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C:\Users\galso01\OneDrive - Ministère de l'Environnement et la Lutte contre les changements climatiques\Documents\dossiers\environnement.gouv\val cov\a mettre nom ministere\"/>
    </mc:Choice>
  </mc:AlternateContent>
  <xr:revisionPtr revIDLastSave="0" documentId="13_ncr:1_{6998A122-C087-4CFA-ABC8-EB120817C1BE}" xr6:coauthVersionLast="47" xr6:coauthVersionMax="47" xr10:uidLastSave="{00000000-0000-0000-0000-000000000000}"/>
  <workbookProtection workbookAlgorithmName="SHA-512" workbookHashValue="WG+rpkxqQpxbeN3/uh0OMLGY9xsFprAwi05CWwCwcsQCMZgINVoomD5N5IvV7kad6QJd1ZtVRSt70VJ2+1B4oQ==" workbookSaltValue="sMcWO4cYqEY0a/EjDuxN5w==" workbookSpinCount="100000" lockStructure="1"/>
  <bookViews>
    <workbookView xWindow="2400" yWindow="780" windowWidth="24660" windowHeight="13650" tabRatio="766" xr2:uid="{00000000-000D-0000-FFFF-FFFF00000000}"/>
  </bookViews>
  <sheets>
    <sheet name="Guide d'utilisation" sheetId="43" r:id="rId1"/>
    <sheet name="Informations sur les produits" sheetId="1" r:id="rId2"/>
    <sheet name="Feuil1" sheetId="7" state="hidden" r:id="rId3"/>
    <sheet name="Registre" sheetId="2" r:id="rId4"/>
    <sheet name="Quantité journalière COV_2025" sheetId="39" r:id="rId5"/>
    <sheet name="Quantité journalière COV_2026" sheetId="41" r:id="rId6"/>
    <sheet name="Quantité journalière COV_2027" sheetId="36" r:id="rId7"/>
    <sheet name="Quantité journalière COV_2028" sheetId="42" r:id="rId8"/>
    <sheet name="Quantité journalière COV_2029" sheetId="37" r:id="rId9"/>
    <sheet name="Quantité journalière COV_2030" sheetId="38"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8" i="38" l="1"/>
  <c r="D367" i="38"/>
  <c r="D366" i="38"/>
  <c r="D365" i="38"/>
  <c r="D364" i="38"/>
  <c r="D363" i="38"/>
  <c r="D362" i="38"/>
  <c r="D361" i="38"/>
  <c r="D360" i="38"/>
  <c r="D359" i="38"/>
  <c r="D358" i="38"/>
  <c r="D357" i="38"/>
  <c r="D356" i="38"/>
  <c r="D355" i="38"/>
  <c r="D354" i="38"/>
  <c r="D353" i="38"/>
  <c r="D352" i="38"/>
  <c r="D351" i="38"/>
  <c r="D350" i="38"/>
  <c r="D349" i="38"/>
  <c r="D348" i="38"/>
  <c r="D346" i="38"/>
  <c r="D345" i="38"/>
  <c r="D344" i="38"/>
  <c r="D343" i="38"/>
  <c r="D342" i="38"/>
  <c r="D341" i="38"/>
  <c r="D340" i="38"/>
  <c r="D339" i="38"/>
  <c r="D338" i="38"/>
  <c r="D337" i="38"/>
  <c r="D336" i="38"/>
  <c r="D335" i="38"/>
  <c r="D334" i="38"/>
  <c r="D333" i="38"/>
  <c r="D332" i="38"/>
  <c r="D331" i="38"/>
  <c r="D330" i="38"/>
  <c r="D329" i="38"/>
  <c r="D328" i="38"/>
  <c r="D327" i="38"/>
  <c r="D326" i="38"/>
  <c r="D325" i="38"/>
  <c r="D324" i="38"/>
  <c r="D323" i="38"/>
  <c r="D322" i="38"/>
  <c r="D321" i="38"/>
  <c r="D319" i="38"/>
  <c r="D318" i="38"/>
  <c r="D317" i="38"/>
  <c r="D316" i="38"/>
  <c r="D315" i="38"/>
  <c r="D314" i="38"/>
  <c r="D313" i="38"/>
  <c r="D312" i="38"/>
  <c r="D311" i="38"/>
  <c r="D310" i="38"/>
  <c r="D309" i="38"/>
  <c r="D308" i="38"/>
  <c r="D307" i="38"/>
  <c r="D306" i="38"/>
  <c r="D305" i="38"/>
  <c r="D304" i="38"/>
  <c r="D303" i="38"/>
  <c r="D302" i="38"/>
  <c r="D301" i="38"/>
  <c r="D300" i="38"/>
  <c r="D299" i="38"/>
  <c r="D298" i="38"/>
  <c r="D297" i="38"/>
  <c r="D296" i="38"/>
  <c r="D295" i="38"/>
  <c r="D294" i="38"/>
  <c r="D293" i="38"/>
  <c r="D292" i="38"/>
  <c r="D291" i="38"/>
  <c r="D290" i="38"/>
  <c r="D289" i="38"/>
  <c r="D288" i="38"/>
  <c r="D287" i="38"/>
  <c r="D286" i="38"/>
  <c r="D285" i="38"/>
  <c r="D284" i="38"/>
  <c r="D283" i="38"/>
  <c r="D282" i="38"/>
  <c r="D281" i="38"/>
  <c r="D280" i="38"/>
  <c r="D279" i="38"/>
  <c r="D278" i="38"/>
  <c r="D277" i="38"/>
  <c r="D276" i="38"/>
  <c r="D275" i="38"/>
  <c r="D274" i="38"/>
  <c r="D273" i="38"/>
  <c r="D272" i="38"/>
  <c r="D271" i="38"/>
  <c r="D270" i="38"/>
  <c r="D269" i="38"/>
  <c r="D268" i="38"/>
  <c r="D267" i="38"/>
  <c r="D266" i="38"/>
  <c r="D265" i="38"/>
  <c r="D264" i="38"/>
  <c r="D263" i="38"/>
  <c r="D262" i="38"/>
  <c r="D261" i="38"/>
  <c r="D260" i="38"/>
  <c r="D259" i="38"/>
  <c r="D258" i="38"/>
  <c r="D257" i="38"/>
  <c r="D256" i="38"/>
  <c r="D255" i="38"/>
  <c r="D254" i="38"/>
  <c r="D253" i="38"/>
  <c r="D252" i="38"/>
  <c r="D250" i="38"/>
  <c r="D249" i="38"/>
  <c r="D248" i="38"/>
  <c r="D247" i="38"/>
  <c r="D246" i="38"/>
  <c r="D245" i="38"/>
  <c r="D244" i="38"/>
  <c r="D243" i="38"/>
  <c r="D242" i="38"/>
  <c r="D241" i="38"/>
  <c r="D240" i="38"/>
  <c r="D239" i="38"/>
  <c r="D238" i="38"/>
  <c r="D237" i="38"/>
  <c r="D236" i="38"/>
  <c r="D235" i="38"/>
  <c r="D234" i="38"/>
  <c r="D233" i="38"/>
  <c r="D232" i="38"/>
  <c r="D231" i="38"/>
  <c r="D230" i="38"/>
  <c r="D229" i="38"/>
  <c r="D228" i="38"/>
  <c r="D227" i="38"/>
  <c r="D226" i="38"/>
  <c r="D225" i="38"/>
  <c r="D224" i="38"/>
  <c r="D223" i="38"/>
  <c r="D222" i="38"/>
  <c r="D221" i="38"/>
  <c r="D220" i="38"/>
  <c r="D219" i="38"/>
  <c r="D218" i="38"/>
  <c r="D217" i="38"/>
  <c r="D216" i="38"/>
  <c r="D215" i="38"/>
  <c r="D214" i="38"/>
  <c r="D213" i="38"/>
  <c r="D212" i="38"/>
  <c r="D211" i="38"/>
  <c r="D210" i="38"/>
  <c r="D209" i="38"/>
  <c r="D208" i="38"/>
  <c r="D207" i="38"/>
  <c r="D206" i="38"/>
  <c r="D205" i="38"/>
  <c r="D204" i="38"/>
  <c r="D203" i="38"/>
  <c r="D202" i="38"/>
  <c r="D201" i="38"/>
  <c r="D200" i="38"/>
  <c r="D199" i="38"/>
  <c r="D198" i="38"/>
  <c r="D197" i="38"/>
  <c r="D196" i="38"/>
  <c r="D195" i="38"/>
  <c r="D194" i="38"/>
  <c r="D193" i="38"/>
  <c r="D192" i="38"/>
  <c r="D191" i="38"/>
  <c r="D190" i="38"/>
  <c r="D189" i="38"/>
  <c r="D188" i="38"/>
  <c r="D187" i="38"/>
  <c r="D186" i="38"/>
  <c r="D185" i="38"/>
  <c r="D184" i="38"/>
  <c r="D183" i="38"/>
  <c r="D182" i="38"/>
  <c r="D181" i="38"/>
  <c r="D180" i="38"/>
  <c r="D179" i="38"/>
  <c r="D178" i="38"/>
  <c r="D177" i="38"/>
  <c r="D176" i="38"/>
  <c r="D175" i="38"/>
  <c r="D174" i="38"/>
  <c r="D173" i="38"/>
  <c r="D172" i="38"/>
  <c r="D171" i="38"/>
  <c r="D170" i="38"/>
  <c r="D169" i="38"/>
  <c r="D168" i="38"/>
  <c r="D167" i="38"/>
  <c r="D166" i="38"/>
  <c r="D165" i="38"/>
  <c r="D164" i="38"/>
  <c r="D163" i="38"/>
  <c r="D162" i="38"/>
  <c r="D161" i="38"/>
  <c r="D160" i="38"/>
  <c r="D159" i="38"/>
  <c r="D158" i="38"/>
  <c r="D157" i="38"/>
  <c r="D156" i="38"/>
  <c r="D155" i="38"/>
  <c r="D154" i="38"/>
  <c r="D153" i="38"/>
  <c r="D152" i="38"/>
  <c r="D151" i="38"/>
  <c r="D150" i="38"/>
  <c r="D149" i="38"/>
  <c r="D148" i="38"/>
  <c r="D147" i="38"/>
  <c r="D146" i="38"/>
  <c r="D145" i="38"/>
  <c r="D144" i="38"/>
  <c r="D143" i="38"/>
  <c r="D142" i="38"/>
  <c r="D141" i="38"/>
  <c r="D140" i="38"/>
  <c r="D139" i="38"/>
  <c r="D138" i="38"/>
  <c r="D137" i="38"/>
  <c r="D136" i="38"/>
  <c r="D135" i="38"/>
  <c r="D134" i="38"/>
  <c r="D133" i="38"/>
  <c r="D132" i="38"/>
  <c r="D131" i="38"/>
  <c r="D130" i="38"/>
  <c r="D129" i="38"/>
  <c r="D128" i="38"/>
  <c r="D127" i="38"/>
  <c r="D126" i="38"/>
  <c r="D125" i="38"/>
  <c r="D124" i="38"/>
  <c r="D123" i="38"/>
  <c r="D122" i="38"/>
  <c r="D121"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Q13" i="38"/>
  <c r="O13" i="38"/>
  <c r="N13" i="38"/>
  <c r="D13" i="38"/>
  <c r="Q12" i="38"/>
  <c r="O12" i="38"/>
  <c r="N12" i="38"/>
  <c r="D12" i="38"/>
  <c r="Q11" i="38"/>
  <c r="O11" i="38"/>
  <c r="N11" i="38"/>
  <c r="D11" i="38"/>
  <c r="Q10" i="38"/>
  <c r="O10" i="38"/>
  <c r="N10" i="38"/>
  <c r="D10" i="38"/>
  <c r="Q9" i="38"/>
  <c r="O9" i="38"/>
  <c r="N9" i="38"/>
  <c r="D9" i="38"/>
  <c r="Q8" i="38"/>
  <c r="O8" i="38"/>
  <c r="N8" i="38"/>
  <c r="D8" i="38"/>
  <c r="Q7" i="38"/>
  <c r="O7" i="38"/>
  <c r="N7" i="38"/>
  <c r="D7" i="38"/>
  <c r="Q6" i="38"/>
  <c r="O6" i="38"/>
  <c r="N6" i="38"/>
  <c r="D6" i="38"/>
  <c r="Q5" i="38"/>
  <c r="O5" i="38"/>
  <c r="N5" i="38"/>
  <c r="D5" i="38"/>
  <c r="D369" i="37"/>
  <c r="D368" i="37"/>
  <c r="D367" i="37"/>
  <c r="D366" i="37"/>
  <c r="D365" i="37"/>
  <c r="D364" i="37"/>
  <c r="D363" i="37"/>
  <c r="D362" i="37"/>
  <c r="D361" i="37"/>
  <c r="D360" i="37"/>
  <c r="D359" i="37"/>
  <c r="D358" i="37"/>
  <c r="D357" i="37"/>
  <c r="D356" i="37"/>
  <c r="D355" i="37"/>
  <c r="D354" i="37"/>
  <c r="D353" i="37"/>
  <c r="D352" i="37"/>
  <c r="D351" i="37"/>
  <c r="D350" i="37"/>
  <c r="D349" i="37"/>
  <c r="D348" i="37"/>
  <c r="D347" i="37"/>
  <c r="D346" i="37"/>
  <c r="D345" i="37"/>
  <c r="D344" i="37"/>
  <c r="D343" i="37"/>
  <c r="D342" i="37"/>
  <c r="D341" i="37"/>
  <c r="D340" i="37"/>
  <c r="D339" i="37"/>
  <c r="D338" i="37"/>
  <c r="D337" i="37"/>
  <c r="D336" i="37"/>
  <c r="D335" i="37"/>
  <c r="D334" i="37"/>
  <c r="D333" i="37"/>
  <c r="D332" i="37"/>
  <c r="D331" i="37"/>
  <c r="D330" i="37"/>
  <c r="D329" i="37"/>
  <c r="D328" i="37"/>
  <c r="D327" i="37"/>
  <c r="D326" i="37"/>
  <c r="D325" i="37"/>
  <c r="D324" i="37"/>
  <c r="D323" i="37"/>
  <c r="D322" i="37"/>
  <c r="D321" i="37"/>
  <c r="D320" i="37"/>
  <c r="D319" i="37"/>
  <c r="D318" i="37"/>
  <c r="D317" i="37"/>
  <c r="D316" i="37"/>
  <c r="D315" i="37"/>
  <c r="D314" i="37"/>
  <c r="D313" i="37"/>
  <c r="D312" i="37"/>
  <c r="D311" i="37"/>
  <c r="D310" i="37"/>
  <c r="D309" i="37"/>
  <c r="D308" i="37"/>
  <c r="D307" i="37"/>
  <c r="D306" i="37"/>
  <c r="D305" i="37"/>
  <c r="D304" i="37"/>
  <c r="D303" i="37"/>
  <c r="D302" i="37"/>
  <c r="D301" i="37"/>
  <c r="D300" i="37"/>
  <c r="D299" i="37"/>
  <c r="D298" i="37"/>
  <c r="D297" i="37"/>
  <c r="D296" i="37"/>
  <c r="D295" i="37"/>
  <c r="D294" i="37"/>
  <c r="D293" i="37"/>
  <c r="D292" i="37"/>
  <c r="D291" i="37"/>
  <c r="D290" i="37"/>
  <c r="D289" i="37"/>
  <c r="D288" i="37"/>
  <c r="D287" i="37"/>
  <c r="D286" i="37"/>
  <c r="D285" i="37"/>
  <c r="D284" i="37"/>
  <c r="D283" i="37"/>
  <c r="D282" i="37"/>
  <c r="D281" i="37"/>
  <c r="D280" i="37"/>
  <c r="D279" i="37"/>
  <c r="D278" i="37"/>
  <c r="D277" i="37"/>
  <c r="D276" i="37"/>
  <c r="D275" i="37"/>
  <c r="D274" i="37"/>
  <c r="D273" i="37"/>
  <c r="D272" i="37"/>
  <c r="D271" i="37"/>
  <c r="D270" i="37"/>
  <c r="D269" i="37"/>
  <c r="D268" i="37"/>
  <c r="D267" i="37"/>
  <c r="D266" i="37"/>
  <c r="D265" i="37"/>
  <c r="D264" i="37"/>
  <c r="D263" i="37"/>
  <c r="D262" i="37"/>
  <c r="D261" i="37"/>
  <c r="D260" i="37"/>
  <c r="D259" i="37"/>
  <c r="D258" i="37"/>
  <c r="D257" i="37"/>
  <c r="D256" i="37"/>
  <c r="D255" i="37"/>
  <c r="D254" i="37"/>
  <c r="D253" i="37"/>
  <c r="D252" i="37"/>
  <c r="D251" i="37"/>
  <c r="D250" i="37"/>
  <c r="D249" i="37"/>
  <c r="D248" i="37"/>
  <c r="D247" i="37"/>
  <c r="D246" i="37"/>
  <c r="D245" i="37"/>
  <c r="D244" i="37"/>
  <c r="D243" i="37"/>
  <c r="D242" i="37"/>
  <c r="D241" i="37"/>
  <c r="D240" i="37"/>
  <c r="D239" i="37"/>
  <c r="D238" i="37"/>
  <c r="D237" i="37"/>
  <c r="D236" i="37"/>
  <c r="D235" i="37"/>
  <c r="D234" i="37"/>
  <c r="D233" i="37"/>
  <c r="D232" i="37"/>
  <c r="D231" i="37"/>
  <c r="D230" i="37"/>
  <c r="D229" i="37"/>
  <c r="D228" i="37"/>
  <c r="D227" i="37"/>
  <c r="D226" i="37"/>
  <c r="D225" i="37"/>
  <c r="D224" i="37"/>
  <c r="D223" i="37"/>
  <c r="D222" i="37"/>
  <c r="D221" i="37"/>
  <c r="D220" i="37"/>
  <c r="D219" i="37"/>
  <c r="D218" i="37"/>
  <c r="D217" i="37"/>
  <c r="D216" i="37"/>
  <c r="D215" i="37"/>
  <c r="D214" i="37"/>
  <c r="D213" i="37"/>
  <c r="D212" i="37"/>
  <c r="D211" i="37"/>
  <c r="D210" i="37"/>
  <c r="D209" i="37"/>
  <c r="D208" i="37"/>
  <c r="D207" i="37"/>
  <c r="D206" i="37"/>
  <c r="D205" i="37"/>
  <c r="D204" i="37"/>
  <c r="D203" i="37"/>
  <c r="D202" i="37"/>
  <c r="D201" i="37"/>
  <c r="D200" i="37"/>
  <c r="D199" i="37"/>
  <c r="D198" i="37"/>
  <c r="D197" i="37"/>
  <c r="D196" i="37"/>
  <c r="D195" i="37"/>
  <c r="D194" i="37"/>
  <c r="D193" i="37"/>
  <c r="D192" i="37"/>
  <c r="D191" i="37"/>
  <c r="D190" i="37"/>
  <c r="D189" i="37"/>
  <c r="D188" i="37"/>
  <c r="D187" i="37"/>
  <c r="D186" i="37"/>
  <c r="D185" i="37"/>
  <c r="D184" i="37"/>
  <c r="D183" i="37"/>
  <c r="D182" i="37"/>
  <c r="D181" i="37"/>
  <c r="D180" i="37"/>
  <c r="D179" i="37"/>
  <c r="D178" i="37"/>
  <c r="D177" i="37"/>
  <c r="D176" i="37"/>
  <c r="D175" i="37"/>
  <c r="D174" i="37"/>
  <c r="D173" i="37"/>
  <c r="D172" i="37"/>
  <c r="D171" i="37"/>
  <c r="D170" i="37"/>
  <c r="D169" i="37"/>
  <c r="D168" i="37"/>
  <c r="D167" i="37"/>
  <c r="D166" i="37"/>
  <c r="D165" i="37"/>
  <c r="D164" i="37"/>
  <c r="D163" i="37"/>
  <c r="D162" i="37"/>
  <c r="D161" i="37"/>
  <c r="D160" i="37"/>
  <c r="D159" i="37"/>
  <c r="D157" i="37"/>
  <c r="D156" i="37"/>
  <c r="D155" i="37"/>
  <c r="D154" i="37"/>
  <c r="D153" i="37"/>
  <c r="D152" i="37"/>
  <c r="D151" i="37"/>
  <c r="D150" i="37"/>
  <c r="D149" i="37"/>
  <c r="D148" i="37"/>
  <c r="D147" i="37"/>
  <c r="D146" i="37"/>
  <c r="D145" i="37"/>
  <c r="D144" i="37"/>
  <c r="D143" i="37"/>
  <c r="D142" i="37"/>
  <c r="D141" i="37"/>
  <c r="D140" i="37"/>
  <c r="D139" i="37"/>
  <c r="D138" i="37"/>
  <c r="D136" i="37"/>
  <c r="D135" i="37"/>
  <c r="D134" i="37"/>
  <c r="D133" i="37"/>
  <c r="D132" i="37"/>
  <c r="D131" i="37"/>
  <c r="D130" i="37"/>
  <c r="D129" i="37"/>
  <c r="D128" i="37"/>
  <c r="D127" i="37"/>
  <c r="D126" i="37"/>
  <c r="D125" i="37"/>
  <c r="D124" i="37"/>
  <c r="D123" i="37"/>
  <c r="D122" i="37"/>
  <c r="D121" i="37"/>
  <c r="D120" i="37"/>
  <c r="D119" i="37"/>
  <c r="D118" i="37"/>
  <c r="D117" i="37"/>
  <c r="D116" i="37"/>
  <c r="D115" i="37"/>
  <c r="D114" i="37"/>
  <c r="D113" i="37"/>
  <c r="D112" i="37"/>
  <c r="D111" i="37"/>
  <c r="D110" i="37"/>
  <c r="D109" i="37"/>
  <c r="D108" i="37"/>
  <c r="D107" i="37"/>
  <c r="D106" i="37"/>
  <c r="D105" i="37"/>
  <c r="D104" i="37"/>
  <c r="D103" i="37"/>
  <c r="D102" i="37"/>
  <c r="D101" i="37"/>
  <c r="D100" i="37"/>
  <c r="D99" i="37"/>
  <c r="D98" i="37"/>
  <c r="D97" i="37"/>
  <c r="D96" i="37"/>
  <c r="D95" i="37"/>
  <c r="D94" i="37"/>
  <c r="D93" i="37"/>
  <c r="D92" i="37"/>
  <c r="D91" i="37"/>
  <c r="D90" i="37"/>
  <c r="D89" i="37"/>
  <c r="D88" i="37"/>
  <c r="D87" i="37"/>
  <c r="D86" i="37"/>
  <c r="D85" i="37"/>
  <c r="D84" i="37"/>
  <c r="D83" i="37"/>
  <c r="D82" i="37"/>
  <c r="D81" i="37"/>
  <c r="D80" i="37"/>
  <c r="D79" i="37"/>
  <c r="D78" i="37"/>
  <c r="D77" i="37"/>
  <c r="D76" i="37"/>
  <c r="D75" i="37"/>
  <c r="D74" i="37"/>
  <c r="D73" i="37"/>
  <c r="D72" i="37"/>
  <c r="D71" i="37"/>
  <c r="D70" i="37"/>
  <c r="D69" i="37"/>
  <c r="D68" i="37"/>
  <c r="D67" i="37"/>
  <c r="D66" i="37"/>
  <c r="D65" i="37"/>
  <c r="D64" i="37"/>
  <c r="D63" i="37"/>
  <c r="D62" i="37"/>
  <c r="D61" i="37"/>
  <c r="D60" i="37"/>
  <c r="D59" i="37"/>
  <c r="D58" i="37"/>
  <c r="D57" i="37"/>
  <c r="D56" i="37"/>
  <c r="D55" i="37"/>
  <c r="D54" i="37"/>
  <c r="D53" i="37"/>
  <c r="D52" i="37"/>
  <c r="D51" i="37"/>
  <c r="D50" i="37"/>
  <c r="D49" i="37"/>
  <c r="D48" i="37"/>
  <c r="D47" i="37"/>
  <c r="D46" i="37"/>
  <c r="D45" i="37"/>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D18" i="37"/>
  <c r="D17" i="37"/>
  <c r="D16" i="37"/>
  <c r="D15" i="37"/>
  <c r="D14" i="37"/>
  <c r="Q13" i="37"/>
  <c r="O13" i="37"/>
  <c r="N13" i="37"/>
  <c r="D13" i="37"/>
  <c r="Q12" i="37"/>
  <c r="O12" i="37"/>
  <c r="N12" i="37"/>
  <c r="D12" i="37"/>
  <c r="Q11" i="37"/>
  <c r="O11" i="37"/>
  <c r="N11" i="37"/>
  <c r="D11" i="37"/>
  <c r="Q10" i="37"/>
  <c r="O10" i="37"/>
  <c r="N10" i="37"/>
  <c r="D10" i="37"/>
  <c r="Q9" i="37"/>
  <c r="O9" i="37"/>
  <c r="N9" i="37"/>
  <c r="D9" i="37"/>
  <c r="Q8" i="37"/>
  <c r="O8" i="37"/>
  <c r="N8" i="37"/>
  <c r="D8" i="37"/>
  <c r="Q7" i="37"/>
  <c r="O7" i="37"/>
  <c r="N7" i="37"/>
  <c r="D7" i="37"/>
  <c r="Q6" i="37"/>
  <c r="O6" i="37"/>
  <c r="N6" i="37"/>
  <c r="D6" i="37"/>
  <c r="Q5" i="37"/>
  <c r="O5" i="37"/>
  <c r="N5" i="37"/>
  <c r="D5" i="37"/>
  <c r="D370" i="42"/>
  <c r="D369" i="42"/>
  <c r="D368" i="42"/>
  <c r="D367" i="42"/>
  <c r="D366" i="42"/>
  <c r="D365" i="42"/>
  <c r="D364" i="42"/>
  <c r="D363" i="42"/>
  <c r="D362" i="42"/>
  <c r="D361" i="42"/>
  <c r="D360" i="42"/>
  <c r="D359" i="42"/>
  <c r="D358" i="42"/>
  <c r="D357" i="42"/>
  <c r="D356" i="42"/>
  <c r="D355" i="42"/>
  <c r="D354" i="42"/>
  <c r="D353" i="42"/>
  <c r="D352" i="42"/>
  <c r="D351" i="42"/>
  <c r="D350" i="42"/>
  <c r="D349" i="42"/>
  <c r="D348" i="42"/>
  <c r="D347" i="42"/>
  <c r="D346" i="42"/>
  <c r="D345" i="42"/>
  <c r="D344" i="42"/>
  <c r="D343" i="42"/>
  <c r="D342" i="42"/>
  <c r="D341" i="42"/>
  <c r="D340" i="42"/>
  <c r="D339" i="42"/>
  <c r="D338" i="42"/>
  <c r="D337" i="42"/>
  <c r="D336" i="42"/>
  <c r="D335" i="42"/>
  <c r="D334" i="42"/>
  <c r="D333" i="42"/>
  <c r="D332" i="42"/>
  <c r="D331" i="42"/>
  <c r="D330" i="42"/>
  <c r="D329" i="42"/>
  <c r="D328" i="42"/>
  <c r="D327" i="42"/>
  <c r="D326" i="42"/>
  <c r="D325" i="42"/>
  <c r="D324" i="42"/>
  <c r="D323" i="42"/>
  <c r="D322" i="42"/>
  <c r="D321" i="42"/>
  <c r="D320" i="42"/>
  <c r="D319" i="42"/>
  <c r="D318" i="42"/>
  <c r="D317" i="42"/>
  <c r="D316" i="42"/>
  <c r="D315" i="42"/>
  <c r="D314" i="42"/>
  <c r="D313" i="42"/>
  <c r="D312" i="42"/>
  <c r="D311" i="42"/>
  <c r="D310" i="42"/>
  <c r="D309" i="42"/>
  <c r="D308" i="42"/>
  <c r="D307" i="42"/>
  <c r="D306" i="42"/>
  <c r="D305" i="42"/>
  <c r="D304" i="42"/>
  <c r="D303" i="42"/>
  <c r="D302" i="42"/>
  <c r="D301" i="42"/>
  <c r="D300" i="42"/>
  <c r="D299" i="42"/>
  <c r="D298" i="42"/>
  <c r="D297" i="42"/>
  <c r="D296" i="42"/>
  <c r="D295" i="42"/>
  <c r="D294" i="42"/>
  <c r="D293" i="42"/>
  <c r="D292" i="42"/>
  <c r="D291" i="42"/>
  <c r="D290" i="42"/>
  <c r="D289" i="42"/>
  <c r="D288" i="42"/>
  <c r="D287" i="42"/>
  <c r="D286" i="42"/>
  <c r="D285" i="42"/>
  <c r="D284" i="42"/>
  <c r="D283" i="42"/>
  <c r="D282" i="42"/>
  <c r="D281" i="42"/>
  <c r="D280" i="42"/>
  <c r="D279" i="42"/>
  <c r="D278" i="42"/>
  <c r="D277" i="42"/>
  <c r="D276" i="42"/>
  <c r="D275" i="42"/>
  <c r="D274" i="42"/>
  <c r="D273" i="42"/>
  <c r="D272" i="42"/>
  <c r="D271" i="42"/>
  <c r="D270" i="42"/>
  <c r="D269" i="42"/>
  <c r="D268" i="42"/>
  <c r="D267" i="42"/>
  <c r="D266" i="42"/>
  <c r="D265" i="42"/>
  <c r="D264" i="42"/>
  <c r="D263" i="42"/>
  <c r="D262" i="42"/>
  <c r="D261" i="42"/>
  <c r="D260" i="42"/>
  <c r="D259" i="42"/>
  <c r="D258" i="42"/>
  <c r="D257" i="42"/>
  <c r="D256" i="42"/>
  <c r="D255" i="42"/>
  <c r="D254" i="42"/>
  <c r="D253" i="42"/>
  <c r="D252" i="42"/>
  <c r="D251" i="42"/>
  <c r="D250" i="42"/>
  <c r="D249" i="42"/>
  <c r="D248" i="42"/>
  <c r="D247" i="42"/>
  <c r="D246" i="42"/>
  <c r="D245" i="42"/>
  <c r="D244" i="42"/>
  <c r="D243" i="42"/>
  <c r="D242" i="42"/>
  <c r="D241" i="42"/>
  <c r="D240" i="42"/>
  <c r="D239" i="42"/>
  <c r="D238" i="42"/>
  <c r="D237" i="42"/>
  <c r="D236" i="42"/>
  <c r="D235" i="42"/>
  <c r="D234" i="42"/>
  <c r="D233" i="42"/>
  <c r="D232" i="42"/>
  <c r="D231" i="42"/>
  <c r="D230" i="42"/>
  <c r="D229" i="42"/>
  <c r="D228" i="42"/>
  <c r="D227" i="42"/>
  <c r="D226" i="42"/>
  <c r="D225" i="42"/>
  <c r="D224" i="42"/>
  <c r="D223" i="42"/>
  <c r="D222" i="42"/>
  <c r="D221" i="42"/>
  <c r="D220" i="42"/>
  <c r="D219" i="42"/>
  <c r="D218" i="42"/>
  <c r="D217" i="42"/>
  <c r="D216" i="42"/>
  <c r="D215" i="42"/>
  <c r="D214" i="42"/>
  <c r="D213" i="42"/>
  <c r="D212" i="42"/>
  <c r="D211" i="42"/>
  <c r="D210" i="42"/>
  <c r="D209" i="42"/>
  <c r="D208" i="42"/>
  <c r="D207" i="42"/>
  <c r="D206" i="42"/>
  <c r="D205" i="42"/>
  <c r="D204" i="42"/>
  <c r="D203" i="42"/>
  <c r="D202" i="42"/>
  <c r="D201" i="42"/>
  <c r="D200" i="42"/>
  <c r="D199" i="42"/>
  <c r="D198" i="42"/>
  <c r="D197" i="42"/>
  <c r="D196" i="42"/>
  <c r="D195" i="42"/>
  <c r="D194" i="42"/>
  <c r="D193" i="42"/>
  <c r="D192" i="42"/>
  <c r="D191" i="42"/>
  <c r="D190" i="42"/>
  <c r="D189" i="42"/>
  <c r="D188" i="42"/>
  <c r="D187" i="42"/>
  <c r="D186" i="42"/>
  <c r="D185" i="42"/>
  <c r="D184" i="42"/>
  <c r="D183" i="42"/>
  <c r="D182" i="42"/>
  <c r="D181" i="42"/>
  <c r="D180" i="42"/>
  <c r="D179" i="42"/>
  <c r="D178" i="42"/>
  <c r="D177" i="42"/>
  <c r="D176" i="42"/>
  <c r="D175" i="42"/>
  <c r="D174" i="42"/>
  <c r="D173" i="42"/>
  <c r="D172" i="42"/>
  <c r="D171" i="42"/>
  <c r="D170" i="42"/>
  <c r="D169" i="42"/>
  <c r="D168" i="42"/>
  <c r="D167" i="42"/>
  <c r="D166" i="42"/>
  <c r="D165" i="42"/>
  <c r="D164" i="42"/>
  <c r="D163" i="42"/>
  <c r="D162" i="42"/>
  <c r="D161" i="42"/>
  <c r="D160" i="42"/>
  <c r="D159" i="42"/>
  <c r="D158" i="42"/>
  <c r="D157" i="42"/>
  <c r="D156" i="42"/>
  <c r="D155" i="42"/>
  <c r="D154" i="42"/>
  <c r="D153" i="42"/>
  <c r="D152" i="42"/>
  <c r="D151" i="42"/>
  <c r="D150" i="42"/>
  <c r="D149" i="42"/>
  <c r="D148" i="42"/>
  <c r="D147" i="42"/>
  <c r="D146" i="42"/>
  <c r="D145" i="42"/>
  <c r="D144" i="42"/>
  <c r="D143" i="42"/>
  <c r="D142" i="42"/>
  <c r="D141" i="42"/>
  <c r="D140" i="42"/>
  <c r="D139" i="42"/>
  <c r="D138" i="42"/>
  <c r="D137" i="42"/>
  <c r="D136" i="42"/>
  <c r="D135" i="4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3" i="42"/>
  <c r="D62" i="42"/>
  <c r="D61" i="42"/>
  <c r="D60" i="42"/>
  <c r="D59" i="42"/>
  <c r="D58" i="42"/>
  <c r="D57" i="42"/>
  <c r="D56" i="42"/>
  <c r="D55" i="42"/>
  <c r="D54" i="42"/>
  <c r="D53" i="42"/>
  <c r="D52" i="42"/>
  <c r="D51" i="42"/>
  <c r="D50" i="42"/>
  <c r="D49" i="42"/>
  <c r="D48" i="42"/>
  <c r="D47" i="42"/>
  <c r="D46" i="42"/>
  <c r="D45"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Q13" i="42"/>
  <c r="O13" i="42"/>
  <c r="N13" i="42"/>
  <c r="D13" i="42"/>
  <c r="Q12" i="42"/>
  <c r="O12" i="42"/>
  <c r="N12" i="42"/>
  <c r="D12" i="42"/>
  <c r="Q11" i="42"/>
  <c r="O11" i="42"/>
  <c r="N11" i="42"/>
  <c r="D11" i="42"/>
  <c r="Q10" i="42"/>
  <c r="O10" i="42"/>
  <c r="N10" i="42"/>
  <c r="D10" i="42"/>
  <c r="Q9" i="42"/>
  <c r="O9" i="42"/>
  <c r="N9" i="42"/>
  <c r="D9" i="42"/>
  <c r="Q8" i="42"/>
  <c r="O8" i="42"/>
  <c r="N8" i="42"/>
  <c r="D8" i="42"/>
  <c r="Q7" i="42"/>
  <c r="O7" i="42"/>
  <c r="N7" i="42"/>
  <c r="D7" i="42"/>
  <c r="Q6" i="42"/>
  <c r="O6" i="42"/>
  <c r="N6" i="42"/>
  <c r="D6" i="42"/>
  <c r="Q5" i="42"/>
  <c r="O5" i="42"/>
  <c r="N5" i="42"/>
  <c r="D5" i="42"/>
  <c r="D369" i="36"/>
  <c r="D368" i="36"/>
  <c r="D367" i="36"/>
  <c r="D366" i="36"/>
  <c r="D365" i="36"/>
  <c r="D364" i="36"/>
  <c r="D363" i="36"/>
  <c r="D362" i="36"/>
  <c r="D361" i="36"/>
  <c r="D360" i="36"/>
  <c r="D359" i="36"/>
  <c r="D358" i="36"/>
  <c r="D357" i="36"/>
  <c r="D356" i="36"/>
  <c r="D355" i="36"/>
  <c r="D354" i="36"/>
  <c r="D353" i="36"/>
  <c r="D352" i="36"/>
  <c r="D351" i="36"/>
  <c r="D350" i="36"/>
  <c r="D349" i="36"/>
  <c r="D348" i="36"/>
  <c r="D347" i="36"/>
  <c r="D346" i="36"/>
  <c r="D345" i="36"/>
  <c r="D344" i="36"/>
  <c r="D343" i="36"/>
  <c r="D342" i="36"/>
  <c r="D341" i="36"/>
  <c r="D340" i="36"/>
  <c r="D339" i="36"/>
  <c r="D338" i="36"/>
  <c r="D337" i="36"/>
  <c r="D336" i="36"/>
  <c r="D335" i="36"/>
  <c r="D334" i="36"/>
  <c r="D333" i="36"/>
  <c r="D332" i="36"/>
  <c r="D331" i="36"/>
  <c r="D330" i="36"/>
  <c r="D329" i="36"/>
  <c r="D328" i="36"/>
  <c r="D327" i="36"/>
  <c r="D326" i="36"/>
  <c r="D325" i="36"/>
  <c r="D324" i="36"/>
  <c r="D323" i="36"/>
  <c r="D322" i="36"/>
  <c r="D321" i="36"/>
  <c r="D320" i="36"/>
  <c r="D319" i="36"/>
  <c r="D318" i="36"/>
  <c r="D317" i="36"/>
  <c r="D316" i="36"/>
  <c r="D315" i="36"/>
  <c r="D314" i="36"/>
  <c r="D313" i="36"/>
  <c r="D312" i="36"/>
  <c r="D311" i="36"/>
  <c r="D310" i="36"/>
  <c r="D309" i="36"/>
  <c r="D308" i="36"/>
  <c r="D307" i="36"/>
  <c r="D306" i="36"/>
  <c r="D305" i="36"/>
  <c r="D304" i="36"/>
  <c r="D303" i="36"/>
  <c r="D302" i="36"/>
  <c r="D301" i="36"/>
  <c r="D300" i="36"/>
  <c r="D299" i="36"/>
  <c r="D298" i="36"/>
  <c r="D297" i="36"/>
  <c r="D296" i="36"/>
  <c r="D295" i="36"/>
  <c r="D294" i="36"/>
  <c r="D293" i="36"/>
  <c r="D292" i="36"/>
  <c r="D291" i="36"/>
  <c r="D290" i="36"/>
  <c r="D289" i="36"/>
  <c r="D288" i="36"/>
  <c r="D287" i="36"/>
  <c r="D286" i="36"/>
  <c r="D285" i="36"/>
  <c r="D284" i="36"/>
  <c r="D283" i="36"/>
  <c r="D282" i="36"/>
  <c r="D281" i="36"/>
  <c r="D280" i="36"/>
  <c r="D279" i="36"/>
  <c r="D278" i="36"/>
  <c r="D277" i="36"/>
  <c r="D276" i="36"/>
  <c r="D275" i="36"/>
  <c r="D274" i="36"/>
  <c r="D273" i="36"/>
  <c r="D272" i="36"/>
  <c r="D271" i="36"/>
  <c r="D270" i="36"/>
  <c r="D269" i="36"/>
  <c r="D268" i="36"/>
  <c r="D267" i="36"/>
  <c r="D266" i="36"/>
  <c r="D265" i="36"/>
  <c r="D264" i="36"/>
  <c r="D263" i="36"/>
  <c r="D262" i="36"/>
  <c r="D261" i="36"/>
  <c r="D260" i="36"/>
  <c r="D259" i="36"/>
  <c r="D258" i="36"/>
  <c r="D257" i="36"/>
  <c r="D256" i="36"/>
  <c r="D255" i="36"/>
  <c r="D254" i="36"/>
  <c r="D253" i="36"/>
  <c r="D252" i="36"/>
  <c r="D251" i="36"/>
  <c r="D250" i="36"/>
  <c r="D249" i="36"/>
  <c r="D248" i="36"/>
  <c r="D247" i="36"/>
  <c r="D246" i="36"/>
  <c r="D245"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D221" i="36"/>
  <c r="D220" i="36"/>
  <c r="D219" i="36"/>
  <c r="D218" i="36"/>
  <c r="D217" i="36"/>
  <c r="D216" i="36"/>
  <c r="D215" i="36"/>
  <c r="D214" i="36"/>
  <c r="D213" i="36"/>
  <c r="D212" i="36"/>
  <c r="D211" i="36"/>
  <c r="D210" i="36"/>
  <c r="D209" i="36"/>
  <c r="D208" i="36"/>
  <c r="D207" i="36"/>
  <c r="D206" i="36"/>
  <c r="D205" i="36"/>
  <c r="D204" i="36"/>
  <c r="D203" i="36"/>
  <c r="D202" i="36"/>
  <c r="D201" i="36"/>
  <c r="D200" i="36"/>
  <c r="D199" i="36"/>
  <c r="D198" i="36"/>
  <c r="D197" i="36"/>
  <c r="D196" i="36"/>
  <c r="D195" i="36"/>
  <c r="D194" i="36"/>
  <c r="D193" i="36"/>
  <c r="D192" i="36"/>
  <c r="D191" i="36"/>
  <c r="D190" i="36"/>
  <c r="D189" i="36"/>
  <c r="D188" i="36"/>
  <c r="D187" i="36"/>
  <c r="D186" i="36"/>
  <c r="D185" i="36"/>
  <c r="D184" i="36"/>
  <c r="D183" i="36"/>
  <c r="D182" i="36"/>
  <c r="D181" i="36"/>
  <c r="D180" i="36"/>
  <c r="D179" i="36"/>
  <c r="D178" i="36"/>
  <c r="D177" i="36"/>
  <c r="D176" i="36"/>
  <c r="D175" i="36"/>
  <c r="D174" i="36"/>
  <c r="D173" i="36"/>
  <c r="D172" i="36"/>
  <c r="D171" i="36"/>
  <c r="D170" i="36"/>
  <c r="D169" i="36"/>
  <c r="D168" i="36"/>
  <c r="D167" i="36"/>
  <c r="D166" i="36"/>
  <c r="D165" i="36"/>
  <c r="D164" i="36"/>
  <c r="D163" i="36"/>
  <c r="D162" i="36"/>
  <c r="D161" i="36"/>
  <c r="D160" i="36"/>
  <c r="D159" i="36"/>
  <c r="D158" i="36"/>
  <c r="D157" i="36"/>
  <c r="D156" i="36"/>
  <c r="D155" i="36"/>
  <c r="D154" i="36"/>
  <c r="D153" i="36"/>
  <c r="D152" i="36"/>
  <c r="D151" i="36"/>
  <c r="D150" i="36"/>
  <c r="D149" i="36"/>
  <c r="D148" i="36"/>
  <c r="D147" i="36"/>
  <c r="D146" i="36"/>
  <c r="D145" i="36"/>
  <c r="D144" i="36"/>
  <c r="D143" i="36"/>
  <c r="D142" i="36"/>
  <c r="D141" i="36"/>
  <c r="D140" i="36"/>
  <c r="D139" i="36"/>
  <c r="D138" i="36"/>
  <c r="D137" i="36"/>
  <c r="D136" i="36"/>
  <c r="D135" i="36"/>
  <c r="D134" i="36"/>
  <c r="D133" i="36"/>
  <c r="D132" i="36"/>
  <c r="D131" i="36"/>
  <c r="D130" i="36"/>
  <c r="D129" i="36"/>
  <c r="D128" i="36"/>
  <c r="D127" i="36"/>
  <c r="D126" i="36"/>
  <c r="D125" i="36"/>
  <c r="D124"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D96" i="36"/>
  <c r="D95" i="36"/>
  <c r="D94" i="36"/>
  <c r="D93" i="36"/>
  <c r="D92" i="36"/>
  <c r="D91" i="36"/>
  <c r="D90" i="36"/>
  <c r="D89" i="36"/>
  <c r="D88" i="36"/>
  <c r="D87" i="36"/>
  <c r="D86" i="36"/>
  <c r="D85" i="36"/>
  <c r="D84" i="36"/>
  <c r="D83" i="36"/>
  <c r="D82" i="36"/>
  <c r="D81" i="36"/>
  <c r="D80" i="36"/>
  <c r="D79" i="36"/>
  <c r="D78" i="36"/>
  <c r="D77" i="36"/>
  <c r="D76" i="36"/>
  <c r="D75" i="36"/>
  <c r="D74" i="36"/>
  <c r="D73" i="36"/>
  <c r="D72" i="36"/>
  <c r="D71" i="36"/>
  <c r="D70" i="36"/>
  <c r="D69" i="36"/>
  <c r="D68" i="36"/>
  <c r="D66" i="36"/>
  <c r="D65" i="36"/>
  <c r="D64" i="36"/>
  <c r="D63" i="36"/>
  <c r="D62" i="36"/>
  <c r="D61" i="36"/>
  <c r="D60" i="36"/>
  <c r="D59" i="36"/>
  <c r="D58" i="36"/>
  <c r="D57" i="36"/>
  <c r="D56" i="36"/>
  <c r="D55" i="36"/>
  <c r="D54" i="36"/>
  <c r="D53" i="36"/>
  <c r="D52" i="36"/>
  <c r="D51" i="36"/>
  <c r="D50" i="36"/>
  <c r="D49" i="36"/>
  <c r="D48" i="36"/>
  <c r="D47" i="36"/>
  <c r="D46" i="36"/>
  <c r="D45" i="36"/>
  <c r="D44" i="36"/>
  <c r="D43" i="36"/>
  <c r="D42" i="36"/>
  <c r="D41" i="36"/>
  <c r="D40" i="36"/>
  <c r="D39" i="36"/>
  <c r="D38" i="36"/>
  <c r="D37" i="36"/>
  <c r="D36" i="36"/>
  <c r="D35" i="36"/>
  <c r="D34" i="36"/>
  <c r="D33" i="36"/>
  <c r="D32" i="36"/>
  <c r="D31" i="36"/>
  <c r="D30" i="36"/>
  <c r="D29" i="36"/>
  <c r="D28" i="36"/>
  <c r="D27" i="36"/>
  <c r="D26" i="36"/>
  <c r="D25" i="36"/>
  <c r="D24" i="36"/>
  <c r="D23" i="36"/>
  <c r="D22" i="36"/>
  <c r="D21" i="36"/>
  <c r="D20" i="36"/>
  <c r="D19" i="36"/>
  <c r="D18" i="36"/>
  <c r="D17" i="36"/>
  <c r="D16" i="36"/>
  <c r="D15" i="36"/>
  <c r="D14" i="36"/>
  <c r="Q13" i="36"/>
  <c r="O13" i="36"/>
  <c r="N13" i="36"/>
  <c r="D13" i="36"/>
  <c r="Q12" i="36"/>
  <c r="O12" i="36"/>
  <c r="N12" i="36"/>
  <c r="D12" i="36"/>
  <c r="Q11" i="36"/>
  <c r="O11" i="36"/>
  <c r="N11" i="36"/>
  <c r="D11" i="36"/>
  <c r="Q10" i="36"/>
  <c r="O10" i="36"/>
  <c r="N10" i="36"/>
  <c r="D10" i="36"/>
  <c r="Q9" i="36"/>
  <c r="O9" i="36"/>
  <c r="N9" i="36"/>
  <c r="D9" i="36"/>
  <c r="Q8" i="36"/>
  <c r="O8" i="36"/>
  <c r="N8" i="36"/>
  <c r="D8" i="36"/>
  <c r="Q7" i="36"/>
  <c r="O7" i="36"/>
  <c r="N7" i="36"/>
  <c r="D7" i="36"/>
  <c r="Q6" i="36"/>
  <c r="O6" i="36"/>
  <c r="N6" i="36"/>
  <c r="D6" i="36"/>
  <c r="Q5" i="36"/>
  <c r="O5" i="36"/>
  <c r="N5" i="36"/>
  <c r="D369" i="41"/>
  <c r="D368" i="41"/>
  <c r="D367" i="41"/>
  <c r="D366" i="41"/>
  <c r="D365" i="41"/>
  <c r="D364" i="41"/>
  <c r="D363" i="41"/>
  <c r="D362" i="41"/>
  <c r="D361" i="41"/>
  <c r="D360" i="41"/>
  <c r="D359" i="41"/>
  <c r="D358" i="41"/>
  <c r="D357" i="41"/>
  <c r="D356" i="41"/>
  <c r="D355" i="41"/>
  <c r="D354" i="41"/>
  <c r="D353" i="41"/>
  <c r="D352" i="41"/>
  <c r="D351" i="41"/>
  <c r="D350" i="41"/>
  <c r="D349" i="41"/>
  <c r="D348" i="41"/>
  <c r="D347" i="41"/>
  <c r="D346" i="41"/>
  <c r="D345" i="41"/>
  <c r="D344" i="41"/>
  <c r="D343" i="41"/>
  <c r="D342" i="41"/>
  <c r="D341" i="41"/>
  <c r="D340" i="41"/>
  <c r="D339" i="41"/>
  <c r="D338" i="41"/>
  <c r="D337" i="41"/>
  <c r="D336" i="41"/>
  <c r="D335" i="41"/>
  <c r="D334" i="41"/>
  <c r="D333" i="41"/>
  <c r="D332" i="41"/>
  <c r="D331" i="41"/>
  <c r="D330" i="41"/>
  <c r="D329" i="41"/>
  <c r="D328" i="41"/>
  <c r="D327" i="41"/>
  <c r="D326" i="41"/>
  <c r="D325" i="41"/>
  <c r="D324" i="41"/>
  <c r="D323" i="41"/>
  <c r="D322" i="41"/>
  <c r="D321" i="41"/>
  <c r="D320" i="41"/>
  <c r="D319" i="41"/>
  <c r="D318" i="41"/>
  <c r="D317" i="41"/>
  <c r="D316" i="41"/>
  <c r="D315" i="41"/>
  <c r="D314" i="41"/>
  <c r="D313" i="41"/>
  <c r="D312" i="41"/>
  <c r="D311" i="41"/>
  <c r="D310" i="41"/>
  <c r="D309" i="41"/>
  <c r="D308" i="41"/>
  <c r="D307" i="41"/>
  <c r="D306" i="41"/>
  <c r="D305" i="41"/>
  <c r="D304" i="41"/>
  <c r="D303" i="41"/>
  <c r="D302" i="41"/>
  <c r="D301" i="41"/>
  <c r="D300" i="41"/>
  <c r="D299" i="41"/>
  <c r="D298" i="41"/>
  <c r="D297" i="41"/>
  <c r="D296" i="41"/>
  <c r="D295" i="41"/>
  <c r="D294" i="41"/>
  <c r="D293" i="41"/>
  <c r="D292" i="41"/>
  <c r="D291" i="41"/>
  <c r="D290" i="41"/>
  <c r="D289" i="41"/>
  <c r="D288" i="41"/>
  <c r="D287" i="41"/>
  <c r="D286" i="41"/>
  <c r="D285" i="41"/>
  <c r="D284" i="41"/>
  <c r="D283" i="41"/>
  <c r="D282" i="41"/>
  <c r="D281" i="41"/>
  <c r="D280" i="41"/>
  <c r="D279" i="41"/>
  <c r="D278" i="41"/>
  <c r="D277" i="41"/>
  <c r="D276" i="41"/>
  <c r="D275" i="41"/>
  <c r="D274" i="41"/>
  <c r="D273" i="41"/>
  <c r="D272" i="41"/>
  <c r="D271" i="41"/>
  <c r="D270" i="41"/>
  <c r="D269" i="41"/>
  <c r="D268" i="41"/>
  <c r="D267" i="41"/>
  <c r="D266" i="41"/>
  <c r="D265" i="41"/>
  <c r="D264" i="41"/>
  <c r="D263" i="41"/>
  <c r="D262" i="41"/>
  <c r="D261" i="41"/>
  <c r="D260" i="41"/>
  <c r="D259" i="41"/>
  <c r="D258" i="41"/>
  <c r="D257" i="41"/>
  <c r="D256" i="41"/>
  <c r="D255" i="41"/>
  <c r="D254" i="41"/>
  <c r="D253" i="41"/>
  <c r="D252" i="41"/>
  <c r="D251" i="41"/>
  <c r="D250" i="41"/>
  <c r="D249" i="41"/>
  <c r="D248" i="41"/>
  <c r="D247" i="41"/>
  <c r="D246" i="41"/>
  <c r="D245" i="41"/>
  <c r="D244" i="41"/>
  <c r="D243" i="41"/>
  <c r="D242" i="41"/>
  <c r="D241" i="41"/>
  <c r="D240" i="41"/>
  <c r="D239" i="41"/>
  <c r="D238" i="41"/>
  <c r="D237" i="41"/>
  <c r="D236" i="41"/>
  <c r="D235" i="41"/>
  <c r="D234" i="41"/>
  <c r="D233" i="41"/>
  <c r="D232" i="41"/>
  <c r="D231" i="41"/>
  <c r="D230" i="41"/>
  <c r="D229" i="41"/>
  <c r="D228" i="41"/>
  <c r="D227" i="41"/>
  <c r="D226" i="41"/>
  <c r="D225" i="41"/>
  <c r="D224" i="41"/>
  <c r="D223" i="41"/>
  <c r="D222" i="41"/>
  <c r="D221" i="41"/>
  <c r="D220" i="41"/>
  <c r="D219" i="41"/>
  <c r="D218" i="41"/>
  <c r="D217" i="41"/>
  <c r="D216" i="41"/>
  <c r="D215" i="41"/>
  <c r="D214" i="41"/>
  <c r="D213" i="41"/>
  <c r="D212" i="41"/>
  <c r="D211" i="41"/>
  <c r="D210" i="41"/>
  <c r="D209" i="41"/>
  <c r="D208" i="41"/>
  <c r="D207" i="41"/>
  <c r="D206" i="41"/>
  <c r="D205" i="41"/>
  <c r="D204" i="41"/>
  <c r="D203" i="41"/>
  <c r="D202" i="41"/>
  <c r="D201" i="41"/>
  <c r="D200" i="41"/>
  <c r="D199" i="41"/>
  <c r="D198" i="41"/>
  <c r="D197" i="41"/>
  <c r="D196" i="41"/>
  <c r="D195" i="41"/>
  <c r="D194" i="41"/>
  <c r="D193" i="41"/>
  <c r="D192" i="41"/>
  <c r="D191" i="41"/>
  <c r="D190" i="41"/>
  <c r="D189" i="41"/>
  <c r="D188" i="41"/>
  <c r="D187" i="41"/>
  <c r="D186" i="41"/>
  <c r="D185" i="41"/>
  <c r="D184" i="41"/>
  <c r="D183" i="41"/>
  <c r="D182" i="41"/>
  <c r="D181" i="41"/>
  <c r="D180" i="41"/>
  <c r="D179" i="41"/>
  <c r="D178" i="41"/>
  <c r="D177" i="41"/>
  <c r="D176" i="41"/>
  <c r="D175" i="41"/>
  <c r="D174" i="41"/>
  <c r="D173" i="41"/>
  <c r="D172" i="41"/>
  <c r="D171" i="41"/>
  <c r="D170" i="41"/>
  <c r="D169" i="41"/>
  <c r="D168" i="41"/>
  <c r="D167" i="41"/>
  <c r="D166" i="41"/>
  <c r="D165" i="41"/>
  <c r="D164" i="41"/>
  <c r="D163" i="41"/>
  <c r="D162" i="41"/>
  <c r="D161" i="41"/>
  <c r="D160" i="41"/>
  <c r="D159" i="41"/>
  <c r="D158" i="41"/>
  <c r="D157" i="41"/>
  <c r="D156" i="41"/>
  <c r="D155" i="41"/>
  <c r="D154" i="41"/>
  <c r="D153" i="41"/>
  <c r="D152" i="41"/>
  <c r="D151" i="41"/>
  <c r="D150" i="41"/>
  <c r="D149" i="41"/>
  <c r="D148" i="41"/>
  <c r="D147" i="41"/>
  <c r="D146" i="41"/>
  <c r="D145" i="41"/>
  <c r="D144" i="41"/>
  <c r="D143" i="41"/>
  <c r="D142" i="41"/>
  <c r="D141" i="41"/>
  <c r="D140" i="41"/>
  <c r="D139" i="41"/>
  <c r="D138" i="41"/>
  <c r="D137" i="41"/>
  <c r="D136" i="41"/>
  <c r="D135" i="41"/>
  <c r="D134" i="41"/>
  <c r="D133" i="41"/>
  <c r="D132" i="41"/>
  <c r="D131" i="41"/>
  <c r="D130" i="41"/>
  <c r="D129" i="41"/>
  <c r="D128" i="41"/>
  <c r="D127" i="41"/>
  <c r="D126" i="41"/>
  <c r="D125" i="41"/>
  <c r="D124" i="41"/>
  <c r="D123" i="41"/>
  <c r="D122" i="41"/>
  <c r="D121" i="41"/>
  <c r="D120" i="41"/>
  <c r="D119" i="41"/>
  <c r="D118" i="41"/>
  <c r="D117" i="41"/>
  <c r="D116" i="41"/>
  <c r="D115" i="41"/>
  <c r="D114" i="41"/>
  <c r="D113" i="41"/>
  <c r="D112" i="41"/>
  <c r="D111" i="41"/>
  <c r="D110" i="41"/>
  <c r="D109" i="41"/>
  <c r="D108" i="41"/>
  <c r="D107" i="41"/>
  <c r="D106" i="41"/>
  <c r="D105" i="41"/>
  <c r="D104" i="41"/>
  <c r="D103" i="41"/>
  <c r="D102" i="41"/>
  <c r="D101" i="41"/>
  <c r="D100" i="41"/>
  <c r="D99" i="41"/>
  <c r="D97" i="41"/>
  <c r="D96" i="41"/>
  <c r="D95" i="41"/>
  <c r="D94" i="41"/>
  <c r="D93" i="41"/>
  <c r="D92" i="41"/>
  <c r="D91" i="41"/>
  <c r="D90" i="41"/>
  <c r="D89" i="41"/>
  <c r="D88" i="41"/>
  <c r="D87" i="41"/>
  <c r="D86" i="41"/>
  <c r="D85" i="41"/>
  <c r="D84" i="41"/>
  <c r="D83" i="41"/>
  <c r="D82" i="41"/>
  <c r="D81" i="41"/>
  <c r="D80" i="41"/>
  <c r="D79" i="41"/>
  <c r="D78" i="41"/>
  <c r="D77" i="41"/>
  <c r="D76" i="41"/>
  <c r="D75" i="41"/>
  <c r="D74" i="41"/>
  <c r="D73" i="41"/>
  <c r="D72" i="41"/>
  <c r="D71" i="41"/>
  <c r="D70" i="41"/>
  <c r="D69" i="41"/>
  <c r="D68" i="41"/>
  <c r="D67" i="41"/>
  <c r="D66" i="41"/>
  <c r="D65" i="41"/>
  <c r="D64" i="41"/>
  <c r="D63" i="41"/>
  <c r="D62" i="41"/>
  <c r="D61" i="41"/>
  <c r="D60" i="41"/>
  <c r="D59" i="41"/>
  <c r="D58" i="41"/>
  <c r="D57" i="41"/>
  <c r="D56" i="41"/>
  <c r="D55" i="41"/>
  <c r="D54" i="41"/>
  <c r="D53" i="41"/>
  <c r="D52" i="41"/>
  <c r="D51" i="41"/>
  <c r="D50" i="41"/>
  <c r="D49" i="41"/>
  <c r="D48" i="41"/>
  <c r="D47" i="41"/>
  <c r="D46" i="41"/>
  <c r="D45" i="41"/>
  <c r="D44" i="41"/>
  <c r="D43" i="41"/>
  <c r="D42" i="41"/>
  <c r="D41" i="41"/>
  <c r="D40" i="41"/>
  <c r="D39" i="41"/>
  <c r="D38" i="41"/>
  <c r="D36" i="41"/>
  <c r="D35" i="41"/>
  <c r="D34" i="41"/>
  <c r="D33" i="41"/>
  <c r="D32" i="41"/>
  <c r="D31" i="41"/>
  <c r="D30" i="41"/>
  <c r="D29" i="41"/>
  <c r="D28" i="41"/>
  <c r="D27" i="41"/>
  <c r="D26" i="41"/>
  <c r="D25" i="41"/>
  <c r="D24" i="41"/>
  <c r="D23" i="41"/>
  <c r="D22" i="41"/>
  <c r="D21" i="41"/>
  <c r="D20" i="41"/>
  <c r="D19" i="41"/>
  <c r="D18" i="41"/>
  <c r="D17" i="41"/>
  <c r="D16" i="41"/>
  <c r="D15" i="41"/>
  <c r="D14" i="41"/>
  <c r="Q13" i="41"/>
  <c r="O13" i="41"/>
  <c r="N13" i="41"/>
  <c r="D13" i="41"/>
  <c r="Q12" i="41"/>
  <c r="O12" i="41"/>
  <c r="N12" i="41"/>
  <c r="D12" i="41"/>
  <c r="Q11" i="41"/>
  <c r="O11" i="41"/>
  <c r="N11" i="41"/>
  <c r="D11" i="41"/>
  <c r="Q10" i="41"/>
  <c r="O10" i="41"/>
  <c r="N10" i="41"/>
  <c r="D10" i="41"/>
  <c r="Q9" i="41"/>
  <c r="O9" i="41"/>
  <c r="N9" i="41"/>
  <c r="D9" i="41"/>
  <c r="Q8" i="41"/>
  <c r="O8" i="41"/>
  <c r="N8" i="41"/>
  <c r="D8" i="41"/>
  <c r="Q7" i="41"/>
  <c r="O7" i="41"/>
  <c r="N7" i="41"/>
  <c r="D7" i="41"/>
  <c r="Q6" i="41"/>
  <c r="O6" i="41"/>
  <c r="N6" i="41"/>
  <c r="D6" i="41"/>
  <c r="Q5" i="41"/>
  <c r="O5" i="41"/>
  <c r="N5" i="41"/>
  <c r="D5" i="41"/>
  <c r="D369" i="39" l="1"/>
  <c r="D368" i="39"/>
  <c r="D367" i="39"/>
  <c r="D366" i="39"/>
  <c r="D365" i="39"/>
  <c r="D364" i="39"/>
  <c r="D363" i="39"/>
  <c r="D362" i="39"/>
  <c r="D361" i="39"/>
  <c r="D360" i="39"/>
  <c r="D359" i="39"/>
  <c r="D358" i="39"/>
  <c r="D357" i="39"/>
  <c r="D356" i="39"/>
  <c r="D355" i="39"/>
  <c r="D354" i="39"/>
  <c r="D353" i="39"/>
  <c r="D352" i="39"/>
  <c r="D351" i="39"/>
  <c r="D350" i="39"/>
  <c r="D349" i="39"/>
  <c r="D348" i="39"/>
  <c r="D347" i="39"/>
  <c r="D346" i="39"/>
  <c r="D345" i="39"/>
  <c r="D344" i="39"/>
  <c r="D343" i="39"/>
  <c r="D342" i="39"/>
  <c r="D341" i="39"/>
  <c r="D340" i="39"/>
  <c r="D339" i="39"/>
  <c r="D338" i="39"/>
  <c r="D337" i="39"/>
  <c r="D336" i="39"/>
  <c r="D335" i="39"/>
  <c r="D334" i="39"/>
  <c r="D333" i="39"/>
  <c r="D332" i="39"/>
  <c r="D331" i="39"/>
  <c r="D330" i="39"/>
  <c r="D329" i="39"/>
  <c r="D328" i="39"/>
  <c r="D327" i="39"/>
  <c r="D326" i="39"/>
  <c r="D325" i="39"/>
  <c r="D324" i="39"/>
  <c r="D323" i="39"/>
  <c r="D322" i="39"/>
  <c r="D321" i="39"/>
  <c r="D320" i="39"/>
  <c r="D319" i="39"/>
  <c r="D318" i="39"/>
  <c r="D317" i="39"/>
  <c r="D316" i="39"/>
  <c r="D315" i="39"/>
  <c r="D314" i="39"/>
  <c r="D313" i="39"/>
  <c r="D312" i="39"/>
  <c r="D311" i="39"/>
  <c r="D310" i="39"/>
  <c r="D309" i="39"/>
  <c r="D308" i="39"/>
  <c r="D307" i="39"/>
  <c r="D306" i="39"/>
  <c r="D305" i="39"/>
  <c r="D304" i="39"/>
  <c r="D303" i="39"/>
  <c r="D302" i="39"/>
  <c r="D301" i="39"/>
  <c r="D300" i="39"/>
  <c r="D299" i="39"/>
  <c r="D298" i="39"/>
  <c r="D297" i="39"/>
  <c r="D296" i="39"/>
  <c r="D295" i="39"/>
  <c r="D294" i="39"/>
  <c r="D293" i="39"/>
  <c r="D292" i="39"/>
  <c r="D291" i="39"/>
  <c r="D290" i="39"/>
  <c r="D289" i="39"/>
  <c r="D288" i="39"/>
  <c r="D287" i="39"/>
  <c r="D286" i="39"/>
  <c r="D285" i="39"/>
  <c r="D284" i="39"/>
  <c r="D283" i="39"/>
  <c r="D282" i="39"/>
  <c r="D281" i="39"/>
  <c r="D280" i="39"/>
  <c r="D279" i="39"/>
  <c r="D278" i="39"/>
  <c r="D277" i="39"/>
  <c r="D276" i="39"/>
  <c r="D275" i="39"/>
  <c r="D274" i="39"/>
  <c r="D273" i="39"/>
  <c r="D272" i="39"/>
  <c r="D271" i="39"/>
  <c r="D270" i="39"/>
  <c r="D269" i="39"/>
  <c r="D268" i="39"/>
  <c r="D267" i="39"/>
  <c r="D266" i="39"/>
  <c r="D265" i="39"/>
  <c r="D264" i="39"/>
  <c r="D263" i="39"/>
  <c r="D262" i="39"/>
  <c r="D261" i="39"/>
  <c r="D260" i="39"/>
  <c r="D259" i="39"/>
  <c r="D258" i="39"/>
  <c r="D257" i="39"/>
  <c r="D256" i="39"/>
  <c r="D255" i="39"/>
  <c r="D254" i="39"/>
  <c r="D253" i="39"/>
  <c r="D252" i="39"/>
  <c r="D251" i="39"/>
  <c r="D250" i="39"/>
  <c r="D249" i="39"/>
  <c r="D248" i="39"/>
  <c r="D247" i="39"/>
  <c r="D246" i="39"/>
  <c r="D245" i="39"/>
  <c r="D244" i="39"/>
  <c r="D243" i="39"/>
  <c r="D242" i="39"/>
  <c r="D241" i="39"/>
  <c r="D240" i="39"/>
  <c r="D239" i="39"/>
  <c r="D238" i="39"/>
  <c r="D237" i="39"/>
  <c r="D236" i="39"/>
  <c r="D235" i="39"/>
  <c r="D234" i="39"/>
  <c r="D233" i="39"/>
  <c r="D232" i="39"/>
  <c r="D231" i="39"/>
  <c r="D230" i="39"/>
  <c r="D229" i="39"/>
  <c r="D228" i="39"/>
  <c r="D227" i="39"/>
  <c r="D226" i="39"/>
  <c r="D225" i="39"/>
  <c r="D224" i="39"/>
  <c r="D223" i="39"/>
  <c r="D222" i="39"/>
  <c r="D221" i="39"/>
  <c r="D220" i="39"/>
  <c r="D219" i="39"/>
  <c r="D218" i="39"/>
  <c r="D217" i="39"/>
  <c r="D216" i="39"/>
  <c r="D215" i="39"/>
  <c r="D214" i="39"/>
  <c r="D213" i="39"/>
  <c r="D212" i="39"/>
  <c r="D211" i="39"/>
  <c r="D210" i="39"/>
  <c r="D209" i="39"/>
  <c r="D208" i="39"/>
  <c r="D207" i="39"/>
  <c r="D206" i="39"/>
  <c r="D205" i="39"/>
  <c r="D204" i="39"/>
  <c r="D203" i="39"/>
  <c r="D202" i="39"/>
  <c r="D201" i="39"/>
  <c r="D200" i="39"/>
  <c r="D199" i="39"/>
  <c r="D198" i="39"/>
  <c r="D197" i="39"/>
  <c r="D196" i="39"/>
  <c r="D195" i="39"/>
  <c r="D194" i="39"/>
  <c r="D193" i="39"/>
  <c r="D192" i="39"/>
  <c r="D191" i="39"/>
  <c r="D190" i="39"/>
  <c r="D189" i="39"/>
  <c r="D188" i="39"/>
  <c r="D187" i="39"/>
  <c r="D186" i="39"/>
  <c r="D185" i="39"/>
  <c r="D184" i="39"/>
  <c r="D183" i="39"/>
  <c r="D182" i="39"/>
  <c r="D181" i="39"/>
  <c r="D180" i="39"/>
  <c r="D179" i="39"/>
  <c r="D178" i="39"/>
  <c r="D177" i="39"/>
  <c r="D176" i="39"/>
  <c r="D175" i="39"/>
  <c r="D174" i="39"/>
  <c r="D173" i="39"/>
  <c r="D172" i="39"/>
  <c r="D171" i="39"/>
  <c r="D170" i="39"/>
  <c r="D169" i="39"/>
  <c r="D168" i="39"/>
  <c r="D167" i="39"/>
  <c r="D166" i="39"/>
  <c r="D165" i="39"/>
  <c r="D164" i="39"/>
  <c r="D163" i="39"/>
  <c r="D162" i="39"/>
  <c r="D161" i="39"/>
  <c r="D160" i="39"/>
  <c r="D159" i="39"/>
  <c r="D158" i="39"/>
  <c r="D157" i="39"/>
  <c r="D156" i="39"/>
  <c r="D155" i="39"/>
  <c r="D154" i="39"/>
  <c r="D153" i="39"/>
  <c r="D152" i="39"/>
  <c r="D151" i="39"/>
  <c r="D150" i="39"/>
  <c r="D149" i="39"/>
  <c r="D148" i="39"/>
  <c r="D147" i="39"/>
  <c r="D146" i="39"/>
  <c r="D145" i="39"/>
  <c r="D144" i="39"/>
  <c r="D143" i="39"/>
  <c r="D142" i="39"/>
  <c r="D141" i="39"/>
  <c r="D140" i="39"/>
  <c r="D139" i="39"/>
  <c r="D138" i="39"/>
  <c r="D137" i="39"/>
  <c r="D136" i="39"/>
  <c r="D135" i="39"/>
  <c r="D134" i="39"/>
  <c r="D133" i="39"/>
  <c r="D132" i="39"/>
  <c r="D131"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2" i="39"/>
  <c r="D91" i="39"/>
  <c r="D90" i="39"/>
  <c r="D89" i="39"/>
  <c r="D88" i="39"/>
  <c r="D87" i="39"/>
  <c r="D86" i="39"/>
  <c r="D85" i="39"/>
  <c r="D84" i="39"/>
  <c r="D83" i="39"/>
  <c r="D82" i="39"/>
  <c r="D81" i="39"/>
  <c r="D80" i="39"/>
  <c r="D79" i="39"/>
  <c r="D78" i="39"/>
  <c r="D77" i="39"/>
  <c r="D76" i="39"/>
  <c r="D75" i="39"/>
  <c r="D74" i="39"/>
  <c r="D73" i="39"/>
  <c r="D72" i="39"/>
  <c r="D71" i="39"/>
  <c r="D70" i="39"/>
  <c r="D69" i="39"/>
  <c r="D68" i="39"/>
  <c r="D67" i="39"/>
  <c r="D66" i="39"/>
  <c r="D65" i="39"/>
  <c r="D64" i="39"/>
  <c r="D63" i="39"/>
  <c r="D62" i="39"/>
  <c r="D61" i="39"/>
  <c r="D60" i="39"/>
  <c r="D59" i="39"/>
  <c r="D58" i="39"/>
  <c r="D57" i="39"/>
  <c r="D56" i="39"/>
  <c r="D55" i="39"/>
  <c r="D54" i="39"/>
  <c r="D53" i="39"/>
  <c r="D52" i="39"/>
  <c r="D51" i="39"/>
  <c r="D50" i="39"/>
  <c r="D49" i="39"/>
  <c r="D48" i="39"/>
  <c r="D47" i="39"/>
  <c r="D46" i="39"/>
  <c r="D45" i="39"/>
  <c r="D44" i="39"/>
  <c r="D43" i="39"/>
  <c r="D42" i="39"/>
  <c r="D41" i="39"/>
  <c r="D40" i="39"/>
  <c r="D39" i="39"/>
  <c r="D38" i="39"/>
  <c r="D37" i="39"/>
  <c r="D36" i="39"/>
  <c r="D35" i="39"/>
  <c r="D34" i="39"/>
  <c r="D33" i="39"/>
  <c r="D32" i="39"/>
  <c r="D31" i="39"/>
  <c r="D30" i="39"/>
  <c r="D29" i="39"/>
  <c r="D28" i="39"/>
  <c r="D27" i="39"/>
  <c r="D26" i="39"/>
  <c r="D25" i="39"/>
  <c r="D24" i="39"/>
  <c r="D23" i="39"/>
  <c r="D22" i="39"/>
  <c r="D21" i="39"/>
  <c r="D20" i="39"/>
  <c r="D19" i="39"/>
  <c r="D18" i="39"/>
  <c r="D17" i="39"/>
  <c r="D16" i="39"/>
  <c r="D15" i="39"/>
  <c r="D14" i="39"/>
  <c r="D13" i="39"/>
  <c r="D12" i="39"/>
  <c r="D11" i="39"/>
  <c r="D10" i="39"/>
  <c r="D9" i="39"/>
  <c r="D8" i="39"/>
  <c r="D7" i="39"/>
  <c r="D6" i="39"/>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89" i="2"/>
  <c r="W3190" i="2"/>
  <c r="W3191" i="2"/>
  <c r="W3192" i="2"/>
  <c r="W3193" i="2"/>
  <c r="W3194" i="2"/>
  <c r="W3195" i="2"/>
  <c r="W3196" i="2"/>
  <c r="W3197" i="2"/>
  <c r="W3198" i="2"/>
  <c r="W3199" i="2"/>
  <c r="W3200" i="2"/>
  <c r="W3201" i="2"/>
  <c r="W3202" i="2"/>
  <c r="W3203" i="2"/>
  <c r="W3204" i="2"/>
  <c r="W3205" i="2"/>
  <c r="W3206" i="2"/>
  <c r="W3207" i="2"/>
  <c r="W3208" i="2"/>
  <c r="W3209" i="2"/>
  <c r="W3210" i="2"/>
  <c r="W3211" i="2"/>
  <c r="W3212" i="2"/>
  <c r="W3213" i="2"/>
  <c r="W3214" i="2"/>
  <c r="W3215" i="2"/>
  <c r="W3216" i="2"/>
  <c r="W3217" i="2"/>
  <c r="W3218" i="2"/>
  <c r="W3219" i="2"/>
  <c r="W3220" i="2"/>
  <c r="W3221" i="2"/>
  <c r="W3222" i="2"/>
  <c r="W3223" i="2"/>
  <c r="W3224" i="2"/>
  <c r="W3225" i="2"/>
  <c r="W3226" i="2"/>
  <c r="W3227" i="2"/>
  <c r="W3228" i="2"/>
  <c r="W3229" i="2"/>
  <c r="W3230" i="2"/>
  <c r="W3231" i="2"/>
  <c r="W3232" i="2"/>
  <c r="W3233" i="2"/>
  <c r="W3234" i="2"/>
  <c r="W3235" i="2"/>
  <c r="W3236" i="2"/>
  <c r="W3237" i="2"/>
  <c r="W3238" i="2"/>
  <c r="W3239" i="2"/>
  <c r="W3240" i="2"/>
  <c r="W3241" i="2"/>
  <c r="W3242" i="2"/>
  <c r="W3243" i="2"/>
  <c r="W3244" i="2"/>
  <c r="W3245" i="2"/>
  <c r="W3246" i="2"/>
  <c r="W3247" i="2"/>
  <c r="W3248" i="2"/>
  <c r="W3249" i="2"/>
  <c r="W3250" i="2"/>
  <c r="W3251" i="2"/>
  <c r="W3252" i="2"/>
  <c r="W3253" i="2"/>
  <c r="W3254" i="2"/>
  <c r="W3255" i="2"/>
  <c r="W3256" i="2"/>
  <c r="W3257" i="2"/>
  <c r="W3258" i="2"/>
  <c r="W3259" i="2"/>
  <c r="W3260" i="2"/>
  <c r="W3261" i="2"/>
  <c r="W3262" i="2"/>
  <c r="W3263" i="2"/>
  <c r="W3264" i="2"/>
  <c r="W3265" i="2"/>
  <c r="W3266" i="2"/>
  <c r="W3267" i="2"/>
  <c r="W3268" i="2"/>
  <c r="W3269" i="2"/>
  <c r="W3270" i="2"/>
  <c r="W3271" i="2"/>
  <c r="W3272" i="2"/>
  <c r="W3273" i="2"/>
  <c r="W3274" i="2"/>
  <c r="W3275" i="2"/>
  <c r="W3276" i="2"/>
  <c r="W3277" i="2"/>
  <c r="W3278" i="2"/>
  <c r="W3279" i="2"/>
  <c r="W3280" i="2"/>
  <c r="W3281" i="2"/>
  <c r="W3282" i="2"/>
  <c r="W3283" i="2"/>
  <c r="W3284" i="2"/>
  <c r="W3285" i="2"/>
  <c r="W3286" i="2"/>
  <c r="W3287" i="2"/>
  <c r="W3288" i="2"/>
  <c r="W3289" i="2"/>
  <c r="W3290" i="2"/>
  <c r="W3291" i="2"/>
  <c r="W3292" i="2"/>
  <c r="W3293" i="2"/>
  <c r="W3294" i="2"/>
  <c r="W3295" i="2"/>
  <c r="W3296" i="2"/>
  <c r="W3297" i="2"/>
  <c r="W3298" i="2"/>
  <c r="W3299" i="2"/>
  <c r="W3300" i="2"/>
  <c r="W3301" i="2"/>
  <c r="W3302" i="2"/>
  <c r="W3303" i="2"/>
  <c r="W3304" i="2"/>
  <c r="W3305" i="2"/>
  <c r="W3306" i="2"/>
  <c r="W3307" i="2"/>
  <c r="W3308" i="2"/>
  <c r="W3309" i="2"/>
  <c r="W3310" i="2"/>
  <c r="W3311" i="2"/>
  <c r="W3312" i="2"/>
  <c r="W3313" i="2"/>
  <c r="W3314" i="2"/>
  <c r="W3315" i="2"/>
  <c r="W3316" i="2"/>
  <c r="W3317" i="2"/>
  <c r="W3318" i="2"/>
  <c r="W3319" i="2"/>
  <c r="W3320" i="2"/>
  <c r="W3321" i="2"/>
  <c r="W3322" i="2"/>
  <c r="W3323" i="2"/>
  <c r="W3324" i="2"/>
  <c r="W3325" i="2"/>
  <c r="W3326" i="2"/>
  <c r="W3327" i="2"/>
  <c r="W3328" i="2"/>
  <c r="W3329" i="2"/>
  <c r="W3330" i="2"/>
  <c r="W3331" i="2"/>
  <c r="W3332" i="2"/>
  <c r="W3333" i="2"/>
  <c r="W3334" i="2"/>
  <c r="W3335" i="2"/>
  <c r="W3336" i="2"/>
  <c r="W3337" i="2"/>
  <c r="W3338" i="2"/>
  <c r="W3339" i="2"/>
  <c r="W3340" i="2"/>
  <c r="W3341" i="2"/>
  <c r="W3342" i="2"/>
  <c r="W3343" i="2"/>
  <c r="W3344" i="2"/>
  <c r="W3345" i="2"/>
  <c r="W3346" i="2"/>
  <c r="W3347" i="2"/>
  <c r="W3348" i="2"/>
  <c r="W3349" i="2"/>
  <c r="W3350" i="2"/>
  <c r="W3351" i="2"/>
  <c r="W3352" i="2"/>
  <c r="W3353" i="2"/>
  <c r="W3354" i="2"/>
  <c r="W3355" i="2"/>
  <c r="W3356" i="2"/>
  <c r="W3357" i="2"/>
  <c r="W3358" i="2"/>
  <c r="W3359" i="2"/>
  <c r="W3360" i="2"/>
  <c r="W3361" i="2"/>
  <c r="W3362" i="2"/>
  <c r="W3363" i="2"/>
  <c r="W3364" i="2"/>
  <c r="W3365" i="2"/>
  <c r="W3366" i="2"/>
  <c r="W3367" i="2"/>
  <c r="W3368" i="2"/>
  <c r="W3369" i="2"/>
  <c r="W3370" i="2"/>
  <c r="W3371" i="2"/>
  <c r="W3372" i="2"/>
  <c r="W3373" i="2"/>
  <c r="W3374" i="2"/>
  <c r="W3375" i="2"/>
  <c r="W3376" i="2"/>
  <c r="W3377" i="2"/>
  <c r="W3378" i="2"/>
  <c r="W3379" i="2"/>
  <c r="W3380" i="2"/>
  <c r="W3381" i="2"/>
  <c r="W3382" i="2"/>
  <c r="W3383" i="2"/>
  <c r="W3384" i="2"/>
  <c r="W3385" i="2"/>
  <c r="W3386" i="2"/>
  <c r="W3387" i="2"/>
  <c r="W3388" i="2"/>
  <c r="W3389" i="2"/>
  <c r="W3390" i="2"/>
  <c r="W3391" i="2"/>
  <c r="W3392" i="2"/>
  <c r="W3393" i="2"/>
  <c r="W3394" i="2"/>
  <c r="W3395" i="2"/>
  <c r="W3396" i="2"/>
  <c r="W3397" i="2"/>
  <c r="W3398" i="2"/>
  <c r="W3399" i="2"/>
  <c r="W3400" i="2"/>
  <c r="W3401" i="2"/>
  <c r="W3402" i="2"/>
  <c r="W3403" i="2"/>
  <c r="W3404" i="2"/>
  <c r="W3405" i="2"/>
  <c r="W3406" i="2"/>
  <c r="W3407" i="2"/>
  <c r="W3408" i="2"/>
  <c r="W3409" i="2"/>
  <c r="W3410" i="2"/>
  <c r="W3411" i="2"/>
  <c r="W3412" i="2"/>
  <c r="W3413" i="2"/>
  <c r="W3414" i="2"/>
  <c r="W3415" i="2"/>
  <c r="W3416" i="2"/>
  <c r="W3417" i="2"/>
  <c r="W3418" i="2"/>
  <c r="W3419" i="2"/>
  <c r="W3420" i="2"/>
  <c r="W3421" i="2"/>
  <c r="W3422" i="2"/>
  <c r="W3423" i="2"/>
  <c r="W3424" i="2"/>
  <c r="W3425" i="2"/>
  <c r="W3426" i="2"/>
  <c r="W3427" i="2"/>
  <c r="W3428" i="2"/>
  <c r="W3429" i="2"/>
  <c r="W3430" i="2"/>
  <c r="W3431" i="2"/>
  <c r="W3432" i="2"/>
  <c r="W3433" i="2"/>
  <c r="W3434" i="2"/>
  <c r="W3435" i="2"/>
  <c r="W3436" i="2"/>
  <c r="W3437" i="2"/>
  <c r="W3438" i="2"/>
  <c r="W3439" i="2"/>
  <c r="W3440" i="2"/>
  <c r="W3441" i="2"/>
  <c r="W3442" i="2"/>
  <c r="W3443" i="2"/>
  <c r="W3444" i="2"/>
  <c r="W3445" i="2"/>
  <c r="W3446" i="2"/>
  <c r="W3447" i="2"/>
  <c r="W3448" i="2"/>
  <c r="W3449" i="2"/>
  <c r="W3450" i="2"/>
  <c r="W3451" i="2"/>
  <c r="W3452" i="2"/>
  <c r="W3453" i="2"/>
  <c r="W3454" i="2"/>
  <c r="W3455" i="2"/>
  <c r="W3456" i="2"/>
  <c r="W3457" i="2"/>
  <c r="W3458" i="2"/>
  <c r="W3459" i="2"/>
  <c r="W3460" i="2"/>
  <c r="W3461" i="2"/>
  <c r="W3462" i="2"/>
  <c r="W3463" i="2"/>
  <c r="W3464" i="2"/>
  <c r="W3465" i="2"/>
  <c r="W3466" i="2"/>
  <c r="W3467" i="2"/>
  <c r="W3468" i="2"/>
  <c r="W3469" i="2"/>
  <c r="W3470" i="2"/>
  <c r="W3471" i="2"/>
  <c r="W3472" i="2"/>
  <c r="W3473" i="2"/>
  <c r="W3474" i="2"/>
  <c r="W3475" i="2"/>
  <c r="W3476" i="2"/>
  <c r="W3477" i="2"/>
  <c r="W3478" i="2"/>
  <c r="W3479" i="2"/>
  <c r="W3480" i="2"/>
  <c r="W3481" i="2"/>
  <c r="W3482" i="2"/>
  <c r="W3483" i="2"/>
  <c r="W3484" i="2"/>
  <c r="W3485" i="2"/>
  <c r="W3486" i="2"/>
  <c r="W3487" i="2"/>
  <c r="W3488" i="2"/>
  <c r="W3489" i="2"/>
  <c r="W3490" i="2"/>
  <c r="W3491" i="2"/>
  <c r="W3492" i="2"/>
  <c r="W3493" i="2"/>
  <c r="W3494" i="2"/>
  <c r="W3495" i="2"/>
  <c r="W3496" i="2"/>
  <c r="W3497" i="2"/>
  <c r="W3498" i="2"/>
  <c r="W3499" i="2"/>
  <c r="W3500" i="2"/>
  <c r="W3501" i="2"/>
  <c r="W3502" i="2"/>
  <c r="W3503" i="2"/>
  <c r="W3504" i="2"/>
  <c r="W3505" i="2"/>
  <c r="W3506" i="2"/>
  <c r="W3507" i="2"/>
  <c r="W3508" i="2"/>
  <c r="W3509" i="2"/>
  <c r="W3510" i="2"/>
  <c r="W3511" i="2"/>
  <c r="W3512" i="2"/>
  <c r="W3513" i="2"/>
  <c r="W3514" i="2"/>
  <c r="W3515" i="2"/>
  <c r="W3516" i="2"/>
  <c r="W3517" i="2"/>
  <c r="W3518" i="2"/>
  <c r="W3519" i="2"/>
  <c r="W3520" i="2"/>
  <c r="W3521" i="2"/>
  <c r="W3522" i="2"/>
  <c r="W3523" i="2"/>
  <c r="W3524" i="2"/>
  <c r="W3525" i="2"/>
  <c r="W3526" i="2"/>
  <c r="W3527" i="2"/>
  <c r="W3528" i="2"/>
  <c r="W3529" i="2"/>
  <c r="W3530" i="2"/>
  <c r="W3531" i="2"/>
  <c r="W3532" i="2"/>
  <c r="W3533" i="2"/>
  <c r="W3534" i="2"/>
  <c r="W3535" i="2"/>
  <c r="W3536" i="2"/>
  <c r="W3537" i="2"/>
  <c r="W3538" i="2"/>
  <c r="W3539" i="2"/>
  <c r="W3540" i="2"/>
  <c r="W3541" i="2"/>
  <c r="W3542" i="2"/>
  <c r="W3543" i="2"/>
  <c r="W3544" i="2"/>
  <c r="W3545" i="2"/>
  <c r="W3546" i="2"/>
  <c r="W3547" i="2"/>
  <c r="W3548" i="2"/>
  <c r="W3549" i="2"/>
  <c r="W3550" i="2"/>
  <c r="W3551" i="2"/>
  <c r="W3552" i="2"/>
  <c r="W3553" i="2"/>
  <c r="W3554" i="2"/>
  <c r="W3555" i="2"/>
  <c r="W3556" i="2"/>
  <c r="W3557" i="2"/>
  <c r="W3558" i="2"/>
  <c r="W3559" i="2"/>
  <c r="W3560" i="2"/>
  <c r="W3561" i="2"/>
  <c r="W3562" i="2"/>
  <c r="W3563" i="2"/>
  <c r="W3564" i="2"/>
  <c r="W3565" i="2"/>
  <c r="W3566" i="2"/>
  <c r="W3567" i="2"/>
  <c r="W3568" i="2"/>
  <c r="W3569" i="2"/>
  <c r="W3570" i="2"/>
  <c r="W3571" i="2"/>
  <c r="W3572" i="2"/>
  <c r="W3573" i="2"/>
  <c r="W3574" i="2"/>
  <c r="W3575" i="2"/>
  <c r="W3576" i="2"/>
  <c r="W3577" i="2"/>
  <c r="W3578" i="2"/>
  <c r="W3579" i="2"/>
  <c r="W3580" i="2"/>
  <c r="W3581" i="2"/>
  <c r="W3582" i="2"/>
  <c r="W3583" i="2"/>
  <c r="W3584" i="2"/>
  <c r="W3585" i="2"/>
  <c r="W3586" i="2"/>
  <c r="W3587" i="2"/>
  <c r="W3588" i="2"/>
  <c r="W3589" i="2"/>
  <c r="W3590" i="2"/>
  <c r="W3591" i="2"/>
  <c r="W3592" i="2"/>
  <c r="W3593" i="2"/>
  <c r="W3594" i="2"/>
  <c r="W3595" i="2"/>
  <c r="W3596" i="2"/>
  <c r="W3597" i="2"/>
  <c r="W3598" i="2"/>
  <c r="W3599" i="2"/>
  <c r="W3600" i="2"/>
  <c r="W3601" i="2"/>
  <c r="W3602" i="2"/>
  <c r="W3603" i="2"/>
  <c r="W3604" i="2"/>
  <c r="W3605" i="2"/>
  <c r="W3606" i="2"/>
  <c r="W3607" i="2"/>
  <c r="W3608" i="2"/>
  <c r="W3609" i="2"/>
  <c r="W3610" i="2"/>
  <c r="W3611" i="2"/>
  <c r="W3612" i="2"/>
  <c r="W3613" i="2"/>
  <c r="W3614" i="2"/>
  <c r="W3615" i="2"/>
  <c r="W3616" i="2"/>
  <c r="W3617" i="2"/>
  <c r="W3618" i="2"/>
  <c r="W3619" i="2"/>
  <c r="W3620" i="2"/>
  <c r="W3621" i="2"/>
  <c r="W3622" i="2"/>
  <c r="W3623" i="2"/>
  <c r="W3624" i="2"/>
  <c r="W3625" i="2"/>
  <c r="W3626" i="2"/>
  <c r="W3627" i="2"/>
  <c r="W3628" i="2"/>
  <c r="W3629" i="2"/>
  <c r="W3630" i="2"/>
  <c r="W3631" i="2"/>
  <c r="W3632" i="2"/>
  <c r="W3633" i="2"/>
  <c r="W3634" i="2"/>
  <c r="W3635" i="2"/>
  <c r="W3636" i="2"/>
  <c r="W3637" i="2"/>
  <c r="W3638" i="2"/>
  <c r="W3639" i="2"/>
  <c r="W3640" i="2"/>
  <c r="W3641" i="2"/>
  <c r="W3642" i="2"/>
  <c r="W3643" i="2"/>
  <c r="W3644" i="2"/>
  <c r="W3645" i="2"/>
  <c r="W3646" i="2"/>
  <c r="W3647" i="2"/>
  <c r="W3648" i="2"/>
  <c r="W3649" i="2"/>
  <c r="W3650" i="2"/>
  <c r="W3651" i="2"/>
  <c r="W3652" i="2"/>
  <c r="W3653" i="2"/>
  <c r="W3654" i="2"/>
  <c r="W3655" i="2"/>
  <c r="W3656" i="2"/>
  <c r="W3657" i="2"/>
  <c r="W3658" i="2"/>
  <c r="W3659" i="2"/>
  <c r="W3660" i="2"/>
  <c r="W3661" i="2"/>
  <c r="W3662" i="2"/>
  <c r="W3663" i="2"/>
  <c r="W3664" i="2"/>
  <c r="W3665" i="2"/>
  <c r="W3666" i="2"/>
  <c r="W3667" i="2"/>
  <c r="W3668" i="2"/>
  <c r="W3669" i="2"/>
  <c r="W3670" i="2"/>
  <c r="W3671" i="2"/>
  <c r="W3672" i="2"/>
  <c r="W3673" i="2"/>
  <c r="W3674" i="2"/>
  <c r="W3675" i="2"/>
  <c r="W3676" i="2"/>
  <c r="W3677" i="2"/>
  <c r="W3678" i="2"/>
  <c r="W3679" i="2"/>
  <c r="W3680" i="2"/>
  <c r="W3681" i="2"/>
  <c r="W3682" i="2"/>
  <c r="W3683" i="2"/>
  <c r="W3684" i="2"/>
  <c r="W3685" i="2"/>
  <c r="W3686" i="2"/>
  <c r="W3687" i="2"/>
  <c r="W3688" i="2"/>
  <c r="W3689" i="2"/>
  <c r="W3690" i="2"/>
  <c r="W3691" i="2"/>
  <c r="W3692" i="2"/>
  <c r="W3693" i="2"/>
  <c r="W3694" i="2"/>
  <c r="W3695" i="2"/>
  <c r="W3696" i="2"/>
  <c r="W3697" i="2"/>
  <c r="W3698" i="2"/>
  <c r="W3699" i="2"/>
  <c r="W3700" i="2"/>
  <c r="W3701" i="2"/>
  <c r="W3702" i="2"/>
  <c r="W3703" i="2"/>
  <c r="W3704" i="2"/>
  <c r="W3705" i="2"/>
  <c r="W3706" i="2"/>
  <c r="W3707" i="2"/>
  <c r="W3708" i="2"/>
  <c r="W3709" i="2"/>
  <c r="W3710" i="2"/>
  <c r="W3711" i="2"/>
  <c r="W3712" i="2"/>
  <c r="W3713" i="2"/>
  <c r="W3714" i="2"/>
  <c r="W3715" i="2"/>
  <c r="W3716" i="2"/>
  <c r="W3717" i="2"/>
  <c r="W3718" i="2"/>
  <c r="W3719" i="2"/>
  <c r="W3720" i="2"/>
  <c r="W3721" i="2"/>
  <c r="W3722" i="2"/>
  <c r="W3723" i="2"/>
  <c r="W3724" i="2"/>
  <c r="W3725" i="2"/>
  <c r="W3726" i="2"/>
  <c r="W3727" i="2"/>
  <c r="W3728" i="2"/>
  <c r="W3729" i="2"/>
  <c r="W3730" i="2"/>
  <c r="W3731" i="2"/>
  <c r="W3732" i="2"/>
  <c r="W3733" i="2"/>
  <c r="W3734" i="2"/>
  <c r="W3735" i="2"/>
  <c r="W3736" i="2"/>
  <c r="W3737" i="2"/>
  <c r="W3738" i="2"/>
  <c r="W3739" i="2"/>
  <c r="W3740" i="2"/>
  <c r="W3741" i="2"/>
  <c r="W3742" i="2"/>
  <c r="W3743" i="2"/>
  <c r="W3744" i="2"/>
  <c r="W3745" i="2"/>
  <c r="W3746" i="2"/>
  <c r="W3747" i="2"/>
  <c r="W3748" i="2"/>
  <c r="W3749" i="2"/>
  <c r="W3750" i="2"/>
  <c r="W3751" i="2"/>
  <c r="W3752" i="2"/>
  <c r="W3753" i="2"/>
  <c r="W3754" i="2"/>
  <c r="W3755" i="2"/>
  <c r="W3756" i="2"/>
  <c r="W3757" i="2"/>
  <c r="W3758" i="2"/>
  <c r="W3759" i="2"/>
  <c r="W3760" i="2"/>
  <c r="W3761" i="2"/>
  <c r="W3762" i="2"/>
  <c r="W3763" i="2"/>
  <c r="W3764" i="2"/>
  <c r="W3765" i="2"/>
  <c r="W3766" i="2"/>
  <c r="W3767" i="2"/>
  <c r="W3768" i="2"/>
  <c r="W3769" i="2"/>
  <c r="W3770" i="2"/>
  <c r="W3771" i="2"/>
  <c r="W3772" i="2"/>
  <c r="W3773" i="2"/>
  <c r="W3774" i="2"/>
  <c r="W3775" i="2"/>
  <c r="W3776" i="2"/>
  <c r="W3777" i="2"/>
  <c r="W3778" i="2"/>
  <c r="W3779" i="2"/>
  <c r="W3780" i="2"/>
  <c r="W3781" i="2"/>
  <c r="W3782" i="2"/>
  <c r="W3783" i="2"/>
  <c r="W3784" i="2"/>
  <c r="W3785" i="2"/>
  <c r="W3786" i="2"/>
  <c r="W3787" i="2"/>
  <c r="W3788" i="2"/>
  <c r="W3789" i="2"/>
  <c r="W3790" i="2"/>
  <c r="W3791" i="2"/>
  <c r="W3792" i="2"/>
  <c r="W3793" i="2"/>
  <c r="W3794" i="2"/>
  <c r="W3795" i="2"/>
  <c r="W3796" i="2"/>
  <c r="W3797" i="2"/>
  <c r="W3798" i="2"/>
  <c r="W3799" i="2"/>
  <c r="W3800" i="2"/>
  <c r="W3801" i="2"/>
  <c r="W3802" i="2"/>
  <c r="W3803" i="2"/>
  <c r="W3804" i="2"/>
  <c r="W3805" i="2"/>
  <c r="W3806" i="2"/>
  <c r="W3807" i="2"/>
  <c r="W3808" i="2"/>
  <c r="W3809" i="2"/>
  <c r="W3810" i="2"/>
  <c r="W3811" i="2"/>
  <c r="W3812" i="2"/>
  <c r="W3813" i="2"/>
  <c r="W3814" i="2"/>
  <c r="W3815" i="2"/>
  <c r="W3816" i="2"/>
  <c r="W3817" i="2"/>
  <c r="W3818" i="2"/>
  <c r="W3819" i="2"/>
  <c r="W3820" i="2"/>
  <c r="W3821" i="2"/>
  <c r="W3822" i="2"/>
  <c r="W3823" i="2"/>
  <c r="W3824" i="2"/>
  <c r="W3825" i="2"/>
  <c r="W3826" i="2"/>
  <c r="W3827" i="2"/>
  <c r="W3828" i="2"/>
  <c r="W3829" i="2"/>
  <c r="W3830" i="2"/>
  <c r="W3831" i="2"/>
  <c r="W3832" i="2"/>
  <c r="W3833" i="2"/>
  <c r="W3834" i="2"/>
  <c r="W3835" i="2"/>
  <c r="W3836" i="2"/>
  <c r="W3837" i="2"/>
  <c r="W3838" i="2"/>
  <c r="W3839" i="2"/>
  <c r="W3840" i="2"/>
  <c r="W3841" i="2"/>
  <c r="W3842" i="2"/>
  <c r="W3843" i="2"/>
  <c r="W3844" i="2"/>
  <c r="W3845" i="2"/>
  <c r="W3846" i="2"/>
  <c r="W3847" i="2"/>
  <c r="W3848" i="2"/>
  <c r="W3849" i="2"/>
  <c r="W3850" i="2"/>
  <c r="W3851" i="2"/>
  <c r="W3852" i="2"/>
  <c r="W3853" i="2"/>
  <c r="W3854" i="2"/>
  <c r="W3855" i="2"/>
  <c r="W3856" i="2"/>
  <c r="W3857" i="2"/>
  <c r="W3858" i="2"/>
  <c r="W3859" i="2"/>
  <c r="W3860" i="2"/>
  <c r="W3861" i="2"/>
  <c r="W3862" i="2"/>
  <c r="W3863" i="2"/>
  <c r="W3864" i="2"/>
  <c r="W3865" i="2"/>
  <c r="W3866" i="2"/>
  <c r="W3867" i="2"/>
  <c r="W3868" i="2"/>
  <c r="W3869" i="2"/>
  <c r="W3870" i="2"/>
  <c r="W3871" i="2"/>
  <c r="W3872" i="2"/>
  <c r="W3873" i="2"/>
  <c r="W3874" i="2"/>
  <c r="W3875" i="2"/>
  <c r="W3876" i="2"/>
  <c r="W3877" i="2"/>
  <c r="W3878" i="2"/>
  <c r="W3879" i="2"/>
  <c r="W3880" i="2"/>
  <c r="W3881" i="2"/>
  <c r="W3882" i="2"/>
  <c r="W3883" i="2"/>
  <c r="W3884" i="2"/>
  <c r="W3885" i="2"/>
  <c r="W3886" i="2"/>
  <c r="W3887" i="2"/>
  <c r="W3888" i="2"/>
  <c r="W3889" i="2"/>
  <c r="W3890" i="2"/>
  <c r="W3891" i="2"/>
  <c r="W3892" i="2"/>
  <c r="W3893" i="2"/>
  <c r="W3894" i="2"/>
  <c r="W3895" i="2"/>
  <c r="W3896" i="2"/>
  <c r="W3897" i="2"/>
  <c r="W3898" i="2"/>
  <c r="W3899" i="2"/>
  <c r="W3900" i="2"/>
  <c r="W3901" i="2"/>
  <c r="W3902" i="2"/>
  <c r="W3903" i="2"/>
  <c r="W3904" i="2"/>
  <c r="W3905" i="2"/>
  <c r="W3906" i="2"/>
  <c r="W3907" i="2"/>
  <c r="W3908" i="2"/>
  <c r="W3909" i="2"/>
  <c r="W3910" i="2"/>
  <c r="W3911" i="2"/>
  <c r="W3912" i="2"/>
  <c r="W3913" i="2"/>
  <c r="W3914" i="2"/>
  <c r="W3915" i="2"/>
  <c r="W3916" i="2"/>
  <c r="W3917" i="2"/>
  <c r="W3918" i="2"/>
  <c r="W3919" i="2"/>
  <c r="W3920" i="2"/>
  <c r="W3921" i="2"/>
  <c r="W3922" i="2"/>
  <c r="W3923" i="2"/>
  <c r="W3924" i="2"/>
  <c r="W3925" i="2"/>
  <c r="W3926" i="2"/>
  <c r="W3927" i="2"/>
  <c r="W3928" i="2"/>
  <c r="W3929" i="2"/>
  <c r="W3930" i="2"/>
  <c r="W3931" i="2"/>
  <c r="W3932" i="2"/>
  <c r="W3933" i="2"/>
  <c r="W3934" i="2"/>
  <c r="W3935" i="2"/>
  <c r="W3936" i="2"/>
  <c r="W3937" i="2"/>
  <c r="W3938" i="2"/>
  <c r="W3939" i="2"/>
  <c r="W3940" i="2"/>
  <c r="W3941" i="2"/>
  <c r="W3942" i="2"/>
  <c r="W3943" i="2"/>
  <c r="W3944" i="2"/>
  <c r="W3945" i="2"/>
  <c r="W3946" i="2"/>
  <c r="W3947" i="2"/>
  <c r="W3948" i="2"/>
  <c r="W3949" i="2"/>
  <c r="W3950" i="2"/>
  <c r="W3951" i="2"/>
  <c r="W3952" i="2"/>
  <c r="W3953" i="2"/>
  <c r="W3954" i="2"/>
  <c r="W3955" i="2"/>
  <c r="W3956" i="2"/>
  <c r="W3957" i="2"/>
  <c r="W3958" i="2"/>
  <c r="W3959" i="2"/>
  <c r="W3960" i="2"/>
  <c r="W3961" i="2"/>
  <c r="W3962" i="2"/>
  <c r="W3963" i="2"/>
  <c r="W3964" i="2"/>
  <c r="W3965" i="2"/>
  <c r="W3966" i="2"/>
  <c r="W3967" i="2"/>
  <c r="W3968" i="2"/>
  <c r="W3969" i="2"/>
  <c r="W3970" i="2"/>
  <c r="W3971" i="2"/>
  <c r="W3972" i="2"/>
  <c r="W3973" i="2"/>
  <c r="W3974" i="2"/>
  <c r="W3975" i="2"/>
  <c r="W3976" i="2"/>
  <c r="W3977" i="2"/>
  <c r="W3978" i="2"/>
  <c r="W3979" i="2"/>
  <c r="W3980" i="2"/>
  <c r="W3981" i="2"/>
  <c r="W3982" i="2"/>
  <c r="W3983" i="2"/>
  <c r="W3984" i="2"/>
  <c r="W3985" i="2"/>
  <c r="W3986" i="2"/>
  <c r="W3987" i="2"/>
  <c r="W3988" i="2"/>
  <c r="W3989" i="2"/>
  <c r="W3990" i="2"/>
  <c r="W3991" i="2"/>
  <c r="W3992" i="2"/>
  <c r="W3993" i="2"/>
  <c r="W3994" i="2"/>
  <c r="W3995" i="2"/>
  <c r="W3996" i="2"/>
  <c r="W3997" i="2"/>
  <c r="W3998" i="2"/>
  <c r="W3999" i="2"/>
  <c r="W4000" i="2"/>
  <c r="W4001" i="2"/>
  <c r="W4002" i="2"/>
  <c r="W4003" i="2"/>
  <c r="W4004" i="2"/>
  <c r="W4005" i="2"/>
  <c r="W4006" i="2"/>
  <c r="W4007" i="2"/>
  <c r="W4008" i="2"/>
  <c r="W4009" i="2"/>
  <c r="W4010" i="2"/>
  <c r="W4011" i="2"/>
  <c r="W4012" i="2"/>
  <c r="W4013" i="2"/>
  <c r="W4014" i="2"/>
  <c r="W4015" i="2"/>
  <c r="W4016" i="2"/>
  <c r="W4017" i="2"/>
  <c r="W4018" i="2"/>
  <c r="W4019" i="2"/>
  <c r="W4020" i="2"/>
  <c r="W4021" i="2"/>
  <c r="W4022" i="2"/>
  <c r="W4023" i="2"/>
  <c r="W4024" i="2"/>
  <c r="W4025" i="2"/>
  <c r="W4026" i="2"/>
  <c r="W4027" i="2"/>
  <c r="W4028" i="2"/>
  <c r="W4029" i="2"/>
  <c r="W4030" i="2"/>
  <c r="W4031" i="2"/>
  <c r="W4032" i="2"/>
  <c r="W4033" i="2"/>
  <c r="W4034" i="2"/>
  <c r="W4035" i="2"/>
  <c r="W4036" i="2"/>
  <c r="W4037" i="2"/>
  <c r="W4038" i="2"/>
  <c r="W4039" i="2"/>
  <c r="W4040" i="2"/>
  <c r="W4041" i="2"/>
  <c r="W4042" i="2"/>
  <c r="W4043" i="2"/>
  <c r="W4044" i="2"/>
  <c r="W4045" i="2"/>
  <c r="W4046" i="2"/>
  <c r="W4047" i="2"/>
  <c r="W4048" i="2"/>
  <c r="W4049" i="2"/>
  <c r="W4050" i="2"/>
  <c r="W4051" i="2"/>
  <c r="W4052" i="2"/>
  <c r="W4053" i="2"/>
  <c r="W4054" i="2"/>
  <c r="W4055" i="2"/>
  <c r="W4056" i="2"/>
  <c r="W4057" i="2"/>
  <c r="W4058" i="2"/>
  <c r="W4059" i="2"/>
  <c r="W4060" i="2"/>
  <c r="W4061" i="2"/>
  <c r="W4062" i="2"/>
  <c r="W4063" i="2"/>
  <c r="W4064" i="2"/>
  <c r="W4065" i="2"/>
  <c r="W4066" i="2"/>
  <c r="W4067" i="2"/>
  <c r="W4068" i="2"/>
  <c r="W4069" i="2"/>
  <c r="W4070" i="2"/>
  <c r="W4071" i="2"/>
  <c r="W4072" i="2"/>
  <c r="W4073" i="2"/>
  <c r="W4074" i="2"/>
  <c r="W4075" i="2"/>
  <c r="W4076" i="2"/>
  <c r="W4077" i="2"/>
  <c r="W4078" i="2"/>
  <c r="W4079" i="2"/>
  <c r="W4080" i="2"/>
  <c r="W4081" i="2"/>
  <c r="W4082" i="2"/>
  <c r="W4083" i="2"/>
  <c r="W4084" i="2"/>
  <c r="W4085" i="2"/>
  <c r="W4086" i="2"/>
  <c r="W4087" i="2"/>
  <c r="W4088" i="2"/>
  <c r="W4089" i="2"/>
  <c r="W4090" i="2"/>
  <c r="W4091" i="2"/>
  <c r="W4092" i="2"/>
  <c r="W4093" i="2"/>
  <c r="W4094" i="2"/>
  <c r="W4095" i="2"/>
  <c r="W4096" i="2"/>
  <c r="W4097" i="2"/>
  <c r="W4098" i="2"/>
  <c r="W4099" i="2"/>
  <c r="W4100" i="2"/>
  <c r="W4101" i="2"/>
  <c r="W4102" i="2"/>
  <c r="W4103" i="2"/>
  <c r="W4104" i="2"/>
  <c r="W4105" i="2"/>
  <c r="W4106" i="2"/>
  <c r="W4107" i="2"/>
  <c r="W4108" i="2"/>
  <c r="W4109" i="2"/>
  <c r="W4110" i="2"/>
  <c r="W4111" i="2"/>
  <c r="W4112" i="2"/>
  <c r="W4113" i="2"/>
  <c r="W4114" i="2"/>
  <c r="W4115" i="2"/>
  <c r="W4116" i="2"/>
  <c r="W4117" i="2"/>
  <c r="W4118" i="2"/>
  <c r="W4119" i="2"/>
  <c r="W4120" i="2"/>
  <c r="W4121" i="2"/>
  <c r="W4122" i="2"/>
  <c r="W4123" i="2"/>
  <c r="W4124" i="2"/>
  <c r="W4125" i="2"/>
  <c r="W4126" i="2"/>
  <c r="W4127" i="2"/>
  <c r="W4128" i="2"/>
  <c r="W4129" i="2"/>
  <c r="W4130" i="2"/>
  <c r="W4131" i="2"/>
  <c r="W4132" i="2"/>
  <c r="W4133" i="2"/>
  <c r="W4134" i="2"/>
  <c r="W4135" i="2"/>
  <c r="W4136" i="2"/>
  <c r="W4137" i="2"/>
  <c r="W4138" i="2"/>
  <c r="W4139" i="2"/>
  <c r="W4140" i="2"/>
  <c r="W4141" i="2"/>
  <c r="W4142" i="2"/>
  <c r="W4143" i="2"/>
  <c r="W4144" i="2"/>
  <c r="W4145" i="2"/>
  <c r="W4146" i="2"/>
  <c r="W4147" i="2"/>
  <c r="W4148" i="2"/>
  <c r="W4149" i="2"/>
  <c r="W4150" i="2"/>
  <c r="W4151" i="2"/>
  <c r="W4152" i="2"/>
  <c r="W4153" i="2"/>
  <c r="W4154" i="2"/>
  <c r="W4155" i="2"/>
  <c r="W4156" i="2"/>
  <c r="W4157" i="2"/>
  <c r="W4158" i="2"/>
  <c r="W4159" i="2"/>
  <c r="W4160" i="2"/>
  <c r="W4161" i="2"/>
  <c r="W4162" i="2"/>
  <c r="W4163" i="2"/>
  <c r="W4164" i="2"/>
  <c r="W4165" i="2"/>
  <c r="W4166" i="2"/>
  <c r="W4167" i="2"/>
  <c r="W4168" i="2"/>
  <c r="W4169" i="2"/>
  <c r="W4170" i="2"/>
  <c r="W4171" i="2"/>
  <c r="W4172" i="2"/>
  <c r="W4173" i="2"/>
  <c r="W4174" i="2"/>
  <c r="W4175" i="2"/>
  <c r="W4176" i="2"/>
  <c r="W4177" i="2"/>
  <c r="W4178" i="2"/>
  <c r="W4179" i="2"/>
  <c r="W4180" i="2"/>
  <c r="W4181" i="2"/>
  <c r="W4182" i="2"/>
  <c r="W4183" i="2"/>
  <c r="W4184" i="2"/>
  <c r="W4185" i="2"/>
  <c r="W4186" i="2"/>
  <c r="W4187" i="2"/>
  <c r="W4188" i="2"/>
  <c r="W4189" i="2"/>
  <c r="W4190" i="2"/>
  <c r="W4191" i="2"/>
  <c r="W4192" i="2"/>
  <c r="W4193" i="2"/>
  <c r="W4194" i="2"/>
  <c r="W4195" i="2"/>
  <c r="W4196" i="2"/>
  <c r="W4197" i="2"/>
  <c r="W4198" i="2"/>
  <c r="W4199" i="2"/>
  <c r="W4200" i="2"/>
  <c r="W4201" i="2"/>
  <c r="W4202" i="2"/>
  <c r="W4203" i="2"/>
  <c r="W4204" i="2"/>
  <c r="W4205" i="2"/>
  <c r="W4206" i="2"/>
  <c r="W4207" i="2"/>
  <c r="W4208" i="2"/>
  <c r="W4209" i="2"/>
  <c r="W4210" i="2"/>
  <c r="W4211" i="2"/>
  <c r="W4212" i="2"/>
  <c r="W4213" i="2"/>
  <c r="W4214" i="2"/>
  <c r="W4215" i="2"/>
  <c r="W4216" i="2"/>
  <c r="W4217" i="2"/>
  <c r="W4218" i="2"/>
  <c r="W4219" i="2"/>
  <c r="W4220" i="2"/>
  <c r="W4221" i="2"/>
  <c r="W4222" i="2"/>
  <c r="W4223" i="2"/>
  <c r="W4224" i="2"/>
  <c r="W4225" i="2"/>
  <c r="W4226" i="2"/>
  <c r="W4227" i="2"/>
  <c r="W4228" i="2"/>
  <c r="W4229" i="2"/>
  <c r="W4230" i="2"/>
  <c r="W4231" i="2"/>
  <c r="W4232" i="2"/>
  <c r="W4233" i="2"/>
  <c r="W4234" i="2"/>
  <c r="W4235" i="2"/>
  <c r="W4236" i="2"/>
  <c r="W4237" i="2"/>
  <c r="W4238" i="2"/>
  <c r="W4239" i="2"/>
  <c r="W4240" i="2"/>
  <c r="W4241" i="2"/>
  <c r="W4242" i="2"/>
  <c r="W4243" i="2"/>
  <c r="W4244" i="2"/>
  <c r="W4245" i="2"/>
  <c r="W4246" i="2"/>
  <c r="W4247" i="2"/>
  <c r="W4248" i="2"/>
  <c r="W4249" i="2"/>
  <c r="W4250" i="2"/>
  <c r="W4251" i="2"/>
  <c r="W4252" i="2"/>
  <c r="W4253" i="2"/>
  <c r="W4254" i="2"/>
  <c r="W4255" i="2"/>
  <c r="W4256" i="2"/>
  <c r="W4257" i="2"/>
  <c r="W4258" i="2"/>
  <c r="W4259" i="2"/>
  <c r="W4260" i="2"/>
  <c r="W4261" i="2"/>
  <c r="W4262" i="2"/>
  <c r="W4263" i="2"/>
  <c r="W4264" i="2"/>
  <c r="W4265" i="2"/>
  <c r="W4266" i="2"/>
  <c r="W4267" i="2"/>
  <c r="W4268" i="2"/>
  <c r="W4269" i="2"/>
  <c r="W4270" i="2"/>
  <c r="W4271" i="2"/>
  <c r="W4272" i="2"/>
  <c r="W4273" i="2"/>
  <c r="W4274" i="2"/>
  <c r="W4275" i="2"/>
  <c r="W4276" i="2"/>
  <c r="W4277" i="2"/>
  <c r="W4278" i="2"/>
  <c r="W4279" i="2"/>
  <c r="W4280" i="2"/>
  <c r="W4281" i="2"/>
  <c r="W4282" i="2"/>
  <c r="W4283" i="2"/>
  <c r="W4284" i="2"/>
  <c r="W4285" i="2"/>
  <c r="W4286" i="2"/>
  <c r="W4287" i="2"/>
  <c r="W4288" i="2"/>
  <c r="W4289" i="2"/>
  <c r="W4290" i="2"/>
  <c r="W4291" i="2"/>
  <c r="W4292" i="2"/>
  <c r="W4293" i="2"/>
  <c r="W4294" i="2"/>
  <c r="W4295" i="2"/>
  <c r="W4296" i="2"/>
  <c r="W4297" i="2"/>
  <c r="W4298" i="2"/>
  <c r="W4299" i="2"/>
  <c r="W4300" i="2"/>
  <c r="W4301" i="2"/>
  <c r="W4302" i="2"/>
  <c r="W4303" i="2"/>
  <c r="W4304" i="2"/>
  <c r="W4305" i="2"/>
  <c r="W4306" i="2"/>
  <c r="W4307" i="2"/>
  <c r="W4308" i="2"/>
  <c r="W4309" i="2"/>
  <c r="W4310" i="2"/>
  <c r="W4311" i="2"/>
  <c r="W4312" i="2"/>
  <c r="W4313" i="2"/>
  <c r="W4314" i="2"/>
  <c r="W4315" i="2"/>
  <c r="W4316" i="2"/>
  <c r="W4317" i="2"/>
  <c r="W4318" i="2"/>
  <c r="W4319" i="2"/>
  <c r="W4320" i="2"/>
  <c r="W4321" i="2"/>
  <c r="W4322" i="2"/>
  <c r="W4323" i="2"/>
  <c r="W4324" i="2"/>
  <c r="W4325" i="2"/>
  <c r="W4326" i="2"/>
  <c r="W4327" i="2"/>
  <c r="W4328" i="2"/>
  <c r="W4329" i="2"/>
  <c r="W4330" i="2"/>
  <c r="W4331" i="2"/>
  <c r="W4332" i="2"/>
  <c r="W4333" i="2"/>
  <c r="W4334" i="2"/>
  <c r="W4335" i="2"/>
  <c r="W4336" i="2"/>
  <c r="W4337" i="2"/>
  <c r="W4338" i="2"/>
  <c r="W4339" i="2"/>
  <c r="W4340" i="2"/>
  <c r="W4341" i="2"/>
  <c r="W4342" i="2"/>
  <c r="W4343" i="2"/>
  <c r="W4344" i="2"/>
  <c r="W4345" i="2"/>
  <c r="W4346" i="2"/>
  <c r="W4347" i="2"/>
  <c r="W4348" i="2"/>
  <c r="W4349" i="2"/>
  <c r="W4350" i="2"/>
  <c r="W4351" i="2"/>
  <c r="W4352" i="2"/>
  <c r="W4353" i="2"/>
  <c r="W4354" i="2"/>
  <c r="W4355" i="2"/>
  <c r="W4356" i="2"/>
  <c r="W4357" i="2"/>
  <c r="W4358" i="2"/>
  <c r="W4359" i="2"/>
  <c r="W4360" i="2"/>
  <c r="W4361" i="2"/>
  <c r="W4362" i="2"/>
  <c r="W4363" i="2"/>
  <c r="W4364" i="2"/>
  <c r="W4365" i="2"/>
  <c r="W4366" i="2"/>
  <c r="W4367" i="2"/>
  <c r="W4368" i="2"/>
  <c r="W4369" i="2"/>
  <c r="W4370" i="2"/>
  <c r="W4371" i="2"/>
  <c r="W4372" i="2"/>
  <c r="W4373" i="2"/>
  <c r="W4374" i="2"/>
  <c r="W4375" i="2"/>
  <c r="W4376" i="2"/>
  <c r="W4377" i="2"/>
  <c r="W4378" i="2"/>
  <c r="W4379" i="2"/>
  <c r="W4380" i="2"/>
  <c r="W4381" i="2"/>
  <c r="W4382" i="2"/>
  <c r="W4383" i="2"/>
  <c r="W4384" i="2"/>
  <c r="W4385" i="2"/>
  <c r="W4386" i="2"/>
  <c r="W4387" i="2"/>
  <c r="W4388" i="2"/>
  <c r="W4389" i="2"/>
  <c r="W4390" i="2"/>
  <c r="W4391" i="2"/>
  <c r="W4392" i="2"/>
  <c r="W4393" i="2"/>
  <c r="W4394" i="2"/>
  <c r="W4395" i="2"/>
  <c r="W4396" i="2"/>
  <c r="W4397" i="2"/>
  <c r="W4398" i="2"/>
  <c r="W4399" i="2"/>
  <c r="W4400" i="2"/>
  <c r="W4401" i="2"/>
  <c r="W4402" i="2"/>
  <c r="W4403" i="2"/>
  <c r="W4404" i="2"/>
  <c r="W4405" i="2"/>
  <c r="W4406" i="2"/>
  <c r="W4407" i="2"/>
  <c r="W4408" i="2"/>
  <c r="W4409" i="2"/>
  <c r="W4410" i="2"/>
  <c r="W4411" i="2"/>
  <c r="W4412" i="2"/>
  <c r="W4413" i="2"/>
  <c r="W4414" i="2"/>
  <c r="W4415" i="2"/>
  <c r="W4416" i="2"/>
  <c r="W4417" i="2"/>
  <c r="W4418" i="2"/>
  <c r="W4419" i="2"/>
  <c r="W4420" i="2"/>
  <c r="W4421" i="2"/>
  <c r="W4422" i="2"/>
  <c r="W4423" i="2"/>
  <c r="W4424" i="2"/>
  <c r="W4425" i="2"/>
  <c r="W4426" i="2"/>
  <c r="W4427" i="2"/>
  <c r="W4428" i="2"/>
  <c r="W4429" i="2"/>
  <c r="W4430" i="2"/>
  <c r="W4431" i="2"/>
  <c r="W4432" i="2"/>
  <c r="W4433" i="2"/>
  <c r="W4434" i="2"/>
  <c r="W4435" i="2"/>
  <c r="W4436" i="2"/>
  <c r="W4437" i="2"/>
  <c r="W4438" i="2"/>
  <c r="W4439" i="2"/>
  <c r="W4440" i="2"/>
  <c r="W4441" i="2"/>
  <c r="W4442" i="2"/>
  <c r="W4443" i="2"/>
  <c r="W4444" i="2"/>
  <c r="W4445" i="2"/>
  <c r="W4446" i="2"/>
  <c r="W4447" i="2"/>
  <c r="W4448" i="2"/>
  <c r="W4449" i="2"/>
  <c r="W4450" i="2"/>
  <c r="W4451" i="2"/>
  <c r="W4452" i="2"/>
  <c r="W4453" i="2"/>
  <c r="W4454" i="2"/>
  <c r="W4455" i="2"/>
  <c r="W4456" i="2"/>
  <c r="W4457" i="2"/>
  <c r="W4458" i="2"/>
  <c r="W4459" i="2"/>
  <c r="W4460" i="2"/>
  <c r="W4461" i="2"/>
  <c r="W4462" i="2"/>
  <c r="W4463" i="2"/>
  <c r="W4464" i="2"/>
  <c r="W4465" i="2"/>
  <c r="W4466" i="2"/>
  <c r="W4467" i="2"/>
  <c r="W4468" i="2"/>
  <c r="W4469" i="2"/>
  <c r="W4470" i="2"/>
  <c r="W4471" i="2"/>
  <c r="W4472" i="2"/>
  <c r="W4473" i="2"/>
  <c r="W4474" i="2"/>
  <c r="W4475" i="2"/>
  <c r="W4476" i="2"/>
  <c r="W4477" i="2"/>
  <c r="W4478" i="2"/>
  <c r="W4479" i="2"/>
  <c r="W4480" i="2"/>
  <c r="W4481" i="2"/>
  <c r="W4482" i="2"/>
  <c r="W4483" i="2"/>
  <c r="W4484" i="2"/>
  <c r="W4485" i="2"/>
  <c r="W4486" i="2"/>
  <c r="W4487" i="2"/>
  <c r="W4488" i="2"/>
  <c r="W4489" i="2"/>
  <c r="W4490" i="2"/>
  <c r="W4491" i="2"/>
  <c r="W4492" i="2"/>
  <c r="W4493" i="2"/>
  <c r="W4494" i="2"/>
  <c r="W4495" i="2"/>
  <c r="W4496" i="2"/>
  <c r="W4497" i="2"/>
  <c r="W4498" i="2"/>
  <c r="W4499" i="2"/>
  <c r="W4500" i="2"/>
  <c r="W4501" i="2"/>
  <c r="W4502" i="2"/>
  <c r="W4503" i="2"/>
  <c r="W4504" i="2"/>
  <c r="W4505" i="2"/>
  <c r="W4506" i="2"/>
  <c r="W4507" i="2"/>
  <c r="W4508" i="2"/>
  <c r="W4509" i="2"/>
  <c r="W4510" i="2"/>
  <c r="W4511" i="2"/>
  <c r="W4512" i="2"/>
  <c r="W4513" i="2"/>
  <c r="W4514" i="2"/>
  <c r="W4515" i="2"/>
  <c r="W4516" i="2"/>
  <c r="W4517" i="2"/>
  <c r="W4518" i="2"/>
  <c r="W4519" i="2"/>
  <c r="W4520" i="2"/>
  <c r="W4521" i="2"/>
  <c r="W4522" i="2"/>
  <c r="W4523" i="2"/>
  <c r="W4524" i="2"/>
  <c r="W4525" i="2"/>
  <c r="W4526" i="2"/>
  <c r="W4527" i="2"/>
  <c r="W4528" i="2"/>
  <c r="W4529" i="2"/>
  <c r="W4530" i="2"/>
  <c r="W4531" i="2"/>
  <c r="W4532" i="2"/>
  <c r="W4533" i="2"/>
  <c r="W4534" i="2"/>
  <c r="W4535" i="2"/>
  <c r="W4536" i="2"/>
  <c r="W4537" i="2"/>
  <c r="W4538" i="2"/>
  <c r="W4539" i="2"/>
  <c r="W4540" i="2"/>
  <c r="W4541" i="2"/>
  <c r="W4542" i="2"/>
  <c r="W4543" i="2"/>
  <c r="W4544" i="2"/>
  <c r="W4545" i="2"/>
  <c r="W4546" i="2"/>
  <c r="W4547" i="2"/>
  <c r="W4548" i="2"/>
  <c r="W4549" i="2"/>
  <c r="W4550" i="2"/>
  <c r="W4551" i="2"/>
  <c r="W4552" i="2"/>
  <c r="W4553" i="2"/>
  <c r="W4554" i="2"/>
  <c r="W4555" i="2"/>
  <c r="W4556" i="2"/>
  <c r="W4557" i="2"/>
  <c r="W4558" i="2"/>
  <c r="W4559" i="2"/>
  <c r="W4560" i="2"/>
  <c r="W4561" i="2"/>
  <c r="W4562" i="2"/>
  <c r="W4563" i="2"/>
  <c r="W4564" i="2"/>
  <c r="W4565" i="2"/>
  <c r="W4566" i="2"/>
  <c r="W4567" i="2"/>
  <c r="W4568" i="2"/>
  <c r="W4569" i="2"/>
  <c r="W4570" i="2"/>
  <c r="W4571" i="2"/>
  <c r="W4572" i="2"/>
  <c r="W4573" i="2"/>
  <c r="W4574" i="2"/>
  <c r="W4575" i="2"/>
  <c r="W4576" i="2"/>
  <c r="W4577" i="2"/>
  <c r="W4578" i="2"/>
  <c r="W4579" i="2"/>
  <c r="W4580" i="2"/>
  <c r="W4581" i="2"/>
  <c r="W4582" i="2"/>
  <c r="W4583" i="2"/>
  <c r="W4584" i="2"/>
  <c r="W4585" i="2"/>
  <c r="W4586" i="2"/>
  <c r="W4587" i="2"/>
  <c r="W4588" i="2"/>
  <c r="W4589" i="2"/>
  <c r="W4590" i="2"/>
  <c r="W4591" i="2"/>
  <c r="W4592" i="2"/>
  <c r="W4593" i="2"/>
  <c r="W4594" i="2"/>
  <c r="W4595" i="2"/>
  <c r="W4596" i="2"/>
  <c r="W4597" i="2"/>
  <c r="W4598" i="2"/>
  <c r="W4599" i="2"/>
  <c r="W4600" i="2"/>
  <c r="W4601" i="2"/>
  <c r="W4602" i="2"/>
  <c r="W4603" i="2"/>
  <c r="W4604" i="2"/>
  <c r="W4605" i="2"/>
  <c r="W4606" i="2"/>
  <c r="W4607" i="2"/>
  <c r="W4608" i="2"/>
  <c r="W4609" i="2"/>
  <c r="W4610" i="2"/>
  <c r="W4611" i="2"/>
  <c r="W4612" i="2"/>
  <c r="W4613" i="2"/>
  <c r="W4614" i="2"/>
  <c r="W4615" i="2"/>
  <c r="W4616" i="2"/>
  <c r="W4617" i="2"/>
  <c r="W4618" i="2"/>
  <c r="W4619" i="2"/>
  <c r="W4620" i="2"/>
  <c r="W4621" i="2"/>
  <c r="W4622" i="2"/>
  <c r="W4623" i="2"/>
  <c r="W4624" i="2"/>
  <c r="W4625" i="2"/>
  <c r="W4626" i="2"/>
  <c r="W4627" i="2"/>
  <c r="W4628" i="2"/>
  <c r="W4629" i="2"/>
  <c r="W4630" i="2"/>
  <c r="W4631" i="2"/>
  <c r="W4632" i="2"/>
  <c r="W4633" i="2"/>
  <c r="W4634" i="2"/>
  <c r="W4635" i="2"/>
  <c r="W4636" i="2"/>
  <c r="W4637" i="2"/>
  <c r="W4638" i="2"/>
  <c r="W4639" i="2"/>
  <c r="W4640" i="2"/>
  <c r="W4641" i="2"/>
  <c r="W4642" i="2"/>
  <c r="W4643" i="2"/>
  <c r="W4644" i="2"/>
  <c r="W4645" i="2"/>
  <c r="W4646" i="2"/>
  <c r="W4647" i="2"/>
  <c r="W4648" i="2"/>
  <c r="W4649" i="2"/>
  <c r="W4650" i="2"/>
  <c r="W4651" i="2"/>
  <c r="W4652" i="2"/>
  <c r="W4653" i="2"/>
  <c r="W4654" i="2"/>
  <c r="W4655" i="2"/>
  <c r="W4656" i="2"/>
  <c r="W4657" i="2"/>
  <c r="W4658" i="2"/>
  <c r="W4659" i="2"/>
  <c r="W4660" i="2"/>
  <c r="W4661" i="2"/>
  <c r="W4662" i="2"/>
  <c r="W4663" i="2"/>
  <c r="W4664" i="2"/>
  <c r="W4665" i="2"/>
  <c r="W4666" i="2"/>
  <c r="W4667" i="2"/>
  <c r="W4668" i="2"/>
  <c r="W4669" i="2"/>
  <c r="W4670" i="2"/>
  <c r="W4671" i="2"/>
  <c r="W4672" i="2"/>
  <c r="W4673" i="2"/>
  <c r="W4674" i="2"/>
  <c r="W4675" i="2"/>
  <c r="W4676" i="2"/>
  <c r="W4677" i="2"/>
  <c r="W4678" i="2"/>
  <c r="W4679" i="2"/>
  <c r="W4680" i="2"/>
  <c r="W4681" i="2"/>
  <c r="W4682" i="2"/>
  <c r="W4683" i="2"/>
  <c r="W4684" i="2"/>
  <c r="W4685" i="2"/>
  <c r="W4686" i="2"/>
  <c r="W4687" i="2"/>
  <c r="W4688" i="2"/>
  <c r="W4689" i="2"/>
  <c r="W4690" i="2"/>
  <c r="W4691" i="2"/>
  <c r="W4692" i="2"/>
  <c r="W4693" i="2"/>
  <c r="W4694" i="2"/>
  <c r="W4695" i="2"/>
  <c r="W4696" i="2"/>
  <c r="W4697" i="2"/>
  <c r="W4698" i="2"/>
  <c r="W4699" i="2"/>
  <c r="W4700" i="2"/>
  <c r="W4701" i="2"/>
  <c r="W4702" i="2"/>
  <c r="W4703" i="2"/>
  <c r="W4704" i="2"/>
  <c r="W4705" i="2"/>
  <c r="W4706" i="2"/>
  <c r="W4707" i="2"/>
  <c r="W4708" i="2"/>
  <c r="W4709" i="2"/>
  <c r="W4710" i="2"/>
  <c r="W4711" i="2"/>
  <c r="W4712" i="2"/>
  <c r="W4713" i="2"/>
  <c r="W4714" i="2"/>
  <c r="W4715" i="2"/>
  <c r="W4716" i="2"/>
  <c r="W4717" i="2"/>
  <c r="W4718" i="2"/>
  <c r="W4719" i="2"/>
  <c r="W4720" i="2"/>
  <c r="W4721" i="2"/>
  <c r="W4722" i="2"/>
  <c r="W4723" i="2"/>
  <c r="W4724" i="2"/>
  <c r="W4725" i="2"/>
  <c r="W4726" i="2"/>
  <c r="W4727" i="2"/>
  <c r="W4728" i="2"/>
  <c r="W4729" i="2"/>
  <c r="W4730" i="2"/>
  <c r="W4731" i="2"/>
  <c r="W4732" i="2"/>
  <c r="W4733" i="2"/>
  <c r="W4734" i="2"/>
  <c r="W4735" i="2"/>
  <c r="W4736" i="2"/>
  <c r="W4737" i="2"/>
  <c r="W4738" i="2"/>
  <c r="W4739" i="2"/>
  <c r="W4740" i="2"/>
  <c r="W4741" i="2"/>
  <c r="W4742" i="2"/>
  <c r="W4743" i="2"/>
  <c r="W4744" i="2"/>
  <c r="W4745" i="2"/>
  <c r="W4746" i="2"/>
  <c r="W4747" i="2"/>
  <c r="W4748" i="2"/>
  <c r="W4749" i="2"/>
  <c r="W4750" i="2"/>
  <c r="W4751" i="2"/>
  <c r="W4752" i="2"/>
  <c r="W4753" i="2"/>
  <c r="W4754" i="2"/>
  <c r="W4755" i="2"/>
  <c r="W4756" i="2"/>
  <c r="W4757" i="2"/>
  <c r="W4758" i="2"/>
  <c r="W4759" i="2"/>
  <c r="W4760" i="2"/>
  <c r="W4761" i="2"/>
  <c r="W4762" i="2"/>
  <c r="W4763" i="2"/>
  <c r="W4764" i="2"/>
  <c r="W4765" i="2"/>
  <c r="W4766" i="2"/>
  <c r="W4767" i="2"/>
  <c r="W4768" i="2"/>
  <c r="W4769" i="2"/>
  <c r="W4770" i="2"/>
  <c r="W4771" i="2"/>
  <c r="W4772" i="2"/>
  <c r="W4773" i="2"/>
  <c r="W4774" i="2"/>
  <c r="W4775" i="2"/>
  <c r="W4776" i="2"/>
  <c r="W4777" i="2"/>
  <c r="W4778" i="2"/>
  <c r="W4779" i="2"/>
  <c r="W4780" i="2"/>
  <c r="W4781" i="2"/>
  <c r="W4782" i="2"/>
  <c r="W4783" i="2"/>
  <c r="W4784" i="2"/>
  <c r="W4785" i="2"/>
  <c r="W4786" i="2"/>
  <c r="W4787" i="2"/>
  <c r="W4788" i="2"/>
  <c r="W4789" i="2"/>
  <c r="W4790" i="2"/>
  <c r="W4791" i="2"/>
  <c r="W4792" i="2"/>
  <c r="W4793" i="2"/>
  <c r="W4794" i="2"/>
  <c r="W4795" i="2"/>
  <c r="W4796" i="2"/>
  <c r="W4797" i="2"/>
  <c r="W4798" i="2"/>
  <c r="W4799" i="2"/>
  <c r="W4800" i="2"/>
  <c r="W4801" i="2"/>
  <c r="W4802" i="2"/>
  <c r="W4803" i="2"/>
  <c r="W4804" i="2"/>
  <c r="W4805" i="2"/>
  <c r="W4806" i="2"/>
  <c r="W4807" i="2"/>
  <c r="W4808" i="2"/>
  <c r="W4809" i="2"/>
  <c r="W4810" i="2"/>
  <c r="W4811" i="2"/>
  <c r="W4812" i="2"/>
  <c r="W4813" i="2"/>
  <c r="W4814" i="2"/>
  <c r="W4815" i="2"/>
  <c r="W4816" i="2"/>
  <c r="W4817" i="2"/>
  <c r="W4818" i="2"/>
  <c r="W4819" i="2"/>
  <c r="W4820" i="2"/>
  <c r="W4821" i="2"/>
  <c r="W4822" i="2"/>
  <c r="W4823" i="2"/>
  <c r="W4824" i="2"/>
  <c r="W4825" i="2"/>
  <c r="W4826" i="2"/>
  <c r="W4827" i="2"/>
  <c r="W4828" i="2"/>
  <c r="W4829" i="2"/>
  <c r="W4830" i="2"/>
  <c r="W4831" i="2"/>
  <c r="W4832" i="2"/>
  <c r="W4833" i="2"/>
  <c r="W4834" i="2"/>
  <c r="W4835" i="2"/>
  <c r="W4836" i="2"/>
  <c r="W4837" i="2"/>
  <c r="W4838" i="2"/>
  <c r="W4839" i="2"/>
  <c r="W4840" i="2"/>
  <c r="W4841" i="2"/>
  <c r="W4842" i="2"/>
  <c r="W4843" i="2"/>
  <c r="W4844" i="2"/>
  <c r="W4845" i="2"/>
  <c r="W4846" i="2"/>
  <c r="W4847" i="2"/>
  <c r="W4848" i="2"/>
  <c r="W4849" i="2"/>
  <c r="W4850" i="2"/>
  <c r="W4851" i="2"/>
  <c r="W4852" i="2"/>
  <c r="W4853" i="2"/>
  <c r="W4854" i="2"/>
  <c r="W4855" i="2"/>
  <c r="W4856" i="2"/>
  <c r="W4857" i="2"/>
  <c r="W4858" i="2"/>
  <c r="W4859" i="2"/>
  <c r="W4860" i="2"/>
  <c r="W4861" i="2"/>
  <c r="W4862" i="2"/>
  <c r="W4863" i="2"/>
  <c r="W4864" i="2"/>
  <c r="W4865" i="2"/>
  <c r="W4866" i="2"/>
  <c r="W4867" i="2"/>
  <c r="W4868" i="2"/>
  <c r="W4869" i="2"/>
  <c r="W4870" i="2"/>
  <c r="W4871" i="2"/>
  <c r="W4872" i="2"/>
  <c r="W4873" i="2"/>
  <c r="W4874" i="2"/>
  <c r="W4875" i="2"/>
  <c r="W4876" i="2"/>
  <c r="W4877" i="2"/>
  <c r="W4878" i="2"/>
  <c r="W4879" i="2"/>
  <c r="W4880" i="2"/>
  <c r="W4881" i="2"/>
  <c r="W4882" i="2"/>
  <c r="W4883" i="2"/>
  <c r="W4884" i="2"/>
  <c r="W4885" i="2"/>
  <c r="W4886" i="2"/>
  <c r="W4887" i="2"/>
  <c r="W4888" i="2"/>
  <c r="W4889" i="2"/>
  <c r="W4890" i="2"/>
  <c r="W4891" i="2"/>
  <c r="W4892" i="2"/>
  <c r="W4893" i="2"/>
  <c r="W4894" i="2"/>
  <c r="W4895" i="2"/>
  <c r="W4896" i="2"/>
  <c r="W4897" i="2"/>
  <c r="W4898" i="2"/>
  <c r="W4899" i="2"/>
  <c r="W4900" i="2"/>
  <c r="W4901" i="2"/>
  <c r="W4902" i="2"/>
  <c r="W4903" i="2"/>
  <c r="W4904" i="2"/>
  <c r="W4905" i="2"/>
  <c r="W4906" i="2"/>
  <c r="W4907" i="2"/>
  <c r="W4908" i="2"/>
  <c r="W4909" i="2"/>
  <c r="W4910" i="2"/>
  <c r="W4911" i="2"/>
  <c r="W4912" i="2"/>
  <c r="W4913" i="2"/>
  <c r="W4914" i="2"/>
  <c r="W4915" i="2"/>
  <c r="W4916" i="2"/>
  <c r="W4917" i="2"/>
  <c r="W4918" i="2"/>
  <c r="W4919" i="2"/>
  <c r="W4920" i="2"/>
  <c r="W4921" i="2"/>
  <c r="W4922" i="2"/>
  <c r="W4923" i="2"/>
  <c r="W4924" i="2"/>
  <c r="W4925" i="2"/>
  <c r="W4926" i="2"/>
  <c r="W4927" i="2"/>
  <c r="W4928" i="2"/>
  <c r="W4929" i="2"/>
  <c r="W4930" i="2"/>
  <c r="W4931" i="2"/>
  <c r="W4932" i="2"/>
  <c r="W4933" i="2"/>
  <c r="W4934" i="2"/>
  <c r="W4935" i="2"/>
  <c r="W4936" i="2"/>
  <c r="W4937" i="2"/>
  <c r="W4938" i="2"/>
  <c r="W4939" i="2"/>
  <c r="W4940" i="2"/>
  <c r="W4941" i="2"/>
  <c r="W4942" i="2"/>
  <c r="W4943" i="2"/>
  <c r="W4944" i="2"/>
  <c r="W4945" i="2"/>
  <c r="W4946" i="2"/>
  <c r="W4947" i="2"/>
  <c r="W4948" i="2"/>
  <c r="W4949" i="2"/>
  <c r="W4950" i="2"/>
  <c r="W4951" i="2"/>
  <c r="W4952" i="2"/>
  <c r="W4953" i="2"/>
  <c r="W4954" i="2"/>
  <c r="W4955" i="2"/>
  <c r="W4956" i="2"/>
  <c r="W4957" i="2"/>
  <c r="W4958" i="2"/>
  <c r="W4959" i="2"/>
  <c r="W4960" i="2"/>
  <c r="W4961" i="2"/>
  <c r="W4962" i="2"/>
  <c r="W4963" i="2"/>
  <c r="W4964" i="2"/>
  <c r="W4965" i="2"/>
  <c r="W4966" i="2"/>
  <c r="W4967" i="2"/>
  <c r="W4968" i="2"/>
  <c r="W4969" i="2"/>
  <c r="W4970" i="2"/>
  <c r="W4971" i="2"/>
  <c r="W4972" i="2"/>
  <c r="W4973" i="2"/>
  <c r="W4974" i="2"/>
  <c r="W4975" i="2"/>
  <c r="W4976" i="2"/>
  <c r="W4977" i="2"/>
  <c r="W4978" i="2"/>
  <c r="W4979" i="2"/>
  <c r="W4980" i="2"/>
  <c r="W4981" i="2"/>
  <c r="W4982" i="2"/>
  <c r="W4983" i="2"/>
  <c r="W4984" i="2"/>
  <c r="W4985" i="2"/>
  <c r="W4986" i="2"/>
  <c r="W4987" i="2"/>
  <c r="W4988" i="2"/>
  <c r="W4989" i="2"/>
  <c r="W4990" i="2"/>
  <c r="W4991" i="2"/>
  <c r="W4992" i="2"/>
  <c r="W4993" i="2"/>
  <c r="W4994" i="2"/>
  <c r="W4995" i="2"/>
  <c r="W4996" i="2"/>
  <c r="W4997" i="2"/>
  <c r="W4998" i="2"/>
  <c r="W4999" i="2"/>
  <c r="W5000" i="2"/>
  <c r="W5001" i="2"/>
  <c r="W5002" i="2"/>
  <c r="W5003" i="2"/>
  <c r="W5004" i="2"/>
  <c r="W5005" i="2"/>
  <c r="W5006" i="2"/>
  <c r="W5007" i="2"/>
  <c r="W5008" i="2"/>
  <c r="W5009" i="2"/>
  <c r="W5010" i="2"/>
  <c r="W5011" i="2"/>
  <c r="W5012" i="2"/>
  <c r="W5013" i="2"/>
  <c r="W5014" i="2"/>
  <c r="W5015" i="2"/>
  <c r="W5016" i="2"/>
  <c r="W5017" i="2"/>
  <c r="W5018" i="2"/>
  <c r="W5019" i="2"/>
  <c r="W5020" i="2"/>
  <c r="W5021" i="2"/>
  <c r="W5022" i="2"/>
  <c r="W5023" i="2"/>
  <c r="W5024" i="2"/>
  <c r="W5025" i="2"/>
  <c r="W5026" i="2"/>
  <c r="W5027" i="2"/>
  <c r="W5028" i="2"/>
  <c r="W5029" i="2"/>
  <c r="W5030" i="2"/>
  <c r="W5031" i="2"/>
  <c r="W5032" i="2"/>
  <c r="W5033" i="2"/>
  <c r="W5034" i="2"/>
  <c r="W5035" i="2"/>
  <c r="W5036" i="2"/>
  <c r="W5037" i="2"/>
  <c r="W5038" i="2"/>
  <c r="W5039" i="2"/>
  <c r="W5040" i="2"/>
  <c r="W5041" i="2"/>
  <c r="W5042" i="2"/>
  <c r="W5043" i="2"/>
  <c r="W5044" i="2"/>
  <c r="W5045" i="2"/>
  <c r="W5046" i="2"/>
  <c r="W5047" i="2"/>
  <c r="W5048" i="2"/>
  <c r="W5049" i="2"/>
  <c r="W5050" i="2"/>
  <c r="W5051" i="2"/>
  <c r="W5052" i="2"/>
  <c r="W5053" i="2"/>
  <c r="W5054" i="2"/>
  <c r="W5055" i="2"/>
  <c r="W5056" i="2"/>
  <c r="W5057" i="2"/>
  <c r="W5058" i="2"/>
  <c r="W5059" i="2"/>
  <c r="W5060" i="2"/>
  <c r="W5061" i="2"/>
  <c r="W5062" i="2"/>
  <c r="W5063" i="2"/>
  <c r="W5064" i="2"/>
  <c r="W5065" i="2"/>
  <c r="W5066" i="2"/>
  <c r="W5067" i="2"/>
  <c r="W5068" i="2"/>
  <c r="W5069" i="2"/>
  <c r="W5070" i="2"/>
  <c r="W5071" i="2"/>
  <c r="W5072" i="2"/>
  <c r="W5073" i="2"/>
  <c r="W5074" i="2"/>
  <c r="W5075" i="2"/>
  <c r="W5076" i="2"/>
  <c r="W5077" i="2"/>
  <c r="W5078" i="2"/>
  <c r="W5079" i="2"/>
  <c r="W5080" i="2"/>
  <c r="W5081" i="2"/>
  <c r="W5082" i="2"/>
  <c r="W5083" i="2"/>
  <c r="W5084" i="2"/>
  <c r="W5085" i="2"/>
  <c r="W5086" i="2"/>
  <c r="W5087" i="2"/>
  <c r="W5088" i="2"/>
  <c r="W5089" i="2"/>
  <c r="W5090" i="2"/>
  <c r="W5091" i="2"/>
  <c r="W5092" i="2"/>
  <c r="W5093" i="2"/>
  <c r="W5094" i="2"/>
  <c r="W5095" i="2"/>
  <c r="W5096" i="2"/>
  <c r="W5097" i="2"/>
  <c r="W5098" i="2"/>
  <c r="W5099" i="2"/>
  <c r="W5100" i="2"/>
  <c r="W5101" i="2"/>
  <c r="W5102" i="2"/>
  <c r="W5103" i="2"/>
  <c r="W5104" i="2"/>
  <c r="W5105" i="2"/>
  <c r="W5106" i="2"/>
  <c r="W5107" i="2"/>
  <c r="W5108" i="2"/>
  <c r="W5109" i="2"/>
  <c r="W5110" i="2"/>
  <c r="W5111" i="2"/>
  <c r="W5112" i="2"/>
  <c r="W5113" i="2"/>
  <c r="W5114" i="2"/>
  <c r="W5115" i="2"/>
  <c r="W5116" i="2"/>
  <c r="W5117" i="2"/>
  <c r="W5118" i="2"/>
  <c r="W5119" i="2"/>
  <c r="W5120" i="2"/>
  <c r="W5121" i="2"/>
  <c r="W5122" i="2"/>
  <c r="W5123" i="2"/>
  <c r="W5124" i="2"/>
  <c r="W5125" i="2"/>
  <c r="W5126" i="2"/>
  <c r="W5127" i="2"/>
  <c r="W5128" i="2"/>
  <c r="W5129" i="2"/>
  <c r="W5130" i="2"/>
  <c r="W5131" i="2"/>
  <c r="W5132" i="2"/>
  <c r="W5133" i="2"/>
  <c r="W5134" i="2"/>
  <c r="W5135" i="2"/>
  <c r="W5136" i="2"/>
  <c r="W5137" i="2"/>
  <c r="W5138" i="2"/>
  <c r="W5139" i="2"/>
  <c r="W5140" i="2"/>
  <c r="W5141" i="2"/>
  <c r="W5142" i="2"/>
  <c r="W5143" i="2"/>
  <c r="W5144" i="2"/>
  <c r="W5145" i="2"/>
  <c r="W5146" i="2"/>
  <c r="W5147" i="2"/>
  <c r="W5148" i="2"/>
  <c r="W5149" i="2"/>
  <c r="W5150" i="2"/>
  <c r="W5151" i="2"/>
  <c r="W5152" i="2"/>
  <c r="W5153" i="2"/>
  <c r="W5154" i="2"/>
  <c r="W5155" i="2"/>
  <c r="W5156" i="2"/>
  <c r="W5157" i="2"/>
  <c r="W5158" i="2"/>
  <c r="W5159" i="2"/>
  <c r="W5160" i="2"/>
  <c r="W5161" i="2"/>
  <c r="W5162" i="2"/>
  <c r="W5163" i="2"/>
  <c r="W5164" i="2"/>
  <c r="W5165" i="2"/>
  <c r="W5166" i="2"/>
  <c r="W5167" i="2"/>
  <c r="W5168" i="2"/>
  <c r="W5169" i="2"/>
  <c r="W5170" i="2"/>
  <c r="W5171" i="2"/>
  <c r="W5172" i="2"/>
  <c r="W5173" i="2"/>
  <c r="W5174" i="2"/>
  <c r="W5175" i="2"/>
  <c r="W5176" i="2"/>
  <c r="W5177" i="2"/>
  <c r="W5178" i="2"/>
  <c r="W5179" i="2"/>
  <c r="W5180" i="2"/>
  <c r="W5181" i="2"/>
  <c r="W5182" i="2"/>
  <c r="W5183" i="2"/>
  <c r="W5184" i="2"/>
  <c r="W5185" i="2"/>
  <c r="W5186" i="2"/>
  <c r="W5187" i="2"/>
  <c r="W5188" i="2"/>
  <c r="W5189" i="2"/>
  <c r="W5190" i="2"/>
  <c r="W5191" i="2"/>
  <c r="W5192" i="2"/>
  <c r="W5193" i="2"/>
  <c r="W5194" i="2"/>
  <c r="W5195" i="2"/>
  <c r="W5196" i="2"/>
  <c r="W5197" i="2"/>
  <c r="W5198" i="2"/>
  <c r="W5199" i="2"/>
  <c r="W5200" i="2"/>
  <c r="W5201" i="2"/>
  <c r="W5202" i="2"/>
  <c r="W5203" i="2"/>
  <c r="W5204" i="2"/>
  <c r="W5205" i="2"/>
  <c r="W5206" i="2"/>
  <c r="W5207" i="2"/>
  <c r="W5208" i="2"/>
  <c r="W5209" i="2"/>
  <c r="W5210" i="2"/>
  <c r="W5211" i="2"/>
  <c r="W5212" i="2"/>
  <c r="W5213" i="2"/>
  <c r="W5214" i="2"/>
  <c r="W5215" i="2"/>
  <c r="W5216" i="2"/>
  <c r="W5217" i="2"/>
  <c r="W5218" i="2"/>
  <c r="W5219" i="2"/>
  <c r="W5220" i="2"/>
  <c r="W5221" i="2"/>
  <c r="W5222" i="2"/>
  <c r="W5223" i="2"/>
  <c r="W5224" i="2"/>
  <c r="W5225" i="2"/>
  <c r="W5226" i="2"/>
  <c r="W5227" i="2"/>
  <c r="W5228" i="2"/>
  <c r="W5229" i="2"/>
  <c r="W5230" i="2"/>
  <c r="W5231" i="2"/>
  <c r="W5232" i="2"/>
  <c r="W5233" i="2"/>
  <c r="W5234" i="2"/>
  <c r="W5235" i="2"/>
  <c r="W5236" i="2"/>
  <c r="W5237" i="2"/>
  <c r="W5238" i="2"/>
  <c r="W5239" i="2"/>
  <c r="W5240" i="2"/>
  <c r="W5241" i="2"/>
  <c r="W5242" i="2"/>
  <c r="W5243" i="2"/>
  <c r="W5244" i="2"/>
  <c r="W5245" i="2"/>
  <c r="W5246" i="2"/>
  <c r="W5247" i="2"/>
  <c r="W5248" i="2"/>
  <c r="W5249" i="2"/>
  <c r="W5250" i="2"/>
  <c r="W5251" i="2"/>
  <c r="W5252" i="2"/>
  <c r="W5253" i="2"/>
  <c r="W5254" i="2"/>
  <c r="W5255" i="2"/>
  <c r="W5256" i="2"/>
  <c r="W5257" i="2"/>
  <c r="W5258" i="2"/>
  <c r="W5259" i="2"/>
  <c r="W5260" i="2"/>
  <c r="W5261" i="2"/>
  <c r="W5262" i="2"/>
  <c r="W5263" i="2"/>
  <c r="W5264" i="2"/>
  <c r="W5265" i="2"/>
  <c r="W5266" i="2"/>
  <c r="W5267" i="2"/>
  <c r="W5268" i="2"/>
  <c r="W5269" i="2"/>
  <c r="W5270" i="2"/>
  <c r="W5271" i="2"/>
  <c r="W5272" i="2"/>
  <c r="W5273" i="2"/>
  <c r="W5274" i="2"/>
  <c r="W5275" i="2"/>
  <c r="W5276" i="2"/>
  <c r="W5277" i="2"/>
  <c r="W5278" i="2"/>
  <c r="W5279" i="2"/>
  <c r="W5280" i="2"/>
  <c r="W5281" i="2"/>
  <c r="W5282" i="2"/>
  <c r="W5283" i="2"/>
  <c r="W5284" i="2"/>
  <c r="W5285" i="2"/>
  <c r="W5286" i="2"/>
  <c r="W5287" i="2"/>
  <c r="W5288" i="2"/>
  <c r="W5289" i="2"/>
  <c r="W5290" i="2"/>
  <c r="W5291" i="2"/>
  <c r="W5292" i="2"/>
  <c r="W5293" i="2"/>
  <c r="W5294" i="2"/>
  <c r="W5295" i="2"/>
  <c r="W5296" i="2"/>
  <c r="W5297" i="2"/>
  <c r="W5298" i="2"/>
  <c r="W5299" i="2"/>
  <c r="W5300" i="2"/>
  <c r="W5301" i="2"/>
  <c r="W5302" i="2"/>
  <c r="W5303" i="2"/>
  <c r="W5304" i="2"/>
  <c r="W5305" i="2"/>
  <c r="W5306" i="2"/>
  <c r="W5307" i="2"/>
  <c r="W5308" i="2"/>
  <c r="W5309" i="2"/>
  <c r="W5310" i="2"/>
  <c r="W5311" i="2"/>
  <c r="W5312" i="2"/>
  <c r="W5313" i="2"/>
  <c r="W5314" i="2"/>
  <c r="W5315" i="2"/>
  <c r="W5316" i="2"/>
  <c r="W5317" i="2"/>
  <c r="W5318" i="2"/>
  <c r="W5319" i="2"/>
  <c r="W5320" i="2"/>
  <c r="W5321" i="2"/>
  <c r="W5322" i="2"/>
  <c r="W5323" i="2"/>
  <c r="W5324" i="2"/>
  <c r="W5325" i="2"/>
  <c r="W5326" i="2"/>
  <c r="W5327" i="2"/>
  <c r="W5328" i="2"/>
  <c r="W5329" i="2"/>
  <c r="W5330" i="2"/>
  <c r="W5331" i="2"/>
  <c r="W5332" i="2"/>
  <c r="W5333" i="2"/>
  <c r="W5334" i="2"/>
  <c r="W5335" i="2"/>
  <c r="W5336" i="2"/>
  <c r="W5337" i="2"/>
  <c r="W5338" i="2"/>
  <c r="W5339" i="2"/>
  <c r="W5340" i="2"/>
  <c r="W5341" i="2"/>
  <c r="W5342" i="2"/>
  <c r="W5343" i="2"/>
  <c r="W5344" i="2"/>
  <c r="W5345" i="2"/>
  <c r="W5346" i="2"/>
  <c r="W5347" i="2"/>
  <c r="W5348" i="2"/>
  <c r="W5349" i="2"/>
  <c r="W5350" i="2"/>
  <c r="W5351" i="2"/>
  <c r="W5352" i="2"/>
  <c r="W5353" i="2"/>
  <c r="W5354" i="2"/>
  <c r="W5355" i="2"/>
  <c r="W5356" i="2"/>
  <c r="W5357" i="2"/>
  <c r="W5358" i="2"/>
  <c r="W5359" i="2"/>
  <c r="W5360" i="2"/>
  <c r="W5361" i="2"/>
  <c r="W5362" i="2"/>
  <c r="W5363" i="2"/>
  <c r="W5364" i="2"/>
  <c r="W5365" i="2"/>
  <c r="W5366" i="2"/>
  <c r="W5367" i="2"/>
  <c r="W5368" i="2"/>
  <c r="W5369" i="2"/>
  <c r="W5370" i="2"/>
  <c r="W5371" i="2"/>
  <c r="W5372" i="2"/>
  <c r="W5373" i="2"/>
  <c r="W5374" i="2"/>
  <c r="W5375" i="2"/>
  <c r="W5376" i="2"/>
  <c r="W5377" i="2"/>
  <c r="W5378" i="2"/>
  <c r="W5379" i="2"/>
  <c r="W5380" i="2"/>
  <c r="W5381" i="2"/>
  <c r="W5382" i="2"/>
  <c r="W5383" i="2"/>
  <c r="W5384" i="2"/>
  <c r="W5385" i="2"/>
  <c r="W5386" i="2"/>
  <c r="W5387" i="2"/>
  <c r="W5388" i="2"/>
  <c r="W5389" i="2"/>
  <c r="W5390" i="2"/>
  <c r="W5391" i="2"/>
  <c r="W5392" i="2"/>
  <c r="W5393" i="2"/>
  <c r="W5394" i="2"/>
  <c r="W5395" i="2"/>
  <c r="W5396" i="2"/>
  <c r="W5397" i="2"/>
  <c r="W5398" i="2"/>
  <c r="W5399" i="2"/>
  <c r="W5400" i="2"/>
  <c r="W5401" i="2"/>
  <c r="W5402" i="2"/>
  <c r="W5403" i="2"/>
  <c r="W5404" i="2"/>
  <c r="W5405" i="2"/>
  <c r="W5406" i="2"/>
  <c r="W5407" i="2"/>
  <c r="W5408" i="2"/>
  <c r="W5409" i="2"/>
  <c r="W5410" i="2"/>
  <c r="W5411" i="2"/>
  <c r="W5412" i="2"/>
  <c r="W5413" i="2"/>
  <c r="W5414" i="2"/>
  <c r="W5415" i="2"/>
  <c r="W5416" i="2"/>
  <c r="W5417" i="2"/>
  <c r="W5418" i="2"/>
  <c r="W5419" i="2"/>
  <c r="W5420" i="2"/>
  <c r="W5421" i="2"/>
  <c r="W5422" i="2"/>
  <c r="W5423" i="2"/>
  <c r="W5424" i="2"/>
  <c r="W5425" i="2"/>
  <c r="W5426" i="2"/>
  <c r="W5427" i="2"/>
  <c r="W5428" i="2"/>
  <c r="W5429" i="2"/>
  <c r="W5430" i="2"/>
  <c r="W5431" i="2"/>
  <c r="W5432" i="2"/>
  <c r="W5433" i="2"/>
  <c r="W5434" i="2"/>
  <c r="W5435" i="2"/>
  <c r="W5436" i="2"/>
  <c r="W5437" i="2"/>
  <c r="W5438" i="2"/>
  <c r="W5439" i="2"/>
  <c r="W5440" i="2"/>
  <c r="W5441" i="2"/>
  <c r="W5442" i="2"/>
  <c r="W5443" i="2"/>
  <c r="W5444" i="2"/>
  <c r="W5445" i="2"/>
  <c r="W5446" i="2"/>
  <c r="W5447" i="2"/>
  <c r="W5448" i="2"/>
  <c r="W5449" i="2"/>
  <c r="W5450" i="2"/>
  <c r="W5451" i="2"/>
  <c r="W5452" i="2"/>
  <c r="W5453" i="2"/>
  <c r="W5454" i="2"/>
  <c r="W5455" i="2"/>
  <c r="W5456" i="2"/>
  <c r="W5457" i="2"/>
  <c r="W5458" i="2"/>
  <c r="W5459" i="2"/>
  <c r="W5460" i="2"/>
  <c r="W5461" i="2"/>
  <c r="W5462" i="2"/>
  <c r="W5463" i="2"/>
  <c r="W5464" i="2"/>
  <c r="W5465" i="2"/>
  <c r="W5466" i="2"/>
  <c r="W5467" i="2"/>
  <c r="W5468" i="2"/>
  <c r="W5469" i="2"/>
  <c r="W5470" i="2"/>
  <c r="W5471" i="2"/>
  <c r="W5472" i="2"/>
  <c r="W5473" i="2"/>
  <c r="W5474" i="2"/>
  <c r="W5475" i="2"/>
  <c r="W5476" i="2"/>
  <c r="W5477" i="2"/>
  <c r="W5478" i="2"/>
  <c r="W5479" i="2"/>
  <c r="W5480" i="2"/>
  <c r="W5481" i="2"/>
  <c r="W5482" i="2"/>
  <c r="W5483" i="2"/>
  <c r="W5484" i="2"/>
  <c r="W5485" i="2"/>
  <c r="W5486" i="2"/>
  <c r="W5487" i="2"/>
  <c r="W5488" i="2"/>
  <c r="W5489" i="2"/>
  <c r="W5490" i="2"/>
  <c r="W5491" i="2"/>
  <c r="W5492" i="2"/>
  <c r="W5493" i="2"/>
  <c r="W5494" i="2"/>
  <c r="W5495" i="2"/>
  <c r="W5496" i="2"/>
  <c r="W5497" i="2"/>
  <c r="W5498" i="2"/>
  <c r="W5499" i="2"/>
  <c r="W5500" i="2"/>
  <c r="W5501" i="2"/>
  <c r="W5502" i="2"/>
  <c r="W5503" i="2"/>
  <c r="W5504" i="2"/>
  <c r="W5505" i="2"/>
  <c r="W5506" i="2"/>
  <c r="W5507" i="2"/>
  <c r="W5508" i="2"/>
  <c r="W5509" i="2"/>
  <c r="W5510" i="2"/>
  <c r="W5511" i="2"/>
  <c r="W5512" i="2"/>
  <c r="W5513" i="2"/>
  <c r="W5514" i="2"/>
  <c r="W5515" i="2"/>
  <c r="W5516" i="2"/>
  <c r="W5517" i="2"/>
  <c r="W5518" i="2"/>
  <c r="W5519" i="2"/>
  <c r="W5520" i="2"/>
  <c r="W5521" i="2"/>
  <c r="W5522" i="2"/>
  <c r="W5523" i="2"/>
  <c r="W5524" i="2"/>
  <c r="W5525" i="2"/>
  <c r="W5526" i="2"/>
  <c r="W5527" i="2"/>
  <c r="W5528" i="2"/>
  <c r="W5529" i="2"/>
  <c r="W5530" i="2"/>
  <c r="W5531" i="2"/>
  <c r="W5532" i="2"/>
  <c r="W5533" i="2"/>
  <c r="W5534" i="2"/>
  <c r="W5535" i="2"/>
  <c r="W5536" i="2"/>
  <c r="W5537" i="2"/>
  <c r="W5538" i="2"/>
  <c r="W5539" i="2"/>
  <c r="W5540" i="2"/>
  <c r="W5541" i="2"/>
  <c r="W5542" i="2"/>
  <c r="W5543" i="2"/>
  <c r="W5544" i="2"/>
  <c r="W5545" i="2"/>
  <c r="W5546" i="2"/>
  <c r="W5547" i="2"/>
  <c r="W5548" i="2"/>
  <c r="W5549" i="2"/>
  <c r="W5550" i="2"/>
  <c r="W5551" i="2"/>
  <c r="W5552" i="2"/>
  <c r="W5553" i="2"/>
  <c r="W5554" i="2"/>
  <c r="W5555" i="2"/>
  <c r="W5556" i="2"/>
  <c r="W5557" i="2"/>
  <c r="W5558" i="2"/>
  <c r="W5559" i="2"/>
  <c r="W5560" i="2"/>
  <c r="W5561" i="2"/>
  <c r="W5562" i="2"/>
  <c r="W5563" i="2"/>
  <c r="W5564" i="2"/>
  <c r="W5565" i="2"/>
  <c r="W5566" i="2"/>
  <c r="W5567" i="2"/>
  <c r="W5568" i="2"/>
  <c r="W5569" i="2"/>
  <c r="W5570" i="2"/>
  <c r="W5571" i="2"/>
  <c r="W5572" i="2"/>
  <c r="W5573" i="2"/>
  <c r="W5574" i="2"/>
  <c r="W5575" i="2"/>
  <c r="W5576" i="2"/>
  <c r="W5577" i="2"/>
  <c r="W5578" i="2"/>
  <c r="W5579" i="2"/>
  <c r="W5580" i="2"/>
  <c r="W5581" i="2"/>
  <c r="W5582" i="2"/>
  <c r="W5583" i="2"/>
  <c r="W5584" i="2"/>
  <c r="W5585" i="2"/>
  <c r="W5586" i="2"/>
  <c r="W5587" i="2"/>
  <c r="W5588" i="2"/>
  <c r="W5589" i="2"/>
  <c r="W5590" i="2"/>
  <c r="W5591" i="2"/>
  <c r="W5592" i="2"/>
  <c r="W5593" i="2"/>
  <c r="W5594" i="2"/>
  <c r="W5595" i="2"/>
  <c r="W5596" i="2"/>
  <c r="W5597" i="2"/>
  <c r="W5598" i="2"/>
  <c r="W5599" i="2"/>
  <c r="W5600" i="2"/>
  <c r="W5601" i="2"/>
  <c r="W5602" i="2"/>
  <c r="W5603" i="2"/>
  <c r="W5604" i="2"/>
  <c r="W5605" i="2"/>
  <c r="W5606" i="2"/>
  <c r="W5607" i="2"/>
  <c r="W5608" i="2"/>
  <c r="W5609" i="2"/>
  <c r="W5610" i="2"/>
  <c r="W5611" i="2"/>
  <c r="W5612" i="2"/>
  <c r="W5613" i="2"/>
  <c r="W5614" i="2"/>
  <c r="W5615" i="2"/>
  <c r="W5616" i="2"/>
  <c r="W5617" i="2"/>
  <c r="W5618" i="2"/>
  <c r="W5619" i="2"/>
  <c r="W5620" i="2"/>
  <c r="W5621" i="2"/>
  <c r="W5622" i="2"/>
  <c r="W5623" i="2"/>
  <c r="W5624" i="2"/>
  <c r="W5625" i="2"/>
  <c r="W5626" i="2"/>
  <c r="W5627" i="2"/>
  <c r="W5628" i="2"/>
  <c r="W5629" i="2"/>
  <c r="W5630" i="2"/>
  <c r="W5631" i="2"/>
  <c r="W5632" i="2"/>
  <c r="W5633" i="2"/>
  <c r="W5634" i="2"/>
  <c r="W5635" i="2"/>
  <c r="W5636" i="2"/>
  <c r="W5637" i="2"/>
  <c r="W5638" i="2"/>
  <c r="W5639" i="2"/>
  <c r="W5640" i="2"/>
  <c r="W5641" i="2"/>
  <c r="W5642" i="2"/>
  <c r="W5643" i="2"/>
  <c r="W5644" i="2"/>
  <c r="W5645" i="2"/>
  <c r="W5646" i="2"/>
  <c r="W5647" i="2"/>
  <c r="W5648" i="2"/>
  <c r="W5649" i="2"/>
  <c r="W5650" i="2"/>
  <c r="W5651" i="2"/>
  <c r="W5652" i="2"/>
  <c r="W5653" i="2"/>
  <c r="W5654" i="2"/>
  <c r="W5655" i="2"/>
  <c r="W5656" i="2"/>
  <c r="W5657" i="2"/>
  <c r="W5658" i="2"/>
  <c r="W5659" i="2"/>
  <c r="W5660" i="2"/>
  <c r="W5661" i="2"/>
  <c r="W5662" i="2"/>
  <c r="W5663" i="2"/>
  <c r="W5664" i="2"/>
  <c r="W5665" i="2"/>
  <c r="W5666" i="2"/>
  <c r="W5667" i="2"/>
  <c r="W5668" i="2"/>
  <c r="W5669" i="2"/>
  <c r="W5670" i="2"/>
  <c r="W5671" i="2"/>
  <c r="W5672" i="2"/>
  <c r="W5673" i="2"/>
  <c r="W5674" i="2"/>
  <c r="W5675" i="2"/>
  <c r="W5676" i="2"/>
  <c r="W5677" i="2"/>
  <c r="W5678" i="2"/>
  <c r="W5679" i="2"/>
  <c r="W5680" i="2"/>
  <c r="W5681" i="2"/>
  <c r="W5682" i="2"/>
  <c r="W5683" i="2"/>
  <c r="W5684" i="2"/>
  <c r="W5685" i="2"/>
  <c r="W5686" i="2"/>
  <c r="W5687" i="2"/>
  <c r="W5688" i="2"/>
  <c r="W5689" i="2"/>
  <c r="W5690" i="2"/>
  <c r="W5691" i="2"/>
  <c r="W5692" i="2"/>
  <c r="W5693" i="2"/>
  <c r="W5694" i="2"/>
  <c r="W5695" i="2"/>
  <c r="W5696" i="2"/>
  <c r="W5697" i="2"/>
  <c r="W5698" i="2"/>
  <c r="W5699" i="2"/>
  <c r="W5700" i="2"/>
  <c r="W5701" i="2"/>
  <c r="W5702" i="2"/>
  <c r="W5703" i="2"/>
  <c r="W5704" i="2"/>
  <c r="W5705" i="2"/>
  <c r="W5706" i="2"/>
  <c r="W5707" i="2"/>
  <c r="W5708" i="2"/>
  <c r="W5709" i="2"/>
  <c r="W5710" i="2"/>
  <c r="W5711" i="2"/>
  <c r="W5712" i="2"/>
  <c r="W5713" i="2"/>
  <c r="W5714" i="2"/>
  <c r="W5715" i="2"/>
  <c r="W5716" i="2"/>
  <c r="W5717" i="2"/>
  <c r="W5718" i="2"/>
  <c r="W5719" i="2"/>
  <c r="W5720" i="2"/>
  <c r="W5721" i="2"/>
  <c r="W5722" i="2"/>
  <c r="W5723" i="2"/>
  <c r="W5724" i="2"/>
  <c r="W5725" i="2"/>
  <c r="W5726" i="2"/>
  <c r="W5727" i="2"/>
  <c r="W5728" i="2"/>
  <c r="W5729" i="2"/>
  <c r="W5730" i="2"/>
  <c r="W5731" i="2"/>
  <c r="W5732" i="2"/>
  <c r="W5733" i="2"/>
  <c r="W5734" i="2"/>
  <c r="W5735" i="2"/>
  <c r="W5736" i="2"/>
  <c r="W5737" i="2"/>
  <c r="W5738" i="2"/>
  <c r="W5739" i="2"/>
  <c r="W5740" i="2"/>
  <c r="W5741" i="2"/>
  <c r="W5742" i="2"/>
  <c r="W5743" i="2"/>
  <c r="W5744" i="2"/>
  <c r="W5745" i="2"/>
  <c r="W5746" i="2"/>
  <c r="W5747" i="2"/>
  <c r="W5748" i="2"/>
  <c r="W5749" i="2"/>
  <c r="W5750" i="2"/>
  <c r="W5751" i="2"/>
  <c r="W5752" i="2"/>
  <c r="W5753" i="2"/>
  <c r="W5754" i="2"/>
  <c r="W5755" i="2"/>
  <c r="W5756" i="2"/>
  <c r="W5757" i="2"/>
  <c r="W5758" i="2"/>
  <c r="W5759" i="2"/>
  <c r="W5760" i="2"/>
  <c r="W5761" i="2"/>
  <c r="W5762" i="2"/>
  <c r="W5763" i="2"/>
  <c r="W5764" i="2"/>
  <c r="W5765" i="2"/>
  <c r="W5766" i="2"/>
  <c r="W5767" i="2"/>
  <c r="W5768" i="2"/>
  <c r="W5769" i="2"/>
  <c r="W5770" i="2"/>
  <c r="W5771" i="2"/>
  <c r="W5772" i="2"/>
  <c r="W5773" i="2"/>
  <c r="W5774" i="2"/>
  <c r="W5775" i="2"/>
  <c r="W5776" i="2"/>
  <c r="W5777" i="2"/>
  <c r="W5778" i="2"/>
  <c r="W5779" i="2"/>
  <c r="W5780" i="2"/>
  <c r="W5781" i="2"/>
  <c r="W5782" i="2"/>
  <c r="W5783" i="2"/>
  <c r="W5784" i="2"/>
  <c r="W5785" i="2"/>
  <c r="W5786" i="2"/>
  <c r="W5787" i="2"/>
  <c r="W5788" i="2"/>
  <c r="W5789" i="2"/>
  <c r="W5790" i="2"/>
  <c r="W5791" i="2"/>
  <c r="W5792" i="2"/>
  <c r="W5793" i="2"/>
  <c r="W5794" i="2"/>
  <c r="W5795" i="2"/>
  <c r="W5796" i="2"/>
  <c r="W5797" i="2"/>
  <c r="W5798" i="2"/>
  <c r="W5799" i="2"/>
  <c r="W5800" i="2"/>
  <c r="W5801" i="2"/>
  <c r="W5802" i="2"/>
  <c r="W5803" i="2"/>
  <c r="W5804" i="2"/>
  <c r="W5805" i="2"/>
  <c r="W5806" i="2"/>
  <c r="W5807" i="2"/>
  <c r="W5808" i="2"/>
  <c r="W5809" i="2"/>
  <c r="W5810" i="2"/>
  <c r="W5811" i="2"/>
  <c r="W5812" i="2"/>
  <c r="W5813" i="2"/>
  <c r="W5814" i="2"/>
  <c r="W5815" i="2"/>
  <c r="W5816" i="2"/>
  <c r="W5817" i="2"/>
  <c r="W5818" i="2"/>
  <c r="W5819" i="2"/>
  <c r="W5820" i="2"/>
  <c r="W5821" i="2"/>
  <c r="W5822" i="2"/>
  <c r="W5823" i="2"/>
  <c r="W5824" i="2"/>
  <c r="W5825" i="2"/>
  <c r="W5826" i="2"/>
  <c r="W5827" i="2"/>
  <c r="W5828" i="2"/>
  <c r="W5829" i="2"/>
  <c r="W5830" i="2"/>
  <c r="W5831" i="2"/>
  <c r="W5832" i="2"/>
  <c r="W5833" i="2"/>
  <c r="W5834" i="2"/>
  <c r="W5835" i="2"/>
  <c r="W5836" i="2"/>
  <c r="W5837" i="2"/>
  <c r="W5838" i="2"/>
  <c r="W5839" i="2"/>
  <c r="W5840" i="2"/>
  <c r="W5841" i="2"/>
  <c r="W5842" i="2"/>
  <c r="W5843" i="2"/>
  <c r="W5844" i="2"/>
  <c r="W5845" i="2"/>
  <c r="W5846" i="2"/>
  <c r="W5847" i="2"/>
  <c r="W5848" i="2"/>
  <c r="W5849" i="2"/>
  <c r="W5850" i="2"/>
  <c r="W5851" i="2"/>
  <c r="W5852" i="2"/>
  <c r="W5853" i="2"/>
  <c r="W5854" i="2"/>
  <c r="W5855" i="2"/>
  <c r="W5856" i="2"/>
  <c r="W5857" i="2"/>
  <c r="W5858" i="2"/>
  <c r="W5859" i="2"/>
  <c r="W5860" i="2"/>
  <c r="W5861" i="2"/>
  <c r="W5862" i="2"/>
  <c r="W5863" i="2"/>
  <c r="W5864" i="2"/>
  <c r="W5865" i="2"/>
  <c r="W5866" i="2"/>
  <c r="W5867" i="2"/>
  <c r="W5868" i="2"/>
  <c r="W5869" i="2"/>
  <c r="W5870" i="2"/>
  <c r="W5871" i="2"/>
  <c r="W5872" i="2"/>
  <c r="W5873" i="2"/>
  <c r="W5874" i="2"/>
  <c r="W5875" i="2"/>
  <c r="W5876" i="2"/>
  <c r="W5877" i="2"/>
  <c r="W5878" i="2"/>
  <c r="W5879" i="2"/>
  <c r="W5880" i="2"/>
  <c r="W5881" i="2"/>
  <c r="W5882" i="2"/>
  <c r="W5883" i="2"/>
  <c r="W5884" i="2"/>
  <c r="W5885" i="2"/>
  <c r="W5886" i="2"/>
  <c r="W5887" i="2"/>
  <c r="W5888" i="2"/>
  <c r="W5889" i="2"/>
  <c r="W5890" i="2"/>
  <c r="W5891" i="2"/>
  <c r="W5892" i="2"/>
  <c r="W5893" i="2"/>
  <c r="W5894" i="2"/>
  <c r="W5895" i="2"/>
  <c r="W5896" i="2"/>
  <c r="W5897" i="2"/>
  <c r="W5898" i="2"/>
  <c r="W5899" i="2"/>
  <c r="W5900" i="2"/>
  <c r="W5901" i="2"/>
  <c r="W5902" i="2"/>
  <c r="W5903" i="2"/>
  <c r="W5904" i="2"/>
  <c r="W5905" i="2"/>
  <c r="W5906" i="2"/>
  <c r="W5907" i="2"/>
  <c r="W5908" i="2"/>
  <c r="W5909" i="2"/>
  <c r="W5910" i="2"/>
  <c r="W5911" i="2"/>
  <c r="W5912" i="2"/>
  <c r="W5913" i="2"/>
  <c r="W5914" i="2"/>
  <c r="W5915" i="2"/>
  <c r="W5916" i="2"/>
  <c r="W5917" i="2"/>
  <c r="W5918" i="2"/>
  <c r="W5919" i="2"/>
  <c r="W5920" i="2"/>
  <c r="W5921" i="2"/>
  <c r="W5922" i="2"/>
  <c r="W5923" i="2"/>
  <c r="W5924" i="2"/>
  <c r="W5925" i="2"/>
  <c r="W5926" i="2"/>
  <c r="W5927" i="2"/>
  <c r="W5928" i="2"/>
  <c r="W5929" i="2"/>
  <c r="W5930" i="2"/>
  <c r="W5931" i="2"/>
  <c r="W5932" i="2"/>
  <c r="W5933" i="2"/>
  <c r="W5934" i="2"/>
  <c r="W5935" i="2"/>
  <c r="W5936" i="2"/>
  <c r="W5937" i="2"/>
  <c r="W5938" i="2"/>
  <c r="W5939" i="2"/>
  <c r="W5940" i="2"/>
  <c r="W5941" i="2"/>
  <c r="W5942" i="2"/>
  <c r="W5943" i="2"/>
  <c r="W5944" i="2"/>
  <c r="W5945" i="2"/>
  <c r="W5946" i="2"/>
  <c r="W5947" i="2"/>
  <c r="W5948" i="2"/>
  <c r="W5949" i="2"/>
  <c r="W5950" i="2"/>
  <c r="W5951" i="2"/>
  <c r="W5952" i="2"/>
  <c r="W5953" i="2"/>
  <c r="W5954" i="2"/>
  <c r="W5955" i="2"/>
  <c r="W5956" i="2"/>
  <c r="W5957" i="2"/>
  <c r="W5958" i="2"/>
  <c r="W5959" i="2"/>
  <c r="W5960" i="2"/>
  <c r="W5961" i="2"/>
  <c r="W5962" i="2"/>
  <c r="W5963" i="2"/>
  <c r="W5964" i="2"/>
  <c r="W5965" i="2"/>
  <c r="W5966" i="2"/>
  <c r="W5967" i="2"/>
  <c r="W5968" i="2"/>
  <c r="W5969" i="2"/>
  <c r="W5970" i="2"/>
  <c r="W5971" i="2"/>
  <c r="W5972" i="2"/>
  <c r="W5973" i="2"/>
  <c r="W5974" i="2"/>
  <c r="W5975" i="2"/>
  <c r="W5976" i="2"/>
  <c r="W5977" i="2"/>
  <c r="W5978" i="2"/>
  <c r="W5979" i="2"/>
  <c r="W5980" i="2"/>
  <c r="W5981" i="2"/>
  <c r="W5982" i="2"/>
  <c r="W5983" i="2"/>
  <c r="W5984" i="2"/>
  <c r="W5985" i="2"/>
  <c r="W5986" i="2"/>
  <c r="W5987" i="2"/>
  <c r="W5988" i="2"/>
  <c r="W5989" i="2"/>
  <c r="W5990" i="2"/>
  <c r="W5991" i="2"/>
  <c r="W5992" i="2"/>
  <c r="W5993" i="2"/>
  <c r="W5994" i="2"/>
  <c r="W5995" i="2"/>
  <c r="W5996" i="2"/>
  <c r="W5997" i="2"/>
  <c r="W5998" i="2"/>
  <c r="W5999" i="2"/>
  <c r="W6000" i="2"/>
  <c r="W6001" i="2"/>
  <c r="W6002" i="2"/>
  <c r="W6003" i="2"/>
  <c r="W6004" i="2"/>
  <c r="W6005" i="2"/>
  <c r="W6006" i="2"/>
  <c r="W6007" i="2"/>
  <c r="W6008" i="2"/>
  <c r="W6009" i="2"/>
  <c r="W6010" i="2"/>
  <c r="W6011" i="2"/>
  <c r="W6012" i="2"/>
  <c r="W6013" i="2"/>
  <c r="W6014" i="2"/>
  <c r="W6015" i="2"/>
  <c r="W6016" i="2"/>
  <c r="W6017" i="2"/>
  <c r="W6018" i="2"/>
  <c r="W6019" i="2"/>
  <c r="W6020" i="2"/>
  <c r="W6021" i="2"/>
  <c r="W6022" i="2"/>
  <c r="W6023" i="2"/>
  <c r="W6024" i="2"/>
  <c r="W6025" i="2"/>
  <c r="W6026" i="2"/>
  <c r="W6027" i="2"/>
  <c r="W6028" i="2"/>
  <c r="W6029" i="2"/>
  <c r="W6030" i="2"/>
  <c r="W6031" i="2"/>
  <c r="W6032" i="2"/>
  <c r="W6033" i="2"/>
  <c r="W6034" i="2"/>
  <c r="W6035" i="2"/>
  <c r="W6036" i="2"/>
  <c r="W6037" i="2"/>
  <c r="W6038" i="2"/>
  <c r="W6039" i="2"/>
  <c r="W6040" i="2"/>
  <c r="W6041" i="2"/>
  <c r="W6042" i="2"/>
  <c r="W6043" i="2"/>
  <c r="W6044" i="2"/>
  <c r="W6045" i="2"/>
  <c r="W6046" i="2"/>
  <c r="W6047" i="2"/>
  <c r="W6048" i="2"/>
  <c r="W6049" i="2"/>
  <c r="W6050" i="2"/>
  <c r="W6051" i="2"/>
  <c r="W6052" i="2"/>
  <c r="W6053" i="2"/>
  <c r="W6054" i="2"/>
  <c r="W6055" i="2"/>
  <c r="W6056" i="2"/>
  <c r="W6057" i="2"/>
  <c r="W6058" i="2"/>
  <c r="W6059" i="2"/>
  <c r="W6060" i="2"/>
  <c r="W6061" i="2"/>
  <c r="W6062" i="2"/>
  <c r="W6063" i="2"/>
  <c r="W6064" i="2"/>
  <c r="W6065" i="2"/>
  <c r="W6066" i="2"/>
  <c r="W6067" i="2"/>
  <c r="W6068" i="2"/>
  <c r="W6069" i="2"/>
  <c r="W6070" i="2"/>
  <c r="W6071" i="2"/>
  <c r="W6072" i="2"/>
  <c r="W6073" i="2"/>
  <c r="W6074" i="2"/>
  <c r="W6075" i="2"/>
  <c r="W6076" i="2"/>
  <c r="W6077" i="2"/>
  <c r="W6078" i="2"/>
  <c r="W6079" i="2"/>
  <c r="W6080" i="2"/>
  <c r="W6081" i="2"/>
  <c r="W6082" i="2"/>
  <c r="W6083" i="2"/>
  <c r="W6084" i="2"/>
  <c r="W6085" i="2"/>
  <c r="W6086" i="2"/>
  <c r="W6087" i="2"/>
  <c r="W6088" i="2"/>
  <c r="W6089" i="2"/>
  <c r="W6090" i="2"/>
  <c r="W6091" i="2"/>
  <c r="W6092" i="2"/>
  <c r="W6093" i="2"/>
  <c r="W6094" i="2"/>
  <c r="W6095" i="2"/>
  <c r="W6096" i="2"/>
  <c r="W6097" i="2"/>
  <c r="W6098" i="2"/>
  <c r="W6099" i="2"/>
  <c r="W6100" i="2"/>
  <c r="W6101" i="2"/>
  <c r="W6102" i="2"/>
  <c r="W6103" i="2"/>
  <c r="W6104" i="2"/>
  <c r="W6105" i="2"/>
  <c r="W6106" i="2"/>
  <c r="W6107" i="2"/>
  <c r="W6108" i="2"/>
  <c r="W6109" i="2"/>
  <c r="W6110" i="2"/>
  <c r="W6111" i="2"/>
  <c r="W6112" i="2"/>
  <c r="W6113" i="2"/>
  <c r="W6114" i="2"/>
  <c r="W6115" i="2"/>
  <c r="W6116" i="2"/>
  <c r="W6117" i="2"/>
  <c r="W6118" i="2"/>
  <c r="W6119" i="2"/>
  <c r="W6120" i="2"/>
  <c r="W6121" i="2"/>
  <c r="W6122" i="2"/>
  <c r="W6123" i="2"/>
  <c r="W6124" i="2"/>
  <c r="W6125" i="2"/>
  <c r="W6126" i="2"/>
  <c r="W6127" i="2"/>
  <c r="W6128" i="2"/>
  <c r="W6129" i="2"/>
  <c r="W6130" i="2"/>
  <c r="W6131" i="2"/>
  <c r="W6132" i="2"/>
  <c r="W6133" i="2"/>
  <c r="W6134" i="2"/>
  <c r="W6135" i="2"/>
  <c r="W6136" i="2"/>
  <c r="W6137" i="2"/>
  <c r="W6138" i="2"/>
  <c r="W6139" i="2"/>
  <c r="W6140" i="2"/>
  <c r="W6141" i="2"/>
  <c r="W6142" i="2"/>
  <c r="W6143" i="2"/>
  <c r="W6144" i="2"/>
  <c r="W6145" i="2"/>
  <c r="W6146" i="2"/>
  <c r="W6147" i="2"/>
  <c r="W6148" i="2"/>
  <c r="W6149" i="2"/>
  <c r="W6150" i="2"/>
  <c r="W6151" i="2"/>
  <c r="W6152" i="2"/>
  <c r="W6153" i="2"/>
  <c r="W6154" i="2"/>
  <c r="W6155" i="2"/>
  <c r="W6156" i="2"/>
  <c r="W6157" i="2"/>
  <c r="W6158" i="2"/>
  <c r="W6159" i="2"/>
  <c r="W6160" i="2"/>
  <c r="W6161" i="2"/>
  <c r="W6162" i="2"/>
  <c r="W6163" i="2"/>
  <c r="W6164" i="2"/>
  <c r="W6165" i="2"/>
  <c r="W6166" i="2"/>
  <c r="W6167" i="2"/>
  <c r="W6168" i="2"/>
  <c r="W6169" i="2"/>
  <c r="W6170" i="2"/>
  <c r="W6171" i="2"/>
  <c r="W6172" i="2"/>
  <c r="W6173" i="2"/>
  <c r="W6174" i="2"/>
  <c r="W6175" i="2"/>
  <c r="W6176" i="2"/>
  <c r="W6177" i="2"/>
  <c r="W6178" i="2"/>
  <c r="W6179" i="2"/>
  <c r="W6180" i="2"/>
  <c r="W6181" i="2"/>
  <c r="W6182" i="2"/>
  <c r="W6183" i="2"/>
  <c r="W6184" i="2"/>
  <c r="W6185" i="2"/>
  <c r="W6186" i="2"/>
  <c r="W6187" i="2"/>
  <c r="W6188" i="2"/>
  <c r="W6189" i="2"/>
  <c r="W6190" i="2"/>
  <c r="W6191" i="2"/>
  <c r="W6192" i="2"/>
  <c r="W6193" i="2"/>
  <c r="W6194" i="2"/>
  <c r="W6195" i="2"/>
  <c r="W6196" i="2"/>
  <c r="W6197" i="2"/>
  <c r="W6198" i="2"/>
  <c r="W6199" i="2"/>
  <c r="W6200" i="2"/>
  <c r="W6201" i="2"/>
  <c r="W6202" i="2"/>
  <c r="W6203" i="2"/>
  <c r="W6204" i="2"/>
  <c r="W6205" i="2"/>
  <c r="W6206" i="2"/>
  <c r="W6207" i="2"/>
  <c r="W6208" i="2"/>
  <c r="W6209" i="2"/>
  <c r="W6210" i="2"/>
  <c r="W6211" i="2"/>
  <c r="W6212" i="2"/>
  <c r="W6213" i="2"/>
  <c r="W6214" i="2"/>
  <c r="W6215" i="2"/>
  <c r="W6216" i="2"/>
  <c r="W6217" i="2"/>
  <c r="W6218" i="2"/>
  <c r="W6219" i="2"/>
  <c r="W6220" i="2"/>
  <c r="W6221" i="2"/>
  <c r="W6222" i="2"/>
  <c r="W6223" i="2"/>
  <c r="W6224" i="2"/>
  <c r="W6225" i="2"/>
  <c r="W6226" i="2"/>
  <c r="W6227" i="2"/>
  <c r="W6228" i="2"/>
  <c r="W6229" i="2"/>
  <c r="W6230" i="2"/>
  <c r="W6231" i="2"/>
  <c r="W6232" i="2"/>
  <c r="W6233" i="2"/>
  <c r="W6234" i="2"/>
  <c r="W6235" i="2"/>
  <c r="W6236" i="2"/>
  <c r="W6237" i="2"/>
  <c r="W6238" i="2"/>
  <c r="W6239" i="2"/>
  <c r="W6240" i="2"/>
  <c r="W6241" i="2"/>
  <c r="W6242" i="2"/>
  <c r="W6243" i="2"/>
  <c r="W6244" i="2"/>
  <c r="W6245" i="2"/>
  <c r="W6246" i="2"/>
  <c r="W6247" i="2"/>
  <c r="W6248" i="2"/>
  <c r="W6249" i="2"/>
  <c r="W6250" i="2"/>
  <c r="W6251" i="2"/>
  <c r="W6252" i="2"/>
  <c r="W6253" i="2"/>
  <c r="W6254" i="2"/>
  <c r="W6255" i="2"/>
  <c r="W6256" i="2"/>
  <c r="W6257" i="2"/>
  <c r="W6258" i="2"/>
  <c r="W6259" i="2"/>
  <c r="W6260" i="2"/>
  <c r="W6261" i="2"/>
  <c r="W6262" i="2"/>
  <c r="W6263" i="2"/>
  <c r="W6264" i="2"/>
  <c r="W6265" i="2"/>
  <c r="W6266" i="2"/>
  <c r="W6267" i="2"/>
  <c r="W6268" i="2"/>
  <c r="W6269" i="2"/>
  <c r="W6270" i="2"/>
  <c r="W6271" i="2"/>
  <c r="W6272" i="2"/>
  <c r="W6273" i="2"/>
  <c r="W6274" i="2"/>
  <c r="W6275" i="2"/>
  <c r="W6276" i="2"/>
  <c r="W6277" i="2"/>
  <c r="W6278" i="2"/>
  <c r="W6279" i="2"/>
  <c r="W6280" i="2"/>
  <c r="W6281" i="2"/>
  <c r="W6282" i="2"/>
  <c r="W6283" i="2"/>
  <c r="W6284" i="2"/>
  <c r="W6285" i="2"/>
  <c r="W6286" i="2"/>
  <c r="W6287" i="2"/>
  <c r="W6288" i="2"/>
  <c r="W6289" i="2"/>
  <c r="W6290" i="2"/>
  <c r="W6291" i="2"/>
  <c r="W6292" i="2"/>
  <c r="W6293" i="2"/>
  <c r="W6294" i="2"/>
  <c r="W6295" i="2"/>
  <c r="W6296" i="2"/>
  <c r="W6297" i="2"/>
  <c r="W6298" i="2"/>
  <c r="W6299" i="2"/>
  <c r="W6300" i="2"/>
  <c r="W6301" i="2"/>
  <c r="W6302" i="2"/>
  <c r="W6303" i="2"/>
  <c r="W6304" i="2"/>
  <c r="W6305" i="2"/>
  <c r="W6306" i="2"/>
  <c r="W6307" i="2"/>
  <c r="W6308" i="2"/>
  <c r="W6309" i="2"/>
  <c r="W6310" i="2"/>
  <c r="W6311" i="2"/>
  <c r="W6312" i="2"/>
  <c r="W6313" i="2"/>
  <c r="W6314" i="2"/>
  <c r="W6315" i="2"/>
  <c r="W6316" i="2"/>
  <c r="W6317" i="2"/>
  <c r="W6318" i="2"/>
  <c r="W6319" i="2"/>
  <c r="W6320" i="2"/>
  <c r="W6321" i="2"/>
  <c r="W6322" i="2"/>
  <c r="W6323" i="2"/>
  <c r="W6324" i="2"/>
  <c r="W6325" i="2"/>
  <c r="W6326" i="2"/>
  <c r="W6327" i="2"/>
  <c r="W6328" i="2"/>
  <c r="W6329" i="2"/>
  <c r="W6330" i="2"/>
  <c r="W6331" i="2"/>
  <c r="W6332" i="2"/>
  <c r="W6333" i="2"/>
  <c r="W6334" i="2"/>
  <c r="W6335" i="2"/>
  <c r="W6336" i="2"/>
  <c r="W6337" i="2"/>
  <c r="W6338" i="2"/>
  <c r="W6339" i="2"/>
  <c r="W6340" i="2"/>
  <c r="W6341" i="2"/>
  <c r="W6342" i="2"/>
  <c r="W6343" i="2"/>
  <c r="W6344" i="2"/>
  <c r="W6345" i="2"/>
  <c r="W6346" i="2"/>
  <c r="W6347" i="2"/>
  <c r="W6348" i="2"/>
  <c r="W6349" i="2"/>
  <c r="W6350" i="2"/>
  <c r="W6351" i="2"/>
  <c r="W6352" i="2"/>
  <c r="W6353" i="2"/>
  <c r="W6354" i="2"/>
  <c r="W6355" i="2"/>
  <c r="W6356" i="2"/>
  <c r="W6357" i="2"/>
  <c r="W6358" i="2"/>
  <c r="W6359" i="2"/>
  <c r="W6360" i="2"/>
  <c r="W6361" i="2"/>
  <c r="W6362" i="2"/>
  <c r="W6363" i="2"/>
  <c r="W6364" i="2"/>
  <c r="W6365" i="2"/>
  <c r="W6366" i="2"/>
  <c r="W6367" i="2"/>
  <c r="W6368" i="2"/>
  <c r="W6369" i="2"/>
  <c r="W6370" i="2"/>
  <c r="W6371" i="2"/>
  <c r="W6372" i="2"/>
  <c r="W6373" i="2"/>
  <c r="W6374" i="2"/>
  <c r="W6375" i="2"/>
  <c r="W6376" i="2"/>
  <c r="W6377" i="2"/>
  <c r="W6378" i="2"/>
  <c r="W6379" i="2"/>
  <c r="W6380" i="2"/>
  <c r="W6381" i="2"/>
  <c r="W6382" i="2"/>
  <c r="W6383" i="2"/>
  <c r="W6384" i="2"/>
  <c r="W6385" i="2"/>
  <c r="W6386" i="2"/>
  <c r="W6387" i="2"/>
  <c r="W6388" i="2"/>
  <c r="W6389" i="2"/>
  <c r="W6390" i="2"/>
  <c r="W6391" i="2"/>
  <c r="W6392" i="2"/>
  <c r="W6393" i="2"/>
  <c r="W6394" i="2"/>
  <c r="W6395" i="2"/>
  <c r="W6396" i="2"/>
  <c r="W6397" i="2"/>
  <c r="W6398" i="2"/>
  <c r="W6399" i="2"/>
  <c r="W6400" i="2"/>
  <c r="W6401" i="2"/>
  <c r="W6402" i="2"/>
  <c r="W6403" i="2"/>
  <c r="W6404" i="2"/>
  <c r="W6405" i="2"/>
  <c r="W6406" i="2"/>
  <c r="W6407" i="2"/>
  <c r="W6408" i="2"/>
  <c r="W6409" i="2"/>
  <c r="W6410" i="2"/>
  <c r="W6411" i="2"/>
  <c r="W6412" i="2"/>
  <c r="W6413" i="2"/>
  <c r="W6414" i="2"/>
  <c r="W6415" i="2"/>
  <c r="W6416" i="2"/>
  <c r="W6417" i="2"/>
  <c r="W6418" i="2"/>
  <c r="W6419" i="2"/>
  <c r="W6420" i="2"/>
  <c r="W6421" i="2"/>
  <c r="W6422" i="2"/>
  <c r="W6423" i="2"/>
  <c r="W6424" i="2"/>
  <c r="W6425" i="2"/>
  <c r="W6426" i="2"/>
  <c r="W6427" i="2"/>
  <c r="W6428" i="2"/>
  <c r="W6429" i="2"/>
  <c r="W6430" i="2"/>
  <c r="W6431" i="2"/>
  <c r="W6432" i="2"/>
  <c r="W6433" i="2"/>
  <c r="W6434" i="2"/>
  <c r="W6435" i="2"/>
  <c r="W6436" i="2"/>
  <c r="W6437" i="2"/>
  <c r="W6438" i="2"/>
  <c r="W6439" i="2"/>
  <c r="W6440" i="2"/>
  <c r="W6441" i="2"/>
  <c r="W6442" i="2"/>
  <c r="W6443" i="2"/>
  <c r="W6444" i="2"/>
  <c r="W6445" i="2"/>
  <c r="W6446" i="2"/>
  <c r="W6447" i="2"/>
  <c r="W6448" i="2"/>
  <c r="W6449" i="2"/>
  <c r="W6450" i="2"/>
  <c r="W6451" i="2"/>
  <c r="W6452" i="2"/>
  <c r="W6453" i="2"/>
  <c r="W6454" i="2"/>
  <c r="W6455" i="2"/>
  <c r="W6456" i="2"/>
  <c r="W6457" i="2"/>
  <c r="W6458" i="2"/>
  <c r="W6459" i="2"/>
  <c r="W6460" i="2"/>
  <c r="W6461" i="2"/>
  <c r="W6462" i="2"/>
  <c r="W6463" i="2"/>
  <c r="W6464" i="2"/>
  <c r="W6465" i="2"/>
  <c r="W6466" i="2"/>
  <c r="W6467" i="2"/>
  <c r="W6468" i="2"/>
  <c r="W6469" i="2"/>
  <c r="W6470" i="2"/>
  <c r="W6471" i="2"/>
  <c r="W6472" i="2"/>
  <c r="W6473" i="2"/>
  <c r="W6474" i="2"/>
  <c r="W6475" i="2"/>
  <c r="W6476" i="2"/>
  <c r="W6477" i="2"/>
  <c r="W6478" i="2"/>
  <c r="W6479" i="2"/>
  <c r="W6480" i="2"/>
  <c r="W6481" i="2"/>
  <c r="W6482" i="2"/>
  <c r="W6483" i="2"/>
  <c r="W6484" i="2"/>
  <c r="W6485" i="2"/>
  <c r="W6486" i="2"/>
  <c r="W6487" i="2"/>
  <c r="W6488" i="2"/>
  <c r="W6489" i="2"/>
  <c r="W6490" i="2"/>
  <c r="W6491" i="2"/>
  <c r="W6492" i="2"/>
  <c r="W6493" i="2"/>
  <c r="W6494" i="2"/>
  <c r="W6495" i="2"/>
  <c r="W6496" i="2"/>
  <c r="W6497" i="2"/>
  <c r="W6498" i="2"/>
  <c r="W6499" i="2"/>
  <c r="W6500" i="2"/>
  <c r="W6501" i="2"/>
  <c r="W6502" i="2"/>
  <c r="W6503" i="2"/>
  <c r="W6504" i="2"/>
  <c r="W6505" i="2"/>
  <c r="W6506" i="2"/>
  <c r="W6507" i="2"/>
  <c r="W6508" i="2"/>
  <c r="W6509" i="2"/>
  <c r="W6510" i="2"/>
  <c r="W6511" i="2"/>
  <c r="W6512" i="2"/>
  <c r="W6513" i="2"/>
  <c r="W6514" i="2"/>
  <c r="W6515" i="2"/>
  <c r="W6516" i="2"/>
  <c r="W6517" i="2"/>
  <c r="W6518" i="2"/>
  <c r="W6519" i="2"/>
  <c r="W6520" i="2"/>
  <c r="W6521" i="2"/>
  <c r="W6522" i="2"/>
  <c r="W6523" i="2"/>
  <c r="W6524" i="2"/>
  <c r="W6525" i="2"/>
  <c r="W6526" i="2"/>
  <c r="W6527" i="2"/>
  <c r="W6528" i="2"/>
  <c r="W6529" i="2"/>
  <c r="W6530" i="2"/>
  <c r="W6531" i="2"/>
  <c r="W6532" i="2"/>
  <c r="W6533" i="2"/>
  <c r="W6534" i="2"/>
  <c r="W6535" i="2"/>
  <c r="W6536" i="2"/>
  <c r="W6537" i="2"/>
  <c r="W6538" i="2"/>
  <c r="W6539" i="2"/>
  <c r="W6540" i="2"/>
  <c r="W6541" i="2"/>
  <c r="W6542" i="2"/>
  <c r="W6543" i="2"/>
  <c r="W6544" i="2"/>
  <c r="W6545" i="2"/>
  <c r="W6546" i="2"/>
  <c r="W6547" i="2"/>
  <c r="W6548" i="2"/>
  <c r="W6549" i="2"/>
  <c r="W6550" i="2"/>
  <c r="W6551" i="2"/>
  <c r="W6552" i="2"/>
  <c r="W6553" i="2"/>
  <c r="W6554" i="2"/>
  <c r="W6555" i="2"/>
  <c r="W6556" i="2"/>
  <c r="W6557" i="2"/>
  <c r="W6558" i="2"/>
  <c r="W6559" i="2"/>
  <c r="W6560" i="2"/>
  <c r="W6561" i="2"/>
  <c r="W6562" i="2"/>
  <c r="W6563" i="2"/>
  <c r="W6564" i="2"/>
  <c r="W6565" i="2"/>
  <c r="W6566" i="2"/>
  <c r="W6567" i="2"/>
  <c r="W6568" i="2"/>
  <c r="W6569" i="2"/>
  <c r="W6570" i="2"/>
  <c r="W6571" i="2"/>
  <c r="W6572" i="2"/>
  <c r="W6573" i="2"/>
  <c r="W6574" i="2"/>
  <c r="W6575" i="2"/>
  <c r="W6576" i="2"/>
  <c r="W6577" i="2"/>
  <c r="W6578" i="2"/>
  <c r="W6579" i="2"/>
  <c r="W6580" i="2"/>
  <c r="W6581" i="2"/>
  <c r="W6582" i="2"/>
  <c r="W6583" i="2"/>
  <c r="W6584" i="2"/>
  <c r="W6585" i="2"/>
  <c r="W6586" i="2"/>
  <c r="W6587" i="2"/>
  <c r="W6588" i="2"/>
  <c r="W6589" i="2"/>
  <c r="W6590" i="2"/>
  <c r="W6591" i="2"/>
  <c r="W6592" i="2"/>
  <c r="W6593" i="2"/>
  <c r="W6594" i="2"/>
  <c r="W6595" i="2"/>
  <c r="W6596" i="2"/>
  <c r="W6597" i="2"/>
  <c r="W6598" i="2"/>
  <c r="W6599" i="2"/>
  <c r="W6600" i="2"/>
  <c r="W6601" i="2"/>
  <c r="W6602" i="2"/>
  <c r="W6603" i="2"/>
  <c r="W6604" i="2"/>
  <c r="W6605" i="2"/>
  <c r="W6606" i="2"/>
  <c r="W6607" i="2"/>
  <c r="W6608" i="2"/>
  <c r="W6609" i="2"/>
  <c r="W6610" i="2"/>
  <c r="W6611" i="2"/>
  <c r="W6612" i="2"/>
  <c r="W6613" i="2"/>
  <c r="W6614" i="2"/>
  <c r="W6615" i="2"/>
  <c r="W6616" i="2"/>
  <c r="W6617" i="2"/>
  <c r="W6618" i="2"/>
  <c r="W6619" i="2"/>
  <c r="W6620" i="2"/>
  <c r="W6621" i="2"/>
  <c r="W6622" i="2"/>
  <c r="W6623" i="2"/>
  <c r="W6624" i="2"/>
  <c r="W6625" i="2"/>
  <c r="W6626" i="2"/>
  <c r="W6627" i="2"/>
  <c r="W6628" i="2"/>
  <c r="W6629" i="2"/>
  <c r="W6630" i="2"/>
  <c r="W6631" i="2"/>
  <c r="W6632" i="2"/>
  <c r="W6633" i="2"/>
  <c r="W6634" i="2"/>
  <c r="W6635" i="2"/>
  <c r="W6636" i="2"/>
  <c r="W6637" i="2"/>
  <c r="W6638" i="2"/>
  <c r="W6639" i="2"/>
  <c r="W6640" i="2"/>
  <c r="W6641" i="2"/>
  <c r="W6642" i="2"/>
  <c r="W6643" i="2"/>
  <c r="W6644" i="2"/>
  <c r="W6645" i="2"/>
  <c r="W6646" i="2"/>
  <c r="W6647" i="2"/>
  <c r="W6648" i="2"/>
  <c r="W6649" i="2"/>
  <c r="W6650" i="2"/>
  <c r="W6651" i="2"/>
  <c r="W6652" i="2"/>
  <c r="W6653" i="2"/>
  <c r="W6654" i="2"/>
  <c r="W6655" i="2"/>
  <c r="W6656" i="2"/>
  <c r="W6657" i="2"/>
  <c r="W6658" i="2"/>
  <c r="W6659" i="2"/>
  <c r="W6660" i="2"/>
  <c r="W6661" i="2"/>
  <c r="W6662" i="2"/>
  <c r="W6663" i="2"/>
  <c r="W6664" i="2"/>
  <c r="W6665" i="2"/>
  <c r="W6666" i="2"/>
  <c r="W6667" i="2"/>
  <c r="W6668" i="2"/>
  <c r="W6669" i="2"/>
  <c r="W6670" i="2"/>
  <c r="W6671" i="2"/>
  <c r="W6672" i="2"/>
  <c r="W6673" i="2"/>
  <c r="W6674" i="2"/>
  <c r="W6675" i="2"/>
  <c r="W6676" i="2"/>
  <c r="W6677" i="2"/>
  <c r="W6678" i="2"/>
  <c r="W6679" i="2"/>
  <c r="W6680" i="2"/>
  <c r="W6681" i="2"/>
  <c r="W6682" i="2"/>
  <c r="W6683" i="2"/>
  <c r="W6684" i="2"/>
  <c r="W6685" i="2"/>
  <c r="W6686" i="2"/>
  <c r="W6687" i="2"/>
  <c r="W6688" i="2"/>
  <c r="W6689" i="2"/>
  <c r="W6690" i="2"/>
  <c r="W6691" i="2"/>
  <c r="W6692" i="2"/>
  <c r="W6693" i="2"/>
  <c r="W6694" i="2"/>
  <c r="W6695" i="2"/>
  <c r="W6696" i="2"/>
  <c r="W6697" i="2"/>
  <c r="W6698" i="2"/>
  <c r="W6699" i="2"/>
  <c r="W6700" i="2"/>
  <c r="W6701" i="2"/>
  <c r="W6702" i="2"/>
  <c r="W6703" i="2"/>
  <c r="W6704" i="2"/>
  <c r="W6705" i="2"/>
  <c r="W6706" i="2"/>
  <c r="W6707" i="2"/>
  <c r="W6708" i="2"/>
  <c r="W6709" i="2"/>
  <c r="W6710" i="2"/>
  <c r="W6711" i="2"/>
  <c r="W6712" i="2"/>
  <c r="W6713" i="2"/>
  <c r="W6714" i="2"/>
  <c r="W6715" i="2"/>
  <c r="W6716" i="2"/>
  <c r="W6717" i="2"/>
  <c r="W6718" i="2"/>
  <c r="W6719" i="2"/>
  <c r="W6720" i="2"/>
  <c r="W6721" i="2"/>
  <c r="W6722" i="2"/>
  <c r="W6723" i="2"/>
  <c r="W6724" i="2"/>
  <c r="W6725" i="2"/>
  <c r="W6726" i="2"/>
  <c r="W6727" i="2"/>
  <c r="W6728" i="2"/>
  <c r="W6729" i="2"/>
  <c r="W6730" i="2"/>
  <c r="W6731" i="2"/>
  <c r="W6732" i="2"/>
  <c r="W6733" i="2"/>
  <c r="W6734" i="2"/>
  <c r="W6735" i="2"/>
  <c r="W6736" i="2"/>
  <c r="W6737" i="2"/>
  <c r="W6738" i="2"/>
  <c r="W6739" i="2"/>
  <c r="W6740" i="2"/>
  <c r="W6741" i="2"/>
  <c r="W6742" i="2"/>
  <c r="W6743" i="2"/>
  <c r="W6744" i="2"/>
  <c r="W6745" i="2"/>
  <c r="W6746" i="2"/>
  <c r="W6747" i="2"/>
  <c r="W6748" i="2"/>
  <c r="W6749" i="2"/>
  <c r="W6750" i="2"/>
  <c r="W6751" i="2"/>
  <c r="W6752" i="2"/>
  <c r="W6753" i="2"/>
  <c r="W6754" i="2"/>
  <c r="W6755" i="2"/>
  <c r="W6756" i="2"/>
  <c r="W6757" i="2"/>
  <c r="W6758" i="2"/>
  <c r="W6759" i="2"/>
  <c r="W6760" i="2"/>
  <c r="W6761" i="2"/>
  <c r="W6762" i="2"/>
  <c r="W6763" i="2"/>
  <c r="W6764" i="2"/>
  <c r="W6765" i="2"/>
  <c r="W6766" i="2"/>
  <c r="W6767" i="2"/>
  <c r="W6768" i="2"/>
  <c r="W6769" i="2"/>
  <c r="W6770" i="2"/>
  <c r="W6771" i="2"/>
  <c r="W6772" i="2"/>
  <c r="W6773" i="2"/>
  <c r="W6774" i="2"/>
  <c r="W6775" i="2"/>
  <c r="W6776" i="2"/>
  <c r="W6777" i="2"/>
  <c r="W6778" i="2"/>
  <c r="W6779" i="2"/>
  <c r="W6780" i="2"/>
  <c r="W6781" i="2"/>
  <c r="W6782" i="2"/>
  <c r="W6783" i="2"/>
  <c r="W6784" i="2"/>
  <c r="W6785" i="2"/>
  <c r="W6786" i="2"/>
  <c r="W6787" i="2"/>
  <c r="W6788" i="2"/>
  <c r="W6789" i="2"/>
  <c r="W6790" i="2"/>
  <c r="W6791" i="2"/>
  <c r="W6792" i="2"/>
  <c r="W6793" i="2"/>
  <c r="W6794" i="2"/>
  <c r="W6795" i="2"/>
  <c r="W6796" i="2"/>
  <c r="W6797" i="2"/>
  <c r="W6798" i="2"/>
  <c r="W6799" i="2"/>
  <c r="W6800" i="2"/>
  <c r="W6801" i="2"/>
  <c r="W6802" i="2"/>
  <c r="W6803" i="2"/>
  <c r="W6804" i="2"/>
  <c r="W6805" i="2"/>
  <c r="W6806" i="2"/>
  <c r="W6807" i="2"/>
  <c r="W6808" i="2"/>
  <c r="W6809" i="2"/>
  <c r="W6810" i="2"/>
  <c r="W6811" i="2"/>
  <c r="W6812" i="2"/>
  <c r="W6813" i="2"/>
  <c r="W6814" i="2"/>
  <c r="W6815" i="2"/>
  <c r="W6816" i="2"/>
  <c r="W6817" i="2"/>
  <c r="W6818" i="2"/>
  <c r="W6819" i="2"/>
  <c r="W6820" i="2"/>
  <c r="W6821" i="2"/>
  <c r="W6822" i="2"/>
  <c r="W6823" i="2"/>
  <c r="W6824" i="2"/>
  <c r="W6825" i="2"/>
  <c r="W6826" i="2"/>
  <c r="W6827" i="2"/>
  <c r="W6828" i="2"/>
  <c r="W6829" i="2"/>
  <c r="W6830" i="2"/>
  <c r="W6831" i="2"/>
  <c r="W6832" i="2"/>
  <c r="W6833" i="2"/>
  <c r="W6834" i="2"/>
  <c r="W6835" i="2"/>
  <c r="W6836" i="2"/>
  <c r="W6837" i="2"/>
  <c r="W6838" i="2"/>
  <c r="W6839" i="2"/>
  <c r="W6840" i="2"/>
  <c r="W6841" i="2"/>
  <c r="W6842" i="2"/>
  <c r="W6843" i="2"/>
  <c r="W6844" i="2"/>
  <c r="W6845" i="2"/>
  <c r="W6846" i="2"/>
  <c r="W6847" i="2"/>
  <c r="W6848" i="2"/>
  <c r="W6849" i="2"/>
  <c r="W6850" i="2"/>
  <c r="W6851" i="2"/>
  <c r="W6852" i="2"/>
  <c r="W6853" i="2"/>
  <c r="W6854" i="2"/>
  <c r="W6855" i="2"/>
  <c r="W6856" i="2"/>
  <c r="W6857" i="2"/>
  <c r="W6858" i="2"/>
  <c r="W6859" i="2"/>
  <c r="W6860" i="2"/>
  <c r="W6861" i="2"/>
  <c r="W6862" i="2"/>
  <c r="W6863" i="2"/>
  <c r="W6864" i="2"/>
  <c r="W6865" i="2"/>
  <c r="W6866" i="2"/>
  <c r="W6867" i="2"/>
  <c r="W6868" i="2"/>
  <c r="W6869" i="2"/>
  <c r="W6870" i="2"/>
  <c r="W6871" i="2"/>
  <c r="W6872" i="2"/>
  <c r="W6873" i="2"/>
  <c r="W6874" i="2"/>
  <c r="W6875" i="2"/>
  <c r="W6876" i="2"/>
  <c r="W6877" i="2"/>
  <c r="W6878" i="2"/>
  <c r="W6879" i="2"/>
  <c r="W6880" i="2"/>
  <c r="W6881" i="2"/>
  <c r="W6882" i="2"/>
  <c r="W6883" i="2"/>
  <c r="W6884" i="2"/>
  <c r="W6885" i="2"/>
  <c r="W6886" i="2"/>
  <c r="W6887" i="2"/>
  <c r="W6888" i="2"/>
  <c r="W6889" i="2"/>
  <c r="W6890" i="2"/>
  <c r="W6891" i="2"/>
  <c r="W6892" i="2"/>
  <c r="W6893" i="2"/>
  <c r="W6894" i="2"/>
  <c r="W6895" i="2"/>
  <c r="W6896" i="2"/>
  <c r="W6897" i="2"/>
  <c r="W6898" i="2"/>
  <c r="W6899" i="2"/>
  <c r="W6900" i="2"/>
  <c r="W6901" i="2"/>
  <c r="W6902" i="2"/>
  <c r="W6903" i="2"/>
  <c r="W6904" i="2"/>
  <c r="W6905" i="2"/>
  <c r="W6906" i="2"/>
  <c r="W6907" i="2"/>
  <c r="W6908" i="2"/>
  <c r="W6909" i="2"/>
  <c r="W6910" i="2"/>
  <c r="W6911" i="2"/>
  <c r="W6912" i="2"/>
  <c r="W6913" i="2"/>
  <c r="W6914" i="2"/>
  <c r="W6915" i="2"/>
  <c r="W6916" i="2"/>
  <c r="W6917" i="2"/>
  <c r="W6918" i="2"/>
  <c r="W6919" i="2"/>
  <c r="W6920" i="2"/>
  <c r="W6921" i="2"/>
  <c r="W6922" i="2"/>
  <c r="W6923" i="2"/>
  <c r="W6924" i="2"/>
  <c r="W6925" i="2"/>
  <c r="W6926" i="2"/>
  <c r="W6927" i="2"/>
  <c r="W6928" i="2"/>
  <c r="W6929" i="2"/>
  <c r="W6930" i="2"/>
  <c r="W6931" i="2"/>
  <c r="W6932" i="2"/>
  <c r="W6933" i="2"/>
  <c r="W6934" i="2"/>
  <c r="W6935" i="2"/>
  <c r="W6936" i="2"/>
  <c r="W6937" i="2"/>
  <c r="W6938" i="2"/>
  <c r="W6939" i="2"/>
  <c r="W6940" i="2"/>
  <c r="W6941" i="2"/>
  <c r="W6942" i="2"/>
  <c r="W6943" i="2"/>
  <c r="W6944" i="2"/>
  <c r="W6945" i="2"/>
  <c r="W6946" i="2"/>
  <c r="W6947" i="2"/>
  <c r="W6948" i="2"/>
  <c r="W6949" i="2"/>
  <c r="W6950" i="2"/>
  <c r="W6951" i="2"/>
  <c r="W6952" i="2"/>
  <c r="W6953" i="2"/>
  <c r="W6954" i="2"/>
  <c r="W6955" i="2"/>
  <c r="W6956" i="2"/>
  <c r="W6957" i="2"/>
  <c r="W6958" i="2"/>
  <c r="W6959" i="2"/>
  <c r="W6960" i="2"/>
  <c r="W6961" i="2"/>
  <c r="W6962" i="2"/>
  <c r="W6963" i="2"/>
  <c r="W6964" i="2"/>
  <c r="W6965" i="2"/>
  <c r="W6966" i="2"/>
  <c r="W6967" i="2"/>
  <c r="W6968" i="2"/>
  <c r="W6969" i="2"/>
  <c r="W6970" i="2"/>
  <c r="W6971" i="2"/>
  <c r="W6972" i="2"/>
  <c r="W6973" i="2"/>
  <c r="W6974" i="2"/>
  <c r="W6975" i="2"/>
  <c r="W6976" i="2"/>
  <c r="W6977" i="2"/>
  <c r="W6978" i="2"/>
  <c r="W6979" i="2"/>
  <c r="W6980" i="2"/>
  <c r="W6981" i="2"/>
  <c r="W6982" i="2"/>
  <c r="W6983" i="2"/>
  <c r="W6984" i="2"/>
  <c r="W6985" i="2"/>
  <c r="W6986" i="2"/>
  <c r="W6987" i="2"/>
  <c r="W6988" i="2"/>
  <c r="W6989" i="2"/>
  <c r="W6990" i="2"/>
  <c r="W6991" i="2"/>
  <c r="W6992" i="2"/>
  <c r="W6993" i="2"/>
  <c r="W6994" i="2"/>
  <c r="W6995" i="2"/>
  <c r="W6996" i="2"/>
  <c r="W6997" i="2"/>
  <c r="W6998" i="2"/>
  <c r="W6999" i="2"/>
  <c r="W7000" i="2"/>
  <c r="W7001" i="2"/>
  <c r="W7002" i="2"/>
  <c r="W7003" i="2"/>
  <c r="W7004" i="2"/>
  <c r="W7005" i="2"/>
  <c r="W7006" i="2"/>
  <c r="W7007" i="2"/>
  <c r="W7008" i="2"/>
  <c r="W7009" i="2"/>
  <c r="W7010" i="2"/>
  <c r="W7011" i="2"/>
  <c r="W7012" i="2"/>
  <c r="W7013" i="2"/>
  <c r="W7014" i="2"/>
  <c r="W7015" i="2"/>
  <c r="W7016" i="2"/>
  <c r="W7017" i="2"/>
  <c r="W7018" i="2"/>
  <c r="W7019" i="2"/>
  <c r="W7020" i="2"/>
  <c r="W7021" i="2"/>
  <c r="W7022" i="2"/>
  <c r="W7023" i="2"/>
  <c r="W7024" i="2"/>
  <c r="W7025" i="2"/>
  <c r="W7026" i="2"/>
  <c r="W7027" i="2"/>
  <c r="W7028" i="2"/>
  <c r="W7029" i="2"/>
  <c r="W7030" i="2"/>
  <c r="W7031" i="2"/>
  <c r="W7032" i="2"/>
  <c r="W7033" i="2"/>
  <c r="W7034" i="2"/>
  <c r="W7035" i="2"/>
  <c r="W7036" i="2"/>
  <c r="W7037" i="2"/>
  <c r="W7038" i="2"/>
  <c r="W7039" i="2"/>
  <c r="W7040" i="2"/>
  <c r="W7041" i="2"/>
  <c r="W7042" i="2"/>
  <c r="W7043" i="2"/>
  <c r="W7044" i="2"/>
  <c r="W7045" i="2"/>
  <c r="W7046" i="2"/>
  <c r="W7047" i="2"/>
  <c r="W7048" i="2"/>
  <c r="W7049" i="2"/>
  <c r="W7050" i="2"/>
  <c r="W7051" i="2"/>
  <c r="W7052" i="2"/>
  <c r="W7053" i="2"/>
  <c r="W7054" i="2"/>
  <c r="W7055" i="2"/>
  <c r="W7056" i="2"/>
  <c r="W7057" i="2"/>
  <c r="W7058" i="2"/>
  <c r="W7059" i="2"/>
  <c r="W7060" i="2"/>
  <c r="W7061" i="2"/>
  <c r="W7062" i="2"/>
  <c r="W7063" i="2"/>
  <c r="W7064" i="2"/>
  <c r="W7065" i="2"/>
  <c r="W7066" i="2"/>
  <c r="W7067" i="2"/>
  <c r="W7068" i="2"/>
  <c r="W7069" i="2"/>
  <c r="W7070" i="2"/>
  <c r="W7071" i="2"/>
  <c r="W7072" i="2"/>
  <c r="W7073" i="2"/>
  <c r="W7074" i="2"/>
  <c r="W7075" i="2"/>
  <c r="W7076" i="2"/>
  <c r="W7077" i="2"/>
  <c r="W7078" i="2"/>
  <c r="W7079" i="2"/>
  <c r="W7080" i="2"/>
  <c r="W7081" i="2"/>
  <c r="W7082" i="2"/>
  <c r="W7083" i="2"/>
  <c r="W7084" i="2"/>
  <c r="W7085" i="2"/>
  <c r="W7086" i="2"/>
  <c r="W7087" i="2"/>
  <c r="W7088" i="2"/>
  <c r="W7089" i="2"/>
  <c r="W7090" i="2"/>
  <c r="W7091" i="2"/>
  <c r="W7092" i="2"/>
  <c r="W7093" i="2"/>
  <c r="W7094" i="2"/>
  <c r="W7095" i="2"/>
  <c r="W7096" i="2"/>
  <c r="W7097" i="2"/>
  <c r="W7098" i="2"/>
  <c r="W7099" i="2"/>
  <c r="W7100" i="2"/>
  <c r="W7101" i="2"/>
  <c r="W7102" i="2"/>
  <c r="W7103" i="2"/>
  <c r="W7104" i="2"/>
  <c r="W7105" i="2"/>
  <c r="W7106" i="2"/>
  <c r="W7107" i="2"/>
  <c r="W7108" i="2"/>
  <c r="W7109" i="2"/>
  <c r="W7110" i="2"/>
  <c r="W7111" i="2"/>
  <c r="W7112" i="2"/>
  <c r="W7113" i="2"/>
  <c r="W7114" i="2"/>
  <c r="W7115" i="2"/>
  <c r="W7116" i="2"/>
  <c r="W7117" i="2"/>
  <c r="W7118" i="2"/>
  <c r="W7119" i="2"/>
  <c r="W7120" i="2"/>
  <c r="W7121" i="2"/>
  <c r="W7122" i="2"/>
  <c r="W7123" i="2"/>
  <c r="W7124" i="2"/>
  <c r="W7125" i="2"/>
  <c r="W7126" i="2"/>
  <c r="W7127" i="2"/>
  <c r="W7128" i="2"/>
  <c r="W7129" i="2"/>
  <c r="W7130" i="2"/>
  <c r="W7131" i="2"/>
  <c r="W7132" i="2"/>
  <c r="W7133" i="2"/>
  <c r="W7134" i="2"/>
  <c r="W7135" i="2"/>
  <c r="W7136" i="2"/>
  <c r="W7137" i="2"/>
  <c r="W7138" i="2"/>
  <c r="W7139" i="2"/>
  <c r="W7140" i="2"/>
  <c r="W7141" i="2"/>
  <c r="W7142" i="2"/>
  <c r="W7143" i="2"/>
  <c r="W7144" i="2"/>
  <c r="W7145" i="2"/>
  <c r="W7146" i="2"/>
  <c r="W7147" i="2"/>
  <c r="W7148" i="2"/>
  <c r="W7149" i="2"/>
  <c r="W7150" i="2"/>
  <c r="W7151" i="2"/>
  <c r="W7152" i="2"/>
  <c r="W7153" i="2"/>
  <c r="W7154" i="2"/>
  <c r="W7155" i="2"/>
  <c r="W7156" i="2"/>
  <c r="W7157" i="2"/>
  <c r="W7158" i="2"/>
  <c r="W7159" i="2"/>
  <c r="W7160" i="2"/>
  <c r="W7161" i="2"/>
  <c r="W7162" i="2"/>
  <c r="W7163" i="2"/>
  <c r="W7164" i="2"/>
  <c r="W7165" i="2"/>
  <c r="W7166" i="2"/>
  <c r="W7167" i="2"/>
  <c r="W7168" i="2"/>
  <c r="W7169" i="2"/>
  <c r="W7170" i="2"/>
  <c r="W7171" i="2"/>
  <c r="W7172" i="2"/>
  <c r="W7173" i="2"/>
  <c r="W7174" i="2"/>
  <c r="W7175" i="2"/>
  <c r="W7176" i="2"/>
  <c r="W7177" i="2"/>
  <c r="W7178" i="2"/>
  <c r="W7179" i="2"/>
  <c r="W7180" i="2"/>
  <c r="W7181" i="2"/>
  <c r="W7182" i="2"/>
  <c r="W7183" i="2"/>
  <c r="W7184" i="2"/>
  <c r="W7185" i="2"/>
  <c r="W7186" i="2"/>
  <c r="W7187" i="2"/>
  <c r="W7188" i="2"/>
  <c r="W7189" i="2"/>
  <c r="W7190" i="2"/>
  <c r="W7191" i="2"/>
  <c r="W7192" i="2"/>
  <c r="W7193" i="2"/>
  <c r="W7194" i="2"/>
  <c r="W7195" i="2"/>
  <c r="W7196" i="2"/>
  <c r="W7197" i="2"/>
  <c r="W7198" i="2"/>
  <c r="W7199" i="2"/>
  <c r="W7200" i="2"/>
  <c r="W7201" i="2"/>
  <c r="W7202" i="2"/>
  <c r="W7203" i="2"/>
  <c r="W7204" i="2"/>
  <c r="W7205" i="2"/>
  <c r="W7206" i="2"/>
  <c r="W7207" i="2"/>
  <c r="W7208" i="2"/>
  <c r="W7209" i="2"/>
  <c r="W7210" i="2"/>
  <c r="W7211" i="2"/>
  <c r="W7212" i="2"/>
  <c r="W7213" i="2"/>
  <c r="W7214" i="2"/>
  <c r="W7215" i="2"/>
  <c r="W7216" i="2"/>
  <c r="W7217" i="2"/>
  <c r="W7218" i="2"/>
  <c r="W7219" i="2"/>
  <c r="W7220" i="2"/>
  <c r="W7221" i="2"/>
  <c r="W7222" i="2"/>
  <c r="W7223" i="2"/>
  <c r="W7224" i="2"/>
  <c r="W7225" i="2"/>
  <c r="W7226" i="2"/>
  <c r="W7227" i="2"/>
  <c r="W7228" i="2"/>
  <c r="W7229" i="2"/>
  <c r="W7230" i="2"/>
  <c r="W7231" i="2"/>
  <c r="W7232" i="2"/>
  <c r="W7233" i="2"/>
  <c r="W7234" i="2"/>
  <c r="W7235" i="2"/>
  <c r="W7236" i="2"/>
  <c r="W7237" i="2"/>
  <c r="W7238" i="2"/>
  <c r="W7239" i="2"/>
  <c r="W7240" i="2"/>
  <c r="W7241" i="2"/>
  <c r="W7242" i="2"/>
  <c r="W7243" i="2"/>
  <c r="W7244" i="2"/>
  <c r="W7245" i="2"/>
  <c r="W7246" i="2"/>
  <c r="W7247" i="2"/>
  <c r="W7248" i="2"/>
  <c r="W7249" i="2"/>
  <c r="W7250" i="2"/>
  <c r="W7251" i="2"/>
  <c r="W7252" i="2"/>
  <c r="W7253" i="2"/>
  <c r="W7254" i="2"/>
  <c r="W7255" i="2"/>
  <c r="W7256" i="2"/>
  <c r="W7257" i="2"/>
  <c r="W7258" i="2"/>
  <c r="W7259" i="2"/>
  <c r="W7260" i="2"/>
  <c r="W7261" i="2"/>
  <c r="W7262" i="2"/>
  <c r="W7263" i="2"/>
  <c r="W7264" i="2"/>
  <c r="W7265" i="2"/>
  <c r="W7266" i="2"/>
  <c r="W7267" i="2"/>
  <c r="W7268" i="2"/>
  <c r="W7269" i="2"/>
  <c r="W7270" i="2"/>
  <c r="W7271" i="2"/>
  <c r="W7272" i="2"/>
  <c r="W7273" i="2"/>
  <c r="W7274" i="2"/>
  <c r="W7275" i="2"/>
  <c r="W7276" i="2"/>
  <c r="W7277" i="2"/>
  <c r="W7278" i="2"/>
  <c r="W7279" i="2"/>
  <c r="W7280" i="2"/>
  <c r="W7281" i="2"/>
  <c r="W7282" i="2"/>
  <c r="W7283" i="2"/>
  <c r="W7284" i="2"/>
  <c r="W7285" i="2"/>
  <c r="W7286" i="2"/>
  <c r="W7287" i="2"/>
  <c r="W7288" i="2"/>
  <c r="W7289" i="2"/>
  <c r="W7290" i="2"/>
  <c r="W7291" i="2"/>
  <c r="W7292" i="2"/>
  <c r="W7293" i="2"/>
  <c r="W7294" i="2"/>
  <c r="W7295" i="2"/>
  <c r="W7296" i="2"/>
  <c r="W7297" i="2"/>
  <c r="W7298" i="2"/>
  <c r="W7299" i="2"/>
  <c r="W7300" i="2"/>
  <c r="W7301" i="2"/>
  <c r="W7302" i="2"/>
  <c r="W7303" i="2"/>
  <c r="W7304" i="2"/>
  <c r="W7305" i="2"/>
  <c r="W7306" i="2"/>
  <c r="W7307" i="2"/>
  <c r="W7308" i="2"/>
  <c r="W7309" i="2"/>
  <c r="W7310" i="2"/>
  <c r="W7311" i="2"/>
  <c r="W7312" i="2"/>
  <c r="W7313" i="2"/>
  <c r="W7314" i="2"/>
  <c r="W7315" i="2"/>
  <c r="W7316" i="2"/>
  <c r="W7317" i="2"/>
  <c r="W7318" i="2"/>
  <c r="W7319" i="2"/>
  <c r="W7320" i="2"/>
  <c r="W7321" i="2"/>
  <c r="W7322" i="2"/>
  <c r="W7323" i="2"/>
  <c r="W7324" i="2"/>
  <c r="W7325" i="2"/>
  <c r="W7326" i="2"/>
  <c r="W7327" i="2"/>
  <c r="W7328" i="2"/>
  <c r="W7329" i="2"/>
  <c r="W7330" i="2"/>
  <c r="W7331" i="2"/>
  <c r="W7332" i="2"/>
  <c r="W7333" i="2"/>
  <c r="W7334" i="2"/>
  <c r="W7335" i="2"/>
  <c r="W7336" i="2"/>
  <c r="W7337" i="2"/>
  <c r="W7338" i="2"/>
  <c r="W7339" i="2"/>
  <c r="W7340" i="2"/>
  <c r="W7341" i="2"/>
  <c r="W7342" i="2"/>
  <c r="W7343" i="2"/>
  <c r="W7344" i="2"/>
  <c r="W7345" i="2"/>
  <c r="W7346" i="2"/>
  <c r="W7347" i="2"/>
  <c r="W7348" i="2"/>
  <c r="W7349" i="2"/>
  <c r="W7350" i="2"/>
  <c r="W7351" i="2"/>
  <c r="W7352" i="2"/>
  <c r="W7353" i="2"/>
  <c r="W7354" i="2"/>
  <c r="W7355" i="2"/>
  <c r="W7356" i="2"/>
  <c r="W7357" i="2"/>
  <c r="W7358" i="2"/>
  <c r="W7359" i="2"/>
  <c r="W7360" i="2"/>
  <c r="W7361" i="2"/>
  <c r="W7362" i="2"/>
  <c r="W7363" i="2"/>
  <c r="W7364" i="2"/>
  <c r="W7365" i="2"/>
  <c r="W7366" i="2"/>
  <c r="W7367" i="2"/>
  <c r="W7368" i="2"/>
  <c r="W7369" i="2"/>
  <c r="W7370" i="2"/>
  <c r="W7371" i="2"/>
  <c r="W7372" i="2"/>
  <c r="W7373" i="2"/>
  <c r="W7374" i="2"/>
  <c r="W7375" i="2"/>
  <c r="W7376" i="2"/>
  <c r="W7377" i="2"/>
  <c r="W7378" i="2"/>
  <c r="W7379" i="2"/>
  <c r="W7380" i="2"/>
  <c r="W7381" i="2"/>
  <c r="W7382" i="2"/>
  <c r="W7383" i="2"/>
  <c r="W7384" i="2"/>
  <c r="W7385" i="2"/>
  <c r="W7386" i="2"/>
  <c r="W7387" i="2"/>
  <c r="W7388" i="2"/>
  <c r="W7389" i="2"/>
  <c r="W7390" i="2"/>
  <c r="W7391" i="2"/>
  <c r="W7392" i="2"/>
  <c r="W7393" i="2"/>
  <c r="W7394" i="2"/>
  <c r="W7395" i="2"/>
  <c r="W7396" i="2"/>
  <c r="W7397" i="2"/>
  <c r="W7398" i="2"/>
  <c r="W7399" i="2"/>
  <c r="W7400" i="2"/>
  <c r="W7401" i="2"/>
  <c r="W7402" i="2"/>
  <c r="W7403" i="2"/>
  <c r="W7404" i="2"/>
  <c r="W7405" i="2"/>
  <c r="W7406" i="2"/>
  <c r="W7407" i="2"/>
  <c r="W7408" i="2"/>
  <c r="W7409" i="2"/>
  <c r="W7410" i="2"/>
  <c r="W7411" i="2"/>
  <c r="W7412" i="2"/>
  <c r="W7413" i="2"/>
  <c r="W7414" i="2"/>
  <c r="W7415" i="2"/>
  <c r="W7416" i="2"/>
  <c r="W7417" i="2"/>
  <c r="W7418" i="2"/>
  <c r="W7419" i="2"/>
  <c r="W7420" i="2"/>
  <c r="W7421" i="2"/>
  <c r="W7422" i="2"/>
  <c r="W7423" i="2"/>
  <c r="W7424" i="2"/>
  <c r="W7425" i="2"/>
  <c r="W7426" i="2"/>
  <c r="W7427" i="2"/>
  <c r="W7428" i="2"/>
  <c r="W7429" i="2"/>
  <c r="W7430" i="2"/>
  <c r="W7431" i="2"/>
  <c r="W7432" i="2"/>
  <c r="W7433" i="2"/>
  <c r="W7434" i="2"/>
  <c r="W7435" i="2"/>
  <c r="W7436" i="2"/>
  <c r="W7437" i="2"/>
  <c r="W7438" i="2"/>
  <c r="W7439" i="2"/>
  <c r="W7440" i="2"/>
  <c r="W7441" i="2"/>
  <c r="W7442" i="2"/>
  <c r="W7443" i="2"/>
  <c r="W7444" i="2"/>
  <c r="W7445" i="2"/>
  <c r="W7446" i="2"/>
  <c r="W7447" i="2"/>
  <c r="W7448" i="2"/>
  <c r="W7449" i="2"/>
  <c r="W7450" i="2"/>
  <c r="W7451" i="2"/>
  <c r="W7452" i="2"/>
  <c r="W7453" i="2"/>
  <c r="W7454" i="2"/>
  <c r="W7455" i="2"/>
  <c r="W7456" i="2"/>
  <c r="W7457" i="2"/>
  <c r="W7458" i="2"/>
  <c r="W7459" i="2"/>
  <c r="W7460" i="2"/>
  <c r="W7461" i="2"/>
  <c r="W7462" i="2"/>
  <c r="W7463" i="2"/>
  <c r="W7464" i="2"/>
  <c r="W7465" i="2"/>
  <c r="W7466" i="2"/>
  <c r="W7467" i="2"/>
  <c r="W7468" i="2"/>
  <c r="W7469" i="2"/>
  <c r="W7470" i="2"/>
  <c r="W7471" i="2"/>
  <c r="W7472" i="2"/>
  <c r="W7473" i="2"/>
  <c r="W7474" i="2"/>
  <c r="W7475" i="2"/>
  <c r="W7476" i="2"/>
  <c r="W7477" i="2"/>
  <c r="W7478" i="2"/>
  <c r="W7479" i="2"/>
  <c r="W7480" i="2"/>
  <c r="W7481" i="2"/>
  <c r="W7482" i="2"/>
  <c r="W7483" i="2"/>
  <c r="W7484" i="2"/>
  <c r="W7485" i="2"/>
  <c r="W7486" i="2"/>
  <c r="W7487" i="2"/>
  <c r="W7488" i="2"/>
  <c r="W7489" i="2"/>
  <c r="W7490" i="2"/>
  <c r="W7491" i="2"/>
  <c r="W7492" i="2"/>
  <c r="W7493" i="2"/>
  <c r="W7494" i="2"/>
  <c r="W7495" i="2"/>
  <c r="W7496" i="2"/>
  <c r="W7497" i="2"/>
  <c r="W7498" i="2"/>
  <c r="W7499" i="2"/>
  <c r="W7500" i="2"/>
  <c r="W7501" i="2"/>
  <c r="W7502" i="2"/>
  <c r="W7503" i="2"/>
  <c r="W7504" i="2"/>
  <c r="W7505" i="2"/>
  <c r="W7506" i="2"/>
  <c r="W7507" i="2"/>
  <c r="W7508" i="2"/>
  <c r="W7509" i="2"/>
  <c r="W7510" i="2"/>
  <c r="W7511" i="2"/>
  <c r="W7512" i="2"/>
  <c r="W7513" i="2"/>
  <c r="W7514" i="2"/>
  <c r="W7515" i="2"/>
  <c r="W7516" i="2"/>
  <c r="W7517" i="2"/>
  <c r="W7518" i="2"/>
  <c r="W7519" i="2"/>
  <c r="W7520" i="2"/>
  <c r="W7521" i="2"/>
  <c r="W7522" i="2"/>
  <c r="W7523" i="2"/>
  <c r="W7524" i="2"/>
  <c r="W7525" i="2"/>
  <c r="W7526" i="2"/>
  <c r="W7527" i="2"/>
  <c r="W7528" i="2"/>
  <c r="W7529" i="2"/>
  <c r="W7530" i="2"/>
  <c r="W7531" i="2"/>
  <c r="W7532" i="2"/>
  <c r="W7533" i="2"/>
  <c r="W7534" i="2"/>
  <c r="W7535" i="2"/>
  <c r="W7536" i="2"/>
  <c r="W7537" i="2"/>
  <c r="W7538" i="2"/>
  <c r="W7539" i="2"/>
  <c r="W7540" i="2"/>
  <c r="W7541" i="2"/>
  <c r="W7542" i="2"/>
  <c r="W7543" i="2"/>
  <c r="W7544" i="2"/>
  <c r="W7545" i="2"/>
  <c r="W7546" i="2"/>
  <c r="W7547" i="2"/>
  <c r="W7548" i="2"/>
  <c r="W7549" i="2"/>
  <c r="W7550" i="2"/>
  <c r="W7551" i="2"/>
  <c r="W7552" i="2"/>
  <c r="W7553" i="2"/>
  <c r="W7554" i="2"/>
  <c r="W7555" i="2"/>
  <c r="W7556" i="2"/>
  <c r="W7557" i="2"/>
  <c r="W7558" i="2"/>
  <c r="W7559" i="2"/>
  <c r="W7560" i="2"/>
  <c r="W7561" i="2"/>
  <c r="W7562" i="2"/>
  <c r="W7563" i="2"/>
  <c r="W7564" i="2"/>
  <c r="W7565" i="2"/>
  <c r="W7566" i="2"/>
  <c r="W7567" i="2"/>
  <c r="W7568" i="2"/>
  <c r="W7569" i="2"/>
  <c r="W7570" i="2"/>
  <c r="W7571" i="2"/>
  <c r="W7572" i="2"/>
  <c r="W7573" i="2"/>
  <c r="W7574" i="2"/>
  <c r="W7575" i="2"/>
  <c r="W7576" i="2"/>
  <c r="W7577" i="2"/>
  <c r="W7578" i="2"/>
  <c r="W7579" i="2"/>
  <c r="W7580" i="2"/>
  <c r="W7581" i="2"/>
  <c r="W7582" i="2"/>
  <c r="W7583" i="2"/>
  <c r="W7584" i="2"/>
  <c r="W7585" i="2"/>
  <c r="W7586" i="2"/>
  <c r="W7587" i="2"/>
  <c r="W7588" i="2"/>
  <c r="W7589" i="2"/>
  <c r="W7590" i="2"/>
  <c r="W7591" i="2"/>
  <c r="W7592" i="2"/>
  <c r="W7593" i="2"/>
  <c r="W7594" i="2"/>
  <c r="W7595" i="2"/>
  <c r="W7596" i="2"/>
  <c r="W7597" i="2"/>
  <c r="W7598" i="2"/>
  <c r="W7599" i="2"/>
  <c r="W7600" i="2"/>
  <c r="W7601" i="2"/>
  <c r="W7602" i="2"/>
  <c r="W7603" i="2"/>
  <c r="W7604" i="2"/>
  <c r="W7605" i="2"/>
  <c r="W7606" i="2"/>
  <c r="W7607" i="2"/>
  <c r="W7608" i="2"/>
  <c r="W7609" i="2"/>
  <c r="W7610" i="2"/>
  <c r="W7611" i="2"/>
  <c r="W7612" i="2"/>
  <c r="W7613" i="2"/>
  <c r="W7614" i="2"/>
  <c r="W7615" i="2"/>
  <c r="W7616" i="2"/>
  <c r="W7617" i="2"/>
  <c r="W7618" i="2"/>
  <c r="W7619" i="2"/>
  <c r="W7620" i="2"/>
  <c r="W7621" i="2"/>
  <c r="W7622" i="2"/>
  <c r="W7623" i="2"/>
  <c r="W7624" i="2"/>
  <c r="W7625" i="2"/>
  <c r="W7626" i="2"/>
  <c r="W7627" i="2"/>
  <c r="W7628" i="2"/>
  <c r="W7629" i="2"/>
  <c r="W7630" i="2"/>
  <c r="W7631" i="2"/>
  <c r="W7632" i="2"/>
  <c r="W7633" i="2"/>
  <c r="W7634" i="2"/>
  <c r="W7635" i="2"/>
  <c r="W7636" i="2"/>
  <c r="W7637" i="2"/>
  <c r="W7638" i="2"/>
  <c r="W7639" i="2"/>
  <c r="W7640" i="2"/>
  <c r="W7641" i="2"/>
  <c r="W7642" i="2"/>
  <c r="W7643" i="2"/>
  <c r="W7644" i="2"/>
  <c r="W7645" i="2"/>
  <c r="W7646" i="2"/>
  <c r="W7647" i="2"/>
  <c r="W7648" i="2"/>
  <c r="W7649" i="2"/>
  <c r="W7650" i="2"/>
  <c r="W7651" i="2"/>
  <c r="W7652" i="2"/>
  <c r="W7653" i="2"/>
  <c r="W7654" i="2"/>
  <c r="W7655" i="2"/>
  <c r="W7656" i="2"/>
  <c r="W7657" i="2"/>
  <c r="W7658" i="2"/>
  <c r="W7659" i="2"/>
  <c r="W7660" i="2"/>
  <c r="W7661" i="2"/>
  <c r="W7662" i="2"/>
  <c r="W7663" i="2"/>
  <c r="W7664" i="2"/>
  <c r="W7665" i="2"/>
  <c r="W7666" i="2"/>
  <c r="W7667" i="2"/>
  <c r="W7668" i="2"/>
  <c r="W7669" i="2"/>
  <c r="W7670" i="2"/>
  <c r="W7671" i="2"/>
  <c r="W7672" i="2"/>
  <c r="W7673" i="2"/>
  <c r="W7674" i="2"/>
  <c r="W7675" i="2"/>
  <c r="W7676" i="2"/>
  <c r="W7677" i="2"/>
  <c r="W7678" i="2"/>
  <c r="W7679" i="2"/>
  <c r="W7680" i="2"/>
  <c r="W7681" i="2"/>
  <c r="W7682" i="2"/>
  <c r="W7683" i="2"/>
  <c r="W7684" i="2"/>
  <c r="W7685" i="2"/>
  <c r="W7686" i="2"/>
  <c r="W7687" i="2"/>
  <c r="W7688" i="2"/>
  <c r="W7689" i="2"/>
  <c r="W7690" i="2"/>
  <c r="W7691" i="2"/>
  <c r="W7692" i="2"/>
  <c r="W7693" i="2"/>
  <c r="W7694" i="2"/>
  <c r="W7695" i="2"/>
  <c r="W7696" i="2"/>
  <c r="W7697" i="2"/>
  <c r="W7698" i="2"/>
  <c r="W7699" i="2"/>
  <c r="W7700" i="2"/>
  <c r="W7701" i="2"/>
  <c r="W7702" i="2"/>
  <c r="W7703" i="2"/>
  <c r="W7704" i="2"/>
  <c r="W7705" i="2"/>
  <c r="W7706" i="2"/>
  <c r="W7707" i="2"/>
  <c r="W7708" i="2"/>
  <c r="W7709" i="2"/>
  <c r="W7710" i="2"/>
  <c r="W7711" i="2"/>
  <c r="W7712" i="2"/>
  <c r="W7713" i="2"/>
  <c r="W7714" i="2"/>
  <c r="W7715" i="2"/>
  <c r="W7716" i="2"/>
  <c r="W7717" i="2"/>
  <c r="W7718" i="2"/>
  <c r="W7719" i="2"/>
  <c r="W7720" i="2"/>
  <c r="W7721" i="2"/>
  <c r="W7722" i="2"/>
  <c r="W7723" i="2"/>
  <c r="W7724" i="2"/>
  <c r="W7725" i="2"/>
  <c r="W7726" i="2"/>
  <c r="W7727" i="2"/>
  <c r="W7728" i="2"/>
  <c r="W7729" i="2"/>
  <c r="W7730" i="2"/>
  <c r="W7731" i="2"/>
  <c r="W7732" i="2"/>
  <c r="W7733" i="2"/>
  <c r="W7734" i="2"/>
  <c r="W7735" i="2"/>
  <c r="W7736" i="2"/>
  <c r="W7737" i="2"/>
  <c r="W7738" i="2"/>
  <c r="W7739" i="2"/>
  <c r="W7740" i="2"/>
  <c r="W7741" i="2"/>
  <c r="W7742" i="2"/>
  <c r="W7743" i="2"/>
  <c r="W7744" i="2"/>
  <c r="W7745" i="2"/>
  <c r="W7746" i="2"/>
  <c r="W7747" i="2"/>
  <c r="W7748" i="2"/>
  <c r="W7749" i="2"/>
  <c r="W7750" i="2"/>
  <c r="W7751" i="2"/>
  <c r="W7752" i="2"/>
  <c r="W7753" i="2"/>
  <c r="W7754" i="2"/>
  <c r="W7755" i="2"/>
  <c r="W7756" i="2"/>
  <c r="W7757" i="2"/>
  <c r="W7758" i="2"/>
  <c r="W7759" i="2"/>
  <c r="W7760" i="2"/>
  <c r="W7761" i="2"/>
  <c r="W7762" i="2"/>
  <c r="W7763" i="2"/>
  <c r="W7764" i="2"/>
  <c r="W7765" i="2"/>
  <c r="W7766" i="2"/>
  <c r="W7767" i="2"/>
  <c r="W7768" i="2"/>
  <c r="W7769" i="2"/>
  <c r="W7770" i="2"/>
  <c r="W7771" i="2"/>
  <c r="W7772" i="2"/>
  <c r="W7773" i="2"/>
  <c r="W7774" i="2"/>
  <c r="W7775" i="2"/>
  <c r="W7776" i="2"/>
  <c r="W7777" i="2"/>
  <c r="W7778" i="2"/>
  <c r="W7779" i="2"/>
  <c r="W7780" i="2"/>
  <c r="W7781" i="2"/>
  <c r="W7782" i="2"/>
  <c r="W7783" i="2"/>
  <c r="W7784" i="2"/>
  <c r="W7785" i="2"/>
  <c r="W7786" i="2"/>
  <c r="W7787" i="2"/>
  <c r="W7788" i="2"/>
  <c r="W7789" i="2"/>
  <c r="W7790" i="2"/>
  <c r="W7791" i="2"/>
  <c r="W7792" i="2"/>
  <c r="W7793" i="2"/>
  <c r="W7794" i="2"/>
  <c r="W7795" i="2"/>
  <c r="W7796" i="2"/>
  <c r="W7797" i="2"/>
  <c r="W7798" i="2"/>
  <c r="W7799" i="2"/>
  <c r="W7800" i="2"/>
  <c r="W7801" i="2"/>
  <c r="W7802" i="2"/>
  <c r="W7803" i="2"/>
  <c r="W7804" i="2"/>
  <c r="W7805" i="2"/>
  <c r="W7806" i="2"/>
  <c r="W7807" i="2"/>
  <c r="W7808" i="2"/>
  <c r="W7809" i="2"/>
  <c r="W7810" i="2"/>
  <c r="W7811" i="2"/>
  <c r="W7812" i="2"/>
  <c r="W7813" i="2"/>
  <c r="W7814" i="2"/>
  <c r="W7815" i="2"/>
  <c r="W7816" i="2"/>
  <c r="W7817" i="2"/>
  <c r="W7818" i="2"/>
  <c r="W7819" i="2"/>
  <c r="W7820" i="2"/>
  <c r="W7821" i="2"/>
  <c r="W7822" i="2"/>
  <c r="W7823" i="2"/>
  <c r="W7824" i="2"/>
  <c r="W7825" i="2"/>
  <c r="W7826" i="2"/>
  <c r="W7827" i="2"/>
  <c r="W7828" i="2"/>
  <c r="W7829" i="2"/>
  <c r="W7830" i="2"/>
  <c r="W7831" i="2"/>
  <c r="W7832" i="2"/>
  <c r="W7833" i="2"/>
  <c r="W7834" i="2"/>
  <c r="W7835" i="2"/>
  <c r="W7836" i="2"/>
  <c r="W7837" i="2"/>
  <c r="W7838" i="2"/>
  <c r="W7839" i="2"/>
  <c r="W7840" i="2"/>
  <c r="W7841" i="2"/>
  <c r="W7842" i="2"/>
  <c r="W7843" i="2"/>
  <c r="W7844" i="2"/>
  <c r="W7845" i="2"/>
  <c r="W7846" i="2"/>
  <c r="W7847" i="2"/>
  <c r="W7848" i="2"/>
  <c r="W7849" i="2"/>
  <c r="W7850" i="2"/>
  <c r="W7851" i="2"/>
  <c r="W7852" i="2"/>
  <c r="W7853" i="2"/>
  <c r="W7854" i="2"/>
  <c r="W7855" i="2"/>
  <c r="W7856" i="2"/>
  <c r="W7857" i="2"/>
  <c r="W7858" i="2"/>
  <c r="W7859" i="2"/>
  <c r="W7860" i="2"/>
  <c r="W7861" i="2"/>
  <c r="W7862" i="2"/>
  <c r="W7863" i="2"/>
  <c r="W7864" i="2"/>
  <c r="W7865" i="2"/>
  <c r="W7866" i="2"/>
  <c r="W7867" i="2"/>
  <c r="W7868" i="2"/>
  <c r="W7869" i="2"/>
  <c r="W7870" i="2"/>
  <c r="W7871" i="2"/>
  <c r="W7872" i="2"/>
  <c r="W7873" i="2"/>
  <c r="W7874" i="2"/>
  <c r="W7875" i="2"/>
  <c r="W7876" i="2"/>
  <c r="W7877" i="2"/>
  <c r="W7878" i="2"/>
  <c r="W7879" i="2"/>
  <c r="W7880" i="2"/>
  <c r="W7881" i="2"/>
  <c r="W7882" i="2"/>
  <c r="W7883" i="2"/>
  <c r="W7884" i="2"/>
  <c r="W7885" i="2"/>
  <c r="W7886" i="2"/>
  <c r="W7887" i="2"/>
  <c r="W7888" i="2"/>
  <c r="W7889" i="2"/>
  <c r="W7890" i="2"/>
  <c r="W7891" i="2"/>
  <c r="W7892" i="2"/>
  <c r="W7893" i="2"/>
  <c r="W7894" i="2"/>
  <c r="W7895" i="2"/>
  <c r="W7896" i="2"/>
  <c r="W7897" i="2"/>
  <c r="W7898" i="2"/>
  <c r="W7899" i="2"/>
  <c r="W7900" i="2"/>
  <c r="W7901" i="2"/>
  <c r="W7902" i="2"/>
  <c r="W7903" i="2"/>
  <c r="W7904" i="2"/>
  <c r="W7905" i="2"/>
  <c r="W7906" i="2"/>
  <c r="W7907" i="2"/>
  <c r="W7908" i="2"/>
  <c r="W7909" i="2"/>
  <c r="W7910" i="2"/>
  <c r="W7911" i="2"/>
  <c r="W7912" i="2"/>
  <c r="W7913" i="2"/>
  <c r="W7914" i="2"/>
  <c r="W7915" i="2"/>
  <c r="W7916" i="2"/>
  <c r="W7917" i="2"/>
  <c r="W7918" i="2"/>
  <c r="W7919" i="2"/>
  <c r="W7920" i="2"/>
  <c r="W7921" i="2"/>
  <c r="W7922" i="2"/>
  <c r="W7923" i="2"/>
  <c r="W7924" i="2"/>
  <c r="W7925" i="2"/>
  <c r="W7926" i="2"/>
  <c r="W7927" i="2"/>
  <c r="W7928" i="2"/>
  <c r="W7929" i="2"/>
  <c r="W7930" i="2"/>
  <c r="W7931" i="2"/>
  <c r="W7932" i="2"/>
  <c r="W7933" i="2"/>
  <c r="W7934" i="2"/>
  <c r="W7935" i="2"/>
  <c r="W7936" i="2"/>
  <c r="W7937" i="2"/>
  <c r="W7938" i="2"/>
  <c r="W7939" i="2"/>
  <c r="W7940" i="2"/>
  <c r="W7941" i="2"/>
  <c r="W7942" i="2"/>
  <c r="W7943" i="2"/>
  <c r="W7944" i="2"/>
  <c r="W7945" i="2"/>
  <c r="W7946" i="2"/>
  <c r="W7947" i="2"/>
  <c r="W7948" i="2"/>
  <c r="W7949" i="2"/>
  <c r="W7950" i="2"/>
  <c r="W7951" i="2"/>
  <c r="W7952" i="2"/>
  <c r="W7953" i="2"/>
  <c r="W7954" i="2"/>
  <c r="W7955" i="2"/>
  <c r="W7956" i="2"/>
  <c r="W7957" i="2"/>
  <c r="W7958" i="2"/>
  <c r="W7959" i="2"/>
  <c r="W7960" i="2"/>
  <c r="W7961" i="2"/>
  <c r="W7962" i="2"/>
  <c r="W7963" i="2"/>
  <c r="W7964" i="2"/>
  <c r="W7965" i="2"/>
  <c r="W7966" i="2"/>
  <c r="W7967" i="2"/>
  <c r="W7968" i="2"/>
  <c r="W7969" i="2"/>
  <c r="W7970" i="2"/>
  <c r="W7971" i="2"/>
  <c r="W7972" i="2"/>
  <c r="W7973" i="2"/>
  <c r="W7974" i="2"/>
  <c r="W7975" i="2"/>
  <c r="W7976" i="2"/>
  <c r="W7977" i="2"/>
  <c r="W7978" i="2"/>
  <c r="W7979" i="2"/>
  <c r="W7980" i="2"/>
  <c r="W7981" i="2"/>
  <c r="W7982" i="2"/>
  <c r="W7983" i="2"/>
  <c r="W7984" i="2"/>
  <c r="W7985" i="2"/>
  <c r="W7986" i="2"/>
  <c r="W7987" i="2"/>
  <c r="W7988" i="2"/>
  <c r="W7989" i="2"/>
  <c r="W7990" i="2"/>
  <c r="W7991" i="2"/>
  <c r="W7992" i="2"/>
  <c r="W7993" i="2"/>
  <c r="W7994" i="2"/>
  <c r="W7995" i="2"/>
  <c r="W7996" i="2"/>
  <c r="W7997" i="2"/>
  <c r="W7998" i="2"/>
  <c r="W7999" i="2"/>
  <c r="W8000" i="2"/>
  <c r="W8001" i="2"/>
  <c r="W8002" i="2"/>
  <c r="W8003" i="2"/>
  <c r="W8004" i="2"/>
  <c r="W8005" i="2"/>
  <c r="W8006" i="2"/>
  <c r="W8007" i="2"/>
  <c r="W8008" i="2"/>
  <c r="W8009" i="2"/>
  <c r="W8010" i="2"/>
  <c r="W8011" i="2"/>
  <c r="W8012" i="2"/>
  <c r="W8013" i="2"/>
  <c r="W8014" i="2"/>
  <c r="W8015" i="2"/>
  <c r="W8016" i="2"/>
  <c r="W8017" i="2"/>
  <c r="W8018" i="2"/>
  <c r="W8019" i="2"/>
  <c r="W8020" i="2"/>
  <c r="W8021" i="2"/>
  <c r="W8022" i="2"/>
  <c r="W8023" i="2"/>
  <c r="W8024" i="2"/>
  <c r="W8025" i="2"/>
  <c r="W8026" i="2"/>
  <c r="W8027" i="2"/>
  <c r="W8028" i="2"/>
  <c r="W8029" i="2"/>
  <c r="W8030" i="2"/>
  <c r="W8031" i="2"/>
  <c r="W8032" i="2"/>
  <c r="W8033" i="2"/>
  <c r="W8034" i="2"/>
  <c r="W8035" i="2"/>
  <c r="W8036" i="2"/>
  <c r="W8037" i="2"/>
  <c r="W8038" i="2"/>
  <c r="W8039" i="2"/>
  <c r="W8040" i="2"/>
  <c r="W8041" i="2"/>
  <c r="W8042" i="2"/>
  <c r="W8043" i="2"/>
  <c r="W8044" i="2"/>
  <c r="W8045" i="2"/>
  <c r="W8046" i="2"/>
  <c r="W8047" i="2"/>
  <c r="W8048" i="2"/>
  <c r="W8049" i="2"/>
  <c r="W8050" i="2"/>
  <c r="W8051" i="2"/>
  <c r="W8052" i="2"/>
  <c r="W8053" i="2"/>
  <c r="W8054" i="2"/>
  <c r="W8055" i="2"/>
  <c r="W8056" i="2"/>
  <c r="W8057" i="2"/>
  <c r="W8058" i="2"/>
  <c r="W8059" i="2"/>
  <c r="W8060" i="2"/>
  <c r="W8061" i="2"/>
  <c r="W8062" i="2"/>
  <c r="W8063" i="2"/>
  <c r="W8064" i="2"/>
  <c r="W8065" i="2"/>
  <c r="W8066" i="2"/>
  <c r="W8067" i="2"/>
  <c r="W8068" i="2"/>
  <c r="W8069" i="2"/>
  <c r="W8070" i="2"/>
  <c r="W8071" i="2"/>
  <c r="W8072" i="2"/>
  <c r="W8073" i="2"/>
  <c r="W8074" i="2"/>
  <c r="W8075" i="2"/>
  <c r="W8076" i="2"/>
  <c r="W8077" i="2"/>
  <c r="W8078" i="2"/>
  <c r="W8079" i="2"/>
  <c r="W8080" i="2"/>
  <c r="W8081" i="2"/>
  <c r="W8082" i="2"/>
  <c r="W8083" i="2"/>
  <c r="W8084" i="2"/>
  <c r="W8085" i="2"/>
  <c r="W8086" i="2"/>
  <c r="W8087" i="2"/>
  <c r="W8088" i="2"/>
  <c r="W8089" i="2"/>
  <c r="W8090" i="2"/>
  <c r="W8091" i="2"/>
  <c r="W8092" i="2"/>
  <c r="W8093" i="2"/>
  <c r="W8094" i="2"/>
  <c r="W8095" i="2"/>
  <c r="W8096" i="2"/>
  <c r="W8097" i="2"/>
  <c r="W8098" i="2"/>
  <c r="W8099" i="2"/>
  <c r="W8100" i="2"/>
  <c r="W8101" i="2"/>
  <c r="W8102" i="2"/>
  <c r="W8103" i="2"/>
  <c r="W8104" i="2"/>
  <c r="W8105" i="2"/>
  <c r="W8106" i="2"/>
  <c r="W8107" i="2"/>
  <c r="W8108" i="2"/>
  <c r="W8109" i="2"/>
  <c r="W8110" i="2"/>
  <c r="W8111" i="2"/>
  <c r="W8112" i="2"/>
  <c r="W8113" i="2"/>
  <c r="W8114" i="2"/>
  <c r="W8115" i="2"/>
  <c r="W8116" i="2"/>
  <c r="W8117" i="2"/>
  <c r="W8118" i="2"/>
  <c r="W8119" i="2"/>
  <c r="W8120" i="2"/>
  <c r="W8121" i="2"/>
  <c r="W8122" i="2"/>
  <c r="W8123" i="2"/>
  <c r="W8124" i="2"/>
  <c r="W8125" i="2"/>
  <c r="W8126" i="2"/>
  <c r="W8127" i="2"/>
  <c r="W8128" i="2"/>
  <c r="W8129" i="2"/>
  <c r="W8130" i="2"/>
  <c r="W8131" i="2"/>
  <c r="W8132" i="2"/>
  <c r="W8133" i="2"/>
  <c r="W8134" i="2"/>
  <c r="W8135" i="2"/>
  <c r="W8136" i="2"/>
  <c r="W8137" i="2"/>
  <c r="W8138" i="2"/>
  <c r="W8139" i="2"/>
  <c r="W8140" i="2"/>
  <c r="W8141" i="2"/>
  <c r="W8142" i="2"/>
  <c r="W8143" i="2"/>
  <c r="W8144" i="2"/>
  <c r="W8145" i="2"/>
  <c r="W8146" i="2"/>
  <c r="W8147" i="2"/>
  <c r="W8148" i="2"/>
  <c r="W8149" i="2"/>
  <c r="W8150" i="2"/>
  <c r="W8151" i="2"/>
  <c r="W8152" i="2"/>
  <c r="W8153" i="2"/>
  <c r="W8154" i="2"/>
  <c r="W8155" i="2"/>
  <c r="W8156" i="2"/>
  <c r="W8157" i="2"/>
  <c r="W8158" i="2"/>
  <c r="W8159" i="2"/>
  <c r="W8160" i="2"/>
  <c r="W8161" i="2"/>
  <c r="W8162" i="2"/>
  <c r="W8163" i="2"/>
  <c r="W8164" i="2"/>
  <c r="W8165" i="2"/>
  <c r="W8166" i="2"/>
  <c r="W8167" i="2"/>
  <c r="W8168" i="2"/>
  <c r="W8169" i="2"/>
  <c r="W8170" i="2"/>
  <c r="W8171" i="2"/>
  <c r="W8172" i="2"/>
  <c r="W8173" i="2"/>
  <c r="W8174" i="2"/>
  <c r="W8175" i="2"/>
  <c r="W8176" i="2"/>
  <c r="W8177" i="2"/>
  <c r="W8178" i="2"/>
  <c r="W8179" i="2"/>
  <c r="W8180" i="2"/>
  <c r="W8181" i="2"/>
  <c r="W8182" i="2"/>
  <c r="W8183" i="2"/>
  <c r="W8184" i="2"/>
  <c r="W8185" i="2"/>
  <c r="W8186" i="2"/>
  <c r="W8187" i="2"/>
  <c r="W8188" i="2"/>
  <c r="W8189" i="2"/>
  <c r="W8190" i="2"/>
  <c r="W8191" i="2"/>
  <c r="W8192" i="2"/>
  <c r="W8193" i="2"/>
  <c r="W8194" i="2"/>
  <c r="W8195" i="2"/>
  <c r="W8196" i="2"/>
  <c r="W8197" i="2"/>
  <c r="W8198" i="2"/>
  <c r="W8199" i="2"/>
  <c r="W8200" i="2"/>
  <c r="W8201" i="2"/>
  <c r="W8202" i="2"/>
  <c r="W8203" i="2"/>
  <c r="W8204" i="2"/>
  <c r="W8205" i="2"/>
  <c r="W8206" i="2"/>
  <c r="W8207" i="2"/>
  <c r="W8208" i="2"/>
  <c r="W8209" i="2"/>
  <c r="W8210" i="2"/>
  <c r="W8211" i="2"/>
  <c r="W8212" i="2"/>
  <c r="W8213" i="2"/>
  <c r="W8214" i="2"/>
  <c r="W8215" i="2"/>
  <c r="W8216" i="2"/>
  <c r="W8217" i="2"/>
  <c r="W8218" i="2"/>
  <c r="W8219" i="2"/>
  <c r="W8220" i="2"/>
  <c r="W8221" i="2"/>
  <c r="W8222" i="2"/>
  <c r="W8223" i="2"/>
  <c r="W8224" i="2"/>
  <c r="W8225" i="2"/>
  <c r="W8226" i="2"/>
  <c r="W8227" i="2"/>
  <c r="W8228" i="2"/>
  <c r="W8229" i="2"/>
  <c r="W8230" i="2"/>
  <c r="W8231" i="2"/>
  <c r="W8232" i="2"/>
  <c r="W8233" i="2"/>
  <c r="W8234" i="2"/>
  <c r="W8235" i="2"/>
  <c r="W8236" i="2"/>
  <c r="W8237" i="2"/>
  <c r="W8238" i="2"/>
  <c r="W8239" i="2"/>
  <c r="W8240" i="2"/>
  <c r="W8241" i="2"/>
  <c r="W8242" i="2"/>
  <c r="W8243" i="2"/>
  <c r="W8244" i="2"/>
  <c r="W8245" i="2"/>
  <c r="W8246" i="2"/>
  <c r="W8247" i="2"/>
  <c r="W8248" i="2"/>
  <c r="W8249" i="2"/>
  <c r="W8250" i="2"/>
  <c r="W8251" i="2"/>
  <c r="W8252" i="2"/>
  <c r="W8253" i="2"/>
  <c r="W8254" i="2"/>
  <c r="W8255" i="2"/>
  <c r="W8256" i="2"/>
  <c r="W8257" i="2"/>
  <c r="W8258" i="2"/>
  <c r="W8259" i="2"/>
  <c r="W8260" i="2"/>
  <c r="W8261" i="2"/>
  <c r="W8262" i="2"/>
  <c r="W8263" i="2"/>
  <c r="W8264" i="2"/>
  <c r="W8265" i="2"/>
  <c r="W8266" i="2"/>
  <c r="W8267" i="2"/>
  <c r="W8268" i="2"/>
  <c r="W8269" i="2"/>
  <c r="W8270" i="2"/>
  <c r="W8271" i="2"/>
  <c r="W8272" i="2"/>
  <c r="W8273" i="2"/>
  <c r="W8274" i="2"/>
  <c r="W8275" i="2"/>
  <c r="W8276" i="2"/>
  <c r="W8277" i="2"/>
  <c r="W8278" i="2"/>
  <c r="W8279" i="2"/>
  <c r="W8280" i="2"/>
  <c r="W8281" i="2"/>
  <c r="W8282" i="2"/>
  <c r="W8283" i="2"/>
  <c r="W8284" i="2"/>
  <c r="W8285" i="2"/>
  <c r="W8286" i="2"/>
  <c r="W8287" i="2"/>
  <c r="W8288" i="2"/>
  <c r="W8289" i="2"/>
  <c r="W8290" i="2"/>
  <c r="W8291" i="2"/>
  <c r="W8292" i="2"/>
  <c r="W8293" i="2"/>
  <c r="W8294" i="2"/>
  <c r="W8295" i="2"/>
  <c r="W8296" i="2"/>
  <c r="W8297" i="2"/>
  <c r="W8298" i="2"/>
  <c r="W8299" i="2"/>
  <c r="W8300" i="2"/>
  <c r="W8301" i="2"/>
  <c r="W8302" i="2"/>
  <c r="W8303" i="2"/>
  <c r="W8304" i="2"/>
  <c r="W8305" i="2"/>
  <c r="W8306" i="2"/>
  <c r="W8307" i="2"/>
  <c r="W8308" i="2"/>
  <c r="W8309" i="2"/>
  <c r="W8310" i="2"/>
  <c r="W8311" i="2"/>
  <c r="W8312" i="2"/>
  <c r="W8313" i="2"/>
  <c r="W8314" i="2"/>
  <c r="W8315" i="2"/>
  <c r="W8316" i="2"/>
  <c r="W8317" i="2"/>
  <c r="W8318" i="2"/>
  <c r="W8319" i="2"/>
  <c r="W8320" i="2"/>
  <c r="W8321" i="2"/>
  <c r="W8322" i="2"/>
  <c r="W8323" i="2"/>
  <c r="W8324" i="2"/>
  <c r="W8325" i="2"/>
  <c r="W8326" i="2"/>
  <c r="W8327" i="2"/>
  <c r="W8328" i="2"/>
  <c r="W8329" i="2"/>
  <c r="W8330" i="2"/>
  <c r="W8331" i="2"/>
  <c r="W8332" i="2"/>
  <c r="W8333" i="2"/>
  <c r="W8334" i="2"/>
  <c r="W8335" i="2"/>
  <c r="W8336" i="2"/>
  <c r="W8337" i="2"/>
  <c r="W8338" i="2"/>
  <c r="W8339" i="2"/>
  <c r="W8340" i="2"/>
  <c r="W8341" i="2"/>
  <c r="W8342" i="2"/>
  <c r="W8343" i="2"/>
  <c r="W8344" i="2"/>
  <c r="W8345" i="2"/>
  <c r="W8346" i="2"/>
  <c r="W8347" i="2"/>
  <c r="W8348" i="2"/>
  <c r="W8349" i="2"/>
  <c r="W8350" i="2"/>
  <c r="W8351" i="2"/>
  <c r="W8352" i="2"/>
  <c r="W8353" i="2"/>
  <c r="W8354" i="2"/>
  <c r="W8355" i="2"/>
  <c r="W8356" i="2"/>
  <c r="W8357" i="2"/>
  <c r="W8358" i="2"/>
  <c r="W8359" i="2"/>
  <c r="W8360" i="2"/>
  <c r="W8361" i="2"/>
  <c r="W8362" i="2"/>
  <c r="W8363" i="2"/>
  <c r="W8364" i="2"/>
  <c r="W8365" i="2"/>
  <c r="W8366" i="2"/>
  <c r="W8367" i="2"/>
  <c r="W8368" i="2"/>
  <c r="W8369" i="2"/>
  <c r="W8370" i="2"/>
  <c r="W8371" i="2"/>
  <c r="W8372" i="2"/>
  <c r="W8373" i="2"/>
  <c r="W8374" i="2"/>
  <c r="W8375" i="2"/>
  <c r="W8376" i="2"/>
  <c r="W8377" i="2"/>
  <c r="W8378" i="2"/>
  <c r="W8379" i="2"/>
  <c r="W8380" i="2"/>
  <c r="W8381" i="2"/>
  <c r="W8382" i="2"/>
  <c r="W8383" i="2"/>
  <c r="W8384" i="2"/>
  <c r="W8385" i="2"/>
  <c r="W8386" i="2"/>
  <c r="W8387" i="2"/>
  <c r="W8388" i="2"/>
  <c r="W8389" i="2"/>
  <c r="W8390" i="2"/>
  <c r="W8391" i="2"/>
  <c r="W8392" i="2"/>
  <c r="W8393" i="2"/>
  <c r="W8394" i="2"/>
  <c r="W8395" i="2"/>
  <c r="W8396" i="2"/>
  <c r="W8397" i="2"/>
  <c r="W8398" i="2"/>
  <c r="W8399" i="2"/>
  <c r="W8400" i="2"/>
  <c r="W8401" i="2"/>
  <c r="W8402" i="2"/>
  <c r="W8403" i="2"/>
  <c r="W8404" i="2"/>
  <c r="W8405" i="2"/>
  <c r="W8406" i="2"/>
  <c r="W8407" i="2"/>
  <c r="W8408" i="2"/>
  <c r="W8409" i="2"/>
  <c r="W8410" i="2"/>
  <c r="W8411" i="2"/>
  <c r="W8412" i="2"/>
  <c r="W8413" i="2"/>
  <c r="W8414" i="2"/>
  <c r="W8415" i="2"/>
  <c r="W8416" i="2"/>
  <c r="W8417" i="2"/>
  <c r="W8418" i="2"/>
  <c r="W8419" i="2"/>
  <c r="W8420" i="2"/>
  <c r="W8421" i="2"/>
  <c r="W8422" i="2"/>
  <c r="W8423" i="2"/>
  <c r="W8424" i="2"/>
  <c r="W8425" i="2"/>
  <c r="W8426" i="2"/>
  <c r="W8427" i="2"/>
  <c r="W8428" i="2"/>
  <c r="W8429" i="2"/>
  <c r="W8430" i="2"/>
  <c r="W8431" i="2"/>
  <c r="W8432" i="2"/>
  <c r="W8433" i="2"/>
  <c r="W8434" i="2"/>
  <c r="W8435" i="2"/>
  <c r="W8436" i="2"/>
  <c r="W8437" i="2"/>
  <c r="W8438" i="2"/>
  <c r="W8439" i="2"/>
  <c r="W8440" i="2"/>
  <c r="W8441" i="2"/>
  <c r="W8442" i="2"/>
  <c r="W8443" i="2"/>
  <c r="W8444" i="2"/>
  <c r="W8445" i="2"/>
  <c r="W8446" i="2"/>
  <c r="W8447" i="2"/>
  <c r="W8448" i="2"/>
  <c r="W8449" i="2"/>
  <c r="W8450" i="2"/>
  <c r="W8451" i="2"/>
  <c r="W8452" i="2"/>
  <c r="W8453" i="2"/>
  <c r="W8454" i="2"/>
  <c r="W8455" i="2"/>
  <c r="W8456" i="2"/>
  <c r="W8457" i="2"/>
  <c r="W8458" i="2"/>
  <c r="W8459" i="2"/>
  <c r="W8460" i="2"/>
  <c r="W8461" i="2"/>
  <c r="W8462" i="2"/>
  <c r="W8463" i="2"/>
  <c r="W8464" i="2"/>
  <c r="W8465" i="2"/>
  <c r="W8466" i="2"/>
  <c r="W8467" i="2"/>
  <c r="W8468" i="2"/>
  <c r="W8469" i="2"/>
  <c r="W8470" i="2"/>
  <c r="W8471" i="2"/>
  <c r="W8472" i="2"/>
  <c r="W8473" i="2"/>
  <c r="W8474" i="2"/>
  <c r="W8475" i="2"/>
  <c r="W8476" i="2"/>
  <c r="W8477" i="2"/>
  <c r="W8478" i="2"/>
  <c r="W8479" i="2"/>
  <c r="W8480" i="2"/>
  <c r="W8481" i="2"/>
  <c r="W8482" i="2"/>
  <c r="W8483" i="2"/>
  <c r="W8484" i="2"/>
  <c r="W8485" i="2"/>
  <c r="W8486" i="2"/>
  <c r="W8487" i="2"/>
  <c r="W8488" i="2"/>
  <c r="W8489" i="2"/>
  <c r="W8490" i="2"/>
  <c r="W8491" i="2"/>
  <c r="W8492" i="2"/>
  <c r="W8493" i="2"/>
  <c r="W8494" i="2"/>
  <c r="W8495" i="2"/>
  <c r="W8496" i="2"/>
  <c r="W8497" i="2"/>
  <c r="W8498" i="2"/>
  <c r="W8499" i="2"/>
  <c r="W8500" i="2"/>
  <c r="W8501" i="2"/>
  <c r="W8502" i="2"/>
  <c r="W8503" i="2"/>
  <c r="W8504" i="2"/>
  <c r="W8505" i="2"/>
  <c r="W8506" i="2"/>
  <c r="W8507" i="2"/>
  <c r="W8508" i="2"/>
  <c r="W8509" i="2"/>
  <c r="W8510" i="2"/>
  <c r="W8511" i="2"/>
  <c r="W8512" i="2"/>
  <c r="W8513" i="2"/>
  <c r="W8514" i="2"/>
  <c r="W8515" i="2"/>
  <c r="W8516" i="2"/>
  <c r="W8517" i="2"/>
  <c r="W8518" i="2"/>
  <c r="W8519" i="2"/>
  <c r="W8520" i="2"/>
  <c r="W8521" i="2"/>
  <c r="W8522" i="2"/>
  <c r="W8523" i="2"/>
  <c r="W8524" i="2"/>
  <c r="W8525" i="2"/>
  <c r="W8526" i="2"/>
  <c r="W8527" i="2"/>
  <c r="W8528" i="2"/>
  <c r="W8529" i="2"/>
  <c r="W8530" i="2"/>
  <c r="W8531" i="2"/>
  <c r="W8532" i="2"/>
  <c r="W8533" i="2"/>
  <c r="W8534" i="2"/>
  <c r="W8535" i="2"/>
  <c r="W8536" i="2"/>
  <c r="W8537" i="2"/>
  <c r="W8538" i="2"/>
  <c r="W8539" i="2"/>
  <c r="W8540" i="2"/>
  <c r="W8541" i="2"/>
  <c r="W8542" i="2"/>
  <c r="W8543" i="2"/>
  <c r="W8544" i="2"/>
  <c r="W8545" i="2"/>
  <c r="W8546" i="2"/>
  <c r="W8547" i="2"/>
  <c r="W8548" i="2"/>
  <c r="W8549" i="2"/>
  <c r="W8550" i="2"/>
  <c r="W8551" i="2"/>
  <c r="W8552" i="2"/>
  <c r="W8553" i="2"/>
  <c r="W8554" i="2"/>
  <c r="W8555" i="2"/>
  <c r="W8556" i="2"/>
  <c r="W8557" i="2"/>
  <c r="W8558" i="2"/>
  <c r="W8559" i="2"/>
  <c r="W8560" i="2"/>
  <c r="W8561" i="2"/>
  <c r="W8562" i="2"/>
  <c r="W8563" i="2"/>
  <c r="W8564" i="2"/>
  <c r="W8565" i="2"/>
  <c r="W8566" i="2"/>
  <c r="W8567" i="2"/>
  <c r="W8568" i="2"/>
  <c r="W8569" i="2"/>
  <c r="W8570" i="2"/>
  <c r="W8571" i="2"/>
  <c r="W8572" i="2"/>
  <c r="W8573" i="2"/>
  <c r="W8574" i="2"/>
  <c r="W8575" i="2"/>
  <c r="W8576" i="2"/>
  <c r="W8577" i="2"/>
  <c r="W8578" i="2"/>
  <c r="W8579" i="2"/>
  <c r="W8580" i="2"/>
  <c r="W8581" i="2"/>
  <c r="W8582" i="2"/>
  <c r="W8583" i="2"/>
  <c r="W8584" i="2"/>
  <c r="W8585" i="2"/>
  <c r="W8586" i="2"/>
  <c r="W8587" i="2"/>
  <c r="W8588" i="2"/>
  <c r="W8589" i="2"/>
  <c r="W8590" i="2"/>
  <c r="W8591" i="2"/>
  <c r="W8592" i="2"/>
  <c r="W8593" i="2"/>
  <c r="W8594" i="2"/>
  <c r="W8595" i="2"/>
  <c r="W8596" i="2"/>
  <c r="W8597" i="2"/>
  <c r="W8598" i="2"/>
  <c r="W8599" i="2"/>
  <c r="W8600" i="2"/>
  <c r="W8601" i="2"/>
  <c r="W8602" i="2"/>
  <c r="W8603" i="2"/>
  <c r="W8604" i="2"/>
  <c r="W8605" i="2"/>
  <c r="W8606" i="2"/>
  <c r="W8607" i="2"/>
  <c r="W8608" i="2"/>
  <c r="W8609" i="2"/>
  <c r="W8610" i="2"/>
  <c r="W8611" i="2"/>
  <c r="W8612" i="2"/>
  <c r="W8613" i="2"/>
  <c r="W8614" i="2"/>
  <c r="W8615" i="2"/>
  <c r="W8616" i="2"/>
  <c r="W8617" i="2"/>
  <c r="W8618" i="2"/>
  <c r="W8619" i="2"/>
  <c r="W8620" i="2"/>
  <c r="W8621" i="2"/>
  <c r="W8622" i="2"/>
  <c r="W8623" i="2"/>
  <c r="W8624" i="2"/>
  <c r="W8625" i="2"/>
  <c r="W8626" i="2"/>
  <c r="W8627" i="2"/>
  <c r="W8628" i="2"/>
  <c r="W8629" i="2"/>
  <c r="W8630" i="2"/>
  <c r="W8631" i="2"/>
  <c r="W8632" i="2"/>
  <c r="W8633" i="2"/>
  <c r="W8634" i="2"/>
  <c r="W8635" i="2"/>
  <c r="W8636" i="2"/>
  <c r="W8637" i="2"/>
  <c r="W8638" i="2"/>
  <c r="W8639" i="2"/>
  <c r="W8640" i="2"/>
  <c r="W8641" i="2"/>
  <c r="W8642" i="2"/>
  <c r="W8643" i="2"/>
  <c r="W8644" i="2"/>
  <c r="W8645" i="2"/>
  <c r="W8646" i="2"/>
  <c r="W8647" i="2"/>
  <c r="W8648" i="2"/>
  <c r="W8649" i="2"/>
  <c r="W8650" i="2"/>
  <c r="W8651" i="2"/>
  <c r="W8652" i="2"/>
  <c r="W8653" i="2"/>
  <c r="W8654" i="2"/>
  <c r="W8655" i="2"/>
  <c r="W8656" i="2"/>
  <c r="W8657" i="2"/>
  <c r="W8658" i="2"/>
  <c r="W8659" i="2"/>
  <c r="W8660" i="2"/>
  <c r="W8661" i="2"/>
  <c r="W8662" i="2"/>
  <c r="W8663" i="2"/>
  <c r="W8664" i="2"/>
  <c r="W8665" i="2"/>
  <c r="W8666" i="2"/>
  <c r="W8667" i="2"/>
  <c r="W8668" i="2"/>
  <c r="W8669" i="2"/>
  <c r="W8670" i="2"/>
  <c r="W8671" i="2"/>
  <c r="W8672" i="2"/>
  <c r="W8673" i="2"/>
  <c r="W8674" i="2"/>
  <c r="W8675" i="2"/>
  <c r="W8676" i="2"/>
  <c r="W8677" i="2"/>
  <c r="W8678" i="2"/>
  <c r="W8679" i="2"/>
  <c r="W8680" i="2"/>
  <c r="W8681" i="2"/>
  <c r="W8682" i="2"/>
  <c r="W8683" i="2"/>
  <c r="W8684" i="2"/>
  <c r="W8685" i="2"/>
  <c r="W8686" i="2"/>
  <c r="W8687" i="2"/>
  <c r="W8688" i="2"/>
  <c r="W8689" i="2"/>
  <c r="W8690" i="2"/>
  <c r="W8691" i="2"/>
  <c r="W8692" i="2"/>
  <c r="W8693" i="2"/>
  <c r="W8694" i="2"/>
  <c r="W8695" i="2"/>
  <c r="W8696" i="2"/>
  <c r="W8697" i="2"/>
  <c r="W8698" i="2"/>
  <c r="W8699" i="2"/>
  <c r="W8700" i="2"/>
  <c r="W8701" i="2"/>
  <c r="W8702" i="2"/>
  <c r="W8703" i="2"/>
  <c r="W8704" i="2"/>
  <c r="W8705" i="2"/>
  <c r="W8706" i="2"/>
  <c r="W8707" i="2"/>
  <c r="W8708" i="2"/>
  <c r="W8709" i="2"/>
  <c r="W8710" i="2"/>
  <c r="W8711" i="2"/>
  <c r="W8712" i="2"/>
  <c r="W8713" i="2"/>
  <c r="W8714" i="2"/>
  <c r="W8715" i="2"/>
  <c r="W8716" i="2"/>
  <c r="W8717" i="2"/>
  <c r="W8718" i="2"/>
  <c r="W8719" i="2"/>
  <c r="W8720" i="2"/>
  <c r="W8721" i="2"/>
  <c r="W8722" i="2"/>
  <c r="W8723" i="2"/>
  <c r="W8724" i="2"/>
  <c r="W8725" i="2"/>
  <c r="W8726" i="2"/>
  <c r="W8727" i="2"/>
  <c r="W8728" i="2"/>
  <c r="W8729" i="2"/>
  <c r="W8730" i="2"/>
  <c r="W8731" i="2"/>
  <c r="W8732" i="2"/>
  <c r="W8733" i="2"/>
  <c r="W8734" i="2"/>
  <c r="W8735" i="2"/>
  <c r="W8736" i="2"/>
  <c r="W8737" i="2"/>
  <c r="W8738" i="2"/>
  <c r="W8739" i="2"/>
  <c r="W8740" i="2"/>
  <c r="W8741" i="2"/>
  <c r="W8742" i="2"/>
  <c r="W8743" i="2"/>
  <c r="W8744" i="2"/>
  <c r="W8745" i="2"/>
  <c r="W8746" i="2"/>
  <c r="W8747" i="2"/>
  <c r="W8748" i="2"/>
  <c r="W8749" i="2"/>
  <c r="W8750" i="2"/>
  <c r="W8751" i="2"/>
  <c r="W8752" i="2"/>
  <c r="W8753" i="2"/>
  <c r="W8754" i="2"/>
  <c r="W8755" i="2"/>
  <c r="W8756" i="2"/>
  <c r="W8757" i="2"/>
  <c r="W8758" i="2"/>
  <c r="W8759" i="2"/>
  <c r="W8760" i="2"/>
  <c r="W8761" i="2"/>
  <c r="W8762" i="2"/>
  <c r="W8763" i="2"/>
  <c r="W8764" i="2"/>
  <c r="W8765" i="2"/>
  <c r="W8766" i="2"/>
  <c r="W8767" i="2"/>
  <c r="W8768" i="2"/>
  <c r="W8769" i="2"/>
  <c r="W8770" i="2"/>
  <c r="W8771" i="2"/>
  <c r="W8772" i="2"/>
  <c r="W8773" i="2"/>
  <c r="W8774" i="2"/>
  <c r="W8775" i="2"/>
  <c r="W8776" i="2"/>
  <c r="W8777" i="2"/>
  <c r="W8778" i="2"/>
  <c r="W8779" i="2"/>
  <c r="W8780" i="2"/>
  <c r="W8781" i="2"/>
  <c r="W8782" i="2"/>
  <c r="W8783" i="2"/>
  <c r="W8784" i="2"/>
  <c r="W8785" i="2"/>
  <c r="W8786" i="2"/>
  <c r="W8787" i="2"/>
  <c r="W8788" i="2"/>
  <c r="W8789" i="2"/>
  <c r="W8790" i="2"/>
  <c r="W8791" i="2"/>
  <c r="W8792" i="2"/>
  <c r="W8793" i="2"/>
  <c r="W8794" i="2"/>
  <c r="W8795" i="2"/>
  <c r="W8796" i="2"/>
  <c r="W8797" i="2"/>
  <c r="W8798" i="2"/>
  <c r="W8799" i="2"/>
  <c r="W8800" i="2"/>
  <c r="W8801" i="2"/>
  <c r="W8802" i="2"/>
  <c r="W8803" i="2"/>
  <c r="W8804" i="2"/>
  <c r="W8805" i="2"/>
  <c r="W8806" i="2"/>
  <c r="W8807" i="2"/>
  <c r="W8808" i="2"/>
  <c r="W8809" i="2"/>
  <c r="W8810" i="2"/>
  <c r="W8811" i="2"/>
  <c r="W8812" i="2"/>
  <c r="W8813" i="2"/>
  <c r="W8814" i="2"/>
  <c r="W8815" i="2"/>
  <c r="W8816" i="2"/>
  <c r="W8817" i="2"/>
  <c r="W8818" i="2"/>
  <c r="W8819" i="2"/>
  <c r="W8820" i="2"/>
  <c r="W8821" i="2"/>
  <c r="W8822" i="2"/>
  <c r="W8823" i="2"/>
  <c r="W8824" i="2"/>
  <c r="W8825" i="2"/>
  <c r="W8826" i="2"/>
  <c r="W8827" i="2"/>
  <c r="W8828" i="2"/>
  <c r="W8829" i="2"/>
  <c r="W8830" i="2"/>
  <c r="W8831" i="2"/>
  <c r="W8832" i="2"/>
  <c r="W8833" i="2"/>
  <c r="W8834" i="2"/>
  <c r="W8835" i="2"/>
  <c r="W8836" i="2"/>
  <c r="W8837" i="2"/>
  <c r="W8838" i="2"/>
  <c r="W8839" i="2"/>
  <c r="W8840" i="2"/>
  <c r="W8841" i="2"/>
  <c r="W8842" i="2"/>
  <c r="W8843" i="2"/>
  <c r="W8844" i="2"/>
  <c r="W8845" i="2"/>
  <c r="W8846" i="2"/>
  <c r="W8847" i="2"/>
  <c r="W8848" i="2"/>
  <c r="W8849" i="2"/>
  <c r="W8850" i="2"/>
  <c r="W8851" i="2"/>
  <c r="W8852" i="2"/>
  <c r="W8853" i="2"/>
  <c r="W8854" i="2"/>
  <c r="W8855" i="2"/>
  <c r="W8856" i="2"/>
  <c r="W8857" i="2"/>
  <c r="W8858" i="2"/>
  <c r="W8859" i="2"/>
  <c r="W8860" i="2"/>
  <c r="W8861" i="2"/>
  <c r="W8862" i="2"/>
  <c r="W8863" i="2"/>
  <c r="W8864" i="2"/>
  <c r="W8865" i="2"/>
  <c r="W8866" i="2"/>
  <c r="W8867" i="2"/>
  <c r="W8868" i="2"/>
  <c r="W8869" i="2"/>
  <c r="W8870" i="2"/>
  <c r="W8871" i="2"/>
  <c r="W8872" i="2"/>
  <c r="W8873" i="2"/>
  <c r="W8874" i="2"/>
  <c r="W8875" i="2"/>
  <c r="W8876" i="2"/>
  <c r="W8877" i="2"/>
  <c r="W8878" i="2"/>
  <c r="W8879" i="2"/>
  <c r="W8880" i="2"/>
  <c r="W8881" i="2"/>
  <c r="W8882" i="2"/>
  <c r="W8883" i="2"/>
  <c r="W8884" i="2"/>
  <c r="W8885" i="2"/>
  <c r="W8886" i="2"/>
  <c r="W8887" i="2"/>
  <c r="W8888" i="2"/>
  <c r="W8889" i="2"/>
  <c r="W8890" i="2"/>
  <c r="W8891" i="2"/>
  <c r="W8892" i="2"/>
  <c r="W8893" i="2"/>
  <c r="W8894" i="2"/>
  <c r="W8895" i="2"/>
  <c r="W8896" i="2"/>
  <c r="W8897" i="2"/>
  <c r="W8898" i="2"/>
  <c r="W8899" i="2"/>
  <c r="W8900" i="2"/>
  <c r="W8901" i="2"/>
  <c r="W8902" i="2"/>
  <c r="W8903" i="2"/>
  <c r="W8904" i="2"/>
  <c r="W8905" i="2"/>
  <c r="W8906" i="2"/>
  <c r="W8907" i="2"/>
  <c r="W8908" i="2"/>
  <c r="W8909" i="2"/>
  <c r="W8910" i="2"/>
  <c r="W8911" i="2"/>
  <c r="W8912" i="2"/>
  <c r="W8913" i="2"/>
  <c r="W8914" i="2"/>
  <c r="W8915" i="2"/>
  <c r="W8916" i="2"/>
  <c r="W8917" i="2"/>
  <c r="W8918" i="2"/>
  <c r="W8919" i="2"/>
  <c r="W8920" i="2"/>
  <c r="W8921" i="2"/>
  <c r="W8922" i="2"/>
  <c r="W8923" i="2"/>
  <c r="W8924" i="2"/>
  <c r="W8925" i="2"/>
  <c r="W8926" i="2"/>
  <c r="W8927" i="2"/>
  <c r="W8928" i="2"/>
  <c r="W8929" i="2"/>
  <c r="W8930" i="2"/>
  <c r="W8931" i="2"/>
  <c r="W8932" i="2"/>
  <c r="W8933" i="2"/>
  <c r="W8934" i="2"/>
  <c r="W8935" i="2"/>
  <c r="W8936" i="2"/>
  <c r="W8937" i="2"/>
  <c r="W8938" i="2"/>
  <c r="W8939" i="2"/>
  <c r="W8940" i="2"/>
  <c r="W8941" i="2"/>
  <c r="W8942" i="2"/>
  <c r="W8943" i="2"/>
  <c r="W8944" i="2"/>
  <c r="W8945" i="2"/>
  <c r="W8946" i="2"/>
  <c r="W8947" i="2"/>
  <c r="W8948" i="2"/>
  <c r="W8949" i="2"/>
  <c r="W8950" i="2"/>
  <c r="W8951" i="2"/>
  <c r="W8952" i="2"/>
  <c r="W8953" i="2"/>
  <c r="W8954" i="2"/>
  <c r="W8955" i="2"/>
  <c r="W8956" i="2"/>
  <c r="W8957" i="2"/>
  <c r="W8958" i="2"/>
  <c r="W8959" i="2"/>
  <c r="W8960" i="2"/>
  <c r="W8961" i="2"/>
  <c r="W8962" i="2"/>
  <c r="W8963" i="2"/>
  <c r="W8964" i="2"/>
  <c r="W8965" i="2"/>
  <c r="W8966" i="2"/>
  <c r="W8967" i="2"/>
  <c r="W8968" i="2"/>
  <c r="W8969" i="2"/>
  <c r="W8970" i="2"/>
  <c r="W8971" i="2"/>
  <c r="W8972" i="2"/>
  <c r="W8973" i="2"/>
  <c r="W8974" i="2"/>
  <c r="W8975" i="2"/>
  <c r="W8976" i="2"/>
  <c r="W8977" i="2"/>
  <c r="W8978" i="2"/>
  <c r="W8979" i="2"/>
  <c r="W8980" i="2"/>
  <c r="W8981" i="2"/>
  <c r="W8982" i="2"/>
  <c r="W8983" i="2"/>
  <c r="W8984" i="2"/>
  <c r="W8985" i="2"/>
  <c r="W8986" i="2"/>
  <c r="W8987" i="2"/>
  <c r="W8988" i="2"/>
  <c r="W8989" i="2"/>
  <c r="W8990" i="2"/>
  <c r="W8991" i="2"/>
  <c r="W8992" i="2"/>
  <c r="W8993" i="2"/>
  <c r="W8994" i="2"/>
  <c r="W8995" i="2"/>
  <c r="W8996" i="2"/>
  <c r="W8997" i="2"/>
  <c r="W8998" i="2"/>
  <c r="W8999" i="2"/>
  <c r="W9000" i="2"/>
  <c r="W9001" i="2"/>
  <c r="W9002" i="2"/>
  <c r="W9003" i="2"/>
  <c r="W9004" i="2"/>
  <c r="W9005" i="2"/>
  <c r="W9006" i="2"/>
  <c r="W9007" i="2"/>
  <c r="W9008" i="2"/>
  <c r="W9009" i="2"/>
  <c r="W9010" i="2"/>
  <c r="W9011" i="2"/>
  <c r="W9012" i="2"/>
  <c r="W9013" i="2"/>
  <c r="W9014" i="2"/>
  <c r="W9015" i="2"/>
  <c r="W9016" i="2"/>
  <c r="W9017" i="2"/>
  <c r="W9018" i="2"/>
  <c r="W9019" i="2"/>
  <c r="W9020" i="2"/>
  <c r="W9021" i="2"/>
  <c r="W9022" i="2"/>
  <c r="W9023" i="2"/>
  <c r="W9024" i="2"/>
  <c r="W9025" i="2"/>
  <c r="W9026" i="2"/>
  <c r="W9027" i="2"/>
  <c r="W9028" i="2"/>
  <c r="W9029" i="2"/>
  <c r="W9030" i="2"/>
  <c r="W9031" i="2"/>
  <c r="W9032" i="2"/>
  <c r="W9033" i="2"/>
  <c r="W9034" i="2"/>
  <c r="W9035" i="2"/>
  <c r="W9036" i="2"/>
  <c r="W9037" i="2"/>
  <c r="W9038" i="2"/>
  <c r="W9039" i="2"/>
  <c r="W9040" i="2"/>
  <c r="W9041" i="2"/>
  <c r="W9042" i="2"/>
  <c r="W9043" i="2"/>
  <c r="W9044" i="2"/>
  <c r="W9045" i="2"/>
  <c r="W9046" i="2"/>
  <c r="W9047" i="2"/>
  <c r="W9048" i="2"/>
  <c r="W9049" i="2"/>
  <c r="W9050" i="2"/>
  <c r="W9051" i="2"/>
  <c r="W9052" i="2"/>
  <c r="W9053" i="2"/>
  <c r="W9054" i="2"/>
  <c r="W9055" i="2"/>
  <c r="W9056" i="2"/>
  <c r="W9057" i="2"/>
  <c r="W9058" i="2"/>
  <c r="W9059" i="2"/>
  <c r="W9060" i="2"/>
  <c r="W9061" i="2"/>
  <c r="W9062" i="2"/>
  <c r="W9063" i="2"/>
  <c r="W9064" i="2"/>
  <c r="W9065" i="2"/>
  <c r="W9066" i="2"/>
  <c r="W9067" i="2"/>
  <c r="W9068" i="2"/>
  <c r="W9069" i="2"/>
  <c r="W9070" i="2"/>
  <c r="W9071" i="2"/>
  <c r="W9072" i="2"/>
  <c r="W9073" i="2"/>
  <c r="W9074" i="2"/>
  <c r="W9075" i="2"/>
  <c r="W9076" i="2"/>
  <c r="W9077" i="2"/>
  <c r="W9078" i="2"/>
  <c r="W9079" i="2"/>
  <c r="W9080" i="2"/>
  <c r="W9081" i="2"/>
  <c r="W9082" i="2"/>
  <c r="W9083" i="2"/>
  <c r="W9084" i="2"/>
  <c r="W9085" i="2"/>
  <c r="W9086" i="2"/>
  <c r="W9087" i="2"/>
  <c r="W9088" i="2"/>
  <c r="W9089" i="2"/>
  <c r="W9090" i="2"/>
  <c r="W9091" i="2"/>
  <c r="W9092" i="2"/>
  <c r="W9093" i="2"/>
  <c r="W9094" i="2"/>
  <c r="W9095" i="2"/>
  <c r="W9096" i="2"/>
  <c r="W9097" i="2"/>
  <c r="W9098" i="2"/>
  <c r="W9099" i="2"/>
  <c r="W9100" i="2"/>
  <c r="W9101" i="2"/>
  <c r="W9102" i="2"/>
  <c r="W9103" i="2"/>
  <c r="W9104" i="2"/>
  <c r="W9105" i="2"/>
  <c r="W9106" i="2"/>
  <c r="W9107" i="2"/>
  <c r="W9108" i="2"/>
  <c r="W9109" i="2"/>
  <c r="W9110" i="2"/>
  <c r="W9111" i="2"/>
  <c r="W9112" i="2"/>
  <c r="W9113" i="2"/>
  <c r="W9114" i="2"/>
  <c r="W9115" i="2"/>
  <c r="W9116" i="2"/>
  <c r="W9117" i="2"/>
  <c r="W9118" i="2"/>
  <c r="W9119" i="2"/>
  <c r="W9120" i="2"/>
  <c r="W9121" i="2"/>
  <c r="W9122" i="2"/>
  <c r="W9123" i="2"/>
  <c r="W9124" i="2"/>
  <c r="W9125" i="2"/>
  <c r="W9126" i="2"/>
  <c r="W9127" i="2"/>
  <c r="W9128" i="2"/>
  <c r="W9129" i="2"/>
  <c r="W9130" i="2"/>
  <c r="W9131" i="2"/>
  <c r="W9132" i="2"/>
  <c r="W9133" i="2"/>
  <c r="W9134" i="2"/>
  <c r="W9135" i="2"/>
  <c r="W9136" i="2"/>
  <c r="W9137" i="2"/>
  <c r="W9138" i="2"/>
  <c r="W9139" i="2"/>
  <c r="W9140" i="2"/>
  <c r="W9141" i="2"/>
  <c r="W9142" i="2"/>
  <c r="W9143" i="2"/>
  <c r="W9144" i="2"/>
  <c r="W9145" i="2"/>
  <c r="W9146" i="2"/>
  <c r="W9147" i="2"/>
  <c r="W9148" i="2"/>
  <c r="W9149" i="2"/>
  <c r="W9150" i="2"/>
  <c r="W9151" i="2"/>
  <c r="W9152" i="2"/>
  <c r="W9153" i="2"/>
  <c r="W9154" i="2"/>
  <c r="W9155" i="2"/>
  <c r="W9156" i="2"/>
  <c r="W9157" i="2"/>
  <c r="W9158" i="2"/>
  <c r="W9159" i="2"/>
  <c r="W9160" i="2"/>
  <c r="W9161" i="2"/>
  <c r="W9162" i="2"/>
  <c r="W9163" i="2"/>
  <c r="W9164" i="2"/>
  <c r="W9165" i="2"/>
  <c r="W9166" i="2"/>
  <c r="W9167" i="2"/>
  <c r="W9168" i="2"/>
  <c r="W9169" i="2"/>
  <c r="W9170" i="2"/>
  <c r="W9171" i="2"/>
  <c r="W9172" i="2"/>
  <c r="W9173" i="2"/>
  <c r="W9174" i="2"/>
  <c r="W9175" i="2"/>
  <c r="W9176" i="2"/>
  <c r="W9177" i="2"/>
  <c r="W9178" i="2"/>
  <c r="W9179" i="2"/>
  <c r="W9180" i="2"/>
  <c r="W9181" i="2"/>
  <c r="W9182" i="2"/>
  <c r="W9183" i="2"/>
  <c r="W9184" i="2"/>
  <c r="W9185" i="2"/>
  <c r="W9186" i="2"/>
  <c r="W9187" i="2"/>
  <c r="W9188" i="2"/>
  <c r="W9189" i="2"/>
  <c r="W9190" i="2"/>
  <c r="W9191" i="2"/>
  <c r="W9192" i="2"/>
  <c r="W9193" i="2"/>
  <c r="W9194" i="2"/>
  <c r="W9195" i="2"/>
  <c r="W9196" i="2"/>
  <c r="W9197" i="2"/>
  <c r="W9198" i="2"/>
  <c r="W9199" i="2"/>
  <c r="W9200" i="2"/>
  <c r="W9201" i="2"/>
  <c r="W9202" i="2"/>
  <c r="W9203" i="2"/>
  <c r="W9204" i="2"/>
  <c r="W9205" i="2"/>
  <c r="W9206" i="2"/>
  <c r="W9207" i="2"/>
  <c r="W9208" i="2"/>
  <c r="W9209" i="2"/>
  <c r="W9210" i="2"/>
  <c r="W9211" i="2"/>
  <c r="W9212" i="2"/>
  <c r="W9213" i="2"/>
  <c r="W9214" i="2"/>
  <c r="W9215" i="2"/>
  <c r="W9216" i="2"/>
  <c r="W9217" i="2"/>
  <c r="W9218" i="2"/>
  <c r="W9219" i="2"/>
  <c r="W9220" i="2"/>
  <c r="W9221" i="2"/>
  <c r="W9222" i="2"/>
  <c r="W9223" i="2"/>
  <c r="W9224" i="2"/>
  <c r="W9225" i="2"/>
  <c r="W9226" i="2"/>
  <c r="W9227" i="2"/>
  <c r="W9228" i="2"/>
  <c r="W9229" i="2"/>
  <c r="W9230" i="2"/>
  <c r="W9231" i="2"/>
  <c r="W9232" i="2"/>
  <c r="W9233" i="2"/>
  <c r="W9234" i="2"/>
  <c r="W9235" i="2"/>
  <c r="W9236" i="2"/>
  <c r="W9237" i="2"/>
  <c r="W9238" i="2"/>
  <c r="W9239" i="2"/>
  <c r="W9240" i="2"/>
  <c r="W9241" i="2"/>
  <c r="W9242" i="2"/>
  <c r="W9243" i="2"/>
  <c r="W9244" i="2"/>
  <c r="W9245" i="2"/>
  <c r="W9246" i="2"/>
  <c r="W9247" i="2"/>
  <c r="W9248" i="2"/>
  <c r="W9249" i="2"/>
  <c r="W9250" i="2"/>
  <c r="W9251" i="2"/>
  <c r="W9252" i="2"/>
  <c r="W9253" i="2"/>
  <c r="W9254" i="2"/>
  <c r="W9255" i="2"/>
  <c r="W9256" i="2"/>
  <c r="W9257" i="2"/>
  <c r="W9258" i="2"/>
  <c r="W9259" i="2"/>
  <c r="W9260" i="2"/>
  <c r="W9261" i="2"/>
  <c r="W9262" i="2"/>
  <c r="W9263" i="2"/>
  <c r="W9264" i="2"/>
  <c r="W9265" i="2"/>
  <c r="W9266" i="2"/>
  <c r="W9267" i="2"/>
  <c r="W9268" i="2"/>
  <c r="W9269" i="2"/>
  <c r="W9270" i="2"/>
  <c r="W9271" i="2"/>
  <c r="W9272" i="2"/>
  <c r="W9273" i="2"/>
  <c r="W9274" i="2"/>
  <c r="W9275" i="2"/>
  <c r="W9276" i="2"/>
  <c r="W9277" i="2"/>
  <c r="W9278" i="2"/>
  <c r="W9279" i="2"/>
  <c r="W9280" i="2"/>
  <c r="W9281" i="2"/>
  <c r="W9282" i="2"/>
  <c r="W9283" i="2"/>
  <c r="W9284" i="2"/>
  <c r="W9285" i="2"/>
  <c r="W9286" i="2"/>
  <c r="W9287" i="2"/>
  <c r="W9288" i="2"/>
  <c r="W9289" i="2"/>
  <c r="W9290" i="2"/>
  <c r="W9291" i="2"/>
  <c r="W9292" i="2"/>
  <c r="W9293" i="2"/>
  <c r="W9294" i="2"/>
  <c r="W9295" i="2"/>
  <c r="W9296" i="2"/>
  <c r="W9297" i="2"/>
  <c r="W9298" i="2"/>
  <c r="W9299" i="2"/>
  <c r="W9300" i="2"/>
  <c r="W9301" i="2"/>
  <c r="W9302" i="2"/>
  <c r="W9303" i="2"/>
  <c r="W9304" i="2"/>
  <c r="W9305" i="2"/>
  <c r="W9306" i="2"/>
  <c r="W9307" i="2"/>
  <c r="W9308" i="2"/>
  <c r="W9309" i="2"/>
  <c r="W9310" i="2"/>
  <c r="W9311" i="2"/>
  <c r="W9312" i="2"/>
  <c r="W9313" i="2"/>
  <c r="W9314" i="2"/>
  <c r="W9315" i="2"/>
  <c r="W9316" i="2"/>
  <c r="W9317" i="2"/>
  <c r="W9318" i="2"/>
  <c r="W9319" i="2"/>
  <c r="W9320" i="2"/>
  <c r="W9321" i="2"/>
  <c r="W9322" i="2"/>
  <c r="W9323" i="2"/>
  <c r="W9324" i="2"/>
  <c r="W9325" i="2"/>
  <c r="W9326" i="2"/>
  <c r="W9327" i="2"/>
  <c r="W9328" i="2"/>
  <c r="W9329" i="2"/>
  <c r="W9330" i="2"/>
  <c r="W9331" i="2"/>
  <c r="W9332" i="2"/>
  <c r="W9333" i="2"/>
  <c r="W9334" i="2"/>
  <c r="W9335" i="2"/>
  <c r="W9336" i="2"/>
  <c r="W9337" i="2"/>
  <c r="W9338" i="2"/>
  <c r="W9339" i="2"/>
  <c r="W9340" i="2"/>
  <c r="W9341" i="2"/>
  <c r="W9342" i="2"/>
  <c r="W9343" i="2"/>
  <c r="W9344" i="2"/>
  <c r="W9345" i="2"/>
  <c r="W9346" i="2"/>
  <c r="W9347" i="2"/>
  <c r="W9348" i="2"/>
  <c r="W9349" i="2"/>
  <c r="W9350" i="2"/>
  <c r="W9351" i="2"/>
  <c r="W9352" i="2"/>
  <c r="W9353" i="2"/>
  <c r="W9354" i="2"/>
  <c r="W9355" i="2"/>
  <c r="W9356" i="2"/>
  <c r="W9357" i="2"/>
  <c r="W9358" i="2"/>
  <c r="W9359" i="2"/>
  <c r="W9360" i="2"/>
  <c r="W9361" i="2"/>
  <c r="W9362" i="2"/>
  <c r="W9363" i="2"/>
  <c r="W9364" i="2"/>
  <c r="W9365" i="2"/>
  <c r="W9366" i="2"/>
  <c r="W9367" i="2"/>
  <c r="W9368" i="2"/>
  <c r="W9369" i="2"/>
  <c r="W9370" i="2"/>
  <c r="W9371" i="2"/>
  <c r="W9372" i="2"/>
  <c r="W9373" i="2"/>
  <c r="W9374" i="2"/>
  <c r="W9375" i="2"/>
  <c r="W9376" i="2"/>
  <c r="W9377" i="2"/>
  <c r="W9378" i="2"/>
  <c r="W9379" i="2"/>
  <c r="W9380" i="2"/>
  <c r="W9381" i="2"/>
  <c r="W9382" i="2"/>
  <c r="W9383" i="2"/>
  <c r="W9384" i="2"/>
  <c r="W9385" i="2"/>
  <c r="W9386" i="2"/>
  <c r="W9387" i="2"/>
  <c r="W9388" i="2"/>
  <c r="W9389" i="2"/>
  <c r="W9390" i="2"/>
  <c r="W9391" i="2"/>
  <c r="W9392" i="2"/>
  <c r="W9393" i="2"/>
  <c r="W9394" i="2"/>
  <c r="W9395" i="2"/>
  <c r="W9396" i="2"/>
  <c r="W9397" i="2"/>
  <c r="W9398" i="2"/>
  <c r="W9399" i="2"/>
  <c r="W9400" i="2"/>
  <c r="W9401" i="2"/>
  <c r="W9402" i="2"/>
  <c r="W9403" i="2"/>
  <c r="W9404" i="2"/>
  <c r="W9405" i="2"/>
  <c r="W9406" i="2"/>
  <c r="W9407" i="2"/>
  <c r="W9408" i="2"/>
  <c r="W9409" i="2"/>
  <c r="W9410" i="2"/>
  <c r="W9411" i="2"/>
  <c r="W9412" i="2"/>
  <c r="W9413" i="2"/>
  <c r="W9414" i="2"/>
  <c r="W9415" i="2"/>
  <c r="W9416" i="2"/>
  <c r="W9417" i="2"/>
  <c r="W9418" i="2"/>
  <c r="W9419" i="2"/>
  <c r="W9420" i="2"/>
  <c r="W9421" i="2"/>
  <c r="W9422" i="2"/>
  <c r="W9423" i="2"/>
  <c r="W9424" i="2"/>
  <c r="W9425" i="2"/>
  <c r="W9426" i="2"/>
  <c r="W9427" i="2"/>
  <c r="W9428" i="2"/>
  <c r="W9429" i="2"/>
  <c r="W9430" i="2"/>
  <c r="W9431" i="2"/>
  <c r="W9432" i="2"/>
  <c r="W9433" i="2"/>
  <c r="W9434" i="2"/>
  <c r="W9435" i="2"/>
  <c r="W9436" i="2"/>
  <c r="W9437" i="2"/>
  <c r="W9438" i="2"/>
  <c r="W9439" i="2"/>
  <c r="W9440" i="2"/>
  <c r="W9441" i="2"/>
  <c r="W9442" i="2"/>
  <c r="W9443" i="2"/>
  <c r="W9444" i="2"/>
  <c r="W9445" i="2"/>
  <c r="W9446" i="2"/>
  <c r="W9447" i="2"/>
  <c r="W9448" i="2"/>
  <c r="W9449" i="2"/>
  <c r="W9450" i="2"/>
  <c r="W9451" i="2"/>
  <c r="W9452" i="2"/>
  <c r="W9453" i="2"/>
  <c r="W9454" i="2"/>
  <c r="W9455" i="2"/>
  <c r="W9456" i="2"/>
  <c r="W9457" i="2"/>
  <c r="W9458" i="2"/>
  <c r="W9459" i="2"/>
  <c r="W9460" i="2"/>
  <c r="W9461" i="2"/>
  <c r="W9462" i="2"/>
  <c r="W9463" i="2"/>
  <c r="W9464" i="2"/>
  <c r="W9465" i="2"/>
  <c r="W9466" i="2"/>
  <c r="W9467" i="2"/>
  <c r="W9468" i="2"/>
  <c r="W9469" i="2"/>
  <c r="W9470" i="2"/>
  <c r="W9471" i="2"/>
  <c r="W9472" i="2"/>
  <c r="W9473" i="2"/>
  <c r="W9474" i="2"/>
  <c r="W9475" i="2"/>
  <c r="W9476" i="2"/>
  <c r="W9477" i="2"/>
  <c r="W9478" i="2"/>
  <c r="W9479" i="2"/>
  <c r="W9480" i="2"/>
  <c r="W9481" i="2"/>
  <c r="W9482" i="2"/>
  <c r="W9483" i="2"/>
  <c r="W9484" i="2"/>
  <c r="W9485" i="2"/>
  <c r="W9486" i="2"/>
  <c r="W9487" i="2"/>
  <c r="W9488" i="2"/>
  <c r="W9489" i="2"/>
  <c r="W9490" i="2"/>
  <c r="W9491" i="2"/>
  <c r="W9492" i="2"/>
  <c r="W9493" i="2"/>
  <c r="W9494" i="2"/>
  <c r="W9495" i="2"/>
  <c r="W9496" i="2"/>
  <c r="W9497" i="2"/>
  <c r="W9498" i="2"/>
  <c r="W9499" i="2"/>
  <c r="W9500" i="2"/>
  <c r="W9501" i="2"/>
  <c r="W9502" i="2"/>
  <c r="W9503" i="2"/>
  <c r="W9504" i="2"/>
  <c r="W9505" i="2"/>
  <c r="W9506" i="2"/>
  <c r="W9507" i="2"/>
  <c r="W9508" i="2"/>
  <c r="W9509" i="2"/>
  <c r="W9510" i="2"/>
  <c r="W9511" i="2"/>
  <c r="W9512" i="2"/>
  <c r="W9513" i="2"/>
  <c r="W9514" i="2"/>
  <c r="W9515" i="2"/>
  <c r="W9516" i="2"/>
  <c r="W9517" i="2"/>
  <c r="W9518" i="2"/>
  <c r="W9519" i="2"/>
  <c r="W9520" i="2"/>
  <c r="W9521" i="2"/>
  <c r="W9522" i="2"/>
  <c r="W9523" i="2"/>
  <c r="W9524" i="2"/>
  <c r="W9525" i="2"/>
  <c r="W9526" i="2"/>
  <c r="W9527" i="2"/>
  <c r="W9528" i="2"/>
  <c r="W9529" i="2"/>
  <c r="W9530" i="2"/>
  <c r="W9531" i="2"/>
  <c r="W9532" i="2"/>
  <c r="W9533" i="2"/>
  <c r="W9534" i="2"/>
  <c r="W9535" i="2"/>
  <c r="W9536" i="2"/>
  <c r="W9537" i="2"/>
  <c r="W9538" i="2"/>
  <c r="W9539" i="2"/>
  <c r="W9540" i="2"/>
  <c r="W9541" i="2"/>
  <c r="W9542" i="2"/>
  <c r="W9543" i="2"/>
  <c r="W9544" i="2"/>
  <c r="W9545" i="2"/>
  <c r="W9546" i="2"/>
  <c r="W9547" i="2"/>
  <c r="W9548" i="2"/>
  <c r="W9549" i="2"/>
  <c r="W9550" i="2"/>
  <c r="W9551" i="2"/>
  <c r="W9552" i="2"/>
  <c r="W9553" i="2"/>
  <c r="W9554" i="2"/>
  <c r="W9555" i="2"/>
  <c r="W9556" i="2"/>
  <c r="W9557" i="2"/>
  <c r="W9558" i="2"/>
  <c r="W9559" i="2"/>
  <c r="W9560" i="2"/>
  <c r="W9561" i="2"/>
  <c r="W9562" i="2"/>
  <c r="W9563" i="2"/>
  <c r="W9564" i="2"/>
  <c r="W9565" i="2"/>
  <c r="W9566" i="2"/>
  <c r="W9567" i="2"/>
  <c r="W9568" i="2"/>
  <c r="W9569" i="2"/>
  <c r="W9570" i="2"/>
  <c r="W9571" i="2"/>
  <c r="W9572" i="2"/>
  <c r="W9573" i="2"/>
  <c r="W9574" i="2"/>
  <c r="W9575" i="2"/>
  <c r="W9576" i="2"/>
  <c r="W9577" i="2"/>
  <c r="W9578" i="2"/>
  <c r="W9579" i="2"/>
  <c r="W9580" i="2"/>
  <c r="W9581" i="2"/>
  <c r="W9582" i="2"/>
  <c r="W9583" i="2"/>
  <c r="W9584" i="2"/>
  <c r="W9585" i="2"/>
  <c r="W9586" i="2"/>
  <c r="W9587" i="2"/>
  <c r="W9588" i="2"/>
  <c r="W9589" i="2"/>
  <c r="W9590" i="2"/>
  <c r="W9591" i="2"/>
  <c r="W9592" i="2"/>
  <c r="W9593" i="2"/>
  <c r="W9594" i="2"/>
  <c r="W9595" i="2"/>
  <c r="W9596" i="2"/>
  <c r="W9597" i="2"/>
  <c r="W9598" i="2"/>
  <c r="W9599" i="2"/>
  <c r="W9600" i="2"/>
  <c r="W9601" i="2"/>
  <c r="W9602" i="2"/>
  <c r="W9603" i="2"/>
  <c r="W9604" i="2"/>
  <c r="W9605" i="2"/>
  <c r="W9606" i="2"/>
  <c r="W9607" i="2"/>
  <c r="W9608" i="2"/>
  <c r="W9609" i="2"/>
  <c r="W9610" i="2"/>
  <c r="W9611" i="2"/>
  <c r="W9612" i="2"/>
  <c r="W9613" i="2"/>
  <c r="W9614" i="2"/>
  <c r="W9615" i="2"/>
  <c r="W9616" i="2"/>
  <c r="W9617" i="2"/>
  <c r="W9618" i="2"/>
  <c r="W9619" i="2"/>
  <c r="W9620" i="2"/>
  <c r="W9621" i="2"/>
  <c r="W9622" i="2"/>
  <c r="W9623" i="2"/>
  <c r="W9624" i="2"/>
  <c r="W9625" i="2"/>
  <c r="W9626" i="2"/>
  <c r="W9627" i="2"/>
  <c r="W9628" i="2"/>
  <c r="W9629" i="2"/>
  <c r="W9630" i="2"/>
  <c r="W9631" i="2"/>
  <c r="W9632" i="2"/>
  <c r="W9633" i="2"/>
  <c r="W9634" i="2"/>
  <c r="W9635" i="2"/>
  <c r="W9636" i="2"/>
  <c r="W9637" i="2"/>
  <c r="W9638" i="2"/>
  <c r="W9639" i="2"/>
  <c r="W9640" i="2"/>
  <c r="W9641" i="2"/>
  <c r="W9642" i="2"/>
  <c r="W9643" i="2"/>
  <c r="W9644" i="2"/>
  <c r="W9645" i="2"/>
  <c r="W9646" i="2"/>
  <c r="W9647" i="2"/>
  <c r="W9648" i="2"/>
  <c r="W9649" i="2"/>
  <c r="W9650" i="2"/>
  <c r="W9651" i="2"/>
  <c r="W9652" i="2"/>
  <c r="W9653" i="2"/>
  <c r="W9654" i="2"/>
  <c r="W9655" i="2"/>
  <c r="W9656" i="2"/>
  <c r="W9657" i="2"/>
  <c r="W9658" i="2"/>
  <c r="W9659" i="2"/>
  <c r="W9660" i="2"/>
  <c r="W9661" i="2"/>
  <c r="W9662" i="2"/>
  <c r="W9663" i="2"/>
  <c r="W9664" i="2"/>
  <c r="W9665" i="2"/>
  <c r="W9666" i="2"/>
  <c r="W9667" i="2"/>
  <c r="W9668" i="2"/>
  <c r="W9669" i="2"/>
  <c r="W9670" i="2"/>
  <c r="W9671" i="2"/>
  <c r="W9672" i="2"/>
  <c r="W9673" i="2"/>
  <c r="W9674" i="2"/>
  <c r="W9675" i="2"/>
  <c r="W9676" i="2"/>
  <c r="W9677" i="2"/>
  <c r="W9678" i="2"/>
  <c r="W9679" i="2"/>
  <c r="W9680" i="2"/>
  <c r="W9681" i="2"/>
  <c r="W9682" i="2"/>
  <c r="W9683" i="2"/>
  <c r="W9684" i="2"/>
  <c r="W9685" i="2"/>
  <c r="W9686" i="2"/>
  <c r="W9687" i="2"/>
  <c r="W9688" i="2"/>
  <c r="W9689" i="2"/>
  <c r="W9690" i="2"/>
  <c r="W9691" i="2"/>
  <c r="W9692" i="2"/>
  <c r="W9693" i="2"/>
  <c r="W9694" i="2"/>
  <c r="W9695" i="2"/>
  <c r="W9696" i="2"/>
  <c r="W9697" i="2"/>
  <c r="W9698" i="2"/>
  <c r="W9699" i="2"/>
  <c r="W9700" i="2"/>
  <c r="W9701" i="2"/>
  <c r="W9702" i="2"/>
  <c r="W9703" i="2"/>
  <c r="W9704" i="2"/>
  <c r="W9705" i="2"/>
  <c r="W9706" i="2"/>
  <c r="W9707" i="2"/>
  <c r="W9708" i="2"/>
  <c r="W9709" i="2"/>
  <c r="W9710" i="2"/>
  <c r="W9711" i="2"/>
  <c r="W9712" i="2"/>
  <c r="W9713" i="2"/>
  <c r="W9714" i="2"/>
  <c r="W9715" i="2"/>
  <c r="W9716" i="2"/>
  <c r="W9717" i="2"/>
  <c r="W9718" i="2"/>
  <c r="W9719" i="2"/>
  <c r="W9720" i="2"/>
  <c r="W9721" i="2"/>
  <c r="W9722" i="2"/>
  <c r="W9723" i="2"/>
  <c r="W9724" i="2"/>
  <c r="W9725" i="2"/>
  <c r="W9726" i="2"/>
  <c r="W9727" i="2"/>
  <c r="W9728" i="2"/>
  <c r="W9729" i="2"/>
  <c r="W9730" i="2"/>
  <c r="W9731" i="2"/>
  <c r="W9732" i="2"/>
  <c r="W9733" i="2"/>
  <c r="W9734" i="2"/>
  <c r="W9735" i="2"/>
  <c r="W9736" i="2"/>
  <c r="W9737" i="2"/>
  <c r="W9738" i="2"/>
  <c r="W9739" i="2"/>
  <c r="W9740" i="2"/>
  <c r="W9741" i="2"/>
  <c r="W9742" i="2"/>
  <c r="W9743" i="2"/>
  <c r="W9744" i="2"/>
  <c r="W9745" i="2"/>
  <c r="W9746" i="2"/>
  <c r="W9747" i="2"/>
  <c r="W9748" i="2"/>
  <c r="W9749" i="2"/>
  <c r="W9750" i="2"/>
  <c r="W9751" i="2"/>
  <c r="W9752" i="2"/>
  <c r="W9753" i="2"/>
  <c r="W9754" i="2"/>
  <c r="W9755" i="2"/>
  <c r="W9756" i="2"/>
  <c r="W9757" i="2"/>
  <c r="W9758" i="2"/>
  <c r="W9759" i="2"/>
  <c r="W9760" i="2"/>
  <c r="W9761" i="2"/>
  <c r="W9762" i="2"/>
  <c r="W9763" i="2"/>
  <c r="W9764" i="2"/>
  <c r="W9765" i="2"/>
  <c r="W9766" i="2"/>
  <c r="W9767" i="2"/>
  <c r="W9768" i="2"/>
  <c r="W9769" i="2"/>
  <c r="W9770" i="2"/>
  <c r="W9771" i="2"/>
  <c r="W9772" i="2"/>
  <c r="W9773" i="2"/>
  <c r="W9774" i="2"/>
  <c r="W9775" i="2"/>
  <c r="W9776" i="2"/>
  <c r="W9777" i="2"/>
  <c r="W9778" i="2"/>
  <c r="W9779" i="2"/>
  <c r="W9780" i="2"/>
  <c r="W9781" i="2"/>
  <c r="W9782" i="2"/>
  <c r="W9783" i="2"/>
  <c r="W9784" i="2"/>
  <c r="W9785" i="2"/>
  <c r="W9786" i="2"/>
  <c r="W9787" i="2"/>
  <c r="W9788" i="2"/>
  <c r="W9789" i="2"/>
  <c r="W9790" i="2"/>
  <c r="W9791" i="2"/>
  <c r="W9792" i="2"/>
  <c r="W9793" i="2"/>
  <c r="W9794" i="2"/>
  <c r="W9795" i="2"/>
  <c r="W9796" i="2"/>
  <c r="W9797" i="2"/>
  <c r="W9798" i="2"/>
  <c r="W9799" i="2"/>
  <c r="W9800" i="2"/>
  <c r="W9801" i="2"/>
  <c r="W9802" i="2"/>
  <c r="W9803" i="2"/>
  <c r="W9804" i="2"/>
  <c r="W9805" i="2"/>
  <c r="W9806" i="2"/>
  <c r="W9807" i="2"/>
  <c r="W9808" i="2"/>
  <c r="W9809" i="2"/>
  <c r="W9810" i="2"/>
  <c r="W9811" i="2"/>
  <c r="W9812" i="2"/>
  <c r="W9813" i="2"/>
  <c r="W9814" i="2"/>
  <c r="W9815" i="2"/>
  <c r="W9816" i="2"/>
  <c r="W9817" i="2"/>
  <c r="W9818" i="2"/>
  <c r="W9819" i="2"/>
  <c r="W9820" i="2"/>
  <c r="W9821" i="2"/>
  <c r="W9822" i="2"/>
  <c r="W9823" i="2"/>
  <c r="W9824" i="2"/>
  <c r="W9825" i="2"/>
  <c r="W9826" i="2"/>
  <c r="W9827" i="2"/>
  <c r="W9828" i="2"/>
  <c r="W9829" i="2"/>
  <c r="W9830" i="2"/>
  <c r="W9831" i="2"/>
  <c r="W9832" i="2"/>
  <c r="W9833" i="2"/>
  <c r="W9834" i="2"/>
  <c r="W9835" i="2"/>
  <c r="W9836" i="2"/>
  <c r="W9837" i="2"/>
  <c r="W9838" i="2"/>
  <c r="W9839" i="2"/>
  <c r="W9840" i="2"/>
  <c r="W9841" i="2"/>
  <c r="W9842" i="2"/>
  <c r="W9843" i="2"/>
  <c r="W9844" i="2"/>
  <c r="W9845" i="2"/>
  <c r="W9846" i="2"/>
  <c r="W9847" i="2"/>
  <c r="W9848" i="2"/>
  <c r="W9849" i="2"/>
  <c r="W9850" i="2"/>
  <c r="W9851" i="2"/>
  <c r="W9852" i="2"/>
  <c r="W9853" i="2"/>
  <c r="W9854" i="2"/>
  <c r="W9855" i="2"/>
  <c r="W9856" i="2"/>
  <c r="W9857" i="2"/>
  <c r="W9858" i="2"/>
  <c r="W9859" i="2"/>
  <c r="W9860" i="2"/>
  <c r="W9861" i="2"/>
  <c r="W9862" i="2"/>
  <c r="W9863" i="2"/>
  <c r="W9864" i="2"/>
  <c r="W9865" i="2"/>
  <c r="W9866" i="2"/>
  <c r="W9867" i="2"/>
  <c r="W9868" i="2"/>
  <c r="W9869" i="2"/>
  <c r="W9870" i="2"/>
  <c r="W9871" i="2"/>
  <c r="W9872" i="2"/>
  <c r="W9873" i="2"/>
  <c r="W9874" i="2"/>
  <c r="W9875" i="2"/>
  <c r="W9876" i="2"/>
  <c r="W9877" i="2"/>
  <c r="W9878" i="2"/>
  <c r="W9879" i="2"/>
  <c r="W9880" i="2"/>
  <c r="W9881" i="2"/>
  <c r="W9882" i="2"/>
  <c r="W9883" i="2"/>
  <c r="W9884" i="2"/>
  <c r="W9885" i="2"/>
  <c r="W9886" i="2"/>
  <c r="W9887" i="2"/>
  <c r="W9888" i="2"/>
  <c r="W9889" i="2"/>
  <c r="W9890" i="2"/>
  <c r="W9891" i="2"/>
  <c r="W9892" i="2"/>
  <c r="W9893" i="2"/>
  <c r="W9894" i="2"/>
  <c r="W9895" i="2"/>
  <c r="W9896" i="2"/>
  <c r="W9897" i="2"/>
  <c r="W9898" i="2"/>
  <c r="W9899" i="2"/>
  <c r="W9900" i="2"/>
  <c r="W9901" i="2"/>
  <c r="W9902" i="2"/>
  <c r="W9903" i="2"/>
  <c r="W9904" i="2"/>
  <c r="W9905" i="2"/>
  <c r="W9906" i="2"/>
  <c r="W9907" i="2"/>
  <c r="W9908" i="2"/>
  <c r="W9909" i="2"/>
  <c r="W9910" i="2"/>
  <c r="W9911" i="2"/>
  <c r="W9912" i="2"/>
  <c r="W9913" i="2"/>
  <c r="W9914" i="2"/>
  <c r="W9915" i="2"/>
  <c r="W9916" i="2"/>
  <c r="W9917" i="2"/>
  <c r="W9918" i="2"/>
  <c r="W9919" i="2"/>
  <c r="W9920" i="2"/>
  <c r="W9921" i="2"/>
  <c r="W9922" i="2"/>
  <c r="W9923" i="2"/>
  <c r="W9924" i="2"/>
  <c r="W9925" i="2"/>
  <c r="W9926" i="2"/>
  <c r="W9927" i="2"/>
  <c r="W9928" i="2"/>
  <c r="W9929" i="2"/>
  <c r="W9930" i="2"/>
  <c r="W9931" i="2"/>
  <c r="W9932" i="2"/>
  <c r="W9933" i="2"/>
  <c r="W9934" i="2"/>
  <c r="W9935" i="2"/>
  <c r="W9936" i="2"/>
  <c r="W9937" i="2"/>
  <c r="W9938" i="2"/>
  <c r="W9939" i="2"/>
  <c r="W9940" i="2"/>
  <c r="W9941" i="2"/>
  <c r="W9942" i="2"/>
  <c r="W9943" i="2"/>
  <c r="W9944" i="2"/>
  <c r="W9945" i="2"/>
  <c r="W9946" i="2"/>
  <c r="W9947" i="2"/>
  <c r="W9948" i="2"/>
  <c r="W9949" i="2"/>
  <c r="W9950" i="2"/>
  <c r="W9951" i="2"/>
  <c r="W9952" i="2"/>
  <c r="W9953" i="2"/>
  <c r="W9954" i="2"/>
  <c r="W9955" i="2"/>
  <c r="W9956" i="2"/>
  <c r="W9957" i="2"/>
  <c r="W9958" i="2"/>
  <c r="W9959" i="2"/>
  <c r="W9960" i="2"/>
  <c r="W9961" i="2"/>
  <c r="W9962" i="2"/>
  <c r="W9963" i="2"/>
  <c r="W9964" i="2"/>
  <c r="W9965" i="2"/>
  <c r="W9966" i="2"/>
  <c r="W9967" i="2"/>
  <c r="W9968" i="2"/>
  <c r="W9969" i="2"/>
  <c r="W9970" i="2"/>
  <c r="W9971" i="2"/>
  <c r="W9972" i="2"/>
  <c r="W9973" i="2"/>
  <c r="W9974" i="2"/>
  <c r="W9975" i="2"/>
  <c r="W9976" i="2"/>
  <c r="W9977" i="2"/>
  <c r="W9978" i="2"/>
  <c r="W9979" i="2"/>
  <c r="W9980" i="2"/>
  <c r="W9981" i="2"/>
  <c r="W9982" i="2"/>
  <c r="W9983" i="2"/>
  <c r="W9984" i="2"/>
  <c r="W9985" i="2"/>
  <c r="W9986" i="2"/>
  <c r="W9987" i="2"/>
  <c r="W9988" i="2"/>
  <c r="W9989" i="2"/>
  <c r="W9990" i="2"/>
  <c r="W9991" i="2"/>
  <c r="W9992" i="2"/>
  <c r="W9993" i="2"/>
  <c r="W9994" i="2"/>
  <c r="W9995" i="2"/>
  <c r="W9996" i="2"/>
  <c r="W9997" i="2"/>
  <c r="W9998" i="2"/>
  <c r="W9999" i="2"/>
  <c r="W10000" i="2"/>
  <c r="W10001" i="2"/>
  <c r="W10002" i="2"/>
  <c r="W10003" i="2"/>
  <c r="W10004" i="2"/>
  <c r="W10005" i="2"/>
  <c r="W10006" i="2"/>
  <c r="W10007" i="2"/>
  <c r="W10008" i="2"/>
  <c r="W10009" i="2"/>
  <c r="W10010" i="2"/>
  <c r="W10011" i="2"/>
  <c r="W10012" i="2"/>
  <c r="W10013" i="2"/>
  <c r="W10014" i="2"/>
  <c r="W10015" i="2"/>
  <c r="W10016" i="2"/>
  <c r="W10017" i="2"/>
  <c r="W10018" i="2"/>
  <c r="W10019" i="2"/>
  <c r="W10020" i="2"/>
  <c r="W10021" i="2"/>
  <c r="W10022" i="2"/>
  <c r="W10023" i="2"/>
  <c r="W10024" i="2"/>
  <c r="W10025" i="2"/>
  <c r="W10026" i="2"/>
  <c r="W10027" i="2"/>
  <c r="W10028" i="2"/>
  <c r="W10029" i="2"/>
  <c r="W10030" i="2"/>
  <c r="W10031" i="2"/>
  <c r="W10032" i="2"/>
  <c r="W10033" i="2"/>
  <c r="W10034" i="2"/>
  <c r="W10035" i="2"/>
  <c r="W10036" i="2"/>
  <c r="W10037" i="2"/>
  <c r="W10038" i="2"/>
  <c r="W10039" i="2"/>
  <c r="W10040" i="2"/>
  <c r="W10041" i="2"/>
  <c r="W10042" i="2"/>
  <c r="W10043" i="2"/>
  <c r="W10044" i="2"/>
  <c r="W10045" i="2"/>
  <c r="W10046" i="2"/>
  <c r="W10047" i="2"/>
  <c r="W10048" i="2"/>
  <c r="W10049" i="2"/>
  <c r="W10050" i="2"/>
  <c r="W10051" i="2"/>
  <c r="W10052" i="2"/>
  <c r="W10053" i="2"/>
  <c r="W10054" i="2"/>
  <c r="W10055" i="2"/>
  <c r="W10056" i="2"/>
  <c r="W10057" i="2"/>
  <c r="W10058" i="2"/>
  <c r="W10059" i="2"/>
  <c r="W10060" i="2"/>
  <c r="W10061" i="2"/>
  <c r="W10062" i="2"/>
  <c r="W10063" i="2"/>
  <c r="W10064" i="2"/>
  <c r="W10065" i="2"/>
  <c r="W10066" i="2"/>
  <c r="W10067" i="2"/>
  <c r="W10068" i="2"/>
  <c r="W10069" i="2"/>
  <c r="W10070" i="2"/>
  <c r="W10071" i="2"/>
  <c r="W10072" i="2"/>
  <c r="W10073" i="2"/>
  <c r="W10074" i="2"/>
  <c r="W10075" i="2"/>
  <c r="W10076" i="2"/>
  <c r="W10077" i="2"/>
  <c r="W10078" i="2"/>
  <c r="W10079" i="2"/>
  <c r="W10080" i="2"/>
  <c r="W10081" i="2"/>
  <c r="W10082" i="2"/>
  <c r="W10083" i="2"/>
  <c r="W10084" i="2"/>
  <c r="W10085" i="2"/>
  <c r="W10086" i="2"/>
  <c r="W10087" i="2"/>
  <c r="W10088" i="2"/>
  <c r="W10089" i="2"/>
  <c r="W10090" i="2"/>
  <c r="W10091" i="2"/>
  <c r="W10092" i="2"/>
  <c r="W10093" i="2"/>
  <c r="W10094" i="2"/>
  <c r="W10095" i="2"/>
  <c r="W10096" i="2"/>
  <c r="W10097" i="2"/>
  <c r="W10098" i="2"/>
  <c r="W10099" i="2"/>
  <c r="W10100" i="2"/>
  <c r="W10101" i="2"/>
  <c r="W10102" i="2"/>
  <c r="W10103" i="2"/>
  <c r="W10104" i="2"/>
  <c r="W10105" i="2"/>
  <c r="W10106" i="2"/>
  <c r="W10107" i="2"/>
  <c r="W10108" i="2"/>
  <c r="W10109" i="2"/>
  <c r="W10110" i="2"/>
  <c r="W10111" i="2"/>
  <c r="W10112" i="2"/>
  <c r="W10113" i="2"/>
  <c r="W10114" i="2"/>
  <c r="W10115" i="2"/>
  <c r="W10116" i="2"/>
  <c r="W10117" i="2"/>
  <c r="W10118" i="2"/>
  <c r="W10119" i="2"/>
  <c r="W10120" i="2"/>
  <c r="W10121" i="2"/>
  <c r="W10122" i="2"/>
  <c r="W10123" i="2"/>
  <c r="W10124" i="2"/>
  <c r="W10125" i="2"/>
  <c r="W10126" i="2"/>
  <c r="W10127" i="2"/>
  <c r="W10128" i="2"/>
  <c r="W10129" i="2"/>
  <c r="W10130" i="2"/>
  <c r="W10131" i="2"/>
  <c r="W10132" i="2"/>
  <c r="W10133" i="2"/>
  <c r="W10134" i="2"/>
  <c r="W10135" i="2"/>
  <c r="W10136" i="2"/>
  <c r="W10137" i="2"/>
  <c r="W10138" i="2"/>
  <c r="W10139" i="2"/>
  <c r="W10140" i="2"/>
  <c r="W10141" i="2"/>
  <c r="W10142" i="2"/>
  <c r="W10143" i="2"/>
  <c r="W10144" i="2"/>
  <c r="W10145" i="2"/>
  <c r="W10146" i="2"/>
  <c r="W10147" i="2"/>
  <c r="W10148" i="2"/>
  <c r="W10149" i="2"/>
  <c r="W10150" i="2"/>
  <c r="W10151" i="2"/>
  <c r="W10152" i="2"/>
  <c r="W10153" i="2"/>
  <c r="W10154" i="2"/>
  <c r="W10155" i="2"/>
  <c r="W10156" i="2"/>
  <c r="W10157" i="2"/>
  <c r="W10158" i="2"/>
  <c r="W10159" i="2"/>
  <c r="W10160" i="2"/>
  <c r="W10161" i="2"/>
  <c r="W10162" i="2"/>
  <c r="W10163" i="2"/>
  <c r="W10164" i="2"/>
  <c r="W10165" i="2"/>
  <c r="W10166" i="2"/>
  <c r="W10167" i="2"/>
  <c r="W10168" i="2"/>
  <c r="W10169" i="2"/>
  <c r="W10170" i="2"/>
  <c r="W10171" i="2"/>
  <c r="W10172" i="2"/>
  <c r="W10173" i="2"/>
  <c r="W10174" i="2"/>
  <c r="W10175" i="2"/>
  <c r="W10176" i="2"/>
  <c r="W10177" i="2"/>
  <c r="W10178" i="2"/>
  <c r="W10179" i="2"/>
  <c r="W10180" i="2"/>
  <c r="W10181" i="2"/>
  <c r="W10182" i="2"/>
  <c r="W10183" i="2"/>
  <c r="W10184" i="2"/>
  <c r="W10185" i="2"/>
  <c r="W10186" i="2"/>
  <c r="W10187" i="2"/>
  <c r="W10188" i="2"/>
  <c r="W10189" i="2"/>
  <c r="W10190" i="2"/>
  <c r="W10191" i="2"/>
  <c r="W10192" i="2"/>
  <c r="W10193" i="2"/>
  <c r="W10194" i="2"/>
  <c r="W10195" i="2"/>
  <c r="W10196" i="2"/>
  <c r="W10197" i="2"/>
  <c r="W10198" i="2"/>
  <c r="W10199" i="2"/>
  <c r="W10200" i="2"/>
  <c r="W10201" i="2"/>
  <c r="W10202" i="2"/>
  <c r="W10203" i="2"/>
  <c r="W10204" i="2"/>
  <c r="W10205" i="2"/>
  <c r="W10206" i="2"/>
  <c r="W10207" i="2"/>
  <c r="W10208" i="2"/>
  <c r="W10209" i="2"/>
  <c r="W10210" i="2"/>
  <c r="W10211" i="2"/>
  <c r="W10212" i="2"/>
  <c r="W10213" i="2"/>
  <c r="W10214" i="2"/>
  <c r="W10215" i="2"/>
  <c r="W10216" i="2"/>
  <c r="W10217" i="2"/>
  <c r="W10218" i="2"/>
  <c r="W10219" i="2"/>
  <c r="W10220" i="2"/>
  <c r="W10221" i="2"/>
  <c r="W10222" i="2"/>
  <c r="W10223" i="2"/>
  <c r="W10224" i="2"/>
  <c r="W10225" i="2"/>
  <c r="W10226" i="2"/>
  <c r="W10227" i="2"/>
  <c r="W10228" i="2"/>
  <c r="W10229" i="2"/>
  <c r="W10230" i="2"/>
  <c r="W10231" i="2"/>
  <c r="W10232" i="2"/>
  <c r="W10233" i="2"/>
  <c r="W10234" i="2"/>
  <c r="W10235" i="2"/>
  <c r="W10236" i="2"/>
  <c r="W10237" i="2"/>
  <c r="W10238" i="2"/>
  <c r="W10239" i="2"/>
  <c r="W10240" i="2"/>
  <c r="W10241" i="2"/>
  <c r="W10242" i="2"/>
  <c r="W10243" i="2"/>
  <c r="W10244" i="2"/>
  <c r="W10245" i="2"/>
  <c r="W10246" i="2"/>
  <c r="W10247" i="2"/>
  <c r="W10248" i="2"/>
  <c r="W10249" i="2"/>
  <c r="W10250" i="2"/>
  <c r="W10251" i="2"/>
  <c r="W10252" i="2"/>
  <c r="W10253" i="2"/>
  <c r="W10254" i="2"/>
  <c r="W10255" i="2"/>
  <c r="W10256" i="2"/>
  <c r="W10257" i="2"/>
  <c r="W10258" i="2"/>
  <c r="W10259" i="2"/>
  <c r="W10260" i="2"/>
  <c r="W10261" i="2"/>
  <c r="W10262" i="2"/>
  <c r="W10263" i="2"/>
  <c r="W10264" i="2"/>
  <c r="W10265" i="2"/>
  <c r="W10266" i="2"/>
  <c r="W10267" i="2"/>
  <c r="W10268" i="2"/>
  <c r="W10269" i="2"/>
  <c r="W10270" i="2"/>
  <c r="W10271" i="2"/>
  <c r="W10272" i="2"/>
  <c r="W10273" i="2"/>
  <c r="W10274" i="2"/>
  <c r="W10275" i="2"/>
  <c r="W10276" i="2"/>
  <c r="W10277" i="2"/>
  <c r="W10278" i="2"/>
  <c r="W10279" i="2"/>
  <c r="W10280" i="2"/>
  <c r="W10281" i="2"/>
  <c r="W10282" i="2"/>
  <c r="W10283" i="2"/>
  <c r="W10284" i="2"/>
  <c r="W10285" i="2"/>
  <c r="W10286" i="2"/>
  <c r="W10287" i="2"/>
  <c r="W10288" i="2"/>
  <c r="W10289" i="2"/>
  <c r="W10290" i="2"/>
  <c r="W10291" i="2"/>
  <c r="W10292" i="2"/>
  <c r="W10293" i="2"/>
  <c r="W10294" i="2"/>
  <c r="W10295" i="2"/>
  <c r="W10296" i="2"/>
  <c r="W10297" i="2"/>
  <c r="W10298" i="2"/>
  <c r="W10299" i="2"/>
  <c r="W10300" i="2"/>
  <c r="W10301" i="2"/>
  <c r="W10302" i="2"/>
  <c r="W10303" i="2"/>
  <c r="W10304" i="2"/>
  <c r="W10305" i="2"/>
  <c r="W10306" i="2"/>
  <c r="W10307" i="2"/>
  <c r="W10308" i="2"/>
  <c r="W10309" i="2"/>
  <c r="W10310" i="2"/>
  <c r="W10311" i="2"/>
  <c r="W10312" i="2"/>
  <c r="W10313" i="2"/>
  <c r="W10314" i="2"/>
  <c r="W10315" i="2"/>
  <c r="W10316" i="2"/>
  <c r="W10317" i="2"/>
  <c r="W10318" i="2"/>
  <c r="W10319" i="2"/>
  <c r="W10320" i="2"/>
  <c r="W10321" i="2"/>
  <c r="W10322" i="2"/>
  <c r="W10323" i="2"/>
  <c r="W10324" i="2"/>
  <c r="W10325" i="2"/>
  <c r="W10326" i="2"/>
  <c r="W10327" i="2"/>
  <c r="W10328" i="2"/>
  <c r="W10329" i="2"/>
  <c r="W10330" i="2"/>
  <c r="W10331" i="2"/>
  <c r="W10332" i="2"/>
  <c r="W10333" i="2"/>
  <c r="W10334" i="2"/>
  <c r="W10335" i="2"/>
  <c r="W10336" i="2"/>
  <c r="W10337" i="2"/>
  <c r="W10338" i="2"/>
  <c r="W10339" i="2"/>
  <c r="W10340" i="2"/>
  <c r="W10341" i="2"/>
  <c r="W10342" i="2"/>
  <c r="W10343" i="2"/>
  <c r="W10344" i="2"/>
  <c r="W10345" i="2"/>
  <c r="W10346" i="2"/>
  <c r="W10347" i="2"/>
  <c r="W10348" i="2"/>
  <c r="W10349" i="2"/>
  <c r="W10350" i="2"/>
  <c r="W10351" i="2"/>
  <c r="W10352" i="2"/>
  <c r="W10353" i="2"/>
  <c r="W10354" i="2"/>
  <c r="W10355" i="2"/>
  <c r="W10356" i="2"/>
  <c r="W10357" i="2"/>
  <c r="W10358" i="2"/>
  <c r="W10359" i="2"/>
  <c r="W10360" i="2"/>
  <c r="W10361" i="2"/>
  <c r="W10362" i="2"/>
  <c r="W10363" i="2"/>
  <c r="W10364" i="2"/>
  <c r="W10365" i="2"/>
  <c r="W10366" i="2"/>
  <c r="W10367" i="2"/>
  <c r="W10368" i="2"/>
  <c r="W10369" i="2"/>
  <c r="W10370" i="2"/>
  <c r="W10371" i="2"/>
  <c r="W10372" i="2"/>
  <c r="W10373" i="2"/>
  <c r="W10374" i="2"/>
  <c r="W10375" i="2"/>
  <c r="W10376" i="2"/>
  <c r="W10377" i="2"/>
  <c r="W10378" i="2"/>
  <c r="W10379" i="2"/>
  <c r="W10380" i="2"/>
  <c r="W10381" i="2"/>
  <c r="W10382" i="2"/>
  <c r="W10383" i="2"/>
  <c r="W10384" i="2"/>
  <c r="W10385" i="2"/>
  <c r="W10386" i="2"/>
  <c r="W10387" i="2"/>
  <c r="W10388" i="2"/>
  <c r="W10389" i="2"/>
  <c r="W10390" i="2"/>
  <c r="W10391" i="2"/>
  <c r="W10392" i="2"/>
  <c r="W10393" i="2"/>
  <c r="W10394" i="2"/>
  <c r="W10395" i="2"/>
  <c r="W10396" i="2"/>
  <c r="W10397" i="2"/>
  <c r="W10398" i="2"/>
  <c r="W10399" i="2"/>
  <c r="W10400" i="2"/>
  <c r="W10401" i="2"/>
  <c r="W10402" i="2"/>
  <c r="W10403" i="2"/>
  <c r="W10404" i="2"/>
  <c r="W10405" i="2"/>
  <c r="W10406" i="2"/>
  <c r="W10407" i="2"/>
  <c r="W10408" i="2"/>
  <c r="W10409" i="2"/>
  <c r="W10410" i="2"/>
  <c r="W10411" i="2"/>
  <c r="W10412" i="2"/>
  <c r="W10413" i="2"/>
  <c r="W10414" i="2"/>
  <c r="W10415" i="2"/>
  <c r="W10416" i="2"/>
  <c r="W10417" i="2"/>
  <c r="W10418" i="2"/>
  <c r="W10419" i="2"/>
  <c r="W10420" i="2"/>
  <c r="W10421" i="2"/>
  <c r="W10422" i="2"/>
  <c r="W10423" i="2"/>
  <c r="W10424" i="2"/>
  <c r="W10425" i="2"/>
  <c r="W10426" i="2"/>
  <c r="W10427" i="2"/>
  <c r="W10428" i="2"/>
  <c r="W10429" i="2"/>
  <c r="W10430" i="2"/>
  <c r="W10431" i="2"/>
  <c r="W10432" i="2"/>
  <c r="W10433" i="2"/>
  <c r="W10434" i="2"/>
  <c r="W10435" i="2"/>
  <c r="W10436" i="2"/>
  <c r="W10437" i="2"/>
  <c r="W10438" i="2"/>
  <c r="W10439" i="2"/>
  <c r="W10440" i="2"/>
  <c r="W10441" i="2"/>
  <c r="W10442" i="2"/>
  <c r="W10443" i="2"/>
  <c r="W10444" i="2"/>
  <c r="W10445" i="2"/>
  <c r="W10446" i="2"/>
  <c r="W10447" i="2"/>
  <c r="W10448" i="2"/>
  <c r="W10449" i="2"/>
  <c r="W10450" i="2"/>
  <c r="W10451" i="2"/>
  <c r="W10452" i="2"/>
  <c r="W10453" i="2"/>
  <c r="W10454" i="2"/>
  <c r="W10455" i="2"/>
  <c r="W10456" i="2"/>
  <c r="W10457" i="2"/>
  <c r="W10458" i="2"/>
  <c r="W10459" i="2"/>
  <c r="W10460" i="2"/>
  <c r="W10461" i="2"/>
  <c r="W10462" i="2"/>
  <c r="W10463" i="2"/>
  <c r="W10464" i="2"/>
  <c r="W10465" i="2"/>
  <c r="W10466" i="2"/>
  <c r="W10467" i="2"/>
  <c r="W10468" i="2"/>
  <c r="W10469" i="2"/>
  <c r="W10470" i="2"/>
  <c r="W10471" i="2"/>
  <c r="W10472" i="2"/>
  <c r="W10473" i="2"/>
  <c r="W10474" i="2"/>
  <c r="W10475" i="2"/>
  <c r="W10476" i="2"/>
  <c r="W10477" i="2"/>
  <c r="W10478" i="2"/>
  <c r="W10479" i="2"/>
  <c r="W10480" i="2"/>
  <c r="W10481" i="2"/>
  <c r="W10482" i="2"/>
  <c r="W10483" i="2"/>
  <c r="W10484" i="2"/>
  <c r="W10485" i="2"/>
  <c r="W10486" i="2"/>
  <c r="W10487" i="2"/>
  <c r="W10488" i="2"/>
  <c r="W10489" i="2"/>
  <c r="W10490" i="2"/>
  <c r="W10491" i="2"/>
  <c r="W10492" i="2"/>
  <c r="W10493" i="2"/>
  <c r="W10494" i="2"/>
  <c r="W10495" i="2"/>
  <c r="W10496" i="2"/>
  <c r="W10497" i="2"/>
  <c r="W10498" i="2"/>
  <c r="W10499" i="2"/>
  <c r="W10500" i="2"/>
  <c r="W10501" i="2"/>
  <c r="W10502" i="2"/>
  <c r="W10503" i="2"/>
  <c r="W10504" i="2"/>
  <c r="W10505" i="2"/>
  <c r="W10506" i="2"/>
  <c r="W10507" i="2"/>
  <c r="W10508" i="2"/>
  <c r="W10509" i="2"/>
  <c r="W10510" i="2"/>
  <c r="W10511" i="2"/>
  <c r="W10512" i="2"/>
  <c r="W10513" i="2"/>
  <c r="W10514" i="2"/>
  <c r="W10515" i="2"/>
  <c r="W10516" i="2"/>
  <c r="W10517" i="2"/>
  <c r="W10518" i="2"/>
  <c r="W10519" i="2"/>
  <c r="W10520" i="2"/>
  <c r="W10521" i="2"/>
  <c r="W10522" i="2"/>
  <c r="W10523" i="2"/>
  <c r="W10524" i="2"/>
  <c r="W10525" i="2"/>
  <c r="W10526" i="2"/>
  <c r="W10527" i="2"/>
  <c r="W10528" i="2"/>
  <c r="W10529" i="2"/>
  <c r="W10530" i="2"/>
  <c r="W10531" i="2"/>
  <c r="W10532" i="2"/>
  <c r="W10533" i="2"/>
  <c r="W10534" i="2"/>
  <c r="W10535" i="2"/>
  <c r="W10536" i="2"/>
  <c r="W10537" i="2"/>
  <c r="W10538" i="2"/>
  <c r="W10539" i="2"/>
  <c r="W10540" i="2"/>
  <c r="W10541" i="2"/>
  <c r="W10542" i="2"/>
  <c r="W10543" i="2"/>
  <c r="W10544" i="2"/>
  <c r="W10545" i="2"/>
  <c r="W10546" i="2"/>
  <c r="W10547" i="2"/>
  <c r="W10548" i="2"/>
  <c r="W10549" i="2"/>
  <c r="W10550" i="2"/>
  <c r="W10551" i="2"/>
  <c r="W10552" i="2"/>
  <c r="W10553" i="2"/>
  <c r="W10554" i="2"/>
  <c r="W10555" i="2"/>
  <c r="W10556" i="2"/>
  <c r="W10557" i="2"/>
  <c r="W10558" i="2"/>
  <c r="W10559" i="2"/>
  <c r="W10560" i="2"/>
  <c r="W10561" i="2"/>
  <c r="W10562" i="2"/>
  <c r="W10563" i="2"/>
  <c r="W10564" i="2"/>
  <c r="W10565" i="2"/>
  <c r="W10566" i="2"/>
  <c r="W10567" i="2"/>
  <c r="W10568" i="2"/>
  <c r="W10569" i="2"/>
  <c r="W10570" i="2"/>
  <c r="W10571" i="2"/>
  <c r="W10572" i="2"/>
  <c r="W10573" i="2"/>
  <c r="W10574" i="2"/>
  <c r="W10575" i="2"/>
  <c r="W10576" i="2"/>
  <c r="W10577" i="2"/>
  <c r="W10578" i="2"/>
  <c r="W10579" i="2"/>
  <c r="W10580" i="2"/>
  <c r="W10581" i="2"/>
  <c r="W10582" i="2"/>
  <c r="W10583" i="2"/>
  <c r="W10584" i="2"/>
  <c r="W10585" i="2"/>
  <c r="W10586" i="2"/>
  <c r="W10587" i="2"/>
  <c r="W10588" i="2"/>
  <c r="W10589" i="2"/>
  <c r="W10590" i="2"/>
  <c r="W10591" i="2"/>
  <c r="W10592" i="2"/>
  <c r="W10593" i="2"/>
  <c r="W10594" i="2"/>
  <c r="W10595" i="2"/>
  <c r="W10596" i="2"/>
  <c r="W10597" i="2"/>
  <c r="W10598" i="2"/>
  <c r="W10599" i="2"/>
  <c r="W10600" i="2"/>
  <c r="W10601" i="2"/>
  <c r="W10602" i="2"/>
  <c r="W10603" i="2"/>
  <c r="W10604" i="2"/>
  <c r="W10605" i="2"/>
  <c r="W10606" i="2"/>
  <c r="W10607" i="2"/>
  <c r="W10608" i="2"/>
  <c r="W10609" i="2"/>
  <c r="W10610" i="2"/>
  <c r="W10611" i="2"/>
  <c r="W10612" i="2"/>
  <c r="W10613" i="2"/>
  <c r="W10614" i="2"/>
  <c r="W10615" i="2"/>
  <c r="W10616" i="2"/>
  <c r="W10617" i="2"/>
  <c r="W10618" i="2"/>
  <c r="W10619" i="2"/>
  <c r="W10620" i="2"/>
  <c r="W10621" i="2"/>
  <c r="W10622" i="2"/>
  <c r="W10623" i="2"/>
  <c r="W10624" i="2"/>
  <c r="W10625" i="2"/>
  <c r="W10626" i="2"/>
  <c r="W10627" i="2"/>
  <c r="W10628" i="2"/>
  <c r="W10629" i="2"/>
  <c r="W10630" i="2"/>
  <c r="W10631" i="2"/>
  <c r="W10632" i="2"/>
  <c r="W10633" i="2"/>
  <c r="W10634" i="2"/>
  <c r="W10635" i="2"/>
  <c r="W10636" i="2"/>
  <c r="W10637" i="2"/>
  <c r="W10638" i="2"/>
  <c r="W10639" i="2"/>
  <c r="W10640" i="2"/>
  <c r="W10641" i="2"/>
  <c r="W10642" i="2"/>
  <c r="W10643" i="2"/>
  <c r="W10644" i="2"/>
  <c r="W10645" i="2"/>
  <c r="W10646" i="2"/>
  <c r="W10647" i="2"/>
  <c r="W10648" i="2"/>
  <c r="W10649" i="2"/>
  <c r="W10650" i="2"/>
  <c r="W10651" i="2"/>
  <c r="W10652" i="2"/>
  <c r="W10653" i="2"/>
  <c r="W10654" i="2"/>
  <c r="W10655" i="2"/>
  <c r="W10656" i="2"/>
  <c r="W10657" i="2"/>
  <c r="W10658" i="2"/>
  <c r="W10659" i="2"/>
  <c r="W10660" i="2"/>
  <c r="W10661" i="2"/>
  <c r="W10662" i="2"/>
  <c r="W10663" i="2"/>
  <c r="W10664" i="2"/>
  <c r="W10665" i="2"/>
  <c r="W10666" i="2"/>
  <c r="W10667" i="2"/>
  <c r="W10668" i="2"/>
  <c r="W10669" i="2"/>
  <c r="W10670" i="2"/>
  <c r="W10671" i="2"/>
  <c r="W10672" i="2"/>
  <c r="W10673" i="2"/>
  <c r="W10674" i="2"/>
  <c r="W10675" i="2"/>
  <c r="W10676" i="2"/>
  <c r="W10677" i="2"/>
  <c r="W10678" i="2"/>
  <c r="W10679" i="2"/>
  <c r="W10680" i="2"/>
  <c r="W10681" i="2"/>
  <c r="W10682" i="2"/>
  <c r="W10683" i="2"/>
  <c r="W10684" i="2"/>
  <c r="W10685" i="2"/>
  <c r="W10686" i="2"/>
  <c r="W10687" i="2"/>
  <c r="W10688" i="2"/>
  <c r="W10689" i="2"/>
  <c r="W10690" i="2"/>
  <c r="W10691" i="2"/>
  <c r="W10692" i="2"/>
  <c r="W10693" i="2"/>
  <c r="W10694" i="2"/>
  <c r="W10695" i="2"/>
  <c r="W10696" i="2"/>
  <c r="W10697" i="2"/>
  <c r="W10698" i="2"/>
  <c r="W10699" i="2"/>
  <c r="W10700" i="2"/>
  <c r="W10701" i="2"/>
  <c r="W10702" i="2"/>
  <c r="W10703" i="2"/>
  <c r="W10704" i="2"/>
  <c r="W10705" i="2"/>
  <c r="W10706" i="2"/>
  <c r="W10707" i="2"/>
  <c r="W10708" i="2"/>
  <c r="W10709" i="2"/>
  <c r="W10710" i="2"/>
  <c r="W10711" i="2"/>
  <c r="W10712" i="2"/>
  <c r="W10713" i="2"/>
  <c r="W10714" i="2"/>
  <c r="W10715" i="2"/>
  <c r="W10716" i="2"/>
  <c r="W10717" i="2"/>
  <c r="W10718" i="2"/>
  <c r="W10719" i="2"/>
  <c r="W10720" i="2"/>
  <c r="W10721" i="2"/>
  <c r="W10722" i="2"/>
  <c r="W10723" i="2"/>
  <c r="W10724" i="2"/>
  <c r="W10725" i="2"/>
  <c r="W10726" i="2"/>
  <c r="W10727" i="2"/>
  <c r="W10728" i="2"/>
  <c r="W10729" i="2"/>
  <c r="W10730" i="2"/>
  <c r="W10731" i="2"/>
  <c r="W10732" i="2"/>
  <c r="W10733" i="2"/>
  <c r="W10734" i="2"/>
  <c r="W10735" i="2"/>
  <c r="W10736" i="2"/>
  <c r="W10737" i="2"/>
  <c r="W10738" i="2"/>
  <c r="W10739" i="2"/>
  <c r="W10740" i="2"/>
  <c r="W10741" i="2"/>
  <c r="W10742" i="2"/>
  <c r="W10743" i="2"/>
  <c r="W10744" i="2"/>
  <c r="W10745" i="2"/>
  <c r="W10746" i="2"/>
  <c r="W10747" i="2"/>
  <c r="W10748" i="2"/>
  <c r="W10749" i="2"/>
  <c r="W10750" i="2"/>
  <c r="W10751" i="2"/>
  <c r="W10752" i="2"/>
  <c r="W10753" i="2"/>
  <c r="W10754" i="2"/>
  <c r="W10755" i="2"/>
  <c r="W10756" i="2"/>
  <c r="W10757" i="2"/>
  <c r="W10758" i="2"/>
  <c r="W10759" i="2"/>
  <c r="W10760" i="2"/>
  <c r="W10761" i="2"/>
  <c r="W10762" i="2"/>
  <c r="W10763" i="2"/>
  <c r="W10764" i="2"/>
  <c r="W10765" i="2"/>
  <c r="W10766" i="2"/>
  <c r="W10767" i="2"/>
  <c r="W10768" i="2"/>
  <c r="W10769" i="2"/>
  <c r="W10770" i="2"/>
  <c r="W10771" i="2"/>
  <c r="W10772" i="2"/>
  <c r="W10773" i="2"/>
  <c r="W10774" i="2"/>
  <c r="W10775" i="2"/>
  <c r="W10776" i="2"/>
  <c r="W10777" i="2"/>
  <c r="W10778" i="2"/>
  <c r="W10779" i="2"/>
  <c r="W10780" i="2"/>
  <c r="W10781" i="2"/>
  <c r="W10782" i="2"/>
  <c r="W10783" i="2"/>
  <c r="W10784" i="2"/>
  <c r="W10785" i="2"/>
  <c r="W10786" i="2"/>
  <c r="W10787" i="2"/>
  <c r="W10788" i="2"/>
  <c r="W10789" i="2"/>
  <c r="W10790" i="2"/>
  <c r="W10791" i="2"/>
  <c r="W10792" i="2"/>
  <c r="W10793" i="2"/>
  <c r="W10794" i="2"/>
  <c r="W10795" i="2"/>
  <c r="W10796" i="2"/>
  <c r="W10797" i="2"/>
  <c r="W10798" i="2"/>
  <c r="W10799" i="2"/>
  <c r="W10800" i="2"/>
  <c r="W10801" i="2"/>
  <c r="W10802" i="2"/>
  <c r="W10803" i="2"/>
  <c r="W10804" i="2"/>
  <c r="W10805" i="2"/>
  <c r="W10806" i="2"/>
  <c r="W10807" i="2"/>
  <c r="W10808" i="2"/>
  <c r="W10809" i="2"/>
  <c r="W10810" i="2"/>
  <c r="W10811" i="2"/>
  <c r="W10812" i="2"/>
  <c r="W10813" i="2"/>
  <c r="W10814" i="2"/>
  <c r="W10815" i="2"/>
  <c r="W10816" i="2"/>
  <c r="W10817" i="2"/>
  <c r="W10818" i="2"/>
  <c r="W10819" i="2"/>
  <c r="W10820" i="2"/>
  <c r="W10821" i="2"/>
  <c r="W10822" i="2"/>
  <c r="W10823" i="2"/>
  <c r="W10824" i="2"/>
  <c r="W10825" i="2"/>
  <c r="W10826" i="2"/>
  <c r="W10827" i="2"/>
  <c r="W10828" i="2"/>
  <c r="W10829" i="2"/>
  <c r="W10830" i="2"/>
  <c r="W10831" i="2"/>
  <c r="W10832" i="2"/>
  <c r="W10833" i="2"/>
  <c r="W10834" i="2"/>
  <c r="W10835" i="2"/>
  <c r="W10836" i="2"/>
  <c r="W10837" i="2"/>
  <c r="W10838" i="2"/>
  <c r="W10839" i="2"/>
  <c r="W10840" i="2"/>
  <c r="W10841" i="2"/>
  <c r="W10842" i="2"/>
  <c r="W10843" i="2"/>
  <c r="W10844" i="2"/>
  <c r="W10845" i="2"/>
  <c r="W10846" i="2"/>
  <c r="W10847" i="2"/>
  <c r="W10848" i="2"/>
  <c r="W10849" i="2"/>
  <c r="W10850" i="2"/>
  <c r="W10851" i="2"/>
  <c r="W10852" i="2"/>
  <c r="W10853" i="2"/>
  <c r="W10854" i="2"/>
  <c r="W10855" i="2"/>
  <c r="W10856" i="2"/>
  <c r="W10857" i="2"/>
  <c r="W10858" i="2"/>
  <c r="W10859" i="2"/>
  <c r="W10860" i="2"/>
  <c r="W10861" i="2"/>
  <c r="W10862" i="2"/>
  <c r="W10863" i="2"/>
  <c r="W10864" i="2"/>
  <c r="W10865" i="2"/>
  <c r="W10866" i="2"/>
  <c r="W10867" i="2"/>
  <c r="W10868" i="2"/>
  <c r="W10869" i="2"/>
  <c r="W10870" i="2"/>
  <c r="W10871" i="2"/>
  <c r="W10872" i="2"/>
  <c r="W10873" i="2"/>
  <c r="W10874" i="2"/>
  <c r="W10875" i="2"/>
  <c r="W10876" i="2"/>
  <c r="W10877" i="2"/>
  <c r="W10878" i="2"/>
  <c r="W10879" i="2"/>
  <c r="W10880" i="2"/>
  <c r="W10881" i="2"/>
  <c r="W10882" i="2"/>
  <c r="W10883" i="2"/>
  <c r="W10884" i="2"/>
  <c r="W10885" i="2"/>
  <c r="W10886" i="2"/>
  <c r="W10887" i="2"/>
  <c r="W10888" i="2"/>
  <c r="W10889" i="2"/>
  <c r="W10890" i="2"/>
  <c r="W10891" i="2"/>
  <c r="W10892" i="2"/>
  <c r="W10893" i="2"/>
  <c r="W10894" i="2"/>
  <c r="W10895" i="2"/>
  <c r="W10896" i="2"/>
  <c r="W10897" i="2"/>
  <c r="W10898" i="2"/>
  <c r="W10899" i="2"/>
  <c r="W10900" i="2"/>
  <c r="W10901" i="2"/>
  <c r="W10902" i="2"/>
  <c r="W10903" i="2"/>
  <c r="W10904" i="2"/>
  <c r="W10905" i="2"/>
  <c r="W10906" i="2"/>
  <c r="W10907" i="2"/>
  <c r="W10908" i="2"/>
  <c r="W10909" i="2"/>
  <c r="W10910" i="2"/>
  <c r="W10911" i="2"/>
  <c r="W10912" i="2"/>
  <c r="W10913" i="2"/>
  <c r="W10914" i="2"/>
  <c r="W10915" i="2"/>
  <c r="W10916" i="2"/>
  <c r="W10917" i="2"/>
  <c r="W10918" i="2"/>
  <c r="W10919" i="2"/>
  <c r="W10920" i="2"/>
  <c r="W10921" i="2"/>
  <c r="W10922" i="2"/>
  <c r="W10923" i="2"/>
  <c r="W10924" i="2"/>
  <c r="W10925" i="2"/>
  <c r="W10926" i="2"/>
  <c r="W10927" i="2"/>
  <c r="W10928" i="2"/>
  <c r="W10929" i="2"/>
  <c r="W10930" i="2"/>
  <c r="W10931" i="2"/>
  <c r="W10932" i="2"/>
  <c r="W10933" i="2"/>
  <c r="W10934" i="2"/>
  <c r="W10935" i="2"/>
  <c r="W10936" i="2"/>
  <c r="W10937" i="2"/>
  <c r="W10938" i="2"/>
  <c r="W10939" i="2"/>
  <c r="W10940" i="2"/>
  <c r="W10941" i="2"/>
  <c r="W10942" i="2"/>
  <c r="W10943" i="2"/>
  <c r="W10944" i="2"/>
  <c r="W10945" i="2"/>
  <c r="W10946" i="2"/>
  <c r="W10947" i="2"/>
  <c r="W10948" i="2"/>
  <c r="W10949" i="2"/>
  <c r="W10950" i="2"/>
  <c r="W10951" i="2"/>
  <c r="W10952" i="2"/>
  <c r="W10953" i="2"/>
  <c r="W10954" i="2"/>
  <c r="W10955" i="2"/>
  <c r="W10956" i="2"/>
  <c r="W10957" i="2"/>
  <c r="W10958" i="2"/>
  <c r="W10959" i="2"/>
  <c r="W10960" i="2"/>
  <c r="W10961" i="2"/>
  <c r="W10962" i="2"/>
  <c r="W10963" i="2"/>
  <c r="W10964" i="2"/>
  <c r="W10965" i="2"/>
  <c r="W10966" i="2"/>
  <c r="W10967" i="2"/>
  <c r="W10968" i="2"/>
  <c r="W10969" i="2"/>
  <c r="W10970" i="2"/>
  <c r="W10971" i="2"/>
  <c r="W10972" i="2"/>
  <c r="W10973" i="2"/>
  <c r="W10974" i="2"/>
  <c r="W10975" i="2"/>
  <c r="W10976" i="2"/>
  <c r="W10977" i="2"/>
  <c r="W10978" i="2"/>
  <c r="W10979" i="2"/>
  <c r="W10980" i="2"/>
  <c r="W10981" i="2"/>
  <c r="W10982" i="2"/>
  <c r="W10983" i="2"/>
  <c r="W10984" i="2"/>
  <c r="W10985" i="2"/>
  <c r="W10986" i="2"/>
  <c r="W10987" i="2"/>
  <c r="W10988" i="2"/>
  <c r="W10989" i="2"/>
  <c r="W10990" i="2"/>
  <c r="W10991" i="2"/>
  <c r="W10992" i="2"/>
  <c r="W10993" i="2"/>
  <c r="W10994" i="2"/>
  <c r="W10995" i="2"/>
  <c r="W10996" i="2"/>
  <c r="W10997" i="2"/>
  <c r="W10998" i="2"/>
  <c r="W10999" i="2"/>
  <c r="W11000" i="2"/>
  <c r="W11001" i="2"/>
  <c r="W11002" i="2"/>
  <c r="W11003" i="2"/>
  <c r="W11004" i="2"/>
  <c r="W11005" i="2"/>
  <c r="W11006" i="2"/>
  <c r="W11007" i="2"/>
  <c r="W11008" i="2"/>
  <c r="W11009" i="2"/>
  <c r="W11010" i="2"/>
  <c r="W11011" i="2"/>
  <c r="W11012" i="2"/>
  <c r="W11013" i="2"/>
  <c r="W11014" i="2"/>
  <c r="W11015" i="2"/>
  <c r="W11016" i="2"/>
  <c r="W11017" i="2"/>
  <c r="W11018" i="2"/>
  <c r="W11019" i="2"/>
  <c r="W11020" i="2"/>
  <c r="W11021" i="2"/>
  <c r="W11022" i="2"/>
  <c r="W11023" i="2"/>
  <c r="W11024" i="2"/>
  <c r="W11025" i="2"/>
  <c r="W11026" i="2"/>
  <c r="W11027" i="2"/>
  <c r="W11028" i="2"/>
  <c r="W11029" i="2"/>
  <c r="W11030" i="2"/>
  <c r="W11031" i="2"/>
  <c r="W11032" i="2"/>
  <c r="W11033" i="2"/>
  <c r="W11034" i="2"/>
  <c r="W11035" i="2"/>
  <c r="W11036" i="2"/>
  <c r="W11037" i="2"/>
  <c r="W11038" i="2"/>
  <c r="W11039" i="2"/>
  <c r="W11040" i="2"/>
  <c r="W11041" i="2"/>
  <c r="W11042" i="2"/>
  <c r="W11043" i="2"/>
  <c r="W11044" i="2"/>
  <c r="W11045" i="2"/>
  <c r="W11046" i="2"/>
  <c r="W11047" i="2"/>
  <c r="W11048" i="2"/>
  <c r="W11049" i="2"/>
  <c r="W11050" i="2"/>
  <c r="W11051" i="2"/>
  <c r="W11052" i="2"/>
  <c r="W11053" i="2"/>
  <c r="W11054" i="2"/>
  <c r="W11055" i="2"/>
  <c r="W11056" i="2"/>
  <c r="W11057" i="2"/>
  <c r="W11058" i="2"/>
  <c r="W11059" i="2"/>
  <c r="W11060" i="2"/>
  <c r="W11061" i="2"/>
  <c r="W11062" i="2"/>
  <c r="W11063" i="2"/>
  <c r="W11064" i="2"/>
  <c r="W11065" i="2"/>
  <c r="W11066" i="2"/>
  <c r="W11067" i="2"/>
  <c r="W11068" i="2"/>
  <c r="W11069" i="2"/>
  <c r="W11070" i="2"/>
  <c r="W11071" i="2"/>
  <c r="W11072" i="2"/>
  <c r="W11073" i="2"/>
  <c r="W11074" i="2"/>
  <c r="W11075" i="2"/>
  <c r="W11076" i="2"/>
  <c r="W11077" i="2"/>
  <c r="W11078" i="2"/>
  <c r="W11079" i="2"/>
  <c r="W11080" i="2"/>
  <c r="W11081" i="2"/>
  <c r="W11082" i="2"/>
  <c r="W11083" i="2"/>
  <c r="W11084" i="2"/>
  <c r="W11085" i="2"/>
  <c r="W11086" i="2"/>
  <c r="W11087" i="2"/>
  <c r="W11088" i="2"/>
  <c r="W11089" i="2"/>
  <c r="W11090" i="2"/>
  <c r="W11091" i="2"/>
  <c r="W11092" i="2"/>
  <c r="W11093" i="2"/>
  <c r="W11094" i="2"/>
  <c r="W11095" i="2"/>
  <c r="W11096" i="2"/>
  <c r="W11097" i="2"/>
  <c r="W11098" i="2"/>
  <c r="W11099" i="2"/>
  <c r="W11100" i="2"/>
  <c r="W11101" i="2"/>
  <c r="W11102" i="2"/>
  <c r="W11103" i="2"/>
  <c r="W11104" i="2"/>
  <c r="W11105" i="2"/>
  <c r="W11106" i="2"/>
  <c r="W11107" i="2"/>
  <c r="W11108" i="2"/>
  <c r="W11109" i="2"/>
  <c r="W11110" i="2"/>
  <c r="W11111" i="2"/>
  <c r="W11112" i="2"/>
  <c r="W11113" i="2"/>
  <c r="W11114" i="2"/>
  <c r="W11115" i="2"/>
  <c r="W11116" i="2"/>
  <c r="W11117" i="2"/>
  <c r="W11118" i="2"/>
  <c r="W11119" i="2"/>
  <c r="W11120" i="2"/>
  <c r="W11121" i="2"/>
  <c r="W11122" i="2"/>
  <c r="W11123" i="2"/>
  <c r="W11124" i="2"/>
  <c r="W11125" i="2"/>
  <c r="W11126" i="2"/>
  <c r="W11127" i="2"/>
  <c r="W11128" i="2"/>
  <c r="W11129" i="2"/>
  <c r="W11130" i="2"/>
  <c r="W11131" i="2"/>
  <c r="W11132" i="2"/>
  <c r="W11133" i="2"/>
  <c r="W11134" i="2"/>
  <c r="W11135" i="2"/>
  <c r="W11136" i="2"/>
  <c r="W11137" i="2"/>
  <c r="W11138" i="2"/>
  <c r="W11139" i="2"/>
  <c r="W11140" i="2"/>
  <c r="W11141" i="2"/>
  <c r="W11142" i="2"/>
  <c r="W11143" i="2"/>
  <c r="W11144" i="2"/>
  <c r="W11145" i="2"/>
  <c r="W11146" i="2"/>
  <c r="W11147" i="2"/>
  <c r="W11148" i="2"/>
  <c r="W11149" i="2"/>
  <c r="W11150" i="2"/>
  <c r="W11151" i="2"/>
  <c r="W11152" i="2"/>
  <c r="W11153" i="2"/>
  <c r="W11154" i="2"/>
  <c r="W11155" i="2"/>
  <c r="W11156" i="2"/>
  <c r="W11157" i="2"/>
  <c r="W11158" i="2"/>
  <c r="W11159" i="2"/>
  <c r="W11160" i="2"/>
  <c r="W11161" i="2"/>
  <c r="W11162" i="2"/>
  <c r="W11163" i="2"/>
  <c r="W11164" i="2"/>
  <c r="W11165" i="2"/>
  <c r="W11166" i="2"/>
  <c r="W11167" i="2"/>
  <c r="W11168" i="2"/>
  <c r="W11169" i="2"/>
  <c r="W11170" i="2"/>
  <c r="W11171" i="2"/>
  <c r="W11172" i="2"/>
  <c r="W11173" i="2"/>
  <c r="W11174" i="2"/>
  <c r="W11175" i="2"/>
  <c r="W11176" i="2"/>
  <c r="W11177" i="2"/>
  <c r="W11178" i="2"/>
  <c r="W11179" i="2"/>
  <c r="W11180" i="2"/>
  <c r="W11181" i="2"/>
  <c r="W11182" i="2"/>
  <c r="W11183" i="2"/>
  <c r="W11184" i="2"/>
  <c r="W11185" i="2"/>
  <c r="W11186" i="2"/>
  <c r="W11187" i="2"/>
  <c r="W11188" i="2"/>
  <c r="W11189" i="2"/>
  <c r="W11190" i="2"/>
  <c r="W11191" i="2"/>
  <c r="W11192" i="2"/>
  <c r="W11193" i="2"/>
  <c r="W11194" i="2"/>
  <c r="W11195" i="2"/>
  <c r="W11196" i="2"/>
  <c r="W11197" i="2"/>
  <c r="W11198" i="2"/>
  <c r="W11199" i="2"/>
  <c r="W11200" i="2"/>
  <c r="W11201" i="2"/>
  <c r="W11202" i="2"/>
  <c r="W11203" i="2"/>
  <c r="W11204" i="2"/>
  <c r="W11205" i="2"/>
  <c r="W11206" i="2"/>
  <c r="W11207" i="2"/>
  <c r="W11208" i="2"/>
  <c r="W11209" i="2"/>
  <c r="W11210" i="2"/>
  <c r="W11211" i="2"/>
  <c r="W11212" i="2"/>
  <c r="W11213" i="2"/>
  <c r="W11214" i="2"/>
  <c r="W11215" i="2"/>
  <c r="W11216" i="2"/>
  <c r="W11217" i="2"/>
  <c r="W11218" i="2"/>
  <c r="W11219" i="2"/>
  <c r="W11220" i="2"/>
  <c r="W11221" i="2"/>
  <c r="W11222" i="2"/>
  <c r="W11223" i="2"/>
  <c r="W11224" i="2"/>
  <c r="W11225" i="2"/>
  <c r="W11226" i="2"/>
  <c r="W11227" i="2"/>
  <c r="W11228" i="2"/>
  <c r="W11229" i="2"/>
  <c r="W11230" i="2"/>
  <c r="W11231" i="2"/>
  <c r="W11232" i="2"/>
  <c r="W11233" i="2"/>
  <c r="W11234" i="2"/>
  <c r="W11235" i="2"/>
  <c r="W11236" i="2"/>
  <c r="W11237" i="2"/>
  <c r="W11238" i="2"/>
  <c r="W11239" i="2"/>
  <c r="W11240" i="2"/>
  <c r="W11241" i="2"/>
  <c r="W11242" i="2"/>
  <c r="W11243" i="2"/>
  <c r="W11244" i="2"/>
  <c r="W11245" i="2"/>
  <c r="W11246" i="2"/>
  <c r="W11247" i="2"/>
  <c r="W11248" i="2"/>
  <c r="W11249" i="2"/>
  <c r="W11250" i="2"/>
  <c r="W11251" i="2"/>
  <c r="W11252" i="2"/>
  <c r="W11253" i="2"/>
  <c r="W11254" i="2"/>
  <c r="W11255" i="2"/>
  <c r="W11256" i="2"/>
  <c r="W11257" i="2"/>
  <c r="W11258" i="2"/>
  <c r="W11259" i="2"/>
  <c r="W11260" i="2"/>
  <c r="W11261" i="2"/>
  <c r="W11262" i="2"/>
  <c r="W11263" i="2"/>
  <c r="W11264" i="2"/>
  <c r="W11265" i="2"/>
  <c r="W11266" i="2"/>
  <c r="W11267" i="2"/>
  <c r="W11268" i="2"/>
  <c r="W11269" i="2"/>
  <c r="W11270" i="2"/>
  <c r="W11271" i="2"/>
  <c r="W11272" i="2"/>
  <c r="W11273" i="2"/>
  <c r="W11274" i="2"/>
  <c r="W11275" i="2"/>
  <c r="W11276" i="2"/>
  <c r="W11277" i="2"/>
  <c r="W11278" i="2"/>
  <c r="W11279" i="2"/>
  <c r="W11280" i="2"/>
  <c r="W11281" i="2"/>
  <c r="W11282" i="2"/>
  <c r="W11283" i="2"/>
  <c r="W11284" i="2"/>
  <c r="W11285" i="2"/>
  <c r="W11286" i="2"/>
  <c r="W11287" i="2"/>
  <c r="W11288" i="2"/>
  <c r="W11289" i="2"/>
  <c r="W11290" i="2"/>
  <c r="W11291" i="2"/>
  <c r="W11292" i="2"/>
  <c r="W11293" i="2"/>
  <c r="W11294" i="2"/>
  <c r="W11295" i="2"/>
  <c r="W11296" i="2"/>
  <c r="W11297" i="2"/>
  <c r="W11298" i="2"/>
  <c r="W11299" i="2"/>
  <c r="W11300" i="2"/>
  <c r="W11301" i="2"/>
  <c r="W11302" i="2"/>
  <c r="W11303" i="2"/>
  <c r="W11304" i="2"/>
  <c r="W11305" i="2"/>
  <c r="W11306" i="2"/>
  <c r="W11307" i="2"/>
  <c r="W11308" i="2"/>
  <c r="W11309" i="2"/>
  <c r="W11310" i="2"/>
  <c r="W11311" i="2"/>
  <c r="W11312" i="2"/>
  <c r="W11313" i="2"/>
  <c r="W11314" i="2"/>
  <c r="W11315" i="2"/>
  <c r="W11316" i="2"/>
  <c r="W11317" i="2"/>
  <c r="W11318" i="2"/>
  <c r="W11319" i="2"/>
  <c r="W11320" i="2"/>
  <c r="W11321" i="2"/>
  <c r="W11322" i="2"/>
  <c r="W11323" i="2"/>
  <c r="W11324" i="2"/>
  <c r="W11325" i="2"/>
  <c r="W11326" i="2"/>
  <c r="W11327" i="2"/>
  <c r="W11328" i="2"/>
  <c r="W11329" i="2"/>
  <c r="W11330" i="2"/>
  <c r="W11331" i="2"/>
  <c r="W11332" i="2"/>
  <c r="W11333" i="2"/>
  <c r="W11334" i="2"/>
  <c r="W11335" i="2"/>
  <c r="W11336" i="2"/>
  <c r="W11337" i="2"/>
  <c r="W11338" i="2"/>
  <c r="W11339" i="2"/>
  <c r="W11340" i="2"/>
  <c r="W11341" i="2"/>
  <c r="W11342" i="2"/>
  <c r="W11343" i="2"/>
  <c r="W11344" i="2"/>
  <c r="W11345" i="2"/>
  <c r="W11346" i="2"/>
  <c r="W11347" i="2"/>
  <c r="W11348" i="2"/>
  <c r="W11349" i="2"/>
  <c r="W11350" i="2"/>
  <c r="W11351" i="2"/>
  <c r="W11352" i="2"/>
  <c r="W11353" i="2"/>
  <c r="W11354" i="2"/>
  <c r="W11355" i="2"/>
  <c r="W11356" i="2"/>
  <c r="W11357" i="2"/>
  <c r="W11358" i="2"/>
  <c r="W11359" i="2"/>
  <c r="W11360" i="2"/>
  <c r="W11361" i="2"/>
  <c r="W11362" i="2"/>
  <c r="W11363" i="2"/>
  <c r="W11364" i="2"/>
  <c r="W11365" i="2"/>
  <c r="W11366" i="2"/>
  <c r="W11367" i="2"/>
  <c r="W11368" i="2"/>
  <c r="W11369" i="2"/>
  <c r="W11370" i="2"/>
  <c r="W11371" i="2"/>
  <c r="W11372" i="2"/>
  <c r="W11373" i="2"/>
  <c r="W11374" i="2"/>
  <c r="W11375" i="2"/>
  <c r="W11376" i="2"/>
  <c r="W11377" i="2"/>
  <c r="W11378" i="2"/>
  <c r="W11379" i="2"/>
  <c r="W11380" i="2"/>
  <c r="W11381" i="2"/>
  <c r="W11382" i="2"/>
  <c r="W11383" i="2"/>
  <c r="W11384" i="2"/>
  <c r="W11385" i="2"/>
  <c r="W11386" i="2"/>
  <c r="W11387" i="2"/>
  <c r="W11388" i="2"/>
  <c r="W11389" i="2"/>
  <c r="W11390" i="2"/>
  <c r="W11391" i="2"/>
  <c r="W11392" i="2"/>
  <c r="W11393" i="2"/>
  <c r="W11394" i="2"/>
  <c r="W11395" i="2"/>
  <c r="W11396" i="2"/>
  <c r="W11397" i="2"/>
  <c r="W11398" i="2"/>
  <c r="W11399" i="2"/>
  <c r="W11400" i="2"/>
  <c r="W11401" i="2"/>
  <c r="W11402" i="2"/>
  <c r="W11403" i="2"/>
  <c r="W11404" i="2"/>
  <c r="W11405" i="2"/>
  <c r="W11406" i="2"/>
  <c r="W11407" i="2"/>
  <c r="W11408" i="2"/>
  <c r="W11409" i="2"/>
  <c r="W11410" i="2"/>
  <c r="W11411" i="2"/>
  <c r="W11412" i="2"/>
  <c r="W11413" i="2"/>
  <c r="W11414" i="2"/>
  <c r="W11415" i="2"/>
  <c r="W11416" i="2"/>
  <c r="W11417" i="2"/>
  <c r="W11418" i="2"/>
  <c r="W11419" i="2"/>
  <c r="W11420" i="2"/>
  <c r="W11421" i="2"/>
  <c r="W11422" i="2"/>
  <c r="W11423" i="2"/>
  <c r="W11424" i="2"/>
  <c r="W11425" i="2"/>
  <c r="W11426" i="2"/>
  <c r="W11427" i="2"/>
  <c r="W11428" i="2"/>
  <c r="W11429" i="2"/>
  <c r="W11430" i="2"/>
  <c r="W11431" i="2"/>
  <c r="W11432" i="2"/>
  <c r="W11433" i="2"/>
  <c r="W11434" i="2"/>
  <c r="W11435" i="2"/>
  <c r="W11436" i="2"/>
  <c r="W11437" i="2"/>
  <c r="W11438" i="2"/>
  <c r="W11439" i="2"/>
  <c r="W11440" i="2"/>
  <c r="W11441" i="2"/>
  <c r="W11442" i="2"/>
  <c r="W11443" i="2"/>
  <c r="W11444" i="2"/>
  <c r="W11445" i="2"/>
  <c r="W11446" i="2"/>
  <c r="W11447" i="2"/>
  <c r="W11448" i="2"/>
  <c r="W11449" i="2"/>
  <c r="W11450" i="2"/>
  <c r="W11451" i="2"/>
  <c r="W11452" i="2"/>
  <c r="W11453" i="2"/>
  <c r="W11454" i="2"/>
  <c r="W11455" i="2"/>
  <c r="W11456" i="2"/>
  <c r="W11457" i="2"/>
  <c r="W11458" i="2"/>
  <c r="W11459" i="2"/>
  <c r="W11460" i="2"/>
  <c r="W11461" i="2"/>
  <c r="W11462" i="2"/>
  <c r="W11463" i="2"/>
  <c r="W11464" i="2"/>
  <c r="W11465" i="2"/>
  <c r="W11466" i="2"/>
  <c r="W11467" i="2"/>
  <c r="W11468" i="2"/>
  <c r="W11469" i="2"/>
  <c r="W11470" i="2"/>
  <c r="W11471" i="2"/>
  <c r="W11472" i="2"/>
  <c r="W11473" i="2"/>
  <c r="W11474" i="2"/>
  <c r="W11475" i="2"/>
  <c r="W11476" i="2"/>
  <c r="W11477" i="2"/>
  <c r="W11478" i="2"/>
  <c r="W11479" i="2"/>
  <c r="W11480" i="2"/>
  <c r="W11481" i="2"/>
  <c r="W11482" i="2"/>
  <c r="W11483" i="2"/>
  <c r="W11484" i="2"/>
  <c r="W11485" i="2"/>
  <c r="W11486" i="2"/>
  <c r="W11487" i="2"/>
  <c r="W11488" i="2"/>
  <c r="W11489" i="2"/>
  <c r="W11490" i="2"/>
  <c r="W11491" i="2"/>
  <c r="W11492" i="2"/>
  <c r="W11493" i="2"/>
  <c r="W11494" i="2"/>
  <c r="W11495" i="2"/>
  <c r="W11496" i="2"/>
  <c r="W11497" i="2"/>
  <c r="W11498" i="2"/>
  <c r="W11499" i="2"/>
  <c r="W11500" i="2"/>
  <c r="W11501" i="2"/>
  <c r="W11502" i="2"/>
  <c r="W11503" i="2"/>
  <c r="W11504" i="2"/>
  <c r="W11505" i="2"/>
  <c r="W11506" i="2"/>
  <c r="W11507" i="2"/>
  <c r="W11508" i="2"/>
  <c r="W11509" i="2"/>
  <c r="W11510" i="2"/>
  <c r="W11511" i="2"/>
  <c r="W11512" i="2"/>
  <c r="W11513" i="2"/>
  <c r="W11514" i="2"/>
  <c r="W11515" i="2"/>
  <c r="W11516" i="2"/>
  <c r="W11517" i="2"/>
  <c r="W11518" i="2"/>
  <c r="W11519" i="2"/>
  <c r="W11520" i="2"/>
  <c r="W11521" i="2"/>
  <c r="W11522" i="2"/>
  <c r="W11523" i="2"/>
  <c r="W11524" i="2"/>
  <c r="W11525" i="2"/>
  <c r="W11526" i="2"/>
  <c r="W11527" i="2"/>
  <c r="W11528" i="2"/>
  <c r="W11529" i="2"/>
  <c r="W11530" i="2"/>
  <c r="W11531" i="2"/>
  <c r="W11532" i="2"/>
  <c r="W11533" i="2"/>
  <c r="W11534" i="2"/>
  <c r="W11535" i="2"/>
  <c r="W11536" i="2"/>
  <c r="W11537" i="2"/>
  <c r="W11538" i="2"/>
  <c r="W11539" i="2"/>
  <c r="W11540" i="2"/>
  <c r="W11541" i="2"/>
  <c r="W11542" i="2"/>
  <c r="W11543" i="2"/>
  <c r="W11544" i="2"/>
  <c r="W11545" i="2"/>
  <c r="W11546" i="2"/>
  <c r="W11547" i="2"/>
  <c r="W11548" i="2"/>
  <c r="W11549" i="2"/>
  <c r="W11550" i="2"/>
  <c r="W11551" i="2"/>
  <c r="W11552" i="2"/>
  <c r="W11553" i="2"/>
  <c r="W11554" i="2"/>
  <c r="W11555" i="2"/>
  <c r="W11556" i="2"/>
  <c r="W11557" i="2"/>
  <c r="W11558" i="2"/>
  <c r="W11559" i="2"/>
  <c r="W11560" i="2"/>
  <c r="W11561" i="2"/>
  <c r="W11562" i="2"/>
  <c r="W11563" i="2"/>
  <c r="W11564" i="2"/>
  <c r="W11565" i="2"/>
  <c r="W11566" i="2"/>
  <c r="W11567" i="2"/>
  <c r="W11568" i="2"/>
  <c r="W11569" i="2"/>
  <c r="W11570" i="2"/>
  <c r="W11571" i="2"/>
  <c r="W11572" i="2"/>
  <c r="W11573" i="2"/>
  <c r="W11574" i="2"/>
  <c r="W11575" i="2"/>
  <c r="W11576" i="2"/>
  <c r="W11577" i="2"/>
  <c r="W11578" i="2"/>
  <c r="W11579" i="2"/>
  <c r="W11580" i="2"/>
  <c r="W11581" i="2"/>
  <c r="W11582" i="2"/>
  <c r="W11583" i="2"/>
  <c r="W11584" i="2"/>
  <c r="W11585" i="2"/>
  <c r="W11586" i="2"/>
  <c r="W11587" i="2"/>
  <c r="W11588" i="2"/>
  <c r="W11589" i="2"/>
  <c r="W11590" i="2"/>
  <c r="W11591" i="2"/>
  <c r="W11592" i="2"/>
  <c r="W11593" i="2"/>
  <c r="W11594" i="2"/>
  <c r="W11595" i="2"/>
  <c r="W11596" i="2"/>
  <c r="W11597" i="2"/>
  <c r="W11598" i="2"/>
  <c r="W11599" i="2"/>
  <c r="W11600" i="2"/>
  <c r="W11601" i="2"/>
  <c r="W11602" i="2"/>
  <c r="W11603" i="2"/>
  <c r="W11604" i="2"/>
  <c r="W11605" i="2"/>
  <c r="W11606" i="2"/>
  <c r="W11607" i="2"/>
  <c r="W11608" i="2"/>
  <c r="W11609" i="2"/>
  <c r="W11610" i="2"/>
  <c r="W11611" i="2"/>
  <c r="W11612" i="2"/>
  <c r="W11613" i="2"/>
  <c r="W11614" i="2"/>
  <c r="W11615" i="2"/>
  <c r="W11616" i="2"/>
  <c r="W11617" i="2"/>
  <c r="W11618" i="2"/>
  <c r="W11619" i="2"/>
  <c r="W11620" i="2"/>
  <c r="W11621" i="2"/>
  <c r="W11622" i="2"/>
  <c r="W11623" i="2"/>
  <c r="W11624" i="2"/>
  <c r="W11625" i="2"/>
  <c r="W11626" i="2"/>
  <c r="W11627" i="2"/>
  <c r="W11628" i="2"/>
  <c r="W11629" i="2"/>
  <c r="W11630" i="2"/>
  <c r="W11631" i="2"/>
  <c r="W11632" i="2"/>
  <c r="W11633" i="2"/>
  <c r="W11634" i="2"/>
  <c r="W11635" i="2"/>
  <c r="W11636" i="2"/>
  <c r="W11637" i="2"/>
  <c r="W11638" i="2"/>
  <c r="W11639" i="2"/>
  <c r="W11640" i="2"/>
  <c r="W11641" i="2"/>
  <c r="W11642" i="2"/>
  <c r="W11643" i="2"/>
  <c r="W11644" i="2"/>
  <c r="W11645" i="2"/>
  <c r="W11646" i="2"/>
  <c r="W11647" i="2"/>
  <c r="W11648" i="2"/>
  <c r="W11649" i="2"/>
  <c r="W11650" i="2"/>
  <c r="W11651" i="2"/>
  <c r="W11652" i="2"/>
  <c r="W11653" i="2"/>
  <c r="W11654" i="2"/>
  <c r="W11655" i="2"/>
  <c r="W11656" i="2"/>
  <c r="W11657" i="2"/>
  <c r="W11658" i="2"/>
  <c r="W11659" i="2"/>
  <c r="W11660" i="2"/>
  <c r="W11661" i="2"/>
  <c r="W11662" i="2"/>
  <c r="W11663" i="2"/>
  <c r="W11664" i="2"/>
  <c r="W11665" i="2"/>
  <c r="W11666" i="2"/>
  <c r="W11667" i="2"/>
  <c r="W11668" i="2"/>
  <c r="W11669" i="2"/>
  <c r="W11670" i="2"/>
  <c r="W11671" i="2"/>
  <c r="W11672" i="2"/>
  <c r="W11673" i="2"/>
  <c r="W11674" i="2"/>
  <c r="W11675" i="2"/>
  <c r="W11676" i="2"/>
  <c r="W11677" i="2"/>
  <c r="W11678" i="2"/>
  <c r="W11679" i="2"/>
  <c r="W11680" i="2"/>
  <c r="W11681" i="2"/>
  <c r="W11682" i="2"/>
  <c r="W11683" i="2"/>
  <c r="W11684" i="2"/>
  <c r="W11685" i="2"/>
  <c r="W11686" i="2"/>
  <c r="W11687" i="2"/>
  <c r="W11688" i="2"/>
  <c r="W11689" i="2"/>
  <c r="W11690" i="2"/>
  <c r="W11691" i="2"/>
  <c r="W11692" i="2"/>
  <c r="W11693" i="2"/>
  <c r="W11694" i="2"/>
  <c r="W11695" i="2"/>
  <c r="W11696" i="2"/>
  <c r="W11697" i="2"/>
  <c r="W11698" i="2"/>
  <c r="W11699" i="2"/>
  <c r="W11700" i="2"/>
  <c r="W11701" i="2"/>
  <c r="W11702" i="2"/>
  <c r="W11703" i="2"/>
  <c r="W11704" i="2"/>
  <c r="W11705" i="2"/>
  <c r="W11706" i="2"/>
  <c r="W11707" i="2"/>
  <c r="W11708" i="2"/>
  <c r="W11709" i="2"/>
  <c r="W11710" i="2"/>
  <c r="W11711" i="2"/>
  <c r="W11712" i="2"/>
  <c r="W11713" i="2"/>
  <c r="W11714" i="2"/>
  <c r="W11715" i="2"/>
  <c r="W11716" i="2"/>
  <c r="W11717" i="2"/>
  <c r="W11718" i="2"/>
  <c r="W11719" i="2"/>
  <c r="W11720" i="2"/>
  <c r="W11721" i="2"/>
  <c r="W11722" i="2"/>
  <c r="W11723" i="2"/>
  <c r="W11724" i="2"/>
  <c r="W11725" i="2"/>
  <c r="W11726" i="2"/>
  <c r="W11727" i="2"/>
  <c r="W11728" i="2"/>
  <c r="W11729" i="2"/>
  <c r="W11730" i="2"/>
  <c r="W11731" i="2"/>
  <c r="W11732" i="2"/>
  <c r="W11733" i="2"/>
  <c r="W11734" i="2"/>
  <c r="W11735" i="2"/>
  <c r="W11736" i="2"/>
  <c r="W11737" i="2"/>
  <c r="W11738" i="2"/>
  <c r="W11739" i="2"/>
  <c r="W11740" i="2"/>
  <c r="W11741" i="2"/>
  <c r="W11742" i="2"/>
  <c r="W11743" i="2"/>
  <c r="W11744" i="2"/>
  <c r="W11745" i="2"/>
  <c r="W11746" i="2"/>
  <c r="W11747" i="2"/>
  <c r="W11748" i="2"/>
  <c r="W11749" i="2"/>
  <c r="W11750" i="2"/>
  <c r="W11751" i="2"/>
  <c r="W11752" i="2"/>
  <c r="W11753" i="2"/>
  <c r="W11754" i="2"/>
  <c r="W11755" i="2"/>
  <c r="W11756" i="2"/>
  <c r="W11757" i="2"/>
  <c r="W11758" i="2"/>
  <c r="W11759" i="2"/>
  <c r="W11760" i="2"/>
  <c r="W11761" i="2"/>
  <c r="W11762" i="2"/>
  <c r="W11763" i="2"/>
  <c r="W11764" i="2"/>
  <c r="W11765" i="2"/>
  <c r="W11766" i="2"/>
  <c r="W11767" i="2"/>
  <c r="W11768" i="2"/>
  <c r="W11769" i="2"/>
  <c r="W11770" i="2"/>
  <c r="W11771" i="2"/>
  <c r="W11772" i="2"/>
  <c r="W11773" i="2"/>
  <c r="W11774" i="2"/>
  <c r="W11775" i="2"/>
  <c r="W11776" i="2"/>
  <c r="W11777" i="2"/>
  <c r="W11778" i="2"/>
  <c r="W11779" i="2"/>
  <c r="W11780" i="2"/>
  <c r="W11781" i="2"/>
  <c r="W11782" i="2"/>
  <c r="W11783" i="2"/>
  <c r="W11784" i="2"/>
  <c r="W11785" i="2"/>
  <c r="W11786" i="2"/>
  <c r="W11787" i="2"/>
  <c r="W11788" i="2"/>
  <c r="W11789" i="2"/>
  <c r="W11790" i="2"/>
  <c r="W11791" i="2"/>
  <c r="W11792" i="2"/>
  <c r="W11793" i="2"/>
  <c r="W11794" i="2"/>
  <c r="W11795" i="2"/>
  <c r="W11796" i="2"/>
  <c r="W11797" i="2"/>
  <c r="W11798" i="2"/>
  <c r="W11799" i="2"/>
  <c r="W11800" i="2"/>
  <c r="W11801" i="2"/>
  <c r="W11802" i="2"/>
  <c r="W11803" i="2"/>
  <c r="W11804" i="2"/>
  <c r="W11805" i="2"/>
  <c r="W11806" i="2"/>
  <c r="W11807" i="2"/>
  <c r="W11808" i="2"/>
  <c r="W11809" i="2"/>
  <c r="W11810" i="2"/>
  <c r="W11811" i="2"/>
  <c r="W11812" i="2"/>
  <c r="W11813" i="2"/>
  <c r="W11814" i="2"/>
  <c r="W11815" i="2"/>
  <c r="W11816" i="2"/>
  <c r="W11817" i="2"/>
  <c r="W11818" i="2"/>
  <c r="W11819" i="2"/>
  <c r="W11820" i="2"/>
  <c r="W11821" i="2"/>
  <c r="W11822" i="2"/>
  <c r="W11823" i="2"/>
  <c r="W11824" i="2"/>
  <c r="W11825" i="2"/>
  <c r="W11826" i="2"/>
  <c r="W11827" i="2"/>
  <c r="W11828" i="2"/>
  <c r="W11829" i="2"/>
  <c r="W11830" i="2"/>
  <c r="W11831" i="2"/>
  <c r="W11832" i="2"/>
  <c r="W11833" i="2"/>
  <c r="W11834" i="2"/>
  <c r="W11835" i="2"/>
  <c r="W11836" i="2"/>
  <c r="W11837" i="2"/>
  <c r="W11838" i="2"/>
  <c r="W11839" i="2"/>
  <c r="W11840" i="2"/>
  <c r="W11841" i="2"/>
  <c r="W11842" i="2"/>
  <c r="W11843" i="2"/>
  <c r="W11844" i="2"/>
  <c r="W11845" i="2"/>
  <c r="W11846" i="2"/>
  <c r="W11847" i="2"/>
  <c r="W11848" i="2"/>
  <c r="W11849" i="2"/>
  <c r="W11850" i="2"/>
  <c r="W11851" i="2"/>
  <c r="W11852" i="2"/>
  <c r="W11853" i="2"/>
  <c r="W11854" i="2"/>
  <c r="W11855" i="2"/>
  <c r="W11856" i="2"/>
  <c r="W11857" i="2"/>
  <c r="W11858" i="2"/>
  <c r="W11859" i="2"/>
  <c r="W11860" i="2"/>
  <c r="W11861" i="2"/>
  <c r="W11862" i="2"/>
  <c r="W11863" i="2"/>
  <c r="W11864" i="2"/>
  <c r="W11865" i="2"/>
  <c r="W11866" i="2"/>
  <c r="W11867" i="2"/>
  <c r="W11868" i="2"/>
  <c r="W11869" i="2"/>
  <c r="W11870" i="2"/>
  <c r="W11871" i="2"/>
  <c r="W11872" i="2"/>
  <c r="W11873" i="2"/>
  <c r="W11874" i="2"/>
  <c r="W11875" i="2"/>
  <c r="W11876" i="2"/>
  <c r="W11877" i="2"/>
  <c r="W11878" i="2"/>
  <c r="W11879" i="2"/>
  <c r="W11880" i="2"/>
  <c r="W11881" i="2"/>
  <c r="W11882" i="2"/>
  <c r="W11883" i="2"/>
  <c r="W11884" i="2"/>
  <c r="W11885" i="2"/>
  <c r="W11886" i="2"/>
  <c r="W11887" i="2"/>
  <c r="W11888" i="2"/>
  <c r="W11889" i="2"/>
  <c r="W11890" i="2"/>
  <c r="W11891" i="2"/>
  <c r="W11892" i="2"/>
  <c r="W11893" i="2"/>
  <c r="W11894" i="2"/>
  <c r="W11895" i="2"/>
  <c r="W11896" i="2"/>
  <c r="W11897" i="2"/>
  <c r="W11898" i="2"/>
  <c r="W11899" i="2"/>
  <c r="W11900" i="2"/>
  <c r="W11901" i="2"/>
  <c r="W11902" i="2"/>
  <c r="W11903" i="2"/>
  <c r="W11904" i="2"/>
  <c r="W11905" i="2"/>
  <c r="W11906" i="2"/>
  <c r="W11907" i="2"/>
  <c r="W11908" i="2"/>
  <c r="W11909" i="2"/>
  <c r="W11910" i="2"/>
  <c r="W11911" i="2"/>
  <c r="W11912" i="2"/>
  <c r="W11913" i="2"/>
  <c r="W11914" i="2"/>
  <c r="W11915" i="2"/>
  <c r="W11916" i="2"/>
  <c r="W11917" i="2"/>
  <c r="W11918" i="2"/>
  <c r="W11919" i="2"/>
  <c r="W11920" i="2"/>
  <c r="W11921" i="2"/>
  <c r="W11922" i="2"/>
  <c r="W11923" i="2"/>
  <c r="W11924" i="2"/>
  <c r="W11925" i="2"/>
  <c r="W11926" i="2"/>
  <c r="W11927" i="2"/>
  <c r="W11928" i="2"/>
  <c r="W11929" i="2"/>
  <c r="W11930" i="2"/>
  <c r="W11931" i="2"/>
  <c r="W11932" i="2"/>
  <c r="W11933" i="2"/>
  <c r="W11934" i="2"/>
  <c r="W11935" i="2"/>
  <c r="W11936" i="2"/>
  <c r="W11937" i="2"/>
  <c r="W11938" i="2"/>
  <c r="W11939" i="2"/>
  <c r="W11940" i="2"/>
  <c r="W11941" i="2"/>
  <c r="W11942" i="2"/>
  <c r="W11943" i="2"/>
  <c r="W11944" i="2"/>
  <c r="W11945" i="2"/>
  <c r="W11946" i="2"/>
  <c r="W11947" i="2"/>
  <c r="W11948" i="2"/>
  <c r="W11949" i="2"/>
  <c r="W11950" i="2"/>
  <c r="W11951" i="2"/>
  <c r="W11952" i="2"/>
  <c r="W11953" i="2"/>
  <c r="W11954" i="2"/>
  <c r="W11955" i="2"/>
  <c r="W11956" i="2"/>
  <c r="W11957" i="2"/>
  <c r="W11958" i="2"/>
  <c r="W11959" i="2"/>
  <c r="W11960" i="2"/>
  <c r="W11961" i="2"/>
  <c r="W11962" i="2"/>
  <c r="W11963" i="2"/>
  <c r="W11964" i="2"/>
  <c r="W11965" i="2"/>
  <c r="W11966" i="2"/>
  <c r="W11967" i="2"/>
  <c r="W11968" i="2"/>
  <c r="W11969" i="2"/>
  <c r="W11970" i="2"/>
  <c r="W11971" i="2"/>
  <c r="W11972" i="2"/>
  <c r="W11973" i="2"/>
  <c r="W11974" i="2"/>
  <c r="W11975" i="2"/>
  <c r="W11976" i="2"/>
  <c r="W11977" i="2"/>
  <c r="W11978" i="2"/>
  <c r="W11979" i="2"/>
  <c r="W11980" i="2"/>
  <c r="W11981" i="2"/>
  <c r="W11982" i="2"/>
  <c r="W11983" i="2"/>
  <c r="W11984" i="2"/>
  <c r="W11985" i="2"/>
  <c r="W11986" i="2"/>
  <c r="W11987" i="2"/>
  <c r="W11988" i="2"/>
  <c r="W11989" i="2"/>
  <c r="W11990" i="2"/>
  <c r="W11991" i="2"/>
  <c r="W11992" i="2"/>
  <c r="W11993" i="2"/>
  <c r="W11994" i="2"/>
  <c r="W11995" i="2"/>
  <c r="W11996" i="2"/>
  <c r="W11997" i="2"/>
  <c r="W11998" i="2"/>
  <c r="W11999" i="2"/>
  <c r="W12000" i="2"/>
  <c r="W12001" i="2"/>
  <c r="W12002" i="2"/>
  <c r="W12003" i="2"/>
  <c r="W12004" i="2"/>
  <c r="W12005" i="2"/>
  <c r="W12006" i="2"/>
  <c r="W12007" i="2"/>
  <c r="W12008" i="2"/>
  <c r="W12009" i="2"/>
  <c r="W12010" i="2"/>
  <c r="W12011" i="2"/>
  <c r="W12012" i="2"/>
  <c r="W12013" i="2"/>
  <c r="W12014" i="2"/>
  <c r="W12015" i="2"/>
  <c r="W12016" i="2"/>
  <c r="W12017" i="2"/>
  <c r="W12018" i="2"/>
  <c r="W12019" i="2"/>
  <c r="W12020" i="2"/>
  <c r="W12021" i="2"/>
  <c r="W12022" i="2"/>
  <c r="W12023" i="2"/>
  <c r="W12024" i="2"/>
  <c r="W12025" i="2"/>
  <c r="W12026" i="2"/>
  <c r="W12027" i="2"/>
  <c r="W12028" i="2"/>
  <c r="W12029" i="2"/>
  <c r="W12030" i="2"/>
  <c r="W12031" i="2"/>
  <c r="W12032" i="2"/>
  <c r="W12033" i="2"/>
  <c r="W12034" i="2"/>
  <c r="W12035" i="2"/>
  <c r="W12036" i="2"/>
  <c r="W12037" i="2"/>
  <c r="W12038" i="2"/>
  <c r="W12039" i="2"/>
  <c r="W12040" i="2"/>
  <c r="W12041" i="2"/>
  <c r="W12042" i="2"/>
  <c r="W12043" i="2"/>
  <c r="W12044" i="2"/>
  <c r="W12045" i="2"/>
  <c r="W12046" i="2"/>
  <c r="W12047" i="2"/>
  <c r="W12048" i="2"/>
  <c r="W12049" i="2"/>
  <c r="W12050" i="2"/>
  <c r="W12051" i="2"/>
  <c r="W12052" i="2"/>
  <c r="W12053" i="2"/>
  <c r="W12054" i="2"/>
  <c r="W12055" i="2"/>
  <c r="W12056" i="2"/>
  <c r="W12057" i="2"/>
  <c r="W12058" i="2"/>
  <c r="W12059" i="2"/>
  <c r="W12060" i="2"/>
  <c r="W12061" i="2"/>
  <c r="W12062" i="2"/>
  <c r="W12063" i="2"/>
  <c r="W12064" i="2"/>
  <c r="W12065" i="2"/>
  <c r="W12066" i="2"/>
  <c r="W12067" i="2"/>
  <c r="W12068" i="2"/>
  <c r="W12069" i="2"/>
  <c r="W12070" i="2"/>
  <c r="W12071" i="2"/>
  <c r="W12072" i="2"/>
  <c r="W12073" i="2"/>
  <c r="W12074" i="2"/>
  <c r="W12075" i="2"/>
  <c r="W12076" i="2"/>
  <c r="W12077" i="2"/>
  <c r="W12078" i="2"/>
  <c r="W12079" i="2"/>
  <c r="W12080" i="2"/>
  <c r="W12081" i="2"/>
  <c r="W12082" i="2"/>
  <c r="W12083" i="2"/>
  <c r="W12084" i="2"/>
  <c r="W12085" i="2"/>
  <c r="W12086" i="2"/>
  <c r="W12087" i="2"/>
  <c r="W12088" i="2"/>
  <c r="W12089" i="2"/>
  <c r="W12090" i="2"/>
  <c r="W12091" i="2"/>
  <c r="W12092" i="2"/>
  <c r="W12093" i="2"/>
  <c r="W12094" i="2"/>
  <c r="W12095" i="2"/>
  <c r="W12096" i="2"/>
  <c r="W12097" i="2"/>
  <c r="W12098" i="2"/>
  <c r="W12099" i="2"/>
  <c r="W12100" i="2"/>
  <c r="W12101" i="2"/>
  <c r="W12102" i="2"/>
  <c r="W12103" i="2"/>
  <c r="W12104" i="2"/>
  <c r="W12105" i="2"/>
  <c r="W12106" i="2"/>
  <c r="W12107" i="2"/>
  <c r="W12108" i="2"/>
  <c r="W12109" i="2"/>
  <c r="W12110" i="2"/>
  <c r="W12111" i="2"/>
  <c r="W12112" i="2"/>
  <c r="W12113" i="2"/>
  <c r="W12114" i="2"/>
  <c r="W12115" i="2"/>
  <c r="W12116" i="2"/>
  <c r="W12117" i="2"/>
  <c r="W12118" i="2"/>
  <c r="W12119" i="2"/>
  <c r="W12120" i="2"/>
  <c r="W12121" i="2"/>
  <c r="W12122" i="2"/>
  <c r="W12123" i="2"/>
  <c r="W12124" i="2"/>
  <c r="W12125" i="2"/>
  <c r="W12126" i="2"/>
  <c r="W12127" i="2"/>
  <c r="W12128" i="2"/>
  <c r="W12129" i="2"/>
  <c r="W12130" i="2"/>
  <c r="W12131" i="2"/>
  <c r="W12132" i="2"/>
  <c r="W12133" i="2"/>
  <c r="W12134" i="2"/>
  <c r="W12135" i="2"/>
  <c r="W12136" i="2"/>
  <c r="W12137" i="2"/>
  <c r="W12138" i="2"/>
  <c r="W12139" i="2"/>
  <c r="W12140" i="2"/>
  <c r="W12141" i="2"/>
  <c r="W12142" i="2"/>
  <c r="W12143" i="2"/>
  <c r="W12144" i="2"/>
  <c r="W12145" i="2"/>
  <c r="W12146" i="2"/>
  <c r="W12147" i="2"/>
  <c r="W12148" i="2"/>
  <c r="W12149" i="2"/>
  <c r="W12150" i="2"/>
  <c r="W12151" i="2"/>
  <c r="W12152" i="2"/>
  <c r="W12153" i="2"/>
  <c r="W12154" i="2"/>
  <c r="W12155" i="2"/>
  <c r="W12156" i="2"/>
  <c r="W12157" i="2"/>
  <c r="W12158" i="2"/>
  <c r="W12159" i="2"/>
  <c r="W12160" i="2"/>
  <c r="W12161" i="2"/>
  <c r="W12162" i="2"/>
  <c r="W12163" i="2"/>
  <c r="W12164" i="2"/>
  <c r="W12165" i="2"/>
  <c r="W12166" i="2"/>
  <c r="W12167" i="2"/>
  <c r="W12168" i="2"/>
  <c r="W12169" i="2"/>
  <c r="W12170" i="2"/>
  <c r="W12171" i="2"/>
  <c r="W12172" i="2"/>
  <c r="W12173" i="2"/>
  <c r="W12174" i="2"/>
  <c r="W12175" i="2"/>
  <c r="W12176" i="2"/>
  <c r="W12177" i="2"/>
  <c r="W12178" i="2"/>
  <c r="W12179" i="2"/>
  <c r="W12180" i="2"/>
  <c r="W12181" i="2"/>
  <c r="W12182" i="2"/>
  <c r="W12183" i="2"/>
  <c r="W12184" i="2"/>
  <c r="W12185" i="2"/>
  <c r="W12186" i="2"/>
  <c r="W12187" i="2"/>
  <c r="W12188" i="2"/>
  <c r="W12189" i="2"/>
  <c r="W12190" i="2"/>
  <c r="W12191" i="2"/>
  <c r="W12192" i="2"/>
  <c r="W12193" i="2"/>
  <c r="W12194" i="2"/>
  <c r="W12195" i="2"/>
  <c r="W12196" i="2"/>
  <c r="W12197" i="2"/>
  <c r="W12198" i="2"/>
  <c r="W12199" i="2"/>
  <c r="W12200" i="2"/>
  <c r="W12201" i="2"/>
  <c r="W12202" i="2"/>
  <c r="W12203" i="2"/>
  <c r="W12204" i="2"/>
  <c r="W12205" i="2"/>
  <c r="W12206" i="2"/>
  <c r="W12207" i="2"/>
  <c r="W12208" i="2"/>
  <c r="W12209" i="2"/>
  <c r="W12210" i="2"/>
  <c r="W12211" i="2"/>
  <c r="W12212" i="2"/>
  <c r="W12213" i="2"/>
  <c r="W12214" i="2"/>
  <c r="W12215" i="2"/>
  <c r="W12216" i="2"/>
  <c r="W12217" i="2"/>
  <c r="W12218" i="2"/>
  <c r="W12219" i="2"/>
  <c r="W12220" i="2"/>
  <c r="W12221" i="2"/>
  <c r="W12222" i="2"/>
  <c r="W12223" i="2"/>
  <c r="W12224" i="2"/>
  <c r="W12225" i="2"/>
  <c r="W12226" i="2"/>
  <c r="W12227" i="2"/>
  <c r="W12228" i="2"/>
  <c r="W12229" i="2"/>
  <c r="W12230" i="2"/>
  <c r="W12231" i="2"/>
  <c r="W12232" i="2"/>
  <c r="W12233" i="2"/>
  <c r="W12234" i="2"/>
  <c r="W12235" i="2"/>
  <c r="W12236" i="2"/>
  <c r="W12237" i="2"/>
  <c r="W12238" i="2"/>
  <c r="W12239" i="2"/>
  <c r="W12240" i="2"/>
  <c r="W12241" i="2"/>
  <c r="W12242" i="2"/>
  <c r="W12243" i="2"/>
  <c r="W12244" i="2"/>
  <c r="W12245" i="2"/>
  <c r="W12246" i="2"/>
  <c r="W12247" i="2"/>
  <c r="W12248" i="2"/>
  <c r="W12249" i="2"/>
  <c r="W12250" i="2"/>
  <c r="W12251" i="2"/>
  <c r="W12252" i="2"/>
  <c r="W12253" i="2"/>
  <c r="W12254" i="2"/>
  <c r="W12255" i="2"/>
  <c r="W12256" i="2"/>
  <c r="W12257" i="2"/>
  <c r="W12258" i="2"/>
  <c r="W12259" i="2"/>
  <c r="W12260" i="2"/>
  <c r="W12261" i="2"/>
  <c r="W12262" i="2"/>
  <c r="W12263" i="2"/>
  <c r="W12264" i="2"/>
  <c r="W12265" i="2"/>
  <c r="W12266" i="2"/>
  <c r="W12267" i="2"/>
  <c r="W12268" i="2"/>
  <c r="W12269" i="2"/>
  <c r="W12270" i="2"/>
  <c r="W12271" i="2"/>
  <c r="W12272" i="2"/>
  <c r="W12273" i="2"/>
  <c r="W12274" i="2"/>
  <c r="W12275" i="2"/>
  <c r="W12276" i="2"/>
  <c r="W12277" i="2"/>
  <c r="W12278" i="2"/>
  <c r="W12279" i="2"/>
  <c r="W12280" i="2"/>
  <c r="W12281" i="2"/>
  <c r="W12282" i="2"/>
  <c r="W12283" i="2"/>
  <c r="W12284" i="2"/>
  <c r="W12285" i="2"/>
  <c r="W12286" i="2"/>
  <c r="W12287" i="2"/>
  <c r="W12288" i="2"/>
  <c r="W12289" i="2"/>
  <c r="W12290" i="2"/>
  <c r="W12291" i="2"/>
  <c r="W12292" i="2"/>
  <c r="W12293" i="2"/>
  <c r="W12294" i="2"/>
  <c r="W12295" i="2"/>
  <c r="W12296" i="2"/>
  <c r="W12297" i="2"/>
  <c r="W12298" i="2"/>
  <c r="W12299" i="2"/>
  <c r="W12300" i="2"/>
  <c r="W12301" i="2"/>
  <c r="W12302" i="2"/>
  <c r="W12303" i="2"/>
  <c r="W12304" i="2"/>
  <c r="W12305" i="2"/>
  <c r="W12306" i="2"/>
  <c r="W12307" i="2"/>
  <c r="W12308" i="2"/>
  <c r="W12309" i="2"/>
  <c r="W12310" i="2"/>
  <c r="W12311" i="2"/>
  <c r="W12312" i="2"/>
  <c r="W12313" i="2"/>
  <c r="W12314" i="2"/>
  <c r="W12315" i="2"/>
  <c r="W12316" i="2"/>
  <c r="W12317" i="2"/>
  <c r="W12318" i="2"/>
  <c r="W12319" i="2"/>
  <c r="W12320" i="2"/>
  <c r="W12321" i="2"/>
  <c r="W12322" i="2"/>
  <c r="W12323" i="2"/>
  <c r="W12324" i="2"/>
  <c r="W12325" i="2"/>
  <c r="W12326" i="2"/>
  <c r="W12327" i="2"/>
  <c r="W12328" i="2"/>
  <c r="W12329" i="2"/>
  <c r="W12330" i="2"/>
  <c r="W12331" i="2"/>
  <c r="W12332" i="2"/>
  <c r="W12333" i="2"/>
  <c r="W12334" i="2"/>
  <c r="W12335" i="2"/>
  <c r="W12336" i="2"/>
  <c r="W12337" i="2"/>
  <c r="W12338" i="2"/>
  <c r="W12339" i="2"/>
  <c r="W12340" i="2"/>
  <c r="W12341" i="2"/>
  <c r="W12342" i="2"/>
  <c r="W12343" i="2"/>
  <c r="W12344" i="2"/>
  <c r="W12345" i="2"/>
  <c r="W12346" i="2"/>
  <c r="W12347" i="2"/>
  <c r="W12348" i="2"/>
  <c r="W12349" i="2"/>
  <c r="W12350" i="2"/>
  <c r="W12351" i="2"/>
  <c r="W12352" i="2"/>
  <c r="W12353" i="2"/>
  <c r="W12354" i="2"/>
  <c r="W12355" i="2"/>
  <c r="W12356" i="2"/>
  <c r="W12357" i="2"/>
  <c r="W12358" i="2"/>
  <c r="W12359" i="2"/>
  <c r="W12360" i="2"/>
  <c r="W12361" i="2"/>
  <c r="W12362" i="2"/>
  <c r="W12363" i="2"/>
  <c r="W12364" i="2"/>
  <c r="W12365" i="2"/>
  <c r="W12366" i="2"/>
  <c r="W12367" i="2"/>
  <c r="W12368" i="2"/>
  <c r="W12369" i="2"/>
  <c r="W12370" i="2"/>
  <c r="W12371" i="2"/>
  <c r="W12372" i="2"/>
  <c r="W12373" i="2"/>
  <c r="W12374" i="2"/>
  <c r="W12375" i="2"/>
  <c r="W12376" i="2"/>
  <c r="W12377" i="2"/>
  <c r="W12378" i="2"/>
  <c r="W12379" i="2"/>
  <c r="W12380" i="2"/>
  <c r="W12381" i="2"/>
  <c r="W12382" i="2"/>
  <c r="W12383" i="2"/>
  <c r="W12384" i="2"/>
  <c r="W12385" i="2"/>
  <c r="W12386" i="2"/>
  <c r="W12387" i="2"/>
  <c r="W12388" i="2"/>
  <c r="W12389" i="2"/>
  <c r="W12390" i="2"/>
  <c r="W12391" i="2"/>
  <c r="W12392" i="2"/>
  <c r="W12393" i="2"/>
  <c r="W12394" i="2"/>
  <c r="W12395" i="2"/>
  <c r="W12396" i="2"/>
  <c r="W12397" i="2"/>
  <c r="W12398" i="2"/>
  <c r="W12399" i="2"/>
  <c r="W12400" i="2"/>
  <c r="W12401" i="2"/>
  <c r="W12402" i="2"/>
  <c r="W12403" i="2"/>
  <c r="W12404" i="2"/>
  <c r="W12405" i="2"/>
  <c r="W12406" i="2"/>
  <c r="W12407" i="2"/>
  <c r="W12408" i="2"/>
  <c r="W12409" i="2"/>
  <c r="W12410" i="2"/>
  <c r="W12411" i="2"/>
  <c r="W12412" i="2"/>
  <c r="W12413" i="2"/>
  <c r="W12414" i="2"/>
  <c r="W12415" i="2"/>
  <c r="W12416" i="2"/>
  <c r="W12417" i="2"/>
  <c r="W12418" i="2"/>
  <c r="W12419" i="2"/>
  <c r="W12420" i="2"/>
  <c r="W12421" i="2"/>
  <c r="W12422" i="2"/>
  <c r="W12423" i="2"/>
  <c r="W12424" i="2"/>
  <c r="W12425" i="2"/>
  <c r="W12426" i="2"/>
  <c r="W12427" i="2"/>
  <c r="W12428" i="2"/>
  <c r="W12429" i="2"/>
  <c r="W12430" i="2"/>
  <c r="W12431" i="2"/>
  <c r="W12432" i="2"/>
  <c r="W12433" i="2"/>
  <c r="W12434" i="2"/>
  <c r="W12435" i="2"/>
  <c r="W12436" i="2"/>
  <c r="W12437" i="2"/>
  <c r="W12438" i="2"/>
  <c r="W12439" i="2"/>
  <c r="W12440" i="2"/>
  <c r="W12441" i="2"/>
  <c r="W12442" i="2"/>
  <c r="W12443" i="2"/>
  <c r="W12444" i="2"/>
  <c r="W12445" i="2"/>
  <c r="W12446" i="2"/>
  <c r="W12447" i="2"/>
  <c r="W12448" i="2"/>
  <c r="W12449" i="2"/>
  <c r="W12450" i="2"/>
  <c r="W12451" i="2"/>
  <c r="W12452" i="2"/>
  <c r="W12453" i="2"/>
  <c r="W12454" i="2"/>
  <c r="W12455" i="2"/>
  <c r="W12456" i="2"/>
  <c r="W12457" i="2"/>
  <c r="W12458" i="2"/>
  <c r="W12459" i="2"/>
  <c r="W12460" i="2"/>
  <c r="W12461" i="2"/>
  <c r="W12462" i="2"/>
  <c r="W12463" i="2"/>
  <c r="W12464" i="2"/>
  <c r="W12465" i="2"/>
  <c r="W12466" i="2"/>
  <c r="W12467" i="2"/>
  <c r="W12468" i="2"/>
  <c r="W12469" i="2"/>
  <c r="W12470" i="2"/>
  <c r="W12471" i="2"/>
  <c r="W12472" i="2"/>
  <c r="W12473" i="2"/>
  <c r="W12474" i="2"/>
  <c r="W12475" i="2"/>
  <c r="W12476" i="2"/>
  <c r="W12477" i="2"/>
  <c r="W12478" i="2"/>
  <c r="W12479" i="2"/>
  <c r="W12480" i="2"/>
  <c r="W12481" i="2"/>
  <c r="W12482" i="2"/>
  <c r="W12483" i="2"/>
  <c r="W12484" i="2"/>
  <c r="W12485" i="2"/>
  <c r="W12486" i="2"/>
  <c r="W12487" i="2"/>
  <c r="W12488" i="2"/>
  <c r="W12489" i="2"/>
  <c r="W12490" i="2"/>
  <c r="W12491" i="2"/>
  <c r="W12492" i="2"/>
  <c r="W12493" i="2"/>
  <c r="W12494" i="2"/>
  <c r="W12495" i="2"/>
  <c r="W12496" i="2"/>
  <c r="W12497" i="2"/>
  <c r="W12498" i="2"/>
  <c r="W12499" i="2"/>
  <c r="W12500" i="2"/>
  <c r="W12501" i="2"/>
  <c r="W12502" i="2"/>
  <c r="W12503" i="2"/>
  <c r="W12504" i="2"/>
  <c r="W12505" i="2"/>
  <c r="W12506" i="2"/>
  <c r="W12507" i="2"/>
  <c r="W12508" i="2"/>
  <c r="W12509" i="2"/>
  <c r="W12510" i="2"/>
  <c r="W12511" i="2"/>
  <c r="W12512" i="2"/>
  <c r="W12513" i="2"/>
  <c r="W12514" i="2"/>
  <c r="W12515" i="2"/>
  <c r="W12516" i="2"/>
  <c r="W12517" i="2"/>
  <c r="W12518" i="2"/>
  <c r="W12519" i="2"/>
  <c r="W12520" i="2"/>
  <c r="W12521" i="2"/>
  <c r="W12522" i="2"/>
  <c r="W12523" i="2"/>
  <c r="W12524" i="2"/>
  <c r="W12525" i="2"/>
  <c r="W12526" i="2"/>
  <c r="W12527" i="2"/>
  <c r="W12528" i="2"/>
  <c r="W12529" i="2"/>
  <c r="W12530" i="2"/>
  <c r="W12531" i="2"/>
  <c r="W12532" i="2"/>
  <c r="W12533" i="2"/>
  <c r="W12534" i="2"/>
  <c r="W12535" i="2"/>
  <c r="W12536" i="2"/>
  <c r="W12537" i="2"/>
  <c r="W12538" i="2"/>
  <c r="W12539" i="2"/>
  <c r="W12540" i="2"/>
  <c r="W12541" i="2"/>
  <c r="W12542" i="2"/>
  <c r="W12543" i="2"/>
  <c r="W12544" i="2"/>
  <c r="W12545" i="2"/>
  <c r="W12546" i="2"/>
  <c r="W12547" i="2"/>
  <c r="W12548" i="2"/>
  <c r="W12549" i="2"/>
  <c r="W12550" i="2"/>
  <c r="W12551" i="2"/>
  <c r="W12552" i="2"/>
  <c r="W12553" i="2"/>
  <c r="W12554" i="2"/>
  <c r="W12555" i="2"/>
  <c r="W12556" i="2"/>
  <c r="W12557" i="2"/>
  <c r="W12558" i="2"/>
  <c r="W12559" i="2"/>
  <c r="W12560" i="2"/>
  <c r="W12561" i="2"/>
  <c r="W12562" i="2"/>
  <c r="W12563" i="2"/>
  <c r="W12564" i="2"/>
  <c r="W12565" i="2"/>
  <c r="W12566" i="2"/>
  <c r="W12567" i="2"/>
  <c r="W12568" i="2"/>
  <c r="W12569" i="2"/>
  <c r="W12570" i="2"/>
  <c r="W12571" i="2"/>
  <c r="W12572" i="2"/>
  <c r="W12573" i="2"/>
  <c r="W12574" i="2"/>
  <c r="W12575" i="2"/>
  <c r="W12576" i="2"/>
  <c r="W12577" i="2"/>
  <c r="W12578" i="2"/>
  <c r="W12579" i="2"/>
  <c r="W12580" i="2"/>
  <c r="W12581" i="2"/>
  <c r="W12582" i="2"/>
  <c r="W12583" i="2"/>
  <c r="W12584" i="2"/>
  <c r="W12585" i="2"/>
  <c r="W12586" i="2"/>
  <c r="W12587" i="2"/>
  <c r="W12588" i="2"/>
  <c r="W12589" i="2"/>
  <c r="W12590" i="2"/>
  <c r="W12591" i="2"/>
  <c r="W12592" i="2"/>
  <c r="W12593" i="2"/>
  <c r="W12594" i="2"/>
  <c r="W12595" i="2"/>
  <c r="W12596" i="2"/>
  <c r="W12597" i="2"/>
  <c r="W12598" i="2"/>
  <c r="W12599" i="2"/>
  <c r="W12600" i="2"/>
  <c r="W12601" i="2"/>
  <c r="W12602" i="2"/>
  <c r="W12603" i="2"/>
  <c r="W12604" i="2"/>
  <c r="W12605" i="2"/>
  <c r="W12606" i="2"/>
  <c r="W12607" i="2"/>
  <c r="W12608" i="2"/>
  <c r="W12609" i="2"/>
  <c r="W12610" i="2"/>
  <c r="W12611" i="2"/>
  <c r="W12612" i="2"/>
  <c r="W12613" i="2"/>
  <c r="W12614" i="2"/>
  <c r="W12615" i="2"/>
  <c r="W12616" i="2"/>
  <c r="W12617" i="2"/>
  <c r="W12618" i="2"/>
  <c r="W12619" i="2"/>
  <c r="W12620" i="2"/>
  <c r="W12621" i="2"/>
  <c r="W12622" i="2"/>
  <c r="W12623" i="2"/>
  <c r="W12624" i="2"/>
  <c r="W12625" i="2"/>
  <c r="W12626" i="2"/>
  <c r="W12627" i="2"/>
  <c r="W12628" i="2"/>
  <c r="W12629" i="2"/>
  <c r="W12630" i="2"/>
  <c r="W12631" i="2"/>
  <c r="W12632" i="2"/>
  <c r="W12633" i="2"/>
  <c r="W12634" i="2"/>
  <c r="W12635" i="2"/>
  <c r="W12636" i="2"/>
  <c r="W12637" i="2"/>
  <c r="W12638" i="2"/>
  <c r="W12639" i="2"/>
  <c r="W12640" i="2"/>
  <c r="W12641" i="2"/>
  <c r="W12642" i="2"/>
  <c r="W12643" i="2"/>
  <c r="W12644" i="2"/>
  <c r="W12645" i="2"/>
  <c r="W12646" i="2"/>
  <c r="W12647" i="2"/>
  <c r="W12648" i="2"/>
  <c r="W12649" i="2"/>
  <c r="W12650" i="2"/>
  <c r="W12651" i="2"/>
  <c r="W12652" i="2"/>
  <c r="W12653" i="2"/>
  <c r="W12654" i="2"/>
  <c r="W12655" i="2"/>
  <c r="W12656" i="2"/>
  <c r="W12657" i="2"/>
  <c r="W12658" i="2"/>
  <c r="W12659" i="2"/>
  <c r="W12660" i="2"/>
  <c r="W12661" i="2"/>
  <c r="W12662" i="2"/>
  <c r="W12663" i="2"/>
  <c r="W12664" i="2"/>
  <c r="W12665" i="2"/>
  <c r="W12666" i="2"/>
  <c r="W12667" i="2"/>
  <c r="W12668" i="2"/>
  <c r="W12669" i="2"/>
  <c r="W12670" i="2"/>
  <c r="W12671" i="2"/>
  <c r="W12672" i="2"/>
  <c r="W12673" i="2"/>
  <c r="W12674" i="2"/>
  <c r="W12675" i="2"/>
  <c r="W12676" i="2"/>
  <c r="W12677" i="2"/>
  <c r="W12678" i="2"/>
  <c r="W12679" i="2"/>
  <c r="W12680" i="2"/>
  <c r="W12681" i="2"/>
  <c r="W12682" i="2"/>
  <c r="W12683" i="2"/>
  <c r="W12684" i="2"/>
  <c r="W12685" i="2"/>
  <c r="W12686" i="2"/>
  <c r="W12687" i="2"/>
  <c r="W12688" i="2"/>
  <c r="W12689" i="2"/>
  <c r="W12690" i="2"/>
  <c r="W12691" i="2"/>
  <c r="W12692" i="2"/>
  <c r="W12693" i="2"/>
  <c r="W12694" i="2"/>
  <c r="W12695" i="2"/>
  <c r="W12696" i="2"/>
  <c r="W12697" i="2"/>
  <c r="W12698" i="2"/>
  <c r="W12699" i="2"/>
  <c r="W12700" i="2"/>
  <c r="W12701" i="2"/>
  <c r="W12702" i="2"/>
  <c r="W12703" i="2"/>
  <c r="W12704" i="2"/>
  <c r="W12705" i="2"/>
  <c r="W12706" i="2"/>
  <c r="W12707" i="2"/>
  <c r="W12708" i="2"/>
  <c r="W12709" i="2"/>
  <c r="W12710" i="2"/>
  <c r="W12711" i="2"/>
  <c r="W12712" i="2"/>
  <c r="W12713" i="2"/>
  <c r="W12714" i="2"/>
  <c r="W12715" i="2"/>
  <c r="W12716" i="2"/>
  <c r="W12717" i="2"/>
  <c r="W12718" i="2"/>
  <c r="W12719" i="2"/>
  <c r="W12720" i="2"/>
  <c r="W12721" i="2"/>
  <c r="W12722" i="2"/>
  <c r="W12723" i="2"/>
  <c r="W12724" i="2"/>
  <c r="W12725" i="2"/>
  <c r="W12726" i="2"/>
  <c r="W12727" i="2"/>
  <c r="W12728" i="2"/>
  <c r="W12729" i="2"/>
  <c r="W12730" i="2"/>
  <c r="W12731" i="2"/>
  <c r="W12732" i="2"/>
  <c r="W12733" i="2"/>
  <c r="W12734" i="2"/>
  <c r="W12735" i="2"/>
  <c r="W12736" i="2"/>
  <c r="W12737" i="2"/>
  <c r="W12738" i="2"/>
  <c r="W12739" i="2"/>
  <c r="W12740" i="2"/>
  <c r="W12741" i="2"/>
  <c r="W12742" i="2"/>
  <c r="W12743" i="2"/>
  <c r="W12744" i="2"/>
  <c r="W12745" i="2"/>
  <c r="W12746" i="2"/>
  <c r="W12747" i="2"/>
  <c r="W12748" i="2"/>
  <c r="W12749" i="2"/>
  <c r="W12750" i="2"/>
  <c r="W12751" i="2"/>
  <c r="W12752" i="2"/>
  <c r="W12753" i="2"/>
  <c r="W12754" i="2"/>
  <c r="W12755" i="2"/>
  <c r="W12756" i="2"/>
  <c r="W12757" i="2"/>
  <c r="W12758" i="2"/>
  <c r="W12759" i="2"/>
  <c r="W12760" i="2"/>
  <c r="W12761" i="2"/>
  <c r="W12762" i="2"/>
  <c r="W12763" i="2"/>
  <c r="W12764" i="2"/>
  <c r="W12765" i="2"/>
  <c r="W12766" i="2"/>
  <c r="W12767" i="2"/>
  <c r="W12768" i="2"/>
  <c r="W12769" i="2"/>
  <c r="W12770" i="2"/>
  <c r="W12771" i="2"/>
  <c r="W12772" i="2"/>
  <c r="W12773" i="2"/>
  <c r="W12774" i="2"/>
  <c r="W12775" i="2"/>
  <c r="W12776" i="2"/>
  <c r="W12777" i="2"/>
  <c r="W12778" i="2"/>
  <c r="W12779" i="2"/>
  <c r="W12780" i="2"/>
  <c r="W12781" i="2"/>
  <c r="W12782" i="2"/>
  <c r="W12783" i="2"/>
  <c r="W12784" i="2"/>
  <c r="W12785" i="2"/>
  <c r="W12786" i="2"/>
  <c r="W12787" i="2"/>
  <c r="W12788" i="2"/>
  <c r="W12789" i="2"/>
  <c r="W12790" i="2"/>
  <c r="W12791" i="2"/>
  <c r="W12792" i="2"/>
  <c r="W12793" i="2"/>
  <c r="W12794" i="2"/>
  <c r="W12795" i="2"/>
  <c r="W12796" i="2"/>
  <c r="W12797" i="2"/>
  <c r="W12798" i="2"/>
  <c r="W12799" i="2"/>
  <c r="W12800" i="2"/>
  <c r="W12801" i="2"/>
  <c r="W12802" i="2"/>
  <c r="W12803" i="2"/>
  <c r="W12804" i="2"/>
  <c r="W12805" i="2"/>
  <c r="W12806" i="2"/>
  <c r="W12807" i="2"/>
  <c r="W12808" i="2"/>
  <c r="W12809" i="2"/>
  <c r="W12810" i="2"/>
  <c r="W12811" i="2"/>
  <c r="W12812" i="2"/>
  <c r="W12813" i="2"/>
  <c r="W12814" i="2"/>
  <c r="W12815" i="2"/>
  <c r="W12816" i="2"/>
  <c r="W12817" i="2"/>
  <c r="W12818" i="2"/>
  <c r="W12819" i="2"/>
  <c r="W12820" i="2"/>
  <c r="W12821" i="2"/>
  <c r="W12822" i="2"/>
  <c r="W12823" i="2"/>
  <c r="W12824" i="2"/>
  <c r="W12825" i="2"/>
  <c r="W12826" i="2"/>
  <c r="W12827" i="2"/>
  <c r="W12828" i="2"/>
  <c r="W12829" i="2"/>
  <c r="W12830" i="2"/>
  <c r="W12831" i="2"/>
  <c r="W12832" i="2"/>
  <c r="W12833" i="2"/>
  <c r="W12834" i="2"/>
  <c r="W12835" i="2"/>
  <c r="W12836" i="2"/>
  <c r="W12837" i="2"/>
  <c r="W12838" i="2"/>
  <c r="W12839" i="2"/>
  <c r="W12840" i="2"/>
  <c r="W12841" i="2"/>
  <c r="W12842" i="2"/>
  <c r="W12843" i="2"/>
  <c r="W12844" i="2"/>
  <c r="W12845" i="2"/>
  <c r="W12846" i="2"/>
  <c r="W12847" i="2"/>
  <c r="W12848" i="2"/>
  <c r="W12849" i="2"/>
  <c r="W12850" i="2"/>
  <c r="W12851" i="2"/>
  <c r="W12852" i="2"/>
  <c r="W12853" i="2"/>
  <c r="W12854" i="2"/>
  <c r="W12855" i="2"/>
  <c r="W12856" i="2"/>
  <c r="W12857" i="2"/>
  <c r="W12858" i="2"/>
  <c r="W12859" i="2"/>
  <c r="W12860" i="2"/>
  <c r="W12861" i="2"/>
  <c r="W12862" i="2"/>
  <c r="W12863" i="2"/>
  <c r="W12864" i="2"/>
  <c r="W12865" i="2"/>
  <c r="W12866" i="2"/>
  <c r="W12867" i="2"/>
  <c r="W12868" i="2"/>
  <c r="W12869" i="2"/>
  <c r="W12870" i="2"/>
  <c r="W12871" i="2"/>
  <c r="W12872" i="2"/>
  <c r="W12873" i="2"/>
  <c r="W12874" i="2"/>
  <c r="W12875" i="2"/>
  <c r="W12876" i="2"/>
  <c r="W12877" i="2"/>
  <c r="W12878" i="2"/>
  <c r="W12879" i="2"/>
  <c r="W12880" i="2"/>
  <c r="W12881" i="2"/>
  <c r="W12882" i="2"/>
  <c r="W12883" i="2"/>
  <c r="W12884" i="2"/>
  <c r="W12885" i="2"/>
  <c r="W12886" i="2"/>
  <c r="W12887" i="2"/>
  <c r="W12888" i="2"/>
  <c r="W12889" i="2"/>
  <c r="W12890" i="2"/>
  <c r="W12891" i="2"/>
  <c r="W12892" i="2"/>
  <c r="W12893" i="2"/>
  <c r="W12894" i="2"/>
  <c r="W12895" i="2"/>
  <c r="W12896" i="2"/>
  <c r="W12897" i="2"/>
  <c r="W12898" i="2"/>
  <c r="W12899" i="2"/>
  <c r="W12900" i="2"/>
  <c r="W12901" i="2"/>
  <c r="W12902" i="2"/>
  <c r="W12903" i="2"/>
  <c r="W12904" i="2"/>
  <c r="W12905" i="2"/>
  <c r="W12906" i="2"/>
  <c r="W12907" i="2"/>
  <c r="W12908" i="2"/>
  <c r="W12909" i="2"/>
  <c r="W12910" i="2"/>
  <c r="W12911" i="2"/>
  <c r="W12912" i="2"/>
  <c r="W12913" i="2"/>
  <c r="W12914" i="2"/>
  <c r="W12915" i="2"/>
  <c r="W12916" i="2"/>
  <c r="W12917" i="2"/>
  <c r="W12918" i="2"/>
  <c r="W12919" i="2"/>
  <c r="W12920" i="2"/>
  <c r="W12921" i="2"/>
  <c r="W12922" i="2"/>
  <c r="W12923" i="2"/>
  <c r="W12924" i="2"/>
  <c r="W12925" i="2"/>
  <c r="W12926" i="2"/>
  <c r="W12927" i="2"/>
  <c r="W12928" i="2"/>
  <c r="W12929" i="2"/>
  <c r="W12930" i="2"/>
  <c r="W12931" i="2"/>
  <c r="W12932" i="2"/>
  <c r="W12933" i="2"/>
  <c r="W12934" i="2"/>
  <c r="W12935" i="2"/>
  <c r="W12936" i="2"/>
  <c r="W12937" i="2"/>
  <c r="W12938" i="2"/>
  <c r="W12939" i="2"/>
  <c r="W12940" i="2"/>
  <c r="W12941" i="2"/>
  <c r="W12942" i="2"/>
  <c r="W12943" i="2"/>
  <c r="W12944" i="2"/>
  <c r="W12945" i="2"/>
  <c r="W12946" i="2"/>
  <c r="W12947" i="2"/>
  <c r="W12948" i="2"/>
  <c r="W12949" i="2"/>
  <c r="W12950" i="2"/>
  <c r="W12951" i="2"/>
  <c r="W12952" i="2"/>
  <c r="W12953" i="2"/>
  <c r="W12954" i="2"/>
  <c r="W12955" i="2"/>
  <c r="W12956" i="2"/>
  <c r="W12957" i="2"/>
  <c r="W12958" i="2"/>
  <c r="W12959" i="2"/>
  <c r="W12960" i="2"/>
  <c r="W12961" i="2"/>
  <c r="W12962" i="2"/>
  <c r="W12963" i="2"/>
  <c r="W12964" i="2"/>
  <c r="W12965" i="2"/>
  <c r="W12966" i="2"/>
  <c r="W12967" i="2"/>
  <c r="W12968" i="2"/>
  <c r="W12969" i="2"/>
  <c r="W12970" i="2"/>
  <c r="W12971" i="2"/>
  <c r="W12972" i="2"/>
  <c r="W12973" i="2"/>
  <c r="W12974" i="2"/>
  <c r="W12975" i="2"/>
  <c r="W12976" i="2"/>
  <c r="W12977" i="2"/>
  <c r="W12978" i="2"/>
  <c r="W12979" i="2"/>
  <c r="W12980" i="2"/>
  <c r="W12981" i="2"/>
  <c r="W12982" i="2"/>
  <c r="W12983" i="2"/>
  <c r="W12984" i="2"/>
  <c r="W12985" i="2"/>
  <c r="W12986" i="2"/>
  <c r="W12987" i="2"/>
  <c r="W12988" i="2"/>
  <c r="W12989" i="2"/>
  <c r="W12990" i="2"/>
  <c r="W12991" i="2"/>
  <c r="W12992" i="2"/>
  <c r="W12993" i="2"/>
  <c r="W12994" i="2"/>
  <c r="W12995" i="2"/>
  <c r="W12996" i="2"/>
  <c r="W12997" i="2"/>
  <c r="W12998" i="2"/>
  <c r="W12999" i="2"/>
  <c r="W13000" i="2"/>
  <c r="W13001" i="2"/>
  <c r="W13002" i="2"/>
  <c r="W13003" i="2"/>
  <c r="W13004" i="2"/>
  <c r="W13005" i="2"/>
  <c r="W13006" i="2"/>
  <c r="W13007" i="2"/>
  <c r="W13008" i="2"/>
  <c r="W13009" i="2"/>
  <c r="W13010" i="2"/>
  <c r="W13011" i="2"/>
  <c r="W13012" i="2"/>
  <c r="W13013" i="2"/>
  <c r="W13014" i="2"/>
  <c r="W13015" i="2"/>
  <c r="W13016" i="2"/>
  <c r="W13017" i="2"/>
  <c r="W13018" i="2"/>
  <c r="W13019" i="2"/>
  <c r="W13020" i="2"/>
  <c r="W13021" i="2"/>
  <c r="W13022" i="2"/>
  <c r="W13023" i="2"/>
  <c r="W13024" i="2"/>
  <c r="W13025" i="2"/>
  <c r="W13026" i="2"/>
  <c r="W13027" i="2"/>
  <c r="W13028" i="2"/>
  <c r="W13029" i="2"/>
  <c r="W13030" i="2"/>
  <c r="W13031" i="2"/>
  <c r="W13032" i="2"/>
  <c r="W13033" i="2"/>
  <c r="W13034" i="2"/>
  <c r="W13035" i="2"/>
  <c r="W13036" i="2"/>
  <c r="W13037" i="2"/>
  <c r="W13038" i="2"/>
  <c r="W13039" i="2"/>
  <c r="W13040" i="2"/>
  <c r="W13041" i="2"/>
  <c r="W13042" i="2"/>
  <c r="W13043" i="2"/>
  <c r="W13044" i="2"/>
  <c r="W13045" i="2"/>
  <c r="W13046" i="2"/>
  <c r="W13047" i="2"/>
  <c r="W13048" i="2"/>
  <c r="W13049" i="2"/>
  <c r="W13050" i="2"/>
  <c r="W13051" i="2"/>
  <c r="W13052" i="2"/>
  <c r="W13053" i="2"/>
  <c r="W13054" i="2"/>
  <c r="W13055" i="2"/>
  <c r="W13056" i="2"/>
  <c r="W13057" i="2"/>
  <c r="W13058" i="2"/>
  <c r="W13059" i="2"/>
  <c r="W13060" i="2"/>
  <c r="W13061" i="2"/>
  <c r="W13062" i="2"/>
  <c r="W13063" i="2"/>
  <c r="W13064" i="2"/>
  <c r="W13065" i="2"/>
  <c r="W13066" i="2"/>
  <c r="W13067" i="2"/>
  <c r="W13068" i="2"/>
  <c r="W13069" i="2"/>
  <c r="W13070" i="2"/>
  <c r="W13071" i="2"/>
  <c r="W13072" i="2"/>
  <c r="W13073" i="2"/>
  <c r="W13074" i="2"/>
  <c r="W13075" i="2"/>
  <c r="W13076" i="2"/>
  <c r="W13077" i="2"/>
  <c r="W13078" i="2"/>
  <c r="W13079" i="2"/>
  <c r="W13080" i="2"/>
  <c r="W13081" i="2"/>
  <c r="W13082" i="2"/>
  <c r="W13083" i="2"/>
  <c r="W13084" i="2"/>
  <c r="W13085" i="2"/>
  <c r="W13086" i="2"/>
  <c r="W13087" i="2"/>
  <c r="W13088" i="2"/>
  <c r="W13089" i="2"/>
  <c r="W13090" i="2"/>
  <c r="W13091" i="2"/>
  <c r="W13092" i="2"/>
  <c r="W13093" i="2"/>
  <c r="W13094" i="2"/>
  <c r="W13095" i="2"/>
  <c r="W13096" i="2"/>
  <c r="W13097" i="2"/>
  <c r="W13098" i="2"/>
  <c r="W13099" i="2"/>
  <c r="W13100" i="2"/>
  <c r="W13101" i="2"/>
  <c r="W13102" i="2"/>
  <c r="W13103" i="2"/>
  <c r="W13104" i="2"/>
  <c r="W13105" i="2"/>
  <c r="W13106" i="2"/>
  <c r="W13107" i="2"/>
  <c r="W13108" i="2"/>
  <c r="W13109" i="2"/>
  <c r="W13110" i="2"/>
  <c r="W13111" i="2"/>
  <c r="W13112" i="2"/>
  <c r="W13113" i="2"/>
  <c r="W13114" i="2"/>
  <c r="W13115" i="2"/>
  <c r="W13116" i="2"/>
  <c r="W13117" i="2"/>
  <c r="W13118" i="2"/>
  <c r="W13119" i="2"/>
  <c r="W13120" i="2"/>
  <c r="W13121" i="2"/>
  <c r="W13122" i="2"/>
  <c r="W13123" i="2"/>
  <c r="W13124" i="2"/>
  <c r="W13125" i="2"/>
  <c r="W13126" i="2"/>
  <c r="W13127" i="2"/>
  <c r="W13128" i="2"/>
  <c r="W13129" i="2"/>
  <c r="W13130" i="2"/>
  <c r="W13131" i="2"/>
  <c r="W13132" i="2"/>
  <c r="W13133" i="2"/>
  <c r="W13134" i="2"/>
  <c r="W13135" i="2"/>
  <c r="W13136" i="2"/>
  <c r="W13137" i="2"/>
  <c r="W13138" i="2"/>
  <c r="W13139" i="2"/>
  <c r="W13140" i="2"/>
  <c r="W13141" i="2"/>
  <c r="W13142" i="2"/>
  <c r="W13143" i="2"/>
  <c r="W13144" i="2"/>
  <c r="W13145" i="2"/>
  <c r="W13146" i="2"/>
  <c r="W13147" i="2"/>
  <c r="W13148" i="2"/>
  <c r="W13149" i="2"/>
  <c r="W13150" i="2"/>
  <c r="W13151" i="2"/>
  <c r="W13152" i="2"/>
  <c r="W13153" i="2"/>
  <c r="W13154" i="2"/>
  <c r="W13155" i="2"/>
  <c r="W13156" i="2"/>
  <c r="W13157" i="2"/>
  <c r="W13158" i="2"/>
  <c r="W13159" i="2"/>
  <c r="W13160" i="2"/>
  <c r="W13161" i="2"/>
  <c r="W13162" i="2"/>
  <c r="W13163" i="2"/>
  <c r="W13164" i="2"/>
  <c r="W13165" i="2"/>
  <c r="W13166" i="2"/>
  <c r="W13167" i="2"/>
  <c r="W13168" i="2"/>
  <c r="W13169" i="2"/>
  <c r="W13170" i="2"/>
  <c r="W13171" i="2"/>
  <c r="W13172" i="2"/>
  <c r="W13173" i="2"/>
  <c r="W13174" i="2"/>
  <c r="W13175" i="2"/>
  <c r="W13176" i="2"/>
  <c r="W13177" i="2"/>
  <c r="W13178" i="2"/>
  <c r="W13179" i="2"/>
  <c r="W13180" i="2"/>
  <c r="W13181" i="2"/>
  <c r="W13182" i="2"/>
  <c r="W13183" i="2"/>
  <c r="W13184" i="2"/>
  <c r="W13185" i="2"/>
  <c r="W13186" i="2"/>
  <c r="W13187" i="2"/>
  <c r="W13188" i="2"/>
  <c r="W13189" i="2"/>
  <c r="W13190" i="2"/>
  <c r="W13191" i="2"/>
  <c r="W13192" i="2"/>
  <c r="W13193" i="2"/>
  <c r="W13194" i="2"/>
  <c r="W13195" i="2"/>
  <c r="W13196" i="2"/>
  <c r="W13197" i="2"/>
  <c r="W13198" i="2"/>
  <c r="W13199" i="2"/>
  <c r="W13200" i="2"/>
  <c r="W13201" i="2"/>
  <c r="W13202" i="2"/>
  <c r="W13203" i="2"/>
  <c r="W13204" i="2"/>
  <c r="W13205" i="2"/>
  <c r="W13206" i="2"/>
  <c r="W13207" i="2"/>
  <c r="W13208" i="2"/>
  <c r="W13209" i="2"/>
  <c r="W13210" i="2"/>
  <c r="W13211" i="2"/>
  <c r="W13212" i="2"/>
  <c r="W13213" i="2"/>
  <c r="W13214" i="2"/>
  <c r="W13215" i="2"/>
  <c r="W13216" i="2"/>
  <c r="W13217" i="2"/>
  <c r="W13218" i="2"/>
  <c r="W13219" i="2"/>
  <c r="W13220" i="2"/>
  <c r="W13221" i="2"/>
  <c r="W13222" i="2"/>
  <c r="W13223" i="2"/>
  <c r="W13224" i="2"/>
  <c r="W13225" i="2"/>
  <c r="W13226" i="2"/>
  <c r="W13227" i="2"/>
  <c r="W13228" i="2"/>
  <c r="W13229" i="2"/>
  <c r="W13230" i="2"/>
  <c r="W13231" i="2"/>
  <c r="W13232" i="2"/>
  <c r="W13233" i="2"/>
  <c r="W13234" i="2"/>
  <c r="W13235" i="2"/>
  <c r="W13236" i="2"/>
  <c r="W13237" i="2"/>
  <c r="W13238" i="2"/>
  <c r="W13239" i="2"/>
  <c r="W13240" i="2"/>
  <c r="W13241" i="2"/>
  <c r="W13242" i="2"/>
  <c r="W13243" i="2"/>
  <c r="W13244" i="2"/>
  <c r="W13245" i="2"/>
  <c r="W13246" i="2"/>
  <c r="W13247" i="2"/>
  <c r="W13248" i="2"/>
  <c r="W13249" i="2"/>
  <c r="W13250" i="2"/>
  <c r="W13251" i="2"/>
  <c r="W13252" i="2"/>
  <c r="W13253" i="2"/>
  <c r="W13254" i="2"/>
  <c r="W13255" i="2"/>
  <c r="W13256" i="2"/>
  <c r="W13257" i="2"/>
  <c r="W13258" i="2"/>
  <c r="W13259" i="2"/>
  <c r="W13260" i="2"/>
  <c r="W13261" i="2"/>
  <c r="W13262" i="2"/>
  <c r="W13263" i="2"/>
  <c r="W13264" i="2"/>
  <c r="W13265" i="2"/>
  <c r="W13266" i="2"/>
  <c r="W13267" i="2"/>
  <c r="W13268" i="2"/>
  <c r="W13269" i="2"/>
  <c r="W13270" i="2"/>
  <c r="W13271" i="2"/>
  <c r="W13272" i="2"/>
  <c r="W13273" i="2"/>
  <c r="W13274" i="2"/>
  <c r="W13275" i="2"/>
  <c r="W13276" i="2"/>
  <c r="W13277" i="2"/>
  <c r="W13278" i="2"/>
  <c r="W13279" i="2"/>
  <c r="W13280" i="2"/>
  <c r="W13281" i="2"/>
  <c r="W13282" i="2"/>
  <c r="W13283" i="2"/>
  <c r="W13284" i="2"/>
  <c r="W13285" i="2"/>
  <c r="W13286" i="2"/>
  <c r="W13287" i="2"/>
  <c r="W13288" i="2"/>
  <c r="W13289" i="2"/>
  <c r="W13290" i="2"/>
  <c r="W13291" i="2"/>
  <c r="W13292" i="2"/>
  <c r="W13293" i="2"/>
  <c r="W13294" i="2"/>
  <c r="W13295" i="2"/>
  <c r="W13296" i="2"/>
  <c r="W13297" i="2"/>
  <c r="W13298" i="2"/>
  <c r="W13299" i="2"/>
  <c r="W13300" i="2"/>
  <c r="W13301" i="2"/>
  <c r="W13302" i="2"/>
  <c r="W13303" i="2"/>
  <c r="W13304" i="2"/>
  <c r="W13305" i="2"/>
  <c r="W13306" i="2"/>
  <c r="W13307" i="2"/>
  <c r="W13308" i="2"/>
  <c r="W13309" i="2"/>
  <c r="W13310" i="2"/>
  <c r="W13311" i="2"/>
  <c r="W13312" i="2"/>
  <c r="W13313" i="2"/>
  <c r="W13314" i="2"/>
  <c r="W13315" i="2"/>
  <c r="W13316" i="2"/>
  <c r="W13317" i="2"/>
  <c r="W13318" i="2"/>
  <c r="W13319" i="2"/>
  <c r="W13320" i="2"/>
  <c r="W13321" i="2"/>
  <c r="W13322" i="2"/>
  <c r="W13323" i="2"/>
  <c r="W13324" i="2"/>
  <c r="W13325" i="2"/>
  <c r="W13326" i="2"/>
  <c r="W13327" i="2"/>
  <c r="W13328" i="2"/>
  <c r="W13329" i="2"/>
  <c r="W13330" i="2"/>
  <c r="W13331" i="2"/>
  <c r="W13332" i="2"/>
  <c r="W13333" i="2"/>
  <c r="W13334" i="2"/>
  <c r="W13335" i="2"/>
  <c r="W13336" i="2"/>
  <c r="W13337" i="2"/>
  <c r="W13338" i="2"/>
  <c r="W13339" i="2"/>
  <c r="W13340" i="2"/>
  <c r="W13341" i="2"/>
  <c r="W13342" i="2"/>
  <c r="W13343" i="2"/>
  <c r="W13344" i="2"/>
  <c r="W13345" i="2"/>
  <c r="W13346" i="2"/>
  <c r="W13347" i="2"/>
  <c r="W13348" i="2"/>
  <c r="W13349" i="2"/>
  <c r="W13350" i="2"/>
  <c r="W13351" i="2"/>
  <c r="W13352" i="2"/>
  <c r="W13353" i="2"/>
  <c r="W13354" i="2"/>
  <c r="W13355" i="2"/>
  <c r="W13356" i="2"/>
  <c r="W13357" i="2"/>
  <c r="W13358" i="2"/>
  <c r="W13359" i="2"/>
  <c r="W13360" i="2"/>
  <c r="W13361" i="2"/>
  <c r="W13362" i="2"/>
  <c r="W13363" i="2"/>
  <c r="W13364" i="2"/>
  <c r="W13365" i="2"/>
  <c r="W13366" i="2"/>
  <c r="W13367" i="2"/>
  <c r="W13368" i="2"/>
  <c r="W13369" i="2"/>
  <c r="W13370" i="2"/>
  <c r="W13371" i="2"/>
  <c r="W13372" i="2"/>
  <c r="W13373" i="2"/>
  <c r="W13374" i="2"/>
  <c r="W13375" i="2"/>
  <c r="W13376" i="2"/>
  <c r="W13377" i="2"/>
  <c r="W13378" i="2"/>
  <c r="W13379" i="2"/>
  <c r="W13380" i="2"/>
  <c r="W13381" i="2"/>
  <c r="W13382" i="2"/>
  <c r="W13383" i="2"/>
  <c r="W13384" i="2"/>
  <c r="W13385" i="2"/>
  <c r="W13386" i="2"/>
  <c r="W13387" i="2"/>
  <c r="W13388" i="2"/>
  <c r="W13389" i="2"/>
  <c r="W13390" i="2"/>
  <c r="W13391" i="2"/>
  <c r="W13392" i="2"/>
  <c r="W13393" i="2"/>
  <c r="W13394" i="2"/>
  <c r="W13395" i="2"/>
  <c r="W13396" i="2"/>
  <c r="W13397" i="2"/>
  <c r="W13398" i="2"/>
  <c r="W13399" i="2"/>
  <c r="W13400" i="2"/>
  <c r="W13401" i="2"/>
  <c r="W13402" i="2"/>
  <c r="W13403" i="2"/>
  <c r="W13404" i="2"/>
  <c r="W13405" i="2"/>
  <c r="W13406" i="2"/>
  <c r="W13407" i="2"/>
  <c r="W13408" i="2"/>
  <c r="W13409" i="2"/>
  <c r="W13410" i="2"/>
  <c r="W13411" i="2"/>
  <c r="W13412" i="2"/>
  <c r="W13413" i="2"/>
  <c r="W13414" i="2"/>
  <c r="W13415" i="2"/>
  <c r="W13416" i="2"/>
  <c r="W13417" i="2"/>
  <c r="W13418" i="2"/>
  <c r="W13419" i="2"/>
  <c r="W13420" i="2"/>
  <c r="W13421" i="2"/>
  <c r="W13422" i="2"/>
  <c r="W13423" i="2"/>
  <c r="W13424" i="2"/>
  <c r="W13425" i="2"/>
  <c r="W13426" i="2"/>
  <c r="W13427" i="2"/>
  <c r="W13428" i="2"/>
  <c r="W13429" i="2"/>
  <c r="W13430" i="2"/>
  <c r="W13431" i="2"/>
  <c r="W13432" i="2"/>
  <c r="W13433" i="2"/>
  <c r="W13434" i="2"/>
  <c r="W13435" i="2"/>
  <c r="W13436" i="2"/>
  <c r="W13437" i="2"/>
  <c r="W13438" i="2"/>
  <c r="W13439" i="2"/>
  <c r="W13440" i="2"/>
  <c r="W13441" i="2"/>
  <c r="W13442" i="2"/>
  <c r="W13443" i="2"/>
  <c r="W13444" i="2"/>
  <c r="W13445" i="2"/>
  <c r="W13446" i="2"/>
  <c r="W13447" i="2"/>
  <c r="W13448" i="2"/>
  <c r="W13449" i="2"/>
  <c r="W13450" i="2"/>
  <c r="W13451" i="2"/>
  <c r="W13452" i="2"/>
  <c r="W13453" i="2"/>
  <c r="W13454" i="2"/>
  <c r="W13455" i="2"/>
  <c r="W13456" i="2"/>
  <c r="W13457" i="2"/>
  <c r="W13458" i="2"/>
  <c r="W13459" i="2"/>
  <c r="W13460" i="2"/>
  <c r="W13461" i="2"/>
  <c r="W13462" i="2"/>
  <c r="W13463" i="2"/>
  <c r="W13464" i="2"/>
  <c r="W13465" i="2"/>
  <c r="W13466" i="2"/>
  <c r="W13467" i="2"/>
  <c r="W13468" i="2"/>
  <c r="W13469" i="2"/>
  <c r="W13470" i="2"/>
  <c r="W13471" i="2"/>
  <c r="W13472" i="2"/>
  <c r="W13473" i="2"/>
  <c r="W13474" i="2"/>
  <c r="W13475" i="2"/>
  <c r="W13476" i="2"/>
  <c r="W13477" i="2"/>
  <c r="W13478" i="2"/>
  <c r="W13479" i="2"/>
  <c r="W13480" i="2"/>
  <c r="W13481" i="2"/>
  <c r="W13482" i="2"/>
  <c r="W13483" i="2"/>
  <c r="W13484" i="2"/>
  <c r="W13485" i="2"/>
  <c r="W13486" i="2"/>
  <c r="W13487" i="2"/>
  <c r="W13488" i="2"/>
  <c r="W13489" i="2"/>
  <c r="W13490" i="2"/>
  <c r="W13491" i="2"/>
  <c r="W13492" i="2"/>
  <c r="W13493" i="2"/>
  <c r="W13494" i="2"/>
  <c r="W13495" i="2"/>
  <c r="W13496" i="2"/>
  <c r="W13497" i="2"/>
  <c r="W13498" i="2"/>
  <c r="W13499" i="2"/>
  <c r="W13500" i="2"/>
  <c r="W13501" i="2"/>
  <c r="W13502" i="2"/>
  <c r="W13503" i="2"/>
  <c r="W13504" i="2"/>
  <c r="W13505" i="2"/>
  <c r="W13506" i="2"/>
  <c r="W13507" i="2"/>
  <c r="W13508" i="2"/>
  <c r="W13509" i="2"/>
  <c r="W13510" i="2"/>
  <c r="W13511" i="2"/>
  <c r="W13512" i="2"/>
  <c r="W13513" i="2"/>
  <c r="W13514" i="2"/>
  <c r="W13515" i="2"/>
  <c r="W13516" i="2"/>
  <c r="W13517" i="2"/>
  <c r="W13518" i="2"/>
  <c r="W13519" i="2"/>
  <c r="W13520" i="2"/>
  <c r="W13521" i="2"/>
  <c r="W13522" i="2"/>
  <c r="W13523" i="2"/>
  <c r="W13524" i="2"/>
  <c r="W13525" i="2"/>
  <c r="W13526" i="2"/>
  <c r="W13527" i="2"/>
  <c r="W13528" i="2"/>
  <c r="W13529" i="2"/>
  <c r="W13530" i="2"/>
  <c r="W13531" i="2"/>
  <c r="W13532" i="2"/>
  <c r="W13533" i="2"/>
  <c r="W13534" i="2"/>
  <c r="W13535" i="2"/>
  <c r="W13536" i="2"/>
  <c r="W13537" i="2"/>
  <c r="W13538" i="2"/>
  <c r="W13539" i="2"/>
  <c r="W13540" i="2"/>
  <c r="W13541" i="2"/>
  <c r="W13542" i="2"/>
  <c r="W13543" i="2"/>
  <c r="W13544" i="2"/>
  <c r="W13545" i="2"/>
  <c r="W13546" i="2"/>
  <c r="W13547" i="2"/>
  <c r="W13548" i="2"/>
  <c r="W13549" i="2"/>
  <c r="W13550" i="2"/>
  <c r="W13551" i="2"/>
  <c r="W13552" i="2"/>
  <c r="W13553" i="2"/>
  <c r="W13554" i="2"/>
  <c r="W13555" i="2"/>
  <c r="W13556" i="2"/>
  <c r="W13557" i="2"/>
  <c r="W13558" i="2"/>
  <c r="W13559" i="2"/>
  <c r="W13560" i="2"/>
  <c r="W13561" i="2"/>
  <c r="W13562" i="2"/>
  <c r="W13563" i="2"/>
  <c r="W13564" i="2"/>
  <c r="W13565" i="2"/>
  <c r="W13566" i="2"/>
  <c r="W13567" i="2"/>
  <c r="W13568" i="2"/>
  <c r="W13569" i="2"/>
  <c r="W13570" i="2"/>
  <c r="W13571" i="2"/>
  <c r="W13572" i="2"/>
  <c r="W13573" i="2"/>
  <c r="W13574" i="2"/>
  <c r="W13575" i="2"/>
  <c r="W13576" i="2"/>
  <c r="W13577" i="2"/>
  <c r="W13578" i="2"/>
  <c r="W13579" i="2"/>
  <c r="W13580" i="2"/>
  <c r="W13581" i="2"/>
  <c r="W13582" i="2"/>
  <c r="W13583" i="2"/>
  <c r="W13584" i="2"/>
  <c r="W13585" i="2"/>
  <c r="W13586" i="2"/>
  <c r="W13587" i="2"/>
  <c r="W13588" i="2"/>
  <c r="W13589" i="2"/>
  <c r="W13590" i="2"/>
  <c r="W13591" i="2"/>
  <c r="W13592" i="2"/>
  <c r="W13593" i="2"/>
  <c r="W13594" i="2"/>
  <c r="W13595" i="2"/>
  <c r="W13596" i="2"/>
  <c r="W13597" i="2"/>
  <c r="W13598" i="2"/>
  <c r="W13599" i="2"/>
  <c r="W13600" i="2"/>
  <c r="W13601" i="2"/>
  <c r="W13602" i="2"/>
  <c r="W13603" i="2"/>
  <c r="W13604" i="2"/>
  <c r="W13605" i="2"/>
  <c r="W13606" i="2"/>
  <c r="W13607" i="2"/>
  <c r="W13608" i="2"/>
  <c r="W13609" i="2"/>
  <c r="W13610" i="2"/>
  <c r="W13611" i="2"/>
  <c r="W13612" i="2"/>
  <c r="W13613" i="2"/>
  <c r="W13614" i="2"/>
  <c r="W13615" i="2"/>
  <c r="W13616" i="2"/>
  <c r="W13617" i="2"/>
  <c r="W13618" i="2"/>
  <c r="W13619" i="2"/>
  <c r="W13620" i="2"/>
  <c r="W13621" i="2"/>
  <c r="W13622" i="2"/>
  <c r="W13623" i="2"/>
  <c r="W13624" i="2"/>
  <c r="W13625" i="2"/>
  <c r="W13626" i="2"/>
  <c r="W13627" i="2"/>
  <c r="W13628" i="2"/>
  <c r="W13629" i="2"/>
  <c r="W13630" i="2"/>
  <c r="W13631" i="2"/>
  <c r="W13632" i="2"/>
  <c r="W13633" i="2"/>
  <c r="W13634" i="2"/>
  <c r="W13635" i="2"/>
  <c r="W13636" i="2"/>
  <c r="W13637" i="2"/>
  <c r="W13638" i="2"/>
  <c r="W13639" i="2"/>
  <c r="W13640" i="2"/>
  <c r="W13641" i="2"/>
  <c r="W13642" i="2"/>
  <c r="W13643" i="2"/>
  <c r="W13644" i="2"/>
  <c r="W13645" i="2"/>
  <c r="W13646" i="2"/>
  <c r="W13647" i="2"/>
  <c r="W13648" i="2"/>
  <c r="W13649" i="2"/>
  <c r="W13650" i="2"/>
  <c r="W13651" i="2"/>
  <c r="W13652" i="2"/>
  <c r="W13653" i="2"/>
  <c r="W13654" i="2"/>
  <c r="W13655" i="2"/>
  <c r="W13656" i="2"/>
  <c r="W13657" i="2"/>
  <c r="W13658" i="2"/>
  <c r="W13659" i="2"/>
  <c r="W13660" i="2"/>
  <c r="W13661" i="2"/>
  <c r="W13662" i="2"/>
  <c r="W13663" i="2"/>
  <c r="W13664" i="2"/>
  <c r="W13665" i="2"/>
  <c r="W13666" i="2"/>
  <c r="W13667" i="2"/>
  <c r="W13668" i="2"/>
  <c r="W13669" i="2"/>
  <c r="W13670" i="2"/>
  <c r="W13671" i="2"/>
  <c r="W13672" i="2"/>
  <c r="W13673" i="2"/>
  <c r="W13674" i="2"/>
  <c r="W13675" i="2"/>
  <c r="W13676" i="2"/>
  <c r="W13677" i="2"/>
  <c r="W13678" i="2"/>
  <c r="W13679" i="2"/>
  <c r="W13680" i="2"/>
  <c r="W13681" i="2"/>
  <c r="W13682" i="2"/>
  <c r="W13683" i="2"/>
  <c r="W13684" i="2"/>
  <c r="W13685" i="2"/>
  <c r="W13686" i="2"/>
  <c r="W13687" i="2"/>
  <c r="W13688" i="2"/>
  <c r="W13689" i="2"/>
  <c r="W13690" i="2"/>
  <c r="W13691" i="2"/>
  <c r="W13692" i="2"/>
  <c r="W13693" i="2"/>
  <c r="W13694" i="2"/>
  <c r="W13695" i="2"/>
  <c r="W13696" i="2"/>
  <c r="W13697" i="2"/>
  <c r="W13698" i="2"/>
  <c r="W13699" i="2"/>
  <c r="W13700" i="2"/>
  <c r="W13701" i="2"/>
  <c r="W13702" i="2"/>
  <c r="W13703" i="2"/>
  <c r="W13704" i="2"/>
  <c r="W13705" i="2"/>
  <c r="W13706" i="2"/>
  <c r="W13707" i="2"/>
  <c r="W13708" i="2"/>
  <c r="W13709" i="2"/>
  <c r="W13710" i="2"/>
  <c r="W13711" i="2"/>
  <c r="W13712" i="2"/>
  <c r="W13713" i="2"/>
  <c r="W13714" i="2"/>
  <c r="W13715" i="2"/>
  <c r="W13716" i="2"/>
  <c r="W13717" i="2"/>
  <c r="W13718" i="2"/>
  <c r="W13719" i="2"/>
  <c r="W13720" i="2"/>
  <c r="W13721" i="2"/>
  <c r="W13722" i="2"/>
  <c r="W13723" i="2"/>
  <c r="W13724" i="2"/>
  <c r="W13725" i="2"/>
  <c r="W13726" i="2"/>
  <c r="W13727" i="2"/>
  <c r="W13728" i="2"/>
  <c r="W13729" i="2"/>
  <c r="W13730" i="2"/>
  <c r="W13731" i="2"/>
  <c r="W13732" i="2"/>
  <c r="W13733" i="2"/>
  <c r="W13734" i="2"/>
  <c r="W13735" i="2"/>
  <c r="W13736" i="2"/>
  <c r="W13737" i="2"/>
  <c r="W13738" i="2"/>
  <c r="W13739" i="2"/>
  <c r="W13740" i="2"/>
  <c r="W13741" i="2"/>
  <c r="W13742" i="2"/>
  <c r="W13743" i="2"/>
  <c r="W13744" i="2"/>
  <c r="W13745" i="2"/>
  <c r="W13746" i="2"/>
  <c r="W13747" i="2"/>
  <c r="W13748" i="2"/>
  <c r="W13749" i="2"/>
  <c r="W13750" i="2"/>
  <c r="W13751" i="2"/>
  <c r="W13752" i="2"/>
  <c r="W13753" i="2"/>
  <c r="W13754" i="2"/>
  <c r="W13755" i="2"/>
  <c r="W13756" i="2"/>
  <c r="W13757" i="2"/>
  <c r="W13758" i="2"/>
  <c r="W13759" i="2"/>
  <c r="W13760" i="2"/>
  <c r="W13761" i="2"/>
  <c r="W13762" i="2"/>
  <c r="W13763" i="2"/>
  <c r="W13764" i="2"/>
  <c r="W13765" i="2"/>
  <c r="W13766" i="2"/>
  <c r="W13767" i="2"/>
  <c r="W13768" i="2"/>
  <c r="W13769" i="2"/>
  <c r="W13770" i="2"/>
  <c r="W13771" i="2"/>
  <c r="W13772" i="2"/>
  <c r="W13773" i="2"/>
  <c r="W13774" i="2"/>
  <c r="W13775" i="2"/>
  <c r="W13776" i="2"/>
  <c r="W13777" i="2"/>
  <c r="W13778" i="2"/>
  <c r="W13779" i="2"/>
  <c r="W13780" i="2"/>
  <c r="W13781" i="2"/>
  <c r="W13782" i="2"/>
  <c r="W13783" i="2"/>
  <c r="W13784" i="2"/>
  <c r="W13785" i="2"/>
  <c r="W13786" i="2"/>
  <c r="W13787" i="2"/>
  <c r="W13788" i="2"/>
  <c r="W13789" i="2"/>
  <c r="W13790" i="2"/>
  <c r="W13791" i="2"/>
  <c r="W13792" i="2"/>
  <c r="W13793" i="2"/>
  <c r="W13794" i="2"/>
  <c r="W13795" i="2"/>
  <c r="W13796" i="2"/>
  <c r="W13797" i="2"/>
  <c r="W13798" i="2"/>
  <c r="W13799" i="2"/>
  <c r="W13800" i="2"/>
  <c r="W13801" i="2"/>
  <c r="W13802" i="2"/>
  <c r="W13803" i="2"/>
  <c r="W13804" i="2"/>
  <c r="W13805" i="2"/>
  <c r="W13806" i="2"/>
  <c r="W13807" i="2"/>
  <c r="W13808" i="2"/>
  <c r="W13809" i="2"/>
  <c r="W13810" i="2"/>
  <c r="W13811" i="2"/>
  <c r="W13812" i="2"/>
  <c r="W13813" i="2"/>
  <c r="W13814" i="2"/>
  <c r="W13815" i="2"/>
  <c r="W13816" i="2"/>
  <c r="W13817" i="2"/>
  <c r="W13818" i="2"/>
  <c r="W13819" i="2"/>
  <c r="W13820" i="2"/>
  <c r="W13821" i="2"/>
  <c r="W13822" i="2"/>
  <c r="W13823" i="2"/>
  <c r="W13824" i="2"/>
  <c r="W13825" i="2"/>
  <c r="W13826" i="2"/>
  <c r="W13827" i="2"/>
  <c r="W13828" i="2"/>
  <c r="W13829" i="2"/>
  <c r="W13830" i="2"/>
  <c r="W13831" i="2"/>
  <c r="W13832" i="2"/>
  <c r="W13833" i="2"/>
  <c r="W13834" i="2"/>
  <c r="W13835" i="2"/>
  <c r="W13836" i="2"/>
  <c r="W13837" i="2"/>
  <c r="W13838" i="2"/>
  <c r="W13839" i="2"/>
  <c r="W13840" i="2"/>
  <c r="W13841" i="2"/>
  <c r="W13842" i="2"/>
  <c r="W13843" i="2"/>
  <c r="W13844" i="2"/>
  <c r="W13845" i="2"/>
  <c r="W13846" i="2"/>
  <c r="W13847" i="2"/>
  <c r="W13848" i="2"/>
  <c r="W13849" i="2"/>
  <c r="W13850" i="2"/>
  <c r="W13851" i="2"/>
  <c r="W13852" i="2"/>
  <c r="W13853" i="2"/>
  <c r="W13854" i="2"/>
  <c r="W13855" i="2"/>
  <c r="W13856" i="2"/>
  <c r="W13857" i="2"/>
  <c r="W13858" i="2"/>
  <c r="W13859" i="2"/>
  <c r="W13860" i="2"/>
  <c r="W13861" i="2"/>
  <c r="W13862" i="2"/>
  <c r="W13863" i="2"/>
  <c r="W13864" i="2"/>
  <c r="W13865" i="2"/>
  <c r="W13866" i="2"/>
  <c r="W13867" i="2"/>
  <c r="W13868" i="2"/>
  <c r="W13869" i="2"/>
  <c r="W13870" i="2"/>
  <c r="W13871" i="2"/>
  <c r="W13872" i="2"/>
  <c r="W13873" i="2"/>
  <c r="W13874" i="2"/>
  <c r="W13875" i="2"/>
  <c r="W13876" i="2"/>
  <c r="W13877" i="2"/>
  <c r="W13878" i="2"/>
  <c r="W13879" i="2"/>
  <c r="W13880" i="2"/>
  <c r="W13881" i="2"/>
  <c r="W13882" i="2"/>
  <c r="W13883" i="2"/>
  <c r="W13884" i="2"/>
  <c r="W13885" i="2"/>
  <c r="W13886" i="2"/>
  <c r="W13887" i="2"/>
  <c r="W13888" i="2"/>
  <c r="W13889" i="2"/>
  <c r="W13890" i="2"/>
  <c r="W13891" i="2"/>
  <c r="W13892" i="2"/>
  <c r="W13893" i="2"/>
  <c r="W13894" i="2"/>
  <c r="W13895" i="2"/>
  <c r="W13896" i="2"/>
  <c r="W13897" i="2"/>
  <c r="W13898" i="2"/>
  <c r="W13899" i="2"/>
  <c r="W13900" i="2"/>
  <c r="W13901" i="2"/>
  <c r="W13902" i="2"/>
  <c r="W13903" i="2"/>
  <c r="W13904" i="2"/>
  <c r="W13905" i="2"/>
  <c r="W13906" i="2"/>
  <c r="W13907" i="2"/>
  <c r="W13908" i="2"/>
  <c r="W13909" i="2"/>
  <c r="W13910" i="2"/>
  <c r="W13911" i="2"/>
  <c r="W13912" i="2"/>
  <c r="W13913" i="2"/>
  <c r="W13914" i="2"/>
  <c r="W13915" i="2"/>
  <c r="W13916" i="2"/>
  <c r="W13917" i="2"/>
  <c r="W13918" i="2"/>
  <c r="W13919" i="2"/>
  <c r="W13920" i="2"/>
  <c r="W13921" i="2"/>
  <c r="W13922" i="2"/>
  <c r="W13923" i="2"/>
  <c r="W13924" i="2"/>
  <c r="W13925" i="2"/>
  <c r="W13926" i="2"/>
  <c r="W13927" i="2"/>
  <c r="W13928" i="2"/>
  <c r="W13929" i="2"/>
  <c r="W13930" i="2"/>
  <c r="W13931" i="2"/>
  <c r="W13932" i="2"/>
  <c r="W13933" i="2"/>
  <c r="W13934" i="2"/>
  <c r="W13935" i="2"/>
  <c r="W13936" i="2"/>
  <c r="W13937" i="2"/>
  <c r="W13938" i="2"/>
  <c r="W13939" i="2"/>
  <c r="W13940" i="2"/>
  <c r="W13941" i="2"/>
  <c r="W13942" i="2"/>
  <c r="W13943" i="2"/>
  <c r="W13944" i="2"/>
  <c r="W13945" i="2"/>
  <c r="W13946" i="2"/>
  <c r="W13947" i="2"/>
  <c r="W13948" i="2"/>
  <c r="W13949" i="2"/>
  <c r="W13950" i="2"/>
  <c r="W13951" i="2"/>
  <c r="W13952" i="2"/>
  <c r="W13953" i="2"/>
  <c r="W13954" i="2"/>
  <c r="W13955" i="2"/>
  <c r="W13956" i="2"/>
  <c r="W13957" i="2"/>
  <c r="W13958" i="2"/>
  <c r="W13959" i="2"/>
  <c r="W13960" i="2"/>
  <c r="W13961" i="2"/>
  <c r="W13962" i="2"/>
  <c r="W13963" i="2"/>
  <c r="W13964" i="2"/>
  <c r="W13965" i="2"/>
  <c r="W13966" i="2"/>
  <c r="W13967" i="2"/>
  <c r="W13968" i="2"/>
  <c r="W13969" i="2"/>
  <c r="W13970" i="2"/>
  <c r="W13971" i="2"/>
  <c r="W13972" i="2"/>
  <c r="W13973" i="2"/>
  <c r="W13974" i="2"/>
  <c r="W13975" i="2"/>
  <c r="W13976" i="2"/>
  <c r="W13977" i="2"/>
  <c r="W13978" i="2"/>
  <c r="W13979" i="2"/>
  <c r="W13980" i="2"/>
  <c r="W13981" i="2"/>
  <c r="W13982" i="2"/>
  <c r="W13983" i="2"/>
  <c r="W13984" i="2"/>
  <c r="W13985" i="2"/>
  <c r="W13986" i="2"/>
  <c r="W13987" i="2"/>
  <c r="W13988" i="2"/>
  <c r="W13989" i="2"/>
  <c r="W13990" i="2"/>
  <c r="W13991" i="2"/>
  <c r="W13992" i="2"/>
  <c r="W13993" i="2"/>
  <c r="W13994" i="2"/>
  <c r="W13995" i="2"/>
  <c r="W13996" i="2"/>
  <c r="W13997" i="2"/>
  <c r="W13998" i="2"/>
  <c r="W13999" i="2"/>
  <c r="W14000" i="2"/>
  <c r="W14001" i="2"/>
  <c r="W14002" i="2"/>
  <c r="W14003" i="2"/>
  <c r="W14004" i="2"/>
  <c r="W14005" i="2"/>
  <c r="W14006" i="2"/>
  <c r="W14007" i="2"/>
  <c r="W14008" i="2"/>
  <c r="W14009" i="2"/>
  <c r="W14010" i="2"/>
  <c r="W14011" i="2"/>
  <c r="W14012" i="2"/>
  <c r="W14013" i="2"/>
  <c r="W14014" i="2"/>
  <c r="W14015" i="2"/>
  <c r="W14016" i="2"/>
  <c r="W14017" i="2"/>
  <c r="W14018" i="2"/>
  <c r="W14019" i="2"/>
  <c r="W14020" i="2"/>
  <c r="W14021" i="2"/>
  <c r="W14022" i="2"/>
  <c r="W14023" i="2"/>
  <c r="W14024" i="2"/>
  <c r="W14025" i="2"/>
  <c r="W14026" i="2"/>
  <c r="W14027" i="2"/>
  <c r="W14028" i="2"/>
  <c r="W14029" i="2"/>
  <c r="W14030" i="2"/>
  <c r="W14031" i="2"/>
  <c r="W14032" i="2"/>
  <c r="W14033" i="2"/>
  <c r="W14034" i="2"/>
  <c r="W14035" i="2"/>
  <c r="W14036" i="2"/>
  <c r="W14037" i="2"/>
  <c r="W14038" i="2"/>
  <c r="W14039" i="2"/>
  <c r="W14040" i="2"/>
  <c r="W14041" i="2"/>
  <c r="W14042" i="2"/>
  <c r="W14043" i="2"/>
  <c r="W14044" i="2"/>
  <c r="W14045" i="2"/>
  <c r="W14046" i="2"/>
  <c r="W14047" i="2"/>
  <c r="W14048" i="2"/>
  <c r="W14049" i="2"/>
  <c r="W14050" i="2"/>
  <c r="W14051" i="2"/>
  <c r="W14052" i="2"/>
  <c r="W14053" i="2"/>
  <c r="W14054" i="2"/>
  <c r="W14055" i="2"/>
  <c r="W14056" i="2"/>
  <c r="W14057" i="2"/>
  <c r="W14058" i="2"/>
  <c r="W14059" i="2"/>
  <c r="W14060" i="2"/>
  <c r="W14061" i="2"/>
  <c r="W14062" i="2"/>
  <c r="W14063" i="2"/>
  <c r="W14064" i="2"/>
  <c r="W14065" i="2"/>
  <c r="W14066" i="2"/>
  <c r="W14067" i="2"/>
  <c r="W14068" i="2"/>
  <c r="W14069" i="2"/>
  <c r="W14070" i="2"/>
  <c r="W14071" i="2"/>
  <c r="W14072" i="2"/>
  <c r="W14073" i="2"/>
  <c r="W14074" i="2"/>
  <c r="W14075" i="2"/>
  <c r="W14076" i="2"/>
  <c r="W14077" i="2"/>
  <c r="W14078" i="2"/>
  <c r="W14079" i="2"/>
  <c r="W14080" i="2"/>
  <c r="W14081" i="2"/>
  <c r="W14082" i="2"/>
  <c r="W14083" i="2"/>
  <c r="W14084" i="2"/>
  <c r="W14085" i="2"/>
  <c r="W14086" i="2"/>
  <c r="W14087" i="2"/>
  <c r="W14088" i="2"/>
  <c r="W14089" i="2"/>
  <c r="W14090" i="2"/>
  <c r="W14091" i="2"/>
  <c r="W14092" i="2"/>
  <c r="W14093" i="2"/>
  <c r="W14094" i="2"/>
  <c r="W14095" i="2"/>
  <c r="W14096" i="2"/>
  <c r="W14097" i="2"/>
  <c r="W14098" i="2"/>
  <c r="W14099" i="2"/>
  <c r="W14100" i="2"/>
  <c r="W14101" i="2"/>
  <c r="W14102" i="2"/>
  <c r="W14103" i="2"/>
  <c r="W14104" i="2"/>
  <c r="W14105" i="2"/>
  <c r="W14106" i="2"/>
  <c r="W14107" i="2"/>
  <c r="W14108" i="2"/>
  <c r="W14109" i="2"/>
  <c r="W14110" i="2"/>
  <c r="W14111" i="2"/>
  <c r="W14112" i="2"/>
  <c r="W14113" i="2"/>
  <c r="W14114" i="2"/>
  <c r="W14115" i="2"/>
  <c r="W14116" i="2"/>
  <c r="W14117" i="2"/>
  <c r="W14118" i="2"/>
  <c r="W14119" i="2"/>
  <c r="W14120" i="2"/>
  <c r="W14121" i="2"/>
  <c r="W14122" i="2"/>
  <c r="W14123" i="2"/>
  <c r="W14124" i="2"/>
  <c r="W14125" i="2"/>
  <c r="W14126" i="2"/>
  <c r="W14127" i="2"/>
  <c r="W14128" i="2"/>
  <c r="W14129" i="2"/>
  <c r="W14130" i="2"/>
  <c r="W14131" i="2"/>
  <c r="W14132" i="2"/>
  <c r="W14133" i="2"/>
  <c r="W14134" i="2"/>
  <c r="W14135" i="2"/>
  <c r="W14136" i="2"/>
  <c r="W14137" i="2"/>
  <c r="W14138" i="2"/>
  <c r="W14139" i="2"/>
  <c r="W14140" i="2"/>
  <c r="W14141" i="2"/>
  <c r="W14142" i="2"/>
  <c r="W14143" i="2"/>
  <c r="W14144" i="2"/>
  <c r="W14145" i="2"/>
  <c r="W14146" i="2"/>
  <c r="W14147" i="2"/>
  <c r="W14148" i="2"/>
  <c r="W14149" i="2"/>
  <c r="W14150" i="2"/>
  <c r="W14151" i="2"/>
  <c r="W14152" i="2"/>
  <c r="W14153" i="2"/>
  <c r="W14154" i="2"/>
  <c r="W14155" i="2"/>
  <c r="W14156" i="2"/>
  <c r="W14157" i="2"/>
  <c r="W14158" i="2"/>
  <c r="W14159" i="2"/>
  <c r="W14160" i="2"/>
  <c r="W14161" i="2"/>
  <c r="W14162" i="2"/>
  <c r="W14163" i="2"/>
  <c r="W14164" i="2"/>
  <c r="W14165" i="2"/>
  <c r="W14166" i="2"/>
  <c r="W14167" i="2"/>
  <c r="W14168" i="2"/>
  <c r="W14169" i="2"/>
  <c r="W14170" i="2"/>
  <c r="W14171" i="2"/>
  <c r="W14172" i="2"/>
  <c r="W14173" i="2"/>
  <c r="W14174" i="2"/>
  <c r="W14175" i="2"/>
  <c r="W14176" i="2"/>
  <c r="W14177" i="2"/>
  <c r="W14178" i="2"/>
  <c r="W14179" i="2"/>
  <c r="W14180" i="2"/>
  <c r="W14181" i="2"/>
  <c r="W14182" i="2"/>
  <c r="W14183" i="2"/>
  <c r="W14184" i="2"/>
  <c r="W14185" i="2"/>
  <c r="W14186" i="2"/>
  <c r="W14187" i="2"/>
  <c r="W14188" i="2"/>
  <c r="W14189" i="2"/>
  <c r="W14190" i="2"/>
  <c r="W14191" i="2"/>
  <c r="W14192" i="2"/>
  <c r="W14193" i="2"/>
  <c r="W14194" i="2"/>
  <c r="W14195" i="2"/>
  <c r="W14196" i="2"/>
  <c r="W14197" i="2"/>
  <c r="W14198" i="2"/>
  <c r="W14199" i="2"/>
  <c r="W14200" i="2"/>
  <c r="W14201" i="2"/>
  <c r="W14202" i="2"/>
  <c r="W14203" i="2"/>
  <c r="W14204" i="2"/>
  <c r="W14205" i="2"/>
  <c r="W14206" i="2"/>
  <c r="W14207" i="2"/>
  <c r="W14208" i="2"/>
  <c r="W14209" i="2"/>
  <c r="W14210" i="2"/>
  <c r="W14211" i="2"/>
  <c r="W14212" i="2"/>
  <c r="W14213" i="2"/>
  <c r="W14214" i="2"/>
  <c r="W14215" i="2"/>
  <c r="W14216" i="2"/>
  <c r="W14217" i="2"/>
  <c r="W14218" i="2"/>
  <c r="W14219" i="2"/>
  <c r="W14220" i="2"/>
  <c r="W14221" i="2"/>
  <c r="W14222" i="2"/>
  <c r="W14223" i="2"/>
  <c r="W14224" i="2"/>
  <c r="W14225" i="2"/>
  <c r="W14226" i="2"/>
  <c r="W14227" i="2"/>
  <c r="W14228" i="2"/>
  <c r="W14229" i="2"/>
  <c r="W14230" i="2"/>
  <c r="W14231" i="2"/>
  <c r="W14232" i="2"/>
  <c r="W14233" i="2"/>
  <c r="W14234" i="2"/>
  <c r="W14235" i="2"/>
  <c r="W14236" i="2"/>
  <c r="W14237" i="2"/>
  <c r="W14238" i="2"/>
  <c r="W14239" i="2"/>
  <c r="W14240" i="2"/>
  <c r="W14241" i="2"/>
  <c r="W14242" i="2"/>
  <c r="W14243" i="2"/>
  <c r="W14244" i="2"/>
  <c r="W14245" i="2"/>
  <c r="W14246" i="2"/>
  <c r="W14247" i="2"/>
  <c r="W14248" i="2"/>
  <c r="W14249" i="2"/>
  <c r="W14250" i="2"/>
  <c r="W14251" i="2"/>
  <c r="W14252" i="2"/>
  <c r="W14253" i="2"/>
  <c r="W14254" i="2"/>
  <c r="W14255" i="2"/>
  <c r="W14256" i="2"/>
  <c r="W14257" i="2"/>
  <c r="W14258" i="2"/>
  <c r="W14259" i="2"/>
  <c r="W14260" i="2"/>
  <c r="W14261" i="2"/>
  <c r="W14262" i="2"/>
  <c r="W14263" i="2"/>
  <c r="W14264" i="2"/>
  <c r="W14265" i="2"/>
  <c r="W14266" i="2"/>
  <c r="W14267" i="2"/>
  <c r="W14268" i="2"/>
  <c r="W14269" i="2"/>
  <c r="W14270" i="2"/>
  <c r="W14271" i="2"/>
  <c r="W14272" i="2"/>
  <c r="W14273" i="2"/>
  <c r="W14274" i="2"/>
  <c r="W14275" i="2"/>
  <c r="W14276" i="2"/>
  <c r="W14277" i="2"/>
  <c r="W14278" i="2"/>
  <c r="W14279" i="2"/>
  <c r="W14280" i="2"/>
  <c r="W14281" i="2"/>
  <c r="W14282" i="2"/>
  <c r="W14283" i="2"/>
  <c r="W14284" i="2"/>
  <c r="W14285" i="2"/>
  <c r="W14286" i="2"/>
  <c r="W14287" i="2"/>
  <c r="W14288" i="2"/>
  <c r="W14289" i="2"/>
  <c r="W14290" i="2"/>
  <c r="W14291" i="2"/>
  <c r="W14292" i="2"/>
  <c r="W14293" i="2"/>
  <c r="W14294" i="2"/>
  <c r="W14295" i="2"/>
  <c r="W14296" i="2"/>
  <c r="W14297" i="2"/>
  <c r="W14298" i="2"/>
  <c r="W14299" i="2"/>
  <c r="W14300" i="2"/>
  <c r="W14301" i="2"/>
  <c r="W14302" i="2"/>
  <c r="W14303" i="2"/>
  <c r="W14304" i="2"/>
  <c r="W14305" i="2"/>
  <c r="W14306" i="2"/>
  <c r="W14307" i="2"/>
  <c r="W14308" i="2"/>
  <c r="W14309" i="2"/>
  <c r="W14310" i="2"/>
  <c r="W14311" i="2"/>
  <c r="W14312" i="2"/>
  <c r="W14313" i="2"/>
  <c r="W14314" i="2"/>
  <c r="W14315" i="2"/>
  <c r="W14316" i="2"/>
  <c r="W14317" i="2"/>
  <c r="W14318" i="2"/>
  <c r="W14319" i="2"/>
  <c r="W14320" i="2"/>
  <c r="W14321" i="2"/>
  <c r="W14322" i="2"/>
  <c r="W14323" i="2"/>
  <c r="W14324" i="2"/>
  <c r="W14325" i="2"/>
  <c r="W14326" i="2"/>
  <c r="W14327" i="2"/>
  <c r="W14328" i="2"/>
  <c r="W14329" i="2"/>
  <c r="W14330" i="2"/>
  <c r="W14331" i="2"/>
  <c r="W14332" i="2"/>
  <c r="W14333" i="2"/>
  <c r="W14334" i="2"/>
  <c r="W14335" i="2"/>
  <c r="W14336" i="2"/>
  <c r="W14337" i="2"/>
  <c r="W14338" i="2"/>
  <c r="W14339" i="2"/>
  <c r="W14340" i="2"/>
  <c r="W14341" i="2"/>
  <c r="W14342" i="2"/>
  <c r="W14343" i="2"/>
  <c r="W14344" i="2"/>
  <c r="W14345" i="2"/>
  <c r="W14346" i="2"/>
  <c r="W14347" i="2"/>
  <c r="W14348" i="2"/>
  <c r="W14349" i="2"/>
  <c r="W14350" i="2"/>
  <c r="W14351" i="2"/>
  <c r="W14352" i="2"/>
  <c r="W14353" i="2"/>
  <c r="W14354" i="2"/>
  <c r="W14355" i="2"/>
  <c r="W14356" i="2"/>
  <c r="W14357" i="2"/>
  <c r="W14358" i="2"/>
  <c r="W14359" i="2"/>
  <c r="W14360" i="2"/>
  <c r="W14361" i="2"/>
  <c r="W14362" i="2"/>
  <c r="W14363" i="2"/>
  <c r="W14364" i="2"/>
  <c r="W14365" i="2"/>
  <c r="W14366" i="2"/>
  <c r="W14367" i="2"/>
  <c r="W14368" i="2"/>
  <c r="W14369" i="2"/>
  <c r="W14370" i="2"/>
  <c r="W14371" i="2"/>
  <c r="W14372" i="2"/>
  <c r="W14373" i="2"/>
  <c r="W14374" i="2"/>
  <c r="W14375" i="2"/>
  <c r="W14376" i="2"/>
  <c r="W14377" i="2"/>
  <c r="W14378" i="2"/>
  <c r="W14379" i="2"/>
  <c r="W14380" i="2"/>
  <c r="W14381" i="2"/>
  <c r="W14382" i="2"/>
  <c r="W14383" i="2"/>
  <c r="W14384" i="2"/>
  <c r="W14385" i="2"/>
  <c r="W14386" i="2"/>
  <c r="W14387" i="2"/>
  <c r="W14388" i="2"/>
  <c r="W14389" i="2"/>
  <c r="W14390" i="2"/>
  <c r="W14391" i="2"/>
  <c r="W14392" i="2"/>
  <c r="W14393" i="2"/>
  <c r="W14394" i="2"/>
  <c r="W14395" i="2"/>
  <c r="W14396" i="2"/>
  <c r="W14397" i="2"/>
  <c r="W14398" i="2"/>
  <c r="W14399" i="2"/>
  <c r="W14400" i="2"/>
  <c r="W14401" i="2"/>
  <c r="W14402" i="2"/>
  <c r="W14403" i="2"/>
  <c r="W14404" i="2"/>
  <c r="W14405" i="2"/>
  <c r="W14406" i="2"/>
  <c r="W14407" i="2"/>
  <c r="W14408" i="2"/>
  <c r="W14409" i="2"/>
  <c r="W14410" i="2"/>
  <c r="W14411" i="2"/>
  <c r="W14412" i="2"/>
  <c r="W14413" i="2"/>
  <c r="W14414" i="2"/>
  <c r="W14415" i="2"/>
  <c r="W14416" i="2"/>
  <c r="W14417" i="2"/>
  <c r="W14418" i="2"/>
  <c r="W14419" i="2"/>
  <c r="W14420" i="2"/>
  <c r="W14421" i="2"/>
  <c r="W14422" i="2"/>
  <c r="W14423" i="2"/>
  <c r="W14424" i="2"/>
  <c r="W14425" i="2"/>
  <c r="W14426" i="2"/>
  <c r="W14427" i="2"/>
  <c r="W14428" i="2"/>
  <c r="W14429" i="2"/>
  <c r="W14430" i="2"/>
  <c r="W14431" i="2"/>
  <c r="W14432" i="2"/>
  <c r="W14433" i="2"/>
  <c r="W14434" i="2"/>
  <c r="W14435" i="2"/>
  <c r="W14436" i="2"/>
  <c r="W14437" i="2"/>
  <c r="W14438" i="2"/>
  <c r="W14439" i="2"/>
  <c r="W14440" i="2"/>
  <c r="W14441" i="2"/>
  <c r="W14442" i="2"/>
  <c r="W14443" i="2"/>
  <c r="W14444" i="2"/>
  <c r="W14445" i="2"/>
  <c r="W14446" i="2"/>
  <c r="W14447" i="2"/>
  <c r="W14448" i="2"/>
  <c r="W14449" i="2"/>
  <c r="W14450" i="2"/>
  <c r="W14451" i="2"/>
  <c r="W14452" i="2"/>
  <c r="W14453" i="2"/>
  <c r="W14454" i="2"/>
  <c r="W14455" i="2"/>
  <c r="W14456" i="2"/>
  <c r="W14457" i="2"/>
  <c r="W14458" i="2"/>
  <c r="W14459" i="2"/>
  <c r="W14460" i="2"/>
  <c r="W14461" i="2"/>
  <c r="W14462" i="2"/>
  <c r="W14463" i="2"/>
  <c r="W14464" i="2"/>
  <c r="W14465" i="2"/>
  <c r="W14466" i="2"/>
  <c r="W14467" i="2"/>
  <c r="W14468" i="2"/>
  <c r="W14469" i="2"/>
  <c r="W14470" i="2"/>
  <c r="W14471" i="2"/>
  <c r="W14472" i="2"/>
  <c r="W14473" i="2"/>
  <c r="W14474" i="2"/>
  <c r="W14475" i="2"/>
  <c r="W14476" i="2"/>
  <c r="W14477" i="2"/>
  <c r="W14478" i="2"/>
  <c r="W14479" i="2"/>
  <c r="W14480" i="2"/>
  <c r="W14481" i="2"/>
  <c r="W14482" i="2"/>
  <c r="W14483" i="2"/>
  <c r="W14484" i="2"/>
  <c r="W14485" i="2"/>
  <c r="W14486" i="2"/>
  <c r="W14487" i="2"/>
  <c r="W14488" i="2"/>
  <c r="W14489" i="2"/>
  <c r="W14490" i="2"/>
  <c r="W14491" i="2"/>
  <c r="W14492" i="2"/>
  <c r="W14493" i="2"/>
  <c r="W14494" i="2"/>
  <c r="W14495" i="2"/>
  <c r="W14496" i="2"/>
  <c r="W14497" i="2"/>
  <c r="W14498" i="2"/>
  <c r="W14499" i="2"/>
  <c r="W14500" i="2"/>
  <c r="W14501" i="2"/>
  <c r="W14502" i="2"/>
  <c r="W14503" i="2"/>
  <c r="W14504" i="2"/>
  <c r="W14505" i="2"/>
  <c r="W14506" i="2"/>
  <c r="W14507" i="2"/>
  <c r="W14508" i="2"/>
  <c r="W14509" i="2"/>
  <c r="W14510" i="2"/>
  <c r="W14511" i="2"/>
  <c r="W14512" i="2"/>
  <c r="W14513" i="2"/>
  <c r="W14514" i="2"/>
  <c r="W14515" i="2"/>
  <c r="W14516" i="2"/>
  <c r="W14517" i="2"/>
  <c r="W14518" i="2"/>
  <c r="W14519" i="2"/>
  <c r="W14520" i="2"/>
  <c r="W14521" i="2"/>
  <c r="W14522" i="2"/>
  <c r="W14523" i="2"/>
  <c r="W14524" i="2"/>
  <c r="W14525" i="2"/>
  <c r="W14526" i="2"/>
  <c r="W14527" i="2"/>
  <c r="W14528" i="2"/>
  <c r="W14529" i="2"/>
  <c r="W14530" i="2"/>
  <c r="W14531" i="2"/>
  <c r="W14532" i="2"/>
  <c r="W14533" i="2"/>
  <c r="W14534" i="2"/>
  <c r="W14535" i="2"/>
  <c r="W14536" i="2"/>
  <c r="W14537" i="2"/>
  <c r="W14538" i="2"/>
  <c r="W14539" i="2"/>
  <c r="W14540" i="2"/>
  <c r="W14541" i="2"/>
  <c r="W14542" i="2"/>
  <c r="W14543" i="2"/>
  <c r="W14544" i="2"/>
  <c r="W14545" i="2"/>
  <c r="W14546" i="2"/>
  <c r="W14547" i="2"/>
  <c r="W14548" i="2"/>
  <c r="W14549" i="2"/>
  <c r="W14550" i="2"/>
  <c r="W14551" i="2"/>
  <c r="W14552" i="2"/>
  <c r="W14553" i="2"/>
  <c r="W14554" i="2"/>
  <c r="W14555" i="2"/>
  <c r="W14556" i="2"/>
  <c r="W14557" i="2"/>
  <c r="W14558" i="2"/>
  <c r="W14559" i="2"/>
  <c r="W14560" i="2"/>
  <c r="W14561" i="2"/>
  <c r="W14562" i="2"/>
  <c r="W14563" i="2"/>
  <c r="W14564" i="2"/>
  <c r="W14565" i="2"/>
  <c r="W14566" i="2"/>
  <c r="W14567" i="2"/>
  <c r="W14568" i="2"/>
  <c r="W14569" i="2"/>
  <c r="W14570" i="2"/>
  <c r="W14571" i="2"/>
  <c r="W14572" i="2"/>
  <c r="W14573" i="2"/>
  <c r="W14574" i="2"/>
  <c r="W14575" i="2"/>
  <c r="W14576" i="2"/>
  <c r="W14577" i="2"/>
  <c r="W14578" i="2"/>
  <c r="W14579" i="2"/>
  <c r="W14580" i="2"/>
  <c r="W14581" i="2"/>
  <c r="W14582" i="2"/>
  <c r="W14583" i="2"/>
  <c r="W14584" i="2"/>
  <c r="W14585" i="2"/>
  <c r="W14586" i="2"/>
  <c r="W14587" i="2"/>
  <c r="W14588" i="2"/>
  <c r="W14589" i="2"/>
  <c r="W14590" i="2"/>
  <c r="W14591" i="2"/>
  <c r="W14592" i="2"/>
  <c r="W14593" i="2"/>
  <c r="W14594" i="2"/>
  <c r="W14595" i="2"/>
  <c r="W14596" i="2"/>
  <c r="W14597" i="2"/>
  <c r="W14598" i="2"/>
  <c r="W14599" i="2"/>
  <c r="W14600" i="2"/>
  <c r="W14601" i="2"/>
  <c r="W14602" i="2"/>
  <c r="W14603" i="2"/>
  <c r="W14604" i="2"/>
  <c r="W14605" i="2"/>
  <c r="W14606" i="2"/>
  <c r="W14607" i="2"/>
  <c r="W14608" i="2"/>
  <c r="W14609" i="2"/>
  <c r="W14610" i="2"/>
  <c r="W14611" i="2"/>
  <c r="W14612" i="2"/>
  <c r="W14613" i="2"/>
  <c r="W14614" i="2"/>
  <c r="W14615" i="2"/>
  <c r="W14616" i="2"/>
  <c r="W14617" i="2"/>
  <c r="W14618" i="2"/>
  <c r="W14619" i="2"/>
  <c r="W14620" i="2"/>
  <c r="W14621" i="2"/>
  <c r="W14622" i="2"/>
  <c r="W14623" i="2"/>
  <c r="W14624" i="2"/>
  <c r="W14625" i="2"/>
  <c r="W14626" i="2"/>
  <c r="W14627" i="2"/>
  <c r="W14628" i="2"/>
  <c r="W14629" i="2"/>
  <c r="W14630" i="2"/>
  <c r="W14631" i="2"/>
  <c r="W14632" i="2"/>
  <c r="W14633" i="2"/>
  <c r="W14634" i="2"/>
  <c r="W14635" i="2"/>
  <c r="W14636" i="2"/>
  <c r="W14637" i="2"/>
  <c r="W14638" i="2"/>
  <c r="W14639" i="2"/>
  <c r="W14640" i="2"/>
  <c r="W14641" i="2"/>
  <c r="W14642" i="2"/>
  <c r="W14643" i="2"/>
  <c r="W14644" i="2"/>
  <c r="W14645" i="2"/>
  <c r="W14646" i="2"/>
  <c r="W14647" i="2"/>
  <c r="W14648" i="2"/>
  <c r="W14649" i="2"/>
  <c r="W14650" i="2"/>
  <c r="W14651" i="2"/>
  <c r="W14652" i="2"/>
  <c r="W14653" i="2"/>
  <c r="W14654" i="2"/>
  <c r="W14655" i="2"/>
  <c r="W14656" i="2"/>
  <c r="W14657" i="2"/>
  <c r="W14658" i="2"/>
  <c r="W14659" i="2"/>
  <c r="W14660" i="2"/>
  <c r="W14661" i="2"/>
  <c r="W14662" i="2"/>
  <c r="W14663" i="2"/>
  <c r="W14664" i="2"/>
  <c r="W14665" i="2"/>
  <c r="W14666" i="2"/>
  <c r="W14667" i="2"/>
  <c r="W14668" i="2"/>
  <c r="W14669" i="2"/>
  <c r="W14670" i="2"/>
  <c r="W14671" i="2"/>
  <c r="W14672" i="2"/>
  <c r="W14673" i="2"/>
  <c r="W14674" i="2"/>
  <c r="W14675" i="2"/>
  <c r="W14676" i="2"/>
  <c r="W14677" i="2"/>
  <c r="W14678" i="2"/>
  <c r="W14679" i="2"/>
  <c r="W14680" i="2"/>
  <c r="W14681" i="2"/>
  <c r="W14682" i="2"/>
  <c r="W14683" i="2"/>
  <c r="W14684" i="2"/>
  <c r="W14685" i="2"/>
  <c r="W14686" i="2"/>
  <c r="W14687" i="2"/>
  <c r="W14688" i="2"/>
  <c r="W14689" i="2"/>
  <c r="W14690" i="2"/>
  <c r="W14691" i="2"/>
  <c r="W14692" i="2"/>
  <c r="W14693" i="2"/>
  <c r="W14694" i="2"/>
  <c r="W14695" i="2"/>
  <c r="W14696" i="2"/>
  <c r="W14697" i="2"/>
  <c r="W14698" i="2"/>
  <c r="W14699" i="2"/>
  <c r="W14700" i="2"/>
  <c r="W14701" i="2"/>
  <c r="W14702" i="2"/>
  <c r="W14703" i="2"/>
  <c r="W14704" i="2"/>
  <c r="W14705" i="2"/>
  <c r="W14706" i="2"/>
  <c r="W14707" i="2"/>
  <c r="W14708" i="2"/>
  <c r="W14709" i="2"/>
  <c r="W14710" i="2"/>
  <c r="W14711" i="2"/>
  <c r="W14712" i="2"/>
  <c r="W14713" i="2"/>
  <c r="W14714" i="2"/>
  <c r="W14715" i="2"/>
  <c r="W14716" i="2"/>
  <c r="W14717" i="2"/>
  <c r="W14718" i="2"/>
  <c r="W14719" i="2"/>
  <c r="W14720" i="2"/>
  <c r="W14721" i="2"/>
  <c r="W14722" i="2"/>
  <c r="W14723" i="2"/>
  <c r="W14724" i="2"/>
  <c r="W14725" i="2"/>
  <c r="W14726" i="2"/>
  <c r="W14727" i="2"/>
  <c r="W14728" i="2"/>
  <c r="W14729" i="2"/>
  <c r="W14730" i="2"/>
  <c r="W14731" i="2"/>
  <c r="W14732" i="2"/>
  <c r="W14733" i="2"/>
  <c r="W14734" i="2"/>
  <c r="W14735" i="2"/>
  <c r="W14736" i="2"/>
  <c r="W14737" i="2"/>
  <c r="W14738" i="2"/>
  <c r="W14739" i="2"/>
  <c r="W14740" i="2"/>
  <c r="W14741" i="2"/>
  <c r="W14742" i="2"/>
  <c r="W14743" i="2"/>
  <c r="W14744" i="2"/>
  <c r="W14745" i="2"/>
  <c r="W14746" i="2"/>
  <c r="W14747" i="2"/>
  <c r="W14748" i="2"/>
  <c r="W14749" i="2"/>
  <c r="W14750" i="2"/>
  <c r="W14751" i="2"/>
  <c r="W14752" i="2"/>
  <c r="W14753" i="2"/>
  <c r="W14754" i="2"/>
  <c r="W14755" i="2"/>
  <c r="W14756" i="2"/>
  <c r="W14757" i="2"/>
  <c r="W14758" i="2"/>
  <c r="W14759" i="2"/>
  <c r="W14760" i="2"/>
  <c r="W14761" i="2"/>
  <c r="W14762" i="2"/>
  <c r="W14763" i="2"/>
  <c r="W14764" i="2"/>
  <c r="W14765" i="2"/>
  <c r="W14766" i="2"/>
  <c r="W14767" i="2"/>
  <c r="W14768" i="2"/>
  <c r="W14769" i="2"/>
  <c r="W14770" i="2"/>
  <c r="W14771" i="2"/>
  <c r="W14772" i="2"/>
  <c r="W14773" i="2"/>
  <c r="W14774" i="2"/>
  <c r="W14775" i="2"/>
  <c r="W14776" i="2"/>
  <c r="W14777" i="2"/>
  <c r="W14778" i="2"/>
  <c r="W14779" i="2"/>
  <c r="W14780" i="2"/>
  <c r="W14781" i="2"/>
  <c r="W14782" i="2"/>
  <c r="W14783" i="2"/>
  <c r="W14784" i="2"/>
  <c r="W14785" i="2"/>
  <c r="W14786" i="2"/>
  <c r="W14787" i="2"/>
  <c r="W14788" i="2"/>
  <c r="W14789" i="2"/>
  <c r="W14790" i="2"/>
  <c r="W14791" i="2"/>
  <c r="W14792" i="2"/>
  <c r="W14793" i="2"/>
  <c r="W14794" i="2"/>
  <c r="W14795" i="2"/>
  <c r="W14796" i="2"/>
  <c r="W14797" i="2"/>
  <c r="W14798" i="2"/>
  <c r="W14799" i="2"/>
  <c r="W14800" i="2"/>
  <c r="W14801" i="2"/>
  <c r="W14802" i="2"/>
  <c r="W14803" i="2"/>
  <c r="W14804" i="2"/>
  <c r="W14805" i="2"/>
  <c r="W14806" i="2"/>
  <c r="W14807" i="2"/>
  <c r="W14808" i="2"/>
  <c r="W14809" i="2"/>
  <c r="W14810" i="2"/>
  <c r="W14811" i="2"/>
  <c r="W14812" i="2"/>
  <c r="W14813" i="2"/>
  <c r="W14814" i="2"/>
  <c r="W14815" i="2"/>
  <c r="W14816" i="2"/>
  <c r="W14817" i="2"/>
  <c r="W14818" i="2"/>
  <c r="W14819" i="2"/>
  <c r="W14820" i="2"/>
  <c r="W14821" i="2"/>
  <c r="W14822" i="2"/>
  <c r="W14823" i="2"/>
  <c r="W14824" i="2"/>
  <c r="W14825" i="2"/>
  <c r="W14826" i="2"/>
  <c r="W14827" i="2"/>
  <c r="W14828" i="2"/>
  <c r="W14829" i="2"/>
  <c r="W14830" i="2"/>
  <c r="W14831" i="2"/>
  <c r="W14832" i="2"/>
  <c r="W14833" i="2"/>
  <c r="W14834" i="2"/>
  <c r="W14835" i="2"/>
  <c r="W14836" i="2"/>
  <c r="W14837" i="2"/>
  <c r="W14838" i="2"/>
  <c r="W14839" i="2"/>
  <c r="W14840" i="2"/>
  <c r="W14841" i="2"/>
  <c r="W14842" i="2"/>
  <c r="W14843" i="2"/>
  <c r="W14844" i="2"/>
  <c r="W14845" i="2"/>
  <c r="W14846" i="2"/>
  <c r="W14847" i="2"/>
  <c r="W14848" i="2"/>
  <c r="W14849" i="2"/>
  <c r="W14850" i="2"/>
  <c r="W14851" i="2"/>
  <c r="W14852" i="2"/>
  <c r="W14853" i="2"/>
  <c r="W14854" i="2"/>
  <c r="W14855" i="2"/>
  <c r="W14856" i="2"/>
  <c r="W14857" i="2"/>
  <c r="W14858" i="2"/>
  <c r="W14859" i="2"/>
  <c r="W14860" i="2"/>
  <c r="W14861" i="2"/>
  <c r="W14862" i="2"/>
  <c r="W14863" i="2"/>
  <c r="W14864" i="2"/>
  <c r="W14865" i="2"/>
  <c r="W14866" i="2"/>
  <c r="W14867" i="2"/>
  <c r="W14868" i="2"/>
  <c r="W14869" i="2"/>
  <c r="W14870" i="2"/>
  <c r="W14871" i="2"/>
  <c r="W14872" i="2"/>
  <c r="W14873" i="2"/>
  <c r="W14874" i="2"/>
  <c r="W14875" i="2"/>
  <c r="W14876" i="2"/>
  <c r="W14877" i="2"/>
  <c r="W14878" i="2"/>
  <c r="W14879" i="2"/>
  <c r="W14880" i="2"/>
  <c r="W14881" i="2"/>
  <c r="W14882" i="2"/>
  <c r="W14883" i="2"/>
  <c r="W14884" i="2"/>
  <c r="W14885" i="2"/>
  <c r="W14886" i="2"/>
  <c r="W14887" i="2"/>
  <c r="W14888" i="2"/>
  <c r="W14889" i="2"/>
  <c r="W14890" i="2"/>
  <c r="W14891" i="2"/>
  <c r="W14892" i="2"/>
  <c r="W14893" i="2"/>
  <c r="W14894" i="2"/>
  <c r="W14895" i="2"/>
  <c r="W14896" i="2"/>
  <c r="W14897" i="2"/>
  <c r="W14898" i="2"/>
  <c r="W14899" i="2"/>
  <c r="W14900" i="2"/>
  <c r="W14901" i="2"/>
  <c r="W14902" i="2"/>
  <c r="W14903" i="2"/>
  <c r="W14904" i="2"/>
  <c r="W14905" i="2"/>
  <c r="W14906" i="2"/>
  <c r="W14907" i="2"/>
  <c r="W14908" i="2"/>
  <c r="W14909" i="2"/>
  <c r="W14910" i="2"/>
  <c r="W14911" i="2"/>
  <c r="W14912" i="2"/>
  <c r="W14913" i="2"/>
  <c r="W14914" i="2"/>
  <c r="W14915" i="2"/>
  <c r="W14916" i="2"/>
  <c r="W14917" i="2"/>
  <c r="W14918" i="2"/>
  <c r="W14919" i="2"/>
  <c r="W14920" i="2"/>
  <c r="W14921" i="2"/>
  <c r="W14922" i="2"/>
  <c r="W14923" i="2"/>
  <c r="W14924" i="2"/>
  <c r="W14925" i="2"/>
  <c r="W14926" i="2"/>
  <c r="W14927" i="2"/>
  <c r="W14928" i="2"/>
  <c r="W14929" i="2"/>
  <c r="W14930" i="2"/>
  <c r="W14931" i="2"/>
  <c r="W14932" i="2"/>
  <c r="W14933" i="2"/>
  <c r="W14934" i="2"/>
  <c r="W14935" i="2"/>
  <c r="W14936" i="2"/>
  <c r="W14937" i="2"/>
  <c r="W14938" i="2"/>
  <c r="W14939" i="2"/>
  <c r="W14940" i="2"/>
  <c r="W14941" i="2"/>
  <c r="W14942" i="2"/>
  <c r="W14943" i="2"/>
  <c r="W14944" i="2"/>
  <c r="W14945" i="2"/>
  <c r="W14946" i="2"/>
  <c r="W14947" i="2"/>
  <c r="W14948" i="2"/>
  <c r="W14949" i="2"/>
  <c r="W14950" i="2"/>
  <c r="W14951" i="2"/>
  <c r="W14952" i="2"/>
  <c r="W14953" i="2"/>
  <c r="W14954" i="2"/>
  <c r="W14955" i="2"/>
  <c r="W14956" i="2"/>
  <c r="W14957" i="2"/>
  <c r="W14958" i="2"/>
  <c r="W14959" i="2"/>
  <c r="W14960" i="2"/>
  <c r="W14961" i="2"/>
  <c r="W14962" i="2"/>
  <c r="W14963" i="2"/>
  <c r="W14964" i="2"/>
  <c r="W14965" i="2"/>
  <c r="W14966" i="2"/>
  <c r="W14967" i="2"/>
  <c r="W14968" i="2"/>
  <c r="W14969" i="2"/>
  <c r="W14970" i="2"/>
  <c r="W14971" i="2"/>
  <c r="W14972" i="2"/>
  <c r="W14973" i="2"/>
  <c r="W14974" i="2"/>
  <c r="W14975" i="2"/>
  <c r="W14976" i="2"/>
  <c r="W14977" i="2"/>
  <c r="W14978" i="2"/>
  <c r="W14979" i="2"/>
  <c r="W14980" i="2"/>
  <c r="W14981" i="2"/>
  <c r="W14982" i="2"/>
  <c r="W14983" i="2"/>
  <c r="W14984" i="2"/>
  <c r="W14985" i="2"/>
  <c r="W14986" i="2"/>
  <c r="W14987" i="2"/>
  <c r="W14988" i="2"/>
  <c r="W14989" i="2"/>
  <c r="W14990" i="2"/>
  <c r="W14991" i="2"/>
  <c r="W14992" i="2"/>
  <c r="W14993" i="2"/>
  <c r="W14994" i="2"/>
  <c r="W14995" i="2"/>
  <c r="W14996" i="2"/>
  <c r="W14997" i="2"/>
  <c r="W14998" i="2"/>
  <c r="W14999" i="2"/>
  <c r="W15000" i="2"/>
  <c r="W3" i="2"/>
  <c r="J4" i="1" l="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3" i="1"/>
  <c r="H6" i="1" l="1"/>
  <c r="H7" i="1"/>
  <c r="H10" i="1"/>
  <c r="H14" i="1"/>
  <c r="H15" i="1"/>
  <c r="H18" i="1"/>
  <c r="H19" i="1"/>
  <c r="H22" i="1"/>
  <c r="H23" i="1"/>
  <c r="H26" i="1"/>
  <c r="H27" i="1"/>
  <c r="H30" i="1"/>
  <c r="H34" i="1"/>
  <c r="H35" i="1"/>
  <c r="H38" i="1"/>
  <c r="H39" i="1"/>
  <c r="H42" i="1"/>
  <c r="H46" i="1"/>
  <c r="H47" i="1"/>
  <c r="H50" i="1"/>
  <c r="H51" i="1"/>
  <c r="H54" i="1"/>
  <c r="H55" i="1"/>
  <c r="H58" i="1"/>
  <c r="H59" i="1"/>
  <c r="H62" i="1"/>
  <c r="H66" i="1"/>
  <c r="H67" i="1"/>
  <c r="H70" i="1"/>
  <c r="H71" i="1"/>
  <c r="H74" i="1"/>
  <c r="H78" i="1"/>
  <c r="H79" i="1"/>
  <c r="H82" i="1"/>
  <c r="H83" i="1"/>
  <c r="H86" i="1"/>
  <c r="H87" i="1"/>
  <c r="H90" i="1"/>
  <c r="H91" i="1"/>
  <c r="H94" i="1"/>
  <c r="H98" i="1"/>
  <c r="H99" i="1"/>
  <c r="H102" i="1"/>
  <c r="H103" i="1"/>
  <c r="H106" i="1"/>
  <c r="H110" i="1"/>
  <c r="H111" i="1"/>
  <c r="H114" i="1"/>
  <c r="H115" i="1"/>
  <c r="H118" i="1"/>
  <c r="H119" i="1"/>
  <c r="H122" i="1"/>
  <c r="H123" i="1"/>
  <c r="H126" i="1"/>
  <c r="H130" i="1"/>
  <c r="H131" i="1"/>
  <c r="H134" i="1"/>
  <c r="H135" i="1"/>
  <c r="H138" i="1"/>
  <c r="H142" i="1"/>
  <c r="H143" i="1"/>
  <c r="H146" i="1"/>
  <c r="H147" i="1"/>
  <c r="H150" i="1"/>
  <c r="H151" i="1"/>
  <c r="H154" i="1"/>
  <c r="H155" i="1"/>
  <c r="H158" i="1"/>
  <c r="H162" i="1"/>
  <c r="H163" i="1"/>
  <c r="H166" i="1"/>
  <c r="H167" i="1"/>
  <c r="H170" i="1"/>
  <c r="H174" i="1"/>
  <c r="H175" i="1"/>
  <c r="H178" i="1"/>
  <c r="H179" i="1"/>
  <c r="H182" i="1"/>
  <c r="H183" i="1"/>
  <c r="H186" i="1"/>
  <c r="H187" i="1"/>
  <c r="H190" i="1"/>
  <c r="H194" i="1"/>
  <c r="H195" i="1"/>
  <c r="H198" i="1"/>
  <c r="H199" i="1"/>
  <c r="H202" i="1"/>
  <c r="H206" i="1"/>
  <c r="H207" i="1"/>
  <c r="H210" i="1"/>
  <c r="H211" i="1"/>
  <c r="H214" i="1"/>
  <c r="H215" i="1"/>
  <c r="H218" i="1"/>
  <c r="H219" i="1"/>
  <c r="H222" i="1"/>
  <c r="H226" i="1"/>
  <c r="H227" i="1"/>
  <c r="H230" i="1"/>
  <c r="H231" i="1"/>
  <c r="H234" i="1"/>
  <c r="H238" i="1"/>
  <c r="H239" i="1"/>
  <c r="H242" i="1"/>
  <c r="H243" i="1"/>
  <c r="H246" i="1"/>
  <c r="H247" i="1"/>
  <c r="H250" i="1"/>
  <c r="H251" i="1"/>
  <c r="H254" i="1"/>
  <c r="H258" i="1"/>
  <c r="H259" i="1"/>
  <c r="H262" i="1"/>
  <c r="H263" i="1"/>
  <c r="H266" i="1"/>
  <c r="H270" i="1"/>
  <c r="H271" i="1"/>
  <c r="H274" i="1"/>
  <c r="H275" i="1"/>
  <c r="H278" i="1"/>
  <c r="H279" i="1"/>
  <c r="H282" i="1"/>
  <c r="H283" i="1"/>
  <c r="H286" i="1"/>
  <c r="H290" i="1"/>
  <c r="H291" i="1"/>
  <c r="H294" i="1"/>
  <c r="H295" i="1"/>
  <c r="H298" i="1"/>
  <c r="H302" i="1"/>
  <c r="H303" i="1"/>
  <c r="H306" i="1"/>
  <c r="H307" i="1"/>
  <c r="H310" i="1"/>
  <c r="H311" i="1"/>
  <c r="H314" i="1"/>
  <c r="H315" i="1"/>
  <c r="H318" i="1"/>
  <c r="H322" i="1"/>
  <c r="H323" i="1"/>
  <c r="H326" i="1"/>
  <c r="H327" i="1"/>
  <c r="H330" i="1"/>
  <c r="H334" i="1"/>
  <c r="H335" i="1"/>
  <c r="H338" i="1"/>
  <c r="H339" i="1"/>
  <c r="H342" i="1"/>
  <c r="H343" i="1"/>
  <c r="H346" i="1"/>
  <c r="H347" i="1"/>
  <c r="H350" i="1"/>
  <c r="H351" i="1"/>
  <c r="H354" i="1"/>
  <c r="H355" i="1"/>
  <c r="H358" i="1"/>
  <c r="H359" i="1"/>
  <c r="H362" i="1"/>
  <c r="H363" i="1"/>
  <c r="H366" i="1"/>
  <c r="H367" i="1"/>
  <c r="H370" i="1"/>
  <c r="H371" i="1"/>
  <c r="H374" i="1"/>
  <c r="H375" i="1"/>
  <c r="H378" i="1"/>
  <c r="H379" i="1"/>
  <c r="H382" i="1"/>
  <c r="H383" i="1"/>
  <c r="H386" i="1"/>
  <c r="H387" i="1"/>
  <c r="H390" i="1"/>
  <c r="H391" i="1"/>
  <c r="H394" i="1"/>
  <c r="H395" i="1"/>
  <c r="H398" i="1"/>
  <c r="H399" i="1"/>
  <c r="H402" i="1"/>
  <c r="H403" i="1"/>
  <c r="H406" i="1"/>
  <c r="H407" i="1"/>
  <c r="H410" i="1"/>
  <c r="H411" i="1"/>
  <c r="H414" i="1"/>
  <c r="H415" i="1"/>
  <c r="H418" i="1"/>
  <c r="H419" i="1"/>
  <c r="H422" i="1"/>
  <c r="H423" i="1"/>
  <c r="H426" i="1"/>
  <c r="H427" i="1"/>
  <c r="H430" i="1"/>
  <c r="H431" i="1"/>
  <c r="H434" i="1"/>
  <c r="H435" i="1"/>
  <c r="H438" i="1"/>
  <c r="H439" i="1"/>
  <c r="H442" i="1"/>
  <c r="H443" i="1"/>
  <c r="H446" i="1"/>
  <c r="H447" i="1"/>
  <c r="H450" i="1"/>
  <c r="H451" i="1"/>
  <c r="H454" i="1"/>
  <c r="H455" i="1"/>
  <c r="H458" i="1"/>
  <c r="H459" i="1"/>
  <c r="H462" i="1"/>
  <c r="H463" i="1"/>
  <c r="H466" i="1"/>
  <c r="H467" i="1"/>
  <c r="H470" i="1"/>
  <c r="H471" i="1"/>
  <c r="H474" i="1"/>
  <c r="H475" i="1"/>
  <c r="H478" i="1"/>
  <c r="H479" i="1"/>
  <c r="H482" i="1"/>
  <c r="H483" i="1"/>
  <c r="H486" i="1"/>
  <c r="H487" i="1"/>
  <c r="H490" i="1"/>
  <c r="H491" i="1"/>
  <c r="H494" i="1"/>
  <c r="H495" i="1"/>
  <c r="H498" i="1"/>
  <c r="H499" i="1"/>
  <c r="H502" i="1"/>
  <c r="H503" i="1"/>
  <c r="H506" i="1"/>
  <c r="H507" i="1"/>
  <c r="H510" i="1"/>
  <c r="H511" i="1"/>
  <c r="H514" i="1"/>
  <c r="H515" i="1"/>
  <c r="H518" i="1"/>
  <c r="H519" i="1"/>
  <c r="H522" i="1"/>
  <c r="H523" i="1"/>
  <c r="H526" i="1"/>
  <c r="H527" i="1"/>
  <c r="H530" i="1"/>
  <c r="H531" i="1"/>
  <c r="H534" i="1"/>
  <c r="H535" i="1"/>
  <c r="H538" i="1"/>
  <c r="H539" i="1"/>
  <c r="H542" i="1"/>
  <c r="H543" i="1"/>
  <c r="H546" i="1"/>
  <c r="H547" i="1"/>
  <c r="H550" i="1"/>
  <c r="H551" i="1"/>
  <c r="H554" i="1"/>
  <c r="H555" i="1"/>
  <c r="H558" i="1"/>
  <c r="H559" i="1"/>
  <c r="H562" i="1"/>
  <c r="H563" i="1"/>
  <c r="H566" i="1"/>
  <c r="H567" i="1"/>
  <c r="H570" i="1"/>
  <c r="H571" i="1"/>
  <c r="H574" i="1"/>
  <c r="H575" i="1"/>
  <c r="H578" i="1"/>
  <c r="H579" i="1"/>
  <c r="H582" i="1"/>
  <c r="H583" i="1"/>
  <c r="H586" i="1"/>
  <c r="H587" i="1"/>
  <c r="H590" i="1"/>
  <c r="H591" i="1"/>
  <c r="H594" i="1"/>
  <c r="H595" i="1"/>
  <c r="H598" i="1"/>
  <c r="H599" i="1"/>
  <c r="H602" i="1"/>
  <c r="H603" i="1"/>
  <c r="H606" i="1"/>
  <c r="H607" i="1"/>
  <c r="H610" i="1"/>
  <c r="H611" i="1"/>
  <c r="H614" i="1"/>
  <c r="H615" i="1"/>
  <c r="H618" i="1"/>
  <c r="H619" i="1"/>
  <c r="H622" i="1"/>
  <c r="H623" i="1"/>
  <c r="H626" i="1"/>
  <c r="H627" i="1"/>
  <c r="H630" i="1"/>
  <c r="H631" i="1"/>
  <c r="H634" i="1"/>
  <c r="H635" i="1"/>
  <c r="H638" i="1"/>
  <c r="H639" i="1"/>
  <c r="H642" i="1"/>
  <c r="H643" i="1"/>
  <c r="H646" i="1"/>
  <c r="H647" i="1"/>
  <c r="H650" i="1"/>
  <c r="H651" i="1"/>
  <c r="H654" i="1"/>
  <c r="H655" i="1"/>
  <c r="H658" i="1"/>
  <c r="H659" i="1"/>
  <c r="H662" i="1"/>
  <c r="H663" i="1"/>
  <c r="H666" i="1"/>
  <c r="H667" i="1"/>
  <c r="H670" i="1"/>
  <c r="H671" i="1"/>
  <c r="H674" i="1"/>
  <c r="H675" i="1"/>
  <c r="H678" i="1"/>
  <c r="H679" i="1"/>
  <c r="H682" i="1"/>
  <c r="H683" i="1"/>
  <c r="H686" i="1"/>
  <c r="H687" i="1"/>
  <c r="H690" i="1"/>
  <c r="H691" i="1"/>
  <c r="H694" i="1"/>
  <c r="H695" i="1"/>
  <c r="H698" i="1"/>
  <c r="H699" i="1"/>
  <c r="H702" i="1"/>
  <c r="H703" i="1"/>
  <c r="H706" i="1"/>
  <c r="H707" i="1"/>
  <c r="H710" i="1"/>
  <c r="H711" i="1"/>
  <c r="H714" i="1"/>
  <c r="H715" i="1"/>
  <c r="H718" i="1"/>
  <c r="H719" i="1"/>
  <c r="H722" i="1"/>
  <c r="H723" i="1"/>
  <c r="H726" i="1"/>
  <c r="H727" i="1"/>
  <c r="H730" i="1"/>
  <c r="H731" i="1"/>
  <c r="H734" i="1"/>
  <c r="H735" i="1"/>
  <c r="H738" i="1"/>
  <c r="H739" i="1"/>
  <c r="H742" i="1"/>
  <c r="H743" i="1"/>
  <c r="H746" i="1"/>
  <c r="H747" i="1"/>
  <c r="H750" i="1"/>
  <c r="H751" i="1"/>
  <c r="H754" i="1"/>
  <c r="H755" i="1"/>
  <c r="H758" i="1"/>
  <c r="H759" i="1"/>
  <c r="H762" i="1"/>
  <c r="H763" i="1"/>
  <c r="H766" i="1"/>
  <c r="H767" i="1"/>
  <c r="H770" i="1"/>
  <c r="H771" i="1"/>
  <c r="H774" i="1"/>
  <c r="H775" i="1"/>
  <c r="H778" i="1"/>
  <c r="H779" i="1"/>
  <c r="H782" i="1"/>
  <c r="H783" i="1"/>
  <c r="H786" i="1"/>
  <c r="H787" i="1"/>
  <c r="H790" i="1"/>
  <c r="H791" i="1"/>
  <c r="H794" i="1"/>
  <c r="H795" i="1"/>
  <c r="H798" i="1"/>
  <c r="H799" i="1"/>
  <c r="H802" i="1"/>
  <c r="H803" i="1"/>
  <c r="H806" i="1"/>
  <c r="H807" i="1"/>
  <c r="H810" i="1"/>
  <c r="H811" i="1"/>
  <c r="H814" i="1"/>
  <c r="H815" i="1"/>
  <c r="H818" i="1"/>
  <c r="H819" i="1"/>
  <c r="H822" i="1"/>
  <c r="H823" i="1"/>
  <c r="H826" i="1"/>
  <c r="H827" i="1"/>
  <c r="H830" i="1"/>
  <c r="H831" i="1"/>
  <c r="H834" i="1"/>
  <c r="H835" i="1"/>
  <c r="H838" i="1"/>
  <c r="H839" i="1"/>
  <c r="H842" i="1"/>
  <c r="H843" i="1"/>
  <c r="H846" i="1"/>
  <c r="H847" i="1"/>
  <c r="H850" i="1"/>
  <c r="H851" i="1"/>
  <c r="H854" i="1"/>
  <c r="H855" i="1"/>
  <c r="H858" i="1"/>
  <c r="H859" i="1"/>
  <c r="H862" i="1"/>
  <c r="H863" i="1"/>
  <c r="H866" i="1"/>
  <c r="H867" i="1"/>
  <c r="H870" i="1"/>
  <c r="H871" i="1"/>
  <c r="H874" i="1"/>
  <c r="H875" i="1"/>
  <c r="H878" i="1"/>
  <c r="H879" i="1"/>
  <c r="H882" i="1"/>
  <c r="H883" i="1"/>
  <c r="H886" i="1"/>
  <c r="H887" i="1"/>
  <c r="H890" i="1"/>
  <c r="H891" i="1"/>
  <c r="H894" i="1"/>
  <c r="H895" i="1"/>
  <c r="H898" i="1"/>
  <c r="H899" i="1"/>
  <c r="H902" i="1"/>
  <c r="H903" i="1"/>
  <c r="H906" i="1"/>
  <c r="H907" i="1"/>
  <c r="H910" i="1"/>
  <c r="H911" i="1"/>
  <c r="H914" i="1"/>
  <c r="H915" i="1"/>
  <c r="H918" i="1"/>
  <c r="H919" i="1"/>
  <c r="H922" i="1"/>
  <c r="H923" i="1"/>
  <c r="H926" i="1"/>
  <c r="H927" i="1"/>
  <c r="H930" i="1"/>
  <c r="H931" i="1"/>
  <c r="H934" i="1"/>
  <c r="H935" i="1"/>
  <c r="H938" i="1"/>
  <c r="H939" i="1"/>
  <c r="H942" i="1"/>
  <c r="H946" i="1"/>
  <c r="H950" i="1"/>
  <c r="H951" i="1"/>
  <c r="H954" i="1"/>
  <c r="H955" i="1"/>
  <c r="H958" i="1"/>
  <c r="H962" i="1"/>
  <c r="H966" i="1"/>
  <c r="H967" i="1"/>
  <c r="H970" i="1"/>
  <c r="H971" i="1"/>
  <c r="H974" i="1"/>
  <c r="H978" i="1"/>
  <c r="H982" i="1"/>
  <c r="H983" i="1"/>
  <c r="H986" i="1"/>
  <c r="H987" i="1"/>
  <c r="H990" i="1"/>
  <c r="H994" i="1"/>
  <c r="H998" i="1"/>
  <c r="H999" i="1"/>
  <c r="H1002" i="1"/>
  <c r="H1003" i="1"/>
  <c r="H1006" i="1"/>
  <c r="H1010" i="1"/>
  <c r="H1014" i="1"/>
  <c r="H1015" i="1"/>
  <c r="H1018" i="1"/>
  <c r="H1019" i="1"/>
  <c r="H1022" i="1"/>
  <c r="H1026" i="1"/>
  <c r="H1030" i="1"/>
  <c r="H1031" i="1"/>
  <c r="H1034" i="1"/>
  <c r="H1035" i="1"/>
  <c r="H1038" i="1"/>
  <c r="H1042" i="1"/>
  <c r="H1046" i="1"/>
  <c r="H1047" i="1"/>
  <c r="H1050" i="1"/>
  <c r="H1051" i="1"/>
  <c r="H1054" i="1"/>
  <c r="H1058" i="1"/>
  <c r="H1062" i="1"/>
  <c r="H1063" i="1"/>
  <c r="H1066" i="1"/>
  <c r="H1067" i="1"/>
  <c r="H1070" i="1"/>
  <c r="H1074" i="1"/>
  <c r="H1078" i="1"/>
  <c r="H1079" i="1"/>
  <c r="H1082" i="1"/>
  <c r="H1083" i="1"/>
  <c r="H1086" i="1"/>
  <c r="H1090" i="1"/>
  <c r="H1094" i="1"/>
  <c r="H1095" i="1"/>
  <c r="H1098" i="1"/>
  <c r="H1099" i="1"/>
  <c r="H1102" i="1"/>
  <c r="H1106" i="1"/>
  <c r="H1110" i="1"/>
  <c r="H1111" i="1"/>
  <c r="H1114" i="1"/>
  <c r="H1115" i="1"/>
  <c r="H1118" i="1"/>
  <c r="H1122" i="1"/>
  <c r="H1126" i="1"/>
  <c r="H1127" i="1"/>
  <c r="H1130" i="1"/>
  <c r="H1131" i="1"/>
  <c r="H1134" i="1"/>
  <c r="H1138" i="1"/>
  <c r="H1142" i="1"/>
  <c r="H1143" i="1"/>
  <c r="H1146" i="1"/>
  <c r="H1147" i="1"/>
  <c r="H1150" i="1"/>
  <c r="H1154" i="1"/>
  <c r="H1158" i="1"/>
  <c r="H1159" i="1"/>
  <c r="H1162" i="1"/>
  <c r="H1163" i="1"/>
  <c r="H1166" i="1"/>
  <c r="H1170" i="1"/>
  <c r="H1174" i="1"/>
  <c r="H1175" i="1"/>
  <c r="H1178" i="1"/>
  <c r="H1179" i="1"/>
  <c r="H1182" i="1"/>
  <c r="H1186" i="1"/>
  <c r="H1190" i="1"/>
  <c r="H1191" i="1"/>
  <c r="H1194" i="1"/>
  <c r="H1195" i="1"/>
  <c r="H1198" i="1"/>
  <c r="H1202" i="1"/>
  <c r="H1206" i="1"/>
  <c r="H1207" i="1"/>
  <c r="H1210" i="1"/>
  <c r="H1211" i="1"/>
  <c r="H1214" i="1"/>
  <c r="H1218" i="1"/>
  <c r="H1222" i="1"/>
  <c r="H1223" i="1"/>
  <c r="H1226" i="1"/>
  <c r="H1227" i="1"/>
  <c r="H1230" i="1"/>
  <c r="H1234" i="1"/>
  <c r="H1238" i="1"/>
  <c r="H1239" i="1"/>
  <c r="H1242" i="1"/>
  <c r="H1243" i="1"/>
  <c r="H1246" i="1"/>
  <c r="H1250" i="1"/>
  <c r="H1254" i="1"/>
  <c r="H1255" i="1"/>
  <c r="H1258" i="1"/>
  <c r="H1259" i="1"/>
  <c r="H1262" i="1"/>
  <c r="H1266" i="1"/>
  <c r="H1270" i="1"/>
  <c r="H1271" i="1"/>
  <c r="H1274" i="1"/>
  <c r="H1275" i="1"/>
  <c r="H1278" i="1"/>
  <c r="H1282" i="1"/>
  <c r="H1286" i="1"/>
  <c r="H1287" i="1"/>
  <c r="H1290" i="1"/>
  <c r="H1291" i="1"/>
  <c r="H1294" i="1"/>
  <c r="H1298" i="1"/>
  <c r="H1302" i="1"/>
  <c r="H1303" i="1"/>
  <c r="H1306" i="1"/>
  <c r="H1307" i="1"/>
  <c r="H1310" i="1"/>
  <c r="H1314" i="1"/>
  <c r="H1318" i="1"/>
  <c r="H1319" i="1"/>
  <c r="H1322" i="1"/>
  <c r="H1323" i="1"/>
  <c r="H1326" i="1"/>
  <c r="H1330" i="1"/>
  <c r="H1334" i="1"/>
  <c r="H1335" i="1"/>
  <c r="H1338" i="1"/>
  <c r="H1339" i="1"/>
  <c r="H1342" i="1"/>
  <c r="H1346" i="1"/>
  <c r="H1350" i="1"/>
  <c r="H1351" i="1"/>
  <c r="H1354" i="1"/>
  <c r="H1355" i="1"/>
  <c r="H1358" i="1"/>
  <c r="H1362" i="1"/>
  <c r="H1366" i="1"/>
  <c r="H1367" i="1"/>
  <c r="H1370" i="1"/>
  <c r="H1371" i="1"/>
  <c r="H1374" i="1"/>
  <c r="H1378" i="1"/>
  <c r="H1382" i="1"/>
  <c r="H1383" i="1"/>
  <c r="H1386" i="1"/>
  <c r="H1387" i="1"/>
  <c r="H1390" i="1"/>
  <c r="H1394" i="1"/>
  <c r="H1398" i="1"/>
  <c r="H1399" i="1"/>
  <c r="H1402" i="1"/>
  <c r="H1403" i="1"/>
  <c r="H1406" i="1"/>
  <c r="H1410" i="1"/>
  <c r="H1414" i="1"/>
  <c r="H1415" i="1"/>
  <c r="H1418" i="1"/>
  <c r="H1419" i="1"/>
  <c r="H1422" i="1"/>
  <c r="H1426" i="1"/>
  <c r="H1430" i="1"/>
  <c r="H1431" i="1"/>
  <c r="H1434" i="1"/>
  <c r="H1435" i="1"/>
  <c r="H1438" i="1"/>
  <c r="H1442" i="1"/>
  <c r="H1446" i="1"/>
  <c r="H1447" i="1"/>
  <c r="H1450" i="1"/>
  <c r="H1451" i="1"/>
  <c r="H1454" i="1"/>
  <c r="H1458" i="1"/>
  <c r="H1462" i="1"/>
  <c r="H1463" i="1"/>
  <c r="H1466" i="1"/>
  <c r="H1467" i="1"/>
  <c r="H1470" i="1"/>
  <c r="H1474" i="1"/>
  <c r="H1478" i="1"/>
  <c r="H1479" i="1"/>
  <c r="H1482" i="1"/>
  <c r="H1483" i="1"/>
  <c r="H1486" i="1"/>
  <c r="H1490" i="1"/>
  <c r="H1494" i="1"/>
  <c r="H1495" i="1"/>
  <c r="H1498" i="1"/>
  <c r="H1499" i="1"/>
  <c r="H1502" i="1"/>
  <c r="H1506" i="1"/>
  <c r="H1510" i="1"/>
  <c r="H1511" i="1"/>
  <c r="H1514" i="1"/>
  <c r="H1515" i="1"/>
  <c r="H1518" i="1"/>
  <c r="H1522" i="1"/>
  <c r="H1526" i="1"/>
  <c r="H1527" i="1"/>
  <c r="H1530" i="1"/>
  <c r="H1531" i="1"/>
  <c r="H1534" i="1"/>
  <c r="H1538" i="1"/>
  <c r="H1542" i="1"/>
  <c r="H1543" i="1"/>
  <c r="H1546" i="1"/>
  <c r="H1547" i="1"/>
  <c r="H1550" i="1"/>
  <c r="H1554" i="1"/>
  <c r="H1558" i="1"/>
  <c r="H1559" i="1"/>
  <c r="H1562" i="1"/>
  <c r="H1563" i="1"/>
  <c r="H1566" i="1"/>
  <c r="H1570" i="1"/>
  <c r="H1574" i="1"/>
  <c r="H1575" i="1"/>
  <c r="H1578" i="1"/>
  <c r="H1579" i="1"/>
  <c r="H1582" i="1"/>
  <c r="H1586" i="1"/>
  <c r="H1590" i="1"/>
  <c r="H1591" i="1"/>
  <c r="H1594" i="1"/>
  <c r="H1595" i="1"/>
  <c r="H1598" i="1"/>
  <c r="H3285" i="1"/>
  <c r="H3286" i="1"/>
  <c r="H3287" i="1"/>
  <c r="H3289" i="1"/>
  <c r="H3291" i="1"/>
  <c r="H3293" i="1"/>
  <c r="H3294" i="1"/>
  <c r="H3295" i="1"/>
  <c r="H3297" i="1"/>
  <c r="H3299" i="1"/>
  <c r="H3301" i="1"/>
  <c r="H3302" i="1"/>
  <c r="H3303" i="1"/>
  <c r="H3305" i="1"/>
  <c r="H3306" i="1"/>
  <c r="H3307" i="1"/>
  <c r="H3309" i="1"/>
  <c r="H3311" i="1"/>
  <c r="H3313" i="1"/>
  <c r="H3317" i="1"/>
  <c r="H3318" i="1"/>
  <c r="H3319" i="1"/>
  <c r="H3321" i="1"/>
  <c r="H3323" i="1"/>
  <c r="H3325" i="1"/>
  <c r="H3326" i="1"/>
  <c r="H3327" i="1"/>
  <c r="H3329" i="1"/>
  <c r="H3331" i="1"/>
  <c r="H3333" i="1"/>
  <c r="H3334" i="1"/>
  <c r="H3335" i="1"/>
  <c r="H3337" i="1"/>
  <c r="H3338" i="1"/>
  <c r="H3339" i="1"/>
  <c r="H3341" i="1"/>
  <c r="H3343" i="1"/>
  <c r="H3345" i="1"/>
  <c r="H3349" i="1"/>
  <c r="H3350" i="1"/>
  <c r="H3351" i="1"/>
  <c r="H3353" i="1"/>
  <c r="H3355" i="1"/>
  <c r="H3357" i="1"/>
  <c r="H3358" i="1"/>
  <c r="H3359" i="1"/>
  <c r="H3361" i="1"/>
  <c r="H3363" i="1"/>
  <c r="H3365" i="1"/>
  <c r="H3366" i="1"/>
  <c r="H3367" i="1"/>
  <c r="H3369" i="1"/>
  <c r="H3370" i="1"/>
  <c r="H3371" i="1"/>
  <c r="H3373" i="1"/>
  <c r="H3375" i="1"/>
  <c r="H3377" i="1"/>
  <c r="H3381" i="1"/>
  <c r="H3382" i="1"/>
  <c r="H3383" i="1"/>
  <c r="H3385" i="1"/>
  <c r="H3387" i="1"/>
  <c r="H3389" i="1"/>
  <c r="H3390" i="1"/>
  <c r="H3391" i="1"/>
  <c r="H3393" i="1"/>
  <c r="H3395" i="1"/>
  <c r="H3397" i="1"/>
  <c r="H3398" i="1"/>
  <c r="H3399" i="1"/>
  <c r="H3401" i="1"/>
  <c r="H3402" i="1"/>
  <c r="H3403" i="1"/>
  <c r="H3405" i="1"/>
  <c r="H3407" i="1"/>
  <c r="H3409" i="1"/>
  <c r="H3413" i="1"/>
  <c r="H3414" i="1"/>
  <c r="H3415" i="1"/>
  <c r="H3417" i="1"/>
  <c r="H3419" i="1"/>
  <c r="H3421" i="1"/>
  <c r="H3422" i="1"/>
  <c r="H3423" i="1"/>
  <c r="H3425" i="1"/>
  <c r="H3427" i="1"/>
  <c r="H3429" i="1"/>
  <c r="H3430" i="1"/>
  <c r="H3431" i="1"/>
  <c r="H3433" i="1"/>
  <c r="H3434" i="1"/>
  <c r="H3435" i="1"/>
  <c r="H3437" i="1"/>
  <c r="H3439" i="1"/>
  <c r="H3441" i="1"/>
  <c r="H3445" i="1"/>
  <c r="H3446" i="1"/>
  <c r="H3447" i="1"/>
  <c r="H3449" i="1"/>
  <c r="H3451" i="1"/>
  <c r="H3453" i="1"/>
  <c r="H3454" i="1"/>
  <c r="H3455" i="1"/>
  <c r="H3457" i="1"/>
  <c r="H3459" i="1"/>
  <c r="H3461" i="1"/>
  <c r="H3462" i="1"/>
  <c r="H3463" i="1"/>
  <c r="H3465" i="1"/>
  <c r="H3466" i="1"/>
  <c r="H3467" i="1"/>
  <c r="H3469" i="1"/>
  <c r="H3471" i="1"/>
  <c r="H3473" i="1"/>
  <c r="H3477" i="1"/>
  <c r="H3478" i="1"/>
  <c r="H3479" i="1"/>
  <c r="H3481" i="1"/>
  <c r="H3483" i="1"/>
  <c r="H3485" i="1"/>
  <c r="H3486" i="1"/>
  <c r="H3487" i="1"/>
  <c r="H3489" i="1"/>
  <c r="H3491" i="1"/>
  <c r="H3493" i="1"/>
  <c r="H3494" i="1"/>
  <c r="H3495" i="1"/>
  <c r="H3497" i="1"/>
  <c r="H3498" i="1"/>
  <c r="H3499" i="1"/>
  <c r="H3501" i="1"/>
  <c r="H3503" i="1"/>
  <c r="H3505" i="1"/>
  <c r="H3509" i="1"/>
  <c r="H3510" i="1"/>
  <c r="H3511" i="1"/>
  <c r="H3513" i="1"/>
  <c r="H3515" i="1"/>
  <c r="H3517" i="1"/>
  <c r="H3518" i="1"/>
  <c r="H3519" i="1"/>
  <c r="H3521" i="1"/>
  <c r="H3523" i="1"/>
  <c r="H3525" i="1"/>
  <c r="H3526" i="1"/>
  <c r="H3527" i="1"/>
  <c r="H3529" i="1"/>
  <c r="H3530" i="1"/>
  <c r="H3531" i="1"/>
  <c r="H3533" i="1"/>
  <c r="H3535" i="1"/>
  <c r="H3537" i="1"/>
  <c r="H3541" i="1"/>
  <c r="H3542" i="1"/>
  <c r="H3543" i="1"/>
  <c r="H3545" i="1"/>
  <c r="H3547" i="1"/>
  <c r="H3549" i="1"/>
  <c r="H3550" i="1"/>
  <c r="H3551" i="1"/>
  <c r="H3553" i="1"/>
  <c r="H3555" i="1"/>
  <c r="H3557" i="1"/>
  <c r="H3558" i="1"/>
  <c r="H3559" i="1"/>
  <c r="H3561" i="1"/>
  <c r="H3562" i="1"/>
  <c r="H3563" i="1"/>
  <c r="H3565" i="1"/>
  <c r="H3567" i="1"/>
  <c r="H3569" i="1"/>
  <c r="H3573" i="1"/>
  <c r="H3574" i="1"/>
  <c r="H3575" i="1"/>
  <c r="H3577" i="1"/>
  <c r="H3579" i="1"/>
  <c r="H3581" i="1"/>
  <c r="H3582" i="1"/>
  <c r="H3583" i="1"/>
  <c r="H3585" i="1"/>
  <c r="H3587" i="1"/>
  <c r="H3589" i="1"/>
  <c r="H3590" i="1"/>
  <c r="H3591" i="1"/>
  <c r="H3593" i="1"/>
  <c r="H3594" i="1"/>
  <c r="H3595" i="1"/>
  <c r="H3597" i="1"/>
  <c r="H3599" i="1"/>
  <c r="H3601" i="1"/>
  <c r="H3605" i="1"/>
  <c r="H3606" i="1"/>
  <c r="H3607" i="1"/>
  <c r="H3609" i="1"/>
  <c r="H3611" i="1"/>
  <c r="H3613" i="1"/>
  <c r="H3614" i="1"/>
  <c r="H3615" i="1"/>
  <c r="H3617" i="1"/>
  <c r="H3619" i="1"/>
  <c r="H3621" i="1"/>
  <c r="H3622" i="1"/>
  <c r="H3623" i="1"/>
  <c r="H3625" i="1"/>
  <c r="H3626" i="1"/>
  <c r="H3630" i="1"/>
  <c r="H3631" i="1"/>
  <c r="H3634" i="1"/>
  <c r="H3638" i="1"/>
  <c r="H3641" i="1"/>
  <c r="H3642" i="1"/>
  <c r="H3643" i="1"/>
  <c r="H3646" i="1"/>
  <c r="H3647" i="1"/>
  <c r="H3650" i="1"/>
  <c r="H3651" i="1"/>
  <c r="H3654" i="1"/>
  <c r="H3655" i="1"/>
  <c r="H3657" i="1"/>
  <c r="H3658" i="1"/>
  <c r="H3662" i="1"/>
  <c r="H3663" i="1"/>
  <c r="H3666" i="1"/>
  <c r="H3670" i="1"/>
  <c r="H3673" i="1"/>
  <c r="H3674" i="1"/>
  <c r="H3675" i="1"/>
  <c r="H3678" i="1"/>
  <c r="H3679" i="1"/>
  <c r="H3682" i="1"/>
  <c r="H3683" i="1"/>
  <c r="H3686" i="1"/>
  <c r="H3687" i="1"/>
  <c r="H3689" i="1"/>
  <c r="H3690" i="1"/>
  <c r="H3694" i="1"/>
  <c r="H3695" i="1"/>
  <c r="H3698" i="1"/>
  <c r="H3702" i="1"/>
  <c r="H3705" i="1"/>
  <c r="H3706" i="1"/>
  <c r="H3707" i="1"/>
  <c r="H3710" i="1"/>
  <c r="H3711" i="1"/>
  <c r="H3714" i="1"/>
  <c r="H3715" i="1"/>
  <c r="H3718" i="1"/>
  <c r="H3719" i="1"/>
  <c r="H3721" i="1"/>
  <c r="H3722" i="1"/>
  <c r="H3726" i="1"/>
  <c r="H3727" i="1"/>
  <c r="H3730" i="1"/>
  <c r="H3734" i="1"/>
  <c r="H3737" i="1"/>
  <c r="H3738" i="1"/>
  <c r="H3739" i="1"/>
  <c r="H3742" i="1"/>
  <c r="H3743" i="1"/>
  <c r="H3746" i="1"/>
  <c r="H3747" i="1"/>
  <c r="H3750" i="1"/>
  <c r="H3751" i="1"/>
  <c r="H3753" i="1"/>
  <c r="H3754" i="1"/>
  <c r="H3758" i="1"/>
  <c r="H3759" i="1"/>
  <c r="H3762" i="1"/>
  <c r="H3766" i="1"/>
  <c r="H3769" i="1"/>
  <c r="H3770" i="1"/>
  <c r="H3771" i="1"/>
  <c r="H3774" i="1"/>
  <c r="H3775" i="1"/>
  <c r="H3778" i="1"/>
  <c r="H3779" i="1"/>
  <c r="H3782" i="1"/>
  <c r="H3783" i="1"/>
  <c r="H3785" i="1"/>
  <c r="H3786" i="1"/>
  <c r="H3790" i="1"/>
  <c r="H3791" i="1"/>
  <c r="H3794" i="1"/>
  <c r="H3798" i="1"/>
  <c r="H3801" i="1"/>
  <c r="H3802" i="1"/>
  <c r="H3803" i="1"/>
  <c r="H3806" i="1"/>
  <c r="H3807" i="1"/>
  <c r="H3810" i="1"/>
  <c r="H3811" i="1"/>
  <c r="H3814" i="1"/>
  <c r="H3815" i="1"/>
  <c r="H3817" i="1"/>
  <c r="H3818" i="1"/>
  <c r="H3822" i="1"/>
  <c r="H3823" i="1"/>
  <c r="H3826" i="1"/>
  <c r="H3830" i="1"/>
  <c r="H3833" i="1"/>
  <c r="H3834" i="1"/>
  <c r="H3835" i="1"/>
  <c r="H3838" i="1"/>
  <c r="H3839" i="1"/>
  <c r="H3842" i="1"/>
  <c r="H3843" i="1"/>
  <c r="H3846" i="1"/>
  <c r="H3847" i="1"/>
  <c r="H3849" i="1"/>
  <c r="H3850" i="1"/>
  <c r="H3854" i="1"/>
  <c r="H3855" i="1"/>
  <c r="H3858" i="1"/>
  <c r="H3862" i="1"/>
  <c r="H3865" i="1"/>
  <c r="H3866" i="1"/>
  <c r="H3867" i="1"/>
  <c r="H3870" i="1"/>
  <c r="H3871" i="1"/>
  <c r="H3874" i="1"/>
  <c r="H3875" i="1"/>
  <c r="H3878" i="1"/>
  <c r="H3879" i="1"/>
  <c r="H3881" i="1"/>
  <c r="H3882" i="1"/>
  <c r="H3886" i="1"/>
  <c r="H3887" i="1"/>
  <c r="H3890" i="1"/>
  <c r="H3894" i="1"/>
  <c r="H3897" i="1"/>
  <c r="H3898" i="1"/>
  <c r="H3899" i="1"/>
  <c r="H3902" i="1"/>
  <c r="H3903" i="1"/>
  <c r="H3906" i="1"/>
  <c r="H3907" i="1"/>
  <c r="H3910" i="1"/>
  <c r="H3911" i="1"/>
  <c r="H3913" i="1"/>
  <c r="H3914" i="1"/>
  <c r="H3918" i="1"/>
  <c r="H3919" i="1"/>
  <c r="H3922" i="1"/>
  <c r="H3926" i="1"/>
  <c r="H3929" i="1"/>
  <c r="H3930" i="1"/>
  <c r="H3931" i="1"/>
  <c r="H3934" i="1"/>
  <c r="H3935" i="1"/>
  <c r="H3938" i="1"/>
  <c r="H3939" i="1"/>
  <c r="H3942" i="1"/>
  <c r="H3943" i="1"/>
  <c r="H3945" i="1"/>
  <c r="H3946" i="1"/>
  <c r="H3950" i="1"/>
  <c r="H3951" i="1"/>
  <c r="H3954" i="1"/>
  <c r="H3958" i="1"/>
  <c r="H3961" i="1"/>
  <c r="H3962" i="1"/>
  <c r="H3963" i="1"/>
  <c r="H3966" i="1"/>
  <c r="H3967" i="1"/>
  <c r="H3970" i="1"/>
  <c r="H3971" i="1"/>
  <c r="H3974" i="1"/>
  <c r="H3975" i="1"/>
  <c r="H3977" i="1"/>
  <c r="H3978" i="1"/>
  <c r="H3982" i="1"/>
  <c r="H3983" i="1"/>
  <c r="H3986" i="1"/>
  <c r="H3990" i="1"/>
  <c r="H3993" i="1"/>
  <c r="H3994" i="1"/>
  <c r="H3995" i="1"/>
  <c r="H3998" i="1"/>
  <c r="H3999" i="1"/>
  <c r="H4002" i="1"/>
  <c r="H4003" i="1"/>
  <c r="H4006" i="1"/>
  <c r="H4007" i="1"/>
  <c r="H4009" i="1"/>
  <c r="H4010" i="1"/>
  <c r="H4014" i="1"/>
  <c r="H4015" i="1"/>
  <c r="H4018" i="1"/>
  <c r="H4022" i="1"/>
  <c r="H4025" i="1"/>
  <c r="H4026" i="1"/>
  <c r="H4027" i="1"/>
  <c r="H4030" i="1"/>
  <c r="H4031" i="1"/>
  <c r="H4034" i="1"/>
  <c r="H4035" i="1"/>
  <c r="H4038" i="1"/>
  <c r="H4039" i="1"/>
  <c r="H4041" i="1"/>
  <c r="H4042" i="1"/>
  <c r="H4046" i="1"/>
  <c r="H4047" i="1"/>
  <c r="H4050" i="1"/>
  <c r="H4054" i="1"/>
  <c r="H4057" i="1"/>
  <c r="H4058" i="1"/>
  <c r="H4059" i="1"/>
  <c r="H4062" i="1"/>
  <c r="H4063" i="1"/>
  <c r="H4066" i="1"/>
  <c r="H4067" i="1"/>
  <c r="H4070" i="1"/>
  <c r="H4071" i="1"/>
  <c r="H4073" i="1"/>
  <c r="H4074" i="1"/>
  <c r="H4078" i="1"/>
  <c r="H4079" i="1"/>
  <c r="H4082" i="1"/>
  <c r="H4086" i="1"/>
  <c r="H4089" i="1"/>
  <c r="H4090" i="1"/>
  <c r="H4091" i="1"/>
  <c r="H4094" i="1"/>
  <c r="H4095" i="1"/>
  <c r="H4098" i="1"/>
  <c r="H4099" i="1"/>
  <c r="H4102" i="1"/>
  <c r="H4103" i="1"/>
  <c r="H4105" i="1"/>
  <c r="H4106" i="1"/>
  <c r="H4110" i="1"/>
  <c r="H4111" i="1"/>
  <c r="H4114" i="1"/>
  <c r="H4118" i="1"/>
  <c r="H4121" i="1"/>
  <c r="H4122" i="1"/>
  <c r="H4123" i="1"/>
  <c r="H4126" i="1"/>
  <c r="H4127" i="1"/>
  <c r="H4130" i="1"/>
  <c r="H4131" i="1"/>
  <c r="H4134" i="1"/>
  <c r="H4135" i="1"/>
  <c r="H4138" i="1"/>
  <c r="H4139" i="1"/>
  <c r="H4142" i="1"/>
  <c r="H4143" i="1"/>
  <c r="H4146" i="1"/>
  <c r="H4147" i="1"/>
  <c r="H4150" i="1"/>
  <c r="H4151" i="1"/>
  <c r="H4154" i="1"/>
  <c r="H4155" i="1"/>
  <c r="H4158" i="1"/>
  <c r="H4159" i="1"/>
  <c r="H4162" i="1"/>
  <c r="H4163" i="1"/>
  <c r="H4166" i="1"/>
  <c r="H4167" i="1"/>
  <c r="H4170" i="1"/>
  <c r="H4171" i="1"/>
  <c r="H4174" i="1"/>
  <c r="H4175" i="1"/>
  <c r="H4178" i="1"/>
  <c r="H4179" i="1"/>
  <c r="H4182" i="1"/>
  <c r="H4183" i="1"/>
  <c r="H4186" i="1"/>
  <c r="H4187" i="1"/>
  <c r="H4190" i="1"/>
  <c r="H4191" i="1"/>
  <c r="H4194" i="1"/>
  <c r="H4195" i="1"/>
  <c r="H4198" i="1"/>
  <c r="H4199" i="1"/>
  <c r="H4202" i="1"/>
  <c r="H4203" i="1"/>
  <c r="H4206" i="1"/>
  <c r="H4207" i="1"/>
  <c r="H4210" i="1"/>
  <c r="H4211" i="1"/>
  <c r="H4214" i="1"/>
  <c r="H4215" i="1"/>
  <c r="H4218" i="1"/>
  <c r="H4219" i="1"/>
  <c r="H4222" i="1"/>
  <c r="H4223" i="1"/>
  <c r="H4226" i="1"/>
  <c r="H4227" i="1"/>
  <c r="H4230" i="1"/>
  <c r="H4231" i="1"/>
  <c r="H4234" i="1"/>
  <c r="H4235" i="1"/>
  <c r="H4238" i="1"/>
  <c r="H4239" i="1"/>
  <c r="H4242" i="1"/>
  <c r="H4243" i="1"/>
  <c r="H4246" i="1"/>
  <c r="H4247" i="1"/>
  <c r="H4250" i="1"/>
  <c r="H4251" i="1"/>
  <c r="H4254" i="1"/>
  <c r="H4255" i="1"/>
  <c r="H4258" i="1"/>
  <c r="H4259" i="1"/>
  <c r="H4262" i="1"/>
  <c r="H4263" i="1"/>
  <c r="H4266" i="1"/>
  <c r="H4267" i="1"/>
  <c r="H4270" i="1"/>
  <c r="H4271" i="1"/>
  <c r="H4274" i="1"/>
  <c r="H4275" i="1"/>
  <c r="H4278" i="1"/>
  <c r="H4279" i="1"/>
  <c r="H4282" i="1"/>
  <c r="H4283" i="1"/>
  <c r="H4286" i="1"/>
  <c r="H4287" i="1"/>
  <c r="H4290" i="1"/>
  <c r="H4291" i="1"/>
  <c r="H4294" i="1"/>
  <c r="H4295" i="1"/>
  <c r="H4298" i="1"/>
  <c r="H4299" i="1"/>
  <c r="H4302" i="1"/>
  <c r="H4303" i="1"/>
  <c r="H4306" i="1"/>
  <c r="H4307" i="1"/>
  <c r="H4310" i="1"/>
  <c r="H4311" i="1"/>
  <c r="H4314" i="1"/>
  <c r="H4315" i="1"/>
  <c r="H4318" i="1"/>
  <c r="H4319" i="1"/>
  <c r="H4322" i="1"/>
  <c r="H4323" i="1"/>
  <c r="H4326" i="1"/>
  <c r="H4327" i="1"/>
  <c r="H4330" i="1"/>
  <c r="H4331" i="1"/>
  <c r="H4334" i="1"/>
  <c r="H4335" i="1"/>
  <c r="H4338" i="1"/>
  <c r="H4339" i="1"/>
  <c r="H4342" i="1"/>
  <c r="H4343" i="1"/>
  <c r="H4346" i="1"/>
  <c r="H4347" i="1"/>
  <c r="H4350" i="1"/>
  <c r="H4351" i="1"/>
  <c r="H4354" i="1"/>
  <c r="H4355" i="1"/>
  <c r="H4358" i="1"/>
  <c r="H4359" i="1"/>
  <c r="H4362" i="1"/>
  <c r="H4363" i="1"/>
  <c r="H4366" i="1"/>
  <c r="H4367" i="1"/>
  <c r="H4370" i="1"/>
  <c r="H4371" i="1"/>
  <c r="H4374" i="1"/>
  <c r="H4375" i="1"/>
  <c r="H4378" i="1"/>
  <c r="H4379" i="1"/>
  <c r="H4382" i="1"/>
  <c r="H4383" i="1"/>
  <c r="H4386" i="1"/>
  <c r="H4387" i="1"/>
  <c r="H4390" i="1"/>
  <c r="H4391" i="1"/>
  <c r="H4394" i="1"/>
  <c r="H4395" i="1"/>
  <c r="H4398" i="1"/>
  <c r="H4399" i="1"/>
  <c r="H4402" i="1"/>
  <c r="H4403" i="1"/>
  <c r="H4406" i="1"/>
  <c r="H4407" i="1"/>
  <c r="H4410" i="1"/>
  <c r="H4411" i="1"/>
  <c r="H4414" i="1"/>
  <c r="H4415" i="1"/>
  <c r="H4418" i="1"/>
  <c r="H4419" i="1"/>
  <c r="H4422" i="1"/>
  <c r="H4423" i="1"/>
  <c r="H4426" i="1"/>
  <c r="H4427" i="1"/>
  <c r="H4430" i="1"/>
  <c r="H4431" i="1"/>
  <c r="H4434" i="1"/>
  <c r="H4435" i="1"/>
  <c r="H4438" i="1"/>
  <c r="H4439" i="1"/>
  <c r="H4442" i="1"/>
  <c r="H4443" i="1"/>
  <c r="H4446" i="1"/>
  <c r="H4447" i="1"/>
  <c r="H4450" i="1"/>
  <c r="H4451" i="1"/>
  <c r="H4454" i="1"/>
  <c r="H4455" i="1"/>
  <c r="H4458" i="1"/>
  <c r="H4459" i="1"/>
  <c r="H4462" i="1"/>
  <c r="H4463" i="1"/>
  <c r="H4466" i="1"/>
  <c r="H4467" i="1"/>
  <c r="H4470" i="1"/>
  <c r="H4471" i="1"/>
  <c r="H4474" i="1"/>
  <c r="H4475" i="1"/>
  <c r="H4478" i="1"/>
  <c r="H4479" i="1"/>
  <c r="H4482" i="1"/>
  <c r="H4483" i="1"/>
  <c r="H4486" i="1"/>
  <c r="H4487" i="1"/>
  <c r="H4490" i="1"/>
  <c r="H4491" i="1"/>
  <c r="H4494" i="1"/>
  <c r="H4495" i="1"/>
  <c r="H4498" i="1"/>
  <c r="H4499" i="1"/>
  <c r="H4502" i="1"/>
  <c r="H4503" i="1"/>
  <c r="H4506" i="1"/>
  <c r="H4507" i="1"/>
  <c r="H4510" i="1"/>
  <c r="H4511" i="1"/>
  <c r="H4514" i="1"/>
  <c r="H4515" i="1"/>
  <c r="H4518" i="1"/>
  <c r="H4519" i="1"/>
  <c r="H4522" i="1"/>
  <c r="H4523" i="1"/>
  <c r="H4526" i="1"/>
  <c r="H4527" i="1"/>
  <c r="H4530" i="1"/>
  <c r="H4531" i="1"/>
  <c r="H4534" i="1"/>
  <c r="H4535" i="1"/>
  <c r="H4538" i="1"/>
  <c r="H4539" i="1"/>
  <c r="H4542" i="1"/>
  <c r="H4543" i="1"/>
  <c r="H4546" i="1"/>
  <c r="H4547" i="1"/>
  <c r="H4550" i="1"/>
  <c r="H4551" i="1"/>
  <c r="H4554" i="1"/>
  <c r="H4555" i="1"/>
  <c r="H4558" i="1"/>
  <c r="H4559" i="1"/>
  <c r="H4562" i="1"/>
  <c r="H4563" i="1"/>
  <c r="H4566" i="1"/>
  <c r="H4567" i="1"/>
  <c r="H4570" i="1"/>
  <c r="H4571" i="1"/>
  <c r="H4574" i="1"/>
  <c r="H4575" i="1"/>
  <c r="H4578" i="1"/>
  <c r="H4579" i="1"/>
  <c r="H4582" i="1"/>
  <c r="H4583" i="1"/>
  <c r="H4586" i="1"/>
  <c r="H4587" i="1"/>
  <c r="H4590" i="1"/>
  <c r="H4591" i="1"/>
  <c r="H4594" i="1"/>
  <c r="H4595" i="1"/>
  <c r="H4598" i="1"/>
  <c r="H4599" i="1"/>
  <c r="H4602" i="1"/>
  <c r="H4603" i="1"/>
  <c r="H4606" i="1"/>
  <c r="H4607" i="1"/>
  <c r="H4610" i="1"/>
  <c r="H4611" i="1"/>
  <c r="H4614" i="1"/>
  <c r="H4615" i="1"/>
  <c r="H4618" i="1"/>
  <c r="H4619" i="1"/>
  <c r="H4622" i="1"/>
  <c r="H4623" i="1"/>
  <c r="H4626" i="1"/>
  <c r="H4627" i="1"/>
  <c r="H4630" i="1"/>
  <c r="H4631" i="1"/>
  <c r="H4634" i="1"/>
  <c r="H4635" i="1"/>
  <c r="H4638" i="1"/>
  <c r="H4639" i="1"/>
  <c r="H4642" i="1"/>
  <c r="H4643" i="1"/>
  <c r="H4646" i="1"/>
  <c r="H4647" i="1"/>
  <c r="H4650" i="1"/>
  <c r="H4651" i="1"/>
  <c r="H4654" i="1"/>
  <c r="H4655" i="1"/>
  <c r="H4658" i="1"/>
  <c r="H4659" i="1"/>
  <c r="H4662" i="1"/>
  <c r="H4663" i="1"/>
  <c r="H4666" i="1"/>
  <c r="H4667" i="1"/>
  <c r="H4670" i="1"/>
  <c r="H4671" i="1"/>
  <c r="H4674" i="1"/>
  <c r="H4675" i="1"/>
  <c r="H4678" i="1"/>
  <c r="H4679" i="1"/>
  <c r="H4682" i="1"/>
  <c r="H4683" i="1"/>
  <c r="H4686" i="1"/>
  <c r="H4687" i="1"/>
  <c r="H4690" i="1"/>
  <c r="H4691" i="1"/>
  <c r="H4694" i="1"/>
  <c r="H4695" i="1"/>
  <c r="H4698" i="1"/>
  <c r="H4699" i="1"/>
  <c r="H4702" i="1"/>
  <c r="H4703" i="1"/>
  <c r="H4706" i="1"/>
  <c r="H4707" i="1"/>
  <c r="H4710" i="1"/>
  <c r="H4711" i="1"/>
  <c r="H4714" i="1"/>
  <c r="H4715" i="1"/>
  <c r="H4718" i="1"/>
  <c r="H4719" i="1"/>
  <c r="H4722" i="1"/>
  <c r="H4723" i="1"/>
  <c r="H4726" i="1"/>
  <c r="H4727" i="1"/>
  <c r="H4730" i="1"/>
  <c r="H4731" i="1"/>
  <c r="H4734" i="1"/>
  <c r="H4735" i="1"/>
  <c r="H4738" i="1"/>
  <c r="H4739" i="1"/>
  <c r="H4742" i="1"/>
  <c r="H4743" i="1"/>
  <c r="H4746" i="1"/>
  <c r="H4747" i="1"/>
  <c r="H4750" i="1"/>
  <c r="H4751" i="1"/>
  <c r="H4754" i="1"/>
  <c r="H4755" i="1"/>
  <c r="H4758" i="1"/>
  <c r="H4759" i="1"/>
  <c r="H4762" i="1"/>
  <c r="H4763" i="1"/>
  <c r="H4766" i="1"/>
  <c r="H4767" i="1"/>
  <c r="H4770" i="1"/>
  <c r="H4771" i="1"/>
  <c r="H4774" i="1"/>
  <c r="H4775" i="1"/>
  <c r="H4778" i="1"/>
  <c r="H4779" i="1"/>
  <c r="H4782" i="1"/>
  <c r="H4783" i="1"/>
  <c r="H4786" i="1"/>
  <c r="H4787" i="1"/>
  <c r="H4790" i="1"/>
  <c r="H4791" i="1"/>
  <c r="H4794" i="1"/>
  <c r="H4795" i="1"/>
  <c r="H4798" i="1"/>
  <c r="H4799" i="1"/>
  <c r="H4802" i="1"/>
  <c r="H4803" i="1"/>
  <c r="H4806" i="1"/>
  <c r="H4807" i="1"/>
  <c r="H4810" i="1"/>
  <c r="H4811" i="1"/>
  <c r="H4814" i="1"/>
  <c r="H4815" i="1"/>
  <c r="H4818" i="1"/>
  <c r="H4819" i="1"/>
  <c r="H4822" i="1"/>
  <c r="H4823" i="1"/>
  <c r="H4826" i="1"/>
  <c r="H4827" i="1"/>
  <c r="H4830" i="1"/>
  <c r="H4831" i="1"/>
  <c r="H4834" i="1"/>
  <c r="H4835" i="1"/>
  <c r="H4838" i="1"/>
  <c r="H4839" i="1"/>
  <c r="H4842" i="1"/>
  <c r="H4843" i="1"/>
  <c r="H4846" i="1"/>
  <c r="H4847" i="1"/>
  <c r="H4850" i="1"/>
  <c r="H4851" i="1"/>
  <c r="H4854" i="1"/>
  <c r="H4855" i="1"/>
  <c r="H4858" i="1"/>
  <c r="H4859" i="1"/>
  <c r="H4862" i="1"/>
  <c r="H4863" i="1"/>
  <c r="H4866" i="1"/>
  <c r="H4867" i="1"/>
  <c r="H4870" i="1"/>
  <c r="H4871" i="1"/>
  <c r="H4874" i="1"/>
  <c r="H4875" i="1"/>
  <c r="H4878" i="1"/>
  <c r="H4879" i="1"/>
  <c r="H4882" i="1"/>
  <c r="H4883" i="1"/>
  <c r="H4886" i="1"/>
  <c r="H4887" i="1"/>
  <c r="H4890" i="1"/>
  <c r="H4891" i="1"/>
  <c r="H4894" i="1"/>
  <c r="H4895" i="1"/>
  <c r="H4898" i="1"/>
  <c r="H4899" i="1"/>
  <c r="H4902" i="1"/>
  <c r="H4903" i="1"/>
  <c r="H4906" i="1"/>
  <c r="H4907" i="1"/>
  <c r="H4910" i="1"/>
  <c r="H4911" i="1"/>
  <c r="H4914" i="1"/>
  <c r="H4915" i="1"/>
  <c r="H4918" i="1"/>
  <c r="H4919" i="1"/>
  <c r="H4922" i="1"/>
  <c r="H4923" i="1"/>
  <c r="H4926" i="1"/>
  <c r="H4927" i="1"/>
  <c r="H4930" i="1"/>
  <c r="H4931" i="1"/>
  <c r="H4934" i="1"/>
  <c r="H4935" i="1"/>
  <c r="H4938" i="1"/>
  <c r="H4939" i="1"/>
  <c r="H4942" i="1"/>
  <c r="H4943" i="1"/>
  <c r="H4946" i="1"/>
  <c r="H4947" i="1"/>
  <c r="H4950" i="1"/>
  <c r="H4951" i="1"/>
  <c r="H4954" i="1"/>
  <c r="H4955" i="1"/>
  <c r="H4958" i="1"/>
  <c r="H4959" i="1"/>
  <c r="H4962" i="1"/>
  <c r="H4963" i="1"/>
  <c r="H4966" i="1"/>
  <c r="H4967" i="1"/>
  <c r="H4970" i="1"/>
  <c r="H4971" i="1"/>
  <c r="H4974" i="1"/>
  <c r="H4975" i="1"/>
  <c r="H4978" i="1"/>
  <c r="H4979" i="1"/>
  <c r="H4982" i="1"/>
  <c r="H4983" i="1"/>
  <c r="H4986" i="1"/>
  <c r="H4987" i="1"/>
  <c r="H4990" i="1"/>
  <c r="H4991" i="1"/>
  <c r="H4994" i="1"/>
  <c r="H4995" i="1"/>
  <c r="H4998" i="1"/>
  <c r="H4999" i="1"/>
  <c r="H5000" i="1"/>
  <c r="H4" i="1"/>
  <c r="H5" i="1"/>
  <c r="H8" i="1"/>
  <c r="H9" i="1"/>
  <c r="H11" i="1"/>
  <c r="H12" i="1"/>
  <c r="H13" i="1"/>
  <c r="H16" i="1"/>
  <c r="H17" i="1"/>
  <c r="H20" i="1"/>
  <c r="H21" i="1"/>
  <c r="H24" i="1"/>
  <c r="H25" i="1"/>
  <c r="H28" i="1"/>
  <c r="H29" i="1"/>
  <c r="H31" i="1"/>
  <c r="H32" i="1"/>
  <c r="H33" i="1"/>
  <c r="H36" i="1"/>
  <c r="H37" i="1"/>
  <c r="H40" i="1"/>
  <c r="H41" i="1"/>
  <c r="H43" i="1"/>
  <c r="H44" i="1"/>
  <c r="H45" i="1"/>
  <c r="H48" i="1"/>
  <c r="H49" i="1"/>
  <c r="H52" i="1"/>
  <c r="H53" i="1"/>
  <c r="H56" i="1"/>
  <c r="H57" i="1"/>
  <c r="H60" i="1"/>
  <c r="H61" i="1"/>
  <c r="H63" i="1"/>
  <c r="H64" i="1"/>
  <c r="H65" i="1"/>
  <c r="H68" i="1"/>
  <c r="H69" i="1"/>
  <c r="H72" i="1"/>
  <c r="H73" i="1"/>
  <c r="H75" i="1"/>
  <c r="H76" i="1"/>
  <c r="H77" i="1"/>
  <c r="H80" i="1"/>
  <c r="H81" i="1"/>
  <c r="H84" i="1"/>
  <c r="H85" i="1"/>
  <c r="H88" i="1"/>
  <c r="H89" i="1"/>
  <c r="H92" i="1"/>
  <c r="H93" i="1"/>
  <c r="H95" i="1"/>
  <c r="H96" i="1"/>
  <c r="H97" i="1"/>
  <c r="H100" i="1"/>
  <c r="H101" i="1"/>
  <c r="H104" i="1"/>
  <c r="H105" i="1"/>
  <c r="H107" i="1"/>
  <c r="H108" i="1"/>
  <c r="H109" i="1"/>
  <c r="H112" i="1"/>
  <c r="H113" i="1"/>
  <c r="H116" i="1"/>
  <c r="H117" i="1"/>
  <c r="H120" i="1"/>
  <c r="H121" i="1"/>
  <c r="H124" i="1"/>
  <c r="H125" i="1"/>
  <c r="H127" i="1"/>
  <c r="H128" i="1"/>
  <c r="H129" i="1"/>
  <c r="H132" i="1"/>
  <c r="H133" i="1"/>
  <c r="H136" i="1"/>
  <c r="H137" i="1"/>
  <c r="H139" i="1"/>
  <c r="H140" i="1"/>
  <c r="H141" i="1"/>
  <c r="H144" i="1"/>
  <c r="H145" i="1"/>
  <c r="H148" i="1"/>
  <c r="H149" i="1"/>
  <c r="H152" i="1"/>
  <c r="H153" i="1"/>
  <c r="H156" i="1"/>
  <c r="H157" i="1"/>
  <c r="H159" i="1"/>
  <c r="H160" i="1"/>
  <c r="H161" i="1"/>
  <c r="H164" i="1"/>
  <c r="H165" i="1"/>
  <c r="H168" i="1"/>
  <c r="H169" i="1"/>
  <c r="H171" i="1"/>
  <c r="H172" i="1"/>
  <c r="H173" i="1"/>
  <c r="H176" i="1"/>
  <c r="H177" i="1"/>
  <c r="H180" i="1"/>
  <c r="H181" i="1"/>
  <c r="H184" i="1"/>
  <c r="H185" i="1"/>
  <c r="H188" i="1"/>
  <c r="H189" i="1"/>
  <c r="H191" i="1"/>
  <c r="H192" i="1"/>
  <c r="H193" i="1"/>
  <c r="H196" i="1"/>
  <c r="H197" i="1"/>
  <c r="H200" i="1"/>
  <c r="H201" i="1"/>
  <c r="H203" i="1"/>
  <c r="H204" i="1"/>
  <c r="H205" i="1"/>
  <c r="H208" i="1"/>
  <c r="H209" i="1"/>
  <c r="H212" i="1"/>
  <c r="H213" i="1"/>
  <c r="H216" i="1"/>
  <c r="H217" i="1"/>
  <c r="H220" i="1"/>
  <c r="H221" i="1"/>
  <c r="H223" i="1"/>
  <c r="H224" i="1"/>
  <c r="H225" i="1"/>
  <c r="H228" i="1"/>
  <c r="H229" i="1"/>
  <c r="H232" i="1"/>
  <c r="H233" i="1"/>
  <c r="H235" i="1"/>
  <c r="H236" i="1"/>
  <c r="H237" i="1"/>
  <c r="H240" i="1"/>
  <c r="H241" i="1"/>
  <c r="H244" i="1"/>
  <c r="H245" i="1"/>
  <c r="H248" i="1"/>
  <c r="H249" i="1"/>
  <c r="H252" i="1"/>
  <c r="H253" i="1"/>
  <c r="H255" i="1"/>
  <c r="H256" i="1"/>
  <c r="H257" i="1"/>
  <c r="H260" i="1"/>
  <c r="H261" i="1"/>
  <c r="H264" i="1"/>
  <c r="H265" i="1"/>
  <c r="H267" i="1"/>
  <c r="H268" i="1"/>
  <c r="H269" i="1"/>
  <c r="H272" i="1"/>
  <c r="H273" i="1"/>
  <c r="H276" i="1"/>
  <c r="H277" i="1"/>
  <c r="H280" i="1"/>
  <c r="H281" i="1"/>
  <c r="H284" i="1"/>
  <c r="H285" i="1"/>
  <c r="H287" i="1"/>
  <c r="H288" i="1"/>
  <c r="H289" i="1"/>
  <c r="H292" i="1"/>
  <c r="H293" i="1"/>
  <c r="H296" i="1"/>
  <c r="H297" i="1"/>
  <c r="H299" i="1"/>
  <c r="H300" i="1"/>
  <c r="H301" i="1"/>
  <c r="H304" i="1"/>
  <c r="H305" i="1"/>
  <c r="H308" i="1"/>
  <c r="H309" i="1"/>
  <c r="H312" i="1"/>
  <c r="H313" i="1"/>
  <c r="H316" i="1"/>
  <c r="H317" i="1"/>
  <c r="H319" i="1"/>
  <c r="H320" i="1"/>
  <c r="H321" i="1"/>
  <c r="H324" i="1"/>
  <c r="H325" i="1"/>
  <c r="H328" i="1"/>
  <c r="H329" i="1"/>
  <c r="H331" i="1"/>
  <c r="H332" i="1"/>
  <c r="H333" i="1"/>
  <c r="H336" i="1"/>
  <c r="H337" i="1"/>
  <c r="H340" i="1"/>
  <c r="H341" i="1"/>
  <c r="H344" i="1"/>
  <c r="H345" i="1"/>
  <c r="H348" i="1"/>
  <c r="H349" i="1"/>
  <c r="H352" i="1"/>
  <c r="H353" i="1"/>
  <c r="H356" i="1"/>
  <c r="H357" i="1"/>
  <c r="H360" i="1"/>
  <c r="H361" i="1"/>
  <c r="H364" i="1"/>
  <c r="H365" i="1"/>
  <c r="H368" i="1"/>
  <c r="H369" i="1"/>
  <c r="H372" i="1"/>
  <c r="H373" i="1"/>
  <c r="H376" i="1"/>
  <c r="H377" i="1"/>
  <c r="H380" i="1"/>
  <c r="H381" i="1"/>
  <c r="H384" i="1"/>
  <c r="H385" i="1"/>
  <c r="H388" i="1"/>
  <c r="H389" i="1"/>
  <c r="H392" i="1"/>
  <c r="H393" i="1"/>
  <c r="H396" i="1"/>
  <c r="H397" i="1"/>
  <c r="H400" i="1"/>
  <c r="H401" i="1"/>
  <c r="H404" i="1"/>
  <c r="H405" i="1"/>
  <c r="H408" i="1"/>
  <c r="H409" i="1"/>
  <c r="H412" i="1"/>
  <c r="H413" i="1"/>
  <c r="H416" i="1"/>
  <c r="H417" i="1"/>
  <c r="H420" i="1"/>
  <c r="H421" i="1"/>
  <c r="H424" i="1"/>
  <c r="H425" i="1"/>
  <c r="H428" i="1"/>
  <c r="H429" i="1"/>
  <c r="H432" i="1"/>
  <c r="H433" i="1"/>
  <c r="H436" i="1"/>
  <c r="H437" i="1"/>
  <c r="H440" i="1"/>
  <c r="H441" i="1"/>
  <c r="H444" i="1"/>
  <c r="H445" i="1"/>
  <c r="H448" i="1"/>
  <c r="H449" i="1"/>
  <c r="H452" i="1"/>
  <c r="H453" i="1"/>
  <c r="H456" i="1"/>
  <c r="H457" i="1"/>
  <c r="H460" i="1"/>
  <c r="H461" i="1"/>
  <c r="H464" i="1"/>
  <c r="H465" i="1"/>
  <c r="H468" i="1"/>
  <c r="H469" i="1"/>
  <c r="H472" i="1"/>
  <c r="H473" i="1"/>
  <c r="H476" i="1"/>
  <c r="H477" i="1"/>
  <c r="H480" i="1"/>
  <c r="H481" i="1"/>
  <c r="H484" i="1"/>
  <c r="H485" i="1"/>
  <c r="H488" i="1"/>
  <c r="H489" i="1"/>
  <c r="H492" i="1"/>
  <c r="H493" i="1"/>
  <c r="H496" i="1"/>
  <c r="H497" i="1"/>
  <c r="H500" i="1"/>
  <c r="H501" i="1"/>
  <c r="H504" i="1"/>
  <c r="H505" i="1"/>
  <c r="H508" i="1"/>
  <c r="H509" i="1"/>
  <c r="H512" i="1"/>
  <c r="H513" i="1"/>
  <c r="H516" i="1"/>
  <c r="H517" i="1"/>
  <c r="H520" i="1"/>
  <c r="H521" i="1"/>
  <c r="H524" i="1"/>
  <c r="H525" i="1"/>
  <c r="H528" i="1"/>
  <c r="H529" i="1"/>
  <c r="H532" i="1"/>
  <c r="H533" i="1"/>
  <c r="H536" i="1"/>
  <c r="H537" i="1"/>
  <c r="H540" i="1"/>
  <c r="H541" i="1"/>
  <c r="H544" i="1"/>
  <c r="H545" i="1"/>
  <c r="H548" i="1"/>
  <c r="H549" i="1"/>
  <c r="H552" i="1"/>
  <c r="H553" i="1"/>
  <c r="H556" i="1"/>
  <c r="H557" i="1"/>
  <c r="H560" i="1"/>
  <c r="H561" i="1"/>
  <c r="H564" i="1"/>
  <c r="H565" i="1"/>
  <c r="H568" i="1"/>
  <c r="H569" i="1"/>
  <c r="H572" i="1"/>
  <c r="H573" i="1"/>
  <c r="H576" i="1"/>
  <c r="H577" i="1"/>
  <c r="H580" i="1"/>
  <c r="H581" i="1"/>
  <c r="H584" i="1"/>
  <c r="H585" i="1"/>
  <c r="H588" i="1"/>
  <c r="H589" i="1"/>
  <c r="H592" i="1"/>
  <c r="H593" i="1"/>
  <c r="H596" i="1"/>
  <c r="H597" i="1"/>
  <c r="H600" i="1"/>
  <c r="H601" i="1"/>
  <c r="H604" i="1"/>
  <c r="H605" i="1"/>
  <c r="H608" i="1"/>
  <c r="H609" i="1"/>
  <c r="H612" i="1"/>
  <c r="H613" i="1"/>
  <c r="H616" i="1"/>
  <c r="H617" i="1"/>
  <c r="H620" i="1"/>
  <c r="H621" i="1"/>
  <c r="H624" i="1"/>
  <c r="H625" i="1"/>
  <c r="H628" i="1"/>
  <c r="H629" i="1"/>
  <c r="H632" i="1"/>
  <c r="H633" i="1"/>
  <c r="H636" i="1"/>
  <c r="H637" i="1"/>
  <c r="H640" i="1"/>
  <c r="H641" i="1"/>
  <c r="H644" i="1"/>
  <c r="H645" i="1"/>
  <c r="H648" i="1"/>
  <c r="H649" i="1"/>
  <c r="H652" i="1"/>
  <c r="H653" i="1"/>
  <c r="H656" i="1"/>
  <c r="H657" i="1"/>
  <c r="H660" i="1"/>
  <c r="H661" i="1"/>
  <c r="H664" i="1"/>
  <c r="H665" i="1"/>
  <c r="H668" i="1"/>
  <c r="H669" i="1"/>
  <c r="H672" i="1"/>
  <c r="H673" i="1"/>
  <c r="H676" i="1"/>
  <c r="H677" i="1"/>
  <c r="H680" i="1"/>
  <c r="H681" i="1"/>
  <c r="H684" i="1"/>
  <c r="H685" i="1"/>
  <c r="H688" i="1"/>
  <c r="H689" i="1"/>
  <c r="H692" i="1"/>
  <c r="H693" i="1"/>
  <c r="H696" i="1"/>
  <c r="H697" i="1"/>
  <c r="H700" i="1"/>
  <c r="H701" i="1"/>
  <c r="H704" i="1"/>
  <c r="H705" i="1"/>
  <c r="H708" i="1"/>
  <c r="H709" i="1"/>
  <c r="H712" i="1"/>
  <c r="H713" i="1"/>
  <c r="H716" i="1"/>
  <c r="H717" i="1"/>
  <c r="H720" i="1"/>
  <c r="H721" i="1"/>
  <c r="H724" i="1"/>
  <c r="H725" i="1"/>
  <c r="H728" i="1"/>
  <c r="H729" i="1"/>
  <c r="H732" i="1"/>
  <c r="H733" i="1"/>
  <c r="H736" i="1"/>
  <c r="H737" i="1"/>
  <c r="H740" i="1"/>
  <c r="H741" i="1"/>
  <c r="H744" i="1"/>
  <c r="H745" i="1"/>
  <c r="H748" i="1"/>
  <c r="H749" i="1"/>
  <c r="H752" i="1"/>
  <c r="H753" i="1"/>
  <c r="H756" i="1"/>
  <c r="H757" i="1"/>
  <c r="H760" i="1"/>
  <c r="H761" i="1"/>
  <c r="H764" i="1"/>
  <c r="H765" i="1"/>
  <c r="H768" i="1"/>
  <c r="H769" i="1"/>
  <c r="H772" i="1"/>
  <c r="H773" i="1"/>
  <c r="H776" i="1"/>
  <c r="H777" i="1"/>
  <c r="H780" i="1"/>
  <c r="H781" i="1"/>
  <c r="H784" i="1"/>
  <c r="H785" i="1"/>
  <c r="H788" i="1"/>
  <c r="H789" i="1"/>
  <c r="H792" i="1"/>
  <c r="H793" i="1"/>
  <c r="H796" i="1"/>
  <c r="H797" i="1"/>
  <c r="H800" i="1"/>
  <c r="H801" i="1"/>
  <c r="H804" i="1"/>
  <c r="H805" i="1"/>
  <c r="H808" i="1"/>
  <c r="H809" i="1"/>
  <c r="H812" i="1"/>
  <c r="H813" i="1"/>
  <c r="H816" i="1"/>
  <c r="H817" i="1"/>
  <c r="H820" i="1"/>
  <c r="H821" i="1"/>
  <c r="H824" i="1"/>
  <c r="H825" i="1"/>
  <c r="H828" i="1"/>
  <c r="H829" i="1"/>
  <c r="H832" i="1"/>
  <c r="H833" i="1"/>
  <c r="H836" i="1"/>
  <c r="H837" i="1"/>
  <c r="H840" i="1"/>
  <c r="H841" i="1"/>
  <c r="H844" i="1"/>
  <c r="H845" i="1"/>
  <c r="H848" i="1"/>
  <c r="H849" i="1"/>
  <c r="H852" i="1"/>
  <c r="H853" i="1"/>
  <c r="H856" i="1"/>
  <c r="H857" i="1"/>
  <c r="H860" i="1"/>
  <c r="H861" i="1"/>
  <c r="H864" i="1"/>
  <c r="H865" i="1"/>
  <c r="H868" i="1"/>
  <c r="H869" i="1"/>
  <c r="H872" i="1"/>
  <c r="H873" i="1"/>
  <c r="H876" i="1"/>
  <c r="H877" i="1"/>
  <c r="H880" i="1"/>
  <c r="H881" i="1"/>
  <c r="H884" i="1"/>
  <c r="H885" i="1"/>
  <c r="H888" i="1"/>
  <c r="H889" i="1"/>
  <c r="H892" i="1"/>
  <c r="H893" i="1"/>
  <c r="H896" i="1"/>
  <c r="H897" i="1"/>
  <c r="H900" i="1"/>
  <c r="H901" i="1"/>
  <c r="H904" i="1"/>
  <c r="H905" i="1"/>
  <c r="H908" i="1"/>
  <c r="H909" i="1"/>
  <c r="H912" i="1"/>
  <c r="H913" i="1"/>
  <c r="H916" i="1"/>
  <c r="H917" i="1"/>
  <c r="H920" i="1"/>
  <c r="H921" i="1"/>
  <c r="H924" i="1"/>
  <c r="H925" i="1"/>
  <c r="H928" i="1"/>
  <c r="H929" i="1"/>
  <c r="H932" i="1"/>
  <c r="H933" i="1"/>
  <c r="H936" i="1"/>
  <c r="H937" i="1"/>
  <c r="H940" i="1"/>
  <c r="H941" i="1"/>
  <c r="H943" i="1"/>
  <c r="H944" i="1"/>
  <c r="H945" i="1"/>
  <c r="H947" i="1"/>
  <c r="H948" i="1"/>
  <c r="H949" i="1"/>
  <c r="H952" i="1"/>
  <c r="H953" i="1"/>
  <c r="H956" i="1"/>
  <c r="H957" i="1"/>
  <c r="H959" i="1"/>
  <c r="H960" i="1"/>
  <c r="H961" i="1"/>
  <c r="H963" i="1"/>
  <c r="H964" i="1"/>
  <c r="H965" i="1"/>
  <c r="H968" i="1"/>
  <c r="H969" i="1"/>
  <c r="H972" i="1"/>
  <c r="H973" i="1"/>
  <c r="H975" i="1"/>
  <c r="H976" i="1"/>
  <c r="H977" i="1"/>
  <c r="H979" i="1"/>
  <c r="H980" i="1"/>
  <c r="H981" i="1"/>
  <c r="H984" i="1"/>
  <c r="H985" i="1"/>
  <c r="H988" i="1"/>
  <c r="H989" i="1"/>
  <c r="H991" i="1"/>
  <c r="H992" i="1"/>
  <c r="H993" i="1"/>
  <c r="H995" i="1"/>
  <c r="H996" i="1"/>
  <c r="H997" i="1"/>
  <c r="H1000" i="1"/>
  <c r="H1001" i="1"/>
  <c r="H1004" i="1"/>
  <c r="H1005" i="1"/>
  <c r="H1007" i="1"/>
  <c r="H1008" i="1"/>
  <c r="H1009" i="1"/>
  <c r="H1011" i="1"/>
  <c r="H1012" i="1"/>
  <c r="H1013" i="1"/>
  <c r="H1016" i="1"/>
  <c r="H1017" i="1"/>
  <c r="H1020" i="1"/>
  <c r="H1021" i="1"/>
  <c r="H1023" i="1"/>
  <c r="H1024" i="1"/>
  <c r="H1025" i="1"/>
  <c r="H1027" i="1"/>
  <c r="H1028" i="1"/>
  <c r="H1029" i="1"/>
  <c r="H1032" i="1"/>
  <c r="H1033" i="1"/>
  <c r="H1036" i="1"/>
  <c r="H1037" i="1"/>
  <c r="H1039" i="1"/>
  <c r="H1040" i="1"/>
  <c r="H1041" i="1"/>
  <c r="H1043" i="1"/>
  <c r="H1044" i="1"/>
  <c r="H1045" i="1"/>
  <c r="H1048" i="1"/>
  <c r="H1049" i="1"/>
  <c r="H1052" i="1"/>
  <c r="H1053" i="1"/>
  <c r="H1055" i="1"/>
  <c r="H1056" i="1"/>
  <c r="H1057" i="1"/>
  <c r="H1059" i="1"/>
  <c r="H1060" i="1"/>
  <c r="H1061" i="1"/>
  <c r="H1064" i="1"/>
  <c r="H1065" i="1"/>
  <c r="H1068" i="1"/>
  <c r="H1069" i="1"/>
  <c r="H1071" i="1"/>
  <c r="H1072" i="1"/>
  <c r="H1073" i="1"/>
  <c r="H1075" i="1"/>
  <c r="H1076" i="1"/>
  <c r="H1077" i="1"/>
  <c r="H1080" i="1"/>
  <c r="H1081" i="1"/>
  <c r="H1084" i="1"/>
  <c r="H1085" i="1"/>
  <c r="H1087" i="1"/>
  <c r="H1088" i="1"/>
  <c r="H1089" i="1"/>
  <c r="H1091" i="1"/>
  <c r="H1092" i="1"/>
  <c r="H1093" i="1"/>
  <c r="H1096" i="1"/>
  <c r="H1097" i="1"/>
  <c r="H1100" i="1"/>
  <c r="H1101" i="1"/>
  <c r="H1103" i="1"/>
  <c r="H1104" i="1"/>
  <c r="H1105" i="1"/>
  <c r="H1107" i="1"/>
  <c r="H1108" i="1"/>
  <c r="H1109" i="1"/>
  <c r="H1112" i="1"/>
  <c r="H1113" i="1"/>
  <c r="H1116" i="1"/>
  <c r="H1117" i="1"/>
  <c r="H1119" i="1"/>
  <c r="H1120" i="1"/>
  <c r="H1121" i="1"/>
  <c r="H1123" i="1"/>
  <c r="H1124" i="1"/>
  <c r="H1125" i="1"/>
  <c r="H1128" i="1"/>
  <c r="H1129" i="1"/>
  <c r="H1132" i="1"/>
  <c r="H1133" i="1"/>
  <c r="H1135" i="1"/>
  <c r="H1136" i="1"/>
  <c r="H1137" i="1"/>
  <c r="H1139" i="1"/>
  <c r="H1140" i="1"/>
  <c r="H1141" i="1"/>
  <c r="H1144" i="1"/>
  <c r="H1145" i="1"/>
  <c r="H1148" i="1"/>
  <c r="H1149" i="1"/>
  <c r="H1151" i="1"/>
  <c r="H1152" i="1"/>
  <c r="H1153" i="1"/>
  <c r="H1155" i="1"/>
  <c r="H1156" i="1"/>
  <c r="H1157" i="1"/>
  <c r="H1160" i="1"/>
  <c r="H1161" i="1"/>
  <c r="H1164" i="1"/>
  <c r="H1165" i="1"/>
  <c r="H1167" i="1"/>
  <c r="H1168" i="1"/>
  <c r="H1169" i="1"/>
  <c r="H1171" i="1"/>
  <c r="H1172" i="1"/>
  <c r="H1173" i="1"/>
  <c r="H1176" i="1"/>
  <c r="H1177" i="1"/>
  <c r="H1180" i="1"/>
  <c r="H1181" i="1"/>
  <c r="H1183" i="1"/>
  <c r="H1184" i="1"/>
  <c r="H1185" i="1"/>
  <c r="H1187" i="1"/>
  <c r="H1188" i="1"/>
  <c r="H1189" i="1"/>
  <c r="H1192" i="1"/>
  <c r="H1193" i="1"/>
  <c r="H1196" i="1"/>
  <c r="H1197" i="1"/>
  <c r="H1199" i="1"/>
  <c r="H1200" i="1"/>
  <c r="H1201" i="1"/>
  <c r="H1203" i="1"/>
  <c r="H1204" i="1"/>
  <c r="H1205" i="1"/>
  <c r="H1208" i="1"/>
  <c r="H1209" i="1"/>
  <c r="H1212" i="1"/>
  <c r="H1213" i="1"/>
  <c r="H1215" i="1"/>
  <c r="H1216" i="1"/>
  <c r="H1217" i="1"/>
  <c r="H1219" i="1"/>
  <c r="H1220" i="1"/>
  <c r="H1221" i="1"/>
  <c r="H1224" i="1"/>
  <c r="H1225" i="1"/>
  <c r="H1228" i="1"/>
  <c r="H1229" i="1"/>
  <c r="H1231" i="1"/>
  <c r="H1232" i="1"/>
  <c r="H1233" i="1"/>
  <c r="H1235" i="1"/>
  <c r="H1236" i="1"/>
  <c r="H1237" i="1"/>
  <c r="H1240" i="1"/>
  <c r="H1241" i="1"/>
  <c r="H1244" i="1"/>
  <c r="H1245" i="1"/>
  <c r="H1247" i="1"/>
  <c r="H1248" i="1"/>
  <c r="H1249" i="1"/>
  <c r="H1251" i="1"/>
  <c r="H1252" i="1"/>
  <c r="H1253" i="1"/>
  <c r="H1256" i="1"/>
  <c r="H1257" i="1"/>
  <c r="H1260" i="1"/>
  <c r="H1261" i="1"/>
  <c r="H1263" i="1"/>
  <c r="H1264" i="1"/>
  <c r="H1265" i="1"/>
  <c r="H1267" i="1"/>
  <c r="H1268" i="1"/>
  <c r="H1269" i="1"/>
  <c r="H1272" i="1"/>
  <c r="H1273" i="1"/>
  <c r="H1276" i="1"/>
  <c r="H1277" i="1"/>
  <c r="H1279" i="1"/>
  <c r="H1280" i="1"/>
  <c r="H1281" i="1"/>
  <c r="H1283" i="1"/>
  <c r="H1284" i="1"/>
  <c r="H1285" i="1"/>
  <c r="H1288" i="1"/>
  <c r="H1289" i="1"/>
  <c r="H1292" i="1"/>
  <c r="H1293" i="1"/>
  <c r="H1295" i="1"/>
  <c r="H1296" i="1"/>
  <c r="H1297" i="1"/>
  <c r="H1299" i="1"/>
  <c r="H1300" i="1"/>
  <c r="H1301" i="1"/>
  <c r="H1304" i="1"/>
  <c r="H1305" i="1"/>
  <c r="H1308" i="1"/>
  <c r="H1309" i="1"/>
  <c r="H1311" i="1"/>
  <c r="H1312" i="1"/>
  <c r="H1313" i="1"/>
  <c r="H1315" i="1"/>
  <c r="H1316" i="1"/>
  <c r="H1317" i="1"/>
  <c r="H1320" i="1"/>
  <c r="H1321" i="1"/>
  <c r="H1324" i="1"/>
  <c r="H1325" i="1"/>
  <c r="H1327" i="1"/>
  <c r="H1328" i="1"/>
  <c r="H1329" i="1"/>
  <c r="H1331" i="1"/>
  <c r="H1332" i="1"/>
  <c r="H1333" i="1"/>
  <c r="H1336" i="1"/>
  <c r="H1337" i="1"/>
  <c r="H1340" i="1"/>
  <c r="H1341" i="1"/>
  <c r="H1343" i="1"/>
  <c r="H1344" i="1"/>
  <c r="H1345" i="1"/>
  <c r="H1347" i="1"/>
  <c r="H1348" i="1"/>
  <c r="H1349" i="1"/>
  <c r="H1352" i="1"/>
  <c r="H1353" i="1"/>
  <c r="H1356" i="1"/>
  <c r="H1357" i="1"/>
  <c r="H1359" i="1"/>
  <c r="H1360" i="1"/>
  <c r="H1361" i="1"/>
  <c r="H1363" i="1"/>
  <c r="H1364" i="1"/>
  <c r="H1365" i="1"/>
  <c r="H1368" i="1"/>
  <c r="H1369" i="1"/>
  <c r="H1372" i="1"/>
  <c r="H1373" i="1"/>
  <c r="H1375" i="1"/>
  <c r="H1376" i="1"/>
  <c r="H1377" i="1"/>
  <c r="H1379" i="1"/>
  <c r="H1380" i="1"/>
  <c r="H1381" i="1"/>
  <c r="H1384" i="1"/>
  <c r="H1385" i="1"/>
  <c r="H1388" i="1"/>
  <c r="H1389" i="1"/>
  <c r="H1391" i="1"/>
  <c r="H1392" i="1"/>
  <c r="H1393" i="1"/>
  <c r="H1395" i="1"/>
  <c r="H1396" i="1"/>
  <c r="H1397" i="1"/>
  <c r="H1400" i="1"/>
  <c r="H1401" i="1"/>
  <c r="H1404" i="1"/>
  <c r="H1405" i="1"/>
  <c r="H1407" i="1"/>
  <c r="H1408" i="1"/>
  <c r="H1409" i="1"/>
  <c r="H1411" i="1"/>
  <c r="H1412" i="1"/>
  <c r="H1413" i="1"/>
  <c r="H1416" i="1"/>
  <c r="H1417" i="1"/>
  <c r="H1420" i="1"/>
  <c r="H1421" i="1"/>
  <c r="H1423" i="1"/>
  <c r="H1424" i="1"/>
  <c r="H1425" i="1"/>
  <c r="H1427" i="1"/>
  <c r="H1428" i="1"/>
  <c r="H1429" i="1"/>
  <c r="H1432" i="1"/>
  <c r="H1433" i="1"/>
  <c r="H1436" i="1"/>
  <c r="H1437" i="1"/>
  <c r="H1439" i="1"/>
  <c r="H1440" i="1"/>
  <c r="H1441" i="1"/>
  <c r="H1443" i="1"/>
  <c r="H1444" i="1"/>
  <c r="H1445" i="1"/>
  <c r="H1448" i="1"/>
  <c r="H1449" i="1"/>
  <c r="H1452" i="1"/>
  <c r="H1453" i="1"/>
  <c r="H1455" i="1"/>
  <c r="H1456" i="1"/>
  <c r="H1457" i="1"/>
  <c r="H1459" i="1"/>
  <c r="H1460" i="1"/>
  <c r="H1461" i="1"/>
  <c r="H1464" i="1"/>
  <c r="H1465" i="1"/>
  <c r="H1468" i="1"/>
  <c r="H1469" i="1"/>
  <c r="H1471" i="1"/>
  <c r="H1472" i="1"/>
  <c r="H1473" i="1"/>
  <c r="H1475" i="1"/>
  <c r="H1476" i="1"/>
  <c r="H1477" i="1"/>
  <c r="H1480" i="1"/>
  <c r="H1481" i="1"/>
  <c r="H1484" i="1"/>
  <c r="H1485" i="1"/>
  <c r="H1487" i="1"/>
  <c r="H1488" i="1"/>
  <c r="H1489" i="1"/>
  <c r="H1491" i="1"/>
  <c r="H1492" i="1"/>
  <c r="H1493" i="1"/>
  <c r="H1496" i="1"/>
  <c r="H1497" i="1"/>
  <c r="H1500" i="1"/>
  <c r="H1501" i="1"/>
  <c r="H1503" i="1"/>
  <c r="H1504" i="1"/>
  <c r="H1505" i="1"/>
  <c r="H1507" i="1"/>
  <c r="H1508" i="1"/>
  <c r="H1509" i="1"/>
  <c r="H1512" i="1"/>
  <c r="H1513" i="1"/>
  <c r="H1516" i="1"/>
  <c r="H1517" i="1"/>
  <c r="H1519" i="1"/>
  <c r="H1520" i="1"/>
  <c r="H1521" i="1"/>
  <c r="H1523" i="1"/>
  <c r="H1524" i="1"/>
  <c r="H1525" i="1"/>
  <c r="H1528" i="1"/>
  <c r="H1529" i="1"/>
  <c r="H1532" i="1"/>
  <c r="H1533" i="1"/>
  <c r="H1535" i="1"/>
  <c r="H1536" i="1"/>
  <c r="H1537" i="1"/>
  <c r="H1539" i="1"/>
  <c r="H1540" i="1"/>
  <c r="H1541" i="1"/>
  <c r="H1544" i="1"/>
  <c r="H1545" i="1"/>
  <c r="H1548" i="1"/>
  <c r="H1549" i="1"/>
  <c r="H1551" i="1"/>
  <c r="H1552" i="1"/>
  <c r="H1553" i="1"/>
  <c r="H1555" i="1"/>
  <c r="H1556" i="1"/>
  <c r="H1557" i="1"/>
  <c r="H1560" i="1"/>
  <c r="H1561" i="1"/>
  <c r="H1564" i="1"/>
  <c r="H1565" i="1"/>
  <c r="H1567" i="1"/>
  <c r="H1568" i="1"/>
  <c r="H1569" i="1"/>
  <c r="H1571" i="1"/>
  <c r="H1572" i="1"/>
  <c r="H1573" i="1"/>
  <c r="H1576" i="1"/>
  <c r="H1577" i="1"/>
  <c r="H1580" i="1"/>
  <c r="H1581" i="1"/>
  <c r="H1583" i="1"/>
  <c r="H1584" i="1"/>
  <c r="H1585" i="1"/>
  <c r="H1587" i="1"/>
  <c r="H1588" i="1"/>
  <c r="H1589" i="1"/>
  <c r="H1592" i="1"/>
  <c r="H1593" i="1"/>
  <c r="H1596" i="1"/>
  <c r="H1597"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8" i="1"/>
  <c r="H3290" i="1"/>
  <c r="H3292" i="1"/>
  <c r="H3296" i="1"/>
  <c r="H3298" i="1"/>
  <c r="H3300" i="1"/>
  <c r="H3304" i="1"/>
  <c r="H3308" i="1"/>
  <c r="H3310" i="1"/>
  <c r="H3312" i="1"/>
  <c r="H3314" i="1"/>
  <c r="H3315" i="1"/>
  <c r="H3316" i="1"/>
  <c r="H3320" i="1"/>
  <c r="H3322" i="1"/>
  <c r="H3324" i="1"/>
  <c r="H3328" i="1"/>
  <c r="H3330" i="1"/>
  <c r="H3332" i="1"/>
  <c r="H3336" i="1"/>
  <c r="H3340" i="1"/>
  <c r="H3342" i="1"/>
  <c r="H3344" i="1"/>
  <c r="H3346" i="1"/>
  <c r="H3347" i="1"/>
  <c r="H3348" i="1"/>
  <c r="H3352" i="1"/>
  <c r="H3354" i="1"/>
  <c r="H3356" i="1"/>
  <c r="H3360" i="1"/>
  <c r="H3362" i="1"/>
  <c r="H3364" i="1"/>
  <c r="H3368" i="1"/>
  <c r="H3372" i="1"/>
  <c r="H3374" i="1"/>
  <c r="H3376" i="1"/>
  <c r="H3378" i="1"/>
  <c r="H3379" i="1"/>
  <c r="H3380" i="1"/>
  <c r="H3384" i="1"/>
  <c r="H3386" i="1"/>
  <c r="H3388" i="1"/>
  <c r="H3392" i="1"/>
  <c r="H3394" i="1"/>
  <c r="H3396" i="1"/>
  <c r="H3400" i="1"/>
  <c r="H3404" i="1"/>
  <c r="H3406" i="1"/>
  <c r="H3408" i="1"/>
  <c r="H3410" i="1"/>
  <c r="H3411" i="1"/>
  <c r="H3412" i="1"/>
  <c r="H3416" i="1"/>
  <c r="H3418" i="1"/>
  <c r="H3420" i="1"/>
  <c r="H3424" i="1"/>
  <c r="H3426" i="1"/>
  <c r="H3428" i="1"/>
  <c r="H3432" i="1"/>
  <c r="H3436" i="1"/>
  <c r="H3438" i="1"/>
  <c r="H3440" i="1"/>
  <c r="H3442" i="1"/>
  <c r="H3443" i="1"/>
  <c r="H3444" i="1"/>
  <c r="H3448" i="1"/>
  <c r="H3450" i="1"/>
  <c r="H3452" i="1"/>
  <c r="H3456" i="1"/>
  <c r="H3458" i="1"/>
  <c r="H3460" i="1"/>
  <c r="H3464" i="1"/>
  <c r="H3468" i="1"/>
  <c r="H3470" i="1"/>
  <c r="H3472" i="1"/>
  <c r="H3474" i="1"/>
  <c r="H3475" i="1"/>
  <c r="H3476" i="1"/>
  <c r="H3480" i="1"/>
  <c r="H3482" i="1"/>
  <c r="H3484" i="1"/>
  <c r="H3488" i="1"/>
  <c r="H3490" i="1"/>
  <c r="H3492" i="1"/>
  <c r="H3496" i="1"/>
  <c r="H3500" i="1"/>
  <c r="H3502" i="1"/>
  <c r="H3504" i="1"/>
  <c r="H3506" i="1"/>
  <c r="H3507" i="1"/>
  <c r="H3508" i="1"/>
  <c r="H3512" i="1"/>
  <c r="H3514" i="1"/>
  <c r="H3516" i="1"/>
  <c r="H3520" i="1"/>
  <c r="H3522" i="1"/>
  <c r="H3524" i="1"/>
  <c r="H3528" i="1"/>
  <c r="H3532" i="1"/>
  <c r="H3534" i="1"/>
  <c r="H3536" i="1"/>
  <c r="H3538" i="1"/>
  <c r="H3539" i="1"/>
  <c r="H3540" i="1"/>
  <c r="H3544" i="1"/>
  <c r="H3546" i="1"/>
  <c r="H3548" i="1"/>
  <c r="H3552" i="1"/>
  <c r="H3554" i="1"/>
  <c r="H3556" i="1"/>
  <c r="H3560" i="1"/>
  <c r="H3564" i="1"/>
  <c r="H3566" i="1"/>
  <c r="H3568" i="1"/>
  <c r="H3570" i="1"/>
  <c r="H3571" i="1"/>
  <c r="H3572" i="1"/>
  <c r="H3576" i="1"/>
  <c r="H3578" i="1"/>
  <c r="H3580" i="1"/>
  <c r="H3584" i="1"/>
  <c r="H3586" i="1"/>
  <c r="H3588" i="1"/>
  <c r="H3592" i="1"/>
  <c r="H3596" i="1"/>
  <c r="H3598" i="1"/>
  <c r="H3600" i="1"/>
  <c r="H3602" i="1"/>
  <c r="H3603" i="1"/>
  <c r="H3604" i="1"/>
  <c r="H3608" i="1"/>
  <c r="H3610" i="1"/>
  <c r="H3612" i="1"/>
  <c r="H3616" i="1"/>
  <c r="H3618" i="1"/>
  <c r="H3620" i="1"/>
  <c r="H3624" i="1"/>
  <c r="H3627" i="1"/>
  <c r="H3628" i="1"/>
  <c r="H3629" i="1"/>
  <c r="H3632" i="1"/>
  <c r="H3633" i="1"/>
  <c r="H3635" i="1"/>
  <c r="H3636" i="1"/>
  <c r="H3637" i="1"/>
  <c r="H3639" i="1"/>
  <c r="H3640" i="1"/>
  <c r="H3644" i="1"/>
  <c r="H3645" i="1"/>
  <c r="H3648" i="1"/>
  <c r="H3649" i="1"/>
  <c r="H3652" i="1"/>
  <c r="H3653" i="1"/>
  <c r="H3656" i="1"/>
  <c r="H3659" i="1"/>
  <c r="H3660" i="1"/>
  <c r="H3661" i="1"/>
  <c r="H3664" i="1"/>
  <c r="H3665" i="1"/>
  <c r="H3667" i="1"/>
  <c r="H3668" i="1"/>
  <c r="H3669" i="1"/>
  <c r="H3671" i="1"/>
  <c r="H3672" i="1"/>
  <c r="H3676" i="1"/>
  <c r="H3677" i="1"/>
  <c r="H3680" i="1"/>
  <c r="H3681" i="1"/>
  <c r="H3684" i="1"/>
  <c r="H3685" i="1"/>
  <c r="H3688" i="1"/>
  <c r="H3691" i="1"/>
  <c r="H3692" i="1"/>
  <c r="H3693" i="1"/>
  <c r="H3696" i="1"/>
  <c r="H3697" i="1"/>
  <c r="H3699" i="1"/>
  <c r="H3700" i="1"/>
  <c r="H3701" i="1"/>
  <c r="H3703" i="1"/>
  <c r="H3704" i="1"/>
  <c r="H3708" i="1"/>
  <c r="H3709" i="1"/>
  <c r="H3712" i="1"/>
  <c r="H3713" i="1"/>
  <c r="H3716" i="1"/>
  <c r="H3717" i="1"/>
  <c r="H3720" i="1"/>
  <c r="H3723" i="1"/>
  <c r="H3724" i="1"/>
  <c r="H3725" i="1"/>
  <c r="H3728" i="1"/>
  <c r="H3729" i="1"/>
  <c r="H3731" i="1"/>
  <c r="H3732" i="1"/>
  <c r="H3733" i="1"/>
  <c r="H3735" i="1"/>
  <c r="H3736" i="1"/>
  <c r="H3740" i="1"/>
  <c r="H3741" i="1"/>
  <c r="H3744" i="1"/>
  <c r="H3745" i="1"/>
  <c r="H3748" i="1"/>
  <c r="H3749" i="1"/>
  <c r="H3752" i="1"/>
  <c r="H3755" i="1"/>
  <c r="H3756" i="1"/>
  <c r="H3757" i="1"/>
  <c r="H3760" i="1"/>
  <c r="H3761" i="1"/>
  <c r="H3763" i="1"/>
  <c r="H3764" i="1"/>
  <c r="H3765" i="1"/>
  <c r="H3767" i="1"/>
  <c r="H3768" i="1"/>
  <c r="H3772" i="1"/>
  <c r="H3773" i="1"/>
  <c r="H3776" i="1"/>
  <c r="H3777" i="1"/>
  <c r="H3780" i="1"/>
  <c r="H3781" i="1"/>
  <c r="H3784" i="1"/>
  <c r="H3787" i="1"/>
  <c r="H3788" i="1"/>
  <c r="H3789" i="1"/>
  <c r="H3792" i="1"/>
  <c r="H3793" i="1"/>
  <c r="H3795" i="1"/>
  <c r="H3796" i="1"/>
  <c r="H3797" i="1"/>
  <c r="H3799" i="1"/>
  <c r="H3800" i="1"/>
  <c r="H3804" i="1"/>
  <c r="H3805" i="1"/>
  <c r="H3808" i="1"/>
  <c r="H3809" i="1"/>
  <c r="H3812" i="1"/>
  <c r="H3813" i="1"/>
  <c r="H3816" i="1"/>
  <c r="H3819" i="1"/>
  <c r="H3820" i="1"/>
  <c r="H3821" i="1"/>
  <c r="H3824" i="1"/>
  <c r="H3825" i="1"/>
  <c r="H3827" i="1"/>
  <c r="H3828" i="1"/>
  <c r="H3829" i="1"/>
  <c r="H3831" i="1"/>
  <c r="H3832" i="1"/>
  <c r="H3836" i="1"/>
  <c r="H3837" i="1"/>
  <c r="H3840" i="1"/>
  <c r="H3841" i="1"/>
  <c r="H3844" i="1"/>
  <c r="H3845" i="1"/>
  <c r="H3848" i="1"/>
  <c r="H3851" i="1"/>
  <c r="H3852" i="1"/>
  <c r="H3853" i="1"/>
  <c r="H3856" i="1"/>
  <c r="H3857" i="1"/>
  <c r="H3859" i="1"/>
  <c r="H3860" i="1"/>
  <c r="H3861" i="1"/>
  <c r="H3863" i="1"/>
  <c r="H3864" i="1"/>
  <c r="H3868" i="1"/>
  <c r="H3869" i="1"/>
  <c r="H3872" i="1"/>
  <c r="H3873" i="1"/>
  <c r="H3876" i="1"/>
  <c r="H3877" i="1"/>
  <c r="H3880" i="1"/>
  <c r="H3883" i="1"/>
  <c r="H3884" i="1"/>
  <c r="H3885" i="1"/>
  <c r="H3888" i="1"/>
  <c r="H3889" i="1"/>
  <c r="H3891" i="1"/>
  <c r="H3892" i="1"/>
  <c r="H3893" i="1"/>
  <c r="H3895" i="1"/>
  <c r="H3896" i="1"/>
  <c r="H3900" i="1"/>
  <c r="H3901" i="1"/>
  <c r="H3904" i="1"/>
  <c r="H3905" i="1"/>
  <c r="H3908" i="1"/>
  <c r="H3909" i="1"/>
  <c r="H3912" i="1"/>
  <c r="H3915" i="1"/>
  <c r="H3916" i="1"/>
  <c r="H3917" i="1"/>
  <c r="H3920" i="1"/>
  <c r="H3921" i="1"/>
  <c r="H3923" i="1"/>
  <c r="H3924" i="1"/>
  <c r="H3925" i="1"/>
  <c r="H3927" i="1"/>
  <c r="H3928" i="1"/>
  <c r="H3932" i="1"/>
  <c r="H3933" i="1"/>
  <c r="H3936" i="1"/>
  <c r="H3937" i="1"/>
  <c r="H3940" i="1"/>
  <c r="H3941" i="1"/>
  <c r="H3944" i="1"/>
  <c r="H3947" i="1"/>
  <c r="H3948" i="1"/>
  <c r="H3949" i="1"/>
  <c r="H3952" i="1"/>
  <c r="H3953" i="1"/>
  <c r="H3955" i="1"/>
  <c r="H3956" i="1"/>
  <c r="H3957" i="1"/>
  <c r="H3959" i="1"/>
  <c r="H3960" i="1"/>
  <c r="H3964" i="1"/>
  <c r="H3965" i="1"/>
  <c r="H3968" i="1"/>
  <c r="H3969" i="1"/>
  <c r="H3972" i="1"/>
  <c r="H3973" i="1"/>
  <c r="H3976" i="1"/>
  <c r="H3979" i="1"/>
  <c r="H3980" i="1"/>
  <c r="H3981" i="1"/>
  <c r="H3984" i="1"/>
  <c r="H3985" i="1"/>
  <c r="H3987" i="1"/>
  <c r="H3988" i="1"/>
  <c r="H3989" i="1"/>
  <c r="H3991" i="1"/>
  <c r="H3992" i="1"/>
  <c r="H3996" i="1"/>
  <c r="H3997" i="1"/>
  <c r="H4000" i="1"/>
  <c r="H4001" i="1"/>
  <c r="H4004" i="1"/>
  <c r="H4005" i="1"/>
  <c r="H4008" i="1"/>
  <c r="H4011" i="1"/>
  <c r="H4012" i="1"/>
  <c r="H4013" i="1"/>
  <c r="H4016" i="1"/>
  <c r="H4017" i="1"/>
  <c r="H4019" i="1"/>
  <c r="H4020" i="1"/>
  <c r="H4021" i="1"/>
  <c r="H4023" i="1"/>
  <c r="H4024" i="1"/>
  <c r="H4028" i="1"/>
  <c r="H4029" i="1"/>
  <c r="H4032" i="1"/>
  <c r="H4033" i="1"/>
  <c r="H4036" i="1"/>
  <c r="H4037" i="1"/>
  <c r="H4040" i="1"/>
  <c r="H4043" i="1"/>
  <c r="H4044" i="1"/>
  <c r="H4045" i="1"/>
  <c r="H4048" i="1"/>
  <c r="H4049" i="1"/>
  <c r="H4051" i="1"/>
  <c r="H4052" i="1"/>
  <c r="H4053" i="1"/>
  <c r="H4055" i="1"/>
  <c r="H4056" i="1"/>
  <c r="H4060" i="1"/>
  <c r="H4061" i="1"/>
  <c r="H4064" i="1"/>
  <c r="H4065" i="1"/>
  <c r="H4068" i="1"/>
  <c r="H4069" i="1"/>
  <c r="H4072" i="1"/>
  <c r="H4075" i="1"/>
  <c r="H4076" i="1"/>
  <c r="H4077" i="1"/>
  <c r="H4080" i="1"/>
  <c r="H4081" i="1"/>
  <c r="H4083" i="1"/>
  <c r="H4084" i="1"/>
  <c r="H4085" i="1"/>
  <c r="H4087" i="1"/>
  <c r="H4088" i="1"/>
  <c r="H4092" i="1"/>
  <c r="H4093" i="1"/>
  <c r="H4096" i="1"/>
  <c r="H4097" i="1"/>
  <c r="H4100" i="1"/>
  <c r="H4101" i="1"/>
  <c r="H4104" i="1"/>
  <c r="H4107" i="1"/>
  <c r="H4108" i="1"/>
  <c r="H4109" i="1"/>
  <c r="H4112" i="1"/>
  <c r="H4113" i="1"/>
  <c r="H4115" i="1"/>
  <c r="H4116" i="1"/>
  <c r="H4117" i="1"/>
  <c r="H4119" i="1"/>
  <c r="H4120" i="1"/>
  <c r="H4124" i="1"/>
  <c r="H4125" i="1"/>
  <c r="H4128" i="1"/>
  <c r="H4129" i="1"/>
  <c r="H4132" i="1"/>
  <c r="H4133" i="1"/>
  <c r="H4136" i="1"/>
  <c r="H4137" i="1"/>
  <c r="H4140" i="1"/>
  <c r="H4141" i="1"/>
  <c r="H4144" i="1"/>
  <c r="H4145" i="1"/>
  <c r="H4148" i="1"/>
  <c r="H4149" i="1"/>
  <c r="H4152" i="1"/>
  <c r="H4153" i="1"/>
  <c r="H4156" i="1"/>
  <c r="H4157" i="1"/>
  <c r="H4160" i="1"/>
  <c r="H4161" i="1"/>
  <c r="H4164" i="1"/>
  <c r="H4165" i="1"/>
  <c r="H4168" i="1"/>
  <c r="H4169" i="1"/>
  <c r="H4172" i="1"/>
  <c r="H4173" i="1"/>
  <c r="H4176" i="1"/>
  <c r="H4177" i="1"/>
  <c r="H4180" i="1"/>
  <c r="H4181" i="1"/>
  <c r="H4184" i="1"/>
  <c r="H4185" i="1"/>
  <c r="H4188" i="1"/>
  <c r="H4189" i="1"/>
  <c r="H4192" i="1"/>
  <c r="H4193" i="1"/>
  <c r="H4196" i="1"/>
  <c r="H4197" i="1"/>
  <c r="H4200" i="1"/>
  <c r="H4201" i="1"/>
  <c r="H4204" i="1"/>
  <c r="H4205" i="1"/>
  <c r="H4208" i="1"/>
  <c r="H4209" i="1"/>
  <c r="H4212" i="1"/>
  <c r="H4213" i="1"/>
  <c r="H4216" i="1"/>
  <c r="H4217" i="1"/>
  <c r="H4220" i="1"/>
  <c r="H4221" i="1"/>
  <c r="H4224" i="1"/>
  <c r="H4225" i="1"/>
  <c r="H4228" i="1"/>
  <c r="H4229" i="1"/>
  <c r="H4232" i="1"/>
  <c r="H4233" i="1"/>
  <c r="H4236" i="1"/>
  <c r="H4237" i="1"/>
  <c r="H4240" i="1"/>
  <c r="H4241" i="1"/>
  <c r="H4244" i="1"/>
  <c r="H4245" i="1"/>
  <c r="H4248" i="1"/>
  <c r="H4249" i="1"/>
  <c r="H4252" i="1"/>
  <c r="H4253" i="1"/>
  <c r="H4256" i="1"/>
  <c r="H4257" i="1"/>
  <c r="H4260" i="1"/>
  <c r="H4261" i="1"/>
  <c r="H4264" i="1"/>
  <c r="H4265" i="1"/>
  <c r="H4268" i="1"/>
  <c r="H4269" i="1"/>
  <c r="H4272" i="1"/>
  <c r="H4273" i="1"/>
  <c r="H4276" i="1"/>
  <c r="H4277" i="1"/>
  <c r="H4280" i="1"/>
  <c r="H4281" i="1"/>
  <c r="H4284" i="1"/>
  <c r="H4285" i="1"/>
  <c r="H4288" i="1"/>
  <c r="H4289" i="1"/>
  <c r="H4292" i="1"/>
  <c r="H4293" i="1"/>
  <c r="H4296" i="1"/>
  <c r="H4297" i="1"/>
  <c r="H4300" i="1"/>
  <c r="H4301" i="1"/>
  <c r="H4304" i="1"/>
  <c r="H4305" i="1"/>
  <c r="H4308" i="1"/>
  <c r="H4309" i="1"/>
  <c r="H4312" i="1"/>
  <c r="H4313" i="1"/>
  <c r="H4316" i="1"/>
  <c r="H4317" i="1"/>
  <c r="H4320" i="1"/>
  <c r="H4321" i="1"/>
  <c r="H4324" i="1"/>
  <c r="H4325" i="1"/>
  <c r="H4328" i="1"/>
  <c r="H4329" i="1"/>
  <c r="H4332" i="1"/>
  <c r="H4333" i="1"/>
  <c r="H4336" i="1"/>
  <c r="H4337" i="1"/>
  <c r="H4340" i="1"/>
  <c r="H4341" i="1"/>
  <c r="H4344" i="1"/>
  <c r="H4345" i="1"/>
  <c r="H4348" i="1"/>
  <c r="H4349" i="1"/>
  <c r="H4352" i="1"/>
  <c r="H4353" i="1"/>
  <c r="H4356" i="1"/>
  <c r="H4357" i="1"/>
  <c r="H4360" i="1"/>
  <c r="H4361" i="1"/>
  <c r="H4364" i="1"/>
  <c r="H4365" i="1"/>
  <c r="H4368" i="1"/>
  <c r="H4369" i="1"/>
  <c r="H4372" i="1"/>
  <c r="H4373" i="1"/>
  <c r="H4376" i="1"/>
  <c r="H4377" i="1"/>
  <c r="H4380" i="1"/>
  <c r="H4381" i="1"/>
  <c r="H4384" i="1"/>
  <c r="H4385" i="1"/>
  <c r="H4388" i="1"/>
  <c r="H4389" i="1"/>
  <c r="H4392" i="1"/>
  <c r="H4393" i="1"/>
  <c r="H4396" i="1"/>
  <c r="H4397" i="1"/>
  <c r="H4400" i="1"/>
  <c r="H4401" i="1"/>
  <c r="H4404" i="1"/>
  <c r="H4405" i="1"/>
  <c r="H4408" i="1"/>
  <c r="H4409" i="1"/>
  <c r="H4412" i="1"/>
  <c r="H4413" i="1"/>
  <c r="H4416" i="1"/>
  <c r="H4417" i="1"/>
  <c r="H4420" i="1"/>
  <c r="H4421" i="1"/>
  <c r="H4424" i="1"/>
  <c r="H4425" i="1"/>
  <c r="H4428" i="1"/>
  <c r="H4429" i="1"/>
  <c r="H4432" i="1"/>
  <c r="H4433" i="1"/>
  <c r="H4436" i="1"/>
  <c r="H4437" i="1"/>
  <c r="H4440" i="1"/>
  <c r="H4441" i="1"/>
  <c r="H4444" i="1"/>
  <c r="H4445" i="1"/>
  <c r="H4448" i="1"/>
  <c r="H4449" i="1"/>
  <c r="H4452" i="1"/>
  <c r="H4453" i="1"/>
  <c r="H4456" i="1"/>
  <c r="H4457" i="1"/>
  <c r="H4460" i="1"/>
  <c r="H4461" i="1"/>
  <c r="H4464" i="1"/>
  <c r="H4465" i="1"/>
  <c r="H4468" i="1"/>
  <c r="H4469" i="1"/>
  <c r="H4472" i="1"/>
  <c r="H4473" i="1"/>
  <c r="H4476" i="1"/>
  <c r="H4477" i="1"/>
  <c r="H4480" i="1"/>
  <c r="H4481" i="1"/>
  <c r="H4484" i="1"/>
  <c r="H4485" i="1"/>
  <c r="H4488" i="1"/>
  <c r="H4489" i="1"/>
  <c r="H4492" i="1"/>
  <c r="H4493" i="1"/>
  <c r="H4496" i="1"/>
  <c r="H4497" i="1"/>
  <c r="H4500" i="1"/>
  <c r="H4501" i="1"/>
  <c r="H4504" i="1"/>
  <c r="H4505" i="1"/>
  <c r="H4508" i="1"/>
  <c r="H4509" i="1"/>
  <c r="H4512" i="1"/>
  <c r="H4513" i="1"/>
  <c r="H4516" i="1"/>
  <c r="H4517" i="1"/>
  <c r="H4520" i="1"/>
  <c r="H4521" i="1"/>
  <c r="H4524" i="1"/>
  <c r="H4525" i="1"/>
  <c r="H4528" i="1"/>
  <c r="H4529" i="1"/>
  <c r="H4532" i="1"/>
  <c r="H4533" i="1"/>
  <c r="H4536" i="1"/>
  <c r="H4537" i="1"/>
  <c r="H4540" i="1"/>
  <c r="H4541" i="1"/>
  <c r="H4544" i="1"/>
  <c r="H4545" i="1"/>
  <c r="H4548" i="1"/>
  <c r="H4549" i="1"/>
  <c r="H4552" i="1"/>
  <c r="H4553" i="1"/>
  <c r="H4556" i="1"/>
  <c r="H4557" i="1"/>
  <c r="H4560" i="1"/>
  <c r="H4561" i="1"/>
  <c r="H4564" i="1"/>
  <c r="H4565" i="1"/>
  <c r="H4568" i="1"/>
  <c r="H4569" i="1"/>
  <c r="H4572" i="1"/>
  <c r="H4573" i="1"/>
  <c r="H4576" i="1"/>
  <c r="H4577" i="1"/>
  <c r="H4580" i="1"/>
  <c r="H4581" i="1"/>
  <c r="H4584" i="1"/>
  <c r="H4585" i="1"/>
  <c r="H4588" i="1"/>
  <c r="H4589" i="1"/>
  <c r="H4592" i="1"/>
  <c r="H4593" i="1"/>
  <c r="H4596" i="1"/>
  <c r="H4597" i="1"/>
  <c r="H4600" i="1"/>
  <c r="H4601" i="1"/>
  <c r="H4604" i="1"/>
  <c r="H4605" i="1"/>
  <c r="H4608" i="1"/>
  <c r="H4609" i="1"/>
  <c r="H4612" i="1"/>
  <c r="H4613" i="1"/>
  <c r="H4616" i="1"/>
  <c r="H4617" i="1"/>
  <c r="H4620" i="1"/>
  <c r="H4621" i="1"/>
  <c r="H4624" i="1"/>
  <c r="H4625" i="1"/>
  <c r="H4628" i="1"/>
  <c r="H4629" i="1"/>
  <c r="H4632" i="1"/>
  <c r="H4633" i="1"/>
  <c r="H4636" i="1"/>
  <c r="H4637" i="1"/>
  <c r="H4640" i="1"/>
  <c r="H4641" i="1"/>
  <c r="H4644" i="1"/>
  <c r="H4645" i="1"/>
  <c r="H4648" i="1"/>
  <c r="H4649" i="1"/>
  <c r="H4652" i="1"/>
  <c r="H4653" i="1"/>
  <c r="H4656" i="1"/>
  <c r="H4657" i="1"/>
  <c r="H4660" i="1"/>
  <c r="H4661" i="1"/>
  <c r="H4664" i="1"/>
  <c r="H4665" i="1"/>
  <c r="H4668" i="1"/>
  <c r="H4669" i="1"/>
  <c r="H4672" i="1"/>
  <c r="H4673" i="1"/>
  <c r="H4676" i="1"/>
  <c r="H4677" i="1"/>
  <c r="H4680" i="1"/>
  <c r="H4681" i="1"/>
  <c r="H4684" i="1"/>
  <c r="H4685" i="1"/>
  <c r="H4688" i="1"/>
  <c r="H4689" i="1"/>
  <c r="H4692" i="1"/>
  <c r="H4693" i="1"/>
  <c r="H4696" i="1"/>
  <c r="H4697" i="1"/>
  <c r="H4700" i="1"/>
  <c r="H4701" i="1"/>
  <c r="H4704" i="1"/>
  <c r="H4705" i="1"/>
  <c r="H4708" i="1"/>
  <c r="H4709" i="1"/>
  <c r="H4712" i="1"/>
  <c r="H4713" i="1"/>
  <c r="H4716" i="1"/>
  <c r="H4717" i="1"/>
  <c r="H4720" i="1"/>
  <c r="H4721" i="1"/>
  <c r="H4724" i="1"/>
  <c r="H4725" i="1"/>
  <c r="H4728" i="1"/>
  <c r="H4729" i="1"/>
  <c r="H4732" i="1"/>
  <c r="H4733" i="1"/>
  <c r="H4736" i="1"/>
  <c r="H4737" i="1"/>
  <c r="H4740" i="1"/>
  <c r="H4741" i="1"/>
  <c r="H4744" i="1"/>
  <c r="H4745" i="1"/>
  <c r="H4748" i="1"/>
  <c r="H4749" i="1"/>
  <c r="H4752" i="1"/>
  <c r="H4753" i="1"/>
  <c r="H4756" i="1"/>
  <c r="H4757" i="1"/>
  <c r="H4760" i="1"/>
  <c r="H4761" i="1"/>
  <c r="H4764" i="1"/>
  <c r="H4765" i="1"/>
  <c r="H4768" i="1"/>
  <c r="H4769" i="1"/>
  <c r="H4772" i="1"/>
  <c r="H4773" i="1"/>
  <c r="H4776" i="1"/>
  <c r="H4777" i="1"/>
  <c r="H4780" i="1"/>
  <c r="H4781" i="1"/>
  <c r="H4784" i="1"/>
  <c r="H4785" i="1"/>
  <c r="H4788" i="1"/>
  <c r="H4789" i="1"/>
  <c r="H4792" i="1"/>
  <c r="H4793" i="1"/>
  <c r="H4796" i="1"/>
  <c r="H4797" i="1"/>
  <c r="H4800" i="1"/>
  <c r="H4801" i="1"/>
  <c r="H4804" i="1"/>
  <c r="H4805" i="1"/>
  <c r="H4808" i="1"/>
  <c r="H4809" i="1"/>
  <c r="H4812" i="1"/>
  <c r="H4813" i="1"/>
  <c r="H4816" i="1"/>
  <c r="H4817" i="1"/>
  <c r="H4820" i="1"/>
  <c r="H4821" i="1"/>
  <c r="H4824" i="1"/>
  <c r="H4825" i="1"/>
  <c r="H4828" i="1"/>
  <c r="H4829" i="1"/>
  <c r="H4832" i="1"/>
  <c r="H4833" i="1"/>
  <c r="H4836" i="1"/>
  <c r="H4837" i="1"/>
  <c r="H4840" i="1"/>
  <c r="H4841" i="1"/>
  <c r="H4844" i="1"/>
  <c r="H4845" i="1"/>
  <c r="H4848" i="1"/>
  <c r="H4849" i="1"/>
  <c r="H4852" i="1"/>
  <c r="H4853" i="1"/>
  <c r="H4856" i="1"/>
  <c r="H4857" i="1"/>
  <c r="H4860" i="1"/>
  <c r="H4861" i="1"/>
  <c r="H4864" i="1"/>
  <c r="H4865" i="1"/>
  <c r="H4868" i="1"/>
  <c r="H4869" i="1"/>
  <c r="H4872" i="1"/>
  <c r="H4873" i="1"/>
  <c r="H4876" i="1"/>
  <c r="H4877" i="1"/>
  <c r="H4880" i="1"/>
  <c r="H4881" i="1"/>
  <c r="H4884" i="1"/>
  <c r="H4885" i="1"/>
  <c r="H4888" i="1"/>
  <c r="H4889" i="1"/>
  <c r="H4892" i="1"/>
  <c r="H4893" i="1"/>
  <c r="H4896" i="1"/>
  <c r="H4897" i="1"/>
  <c r="H4900" i="1"/>
  <c r="H4901" i="1"/>
  <c r="H4904" i="1"/>
  <c r="H4905" i="1"/>
  <c r="H4908" i="1"/>
  <c r="H4909" i="1"/>
  <c r="H4912" i="1"/>
  <c r="H4913" i="1"/>
  <c r="H4916" i="1"/>
  <c r="H4917" i="1"/>
  <c r="H4920" i="1"/>
  <c r="H4921" i="1"/>
  <c r="H4924" i="1"/>
  <c r="H4925" i="1"/>
  <c r="H4928" i="1"/>
  <c r="H4929" i="1"/>
  <c r="H4932" i="1"/>
  <c r="H4933" i="1"/>
  <c r="H4936" i="1"/>
  <c r="H4937" i="1"/>
  <c r="H4940" i="1"/>
  <c r="H4941" i="1"/>
  <c r="H4944" i="1"/>
  <c r="H4945" i="1"/>
  <c r="H4948" i="1"/>
  <c r="H4949" i="1"/>
  <c r="H4952" i="1"/>
  <c r="H4953" i="1"/>
  <c r="H4956" i="1"/>
  <c r="H4957" i="1"/>
  <c r="H4960" i="1"/>
  <c r="H4961" i="1"/>
  <c r="H4964" i="1"/>
  <c r="H4965" i="1"/>
  <c r="H4968" i="1"/>
  <c r="H4969" i="1"/>
  <c r="H4972" i="1"/>
  <c r="H4973" i="1"/>
  <c r="H4976" i="1"/>
  <c r="H4977" i="1"/>
  <c r="H4980" i="1"/>
  <c r="H4981" i="1"/>
  <c r="H4984" i="1"/>
  <c r="H4985" i="1"/>
  <c r="H4988" i="1"/>
  <c r="H4989" i="1"/>
  <c r="H4992" i="1"/>
  <c r="H4993" i="1"/>
  <c r="H4996" i="1"/>
  <c r="H4997" i="1"/>
  <c r="H3" i="1"/>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508" i="2"/>
  <c r="R1509" i="2"/>
  <c r="R1510" i="2"/>
  <c r="R1511" i="2"/>
  <c r="R1512" i="2"/>
  <c r="R1513" i="2"/>
  <c r="R1514" i="2"/>
  <c r="R1515" i="2"/>
  <c r="R1516" i="2"/>
  <c r="R1517" i="2"/>
  <c r="R1518" i="2"/>
  <c r="R1519" i="2"/>
  <c r="R1520" i="2"/>
  <c r="R1521" i="2"/>
  <c r="R1522" i="2"/>
  <c r="R1523" i="2"/>
  <c r="R1524" i="2"/>
  <c r="R1525" i="2"/>
  <c r="R1526" i="2"/>
  <c r="R1527" i="2"/>
  <c r="R1528" i="2"/>
  <c r="R1529" i="2"/>
  <c r="R1530" i="2"/>
  <c r="R1531" i="2"/>
  <c r="R1532" i="2"/>
  <c r="R1533" i="2"/>
  <c r="R1534" i="2"/>
  <c r="R1535" i="2"/>
  <c r="R1536" i="2"/>
  <c r="R1537" i="2"/>
  <c r="R1538" i="2"/>
  <c r="R1539" i="2"/>
  <c r="R1540" i="2"/>
  <c r="R1541" i="2"/>
  <c r="R1542" i="2"/>
  <c r="R1543" i="2"/>
  <c r="R1544" i="2"/>
  <c r="R1545" i="2"/>
  <c r="R1546" i="2"/>
  <c r="R1547" i="2"/>
  <c r="R1548" i="2"/>
  <c r="R1549" i="2"/>
  <c r="R1550" i="2"/>
  <c r="R1551" i="2"/>
  <c r="R1552" i="2"/>
  <c r="R1553" i="2"/>
  <c r="R1554" i="2"/>
  <c r="R1555" i="2"/>
  <c r="R1556" i="2"/>
  <c r="R1557" i="2"/>
  <c r="R1558" i="2"/>
  <c r="R1559" i="2"/>
  <c r="R1560" i="2"/>
  <c r="R1561" i="2"/>
  <c r="R1562" i="2"/>
  <c r="R1563" i="2"/>
  <c r="R1564" i="2"/>
  <c r="R1565" i="2"/>
  <c r="R1566" i="2"/>
  <c r="R1567" i="2"/>
  <c r="R1568" i="2"/>
  <c r="R1569" i="2"/>
  <c r="R1570" i="2"/>
  <c r="R1571" i="2"/>
  <c r="R1572" i="2"/>
  <c r="R1573" i="2"/>
  <c r="R1574" i="2"/>
  <c r="R1575" i="2"/>
  <c r="R1576" i="2"/>
  <c r="R1577" i="2"/>
  <c r="R1578" i="2"/>
  <c r="R1579" i="2"/>
  <c r="R1580" i="2"/>
  <c r="R1581" i="2"/>
  <c r="R1582" i="2"/>
  <c r="R1583" i="2"/>
  <c r="R1584" i="2"/>
  <c r="R1585" i="2"/>
  <c r="R1586" i="2"/>
  <c r="R1587" i="2"/>
  <c r="R1588" i="2"/>
  <c r="R1589" i="2"/>
  <c r="R1590" i="2"/>
  <c r="R1591" i="2"/>
  <c r="R1592" i="2"/>
  <c r="R1593" i="2"/>
  <c r="R1594" i="2"/>
  <c r="R1595" i="2"/>
  <c r="R1596" i="2"/>
  <c r="R1597" i="2"/>
  <c r="R1598" i="2"/>
  <c r="R1599" i="2"/>
  <c r="R1600" i="2"/>
  <c r="R1601" i="2"/>
  <c r="R1602" i="2"/>
  <c r="R1603" i="2"/>
  <c r="R1604" i="2"/>
  <c r="R1605" i="2"/>
  <c r="R1606" i="2"/>
  <c r="R1607" i="2"/>
  <c r="R1608" i="2"/>
  <c r="R1609" i="2"/>
  <c r="R1610" i="2"/>
  <c r="R1611" i="2"/>
  <c r="R1612" i="2"/>
  <c r="R1613" i="2"/>
  <c r="R1614" i="2"/>
  <c r="R1615" i="2"/>
  <c r="R1616" i="2"/>
  <c r="R1617" i="2"/>
  <c r="R1618" i="2"/>
  <c r="R1619" i="2"/>
  <c r="R1620" i="2"/>
  <c r="R1621" i="2"/>
  <c r="R1622" i="2"/>
  <c r="R1623" i="2"/>
  <c r="R1624" i="2"/>
  <c r="R1625" i="2"/>
  <c r="R1626" i="2"/>
  <c r="R1627" i="2"/>
  <c r="R1628" i="2"/>
  <c r="R1629" i="2"/>
  <c r="R1630" i="2"/>
  <c r="R1631" i="2"/>
  <c r="R1632" i="2"/>
  <c r="R1633" i="2"/>
  <c r="R1634" i="2"/>
  <c r="R1635" i="2"/>
  <c r="R1636" i="2"/>
  <c r="R1637"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686" i="2"/>
  <c r="R1687" i="2"/>
  <c r="R1688" i="2"/>
  <c r="R1689" i="2"/>
  <c r="R1690" i="2"/>
  <c r="R1691" i="2"/>
  <c r="R1692" i="2"/>
  <c r="R1693" i="2"/>
  <c r="R1694"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 r="R1722" i="2"/>
  <c r="R1723" i="2"/>
  <c r="R1724" i="2"/>
  <c r="R1725" i="2"/>
  <c r="R1726" i="2"/>
  <c r="R1727" i="2"/>
  <c r="R1728" i="2"/>
  <c r="R1729" i="2"/>
  <c r="R1730" i="2"/>
  <c r="R1731" i="2"/>
  <c r="R1732" i="2"/>
  <c r="R1733" i="2"/>
  <c r="R1734" i="2"/>
  <c r="R1735" i="2"/>
  <c r="R1736" i="2"/>
  <c r="R1737" i="2"/>
  <c r="R1738" i="2"/>
  <c r="R1739" i="2"/>
  <c r="R1740" i="2"/>
  <c r="R1741"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4"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R4192" i="2"/>
  <c r="R4193" i="2"/>
  <c r="R4194" i="2"/>
  <c r="R4195" i="2"/>
  <c r="R4196" i="2"/>
  <c r="R4197" i="2"/>
  <c r="R4198" i="2"/>
  <c r="R4199" i="2"/>
  <c r="R4200" i="2"/>
  <c r="R4201" i="2"/>
  <c r="R4202" i="2"/>
  <c r="R4203" i="2"/>
  <c r="R4204" i="2"/>
  <c r="R4205" i="2"/>
  <c r="R4206" i="2"/>
  <c r="R4207" i="2"/>
  <c r="R4208" i="2"/>
  <c r="R4209" i="2"/>
  <c r="R4210" i="2"/>
  <c r="R4211" i="2"/>
  <c r="R4212" i="2"/>
  <c r="R4213" i="2"/>
  <c r="R4214" i="2"/>
  <c r="R4215" i="2"/>
  <c r="R4216" i="2"/>
  <c r="R4217" i="2"/>
  <c r="R4218" i="2"/>
  <c r="R4219" i="2"/>
  <c r="R4220" i="2"/>
  <c r="R4221" i="2"/>
  <c r="R4222" i="2"/>
  <c r="R4223" i="2"/>
  <c r="R4224" i="2"/>
  <c r="R4225" i="2"/>
  <c r="R4226" i="2"/>
  <c r="R4227" i="2"/>
  <c r="R4228" i="2"/>
  <c r="R4229" i="2"/>
  <c r="R4230" i="2"/>
  <c r="R4231" i="2"/>
  <c r="R4232" i="2"/>
  <c r="R4233" i="2"/>
  <c r="R4234" i="2"/>
  <c r="R4235" i="2"/>
  <c r="R4236" i="2"/>
  <c r="R4237" i="2"/>
  <c r="R4238" i="2"/>
  <c r="R4239" i="2"/>
  <c r="R4240" i="2"/>
  <c r="R4241" i="2"/>
  <c r="R4242" i="2"/>
  <c r="R4243" i="2"/>
  <c r="R4244" i="2"/>
  <c r="R4245" i="2"/>
  <c r="R4246" i="2"/>
  <c r="R4247" i="2"/>
  <c r="R4248" i="2"/>
  <c r="R4249" i="2"/>
  <c r="R4250" i="2"/>
  <c r="R4251" i="2"/>
  <c r="R4252" i="2"/>
  <c r="R4253" i="2"/>
  <c r="R4254" i="2"/>
  <c r="R4255" i="2"/>
  <c r="R4256" i="2"/>
  <c r="R4257" i="2"/>
  <c r="R4258" i="2"/>
  <c r="R4259" i="2"/>
  <c r="R4260" i="2"/>
  <c r="R4261" i="2"/>
  <c r="R4262" i="2"/>
  <c r="R4263" i="2"/>
  <c r="R4264" i="2"/>
  <c r="R4265" i="2"/>
  <c r="R4266" i="2"/>
  <c r="R4267" i="2"/>
  <c r="R4268" i="2"/>
  <c r="R4269" i="2"/>
  <c r="R4270" i="2"/>
  <c r="R4271" i="2"/>
  <c r="R4272" i="2"/>
  <c r="R4273" i="2"/>
  <c r="R4274" i="2"/>
  <c r="R4275" i="2"/>
  <c r="R4276" i="2"/>
  <c r="R4277" i="2"/>
  <c r="R4278" i="2"/>
  <c r="R4279" i="2"/>
  <c r="R4280" i="2"/>
  <c r="R4281" i="2"/>
  <c r="R4282" i="2"/>
  <c r="R4283" i="2"/>
  <c r="R4284" i="2"/>
  <c r="R4285" i="2"/>
  <c r="R4286" i="2"/>
  <c r="R4287" i="2"/>
  <c r="R4288" i="2"/>
  <c r="R4289" i="2"/>
  <c r="R4290" i="2"/>
  <c r="R4291" i="2"/>
  <c r="R4292" i="2"/>
  <c r="R4293" i="2"/>
  <c r="R4294" i="2"/>
  <c r="R4295" i="2"/>
  <c r="R4296" i="2"/>
  <c r="R4297" i="2"/>
  <c r="R4298" i="2"/>
  <c r="R4299" i="2"/>
  <c r="R4300" i="2"/>
  <c r="R4301" i="2"/>
  <c r="R4302" i="2"/>
  <c r="R4303" i="2"/>
  <c r="R4304" i="2"/>
  <c r="R4305" i="2"/>
  <c r="R4306" i="2"/>
  <c r="R4307" i="2"/>
  <c r="R4308" i="2"/>
  <c r="R4309" i="2"/>
  <c r="R4310" i="2"/>
  <c r="R4311" i="2"/>
  <c r="R4312" i="2"/>
  <c r="R4313" i="2"/>
  <c r="R4314" i="2"/>
  <c r="R4315" i="2"/>
  <c r="R4316" i="2"/>
  <c r="R4317" i="2"/>
  <c r="R4318" i="2"/>
  <c r="R4319" i="2"/>
  <c r="R4320" i="2"/>
  <c r="R4321" i="2"/>
  <c r="R4322" i="2"/>
  <c r="R4323" i="2"/>
  <c r="R4324" i="2"/>
  <c r="R4325" i="2"/>
  <c r="R4326" i="2"/>
  <c r="R4327" i="2"/>
  <c r="R4328" i="2"/>
  <c r="R4329" i="2"/>
  <c r="R4330" i="2"/>
  <c r="R4331" i="2"/>
  <c r="R4332" i="2"/>
  <c r="R4333" i="2"/>
  <c r="R4334" i="2"/>
  <c r="R4335" i="2"/>
  <c r="R4336" i="2"/>
  <c r="R4337" i="2"/>
  <c r="R4338" i="2"/>
  <c r="R4339" i="2"/>
  <c r="R4340" i="2"/>
  <c r="R4341" i="2"/>
  <c r="R4342" i="2"/>
  <c r="R4343" i="2"/>
  <c r="R4344" i="2"/>
  <c r="R4345" i="2"/>
  <c r="R4346" i="2"/>
  <c r="R4347" i="2"/>
  <c r="R4348" i="2"/>
  <c r="R4349" i="2"/>
  <c r="R4350" i="2"/>
  <c r="R4351" i="2"/>
  <c r="R4352" i="2"/>
  <c r="R4353" i="2"/>
  <c r="R4354" i="2"/>
  <c r="R4355" i="2"/>
  <c r="R4356" i="2"/>
  <c r="R4357" i="2"/>
  <c r="R4358" i="2"/>
  <c r="R4359" i="2"/>
  <c r="R4360" i="2"/>
  <c r="R4361" i="2"/>
  <c r="R4362" i="2"/>
  <c r="R4363" i="2"/>
  <c r="R4364" i="2"/>
  <c r="R4365" i="2"/>
  <c r="R4366" i="2"/>
  <c r="R4367" i="2"/>
  <c r="R4368" i="2"/>
  <c r="R4369" i="2"/>
  <c r="R4370" i="2"/>
  <c r="R4371" i="2"/>
  <c r="R4372" i="2"/>
  <c r="R4373" i="2"/>
  <c r="R4374" i="2"/>
  <c r="R4375" i="2"/>
  <c r="R4376" i="2"/>
  <c r="R4377" i="2"/>
  <c r="R4378" i="2"/>
  <c r="R4379" i="2"/>
  <c r="R4380" i="2"/>
  <c r="R4381" i="2"/>
  <c r="R4382" i="2"/>
  <c r="R4383" i="2"/>
  <c r="R4384" i="2"/>
  <c r="R4385" i="2"/>
  <c r="R4386" i="2"/>
  <c r="R4387" i="2"/>
  <c r="R4388" i="2"/>
  <c r="R4389" i="2"/>
  <c r="R4390" i="2"/>
  <c r="R4391" i="2"/>
  <c r="R4392" i="2"/>
  <c r="R4393" i="2"/>
  <c r="R4394" i="2"/>
  <c r="R4395" i="2"/>
  <c r="R4396" i="2"/>
  <c r="R4397" i="2"/>
  <c r="R4398" i="2"/>
  <c r="R4399" i="2"/>
  <c r="R4400" i="2"/>
  <c r="R4401" i="2"/>
  <c r="R4402" i="2"/>
  <c r="R4403" i="2"/>
  <c r="R4404" i="2"/>
  <c r="R4405" i="2"/>
  <c r="R4406" i="2"/>
  <c r="R4407" i="2"/>
  <c r="R4408" i="2"/>
  <c r="R4409" i="2"/>
  <c r="R4410" i="2"/>
  <c r="R4411" i="2"/>
  <c r="R4412" i="2"/>
  <c r="R4413" i="2"/>
  <c r="R4414" i="2"/>
  <c r="R4415" i="2"/>
  <c r="R4416" i="2"/>
  <c r="R4417" i="2"/>
  <c r="R4418" i="2"/>
  <c r="R4419" i="2"/>
  <c r="R4420" i="2"/>
  <c r="R4421" i="2"/>
  <c r="R4422" i="2"/>
  <c r="R4423" i="2"/>
  <c r="R4424" i="2"/>
  <c r="R4425" i="2"/>
  <c r="R4426" i="2"/>
  <c r="R4427" i="2"/>
  <c r="R4428" i="2"/>
  <c r="R4429" i="2"/>
  <c r="R4430" i="2"/>
  <c r="R4431" i="2"/>
  <c r="R4432" i="2"/>
  <c r="R4433" i="2"/>
  <c r="R4434" i="2"/>
  <c r="R4435" i="2"/>
  <c r="R4436" i="2"/>
  <c r="R4437" i="2"/>
  <c r="R4438" i="2"/>
  <c r="R4439" i="2"/>
  <c r="R4440" i="2"/>
  <c r="R4441" i="2"/>
  <c r="R4442" i="2"/>
  <c r="R4443" i="2"/>
  <c r="R4444" i="2"/>
  <c r="R4445" i="2"/>
  <c r="R4446" i="2"/>
  <c r="R4447" i="2"/>
  <c r="R4448" i="2"/>
  <c r="R4449" i="2"/>
  <c r="R4450" i="2"/>
  <c r="R4451" i="2"/>
  <c r="R4452" i="2"/>
  <c r="R4453" i="2"/>
  <c r="R4454" i="2"/>
  <c r="R4455" i="2"/>
  <c r="R4456" i="2"/>
  <c r="R4457" i="2"/>
  <c r="R4458" i="2"/>
  <c r="R4459" i="2"/>
  <c r="R4460" i="2"/>
  <c r="R4461" i="2"/>
  <c r="R4462" i="2"/>
  <c r="R4463" i="2"/>
  <c r="R4464" i="2"/>
  <c r="R4465" i="2"/>
  <c r="R4466" i="2"/>
  <c r="R4467" i="2"/>
  <c r="R4468" i="2"/>
  <c r="R4469" i="2"/>
  <c r="R4470" i="2"/>
  <c r="R4471" i="2"/>
  <c r="R4472" i="2"/>
  <c r="R4473" i="2"/>
  <c r="R4474" i="2"/>
  <c r="R4475" i="2"/>
  <c r="R4476" i="2"/>
  <c r="R4477" i="2"/>
  <c r="R4478" i="2"/>
  <c r="R4479" i="2"/>
  <c r="R4480" i="2"/>
  <c r="R4481" i="2"/>
  <c r="R4482" i="2"/>
  <c r="R4483" i="2"/>
  <c r="R4484" i="2"/>
  <c r="R4485" i="2"/>
  <c r="R4486" i="2"/>
  <c r="R4487" i="2"/>
  <c r="R4488" i="2"/>
  <c r="R4489" i="2"/>
  <c r="R4490" i="2"/>
  <c r="R4491" i="2"/>
  <c r="R4492" i="2"/>
  <c r="R4493" i="2"/>
  <c r="R4494" i="2"/>
  <c r="R4495" i="2"/>
  <c r="R4496" i="2"/>
  <c r="R4497" i="2"/>
  <c r="R4498" i="2"/>
  <c r="R4499" i="2"/>
  <c r="R4500" i="2"/>
  <c r="R4501" i="2"/>
  <c r="R4502" i="2"/>
  <c r="R4503" i="2"/>
  <c r="R4504" i="2"/>
  <c r="R4505" i="2"/>
  <c r="R4506" i="2"/>
  <c r="R4507" i="2"/>
  <c r="R4508" i="2"/>
  <c r="R4509" i="2"/>
  <c r="R4510" i="2"/>
  <c r="R4511" i="2"/>
  <c r="R4512" i="2"/>
  <c r="R4513" i="2"/>
  <c r="R4514" i="2"/>
  <c r="R4515" i="2"/>
  <c r="R4516" i="2"/>
  <c r="R4517" i="2"/>
  <c r="R4518" i="2"/>
  <c r="R4519" i="2"/>
  <c r="R4520" i="2"/>
  <c r="R4521" i="2"/>
  <c r="R4522" i="2"/>
  <c r="R4523" i="2"/>
  <c r="R4524" i="2"/>
  <c r="R4525" i="2"/>
  <c r="R4526" i="2"/>
  <c r="R4527" i="2"/>
  <c r="R4528" i="2"/>
  <c r="R4529" i="2"/>
  <c r="R4530" i="2"/>
  <c r="R4531" i="2"/>
  <c r="R4532" i="2"/>
  <c r="R4533" i="2"/>
  <c r="R4534" i="2"/>
  <c r="R4535" i="2"/>
  <c r="R4536" i="2"/>
  <c r="R4537" i="2"/>
  <c r="R4538" i="2"/>
  <c r="R4539" i="2"/>
  <c r="R4540" i="2"/>
  <c r="R4541" i="2"/>
  <c r="R4542" i="2"/>
  <c r="R4543" i="2"/>
  <c r="R4544" i="2"/>
  <c r="R4545" i="2"/>
  <c r="R4546" i="2"/>
  <c r="R4547" i="2"/>
  <c r="R4548" i="2"/>
  <c r="R4549" i="2"/>
  <c r="R4550" i="2"/>
  <c r="R4551" i="2"/>
  <c r="R4552" i="2"/>
  <c r="R4553" i="2"/>
  <c r="R4554" i="2"/>
  <c r="R4555" i="2"/>
  <c r="R4556" i="2"/>
  <c r="R4557" i="2"/>
  <c r="R4558" i="2"/>
  <c r="R4559" i="2"/>
  <c r="R4560" i="2"/>
  <c r="R4561" i="2"/>
  <c r="R4562" i="2"/>
  <c r="R4563" i="2"/>
  <c r="R4564" i="2"/>
  <c r="R4565" i="2"/>
  <c r="R4566" i="2"/>
  <c r="R4567" i="2"/>
  <c r="R4568" i="2"/>
  <c r="R4569" i="2"/>
  <c r="R4570" i="2"/>
  <c r="R4571" i="2"/>
  <c r="R4572" i="2"/>
  <c r="R4573" i="2"/>
  <c r="R4574" i="2"/>
  <c r="R4575" i="2"/>
  <c r="R4576" i="2"/>
  <c r="R4577" i="2"/>
  <c r="R4578" i="2"/>
  <c r="R4579" i="2"/>
  <c r="R4580" i="2"/>
  <c r="R4581" i="2"/>
  <c r="R4582" i="2"/>
  <c r="R4583" i="2"/>
  <c r="R4584" i="2"/>
  <c r="R4585" i="2"/>
  <c r="R4586" i="2"/>
  <c r="R4587" i="2"/>
  <c r="R4588" i="2"/>
  <c r="R4589" i="2"/>
  <c r="R4590" i="2"/>
  <c r="R4591" i="2"/>
  <c r="R4592" i="2"/>
  <c r="R4593" i="2"/>
  <c r="R4594" i="2"/>
  <c r="R4595" i="2"/>
  <c r="R4596" i="2"/>
  <c r="R4597" i="2"/>
  <c r="R4598" i="2"/>
  <c r="R4599" i="2"/>
  <c r="R4600" i="2"/>
  <c r="R4601" i="2"/>
  <c r="R4602" i="2"/>
  <c r="R4603" i="2"/>
  <c r="R4604" i="2"/>
  <c r="R4605" i="2"/>
  <c r="R4606" i="2"/>
  <c r="R4607" i="2"/>
  <c r="R4608" i="2"/>
  <c r="R4609" i="2"/>
  <c r="R4610" i="2"/>
  <c r="R4611" i="2"/>
  <c r="R4612" i="2"/>
  <c r="R4613" i="2"/>
  <c r="R4614" i="2"/>
  <c r="R4615" i="2"/>
  <c r="R4616" i="2"/>
  <c r="R4617" i="2"/>
  <c r="R4618" i="2"/>
  <c r="R4619" i="2"/>
  <c r="R4620" i="2"/>
  <c r="R4621" i="2"/>
  <c r="R4622" i="2"/>
  <c r="R4623" i="2"/>
  <c r="R4624" i="2"/>
  <c r="R4625" i="2"/>
  <c r="R4626" i="2"/>
  <c r="R4627" i="2"/>
  <c r="R4628" i="2"/>
  <c r="R4629" i="2"/>
  <c r="R4630" i="2"/>
  <c r="R4631" i="2"/>
  <c r="R4632" i="2"/>
  <c r="R4633" i="2"/>
  <c r="R4634" i="2"/>
  <c r="R4635" i="2"/>
  <c r="R4636" i="2"/>
  <c r="R4637" i="2"/>
  <c r="R4638" i="2"/>
  <c r="R4639" i="2"/>
  <c r="R4640" i="2"/>
  <c r="R4641" i="2"/>
  <c r="R4642" i="2"/>
  <c r="R4643" i="2"/>
  <c r="R4644" i="2"/>
  <c r="R4645" i="2"/>
  <c r="R4646" i="2"/>
  <c r="R4647" i="2"/>
  <c r="R4648" i="2"/>
  <c r="R4649" i="2"/>
  <c r="R4650" i="2"/>
  <c r="R4651" i="2"/>
  <c r="R4652" i="2"/>
  <c r="R4653" i="2"/>
  <c r="R4654" i="2"/>
  <c r="R4655" i="2"/>
  <c r="R4656" i="2"/>
  <c r="R4657" i="2"/>
  <c r="R4658" i="2"/>
  <c r="R4659" i="2"/>
  <c r="R4660" i="2"/>
  <c r="R4661" i="2"/>
  <c r="R4662" i="2"/>
  <c r="R4663" i="2"/>
  <c r="R4664" i="2"/>
  <c r="R4665" i="2"/>
  <c r="R4666" i="2"/>
  <c r="R4667" i="2"/>
  <c r="R4668" i="2"/>
  <c r="R4669" i="2"/>
  <c r="R4670" i="2"/>
  <c r="R4671" i="2"/>
  <c r="R4672" i="2"/>
  <c r="R4673" i="2"/>
  <c r="R4674" i="2"/>
  <c r="R4675" i="2"/>
  <c r="R4676" i="2"/>
  <c r="R4677" i="2"/>
  <c r="R4678" i="2"/>
  <c r="R4679" i="2"/>
  <c r="R4680" i="2"/>
  <c r="R4681" i="2"/>
  <c r="R4682" i="2"/>
  <c r="R4683" i="2"/>
  <c r="R4684" i="2"/>
  <c r="R4685" i="2"/>
  <c r="R4686" i="2"/>
  <c r="R4687" i="2"/>
  <c r="R4688" i="2"/>
  <c r="R4689" i="2"/>
  <c r="R4690" i="2"/>
  <c r="R4691" i="2"/>
  <c r="R4692" i="2"/>
  <c r="R4693" i="2"/>
  <c r="R4694" i="2"/>
  <c r="R4695" i="2"/>
  <c r="R4696" i="2"/>
  <c r="R4697" i="2"/>
  <c r="R4698" i="2"/>
  <c r="R4699" i="2"/>
  <c r="R4700" i="2"/>
  <c r="R4701" i="2"/>
  <c r="R4702" i="2"/>
  <c r="R4703" i="2"/>
  <c r="R4704" i="2"/>
  <c r="R4705" i="2"/>
  <c r="R4706" i="2"/>
  <c r="R4707" i="2"/>
  <c r="R4708" i="2"/>
  <c r="R4709" i="2"/>
  <c r="R4710" i="2"/>
  <c r="R4711" i="2"/>
  <c r="R4712" i="2"/>
  <c r="R4713" i="2"/>
  <c r="R4714" i="2"/>
  <c r="R4715" i="2"/>
  <c r="R4716" i="2"/>
  <c r="R4717" i="2"/>
  <c r="R4718" i="2"/>
  <c r="R4719" i="2"/>
  <c r="R4720" i="2"/>
  <c r="R4721" i="2"/>
  <c r="R4722" i="2"/>
  <c r="R4723" i="2"/>
  <c r="R4724" i="2"/>
  <c r="R4725" i="2"/>
  <c r="R4726" i="2"/>
  <c r="R4727" i="2"/>
  <c r="R4728" i="2"/>
  <c r="R4729" i="2"/>
  <c r="R4730" i="2"/>
  <c r="R4731" i="2"/>
  <c r="R4732" i="2"/>
  <c r="R4733" i="2"/>
  <c r="R4734" i="2"/>
  <c r="R4735" i="2"/>
  <c r="R4736" i="2"/>
  <c r="R4737" i="2"/>
  <c r="R4738" i="2"/>
  <c r="R4739" i="2"/>
  <c r="R4740" i="2"/>
  <c r="R4741" i="2"/>
  <c r="R4742" i="2"/>
  <c r="R4743" i="2"/>
  <c r="R4744" i="2"/>
  <c r="R4745" i="2"/>
  <c r="R4746" i="2"/>
  <c r="R4747" i="2"/>
  <c r="R4748" i="2"/>
  <c r="R4749" i="2"/>
  <c r="R4750" i="2"/>
  <c r="R4751" i="2"/>
  <c r="R4752" i="2"/>
  <c r="R4753" i="2"/>
  <c r="R4754" i="2"/>
  <c r="R4755" i="2"/>
  <c r="R4756" i="2"/>
  <c r="R4757" i="2"/>
  <c r="R4758" i="2"/>
  <c r="R4759" i="2"/>
  <c r="R4760" i="2"/>
  <c r="R4761" i="2"/>
  <c r="R4762" i="2"/>
  <c r="R4763" i="2"/>
  <c r="R4764" i="2"/>
  <c r="R4765" i="2"/>
  <c r="R4766" i="2"/>
  <c r="R4767" i="2"/>
  <c r="R4768" i="2"/>
  <c r="R4769" i="2"/>
  <c r="R4770" i="2"/>
  <c r="R4771" i="2"/>
  <c r="R4772" i="2"/>
  <c r="R4773" i="2"/>
  <c r="R4774" i="2"/>
  <c r="R4775" i="2"/>
  <c r="R4776" i="2"/>
  <c r="R4777" i="2"/>
  <c r="R4778" i="2"/>
  <c r="R4779" i="2"/>
  <c r="R4780" i="2"/>
  <c r="R4781" i="2"/>
  <c r="R4782" i="2"/>
  <c r="R4783" i="2"/>
  <c r="R4784" i="2"/>
  <c r="R4785" i="2"/>
  <c r="R4786" i="2"/>
  <c r="R4787" i="2"/>
  <c r="R4788" i="2"/>
  <c r="R4789" i="2"/>
  <c r="R4790" i="2"/>
  <c r="R4791" i="2"/>
  <c r="R4792" i="2"/>
  <c r="R4793" i="2"/>
  <c r="R4794" i="2"/>
  <c r="R4795" i="2"/>
  <c r="R4796" i="2"/>
  <c r="R4797" i="2"/>
  <c r="R4798" i="2"/>
  <c r="R4799" i="2"/>
  <c r="R4800" i="2"/>
  <c r="R4801" i="2"/>
  <c r="R4802" i="2"/>
  <c r="R4803" i="2"/>
  <c r="R4804" i="2"/>
  <c r="R4805" i="2"/>
  <c r="R4806" i="2"/>
  <c r="R4807" i="2"/>
  <c r="R4808" i="2"/>
  <c r="R4809" i="2"/>
  <c r="R4810" i="2"/>
  <c r="R4811" i="2"/>
  <c r="R4812" i="2"/>
  <c r="R4813" i="2"/>
  <c r="R4814" i="2"/>
  <c r="R4815" i="2"/>
  <c r="R4816" i="2"/>
  <c r="R4817" i="2"/>
  <c r="R4818" i="2"/>
  <c r="R4819" i="2"/>
  <c r="R4820" i="2"/>
  <c r="R4821" i="2"/>
  <c r="R4822" i="2"/>
  <c r="R4823" i="2"/>
  <c r="R4824" i="2"/>
  <c r="R4825" i="2"/>
  <c r="R4826" i="2"/>
  <c r="R4827" i="2"/>
  <c r="R4828" i="2"/>
  <c r="R4829" i="2"/>
  <c r="R4830" i="2"/>
  <c r="R4831" i="2"/>
  <c r="R4832" i="2"/>
  <c r="R4833" i="2"/>
  <c r="R4834" i="2"/>
  <c r="R4835" i="2"/>
  <c r="R4836" i="2"/>
  <c r="R4837" i="2"/>
  <c r="R4838" i="2"/>
  <c r="R4839" i="2"/>
  <c r="R4840" i="2"/>
  <c r="R4841" i="2"/>
  <c r="R4842" i="2"/>
  <c r="R4843" i="2"/>
  <c r="R4844" i="2"/>
  <c r="R4845" i="2"/>
  <c r="R4846" i="2"/>
  <c r="R4847" i="2"/>
  <c r="R4848" i="2"/>
  <c r="R4849" i="2"/>
  <c r="R4850" i="2"/>
  <c r="R4851" i="2"/>
  <c r="R4852" i="2"/>
  <c r="R4853" i="2"/>
  <c r="R4854" i="2"/>
  <c r="R4855" i="2"/>
  <c r="R4856" i="2"/>
  <c r="R4857" i="2"/>
  <c r="R4858" i="2"/>
  <c r="R4859" i="2"/>
  <c r="R4860" i="2"/>
  <c r="R4861" i="2"/>
  <c r="R4862" i="2"/>
  <c r="R4863" i="2"/>
  <c r="R4864" i="2"/>
  <c r="R4865" i="2"/>
  <c r="R4866" i="2"/>
  <c r="R4867" i="2"/>
  <c r="R4868" i="2"/>
  <c r="R4869" i="2"/>
  <c r="R4870" i="2"/>
  <c r="R4871" i="2"/>
  <c r="R4872" i="2"/>
  <c r="R4873" i="2"/>
  <c r="R4874" i="2"/>
  <c r="R4875" i="2"/>
  <c r="R4876" i="2"/>
  <c r="R4877" i="2"/>
  <c r="R4878" i="2"/>
  <c r="R4879" i="2"/>
  <c r="R4880" i="2"/>
  <c r="R4881" i="2"/>
  <c r="R4882" i="2"/>
  <c r="R4883" i="2"/>
  <c r="R4884" i="2"/>
  <c r="R4885" i="2"/>
  <c r="R4886" i="2"/>
  <c r="R4887" i="2"/>
  <c r="R4888" i="2"/>
  <c r="R4889" i="2"/>
  <c r="R4890" i="2"/>
  <c r="R4891" i="2"/>
  <c r="R4892" i="2"/>
  <c r="R4893" i="2"/>
  <c r="R4894" i="2"/>
  <c r="R4895" i="2"/>
  <c r="R4896" i="2"/>
  <c r="R4897" i="2"/>
  <c r="R4898" i="2"/>
  <c r="R4899" i="2"/>
  <c r="R4900" i="2"/>
  <c r="R4901" i="2"/>
  <c r="R4902" i="2"/>
  <c r="R4903" i="2"/>
  <c r="R4904" i="2"/>
  <c r="R4905" i="2"/>
  <c r="R4906" i="2"/>
  <c r="R4907" i="2"/>
  <c r="R4908" i="2"/>
  <c r="R4909" i="2"/>
  <c r="R4910" i="2"/>
  <c r="R4911" i="2"/>
  <c r="R4912" i="2"/>
  <c r="R4913" i="2"/>
  <c r="R4914" i="2"/>
  <c r="R4915" i="2"/>
  <c r="R4916" i="2"/>
  <c r="R4917" i="2"/>
  <c r="R4918" i="2"/>
  <c r="R4919" i="2"/>
  <c r="R4920" i="2"/>
  <c r="R4921" i="2"/>
  <c r="R4922" i="2"/>
  <c r="R4923" i="2"/>
  <c r="R4924" i="2"/>
  <c r="R4925" i="2"/>
  <c r="R4926" i="2"/>
  <c r="R4927" i="2"/>
  <c r="R4928" i="2"/>
  <c r="R4929" i="2"/>
  <c r="R4930" i="2"/>
  <c r="R4931" i="2"/>
  <c r="R4932" i="2"/>
  <c r="R4933" i="2"/>
  <c r="R4934" i="2"/>
  <c r="R4935" i="2"/>
  <c r="R4936" i="2"/>
  <c r="R4937" i="2"/>
  <c r="R4938" i="2"/>
  <c r="R4939" i="2"/>
  <c r="R4940" i="2"/>
  <c r="R4941" i="2"/>
  <c r="R4942" i="2"/>
  <c r="R4943" i="2"/>
  <c r="R4944" i="2"/>
  <c r="R4945" i="2"/>
  <c r="R4946" i="2"/>
  <c r="R4947" i="2"/>
  <c r="R4948" i="2"/>
  <c r="R4949" i="2"/>
  <c r="R4950" i="2"/>
  <c r="R4951" i="2"/>
  <c r="R4952" i="2"/>
  <c r="R4953" i="2"/>
  <c r="R4954" i="2"/>
  <c r="R4955" i="2"/>
  <c r="R4956" i="2"/>
  <c r="R4957" i="2"/>
  <c r="R4958" i="2"/>
  <c r="R4959" i="2"/>
  <c r="R4960" i="2"/>
  <c r="R4961" i="2"/>
  <c r="R4962" i="2"/>
  <c r="R4963" i="2"/>
  <c r="R4964" i="2"/>
  <c r="R4965" i="2"/>
  <c r="R4966" i="2"/>
  <c r="R4967" i="2"/>
  <c r="R4968" i="2"/>
  <c r="R4969" i="2"/>
  <c r="R4970" i="2"/>
  <c r="R4971" i="2"/>
  <c r="R4972" i="2"/>
  <c r="R4973" i="2"/>
  <c r="R4974" i="2"/>
  <c r="R4975" i="2"/>
  <c r="R4976" i="2"/>
  <c r="R4977" i="2"/>
  <c r="R4978" i="2"/>
  <c r="R4979" i="2"/>
  <c r="R4980" i="2"/>
  <c r="R4981" i="2"/>
  <c r="R4982" i="2"/>
  <c r="R4983" i="2"/>
  <c r="R4984" i="2"/>
  <c r="R4985" i="2"/>
  <c r="R4986" i="2"/>
  <c r="R4987" i="2"/>
  <c r="R4988" i="2"/>
  <c r="R4989" i="2"/>
  <c r="R4990" i="2"/>
  <c r="R4991" i="2"/>
  <c r="R4992" i="2"/>
  <c r="R4993"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2"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R5079" i="2"/>
  <c r="R5080" i="2"/>
  <c r="R5081" i="2"/>
  <c r="R5082" i="2"/>
  <c r="R5083" i="2"/>
  <c r="R5084" i="2"/>
  <c r="R5085" i="2"/>
  <c r="R5086" i="2"/>
  <c r="R5087" i="2"/>
  <c r="R5088" i="2"/>
  <c r="R5089" i="2"/>
  <c r="R5090" i="2"/>
  <c r="R5091" i="2"/>
  <c r="R5092" i="2"/>
  <c r="R5093" i="2"/>
  <c r="R5094" i="2"/>
  <c r="R5095" i="2"/>
  <c r="R5096" i="2"/>
  <c r="R5097" i="2"/>
  <c r="R5098" i="2"/>
  <c r="R5099" i="2"/>
  <c r="R5100" i="2"/>
  <c r="R5101" i="2"/>
  <c r="R5102" i="2"/>
  <c r="R5103" i="2"/>
  <c r="R5104" i="2"/>
  <c r="R5105" i="2"/>
  <c r="R5106" i="2"/>
  <c r="R5107" i="2"/>
  <c r="R5108" i="2"/>
  <c r="R5109" i="2"/>
  <c r="R5110" i="2"/>
  <c r="R5111" i="2"/>
  <c r="R5112" i="2"/>
  <c r="R5113" i="2"/>
  <c r="R5114" i="2"/>
  <c r="R5115" i="2"/>
  <c r="R5116" i="2"/>
  <c r="R5117" i="2"/>
  <c r="R5118" i="2"/>
  <c r="R5119" i="2"/>
  <c r="R5120" i="2"/>
  <c r="R5121" i="2"/>
  <c r="R5122" i="2"/>
  <c r="R5123" i="2"/>
  <c r="R5124" i="2"/>
  <c r="R5125" i="2"/>
  <c r="R5126" i="2"/>
  <c r="R5127" i="2"/>
  <c r="R5128" i="2"/>
  <c r="R5129" i="2"/>
  <c r="R5130" i="2"/>
  <c r="R5131" i="2"/>
  <c r="R5132" i="2"/>
  <c r="R5133" i="2"/>
  <c r="R5134" i="2"/>
  <c r="R5135" i="2"/>
  <c r="R5136" i="2"/>
  <c r="R5137" i="2"/>
  <c r="R5138" i="2"/>
  <c r="R5139" i="2"/>
  <c r="R5140" i="2"/>
  <c r="R5141" i="2"/>
  <c r="R5142" i="2"/>
  <c r="R5143" i="2"/>
  <c r="R5144" i="2"/>
  <c r="R5145" i="2"/>
  <c r="R5146" i="2"/>
  <c r="R5147" i="2"/>
  <c r="R5148" i="2"/>
  <c r="R5149" i="2"/>
  <c r="R5150" i="2"/>
  <c r="R5151" i="2"/>
  <c r="R5152" i="2"/>
  <c r="R5153" i="2"/>
  <c r="R5154" i="2"/>
  <c r="R5155" i="2"/>
  <c r="R5156" i="2"/>
  <c r="R5157" i="2"/>
  <c r="R5158" i="2"/>
  <c r="R5159" i="2"/>
  <c r="R5160" i="2"/>
  <c r="R5161" i="2"/>
  <c r="R5162" i="2"/>
  <c r="R5163" i="2"/>
  <c r="R5164" i="2"/>
  <c r="R5165" i="2"/>
  <c r="R5166" i="2"/>
  <c r="R5167" i="2"/>
  <c r="R5168" i="2"/>
  <c r="R5169" i="2"/>
  <c r="R5170" i="2"/>
  <c r="R5171" i="2"/>
  <c r="R5172" i="2"/>
  <c r="R5173" i="2"/>
  <c r="R5174" i="2"/>
  <c r="R5175" i="2"/>
  <c r="R5176" i="2"/>
  <c r="R5177" i="2"/>
  <c r="R5178" i="2"/>
  <c r="R5179" i="2"/>
  <c r="R5180" i="2"/>
  <c r="R5181" i="2"/>
  <c r="R5182" i="2"/>
  <c r="R5183" i="2"/>
  <c r="R5184" i="2"/>
  <c r="R5185" i="2"/>
  <c r="R5186" i="2"/>
  <c r="R5187" i="2"/>
  <c r="R5188" i="2"/>
  <c r="R5189" i="2"/>
  <c r="R5190" i="2"/>
  <c r="R5191" i="2"/>
  <c r="R5192" i="2"/>
  <c r="R5193" i="2"/>
  <c r="R5194" i="2"/>
  <c r="R5195" i="2"/>
  <c r="R5196" i="2"/>
  <c r="R5197" i="2"/>
  <c r="R5198" i="2"/>
  <c r="R5199" i="2"/>
  <c r="R5200" i="2"/>
  <c r="R5201" i="2"/>
  <c r="R5202" i="2"/>
  <c r="R5203" i="2"/>
  <c r="R5204" i="2"/>
  <c r="R5205" i="2"/>
  <c r="R5206" i="2"/>
  <c r="R5207" i="2"/>
  <c r="R5208" i="2"/>
  <c r="R5209" i="2"/>
  <c r="R5210" i="2"/>
  <c r="R5211" i="2"/>
  <c r="R5212" i="2"/>
  <c r="R5213" i="2"/>
  <c r="R5214" i="2"/>
  <c r="R5215" i="2"/>
  <c r="R5216" i="2"/>
  <c r="R5217" i="2"/>
  <c r="R5218" i="2"/>
  <c r="R5219" i="2"/>
  <c r="R5220" i="2"/>
  <c r="R5221" i="2"/>
  <c r="R5222" i="2"/>
  <c r="R5223" i="2"/>
  <c r="R5224" i="2"/>
  <c r="R5225" i="2"/>
  <c r="R5226" i="2"/>
  <c r="R5227" i="2"/>
  <c r="R5228" i="2"/>
  <c r="R5229" i="2"/>
  <c r="R5230" i="2"/>
  <c r="R5231" i="2"/>
  <c r="R5232" i="2"/>
  <c r="R5233" i="2"/>
  <c r="R5234" i="2"/>
  <c r="R5235" i="2"/>
  <c r="R5236" i="2"/>
  <c r="R5237" i="2"/>
  <c r="R5238" i="2"/>
  <c r="R5239" i="2"/>
  <c r="R5240" i="2"/>
  <c r="R5241" i="2"/>
  <c r="R5242" i="2"/>
  <c r="R5243" i="2"/>
  <c r="R5244" i="2"/>
  <c r="R5245" i="2"/>
  <c r="R5246" i="2"/>
  <c r="R5247" i="2"/>
  <c r="R5248" i="2"/>
  <c r="R5249" i="2"/>
  <c r="R5250" i="2"/>
  <c r="R5251" i="2"/>
  <c r="R5252" i="2"/>
  <c r="R5253" i="2"/>
  <c r="R5254" i="2"/>
  <c r="R5255" i="2"/>
  <c r="R5256" i="2"/>
  <c r="R5257" i="2"/>
  <c r="R5258" i="2"/>
  <c r="R5259" i="2"/>
  <c r="R5260" i="2"/>
  <c r="R5261" i="2"/>
  <c r="R5262" i="2"/>
  <c r="R5263" i="2"/>
  <c r="R5264" i="2"/>
  <c r="R5265" i="2"/>
  <c r="R5266" i="2"/>
  <c r="R5267" i="2"/>
  <c r="R5268" i="2"/>
  <c r="R5269" i="2"/>
  <c r="R5270" i="2"/>
  <c r="R5271" i="2"/>
  <c r="R5272" i="2"/>
  <c r="R5273" i="2"/>
  <c r="R5274" i="2"/>
  <c r="R5275" i="2"/>
  <c r="R5276" i="2"/>
  <c r="R5277" i="2"/>
  <c r="R5278" i="2"/>
  <c r="R5279" i="2"/>
  <c r="R5280" i="2"/>
  <c r="R5281" i="2"/>
  <c r="R5282" i="2"/>
  <c r="R5283" i="2"/>
  <c r="R5284" i="2"/>
  <c r="R5285" i="2"/>
  <c r="R5286" i="2"/>
  <c r="R5287" i="2"/>
  <c r="R5288" i="2"/>
  <c r="R5289" i="2"/>
  <c r="R5290" i="2"/>
  <c r="R5291" i="2"/>
  <c r="R5292" i="2"/>
  <c r="R5293" i="2"/>
  <c r="R5294" i="2"/>
  <c r="R5295" i="2"/>
  <c r="R5296" i="2"/>
  <c r="R5297" i="2"/>
  <c r="R5298" i="2"/>
  <c r="R5299" i="2"/>
  <c r="R5300" i="2"/>
  <c r="R5301" i="2"/>
  <c r="R5302" i="2"/>
  <c r="R5303" i="2"/>
  <c r="R5304" i="2"/>
  <c r="R5305" i="2"/>
  <c r="R5306" i="2"/>
  <c r="R5307" i="2"/>
  <c r="R5308" i="2"/>
  <c r="R5309" i="2"/>
  <c r="R5310" i="2"/>
  <c r="R5311" i="2"/>
  <c r="R5312" i="2"/>
  <c r="R5313" i="2"/>
  <c r="R5314" i="2"/>
  <c r="R5315" i="2"/>
  <c r="R5316" i="2"/>
  <c r="R5317" i="2"/>
  <c r="R5318" i="2"/>
  <c r="R5319" i="2"/>
  <c r="R5320" i="2"/>
  <c r="R5321" i="2"/>
  <c r="R5322" i="2"/>
  <c r="R5323" i="2"/>
  <c r="R5324" i="2"/>
  <c r="R5325" i="2"/>
  <c r="R5326" i="2"/>
  <c r="R5327" i="2"/>
  <c r="R5328" i="2"/>
  <c r="R5329" i="2"/>
  <c r="R5330" i="2"/>
  <c r="R5331" i="2"/>
  <c r="R5332" i="2"/>
  <c r="R5333" i="2"/>
  <c r="R5334" i="2"/>
  <c r="R5335" i="2"/>
  <c r="R5336" i="2"/>
  <c r="R5337" i="2"/>
  <c r="R5338" i="2"/>
  <c r="R5339" i="2"/>
  <c r="R5340" i="2"/>
  <c r="R5341" i="2"/>
  <c r="R5342" i="2"/>
  <c r="R5343" i="2"/>
  <c r="R5344" i="2"/>
  <c r="R5345" i="2"/>
  <c r="R5346" i="2"/>
  <c r="R5347" i="2"/>
  <c r="R5348" i="2"/>
  <c r="R5349" i="2"/>
  <c r="R5350" i="2"/>
  <c r="R5351" i="2"/>
  <c r="R5352" i="2"/>
  <c r="R5353" i="2"/>
  <c r="R5354" i="2"/>
  <c r="R5355" i="2"/>
  <c r="R5356" i="2"/>
  <c r="R5357" i="2"/>
  <c r="R5358" i="2"/>
  <c r="R5359" i="2"/>
  <c r="R5360" i="2"/>
  <c r="R5361" i="2"/>
  <c r="R5362" i="2"/>
  <c r="R5363" i="2"/>
  <c r="R5364" i="2"/>
  <c r="R5365" i="2"/>
  <c r="R5366" i="2"/>
  <c r="R5367" i="2"/>
  <c r="R5368" i="2"/>
  <c r="R5369" i="2"/>
  <c r="R5370" i="2"/>
  <c r="R5371" i="2"/>
  <c r="R5372" i="2"/>
  <c r="R5373" i="2"/>
  <c r="R5374" i="2"/>
  <c r="R5375" i="2"/>
  <c r="R5376" i="2"/>
  <c r="R5377" i="2"/>
  <c r="R5378" i="2"/>
  <c r="R5379" i="2"/>
  <c r="R5380" i="2"/>
  <c r="R5381" i="2"/>
  <c r="R5382" i="2"/>
  <c r="R5383" i="2"/>
  <c r="R5384" i="2"/>
  <c r="R5385" i="2"/>
  <c r="R5386" i="2"/>
  <c r="R5387" i="2"/>
  <c r="R5388" i="2"/>
  <c r="R5389" i="2"/>
  <c r="R5390" i="2"/>
  <c r="R5391" i="2"/>
  <c r="R5392" i="2"/>
  <c r="R5393" i="2"/>
  <c r="R5394" i="2"/>
  <c r="R5395" i="2"/>
  <c r="R5396" i="2"/>
  <c r="R5397" i="2"/>
  <c r="R5398" i="2"/>
  <c r="R5399" i="2"/>
  <c r="R5400" i="2"/>
  <c r="R5401" i="2"/>
  <c r="R5402" i="2"/>
  <c r="R5403" i="2"/>
  <c r="R5404" i="2"/>
  <c r="R5405" i="2"/>
  <c r="R5406" i="2"/>
  <c r="R5407" i="2"/>
  <c r="R5408" i="2"/>
  <c r="R5409" i="2"/>
  <c r="R5410" i="2"/>
  <c r="R5411" i="2"/>
  <c r="R5412" i="2"/>
  <c r="R5413" i="2"/>
  <c r="R5414" i="2"/>
  <c r="R5415" i="2"/>
  <c r="R5416" i="2"/>
  <c r="R5417" i="2"/>
  <c r="R5418" i="2"/>
  <c r="R5419" i="2"/>
  <c r="R5420" i="2"/>
  <c r="R5421" i="2"/>
  <c r="R5422" i="2"/>
  <c r="R5423" i="2"/>
  <c r="R5424" i="2"/>
  <c r="R5425" i="2"/>
  <c r="R5426" i="2"/>
  <c r="R5427" i="2"/>
  <c r="R5428" i="2"/>
  <c r="R5429" i="2"/>
  <c r="R5430" i="2"/>
  <c r="R5431" i="2"/>
  <c r="R5432" i="2"/>
  <c r="R5433" i="2"/>
  <c r="R5434" i="2"/>
  <c r="R5435" i="2"/>
  <c r="R5436" i="2"/>
  <c r="R5437" i="2"/>
  <c r="R5438" i="2"/>
  <c r="R5439" i="2"/>
  <c r="R5440" i="2"/>
  <c r="R5441" i="2"/>
  <c r="R5442" i="2"/>
  <c r="R5443" i="2"/>
  <c r="R5444" i="2"/>
  <c r="R5445" i="2"/>
  <c r="R5446" i="2"/>
  <c r="R5447" i="2"/>
  <c r="R5448" i="2"/>
  <c r="R5449" i="2"/>
  <c r="R5450" i="2"/>
  <c r="R5451" i="2"/>
  <c r="R5452" i="2"/>
  <c r="R5453" i="2"/>
  <c r="R5454" i="2"/>
  <c r="R5455" i="2"/>
  <c r="R5456" i="2"/>
  <c r="R5457" i="2"/>
  <c r="R5458" i="2"/>
  <c r="R5459" i="2"/>
  <c r="R5460" i="2"/>
  <c r="R5461" i="2"/>
  <c r="R5462" i="2"/>
  <c r="R5463" i="2"/>
  <c r="R5464" i="2"/>
  <c r="R5465" i="2"/>
  <c r="R5466" i="2"/>
  <c r="R5467" i="2"/>
  <c r="R5468" i="2"/>
  <c r="R5469" i="2"/>
  <c r="R5470" i="2"/>
  <c r="R5471" i="2"/>
  <c r="R5472" i="2"/>
  <c r="R5473" i="2"/>
  <c r="R5474" i="2"/>
  <c r="R5475" i="2"/>
  <c r="R5476" i="2"/>
  <c r="R5477" i="2"/>
  <c r="R5478" i="2"/>
  <c r="R5479" i="2"/>
  <c r="R5480" i="2"/>
  <c r="R5481" i="2"/>
  <c r="R5482" i="2"/>
  <c r="R5483" i="2"/>
  <c r="R5484" i="2"/>
  <c r="R5485" i="2"/>
  <c r="R5486" i="2"/>
  <c r="R5487" i="2"/>
  <c r="R5488" i="2"/>
  <c r="R5489" i="2"/>
  <c r="R5490" i="2"/>
  <c r="R5491" i="2"/>
  <c r="R5492" i="2"/>
  <c r="R5493" i="2"/>
  <c r="R5494" i="2"/>
  <c r="R5495" i="2"/>
  <c r="R5496" i="2"/>
  <c r="R5497" i="2"/>
  <c r="R5498" i="2"/>
  <c r="R5499" i="2"/>
  <c r="R5500" i="2"/>
  <c r="R5501" i="2"/>
  <c r="R5502" i="2"/>
  <c r="R5503" i="2"/>
  <c r="R5504" i="2"/>
  <c r="R5505" i="2"/>
  <c r="R5506" i="2"/>
  <c r="R5507" i="2"/>
  <c r="R5508" i="2"/>
  <c r="R5509" i="2"/>
  <c r="R5510" i="2"/>
  <c r="R5511" i="2"/>
  <c r="R5512" i="2"/>
  <c r="R5513" i="2"/>
  <c r="R5514" i="2"/>
  <c r="R5515" i="2"/>
  <c r="R5516" i="2"/>
  <c r="R5517" i="2"/>
  <c r="R5518" i="2"/>
  <c r="R5519" i="2"/>
  <c r="R5520" i="2"/>
  <c r="R5521" i="2"/>
  <c r="R5522" i="2"/>
  <c r="R5523" i="2"/>
  <c r="R5524" i="2"/>
  <c r="R5525" i="2"/>
  <c r="R5526" i="2"/>
  <c r="R5527" i="2"/>
  <c r="R5528" i="2"/>
  <c r="R5529" i="2"/>
  <c r="R5530" i="2"/>
  <c r="R5531" i="2"/>
  <c r="R5532" i="2"/>
  <c r="R5533" i="2"/>
  <c r="R5534" i="2"/>
  <c r="R5535" i="2"/>
  <c r="R5536" i="2"/>
  <c r="R5537" i="2"/>
  <c r="R5538" i="2"/>
  <c r="R5539" i="2"/>
  <c r="R5540" i="2"/>
  <c r="R5541" i="2"/>
  <c r="R5542" i="2"/>
  <c r="R5543" i="2"/>
  <c r="R5544" i="2"/>
  <c r="R5545" i="2"/>
  <c r="R5546" i="2"/>
  <c r="R5547" i="2"/>
  <c r="R5548" i="2"/>
  <c r="R5549" i="2"/>
  <c r="R5550" i="2"/>
  <c r="R5551" i="2"/>
  <c r="R5552" i="2"/>
  <c r="R5553" i="2"/>
  <c r="R5554" i="2"/>
  <c r="R5555" i="2"/>
  <c r="R5556" i="2"/>
  <c r="R5557" i="2"/>
  <c r="R5558" i="2"/>
  <c r="R5559" i="2"/>
  <c r="R5560" i="2"/>
  <c r="R5561" i="2"/>
  <c r="R5562" i="2"/>
  <c r="R5563" i="2"/>
  <c r="R5564" i="2"/>
  <c r="R5565" i="2"/>
  <c r="R5566" i="2"/>
  <c r="R5567" i="2"/>
  <c r="R5568" i="2"/>
  <c r="R5569" i="2"/>
  <c r="R5570" i="2"/>
  <c r="R5571" i="2"/>
  <c r="R5572" i="2"/>
  <c r="R5573" i="2"/>
  <c r="R5574" i="2"/>
  <c r="R5575" i="2"/>
  <c r="R5576" i="2"/>
  <c r="R5577" i="2"/>
  <c r="R5578" i="2"/>
  <c r="R5579" i="2"/>
  <c r="R5580" i="2"/>
  <c r="R5581" i="2"/>
  <c r="R5582" i="2"/>
  <c r="R5583" i="2"/>
  <c r="R5584" i="2"/>
  <c r="R5585" i="2"/>
  <c r="R5586" i="2"/>
  <c r="R5587" i="2"/>
  <c r="R5588" i="2"/>
  <c r="R5589" i="2"/>
  <c r="R5590" i="2"/>
  <c r="R5591" i="2"/>
  <c r="R5592" i="2"/>
  <c r="R5593" i="2"/>
  <c r="R5594" i="2"/>
  <c r="R5595" i="2"/>
  <c r="R5596" i="2"/>
  <c r="R5597" i="2"/>
  <c r="R5598" i="2"/>
  <c r="R5599" i="2"/>
  <c r="R5600" i="2"/>
  <c r="R5601" i="2"/>
  <c r="R5602" i="2"/>
  <c r="R5603" i="2"/>
  <c r="R5604" i="2"/>
  <c r="R5605" i="2"/>
  <c r="R5606" i="2"/>
  <c r="R5607" i="2"/>
  <c r="R5608" i="2"/>
  <c r="R5609" i="2"/>
  <c r="R5610" i="2"/>
  <c r="R5611" i="2"/>
  <c r="R5612" i="2"/>
  <c r="R5613" i="2"/>
  <c r="R5614" i="2"/>
  <c r="R5615" i="2"/>
  <c r="R5616" i="2"/>
  <c r="R5617" i="2"/>
  <c r="R5618" i="2"/>
  <c r="R5619" i="2"/>
  <c r="R5620" i="2"/>
  <c r="R5621" i="2"/>
  <c r="R5622" i="2"/>
  <c r="R5623" i="2"/>
  <c r="R5624" i="2"/>
  <c r="R5625" i="2"/>
  <c r="R5626" i="2"/>
  <c r="R5627" i="2"/>
  <c r="R5628" i="2"/>
  <c r="R5629" i="2"/>
  <c r="R5630" i="2"/>
  <c r="R5631" i="2"/>
  <c r="R5632" i="2"/>
  <c r="R5633" i="2"/>
  <c r="R5634" i="2"/>
  <c r="R5635" i="2"/>
  <c r="R5636" i="2"/>
  <c r="R5637" i="2"/>
  <c r="R5638" i="2"/>
  <c r="R5639" i="2"/>
  <c r="R5640" i="2"/>
  <c r="R5641" i="2"/>
  <c r="R5642" i="2"/>
  <c r="R5643" i="2"/>
  <c r="R5644" i="2"/>
  <c r="R5645" i="2"/>
  <c r="R5646" i="2"/>
  <c r="R5647" i="2"/>
  <c r="R5648" i="2"/>
  <c r="R5649" i="2"/>
  <c r="R5650" i="2"/>
  <c r="R5651" i="2"/>
  <c r="R5652" i="2"/>
  <c r="R5653" i="2"/>
  <c r="R5654" i="2"/>
  <c r="R5655" i="2"/>
  <c r="R5656" i="2"/>
  <c r="R5657" i="2"/>
  <c r="R5658" i="2"/>
  <c r="R5659" i="2"/>
  <c r="R5660" i="2"/>
  <c r="R5661" i="2"/>
  <c r="R5662" i="2"/>
  <c r="R5663" i="2"/>
  <c r="R5664" i="2"/>
  <c r="R5665" i="2"/>
  <c r="R5666" i="2"/>
  <c r="R5667" i="2"/>
  <c r="R5668" i="2"/>
  <c r="R5669" i="2"/>
  <c r="R5670" i="2"/>
  <c r="R5671" i="2"/>
  <c r="R5672" i="2"/>
  <c r="R5673" i="2"/>
  <c r="R5674" i="2"/>
  <c r="R5675" i="2"/>
  <c r="R5676" i="2"/>
  <c r="R5677" i="2"/>
  <c r="R5678" i="2"/>
  <c r="R5679" i="2"/>
  <c r="R5680" i="2"/>
  <c r="R5681" i="2"/>
  <c r="R5682" i="2"/>
  <c r="R5683" i="2"/>
  <c r="R5684" i="2"/>
  <c r="R5685" i="2"/>
  <c r="R5686" i="2"/>
  <c r="R5687" i="2"/>
  <c r="R5688" i="2"/>
  <c r="R5689" i="2"/>
  <c r="R5690" i="2"/>
  <c r="R5691" i="2"/>
  <c r="R5692" i="2"/>
  <c r="R5693" i="2"/>
  <c r="R5694" i="2"/>
  <c r="R5695" i="2"/>
  <c r="R5696" i="2"/>
  <c r="R5697" i="2"/>
  <c r="R5698" i="2"/>
  <c r="R5699" i="2"/>
  <c r="R5700" i="2"/>
  <c r="R5701" i="2"/>
  <c r="R5702" i="2"/>
  <c r="R5703" i="2"/>
  <c r="R5704" i="2"/>
  <c r="R5705" i="2"/>
  <c r="R5706" i="2"/>
  <c r="R5707" i="2"/>
  <c r="R5708" i="2"/>
  <c r="R5709" i="2"/>
  <c r="R5710" i="2"/>
  <c r="R5711" i="2"/>
  <c r="R5712" i="2"/>
  <c r="R5713" i="2"/>
  <c r="R5714" i="2"/>
  <c r="R5715" i="2"/>
  <c r="R5716" i="2"/>
  <c r="R5717" i="2"/>
  <c r="R5718" i="2"/>
  <c r="R5719" i="2"/>
  <c r="R5720" i="2"/>
  <c r="R5721" i="2"/>
  <c r="R5722" i="2"/>
  <c r="R5723" i="2"/>
  <c r="R5724" i="2"/>
  <c r="R5725" i="2"/>
  <c r="R5726" i="2"/>
  <c r="R5727" i="2"/>
  <c r="R5728" i="2"/>
  <c r="R5729" i="2"/>
  <c r="R5730" i="2"/>
  <c r="R5731" i="2"/>
  <c r="R5732" i="2"/>
  <c r="R5733" i="2"/>
  <c r="R5734" i="2"/>
  <c r="R5735" i="2"/>
  <c r="R5736" i="2"/>
  <c r="R5737" i="2"/>
  <c r="R5738" i="2"/>
  <c r="R5739" i="2"/>
  <c r="R5740" i="2"/>
  <c r="R5741" i="2"/>
  <c r="R5742" i="2"/>
  <c r="R5743" i="2"/>
  <c r="R5744" i="2"/>
  <c r="R5745" i="2"/>
  <c r="R5746" i="2"/>
  <c r="R5747" i="2"/>
  <c r="R5748" i="2"/>
  <c r="R5749" i="2"/>
  <c r="R5750" i="2"/>
  <c r="R5751" i="2"/>
  <c r="R5752" i="2"/>
  <c r="R5753" i="2"/>
  <c r="R5754" i="2"/>
  <c r="R5755" i="2"/>
  <c r="R5756" i="2"/>
  <c r="R5757" i="2"/>
  <c r="R5758" i="2"/>
  <c r="R5759" i="2"/>
  <c r="R5760" i="2"/>
  <c r="R5761" i="2"/>
  <c r="R5762" i="2"/>
  <c r="R5763" i="2"/>
  <c r="R5764" i="2"/>
  <c r="R5765" i="2"/>
  <c r="R5766" i="2"/>
  <c r="R5767" i="2"/>
  <c r="R5768" i="2"/>
  <c r="R5769" i="2"/>
  <c r="R5770" i="2"/>
  <c r="R5771" i="2"/>
  <c r="R5772" i="2"/>
  <c r="R5773" i="2"/>
  <c r="R5774" i="2"/>
  <c r="R5775" i="2"/>
  <c r="R5776" i="2"/>
  <c r="R5777" i="2"/>
  <c r="R5778" i="2"/>
  <c r="R5779" i="2"/>
  <c r="R5780" i="2"/>
  <c r="R5781" i="2"/>
  <c r="R5782" i="2"/>
  <c r="R5783" i="2"/>
  <c r="R5784" i="2"/>
  <c r="R5785" i="2"/>
  <c r="R5786" i="2"/>
  <c r="R5787" i="2"/>
  <c r="R5788" i="2"/>
  <c r="R5789" i="2"/>
  <c r="R5790" i="2"/>
  <c r="R5791" i="2"/>
  <c r="R5792" i="2"/>
  <c r="R5793" i="2"/>
  <c r="R5794" i="2"/>
  <c r="R5795" i="2"/>
  <c r="R5796" i="2"/>
  <c r="R5797" i="2"/>
  <c r="R5798" i="2"/>
  <c r="R5799" i="2"/>
  <c r="R5800" i="2"/>
  <c r="R5801" i="2"/>
  <c r="R5802" i="2"/>
  <c r="R5803" i="2"/>
  <c r="R5804" i="2"/>
  <c r="R5805" i="2"/>
  <c r="R5806" i="2"/>
  <c r="R5807" i="2"/>
  <c r="R5808" i="2"/>
  <c r="R5809" i="2"/>
  <c r="R5810" i="2"/>
  <c r="R5811" i="2"/>
  <c r="R5812" i="2"/>
  <c r="R5813" i="2"/>
  <c r="R5814" i="2"/>
  <c r="R5815" i="2"/>
  <c r="R5816" i="2"/>
  <c r="R5817" i="2"/>
  <c r="R5818" i="2"/>
  <c r="R5819" i="2"/>
  <c r="R5820" i="2"/>
  <c r="R5821" i="2"/>
  <c r="R5822" i="2"/>
  <c r="R5823" i="2"/>
  <c r="R5824" i="2"/>
  <c r="R5825" i="2"/>
  <c r="R5826" i="2"/>
  <c r="R5827" i="2"/>
  <c r="R5828" i="2"/>
  <c r="R5829" i="2"/>
  <c r="R5830" i="2"/>
  <c r="R5831" i="2"/>
  <c r="R5832" i="2"/>
  <c r="R5833" i="2"/>
  <c r="R5834" i="2"/>
  <c r="R5835" i="2"/>
  <c r="R5836" i="2"/>
  <c r="R5837" i="2"/>
  <c r="R5838" i="2"/>
  <c r="R5839" i="2"/>
  <c r="R5840" i="2"/>
  <c r="R5841" i="2"/>
  <c r="R5842" i="2"/>
  <c r="R5843" i="2"/>
  <c r="R5844" i="2"/>
  <c r="R5845" i="2"/>
  <c r="R5846" i="2"/>
  <c r="R5847" i="2"/>
  <c r="R5848" i="2"/>
  <c r="R5849" i="2"/>
  <c r="R5850" i="2"/>
  <c r="R5851" i="2"/>
  <c r="R5852" i="2"/>
  <c r="R5853" i="2"/>
  <c r="R5854" i="2"/>
  <c r="R5855" i="2"/>
  <c r="R5856" i="2"/>
  <c r="R5857" i="2"/>
  <c r="R5858" i="2"/>
  <c r="R5859" i="2"/>
  <c r="R5860" i="2"/>
  <c r="R5861" i="2"/>
  <c r="R5862" i="2"/>
  <c r="R5863" i="2"/>
  <c r="R5864" i="2"/>
  <c r="R5865" i="2"/>
  <c r="R5866" i="2"/>
  <c r="R5867" i="2"/>
  <c r="R5868" i="2"/>
  <c r="R5869" i="2"/>
  <c r="R5870" i="2"/>
  <c r="R5871" i="2"/>
  <c r="R5872" i="2"/>
  <c r="R5873" i="2"/>
  <c r="R5874" i="2"/>
  <c r="R5875" i="2"/>
  <c r="R5876" i="2"/>
  <c r="R5877" i="2"/>
  <c r="R5878" i="2"/>
  <c r="R5879" i="2"/>
  <c r="R5880" i="2"/>
  <c r="R5881" i="2"/>
  <c r="R5882" i="2"/>
  <c r="R5883" i="2"/>
  <c r="R5884" i="2"/>
  <c r="R5885" i="2"/>
  <c r="R5886" i="2"/>
  <c r="R5887" i="2"/>
  <c r="R5888" i="2"/>
  <c r="R5889" i="2"/>
  <c r="R5890" i="2"/>
  <c r="R5891" i="2"/>
  <c r="R5892" i="2"/>
  <c r="R5893" i="2"/>
  <c r="R5894" i="2"/>
  <c r="R5895" i="2"/>
  <c r="R5896" i="2"/>
  <c r="R5897" i="2"/>
  <c r="R5898" i="2"/>
  <c r="R5899" i="2"/>
  <c r="R5900" i="2"/>
  <c r="R5901" i="2"/>
  <c r="R5902" i="2"/>
  <c r="R5903" i="2"/>
  <c r="R5904" i="2"/>
  <c r="R5905" i="2"/>
  <c r="R5906" i="2"/>
  <c r="R5907" i="2"/>
  <c r="R5908" i="2"/>
  <c r="R5909" i="2"/>
  <c r="R5910" i="2"/>
  <c r="R5911" i="2"/>
  <c r="R5912" i="2"/>
  <c r="R5913" i="2"/>
  <c r="R5914" i="2"/>
  <c r="R5915" i="2"/>
  <c r="R5916" i="2"/>
  <c r="R5917" i="2"/>
  <c r="R5918" i="2"/>
  <c r="R5919" i="2"/>
  <c r="R5920" i="2"/>
  <c r="R5921" i="2"/>
  <c r="R5922" i="2"/>
  <c r="R5923" i="2"/>
  <c r="R5924" i="2"/>
  <c r="R5925" i="2"/>
  <c r="R5926" i="2"/>
  <c r="R5927" i="2"/>
  <c r="R5928" i="2"/>
  <c r="R5929" i="2"/>
  <c r="R5930" i="2"/>
  <c r="R5931" i="2"/>
  <c r="R5932" i="2"/>
  <c r="R5933" i="2"/>
  <c r="R5934" i="2"/>
  <c r="R5935" i="2"/>
  <c r="R5936" i="2"/>
  <c r="R5937" i="2"/>
  <c r="R5938" i="2"/>
  <c r="R5939" i="2"/>
  <c r="R5940" i="2"/>
  <c r="R5941" i="2"/>
  <c r="R5942" i="2"/>
  <c r="R5943" i="2"/>
  <c r="R5944" i="2"/>
  <c r="R5945" i="2"/>
  <c r="R5946" i="2"/>
  <c r="R5947" i="2"/>
  <c r="R5948" i="2"/>
  <c r="R5949" i="2"/>
  <c r="R5950" i="2"/>
  <c r="R5951" i="2"/>
  <c r="R5952" i="2"/>
  <c r="R5953" i="2"/>
  <c r="R5954" i="2"/>
  <c r="R5955" i="2"/>
  <c r="R5956" i="2"/>
  <c r="R5957" i="2"/>
  <c r="R5958" i="2"/>
  <c r="R5959" i="2"/>
  <c r="R5960" i="2"/>
  <c r="R5961" i="2"/>
  <c r="R5962" i="2"/>
  <c r="R5963" i="2"/>
  <c r="R5964" i="2"/>
  <c r="R5965" i="2"/>
  <c r="R5966" i="2"/>
  <c r="R5967" i="2"/>
  <c r="R5968" i="2"/>
  <c r="R5969" i="2"/>
  <c r="R5970" i="2"/>
  <c r="R5971" i="2"/>
  <c r="R5972" i="2"/>
  <c r="R5973" i="2"/>
  <c r="R5974" i="2"/>
  <c r="R5975" i="2"/>
  <c r="R5976" i="2"/>
  <c r="R5977" i="2"/>
  <c r="R5978" i="2"/>
  <c r="R5979" i="2"/>
  <c r="R5980" i="2"/>
  <c r="R5981" i="2"/>
  <c r="R5982" i="2"/>
  <c r="R5983" i="2"/>
  <c r="R5984" i="2"/>
  <c r="R5985" i="2"/>
  <c r="R5986" i="2"/>
  <c r="R5987" i="2"/>
  <c r="R5988" i="2"/>
  <c r="R5989" i="2"/>
  <c r="R5990" i="2"/>
  <c r="R5991" i="2"/>
  <c r="R5992" i="2"/>
  <c r="R5993" i="2"/>
  <c r="R5994" i="2"/>
  <c r="R5995" i="2"/>
  <c r="R5996" i="2"/>
  <c r="R5997" i="2"/>
  <c r="R5998" i="2"/>
  <c r="R5999" i="2"/>
  <c r="R6000" i="2"/>
  <c r="R6001" i="2"/>
  <c r="R6002" i="2"/>
  <c r="R6003" i="2"/>
  <c r="R6004" i="2"/>
  <c r="R6005" i="2"/>
  <c r="R6006" i="2"/>
  <c r="R6007" i="2"/>
  <c r="R6008" i="2"/>
  <c r="R6009" i="2"/>
  <c r="R6010" i="2"/>
  <c r="R6011" i="2"/>
  <c r="R6012" i="2"/>
  <c r="R6013" i="2"/>
  <c r="R6014" i="2"/>
  <c r="R6015" i="2"/>
  <c r="R6016" i="2"/>
  <c r="R6017" i="2"/>
  <c r="R6018" i="2"/>
  <c r="R6019" i="2"/>
  <c r="R6020" i="2"/>
  <c r="R6021" i="2"/>
  <c r="R6022" i="2"/>
  <c r="R6023" i="2"/>
  <c r="R6024" i="2"/>
  <c r="R6025" i="2"/>
  <c r="R6026" i="2"/>
  <c r="R6027" i="2"/>
  <c r="R6028" i="2"/>
  <c r="R6029" i="2"/>
  <c r="R6030" i="2"/>
  <c r="R6031" i="2"/>
  <c r="R6032" i="2"/>
  <c r="R6033" i="2"/>
  <c r="R6034" i="2"/>
  <c r="R6035" i="2"/>
  <c r="R6036" i="2"/>
  <c r="R6037" i="2"/>
  <c r="R6038" i="2"/>
  <c r="R6039" i="2"/>
  <c r="R6040" i="2"/>
  <c r="R6041" i="2"/>
  <c r="R6042" i="2"/>
  <c r="R6043" i="2"/>
  <c r="R6044" i="2"/>
  <c r="R6045" i="2"/>
  <c r="R6046" i="2"/>
  <c r="R6047" i="2"/>
  <c r="R6048" i="2"/>
  <c r="R6049" i="2"/>
  <c r="R6050" i="2"/>
  <c r="R6051" i="2"/>
  <c r="R6052" i="2"/>
  <c r="R6053" i="2"/>
  <c r="R6054" i="2"/>
  <c r="R6055" i="2"/>
  <c r="R6056" i="2"/>
  <c r="R6057" i="2"/>
  <c r="R6058" i="2"/>
  <c r="R6059" i="2"/>
  <c r="R6060" i="2"/>
  <c r="R6061" i="2"/>
  <c r="R6062" i="2"/>
  <c r="R6063" i="2"/>
  <c r="R6064" i="2"/>
  <c r="R6065" i="2"/>
  <c r="R6066" i="2"/>
  <c r="R6067" i="2"/>
  <c r="R6068" i="2"/>
  <c r="R6069" i="2"/>
  <c r="R6070" i="2"/>
  <c r="R6071" i="2"/>
  <c r="R6072" i="2"/>
  <c r="R6073" i="2"/>
  <c r="R6074" i="2"/>
  <c r="R6075" i="2"/>
  <c r="R6076" i="2"/>
  <c r="R6077" i="2"/>
  <c r="R6078" i="2"/>
  <c r="R6079" i="2"/>
  <c r="R6080" i="2"/>
  <c r="R6081" i="2"/>
  <c r="R6082" i="2"/>
  <c r="R6083" i="2"/>
  <c r="R6084" i="2"/>
  <c r="R6085" i="2"/>
  <c r="R6086" i="2"/>
  <c r="R6087" i="2"/>
  <c r="R6088" i="2"/>
  <c r="R6089" i="2"/>
  <c r="R6090" i="2"/>
  <c r="R6091" i="2"/>
  <c r="R6092" i="2"/>
  <c r="R6093" i="2"/>
  <c r="R6094" i="2"/>
  <c r="R6095" i="2"/>
  <c r="R6096" i="2"/>
  <c r="R6097" i="2"/>
  <c r="R6098" i="2"/>
  <c r="R6099" i="2"/>
  <c r="R6100" i="2"/>
  <c r="R6101" i="2"/>
  <c r="R6102" i="2"/>
  <c r="R6103" i="2"/>
  <c r="R6104" i="2"/>
  <c r="R6105" i="2"/>
  <c r="R6106" i="2"/>
  <c r="R6107" i="2"/>
  <c r="R6108" i="2"/>
  <c r="R6109" i="2"/>
  <c r="R6110" i="2"/>
  <c r="R6111" i="2"/>
  <c r="R6112" i="2"/>
  <c r="R6113" i="2"/>
  <c r="R6114" i="2"/>
  <c r="R6115" i="2"/>
  <c r="R6116" i="2"/>
  <c r="R6117" i="2"/>
  <c r="R6118" i="2"/>
  <c r="R6119" i="2"/>
  <c r="R6120" i="2"/>
  <c r="R6121" i="2"/>
  <c r="R6122" i="2"/>
  <c r="R6123" i="2"/>
  <c r="R6124" i="2"/>
  <c r="R6125" i="2"/>
  <c r="R6126" i="2"/>
  <c r="R6127" i="2"/>
  <c r="R6128" i="2"/>
  <c r="R6129" i="2"/>
  <c r="R6130" i="2"/>
  <c r="R6131" i="2"/>
  <c r="R6132" i="2"/>
  <c r="R6133" i="2"/>
  <c r="R6134" i="2"/>
  <c r="R6135" i="2"/>
  <c r="R6136" i="2"/>
  <c r="R6137" i="2"/>
  <c r="R6138" i="2"/>
  <c r="R6139" i="2"/>
  <c r="R6140" i="2"/>
  <c r="R6141" i="2"/>
  <c r="R6142" i="2"/>
  <c r="R6143" i="2"/>
  <c r="R6144" i="2"/>
  <c r="R6145" i="2"/>
  <c r="R6146" i="2"/>
  <c r="R6147" i="2"/>
  <c r="R6148" i="2"/>
  <c r="R6149" i="2"/>
  <c r="R6150" i="2"/>
  <c r="R6151" i="2"/>
  <c r="R6152" i="2"/>
  <c r="R6153" i="2"/>
  <c r="R6154" i="2"/>
  <c r="R6155" i="2"/>
  <c r="R6156" i="2"/>
  <c r="R6157" i="2"/>
  <c r="R6158" i="2"/>
  <c r="R6159" i="2"/>
  <c r="R6160" i="2"/>
  <c r="R6161" i="2"/>
  <c r="R6162" i="2"/>
  <c r="R6163" i="2"/>
  <c r="R6164" i="2"/>
  <c r="R6165" i="2"/>
  <c r="R6166" i="2"/>
  <c r="R6167" i="2"/>
  <c r="R6168" i="2"/>
  <c r="R6169" i="2"/>
  <c r="R6170" i="2"/>
  <c r="R6171" i="2"/>
  <c r="R6172" i="2"/>
  <c r="R6173" i="2"/>
  <c r="R6174" i="2"/>
  <c r="R6175" i="2"/>
  <c r="R6176" i="2"/>
  <c r="R6177" i="2"/>
  <c r="R6178" i="2"/>
  <c r="R6179" i="2"/>
  <c r="R6180" i="2"/>
  <c r="R6181" i="2"/>
  <c r="R6182" i="2"/>
  <c r="R6183" i="2"/>
  <c r="R6184" i="2"/>
  <c r="R6185" i="2"/>
  <c r="R6186" i="2"/>
  <c r="R6187" i="2"/>
  <c r="R6188" i="2"/>
  <c r="R6189" i="2"/>
  <c r="R6190" i="2"/>
  <c r="R6191" i="2"/>
  <c r="R6192" i="2"/>
  <c r="R6193" i="2"/>
  <c r="R6194" i="2"/>
  <c r="R6195" i="2"/>
  <c r="R6196" i="2"/>
  <c r="R6197" i="2"/>
  <c r="R6198" i="2"/>
  <c r="R6199" i="2"/>
  <c r="R6200" i="2"/>
  <c r="R6201" i="2"/>
  <c r="R6202" i="2"/>
  <c r="R6203" i="2"/>
  <c r="R6204" i="2"/>
  <c r="R6205" i="2"/>
  <c r="R6206" i="2"/>
  <c r="R6207" i="2"/>
  <c r="R6208" i="2"/>
  <c r="R6209" i="2"/>
  <c r="R6210" i="2"/>
  <c r="R6211" i="2"/>
  <c r="R6212" i="2"/>
  <c r="R6213" i="2"/>
  <c r="R6214" i="2"/>
  <c r="R6215" i="2"/>
  <c r="R6216" i="2"/>
  <c r="R6217" i="2"/>
  <c r="R6218" i="2"/>
  <c r="R6219" i="2"/>
  <c r="R6220" i="2"/>
  <c r="R6221" i="2"/>
  <c r="R6222" i="2"/>
  <c r="R6223" i="2"/>
  <c r="R6224" i="2"/>
  <c r="R6225" i="2"/>
  <c r="R6226" i="2"/>
  <c r="R6227" i="2"/>
  <c r="R6228" i="2"/>
  <c r="R6229" i="2"/>
  <c r="R6230" i="2"/>
  <c r="R6231" i="2"/>
  <c r="R6232" i="2"/>
  <c r="R6233" i="2"/>
  <c r="R6234" i="2"/>
  <c r="R6235" i="2"/>
  <c r="R6236" i="2"/>
  <c r="R6237" i="2"/>
  <c r="R6238" i="2"/>
  <c r="R6239" i="2"/>
  <c r="R6240" i="2"/>
  <c r="R6241" i="2"/>
  <c r="R6242" i="2"/>
  <c r="R6243" i="2"/>
  <c r="R6244" i="2"/>
  <c r="R6245" i="2"/>
  <c r="R6246" i="2"/>
  <c r="R6247" i="2"/>
  <c r="R6248" i="2"/>
  <c r="R6249" i="2"/>
  <c r="R6250" i="2"/>
  <c r="R6251" i="2"/>
  <c r="R6252" i="2"/>
  <c r="R6253" i="2"/>
  <c r="R6254" i="2"/>
  <c r="R6255" i="2"/>
  <c r="R6256" i="2"/>
  <c r="R6257" i="2"/>
  <c r="R6258" i="2"/>
  <c r="R6259" i="2"/>
  <c r="R6260" i="2"/>
  <c r="R6261" i="2"/>
  <c r="R6262" i="2"/>
  <c r="R6263" i="2"/>
  <c r="R6264" i="2"/>
  <c r="R6265" i="2"/>
  <c r="R6266" i="2"/>
  <c r="R6267" i="2"/>
  <c r="R6268" i="2"/>
  <c r="R6269" i="2"/>
  <c r="R6270" i="2"/>
  <c r="R6271" i="2"/>
  <c r="R6272" i="2"/>
  <c r="R6273" i="2"/>
  <c r="R6274" i="2"/>
  <c r="R6275" i="2"/>
  <c r="R6276" i="2"/>
  <c r="R6277" i="2"/>
  <c r="R6278" i="2"/>
  <c r="R6279" i="2"/>
  <c r="R6280" i="2"/>
  <c r="R6281" i="2"/>
  <c r="R6282" i="2"/>
  <c r="R6283" i="2"/>
  <c r="R6284" i="2"/>
  <c r="R6285" i="2"/>
  <c r="R6286" i="2"/>
  <c r="R6287" i="2"/>
  <c r="R6288" i="2"/>
  <c r="R6289" i="2"/>
  <c r="R6290" i="2"/>
  <c r="R6291" i="2"/>
  <c r="R6292" i="2"/>
  <c r="R6293" i="2"/>
  <c r="R6294" i="2"/>
  <c r="R6295" i="2"/>
  <c r="R6296" i="2"/>
  <c r="R6297" i="2"/>
  <c r="R6298" i="2"/>
  <c r="R6299" i="2"/>
  <c r="R6300" i="2"/>
  <c r="R6301" i="2"/>
  <c r="R6302" i="2"/>
  <c r="R6303" i="2"/>
  <c r="R6304" i="2"/>
  <c r="R6305" i="2"/>
  <c r="R6306" i="2"/>
  <c r="R6307" i="2"/>
  <c r="R6308" i="2"/>
  <c r="R6309" i="2"/>
  <c r="R6310" i="2"/>
  <c r="R6311" i="2"/>
  <c r="R6312" i="2"/>
  <c r="R6313" i="2"/>
  <c r="R6314" i="2"/>
  <c r="R6315" i="2"/>
  <c r="R6316" i="2"/>
  <c r="R6317" i="2"/>
  <c r="R6318" i="2"/>
  <c r="R6319" i="2"/>
  <c r="R6320" i="2"/>
  <c r="R6321" i="2"/>
  <c r="R6322" i="2"/>
  <c r="R6323" i="2"/>
  <c r="R6324" i="2"/>
  <c r="R6325" i="2"/>
  <c r="R6326" i="2"/>
  <c r="R6327" i="2"/>
  <c r="R6328" i="2"/>
  <c r="R6329" i="2"/>
  <c r="R6330" i="2"/>
  <c r="R6331" i="2"/>
  <c r="R6332" i="2"/>
  <c r="R6333" i="2"/>
  <c r="R6334" i="2"/>
  <c r="R6335" i="2"/>
  <c r="R6336" i="2"/>
  <c r="R6337" i="2"/>
  <c r="R6338" i="2"/>
  <c r="R6339" i="2"/>
  <c r="R6340" i="2"/>
  <c r="R6341" i="2"/>
  <c r="R6342" i="2"/>
  <c r="R6343" i="2"/>
  <c r="R6344" i="2"/>
  <c r="R6345" i="2"/>
  <c r="R6346" i="2"/>
  <c r="R6347" i="2"/>
  <c r="R6348" i="2"/>
  <c r="R6349" i="2"/>
  <c r="R6350" i="2"/>
  <c r="R6351" i="2"/>
  <c r="R6352" i="2"/>
  <c r="R6353" i="2"/>
  <c r="R6354" i="2"/>
  <c r="R6355" i="2"/>
  <c r="R6356" i="2"/>
  <c r="R6357" i="2"/>
  <c r="R6358" i="2"/>
  <c r="R6359" i="2"/>
  <c r="R6360" i="2"/>
  <c r="R6361" i="2"/>
  <c r="R6362" i="2"/>
  <c r="R6363" i="2"/>
  <c r="R6364" i="2"/>
  <c r="R6365" i="2"/>
  <c r="R6366" i="2"/>
  <c r="R6367" i="2"/>
  <c r="R6368" i="2"/>
  <c r="R6369" i="2"/>
  <c r="R6370" i="2"/>
  <c r="R6371" i="2"/>
  <c r="R6372" i="2"/>
  <c r="R6373" i="2"/>
  <c r="R6374" i="2"/>
  <c r="R6375" i="2"/>
  <c r="R6376" i="2"/>
  <c r="R6377" i="2"/>
  <c r="R6378" i="2"/>
  <c r="R6379" i="2"/>
  <c r="R6380" i="2"/>
  <c r="R6381" i="2"/>
  <c r="R6382" i="2"/>
  <c r="R6383" i="2"/>
  <c r="R6384" i="2"/>
  <c r="R6385" i="2"/>
  <c r="R6386" i="2"/>
  <c r="R6387" i="2"/>
  <c r="R6388" i="2"/>
  <c r="R6389" i="2"/>
  <c r="R6390" i="2"/>
  <c r="R6391" i="2"/>
  <c r="R6392" i="2"/>
  <c r="R6393" i="2"/>
  <c r="R6394" i="2"/>
  <c r="R6395" i="2"/>
  <c r="R6396" i="2"/>
  <c r="R6397" i="2"/>
  <c r="R6398" i="2"/>
  <c r="R6399" i="2"/>
  <c r="R6400" i="2"/>
  <c r="R6401" i="2"/>
  <c r="R6402" i="2"/>
  <c r="R6403" i="2"/>
  <c r="R6404" i="2"/>
  <c r="R6405" i="2"/>
  <c r="R6406" i="2"/>
  <c r="R6407" i="2"/>
  <c r="R6408" i="2"/>
  <c r="R6409" i="2"/>
  <c r="R6410" i="2"/>
  <c r="R6411" i="2"/>
  <c r="R6412" i="2"/>
  <c r="R6413" i="2"/>
  <c r="R6414" i="2"/>
  <c r="R6415" i="2"/>
  <c r="R6416" i="2"/>
  <c r="R6417" i="2"/>
  <c r="R6418" i="2"/>
  <c r="R6419" i="2"/>
  <c r="R6420" i="2"/>
  <c r="R6421" i="2"/>
  <c r="R6422" i="2"/>
  <c r="R6423" i="2"/>
  <c r="R6424" i="2"/>
  <c r="R6425" i="2"/>
  <c r="R6426" i="2"/>
  <c r="R6427" i="2"/>
  <c r="R6428" i="2"/>
  <c r="R6429" i="2"/>
  <c r="R6430" i="2"/>
  <c r="R6431" i="2"/>
  <c r="R6432" i="2"/>
  <c r="R6433" i="2"/>
  <c r="R6434" i="2"/>
  <c r="R6435" i="2"/>
  <c r="R6436" i="2"/>
  <c r="R6437" i="2"/>
  <c r="R6438" i="2"/>
  <c r="R6439" i="2"/>
  <c r="R6440" i="2"/>
  <c r="R6441" i="2"/>
  <c r="R6442" i="2"/>
  <c r="R6443" i="2"/>
  <c r="R6444" i="2"/>
  <c r="R6445" i="2"/>
  <c r="R6446" i="2"/>
  <c r="R6447" i="2"/>
  <c r="R6448" i="2"/>
  <c r="R6449" i="2"/>
  <c r="R6450" i="2"/>
  <c r="R6451" i="2"/>
  <c r="R6452" i="2"/>
  <c r="R6453" i="2"/>
  <c r="R6454" i="2"/>
  <c r="R6455" i="2"/>
  <c r="R6456" i="2"/>
  <c r="R6457" i="2"/>
  <c r="R6458" i="2"/>
  <c r="R6459" i="2"/>
  <c r="R6460" i="2"/>
  <c r="R6461" i="2"/>
  <c r="R6462" i="2"/>
  <c r="R6463" i="2"/>
  <c r="R6464" i="2"/>
  <c r="R6465" i="2"/>
  <c r="R6466" i="2"/>
  <c r="R6467" i="2"/>
  <c r="R6468" i="2"/>
  <c r="R6469" i="2"/>
  <c r="R6470" i="2"/>
  <c r="R6471" i="2"/>
  <c r="R6472" i="2"/>
  <c r="R6473" i="2"/>
  <c r="R6474" i="2"/>
  <c r="R6475" i="2"/>
  <c r="R6476" i="2"/>
  <c r="R6477" i="2"/>
  <c r="R6478" i="2"/>
  <c r="R6479" i="2"/>
  <c r="R6480" i="2"/>
  <c r="R6481" i="2"/>
  <c r="R6482" i="2"/>
  <c r="R6483" i="2"/>
  <c r="R6484" i="2"/>
  <c r="R6485" i="2"/>
  <c r="R6486" i="2"/>
  <c r="R6487" i="2"/>
  <c r="R6488" i="2"/>
  <c r="R6489" i="2"/>
  <c r="R6490" i="2"/>
  <c r="R6491" i="2"/>
  <c r="R6492" i="2"/>
  <c r="R6493" i="2"/>
  <c r="R6494" i="2"/>
  <c r="R6495" i="2"/>
  <c r="R6496" i="2"/>
  <c r="R6497" i="2"/>
  <c r="R6498" i="2"/>
  <c r="R6499" i="2"/>
  <c r="R6500" i="2"/>
  <c r="R6501" i="2"/>
  <c r="R6502" i="2"/>
  <c r="R6503" i="2"/>
  <c r="R6504" i="2"/>
  <c r="R6505" i="2"/>
  <c r="R6506" i="2"/>
  <c r="R6507" i="2"/>
  <c r="R6508" i="2"/>
  <c r="R6509" i="2"/>
  <c r="R6510" i="2"/>
  <c r="R6511" i="2"/>
  <c r="R6512" i="2"/>
  <c r="R6513" i="2"/>
  <c r="R6514" i="2"/>
  <c r="R6515" i="2"/>
  <c r="R6516" i="2"/>
  <c r="R6517" i="2"/>
  <c r="R6518" i="2"/>
  <c r="R6519" i="2"/>
  <c r="R6520" i="2"/>
  <c r="R6521" i="2"/>
  <c r="R6522" i="2"/>
  <c r="R6523" i="2"/>
  <c r="R6524" i="2"/>
  <c r="R6525" i="2"/>
  <c r="R6526" i="2"/>
  <c r="R6527" i="2"/>
  <c r="R6528" i="2"/>
  <c r="R6529" i="2"/>
  <c r="R6530" i="2"/>
  <c r="R6531" i="2"/>
  <c r="R6532" i="2"/>
  <c r="R6533" i="2"/>
  <c r="R6534" i="2"/>
  <c r="R6535" i="2"/>
  <c r="R6536" i="2"/>
  <c r="R6537" i="2"/>
  <c r="R6538" i="2"/>
  <c r="R6539" i="2"/>
  <c r="R6540" i="2"/>
  <c r="R6541" i="2"/>
  <c r="R6542" i="2"/>
  <c r="R6543" i="2"/>
  <c r="R6544" i="2"/>
  <c r="R6545" i="2"/>
  <c r="R6546" i="2"/>
  <c r="R6547" i="2"/>
  <c r="R6548" i="2"/>
  <c r="R6549" i="2"/>
  <c r="R6550" i="2"/>
  <c r="R6551" i="2"/>
  <c r="R6552" i="2"/>
  <c r="R6553" i="2"/>
  <c r="R6554" i="2"/>
  <c r="R6555" i="2"/>
  <c r="R6556" i="2"/>
  <c r="R6557" i="2"/>
  <c r="R6558" i="2"/>
  <c r="R6559" i="2"/>
  <c r="R6560" i="2"/>
  <c r="R6561" i="2"/>
  <c r="R6562" i="2"/>
  <c r="R6563" i="2"/>
  <c r="R6564" i="2"/>
  <c r="R6565" i="2"/>
  <c r="R6566" i="2"/>
  <c r="R6567" i="2"/>
  <c r="R6568" i="2"/>
  <c r="R6569" i="2"/>
  <c r="R6570" i="2"/>
  <c r="R6571" i="2"/>
  <c r="R6572" i="2"/>
  <c r="R6573" i="2"/>
  <c r="R6574" i="2"/>
  <c r="R6575" i="2"/>
  <c r="R6576" i="2"/>
  <c r="R6577" i="2"/>
  <c r="R6578" i="2"/>
  <c r="R6579" i="2"/>
  <c r="R6580" i="2"/>
  <c r="R6581" i="2"/>
  <c r="R6582" i="2"/>
  <c r="R6583" i="2"/>
  <c r="R6584" i="2"/>
  <c r="R6585" i="2"/>
  <c r="R6586" i="2"/>
  <c r="R6587" i="2"/>
  <c r="R6588" i="2"/>
  <c r="R6589" i="2"/>
  <c r="R6590" i="2"/>
  <c r="R6591" i="2"/>
  <c r="R6592" i="2"/>
  <c r="R6593" i="2"/>
  <c r="R6594" i="2"/>
  <c r="R6595" i="2"/>
  <c r="R6596" i="2"/>
  <c r="R6597" i="2"/>
  <c r="R6598" i="2"/>
  <c r="R6599" i="2"/>
  <c r="R6600" i="2"/>
  <c r="R6601" i="2"/>
  <c r="R6602" i="2"/>
  <c r="R6603" i="2"/>
  <c r="R6604" i="2"/>
  <c r="R6605" i="2"/>
  <c r="R6606" i="2"/>
  <c r="R6607" i="2"/>
  <c r="R6608" i="2"/>
  <c r="R6609" i="2"/>
  <c r="R6610" i="2"/>
  <c r="R6611" i="2"/>
  <c r="R6612" i="2"/>
  <c r="R6613" i="2"/>
  <c r="R6614" i="2"/>
  <c r="R6615" i="2"/>
  <c r="R6616" i="2"/>
  <c r="R6617" i="2"/>
  <c r="R6618" i="2"/>
  <c r="R6619" i="2"/>
  <c r="R6620" i="2"/>
  <c r="R6621" i="2"/>
  <c r="R6622" i="2"/>
  <c r="R6623" i="2"/>
  <c r="R6624" i="2"/>
  <c r="R6625" i="2"/>
  <c r="R6626" i="2"/>
  <c r="R6627" i="2"/>
  <c r="R6628" i="2"/>
  <c r="R6629" i="2"/>
  <c r="R6630" i="2"/>
  <c r="R6631" i="2"/>
  <c r="R6632" i="2"/>
  <c r="R6633" i="2"/>
  <c r="R6634" i="2"/>
  <c r="R6635" i="2"/>
  <c r="R6636" i="2"/>
  <c r="R6637" i="2"/>
  <c r="R6638" i="2"/>
  <c r="R6639" i="2"/>
  <c r="R6640" i="2"/>
  <c r="R6641" i="2"/>
  <c r="R6642" i="2"/>
  <c r="R6643" i="2"/>
  <c r="R6644" i="2"/>
  <c r="R6645" i="2"/>
  <c r="R6646" i="2"/>
  <c r="R6647" i="2"/>
  <c r="R6648" i="2"/>
  <c r="R6649" i="2"/>
  <c r="R6650" i="2"/>
  <c r="R6651" i="2"/>
  <c r="R6652" i="2"/>
  <c r="R6653" i="2"/>
  <c r="R6654" i="2"/>
  <c r="R6655" i="2"/>
  <c r="R6656" i="2"/>
  <c r="R6657" i="2"/>
  <c r="R6658" i="2"/>
  <c r="R6659" i="2"/>
  <c r="R6660" i="2"/>
  <c r="R6661" i="2"/>
  <c r="R6662" i="2"/>
  <c r="R6663" i="2"/>
  <c r="R6664" i="2"/>
  <c r="R6665" i="2"/>
  <c r="R6666" i="2"/>
  <c r="R6667" i="2"/>
  <c r="R6668" i="2"/>
  <c r="R6669" i="2"/>
  <c r="R6670" i="2"/>
  <c r="R6671" i="2"/>
  <c r="R6672" i="2"/>
  <c r="R6673" i="2"/>
  <c r="R6674" i="2"/>
  <c r="R6675" i="2"/>
  <c r="R6676" i="2"/>
  <c r="R6677" i="2"/>
  <c r="R6678" i="2"/>
  <c r="R6679" i="2"/>
  <c r="R6680" i="2"/>
  <c r="R6681" i="2"/>
  <c r="R6682" i="2"/>
  <c r="R6683" i="2"/>
  <c r="R6684" i="2"/>
  <c r="R6685" i="2"/>
  <c r="R6686" i="2"/>
  <c r="R6687" i="2"/>
  <c r="R6688" i="2"/>
  <c r="R6689" i="2"/>
  <c r="R6690" i="2"/>
  <c r="R6691" i="2"/>
  <c r="R6692" i="2"/>
  <c r="R6693" i="2"/>
  <c r="R6694" i="2"/>
  <c r="R6695" i="2"/>
  <c r="R6696" i="2"/>
  <c r="R6697" i="2"/>
  <c r="R6698" i="2"/>
  <c r="R6699" i="2"/>
  <c r="R6700" i="2"/>
  <c r="R6701" i="2"/>
  <c r="R6702" i="2"/>
  <c r="R6703" i="2"/>
  <c r="R6704" i="2"/>
  <c r="R6705" i="2"/>
  <c r="R6706" i="2"/>
  <c r="R6707" i="2"/>
  <c r="R6708" i="2"/>
  <c r="R6709" i="2"/>
  <c r="R6710" i="2"/>
  <c r="R6711" i="2"/>
  <c r="R6712" i="2"/>
  <c r="R6713" i="2"/>
  <c r="R6714" i="2"/>
  <c r="R6715" i="2"/>
  <c r="R6716" i="2"/>
  <c r="R6717" i="2"/>
  <c r="R6718" i="2"/>
  <c r="R6719" i="2"/>
  <c r="R6720" i="2"/>
  <c r="R6721" i="2"/>
  <c r="R6722" i="2"/>
  <c r="R6723" i="2"/>
  <c r="R6724" i="2"/>
  <c r="R6725" i="2"/>
  <c r="R6726" i="2"/>
  <c r="R6727" i="2"/>
  <c r="R6728" i="2"/>
  <c r="R6729" i="2"/>
  <c r="R6730" i="2"/>
  <c r="R6731" i="2"/>
  <c r="R6732" i="2"/>
  <c r="R6733" i="2"/>
  <c r="R6734" i="2"/>
  <c r="R6735" i="2"/>
  <c r="R6736" i="2"/>
  <c r="R6737" i="2"/>
  <c r="R6738" i="2"/>
  <c r="R6739" i="2"/>
  <c r="R6740" i="2"/>
  <c r="R6741" i="2"/>
  <c r="R6742" i="2"/>
  <c r="R6743" i="2"/>
  <c r="R6744" i="2"/>
  <c r="R6745" i="2"/>
  <c r="R6746" i="2"/>
  <c r="R6747" i="2"/>
  <c r="R6748" i="2"/>
  <c r="R6749" i="2"/>
  <c r="R6750" i="2"/>
  <c r="R6751" i="2"/>
  <c r="R6752" i="2"/>
  <c r="R6753" i="2"/>
  <c r="R6754" i="2"/>
  <c r="R6755" i="2"/>
  <c r="R6756" i="2"/>
  <c r="R6757" i="2"/>
  <c r="R6758" i="2"/>
  <c r="R6759" i="2"/>
  <c r="R6760" i="2"/>
  <c r="R6761" i="2"/>
  <c r="R6762" i="2"/>
  <c r="R6763" i="2"/>
  <c r="R6764" i="2"/>
  <c r="R6765" i="2"/>
  <c r="R6766" i="2"/>
  <c r="R6767" i="2"/>
  <c r="R6768" i="2"/>
  <c r="R6769" i="2"/>
  <c r="R6770" i="2"/>
  <c r="R6771" i="2"/>
  <c r="R6772" i="2"/>
  <c r="R6773" i="2"/>
  <c r="R6774" i="2"/>
  <c r="R6775" i="2"/>
  <c r="R6776" i="2"/>
  <c r="R6777" i="2"/>
  <c r="R6778" i="2"/>
  <c r="R6779" i="2"/>
  <c r="R6780" i="2"/>
  <c r="R6781" i="2"/>
  <c r="R6782" i="2"/>
  <c r="R6783" i="2"/>
  <c r="R6784" i="2"/>
  <c r="R6785" i="2"/>
  <c r="R6786" i="2"/>
  <c r="R6787" i="2"/>
  <c r="R6788" i="2"/>
  <c r="R6789" i="2"/>
  <c r="R6790" i="2"/>
  <c r="R6791" i="2"/>
  <c r="R6792" i="2"/>
  <c r="R6793" i="2"/>
  <c r="R6794" i="2"/>
  <c r="R6795" i="2"/>
  <c r="R6796" i="2"/>
  <c r="R6797" i="2"/>
  <c r="R6798" i="2"/>
  <c r="R6799" i="2"/>
  <c r="R6800" i="2"/>
  <c r="R6801" i="2"/>
  <c r="R6802" i="2"/>
  <c r="R6803" i="2"/>
  <c r="R6804" i="2"/>
  <c r="R6805" i="2"/>
  <c r="R6806" i="2"/>
  <c r="R6807" i="2"/>
  <c r="R6808" i="2"/>
  <c r="R6809" i="2"/>
  <c r="R6810" i="2"/>
  <c r="R6811" i="2"/>
  <c r="R6812" i="2"/>
  <c r="R6813" i="2"/>
  <c r="R6814" i="2"/>
  <c r="R6815" i="2"/>
  <c r="R6816" i="2"/>
  <c r="R6817" i="2"/>
  <c r="R6818" i="2"/>
  <c r="R6819" i="2"/>
  <c r="R6820" i="2"/>
  <c r="R6821" i="2"/>
  <c r="R6822" i="2"/>
  <c r="R6823" i="2"/>
  <c r="R6824" i="2"/>
  <c r="R6825" i="2"/>
  <c r="R6826" i="2"/>
  <c r="R6827" i="2"/>
  <c r="R6828" i="2"/>
  <c r="R6829" i="2"/>
  <c r="R6830" i="2"/>
  <c r="R6831" i="2"/>
  <c r="R6832" i="2"/>
  <c r="R6833" i="2"/>
  <c r="R6834" i="2"/>
  <c r="R6835" i="2"/>
  <c r="R6836" i="2"/>
  <c r="R6837" i="2"/>
  <c r="R6838" i="2"/>
  <c r="R6839" i="2"/>
  <c r="R6840" i="2"/>
  <c r="R6841" i="2"/>
  <c r="R6842" i="2"/>
  <c r="R6843" i="2"/>
  <c r="R6844" i="2"/>
  <c r="R6845" i="2"/>
  <c r="R6846" i="2"/>
  <c r="R6847" i="2"/>
  <c r="R6848" i="2"/>
  <c r="R6849" i="2"/>
  <c r="R6850" i="2"/>
  <c r="R6851" i="2"/>
  <c r="R6852" i="2"/>
  <c r="R6853" i="2"/>
  <c r="R6854" i="2"/>
  <c r="R6855" i="2"/>
  <c r="R6856" i="2"/>
  <c r="R6857" i="2"/>
  <c r="R6858" i="2"/>
  <c r="R6859" i="2"/>
  <c r="R6860" i="2"/>
  <c r="R6861" i="2"/>
  <c r="R6862" i="2"/>
  <c r="R6863" i="2"/>
  <c r="R6864" i="2"/>
  <c r="R6865" i="2"/>
  <c r="R6866" i="2"/>
  <c r="R6867" i="2"/>
  <c r="R6868" i="2"/>
  <c r="R6869" i="2"/>
  <c r="R6870" i="2"/>
  <c r="R6871" i="2"/>
  <c r="R6872" i="2"/>
  <c r="R6873" i="2"/>
  <c r="R6874" i="2"/>
  <c r="R6875" i="2"/>
  <c r="R6876" i="2"/>
  <c r="R6877" i="2"/>
  <c r="R6878" i="2"/>
  <c r="R6879" i="2"/>
  <c r="R6880" i="2"/>
  <c r="R6881" i="2"/>
  <c r="R6882" i="2"/>
  <c r="R6883" i="2"/>
  <c r="R6884" i="2"/>
  <c r="R6885" i="2"/>
  <c r="R6886" i="2"/>
  <c r="R6887" i="2"/>
  <c r="R6888" i="2"/>
  <c r="R6889" i="2"/>
  <c r="R6890" i="2"/>
  <c r="R6891" i="2"/>
  <c r="R6892" i="2"/>
  <c r="R6893" i="2"/>
  <c r="R6894" i="2"/>
  <c r="R6895" i="2"/>
  <c r="R6896" i="2"/>
  <c r="R6897" i="2"/>
  <c r="R6898" i="2"/>
  <c r="R6899" i="2"/>
  <c r="R6900" i="2"/>
  <c r="R6901" i="2"/>
  <c r="R6902" i="2"/>
  <c r="R6903" i="2"/>
  <c r="R6904" i="2"/>
  <c r="R6905" i="2"/>
  <c r="R6906" i="2"/>
  <c r="R6907" i="2"/>
  <c r="R6908" i="2"/>
  <c r="R6909" i="2"/>
  <c r="R6910" i="2"/>
  <c r="R6911" i="2"/>
  <c r="R6912" i="2"/>
  <c r="R6913" i="2"/>
  <c r="R6914" i="2"/>
  <c r="R6915" i="2"/>
  <c r="R6916" i="2"/>
  <c r="R6917" i="2"/>
  <c r="R6918" i="2"/>
  <c r="R6919" i="2"/>
  <c r="R6920" i="2"/>
  <c r="R6921" i="2"/>
  <c r="R6922" i="2"/>
  <c r="R6923" i="2"/>
  <c r="R6924" i="2"/>
  <c r="R6925" i="2"/>
  <c r="R6926" i="2"/>
  <c r="R6927" i="2"/>
  <c r="R6928" i="2"/>
  <c r="R6929" i="2"/>
  <c r="R6930" i="2"/>
  <c r="R6931" i="2"/>
  <c r="R6932" i="2"/>
  <c r="R6933" i="2"/>
  <c r="R6934" i="2"/>
  <c r="R6935" i="2"/>
  <c r="R6936" i="2"/>
  <c r="R6937" i="2"/>
  <c r="R6938" i="2"/>
  <c r="R6939" i="2"/>
  <c r="R6940" i="2"/>
  <c r="R6941" i="2"/>
  <c r="R6942" i="2"/>
  <c r="R6943" i="2"/>
  <c r="R6944" i="2"/>
  <c r="R6945" i="2"/>
  <c r="R6946" i="2"/>
  <c r="R6947" i="2"/>
  <c r="R6948" i="2"/>
  <c r="R6949" i="2"/>
  <c r="R6950" i="2"/>
  <c r="R6951" i="2"/>
  <c r="R6952" i="2"/>
  <c r="R6953" i="2"/>
  <c r="R6954" i="2"/>
  <c r="R6955" i="2"/>
  <c r="R6956" i="2"/>
  <c r="R6957" i="2"/>
  <c r="R6958" i="2"/>
  <c r="R6959" i="2"/>
  <c r="R6960" i="2"/>
  <c r="R6961" i="2"/>
  <c r="R6962" i="2"/>
  <c r="R6963" i="2"/>
  <c r="R6964" i="2"/>
  <c r="R6965" i="2"/>
  <c r="R6966" i="2"/>
  <c r="R6967" i="2"/>
  <c r="R6968" i="2"/>
  <c r="R6969" i="2"/>
  <c r="R6970" i="2"/>
  <c r="R6971" i="2"/>
  <c r="R6972" i="2"/>
  <c r="R6973" i="2"/>
  <c r="R6974" i="2"/>
  <c r="R6975" i="2"/>
  <c r="R6976" i="2"/>
  <c r="R6977" i="2"/>
  <c r="R6978" i="2"/>
  <c r="R6979" i="2"/>
  <c r="R6980" i="2"/>
  <c r="R6981" i="2"/>
  <c r="R6982" i="2"/>
  <c r="R6983" i="2"/>
  <c r="R6984" i="2"/>
  <c r="R6985" i="2"/>
  <c r="R6986" i="2"/>
  <c r="R6987" i="2"/>
  <c r="R6988" i="2"/>
  <c r="R6989" i="2"/>
  <c r="R6990" i="2"/>
  <c r="R6991" i="2"/>
  <c r="R6992" i="2"/>
  <c r="R6993" i="2"/>
  <c r="R6994" i="2"/>
  <c r="R6995" i="2"/>
  <c r="R6996" i="2"/>
  <c r="R6997" i="2"/>
  <c r="R6998" i="2"/>
  <c r="R6999" i="2"/>
  <c r="R7000" i="2"/>
  <c r="R7001" i="2"/>
  <c r="R7002" i="2"/>
  <c r="R7003" i="2"/>
  <c r="R7004" i="2"/>
  <c r="R7005" i="2"/>
  <c r="R7006" i="2"/>
  <c r="R7007" i="2"/>
  <c r="R7008" i="2"/>
  <c r="R7009" i="2"/>
  <c r="R7010" i="2"/>
  <c r="R7011" i="2"/>
  <c r="R7012" i="2"/>
  <c r="R7013" i="2"/>
  <c r="R7014" i="2"/>
  <c r="R7015" i="2"/>
  <c r="R7016"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5" i="2"/>
  <c r="R8276" i="2"/>
  <c r="R8277" i="2"/>
  <c r="R8278" i="2"/>
  <c r="R8279" i="2"/>
  <c r="R8280" i="2"/>
  <c r="R8281" i="2"/>
  <c r="R8282" i="2"/>
  <c r="R8283" i="2"/>
  <c r="R8284"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29" i="2"/>
  <c r="R8330" i="2"/>
  <c r="R8331" i="2"/>
  <c r="R8332" i="2"/>
  <c r="R8333" i="2"/>
  <c r="R8334" i="2"/>
  <c r="R8335" i="2"/>
  <c r="R8336" i="2"/>
  <c r="R8337" i="2"/>
  <c r="R8338" i="2"/>
  <c r="R8339" i="2"/>
  <c r="R8340" i="2"/>
  <c r="R8341" i="2"/>
  <c r="R8342" i="2"/>
  <c r="R8343" i="2"/>
  <c r="R8344" i="2"/>
  <c r="R8345" i="2"/>
  <c r="R8346" i="2"/>
  <c r="R8347" i="2"/>
  <c r="R8348" i="2"/>
  <c r="R8349" i="2"/>
  <c r="R8350" i="2"/>
  <c r="R8351" i="2"/>
  <c r="R8352" i="2"/>
  <c r="R8353" i="2"/>
  <c r="R8354" i="2"/>
  <c r="R8355" i="2"/>
  <c r="R8356" i="2"/>
  <c r="R8357" i="2"/>
  <c r="R8358" i="2"/>
  <c r="R8359" i="2"/>
  <c r="R8360" i="2"/>
  <c r="R8361" i="2"/>
  <c r="R8362" i="2"/>
  <c r="R8363" i="2"/>
  <c r="R8364" i="2"/>
  <c r="R8365" i="2"/>
  <c r="R8366" i="2"/>
  <c r="R8367" i="2"/>
  <c r="R8368" i="2"/>
  <c r="R8369" i="2"/>
  <c r="R8370" i="2"/>
  <c r="R8371" i="2"/>
  <c r="R8372" i="2"/>
  <c r="R8373" i="2"/>
  <c r="R8374" i="2"/>
  <c r="R8375" i="2"/>
  <c r="R8376" i="2"/>
  <c r="R8377" i="2"/>
  <c r="R8378" i="2"/>
  <c r="R8379" i="2"/>
  <c r="R8380" i="2"/>
  <c r="R8381"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6"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R8486" i="2"/>
  <c r="R8487" i="2"/>
  <c r="R8488" i="2"/>
  <c r="R8489" i="2"/>
  <c r="R8490" i="2"/>
  <c r="R8491" i="2"/>
  <c r="R8492" i="2"/>
  <c r="R8493" i="2"/>
  <c r="R8494" i="2"/>
  <c r="R8495" i="2"/>
  <c r="R8496" i="2"/>
  <c r="R8497" i="2"/>
  <c r="R8498" i="2"/>
  <c r="R8499" i="2"/>
  <c r="R8500" i="2"/>
  <c r="R8501" i="2"/>
  <c r="R8502" i="2"/>
  <c r="R8503" i="2"/>
  <c r="R8504" i="2"/>
  <c r="R8505" i="2"/>
  <c r="R8506" i="2"/>
  <c r="R8507" i="2"/>
  <c r="R8508" i="2"/>
  <c r="R8509" i="2"/>
  <c r="R8510" i="2"/>
  <c r="R8511" i="2"/>
  <c r="R8512" i="2"/>
  <c r="R8513" i="2"/>
  <c r="R8514" i="2"/>
  <c r="R8515" i="2"/>
  <c r="R8516" i="2"/>
  <c r="R8517" i="2"/>
  <c r="R8518" i="2"/>
  <c r="R8519" i="2"/>
  <c r="R8520" i="2"/>
  <c r="R8521" i="2"/>
  <c r="R8522" i="2"/>
  <c r="R8523" i="2"/>
  <c r="R8524" i="2"/>
  <c r="R8525" i="2"/>
  <c r="R8526" i="2"/>
  <c r="R8527" i="2"/>
  <c r="R8528" i="2"/>
  <c r="R8529" i="2"/>
  <c r="R8530" i="2"/>
  <c r="R8531" i="2"/>
  <c r="R8532" i="2"/>
  <c r="R8533" i="2"/>
  <c r="R8534" i="2"/>
  <c r="R8535" i="2"/>
  <c r="R8536" i="2"/>
  <c r="R8537" i="2"/>
  <c r="R8538" i="2"/>
  <c r="R8539" i="2"/>
  <c r="R8540" i="2"/>
  <c r="R8541" i="2"/>
  <c r="R8542" i="2"/>
  <c r="R8543" i="2"/>
  <c r="R8544" i="2"/>
  <c r="R8545" i="2"/>
  <c r="R8546" i="2"/>
  <c r="R8547" i="2"/>
  <c r="R8548" i="2"/>
  <c r="R8549" i="2"/>
  <c r="R8550" i="2"/>
  <c r="R8551" i="2"/>
  <c r="R8552" i="2"/>
  <c r="R8553" i="2"/>
  <c r="R8554" i="2"/>
  <c r="R8555" i="2"/>
  <c r="R8556" i="2"/>
  <c r="R8557" i="2"/>
  <c r="R8558" i="2"/>
  <c r="R8559" i="2"/>
  <c r="R8560" i="2"/>
  <c r="R8561" i="2"/>
  <c r="R8562" i="2"/>
  <c r="R8563" i="2"/>
  <c r="R8564" i="2"/>
  <c r="R8565" i="2"/>
  <c r="R8566" i="2"/>
  <c r="R8567" i="2"/>
  <c r="R8568" i="2"/>
  <c r="R8569" i="2"/>
  <c r="R8570" i="2"/>
  <c r="R8571" i="2"/>
  <c r="R8572" i="2"/>
  <c r="R8573" i="2"/>
  <c r="R8574" i="2"/>
  <c r="R8575" i="2"/>
  <c r="R8576" i="2"/>
  <c r="R8577" i="2"/>
  <c r="R8578" i="2"/>
  <c r="R8579" i="2"/>
  <c r="R8580" i="2"/>
  <c r="R8581" i="2"/>
  <c r="R8582" i="2"/>
  <c r="R8583" i="2"/>
  <c r="R8584" i="2"/>
  <c r="R8585" i="2"/>
  <c r="R8586" i="2"/>
  <c r="R8587" i="2"/>
  <c r="R8588" i="2"/>
  <c r="R8589" i="2"/>
  <c r="R8590" i="2"/>
  <c r="R8591" i="2"/>
  <c r="R8592" i="2"/>
  <c r="R8593" i="2"/>
  <c r="R8594" i="2"/>
  <c r="R8595" i="2"/>
  <c r="R8596" i="2"/>
  <c r="R8597" i="2"/>
  <c r="R8598" i="2"/>
  <c r="R8599" i="2"/>
  <c r="R8600" i="2"/>
  <c r="R8601" i="2"/>
  <c r="R8602" i="2"/>
  <c r="R8603" i="2"/>
  <c r="R8604" i="2"/>
  <c r="R8605" i="2"/>
  <c r="R8606" i="2"/>
  <c r="R8607" i="2"/>
  <c r="R8608" i="2"/>
  <c r="R8609" i="2"/>
  <c r="R8610" i="2"/>
  <c r="R8611" i="2"/>
  <c r="R8612" i="2"/>
  <c r="R8613" i="2"/>
  <c r="R8614" i="2"/>
  <c r="R8615" i="2"/>
  <c r="R8616" i="2"/>
  <c r="R8617" i="2"/>
  <c r="R8618" i="2"/>
  <c r="R8619" i="2"/>
  <c r="R8620" i="2"/>
  <c r="R8621" i="2"/>
  <c r="R8622" i="2"/>
  <c r="R8623" i="2"/>
  <c r="R8624" i="2"/>
  <c r="R8625" i="2"/>
  <c r="R8626" i="2"/>
  <c r="R8627" i="2"/>
  <c r="R8628" i="2"/>
  <c r="R8629" i="2"/>
  <c r="R8630" i="2"/>
  <c r="R8631" i="2"/>
  <c r="R8632" i="2"/>
  <c r="R8633" i="2"/>
  <c r="R8634" i="2"/>
  <c r="R8635" i="2"/>
  <c r="R8636" i="2"/>
  <c r="R8637" i="2"/>
  <c r="R8638" i="2"/>
  <c r="R8639" i="2"/>
  <c r="R8640" i="2"/>
  <c r="R8641" i="2"/>
  <c r="R8642" i="2"/>
  <c r="R8643" i="2"/>
  <c r="R8644" i="2"/>
  <c r="R8645" i="2"/>
  <c r="R8646" i="2"/>
  <c r="R8647" i="2"/>
  <c r="R8648" i="2"/>
  <c r="R8649" i="2"/>
  <c r="R8650" i="2"/>
  <c r="R8651" i="2"/>
  <c r="R8652" i="2"/>
  <c r="R8653" i="2"/>
  <c r="R8654" i="2"/>
  <c r="R8655" i="2"/>
  <c r="R8656" i="2"/>
  <c r="R8657" i="2"/>
  <c r="R8658" i="2"/>
  <c r="R8659" i="2"/>
  <c r="R8660" i="2"/>
  <c r="R8661" i="2"/>
  <c r="R8662" i="2"/>
  <c r="R8663" i="2"/>
  <c r="R8664" i="2"/>
  <c r="R8665" i="2"/>
  <c r="R8666" i="2"/>
  <c r="R8667" i="2"/>
  <c r="R8668" i="2"/>
  <c r="R8669" i="2"/>
  <c r="R8670" i="2"/>
  <c r="R8671" i="2"/>
  <c r="R8672" i="2"/>
  <c r="R8673" i="2"/>
  <c r="R8674" i="2"/>
  <c r="R8675" i="2"/>
  <c r="R8676" i="2"/>
  <c r="R8677" i="2"/>
  <c r="R8678" i="2"/>
  <c r="R8679" i="2"/>
  <c r="R8680" i="2"/>
  <c r="R8681" i="2"/>
  <c r="R8682" i="2"/>
  <c r="R8683" i="2"/>
  <c r="R8684" i="2"/>
  <c r="R8685" i="2"/>
  <c r="R8686" i="2"/>
  <c r="R8687" i="2"/>
  <c r="R8688" i="2"/>
  <c r="R8689" i="2"/>
  <c r="R8690" i="2"/>
  <c r="R8691" i="2"/>
  <c r="R8692" i="2"/>
  <c r="R8693" i="2"/>
  <c r="R8694" i="2"/>
  <c r="R8695" i="2"/>
  <c r="R8696" i="2"/>
  <c r="R8697" i="2"/>
  <c r="R8698" i="2"/>
  <c r="R8699" i="2"/>
  <c r="R8700" i="2"/>
  <c r="R8701" i="2"/>
  <c r="R8702" i="2"/>
  <c r="R8703" i="2"/>
  <c r="R8704" i="2"/>
  <c r="R8705" i="2"/>
  <c r="R8706" i="2"/>
  <c r="R8707" i="2"/>
  <c r="R8708" i="2"/>
  <c r="R8709" i="2"/>
  <c r="R8710" i="2"/>
  <c r="R8711" i="2"/>
  <c r="R8712" i="2"/>
  <c r="R8713" i="2"/>
  <c r="R8714" i="2"/>
  <c r="R8715" i="2"/>
  <c r="R8716" i="2"/>
  <c r="R8717" i="2"/>
  <c r="R8718" i="2"/>
  <c r="R8719" i="2"/>
  <c r="R8720" i="2"/>
  <c r="R8721" i="2"/>
  <c r="R8722" i="2"/>
  <c r="R8723" i="2"/>
  <c r="R8724" i="2"/>
  <c r="R8725" i="2"/>
  <c r="R8726" i="2"/>
  <c r="R8727" i="2"/>
  <c r="R8728" i="2"/>
  <c r="R8729" i="2"/>
  <c r="R8730" i="2"/>
  <c r="R8731" i="2"/>
  <c r="R8732" i="2"/>
  <c r="R8733" i="2"/>
  <c r="R8734" i="2"/>
  <c r="R8735" i="2"/>
  <c r="R8736" i="2"/>
  <c r="R8737" i="2"/>
  <c r="R8738" i="2"/>
  <c r="R8739" i="2"/>
  <c r="R8740" i="2"/>
  <c r="R8741" i="2"/>
  <c r="R8742" i="2"/>
  <c r="R8743" i="2"/>
  <c r="R8744" i="2"/>
  <c r="R8745" i="2"/>
  <c r="R8746" i="2"/>
  <c r="R8747" i="2"/>
  <c r="R8748" i="2"/>
  <c r="R8749" i="2"/>
  <c r="R8750" i="2"/>
  <c r="R8751" i="2"/>
  <c r="R8752" i="2"/>
  <c r="R8753" i="2"/>
  <c r="R8754" i="2"/>
  <c r="R8755" i="2"/>
  <c r="R8756" i="2"/>
  <c r="R8757" i="2"/>
  <c r="R8758" i="2"/>
  <c r="R8759" i="2"/>
  <c r="R8760" i="2"/>
  <c r="R8761" i="2"/>
  <c r="R8762" i="2"/>
  <c r="R8763" i="2"/>
  <c r="R8764" i="2"/>
  <c r="R8765" i="2"/>
  <c r="R8766" i="2"/>
  <c r="R8767" i="2"/>
  <c r="R8768" i="2"/>
  <c r="R8769" i="2"/>
  <c r="R8770" i="2"/>
  <c r="R8771" i="2"/>
  <c r="R8772" i="2"/>
  <c r="R8773" i="2"/>
  <c r="R8774" i="2"/>
  <c r="R8775" i="2"/>
  <c r="R8776" i="2"/>
  <c r="R8777" i="2"/>
  <c r="R8778" i="2"/>
  <c r="R8779" i="2"/>
  <c r="R8780" i="2"/>
  <c r="R8781" i="2"/>
  <c r="R8782" i="2"/>
  <c r="R8783" i="2"/>
  <c r="R8784" i="2"/>
  <c r="R8785" i="2"/>
  <c r="R8786" i="2"/>
  <c r="R8787" i="2"/>
  <c r="R8788" i="2"/>
  <c r="R8789" i="2"/>
  <c r="R8790" i="2"/>
  <c r="R8791" i="2"/>
  <c r="R8792" i="2"/>
  <c r="R8793" i="2"/>
  <c r="R8794" i="2"/>
  <c r="R8795" i="2"/>
  <c r="R8796" i="2"/>
  <c r="R8797" i="2"/>
  <c r="R8798" i="2"/>
  <c r="R8799" i="2"/>
  <c r="R8800" i="2"/>
  <c r="R8801" i="2"/>
  <c r="R8802" i="2"/>
  <c r="R8803" i="2"/>
  <c r="R8804" i="2"/>
  <c r="R8805" i="2"/>
  <c r="R8806" i="2"/>
  <c r="R8807" i="2"/>
  <c r="R8808" i="2"/>
  <c r="R8809" i="2"/>
  <c r="R8810" i="2"/>
  <c r="R8811" i="2"/>
  <c r="R8812" i="2"/>
  <c r="R8813" i="2"/>
  <c r="R8814" i="2"/>
  <c r="R8815" i="2"/>
  <c r="R8816" i="2"/>
  <c r="R8817" i="2"/>
  <c r="R8818" i="2"/>
  <c r="R8819" i="2"/>
  <c r="R8820" i="2"/>
  <c r="R8821" i="2"/>
  <c r="R8822" i="2"/>
  <c r="R8823" i="2"/>
  <c r="R8824" i="2"/>
  <c r="R8825" i="2"/>
  <c r="R8826" i="2"/>
  <c r="R8827" i="2"/>
  <c r="R8828" i="2"/>
  <c r="R8829" i="2"/>
  <c r="R8830" i="2"/>
  <c r="R8831" i="2"/>
  <c r="R8832" i="2"/>
  <c r="R8833" i="2"/>
  <c r="R8834" i="2"/>
  <c r="R8835" i="2"/>
  <c r="R8836" i="2"/>
  <c r="R8837" i="2"/>
  <c r="R8838" i="2"/>
  <c r="R8839" i="2"/>
  <c r="R8840" i="2"/>
  <c r="R8841" i="2"/>
  <c r="R8842" i="2"/>
  <c r="R8843" i="2"/>
  <c r="R8844" i="2"/>
  <c r="R8845" i="2"/>
  <c r="R8846" i="2"/>
  <c r="R8847" i="2"/>
  <c r="R8848" i="2"/>
  <c r="R8849" i="2"/>
  <c r="R8850" i="2"/>
  <c r="R8851" i="2"/>
  <c r="R8852" i="2"/>
  <c r="R8853" i="2"/>
  <c r="R8854" i="2"/>
  <c r="R8855" i="2"/>
  <c r="R8856" i="2"/>
  <c r="R8857" i="2"/>
  <c r="R8858" i="2"/>
  <c r="R8859" i="2"/>
  <c r="R8860" i="2"/>
  <c r="R8861" i="2"/>
  <c r="R8862" i="2"/>
  <c r="R8863" i="2"/>
  <c r="R8864" i="2"/>
  <c r="R8865" i="2"/>
  <c r="R8866" i="2"/>
  <c r="R8867" i="2"/>
  <c r="R8868" i="2"/>
  <c r="R8869" i="2"/>
  <c r="R8870" i="2"/>
  <c r="R8871" i="2"/>
  <c r="R8872" i="2"/>
  <c r="R8873" i="2"/>
  <c r="R8874" i="2"/>
  <c r="R8875" i="2"/>
  <c r="R8876" i="2"/>
  <c r="R8877" i="2"/>
  <c r="R8878" i="2"/>
  <c r="R8879" i="2"/>
  <c r="R8880" i="2"/>
  <c r="R8881" i="2"/>
  <c r="R8882" i="2"/>
  <c r="R8883" i="2"/>
  <c r="R8884" i="2"/>
  <c r="R8885" i="2"/>
  <c r="R8886" i="2"/>
  <c r="R8887" i="2"/>
  <c r="R8888" i="2"/>
  <c r="R8889" i="2"/>
  <c r="R8890" i="2"/>
  <c r="R8891" i="2"/>
  <c r="R8892" i="2"/>
  <c r="R8893" i="2"/>
  <c r="R8894" i="2"/>
  <c r="R8895" i="2"/>
  <c r="R8896" i="2"/>
  <c r="R8897" i="2"/>
  <c r="R8898" i="2"/>
  <c r="R8899" i="2"/>
  <c r="R8900" i="2"/>
  <c r="R8901" i="2"/>
  <c r="R8902" i="2"/>
  <c r="R8903" i="2"/>
  <c r="R8904" i="2"/>
  <c r="R8905" i="2"/>
  <c r="R8906" i="2"/>
  <c r="R8907" i="2"/>
  <c r="R8908" i="2"/>
  <c r="R8909" i="2"/>
  <c r="R8910" i="2"/>
  <c r="R8911" i="2"/>
  <c r="R8912" i="2"/>
  <c r="R8913" i="2"/>
  <c r="R8914" i="2"/>
  <c r="R8915" i="2"/>
  <c r="R8916" i="2"/>
  <c r="R8917" i="2"/>
  <c r="R8918" i="2"/>
  <c r="R8919" i="2"/>
  <c r="R8920" i="2"/>
  <c r="R8921" i="2"/>
  <c r="R8922" i="2"/>
  <c r="R8923" i="2"/>
  <c r="R8924" i="2"/>
  <c r="R8925" i="2"/>
  <c r="R8926" i="2"/>
  <c r="R8927" i="2"/>
  <c r="R8928" i="2"/>
  <c r="R8929" i="2"/>
  <c r="R8930" i="2"/>
  <c r="R8931" i="2"/>
  <c r="R8932" i="2"/>
  <c r="R8933" i="2"/>
  <c r="R8934" i="2"/>
  <c r="R8935" i="2"/>
  <c r="R8936" i="2"/>
  <c r="R8937" i="2"/>
  <c r="R8938" i="2"/>
  <c r="R8939" i="2"/>
  <c r="R8940" i="2"/>
  <c r="R8941" i="2"/>
  <c r="R8942" i="2"/>
  <c r="R8943" i="2"/>
  <c r="R8944" i="2"/>
  <c r="R8945" i="2"/>
  <c r="R8946" i="2"/>
  <c r="R8947" i="2"/>
  <c r="R8948" i="2"/>
  <c r="R8949" i="2"/>
  <c r="R8950" i="2"/>
  <c r="R8951" i="2"/>
  <c r="R8952" i="2"/>
  <c r="R8953" i="2"/>
  <c r="R8954" i="2"/>
  <c r="R8955" i="2"/>
  <c r="R8956" i="2"/>
  <c r="R8957" i="2"/>
  <c r="R8958" i="2"/>
  <c r="R8959" i="2"/>
  <c r="R8960" i="2"/>
  <c r="R8961" i="2"/>
  <c r="R8962" i="2"/>
  <c r="R8963" i="2"/>
  <c r="R8964" i="2"/>
  <c r="R8965" i="2"/>
  <c r="R8966" i="2"/>
  <c r="R8967" i="2"/>
  <c r="R8968" i="2"/>
  <c r="R8969" i="2"/>
  <c r="R8970" i="2"/>
  <c r="R8971" i="2"/>
  <c r="R8972" i="2"/>
  <c r="R8973" i="2"/>
  <c r="R8974" i="2"/>
  <c r="R8975" i="2"/>
  <c r="R8976" i="2"/>
  <c r="R8977" i="2"/>
  <c r="R8978" i="2"/>
  <c r="R8979" i="2"/>
  <c r="R8980" i="2"/>
  <c r="R8981" i="2"/>
  <c r="R8982" i="2"/>
  <c r="R8983" i="2"/>
  <c r="R8984" i="2"/>
  <c r="R8985" i="2"/>
  <c r="R8986" i="2"/>
  <c r="R8987" i="2"/>
  <c r="R8988" i="2"/>
  <c r="R8989" i="2"/>
  <c r="R8990" i="2"/>
  <c r="R8991" i="2"/>
  <c r="R8992" i="2"/>
  <c r="R8993" i="2"/>
  <c r="R8994" i="2"/>
  <c r="R8995" i="2"/>
  <c r="R8996" i="2"/>
  <c r="R8997" i="2"/>
  <c r="R8998" i="2"/>
  <c r="R8999" i="2"/>
  <c r="R9000" i="2"/>
  <c r="R9001" i="2"/>
  <c r="R9002" i="2"/>
  <c r="R9003" i="2"/>
  <c r="R9004" i="2"/>
  <c r="R9005" i="2"/>
  <c r="R9006" i="2"/>
  <c r="R9007" i="2"/>
  <c r="R9008" i="2"/>
  <c r="R9009" i="2"/>
  <c r="R9010" i="2"/>
  <c r="R9011" i="2"/>
  <c r="R9012" i="2"/>
  <c r="R9013" i="2"/>
  <c r="R9014" i="2"/>
  <c r="R9015" i="2"/>
  <c r="R9016" i="2"/>
  <c r="R9017" i="2"/>
  <c r="R9018" i="2"/>
  <c r="R9019" i="2"/>
  <c r="R9020" i="2"/>
  <c r="R9021" i="2"/>
  <c r="R9022" i="2"/>
  <c r="R9023" i="2"/>
  <c r="R9024" i="2"/>
  <c r="R9025" i="2"/>
  <c r="R9026" i="2"/>
  <c r="R9027" i="2"/>
  <c r="R9028" i="2"/>
  <c r="R9029" i="2"/>
  <c r="R9030" i="2"/>
  <c r="R9031" i="2"/>
  <c r="R9032" i="2"/>
  <c r="R9033" i="2"/>
  <c r="R9034" i="2"/>
  <c r="R9035" i="2"/>
  <c r="R9036" i="2"/>
  <c r="R9037" i="2"/>
  <c r="R9038" i="2"/>
  <c r="R9039" i="2"/>
  <c r="R9040" i="2"/>
  <c r="R9041" i="2"/>
  <c r="R9042" i="2"/>
  <c r="R9043" i="2"/>
  <c r="R9044" i="2"/>
  <c r="R9045" i="2"/>
  <c r="R9046" i="2"/>
  <c r="R9047" i="2"/>
  <c r="R9048" i="2"/>
  <c r="R9049" i="2"/>
  <c r="R9050" i="2"/>
  <c r="R9051" i="2"/>
  <c r="R9052" i="2"/>
  <c r="R9053" i="2"/>
  <c r="R9054" i="2"/>
  <c r="R9055" i="2"/>
  <c r="R9056" i="2"/>
  <c r="R9057" i="2"/>
  <c r="R9058" i="2"/>
  <c r="R9059" i="2"/>
  <c r="R9060" i="2"/>
  <c r="R9061" i="2"/>
  <c r="R9062" i="2"/>
  <c r="R9063" i="2"/>
  <c r="R9064" i="2"/>
  <c r="R9065" i="2"/>
  <c r="R9066" i="2"/>
  <c r="R9067" i="2"/>
  <c r="R9068" i="2"/>
  <c r="R9069" i="2"/>
  <c r="R9070" i="2"/>
  <c r="R9071" i="2"/>
  <c r="R9072" i="2"/>
  <c r="R9073" i="2"/>
  <c r="R9074" i="2"/>
  <c r="R9075" i="2"/>
  <c r="R9076" i="2"/>
  <c r="R9077" i="2"/>
  <c r="R9078" i="2"/>
  <c r="R9079" i="2"/>
  <c r="R9080" i="2"/>
  <c r="R9081" i="2"/>
  <c r="R9082" i="2"/>
  <c r="R9083" i="2"/>
  <c r="R9084" i="2"/>
  <c r="R9085" i="2"/>
  <c r="R9086" i="2"/>
  <c r="R9087" i="2"/>
  <c r="R9088" i="2"/>
  <c r="R9089" i="2"/>
  <c r="R9090" i="2"/>
  <c r="R9091" i="2"/>
  <c r="R9092" i="2"/>
  <c r="R9093" i="2"/>
  <c r="R9094" i="2"/>
  <c r="R9095" i="2"/>
  <c r="R9096" i="2"/>
  <c r="R9097" i="2"/>
  <c r="R9098" i="2"/>
  <c r="R9099" i="2"/>
  <c r="R9100" i="2"/>
  <c r="R9101" i="2"/>
  <c r="R9102" i="2"/>
  <c r="R9103" i="2"/>
  <c r="R9104" i="2"/>
  <c r="R9105" i="2"/>
  <c r="R9106" i="2"/>
  <c r="R9107" i="2"/>
  <c r="R9108" i="2"/>
  <c r="R9109" i="2"/>
  <c r="R9110" i="2"/>
  <c r="R9111" i="2"/>
  <c r="R9112" i="2"/>
  <c r="R9113" i="2"/>
  <c r="R9114" i="2"/>
  <c r="R9115" i="2"/>
  <c r="R9116" i="2"/>
  <c r="R9117" i="2"/>
  <c r="R9118" i="2"/>
  <c r="R9119" i="2"/>
  <c r="R9120" i="2"/>
  <c r="R9121" i="2"/>
  <c r="R9122" i="2"/>
  <c r="R9123" i="2"/>
  <c r="R9124" i="2"/>
  <c r="R9125" i="2"/>
  <c r="R9126" i="2"/>
  <c r="R9127" i="2"/>
  <c r="R9128" i="2"/>
  <c r="R9129" i="2"/>
  <c r="R9130" i="2"/>
  <c r="R9131" i="2"/>
  <c r="R9132" i="2"/>
  <c r="R9133" i="2"/>
  <c r="R9134" i="2"/>
  <c r="R9135" i="2"/>
  <c r="R9136" i="2"/>
  <c r="R9137" i="2"/>
  <c r="R9138" i="2"/>
  <c r="R9139" i="2"/>
  <c r="R9140" i="2"/>
  <c r="R9141" i="2"/>
  <c r="R9142" i="2"/>
  <c r="R9143" i="2"/>
  <c r="R9144" i="2"/>
  <c r="R9145" i="2"/>
  <c r="R9146" i="2"/>
  <c r="R9147" i="2"/>
  <c r="R9148" i="2"/>
  <c r="R9149" i="2"/>
  <c r="R9150" i="2"/>
  <c r="R9151" i="2"/>
  <c r="R9152" i="2"/>
  <c r="R9153" i="2"/>
  <c r="R9154" i="2"/>
  <c r="R9155" i="2"/>
  <c r="R9156" i="2"/>
  <c r="R9157" i="2"/>
  <c r="R9158" i="2"/>
  <c r="R9159" i="2"/>
  <c r="R9160" i="2"/>
  <c r="R9161" i="2"/>
  <c r="R9162" i="2"/>
  <c r="R9163" i="2"/>
  <c r="R9164" i="2"/>
  <c r="R9165" i="2"/>
  <c r="R9166" i="2"/>
  <c r="R9167" i="2"/>
  <c r="R9168" i="2"/>
  <c r="R9169" i="2"/>
  <c r="R9170" i="2"/>
  <c r="R9171" i="2"/>
  <c r="R9172" i="2"/>
  <c r="R9173" i="2"/>
  <c r="R9174" i="2"/>
  <c r="R9175" i="2"/>
  <c r="R9176" i="2"/>
  <c r="R9177" i="2"/>
  <c r="R9178" i="2"/>
  <c r="R9179" i="2"/>
  <c r="R9180" i="2"/>
  <c r="R9181" i="2"/>
  <c r="R9182" i="2"/>
  <c r="R9183" i="2"/>
  <c r="R9184" i="2"/>
  <c r="R9185" i="2"/>
  <c r="R9186" i="2"/>
  <c r="R9187" i="2"/>
  <c r="R9188" i="2"/>
  <c r="R9189" i="2"/>
  <c r="R9190" i="2"/>
  <c r="R9191" i="2"/>
  <c r="R9192" i="2"/>
  <c r="R9193" i="2"/>
  <c r="R9194" i="2"/>
  <c r="R9195" i="2"/>
  <c r="R9196" i="2"/>
  <c r="R9197" i="2"/>
  <c r="R9198" i="2"/>
  <c r="R9199" i="2"/>
  <c r="R9200" i="2"/>
  <c r="R9201" i="2"/>
  <c r="R9202" i="2"/>
  <c r="R9203" i="2"/>
  <c r="R9204" i="2"/>
  <c r="R9205" i="2"/>
  <c r="R9206" i="2"/>
  <c r="R9207" i="2"/>
  <c r="R9208" i="2"/>
  <c r="R9209" i="2"/>
  <c r="R9210" i="2"/>
  <c r="R9211" i="2"/>
  <c r="R9212" i="2"/>
  <c r="R9213" i="2"/>
  <c r="R9214" i="2"/>
  <c r="R9215" i="2"/>
  <c r="R9216" i="2"/>
  <c r="R9217" i="2"/>
  <c r="R9218" i="2"/>
  <c r="R9219" i="2"/>
  <c r="R9220" i="2"/>
  <c r="R9221" i="2"/>
  <c r="R9222" i="2"/>
  <c r="R9223" i="2"/>
  <c r="R9224" i="2"/>
  <c r="R9225" i="2"/>
  <c r="R9226" i="2"/>
  <c r="R9227" i="2"/>
  <c r="R9228" i="2"/>
  <c r="R9229" i="2"/>
  <c r="R9230" i="2"/>
  <c r="R9231" i="2"/>
  <c r="R9232" i="2"/>
  <c r="R9233" i="2"/>
  <c r="R9234" i="2"/>
  <c r="R9235" i="2"/>
  <c r="R9236" i="2"/>
  <c r="R9237" i="2"/>
  <c r="R9238" i="2"/>
  <c r="R9239" i="2"/>
  <c r="R9240" i="2"/>
  <c r="R9241" i="2"/>
  <c r="R9242" i="2"/>
  <c r="R9243" i="2"/>
  <c r="R9244" i="2"/>
  <c r="R9245" i="2"/>
  <c r="R9246" i="2"/>
  <c r="R9247" i="2"/>
  <c r="R9248" i="2"/>
  <c r="R9249" i="2"/>
  <c r="R9250" i="2"/>
  <c r="R9251" i="2"/>
  <c r="R9252" i="2"/>
  <c r="R9253" i="2"/>
  <c r="R9254" i="2"/>
  <c r="R9255" i="2"/>
  <c r="R9256" i="2"/>
  <c r="R9257" i="2"/>
  <c r="R9258" i="2"/>
  <c r="R9259" i="2"/>
  <c r="R9260" i="2"/>
  <c r="R9261" i="2"/>
  <c r="R9262" i="2"/>
  <c r="R9263" i="2"/>
  <c r="R9264" i="2"/>
  <c r="R9265" i="2"/>
  <c r="R9266" i="2"/>
  <c r="R9267" i="2"/>
  <c r="R9268" i="2"/>
  <c r="R9269" i="2"/>
  <c r="R9270" i="2"/>
  <c r="R9271" i="2"/>
  <c r="R9272" i="2"/>
  <c r="R9273" i="2"/>
  <c r="R9274" i="2"/>
  <c r="R9275" i="2"/>
  <c r="R9276" i="2"/>
  <c r="R9277" i="2"/>
  <c r="R9278" i="2"/>
  <c r="R9279" i="2"/>
  <c r="R9280" i="2"/>
  <c r="R9281" i="2"/>
  <c r="R9282" i="2"/>
  <c r="R9283" i="2"/>
  <c r="R9284" i="2"/>
  <c r="R9285" i="2"/>
  <c r="R9286" i="2"/>
  <c r="R9287" i="2"/>
  <c r="R9288" i="2"/>
  <c r="R9289" i="2"/>
  <c r="R9290" i="2"/>
  <c r="R9291" i="2"/>
  <c r="R9292" i="2"/>
  <c r="R9293" i="2"/>
  <c r="R9294" i="2"/>
  <c r="R9295" i="2"/>
  <c r="R9296" i="2"/>
  <c r="R9297" i="2"/>
  <c r="R9298" i="2"/>
  <c r="R9299" i="2"/>
  <c r="R9300" i="2"/>
  <c r="R9301" i="2"/>
  <c r="R9302" i="2"/>
  <c r="R9303" i="2"/>
  <c r="R9304" i="2"/>
  <c r="R9305" i="2"/>
  <c r="R9306" i="2"/>
  <c r="R9307" i="2"/>
  <c r="R9308" i="2"/>
  <c r="R9309" i="2"/>
  <c r="R9310" i="2"/>
  <c r="R9311" i="2"/>
  <c r="R9312" i="2"/>
  <c r="R9313" i="2"/>
  <c r="R9314" i="2"/>
  <c r="R9315" i="2"/>
  <c r="R9316" i="2"/>
  <c r="R9317" i="2"/>
  <c r="R9318" i="2"/>
  <c r="R9319" i="2"/>
  <c r="R9320" i="2"/>
  <c r="R9321" i="2"/>
  <c r="R9322" i="2"/>
  <c r="R9323" i="2"/>
  <c r="R9324" i="2"/>
  <c r="R9325" i="2"/>
  <c r="R9326" i="2"/>
  <c r="R9327" i="2"/>
  <c r="R9328" i="2"/>
  <c r="R9329" i="2"/>
  <c r="R9330" i="2"/>
  <c r="R9331" i="2"/>
  <c r="R9332" i="2"/>
  <c r="R9333" i="2"/>
  <c r="R9334" i="2"/>
  <c r="R9335" i="2"/>
  <c r="R9336" i="2"/>
  <c r="R9337" i="2"/>
  <c r="R9338" i="2"/>
  <c r="R9339" i="2"/>
  <c r="R9340" i="2"/>
  <c r="R9341" i="2"/>
  <c r="R9342" i="2"/>
  <c r="R9343" i="2"/>
  <c r="R9344" i="2"/>
  <c r="R9345" i="2"/>
  <c r="R9346" i="2"/>
  <c r="R9347" i="2"/>
  <c r="R9348" i="2"/>
  <c r="R9349" i="2"/>
  <c r="R9350" i="2"/>
  <c r="R9351" i="2"/>
  <c r="R9352" i="2"/>
  <c r="R9353" i="2"/>
  <c r="R9354" i="2"/>
  <c r="R9355" i="2"/>
  <c r="R9356" i="2"/>
  <c r="R9357" i="2"/>
  <c r="R9358" i="2"/>
  <c r="R9359" i="2"/>
  <c r="R9360" i="2"/>
  <c r="R9361" i="2"/>
  <c r="R9362" i="2"/>
  <c r="R9363" i="2"/>
  <c r="R9364" i="2"/>
  <c r="R9365" i="2"/>
  <c r="R9366" i="2"/>
  <c r="R9367" i="2"/>
  <c r="R9368" i="2"/>
  <c r="R9369" i="2"/>
  <c r="R9370" i="2"/>
  <c r="R9371" i="2"/>
  <c r="R9372" i="2"/>
  <c r="R9373" i="2"/>
  <c r="R9374" i="2"/>
  <c r="R9375" i="2"/>
  <c r="R9376" i="2"/>
  <c r="R9377" i="2"/>
  <c r="R9378" i="2"/>
  <c r="R9379" i="2"/>
  <c r="R9380" i="2"/>
  <c r="R9381" i="2"/>
  <c r="R9382" i="2"/>
  <c r="R9383" i="2"/>
  <c r="R9384" i="2"/>
  <c r="R9385" i="2"/>
  <c r="R9386" i="2"/>
  <c r="R9387" i="2"/>
  <c r="R9388" i="2"/>
  <c r="R9389" i="2"/>
  <c r="R9390" i="2"/>
  <c r="R9391" i="2"/>
  <c r="R9392" i="2"/>
  <c r="R9393" i="2"/>
  <c r="R9394" i="2"/>
  <c r="R9395" i="2"/>
  <c r="R9396" i="2"/>
  <c r="R9397" i="2"/>
  <c r="R9398" i="2"/>
  <c r="R9399" i="2"/>
  <c r="R9400" i="2"/>
  <c r="R9401" i="2"/>
  <c r="R9402" i="2"/>
  <c r="R9403" i="2"/>
  <c r="R9404" i="2"/>
  <c r="R9405" i="2"/>
  <c r="R9406" i="2"/>
  <c r="R9407" i="2"/>
  <c r="R9408" i="2"/>
  <c r="R9409" i="2"/>
  <c r="R9410" i="2"/>
  <c r="R9411" i="2"/>
  <c r="R9412" i="2"/>
  <c r="R9413" i="2"/>
  <c r="R9414" i="2"/>
  <c r="R9415" i="2"/>
  <c r="R9416" i="2"/>
  <c r="R9417" i="2"/>
  <c r="R9418" i="2"/>
  <c r="R9419" i="2"/>
  <c r="R9420" i="2"/>
  <c r="R9421" i="2"/>
  <c r="R9422" i="2"/>
  <c r="R9423" i="2"/>
  <c r="R9424" i="2"/>
  <c r="R9425" i="2"/>
  <c r="R9426" i="2"/>
  <c r="R9427" i="2"/>
  <c r="R9428" i="2"/>
  <c r="R9429" i="2"/>
  <c r="R9430" i="2"/>
  <c r="R9431" i="2"/>
  <c r="R9432" i="2"/>
  <c r="R9433" i="2"/>
  <c r="R9434" i="2"/>
  <c r="R9435" i="2"/>
  <c r="R9436" i="2"/>
  <c r="R9437" i="2"/>
  <c r="R9438" i="2"/>
  <c r="R9439" i="2"/>
  <c r="R9440" i="2"/>
  <c r="R9441" i="2"/>
  <c r="R9442" i="2"/>
  <c r="R9443" i="2"/>
  <c r="R9444" i="2"/>
  <c r="R9445" i="2"/>
  <c r="R9446" i="2"/>
  <c r="R9447" i="2"/>
  <c r="R9448" i="2"/>
  <c r="R9449" i="2"/>
  <c r="R9450" i="2"/>
  <c r="R9451" i="2"/>
  <c r="R9452" i="2"/>
  <c r="R9453" i="2"/>
  <c r="R9454" i="2"/>
  <c r="R9455" i="2"/>
  <c r="R9456" i="2"/>
  <c r="R9457" i="2"/>
  <c r="R9458" i="2"/>
  <c r="R9459" i="2"/>
  <c r="R9460" i="2"/>
  <c r="R9461" i="2"/>
  <c r="R9462" i="2"/>
  <c r="R9463" i="2"/>
  <c r="R9464" i="2"/>
  <c r="R9465" i="2"/>
  <c r="R9466" i="2"/>
  <c r="R9467" i="2"/>
  <c r="R9468" i="2"/>
  <c r="R9469" i="2"/>
  <c r="R9470" i="2"/>
  <c r="R9471" i="2"/>
  <c r="R9472" i="2"/>
  <c r="R9473" i="2"/>
  <c r="R9474" i="2"/>
  <c r="R9475" i="2"/>
  <c r="R9476" i="2"/>
  <c r="R9477" i="2"/>
  <c r="R9478" i="2"/>
  <c r="R9479" i="2"/>
  <c r="R9480" i="2"/>
  <c r="R9481" i="2"/>
  <c r="R9482" i="2"/>
  <c r="R9483" i="2"/>
  <c r="R9484" i="2"/>
  <c r="R9485" i="2"/>
  <c r="R9486" i="2"/>
  <c r="R9487" i="2"/>
  <c r="R9488" i="2"/>
  <c r="R9489" i="2"/>
  <c r="R9490" i="2"/>
  <c r="R9491" i="2"/>
  <c r="R9492" i="2"/>
  <c r="R9493" i="2"/>
  <c r="R9494" i="2"/>
  <c r="R9495" i="2"/>
  <c r="R9496" i="2"/>
  <c r="R9497" i="2"/>
  <c r="R9498" i="2"/>
  <c r="R9499" i="2"/>
  <c r="R9500" i="2"/>
  <c r="R9501" i="2"/>
  <c r="R9502" i="2"/>
  <c r="R9503" i="2"/>
  <c r="R9504" i="2"/>
  <c r="R9505" i="2"/>
  <c r="R9506" i="2"/>
  <c r="R9507" i="2"/>
  <c r="R9508" i="2"/>
  <c r="R9509" i="2"/>
  <c r="R9510" i="2"/>
  <c r="R9511" i="2"/>
  <c r="R9512" i="2"/>
  <c r="R9513" i="2"/>
  <c r="R9514" i="2"/>
  <c r="R9515" i="2"/>
  <c r="R9516" i="2"/>
  <c r="R9517" i="2"/>
  <c r="R9518" i="2"/>
  <c r="R9519" i="2"/>
  <c r="R9520" i="2"/>
  <c r="R9521" i="2"/>
  <c r="R9522" i="2"/>
  <c r="R9523" i="2"/>
  <c r="R9524" i="2"/>
  <c r="R9525" i="2"/>
  <c r="R9526" i="2"/>
  <c r="R9527" i="2"/>
  <c r="R9528" i="2"/>
  <c r="R9529" i="2"/>
  <c r="R9530" i="2"/>
  <c r="R9531" i="2"/>
  <c r="R9532" i="2"/>
  <c r="R9533" i="2"/>
  <c r="R9534" i="2"/>
  <c r="R9535" i="2"/>
  <c r="R9536" i="2"/>
  <c r="R9537" i="2"/>
  <c r="R9538" i="2"/>
  <c r="R9539" i="2"/>
  <c r="R9540" i="2"/>
  <c r="R9541" i="2"/>
  <c r="R9542" i="2"/>
  <c r="R9543" i="2"/>
  <c r="R9544" i="2"/>
  <c r="R9545" i="2"/>
  <c r="R9546" i="2"/>
  <c r="R9547" i="2"/>
  <c r="R9548" i="2"/>
  <c r="R9549" i="2"/>
  <c r="R9550" i="2"/>
  <c r="R9551" i="2"/>
  <c r="R9552" i="2"/>
  <c r="R9553" i="2"/>
  <c r="R9554" i="2"/>
  <c r="R9555" i="2"/>
  <c r="R9556" i="2"/>
  <c r="R9557" i="2"/>
  <c r="R9558" i="2"/>
  <c r="R9559" i="2"/>
  <c r="R9560" i="2"/>
  <c r="R9561" i="2"/>
  <c r="R9562" i="2"/>
  <c r="R9563" i="2"/>
  <c r="R9564" i="2"/>
  <c r="R9565" i="2"/>
  <c r="R9566" i="2"/>
  <c r="R9567" i="2"/>
  <c r="R9568" i="2"/>
  <c r="R9569" i="2"/>
  <c r="R9570" i="2"/>
  <c r="R9571" i="2"/>
  <c r="R9572" i="2"/>
  <c r="R9573" i="2"/>
  <c r="R9574" i="2"/>
  <c r="R9575" i="2"/>
  <c r="R9576" i="2"/>
  <c r="R9577" i="2"/>
  <c r="R9578" i="2"/>
  <c r="R9579" i="2"/>
  <c r="R9580" i="2"/>
  <c r="R9581" i="2"/>
  <c r="R9582" i="2"/>
  <c r="R9583" i="2"/>
  <c r="R9584" i="2"/>
  <c r="R9585" i="2"/>
  <c r="R9586" i="2"/>
  <c r="R9587" i="2"/>
  <c r="R9588" i="2"/>
  <c r="R9589" i="2"/>
  <c r="R9590" i="2"/>
  <c r="R9591" i="2"/>
  <c r="R9592" i="2"/>
  <c r="R9593" i="2"/>
  <c r="R9594" i="2"/>
  <c r="R9595" i="2"/>
  <c r="R9596" i="2"/>
  <c r="R9597" i="2"/>
  <c r="R9598" i="2"/>
  <c r="R9599" i="2"/>
  <c r="R9600" i="2"/>
  <c r="R9601" i="2"/>
  <c r="R9602" i="2"/>
  <c r="R9603" i="2"/>
  <c r="R9604" i="2"/>
  <c r="R9605" i="2"/>
  <c r="R9606" i="2"/>
  <c r="R9607" i="2"/>
  <c r="R9608" i="2"/>
  <c r="R9609" i="2"/>
  <c r="R9610" i="2"/>
  <c r="R9611" i="2"/>
  <c r="R9612" i="2"/>
  <c r="R9613" i="2"/>
  <c r="R9614" i="2"/>
  <c r="R9615" i="2"/>
  <c r="R9616" i="2"/>
  <c r="R9617" i="2"/>
  <c r="R9618" i="2"/>
  <c r="R9619" i="2"/>
  <c r="R9620" i="2"/>
  <c r="R9621" i="2"/>
  <c r="R9622" i="2"/>
  <c r="R9623" i="2"/>
  <c r="R9624" i="2"/>
  <c r="R9625" i="2"/>
  <c r="R9626" i="2"/>
  <c r="R9627" i="2"/>
  <c r="R9628" i="2"/>
  <c r="R9629" i="2"/>
  <c r="R9630" i="2"/>
  <c r="R9631" i="2"/>
  <c r="R9632" i="2"/>
  <c r="R9633" i="2"/>
  <c r="R9634" i="2"/>
  <c r="R9635" i="2"/>
  <c r="R9636" i="2"/>
  <c r="R9637" i="2"/>
  <c r="R9638" i="2"/>
  <c r="R9639" i="2"/>
  <c r="R9640" i="2"/>
  <c r="R9641" i="2"/>
  <c r="R9642" i="2"/>
  <c r="R9643" i="2"/>
  <c r="R9644" i="2"/>
  <c r="R9645" i="2"/>
  <c r="R9646" i="2"/>
  <c r="R9647" i="2"/>
  <c r="R9648" i="2"/>
  <c r="R9649" i="2"/>
  <c r="R9650" i="2"/>
  <c r="R9651" i="2"/>
  <c r="R9652" i="2"/>
  <c r="R9653" i="2"/>
  <c r="R9654" i="2"/>
  <c r="R9655" i="2"/>
  <c r="R9656" i="2"/>
  <c r="R9657" i="2"/>
  <c r="R9658" i="2"/>
  <c r="R9659" i="2"/>
  <c r="R9660" i="2"/>
  <c r="R9661" i="2"/>
  <c r="R9662" i="2"/>
  <c r="R9663" i="2"/>
  <c r="R9664" i="2"/>
  <c r="R9665" i="2"/>
  <c r="R9666" i="2"/>
  <c r="R9667" i="2"/>
  <c r="R9668" i="2"/>
  <c r="R9669" i="2"/>
  <c r="R9670" i="2"/>
  <c r="R9671" i="2"/>
  <c r="R9672" i="2"/>
  <c r="R9673" i="2"/>
  <c r="R9674" i="2"/>
  <c r="R9675" i="2"/>
  <c r="R9676" i="2"/>
  <c r="R9677" i="2"/>
  <c r="R9678" i="2"/>
  <c r="R9679" i="2"/>
  <c r="R9680" i="2"/>
  <c r="R9681" i="2"/>
  <c r="R9682" i="2"/>
  <c r="R9683" i="2"/>
  <c r="R9684" i="2"/>
  <c r="R9685" i="2"/>
  <c r="R9686" i="2"/>
  <c r="R9687" i="2"/>
  <c r="R9688" i="2"/>
  <c r="R9689" i="2"/>
  <c r="R9690" i="2"/>
  <c r="R9691" i="2"/>
  <c r="R9692" i="2"/>
  <c r="R9693" i="2"/>
  <c r="R9694" i="2"/>
  <c r="R9695" i="2"/>
  <c r="R9696" i="2"/>
  <c r="R9697" i="2"/>
  <c r="R9698" i="2"/>
  <c r="R9699" i="2"/>
  <c r="R9700" i="2"/>
  <c r="R9701" i="2"/>
  <c r="R9702" i="2"/>
  <c r="R9703" i="2"/>
  <c r="R9704" i="2"/>
  <c r="R9705" i="2"/>
  <c r="R9706" i="2"/>
  <c r="R9707" i="2"/>
  <c r="R9708" i="2"/>
  <c r="R9709" i="2"/>
  <c r="R9710" i="2"/>
  <c r="R9711" i="2"/>
  <c r="R9712" i="2"/>
  <c r="R9713" i="2"/>
  <c r="R9714" i="2"/>
  <c r="R9715" i="2"/>
  <c r="R9716" i="2"/>
  <c r="R9717" i="2"/>
  <c r="R9718" i="2"/>
  <c r="R9719" i="2"/>
  <c r="R9720" i="2"/>
  <c r="R9721" i="2"/>
  <c r="R9722" i="2"/>
  <c r="R9723" i="2"/>
  <c r="R9724" i="2"/>
  <c r="R9725" i="2"/>
  <c r="R9726" i="2"/>
  <c r="R9727" i="2"/>
  <c r="R9728" i="2"/>
  <c r="R9729" i="2"/>
  <c r="R9730" i="2"/>
  <c r="R9731" i="2"/>
  <c r="R9732" i="2"/>
  <c r="R9733" i="2"/>
  <c r="R9734" i="2"/>
  <c r="R9735" i="2"/>
  <c r="R9736" i="2"/>
  <c r="R9737" i="2"/>
  <c r="R9738" i="2"/>
  <c r="R9739" i="2"/>
  <c r="R9740" i="2"/>
  <c r="R9741" i="2"/>
  <c r="R9742" i="2"/>
  <c r="R9743" i="2"/>
  <c r="R9744" i="2"/>
  <c r="R9745" i="2"/>
  <c r="R9746" i="2"/>
  <c r="R9747" i="2"/>
  <c r="R9748" i="2"/>
  <c r="R9749" i="2"/>
  <c r="R9750" i="2"/>
  <c r="R9751" i="2"/>
  <c r="R9752" i="2"/>
  <c r="R9753" i="2"/>
  <c r="R9754" i="2"/>
  <c r="R9755" i="2"/>
  <c r="R9756" i="2"/>
  <c r="R9757" i="2"/>
  <c r="R9758" i="2"/>
  <c r="R9759" i="2"/>
  <c r="R9760" i="2"/>
  <c r="R9761" i="2"/>
  <c r="R9762" i="2"/>
  <c r="R9763" i="2"/>
  <c r="R9764" i="2"/>
  <c r="R9765" i="2"/>
  <c r="R9766" i="2"/>
  <c r="R9767" i="2"/>
  <c r="R9768" i="2"/>
  <c r="R9769" i="2"/>
  <c r="R9770" i="2"/>
  <c r="R9771" i="2"/>
  <c r="R9772" i="2"/>
  <c r="R9773" i="2"/>
  <c r="R9774" i="2"/>
  <c r="R9775" i="2"/>
  <c r="R9776" i="2"/>
  <c r="R9777" i="2"/>
  <c r="R9778" i="2"/>
  <c r="R9779" i="2"/>
  <c r="R9780" i="2"/>
  <c r="R9781" i="2"/>
  <c r="R9782" i="2"/>
  <c r="R9783" i="2"/>
  <c r="R9784" i="2"/>
  <c r="R9785" i="2"/>
  <c r="R9786" i="2"/>
  <c r="R9787" i="2"/>
  <c r="R9788" i="2"/>
  <c r="R9789" i="2"/>
  <c r="R9790" i="2"/>
  <c r="R9791" i="2"/>
  <c r="R9792" i="2"/>
  <c r="R9793" i="2"/>
  <c r="R9794" i="2"/>
  <c r="R9795" i="2"/>
  <c r="R9796" i="2"/>
  <c r="R9797" i="2"/>
  <c r="R9798" i="2"/>
  <c r="R9799" i="2"/>
  <c r="R9800" i="2"/>
  <c r="R9801" i="2"/>
  <c r="R9802" i="2"/>
  <c r="R9803" i="2"/>
  <c r="R9804" i="2"/>
  <c r="R9805" i="2"/>
  <c r="R9806" i="2"/>
  <c r="R9807" i="2"/>
  <c r="R9808" i="2"/>
  <c r="R9809" i="2"/>
  <c r="R9810" i="2"/>
  <c r="R9811" i="2"/>
  <c r="R9812" i="2"/>
  <c r="R9813" i="2"/>
  <c r="R9814" i="2"/>
  <c r="R9815" i="2"/>
  <c r="R9816" i="2"/>
  <c r="R9817" i="2"/>
  <c r="R9818" i="2"/>
  <c r="R9819" i="2"/>
  <c r="R9820" i="2"/>
  <c r="R9821" i="2"/>
  <c r="R9822" i="2"/>
  <c r="R9823" i="2"/>
  <c r="R9824" i="2"/>
  <c r="R9825" i="2"/>
  <c r="R9826" i="2"/>
  <c r="R9827" i="2"/>
  <c r="R9828" i="2"/>
  <c r="R9829" i="2"/>
  <c r="R9830" i="2"/>
  <c r="R9831" i="2"/>
  <c r="R9832" i="2"/>
  <c r="R9833" i="2"/>
  <c r="R9834" i="2"/>
  <c r="R9835" i="2"/>
  <c r="R9836" i="2"/>
  <c r="R9837" i="2"/>
  <c r="R9838" i="2"/>
  <c r="R9839" i="2"/>
  <c r="R9840" i="2"/>
  <c r="R9841" i="2"/>
  <c r="R9842" i="2"/>
  <c r="R9843" i="2"/>
  <c r="R9844" i="2"/>
  <c r="R9845" i="2"/>
  <c r="R9846" i="2"/>
  <c r="R9847" i="2"/>
  <c r="R9848" i="2"/>
  <c r="R9849" i="2"/>
  <c r="R9850" i="2"/>
  <c r="R9851" i="2"/>
  <c r="R9852" i="2"/>
  <c r="R9853" i="2"/>
  <c r="R9854" i="2"/>
  <c r="R9855" i="2"/>
  <c r="R9856" i="2"/>
  <c r="R9857" i="2"/>
  <c r="R9858" i="2"/>
  <c r="R9859" i="2"/>
  <c r="R9860" i="2"/>
  <c r="R9861" i="2"/>
  <c r="R9862" i="2"/>
  <c r="R9863" i="2"/>
  <c r="R9864" i="2"/>
  <c r="R9865" i="2"/>
  <c r="R9866" i="2"/>
  <c r="R9867" i="2"/>
  <c r="R9868" i="2"/>
  <c r="R9869" i="2"/>
  <c r="R9870" i="2"/>
  <c r="R9871" i="2"/>
  <c r="R9872" i="2"/>
  <c r="R9873" i="2"/>
  <c r="R9874" i="2"/>
  <c r="R9875" i="2"/>
  <c r="R9876" i="2"/>
  <c r="R9877" i="2"/>
  <c r="R9878" i="2"/>
  <c r="R9879" i="2"/>
  <c r="R9880" i="2"/>
  <c r="R9881" i="2"/>
  <c r="R9882" i="2"/>
  <c r="R9883" i="2"/>
  <c r="R9884" i="2"/>
  <c r="R9885" i="2"/>
  <c r="R9886" i="2"/>
  <c r="R9887" i="2"/>
  <c r="R9888" i="2"/>
  <c r="R9889" i="2"/>
  <c r="R9890" i="2"/>
  <c r="R9891" i="2"/>
  <c r="R9892" i="2"/>
  <c r="R9893" i="2"/>
  <c r="R9894" i="2"/>
  <c r="R9895" i="2"/>
  <c r="R9896" i="2"/>
  <c r="R9897" i="2"/>
  <c r="R9898" i="2"/>
  <c r="R9899" i="2"/>
  <c r="R9900" i="2"/>
  <c r="R9901" i="2"/>
  <c r="R9902" i="2"/>
  <c r="R9903" i="2"/>
  <c r="R9904" i="2"/>
  <c r="R9905" i="2"/>
  <c r="R9906" i="2"/>
  <c r="R9907" i="2"/>
  <c r="R9908" i="2"/>
  <c r="R9909" i="2"/>
  <c r="R9910" i="2"/>
  <c r="R9911" i="2"/>
  <c r="R9912" i="2"/>
  <c r="R9913" i="2"/>
  <c r="R9914" i="2"/>
  <c r="R9915" i="2"/>
  <c r="R9916" i="2"/>
  <c r="R9917" i="2"/>
  <c r="R9918" i="2"/>
  <c r="R9919" i="2"/>
  <c r="R9920" i="2"/>
  <c r="R9921" i="2"/>
  <c r="R9922" i="2"/>
  <c r="R9923" i="2"/>
  <c r="R9924" i="2"/>
  <c r="R9925" i="2"/>
  <c r="R9926" i="2"/>
  <c r="R9927" i="2"/>
  <c r="R9928" i="2"/>
  <c r="R9929" i="2"/>
  <c r="R9930" i="2"/>
  <c r="R9931" i="2"/>
  <c r="R9932" i="2"/>
  <c r="R9933" i="2"/>
  <c r="R9934" i="2"/>
  <c r="R9935" i="2"/>
  <c r="R9936" i="2"/>
  <c r="R9937" i="2"/>
  <c r="R9938" i="2"/>
  <c r="R9939" i="2"/>
  <c r="R9940" i="2"/>
  <c r="R9941" i="2"/>
  <c r="R9942" i="2"/>
  <c r="R9943" i="2"/>
  <c r="R9944" i="2"/>
  <c r="R9945" i="2"/>
  <c r="R9946" i="2"/>
  <c r="R9947" i="2"/>
  <c r="R9948" i="2"/>
  <c r="R9949" i="2"/>
  <c r="R9950" i="2"/>
  <c r="R9951" i="2"/>
  <c r="R9952" i="2"/>
  <c r="R9953" i="2"/>
  <c r="R9954" i="2"/>
  <c r="R9955" i="2"/>
  <c r="R9956" i="2"/>
  <c r="R9957" i="2"/>
  <c r="R9958" i="2"/>
  <c r="R9959" i="2"/>
  <c r="R9960" i="2"/>
  <c r="R9961" i="2"/>
  <c r="R9962" i="2"/>
  <c r="R9963" i="2"/>
  <c r="R9964" i="2"/>
  <c r="R9965" i="2"/>
  <c r="R9966" i="2"/>
  <c r="R9967" i="2"/>
  <c r="R9968" i="2"/>
  <c r="R9969" i="2"/>
  <c r="R9970" i="2"/>
  <c r="R9971" i="2"/>
  <c r="R9972" i="2"/>
  <c r="R9973" i="2"/>
  <c r="R9974" i="2"/>
  <c r="R9975" i="2"/>
  <c r="R9976" i="2"/>
  <c r="R9977" i="2"/>
  <c r="R9978" i="2"/>
  <c r="R9979" i="2"/>
  <c r="R9980" i="2"/>
  <c r="R9981" i="2"/>
  <c r="R9982" i="2"/>
  <c r="R9983" i="2"/>
  <c r="R9984" i="2"/>
  <c r="R9985" i="2"/>
  <c r="R9986" i="2"/>
  <c r="R9987" i="2"/>
  <c r="R9988" i="2"/>
  <c r="R9989" i="2"/>
  <c r="R9990" i="2"/>
  <c r="R9991" i="2"/>
  <c r="R9992" i="2"/>
  <c r="R9993" i="2"/>
  <c r="R9994" i="2"/>
  <c r="R9995" i="2"/>
  <c r="R9996" i="2"/>
  <c r="R9997" i="2"/>
  <c r="R9998" i="2"/>
  <c r="R9999" i="2"/>
  <c r="R10000" i="2"/>
  <c r="R10001" i="2"/>
  <c r="R10002" i="2"/>
  <c r="R10003" i="2"/>
  <c r="R10004" i="2"/>
  <c r="R10005" i="2"/>
  <c r="R10006" i="2"/>
  <c r="R10007" i="2"/>
  <c r="R10008" i="2"/>
  <c r="R10009" i="2"/>
  <c r="R10010" i="2"/>
  <c r="R10011" i="2"/>
  <c r="R10012" i="2"/>
  <c r="R10013" i="2"/>
  <c r="R10014" i="2"/>
  <c r="R10015" i="2"/>
  <c r="R10016" i="2"/>
  <c r="R10017" i="2"/>
  <c r="R10018" i="2"/>
  <c r="R10019" i="2"/>
  <c r="R10020" i="2"/>
  <c r="R10021" i="2"/>
  <c r="R10022" i="2"/>
  <c r="R10023" i="2"/>
  <c r="R10024" i="2"/>
  <c r="R10025" i="2"/>
  <c r="R10026" i="2"/>
  <c r="R10027" i="2"/>
  <c r="R10028" i="2"/>
  <c r="R10029" i="2"/>
  <c r="R10030" i="2"/>
  <c r="R10031" i="2"/>
  <c r="R10032" i="2"/>
  <c r="R10033" i="2"/>
  <c r="R10034" i="2"/>
  <c r="R10035" i="2"/>
  <c r="R10036" i="2"/>
  <c r="R10037" i="2"/>
  <c r="R10038" i="2"/>
  <c r="R10039" i="2"/>
  <c r="R10040" i="2"/>
  <c r="R10041" i="2"/>
  <c r="R10042" i="2"/>
  <c r="R10043" i="2"/>
  <c r="R10044" i="2"/>
  <c r="R10045" i="2"/>
  <c r="R10046" i="2"/>
  <c r="R10047" i="2"/>
  <c r="R10048" i="2"/>
  <c r="R10049" i="2"/>
  <c r="R10050" i="2"/>
  <c r="R10051" i="2"/>
  <c r="R10052" i="2"/>
  <c r="R10053" i="2"/>
  <c r="R10054" i="2"/>
  <c r="R10055" i="2"/>
  <c r="R10056" i="2"/>
  <c r="R10057" i="2"/>
  <c r="R10058" i="2"/>
  <c r="R10059" i="2"/>
  <c r="R10060" i="2"/>
  <c r="R10061" i="2"/>
  <c r="R10062" i="2"/>
  <c r="R10063" i="2"/>
  <c r="R10064" i="2"/>
  <c r="R10065" i="2"/>
  <c r="R10066" i="2"/>
  <c r="R10067" i="2"/>
  <c r="R10068" i="2"/>
  <c r="R10069" i="2"/>
  <c r="R10070" i="2"/>
  <c r="R10071" i="2"/>
  <c r="R10072" i="2"/>
  <c r="R10073" i="2"/>
  <c r="R10074" i="2"/>
  <c r="R10075" i="2"/>
  <c r="R10076" i="2"/>
  <c r="R10077" i="2"/>
  <c r="R10078" i="2"/>
  <c r="R10079" i="2"/>
  <c r="R10080" i="2"/>
  <c r="R10081" i="2"/>
  <c r="R10082" i="2"/>
  <c r="R10083" i="2"/>
  <c r="R10084" i="2"/>
  <c r="R10085" i="2"/>
  <c r="R10086" i="2"/>
  <c r="R10087" i="2"/>
  <c r="R10088" i="2"/>
  <c r="R10089" i="2"/>
  <c r="R10090" i="2"/>
  <c r="R10091" i="2"/>
  <c r="R10092" i="2"/>
  <c r="R10093" i="2"/>
  <c r="R10094" i="2"/>
  <c r="R10095" i="2"/>
  <c r="R10096" i="2"/>
  <c r="R10097" i="2"/>
  <c r="R10098" i="2"/>
  <c r="R10099" i="2"/>
  <c r="R10100" i="2"/>
  <c r="R10101" i="2"/>
  <c r="R10102" i="2"/>
  <c r="R10103" i="2"/>
  <c r="R10104" i="2"/>
  <c r="R10105" i="2"/>
  <c r="R10106" i="2"/>
  <c r="R10107" i="2"/>
  <c r="R10108" i="2"/>
  <c r="R10109" i="2"/>
  <c r="R10110" i="2"/>
  <c r="R10111" i="2"/>
  <c r="R10112" i="2"/>
  <c r="R10113" i="2"/>
  <c r="R10114" i="2"/>
  <c r="R10115" i="2"/>
  <c r="R10116" i="2"/>
  <c r="R10117" i="2"/>
  <c r="R10118" i="2"/>
  <c r="R10119" i="2"/>
  <c r="R10120" i="2"/>
  <c r="R10121" i="2"/>
  <c r="R10122" i="2"/>
  <c r="R10123" i="2"/>
  <c r="R10124" i="2"/>
  <c r="R10125" i="2"/>
  <c r="R10126" i="2"/>
  <c r="R10127" i="2"/>
  <c r="R10128" i="2"/>
  <c r="R10129" i="2"/>
  <c r="R10130" i="2"/>
  <c r="R10131" i="2"/>
  <c r="R10132" i="2"/>
  <c r="R10133" i="2"/>
  <c r="R10134" i="2"/>
  <c r="R10135" i="2"/>
  <c r="R10136" i="2"/>
  <c r="R10137" i="2"/>
  <c r="R10138" i="2"/>
  <c r="R10139" i="2"/>
  <c r="R10140" i="2"/>
  <c r="R10141" i="2"/>
  <c r="R10142" i="2"/>
  <c r="R10143" i="2"/>
  <c r="R10144" i="2"/>
  <c r="R10145" i="2"/>
  <c r="R10146" i="2"/>
  <c r="R10147" i="2"/>
  <c r="R10148" i="2"/>
  <c r="R10149" i="2"/>
  <c r="R10150" i="2"/>
  <c r="R10151" i="2"/>
  <c r="R10152" i="2"/>
  <c r="R10153" i="2"/>
  <c r="R10154" i="2"/>
  <c r="R10155" i="2"/>
  <c r="R10156" i="2"/>
  <c r="R10157" i="2"/>
  <c r="R10158" i="2"/>
  <c r="R10159" i="2"/>
  <c r="R10160" i="2"/>
  <c r="R10161" i="2"/>
  <c r="R10162" i="2"/>
  <c r="R10163" i="2"/>
  <c r="R10164" i="2"/>
  <c r="R10165" i="2"/>
  <c r="R10166" i="2"/>
  <c r="R10167" i="2"/>
  <c r="R10168" i="2"/>
  <c r="R10169" i="2"/>
  <c r="R10170" i="2"/>
  <c r="R10171" i="2"/>
  <c r="R10172" i="2"/>
  <c r="R10173" i="2"/>
  <c r="R10174" i="2"/>
  <c r="R10175" i="2"/>
  <c r="R10176" i="2"/>
  <c r="R10177" i="2"/>
  <c r="R10178" i="2"/>
  <c r="R10179" i="2"/>
  <c r="R10180" i="2"/>
  <c r="R10181" i="2"/>
  <c r="R10182" i="2"/>
  <c r="R10183" i="2"/>
  <c r="R10184" i="2"/>
  <c r="R10185" i="2"/>
  <c r="R10186" i="2"/>
  <c r="R10187" i="2"/>
  <c r="R10188" i="2"/>
  <c r="R10189" i="2"/>
  <c r="R10190" i="2"/>
  <c r="R10191" i="2"/>
  <c r="R10192" i="2"/>
  <c r="R10193" i="2"/>
  <c r="R10194" i="2"/>
  <c r="R10195" i="2"/>
  <c r="R10196" i="2"/>
  <c r="R10197" i="2"/>
  <c r="R10198" i="2"/>
  <c r="R10199" i="2"/>
  <c r="R10200" i="2"/>
  <c r="R10201" i="2"/>
  <c r="R10202" i="2"/>
  <c r="R10203" i="2"/>
  <c r="R10204" i="2"/>
  <c r="R10205" i="2"/>
  <c r="R10206" i="2"/>
  <c r="R10207" i="2"/>
  <c r="R10208" i="2"/>
  <c r="R10209" i="2"/>
  <c r="R10210" i="2"/>
  <c r="R10211" i="2"/>
  <c r="R10212" i="2"/>
  <c r="R10213" i="2"/>
  <c r="R10214" i="2"/>
  <c r="R10215" i="2"/>
  <c r="R10216" i="2"/>
  <c r="R10217" i="2"/>
  <c r="R10218" i="2"/>
  <c r="R10219" i="2"/>
  <c r="R10220" i="2"/>
  <c r="R10221" i="2"/>
  <c r="R10222" i="2"/>
  <c r="R10223" i="2"/>
  <c r="R10224" i="2"/>
  <c r="R10225" i="2"/>
  <c r="R10226" i="2"/>
  <c r="R10227" i="2"/>
  <c r="R10228" i="2"/>
  <c r="R10229" i="2"/>
  <c r="R10230" i="2"/>
  <c r="R10231" i="2"/>
  <c r="R10232" i="2"/>
  <c r="R10233" i="2"/>
  <c r="R10234" i="2"/>
  <c r="R10235" i="2"/>
  <c r="R10236" i="2"/>
  <c r="R10237" i="2"/>
  <c r="R10238" i="2"/>
  <c r="R10239" i="2"/>
  <c r="R10240" i="2"/>
  <c r="R10241" i="2"/>
  <c r="R10242" i="2"/>
  <c r="R10243" i="2"/>
  <c r="R10244" i="2"/>
  <c r="R10245" i="2"/>
  <c r="R10246" i="2"/>
  <c r="R10247" i="2"/>
  <c r="R10248" i="2"/>
  <c r="R10249" i="2"/>
  <c r="R10250" i="2"/>
  <c r="R10251" i="2"/>
  <c r="R10252" i="2"/>
  <c r="R10253" i="2"/>
  <c r="R10254" i="2"/>
  <c r="R10255" i="2"/>
  <c r="R10256" i="2"/>
  <c r="R10257" i="2"/>
  <c r="R10258" i="2"/>
  <c r="R10259" i="2"/>
  <c r="R10260" i="2"/>
  <c r="R10261" i="2"/>
  <c r="R10262" i="2"/>
  <c r="R10263" i="2"/>
  <c r="R10264" i="2"/>
  <c r="R10265" i="2"/>
  <c r="R10266" i="2"/>
  <c r="R10267" i="2"/>
  <c r="R10268" i="2"/>
  <c r="R10269" i="2"/>
  <c r="R10270" i="2"/>
  <c r="R10271" i="2"/>
  <c r="R10272" i="2"/>
  <c r="R10273" i="2"/>
  <c r="R10274" i="2"/>
  <c r="R10275" i="2"/>
  <c r="R10276" i="2"/>
  <c r="R10277" i="2"/>
  <c r="R10278" i="2"/>
  <c r="R10279" i="2"/>
  <c r="R10280" i="2"/>
  <c r="R10281" i="2"/>
  <c r="R10282" i="2"/>
  <c r="R10283" i="2"/>
  <c r="R10284" i="2"/>
  <c r="R10285" i="2"/>
  <c r="R10286" i="2"/>
  <c r="R10287" i="2"/>
  <c r="R10288" i="2"/>
  <c r="R10289" i="2"/>
  <c r="R10290" i="2"/>
  <c r="R10291" i="2"/>
  <c r="R10292" i="2"/>
  <c r="R10293" i="2"/>
  <c r="R10294" i="2"/>
  <c r="R10295" i="2"/>
  <c r="R10296" i="2"/>
  <c r="R10297" i="2"/>
  <c r="R10298" i="2"/>
  <c r="R10299" i="2"/>
  <c r="R10300" i="2"/>
  <c r="R10301" i="2"/>
  <c r="R10302" i="2"/>
  <c r="R10303" i="2"/>
  <c r="R10304" i="2"/>
  <c r="R10305" i="2"/>
  <c r="R10306" i="2"/>
  <c r="R10307" i="2"/>
  <c r="R10308" i="2"/>
  <c r="R10309" i="2"/>
  <c r="R10310" i="2"/>
  <c r="R10311" i="2"/>
  <c r="R10312" i="2"/>
  <c r="R10313" i="2"/>
  <c r="R10314" i="2"/>
  <c r="R10315" i="2"/>
  <c r="R10316" i="2"/>
  <c r="R10317" i="2"/>
  <c r="R10318" i="2"/>
  <c r="R10319" i="2"/>
  <c r="R10320" i="2"/>
  <c r="R10321" i="2"/>
  <c r="R10322" i="2"/>
  <c r="R10323" i="2"/>
  <c r="R10324" i="2"/>
  <c r="R10325" i="2"/>
  <c r="R10326" i="2"/>
  <c r="R10327" i="2"/>
  <c r="R10328" i="2"/>
  <c r="R10329" i="2"/>
  <c r="R10330" i="2"/>
  <c r="R10331" i="2"/>
  <c r="R10332" i="2"/>
  <c r="R10333" i="2"/>
  <c r="R10334" i="2"/>
  <c r="R10335" i="2"/>
  <c r="R10336" i="2"/>
  <c r="R10337" i="2"/>
  <c r="R10338" i="2"/>
  <c r="R10339" i="2"/>
  <c r="R10340" i="2"/>
  <c r="R10341" i="2"/>
  <c r="R10342" i="2"/>
  <c r="R10343" i="2"/>
  <c r="R10344" i="2"/>
  <c r="R10345" i="2"/>
  <c r="R10346" i="2"/>
  <c r="R10347" i="2"/>
  <c r="R10348" i="2"/>
  <c r="R10349" i="2"/>
  <c r="R10350" i="2"/>
  <c r="R10351" i="2"/>
  <c r="R10352" i="2"/>
  <c r="R10353" i="2"/>
  <c r="R10354" i="2"/>
  <c r="R10355" i="2"/>
  <c r="R10356" i="2"/>
  <c r="R10357" i="2"/>
  <c r="R10358" i="2"/>
  <c r="R10359" i="2"/>
  <c r="R10360" i="2"/>
  <c r="R10361" i="2"/>
  <c r="R10362" i="2"/>
  <c r="R10363" i="2"/>
  <c r="R10364" i="2"/>
  <c r="R10365" i="2"/>
  <c r="R10366" i="2"/>
  <c r="R10367" i="2"/>
  <c r="R10368" i="2"/>
  <c r="R10369" i="2"/>
  <c r="R10370" i="2"/>
  <c r="R10371" i="2"/>
  <c r="R10372" i="2"/>
  <c r="R10373" i="2"/>
  <c r="R10374" i="2"/>
  <c r="R10375" i="2"/>
  <c r="R10376" i="2"/>
  <c r="R10377" i="2"/>
  <c r="R10378" i="2"/>
  <c r="R10379" i="2"/>
  <c r="R10380" i="2"/>
  <c r="R10381" i="2"/>
  <c r="R10382" i="2"/>
  <c r="R10383" i="2"/>
  <c r="R10384" i="2"/>
  <c r="R10385" i="2"/>
  <c r="R10386" i="2"/>
  <c r="R10387" i="2"/>
  <c r="R10388" i="2"/>
  <c r="R10389" i="2"/>
  <c r="R10390" i="2"/>
  <c r="R10391" i="2"/>
  <c r="R10392" i="2"/>
  <c r="R10393" i="2"/>
  <c r="R10394" i="2"/>
  <c r="R10395" i="2"/>
  <c r="R10396" i="2"/>
  <c r="R10397" i="2"/>
  <c r="R10398" i="2"/>
  <c r="R10399" i="2"/>
  <c r="R10400" i="2"/>
  <c r="R10401" i="2"/>
  <c r="R10402" i="2"/>
  <c r="R10403" i="2"/>
  <c r="R10404" i="2"/>
  <c r="R10405" i="2"/>
  <c r="R10406" i="2"/>
  <c r="R10407" i="2"/>
  <c r="R10408" i="2"/>
  <c r="R10409" i="2"/>
  <c r="R10410" i="2"/>
  <c r="R10411" i="2"/>
  <c r="R10412" i="2"/>
  <c r="R10413" i="2"/>
  <c r="R10414" i="2"/>
  <c r="R10415" i="2"/>
  <c r="R10416" i="2"/>
  <c r="R10417" i="2"/>
  <c r="R10418" i="2"/>
  <c r="R10419" i="2"/>
  <c r="R10420" i="2"/>
  <c r="R10421" i="2"/>
  <c r="R10422" i="2"/>
  <c r="R10423" i="2"/>
  <c r="R10424" i="2"/>
  <c r="R10425" i="2"/>
  <c r="R10426" i="2"/>
  <c r="R10427" i="2"/>
  <c r="R10428" i="2"/>
  <c r="R10429" i="2"/>
  <c r="R10430" i="2"/>
  <c r="R10431" i="2"/>
  <c r="R10432" i="2"/>
  <c r="R10433" i="2"/>
  <c r="R10434" i="2"/>
  <c r="R10435" i="2"/>
  <c r="R10436" i="2"/>
  <c r="R10437" i="2"/>
  <c r="R10438" i="2"/>
  <c r="R10439" i="2"/>
  <c r="R10440" i="2"/>
  <c r="R10441" i="2"/>
  <c r="R10442" i="2"/>
  <c r="R10443" i="2"/>
  <c r="R10444" i="2"/>
  <c r="R10445" i="2"/>
  <c r="R10446" i="2"/>
  <c r="R10447" i="2"/>
  <c r="R10448" i="2"/>
  <c r="R10449" i="2"/>
  <c r="R10450" i="2"/>
  <c r="R10451" i="2"/>
  <c r="R10452" i="2"/>
  <c r="R10453" i="2"/>
  <c r="R10454" i="2"/>
  <c r="R10455" i="2"/>
  <c r="R10456" i="2"/>
  <c r="R10457" i="2"/>
  <c r="R10458" i="2"/>
  <c r="R10459" i="2"/>
  <c r="R10460" i="2"/>
  <c r="R10461" i="2"/>
  <c r="R10462" i="2"/>
  <c r="R10463" i="2"/>
  <c r="R10464" i="2"/>
  <c r="R10465" i="2"/>
  <c r="R10466" i="2"/>
  <c r="R10467" i="2"/>
  <c r="R10468" i="2"/>
  <c r="R10469" i="2"/>
  <c r="R10470" i="2"/>
  <c r="R10471" i="2"/>
  <c r="R10472" i="2"/>
  <c r="R10473" i="2"/>
  <c r="R10474" i="2"/>
  <c r="R10475" i="2"/>
  <c r="R10476" i="2"/>
  <c r="R10477" i="2"/>
  <c r="R10478" i="2"/>
  <c r="R10479" i="2"/>
  <c r="R10480" i="2"/>
  <c r="R10481" i="2"/>
  <c r="R10482" i="2"/>
  <c r="R10483" i="2"/>
  <c r="R10484" i="2"/>
  <c r="R10485" i="2"/>
  <c r="R10486" i="2"/>
  <c r="R10487" i="2"/>
  <c r="R10488" i="2"/>
  <c r="R10489" i="2"/>
  <c r="R10490" i="2"/>
  <c r="R10491" i="2"/>
  <c r="R10492" i="2"/>
  <c r="R10493" i="2"/>
  <c r="R10494" i="2"/>
  <c r="R10495" i="2"/>
  <c r="R10496" i="2"/>
  <c r="R10497" i="2"/>
  <c r="R10498" i="2"/>
  <c r="R10499" i="2"/>
  <c r="R10500" i="2"/>
  <c r="R10501" i="2"/>
  <c r="R10502" i="2"/>
  <c r="R10503" i="2"/>
  <c r="R10504" i="2"/>
  <c r="R10505" i="2"/>
  <c r="R10506" i="2"/>
  <c r="R10507" i="2"/>
  <c r="R10508" i="2"/>
  <c r="R10509" i="2"/>
  <c r="R10510" i="2"/>
  <c r="R10511" i="2"/>
  <c r="R10512" i="2"/>
  <c r="R10513" i="2"/>
  <c r="R10514" i="2"/>
  <c r="R10515" i="2"/>
  <c r="R10516" i="2"/>
  <c r="R10517" i="2"/>
  <c r="R10518" i="2"/>
  <c r="R10519" i="2"/>
  <c r="R10520" i="2"/>
  <c r="R10521" i="2"/>
  <c r="R10522" i="2"/>
  <c r="R10523" i="2"/>
  <c r="R10524" i="2"/>
  <c r="R10525" i="2"/>
  <c r="R10526" i="2"/>
  <c r="R10527" i="2"/>
  <c r="R10528" i="2"/>
  <c r="R10529" i="2"/>
  <c r="R10530" i="2"/>
  <c r="R10531" i="2"/>
  <c r="R10532" i="2"/>
  <c r="R10533" i="2"/>
  <c r="R10534" i="2"/>
  <c r="R10535" i="2"/>
  <c r="R10536" i="2"/>
  <c r="R10537" i="2"/>
  <c r="R10538" i="2"/>
  <c r="R10539" i="2"/>
  <c r="R10540" i="2"/>
  <c r="R10541" i="2"/>
  <c r="R10542" i="2"/>
  <c r="R10543" i="2"/>
  <c r="R10544" i="2"/>
  <c r="R10545" i="2"/>
  <c r="R10546" i="2"/>
  <c r="R10547" i="2"/>
  <c r="R10548" i="2"/>
  <c r="R10549" i="2"/>
  <c r="R10550" i="2"/>
  <c r="R10551" i="2"/>
  <c r="R10552" i="2"/>
  <c r="R10553" i="2"/>
  <c r="R10554" i="2"/>
  <c r="R10555" i="2"/>
  <c r="R10556" i="2"/>
  <c r="R10557" i="2"/>
  <c r="R10558" i="2"/>
  <c r="R10559" i="2"/>
  <c r="R10560" i="2"/>
  <c r="R10561" i="2"/>
  <c r="R10562" i="2"/>
  <c r="R10563" i="2"/>
  <c r="R10564" i="2"/>
  <c r="R10565" i="2"/>
  <c r="R10566" i="2"/>
  <c r="R10567" i="2"/>
  <c r="R10568" i="2"/>
  <c r="R10569" i="2"/>
  <c r="R10570" i="2"/>
  <c r="R10571" i="2"/>
  <c r="R10572" i="2"/>
  <c r="R10573" i="2"/>
  <c r="R10574" i="2"/>
  <c r="R10575" i="2"/>
  <c r="R10576" i="2"/>
  <c r="R10577" i="2"/>
  <c r="R10578" i="2"/>
  <c r="R10579" i="2"/>
  <c r="R10580" i="2"/>
  <c r="R10581" i="2"/>
  <c r="R10582" i="2"/>
  <c r="R10583" i="2"/>
  <c r="R10584" i="2"/>
  <c r="R10585" i="2"/>
  <c r="R10586" i="2"/>
  <c r="R10587" i="2"/>
  <c r="R10588" i="2"/>
  <c r="R10589" i="2"/>
  <c r="R10590" i="2"/>
  <c r="R10591" i="2"/>
  <c r="R10592" i="2"/>
  <c r="R10593" i="2"/>
  <c r="R10594" i="2"/>
  <c r="R10595" i="2"/>
  <c r="R10596" i="2"/>
  <c r="R10597" i="2"/>
  <c r="R10598" i="2"/>
  <c r="R10599" i="2"/>
  <c r="R10600" i="2"/>
  <c r="R10601" i="2"/>
  <c r="R10602" i="2"/>
  <c r="R10603" i="2"/>
  <c r="R10604" i="2"/>
  <c r="R10605" i="2"/>
  <c r="R10606" i="2"/>
  <c r="R10607" i="2"/>
  <c r="R10608" i="2"/>
  <c r="R10609" i="2"/>
  <c r="R10610" i="2"/>
  <c r="R10611" i="2"/>
  <c r="R10612" i="2"/>
  <c r="R10613" i="2"/>
  <c r="R10614" i="2"/>
  <c r="R10615" i="2"/>
  <c r="R10616" i="2"/>
  <c r="R10617" i="2"/>
  <c r="R10618" i="2"/>
  <c r="R10619" i="2"/>
  <c r="R10620" i="2"/>
  <c r="R10621" i="2"/>
  <c r="R10622" i="2"/>
  <c r="R10623" i="2"/>
  <c r="R10624" i="2"/>
  <c r="R10625" i="2"/>
  <c r="R10626" i="2"/>
  <c r="R10627" i="2"/>
  <c r="R10628" i="2"/>
  <c r="R10629" i="2"/>
  <c r="R10630" i="2"/>
  <c r="R10631" i="2"/>
  <c r="R10632" i="2"/>
  <c r="R10633" i="2"/>
  <c r="R10634" i="2"/>
  <c r="R10635" i="2"/>
  <c r="R10636" i="2"/>
  <c r="R10637" i="2"/>
  <c r="R10638" i="2"/>
  <c r="R10639" i="2"/>
  <c r="R10640" i="2"/>
  <c r="R10641" i="2"/>
  <c r="R10642" i="2"/>
  <c r="R10643" i="2"/>
  <c r="R10644" i="2"/>
  <c r="R10645" i="2"/>
  <c r="R10646" i="2"/>
  <c r="R10647" i="2"/>
  <c r="R10648" i="2"/>
  <c r="R10649" i="2"/>
  <c r="R10650" i="2"/>
  <c r="R10651" i="2"/>
  <c r="R10652" i="2"/>
  <c r="R10653" i="2"/>
  <c r="R10654" i="2"/>
  <c r="R10655" i="2"/>
  <c r="R10656" i="2"/>
  <c r="R10657" i="2"/>
  <c r="R10658" i="2"/>
  <c r="R10659" i="2"/>
  <c r="R10660" i="2"/>
  <c r="R10661" i="2"/>
  <c r="R10662" i="2"/>
  <c r="R10663" i="2"/>
  <c r="R10664" i="2"/>
  <c r="R10665" i="2"/>
  <c r="R10666" i="2"/>
  <c r="R10667" i="2"/>
  <c r="R10668" i="2"/>
  <c r="R10669" i="2"/>
  <c r="R10670" i="2"/>
  <c r="R10671" i="2"/>
  <c r="R10672" i="2"/>
  <c r="R10673" i="2"/>
  <c r="R10674" i="2"/>
  <c r="R10675" i="2"/>
  <c r="R10676" i="2"/>
  <c r="R10677" i="2"/>
  <c r="R10678" i="2"/>
  <c r="R10679" i="2"/>
  <c r="R10680" i="2"/>
  <c r="R10681" i="2"/>
  <c r="R10682" i="2"/>
  <c r="R10683" i="2"/>
  <c r="R10684" i="2"/>
  <c r="R10685" i="2"/>
  <c r="R10686" i="2"/>
  <c r="R10687" i="2"/>
  <c r="R10688" i="2"/>
  <c r="R10689" i="2"/>
  <c r="R10690" i="2"/>
  <c r="R10691" i="2"/>
  <c r="R10692" i="2"/>
  <c r="R10693" i="2"/>
  <c r="R10694" i="2"/>
  <c r="R10695" i="2"/>
  <c r="R10696" i="2"/>
  <c r="R10697" i="2"/>
  <c r="R10698" i="2"/>
  <c r="R10699" i="2"/>
  <c r="R10700" i="2"/>
  <c r="R10701" i="2"/>
  <c r="R10702" i="2"/>
  <c r="R10703" i="2"/>
  <c r="R10704" i="2"/>
  <c r="R10705" i="2"/>
  <c r="R10706" i="2"/>
  <c r="R10707" i="2"/>
  <c r="R10708" i="2"/>
  <c r="R10709" i="2"/>
  <c r="R10710" i="2"/>
  <c r="R10711" i="2"/>
  <c r="R10712" i="2"/>
  <c r="R10713" i="2"/>
  <c r="R10714" i="2"/>
  <c r="R10715" i="2"/>
  <c r="R10716" i="2"/>
  <c r="R10717" i="2"/>
  <c r="R10718" i="2"/>
  <c r="R10719" i="2"/>
  <c r="R10720" i="2"/>
  <c r="R10721" i="2"/>
  <c r="R10722" i="2"/>
  <c r="R10723" i="2"/>
  <c r="R10724" i="2"/>
  <c r="R10725" i="2"/>
  <c r="R10726" i="2"/>
  <c r="R10727" i="2"/>
  <c r="R10728" i="2"/>
  <c r="R10729" i="2"/>
  <c r="R10730" i="2"/>
  <c r="R10731" i="2"/>
  <c r="R10732" i="2"/>
  <c r="R10733" i="2"/>
  <c r="R10734" i="2"/>
  <c r="R10735" i="2"/>
  <c r="R10736" i="2"/>
  <c r="R10737" i="2"/>
  <c r="R10738" i="2"/>
  <c r="R10739" i="2"/>
  <c r="R10740" i="2"/>
  <c r="R10741" i="2"/>
  <c r="R10742" i="2"/>
  <c r="R10743" i="2"/>
  <c r="R10744" i="2"/>
  <c r="R10745" i="2"/>
  <c r="R10746" i="2"/>
  <c r="R10747" i="2"/>
  <c r="R10748" i="2"/>
  <c r="R10749" i="2"/>
  <c r="R10750" i="2"/>
  <c r="R10751" i="2"/>
  <c r="R10752" i="2"/>
  <c r="R10753" i="2"/>
  <c r="R10754" i="2"/>
  <c r="R10755" i="2"/>
  <c r="R10756" i="2"/>
  <c r="R10757" i="2"/>
  <c r="R10758" i="2"/>
  <c r="R10759" i="2"/>
  <c r="R10760" i="2"/>
  <c r="R10761" i="2"/>
  <c r="R10762" i="2"/>
  <c r="R10763" i="2"/>
  <c r="R10764" i="2"/>
  <c r="R10765" i="2"/>
  <c r="R10766" i="2"/>
  <c r="R10767" i="2"/>
  <c r="R10768" i="2"/>
  <c r="R10769" i="2"/>
  <c r="R10770" i="2"/>
  <c r="R10771" i="2"/>
  <c r="R10772" i="2"/>
  <c r="R10773" i="2"/>
  <c r="R10774" i="2"/>
  <c r="R10775" i="2"/>
  <c r="R10776" i="2"/>
  <c r="R10777" i="2"/>
  <c r="R10778" i="2"/>
  <c r="R10779" i="2"/>
  <c r="R10780" i="2"/>
  <c r="R10781" i="2"/>
  <c r="R10782" i="2"/>
  <c r="R10783" i="2"/>
  <c r="R10784" i="2"/>
  <c r="R10785" i="2"/>
  <c r="R10786" i="2"/>
  <c r="R10787" i="2"/>
  <c r="R10788" i="2"/>
  <c r="R10789" i="2"/>
  <c r="R10790" i="2"/>
  <c r="R10791" i="2"/>
  <c r="R10792" i="2"/>
  <c r="R10793" i="2"/>
  <c r="R10794" i="2"/>
  <c r="R10795" i="2"/>
  <c r="R10796" i="2"/>
  <c r="R10797" i="2"/>
  <c r="R10798" i="2"/>
  <c r="R10799" i="2"/>
  <c r="R10800" i="2"/>
  <c r="R10801" i="2"/>
  <c r="R10802" i="2"/>
  <c r="R10803" i="2"/>
  <c r="R10804" i="2"/>
  <c r="R10805" i="2"/>
  <c r="R10806" i="2"/>
  <c r="R10807" i="2"/>
  <c r="R10808" i="2"/>
  <c r="R10809" i="2"/>
  <c r="R10810" i="2"/>
  <c r="R10811" i="2"/>
  <c r="R10812" i="2"/>
  <c r="R10813" i="2"/>
  <c r="R10814" i="2"/>
  <c r="R10815" i="2"/>
  <c r="R10816" i="2"/>
  <c r="R10817" i="2"/>
  <c r="R10818" i="2"/>
  <c r="R10819" i="2"/>
  <c r="R10820" i="2"/>
  <c r="R10821" i="2"/>
  <c r="R10822" i="2"/>
  <c r="R10823" i="2"/>
  <c r="R10824" i="2"/>
  <c r="R10825" i="2"/>
  <c r="R10826" i="2"/>
  <c r="R10827" i="2"/>
  <c r="R10828" i="2"/>
  <c r="R10829" i="2"/>
  <c r="R10830" i="2"/>
  <c r="R10831" i="2"/>
  <c r="R10832" i="2"/>
  <c r="R10833" i="2"/>
  <c r="R10834" i="2"/>
  <c r="R10835" i="2"/>
  <c r="R10836" i="2"/>
  <c r="R10837" i="2"/>
  <c r="R10838" i="2"/>
  <c r="R10839" i="2"/>
  <c r="R10840" i="2"/>
  <c r="R10841" i="2"/>
  <c r="R10842" i="2"/>
  <c r="R10843" i="2"/>
  <c r="R10844" i="2"/>
  <c r="R10845" i="2"/>
  <c r="R10846" i="2"/>
  <c r="R10847" i="2"/>
  <c r="R10848" i="2"/>
  <c r="R10849" i="2"/>
  <c r="R10850" i="2"/>
  <c r="R10851" i="2"/>
  <c r="R10852" i="2"/>
  <c r="R10853" i="2"/>
  <c r="R10854" i="2"/>
  <c r="R10855" i="2"/>
  <c r="R10856" i="2"/>
  <c r="R10857" i="2"/>
  <c r="R10858" i="2"/>
  <c r="R10859" i="2"/>
  <c r="R10860" i="2"/>
  <c r="R10861" i="2"/>
  <c r="R10862" i="2"/>
  <c r="R10863" i="2"/>
  <c r="R10864" i="2"/>
  <c r="R10865" i="2"/>
  <c r="R10866" i="2"/>
  <c r="R10867" i="2"/>
  <c r="R10868" i="2"/>
  <c r="R10869" i="2"/>
  <c r="R10870" i="2"/>
  <c r="R10871" i="2"/>
  <c r="R10872" i="2"/>
  <c r="R10873" i="2"/>
  <c r="R10874" i="2"/>
  <c r="R10875" i="2"/>
  <c r="R10876" i="2"/>
  <c r="R10877" i="2"/>
  <c r="R10878" i="2"/>
  <c r="R10879" i="2"/>
  <c r="R10880" i="2"/>
  <c r="R10881" i="2"/>
  <c r="R10882" i="2"/>
  <c r="R10883" i="2"/>
  <c r="R10884" i="2"/>
  <c r="R10885" i="2"/>
  <c r="R10886" i="2"/>
  <c r="R10887" i="2"/>
  <c r="R10888" i="2"/>
  <c r="R10889" i="2"/>
  <c r="R10890" i="2"/>
  <c r="R10891" i="2"/>
  <c r="R10892" i="2"/>
  <c r="R10893" i="2"/>
  <c r="R10894" i="2"/>
  <c r="R10895" i="2"/>
  <c r="R10896" i="2"/>
  <c r="R10897" i="2"/>
  <c r="R10898" i="2"/>
  <c r="R10899" i="2"/>
  <c r="R10900" i="2"/>
  <c r="R10901" i="2"/>
  <c r="R10902" i="2"/>
  <c r="R10903" i="2"/>
  <c r="R10904" i="2"/>
  <c r="R10905" i="2"/>
  <c r="R10906" i="2"/>
  <c r="R10907" i="2"/>
  <c r="R10908" i="2"/>
  <c r="R10909" i="2"/>
  <c r="R10910" i="2"/>
  <c r="R10911" i="2"/>
  <c r="R10912" i="2"/>
  <c r="R10913" i="2"/>
  <c r="R10914" i="2"/>
  <c r="R10915" i="2"/>
  <c r="R10916" i="2"/>
  <c r="R10917" i="2"/>
  <c r="R10918" i="2"/>
  <c r="R10919" i="2"/>
  <c r="R10920" i="2"/>
  <c r="R10921" i="2"/>
  <c r="R10922" i="2"/>
  <c r="R10923" i="2"/>
  <c r="R10924" i="2"/>
  <c r="R10925" i="2"/>
  <c r="R10926" i="2"/>
  <c r="R10927" i="2"/>
  <c r="R10928" i="2"/>
  <c r="R10929" i="2"/>
  <c r="R10930" i="2"/>
  <c r="R10931" i="2"/>
  <c r="R10932" i="2"/>
  <c r="R10933" i="2"/>
  <c r="R10934" i="2"/>
  <c r="R10935" i="2"/>
  <c r="R10936" i="2"/>
  <c r="R10937" i="2"/>
  <c r="R10938" i="2"/>
  <c r="R10939" i="2"/>
  <c r="R10940" i="2"/>
  <c r="R10941" i="2"/>
  <c r="R10942" i="2"/>
  <c r="R10943" i="2"/>
  <c r="R10944" i="2"/>
  <c r="R10945" i="2"/>
  <c r="R10946" i="2"/>
  <c r="R10947" i="2"/>
  <c r="R10948" i="2"/>
  <c r="R10949" i="2"/>
  <c r="R10950" i="2"/>
  <c r="R10951" i="2"/>
  <c r="R10952" i="2"/>
  <c r="R10953" i="2"/>
  <c r="R10954" i="2"/>
  <c r="R10955" i="2"/>
  <c r="R10956" i="2"/>
  <c r="R10957" i="2"/>
  <c r="R10958" i="2"/>
  <c r="R10959" i="2"/>
  <c r="R10960" i="2"/>
  <c r="R10961" i="2"/>
  <c r="R10962" i="2"/>
  <c r="R10963" i="2"/>
  <c r="R10964" i="2"/>
  <c r="R10965" i="2"/>
  <c r="R10966" i="2"/>
  <c r="R10967" i="2"/>
  <c r="R10968" i="2"/>
  <c r="R10969" i="2"/>
  <c r="R10970" i="2"/>
  <c r="R10971" i="2"/>
  <c r="R10972" i="2"/>
  <c r="R10973" i="2"/>
  <c r="R10974" i="2"/>
  <c r="R10975" i="2"/>
  <c r="R10976" i="2"/>
  <c r="R10977" i="2"/>
  <c r="R10978" i="2"/>
  <c r="R10979" i="2"/>
  <c r="R10980" i="2"/>
  <c r="R10981" i="2"/>
  <c r="R10982" i="2"/>
  <c r="R10983" i="2"/>
  <c r="R10984" i="2"/>
  <c r="R10985" i="2"/>
  <c r="R10986" i="2"/>
  <c r="R10987" i="2"/>
  <c r="R10988" i="2"/>
  <c r="R10989" i="2"/>
  <c r="R10990" i="2"/>
  <c r="R10991" i="2"/>
  <c r="R10992" i="2"/>
  <c r="R10993" i="2"/>
  <c r="R10994" i="2"/>
  <c r="R10995" i="2"/>
  <c r="R10996" i="2"/>
  <c r="R10997" i="2"/>
  <c r="R10998" i="2"/>
  <c r="R10999" i="2"/>
  <c r="R11000" i="2"/>
  <c r="R11001" i="2"/>
  <c r="R11002" i="2"/>
  <c r="R11003" i="2"/>
  <c r="R11004" i="2"/>
  <c r="R11005" i="2"/>
  <c r="R11006" i="2"/>
  <c r="R11007" i="2"/>
  <c r="R11008" i="2"/>
  <c r="R11009" i="2"/>
  <c r="R11010" i="2"/>
  <c r="R11011" i="2"/>
  <c r="R11012" i="2"/>
  <c r="R11013" i="2"/>
  <c r="R11014" i="2"/>
  <c r="R11015" i="2"/>
  <c r="R11016" i="2"/>
  <c r="R11017" i="2"/>
  <c r="R11018" i="2"/>
  <c r="R11019" i="2"/>
  <c r="R11020" i="2"/>
  <c r="R11021" i="2"/>
  <c r="R11022" i="2"/>
  <c r="R11023" i="2"/>
  <c r="R11024" i="2"/>
  <c r="R11025" i="2"/>
  <c r="R11026" i="2"/>
  <c r="R11027" i="2"/>
  <c r="R11028" i="2"/>
  <c r="R11029" i="2"/>
  <c r="R11030" i="2"/>
  <c r="R11031" i="2"/>
  <c r="R11032" i="2"/>
  <c r="R11033" i="2"/>
  <c r="R11034" i="2"/>
  <c r="R11035" i="2"/>
  <c r="R11036" i="2"/>
  <c r="R11037" i="2"/>
  <c r="R11038" i="2"/>
  <c r="R11039" i="2"/>
  <c r="R11040" i="2"/>
  <c r="R11041" i="2"/>
  <c r="R11042" i="2"/>
  <c r="R11043" i="2"/>
  <c r="R11044" i="2"/>
  <c r="R11045" i="2"/>
  <c r="R11046" i="2"/>
  <c r="R11047" i="2"/>
  <c r="R11048" i="2"/>
  <c r="R11049" i="2"/>
  <c r="R11050" i="2"/>
  <c r="R11051" i="2"/>
  <c r="R11052" i="2"/>
  <c r="R11053" i="2"/>
  <c r="R11054" i="2"/>
  <c r="R11055" i="2"/>
  <c r="R11056" i="2"/>
  <c r="R11057" i="2"/>
  <c r="R11058" i="2"/>
  <c r="R11059" i="2"/>
  <c r="R11060" i="2"/>
  <c r="R11061" i="2"/>
  <c r="R11062" i="2"/>
  <c r="R11063" i="2"/>
  <c r="R11064" i="2"/>
  <c r="R11065" i="2"/>
  <c r="R11066" i="2"/>
  <c r="R11067" i="2"/>
  <c r="R11068" i="2"/>
  <c r="R11069" i="2"/>
  <c r="R11070" i="2"/>
  <c r="R11071" i="2"/>
  <c r="R11072" i="2"/>
  <c r="R11073" i="2"/>
  <c r="R11074" i="2"/>
  <c r="R11075" i="2"/>
  <c r="R11076" i="2"/>
  <c r="R11077" i="2"/>
  <c r="R11078" i="2"/>
  <c r="R11079" i="2"/>
  <c r="R11080" i="2"/>
  <c r="R11081" i="2"/>
  <c r="R11082" i="2"/>
  <c r="R11083" i="2"/>
  <c r="R11084" i="2"/>
  <c r="R11085" i="2"/>
  <c r="R11086" i="2"/>
  <c r="R11087" i="2"/>
  <c r="R11088" i="2"/>
  <c r="R11089" i="2"/>
  <c r="R11090" i="2"/>
  <c r="R11091" i="2"/>
  <c r="R11092" i="2"/>
  <c r="R11093" i="2"/>
  <c r="R11094" i="2"/>
  <c r="R11095" i="2"/>
  <c r="R11096" i="2"/>
  <c r="R11097" i="2"/>
  <c r="R11098" i="2"/>
  <c r="R11099" i="2"/>
  <c r="R11100" i="2"/>
  <c r="R11101" i="2"/>
  <c r="R11102" i="2"/>
  <c r="R11103" i="2"/>
  <c r="R11104" i="2"/>
  <c r="R11105" i="2"/>
  <c r="R11106" i="2"/>
  <c r="R11107" i="2"/>
  <c r="R11108" i="2"/>
  <c r="R11109" i="2"/>
  <c r="R11110" i="2"/>
  <c r="R11111" i="2"/>
  <c r="R11112" i="2"/>
  <c r="R11113" i="2"/>
  <c r="R11114" i="2"/>
  <c r="R11115" i="2"/>
  <c r="R11116" i="2"/>
  <c r="R11117" i="2"/>
  <c r="R11118" i="2"/>
  <c r="R11119" i="2"/>
  <c r="R11120" i="2"/>
  <c r="R11121" i="2"/>
  <c r="R11122" i="2"/>
  <c r="R11123" i="2"/>
  <c r="R11124" i="2"/>
  <c r="R11125" i="2"/>
  <c r="R11126" i="2"/>
  <c r="R11127" i="2"/>
  <c r="R11128" i="2"/>
  <c r="R11129" i="2"/>
  <c r="R11130" i="2"/>
  <c r="R11131" i="2"/>
  <c r="R11132" i="2"/>
  <c r="R11133" i="2"/>
  <c r="R11134" i="2"/>
  <c r="R11135" i="2"/>
  <c r="R11136" i="2"/>
  <c r="R11137" i="2"/>
  <c r="R11138" i="2"/>
  <c r="R11139" i="2"/>
  <c r="R11140" i="2"/>
  <c r="R11141" i="2"/>
  <c r="R11142" i="2"/>
  <c r="R11143" i="2"/>
  <c r="R11144" i="2"/>
  <c r="R11145" i="2"/>
  <c r="R11146" i="2"/>
  <c r="R11147" i="2"/>
  <c r="R11148" i="2"/>
  <c r="R11149" i="2"/>
  <c r="R11150" i="2"/>
  <c r="R11151" i="2"/>
  <c r="R11152" i="2"/>
  <c r="R11153" i="2"/>
  <c r="R11154" i="2"/>
  <c r="R11155" i="2"/>
  <c r="R11156" i="2"/>
  <c r="R11157" i="2"/>
  <c r="R11158" i="2"/>
  <c r="R11159" i="2"/>
  <c r="R11160" i="2"/>
  <c r="R11161" i="2"/>
  <c r="R11162" i="2"/>
  <c r="R11163" i="2"/>
  <c r="R11164" i="2"/>
  <c r="R11165" i="2"/>
  <c r="R11166" i="2"/>
  <c r="R11167" i="2"/>
  <c r="R11168" i="2"/>
  <c r="R11169" i="2"/>
  <c r="R11170" i="2"/>
  <c r="R11171" i="2"/>
  <c r="R11172" i="2"/>
  <c r="R11173" i="2"/>
  <c r="R11174" i="2"/>
  <c r="R11175" i="2"/>
  <c r="R11176" i="2"/>
  <c r="R11177" i="2"/>
  <c r="R11178" i="2"/>
  <c r="R11179" i="2"/>
  <c r="R11180" i="2"/>
  <c r="R11181" i="2"/>
  <c r="R11182" i="2"/>
  <c r="R11183" i="2"/>
  <c r="R11184" i="2"/>
  <c r="R11185" i="2"/>
  <c r="R11186" i="2"/>
  <c r="R11187" i="2"/>
  <c r="R11188" i="2"/>
  <c r="R11189" i="2"/>
  <c r="R11190" i="2"/>
  <c r="R11191" i="2"/>
  <c r="R11192" i="2"/>
  <c r="R11193" i="2"/>
  <c r="R11194" i="2"/>
  <c r="R11195" i="2"/>
  <c r="R11196" i="2"/>
  <c r="R11197" i="2"/>
  <c r="R11198" i="2"/>
  <c r="R11199" i="2"/>
  <c r="R11200" i="2"/>
  <c r="R11201" i="2"/>
  <c r="R11202" i="2"/>
  <c r="R11203" i="2"/>
  <c r="R11204" i="2"/>
  <c r="R11205" i="2"/>
  <c r="R11206" i="2"/>
  <c r="R11207" i="2"/>
  <c r="R11208" i="2"/>
  <c r="R11209" i="2"/>
  <c r="R11210" i="2"/>
  <c r="R11211" i="2"/>
  <c r="R11212" i="2"/>
  <c r="R11213" i="2"/>
  <c r="R11214" i="2"/>
  <c r="R11215" i="2"/>
  <c r="R11216" i="2"/>
  <c r="R11217" i="2"/>
  <c r="R11218" i="2"/>
  <c r="R11219" i="2"/>
  <c r="R11220" i="2"/>
  <c r="R11221" i="2"/>
  <c r="R11222" i="2"/>
  <c r="R11223" i="2"/>
  <c r="R11224" i="2"/>
  <c r="R11225" i="2"/>
  <c r="R11226" i="2"/>
  <c r="R11227" i="2"/>
  <c r="R11228" i="2"/>
  <c r="R11229" i="2"/>
  <c r="R11230" i="2"/>
  <c r="R11231" i="2"/>
  <c r="R11232" i="2"/>
  <c r="R11233" i="2"/>
  <c r="R11234" i="2"/>
  <c r="R11235" i="2"/>
  <c r="R11236" i="2"/>
  <c r="R11237" i="2"/>
  <c r="R11238" i="2"/>
  <c r="R11239" i="2"/>
  <c r="R11240" i="2"/>
  <c r="R11241" i="2"/>
  <c r="R11242" i="2"/>
  <c r="R11243" i="2"/>
  <c r="R11244" i="2"/>
  <c r="R11245" i="2"/>
  <c r="R11246" i="2"/>
  <c r="R11247" i="2"/>
  <c r="R11248" i="2"/>
  <c r="R11249" i="2"/>
  <c r="R11250" i="2"/>
  <c r="R11251" i="2"/>
  <c r="R11252" i="2"/>
  <c r="R11253" i="2"/>
  <c r="R11254" i="2"/>
  <c r="R11255" i="2"/>
  <c r="R11256" i="2"/>
  <c r="R11257" i="2"/>
  <c r="R11258" i="2"/>
  <c r="R11259" i="2"/>
  <c r="R11260" i="2"/>
  <c r="R11261" i="2"/>
  <c r="R11262" i="2"/>
  <c r="R11263" i="2"/>
  <c r="R11264" i="2"/>
  <c r="R11265" i="2"/>
  <c r="R11266" i="2"/>
  <c r="R11267" i="2"/>
  <c r="R11268" i="2"/>
  <c r="R11269" i="2"/>
  <c r="R11270" i="2"/>
  <c r="R11271" i="2"/>
  <c r="R11272" i="2"/>
  <c r="R11273" i="2"/>
  <c r="R11274" i="2"/>
  <c r="R11275" i="2"/>
  <c r="R11276" i="2"/>
  <c r="R11277" i="2"/>
  <c r="R11278" i="2"/>
  <c r="R11279" i="2"/>
  <c r="R11280" i="2"/>
  <c r="R11281" i="2"/>
  <c r="R11282" i="2"/>
  <c r="R11283" i="2"/>
  <c r="R11284" i="2"/>
  <c r="R11285" i="2"/>
  <c r="R11286" i="2"/>
  <c r="R11287" i="2"/>
  <c r="R11288" i="2"/>
  <c r="R11289" i="2"/>
  <c r="R11290" i="2"/>
  <c r="R11291" i="2"/>
  <c r="R11292" i="2"/>
  <c r="R11293" i="2"/>
  <c r="R11294" i="2"/>
  <c r="R11295" i="2"/>
  <c r="R11296" i="2"/>
  <c r="R11297" i="2"/>
  <c r="R11298" i="2"/>
  <c r="R11299" i="2"/>
  <c r="R11300" i="2"/>
  <c r="R11301" i="2"/>
  <c r="R11302" i="2"/>
  <c r="R11303" i="2"/>
  <c r="R11304" i="2"/>
  <c r="R11305" i="2"/>
  <c r="R11306" i="2"/>
  <c r="R11307" i="2"/>
  <c r="R11308" i="2"/>
  <c r="R11309" i="2"/>
  <c r="R11310" i="2"/>
  <c r="R11311" i="2"/>
  <c r="R11312" i="2"/>
  <c r="R11313" i="2"/>
  <c r="R11314" i="2"/>
  <c r="R11315" i="2"/>
  <c r="R11316" i="2"/>
  <c r="R11317" i="2"/>
  <c r="R11318" i="2"/>
  <c r="R11319" i="2"/>
  <c r="R11320" i="2"/>
  <c r="R11321" i="2"/>
  <c r="R11322" i="2"/>
  <c r="R11323" i="2"/>
  <c r="R11324" i="2"/>
  <c r="R11325" i="2"/>
  <c r="R11326" i="2"/>
  <c r="R11327" i="2"/>
  <c r="R11328" i="2"/>
  <c r="R11329" i="2"/>
  <c r="R11330" i="2"/>
  <c r="R11331" i="2"/>
  <c r="R11332" i="2"/>
  <c r="R11333" i="2"/>
  <c r="R11334" i="2"/>
  <c r="R11335" i="2"/>
  <c r="R11336" i="2"/>
  <c r="R11337" i="2"/>
  <c r="R11338" i="2"/>
  <c r="R11339" i="2"/>
  <c r="R11340" i="2"/>
  <c r="R11341" i="2"/>
  <c r="R11342" i="2"/>
  <c r="R11343" i="2"/>
  <c r="R11344" i="2"/>
  <c r="R11345" i="2"/>
  <c r="R11346" i="2"/>
  <c r="R11347" i="2"/>
  <c r="R11348" i="2"/>
  <c r="R11349" i="2"/>
  <c r="R11350" i="2"/>
  <c r="R11351" i="2"/>
  <c r="R11352" i="2"/>
  <c r="R11353" i="2"/>
  <c r="R11354" i="2"/>
  <c r="R11355" i="2"/>
  <c r="R11356" i="2"/>
  <c r="R11357" i="2"/>
  <c r="R11358" i="2"/>
  <c r="R11359" i="2"/>
  <c r="R11360" i="2"/>
  <c r="R11361" i="2"/>
  <c r="R11362" i="2"/>
  <c r="R11363" i="2"/>
  <c r="R11364" i="2"/>
  <c r="R11365" i="2"/>
  <c r="R11366" i="2"/>
  <c r="R11367" i="2"/>
  <c r="R11368" i="2"/>
  <c r="R11369" i="2"/>
  <c r="R11370" i="2"/>
  <c r="R11371" i="2"/>
  <c r="R11372" i="2"/>
  <c r="R11373" i="2"/>
  <c r="R11374" i="2"/>
  <c r="R11375" i="2"/>
  <c r="R11376" i="2"/>
  <c r="R11377" i="2"/>
  <c r="R11378" i="2"/>
  <c r="R11379" i="2"/>
  <c r="R11380" i="2"/>
  <c r="R11381" i="2"/>
  <c r="R11382" i="2"/>
  <c r="R11383" i="2"/>
  <c r="R11384" i="2"/>
  <c r="R11385" i="2"/>
  <c r="R11386" i="2"/>
  <c r="R11387" i="2"/>
  <c r="R11388" i="2"/>
  <c r="R11389" i="2"/>
  <c r="R11390" i="2"/>
  <c r="R11391" i="2"/>
  <c r="R11392" i="2"/>
  <c r="R11393" i="2"/>
  <c r="R11394" i="2"/>
  <c r="R11395" i="2"/>
  <c r="R11396" i="2"/>
  <c r="R11397" i="2"/>
  <c r="R11398" i="2"/>
  <c r="R11399" i="2"/>
  <c r="R11400" i="2"/>
  <c r="R11401" i="2"/>
  <c r="R11402" i="2"/>
  <c r="R11403" i="2"/>
  <c r="R11404" i="2"/>
  <c r="R11405" i="2"/>
  <c r="R11406" i="2"/>
  <c r="R11407" i="2"/>
  <c r="R11408" i="2"/>
  <c r="R11409" i="2"/>
  <c r="R11410" i="2"/>
  <c r="R11411" i="2"/>
  <c r="R11412" i="2"/>
  <c r="R11413" i="2"/>
  <c r="R11414" i="2"/>
  <c r="R11415" i="2"/>
  <c r="R11416" i="2"/>
  <c r="R11417" i="2"/>
  <c r="R11418" i="2"/>
  <c r="R11419" i="2"/>
  <c r="R11420" i="2"/>
  <c r="R11421" i="2"/>
  <c r="R11422" i="2"/>
  <c r="R11423" i="2"/>
  <c r="R11424" i="2"/>
  <c r="R11425" i="2"/>
  <c r="R11426" i="2"/>
  <c r="R11427" i="2"/>
  <c r="R11428" i="2"/>
  <c r="R11429" i="2"/>
  <c r="R11430" i="2"/>
  <c r="R11431" i="2"/>
  <c r="R11432" i="2"/>
  <c r="R11433" i="2"/>
  <c r="R11434" i="2"/>
  <c r="R11435" i="2"/>
  <c r="R11436" i="2"/>
  <c r="R11437" i="2"/>
  <c r="R11438" i="2"/>
  <c r="R11439" i="2"/>
  <c r="R11440" i="2"/>
  <c r="R11441" i="2"/>
  <c r="R11442" i="2"/>
  <c r="R11443" i="2"/>
  <c r="R11444" i="2"/>
  <c r="R11445" i="2"/>
  <c r="R11446" i="2"/>
  <c r="R11447" i="2"/>
  <c r="R11448" i="2"/>
  <c r="R11449" i="2"/>
  <c r="R11450" i="2"/>
  <c r="R11451" i="2"/>
  <c r="R11452" i="2"/>
  <c r="R11453" i="2"/>
  <c r="R11454" i="2"/>
  <c r="R11455" i="2"/>
  <c r="R11456" i="2"/>
  <c r="R11457" i="2"/>
  <c r="R11458" i="2"/>
  <c r="R11459" i="2"/>
  <c r="R11460" i="2"/>
  <c r="R11461" i="2"/>
  <c r="R11462" i="2"/>
  <c r="R11463" i="2"/>
  <c r="R11464" i="2"/>
  <c r="R11465" i="2"/>
  <c r="R11466" i="2"/>
  <c r="R11467" i="2"/>
  <c r="R11468" i="2"/>
  <c r="R11469" i="2"/>
  <c r="R11470" i="2"/>
  <c r="R11471" i="2"/>
  <c r="R11472" i="2"/>
  <c r="R11473" i="2"/>
  <c r="R11474" i="2"/>
  <c r="R11475" i="2"/>
  <c r="R11476" i="2"/>
  <c r="R11477" i="2"/>
  <c r="R11478" i="2"/>
  <c r="R11479" i="2"/>
  <c r="R11480" i="2"/>
  <c r="R11481" i="2"/>
  <c r="R11482" i="2"/>
  <c r="R11483" i="2"/>
  <c r="R11484" i="2"/>
  <c r="R11485" i="2"/>
  <c r="R11486" i="2"/>
  <c r="R11487" i="2"/>
  <c r="R11488" i="2"/>
  <c r="R11489" i="2"/>
  <c r="R11490" i="2"/>
  <c r="R11491" i="2"/>
  <c r="R11492" i="2"/>
  <c r="R11493" i="2"/>
  <c r="R11494" i="2"/>
  <c r="R11495" i="2"/>
  <c r="R11496" i="2"/>
  <c r="R11497" i="2"/>
  <c r="R11498" i="2"/>
  <c r="R11499" i="2"/>
  <c r="R11500" i="2"/>
  <c r="R11501" i="2"/>
  <c r="R11502" i="2"/>
  <c r="R11503" i="2"/>
  <c r="R11504" i="2"/>
  <c r="R11505" i="2"/>
  <c r="R11506" i="2"/>
  <c r="R11507" i="2"/>
  <c r="R11508" i="2"/>
  <c r="R11509" i="2"/>
  <c r="R11510" i="2"/>
  <c r="R11511" i="2"/>
  <c r="R11512" i="2"/>
  <c r="R11513" i="2"/>
  <c r="R11514" i="2"/>
  <c r="R11515" i="2"/>
  <c r="R11516" i="2"/>
  <c r="R11517" i="2"/>
  <c r="R11518" i="2"/>
  <c r="R11519" i="2"/>
  <c r="R11520" i="2"/>
  <c r="R11521" i="2"/>
  <c r="R11522" i="2"/>
  <c r="R11523" i="2"/>
  <c r="R11524" i="2"/>
  <c r="R11525" i="2"/>
  <c r="R11526" i="2"/>
  <c r="R11527" i="2"/>
  <c r="R11528" i="2"/>
  <c r="R11529" i="2"/>
  <c r="R11530" i="2"/>
  <c r="R11531" i="2"/>
  <c r="R11532" i="2"/>
  <c r="R11533" i="2"/>
  <c r="R11534" i="2"/>
  <c r="R11535" i="2"/>
  <c r="R11536" i="2"/>
  <c r="R11537" i="2"/>
  <c r="R11538" i="2"/>
  <c r="R11539" i="2"/>
  <c r="R11540" i="2"/>
  <c r="R11541" i="2"/>
  <c r="R11542" i="2"/>
  <c r="R11543" i="2"/>
  <c r="R11544" i="2"/>
  <c r="R11545" i="2"/>
  <c r="R11546" i="2"/>
  <c r="R11547" i="2"/>
  <c r="R11548" i="2"/>
  <c r="R11549" i="2"/>
  <c r="R11550" i="2"/>
  <c r="R11551" i="2"/>
  <c r="R11552" i="2"/>
  <c r="R11553" i="2"/>
  <c r="R11554" i="2"/>
  <c r="R11555" i="2"/>
  <c r="R11556" i="2"/>
  <c r="R11557" i="2"/>
  <c r="R11558" i="2"/>
  <c r="R11559" i="2"/>
  <c r="R11560" i="2"/>
  <c r="R11561" i="2"/>
  <c r="R11562" i="2"/>
  <c r="R11563" i="2"/>
  <c r="R11564" i="2"/>
  <c r="R11565" i="2"/>
  <c r="R11566" i="2"/>
  <c r="R11567" i="2"/>
  <c r="R11568" i="2"/>
  <c r="R11569" i="2"/>
  <c r="R11570" i="2"/>
  <c r="R11571" i="2"/>
  <c r="R11572" i="2"/>
  <c r="R11573" i="2"/>
  <c r="R11574" i="2"/>
  <c r="R11575" i="2"/>
  <c r="R11576" i="2"/>
  <c r="R11577" i="2"/>
  <c r="R11578" i="2"/>
  <c r="R11579" i="2"/>
  <c r="R11580" i="2"/>
  <c r="R11581" i="2"/>
  <c r="R11582" i="2"/>
  <c r="R11583" i="2"/>
  <c r="R11584" i="2"/>
  <c r="R11585" i="2"/>
  <c r="R11586" i="2"/>
  <c r="R11587" i="2"/>
  <c r="R11588" i="2"/>
  <c r="R11589" i="2"/>
  <c r="R11590" i="2"/>
  <c r="R11591" i="2"/>
  <c r="R11592" i="2"/>
  <c r="R11593" i="2"/>
  <c r="R11594" i="2"/>
  <c r="R11595" i="2"/>
  <c r="R11596" i="2"/>
  <c r="R11597" i="2"/>
  <c r="R11598" i="2"/>
  <c r="R11599" i="2"/>
  <c r="R11600" i="2"/>
  <c r="R11601" i="2"/>
  <c r="R11602" i="2"/>
  <c r="R11603" i="2"/>
  <c r="R11604" i="2"/>
  <c r="R11605" i="2"/>
  <c r="R11606" i="2"/>
  <c r="R11607" i="2"/>
  <c r="R11608" i="2"/>
  <c r="R11609" i="2"/>
  <c r="R11610" i="2"/>
  <c r="R11611" i="2"/>
  <c r="R11612" i="2"/>
  <c r="R11613" i="2"/>
  <c r="R11614" i="2"/>
  <c r="R11615" i="2"/>
  <c r="R11616" i="2"/>
  <c r="R11617" i="2"/>
  <c r="R11618" i="2"/>
  <c r="R11619" i="2"/>
  <c r="R11620" i="2"/>
  <c r="R11621" i="2"/>
  <c r="R11622" i="2"/>
  <c r="R11623" i="2"/>
  <c r="R11624" i="2"/>
  <c r="R11625" i="2"/>
  <c r="R11626" i="2"/>
  <c r="R11627" i="2"/>
  <c r="R11628" i="2"/>
  <c r="R11629" i="2"/>
  <c r="R11630" i="2"/>
  <c r="R11631" i="2"/>
  <c r="R11632" i="2"/>
  <c r="R11633" i="2"/>
  <c r="R11634" i="2"/>
  <c r="R11635" i="2"/>
  <c r="R11636" i="2"/>
  <c r="R11637" i="2"/>
  <c r="R11638" i="2"/>
  <c r="R11639" i="2"/>
  <c r="R11640" i="2"/>
  <c r="R11641" i="2"/>
  <c r="R11642" i="2"/>
  <c r="R11643" i="2"/>
  <c r="R11644" i="2"/>
  <c r="R11645" i="2"/>
  <c r="R11646" i="2"/>
  <c r="R11647" i="2"/>
  <c r="R11648" i="2"/>
  <c r="R11649" i="2"/>
  <c r="R11650" i="2"/>
  <c r="R11651" i="2"/>
  <c r="R11652" i="2"/>
  <c r="R11653" i="2"/>
  <c r="R11654" i="2"/>
  <c r="R11655" i="2"/>
  <c r="R11656" i="2"/>
  <c r="R11657" i="2"/>
  <c r="R11658" i="2"/>
  <c r="R11659" i="2"/>
  <c r="R11660" i="2"/>
  <c r="R11661" i="2"/>
  <c r="R11662" i="2"/>
  <c r="R11663" i="2"/>
  <c r="R11664" i="2"/>
  <c r="R11665" i="2"/>
  <c r="R11666" i="2"/>
  <c r="R11667" i="2"/>
  <c r="R11668" i="2"/>
  <c r="R11669" i="2"/>
  <c r="R11670" i="2"/>
  <c r="R11671" i="2"/>
  <c r="R11672" i="2"/>
  <c r="R11673" i="2"/>
  <c r="R11674" i="2"/>
  <c r="R11675" i="2"/>
  <c r="R11676" i="2"/>
  <c r="R11677" i="2"/>
  <c r="R11678" i="2"/>
  <c r="R11679" i="2"/>
  <c r="R11680" i="2"/>
  <c r="R11681" i="2"/>
  <c r="R11682" i="2"/>
  <c r="R11683" i="2"/>
  <c r="R11684" i="2"/>
  <c r="R11685" i="2"/>
  <c r="R11686" i="2"/>
  <c r="R11687" i="2"/>
  <c r="R11688" i="2"/>
  <c r="R11689" i="2"/>
  <c r="R11690" i="2"/>
  <c r="R11691" i="2"/>
  <c r="R11692" i="2"/>
  <c r="R11693" i="2"/>
  <c r="R11694" i="2"/>
  <c r="R11695" i="2"/>
  <c r="R11696" i="2"/>
  <c r="R11697" i="2"/>
  <c r="R11698" i="2"/>
  <c r="R11699" i="2"/>
  <c r="R11700" i="2"/>
  <c r="R11701" i="2"/>
  <c r="R11702" i="2"/>
  <c r="R11703" i="2"/>
  <c r="R11704" i="2"/>
  <c r="R11705" i="2"/>
  <c r="R11706" i="2"/>
  <c r="R11707" i="2"/>
  <c r="R11708" i="2"/>
  <c r="R11709" i="2"/>
  <c r="R11710" i="2"/>
  <c r="R11711" i="2"/>
  <c r="R11712" i="2"/>
  <c r="R11713" i="2"/>
  <c r="R11714" i="2"/>
  <c r="R11715" i="2"/>
  <c r="R11716" i="2"/>
  <c r="R11717" i="2"/>
  <c r="R11718" i="2"/>
  <c r="R11719" i="2"/>
  <c r="R11720" i="2"/>
  <c r="R11721" i="2"/>
  <c r="R11722" i="2"/>
  <c r="R11723" i="2"/>
  <c r="R11724" i="2"/>
  <c r="R11725" i="2"/>
  <c r="R11726" i="2"/>
  <c r="R11727" i="2"/>
  <c r="R11728" i="2"/>
  <c r="R11729" i="2"/>
  <c r="R11730" i="2"/>
  <c r="R11731" i="2"/>
  <c r="R11732" i="2"/>
  <c r="R11733" i="2"/>
  <c r="R11734" i="2"/>
  <c r="R11735" i="2"/>
  <c r="R11736" i="2"/>
  <c r="R11737" i="2"/>
  <c r="R11738" i="2"/>
  <c r="R11739" i="2"/>
  <c r="R11740" i="2"/>
  <c r="R11741" i="2"/>
  <c r="R11742" i="2"/>
  <c r="R11743" i="2"/>
  <c r="R11744" i="2"/>
  <c r="R11745" i="2"/>
  <c r="R11746" i="2"/>
  <c r="R11747" i="2"/>
  <c r="R11748" i="2"/>
  <c r="R11749" i="2"/>
  <c r="R11750" i="2"/>
  <c r="R11751" i="2"/>
  <c r="R11752" i="2"/>
  <c r="R11753" i="2"/>
  <c r="R11754" i="2"/>
  <c r="R11755" i="2"/>
  <c r="R11756" i="2"/>
  <c r="R11757" i="2"/>
  <c r="R11758" i="2"/>
  <c r="R11759" i="2"/>
  <c r="R11760" i="2"/>
  <c r="R11761" i="2"/>
  <c r="R11762" i="2"/>
  <c r="R11763" i="2"/>
  <c r="R11764" i="2"/>
  <c r="R11765" i="2"/>
  <c r="R11766" i="2"/>
  <c r="R11767" i="2"/>
  <c r="R11768" i="2"/>
  <c r="R11769" i="2"/>
  <c r="R11770" i="2"/>
  <c r="R11771" i="2"/>
  <c r="R11772" i="2"/>
  <c r="R11773" i="2"/>
  <c r="R11774" i="2"/>
  <c r="R11775" i="2"/>
  <c r="R11776" i="2"/>
  <c r="R11777" i="2"/>
  <c r="R11778" i="2"/>
  <c r="R11779" i="2"/>
  <c r="R11780" i="2"/>
  <c r="R11781" i="2"/>
  <c r="R11782" i="2"/>
  <c r="R11783" i="2"/>
  <c r="R11784" i="2"/>
  <c r="R11785" i="2"/>
  <c r="R11786" i="2"/>
  <c r="R11787" i="2"/>
  <c r="R11788" i="2"/>
  <c r="R11789" i="2"/>
  <c r="R11790" i="2"/>
  <c r="R11791" i="2"/>
  <c r="R11792" i="2"/>
  <c r="R11793" i="2"/>
  <c r="R11794" i="2"/>
  <c r="R11795" i="2"/>
  <c r="R11796" i="2"/>
  <c r="R11797" i="2"/>
  <c r="R11798" i="2"/>
  <c r="R11799" i="2"/>
  <c r="R11800" i="2"/>
  <c r="R11801" i="2"/>
  <c r="R11802" i="2"/>
  <c r="R11803" i="2"/>
  <c r="R11804" i="2"/>
  <c r="R11805" i="2"/>
  <c r="R11806" i="2"/>
  <c r="R11807" i="2"/>
  <c r="R11808" i="2"/>
  <c r="R11809" i="2"/>
  <c r="R11810" i="2"/>
  <c r="R11811" i="2"/>
  <c r="R11812" i="2"/>
  <c r="R11813" i="2"/>
  <c r="R11814" i="2"/>
  <c r="R11815" i="2"/>
  <c r="R11816" i="2"/>
  <c r="R11817" i="2"/>
  <c r="R11818" i="2"/>
  <c r="R11819" i="2"/>
  <c r="R11820" i="2"/>
  <c r="R11821" i="2"/>
  <c r="R11822" i="2"/>
  <c r="R11823" i="2"/>
  <c r="R11824" i="2"/>
  <c r="R11825" i="2"/>
  <c r="R11826" i="2"/>
  <c r="R11827" i="2"/>
  <c r="R11828" i="2"/>
  <c r="R11829" i="2"/>
  <c r="R11830" i="2"/>
  <c r="R11831" i="2"/>
  <c r="R11832" i="2"/>
  <c r="R11833" i="2"/>
  <c r="R11834" i="2"/>
  <c r="R11835" i="2"/>
  <c r="R11836" i="2"/>
  <c r="R11837" i="2"/>
  <c r="R11838" i="2"/>
  <c r="R11839" i="2"/>
  <c r="R11840" i="2"/>
  <c r="R11841" i="2"/>
  <c r="R11842" i="2"/>
  <c r="R11843" i="2"/>
  <c r="R11844" i="2"/>
  <c r="R11845" i="2"/>
  <c r="R11846" i="2"/>
  <c r="R11847" i="2"/>
  <c r="R11848" i="2"/>
  <c r="R11849" i="2"/>
  <c r="R11850" i="2"/>
  <c r="R11851" i="2"/>
  <c r="R11852" i="2"/>
  <c r="R11853" i="2"/>
  <c r="R11854" i="2"/>
  <c r="R11855" i="2"/>
  <c r="R11856" i="2"/>
  <c r="R11857" i="2"/>
  <c r="R11858" i="2"/>
  <c r="R11859" i="2"/>
  <c r="R11860" i="2"/>
  <c r="R11861" i="2"/>
  <c r="R11862" i="2"/>
  <c r="R11863" i="2"/>
  <c r="R11864" i="2"/>
  <c r="R11865" i="2"/>
  <c r="R11866" i="2"/>
  <c r="R11867" i="2"/>
  <c r="R11868" i="2"/>
  <c r="R11869" i="2"/>
  <c r="R11870" i="2"/>
  <c r="R11871" i="2"/>
  <c r="R11872" i="2"/>
  <c r="R11873" i="2"/>
  <c r="R11874" i="2"/>
  <c r="R11875" i="2"/>
  <c r="R11876" i="2"/>
  <c r="R11877" i="2"/>
  <c r="R11878" i="2"/>
  <c r="R11879" i="2"/>
  <c r="R11880" i="2"/>
  <c r="R11881" i="2"/>
  <c r="R11882" i="2"/>
  <c r="R11883" i="2"/>
  <c r="R11884" i="2"/>
  <c r="R11885" i="2"/>
  <c r="R11886" i="2"/>
  <c r="R11887" i="2"/>
  <c r="R11888" i="2"/>
  <c r="R11889" i="2"/>
  <c r="R11890" i="2"/>
  <c r="R11891" i="2"/>
  <c r="R11892" i="2"/>
  <c r="R11893" i="2"/>
  <c r="R11894" i="2"/>
  <c r="R11895" i="2"/>
  <c r="R11896" i="2"/>
  <c r="R11897" i="2"/>
  <c r="R11898" i="2"/>
  <c r="R11899" i="2"/>
  <c r="R11900" i="2"/>
  <c r="R11901" i="2"/>
  <c r="R11902" i="2"/>
  <c r="R11903" i="2"/>
  <c r="R11904" i="2"/>
  <c r="R11905" i="2"/>
  <c r="R11906" i="2"/>
  <c r="R11907" i="2"/>
  <c r="R11908" i="2"/>
  <c r="R11909" i="2"/>
  <c r="R11910" i="2"/>
  <c r="R11911" i="2"/>
  <c r="R11912" i="2"/>
  <c r="R11913" i="2"/>
  <c r="R11914" i="2"/>
  <c r="R11915" i="2"/>
  <c r="R11916" i="2"/>
  <c r="R11917" i="2"/>
  <c r="R11918" i="2"/>
  <c r="R11919" i="2"/>
  <c r="R11920" i="2"/>
  <c r="R11921" i="2"/>
  <c r="R11922" i="2"/>
  <c r="R11923" i="2"/>
  <c r="R11924" i="2"/>
  <c r="R11925" i="2"/>
  <c r="R11926" i="2"/>
  <c r="R11927" i="2"/>
  <c r="R11928" i="2"/>
  <c r="R11929" i="2"/>
  <c r="R11930" i="2"/>
  <c r="R11931" i="2"/>
  <c r="R11932" i="2"/>
  <c r="R11933" i="2"/>
  <c r="R11934" i="2"/>
  <c r="R11935" i="2"/>
  <c r="R11936" i="2"/>
  <c r="R11937" i="2"/>
  <c r="R11938" i="2"/>
  <c r="R11939" i="2"/>
  <c r="R11940" i="2"/>
  <c r="R11941" i="2"/>
  <c r="R11942" i="2"/>
  <c r="R11943" i="2"/>
  <c r="R11944" i="2"/>
  <c r="R11945" i="2"/>
  <c r="R11946" i="2"/>
  <c r="R11947" i="2"/>
  <c r="R11948" i="2"/>
  <c r="R11949" i="2"/>
  <c r="R11950" i="2"/>
  <c r="R11951" i="2"/>
  <c r="R11952" i="2"/>
  <c r="R11953" i="2"/>
  <c r="R11954" i="2"/>
  <c r="R11955" i="2"/>
  <c r="R11956" i="2"/>
  <c r="R11957" i="2"/>
  <c r="R11958" i="2"/>
  <c r="R11959" i="2"/>
  <c r="R11960" i="2"/>
  <c r="R11961" i="2"/>
  <c r="R11962" i="2"/>
  <c r="R11963" i="2"/>
  <c r="R11964" i="2"/>
  <c r="R11965" i="2"/>
  <c r="R11966" i="2"/>
  <c r="R11967" i="2"/>
  <c r="R11968" i="2"/>
  <c r="R11969" i="2"/>
  <c r="R11970" i="2"/>
  <c r="R11971" i="2"/>
  <c r="R11972" i="2"/>
  <c r="R11973" i="2"/>
  <c r="R11974" i="2"/>
  <c r="R11975" i="2"/>
  <c r="R11976" i="2"/>
  <c r="R11977" i="2"/>
  <c r="R11978" i="2"/>
  <c r="R11979" i="2"/>
  <c r="R11980" i="2"/>
  <c r="R11981" i="2"/>
  <c r="R11982" i="2"/>
  <c r="R11983" i="2"/>
  <c r="R11984" i="2"/>
  <c r="R11985" i="2"/>
  <c r="R11986" i="2"/>
  <c r="R11987" i="2"/>
  <c r="R11988" i="2"/>
  <c r="R11989" i="2"/>
  <c r="R11990" i="2"/>
  <c r="R11991" i="2"/>
  <c r="R11992" i="2"/>
  <c r="R11993" i="2"/>
  <c r="R11994" i="2"/>
  <c r="R11995" i="2"/>
  <c r="R11996" i="2"/>
  <c r="R11997" i="2"/>
  <c r="R11998" i="2"/>
  <c r="R11999" i="2"/>
  <c r="R12000" i="2"/>
  <c r="R12001" i="2"/>
  <c r="R12002" i="2"/>
  <c r="R12003" i="2"/>
  <c r="R12004" i="2"/>
  <c r="R12005" i="2"/>
  <c r="R12006" i="2"/>
  <c r="R12007" i="2"/>
  <c r="R12008" i="2"/>
  <c r="R12009" i="2"/>
  <c r="R12010" i="2"/>
  <c r="R12011" i="2"/>
  <c r="R12012" i="2"/>
  <c r="R12013" i="2"/>
  <c r="R12014" i="2"/>
  <c r="R12015" i="2"/>
  <c r="R12016" i="2"/>
  <c r="R12017" i="2"/>
  <c r="R12018" i="2"/>
  <c r="R12019" i="2"/>
  <c r="R12020" i="2"/>
  <c r="R12021" i="2"/>
  <c r="R12022" i="2"/>
  <c r="R12023" i="2"/>
  <c r="R12024" i="2"/>
  <c r="R12025" i="2"/>
  <c r="R12026" i="2"/>
  <c r="R12027" i="2"/>
  <c r="R12028" i="2"/>
  <c r="R12029" i="2"/>
  <c r="R12030" i="2"/>
  <c r="R12031" i="2"/>
  <c r="R12032" i="2"/>
  <c r="R12033" i="2"/>
  <c r="R12034" i="2"/>
  <c r="R12035" i="2"/>
  <c r="R12036" i="2"/>
  <c r="R12037" i="2"/>
  <c r="R12038" i="2"/>
  <c r="R12039" i="2"/>
  <c r="R12040" i="2"/>
  <c r="R12041" i="2"/>
  <c r="R12042" i="2"/>
  <c r="R12043" i="2"/>
  <c r="R12044" i="2"/>
  <c r="R12045" i="2"/>
  <c r="R12046" i="2"/>
  <c r="R12047" i="2"/>
  <c r="R12048" i="2"/>
  <c r="R12049" i="2"/>
  <c r="R12050" i="2"/>
  <c r="R12051" i="2"/>
  <c r="R12052" i="2"/>
  <c r="R12053" i="2"/>
  <c r="R12054" i="2"/>
  <c r="R12055" i="2"/>
  <c r="R12056" i="2"/>
  <c r="R12057" i="2"/>
  <c r="R12058" i="2"/>
  <c r="R12059" i="2"/>
  <c r="R12060" i="2"/>
  <c r="R12061" i="2"/>
  <c r="R12062" i="2"/>
  <c r="R12063" i="2"/>
  <c r="R12064" i="2"/>
  <c r="R12065" i="2"/>
  <c r="R12066" i="2"/>
  <c r="R12067" i="2"/>
  <c r="R12068" i="2"/>
  <c r="R12069" i="2"/>
  <c r="R12070" i="2"/>
  <c r="R12071" i="2"/>
  <c r="R12072" i="2"/>
  <c r="R12073" i="2"/>
  <c r="R12074" i="2"/>
  <c r="R12075" i="2"/>
  <c r="R12076" i="2"/>
  <c r="R12077" i="2"/>
  <c r="R12078" i="2"/>
  <c r="R12079" i="2"/>
  <c r="R12080" i="2"/>
  <c r="R12081" i="2"/>
  <c r="R12082" i="2"/>
  <c r="R12083" i="2"/>
  <c r="R12084" i="2"/>
  <c r="R12085" i="2"/>
  <c r="R12086" i="2"/>
  <c r="R12087" i="2"/>
  <c r="R12088" i="2"/>
  <c r="R12089" i="2"/>
  <c r="R12090" i="2"/>
  <c r="R12091" i="2"/>
  <c r="R12092" i="2"/>
  <c r="R12093" i="2"/>
  <c r="R12094" i="2"/>
  <c r="R12095" i="2"/>
  <c r="R12096" i="2"/>
  <c r="R12097" i="2"/>
  <c r="R12098" i="2"/>
  <c r="R12099" i="2"/>
  <c r="R12100" i="2"/>
  <c r="R12101" i="2"/>
  <c r="R12102" i="2"/>
  <c r="R12103" i="2"/>
  <c r="R12104" i="2"/>
  <c r="R12105" i="2"/>
  <c r="R12106" i="2"/>
  <c r="R12107" i="2"/>
  <c r="R12108" i="2"/>
  <c r="R12109" i="2"/>
  <c r="R12110" i="2"/>
  <c r="R12111" i="2"/>
  <c r="R12112" i="2"/>
  <c r="R12113" i="2"/>
  <c r="R12114" i="2"/>
  <c r="R12115" i="2"/>
  <c r="R12116" i="2"/>
  <c r="R12117" i="2"/>
  <c r="R12118" i="2"/>
  <c r="R12119" i="2"/>
  <c r="R12120" i="2"/>
  <c r="R12121" i="2"/>
  <c r="R12122" i="2"/>
  <c r="R12123" i="2"/>
  <c r="R12124" i="2"/>
  <c r="R12125" i="2"/>
  <c r="R12126" i="2"/>
  <c r="R12127" i="2"/>
  <c r="R12128" i="2"/>
  <c r="R12129" i="2"/>
  <c r="R12130" i="2"/>
  <c r="R12131" i="2"/>
  <c r="R12132" i="2"/>
  <c r="R12133" i="2"/>
  <c r="R12134" i="2"/>
  <c r="R12135" i="2"/>
  <c r="R12136" i="2"/>
  <c r="R12137" i="2"/>
  <c r="R12138" i="2"/>
  <c r="R12139" i="2"/>
  <c r="R12140" i="2"/>
  <c r="R12141" i="2"/>
  <c r="R12142" i="2"/>
  <c r="R12143" i="2"/>
  <c r="R12144" i="2"/>
  <c r="R12145" i="2"/>
  <c r="R12146" i="2"/>
  <c r="R12147" i="2"/>
  <c r="R12148" i="2"/>
  <c r="R12149" i="2"/>
  <c r="R12150" i="2"/>
  <c r="R12151" i="2"/>
  <c r="R12152" i="2"/>
  <c r="R12153" i="2"/>
  <c r="R12154" i="2"/>
  <c r="R12155" i="2"/>
  <c r="R12156" i="2"/>
  <c r="R12157" i="2"/>
  <c r="R12158" i="2"/>
  <c r="R12159" i="2"/>
  <c r="R12160" i="2"/>
  <c r="R12161" i="2"/>
  <c r="R12162" i="2"/>
  <c r="R12163" i="2"/>
  <c r="R12164" i="2"/>
  <c r="R12165" i="2"/>
  <c r="R12166" i="2"/>
  <c r="R12167" i="2"/>
  <c r="R12168" i="2"/>
  <c r="R12169" i="2"/>
  <c r="R12170" i="2"/>
  <c r="R12171" i="2"/>
  <c r="R12172" i="2"/>
  <c r="R12173" i="2"/>
  <c r="R12174" i="2"/>
  <c r="R12175" i="2"/>
  <c r="R12176" i="2"/>
  <c r="R12177" i="2"/>
  <c r="R12178" i="2"/>
  <c r="R12179" i="2"/>
  <c r="R12180" i="2"/>
  <c r="R12181" i="2"/>
  <c r="R12182" i="2"/>
  <c r="R12183" i="2"/>
  <c r="R12184" i="2"/>
  <c r="R12185" i="2"/>
  <c r="R12186" i="2"/>
  <c r="R12187" i="2"/>
  <c r="R12188" i="2"/>
  <c r="R12189" i="2"/>
  <c r="R12190" i="2"/>
  <c r="R12191" i="2"/>
  <c r="R12192" i="2"/>
  <c r="R12193" i="2"/>
  <c r="R12194" i="2"/>
  <c r="R12195" i="2"/>
  <c r="R12196" i="2"/>
  <c r="R12197" i="2"/>
  <c r="R12198" i="2"/>
  <c r="R12199" i="2"/>
  <c r="R12200" i="2"/>
  <c r="R12201" i="2"/>
  <c r="R12202" i="2"/>
  <c r="R12203" i="2"/>
  <c r="R12204" i="2"/>
  <c r="R12205" i="2"/>
  <c r="R12206" i="2"/>
  <c r="R12207" i="2"/>
  <c r="R12208" i="2"/>
  <c r="R12209" i="2"/>
  <c r="R12210" i="2"/>
  <c r="R12211" i="2"/>
  <c r="R12212" i="2"/>
  <c r="R12213" i="2"/>
  <c r="R12214" i="2"/>
  <c r="R12215" i="2"/>
  <c r="R12216" i="2"/>
  <c r="R12217" i="2"/>
  <c r="R12218" i="2"/>
  <c r="R12219" i="2"/>
  <c r="R12220" i="2"/>
  <c r="R12221" i="2"/>
  <c r="R12222" i="2"/>
  <c r="R12223" i="2"/>
  <c r="R12224" i="2"/>
  <c r="R12225" i="2"/>
  <c r="R12226" i="2"/>
  <c r="R12227" i="2"/>
  <c r="R12228" i="2"/>
  <c r="R12229" i="2"/>
  <c r="R12230" i="2"/>
  <c r="R12231" i="2"/>
  <c r="R12232" i="2"/>
  <c r="R12233" i="2"/>
  <c r="R12234" i="2"/>
  <c r="R12235" i="2"/>
  <c r="R12236" i="2"/>
  <c r="R12237" i="2"/>
  <c r="R12238" i="2"/>
  <c r="R12239" i="2"/>
  <c r="R12240" i="2"/>
  <c r="R12241" i="2"/>
  <c r="R12242" i="2"/>
  <c r="R12243" i="2"/>
  <c r="R12244" i="2"/>
  <c r="R12245" i="2"/>
  <c r="R12246" i="2"/>
  <c r="R12247" i="2"/>
  <c r="R12248" i="2"/>
  <c r="R12249" i="2"/>
  <c r="R12250" i="2"/>
  <c r="R12251" i="2"/>
  <c r="R12252" i="2"/>
  <c r="R12253" i="2"/>
  <c r="R12254" i="2"/>
  <c r="R12255" i="2"/>
  <c r="R12256" i="2"/>
  <c r="R12257" i="2"/>
  <c r="R12258" i="2"/>
  <c r="R12259" i="2"/>
  <c r="R12260" i="2"/>
  <c r="R12261" i="2"/>
  <c r="R12262" i="2"/>
  <c r="R12263" i="2"/>
  <c r="R12264" i="2"/>
  <c r="R12265" i="2"/>
  <c r="R12266" i="2"/>
  <c r="R12267" i="2"/>
  <c r="R12268" i="2"/>
  <c r="R12269" i="2"/>
  <c r="R12270" i="2"/>
  <c r="R12271" i="2"/>
  <c r="R12272" i="2"/>
  <c r="R12273" i="2"/>
  <c r="R12274" i="2"/>
  <c r="R12275" i="2"/>
  <c r="R12276" i="2"/>
  <c r="R12277" i="2"/>
  <c r="R12278" i="2"/>
  <c r="R12279" i="2"/>
  <c r="R12280" i="2"/>
  <c r="R12281" i="2"/>
  <c r="R12282" i="2"/>
  <c r="R12283" i="2"/>
  <c r="R12284" i="2"/>
  <c r="R12285" i="2"/>
  <c r="R12286" i="2"/>
  <c r="R12287" i="2"/>
  <c r="R12288" i="2"/>
  <c r="R12289" i="2"/>
  <c r="R12290" i="2"/>
  <c r="R12291" i="2"/>
  <c r="R12292" i="2"/>
  <c r="R12293" i="2"/>
  <c r="R12294" i="2"/>
  <c r="R12295" i="2"/>
  <c r="R12296" i="2"/>
  <c r="R12297" i="2"/>
  <c r="R12298" i="2"/>
  <c r="R12299" i="2"/>
  <c r="R12300" i="2"/>
  <c r="R12301" i="2"/>
  <c r="R12302" i="2"/>
  <c r="R12303" i="2"/>
  <c r="R12304" i="2"/>
  <c r="R12305" i="2"/>
  <c r="R12306" i="2"/>
  <c r="R12307" i="2"/>
  <c r="R12308" i="2"/>
  <c r="R12309" i="2"/>
  <c r="R12310" i="2"/>
  <c r="R12311" i="2"/>
  <c r="R12312" i="2"/>
  <c r="R12313" i="2"/>
  <c r="R12314" i="2"/>
  <c r="R12315" i="2"/>
  <c r="R12316" i="2"/>
  <c r="R12317" i="2"/>
  <c r="R12318" i="2"/>
  <c r="R12319" i="2"/>
  <c r="R12320" i="2"/>
  <c r="R12321" i="2"/>
  <c r="R12322" i="2"/>
  <c r="R12323" i="2"/>
  <c r="R12324" i="2"/>
  <c r="R12325" i="2"/>
  <c r="R12326" i="2"/>
  <c r="R12327" i="2"/>
  <c r="R12328" i="2"/>
  <c r="R12329" i="2"/>
  <c r="R12330" i="2"/>
  <c r="R12331" i="2"/>
  <c r="R12332" i="2"/>
  <c r="R12333" i="2"/>
  <c r="R12334" i="2"/>
  <c r="R12335" i="2"/>
  <c r="R12336" i="2"/>
  <c r="R12337" i="2"/>
  <c r="R12338" i="2"/>
  <c r="R12339" i="2"/>
  <c r="R12340" i="2"/>
  <c r="R12341" i="2"/>
  <c r="R12342" i="2"/>
  <c r="R12343" i="2"/>
  <c r="R12344" i="2"/>
  <c r="R12345" i="2"/>
  <c r="R12346" i="2"/>
  <c r="R12347" i="2"/>
  <c r="R12348" i="2"/>
  <c r="R12349" i="2"/>
  <c r="R12350" i="2"/>
  <c r="R12351" i="2"/>
  <c r="R12352" i="2"/>
  <c r="R12353" i="2"/>
  <c r="R12354" i="2"/>
  <c r="R12355" i="2"/>
  <c r="R12356" i="2"/>
  <c r="R12357" i="2"/>
  <c r="R12358" i="2"/>
  <c r="R12359" i="2"/>
  <c r="R12360" i="2"/>
  <c r="R12361" i="2"/>
  <c r="R12362" i="2"/>
  <c r="R12363" i="2"/>
  <c r="R12364" i="2"/>
  <c r="R12365" i="2"/>
  <c r="R12366" i="2"/>
  <c r="R12367" i="2"/>
  <c r="R12368" i="2"/>
  <c r="R12369" i="2"/>
  <c r="R12370" i="2"/>
  <c r="R12371" i="2"/>
  <c r="R12372" i="2"/>
  <c r="R12373" i="2"/>
  <c r="R12374" i="2"/>
  <c r="R12375" i="2"/>
  <c r="R12376" i="2"/>
  <c r="R12377" i="2"/>
  <c r="R12378" i="2"/>
  <c r="R12379" i="2"/>
  <c r="R12380" i="2"/>
  <c r="R12381" i="2"/>
  <c r="R12382" i="2"/>
  <c r="R12383" i="2"/>
  <c r="R12384" i="2"/>
  <c r="R12385" i="2"/>
  <c r="R12386" i="2"/>
  <c r="R12387" i="2"/>
  <c r="R12388" i="2"/>
  <c r="R12389" i="2"/>
  <c r="R12390" i="2"/>
  <c r="R12391" i="2"/>
  <c r="R12392" i="2"/>
  <c r="R12393" i="2"/>
  <c r="R12394" i="2"/>
  <c r="R12395" i="2"/>
  <c r="R12396" i="2"/>
  <c r="R12397" i="2"/>
  <c r="R12398" i="2"/>
  <c r="R12399" i="2"/>
  <c r="R12400" i="2"/>
  <c r="R12401" i="2"/>
  <c r="R12402" i="2"/>
  <c r="R12403" i="2"/>
  <c r="R12404" i="2"/>
  <c r="R12405" i="2"/>
  <c r="R12406" i="2"/>
  <c r="R12407" i="2"/>
  <c r="R12408" i="2"/>
  <c r="R12409" i="2"/>
  <c r="R12410" i="2"/>
  <c r="R12411" i="2"/>
  <c r="R12412" i="2"/>
  <c r="R12413" i="2"/>
  <c r="R12414" i="2"/>
  <c r="R12415" i="2"/>
  <c r="R12416" i="2"/>
  <c r="R12417" i="2"/>
  <c r="R12418" i="2"/>
  <c r="R12419" i="2"/>
  <c r="R12420" i="2"/>
  <c r="R12421" i="2"/>
  <c r="R12422" i="2"/>
  <c r="R12423" i="2"/>
  <c r="R12424" i="2"/>
  <c r="R12425" i="2"/>
  <c r="R12426" i="2"/>
  <c r="R12427" i="2"/>
  <c r="R12428" i="2"/>
  <c r="R12429" i="2"/>
  <c r="R12430" i="2"/>
  <c r="R12431" i="2"/>
  <c r="R12432" i="2"/>
  <c r="R12433" i="2"/>
  <c r="R12434" i="2"/>
  <c r="R12435" i="2"/>
  <c r="R12436" i="2"/>
  <c r="R12437" i="2"/>
  <c r="R12438" i="2"/>
  <c r="R12439" i="2"/>
  <c r="R12440" i="2"/>
  <c r="R12441" i="2"/>
  <c r="R12442" i="2"/>
  <c r="R12443" i="2"/>
  <c r="R12444" i="2"/>
  <c r="R12445" i="2"/>
  <c r="R12446" i="2"/>
  <c r="R12447" i="2"/>
  <c r="R12448" i="2"/>
  <c r="R12449" i="2"/>
  <c r="R12450" i="2"/>
  <c r="R12451" i="2"/>
  <c r="R12452" i="2"/>
  <c r="R12453" i="2"/>
  <c r="R12454" i="2"/>
  <c r="R12455" i="2"/>
  <c r="R12456" i="2"/>
  <c r="R12457" i="2"/>
  <c r="R12458" i="2"/>
  <c r="R12459" i="2"/>
  <c r="R12460" i="2"/>
  <c r="R12461" i="2"/>
  <c r="R12462" i="2"/>
  <c r="R12463" i="2"/>
  <c r="R12464" i="2"/>
  <c r="R12465" i="2"/>
  <c r="R12466" i="2"/>
  <c r="R12467" i="2"/>
  <c r="R12468" i="2"/>
  <c r="R12469" i="2"/>
  <c r="R12470" i="2"/>
  <c r="R12471" i="2"/>
  <c r="R12472" i="2"/>
  <c r="R12473" i="2"/>
  <c r="R12474" i="2"/>
  <c r="R12475" i="2"/>
  <c r="R12476" i="2"/>
  <c r="R12477" i="2"/>
  <c r="R12478" i="2"/>
  <c r="R12479" i="2"/>
  <c r="R12480" i="2"/>
  <c r="R12481" i="2"/>
  <c r="R12482" i="2"/>
  <c r="R12483" i="2"/>
  <c r="R12484" i="2"/>
  <c r="R12485" i="2"/>
  <c r="R12486" i="2"/>
  <c r="R12487" i="2"/>
  <c r="R12488" i="2"/>
  <c r="R12489" i="2"/>
  <c r="R12490" i="2"/>
  <c r="R12491" i="2"/>
  <c r="R12492" i="2"/>
  <c r="R12493" i="2"/>
  <c r="R12494" i="2"/>
  <c r="R12495" i="2"/>
  <c r="R12496" i="2"/>
  <c r="R12497" i="2"/>
  <c r="R12498" i="2"/>
  <c r="R12499" i="2"/>
  <c r="R12500" i="2"/>
  <c r="R12501" i="2"/>
  <c r="R12502" i="2"/>
  <c r="R12503" i="2"/>
  <c r="R12504" i="2"/>
  <c r="R12505" i="2"/>
  <c r="R12506" i="2"/>
  <c r="R12507" i="2"/>
  <c r="R12508" i="2"/>
  <c r="R12509" i="2"/>
  <c r="R12510" i="2"/>
  <c r="R12511" i="2"/>
  <c r="R12512" i="2"/>
  <c r="R12513" i="2"/>
  <c r="R12514" i="2"/>
  <c r="R12515" i="2"/>
  <c r="R12516" i="2"/>
  <c r="R12517" i="2"/>
  <c r="R12518" i="2"/>
  <c r="R12519" i="2"/>
  <c r="R12520" i="2"/>
  <c r="R12521" i="2"/>
  <c r="R12522" i="2"/>
  <c r="R12523" i="2"/>
  <c r="R12524" i="2"/>
  <c r="R12525" i="2"/>
  <c r="R12526" i="2"/>
  <c r="R12527" i="2"/>
  <c r="R12528" i="2"/>
  <c r="R12529" i="2"/>
  <c r="R12530" i="2"/>
  <c r="R12531" i="2"/>
  <c r="R12532" i="2"/>
  <c r="R12533" i="2"/>
  <c r="R12534" i="2"/>
  <c r="R12535" i="2"/>
  <c r="R12536" i="2"/>
  <c r="R12537" i="2"/>
  <c r="R12538" i="2"/>
  <c r="R12539" i="2"/>
  <c r="R12540" i="2"/>
  <c r="R12541" i="2"/>
  <c r="R12542" i="2"/>
  <c r="R12543" i="2"/>
  <c r="R12544" i="2"/>
  <c r="R12545" i="2"/>
  <c r="R12546" i="2"/>
  <c r="R12547" i="2"/>
  <c r="R12548" i="2"/>
  <c r="R12549" i="2"/>
  <c r="R12550" i="2"/>
  <c r="R12551" i="2"/>
  <c r="R12552" i="2"/>
  <c r="R12553" i="2"/>
  <c r="R12554" i="2"/>
  <c r="R12555" i="2"/>
  <c r="R12556" i="2"/>
  <c r="R12557" i="2"/>
  <c r="R12558" i="2"/>
  <c r="R12559" i="2"/>
  <c r="R12560" i="2"/>
  <c r="R12561" i="2"/>
  <c r="R12562" i="2"/>
  <c r="R12563" i="2"/>
  <c r="R12564" i="2"/>
  <c r="R12565" i="2"/>
  <c r="R12566" i="2"/>
  <c r="R12567" i="2"/>
  <c r="R12568" i="2"/>
  <c r="R12569" i="2"/>
  <c r="R12570" i="2"/>
  <c r="R12571" i="2"/>
  <c r="R12572" i="2"/>
  <c r="R12573" i="2"/>
  <c r="R12574" i="2"/>
  <c r="R12575" i="2"/>
  <c r="R12576" i="2"/>
  <c r="R12577" i="2"/>
  <c r="R12578" i="2"/>
  <c r="R12579" i="2"/>
  <c r="R12580" i="2"/>
  <c r="R12581" i="2"/>
  <c r="R12582" i="2"/>
  <c r="R12583" i="2"/>
  <c r="R12584" i="2"/>
  <c r="R12585" i="2"/>
  <c r="R12586" i="2"/>
  <c r="R12587" i="2"/>
  <c r="R12588" i="2"/>
  <c r="R12589" i="2"/>
  <c r="R12590" i="2"/>
  <c r="R12591" i="2"/>
  <c r="R12592" i="2"/>
  <c r="R12593" i="2"/>
  <c r="R12594" i="2"/>
  <c r="R12595" i="2"/>
  <c r="R12596" i="2"/>
  <c r="R12597" i="2"/>
  <c r="R12598" i="2"/>
  <c r="R12599" i="2"/>
  <c r="R12600" i="2"/>
  <c r="R12601" i="2"/>
  <c r="R12602" i="2"/>
  <c r="R12603" i="2"/>
  <c r="R12604" i="2"/>
  <c r="R12605" i="2"/>
  <c r="R12606" i="2"/>
  <c r="R12607" i="2"/>
  <c r="R12608" i="2"/>
  <c r="R12609" i="2"/>
  <c r="R12610" i="2"/>
  <c r="R12611" i="2"/>
  <c r="R12612" i="2"/>
  <c r="R12613" i="2"/>
  <c r="R12614" i="2"/>
  <c r="R12615" i="2"/>
  <c r="R12616" i="2"/>
  <c r="R12617" i="2"/>
  <c r="R12618" i="2"/>
  <c r="R12619" i="2"/>
  <c r="R12620" i="2"/>
  <c r="R12621" i="2"/>
  <c r="R12622" i="2"/>
  <c r="R12623" i="2"/>
  <c r="R12624" i="2"/>
  <c r="R12625" i="2"/>
  <c r="R12626" i="2"/>
  <c r="R12627" i="2"/>
  <c r="R12628" i="2"/>
  <c r="R12629" i="2"/>
  <c r="R12630" i="2"/>
  <c r="R12631" i="2"/>
  <c r="R12632" i="2"/>
  <c r="R12633" i="2"/>
  <c r="R12634" i="2"/>
  <c r="R12635" i="2"/>
  <c r="R12636" i="2"/>
  <c r="R12637" i="2"/>
  <c r="R12638" i="2"/>
  <c r="R12639" i="2"/>
  <c r="R12640" i="2"/>
  <c r="R12641" i="2"/>
  <c r="R12642" i="2"/>
  <c r="R12643" i="2"/>
  <c r="R12644" i="2"/>
  <c r="R12645" i="2"/>
  <c r="R12646" i="2"/>
  <c r="R12647" i="2"/>
  <c r="R12648" i="2"/>
  <c r="R12649" i="2"/>
  <c r="R12650" i="2"/>
  <c r="R12651" i="2"/>
  <c r="R12652" i="2"/>
  <c r="R12653" i="2"/>
  <c r="R12654" i="2"/>
  <c r="R12655" i="2"/>
  <c r="R12656" i="2"/>
  <c r="R12657" i="2"/>
  <c r="R12658" i="2"/>
  <c r="R12659" i="2"/>
  <c r="R12660" i="2"/>
  <c r="R12661" i="2"/>
  <c r="R12662" i="2"/>
  <c r="R12663" i="2"/>
  <c r="R12664" i="2"/>
  <c r="R12665" i="2"/>
  <c r="R12666" i="2"/>
  <c r="R12667" i="2"/>
  <c r="R12668" i="2"/>
  <c r="R12669" i="2"/>
  <c r="R12670" i="2"/>
  <c r="R12671" i="2"/>
  <c r="R12672" i="2"/>
  <c r="R12673" i="2"/>
  <c r="R12674" i="2"/>
  <c r="R12675" i="2"/>
  <c r="R12676" i="2"/>
  <c r="R12677" i="2"/>
  <c r="R12678" i="2"/>
  <c r="R12679" i="2"/>
  <c r="R12680" i="2"/>
  <c r="R12681" i="2"/>
  <c r="R12682" i="2"/>
  <c r="R12683" i="2"/>
  <c r="R12684" i="2"/>
  <c r="R12685" i="2"/>
  <c r="R12686" i="2"/>
  <c r="R12687" i="2"/>
  <c r="R12688" i="2"/>
  <c r="R12689" i="2"/>
  <c r="R12690" i="2"/>
  <c r="R12691" i="2"/>
  <c r="R12692" i="2"/>
  <c r="R12693" i="2"/>
  <c r="R12694" i="2"/>
  <c r="R12695" i="2"/>
  <c r="R12696" i="2"/>
  <c r="R12697" i="2"/>
  <c r="R12698" i="2"/>
  <c r="R12699" i="2"/>
  <c r="R12700" i="2"/>
  <c r="R12701" i="2"/>
  <c r="R12702" i="2"/>
  <c r="R12703" i="2"/>
  <c r="R12704" i="2"/>
  <c r="R12705" i="2"/>
  <c r="R12706" i="2"/>
  <c r="R12707" i="2"/>
  <c r="R12708" i="2"/>
  <c r="R12709" i="2"/>
  <c r="R12710" i="2"/>
  <c r="R12711" i="2"/>
  <c r="R12712" i="2"/>
  <c r="R12713" i="2"/>
  <c r="R12714" i="2"/>
  <c r="R12715" i="2"/>
  <c r="R12716" i="2"/>
  <c r="R12717" i="2"/>
  <c r="R12718" i="2"/>
  <c r="R12719" i="2"/>
  <c r="R12720" i="2"/>
  <c r="R12721" i="2"/>
  <c r="R12722" i="2"/>
  <c r="R12723" i="2"/>
  <c r="R12724" i="2"/>
  <c r="R12725" i="2"/>
  <c r="R12726" i="2"/>
  <c r="R12727" i="2"/>
  <c r="R12728" i="2"/>
  <c r="R12729" i="2"/>
  <c r="R12730" i="2"/>
  <c r="R12731" i="2"/>
  <c r="R12732" i="2"/>
  <c r="R12733" i="2"/>
  <c r="R12734" i="2"/>
  <c r="R12735" i="2"/>
  <c r="R12736" i="2"/>
  <c r="R12737" i="2"/>
  <c r="R12738" i="2"/>
  <c r="R12739" i="2"/>
  <c r="R12740" i="2"/>
  <c r="R12741" i="2"/>
  <c r="R12742" i="2"/>
  <c r="R12743" i="2"/>
  <c r="R12744" i="2"/>
  <c r="R12745" i="2"/>
  <c r="R12746" i="2"/>
  <c r="R12747" i="2"/>
  <c r="R12748" i="2"/>
  <c r="R12749" i="2"/>
  <c r="R12750" i="2"/>
  <c r="R12751" i="2"/>
  <c r="R12752" i="2"/>
  <c r="R12753" i="2"/>
  <c r="R12754" i="2"/>
  <c r="R12755" i="2"/>
  <c r="R12756" i="2"/>
  <c r="R12757" i="2"/>
  <c r="R12758" i="2"/>
  <c r="R12759" i="2"/>
  <c r="R12760" i="2"/>
  <c r="R12761" i="2"/>
  <c r="R12762" i="2"/>
  <c r="R12763" i="2"/>
  <c r="R12764" i="2"/>
  <c r="R12765" i="2"/>
  <c r="R12766" i="2"/>
  <c r="R12767" i="2"/>
  <c r="R12768" i="2"/>
  <c r="R12769" i="2"/>
  <c r="R12770" i="2"/>
  <c r="R12771" i="2"/>
  <c r="R12772" i="2"/>
  <c r="R12773" i="2"/>
  <c r="R12774" i="2"/>
  <c r="R12775" i="2"/>
  <c r="R12776" i="2"/>
  <c r="R12777" i="2"/>
  <c r="R12778" i="2"/>
  <c r="R12779" i="2"/>
  <c r="R12780" i="2"/>
  <c r="R12781" i="2"/>
  <c r="R12782" i="2"/>
  <c r="R12783" i="2"/>
  <c r="R12784" i="2"/>
  <c r="R12785" i="2"/>
  <c r="R12786" i="2"/>
  <c r="R12787" i="2"/>
  <c r="R12788" i="2"/>
  <c r="R12789" i="2"/>
  <c r="R12790" i="2"/>
  <c r="R12791" i="2"/>
  <c r="R12792" i="2"/>
  <c r="R12793" i="2"/>
  <c r="R12794" i="2"/>
  <c r="R12795" i="2"/>
  <c r="R12796" i="2"/>
  <c r="R12797" i="2"/>
  <c r="R12798" i="2"/>
  <c r="R12799" i="2"/>
  <c r="R12800" i="2"/>
  <c r="R12801" i="2"/>
  <c r="R12802" i="2"/>
  <c r="R12803" i="2"/>
  <c r="R12804" i="2"/>
  <c r="R12805" i="2"/>
  <c r="R12806" i="2"/>
  <c r="R12807" i="2"/>
  <c r="R12808" i="2"/>
  <c r="R12809" i="2"/>
  <c r="R12810" i="2"/>
  <c r="R12811" i="2"/>
  <c r="R12812" i="2"/>
  <c r="R12813" i="2"/>
  <c r="R12814" i="2"/>
  <c r="R12815" i="2"/>
  <c r="R12816" i="2"/>
  <c r="R12817" i="2"/>
  <c r="R12818" i="2"/>
  <c r="R12819" i="2"/>
  <c r="R12820" i="2"/>
  <c r="R12821" i="2"/>
  <c r="R12822" i="2"/>
  <c r="R12823" i="2"/>
  <c r="R12824" i="2"/>
  <c r="R12825" i="2"/>
  <c r="R12826" i="2"/>
  <c r="R12827" i="2"/>
  <c r="R12828" i="2"/>
  <c r="R12829" i="2"/>
  <c r="R12830" i="2"/>
  <c r="R12831" i="2"/>
  <c r="R12832" i="2"/>
  <c r="R12833" i="2"/>
  <c r="R12834" i="2"/>
  <c r="R12835" i="2"/>
  <c r="R12836" i="2"/>
  <c r="R12837" i="2"/>
  <c r="R12838" i="2"/>
  <c r="R12839" i="2"/>
  <c r="R12840" i="2"/>
  <c r="R12841" i="2"/>
  <c r="R12842" i="2"/>
  <c r="R12843" i="2"/>
  <c r="R12844" i="2"/>
  <c r="R12845" i="2"/>
  <c r="R12846" i="2"/>
  <c r="R12847" i="2"/>
  <c r="R12848" i="2"/>
  <c r="R12849" i="2"/>
  <c r="R12850" i="2"/>
  <c r="R12851" i="2"/>
  <c r="R12852" i="2"/>
  <c r="R12853" i="2"/>
  <c r="R12854" i="2"/>
  <c r="R12855" i="2"/>
  <c r="R12856" i="2"/>
  <c r="R12857" i="2"/>
  <c r="R12858" i="2"/>
  <c r="R12859" i="2"/>
  <c r="R12860" i="2"/>
  <c r="R12861" i="2"/>
  <c r="R12862" i="2"/>
  <c r="R12863" i="2"/>
  <c r="R12864" i="2"/>
  <c r="R12865" i="2"/>
  <c r="R12866" i="2"/>
  <c r="R12867" i="2"/>
  <c r="R12868" i="2"/>
  <c r="R12869" i="2"/>
  <c r="R12870" i="2"/>
  <c r="R12871" i="2"/>
  <c r="R12872" i="2"/>
  <c r="R12873" i="2"/>
  <c r="R12874" i="2"/>
  <c r="R12875" i="2"/>
  <c r="R12876" i="2"/>
  <c r="R12877" i="2"/>
  <c r="R12878" i="2"/>
  <c r="R12879" i="2"/>
  <c r="R12880" i="2"/>
  <c r="R12881" i="2"/>
  <c r="R12882" i="2"/>
  <c r="R12883" i="2"/>
  <c r="R12884" i="2"/>
  <c r="R12885" i="2"/>
  <c r="R12886" i="2"/>
  <c r="R12887" i="2"/>
  <c r="R12888" i="2"/>
  <c r="R12889" i="2"/>
  <c r="R12890" i="2"/>
  <c r="R12891" i="2"/>
  <c r="R12892" i="2"/>
  <c r="R12893" i="2"/>
  <c r="R12894" i="2"/>
  <c r="R12895" i="2"/>
  <c r="R12896" i="2"/>
  <c r="R12897" i="2"/>
  <c r="R12898" i="2"/>
  <c r="R12899" i="2"/>
  <c r="R12900" i="2"/>
  <c r="R12901" i="2"/>
  <c r="R12902" i="2"/>
  <c r="R12903" i="2"/>
  <c r="R12904" i="2"/>
  <c r="R12905" i="2"/>
  <c r="R12906" i="2"/>
  <c r="R12907" i="2"/>
  <c r="R12908" i="2"/>
  <c r="R12909" i="2"/>
  <c r="R12910" i="2"/>
  <c r="R12911" i="2"/>
  <c r="R12912" i="2"/>
  <c r="R12913" i="2"/>
  <c r="R12914" i="2"/>
  <c r="R12915" i="2"/>
  <c r="R12916" i="2"/>
  <c r="R12917" i="2"/>
  <c r="R12918" i="2"/>
  <c r="R12919" i="2"/>
  <c r="R12920" i="2"/>
  <c r="R12921" i="2"/>
  <c r="R12922" i="2"/>
  <c r="R12923" i="2"/>
  <c r="R12924" i="2"/>
  <c r="R12925" i="2"/>
  <c r="R12926" i="2"/>
  <c r="R12927" i="2"/>
  <c r="R12928" i="2"/>
  <c r="R12929" i="2"/>
  <c r="R12930" i="2"/>
  <c r="R12931" i="2"/>
  <c r="R12932" i="2"/>
  <c r="R12933" i="2"/>
  <c r="R12934" i="2"/>
  <c r="R12935" i="2"/>
  <c r="R12936" i="2"/>
  <c r="R12937" i="2"/>
  <c r="R12938" i="2"/>
  <c r="R12939" i="2"/>
  <c r="R12940" i="2"/>
  <c r="R12941" i="2"/>
  <c r="R12942" i="2"/>
  <c r="R12943" i="2"/>
  <c r="R12944" i="2"/>
  <c r="R12945" i="2"/>
  <c r="R12946" i="2"/>
  <c r="R12947" i="2"/>
  <c r="R12948" i="2"/>
  <c r="R12949" i="2"/>
  <c r="R12950" i="2"/>
  <c r="R12951" i="2"/>
  <c r="R12952" i="2"/>
  <c r="R12953" i="2"/>
  <c r="R12954" i="2"/>
  <c r="R12955" i="2"/>
  <c r="R12956" i="2"/>
  <c r="R12957" i="2"/>
  <c r="R12958" i="2"/>
  <c r="R12959" i="2"/>
  <c r="R12960" i="2"/>
  <c r="R12961" i="2"/>
  <c r="R12962" i="2"/>
  <c r="R12963" i="2"/>
  <c r="R12964" i="2"/>
  <c r="R12965" i="2"/>
  <c r="R12966" i="2"/>
  <c r="R12967" i="2"/>
  <c r="R12968" i="2"/>
  <c r="R12969" i="2"/>
  <c r="R12970" i="2"/>
  <c r="R12971" i="2"/>
  <c r="R12972" i="2"/>
  <c r="R12973" i="2"/>
  <c r="R12974" i="2"/>
  <c r="R12975" i="2"/>
  <c r="R12976" i="2"/>
  <c r="R12977" i="2"/>
  <c r="R12978" i="2"/>
  <c r="R12979" i="2"/>
  <c r="R12980" i="2"/>
  <c r="R12981" i="2"/>
  <c r="R12982" i="2"/>
  <c r="R12983" i="2"/>
  <c r="R12984" i="2"/>
  <c r="R12985" i="2"/>
  <c r="R12986" i="2"/>
  <c r="R12987" i="2"/>
  <c r="R12988" i="2"/>
  <c r="R12989" i="2"/>
  <c r="R12990" i="2"/>
  <c r="R12991" i="2"/>
  <c r="R12992" i="2"/>
  <c r="R12993" i="2"/>
  <c r="R12994" i="2"/>
  <c r="R12995" i="2"/>
  <c r="R12996" i="2"/>
  <c r="R12997" i="2"/>
  <c r="R12998" i="2"/>
  <c r="R12999" i="2"/>
  <c r="R13000" i="2"/>
  <c r="R13001" i="2"/>
  <c r="R13002" i="2"/>
  <c r="R13003" i="2"/>
  <c r="R13004" i="2"/>
  <c r="R13005" i="2"/>
  <c r="R13006" i="2"/>
  <c r="R13007" i="2"/>
  <c r="R13008" i="2"/>
  <c r="R13009" i="2"/>
  <c r="R13010" i="2"/>
  <c r="R13011" i="2"/>
  <c r="R13012" i="2"/>
  <c r="R13013" i="2"/>
  <c r="R13014" i="2"/>
  <c r="R13015" i="2"/>
  <c r="R13016" i="2"/>
  <c r="R13017" i="2"/>
  <c r="R13018" i="2"/>
  <c r="R13019" i="2"/>
  <c r="R13020" i="2"/>
  <c r="R13021" i="2"/>
  <c r="R13022" i="2"/>
  <c r="R13023" i="2"/>
  <c r="R13024" i="2"/>
  <c r="R13025" i="2"/>
  <c r="R13026" i="2"/>
  <c r="R13027" i="2"/>
  <c r="R13028" i="2"/>
  <c r="R13029" i="2"/>
  <c r="R13030" i="2"/>
  <c r="R13031" i="2"/>
  <c r="R13032" i="2"/>
  <c r="R13033" i="2"/>
  <c r="R13034" i="2"/>
  <c r="R13035" i="2"/>
  <c r="R13036" i="2"/>
  <c r="R13037" i="2"/>
  <c r="R13038" i="2"/>
  <c r="R13039" i="2"/>
  <c r="R13040" i="2"/>
  <c r="R13041" i="2"/>
  <c r="R13042" i="2"/>
  <c r="R13043" i="2"/>
  <c r="R13044" i="2"/>
  <c r="R13045" i="2"/>
  <c r="R13046" i="2"/>
  <c r="R13047" i="2"/>
  <c r="R13048" i="2"/>
  <c r="R13049" i="2"/>
  <c r="R13050" i="2"/>
  <c r="R13051" i="2"/>
  <c r="R13052" i="2"/>
  <c r="R13053" i="2"/>
  <c r="R13054" i="2"/>
  <c r="R13055" i="2"/>
  <c r="R13056" i="2"/>
  <c r="R13057" i="2"/>
  <c r="R13058" i="2"/>
  <c r="R13059" i="2"/>
  <c r="R13060" i="2"/>
  <c r="R13061" i="2"/>
  <c r="R13062" i="2"/>
  <c r="R13063" i="2"/>
  <c r="R13064" i="2"/>
  <c r="R13065" i="2"/>
  <c r="R13066" i="2"/>
  <c r="R13067" i="2"/>
  <c r="R13068" i="2"/>
  <c r="R13069" i="2"/>
  <c r="R13070" i="2"/>
  <c r="R13071" i="2"/>
  <c r="R13072" i="2"/>
  <c r="R13073" i="2"/>
  <c r="R13074" i="2"/>
  <c r="R13075" i="2"/>
  <c r="R13076" i="2"/>
  <c r="R13077" i="2"/>
  <c r="R13078" i="2"/>
  <c r="R13079" i="2"/>
  <c r="R13080" i="2"/>
  <c r="R13081" i="2"/>
  <c r="R13082" i="2"/>
  <c r="R13083" i="2"/>
  <c r="R13084" i="2"/>
  <c r="R13085" i="2"/>
  <c r="R13086" i="2"/>
  <c r="R13087" i="2"/>
  <c r="R13088" i="2"/>
  <c r="R13089" i="2"/>
  <c r="R13090" i="2"/>
  <c r="R13091" i="2"/>
  <c r="R13092" i="2"/>
  <c r="R13093" i="2"/>
  <c r="R13094" i="2"/>
  <c r="R13095" i="2"/>
  <c r="R13096" i="2"/>
  <c r="R13097" i="2"/>
  <c r="R13098" i="2"/>
  <c r="R13099" i="2"/>
  <c r="R13100" i="2"/>
  <c r="R13101" i="2"/>
  <c r="R13102" i="2"/>
  <c r="R13103" i="2"/>
  <c r="R13104" i="2"/>
  <c r="R13105" i="2"/>
  <c r="R13106" i="2"/>
  <c r="R13107" i="2"/>
  <c r="R13108" i="2"/>
  <c r="R13109" i="2"/>
  <c r="R13110" i="2"/>
  <c r="R13111" i="2"/>
  <c r="R13112" i="2"/>
  <c r="R13113" i="2"/>
  <c r="R13114" i="2"/>
  <c r="R13115" i="2"/>
  <c r="R13116" i="2"/>
  <c r="R13117" i="2"/>
  <c r="R13118" i="2"/>
  <c r="R13119" i="2"/>
  <c r="R13120" i="2"/>
  <c r="R13121" i="2"/>
  <c r="R13122" i="2"/>
  <c r="R13123" i="2"/>
  <c r="R13124" i="2"/>
  <c r="R13125" i="2"/>
  <c r="R13126" i="2"/>
  <c r="R13127" i="2"/>
  <c r="R13128" i="2"/>
  <c r="R13129" i="2"/>
  <c r="R13130" i="2"/>
  <c r="R13131" i="2"/>
  <c r="R13132" i="2"/>
  <c r="R13133" i="2"/>
  <c r="R13134" i="2"/>
  <c r="R13135" i="2"/>
  <c r="R13136" i="2"/>
  <c r="R13137" i="2"/>
  <c r="R13138" i="2"/>
  <c r="R13139" i="2"/>
  <c r="R13140" i="2"/>
  <c r="R13141" i="2"/>
  <c r="R13142" i="2"/>
  <c r="R13143" i="2"/>
  <c r="R13144" i="2"/>
  <c r="R13145" i="2"/>
  <c r="R13146" i="2"/>
  <c r="R13147" i="2"/>
  <c r="R13148" i="2"/>
  <c r="R13149" i="2"/>
  <c r="R13150" i="2"/>
  <c r="R13151" i="2"/>
  <c r="R13152" i="2"/>
  <c r="R13153" i="2"/>
  <c r="R13154" i="2"/>
  <c r="R13155" i="2"/>
  <c r="R13156" i="2"/>
  <c r="R13157" i="2"/>
  <c r="R13158" i="2"/>
  <c r="R13159" i="2"/>
  <c r="R13160" i="2"/>
  <c r="R13161" i="2"/>
  <c r="R13162" i="2"/>
  <c r="R13163" i="2"/>
  <c r="R13164" i="2"/>
  <c r="R13165" i="2"/>
  <c r="R13166" i="2"/>
  <c r="R13167" i="2"/>
  <c r="R13168" i="2"/>
  <c r="R13169" i="2"/>
  <c r="R13170" i="2"/>
  <c r="R13171" i="2"/>
  <c r="R13172" i="2"/>
  <c r="R13173" i="2"/>
  <c r="R13174" i="2"/>
  <c r="R13175" i="2"/>
  <c r="R13176" i="2"/>
  <c r="R13177" i="2"/>
  <c r="R13178" i="2"/>
  <c r="R13179" i="2"/>
  <c r="R13180" i="2"/>
  <c r="R13181" i="2"/>
  <c r="R13182" i="2"/>
  <c r="R13183" i="2"/>
  <c r="R13184" i="2"/>
  <c r="R13185" i="2"/>
  <c r="R13186" i="2"/>
  <c r="R13187" i="2"/>
  <c r="R13188" i="2"/>
  <c r="R13189" i="2"/>
  <c r="R13190" i="2"/>
  <c r="R13191" i="2"/>
  <c r="R13192" i="2"/>
  <c r="R13193" i="2"/>
  <c r="R13194" i="2"/>
  <c r="R13195" i="2"/>
  <c r="R13196" i="2"/>
  <c r="R13197" i="2"/>
  <c r="R13198" i="2"/>
  <c r="R13199" i="2"/>
  <c r="R13200" i="2"/>
  <c r="R13201" i="2"/>
  <c r="R13202" i="2"/>
  <c r="R13203" i="2"/>
  <c r="R13204" i="2"/>
  <c r="R13205" i="2"/>
  <c r="R13206" i="2"/>
  <c r="R13207" i="2"/>
  <c r="R13208" i="2"/>
  <c r="R13209" i="2"/>
  <c r="R13210" i="2"/>
  <c r="R13211" i="2"/>
  <c r="R13212" i="2"/>
  <c r="R13213" i="2"/>
  <c r="R13214" i="2"/>
  <c r="R13215" i="2"/>
  <c r="R13216" i="2"/>
  <c r="R13217" i="2"/>
  <c r="R13218" i="2"/>
  <c r="R13219" i="2"/>
  <c r="R13220" i="2"/>
  <c r="R13221" i="2"/>
  <c r="R13222" i="2"/>
  <c r="R13223" i="2"/>
  <c r="R13224" i="2"/>
  <c r="R13225" i="2"/>
  <c r="R13226" i="2"/>
  <c r="R13227" i="2"/>
  <c r="R13228" i="2"/>
  <c r="R13229" i="2"/>
  <c r="R13230" i="2"/>
  <c r="R13231" i="2"/>
  <c r="R13232" i="2"/>
  <c r="R13233" i="2"/>
  <c r="R13234" i="2"/>
  <c r="R13235" i="2"/>
  <c r="R13236" i="2"/>
  <c r="R13237" i="2"/>
  <c r="R13238" i="2"/>
  <c r="R13239" i="2"/>
  <c r="R13240" i="2"/>
  <c r="R13241" i="2"/>
  <c r="R13242" i="2"/>
  <c r="R13243" i="2"/>
  <c r="R13244" i="2"/>
  <c r="R13245" i="2"/>
  <c r="R13246" i="2"/>
  <c r="R13247" i="2"/>
  <c r="R13248" i="2"/>
  <c r="R13249" i="2"/>
  <c r="R13250" i="2"/>
  <c r="R13251" i="2"/>
  <c r="R13252" i="2"/>
  <c r="R13253" i="2"/>
  <c r="R13254" i="2"/>
  <c r="R13255" i="2"/>
  <c r="R13256" i="2"/>
  <c r="R13257" i="2"/>
  <c r="R13258" i="2"/>
  <c r="R13259" i="2"/>
  <c r="R13260" i="2"/>
  <c r="R13261" i="2"/>
  <c r="R13262" i="2"/>
  <c r="R13263" i="2"/>
  <c r="R13264" i="2"/>
  <c r="R13265" i="2"/>
  <c r="R13266" i="2"/>
  <c r="R13267" i="2"/>
  <c r="R13268" i="2"/>
  <c r="R13269" i="2"/>
  <c r="R13270" i="2"/>
  <c r="R13271" i="2"/>
  <c r="R13272" i="2"/>
  <c r="R13273" i="2"/>
  <c r="R13274" i="2"/>
  <c r="R13275" i="2"/>
  <c r="R13276" i="2"/>
  <c r="R13277" i="2"/>
  <c r="R13278" i="2"/>
  <c r="R13279" i="2"/>
  <c r="R13280" i="2"/>
  <c r="R13281" i="2"/>
  <c r="R13282" i="2"/>
  <c r="R13283" i="2"/>
  <c r="R13284" i="2"/>
  <c r="R13285" i="2"/>
  <c r="R13286" i="2"/>
  <c r="R13287" i="2"/>
  <c r="R13288" i="2"/>
  <c r="R13289" i="2"/>
  <c r="R13290" i="2"/>
  <c r="R13291" i="2"/>
  <c r="R13292" i="2"/>
  <c r="R13293" i="2"/>
  <c r="R13294" i="2"/>
  <c r="R13295" i="2"/>
  <c r="R13296" i="2"/>
  <c r="R13297" i="2"/>
  <c r="R13298" i="2"/>
  <c r="R13299" i="2"/>
  <c r="R13300" i="2"/>
  <c r="R13301" i="2"/>
  <c r="R13302" i="2"/>
  <c r="R13303" i="2"/>
  <c r="R13304" i="2"/>
  <c r="R13305" i="2"/>
  <c r="R13306" i="2"/>
  <c r="R13307" i="2"/>
  <c r="R13308" i="2"/>
  <c r="R13309" i="2"/>
  <c r="R13310" i="2"/>
  <c r="R13311" i="2"/>
  <c r="R13312" i="2"/>
  <c r="R13313" i="2"/>
  <c r="R13314" i="2"/>
  <c r="R13315" i="2"/>
  <c r="R13316" i="2"/>
  <c r="R13317" i="2"/>
  <c r="R13318" i="2"/>
  <c r="R13319" i="2"/>
  <c r="R13320" i="2"/>
  <c r="R13321" i="2"/>
  <c r="R13322" i="2"/>
  <c r="R13323" i="2"/>
  <c r="R13324" i="2"/>
  <c r="R13325" i="2"/>
  <c r="R13326" i="2"/>
  <c r="R13327" i="2"/>
  <c r="R13328" i="2"/>
  <c r="R13329" i="2"/>
  <c r="R13330" i="2"/>
  <c r="R13331" i="2"/>
  <c r="R13332" i="2"/>
  <c r="R13333" i="2"/>
  <c r="R13334" i="2"/>
  <c r="R13335" i="2"/>
  <c r="R13336" i="2"/>
  <c r="R13337" i="2"/>
  <c r="R13338" i="2"/>
  <c r="R13339" i="2"/>
  <c r="R13340" i="2"/>
  <c r="R13341" i="2"/>
  <c r="R13342" i="2"/>
  <c r="R13343" i="2"/>
  <c r="R13344" i="2"/>
  <c r="R13345" i="2"/>
  <c r="R13346" i="2"/>
  <c r="R13347" i="2"/>
  <c r="R13348" i="2"/>
  <c r="R13349" i="2"/>
  <c r="R13350" i="2"/>
  <c r="R13351" i="2"/>
  <c r="R13352" i="2"/>
  <c r="R13353" i="2"/>
  <c r="R13354" i="2"/>
  <c r="R13355" i="2"/>
  <c r="R13356" i="2"/>
  <c r="R13357" i="2"/>
  <c r="R13358" i="2"/>
  <c r="R13359" i="2"/>
  <c r="R13360" i="2"/>
  <c r="R13361" i="2"/>
  <c r="R13362" i="2"/>
  <c r="R13363" i="2"/>
  <c r="R13364" i="2"/>
  <c r="R13365" i="2"/>
  <c r="R13366" i="2"/>
  <c r="R13367" i="2"/>
  <c r="R13368" i="2"/>
  <c r="R13369" i="2"/>
  <c r="R13370" i="2"/>
  <c r="R13371" i="2"/>
  <c r="R13372" i="2"/>
  <c r="R13373" i="2"/>
  <c r="R13374" i="2"/>
  <c r="R13375" i="2"/>
  <c r="R13376" i="2"/>
  <c r="R13377" i="2"/>
  <c r="R13378" i="2"/>
  <c r="R13379" i="2"/>
  <c r="R13380" i="2"/>
  <c r="R13381" i="2"/>
  <c r="R13382" i="2"/>
  <c r="R13383" i="2"/>
  <c r="R13384" i="2"/>
  <c r="R13385" i="2"/>
  <c r="R13386" i="2"/>
  <c r="R13387" i="2"/>
  <c r="R13388" i="2"/>
  <c r="R13389" i="2"/>
  <c r="R13390" i="2"/>
  <c r="R13391" i="2"/>
  <c r="R13392" i="2"/>
  <c r="R13393" i="2"/>
  <c r="R13394" i="2"/>
  <c r="R13395" i="2"/>
  <c r="R13396" i="2"/>
  <c r="R13397" i="2"/>
  <c r="R13398" i="2"/>
  <c r="R13399" i="2"/>
  <c r="R13400" i="2"/>
  <c r="R13401" i="2"/>
  <c r="R13402" i="2"/>
  <c r="R13403" i="2"/>
  <c r="R13404" i="2"/>
  <c r="R13405" i="2"/>
  <c r="R13406" i="2"/>
  <c r="R13407" i="2"/>
  <c r="R13408" i="2"/>
  <c r="R13409" i="2"/>
  <c r="R13410" i="2"/>
  <c r="R13411" i="2"/>
  <c r="R13412" i="2"/>
  <c r="R13413" i="2"/>
  <c r="R13414" i="2"/>
  <c r="R13415" i="2"/>
  <c r="R13416" i="2"/>
  <c r="R13417" i="2"/>
  <c r="R13418" i="2"/>
  <c r="R13419" i="2"/>
  <c r="R13420" i="2"/>
  <c r="R13421" i="2"/>
  <c r="R13422" i="2"/>
  <c r="R13423" i="2"/>
  <c r="R13424" i="2"/>
  <c r="R13425" i="2"/>
  <c r="R13426" i="2"/>
  <c r="R13427" i="2"/>
  <c r="R13428" i="2"/>
  <c r="R13429" i="2"/>
  <c r="R13430" i="2"/>
  <c r="R13431" i="2"/>
  <c r="R13432" i="2"/>
  <c r="R13433" i="2"/>
  <c r="R13434" i="2"/>
  <c r="R13435" i="2"/>
  <c r="R13436" i="2"/>
  <c r="R13437" i="2"/>
  <c r="R13438" i="2"/>
  <c r="R13439" i="2"/>
  <c r="R13440" i="2"/>
  <c r="R13441" i="2"/>
  <c r="R13442" i="2"/>
  <c r="R13443" i="2"/>
  <c r="R13444" i="2"/>
  <c r="R13445" i="2"/>
  <c r="R13446" i="2"/>
  <c r="R13447" i="2"/>
  <c r="R13448" i="2"/>
  <c r="R13449" i="2"/>
  <c r="R13450" i="2"/>
  <c r="R13451" i="2"/>
  <c r="R13452" i="2"/>
  <c r="R13453" i="2"/>
  <c r="R13454" i="2"/>
  <c r="R13455" i="2"/>
  <c r="R13456" i="2"/>
  <c r="R13457" i="2"/>
  <c r="R13458" i="2"/>
  <c r="R13459" i="2"/>
  <c r="R13460" i="2"/>
  <c r="R13461" i="2"/>
  <c r="R13462" i="2"/>
  <c r="R13463" i="2"/>
  <c r="R13464" i="2"/>
  <c r="R13465" i="2"/>
  <c r="R13466" i="2"/>
  <c r="R13467" i="2"/>
  <c r="R13468" i="2"/>
  <c r="R13469" i="2"/>
  <c r="R13470" i="2"/>
  <c r="R13471" i="2"/>
  <c r="R13472" i="2"/>
  <c r="R13473" i="2"/>
  <c r="R13474" i="2"/>
  <c r="R13475" i="2"/>
  <c r="R13476" i="2"/>
  <c r="R13477" i="2"/>
  <c r="R13478" i="2"/>
  <c r="R13479" i="2"/>
  <c r="R13480" i="2"/>
  <c r="R13481" i="2"/>
  <c r="R13482" i="2"/>
  <c r="R13483" i="2"/>
  <c r="R13484" i="2"/>
  <c r="R13485" i="2"/>
  <c r="R13486" i="2"/>
  <c r="R13487" i="2"/>
  <c r="R13488" i="2"/>
  <c r="R13489" i="2"/>
  <c r="R13490" i="2"/>
  <c r="R13491" i="2"/>
  <c r="R13492" i="2"/>
  <c r="R13493" i="2"/>
  <c r="R13494" i="2"/>
  <c r="R13495" i="2"/>
  <c r="R13496" i="2"/>
  <c r="R13497" i="2"/>
  <c r="R13498" i="2"/>
  <c r="R13499" i="2"/>
  <c r="R13500" i="2"/>
  <c r="R13501" i="2"/>
  <c r="R13502" i="2"/>
  <c r="R13503" i="2"/>
  <c r="R13504" i="2"/>
  <c r="R13505" i="2"/>
  <c r="R13506" i="2"/>
  <c r="R13507" i="2"/>
  <c r="R13508" i="2"/>
  <c r="R13509" i="2"/>
  <c r="R13510" i="2"/>
  <c r="R13511" i="2"/>
  <c r="R13512" i="2"/>
  <c r="R13513" i="2"/>
  <c r="R13514" i="2"/>
  <c r="R13515" i="2"/>
  <c r="R13516" i="2"/>
  <c r="R13517" i="2"/>
  <c r="R13518" i="2"/>
  <c r="R13519" i="2"/>
  <c r="R13520" i="2"/>
  <c r="R13521" i="2"/>
  <c r="R13522" i="2"/>
  <c r="R13523" i="2"/>
  <c r="R13524" i="2"/>
  <c r="R13525" i="2"/>
  <c r="R13526" i="2"/>
  <c r="R13527" i="2"/>
  <c r="R13528" i="2"/>
  <c r="R13529" i="2"/>
  <c r="R13530" i="2"/>
  <c r="R13531" i="2"/>
  <c r="R13532" i="2"/>
  <c r="R13533" i="2"/>
  <c r="R13534" i="2"/>
  <c r="R13535" i="2"/>
  <c r="R13536" i="2"/>
  <c r="R13537" i="2"/>
  <c r="R13538" i="2"/>
  <c r="R13539" i="2"/>
  <c r="R13540" i="2"/>
  <c r="R13541" i="2"/>
  <c r="R13542" i="2"/>
  <c r="R13543" i="2"/>
  <c r="R13544" i="2"/>
  <c r="R13545" i="2"/>
  <c r="R13546" i="2"/>
  <c r="R13547" i="2"/>
  <c r="R13548" i="2"/>
  <c r="R13549" i="2"/>
  <c r="R13550" i="2"/>
  <c r="R13551" i="2"/>
  <c r="R13552" i="2"/>
  <c r="R13553" i="2"/>
  <c r="R13554" i="2"/>
  <c r="R13555" i="2"/>
  <c r="R13556" i="2"/>
  <c r="R13557" i="2"/>
  <c r="R13558" i="2"/>
  <c r="R13559" i="2"/>
  <c r="R13560" i="2"/>
  <c r="R13561" i="2"/>
  <c r="R13562" i="2"/>
  <c r="R13563" i="2"/>
  <c r="R13564" i="2"/>
  <c r="R13565" i="2"/>
  <c r="R13566" i="2"/>
  <c r="R13567" i="2"/>
  <c r="R13568" i="2"/>
  <c r="R13569" i="2"/>
  <c r="R13570" i="2"/>
  <c r="R13571" i="2"/>
  <c r="R13572" i="2"/>
  <c r="R13573" i="2"/>
  <c r="R13574" i="2"/>
  <c r="R13575" i="2"/>
  <c r="R13576" i="2"/>
  <c r="R13577" i="2"/>
  <c r="R13578" i="2"/>
  <c r="R13579" i="2"/>
  <c r="R13580" i="2"/>
  <c r="R13581" i="2"/>
  <c r="R13582" i="2"/>
  <c r="R13583" i="2"/>
  <c r="R13584" i="2"/>
  <c r="R13585" i="2"/>
  <c r="R13586" i="2"/>
  <c r="R13587" i="2"/>
  <c r="R13588" i="2"/>
  <c r="R13589" i="2"/>
  <c r="R13590" i="2"/>
  <c r="R13591" i="2"/>
  <c r="R13592" i="2"/>
  <c r="R13593" i="2"/>
  <c r="R13594" i="2"/>
  <c r="R13595" i="2"/>
  <c r="R13596" i="2"/>
  <c r="R13597" i="2"/>
  <c r="R13598" i="2"/>
  <c r="R13599" i="2"/>
  <c r="R13600" i="2"/>
  <c r="R13601" i="2"/>
  <c r="R13602" i="2"/>
  <c r="R13603" i="2"/>
  <c r="R13604" i="2"/>
  <c r="R13605" i="2"/>
  <c r="R13606" i="2"/>
  <c r="R13607" i="2"/>
  <c r="R13608" i="2"/>
  <c r="R13609" i="2"/>
  <c r="R13610" i="2"/>
  <c r="R13611" i="2"/>
  <c r="R13612" i="2"/>
  <c r="R13613" i="2"/>
  <c r="R13614" i="2"/>
  <c r="R13615" i="2"/>
  <c r="R13616" i="2"/>
  <c r="R13617" i="2"/>
  <c r="R13618" i="2"/>
  <c r="R13619" i="2"/>
  <c r="R13620" i="2"/>
  <c r="R13621" i="2"/>
  <c r="R13622" i="2"/>
  <c r="R13623" i="2"/>
  <c r="R13624" i="2"/>
  <c r="R13625" i="2"/>
  <c r="R13626" i="2"/>
  <c r="R13627" i="2"/>
  <c r="R13628" i="2"/>
  <c r="R13629" i="2"/>
  <c r="R13630" i="2"/>
  <c r="R13631" i="2"/>
  <c r="R13632" i="2"/>
  <c r="R13633" i="2"/>
  <c r="R13634" i="2"/>
  <c r="R13635" i="2"/>
  <c r="R13636" i="2"/>
  <c r="R13637" i="2"/>
  <c r="R13638" i="2"/>
  <c r="R13639" i="2"/>
  <c r="R13640" i="2"/>
  <c r="R13641" i="2"/>
  <c r="R13642" i="2"/>
  <c r="R13643" i="2"/>
  <c r="R13644" i="2"/>
  <c r="R13645" i="2"/>
  <c r="R13646" i="2"/>
  <c r="R13647" i="2"/>
  <c r="R13648" i="2"/>
  <c r="R13649" i="2"/>
  <c r="R13650" i="2"/>
  <c r="R13651" i="2"/>
  <c r="R13652" i="2"/>
  <c r="R13653" i="2"/>
  <c r="R13654" i="2"/>
  <c r="R13655" i="2"/>
  <c r="R13656" i="2"/>
  <c r="R13657" i="2"/>
  <c r="R13658" i="2"/>
  <c r="R13659" i="2"/>
  <c r="R13660" i="2"/>
  <c r="R13661" i="2"/>
  <c r="R13662" i="2"/>
  <c r="R13663" i="2"/>
  <c r="R13664" i="2"/>
  <c r="R13665" i="2"/>
  <c r="R13666" i="2"/>
  <c r="R13667" i="2"/>
  <c r="R13668" i="2"/>
  <c r="R13669" i="2"/>
  <c r="R13670" i="2"/>
  <c r="R13671" i="2"/>
  <c r="R13672" i="2"/>
  <c r="R13673" i="2"/>
  <c r="R13674" i="2"/>
  <c r="R13675" i="2"/>
  <c r="R13676" i="2"/>
  <c r="R13677" i="2"/>
  <c r="R13678" i="2"/>
  <c r="R13679" i="2"/>
  <c r="R13680" i="2"/>
  <c r="R13681" i="2"/>
  <c r="R13682" i="2"/>
  <c r="R13683" i="2"/>
  <c r="R13684" i="2"/>
  <c r="R13685" i="2"/>
  <c r="R13686" i="2"/>
  <c r="R13687" i="2"/>
  <c r="R13688" i="2"/>
  <c r="R13689" i="2"/>
  <c r="R13690" i="2"/>
  <c r="R13691" i="2"/>
  <c r="R13692" i="2"/>
  <c r="R13693" i="2"/>
  <c r="R13694" i="2"/>
  <c r="R13695" i="2"/>
  <c r="R13696" i="2"/>
  <c r="R13697" i="2"/>
  <c r="R13698" i="2"/>
  <c r="R13699" i="2"/>
  <c r="R13700" i="2"/>
  <c r="R13701" i="2"/>
  <c r="R13702" i="2"/>
  <c r="R13703" i="2"/>
  <c r="R13704" i="2"/>
  <c r="R13705" i="2"/>
  <c r="R13706" i="2"/>
  <c r="R13707" i="2"/>
  <c r="R13708" i="2"/>
  <c r="R13709" i="2"/>
  <c r="R13710" i="2"/>
  <c r="R13711" i="2"/>
  <c r="R13712" i="2"/>
  <c r="R13713" i="2"/>
  <c r="R13714" i="2"/>
  <c r="R13715" i="2"/>
  <c r="R13716" i="2"/>
  <c r="R13717" i="2"/>
  <c r="R13718" i="2"/>
  <c r="R13719" i="2"/>
  <c r="R13720" i="2"/>
  <c r="R13721" i="2"/>
  <c r="R13722" i="2"/>
  <c r="R13723" i="2"/>
  <c r="R13724" i="2"/>
  <c r="R13725" i="2"/>
  <c r="R13726" i="2"/>
  <c r="R13727" i="2"/>
  <c r="R13728" i="2"/>
  <c r="R13729" i="2"/>
  <c r="R13730" i="2"/>
  <c r="R13731" i="2"/>
  <c r="R13732" i="2"/>
  <c r="R13733" i="2"/>
  <c r="R13734" i="2"/>
  <c r="R13735" i="2"/>
  <c r="R13736" i="2"/>
  <c r="R13737" i="2"/>
  <c r="R13738" i="2"/>
  <c r="R13739" i="2"/>
  <c r="R13740" i="2"/>
  <c r="R13741" i="2"/>
  <c r="R13742" i="2"/>
  <c r="R13743" i="2"/>
  <c r="R13744" i="2"/>
  <c r="R13745" i="2"/>
  <c r="R13746" i="2"/>
  <c r="R13747" i="2"/>
  <c r="R13748" i="2"/>
  <c r="R13749" i="2"/>
  <c r="R13750" i="2"/>
  <c r="R13751" i="2"/>
  <c r="R13752" i="2"/>
  <c r="R13753" i="2"/>
  <c r="R13754" i="2"/>
  <c r="R13755" i="2"/>
  <c r="R13756" i="2"/>
  <c r="R13757" i="2"/>
  <c r="R13758" i="2"/>
  <c r="R13759" i="2"/>
  <c r="R13760" i="2"/>
  <c r="R13761" i="2"/>
  <c r="R13762" i="2"/>
  <c r="R13763" i="2"/>
  <c r="R13764" i="2"/>
  <c r="R13765" i="2"/>
  <c r="R13766" i="2"/>
  <c r="R13767" i="2"/>
  <c r="R13768" i="2"/>
  <c r="R13769" i="2"/>
  <c r="R13770" i="2"/>
  <c r="R13771" i="2"/>
  <c r="R13772" i="2"/>
  <c r="R13773" i="2"/>
  <c r="R13774" i="2"/>
  <c r="R13775" i="2"/>
  <c r="R13776" i="2"/>
  <c r="R13777" i="2"/>
  <c r="R13778" i="2"/>
  <c r="R13779" i="2"/>
  <c r="R13780" i="2"/>
  <c r="R13781" i="2"/>
  <c r="R13782" i="2"/>
  <c r="R13783" i="2"/>
  <c r="R13784" i="2"/>
  <c r="R13785" i="2"/>
  <c r="R13786" i="2"/>
  <c r="R13787" i="2"/>
  <c r="R13788" i="2"/>
  <c r="R13789" i="2"/>
  <c r="R13790" i="2"/>
  <c r="R13791" i="2"/>
  <c r="R13792" i="2"/>
  <c r="R13793" i="2"/>
  <c r="R13794" i="2"/>
  <c r="R13795" i="2"/>
  <c r="R13796" i="2"/>
  <c r="R13797" i="2"/>
  <c r="R13798" i="2"/>
  <c r="R13799" i="2"/>
  <c r="R13800" i="2"/>
  <c r="R13801" i="2"/>
  <c r="R13802" i="2"/>
  <c r="R13803" i="2"/>
  <c r="R13804" i="2"/>
  <c r="R13805" i="2"/>
  <c r="R13806" i="2"/>
  <c r="R13807" i="2"/>
  <c r="R13808" i="2"/>
  <c r="R13809" i="2"/>
  <c r="R13810" i="2"/>
  <c r="R13811" i="2"/>
  <c r="R13812" i="2"/>
  <c r="R13813" i="2"/>
  <c r="R13814" i="2"/>
  <c r="R13815" i="2"/>
  <c r="R13816" i="2"/>
  <c r="R13817" i="2"/>
  <c r="R13818" i="2"/>
  <c r="R13819" i="2"/>
  <c r="R13820" i="2"/>
  <c r="R13821" i="2"/>
  <c r="R13822" i="2"/>
  <c r="R13823" i="2"/>
  <c r="R13824" i="2"/>
  <c r="R13825" i="2"/>
  <c r="R13826" i="2"/>
  <c r="R13827" i="2"/>
  <c r="R13828" i="2"/>
  <c r="R13829" i="2"/>
  <c r="R13830" i="2"/>
  <c r="R13831" i="2"/>
  <c r="R13832" i="2"/>
  <c r="R13833" i="2"/>
  <c r="R13834" i="2"/>
  <c r="R13835" i="2"/>
  <c r="R13836" i="2"/>
  <c r="R13837" i="2"/>
  <c r="R13838" i="2"/>
  <c r="R13839" i="2"/>
  <c r="R13840" i="2"/>
  <c r="R13841" i="2"/>
  <c r="R13842" i="2"/>
  <c r="R13843" i="2"/>
  <c r="R13844" i="2"/>
  <c r="R13845" i="2"/>
  <c r="R13846" i="2"/>
  <c r="R13847" i="2"/>
  <c r="R13848" i="2"/>
  <c r="R13849" i="2"/>
  <c r="R13850" i="2"/>
  <c r="R13851" i="2"/>
  <c r="R13852" i="2"/>
  <c r="R13853" i="2"/>
  <c r="R13854" i="2"/>
  <c r="R13855" i="2"/>
  <c r="R13856" i="2"/>
  <c r="R13857" i="2"/>
  <c r="R13858" i="2"/>
  <c r="R13859" i="2"/>
  <c r="R13860" i="2"/>
  <c r="R13861" i="2"/>
  <c r="R13862" i="2"/>
  <c r="R13863" i="2"/>
  <c r="R13864" i="2"/>
  <c r="R13865" i="2"/>
  <c r="R13866" i="2"/>
  <c r="R13867" i="2"/>
  <c r="R13868" i="2"/>
  <c r="R13869" i="2"/>
  <c r="R13870" i="2"/>
  <c r="R13871" i="2"/>
  <c r="R13872" i="2"/>
  <c r="R13873" i="2"/>
  <c r="R13874" i="2"/>
  <c r="R13875" i="2"/>
  <c r="R13876" i="2"/>
  <c r="R13877" i="2"/>
  <c r="R13878" i="2"/>
  <c r="R13879" i="2"/>
  <c r="R13880" i="2"/>
  <c r="R13881" i="2"/>
  <c r="R13882" i="2"/>
  <c r="R13883" i="2"/>
  <c r="R13884" i="2"/>
  <c r="R13885" i="2"/>
  <c r="R13886" i="2"/>
  <c r="R13887" i="2"/>
  <c r="R13888" i="2"/>
  <c r="R13889" i="2"/>
  <c r="R13890" i="2"/>
  <c r="R13891" i="2"/>
  <c r="R13892" i="2"/>
  <c r="R13893" i="2"/>
  <c r="R13894" i="2"/>
  <c r="R13895" i="2"/>
  <c r="R13896" i="2"/>
  <c r="R13897" i="2"/>
  <c r="R13898" i="2"/>
  <c r="R13899" i="2"/>
  <c r="R13900" i="2"/>
  <c r="R13901" i="2"/>
  <c r="R13902" i="2"/>
  <c r="R13903" i="2"/>
  <c r="R13904" i="2"/>
  <c r="R13905" i="2"/>
  <c r="R13906" i="2"/>
  <c r="R13907" i="2"/>
  <c r="R13908" i="2"/>
  <c r="R13909" i="2"/>
  <c r="R13910" i="2"/>
  <c r="R13911" i="2"/>
  <c r="R13912" i="2"/>
  <c r="R13913" i="2"/>
  <c r="R13914" i="2"/>
  <c r="R13915" i="2"/>
  <c r="R13916" i="2"/>
  <c r="R13917" i="2"/>
  <c r="R13918" i="2"/>
  <c r="R13919" i="2"/>
  <c r="R13920" i="2"/>
  <c r="R13921" i="2"/>
  <c r="R13922" i="2"/>
  <c r="R13923" i="2"/>
  <c r="R13924" i="2"/>
  <c r="R13925" i="2"/>
  <c r="R13926" i="2"/>
  <c r="R13927" i="2"/>
  <c r="R13928" i="2"/>
  <c r="R13929" i="2"/>
  <c r="R13930" i="2"/>
  <c r="R13931" i="2"/>
  <c r="R13932" i="2"/>
  <c r="R13933" i="2"/>
  <c r="R13934" i="2"/>
  <c r="R13935" i="2"/>
  <c r="R13936" i="2"/>
  <c r="R13937" i="2"/>
  <c r="R13938" i="2"/>
  <c r="R13939" i="2"/>
  <c r="R13940" i="2"/>
  <c r="R13941" i="2"/>
  <c r="R13942" i="2"/>
  <c r="R13943" i="2"/>
  <c r="R13944" i="2"/>
  <c r="R13945" i="2"/>
  <c r="R13946" i="2"/>
  <c r="R13947" i="2"/>
  <c r="R13948" i="2"/>
  <c r="R13949" i="2"/>
  <c r="R13950" i="2"/>
  <c r="R13951" i="2"/>
  <c r="R13952" i="2"/>
  <c r="R13953" i="2"/>
  <c r="R13954" i="2"/>
  <c r="R13955" i="2"/>
  <c r="R13956" i="2"/>
  <c r="R13957" i="2"/>
  <c r="R13958" i="2"/>
  <c r="R13959" i="2"/>
  <c r="R13960" i="2"/>
  <c r="R13961" i="2"/>
  <c r="R13962" i="2"/>
  <c r="R13963" i="2"/>
  <c r="R13964" i="2"/>
  <c r="R13965" i="2"/>
  <c r="R13966" i="2"/>
  <c r="R13967" i="2"/>
  <c r="R13968" i="2"/>
  <c r="R13969" i="2"/>
  <c r="R13970" i="2"/>
  <c r="R13971" i="2"/>
  <c r="R13972" i="2"/>
  <c r="R13973" i="2"/>
  <c r="R13974" i="2"/>
  <c r="R13975" i="2"/>
  <c r="R13976" i="2"/>
  <c r="R13977" i="2"/>
  <c r="R13978" i="2"/>
  <c r="R13979" i="2"/>
  <c r="R13980" i="2"/>
  <c r="R13981" i="2"/>
  <c r="R13982" i="2"/>
  <c r="R13983" i="2"/>
  <c r="R13984" i="2"/>
  <c r="R13985" i="2"/>
  <c r="R13986" i="2"/>
  <c r="R13987" i="2"/>
  <c r="R13988" i="2"/>
  <c r="R13989" i="2"/>
  <c r="R13990" i="2"/>
  <c r="R13991" i="2"/>
  <c r="R13992" i="2"/>
  <c r="R13993" i="2"/>
  <c r="R13994" i="2"/>
  <c r="R13995" i="2"/>
  <c r="R13996" i="2"/>
  <c r="R13997" i="2"/>
  <c r="R13998" i="2"/>
  <c r="R13999" i="2"/>
  <c r="R14000" i="2"/>
  <c r="R14001" i="2"/>
  <c r="R14002" i="2"/>
  <c r="R14003" i="2"/>
  <c r="R14004" i="2"/>
  <c r="R14005" i="2"/>
  <c r="R14006" i="2"/>
  <c r="R14007" i="2"/>
  <c r="R14008" i="2"/>
  <c r="R14009" i="2"/>
  <c r="R14010" i="2"/>
  <c r="R14011" i="2"/>
  <c r="R14012" i="2"/>
  <c r="R14013" i="2"/>
  <c r="R14014" i="2"/>
  <c r="R14015" i="2"/>
  <c r="R14016" i="2"/>
  <c r="R14017" i="2"/>
  <c r="R14018" i="2"/>
  <c r="R14019" i="2"/>
  <c r="R14020" i="2"/>
  <c r="R14021" i="2"/>
  <c r="R14022" i="2"/>
  <c r="R14023" i="2"/>
  <c r="R14024" i="2"/>
  <c r="R14025" i="2"/>
  <c r="R14026" i="2"/>
  <c r="R14027" i="2"/>
  <c r="R14028" i="2"/>
  <c r="R14029" i="2"/>
  <c r="R14030" i="2"/>
  <c r="R14031" i="2"/>
  <c r="R14032" i="2"/>
  <c r="R14033" i="2"/>
  <c r="R14034" i="2"/>
  <c r="R14035" i="2"/>
  <c r="R14036" i="2"/>
  <c r="R14037" i="2"/>
  <c r="R14038" i="2"/>
  <c r="R14039" i="2"/>
  <c r="R14040" i="2"/>
  <c r="R14041" i="2"/>
  <c r="R14042" i="2"/>
  <c r="R14043" i="2"/>
  <c r="R14044" i="2"/>
  <c r="R14045" i="2"/>
  <c r="R14046" i="2"/>
  <c r="R14047" i="2"/>
  <c r="R14048" i="2"/>
  <c r="R14049" i="2"/>
  <c r="R14050" i="2"/>
  <c r="R14051" i="2"/>
  <c r="R14052" i="2"/>
  <c r="R14053" i="2"/>
  <c r="R14054" i="2"/>
  <c r="R14055" i="2"/>
  <c r="R14056" i="2"/>
  <c r="R14057" i="2"/>
  <c r="R14058" i="2"/>
  <c r="R14059" i="2"/>
  <c r="R14060" i="2"/>
  <c r="R14061" i="2"/>
  <c r="R14062" i="2"/>
  <c r="R14063" i="2"/>
  <c r="R14064" i="2"/>
  <c r="R14065" i="2"/>
  <c r="R14066" i="2"/>
  <c r="R14067" i="2"/>
  <c r="R14068" i="2"/>
  <c r="R14069" i="2"/>
  <c r="R14070" i="2"/>
  <c r="R14071" i="2"/>
  <c r="R14072" i="2"/>
  <c r="R14073" i="2"/>
  <c r="R14074" i="2"/>
  <c r="R14075" i="2"/>
  <c r="R14076" i="2"/>
  <c r="R14077" i="2"/>
  <c r="R14078" i="2"/>
  <c r="R14079" i="2"/>
  <c r="R14080" i="2"/>
  <c r="R14081" i="2"/>
  <c r="R14082" i="2"/>
  <c r="R14083" i="2"/>
  <c r="R14084" i="2"/>
  <c r="R14085" i="2"/>
  <c r="R14086" i="2"/>
  <c r="R14087" i="2"/>
  <c r="R14088" i="2"/>
  <c r="R14089" i="2"/>
  <c r="R14090" i="2"/>
  <c r="R14091" i="2"/>
  <c r="R14092" i="2"/>
  <c r="R14093" i="2"/>
  <c r="R14094" i="2"/>
  <c r="R14095" i="2"/>
  <c r="R14096" i="2"/>
  <c r="R14097" i="2"/>
  <c r="R14098" i="2"/>
  <c r="R14099" i="2"/>
  <c r="R14100" i="2"/>
  <c r="R14101" i="2"/>
  <c r="R14102" i="2"/>
  <c r="R14103" i="2"/>
  <c r="R14104" i="2"/>
  <c r="R14105" i="2"/>
  <c r="R14106" i="2"/>
  <c r="R14107" i="2"/>
  <c r="R14108" i="2"/>
  <c r="R14109" i="2"/>
  <c r="R14110" i="2"/>
  <c r="R14111" i="2"/>
  <c r="R14112" i="2"/>
  <c r="R14113" i="2"/>
  <c r="R14114" i="2"/>
  <c r="R14115" i="2"/>
  <c r="R14116" i="2"/>
  <c r="R14117" i="2"/>
  <c r="R14118" i="2"/>
  <c r="R14119" i="2"/>
  <c r="R14120" i="2"/>
  <c r="R14121" i="2"/>
  <c r="R14122" i="2"/>
  <c r="R14123" i="2"/>
  <c r="R14124" i="2"/>
  <c r="R14125" i="2"/>
  <c r="R14126" i="2"/>
  <c r="R14127" i="2"/>
  <c r="R14128" i="2"/>
  <c r="R14129" i="2"/>
  <c r="R14130" i="2"/>
  <c r="R14131" i="2"/>
  <c r="R14132" i="2"/>
  <c r="R14133" i="2"/>
  <c r="R14134" i="2"/>
  <c r="R14135" i="2"/>
  <c r="R14136" i="2"/>
  <c r="R14137" i="2"/>
  <c r="R14138" i="2"/>
  <c r="R14139" i="2"/>
  <c r="R14140" i="2"/>
  <c r="R14141" i="2"/>
  <c r="R14142" i="2"/>
  <c r="R14143" i="2"/>
  <c r="R14144" i="2"/>
  <c r="R14145" i="2"/>
  <c r="R14146" i="2"/>
  <c r="R14147" i="2"/>
  <c r="R14148" i="2"/>
  <c r="R14149" i="2"/>
  <c r="R14150" i="2"/>
  <c r="R14151" i="2"/>
  <c r="R14152" i="2"/>
  <c r="R14153" i="2"/>
  <c r="R14154" i="2"/>
  <c r="R14155" i="2"/>
  <c r="R14156" i="2"/>
  <c r="R14157" i="2"/>
  <c r="R14158" i="2"/>
  <c r="R14159" i="2"/>
  <c r="R14160" i="2"/>
  <c r="R14161" i="2"/>
  <c r="R14162" i="2"/>
  <c r="R14163" i="2"/>
  <c r="R14164" i="2"/>
  <c r="R14165" i="2"/>
  <c r="R14166" i="2"/>
  <c r="R14167" i="2"/>
  <c r="R14168" i="2"/>
  <c r="R14169" i="2"/>
  <c r="R14170" i="2"/>
  <c r="R14171" i="2"/>
  <c r="R14172" i="2"/>
  <c r="R14173" i="2"/>
  <c r="R14174" i="2"/>
  <c r="R14175" i="2"/>
  <c r="R14176" i="2"/>
  <c r="R14177" i="2"/>
  <c r="R14178" i="2"/>
  <c r="R14179" i="2"/>
  <c r="R14180" i="2"/>
  <c r="R14181" i="2"/>
  <c r="R14182" i="2"/>
  <c r="R14183" i="2"/>
  <c r="R14184" i="2"/>
  <c r="R14185" i="2"/>
  <c r="R14186" i="2"/>
  <c r="R14187" i="2"/>
  <c r="R14188" i="2"/>
  <c r="R14189" i="2"/>
  <c r="R14190" i="2"/>
  <c r="R14191" i="2"/>
  <c r="R14192" i="2"/>
  <c r="R14193" i="2"/>
  <c r="R14194" i="2"/>
  <c r="R14195" i="2"/>
  <c r="R14196" i="2"/>
  <c r="R14197" i="2"/>
  <c r="R14198" i="2"/>
  <c r="R14199" i="2"/>
  <c r="R14200" i="2"/>
  <c r="R14201" i="2"/>
  <c r="R14202" i="2"/>
  <c r="R14203" i="2"/>
  <c r="R14204" i="2"/>
  <c r="R14205" i="2"/>
  <c r="R14206" i="2"/>
  <c r="R14207" i="2"/>
  <c r="R14208" i="2"/>
  <c r="R14209" i="2"/>
  <c r="R14210" i="2"/>
  <c r="R14211" i="2"/>
  <c r="R14212" i="2"/>
  <c r="R14213" i="2"/>
  <c r="R14214" i="2"/>
  <c r="R14215" i="2"/>
  <c r="R14216" i="2"/>
  <c r="R14217" i="2"/>
  <c r="R14218" i="2"/>
  <c r="R14219" i="2"/>
  <c r="R14220" i="2"/>
  <c r="R14221" i="2"/>
  <c r="R14222" i="2"/>
  <c r="R14223" i="2"/>
  <c r="R14224" i="2"/>
  <c r="R14225" i="2"/>
  <c r="R14226" i="2"/>
  <c r="R14227" i="2"/>
  <c r="R14228" i="2"/>
  <c r="R14229" i="2"/>
  <c r="R14230" i="2"/>
  <c r="R14231" i="2"/>
  <c r="R14232" i="2"/>
  <c r="R14233" i="2"/>
  <c r="R14234" i="2"/>
  <c r="R14235" i="2"/>
  <c r="R14236" i="2"/>
  <c r="R14237" i="2"/>
  <c r="R14238" i="2"/>
  <c r="R14239" i="2"/>
  <c r="R14240" i="2"/>
  <c r="R14241" i="2"/>
  <c r="R14242" i="2"/>
  <c r="R14243" i="2"/>
  <c r="R14244" i="2"/>
  <c r="R14245" i="2"/>
  <c r="R14246" i="2"/>
  <c r="R14247" i="2"/>
  <c r="R14248" i="2"/>
  <c r="R14249" i="2"/>
  <c r="R14250" i="2"/>
  <c r="R14251" i="2"/>
  <c r="R14252" i="2"/>
  <c r="R14253" i="2"/>
  <c r="R14254" i="2"/>
  <c r="R14255" i="2"/>
  <c r="R14256" i="2"/>
  <c r="R14257" i="2"/>
  <c r="R14258" i="2"/>
  <c r="R14259" i="2"/>
  <c r="R14260" i="2"/>
  <c r="R14261" i="2"/>
  <c r="R14262" i="2"/>
  <c r="R14263" i="2"/>
  <c r="R14264" i="2"/>
  <c r="R14265" i="2"/>
  <c r="R14266" i="2"/>
  <c r="R14267" i="2"/>
  <c r="R14268" i="2"/>
  <c r="R14269" i="2"/>
  <c r="R14270" i="2"/>
  <c r="R14271" i="2"/>
  <c r="R14272" i="2"/>
  <c r="R14273" i="2"/>
  <c r="R14274" i="2"/>
  <c r="R14275" i="2"/>
  <c r="R14276" i="2"/>
  <c r="R14277" i="2"/>
  <c r="R14278" i="2"/>
  <c r="R14279" i="2"/>
  <c r="R14280" i="2"/>
  <c r="R14281" i="2"/>
  <c r="R14282" i="2"/>
  <c r="R14283" i="2"/>
  <c r="R14284" i="2"/>
  <c r="R14285" i="2"/>
  <c r="R14286" i="2"/>
  <c r="R14287" i="2"/>
  <c r="R14288" i="2"/>
  <c r="R14289" i="2"/>
  <c r="R14290" i="2"/>
  <c r="R14291" i="2"/>
  <c r="R14292" i="2"/>
  <c r="R14293" i="2"/>
  <c r="R14294" i="2"/>
  <c r="R14295" i="2"/>
  <c r="R14296" i="2"/>
  <c r="R14297" i="2"/>
  <c r="R14298" i="2"/>
  <c r="R14299" i="2"/>
  <c r="R14300" i="2"/>
  <c r="R14301" i="2"/>
  <c r="R14302" i="2"/>
  <c r="R14303" i="2"/>
  <c r="R14304" i="2"/>
  <c r="R14305" i="2"/>
  <c r="R14306" i="2"/>
  <c r="R14307" i="2"/>
  <c r="R14308" i="2"/>
  <c r="R14309" i="2"/>
  <c r="R14310" i="2"/>
  <c r="R14311" i="2"/>
  <c r="R14312" i="2"/>
  <c r="R14313" i="2"/>
  <c r="R14314" i="2"/>
  <c r="R14315" i="2"/>
  <c r="R14316" i="2"/>
  <c r="R14317" i="2"/>
  <c r="R14318" i="2"/>
  <c r="R14319" i="2"/>
  <c r="R14320" i="2"/>
  <c r="R14321" i="2"/>
  <c r="R14322" i="2"/>
  <c r="R14323" i="2"/>
  <c r="R14324" i="2"/>
  <c r="R14325" i="2"/>
  <c r="R14326" i="2"/>
  <c r="R14327" i="2"/>
  <c r="R14328" i="2"/>
  <c r="R14329" i="2"/>
  <c r="R14330" i="2"/>
  <c r="R14331" i="2"/>
  <c r="R14332" i="2"/>
  <c r="R14333" i="2"/>
  <c r="R14334" i="2"/>
  <c r="R14335" i="2"/>
  <c r="R14336" i="2"/>
  <c r="R14337" i="2"/>
  <c r="R14338" i="2"/>
  <c r="R14339" i="2"/>
  <c r="R14340" i="2"/>
  <c r="R14341" i="2"/>
  <c r="R14342" i="2"/>
  <c r="R14343" i="2"/>
  <c r="R14344" i="2"/>
  <c r="R14345" i="2"/>
  <c r="R14346" i="2"/>
  <c r="R14347" i="2"/>
  <c r="R14348" i="2"/>
  <c r="R14349" i="2"/>
  <c r="R14350" i="2"/>
  <c r="R14351" i="2"/>
  <c r="R14352" i="2"/>
  <c r="R14353" i="2"/>
  <c r="R14354" i="2"/>
  <c r="R14355" i="2"/>
  <c r="R14356" i="2"/>
  <c r="R14357" i="2"/>
  <c r="R14358" i="2"/>
  <c r="R14359" i="2"/>
  <c r="R14360" i="2"/>
  <c r="R14361" i="2"/>
  <c r="R14362" i="2"/>
  <c r="R14363" i="2"/>
  <c r="R14364" i="2"/>
  <c r="R14365" i="2"/>
  <c r="R14366" i="2"/>
  <c r="R14367" i="2"/>
  <c r="R14368" i="2"/>
  <c r="R14369" i="2"/>
  <c r="R14370" i="2"/>
  <c r="R14371" i="2"/>
  <c r="R14372" i="2"/>
  <c r="R14373" i="2"/>
  <c r="R14374" i="2"/>
  <c r="R14375" i="2"/>
  <c r="R14376" i="2"/>
  <c r="R14377" i="2"/>
  <c r="R14378" i="2"/>
  <c r="R14379" i="2"/>
  <c r="R14380" i="2"/>
  <c r="R14381" i="2"/>
  <c r="R14382" i="2"/>
  <c r="R14383" i="2"/>
  <c r="R14384" i="2"/>
  <c r="R14385" i="2"/>
  <c r="R14386" i="2"/>
  <c r="R14387" i="2"/>
  <c r="R14388" i="2"/>
  <c r="R14389" i="2"/>
  <c r="R14390" i="2"/>
  <c r="R14391" i="2"/>
  <c r="R14392" i="2"/>
  <c r="R14393" i="2"/>
  <c r="R14394" i="2"/>
  <c r="R14395" i="2"/>
  <c r="R14396" i="2"/>
  <c r="R14397" i="2"/>
  <c r="R14398" i="2"/>
  <c r="R14399" i="2"/>
  <c r="R14400" i="2"/>
  <c r="R14401" i="2"/>
  <c r="R14402" i="2"/>
  <c r="R14403" i="2"/>
  <c r="R14404" i="2"/>
  <c r="R14405" i="2"/>
  <c r="R14406" i="2"/>
  <c r="R14407" i="2"/>
  <c r="R14408" i="2"/>
  <c r="R14409" i="2"/>
  <c r="R14410" i="2"/>
  <c r="R14411" i="2"/>
  <c r="R14412" i="2"/>
  <c r="R14413" i="2"/>
  <c r="R14414" i="2"/>
  <c r="R14415" i="2"/>
  <c r="R14416" i="2"/>
  <c r="R14417" i="2"/>
  <c r="R14418" i="2"/>
  <c r="R14419" i="2"/>
  <c r="R14420" i="2"/>
  <c r="R14421" i="2"/>
  <c r="R14422" i="2"/>
  <c r="R14423" i="2"/>
  <c r="R14424" i="2"/>
  <c r="R14425" i="2"/>
  <c r="R14426" i="2"/>
  <c r="R14427" i="2"/>
  <c r="R14428" i="2"/>
  <c r="R14429" i="2"/>
  <c r="R14430" i="2"/>
  <c r="R14431" i="2"/>
  <c r="R14432" i="2"/>
  <c r="R14433" i="2"/>
  <c r="R14434" i="2"/>
  <c r="R14435" i="2"/>
  <c r="R14436" i="2"/>
  <c r="R14437" i="2"/>
  <c r="R14438" i="2"/>
  <c r="R14439" i="2"/>
  <c r="R14440" i="2"/>
  <c r="R14441" i="2"/>
  <c r="R14442" i="2"/>
  <c r="R14443" i="2"/>
  <c r="R14444" i="2"/>
  <c r="R14445" i="2"/>
  <c r="R14446" i="2"/>
  <c r="R14447" i="2"/>
  <c r="R14448" i="2"/>
  <c r="R14449" i="2"/>
  <c r="R14450" i="2"/>
  <c r="R14451" i="2"/>
  <c r="R14452" i="2"/>
  <c r="R14453" i="2"/>
  <c r="R14454" i="2"/>
  <c r="R14455" i="2"/>
  <c r="R14456" i="2"/>
  <c r="R14457" i="2"/>
  <c r="R14458" i="2"/>
  <c r="R14459" i="2"/>
  <c r="R14460" i="2"/>
  <c r="R14461" i="2"/>
  <c r="R14462" i="2"/>
  <c r="R14463" i="2"/>
  <c r="R14464" i="2"/>
  <c r="R14465" i="2"/>
  <c r="R14466" i="2"/>
  <c r="R14467" i="2"/>
  <c r="R14468" i="2"/>
  <c r="R14469" i="2"/>
  <c r="R14470" i="2"/>
  <c r="R14471" i="2"/>
  <c r="R14472" i="2"/>
  <c r="R14473" i="2"/>
  <c r="R14474" i="2"/>
  <c r="R14475" i="2"/>
  <c r="R14476" i="2"/>
  <c r="R14477" i="2"/>
  <c r="R14478" i="2"/>
  <c r="R14479" i="2"/>
  <c r="R14480" i="2"/>
  <c r="R14481" i="2"/>
  <c r="R14482" i="2"/>
  <c r="R14483" i="2"/>
  <c r="R14484" i="2"/>
  <c r="R14485" i="2"/>
  <c r="R14486" i="2"/>
  <c r="R14487" i="2"/>
  <c r="R14488" i="2"/>
  <c r="R14489" i="2"/>
  <c r="R14490" i="2"/>
  <c r="R14491" i="2"/>
  <c r="R14492" i="2"/>
  <c r="R14493" i="2"/>
  <c r="R14494" i="2"/>
  <c r="R14495" i="2"/>
  <c r="R14496" i="2"/>
  <c r="R14497" i="2"/>
  <c r="R14498" i="2"/>
  <c r="R14499" i="2"/>
  <c r="R14500" i="2"/>
  <c r="R14501" i="2"/>
  <c r="R14502" i="2"/>
  <c r="R14503" i="2"/>
  <c r="R14504" i="2"/>
  <c r="R14505" i="2"/>
  <c r="R14506" i="2"/>
  <c r="R14507" i="2"/>
  <c r="R14508" i="2"/>
  <c r="R14509" i="2"/>
  <c r="R14510" i="2"/>
  <c r="R14511" i="2"/>
  <c r="R14512" i="2"/>
  <c r="R14513" i="2"/>
  <c r="R14514" i="2"/>
  <c r="R14515" i="2"/>
  <c r="R14516" i="2"/>
  <c r="R14517" i="2"/>
  <c r="R14518" i="2"/>
  <c r="R14519" i="2"/>
  <c r="R14520" i="2"/>
  <c r="R14521" i="2"/>
  <c r="R14522" i="2"/>
  <c r="R14523" i="2"/>
  <c r="R14524" i="2"/>
  <c r="R14525" i="2"/>
  <c r="R14526" i="2"/>
  <c r="R14527" i="2"/>
  <c r="R14528" i="2"/>
  <c r="R14529" i="2"/>
  <c r="R14530" i="2"/>
  <c r="R14531" i="2"/>
  <c r="R14532" i="2"/>
  <c r="R14533" i="2"/>
  <c r="R14534" i="2"/>
  <c r="R14535" i="2"/>
  <c r="R14536" i="2"/>
  <c r="R14537" i="2"/>
  <c r="R14538" i="2"/>
  <c r="R14539" i="2"/>
  <c r="R14540" i="2"/>
  <c r="R14541" i="2"/>
  <c r="R14542" i="2"/>
  <c r="R14543" i="2"/>
  <c r="R14544" i="2"/>
  <c r="R14545" i="2"/>
  <c r="R14546" i="2"/>
  <c r="R14547" i="2"/>
  <c r="R14548" i="2"/>
  <c r="R14549" i="2"/>
  <c r="R14550" i="2"/>
  <c r="R14551" i="2"/>
  <c r="R14552" i="2"/>
  <c r="R14553" i="2"/>
  <c r="R14554" i="2"/>
  <c r="R14555" i="2"/>
  <c r="R14556" i="2"/>
  <c r="R14557" i="2"/>
  <c r="R14558" i="2"/>
  <c r="R14559" i="2"/>
  <c r="R14560" i="2"/>
  <c r="R14561" i="2"/>
  <c r="R14562" i="2"/>
  <c r="R14563" i="2"/>
  <c r="R14564" i="2"/>
  <c r="R14565" i="2"/>
  <c r="R14566" i="2"/>
  <c r="R14567" i="2"/>
  <c r="R14568" i="2"/>
  <c r="R14569" i="2"/>
  <c r="R14570" i="2"/>
  <c r="R14571" i="2"/>
  <c r="R14572" i="2"/>
  <c r="R14573" i="2"/>
  <c r="R14574" i="2"/>
  <c r="R14575" i="2"/>
  <c r="R14576" i="2"/>
  <c r="R14577" i="2"/>
  <c r="R14578" i="2"/>
  <c r="R14579" i="2"/>
  <c r="R14580" i="2"/>
  <c r="R14581" i="2"/>
  <c r="R14582" i="2"/>
  <c r="R14583" i="2"/>
  <c r="R14584" i="2"/>
  <c r="R14585" i="2"/>
  <c r="R14586" i="2"/>
  <c r="R14587" i="2"/>
  <c r="R14588" i="2"/>
  <c r="R14589" i="2"/>
  <c r="R14590" i="2"/>
  <c r="R14591" i="2"/>
  <c r="R14592" i="2"/>
  <c r="R14593" i="2"/>
  <c r="R14594" i="2"/>
  <c r="R14595" i="2"/>
  <c r="R14596" i="2"/>
  <c r="R14597" i="2"/>
  <c r="R14598" i="2"/>
  <c r="R14599" i="2"/>
  <c r="R14600" i="2"/>
  <c r="R14601" i="2"/>
  <c r="R14602" i="2"/>
  <c r="R14603" i="2"/>
  <c r="R14604" i="2"/>
  <c r="R14605" i="2"/>
  <c r="R14606" i="2"/>
  <c r="R14607" i="2"/>
  <c r="R14608" i="2"/>
  <c r="R14609" i="2"/>
  <c r="R14610" i="2"/>
  <c r="R14611" i="2"/>
  <c r="R14612" i="2"/>
  <c r="R14613" i="2"/>
  <c r="R14614" i="2"/>
  <c r="R14615" i="2"/>
  <c r="R14616" i="2"/>
  <c r="R14617" i="2"/>
  <c r="R14618" i="2"/>
  <c r="R14619" i="2"/>
  <c r="R14620" i="2"/>
  <c r="R14621" i="2"/>
  <c r="R14622" i="2"/>
  <c r="R14623" i="2"/>
  <c r="R14624" i="2"/>
  <c r="R14625" i="2"/>
  <c r="R14626" i="2"/>
  <c r="R14627" i="2"/>
  <c r="R14628" i="2"/>
  <c r="R14629" i="2"/>
  <c r="R14630" i="2"/>
  <c r="R14631" i="2"/>
  <c r="R14632" i="2"/>
  <c r="R14633" i="2"/>
  <c r="R14634" i="2"/>
  <c r="R14635" i="2"/>
  <c r="R14636" i="2"/>
  <c r="R14637" i="2"/>
  <c r="R14638" i="2"/>
  <c r="R14639" i="2"/>
  <c r="R14640" i="2"/>
  <c r="R14641" i="2"/>
  <c r="R14642" i="2"/>
  <c r="R14643" i="2"/>
  <c r="R14644" i="2"/>
  <c r="R14645" i="2"/>
  <c r="R14646" i="2"/>
  <c r="R14647" i="2"/>
  <c r="R14648" i="2"/>
  <c r="R14649" i="2"/>
  <c r="R14650" i="2"/>
  <c r="R14651" i="2"/>
  <c r="R14652" i="2"/>
  <c r="R14653" i="2"/>
  <c r="R14654" i="2"/>
  <c r="R14655" i="2"/>
  <c r="R14656" i="2"/>
  <c r="R14657" i="2"/>
  <c r="R14658" i="2"/>
  <c r="R14659" i="2"/>
  <c r="R14660" i="2"/>
  <c r="R14661" i="2"/>
  <c r="R14662" i="2"/>
  <c r="R14663" i="2"/>
  <c r="R14664" i="2"/>
  <c r="R14665" i="2"/>
  <c r="R14666" i="2"/>
  <c r="R14667" i="2"/>
  <c r="R14668" i="2"/>
  <c r="R14669" i="2"/>
  <c r="R14670" i="2"/>
  <c r="R14671" i="2"/>
  <c r="R14672" i="2"/>
  <c r="R14673" i="2"/>
  <c r="R14674" i="2"/>
  <c r="R14675" i="2"/>
  <c r="R14676" i="2"/>
  <c r="R14677" i="2"/>
  <c r="R14678" i="2"/>
  <c r="R14679" i="2"/>
  <c r="R14680" i="2"/>
  <c r="R14681" i="2"/>
  <c r="R14682" i="2"/>
  <c r="R14683" i="2"/>
  <c r="R14684" i="2"/>
  <c r="R14685" i="2"/>
  <c r="R14686" i="2"/>
  <c r="R14687" i="2"/>
  <c r="R14688" i="2"/>
  <c r="R14689" i="2"/>
  <c r="R14690" i="2"/>
  <c r="R14691" i="2"/>
  <c r="R14692" i="2"/>
  <c r="R14693" i="2"/>
  <c r="R14694" i="2"/>
  <c r="R14695" i="2"/>
  <c r="R14696" i="2"/>
  <c r="R14697" i="2"/>
  <c r="R14698" i="2"/>
  <c r="R14699" i="2"/>
  <c r="R14700" i="2"/>
  <c r="R14701" i="2"/>
  <c r="R14702" i="2"/>
  <c r="R14703" i="2"/>
  <c r="R14704" i="2"/>
  <c r="R14705" i="2"/>
  <c r="R14706" i="2"/>
  <c r="R14707" i="2"/>
  <c r="R14708" i="2"/>
  <c r="R14709" i="2"/>
  <c r="R14710" i="2"/>
  <c r="R14711" i="2"/>
  <c r="R14712" i="2"/>
  <c r="R14713" i="2"/>
  <c r="R14714" i="2"/>
  <c r="R14715" i="2"/>
  <c r="R14716" i="2"/>
  <c r="R14717" i="2"/>
  <c r="R14718" i="2"/>
  <c r="R14719" i="2"/>
  <c r="R14720" i="2"/>
  <c r="R14721" i="2"/>
  <c r="R14722" i="2"/>
  <c r="R14723" i="2"/>
  <c r="R14724" i="2"/>
  <c r="R14725" i="2"/>
  <c r="R14726" i="2"/>
  <c r="R14727" i="2"/>
  <c r="R14728" i="2"/>
  <c r="R14729" i="2"/>
  <c r="R14730" i="2"/>
  <c r="R14731" i="2"/>
  <c r="R14732" i="2"/>
  <c r="R14733" i="2"/>
  <c r="R14734" i="2"/>
  <c r="R14735" i="2"/>
  <c r="R14736" i="2"/>
  <c r="R14737" i="2"/>
  <c r="R14738" i="2"/>
  <c r="R14739" i="2"/>
  <c r="R14740" i="2"/>
  <c r="R14741" i="2"/>
  <c r="R14742" i="2"/>
  <c r="R14743" i="2"/>
  <c r="R14744" i="2"/>
  <c r="R14745" i="2"/>
  <c r="R14746" i="2"/>
  <c r="R14747" i="2"/>
  <c r="R14748" i="2"/>
  <c r="R14749" i="2"/>
  <c r="R14750" i="2"/>
  <c r="R14751" i="2"/>
  <c r="R14752" i="2"/>
  <c r="R14753" i="2"/>
  <c r="R14754" i="2"/>
  <c r="R14755" i="2"/>
  <c r="R14756" i="2"/>
  <c r="R14757" i="2"/>
  <c r="R14758" i="2"/>
  <c r="R14759" i="2"/>
  <c r="R14760" i="2"/>
  <c r="R14761" i="2"/>
  <c r="R14762" i="2"/>
  <c r="R14763" i="2"/>
  <c r="R14764" i="2"/>
  <c r="R14765" i="2"/>
  <c r="R14766" i="2"/>
  <c r="R14767" i="2"/>
  <c r="R14768" i="2"/>
  <c r="R14769" i="2"/>
  <c r="R14770" i="2"/>
  <c r="R14771" i="2"/>
  <c r="R14772" i="2"/>
  <c r="R14773" i="2"/>
  <c r="R14774" i="2"/>
  <c r="R14775" i="2"/>
  <c r="R14776" i="2"/>
  <c r="R14777" i="2"/>
  <c r="R14778" i="2"/>
  <c r="R14779" i="2"/>
  <c r="R14780" i="2"/>
  <c r="R14781" i="2"/>
  <c r="R14782" i="2"/>
  <c r="R14783" i="2"/>
  <c r="R14784" i="2"/>
  <c r="R14785" i="2"/>
  <c r="R14786" i="2"/>
  <c r="R14787" i="2"/>
  <c r="R14788" i="2"/>
  <c r="R14789" i="2"/>
  <c r="R14790" i="2"/>
  <c r="R14791" i="2"/>
  <c r="R14792" i="2"/>
  <c r="R14793" i="2"/>
  <c r="R14794" i="2"/>
  <c r="R14795" i="2"/>
  <c r="R14796" i="2"/>
  <c r="R14797" i="2"/>
  <c r="R14798" i="2"/>
  <c r="R14799" i="2"/>
  <c r="R14800" i="2"/>
  <c r="R14801" i="2"/>
  <c r="R14802" i="2"/>
  <c r="R14803" i="2"/>
  <c r="R14804" i="2"/>
  <c r="R14805" i="2"/>
  <c r="R14806" i="2"/>
  <c r="R14807" i="2"/>
  <c r="R14808" i="2"/>
  <c r="R14809" i="2"/>
  <c r="R14810" i="2"/>
  <c r="R14811" i="2"/>
  <c r="R14812" i="2"/>
  <c r="R14813" i="2"/>
  <c r="R14814" i="2"/>
  <c r="R14815" i="2"/>
  <c r="R14816" i="2"/>
  <c r="R14817" i="2"/>
  <c r="R14818" i="2"/>
  <c r="R14819" i="2"/>
  <c r="R14820" i="2"/>
  <c r="R14821" i="2"/>
  <c r="R14822" i="2"/>
  <c r="R14823" i="2"/>
  <c r="R14824" i="2"/>
  <c r="R14825" i="2"/>
  <c r="R14826" i="2"/>
  <c r="R14827" i="2"/>
  <c r="R14828" i="2"/>
  <c r="R14829" i="2"/>
  <c r="R14830" i="2"/>
  <c r="R14831" i="2"/>
  <c r="R14832" i="2"/>
  <c r="R14833" i="2"/>
  <c r="R14834" i="2"/>
  <c r="R14835" i="2"/>
  <c r="R14836" i="2"/>
  <c r="R14837" i="2"/>
  <c r="R14838" i="2"/>
  <c r="R14839" i="2"/>
  <c r="R14840" i="2"/>
  <c r="R14841" i="2"/>
  <c r="R14842" i="2"/>
  <c r="R14843" i="2"/>
  <c r="R14844" i="2"/>
  <c r="R14845" i="2"/>
  <c r="R14846" i="2"/>
  <c r="R14847" i="2"/>
  <c r="R14848" i="2"/>
  <c r="R14849" i="2"/>
  <c r="R14850" i="2"/>
  <c r="R14851" i="2"/>
  <c r="R14852" i="2"/>
  <c r="R14853" i="2"/>
  <c r="R14854" i="2"/>
  <c r="R14855" i="2"/>
  <c r="R14856" i="2"/>
  <c r="R14857" i="2"/>
  <c r="R14858" i="2"/>
  <c r="R14859" i="2"/>
  <c r="R14860" i="2"/>
  <c r="R14861" i="2"/>
  <c r="R14862" i="2"/>
  <c r="R14863" i="2"/>
  <c r="R14864" i="2"/>
  <c r="R14865" i="2"/>
  <c r="R14866" i="2"/>
  <c r="R14867" i="2"/>
  <c r="R14868" i="2"/>
  <c r="R14869" i="2"/>
  <c r="R14870" i="2"/>
  <c r="R14871" i="2"/>
  <c r="R14872" i="2"/>
  <c r="R14873" i="2"/>
  <c r="R14874" i="2"/>
  <c r="R14875" i="2"/>
  <c r="R14876" i="2"/>
  <c r="R14877" i="2"/>
  <c r="R14878" i="2"/>
  <c r="R14879" i="2"/>
  <c r="R14880" i="2"/>
  <c r="R14881" i="2"/>
  <c r="R14882" i="2"/>
  <c r="R14883" i="2"/>
  <c r="R14884" i="2"/>
  <c r="R14885" i="2"/>
  <c r="R14886" i="2"/>
  <c r="R14887" i="2"/>
  <c r="R14888" i="2"/>
  <c r="R14889" i="2"/>
  <c r="R14890" i="2"/>
  <c r="R14891" i="2"/>
  <c r="R14892" i="2"/>
  <c r="R14893" i="2"/>
  <c r="R14894" i="2"/>
  <c r="R14895" i="2"/>
  <c r="R14896" i="2"/>
  <c r="R14897" i="2"/>
  <c r="R14898" i="2"/>
  <c r="R14899" i="2"/>
  <c r="R14900" i="2"/>
  <c r="R14901" i="2"/>
  <c r="R14902" i="2"/>
  <c r="R14903" i="2"/>
  <c r="R14904" i="2"/>
  <c r="R14905" i="2"/>
  <c r="R14906" i="2"/>
  <c r="R14907" i="2"/>
  <c r="R14908" i="2"/>
  <c r="R14909" i="2"/>
  <c r="R14910" i="2"/>
  <c r="R14911" i="2"/>
  <c r="R14912" i="2"/>
  <c r="R14913" i="2"/>
  <c r="R14914" i="2"/>
  <c r="R14915" i="2"/>
  <c r="R14916" i="2"/>
  <c r="R14917" i="2"/>
  <c r="R14918" i="2"/>
  <c r="R14919" i="2"/>
  <c r="R14920" i="2"/>
  <c r="R14921" i="2"/>
  <c r="R14922" i="2"/>
  <c r="R14923" i="2"/>
  <c r="R14924" i="2"/>
  <c r="R14925" i="2"/>
  <c r="R14926" i="2"/>
  <c r="R14927" i="2"/>
  <c r="R14928" i="2"/>
  <c r="R14929" i="2"/>
  <c r="R14930" i="2"/>
  <c r="R14931" i="2"/>
  <c r="R14932" i="2"/>
  <c r="R14933" i="2"/>
  <c r="R14934" i="2"/>
  <c r="R14935" i="2"/>
  <c r="R14936" i="2"/>
  <c r="R14937" i="2"/>
  <c r="R14938" i="2"/>
  <c r="R14939" i="2"/>
  <c r="R14940" i="2"/>
  <c r="R14941" i="2"/>
  <c r="R14942" i="2"/>
  <c r="R14943" i="2"/>
  <c r="R14944" i="2"/>
  <c r="R14945" i="2"/>
  <c r="R14946" i="2"/>
  <c r="R14947" i="2"/>
  <c r="R14948" i="2"/>
  <c r="R14949" i="2"/>
  <c r="R14950" i="2"/>
  <c r="R14951" i="2"/>
  <c r="R14952" i="2"/>
  <c r="R14953" i="2"/>
  <c r="R14954" i="2"/>
  <c r="R14955" i="2"/>
  <c r="R14956" i="2"/>
  <c r="R14957" i="2"/>
  <c r="R14958" i="2"/>
  <c r="R14959" i="2"/>
  <c r="R14960" i="2"/>
  <c r="R14961" i="2"/>
  <c r="R14962" i="2"/>
  <c r="R14963" i="2"/>
  <c r="R14964" i="2"/>
  <c r="R14965" i="2"/>
  <c r="R14966" i="2"/>
  <c r="R14967" i="2"/>
  <c r="R14968" i="2"/>
  <c r="R14969" i="2"/>
  <c r="R14970" i="2"/>
  <c r="R14971" i="2"/>
  <c r="R14972" i="2"/>
  <c r="R14973" i="2"/>
  <c r="R14974" i="2"/>
  <c r="R14975" i="2"/>
  <c r="R14976" i="2"/>
  <c r="R14977" i="2"/>
  <c r="R14978" i="2"/>
  <c r="R14979" i="2"/>
  <c r="R14980" i="2"/>
  <c r="R14981" i="2"/>
  <c r="R14982" i="2"/>
  <c r="R14983" i="2"/>
  <c r="R14984" i="2"/>
  <c r="R14985" i="2"/>
  <c r="R14986" i="2"/>
  <c r="R14987" i="2"/>
  <c r="R14988" i="2"/>
  <c r="R14989" i="2"/>
  <c r="R14990" i="2"/>
  <c r="R14991" i="2"/>
  <c r="R14992" i="2"/>
  <c r="R14993" i="2"/>
  <c r="R14994" i="2"/>
  <c r="R14995" i="2"/>
  <c r="R14996" i="2"/>
  <c r="R14997" i="2"/>
  <c r="R14998" i="2"/>
  <c r="R14999" i="2"/>
  <c r="R15000" i="2"/>
  <c r="R15001" i="2"/>
  <c r="R15002" i="2"/>
  <c r="R15003" i="2"/>
  <c r="R15004" i="2"/>
  <c r="R15005" i="2"/>
  <c r="R15006" i="2"/>
  <c r="R15007" i="2"/>
  <c r="R15008" i="2"/>
  <c r="R15009" i="2"/>
  <c r="R15010" i="2"/>
  <c r="R15011" i="2"/>
  <c r="R15012" i="2"/>
  <c r="R15013" i="2"/>
  <c r="R15014" i="2"/>
  <c r="R15015" i="2"/>
  <c r="R15016" i="2"/>
  <c r="R15017" i="2"/>
  <c r="R15018" i="2"/>
  <c r="R15019" i="2"/>
  <c r="R15020" i="2"/>
  <c r="R15021" i="2"/>
  <c r="R15022" i="2"/>
  <c r="R15023" i="2"/>
  <c r="R15024" i="2"/>
  <c r="R15025" i="2"/>
  <c r="R15026" i="2"/>
  <c r="R15027" i="2"/>
  <c r="R15028" i="2"/>
  <c r="R15029" i="2"/>
  <c r="R15030" i="2"/>
  <c r="R15031" i="2"/>
  <c r="R15032" i="2"/>
  <c r="R15033" i="2"/>
  <c r="R15034" i="2"/>
  <c r="R15035" i="2"/>
  <c r="R15036" i="2"/>
  <c r="R15037" i="2"/>
  <c r="R15038" i="2"/>
  <c r="R15039" i="2"/>
  <c r="R15040" i="2"/>
  <c r="R15041" i="2"/>
  <c r="R15042" i="2"/>
  <c r="R15043" i="2"/>
  <c r="R15044" i="2"/>
  <c r="R15045" i="2"/>
  <c r="R15046" i="2"/>
  <c r="R15047" i="2"/>
  <c r="R15048" i="2"/>
  <c r="R15049" i="2"/>
  <c r="R15050" i="2"/>
  <c r="R15051" i="2"/>
  <c r="R15052" i="2"/>
  <c r="R15053" i="2"/>
  <c r="R15054" i="2"/>
  <c r="R15055" i="2"/>
  <c r="R15056" i="2"/>
  <c r="R15057" i="2"/>
  <c r="R15058" i="2"/>
  <c r="R15059" i="2"/>
  <c r="R15060" i="2"/>
  <c r="R15061" i="2"/>
  <c r="R15062" i="2"/>
  <c r="R15063" i="2"/>
  <c r="R15064" i="2"/>
  <c r="R15065" i="2"/>
  <c r="R15066" i="2"/>
  <c r="R15067" i="2"/>
  <c r="R15068" i="2"/>
  <c r="R15069" i="2"/>
  <c r="R15070" i="2"/>
  <c r="R15071" i="2"/>
  <c r="R15072" i="2"/>
  <c r="R15073" i="2"/>
  <c r="R15074" i="2"/>
  <c r="R15075" i="2"/>
  <c r="R15076" i="2"/>
  <c r="R15077" i="2"/>
  <c r="R15078" i="2"/>
  <c r="R15079" i="2"/>
  <c r="R15080" i="2"/>
  <c r="R15081" i="2"/>
  <c r="R15082" i="2"/>
  <c r="R15083" i="2"/>
  <c r="R15084" i="2"/>
  <c r="R15085" i="2"/>
  <c r="R15086" i="2"/>
  <c r="R15087" i="2"/>
  <c r="R15088" i="2"/>
  <c r="R15089" i="2"/>
  <c r="R15090" i="2"/>
  <c r="R15091" i="2"/>
  <c r="R15092" i="2"/>
  <c r="R15093" i="2"/>
  <c r="R15094" i="2"/>
  <c r="R15095" i="2"/>
  <c r="R15096" i="2"/>
  <c r="R15097" i="2"/>
  <c r="R15098" i="2"/>
  <c r="R15099" i="2"/>
  <c r="R15100" i="2"/>
  <c r="R15101" i="2"/>
  <c r="R15102" i="2"/>
  <c r="R15103" i="2"/>
  <c r="R15104" i="2"/>
  <c r="R15105" i="2"/>
  <c r="R15106" i="2"/>
  <c r="R15107" i="2"/>
  <c r="R15108" i="2"/>
  <c r="R15109" i="2"/>
  <c r="R15110" i="2"/>
  <c r="R15111" i="2"/>
  <c r="R15112" i="2"/>
  <c r="R15113" i="2"/>
  <c r="R15114" i="2"/>
  <c r="R15115" i="2"/>
  <c r="R15116" i="2"/>
  <c r="R15117" i="2"/>
  <c r="R15118" i="2"/>
  <c r="R15119" i="2"/>
  <c r="R15120" i="2"/>
  <c r="R15121" i="2"/>
  <c r="R15122" i="2"/>
  <c r="R15123" i="2"/>
  <c r="R15124" i="2"/>
  <c r="R15125" i="2"/>
  <c r="R15126" i="2"/>
  <c r="R15127" i="2"/>
  <c r="R15128" i="2"/>
  <c r="R15129" i="2"/>
  <c r="R15130" i="2"/>
  <c r="R15131" i="2"/>
  <c r="R15132" i="2"/>
  <c r="R15133" i="2"/>
  <c r="R15134" i="2"/>
  <c r="R15135" i="2"/>
  <c r="R15136" i="2"/>
  <c r="R15137" i="2"/>
  <c r="R15138" i="2"/>
  <c r="R15139" i="2"/>
  <c r="R15140" i="2"/>
  <c r="R15141" i="2"/>
  <c r="R15142" i="2"/>
  <c r="R15143" i="2"/>
  <c r="R15144" i="2"/>
  <c r="R15145" i="2"/>
  <c r="R15146" i="2"/>
  <c r="R15147" i="2"/>
  <c r="R15148" i="2"/>
  <c r="R15149" i="2"/>
  <c r="R15150" i="2"/>
  <c r="R15151" i="2"/>
  <c r="R15152" i="2"/>
  <c r="R15153" i="2"/>
  <c r="R15154" i="2"/>
  <c r="R15155" i="2"/>
  <c r="R15156" i="2"/>
  <c r="R15157" i="2"/>
  <c r="R15158" i="2"/>
  <c r="R15159" i="2"/>
  <c r="R15160" i="2"/>
  <c r="R15161" i="2"/>
  <c r="R15162" i="2"/>
  <c r="R15163" i="2"/>
  <c r="R15164" i="2"/>
  <c r="R15165" i="2"/>
  <c r="R15166" i="2"/>
  <c r="R15167" i="2"/>
  <c r="R15168" i="2"/>
  <c r="R15169" i="2"/>
  <c r="R15170" i="2"/>
  <c r="R15171" i="2"/>
  <c r="R15172" i="2"/>
  <c r="R15173" i="2"/>
  <c r="R15174" i="2"/>
  <c r="R15175" i="2"/>
  <c r="R15176" i="2"/>
  <c r="R15177" i="2"/>
  <c r="R15178" i="2"/>
  <c r="R15179" i="2"/>
  <c r="R15180" i="2"/>
  <c r="R15181" i="2"/>
  <c r="R15182" i="2"/>
  <c r="R15183" i="2"/>
  <c r="R15184" i="2"/>
  <c r="R15185" i="2"/>
  <c r="R15186" i="2"/>
  <c r="R15187" i="2"/>
  <c r="R15188" i="2"/>
  <c r="R15189" i="2"/>
  <c r="R15190" i="2"/>
  <c r="R15191" i="2"/>
  <c r="R15192" i="2"/>
  <c r="R15193" i="2"/>
  <c r="R15194" i="2"/>
  <c r="R15195" i="2"/>
  <c r="R15196" i="2"/>
  <c r="R15197" i="2"/>
  <c r="R15198" i="2"/>
  <c r="R15199" i="2"/>
  <c r="R15200" i="2"/>
  <c r="R15201" i="2"/>
  <c r="R15202" i="2"/>
  <c r="R15203" i="2"/>
  <c r="R15204" i="2"/>
  <c r="R15205" i="2"/>
  <c r="R15206" i="2"/>
  <c r="R15207" i="2"/>
  <c r="R15208" i="2"/>
  <c r="R15209" i="2"/>
  <c r="R15210" i="2"/>
  <c r="R15211" i="2"/>
  <c r="R15212" i="2"/>
  <c r="R15213" i="2"/>
  <c r="R15214" i="2"/>
  <c r="R15215" i="2"/>
  <c r="R15216" i="2"/>
  <c r="R15217" i="2"/>
  <c r="R15218" i="2"/>
  <c r="R15219" i="2"/>
  <c r="R15220" i="2"/>
  <c r="R15221" i="2"/>
  <c r="R15222" i="2"/>
  <c r="R15223" i="2"/>
  <c r="R15224" i="2"/>
  <c r="R15225" i="2"/>
  <c r="R15226" i="2"/>
  <c r="R15227" i="2"/>
  <c r="R15228" i="2"/>
  <c r="R15229" i="2"/>
  <c r="R15230" i="2"/>
  <c r="R15231" i="2"/>
  <c r="R15232" i="2"/>
  <c r="R15233" i="2"/>
  <c r="R15234" i="2"/>
  <c r="R15235" i="2"/>
  <c r="R15236" i="2"/>
  <c r="R15237" i="2"/>
  <c r="R15238" i="2"/>
  <c r="R15239" i="2"/>
  <c r="R15240" i="2"/>
  <c r="R15241" i="2"/>
  <c r="R15242" i="2"/>
  <c r="R15243" i="2"/>
  <c r="R15244" i="2"/>
  <c r="R15245" i="2"/>
  <c r="R15246" i="2"/>
  <c r="R15247" i="2"/>
  <c r="R15248" i="2"/>
  <c r="R15249" i="2"/>
  <c r="R15250" i="2"/>
  <c r="R15251" i="2"/>
  <c r="R15252" i="2"/>
  <c r="R15253" i="2"/>
  <c r="R15254" i="2"/>
  <c r="R15255" i="2"/>
  <c r="R15256" i="2"/>
  <c r="R15257" i="2"/>
  <c r="R15258" i="2"/>
  <c r="R15259" i="2"/>
  <c r="R15260" i="2"/>
  <c r="R15261" i="2"/>
  <c r="R15262" i="2"/>
  <c r="R15263" i="2"/>
  <c r="R15264" i="2"/>
  <c r="R15265" i="2"/>
  <c r="R15266" i="2"/>
  <c r="R15267" i="2"/>
  <c r="R15268" i="2"/>
  <c r="R15269" i="2"/>
  <c r="R15270" i="2"/>
  <c r="R15271" i="2"/>
  <c r="R15272" i="2"/>
  <c r="R15273" i="2"/>
  <c r="R15274" i="2"/>
  <c r="R15275" i="2"/>
  <c r="R15276" i="2"/>
  <c r="R15277" i="2"/>
  <c r="R15278" i="2"/>
  <c r="R15279" i="2"/>
  <c r="R15280" i="2"/>
  <c r="R15281" i="2"/>
  <c r="R15282" i="2"/>
  <c r="R15283" i="2"/>
  <c r="R15284" i="2"/>
  <c r="R15285" i="2"/>
  <c r="R15286" i="2"/>
  <c r="R15287" i="2"/>
  <c r="R15288" i="2"/>
  <c r="R15289" i="2"/>
  <c r="R15290" i="2"/>
  <c r="R15291" i="2"/>
  <c r="R15292" i="2"/>
  <c r="R15293" i="2"/>
  <c r="R15294" i="2"/>
  <c r="R15295" i="2"/>
  <c r="R15296" i="2"/>
  <c r="R15297" i="2"/>
  <c r="R15298" i="2"/>
  <c r="R15299" i="2"/>
  <c r="R15300" i="2"/>
  <c r="R15301" i="2"/>
  <c r="R15302" i="2"/>
  <c r="R15303" i="2"/>
  <c r="R15304" i="2"/>
  <c r="R15305" i="2"/>
  <c r="R15306" i="2"/>
  <c r="R15307" i="2"/>
  <c r="R15308" i="2"/>
  <c r="R15309" i="2"/>
  <c r="R15310" i="2"/>
  <c r="R15311" i="2"/>
  <c r="R15312" i="2"/>
  <c r="R15313" i="2"/>
  <c r="R15314" i="2"/>
  <c r="R15315" i="2"/>
  <c r="R15316" i="2"/>
  <c r="R15317" i="2"/>
  <c r="R15318" i="2"/>
  <c r="R15319" i="2"/>
  <c r="R15320" i="2"/>
  <c r="R15321" i="2"/>
  <c r="R15322" i="2"/>
  <c r="R15323" i="2"/>
  <c r="R15324" i="2"/>
  <c r="R15325" i="2"/>
  <c r="R15326" i="2"/>
  <c r="R15327" i="2"/>
  <c r="R15328" i="2"/>
  <c r="R15329" i="2"/>
  <c r="R15330" i="2"/>
  <c r="R15331" i="2"/>
  <c r="R15332" i="2"/>
  <c r="R15333" i="2"/>
  <c r="R15334" i="2"/>
  <c r="R15335" i="2"/>
  <c r="R15336" i="2"/>
  <c r="R15337" i="2"/>
  <c r="R15338" i="2"/>
  <c r="R15339" i="2"/>
  <c r="R15340" i="2"/>
  <c r="R15341" i="2"/>
  <c r="R15342" i="2"/>
  <c r="R15343" i="2"/>
  <c r="R15344" i="2"/>
  <c r="R15345" i="2"/>
  <c r="R15346" i="2"/>
  <c r="R15347" i="2"/>
  <c r="R15348" i="2"/>
  <c r="R15349" i="2"/>
  <c r="R15350" i="2"/>
  <c r="R15351" i="2"/>
  <c r="R15352" i="2"/>
  <c r="R15353" i="2"/>
  <c r="R15354" i="2"/>
  <c r="R15355" i="2"/>
  <c r="R15356" i="2"/>
  <c r="R15357" i="2"/>
  <c r="R15358" i="2"/>
  <c r="R15359" i="2"/>
  <c r="R15360" i="2"/>
  <c r="R15361" i="2"/>
  <c r="R15362" i="2"/>
  <c r="R15363" i="2"/>
  <c r="R15364" i="2"/>
  <c r="R15365" i="2"/>
  <c r="R15366" i="2"/>
  <c r="R15367" i="2"/>
  <c r="R15368" i="2"/>
  <c r="R15369" i="2"/>
  <c r="R15370" i="2"/>
  <c r="R15371" i="2"/>
  <c r="R15372" i="2"/>
  <c r="R15373" i="2"/>
  <c r="R15374" i="2"/>
  <c r="R15375" i="2"/>
  <c r="R15376" i="2"/>
  <c r="R15377" i="2"/>
  <c r="R15378" i="2"/>
  <c r="R15379" i="2"/>
  <c r="R15380" i="2"/>
  <c r="R15381" i="2"/>
  <c r="R15382" i="2"/>
  <c r="R15383" i="2"/>
  <c r="R15384" i="2"/>
  <c r="R15385" i="2"/>
  <c r="R15386" i="2"/>
  <c r="R15387" i="2"/>
  <c r="R15388" i="2"/>
  <c r="R15389" i="2"/>
  <c r="R15390" i="2"/>
  <c r="R15391" i="2"/>
  <c r="R15392" i="2"/>
  <c r="R15393" i="2"/>
  <c r="R15394" i="2"/>
  <c r="R15395" i="2"/>
  <c r="R15396" i="2"/>
  <c r="R15397" i="2"/>
  <c r="R15398" i="2"/>
  <c r="R15399" i="2"/>
  <c r="R15400" i="2"/>
  <c r="R15401" i="2"/>
  <c r="R15402" i="2"/>
  <c r="R15403" i="2"/>
  <c r="R15404" i="2"/>
  <c r="R15405" i="2"/>
  <c r="R15406" i="2"/>
  <c r="R15407" i="2"/>
  <c r="R15408" i="2"/>
  <c r="R15409" i="2"/>
  <c r="R15410" i="2"/>
  <c r="R15411" i="2"/>
  <c r="R15412" i="2"/>
  <c r="R15413" i="2"/>
  <c r="R15414" i="2"/>
  <c r="R15415" i="2"/>
  <c r="R15416" i="2"/>
  <c r="R15417" i="2"/>
  <c r="R15418" i="2"/>
  <c r="R15419" i="2"/>
  <c r="R15420" i="2"/>
  <c r="R15421" i="2"/>
  <c r="R15422" i="2"/>
  <c r="R15423" i="2"/>
  <c r="R15424" i="2"/>
  <c r="R15425" i="2"/>
  <c r="R15426" i="2"/>
  <c r="R15427" i="2"/>
  <c r="R15428" i="2"/>
  <c r="R15429" i="2"/>
  <c r="R15430" i="2"/>
  <c r="R15431" i="2"/>
  <c r="R15432" i="2"/>
  <c r="R15433" i="2"/>
  <c r="R15434" i="2"/>
  <c r="R15435" i="2"/>
  <c r="R15436" i="2"/>
  <c r="R15437" i="2"/>
  <c r="R15438" i="2"/>
  <c r="R15439" i="2"/>
  <c r="R15440" i="2"/>
  <c r="R15441" i="2"/>
  <c r="R15442" i="2"/>
  <c r="R15443" i="2"/>
  <c r="R15444" i="2"/>
  <c r="R15445" i="2"/>
  <c r="R15446" i="2"/>
  <c r="R15447" i="2"/>
  <c r="R15448" i="2"/>
  <c r="R15449" i="2"/>
  <c r="R15450" i="2"/>
  <c r="R15451" i="2"/>
  <c r="R15452" i="2"/>
  <c r="R15453" i="2"/>
  <c r="R15454" i="2"/>
  <c r="R15455" i="2"/>
  <c r="R15456" i="2"/>
  <c r="R15457" i="2"/>
  <c r="R15458" i="2"/>
  <c r="R15459" i="2"/>
  <c r="R15460" i="2"/>
  <c r="R15461" i="2"/>
  <c r="R15462" i="2"/>
  <c r="R15463" i="2"/>
  <c r="R15464" i="2"/>
  <c r="R15465" i="2"/>
  <c r="R15466" i="2"/>
  <c r="R15467" i="2"/>
  <c r="R15468" i="2"/>
  <c r="R15469" i="2"/>
  <c r="R15470" i="2"/>
  <c r="R15471" i="2"/>
  <c r="R15472" i="2"/>
  <c r="R15473" i="2"/>
  <c r="R15474" i="2"/>
  <c r="R15475" i="2"/>
  <c r="R15476" i="2"/>
  <c r="R15477" i="2"/>
  <c r="R15478" i="2"/>
  <c r="R15479" i="2"/>
  <c r="R15480" i="2"/>
  <c r="R15481" i="2"/>
  <c r="R15482" i="2"/>
  <c r="R15483" i="2"/>
  <c r="R15484" i="2"/>
  <c r="R15485" i="2"/>
  <c r="R15486" i="2"/>
  <c r="R15487" i="2"/>
  <c r="R15488" i="2"/>
  <c r="R15489" i="2"/>
  <c r="R15490" i="2"/>
  <c r="R15491" i="2"/>
  <c r="R15492" i="2"/>
  <c r="R15493" i="2"/>
  <c r="R15494" i="2"/>
  <c r="R15495" i="2"/>
  <c r="R15496" i="2"/>
  <c r="R15497" i="2"/>
  <c r="R15498" i="2"/>
  <c r="R15499" i="2"/>
  <c r="R15500" i="2"/>
  <c r="R15501" i="2"/>
  <c r="R15502" i="2"/>
  <c r="R15503" i="2"/>
  <c r="R15504" i="2"/>
  <c r="R15505" i="2"/>
  <c r="R15506" i="2"/>
  <c r="R15507" i="2"/>
  <c r="R15508" i="2"/>
  <c r="R15509" i="2"/>
  <c r="R15510" i="2"/>
  <c r="R15511" i="2"/>
  <c r="R15512" i="2"/>
  <c r="R15513" i="2"/>
  <c r="R15514" i="2"/>
  <c r="R15515" i="2"/>
  <c r="R15516" i="2"/>
  <c r="R15517" i="2"/>
  <c r="R15518" i="2"/>
  <c r="R15519" i="2"/>
  <c r="R15520" i="2"/>
  <c r="R15521" i="2"/>
  <c r="R15522" i="2"/>
  <c r="R15523" i="2"/>
  <c r="R15524" i="2"/>
  <c r="R15525" i="2"/>
  <c r="R15526" i="2"/>
  <c r="R15527" i="2"/>
  <c r="R15528" i="2"/>
  <c r="R15529" i="2"/>
  <c r="R15530" i="2"/>
  <c r="R15531" i="2"/>
  <c r="R15532" i="2"/>
  <c r="R15533" i="2"/>
  <c r="R15534" i="2"/>
  <c r="R15535" i="2"/>
  <c r="R15536" i="2"/>
  <c r="R15537" i="2"/>
  <c r="R15538" i="2"/>
  <c r="R15539" i="2"/>
  <c r="R15540" i="2"/>
  <c r="R15541" i="2"/>
  <c r="R15542" i="2"/>
  <c r="R15543" i="2"/>
  <c r="R15544" i="2"/>
  <c r="R15545" i="2"/>
  <c r="R15546" i="2"/>
  <c r="R15547" i="2"/>
  <c r="R15548" i="2"/>
  <c r="R15549" i="2"/>
  <c r="R15550" i="2"/>
  <c r="R15551" i="2"/>
  <c r="R15552" i="2"/>
  <c r="R15553" i="2"/>
  <c r="R15554" i="2"/>
  <c r="R15555" i="2"/>
  <c r="R15556" i="2"/>
  <c r="R15557" i="2"/>
  <c r="R15558" i="2"/>
  <c r="R15559" i="2"/>
  <c r="R15560" i="2"/>
  <c r="R15561" i="2"/>
  <c r="R15562" i="2"/>
  <c r="R15563" i="2"/>
  <c r="R15564" i="2"/>
  <c r="R15565" i="2"/>
  <c r="R15566" i="2"/>
  <c r="R15567" i="2"/>
  <c r="R15568" i="2"/>
  <c r="R15569" i="2"/>
  <c r="R15570" i="2"/>
  <c r="R15571" i="2"/>
  <c r="R15572" i="2"/>
  <c r="R15573" i="2"/>
  <c r="R15574" i="2"/>
  <c r="R15575" i="2"/>
  <c r="R15576" i="2"/>
  <c r="R15577" i="2"/>
  <c r="R15578" i="2"/>
  <c r="R15579" i="2"/>
  <c r="R15580" i="2"/>
  <c r="R15581" i="2"/>
  <c r="R15582" i="2"/>
  <c r="R15583" i="2"/>
  <c r="R15584" i="2"/>
  <c r="R15585" i="2"/>
  <c r="R15586" i="2"/>
  <c r="R15587" i="2"/>
  <c r="R15588" i="2"/>
  <c r="R15589" i="2"/>
  <c r="R15590" i="2"/>
  <c r="R15591" i="2"/>
  <c r="R15592" i="2"/>
  <c r="R15593" i="2"/>
  <c r="R15594" i="2"/>
  <c r="R15595" i="2"/>
  <c r="R15596" i="2"/>
  <c r="R15597" i="2"/>
  <c r="R15598" i="2"/>
  <c r="R15599" i="2"/>
  <c r="R15600" i="2"/>
  <c r="R15601" i="2"/>
  <c r="R15602" i="2"/>
  <c r="R15603" i="2"/>
  <c r="R15604" i="2"/>
  <c r="R15605" i="2"/>
  <c r="R15606" i="2"/>
  <c r="R15607" i="2"/>
  <c r="R15608" i="2"/>
  <c r="R15609" i="2"/>
  <c r="R15610" i="2"/>
  <c r="R15611" i="2"/>
  <c r="R15612" i="2"/>
  <c r="R15613" i="2"/>
  <c r="R15614" i="2"/>
  <c r="R15615" i="2"/>
  <c r="R15616" i="2"/>
  <c r="R15617" i="2"/>
  <c r="R15618" i="2"/>
  <c r="R15619" i="2"/>
  <c r="R15620" i="2"/>
  <c r="R15621" i="2"/>
  <c r="R15622" i="2"/>
  <c r="R15623" i="2"/>
  <c r="R15624" i="2"/>
  <c r="R15625" i="2"/>
  <c r="R15626" i="2"/>
  <c r="R15627" i="2"/>
  <c r="R15628" i="2"/>
  <c r="R15629" i="2"/>
  <c r="R15630" i="2"/>
  <c r="R15631" i="2"/>
  <c r="R15632" i="2"/>
  <c r="R15633" i="2"/>
  <c r="R15634" i="2"/>
  <c r="R15635" i="2"/>
  <c r="R15636" i="2"/>
  <c r="R15637" i="2"/>
  <c r="R15638" i="2"/>
  <c r="R15639" i="2"/>
  <c r="R15640" i="2"/>
  <c r="R15641" i="2"/>
  <c r="R15642" i="2"/>
  <c r="R15643" i="2"/>
  <c r="R15644" i="2"/>
  <c r="R15645" i="2"/>
  <c r="R15646" i="2"/>
  <c r="R15647" i="2"/>
  <c r="R15648" i="2"/>
  <c r="R15649" i="2"/>
  <c r="R15650" i="2"/>
  <c r="R15651" i="2"/>
  <c r="R15652" i="2"/>
  <c r="R15653" i="2"/>
  <c r="R15654" i="2"/>
  <c r="R15655" i="2"/>
  <c r="R15656" i="2"/>
  <c r="R15657" i="2"/>
  <c r="R15658" i="2"/>
  <c r="R15659" i="2"/>
  <c r="R15660" i="2"/>
  <c r="R15661" i="2"/>
  <c r="R15662" i="2"/>
  <c r="R15663" i="2"/>
  <c r="R15664" i="2"/>
  <c r="R15665" i="2"/>
  <c r="R15666" i="2"/>
  <c r="R15667" i="2"/>
  <c r="R15668" i="2"/>
  <c r="R15669" i="2"/>
  <c r="R15670" i="2"/>
  <c r="R15671" i="2"/>
  <c r="R15672" i="2"/>
  <c r="R15673" i="2"/>
  <c r="R15674" i="2"/>
  <c r="R15675" i="2"/>
  <c r="R15676" i="2"/>
  <c r="R15677" i="2"/>
  <c r="R15678" i="2"/>
  <c r="R15679" i="2"/>
  <c r="R15680" i="2"/>
  <c r="R15681" i="2"/>
  <c r="R15682" i="2"/>
  <c r="R15683" i="2"/>
  <c r="R15684" i="2"/>
  <c r="R15685" i="2"/>
  <c r="R15686" i="2"/>
  <c r="R15687" i="2"/>
  <c r="R15688" i="2"/>
  <c r="R15689" i="2"/>
  <c r="R15690" i="2"/>
  <c r="R15691" i="2"/>
  <c r="R15692" i="2"/>
  <c r="R15693" i="2"/>
  <c r="R15694" i="2"/>
  <c r="R15695" i="2"/>
  <c r="R15696" i="2"/>
  <c r="R15697" i="2"/>
  <c r="R15698" i="2"/>
  <c r="R15699" i="2"/>
  <c r="R15700" i="2"/>
  <c r="R15701" i="2"/>
  <c r="R15702" i="2"/>
  <c r="R15703" i="2"/>
  <c r="R15704" i="2"/>
  <c r="R15705" i="2"/>
  <c r="R15706" i="2"/>
  <c r="R15707" i="2"/>
  <c r="R15708" i="2"/>
  <c r="R15709" i="2"/>
  <c r="R15710" i="2"/>
  <c r="R15711" i="2"/>
  <c r="R15712" i="2"/>
  <c r="R15713" i="2"/>
  <c r="R15714" i="2"/>
  <c r="R15715" i="2"/>
  <c r="R15716" i="2"/>
  <c r="R15717" i="2"/>
  <c r="R15718" i="2"/>
  <c r="R15719" i="2"/>
  <c r="R15720" i="2"/>
  <c r="R15721" i="2"/>
  <c r="R15722" i="2"/>
  <c r="R15723" i="2"/>
  <c r="R15724" i="2"/>
  <c r="R15725" i="2"/>
  <c r="R15726" i="2"/>
  <c r="R15727" i="2"/>
  <c r="R15728" i="2"/>
  <c r="R15729" i="2"/>
  <c r="R15730" i="2"/>
  <c r="R15731" i="2"/>
  <c r="R15732" i="2"/>
  <c r="R15733" i="2"/>
  <c r="R15734" i="2"/>
  <c r="R15735" i="2"/>
  <c r="R15736" i="2"/>
  <c r="R15737" i="2"/>
  <c r="R15738" i="2"/>
  <c r="R15739" i="2"/>
  <c r="R15740" i="2"/>
  <c r="R15741" i="2"/>
  <c r="R15742" i="2"/>
  <c r="R15743" i="2"/>
  <c r="R15744" i="2"/>
  <c r="R15745" i="2"/>
  <c r="R15746" i="2"/>
  <c r="R15747" i="2"/>
  <c r="R15748" i="2"/>
  <c r="R15749" i="2"/>
  <c r="R15750" i="2"/>
  <c r="R15751" i="2"/>
  <c r="R15752" i="2"/>
  <c r="R15753" i="2"/>
  <c r="R15754" i="2"/>
  <c r="R15755" i="2"/>
  <c r="R15756" i="2"/>
  <c r="R15757" i="2"/>
  <c r="R15758" i="2"/>
  <c r="R15759" i="2"/>
  <c r="R15760" i="2"/>
  <c r="R15761" i="2"/>
  <c r="R15762" i="2"/>
  <c r="R15763" i="2"/>
  <c r="R15764" i="2"/>
  <c r="R15765" i="2"/>
  <c r="R15766" i="2"/>
  <c r="R15767" i="2"/>
  <c r="R15768" i="2"/>
  <c r="R15769" i="2"/>
  <c r="R15770" i="2"/>
  <c r="R15771" i="2"/>
  <c r="R15772" i="2"/>
  <c r="R15773" i="2"/>
  <c r="R15774" i="2"/>
  <c r="R15775" i="2"/>
  <c r="R15776" i="2"/>
  <c r="R15777" i="2"/>
  <c r="R15778" i="2"/>
  <c r="R15779" i="2"/>
  <c r="R15780" i="2"/>
  <c r="R15781" i="2"/>
  <c r="R15782" i="2"/>
  <c r="R15783" i="2"/>
  <c r="R15784" i="2"/>
  <c r="R15785" i="2"/>
  <c r="R15786" i="2"/>
  <c r="R15787" i="2"/>
  <c r="R15788" i="2"/>
  <c r="R15789" i="2"/>
  <c r="R15790" i="2"/>
  <c r="R15791" i="2"/>
  <c r="R15792" i="2"/>
  <c r="R15793" i="2"/>
  <c r="R15794" i="2"/>
  <c r="R15795" i="2"/>
  <c r="R15796" i="2"/>
  <c r="R15797" i="2"/>
  <c r="R15798" i="2"/>
  <c r="R15799" i="2"/>
  <c r="R15800" i="2"/>
  <c r="R15801" i="2"/>
  <c r="R15802" i="2"/>
  <c r="R15803" i="2"/>
  <c r="R15804" i="2"/>
  <c r="R15805" i="2"/>
  <c r="R15806" i="2"/>
  <c r="R15807" i="2"/>
  <c r="R15808" i="2"/>
  <c r="R15809" i="2"/>
  <c r="R15810" i="2"/>
  <c r="R15811" i="2"/>
  <c r="R15812" i="2"/>
  <c r="R15813" i="2"/>
  <c r="R15814" i="2"/>
  <c r="R15815" i="2"/>
  <c r="R15816" i="2"/>
  <c r="R15817" i="2"/>
  <c r="R15818" i="2"/>
  <c r="R15819" i="2"/>
  <c r="R15820" i="2"/>
  <c r="R15821" i="2"/>
  <c r="R15822" i="2"/>
  <c r="R15823" i="2"/>
  <c r="R15824" i="2"/>
  <c r="R15825" i="2"/>
  <c r="R15826" i="2"/>
  <c r="R15827" i="2"/>
  <c r="R15828" i="2"/>
  <c r="R15829" i="2"/>
  <c r="R15830" i="2"/>
  <c r="R15831" i="2"/>
  <c r="R15832" i="2"/>
  <c r="R15833" i="2"/>
  <c r="R15834" i="2"/>
  <c r="R15835" i="2"/>
  <c r="R15836" i="2"/>
  <c r="R15837" i="2"/>
  <c r="R15838" i="2"/>
  <c r="R15839" i="2"/>
  <c r="R15840" i="2"/>
  <c r="R15841" i="2"/>
  <c r="R15842" i="2"/>
  <c r="R15843" i="2"/>
  <c r="R15844" i="2"/>
  <c r="R15845" i="2"/>
  <c r="R15846" i="2"/>
  <c r="R15847" i="2"/>
  <c r="R15848" i="2"/>
  <c r="R15849" i="2"/>
  <c r="R15850" i="2"/>
  <c r="R15851" i="2"/>
  <c r="R15852" i="2"/>
  <c r="R15853" i="2"/>
  <c r="R15854" i="2"/>
  <c r="R15855" i="2"/>
  <c r="R15856" i="2"/>
  <c r="R15857" i="2"/>
  <c r="R15858" i="2"/>
  <c r="R15859" i="2"/>
  <c r="R15860" i="2"/>
  <c r="R15861" i="2"/>
  <c r="R15862" i="2"/>
  <c r="R15863" i="2"/>
  <c r="R15864" i="2"/>
  <c r="R15865" i="2"/>
  <c r="R15866" i="2"/>
  <c r="R15867" i="2"/>
  <c r="R15868" i="2"/>
  <c r="R15869" i="2"/>
  <c r="R15870" i="2"/>
  <c r="R15871" i="2"/>
  <c r="R15872" i="2"/>
  <c r="R15873" i="2"/>
  <c r="R15874" i="2"/>
  <c r="R15875" i="2"/>
  <c r="R15876" i="2"/>
  <c r="R15877" i="2"/>
  <c r="R15878" i="2"/>
  <c r="R15879" i="2"/>
  <c r="R15880" i="2"/>
  <c r="R15881" i="2"/>
  <c r="R15882" i="2"/>
  <c r="R15883" i="2"/>
  <c r="R15884" i="2"/>
  <c r="R15885" i="2"/>
  <c r="R15886" i="2"/>
  <c r="R15887" i="2"/>
  <c r="R15888" i="2"/>
  <c r="R15889" i="2"/>
  <c r="R15890" i="2"/>
  <c r="R15891" i="2"/>
  <c r="R15892" i="2"/>
  <c r="R15893" i="2"/>
  <c r="R15894" i="2"/>
  <c r="R15895" i="2"/>
  <c r="R15896" i="2"/>
  <c r="R15897" i="2"/>
  <c r="R15898" i="2"/>
  <c r="R15899" i="2"/>
  <c r="R15900" i="2"/>
  <c r="R15901" i="2"/>
  <c r="R15902" i="2"/>
  <c r="R15903" i="2"/>
  <c r="R15904" i="2"/>
  <c r="R15905" i="2"/>
  <c r="R15906" i="2"/>
  <c r="R15907" i="2"/>
  <c r="R15908" i="2"/>
  <c r="R15909" i="2"/>
  <c r="R15910" i="2"/>
  <c r="R15911" i="2"/>
  <c r="R15912" i="2"/>
  <c r="R15913" i="2"/>
  <c r="R15914" i="2"/>
  <c r="R15915" i="2"/>
  <c r="R15916" i="2"/>
  <c r="R15917" i="2"/>
  <c r="R15918" i="2"/>
  <c r="R15919" i="2"/>
  <c r="R15920" i="2"/>
  <c r="R15921" i="2"/>
  <c r="R15922" i="2"/>
  <c r="R15923" i="2"/>
  <c r="R15924" i="2"/>
  <c r="R15925" i="2"/>
  <c r="R15926" i="2"/>
  <c r="R15927" i="2"/>
  <c r="R15928" i="2"/>
  <c r="R15929" i="2"/>
  <c r="R15930" i="2"/>
  <c r="R15931" i="2"/>
  <c r="R15932" i="2"/>
  <c r="R15933" i="2"/>
  <c r="R15934" i="2"/>
  <c r="R15935" i="2"/>
  <c r="R15936" i="2"/>
  <c r="R15937" i="2"/>
  <c r="R15938" i="2"/>
  <c r="R15939" i="2"/>
  <c r="R15940" i="2"/>
  <c r="R15941" i="2"/>
  <c r="R15942" i="2"/>
  <c r="R15943" i="2"/>
  <c r="R15944" i="2"/>
  <c r="R15945" i="2"/>
  <c r="R15946" i="2"/>
  <c r="R15947" i="2"/>
  <c r="R15948" i="2"/>
  <c r="R15949" i="2"/>
  <c r="R15950" i="2"/>
  <c r="R15951" i="2"/>
  <c r="R15952" i="2"/>
  <c r="R15953" i="2"/>
  <c r="R15954" i="2"/>
  <c r="R15955" i="2"/>
  <c r="R15956" i="2"/>
  <c r="R15957" i="2"/>
  <c r="R15958" i="2"/>
  <c r="R15959" i="2"/>
  <c r="R15960" i="2"/>
  <c r="R15961" i="2"/>
  <c r="R15962" i="2"/>
  <c r="R15963" i="2"/>
  <c r="R15964" i="2"/>
  <c r="R15965" i="2"/>
  <c r="R15966" i="2"/>
  <c r="R15967" i="2"/>
  <c r="R15968" i="2"/>
  <c r="R15969" i="2"/>
  <c r="R15970" i="2"/>
  <c r="R15971" i="2"/>
  <c r="R15972" i="2"/>
  <c r="R15973" i="2"/>
  <c r="R15974" i="2"/>
  <c r="R15975" i="2"/>
  <c r="R15976" i="2"/>
  <c r="R15977" i="2"/>
  <c r="R15978" i="2"/>
  <c r="R15979" i="2"/>
  <c r="R15980" i="2"/>
  <c r="R15981" i="2"/>
  <c r="R15982" i="2"/>
  <c r="R15983" i="2"/>
  <c r="R15984" i="2"/>
  <c r="R15985" i="2"/>
  <c r="R15986" i="2"/>
  <c r="R15987" i="2"/>
  <c r="R15988" i="2"/>
  <c r="R15989" i="2"/>
  <c r="R15990" i="2"/>
  <c r="R15991" i="2"/>
  <c r="R15992" i="2"/>
  <c r="R15993" i="2"/>
  <c r="R15994" i="2"/>
  <c r="R15995" i="2"/>
  <c r="R15996" i="2"/>
  <c r="R15997" i="2"/>
  <c r="R15998" i="2"/>
  <c r="R15999" i="2"/>
  <c r="R16000" i="2"/>
  <c r="R16001" i="2"/>
  <c r="R16002" i="2"/>
  <c r="R16003" i="2"/>
  <c r="R16004" i="2"/>
  <c r="R16005" i="2"/>
  <c r="R16006" i="2"/>
  <c r="R16007" i="2"/>
  <c r="R16008" i="2"/>
  <c r="R16009" i="2"/>
  <c r="R16010" i="2"/>
  <c r="R16011" i="2"/>
  <c r="R16012" i="2"/>
  <c r="R16013" i="2"/>
  <c r="R16014" i="2"/>
  <c r="R16015" i="2"/>
  <c r="R16016" i="2"/>
  <c r="R16017" i="2"/>
  <c r="R16018" i="2"/>
  <c r="R16019" i="2"/>
  <c r="R16020" i="2"/>
  <c r="R16021" i="2"/>
  <c r="R16022" i="2"/>
  <c r="R16023" i="2"/>
  <c r="R16024" i="2"/>
  <c r="R16025" i="2"/>
  <c r="R16026" i="2"/>
  <c r="R16027" i="2"/>
  <c r="R16028" i="2"/>
  <c r="R16029" i="2"/>
  <c r="R16030" i="2"/>
  <c r="R16031" i="2"/>
  <c r="R16032" i="2"/>
  <c r="R16033" i="2"/>
  <c r="R16034" i="2"/>
  <c r="R16035" i="2"/>
  <c r="R16036" i="2"/>
  <c r="R16037" i="2"/>
  <c r="R16038" i="2"/>
  <c r="R16039" i="2"/>
  <c r="R16040" i="2"/>
  <c r="R16041" i="2"/>
  <c r="R16042" i="2"/>
  <c r="R16043" i="2"/>
  <c r="R16044" i="2"/>
  <c r="R16045" i="2"/>
  <c r="R16046" i="2"/>
  <c r="R16047" i="2"/>
  <c r="R16048" i="2"/>
  <c r="R16049" i="2"/>
  <c r="R16050" i="2"/>
  <c r="R16051" i="2"/>
  <c r="R16052" i="2"/>
  <c r="R16053" i="2"/>
  <c r="R16054" i="2"/>
  <c r="R16055" i="2"/>
  <c r="R16056" i="2"/>
  <c r="R16057" i="2"/>
  <c r="R16058" i="2"/>
  <c r="R16059" i="2"/>
  <c r="R16060" i="2"/>
  <c r="R16061" i="2"/>
  <c r="R16062" i="2"/>
  <c r="R16063" i="2"/>
  <c r="R16064" i="2"/>
  <c r="R16065" i="2"/>
  <c r="R16066" i="2"/>
  <c r="R16067" i="2"/>
  <c r="R16068" i="2"/>
  <c r="R16069" i="2"/>
  <c r="R16070" i="2"/>
  <c r="R16071" i="2"/>
  <c r="R16072" i="2"/>
  <c r="R16073" i="2"/>
  <c r="R16074" i="2"/>
  <c r="R16075" i="2"/>
  <c r="R16076" i="2"/>
  <c r="R16077" i="2"/>
  <c r="R16078" i="2"/>
  <c r="R16079" i="2"/>
  <c r="R16080" i="2"/>
  <c r="R16081" i="2"/>
  <c r="R16082" i="2"/>
  <c r="R16083" i="2"/>
  <c r="R16084" i="2"/>
  <c r="R16085" i="2"/>
  <c r="R16086" i="2"/>
  <c r="R16087" i="2"/>
  <c r="R16088" i="2"/>
  <c r="R16089" i="2"/>
  <c r="R16090" i="2"/>
  <c r="R16091" i="2"/>
  <c r="R16092" i="2"/>
  <c r="R16093" i="2"/>
  <c r="R16094" i="2"/>
  <c r="R16095" i="2"/>
  <c r="R16096" i="2"/>
  <c r="R16097" i="2"/>
  <c r="R16098" i="2"/>
  <c r="R16099" i="2"/>
  <c r="R16100" i="2"/>
  <c r="R16101" i="2"/>
  <c r="R16102" i="2"/>
  <c r="R16103" i="2"/>
  <c r="R16104" i="2"/>
  <c r="R16105" i="2"/>
  <c r="R16106" i="2"/>
  <c r="R16107" i="2"/>
  <c r="R16108" i="2"/>
  <c r="R16109" i="2"/>
  <c r="R16110" i="2"/>
  <c r="R16111" i="2"/>
  <c r="R16112" i="2"/>
  <c r="R16113" i="2"/>
  <c r="R16114" i="2"/>
  <c r="R16115" i="2"/>
  <c r="R16116" i="2"/>
  <c r="R16117" i="2"/>
  <c r="R16118" i="2"/>
  <c r="R16119" i="2"/>
  <c r="R16120" i="2"/>
  <c r="R16121" i="2"/>
  <c r="R16122" i="2"/>
  <c r="R16123" i="2"/>
  <c r="R16124" i="2"/>
  <c r="R16125" i="2"/>
  <c r="R16126" i="2"/>
  <c r="R16127" i="2"/>
  <c r="R16128" i="2"/>
  <c r="R16129" i="2"/>
  <c r="R16130" i="2"/>
  <c r="R16131" i="2"/>
  <c r="R16132" i="2"/>
  <c r="R16133" i="2"/>
  <c r="R16134" i="2"/>
  <c r="R16135" i="2"/>
  <c r="R16136" i="2"/>
  <c r="R16137" i="2"/>
  <c r="R16138" i="2"/>
  <c r="R16139" i="2"/>
  <c r="R16140" i="2"/>
  <c r="R16141" i="2"/>
  <c r="R16142" i="2"/>
  <c r="R16143" i="2"/>
  <c r="R16144" i="2"/>
  <c r="R16145" i="2"/>
  <c r="R16146" i="2"/>
  <c r="R16147" i="2"/>
  <c r="R16148" i="2"/>
  <c r="R16149" i="2"/>
  <c r="R16150" i="2"/>
  <c r="R16151" i="2"/>
  <c r="R16152" i="2"/>
  <c r="R16153" i="2"/>
  <c r="R16154" i="2"/>
  <c r="R16155" i="2"/>
  <c r="R16156" i="2"/>
  <c r="R16157" i="2"/>
  <c r="R16158" i="2"/>
  <c r="R16159" i="2"/>
  <c r="R16160" i="2"/>
  <c r="R16161" i="2"/>
  <c r="R16162" i="2"/>
  <c r="R16163" i="2"/>
  <c r="R16164" i="2"/>
  <c r="R16165" i="2"/>
  <c r="R16166" i="2"/>
  <c r="R16167" i="2"/>
  <c r="R16168" i="2"/>
  <c r="R16169" i="2"/>
  <c r="R16170" i="2"/>
  <c r="R16171" i="2"/>
  <c r="R16172" i="2"/>
  <c r="R16173" i="2"/>
  <c r="R16174" i="2"/>
  <c r="R16175" i="2"/>
  <c r="R16176" i="2"/>
  <c r="R16177" i="2"/>
  <c r="R16178" i="2"/>
  <c r="R16179" i="2"/>
  <c r="R16180" i="2"/>
  <c r="R16181" i="2"/>
  <c r="R16182" i="2"/>
  <c r="R16183" i="2"/>
  <c r="R16184" i="2"/>
  <c r="R16185" i="2"/>
  <c r="R16186" i="2"/>
  <c r="R16187" i="2"/>
  <c r="R16188" i="2"/>
  <c r="R16189" i="2"/>
  <c r="R16190" i="2"/>
  <c r="R16191" i="2"/>
  <c r="R16192" i="2"/>
  <c r="R16193" i="2"/>
  <c r="R16194" i="2"/>
  <c r="R16195" i="2"/>
  <c r="R16196" i="2"/>
  <c r="R16197" i="2"/>
  <c r="R16198" i="2"/>
  <c r="R16199" i="2"/>
  <c r="R16200" i="2"/>
  <c r="R16201" i="2"/>
  <c r="R16202" i="2"/>
  <c r="R16203" i="2"/>
  <c r="R16204" i="2"/>
  <c r="R16205" i="2"/>
  <c r="R16206" i="2"/>
  <c r="R16207" i="2"/>
  <c r="R16208" i="2"/>
  <c r="R16209" i="2"/>
  <c r="R16210" i="2"/>
  <c r="R16211" i="2"/>
  <c r="R16212" i="2"/>
  <c r="R16213" i="2"/>
  <c r="R16214" i="2"/>
  <c r="R16215" i="2"/>
  <c r="R16216" i="2"/>
  <c r="R16217" i="2"/>
  <c r="R16218" i="2"/>
  <c r="R16219" i="2"/>
  <c r="R16220" i="2"/>
  <c r="R16221" i="2"/>
  <c r="R16222" i="2"/>
  <c r="R16223" i="2"/>
  <c r="R16224" i="2"/>
  <c r="R3" i="2"/>
  <c r="O4"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O1889" i="2"/>
  <c r="O1890" i="2"/>
  <c r="O1891" i="2"/>
  <c r="O1892" i="2"/>
  <c r="O1893" i="2"/>
  <c r="O1894" i="2"/>
  <c r="O1895" i="2"/>
  <c r="O1896" i="2"/>
  <c r="O1897" i="2"/>
  <c r="O1898" i="2"/>
  <c r="O1899" i="2"/>
  <c r="O1900" i="2"/>
  <c r="O1901" i="2"/>
  <c r="O1902" i="2"/>
  <c r="O1903" i="2"/>
  <c r="O1904" i="2"/>
  <c r="O1905" i="2"/>
  <c r="O1906" i="2"/>
  <c r="O1907" i="2"/>
  <c r="O1908" i="2"/>
  <c r="O1909" i="2"/>
  <c r="O1910" i="2"/>
  <c r="O1911" i="2"/>
  <c r="O1912" i="2"/>
  <c r="O1913" i="2"/>
  <c r="O1914" i="2"/>
  <c r="O1915" i="2"/>
  <c r="O1916" i="2"/>
  <c r="O1917" i="2"/>
  <c r="O1918" i="2"/>
  <c r="O1919" i="2"/>
  <c r="O1920" i="2"/>
  <c r="O1921" i="2"/>
  <c r="O1922" i="2"/>
  <c r="O1923" i="2"/>
  <c r="O1924" i="2"/>
  <c r="O1925" i="2"/>
  <c r="O1926" i="2"/>
  <c r="O1927" i="2"/>
  <c r="O1928" i="2"/>
  <c r="O1929" i="2"/>
  <c r="O1930" i="2"/>
  <c r="O1931" i="2"/>
  <c r="O1932" i="2"/>
  <c r="O1933" i="2"/>
  <c r="O1934" i="2"/>
  <c r="O1935" i="2"/>
  <c r="O1936" i="2"/>
  <c r="O1937" i="2"/>
  <c r="O1938" i="2"/>
  <c r="O1939" i="2"/>
  <c r="O1940" i="2"/>
  <c r="O1941" i="2"/>
  <c r="O1942" i="2"/>
  <c r="O1943" i="2"/>
  <c r="O1944" i="2"/>
  <c r="O1945" i="2"/>
  <c r="O1946" i="2"/>
  <c r="O1947" i="2"/>
  <c r="O1948" i="2"/>
  <c r="O1949" i="2"/>
  <c r="O1950" i="2"/>
  <c r="O1951" i="2"/>
  <c r="O1952" i="2"/>
  <c r="O1953" i="2"/>
  <c r="O1954" i="2"/>
  <c r="O1955" i="2"/>
  <c r="O1956" i="2"/>
  <c r="O1957" i="2"/>
  <c r="O1958" i="2"/>
  <c r="O1959" i="2"/>
  <c r="O1960" i="2"/>
  <c r="O1961" i="2"/>
  <c r="O1962" i="2"/>
  <c r="O1963" i="2"/>
  <c r="O1964" i="2"/>
  <c r="O1965" i="2"/>
  <c r="O1966" i="2"/>
  <c r="O1967" i="2"/>
  <c r="O1968" i="2"/>
  <c r="O1969" i="2"/>
  <c r="O1970" i="2"/>
  <c r="O1971" i="2"/>
  <c r="O1972" i="2"/>
  <c r="O1973" i="2"/>
  <c r="O1974" i="2"/>
  <c r="O1975" i="2"/>
  <c r="O1976" i="2"/>
  <c r="O1977" i="2"/>
  <c r="O1978" i="2"/>
  <c r="O1979" i="2"/>
  <c r="O1980" i="2"/>
  <c r="O1981" i="2"/>
  <c r="O1982" i="2"/>
  <c r="O1983" i="2"/>
  <c r="O1984" i="2"/>
  <c r="O1985" i="2"/>
  <c r="O1986" i="2"/>
  <c r="O1987" i="2"/>
  <c r="O1988" i="2"/>
  <c r="O1989" i="2"/>
  <c r="O1990" i="2"/>
  <c r="O1991" i="2"/>
  <c r="O1992" i="2"/>
  <c r="O1993" i="2"/>
  <c r="O1994" i="2"/>
  <c r="O1995" i="2"/>
  <c r="O1996" i="2"/>
  <c r="O1997" i="2"/>
  <c r="O1998" i="2"/>
  <c r="O1999" i="2"/>
  <c r="O2000" i="2"/>
  <c r="O2001" i="2"/>
  <c r="O2002" i="2"/>
  <c r="O2003" i="2"/>
  <c r="O2004" i="2"/>
  <c r="O2005" i="2"/>
  <c r="O2006" i="2"/>
  <c r="O2007" i="2"/>
  <c r="O2008" i="2"/>
  <c r="O2009" i="2"/>
  <c r="O2010" i="2"/>
  <c r="O2011" i="2"/>
  <c r="O2012" i="2"/>
  <c r="O2013" i="2"/>
  <c r="O2014" i="2"/>
  <c r="O2015" i="2"/>
  <c r="O2016" i="2"/>
  <c r="O2017" i="2"/>
  <c r="O2018" i="2"/>
  <c r="O2019" i="2"/>
  <c r="O2020" i="2"/>
  <c r="O2021" i="2"/>
  <c r="O2022" i="2"/>
  <c r="O2023" i="2"/>
  <c r="O2024" i="2"/>
  <c r="O2025" i="2"/>
  <c r="O2026" i="2"/>
  <c r="O2027" i="2"/>
  <c r="O2028" i="2"/>
  <c r="O2029" i="2"/>
  <c r="O2030" i="2"/>
  <c r="O2031" i="2"/>
  <c r="O2032" i="2"/>
  <c r="O2033" i="2"/>
  <c r="O2034" i="2"/>
  <c r="O2035" i="2"/>
  <c r="O2036" i="2"/>
  <c r="O2037" i="2"/>
  <c r="O2038" i="2"/>
  <c r="O2039" i="2"/>
  <c r="O2040" i="2"/>
  <c r="O2041" i="2"/>
  <c r="O2042" i="2"/>
  <c r="O2043" i="2"/>
  <c r="O2044" i="2"/>
  <c r="O2045" i="2"/>
  <c r="O2046" i="2"/>
  <c r="O2047" i="2"/>
  <c r="O2048" i="2"/>
  <c r="O2049" i="2"/>
  <c r="O2050" i="2"/>
  <c r="O2051" i="2"/>
  <c r="O2052" i="2"/>
  <c r="O2053" i="2"/>
  <c r="O2054" i="2"/>
  <c r="O2055" i="2"/>
  <c r="O2056" i="2"/>
  <c r="O2057" i="2"/>
  <c r="O2058" i="2"/>
  <c r="O2059" i="2"/>
  <c r="O2060" i="2"/>
  <c r="O2061" i="2"/>
  <c r="O2062" i="2"/>
  <c r="O2063" i="2"/>
  <c r="O2064" i="2"/>
  <c r="O2065" i="2"/>
  <c r="O2066" i="2"/>
  <c r="O2067" i="2"/>
  <c r="O2068" i="2"/>
  <c r="O2069" i="2"/>
  <c r="O2070" i="2"/>
  <c r="O2071" i="2"/>
  <c r="O2072" i="2"/>
  <c r="O2073" i="2"/>
  <c r="O2074" i="2"/>
  <c r="O2075" i="2"/>
  <c r="O2076" i="2"/>
  <c r="O2077" i="2"/>
  <c r="O2078" i="2"/>
  <c r="O2079" i="2"/>
  <c r="O2080" i="2"/>
  <c r="O2081" i="2"/>
  <c r="O2082" i="2"/>
  <c r="O2083" i="2"/>
  <c r="O2084" i="2"/>
  <c r="O2085" i="2"/>
  <c r="O2086" i="2"/>
  <c r="O2087" i="2"/>
  <c r="O2088" i="2"/>
  <c r="O2089" i="2"/>
  <c r="O2090" i="2"/>
  <c r="O2091" i="2"/>
  <c r="O2092" i="2"/>
  <c r="O2093" i="2"/>
  <c r="O2094" i="2"/>
  <c r="O2095" i="2"/>
  <c r="O2096" i="2"/>
  <c r="O2097" i="2"/>
  <c r="O2098" i="2"/>
  <c r="O2099" i="2"/>
  <c r="O2100" i="2"/>
  <c r="O2101" i="2"/>
  <c r="O2102" i="2"/>
  <c r="O2103" i="2"/>
  <c r="O2104" i="2"/>
  <c r="O2105" i="2"/>
  <c r="O2106" i="2"/>
  <c r="O2107" i="2"/>
  <c r="O2108" i="2"/>
  <c r="O2109" i="2"/>
  <c r="O2110" i="2"/>
  <c r="O2111" i="2"/>
  <c r="O2112" i="2"/>
  <c r="O2113" i="2"/>
  <c r="O2114" i="2"/>
  <c r="O2115" i="2"/>
  <c r="O2116" i="2"/>
  <c r="O2117" i="2"/>
  <c r="O2118" i="2"/>
  <c r="O2119" i="2"/>
  <c r="O2120" i="2"/>
  <c r="O2121" i="2"/>
  <c r="O2122" i="2"/>
  <c r="O2123" i="2"/>
  <c r="O2124" i="2"/>
  <c r="O2125" i="2"/>
  <c r="O2126" i="2"/>
  <c r="O2127" i="2"/>
  <c r="O2128" i="2"/>
  <c r="O2129" i="2"/>
  <c r="O2130" i="2"/>
  <c r="O2131" i="2"/>
  <c r="O2132" i="2"/>
  <c r="O2133" i="2"/>
  <c r="O2134" i="2"/>
  <c r="O2135" i="2"/>
  <c r="O2136" i="2"/>
  <c r="O2137" i="2"/>
  <c r="O2138" i="2"/>
  <c r="O2139" i="2"/>
  <c r="O2140" i="2"/>
  <c r="O2141" i="2"/>
  <c r="O2142" i="2"/>
  <c r="O2143" i="2"/>
  <c r="O2144" i="2"/>
  <c r="O2145" i="2"/>
  <c r="O2146" i="2"/>
  <c r="O2147" i="2"/>
  <c r="O2148" i="2"/>
  <c r="O2149" i="2"/>
  <c r="O2150" i="2"/>
  <c r="O2151" i="2"/>
  <c r="O2152" i="2"/>
  <c r="O2153" i="2"/>
  <c r="O2154" i="2"/>
  <c r="O2155" i="2"/>
  <c r="O2156" i="2"/>
  <c r="O2157" i="2"/>
  <c r="O2158" i="2"/>
  <c r="O2159" i="2"/>
  <c r="O2160" i="2"/>
  <c r="O2161" i="2"/>
  <c r="O2162" i="2"/>
  <c r="O2163" i="2"/>
  <c r="O2164" i="2"/>
  <c r="O2165" i="2"/>
  <c r="O2166" i="2"/>
  <c r="O2167" i="2"/>
  <c r="O2168" i="2"/>
  <c r="O2169" i="2"/>
  <c r="O2170" i="2"/>
  <c r="O2171" i="2"/>
  <c r="O2172" i="2"/>
  <c r="O2173" i="2"/>
  <c r="O2174" i="2"/>
  <c r="O2175" i="2"/>
  <c r="O2176" i="2"/>
  <c r="O2177" i="2"/>
  <c r="O2178" i="2"/>
  <c r="O2179" i="2"/>
  <c r="O2180" i="2"/>
  <c r="O2181" i="2"/>
  <c r="O2182" i="2"/>
  <c r="O2183" i="2"/>
  <c r="O2184" i="2"/>
  <c r="O2185" i="2"/>
  <c r="O2186" i="2"/>
  <c r="O2187" i="2"/>
  <c r="O2188" i="2"/>
  <c r="O2189" i="2"/>
  <c r="O2190" i="2"/>
  <c r="O2191" i="2"/>
  <c r="O2192" i="2"/>
  <c r="O2193" i="2"/>
  <c r="O2194" i="2"/>
  <c r="O2195" i="2"/>
  <c r="O2196" i="2"/>
  <c r="O2197" i="2"/>
  <c r="O2198" i="2"/>
  <c r="O2199" i="2"/>
  <c r="O2200" i="2"/>
  <c r="O2201" i="2"/>
  <c r="O2202" i="2"/>
  <c r="O2203" i="2"/>
  <c r="O2204" i="2"/>
  <c r="O2205" i="2"/>
  <c r="O2206" i="2"/>
  <c r="O2207" i="2"/>
  <c r="O2208" i="2"/>
  <c r="O2209" i="2"/>
  <c r="O2210" i="2"/>
  <c r="O2211" i="2"/>
  <c r="O2212" i="2"/>
  <c r="O2213" i="2"/>
  <c r="O2214" i="2"/>
  <c r="O2215" i="2"/>
  <c r="O2216" i="2"/>
  <c r="O2217" i="2"/>
  <c r="O2218" i="2"/>
  <c r="O2219" i="2"/>
  <c r="O2220" i="2"/>
  <c r="O2221" i="2"/>
  <c r="O2222" i="2"/>
  <c r="O2223" i="2"/>
  <c r="O2224" i="2"/>
  <c r="O2225" i="2"/>
  <c r="O2226" i="2"/>
  <c r="O2227" i="2"/>
  <c r="O2228" i="2"/>
  <c r="O2229" i="2"/>
  <c r="O2230" i="2"/>
  <c r="O2231" i="2"/>
  <c r="O2232" i="2"/>
  <c r="O2233" i="2"/>
  <c r="O2234" i="2"/>
  <c r="O2235" i="2"/>
  <c r="O2236" i="2"/>
  <c r="O2237" i="2"/>
  <c r="O2238" i="2"/>
  <c r="O2239" i="2"/>
  <c r="O2240" i="2"/>
  <c r="O2241" i="2"/>
  <c r="O2242" i="2"/>
  <c r="O2243" i="2"/>
  <c r="O2244" i="2"/>
  <c r="O2245" i="2"/>
  <c r="O2246" i="2"/>
  <c r="O2247" i="2"/>
  <c r="O2248" i="2"/>
  <c r="O2249" i="2"/>
  <c r="O2250" i="2"/>
  <c r="O2251" i="2"/>
  <c r="O2252" i="2"/>
  <c r="O2253" i="2"/>
  <c r="O2254" i="2"/>
  <c r="O2255" i="2"/>
  <c r="O2256" i="2"/>
  <c r="O2257" i="2"/>
  <c r="O2258" i="2"/>
  <c r="O2259" i="2"/>
  <c r="O2260" i="2"/>
  <c r="O2261" i="2"/>
  <c r="O2262" i="2"/>
  <c r="O2263" i="2"/>
  <c r="O2264" i="2"/>
  <c r="O2265" i="2"/>
  <c r="O2266" i="2"/>
  <c r="O2267" i="2"/>
  <c r="O2268" i="2"/>
  <c r="O2269" i="2"/>
  <c r="O2270" i="2"/>
  <c r="O2271" i="2"/>
  <c r="O2272" i="2"/>
  <c r="O2273" i="2"/>
  <c r="O2274" i="2"/>
  <c r="O2275" i="2"/>
  <c r="O2276" i="2"/>
  <c r="O2277" i="2"/>
  <c r="O2278" i="2"/>
  <c r="O2279" i="2"/>
  <c r="O2280" i="2"/>
  <c r="O2281" i="2"/>
  <c r="O2282" i="2"/>
  <c r="O2283" i="2"/>
  <c r="O2284" i="2"/>
  <c r="O2285" i="2"/>
  <c r="O2286" i="2"/>
  <c r="O2287" i="2"/>
  <c r="O2288" i="2"/>
  <c r="O2289" i="2"/>
  <c r="O2290" i="2"/>
  <c r="O2291" i="2"/>
  <c r="O2292" i="2"/>
  <c r="O2293" i="2"/>
  <c r="O2294" i="2"/>
  <c r="O2295" i="2"/>
  <c r="O2296" i="2"/>
  <c r="O2297" i="2"/>
  <c r="O2298" i="2"/>
  <c r="O2299" i="2"/>
  <c r="O2300" i="2"/>
  <c r="O2301" i="2"/>
  <c r="O2302" i="2"/>
  <c r="O2303" i="2"/>
  <c r="O2304" i="2"/>
  <c r="O2305" i="2"/>
  <c r="O2306" i="2"/>
  <c r="O2307" i="2"/>
  <c r="O2308" i="2"/>
  <c r="O2309" i="2"/>
  <c r="O2310" i="2"/>
  <c r="O2311" i="2"/>
  <c r="O2312" i="2"/>
  <c r="O2313" i="2"/>
  <c r="O2314" i="2"/>
  <c r="O2315" i="2"/>
  <c r="O2316" i="2"/>
  <c r="O2317" i="2"/>
  <c r="O2318" i="2"/>
  <c r="O2319" i="2"/>
  <c r="O2320" i="2"/>
  <c r="O2321" i="2"/>
  <c r="O2322" i="2"/>
  <c r="O2323" i="2"/>
  <c r="O2324" i="2"/>
  <c r="O2325" i="2"/>
  <c r="O2326" i="2"/>
  <c r="O2327" i="2"/>
  <c r="O2328" i="2"/>
  <c r="O2329" i="2"/>
  <c r="O2330" i="2"/>
  <c r="O2331" i="2"/>
  <c r="O2332" i="2"/>
  <c r="O2333" i="2"/>
  <c r="O2334" i="2"/>
  <c r="O2335" i="2"/>
  <c r="O2336" i="2"/>
  <c r="O2337" i="2"/>
  <c r="O2338" i="2"/>
  <c r="O2339" i="2"/>
  <c r="O2340" i="2"/>
  <c r="O2341" i="2"/>
  <c r="O2342" i="2"/>
  <c r="O2343" i="2"/>
  <c r="O2344" i="2"/>
  <c r="O2345" i="2"/>
  <c r="O2346" i="2"/>
  <c r="O2347" i="2"/>
  <c r="O2348" i="2"/>
  <c r="O2349" i="2"/>
  <c r="O2350" i="2"/>
  <c r="O2351" i="2"/>
  <c r="O2352" i="2"/>
  <c r="O2353" i="2"/>
  <c r="O2354" i="2"/>
  <c r="O2355" i="2"/>
  <c r="O2356" i="2"/>
  <c r="O2357" i="2"/>
  <c r="O2358" i="2"/>
  <c r="O2359" i="2"/>
  <c r="O2360" i="2"/>
  <c r="O2361" i="2"/>
  <c r="O2362" i="2"/>
  <c r="O2363" i="2"/>
  <c r="O2364" i="2"/>
  <c r="O2365" i="2"/>
  <c r="O2366" i="2"/>
  <c r="O2367" i="2"/>
  <c r="O2368" i="2"/>
  <c r="O2369" i="2"/>
  <c r="O2370" i="2"/>
  <c r="O2371" i="2"/>
  <c r="O2372" i="2"/>
  <c r="O2373" i="2"/>
  <c r="O2374" i="2"/>
  <c r="O2375" i="2"/>
  <c r="O2376" i="2"/>
  <c r="O2377" i="2"/>
  <c r="O2378" i="2"/>
  <c r="O2379" i="2"/>
  <c r="O2380" i="2"/>
  <c r="O2381" i="2"/>
  <c r="O2382" i="2"/>
  <c r="O2383" i="2"/>
  <c r="O2384" i="2"/>
  <c r="O2385" i="2"/>
  <c r="O2386" i="2"/>
  <c r="O2387" i="2"/>
  <c r="O2388" i="2"/>
  <c r="O2389" i="2"/>
  <c r="O2390" i="2"/>
  <c r="O2391" i="2"/>
  <c r="O2392" i="2"/>
  <c r="O2393" i="2"/>
  <c r="O2394" i="2"/>
  <c r="O2395" i="2"/>
  <c r="O2396" i="2"/>
  <c r="O2397" i="2"/>
  <c r="O2398" i="2"/>
  <c r="O2399" i="2"/>
  <c r="O2400" i="2"/>
  <c r="O2401" i="2"/>
  <c r="O2402" i="2"/>
  <c r="O2403" i="2"/>
  <c r="O2404" i="2"/>
  <c r="O2405" i="2"/>
  <c r="O2406" i="2"/>
  <c r="O2407" i="2"/>
  <c r="O2408" i="2"/>
  <c r="O2409" i="2"/>
  <c r="O2410" i="2"/>
  <c r="O2411" i="2"/>
  <c r="O2412" i="2"/>
  <c r="O2413" i="2"/>
  <c r="O2414" i="2"/>
  <c r="O2415" i="2"/>
  <c r="O2416" i="2"/>
  <c r="O2417" i="2"/>
  <c r="O2418" i="2"/>
  <c r="O2419" i="2"/>
  <c r="O2420" i="2"/>
  <c r="O2421" i="2"/>
  <c r="O2422" i="2"/>
  <c r="O2423" i="2"/>
  <c r="O2424" i="2"/>
  <c r="O2425" i="2"/>
  <c r="O2426" i="2"/>
  <c r="O2427" i="2"/>
  <c r="O2428" i="2"/>
  <c r="O2429" i="2"/>
  <c r="O2430" i="2"/>
  <c r="O2431" i="2"/>
  <c r="O2432" i="2"/>
  <c r="O2433" i="2"/>
  <c r="O2434" i="2"/>
  <c r="O2435" i="2"/>
  <c r="O2436" i="2"/>
  <c r="O2437" i="2"/>
  <c r="O2438" i="2"/>
  <c r="O2439" i="2"/>
  <c r="O2440" i="2"/>
  <c r="O2441" i="2"/>
  <c r="O2442" i="2"/>
  <c r="O2443" i="2"/>
  <c r="O2444" i="2"/>
  <c r="O2445" i="2"/>
  <c r="O2446" i="2"/>
  <c r="O2447" i="2"/>
  <c r="O2448" i="2"/>
  <c r="O2449" i="2"/>
  <c r="O2450" i="2"/>
  <c r="O2451" i="2"/>
  <c r="O2452" i="2"/>
  <c r="O2453" i="2"/>
  <c r="O2454" i="2"/>
  <c r="O2455" i="2"/>
  <c r="O2456" i="2"/>
  <c r="O2457" i="2"/>
  <c r="O2458" i="2"/>
  <c r="O2459" i="2"/>
  <c r="O2460" i="2"/>
  <c r="O2461" i="2"/>
  <c r="O2462" i="2"/>
  <c r="O2463" i="2"/>
  <c r="O2464" i="2"/>
  <c r="O2465" i="2"/>
  <c r="O2466" i="2"/>
  <c r="O2467" i="2"/>
  <c r="O2468" i="2"/>
  <c r="O2469" i="2"/>
  <c r="O2470" i="2"/>
  <c r="O2471" i="2"/>
  <c r="O2472" i="2"/>
  <c r="O2473" i="2"/>
  <c r="O2474" i="2"/>
  <c r="O2475" i="2"/>
  <c r="O2476" i="2"/>
  <c r="O2477" i="2"/>
  <c r="O2478" i="2"/>
  <c r="O2479" i="2"/>
  <c r="O2480" i="2"/>
  <c r="O2481" i="2"/>
  <c r="O2482" i="2"/>
  <c r="O2483" i="2"/>
  <c r="O2484" i="2"/>
  <c r="O2485" i="2"/>
  <c r="O2486" i="2"/>
  <c r="O2487" i="2"/>
  <c r="O2488" i="2"/>
  <c r="O2489" i="2"/>
  <c r="O2490" i="2"/>
  <c r="O2491" i="2"/>
  <c r="O2492" i="2"/>
  <c r="O2493" i="2"/>
  <c r="O2494" i="2"/>
  <c r="O2495" i="2"/>
  <c r="O2496" i="2"/>
  <c r="O2497" i="2"/>
  <c r="O2498" i="2"/>
  <c r="O2499" i="2"/>
  <c r="O2500" i="2"/>
  <c r="O2501" i="2"/>
  <c r="O2502" i="2"/>
  <c r="O2503" i="2"/>
  <c r="O2504" i="2"/>
  <c r="O2505" i="2"/>
  <c r="O2506" i="2"/>
  <c r="O2507" i="2"/>
  <c r="O2508" i="2"/>
  <c r="O2509" i="2"/>
  <c r="O2510" i="2"/>
  <c r="O2511" i="2"/>
  <c r="O2512" i="2"/>
  <c r="O2513" i="2"/>
  <c r="O2514" i="2"/>
  <c r="O2515" i="2"/>
  <c r="O2516" i="2"/>
  <c r="O2517" i="2"/>
  <c r="O2518" i="2"/>
  <c r="O2519" i="2"/>
  <c r="O2520" i="2"/>
  <c r="O2521" i="2"/>
  <c r="O2522" i="2"/>
  <c r="O2523" i="2"/>
  <c r="O2524" i="2"/>
  <c r="O2525" i="2"/>
  <c r="O2526" i="2"/>
  <c r="O2527" i="2"/>
  <c r="O2528" i="2"/>
  <c r="O2529" i="2"/>
  <c r="O2530" i="2"/>
  <c r="O2531" i="2"/>
  <c r="O2532" i="2"/>
  <c r="O2533" i="2"/>
  <c r="O2534" i="2"/>
  <c r="O2535" i="2"/>
  <c r="O2536" i="2"/>
  <c r="O2537" i="2"/>
  <c r="O2538" i="2"/>
  <c r="O2539" i="2"/>
  <c r="O2540" i="2"/>
  <c r="O2541" i="2"/>
  <c r="O2542" i="2"/>
  <c r="O2543" i="2"/>
  <c r="O2544" i="2"/>
  <c r="O2545" i="2"/>
  <c r="O2546" i="2"/>
  <c r="O2547" i="2"/>
  <c r="O2548" i="2"/>
  <c r="O2549" i="2"/>
  <c r="O2550" i="2"/>
  <c r="O2551" i="2"/>
  <c r="O2552" i="2"/>
  <c r="O2553" i="2"/>
  <c r="O2554" i="2"/>
  <c r="O2555" i="2"/>
  <c r="O2556" i="2"/>
  <c r="O2557" i="2"/>
  <c r="O2558" i="2"/>
  <c r="O2559" i="2"/>
  <c r="O2560" i="2"/>
  <c r="O2561" i="2"/>
  <c r="O2562" i="2"/>
  <c r="O2563" i="2"/>
  <c r="O2564" i="2"/>
  <c r="O2565" i="2"/>
  <c r="O2566" i="2"/>
  <c r="O2567" i="2"/>
  <c r="O2568" i="2"/>
  <c r="O2569" i="2"/>
  <c r="O2570" i="2"/>
  <c r="O2571" i="2"/>
  <c r="O2572" i="2"/>
  <c r="O2573" i="2"/>
  <c r="O2574" i="2"/>
  <c r="O2575" i="2"/>
  <c r="O2576" i="2"/>
  <c r="O2577" i="2"/>
  <c r="O2578" i="2"/>
  <c r="O2579" i="2"/>
  <c r="O2580" i="2"/>
  <c r="O2581" i="2"/>
  <c r="O2582" i="2"/>
  <c r="O2583" i="2"/>
  <c r="O2584" i="2"/>
  <c r="O2585" i="2"/>
  <c r="O2586" i="2"/>
  <c r="O2587" i="2"/>
  <c r="O2588" i="2"/>
  <c r="O2589" i="2"/>
  <c r="O2590" i="2"/>
  <c r="O2591" i="2"/>
  <c r="O2592" i="2"/>
  <c r="O2593" i="2"/>
  <c r="O2594" i="2"/>
  <c r="O2595" i="2"/>
  <c r="O2596" i="2"/>
  <c r="O2597" i="2"/>
  <c r="O2598" i="2"/>
  <c r="O2599" i="2"/>
  <c r="O2600" i="2"/>
  <c r="O2601" i="2"/>
  <c r="O2602" i="2"/>
  <c r="O2603" i="2"/>
  <c r="O2604" i="2"/>
  <c r="O2605" i="2"/>
  <c r="O2606" i="2"/>
  <c r="O2607" i="2"/>
  <c r="O2608" i="2"/>
  <c r="O2609" i="2"/>
  <c r="O2610" i="2"/>
  <c r="O2611" i="2"/>
  <c r="O2612" i="2"/>
  <c r="O2613" i="2"/>
  <c r="O2614" i="2"/>
  <c r="O2615" i="2"/>
  <c r="O2616" i="2"/>
  <c r="O2617" i="2"/>
  <c r="O2618" i="2"/>
  <c r="O2619" i="2"/>
  <c r="O2620" i="2"/>
  <c r="O2621" i="2"/>
  <c r="O2622" i="2"/>
  <c r="O2623" i="2"/>
  <c r="O2624" i="2"/>
  <c r="O2625" i="2"/>
  <c r="O2626" i="2"/>
  <c r="O2627" i="2"/>
  <c r="O2628" i="2"/>
  <c r="O2629" i="2"/>
  <c r="O2630" i="2"/>
  <c r="O2631" i="2"/>
  <c r="O2632" i="2"/>
  <c r="O2633" i="2"/>
  <c r="O2634" i="2"/>
  <c r="O2635" i="2"/>
  <c r="O2636" i="2"/>
  <c r="O2637" i="2"/>
  <c r="O2638" i="2"/>
  <c r="O2639" i="2"/>
  <c r="O2640" i="2"/>
  <c r="O2641" i="2"/>
  <c r="O2642" i="2"/>
  <c r="O2643" i="2"/>
  <c r="O2644" i="2"/>
  <c r="O2645" i="2"/>
  <c r="O2646" i="2"/>
  <c r="O2647" i="2"/>
  <c r="O2648" i="2"/>
  <c r="O2649" i="2"/>
  <c r="O2650" i="2"/>
  <c r="O2651" i="2"/>
  <c r="O2652" i="2"/>
  <c r="O2653" i="2"/>
  <c r="O2654" i="2"/>
  <c r="O2655" i="2"/>
  <c r="O2656" i="2"/>
  <c r="O2657" i="2"/>
  <c r="O2658" i="2"/>
  <c r="O2659" i="2"/>
  <c r="O2660" i="2"/>
  <c r="O2661" i="2"/>
  <c r="O2662" i="2"/>
  <c r="O2663" i="2"/>
  <c r="O2664" i="2"/>
  <c r="O2665" i="2"/>
  <c r="O2666" i="2"/>
  <c r="O2667" i="2"/>
  <c r="O2668" i="2"/>
  <c r="O2669" i="2"/>
  <c r="O2670" i="2"/>
  <c r="O2671" i="2"/>
  <c r="O2672" i="2"/>
  <c r="O2673" i="2"/>
  <c r="O2674" i="2"/>
  <c r="O2675" i="2"/>
  <c r="O2676" i="2"/>
  <c r="O2677" i="2"/>
  <c r="O2678" i="2"/>
  <c r="O2679" i="2"/>
  <c r="O2680" i="2"/>
  <c r="O2681" i="2"/>
  <c r="O2682" i="2"/>
  <c r="O2683" i="2"/>
  <c r="O2684" i="2"/>
  <c r="O2685" i="2"/>
  <c r="O2686" i="2"/>
  <c r="O2687" i="2"/>
  <c r="O2688" i="2"/>
  <c r="O2689" i="2"/>
  <c r="O2690" i="2"/>
  <c r="O2691" i="2"/>
  <c r="O2692" i="2"/>
  <c r="O2693" i="2"/>
  <c r="O2694" i="2"/>
  <c r="O2695" i="2"/>
  <c r="O2696" i="2"/>
  <c r="O2697" i="2"/>
  <c r="O2698" i="2"/>
  <c r="O2699" i="2"/>
  <c r="O2700" i="2"/>
  <c r="O2701" i="2"/>
  <c r="O2702" i="2"/>
  <c r="O2703" i="2"/>
  <c r="O2704" i="2"/>
  <c r="O2705" i="2"/>
  <c r="O2706" i="2"/>
  <c r="O2707" i="2"/>
  <c r="O2708" i="2"/>
  <c r="O2709" i="2"/>
  <c r="O2710" i="2"/>
  <c r="O2711" i="2"/>
  <c r="O2712" i="2"/>
  <c r="O2713" i="2"/>
  <c r="O2714" i="2"/>
  <c r="O2715" i="2"/>
  <c r="O2716" i="2"/>
  <c r="O2717" i="2"/>
  <c r="O2718" i="2"/>
  <c r="O2719" i="2"/>
  <c r="O2720" i="2"/>
  <c r="O2721" i="2"/>
  <c r="O2722" i="2"/>
  <c r="O2723" i="2"/>
  <c r="O2724" i="2"/>
  <c r="O2725" i="2"/>
  <c r="O2726" i="2"/>
  <c r="O2727" i="2"/>
  <c r="O2728" i="2"/>
  <c r="O2729" i="2"/>
  <c r="O2730" i="2"/>
  <c r="O2731" i="2"/>
  <c r="O2732" i="2"/>
  <c r="O2733" i="2"/>
  <c r="O2734" i="2"/>
  <c r="O2735" i="2"/>
  <c r="O2736" i="2"/>
  <c r="O2737" i="2"/>
  <c r="O2738" i="2"/>
  <c r="O2739" i="2"/>
  <c r="O2740" i="2"/>
  <c r="O2741" i="2"/>
  <c r="O2742" i="2"/>
  <c r="O2743" i="2"/>
  <c r="O2744" i="2"/>
  <c r="O2745" i="2"/>
  <c r="O2746" i="2"/>
  <c r="O2747" i="2"/>
  <c r="O2748" i="2"/>
  <c r="O2749" i="2"/>
  <c r="O2750" i="2"/>
  <c r="O2751" i="2"/>
  <c r="O2752" i="2"/>
  <c r="O2753" i="2"/>
  <c r="O2754" i="2"/>
  <c r="O2755" i="2"/>
  <c r="O2756" i="2"/>
  <c r="O2757" i="2"/>
  <c r="O2758" i="2"/>
  <c r="O2759" i="2"/>
  <c r="O2760" i="2"/>
  <c r="O2761" i="2"/>
  <c r="O2762" i="2"/>
  <c r="O2763" i="2"/>
  <c r="O2764" i="2"/>
  <c r="O2765" i="2"/>
  <c r="O2766" i="2"/>
  <c r="O2767" i="2"/>
  <c r="O2768" i="2"/>
  <c r="O2769" i="2"/>
  <c r="O2770" i="2"/>
  <c r="O2771" i="2"/>
  <c r="O2772" i="2"/>
  <c r="O2773" i="2"/>
  <c r="O2774" i="2"/>
  <c r="O2775" i="2"/>
  <c r="O2776" i="2"/>
  <c r="O2777" i="2"/>
  <c r="O2778" i="2"/>
  <c r="O2779" i="2"/>
  <c r="O2780" i="2"/>
  <c r="O2781" i="2"/>
  <c r="O2782" i="2"/>
  <c r="O2783" i="2"/>
  <c r="O2784" i="2"/>
  <c r="O2785" i="2"/>
  <c r="O2786" i="2"/>
  <c r="O2787" i="2"/>
  <c r="O2788" i="2"/>
  <c r="O2789" i="2"/>
  <c r="O2790" i="2"/>
  <c r="O2791" i="2"/>
  <c r="O2792" i="2"/>
  <c r="O2793" i="2"/>
  <c r="O2794" i="2"/>
  <c r="O2795" i="2"/>
  <c r="O2796" i="2"/>
  <c r="O2797" i="2"/>
  <c r="O2798" i="2"/>
  <c r="O2799" i="2"/>
  <c r="O2800" i="2"/>
  <c r="O2801" i="2"/>
  <c r="O2802" i="2"/>
  <c r="O2803" i="2"/>
  <c r="O2804" i="2"/>
  <c r="O2805" i="2"/>
  <c r="O2806" i="2"/>
  <c r="O2807" i="2"/>
  <c r="O2808" i="2"/>
  <c r="O2809" i="2"/>
  <c r="O2810" i="2"/>
  <c r="O2811" i="2"/>
  <c r="O2812" i="2"/>
  <c r="O2813" i="2"/>
  <c r="O2814" i="2"/>
  <c r="O2815" i="2"/>
  <c r="O2816" i="2"/>
  <c r="O2817" i="2"/>
  <c r="O2818" i="2"/>
  <c r="O2819" i="2"/>
  <c r="O2820" i="2"/>
  <c r="O2821" i="2"/>
  <c r="O2822" i="2"/>
  <c r="O2823" i="2"/>
  <c r="O2824" i="2"/>
  <c r="O2825" i="2"/>
  <c r="O2826" i="2"/>
  <c r="O2827" i="2"/>
  <c r="O2828" i="2"/>
  <c r="O2829" i="2"/>
  <c r="O2830" i="2"/>
  <c r="O2831" i="2"/>
  <c r="O2832" i="2"/>
  <c r="O2833" i="2"/>
  <c r="O2834" i="2"/>
  <c r="O2835" i="2"/>
  <c r="O2836" i="2"/>
  <c r="O2837" i="2"/>
  <c r="O2838" i="2"/>
  <c r="O2839" i="2"/>
  <c r="O2840" i="2"/>
  <c r="O2841" i="2"/>
  <c r="O2842" i="2"/>
  <c r="O2843" i="2"/>
  <c r="O2844" i="2"/>
  <c r="O2845" i="2"/>
  <c r="O2846" i="2"/>
  <c r="O2847" i="2"/>
  <c r="O2848" i="2"/>
  <c r="O2849" i="2"/>
  <c r="O2850" i="2"/>
  <c r="O2851" i="2"/>
  <c r="O2852" i="2"/>
  <c r="O2853" i="2"/>
  <c r="O2854" i="2"/>
  <c r="O2855" i="2"/>
  <c r="O2856" i="2"/>
  <c r="O2857" i="2"/>
  <c r="O2858" i="2"/>
  <c r="O2859" i="2"/>
  <c r="O2860" i="2"/>
  <c r="O2861" i="2"/>
  <c r="O2862" i="2"/>
  <c r="O2863" i="2"/>
  <c r="O2864" i="2"/>
  <c r="O2865" i="2"/>
  <c r="O2866" i="2"/>
  <c r="O2867" i="2"/>
  <c r="O2868" i="2"/>
  <c r="O2869" i="2"/>
  <c r="O2870" i="2"/>
  <c r="O2871" i="2"/>
  <c r="O2872" i="2"/>
  <c r="O2873" i="2"/>
  <c r="O2874" i="2"/>
  <c r="O2875" i="2"/>
  <c r="O2876" i="2"/>
  <c r="O2877" i="2"/>
  <c r="O2878" i="2"/>
  <c r="O2879" i="2"/>
  <c r="O2880" i="2"/>
  <c r="O2881" i="2"/>
  <c r="O2882" i="2"/>
  <c r="O2883" i="2"/>
  <c r="O2884" i="2"/>
  <c r="O2885" i="2"/>
  <c r="O2886" i="2"/>
  <c r="O2887" i="2"/>
  <c r="O2888" i="2"/>
  <c r="O2889" i="2"/>
  <c r="O2890" i="2"/>
  <c r="O2891" i="2"/>
  <c r="O2892" i="2"/>
  <c r="O2893" i="2"/>
  <c r="O2894" i="2"/>
  <c r="O2895" i="2"/>
  <c r="O2896" i="2"/>
  <c r="O2897" i="2"/>
  <c r="O2898" i="2"/>
  <c r="O2899" i="2"/>
  <c r="O2900" i="2"/>
  <c r="O2901" i="2"/>
  <c r="O2902" i="2"/>
  <c r="O2903" i="2"/>
  <c r="O2904" i="2"/>
  <c r="O2905" i="2"/>
  <c r="O2906" i="2"/>
  <c r="O2907" i="2"/>
  <c r="O2908" i="2"/>
  <c r="O2909" i="2"/>
  <c r="O2910" i="2"/>
  <c r="O2911" i="2"/>
  <c r="O2912" i="2"/>
  <c r="O2913" i="2"/>
  <c r="O2914" i="2"/>
  <c r="O2915" i="2"/>
  <c r="O2916" i="2"/>
  <c r="O2917" i="2"/>
  <c r="O2918" i="2"/>
  <c r="O2919" i="2"/>
  <c r="O2920" i="2"/>
  <c r="O2921" i="2"/>
  <c r="O2922" i="2"/>
  <c r="O2923" i="2"/>
  <c r="O2924" i="2"/>
  <c r="O2925" i="2"/>
  <c r="O2926" i="2"/>
  <c r="O2927" i="2"/>
  <c r="O2928" i="2"/>
  <c r="O2929" i="2"/>
  <c r="O2930" i="2"/>
  <c r="O2931" i="2"/>
  <c r="O2932" i="2"/>
  <c r="O2933" i="2"/>
  <c r="O2934" i="2"/>
  <c r="O2935" i="2"/>
  <c r="O2936" i="2"/>
  <c r="O2937" i="2"/>
  <c r="O2938" i="2"/>
  <c r="O2939" i="2"/>
  <c r="O2940" i="2"/>
  <c r="O2941" i="2"/>
  <c r="O2942" i="2"/>
  <c r="O2943" i="2"/>
  <c r="O2944" i="2"/>
  <c r="O2945" i="2"/>
  <c r="O2946" i="2"/>
  <c r="O2947" i="2"/>
  <c r="O2948" i="2"/>
  <c r="O2949" i="2"/>
  <c r="O2950" i="2"/>
  <c r="O2951" i="2"/>
  <c r="O2952" i="2"/>
  <c r="O2953" i="2"/>
  <c r="O2954" i="2"/>
  <c r="O2955" i="2"/>
  <c r="O2956" i="2"/>
  <c r="O2957" i="2"/>
  <c r="O2958" i="2"/>
  <c r="O2959" i="2"/>
  <c r="O2960" i="2"/>
  <c r="O2961" i="2"/>
  <c r="O2962" i="2"/>
  <c r="O2963" i="2"/>
  <c r="O2964" i="2"/>
  <c r="O2965" i="2"/>
  <c r="O2966" i="2"/>
  <c r="O2967" i="2"/>
  <c r="O2968" i="2"/>
  <c r="O2969" i="2"/>
  <c r="O2970" i="2"/>
  <c r="O2971" i="2"/>
  <c r="O2972" i="2"/>
  <c r="O2973" i="2"/>
  <c r="O2974" i="2"/>
  <c r="O2975" i="2"/>
  <c r="O2976" i="2"/>
  <c r="O2977" i="2"/>
  <c r="O2978" i="2"/>
  <c r="O2979" i="2"/>
  <c r="O2980" i="2"/>
  <c r="O2981" i="2"/>
  <c r="O2982" i="2"/>
  <c r="O2983" i="2"/>
  <c r="O2984" i="2"/>
  <c r="O2985" i="2"/>
  <c r="O2986" i="2"/>
  <c r="O2987" i="2"/>
  <c r="O2988" i="2"/>
  <c r="O2989" i="2"/>
  <c r="O2990" i="2"/>
  <c r="O2991" i="2"/>
  <c r="O2992" i="2"/>
  <c r="O2993" i="2"/>
  <c r="O2994" i="2"/>
  <c r="O2995" i="2"/>
  <c r="O2996" i="2"/>
  <c r="O2997" i="2"/>
  <c r="O2998" i="2"/>
  <c r="O2999" i="2"/>
  <c r="O3000" i="2"/>
  <c r="O3001" i="2"/>
  <c r="O3002" i="2"/>
  <c r="O3003" i="2"/>
  <c r="O3004" i="2"/>
  <c r="O3005" i="2"/>
  <c r="O3006" i="2"/>
  <c r="O3007" i="2"/>
  <c r="O3008" i="2"/>
  <c r="O3009" i="2"/>
  <c r="O3010" i="2"/>
  <c r="O3011" i="2"/>
  <c r="O3012" i="2"/>
  <c r="O3013" i="2"/>
  <c r="O3014" i="2"/>
  <c r="O3015" i="2"/>
  <c r="O3016" i="2"/>
  <c r="O3017" i="2"/>
  <c r="O3018" i="2"/>
  <c r="O3019" i="2"/>
  <c r="O3020" i="2"/>
  <c r="O3021" i="2"/>
  <c r="O3022" i="2"/>
  <c r="O3023" i="2"/>
  <c r="O3024" i="2"/>
  <c r="O3025" i="2"/>
  <c r="O3026" i="2"/>
  <c r="O3027" i="2"/>
  <c r="O3028" i="2"/>
  <c r="O3029" i="2"/>
  <c r="O3030" i="2"/>
  <c r="O3031" i="2"/>
  <c r="O3032" i="2"/>
  <c r="O3033" i="2"/>
  <c r="O3034" i="2"/>
  <c r="O3035" i="2"/>
  <c r="O3036" i="2"/>
  <c r="O3037" i="2"/>
  <c r="O3038" i="2"/>
  <c r="O3039" i="2"/>
  <c r="O3040" i="2"/>
  <c r="O3041" i="2"/>
  <c r="O3042" i="2"/>
  <c r="O3043" i="2"/>
  <c r="O3044" i="2"/>
  <c r="O3045" i="2"/>
  <c r="O3046" i="2"/>
  <c r="O3047" i="2"/>
  <c r="O3048" i="2"/>
  <c r="O3049" i="2"/>
  <c r="O3050" i="2"/>
  <c r="O3051" i="2"/>
  <c r="O3052" i="2"/>
  <c r="O3053" i="2"/>
  <c r="O3054" i="2"/>
  <c r="O3055" i="2"/>
  <c r="O3056" i="2"/>
  <c r="O3057" i="2"/>
  <c r="O3058" i="2"/>
  <c r="O3059" i="2"/>
  <c r="O3060" i="2"/>
  <c r="O3061" i="2"/>
  <c r="O3062" i="2"/>
  <c r="O3063" i="2"/>
  <c r="O3064" i="2"/>
  <c r="O3065" i="2"/>
  <c r="O3066" i="2"/>
  <c r="O3067" i="2"/>
  <c r="O3068" i="2"/>
  <c r="O3069" i="2"/>
  <c r="O3070" i="2"/>
  <c r="O3071" i="2"/>
  <c r="O3072" i="2"/>
  <c r="O3073" i="2"/>
  <c r="O3074" i="2"/>
  <c r="O3075" i="2"/>
  <c r="O3076" i="2"/>
  <c r="O3077" i="2"/>
  <c r="O3078" i="2"/>
  <c r="O3079" i="2"/>
  <c r="O3080" i="2"/>
  <c r="O3081" i="2"/>
  <c r="O3082" i="2"/>
  <c r="O3083" i="2"/>
  <c r="O3084" i="2"/>
  <c r="O3085" i="2"/>
  <c r="O3086" i="2"/>
  <c r="O3087" i="2"/>
  <c r="O3088" i="2"/>
  <c r="O3089" i="2"/>
  <c r="O3090" i="2"/>
  <c r="O3091" i="2"/>
  <c r="O3092" i="2"/>
  <c r="O3093" i="2"/>
  <c r="O3094" i="2"/>
  <c r="O3095" i="2"/>
  <c r="O3096" i="2"/>
  <c r="O3097" i="2"/>
  <c r="O3098" i="2"/>
  <c r="O3099" i="2"/>
  <c r="O3100" i="2"/>
  <c r="O3101" i="2"/>
  <c r="O3102" i="2"/>
  <c r="O3103" i="2"/>
  <c r="O3104" i="2"/>
  <c r="O3105" i="2"/>
  <c r="O3106" i="2"/>
  <c r="O3107" i="2"/>
  <c r="O3108" i="2"/>
  <c r="O3109" i="2"/>
  <c r="O3110" i="2"/>
  <c r="O3111" i="2"/>
  <c r="O3112" i="2"/>
  <c r="O3113" i="2"/>
  <c r="O3114" i="2"/>
  <c r="O3115" i="2"/>
  <c r="O3116" i="2"/>
  <c r="O3117" i="2"/>
  <c r="O3118" i="2"/>
  <c r="O3119" i="2"/>
  <c r="O3120" i="2"/>
  <c r="O3121" i="2"/>
  <c r="O3122" i="2"/>
  <c r="O3123" i="2"/>
  <c r="O3124" i="2"/>
  <c r="O3125" i="2"/>
  <c r="O3126" i="2"/>
  <c r="O3127" i="2"/>
  <c r="O3128" i="2"/>
  <c r="O3129" i="2"/>
  <c r="O3130" i="2"/>
  <c r="O3131" i="2"/>
  <c r="O3132" i="2"/>
  <c r="O3133" i="2"/>
  <c r="O3134" i="2"/>
  <c r="O3135" i="2"/>
  <c r="O3136" i="2"/>
  <c r="O3137" i="2"/>
  <c r="O3138" i="2"/>
  <c r="O3139" i="2"/>
  <c r="O3140" i="2"/>
  <c r="O3141" i="2"/>
  <c r="O3142" i="2"/>
  <c r="O3143" i="2"/>
  <c r="O3144" i="2"/>
  <c r="O3145" i="2"/>
  <c r="O3146" i="2"/>
  <c r="O3147" i="2"/>
  <c r="O3148" i="2"/>
  <c r="O3149" i="2"/>
  <c r="O3150" i="2"/>
  <c r="O3151" i="2"/>
  <c r="O3152" i="2"/>
  <c r="O3153" i="2"/>
  <c r="O3154" i="2"/>
  <c r="O3155" i="2"/>
  <c r="O3156" i="2"/>
  <c r="O3157" i="2"/>
  <c r="O3158" i="2"/>
  <c r="O3159" i="2"/>
  <c r="O3160" i="2"/>
  <c r="O3161" i="2"/>
  <c r="O3162" i="2"/>
  <c r="O3163" i="2"/>
  <c r="O3164" i="2"/>
  <c r="O3165" i="2"/>
  <c r="O3166" i="2"/>
  <c r="O3167" i="2"/>
  <c r="O3168" i="2"/>
  <c r="O3169" i="2"/>
  <c r="O3170" i="2"/>
  <c r="O3171" i="2"/>
  <c r="O3172" i="2"/>
  <c r="O3173" i="2"/>
  <c r="O3174" i="2"/>
  <c r="O3175" i="2"/>
  <c r="O3176" i="2"/>
  <c r="O3177" i="2"/>
  <c r="O3178" i="2"/>
  <c r="O3179" i="2"/>
  <c r="O3180" i="2"/>
  <c r="O3181" i="2"/>
  <c r="O3182" i="2"/>
  <c r="O3183" i="2"/>
  <c r="O3184" i="2"/>
  <c r="O3185" i="2"/>
  <c r="O3186" i="2"/>
  <c r="O3187" i="2"/>
  <c r="O3188" i="2"/>
  <c r="O3189" i="2"/>
  <c r="O3190" i="2"/>
  <c r="O3191" i="2"/>
  <c r="O3192" i="2"/>
  <c r="O3193" i="2"/>
  <c r="O3194" i="2"/>
  <c r="O3195" i="2"/>
  <c r="O3196" i="2"/>
  <c r="O3197" i="2"/>
  <c r="O3198" i="2"/>
  <c r="O3199" i="2"/>
  <c r="O3200" i="2"/>
  <c r="O3201" i="2"/>
  <c r="O3202" i="2"/>
  <c r="O3203" i="2"/>
  <c r="O3204" i="2"/>
  <c r="O3205" i="2"/>
  <c r="O3206" i="2"/>
  <c r="O3207" i="2"/>
  <c r="O3208" i="2"/>
  <c r="O3209" i="2"/>
  <c r="O3210" i="2"/>
  <c r="O3211" i="2"/>
  <c r="O3212" i="2"/>
  <c r="O3213" i="2"/>
  <c r="O3214" i="2"/>
  <c r="O3215" i="2"/>
  <c r="O3216" i="2"/>
  <c r="O3217" i="2"/>
  <c r="O3218" i="2"/>
  <c r="O3219" i="2"/>
  <c r="O3220" i="2"/>
  <c r="O3221" i="2"/>
  <c r="O3222" i="2"/>
  <c r="O3223" i="2"/>
  <c r="O3224" i="2"/>
  <c r="O3225" i="2"/>
  <c r="O3226" i="2"/>
  <c r="O3227" i="2"/>
  <c r="O3228" i="2"/>
  <c r="O3229" i="2"/>
  <c r="O3230" i="2"/>
  <c r="O3231" i="2"/>
  <c r="O3232" i="2"/>
  <c r="O3233" i="2"/>
  <c r="O3234" i="2"/>
  <c r="O3235" i="2"/>
  <c r="O3236" i="2"/>
  <c r="O3237" i="2"/>
  <c r="O3238" i="2"/>
  <c r="O3239" i="2"/>
  <c r="O3240" i="2"/>
  <c r="O3241" i="2"/>
  <c r="O3242" i="2"/>
  <c r="O3243" i="2"/>
  <c r="O3244" i="2"/>
  <c r="O3245" i="2"/>
  <c r="O3246" i="2"/>
  <c r="O3247" i="2"/>
  <c r="O3248" i="2"/>
  <c r="O3249" i="2"/>
  <c r="O3250" i="2"/>
  <c r="O3251" i="2"/>
  <c r="O3252" i="2"/>
  <c r="O3253" i="2"/>
  <c r="O3254" i="2"/>
  <c r="O3255" i="2"/>
  <c r="O3256" i="2"/>
  <c r="O3257" i="2"/>
  <c r="O3258" i="2"/>
  <c r="O3259" i="2"/>
  <c r="O3260" i="2"/>
  <c r="O3261" i="2"/>
  <c r="O3262" i="2"/>
  <c r="O3263" i="2"/>
  <c r="O3264" i="2"/>
  <c r="O3265" i="2"/>
  <c r="O3266" i="2"/>
  <c r="O3267" i="2"/>
  <c r="O3268" i="2"/>
  <c r="O3269" i="2"/>
  <c r="O3270" i="2"/>
  <c r="O3271" i="2"/>
  <c r="O3272" i="2"/>
  <c r="O3273" i="2"/>
  <c r="O3274" i="2"/>
  <c r="O3275" i="2"/>
  <c r="O3276" i="2"/>
  <c r="O3277" i="2"/>
  <c r="O3278" i="2"/>
  <c r="O3279" i="2"/>
  <c r="O3280" i="2"/>
  <c r="O3281" i="2"/>
  <c r="O3282" i="2"/>
  <c r="O3283" i="2"/>
  <c r="O3284" i="2"/>
  <c r="O3285" i="2"/>
  <c r="O3286" i="2"/>
  <c r="O3287" i="2"/>
  <c r="O3288" i="2"/>
  <c r="O3289" i="2"/>
  <c r="O3290" i="2"/>
  <c r="O3291" i="2"/>
  <c r="O3292" i="2"/>
  <c r="O3293" i="2"/>
  <c r="O3294" i="2"/>
  <c r="O3295" i="2"/>
  <c r="O3296" i="2"/>
  <c r="O3297" i="2"/>
  <c r="O3298" i="2"/>
  <c r="O3299" i="2"/>
  <c r="O3300" i="2"/>
  <c r="O3301" i="2"/>
  <c r="O3302" i="2"/>
  <c r="O3303" i="2"/>
  <c r="O3304" i="2"/>
  <c r="O3305" i="2"/>
  <c r="O3306" i="2"/>
  <c r="O3307" i="2"/>
  <c r="O3308" i="2"/>
  <c r="O3309" i="2"/>
  <c r="O3310" i="2"/>
  <c r="O3311" i="2"/>
  <c r="O3312" i="2"/>
  <c r="O3313" i="2"/>
  <c r="O3314" i="2"/>
  <c r="O3315" i="2"/>
  <c r="O3316" i="2"/>
  <c r="O3317" i="2"/>
  <c r="O3318" i="2"/>
  <c r="O3319" i="2"/>
  <c r="O3320" i="2"/>
  <c r="O3321" i="2"/>
  <c r="O3322" i="2"/>
  <c r="O3323" i="2"/>
  <c r="O3324" i="2"/>
  <c r="O3325" i="2"/>
  <c r="O3326" i="2"/>
  <c r="O3327" i="2"/>
  <c r="O3328" i="2"/>
  <c r="O3329" i="2"/>
  <c r="O3330" i="2"/>
  <c r="O3331" i="2"/>
  <c r="O3332" i="2"/>
  <c r="O3333" i="2"/>
  <c r="O3334" i="2"/>
  <c r="O3335" i="2"/>
  <c r="O3336" i="2"/>
  <c r="O3337" i="2"/>
  <c r="O3338" i="2"/>
  <c r="O3339" i="2"/>
  <c r="O3340" i="2"/>
  <c r="O3341" i="2"/>
  <c r="O3342" i="2"/>
  <c r="O3343" i="2"/>
  <c r="O3344" i="2"/>
  <c r="O3345" i="2"/>
  <c r="O3346" i="2"/>
  <c r="O3347" i="2"/>
  <c r="O3348" i="2"/>
  <c r="O3349" i="2"/>
  <c r="O3350" i="2"/>
  <c r="O3351" i="2"/>
  <c r="O3352" i="2"/>
  <c r="O3353" i="2"/>
  <c r="O3354" i="2"/>
  <c r="O3355" i="2"/>
  <c r="O3356" i="2"/>
  <c r="O3357" i="2"/>
  <c r="O3358" i="2"/>
  <c r="O3359" i="2"/>
  <c r="O3360" i="2"/>
  <c r="O3361" i="2"/>
  <c r="O3362" i="2"/>
  <c r="O3363" i="2"/>
  <c r="O3364" i="2"/>
  <c r="O3365" i="2"/>
  <c r="O3366" i="2"/>
  <c r="O3367" i="2"/>
  <c r="O3368" i="2"/>
  <c r="O3369" i="2"/>
  <c r="O3370" i="2"/>
  <c r="O3371" i="2"/>
  <c r="O3372" i="2"/>
  <c r="O3373" i="2"/>
  <c r="O3374" i="2"/>
  <c r="O3375" i="2"/>
  <c r="O3376" i="2"/>
  <c r="O3377" i="2"/>
  <c r="O3378" i="2"/>
  <c r="O3379" i="2"/>
  <c r="O3380" i="2"/>
  <c r="O3381" i="2"/>
  <c r="O3382" i="2"/>
  <c r="O3383" i="2"/>
  <c r="O3384" i="2"/>
  <c r="O3385" i="2"/>
  <c r="O3386" i="2"/>
  <c r="O3387" i="2"/>
  <c r="O3388" i="2"/>
  <c r="O3389" i="2"/>
  <c r="O3390" i="2"/>
  <c r="O3391" i="2"/>
  <c r="O3392" i="2"/>
  <c r="O3393" i="2"/>
  <c r="O3394" i="2"/>
  <c r="O3395" i="2"/>
  <c r="O3396" i="2"/>
  <c r="O3397" i="2"/>
  <c r="O3398" i="2"/>
  <c r="O3399" i="2"/>
  <c r="O3400" i="2"/>
  <c r="O3401" i="2"/>
  <c r="O3402" i="2"/>
  <c r="O3403" i="2"/>
  <c r="O3404" i="2"/>
  <c r="O3405" i="2"/>
  <c r="O3406" i="2"/>
  <c r="O3407" i="2"/>
  <c r="O3408" i="2"/>
  <c r="O3409" i="2"/>
  <c r="O3410" i="2"/>
  <c r="O3411" i="2"/>
  <c r="O3412" i="2"/>
  <c r="O3413" i="2"/>
  <c r="O3414" i="2"/>
  <c r="O3415" i="2"/>
  <c r="O3416" i="2"/>
  <c r="O3417" i="2"/>
  <c r="O3418" i="2"/>
  <c r="O3419" i="2"/>
  <c r="O3420" i="2"/>
  <c r="O3421" i="2"/>
  <c r="O3422" i="2"/>
  <c r="O3423" i="2"/>
  <c r="O3424" i="2"/>
  <c r="O3425" i="2"/>
  <c r="O3426" i="2"/>
  <c r="O3427" i="2"/>
  <c r="O3428" i="2"/>
  <c r="O3429" i="2"/>
  <c r="O3430" i="2"/>
  <c r="O3431" i="2"/>
  <c r="O3432" i="2"/>
  <c r="O3433" i="2"/>
  <c r="O3434" i="2"/>
  <c r="O3435" i="2"/>
  <c r="O3436" i="2"/>
  <c r="O3437" i="2"/>
  <c r="O3438" i="2"/>
  <c r="O3439" i="2"/>
  <c r="O3440" i="2"/>
  <c r="O3441" i="2"/>
  <c r="O3442" i="2"/>
  <c r="O3443" i="2"/>
  <c r="O3444" i="2"/>
  <c r="O3445" i="2"/>
  <c r="O3446" i="2"/>
  <c r="O3447" i="2"/>
  <c r="O3448" i="2"/>
  <c r="O3449" i="2"/>
  <c r="O3450" i="2"/>
  <c r="O3451" i="2"/>
  <c r="O3452" i="2"/>
  <c r="O3453" i="2"/>
  <c r="O3454" i="2"/>
  <c r="O3455" i="2"/>
  <c r="O3456" i="2"/>
  <c r="O3457" i="2"/>
  <c r="O3458" i="2"/>
  <c r="O3459" i="2"/>
  <c r="O3460" i="2"/>
  <c r="O3461" i="2"/>
  <c r="O3462" i="2"/>
  <c r="O3463" i="2"/>
  <c r="O3464" i="2"/>
  <c r="O3465" i="2"/>
  <c r="O3466" i="2"/>
  <c r="O3467" i="2"/>
  <c r="O3468" i="2"/>
  <c r="O3469" i="2"/>
  <c r="O3470" i="2"/>
  <c r="O3471" i="2"/>
  <c r="O3472" i="2"/>
  <c r="O3473" i="2"/>
  <c r="O3474" i="2"/>
  <c r="O3475" i="2"/>
  <c r="O3476" i="2"/>
  <c r="O3477" i="2"/>
  <c r="O3478" i="2"/>
  <c r="O3479" i="2"/>
  <c r="O3480" i="2"/>
  <c r="O3481" i="2"/>
  <c r="O3482" i="2"/>
  <c r="O3483" i="2"/>
  <c r="O3484" i="2"/>
  <c r="O3485" i="2"/>
  <c r="O3486" i="2"/>
  <c r="O3487" i="2"/>
  <c r="O3488" i="2"/>
  <c r="O3489" i="2"/>
  <c r="O3490" i="2"/>
  <c r="O3491" i="2"/>
  <c r="O3492" i="2"/>
  <c r="O3493" i="2"/>
  <c r="O3494" i="2"/>
  <c r="O3495" i="2"/>
  <c r="O3496" i="2"/>
  <c r="O3497" i="2"/>
  <c r="O3498" i="2"/>
  <c r="O3499" i="2"/>
  <c r="O3500" i="2"/>
  <c r="O3501" i="2"/>
  <c r="O3502" i="2"/>
  <c r="O3503" i="2"/>
  <c r="O3504" i="2"/>
  <c r="O3505" i="2"/>
  <c r="O3506" i="2"/>
  <c r="O3507" i="2"/>
  <c r="O3508" i="2"/>
  <c r="O3509" i="2"/>
  <c r="O3510" i="2"/>
  <c r="O3511" i="2"/>
  <c r="O3512" i="2"/>
  <c r="O3513" i="2"/>
  <c r="O3514" i="2"/>
  <c r="O3515" i="2"/>
  <c r="O3516" i="2"/>
  <c r="O3517" i="2"/>
  <c r="O3518" i="2"/>
  <c r="O3519" i="2"/>
  <c r="O3520" i="2"/>
  <c r="O3521" i="2"/>
  <c r="O3522" i="2"/>
  <c r="O3523" i="2"/>
  <c r="O3524" i="2"/>
  <c r="O3525" i="2"/>
  <c r="O3526" i="2"/>
  <c r="O3527" i="2"/>
  <c r="O3528" i="2"/>
  <c r="O3529" i="2"/>
  <c r="O3530" i="2"/>
  <c r="O3531" i="2"/>
  <c r="O3532" i="2"/>
  <c r="O3533" i="2"/>
  <c r="O3534" i="2"/>
  <c r="O3535" i="2"/>
  <c r="O3536" i="2"/>
  <c r="O3537" i="2"/>
  <c r="O3538" i="2"/>
  <c r="O3539" i="2"/>
  <c r="O3540" i="2"/>
  <c r="O3541" i="2"/>
  <c r="O3542" i="2"/>
  <c r="O3543" i="2"/>
  <c r="O3544" i="2"/>
  <c r="O3545" i="2"/>
  <c r="O3546" i="2"/>
  <c r="O3547" i="2"/>
  <c r="O3548" i="2"/>
  <c r="O3549" i="2"/>
  <c r="O3550" i="2"/>
  <c r="O3551" i="2"/>
  <c r="O3552" i="2"/>
  <c r="O3553" i="2"/>
  <c r="O3554" i="2"/>
  <c r="O3555" i="2"/>
  <c r="O3556" i="2"/>
  <c r="O3557" i="2"/>
  <c r="O3558" i="2"/>
  <c r="O3559" i="2"/>
  <c r="O3560" i="2"/>
  <c r="O3561" i="2"/>
  <c r="O3562" i="2"/>
  <c r="O3563" i="2"/>
  <c r="O3564" i="2"/>
  <c r="O3565" i="2"/>
  <c r="O3566" i="2"/>
  <c r="O3567" i="2"/>
  <c r="O3568" i="2"/>
  <c r="O3569" i="2"/>
  <c r="O3570" i="2"/>
  <c r="O3571" i="2"/>
  <c r="O3572" i="2"/>
  <c r="O3573" i="2"/>
  <c r="O3574" i="2"/>
  <c r="O3575" i="2"/>
  <c r="O3576" i="2"/>
  <c r="O3577" i="2"/>
  <c r="O3578" i="2"/>
  <c r="O3579" i="2"/>
  <c r="O3580" i="2"/>
  <c r="O3581" i="2"/>
  <c r="O3582" i="2"/>
  <c r="O3583" i="2"/>
  <c r="O3584" i="2"/>
  <c r="O3585" i="2"/>
  <c r="O3586" i="2"/>
  <c r="O3587" i="2"/>
  <c r="O3588" i="2"/>
  <c r="O3589" i="2"/>
  <c r="O3590" i="2"/>
  <c r="O3591" i="2"/>
  <c r="O3592" i="2"/>
  <c r="O3593" i="2"/>
  <c r="O3594" i="2"/>
  <c r="O3595" i="2"/>
  <c r="O3596" i="2"/>
  <c r="O3597" i="2"/>
  <c r="O3598" i="2"/>
  <c r="O3599" i="2"/>
  <c r="O3600" i="2"/>
  <c r="O3601" i="2"/>
  <c r="O3602" i="2"/>
  <c r="O3603" i="2"/>
  <c r="O3604" i="2"/>
  <c r="O3605" i="2"/>
  <c r="O3606" i="2"/>
  <c r="O3607" i="2"/>
  <c r="O3608" i="2"/>
  <c r="O3609" i="2"/>
  <c r="O3610" i="2"/>
  <c r="O3611" i="2"/>
  <c r="O3612" i="2"/>
  <c r="O3613" i="2"/>
  <c r="O3614" i="2"/>
  <c r="O3615" i="2"/>
  <c r="O3616" i="2"/>
  <c r="O3617" i="2"/>
  <c r="O3618" i="2"/>
  <c r="O3619" i="2"/>
  <c r="O3620" i="2"/>
  <c r="O3621" i="2"/>
  <c r="O3622" i="2"/>
  <c r="O3623" i="2"/>
  <c r="O3624" i="2"/>
  <c r="O3625" i="2"/>
  <c r="O3626" i="2"/>
  <c r="O3627" i="2"/>
  <c r="O3628" i="2"/>
  <c r="O3629" i="2"/>
  <c r="O3630" i="2"/>
  <c r="O3631" i="2"/>
  <c r="O3632" i="2"/>
  <c r="O3633" i="2"/>
  <c r="O3634" i="2"/>
  <c r="O3635" i="2"/>
  <c r="O3636" i="2"/>
  <c r="O3637" i="2"/>
  <c r="O3638" i="2"/>
  <c r="O3639" i="2"/>
  <c r="O3640" i="2"/>
  <c r="O3641" i="2"/>
  <c r="O3642" i="2"/>
  <c r="O3643" i="2"/>
  <c r="O3644" i="2"/>
  <c r="O3645" i="2"/>
  <c r="O3646" i="2"/>
  <c r="O3647" i="2"/>
  <c r="O3648" i="2"/>
  <c r="O3649" i="2"/>
  <c r="O3650" i="2"/>
  <c r="O3651" i="2"/>
  <c r="O3652" i="2"/>
  <c r="O3653" i="2"/>
  <c r="O3654" i="2"/>
  <c r="O3655" i="2"/>
  <c r="O3656" i="2"/>
  <c r="O3657" i="2"/>
  <c r="O3658" i="2"/>
  <c r="O3659" i="2"/>
  <c r="O3660" i="2"/>
  <c r="O3661" i="2"/>
  <c r="O3662" i="2"/>
  <c r="O3663" i="2"/>
  <c r="O3664" i="2"/>
  <c r="O3665" i="2"/>
  <c r="O3666" i="2"/>
  <c r="O3667" i="2"/>
  <c r="O3668" i="2"/>
  <c r="O3669" i="2"/>
  <c r="O3670" i="2"/>
  <c r="O3671" i="2"/>
  <c r="O3672" i="2"/>
  <c r="O3673" i="2"/>
  <c r="O3674" i="2"/>
  <c r="O3675" i="2"/>
  <c r="O3676" i="2"/>
  <c r="O3677" i="2"/>
  <c r="O3678" i="2"/>
  <c r="O3679" i="2"/>
  <c r="O3680" i="2"/>
  <c r="O3681" i="2"/>
  <c r="O3682" i="2"/>
  <c r="O3683" i="2"/>
  <c r="O3684" i="2"/>
  <c r="O3685" i="2"/>
  <c r="O3686" i="2"/>
  <c r="O3687" i="2"/>
  <c r="O3688" i="2"/>
  <c r="O3689" i="2"/>
  <c r="O3690" i="2"/>
  <c r="O3691" i="2"/>
  <c r="O3692" i="2"/>
  <c r="O3693" i="2"/>
  <c r="O3694" i="2"/>
  <c r="O3695" i="2"/>
  <c r="O3696" i="2"/>
  <c r="O3697" i="2"/>
  <c r="O3698" i="2"/>
  <c r="O3699" i="2"/>
  <c r="O3700" i="2"/>
  <c r="O3701" i="2"/>
  <c r="O3702" i="2"/>
  <c r="O3703" i="2"/>
  <c r="O3704" i="2"/>
  <c r="O3705" i="2"/>
  <c r="O3706" i="2"/>
  <c r="O3707" i="2"/>
  <c r="O3708" i="2"/>
  <c r="O3709" i="2"/>
  <c r="O3710" i="2"/>
  <c r="O3711" i="2"/>
  <c r="O3712" i="2"/>
  <c r="O3713" i="2"/>
  <c r="O3714" i="2"/>
  <c r="O3715" i="2"/>
  <c r="O3716" i="2"/>
  <c r="O3717" i="2"/>
  <c r="O3718" i="2"/>
  <c r="O3719" i="2"/>
  <c r="O3720" i="2"/>
  <c r="O3721" i="2"/>
  <c r="O3722" i="2"/>
  <c r="O3723" i="2"/>
  <c r="O3724" i="2"/>
  <c r="O3725" i="2"/>
  <c r="O3726" i="2"/>
  <c r="O3727" i="2"/>
  <c r="O3728" i="2"/>
  <c r="O3729" i="2"/>
  <c r="O3730" i="2"/>
  <c r="O3731" i="2"/>
  <c r="O3732" i="2"/>
  <c r="O3733" i="2"/>
  <c r="O3734" i="2"/>
  <c r="O3735" i="2"/>
  <c r="O3736" i="2"/>
  <c r="O3737" i="2"/>
  <c r="O3738" i="2"/>
  <c r="O3739" i="2"/>
  <c r="O3740" i="2"/>
  <c r="O3741" i="2"/>
  <c r="O3742" i="2"/>
  <c r="O3743" i="2"/>
  <c r="O3744" i="2"/>
  <c r="O3745" i="2"/>
  <c r="O3746" i="2"/>
  <c r="O3747" i="2"/>
  <c r="O3748" i="2"/>
  <c r="O3749" i="2"/>
  <c r="O3750" i="2"/>
  <c r="O3751" i="2"/>
  <c r="O3752" i="2"/>
  <c r="O3753" i="2"/>
  <c r="O3754" i="2"/>
  <c r="O3755" i="2"/>
  <c r="O3756" i="2"/>
  <c r="O3757" i="2"/>
  <c r="O3758" i="2"/>
  <c r="O3759" i="2"/>
  <c r="O3760" i="2"/>
  <c r="O3761" i="2"/>
  <c r="O3762" i="2"/>
  <c r="O3763" i="2"/>
  <c r="O3764" i="2"/>
  <c r="O3765" i="2"/>
  <c r="O3766" i="2"/>
  <c r="O3767" i="2"/>
  <c r="O3768" i="2"/>
  <c r="O3769" i="2"/>
  <c r="O3770" i="2"/>
  <c r="O3771" i="2"/>
  <c r="O3772" i="2"/>
  <c r="O3773" i="2"/>
  <c r="O3774" i="2"/>
  <c r="O3775" i="2"/>
  <c r="O3776" i="2"/>
  <c r="O3777" i="2"/>
  <c r="O3778" i="2"/>
  <c r="O3779" i="2"/>
  <c r="O3780" i="2"/>
  <c r="O3781" i="2"/>
  <c r="O3782" i="2"/>
  <c r="O3783" i="2"/>
  <c r="O3784" i="2"/>
  <c r="O3785" i="2"/>
  <c r="O3786" i="2"/>
  <c r="O3787" i="2"/>
  <c r="O3788" i="2"/>
  <c r="O3789" i="2"/>
  <c r="O3790" i="2"/>
  <c r="O3791" i="2"/>
  <c r="O3792" i="2"/>
  <c r="O3793" i="2"/>
  <c r="O3794" i="2"/>
  <c r="O3795" i="2"/>
  <c r="O3796" i="2"/>
  <c r="O3797" i="2"/>
  <c r="O3798" i="2"/>
  <c r="O3799" i="2"/>
  <c r="O3800" i="2"/>
  <c r="O3801" i="2"/>
  <c r="O3802" i="2"/>
  <c r="O3803" i="2"/>
  <c r="O3804" i="2"/>
  <c r="O3805" i="2"/>
  <c r="O3806" i="2"/>
  <c r="O3807" i="2"/>
  <c r="O3808" i="2"/>
  <c r="O3809" i="2"/>
  <c r="O3810" i="2"/>
  <c r="O3811" i="2"/>
  <c r="O3812" i="2"/>
  <c r="O3813" i="2"/>
  <c r="O3814" i="2"/>
  <c r="O3815" i="2"/>
  <c r="O3816" i="2"/>
  <c r="O3817" i="2"/>
  <c r="O3818" i="2"/>
  <c r="O3819" i="2"/>
  <c r="O3820" i="2"/>
  <c r="O3821" i="2"/>
  <c r="O3822" i="2"/>
  <c r="O3823" i="2"/>
  <c r="O3824" i="2"/>
  <c r="O3825" i="2"/>
  <c r="O3826" i="2"/>
  <c r="O3827" i="2"/>
  <c r="O3828" i="2"/>
  <c r="O3829" i="2"/>
  <c r="O3830" i="2"/>
  <c r="O3831" i="2"/>
  <c r="O3832" i="2"/>
  <c r="O3833" i="2"/>
  <c r="O3834" i="2"/>
  <c r="O3835" i="2"/>
  <c r="O3836" i="2"/>
  <c r="O3837" i="2"/>
  <c r="O3838" i="2"/>
  <c r="O3839" i="2"/>
  <c r="O3840" i="2"/>
  <c r="O3841" i="2"/>
  <c r="O3842" i="2"/>
  <c r="O3843" i="2"/>
  <c r="O3844" i="2"/>
  <c r="O3845" i="2"/>
  <c r="O3846" i="2"/>
  <c r="O3847" i="2"/>
  <c r="O3848" i="2"/>
  <c r="O3849" i="2"/>
  <c r="O3850" i="2"/>
  <c r="O3851" i="2"/>
  <c r="O3852" i="2"/>
  <c r="O3853" i="2"/>
  <c r="O3854" i="2"/>
  <c r="O3855" i="2"/>
  <c r="O3856" i="2"/>
  <c r="O3857" i="2"/>
  <c r="O3858" i="2"/>
  <c r="O3859" i="2"/>
  <c r="O3860" i="2"/>
  <c r="O3861" i="2"/>
  <c r="O3862" i="2"/>
  <c r="O3863" i="2"/>
  <c r="O3864" i="2"/>
  <c r="O3865" i="2"/>
  <c r="O3866" i="2"/>
  <c r="O3867" i="2"/>
  <c r="O3868" i="2"/>
  <c r="O3869" i="2"/>
  <c r="O3870" i="2"/>
  <c r="O3871" i="2"/>
  <c r="O3872" i="2"/>
  <c r="O3873" i="2"/>
  <c r="O3874" i="2"/>
  <c r="O3875" i="2"/>
  <c r="O3876" i="2"/>
  <c r="O3877" i="2"/>
  <c r="O3878" i="2"/>
  <c r="O3879" i="2"/>
  <c r="O3880" i="2"/>
  <c r="O3881" i="2"/>
  <c r="O3882" i="2"/>
  <c r="O3883" i="2"/>
  <c r="O3884" i="2"/>
  <c r="O3885" i="2"/>
  <c r="O3886" i="2"/>
  <c r="O3887" i="2"/>
  <c r="O3888" i="2"/>
  <c r="O3889" i="2"/>
  <c r="O3890" i="2"/>
  <c r="O3891" i="2"/>
  <c r="O3892" i="2"/>
  <c r="O3893" i="2"/>
  <c r="O3894" i="2"/>
  <c r="O3895" i="2"/>
  <c r="O3896" i="2"/>
  <c r="O3897" i="2"/>
  <c r="O3898" i="2"/>
  <c r="O3899" i="2"/>
  <c r="O3900" i="2"/>
  <c r="O3901" i="2"/>
  <c r="O3902" i="2"/>
  <c r="O3903" i="2"/>
  <c r="O3904" i="2"/>
  <c r="O3905" i="2"/>
  <c r="O3906" i="2"/>
  <c r="O3907" i="2"/>
  <c r="O3908" i="2"/>
  <c r="O3909" i="2"/>
  <c r="O3910" i="2"/>
  <c r="O3911" i="2"/>
  <c r="O3912" i="2"/>
  <c r="O3913" i="2"/>
  <c r="O3914" i="2"/>
  <c r="O3915" i="2"/>
  <c r="O3916" i="2"/>
  <c r="O3917" i="2"/>
  <c r="O3918" i="2"/>
  <c r="O3919" i="2"/>
  <c r="O3920" i="2"/>
  <c r="O3921" i="2"/>
  <c r="O3922" i="2"/>
  <c r="O3923" i="2"/>
  <c r="O3924" i="2"/>
  <c r="O3925" i="2"/>
  <c r="O3926" i="2"/>
  <c r="O3927" i="2"/>
  <c r="O3928" i="2"/>
  <c r="O3929" i="2"/>
  <c r="O3930" i="2"/>
  <c r="O3931" i="2"/>
  <c r="O3932" i="2"/>
  <c r="O3933" i="2"/>
  <c r="O3934" i="2"/>
  <c r="O3935" i="2"/>
  <c r="O3936" i="2"/>
  <c r="O3937" i="2"/>
  <c r="O3938" i="2"/>
  <c r="O3939" i="2"/>
  <c r="O3940" i="2"/>
  <c r="O3941" i="2"/>
  <c r="O3942" i="2"/>
  <c r="O3943" i="2"/>
  <c r="O3944" i="2"/>
  <c r="O3945" i="2"/>
  <c r="O3946" i="2"/>
  <c r="O3947" i="2"/>
  <c r="O3948" i="2"/>
  <c r="O3949" i="2"/>
  <c r="O3950" i="2"/>
  <c r="O3951" i="2"/>
  <c r="O3952" i="2"/>
  <c r="O3953" i="2"/>
  <c r="O3954" i="2"/>
  <c r="O3955" i="2"/>
  <c r="O3956" i="2"/>
  <c r="O3957" i="2"/>
  <c r="O3958" i="2"/>
  <c r="O3959" i="2"/>
  <c r="O3960" i="2"/>
  <c r="O3961" i="2"/>
  <c r="O3962" i="2"/>
  <c r="O3963" i="2"/>
  <c r="O3964" i="2"/>
  <c r="O3965" i="2"/>
  <c r="O3966" i="2"/>
  <c r="O3967" i="2"/>
  <c r="O3968" i="2"/>
  <c r="O3969" i="2"/>
  <c r="O3970" i="2"/>
  <c r="O3971" i="2"/>
  <c r="O3972" i="2"/>
  <c r="O3973" i="2"/>
  <c r="O3974" i="2"/>
  <c r="O3975" i="2"/>
  <c r="O3976" i="2"/>
  <c r="O3977" i="2"/>
  <c r="O3978" i="2"/>
  <c r="O3979" i="2"/>
  <c r="O3980" i="2"/>
  <c r="O3981" i="2"/>
  <c r="O3982" i="2"/>
  <c r="O3983" i="2"/>
  <c r="O3984" i="2"/>
  <c r="O3985" i="2"/>
  <c r="O3986" i="2"/>
  <c r="O3987" i="2"/>
  <c r="O3988" i="2"/>
  <c r="O3989" i="2"/>
  <c r="O3990" i="2"/>
  <c r="O3991" i="2"/>
  <c r="O3992" i="2"/>
  <c r="O3993" i="2"/>
  <c r="O3994" i="2"/>
  <c r="O3995" i="2"/>
  <c r="O3996" i="2"/>
  <c r="O3997" i="2"/>
  <c r="O3998" i="2"/>
  <c r="O3999" i="2"/>
  <c r="O4000" i="2"/>
  <c r="O4001" i="2"/>
  <c r="O4002" i="2"/>
  <c r="O4003" i="2"/>
  <c r="O4004" i="2"/>
  <c r="O4005" i="2"/>
  <c r="O4006" i="2"/>
  <c r="O4007" i="2"/>
  <c r="O4008" i="2"/>
  <c r="O4009" i="2"/>
  <c r="O4010" i="2"/>
  <c r="O4011" i="2"/>
  <c r="O4012" i="2"/>
  <c r="O4013" i="2"/>
  <c r="O4014" i="2"/>
  <c r="O4015" i="2"/>
  <c r="O4016" i="2"/>
  <c r="O4017" i="2"/>
  <c r="O4018" i="2"/>
  <c r="O4019" i="2"/>
  <c r="O4020" i="2"/>
  <c r="O4021" i="2"/>
  <c r="O4022" i="2"/>
  <c r="O4023" i="2"/>
  <c r="O4024" i="2"/>
  <c r="O4025" i="2"/>
  <c r="O4026" i="2"/>
  <c r="O4027" i="2"/>
  <c r="O4028" i="2"/>
  <c r="O4029" i="2"/>
  <c r="O4030" i="2"/>
  <c r="O4031" i="2"/>
  <c r="O4032" i="2"/>
  <c r="O4033" i="2"/>
  <c r="O4034" i="2"/>
  <c r="O4035" i="2"/>
  <c r="O4036" i="2"/>
  <c r="O4037" i="2"/>
  <c r="O4038" i="2"/>
  <c r="O4039" i="2"/>
  <c r="O4040" i="2"/>
  <c r="O4041" i="2"/>
  <c r="O4042" i="2"/>
  <c r="O4043" i="2"/>
  <c r="O4044" i="2"/>
  <c r="O4045" i="2"/>
  <c r="O4046" i="2"/>
  <c r="O4047" i="2"/>
  <c r="O4048" i="2"/>
  <c r="O4049" i="2"/>
  <c r="O4050" i="2"/>
  <c r="O4051" i="2"/>
  <c r="O4052" i="2"/>
  <c r="O4053" i="2"/>
  <c r="O4054" i="2"/>
  <c r="O4055" i="2"/>
  <c r="O4056" i="2"/>
  <c r="O4057" i="2"/>
  <c r="O4058" i="2"/>
  <c r="O4059" i="2"/>
  <c r="O4060" i="2"/>
  <c r="O4061" i="2"/>
  <c r="O4062" i="2"/>
  <c r="O4063" i="2"/>
  <c r="O4064" i="2"/>
  <c r="O4065" i="2"/>
  <c r="O4066" i="2"/>
  <c r="O4067" i="2"/>
  <c r="O4068" i="2"/>
  <c r="O4069" i="2"/>
  <c r="O4070" i="2"/>
  <c r="O4071" i="2"/>
  <c r="O4072" i="2"/>
  <c r="O4073" i="2"/>
  <c r="O4074" i="2"/>
  <c r="O4075" i="2"/>
  <c r="O4076" i="2"/>
  <c r="O4077" i="2"/>
  <c r="O4078" i="2"/>
  <c r="O4079" i="2"/>
  <c r="O4080" i="2"/>
  <c r="O4081" i="2"/>
  <c r="O4082" i="2"/>
  <c r="O4083" i="2"/>
  <c r="O4084" i="2"/>
  <c r="O4085" i="2"/>
  <c r="O4086" i="2"/>
  <c r="O4087" i="2"/>
  <c r="O4088" i="2"/>
  <c r="O4089" i="2"/>
  <c r="O4090" i="2"/>
  <c r="O4091" i="2"/>
  <c r="O4092" i="2"/>
  <c r="O4093" i="2"/>
  <c r="O4094" i="2"/>
  <c r="O4095" i="2"/>
  <c r="O4096" i="2"/>
  <c r="O4097" i="2"/>
  <c r="O4098" i="2"/>
  <c r="O4099" i="2"/>
  <c r="O4100" i="2"/>
  <c r="O4101" i="2"/>
  <c r="O4102" i="2"/>
  <c r="O4103" i="2"/>
  <c r="O4104" i="2"/>
  <c r="O4105" i="2"/>
  <c r="O4106" i="2"/>
  <c r="O4107" i="2"/>
  <c r="O4108" i="2"/>
  <c r="O4109" i="2"/>
  <c r="O4110" i="2"/>
  <c r="O4111" i="2"/>
  <c r="O4112" i="2"/>
  <c r="O4113" i="2"/>
  <c r="O4114" i="2"/>
  <c r="O4115" i="2"/>
  <c r="O4116" i="2"/>
  <c r="O4117" i="2"/>
  <c r="O4118" i="2"/>
  <c r="O4119" i="2"/>
  <c r="O4120" i="2"/>
  <c r="O4121" i="2"/>
  <c r="O4122" i="2"/>
  <c r="O4123" i="2"/>
  <c r="O4124" i="2"/>
  <c r="O4125" i="2"/>
  <c r="O4126" i="2"/>
  <c r="O4127" i="2"/>
  <c r="O4128" i="2"/>
  <c r="O4129" i="2"/>
  <c r="O4130" i="2"/>
  <c r="O4131" i="2"/>
  <c r="O4132" i="2"/>
  <c r="O4133" i="2"/>
  <c r="O4134" i="2"/>
  <c r="O4135" i="2"/>
  <c r="O4136" i="2"/>
  <c r="O4137" i="2"/>
  <c r="O4138" i="2"/>
  <c r="O4139" i="2"/>
  <c r="O4140" i="2"/>
  <c r="O4141" i="2"/>
  <c r="O4142" i="2"/>
  <c r="O4143" i="2"/>
  <c r="O4144" i="2"/>
  <c r="O4145" i="2"/>
  <c r="O4146" i="2"/>
  <c r="O4147" i="2"/>
  <c r="O4148" i="2"/>
  <c r="O4149" i="2"/>
  <c r="O4150" i="2"/>
  <c r="O4151" i="2"/>
  <c r="O4152" i="2"/>
  <c r="O4153" i="2"/>
  <c r="O4154" i="2"/>
  <c r="O4155" i="2"/>
  <c r="O4156" i="2"/>
  <c r="O4157" i="2"/>
  <c r="O4158" i="2"/>
  <c r="O4159" i="2"/>
  <c r="O4160" i="2"/>
  <c r="O4161" i="2"/>
  <c r="O4162" i="2"/>
  <c r="O4163" i="2"/>
  <c r="O4164" i="2"/>
  <c r="O4165" i="2"/>
  <c r="O4166" i="2"/>
  <c r="O4167" i="2"/>
  <c r="O4168" i="2"/>
  <c r="O4169" i="2"/>
  <c r="O4170" i="2"/>
  <c r="O4171" i="2"/>
  <c r="O4172" i="2"/>
  <c r="O4173" i="2"/>
  <c r="O4174" i="2"/>
  <c r="O4175" i="2"/>
  <c r="O4176" i="2"/>
  <c r="O4177" i="2"/>
  <c r="O4178" i="2"/>
  <c r="O4179" i="2"/>
  <c r="O4180" i="2"/>
  <c r="O4181" i="2"/>
  <c r="O4182" i="2"/>
  <c r="O4183" i="2"/>
  <c r="O4184" i="2"/>
  <c r="O4185" i="2"/>
  <c r="O4186" i="2"/>
  <c r="O4187" i="2"/>
  <c r="O4188" i="2"/>
  <c r="O4189" i="2"/>
  <c r="O4190" i="2"/>
  <c r="O4191" i="2"/>
  <c r="O4192" i="2"/>
  <c r="O4193" i="2"/>
  <c r="O4194" i="2"/>
  <c r="O4195" i="2"/>
  <c r="O4196" i="2"/>
  <c r="O4197" i="2"/>
  <c r="O4198" i="2"/>
  <c r="O4199" i="2"/>
  <c r="O4200" i="2"/>
  <c r="O4201" i="2"/>
  <c r="O4202" i="2"/>
  <c r="O4203" i="2"/>
  <c r="O4204" i="2"/>
  <c r="O4205" i="2"/>
  <c r="O4206" i="2"/>
  <c r="O4207" i="2"/>
  <c r="O4208" i="2"/>
  <c r="O4209" i="2"/>
  <c r="O4210" i="2"/>
  <c r="O4211" i="2"/>
  <c r="O4212" i="2"/>
  <c r="O4213" i="2"/>
  <c r="O4214" i="2"/>
  <c r="O4215" i="2"/>
  <c r="O4216" i="2"/>
  <c r="O4217" i="2"/>
  <c r="O4218" i="2"/>
  <c r="O4219" i="2"/>
  <c r="O4220" i="2"/>
  <c r="O4221" i="2"/>
  <c r="O4222" i="2"/>
  <c r="O4223" i="2"/>
  <c r="O4224" i="2"/>
  <c r="O4225" i="2"/>
  <c r="O4226" i="2"/>
  <c r="O4227" i="2"/>
  <c r="O4228" i="2"/>
  <c r="O4229" i="2"/>
  <c r="O4230" i="2"/>
  <c r="O4231" i="2"/>
  <c r="O4232" i="2"/>
  <c r="O4233" i="2"/>
  <c r="O4234" i="2"/>
  <c r="O4235" i="2"/>
  <c r="O4236" i="2"/>
  <c r="O4237" i="2"/>
  <c r="O4238" i="2"/>
  <c r="O4239" i="2"/>
  <c r="O4240" i="2"/>
  <c r="O4241" i="2"/>
  <c r="O4242" i="2"/>
  <c r="O4243" i="2"/>
  <c r="O4244" i="2"/>
  <c r="O4245" i="2"/>
  <c r="O4246" i="2"/>
  <c r="O4247" i="2"/>
  <c r="O4248" i="2"/>
  <c r="O4249" i="2"/>
  <c r="O4250" i="2"/>
  <c r="O4251" i="2"/>
  <c r="O4252" i="2"/>
  <c r="O4253" i="2"/>
  <c r="O4254" i="2"/>
  <c r="O4255" i="2"/>
  <c r="O4256" i="2"/>
  <c r="O4257" i="2"/>
  <c r="O4258" i="2"/>
  <c r="O4259" i="2"/>
  <c r="O4260" i="2"/>
  <c r="O4261" i="2"/>
  <c r="O4262" i="2"/>
  <c r="O4263" i="2"/>
  <c r="O4264" i="2"/>
  <c r="O4265" i="2"/>
  <c r="O4266" i="2"/>
  <c r="O4267" i="2"/>
  <c r="O4268" i="2"/>
  <c r="O4269" i="2"/>
  <c r="O4270" i="2"/>
  <c r="O4271" i="2"/>
  <c r="O4272" i="2"/>
  <c r="O4273" i="2"/>
  <c r="O4274" i="2"/>
  <c r="O4275" i="2"/>
  <c r="O4276" i="2"/>
  <c r="O4277" i="2"/>
  <c r="O4278" i="2"/>
  <c r="O4279" i="2"/>
  <c r="O4280" i="2"/>
  <c r="O4281" i="2"/>
  <c r="O4282" i="2"/>
  <c r="O4283" i="2"/>
  <c r="O4284" i="2"/>
  <c r="O4285" i="2"/>
  <c r="O4286" i="2"/>
  <c r="O4287" i="2"/>
  <c r="O4288" i="2"/>
  <c r="O4289" i="2"/>
  <c r="O4290" i="2"/>
  <c r="O4291" i="2"/>
  <c r="O4292" i="2"/>
  <c r="O4293" i="2"/>
  <c r="O4294" i="2"/>
  <c r="O4295" i="2"/>
  <c r="O4296" i="2"/>
  <c r="O4297" i="2"/>
  <c r="O4298" i="2"/>
  <c r="O4299" i="2"/>
  <c r="O4300" i="2"/>
  <c r="O4301" i="2"/>
  <c r="O4302" i="2"/>
  <c r="O4303" i="2"/>
  <c r="O4304" i="2"/>
  <c r="O4305" i="2"/>
  <c r="O4306" i="2"/>
  <c r="O4307" i="2"/>
  <c r="O4308" i="2"/>
  <c r="O4309" i="2"/>
  <c r="O4310" i="2"/>
  <c r="O4311" i="2"/>
  <c r="O4312" i="2"/>
  <c r="O4313" i="2"/>
  <c r="O4314" i="2"/>
  <c r="O4315" i="2"/>
  <c r="O4316" i="2"/>
  <c r="O4317" i="2"/>
  <c r="O4318" i="2"/>
  <c r="O4319" i="2"/>
  <c r="O4320" i="2"/>
  <c r="O4321" i="2"/>
  <c r="O4322" i="2"/>
  <c r="O4323" i="2"/>
  <c r="O4324" i="2"/>
  <c r="O4325" i="2"/>
  <c r="O4326" i="2"/>
  <c r="O4327" i="2"/>
  <c r="O4328" i="2"/>
  <c r="O4329" i="2"/>
  <c r="O4330" i="2"/>
  <c r="O4331" i="2"/>
  <c r="O4332" i="2"/>
  <c r="O4333" i="2"/>
  <c r="O4334" i="2"/>
  <c r="O4335" i="2"/>
  <c r="O4336" i="2"/>
  <c r="O4337" i="2"/>
  <c r="O4338" i="2"/>
  <c r="O4339" i="2"/>
  <c r="O4340" i="2"/>
  <c r="O4341" i="2"/>
  <c r="O4342" i="2"/>
  <c r="O4343" i="2"/>
  <c r="O4344" i="2"/>
  <c r="O4345" i="2"/>
  <c r="O4346" i="2"/>
  <c r="O4347" i="2"/>
  <c r="O4348" i="2"/>
  <c r="O4349" i="2"/>
  <c r="O4350" i="2"/>
  <c r="O4351" i="2"/>
  <c r="O4352" i="2"/>
  <c r="O4353" i="2"/>
  <c r="O4354" i="2"/>
  <c r="O4355" i="2"/>
  <c r="O4356" i="2"/>
  <c r="O4357" i="2"/>
  <c r="O4358" i="2"/>
  <c r="O4359" i="2"/>
  <c r="O4360" i="2"/>
  <c r="O4361" i="2"/>
  <c r="O4362" i="2"/>
  <c r="O4363" i="2"/>
  <c r="O4364" i="2"/>
  <c r="O4365" i="2"/>
  <c r="O4366" i="2"/>
  <c r="O4367" i="2"/>
  <c r="O4368" i="2"/>
  <c r="O4369" i="2"/>
  <c r="O4370" i="2"/>
  <c r="O4371" i="2"/>
  <c r="O4372" i="2"/>
  <c r="O4373" i="2"/>
  <c r="O4374" i="2"/>
  <c r="O4375" i="2"/>
  <c r="O4376" i="2"/>
  <c r="O4377" i="2"/>
  <c r="O4378" i="2"/>
  <c r="O4379" i="2"/>
  <c r="O4380" i="2"/>
  <c r="O4381" i="2"/>
  <c r="O4382" i="2"/>
  <c r="O4383" i="2"/>
  <c r="O4384" i="2"/>
  <c r="O4385" i="2"/>
  <c r="O4386" i="2"/>
  <c r="O4387" i="2"/>
  <c r="O4388" i="2"/>
  <c r="O4389" i="2"/>
  <c r="O4390" i="2"/>
  <c r="O4391" i="2"/>
  <c r="O4392" i="2"/>
  <c r="O4393" i="2"/>
  <c r="O4394" i="2"/>
  <c r="O4395" i="2"/>
  <c r="O4396" i="2"/>
  <c r="O4397" i="2"/>
  <c r="O4398" i="2"/>
  <c r="O4399" i="2"/>
  <c r="O4400" i="2"/>
  <c r="O4401" i="2"/>
  <c r="O4402" i="2"/>
  <c r="O4403" i="2"/>
  <c r="O4404" i="2"/>
  <c r="O4405" i="2"/>
  <c r="O4406" i="2"/>
  <c r="O4407" i="2"/>
  <c r="O4408" i="2"/>
  <c r="O4409" i="2"/>
  <c r="O4410" i="2"/>
  <c r="O4411" i="2"/>
  <c r="O4412" i="2"/>
  <c r="O4413" i="2"/>
  <c r="O4414" i="2"/>
  <c r="O4415" i="2"/>
  <c r="O4416" i="2"/>
  <c r="O4417" i="2"/>
  <c r="O4418" i="2"/>
  <c r="O4419" i="2"/>
  <c r="O4420" i="2"/>
  <c r="O4421" i="2"/>
  <c r="O4422" i="2"/>
  <c r="O4423" i="2"/>
  <c r="O4424" i="2"/>
  <c r="O4425" i="2"/>
  <c r="O4426" i="2"/>
  <c r="O4427" i="2"/>
  <c r="O4428" i="2"/>
  <c r="O4429" i="2"/>
  <c r="O4430" i="2"/>
  <c r="O4431" i="2"/>
  <c r="O4432" i="2"/>
  <c r="O4433" i="2"/>
  <c r="O4434" i="2"/>
  <c r="O4435" i="2"/>
  <c r="O4436" i="2"/>
  <c r="O4437" i="2"/>
  <c r="O4438" i="2"/>
  <c r="O4439" i="2"/>
  <c r="O4440" i="2"/>
  <c r="O4441" i="2"/>
  <c r="O4442" i="2"/>
  <c r="O4443" i="2"/>
  <c r="O4444" i="2"/>
  <c r="O4445" i="2"/>
  <c r="O4446" i="2"/>
  <c r="O4447" i="2"/>
  <c r="O4448" i="2"/>
  <c r="O4449" i="2"/>
  <c r="O4450" i="2"/>
  <c r="O4451" i="2"/>
  <c r="O4452" i="2"/>
  <c r="O4453" i="2"/>
  <c r="O4454" i="2"/>
  <c r="O4455" i="2"/>
  <c r="O4456" i="2"/>
  <c r="O4457" i="2"/>
  <c r="O4458" i="2"/>
  <c r="O4459" i="2"/>
  <c r="O4460" i="2"/>
  <c r="O4461" i="2"/>
  <c r="O4462" i="2"/>
  <c r="O4463" i="2"/>
  <c r="O4464" i="2"/>
  <c r="O4465" i="2"/>
  <c r="O4466" i="2"/>
  <c r="O4467" i="2"/>
  <c r="O4468" i="2"/>
  <c r="O4469" i="2"/>
  <c r="O4470" i="2"/>
  <c r="O4471" i="2"/>
  <c r="O4472" i="2"/>
  <c r="O4473" i="2"/>
  <c r="O4474" i="2"/>
  <c r="O4475" i="2"/>
  <c r="O4476" i="2"/>
  <c r="O4477" i="2"/>
  <c r="O4478" i="2"/>
  <c r="O4479" i="2"/>
  <c r="O4480" i="2"/>
  <c r="O4481" i="2"/>
  <c r="O4482" i="2"/>
  <c r="O4483" i="2"/>
  <c r="O4484" i="2"/>
  <c r="O4485" i="2"/>
  <c r="O4486" i="2"/>
  <c r="O4487" i="2"/>
  <c r="O4488" i="2"/>
  <c r="O4489" i="2"/>
  <c r="O4490" i="2"/>
  <c r="O4491" i="2"/>
  <c r="O4492" i="2"/>
  <c r="O4493" i="2"/>
  <c r="O4494" i="2"/>
  <c r="O4495" i="2"/>
  <c r="O4496" i="2"/>
  <c r="O4497" i="2"/>
  <c r="O4498" i="2"/>
  <c r="O4499" i="2"/>
  <c r="O4500" i="2"/>
  <c r="O4501" i="2"/>
  <c r="O4502" i="2"/>
  <c r="O4503" i="2"/>
  <c r="O4504" i="2"/>
  <c r="O4505" i="2"/>
  <c r="O4506" i="2"/>
  <c r="O4507" i="2"/>
  <c r="O4508" i="2"/>
  <c r="O4509" i="2"/>
  <c r="O4510" i="2"/>
  <c r="O4511" i="2"/>
  <c r="O4512" i="2"/>
  <c r="O4513" i="2"/>
  <c r="O4514" i="2"/>
  <c r="O4515" i="2"/>
  <c r="O4516" i="2"/>
  <c r="O4517" i="2"/>
  <c r="O4518" i="2"/>
  <c r="O4519" i="2"/>
  <c r="O4520" i="2"/>
  <c r="O4521" i="2"/>
  <c r="O4522" i="2"/>
  <c r="O4523" i="2"/>
  <c r="O4524" i="2"/>
  <c r="O4525" i="2"/>
  <c r="O4526" i="2"/>
  <c r="O4527" i="2"/>
  <c r="O4528" i="2"/>
  <c r="O4529" i="2"/>
  <c r="O4530" i="2"/>
  <c r="O4531" i="2"/>
  <c r="O4532" i="2"/>
  <c r="O4533" i="2"/>
  <c r="O4534" i="2"/>
  <c r="O4535" i="2"/>
  <c r="O4536" i="2"/>
  <c r="O4537" i="2"/>
  <c r="O4538" i="2"/>
  <c r="O4539" i="2"/>
  <c r="O4540" i="2"/>
  <c r="O4541" i="2"/>
  <c r="O4542" i="2"/>
  <c r="O4543" i="2"/>
  <c r="O4544" i="2"/>
  <c r="O4545" i="2"/>
  <c r="O4546" i="2"/>
  <c r="O4547" i="2"/>
  <c r="O4548" i="2"/>
  <c r="O4549" i="2"/>
  <c r="O4550" i="2"/>
  <c r="O4551" i="2"/>
  <c r="O4552" i="2"/>
  <c r="O4553" i="2"/>
  <c r="O4554" i="2"/>
  <c r="O4555" i="2"/>
  <c r="O4556" i="2"/>
  <c r="O4557" i="2"/>
  <c r="O4558" i="2"/>
  <c r="O4559" i="2"/>
  <c r="O4560" i="2"/>
  <c r="O4561" i="2"/>
  <c r="O4562" i="2"/>
  <c r="O4563" i="2"/>
  <c r="O4564" i="2"/>
  <c r="O4565" i="2"/>
  <c r="O4566" i="2"/>
  <c r="O4567" i="2"/>
  <c r="O4568" i="2"/>
  <c r="O4569" i="2"/>
  <c r="O4570" i="2"/>
  <c r="O4571" i="2"/>
  <c r="O4572" i="2"/>
  <c r="O4573" i="2"/>
  <c r="O4574" i="2"/>
  <c r="O4575" i="2"/>
  <c r="O4576" i="2"/>
  <c r="O4577" i="2"/>
  <c r="O4578" i="2"/>
  <c r="O4579" i="2"/>
  <c r="O4580" i="2"/>
  <c r="O4581" i="2"/>
  <c r="O4582" i="2"/>
  <c r="O4583" i="2"/>
  <c r="O4584" i="2"/>
  <c r="O4585" i="2"/>
  <c r="O4586" i="2"/>
  <c r="O4587" i="2"/>
  <c r="O4588" i="2"/>
  <c r="O4589" i="2"/>
  <c r="O4590" i="2"/>
  <c r="O4591" i="2"/>
  <c r="O4592" i="2"/>
  <c r="O4593" i="2"/>
  <c r="O4594" i="2"/>
  <c r="O4595" i="2"/>
  <c r="O4596" i="2"/>
  <c r="O4597" i="2"/>
  <c r="O4598" i="2"/>
  <c r="O4599" i="2"/>
  <c r="O4600" i="2"/>
  <c r="O4601" i="2"/>
  <c r="O4602" i="2"/>
  <c r="O4603" i="2"/>
  <c r="O4604" i="2"/>
  <c r="O4605" i="2"/>
  <c r="O4606" i="2"/>
  <c r="O4607" i="2"/>
  <c r="O4608" i="2"/>
  <c r="O4609" i="2"/>
  <c r="O4610" i="2"/>
  <c r="O4611" i="2"/>
  <c r="O4612" i="2"/>
  <c r="O4613" i="2"/>
  <c r="O4614" i="2"/>
  <c r="O4615" i="2"/>
  <c r="O4616" i="2"/>
  <c r="O4617" i="2"/>
  <c r="O4618" i="2"/>
  <c r="O4619" i="2"/>
  <c r="O4620" i="2"/>
  <c r="O4621" i="2"/>
  <c r="O4622" i="2"/>
  <c r="O4623" i="2"/>
  <c r="O4624" i="2"/>
  <c r="O4625" i="2"/>
  <c r="O4626" i="2"/>
  <c r="O4627" i="2"/>
  <c r="O4628" i="2"/>
  <c r="O4629" i="2"/>
  <c r="O4630" i="2"/>
  <c r="O4631" i="2"/>
  <c r="O4632" i="2"/>
  <c r="O4633" i="2"/>
  <c r="O4634" i="2"/>
  <c r="O4635" i="2"/>
  <c r="O4636" i="2"/>
  <c r="O4637" i="2"/>
  <c r="O4638" i="2"/>
  <c r="O4639" i="2"/>
  <c r="O4640" i="2"/>
  <c r="O4641" i="2"/>
  <c r="O4642" i="2"/>
  <c r="O4643" i="2"/>
  <c r="O4644" i="2"/>
  <c r="O4645" i="2"/>
  <c r="O4646" i="2"/>
  <c r="O4647" i="2"/>
  <c r="O4648" i="2"/>
  <c r="O4649" i="2"/>
  <c r="O4650" i="2"/>
  <c r="O4651" i="2"/>
  <c r="O4652" i="2"/>
  <c r="O4653" i="2"/>
  <c r="O4654" i="2"/>
  <c r="O4655" i="2"/>
  <c r="O4656" i="2"/>
  <c r="O4657" i="2"/>
  <c r="O4658" i="2"/>
  <c r="O4659" i="2"/>
  <c r="O4660" i="2"/>
  <c r="O4661" i="2"/>
  <c r="O4662" i="2"/>
  <c r="O4663" i="2"/>
  <c r="O4664" i="2"/>
  <c r="O4665" i="2"/>
  <c r="O4666" i="2"/>
  <c r="O4667" i="2"/>
  <c r="O4668" i="2"/>
  <c r="O4669" i="2"/>
  <c r="O4670" i="2"/>
  <c r="O4671" i="2"/>
  <c r="O4672" i="2"/>
  <c r="O4673" i="2"/>
  <c r="O4674" i="2"/>
  <c r="O4675" i="2"/>
  <c r="O4676" i="2"/>
  <c r="O4677" i="2"/>
  <c r="O4678" i="2"/>
  <c r="O4679" i="2"/>
  <c r="O4680" i="2"/>
  <c r="O4681" i="2"/>
  <c r="O4682" i="2"/>
  <c r="O4683" i="2"/>
  <c r="O4684" i="2"/>
  <c r="O4685" i="2"/>
  <c r="O4686" i="2"/>
  <c r="O4687" i="2"/>
  <c r="O4688" i="2"/>
  <c r="O4689" i="2"/>
  <c r="O4690" i="2"/>
  <c r="O4691" i="2"/>
  <c r="O4692" i="2"/>
  <c r="O4693" i="2"/>
  <c r="O4694" i="2"/>
  <c r="O4695" i="2"/>
  <c r="O4696" i="2"/>
  <c r="O4697" i="2"/>
  <c r="O4698" i="2"/>
  <c r="O4699" i="2"/>
  <c r="O4700" i="2"/>
  <c r="O4701" i="2"/>
  <c r="O4702" i="2"/>
  <c r="O4703" i="2"/>
  <c r="O4704" i="2"/>
  <c r="O4705" i="2"/>
  <c r="O4706" i="2"/>
  <c r="O4707" i="2"/>
  <c r="O4708" i="2"/>
  <c r="O4709" i="2"/>
  <c r="O4710" i="2"/>
  <c r="O4711" i="2"/>
  <c r="O4712" i="2"/>
  <c r="O4713" i="2"/>
  <c r="O4714" i="2"/>
  <c r="O4715" i="2"/>
  <c r="O4716" i="2"/>
  <c r="O4717" i="2"/>
  <c r="O4718" i="2"/>
  <c r="O4719" i="2"/>
  <c r="O4720" i="2"/>
  <c r="O4721" i="2"/>
  <c r="O4722" i="2"/>
  <c r="O4723" i="2"/>
  <c r="O4724" i="2"/>
  <c r="O4725" i="2"/>
  <c r="O4726" i="2"/>
  <c r="O4727" i="2"/>
  <c r="O4728" i="2"/>
  <c r="O4729" i="2"/>
  <c r="O4730" i="2"/>
  <c r="O4731" i="2"/>
  <c r="O4732" i="2"/>
  <c r="O4733" i="2"/>
  <c r="O4734" i="2"/>
  <c r="O4735" i="2"/>
  <c r="O4736" i="2"/>
  <c r="O4737" i="2"/>
  <c r="O4738" i="2"/>
  <c r="O4739" i="2"/>
  <c r="O4740" i="2"/>
  <c r="O4741" i="2"/>
  <c r="O4742" i="2"/>
  <c r="O4743" i="2"/>
  <c r="O4744" i="2"/>
  <c r="O4745" i="2"/>
  <c r="O4746" i="2"/>
  <c r="O4747" i="2"/>
  <c r="O4748" i="2"/>
  <c r="O4749" i="2"/>
  <c r="O4750" i="2"/>
  <c r="O4751" i="2"/>
  <c r="O4752" i="2"/>
  <c r="O4753" i="2"/>
  <c r="O4754" i="2"/>
  <c r="O4755" i="2"/>
  <c r="O4756" i="2"/>
  <c r="O4757" i="2"/>
  <c r="O4758" i="2"/>
  <c r="O4759" i="2"/>
  <c r="O4760" i="2"/>
  <c r="O4761" i="2"/>
  <c r="O4762" i="2"/>
  <c r="O4763" i="2"/>
  <c r="O4764" i="2"/>
  <c r="O4765" i="2"/>
  <c r="O4766" i="2"/>
  <c r="O4767" i="2"/>
  <c r="O4768" i="2"/>
  <c r="O4769" i="2"/>
  <c r="O4770" i="2"/>
  <c r="O4771" i="2"/>
  <c r="O4772" i="2"/>
  <c r="O4773" i="2"/>
  <c r="O4774" i="2"/>
  <c r="O4775" i="2"/>
  <c r="O4776" i="2"/>
  <c r="O4777" i="2"/>
  <c r="O4778" i="2"/>
  <c r="O4779" i="2"/>
  <c r="O4780" i="2"/>
  <c r="O4781" i="2"/>
  <c r="O4782" i="2"/>
  <c r="O4783" i="2"/>
  <c r="O4784" i="2"/>
  <c r="O4785" i="2"/>
  <c r="O4786" i="2"/>
  <c r="O4787" i="2"/>
  <c r="O4788" i="2"/>
  <c r="O4789" i="2"/>
  <c r="O4790" i="2"/>
  <c r="O4791" i="2"/>
  <c r="O4792" i="2"/>
  <c r="O4793" i="2"/>
  <c r="O4794" i="2"/>
  <c r="O4795" i="2"/>
  <c r="O4796" i="2"/>
  <c r="O4797" i="2"/>
  <c r="O4798" i="2"/>
  <c r="O4799" i="2"/>
  <c r="O4800" i="2"/>
  <c r="O4801" i="2"/>
  <c r="O4802" i="2"/>
  <c r="O4803" i="2"/>
  <c r="O4804" i="2"/>
  <c r="O4805" i="2"/>
  <c r="O4806" i="2"/>
  <c r="O4807" i="2"/>
  <c r="O4808" i="2"/>
  <c r="O4809" i="2"/>
  <c r="O4810" i="2"/>
  <c r="O4811" i="2"/>
  <c r="O4812" i="2"/>
  <c r="O4813" i="2"/>
  <c r="O4814" i="2"/>
  <c r="O4815" i="2"/>
  <c r="O4816" i="2"/>
  <c r="O4817" i="2"/>
  <c r="O4818" i="2"/>
  <c r="O4819" i="2"/>
  <c r="O4820" i="2"/>
  <c r="O4821" i="2"/>
  <c r="O4822" i="2"/>
  <c r="O4823" i="2"/>
  <c r="O4824" i="2"/>
  <c r="O4825" i="2"/>
  <c r="O4826" i="2"/>
  <c r="O4827" i="2"/>
  <c r="O4828" i="2"/>
  <c r="O4829" i="2"/>
  <c r="O4830" i="2"/>
  <c r="O4831" i="2"/>
  <c r="O4832" i="2"/>
  <c r="O4833" i="2"/>
  <c r="O4834" i="2"/>
  <c r="O4835" i="2"/>
  <c r="O4836" i="2"/>
  <c r="O4837" i="2"/>
  <c r="O4838" i="2"/>
  <c r="O4839" i="2"/>
  <c r="O4840" i="2"/>
  <c r="O4841" i="2"/>
  <c r="O4842" i="2"/>
  <c r="O4843" i="2"/>
  <c r="O4844" i="2"/>
  <c r="O4845" i="2"/>
  <c r="O4846" i="2"/>
  <c r="O4847" i="2"/>
  <c r="O4848" i="2"/>
  <c r="O4849" i="2"/>
  <c r="O4850" i="2"/>
  <c r="O4851" i="2"/>
  <c r="O4852" i="2"/>
  <c r="O4853" i="2"/>
  <c r="O4854" i="2"/>
  <c r="O4855" i="2"/>
  <c r="O4856" i="2"/>
  <c r="O4857" i="2"/>
  <c r="O4858" i="2"/>
  <c r="O4859" i="2"/>
  <c r="O4860" i="2"/>
  <c r="O4861" i="2"/>
  <c r="O4862" i="2"/>
  <c r="O4863" i="2"/>
  <c r="O4864" i="2"/>
  <c r="O4865" i="2"/>
  <c r="O4866" i="2"/>
  <c r="O4867" i="2"/>
  <c r="O4868" i="2"/>
  <c r="O4869" i="2"/>
  <c r="O4870" i="2"/>
  <c r="O4871" i="2"/>
  <c r="O4872" i="2"/>
  <c r="O4873" i="2"/>
  <c r="O4874" i="2"/>
  <c r="O4875" i="2"/>
  <c r="O4876" i="2"/>
  <c r="O4877" i="2"/>
  <c r="O4878" i="2"/>
  <c r="O4879" i="2"/>
  <c r="O4880" i="2"/>
  <c r="O4881" i="2"/>
  <c r="O4882" i="2"/>
  <c r="O4883" i="2"/>
  <c r="O4884" i="2"/>
  <c r="O4885" i="2"/>
  <c r="O4886" i="2"/>
  <c r="O4887" i="2"/>
  <c r="O4888" i="2"/>
  <c r="O4889" i="2"/>
  <c r="O4890" i="2"/>
  <c r="O4891" i="2"/>
  <c r="O4892" i="2"/>
  <c r="O4893" i="2"/>
  <c r="O4894" i="2"/>
  <c r="O4895" i="2"/>
  <c r="O4896" i="2"/>
  <c r="O4897" i="2"/>
  <c r="O4898" i="2"/>
  <c r="O4899" i="2"/>
  <c r="O4900" i="2"/>
  <c r="O4901" i="2"/>
  <c r="O4902" i="2"/>
  <c r="O4903" i="2"/>
  <c r="O4904" i="2"/>
  <c r="O4905" i="2"/>
  <c r="O4906" i="2"/>
  <c r="O4907" i="2"/>
  <c r="O4908" i="2"/>
  <c r="O4909" i="2"/>
  <c r="O4910" i="2"/>
  <c r="O4911" i="2"/>
  <c r="O4912" i="2"/>
  <c r="O4913" i="2"/>
  <c r="O4914" i="2"/>
  <c r="O4915" i="2"/>
  <c r="O4916" i="2"/>
  <c r="O4917" i="2"/>
  <c r="O4918" i="2"/>
  <c r="O4919" i="2"/>
  <c r="O4920" i="2"/>
  <c r="O4921" i="2"/>
  <c r="O4922" i="2"/>
  <c r="O4923" i="2"/>
  <c r="O4924" i="2"/>
  <c r="O4925" i="2"/>
  <c r="O4926" i="2"/>
  <c r="O4927" i="2"/>
  <c r="O4928" i="2"/>
  <c r="O4929" i="2"/>
  <c r="O4930" i="2"/>
  <c r="O4931" i="2"/>
  <c r="O4932" i="2"/>
  <c r="O4933" i="2"/>
  <c r="O4934" i="2"/>
  <c r="O4935" i="2"/>
  <c r="O4936" i="2"/>
  <c r="O4937" i="2"/>
  <c r="O4938" i="2"/>
  <c r="O4939" i="2"/>
  <c r="O4940" i="2"/>
  <c r="O4941" i="2"/>
  <c r="O4942" i="2"/>
  <c r="O4943" i="2"/>
  <c r="O4944" i="2"/>
  <c r="O4945" i="2"/>
  <c r="O4946" i="2"/>
  <c r="O4947" i="2"/>
  <c r="O4948" i="2"/>
  <c r="O4949" i="2"/>
  <c r="O4950" i="2"/>
  <c r="O4951" i="2"/>
  <c r="O4952" i="2"/>
  <c r="O4953" i="2"/>
  <c r="O4954" i="2"/>
  <c r="O4955" i="2"/>
  <c r="O4956" i="2"/>
  <c r="O4957" i="2"/>
  <c r="O4958" i="2"/>
  <c r="O4959" i="2"/>
  <c r="O4960" i="2"/>
  <c r="O4961" i="2"/>
  <c r="O4962" i="2"/>
  <c r="O4963" i="2"/>
  <c r="O4964" i="2"/>
  <c r="O4965" i="2"/>
  <c r="O4966" i="2"/>
  <c r="O4967" i="2"/>
  <c r="O4968" i="2"/>
  <c r="O4969" i="2"/>
  <c r="O4970" i="2"/>
  <c r="O4971" i="2"/>
  <c r="O4972" i="2"/>
  <c r="O4973" i="2"/>
  <c r="O4974" i="2"/>
  <c r="O4975" i="2"/>
  <c r="O4976" i="2"/>
  <c r="O4977" i="2"/>
  <c r="O4978" i="2"/>
  <c r="O4979" i="2"/>
  <c r="O4980" i="2"/>
  <c r="O4981" i="2"/>
  <c r="O4982" i="2"/>
  <c r="O4983" i="2"/>
  <c r="O4984" i="2"/>
  <c r="O4985" i="2"/>
  <c r="O4986" i="2"/>
  <c r="O4987" i="2"/>
  <c r="O4988" i="2"/>
  <c r="O4989" i="2"/>
  <c r="O4990" i="2"/>
  <c r="O4991" i="2"/>
  <c r="O4992" i="2"/>
  <c r="O4993" i="2"/>
  <c r="O4994" i="2"/>
  <c r="O4995" i="2"/>
  <c r="O4996" i="2"/>
  <c r="O4997" i="2"/>
  <c r="O4998" i="2"/>
  <c r="O4999" i="2"/>
  <c r="O5000" i="2"/>
  <c r="O5001" i="2"/>
  <c r="O5002" i="2"/>
  <c r="O5003" i="2"/>
  <c r="O5004" i="2"/>
  <c r="O5005" i="2"/>
  <c r="O5006" i="2"/>
  <c r="O5007" i="2"/>
  <c r="O5008" i="2"/>
  <c r="O5009" i="2"/>
  <c r="O5010" i="2"/>
  <c r="O5011" i="2"/>
  <c r="O5012" i="2"/>
  <c r="O5013" i="2"/>
  <c r="O5014" i="2"/>
  <c r="O5015" i="2"/>
  <c r="O5016" i="2"/>
  <c r="O5017" i="2"/>
  <c r="O5018" i="2"/>
  <c r="O5019" i="2"/>
  <c r="O5020" i="2"/>
  <c r="O5021" i="2"/>
  <c r="O5022" i="2"/>
  <c r="O5023" i="2"/>
  <c r="O5024" i="2"/>
  <c r="O5025" i="2"/>
  <c r="O5026" i="2"/>
  <c r="O5027" i="2"/>
  <c r="O5028" i="2"/>
  <c r="O5029" i="2"/>
  <c r="O5030" i="2"/>
  <c r="O5031" i="2"/>
  <c r="O5032" i="2"/>
  <c r="O5033" i="2"/>
  <c r="O5034" i="2"/>
  <c r="O5035" i="2"/>
  <c r="O5036" i="2"/>
  <c r="O5037" i="2"/>
  <c r="O5038" i="2"/>
  <c r="O5039" i="2"/>
  <c r="O5040" i="2"/>
  <c r="O5041" i="2"/>
  <c r="O5042" i="2"/>
  <c r="O5043" i="2"/>
  <c r="O5044" i="2"/>
  <c r="O5045" i="2"/>
  <c r="O5046" i="2"/>
  <c r="O5047" i="2"/>
  <c r="O5048" i="2"/>
  <c r="O5049" i="2"/>
  <c r="O5050" i="2"/>
  <c r="O5051" i="2"/>
  <c r="O5052" i="2"/>
  <c r="O5053" i="2"/>
  <c r="O5054" i="2"/>
  <c r="O5055" i="2"/>
  <c r="O5056" i="2"/>
  <c r="O5057" i="2"/>
  <c r="O5058" i="2"/>
  <c r="O5059" i="2"/>
  <c r="O5060" i="2"/>
  <c r="O5061" i="2"/>
  <c r="O5062" i="2"/>
  <c r="O5063" i="2"/>
  <c r="O5064" i="2"/>
  <c r="O5065" i="2"/>
  <c r="O5066" i="2"/>
  <c r="O5067" i="2"/>
  <c r="O5068" i="2"/>
  <c r="O5069" i="2"/>
  <c r="O5070" i="2"/>
  <c r="O5071" i="2"/>
  <c r="O5072" i="2"/>
  <c r="O5073" i="2"/>
  <c r="O5074" i="2"/>
  <c r="O5075" i="2"/>
  <c r="O5076" i="2"/>
  <c r="O5077" i="2"/>
  <c r="O5078" i="2"/>
  <c r="O5079" i="2"/>
  <c r="O5080" i="2"/>
  <c r="O5081" i="2"/>
  <c r="O5082" i="2"/>
  <c r="O5083" i="2"/>
  <c r="O5084" i="2"/>
  <c r="O5085" i="2"/>
  <c r="O5086" i="2"/>
  <c r="O5087" i="2"/>
  <c r="O5088" i="2"/>
  <c r="O5089" i="2"/>
  <c r="O5090" i="2"/>
  <c r="O5091" i="2"/>
  <c r="O5092" i="2"/>
  <c r="O5093" i="2"/>
  <c r="O5094" i="2"/>
  <c r="O5095" i="2"/>
  <c r="O5096" i="2"/>
  <c r="O5097" i="2"/>
  <c r="O5098" i="2"/>
  <c r="O5099" i="2"/>
  <c r="O5100" i="2"/>
  <c r="O5101" i="2"/>
  <c r="O5102" i="2"/>
  <c r="O5103" i="2"/>
  <c r="O5104" i="2"/>
  <c r="O5105" i="2"/>
  <c r="O5106" i="2"/>
  <c r="O5107" i="2"/>
  <c r="O5108" i="2"/>
  <c r="O5109" i="2"/>
  <c r="O5110" i="2"/>
  <c r="O5111" i="2"/>
  <c r="O5112" i="2"/>
  <c r="O5113" i="2"/>
  <c r="O5114" i="2"/>
  <c r="O5115" i="2"/>
  <c r="O5116" i="2"/>
  <c r="O5117" i="2"/>
  <c r="O5118" i="2"/>
  <c r="O5119" i="2"/>
  <c r="O5120" i="2"/>
  <c r="O5121" i="2"/>
  <c r="O5122" i="2"/>
  <c r="O5123" i="2"/>
  <c r="O5124" i="2"/>
  <c r="O5125" i="2"/>
  <c r="O5126" i="2"/>
  <c r="O5127" i="2"/>
  <c r="O5128" i="2"/>
  <c r="O5129" i="2"/>
  <c r="O5130" i="2"/>
  <c r="O5131" i="2"/>
  <c r="O5132" i="2"/>
  <c r="O5133" i="2"/>
  <c r="O5134" i="2"/>
  <c r="O5135" i="2"/>
  <c r="O5136" i="2"/>
  <c r="O5137" i="2"/>
  <c r="O5138" i="2"/>
  <c r="O5139" i="2"/>
  <c r="O5140" i="2"/>
  <c r="O5141" i="2"/>
  <c r="O5142" i="2"/>
  <c r="O5143" i="2"/>
  <c r="O5144" i="2"/>
  <c r="O5145" i="2"/>
  <c r="O5146" i="2"/>
  <c r="O5147" i="2"/>
  <c r="O5148" i="2"/>
  <c r="O5149" i="2"/>
  <c r="O5150" i="2"/>
  <c r="O5151" i="2"/>
  <c r="O5152" i="2"/>
  <c r="O5153" i="2"/>
  <c r="O5154" i="2"/>
  <c r="O5155" i="2"/>
  <c r="O5156" i="2"/>
  <c r="O5157" i="2"/>
  <c r="O5158" i="2"/>
  <c r="O5159" i="2"/>
  <c r="O5160" i="2"/>
  <c r="O5161" i="2"/>
  <c r="O5162" i="2"/>
  <c r="O5163" i="2"/>
  <c r="O5164" i="2"/>
  <c r="O5165" i="2"/>
  <c r="O5166" i="2"/>
  <c r="O5167" i="2"/>
  <c r="O5168" i="2"/>
  <c r="O5169" i="2"/>
  <c r="O5170" i="2"/>
  <c r="O5171" i="2"/>
  <c r="O5172" i="2"/>
  <c r="O5173" i="2"/>
  <c r="O5174" i="2"/>
  <c r="O5175" i="2"/>
  <c r="O5176" i="2"/>
  <c r="O5177" i="2"/>
  <c r="O5178" i="2"/>
  <c r="O5179" i="2"/>
  <c r="O5180" i="2"/>
  <c r="O5181" i="2"/>
  <c r="O5182" i="2"/>
  <c r="O5183" i="2"/>
  <c r="O5184" i="2"/>
  <c r="O5185" i="2"/>
  <c r="O5186" i="2"/>
  <c r="O5187" i="2"/>
  <c r="O5188" i="2"/>
  <c r="O5189" i="2"/>
  <c r="O5190" i="2"/>
  <c r="O5191" i="2"/>
  <c r="O5192" i="2"/>
  <c r="O5193" i="2"/>
  <c r="O5194" i="2"/>
  <c r="O5195" i="2"/>
  <c r="O5196" i="2"/>
  <c r="O5197" i="2"/>
  <c r="O5198" i="2"/>
  <c r="O5199" i="2"/>
  <c r="O5200" i="2"/>
  <c r="O5201" i="2"/>
  <c r="O5202" i="2"/>
  <c r="O5203" i="2"/>
  <c r="O5204" i="2"/>
  <c r="O5205" i="2"/>
  <c r="O5206" i="2"/>
  <c r="O5207" i="2"/>
  <c r="O5208" i="2"/>
  <c r="O5209" i="2"/>
  <c r="O5210" i="2"/>
  <c r="O5211" i="2"/>
  <c r="O5212" i="2"/>
  <c r="O5213" i="2"/>
  <c r="O5214" i="2"/>
  <c r="O5215" i="2"/>
  <c r="O5216" i="2"/>
  <c r="O5217" i="2"/>
  <c r="O5218" i="2"/>
  <c r="O5219" i="2"/>
  <c r="O5220" i="2"/>
  <c r="O5221" i="2"/>
  <c r="O5222" i="2"/>
  <c r="O5223" i="2"/>
  <c r="O5224" i="2"/>
  <c r="O5225" i="2"/>
  <c r="O5226" i="2"/>
  <c r="O5227" i="2"/>
  <c r="O5228" i="2"/>
  <c r="O5229" i="2"/>
  <c r="O5230" i="2"/>
  <c r="O5231" i="2"/>
  <c r="O5232" i="2"/>
  <c r="O5233" i="2"/>
  <c r="O5234" i="2"/>
  <c r="O5235" i="2"/>
  <c r="O5236" i="2"/>
  <c r="O5237" i="2"/>
  <c r="O5238" i="2"/>
  <c r="O5239" i="2"/>
  <c r="O5240" i="2"/>
  <c r="O5241" i="2"/>
  <c r="O5242" i="2"/>
  <c r="O5243" i="2"/>
  <c r="O5244" i="2"/>
  <c r="O5245" i="2"/>
  <c r="O5246" i="2"/>
  <c r="O5247" i="2"/>
  <c r="O5248" i="2"/>
  <c r="O5249" i="2"/>
  <c r="O5250" i="2"/>
  <c r="O5251" i="2"/>
  <c r="O5252" i="2"/>
  <c r="O5253" i="2"/>
  <c r="O5254" i="2"/>
  <c r="O5255" i="2"/>
  <c r="O5256" i="2"/>
  <c r="O5257" i="2"/>
  <c r="O5258" i="2"/>
  <c r="O5259" i="2"/>
  <c r="O5260" i="2"/>
  <c r="O5261" i="2"/>
  <c r="O5262" i="2"/>
  <c r="O5263" i="2"/>
  <c r="O5264" i="2"/>
  <c r="O5265" i="2"/>
  <c r="O5266" i="2"/>
  <c r="O5267" i="2"/>
  <c r="O5268" i="2"/>
  <c r="O5269" i="2"/>
  <c r="O5270" i="2"/>
  <c r="O5271" i="2"/>
  <c r="O5272" i="2"/>
  <c r="O5273" i="2"/>
  <c r="O5274" i="2"/>
  <c r="O5275" i="2"/>
  <c r="O5276" i="2"/>
  <c r="O5277" i="2"/>
  <c r="O5278" i="2"/>
  <c r="O5279" i="2"/>
  <c r="O5280" i="2"/>
  <c r="O5281" i="2"/>
  <c r="O5282" i="2"/>
  <c r="O5283" i="2"/>
  <c r="O5284" i="2"/>
  <c r="O5285" i="2"/>
  <c r="O5286" i="2"/>
  <c r="O5287" i="2"/>
  <c r="O5288" i="2"/>
  <c r="O5289" i="2"/>
  <c r="O5290" i="2"/>
  <c r="O5291" i="2"/>
  <c r="O5292" i="2"/>
  <c r="O5293" i="2"/>
  <c r="O5294" i="2"/>
  <c r="O5295" i="2"/>
  <c r="O5296" i="2"/>
  <c r="O5297" i="2"/>
  <c r="O5298" i="2"/>
  <c r="O5299" i="2"/>
  <c r="O5300" i="2"/>
  <c r="O5301" i="2"/>
  <c r="O5302" i="2"/>
  <c r="O5303" i="2"/>
  <c r="O5304" i="2"/>
  <c r="O5305" i="2"/>
  <c r="O5306" i="2"/>
  <c r="O5307" i="2"/>
  <c r="O5308" i="2"/>
  <c r="O5309" i="2"/>
  <c r="O5310" i="2"/>
  <c r="O5311" i="2"/>
  <c r="O5312" i="2"/>
  <c r="O5313" i="2"/>
  <c r="O5314" i="2"/>
  <c r="O5315" i="2"/>
  <c r="O5316" i="2"/>
  <c r="O5317" i="2"/>
  <c r="O5318" i="2"/>
  <c r="O5319" i="2"/>
  <c r="O5320" i="2"/>
  <c r="O5321" i="2"/>
  <c r="O5322" i="2"/>
  <c r="O5323" i="2"/>
  <c r="O5324" i="2"/>
  <c r="O5325" i="2"/>
  <c r="O5326" i="2"/>
  <c r="O5327" i="2"/>
  <c r="O5328" i="2"/>
  <c r="O5329" i="2"/>
  <c r="O5330" i="2"/>
  <c r="O5331" i="2"/>
  <c r="O5332" i="2"/>
  <c r="O5333" i="2"/>
  <c r="O5334" i="2"/>
  <c r="O5335" i="2"/>
  <c r="O5336" i="2"/>
  <c r="O5337" i="2"/>
  <c r="O5338" i="2"/>
  <c r="O5339" i="2"/>
  <c r="O5340" i="2"/>
  <c r="O5341" i="2"/>
  <c r="O5342" i="2"/>
  <c r="O5343" i="2"/>
  <c r="O5344" i="2"/>
  <c r="O5345" i="2"/>
  <c r="O5346" i="2"/>
  <c r="O5347" i="2"/>
  <c r="O5348" i="2"/>
  <c r="O5349" i="2"/>
  <c r="O5350" i="2"/>
  <c r="O5351" i="2"/>
  <c r="O5352" i="2"/>
  <c r="O5353" i="2"/>
  <c r="O5354" i="2"/>
  <c r="O5355" i="2"/>
  <c r="O5356" i="2"/>
  <c r="O5357" i="2"/>
  <c r="O5358" i="2"/>
  <c r="O5359" i="2"/>
  <c r="O5360" i="2"/>
  <c r="O5361" i="2"/>
  <c r="O5362" i="2"/>
  <c r="O5363" i="2"/>
  <c r="O5364" i="2"/>
  <c r="O5365" i="2"/>
  <c r="O5366" i="2"/>
  <c r="O5367" i="2"/>
  <c r="O5368" i="2"/>
  <c r="O5369" i="2"/>
  <c r="O5370" i="2"/>
  <c r="O5371" i="2"/>
  <c r="O5372" i="2"/>
  <c r="O5373" i="2"/>
  <c r="O5374" i="2"/>
  <c r="O5375" i="2"/>
  <c r="O5376" i="2"/>
  <c r="O5377" i="2"/>
  <c r="O5378" i="2"/>
  <c r="O5379" i="2"/>
  <c r="O5380" i="2"/>
  <c r="O5381" i="2"/>
  <c r="O5382" i="2"/>
  <c r="O5383" i="2"/>
  <c r="O5384" i="2"/>
  <c r="O5385" i="2"/>
  <c r="O5386" i="2"/>
  <c r="O5387" i="2"/>
  <c r="O5388" i="2"/>
  <c r="O5389" i="2"/>
  <c r="O5390" i="2"/>
  <c r="O5391" i="2"/>
  <c r="O5392" i="2"/>
  <c r="O5393" i="2"/>
  <c r="O5394" i="2"/>
  <c r="O5395" i="2"/>
  <c r="O5396" i="2"/>
  <c r="O5397" i="2"/>
  <c r="O5398" i="2"/>
  <c r="O5399" i="2"/>
  <c r="O5400" i="2"/>
  <c r="O5401" i="2"/>
  <c r="O5402" i="2"/>
  <c r="O5403" i="2"/>
  <c r="O5404" i="2"/>
  <c r="O5405" i="2"/>
  <c r="O5406" i="2"/>
  <c r="O5407" i="2"/>
  <c r="O5408" i="2"/>
  <c r="O5409" i="2"/>
  <c r="O5410" i="2"/>
  <c r="O5411" i="2"/>
  <c r="O5412" i="2"/>
  <c r="O5413" i="2"/>
  <c r="O5414" i="2"/>
  <c r="O5415" i="2"/>
  <c r="O5416" i="2"/>
  <c r="O5417" i="2"/>
  <c r="O5418" i="2"/>
  <c r="O5419" i="2"/>
  <c r="O5420" i="2"/>
  <c r="O5421" i="2"/>
  <c r="O5422" i="2"/>
  <c r="O5423" i="2"/>
  <c r="O5424" i="2"/>
  <c r="O5425" i="2"/>
  <c r="O5426" i="2"/>
  <c r="O5427" i="2"/>
  <c r="O5428" i="2"/>
  <c r="O5429" i="2"/>
  <c r="O5430" i="2"/>
  <c r="O5431" i="2"/>
  <c r="O5432" i="2"/>
  <c r="O5433" i="2"/>
  <c r="O5434" i="2"/>
  <c r="O5435" i="2"/>
  <c r="O5436" i="2"/>
  <c r="O5437" i="2"/>
  <c r="O5438" i="2"/>
  <c r="O5439" i="2"/>
  <c r="O5440" i="2"/>
  <c r="O5441" i="2"/>
  <c r="O5442" i="2"/>
  <c r="O5443" i="2"/>
  <c r="O5444" i="2"/>
  <c r="O5445" i="2"/>
  <c r="O5446" i="2"/>
  <c r="O5447" i="2"/>
  <c r="O5448" i="2"/>
  <c r="O5449" i="2"/>
  <c r="O5450" i="2"/>
  <c r="O5451" i="2"/>
  <c r="O5452" i="2"/>
  <c r="O5453" i="2"/>
  <c r="O5454" i="2"/>
  <c r="O5455" i="2"/>
  <c r="O5456" i="2"/>
  <c r="O5457" i="2"/>
  <c r="O5458" i="2"/>
  <c r="O5459" i="2"/>
  <c r="O5460" i="2"/>
  <c r="O5461" i="2"/>
  <c r="O5462" i="2"/>
  <c r="O5463" i="2"/>
  <c r="O5464" i="2"/>
  <c r="O5465" i="2"/>
  <c r="O5466" i="2"/>
  <c r="O5467" i="2"/>
  <c r="O5468" i="2"/>
  <c r="O5469" i="2"/>
  <c r="O5470" i="2"/>
  <c r="O5471" i="2"/>
  <c r="O5472" i="2"/>
  <c r="O5473" i="2"/>
  <c r="O5474" i="2"/>
  <c r="O5475" i="2"/>
  <c r="O5476" i="2"/>
  <c r="O5477" i="2"/>
  <c r="O5478" i="2"/>
  <c r="O5479" i="2"/>
  <c r="O5480" i="2"/>
  <c r="O5481" i="2"/>
  <c r="O5482" i="2"/>
  <c r="O5483" i="2"/>
  <c r="O5484" i="2"/>
  <c r="O5485" i="2"/>
  <c r="O5486" i="2"/>
  <c r="O5487" i="2"/>
  <c r="O5488" i="2"/>
  <c r="O5489" i="2"/>
  <c r="O5490" i="2"/>
  <c r="O5491" i="2"/>
  <c r="O5492" i="2"/>
  <c r="O5493" i="2"/>
  <c r="O5494" i="2"/>
  <c r="O5495" i="2"/>
  <c r="O5496" i="2"/>
  <c r="O5497" i="2"/>
  <c r="O5498" i="2"/>
  <c r="O5499" i="2"/>
  <c r="O5500" i="2"/>
  <c r="O5501" i="2"/>
  <c r="O5502" i="2"/>
  <c r="O5503" i="2"/>
  <c r="O5504" i="2"/>
  <c r="O5505" i="2"/>
  <c r="O5506" i="2"/>
  <c r="O5507" i="2"/>
  <c r="O5508" i="2"/>
  <c r="O5509" i="2"/>
  <c r="O5510" i="2"/>
  <c r="O5511" i="2"/>
  <c r="O5512" i="2"/>
  <c r="O5513" i="2"/>
  <c r="O5514" i="2"/>
  <c r="O5515" i="2"/>
  <c r="O5516" i="2"/>
  <c r="O5517" i="2"/>
  <c r="O5518" i="2"/>
  <c r="O5519" i="2"/>
  <c r="O5520" i="2"/>
  <c r="O5521" i="2"/>
  <c r="O5522" i="2"/>
  <c r="O5523" i="2"/>
  <c r="O5524" i="2"/>
  <c r="O5525" i="2"/>
  <c r="O5526" i="2"/>
  <c r="O5527" i="2"/>
  <c r="O5528" i="2"/>
  <c r="O5529" i="2"/>
  <c r="O5530" i="2"/>
  <c r="O5531" i="2"/>
  <c r="O5532" i="2"/>
  <c r="O5533" i="2"/>
  <c r="O5534" i="2"/>
  <c r="O5535" i="2"/>
  <c r="O5536" i="2"/>
  <c r="O5537" i="2"/>
  <c r="O5538" i="2"/>
  <c r="O5539" i="2"/>
  <c r="O5540" i="2"/>
  <c r="O5541" i="2"/>
  <c r="O5542" i="2"/>
  <c r="O5543" i="2"/>
  <c r="O5544" i="2"/>
  <c r="O5545" i="2"/>
  <c r="O5546" i="2"/>
  <c r="O5547" i="2"/>
  <c r="O5548" i="2"/>
  <c r="O5549" i="2"/>
  <c r="O5550" i="2"/>
  <c r="O5551" i="2"/>
  <c r="O5552" i="2"/>
  <c r="O5553" i="2"/>
  <c r="O5554" i="2"/>
  <c r="O5555" i="2"/>
  <c r="O5556" i="2"/>
  <c r="O5557" i="2"/>
  <c r="O5558" i="2"/>
  <c r="O5559" i="2"/>
  <c r="O5560" i="2"/>
  <c r="O5561" i="2"/>
  <c r="O5562" i="2"/>
  <c r="O5563" i="2"/>
  <c r="O5564" i="2"/>
  <c r="O5565" i="2"/>
  <c r="O5566" i="2"/>
  <c r="O5567" i="2"/>
  <c r="O5568" i="2"/>
  <c r="O5569" i="2"/>
  <c r="O5570" i="2"/>
  <c r="O5571" i="2"/>
  <c r="O5572" i="2"/>
  <c r="O5573" i="2"/>
  <c r="O5574" i="2"/>
  <c r="O5575" i="2"/>
  <c r="O5576" i="2"/>
  <c r="O5577" i="2"/>
  <c r="O5578" i="2"/>
  <c r="O5579" i="2"/>
  <c r="O5580" i="2"/>
  <c r="O5581" i="2"/>
  <c r="O5582" i="2"/>
  <c r="O5583" i="2"/>
  <c r="O5584" i="2"/>
  <c r="O5585" i="2"/>
  <c r="O5586" i="2"/>
  <c r="O5587" i="2"/>
  <c r="O5588" i="2"/>
  <c r="O5589" i="2"/>
  <c r="O5590" i="2"/>
  <c r="O5591" i="2"/>
  <c r="O5592" i="2"/>
  <c r="O5593" i="2"/>
  <c r="O5594" i="2"/>
  <c r="O5595" i="2"/>
  <c r="O5596" i="2"/>
  <c r="O5597" i="2"/>
  <c r="O5598" i="2"/>
  <c r="O5599" i="2"/>
  <c r="O5600" i="2"/>
  <c r="O5601" i="2"/>
  <c r="O5602" i="2"/>
  <c r="O5603" i="2"/>
  <c r="O5604" i="2"/>
  <c r="O5605" i="2"/>
  <c r="O5606" i="2"/>
  <c r="O5607" i="2"/>
  <c r="O5608" i="2"/>
  <c r="O5609" i="2"/>
  <c r="O5610" i="2"/>
  <c r="O5611" i="2"/>
  <c r="O5612" i="2"/>
  <c r="O5613" i="2"/>
  <c r="O5614" i="2"/>
  <c r="O5615" i="2"/>
  <c r="O5616" i="2"/>
  <c r="O5617" i="2"/>
  <c r="O5618" i="2"/>
  <c r="O5619" i="2"/>
  <c r="O5620" i="2"/>
  <c r="O5621" i="2"/>
  <c r="O5622" i="2"/>
  <c r="O5623" i="2"/>
  <c r="O5624" i="2"/>
  <c r="O5625" i="2"/>
  <c r="O5626" i="2"/>
  <c r="O5627" i="2"/>
  <c r="O5628" i="2"/>
  <c r="O5629" i="2"/>
  <c r="O5630" i="2"/>
  <c r="O5631" i="2"/>
  <c r="O5632" i="2"/>
  <c r="O5633" i="2"/>
  <c r="O5634" i="2"/>
  <c r="O5635" i="2"/>
  <c r="O5636" i="2"/>
  <c r="O5637" i="2"/>
  <c r="O5638" i="2"/>
  <c r="O5639" i="2"/>
  <c r="O5640" i="2"/>
  <c r="O5641" i="2"/>
  <c r="O5642" i="2"/>
  <c r="O5643" i="2"/>
  <c r="O5644" i="2"/>
  <c r="O5645" i="2"/>
  <c r="O5646" i="2"/>
  <c r="O5647" i="2"/>
  <c r="O5648" i="2"/>
  <c r="O5649" i="2"/>
  <c r="O5650" i="2"/>
  <c r="O5651" i="2"/>
  <c r="O5652" i="2"/>
  <c r="O5653" i="2"/>
  <c r="O5654" i="2"/>
  <c r="O5655" i="2"/>
  <c r="O5656" i="2"/>
  <c r="O5657" i="2"/>
  <c r="O5658" i="2"/>
  <c r="O5659" i="2"/>
  <c r="O5660" i="2"/>
  <c r="O5661" i="2"/>
  <c r="O5662" i="2"/>
  <c r="O5663" i="2"/>
  <c r="O5664" i="2"/>
  <c r="O5665" i="2"/>
  <c r="O5666" i="2"/>
  <c r="O5667" i="2"/>
  <c r="O5668" i="2"/>
  <c r="O5669" i="2"/>
  <c r="O5670" i="2"/>
  <c r="O5671" i="2"/>
  <c r="O5672" i="2"/>
  <c r="O5673" i="2"/>
  <c r="O5674" i="2"/>
  <c r="O5675" i="2"/>
  <c r="O5676" i="2"/>
  <c r="O5677" i="2"/>
  <c r="O5678" i="2"/>
  <c r="O5679" i="2"/>
  <c r="O5680" i="2"/>
  <c r="O5681" i="2"/>
  <c r="O5682" i="2"/>
  <c r="O5683" i="2"/>
  <c r="O5684" i="2"/>
  <c r="O5685" i="2"/>
  <c r="O5686" i="2"/>
  <c r="O5687" i="2"/>
  <c r="O5688" i="2"/>
  <c r="O5689" i="2"/>
  <c r="O5690" i="2"/>
  <c r="O5691" i="2"/>
  <c r="O5692" i="2"/>
  <c r="O5693" i="2"/>
  <c r="O5694" i="2"/>
  <c r="O5695" i="2"/>
  <c r="O5696" i="2"/>
  <c r="O5697" i="2"/>
  <c r="O5698" i="2"/>
  <c r="O5699" i="2"/>
  <c r="O5700" i="2"/>
  <c r="O5701" i="2"/>
  <c r="O5702" i="2"/>
  <c r="O5703" i="2"/>
  <c r="O5704" i="2"/>
  <c r="O5705" i="2"/>
  <c r="O5706" i="2"/>
  <c r="O5707" i="2"/>
  <c r="O5708" i="2"/>
  <c r="O5709" i="2"/>
  <c r="O5710" i="2"/>
  <c r="O5711" i="2"/>
  <c r="O5712" i="2"/>
  <c r="O5713" i="2"/>
  <c r="O5714" i="2"/>
  <c r="O5715" i="2"/>
  <c r="O5716" i="2"/>
  <c r="O5717" i="2"/>
  <c r="O5718" i="2"/>
  <c r="O5719" i="2"/>
  <c r="O5720" i="2"/>
  <c r="O5721" i="2"/>
  <c r="O5722" i="2"/>
  <c r="O5723" i="2"/>
  <c r="O5724" i="2"/>
  <c r="O5725" i="2"/>
  <c r="O5726" i="2"/>
  <c r="O5727" i="2"/>
  <c r="O5728" i="2"/>
  <c r="O5729" i="2"/>
  <c r="O5730" i="2"/>
  <c r="O5731" i="2"/>
  <c r="O5732" i="2"/>
  <c r="O5733" i="2"/>
  <c r="O5734" i="2"/>
  <c r="O5735" i="2"/>
  <c r="O5736" i="2"/>
  <c r="O5737" i="2"/>
  <c r="O5738" i="2"/>
  <c r="O5739" i="2"/>
  <c r="O5740" i="2"/>
  <c r="O5741" i="2"/>
  <c r="O5742" i="2"/>
  <c r="O5743" i="2"/>
  <c r="O5744" i="2"/>
  <c r="O5745" i="2"/>
  <c r="O5746" i="2"/>
  <c r="O5747" i="2"/>
  <c r="O5748" i="2"/>
  <c r="O5749" i="2"/>
  <c r="O5750" i="2"/>
  <c r="O5751" i="2"/>
  <c r="O5752" i="2"/>
  <c r="O5753" i="2"/>
  <c r="O5754" i="2"/>
  <c r="O5755" i="2"/>
  <c r="O5756" i="2"/>
  <c r="O5757" i="2"/>
  <c r="O5758" i="2"/>
  <c r="O5759" i="2"/>
  <c r="O5760" i="2"/>
  <c r="O5761" i="2"/>
  <c r="O5762" i="2"/>
  <c r="O5763" i="2"/>
  <c r="O5764" i="2"/>
  <c r="O5765" i="2"/>
  <c r="O5766" i="2"/>
  <c r="O5767" i="2"/>
  <c r="O5768" i="2"/>
  <c r="O5769" i="2"/>
  <c r="O5770" i="2"/>
  <c r="O5771" i="2"/>
  <c r="O5772" i="2"/>
  <c r="O5773" i="2"/>
  <c r="O5774" i="2"/>
  <c r="O5775" i="2"/>
  <c r="O5776" i="2"/>
  <c r="O5777" i="2"/>
  <c r="O5778" i="2"/>
  <c r="O5779" i="2"/>
  <c r="O5780" i="2"/>
  <c r="O5781" i="2"/>
  <c r="O5782" i="2"/>
  <c r="O5783" i="2"/>
  <c r="O5784" i="2"/>
  <c r="O5785" i="2"/>
  <c r="O5786" i="2"/>
  <c r="O5787" i="2"/>
  <c r="O5788" i="2"/>
  <c r="O5789" i="2"/>
  <c r="O5790" i="2"/>
  <c r="O5791" i="2"/>
  <c r="O5792" i="2"/>
  <c r="O5793" i="2"/>
  <c r="O5794" i="2"/>
  <c r="O5795" i="2"/>
  <c r="O5796" i="2"/>
  <c r="O5797" i="2"/>
  <c r="O5798" i="2"/>
  <c r="O5799" i="2"/>
  <c r="O5800" i="2"/>
  <c r="O5801" i="2"/>
  <c r="O5802" i="2"/>
  <c r="O5803" i="2"/>
  <c r="O5804" i="2"/>
  <c r="O5805" i="2"/>
  <c r="O5806" i="2"/>
  <c r="O5807" i="2"/>
  <c r="O5808" i="2"/>
  <c r="O5809" i="2"/>
  <c r="O5810" i="2"/>
  <c r="O5811" i="2"/>
  <c r="O5812" i="2"/>
  <c r="O5813" i="2"/>
  <c r="O5814" i="2"/>
  <c r="O5815" i="2"/>
  <c r="O5816" i="2"/>
  <c r="O5817" i="2"/>
  <c r="O5818" i="2"/>
  <c r="O5819" i="2"/>
  <c r="O5820" i="2"/>
  <c r="O5821" i="2"/>
  <c r="O5822" i="2"/>
  <c r="O5823" i="2"/>
  <c r="O5824" i="2"/>
  <c r="O5825" i="2"/>
  <c r="O5826" i="2"/>
  <c r="O5827" i="2"/>
  <c r="O5828" i="2"/>
  <c r="O5829" i="2"/>
  <c r="O5830" i="2"/>
  <c r="O5831" i="2"/>
  <c r="O5832" i="2"/>
  <c r="O5833" i="2"/>
  <c r="O5834" i="2"/>
  <c r="O5835" i="2"/>
  <c r="O5836" i="2"/>
  <c r="O5837" i="2"/>
  <c r="O5838" i="2"/>
  <c r="O5839" i="2"/>
  <c r="O5840" i="2"/>
  <c r="O5841" i="2"/>
  <c r="O5842" i="2"/>
  <c r="O5843" i="2"/>
  <c r="O5844" i="2"/>
  <c r="O5845" i="2"/>
  <c r="O5846" i="2"/>
  <c r="O5847" i="2"/>
  <c r="O5848" i="2"/>
  <c r="O5849" i="2"/>
  <c r="O5850" i="2"/>
  <c r="O5851" i="2"/>
  <c r="O5852" i="2"/>
  <c r="O5853" i="2"/>
  <c r="O5854" i="2"/>
  <c r="O5855" i="2"/>
  <c r="O5856" i="2"/>
  <c r="O5857" i="2"/>
  <c r="O5858" i="2"/>
  <c r="O5859" i="2"/>
  <c r="O5860" i="2"/>
  <c r="O5861" i="2"/>
  <c r="O5862" i="2"/>
  <c r="O5863" i="2"/>
  <c r="O5864" i="2"/>
  <c r="O5865" i="2"/>
  <c r="O5866" i="2"/>
  <c r="O5867" i="2"/>
  <c r="O5868" i="2"/>
  <c r="O5869" i="2"/>
  <c r="O5870" i="2"/>
  <c r="O5871" i="2"/>
  <c r="O5872" i="2"/>
  <c r="O5873" i="2"/>
  <c r="O5874" i="2"/>
  <c r="O5875" i="2"/>
  <c r="O5876" i="2"/>
  <c r="O5877" i="2"/>
  <c r="O5878" i="2"/>
  <c r="O5879" i="2"/>
  <c r="O5880" i="2"/>
  <c r="O5881" i="2"/>
  <c r="O5882" i="2"/>
  <c r="O5883" i="2"/>
  <c r="O5884" i="2"/>
  <c r="O5885" i="2"/>
  <c r="O5886" i="2"/>
  <c r="O5887" i="2"/>
  <c r="O5888" i="2"/>
  <c r="O5889" i="2"/>
  <c r="O5890" i="2"/>
  <c r="O5891" i="2"/>
  <c r="O5892" i="2"/>
  <c r="O5893" i="2"/>
  <c r="O5894" i="2"/>
  <c r="O5895" i="2"/>
  <c r="O5896" i="2"/>
  <c r="O5897" i="2"/>
  <c r="O5898" i="2"/>
  <c r="O5899" i="2"/>
  <c r="O5900" i="2"/>
  <c r="O5901" i="2"/>
  <c r="O5902" i="2"/>
  <c r="O5903" i="2"/>
  <c r="O5904" i="2"/>
  <c r="O5905" i="2"/>
  <c r="O5906" i="2"/>
  <c r="O5907" i="2"/>
  <c r="O5908" i="2"/>
  <c r="O5909" i="2"/>
  <c r="O5910" i="2"/>
  <c r="O5911" i="2"/>
  <c r="O5912" i="2"/>
  <c r="O5913" i="2"/>
  <c r="O5914" i="2"/>
  <c r="O5915" i="2"/>
  <c r="O5916" i="2"/>
  <c r="O5917" i="2"/>
  <c r="O5918" i="2"/>
  <c r="O5919" i="2"/>
  <c r="O5920" i="2"/>
  <c r="O5921" i="2"/>
  <c r="O5922" i="2"/>
  <c r="O5923" i="2"/>
  <c r="O5924" i="2"/>
  <c r="O5925" i="2"/>
  <c r="O5926" i="2"/>
  <c r="O5927" i="2"/>
  <c r="O5928" i="2"/>
  <c r="O5929" i="2"/>
  <c r="O5930" i="2"/>
  <c r="O5931" i="2"/>
  <c r="O5932" i="2"/>
  <c r="O5933" i="2"/>
  <c r="O5934" i="2"/>
  <c r="O5935" i="2"/>
  <c r="O5936" i="2"/>
  <c r="O5937" i="2"/>
  <c r="O5938" i="2"/>
  <c r="O5939" i="2"/>
  <c r="O5940" i="2"/>
  <c r="O5941" i="2"/>
  <c r="O5942" i="2"/>
  <c r="O5943" i="2"/>
  <c r="O5944" i="2"/>
  <c r="O5945" i="2"/>
  <c r="O5946" i="2"/>
  <c r="O5947" i="2"/>
  <c r="O5948" i="2"/>
  <c r="O5949" i="2"/>
  <c r="O5950" i="2"/>
  <c r="O5951" i="2"/>
  <c r="O5952" i="2"/>
  <c r="O5953" i="2"/>
  <c r="O5954" i="2"/>
  <c r="O5955" i="2"/>
  <c r="O5956" i="2"/>
  <c r="O5957" i="2"/>
  <c r="O5958" i="2"/>
  <c r="O5959" i="2"/>
  <c r="O5960" i="2"/>
  <c r="O5961" i="2"/>
  <c r="O5962" i="2"/>
  <c r="O5963" i="2"/>
  <c r="O5964" i="2"/>
  <c r="O5965" i="2"/>
  <c r="O5966" i="2"/>
  <c r="O5967" i="2"/>
  <c r="O5968" i="2"/>
  <c r="O5969" i="2"/>
  <c r="O5970" i="2"/>
  <c r="O5971" i="2"/>
  <c r="O5972" i="2"/>
  <c r="O5973" i="2"/>
  <c r="O5974" i="2"/>
  <c r="O5975" i="2"/>
  <c r="O5976" i="2"/>
  <c r="O5977" i="2"/>
  <c r="O5978" i="2"/>
  <c r="O5979" i="2"/>
  <c r="O5980" i="2"/>
  <c r="O5981" i="2"/>
  <c r="O5982" i="2"/>
  <c r="O5983" i="2"/>
  <c r="O5984" i="2"/>
  <c r="O5985" i="2"/>
  <c r="O5986" i="2"/>
  <c r="O5987" i="2"/>
  <c r="O5988" i="2"/>
  <c r="O5989" i="2"/>
  <c r="O5990" i="2"/>
  <c r="O5991" i="2"/>
  <c r="O5992" i="2"/>
  <c r="O5993" i="2"/>
  <c r="O5994" i="2"/>
  <c r="O5995" i="2"/>
  <c r="O5996" i="2"/>
  <c r="O5997" i="2"/>
  <c r="O5998" i="2"/>
  <c r="O5999" i="2"/>
  <c r="O6000" i="2"/>
  <c r="O6001" i="2"/>
  <c r="O6002" i="2"/>
  <c r="O6003" i="2"/>
  <c r="O6004" i="2"/>
  <c r="O6005" i="2"/>
  <c r="O6006" i="2"/>
  <c r="O6007" i="2"/>
  <c r="O6008" i="2"/>
  <c r="O6009" i="2"/>
  <c r="O6010" i="2"/>
  <c r="O6011" i="2"/>
  <c r="O6012" i="2"/>
  <c r="O6013" i="2"/>
  <c r="O6014" i="2"/>
  <c r="O6015" i="2"/>
  <c r="O6016" i="2"/>
  <c r="O6017" i="2"/>
  <c r="O6018" i="2"/>
  <c r="O6019" i="2"/>
  <c r="O6020" i="2"/>
  <c r="O6021" i="2"/>
  <c r="O6022" i="2"/>
  <c r="O6023" i="2"/>
  <c r="O6024" i="2"/>
  <c r="O6025" i="2"/>
  <c r="O6026" i="2"/>
  <c r="O6027" i="2"/>
  <c r="O6028" i="2"/>
  <c r="O6029" i="2"/>
  <c r="O6030" i="2"/>
  <c r="O6031" i="2"/>
  <c r="O6032" i="2"/>
  <c r="O6033" i="2"/>
  <c r="O6034" i="2"/>
  <c r="O6035" i="2"/>
  <c r="O6036" i="2"/>
  <c r="O6037" i="2"/>
  <c r="O6038" i="2"/>
  <c r="O6039" i="2"/>
  <c r="O6040" i="2"/>
  <c r="O6041" i="2"/>
  <c r="O6042" i="2"/>
  <c r="O6043" i="2"/>
  <c r="O6044" i="2"/>
  <c r="O6045" i="2"/>
  <c r="O6046" i="2"/>
  <c r="O6047" i="2"/>
  <c r="O6048" i="2"/>
  <c r="O6049" i="2"/>
  <c r="O6050" i="2"/>
  <c r="O6051" i="2"/>
  <c r="O6052" i="2"/>
  <c r="O6053" i="2"/>
  <c r="O6054" i="2"/>
  <c r="O6055" i="2"/>
  <c r="O6056" i="2"/>
  <c r="O6057" i="2"/>
  <c r="O6058" i="2"/>
  <c r="O6059" i="2"/>
  <c r="O6060" i="2"/>
  <c r="O6061" i="2"/>
  <c r="O6062" i="2"/>
  <c r="O6063" i="2"/>
  <c r="O6064" i="2"/>
  <c r="O6065" i="2"/>
  <c r="O6066" i="2"/>
  <c r="O6067" i="2"/>
  <c r="O6068" i="2"/>
  <c r="O6069" i="2"/>
  <c r="O6070" i="2"/>
  <c r="O6071" i="2"/>
  <c r="O6072" i="2"/>
  <c r="O6073" i="2"/>
  <c r="O6074" i="2"/>
  <c r="O6075" i="2"/>
  <c r="O6076" i="2"/>
  <c r="O6077" i="2"/>
  <c r="O6078" i="2"/>
  <c r="O6079" i="2"/>
  <c r="O6080" i="2"/>
  <c r="O6081" i="2"/>
  <c r="O6082" i="2"/>
  <c r="O6083" i="2"/>
  <c r="O6084" i="2"/>
  <c r="O6085" i="2"/>
  <c r="O6086" i="2"/>
  <c r="O6087" i="2"/>
  <c r="O6088" i="2"/>
  <c r="O6089" i="2"/>
  <c r="O6090" i="2"/>
  <c r="O6091" i="2"/>
  <c r="O6092" i="2"/>
  <c r="O6093" i="2"/>
  <c r="O6094" i="2"/>
  <c r="O6095" i="2"/>
  <c r="O6096" i="2"/>
  <c r="O6097" i="2"/>
  <c r="O6098" i="2"/>
  <c r="O6099" i="2"/>
  <c r="O6100" i="2"/>
  <c r="O6101" i="2"/>
  <c r="O6102" i="2"/>
  <c r="O6103" i="2"/>
  <c r="O6104" i="2"/>
  <c r="O6105" i="2"/>
  <c r="O6106" i="2"/>
  <c r="O6107" i="2"/>
  <c r="O6108" i="2"/>
  <c r="O6109" i="2"/>
  <c r="O6110" i="2"/>
  <c r="O6111" i="2"/>
  <c r="O6112" i="2"/>
  <c r="O6113" i="2"/>
  <c r="O6114" i="2"/>
  <c r="O6115" i="2"/>
  <c r="O6116" i="2"/>
  <c r="O6117" i="2"/>
  <c r="O6118" i="2"/>
  <c r="O6119" i="2"/>
  <c r="O6120" i="2"/>
  <c r="O6121" i="2"/>
  <c r="O6122" i="2"/>
  <c r="O6123" i="2"/>
  <c r="O6124" i="2"/>
  <c r="O6125" i="2"/>
  <c r="O6126" i="2"/>
  <c r="O6127" i="2"/>
  <c r="O6128" i="2"/>
  <c r="O6129" i="2"/>
  <c r="O6130" i="2"/>
  <c r="O6131" i="2"/>
  <c r="O6132" i="2"/>
  <c r="O6133" i="2"/>
  <c r="O6134" i="2"/>
  <c r="O6135" i="2"/>
  <c r="O6136" i="2"/>
  <c r="O6137" i="2"/>
  <c r="O6138" i="2"/>
  <c r="O6139" i="2"/>
  <c r="O6140" i="2"/>
  <c r="O6141" i="2"/>
  <c r="O6142" i="2"/>
  <c r="O6143" i="2"/>
  <c r="O6144" i="2"/>
  <c r="O6145" i="2"/>
  <c r="O6146" i="2"/>
  <c r="O6147" i="2"/>
  <c r="O6148" i="2"/>
  <c r="O6149" i="2"/>
  <c r="O6150" i="2"/>
  <c r="O6151" i="2"/>
  <c r="O6152" i="2"/>
  <c r="O6153" i="2"/>
  <c r="O6154" i="2"/>
  <c r="O6155" i="2"/>
  <c r="O6156" i="2"/>
  <c r="O6157" i="2"/>
  <c r="O6158" i="2"/>
  <c r="O6159" i="2"/>
  <c r="O6160" i="2"/>
  <c r="O6161" i="2"/>
  <c r="O6162" i="2"/>
  <c r="O6163" i="2"/>
  <c r="O6164" i="2"/>
  <c r="O6165" i="2"/>
  <c r="O6166" i="2"/>
  <c r="O6167" i="2"/>
  <c r="O6168" i="2"/>
  <c r="O6169" i="2"/>
  <c r="O6170" i="2"/>
  <c r="O6171" i="2"/>
  <c r="O6172" i="2"/>
  <c r="O6173" i="2"/>
  <c r="O6174" i="2"/>
  <c r="O6175" i="2"/>
  <c r="O6176" i="2"/>
  <c r="O6177" i="2"/>
  <c r="O6178" i="2"/>
  <c r="O6179" i="2"/>
  <c r="O6180" i="2"/>
  <c r="O6181" i="2"/>
  <c r="O6182" i="2"/>
  <c r="O6183" i="2"/>
  <c r="O6184" i="2"/>
  <c r="O6185" i="2"/>
  <c r="O6186" i="2"/>
  <c r="O6187" i="2"/>
  <c r="O6188" i="2"/>
  <c r="O6189" i="2"/>
  <c r="O6190" i="2"/>
  <c r="O6191" i="2"/>
  <c r="O6192" i="2"/>
  <c r="O6193" i="2"/>
  <c r="O6194" i="2"/>
  <c r="O6195" i="2"/>
  <c r="O6196" i="2"/>
  <c r="O6197" i="2"/>
  <c r="O6198" i="2"/>
  <c r="O6199" i="2"/>
  <c r="O6200" i="2"/>
  <c r="O6201" i="2"/>
  <c r="O6202" i="2"/>
  <c r="O6203" i="2"/>
  <c r="O6204" i="2"/>
  <c r="O6205" i="2"/>
  <c r="O6206" i="2"/>
  <c r="O6207" i="2"/>
  <c r="O6208" i="2"/>
  <c r="O6209" i="2"/>
  <c r="O6210" i="2"/>
  <c r="O6211" i="2"/>
  <c r="O6212" i="2"/>
  <c r="O6213" i="2"/>
  <c r="O6214" i="2"/>
  <c r="O6215" i="2"/>
  <c r="O6216" i="2"/>
  <c r="O6217" i="2"/>
  <c r="O6218" i="2"/>
  <c r="O6219" i="2"/>
  <c r="O6220" i="2"/>
  <c r="O6221" i="2"/>
  <c r="O6222" i="2"/>
  <c r="O6223" i="2"/>
  <c r="O6224" i="2"/>
  <c r="O6225" i="2"/>
  <c r="O6226" i="2"/>
  <c r="O6227" i="2"/>
  <c r="O6228" i="2"/>
  <c r="O6229" i="2"/>
  <c r="O6230" i="2"/>
  <c r="O6231" i="2"/>
  <c r="O6232" i="2"/>
  <c r="O6233" i="2"/>
  <c r="O6234" i="2"/>
  <c r="O6235" i="2"/>
  <c r="O6236" i="2"/>
  <c r="O6237" i="2"/>
  <c r="O6238" i="2"/>
  <c r="O6239" i="2"/>
  <c r="O6240" i="2"/>
  <c r="O6241" i="2"/>
  <c r="O6242" i="2"/>
  <c r="O6243" i="2"/>
  <c r="O6244" i="2"/>
  <c r="O6245" i="2"/>
  <c r="O6246" i="2"/>
  <c r="O6247" i="2"/>
  <c r="O6248" i="2"/>
  <c r="O6249" i="2"/>
  <c r="O6250" i="2"/>
  <c r="O6251" i="2"/>
  <c r="O6252" i="2"/>
  <c r="O6253" i="2"/>
  <c r="O6254" i="2"/>
  <c r="O6255" i="2"/>
  <c r="O6256" i="2"/>
  <c r="O6257" i="2"/>
  <c r="O6258" i="2"/>
  <c r="O6259" i="2"/>
  <c r="O6260" i="2"/>
  <c r="O6261" i="2"/>
  <c r="O6262" i="2"/>
  <c r="O6263" i="2"/>
  <c r="O6264" i="2"/>
  <c r="O6265" i="2"/>
  <c r="O6266" i="2"/>
  <c r="O6267" i="2"/>
  <c r="O6268" i="2"/>
  <c r="O6269" i="2"/>
  <c r="O6270" i="2"/>
  <c r="O6271" i="2"/>
  <c r="O6272" i="2"/>
  <c r="O6273" i="2"/>
  <c r="O6274" i="2"/>
  <c r="O6275" i="2"/>
  <c r="O6276" i="2"/>
  <c r="O6277" i="2"/>
  <c r="O6278" i="2"/>
  <c r="O6279" i="2"/>
  <c r="O6280" i="2"/>
  <c r="O6281" i="2"/>
  <c r="O6282" i="2"/>
  <c r="O6283" i="2"/>
  <c r="O6284" i="2"/>
  <c r="O6285" i="2"/>
  <c r="O6286" i="2"/>
  <c r="O6287" i="2"/>
  <c r="O6288" i="2"/>
  <c r="O6289" i="2"/>
  <c r="O6290" i="2"/>
  <c r="O6291" i="2"/>
  <c r="O6292" i="2"/>
  <c r="O6293" i="2"/>
  <c r="O6294" i="2"/>
  <c r="O6295" i="2"/>
  <c r="O6296" i="2"/>
  <c r="O6297" i="2"/>
  <c r="O6298" i="2"/>
  <c r="O6299" i="2"/>
  <c r="O6300" i="2"/>
  <c r="O6301" i="2"/>
  <c r="O6302" i="2"/>
  <c r="O6303" i="2"/>
  <c r="O6304" i="2"/>
  <c r="O6305" i="2"/>
  <c r="O6306" i="2"/>
  <c r="O6307" i="2"/>
  <c r="O6308" i="2"/>
  <c r="O6309" i="2"/>
  <c r="O6310" i="2"/>
  <c r="O6311" i="2"/>
  <c r="O6312" i="2"/>
  <c r="O6313" i="2"/>
  <c r="O6314" i="2"/>
  <c r="O6315" i="2"/>
  <c r="O6316" i="2"/>
  <c r="O6317" i="2"/>
  <c r="O6318" i="2"/>
  <c r="O6319" i="2"/>
  <c r="O6320" i="2"/>
  <c r="O6321" i="2"/>
  <c r="O6322" i="2"/>
  <c r="O6323" i="2"/>
  <c r="O6324" i="2"/>
  <c r="O6325" i="2"/>
  <c r="O6326" i="2"/>
  <c r="O6327" i="2"/>
  <c r="O6328" i="2"/>
  <c r="O6329" i="2"/>
  <c r="O6330" i="2"/>
  <c r="O6331" i="2"/>
  <c r="O6332" i="2"/>
  <c r="O6333" i="2"/>
  <c r="O6334" i="2"/>
  <c r="O6335" i="2"/>
  <c r="O6336" i="2"/>
  <c r="O6337" i="2"/>
  <c r="O6338" i="2"/>
  <c r="O6339" i="2"/>
  <c r="O6340" i="2"/>
  <c r="O6341" i="2"/>
  <c r="O6342" i="2"/>
  <c r="O6343" i="2"/>
  <c r="O6344" i="2"/>
  <c r="O6345" i="2"/>
  <c r="O6346" i="2"/>
  <c r="O6347" i="2"/>
  <c r="O6348" i="2"/>
  <c r="O6349" i="2"/>
  <c r="O6350" i="2"/>
  <c r="O6351" i="2"/>
  <c r="O6352" i="2"/>
  <c r="O6353" i="2"/>
  <c r="O6354" i="2"/>
  <c r="O6355" i="2"/>
  <c r="O6356" i="2"/>
  <c r="O6357" i="2"/>
  <c r="O6358" i="2"/>
  <c r="O6359" i="2"/>
  <c r="O6360" i="2"/>
  <c r="O6361" i="2"/>
  <c r="O6362" i="2"/>
  <c r="O6363" i="2"/>
  <c r="O6364" i="2"/>
  <c r="O6365" i="2"/>
  <c r="O6366" i="2"/>
  <c r="O6367" i="2"/>
  <c r="O6368" i="2"/>
  <c r="O6369" i="2"/>
  <c r="O6370" i="2"/>
  <c r="O6371" i="2"/>
  <c r="O6372" i="2"/>
  <c r="O6373" i="2"/>
  <c r="O6374" i="2"/>
  <c r="O6375" i="2"/>
  <c r="O6376" i="2"/>
  <c r="O6377" i="2"/>
  <c r="O6378" i="2"/>
  <c r="O6379" i="2"/>
  <c r="O6380" i="2"/>
  <c r="O6381" i="2"/>
  <c r="O6382" i="2"/>
  <c r="O6383" i="2"/>
  <c r="O6384" i="2"/>
  <c r="O6385" i="2"/>
  <c r="O6386" i="2"/>
  <c r="O6387" i="2"/>
  <c r="O6388" i="2"/>
  <c r="O6389" i="2"/>
  <c r="O6390" i="2"/>
  <c r="O6391" i="2"/>
  <c r="O6392" i="2"/>
  <c r="O6393" i="2"/>
  <c r="O6394" i="2"/>
  <c r="O6395" i="2"/>
  <c r="O6396" i="2"/>
  <c r="O6397" i="2"/>
  <c r="O6398" i="2"/>
  <c r="O6399" i="2"/>
  <c r="O6400" i="2"/>
  <c r="O6401" i="2"/>
  <c r="O6402" i="2"/>
  <c r="O6403" i="2"/>
  <c r="O6404" i="2"/>
  <c r="O6405" i="2"/>
  <c r="O6406" i="2"/>
  <c r="O6407" i="2"/>
  <c r="O6408" i="2"/>
  <c r="O6409" i="2"/>
  <c r="O6410" i="2"/>
  <c r="O6411" i="2"/>
  <c r="O6412" i="2"/>
  <c r="O6413" i="2"/>
  <c r="O6414" i="2"/>
  <c r="O6415" i="2"/>
  <c r="O6416" i="2"/>
  <c r="O6417" i="2"/>
  <c r="O6418" i="2"/>
  <c r="O6419" i="2"/>
  <c r="O6420" i="2"/>
  <c r="O6421" i="2"/>
  <c r="O6422" i="2"/>
  <c r="O6423" i="2"/>
  <c r="O6424" i="2"/>
  <c r="O6425" i="2"/>
  <c r="O6426" i="2"/>
  <c r="O6427" i="2"/>
  <c r="O6428" i="2"/>
  <c r="O6429" i="2"/>
  <c r="O6430" i="2"/>
  <c r="O6431" i="2"/>
  <c r="O6432" i="2"/>
  <c r="O6433" i="2"/>
  <c r="O6434" i="2"/>
  <c r="O6435" i="2"/>
  <c r="O6436" i="2"/>
  <c r="O6437" i="2"/>
  <c r="O6438" i="2"/>
  <c r="O6439" i="2"/>
  <c r="O6440" i="2"/>
  <c r="O6441" i="2"/>
  <c r="O6442" i="2"/>
  <c r="O6443" i="2"/>
  <c r="O6444" i="2"/>
  <c r="O6445" i="2"/>
  <c r="O6446" i="2"/>
  <c r="O6447" i="2"/>
  <c r="O6448" i="2"/>
  <c r="O6449" i="2"/>
  <c r="O6450" i="2"/>
  <c r="O6451" i="2"/>
  <c r="O6452" i="2"/>
  <c r="O6453" i="2"/>
  <c r="O6454" i="2"/>
  <c r="O6455" i="2"/>
  <c r="O6456" i="2"/>
  <c r="O6457" i="2"/>
  <c r="O6458" i="2"/>
  <c r="O6459" i="2"/>
  <c r="O6460" i="2"/>
  <c r="O6461" i="2"/>
  <c r="O6462" i="2"/>
  <c r="O6463" i="2"/>
  <c r="O6464" i="2"/>
  <c r="O6465" i="2"/>
  <c r="O6466" i="2"/>
  <c r="O6467" i="2"/>
  <c r="O6468" i="2"/>
  <c r="O6469" i="2"/>
  <c r="O6470" i="2"/>
  <c r="O6471" i="2"/>
  <c r="O6472" i="2"/>
  <c r="O6473" i="2"/>
  <c r="O6474" i="2"/>
  <c r="O6475" i="2"/>
  <c r="O6476" i="2"/>
  <c r="O6477" i="2"/>
  <c r="O6478" i="2"/>
  <c r="O6479" i="2"/>
  <c r="O6480" i="2"/>
  <c r="O6481" i="2"/>
  <c r="O6482" i="2"/>
  <c r="O6483" i="2"/>
  <c r="O6484" i="2"/>
  <c r="O6485" i="2"/>
  <c r="O6486" i="2"/>
  <c r="O6487" i="2"/>
  <c r="O6488" i="2"/>
  <c r="O6489" i="2"/>
  <c r="O6490" i="2"/>
  <c r="O6491" i="2"/>
  <c r="O6492" i="2"/>
  <c r="O6493" i="2"/>
  <c r="O6494" i="2"/>
  <c r="O6495" i="2"/>
  <c r="O6496" i="2"/>
  <c r="O6497" i="2"/>
  <c r="O6498" i="2"/>
  <c r="O6499" i="2"/>
  <c r="O6500" i="2"/>
  <c r="O6501" i="2"/>
  <c r="O6502" i="2"/>
  <c r="O6503" i="2"/>
  <c r="O6504" i="2"/>
  <c r="O6505" i="2"/>
  <c r="O6506" i="2"/>
  <c r="O6507" i="2"/>
  <c r="O6508" i="2"/>
  <c r="O6509" i="2"/>
  <c r="O6510" i="2"/>
  <c r="O6511" i="2"/>
  <c r="O6512" i="2"/>
  <c r="O6513" i="2"/>
  <c r="O6514" i="2"/>
  <c r="O6515" i="2"/>
  <c r="O6516" i="2"/>
  <c r="O6517" i="2"/>
  <c r="O6518" i="2"/>
  <c r="O6519" i="2"/>
  <c r="O6520" i="2"/>
  <c r="O6521" i="2"/>
  <c r="O6522" i="2"/>
  <c r="O6523" i="2"/>
  <c r="O6524" i="2"/>
  <c r="O6525" i="2"/>
  <c r="O6526" i="2"/>
  <c r="O6527" i="2"/>
  <c r="O6528" i="2"/>
  <c r="O6529" i="2"/>
  <c r="O6530" i="2"/>
  <c r="O6531" i="2"/>
  <c r="O6532" i="2"/>
  <c r="O6533" i="2"/>
  <c r="O6534" i="2"/>
  <c r="O6535" i="2"/>
  <c r="O6536" i="2"/>
  <c r="O6537" i="2"/>
  <c r="O6538" i="2"/>
  <c r="O6539" i="2"/>
  <c r="O6540" i="2"/>
  <c r="O6541" i="2"/>
  <c r="O6542" i="2"/>
  <c r="O6543" i="2"/>
  <c r="O6544" i="2"/>
  <c r="O6545" i="2"/>
  <c r="O6546" i="2"/>
  <c r="O6547" i="2"/>
  <c r="O6548" i="2"/>
  <c r="O6549" i="2"/>
  <c r="O6550" i="2"/>
  <c r="O6551" i="2"/>
  <c r="O6552" i="2"/>
  <c r="O6553" i="2"/>
  <c r="O6554" i="2"/>
  <c r="O6555" i="2"/>
  <c r="O6556" i="2"/>
  <c r="O6557" i="2"/>
  <c r="O6558" i="2"/>
  <c r="O6559" i="2"/>
  <c r="O6560" i="2"/>
  <c r="O6561" i="2"/>
  <c r="O6562" i="2"/>
  <c r="O6563" i="2"/>
  <c r="O6564" i="2"/>
  <c r="O6565" i="2"/>
  <c r="O6566" i="2"/>
  <c r="O6567" i="2"/>
  <c r="O6568" i="2"/>
  <c r="O6569" i="2"/>
  <c r="O6570" i="2"/>
  <c r="O6571" i="2"/>
  <c r="O6572" i="2"/>
  <c r="O6573" i="2"/>
  <c r="O6574" i="2"/>
  <c r="O6575" i="2"/>
  <c r="O6576" i="2"/>
  <c r="O6577" i="2"/>
  <c r="O6578" i="2"/>
  <c r="O6579" i="2"/>
  <c r="O6580" i="2"/>
  <c r="O6581" i="2"/>
  <c r="O6582" i="2"/>
  <c r="O6583" i="2"/>
  <c r="O6584" i="2"/>
  <c r="O6585" i="2"/>
  <c r="O6586" i="2"/>
  <c r="O6587" i="2"/>
  <c r="O6588" i="2"/>
  <c r="O6589" i="2"/>
  <c r="O6590" i="2"/>
  <c r="O6591" i="2"/>
  <c r="O6592" i="2"/>
  <c r="O6593" i="2"/>
  <c r="O6594" i="2"/>
  <c r="O6595" i="2"/>
  <c r="O6596" i="2"/>
  <c r="O6597" i="2"/>
  <c r="O6598" i="2"/>
  <c r="O6599" i="2"/>
  <c r="O6600" i="2"/>
  <c r="O6601" i="2"/>
  <c r="O6602" i="2"/>
  <c r="O6603" i="2"/>
  <c r="O6604" i="2"/>
  <c r="O6605" i="2"/>
  <c r="O6606" i="2"/>
  <c r="O6607" i="2"/>
  <c r="O6608" i="2"/>
  <c r="O6609" i="2"/>
  <c r="O6610" i="2"/>
  <c r="O6611" i="2"/>
  <c r="O6612" i="2"/>
  <c r="O6613" i="2"/>
  <c r="O6614" i="2"/>
  <c r="O6615" i="2"/>
  <c r="O6616" i="2"/>
  <c r="O6617" i="2"/>
  <c r="O6618" i="2"/>
  <c r="O6619" i="2"/>
  <c r="O6620" i="2"/>
  <c r="O6621" i="2"/>
  <c r="O6622" i="2"/>
  <c r="O6623" i="2"/>
  <c r="O6624" i="2"/>
  <c r="O6625" i="2"/>
  <c r="O6626" i="2"/>
  <c r="O6627" i="2"/>
  <c r="O6628" i="2"/>
  <c r="O6629" i="2"/>
  <c r="O6630" i="2"/>
  <c r="O6631" i="2"/>
  <c r="O6632" i="2"/>
  <c r="O6633" i="2"/>
  <c r="O6634" i="2"/>
  <c r="O6635" i="2"/>
  <c r="O6636" i="2"/>
  <c r="O6637" i="2"/>
  <c r="O6638" i="2"/>
  <c r="O6639" i="2"/>
  <c r="O6640" i="2"/>
  <c r="O6641" i="2"/>
  <c r="O6642" i="2"/>
  <c r="O6643" i="2"/>
  <c r="O6644" i="2"/>
  <c r="O6645" i="2"/>
  <c r="O6646" i="2"/>
  <c r="O6647" i="2"/>
  <c r="O6648" i="2"/>
  <c r="O6649" i="2"/>
  <c r="O6650" i="2"/>
  <c r="O6651" i="2"/>
  <c r="O6652" i="2"/>
  <c r="O6653" i="2"/>
  <c r="O6654" i="2"/>
  <c r="O6655" i="2"/>
  <c r="O6656" i="2"/>
  <c r="O6657" i="2"/>
  <c r="O6658" i="2"/>
  <c r="O6659" i="2"/>
  <c r="O6660" i="2"/>
  <c r="O6661" i="2"/>
  <c r="O6662" i="2"/>
  <c r="O6663" i="2"/>
  <c r="O6664" i="2"/>
  <c r="O6665" i="2"/>
  <c r="O6666" i="2"/>
  <c r="O6667" i="2"/>
  <c r="O6668" i="2"/>
  <c r="O6669" i="2"/>
  <c r="O6670" i="2"/>
  <c r="O6671" i="2"/>
  <c r="O6672" i="2"/>
  <c r="O6673" i="2"/>
  <c r="O6674" i="2"/>
  <c r="O6675" i="2"/>
  <c r="O6676" i="2"/>
  <c r="O6677" i="2"/>
  <c r="O6678" i="2"/>
  <c r="O6679" i="2"/>
  <c r="O6680" i="2"/>
  <c r="O6681" i="2"/>
  <c r="O6682" i="2"/>
  <c r="O6683" i="2"/>
  <c r="O6684" i="2"/>
  <c r="O6685" i="2"/>
  <c r="O6686" i="2"/>
  <c r="O6687" i="2"/>
  <c r="O6688" i="2"/>
  <c r="O6689" i="2"/>
  <c r="O6690" i="2"/>
  <c r="O6691" i="2"/>
  <c r="O6692" i="2"/>
  <c r="O6693" i="2"/>
  <c r="O6694" i="2"/>
  <c r="O6695" i="2"/>
  <c r="O6696" i="2"/>
  <c r="O6697" i="2"/>
  <c r="O6698" i="2"/>
  <c r="O6699" i="2"/>
  <c r="O6700" i="2"/>
  <c r="O6701" i="2"/>
  <c r="O6702" i="2"/>
  <c r="O6703" i="2"/>
  <c r="O6704" i="2"/>
  <c r="O6705" i="2"/>
  <c r="O6706" i="2"/>
  <c r="O6707" i="2"/>
  <c r="O6708" i="2"/>
  <c r="O6709" i="2"/>
  <c r="O6710" i="2"/>
  <c r="O6711" i="2"/>
  <c r="O6712" i="2"/>
  <c r="O6713" i="2"/>
  <c r="O6714" i="2"/>
  <c r="O6715" i="2"/>
  <c r="O6716" i="2"/>
  <c r="O6717" i="2"/>
  <c r="O6718" i="2"/>
  <c r="O6719" i="2"/>
  <c r="O6720" i="2"/>
  <c r="O6721" i="2"/>
  <c r="O6722" i="2"/>
  <c r="O6723" i="2"/>
  <c r="O6724" i="2"/>
  <c r="O6725" i="2"/>
  <c r="O6726" i="2"/>
  <c r="O6727" i="2"/>
  <c r="O6728" i="2"/>
  <c r="O6729" i="2"/>
  <c r="O6730" i="2"/>
  <c r="O6731" i="2"/>
  <c r="O6732" i="2"/>
  <c r="O6733" i="2"/>
  <c r="O6734" i="2"/>
  <c r="O6735" i="2"/>
  <c r="O6736" i="2"/>
  <c r="O6737" i="2"/>
  <c r="O6738" i="2"/>
  <c r="O6739" i="2"/>
  <c r="O6740" i="2"/>
  <c r="O6741" i="2"/>
  <c r="O6742" i="2"/>
  <c r="O6743" i="2"/>
  <c r="O6744" i="2"/>
  <c r="O6745" i="2"/>
  <c r="O6746" i="2"/>
  <c r="O6747" i="2"/>
  <c r="O6748" i="2"/>
  <c r="O6749" i="2"/>
  <c r="O6750" i="2"/>
  <c r="O6751" i="2"/>
  <c r="O6752" i="2"/>
  <c r="O6753" i="2"/>
  <c r="O6754" i="2"/>
  <c r="O6755" i="2"/>
  <c r="O6756" i="2"/>
  <c r="O6757" i="2"/>
  <c r="O6758" i="2"/>
  <c r="O6759" i="2"/>
  <c r="O6760" i="2"/>
  <c r="O6761" i="2"/>
  <c r="O6762" i="2"/>
  <c r="O6763" i="2"/>
  <c r="O6764" i="2"/>
  <c r="O6765" i="2"/>
  <c r="O6766" i="2"/>
  <c r="O6767" i="2"/>
  <c r="O6768" i="2"/>
  <c r="O6769" i="2"/>
  <c r="O6770" i="2"/>
  <c r="O6771" i="2"/>
  <c r="O6772" i="2"/>
  <c r="O6773" i="2"/>
  <c r="O6774" i="2"/>
  <c r="O6775" i="2"/>
  <c r="O6776" i="2"/>
  <c r="O6777" i="2"/>
  <c r="O6778" i="2"/>
  <c r="O6779" i="2"/>
  <c r="O6780" i="2"/>
  <c r="O6781" i="2"/>
  <c r="O6782" i="2"/>
  <c r="O6783" i="2"/>
  <c r="O6784" i="2"/>
  <c r="O6785" i="2"/>
  <c r="O6786" i="2"/>
  <c r="O6787" i="2"/>
  <c r="O6788" i="2"/>
  <c r="O6789" i="2"/>
  <c r="O6790" i="2"/>
  <c r="O6791" i="2"/>
  <c r="O6792" i="2"/>
  <c r="O6793" i="2"/>
  <c r="O6794" i="2"/>
  <c r="O6795" i="2"/>
  <c r="O6796" i="2"/>
  <c r="O6797" i="2"/>
  <c r="O6798" i="2"/>
  <c r="O6799" i="2"/>
  <c r="O6800" i="2"/>
  <c r="O6801" i="2"/>
  <c r="O6802" i="2"/>
  <c r="O6803" i="2"/>
  <c r="O6804" i="2"/>
  <c r="O6805" i="2"/>
  <c r="O6806" i="2"/>
  <c r="O6807" i="2"/>
  <c r="O6808" i="2"/>
  <c r="O6809" i="2"/>
  <c r="O6810" i="2"/>
  <c r="O6811" i="2"/>
  <c r="O6812" i="2"/>
  <c r="O6813" i="2"/>
  <c r="O6814" i="2"/>
  <c r="O6815" i="2"/>
  <c r="O6816" i="2"/>
  <c r="O6817" i="2"/>
  <c r="O6818" i="2"/>
  <c r="O6819" i="2"/>
  <c r="O6820" i="2"/>
  <c r="O6821" i="2"/>
  <c r="O6822" i="2"/>
  <c r="O6823" i="2"/>
  <c r="O6824" i="2"/>
  <c r="O6825" i="2"/>
  <c r="O6826" i="2"/>
  <c r="O6827" i="2"/>
  <c r="O6828" i="2"/>
  <c r="O6829" i="2"/>
  <c r="O6830" i="2"/>
  <c r="O6831" i="2"/>
  <c r="O6832" i="2"/>
  <c r="O6833" i="2"/>
  <c r="O6834" i="2"/>
  <c r="O6835" i="2"/>
  <c r="O6836" i="2"/>
  <c r="O6837" i="2"/>
  <c r="O6838" i="2"/>
  <c r="O6839" i="2"/>
  <c r="O6840" i="2"/>
  <c r="O6841" i="2"/>
  <c r="O6842" i="2"/>
  <c r="O6843" i="2"/>
  <c r="O6844" i="2"/>
  <c r="O6845" i="2"/>
  <c r="O6846" i="2"/>
  <c r="O6847" i="2"/>
  <c r="O6848" i="2"/>
  <c r="O6849" i="2"/>
  <c r="O6850" i="2"/>
  <c r="O6851" i="2"/>
  <c r="O6852" i="2"/>
  <c r="O6853" i="2"/>
  <c r="O6854" i="2"/>
  <c r="O6855" i="2"/>
  <c r="O6856" i="2"/>
  <c r="O6857" i="2"/>
  <c r="O6858" i="2"/>
  <c r="O6859" i="2"/>
  <c r="O6860" i="2"/>
  <c r="O6861" i="2"/>
  <c r="O6862" i="2"/>
  <c r="O6863" i="2"/>
  <c r="O6864" i="2"/>
  <c r="O6865" i="2"/>
  <c r="O6866" i="2"/>
  <c r="O6867" i="2"/>
  <c r="O6868" i="2"/>
  <c r="O6869" i="2"/>
  <c r="O6870" i="2"/>
  <c r="O6871" i="2"/>
  <c r="O6872" i="2"/>
  <c r="O6873" i="2"/>
  <c r="O6874" i="2"/>
  <c r="O6875" i="2"/>
  <c r="O6876" i="2"/>
  <c r="O6877" i="2"/>
  <c r="O6878" i="2"/>
  <c r="O6879" i="2"/>
  <c r="O6880" i="2"/>
  <c r="O6881" i="2"/>
  <c r="O6882" i="2"/>
  <c r="O6883" i="2"/>
  <c r="O6884" i="2"/>
  <c r="O6885" i="2"/>
  <c r="O6886" i="2"/>
  <c r="O6887" i="2"/>
  <c r="O6888" i="2"/>
  <c r="O6889" i="2"/>
  <c r="O6890" i="2"/>
  <c r="O6891" i="2"/>
  <c r="O6892" i="2"/>
  <c r="O6893" i="2"/>
  <c r="O6894" i="2"/>
  <c r="O6895" i="2"/>
  <c r="O6896" i="2"/>
  <c r="O6897" i="2"/>
  <c r="O6898" i="2"/>
  <c r="O6899" i="2"/>
  <c r="O6900" i="2"/>
  <c r="O6901" i="2"/>
  <c r="O6902" i="2"/>
  <c r="O6903" i="2"/>
  <c r="O6904" i="2"/>
  <c r="O6905" i="2"/>
  <c r="O6906" i="2"/>
  <c r="O6907" i="2"/>
  <c r="O6908" i="2"/>
  <c r="O6909" i="2"/>
  <c r="O6910" i="2"/>
  <c r="O6911" i="2"/>
  <c r="O6912" i="2"/>
  <c r="O6913" i="2"/>
  <c r="O6914" i="2"/>
  <c r="O6915" i="2"/>
  <c r="O6916" i="2"/>
  <c r="O6917" i="2"/>
  <c r="O6918" i="2"/>
  <c r="O6919" i="2"/>
  <c r="O6920" i="2"/>
  <c r="O6921" i="2"/>
  <c r="O6922" i="2"/>
  <c r="O6923" i="2"/>
  <c r="O6924" i="2"/>
  <c r="O6925" i="2"/>
  <c r="O6926" i="2"/>
  <c r="O6927" i="2"/>
  <c r="O6928" i="2"/>
  <c r="O6929" i="2"/>
  <c r="O6930" i="2"/>
  <c r="O6931" i="2"/>
  <c r="O6932" i="2"/>
  <c r="O6933" i="2"/>
  <c r="O6934" i="2"/>
  <c r="O6935" i="2"/>
  <c r="O6936" i="2"/>
  <c r="O6937" i="2"/>
  <c r="O6938" i="2"/>
  <c r="O6939" i="2"/>
  <c r="O6940" i="2"/>
  <c r="O6941" i="2"/>
  <c r="O6942" i="2"/>
  <c r="O6943" i="2"/>
  <c r="O6944" i="2"/>
  <c r="O6945" i="2"/>
  <c r="O6946" i="2"/>
  <c r="O6947" i="2"/>
  <c r="O6948" i="2"/>
  <c r="O6949" i="2"/>
  <c r="O6950" i="2"/>
  <c r="O6951" i="2"/>
  <c r="O6952" i="2"/>
  <c r="O6953" i="2"/>
  <c r="O6954" i="2"/>
  <c r="O6955" i="2"/>
  <c r="O6956" i="2"/>
  <c r="O6957" i="2"/>
  <c r="O6958" i="2"/>
  <c r="O6959" i="2"/>
  <c r="O6960" i="2"/>
  <c r="O6961" i="2"/>
  <c r="O6962" i="2"/>
  <c r="O6963" i="2"/>
  <c r="O6964" i="2"/>
  <c r="O6965" i="2"/>
  <c r="O6966" i="2"/>
  <c r="O6967" i="2"/>
  <c r="O6968" i="2"/>
  <c r="O6969" i="2"/>
  <c r="O6970" i="2"/>
  <c r="O6971" i="2"/>
  <c r="O6972" i="2"/>
  <c r="O6973" i="2"/>
  <c r="O6974" i="2"/>
  <c r="O6975" i="2"/>
  <c r="O6976" i="2"/>
  <c r="O6977" i="2"/>
  <c r="O6978" i="2"/>
  <c r="O6979" i="2"/>
  <c r="O6980" i="2"/>
  <c r="O6981" i="2"/>
  <c r="O6982" i="2"/>
  <c r="O6983" i="2"/>
  <c r="O6984" i="2"/>
  <c r="O6985" i="2"/>
  <c r="O6986" i="2"/>
  <c r="O6987" i="2"/>
  <c r="O6988" i="2"/>
  <c r="O6989" i="2"/>
  <c r="O6990" i="2"/>
  <c r="O6991" i="2"/>
  <c r="O6992" i="2"/>
  <c r="O6993" i="2"/>
  <c r="O6994" i="2"/>
  <c r="O6995" i="2"/>
  <c r="O6996" i="2"/>
  <c r="O6997" i="2"/>
  <c r="O6998" i="2"/>
  <c r="O6999" i="2"/>
  <c r="O7000" i="2"/>
  <c r="O7001" i="2"/>
  <c r="O7002" i="2"/>
  <c r="O7003" i="2"/>
  <c r="O7004" i="2"/>
  <c r="O7005" i="2"/>
  <c r="O7006" i="2"/>
  <c r="O7007" i="2"/>
  <c r="O7008" i="2"/>
  <c r="O7009" i="2"/>
  <c r="O7010" i="2"/>
  <c r="O7011" i="2"/>
  <c r="O7012" i="2"/>
  <c r="O7013" i="2"/>
  <c r="O7014" i="2"/>
  <c r="O7015" i="2"/>
  <c r="O7016" i="2"/>
  <c r="O7017" i="2"/>
  <c r="O7018" i="2"/>
  <c r="O7019" i="2"/>
  <c r="O7020" i="2"/>
  <c r="O7021" i="2"/>
  <c r="O7022" i="2"/>
  <c r="O7023" i="2"/>
  <c r="O7024" i="2"/>
  <c r="O7025" i="2"/>
  <c r="O7026" i="2"/>
  <c r="O7027" i="2"/>
  <c r="O7028" i="2"/>
  <c r="O7029" i="2"/>
  <c r="O7030" i="2"/>
  <c r="O7031" i="2"/>
  <c r="O7032" i="2"/>
  <c r="O7033" i="2"/>
  <c r="O7034" i="2"/>
  <c r="O7035" i="2"/>
  <c r="O7036" i="2"/>
  <c r="O7037" i="2"/>
  <c r="O7038" i="2"/>
  <c r="O7039" i="2"/>
  <c r="O7040" i="2"/>
  <c r="O7041" i="2"/>
  <c r="O7042" i="2"/>
  <c r="O7043" i="2"/>
  <c r="O7044" i="2"/>
  <c r="O7045" i="2"/>
  <c r="O7046" i="2"/>
  <c r="O7047" i="2"/>
  <c r="O7048" i="2"/>
  <c r="O7049" i="2"/>
  <c r="O7050" i="2"/>
  <c r="O7051" i="2"/>
  <c r="O7052" i="2"/>
  <c r="O7053" i="2"/>
  <c r="O7054" i="2"/>
  <c r="O7055" i="2"/>
  <c r="O7056" i="2"/>
  <c r="O7057" i="2"/>
  <c r="O7058" i="2"/>
  <c r="O7059" i="2"/>
  <c r="O7060" i="2"/>
  <c r="O7061" i="2"/>
  <c r="O7062" i="2"/>
  <c r="O7063" i="2"/>
  <c r="O7064" i="2"/>
  <c r="O7065" i="2"/>
  <c r="O7066" i="2"/>
  <c r="O7067" i="2"/>
  <c r="O7068" i="2"/>
  <c r="O7069" i="2"/>
  <c r="O7070" i="2"/>
  <c r="O7071" i="2"/>
  <c r="O7072" i="2"/>
  <c r="O7073" i="2"/>
  <c r="O7074" i="2"/>
  <c r="O7075" i="2"/>
  <c r="O7076" i="2"/>
  <c r="O7077" i="2"/>
  <c r="O7078" i="2"/>
  <c r="O7079" i="2"/>
  <c r="O7080" i="2"/>
  <c r="O7081" i="2"/>
  <c r="O7082" i="2"/>
  <c r="O7083" i="2"/>
  <c r="O7084" i="2"/>
  <c r="O7085" i="2"/>
  <c r="O7086" i="2"/>
  <c r="O7087" i="2"/>
  <c r="O7088" i="2"/>
  <c r="O7089" i="2"/>
  <c r="O7090" i="2"/>
  <c r="O7091" i="2"/>
  <c r="O7092" i="2"/>
  <c r="O7093" i="2"/>
  <c r="O7094" i="2"/>
  <c r="O7095" i="2"/>
  <c r="O7096" i="2"/>
  <c r="O7097" i="2"/>
  <c r="O7098" i="2"/>
  <c r="O7099" i="2"/>
  <c r="O7100" i="2"/>
  <c r="O7101" i="2"/>
  <c r="O7102" i="2"/>
  <c r="O7103" i="2"/>
  <c r="O7104" i="2"/>
  <c r="O7105" i="2"/>
  <c r="O7106" i="2"/>
  <c r="O7107" i="2"/>
  <c r="O7108" i="2"/>
  <c r="O7109" i="2"/>
  <c r="O7110" i="2"/>
  <c r="O7111" i="2"/>
  <c r="O7112" i="2"/>
  <c r="O7113" i="2"/>
  <c r="O7114" i="2"/>
  <c r="O7115" i="2"/>
  <c r="O7116" i="2"/>
  <c r="O7117" i="2"/>
  <c r="O7118" i="2"/>
  <c r="O7119" i="2"/>
  <c r="O7120" i="2"/>
  <c r="O7121" i="2"/>
  <c r="O7122" i="2"/>
  <c r="O7123" i="2"/>
  <c r="O7124" i="2"/>
  <c r="O7125" i="2"/>
  <c r="O7126" i="2"/>
  <c r="O7127" i="2"/>
  <c r="O7128" i="2"/>
  <c r="O7129" i="2"/>
  <c r="O7130" i="2"/>
  <c r="O7131" i="2"/>
  <c r="O7132" i="2"/>
  <c r="O7133" i="2"/>
  <c r="O7134" i="2"/>
  <c r="O7135" i="2"/>
  <c r="O7136" i="2"/>
  <c r="O7137" i="2"/>
  <c r="O7138" i="2"/>
  <c r="O7139" i="2"/>
  <c r="O7140" i="2"/>
  <c r="O7141" i="2"/>
  <c r="O7142" i="2"/>
  <c r="O7143" i="2"/>
  <c r="O7144" i="2"/>
  <c r="O7145" i="2"/>
  <c r="O7146" i="2"/>
  <c r="O7147" i="2"/>
  <c r="O7148" i="2"/>
  <c r="O7149" i="2"/>
  <c r="O7150" i="2"/>
  <c r="O7151" i="2"/>
  <c r="O7152" i="2"/>
  <c r="O7153" i="2"/>
  <c r="O7154" i="2"/>
  <c r="O7155" i="2"/>
  <c r="O7156" i="2"/>
  <c r="O7157" i="2"/>
  <c r="O7158" i="2"/>
  <c r="O7159" i="2"/>
  <c r="O7160" i="2"/>
  <c r="O7161" i="2"/>
  <c r="O7162" i="2"/>
  <c r="O7163" i="2"/>
  <c r="O7164" i="2"/>
  <c r="O7165" i="2"/>
  <c r="O7166" i="2"/>
  <c r="O7167" i="2"/>
  <c r="O7168" i="2"/>
  <c r="O7169" i="2"/>
  <c r="O7170" i="2"/>
  <c r="O7171" i="2"/>
  <c r="O7172" i="2"/>
  <c r="O7173" i="2"/>
  <c r="O7174" i="2"/>
  <c r="O7175" i="2"/>
  <c r="O7176" i="2"/>
  <c r="O7177" i="2"/>
  <c r="O7178" i="2"/>
  <c r="O7179" i="2"/>
  <c r="O7180" i="2"/>
  <c r="O7181" i="2"/>
  <c r="O7182" i="2"/>
  <c r="O7183" i="2"/>
  <c r="O7184" i="2"/>
  <c r="O7185" i="2"/>
  <c r="O7186" i="2"/>
  <c r="O7187" i="2"/>
  <c r="O7188" i="2"/>
  <c r="O7189" i="2"/>
  <c r="O7190" i="2"/>
  <c r="O7191" i="2"/>
  <c r="O7192" i="2"/>
  <c r="O7193" i="2"/>
  <c r="O7194" i="2"/>
  <c r="O7195" i="2"/>
  <c r="O7196" i="2"/>
  <c r="O7197" i="2"/>
  <c r="O7198" i="2"/>
  <c r="O7199" i="2"/>
  <c r="O7200" i="2"/>
  <c r="O7201" i="2"/>
  <c r="O7202" i="2"/>
  <c r="O7203" i="2"/>
  <c r="O7204" i="2"/>
  <c r="O7205" i="2"/>
  <c r="O7206" i="2"/>
  <c r="O7207" i="2"/>
  <c r="O7208" i="2"/>
  <c r="O7209" i="2"/>
  <c r="O7210" i="2"/>
  <c r="O7211" i="2"/>
  <c r="O7212" i="2"/>
  <c r="O7213" i="2"/>
  <c r="O7214" i="2"/>
  <c r="O7215" i="2"/>
  <c r="O7216" i="2"/>
  <c r="O7217" i="2"/>
  <c r="O7218" i="2"/>
  <c r="O7219" i="2"/>
  <c r="O7220" i="2"/>
  <c r="O7221" i="2"/>
  <c r="O7222" i="2"/>
  <c r="O7223" i="2"/>
  <c r="O7224" i="2"/>
  <c r="O7225" i="2"/>
  <c r="O7226" i="2"/>
  <c r="O7227" i="2"/>
  <c r="O7228" i="2"/>
  <c r="O7229" i="2"/>
  <c r="O7230" i="2"/>
  <c r="O7231" i="2"/>
  <c r="O7232" i="2"/>
  <c r="O7233" i="2"/>
  <c r="O7234" i="2"/>
  <c r="O7235" i="2"/>
  <c r="O7236" i="2"/>
  <c r="O7237" i="2"/>
  <c r="O7238" i="2"/>
  <c r="O7239" i="2"/>
  <c r="O7240" i="2"/>
  <c r="O7241" i="2"/>
  <c r="O7242" i="2"/>
  <c r="O7243" i="2"/>
  <c r="O7244" i="2"/>
  <c r="O7245" i="2"/>
  <c r="O7246" i="2"/>
  <c r="O7247" i="2"/>
  <c r="O7248" i="2"/>
  <c r="O7249" i="2"/>
  <c r="O7250" i="2"/>
  <c r="O7251" i="2"/>
  <c r="O7252" i="2"/>
  <c r="O7253" i="2"/>
  <c r="O7254" i="2"/>
  <c r="O7255" i="2"/>
  <c r="O7256" i="2"/>
  <c r="O7257" i="2"/>
  <c r="O7258" i="2"/>
  <c r="O7259" i="2"/>
  <c r="O7260" i="2"/>
  <c r="O7261" i="2"/>
  <c r="O7262" i="2"/>
  <c r="O7263" i="2"/>
  <c r="O7264" i="2"/>
  <c r="O7265" i="2"/>
  <c r="O7266" i="2"/>
  <c r="O7267" i="2"/>
  <c r="O7268" i="2"/>
  <c r="O7269" i="2"/>
  <c r="O7270" i="2"/>
  <c r="O7271" i="2"/>
  <c r="O7272" i="2"/>
  <c r="O7273" i="2"/>
  <c r="O7274" i="2"/>
  <c r="O7275" i="2"/>
  <c r="O7276" i="2"/>
  <c r="O7277" i="2"/>
  <c r="O7278" i="2"/>
  <c r="O7279" i="2"/>
  <c r="O7280" i="2"/>
  <c r="O7281" i="2"/>
  <c r="O7282" i="2"/>
  <c r="O7283" i="2"/>
  <c r="O7284" i="2"/>
  <c r="O7285" i="2"/>
  <c r="O7286" i="2"/>
  <c r="O7287" i="2"/>
  <c r="O7288" i="2"/>
  <c r="O7289" i="2"/>
  <c r="O7290" i="2"/>
  <c r="O7291" i="2"/>
  <c r="O7292" i="2"/>
  <c r="O7293" i="2"/>
  <c r="O7294" i="2"/>
  <c r="O7295" i="2"/>
  <c r="O7296" i="2"/>
  <c r="O7297" i="2"/>
  <c r="O7298" i="2"/>
  <c r="O7299" i="2"/>
  <c r="O7300" i="2"/>
  <c r="O7301" i="2"/>
  <c r="O7302" i="2"/>
  <c r="O7303" i="2"/>
  <c r="O7304" i="2"/>
  <c r="O7305" i="2"/>
  <c r="O7306" i="2"/>
  <c r="O7307" i="2"/>
  <c r="O7308" i="2"/>
  <c r="O7309" i="2"/>
  <c r="O7310" i="2"/>
  <c r="O7311" i="2"/>
  <c r="O7312" i="2"/>
  <c r="O7313" i="2"/>
  <c r="O7314" i="2"/>
  <c r="O7315" i="2"/>
  <c r="O7316" i="2"/>
  <c r="O7317" i="2"/>
  <c r="O7318" i="2"/>
  <c r="O7319" i="2"/>
  <c r="O7320" i="2"/>
  <c r="O7321" i="2"/>
  <c r="O7322" i="2"/>
  <c r="O7323" i="2"/>
  <c r="O7324" i="2"/>
  <c r="O7325" i="2"/>
  <c r="O7326" i="2"/>
  <c r="O7327" i="2"/>
  <c r="O7328" i="2"/>
  <c r="O7329" i="2"/>
  <c r="O7330" i="2"/>
  <c r="O7331" i="2"/>
  <c r="O7332" i="2"/>
  <c r="O7333" i="2"/>
  <c r="O7334" i="2"/>
  <c r="O7335" i="2"/>
  <c r="O7336" i="2"/>
  <c r="O7337" i="2"/>
  <c r="O7338" i="2"/>
  <c r="O7339" i="2"/>
  <c r="O7340" i="2"/>
  <c r="O7341" i="2"/>
  <c r="O7342" i="2"/>
  <c r="O7343" i="2"/>
  <c r="O7344" i="2"/>
  <c r="O7345" i="2"/>
  <c r="O7346" i="2"/>
  <c r="O7347" i="2"/>
  <c r="O7348" i="2"/>
  <c r="O7349" i="2"/>
  <c r="O7350" i="2"/>
  <c r="O7351" i="2"/>
  <c r="O7352" i="2"/>
  <c r="O7353" i="2"/>
  <c r="O7354" i="2"/>
  <c r="O7355" i="2"/>
  <c r="O7356" i="2"/>
  <c r="O7357" i="2"/>
  <c r="O7358" i="2"/>
  <c r="O7359" i="2"/>
  <c r="O7360" i="2"/>
  <c r="O7361" i="2"/>
  <c r="O7362" i="2"/>
  <c r="O7363" i="2"/>
  <c r="O7364" i="2"/>
  <c r="O7365" i="2"/>
  <c r="O7366" i="2"/>
  <c r="O7367" i="2"/>
  <c r="O7368" i="2"/>
  <c r="O7369" i="2"/>
  <c r="O7370" i="2"/>
  <c r="O7371" i="2"/>
  <c r="O7372" i="2"/>
  <c r="O7373" i="2"/>
  <c r="O7374" i="2"/>
  <c r="O7375" i="2"/>
  <c r="O7376" i="2"/>
  <c r="O7377" i="2"/>
  <c r="O7378" i="2"/>
  <c r="O7379" i="2"/>
  <c r="O7380" i="2"/>
  <c r="O7381" i="2"/>
  <c r="O7382" i="2"/>
  <c r="O7383" i="2"/>
  <c r="O7384" i="2"/>
  <c r="O7385" i="2"/>
  <c r="O7386" i="2"/>
  <c r="O7387" i="2"/>
  <c r="O7388" i="2"/>
  <c r="O7389" i="2"/>
  <c r="O7390" i="2"/>
  <c r="O7391" i="2"/>
  <c r="O7392" i="2"/>
  <c r="O7393" i="2"/>
  <c r="O7394" i="2"/>
  <c r="O7395" i="2"/>
  <c r="O7396" i="2"/>
  <c r="O7397" i="2"/>
  <c r="O7398" i="2"/>
  <c r="O7399" i="2"/>
  <c r="O7400" i="2"/>
  <c r="O7401" i="2"/>
  <c r="O7402" i="2"/>
  <c r="O7403" i="2"/>
  <c r="O7404" i="2"/>
  <c r="O7405" i="2"/>
  <c r="O7406" i="2"/>
  <c r="O7407" i="2"/>
  <c r="O7408" i="2"/>
  <c r="O7409" i="2"/>
  <c r="O7410" i="2"/>
  <c r="O7411" i="2"/>
  <c r="O7412" i="2"/>
  <c r="O7413" i="2"/>
  <c r="O7414" i="2"/>
  <c r="O7415" i="2"/>
  <c r="O7416" i="2"/>
  <c r="O7417" i="2"/>
  <c r="O7418" i="2"/>
  <c r="O7419" i="2"/>
  <c r="O7420" i="2"/>
  <c r="O7421" i="2"/>
  <c r="O7422" i="2"/>
  <c r="O7423" i="2"/>
  <c r="O7424" i="2"/>
  <c r="O7425" i="2"/>
  <c r="O7426" i="2"/>
  <c r="O7427" i="2"/>
  <c r="O7428" i="2"/>
  <c r="O7429" i="2"/>
  <c r="O7430" i="2"/>
  <c r="O7431" i="2"/>
  <c r="O7432" i="2"/>
  <c r="O7433" i="2"/>
  <c r="O7434" i="2"/>
  <c r="O7435" i="2"/>
  <c r="O7436" i="2"/>
  <c r="O7437" i="2"/>
  <c r="O7438" i="2"/>
  <c r="O7439" i="2"/>
  <c r="O7440" i="2"/>
  <c r="O7441" i="2"/>
  <c r="O7442" i="2"/>
  <c r="O7443" i="2"/>
  <c r="O7444" i="2"/>
  <c r="O7445" i="2"/>
  <c r="O7446" i="2"/>
  <c r="O7447" i="2"/>
  <c r="O7448" i="2"/>
  <c r="O7449" i="2"/>
  <c r="O7450" i="2"/>
  <c r="O7451" i="2"/>
  <c r="O7452" i="2"/>
  <c r="O7453" i="2"/>
  <c r="O7454" i="2"/>
  <c r="O7455" i="2"/>
  <c r="O7456" i="2"/>
  <c r="O7457" i="2"/>
  <c r="O7458" i="2"/>
  <c r="O7459" i="2"/>
  <c r="O7460" i="2"/>
  <c r="O7461" i="2"/>
  <c r="O7462" i="2"/>
  <c r="O7463" i="2"/>
  <c r="O7464" i="2"/>
  <c r="O7465" i="2"/>
  <c r="O7466" i="2"/>
  <c r="O7467" i="2"/>
  <c r="O7468" i="2"/>
  <c r="O7469" i="2"/>
  <c r="O7470" i="2"/>
  <c r="O7471" i="2"/>
  <c r="O7472" i="2"/>
  <c r="O7473" i="2"/>
  <c r="O7474" i="2"/>
  <c r="O7475" i="2"/>
  <c r="O7476" i="2"/>
  <c r="O7477" i="2"/>
  <c r="O7478" i="2"/>
  <c r="O7479" i="2"/>
  <c r="O7480" i="2"/>
  <c r="O7481" i="2"/>
  <c r="O7482" i="2"/>
  <c r="O7483" i="2"/>
  <c r="O7484" i="2"/>
  <c r="O7485" i="2"/>
  <c r="O7486" i="2"/>
  <c r="O7487" i="2"/>
  <c r="O7488" i="2"/>
  <c r="O7489" i="2"/>
  <c r="O7490" i="2"/>
  <c r="O7491" i="2"/>
  <c r="O7492" i="2"/>
  <c r="O7493" i="2"/>
  <c r="O7494" i="2"/>
  <c r="O7495" i="2"/>
  <c r="O7496" i="2"/>
  <c r="O7497" i="2"/>
  <c r="O7498" i="2"/>
  <c r="O7499" i="2"/>
  <c r="O7500" i="2"/>
  <c r="O7501" i="2"/>
  <c r="O7502" i="2"/>
  <c r="O7503" i="2"/>
  <c r="O7504" i="2"/>
  <c r="O7505" i="2"/>
  <c r="O7506" i="2"/>
  <c r="O7507" i="2"/>
  <c r="O7508" i="2"/>
  <c r="O7509" i="2"/>
  <c r="O7510" i="2"/>
  <c r="O7511" i="2"/>
  <c r="O7512" i="2"/>
  <c r="O7513" i="2"/>
  <c r="O7514" i="2"/>
  <c r="O7515" i="2"/>
  <c r="O7516" i="2"/>
  <c r="O7517" i="2"/>
  <c r="O7518" i="2"/>
  <c r="O7519" i="2"/>
  <c r="O7520" i="2"/>
  <c r="O7521" i="2"/>
  <c r="O7522" i="2"/>
  <c r="O7523" i="2"/>
  <c r="O7524" i="2"/>
  <c r="O7525" i="2"/>
  <c r="O7526" i="2"/>
  <c r="O7527" i="2"/>
  <c r="O7528" i="2"/>
  <c r="O7529" i="2"/>
  <c r="O7530" i="2"/>
  <c r="O7531" i="2"/>
  <c r="O7532" i="2"/>
  <c r="O7533" i="2"/>
  <c r="O7534" i="2"/>
  <c r="O7535" i="2"/>
  <c r="O7536" i="2"/>
  <c r="O7537" i="2"/>
  <c r="O7538" i="2"/>
  <c r="O7539" i="2"/>
  <c r="O7540" i="2"/>
  <c r="O7541" i="2"/>
  <c r="O7542" i="2"/>
  <c r="O7543" i="2"/>
  <c r="O7544" i="2"/>
  <c r="O7545" i="2"/>
  <c r="O7546" i="2"/>
  <c r="O7547" i="2"/>
  <c r="O7548" i="2"/>
  <c r="O7549" i="2"/>
  <c r="O7550" i="2"/>
  <c r="O7551" i="2"/>
  <c r="O7552" i="2"/>
  <c r="O7553" i="2"/>
  <c r="O7554" i="2"/>
  <c r="O7555" i="2"/>
  <c r="O7556" i="2"/>
  <c r="O7557" i="2"/>
  <c r="O7558" i="2"/>
  <c r="O7559" i="2"/>
  <c r="O7560" i="2"/>
  <c r="O7561" i="2"/>
  <c r="O7562" i="2"/>
  <c r="O7563" i="2"/>
  <c r="O7564" i="2"/>
  <c r="O7565" i="2"/>
  <c r="O7566" i="2"/>
  <c r="O7567" i="2"/>
  <c r="O7568" i="2"/>
  <c r="O7569" i="2"/>
  <c r="O7570" i="2"/>
  <c r="O7571" i="2"/>
  <c r="O7572" i="2"/>
  <c r="O7573" i="2"/>
  <c r="O7574" i="2"/>
  <c r="O7575" i="2"/>
  <c r="O7576" i="2"/>
  <c r="O7577" i="2"/>
  <c r="O7578" i="2"/>
  <c r="O7579" i="2"/>
  <c r="O7580" i="2"/>
  <c r="O7581" i="2"/>
  <c r="O7582" i="2"/>
  <c r="O7583" i="2"/>
  <c r="O7584" i="2"/>
  <c r="O7585" i="2"/>
  <c r="O7586" i="2"/>
  <c r="O7587" i="2"/>
  <c r="O7588" i="2"/>
  <c r="O7589" i="2"/>
  <c r="O7590" i="2"/>
  <c r="O7591" i="2"/>
  <c r="O7592" i="2"/>
  <c r="O7593" i="2"/>
  <c r="O7594" i="2"/>
  <c r="O7595" i="2"/>
  <c r="O7596" i="2"/>
  <c r="O7597" i="2"/>
  <c r="O7598" i="2"/>
  <c r="O7599" i="2"/>
  <c r="O7600" i="2"/>
  <c r="O7601" i="2"/>
  <c r="O7602" i="2"/>
  <c r="O7603" i="2"/>
  <c r="O7604" i="2"/>
  <c r="O7605" i="2"/>
  <c r="O7606" i="2"/>
  <c r="O7607" i="2"/>
  <c r="O7608" i="2"/>
  <c r="O7609" i="2"/>
  <c r="O7610" i="2"/>
  <c r="O7611" i="2"/>
  <c r="O7612" i="2"/>
  <c r="O7613" i="2"/>
  <c r="O7614" i="2"/>
  <c r="O7615" i="2"/>
  <c r="O7616" i="2"/>
  <c r="O7617" i="2"/>
  <c r="O7618" i="2"/>
  <c r="O7619" i="2"/>
  <c r="O7620" i="2"/>
  <c r="O7621" i="2"/>
  <c r="O7622" i="2"/>
  <c r="O7623" i="2"/>
  <c r="O7624" i="2"/>
  <c r="O7625" i="2"/>
  <c r="O7626" i="2"/>
  <c r="O7627" i="2"/>
  <c r="O7628" i="2"/>
  <c r="O7629" i="2"/>
  <c r="O7630" i="2"/>
  <c r="O7631" i="2"/>
  <c r="O7632" i="2"/>
  <c r="O7633" i="2"/>
  <c r="O7634" i="2"/>
  <c r="O7635" i="2"/>
  <c r="O7636" i="2"/>
  <c r="O7637" i="2"/>
  <c r="O7638" i="2"/>
  <c r="O7639" i="2"/>
  <c r="O7640" i="2"/>
  <c r="O7641" i="2"/>
  <c r="O7642" i="2"/>
  <c r="O7643" i="2"/>
  <c r="O7644" i="2"/>
  <c r="O7645" i="2"/>
  <c r="O7646" i="2"/>
  <c r="O7647" i="2"/>
  <c r="O7648" i="2"/>
  <c r="O7649" i="2"/>
  <c r="O7650" i="2"/>
  <c r="O7651" i="2"/>
  <c r="O7652" i="2"/>
  <c r="O7653" i="2"/>
  <c r="O7654" i="2"/>
  <c r="O7655" i="2"/>
  <c r="O7656" i="2"/>
  <c r="O7657" i="2"/>
  <c r="O7658" i="2"/>
  <c r="O7659" i="2"/>
  <c r="O7660" i="2"/>
  <c r="O7661" i="2"/>
  <c r="O7662" i="2"/>
  <c r="O7663" i="2"/>
  <c r="O7664" i="2"/>
  <c r="O7665" i="2"/>
  <c r="O7666" i="2"/>
  <c r="O7667" i="2"/>
  <c r="O7668" i="2"/>
  <c r="O7669" i="2"/>
  <c r="O7670" i="2"/>
  <c r="O7671" i="2"/>
  <c r="O7672" i="2"/>
  <c r="O7673" i="2"/>
  <c r="O7674" i="2"/>
  <c r="O7675" i="2"/>
  <c r="O7676" i="2"/>
  <c r="O7677" i="2"/>
  <c r="O7678" i="2"/>
  <c r="O7679" i="2"/>
  <c r="O7680" i="2"/>
  <c r="O7681" i="2"/>
  <c r="O7682" i="2"/>
  <c r="O7683" i="2"/>
  <c r="O7684" i="2"/>
  <c r="O7685" i="2"/>
  <c r="O7686" i="2"/>
  <c r="O7687" i="2"/>
  <c r="O7688" i="2"/>
  <c r="O7689" i="2"/>
  <c r="O7690" i="2"/>
  <c r="O7691" i="2"/>
  <c r="O7692" i="2"/>
  <c r="O7693" i="2"/>
  <c r="O7694" i="2"/>
  <c r="O7695" i="2"/>
  <c r="O7696" i="2"/>
  <c r="O7697" i="2"/>
  <c r="O7698" i="2"/>
  <c r="O7699" i="2"/>
  <c r="O7700" i="2"/>
  <c r="O7701" i="2"/>
  <c r="O7702" i="2"/>
  <c r="O7703" i="2"/>
  <c r="O7704" i="2"/>
  <c r="O7705" i="2"/>
  <c r="O7706" i="2"/>
  <c r="O7707" i="2"/>
  <c r="O7708" i="2"/>
  <c r="O7709" i="2"/>
  <c r="O7710" i="2"/>
  <c r="O7711" i="2"/>
  <c r="O7712" i="2"/>
  <c r="O7713" i="2"/>
  <c r="O7714" i="2"/>
  <c r="O7715" i="2"/>
  <c r="O7716" i="2"/>
  <c r="O7717" i="2"/>
  <c r="O7718" i="2"/>
  <c r="O7719" i="2"/>
  <c r="O7720" i="2"/>
  <c r="O7721" i="2"/>
  <c r="O7722" i="2"/>
  <c r="O7723" i="2"/>
  <c r="O7724" i="2"/>
  <c r="O7725" i="2"/>
  <c r="O7726" i="2"/>
  <c r="O7727" i="2"/>
  <c r="O7728" i="2"/>
  <c r="O7729" i="2"/>
  <c r="O7730" i="2"/>
  <c r="O7731" i="2"/>
  <c r="O7732" i="2"/>
  <c r="O7733" i="2"/>
  <c r="O7734" i="2"/>
  <c r="O7735" i="2"/>
  <c r="O7736" i="2"/>
  <c r="O7737" i="2"/>
  <c r="O7738" i="2"/>
  <c r="O7739" i="2"/>
  <c r="O7740" i="2"/>
  <c r="O7741" i="2"/>
  <c r="O7742" i="2"/>
  <c r="O7743" i="2"/>
  <c r="O7744" i="2"/>
  <c r="O7745" i="2"/>
  <c r="O7746" i="2"/>
  <c r="O7747" i="2"/>
  <c r="O7748" i="2"/>
  <c r="O7749" i="2"/>
  <c r="O7750" i="2"/>
  <c r="O7751" i="2"/>
  <c r="O7752" i="2"/>
  <c r="O7753" i="2"/>
  <c r="O7754" i="2"/>
  <c r="O7755" i="2"/>
  <c r="O7756" i="2"/>
  <c r="O7757" i="2"/>
  <c r="O7758" i="2"/>
  <c r="O7759" i="2"/>
  <c r="O7760" i="2"/>
  <c r="O7761" i="2"/>
  <c r="O7762" i="2"/>
  <c r="O7763" i="2"/>
  <c r="O7764" i="2"/>
  <c r="O7765" i="2"/>
  <c r="O7766" i="2"/>
  <c r="O7767" i="2"/>
  <c r="O7768" i="2"/>
  <c r="O7769" i="2"/>
  <c r="O7770" i="2"/>
  <c r="O7771" i="2"/>
  <c r="O7772" i="2"/>
  <c r="O7773" i="2"/>
  <c r="O7774" i="2"/>
  <c r="O7775" i="2"/>
  <c r="O7776" i="2"/>
  <c r="O7777" i="2"/>
  <c r="O7778" i="2"/>
  <c r="O7779" i="2"/>
  <c r="O7780" i="2"/>
  <c r="O7781" i="2"/>
  <c r="O7782" i="2"/>
  <c r="O7783" i="2"/>
  <c r="O7784" i="2"/>
  <c r="O7785" i="2"/>
  <c r="O7786" i="2"/>
  <c r="O7787" i="2"/>
  <c r="O7788" i="2"/>
  <c r="O7789" i="2"/>
  <c r="O7790" i="2"/>
  <c r="O7791" i="2"/>
  <c r="O7792" i="2"/>
  <c r="O7793" i="2"/>
  <c r="O7794" i="2"/>
  <c r="O7795" i="2"/>
  <c r="O7796" i="2"/>
  <c r="O7797" i="2"/>
  <c r="O7798" i="2"/>
  <c r="O7799" i="2"/>
  <c r="O7800" i="2"/>
  <c r="O7801" i="2"/>
  <c r="O7802" i="2"/>
  <c r="O7803" i="2"/>
  <c r="O7804" i="2"/>
  <c r="O7805" i="2"/>
  <c r="O7806" i="2"/>
  <c r="O7807" i="2"/>
  <c r="O7808" i="2"/>
  <c r="O7809" i="2"/>
  <c r="O7810" i="2"/>
  <c r="O7811" i="2"/>
  <c r="O7812" i="2"/>
  <c r="O7813" i="2"/>
  <c r="O7814" i="2"/>
  <c r="O7815" i="2"/>
  <c r="O7816" i="2"/>
  <c r="O7817" i="2"/>
  <c r="O7818" i="2"/>
  <c r="O7819" i="2"/>
  <c r="O7820" i="2"/>
  <c r="O7821" i="2"/>
  <c r="O7822" i="2"/>
  <c r="O7823" i="2"/>
  <c r="O7824" i="2"/>
  <c r="O7825" i="2"/>
  <c r="O7826" i="2"/>
  <c r="O7827" i="2"/>
  <c r="O7828" i="2"/>
  <c r="O7829" i="2"/>
  <c r="O7830" i="2"/>
  <c r="O7831" i="2"/>
  <c r="O7832" i="2"/>
  <c r="O7833" i="2"/>
  <c r="O7834" i="2"/>
  <c r="O7835" i="2"/>
  <c r="O7836" i="2"/>
  <c r="O7837" i="2"/>
  <c r="O7838" i="2"/>
  <c r="O7839" i="2"/>
  <c r="O7840" i="2"/>
  <c r="O7841" i="2"/>
  <c r="O7842" i="2"/>
  <c r="O7843" i="2"/>
  <c r="O7844" i="2"/>
  <c r="O7845" i="2"/>
  <c r="O7846" i="2"/>
  <c r="O7847" i="2"/>
  <c r="O7848" i="2"/>
  <c r="O7849" i="2"/>
  <c r="O7850" i="2"/>
  <c r="O7851" i="2"/>
  <c r="O7852" i="2"/>
  <c r="O7853" i="2"/>
  <c r="O7854" i="2"/>
  <c r="O7855" i="2"/>
  <c r="O7856" i="2"/>
  <c r="O7857" i="2"/>
  <c r="O7858" i="2"/>
  <c r="O7859" i="2"/>
  <c r="O7860" i="2"/>
  <c r="O7861" i="2"/>
  <c r="O7862" i="2"/>
  <c r="O7863" i="2"/>
  <c r="O7864" i="2"/>
  <c r="O7865" i="2"/>
  <c r="O7866" i="2"/>
  <c r="O7867" i="2"/>
  <c r="O7868" i="2"/>
  <c r="O7869" i="2"/>
  <c r="O7870" i="2"/>
  <c r="O7871" i="2"/>
  <c r="O7872" i="2"/>
  <c r="O7873" i="2"/>
  <c r="O7874" i="2"/>
  <c r="O7875" i="2"/>
  <c r="O7876" i="2"/>
  <c r="O7877" i="2"/>
  <c r="O7878" i="2"/>
  <c r="O7879" i="2"/>
  <c r="O7880" i="2"/>
  <c r="O7881" i="2"/>
  <c r="O7882" i="2"/>
  <c r="O7883" i="2"/>
  <c r="O7884" i="2"/>
  <c r="O7885" i="2"/>
  <c r="O7886" i="2"/>
  <c r="O7887" i="2"/>
  <c r="O7888" i="2"/>
  <c r="O7889" i="2"/>
  <c r="O7890" i="2"/>
  <c r="O7891" i="2"/>
  <c r="O7892" i="2"/>
  <c r="O7893" i="2"/>
  <c r="O7894" i="2"/>
  <c r="O7895" i="2"/>
  <c r="O7896" i="2"/>
  <c r="O7897" i="2"/>
  <c r="O7898" i="2"/>
  <c r="O7899" i="2"/>
  <c r="O7900" i="2"/>
  <c r="O7901" i="2"/>
  <c r="O7902" i="2"/>
  <c r="O7903" i="2"/>
  <c r="O7904" i="2"/>
  <c r="O7905" i="2"/>
  <c r="O7906" i="2"/>
  <c r="O7907" i="2"/>
  <c r="O7908" i="2"/>
  <c r="O7909" i="2"/>
  <c r="O7910" i="2"/>
  <c r="O7911" i="2"/>
  <c r="O7912" i="2"/>
  <c r="O7913" i="2"/>
  <c r="O7914" i="2"/>
  <c r="O7915" i="2"/>
  <c r="O7916" i="2"/>
  <c r="O7917" i="2"/>
  <c r="O7918" i="2"/>
  <c r="O7919" i="2"/>
  <c r="O7920" i="2"/>
  <c r="O7921" i="2"/>
  <c r="O7922" i="2"/>
  <c r="O7923" i="2"/>
  <c r="O7924" i="2"/>
  <c r="O7925" i="2"/>
  <c r="O7926" i="2"/>
  <c r="O7927" i="2"/>
  <c r="O7928" i="2"/>
  <c r="O7929" i="2"/>
  <c r="O7930" i="2"/>
  <c r="O7931" i="2"/>
  <c r="O7932" i="2"/>
  <c r="O7933" i="2"/>
  <c r="O7934" i="2"/>
  <c r="O7935" i="2"/>
  <c r="O7936" i="2"/>
  <c r="O7937" i="2"/>
  <c r="O7938" i="2"/>
  <c r="O7939" i="2"/>
  <c r="O7940" i="2"/>
  <c r="O7941" i="2"/>
  <c r="O7942" i="2"/>
  <c r="O7943" i="2"/>
  <c r="O7944" i="2"/>
  <c r="O7945" i="2"/>
  <c r="O7946" i="2"/>
  <c r="O7947" i="2"/>
  <c r="O7948" i="2"/>
  <c r="O7949" i="2"/>
  <c r="O7950" i="2"/>
  <c r="O7951" i="2"/>
  <c r="O7952" i="2"/>
  <c r="O7953" i="2"/>
  <c r="O7954" i="2"/>
  <c r="O7955" i="2"/>
  <c r="O7956" i="2"/>
  <c r="O7957" i="2"/>
  <c r="O7958" i="2"/>
  <c r="O7959" i="2"/>
  <c r="O7960" i="2"/>
  <c r="O7961" i="2"/>
  <c r="O7962" i="2"/>
  <c r="O7963" i="2"/>
  <c r="O7964" i="2"/>
  <c r="O7965" i="2"/>
  <c r="O7966" i="2"/>
  <c r="O7967" i="2"/>
  <c r="O7968" i="2"/>
  <c r="O7969" i="2"/>
  <c r="O7970" i="2"/>
  <c r="O7971" i="2"/>
  <c r="O7972" i="2"/>
  <c r="O7973" i="2"/>
  <c r="O7974" i="2"/>
  <c r="O7975" i="2"/>
  <c r="O7976" i="2"/>
  <c r="O7977" i="2"/>
  <c r="O7978" i="2"/>
  <c r="O7979" i="2"/>
  <c r="O7980" i="2"/>
  <c r="O7981" i="2"/>
  <c r="O7982" i="2"/>
  <c r="O7983" i="2"/>
  <c r="O7984" i="2"/>
  <c r="O7985" i="2"/>
  <c r="O7986" i="2"/>
  <c r="O7987" i="2"/>
  <c r="O7988" i="2"/>
  <c r="O7989" i="2"/>
  <c r="O7990" i="2"/>
  <c r="O7991" i="2"/>
  <c r="O7992" i="2"/>
  <c r="O7993" i="2"/>
  <c r="O7994" i="2"/>
  <c r="O7995" i="2"/>
  <c r="O7996" i="2"/>
  <c r="O7997" i="2"/>
  <c r="O7998" i="2"/>
  <c r="O7999" i="2"/>
  <c r="O8000" i="2"/>
  <c r="O8001" i="2"/>
  <c r="O8002" i="2"/>
  <c r="O8003" i="2"/>
  <c r="O8004" i="2"/>
  <c r="O8005" i="2"/>
  <c r="O8006" i="2"/>
  <c r="O8007" i="2"/>
  <c r="O8008" i="2"/>
  <c r="O8009" i="2"/>
  <c r="O8010" i="2"/>
  <c r="O8011" i="2"/>
  <c r="O8012" i="2"/>
  <c r="O8013" i="2"/>
  <c r="O8014" i="2"/>
  <c r="O8015" i="2"/>
  <c r="O8016" i="2"/>
  <c r="O8017" i="2"/>
  <c r="O8018" i="2"/>
  <c r="O8019" i="2"/>
  <c r="O8020" i="2"/>
  <c r="O8021" i="2"/>
  <c r="O8022" i="2"/>
  <c r="O8023" i="2"/>
  <c r="O8024" i="2"/>
  <c r="O8025" i="2"/>
  <c r="O8026" i="2"/>
  <c r="O8027" i="2"/>
  <c r="O8028" i="2"/>
  <c r="O8029" i="2"/>
  <c r="O8030" i="2"/>
  <c r="O8031" i="2"/>
  <c r="O8032" i="2"/>
  <c r="O8033" i="2"/>
  <c r="O8034" i="2"/>
  <c r="O8035" i="2"/>
  <c r="O8036" i="2"/>
  <c r="O8037" i="2"/>
  <c r="O8038" i="2"/>
  <c r="O8039" i="2"/>
  <c r="O8040" i="2"/>
  <c r="O8041" i="2"/>
  <c r="O8042" i="2"/>
  <c r="O8043" i="2"/>
  <c r="O8044" i="2"/>
  <c r="O8045" i="2"/>
  <c r="O8046" i="2"/>
  <c r="O8047" i="2"/>
  <c r="O8048" i="2"/>
  <c r="O8049" i="2"/>
  <c r="O8050" i="2"/>
  <c r="O8051" i="2"/>
  <c r="O8052" i="2"/>
  <c r="O8053" i="2"/>
  <c r="O8054" i="2"/>
  <c r="O8055" i="2"/>
  <c r="O8056" i="2"/>
  <c r="O8057" i="2"/>
  <c r="O8058" i="2"/>
  <c r="O8059" i="2"/>
  <c r="O8060" i="2"/>
  <c r="O8061" i="2"/>
  <c r="O8062" i="2"/>
  <c r="O8063" i="2"/>
  <c r="O8064" i="2"/>
  <c r="O8065" i="2"/>
  <c r="O8066" i="2"/>
  <c r="O8067" i="2"/>
  <c r="O8068" i="2"/>
  <c r="O8069" i="2"/>
  <c r="O8070" i="2"/>
  <c r="O8071" i="2"/>
  <c r="O8072" i="2"/>
  <c r="O8073" i="2"/>
  <c r="O8074" i="2"/>
  <c r="O8075" i="2"/>
  <c r="O8076" i="2"/>
  <c r="O8077" i="2"/>
  <c r="O8078" i="2"/>
  <c r="O8079" i="2"/>
  <c r="O8080" i="2"/>
  <c r="O8081" i="2"/>
  <c r="O8082" i="2"/>
  <c r="O8083" i="2"/>
  <c r="O8084" i="2"/>
  <c r="O8085" i="2"/>
  <c r="O8086" i="2"/>
  <c r="O8087" i="2"/>
  <c r="O8088" i="2"/>
  <c r="O8089" i="2"/>
  <c r="O8090" i="2"/>
  <c r="O8091" i="2"/>
  <c r="O8092" i="2"/>
  <c r="O8093" i="2"/>
  <c r="O8094" i="2"/>
  <c r="O8095" i="2"/>
  <c r="O8096" i="2"/>
  <c r="O8097" i="2"/>
  <c r="O8098" i="2"/>
  <c r="O8099" i="2"/>
  <c r="O8100" i="2"/>
  <c r="O8101" i="2"/>
  <c r="O8102" i="2"/>
  <c r="O8103" i="2"/>
  <c r="O8104" i="2"/>
  <c r="O8105" i="2"/>
  <c r="O8106" i="2"/>
  <c r="O8107" i="2"/>
  <c r="O8108" i="2"/>
  <c r="O8109" i="2"/>
  <c r="O8110" i="2"/>
  <c r="O8111" i="2"/>
  <c r="O8112" i="2"/>
  <c r="O8113" i="2"/>
  <c r="O8114" i="2"/>
  <c r="O8115" i="2"/>
  <c r="O8116" i="2"/>
  <c r="O8117" i="2"/>
  <c r="O8118" i="2"/>
  <c r="O8119" i="2"/>
  <c r="O8120" i="2"/>
  <c r="O8121" i="2"/>
  <c r="O8122" i="2"/>
  <c r="O8123" i="2"/>
  <c r="O8124" i="2"/>
  <c r="O8125" i="2"/>
  <c r="O8126" i="2"/>
  <c r="O8127" i="2"/>
  <c r="O8128" i="2"/>
  <c r="O8129" i="2"/>
  <c r="O8130" i="2"/>
  <c r="O8131" i="2"/>
  <c r="O8132" i="2"/>
  <c r="O8133" i="2"/>
  <c r="O8134" i="2"/>
  <c r="O8135" i="2"/>
  <c r="O8136" i="2"/>
  <c r="O8137" i="2"/>
  <c r="O8138" i="2"/>
  <c r="O8139" i="2"/>
  <c r="O8140" i="2"/>
  <c r="O8141" i="2"/>
  <c r="O8142" i="2"/>
  <c r="O8143" i="2"/>
  <c r="O8144" i="2"/>
  <c r="O8145" i="2"/>
  <c r="O8146" i="2"/>
  <c r="O8147" i="2"/>
  <c r="O8148" i="2"/>
  <c r="O8149" i="2"/>
  <c r="O8150" i="2"/>
  <c r="O8151" i="2"/>
  <c r="O8152" i="2"/>
  <c r="O8153" i="2"/>
  <c r="O8154" i="2"/>
  <c r="O8155" i="2"/>
  <c r="O8156" i="2"/>
  <c r="O8157" i="2"/>
  <c r="O8158" i="2"/>
  <c r="O8159" i="2"/>
  <c r="O8160" i="2"/>
  <c r="O8161" i="2"/>
  <c r="O8162" i="2"/>
  <c r="O8163" i="2"/>
  <c r="O8164" i="2"/>
  <c r="O8165" i="2"/>
  <c r="O8166" i="2"/>
  <c r="O8167" i="2"/>
  <c r="O8168" i="2"/>
  <c r="O8169" i="2"/>
  <c r="O8170" i="2"/>
  <c r="O8171" i="2"/>
  <c r="O8172" i="2"/>
  <c r="O8173" i="2"/>
  <c r="O8174" i="2"/>
  <c r="O8175" i="2"/>
  <c r="O8176" i="2"/>
  <c r="O8177" i="2"/>
  <c r="O8178" i="2"/>
  <c r="O8179" i="2"/>
  <c r="O8180" i="2"/>
  <c r="O8181" i="2"/>
  <c r="O8182" i="2"/>
  <c r="O8183" i="2"/>
  <c r="O8184" i="2"/>
  <c r="O8185" i="2"/>
  <c r="O8186" i="2"/>
  <c r="O8187" i="2"/>
  <c r="O8188" i="2"/>
  <c r="O8189" i="2"/>
  <c r="O8190" i="2"/>
  <c r="O8191" i="2"/>
  <c r="O8192" i="2"/>
  <c r="O8193" i="2"/>
  <c r="O8194" i="2"/>
  <c r="O8195" i="2"/>
  <c r="O8196" i="2"/>
  <c r="O8197" i="2"/>
  <c r="O8198" i="2"/>
  <c r="O8199" i="2"/>
  <c r="O8200" i="2"/>
  <c r="O8201" i="2"/>
  <c r="O8202" i="2"/>
  <c r="O8203" i="2"/>
  <c r="O8204" i="2"/>
  <c r="O8205" i="2"/>
  <c r="O8206" i="2"/>
  <c r="O8207" i="2"/>
  <c r="O8208" i="2"/>
  <c r="O8209" i="2"/>
  <c r="O8210" i="2"/>
  <c r="O8211" i="2"/>
  <c r="O8212" i="2"/>
  <c r="O8213" i="2"/>
  <c r="O8214" i="2"/>
  <c r="O8215" i="2"/>
  <c r="O8216" i="2"/>
  <c r="O8217" i="2"/>
  <c r="O8218" i="2"/>
  <c r="O8219" i="2"/>
  <c r="O8220" i="2"/>
  <c r="O8221" i="2"/>
  <c r="O8222" i="2"/>
  <c r="O8223" i="2"/>
  <c r="O8224" i="2"/>
  <c r="O8225" i="2"/>
  <c r="O8226" i="2"/>
  <c r="O8227" i="2"/>
  <c r="O8228" i="2"/>
  <c r="O8229" i="2"/>
  <c r="O8230" i="2"/>
  <c r="O8231" i="2"/>
  <c r="O8232" i="2"/>
  <c r="O8233" i="2"/>
  <c r="O8234" i="2"/>
  <c r="O8235" i="2"/>
  <c r="O8236" i="2"/>
  <c r="O8237" i="2"/>
  <c r="O8238" i="2"/>
  <c r="O8239" i="2"/>
  <c r="O8240" i="2"/>
  <c r="O8241" i="2"/>
  <c r="O8242" i="2"/>
  <c r="O8243" i="2"/>
  <c r="O8244" i="2"/>
  <c r="O8245" i="2"/>
  <c r="O8246" i="2"/>
  <c r="O8247" i="2"/>
  <c r="O8248" i="2"/>
  <c r="O8249" i="2"/>
  <c r="O8250" i="2"/>
  <c r="O8251" i="2"/>
  <c r="O8252" i="2"/>
  <c r="O8253" i="2"/>
  <c r="O8254" i="2"/>
  <c r="O8255" i="2"/>
  <c r="O8256" i="2"/>
  <c r="O8257" i="2"/>
  <c r="O8258" i="2"/>
  <c r="O8259" i="2"/>
  <c r="O8260" i="2"/>
  <c r="O8261" i="2"/>
  <c r="O8262" i="2"/>
  <c r="O8263" i="2"/>
  <c r="O8264" i="2"/>
  <c r="O8265" i="2"/>
  <c r="O8266" i="2"/>
  <c r="O8267" i="2"/>
  <c r="O8268" i="2"/>
  <c r="O8269" i="2"/>
  <c r="O8270" i="2"/>
  <c r="O8271" i="2"/>
  <c r="O8272" i="2"/>
  <c r="O8273" i="2"/>
  <c r="O8274" i="2"/>
  <c r="O8275" i="2"/>
  <c r="O8276" i="2"/>
  <c r="O8277" i="2"/>
  <c r="O8278" i="2"/>
  <c r="O8279" i="2"/>
  <c r="O8280" i="2"/>
  <c r="O8281" i="2"/>
  <c r="O8282" i="2"/>
  <c r="O8283" i="2"/>
  <c r="O8284" i="2"/>
  <c r="O8285" i="2"/>
  <c r="O8286" i="2"/>
  <c r="O8287" i="2"/>
  <c r="O8288" i="2"/>
  <c r="O8289" i="2"/>
  <c r="O8290" i="2"/>
  <c r="O8291" i="2"/>
  <c r="O8292" i="2"/>
  <c r="O8293" i="2"/>
  <c r="O8294" i="2"/>
  <c r="O8295" i="2"/>
  <c r="O8296" i="2"/>
  <c r="O8297" i="2"/>
  <c r="O8298" i="2"/>
  <c r="O8299" i="2"/>
  <c r="O8300" i="2"/>
  <c r="O8301" i="2"/>
  <c r="O8302" i="2"/>
  <c r="O8303" i="2"/>
  <c r="O8304" i="2"/>
  <c r="O8305" i="2"/>
  <c r="O8306" i="2"/>
  <c r="O8307" i="2"/>
  <c r="O8308" i="2"/>
  <c r="O8309" i="2"/>
  <c r="O8310" i="2"/>
  <c r="O8311" i="2"/>
  <c r="O8312" i="2"/>
  <c r="O8313" i="2"/>
  <c r="O8314" i="2"/>
  <c r="O8315" i="2"/>
  <c r="O8316" i="2"/>
  <c r="O8317" i="2"/>
  <c r="O8318" i="2"/>
  <c r="O8319" i="2"/>
  <c r="O8320" i="2"/>
  <c r="O8321" i="2"/>
  <c r="O8322" i="2"/>
  <c r="O8323" i="2"/>
  <c r="O8324" i="2"/>
  <c r="O8325" i="2"/>
  <c r="O8326" i="2"/>
  <c r="O8327" i="2"/>
  <c r="O8328" i="2"/>
  <c r="O8329" i="2"/>
  <c r="O8330" i="2"/>
  <c r="O8331" i="2"/>
  <c r="O8332" i="2"/>
  <c r="O8333" i="2"/>
  <c r="O8334" i="2"/>
  <c r="O8335" i="2"/>
  <c r="O8336" i="2"/>
  <c r="O8337" i="2"/>
  <c r="O8338" i="2"/>
  <c r="O8339" i="2"/>
  <c r="O8340" i="2"/>
  <c r="O8341" i="2"/>
  <c r="O8342" i="2"/>
  <c r="O8343" i="2"/>
  <c r="O8344" i="2"/>
  <c r="O8345" i="2"/>
  <c r="O8346" i="2"/>
  <c r="O8347" i="2"/>
  <c r="O8348" i="2"/>
  <c r="O8349" i="2"/>
  <c r="O8350" i="2"/>
  <c r="O8351" i="2"/>
  <c r="O8352" i="2"/>
  <c r="O8353" i="2"/>
  <c r="O8354" i="2"/>
  <c r="O8355" i="2"/>
  <c r="O8356" i="2"/>
  <c r="O8357" i="2"/>
  <c r="O8358" i="2"/>
  <c r="O8359" i="2"/>
  <c r="O8360" i="2"/>
  <c r="O8361" i="2"/>
  <c r="O8362" i="2"/>
  <c r="O8363" i="2"/>
  <c r="O8364" i="2"/>
  <c r="O8365" i="2"/>
  <c r="O8366" i="2"/>
  <c r="O8367" i="2"/>
  <c r="O8368" i="2"/>
  <c r="O8369" i="2"/>
  <c r="O8370" i="2"/>
  <c r="O8371" i="2"/>
  <c r="O8372" i="2"/>
  <c r="O8373" i="2"/>
  <c r="O8374" i="2"/>
  <c r="O8375" i="2"/>
  <c r="O8376" i="2"/>
  <c r="O8377" i="2"/>
  <c r="O8378" i="2"/>
  <c r="O8379" i="2"/>
  <c r="O8380" i="2"/>
  <c r="O8381" i="2"/>
  <c r="O8382" i="2"/>
  <c r="O8383" i="2"/>
  <c r="O8384" i="2"/>
  <c r="O8385" i="2"/>
  <c r="O8386" i="2"/>
  <c r="O8387" i="2"/>
  <c r="O8388" i="2"/>
  <c r="O8389" i="2"/>
  <c r="O8390" i="2"/>
  <c r="O8391" i="2"/>
  <c r="O8392" i="2"/>
  <c r="O8393" i="2"/>
  <c r="O8394" i="2"/>
  <c r="O8395" i="2"/>
  <c r="O8396" i="2"/>
  <c r="O8397" i="2"/>
  <c r="O8398" i="2"/>
  <c r="O8399" i="2"/>
  <c r="O8400" i="2"/>
  <c r="O8401" i="2"/>
  <c r="O8402" i="2"/>
  <c r="O8403" i="2"/>
  <c r="O8404" i="2"/>
  <c r="O8405" i="2"/>
  <c r="O8406" i="2"/>
  <c r="O8407" i="2"/>
  <c r="O8408" i="2"/>
  <c r="O8409" i="2"/>
  <c r="O8410" i="2"/>
  <c r="O8411" i="2"/>
  <c r="O8412" i="2"/>
  <c r="O8413" i="2"/>
  <c r="O8414" i="2"/>
  <c r="O8415" i="2"/>
  <c r="O8416" i="2"/>
  <c r="O8417" i="2"/>
  <c r="O8418" i="2"/>
  <c r="O8419" i="2"/>
  <c r="O8420" i="2"/>
  <c r="O8421" i="2"/>
  <c r="O8422" i="2"/>
  <c r="O8423" i="2"/>
  <c r="O8424" i="2"/>
  <c r="O8425" i="2"/>
  <c r="O8426" i="2"/>
  <c r="O8427" i="2"/>
  <c r="O8428" i="2"/>
  <c r="O8429" i="2"/>
  <c r="O8430" i="2"/>
  <c r="O8431" i="2"/>
  <c r="O8432" i="2"/>
  <c r="O8433" i="2"/>
  <c r="O8434" i="2"/>
  <c r="O8435" i="2"/>
  <c r="O8436" i="2"/>
  <c r="O8437" i="2"/>
  <c r="O8438" i="2"/>
  <c r="O8439" i="2"/>
  <c r="O8440" i="2"/>
  <c r="O8441" i="2"/>
  <c r="O8442" i="2"/>
  <c r="O8443" i="2"/>
  <c r="O8444" i="2"/>
  <c r="O8445" i="2"/>
  <c r="O8446" i="2"/>
  <c r="O8447" i="2"/>
  <c r="O8448" i="2"/>
  <c r="O8449" i="2"/>
  <c r="O8450" i="2"/>
  <c r="O8451" i="2"/>
  <c r="O8452" i="2"/>
  <c r="O8453" i="2"/>
  <c r="O8454" i="2"/>
  <c r="O8455" i="2"/>
  <c r="O8456" i="2"/>
  <c r="O8457" i="2"/>
  <c r="O8458" i="2"/>
  <c r="O8459" i="2"/>
  <c r="O8460" i="2"/>
  <c r="O8461" i="2"/>
  <c r="O8462" i="2"/>
  <c r="O8463" i="2"/>
  <c r="O8464" i="2"/>
  <c r="O8465" i="2"/>
  <c r="O8466" i="2"/>
  <c r="O8467" i="2"/>
  <c r="O8468" i="2"/>
  <c r="O8469" i="2"/>
  <c r="O8470" i="2"/>
  <c r="O8471" i="2"/>
  <c r="O8472" i="2"/>
  <c r="O8473" i="2"/>
  <c r="O8474" i="2"/>
  <c r="O8475" i="2"/>
  <c r="O8476" i="2"/>
  <c r="O8477" i="2"/>
  <c r="O8478" i="2"/>
  <c r="O8479" i="2"/>
  <c r="O8480" i="2"/>
  <c r="O8481" i="2"/>
  <c r="O8482" i="2"/>
  <c r="O8483" i="2"/>
  <c r="O8484" i="2"/>
  <c r="O8485" i="2"/>
  <c r="O8486" i="2"/>
  <c r="O8487" i="2"/>
  <c r="O8488" i="2"/>
  <c r="O8489" i="2"/>
  <c r="O8490" i="2"/>
  <c r="O8491" i="2"/>
  <c r="O8492" i="2"/>
  <c r="O8493" i="2"/>
  <c r="O8494" i="2"/>
  <c r="O8495" i="2"/>
  <c r="O8496" i="2"/>
  <c r="O8497" i="2"/>
  <c r="O8498" i="2"/>
  <c r="O8499" i="2"/>
  <c r="O8500" i="2"/>
  <c r="O8501" i="2"/>
  <c r="O8502" i="2"/>
  <c r="O8503" i="2"/>
  <c r="O8504" i="2"/>
  <c r="O8505" i="2"/>
  <c r="O8506" i="2"/>
  <c r="O8507" i="2"/>
  <c r="O8508" i="2"/>
  <c r="O8509" i="2"/>
  <c r="O8510" i="2"/>
  <c r="O8511" i="2"/>
  <c r="O8512" i="2"/>
  <c r="O8513" i="2"/>
  <c r="O8514" i="2"/>
  <c r="O8515" i="2"/>
  <c r="O8516" i="2"/>
  <c r="O8517" i="2"/>
  <c r="O8518" i="2"/>
  <c r="O8519" i="2"/>
  <c r="O8520" i="2"/>
  <c r="O8521" i="2"/>
  <c r="O8522" i="2"/>
  <c r="O8523" i="2"/>
  <c r="O8524" i="2"/>
  <c r="O8525" i="2"/>
  <c r="O8526" i="2"/>
  <c r="O8527" i="2"/>
  <c r="O8528" i="2"/>
  <c r="O8529" i="2"/>
  <c r="O8530" i="2"/>
  <c r="O8531" i="2"/>
  <c r="O8532" i="2"/>
  <c r="O8533" i="2"/>
  <c r="O8534" i="2"/>
  <c r="O8535" i="2"/>
  <c r="O8536" i="2"/>
  <c r="O8537" i="2"/>
  <c r="O8538" i="2"/>
  <c r="O8539" i="2"/>
  <c r="O8540" i="2"/>
  <c r="O8541" i="2"/>
  <c r="O8542" i="2"/>
  <c r="O8543" i="2"/>
  <c r="O8544" i="2"/>
  <c r="O8545" i="2"/>
  <c r="O8546" i="2"/>
  <c r="O8547" i="2"/>
  <c r="O8548" i="2"/>
  <c r="O8549" i="2"/>
  <c r="O8550" i="2"/>
  <c r="O8551" i="2"/>
  <c r="O8552" i="2"/>
  <c r="O8553" i="2"/>
  <c r="O8554" i="2"/>
  <c r="O8555" i="2"/>
  <c r="O8556" i="2"/>
  <c r="O8557" i="2"/>
  <c r="O8558" i="2"/>
  <c r="O8559" i="2"/>
  <c r="O8560" i="2"/>
  <c r="O8561" i="2"/>
  <c r="O8562" i="2"/>
  <c r="O8563" i="2"/>
  <c r="O8564" i="2"/>
  <c r="O8565" i="2"/>
  <c r="O8566" i="2"/>
  <c r="O8567" i="2"/>
  <c r="O8568" i="2"/>
  <c r="O8569" i="2"/>
  <c r="O8570" i="2"/>
  <c r="O8571" i="2"/>
  <c r="O8572" i="2"/>
  <c r="O8573" i="2"/>
  <c r="O8574" i="2"/>
  <c r="O8575" i="2"/>
  <c r="O8576" i="2"/>
  <c r="O8577" i="2"/>
  <c r="O8578" i="2"/>
  <c r="O8579" i="2"/>
  <c r="O8580" i="2"/>
  <c r="O8581" i="2"/>
  <c r="O8582" i="2"/>
  <c r="O8583" i="2"/>
  <c r="O8584" i="2"/>
  <c r="O8585" i="2"/>
  <c r="O8586" i="2"/>
  <c r="O8587" i="2"/>
  <c r="O8588" i="2"/>
  <c r="O8589" i="2"/>
  <c r="O8590" i="2"/>
  <c r="O8591" i="2"/>
  <c r="O8592" i="2"/>
  <c r="O8593" i="2"/>
  <c r="O8594" i="2"/>
  <c r="O8595" i="2"/>
  <c r="O8596" i="2"/>
  <c r="O8597" i="2"/>
  <c r="O8598" i="2"/>
  <c r="O8599" i="2"/>
  <c r="O8600" i="2"/>
  <c r="O8601" i="2"/>
  <c r="O8602" i="2"/>
  <c r="O8603" i="2"/>
  <c r="O8604" i="2"/>
  <c r="O8605" i="2"/>
  <c r="O8606" i="2"/>
  <c r="O8607" i="2"/>
  <c r="O8608" i="2"/>
  <c r="O8609" i="2"/>
  <c r="O8610" i="2"/>
  <c r="O8611" i="2"/>
  <c r="O8612" i="2"/>
  <c r="O8613" i="2"/>
  <c r="O8614" i="2"/>
  <c r="O8615" i="2"/>
  <c r="O8616" i="2"/>
  <c r="O8617" i="2"/>
  <c r="O8618" i="2"/>
  <c r="O8619" i="2"/>
  <c r="O8620" i="2"/>
  <c r="O8621" i="2"/>
  <c r="O8622" i="2"/>
  <c r="O8623" i="2"/>
  <c r="O8624" i="2"/>
  <c r="O8625" i="2"/>
  <c r="O8626" i="2"/>
  <c r="O8627" i="2"/>
  <c r="O8628" i="2"/>
  <c r="O8629" i="2"/>
  <c r="O8630" i="2"/>
  <c r="O8631" i="2"/>
  <c r="O8632" i="2"/>
  <c r="O8633" i="2"/>
  <c r="O8634" i="2"/>
  <c r="O8635" i="2"/>
  <c r="O8636" i="2"/>
  <c r="O8637" i="2"/>
  <c r="O8638" i="2"/>
  <c r="O8639" i="2"/>
  <c r="O8640" i="2"/>
  <c r="O8641" i="2"/>
  <c r="O8642" i="2"/>
  <c r="O8643" i="2"/>
  <c r="O8644" i="2"/>
  <c r="O8645" i="2"/>
  <c r="O8646" i="2"/>
  <c r="O8647" i="2"/>
  <c r="O8648" i="2"/>
  <c r="O8649" i="2"/>
  <c r="O8650" i="2"/>
  <c r="O8651" i="2"/>
  <c r="O8652" i="2"/>
  <c r="O8653" i="2"/>
  <c r="O8654" i="2"/>
  <c r="O8655" i="2"/>
  <c r="O8656" i="2"/>
  <c r="O8657" i="2"/>
  <c r="O8658" i="2"/>
  <c r="O8659" i="2"/>
  <c r="O8660" i="2"/>
  <c r="O8661" i="2"/>
  <c r="O8662" i="2"/>
  <c r="O8663" i="2"/>
  <c r="O8664" i="2"/>
  <c r="O8665" i="2"/>
  <c r="O8666" i="2"/>
  <c r="O8667" i="2"/>
  <c r="O8668" i="2"/>
  <c r="O8669" i="2"/>
  <c r="O8670" i="2"/>
  <c r="O8671" i="2"/>
  <c r="O8672" i="2"/>
  <c r="O8673" i="2"/>
  <c r="O8674" i="2"/>
  <c r="O8675" i="2"/>
  <c r="O8676" i="2"/>
  <c r="O8677" i="2"/>
  <c r="O8678" i="2"/>
  <c r="O8679" i="2"/>
  <c r="O8680" i="2"/>
  <c r="O8681" i="2"/>
  <c r="O8682" i="2"/>
  <c r="O8683" i="2"/>
  <c r="O8684" i="2"/>
  <c r="O8685" i="2"/>
  <c r="O8686" i="2"/>
  <c r="O8687" i="2"/>
  <c r="O8688" i="2"/>
  <c r="O8689" i="2"/>
  <c r="O8690" i="2"/>
  <c r="O8691" i="2"/>
  <c r="O8692" i="2"/>
  <c r="O8693" i="2"/>
  <c r="O8694" i="2"/>
  <c r="O8695" i="2"/>
  <c r="O8696" i="2"/>
  <c r="O8697" i="2"/>
  <c r="O8698" i="2"/>
  <c r="O8699" i="2"/>
  <c r="O8700" i="2"/>
  <c r="O8701" i="2"/>
  <c r="O8702" i="2"/>
  <c r="O8703" i="2"/>
  <c r="O8704" i="2"/>
  <c r="O8705" i="2"/>
  <c r="O8706" i="2"/>
  <c r="O8707" i="2"/>
  <c r="O8708" i="2"/>
  <c r="O8709" i="2"/>
  <c r="O8710" i="2"/>
  <c r="O8711" i="2"/>
  <c r="O8712" i="2"/>
  <c r="O8713" i="2"/>
  <c r="O8714" i="2"/>
  <c r="O8715" i="2"/>
  <c r="O8716" i="2"/>
  <c r="O8717" i="2"/>
  <c r="O8718" i="2"/>
  <c r="O8719" i="2"/>
  <c r="O8720" i="2"/>
  <c r="O8721" i="2"/>
  <c r="O8722" i="2"/>
  <c r="O8723" i="2"/>
  <c r="O8724" i="2"/>
  <c r="O8725" i="2"/>
  <c r="O8726" i="2"/>
  <c r="O8727" i="2"/>
  <c r="O8728" i="2"/>
  <c r="O8729" i="2"/>
  <c r="O8730" i="2"/>
  <c r="O8731" i="2"/>
  <c r="O8732" i="2"/>
  <c r="O8733" i="2"/>
  <c r="O8734" i="2"/>
  <c r="O8735" i="2"/>
  <c r="O8736" i="2"/>
  <c r="O8737" i="2"/>
  <c r="O8738" i="2"/>
  <c r="O8739" i="2"/>
  <c r="O8740" i="2"/>
  <c r="O8741" i="2"/>
  <c r="O8742" i="2"/>
  <c r="O8743" i="2"/>
  <c r="O8744" i="2"/>
  <c r="O8745" i="2"/>
  <c r="O8746" i="2"/>
  <c r="O8747" i="2"/>
  <c r="O8748" i="2"/>
  <c r="O8749" i="2"/>
  <c r="O8750" i="2"/>
  <c r="O8751" i="2"/>
  <c r="O8752" i="2"/>
  <c r="O8753" i="2"/>
  <c r="O8754" i="2"/>
  <c r="O8755" i="2"/>
  <c r="O8756" i="2"/>
  <c r="O8757" i="2"/>
  <c r="O8758" i="2"/>
  <c r="O8759" i="2"/>
  <c r="O8760" i="2"/>
  <c r="O8761" i="2"/>
  <c r="O8762" i="2"/>
  <c r="O8763" i="2"/>
  <c r="O8764" i="2"/>
  <c r="O8765" i="2"/>
  <c r="O8766" i="2"/>
  <c r="O8767" i="2"/>
  <c r="O8768" i="2"/>
  <c r="O8769" i="2"/>
  <c r="O8770" i="2"/>
  <c r="O8771" i="2"/>
  <c r="O8772" i="2"/>
  <c r="O8773" i="2"/>
  <c r="O8774" i="2"/>
  <c r="O8775" i="2"/>
  <c r="O8776" i="2"/>
  <c r="O8777" i="2"/>
  <c r="O8778" i="2"/>
  <c r="O8779" i="2"/>
  <c r="O8780" i="2"/>
  <c r="O8781" i="2"/>
  <c r="O8782" i="2"/>
  <c r="O8783" i="2"/>
  <c r="O8784" i="2"/>
  <c r="O8785" i="2"/>
  <c r="O8786" i="2"/>
  <c r="O8787" i="2"/>
  <c r="O8788" i="2"/>
  <c r="O8789" i="2"/>
  <c r="O8790" i="2"/>
  <c r="O8791" i="2"/>
  <c r="O8792" i="2"/>
  <c r="O8793" i="2"/>
  <c r="O8794" i="2"/>
  <c r="O8795" i="2"/>
  <c r="O8796" i="2"/>
  <c r="O8797" i="2"/>
  <c r="O8798" i="2"/>
  <c r="O8799" i="2"/>
  <c r="O8800" i="2"/>
  <c r="O8801" i="2"/>
  <c r="O8802" i="2"/>
  <c r="O8803" i="2"/>
  <c r="O8804" i="2"/>
  <c r="O8805" i="2"/>
  <c r="O8806" i="2"/>
  <c r="O8807" i="2"/>
  <c r="O8808" i="2"/>
  <c r="O8809" i="2"/>
  <c r="O8810" i="2"/>
  <c r="O8811" i="2"/>
  <c r="O8812" i="2"/>
  <c r="O8813" i="2"/>
  <c r="O8814" i="2"/>
  <c r="O8815" i="2"/>
  <c r="O8816" i="2"/>
  <c r="O8817" i="2"/>
  <c r="O8818" i="2"/>
  <c r="O8819" i="2"/>
  <c r="O8820" i="2"/>
  <c r="O8821" i="2"/>
  <c r="O8822" i="2"/>
  <c r="O8823" i="2"/>
  <c r="O8824" i="2"/>
  <c r="O8825" i="2"/>
  <c r="O8826" i="2"/>
  <c r="O8827" i="2"/>
  <c r="O8828" i="2"/>
  <c r="O8829" i="2"/>
  <c r="O8830" i="2"/>
  <c r="O8831" i="2"/>
  <c r="O8832" i="2"/>
  <c r="O8833" i="2"/>
  <c r="O8834" i="2"/>
  <c r="O8835" i="2"/>
  <c r="O8836" i="2"/>
  <c r="O8837" i="2"/>
  <c r="O8838" i="2"/>
  <c r="O8839" i="2"/>
  <c r="O8840" i="2"/>
  <c r="O8841" i="2"/>
  <c r="O8842" i="2"/>
  <c r="O8843" i="2"/>
  <c r="O8844" i="2"/>
  <c r="O8845" i="2"/>
  <c r="O8846" i="2"/>
  <c r="O8847" i="2"/>
  <c r="O8848" i="2"/>
  <c r="O8849" i="2"/>
  <c r="O8850" i="2"/>
  <c r="O8851" i="2"/>
  <c r="O8852" i="2"/>
  <c r="O8853" i="2"/>
  <c r="O8854" i="2"/>
  <c r="O8855" i="2"/>
  <c r="O8856" i="2"/>
  <c r="O8857" i="2"/>
  <c r="O8858" i="2"/>
  <c r="O8859" i="2"/>
  <c r="O8860" i="2"/>
  <c r="O8861" i="2"/>
  <c r="O8862" i="2"/>
  <c r="O8863" i="2"/>
  <c r="O8864" i="2"/>
  <c r="O8865" i="2"/>
  <c r="O8866" i="2"/>
  <c r="O8867" i="2"/>
  <c r="O8868" i="2"/>
  <c r="O8869" i="2"/>
  <c r="O8870" i="2"/>
  <c r="O8871" i="2"/>
  <c r="O8872" i="2"/>
  <c r="O8873" i="2"/>
  <c r="O8874" i="2"/>
  <c r="O8875" i="2"/>
  <c r="O8876" i="2"/>
  <c r="O8877" i="2"/>
  <c r="O8878" i="2"/>
  <c r="O8879" i="2"/>
  <c r="O8880" i="2"/>
  <c r="O8881" i="2"/>
  <c r="O8882" i="2"/>
  <c r="O8883" i="2"/>
  <c r="O8884" i="2"/>
  <c r="O8885" i="2"/>
  <c r="O8886" i="2"/>
  <c r="O8887" i="2"/>
  <c r="O8888" i="2"/>
  <c r="O8889" i="2"/>
  <c r="O8890" i="2"/>
  <c r="O8891" i="2"/>
  <c r="O8892" i="2"/>
  <c r="O8893" i="2"/>
  <c r="O8894" i="2"/>
  <c r="O8895" i="2"/>
  <c r="O8896" i="2"/>
  <c r="O8897" i="2"/>
  <c r="O8898" i="2"/>
  <c r="O8899" i="2"/>
  <c r="O8900" i="2"/>
  <c r="O8901" i="2"/>
  <c r="O8902" i="2"/>
  <c r="O8903" i="2"/>
  <c r="O8904" i="2"/>
  <c r="O8905" i="2"/>
  <c r="O8906" i="2"/>
  <c r="O8907" i="2"/>
  <c r="O8908" i="2"/>
  <c r="O8909" i="2"/>
  <c r="O8910" i="2"/>
  <c r="O8911" i="2"/>
  <c r="O8912" i="2"/>
  <c r="O8913" i="2"/>
  <c r="O8914" i="2"/>
  <c r="O8915" i="2"/>
  <c r="O8916" i="2"/>
  <c r="O8917" i="2"/>
  <c r="O8918" i="2"/>
  <c r="O8919" i="2"/>
  <c r="O8920" i="2"/>
  <c r="O8921" i="2"/>
  <c r="O8922" i="2"/>
  <c r="O8923" i="2"/>
  <c r="O8924" i="2"/>
  <c r="O8925" i="2"/>
  <c r="O8926" i="2"/>
  <c r="O8927" i="2"/>
  <c r="O8928" i="2"/>
  <c r="O8929" i="2"/>
  <c r="O8930" i="2"/>
  <c r="O8931" i="2"/>
  <c r="O8932" i="2"/>
  <c r="O8933" i="2"/>
  <c r="O8934" i="2"/>
  <c r="O8935" i="2"/>
  <c r="O8936" i="2"/>
  <c r="O8937" i="2"/>
  <c r="O8938" i="2"/>
  <c r="O8939" i="2"/>
  <c r="O8940" i="2"/>
  <c r="O8941" i="2"/>
  <c r="O8942" i="2"/>
  <c r="O8943" i="2"/>
  <c r="O8944" i="2"/>
  <c r="O8945" i="2"/>
  <c r="O8946" i="2"/>
  <c r="O8947" i="2"/>
  <c r="O8948" i="2"/>
  <c r="O8949" i="2"/>
  <c r="O8950" i="2"/>
  <c r="O8951" i="2"/>
  <c r="O8952" i="2"/>
  <c r="O8953" i="2"/>
  <c r="O8954" i="2"/>
  <c r="O8955" i="2"/>
  <c r="O8956" i="2"/>
  <c r="O8957" i="2"/>
  <c r="O8958" i="2"/>
  <c r="O8959" i="2"/>
  <c r="O8960" i="2"/>
  <c r="O8961" i="2"/>
  <c r="O8962" i="2"/>
  <c r="O8963" i="2"/>
  <c r="O8964" i="2"/>
  <c r="O8965" i="2"/>
  <c r="O8966" i="2"/>
  <c r="O8967" i="2"/>
  <c r="O8968" i="2"/>
  <c r="O8969" i="2"/>
  <c r="O8970" i="2"/>
  <c r="O8971" i="2"/>
  <c r="O8972" i="2"/>
  <c r="O8973" i="2"/>
  <c r="O8974" i="2"/>
  <c r="O8975" i="2"/>
  <c r="O8976" i="2"/>
  <c r="O8977" i="2"/>
  <c r="O8978" i="2"/>
  <c r="O8979" i="2"/>
  <c r="O8980" i="2"/>
  <c r="O8981" i="2"/>
  <c r="O8982" i="2"/>
  <c r="O8983" i="2"/>
  <c r="O8984" i="2"/>
  <c r="O8985" i="2"/>
  <c r="O8986" i="2"/>
  <c r="O8987" i="2"/>
  <c r="O8988" i="2"/>
  <c r="O8989" i="2"/>
  <c r="O8990" i="2"/>
  <c r="O8991" i="2"/>
  <c r="O8992" i="2"/>
  <c r="O8993" i="2"/>
  <c r="O8994" i="2"/>
  <c r="O8995" i="2"/>
  <c r="O8996" i="2"/>
  <c r="O8997" i="2"/>
  <c r="O8998" i="2"/>
  <c r="O8999" i="2"/>
  <c r="O9000" i="2"/>
  <c r="O9001" i="2"/>
  <c r="O9002" i="2"/>
  <c r="O9003" i="2"/>
  <c r="O9004" i="2"/>
  <c r="O9005" i="2"/>
  <c r="O9006" i="2"/>
  <c r="O9007" i="2"/>
  <c r="O9008" i="2"/>
  <c r="O9009" i="2"/>
  <c r="O9010" i="2"/>
  <c r="O9011" i="2"/>
  <c r="O9012" i="2"/>
  <c r="O9013" i="2"/>
  <c r="O9014" i="2"/>
  <c r="O9015" i="2"/>
  <c r="O9016" i="2"/>
  <c r="O9017" i="2"/>
  <c r="O9018" i="2"/>
  <c r="O9019" i="2"/>
  <c r="O9020" i="2"/>
  <c r="O9021" i="2"/>
  <c r="O9022" i="2"/>
  <c r="O9023" i="2"/>
  <c r="O9024" i="2"/>
  <c r="O9025" i="2"/>
  <c r="O9026" i="2"/>
  <c r="O9027" i="2"/>
  <c r="O9028" i="2"/>
  <c r="O9029" i="2"/>
  <c r="O9030" i="2"/>
  <c r="O9031" i="2"/>
  <c r="O9032" i="2"/>
  <c r="O9033" i="2"/>
  <c r="O9034" i="2"/>
  <c r="O9035" i="2"/>
  <c r="O9036" i="2"/>
  <c r="O9037" i="2"/>
  <c r="O9038" i="2"/>
  <c r="O9039" i="2"/>
  <c r="O9040" i="2"/>
  <c r="O9041" i="2"/>
  <c r="O9042" i="2"/>
  <c r="O9043" i="2"/>
  <c r="O9044" i="2"/>
  <c r="O9045" i="2"/>
  <c r="O9046" i="2"/>
  <c r="O9047" i="2"/>
  <c r="O9048" i="2"/>
  <c r="O9049" i="2"/>
  <c r="O9050" i="2"/>
  <c r="O9051" i="2"/>
  <c r="O9052" i="2"/>
  <c r="O9053" i="2"/>
  <c r="O9054" i="2"/>
  <c r="O9055" i="2"/>
  <c r="O9056" i="2"/>
  <c r="O9057" i="2"/>
  <c r="O9058" i="2"/>
  <c r="O9059" i="2"/>
  <c r="O9060" i="2"/>
  <c r="O9061" i="2"/>
  <c r="O9062" i="2"/>
  <c r="O9063" i="2"/>
  <c r="O9064" i="2"/>
  <c r="O9065" i="2"/>
  <c r="O9066" i="2"/>
  <c r="O9067" i="2"/>
  <c r="O9068" i="2"/>
  <c r="O9069" i="2"/>
  <c r="O9070" i="2"/>
  <c r="O9071" i="2"/>
  <c r="O9072" i="2"/>
  <c r="O9073" i="2"/>
  <c r="O9074" i="2"/>
  <c r="O9075" i="2"/>
  <c r="O9076" i="2"/>
  <c r="O9077" i="2"/>
  <c r="O9078" i="2"/>
  <c r="O9079" i="2"/>
  <c r="O9080" i="2"/>
  <c r="O9081" i="2"/>
  <c r="O9082" i="2"/>
  <c r="O9083" i="2"/>
  <c r="O9084" i="2"/>
  <c r="O9085" i="2"/>
  <c r="O9086" i="2"/>
  <c r="O9087" i="2"/>
  <c r="O9088" i="2"/>
  <c r="O9089" i="2"/>
  <c r="O9090" i="2"/>
  <c r="O9091" i="2"/>
  <c r="O9092" i="2"/>
  <c r="O9093" i="2"/>
  <c r="O9094" i="2"/>
  <c r="O9095" i="2"/>
  <c r="O9096" i="2"/>
  <c r="O9097" i="2"/>
  <c r="O9098" i="2"/>
  <c r="O9099" i="2"/>
  <c r="O9100" i="2"/>
  <c r="O9101" i="2"/>
  <c r="O9102" i="2"/>
  <c r="O9103" i="2"/>
  <c r="O9104" i="2"/>
  <c r="O9105" i="2"/>
  <c r="O9106" i="2"/>
  <c r="O9107" i="2"/>
  <c r="O9108" i="2"/>
  <c r="O9109" i="2"/>
  <c r="O9110" i="2"/>
  <c r="O9111" i="2"/>
  <c r="O9112" i="2"/>
  <c r="O9113" i="2"/>
  <c r="O9114" i="2"/>
  <c r="O9115" i="2"/>
  <c r="O9116" i="2"/>
  <c r="O9117" i="2"/>
  <c r="O9118" i="2"/>
  <c r="O9119" i="2"/>
  <c r="O9120" i="2"/>
  <c r="O9121" i="2"/>
  <c r="O9122" i="2"/>
  <c r="O9123" i="2"/>
  <c r="O9124" i="2"/>
  <c r="O9125" i="2"/>
  <c r="O9126" i="2"/>
  <c r="O9127" i="2"/>
  <c r="O9128" i="2"/>
  <c r="O9129" i="2"/>
  <c r="O9130" i="2"/>
  <c r="O9131" i="2"/>
  <c r="O9132" i="2"/>
  <c r="O9133" i="2"/>
  <c r="O9134" i="2"/>
  <c r="O9135" i="2"/>
  <c r="O9136" i="2"/>
  <c r="O9137" i="2"/>
  <c r="O9138" i="2"/>
  <c r="O9139" i="2"/>
  <c r="O9140" i="2"/>
  <c r="O9141" i="2"/>
  <c r="O9142" i="2"/>
  <c r="O9143" i="2"/>
  <c r="O9144" i="2"/>
  <c r="O9145" i="2"/>
  <c r="O9146" i="2"/>
  <c r="O9147" i="2"/>
  <c r="O9148" i="2"/>
  <c r="O9149" i="2"/>
  <c r="O9150" i="2"/>
  <c r="O9151" i="2"/>
  <c r="O9152" i="2"/>
  <c r="O9153" i="2"/>
  <c r="O9154" i="2"/>
  <c r="O9155" i="2"/>
  <c r="O9156" i="2"/>
  <c r="O9157" i="2"/>
  <c r="O9158" i="2"/>
  <c r="O9159" i="2"/>
  <c r="O9160" i="2"/>
  <c r="O9161" i="2"/>
  <c r="O9162" i="2"/>
  <c r="O9163" i="2"/>
  <c r="O9164" i="2"/>
  <c r="O9165" i="2"/>
  <c r="O9166" i="2"/>
  <c r="O9167" i="2"/>
  <c r="O9168" i="2"/>
  <c r="O9169" i="2"/>
  <c r="O9170" i="2"/>
  <c r="O9171" i="2"/>
  <c r="O9172" i="2"/>
  <c r="O9173" i="2"/>
  <c r="O9174" i="2"/>
  <c r="O9175" i="2"/>
  <c r="O9176" i="2"/>
  <c r="O9177" i="2"/>
  <c r="O9178" i="2"/>
  <c r="O9179" i="2"/>
  <c r="O9180" i="2"/>
  <c r="O9181" i="2"/>
  <c r="O9182" i="2"/>
  <c r="O9183" i="2"/>
  <c r="O9184" i="2"/>
  <c r="O9185" i="2"/>
  <c r="O9186" i="2"/>
  <c r="O9187" i="2"/>
  <c r="O9188" i="2"/>
  <c r="O9189" i="2"/>
  <c r="O9190" i="2"/>
  <c r="O9191" i="2"/>
  <c r="O9192" i="2"/>
  <c r="O9193" i="2"/>
  <c r="O9194" i="2"/>
  <c r="O9195" i="2"/>
  <c r="O9196" i="2"/>
  <c r="O9197" i="2"/>
  <c r="O9198" i="2"/>
  <c r="O9199" i="2"/>
  <c r="O9200" i="2"/>
  <c r="O9201" i="2"/>
  <c r="O9202" i="2"/>
  <c r="O9203" i="2"/>
  <c r="O9204" i="2"/>
  <c r="O9205" i="2"/>
  <c r="O9206" i="2"/>
  <c r="O9207" i="2"/>
  <c r="O9208" i="2"/>
  <c r="O9209" i="2"/>
  <c r="O9210" i="2"/>
  <c r="O9211" i="2"/>
  <c r="O9212" i="2"/>
  <c r="O9213" i="2"/>
  <c r="O9214" i="2"/>
  <c r="O9215" i="2"/>
  <c r="O9216" i="2"/>
  <c r="O9217" i="2"/>
  <c r="O9218" i="2"/>
  <c r="O9219" i="2"/>
  <c r="O9220" i="2"/>
  <c r="O9221" i="2"/>
  <c r="O9222" i="2"/>
  <c r="O9223" i="2"/>
  <c r="O9224" i="2"/>
  <c r="O9225" i="2"/>
  <c r="O9226" i="2"/>
  <c r="O9227" i="2"/>
  <c r="O9228" i="2"/>
  <c r="O9229" i="2"/>
  <c r="O9230" i="2"/>
  <c r="O9231" i="2"/>
  <c r="O9232" i="2"/>
  <c r="O9233" i="2"/>
  <c r="O9234" i="2"/>
  <c r="O9235" i="2"/>
  <c r="O9236" i="2"/>
  <c r="O9237" i="2"/>
  <c r="O9238" i="2"/>
  <c r="O9239" i="2"/>
  <c r="O9240" i="2"/>
  <c r="O9241" i="2"/>
  <c r="O9242" i="2"/>
  <c r="O9243" i="2"/>
  <c r="O9244" i="2"/>
  <c r="O9245" i="2"/>
  <c r="O9246" i="2"/>
  <c r="O9247" i="2"/>
  <c r="O9248" i="2"/>
  <c r="O9249" i="2"/>
  <c r="O9250" i="2"/>
  <c r="O9251" i="2"/>
  <c r="O9252" i="2"/>
  <c r="O9253" i="2"/>
  <c r="O9254" i="2"/>
  <c r="O9255" i="2"/>
  <c r="O9256" i="2"/>
  <c r="O9257" i="2"/>
  <c r="O9258" i="2"/>
  <c r="O9259" i="2"/>
  <c r="O9260" i="2"/>
  <c r="O9261" i="2"/>
  <c r="O9262" i="2"/>
  <c r="O9263" i="2"/>
  <c r="O9264" i="2"/>
  <c r="O9265" i="2"/>
  <c r="O9266" i="2"/>
  <c r="O9267" i="2"/>
  <c r="O9268" i="2"/>
  <c r="O9269" i="2"/>
  <c r="O9270" i="2"/>
  <c r="O9271" i="2"/>
  <c r="O9272" i="2"/>
  <c r="O9273" i="2"/>
  <c r="O9274" i="2"/>
  <c r="O9275" i="2"/>
  <c r="O9276" i="2"/>
  <c r="O9277" i="2"/>
  <c r="O9278" i="2"/>
  <c r="O9279" i="2"/>
  <c r="O9280" i="2"/>
  <c r="O9281" i="2"/>
  <c r="O9282" i="2"/>
  <c r="O9283" i="2"/>
  <c r="O9284" i="2"/>
  <c r="O9285" i="2"/>
  <c r="O9286" i="2"/>
  <c r="O9287" i="2"/>
  <c r="O9288" i="2"/>
  <c r="O9289" i="2"/>
  <c r="O9290" i="2"/>
  <c r="O9291" i="2"/>
  <c r="O9292" i="2"/>
  <c r="O9293" i="2"/>
  <c r="O9294" i="2"/>
  <c r="O9295" i="2"/>
  <c r="O9296" i="2"/>
  <c r="O9297" i="2"/>
  <c r="O9298" i="2"/>
  <c r="O9299" i="2"/>
  <c r="O9300" i="2"/>
  <c r="O9301" i="2"/>
  <c r="O9302" i="2"/>
  <c r="O9303" i="2"/>
  <c r="O9304" i="2"/>
  <c r="O9305" i="2"/>
  <c r="O9306" i="2"/>
  <c r="O9307" i="2"/>
  <c r="O9308" i="2"/>
  <c r="O9309" i="2"/>
  <c r="O9310" i="2"/>
  <c r="O9311" i="2"/>
  <c r="O9312" i="2"/>
  <c r="O9313" i="2"/>
  <c r="O9314" i="2"/>
  <c r="O9315" i="2"/>
  <c r="O9316" i="2"/>
  <c r="O9317" i="2"/>
  <c r="O9318" i="2"/>
  <c r="O9319" i="2"/>
  <c r="O9320" i="2"/>
  <c r="O9321" i="2"/>
  <c r="O9322" i="2"/>
  <c r="O9323" i="2"/>
  <c r="O9324" i="2"/>
  <c r="O9325" i="2"/>
  <c r="O9326" i="2"/>
  <c r="O9327" i="2"/>
  <c r="O9328" i="2"/>
  <c r="O9329" i="2"/>
  <c r="O9330" i="2"/>
  <c r="O9331" i="2"/>
  <c r="O9332" i="2"/>
  <c r="O9333" i="2"/>
  <c r="O9334" i="2"/>
  <c r="O9335" i="2"/>
  <c r="O9336" i="2"/>
  <c r="O9337" i="2"/>
  <c r="O9338" i="2"/>
  <c r="O9339" i="2"/>
  <c r="O9340" i="2"/>
  <c r="O9341" i="2"/>
  <c r="O9342" i="2"/>
  <c r="O9343" i="2"/>
  <c r="O9344" i="2"/>
  <c r="O9345" i="2"/>
  <c r="O9346" i="2"/>
  <c r="O9347" i="2"/>
  <c r="O9348" i="2"/>
  <c r="O9349" i="2"/>
  <c r="O9350" i="2"/>
  <c r="O9351" i="2"/>
  <c r="O9352" i="2"/>
  <c r="O9353" i="2"/>
  <c r="O9354" i="2"/>
  <c r="O9355" i="2"/>
  <c r="O9356" i="2"/>
  <c r="O9357" i="2"/>
  <c r="O9358" i="2"/>
  <c r="O9359" i="2"/>
  <c r="O9360" i="2"/>
  <c r="O9361" i="2"/>
  <c r="O9362" i="2"/>
  <c r="O9363" i="2"/>
  <c r="O9364" i="2"/>
  <c r="O9365" i="2"/>
  <c r="O9366" i="2"/>
  <c r="O9367" i="2"/>
  <c r="O9368" i="2"/>
  <c r="O9369" i="2"/>
  <c r="O9370" i="2"/>
  <c r="O9371" i="2"/>
  <c r="O9372" i="2"/>
  <c r="O9373" i="2"/>
  <c r="O9374" i="2"/>
  <c r="O9375" i="2"/>
  <c r="O9376" i="2"/>
  <c r="O9377" i="2"/>
  <c r="O9378" i="2"/>
  <c r="O9379" i="2"/>
  <c r="O9380" i="2"/>
  <c r="O9381" i="2"/>
  <c r="O9382" i="2"/>
  <c r="O9383" i="2"/>
  <c r="O9384" i="2"/>
  <c r="O9385" i="2"/>
  <c r="O9386" i="2"/>
  <c r="O9387" i="2"/>
  <c r="O9388" i="2"/>
  <c r="O9389" i="2"/>
  <c r="O9390" i="2"/>
  <c r="O9391" i="2"/>
  <c r="O9392" i="2"/>
  <c r="O9393" i="2"/>
  <c r="O9394" i="2"/>
  <c r="O9395" i="2"/>
  <c r="O9396" i="2"/>
  <c r="O9397" i="2"/>
  <c r="O9398" i="2"/>
  <c r="O9399" i="2"/>
  <c r="O9400" i="2"/>
  <c r="O9401" i="2"/>
  <c r="O9402" i="2"/>
  <c r="O9403" i="2"/>
  <c r="O9404" i="2"/>
  <c r="O9405" i="2"/>
  <c r="O9406" i="2"/>
  <c r="O9407" i="2"/>
  <c r="O9408" i="2"/>
  <c r="O9409" i="2"/>
  <c r="O9410" i="2"/>
  <c r="O9411" i="2"/>
  <c r="O9412" i="2"/>
  <c r="O9413" i="2"/>
  <c r="O9414" i="2"/>
  <c r="O9415" i="2"/>
  <c r="O9416" i="2"/>
  <c r="O9417" i="2"/>
  <c r="O9418" i="2"/>
  <c r="O9419" i="2"/>
  <c r="O9420" i="2"/>
  <c r="O9421" i="2"/>
  <c r="O9422" i="2"/>
  <c r="O9423" i="2"/>
  <c r="O9424" i="2"/>
  <c r="O9425" i="2"/>
  <c r="O9426" i="2"/>
  <c r="O9427" i="2"/>
  <c r="O9428" i="2"/>
  <c r="O9429" i="2"/>
  <c r="O9430" i="2"/>
  <c r="O9431" i="2"/>
  <c r="O9432" i="2"/>
  <c r="O9433" i="2"/>
  <c r="O9434" i="2"/>
  <c r="O9435" i="2"/>
  <c r="O9436" i="2"/>
  <c r="O9437" i="2"/>
  <c r="O9438" i="2"/>
  <c r="O9439" i="2"/>
  <c r="O9440" i="2"/>
  <c r="O9441" i="2"/>
  <c r="O9442" i="2"/>
  <c r="O9443" i="2"/>
  <c r="O9444" i="2"/>
  <c r="O9445" i="2"/>
  <c r="O9446" i="2"/>
  <c r="O9447" i="2"/>
  <c r="O9448" i="2"/>
  <c r="O9449" i="2"/>
  <c r="O9450" i="2"/>
  <c r="O9451" i="2"/>
  <c r="O9452" i="2"/>
  <c r="O9453" i="2"/>
  <c r="O9454" i="2"/>
  <c r="O9455" i="2"/>
  <c r="O9456" i="2"/>
  <c r="O9457" i="2"/>
  <c r="O9458" i="2"/>
  <c r="O9459" i="2"/>
  <c r="O9460" i="2"/>
  <c r="O9461" i="2"/>
  <c r="O9462" i="2"/>
  <c r="O9463" i="2"/>
  <c r="O9464" i="2"/>
  <c r="O9465" i="2"/>
  <c r="O9466" i="2"/>
  <c r="O9467" i="2"/>
  <c r="O9468" i="2"/>
  <c r="O9469" i="2"/>
  <c r="O9470" i="2"/>
  <c r="O9471" i="2"/>
  <c r="O9472" i="2"/>
  <c r="O9473" i="2"/>
  <c r="O9474" i="2"/>
  <c r="O9475" i="2"/>
  <c r="O9476" i="2"/>
  <c r="O9477" i="2"/>
  <c r="O9478" i="2"/>
  <c r="O9479" i="2"/>
  <c r="O9480" i="2"/>
  <c r="O9481" i="2"/>
  <c r="O9482" i="2"/>
  <c r="O9483" i="2"/>
  <c r="O9484" i="2"/>
  <c r="O9485" i="2"/>
  <c r="O9486" i="2"/>
  <c r="O9487" i="2"/>
  <c r="O9488" i="2"/>
  <c r="O9489" i="2"/>
  <c r="O9490" i="2"/>
  <c r="O9491" i="2"/>
  <c r="O9492" i="2"/>
  <c r="O9493" i="2"/>
  <c r="O9494" i="2"/>
  <c r="O9495" i="2"/>
  <c r="O9496" i="2"/>
  <c r="O9497" i="2"/>
  <c r="O9498" i="2"/>
  <c r="O9499" i="2"/>
  <c r="O9500" i="2"/>
  <c r="O9501" i="2"/>
  <c r="O9502" i="2"/>
  <c r="O9503" i="2"/>
  <c r="O9504" i="2"/>
  <c r="O9505" i="2"/>
  <c r="O9506" i="2"/>
  <c r="O9507" i="2"/>
  <c r="O9508" i="2"/>
  <c r="O9509" i="2"/>
  <c r="O9510" i="2"/>
  <c r="O9511" i="2"/>
  <c r="O9512" i="2"/>
  <c r="O9513" i="2"/>
  <c r="O9514" i="2"/>
  <c r="O9515" i="2"/>
  <c r="O9516" i="2"/>
  <c r="O9517" i="2"/>
  <c r="O9518" i="2"/>
  <c r="O9519" i="2"/>
  <c r="O9520" i="2"/>
  <c r="O9521" i="2"/>
  <c r="O9522" i="2"/>
  <c r="O9523" i="2"/>
  <c r="O9524" i="2"/>
  <c r="O9525" i="2"/>
  <c r="O9526" i="2"/>
  <c r="O9527" i="2"/>
  <c r="O9528" i="2"/>
  <c r="O9529" i="2"/>
  <c r="O9530" i="2"/>
  <c r="O9531" i="2"/>
  <c r="O9532" i="2"/>
  <c r="O9533" i="2"/>
  <c r="O9534" i="2"/>
  <c r="O9535" i="2"/>
  <c r="O9536" i="2"/>
  <c r="O9537" i="2"/>
  <c r="O9538" i="2"/>
  <c r="O9539" i="2"/>
  <c r="O9540" i="2"/>
  <c r="O9541" i="2"/>
  <c r="O9542" i="2"/>
  <c r="O9543" i="2"/>
  <c r="O9544" i="2"/>
  <c r="O9545" i="2"/>
  <c r="O9546" i="2"/>
  <c r="O9547" i="2"/>
  <c r="O9548" i="2"/>
  <c r="O9549" i="2"/>
  <c r="O9550" i="2"/>
  <c r="O9551" i="2"/>
  <c r="O9552" i="2"/>
  <c r="O9553" i="2"/>
  <c r="O9554" i="2"/>
  <c r="O9555" i="2"/>
  <c r="O9556" i="2"/>
  <c r="O9557" i="2"/>
  <c r="O9558" i="2"/>
  <c r="O9559" i="2"/>
  <c r="O9560" i="2"/>
  <c r="O9561" i="2"/>
  <c r="O9562" i="2"/>
  <c r="O9563" i="2"/>
  <c r="O9564" i="2"/>
  <c r="O9565" i="2"/>
  <c r="O9566" i="2"/>
  <c r="O9567" i="2"/>
  <c r="O9568" i="2"/>
  <c r="O9569" i="2"/>
  <c r="O9570" i="2"/>
  <c r="O9571" i="2"/>
  <c r="O9572" i="2"/>
  <c r="O9573" i="2"/>
  <c r="O9574" i="2"/>
  <c r="O9575" i="2"/>
  <c r="O9576" i="2"/>
  <c r="O9577" i="2"/>
  <c r="O9578" i="2"/>
  <c r="O9579" i="2"/>
  <c r="O9580" i="2"/>
  <c r="O9581" i="2"/>
  <c r="O9582" i="2"/>
  <c r="O9583" i="2"/>
  <c r="O9584" i="2"/>
  <c r="O9585" i="2"/>
  <c r="O9586" i="2"/>
  <c r="O9587" i="2"/>
  <c r="O9588" i="2"/>
  <c r="O9589" i="2"/>
  <c r="O9590" i="2"/>
  <c r="O9591" i="2"/>
  <c r="O9592" i="2"/>
  <c r="O9593" i="2"/>
  <c r="O9594" i="2"/>
  <c r="O9595" i="2"/>
  <c r="O9596" i="2"/>
  <c r="O9597" i="2"/>
  <c r="O9598" i="2"/>
  <c r="O9599" i="2"/>
  <c r="O9600" i="2"/>
  <c r="O9601" i="2"/>
  <c r="O9602" i="2"/>
  <c r="O9603" i="2"/>
  <c r="O9604" i="2"/>
  <c r="O9605" i="2"/>
  <c r="O9606" i="2"/>
  <c r="O9607" i="2"/>
  <c r="O9608" i="2"/>
  <c r="O9609" i="2"/>
  <c r="O9610" i="2"/>
  <c r="O9611" i="2"/>
  <c r="O9612" i="2"/>
  <c r="O9613" i="2"/>
  <c r="O9614" i="2"/>
  <c r="O9615" i="2"/>
  <c r="O9616" i="2"/>
  <c r="O9617" i="2"/>
  <c r="O9618" i="2"/>
  <c r="O9619" i="2"/>
  <c r="O9620" i="2"/>
  <c r="O9621" i="2"/>
  <c r="O9622" i="2"/>
  <c r="O9623" i="2"/>
  <c r="O9624" i="2"/>
  <c r="O9625" i="2"/>
  <c r="O9626" i="2"/>
  <c r="O9627" i="2"/>
  <c r="O9628" i="2"/>
  <c r="O9629" i="2"/>
  <c r="O9630" i="2"/>
  <c r="O9631" i="2"/>
  <c r="O9632" i="2"/>
  <c r="O9633" i="2"/>
  <c r="O9634" i="2"/>
  <c r="O9635" i="2"/>
  <c r="O9636" i="2"/>
  <c r="O9637" i="2"/>
  <c r="O9638" i="2"/>
  <c r="O9639" i="2"/>
  <c r="O9640" i="2"/>
  <c r="O9641" i="2"/>
  <c r="O9642" i="2"/>
  <c r="O9643" i="2"/>
  <c r="O9644" i="2"/>
  <c r="O9645" i="2"/>
  <c r="O9646" i="2"/>
  <c r="O9647" i="2"/>
  <c r="O9648" i="2"/>
  <c r="O9649" i="2"/>
  <c r="O9650" i="2"/>
  <c r="O9651" i="2"/>
  <c r="O9652" i="2"/>
  <c r="O9653" i="2"/>
  <c r="O9654" i="2"/>
  <c r="O9655" i="2"/>
  <c r="O9656" i="2"/>
  <c r="O9657" i="2"/>
  <c r="O9658" i="2"/>
  <c r="O9659" i="2"/>
  <c r="O9660" i="2"/>
  <c r="O9661" i="2"/>
  <c r="O9662" i="2"/>
  <c r="O9663" i="2"/>
  <c r="O9664" i="2"/>
  <c r="O9665" i="2"/>
  <c r="O9666" i="2"/>
  <c r="O9667" i="2"/>
  <c r="O9668" i="2"/>
  <c r="O9669" i="2"/>
  <c r="O9670" i="2"/>
  <c r="O9671" i="2"/>
  <c r="O9672" i="2"/>
  <c r="O9673" i="2"/>
  <c r="O9674" i="2"/>
  <c r="O9675" i="2"/>
  <c r="O9676" i="2"/>
  <c r="O9677" i="2"/>
  <c r="O9678" i="2"/>
  <c r="O9679" i="2"/>
  <c r="O9680" i="2"/>
  <c r="O9681" i="2"/>
  <c r="O9682" i="2"/>
  <c r="O9683" i="2"/>
  <c r="O9684" i="2"/>
  <c r="O9685" i="2"/>
  <c r="O9686" i="2"/>
  <c r="O9687" i="2"/>
  <c r="O9688" i="2"/>
  <c r="O9689" i="2"/>
  <c r="O9690" i="2"/>
  <c r="O9691" i="2"/>
  <c r="O9692" i="2"/>
  <c r="O9693" i="2"/>
  <c r="O9694" i="2"/>
  <c r="O9695" i="2"/>
  <c r="O9696" i="2"/>
  <c r="O9697" i="2"/>
  <c r="O9698" i="2"/>
  <c r="O9699" i="2"/>
  <c r="O9700" i="2"/>
  <c r="O9701" i="2"/>
  <c r="O9702" i="2"/>
  <c r="O9703" i="2"/>
  <c r="O9704" i="2"/>
  <c r="O9705" i="2"/>
  <c r="O9706" i="2"/>
  <c r="O9707" i="2"/>
  <c r="O9708" i="2"/>
  <c r="O9709" i="2"/>
  <c r="O9710" i="2"/>
  <c r="O9711" i="2"/>
  <c r="O9712" i="2"/>
  <c r="O9713" i="2"/>
  <c r="O9714" i="2"/>
  <c r="O9715" i="2"/>
  <c r="O9716" i="2"/>
  <c r="O9717" i="2"/>
  <c r="O9718" i="2"/>
  <c r="O9719" i="2"/>
  <c r="O9720" i="2"/>
  <c r="O9721" i="2"/>
  <c r="O9722" i="2"/>
  <c r="O9723" i="2"/>
  <c r="O9724" i="2"/>
  <c r="O9725" i="2"/>
  <c r="O9726" i="2"/>
  <c r="O9727" i="2"/>
  <c r="O9728" i="2"/>
  <c r="O9729" i="2"/>
  <c r="O9730" i="2"/>
  <c r="O9731" i="2"/>
  <c r="O9732" i="2"/>
  <c r="O9733" i="2"/>
  <c r="O9734" i="2"/>
  <c r="O9735" i="2"/>
  <c r="O9736" i="2"/>
  <c r="O9737" i="2"/>
  <c r="O9738" i="2"/>
  <c r="O9739" i="2"/>
  <c r="O9740" i="2"/>
  <c r="O9741" i="2"/>
  <c r="O9742" i="2"/>
  <c r="O9743" i="2"/>
  <c r="O9744" i="2"/>
  <c r="O9745" i="2"/>
  <c r="O9746" i="2"/>
  <c r="O9747" i="2"/>
  <c r="O9748" i="2"/>
  <c r="O9749" i="2"/>
  <c r="O9750" i="2"/>
  <c r="O9751" i="2"/>
  <c r="O9752" i="2"/>
  <c r="O9753" i="2"/>
  <c r="O9754" i="2"/>
  <c r="O9755" i="2"/>
  <c r="O9756" i="2"/>
  <c r="O9757" i="2"/>
  <c r="O9758" i="2"/>
  <c r="O9759" i="2"/>
  <c r="O9760" i="2"/>
  <c r="O9761" i="2"/>
  <c r="O9762" i="2"/>
  <c r="O9763" i="2"/>
  <c r="O9764" i="2"/>
  <c r="O9765" i="2"/>
  <c r="O9766" i="2"/>
  <c r="O9767" i="2"/>
  <c r="O9768" i="2"/>
  <c r="O9769" i="2"/>
  <c r="O9770" i="2"/>
  <c r="O9771" i="2"/>
  <c r="O9772" i="2"/>
  <c r="O9773" i="2"/>
  <c r="O9774" i="2"/>
  <c r="O9775" i="2"/>
  <c r="O9776" i="2"/>
  <c r="O9777" i="2"/>
  <c r="O9778" i="2"/>
  <c r="O9779" i="2"/>
  <c r="O9780" i="2"/>
  <c r="O9781" i="2"/>
  <c r="O9782" i="2"/>
  <c r="O9783" i="2"/>
  <c r="O9784" i="2"/>
  <c r="O9785" i="2"/>
  <c r="O9786" i="2"/>
  <c r="O9787" i="2"/>
  <c r="O9788" i="2"/>
  <c r="O9789" i="2"/>
  <c r="O9790" i="2"/>
  <c r="O9791" i="2"/>
  <c r="O9792" i="2"/>
  <c r="O9793" i="2"/>
  <c r="O9794" i="2"/>
  <c r="O9795" i="2"/>
  <c r="O9796" i="2"/>
  <c r="O9797" i="2"/>
  <c r="O9798" i="2"/>
  <c r="O9799" i="2"/>
  <c r="O9800" i="2"/>
  <c r="O9801" i="2"/>
  <c r="O9802" i="2"/>
  <c r="O9803" i="2"/>
  <c r="O9804" i="2"/>
  <c r="O9805" i="2"/>
  <c r="O9806" i="2"/>
  <c r="O9807" i="2"/>
  <c r="O9808" i="2"/>
  <c r="O9809" i="2"/>
  <c r="O9810" i="2"/>
  <c r="O9811" i="2"/>
  <c r="O9812" i="2"/>
  <c r="O9813" i="2"/>
  <c r="O9814" i="2"/>
  <c r="O9815" i="2"/>
  <c r="O9816" i="2"/>
  <c r="O9817" i="2"/>
  <c r="O9818" i="2"/>
  <c r="O9819" i="2"/>
  <c r="O9820" i="2"/>
  <c r="O9821" i="2"/>
  <c r="O9822" i="2"/>
  <c r="O9823" i="2"/>
  <c r="O9824" i="2"/>
  <c r="O9825" i="2"/>
  <c r="O9826" i="2"/>
  <c r="O9827" i="2"/>
  <c r="O9828" i="2"/>
  <c r="O9829" i="2"/>
  <c r="O9830" i="2"/>
  <c r="O9831" i="2"/>
  <c r="O9832" i="2"/>
  <c r="O9833" i="2"/>
  <c r="O9834" i="2"/>
  <c r="O9835" i="2"/>
  <c r="O9836" i="2"/>
  <c r="O9837" i="2"/>
  <c r="O9838" i="2"/>
  <c r="O9839" i="2"/>
  <c r="O9840" i="2"/>
  <c r="O9841" i="2"/>
  <c r="O9842" i="2"/>
  <c r="O9843" i="2"/>
  <c r="O9844" i="2"/>
  <c r="O9845" i="2"/>
  <c r="O9846" i="2"/>
  <c r="O9847" i="2"/>
  <c r="O9848" i="2"/>
  <c r="O9849" i="2"/>
  <c r="O9850" i="2"/>
  <c r="O9851" i="2"/>
  <c r="O9852" i="2"/>
  <c r="O9853" i="2"/>
  <c r="O9854" i="2"/>
  <c r="O9855" i="2"/>
  <c r="O9856" i="2"/>
  <c r="O9857" i="2"/>
  <c r="O9858" i="2"/>
  <c r="O9859" i="2"/>
  <c r="O9860" i="2"/>
  <c r="O9861" i="2"/>
  <c r="O9862" i="2"/>
  <c r="O9863" i="2"/>
  <c r="O9864" i="2"/>
  <c r="O9865" i="2"/>
  <c r="O9866" i="2"/>
  <c r="O9867" i="2"/>
  <c r="O9868" i="2"/>
  <c r="O9869" i="2"/>
  <c r="O9870" i="2"/>
  <c r="O9871" i="2"/>
  <c r="O9872" i="2"/>
  <c r="O9873" i="2"/>
  <c r="O9874" i="2"/>
  <c r="O9875" i="2"/>
  <c r="O9876" i="2"/>
  <c r="O9877" i="2"/>
  <c r="O9878" i="2"/>
  <c r="O9879" i="2"/>
  <c r="O9880" i="2"/>
  <c r="O9881" i="2"/>
  <c r="O9882" i="2"/>
  <c r="O9883" i="2"/>
  <c r="O9884" i="2"/>
  <c r="O9885" i="2"/>
  <c r="O9886" i="2"/>
  <c r="O9887" i="2"/>
  <c r="O9888" i="2"/>
  <c r="O9889" i="2"/>
  <c r="O9890" i="2"/>
  <c r="O9891" i="2"/>
  <c r="O9892" i="2"/>
  <c r="O9893" i="2"/>
  <c r="O9894" i="2"/>
  <c r="O9895" i="2"/>
  <c r="O9896" i="2"/>
  <c r="O9897" i="2"/>
  <c r="O9898" i="2"/>
  <c r="O9899" i="2"/>
  <c r="O9900" i="2"/>
  <c r="O9901" i="2"/>
  <c r="O9902" i="2"/>
  <c r="O9903" i="2"/>
  <c r="O9904" i="2"/>
  <c r="O9905" i="2"/>
  <c r="O9906" i="2"/>
  <c r="O9907" i="2"/>
  <c r="O9908" i="2"/>
  <c r="O9909" i="2"/>
  <c r="O9910" i="2"/>
  <c r="O9911" i="2"/>
  <c r="O9912" i="2"/>
  <c r="O9913" i="2"/>
  <c r="O9914" i="2"/>
  <c r="O9915" i="2"/>
  <c r="O9916" i="2"/>
  <c r="O9917" i="2"/>
  <c r="O9918" i="2"/>
  <c r="O9919" i="2"/>
  <c r="O9920" i="2"/>
  <c r="O9921" i="2"/>
  <c r="O9922" i="2"/>
  <c r="O9923" i="2"/>
  <c r="O9924" i="2"/>
  <c r="O9925" i="2"/>
  <c r="O9926" i="2"/>
  <c r="O9927" i="2"/>
  <c r="O9928" i="2"/>
  <c r="O9929" i="2"/>
  <c r="O9930" i="2"/>
  <c r="O9931" i="2"/>
  <c r="O9932" i="2"/>
  <c r="O9933" i="2"/>
  <c r="O9934" i="2"/>
  <c r="O9935" i="2"/>
  <c r="O9936" i="2"/>
  <c r="O9937" i="2"/>
  <c r="O9938" i="2"/>
  <c r="O9939" i="2"/>
  <c r="O9940" i="2"/>
  <c r="O9941" i="2"/>
  <c r="O9942" i="2"/>
  <c r="O9943" i="2"/>
  <c r="O9944" i="2"/>
  <c r="O9945" i="2"/>
  <c r="O9946" i="2"/>
  <c r="O9947" i="2"/>
  <c r="O9948" i="2"/>
  <c r="O9949" i="2"/>
  <c r="O9950" i="2"/>
  <c r="O9951" i="2"/>
  <c r="O9952" i="2"/>
  <c r="O9953" i="2"/>
  <c r="O9954" i="2"/>
  <c r="O9955" i="2"/>
  <c r="O9956" i="2"/>
  <c r="O9957" i="2"/>
  <c r="O9958" i="2"/>
  <c r="O9959" i="2"/>
  <c r="O9960" i="2"/>
  <c r="O9961" i="2"/>
  <c r="O9962" i="2"/>
  <c r="O9963" i="2"/>
  <c r="O9964" i="2"/>
  <c r="O9965" i="2"/>
  <c r="O9966" i="2"/>
  <c r="O9967" i="2"/>
  <c r="O9968" i="2"/>
  <c r="O9969" i="2"/>
  <c r="O9970" i="2"/>
  <c r="O9971" i="2"/>
  <c r="O9972" i="2"/>
  <c r="O9973" i="2"/>
  <c r="O9974" i="2"/>
  <c r="O9975" i="2"/>
  <c r="O9976" i="2"/>
  <c r="O9977" i="2"/>
  <c r="O9978" i="2"/>
  <c r="O9979" i="2"/>
  <c r="O9980" i="2"/>
  <c r="O9981" i="2"/>
  <c r="O9982" i="2"/>
  <c r="O9983" i="2"/>
  <c r="O9984" i="2"/>
  <c r="O9985" i="2"/>
  <c r="O9986" i="2"/>
  <c r="O9987" i="2"/>
  <c r="O9988" i="2"/>
  <c r="O9989" i="2"/>
  <c r="O9990" i="2"/>
  <c r="O9991" i="2"/>
  <c r="O9992" i="2"/>
  <c r="O9993" i="2"/>
  <c r="O9994" i="2"/>
  <c r="O9995" i="2"/>
  <c r="O9996" i="2"/>
  <c r="O9997" i="2"/>
  <c r="O9998" i="2"/>
  <c r="O9999" i="2"/>
  <c r="O10000" i="2"/>
  <c r="O10001" i="2"/>
  <c r="O10002" i="2"/>
  <c r="O10003" i="2"/>
  <c r="O10004" i="2"/>
  <c r="O10005" i="2"/>
  <c r="O10006" i="2"/>
  <c r="O10007" i="2"/>
  <c r="O10008" i="2"/>
  <c r="O10009" i="2"/>
  <c r="O10010" i="2"/>
  <c r="O10011" i="2"/>
  <c r="O10012" i="2"/>
  <c r="O10013" i="2"/>
  <c r="O10014" i="2"/>
  <c r="O10015" i="2"/>
  <c r="O10016" i="2"/>
  <c r="O10017" i="2"/>
  <c r="O10018" i="2"/>
  <c r="O10019" i="2"/>
  <c r="O10020" i="2"/>
  <c r="O10021" i="2"/>
  <c r="O10022" i="2"/>
  <c r="O10023" i="2"/>
  <c r="O10024" i="2"/>
  <c r="O10025" i="2"/>
  <c r="O10026" i="2"/>
  <c r="O10027" i="2"/>
  <c r="O10028" i="2"/>
  <c r="O10029" i="2"/>
  <c r="O10030" i="2"/>
  <c r="O10031" i="2"/>
  <c r="O10032" i="2"/>
  <c r="O10033" i="2"/>
  <c r="O10034" i="2"/>
  <c r="O10035" i="2"/>
  <c r="O10036" i="2"/>
  <c r="O10037" i="2"/>
  <c r="O10038" i="2"/>
  <c r="O10039" i="2"/>
  <c r="O10040" i="2"/>
  <c r="O10041" i="2"/>
  <c r="O10042" i="2"/>
  <c r="O10043" i="2"/>
  <c r="O10044" i="2"/>
  <c r="O10045" i="2"/>
  <c r="O10046" i="2"/>
  <c r="O10047" i="2"/>
  <c r="O10048" i="2"/>
  <c r="O10049" i="2"/>
  <c r="O10050" i="2"/>
  <c r="O10051" i="2"/>
  <c r="O10052" i="2"/>
  <c r="O10053" i="2"/>
  <c r="O10054" i="2"/>
  <c r="O10055" i="2"/>
  <c r="O10056" i="2"/>
  <c r="O10057" i="2"/>
  <c r="O10058" i="2"/>
  <c r="O10059" i="2"/>
  <c r="O10060" i="2"/>
  <c r="O10061" i="2"/>
  <c r="O10062" i="2"/>
  <c r="O10063" i="2"/>
  <c r="O10064" i="2"/>
  <c r="O10065" i="2"/>
  <c r="O10066" i="2"/>
  <c r="O10067" i="2"/>
  <c r="O10068" i="2"/>
  <c r="O10069" i="2"/>
  <c r="O10070" i="2"/>
  <c r="O10071" i="2"/>
  <c r="O10072" i="2"/>
  <c r="O10073" i="2"/>
  <c r="O10074" i="2"/>
  <c r="O10075" i="2"/>
  <c r="O10076" i="2"/>
  <c r="O10077" i="2"/>
  <c r="O10078" i="2"/>
  <c r="O10079" i="2"/>
  <c r="O10080" i="2"/>
  <c r="O10081" i="2"/>
  <c r="O10082" i="2"/>
  <c r="O10083" i="2"/>
  <c r="O10084" i="2"/>
  <c r="O10085" i="2"/>
  <c r="O10086" i="2"/>
  <c r="O10087" i="2"/>
  <c r="O10088" i="2"/>
  <c r="O10089" i="2"/>
  <c r="O10090" i="2"/>
  <c r="O10091" i="2"/>
  <c r="O10092" i="2"/>
  <c r="O10093" i="2"/>
  <c r="O10094" i="2"/>
  <c r="O10095" i="2"/>
  <c r="O10096" i="2"/>
  <c r="O10097" i="2"/>
  <c r="O10098" i="2"/>
  <c r="O10099" i="2"/>
  <c r="O10100" i="2"/>
  <c r="O10101" i="2"/>
  <c r="O10102" i="2"/>
  <c r="O10103" i="2"/>
  <c r="O10104" i="2"/>
  <c r="O10105" i="2"/>
  <c r="O10106" i="2"/>
  <c r="O10107" i="2"/>
  <c r="O10108" i="2"/>
  <c r="O10109" i="2"/>
  <c r="O10110" i="2"/>
  <c r="O10111" i="2"/>
  <c r="O10112" i="2"/>
  <c r="O10113" i="2"/>
  <c r="O10114" i="2"/>
  <c r="O10115" i="2"/>
  <c r="O10116" i="2"/>
  <c r="O10117" i="2"/>
  <c r="O10118" i="2"/>
  <c r="O10119" i="2"/>
  <c r="O10120" i="2"/>
  <c r="O10121" i="2"/>
  <c r="O10122" i="2"/>
  <c r="O10123" i="2"/>
  <c r="O10124" i="2"/>
  <c r="O10125" i="2"/>
  <c r="O10126" i="2"/>
  <c r="O10127" i="2"/>
  <c r="O10128" i="2"/>
  <c r="O10129" i="2"/>
  <c r="O10130" i="2"/>
  <c r="O10131" i="2"/>
  <c r="O10132" i="2"/>
  <c r="O10133" i="2"/>
  <c r="O10134" i="2"/>
  <c r="O10135" i="2"/>
  <c r="O10136" i="2"/>
  <c r="O10137" i="2"/>
  <c r="O10138" i="2"/>
  <c r="O10139" i="2"/>
  <c r="O10140" i="2"/>
  <c r="O10141" i="2"/>
  <c r="O10142" i="2"/>
  <c r="O10143" i="2"/>
  <c r="O10144" i="2"/>
  <c r="O10145" i="2"/>
  <c r="O10146" i="2"/>
  <c r="O10147" i="2"/>
  <c r="O10148" i="2"/>
  <c r="O10149" i="2"/>
  <c r="O10150" i="2"/>
  <c r="O10151" i="2"/>
  <c r="O10152" i="2"/>
  <c r="O10153" i="2"/>
  <c r="O10154" i="2"/>
  <c r="O10155" i="2"/>
  <c r="O10156" i="2"/>
  <c r="O10157" i="2"/>
  <c r="O10158" i="2"/>
  <c r="O10159" i="2"/>
  <c r="O10160" i="2"/>
  <c r="O10161" i="2"/>
  <c r="O10162" i="2"/>
  <c r="O10163" i="2"/>
  <c r="O10164" i="2"/>
  <c r="O10165" i="2"/>
  <c r="O10166" i="2"/>
  <c r="O10167" i="2"/>
  <c r="O10168" i="2"/>
  <c r="O10169" i="2"/>
  <c r="O10170" i="2"/>
  <c r="O10171" i="2"/>
  <c r="O10172" i="2"/>
  <c r="O10173" i="2"/>
  <c r="O10174" i="2"/>
  <c r="O10175" i="2"/>
  <c r="O10176" i="2"/>
  <c r="O10177" i="2"/>
  <c r="O10178" i="2"/>
  <c r="O10179" i="2"/>
  <c r="O10180" i="2"/>
  <c r="O10181" i="2"/>
  <c r="O10182" i="2"/>
  <c r="O10183" i="2"/>
  <c r="O10184" i="2"/>
  <c r="O10185" i="2"/>
  <c r="O10186" i="2"/>
  <c r="O10187" i="2"/>
  <c r="O10188" i="2"/>
  <c r="O10189" i="2"/>
  <c r="O10190" i="2"/>
  <c r="O10191" i="2"/>
  <c r="O10192" i="2"/>
  <c r="O10193" i="2"/>
  <c r="O10194" i="2"/>
  <c r="O10195" i="2"/>
  <c r="O10196" i="2"/>
  <c r="O10197" i="2"/>
  <c r="O10198" i="2"/>
  <c r="O10199" i="2"/>
  <c r="O10200" i="2"/>
  <c r="O10201" i="2"/>
  <c r="O10202" i="2"/>
  <c r="O10203" i="2"/>
  <c r="O10204" i="2"/>
  <c r="O10205" i="2"/>
  <c r="O10206" i="2"/>
  <c r="O10207" i="2"/>
  <c r="O10208" i="2"/>
  <c r="O10209" i="2"/>
  <c r="O10210" i="2"/>
  <c r="O10211" i="2"/>
  <c r="O10212" i="2"/>
  <c r="O10213" i="2"/>
  <c r="O10214" i="2"/>
  <c r="O10215" i="2"/>
  <c r="O10216" i="2"/>
  <c r="O10217" i="2"/>
  <c r="O10218" i="2"/>
  <c r="O10219" i="2"/>
  <c r="O10220" i="2"/>
  <c r="O10221" i="2"/>
  <c r="O10222" i="2"/>
  <c r="O10223" i="2"/>
  <c r="O10224" i="2"/>
  <c r="O10225" i="2"/>
  <c r="O10226" i="2"/>
  <c r="O10227" i="2"/>
  <c r="O10228" i="2"/>
  <c r="O10229" i="2"/>
  <c r="O10230" i="2"/>
  <c r="O10231" i="2"/>
  <c r="O10232" i="2"/>
  <c r="O10233" i="2"/>
  <c r="O10234" i="2"/>
  <c r="O10235" i="2"/>
  <c r="O10236" i="2"/>
  <c r="O10237" i="2"/>
  <c r="O10238" i="2"/>
  <c r="O10239" i="2"/>
  <c r="O10240" i="2"/>
  <c r="O10241" i="2"/>
  <c r="O10242" i="2"/>
  <c r="O10243" i="2"/>
  <c r="O10244" i="2"/>
  <c r="O10245" i="2"/>
  <c r="O10246" i="2"/>
  <c r="O10247" i="2"/>
  <c r="O10248" i="2"/>
  <c r="O10249" i="2"/>
  <c r="O10250" i="2"/>
  <c r="O10251" i="2"/>
  <c r="O10252" i="2"/>
  <c r="O10253" i="2"/>
  <c r="O10254" i="2"/>
  <c r="O10255" i="2"/>
  <c r="O10256" i="2"/>
  <c r="O10257" i="2"/>
  <c r="O10258" i="2"/>
  <c r="O10259" i="2"/>
  <c r="O10260" i="2"/>
  <c r="O10261" i="2"/>
  <c r="O10262" i="2"/>
  <c r="O10263" i="2"/>
  <c r="O10264" i="2"/>
  <c r="O10265" i="2"/>
  <c r="O10266" i="2"/>
  <c r="O10267" i="2"/>
  <c r="O10268" i="2"/>
  <c r="O10269" i="2"/>
  <c r="O10270" i="2"/>
  <c r="O10271" i="2"/>
  <c r="O10272" i="2"/>
  <c r="O10273" i="2"/>
  <c r="O10274" i="2"/>
  <c r="O10275" i="2"/>
  <c r="O10276" i="2"/>
  <c r="O10277" i="2"/>
  <c r="O10278" i="2"/>
  <c r="O10279" i="2"/>
  <c r="O10280" i="2"/>
  <c r="O10281" i="2"/>
  <c r="O10282" i="2"/>
  <c r="O10283" i="2"/>
  <c r="O10284" i="2"/>
  <c r="O10285" i="2"/>
  <c r="O10286" i="2"/>
  <c r="O10287" i="2"/>
  <c r="O10288" i="2"/>
  <c r="O10289" i="2"/>
  <c r="O10290" i="2"/>
  <c r="O10291" i="2"/>
  <c r="O10292" i="2"/>
  <c r="O10293" i="2"/>
  <c r="O10294" i="2"/>
  <c r="O10295" i="2"/>
  <c r="O10296" i="2"/>
  <c r="O10297" i="2"/>
  <c r="O10298" i="2"/>
  <c r="O10299" i="2"/>
  <c r="O10300" i="2"/>
  <c r="O10301" i="2"/>
  <c r="O10302" i="2"/>
  <c r="O10303" i="2"/>
  <c r="O10304" i="2"/>
  <c r="O10305" i="2"/>
  <c r="O10306" i="2"/>
  <c r="O10307" i="2"/>
  <c r="O10308" i="2"/>
  <c r="O10309" i="2"/>
  <c r="O10310" i="2"/>
  <c r="O10311" i="2"/>
  <c r="O10312" i="2"/>
  <c r="O10313" i="2"/>
  <c r="O10314" i="2"/>
  <c r="O10315" i="2"/>
  <c r="O10316" i="2"/>
  <c r="O10317" i="2"/>
  <c r="O10318" i="2"/>
  <c r="O10319" i="2"/>
  <c r="O10320" i="2"/>
  <c r="O10321" i="2"/>
  <c r="O10322" i="2"/>
  <c r="O10323" i="2"/>
  <c r="O10324" i="2"/>
  <c r="O10325" i="2"/>
  <c r="O10326" i="2"/>
  <c r="O10327" i="2"/>
  <c r="O10328" i="2"/>
  <c r="O10329" i="2"/>
  <c r="O10330" i="2"/>
  <c r="O10331" i="2"/>
  <c r="O10332" i="2"/>
  <c r="O10333" i="2"/>
  <c r="O10334" i="2"/>
  <c r="O10335" i="2"/>
  <c r="O10336" i="2"/>
  <c r="O10337" i="2"/>
  <c r="O10338" i="2"/>
  <c r="O10339" i="2"/>
  <c r="O10340" i="2"/>
  <c r="O10341" i="2"/>
  <c r="O10342" i="2"/>
  <c r="O10343" i="2"/>
  <c r="O10344" i="2"/>
  <c r="O10345" i="2"/>
  <c r="O10346" i="2"/>
  <c r="O10347" i="2"/>
  <c r="O10348" i="2"/>
  <c r="O10349" i="2"/>
  <c r="O10350" i="2"/>
  <c r="O10351" i="2"/>
  <c r="O10352" i="2"/>
  <c r="O10353" i="2"/>
  <c r="O10354" i="2"/>
  <c r="O10355" i="2"/>
  <c r="O10356" i="2"/>
  <c r="O10357" i="2"/>
  <c r="O10358" i="2"/>
  <c r="O10359" i="2"/>
  <c r="O10360" i="2"/>
  <c r="O10361" i="2"/>
  <c r="O10362" i="2"/>
  <c r="O10363" i="2"/>
  <c r="O10364" i="2"/>
  <c r="O10365" i="2"/>
  <c r="O10366" i="2"/>
  <c r="O10367" i="2"/>
  <c r="O10368" i="2"/>
  <c r="O10369" i="2"/>
  <c r="O10370" i="2"/>
  <c r="O10371" i="2"/>
  <c r="O10372" i="2"/>
  <c r="O10373" i="2"/>
  <c r="O10374" i="2"/>
  <c r="O10375" i="2"/>
  <c r="O10376" i="2"/>
  <c r="O10377" i="2"/>
  <c r="O10378" i="2"/>
  <c r="O10379" i="2"/>
  <c r="O10380" i="2"/>
  <c r="O10381" i="2"/>
  <c r="O10382" i="2"/>
  <c r="O10383" i="2"/>
  <c r="O10384" i="2"/>
  <c r="O10385" i="2"/>
  <c r="O10386" i="2"/>
  <c r="O10387" i="2"/>
  <c r="O10388" i="2"/>
  <c r="O10389" i="2"/>
  <c r="O10390" i="2"/>
  <c r="O10391" i="2"/>
  <c r="O10392" i="2"/>
  <c r="O10393" i="2"/>
  <c r="O10394" i="2"/>
  <c r="O10395" i="2"/>
  <c r="O10396" i="2"/>
  <c r="O10397" i="2"/>
  <c r="O10398" i="2"/>
  <c r="O10399" i="2"/>
  <c r="O10400" i="2"/>
  <c r="O10401" i="2"/>
  <c r="O10402" i="2"/>
  <c r="O10403" i="2"/>
  <c r="O10404" i="2"/>
  <c r="O10405" i="2"/>
  <c r="O10406" i="2"/>
  <c r="O10407" i="2"/>
  <c r="O10408" i="2"/>
  <c r="O10409" i="2"/>
  <c r="O10410" i="2"/>
  <c r="O10411" i="2"/>
  <c r="O10412" i="2"/>
  <c r="O10413" i="2"/>
  <c r="O10414" i="2"/>
  <c r="O10415" i="2"/>
  <c r="O10416" i="2"/>
  <c r="O10417" i="2"/>
  <c r="O10418" i="2"/>
  <c r="O10419" i="2"/>
  <c r="O10420" i="2"/>
  <c r="O10421" i="2"/>
  <c r="O10422" i="2"/>
  <c r="O10423" i="2"/>
  <c r="O10424" i="2"/>
  <c r="O10425" i="2"/>
  <c r="O10426" i="2"/>
  <c r="O10427" i="2"/>
  <c r="O10428" i="2"/>
  <c r="O10429" i="2"/>
  <c r="O10430" i="2"/>
  <c r="O10431" i="2"/>
  <c r="O10432" i="2"/>
  <c r="O10433" i="2"/>
  <c r="O10434" i="2"/>
  <c r="O10435" i="2"/>
  <c r="O10436" i="2"/>
  <c r="O10437" i="2"/>
  <c r="O10438" i="2"/>
  <c r="O10439" i="2"/>
  <c r="O10440" i="2"/>
  <c r="O10441" i="2"/>
  <c r="O10442" i="2"/>
  <c r="O10443" i="2"/>
  <c r="O10444" i="2"/>
  <c r="O10445" i="2"/>
  <c r="O10446" i="2"/>
  <c r="O10447" i="2"/>
  <c r="O10448" i="2"/>
  <c r="O10449" i="2"/>
  <c r="O10450" i="2"/>
  <c r="O10451" i="2"/>
  <c r="O10452" i="2"/>
  <c r="O10453" i="2"/>
  <c r="O10454" i="2"/>
  <c r="O10455" i="2"/>
  <c r="O10456" i="2"/>
  <c r="O10457" i="2"/>
  <c r="O10458" i="2"/>
  <c r="O10459" i="2"/>
  <c r="O10460" i="2"/>
  <c r="O10461" i="2"/>
  <c r="O10462" i="2"/>
  <c r="O10463" i="2"/>
  <c r="O10464" i="2"/>
  <c r="O10465" i="2"/>
  <c r="O10466" i="2"/>
  <c r="O10467" i="2"/>
  <c r="O10468" i="2"/>
  <c r="O10469" i="2"/>
  <c r="O10470" i="2"/>
  <c r="O10471" i="2"/>
  <c r="O10472" i="2"/>
  <c r="O10473" i="2"/>
  <c r="O10474" i="2"/>
  <c r="O10475" i="2"/>
  <c r="O10476" i="2"/>
  <c r="O10477" i="2"/>
  <c r="O10478" i="2"/>
  <c r="O10479" i="2"/>
  <c r="O10480" i="2"/>
  <c r="O10481" i="2"/>
  <c r="O10482" i="2"/>
  <c r="O10483" i="2"/>
  <c r="O10484" i="2"/>
  <c r="O10485" i="2"/>
  <c r="O10486" i="2"/>
  <c r="O10487" i="2"/>
  <c r="O10488" i="2"/>
  <c r="O10489" i="2"/>
  <c r="O10490" i="2"/>
  <c r="O10491" i="2"/>
  <c r="O10492" i="2"/>
  <c r="O10493" i="2"/>
  <c r="O10494" i="2"/>
  <c r="O10495" i="2"/>
  <c r="O10496" i="2"/>
  <c r="O10497" i="2"/>
  <c r="O10498" i="2"/>
  <c r="O10499" i="2"/>
  <c r="O10500" i="2"/>
  <c r="O10501" i="2"/>
  <c r="O10502" i="2"/>
  <c r="O10503" i="2"/>
  <c r="O10504" i="2"/>
  <c r="O10505" i="2"/>
  <c r="O10506" i="2"/>
  <c r="O10507" i="2"/>
  <c r="O10508" i="2"/>
  <c r="O10509" i="2"/>
  <c r="O10510" i="2"/>
  <c r="O10511" i="2"/>
  <c r="O10512" i="2"/>
  <c r="O10513" i="2"/>
  <c r="O10514" i="2"/>
  <c r="O10515" i="2"/>
  <c r="O10516" i="2"/>
  <c r="O10517" i="2"/>
  <c r="O10518" i="2"/>
  <c r="O10519" i="2"/>
  <c r="O10520" i="2"/>
  <c r="O10521" i="2"/>
  <c r="O10522" i="2"/>
  <c r="O10523" i="2"/>
  <c r="O10524" i="2"/>
  <c r="O10525" i="2"/>
  <c r="O10526" i="2"/>
  <c r="O10527" i="2"/>
  <c r="O10528" i="2"/>
  <c r="O10529" i="2"/>
  <c r="O10530" i="2"/>
  <c r="O10531" i="2"/>
  <c r="O10532" i="2"/>
  <c r="O10533" i="2"/>
  <c r="O10534" i="2"/>
  <c r="O10535" i="2"/>
  <c r="O10536" i="2"/>
  <c r="O10537" i="2"/>
  <c r="O10538" i="2"/>
  <c r="O10539" i="2"/>
  <c r="O10540" i="2"/>
  <c r="O10541" i="2"/>
  <c r="O10542" i="2"/>
  <c r="O10543" i="2"/>
  <c r="O10544" i="2"/>
  <c r="O10545" i="2"/>
  <c r="O10546" i="2"/>
  <c r="O10547" i="2"/>
  <c r="O10548" i="2"/>
  <c r="O10549" i="2"/>
  <c r="O10550" i="2"/>
  <c r="O10551" i="2"/>
  <c r="O10552" i="2"/>
  <c r="O10553" i="2"/>
  <c r="O10554" i="2"/>
  <c r="O10555" i="2"/>
  <c r="O10556" i="2"/>
  <c r="O10557" i="2"/>
  <c r="O10558" i="2"/>
  <c r="O10559" i="2"/>
  <c r="O10560" i="2"/>
  <c r="O10561" i="2"/>
  <c r="O10562" i="2"/>
  <c r="O10563" i="2"/>
  <c r="O10564" i="2"/>
  <c r="O10565" i="2"/>
  <c r="O10566" i="2"/>
  <c r="O10567" i="2"/>
  <c r="O10568" i="2"/>
  <c r="O10569" i="2"/>
  <c r="O10570" i="2"/>
  <c r="O10571" i="2"/>
  <c r="O10572" i="2"/>
  <c r="O10573" i="2"/>
  <c r="O10574" i="2"/>
  <c r="O10575" i="2"/>
  <c r="O10576" i="2"/>
  <c r="O10577" i="2"/>
  <c r="O10578" i="2"/>
  <c r="O10579" i="2"/>
  <c r="O10580" i="2"/>
  <c r="O10581" i="2"/>
  <c r="O10582" i="2"/>
  <c r="O10583" i="2"/>
  <c r="O10584" i="2"/>
  <c r="O10585" i="2"/>
  <c r="O10586" i="2"/>
  <c r="O10587" i="2"/>
  <c r="O10588" i="2"/>
  <c r="O10589" i="2"/>
  <c r="O10590" i="2"/>
  <c r="O10591" i="2"/>
  <c r="O10592" i="2"/>
  <c r="O10593" i="2"/>
  <c r="O10594" i="2"/>
  <c r="O10595" i="2"/>
  <c r="O10596" i="2"/>
  <c r="O10597" i="2"/>
  <c r="O10598" i="2"/>
  <c r="O10599" i="2"/>
  <c r="O10600" i="2"/>
  <c r="O10601" i="2"/>
  <c r="O10602" i="2"/>
  <c r="O10603" i="2"/>
  <c r="O10604" i="2"/>
  <c r="O10605" i="2"/>
  <c r="O10606" i="2"/>
  <c r="O10607" i="2"/>
  <c r="O10608" i="2"/>
  <c r="O10609" i="2"/>
  <c r="O10610" i="2"/>
  <c r="O10611" i="2"/>
  <c r="O10612" i="2"/>
  <c r="O10613" i="2"/>
  <c r="O10614" i="2"/>
  <c r="O10615" i="2"/>
  <c r="O10616" i="2"/>
  <c r="O10617" i="2"/>
  <c r="O10618" i="2"/>
  <c r="O10619" i="2"/>
  <c r="O10620" i="2"/>
  <c r="O10621" i="2"/>
  <c r="O10622" i="2"/>
  <c r="O10623" i="2"/>
  <c r="O10624" i="2"/>
  <c r="O10625" i="2"/>
  <c r="O10626" i="2"/>
  <c r="O10627" i="2"/>
  <c r="O10628" i="2"/>
  <c r="O10629" i="2"/>
  <c r="O10630" i="2"/>
  <c r="O10631" i="2"/>
  <c r="O10632" i="2"/>
  <c r="O10633" i="2"/>
  <c r="O10634" i="2"/>
  <c r="O10635" i="2"/>
  <c r="O10636" i="2"/>
  <c r="O10637" i="2"/>
  <c r="O10638" i="2"/>
  <c r="O10639" i="2"/>
  <c r="O10640" i="2"/>
  <c r="O10641" i="2"/>
  <c r="O10642" i="2"/>
  <c r="O10643" i="2"/>
  <c r="O10644" i="2"/>
  <c r="O10645" i="2"/>
  <c r="O10646" i="2"/>
  <c r="O10647" i="2"/>
  <c r="O10648" i="2"/>
  <c r="O10649" i="2"/>
  <c r="O10650" i="2"/>
  <c r="O10651" i="2"/>
  <c r="O10652" i="2"/>
  <c r="O10653" i="2"/>
  <c r="O10654" i="2"/>
  <c r="O10655" i="2"/>
  <c r="O10656" i="2"/>
  <c r="O10657" i="2"/>
  <c r="O10658" i="2"/>
  <c r="O10659" i="2"/>
  <c r="O10660" i="2"/>
  <c r="O10661" i="2"/>
  <c r="O10662" i="2"/>
  <c r="O10663" i="2"/>
  <c r="O10664" i="2"/>
  <c r="O10665" i="2"/>
  <c r="O10666" i="2"/>
  <c r="O10667" i="2"/>
  <c r="O10668" i="2"/>
  <c r="O10669" i="2"/>
  <c r="O10670" i="2"/>
  <c r="O10671" i="2"/>
  <c r="O10672" i="2"/>
  <c r="O10673" i="2"/>
  <c r="O10674" i="2"/>
  <c r="O10675" i="2"/>
  <c r="O10676" i="2"/>
  <c r="O10677" i="2"/>
  <c r="O10678" i="2"/>
  <c r="O10679" i="2"/>
  <c r="O10680" i="2"/>
  <c r="O10681" i="2"/>
  <c r="O10682" i="2"/>
  <c r="O10683" i="2"/>
  <c r="O10684" i="2"/>
  <c r="O10685" i="2"/>
  <c r="O10686" i="2"/>
  <c r="O10687" i="2"/>
  <c r="O10688" i="2"/>
  <c r="O10689" i="2"/>
  <c r="O10690" i="2"/>
  <c r="O10691" i="2"/>
  <c r="O10692" i="2"/>
  <c r="O10693" i="2"/>
  <c r="O10694" i="2"/>
  <c r="O10695" i="2"/>
  <c r="O10696" i="2"/>
  <c r="O10697" i="2"/>
  <c r="O10698" i="2"/>
  <c r="O10699" i="2"/>
  <c r="O10700" i="2"/>
  <c r="O10701" i="2"/>
  <c r="O10702" i="2"/>
  <c r="O10703" i="2"/>
  <c r="O10704" i="2"/>
  <c r="O10705" i="2"/>
  <c r="O10706" i="2"/>
  <c r="O10707" i="2"/>
  <c r="O10708" i="2"/>
  <c r="O10709" i="2"/>
  <c r="O10710" i="2"/>
  <c r="O10711" i="2"/>
  <c r="O10712" i="2"/>
  <c r="O10713" i="2"/>
  <c r="O10714" i="2"/>
  <c r="O10715" i="2"/>
  <c r="O10716" i="2"/>
  <c r="O10717" i="2"/>
  <c r="O10718" i="2"/>
  <c r="O10719" i="2"/>
  <c r="O10720" i="2"/>
  <c r="O10721" i="2"/>
  <c r="O10722" i="2"/>
  <c r="O10723" i="2"/>
  <c r="O10724" i="2"/>
  <c r="O10725" i="2"/>
  <c r="O10726" i="2"/>
  <c r="O10727" i="2"/>
  <c r="O10728" i="2"/>
  <c r="O10729" i="2"/>
  <c r="O10730" i="2"/>
  <c r="O10731" i="2"/>
  <c r="O10732" i="2"/>
  <c r="O10733" i="2"/>
  <c r="O10734" i="2"/>
  <c r="O10735" i="2"/>
  <c r="O10736" i="2"/>
  <c r="O10737" i="2"/>
  <c r="O10738" i="2"/>
  <c r="O10739" i="2"/>
  <c r="O10740" i="2"/>
  <c r="O10741" i="2"/>
  <c r="O10742" i="2"/>
  <c r="O10743" i="2"/>
  <c r="O10744" i="2"/>
  <c r="O10745" i="2"/>
  <c r="O10746" i="2"/>
  <c r="O10747" i="2"/>
  <c r="O10748" i="2"/>
  <c r="O10749" i="2"/>
  <c r="O10750" i="2"/>
  <c r="O10751" i="2"/>
  <c r="O10752" i="2"/>
  <c r="O10753" i="2"/>
  <c r="O10754" i="2"/>
  <c r="O10755" i="2"/>
  <c r="O10756" i="2"/>
  <c r="O10757" i="2"/>
  <c r="O10758" i="2"/>
  <c r="O10759" i="2"/>
  <c r="O10760" i="2"/>
  <c r="O10761" i="2"/>
  <c r="O10762" i="2"/>
  <c r="O10763" i="2"/>
  <c r="O10764" i="2"/>
  <c r="O10765" i="2"/>
  <c r="O10766" i="2"/>
  <c r="O10767" i="2"/>
  <c r="O10768" i="2"/>
  <c r="O10769" i="2"/>
  <c r="O10770" i="2"/>
  <c r="O10771" i="2"/>
  <c r="O10772" i="2"/>
  <c r="O10773" i="2"/>
  <c r="O10774" i="2"/>
  <c r="O10775" i="2"/>
  <c r="O10776" i="2"/>
  <c r="O10777" i="2"/>
  <c r="O10778" i="2"/>
  <c r="O10779" i="2"/>
  <c r="O10780" i="2"/>
  <c r="O10781" i="2"/>
  <c r="O10782" i="2"/>
  <c r="O10783" i="2"/>
  <c r="O10784" i="2"/>
  <c r="O10785" i="2"/>
  <c r="O10786" i="2"/>
  <c r="O10787" i="2"/>
  <c r="O10788" i="2"/>
  <c r="O10789" i="2"/>
  <c r="O10790" i="2"/>
  <c r="O10791" i="2"/>
  <c r="O10792" i="2"/>
  <c r="O10793" i="2"/>
  <c r="O10794" i="2"/>
  <c r="O10795" i="2"/>
  <c r="O10796" i="2"/>
  <c r="O10797" i="2"/>
  <c r="O10798" i="2"/>
  <c r="O10799" i="2"/>
  <c r="O10800" i="2"/>
  <c r="O10801" i="2"/>
  <c r="O10802" i="2"/>
  <c r="O10803" i="2"/>
  <c r="O10804" i="2"/>
  <c r="O10805" i="2"/>
  <c r="O10806" i="2"/>
  <c r="O10807" i="2"/>
  <c r="O10808" i="2"/>
  <c r="O10809" i="2"/>
  <c r="O10810" i="2"/>
  <c r="O10811" i="2"/>
  <c r="O10812" i="2"/>
  <c r="O10813" i="2"/>
  <c r="O10814" i="2"/>
  <c r="O10815" i="2"/>
  <c r="O10816" i="2"/>
  <c r="O10817" i="2"/>
  <c r="O10818" i="2"/>
  <c r="O10819" i="2"/>
  <c r="O10820" i="2"/>
  <c r="O10821" i="2"/>
  <c r="O10822" i="2"/>
  <c r="O10823" i="2"/>
  <c r="O10824" i="2"/>
  <c r="O10825" i="2"/>
  <c r="O10826" i="2"/>
  <c r="O10827" i="2"/>
  <c r="O10828" i="2"/>
  <c r="O10829" i="2"/>
  <c r="O10830" i="2"/>
  <c r="O10831" i="2"/>
  <c r="O10832" i="2"/>
  <c r="O10833" i="2"/>
  <c r="O10834" i="2"/>
  <c r="O10835" i="2"/>
  <c r="O10836" i="2"/>
  <c r="O10837" i="2"/>
  <c r="O10838" i="2"/>
  <c r="O10839" i="2"/>
  <c r="O10840" i="2"/>
  <c r="O10841" i="2"/>
  <c r="O10842" i="2"/>
  <c r="O10843" i="2"/>
  <c r="O10844" i="2"/>
  <c r="O10845" i="2"/>
  <c r="O10846" i="2"/>
  <c r="O10847" i="2"/>
  <c r="O10848" i="2"/>
  <c r="O10849" i="2"/>
  <c r="O10850" i="2"/>
  <c r="O10851" i="2"/>
  <c r="O10852" i="2"/>
  <c r="O10853" i="2"/>
  <c r="O10854" i="2"/>
  <c r="O10855" i="2"/>
  <c r="O10856" i="2"/>
  <c r="O10857" i="2"/>
  <c r="O10858" i="2"/>
  <c r="O10859" i="2"/>
  <c r="O10860" i="2"/>
  <c r="O10861" i="2"/>
  <c r="O10862" i="2"/>
  <c r="O10863" i="2"/>
  <c r="O10864" i="2"/>
  <c r="O10865" i="2"/>
  <c r="O10866" i="2"/>
  <c r="O10867" i="2"/>
  <c r="O10868" i="2"/>
  <c r="O10869" i="2"/>
  <c r="O10870" i="2"/>
  <c r="O10871" i="2"/>
  <c r="O10872" i="2"/>
  <c r="O10873" i="2"/>
  <c r="O10874" i="2"/>
  <c r="O10875" i="2"/>
  <c r="O10876" i="2"/>
  <c r="O10877" i="2"/>
  <c r="O10878" i="2"/>
  <c r="O10879" i="2"/>
  <c r="O10880" i="2"/>
  <c r="O10881" i="2"/>
  <c r="O10882" i="2"/>
  <c r="O10883" i="2"/>
  <c r="O10884" i="2"/>
  <c r="O10885" i="2"/>
  <c r="O10886" i="2"/>
  <c r="O10887" i="2"/>
  <c r="O10888" i="2"/>
  <c r="O10889" i="2"/>
  <c r="O10890" i="2"/>
  <c r="O10891" i="2"/>
  <c r="O10892" i="2"/>
  <c r="O10893" i="2"/>
  <c r="O10894" i="2"/>
  <c r="O10895" i="2"/>
  <c r="O10896" i="2"/>
  <c r="O10897" i="2"/>
  <c r="O10898" i="2"/>
  <c r="O10899" i="2"/>
  <c r="O10900" i="2"/>
  <c r="O10901" i="2"/>
  <c r="O10902" i="2"/>
  <c r="O10903" i="2"/>
  <c r="O10904" i="2"/>
  <c r="O10905" i="2"/>
  <c r="O10906" i="2"/>
  <c r="O10907" i="2"/>
  <c r="O10908" i="2"/>
  <c r="O10909" i="2"/>
  <c r="O10910" i="2"/>
  <c r="O10911" i="2"/>
  <c r="O10912" i="2"/>
  <c r="O10913" i="2"/>
  <c r="O10914" i="2"/>
  <c r="O10915" i="2"/>
  <c r="O10916" i="2"/>
  <c r="O10917" i="2"/>
  <c r="O10918" i="2"/>
  <c r="O10919" i="2"/>
  <c r="O10920" i="2"/>
  <c r="O10921" i="2"/>
  <c r="O10922" i="2"/>
  <c r="O10923" i="2"/>
  <c r="O10924" i="2"/>
  <c r="O10925" i="2"/>
  <c r="O10926" i="2"/>
  <c r="O10927" i="2"/>
  <c r="O10928" i="2"/>
  <c r="O10929" i="2"/>
  <c r="O10930" i="2"/>
  <c r="O10931" i="2"/>
  <c r="O10932" i="2"/>
  <c r="O10933" i="2"/>
  <c r="O10934" i="2"/>
  <c r="O10935" i="2"/>
  <c r="O10936" i="2"/>
  <c r="O10937" i="2"/>
  <c r="O10938" i="2"/>
  <c r="O10939" i="2"/>
  <c r="O10940" i="2"/>
  <c r="O10941" i="2"/>
  <c r="O10942" i="2"/>
  <c r="O10943" i="2"/>
  <c r="O10944" i="2"/>
  <c r="O10945" i="2"/>
  <c r="O10946" i="2"/>
  <c r="O10947" i="2"/>
  <c r="O10948" i="2"/>
  <c r="O10949" i="2"/>
  <c r="O10950" i="2"/>
  <c r="O10951" i="2"/>
  <c r="O10952" i="2"/>
  <c r="O10953" i="2"/>
  <c r="O10954" i="2"/>
  <c r="O10955" i="2"/>
  <c r="O10956" i="2"/>
  <c r="O10957" i="2"/>
  <c r="O10958" i="2"/>
  <c r="O10959" i="2"/>
  <c r="O10960" i="2"/>
  <c r="O10961" i="2"/>
  <c r="O10962" i="2"/>
  <c r="O10963" i="2"/>
  <c r="O10964" i="2"/>
  <c r="O10965" i="2"/>
  <c r="O10966" i="2"/>
  <c r="O10967" i="2"/>
  <c r="O10968" i="2"/>
  <c r="O10969" i="2"/>
  <c r="O10970" i="2"/>
  <c r="O10971" i="2"/>
  <c r="O10972" i="2"/>
  <c r="O10973" i="2"/>
  <c r="O10974" i="2"/>
  <c r="O10975" i="2"/>
  <c r="O10976" i="2"/>
  <c r="O10977" i="2"/>
  <c r="O10978" i="2"/>
  <c r="O10979" i="2"/>
  <c r="O10980" i="2"/>
  <c r="O10981" i="2"/>
  <c r="O10982" i="2"/>
  <c r="O10983" i="2"/>
  <c r="O10984" i="2"/>
  <c r="O10985" i="2"/>
  <c r="O10986" i="2"/>
  <c r="O10987" i="2"/>
  <c r="O10988" i="2"/>
  <c r="O10989" i="2"/>
  <c r="O10990" i="2"/>
  <c r="O10991" i="2"/>
  <c r="O10992" i="2"/>
  <c r="O10993" i="2"/>
  <c r="O10994" i="2"/>
  <c r="O10995" i="2"/>
  <c r="O10996" i="2"/>
  <c r="O10997" i="2"/>
  <c r="O10998" i="2"/>
  <c r="O10999" i="2"/>
  <c r="O11000" i="2"/>
  <c r="O11001" i="2"/>
  <c r="O11002" i="2"/>
  <c r="O11003" i="2"/>
  <c r="O11004" i="2"/>
  <c r="O11005" i="2"/>
  <c r="O11006" i="2"/>
  <c r="O11007" i="2"/>
  <c r="O11008" i="2"/>
  <c r="O11009" i="2"/>
  <c r="O11010" i="2"/>
  <c r="O11011" i="2"/>
  <c r="O11012" i="2"/>
  <c r="O11013" i="2"/>
  <c r="O11014" i="2"/>
  <c r="O11015" i="2"/>
  <c r="O11016" i="2"/>
  <c r="O11017" i="2"/>
  <c r="O11018" i="2"/>
  <c r="O11019" i="2"/>
  <c r="O11020" i="2"/>
  <c r="O11021" i="2"/>
  <c r="O11022" i="2"/>
  <c r="O11023" i="2"/>
  <c r="O11024" i="2"/>
  <c r="O11025" i="2"/>
  <c r="O11026" i="2"/>
  <c r="O11027" i="2"/>
  <c r="O11028" i="2"/>
  <c r="O11029" i="2"/>
  <c r="O11030" i="2"/>
  <c r="O11031" i="2"/>
  <c r="O11032" i="2"/>
  <c r="O11033" i="2"/>
  <c r="O11034" i="2"/>
  <c r="O11035" i="2"/>
  <c r="O11036" i="2"/>
  <c r="O11037" i="2"/>
  <c r="O11038" i="2"/>
  <c r="O11039" i="2"/>
  <c r="O11040" i="2"/>
  <c r="O11041" i="2"/>
  <c r="O11042" i="2"/>
  <c r="O11043" i="2"/>
  <c r="O11044" i="2"/>
  <c r="O11045" i="2"/>
  <c r="O11046" i="2"/>
  <c r="O11047" i="2"/>
  <c r="O11048" i="2"/>
  <c r="O11049" i="2"/>
  <c r="O11050" i="2"/>
  <c r="O11051" i="2"/>
  <c r="O11052" i="2"/>
  <c r="O11053" i="2"/>
  <c r="O11054" i="2"/>
  <c r="O11055" i="2"/>
  <c r="O11056" i="2"/>
  <c r="O11057" i="2"/>
  <c r="O11058" i="2"/>
  <c r="O11059" i="2"/>
  <c r="O11060" i="2"/>
  <c r="O11061" i="2"/>
  <c r="O11062" i="2"/>
  <c r="O11063" i="2"/>
  <c r="O11064" i="2"/>
  <c r="O11065" i="2"/>
  <c r="O11066" i="2"/>
  <c r="O11067" i="2"/>
  <c r="O11068" i="2"/>
  <c r="O11069" i="2"/>
  <c r="O11070" i="2"/>
  <c r="O11071" i="2"/>
  <c r="O11072" i="2"/>
  <c r="O11073" i="2"/>
  <c r="O11074" i="2"/>
  <c r="O11075" i="2"/>
  <c r="O11076" i="2"/>
  <c r="O11077" i="2"/>
  <c r="O11078" i="2"/>
  <c r="O11079" i="2"/>
  <c r="O11080" i="2"/>
  <c r="O11081" i="2"/>
  <c r="O11082" i="2"/>
  <c r="O11083" i="2"/>
  <c r="O11084" i="2"/>
  <c r="O11085" i="2"/>
  <c r="O11086" i="2"/>
  <c r="O11087" i="2"/>
  <c r="O11088" i="2"/>
  <c r="O11089" i="2"/>
  <c r="O11090" i="2"/>
  <c r="O11091" i="2"/>
  <c r="O11092" i="2"/>
  <c r="O11093" i="2"/>
  <c r="O11094" i="2"/>
  <c r="O11095" i="2"/>
  <c r="O11096" i="2"/>
  <c r="O11097" i="2"/>
  <c r="O11098" i="2"/>
  <c r="O11099" i="2"/>
  <c r="O11100" i="2"/>
  <c r="O11101" i="2"/>
  <c r="O11102" i="2"/>
  <c r="O11103" i="2"/>
  <c r="O11104" i="2"/>
  <c r="O11105" i="2"/>
  <c r="O11106" i="2"/>
  <c r="O11107" i="2"/>
  <c r="O11108" i="2"/>
  <c r="O11109" i="2"/>
  <c r="O11110" i="2"/>
  <c r="O11111" i="2"/>
  <c r="O11112" i="2"/>
  <c r="O11113" i="2"/>
  <c r="O11114" i="2"/>
  <c r="O11115" i="2"/>
  <c r="O11116" i="2"/>
  <c r="O11117" i="2"/>
  <c r="O11118" i="2"/>
  <c r="O11119" i="2"/>
  <c r="O11120" i="2"/>
  <c r="O11121" i="2"/>
  <c r="O11122" i="2"/>
  <c r="O11123" i="2"/>
  <c r="O11124" i="2"/>
  <c r="O11125" i="2"/>
  <c r="O11126" i="2"/>
  <c r="O11127" i="2"/>
  <c r="O11128" i="2"/>
  <c r="O11129" i="2"/>
  <c r="O11130" i="2"/>
  <c r="O11131" i="2"/>
  <c r="O11132" i="2"/>
  <c r="O11133" i="2"/>
  <c r="O11134" i="2"/>
  <c r="O11135" i="2"/>
  <c r="O11136" i="2"/>
  <c r="O11137" i="2"/>
  <c r="O11138" i="2"/>
  <c r="O11139" i="2"/>
  <c r="O11140" i="2"/>
  <c r="O11141" i="2"/>
  <c r="O11142" i="2"/>
  <c r="O11143" i="2"/>
  <c r="O11144" i="2"/>
  <c r="O11145" i="2"/>
  <c r="O11146" i="2"/>
  <c r="O11147" i="2"/>
  <c r="O11148" i="2"/>
  <c r="O11149" i="2"/>
  <c r="O11150" i="2"/>
  <c r="O11151" i="2"/>
  <c r="O11152" i="2"/>
  <c r="O11153" i="2"/>
  <c r="O11154" i="2"/>
  <c r="O11155" i="2"/>
  <c r="O11156" i="2"/>
  <c r="O11157" i="2"/>
  <c r="O11158" i="2"/>
  <c r="O11159" i="2"/>
  <c r="O11160" i="2"/>
  <c r="O11161" i="2"/>
  <c r="O11162" i="2"/>
  <c r="O11163" i="2"/>
  <c r="O11164" i="2"/>
  <c r="O11165" i="2"/>
  <c r="O11166" i="2"/>
  <c r="O11167" i="2"/>
  <c r="O11168" i="2"/>
  <c r="O11169" i="2"/>
  <c r="O11170" i="2"/>
  <c r="O11171" i="2"/>
  <c r="O11172" i="2"/>
  <c r="O11173" i="2"/>
  <c r="O11174" i="2"/>
  <c r="O11175" i="2"/>
  <c r="O11176" i="2"/>
  <c r="O11177" i="2"/>
  <c r="O11178" i="2"/>
  <c r="O11179" i="2"/>
  <c r="O11180" i="2"/>
  <c r="O11181" i="2"/>
  <c r="O11182" i="2"/>
  <c r="O11183" i="2"/>
  <c r="O11184" i="2"/>
  <c r="O11185" i="2"/>
  <c r="O11186" i="2"/>
  <c r="O11187" i="2"/>
  <c r="O11188" i="2"/>
  <c r="O11189" i="2"/>
  <c r="O11190" i="2"/>
  <c r="O11191" i="2"/>
  <c r="O11192" i="2"/>
  <c r="O11193" i="2"/>
  <c r="O11194" i="2"/>
  <c r="O11195" i="2"/>
  <c r="O11196" i="2"/>
  <c r="O11197" i="2"/>
  <c r="O11198" i="2"/>
  <c r="O11199" i="2"/>
  <c r="O11200" i="2"/>
  <c r="O11201" i="2"/>
  <c r="O11202" i="2"/>
  <c r="O11203" i="2"/>
  <c r="O11204" i="2"/>
  <c r="O11205" i="2"/>
  <c r="O11206" i="2"/>
  <c r="O11207" i="2"/>
  <c r="O11208" i="2"/>
  <c r="O11209" i="2"/>
  <c r="O11210" i="2"/>
  <c r="O11211" i="2"/>
  <c r="O11212" i="2"/>
  <c r="O11213" i="2"/>
  <c r="O11214" i="2"/>
  <c r="O11215" i="2"/>
  <c r="O11216" i="2"/>
  <c r="O11217" i="2"/>
  <c r="O11218" i="2"/>
  <c r="O11219" i="2"/>
  <c r="O11220" i="2"/>
  <c r="O11221" i="2"/>
  <c r="O11222" i="2"/>
  <c r="O11223" i="2"/>
  <c r="O11224" i="2"/>
  <c r="O11225" i="2"/>
  <c r="O11226" i="2"/>
  <c r="O11227" i="2"/>
  <c r="O11228" i="2"/>
  <c r="O11229" i="2"/>
  <c r="O11230" i="2"/>
  <c r="O11231" i="2"/>
  <c r="O11232" i="2"/>
  <c r="O11233" i="2"/>
  <c r="O11234" i="2"/>
  <c r="O11235" i="2"/>
  <c r="O11236" i="2"/>
  <c r="O11237" i="2"/>
  <c r="O11238" i="2"/>
  <c r="O11239" i="2"/>
  <c r="O11240" i="2"/>
  <c r="O11241" i="2"/>
  <c r="O11242" i="2"/>
  <c r="O11243" i="2"/>
  <c r="O11244" i="2"/>
  <c r="O11245" i="2"/>
  <c r="O11246" i="2"/>
  <c r="O11247" i="2"/>
  <c r="O11248" i="2"/>
  <c r="O11249" i="2"/>
  <c r="O11250" i="2"/>
  <c r="O11251" i="2"/>
  <c r="O11252" i="2"/>
  <c r="O11253" i="2"/>
  <c r="O11254" i="2"/>
  <c r="O11255" i="2"/>
  <c r="O11256" i="2"/>
  <c r="O11257" i="2"/>
  <c r="O11258" i="2"/>
  <c r="O11259" i="2"/>
  <c r="O11260" i="2"/>
  <c r="O11261" i="2"/>
  <c r="O11262" i="2"/>
  <c r="O11263" i="2"/>
  <c r="O11264" i="2"/>
  <c r="O11265" i="2"/>
  <c r="O11266" i="2"/>
  <c r="O11267" i="2"/>
  <c r="O11268" i="2"/>
  <c r="O11269" i="2"/>
  <c r="O11270" i="2"/>
  <c r="O11271" i="2"/>
  <c r="O11272" i="2"/>
  <c r="O11273" i="2"/>
  <c r="O11274" i="2"/>
  <c r="O11275" i="2"/>
  <c r="O11276" i="2"/>
  <c r="O11277" i="2"/>
  <c r="O11278" i="2"/>
  <c r="O11279" i="2"/>
  <c r="O11280" i="2"/>
  <c r="O11281" i="2"/>
  <c r="O11282" i="2"/>
  <c r="O11283" i="2"/>
  <c r="O11284" i="2"/>
  <c r="O11285" i="2"/>
  <c r="O11286" i="2"/>
  <c r="O11287" i="2"/>
  <c r="O11288" i="2"/>
  <c r="O11289" i="2"/>
  <c r="O11290" i="2"/>
  <c r="O11291" i="2"/>
  <c r="O11292" i="2"/>
  <c r="O11293" i="2"/>
  <c r="O11294" i="2"/>
  <c r="O11295" i="2"/>
  <c r="O11296" i="2"/>
  <c r="O11297" i="2"/>
  <c r="O11298" i="2"/>
  <c r="O11299" i="2"/>
  <c r="O11300" i="2"/>
  <c r="O11301" i="2"/>
  <c r="O11302" i="2"/>
  <c r="O11303" i="2"/>
  <c r="O11304" i="2"/>
  <c r="O11305" i="2"/>
  <c r="O11306" i="2"/>
  <c r="O11307" i="2"/>
  <c r="O11308" i="2"/>
  <c r="O11309" i="2"/>
  <c r="O11310" i="2"/>
  <c r="O11311" i="2"/>
  <c r="O11312" i="2"/>
  <c r="O11313" i="2"/>
  <c r="O11314" i="2"/>
  <c r="O11315" i="2"/>
  <c r="O11316" i="2"/>
  <c r="O11317" i="2"/>
  <c r="O11318" i="2"/>
  <c r="O11319" i="2"/>
  <c r="O11320" i="2"/>
  <c r="O11321" i="2"/>
  <c r="O11322" i="2"/>
  <c r="O11323" i="2"/>
  <c r="O11324" i="2"/>
  <c r="O11325" i="2"/>
  <c r="O11326" i="2"/>
  <c r="O11327" i="2"/>
  <c r="O11328" i="2"/>
  <c r="O11329" i="2"/>
  <c r="O11330" i="2"/>
  <c r="O11331" i="2"/>
  <c r="O11332" i="2"/>
  <c r="O11333" i="2"/>
  <c r="O11334" i="2"/>
  <c r="O11335" i="2"/>
  <c r="O11336" i="2"/>
  <c r="O11337" i="2"/>
  <c r="O11338" i="2"/>
  <c r="O11339" i="2"/>
  <c r="O11340" i="2"/>
  <c r="O11341" i="2"/>
  <c r="O11342" i="2"/>
  <c r="O11343" i="2"/>
  <c r="O11344" i="2"/>
  <c r="O11345" i="2"/>
  <c r="O11346" i="2"/>
  <c r="O11347" i="2"/>
  <c r="O11348" i="2"/>
  <c r="O11349" i="2"/>
  <c r="O11350" i="2"/>
  <c r="O11351" i="2"/>
  <c r="O11352" i="2"/>
  <c r="O11353" i="2"/>
  <c r="O11354" i="2"/>
  <c r="O11355" i="2"/>
  <c r="O11356" i="2"/>
  <c r="O11357" i="2"/>
  <c r="O11358" i="2"/>
  <c r="O11359" i="2"/>
  <c r="O11360" i="2"/>
  <c r="O11361" i="2"/>
  <c r="O11362" i="2"/>
  <c r="O11363" i="2"/>
  <c r="O11364" i="2"/>
  <c r="O11365" i="2"/>
  <c r="O11366" i="2"/>
  <c r="O11367" i="2"/>
  <c r="O11368" i="2"/>
  <c r="O11369" i="2"/>
  <c r="O11370" i="2"/>
  <c r="O11371" i="2"/>
  <c r="O11372" i="2"/>
  <c r="O11373" i="2"/>
  <c r="O11374" i="2"/>
  <c r="O11375" i="2"/>
  <c r="O11376" i="2"/>
  <c r="O11377" i="2"/>
  <c r="O11378" i="2"/>
  <c r="O11379" i="2"/>
  <c r="O11380" i="2"/>
  <c r="O11381" i="2"/>
  <c r="O11382" i="2"/>
  <c r="O11383" i="2"/>
  <c r="O11384" i="2"/>
  <c r="O11385" i="2"/>
  <c r="O11386" i="2"/>
  <c r="O11387" i="2"/>
  <c r="O11388" i="2"/>
  <c r="O11389" i="2"/>
  <c r="O11390" i="2"/>
  <c r="O11391" i="2"/>
  <c r="O11392" i="2"/>
  <c r="O11393" i="2"/>
  <c r="O11394" i="2"/>
  <c r="O11395" i="2"/>
  <c r="O11396" i="2"/>
  <c r="O11397" i="2"/>
  <c r="O11398" i="2"/>
  <c r="O11399" i="2"/>
  <c r="O11400" i="2"/>
  <c r="O11401" i="2"/>
  <c r="O11402" i="2"/>
  <c r="O11403" i="2"/>
  <c r="O11404" i="2"/>
  <c r="O11405" i="2"/>
  <c r="O11406" i="2"/>
  <c r="O11407" i="2"/>
  <c r="O11408" i="2"/>
  <c r="O11409" i="2"/>
  <c r="O11410" i="2"/>
  <c r="O11411" i="2"/>
  <c r="O11412" i="2"/>
  <c r="O11413" i="2"/>
  <c r="O11414" i="2"/>
  <c r="O11415" i="2"/>
  <c r="O11416" i="2"/>
  <c r="O11417" i="2"/>
  <c r="O11418" i="2"/>
  <c r="O11419" i="2"/>
  <c r="O11420" i="2"/>
  <c r="O11421" i="2"/>
  <c r="O11422" i="2"/>
  <c r="O11423" i="2"/>
  <c r="O11424" i="2"/>
  <c r="O11425" i="2"/>
  <c r="O11426" i="2"/>
  <c r="O11427" i="2"/>
  <c r="O11428" i="2"/>
  <c r="O11429" i="2"/>
  <c r="O11430" i="2"/>
  <c r="O11431" i="2"/>
  <c r="O11432" i="2"/>
  <c r="O11433" i="2"/>
  <c r="O11434" i="2"/>
  <c r="O11435" i="2"/>
  <c r="O11436" i="2"/>
  <c r="O11437" i="2"/>
  <c r="O11438" i="2"/>
  <c r="O11439" i="2"/>
  <c r="O11440" i="2"/>
  <c r="O11441" i="2"/>
  <c r="O11442" i="2"/>
  <c r="O11443" i="2"/>
  <c r="O11444" i="2"/>
  <c r="O11445" i="2"/>
  <c r="O11446" i="2"/>
  <c r="O11447" i="2"/>
  <c r="O11448" i="2"/>
  <c r="O11449" i="2"/>
  <c r="O11450" i="2"/>
  <c r="O11451" i="2"/>
  <c r="O11452" i="2"/>
  <c r="O11453" i="2"/>
  <c r="O11454" i="2"/>
  <c r="O11455" i="2"/>
  <c r="O11456" i="2"/>
  <c r="O11457" i="2"/>
  <c r="O11458" i="2"/>
  <c r="O11459" i="2"/>
  <c r="O11460" i="2"/>
  <c r="O11461" i="2"/>
  <c r="O11462" i="2"/>
  <c r="O11463" i="2"/>
  <c r="O11464" i="2"/>
  <c r="O11465" i="2"/>
  <c r="O11466" i="2"/>
  <c r="O11467" i="2"/>
  <c r="O11468" i="2"/>
  <c r="O11469" i="2"/>
  <c r="O11470" i="2"/>
  <c r="O11471" i="2"/>
  <c r="O11472" i="2"/>
  <c r="O11473" i="2"/>
  <c r="O11474" i="2"/>
  <c r="O11475" i="2"/>
  <c r="O11476" i="2"/>
  <c r="O11477" i="2"/>
  <c r="O11478" i="2"/>
  <c r="O11479" i="2"/>
  <c r="O11480" i="2"/>
  <c r="O11481" i="2"/>
  <c r="O11482" i="2"/>
  <c r="O11483" i="2"/>
  <c r="O11484" i="2"/>
  <c r="O11485" i="2"/>
  <c r="O11486" i="2"/>
  <c r="O11487" i="2"/>
  <c r="O11488" i="2"/>
  <c r="O11489" i="2"/>
  <c r="O11490" i="2"/>
  <c r="O11491" i="2"/>
  <c r="O11492" i="2"/>
  <c r="O11493" i="2"/>
  <c r="O11494" i="2"/>
  <c r="O11495" i="2"/>
  <c r="O11496" i="2"/>
  <c r="O11497" i="2"/>
  <c r="O11498" i="2"/>
  <c r="O11499" i="2"/>
  <c r="O11500" i="2"/>
  <c r="O11501" i="2"/>
  <c r="O11502" i="2"/>
  <c r="O11503" i="2"/>
  <c r="O11504" i="2"/>
  <c r="O11505" i="2"/>
  <c r="O11506" i="2"/>
  <c r="O11507" i="2"/>
  <c r="O11508" i="2"/>
  <c r="O11509" i="2"/>
  <c r="O11510" i="2"/>
  <c r="O11511" i="2"/>
  <c r="O11512" i="2"/>
  <c r="O11513" i="2"/>
  <c r="O11514" i="2"/>
  <c r="O11515" i="2"/>
  <c r="O11516" i="2"/>
  <c r="O11517" i="2"/>
  <c r="O11518" i="2"/>
  <c r="O11519" i="2"/>
  <c r="O11520" i="2"/>
  <c r="O11521" i="2"/>
  <c r="O11522" i="2"/>
  <c r="O11523" i="2"/>
  <c r="O11524" i="2"/>
  <c r="O11525" i="2"/>
  <c r="O11526" i="2"/>
  <c r="O11527" i="2"/>
  <c r="O11528" i="2"/>
  <c r="O11529" i="2"/>
  <c r="O11530" i="2"/>
  <c r="O11531" i="2"/>
  <c r="O11532" i="2"/>
  <c r="O11533" i="2"/>
  <c r="O11534" i="2"/>
  <c r="O11535" i="2"/>
  <c r="O11536" i="2"/>
  <c r="O11537" i="2"/>
  <c r="O11538" i="2"/>
  <c r="O11539" i="2"/>
  <c r="O11540" i="2"/>
  <c r="O11541" i="2"/>
  <c r="O11542" i="2"/>
  <c r="O11543" i="2"/>
  <c r="O11544" i="2"/>
  <c r="O11545" i="2"/>
  <c r="O11546" i="2"/>
  <c r="O11547" i="2"/>
  <c r="O11548" i="2"/>
  <c r="O11549" i="2"/>
  <c r="O11550" i="2"/>
  <c r="O11551" i="2"/>
  <c r="O11552" i="2"/>
  <c r="O11553" i="2"/>
  <c r="O11554" i="2"/>
  <c r="O11555" i="2"/>
  <c r="O11556" i="2"/>
  <c r="O11557" i="2"/>
  <c r="O11558" i="2"/>
  <c r="O11559" i="2"/>
  <c r="O11560" i="2"/>
  <c r="O11561" i="2"/>
  <c r="O11562" i="2"/>
  <c r="O11563" i="2"/>
  <c r="O11564" i="2"/>
  <c r="O11565" i="2"/>
  <c r="O11566" i="2"/>
  <c r="O11567" i="2"/>
  <c r="O11568" i="2"/>
  <c r="O11569" i="2"/>
  <c r="O11570" i="2"/>
  <c r="O11571" i="2"/>
  <c r="O11572" i="2"/>
  <c r="O11573" i="2"/>
  <c r="O11574" i="2"/>
  <c r="O11575" i="2"/>
  <c r="O11576" i="2"/>
  <c r="O11577" i="2"/>
  <c r="O11578" i="2"/>
  <c r="O11579" i="2"/>
  <c r="O11580" i="2"/>
  <c r="O11581" i="2"/>
  <c r="O11582" i="2"/>
  <c r="O11583" i="2"/>
  <c r="O11584" i="2"/>
  <c r="O11585" i="2"/>
  <c r="O11586" i="2"/>
  <c r="O11587" i="2"/>
  <c r="O11588" i="2"/>
  <c r="O11589" i="2"/>
  <c r="O11590" i="2"/>
  <c r="O11591" i="2"/>
  <c r="O11592" i="2"/>
  <c r="O11593" i="2"/>
  <c r="O11594" i="2"/>
  <c r="O11595" i="2"/>
  <c r="O11596" i="2"/>
  <c r="O11597" i="2"/>
  <c r="O11598" i="2"/>
  <c r="O11599" i="2"/>
  <c r="O11600" i="2"/>
  <c r="O11601" i="2"/>
  <c r="O11602" i="2"/>
  <c r="O11603" i="2"/>
  <c r="O11604" i="2"/>
  <c r="O11605" i="2"/>
  <c r="O11606" i="2"/>
  <c r="O11607" i="2"/>
  <c r="O11608" i="2"/>
  <c r="O11609" i="2"/>
  <c r="O11610" i="2"/>
  <c r="O11611" i="2"/>
  <c r="O11612" i="2"/>
  <c r="O11613" i="2"/>
  <c r="O11614" i="2"/>
  <c r="O11615" i="2"/>
  <c r="O11616" i="2"/>
  <c r="O11617" i="2"/>
  <c r="O11618" i="2"/>
  <c r="O11619" i="2"/>
  <c r="O11620" i="2"/>
  <c r="O11621" i="2"/>
  <c r="O11622" i="2"/>
  <c r="O11623" i="2"/>
  <c r="O11624" i="2"/>
  <c r="O11625" i="2"/>
  <c r="O11626" i="2"/>
  <c r="O11627" i="2"/>
  <c r="O11628" i="2"/>
  <c r="O11629" i="2"/>
  <c r="O11630" i="2"/>
  <c r="O11631" i="2"/>
  <c r="O11632" i="2"/>
  <c r="O11633" i="2"/>
  <c r="O11634" i="2"/>
  <c r="O11635" i="2"/>
  <c r="O11636" i="2"/>
  <c r="O11637" i="2"/>
  <c r="O11638" i="2"/>
  <c r="O11639" i="2"/>
  <c r="O11640" i="2"/>
  <c r="O11641" i="2"/>
  <c r="O11642" i="2"/>
  <c r="O11643" i="2"/>
  <c r="O11644" i="2"/>
  <c r="O11645" i="2"/>
  <c r="O11646" i="2"/>
  <c r="O11647" i="2"/>
  <c r="O11648" i="2"/>
  <c r="O11649" i="2"/>
  <c r="O11650" i="2"/>
  <c r="O11651" i="2"/>
  <c r="O11652" i="2"/>
  <c r="O11653" i="2"/>
  <c r="O11654" i="2"/>
  <c r="O11655" i="2"/>
  <c r="O11656" i="2"/>
  <c r="O11657" i="2"/>
  <c r="O11658" i="2"/>
  <c r="O11659" i="2"/>
  <c r="O11660" i="2"/>
  <c r="O11661" i="2"/>
  <c r="O11662" i="2"/>
  <c r="O11663" i="2"/>
  <c r="O11664" i="2"/>
  <c r="O11665" i="2"/>
  <c r="O11666" i="2"/>
  <c r="O11667" i="2"/>
  <c r="O11668" i="2"/>
  <c r="O11669" i="2"/>
  <c r="O11670" i="2"/>
  <c r="O11671" i="2"/>
  <c r="O11672" i="2"/>
  <c r="O11673" i="2"/>
  <c r="O11674" i="2"/>
  <c r="O11675" i="2"/>
  <c r="O11676" i="2"/>
  <c r="O11677" i="2"/>
  <c r="O11678" i="2"/>
  <c r="O11679" i="2"/>
  <c r="O11680" i="2"/>
  <c r="O11681" i="2"/>
  <c r="O11682" i="2"/>
  <c r="O11683" i="2"/>
  <c r="O11684" i="2"/>
  <c r="O11685" i="2"/>
  <c r="O11686" i="2"/>
  <c r="O11687" i="2"/>
  <c r="O11688" i="2"/>
  <c r="O11689" i="2"/>
  <c r="O11690" i="2"/>
  <c r="O11691" i="2"/>
  <c r="O11692" i="2"/>
  <c r="O11693" i="2"/>
  <c r="O11694" i="2"/>
  <c r="O11695" i="2"/>
  <c r="O11696" i="2"/>
  <c r="O11697" i="2"/>
  <c r="O11698" i="2"/>
  <c r="O11699" i="2"/>
  <c r="O11700" i="2"/>
  <c r="O11701" i="2"/>
  <c r="O11702" i="2"/>
  <c r="O11703" i="2"/>
  <c r="O11704" i="2"/>
  <c r="O11705" i="2"/>
  <c r="O11706" i="2"/>
  <c r="O11707" i="2"/>
  <c r="O11708" i="2"/>
  <c r="O11709" i="2"/>
  <c r="O11710" i="2"/>
  <c r="O11711" i="2"/>
  <c r="O11712" i="2"/>
  <c r="O11713" i="2"/>
  <c r="O11714" i="2"/>
  <c r="O11715" i="2"/>
  <c r="O11716" i="2"/>
  <c r="O11717" i="2"/>
  <c r="O11718" i="2"/>
  <c r="O11719" i="2"/>
  <c r="O11720" i="2"/>
  <c r="O11721" i="2"/>
  <c r="O11722" i="2"/>
  <c r="O11723" i="2"/>
  <c r="O11724" i="2"/>
  <c r="O11725" i="2"/>
  <c r="O11726" i="2"/>
  <c r="O11727" i="2"/>
  <c r="O11728" i="2"/>
  <c r="O11729" i="2"/>
  <c r="O11730" i="2"/>
  <c r="O11731" i="2"/>
  <c r="O11732" i="2"/>
  <c r="O11733" i="2"/>
  <c r="O11734" i="2"/>
  <c r="O11735" i="2"/>
  <c r="O11736" i="2"/>
  <c r="O11737" i="2"/>
  <c r="O11738" i="2"/>
  <c r="O11739" i="2"/>
  <c r="O11740" i="2"/>
  <c r="O11741" i="2"/>
  <c r="O11742" i="2"/>
  <c r="O11743" i="2"/>
  <c r="O11744" i="2"/>
  <c r="O11745" i="2"/>
  <c r="O11746" i="2"/>
  <c r="O11747" i="2"/>
  <c r="O11748" i="2"/>
  <c r="O11749" i="2"/>
  <c r="O11750" i="2"/>
  <c r="O11751" i="2"/>
  <c r="O11752" i="2"/>
  <c r="O11753" i="2"/>
  <c r="O11754" i="2"/>
  <c r="O11755" i="2"/>
  <c r="O11756" i="2"/>
  <c r="O11757" i="2"/>
  <c r="O11758" i="2"/>
  <c r="O11759" i="2"/>
  <c r="O11760" i="2"/>
  <c r="O11761" i="2"/>
  <c r="O11762" i="2"/>
  <c r="O11763" i="2"/>
  <c r="O11764" i="2"/>
  <c r="O11765" i="2"/>
  <c r="O11766" i="2"/>
  <c r="O11767" i="2"/>
  <c r="O11768" i="2"/>
  <c r="O11769" i="2"/>
  <c r="O11770" i="2"/>
  <c r="O11771" i="2"/>
  <c r="O11772" i="2"/>
  <c r="O11773" i="2"/>
  <c r="O11774" i="2"/>
  <c r="O11775" i="2"/>
  <c r="O11776" i="2"/>
  <c r="O11777" i="2"/>
  <c r="O11778" i="2"/>
  <c r="O11779" i="2"/>
  <c r="O11780" i="2"/>
  <c r="O11781" i="2"/>
  <c r="O11782" i="2"/>
  <c r="O11783" i="2"/>
  <c r="O11784" i="2"/>
  <c r="O11785" i="2"/>
  <c r="O11786" i="2"/>
  <c r="O11787" i="2"/>
  <c r="O11788" i="2"/>
  <c r="O11789" i="2"/>
  <c r="O11790" i="2"/>
  <c r="O11791" i="2"/>
  <c r="O11792" i="2"/>
  <c r="O11793" i="2"/>
  <c r="O11794" i="2"/>
  <c r="O11795" i="2"/>
  <c r="O11796" i="2"/>
  <c r="O11797" i="2"/>
  <c r="O11798" i="2"/>
  <c r="O11799" i="2"/>
  <c r="O11800" i="2"/>
  <c r="O11801" i="2"/>
  <c r="O11802" i="2"/>
  <c r="O11803" i="2"/>
  <c r="O11804" i="2"/>
  <c r="O11805" i="2"/>
  <c r="O11806" i="2"/>
  <c r="O11807" i="2"/>
  <c r="O11808" i="2"/>
  <c r="O11809" i="2"/>
  <c r="O11810" i="2"/>
  <c r="O11811" i="2"/>
  <c r="O11812" i="2"/>
  <c r="O11813" i="2"/>
  <c r="O11814" i="2"/>
  <c r="O11815" i="2"/>
  <c r="O11816" i="2"/>
  <c r="O11817" i="2"/>
  <c r="O11818" i="2"/>
  <c r="O11819" i="2"/>
  <c r="O11820" i="2"/>
  <c r="O11821" i="2"/>
  <c r="O11822" i="2"/>
  <c r="O11823" i="2"/>
  <c r="O11824" i="2"/>
  <c r="O11825" i="2"/>
  <c r="O11826" i="2"/>
  <c r="O11827" i="2"/>
  <c r="O11828" i="2"/>
  <c r="O11829" i="2"/>
  <c r="O11830" i="2"/>
  <c r="O11831" i="2"/>
  <c r="O11832" i="2"/>
  <c r="O11833" i="2"/>
  <c r="O11834" i="2"/>
  <c r="O11835" i="2"/>
  <c r="O11836" i="2"/>
  <c r="O11837" i="2"/>
  <c r="O11838" i="2"/>
  <c r="O11839" i="2"/>
  <c r="O11840" i="2"/>
  <c r="O11841" i="2"/>
  <c r="O11842" i="2"/>
  <c r="O11843" i="2"/>
  <c r="O11844" i="2"/>
  <c r="O11845" i="2"/>
  <c r="O11846" i="2"/>
  <c r="O11847" i="2"/>
  <c r="O11848" i="2"/>
  <c r="O11849" i="2"/>
  <c r="O11850" i="2"/>
  <c r="O11851" i="2"/>
  <c r="O11852" i="2"/>
  <c r="O11853" i="2"/>
  <c r="O11854" i="2"/>
  <c r="O11855" i="2"/>
  <c r="O11856" i="2"/>
  <c r="O11857" i="2"/>
  <c r="O11858" i="2"/>
  <c r="O11859" i="2"/>
  <c r="O11860" i="2"/>
  <c r="O11861" i="2"/>
  <c r="O11862" i="2"/>
  <c r="O11863" i="2"/>
  <c r="O11864" i="2"/>
  <c r="O11865" i="2"/>
  <c r="O11866" i="2"/>
  <c r="O11867" i="2"/>
  <c r="O11868" i="2"/>
  <c r="O11869" i="2"/>
  <c r="O11870" i="2"/>
  <c r="O11871" i="2"/>
  <c r="O11872" i="2"/>
  <c r="O11873" i="2"/>
  <c r="O11874" i="2"/>
  <c r="O11875" i="2"/>
  <c r="O11876" i="2"/>
  <c r="O11877" i="2"/>
  <c r="O11878" i="2"/>
  <c r="O11879" i="2"/>
  <c r="O11880" i="2"/>
  <c r="O11881" i="2"/>
  <c r="O11882" i="2"/>
  <c r="O11883" i="2"/>
  <c r="O11884" i="2"/>
  <c r="O11885" i="2"/>
  <c r="O11886" i="2"/>
  <c r="O11887" i="2"/>
  <c r="O11888" i="2"/>
  <c r="O11889" i="2"/>
  <c r="O11890" i="2"/>
  <c r="O11891" i="2"/>
  <c r="O11892" i="2"/>
  <c r="O11893" i="2"/>
  <c r="O11894" i="2"/>
  <c r="O11895" i="2"/>
  <c r="O11896" i="2"/>
  <c r="O11897" i="2"/>
  <c r="O11898" i="2"/>
  <c r="O11899" i="2"/>
  <c r="O11900" i="2"/>
  <c r="O11901" i="2"/>
  <c r="O11902" i="2"/>
  <c r="O11903" i="2"/>
  <c r="O11904" i="2"/>
  <c r="O11905" i="2"/>
  <c r="O11906" i="2"/>
  <c r="O11907" i="2"/>
  <c r="O11908" i="2"/>
  <c r="O11909" i="2"/>
  <c r="O11910" i="2"/>
  <c r="O11911" i="2"/>
  <c r="O11912" i="2"/>
  <c r="O11913" i="2"/>
  <c r="O11914" i="2"/>
  <c r="O11915" i="2"/>
  <c r="O11916" i="2"/>
  <c r="O11917" i="2"/>
  <c r="O11918" i="2"/>
  <c r="O11919" i="2"/>
  <c r="O11920" i="2"/>
  <c r="O11921" i="2"/>
  <c r="O11922" i="2"/>
  <c r="O11923" i="2"/>
  <c r="O11924" i="2"/>
  <c r="O11925" i="2"/>
  <c r="O11926" i="2"/>
  <c r="O11927" i="2"/>
  <c r="O11928" i="2"/>
  <c r="O11929" i="2"/>
  <c r="O11930" i="2"/>
  <c r="O11931" i="2"/>
  <c r="O11932" i="2"/>
  <c r="O11933" i="2"/>
  <c r="O11934" i="2"/>
  <c r="O11935" i="2"/>
  <c r="O11936" i="2"/>
  <c r="O11937" i="2"/>
  <c r="O11938" i="2"/>
  <c r="O11939" i="2"/>
  <c r="O11940" i="2"/>
  <c r="O11941" i="2"/>
  <c r="O11942" i="2"/>
  <c r="O11943" i="2"/>
  <c r="O11944" i="2"/>
  <c r="O11945" i="2"/>
  <c r="O11946" i="2"/>
  <c r="O11947" i="2"/>
  <c r="O11948" i="2"/>
  <c r="O11949" i="2"/>
  <c r="O11950" i="2"/>
  <c r="O11951" i="2"/>
  <c r="O11952" i="2"/>
  <c r="O11953" i="2"/>
  <c r="O11954" i="2"/>
  <c r="O11955" i="2"/>
  <c r="O11956" i="2"/>
  <c r="O11957" i="2"/>
  <c r="O11958" i="2"/>
  <c r="O11959" i="2"/>
  <c r="O11960" i="2"/>
  <c r="O11961" i="2"/>
  <c r="O11962" i="2"/>
  <c r="O11963" i="2"/>
  <c r="O11964" i="2"/>
  <c r="O11965" i="2"/>
  <c r="O11966" i="2"/>
  <c r="O11967" i="2"/>
  <c r="O11968" i="2"/>
  <c r="O11969" i="2"/>
  <c r="O11970" i="2"/>
  <c r="O11971" i="2"/>
  <c r="O11972" i="2"/>
  <c r="O11973" i="2"/>
  <c r="O11974" i="2"/>
  <c r="O11975" i="2"/>
  <c r="O11976" i="2"/>
  <c r="O11977" i="2"/>
  <c r="O11978" i="2"/>
  <c r="O11979" i="2"/>
  <c r="O11980" i="2"/>
  <c r="O11981" i="2"/>
  <c r="O11982" i="2"/>
  <c r="O11983" i="2"/>
  <c r="O11984" i="2"/>
  <c r="O11985" i="2"/>
  <c r="O11986" i="2"/>
  <c r="O11987" i="2"/>
  <c r="O11988" i="2"/>
  <c r="O11989" i="2"/>
  <c r="O11990" i="2"/>
  <c r="O11991" i="2"/>
  <c r="O11992" i="2"/>
  <c r="O11993" i="2"/>
  <c r="O11994" i="2"/>
  <c r="O11995" i="2"/>
  <c r="O11996" i="2"/>
  <c r="O11997" i="2"/>
  <c r="O11998" i="2"/>
  <c r="O11999" i="2"/>
  <c r="O12000" i="2"/>
  <c r="O12001" i="2"/>
  <c r="O12002" i="2"/>
  <c r="O12003" i="2"/>
  <c r="O12004" i="2"/>
  <c r="O12005" i="2"/>
  <c r="O12006" i="2"/>
  <c r="O12007" i="2"/>
  <c r="O12008" i="2"/>
  <c r="O12009" i="2"/>
  <c r="O12010" i="2"/>
  <c r="O12011" i="2"/>
  <c r="O12012" i="2"/>
  <c r="O12013" i="2"/>
  <c r="O12014" i="2"/>
  <c r="O12015" i="2"/>
  <c r="O12016" i="2"/>
  <c r="O12017" i="2"/>
  <c r="O12018" i="2"/>
  <c r="O12019" i="2"/>
  <c r="O12020" i="2"/>
  <c r="O12021" i="2"/>
  <c r="O12022" i="2"/>
  <c r="O12023" i="2"/>
  <c r="O12024" i="2"/>
  <c r="O12025" i="2"/>
  <c r="O12026" i="2"/>
  <c r="O12027" i="2"/>
  <c r="O12028" i="2"/>
  <c r="O12029" i="2"/>
  <c r="O12030" i="2"/>
  <c r="O12031" i="2"/>
  <c r="O12032" i="2"/>
  <c r="O12033" i="2"/>
  <c r="O12034" i="2"/>
  <c r="O12035" i="2"/>
  <c r="O12036" i="2"/>
  <c r="O12037" i="2"/>
  <c r="O12038" i="2"/>
  <c r="O12039" i="2"/>
  <c r="O12040" i="2"/>
  <c r="O12041" i="2"/>
  <c r="O12042" i="2"/>
  <c r="O12043" i="2"/>
  <c r="O12044" i="2"/>
  <c r="O12045" i="2"/>
  <c r="O12046" i="2"/>
  <c r="O12047" i="2"/>
  <c r="O12048" i="2"/>
  <c r="O12049" i="2"/>
  <c r="O12050" i="2"/>
  <c r="O12051" i="2"/>
  <c r="O12052" i="2"/>
  <c r="O12053" i="2"/>
  <c r="O12054" i="2"/>
  <c r="O12055" i="2"/>
  <c r="O12056" i="2"/>
  <c r="O12057" i="2"/>
  <c r="O12058" i="2"/>
  <c r="O12059" i="2"/>
  <c r="O12060" i="2"/>
  <c r="O12061" i="2"/>
  <c r="O12062" i="2"/>
  <c r="O12063" i="2"/>
  <c r="O12064" i="2"/>
  <c r="O12065" i="2"/>
  <c r="O12066" i="2"/>
  <c r="O12067" i="2"/>
  <c r="O12068" i="2"/>
  <c r="O12069" i="2"/>
  <c r="O12070" i="2"/>
  <c r="O12071" i="2"/>
  <c r="O12072" i="2"/>
  <c r="O12073" i="2"/>
  <c r="O12074" i="2"/>
  <c r="O12075" i="2"/>
  <c r="O12076" i="2"/>
  <c r="O12077" i="2"/>
  <c r="O12078" i="2"/>
  <c r="O12079" i="2"/>
  <c r="O12080" i="2"/>
  <c r="O12081" i="2"/>
  <c r="O12082" i="2"/>
  <c r="O12083" i="2"/>
  <c r="O12084" i="2"/>
  <c r="O12085" i="2"/>
  <c r="O12086" i="2"/>
  <c r="O12087" i="2"/>
  <c r="O12088" i="2"/>
  <c r="O12089" i="2"/>
  <c r="O12090" i="2"/>
  <c r="O12091" i="2"/>
  <c r="O12092" i="2"/>
  <c r="O12093" i="2"/>
  <c r="O12094" i="2"/>
  <c r="O12095" i="2"/>
  <c r="O12096" i="2"/>
  <c r="O12097" i="2"/>
  <c r="O12098" i="2"/>
  <c r="O12099" i="2"/>
  <c r="O12100" i="2"/>
  <c r="O12101" i="2"/>
  <c r="O12102" i="2"/>
  <c r="O12103" i="2"/>
  <c r="O12104" i="2"/>
  <c r="O12105" i="2"/>
  <c r="O12106" i="2"/>
  <c r="O12107" i="2"/>
  <c r="O12108" i="2"/>
  <c r="O12109" i="2"/>
  <c r="O12110" i="2"/>
  <c r="O12111" i="2"/>
  <c r="O12112" i="2"/>
  <c r="O12113" i="2"/>
  <c r="O12114" i="2"/>
  <c r="O12115" i="2"/>
  <c r="O12116" i="2"/>
  <c r="O12117" i="2"/>
  <c r="O12118" i="2"/>
  <c r="O12119" i="2"/>
  <c r="O12120" i="2"/>
  <c r="O12121" i="2"/>
  <c r="O12122" i="2"/>
  <c r="O12123" i="2"/>
  <c r="O12124" i="2"/>
  <c r="O12125" i="2"/>
  <c r="O12126" i="2"/>
  <c r="O12127" i="2"/>
  <c r="O12128" i="2"/>
  <c r="O12129" i="2"/>
  <c r="O12130" i="2"/>
  <c r="O12131" i="2"/>
  <c r="O12132" i="2"/>
  <c r="O12133" i="2"/>
  <c r="O12134" i="2"/>
  <c r="O12135" i="2"/>
  <c r="O12136" i="2"/>
  <c r="O12137" i="2"/>
  <c r="O12138" i="2"/>
  <c r="O12139" i="2"/>
  <c r="O12140" i="2"/>
  <c r="O12141" i="2"/>
  <c r="O12142" i="2"/>
  <c r="O12143" i="2"/>
  <c r="O12144" i="2"/>
  <c r="O12145" i="2"/>
  <c r="O12146" i="2"/>
  <c r="O12147" i="2"/>
  <c r="O12148" i="2"/>
  <c r="O12149" i="2"/>
  <c r="O12150" i="2"/>
  <c r="O12151" i="2"/>
  <c r="O12152" i="2"/>
  <c r="O12153" i="2"/>
  <c r="O12154" i="2"/>
  <c r="O12155" i="2"/>
  <c r="O12156" i="2"/>
  <c r="O12157" i="2"/>
  <c r="O12158" i="2"/>
  <c r="O12159" i="2"/>
  <c r="O12160" i="2"/>
  <c r="O12161" i="2"/>
  <c r="O12162" i="2"/>
  <c r="O12163" i="2"/>
  <c r="O12164" i="2"/>
  <c r="O12165" i="2"/>
  <c r="O12166" i="2"/>
  <c r="O12167" i="2"/>
  <c r="O12168" i="2"/>
  <c r="O12169" i="2"/>
  <c r="O12170" i="2"/>
  <c r="O12171" i="2"/>
  <c r="O12172" i="2"/>
  <c r="O12173" i="2"/>
  <c r="O12174" i="2"/>
  <c r="O12175" i="2"/>
  <c r="O12176" i="2"/>
  <c r="O12177" i="2"/>
  <c r="O12178" i="2"/>
  <c r="O12179" i="2"/>
  <c r="O12180" i="2"/>
  <c r="O12181" i="2"/>
  <c r="O12182" i="2"/>
  <c r="O12183" i="2"/>
  <c r="O12184" i="2"/>
  <c r="O12185" i="2"/>
  <c r="O12186" i="2"/>
  <c r="O12187" i="2"/>
  <c r="O12188" i="2"/>
  <c r="O12189" i="2"/>
  <c r="O12190" i="2"/>
  <c r="O12191" i="2"/>
  <c r="O12192" i="2"/>
  <c r="O12193" i="2"/>
  <c r="O12194" i="2"/>
  <c r="O12195" i="2"/>
  <c r="O12196" i="2"/>
  <c r="O12197" i="2"/>
  <c r="O12198" i="2"/>
  <c r="O12199" i="2"/>
  <c r="O12200" i="2"/>
  <c r="O12201" i="2"/>
  <c r="O12202" i="2"/>
  <c r="O12203" i="2"/>
  <c r="O12204" i="2"/>
  <c r="O12205" i="2"/>
  <c r="O12206" i="2"/>
  <c r="O12207" i="2"/>
  <c r="O12208" i="2"/>
  <c r="O12209" i="2"/>
  <c r="O12210" i="2"/>
  <c r="O12211" i="2"/>
  <c r="O12212" i="2"/>
  <c r="O12213" i="2"/>
  <c r="O12214" i="2"/>
  <c r="O12215" i="2"/>
  <c r="O12216" i="2"/>
  <c r="O12217" i="2"/>
  <c r="O12218" i="2"/>
  <c r="O12219" i="2"/>
  <c r="O12220" i="2"/>
  <c r="O12221" i="2"/>
  <c r="O12222" i="2"/>
  <c r="O12223" i="2"/>
  <c r="O12224" i="2"/>
  <c r="O12225" i="2"/>
  <c r="O12226" i="2"/>
  <c r="O12227" i="2"/>
  <c r="O12228" i="2"/>
  <c r="O12229" i="2"/>
  <c r="O12230" i="2"/>
  <c r="O12231" i="2"/>
  <c r="O12232" i="2"/>
  <c r="O12233" i="2"/>
  <c r="O12234" i="2"/>
  <c r="O12235" i="2"/>
  <c r="O12236" i="2"/>
  <c r="O12237" i="2"/>
  <c r="O12238" i="2"/>
  <c r="O12239" i="2"/>
  <c r="O12240" i="2"/>
  <c r="O12241" i="2"/>
  <c r="O12242" i="2"/>
  <c r="O12243" i="2"/>
  <c r="O12244" i="2"/>
  <c r="O12245" i="2"/>
  <c r="O12246" i="2"/>
  <c r="O12247" i="2"/>
  <c r="O12248" i="2"/>
  <c r="O12249" i="2"/>
  <c r="O12250" i="2"/>
  <c r="O12251" i="2"/>
  <c r="O12252" i="2"/>
  <c r="O12253" i="2"/>
  <c r="O12254" i="2"/>
  <c r="O12255" i="2"/>
  <c r="O12256" i="2"/>
  <c r="O12257" i="2"/>
  <c r="O12258" i="2"/>
  <c r="O12259" i="2"/>
  <c r="O12260" i="2"/>
  <c r="O12261" i="2"/>
  <c r="O12262" i="2"/>
  <c r="O12263" i="2"/>
  <c r="O12264" i="2"/>
  <c r="O12265" i="2"/>
  <c r="O12266" i="2"/>
  <c r="O12267" i="2"/>
  <c r="O12268" i="2"/>
  <c r="O12269" i="2"/>
  <c r="O12270" i="2"/>
  <c r="O12271" i="2"/>
  <c r="O12272" i="2"/>
  <c r="O12273" i="2"/>
  <c r="O12274" i="2"/>
  <c r="O12275" i="2"/>
  <c r="O12276" i="2"/>
  <c r="O12277" i="2"/>
  <c r="O12278" i="2"/>
  <c r="O12279" i="2"/>
  <c r="O12280" i="2"/>
  <c r="O12281" i="2"/>
  <c r="O12282" i="2"/>
  <c r="O12283" i="2"/>
  <c r="O12284" i="2"/>
  <c r="O12285" i="2"/>
  <c r="O12286" i="2"/>
  <c r="O12287" i="2"/>
  <c r="O12288" i="2"/>
  <c r="O12289" i="2"/>
  <c r="O12290" i="2"/>
  <c r="O12291" i="2"/>
  <c r="O12292" i="2"/>
  <c r="O12293" i="2"/>
  <c r="O12294" i="2"/>
  <c r="O12295" i="2"/>
  <c r="O12296" i="2"/>
  <c r="O12297" i="2"/>
  <c r="O12298" i="2"/>
  <c r="O12299" i="2"/>
  <c r="O12300" i="2"/>
  <c r="O12301" i="2"/>
  <c r="O12302" i="2"/>
  <c r="O12303" i="2"/>
  <c r="O12304" i="2"/>
  <c r="O12305" i="2"/>
  <c r="O12306" i="2"/>
  <c r="O12307" i="2"/>
  <c r="O12308" i="2"/>
  <c r="O12309" i="2"/>
  <c r="O12310" i="2"/>
  <c r="O12311" i="2"/>
  <c r="O12312" i="2"/>
  <c r="O12313" i="2"/>
  <c r="O12314" i="2"/>
  <c r="O12315" i="2"/>
  <c r="O12316" i="2"/>
  <c r="O12317" i="2"/>
  <c r="O12318" i="2"/>
  <c r="O12319" i="2"/>
  <c r="O12320" i="2"/>
  <c r="O12321" i="2"/>
  <c r="O12322" i="2"/>
  <c r="O12323" i="2"/>
  <c r="O12324" i="2"/>
  <c r="O12325" i="2"/>
  <c r="O12326" i="2"/>
  <c r="O12327" i="2"/>
  <c r="O12328" i="2"/>
  <c r="O12329" i="2"/>
  <c r="O12330" i="2"/>
  <c r="O12331" i="2"/>
  <c r="O12332" i="2"/>
  <c r="O12333" i="2"/>
  <c r="O12334" i="2"/>
  <c r="O12335" i="2"/>
  <c r="O12336" i="2"/>
  <c r="O12337" i="2"/>
  <c r="O12338" i="2"/>
  <c r="O12339" i="2"/>
  <c r="O12340" i="2"/>
  <c r="O12341" i="2"/>
  <c r="O12342" i="2"/>
  <c r="O12343" i="2"/>
  <c r="O12344" i="2"/>
  <c r="O12345" i="2"/>
  <c r="O12346" i="2"/>
  <c r="O12347" i="2"/>
  <c r="O12348" i="2"/>
  <c r="O12349" i="2"/>
  <c r="O12350" i="2"/>
  <c r="O12351" i="2"/>
  <c r="O12352" i="2"/>
  <c r="O12353" i="2"/>
  <c r="O12354" i="2"/>
  <c r="O12355" i="2"/>
  <c r="O12356" i="2"/>
  <c r="O12357" i="2"/>
  <c r="O12358" i="2"/>
  <c r="O12359" i="2"/>
  <c r="O12360" i="2"/>
  <c r="O12361" i="2"/>
  <c r="O12362" i="2"/>
  <c r="O12363" i="2"/>
  <c r="O12364" i="2"/>
  <c r="O12365" i="2"/>
  <c r="O12366" i="2"/>
  <c r="O12367" i="2"/>
  <c r="O12368" i="2"/>
  <c r="O12369" i="2"/>
  <c r="O12370" i="2"/>
  <c r="O12371" i="2"/>
  <c r="O12372" i="2"/>
  <c r="O12373" i="2"/>
  <c r="O12374" i="2"/>
  <c r="O12375" i="2"/>
  <c r="O12376" i="2"/>
  <c r="O12377" i="2"/>
  <c r="O12378" i="2"/>
  <c r="O12379" i="2"/>
  <c r="O12380" i="2"/>
  <c r="O12381" i="2"/>
  <c r="O12382" i="2"/>
  <c r="O12383" i="2"/>
  <c r="O12384" i="2"/>
  <c r="O12385" i="2"/>
  <c r="O12386" i="2"/>
  <c r="O12387" i="2"/>
  <c r="O12388" i="2"/>
  <c r="O12389" i="2"/>
  <c r="O12390" i="2"/>
  <c r="O12391" i="2"/>
  <c r="O12392" i="2"/>
  <c r="O12393" i="2"/>
  <c r="O12394" i="2"/>
  <c r="O12395" i="2"/>
  <c r="O12396" i="2"/>
  <c r="O12397" i="2"/>
  <c r="O12398" i="2"/>
  <c r="O12399" i="2"/>
  <c r="O12400" i="2"/>
  <c r="O12401" i="2"/>
  <c r="O12402" i="2"/>
  <c r="O12403" i="2"/>
  <c r="O12404" i="2"/>
  <c r="O12405" i="2"/>
  <c r="O12406" i="2"/>
  <c r="O12407" i="2"/>
  <c r="O12408" i="2"/>
  <c r="O12409" i="2"/>
  <c r="O12410" i="2"/>
  <c r="O12411" i="2"/>
  <c r="O12412" i="2"/>
  <c r="O12413" i="2"/>
  <c r="O12414" i="2"/>
  <c r="O12415" i="2"/>
  <c r="O12416" i="2"/>
  <c r="O12417" i="2"/>
  <c r="O12418" i="2"/>
  <c r="O12419" i="2"/>
  <c r="O12420" i="2"/>
  <c r="O12421" i="2"/>
  <c r="O12422" i="2"/>
  <c r="O12423" i="2"/>
  <c r="O12424" i="2"/>
  <c r="O12425" i="2"/>
  <c r="O12426" i="2"/>
  <c r="O12427" i="2"/>
  <c r="O12428" i="2"/>
  <c r="O12429" i="2"/>
  <c r="O12430" i="2"/>
  <c r="O12431" i="2"/>
  <c r="O12432" i="2"/>
  <c r="O12433" i="2"/>
  <c r="O12434" i="2"/>
  <c r="O12435" i="2"/>
  <c r="O12436" i="2"/>
  <c r="O12437" i="2"/>
  <c r="O12438" i="2"/>
  <c r="O12439" i="2"/>
  <c r="O12440" i="2"/>
  <c r="O12441" i="2"/>
  <c r="O12442" i="2"/>
  <c r="O12443" i="2"/>
  <c r="O12444" i="2"/>
  <c r="O12445" i="2"/>
  <c r="O12446" i="2"/>
  <c r="O12447" i="2"/>
  <c r="O12448" i="2"/>
  <c r="O12449" i="2"/>
  <c r="O12450" i="2"/>
  <c r="O12451" i="2"/>
  <c r="O12452" i="2"/>
  <c r="O12453" i="2"/>
  <c r="O12454" i="2"/>
  <c r="O12455" i="2"/>
  <c r="O12456" i="2"/>
  <c r="O12457" i="2"/>
  <c r="O12458" i="2"/>
  <c r="O12459" i="2"/>
  <c r="O12460" i="2"/>
  <c r="O12461" i="2"/>
  <c r="O12462" i="2"/>
  <c r="O12463" i="2"/>
  <c r="O12464" i="2"/>
  <c r="O12465" i="2"/>
  <c r="O12466" i="2"/>
  <c r="O12467" i="2"/>
  <c r="O12468" i="2"/>
  <c r="O12469" i="2"/>
  <c r="O12470" i="2"/>
  <c r="O12471" i="2"/>
  <c r="O12472" i="2"/>
  <c r="O12473" i="2"/>
  <c r="O12474" i="2"/>
  <c r="O12475" i="2"/>
  <c r="O12476" i="2"/>
  <c r="O12477" i="2"/>
  <c r="O12478" i="2"/>
  <c r="O12479" i="2"/>
  <c r="O12480" i="2"/>
  <c r="O12481" i="2"/>
  <c r="O12482" i="2"/>
  <c r="O12483" i="2"/>
  <c r="O12484" i="2"/>
  <c r="O12485" i="2"/>
  <c r="O12486" i="2"/>
  <c r="O12487" i="2"/>
  <c r="O12488" i="2"/>
  <c r="O12489" i="2"/>
  <c r="O12490" i="2"/>
  <c r="O12491" i="2"/>
  <c r="O12492" i="2"/>
  <c r="O12493" i="2"/>
  <c r="O12494" i="2"/>
  <c r="O12495" i="2"/>
  <c r="O12496" i="2"/>
  <c r="O12497" i="2"/>
  <c r="O12498" i="2"/>
  <c r="O12499" i="2"/>
  <c r="O12500" i="2"/>
  <c r="O12501" i="2"/>
  <c r="O12502" i="2"/>
  <c r="O12503" i="2"/>
  <c r="O12504" i="2"/>
  <c r="O12505" i="2"/>
  <c r="O12506" i="2"/>
  <c r="O12507" i="2"/>
  <c r="O12508" i="2"/>
  <c r="O12509" i="2"/>
  <c r="O12510" i="2"/>
  <c r="O12511" i="2"/>
  <c r="O12512" i="2"/>
  <c r="O12513" i="2"/>
  <c r="O12514" i="2"/>
  <c r="O12515" i="2"/>
  <c r="O12516" i="2"/>
  <c r="O12517" i="2"/>
  <c r="O12518" i="2"/>
  <c r="O12519" i="2"/>
  <c r="O12520" i="2"/>
  <c r="O12521" i="2"/>
  <c r="O12522" i="2"/>
  <c r="O12523" i="2"/>
  <c r="O12524" i="2"/>
  <c r="O12525" i="2"/>
  <c r="O12526" i="2"/>
  <c r="O12527" i="2"/>
  <c r="O12528" i="2"/>
  <c r="O12529" i="2"/>
  <c r="O12530" i="2"/>
  <c r="O12531" i="2"/>
  <c r="O12532" i="2"/>
  <c r="O12533" i="2"/>
  <c r="O12534" i="2"/>
  <c r="O12535" i="2"/>
  <c r="O12536" i="2"/>
  <c r="O12537" i="2"/>
  <c r="O12538" i="2"/>
  <c r="O12539" i="2"/>
  <c r="O12540" i="2"/>
  <c r="O12541" i="2"/>
  <c r="O12542" i="2"/>
  <c r="O12543" i="2"/>
  <c r="O12544" i="2"/>
  <c r="O12545" i="2"/>
  <c r="O12546" i="2"/>
  <c r="O12547" i="2"/>
  <c r="O12548" i="2"/>
  <c r="O12549" i="2"/>
  <c r="O12550" i="2"/>
  <c r="O12551" i="2"/>
  <c r="O12552" i="2"/>
  <c r="O12553" i="2"/>
  <c r="O12554" i="2"/>
  <c r="O12555" i="2"/>
  <c r="O12556" i="2"/>
  <c r="O12557" i="2"/>
  <c r="O12558" i="2"/>
  <c r="O12559" i="2"/>
  <c r="O12560" i="2"/>
  <c r="O12561" i="2"/>
  <c r="O12562" i="2"/>
  <c r="O12563" i="2"/>
  <c r="O12564" i="2"/>
  <c r="O12565" i="2"/>
  <c r="O12566" i="2"/>
  <c r="O12567" i="2"/>
  <c r="O12568" i="2"/>
  <c r="O12569" i="2"/>
  <c r="O12570" i="2"/>
  <c r="O12571" i="2"/>
  <c r="O12572" i="2"/>
  <c r="O12573" i="2"/>
  <c r="O12574" i="2"/>
  <c r="O12575" i="2"/>
  <c r="O12576" i="2"/>
  <c r="O12577" i="2"/>
  <c r="O12578" i="2"/>
  <c r="O12579" i="2"/>
  <c r="O12580" i="2"/>
  <c r="O12581" i="2"/>
  <c r="O12582" i="2"/>
  <c r="O12583" i="2"/>
  <c r="O12584" i="2"/>
  <c r="O12585" i="2"/>
  <c r="O12586" i="2"/>
  <c r="O12587" i="2"/>
  <c r="O12588" i="2"/>
  <c r="O12589" i="2"/>
  <c r="O12590" i="2"/>
  <c r="O12591" i="2"/>
  <c r="O12592" i="2"/>
  <c r="O12593" i="2"/>
  <c r="O12594" i="2"/>
  <c r="O12595" i="2"/>
  <c r="O12596" i="2"/>
  <c r="O12597" i="2"/>
  <c r="O12598" i="2"/>
  <c r="O12599" i="2"/>
  <c r="O12600" i="2"/>
  <c r="O12601" i="2"/>
  <c r="O12602" i="2"/>
  <c r="O12603" i="2"/>
  <c r="O12604" i="2"/>
  <c r="O12605" i="2"/>
  <c r="O12606" i="2"/>
  <c r="O12607" i="2"/>
  <c r="O12608" i="2"/>
  <c r="O12609" i="2"/>
  <c r="O12610" i="2"/>
  <c r="O12611" i="2"/>
  <c r="O12612" i="2"/>
  <c r="O12613" i="2"/>
  <c r="O12614" i="2"/>
  <c r="O12615" i="2"/>
  <c r="O12616" i="2"/>
  <c r="O12617" i="2"/>
  <c r="O12618" i="2"/>
  <c r="O12619" i="2"/>
  <c r="O12620" i="2"/>
  <c r="O12621" i="2"/>
  <c r="O12622" i="2"/>
  <c r="O12623" i="2"/>
  <c r="O12624" i="2"/>
  <c r="O12625" i="2"/>
  <c r="O12626" i="2"/>
  <c r="O12627" i="2"/>
  <c r="O12628" i="2"/>
  <c r="O12629" i="2"/>
  <c r="O12630" i="2"/>
  <c r="O12631" i="2"/>
  <c r="O12632" i="2"/>
  <c r="O12633" i="2"/>
  <c r="O12634" i="2"/>
  <c r="O12635" i="2"/>
  <c r="O12636" i="2"/>
  <c r="O12637" i="2"/>
  <c r="O12638" i="2"/>
  <c r="O12639" i="2"/>
  <c r="O12640" i="2"/>
  <c r="O12641" i="2"/>
  <c r="O12642" i="2"/>
  <c r="O12643" i="2"/>
  <c r="O12644" i="2"/>
  <c r="O12645" i="2"/>
  <c r="O12646" i="2"/>
  <c r="O12647" i="2"/>
  <c r="O12648" i="2"/>
  <c r="O12649" i="2"/>
  <c r="O12650" i="2"/>
  <c r="O12651" i="2"/>
  <c r="O12652" i="2"/>
  <c r="O12653" i="2"/>
  <c r="O12654" i="2"/>
  <c r="O12655" i="2"/>
  <c r="O12656" i="2"/>
  <c r="O12657" i="2"/>
  <c r="O12658" i="2"/>
  <c r="O12659" i="2"/>
  <c r="O12660" i="2"/>
  <c r="O12661" i="2"/>
  <c r="O12662" i="2"/>
  <c r="O12663" i="2"/>
  <c r="O12664" i="2"/>
  <c r="O12665" i="2"/>
  <c r="O12666" i="2"/>
  <c r="O12667" i="2"/>
  <c r="O12668" i="2"/>
  <c r="O12669" i="2"/>
  <c r="O12670" i="2"/>
  <c r="O12671" i="2"/>
  <c r="O12672" i="2"/>
  <c r="O12673" i="2"/>
  <c r="O12674" i="2"/>
  <c r="O12675" i="2"/>
  <c r="O12676" i="2"/>
  <c r="O12677" i="2"/>
  <c r="O12678" i="2"/>
  <c r="O12679" i="2"/>
  <c r="O12680" i="2"/>
  <c r="O12681" i="2"/>
  <c r="O12682" i="2"/>
  <c r="O12683" i="2"/>
  <c r="O12684" i="2"/>
  <c r="O12685" i="2"/>
  <c r="O12686" i="2"/>
  <c r="O12687" i="2"/>
  <c r="O12688" i="2"/>
  <c r="O12689" i="2"/>
  <c r="O12690" i="2"/>
  <c r="O12691" i="2"/>
  <c r="O12692" i="2"/>
  <c r="O12693" i="2"/>
  <c r="O12694" i="2"/>
  <c r="O12695" i="2"/>
  <c r="O12696" i="2"/>
  <c r="O12697" i="2"/>
  <c r="O12698" i="2"/>
  <c r="O12699" i="2"/>
  <c r="O12700" i="2"/>
  <c r="O12701" i="2"/>
  <c r="O12702" i="2"/>
  <c r="O12703" i="2"/>
  <c r="O12704" i="2"/>
  <c r="O12705" i="2"/>
  <c r="O12706" i="2"/>
  <c r="O12707" i="2"/>
  <c r="O12708" i="2"/>
  <c r="O12709" i="2"/>
  <c r="O12710" i="2"/>
  <c r="O12711" i="2"/>
  <c r="O12712" i="2"/>
  <c r="O12713" i="2"/>
  <c r="O12714" i="2"/>
  <c r="O12715" i="2"/>
  <c r="O12716" i="2"/>
  <c r="O12717" i="2"/>
  <c r="O12718" i="2"/>
  <c r="O12719" i="2"/>
  <c r="O12720" i="2"/>
  <c r="O12721" i="2"/>
  <c r="O12722" i="2"/>
  <c r="O12723" i="2"/>
  <c r="O12724" i="2"/>
  <c r="O12725" i="2"/>
  <c r="O12726" i="2"/>
  <c r="O12727" i="2"/>
  <c r="O12728" i="2"/>
  <c r="O12729" i="2"/>
  <c r="O12730" i="2"/>
  <c r="O12731" i="2"/>
  <c r="O12732" i="2"/>
  <c r="O12733" i="2"/>
  <c r="O12734" i="2"/>
  <c r="O12735" i="2"/>
  <c r="O12736" i="2"/>
  <c r="O12737" i="2"/>
  <c r="O12738" i="2"/>
  <c r="O12739" i="2"/>
  <c r="O12740" i="2"/>
  <c r="O12741" i="2"/>
  <c r="O12742" i="2"/>
  <c r="O12743" i="2"/>
  <c r="O12744" i="2"/>
  <c r="O12745" i="2"/>
  <c r="O12746" i="2"/>
  <c r="O12747" i="2"/>
  <c r="O12748" i="2"/>
  <c r="O12749" i="2"/>
  <c r="O12750" i="2"/>
  <c r="O12751" i="2"/>
  <c r="O12752" i="2"/>
  <c r="O12753" i="2"/>
  <c r="O12754" i="2"/>
  <c r="O12755" i="2"/>
  <c r="O12756" i="2"/>
  <c r="O12757" i="2"/>
  <c r="O12758" i="2"/>
  <c r="O12759" i="2"/>
  <c r="O12760" i="2"/>
  <c r="O12761" i="2"/>
  <c r="O12762" i="2"/>
  <c r="O12763" i="2"/>
  <c r="O12764" i="2"/>
  <c r="O12765" i="2"/>
  <c r="O12766" i="2"/>
  <c r="O12767" i="2"/>
  <c r="O12768" i="2"/>
  <c r="O12769" i="2"/>
  <c r="O12770" i="2"/>
  <c r="O12771" i="2"/>
  <c r="O12772" i="2"/>
  <c r="O12773" i="2"/>
  <c r="O12774" i="2"/>
  <c r="O12775" i="2"/>
  <c r="O12776" i="2"/>
  <c r="O12777" i="2"/>
  <c r="O12778" i="2"/>
  <c r="O12779" i="2"/>
  <c r="O12780" i="2"/>
  <c r="O12781" i="2"/>
  <c r="O12782" i="2"/>
  <c r="O12783" i="2"/>
  <c r="O12784" i="2"/>
  <c r="O12785" i="2"/>
  <c r="O12786" i="2"/>
  <c r="O12787" i="2"/>
  <c r="O12788" i="2"/>
  <c r="O12789" i="2"/>
  <c r="O12790" i="2"/>
  <c r="O12791" i="2"/>
  <c r="O12792" i="2"/>
  <c r="O12793" i="2"/>
  <c r="O12794" i="2"/>
  <c r="O12795" i="2"/>
  <c r="O12796" i="2"/>
  <c r="O12797" i="2"/>
  <c r="O12798" i="2"/>
  <c r="O12799" i="2"/>
  <c r="O12800" i="2"/>
  <c r="O12801" i="2"/>
  <c r="O12802" i="2"/>
  <c r="O12803" i="2"/>
  <c r="O12804" i="2"/>
  <c r="O12805" i="2"/>
  <c r="O12806" i="2"/>
  <c r="O12807" i="2"/>
  <c r="O12808" i="2"/>
  <c r="O12809" i="2"/>
  <c r="O12810" i="2"/>
  <c r="O12811" i="2"/>
  <c r="O12812" i="2"/>
  <c r="O12813" i="2"/>
  <c r="O12814" i="2"/>
  <c r="O12815" i="2"/>
  <c r="O12816" i="2"/>
  <c r="O12817" i="2"/>
  <c r="O12818" i="2"/>
  <c r="O12819" i="2"/>
  <c r="O12820" i="2"/>
  <c r="O12821" i="2"/>
  <c r="O12822" i="2"/>
  <c r="O12823" i="2"/>
  <c r="O12824" i="2"/>
  <c r="O12825" i="2"/>
  <c r="O12826" i="2"/>
  <c r="O12827" i="2"/>
  <c r="O12828" i="2"/>
  <c r="O12829" i="2"/>
  <c r="O12830" i="2"/>
  <c r="O12831" i="2"/>
  <c r="O12832" i="2"/>
  <c r="O12833" i="2"/>
  <c r="O12834" i="2"/>
  <c r="O12835" i="2"/>
  <c r="O12836" i="2"/>
  <c r="O12837" i="2"/>
  <c r="O12838" i="2"/>
  <c r="O12839" i="2"/>
  <c r="O12840" i="2"/>
  <c r="O12841" i="2"/>
  <c r="O12842" i="2"/>
  <c r="O12843" i="2"/>
  <c r="O12844" i="2"/>
  <c r="O12845" i="2"/>
  <c r="O12846" i="2"/>
  <c r="O12847" i="2"/>
  <c r="O12848" i="2"/>
  <c r="O12849" i="2"/>
  <c r="O12850" i="2"/>
  <c r="O12851" i="2"/>
  <c r="O12852" i="2"/>
  <c r="O12853" i="2"/>
  <c r="O12854" i="2"/>
  <c r="O12855" i="2"/>
  <c r="O12856" i="2"/>
  <c r="O12857" i="2"/>
  <c r="O12858" i="2"/>
  <c r="O12859" i="2"/>
  <c r="O12860" i="2"/>
  <c r="O12861" i="2"/>
  <c r="O12862" i="2"/>
  <c r="O12863" i="2"/>
  <c r="O12864" i="2"/>
  <c r="O12865" i="2"/>
  <c r="O12866" i="2"/>
  <c r="O12867" i="2"/>
  <c r="O12868" i="2"/>
  <c r="O12869" i="2"/>
  <c r="O12870" i="2"/>
  <c r="O12871" i="2"/>
  <c r="O12872" i="2"/>
  <c r="O12873" i="2"/>
  <c r="O12874" i="2"/>
  <c r="O12875" i="2"/>
  <c r="O12876" i="2"/>
  <c r="O12877" i="2"/>
  <c r="O12878" i="2"/>
  <c r="O12879" i="2"/>
  <c r="O12880" i="2"/>
  <c r="O12881" i="2"/>
  <c r="O12882" i="2"/>
  <c r="O12883" i="2"/>
  <c r="O12884" i="2"/>
  <c r="O12885" i="2"/>
  <c r="O12886" i="2"/>
  <c r="O12887" i="2"/>
  <c r="O12888" i="2"/>
  <c r="O12889" i="2"/>
  <c r="O12890" i="2"/>
  <c r="O12891" i="2"/>
  <c r="O12892" i="2"/>
  <c r="O12893" i="2"/>
  <c r="O12894" i="2"/>
  <c r="O12895" i="2"/>
  <c r="O12896" i="2"/>
  <c r="O12897" i="2"/>
  <c r="O12898" i="2"/>
  <c r="O12899" i="2"/>
  <c r="O12900" i="2"/>
  <c r="O12901" i="2"/>
  <c r="O12902" i="2"/>
  <c r="O12903" i="2"/>
  <c r="O12904" i="2"/>
  <c r="O12905" i="2"/>
  <c r="O12906" i="2"/>
  <c r="O12907" i="2"/>
  <c r="O12908" i="2"/>
  <c r="O12909" i="2"/>
  <c r="O12910" i="2"/>
  <c r="O12911" i="2"/>
  <c r="O12912" i="2"/>
  <c r="O12913" i="2"/>
  <c r="O12914" i="2"/>
  <c r="O12915" i="2"/>
  <c r="O12916" i="2"/>
  <c r="O12917" i="2"/>
  <c r="O12918" i="2"/>
  <c r="O12919" i="2"/>
  <c r="O12920" i="2"/>
  <c r="O12921" i="2"/>
  <c r="O12922" i="2"/>
  <c r="O12923" i="2"/>
  <c r="O12924" i="2"/>
  <c r="O12925" i="2"/>
  <c r="O12926" i="2"/>
  <c r="O12927" i="2"/>
  <c r="O12928" i="2"/>
  <c r="O12929" i="2"/>
  <c r="O12930" i="2"/>
  <c r="O12931" i="2"/>
  <c r="O12932" i="2"/>
  <c r="O12933" i="2"/>
  <c r="O12934" i="2"/>
  <c r="O12935" i="2"/>
  <c r="O12936" i="2"/>
  <c r="O12937" i="2"/>
  <c r="O12938" i="2"/>
  <c r="O12939" i="2"/>
  <c r="O12940" i="2"/>
  <c r="O12941" i="2"/>
  <c r="O12942" i="2"/>
  <c r="O12943" i="2"/>
  <c r="O12944" i="2"/>
  <c r="O12945" i="2"/>
  <c r="O12946" i="2"/>
  <c r="O12947" i="2"/>
  <c r="O12948" i="2"/>
  <c r="O12949" i="2"/>
  <c r="O12950" i="2"/>
  <c r="O12951" i="2"/>
  <c r="O12952" i="2"/>
  <c r="O12953" i="2"/>
  <c r="O12954" i="2"/>
  <c r="O12955" i="2"/>
  <c r="O12956" i="2"/>
  <c r="O12957" i="2"/>
  <c r="O12958" i="2"/>
  <c r="O12959" i="2"/>
  <c r="O12960" i="2"/>
  <c r="O12961" i="2"/>
  <c r="O12962" i="2"/>
  <c r="O12963" i="2"/>
  <c r="O12964" i="2"/>
  <c r="O12965" i="2"/>
  <c r="O12966" i="2"/>
  <c r="O12967" i="2"/>
  <c r="O12968" i="2"/>
  <c r="O12969" i="2"/>
  <c r="O12970" i="2"/>
  <c r="O12971" i="2"/>
  <c r="O12972" i="2"/>
  <c r="O12973" i="2"/>
  <c r="O12974" i="2"/>
  <c r="O12975" i="2"/>
  <c r="O12976" i="2"/>
  <c r="O12977" i="2"/>
  <c r="O12978" i="2"/>
  <c r="O12979" i="2"/>
  <c r="O12980" i="2"/>
  <c r="O12981" i="2"/>
  <c r="O12982" i="2"/>
  <c r="O12983" i="2"/>
  <c r="O12984" i="2"/>
  <c r="O12985" i="2"/>
  <c r="O12986" i="2"/>
  <c r="O12987" i="2"/>
  <c r="O12988" i="2"/>
  <c r="O12989" i="2"/>
  <c r="O12990" i="2"/>
  <c r="O12991" i="2"/>
  <c r="O12992" i="2"/>
  <c r="O12993" i="2"/>
  <c r="O12994" i="2"/>
  <c r="O12995" i="2"/>
  <c r="O12996" i="2"/>
  <c r="O12997" i="2"/>
  <c r="O12998" i="2"/>
  <c r="O12999" i="2"/>
  <c r="O13000" i="2"/>
  <c r="O13001" i="2"/>
  <c r="O13002" i="2"/>
  <c r="O13003" i="2"/>
  <c r="O13004" i="2"/>
  <c r="O13005" i="2"/>
  <c r="O13006" i="2"/>
  <c r="O13007" i="2"/>
  <c r="O13008" i="2"/>
  <c r="O13009" i="2"/>
  <c r="O13010" i="2"/>
  <c r="O13011" i="2"/>
  <c r="O13012" i="2"/>
  <c r="O13013" i="2"/>
  <c r="O13014" i="2"/>
  <c r="O13015" i="2"/>
  <c r="O13016" i="2"/>
  <c r="O13017" i="2"/>
  <c r="O13018" i="2"/>
  <c r="O13019" i="2"/>
  <c r="O13020" i="2"/>
  <c r="O13021" i="2"/>
  <c r="O13022" i="2"/>
  <c r="O13023" i="2"/>
  <c r="O13024" i="2"/>
  <c r="O13025" i="2"/>
  <c r="O13026" i="2"/>
  <c r="O13027" i="2"/>
  <c r="O13028" i="2"/>
  <c r="O13029" i="2"/>
  <c r="O13030" i="2"/>
  <c r="O13031" i="2"/>
  <c r="O13032" i="2"/>
  <c r="O13033" i="2"/>
  <c r="O13034" i="2"/>
  <c r="O13035" i="2"/>
  <c r="O13036" i="2"/>
  <c r="O13037" i="2"/>
  <c r="O13038" i="2"/>
  <c r="O13039" i="2"/>
  <c r="O13040" i="2"/>
  <c r="O13041" i="2"/>
  <c r="O13042" i="2"/>
  <c r="O13043" i="2"/>
  <c r="O13044" i="2"/>
  <c r="O13045" i="2"/>
  <c r="O13046" i="2"/>
  <c r="O13047" i="2"/>
  <c r="O13048" i="2"/>
  <c r="O13049" i="2"/>
  <c r="O13050" i="2"/>
  <c r="O13051" i="2"/>
  <c r="O13052" i="2"/>
  <c r="O13053" i="2"/>
  <c r="O13054" i="2"/>
  <c r="O13055" i="2"/>
  <c r="O13056" i="2"/>
  <c r="O13057" i="2"/>
  <c r="O13058" i="2"/>
  <c r="O13059" i="2"/>
  <c r="O13060" i="2"/>
  <c r="O13061" i="2"/>
  <c r="O13062" i="2"/>
  <c r="O13063" i="2"/>
  <c r="O13064" i="2"/>
  <c r="O13065" i="2"/>
  <c r="O13066" i="2"/>
  <c r="O13067" i="2"/>
  <c r="O13068" i="2"/>
  <c r="O13069" i="2"/>
  <c r="O13070" i="2"/>
  <c r="O13071" i="2"/>
  <c r="O13072" i="2"/>
  <c r="O13073" i="2"/>
  <c r="O13074" i="2"/>
  <c r="O13075" i="2"/>
  <c r="O13076" i="2"/>
  <c r="O13077" i="2"/>
  <c r="O13078" i="2"/>
  <c r="O13079" i="2"/>
  <c r="O13080" i="2"/>
  <c r="O13081" i="2"/>
  <c r="O13082" i="2"/>
  <c r="O13083" i="2"/>
  <c r="O13084" i="2"/>
  <c r="O13085" i="2"/>
  <c r="O13086" i="2"/>
  <c r="O13087" i="2"/>
  <c r="O13088" i="2"/>
  <c r="O13089" i="2"/>
  <c r="O13090" i="2"/>
  <c r="O13091" i="2"/>
  <c r="O13092" i="2"/>
  <c r="O13093" i="2"/>
  <c r="O13094" i="2"/>
  <c r="O13095" i="2"/>
  <c r="O13096" i="2"/>
  <c r="O13097" i="2"/>
  <c r="O13098" i="2"/>
  <c r="O13099" i="2"/>
  <c r="O13100" i="2"/>
  <c r="O13101" i="2"/>
  <c r="O13102" i="2"/>
  <c r="O13103" i="2"/>
  <c r="O13104" i="2"/>
  <c r="O13105" i="2"/>
  <c r="O13106" i="2"/>
  <c r="O13107" i="2"/>
  <c r="O13108" i="2"/>
  <c r="O13109" i="2"/>
  <c r="O13110" i="2"/>
  <c r="O13111" i="2"/>
  <c r="O13112" i="2"/>
  <c r="O13113" i="2"/>
  <c r="O13114" i="2"/>
  <c r="O13115" i="2"/>
  <c r="O13116" i="2"/>
  <c r="O13117" i="2"/>
  <c r="O13118" i="2"/>
  <c r="O13119" i="2"/>
  <c r="O13120" i="2"/>
  <c r="O13121" i="2"/>
  <c r="O13122" i="2"/>
  <c r="O13123" i="2"/>
  <c r="O13124" i="2"/>
  <c r="O13125" i="2"/>
  <c r="O13126" i="2"/>
  <c r="O13127" i="2"/>
  <c r="O13128" i="2"/>
  <c r="O13129" i="2"/>
  <c r="O13130" i="2"/>
  <c r="O13131" i="2"/>
  <c r="O13132" i="2"/>
  <c r="O13133" i="2"/>
  <c r="O13134" i="2"/>
  <c r="O13135" i="2"/>
  <c r="O13136" i="2"/>
  <c r="O13137" i="2"/>
  <c r="O13138" i="2"/>
  <c r="O13139" i="2"/>
  <c r="O13140" i="2"/>
  <c r="O13141" i="2"/>
  <c r="O13142" i="2"/>
  <c r="O13143" i="2"/>
  <c r="O13144" i="2"/>
  <c r="O13145" i="2"/>
  <c r="O13146" i="2"/>
  <c r="O13147" i="2"/>
  <c r="O13148" i="2"/>
  <c r="O13149" i="2"/>
  <c r="O13150" i="2"/>
  <c r="O13151" i="2"/>
  <c r="O13152" i="2"/>
  <c r="O13153" i="2"/>
  <c r="O13154" i="2"/>
  <c r="O13155" i="2"/>
  <c r="O13156" i="2"/>
  <c r="O13157" i="2"/>
  <c r="O13158" i="2"/>
  <c r="O13159" i="2"/>
  <c r="O13160" i="2"/>
  <c r="O13161" i="2"/>
  <c r="O13162" i="2"/>
  <c r="O13163" i="2"/>
  <c r="O13164" i="2"/>
  <c r="O13165" i="2"/>
  <c r="O13166" i="2"/>
  <c r="O13167" i="2"/>
  <c r="O13168" i="2"/>
  <c r="O13169" i="2"/>
  <c r="O13170" i="2"/>
  <c r="O13171" i="2"/>
  <c r="O13172" i="2"/>
  <c r="O13173" i="2"/>
  <c r="O13174" i="2"/>
  <c r="O13175" i="2"/>
  <c r="O13176" i="2"/>
  <c r="O13177" i="2"/>
  <c r="O13178" i="2"/>
  <c r="O13179" i="2"/>
  <c r="O13180" i="2"/>
  <c r="O13181" i="2"/>
  <c r="O13182" i="2"/>
  <c r="O13183" i="2"/>
  <c r="O13184" i="2"/>
  <c r="O13185" i="2"/>
  <c r="O13186" i="2"/>
  <c r="O13187" i="2"/>
  <c r="O13188" i="2"/>
  <c r="O13189" i="2"/>
  <c r="O13190" i="2"/>
  <c r="O13191" i="2"/>
  <c r="O13192" i="2"/>
  <c r="O13193" i="2"/>
  <c r="O13194" i="2"/>
  <c r="O13195" i="2"/>
  <c r="O13196" i="2"/>
  <c r="O13197" i="2"/>
  <c r="O13198" i="2"/>
  <c r="O13199" i="2"/>
  <c r="O13200" i="2"/>
  <c r="O13201" i="2"/>
  <c r="O13202" i="2"/>
  <c r="O13203" i="2"/>
  <c r="O13204" i="2"/>
  <c r="O13205" i="2"/>
  <c r="O13206" i="2"/>
  <c r="O13207" i="2"/>
  <c r="O13208" i="2"/>
  <c r="O13209" i="2"/>
  <c r="O13210" i="2"/>
  <c r="O13211" i="2"/>
  <c r="O13212" i="2"/>
  <c r="O13213" i="2"/>
  <c r="O13214" i="2"/>
  <c r="O13215" i="2"/>
  <c r="O13216" i="2"/>
  <c r="O13217" i="2"/>
  <c r="O13218" i="2"/>
  <c r="O13219" i="2"/>
  <c r="O13220" i="2"/>
  <c r="O13221" i="2"/>
  <c r="O13222" i="2"/>
  <c r="O13223" i="2"/>
  <c r="O13224" i="2"/>
  <c r="O13225" i="2"/>
  <c r="O13226" i="2"/>
  <c r="O13227" i="2"/>
  <c r="O13228" i="2"/>
  <c r="O13229" i="2"/>
  <c r="O13230" i="2"/>
  <c r="O13231" i="2"/>
  <c r="O13232" i="2"/>
  <c r="O13233" i="2"/>
  <c r="O13234" i="2"/>
  <c r="O13235" i="2"/>
  <c r="O13236" i="2"/>
  <c r="O13237" i="2"/>
  <c r="O13238" i="2"/>
  <c r="O13239" i="2"/>
  <c r="O13240" i="2"/>
  <c r="O13241" i="2"/>
  <c r="O13242" i="2"/>
  <c r="O13243" i="2"/>
  <c r="O13244" i="2"/>
  <c r="O13245" i="2"/>
  <c r="O13246" i="2"/>
  <c r="O13247" i="2"/>
  <c r="O13248" i="2"/>
  <c r="O13249" i="2"/>
  <c r="O13250" i="2"/>
  <c r="O13251" i="2"/>
  <c r="O13252" i="2"/>
  <c r="O13253" i="2"/>
  <c r="O13254" i="2"/>
  <c r="O13255" i="2"/>
  <c r="O13256" i="2"/>
  <c r="O13257" i="2"/>
  <c r="O13258" i="2"/>
  <c r="O13259" i="2"/>
  <c r="O13260" i="2"/>
  <c r="O13261" i="2"/>
  <c r="O13262" i="2"/>
  <c r="O13263" i="2"/>
  <c r="O13264" i="2"/>
  <c r="O13265" i="2"/>
  <c r="O13266" i="2"/>
  <c r="O13267" i="2"/>
  <c r="O13268" i="2"/>
  <c r="O13269" i="2"/>
  <c r="O13270" i="2"/>
  <c r="O13271" i="2"/>
  <c r="O13272" i="2"/>
  <c r="O13273" i="2"/>
  <c r="O13274" i="2"/>
  <c r="O13275" i="2"/>
  <c r="O13276" i="2"/>
  <c r="O13277" i="2"/>
  <c r="O13278" i="2"/>
  <c r="O13279" i="2"/>
  <c r="O13280" i="2"/>
  <c r="O13281" i="2"/>
  <c r="O13282" i="2"/>
  <c r="O13283" i="2"/>
  <c r="O13284" i="2"/>
  <c r="O13285" i="2"/>
  <c r="O13286" i="2"/>
  <c r="O13287" i="2"/>
  <c r="O13288" i="2"/>
  <c r="O13289" i="2"/>
  <c r="O13290" i="2"/>
  <c r="O13291" i="2"/>
  <c r="O13292" i="2"/>
  <c r="O13293" i="2"/>
  <c r="O13294" i="2"/>
  <c r="O13295" i="2"/>
  <c r="O13296" i="2"/>
  <c r="O13297" i="2"/>
  <c r="O13298" i="2"/>
  <c r="O13299" i="2"/>
  <c r="O13300" i="2"/>
  <c r="O13301" i="2"/>
  <c r="O13302" i="2"/>
  <c r="O13303" i="2"/>
  <c r="O13304" i="2"/>
  <c r="O13305" i="2"/>
  <c r="O13306" i="2"/>
  <c r="O13307" i="2"/>
  <c r="O13308" i="2"/>
  <c r="O13309" i="2"/>
  <c r="O13310" i="2"/>
  <c r="O13311" i="2"/>
  <c r="O13312" i="2"/>
  <c r="O13313" i="2"/>
  <c r="O13314" i="2"/>
  <c r="O13315" i="2"/>
  <c r="O13316" i="2"/>
  <c r="O13317" i="2"/>
  <c r="O13318" i="2"/>
  <c r="O13319" i="2"/>
  <c r="O13320" i="2"/>
  <c r="O13321" i="2"/>
  <c r="O13322" i="2"/>
  <c r="O13323" i="2"/>
  <c r="O13324" i="2"/>
  <c r="O13325" i="2"/>
  <c r="O13326" i="2"/>
  <c r="O13327" i="2"/>
  <c r="O13328" i="2"/>
  <c r="O13329" i="2"/>
  <c r="O13330" i="2"/>
  <c r="O13331" i="2"/>
  <c r="O13332" i="2"/>
  <c r="O13333" i="2"/>
  <c r="O13334" i="2"/>
  <c r="O13335" i="2"/>
  <c r="O13336" i="2"/>
  <c r="O13337" i="2"/>
  <c r="O13338" i="2"/>
  <c r="O13339" i="2"/>
  <c r="O13340" i="2"/>
  <c r="O13341" i="2"/>
  <c r="O13342" i="2"/>
  <c r="O13343" i="2"/>
  <c r="O13344" i="2"/>
  <c r="O13345" i="2"/>
  <c r="O13346" i="2"/>
  <c r="O13347" i="2"/>
  <c r="O13348" i="2"/>
  <c r="O13349" i="2"/>
  <c r="O13350" i="2"/>
  <c r="O13351" i="2"/>
  <c r="O13352" i="2"/>
  <c r="O13353" i="2"/>
  <c r="O13354" i="2"/>
  <c r="O13355" i="2"/>
  <c r="O13356" i="2"/>
  <c r="O13357" i="2"/>
  <c r="O13358" i="2"/>
  <c r="O13359" i="2"/>
  <c r="O13360" i="2"/>
  <c r="O13361" i="2"/>
  <c r="O13362" i="2"/>
  <c r="O13363" i="2"/>
  <c r="O13364" i="2"/>
  <c r="O13365" i="2"/>
  <c r="O13366" i="2"/>
  <c r="O13367" i="2"/>
  <c r="O13368" i="2"/>
  <c r="O13369" i="2"/>
  <c r="O13370" i="2"/>
  <c r="O13371" i="2"/>
  <c r="O13372" i="2"/>
  <c r="O13373" i="2"/>
  <c r="O13374" i="2"/>
  <c r="O13375" i="2"/>
  <c r="O13376" i="2"/>
  <c r="O13377" i="2"/>
  <c r="O13378" i="2"/>
  <c r="O13379" i="2"/>
  <c r="O13380" i="2"/>
  <c r="O13381" i="2"/>
  <c r="O13382" i="2"/>
  <c r="O13383" i="2"/>
  <c r="O13384" i="2"/>
  <c r="O13385" i="2"/>
  <c r="O13386" i="2"/>
  <c r="O13387" i="2"/>
  <c r="O13388" i="2"/>
  <c r="O13389" i="2"/>
  <c r="O13390" i="2"/>
  <c r="O13391" i="2"/>
  <c r="O13392" i="2"/>
  <c r="O13393" i="2"/>
  <c r="O13394" i="2"/>
  <c r="O13395" i="2"/>
  <c r="O13396" i="2"/>
  <c r="O13397" i="2"/>
  <c r="O13398" i="2"/>
  <c r="O13399" i="2"/>
  <c r="O13400" i="2"/>
  <c r="O13401" i="2"/>
  <c r="O13402" i="2"/>
  <c r="O13403" i="2"/>
  <c r="O13404" i="2"/>
  <c r="O13405" i="2"/>
  <c r="O13406" i="2"/>
  <c r="O13407" i="2"/>
  <c r="O13408" i="2"/>
  <c r="O13409" i="2"/>
  <c r="O13410" i="2"/>
  <c r="O13411" i="2"/>
  <c r="O13412" i="2"/>
  <c r="O13413" i="2"/>
  <c r="O13414" i="2"/>
  <c r="O13415" i="2"/>
  <c r="O13416" i="2"/>
  <c r="O13417" i="2"/>
  <c r="O13418" i="2"/>
  <c r="O13419" i="2"/>
  <c r="O13420" i="2"/>
  <c r="O13421" i="2"/>
  <c r="O13422" i="2"/>
  <c r="O13423" i="2"/>
  <c r="O13424" i="2"/>
  <c r="O13425" i="2"/>
  <c r="O13426" i="2"/>
  <c r="O13427" i="2"/>
  <c r="O13428" i="2"/>
  <c r="O13429" i="2"/>
  <c r="O13430" i="2"/>
  <c r="O13431" i="2"/>
  <c r="O13432" i="2"/>
  <c r="O13433" i="2"/>
  <c r="O13434" i="2"/>
  <c r="O13435" i="2"/>
  <c r="O13436" i="2"/>
  <c r="O13437" i="2"/>
  <c r="O13438" i="2"/>
  <c r="O13439" i="2"/>
  <c r="O13440" i="2"/>
  <c r="O13441" i="2"/>
  <c r="O13442" i="2"/>
  <c r="O13443" i="2"/>
  <c r="O13444" i="2"/>
  <c r="O13445" i="2"/>
  <c r="O13446" i="2"/>
  <c r="O13447" i="2"/>
  <c r="O13448" i="2"/>
  <c r="O13449" i="2"/>
  <c r="O13450" i="2"/>
  <c r="O13451" i="2"/>
  <c r="O13452" i="2"/>
  <c r="O13453" i="2"/>
  <c r="O13454" i="2"/>
  <c r="O13455" i="2"/>
  <c r="O13456" i="2"/>
  <c r="O13457" i="2"/>
  <c r="O13458" i="2"/>
  <c r="O13459" i="2"/>
  <c r="O13460" i="2"/>
  <c r="O13461" i="2"/>
  <c r="O13462" i="2"/>
  <c r="O13463" i="2"/>
  <c r="O13464" i="2"/>
  <c r="O13465" i="2"/>
  <c r="O13466" i="2"/>
  <c r="O13467" i="2"/>
  <c r="O13468" i="2"/>
  <c r="O13469" i="2"/>
  <c r="O13470" i="2"/>
  <c r="O13471" i="2"/>
  <c r="O13472" i="2"/>
  <c r="O13473" i="2"/>
  <c r="O13474" i="2"/>
  <c r="O13475" i="2"/>
  <c r="O13476" i="2"/>
  <c r="O13477" i="2"/>
  <c r="O13478" i="2"/>
  <c r="O13479" i="2"/>
  <c r="O13480" i="2"/>
  <c r="O13481" i="2"/>
  <c r="O13482" i="2"/>
  <c r="O13483" i="2"/>
  <c r="O13484" i="2"/>
  <c r="O13485" i="2"/>
  <c r="O13486" i="2"/>
  <c r="O13487" i="2"/>
  <c r="O13488" i="2"/>
  <c r="O13489" i="2"/>
  <c r="O13490" i="2"/>
  <c r="O13491" i="2"/>
  <c r="O13492" i="2"/>
  <c r="O13493" i="2"/>
  <c r="O13494" i="2"/>
  <c r="O13495" i="2"/>
  <c r="O13496" i="2"/>
  <c r="O13497" i="2"/>
  <c r="O13498" i="2"/>
  <c r="O13499" i="2"/>
  <c r="O13500" i="2"/>
  <c r="O13501" i="2"/>
  <c r="O13502" i="2"/>
  <c r="O13503" i="2"/>
  <c r="O13504" i="2"/>
  <c r="O13505" i="2"/>
  <c r="O13506" i="2"/>
  <c r="O13507" i="2"/>
  <c r="O13508" i="2"/>
  <c r="O13509" i="2"/>
  <c r="O13510" i="2"/>
  <c r="O13511" i="2"/>
  <c r="O13512" i="2"/>
  <c r="O13513" i="2"/>
  <c r="O13514" i="2"/>
  <c r="O13515" i="2"/>
  <c r="O13516" i="2"/>
  <c r="O13517" i="2"/>
  <c r="O13518" i="2"/>
  <c r="O13519" i="2"/>
  <c r="O13520" i="2"/>
  <c r="O13521" i="2"/>
  <c r="O13522" i="2"/>
  <c r="O13523" i="2"/>
  <c r="O13524" i="2"/>
  <c r="O13525" i="2"/>
  <c r="O13526" i="2"/>
  <c r="O13527" i="2"/>
  <c r="O13528" i="2"/>
  <c r="O13529" i="2"/>
  <c r="O13530" i="2"/>
  <c r="O13531" i="2"/>
  <c r="O13532" i="2"/>
  <c r="O13533" i="2"/>
  <c r="O13534" i="2"/>
  <c r="O13535" i="2"/>
  <c r="O13536" i="2"/>
  <c r="O13537" i="2"/>
  <c r="O13538" i="2"/>
  <c r="O13539" i="2"/>
  <c r="O13540" i="2"/>
  <c r="O13541" i="2"/>
  <c r="O13542" i="2"/>
  <c r="O13543" i="2"/>
  <c r="O13544" i="2"/>
  <c r="O13545" i="2"/>
  <c r="O13546" i="2"/>
  <c r="O13547" i="2"/>
  <c r="O13548" i="2"/>
  <c r="O13549" i="2"/>
  <c r="O13550" i="2"/>
  <c r="O13551" i="2"/>
  <c r="O13552" i="2"/>
  <c r="O13553" i="2"/>
  <c r="O13554" i="2"/>
  <c r="O13555" i="2"/>
  <c r="O13556" i="2"/>
  <c r="O13557" i="2"/>
  <c r="O13558" i="2"/>
  <c r="O13559" i="2"/>
  <c r="O13560" i="2"/>
  <c r="O13561" i="2"/>
  <c r="O13562" i="2"/>
  <c r="O13563" i="2"/>
  <c r="O13564" i="2"/>
  <c r="O13565" i="2"/>
  <c r="O13566" i="2"/>
  <c r="O13567" i="2"/>
  <c r="O13568" i="2"/>
  <c r="O13569" i="2"/>
  <c r="O13570" i="2"/>
  <c r="O13571" i="2"/>
  <c r="O13572" i="2"/>
  <c r="O13573" i="2"/>
  <c r="O13574" i="2"/>
  <c r="O13575" i="2"/>
  <c r="O13576" i="2"/>
  <c r="O13577" i="2"/>
  <c r="O13578" i="2"/>
  <c r="O13579" i="2"/>
  <c r="O13580" i="2"/>
  <c r="O13581" i="2"/>
  <c r="O13582" i="2"/>
  <c r="O13583" i="2"/>
  <c r="O13584" i="2"/>
  <c r="O13585" i="2"/>
  <c r="O13586" i="2"/>
  <c r="O13587" i="2"/>
  <c r="O13588" i="2"/>
  <c r="O13589" i="2"/>
  <c r="O13590" i="2"/>
  <c r="O13591" i="2"/>
  <c r="O13592" i="2"/>
  <c r="O13593" i="2"/>
  <c r="O13594" i="2"/>
  <c r="O13595" i="2"/>
  <c r="O13596" i="2"/>
  <c r="O13597" i="2"/>
  <c r="O13598" i="2"/>
  <c r="O13599" i="2"/>
  <c r="O13600" i="2"/>
  <c r="O13601" i="2"/>
  <c r="O13602" i="2"/>
  <c r="O13603" i="2"/>
  <c r="O13604" i="2"/>
  <c r="O13605" i="2"/>
  <c r="O13606" i="2"/>
  <c r="O13607" i="2"/>
  <c r="O13608" i="2"/>
  <c r="O13609" i="2"/>
  <c r="O13610" i="2"/>
  <c r="O13611" i="2"/>
  <c r="O13612" i="2"/>
  <c r="O13613" i="2"/>
  <c r="O13614" i="2"/>
  <c r="O13615" i="2"/>
  <c r="O13616" i="2"/>
  <c r="O13617" i="2"/>
  <c r="O13618" i="2"/>
  <c r="O13619" i="2"/>
  <c r="O13620" i="2"/>
  <c r="O13621" i="2"/>
  <c r="O13622" i="2"/>
  <c r="O13623" i="2"/>
  <c r="O13624" i="2"/>
  <c r="O13625" i="2"/>
  <c r="O13626" i="2"/>
  <c r="O13627" i="2"/>
  <c r="O13628" i="2"/>
  <c r="O13629" i="2"/>
  <c r="O13630" i="2"/>
  <c r="O13631" i="2"/>
  <c r="O13632" i="2"/>
  <c r="O13633" i="2"/>
  <c r="O13634" i="2"/>
  <c r="O13635" i="2"/>
  <c r="O13636" i="2"/>
  <c r="O13637" i="2"/>
  <c r="O13638" i="2"/>
  <c r="O13639" i="2"/>
  <c r="O13640" i="2"/>
  <c r="O13641" i="2"/>
  <c r="O13642" i="2"/>
  <c r="O13643" i="2"/>
  <c r="O13644" i="2"/>
  <c r="O13645" i="2"/>
  <c r="O13646" i="2"/>
  <c r="O13647" i="2"/>
  <c r="O13648" i="2"/>
  <c r="O13649" i="2"/>
  <c r="O13650" i="2"/>
  <c r="O13651" i="2"/>
  <c r="O13652" i="2"/>
  <c r="O13653" i="2"/>
  <c r="O13654" i="2"/>
  <c r="O13655" i="2"/>
  <c r="O13656" i="2"/>
  <c r="O13657" i="2"/>
  <c r="O13658" i="2"/>
  <c r="O13659" i="2"/>
  <c r="O13660" i="2"/>
  <c r="O13661" i="2"/>
  <c r="O13662" i="2"/>
  <c r="O13663" i="2"/>
  <c r="O13664" i="2"/>
  <c r="O13665" i="2"/>
  <c r="O13666" i="2"/>
  <c r="O13667" i="2"/>
  <c r="O13668" i="2"/>
  <c r="O13669" i="2"/>
  <c r="O13670" i="2"/>
  <c r="O13671" i="2"/>
  <c r="O13672" i="2"/>
  <c r="O13673" i="2"/>
  <c r="O13674" i="2"/>
  <c r="O13675" i="2"/>
  <c r="O13676" i="2"/>
  <c r="O13677" i="2"/>
  <c r="O13678" i="2"/>
  <c r="O13679" i="2"/>
  <c r="O13680" i="2"/>
  <c r="O13681" i="2"/>
  <c r="O13682" i="2"/>
  <c r="O13683" i="2"/>
  <c r="O13684" i="2"/>
  <c r="O13685" i="2"/>
  <c r="O13686" i="2"/>
  <c r="O13687" i="2"/>
  <c r="O13688" i="2"/>
  <c r="O13689" i="2"/>
  <c r="O13690" i="2"/>
  <c r="O13691" i="2"/>
  <c r="O13692" i="2"/>
  <c r="O13693" i="2"/>
  <c r="O13694" i="2"/>
  <c r="O13695" i="2"/>
  <c r="O13696" i="2"/>
  <c r="O13697" i="2"/>
  <c r="O13698" i="2"/>
  <c r="O13699" i="2"/>
  <c r="O13700" i="2"/>
  <c r="O13701" i="2"/>
  <c r="O13702" i="2"/>
  <c r="O13703" i="2"/>
  <c r="O13704" i="2"/>
  <c r="O13705" i="2"/>
  <c r="O13706" i="2"/>
  <c r="O13707" i="2"/>
  <c r="O13708" i="2"/>
  <c r="O13709" i="2"/>
  <c r="O13710" i="2"/>
  <c r="O13711" i="2"/>
  <c r="O13712" i="2"/>
  <c r="O13713" i="2"/>
  <c r="O13714" i="2"/>
  <c r="O13715" i="2"/>
  <c r="O13716" i="2"/>
  <c r="O13717" i="2"/>
  <c r="O13718" i="2"/>
  <c r="O13719" i="2"/>
  <c r="O13720" i="2"/>
  <c r="O13721" i="2"/>
  <c r="O13722" i="2"/>
  <c r="O13723" i="2"/>
  <c r="O13724" i="2"/>
  <c r="O13725" i="2"/>
  <c r="O13726" i="2"/>
  <c r="O13727" i="2"/>
  <c r="O13728" i="2"/>
  <c r="O13729" i="2"/>
  <c r="O13730" i="2"/>
  <c r="O13731" i="2"/>
  <c r="O13732" i="2"/>
  <c r="O13733" i="2"/>
  <c r="O13734" i="2"/>
  <c r="O13735" i="2"/>
  <c r="O13736" i="2"/>
  <c r="O13737" i="2"/>
  <c r="O13738" i="2"/>
  <c r="O13739" i="2"/>
  <c r="O13740" i="2"/>
  <c r="O13741" i="2"/>
  <c r="O13742" i="2"/>
  <c r="O13743" i="2"/>
  <c r="O13744" i="2"/>
  <c r="O13745" i="2"/>
  <c r="O13746" i="2"/>
  <c r="O13747" i="2"/>
  <c r="O13748" i="2"/>
  <c r="O13749" i="2"/>
  <c r="O13750" i="2"/>
  <c r="O13751" i="2"/>
  <c r="O13752" i="2"/>
  <c r="O13753" i="2"/>
  <c r="O13754" i="2"/>
  <c r="O13755" i="2"/>
  <c r="O13756" i="2"/>
  <c r="O13757" i="2"/>
  <c r="O13758" i="2"/>
  <c r="O13759" i="2"/>
  <c r="O13760" i="2"/>
  <c r="O13761" i="2"/>
  <c r="O13762" i="2"/>
  <c r="O13763" i="2"/>
  <c r="O13764" i="2"/>
  <c r="O13765" i="2"/>
  <c r="O13766" i="2"/>
  <c r="O13767" i="2"/>
  <c r="O13768" i="2"/>
  <c r="O13769" i="2"/>
  <c r="O13770" i="2"/>
  <c r="O13771" i="2"/>
  <c r="O13772" i="2"/>
  <c r="O13773" i="2"/>
  <c r="O13774" i="2"/>
  <c r="O13775" i="2"/>
  <c r="O13776" i="2"/>
  <c r="O13777" i="2"/>
  <c r="O13778" i="2"/>
  <c r="O13779" i="2"/>
  <c r="O13780" i="2"/>
  <c r="O13781" i="2"/>
  <c r="O13782" i="2"/>
  <c r="O13783" i="2"/>
  <c r="O13784" i="2"/>
  <c r="O13785" i="2"/>
  <c r="O13786" i="2"/>
  <c r="O13787" i="2"/>
  <c r="O13788" i="2"/>
  <c r="O13789" i="2"/>
  <c r="O13790" i="2"/>
  <c r="O13791" i="2"/>
  <c r="O13792" i="2"/>
  <c r="O13793" i="2"/>
  <c r="O13794" i="2"/>
  <c r="O13795" i="2"/>
  <c r="O13796" i="2"/>
  <c r="O13797" i="2"/>
  <c r="O13798" i="2"/>
  <c r="O13799" i="2"/>
  <c r="O13800" i="2"/>
  <c r="O13801" i="2"/>
  <c r="O13802" i="2"/>
  <c r="O13803" i="2"/>
  <c r="O13804" i="2"/>
  <c r="O13805" i="2"/>
  <c r="O13806" i="2"/>
  <c r="O13807" i="2"/>
  <c r="O13808" i="2"/>
  <c r="O13809" i="2"/>
  <c r="O13810" i="2"/>
  <c r="O13811" i="2"/>
  <c r="O13812" i="2"/>
  <c r="O13813" i="2"/>
  <c r="O13814" i="2"/>
  <c r="O13815" i="2"/>
  <c r="O13816" i="2"/>
  <c r="O13817" i="2"/>
  <c r="O13818" i="2"/>
  <c r="O13819" i="2"/>
  <c r="O13820" i="2"/>
  <c r="O13821" i="2"/>
  <c r="O13822" i="2"/>
  <c r="O13823" i="2"/>
  <c r="O13824" i="2"/>
  <c r="O13825" i="2"/>
  <c r="O13826" i="2"/>
  <c r="O13827" i="2"/>
  <c r="O13828" i="2"/>
  <c r="O13829" i="2"/>
  <c r="O13830" i="2"/>
  <c r="O13831" i="2"/>
  <c r="O13832" i="2"/>
  <c r="O13833" i="2"/>
  <c r="O13834" i="2"/>
  <c r="O13835" i="2"/>
  <c r="O13836" i="2"/>
  <c r="O13837" i="2"/>
  <c r="O13838" i="2"/>
  <c r="O13839" i="2"/>
  <c r="O13840" i="2"/>
  <c r="O13841" i="2"/>
  <c r="O13842" i="2"/>
  <c r="O13843" i="2"/>
  <c r="O13844" i="2"/>
  <c r="O13845" i="2"/>
  <c r="O13846" i="2"/>
  <c r="O13847" i="2"/>
  <c r="O13848" i="2"/>
  <c r="O13849" i="2"/>
  <c r="O13850" i="2"/>
  <c r="O13851" i="2"/>
  <c r="O13852" i="2"/>
  <c r="O13853" i="2"/>
  <c r="O13854" i="2"/>
  <c r="O13855" i="2"/>
  <c r="O13856" i="2"/>
  <c r="O13857" i="2"/>
  <c r="O13858" i="2"/>
  <c r="O13859" i="2"/>
  <c r="O13860" i="2"/>
  <c r="O13861" i="2"/>
  <c r="O13862" i="2"/>
  <c r="O13863" i="2"/>
  <c r="O13864" i="2"/>
  <c r="O13865" i="2"/>
  <c r="O13866" i="2"/>
  <c r="O13867" i="2"/>
  <c r="O13868" i="2"/>
  <c r="O13869" i="2"/>
  <c r="O13870" i="2"/>
  <c r="O13871" i="2"/>
  <c r="O13872" i="2"/>
  <c r="O13873" i="2"/>
  <c r="O13874" i="2"/>
  <c r="O13875" i="2"/>
  <c r="O13876" i="2"/>
  <c r="O13877" i="2"/>
  <c r="O13878" i="2"/>
  <c r="O13879" i="2"/>
  <c r="O13880" i="2"/>
  <c r="O13881" i="2"/>
  <c r="O13882" i="2"/>
  <c r="O13883" i="2"/>
  <c r="O13884" i="2"/>
  <c r="O13885" i="2"/>
  <c r="O13886" i="2"/>
  <c r="O13887" i="2"/>
  <c r="O13888" i="2"/>
  <c r="O13889" i="2"/>
  <c r="O13890" i="2"/>
  <c r="O13891" i="2"/>
  <c r="O13892" i="2"/>
  <c r="O13893" i="2"/>
  <c r="O13894" i="2"/>
  <c r="O13895" i="2"/>
  <c r="O13896" i="2"/>
  <c r="O13897" i="2"/>
  <c r="O13898" i="2"/>
  <c r="O13899" i="2"/>
  <c r="O13900" i="2"/>
  <c r="O13901" i="2"/>
  <c r="O13902" i="2"/>
  <c r="O13903" i="2"/>
  <c r="O13904" i="2"/>
  <c r="O13905" i="2"/>
  <c r="O13906" i="2"/>
  <c r="O13907" i="2"/>
  <c r="O13908" i="2"/>
  <c r="O13909" i="2"/>
  <c r="O13910" i="2"/>
  <c r="O13911" i="2"/>
  <c r="O13912" i="2"/>
  <c r="O13913" i="2"/>
  <c r="O13914" i="2"/>
  <c r="O13915" i="2"/>
  <c r="O13916" i="2"/>
  <c r="O13917" i="2"/>
  <c r="O13918" i="2"/>
  <c r="O13919" i="2"/>
  <c r="O13920" i="2"/>
  <c r="O13921" i="2"/>
  <c r="O13922" i="2"/>
  <c r="O13923" i="2"/>
  <c r="O13924" i="2"/>
  <c r="O13925" i="2"/>
  <c r="O13926" i="2"/>
  <c r="O13927" i="2"/>
  <c r="O13928" i="2"/>
  <c r="O13929" i="2"/>
  <c r="O13930" i="2"/>
  <c r="O13931" i="2"/>
  <c r="O13932" i="2"/>
  <c r="O13933" i="2"/>
  <c r="O13934" i="2"/>
  <c r="O13935" i="2"/>
  <c r="O13936" i="2"/>
  <c r="O13937" i="2"/>
  <c r="O13938" i="2"/>
  <c r="O13939" i="2"/>
  <c r="O13940" i="2"/>
  <c r="O13941" i="2"/>
  <c r="O13942" i="2"/>
  <c r="O13943" i="2"/>
  <c r="O13944" i="2"/>
  <c r="O13945" i="2"/>
  <c r="O13946" i="2"/>
  <c r="O13947" i="2"/>
  <c r="O13948" i="2"/>
  <c r="O13949" i="2"/>
  <c r="O13950" i="2"/>
  <c r="O13951" i="2"/>
  <c r="O13952" i="2"/>
  <c r="O13953" i="2"/>
  <c r="O13954" i="2"/>
  <c r="O13955" i="2"/>
  <c r="O13956" i="2"/>
  <c r="O13957" i="2"/>
  <c r="O13958" i="2"/>
  <c r="O13959" i="2"/>
  <c r="O13960" i="2"/>
  <c r="O13961" i="2"/>
  <c r="O13962" i="2"/>
  <c r="O13963" i="2"/>
  <c r="O13964" i="2"/>
  <c r="O13965" i="2"/>
  <c r="O13966" i="2"/>
  <c r="O13967" i="2"/>
  <c r="O13968" i="2"/>
  <c r="O13969" i="2"/>
  <c r="O13970" i="2"/>
  <c r="O13971" i="2"/>
  <c r="O13972" i="2"/>
  <c r="O13973" i="2"/>
  <c r="O13974" i="2"/>
  <c r="O13975" i="2"/>
  <c r="O13976" i="2"/>
  <c r="O13977" i="2"/>
  <c r="O13978" i="2"/>
  <c r="O13979" i="2"/>
  <c r="O13980" i="2"/>
  <c r="O13981" i="2"/>
  <c r="O13982" i="2"/>
  <c r="O13983" i="2"/>
  <c r="O13984" i="2"/>
  <c r="O13985" i="2"/>
  <c r="O13986" i="2"/>
  <c r="O13987" i="2"/>
  <c r="O13988" i="2"/>
  <c r="O13989" i="2"/>
  <c r="O13990" i="2"/>
  <c r="O13991" i="2"/>
  <c r="O13992" i="2"/>
  <c r="O13993" i="2"/>
  <c r="O13994" i="2"/>
  <c r="O13995" i="2"/>
  <c r="O13996" i="2"/>
  <c r="O13997" i="2"/>
  <c r="O13998" i="2"/>
  <c r="O13999" i="2"/>
  <c r="O14000" i="2"/>
  <c r="O14001" i="2"/>
  <c r="O14002" i="2"/>
  <c r="O14003" i="2"/>
  <c r="O14004" i="2"/>
  <c r="O14005" i="2"/>
  <c r="O14006" i="2"/>
  <c r="O14007" i="2"/>
  <c r="O14008" i="2"/>
  <c r="O14009" i="2"/>
  <c r="O14010" i="2"/>
  <c r="O14011" i="2"/>
  <c r="O14012" i="2"/>
  <c r="O14013" i="2"/>
  <c r="O14014" i="2"/>
  <c r="O14015" i="2"/>
  <c r="O14016" i="2"/>
  <c r="O14017" i="2"/>
  <c r="O14018" i="2"/>
  <c r="O14019" i="2"/>
  <c r="O14020" i="2"/>
  <c r="O14021" i="2"/>
  <c r="O14022" i="2"/>
  <c r="O14023" i="2"/>
  <c r="O14024" i="2"/>
  <c r="O14025" i="2"/>
  <c r="O14026" i="2"/>
  <c r="O14027" i="2"/>
  <c r="O14028" i="2"/>
  <c r="O14029" i="2"/>
  <c r="O14030" i="2"/>
  <c r="O14031" i="2"/>
  <c r="O14032" i="2"/>
  <c r="O14033" i="2"/>
  <c r="O14034" i="2"/>
  <c r="O14035" i="2"/>
  <c r="O14036" i="2"/>
  <c r="O14037" i="2"/>
  <c r="O14038" i="2"/>
  <c r="O14039" i="2"/>
  <c r="O14040" i="2"/>
  <c r="O14041" i="2"/>
  <c r="O14042" i="2"/>
  <c r="O14043" i="2"/>
  <c r="O14044" i="2"/>
  <c r="O14045" i="2"/>
  <c r="O14046" i="2"/>
  <c r="O14047" i="2"/>
  <c r="O14048" i="2"/>
  <c r="O14049" i="2"/>
  <c r="O14050" i="2"/>
  <c r="O14051" i="2"/>
  <c r="O14052" i="2"/>
  <c r="O14053" i="2"/>
  <c r="O14054" i="2"/>
  <c r="O14055" i="2"/>
  <c r="O14056" i="2"/>
  <c r="O14057" i="2"/>
  <c r="O14058" i="2"/>
  <c r="O14059" i="2"/>
  <c r="O14060" i="2"/>
  <c r="O14061" i="2"/>
  <c r="O14062" i="2"/>
  <c r="O14063" i="2"/>
  <c r="O14064" i="2"/>
  <c r="O14065" i="2"/>
  <c r="O14066" i="2"/>
  <c r="O14067" i="2"/>
  <c r="O14068" i="2"/>
  <c r="O14069" i="2"/>
  <c r="O14070" i="2"/>
  <c r="O14071" i="2"/>
  <c r="O14072" i="2"/>
  <c r="O14073" i="2"/>
  <c r="O14074" i="2"/>
  <c r="O14075" i="2"/>
  <c r="O14076" i="2"/>
  <c r="O14077" i="2"/>
  <c r="O14078" i="2"/>
  <c r="O14079" i="2"/>
  <c r="O14080" i="2"/>
  <c r="O14081" i="2"/>
  <c r="O14082" i="2"/>
  <c r="O14083" i="2"/>
  <c r="O14084" i="2"/>
  <c r="O14085" i="2"/>
  <c r="O14086" i="2"/>
  <c r="O14087" i="2"/>
  <c r="O14088" i="2"/>
  <c r="O14089" i="2"/>
  <c r="O14090" i="2"/>
  <c r="O14091" i="2"/>
  <c r="O14092" i="2"/>
  <c r="O14093" i="2"/>
  <c r="O14094" i="2"/>
  <c r="O14095" i="2"/>
  <c r="O14096" i="2"/>
  <c r="O14097" i="2"/>
  <c r="O14098" i="2"/>
  <c r="O14099" i="2"/>
  <c r="O14100" i="2"/>
  <c r="O14101" i="2"/>
  <c r="O14102" i="2"/>
  <c r="O14103" i="2"/>
  <c r="O14104" i="2"/>
  <c r="O14105" i="2"/>
  <c r="O14106" i="2"/>
  <c r="O14107" i="2"/>
  <c r="O14108" i="2"/>
  <c r="O14109" i="2"/>
  <c r="O14110" i="2"/>
  <c r="O14111" i="2"/>
  <c r="O14112" i="2"/>
  <c r="O14113" i="2"/>
  <c r="O14114" i="2"/>
  <c r="O14115" i="2"/>
  <c r="O14116" i="2"/>
  <c r="O14117" i="2"/>
  <c r="O14118" i="2"/>
  <c r="O14119" i="2"/>
  <c r="O14120" i="2"/>
  <c r="O14121" i="2"/>
  <c r="O14122" i="2"/>
  <c r="O14123" i="2"/>
  <c r="O14124" i="2"/>
  <c r="O14125" i="2"/>
  <c r="O14126" i="2"/>
  <c r="O14127" i="2"/>
  <c r="O14128" i="2"/>
  <c r="O14129" i="2"/>
  <c r="O14130" i="2"/>
  <c r="O14131" i="2"/>
  <c r="O14132" i="2"/>
  <c r="O14133" i="2"/>
  <c r="O14134" i="2"/>
  <c r="O14135" i="2"/>
  <c r="O14136" i="2"/>
  <c r="O14137" i="2"/>
  <c r="O14138" i="2"/>
  <c r="O14139" i="2"/>
  <c r="O14140" i="2"/>
  <c r="O14141" i="2"/>
  <c r="O14142" i="2"/>
  <c r="O14143" i="2"/>
  <c r="O14144" i="2"/>
  <c r="O14145" i="2"/>
  <c r="O14146" i="2"/>
  <c r="O14147" i="2"/>
  <c r="O14148" i="2"/>
  <c r="O14149" i="2"/>
  <c r="O14150" i="2"/>
  <c r="O14151" i="2"/>
  <c r="O14152" i="2"/>
  <c r="O14153" i="2"/>
  <c r="O14154" i="2"/>
  <c r="O14155" i="2"/>
  <c r="O14156" i="2"/>
  <c r="O14157" i="2"/>
  <c r="O14158" i="2"/>
  <c r="O14159" i="2"/>
  <c r="O14160" i="2"/>
  <c r="O14161" i="2"/>
  <c r="O14162" i="2"/>
  <c r="O14163" i="2"/>
  <c r="O14164" i="2"/>
  <c r="O14165" i="2"/>
  <c r="O14166" i="2"/>
  <c r="O14167" i="2"/>
  <c r="O14168" i="2"/>
  <c r="O14169" i="2"/>
  <c r="O14170" i="2"/>
  <c r="O14171" i="2"/>
  <c r="O14172" i="2"/>
  <c r="O14173" i="2"/>
  <c r="O14174" i="2"/>
  <c r="O14175" i="2"/>
  <c r="O14176" i="2"/>
  <c r="O14177" i="2"/>
  <c r="O14178" i="2"/>
  <c r="O14179" i="2"/>
  <c r="O14180" i="2"/>
  <c r="O14181" i="2"/>
  <c r="O14182" i="2"/>
  <c r="O14183" i="2"/>
  <c r="O14184" i="2"/>
  <c r="O14185" i="2"/>
  <c r="O14186" i="2"/>
  <c r="O14187" i="2"/>
  <c r="O14188" i="2"/>
  <c r="O14189" i="2"/>
  <c r="O14190" i="2"/>
  <c r="O14191" i="2"/>
  <c r="O14192" i="2"/>
  <c r="O14193" i="2"/>
  <c r="O14194" i="2"/>
  <c r="O14195" i="2"/>
  <c r="O14196" i="2"/>
  <c r="O14197" i="2"/>
  <c r="O14198" i="2"/>
  <c r="O14199" i="2"/>
  <c r="O14200" i="2"/>
  <c r="O14201" i="2"/>
  <c r="O14202" i="2"/>
  <c r="O14203" i="2"/>
  <c r="O14204" i="2"/>
  <c r="O14205" i="2"/>
  <c r="O14206" i="2"/>
  <c r="O14207" i="2"/>
  <c r="O14208" i="2"/>
  <c r="O14209" i="2"/>
  <c r="O14210" i="2"/>
  <c r="O14211" i="2"/>
  <c r="O14212" i="2"/>
  <c r="O14213" i="2"/>
  <c r="O14214" i="2"/>
  <c r="O14215" i="2"/>
  <c r="O14216" i="2"/>
  <c r="O14217" i="2"/>
  <c r="O14218" i="2"/>
  <c r="O14219" i="2"/>
  <c r="O14220" i="2"/>
  <c r="O14221" i="2"/>
  <c r="O14222" i="2"/>
  <c r="O14223" i="2"/>
  <c r="O14224" i="2"/>
  <c r="O14225" i="2"/>
  <c r="O14226" i="2"/>
  <c r="O14227" i="2"/>
  <c r="O14228" i="2"/>
  <c r="O14229" i="2"/>
  <c r="O14230" i="2"/>
  <c r="O14231" i="2"/>
  <c r="O14232" i="2"/>
  <c r="O14233" i="2"/>
  <c r="O14234" i="2"/>
  <c r="O14235" i="2"/>
  <c r="O14236" i="2"/>
  <c r="O14237" i="2"/>
  <c r="O14238" i="2"/>
  <c r="O14239" i="2"/>
  <c r="O14240" i="2"/>
  <c r="O14241" i="2"/>
  <c r="O14242" i="2"/>
  <c r="O14243" i="2"/>
  <c r="O14244" i="2"/>
  <c r="O14245" i="2"/>
  <c r="O14246" i="2"/>
  <c r="O14247" i="2"/>
  <c r="O14248" i="2"/>
  <c r="O14249" i="2"/>
  <c r="O14250" i="2"/>
  <c r="O14251" i="2"/>
  <c r="O14252" i="2"/>
  <c r="O14253" i="2"/>
  <c r="O14254" i="2"/>
  <c r="O14255" i="2"/>
  <c r="O14256" i="2"/>
  <c r="O14257" i="2"/>
  <c r="O14258" i="2"/>
  <c r="O14259" i="2"/>
  <c r="O14260" i="2"/>
  <c r="O14261" i="2"/>
  <c r="O14262" i="2"/>
  <c r="O14263" i="2"/>
  <c r="O14264" i="2"/>
  <c r="O14265" i="2"/>
  <c r="O14266" i="2"/>
  <c r="O14267" i="2"/>
  <c r="O14268" i="2"/>
  <c r="O14269" i="2"/>
  <c r="O14270" i="2"/>
  <c r="O14271" i="2"/>
  <c r="O14272" i="2"/>
  <c r="O14273" i="2"/>
  <c r="O14274" i="2"/>
  <c r="O14275" i="2"/>
  <c r="O14276" i="2"/>
  <c r="O14277" i="2"/>
  <c r="O14278" i="2"/>
  <c r="O14279" i="2"/>
  <c r="O14280" i="2"/>
  <c r="O14281" i="2"/>
  <c r="O14282" i="2"/>
  <c r="O14283" i="2"/>
  <c r="O14284" i="2"/>
  <c r="O14285" i="2"/>
  <c r="O14286" i="2"/>
  <c r="O14287" i="2"/>
  <c r="O14288" i="2"/>
  <c r="O14289" i="2"/>
  <c r="O14290" i="2"/>
  <c r="O14291" i="2"/>
  <c r="O14292" i="2"/>
  <c r="O14293" i="2"/>
  <c r="O14294" i="2"/>
  <c r="O14295" i="2"/>
  <c r="O14296" i="2"/>
  <c r="O14297" i="2"/>
  <c r="O14298" i="2"/>
  <c r="O14299" i="2"/>
  <c r="O14300" i="2"/>
  <c r="O14301" i="2"/>
  <c r="O14302" i="2"/>
  <c r="O14303" i="2"/>
  <c r="O14304" i="2"/>
  <c r="O14305" i="2"/>
  <c r="O14306" i="2"/>
  <c r="O14307" i="2"/>
  <c r="O14308" i="2"/>
  <c r="O14309" i="2"/>
  <c r="O14310" i="2"/>
  <c r="O14311" i="2"/>
  <c r="O14312" i="2"/>
  <c r="O14313" i="2"/>
  <c r="O14314" i="2"/>
  <c r="O14315" i="2"/>
  <c r="O14316" i="2"/>
  <c r="O14317" i="2"/>
  <c r="O14318" i="2"/>
  <c r="O14319" i="2"/>
  <c r="O14320" i="2"/>
  <c r="O14321" i="2"/>
  <c r="O14322" i="2"/>
  <c r="O14323" i="2"/>
  <c r="O14324" i="2"/>
  <c r="O14325" i="2"/>
  <c r="O14326" i="2"/>
  <c r="O14327" i="2"/>
  <c r="O14328" i="2"/>
  <c r="O14329" i="2"/>
  <c r="O14330" i="2"/>
  <c r="O14331" i="2"/>
  <c r="O14332" i="2"/>
  <c r="O14333" i="2"/>
  <c r="O14334" i="2"/>
  <c r="O14335" i="2"/>
  <c r="O14336" i="2"/>
  <c r="O14337" i="2"/>
  <c r="O14338" i="2"/>
  <c r="O14339" i="2"/>
  <c r="O14340" i="2"/>
  <c r="O14341" i="2"/>
  <c r="O14342" i="2"/>
  <c r="O14343" i="2"/>
  <c r="O14344" i="2"/>
  <c r="O14345" i="2"/>
  <c r="O14346" i="2"/>
  <c r="O14347" i="2"/>
  <c r="O14348" i="2"/>
  <c r="O14349" i="2"/>
  <c r="O14350" i="2"/>
  <c r="O14351" i="2"/>
  <c r="O14352" i="2"/>
  <c r="O14353" i="2"/>
  <c r="O14354" i="2"/>
  <c r="O14355" i="2"/>
  <c r="O14356" i="2"/>
  <c r="O14357" i="2"/>
  <c r="O14358" i="2"/>
  <c r="O14359" i="2"/>
  <c r="O14360" i="2"/>
  <c r="O14361" i="2"/>
  <c r="O14362" i="2"/>
  <c r="O14363" i="2"/>
  <c r="O14364" i="2"/>
  <c r="O14365" i="2"/>
  <c r="O14366" i="2"/>
  <c r="O14367" i="2"/>
  <c r="O14368" i="2"/>
  <c r="O14369" i="2"/>
  <c r="O14370" i="2"/>
  <c r="O14371" i="2"/>
  <c r="O14372" i="2"/>
  <c r="O14373" i="2"/>
  <c r="O14374" i="2"/>
  <c r="O14375" i="2"/>
  <c r="O14376" i="2"/>
  <c r="O14377" i="2"/>
  <c r="O14378" i="2"/>
  <c r="O14379" i="2"/>
  <c r="O14380" i="2"/>
  <c r="O14381" i="2"/>
  <c r="O14382" i="2"/>
  <c r="O14383" i="2"/>
  <c r="O14384" i="2"/>
  <c r="O14385" i="2"/>
  <c r="O14386" i="2"/>
  <c r="O14387" i="2"/>
  <c r="O14388" i="2"/>
  <c r="O14389" i="2"/>
  <c r="O14390" i="2"/>
  <c r="O14391" i="2"/>
  <c r="O14392" i="2"/>
  <c r="O14393" i="2"/>
  <c r="O14394" i="2"/>
  <c r="O14395" i="2"/>
  <c r="O14396" i="2"/>
  <c r="O14397" i="2"/>
  <c r="O14398" i="2"/>
  <c r="O14399" i="2"/>
  <c r="O14400" i="2"/>
  <c r="O14401" i="2"/>
  <c r="O14402" i="2"/>
  <c r="O14403" i="2"/>
  <c r="O14404" i="2"/>
  <c r="O14405" i="2"/>
  <c r="O14406" i="2"/>
  <c r="O14407" i="2"/>
  <c r="O14408" i="2"/>
  <c r="O14409" i="2"/>
  <c r="O14410" i="2"/>
  <c r="O14411" i="2"/>
  <c r="O14412" i="2"/>
  <c r="O14413" i="2"/>
  <c r="O14414" i="2"/>
  <c r="O14415" i="2"/>
  <c r="O14416" i="2"/>
  <c r="O14417" i="2"/>
  <c r="O14418" i="2"/>
  <c r="O14419" i="2"/>
  <c r="O14420" i="2"/>
  <c r="O14421" i="2"/>
  <c r="O14422" i="2"/>
  <c r="O14423" i="2"/>
  <c r="O14424" i="2"/>
  <c r="O14425" i="2"/>
  <c r="O14426" i="2"/>
  <c r="O14427" i="2"/>
  <c r="O14428" i="2"/>
  <c r="O14429" i="2"/>
  <c r="O14430" i="2"/>
  <c r="O14431" i="2"/>
  <c r="O14432" i="2"/>
  <c r="O14433" i="2"/>
  <c r="O14434" i="2"/>
  <c r="O14435" i="2"/>
  <c r="O14436" i="2"/>
  <c r="O14437" i="2"/>
  <c r="O14438" i="2"/>
  <c r="O14439" i="2"/>
  <c r="O14440" i="2"/>
  <c r="O14441" i="2"/>
  <c r="O14442" i="2"/>
  <c r="O14443" i="2"/>
  <c r="O14444" i="2"/>
  <c r="O14445" i="2"/>
  <c r="O14446" i="2"/>
  <c r="O14447" i="2"/>
  <c r="O14448" i="2"/>
  <c r="O14449" i="2"/>
  <c r="O14450" i="2"/>
  <c r="O14451" i="2"/>
  <c r="O14452" i="2"/>
  <c r="O14453" i="2"/>
  <c r="O14454" i="2"/>
  <c r="O14455" i="2"/>
  <c r="O14456" i="2"/>
  <c r="O14457" i="2"/>
  <c r="O14458" i="2"/>
  <c r="O14459" i="2"/>
  <c r="O14460" i="2"/>
  <c r="O14461" i="2"/>
  <c r="O14462" i="2"/>
  <c r="O14463" i="2"/>
  <c r="O14464" i="2"/>
  <c r="O14465" i="2"/>
  <c r="O14466" i="2"/>
  <c r="O14467" i="2"/>
  <c r="O14468" i="2"/>
  <c r="O14469" i="2"/>
  <c r="O14470" i="2"/>
  <c r="O14471" i="2"/>
  <c r="O14472" i="2"/>
  <c r="O14473" i="2"/>
  <c r="O14474" i="2"/>
  <c r="O14475" i="2"/>
  <c r="O14476" i="2"/>
  <c r="O14477" i="2"/>
  <c r="O14478" i="2"/>
  <c r="O14479" i="2"/>
  <c r="O14480" i="2"/>
  <c r="O14481" i="2"/>
  <c r="O14482" i="2"/>
  <c r="O14483" i="2"/>
  <c r="O14484" i="2"/>
  <c r="O14485" i="2"/>
  <c r="O14486" i="2"/>
  <c r="O14487" i="2"/>
  <c r="O14488" i="2"/>
  <c r="O14489" i="2"/>
  <c r="O14490" i="2"/>
  <c r="O14491" i="2"/>
  <c r="O14492" i="2"/>
  <c r="O14493" i="2"/>
  <c r="O14494" i="2"/>
  <c r="O14495" i="2"/>
  <c r="O14496" i="2"/>
  <c r="O14497" i="2"/>
  <c r="O14498" i="2"/>
  <c r="O14499" i="2"/>
  <c r="O14500" i="2"/>
  <c r="O14501" i="2"/>
  <c r="O14502" i="2"/>
  <c r="O14503" i="2"/>
  <c r="O14504" i="2"/>
  <c r="O14505" i="2"/>
  <c r="O14506" i="2"/>
  <c r="O14507" i="2"/>
  <c r="O14508" i="2"/>
  <c r="O14509" i="2"/>
  <c r="O14510" i="2"/>
  <c r="O14511" i="2"/>
  <c r="O14512" i="2"/>
  <c r="O14513" i="2"/>
  <c r="O14514" i="2"/>
  <c r="O14515" i="2"/>
  <c r="O14516" i="2"/>
  <c r="O14517" i="2"/>
  <c r="O14518" i="2"/>
  <c r="O14519" i="2"/>
  <c r="O14520" i="2"/>
  <c r="O14521" i="2"/>
  <c r="O14522" i="2"/>
  <c r="O14523" i="2"/>
  <c r="O14524" i="2"/>
  <c r="O14525" i="2"/>
  <c r="O14526" i="2"/>
  <c r="O14527" i="2"/>
  <c r="O14528" i="2"/>
  <c r="O14529" i="2"/>
  <c r="O14530" i="2"/>
  <c r="O14531" i="2"/>
  <c r="O14532" i="2"/>
  <c r="O14533" i="2"/>
  <c r="O14534" i="2"/>
  <c r="O14535" i="2"/>
  <c r="O14536" i="2"/>
  <c r="O14537" i="2"/>
  <c r="O14538" i="2"/>
  <c r="O14539" i="2"/>
  <c r="O14540" i="2"/>
  <c r="O14541" i="2"/>
  <c r="O14542" i="2"/>
  <c r="O14543" i="2"/>
  <c r="O14544" i="2"/>
  <c r="O14545" i="2"/>
  <c r="O14546" i="2"/>
  <c r="O14547" i="2"/>
  <c r="O14548" i="2"/>
  <c r="O14549" i="2"/>
  <c r="O14550" i="2"/>
  <c r="O14551" i="2"/>
  <c r="O14552" i="2"/>
  <c r="O14553" i="2"/>
  <c r="O14554" i="2"/>
  <c r="O14555" i="2"/>
  <c r="O14556" i="2"/>
  <c r="O14557" i="2"/>
  <c r="O14558" i="2"/>
  <c r="O14559" i="2"/>
  <c r="O14560" i="2"/>
  <c r="O14561" i="2"/>
  <c r="O14562" i="2"/>
  <c r="O14563" i="2"/>
  <c r="O14564" i="2"/>
  <c r="O14565" i="2"/>
  <c r="O14566" i="2"/>
  <c r="O14567" i="2"/>
  <c r="O14568" i="2"/>
  <c r="O14569" i="2"/>
  <c r="O14570" i="2"/>
  <c r="O14571" i="2"/>
  <c r="O14572" i="2"/>
  <c r="O14573" i="2"/>
  <c r="O14574" i="2"/>
  <c r="O14575" i="2"/>
  <c r="O14576" i="2"/>
  <c r="O14577" i="2"/>
  <c r="O14578" i="2"/>
  <c r="O14579" i="2"/>
  <c r="O14580" i="2"/>
  <c r="O14581" i="2"/>
  <c r="O14582" i="2"/>
  <c r="O14583" i="2"/>
  <c r="O14584" i="2"/>
  <c r="O14585" i="2"/>
  <c r="O14586" i="2"/>
  <c r="O14587" i="2"/>
  <c r="O14588" i="2"/>
  <c r="O14589" i="2"/>
  <c r="O14590" i="2"/>
  <c r="O14591" i="2"/>
  <c r="O14592" i="2"/>
  <c r="O14593" i="2"/>
  <c r="O14594" i="2"/>
  <c r="O14595" i="2"/>
  <c r="O14596" i="2"/>
  <c r="O14597" i="2"/>
  <c r="O14598" i="2"/>
  <c r="O14599" i="2"/>
  <c r="O14600" i="2"/>
  <c r="O14601" i="2"/>
  <c r="O14602" i="2"/>
  <c r="O14603" i="2"/>
  <c r="O14604" i="2"/>
  <c r="O14605" i="2"/>
  <c r="O14606" i="2"/>
  <c r="O14607" i="2"/>
  <c r="O14608" i="2"/>
  <c r="O14609" i="2"/>
  <c r="O14610" i="2"/>
  <c r="O14611" i="2"/>
  <c r="O14612" i="2"/>
  <c r="O14613" i="2"/>
  <c r="O14614" i="2"/>
  <c r="O14615" i="2"/>
  <c r="O14616" i="2"/>
  <c r="O14617" i="2"/>
  <c r="O14618" i="2"/>
  <c r="O14619" i="2"/>
  <c r="O14620" i="2"/>
  <c r="O14621" i="2"/>
  <c r="O14622" i="2"/>
  <c r="O14623" i="2"/>
  <c r="O14624" i="2"/>
  <c r="O14625" i="2"/>
  <c r="O14626" i="2"/>
  <c r="O14627" i="2"/>
  <c r="O14628" i="2"/>
  <c r="O14629" i="2"/>
  <c r="O14630" i="2"/>
  <c r="O14631" i="2"/>
  <c r="O14632" i="2"/>
  <c r="O14633" i="2"/>
  <c r="O14634" i="2"/>
  <c r="O14635" i="2"/>
  <c r="O14636" i="2"/>
  <c r="O14637" i="2"/>
  <c r="O14638" i="2"/>
  <c r="O14639" i="2"/>
  <c r="O14640" i="2"/>
  <c r="O14641" i="2"/>
  <c r="O14642" i="2"/>
  <c r="O14643" i="2"/>
  <c r="O14644" i="2"/>
  <c r="O14645" i="2"/>
  <c r="O14646" i="2"/>
  <c r="O14647" i="2"/>
  <c r="O14648" i="2"/>
  <c r="O14649" i="2"/>
  <c r="O14650" i="2"/>
  <c r="O14651" i="2"/>
  <c r="O14652" i="2"/>
  <c r="O14653" i="2"/>
  <c r="O14654" i="2"/>
  <c r="O14655" i="2"/>
  <c r="O14656" i="2"/>
  <c r="O14657" i="2"/>
  <c r="O14658" i="2"/>
  <c r="O14659" i="2"/>
  <c r="O14660" i="2"/>
  <c r="O14661" i="2"/>
  <c r="O14662" i="2"/>
  <c r="O14663" i="2"/>
  <c r="O14664" i="2"/>
  <c r="O14665" i="2"/>
  <c r="O14666" i="2"/>
  <c r="O14667" i="2"/>
  <c r="O14668" i="2"/>
  <c r="O14669" i="2"/>
  <c r="O14670" i="2"/>
  <c r="O14671" i="2"/>
  <c r="O14672" i="2"/>
  <c r="O14673" i="2"/>
  <c r="O14674" i="2"/>
  <c r="O14675" i="2"/>
  <c r="O14676" i="2"/>
  <c r="O14677" i="2"/>
  <c r="O14678" i="2"/>
  <c r="O14679" i="2"/>
  <c r="O14680" i="2"/>
  <c r="O14681" i="2"/>
  <c r="O14682" i="2"/>
  <c r="O14683" i="2"/>
  <c r="O14684" i="2"/>
  <c r="O14685" i="2"/>
  <c r="O14686" i="2"/>
  <c r="O14687" i="2"/>
  <c r="O14688" i="2"/>
  <c r="O14689" i="2"/>
  <c r="O14690" i="2"/>
  <c r="O14691" i="2"/>
  <c r="O14692" i="2"/>
  <c r="O14693" i="2"/>
  <c r="O14694" i="2"/>
  <c r="O14695" i="2"/>
  <c r="O14696" i="2"/>
  <c r="O14697" i="2"/>
  <c r="O14698" i="2"/>
  <c r="O14699" i="2"/>
  <c r="O14700" i="2"/>
  <c r="O14701" i="2"/>
  <c r="O14702" i="2"/>
  <c r="O14703" i="2"/>
  <c r="O14704" i="2"/>
  <c r="O14705" i="2"/>
  <c r="O14706" i="2"/>
  <c r="O14707" i="2"/>
  <c r="O14708" i="2"/>
  <c r="O14709" i="2"/>
  <c r="O14710" i="2"/>
  <c r="O14711" i="2"/>
  <c r="O14712" i="2"/>
  <c r="O14713" i="2"/>
  <c r="O14714" i="2"/>
  <c r="O14715" i="2"/>
  <c r="O14716" i="2"/>
  <c r="O14717" i="2"/>
  <c r="O14718" i="2"/>
  <c r="O14719" i="2"/>
  <c r="O14720" i="2"/>
  <c r="O14721" i="2"/>
  <c r="O14722" i="2"/>
  <c r="O14723" i="2"/>
  <c r="O14724" i="2"/>
  <c r="O14725" i="2"/>
  <c r="O14726" i="2"/>
  <c r="O14727" i="2"/>
  <c r="O14728" i="2"/>
  <c r="O14729" i="2"/>
  <c r="O14730" i="2"/>
  <c r="O14731" i="2"/>
  <c r="O14732" i="2"/>
  <c r="O14733" i="2"/>
  <c r="O14734" i="2"/>
  <c r="O14735" i="2"/>
  <c r="O14736" i="2"/>
  <c r="O14737" i="2"/>
  <c r="O14738" i="2"/>
  <c r="O14739" i="2"/>
  <c r="O14740" i="2"/>
  <c r="O14741" i="2"/>
  <c r="O14742" i="2"/>
  <c r="O14743" i="2"/>
  <c r="O14744" i="2"/>
  <c r="O14745" i="2"/>
  <c r="O14746" i="2"/>
  <c r="O14747" i="2"/>
  <c r="O14748" i="2"/>
  <c r="O14749" i="2"/>
  <c r="O14750" i="2"/>
  <c r="O14751" i="2"/>
  <c r="O14752" i="2"/>
  <c r="O14753" i="2"/>
  <c r="O14754" i="2"/>
  <c r="O14755" i="2"/>
  <c r="O14756" i="2"/>
  <c r="O14757" i="2"/>
  <c r="O14758" i="2"/>
  <c r="O14759" i="2"/>
  <c r="O14760" i="2"/>
  <c r="O14761" i="2"/>
  <c r="O14762" i="2"/>
  <c r="O14763" i="2"/>
  <c r="O14764" i="2"/>
  <c r="O14765" i="2"/>
  <c r="O14766" i="2"/>
  <c r="O14767" i="2"/>
  <c r="O14768" i="2"/>
  <c r="O14769" i="2"/>
  <c r="O14770" i="2"/>
  <c r="O14771" i="2"/>
  <c r="O14772" i="2"/>
  <c r="O14773" i="2"/>
  <c r="O14774" i="2"/>
  <c r="O14775" i="2"/>
  <c r="O14776" i="2"/>
  <c r="O14777" i="2"/>
  <c r="O14778" i="2"/>
  <c r="O14779" i="2"/>
  <c r="O14780" i="2"/>
  <c r="O14781" i="2"/>
  <c r="O14782" i="2"/>
  <c r="O14783" i="2"/>
  <c r="O14784" i="2"/>
  <c r="O14785" i="2"/>
  <c r="O14786" i="2"/>
  <c r="O14787" i="2"/>
  <c r="O14788" i="2"/>
  <c r="O14789" i="2"/>
  <c r="O14790" i="2"/>
  <c r="O14791" i="2"/>
  <c r="O14792" i="2"/>
  <c r="O14793" i="2"/>
  <c r="O14794" i="2"/>
  <c r="O14795" i="2"/>
  <c r="O14796" i="2"/>
  <c r="O14797" i="2"/>
  <c r="O14798" i="2"/>
  <c r="O14799" i="2"/>
  <c r="O14800" i="2"/>
  <c r="O14801" i="2"/>
  <c r="O14802" i="2"/>
  <c r="O14803" i="2"/>
  <c r="O14804" i="2"/>
  <c r="O14805" i="2"/>
  <c r="O14806" i="2"/>
  <c r="O14807" i="2"/>
  <c r="O14808" i="2"/>
  <c r="O14809" i="2"/>
  <c r="O14810" i="2"/>
  <c r="O14811" i="2"/>
  <c r="O14812" i="2"/>
  <c r="O14813" i="2"/>
  <c r="O14814" i="2"/>
  <c r="O14815" i="2"/>
  <c r="O14816" i="2"/>
  <c r="O14817" i="2"/>
  <c r="O14818" i="2"/>
  <c r="O14819" i="2"/>
  <c r="O14820" i="2"/>
  <c r="O14821" i="2"/>
  <c r="O14822" i="2"/>
  <c r="O14823" i="2"/>
  <c r="O14824" i="2"/>
  <c r="O14825" i="2"/>
  <c r="O14826" i="2"/>
  <c r="O14827" i="2"/>
  <c r="O14828" i="2"/>
  <c r="O14829" i="2"/>
  <c r="O14830" i="2"/>
  <c r="O14831" i="2"/>
  <c r="O14832" i="2"/>
  <c r="O14833" i="2"/>
  <c r="O14834" i="2"/>
  <c r="O14835" i="2"/>
  <c r="O14836" i="2"/>
  <c r="O14837" i="2"/>
  <c r="O14838" i="2"/>
  <c r="O14839" i="2"/>
  <c r="O14840" i="2"/>
  <c r="O14841" i="2"/>
  <c r="O14842" i="2"/>
  <c r="O14843" i="2"/>
  <c r="O14844" i="2"/>
  <c r="O14845" i="2"/>
  <c r="O14846" i="2"/>
  <c r="O14847" i="2"/>
  <c r="O14848" i="2"/>
  <c r="O14849" i="2"/>
  <c r="O14850" i="2"/>
  <c r="O14851" i="2"/>
  <c r="O14852" i="2"/>
  <c r="O14853" i="2"/>
  <c r="O14854" i="2"/>
  <c r="O14855" i="2"/>
  <c r="O14856" i="2"/>
  <c r="O14857" i="2"/>
  <c r="O14858" i="2"/>
  <c r="O14859" i="2"/>
  <c r="O14860" i="2"/>
  <c r="O14861" i="2"/>
  <c r="O14862" i="2"/>
  <c r="O14863" i="2"/>
  <c r="O14864" i="2"/>
  <c r="O14865" i="2"/>
  <c r="O14866" i="2"/>
  <c r="O14867" i="2"/>
  <c r="O14868" i="2"/>
  <c r="O14869" i="2"/>
  <c r="O14870" i="2"/>
  <c r="O14871" i="2"/>
  <c r="O14872" i="2"/>
  <c r="O14873" i="2"/>
  <c r="O14874" i="2"/>
  <c r="O14875" i="2"/>
  <c r="O14876" i="2"/>
  <c r="O14877" i="2"/>
  <c r="O14878" i="2"/>
  <c r="O14879" i="2"/>
  <c r="O14880" i="2"/>
  <c r="O14881" i="2"/>
  <c r="O14882" i="2"/>
  <c r="O14883" i="2"/>
  <c r="O14884" i="2"/>
  <c r="O14885" i="2"/>
  <c r="O14886" i="2"/>
  <c r="O14887" i="2"/>
  <c r="O14888" i="2"/>
  <c r="O14889" i="2"/>
  <c r="O14890" i="2"/>
  <c r="O14891" i="2"/>
  <c r="O14892" i="2"/>
  <c r="O14893" i="2"/>
  <c r="O14894" i="2"/>
  <c r="O14895" i="2"/>
  <c r="O14896" i="2"/>
  <c r="O14897" i="2"/>
  <c r="O14898" i="2"/>
  <c r="O14899" i="2"/>
  <c r="O14900" i="2"/>
  <c r="O14901" i="2"/>
  <c r="O14902" i="2"/>
  <c r="O14903" i="2"/>
  <c r="O14904" i="2"/>
  <c r="O14905" i="2"/>
  <c r="O14906" i="2"/>
  <c r="O14907" i="2"/>
  <c r="O14908" i="2"/>
  <c r="O14909" i="2"/>
  <c r="O14910" i="2"/>
  <c r="O14911" i="2"/>
  <c r="O14912" i="2"/>
  <c r="O14913" i="2"/>
  <c r="O14914" i="2"/>
  <c r="O14915" i="2"/>
  <c r="O14916" i="2"/>
  <c r="O14917" i="2"/>
  <c r="O14918" i="2"/>
  <c r="O14919" i="2"/>
  <c r="O14920" i="2"/>
  <c r="O14921" i="2"/>
  <c r="O14922" i="2"/>
  <c r="O14923" i="2"/>
  <c r="O14924" i="2"/>
  <c r="O14925" i="2"/>
  <c r="O14926" i="2"/>
  <c r="O14927" i="2"/>
  <c r="O14928" i="2"/>
  <c r="O14929" i="2"/>
  <c r="O14930" i="2"/>
  <c r="O14931" i="2"/>
  <c r="O14932" i="2"/>
  <c r="O14933" i="2"/>
  <c r="O14934" i="2"/>
  <c r="O14935" i="2"/>
  <c r="O14936" i="2"/>
  <c r="O14937" i="2"/>
  <c r="O14938" i="2"/>
  <c r="O14939" i="2"/>
  <c r="O14940" i="2"/>
  <c r="O14941" i="2"/>
  <c r="O14942" i="2"/>
  <c r="O14943" i="2"/>
  <c r="O14944" i="2"/>
  <c r="O14945" i="2"/>
  <c r="O14946" i="2"/>
  <c r="O14947" i="2"/>
  <c r="O14948" i="2"/>
  <c r="O14949" i="2"/>
  <c r="O14950" i="2"/>
  <c r="O14951" i="2"/>
  <c r="O14952" i="2"/>
  <c r="O14953" i="2"/>
  <c r="O14954" i="2"/>
  <c r="O14955" i="2"/>
  <c r="O14956" i="2"/>
  <c r="O14957" i="2"/>
  <c r="O14958" i="2"/>
  <c r="O14959" i="2"/>
  <c r="O14960" i="2"/>
  <c r="O14961" i="2"/>
  <c r="O14962" i="2"/>
  <c r="O14963" i="2"/>
  <c r="O14964" i="2"/>
  <c r="O14965" i="2"/>
  <c r="O14966" i="2"/>
  <c r="O14967" i="2"/>
  <c r="O14968" i="2"/>
  <c r="O14969" i="2"/>
  <c r="O14970" i="2"/>
  <c r="O14971" i="2"/>
  <c r="O14972" i="2"/>
  <c r="O14973" i="2"/>
  <c r="O14974" i="2"/>
  <c r="O14975" i="2"/>
  <c r="O14976" i="2"/>
  <c r="O14977" i="2"/>
  <c r="O14978" i="2"/>
  <c r="O14979" i="2"/>
  <c r="O14980" i="2"/>
  <c r="O14981" i="2"/>
  <c r="O14982" i="2"/>
  <c r="O14983" i="2"/>
  <c r="O14984" i="2"/>
  <c r="O14985" i="2"/>
  <c r="O14986" i="2"/>
  <c r="O14987" i="2"/>
  <c r="O14988" i="2"/>
  <c r="O14989" i="2"/>
  <c r="O14990" i="2"/>
  <c r="O14991" i="2"/>
  <c r="O14992" i="2"/>
  <c r="O14993" i="2"/>
  <c r="O14994" i="2"/>
  <c r="O14995" i="2"/>
  <c r="O14996" i="2"/>
  <c r="O14997" i="2"/>
  <c r="O14998" i="2"/>
  <c r="O14999" i="2"/>
  <c r="O15000" i="2"/>
  <c r="O15001" i="2"/>
  <c r="O3" i="2"/>
  <c r="L4"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L7473" i="2"/>
  <c r="L7474" i="2"/>
  <c r="L7475" i="2"/>
  <c r="L7476" i="2"/>
  <c r="L7477" i="2"/>
  <c r="L7478" i="2"/>
  <c r="L7479" i="2"/>
  <c r="L7480" i="2"/>
  <c r="L7481" i="2"/>
  <c r="L7482" i="2"/>
  <c r="L7483" i="2"/>
  <c r="L7484" i="2"/>
  <c r="L7485" i="2"/>
  <c r="L7486" i="2"/>
  <c r="L7487" i="2"/>
  <c r="L7488" i="2"/>
  <c r="L7489" i="2"/>
  <c r="L7490" i="2"/>
  <c r="L7491" i="2"/>
  <c r="L7492" i="2"/>
  <c r="L7493" i="2"/>
  <c r="L7494" i="2"/>
  <c r="L7495" i="2"/>
  <c r="L7496" i="2"/>
  <c r="L7497" i="2"/>
  <c r="L7498" i="2"/>
  <c r="L7499" i="2"/>
  <c r="L7500" i="2"/>
  <c r="L7501" i="2"/>
  <c r="L7502" i="2"/>
  <c r="L7503" i="2"/>
  <c r="L7504" i="2"/>
  <c r="L7505" i="2"/>
  <c r="L7506" i="2"/>
  <c r="L7507" i="2"/>
  <c r="L7508" i="2"/>
  <c r="L7509" i="2"/>
  <c r="L7510" i="2"/>
  <c r="L7511" i="2"/>
  <c r="L7512" i="2"/>
  <c r="L7513" i="2"/>
  <c r="L7514" i="2"/>
  <c r="L7515" i="2"/>
  <c r="L7516" i="2"/>
  <c r="L7517" i="2"/>
  <c r="L7518" i="2"/>
  <c r="L7519" i="2"/>
  <c r="L7520" i="2"/>
  <c r="L7521" i="2"/>
  <c r="L7522" i="2"/>
  <c r="L7523" i="2"/>
  <c r="L7524" i="2"/>
  <c r="L7525" i="2"/>
  <c r="L7526" i="2"/>
  <c r="L7527" i="2"/>
  <c r="L7528" i="2"/>
  <c r="L7529" i="2"/>
  <c r="L7530" i="2"/>
  <c r="L7531" i="2"/>
  <c r="L7532" i="2"/>
  <c r="L7533" i="2"/>
  <c r="L7534" i="2"/>
  <c r="L7535" i="2"/>
  <c r="L7536" i="2"/>
  <c r="L7537" i="2"/>
  <c r="L7538" i="2"/>
  <c r="L7539" i="2"/>
  <c r="L7540" i="2"/>
  <c r="L7541" i="2"/>
  <c r="L7542" i="2"/>
  <c r="L7543" i="2"/>
  <c r="L7544" i="2"/>
  <c r="L7545" i="2"/>
  <c r="L7546" i="2"/>
  <c r="L7547" i="2"/>
  <c r="L7548" i="2"/>
  <c r="L7549" i="2"/>
  <c r="L7550" i="2"/>
  <c r="L7551" i="2"/>
  <c r="L7552" i="2"/>
  <c r="L7553" i="2"/>
  <c r="L7554" i="2"/>
  <c r="L7555" i="2"/>
  <c r="L7556" i="2"/>
  <c r="L7557" i="2"/>
  <c r="L7558" i="2"/>
  <c r="L7559" i="2"/>
  <c r="L7560" i="2"/>
  <c r="L7561" i="2"/>
  <c r="L7562" i="2"/>
  <c r="L7563" i="2"/>
  <c r="L7564" i="2"/>
  <c r="L7565" i="2"/>
  <c r="L7566" i="2"/>
  <c r="L7567" i="2"/>
  <c r="L7568" i="2"/>
  <c r="L7569" i="2"/>
  <c r="L7570" i="2"/>
  <c r="L7571" i="2"/>
  <c r="L7572" i="2"/>
  <c r="L7573" i="2"/>
  <c r="L7574" i="2"/>
  <c r="L7575" i="2"/>
  <c r="L7576" i="2"/>
  <c r="L7577" i="2"/>
  <c r="L7578" i="2"/>
  <c r="L7579" i="2"/>
  <c r="L7580" i="2"/>
  <c r="L7581" i="2"/>
  <c r="L7582" i="2"/>
  <c r="L7583" i="2"/>
  <c r="L7584" i="2"/>
  <c r="L7585" i="2"/>
  <c r="L7586" i="2"/>
  <c r="L7587" i="2"/>
  <c r="L7588" i="2"/>
  <c r="L7589" i="2"/>
  <c r="L7590" i="2"/>
  <c r="L7591" i="2"/>
  <c r="L7592" i="2"/>
  <c r="L7593" i="2"/>
  <c r="L7594" i="2"/>
  <c r="L7595" i="2"/>
  <c r="L7596" i="2"/>
  <c r="L7597" i="2"/>
  <c r="L7598" i="2"/>
  <c r="L7599" i="2"/>
  <c r="L7600" i="2"/>
  <c r="L7601" i="2"/>
  <c r="L7602" i="2"/>
  <c r="L7603" i="2"/>
  <c r="L7604" i="2"/>
  <c r="L7605" i="2"/>
  <c r="L7606" i="2"/>
  <c r="L7607" i="2"/>
  <c r="L7608" i="2"/>
  <c r="L7609" i="2"/>
  <c r="L7610" i="2"/>
  <c r="L7611" i="2"/>
  <c r="L7612" i="2"/>
  <c r="L7613" i="2"/>
  <c r="L7614" i="2"/>
  <c r="L7615" i="2"/>
  <c r="L7616" i="2"/>
  <c r="L7617" i="2"/>
  <c r="L7618" i="2"/>
  <c r="L7619" i="2"/>
  <c r="L7620" i="2"/>
  <c r="L7621" i="2"/>
  <c r="L7622" i="2"/>
  <c r="L7623" i="2"/>
  <c r="L7624" i="2"/>
  <c r="L7625" i="2"/>
  <c r="L7626" i="2"/>
  <c r="L7627" i="2"/>
  <c r="L7628" i="2"/>
  <c r="L7629" i="2"/>
  <c r="L7630" i="2"/>
  <c r="L7631" i="2"/>
  <c r="L7632" i="2"/>
  <c r="L7633" i="2"/>
  <c r="L7634" i="2"/>
  <c r="L7635" i="2"/>
  <c r="L7636" i="2"/>
  <c r="L7637" i="2"/>
  <c r="L7638" i="2"/>
  <c r="L7639" i="2"/>
  <c r="L7640" i="2"/>
  <c r="L7641" i="2"/>
  <c r="L7642" i="2"/>
  <c r="L7643" i="2"/>
  <c r="L7644" i="2"/>
  <c r="L7645" i="2"/>
  <c r="L7646" i="2"/>
  <c r="L7647" i="2"/>
  <c r="L7648" i="2"/>
  <c r="L7649" i="2"/>
  <c r="L7650" i="2"/>
  <c r="L7651" i="2"/>
  <c r="L7652" i="2"/>
  <c r="L7653" i="2"/>
  <c r="L7654" i="2"/>
  <c r="L7655" i="2"/>
  <c r="L7656" i="2"/>
  <c r="L7657" i="2"/>
  <c r="L7658" i="2"/>
  <c r="L7659" i="2"/>
  <c r="L7660" i="2"/>
  <c r="L7661" i="2"/>
  <c r="L7662" i="2"/>
  <c r="L7663" i="2"/>
  <c r="L7664" i="2"/>
  <c r="L7665" i="2"/>
  <c r="L7666" i="2"/>
  <c r="L7667" i="2"/>
  <c r="L7668" i="2"/>
  <c r="L7669" i="2"/>
  <c r="L7670" i="2"/>
  <c r="L7671" i="2"/>
  <c r="L7672" i="2"/>
  <c r="L7673" i="2"/>
  <c r="L7674" i="2"/>
  <c r="L7675" i="2"/>
  <c r="L7676" i="2"/>
  <c r="L7677" i="2"/>
  <c r="L7678" i="2"/>
  <c r="L7679" i="2"/>
  <c r="L7680" i="2"/>
  <c r="L7681" i="2"/>
  <c r="L7682" i="2"/>
  <c r="L7683" i="2"/>
  <c r="L7684" i="2"/>
  <c r="L7685" i="2"/>
  <c r="L7686" i="2"/>
  <c r="L7687" i="2"/>
  <c r="L7688" i="2"/>
  <c r="L7689" i="2"/>
  <c r="L7690" i="2"/>
  <c r="L7691" i="2"/>
  <c r="L7692" i="2"/>
  <c r="L7693" i="2"/>
  <c r="L7694" i="2"/>
  <c r="L7695" i="2"/>
  <c r="L7696" i="2"/>
  <c r="L7697" i="2"/>
  <c r="L7698" i="2"/>
  <c r="L7699" i="2"/>
  <c r="L7700" i="2"/>
  <c r="L7701" i="2"/>
  <c r="L7702" i="2"/>
  <c r="L7703" i="2"/>
  <c r="L7704" i="2"/>
  <c r="L7705" i="2"/>
  <c r="L7706" i="2"/>
  <c r="L7707" i="2"/>
  <c r="L7708" i="2"/>
  <c r="L7709" i="2"/>
  <c r="L7710" i="2"/>
  <c r="L7711" i="2"/>
  <c r="L7712" i="2"/>
  <c r="L7713" i="2"/>
  <c r="L7714" i="2"/>
  <c r="L7715" i="2"/>
  <c r="L7716" i="2"/>
  <c r="L7717" i="2"/>
  <c r="L7718" i="2"/>
  <c r="L7719" i="2"/>
  <c r="L7720" i="2"/>
  <c r="L7721" i="2"/>
  <c r="L7722" i="2"/>
  <c r="L7723" i="2"/>
  <c r="L7724" i="2"/>
  <c r="L7725" i="2"/>
  <c r="L7726" i="2"/>
  <c r="L7727" i="2"/>
  <c r="L7728" i="2"/>
  <c r="L7729" i="2"/>
  <c r="L7730" i="2"/>
  <c r="L7731" i="2"/>
  <c r="L7732" i="2"/>
  <c r="L7733" i="2"/>
  <c r="L7734" i="2"/>
  <c r="L7735" i="2"/>
  <c r="L7736" i="2"/>
  <c r="L7737" i="2"/>
  <c r="L7738" i="2"/>
  <c r="L7739" i="2"/>
  <c r="L7740" i="2"/>
  <c r="L7741" i="2"/>
  <c r="L7742" i="2"/>
  <c r="L7743" i="2"/>
  <c r="L7744" i="2"/>
  <c r="L7745" i="2"/>
  <c r="L7746" i="2"/>
  <c r="L7747" i="2"/>
  <c r="L7748" i="2"/>
  <c r="L7749" i="2"/>
  <c r="L7750" i="2"/>
  <c r="L7751" i="2"/>
  <c r="L7752" i="2"/>
  <c r="L7753" i="2"/>
  <c r="L7754" i="2"/>
  <c r="L7755" i="2"/>
  <c r="L7756" i="2"/>
  <c r="L7757" i="2"/>
  <c r="L7758" i="2"/>
  <c r="L7759" i="2"/>
  <c r="L7760" i="2"/>
  <c r="L7761" i="2"/>
  <c r="L7762" i="2"/>
  <c r="L7763" i="2"/>
  <c r="L7764" i="2"/>
  <c r="L7765" i="2"/>
  <c r="L7766" i="2"/>
  <c r="L7767" i="2"/>
  <c r="L7768" i="2"/>
  <c r="L7769" i="2"/>
  <c r="L7770" i="2"/>
  <c r="L7771" i="2"/>
  <c r="L7772" i="2"/>
  <c r="L7773" i="2"/>
  <c r="L7774" i="2"/>
  <c r="L7775" i="2"/>
  <c r="L7776" i="2"/>
  <c r="L7777" i="2"/>
  <c r="L7778" i="2"/>
  <c r="L7779" i="2"/>
  <c r="L7780" i="2"/>
  <c r="L7781" i="2"/>
  <c r="L7782" i="2"/>
  <c r="L7783" i="2"/>
  <c r="L7784" i="2"/>
  <c r="L7785" i="2"/>
  <c r="L7786" i="2"/>
  <c r="L7787" i="2"/>
  <c r="L7788" i="2"/>
  <c r="L7789" i="2"/>
  <c r="L7790" i="2"/>
  <c r="L7791" i="2"/>
  <c r="L7792" i="2"/>
  <c r="L7793" i="2"/>
  <c r="L7794" i="2"/>
  <c r="L7795" i="2"/>
  <c r="L7796" i="2"/>
  <c r="L7797" i="2"/>
  <c r="L7798" i="2"/>
  <c r="L7799" i="2"/>
  <c r="L7800" i="2"/>
  <c r="L7801" i="2"/>
  <c r="L7802" i="2"/>
  <c r="L7803" i="2"/>
  <c r="L7804" i="2"/>
  <c r="L7805" i="2"/>
  <c r="L7806" i="2"/>
  <c r="L7807" i="2"/>
  <c r="L7808" i="2"/>
  <c r="L7809" i="2"/>
  <c r="L7810" i="2"/>
  <c r="L7811" i="2"/>
  <c r="L7812" i="2"/>
  <c r="L7813" i="2"/>
  <c r="L7814" i="2"/>
  <c r="L7815" i="2"/>
  <c r="L7816" i="2"/>
  <c r="L7817" i="2"/>
  <c r="L7818" i="2"/>
  <c r="L7819" i="2"/>
  <c r="L7820" i="2"/>
  <c r="L7821" i="2"/>
  <c r="L7822" i="2"/>
  <c r="L7823" i="2"/>
  <c r="L7824" i="2"/>
  <c r="L7825" i="2"/>
  <c r="L7826" i="2"/>
  <c r="L7827" i="2"/>
  <c r="L7828" i="2"/>
  <c r="L7829" i="2"/>
  <c r="L7830" i="2"/>
  <c r="L7831" i="2"/>
  <c r="L7832" i="2"/>
  <c r="L7833" i="2"/>
  <c r="L7834" i="2"/>
  <c r="L7835" i="2"/>
  <c r="L7836" i="2"/>
  <c r="L7837" i="2"/>
  <c r="L7838" i="2"/>
  <c r="L7839" i="2"/>
  <c r="L7840" i="2"/>
  <c r="L7841" i="2"/>
  <c r="L7842" i="2"/>
  <c r="L7843" i="2"/>
  <c r="L7844" i="2"/>
  <c r="L7845" i="2"/>
  <c r="L7846" i="2"/>
  <c r="L7847" i="2"/>
  <c r="L7848" i="2"/>
  <c r="L7849" i="2"/>
  <c r="L7850" i="2"/>
  <c r="L7851" i="2"/>
  <c r="L7852" i="2"/>
  <c r="L7853" i="2"/>
  <c r="L7854" i="2"/>
  <c r="L7855" i="2"/>
  <c r="L7856" i="2"/>
  <c r="L7857" i="2"/>
  <c r="L7858" i="2"/>
  <c r="L7859" i="2"/>
  <c r="L7860" i="2"/>
  <c r="L7861" i="2"/>
  <c r="L7862" i="2"/>
  <c r="L7863" i="2"/>
  <c r="L7864" i="2"/>
  <c r="L7865" i="2"/>
  <c r="L7866" i="2"/>
  <c r="L7867" i="2"/>
  <c r="L7868" i="2"/>
  <c r="L7869" i="2"/>
  <c r="L7870" i="2"/>
  <c r="L7871" i="2"/>
  <c r="L7872" i="2"/>
  <c r="L7873" i="2"/>
  <c r="L7874" i="2"/>
  <c r="L7875" i="2"/>
  <c r="L7876" i="2"/>
  <c r="L7877" i="2"/>
  <c r="L7878" i="2"/>
  <c r="L7879" i="2"/>
  <c r="L7880" i="2"/>
  <c r="L7881" i="2"/>
  <c r="L7882" i="2"/>
  <c r="L7883" i="2"/>
  <c r="L7884" i="2"/>
  <c r="L7885" i="2"/>
  <c r="L7886" i="2"/>
  <c r="L7887" i="2"/>
  <c r="L7888" i="2"/>
  <c r="L7889" i="2"/>
  <c r="L7890" i="2"/>
  <c r="L7891" i="2"/>
  <c r="L7892" i="2"/>
  <c r="L7893" i="2"/>
  <c r="L7894" i="2"/>
  <c r="L7895" i="2"/>
  <c r="L7896" i="2"/>
  <c r="L7897" i="2"/>
  <c r="L7898" i="2"/>
  <c r="L7899" i="2"/>
  <c r="L7900" i="2"/>
  <c r="L7901" i="2"/>
  <c r="L7902" i="2"/>
  <c r="L7903" i="2"/>
  <c r="L7904" i="2"/>
  <c r="L7905" i="2"/>
  <c r="L7906" i="2"/>
  <c r="L7907" i="2"/>
  <c r="L7908" i="2"/>
  <c r="L7909" i="2"/>
  <c r="L7910" i="2"/>
  <c r="L7911" i="2"/>
  <c r="L7912" i="2"/>
  <c r="L7913" i="2"/>
  <c r="L7914" i="2"/>
  <c r="L7915" i="2"/>
  <c r="L7916" i="2"/>
  <c r="L7917" i="2"/>
  <c r="L7918" i="2"/>
  <c r="L7919" i="2"/>
  <c r="L7920" i="2"/>
  <c r="L7921" i="2"/>
  <c r="L7922" i="2"/>
  <c r="L7923" i="2"/>
  <c r="L7924" i="2"/>
  <c r="L7925" i="2"/>
  <c r="L7926" i="2"/>
  <c r="L7927" i="2"/>
  <c r="L7928" i="2"/>
  <c r="L7929" i="2"/>
  <c r="L7930" i="2"/>
  <c r="L7931" i="2"/>
  <c r="L7932" i="2"/>
  <c r="L7933" i="2"/>
  <c r="L7934" i="2"/>
  <c r="L7935" i="2"/>
  <c r="L7936" i="2"/>
  <c r="L7937" i="2"/>
  <c r="L7938" i="2"/>
  <c r="L7939" i="2"/>
  <c r="L7940" i="2"/>
  <c r="L7941" i="2"/>
  <c r="L7942" i="2"/>
  <c r="L7943" i="2"/>
  <c r="L7944" i="2"/>
  <c r="L7945" i="2"/>
  <c r="L7946" i="2"/>
  <c r="L7947" i="2"/>
  <c r="L7948" i="2"/>
  <c r="L7949" i="2"/>
  <c r="L7950" i="2"/>
  <c r="L7951" i="2"/>
  <c r="L7952" i="2"/>
  <c r="L7953" i="2"/>
  <c r="L7954" i="2"/>
  <c r="L7955" i="2"/>
  <c r="L7956" i="2"/>
  <c r="L7957" i="2"/>
  <c r="L7958" i="2"/>
  <c r="L7959" i="2"/>
  <c r="L7960" i="2"/>
  <c r="L7961" i="2"/>
  <c r="L7962" i="2"/>
  <c r="L7963" i="2"/>
  <c r="L7964" i="2"/>
  <c r="L7965" i="2"/>
  <c r="L7966" i="2"/>
  <c r="L7967" i="2"/>
  <c r="L7968" i="2"/>
  <c r="L7969" i="2"/>
  <c r="L7970" i="2"/>
  <c r="L7971" i="2"/>
  <c r="L7972" i="2"/>
  <c r="L7973" i="2"/>
  <c r="L7974" i="2"/>
  <c r="L7975" i="2"/>
  <c r="L7976" i="2"/>
  <c r="L7977" i="2"/>
  <c r="L7978" i="2"/>
  <c r="L7979" i="2"/>
  <c r="L7980" i="2"/>
  <c r="L7981" i="2"/>
  <c r="L7982" i="2"/>
  <c r="L7983" i="2"/>
  <c r="L7984" i="2"/>
  <c r="L7985" i="2"/>
  <c r="L7986" i="2"/>
  <c r="L7987" i="2"/>
  <c r="L7988" i="2"/>
  <c r="L7989" i="2"/>
  <c r="L7990" i="2"/>
  <c r="L7991" i="2"/>
  <c r="L7992" i="2"/>
  <c r="L7993" i="2"/>
  <c r="L7994" i="2"/>
  <c r="L7995" i="2"/>
  <c r="L7996" i="2"/>
  <c r="L7997" i="2"/>
  <c r="L7998" i="2"/>
  <c r="L7999" i="2"/>
  <c r="L8000" i="2"/>
  <c r="L8001" i="2"/>
  <c r="L8002" i="2"/>
  <c r="L8003" i="2"/>
  <c r="L8004" i="2"/>
  <c r="L8005" i="2"/>
  <c r="L8006" i="2"/>
  <c r="L8007" i="2"/>
  <c r="L8008" i="2"/>
  <c r="L8009" i="2"/>
  <c r="L8010" i="2"/>
  <c r="L8011" i="2"/>
  <c r="L8012" i="2"/>
  <c r="L8013" i="2"/>
  <c r="L8014" i="2"/>
  <c r="L8015" i="2"/>
  <c r="L8016" i="2"/>
  <c r="L8017" i="2"/>
  <c r="L8018" i="2"/>
  <c r="L8019" i="2"/>
  <c r="L8020" i="2"/>
  <c r="L8021" i="2"/>
  <c r="L8022" i="2"/>
  <c r="L8023" i="2"/>
  <c r="L8024" i="2"/>
  <c r="L8025" i="2"/>
  <c r="L8026" i="2"/>
  <c r="L8027" i="2"/>
  <c r="L8028" i="2"/>
  <c r="L8029" i="2"/>
  <c r="L8030" i="2"/>
  <c r="L8031" i="2"/>
  <c r="L8032" i="2"/>
  <c r="L8033" i="2"/>
  <c r="L8034" i="2"/>
  <c r="L8035" i="2"/>
  <c r="L8036" i="2"/>
  <c r="L8037" i="2"/>
  <c r="L8038" i="2"/>
  <c r="L8039" i="2"/>
  <c r="L8040" i="2"/>
  <c r="L8041" i="2"/>
  <c r="L8042" i="2"/>
  <c r="L8043" i="2"/>
  <c r="L8044" i="2"/>
  <c r="L8045" i="2"/>
  <c r="L8046" i="2"/>
  <c r="L8047" i="2"/>
  <c r="L8048" i="2"/>
  <c r="L8049" i="2"/>
  <c r="L8050" i="2"/>
  <c r="L8051" i="2"/>
  <c r="L8052" i="2"/>
  <c r="L8053" i="2"/>
  <c r="L8054" i="2"/>
  <c r="L8055" i="2"/>
  <c r="L8056" i="2"/>
  <c r="L8057" i="2"/>
  <c r="L8058" i="2"/>
  <c r="L8059" i="2"/>
  <c r="L8060" i="2"/>
  <c r="L8061" i="2"/>
  <c r="L8062" i="2"/>
  <c r="L8063" i="2"/>
  <c r="L8064" i="2"/>
  <c r="L8065" i="2"/>
  <c r="L8066" i="2"/>
  <c r="L8067" i="2"/>
  <c r="L8068" i="2"/>
  <c r="L8069" i="2"/>
  <c r="L8070" i="2"/>
  <c r="L8071" i="2"/>
  <c r="L8072" i="2"/>
  <c r="L8073" i="2"/>
  <c r="L8074" i="2"/>
  <c r="L8075" i="2"/>
  <c r="L8076" i="2"/>
  <c r="L8077" i="2"/>
  <c r="L8078" i="2"/>
  <c r="L8079" i="2"/>
  <c r="L8080" i="2"/>
  <c r="L8081" i="2"/>
  <c r="L8082" i="2"/>
  <c r="L8083" i="2"/>
  <c r="L8084" i="2"/>
  <c r="L8085" i="2"/>
  <c r="L8086" i="2"/>
  <c r="L8087" i="2"/>
  <c r="L8088" i="2"/>
  <c r="L8089" i="2"/>
  <c r="L8090" i="2"/>
  <c r="L8091" i="2"/>
  <c r="L8092" i="2"/>
  <c r="L8093" i="2"/>
  <c r="L8094" i="2"/>
  <c r="L8095" i="2"/>
  <c r="L8096" i="2"/>
  <c r="L8097" i="2"/>
  <c r="L8098" i="2"/>
  <c r="L8099" i="2"/>
  <c r="L8100" i="2"/>
  <c r="L8101" i="2"/>
  <c r="L8102" i="2"/>
  <c r="L8103" i="2"/>
  <c r="L8104" i="2"/>
  <c r="L8105" i="2"/>
  <c r="L8106" i="2"/>
  <c r="L8107" i="2"/>
  <c r="L8108" i="2"/>
  <c r="L8109" i="2"/>
  <c r="L8110" i="2"/>
  <c r="L8111" i="2"/>
  <c r="L8112" i="2"/>
  <c r="L8113" i="2"/>
  <c r="L8114" i="2"/>
  <c r="L8115" i="2"/>
  <c r="L8116" i="2"/>
  <c r="L8117" i="2"/>
  <c r="L8118" i="2"/>
  <c r="L8119" i="2"/>
  <c r="L8120" i="2"/>
  <c r="L8121" i="2"/>
  <c r="L8122" i="2"/>
  <c r="L8123" i="2"/>
  <c r="L8124" i="2"/>
  <c r="L8125" i="2"/>
  <c r="L8126" i="2"/>
  <c r="L8127" i="2"/>
  <c r="L8128" i="2"/>
  <c r="L8129" i="2"/>
  <c r="L8130" i="2"/>
  <c r="L8131" i="2"/>
  <c r="L8132" i="2"/>
  <c r="L8133" i="2"/>
  <c r="L8134" i="2"/>
  <c r="L8135" i="2"/>
  <c r="L8136" i="2"/>
  <c r="L8137" i="2"/>
  <c r="L8138" i="2"/>
  <c r="L8139" i="2"/>
  <c r="L8140" i="2"/>
  <c r="L8141" i="2"/>
  <c r="L8142" i="2"/>
  <c r="L8143" i="2"/>
  <c r="L8144" i="2"/>
  <c r="L8145" i="2"/>
  <c r="L8146" i="2"/>
  <c r="L8147" i="2"/>
  <c r="L8148" i="2"/>
  <c r="L8149" i="2"/>
  <c r="L8150" i="2"/>
  <c r="L8151" i="2"/>
  <c r="L8152" i="2"/>
  <c r="L8153" i="2"/>
  <c r="L8154" i="2"/>
  <c r="L8155" i="2"/>
  <c r="L8156" i="2"/>
  <c r="L8157" i="2"/>
  <c r="L8158" i="2"/>
  <c r="L8159" i="2"/>
  <c r="L8160" i="2"/>
  <c r="L8161" i="2"/>
  <c r="L8162" i="2"/>
  <c r="L8163" i="2"/>
  <c r="L8164" i="2"/>
  <c r="L8165" i="2"/>
  <c r="L8166" i="2"/>
  <c r="L8167" i="2"/>
  <c r="L8168" i="2"/>
  <c r="L8169" i="2"/>
  <c r="L8170" i="2"/>
  <c r="L8171" i="2"/>
  <c r="L8172" i="2"/>
  <c r="L8173" i="2"/>
  <c r="L8174" i="2"/>
  <c r="L8175" i="2"/>
  <c r="L8176" i="2"/>
  <c r="L8177" i="2"/>
  <c r="L8178" i="2"/>
  <c r="L8179" i="2"/>
  <c r="L8180" i="2"/>
  <c r="L8181" i="2"/>
  <c r="L8182" i="2"/>
  <c r="L8183" i="2"/>
  <c r="L8184" i="2"/>
  <c r="L8185" i="2"/>
  <c r="L8186" i="2"/>
  <c r="L8187" i="2"/>
  <c r="L8188" i="2"/>
  <c r="L8189" i="2"/>
  <c r="L8190" i="2"/>
  <c r="L8191" i="2"/>
  <c r="L8192" i="2"/>
  <c r="L8193" i="2"/>
  <c r="L8194" i="2"/>
  <c r="L8195" i="2"/>
  <c r="L8196" i="2"/>
  <c r="L8197" i="2"/>
  <c r="L8198" i="2"/>
  <c r="L8199" i="2"/>
  <c r="L8200" i="2"/>
  <c r="L8201" i="2"/>
  <c r="L8202" i="2"/>
  <c r="L8203" i="2"/>
  <c r="L8204" i="2"/>
  <c r="L8205" i="2"/>
  <c r="L8206" i="2"/>
  <c r="L8207" i="2"/>
  <c r="L8208" i="2"/>
  <c r="L8209" i="2"/>
  <c r="L8210" i="2"/>
  <c r="L8211" i="2"/>
  <c r="L8212" i="2"/>
  <c r="L8213" i="2"/>
  <c r="L8214" i="2"/>
  <c r="L8215" i="2"/>
  <c r="L8216" i="2"/>
  <c r="L8217" i="2"/>
  <c r="L8218" i="2"/>
  <c r="L8219" i="2"/>
  <c r="L8220" i="2"/>
  <c r="L8221" i="2"/>
  <c r="L8222" i="2"/>
  <c r="L8223" i="2"/>
  <c r="L8224" i="2"/>
  <c r="L8225" i="2"/>
  <c r="L8226" i="2"/>
  <c r="L8227" i="2"/>
  <c r="L8228" i="2"/>
  <c r="L8229" i="2"/>
  <c r="L8230" i="2"/>
  <c r="L8231" i="2"/>
  <c r="L8232" i="2"/>
  <c r="L8233" i="2"/>
  <c r="L8234" i="2"/>
  <c r="L8235" i="2"/>
  <c r="L8236" i="2"/>
  <c r="L8237" i="2"/>
  <c r="L8238" i="2"/>
  <c r="L8239" i="2"/>
  <c r="L8240" i="2"/>
  <c r="L8241" i="2"/>
  <c r="L8242" i="2"/>
  <c r="L8243" i="2"/>
  <c r="L8244" i="2"/>
  <c r="L8245" i="2"/>
  <c r="L8246" i="2"/>
  <c r="L8247" i="2"/>
  <c r="L8248" i="2"/>
  <c r="L8249" i="2"/>
  <c r="L8250" i="2"/>
  <c r="L8251" i="2"/>
  <c r="L8252" i="2"/>
  <c r="L8253" i="2"/>
  <c r="L8254" i="2"/>
  <c r="L8255" i="2"/>
  <c r="L8256" i="2"/>
  <c r="L8257" i="2"/>
  <c r="L8258" i="2"/>
  <c r="L8259" i="2"/>
  <c r="L8260" i="2"/>
  <c r="L8261" i="2"/>
  <c r="L8262" i="2"/>
  <c r="L8263" i="2"/>
  <c r="L8264" i="2"/>
  <c r="L8265" i="2"/>
  <c r="L8266" i="2"/>
  <c r="L8267" i="2"/>
  <c r="L8268" i="2"/>
  <c r="L8269" i="2"/>
  <c r="L8270" i="2"/>
  <c r="L8271" i="2"/>
  <c r="L8272" i="2"/>
  <c r="L8273" i="2"/>
  <c r="L8274" i="2"/>
  <c r="L8275" i="2"/>
  <c r="L8276" i="2"/>
  <c r="L8277" i="2"/>
  <c r="L8278" i="2"/>
  <c r="L8279" i="2"/>
  <c r="L8280" i="2"/>
  <c r="L8281" i="2"/>
  <c r="L8282" i="2"/>
  <c r="L8283" i="2"/>
  <c r="L8284" i="2"/>
  <c r="L8285" i="2"/>
  <c r="L8286" i="2"/>
  <c r="L8287" i="2"/>
  <c r="L8288" i="2"/>
  <c r="L8289" i="2"/>
  <c r="L8290" i="2"/>
  <c r="L8291" i="2"/>
  <c r="L8292" i="2"/>
  <c r="L8293" i="2"/>
  <c r="L8294" i="2"/>
  <c r="L8295" i="2"/>
  <c r="L8296" i="2"/>
  <c r="L8297" i="2"/>
  <c r="L8298" i="2"/>
  <c r="L8299" i="2"/>
  <c r="L8300" i="2"/>
  <c r="L8301" i="2"/>
  <c r="L8302" i="2"/>
  <c r="L8303" i="2"/>
  <c r="L8304" i="2"/>
  <c r="L8305" i="2"/>
  <c r="L8306" i="2"/>
  <c r="L8307" i="2"/>
  <c r="L8308" i="2"/>
  <c r="L8309" i="2"/>
  <c r="L8310" i="2"/>
  <c r="L8311" i="2"/>
  <c r="L8312" i="2"/>
  <c r="L8313" i="2"/>
  <c r="L8314" i="2"/>
  <c r="L8315" i="2"/>
  <c r="L8316" i="2"/>
  <c r="L8317" i="2"/>
  <c r="L8318" i="2"/>
  <c r="L8319" i="2"/>
  <c r="L8320" i="2"/>
  <c r="L8321" i="2"/>
  <c r="L8322" i="2"/>
  <c r="L8323" i="2"/>
  <c r="L8324" i="2"/>
  <c r="L8325" i="2"/>
  <c r="L8326" i="2"/>
  <c r="L8327" i="2"/>
  <c r="L8328" i="2"/>
  <c r="L8329" i="2"/>
  <c r="L8330" i="2"/>
  <c r="L8331" i="2"/>
  <c r="L8332" i="2"/>
  <c r="L8333" i="2"/>
  <c r="L8334" i="2"/>
  <c r="L8335" i="2"/>
  <c r="L8336" i="2"/>
  <c r="L8337" i="2"/>
  <c r="L8338" i="2"/>
  <c r="L8339" i="2"/>
  <c r="L8340" i="2"/>
  <c r="L8341" i="2"/>
  <c r="L8342" i="2"/>
  <c r="L8343" i="2"/>
  <c r="L8344" i="2"/>
  <c r="L8345" i="2"/>
  <c r="L8346" i="2"/>
  <c r="L8347" i="2"/>
  <c r="L8348" i="2"/>
  <c r="L8349" i="2"/>
  <c r="L8350" i="2"/>
  <c r="L8351" i="2"/>
  <c r="L8352" i="2"/>
  <c r="L8353" i="2"/>
  <c r="L8354" i="2"/>
  <c r="L8355" i="2"/>
  <c r="L8356" i="2"/>
  <c r="L8357" i="2"/>
  <c r="L8358" i="2"/>
  <c r="L8359" i="2"/>
  <c r="L8360" i="2"/>
  <c r="L8361" i="2"/>
  <c r="L8362" i="2"/>
  <c r="L8363" i="2"/>
  <c r="L8364" i="2"/>
  <c r="L8365" i="2"/>
  <c r="L8366" i="2"/>
  <c r="L8367" i="2"/>
  <c r="L8368" i="2"/>
  <c r="L8369" i="2"/>
  <c r="L8370" i="2"/>
  <c r="L8371" i="2"/>
  <c r="L8372" i="2"/>
  <c r="L8373" i="2"/>
  <c r="L8374" i="2"/>
  <c r="L8375" i="2"/>
  <c r="L8376" i="2"/>
  <c r="L8377" i="2"/>
  <c r="L8378" i="2"/>
  <c r="L8379" i="2"/>
  <c r="L8380" i="2"/>
  <c r="L8381" i="2"/>
  <c r="L8382" i="2"/>
  <c r="L8383" i="2"/>
  <c r="L8384" i="2"/>
  <c r="L8385" i="2"/>
  <c r="L8386" i="2"/>
  <c r="L8387" i="2"/>
  <c r="L8388" i="2"/>
  <c r="L8389" i="2"/>
  <c r="L8390" i="2"/>
  <c r="L8391" i="2"/>
  <c r="L8392" i="2"/>
  <c r="L8393" i="2"/>
  <c r="L8394" i="2"/>
  <c r="L8395" i="2"/>
  <c r="L8396" i="2"/>
  <c r="L8397" i="2"/>
  <c r="L8398" i="2"/>
  <c r="L8399" i="2"/>
  <c r="L8400" i="2"/>
  <c r="L8401" i="2"/>
  <c r="L8402" i="2"/>
  <c r="L8403" i="2"/>
  <c r="L8404" i="2"/>
  <c r="L8405" i="2"/>
  <c r="L8406" i="2"/>
  <c r="L8407" i="2"/>
  <c r="L8408" i="2"/>
  <c r="L8409" i="2"/>
  <c r="L8410" i="2"/>
  <c r="L8411" i="2"/>
  <c r="L8412" i="2"/>
  <c r="L8413" i="2"/>
  <c r="L8414" i="2"/>
  <c r="L8415" i="2"/>
  <c r="L8416" i="2"/>
  <c r="L8417" i="2"/>
  <c r="L8418" i="2"/>
  <c r="L8419" i="2"/>
  <c r="L8420" i="2"/>
  <c r="L8421" i="2"/>
  <c r="L8422" i="2"/>
  <c r="L8423" i="2"/>
  <c r="L8424" i="2"/>
  <c r="L8425" i="2"/>
  <c r="L8426" i="2"/>
  <c r="L8427" i="2"/>
  <c r="L8428" i="2"/>
  <c r="L8429" i="2"/>
  <c r="L8430" i="2"/>
  <c r="L8431" i="2"/>
  <c r="L8432" i="2"/>
  <c r="L8433" i="2"/>
  <c r="L8434" i="2"/>
  <c r="L8435" i="2"/>
  <c r="L8436" i="2"/>
  <c r="L8437" i="2"/>
  <c r="L8438" i="2"/>
  <c r="L8439" i="2"/>
  <c r="L8440" i="2"/>
  <c r="L8441" i="2"/>
  <c r="L8442" i="2"/>
  <c r="L8443" i="2"/>
  <c r="L8444" i="2"/>
  <c r="L8445" i="2"/>
  <c r="L8446" i="2"/>
  <c r="L8447" i="2"/>
  <c r="L8448" i="2"/>
  <c r="L8449" i="2"/>
  <c r="L8450" i="2"/>
  <c r="L8451" i="2"/>
  <c r="L8452" i="2"/>
  <c r="L8453" i="2"/>
  <c r="L8454" i="2"/>
  <c r="L8455" i="2"/>
  <c r="L8456" i="2"/>
  <c r="L8457" i="2"/>
  <c r="L8458" i="2"/>
  <c r="L8459" i="2"/>
  <c r="L8460" i="2"/>
  <c r="L8461" i="2"/>
  <c r="L8462" i="2"/>
  <c r="L8463" i="2"/>
  <c r="L8464" i="2"/>
  <c r="L8465" i="2"/>
  <c r="L8466" i="2"/>
  <c r="L8467" i="2"/>
  <c r="L8468" i="2"/>
  <c r="L8469" i="2"/>
  <c r="L8470" i="2"/>
  <c r="L8471" i="2"/>
  <c r="L8472" i="2"/>
  <c r="L8473" i="2"/>
  <c r="L8474" i="2"/>
  <c r="L8475" i="2"/>
  <c r="L8476" i="2"/>
  <c r="L8477" i="2"/>
  <c r="L8478" i="2"/>
  <c r="L8479" i="2"/>
  <c r="L8480" i="2"/>
  <c r="L8481" i="2"/>
  <c r="L8482" i="2"/>
  <c r="L8483" i="2"/>
  <c r="L8484" i="2"/>
  <c r="L8485" i="2"/>
  <c r="L8486" i="2"/>
  <c r="L8487" i="2"/>
  <c r="L8488" i="2"/>
  <c r="L8489" i="2"/>
  <c r="L8490" i="2"/>
  <c r="L8491" i="2"/>
  <c r="L8492" i="2"/>
  <c r="L8493" i="2"/>
  <c r="L8494" i="2"/>
  <c r="L8495" i="2"/>
  <c r="L8496" i="2"/>
  <c r="L8497" i="2"/>
  <c r="L8498" i="2"/>
  <c r="L8499" i="2"/>
  <c r="L8500" i="2"/>
  <c r="L8501" i="2"/>
  <c r="L8502" i="2"/>
  <c r="L8503" i="2"/>
  <c r="L8504" i="2"/>
  <c r="L8505" i="2"/>
  <c r="L8506" i="2"/>
  <c r="L8507" i="2"/>
  <c r="L8508" i="2"/>
  <c r="L8509" i="2"/>
  <c r="L8510" i="2"/>
  <c r="L8511" i="2"/>
  <c r="L8512" i="2"/>
  <c r="L8513" i="2"/>
  <c r="L8514" i="2"/>
  <c r="L8515" i="2"/>
  <c r="L8516" i="2"/>
  <c r="L8517" i="2"/>
  <c r="L8518" i="2"/>
  <c r="L8519" i="2"/>
  <c r="L8520" i="2"/>
  <c r="L8521" i="2"/>
  <c r="L8522" i="2"/>
  <c r="L8523" i="2"/>
  <c r="L8524" i="2"/>
  <c r="L8525" i="2"/>
  <c r="L8526" i="2"/>
  <c r="L8527" i="2"/>
  <c r="L8528" i="2"/>
  <c r="L8529" i="2"/>
  <c r="L8530" i="2"/>
  <c r="L8531" i="2"/>
  <c r="L8532" i="2"/>
  <c r="L8533" i="2"/>
  <c r="L8534" i="2"/>
  <c r="L8535" i="2"/>
  <c r="L8536" i="2"/>
  <c r="L8537" i="2"/>
  <c r="L8538" i="2"/>
  <c r="L8539" i="2"/>
  <c r="L8540" i="2"/>
  <c r="L8541" i="2"/>
  <c r="L8542" i="2"/>
  <c r="L8543" i="2"/>
  <c r="L8544" i="2"/>
  <c r="L8545" i="2"/>
  <c r="L8546" i="2"/>
  <c r="L8547" i="2"/>
  <c r="L8548" i="2"/>
  <c r="L8549" i="2"/>
  <c r="L8550" i="2"/>
  <c r="L8551" i="2"/>
  <c r="L8552" i="2"/>
  <c r="L8553" i="2"/>
  <c r="L8554" i="2"/>
  <c r="L8555" i="2"/>
  <c r="L8556" i="2"/>
  <c r="L8557" i="2"/>
  <c r="L8558" i="2"/>
  <c r="L8559" i="2"/>
  <c r="L8560" i="2"/>
  <c r="L8561" i="2"/>
  <c r="L8562" i="2"/>
  <c r="L8563" i="2"/>
  <c r="L8564" i="2"/>
  <c r="L8565" i="2"/>
  <c r="L8566" i="2"/>
  <c r="L8567" i="2"/>
  <c r="L8568" i="2"/>
  <c r="L8569" i="2"/>
  <c r="L8570" i="2"/>
  <c r="L8571" i="2"/>
  <c r="L8572" i="2"/>
  <c r="L8573" i="2"/>
  <c r="L8574" i="2"/>
  <c r="L8575" i="2"/>
  <c r="L8576" i="2"/>
  <c r="L8577" i="2"/>
  <c r="L8578" i="2"/>
  <c r="L8579" i="2"/>
  <c r="L8580" i="2"/>
  <c r="L8581" i="2"/>
  <c r="L8582" i="2"/>
  <c r="L8583" i="2"/>
  <c r="L8584" i="2"/>
  <c r="L8585" i="2"/>
  <c r="L8586" i="2"/>
  <c r="L8587" i="2"/>
  <c r="L8588" i="2"/>
  <c r="L8589" i="2"/>
  <c r="L8590" i="2"/>
  <c r="L8591" i="2"/>
  <c r="L8592" i="2"/>
  <c r="L8593" i="2"/>
  <c r="L8594" i="2"/>
  <c r="L8595" i="2"/>
  <c r="L8596" i="2"/>
  <c r="L8597" i="2"/>
  <c r="L8598" i="2"/>
  <c r="L8599" i="2"/>
  <c r="L8600" i="2"/>
  <c r="L8601" i="2"/>
  <c r="L8602" i="2"/>
  <c r="L8603" i="2"/>
  <c r="L8604" i="2"/>
  <c r="L8605" i="2"/>
  <c r="L8606" i="2"/>
  <c r="L8607" i="2"/>
  <c r="L8608" i="2"/>
  <c r="L8609" i="2"/>
  <c r="L8610" i="2"/>
  <c r="L8611" i="2"/>
  <c r="L8612" i="2"/>
  <c r="L8613" i="2"/>
  <c r="L8614" i="2"/>
  <c r="L8615" i="2"/>
  <c r="L8616" i="2"/>
  <c r="L8617" i="2"/>
  <c r="L8618" i="2"/>
  <c r="L8619" i="2"/>
  <c r="L8620" i="2"/>
  <c r="L8621" i="2"/>
  <c r="L8622" i="2"/>
  <c r="L8623" i="2"/>
  <c r="L8624" i="2"/>
  <c r="L8625" i="2"/>
  <c r="L8626" i="2"/>
  <c r="L8627" i="2"/>
  <c r="L8628" i="2"/>
  <c r="L8629" i="2"/>
  <c r="L8630" i="2"/>
  <c r="L8631" i="2"/>
  <c r="L8632" i="2"/>
  <c r="L8633" i="2"/>
  <c r="L8634" i="2"/>
  <c r="L8635" i="2"/>
  <c r="L8636" i="2"/>
  <c r="L8637" i="2"/>
  <c r="L8638" i="2"/>
  <c r="L8639" i="2"/>
  <c r="L8640" i="2"/>
  <c r="L8641" i="2"/>
  <c r="L8642" i="2"/>
  <c r="L8643" i="2"/>
  <c r="L8644" i="2"/>
  <c r="L8645" i="2"/>
  <c r="L8646" i="2"/>
  <c r="L8647" i="2"/>
  <c r="L8648" i="2"/>
  <c r="L8649" i="2"/>
  <c r="L8650" i="2"/>
  <c r="L8651" i="2"/>
  <c r="L8652" i="2"/>
  <c r="L8653" i="2"/>
  <c r="L8654" i="2"/>
  <c r="L8655" i="2"/>
  <c r="L8656" i="2"/>
  <c r="L8657" i="2"/>
  <c r="L8658" i="2"/>
  <c r="L8659" i="2"/>
  <c r="L8660" i="2"/>
  <c r="L8661" i="2"/>
  <c r="L8662" i="2"/>
  <c r="L8663" i="2"/>
  <c r="L8664" i="2"/>
  <c r="L8665" i="2"/>
  <c r="L8666" i="2"/>
  <c r="L8667" i="2"/>
  <c r="L8668" i="2"/>
  <c r="L8669" i="2"/>
  <c r="L8670" i="2"/>
  <c r="L8671" i="2"/>
  <c r="L8672" i="2"/>
  <c r="L8673" i="2"/>
  <c r="L8674" i="2"/>
  <c r="L8675" i="2"/>
  <c r="L8676" i="2"/>
  <c r="L8677" i="2"/>
  <c r="L8678" i="2"/>
  <c r="L8679" i="2"/>
  <c r="L8680" i="2"/>
  <c r="L8681" i="2"/>
  <c r="L8682" i="2"/>
  <c r="L8683" i="2"/>
  <c r="L8684" i="2"/>
  <c r="L8685" i="2"/>
  <c r="L8686" i="2"/>
  <c r="L8687" i="2"/>
  <c r="L8688" i="2"/>
  <c r="L8689" i="2"/>
  <c r="L8690" i="2"/>
  <c r="L8691" i="2"/>
  <c r="L8692" i="2"/>
  <c r="L8693" i="2"/>
  <c r="L8694" i="2"/>
  <c r="L8695" i="2"/>
  <c r="L8696" i="2"/>
  <c r="L8697" i="2"/>
  <c r="L8698" i="2"/>
  <c r="L8699" i="2"/>
  <c r="L8700" i="2"/>
  <c r="L8701" i="2"/>
  <c r="L8702" i="2"/>
  <c r="L8703" i="2"/>
  <c r="L8704" i="2"/>
  <c r="L8705" i="2"/>
  <c r="L8706" i="2"/>
  <c r="L8707" i="2"/>
  <c r="L8708" i="2"/>
  <c r="L8709" i="2"/>
  <c r="L8710" i="2"/>
  <c r="L8711" i="2"/>
  <c r="L8712" i="2"/>
  <c r="L8713" i="2"/>
  <c r="L8714" i="2"/>
  <c r="L8715" i="2"/>
  <c r="L8716" i="2"/>
  <c r="L8717" i="2"/>
  <c r="L8718" i="2"/>
  <c r="L8719" i="2"/>
  <c r="L8720" i="2"/>
  <c r="L8721" i="2"/>
  <c r="L8722" i="2"/>
  <c r="L8723" i="2"/>
  <c r="L8724" i="2"/>
  <c r="L8725" i="2"/>
  <c r="L8726" i="2"/>
  <c r="L8727" i="2"/>
  <c r="L8728" i="2"/>
  <c r="L8729" i="2"/>
  <c r="L8730" i="2"/>
  <c r="L8731" i="2"/>
  <c r="L8732" i="2"/>
  <c r="L8733" i="2"/>
  <c r="L8734" i="2"/>
  <c r="L8735" i="2"/>
  <c r="L8736" i="2"/>
  <c r="L8737" i="2"/>
  <c r="L8738" i="2"/>
  <c r="L8739" i="2"/>
  <c r="L8740" i="2"/>
  <c r="L8741" i="2"/>
  <c r="L8742" i="2"/>
  <c r="L8743" i="2"/>
  <c r="L8744" i="2"/>
  <c r="L8745" i="2"/>
  <c r="L8746" i="2"/>
  <c r="L8747" i="2"/>
  <c r="L8748" i="2"/>
  <c r="L8749" i="2"/>
  <c r="L8750" i="2"/>
  <c r="L8751" i="2"/>
  <c r="L8752" i="2"/>
  <c r="L8753" i="2"/>
  <c r="L8754" i="2"/>
  <c r="L8755" i="2"/>
  <c r="L8756" i="2"/>
  <c r="L8757" i="2"/>
  <c r="L8758" i="2"/>
  <c r="L8759" i="2"/>
  <c r="L8760" i="2"/>
  <c r="L8761" i="2"/>
  <c r="L8762" i="2"/>
  <c r="L8763" i="2"/>
  <c r="L8764" i="2"/>
  <c r="L8765" i="2"/>
  <c r="L8766" i="2"/>
  <c r="L8767" i="2"/>
  <c r="L8768" i="2"/>
  <c r="L8769" i="2"/>
  <c r="L8770" i="2"/>
  <c r="L8771" i="2"/>
  <c r="L8772" i="2"/>
  <c r="L8773" i="2"/>
  <c r="L8774" i="2"/>
  <c r="L8775" i="2"/>
  <c r="L8776" i="2"/>
  <c r="L8777" i="2"/>
  <c r="L8778" i="2"/>
  <c r="L8779" i="2"/>
  <c r="L8780" i="2"/>
  <c r="L8781" i="2"/>
  <c r="L8782" i="2"/>
  <c r="L8783" i="2"/>
  <c r="L8784" i="2"/>
  <c r="L8785" i="2"/>
  <c r="L8786" i="2"/>
  <c r="L8787" i="2"/>
  <c r="L8788" i="2"/>
  <c r="L8789" i="2"/>
  <c r="L8790" i="2"/>
  <c r="L8791" i="2"/>
  <c r="L8792" i="2"/>
  <c r="L8793" i="2"/>
  <c r="L8794" i="2"/>
  <c r="L8795" i="2"/>
  <c r="L8796" i="2"/>
  <c r="L8797" i="2"/>
  <c r="L8798" i="2"/>
  <c r="L8799" i="2"/>
  <c r="L8800" i="2"/>
  <c r="L8801" i="2"/>
  <c r="L8802" i="2"/>
  <c r="L8803" i="2"/>
  <c r="L8804" i="2"/>
  <c r="L8805" i="2"/>
  <c r="L8806" i="2"/>
  <c r="L8807" i="2"/>
  <c r="L8808" i="2"/>
  <c r="L8809" i="2"/>
  <c r="L8810" i="2"/>
  <c r="L8811" i="2"/>
  <c r="L8812" i="2"/>
  <c r="L8813" i="2"/>
  <c r="L8814" i="2"/>
  <c r="L8815" i="2"/>
  <c r="L8816" i="2"/>
  <c r="L8817" i="2"/>
  <c r="L8818" i="2"/>
  <c r="L8819" i="2"/>
  <c r="L8820" i="2"/>
  <c r="L8821" i="2"/>
  <c r="L8822" i="2"/>
  <c r="L8823" i="2"/>
  <c r="L8824" i="2"/>
  <c r="L8825" i="2"/>
  <c r="L8826" i="2"/>
  <c r="L8827" i="2"/>
  <c r="L8828" i="2"/>
  <c r="L8829" i="2"/>
  <c r="L8830" i="2"/>
  <c r="L8831" i="2"/>
  <c r="L8832" i="2"/>
  <c r="L8833" i="2"/>
  <c r="L8834" i="2"/>
  <c r="L8835" i="2"/>
  <c r="L8836" i="2"/>
  <c r="L8837" i="2"/>
  <c r="L8838" i="2"/>
  <c r="L8839" i="2"/>
  <c r="L8840" i="2"/>
  <c r="L8841" i="2"/>
  <c r="L8842" i="2"/>
  <c r="L8843" i="2"/>
  <c r="L8844" i="2"/>
  <c r="L8845" i="2"/>
  <c r="L8846" i="2"/>
  <c r="L8847" i="2"/>
  <c r="L8848" i="2"/>
  <c r="L8849" i="2"/>
  <c r="L8850" i="2"/>
  <c r="L8851" i="2"/>
  <c r="L8852" i="2"/>
  <c r="L8853" i="2"/>
  <c r="L8854" i="2"/>
  <c r="L8855" i="2"/>
  <c r="L8856" i="2"/>
  <c r="L8857" i="2"/>
  <c r="L8858" i="2"/>
  <c r="L8859" i="2"/>
  <c r="L8860" i="2"/>
  <c r="L8861" i="2"/>
  <c r="L8862" i="2"/>
  <c r="L8863" i="2"/>
  <c r="L8864" i="2"/>
  <c r="L8865" i="2"/>
  <c r="L8866" i="2"/>
  <c r="L8867" i="2"/>
  <c r="L8868" i="2"/>
  <c r="L8869" i="2"/>
  <c r="L8870" i="2"/>
  <c r="L8871" i="2"/>
  <c r="L8872" i="2"/>
  <c r="L8873" i="2"/>
  <c r="L8874" i="2"/>
  <c r="L8875" i="2"/>
  <c r="L8876" i="2"/>
  <c r="L8877" i="2"/>
  <c r="L8878" i="2"/>
  <c r="L8879" i="2"/>
  <c r="L8880" i="2"/>
  <c r="L8881" i="2"/>
  <c r="L8882" i="2"/>
  <c r="L8883" i="2"/>
  <c r="L8884" i="2"/>
  <c r="L8885" i="2"/>
  <c r="L8886" i="2"/>
  <c r="L8887" i="2"/>
  <c r="L8888" i="2"/>
  <c r="L8889" i="2"/>
  <c r="L8890" i="2"/>
  <c r="L8891" i="2"/>
  <c r="L8892" i="2"/>
  <c r="L8893" i="2"/>
  <c r="L8894" i="2"/>
  <c r="L8895" i="2"/>
  <c r="L8896" i="2"/>
  <c r="L8897" i="2"/>
  <c r="L8898" i="2"/>
  <c r="L8899" i="2"/>
  <c r="L8900" i="2"/>
  <c r="L8901" i="2"/>
  <c r="L8902" i="2"/>
  <c r="L8903" i="2"/>
  <c r="L8904" i="2"/>
  <c r="L8905" i="2"/>
  <c r="L8906" i="2"/>
  <c r="L8907" i="2"/>
  <c r="L8908" i="2"/>
  <c r="L8909" i="2"/>
  <c r="L8910" i="2"/>
  <c r="L8911" i="2"/>
  <c r="L8912" i="2"/>
  <c r="L8913" i="2"/>
  <c r="L8914" i="2"/>
  <c r="L8915" i="2"/>
  <c r="L8916" i="2"/>
  <c r="L8917" i="2"/>
  <c r="L8918" i="2"/>
  <c r="L8919" i="2"/>
  <c r="L8920" i="2"/>
  <c r="L8921" i="2"/>
  <c r="L8922" i="2"/>
  <c r="L8923" i="2"/>
  <c r="L8924" i="2"/>
  <c r="L8925" i="2"/>
  <c r="L8926" i="2"/>
  <c r="L8927" i="2"/>
  <c r="L8928" i="2"/>
  <c r="L8929" i="2"/>
  <c r="L8930" i="2"/>
  <c r="L8931" i="2"/>
  <c r="L8932" i="2"/>
  <c r="L8933" i="2"/>
  <c r="L8934" i="2"/>
  <c r="L8935" i="2"/>
  <c r="L8936" i="2"/>
  <c r="L8937" i="2"/>
  <c r="L8938" i="2"/>
  <c r="L8939" i="2"/>
  <c r="L8940" i="2"/>
  <c r="L8941" i="2"/>
  <c r="L8942" i="2"/>
  <c r="L8943" i="2"/>
  <c r="L8944" i="2"/>
  <c r="L8945" i="2"/>
  <c r="L8946" i="2"/>
  <c r="L8947" i="2"/>
  <c r="L8948" i="2"/>
  <c r="L8949" i="2"/>
  <c r="L8950" i="2"/>
  <c r="L8951" i="2"/>
  <c r="L8952" i="2"/>
  <c r="L8953" i="2"/>
  <c r="L8954" i="2"/>
  <c r="L8955" i="2"/>
  <c r="L8956" i="2"/>
  <c r="L8957" i="2"/>
  <c r="L8958" i="2"/>
  <c r="L8959" i="2"/>
  <c r="L8960" i="2"/>
  <c r="L8961" i="2"/>
  <c r="L8962" i="2"/>
  <c r="L8963" i="2"/>
  <c r="L8964" i="2"/>
  <c r="L8965" i="2"/>
  <c r="L8966" i="2"/>
  <c r="L8967" i="2"/>
  <c r="L8968" i="2"/>
  <c r="L8969" i="2"/>
  <c r="L8970" i="2"/>
  <c r="L8971" i="2"/>
  <c r="L8972" i="2"/>
  <c r="L8973" i="2"/>
  <c r="L8974" i="2"/>
  <c r="L8975" i="2"/>
  <c r="L8976" i="2"/>
  <c r="L8977" i="2"/>
  <c r="L8978" i="2"/>
  <c r="L8979" i="2"/>
  <c r="L8980" i="2"/>
  <c r="L8981" i="2"/>
  <c r="L8982" i="2"/>
  <c r="L8983" i="2"/>
  <c r="L8984" i="2"/>
  <c r="L8985" i="2"/>
  <c r="L8986" i="2"/>
  <c r="L8987" i="2"/>
  <c r="L8988" i="2"/>
  <c r="L8989" i="2"/>
  <c r="L8990" i="2"/>
  <c r="L8991" i="2"/>
  <c r="L8992" i="2"/>
  <c r="L8993" i="2"/>
  <c r="L8994" i="2"/>
  <c r="L8995" i="2"/>
  <c r="L8996" i="2"/>
  <c r="L8997" i="2"/>
  <c r="L8998" i="2"/>
  <c r="L8999" i="2"/>
  <c r="L9000" i="2"/>
  <c r="L9001" i="2"/>
  <c r="L9002" i="2"/>
  <c r="L9003" i="2"/>
  <c r="L9004" i="2"/>
  <c r="L9005" i="2"/>
  <c r="L9006" i="2"/>
  <c r="L9007" i="2"/>
  <c r="L9008" i="2"/>
  <c r="L9009" i="2"/>
  <c r="L9010" i="2"/>
  <c r="L9011" i="2"/>
  <c r="L9012" i="2"/>
  <c r="L9013" i="2"/>
  <c r="L9014" i="2"/>
  <c r="L9015" i="2"/>
  <c r="L9016" i="2"/>
  <c r="L9017" i="2"/>
  <c r="L9018" i="2"/>
  <c r="L9019" i="2"/>
  <c r="L9020" i="2"/>
  <c r="L9021" i="2"/>
  <c r="L9022" i="2"/>
  <c r="L9023" i="2"/>
  <c r="L9024" i="2"/>
  <c r="L9025" i="2"/>
  <c r="L9026" i="2"/>
  <c r="L9027" i="2"/>
  <c r="L9028" i="2"/>
  <c r="L9029" i="2"/>
  <c r="L9030" i="2"/>
  <c r="L9031" i="2"/>
  <c r="L9032" i="2"/>
  <c r="L9033" i="2"/>
  <c r="L9034" i="2"/>
  <c r="L9035" i="2"/>
  <c r="L9036" i="2"/>
  <c r="L9037" i="2"/>
  <c r="L9038" i="2"/>
  <c r="L9039" i="2"/>
  <c r="L9040" i="2"/>
  <c r="L9041" i="2"/>
  <c r="L9042" i="2"/>
  <c r="L9043" i="2"/>
  <c r="L9044" i="2"/>
  <c r="L9045" i="2"/>
  <c r="L9046" i="2"/>
  <c r="L9047" i="2"/>
  <c r="L9048" i="2"/>
  <c r="L9049" i="2"/>
  <c r="L9050" i="2"/>
  <c r="L9051" i="2"/>
  <c r="L9052" i="2"/>
  <c r="L9053" i="2"/>
  <c r="L9054" i="2"/>
  <c r="L9055" i="2"/>
  <c r="L9056" i="2"/>
  <c r="L9057" i="2"/>
  <c r="L9058" i="2"/>
  <c r="L9059" i="2"/>
  <c r="L9060" i="2"/>
  <c r="L9061" i="2"/>
  <c r="L9062" i="2"/>
  <c r="L9063" i="2"/>
  <c r="L9064" i="2"/>
  <c r="L9065" i="2"/>
  <c r="L9066" i="2"/>
  <c r="L9067" i="2"/>
  <c r="L9068" i="2"/>
  <c r="L9069" i="2"/>
  <c r="L9070" i="2"/>
  <c r="L9071" i="2"/>
  <c r="L9072" i="2"/>
  <c r="L9073" i="2"/>
  <c r="L9074" i="2"/>
  <c r="L9075" i="2"/>
  <c r="L9076" i="2"/>
  <c r="L9077" i="2"/>
  <c r="L9078" i="2"/>
  <c r="L9079" i="2"/>
  <c r="L9080" i="2"/>
  <c r="L9081" i="2"/>
  <c r="L9082" i="2"/>
  <c r="L9083" i="2"/>
  <c r="L9084" i="2"/>
  <c r="L9085" i="2"/>
  <c r="L9086" i="2"/>
  <c r="L9087" i="2"/>
  <c r="L9088" i="2"/>
  <c r="L9089" i="2"/>
  <c r="L9090" i="2"/>
  <c r="L9091" i="2"/>
  <c r="L9092" i="2"/>
  <c r="L9093" i="2"/>
  <c r="L9094" i="2"/>
  <c r="L9095" i="2"/>
  <c r="L9096" i="2"/>
  <c r="L9097" i="2"/>
  <c r="L9098" i="2"/>
  <c r="L9099" i="2"/>
  <c r="L9100" i="2"/>
  <c r="L9101" i="2"/>
  <c r="L9102" i="2"/>
  <c r="L9103" i="2"/>
  <c r="L9104" i="2"/>
  <c r="L9105" i="2"/>
  <c r="L9106" i="2"/>
  <c r="L9107" i="2"/>
  <c r="L9108" i="2"/>
  <c r="L9109" i="2"/>
  <c r="L9110" i="2"/>
  <c r="L9111" i="2"/>
  <c r="L9112" i="2"/>
  <c r="L9113" i="2"/>
  <c r="L9114" i="2"/>
  <c r="L9115" i="2"/>
  <c r="L9116" i="2"/>
  <c r="L9117" i="2"/>
  <c r="L9118" i="2"/>
  <c r="L9119" i="2"/>
  <c r="L9120" i="2"/>
  <c r="L9121" i="2"/>
  <c r="L9122" i="2"/>
  <c r="L9123" i="2"/>
  <c r="L9124" i="2"/>
  <c r="L9125" i="2"/>
  <c r="L9126" i="2"/>
  <c r="L9127" i="2"/>
  <c r="L9128" i="2"/>
  <c r="L9129" i="2"/>
  <c r="L9130" i="2"/>
  <c r="L9131" i="2"/>
  <c r="L9132" i="2"/>
  <c r="L9133" i="2"/>
  <c r="L9134" i="2"/>
  <c r="L9135" i="2"/>
  <c r="L9136" i="2"/>
  <c r="L9137" i="2"/>
  <c r="L9138" i="2"/>
  <c r="L9139" i="2"/>
  <c r="L9140" i="2"/>
  <c r="L9141" i="2"/>
  <c r="L9142" i="2"/>
  <c r="L9143" i="2"/>
  <c r="L9144" i="2"/>
  <c r="L9145" i="2"/>
  <c r="L9146" i="2"/>
  <c r="L9147" i="2"/>
  <c r="L9148" i="2"/>
  <c r="L9149" i="2"/>
  <c r="L9150" i="2"/>
  <c r="L9151" i="2"/>
  <c r="L9152" i="2"/>
  <c r="L9153" i="2"/>
  <c r="L9154" i="2"/>
  <c r="L9155" i="2"/>
  <c r="L9156" i="2"/>
  <c r="L9157" i="2"/>
  <c r="L9158" i="2"/>
  <c r="L9159" i="2"/>
  <c r="L9160" i="2"/>
  <c r="L9161" i="2"/>
  <c r="L9162" i="2"/>
  <c r="L9163" i="2"/>
  <c r="L9164" i="2"/>
  <c r="L9165" i="2"/>
  <c r="L9166" i="2"/>
  <c r="L9167" i="2"/>
  <c r="L9168" i="2"/>
  <c r="L9169" i="2"/>
  <c r="L9170" i="2"/>
  <c r="L9171" i="2"/>
  <c r="L9172" i="2"/>
  <c r="L9173" i="2"/>
  <c r="L9174" i="2"/>
  <c r="L9175" i="2"/>
  <c r="L9176" i="2"/>
  <c r="L9177" i="2"/>
  <c r="L9178" i="2"/>
  <c r="L9179" i="2"/>
  <c r="L9180" i="2"/>
  <c r="L9181" i="2"/>
  <c r="L9182" i="2"/>
  <c r="L9183" i="2"/>
  <c r="L9184" i="2"/>
  <c r="L9185" i="2"/>
  <c r="L9186" i="2"/>
  <c r="L9187" i="2"/>
  <c r="L9188" i="2"/>
  <c r="L9189" i="2"/>
  <c r="L9190" i="2"/>
  <c r="L9191" i="2"/>
  <c r="L9192" i="2"/>
  <c r="L9193" i="2"/>
  <c r="L9194" i="2"/>
  <c r="L9195" i="2"/>
  <c r="L9196" i="2"/>
  <c r="L9197" i="2"/>
  <c r="L9198" i="2"/>
  <c r="L9199" i="2"/>
  <c r="L9200" i="2"/>
  <c r="L9201" i="2"/>
  <c r="L9202" i="2"/>
  <c r="L9203" i="2"/>
  <c r="L9204" i="2"/>
  <c r="L9205" i="2"/>
  <c r="L9206" i="2"/>
  <c r="L9207" i="2"/>
  <c r="L9208" i="2"/>
  <c r="L9209" i="2"/>
  <c r="L9210" i="2"/>
  <c r="L9211" i="2"/>
  <c r="L9212" i="2"/>
  <c r="L9213" i="2"/>
  <c r="L9214" i="2"/>
  <c r="L9215" i="2"/>
  <c r="L9216" i="2"/>
  <c r="L9217" i="2"/>
  <c r="L9218" i="2"/>
  <c r="L9219" i="2"/>
  <c r="L9220" i="2"/>
  <c r="L9221" i="2"/>
  <c r="L9222" i="2"/>
  <c r="L9223" i="2"/>
  <c r="L9224" i="2"/>
  <c r="L9225" i="2"/>
  <c r="L9226" i="2"/>
  <c r="L9227" i="2"/>
  <c r="L9228" i="2"/>
  <c r="L9229" i="2"/>
  <c r="L9230" i="2"/>
  <c r="L9231" i="2"/>
  <c r="L9232" i="2"/>
  <c r="L9233" i="2"/>
  <c r="L9234" i="2"/>
  <c r="L9235" i="2"/>
  <c r="L9236" i="2"/>
  <c r="L9237" i="2"/>
  <c r="L9238" i="2"/>
  <c r="L9239" i="2"/>
  <c r="L9240" i="2"/>
  <c r="L9241" i="2"/>
  <c r="L9242" i="2"/>
  <c r="L9243" i="2"/>
  <c r="L9244" i="2"/>
  <c r="L9245" i="2"/>
  <c r="L9246" i="2"/>
  <c r="L9247" i="2"/>
  <c r="L9248" i="2"/>
  <c r="L9249" i="2"/>
  <c r="L9250" i="2"/>
  <c r="L9251" i="2"/>
  <c r="L9252" i="2"/>
  <c r="L9253" i="2"/>
  <c r="L9254" i="2"/>
  <c r="L9255" i="2"/>
  <c r="L9256" i="2"/>
  <c r="L9257" i="2"/>
  <c r="L9258" i="2"/>
  <c r="L9259" i="2"/>
  <c r="L9260" i="2"/>
  <c r="L9261" i="2"/>
  <c r="L9262" i="2"/>
  <c r="L9263" i="2"/>
  <c r="L9264" i="2"/>
  <c r="L9265" i="2"/>
  <c r="L9266" i="2"/>
  <c r="L9267" i="2"/>
  <c r="L9268" i="2"/>
  <c r="L9269" i="2"/>
  <c r="L9270" i="2"/>
  <c r="L9271" i="2"/>
  <c r="L9272" i="2"/>
  <c r="L9273" i="2"/>
  <c r="L9274" i="2"/>
  <c r="L9275" i="2"/>
  <c r="L9276" i="2"/>
  <c r="L9277" i="2"/>
  <c r="L9278" i="2"/>
  <c r="L9279" i="2"/>
  <c r="L9280" i="2"/>
  <c r="L9281" i="2"/>
  <c r="L9282" i="2"/>
  <c r="L9283" i="2"/>
  <c r="L9284" i="2"/>
  <c r="L9285" i="2"/>
  <c r="L9286" i="2"/>
  <c r="L9287" i="2"/>
  <c r="L9288" i="2"/>
  <c r="L9289" i="2"/>
  <c r="L9290" i="2"/>
  <c r="L9291" i="2"/>
  <c r="L9292" i="2"/>
  <c r="L9293" i="2"/>
  <c r="L9294" i="2"/>
  <c r="L9295" i="2"/>
  <c r="L9296" i="2"/>
  <c r="L9297" i="2"/>
  <c r="L9298" i="2"/>
  <c r="L9299" i="2"/>
  <c r="L9300" i="2"/>
  <c r="L9301" i="2"/>
  <c r="L9302" i="2"/>
  <c r="L9303" i="2"/>
  <c r="L9304" i="2"/>
  <c r="L9305" i="2"/>
  <c r="L9306" i="2"/>
  <c r="L9307" i="2"/>
  <c r="L9308" i="2"/>
  <c r="L9309" i="2"/>
  <c r="L9310" i="2"/>
  <c r="L9311" i="2"/>
  <c r="L9312" i="2"/>
  <c r="L9313" i="2"/>
  <c r="L9314" i="2"/>
  <c r="L9315" i="2"/>
  <c r="L9316" i="2"/>
  <c r="L9317" i="2"/>
  <c r="L9318" i="2"/>
  <c r="L9319" i="2"/>
  <c r="L9320" i="2"/>
  <c r="L9321" i="2"/>
  <c r="L9322" i="2"/>
  <c r="L9323" i="2"/>
  <c r="L9324" i="2"/>
  <c r="L9325" i="2"/>
  <c r="L9326" i="2"/>
  <c r="L9327" i="2"/>
  <c r="L9328" i="2"/>
  <c r="L9329" i="2"/>
  <c r="L9330" i="2"/>
  <c r="L9331" i="2"/>
  <c r="L9332" i="2"/>
  <c r="L9333" i="2"/>
  <c r="L9334" i="2"/>
  <c r="L9335" i="2"/>
  <c r="L9336" i="2"/>
  <c r="L9337" i="2"/>
  <c r="L9338" i="2"/>
  <c r="L9339" i="2"/>
  <c r="L9340" i="2"/>
  <c r="L9341" i="2"/>
  <c r="L9342" i="2"/>
  <c r="L9343" i="2"/>
  <c r="L9344" i="2"/>
  <c r="L9345" i="2"/>
  <c r="L9346" i="2"/>
  <c r="L9347" i="2"/>
  <c r="L9348" i="2"/>
  <c r="L9349" i="2"/>
  <c r="L9350" i="2"/>
  <c r="L9351" i="2"/>
  <c r="L9352" i="2"/>
  <c r="L9353" i="2"/>
  <c r="L9354" i="2"/>
  <c r="L9355" i="2"/>
  <c r="L9356" i="2"/>
  <c r="L9357" i="2"/>
  <c r="L9358" i="2"/>
  <c r="L9359" i="2"/>
  <c r="L9360" i="2"/>
  <c r="L9361" i="2"/>
  <c r="L9362" i="2"/>
  <c r="L9363" i="2"/>
  <c r="L9364" i="2"/>
  <c r="L9365" i="2"/>
  <c r="L9366" i="2"/>
  <c r="L9367" i="2"/>
  <c r="L9368" i="2"/>
  <c r="L9369" i="2"/>
  <c r="L9370" i="2"/>
  <c r="L9371" i="2"/>
  <c r="L9372" i="2"/>
  <c r="L9373" i="2"/>
  <c r="L9374" i="2"/>
  <c r="L9375" i="2"/>
  <c r="L9376" i="2"/>
  <c r="L9377" i="2"/>
  <c r="L9378" i="2"/>
  <c r="L9379" i="2"/>
  <c r="L9380" i="2"/>
  <c r="L9381" i="2"/>
  <c r="L9382" i="2"/>
  <c r="L9383" i="2"/>
  <c r="L9384" i="2"/>
  <c r="L9385" i="2"/>
  <c r="L9386" i="2"/>
  <c r="L9387" i="2"/>
  <c r="L9388" i="2"/>
  <c r="L9389" i="2"/>
  <c r="L9390" i="2"/>
  <c r="L9391" i="2"/>
  <c r="L9392" i="2"/>
  <c r="L9393" i="2"/>
  <c r="L9394" i="2"/>
  <c r="L9395" i="2"/>
  <c r="L9396" i="2"/>
  <c r="L9397" i="2"/>
  <c r="L9398" i="2"/>
  <c r="L9399" i="2"/>
  <c r="L9400" i="2"/>
  <c r="L9401" i="2"/>
  <c r="L9402" i="2"/>
  <c r="L9403" i="2"/>
  <c r="L9404" i="2"/>
  <c r="L9405" i="2"/>
  <c r="L9406" i="2"/>
  <c r="L9407" i="2"/>
  <c r="L9408" i="2"/>
  <c r="L9409" i="2"/>
  <c r="L9410" i="2"/>
  <c r="L9411" i="2"/>
  <c r="L9412" i="2"/>
  <c r="L9413" i="2"/>
  <c r="L9414" i="2"/>
  <c r="L9415" i="2"/>
  <c r="L9416" i="2"/>
  <c r="L9417" i="2"/>
  <c r="L9418" i="2"/>
  <c r="L9419" i="2"/>
  <c r="L9420" i="2"/>
  <c r="L9421" i="2"/>
  <c r="L9422" i="2"/>
  <c r="L9423" i="2"/>
  <c r="L9424" i="2"/>
  <c r="L9425" i="2"/>
  <c r="L9426" i="2"/>
  <c r="L9427" i="2"/>
  <c r="L9428" i="2"/>
  <c r="L9429" i="2"/>
  <c r="L9430" i="2"/>
  <c r="L9431" i="2"/>
  <c r="L9432" i="2"/>
  <c r="L9433" i="2"/>
  <c r="L9434" i="2"/>
  <c r="L9435" i="2"/>
  <c r="L9436" i="2"/>
  <c r="L9437" i="2"/>
  <c r="L9438" i="2"/>
  <c r="L9439" i="2"/>
  <c r="L9440" i="2"/>
  <c r="L9441" i="2"/>
  <c r="L9442" i="2"/>
  <c r="L9443" i="2"/>
  <c r="L9444" i="2"/>
  <c r="L9445" i="2"/>
  <c r="L9446" i="2"/>
  <c r="L9447" i="2"/>
  <c r="L9448" i="2"/>
  <c r="L9449" i="2"/>
  <c r="L9450" i="2"/>
  <c r="L9451" i="2"/>
  <c r="L9452" i="2"/>
  <c r="L9453" i="2"/>
  <c r="L9454" i="2"/>
  <c r="L9455" i="2"/>
  <c r="L9456" i="2"/>
  <c r="L9457" i="2"/>
  <c r="L9458" i="2"/>
  <c r="L9459" i="2"/>
  <c r="L9460" i="2"/>
  <c r="L9461" i="2"/>
  <c r="L9462" i="2"/>
  <c r="L9463" i="2"/>
  <c r="L9464" i="2"/>
  <c r="L9465" i="2"/>
  <c r="L9466" i="2"/>
  <c r="L9467" i="2"/>
  <c r="L9468" i="2"/>
  <c r="L9469" i="2"/>
  <c r="L9470" i="2"/>
  <c r="L9471" i="2"/>
  <c r="L9472" i="2"/>
  <c r="L9473" i="2"/>
  <c r="L9474" i="2"/>
  <c r="L9475" i="2"/>
  <c r="L9476" i="2"/>
  <c r="L9477" i="2"/>
  <c r="L9478" i="2"/>
  <c r="L9479" i="2"/>
  <c r="L9480" i="2"/>
  <c r="L9481" i="2"/>
  <c r="L9482" i="2"/>
  <c r="L9483" i="2"/>
  <c r="L9484" i="2"/>
  <c r="L9485" i="2"/>
  <c r="L9486" i="2"/>
  <c r="L9487" i="2"/>
  <c r="L9488" i="2"/>
  <c r="L9489" i="2"/>
  <c r="L9490" i="2"/>
  <c r="L9491" i="2"/>
  <c r="L9492" i="2"/>
  <c r="L9493" i="2"/>
  <c r="L9494" i="2"/>
  <c r="L9495" i="2"/>
  <c r="L9496" i="2"/>
  <c r="L9497" i="2"/>
  <c r="L9498" i="2"/>
  <c r="L9499" i="2"/>
  <c r="L9500" i="2"/>
  <c r="L9501" i="2"/>
  <c r="L9502" i="2"/>
  <c r="L9503" i="2"/>
  <c r="L9504" i="2"/>
  <c r="L9505" i="2"/>
  <c r="L9506" i="2"/>
  <c r="L9507" i="2"/>
  <c r="L9508" i="2"/>
  <c r="L9509" i="2"/>
  <c r="L9510" i="2"/>
  <c r="L9511" i="2"/>
  <c r="L9512" i="2"/>
  <c r="L9513" i="2"/>
  <c r="L9514" i="2"/>
  <c r="L9515" i="2"/>
  <c r="L9516" i="2"/>
  <c r="L9517" i="2"/>
  <c r="L9518" i="2"/>
  <c r="L9519" i="2"/>
  <c r="L9520" i="2"/>
  <c r="L9521" i="2"/>
  <c r="L9522" i="2"/>
  <c r="L9523" i="2"/>
  <c r="L9524" i="2"/>
  <c r="L9525" i="2"/>
  <c r="L9526" i="2"/>
  <c r="L9527" i="2"/>
  <c r="L9528" i="2"/>
  <c r="L9529" i="2"/>
  <c r="L9530" i="2"/>
  <c r="L9531" i="2"/>
  <c r="L9532" i="2"/>
  <c r="L9533" i="2"/>
  <c r="L9534" i="2"/>
  <c r="L9535" i="2"/>
  <c r="L9536" i="2"/>
  <c r="L9537" i="2"/>
  <c r="L9538" i="2"/>
  <c r="L9539" i="2"/>
  <c r="L9540" i="2"/>
  <c r="L9541" i="2"/>
  <c r="L9542" i="2"/>
  <c r="L9543" i="2"/>
  <c r="L9544" i="2"/>
  <c r="L9545" i="2"/>
  <c r="L9546" i="2"/>
  <c r="L9547" i="2"/>
  <c r="L9548" i="2"/>
  <c r="L9549" i="2"/>
  <c r="L9550" i="2"/>
  <c r="L9551" i="2"/>
  <c r="L9552" i="2"/>
  <c r="L9553" i="2"/>
  <c r="L9554" i="2"/>
  <c r="L9555" i="2"/>
  <c r="L9556" i="2"/>
  <c r="L9557" i="2"/>
  <c r="L9558" i="2"/>
  <c r="L9559" i="2"/>
  <c r="L9560" i="2"/>
  <c r="L9561" i="2"/>
  <c r="L9562" i="2"/>
  <c r="L9563" i="2"/>
  <c r="L9564" i="2"/>
  <c r="L9565" i="2"/>
  <c r="L9566" i="2"/>
  <c r="L9567" i="2"/>
  <c r="L9568" i="2"/>
  <c r="L9569" i="2"/>
  <c r="L9570" i="2"/>
  <c r="L9571" i="2"/>
  <c r="L9572" i="2"/>
  <c r="L9573" i="2"/>
  <c r="L9574" i="2"/>
  <c r="L9575" i="2"/>
  <c r="L9576" i="2"/>
  <c r="L9577" i="2"/>
  <c r="L9578" i="2"/>
  <c r="L9579" i="2"/>
  <c r="L9580" i="2"/>
  <c r="L9581" i="2"/>
  <c r="L9582" i="2"/>
  <c r="L9583" i="2"/>
  <c r="L9584" i="2"/>
  <c r="L9585" i="2"/>
  <c r="L9586" i="2"/>
  <c r="L9587" i="2"/>
  <c r="L9588" i="2"/>
  <c r="L9589" i="2"/>
  <c r="L9590" i="2"/>
  <c r="L9591" i="2"/>
  <c r="L9592" i="2"/>
  <c r="L9593" i="2"/>
  <c r="L9594" i="2"/>
  <c r="L9595" i="2"/>
  <c r="L9596" i="2"/>
  <c r="L9597" i="2"/>
  <c r="L9598" i="2"/>
  <c r="L9599" i="2"/>
  <c r="L9600" i="2"/>
  <c r="L9601" i="2"/>
  <c r="L9602" i="2"/>
  <c r="L9603" i="2"/>
  <c r="L9604" i="2"/>
  <c r="L9605" i="2"/>
  <c r="L9606" i="2"/>
  <c r="L9607" i="2"/>
  <c r="L9608" i="2"/>
  <c r="L9609" i="2"/>
  <c r="L9610" i="2"/>
  <c r="L9611" i="2"/>
  <c r="L9612" i="2"/>
  <c r="L9613" i="2"/>
  <c r="L9614" i="2"/>
  <c r="L9615" i="2"/>
  <c r="L9616" i="2"/>
  <c r="L9617" i="2"/>
  <c r="L9618" i="2"/>
  <c r="L9619" i="2"/>
  <c r="L9620" i="2"/>
  <c r="L9621" i="2"/>
  <c r="L9622" i="2"/>
  <c r="L9623" i="2"/>
  <c r="L9624" i="2"/>
  <c r="L9625" i="2"/>
  <c r="L9626" i="2"/>
  <c r="L9627" i="2"/>
  <c r="L9628" i="2"/>
  <c r="L9629" i="2"/>
  <c r="L9630" i="2"/>
  <c r="L9631" i="2"/>
  <c r="L9632" i="2"/>
  <c r="L9633" i="2"/>
  <c r="L9634" i="2"/>
  <c r="L9635" i="2"/>
  <c r="L9636" i="2"/>
  <c r="L9637" i="2"/>
  <c r="L9638" i="2"/>
  <c r="L9639" i="2"/>
  <c r="L9640" i="2"/>
  <c r="L9641" i="2"/>
  <c r="L9642" i="2"/>
  <c r="L9643" i="2"/>
  <c r="L9644" i="2"/>
  <c r="L9645" i="2"/>
  <c r="L9646" i="2"/>
  <c r="L9647" i="2"/>
  <c r="L9648" i="2"/>
  <c r="L9649" i="2"/>
  <c r="L9650" i="2"/>
  <c r="L9651" i="2"/>
  <c r="L9652" i="2"/>
  <c r="L9653" i="2"/>
  <c r="L9654" i="2"/>
  <c r="L9655" i="2"/>
  <c r="L9656" i="2"/>
  <c r="L9657" i="2"/>
  <c r="L9658" i="2"/>
  <c r="L9659" i="2"/>
  <c r="L9660" i="2"/>
  <c r="L9661" i="2"/>
  <c r="L9662" i="2"/>
  <c r="L9663" i="2"/>
  <c r="L9664" i="2"/>
  <c r="L9665" i="2"/>
  <c r="L9666" i="2"/>
  <c r="L9667" i="2"/>
  <c r="L9668" i="2"/>
  <c r="L9669" i="2"/>
  <c r="L9670" i="2"/>
  <c r="L9671" i="2"/>
  <c r="L9672" i="2"/>
  <c r="L9673" i="2"/>
  <c r="L9674" i="2"/>
  <c r="L9675" i="2"/>
  <c r="L9676" i="2"/>
  <c r="L9677" i="2"/>
  <c r="L9678" i="2"/>
  <c r="L9679" i="2"/>
  <c r="L9680" i="2"/>
  <c r="L9681" i="2"/>
  <c r="L9682" i="2"/>
  <c r="L9683" i="2"/>
  <c r="L9684" i="2"/>
  <c r="L9685" i="2"/>
  <c r="L9686" i="2"/>
  <c r="L9687" i="2"/>
  <c r="L9688" i="2"/>
  <c r="L9689" i="2"/>
  <c r="L9690" i="2"/>
  <c r="L9691" i="2"/>
  <c r="L9692" i="2"/>
  <c r="L9693" i="2"/>
  <c r="L9694" i="2"/>
  <c r="L9695" i="2"/>
  <c r="L9696" i="2"/>
  <c r="L9697" i="2"/>
  <c r="L9698" i="2"/>
  <c r="L9699" i="2"/>
  <c r="L9700" i="2"/>
  <c r="L9701" i="2"/>
  <c r="L9702" i="2"/>
  <c r="L9703" i="2"/>
  <c r="L9704" i="2"/>
  <c r="L9705" i="2"/>
  <c r="L9706" i="2"/>
  <c r="L9707" i="2"/>
  <c r="L9708" i="2"/>
  <c r="L9709" i="2"/>
  <c r="L9710" i="2"/>
  <c r="L9711" i="2"/>
  <c r="L9712" i="2"/>
  <c r="L9713" i="2"/>
  <c r="L9714" i="2"/>
  <c r="L9715" i="2"/>
  <c r="L9716" i="2"/>
  <c r="L9717" i="2"/>
  <c r="L9718" i="2"/>
  <c r="L9719" i="2"/>
  <c r="L9720" i="2"/>
  <c r="L9721" i="2"/>
  <c r="L9722" i="2"/>
  <c r="L9723" i="2"/>
  <c r="L9724" i="2"/>
  <c r="L9725" i="2"/>
  <c r="L9726" i="2"/>
  <c r="L9727" i="2"/>
  <c r="L9728" i="2"/>
  <c r="L9729" i="2"/>
  <c r="L9730" i="2"/>
  <c r="L9731" i="2"/>
  <c r="L9732" i="2"/>
  <c r="L9733" i="2"/>
  <c r="L9734" i="2"/>
  <c r="L9735" i="2"/>
  <c r="L9736" i="2"/>
  <c r="L9737" i="2"/>
  <c r="L9738" i="2"/>
  <c r="L9739" i="2"/>
  <c r="L9740" i="2"/>
  <c r="L9741" i="2"/>
  <c r="L9742" i="2"/>
  <c r="L9743" i="2"/>
  <c r="L9744" i="2"/>
  <c r="L9745" i="2"/>
  <c r="L9746" i="2"/>
  <c r="L9747" i="2"/>
  <c r="L9748" i="2"/>
  <c r="L9749" i="2"/>
  <c r="L9750" i="2"/>
  <c r="L9751" i="2"/>
  <c r="L9752" i="2"/>
  <c r="L9753" i="2"/>
  <c r="L9754" i="2"/>
  <c r="L9755" i="2"/>
  <c r="L9756" i="2"/>
  <c r="L9757" i="2"/>
  <c r="L9758" i="2"/>
  <c r="L9759" i="2"/>
  <c r="L9760" i="2"/>
  <c r="L9761" i="2"/>
  <c r="L9762" i="2"/>
  <c r="L9763" i="2"/>
  <c r="L9764" i="2"/>
  <c r="L9765" i="2"/>
  <c r="L9766" i="2"/>
  <c r="L9767" i="2"/>
  <c r="L9768" i="2"/>
  <c r="L9769" i="2"/>
  <c r="L9770" i="2"/>
  <c r="L9771" i="2"/>
  <c r="L9772" i="2"/>
  <c r="L9773" i="2"/>
  <c r="L9774" i="2"/>
  <c r="L9775" i="2"/>
  <c r="L9776" i="2"/>
  <c r="L9777" i="2"/>
  <c r="L9778" i="2"/>
  <c r="L9779" i="2"/>
  <c r="L9780" i="2"/>
  <c r="L9781" i="2"/>
  <c r="L9782" i="2"/>
  <c r="L9783" i="2"/>
  <c r="L9784" i="2"/>
  <c r="L9785" i="2"/>
  <c r="L9786" i="2"/>
  <c r="L9787" i="2"/>
  <c r="L9788" i="2"/>
  <c r="L9789" i="2"/>
  <c r="L9790" i="2"/>
  <c r="L9791" i="2"/>
  <c r="L9792" i="2"/>
  <c r="L9793" i="2"/>
  <c r="L9794" i="2"/>
  <c r="L9795" i="2"/>
  <c r="L9796" i="2"/>
  <c r="L9797" i="2"/>
  <c r="L9798" i="2"/>
  <c r="L9799" i="2"/>
  <c r="L9800" i="2"/>
  <c r="L9801" i="2"/>
  <c r="L9802" i="2"/>
  <c r="L9803" i="2"/>
  <c r="L9804" i="2"/>
  <c r="L9805" i="2"/>
  <c r="L9806" i="2"/>
  <c r="L9807" i="2"/>
  <c r="L9808" i="2"/>
  <c r="L9809" i="2"/>
  <c r="L9810" i="2"/>
  <c r="L9811" i="2"/>
  <c r="L9812" i="2"/>
  <c r="L9813" i="2"/>
  <c r="L9814" i="2"/>
  <c r="L9815" i="2"/>
  <c r="L9816" i="2"/>
  <c r="L9817" i="2"/>
  <c r="L9818" i="2"/>
  <c r="L9819" i="2"/>
  <c r="L9820" i="2"/>
  <c r="L9821" i="2"/>
  <c r="L9822" i="2"/>
  <c r="L9823" i="2"/>
  <c r="L9824" i="2"/>
  <c r="L9825" i="2"/>
  <c r="L9826" i="2"/>
  <c r="L9827" i="2"/>
  <c r="L9828" i="2"/>
  <c r="L9829" i="2"/>
  <c r="L9830" i="2"/>
  <c r="L9831" i="2"/>
  <c r="L9832" i="2"/>
  <c r="L9833" i="2"/>
  <c r="L9834" i="2"/>
  <c r="L9835" i="2"/>
  <c r="L9836" i="2"/>
  <c r="L9837" i="2"/>
  <c r="L9838" i="2"/>
  <c r="L9839" i="2"/>
  <c r="L9840" i="2"/>
  <c r="L9841" i="2"/>
  <c r="L9842" i="2"/>
  <c r="L9843" i="2"/>
  <c r="L9844" i="2"/>
  <c r="L9845" i="2"/>
  <c r="L9846" i="2"/>
  <c r="L9847" i="2"/>
  <c r="L9848" i="2"/>
  <c r="L9849" i="2"/>
  <c r="L9850" i="2"/>
  <c r="L9851" i="2"/>
  <c r="L9852" i="2"/>
  <c r="L9853" i="2"/>
  <c r="L9854" i="2"/>
  <c r="L9855" i="2"/>
  <c r="L9856" i="2"/>
  <c r="L9857" i="2"/>
  <c r="L9858" i="2"/>
  <c r="L9859" i="2"/>
  <c r="L9860" i="2"/>
  <c r="L9861" i="2"/>
  <c r="L9862" i="2"/>
  <c r="L9863" i="2"/>
  <c r="L9864" i="2"/>
  <c r="L9865" i="2"/>
  <c r="L9866" i="2"/>
  <c r="L9867" i="2"/>
  <c r="L9868" i="2"/>
  <c r="L9869" i="2"/>
  <c r="L9870" i="2"/>
  <c r="L9871" i="2"/>
  <c r="L9872" i="2"/>
  <c r="L9873" i="2"/>
  <c r="L9874" i="2"/>
  <c r="L9875" i="2"/>
  <c r="L9876" i="2"/>
  <c r="L9877" i="2"/>
  <c r="L9878" i="2"/>
  <c r="L9879" i="2"/>
  <c r="L9880" i="2"/>
  <c r="L9881" i="2"/>
  <c r="L9882" i="2"/>
  <c r="L9883" i="2"/>
  <c r="L9884" i="2"/>
  <c r="L9885" i="2"/>
  <c r="L9886" i="2"/>
  <c r="L9887" i="2"/>
  <c r="L9888" i="2"/>
  <c r="L9889" i="2"/>
  <c r="L9890" i="2"/>
  <c r="L9891" i="2"/>
  <c r="L9892" i="2"/>
  <c r="L9893" i="2"/>
  <c r="L9894" i="2"/>
  <c r="L9895" i="2"/>
  <c r="L9896" i="2"/>
  <c r="L9897" i="2"/>
  <c r="L9898" i="2"/>
  <c r="L9899" i="2"/>
  <c r="L9900" i="2"/>
  <c r="L9901" i="2"/>
  <c r="L9902" i="2"/>
  <c r="L9903" i="2"/>
  <c r="L9904" i="2"/>
  <c r="L9905" i="2"/>
  <c r="L9906" i="2"/>
  <c r="L9907" i="2"/>
  <c r="L9908" i="2"/>
  <c r="L9909" i="2"/>
  <c r="L9910" i="2"/>
  <c r="L9911" i="2"/>
  <c r="L9912" i="2"/>
  <c r="L9913" i="2"/>
  <c r="L9914" i="2"/>
  <c r="L9915" i="2"/>
  <c r="L9916" i="2"/>
  <c r="L9917" i="2"/>
  <c r="L9918" i="2"/>
  <c r="L9919" i="2"/>
  <c r="L9920" i="2"/>
  <c r="L9921" i="2"/>
  <c r="L9922" i="2"/>
  <c r="L9923" i="2"/>
  <c r="L9924" i="2"/>
  <c r="L9925" i="2"/>
  <c r="L9926" i="2"/>
  <c r="L9927" i="2"/>
  <c r="L9928" i="2"/>
  <c r="L9929" i="2"/>
  <c r="L9930" i="2"/>
  <c r="L9931" i="2"/>
  <c r="L9932" i="2"/>
  <c r="L9933" i="2"/>
  <c r="L9934" i="2"/>
  <c r="L9935" i="2"/>
  <c r="L9936" i="2"/>
  <c r="L9937" i="2"/>
  <c r="L9938" i="2"/>
  <c r="L9939" i="2"/>
  <c r="L9940" i="2"/>
  <c r="L9941" i="2"/>
  <c r="L9942" i="2"/>
  <c r="L9943" i="2"/>
  <c r="L9944" i="2"/>
  <c r="L9945" i="2"/>
  <c r="L9946" i="2"/>
  <c r="L9947" i="2"/>
  <c r="L9948" i="2"/>
  <c r="L9949" i="2"/>
  <c r="L9950" i="2"/>
  <c r="L9951" i="2"/>
  <c r="L9952" i="2"/>
  <c r="L9953" i="2"/>
  <c r="L9954" i="2"/>
  <c r="L9955" i="2"/>
  <c r="L9956" i="2"/>
  <c r="L9957" i="2"/>
  <c r="L9958" i="2"/>
  <c r="L9959" i="2"/>
  <c r="L9960" i="2"/>
  <c r="L9961" i="2"/>
  <c r="L9962" i="2"/>
  <c r="L9963" i="2"/>
  <c r="L9964" i="2"/>
  <c r="L9965" i="2"/>
  <c r="L9966" i="2"/>
  <c r="L9967" i="2"/>
  <c r="L9968" i="2"/>
  <c r="L9969" i="2"/>
  <c r="L9970" i="2"/>
  <c r="L9971" i="2"/>
  <c r="L9972" i="2"/>
  <c r="L9973" i="2"/>
  <c r="L9974" i="2"/>
  <c r="L9975" i="2"/>
  <c r="L9976" i="2"/>
  <c r="L9977" i="2"/>
  <c r="L9978" i="2"/>
  <c r="L9979" i="2"/>
  <c r="L9980" i="2"/>
  <c r="L9981" i="2"/>
  <c r="L9982" i="2"/>
  <c r="L9983" i="2"/>
  <c r="L9984" i="2"/>
  <c r="L9985" i="2"/>
  <c r="L9986" i="2"/>
  <c r="L9987" i="2"/>
  <c r="L9988" i="2"/>
  <c r="L9989" i="2"/>
  <c r="L9990" i="2"/>
  <c r="L9991" i="2"/>
  <c r="L9992" i="2"/>
  <c r="L9993" i="2"/>
  <c r="L9994" i="2"/>
  <c r="L9995" i="2"/>
  <c r="L9996" i="2"/>
  <c r="L9997" i="2"/>
  <c r="L9998" i="2"/>
  <c r="L9999" i="2"/>
  <c r="L10000" i="2"/>
  <c r="L10001" i="2"/>
  <c r="L10002" i="2"/>
  <c r="L10003" i="2"/>
  <c r="L10004" i="2"/>
  <c r="L10005" i="2"/>
  <c r="L10006" i="2"/>
  <c r="L10007" i="2"/>
  <c r="L10008" i="2"/>
  <c r="L10009" i="2"/>
  <c r="L10010" i="2"/>
  <c r="L10011" i="2"/>
  <c r="L10012" i="2"/>
  <c r="L10013" i="2"/>
  <c r="L10014" i="2"/>
  <c r="L10015" i="2"/>
  <c r="L10016" i="2"/>
  <c r="L10017" i="2"/>
  <c r="L10018" i="2"/>
  <c r="L10019" i="2"/>
  <c r="L10020" i="2"/>
  <c r="L10021" i="2"/>
  <c r="L10022" i="2"/>
  <c r="L10023" i="2"/>
  <c r="L10024" i="2"/>
  <c r="L10025" i="2"/>
  <c r="L10026" i="2"/>
  <c r="L10027" i="2"/>
  <c r="L10028" i="2"/>
  <c r="L10029" i="2"/>
  <c r="L10030" i="2"/>
  <c r="L10031" i="2"/>
  <c r="L10032" i="2"/>
  <c r="L10033" i="2"/>
  <c r="L10034" i="2"/>
  <c r="L10035" i="2"/>
  <c r="L10036" i="2"/>
  <c r="L10037" i="2"/>
  <c r="L10038" i="2"/>
  <c r="L10039" i="2"/>
  <c r="L10040" i="2"/>
  <c r="L10041" i="2"/>
  <c r="L10042" i="2"/>
  <c r="L10043" i="2"/>
  <c r="L10044" i="2"/>
  <c r="L10045" i="2"/>
  <c r="L10046" i="2"/>
  <c r="L10047" i="2"/>
  <c r="L10048" i="2"/>
  <c r="L10049" i="2"/>
  <c r="L10050" i="2"/>
  <c r="L10051" i="2"/>
  <c r="L10052" i="2"/>
  <c r="L10053" i="2"/>
  <c r="L10054" i="2"/>
  <c r="L10055" i="2"/>
  <c r="L10056" i="2"/>
  <c r="L10057" i="2"/>
  <c r="L10058" i="2"/>
  <c r="L10059" i="2"/>
  <c r="L10060" i="2"/>
  <c r="L10061" i="2"/>
  <c r="L10062" i="2"/>
  <c r="L10063" i="2"/>
  <c r="L10064" i="2"/>
  <c r="L10065" i="2"/>
  <c r="L10066" i="2"/>
  <c r="L10067" i="2"/>
  <c r="L10068" i="2"/>
  <c r="L10069" i="2"/>
  <c r="L10070" i="2"/>
  <c r="L10071" i="2"/>
  <c r="L10072" i="2"/>
  <c r="L10073" i="2"/>
  <c r="L10074" i="2"/>
  <c r="L10075" i="2"/>
  <c r="L10076" i="2"/>
  <c r="L10077" i="2"/>
  <c r="L10078" i="2"/>
  <c r="L10079" i="2"/>
  <c r="L10080" i="2"/>
  <c r="L10081" i="2"/>
  <c r="L10082" i="2"/>
  <c r="L10083" i="2"/>
  <c r="L10084" i="2"/>
  <c r="L10085" i="2"/>
  <c r="L10086" i="2"/>
  <c r="L10087" i="2"/>
  <c r="L10088" i="2"/>
  <c r="L10089" i="2"/>
  <c r="L10090" i="2"/>
  <c r="L10091" i="2"/>
  <c r="L10092" i="2"/>
  <c r="L10093" i="2"/>
  <c r="L10094" i="2"/>
  <c r="L10095" i="2"/>
  <c r="L10096" i="2"/>
  <c r="L10097" i="2"/>
  <c r="L10098" i="2"/>
  <c r="L10099" i="2"/>
  <c r="L10100" i="2"/>
  <c r="L10101" i="2"/>
  <c r="L10102" i="2"/>
  <c r="L10103" i="2"/>
  <c r="L10104" i="2"/>
  <c r="L10105" i="2"/>
  <c r="L10106" i="2"/>
  <c r="L10107" i="2"/>
  <c r="L10108" i="2"/>
  <c r="L10109" i="2"/>
  <c r="L10110" i="2"/>
  <c r="L10111" i="2"/>
  <c r="L10112" i="2"/>
  <c r="L10113" i="2"/>
  <c r="L10114" i="2"/>
  <c r="L10115" i="2"/>
  <c r="L10116" i="2"/>
  <c r="L10117" i="2"/>
  <c r="L10118" i="2"/>
  <c r="L10119" i="2"/>
  <c r="L10120" i="2"/>
  <c r="L10121" i="2"/>
  <c r="L10122" i="2"/>
  <c r="L10123" i="2"/>
  <c r="L10124" i="2"/>
  <c r="L10125" i="2"/>
  <c r="L10126" i="2"/>
  <c r="L10127" i="2"/>
  <c r="L10128" i="2"/>
  <c r="L10129" i="2"/>
  <c r="L10130" i="2"/>
  <c r="L10131" i="2"/>
  <c r="L10132" i="2"/>
  <c r="L10133" i="2"/>
  <c r="L10134" i="2"/>
  <c r="L10135" i="2"/>
  <c r="L10136" i="2"/>
  <c r="L10137" i="2"/>
  <c r="L10138" i="2"/>
  <c r="L10139" i="2"/>
  <c r="L10140" i="2"/>
  <c r="L10141" i="2"/>
  <c r="L10142" i="2"/>
  <c r="L10143" i="2"/>
  <c r="L10144" i="2"/>
  <c r="L10145" i="2"/>
  <c r="L10146" i="2"/>
  <c r="L10147" i="2"/>
  <c r="L10148" i="2"/>
  <c r="L10149" i="2"/>
  <c r="L10150" i="2"/>
  <c r="L10151" i="2"/>
  <c r="L10152" i="2"/>
  <c r="L10153" i="2"/>
  <c r="L10154" i="2"/>
  <c r="L10155" i="2"/>
  <c r="L10156" i="2"/>
  <c r="L10157" i="2"/>
  <c r="L10158" i="2"/>
  <c r="L10159" i="2"/>
  <c r="L10160" i="2"/>
  <c r="L10161" i="2"/>
  <c r="L10162" i="2"/>
  <c r="L10163" i="2"/>
  <c r="L10164" i="2"/>
  <c r="L10165" i="2"/>
  <c r="L10166" i="2"/>
  <c r="L10167" i="2"/>
  <c r="L10168" i="2"/>
  <c r="L10169" i="2"/>
  <c r="L10170" i="2"/>
  <c r="L10171" i="2"/>
  <c r="L10172" i="2"/>
  <c r="L10173" i="2"/>
  <c r="L10174" i="2"/>
  <c r="L10175" i="2"/>
  <c r="L10176" i="2"/>
  <c r="L10177" i="2"/>
  <c r="L10178" i="2"/>
  <c r="L10179" i="2"/>
  <c r="L10180" i="2"/>
  <c r="L10181" i="2"/>
  <c r="L10182" i="2"/>
  <c r="L10183" i="2"/>
  <c r="L10184" i="2"/>
  <c r="L10185" i="2"/>
  <c r="L10186" i="2"/>
  <c r="L10187" i="2"/>
  <c r="L10188" i="2"/>
  <c r="L10189" i="2"/>
  <c r="L10190" i="2"/>
  <c r="L10191" i="2"/>
  <c r="L10192" i="2"/>
  <c r="L10193" i="2"/>
  <c r="L10194" i="2"/>
  <c r="L10195" i="2"/>
  <c r="L10196" i="2"/>
  <c r="L10197" i="2"/>
  <c r="L10198" i="2"/>
  <c r="L10199" i="2"/>
  <c r="L10200" i="2"/>
  <c r="L10201" i="2"/>
  <c r="L10202" i="2"/>
  <c r="L10203" i="2"/>
  <c r="L10204" i="2"/>
  <c r="L10205" i="2"/>
  <c r="L10206" i="2"/>
  <c r="L10207" i="2"/>
  <c r="L10208" i="2"/>
  <c r="L10209" i="2"/>
  <c r="L10210" i="2"/>
  <c r="L10211" i="2"/>
  <c r="L10212" i="2"/>
  <c r="L10213" i="2"/>
  <c r="L10214" i="2"/>
  <c r="L10215" i="2"/>
  <c r="L10216" i="2"/>
  <c r="L10217" i="2"/>
  <c r="L10218" i="2"/>
  <c r="L10219" i="2"/>
  <c r="L10220" i="2"/>
  <c r="L10221" i="2"/>
  <c r="L10222" i="2"/>
  <c r="L10223" i="2"/>
  <c r="L10224" i="2"/>
  <c r="L10225" i="2"/>
  <c r="L10226" i="2"/>
  <c r="L10227" i="2"/>
  <c r="L10228" i="2"/>
  <c r="L10229" i="2"/>
  <c r="L10230" i="2"/>
  <c r="L10231" i="2"/>
  <c r="L10232" i="2"/>
  <c r="L10233" i="2"/>
  <c r="L10234" i="2"/>
  <c r="L10235" i="2"/>
  <c r="L10236" i="2"/>
  <c r="L10237" i="2"/>
  <c r="L10238" i="2"/>
  <c r="L10239" i="2"/>
  <c r="L10240" i="2"/>
  <c r="L10241" i="2"/>
  <c r="L10242" i="2"/>
  <c r="L10243" i="2"/>
  <c r="L10244" i="2"/>
  <c r="L10245" i="2"/>
  <c r="L10246" i="2"/>
  <c r="L10247" i="2"/>
  <c r="L10248" i="2"/>
  <c r="L10249" i="2"/>
  <c r="L10250" i="2"/>
  <c r="L10251" i="2"/>
  <c r="L10252" i="2"/>
  <c r="L10253" i="2"/>
  <c r="L10254" i="2"/>
  <c r="L10255" i="2"/>
  <c r="L10256" i="2"/>
  <c r="L10257" i="2"/>
  <c r="L10258" i="2"/>
  <c r="L10259" i="2"/>
  <c r="L10260" i="2"/>
  <c r="L10261" i="2"/>
  <c r="L10262" i="2"/>
  <c r="L10263" i="2"/>
  <c r="L10264" i="2"/>
  <c r="L10265" i="2"/>
  <c r="L10266" i="2"/>
  <c r="L10267" i="2"/>
  <c r="L10268" i="2"/>
  <c r="L10269" i="2"/>
  <c r="L10270" i="2"/>
  <c r="L10271" i="2"/>
  <c r="L10272" i="2"/>
  <c r="L10273" i="2"/>
  <c r="L10274" i="2"/>
  <c r="L10275" i="2"/>
  <c r="L10276" i="2"/>
  <c r="L10277" i="2"/>
  <c r="L10278" i="2"/>
  <c r="L10279" i="2"/>
  <c r="L10280" i="2"/>
  <c r="L10281" i="2"/>
  <c r="L10282" i="2"/>
  <c r="L10283" i="2"/>
  <c r="L10284" i="2"/>
  <c r="L10285" i="2"/>
  <c r="L10286" i="2"/>
  <c r="L10287" i="2"/>
  <c r="L10288" i="2"/>
  <c r="L10289" i="2"/>
  <c r="L10290" i="2"/>
  <c r="L10291" i="2"/>
  <c r="L10292" i="2"/>
  <c r="L10293" i="2"/>
  <c r="L10294" i="2"/>
  <c r="L10295" i="2"/>
  <c r="L10296" i="2"/>
  <c r="L10297" i="2"/>
  <c r="L10298" i="2"/>
  <c r="L10299" i="2"/>
  <c r="L10300" i="2"/>
  <c r="L10301" i="2"/>
  <c r="L10302" i="2"/>
  <c r="L10303" i="2"/>
  <c r="L10304" i="2"/>
  <c r="L10305" i="2"/>
  <c r="L10306" i="2"/>
  <c r="L10307" i="2"/>
  <c r="L10308" i="2"/>
  <c r="L10309" i="2"/>
  <c r="L10310" i="2"/>
  <c r="L10311" i="2"/>
  <c r="L10312" i="2"/>
  <c r="L10313" i="2"/>
  <c r="L10314" i="2"/>
  <c r="L10315" i="2"/>
  <c r="L10316" i="2"/>
  <c r="L10317" i="2"/>
  <c r="L10318" i="2"/>
  <c r="L10319" i="2"/>
  <c r="L10320" i="2"/>
  <c r="L10321" i="2"/>
  <c r="L10322" i="2"/>
  <c r="L10323" i="2"/>
  <c r="L10324" i="2"/>
  <c r="L10325" i="2"/>
  <c r="L10326" i="2"/>
  <c r="L10327" i="2"/>
  <c r="L10328" i="2"/>
  <c r="L10329" i="2"/>
  <c r="L10330" i="2"/>
  <c r="L10331" i="2"/>
  <c r="L10332" i="2"/>
  <c r="L10333" i="2"/>
  <c r="L10334" i="2"/>
  <c r="L10335" i="2"/>
  <c r="L10336" i="2"/>
  <c r="L10337" i="2"/>
  <c r="L10338" i="2"/>
  <c r="L10339" i="2"/>
  <c r="L10340" i="2"/>
  <c r="L10341" i="2"/>
  <c r="L10342" i="2"/>
  <c r="L10343" i="2"/>
  <c r="L10344" i="2"/>
  <c r="L10345" i="2"/>
  <c r="L10346" i="2"/>
  <c r="L10347" i="2"/>
  <c r="L10348" i="2"/>
  <c r="L10349" i="2"/>
  <c r="L10350" i="2"/>
  <c r="L10351" i="2"/>
  <c r="L10352" i="2"/>
  <c r="L10353" i="2"/>
  <c r="L10354" i="2"/>
  <c r="L10355" i="2"/>
  <c r="L10356" i="2"/>
  <c r="L10357" i="2"/>
  <c r="L10358" i="2"/>
  <c r="L10359" i="2"/>
  <c r="L10360" i="2"/>
  <c r="L10361" i="2"/>
  <c r="L10362" i="2"/>
  <c r="L10363" i="2"/>
  <c r="L10364" i="2"/>
  <c r="L10365" i="2"/>
  <c r="L10366" i="2"/>
  <c r="L10367" i="2"/>
  <c r="L10368" i="2"/>
  <c r="L10369" i="2"/>
  <c r="L10370" i="2"/>
  <c r="L10371" i="2"/>
  <c r="L10372" i="2"/>
  <c r="L10373" i="2"/>
  <c r="L10374" i="2"/>
  <c r="L10375" i="2"/>
  <c r="L10376" i="2"/>
  <c r="L10377" i="2"/>
  <c r="L10378" i="2"/>
  <c r="L10379" i="2"/>
  <c r="L10380" i="2"/>
  <c r="L10381" i="2"/>
  <c r="L10382" i="2"/>
  <c r="L10383" i="2"/>
  <c r="L10384" i="2"/>
  <c r="L10385" i="2"/>
  <c r="L10386" i="2"/>
  <c r="L10387" i="2"/>
  <c r="L10388" i="2"/>
  <c r="L10389" i="2"/>
  <c r="L10390" i="2"/>
  <c r="L10391" i="2"/>
  <c r="L10392" i="2"/>
  <c r="L10393" i="2"/>
  <c r="L10394" i="2"/>
  <c r="L10395" i="2"/>
  <c r="L10396" i="2"/>
  <c r="L10397" i="2"/>
  <c r="L10398" i="2"/>
  <c r="L10399" i="2"/>
  <c r="L10400" i="2"/>
  <c r="L10401" i="2"/>
  <c r="L10402" i="2"/>
  <c r="L10403" i="2"/>
  <c r="L10404" i="2"/>
  <c r="L10405" i="2"/>
  <c r="L10406" i="2"/>
  <c r="L10407" i="2"/>
  <c r="L10408" i="2"/>
  <c r="L10409" i="2"/>
  <c r="L10410" i="2"/>
  <c r="L10411" i="2"/>
  <c r="L10412" i="2"/>
  <c r="L10413" i="2"/>
  <c r="L10414" i="2"/>
  <c r="L10415" i="2"/>
  <c r="L10416" i="2"/>
  <c r="L10417" i="2"/>
  <c r="L10418" i="2"/>
  <c r="L10419" i="2"/>
  <c r="L10420" i="2"/>
  <c r="L10421" i="2"/>
  <c r="L10422" i="2"/>
  <c r="L10423" i="2"/>
  <c r="L10424" i="2"/>
  <c r="L10425" i="2"/>
  <c r="L10426" i="2"/>
  <c r="L10427" i="2"/>
  <c r="L10428" i="2"/>
  <c r="L10429" i="2"/>
  <c r="L10430" i="2"/>
  <c r="L10431" i="2"/>
  <c r="L10432" i="2"/>
  <c r="L10433" i="2"/>
  <c r="L10434" i="2"/>
  <c r="L10435" i="2"/>
  <c r="L10436" i="2"/>
  <c r="L10437" i="2"/>
  <c r="L10438" i="2"/>
  <c r="L10439" i="2"/>
  <c r="L10440" i="2"/>
  <c r="L10441" i="2"/>
  <c r="L10442" i="2"/>
  <c r="L10443" i="2"/>
  <c r="L10444" i="2"/>
  <c r="L10445" i="2"/>
  <c r="L10446" i="2"/>
  <c r="L10447" i="2"/>
  <c r="L10448" i="2"/>
  <c r="L10449" i="2"/>
  <c r="L10450" i="2"/>
  <c r="L10451" i="2"/>
  <c r="L10452" i="2"/>
  <c r="L10453" i="2"/>
  <c r="L10454" i="2"/>
  <c r="L10455" i="2"/>
  <c r="L10456" i="2"/>
  <c r="L10457" i="2"/>
  <c r="L10458" i="2"/>
  <c r="L10459" i="2"/>
  <c r="L10460" i="2"/>
  <c r="L10461" i="2"/>
  <c r="L10462" i="2"/>
  <c r="L10463" i="2"/>
  <c r="L10464" i="2"/>
  <c r="L10465" i="2"/>
  <c r="L10466" i="2"/>
  <c r="L10467" i="2"/>
  <c r="L10468" i="2"/>
  <c r="L10469" i="2"/>
  <c r="L10470" i="2"/>
  <c r="L10471" i="2"/>
  <c r="L10472" i="2"/>
  <c r="L10473" i="2"/>
  <c r="L10474" i="2"/>
  <c r="L10475" i="2"/>
  <c r="L10476" i="2"/>
  <c r="L10477" i="2"/>
  <c r="L10478" i="2"/>
  <c r="L10479" i="2"/>
  <c r="L10480" i="2"/>
  <c r="L10481" i="2"/>
  <c r="L10482" i="2"/>
  <c r="L10483" i="2"/>
  <c r="L10484" i="2"/>
  <c r="L10485" i="2"/>
  <c r="L10486" i="2"/>
  <c r="L10487" i="2"/>
  <c r="L10488" i="2"/>
  <c r="L10489" i="2"/>
  <c r="L10490" i="2"/>
  <c r="L10491" i="2"/>
  <c r="L10492" i="2"/>
  <c r="L10493" i="2"/>
  <c r="L10494" i="2"/>
  <c r="L10495" i="2"/>
  <c r="L10496" i="2"/>
  <c r="L10497" i="2"/>
  <c r="L10498" i="2"/>
  <c r="L10499" i="2"/>
  <c r="L10500" i="2"/>
  <c r="L10501" i="2"/>
  <c r="L10502" i="2"/>
  <c r="L10503" i="2"/>
  <c r="L10504" i="2"/>
  <c r="L10505" i="2"/>
  <c r="L10506" i="2"/>
  <c r="L10507" i="2"/>
  <c r="L10508" i="2"/>
  <c r="L10509" i="2"/>
  <c r="L10510" i="2"/>
  <c r="L10511" i="2"/>
  <c r="L10512" i="2"/>
  <c r="L10513" i="2"/>
  <c r="L10514" i="2"/>
  <c r="L10515" i="2"/>
  <c r="L10516" i="2"/>
  <c r="L10517" i="2"/>
  <c r="L10518" i="2"/>
  <c r="L10519" i="2"/>
  <c r="L10520" i="2"/>
  <c r="L10521" i="2"/>
  <c r="L10522" i="2"/>
  <c r="L10523" i="2"/>
  <c r="L10524" i="2"/>
  <c r="L10525" i="2"/>
  <c r="L10526" i="2"/>
  <c r="L10527" i="2"/>
  <c r="L10528" i="2"/>
  <c r="L10529" i="2"/>
  <c r="L10530" i="2"/>
  <c r="L10531" i="2"/>
  <c r="L10532" i="2"/>
  <c r="L10533" i="2"/>
  <c r="L10534" i="2"/>
  <c r="L10535" i="2"/>
  <c r="L10536" i="2"/>
  <c r="L10537" i="2"/>
  <c r="L10538" i="2"/>
  <c r="L10539" i="2"/>
  <c r="L10540" i="2"/>
  <c r="L10541" i="2"/>
  <c r="L10542" i="2"/>
  <c r="L10543" i="2"/>
  <c r="L10544" i="2"/>
  <c r="L10545" i="2"/>
  <c r="L10546" i="2"/>
  <c r="L10547" i="2"/>
  <c r="L10548" i="2"/>
  <c r="L10549" i="2"/>
  <c r="L10550" i="2"/>
  <c r="L10551" i="2"/>
  <c r="L10552" i="2"/>
  <c r="L10553" i="2"/>
  <c r="L10554" i="2"/>
  <c r="L10555" i="2"/>
  <c r="L10556" i="2"/>
  <c r="L10557" i="2"/>
  <c r="L10558" i="2"/>
  <c r="L10559" i="2"/>
  <c r="L10560" i="2"/>
  <c r="L10561" i="2"/>
  <c r="L10562" i="2"/>
  <c r="L10563" i="2"/>
  <c r="L10564" i="2"/>
  <c r="L10565" i="2"/>
  <c r="L10566" i="2"/>
  <c r="L10567" i="2"/>
  <c r="L10568" i="2"/>
  <c r="L10569" i="2"/>
  <c r="L10570" i="2"/>
  <c r="L10571" i="2"/>
  <c r="L10572" i="2"/>
  <c r="L10573" i="2"/>
  <c r="L10574" i="2"/>
  <c r="L10575" i="2"/>
  <c r="L10576" i="2"/>
  <c r="L10577" i="2"/>
  <c r="L10578" i="2"/>
  <c r="L10579" i="2"/>
  <c r="L10580" i="2"/>
  <c r="L10581" i="2"/>
  <c r="L10582" i="2"/>
  <c r="L10583" i="2"/>
  <c r="L10584" i="2"/>
  <c r="L10585" i="2"/>
  <c r="L10586" i="2"/>
  <c r="L10587" i="2"/>
  <c r="L10588" i="2"/>
  <c r="L10589" i="2"/>
  <c r="L10590" i="2"/>
  <c r="L10591" i="2"/>
  <c r="L10592" i="2"/>
  <c r="L10593" i="2"/>
  <c r="L10594" i="2"/>
  <c r="L10595" i="2"/>
  <c r="L10596" i="2"/>
  <c r="L10597" i="2"/>
  <c r="L10598" i="2"/>
  <c r="L10599" i="2"/>
  <c r="L10600" i="2"/>
  <c r="L10601" i="2"/>
  <c r="L10602" i="2"/>
  <c r="L10603" i="2"/>
  <c r="L10604" i="2"/>
  <c r="L10605" i="2"/>
  <c r="L10606" i="2"/>
  <c r="L10607" i="2"/>
  <c r="L10608" i="2"/>
  <c r="L10609" i="2"/>
  <c r="L10610" i="2"/>
  <c r="L10611" i="2"/>
  <c r="L10612" i="2"/>
  <c r="L10613" i="2"/>
  <c r="L10614" i="2"/>
  <c r="L10615" i="2"/>
  <c r="L10616" i="2"/>
  <c r="L10617" i="2"/>
  <c r="L10618" i="2"/>
  <c r="L10619" i="2"/>
  <c r="L10620" i="2"/>
  <c r="L10621" i="2"/>
  <c r="L10622" i="2"/>
  <c r="L10623" i="2"/>
  <c r="L10624" i="2"/>
  <c r="L10625" i="2"/>
  <c r="L10626" i="2"/>
  <c r="L10627" i="2"/>
  <c r="L10628" i="2"/>
  <c r="L10629" i="2"/>
  <c r="L10630" i="2"/>
  <c r="L10631" i="2"/>
  <c r="L10632" i="2"/>
  <c r="L10633" i="2"/>
  <c r="L10634" i="2"/>
  <c r="L10635" i="2"/>
  <c r="L10636" i="2"/>
  <c r="L10637" i="2"/>
  <c r="L10638" i="2"/>
  <c r="L10639" i="2"/>
  <c r="L10640" i="2"/>
  <c r="L10641" i="2"/>
  <c r="L10642" i="2"/>
  <c r="L10643" i="2"/>
  <c r="L10644" i="2"/>
  <c r="L10645" i="2"/>
  <c r="L10646" i="2"/>
  <c r="L10647" i="2"/>
  <c r="L10648" i="2"/>
  <c r="L10649" i="2"/>
  <c r="L10650" i="2"/>
  <c r="L10651" i="2"/>
  <c r="L10652" i="2"/>
  <c r="L10653" i="2"/>
  <c r="L10654" i="2"/>
  <c r="L10655" i="2"/>
  <c r="L10656" i="2"/>
  <c r="L10657" i="2"/>
  <c r="L10658" i="2"/>
  <c r="L10659" i="2"/>
  <c r="L10660" i="2"/>
  <c r="L10661" i="2"/>
  <c r="L10662" i="2"/>
  <c r="L10663" i="2"/>
  <c r="L10664" i="2"/>
  <c r="L10665" i="2"/>
  <c r="L10666" i="2"/>
  <c r="L10667" i="2"/>
  <c r="L10668" i="2"/>
  <c r="L10669" i="2"/>
  <c r="L10670" i="2"/>
  <c r="L10671" i="2"/>
  <c r="L10672" i="2"/>
  <c r="L10673" i="2"/>
  <c r="L10674" i="2"/>
  <c r="L10675" i="2"/>
  <c r="L10676" i="2"/>
  <c r="L10677" i="2"/>
  <c r="L10678" i="2"/>
  <c r="L10679" i="2"/>
  <c r="L10680" i="2"/>
  <c r="L10681" i="2"/>
  <c r="L10682" i="2"/>
  <c r="L10683" i="2"/>
  <c r="L10684" i="2"/>
  <c r="L10685" i="2"/>
  <c r="L10686" i="2"/>
  <c r="L10687" i="2"/>
  <c r="L10688" i="2"/>
  <c r="L10689" i="2"/>
  <c r="L10690" i="2"/>
  <c r="L10691" i="2"/>
  <c r="L10692" i="2"/>
  <c r="L10693" i="2"/>
  <c r="L10694" i="2"/>
  <c r="L10695" i="2"/>
  <c r="L10696" i="2"/>
  <c r="L10697" i="2"/>
  <c r="L10698" i="2"/>
  <c r="L10699" i="2"/>
  <c r="L10700" i="2"/>
  <c r="L10701" i="2"/>
  <c r="L10702" i="2"/>
  <c r="L10703" i="2"/>
  <c r="L10704" i="2"/>
  <c r="L10705" i="2"/>
  <c r="L10706" i="2"/>
  <c r="L10707" i="2"/>
  <c r="L10708" i="2"/>
  <c r="L10709" i="2"/>
  <c r="L10710" i="2"/>
  <c r="L10711" i="2"/>
  <c r="L10712" i="2"/>
  <c r="L10713" i="2"/>
  <c r="L10714" i="2"/>
  <c r="L10715" i="2"/>
  <c r="L10716" i="2"/>
  <c r="L10717" i="2"/>
  <c r="L10718" i="2"/>
  <c r="L10719" i="2"/>
  <c r="L10720" i="2"/>
  <c r="L10721" i="2"/>
  <c r="L10722" i="2"/>
  <c r="L10723" i="2"/>
  <c r="L10724" i="2"/>
  <c r="L10725" i="2"/>
  <c r="L10726" i="2"/>
  <c r="L10727" i="2"/>
  <c r="L10728" i="2"/>
  <c r="L10729" i="2"/>
  <c r="L10730" i="2"/>
  <c r="L10731" i="2"/>
  <c r="L10732" i="2"/>
  <c r="L10733" i="2"/>
  <c r="L10734" i="2"/>
  <c r="L10735" i="2"/>
  <c r="L10736" i="2"/>
  <c r="L10737" i="2"/>
  <c r="L10738" i="2"/>
  <c r="L10739" i="2"/>
  <c r="L10740" i="2"/>
  <c r="L10741" i="2"/>
  <c r="L10742" i="2"/>
  <c r="L10743" i="2"/>
  <c r="L10744" i="2"/>
  <c r="L10745" i="2"/>
  <c r="L10746" i="2"/>
  <c r="L10747" i="2"/>
  <c r="L10748" i="2"/>
  <c r="L10749" i="2"/>
  <c r="L10750" i="2"/>
  <c r="L10751" i="2"/>
  <c r="L10752" i="2"/>
  <c r="L10753" i="2"/>
  <c r="L10754" i="2"/>
  <c r="L10755" i="2"/>
  <c r="L10756" i="2"/>
  <c r="L10757" i="2"/>
  <c r="L10758" i="2"/>
  <c r="L10759" i="2"/>
  <c r="L10760" i="2"/>
  <c r="L10761" i="2"/>
  <c r="L10762" i="2"/>
  <c r="L10763" i="2"/>
  <c r="L10764" i="2"/>
  <c r="L10765" i="2"/>
  <c r="L10766" i="2"/>
  <c r="L10767" i="2"/>
  <c r="L10768" i="2"/>
  <c r="L10769" i="2"/>
  <c r="L10770" i="2"/>
  <c r="L10771" i="2"/>
  <c r="L10772" i="2"/>
  <c r="L10773" i="2"/>
  <c r="L10774" i="2"/>
  <c r="L10775" i="2"/>
  <c r="L10776" i="2"/>
  <c r="L10777" i="2"/>
  <c r="L10778" i="2"/>
  <c r="L10779" i="2"/>
  <c r="L10780" i="2"/>
  <c r="L10781" i="2"/>
  <c r="L10782" i="2"/>
  <c r="L10783" i="2"/>
  <c r="L10784" i="2"/>
  <c r="L10785" i="2"/>
  <c r="L10786" i="2"/>
  <c r="L10787" i="2"/>
  <c r="L10788" i="2"/>
  <c r="L10789" i="2"/>
  <c r="L10790" i="2"/>
  <c r="L10791" i="2"/>
  <c r="L10792" i="2"/>
  <c r="L10793" i="2"/>
  <c r="L10794" i="2"/>
  <c r="L10795" i="2"/>
  <c r="L10796" i="2"/>
  <c r="L10797" i="2"/>
  <c r="L10798" i="2"/>
  <c r="L10799" i="2"/>
  <c r="L10800" i="2"/>
  <c r="L10801" i="2"/>
  <c r="L10802" i="2"/>
  <c r="L10803" i="2"/>
  <c r="L10804" i="2"/>
  <c r="L10805" i="2"/>
  <c r="L10806" i="2"/>
  <c r="L10807" i="2"/>
  <c r="L10808" i="2"/>
  <c r="L10809" i="2"/>
  <c r="L10810" i="2"/>
  <c r="L10811" i="2"/>
  <c r="L10812" i="2"/>
  <c r="L10813" i="2"/>
  <c r="L10814" i="2"/>
  <c r="L10815" i="2"/>
  <c r="L10816" i="2"/>
  <c r="L10817" i="2"/>
  <c r="L10818" i="2"/>
  <c r="L10819" i="2"/>
  <c r="L10820" i="2"/>
  <c r="L10821" i="2"/>
  <c r="L10822" i="2"/>
  <c r="L10823" i="2"/>
  <c r="L10824" i="2"/>
  <c r="L10825" i="2"/>
  <c r="L10826" i="2"/>
  <c r="L10827" i="2"/>
  <c r="L10828" i="2"/>
  <c r="L10829" i="2"/>
  <c r="L10830" i="2"/>
  <c r="L10831" i="2"/>
  <c r="L10832" i="2"/>
  <c r="L10833" i="2"/>
  <c r="L10834" i="2"/>
  <c r="L10835" i="2"/>
  <c r="L10836" i="2"/>
  <c r="L10837" i="2"/>
  <c r="L10838" i="2"/>
  <c r="L10839" i="2"/>
  <c r="L10840" i="2"/>
  <c r="L10841" i="2"/>
  <c r="L10842" i="2"/>
  <c r="L10843" i="2"/>
  <c r="L10844" i="2"/>
  <c r="L10845" i="2"/>
  <c r="L10846" i="2"/>
  <c r="L10847" i="2"/>
  <c r="L10848" i="2"/>
  <c r="L10849" i="2"/>
  <c r="L10850" i="2"/>
  <c r="L10851" i="2"/>
  <c r="L10852" i="2"/>
  <c r="L10853" i="2"/>
  <c r="L10854" i="2"/>
  <c r="L10855" i="2"/>
  <c r="L10856" i="2"/>
  <c r="L10857" i="2"/>
  <c r="L10858" i="2"/>
  <c r="L10859" i="2"/>
  <c r="L10860" i="2"/>
  <c r="L10861" i="2"/>
  <c r="L10862" i="2"/>
  <c r="L10863" i="2"/>
  <c r="L10864" i="2"/>
  <c r="L10865" i="2"/>
  <c r="L10866" i="2"/>
  <c r="L10867" i="2"/>
  <c r="L10868" i="2"/>
  <c r="L10869" i="2"/>
  <c r="L10870" i="2"/>
  <c r="L10871" i="2"/>
  <c r="L10872" i="2"/>
  <c r="L10873" i="2"/>
  <c r="L10874" i="2"/>
  <c r="L10875" i="2"/>
  <c r="L10876" i="2"/>
  <c r="L10877" i="2"/>
  <c r="L10878" i="2"/>
  <c r="L10879" i="2"/>
  <c r="L10880" i="2"/>
  <c r="L10881" i="2"/>
  <c r="L10882" i="2"/>
  <c r="L10883" i="2"/>
  <c r="L10884" i="2"/>
  <c r="L10885" i="2"/>
  <c r="L10886" i="2"/>
  <c r="L10887" i="2"/>
  <c r="L10888" i="2"/>
  <c r="L10889" i="2"/>
  <c r="L10890" i="2"/>
  <c r="L10891" i="2"/>
  <c r="L10892" i="2"/>
  <c r="L10893" i="2"/>
  <c r="L10894" i="2"/>
  <c r="L10895" i="2"/>
  <c r="L10896" i="2"/>
  <c r="L10897" i="2"/>
  <c r="L10898" i="2"/>
  <c r="L10899" i="2"/>
  <c r="L10900" i="2"/>
  <c r="L10901" i="2"/>
  <c r="L10902" i="2"/>
  <c r="L10903" i="2"/>
  <c r="L10904" i="2"/>
  <c r="L10905" i="2"/>
  <c r="L10906" i="2"/>
  <c r="L10907" i="2"/>
  <c r="L10908" i="2"/>
  <c r="L10909" i="2"/>
  <c r="L10910" i="2"/>
  <c r="L10911" i="2"/>
  <c r="L10912" i="2"/>
  <c r="L10913" i="2"/>
  <c r="L10914" i="2"/>
  <c r="L10915" i="2"/>
  <c r="L10916" i="2"/>
  <c r="L10917" i="2"/>
  <c r="L10918" i="2"/>
  <c r="L10919" i="2"/>
  <c r="L10920" i="2"/>
  <c r="L10921" i="2"/>
  <c r="L10922" i="2"/>
  <c r="L10923" i="2"/>
  <c r="L10924" i="2"/>
  <c r="L10925" i="2"/>
  <c r="L10926" i="2"/>
  <c r="L10927" i="2"/>
  <c r="L10928" i="2"/>
  <c r="L10929" i="2"/>
  <c r="L10930" i="2"/>
  <c r="L10931" i="2"/>
  <c r="L10932" i="2"/>
  <c r="L10933" i="2"/>
  <c r="L10934" i="2"/>
  <c r="L10935" i="2"/>
  <c r="L10936" i="2"/>
  <c r="L10937" i="2"/>
  <c r="L10938" i="2"/>
  <c r="L10939" i="2"/>
  <c r="L10940" i="2"/>
  <c r="L10941" i="2"/>
  <c r="L10942" i="2"/>
  <c r="L10943" i="2"/>
  <c r="L10944" i="2"/>
  <c r="L10945" i="2"/>
  <c r="L10946" i="2"/>
  <c r="L10947" i="2"/>
  <c r="L10948" i="2"/>
  <c r="L10949" i="2"/>
  <c r="L10950" i="2"/>
  <c r="L10951" i="2"/>
  <c r="L10952" i="2"/>
  <c r="L10953" i="2"/>
  <c r="L10954" i="2"/>
  <c r="L10955" i="2"/>
  <c r="L10956" i="2"/>
  <c r="L10957" i="2"/>
  <c r="L10958" i="2"/>
  <c r="L10959" i="2"/>
  <c r="L10960" i="2"/>
  <c r="L10961" i="2"/>
  <c r="L10962" i="2"/>
  <c r="L10963" i="2"/>
  <c r="L10964" i="2"/>
  <c r="L10965" i="2"/>
  <c r="L10966" i="2"/>
  <c r="L10967" i="2"/>
  <c r="L10968" i="2"/>
  <c r="L10969" i="2"/>
  <c r="L10970" i="2"/>
  <c r="L10971" i="2"/>
  <c r="L10972" i="2"/>
  <c r="L10973" i="2"/>
  <c r="L10974" i="2"/>
  <c r="L10975" i="2"/>
  <c r="L10976" i="2"/>
  <c r="L10977" i="2"/>
  <c r="L10978" i="2"/>
  <c r="L10979" i="2"/>
  <c r="L10980" i="2"/>
  <c r="L10981" i="2"/>
  <c r="L10982" i="2"/>
  <c r="L10983" i="2"/>
  <c r="L10984" i="2"/>
  <c r="L10985" i="2"/>
  <c r="L10986" i="2"/>
  <c r="L10987" i="2"/>
  <c r="L10988" i="2"/>
  <c r="L10989" i="2"/>
  <c r="L10990" i="2"/>
  <c r="L10991" i="2"/>
  <c r="L10992" i="2"/>
  <c r="L10993" i="2"/>
  <c r="L10994" i="2"/>
  <c r="L10995" i="2"/>
  <c r="L10996" i="2"/>
  <c r="L10997" i="2"/>
  <c r="L10998" i="2"/>
  <c r="L10999" i="2"/>
  <c r="L11000" i="2"/>
  <c r="L11001" i="2"/>
  <c r="L11002" i="2"/>
  <c r="L11003" i="2"/>
  <c r="L11004" i="2"/>
  <c r="L11005" i="2"/>
  <c r="L11006" i="2"/>
  <c r="L11007" i="2"/>
  <c r="L11008" i="2"/>
  <c r="L11009" i="2"/>
  <c r="L11010" i="2"/>
  <c r="L11011" i="2"/>
  <c r="L11012" i="2"/>
  <c r="L11013" i="2"/>
  <c r="L11014" i="2"/>
  <c r="L11015" i="2"/>
  <c r="L11016" i="2"/>
  <c r="L11017" i="2"/>
  <c r="L11018" i="2"/>
  <c r="L11019" i="2"/>
  <c r="L11020" i="2"/>
  <c r="L11021" i="2"/>
  <c r="L11022" i="2"/>
  <c r="L11023" i="2"/>
  <c r="L11024" i="2"/>
  <c r="L11025" i="2"/>
  <c r="L11026" i="2"/>
  <c r="L11027" i="2"/>
  <c r="L11028" i="2"/>
  <c r="L11029" i="2"/>
  <c r="L11030" i="2"/>
  <c r="L11031" i="2"/>
  <c r="L11032" i="2"/>
  <c r="L11033" i="2"/>
  <c r="L11034" i="2"/>
  <c r="L11035" i="2"/>
  <c r="L11036" i="2"/>
  <c r="L11037" i="2"/>
  <c r="L11038" i="2"/>
  <c r="L11039" i="2"/>
  <c r="L11040" i="2"/>
  <c r="L11041" i="2"/>
  <c r="L11042" i="2"/>
  <c r="L11043" i="2"/>
  <c r="L11044" i="2"/>
  <c r="L11045" i="2"/>
  <c r="L11046" i="2"/>
  <c r="L11047" i="2"/>
  <c r="L11048" i="2"/>
  <c r="L11049" i="2"/>
  <c r="L11050" i="2"/>
  <c r="L11051" i="2"/>
  <c r="L11052" i="2"/>
  <c r="L11053" i="2"/>
  <c r="L11054" i="2"/>
  <c r="L11055" i="2"/>
  <c r="L11056" i="2"/>
  <c r="L11057" i="2"/>
  <c r="L11058" i="2"/>
  <c r="L11059" i="2"/>
  <c r="L11060" i="2"/>
  <c r="L11061" i="2"/>
  <c r="L11062" i="2"/>
  <c r="L11063" i="2"/>
  <c r="L11064" i="2"/>
  <c r="L11065" i="2"/>
  <c r="L11066" i="2"/>
  <c r="L11067" i="2"/>
  <c r="L11068" i="2"/>
  <c r="L11069" i="2"/>
  <c r="L11070" i="2"/>
  <c r="L11071" i="2"/>
  <c r="L11072" i="2"/>
  <c r="L11073" i="2"/>
  <c r="L11074" i="2"/>
  <c r="L11075" i="2"/>
  <c r="L11076" i="2"/>
  <c r="L11077" i="2"/>
  <c r="L11078" i="2"/>
  <c r="L11079" i="2"/>
  <c r="L11080" i="2"/>
  <c r="L11081" i="2"/>
  <c r="L11082" i="2"/>
  <c r="L11083" i="2"/>
  <c r="L11084" i="2"/>
  <c r="L11085" i="2"/>
  <c r="L11086" i="2"/>
  <c r="L11087" i="2"/>
  <c r="L11088" i="2"/>
  <c r="L11089" i="2"/>
  <c r="L11090" i="2"/>
  <c r="L11091" i="2"/>
  <c r="L11092" i="2"/>
  <c r="L11093" i="2"/>
  <c r="L11094" i="2"/>
  <c r="L11095" i="2"/>
  <c r="L11096" i="2"/>
  <c r="L11097" i="2"/>
  <c r="L11098" i="2"/>
  <c r="L11099" i="2"/>
  <c r="L11100" i="2"/>
  <c r="L11101" i="2"/>
  <c r="L11102" i="2"/>
  <c r="L11103" i="2"/>
  <c r="L11104" i="2"/>
  <c r="L11105" i="2"/>
  <c r="L11106" i="2"/>
  <c r="L11107" i="2"/>
  <c r="L11108" i="2"/>
  <c r="L11109" i="2"/>
  <c r="L11110" i="2"/>
  <c r="L11111" i="2"/>
  <c r="L11112" i="2"/>
  <c r="L11113" i="2"/>
  <c r="L11114" i="2"/>
  <c r="L11115" i="2"/>
  <c r="L11116" i="2"/>
  <c r="L11117" i="2"/>
  <c r="L11118" i="2"/>
  <c r="L11119" i="2"/>
  <c r="L11120" i="2"/>
  <c r="L11121" i="2"/>
  <c r="L11122" i="2"/>
  <c r="L11123" i="2"/>
  <c r="L11124" i="2"/>
  <c r="L11125" i="2"/>
  <c r="L11126" i="2"/>
  <c r="L11127" i="2"/>
  <c r="L11128" i="2"/>
  <c r="L11129" i="2"/>
  <c r="L11130" i="2"/>
  <c r="L11131" i="2"/>
  <c r="L11132" i="2"/>
  <c r="L11133" i="2"/>
  <c r="L11134" i="2"/>
  <c r="L11135" i="2"/>
  <c r="L11136" i="2"/>
  <c r="L11137" i="2"/>
  <c r="L11138" i="2"/>
  <c r="L11139" i="2"/>
  <c r="L11140" i="2"/>
  <c r="L11141" i="2"/>
  <c r="L11142" i="2"/>
  <c r="L11143" i="2"/>
  <c r="L11144" i="2"/>
  <c r="L11145" i="2"/>
  <c r="L11146" i="2"/>
  <c r="L11147" i="2"/>
  <c r="L11148" i="2"/>
  <c r="L11149" i="2"/>
  <c r="L11150" i="2"/>
  <c r="L11151" i="2"/>
  <c r="L11152" i="2"/>
  <c r="L11153" i="2"/>
  <c r="L11154" i="2"/>
  <c r="L11155" i="2"/>
  <c r="L11156" i="2"/>
  <c r="L11157" i="2"/>
  <c r="L11158" i="2"/>
  <c r="L11159" i="2"/>
  <c r="L11160" i="2"/>
  <c r="L11161" i="2"/>
  <c r="L11162" i="2"/>
  <c r="L11163" i="2"/>
  <c r="L11164" i="2"/>
  <c r="L11165" i="2"/>
  <c r="L11166" i="2"/>
  <c r="L11167" i="2"/>
  <c r="L11168" i="2"/>
  <c r="L11169" i="2"/>
  <c r="L11170" i="2"/>
  <c r="L11171" i="2"/>
  <c r="L11172" i="2"/>
  <c r="L11173" i="2"/>
  <c r="L11174" i="2"/>
  <c r="L11175" i="2"/>
  <c r="L11176" i="2"/>
  <c r="L11177" i="2"/>
  <c r="L11178" i="2"/>
  <c r="L11179" i="2"/>
  <c r="L11180" i="2"/>
  <c r="L11181" i="2"/>
  <c r="L11182" i="2"/>
  <c r="L11183" i="2"/>
  <c r="L11184" i="2"/>
  <c r="L11185" i="2"/>
  <c r="L11186" i="2"/>
  <c r="L11187" i="2"/>
  <c r="L11188" i="2"/>
  <c r="L11189" i="2"/>
  <c r="L11190" i="2"/>
  <c r="L11191" i="2"/>
  <c r="L11192" i="2"/>
  <c r="L11193" i="2"/>
  <c r="L11194" i="2"/>
  <c r="L11195" i="2"/>
  <c r="L11196" i="2"/>
  <c r="L11197" i="2"/>
  <c r="L11198" i="2"/>
  <c r="L11199" i="2"/>
  <c r="L11200" i="2"/>
  <c r="L11201" i="2"/>
  <c r="L11202" i="2"/>
  <c r="L11203" i="2"/>
  <c r="L11204" i="2"/>
  <c r="L11205" i="2"/>
  <c r="L11206" i="2"/>
  <c r="L11207" i="2"/>
  <c r="L11208" i="2"/>
  <c r="L11209" i="2"/>
  <c r="L11210" i="2"/>
  <c r="L11211" i="2"/>
  <c r="L11212" i="2"/>
  <c r="L11213" i="2"/>
  <c r="L11214" i="2"/>
  <c r="L11215" i="2"/>
  <c r="L11216" i="2"/>
  <c r="L11217" i="2"/>
  <c r="L11218" i="2"/>
  <c r="L11219" i="2"/>
  <c r="L11220" i="2"/>
  <c r="L11221" i="2"/>
  <c r="L11222" i="2"/>
  <c r="L11223" i="2"/>
  <c r="L11224" i="2"/>
  <c r="L11225" i="2"/>
  <c r="L11226" i="2"/>
  <c r="L11227" i="2"/>
  <c r="L11228" i="2"/>
  <c r="L11229" i="2"/>
  <c r="L11230" i="2"/>
  <c r="L11231" i="2"/>
  <c r="L11232" i="2"/>
  <c r="L11233" i="2"/>
  <c r="L11234" i="2"/>
  <c r="L11235" i="2"/>
  <c r="L11236" i="2"/>
  <c r="L11237" i="2"/>
  <c r="L11238" i="2"/>
  <c r="L11239" i="2"/>
  <c r="L11240" i="2"/>
  <c r="L11241" i="2"/>
  <c r="L11242" i="2"/>
  <c r="L11243" i="2"/>
  <c r="L11244" i="2"/>
  <c r="L11245" i="2"/>
  <c r="L11246" i="2"/>
  <c r="L11247" i="2"/>
  <c r="L11248" i="2"/>
  <c r="L11249" i="2"/>
  <c r="L11250" i="2"/>
  <c r="L11251" i="2"/>
  <c r="L11252" i="2"/>
  <c r="L11253" i="2"/>
  <c r="L11254" i="2"/>
  <c r="L11255" i="2"/>
  <c r="L11256" i="2"/>
  <c r="L11257" i="2"/>
  <c r="L11258" i="2"/>
  <c r="L11259" i="2"/>
  <c r="L11260" i="2"/>
  <c r="L11261" i="2"/>
  <c r="L11262" i="2"/>
  <c r="L11263" i="2"/>
  <c r="L11264" i="2"/>
  <c r="L11265" i="2"/>
  <c r="L11266" i="2"/>
  <c r="L11267" i="2"/>
  <c r="L11268" i="2"/>
  <c r="L11269" i="2"/>
  <c r="L11270" i="2"/>
  <c r="L11271" i="2"/>
  <c r="L11272" i="2"/>
  <c r="L11273" i="2"/>
  <c r="L11274" i="2"/>
  <c r="L11275" i="2"/>
  <c r="L11276" i="2"/>
  <c r="L11277" i="2"/>
  <c r="L11278" i="2"/>
  <c r="L11279" i="2"/>
  <c r="L11280" i="2"/>
  <c r="L11281" i="2"/>
  <c r="L11282" i="2"/>
  <c r="L11283" i="2"/>
  <c r="L11284" i="2"/>
  <c r="L11285" i="2"/>
  <c r="L11286" i="2"/>
  <c r="L11287" i="2"/>
  <c r="L11288" i="2"/>
  <c r="L11289" i="2"/>
  <c r="L11290" i="2"/>
  <c r="L11291" i="2"/>
  <c r="L11292" i="2"/>
  <c r="L11293" i="2"/>
  <c r="L11294" i="2"/>
  <c r="L11295" i="2"/>
  <c r="L11296" i="2"/>
  <c r="L11297" i="2"/>
  <c r="L11298" i="2"/>
  <c r="L11299" i="2"/>
  <c r="L11300" i="2"/>
  <c r="L11301" i="2"/>
  <c r="L11302" i="2"/>
  <c r="L11303" i="2"/>
  <c r="L11304" i="2"/>
  <c r="L11305" i="2"/>
  <c r="L11306" i="2"/>
  <c r="L11307" i="2"/>
  <c r="L11308" i="2"/>
  <c r="L11309" i="2"/>
  <c r="L11310" i="2"/>
  <c r="L11311" i="2"/>
  <c r="L11312" i="2"/>
  <c r="L11313" i="2"/>
  <c r="L11314" i="2"/>
  <c r="L11315" i="2"/>
  <c r="L11316" i="2"/>
  <c r="L11317" i="2"/>
  <c r="L11318" i="2"/>
  <c r="L11319" i="2"/>
  <c r="L11320" i="2"/>
  <c r="L11321" i="2"/>
  <c r="L11322" i="2"/>
  <c r="L11323" i="2"/>
  <c r="L11324" i="2"/>
  <c r="L11325" i="2"/>
  <c r="L11326" i="2"/>
  <c r="L11327" i="2"/>
  <c r="L11328" i="2"/>
  <c r="L11329" i="2"/>
  <c r="L11330" i="2"/>
  <c r="L11331" i="2"/>
  <c r="L11332" i="2"/>
  <c r="L11333" i="2"/>
  <c r="L11334" i="2"/>
  <c r="L11335" i="2"/>
  <c r="L11336" i="2"/>
  <c r="L11337" i="2"/>
  <c r="L11338" i="2"/>
  <c r="L11339" i="2"/>
  <c r="L11340" i="2"/>
  <c r="L11341" i="2"/>
  <c r="L11342" i="2"/>
  <c r="L11343" i="2"/>
  <c r="L11344" i="2"/>
  <c r="L11345" i="2"/>
  <c r="L11346" i="2"/>
  <c r="L11347" i="2"/>
  <c r="L11348" i="2"/>
  <c r="L11349" i="2"/>
  <c r="L11350" i="2"/>
  <c r="L11351" i="2"/>
  <c r="L11352" i="2"/>
  <c r="L11353" i="2"/>
  <c r="L11354" i="2"/>
  <c r="L11355" i="2"/>
  <c r="L11356" i="2"/>
  <c r="L11357" i="2"/>
  <c r="L11358" i="2"/>
  <c r="L11359" i="2"/>
  <c r="L11360" i="2"/>
  <c r="L11361" i="2"/>
  <c r="L11362" i="2"/>
  <c r="L11363" i="2"/>
  <c r="L11364" i="2"/>
  <c r="L11365" i="2"/>
  <c r="L11366" i="2"/>
  <c r="L11367" i="2"/>
  <c r="L11368" i="2"/>
  <c r="L11369" i="2"/>
  <c r="L11370" i="2"/>
  <c r="L11371" i="2"/>
  <c r="L11372" i="2"/>
  <c r="L11373" i="2"/>
  <c r="L11374" i="2"/>
  <c r="L11375" i="2"/>
  <c r="L11376" i="2"/>
  <c r="L11377" i="2"/>
  <c r="L11378" i="2"/>
  <c r="L11379" i="2"/>
  <c r="L11380" i="2"/>
  <c r="L11381" i="2"/>
  <c r="L11382" i="2"/>
  <c r="L11383" i="2"/>
  <c r="L11384" i="2"/>
  <c r="L11385" i="2"/>
  <c r="L11386" i="2"/>
  <c r="L11387" i="2"/>
  <c r="L11388" i="2"/>
  <c r="L11389" i="2"/>
  <c r="L11390" i="2"/>
  <c r="L11391" i="2"/>
  <c r="L11392" i="2"/>
  <c r="L11393" i="2"/>
  <c r="L11394" i="2"/>
  <c r="L11395" i="2"/>
  <c r="L11396" i="2"/>
  <c r="L11397" i="2"/>
  <c r="L11398" i="2"/>
  <c r="L11399" i="2"/>
  <c r="L11400" i="2"/>
  <c r="L11401" i="2"/>
  <c r="L11402" i="2"/>
  <c r="L11403" i="2"/>
  <c r="L11404" i="2"/>
  <c r="L11405" i="2"/>
  <c r="L11406" i="2"/>
  <c r="L11407" i="2"/>
  <c r="L11408" i="2"/>
  <c r="L11409" i="2"/>
  <c r="L11410" i="2"/>
  <c r="L11411" i="2"/>
  <c r="L11412" i="2"/>
  <c r="L11413" i="2"/>
  <c r="L11414" i="2"/>
  <c r="L11415" i="2"/>
  <c r="L11416" i="2"/>
  <c r="L11417" i="2"/>
  <c r="L11418" i="2"/>
  <c r="L11419" i="2"/>
  <c r="L11420" i="2"/>
  <c r="L11421" i="2"/>
  <c r="L11422" i="2"/>
  <c r="L11423" i="2"/>
  <c r="L11424" i="2"/>
  <c r="L11425" i="2"/>
  <c r="L11426" i="2"/>
  <c r="L11427" i="2"/>
  <c r="L11428" i="2"/>
  <c r="L11429" i="2"/>
  <c r="L11430" i="2"/>
  <c r="L11431" i="2"/>
  <c r="L11432" i="2"/>
  <c r="L11433" i="2"/>
  <c r="L11434" i="2"/>
  <c r="L11435" i="2"/>
  <c r="L11436" i="2"/>
  <c r="L11437" i="2"/>
  <c r="L11438" i="2"/>
  <c r="L11439" i="2"/>
  <c r="L11440" i="2"/>
  <c r="L11441" i="2"/>
  <c r="L11442" i="2"/>
  <c r="L11443" i="2"/>
  <c r="L11444" i="2"/>
  <c r="L11445" i="2"/>
  <c r="L11446" i="2"/>
  <c r="L11447" i="2"/>
  <c r="L11448" i="2"/>
  <c r="L11449" i="2"/>
  <c r="L11450" i="2"/>
  <c r="L11451" i="2"/>
  <c r="L11452" i="2"/>
  <c r="L11453" i="2"/>
  <c r="L11454" i="2"/>
  <c r="L11455" i="2"/>
  <c r="L11456" i="2"/>
  <c r="L11457" i="2"/>
  <c r="L11458" i="2"/>
  <c r="L11459" i="2"/>
  <c r="L11460" i="2"/>
  <c r="L11461" i="2"/>
  <c r="L11462" i="2"/>
  <c r="L11463" i="2"/>
  <c r="L11464" i="2"/>
  <c r="L11465" i="2"/>
  <c r="L11466" i="2"/>
  <c r="L11467" i="2"/>
  <c r="L11468" i="2"/>
  <c r="L11469" i="2"/>
  <c r="L11470" i="2"/>
  <c r="L11471" i="2"/>
  <c r="L11472" i="2"/>
  <c r="L11473" i="2"/>
  <c r="L11474" i="2"/>
  <c r="L11475" i="2"/>
  <c r="L11476" i="2"/>
  <c r="L11477" i="2"/>
  <c r="L11478" i="2"/>
  <c r="L11479" i="2"/>
  <c r="L11480" i="2"/>
  <c r="L11481" i="2"/>
  <c r="L11482" i="2"/>
  <c r="L11483" i="2"/>
  <c r="L11484" i="2"/>
  <c r="L11485" i="2"/>
  <c r="L11486" i="2"/>
  <c r="L11487" i="2"/>
  <c r="L11488" i="2"/>
  <c r="L11489" i="2"/>
  <c r="L11490" i="2"/>
  <c r="L11491" i="2"/>
  <c r="L11492" i="2"/>
  <c r="L11493" i="2"/>
  <c r="L11494" i="2"/>
  <c r="L11495" i="2"/>
  <c r="L11496" i="2"/>
  <c r="L11497" i="2"/>
  <c r="L11498" i="2"/>
  <c r="L11499" i="2"/>
  <c r="L11500" i="2"/>
  <c r="L11501" i="2"/>
  <c r="L11502" i="2"/>
  <c r="L11503" i="2"/>
  <c r="L11504" i="2"/>
  <c r="L11505" i="2"/>
  <c r="L11506" i="2"/>
  <c r="L11507" i="2"/>
  <c r="L11508" i="2"/>
  <c r="L11509" i="2"/>
  <c r="L11510" i="2"/>
  <c r="L11511" i="2"/>
  <c r="L11512" i="2"/>
  <c r="L11513" i="2"/>
  <c r="L11514" i="2"/>
  <c r="L11515" i="2"/>
  <c r="L11516" i="2"/>
  <c r="L11517" i="2"/>
  <c r="L11518" i="2"/>
  <c r="L11519" i="2"/>
  <c r="L11520" i="2"/>
  <c r="L11521" i="2"/>
  <c r="L11522" i="2"/>
  <c r="L11523" i="2"/>
  <c r="L11524" i="2"/>
  <c r="L11525" i="2"/>
  <c r="L11526" i="2"/>
  <c r="L11527" i="2"/>
  <c r="L11528" i="2"/>
  <c r="L11529" i="2"/>
  <c r="L11530" i="2"/>
  <c r="L11531" i="2"/>
  <c r="L11532" i="2"/>
  <c r="L11533" i="2"/>
  <c r="L11534" i="2"/>
  <c r="L11535" i="2"/>
  <c r="L11536" i="2"/>
  <c r="L11537" i="2"/>
  <c r="L11538" i="2"/>
  <c r="L11539" i="2"/>
  <c r="L11540" i="2"/>
  <c r="L11541" i="2"/>
  <c r="L11542" i="2"/>
  <c r="L11543" i="2"/>
  <c r="L11544" i="2"/>
  <c r="L11545" i="2"/>
  <c r="L11546" i="2"/>
  <c r="L11547" i="2"/>
  <c r="L11548" i="2"/>
  <c r="L11549" i="2"/>
  <c r="L11550" i="2"/>
  <c r="L11551" i="2"/>
  <c r="L11552" i="2"/>
  <c r="L11553" i="2"/>
  <c r="L11554" i="2"/>
  <c r="L11555" i="2"/>
  <c r="L11556" i="2"/>
  <c r="L11557" i="2"/>
  <c r="L11558" i="2"/>
  <c r="L11559" i="2"/>
  <c r="L11560" i="2"/>
  <c r="L11561" i="2"/>
  <c r="L11562" i="2"/>
  <c r="L11563" i="2"/>
  <c r="L11564" i="2"/>
  <c r="L11565" i="2"/>
  <c r="L11566" i="2"/>
  <c r="L11567" i="2"/>
  <c r="L11568" i="2"/>
  <c r="L11569" i="2"/>
  <c r="L11570" i="2"/>
  <c r="L11571" i="2"/>
  <c r="L11572" i="2"/>
  <c r="L11573" i="2"/>
  <c r="L11574" i="2"/>
  <c r="L11575" i="2"/>
  <c r="L11576" i="2"/>
  <c r="L11577" i="2"/>
  <c r="L11578" i="2"/>
  <c r="L11579" i="2"/>
  <c r="L11580" i="2"/>
  <c r="L11581" i="2"/>
  <c r="L11582" i="2"/>
  <c r="L11583" i="2"/>
  <c r="L11584" i="2"/>
  <c r="L11585" i="2"/>
  <c r="L11586" i="2"/>
  <c r="L11587" i="2"/>
  <c r="L11588" i="2"/>
  <c r="L11589" i="2"/>
  <c r="L11590" i="2"/>
  <c r="L11591" i="2"/>
  <c r="L11592" i="2"/>
  <c r="L11593" i="2"/>
  <c r="L11594" i="2"/>
  <c r="L11595" i="2"/>
  <c r="L11596" i="2"/>
  <c r="L11597" i="2"/>
  <c r="L11598" i="2"/>
  <c r="L11599" i="2"/>
  <c r="L11600" i="2"/>
  <c r="L11601" i="2"/>
  <c r="L11602" i="2"/>
  <c r="L11603" i="2"/>
  <c r="L11604" i="2"/>
  <c r="L11605" i="2"/>
  <c r="L11606" i="2"/>
  <c r="L11607" i="2"/>
  <c r="L11608" i="2"/>
  <c r="L11609" i="2"/>
  <c r="L11610" i="2"/>
  <c r="L11611" i="2"/>
  <c r="L11612" i="2"/>
  <c r="L11613" i="2"/>
  <c r="L11614" i="2"/>
  <c r="L11615" i="2"/>
  <c r="L11616" i="2"/>
  <c r="L11617" i="2"/>
  <c r="L11618" i="2"/>
  <c r="L11619" i="2"/>
  <c r="L11620" i="2"/>
  <c r="L11621" i="2"/>
  <c r="L11622" i="2"/>
  <c r="L11623" i="2"/>
  <c r="L11624" i="2"/>
  <c r="L11625" i="2"/>
  <c r="L11626" i="2"/>
  <c r="L11627" i="2"/>
  <c r="L11628" i="2"/>
  <c r="L11629" i="2"/>
  <c r="L11630" i="2"/>
  <c r="L11631" i="2"/>
  <c r="L11632" i="2"/>
  <c r="L11633" i="2"/>
  <c r="L11634" i="2"/>
  <c r="L11635" i="2"/>
  <c r="L11636" i="2"/>
  <c r="L11637" i="2"/>
  <c r="L11638" i="2"/>
  <c r="L11639" i="2"/>
  <c r="L11640" i="2"/>
  <c r="L11641" i="2"/>
  <c r="L11642" i="2"/>
  <c r="L11643" i="2"/>
  <c r="L11644" i="2"/>
  <c r="L11645" i="2"/>
  <c r="L11646" i="2"/>
  <c r="L11647" i="2"/>
  <c r="L11648" i="2"/>
  <c r="L11649" i="2"/>
  <c r="L11650" i="2"/>
  <c r="L11651" i="2"/>
  <c r="L11652" i="2"/>
  <c r="L11653" i="2"/>
  <c r="L11654" i="2"/>
  <c r="L11655" i="2"/>
  <c r="L11656" i="2"/>
  <c r="L11657" i="2"/>
  <c r="L11658" i="2"/>
  <c r="L11659" i="2"/>
  <c r="L11660" i="2"/>
  <c r="L11661" i="2"/>
  <c r="L11662" i="2"/>
  <c r="L11663" i="2"/>
  <c r="L11664" i="2"/>
  <c r="L11665" i="2"/>
  <c r="L11666" i="2"/>
  <c r="L11667" i="2"/>
  <c r="L11668" i="2"/>
  <c r="L11669" i="2"/>
  <c r="L11670" i="2"/>
  <c r="L11671" i="2"/>
  <c r="L11672" i="2"/>
  <c r="L11673" i="2"/>
  <c r="L11674" i="2"/>
  <c r="L11675" i="2"/>
  <c r="L11676" i="2"/>
  <c r="L11677" i="2"/>
  <c r="L11678" i="2"/>
  <c r="L11679" i="2"/>
  <c r="L11680" i="2"/>
  <c r="L11681" i="2"/>
  <c r="L11682" i="2"/>
  <c r="L11683" i="2"/>
  <c r="L11684" i="2"/>
  <c r="L11685" i="2"/>
  <c r="L11686" i="2"/>
  <c r="L11687" i="2"/>
  <c r="L11688" i="2"/>
  <c r="L11689" i="2"/>
  <c r="L11690" i="2"/>
  <c r="L11691" i="2"/>
  <c r="L11692" i="2"/>
  <c r="L11693" i="2"/>
  <c r="L11694" i="2"/>
  <c r="L11695" i="2"/>
  <c r="L11696" i="2"/>
  <c r="L11697" i="2"/>
  <c r="L11698" i="2"/>
  <c r="L11699" i="2"/>
  <c r="L11700" i="2"/>
  <c r="L11701" i="2"/>
  <c r="L11702" i="2"/>
  <c r="L11703" i="2"/>
  <c r="L11704" i="2"/>
  <c r="L11705" i="2"/>
  <c r="L11706" i="2"/>
  <c r="L11707" i="2"/>
  <c r="L11708" i="2"/>
  <c r="L11709" i="2"/>
  <c r="L11710" i="2"/>
  <c r="L11711" i="2"/>
  <c r="L11712" i="2"/>
  <c r="L11713" i="2"/>
  <c r="L11714" i="2"/>
  <c r="L11715" i="2"/>
  <c r="L11716" i="2"/>
  <c r="L11717" i="2"/>
  <c r="L11718" i="2"/>
  <c r="L11719" i="2"/>
  <c r="L11720" i="2"/>
  <c r="L11721" i="2"/>
  <c r="L11722" i="2"/>
  <c r="L11723" i="2"/>
  <c r="L11724" i="2"/>
  <c r="L11725" i="2"/>
  <c r="L11726" i="2"/>
  <c r="L11727" i="2"/>
  <c r="L11728" i="2"/>
  <c r="L11729" i="2"/>
  <c r="L11730" i="2"/>
  <c r="L11731" i="2"/>
  <c r="L11732" i="2"/>
  <c r="L11733" i="2"/>
  <c r="L11734" i="2"/>
  <c r="L11735" i="2"/>
  <c r="L11736" i="2"/>
  <c r="L11737" i="2"/>
  <c r="L11738" i="2"/>
  <c r="L11739" i="2"/>
  <c r="L11740" i="2"/>
  <c r="L11741" i="2"/>
  <c r="L11742" i="2"/>
  <c r="L11743" i="2"/>
  <c r="L11744" i="2"/>
  <c r="L11745" i="2"/>
  <c r="L11746" i="2"/>
  <c r="L11747" i="2"/>
  <c r="L11748" i="2"/>
  <c r="L11749" i="2"/>
  <c r="L11750" i="2"/>
  <c r="L11751" i="2"/>
  <c r="L11752" i="2"/>
  <c r="L11753" i="2"/>
  <c r="L11754" i="2"/>
  <c r="L11755" i="2"/>
  <c r="L11756" i="2"/>
  <c r="L11757" i="2"/>
  <c r="L11758" i="2"/>
  <c r="L11759" i="2"/>
  <c r="L11760" i="2"/>
  <c r="L11761" i="2"/>
  <c r="L11762" i="2"/>
  <c r="L11763" i="2"/>
  <c r="L11764" i="2"/>
  <c r="L11765" i="2"/>
  <c r="L11766" i="2"/>
  <c r="L11767" i="2"/>
  <c r="L11768" i="2"/>
  <c r="L11769" i="2"/>
  <c r="L11770" i="2"/>
  <c r="L11771" i="2"/>
  <c r="L11772" i="2"/>
  <c r="L11773" i="2"/>
  <c r="L11774" i="2"/>
  <c r="L11775" i="2"/>
  <c r="L11776" i="2"/>
  <c r="L11777" i="2"/>
  <c r="L11778" i="2"/>
  <c r="L11779" i="2"/>
  <c r="L11780" i="2"/>
  <c r="L11781" i="2"/>
  <c r="L11782" i="2"/>
  <c r="L11783" i="2"/>
  <c r="L11784" i="2"/>
  <c r="L11785" i="2"/>
  <c r="L11786" i="2"/>
  <c r="L11787" i="2"/>
  <c r="L11788" i="2"/>
  <c r="L11789" i="2"/>
  <c r="L11790" i="2"/>
  <c r="L11791" i="2"/>
  <c r="L11792" i="2"/>
  <c r="L11793" i="2"/>
  <c r="L11794" i="2"/>
  <c r="L11795" i="2"/>
  <c r="L11796" i="2"/>
  <c r="L11797" i="2"/>
  <c r="L11798" i="2"/>
  <c r="L11799" i="2"/>
  <c r="L11800" i="2"/>
  <c r="L11801" i="2"/>
  <c r="L11802" i="2"/>
  <c r="L11803" i="2"/>
  <c r="L11804" i="2"/>
  <c r="L11805" i="2"/>
  <c r="L11806" i="2"/>
  <c r="L11807" i="2"/>
  <c r="L11808" i="2"/>
  <c r="L11809" i="2"/>
  <c r="L11810" i="2"/>
  <c r="L11811" i="2"/>
  <c r="L11812" i="2"/>
  <c r="L11813" i="2"/>
  <c r="L11814" i="2"/>
  <c r="L11815" i="2"/>
  <c r="L11816" i="2"/>
  <c r="L11817" i="2"/>
  <c r="L11818" i="2"/>
  <c r="L11819" i="2"/>
  <c r="L11820" i="2"/>
  <c r="L11821" i="2"/>
  <c r="L11822" i="2"/>
  <c r="L11823" i="2"/>
  <c r="L11824" i="2"/>
  <c r="L11825" i="2"/>
  <c r="L11826" i="2"/>
  <c r="L11827" i="2"/>
  <c r="L11828" i="2"/>
  <c r="L11829" i="2"/>
  <c r="L11830" i="2"/>
  <c r="L11831" i="2"/>
  <c r="L11832" i="2"/>
  <c r="L11833" i="2"/>
  <c r="L11834" i="2"/>
  <c r="L11835" i="2"/>
  <c r="L11836" i="2"/>
  <c r="L11837" i="2"/>
  <c r="L11838" i="2"/>
  <c r="L11839" i="2"/>
  <c r="L11840" i="2"/>
  <c r="L11841" i="2"/>
  <c r="L11842" i="2"/>
  <c r="L11843" i="2"/>
  <c r="L11844" i="2"/>
  <c r="L11845" i="2"/>
  <c r="L11846" i="2"/>
  <c r="L11847" i="2"/>
  <c r="L11848" i="2"/>
  <c r="L11849" i="2"/>
  <c r="L11850" i="2"/>
  <c r="L11851" i="2"/>
  <c r="L11852" i="2"/>
  <c r="L11853" i="2"/>
  <c r="L11854" i="2"/>
  <c r="L11855" i="2"/>
  <c r="L11856" i="2"/>
  <c r="L11857" i="2"/>
  <c r="L11858" i="2"/>
  <c r="L11859" i="2"/>
  <c r="L11860" i="2"/>
  <c r="L11861" i="2"/>
  <c r="L11862" i="2"/>
  <c r="L11863" i="2"/>
  <c r="L11864" i="2"/>
  <c r="L11865" i="2"/>
  <c r="L11866" i="2"/>
  <c r="L11867" i="2"/>
  <c r="L11868" i="2"/>
  <c r="L11869" i="2"/>
  <c r="L11870" i="2"/>
  <c r="L11871" i="2"/>
  <c r="L11872" i="2"/>
  <c r="L11873" i="2"/>
  <c r="L11874" i="2"/>
  <c r="L11875" i="2"/>
  <c r="L11876" i="2"/>
  <c r="L11877" i="2"/>
  <c r="L11878" i="2"/>
  <c r="L11879" i="2"/>
  <c r="L11880" i="2"/>
  <c r="L11881" i="2"/>
  <c r="L11882" i="2"/>
  <c r="L11883" i="2"/>
  <c r="L11884" i="2"/>
  <c r="L11885" i="2"/>
  <c r="L11886" i="2"/>
  <c r="L11887" i="2"/>
  <c r="L11888" i="2"/>
  <c r="L11889" i="2"/>
  <c r="L11890" i="2"/>
  <c r="L11891" i="2"/>
  <c r="L11892" i="2"/>
  <c r="L11893" i="2"/>
  <c r="L11894" i="2"/>
  <c r="L11895" i="2"/>
  <c r="L11896" i="2"/>
  <c r="L11897" i="2"/>
  <c r="L11898" i="2"/>
  <c r="L11899" i="2"/>
  <c r="L11900" i="2"/>
  <c r="L11901" i="2"/>
  <c r="L11902" i="2"/>
  <c r="L11903" i="2"/>
  <c r="L11904" i="2"/>
  <c r="L11905" i="2"/>
  <c r="L11906" i="2"/>
  <c r="L11907" i="2"/>
  <c r="L11908" i="2"/>
  <c r="L11909" i="2"/>
  <c r="L11910" i="2"/>
  <c r="L11911" i="2"/>
  <c r="L11912" i="2"/>
  <c r="L11913" i="2"/>
  <c r="L11914" i="2"/>
  <c r="L11915" i="2"/>
  <c r="L11916" i="2"/>
  <c r="L11917" i="2"/>
  <c r="L11918" i="2"/>
  <c r="L11919" i="2"/>
  <c r="L11920" i="2"/>
  <c r="L11921" i="2"/>
  <c r="L11922" i="2"/>
  <c r="L11923" i="2"/>
  <c r="L11924" i="2"/>
  <c r="L11925" i="2"/>
  <c r="L11926" i="2"/>
  <c r="L11927" i="2"/>
  <c r="L11928" i="2"/>
  <c r="L11929" i="2"/>
  <c r="L11930" i="2"/>
  <c r="L11931" i="2"/>
  <c r="L11932" i="2"/>
  <c r="L11933" i="2"/>
  <c r="L11934" i="2"/>
  <c r="L11935" i="2"/>
  <c r="L11936" i="2"/>
  <c r="L11937" i="2"/>
  <c r="L11938" i="2"/>
  <c r="L11939" i="2"/>
  <c r="L11940" i="2"/>
  <c r="L11941" i="2"/>
  <c r="L11942" i="2"/>
  <c r="L11943" i="2"/>
  <c r="L11944" i="2"/>
  <c r="L11945" i="2"/>
  <c r="L11946" i="2"/>
  <c r="L11947" i="2"/>
  <c r="L11948" i="2"/>
  <c r="L11949" i="2"/>
  <c r="L11950" i="2"/>
  <c r="L11951" i="2"/>
  <c r="L11952" i="2"/>
  <c r="L11953" i="2"/>
  <c r="L11954" i="2"/>
  <c r="L11955" i="2"/>
  <c r="L11956" i="2"/>
  <c r="L11957" i="2"/>
  <c r="L11958" i="2"/>
  <c r="L11959" i="2"/>
  <c r="L11960" i="2"/>
  <c r="L11961" i="2"/>
  <c r="L11962" i="2"/>
  <c r="L11963" i="2"/>
  <c r="L11964" i="2"/>
  <c r="L11965" i="2"/>
  <c r="L11966" i="2"/>
  <c r="L11967" i="2"/>
  <c r="L11968" i="2"/>
  <c r="L11969" i="2"/>
  <c r="L11970" i="2"/>
  <c r="L11971" i="2"/>
  <c r="L11972" i="2"/>
  <c r="L11973" i="2"/>
  <c r="L11974" i="2"/>
  <c r="L11975" i="2"/>
  <c r="L11976" i="2"/>
  <c r="L11977" i="2"/>
  <c r="L11978" i="2"/>
  <c r="L11979" i="2"/>
  <c r="L11980" i="2"/>
  <c r="L11981" i="2"/>
  <c r="L11982" i="2"/>
  <c r="L11983" i="2"/>
  <c r="L11984" i="2"/>
  <c r="L11985" i="2"/>
  <c r="L11986" i="2"/>
  <c r="L11987" i="2"/>
  <c r="L11988" i="2"/>
  <c r="L11989" i="2"/>
  <c r="L11990" i="2"/>
  <c r="L11991" i="2"/>
  <c r="L11992" i="2"/>
  <c r="L11993" i="2"/>
  <c r="L11994" i="2"/>
  <c r="L11995" i="2"/>
  <c r="L11996" i="2"/>
  <c r="L11997" i="2"/>
  <c r="L11998" i="2"/>
  <c r="L11999" i="2"/>
  <c r="L12000" i="2"/>
  <c r="L12001" i="2"/>
  <c r="L12002" i="2"/>
  <c r="L12003" i="2"/>
  <c r="L12004" i="2"/>
  <c r="L12005" i="2"/>
  <c r="L12006" i="2"/>
  <c r="L12007" i="2"/>
  <c r="L12008" i="2"/>
  <c r="L12009" i="2"/>
  <c r="L12010" i="2"/>
  <c r="L12011" i="2"/>
  <c r="L12012" i="2"/>
  <c r="L12013" i="2"/>
  <c r="L12014" i="2"/>
  <c r="L12015" i="2"/>
  <c r="L12016" i="2"/>
  <c r="L12017" i="2"/>
  <c r="L12018" i="2"/>
  <c r="L12019" i="2"/>
  <c r="L12020" i="2"/>
  <c r="L12021" i="2"/>
  <c r="L12022" i="2"/>
  <c r="L12023" i="2"/>
  <c r="L12024" i="2"/>
  <c r="L12025" i="2"/>
  <c r="L12026" i="2"/>
  <c r="L12027" i="2"/>
  <c r="L12028" i="2"/>
  <c r="L12029" i="2"/>
  <c r="L12030" i="2"/>
  <c r="L12031" i="2"/>
  <c r="L12032" i="2"/>
  <c r="L12033" i="2"/>
  <c r="L12034" i="2"/>
  <c r="L12035" i="2"/>
  <c r="L12036" i="2"/>
  <c r="L12037" i="2"/>
  <c r="L12038" i="2"/>
  <c r="L12039" i="2"/>
  <c r="L12040" i="2"/>
  <c r="L12041" i="2"/>
  <c r="L12042" i="2"/>
  <c r="L12043" i="2"/>
  <c r="L12044" i="2"/>
  <c r="L12045" i="2"/>
  <c r="L12046" i="2"/>
  <c r="L12047" i="2"/>
  <c r="L12048" i="2"/>
  <c r="L12049" i="2"/>
  <c r="L12050" i="2"/>
  <c r="L12051" i="2"/>
  <c r="L12052" i="2"/>
  <c r="L12053" i="2"/>
  <c r="L12054" i="2"/>
  <c r="L12055" i="2"/>
  <c r="L12056" i="2"/>
  <c r="L12057" i="2"/>
  <c r="L12058" i="2"/>
  <c r="L12059" i="2"/>
  <c r="L12060" i="2"/>
  <c r="L12061" i="2"/>
  <c r="L12062" i="2"/>
  <c r="L12063" i="2"/>
  <c r="L12064" i="2"/>
  <c r="L12065" i="2"/>
  <c r="L12066" i="2"/>
  <c r="L12067" i="2"/>
  <c r="L12068" i="2"/>
  <c r="L12069" i="2"/>
  <c r="L12070" i="2"/>
  <c r="L12071" i="2"/>
  <c r="L12072" i="2"/>
  <c r="L12073" i="2"/>
  <c r="L12074" i="2"/>
  <c r="L12075" i="2"/>
  <c r="L12076" i="2"/>
  <c r="L12077" i="2"/>
  <c r="L12078" i="2"/>
  <c r="L12079" i="2"/>
  <c r="L12080" i="2"/>
  <c r="L12081" i="2"/>
  <c r="L12082" i="2"/>
  <c r="L12083" i="2"/>
  <c r="L12084" i="2"/>
  <c r="L12085" i="2"/>
  <c r="L12086" i="2"/>
  <c r="L12087" i="2"/>
  <c r="L12088" i="2"/>
  <c r="L12089" i="2"/>
  <c r="L12090" i="2"/>
  <c r="L12091" i="2"/>
  <c r="L12092" i="2"/>
  <c r="L12093" i="2"/>
  <c r="L12094" i="2"/>
  <c r="L12095" i="2"/>
  <c r="L12096" i="2"/>
  <c r="L12097" i="2"/>
  <c r="L12098" i="2"/>
  <c r="L12099" i="2"/>
  <c r="L12100" i="2"/>
  <c r="L12101" i="2"/>
  <c r="L12102" i="2"/>
  <c r="L12103" i="2"/>
  <c r="L12104" i="2"/>
  <c r="L12105" i="2"/>
  <c r="L12106" i="2"/>
  <c r="L12107" i="2"/>
  <c r="L12108" i="2"/>
  <c r="L12109" i="2"/>
  <c r="L12110" i="2"/>
  <c r="L12111" i="2"/>
  <c r="L12112" i="2"/>
  <c r="L12113" i="2"/>
  <c r="L12114" i="2"/>
  <c r="L12115" i="2"/>
  <c r="L12116" i="2"/>
  <c r="L12117" i="2"/>
  <c r="L12118" i="2"/>
  <c r="L12119" i="2"/>
  <c r="L12120" i="2"/>
  <c r="L12121" i="2"/>
  <c r="L12122" i="2"/>
  <c r="L12123" i="2"/>
  <c r="L12124" i="2"/>
  <c r="L12125" i="2"/>
  <c r="L12126" i="2"/>
  <c r="L12127" i="2"/>
  <c r="L12128" i="2"/>
  <c r="L12129" i="2"/>
  <c r="L12130" i="2"/>
  <c r="L12131" i="2"/>
  <c r="L12132" i="2"/>
  <c r="L12133" i="2"/>
  <c r="L12134" i="2"/>
  <c r="L12135" i="2"/>
  <c r="L12136" i="2"/>
  <c r="L12137" i="2"/>
  <c r="L12138" i="2"/>
  <c r="L12139" i="2"/>
  <c r="L12140" i="2"/>
  <c r="L12141" i="2"/>
  <c r="L12142" i="2"/>
  <c r="L12143" i="2"/>
  <c r="L12144" i="2"/>
  <c r="L12145" i="2"/>
  <c r="L12146" i="2"/>
  <c r="L12147" i="2"/>
  <c r="L12148" i="2"/>
  <c r="L12149" i="2"/>
  <c r="L12150" i="2"/>
  <c r="L12151" i="2"/>
  <c r="L12152" i="2"/>
  <c r="L12153" i="2"/>
  <c r="L12154" i="2"/>
  <c r="L12155" i="2"/>
  <c r="L12156" i="2"/>
  <c r="L12157" i="2"/>
  <c r="L12158" i="2"/>
  <c r="L12159" i="2"/>
  <c r="L12160" i="2"/>
  <c r="L12161" i="2"/>
  <c r="L12162" i="2"/>
  <c r="L12163" i="2"/>
  <c r="L12164" i="2"/>
  <c r="L12165" i="2"/>
  <c r="L12166" i="2"/>
  <c r="L12167" i="2"/>
  <c r="L12168" i="2"/>
  <c r="L12169" i="2"/>
  <c r="L12170" i="2"/>
  <c r="L12171" i="2"/>
  <c r="L12172" i="2"/>
  <c r="L12173" i="2"/>
  <c r="L12174" i="2"/>
  <c r="L12175" i="2"/>
  <c r="L12176" i="2"/>
  <c r="L12177" i="2"/>
  <c r="L12178" i="2"/>
  <c r="L12179" i="2"/>
  <c r="L12180" i="2"/>
  <c r="L12181" i="2"/>
  <c r="L12182" i="2"/>
  <c r="L12183" i="2"/>
  <c r="L12184" i="2"/>
  <c r="L12185" i="2"/>
  <c r="L12186" i="2"/>
  <c r="L12187" i="2"/>
  <c r="L12188" i="2"/>
  <c r="L12189" i="2"/>
  <c r="L12190" i="2"/>
  <c r="L12191" i="2"/>
  <c r="L12192" i="2"/>
  <c r="L12193" i="2"/>
  <c r="L12194" i="2"/>
  <c r="L12195" i="2"/>
  <c r="L12196" i="2"/>
  <c r="L12197" i="2"/>
  <c r="L12198" i="2"/>
  <c r="L12199" i="2"/>
  <c r="L12200" i="2"/>
  <c r="L12201" i="2"/>
  <c r="L12202" i="2"/>
  <c r="L12203" i="2"/>
  <c r="L12204" i="2"/>
  <c r="L12205" i="2"/>
  <c r="L12206" i="2"/>
  <c r="L12207" i="2"/>
  <c r="L12208" i="2"/>
  <c r="L12209" i="2"/>
  <c r="L12210" i="2"/>
  <c r="L12211" i="2"/>
  <c r="L12212" i="2"/>
  <c r="L12213" i="2"/>
  <c r="L12214" i="2"/>
  <c r="L12215" i="2"/>
  <c r="L12216" i="2"/>
  <c r="L12217" i="2"/>
  <c r="L12218" i="2"/>
  <c r="L12219" i="2"/>
  <c r="L12220" i="2"/>
  <c r="L12221" i="2"/>
  <c r="L12222" i="2"/>
  <c r="L12223" i="2"/>
  <c r="L12224" i="2"/>
  <c r="L12225" i="2"/>
  <c r="L12226" i="2"/>
  <c r="L12227" i="2"/>
  <c r="L12228" i="2"/>
  <c r="L12229" i="2"/>
  <c r="L12230" i="2"/>
  <c r="L12231" i="2"/>
  <c r="L12232" i="2"/>
  <c r="L12233" i="2"/>
  <c r="L12234" i="2"/>
  <c r="L12235" i="2"/>
  <c r="L12236" i="2"/>
  <c r="L12237" i="2"/>
  <c r="L12238" i="2"/>
  <c r="L12239" i="2"/>
  <c r="L12240" i="2"/>
  <c r="L12241" i="2"/>
  <c r="L12242" i="2"/>
  <c r="L12243" i="2"/>
  <c r="L12244" i="2"/>
  <c r="L12245" i="2"/>
  <c r="L12246" i="2"/>
  <c r="L12247" i="2"/>
  <c r="L12248" i="2"/>
  <c r="L12249" i="2"/>
  <c r="L12250" i="2"/>
  <c r="L12251" i="2"/>
  <c r="L12252" i="2"/>
  <c r="L12253" i="2"/>
  <c r="L12254" i="2"/>
  <c r="L12255" i="2"/>
  <c r="L12256" i="2"/>
  <c r="L12257" i="2"/>
  <c r="L12258" i="2"/>
  <c r="L12259" i="2"/>
  <c r="L12260" i="2"/>
  <c r="L12261" i="2"/>
  <c r="L12262" i="2"/>
  <c r="L12263" i="2"/>
  <c r="L12264" i="2"/>
  <c r="L12265" i="2"/>
  <c r="L12266" i="2"/>
  <c r="L12267" i="2"/>
  <c r="L12268" i="2"/>
  <c r="L12269" i="2"/>
  <c r="L12270" i="2"/>
  <c r="L12271" i="2"/>
  <c r="L12272" i="2"/>
  <c r="L12273" i="2"/>
  <c r="L12274" i="2"/>
  <c r="L12275" i="2"/>
  <c r="L12276" i="2"/>
  <c r="L12277" i="2"/>
  <c r="L12278" i="2"/>
  <c r="L12279" i="2"/>
  <c r="L12280" i="2"/>
  <c r="L12281" i="2"/>
  <c r="L12282" i="2"/>
  <c r="L12283" i="2"/>
  <c r="L12284" i="2"/>
  <c r="L12285" i="2"/>
  <c r="L12286" i="2"/>
  <c r="L12287" i="2"/>
  <c r="L12288" i="2"/>
  <c r="L12289" i="2"/>
  <c r="L12290" i="2"/>
  <c r="L12291" i="2"/>
  <c r="L12292" i="2"/>
  <c r="L12293" i="2"/>
  <c r="L12294" i="2"/>
  <c r="L12295" i="2"/>
  <c r="L12296" i="2"/>
  <c r="L12297" i="2"/>
  <c r="L12298" i="2"/>
  <c r="L12299" i="2"/>
  <c r="L12300" i="2"/>
  <c r="L12301" i="2"/>
  <c r="L12302" i="2"/>
  <c r="L12303" i="2"/>
  <c r="L12304" i="2"/>
  <c r="L12305" i="2"/>
  <c r="L12306" i="2"/>
  <c r="L12307" i="2"/>
  <c r="L12308" i="2"/>
  <c r="L12309" i="2"/>
  <c r="L12310" i="2"/>
  <c r="L12311" i="2"/>
  <c r="L12312" i="2"/>
  <c r="L12313" i="2"/>
  <c r="L12314" i="2"/>
  <c r="L12315" i="2"/>
  <c r="L12316" i="2"/>
  <c r="L12317" i="2"/>
  <c r="L12318" i="2"/>
  <c r="L12319" i="2"/>
  <c r="L12320" i="2"/>
  <c r="L12321" i="2"/>
  <c r="L12322" i="2"/>
  <c r="L12323" i="2"/>
  <c r="L12324" i="2"/>
  <c r="L12325" i="2"/>
  <c r="L12326" i="2"/>
  <c r="L12327" i="2"/>
  <c r="L12328" i="2"/>
  <c r="L12329" i="2"/>
  <c r="L12330" i="2"/>
  <c r="L12331" i="2"/>
  <c r="L12332" i="2"/>
  <c r="L12333" i="2"/>
  <c r="L12334" i="2"/>
  <c r="L12335" i="2"/>
  <c r="L12336" i="2"/>
  <c r="L12337" i="2"/>
  <c r="L12338" i="2"/>
  <c r="L12339" i="2"/>
  <c r="L12340" i="2"/>
  <c r="L12341" i="2"/>
  <c r="L12342" i="2"/>
  <c r="L12343" i="2"/>
  <c r="L12344" i="2"/>
  <c r="L12345" i="2"/>
  <c r="L12346" i="2"/>
  <c r="L12347" i="2"/>
  <c r="L12348" i="2"/>
  <c r="L12349" i="2"/>
  <c r="L12350" i="2"/>
  <c r="L12351" i="2"/>
  <c r="L12352" i="2"/>
  <c r="L12353" i="2"/>
  <c r="L12354" i="2"/>
  <c r="L12355" i="2"/>
  <c r="L12356" i="2"/>
  <c r="L12357" i="2"/>
  <c r="L12358" i="2"/>
  <c r="L12359" i="2"/>
  <c r="L12360" i="2"/>
  <c r="L12361" i="2"/>
  <c r="L12362" i="2"/>
  <c r="L12363" i="2"/>
  <c r="L12364" i="2"/>
  <c r="L12365" i="2"/>
  <c r="L12366" i="2"/>
  <c r="L12367" i="2"/>
  <c r="L12368" i="2"/>
  <c r="L12369" i="2"/>
  <c r="L12370" i="2"/>
  <c r="L12371" i="2"/>
  <c r="L12372" i="2"/>
  <c r="L12373" i="2"/>
  <c r="L12374" i="2"/>
  <c r="L12375" i="2"/>
  <c r="L12376" i="2"/>
  <c r="L12377" i="2"/>
  <c r="L12378" i="2"/>
  <c r="L12379" i="2"/>
  <c r="L12380" i="2"/>
  <c r="L12381" i="2"/>
  <c r="L12382" i="2"/>
  <c r="L12383" i="2"/>
  <c r="L12384" i="2"/>
  <c r="L12385" i="2"/>
  <c r="L12386" i="2"/>
  <c r="L12387" i="2"/>
  <c r="L12388" i="2"/>
  <c r="L12389" i="2"/>
  <c r="L12390" i="2"/>
  <c r="L12391" i="2"/>
  <c r="L12392" i="2"/>
  <c r="L12393" i="2"/>
  <c r="L12394" i="2"/>
  <c r="L12395" i="2"/>
  <c r="L12396" i="2"/>
  <c r="L12397" i="2"/>
  <c r="L12398" i="2"/>
  <c r="L12399" i="2"/>
  <c r="L12400" i="2"/>
  <c r="L12401" i="2"/>
  <c r="L12402" i="2"/>
  <c r="L12403" i="2"/>
  <c r="L12404" i="2"/>
  <c r="L12405" i="2"/>
  <c r="L12406" i="2"/>
  <c r="L12407" i="2"/>
  <c r="L12408" i="2"/>
  <c r="L12409" i="2"/>
  <c r="L12410" i="2"/>
  <c r="L12411" i="2"/>
  <c r="L12412" i="2"/>
  <c r="L12413" i="2"/>
  <c r="L12414" i="2"/>
  <c r="L12415" i="2"/>
  <c r="L12416" i="2"/>
  <c r="L12417" i="2"/>
  <c r="L12418" i="2"/>
  <c r="L12419" i="2"/>
  <c r="L12420" i="2"/>
  <c r="L12421" i="2"/>
  <c r="L12422" i="2"/>
  <c r="L12423" i="2"/>
  <c r="L12424" i="2"/>
  <c r="L12425" i="2"/>
  <c r="L12426" i="2"/>
  <c r="L12427" i="2"/>
  <c r="L12428" i="2"/>
  <c r="L12429" i="2"/>
  <c r="L12430" i="2"/>
  <c r="L12431" i="2"/>
  <c r="L12432" i="2"/>
  <c r="L12433" i="2"/>
  <c r="L12434" i="2"/>
  <c r="L12435" i="2"/>
  <c r="L12436" i="2"/>
  <c r="L12437" i="2"/>
  <c r="L12438" i="2"/>
  <c r="L12439" i="2"/>
  <c r="L12440" i="2"/>
  <c r="L12441" i="2"/>
  <c r="L12442" i="2"/>
  <c r="L12443" i="2"/>
  <c r="L12444" i="2"/>
  <c r="L12445" i="2"/>
  <c r="L12446" i="2"/>
  <c r="L12447" i="2"/>
  <c r="L12448" i="2"/>
  <c r="L12449" i="2"/>
  <c r="L12450" i="2"/>
  <c r="L12451" i="2"/>
  <c r="L12452" i="2"/>
  <c r="L12453" i="2"/>
  <c r="L12454" i="2"/>
  <c r="L12455" i="2"/>
  <c r="L12456" i="2"/>
  <c r="L12457" i="2"/>
  <c r="L12458" i="2"/>
  <c r="L12459" i="2"/>
  <c r="L12460" i="2"/>
  <c r="L12461" i="2"/>
  <c r="L12462" i="2"/>
  <c r="L12463" i="2"/>
  <c r="L12464" i="2"/>
  <c r="L12465" i="2"/>
  <c r="L12466" i="2"/>
  <c r="L12467" i="2"/>
  <c r="L12468" i="2"/>
  <c r="L12469" i="2"/>
  <c r="L12470" i="2"/>
  <c r="L12471" i="2"/>
  <c r="L12472" i="2"/>
  <c r="L12473" i="2"/>
  <c r="L12474" i="2"/>
  <c r="L12475" i="2"/>
  <c r="L12476" i="2"/>
  <c r="L12477" i="2"/>
  <c r="L12478" i="2"/>
  <c r="L12479" i="2"/>
  <c r="L12480" i="2"/>
  <c r="L12481" i="2"/>
  <c r="L12482" i="2"/>
  <c r="L12483" i="2"/>
  <c r="L12484" i="2"/>
  <c r="L12485" i="2"/>
  <c r="L12486" i="2"/>
  <c r="L12487" i="2"/>
  <c r="L12488" i="2"/>
  <c r="L12489" i="2"/>
  <c r="L12490" i="2"/>
  <c r="L12491" i="2"/>
  <c r="L12492" i="2"/>
  <c r="L12493" i="2"/>
  <c r="L12494" i="2"/>
  <c r="L12495" i="2"/>
  <c r="L12496" i="2"/>
  <c r="L12497" i="2"/>
  <c r="L12498" i="2"/>
  <c r="L12499" i="2"/>
  <c r="L12500" i="2"/>
  <c r="L12501" i="2"/>
  <c r="L12502" i="2"/>
  <c r="L12503" i="2"/>
  <c r="L12504" i="2"/>
  <c r="L12505" i="2"/>
  <c r="L12506" i="2"/>
  <c r="L12507" i="2"/>
  <c r="L12508" i="2"/>
  <c r="L12509" i="2"/>
  <c r="L12510" i="2"/>
  <c r="L12511" i="2"/>
  <c r="L12512" i="2"/>
  <c r="L12513" i="2"/>
  <c r="L12514" i="2"/>
  <c r="L12515" i="2"/>
  <c r="L12516" i="2"/>
  <c r="L12517" i="2"/>
  <c r="L12518" i="2"/>
  <c r="L12519" i="2"/>
  <c r="L12520" i="2"/>
  <c r="L12521" i="2"/>
  <c r="L12522" i="2"/>
  <c r="L12523" i="2"/>
  <c r="L12524" i="2"/>
  <c r="L12525" i="2"/>
  <c r="L12526" i="2"/>
  <c r="L12527" i="2"/>
  <c r="L12528" i="2"/>
  <c r="L12529" i="2"/>
  <c r="L12530" i="2"/>
  <c r="L12531" i="2"/>
  <c r="L12532" i="2"/>
  <c r="L12533" i="2"/>
  <c r="L12534" i="2"/>
  <c r="L12535" i="2"/>
  <c r="L12536" i="2"/>
  <c r="L12537" i="2"/>
  <c r="L12538" i="2"/>
  <c r="L12539" i="2"/>
  <c r="L12540" i="2"/>
  <c r="L12541" i="2"/>
  <c r="L12542" i="2"/>
  <c r="L12543" i="2"/>
  <c r="L12544" i="2"/>
  <c r="L12545" i="2"/>
  <c r="L12546" i="2"/>
  <c r="L12547" i="2"/>
  <c r="L12548" i="2"/>
  <c r="L12549" i="2"/>
  <c r="L12550" i="2"/>
  <c r="L12551" i="2"/>
  <c r="L12552" i="2"/>
  <c r="L12553" i="2"/>
  <c r="L12554" i="2"/>
  <c r="L12555" i="2"/>
  <c r="L12556" i="2"/>
  <c r="L12557" i="2"/>
  <c r="L12558" i="2"/>
  <c r="L12559" i="2"/>
  <c r="L12560" i="2"/>
  <c r="L12561" i="2"/>
  <c r="L12562" i="2"/>
  <c r="L12563" i="2"/>
  <c r="L12564" i="2"/>
  <c r="L12565" i="2"/>
  <c r="L12566" i="2"/>
  <c r="L12567" i="2"/>
  <c r="L12568" i="2"/>
  <c r="L12569" i="2"/>
  <c r="L12570" i="2"/>
  <c r="L12571" i="2"/>
  <c r="L12572" i="2"/>
  <c r="L12573" i="2"/>
  <c r="L12574" i="2"/>
  <c r="L12575" i="2"/>
  <c r="L12576" i="2"/>
  <c r="L12577" i="2"/>
  <c r="L12578" i="2"/>
  <c r="L12579" i="2"/>
  <c r="L12580" i="2"/>
  <c r="L12581" i="2"/>
  <c r="L12582" i="2"/>
  <c r="L12583" i="2"/>
  <c r="L12584" i="2"/>
  <c r="L12585" i="2"/>
  <c r="L12586" i="2"/>
  <c r="L12587" i="2"/>
  <c r="L12588" i="2"/>
  <c r="L12589" i="2"/>
  <c r="L12590" i="2"/>
  <c r="L12591" i="2"/>
  <c r="L12592" i="2"/>
  <c r="L12593" i="2"/>
  <c r="L12594" i="2"/>
  <c r="L12595" i="2"/>
  <c r="L12596" i="2"/>
  <c r="L12597" i="2"/>
  <c r="L12598" i="2"/>
  <c r="L12599" i="2"/>
  <c r="L12600" i="2"/>
  <c r="L12601" i="2"/>
  <c r="L12602" i="2"/>
  <c r="L12603" i="2"/>
  <c r="L12604" i="2"/>
  <c r="L12605" i="2"/>
  <c r="L12606" i="2"/>
  <c r="L12607" i="2"/>
  <c r="L12608" i="2"/>
  <c r="L12609" i="2"/>
  <c r="L12610" i="2"/>
  <c r="L12611" i="2"/>
  <c r="L12612" i="2"/>
  <c r="L12613" i="2"/>
  <c r="L12614" i="2"/>
  <c r="L12615" i="2"/>
  <c r="L12616" i="2"/>
  <c r="L12617" i="2"/>
  <c r="L12618" i="2"/>
  <c r="L12619" i="2"/>
  <c r="L12620" i="2"/>
  <c r="L12621" i="2"/>
  <c r="L12622" i="2"/>
  <c r="L12623" i="2"/>
  <c r="L12624" i="2"/>
  <c r="L12625" i="2"/>
  <c r="L12626" i="2"/>
  <c r="L12627" i="2"/>
  <c r="L12628" i="2"/>
  <c r="L12629" i="2"/>
  <c r="L12630" i="2"/>
  <c r="L12631" i="2"/>
  <c r="L12632" i="2"/>
  <c r="L12633" i="2"/>
  <c r="L12634" i="2"/>
  <c r="L12635" i="2"/>
  <c r="L12636" i="2"/>
  <c r="L12637" i="2"/>
  <c r="L12638" i="2"/>
  <c r="L12639" i="2"/>
  <c r="L12640" i="2"/>
  <c r="L12641" i="2"/>
  <c r="L12642" i="2"/>
  <c r="L12643" i="2"/>
  <c r="L12644" i="2"/>
  <c r="L12645" i="2"/>
  <c r="L12646" i="2"/>
  <c r="L12647" i="2"/>
  <c r="L12648" i="2"/>
  <c r="L12649" i="2"/>
  <c r="L12650" i="2"/>
  <c r="L12651" i="2"/>
  <c r="L12652" i="2"/>
  <c r="L12653" i="2"/>
  <c r="L12654" i="2"/>
  <c r="L12655" i="2"/>
  <c r="L12656" i="2"/>
  <c r="L12657" i="2"/>
  <c r="L12658" i="2"/>
  <c r="L12659" i="2"/>
  <c r="L12660" i="2"/>
  <c r="L12661" i="2"/>
  <c r="L12662" i="2"/>
  <c r="L12663" i="2"/>
  <c r="L12664" i="2"/>
  <c r="L12665" i="2"/>
  <c r="L12666" i="2"/>
  <c r="L12667" i="2"/>
  <c r="L12668" i="2"/>
  <c r="L12669" i="2"/>
  <c r="L12670" i="2"/>
  <c r="L12671" i="2"/>
  <c r="L12672" i="2"/>
  <c r="L12673" i="2"/>
  <c r="L12674" i="2"/>
  <c r="L12675" i="2"/>
  <c r="L12676" i="2"/>
  <c r="L12677" i="2"/>
  <c r="L12678" i="2"/>
  <c r="L12679" i="2"/>
  <c r="L12680" i="2"/>
  <c r="L12681" i="2"/>
  <c r="L12682" i="2"/>
  <c r="L12683" i="2"/>
  <c r="L12684" i="2"/>
  <c r="L12685" i="2"/>
  <c r="L12686" i="2"/>
  <c r="L12687" i="2"/>
  <c r="L12688" i="2"/>
  <c r="L12689" i="2"/>
  <c r="L12690" i="2"/>
  <c r="L12691" i="2"/>
  <c r="L12692" i="2"/>
  <c r="L12693" i="2"/>
  <c r="L12694" i="2"/>
  <c r="L12695" i="2"/>
  <c r="L12696" i="2"/>
  <c r="L12697" i="2"/>
  <c r="L12698" i="2"/>
  <c r="L12699" i="2"/>
  <c r="L12700" i="2"/>
  <c r="L12701" i="2"/>
  <c r="L12702" i="2"/>
  <c r="L12703" i="2"/>
  <c r="L12704" i="2"/>
  <c r="L12705" i="2"/>
  <c r="L12706" i="2"/>
  <c r="L12707" i="2"/>
  <c r="L12708" i="2"/>
  <c r="L12709" i="2"/>
  <c r="L12710" i="2"/>
  <c r="L12711" i="2"/>
  <c r="L12712" i="2"/>
  <c r="L12713" i="2"/>
  <c r="L12714" i="2"/>
  <c r="L12715" i="2"/>
  <c r="L12716" i="2"/>
  <c r="L12717" i="2"/>
  <c r="L12718" i="2"/>
  <c r="L12719" i="2"/>
  <c r="L12720" i="2"/>
  <c r="L12721" i="2"/>
  <c r="L12722" i="2"/>
  <c r="L12723" i="2"/>
  <c r="L12724" i="2"/>
  <c r="L12725" i="2"/>
  <c r="L12726" i="2"/>
  <c r="L12727" i="2"/>
  <c r="L12728" i="2"/>
  <c r="L12729" i="2"/>
  <c r="L12730" i="2"/>
  <c r="L12731" i="2"/>
  <c r="L12732" i="2"/>
  <c r="L12733" i="2"/>
  <c r="L12734" i="2"/>
  <c r="L12735" i="2"/>
  <c r="L12736" i="2"/>
  <c r="L12737" i="2"/>
  <c r="L12738" i="2"/>
  <c r="L12739" i="2"/>
  <c r="L12740" i="2"/>
  <c r="L12741" i="2"/>
  <c r="L12742" i="2"/>
  <c r="L12743" i="2"/>
  <c r="L12744" i="2"/>
  <c r="L12745" i="2"/>
  <c r="L12746" i="2"/>
  <c r="L12747" i="2"/>
  <c r="L12748" i="2"/>
  <c r="L12749" i="2"/>
  <c r="L12750" i="2"/>
  <c r="L12751" i="2"/>
  <c r="L12752" i="2"/>
  <c r="L12753" i="2"/>
  <c r="L12754" i="2"/>
  <c r="L12755" i="2"/>
  <c r="L12756" i="2"/>
  <c r="L12757" i="2"/>
  <c r="L12758" i="2"/>
  <c r="L12759" i="2"/>
  <c r="L12760" i="2"/>
  <c r="L12761" i="2"/>
  <c r="L12762" i="2"/>
  <c r="L12763" i="2"/>
  <c r="L12764" i="2"/>
  <c r="L12765" i="2"/>
  <c r="L12766" i="2"/>
  <c r="L12767" i="2"/>
  <c r="L12768" i="2"/>
  <c r="L12769" i="2"/>
  <c r="L12770" i="2"/>
  <c r="L12771" i="2"/>
  <c r="L12772" i="2"/>
  <c r="L12773" i="2"/>
  <c r="L12774" i="2"/>
  <c r="L12775" i="2"/>
  <c r="L12776" i="2"/>
  <c r="L12777" i="2"/>
  <c r="L12778" i="2"/>
  <c r="L12779" i="2"/>
  <c r="L12780" i="2"/>
  <c r="L12781" i="2"/>
  <c r="L12782" i="2"/>
  <c r="L12783" i="2"/>
  <c r="L12784" i="2"/>
  <c r="L12785" i="2"/>
  <c r="L12786" i="2"/>
  <c r="L12787" i="2"/>
  <c r="L12788" i="2"/>
  <c r="L12789" i="2"/>
  <c r="L12790" i="2"/>
  <c r="L12791" i="2"/>
  <c r="L12792" i="2"/>
  <c r="L12793" i="2"/>
  <c r="L12794" i="2"/>
  <c r="L12795" i="2"/>
  <c r="L12796" i="2"/>
  <c r="L12797" i="2"/>
  <c r="L12798" i="2"/>
  <c r="L12799" i="2"/>
  <c r="L12800" i="2"/>
  <c r="L12801" i="2"/>
  <c r="L12802" i="2"/>
  <c r="L12803" i="2"/>
  <c r="L12804" i="2"/>
  <c r="L12805" i="2"/>
  <c r="L12806" i="2"/>
  <c r="L12807" i="2"/>
  <c r="L12808" i="2"/>
  <c r="L12809" i="2"/>
  <c r="L12810" i="2"/>
  <c r="L12811" i="2"/>
  <c r="L12812" i="2"/>
  <c r="L12813" i="2"/>
  <c r="L12814" i="2"/>
  <c r="L12815" i="2"/>
  <c r="L12816" i="2"/>
  <c r="L12817" i="2"/>
  <c r="L12818" i="2"/>
  <c r="L12819" i="2"/>
  <c r="L12820" i="2"/>
  <c r="L12821" i="2"/>
  <c r="L12822" i="2"/>
  <c r="L12823" i="2"/>
  <c r="L12824" i="2"/>
  <c r="L12825" i="2"/>
  <c r="L12826" i="2"/>
  <c r="L12827" i="2"/>
  <c r="L12828" i="2"/>
  <c r="L12829" i="2"/>
  <c r="L12830" i="2"/>
  <c r="L12831" i="2"/>
  <c r="L12832" i="2"/>
  <c r="L12833" i="2"/>
  <c r="L12834" i="2"/>
  <c r="L12835" i="2"/>
  <c r="L12836" i="2"/>
  <c r="L12837" i="2"/>
  <c r="L12838" i="2"/>
  <c r="L12839" i="2"/>
  <c r="L12840" i="2"/>
  <c r="L12841" i="2"/>
  <c r="L12842" i="2"/>
  <c r="L12843" i="2"/>
  <c r="L12844" i="2"/>
  <c r="L12845" i="2"/>
  <c r="L12846" i="2"/>
  <c r="L12847" i="2"/>
  <c r="L12848" i="2"/>
  <c r="L12849" i="2"/>
  <c r="L12850" i="2"/>
  <c r="L12851" i="2"/>
  <c r="L12852" i="2"/>
  <c r="L12853" i="2"/>
  <c r="L12854" i="2"/>
  <c r="L12855" i="2"/>
  <c r="L12856" i="2"/>
  <c r="L12857" i="2"/>
  <c r="L12858" i="2"/>
  <c r="L12859" i="2"/>
  <c r="L12860" i="2"/>
  <c r="L12861" i="2"/>
  <c r="L12862" i="2"/>
  <c r="L12863" i="2"/>
  <c r="L12864" i="2"/>
  <c r="L12865" i="2"/>
  <c r="L12866" i="2"/>
  <c r="L12867" i="2"/>
  <c r="L12868" i="2"/>
  <c r="L12869" i="2"/>
  <c r="L12870" i="2"/>
  <c r="L12871" i="2"/>
  <c r="L12872" i="2"/>
  <c r="L12873" i="2"/>
  <c r="L12874" i="2"/>
  <c r="L12875" i="2"/>
  <c r="L12876" i="2"/>
  <c r="L12877" i="2"/>
  <c r="L12878" i="2"/>
  <c r="L12879" i="2"/>
  <c r="L12880" i="2"/>
  <c r="L12881" i="2"/>
  <c r="L12882" i="2"/>
  <c r="L12883" i="2"/>
  <c r="L12884" i="2"/>
  <c r="L12885" i="2"/>
  <c r="L12886" i="2"/>
  <c r="L12887" i="2"/>
  <c r="L12888" i="2"/>
  <c r="L12889" i="2"/>
  <c r="L12890" i="2"/>
  <c r="L12891" i="2"/>
  <c r="L12892" i="2"/>
  <c r="L12893" i="2"/>
  <c r="L12894" i="2"/>
  <c r="L12895" i="2"/>
  <c r="L12896" i="2"/>
  <c r="L12897" i="2"/>
  <c r="L12898" i="2"/>
  <c r="L12899" i="2"/>
  <c r="L12900" i="2"/>
  <c r="L12901" i="2"/>
  <c r="L12902" i="2"/>
  <c r="L12903" i="2"/>
  <c r="L12904" i="2"/>
  <c r="L12905" i="2"/>
  <c r="L12906" i="2"/>
  <c r="L12907" i="2"/>
  <c r="L12908" i="2"/>
  <c r="L12909" i="2"/>
  <c r="L12910" i="2"/>
  <c r="L12911" i="2"/>
  <c r="L12912" i="2"/>
  <c r="L12913" i="2"/>
  <c r="L12914" i="2"/>
  <c r="L12915" i="2"/>
  <c r="L12916" i="2"/>
  <c r="L12917" i="2"/>
  <c r="L12918" i="2"/>
  <c r="L12919" i="2"/>
  <c r="L12920" i="2"/>
  <c r="L12921" i="2"/>
  <c r="L12922" i="2"/>
  <c r="L12923" i="2"/>
  <c r="L12924" i="2"/>
  <c r="L12925" i="2"/>
  <c r="L12926" i="2"/>
  <c r="L12927" i="2"/>
  <c r="L12928" i="2"/>
  <c r="L12929" i="2"/>
  <c r="L12930" i="2"/>
  <c r="L12931" i="2"/>
  <c r="L12932" i="2"/>
  <c r="L12933" i="2"/>
  <c r="L12934" i="2"/>
  <c r="L12935" i="2"/>
  <c r="L12936" i="2"/>
  <c r="L12937" i="2"/>
  <c r="L12938" i="2"/>
  <c r="L12939" i="2"/>
  <c r="L12940" i="2"/>
  <c r="L12941" i="2"/>
  <c r="L12942" i="2"/>
  <c r="L12943" i="2"/>
  <c r="L12944" i="2"/>
  <c r="L12945" i="2"/>
  <c r="L12946" i="2"/>
  <c r="L12947" i="2"/>
  <c r="L12948" i="2"/>
  <c r="L12949" i="2"/>
  <c r="L12950" i="2"/>
  <c r="L12951" i="2"/>
  <c r="L12952" i="2"/>
  <c r="L12953" i="2"/>
  <c r="L12954" i="2"/>
  <c r="L12955" i="2"/>
  <c r="L12956" i="2"/>
  <c r="L12957" i="2"/>
  <c r="L12958" i="2"/>
  <c r="L12959" i="2"/>
  <c r="L12960" i="2"/>
  <c r="L12961" i="2"/>
  <c r="L12962" i="2"/>
  <c r="L12963" i="2"/>
  <c r="L12964" i="2"/>
  <c r="L12965" i="2"/>
  <c r="L12966" i="2"/>
  <c r="L12967" i="2"/>
  <c r="L12968" i="2"/>
  <c r="L12969" i="2"/>
  <c r="L12970" i="2"/>
  <c r="L12971" i="2"/>
  <c r="L12972" i="2"/>
  <c r="L12973" i="2"/>
  <c r="L12974" i="2"/>
  <c r="L12975" i="2"/>
  <c r="L12976" i="2"/>
  <c r="L12977" i="2"/>
  <c r="L12978" i="2"/>
  <c r="L12979" i="2"/>
  <c r="L12980" i="2"/>
  <c r="L12981" i="2"/>
  <c r="L12982" i="2"/>
  <c r="L12983" i="2"/>
  <c r="L12984" i="2"/>
  <c r="L12985" i="2"/>
  <c r="L12986" i="2"/>
  <c r="L12987" i="2"/>
  <c r="L12988" i="2"/>
  <c r="L12989" i="2"/>
  <c r="L12990" i="2"/>
  <c r="L12991" i="2"/>
  <c r="L12992" i="2"/>
  <c r="L12993" i="2"/>
  <c r="L12994" i="2"/>
  <c r="L12995" i="2"/>
  <c r="L12996" i="2"/>
  <c r="L12997" i="2"/>
  <c r="L12998" i="2"/>
  <c r="L12999" i="2"/>
  <c r="L13000" i="2"/>
  <c r="L13001" i="2"/>
  <c r="L13002" i="2"/>
  <c r="L13003" i="2"/>
  <c r="L13004" i="2"/>
  <c r="L13005" i="2"/>
  <c r="L13006" i="2"/>
  <c r="L13007" i="2"/>
  <c r="L13008" i="2"/>
  <c r="L13009" i="2"/>
  <c r="L13010" i="2"/>
  <c r="L13011" i="2"/>
  <c r="L13012" i="2"/>
  <c r="L13013" i="2"/>
  <c r="L13014" i="2"/>
  <c r="L13015" i="2"/>
  <c r="L13016" i="2"/>
  <c r="L13017" i="2"/>
  <c r="L13018" i="2"/>
  <c r="L13019" i="2"/>
  <c r="L13020" i="2"/>
  <c r="L13021" i="2"/>
  <c r="L13022" i="2"/>
  <c r="L13023" i="2"/>
  <c r="L13024" i="2"/>
  <c r="L13025" i="2"/>
  <c r="L13026" i="2"/>
  <c r="L13027" i="2"/>
  <c r="L13028" i="2"/>
  <c r="L13029" i="2"/>
  <c r="L13030" i="2"/>
  <c r="L13031" i="2"/>
  <c r="L13032" i="2"/>
  <c r="L13033" i="2"/>
  <c r="L13034" i="2"/>
  <c r="L13035" i="2"/>
  <c r="L13036" i="2"/>
  <c r="L13037" i="2"/>
  <c r="L13038" i="2"/>
  <c r="L13039" i="2"/>
  <c r="L13040" i="2"/>
  <c r="L13041" i="2"/>
  <c r="L13042" i="2"/>
  <c r="L13043" i="2"/>
  <c r="L13044" i="2"/>
  <c r="L13045" i="2"/>
  <c r="L13046" i="2"/>
  <c r="L13047" i="2"/>
  <c r="L13048" i="2"/>
  <c r="L13049" i="2"/>
  <c r="L13050" i="2"/>
  <c r="L13051" i="2"/>
  <c r="L13052" i="2"/>
  <c r="L13053" i="2"/>
  <c r="L13054" i="2"/>
  <c r="L13055" i="2"/>
  <c r="L13056" i="2"/>
  <c r="L13057" i="2"/>
  <c r="L13058" i="2"/>
  <c r="L13059" i="2"/>
  <c r="L13060" i="2"/>
  <c r="L13061" i="2"/>
  <c r="L13062" i="2"/>
  <c r="L13063" i="2"/>
  <c r="L13064" i="2"/>
  <c r="L13065" i="2"/>
  <c r="L13066" i="2"/>
  <c r="L13067" i="2"/>
  <c r="L13068" i="2"/>
  <c r="L13069" i="2"/>
  <c r="L13070" i="2"/>
  <c r="L13071" i="2"/>
  <c r="L13072" i="2"/>
  <c r="L13073" i="2"/>
  <c r="L13074" i="2"/>
  <c r="L13075" i="2"/>
  <c r="L13076" i="2"/>
  <c r="L13077" i="2"/>
  <c r="L13078" i="2"/>
  <c r="L13079" i="2"/>
  <c r="L13080" i="2"/>
  <c r="L13081" i="2"/>
  <c r="L13082" i="2"/>
  <c r="L13083" i="2"/>
  <c r="L13084" i="2"/>
  <c r="L13085" i="2"/>
  <c r="L13086" i="2"/>
  <c r="L13087" i="2"/>
  <c r="L13088" i="2"/>
  <c r="L13089" i="2"/>
  <c r="L13090" i="2"/>
  <c r="L13091" i="2"/>
  <c r="L13092" i="2"/>
  <c r="L13093" i="2"/>
  <c r="L13094" i="2"/>
  <c r="L13095" i="2"/>
  <c r="L13096" i="2"/>
  <c r="L13097" i="2"/>
  <c r="L13098" i="2"/>
  <c r="L13099" i="2"/>
  <c r="L13100" i="2"/>
  <c r="L13101" i="2"/>
  <c r="L13102" i="2"/>
  <c r="L13103" i="2"/>
  <c r="L13104" i="2"/>
  <c r="L13105" i="2"/>
  <c r="L13106" i="2"/>
  <c r="L13107" i="2"/>
  <c r="L13108" i="2"/>
  <c r="L13109" i="2"/>
  <c r="L13110" i="2"/>
  <c r="L13111" i="2"/>
  <c r="L13112" i="2"/>
  <c r="L13113" i="2"/>
  <c r="L13114" i="2"/>
  <c r="L13115" i="2"/>
  <c r="L13116" i="2"/>
  <c r="L13117" i="2"/>
  <c r="L13118" i="2"/>
  <c r="L13119" i="2"/>
  <c r="L13120" i="2"/>
  <c r="L13121" i="2"/>
  <c r="L13122" i="2"/>
  <c r="L13123" i="2"/>
  <c r="L13124" i="2"/>
  <c r="L13125" i="2"/>
  <c r="L13126" i="2"/>
  <c r="L13127" i="2"/>
  <c r="L13128" i="2"/>
  <c r="L13129" i="2"/>
  <c r="L13130" i="2"/>
  <c r="L13131" i="2"/>
  <c r="L13132" i="2"/>
  <c r="L13133" i="2"/>
  <c r="L13134" i="2"/>
  <c r="L13135" i="2"/>
  <c r="L13136" i="2"/>
  <c r="L13137" i="2"/>
  <c r="L13138" i="2"/>
  <c r="L13139" i="2"/>
  <c r="L13140" i="2"/>
  <c r="L13141" i="2"/>
  <c r="L13142" i="2"/>
  <c r="L13143" i="2"/>
  <c r="L13144" i="2"/>
  <c r="L13145" i="2"/>
  <c r="L13146" i="2"/>
  <c r="L13147" i="2"/>
  <c r="L13148" i="2"/>
  <c r="L13149" i="2"/>
  <c r="L13150" i="2"/>
  <c r="L13151" i="2"/>
  <c r="L13152" i="2"/>
  <c r="L13153" i="2"/>
  <c r="L13154" i="2"/>
  <c r="L13155" i="2"/>
  <c r="L13156" i="2"/>
  <c r="L13157" i="2"/>
  <c r="L13158" i="2"/>
  <c r="L13159" i="2"/>
  <c r="L13160" i="2"/>
  <c r="L13161" i="2"/>
  <c r="L13162" i="2"/>
  <c r="L13163" i="2"/>
  <c r="L13164" i="2"/>
  <c r="L13165" i="2"/>
  <c r="L13166" i="2"/>
  <c r="L13167" i="2"/>
  <c r="L13168" i="2"/>
  <c r="L13169" i="2"/>
  <c r="L13170" i="2"/>
  <c r="L13171" i="2"/>
  <c r="L13172" i="2"/>
  <c r="L13173" i="2"/>
  <c r="L13174" i="2"/>
  <c r="L13175" i="2"/>
  <c r="L13176" i="2"/>
  <c r="L13177" i="2"/>
  <c r="L13178" i="2"/>
  <c r="L13179" i="2"/>
  <c r="L13180" i="2"/>
  <c r="L13181" i="2"/>
  <c r="L13182" i="2"/>
  <c r="L13183" i="2"/>
  <c r="L13184" i="2"/>
  <c r="L13185" i="2"/>
  <c r="L13186" i="2"/>
  <c r="L13187" i="2"/>
  <c r="L13188" i="2"/>
  <c r="L13189" i="2"/>
  <c r="L13190" i="2"/>
  <c r="L13191" i="2"/>
  <c r="L13192" i="2"/>
  <c r="L13193" i="2"/>
  <c r="L13194" i="2"/>
  <c r="L13195" i="2"/>
  <c r="L13196" i="2"/>
  <c r="L13197" i="2"/>
  <c r="L13198" i="2"/>
  <c r="L13199" i="2"/>
  <c r="L13200" i="2"/>
  <c r="L13201" i="2"/>
  <c r="L13202" i="2"/>
  <c r="L13203" i="2"/>
  <c r="L13204" i="2"/>
  <c r="L13205" i="2"/>
  <c r="L13206" i="2"/>
  <c r="L13207" i="2"/>
  <c r="L13208" i="2"/>
  <c r="L13209" i="2"/>
  <c r="L13210" i="2"/>
  <c r="L13211" i="2"/>
  <c r="L13212" i="2"/>
  <c r="L13213" i="2"/>
  <c r="L13214" i="2"/>
  <c r="L13215" i="2"/>
  <c r="L13216" i="2"/>
  <c r="L13217" i="2"/>
  <c r="L13218" i="2"/>
  <c r="L13219" i="2"/>
  <c r="L13220" i="2"/>
  <c r="L13221" i="2"/>
  <c r="L13222" i="2"/>
  <c r="L13223" i="2"/>
  <c r="L13224" i="2"/>
  <c r="L13225" i="2"/>
  <c r="L13226" i="2"/>
  <c r="L13227" i="2"/>
  <c r="L13228" i="2"/>
  <c r="L13229" i="2"/>
  <c r="L13230" i="2"/>
  <c r="L13231" i="2"/>
  <c r="L13232" i="2"/>
  <c r="L13233" i="2"/>
  <c r="L13234" i="2"/>
  <c r="L13235" i="2"/>
  <c r="L13236" i="2"/>
  <c r="L13237" i="2"/>
  <c r="L13238" i="2"/>
  <c r="L13239" i="2"/>
  <c r="L13240" i="2"/>
  <c r="L13241" i="2"/>
  <c r="L13242" i="2"/>
  <c r="L13243" i="2"/>
  <c r="L13244" i="2"/>
  <c r="L13245" i="2"/>
  <c r="L13246" i="2"/>
  <c r="L13247" i="2"/>
  <c r="L13248" i="2"/>
  <c r="L13249" i="2"/>
  <c r="L13250" i="2"/>
  <c r="L13251" i="2"/>
  <c r="L13252" i="2"/>
  <c r="L13253" i="2"/>
  <c r="L13254" i="2"/>
  <c r="L13255" i="2"/>
  <c r="L13256" i="2"/>
  <c r="L13257" i="2"/>
  <c r="L13258" i="2"/>
  <c r="L13259" i="2"/>
  <c r="L13260" i="2"/>
  <c r="L13261" i="2"/>
  <c r="L13262" i="2"/>
  <c r="L13263" i="2"/>
  <c r="L13264" i="2"/>
  <c r="L13265" i="2"/>
  <c r="L13266" i="2"/>
  <c r="L13267" i="2"/>
  <c r="L13268" i="2"/>
  <c r="L13269" i="2"/>
  <c r="L13270" i="2"/>
  <c r="L13271" i="2"/>
  <c r="L13272" i="2"/>
  <c r="L13273" i="2"/>
  <c r="L13274" i="2"/>
  <c r="L13275" i="2"/>
  <c r="L13276" i="2"/>
  <c r="L13277" i="2"/>
  <c r="L13278" i="2"/>
  <c r="L13279" i="2"/>
  <c r="L13280" i="2"/>
  <c r="L13281" i="2"/>
  <c r="L13282" i="2"/>
  <c r="L13283" i="2"/>
  <c r="L13284" i="2"/>
  <c r="L13285" i="2"/>
  <c r="L13286" i="2"/>
  <c r="L13287" i="2"/>
  <c r="L13288" i="2"/>
  <c r="L13289" i="2"/>
  <c r="L13290" i="2"/>
  <c r="L13291" i="2"/>
  <c r="L13292" i="2"/>
  <c r="L13293" i="2"/>
  <c r="L13294" i="2"/>
  <c r="L13295" i="2"/>
  <c r="L13296" i="2"/>
  <c r="L13297" i="2"/>
  <c r="L13298" i="2"/>
  <c r="L13299" i="2"/>
  <c r="L13300" i="2"/>
  <c r="L13301" i="2"/>
  <c r="L13302" i="2"/>
  <c r="L13303" i="2"/>
  <c r="L13304" i="2"/>
  <c r="L13305" i="2"/>
  <c r="L13306" i="2"/>
  <c r="L13307" i="2"/>
  <c r="L13308" i="2"/>
  <c r="L13309" i="2"/>
  <c r="L13310" i="2"/>
  <c r="L13311" i="2"/>
  <c r="L13312" i="2"/>
  <c r="L13313" i="2"/>
  <c r="L13314" i="2"/>
  <c r="L13315" i="2"/>
  <c r="L13316" i="2"/>
  <c r="L13317" i="2"/>
  <c r="L13318" i="2"/>
  <c r="L13319" i="2"/>
  <c r="L13320" i="2"/>
  <c r="L13321" i="2"/>
  <c r="L13322" i="2"/>
  <c r="L13323" i="2"/>
  <c r="L13324" i="2"/>
  <c r="L13325" i="2"/>
  <c r="L13326" i="2"/>
  <c r="L13327" i="2"/>
  <c r="L13328" i="2"/>
  <c r="L13329" i="2"/>
  <c r="L13330" i="2"/>
  <c r="L13331" i="2"/>
  <c r="L13332" i="2"/>
  <c r="L13333" i="2"/>
  <c r="L13334" i="2"/>
  <c r="L13335" i="2"/>
  <c r="L13336" i="2"/>
  <c r="L13337" i="2"/>
  <c r="L13338" i="2"/>
  <c r="L13339" i="2"/>
  <c r="L13340" i="2"/>
  <c r="L13341" i="2"/>
  <c r="L13342" i="2"/>
  <c r="L13343" i="2"/>
  <c r="L13344" i="2"/>
  <c r="L13345" i="2"/>
  <c r="L13346" i="2"/>
  <c r="L13347" i="2"/>
  <c r="L13348" i="2"/>
  <c r="L13349" i="2"/>
  <c r="L13350" i="2"/>
  <c r="L13351" i="2"/>
  <c r="L13352" i="2"/>
  <c r="L13353" i="2"/>
  <c r="L13354" i="2"/>
  <c r="L13355" i="2"/>
  <c r="L13356" i="2"/>
  <c r="L13357" i="2"/>
  <c r="L13358" i="2"/>
  <c r="L13359" i="2"/>
  <c r="L13360" i="2"/>
  <c r="L13361" i="2"/>
  <c r="L13362" i="2"/>
  <c r="L13363" i="2"/>
  <c r="L13364" i="2"/>
  <c r="L13365" i="2"/>
  <c r="L13366" i="2"/>
  <c r="L13367" i="2"/>
  <c r="L13368" i="2"/>
  <c r="L13369" i="2"/>
  <c r="L13370" i="2"/>
  <c r="L13371" i="2"/>
  <c r="L13372" i="2"/>
  <c r="L13373" i="2"/>
  <c r="L13374" i="2"/>
  <c r="L13375" i="2"/>
  <c r="L13376" i="2"/>
  <c r="L13377" i="2"/>
  <c r="L13378" i="2"/>
  <c r="L13379" i="2"/>
  <c r="L13380" i="2"/>
  <c r="L13381" i="2"/>
  <c r="L13382" i="2"/>
  <c r="L13383" i="2"/>
  <c r="L13384" i="2"/>
  <c r="L13385" i="2"/>
  <c r="L13386" i="2"/>
  <c r="L13387" i="2"/>
  <c r="L13388" i="2"/>
  <c r="L13389" i="2"/>
  <c r="L13390" i="2"/>
  <c r="L13391" i="2"/>
  <c r="L13392" i="2"/>
  <c r="L13393" i="2"/>
  <c r="L13394" i="2"/>
  <c r="L13395" i="2"/>
  <c r="L13396" i="2"/>
  <c r="L13397" i="2"/>
  <c r="L13398" i="2"/>
  <c r="L13399" i="2"/>
  <c r="L13400" i="2"/>
  <c r="L13401" i="2"/>
  <c r="L13402" i="2"/>
  <c r="L13403" i="2"/>
  <c r="L13404" i="2"/>
  <c r="L13405" i="2"/>
  <c r="L13406" i="2"/>
  <c r="L13407" i="2"/>
  <c r="L13408" i="2"/>
  <c r="L13409" i="2"/>
  <c r="L13410" i="2"/>
  <c r="L13411" i="2"/>
  <c r="L13412" i="2"/>
  <c r="L13413" i="2"/>
  <c r="L13414" i="2"/>
  <c r="L13415" i="2"/>
  <c r="L13416" i="2"/>
  <c r="L13417" i="2"/>
  <c r="L13418" i="2"/>
  <c r="L13419" i="2"/>
  <c r="L13420" i="2"/>
  <c r="L13421" i="2"/>
  <c r="L13422" i="2"/>
  <c r="L13423" i="2"/>
  <c r="L13424" i="2"/>
  <c r="L13425" i="2"/>
  <c r="L13426" i="2"/>
  <c r="L13427" i="2"/>
  <c r="L13428" i="2"/>
  <c r="L13429" i="2"/>
  <c r="L13430" i="2"/>
  <c r="L13431" i="2"/>
  <c r="L13432" i="2"/>
  <c r="L13433" i="2"/>
  <c r="L13434" i="2"/>
  <c r="L13435" i="2"/>
  <c r="L13436" i="2"/>
  <c r="L13437" i="2"/>
  <c r="L13438" i="2"/>
  <c r="L13439" i="2"/>
  <c r="L13440" i="2"/>
  <c r="L13441" i="2"/>
  <c r="L13442" i="2"/>
  <c r="L13443" i="2"/>
  <c r="L13444" i="2"/>
  <c r="L13445" i="2"/>
  <c r="L13446" i="2"/>
  <c r="L13447" i="2"/>
  <c r="L13448" i="2"/>
  <c r="L13449" i="2"/>
  <c r="L13450" i="2"/>
  <c r="L13451" i="2"/>
  <c r="L13452" i="2"/>
  <c r="L13453" i="2"/>
  <c r="L13454" i="2"/>
  <c r="L13455" i="2"/>
  <c r="L13456" i="2"/>
  <c r="L13457" i="2"/>
  <c r="L13458" i="2"/>
  <c r="L13459" i="2"/>
  <c r="L13460" i="2"/>
  <c r="L13461" i="2"/>
  <c r="L13462" i="2"/>
  <c r="L13463" i="2"/>
  <c r="L13464" i="2"/>
  <c r="L13465" i="2"/>
  <c r="L13466" i="2"/>
  <c r="L13467" i="2"/>
  <c r="L13468" i="2"/>
  <c r="L13469" i="2"/>
  <c r="L13470" i="2"/>
  <c r="L13471" i="2"/>
  <c r="L13472" i="2"/>
  <c r="L13473" i="2"/>
  <c r="L13474" i="2"/>
  <c r="L13475" i="2"/>
  <c r="L13476" i="2"/>
  <c r="L13477" i="2"/>
  <c r="L13478" i="2"/>
  <c r="L13479" i="2"/>
  <c r="L13480" i="2"/>
  <c r="L13481" i="2"/>
  <c r="L13482" i="2"/>
  <c r="L13483" i="2"/>
  <c r="L13484" i="2"/>
  <c r="L13485" i="2"/>
  <c r="L13486" i="2"/>
  <c r="L13487" i="2"/>
  <c r="L13488" i="2"/>
  <c r="L13489" i="2"/>
  <c r="L13490" i="2"/>
  <c r="L13491" i="2"/>
  <c r="L13492" i="2"/>
  <c r="L13493" i="2"/>
  <c r="L13494" i="2"/>
  <c r="L13495" i="2"/>
  <c r="L13496" i="2"/>
  <c r="L13497" i="2"/>
  <c r="L13498" i="2"/>
  <c r="L13499" i="2"/>
  <c r="L13500" i="2"/>
  <c r="L13501" i="2"/>
  <c r="L13502" i="2"/>
  <c r="L13503" i="2"/>
  <c r="L13504" i="2"/>
  <c r="L13505" i="2"/>
  <c r="L13506" i="2"/>
  <c r="L13507" i="2"/>
  <c r="L13508" i="2"/>
  <c r="L13509" i="2"/>
  <c r="L13510" i="2"/>
  <c r="L13511" i="2"/>
  <c r="L13512" i="2"/>
  <c r="L13513" i="2"/>
  <c r="L13514" i="2"/>
  <c r="L13515" i="2"/>
  <c r="L13516" i="2"/>
  <c r="L13517" i="2"/>
  <c r="L13518" i="2"/>
  <c r="L13519" i="2"/>
  <c r="L13520" i="2"/>
  <c r="L13521" i="2"/>
  <c r="L13522" i="2"/>
  <c r="L13523" i="2"/>
  <c r="L13524" i="2"/>
  <c r="L13525" i="2"/>
  <c r="L13526" i="2"/>
  <c r="L13527" i="2"/>
  <c r="L13528" i="2"/>
  <c r="L13529" i="2"/>
  <c r="L13530" i="2"/>
  <c r="L13531" i="2"/>
  <c r="L13532" i="2"/>
  <c r="L13533" i="2"/>
  <c r="L13534" i="2"/>
  <c r="L13535" i="2"/>
  <c r="L13536" i="2"/>
  <c r="L13537" i="2"/>
  <c r="L13538" i="2"/>
  <c r="L13539" i="2"/>
  <c r="L13540" i="2"/>
  <c r="L13541" i="2"/>
  <c r="L13542" i="2"/>
  <c r="L13543" i="2"/>
  <c r="L13544" i="2"/>
  <c r="L13545" i="2"/>
  <c r="L13546" i="2"/>
  <c r="L13547" i="2"/>
  <c r="L13548" i="2"/>
  <c r="L13549" i="2"/>
  <c r="L13550" i="2"/>
  <c r="L13551" i="2"/>
  <c r="L13552" i="2"/>
  <c r="L13553" i="2"/>
  <c r="L13554" i="2"/>
  <c r="L13555" i="2"/>
  <c r="L13556" i="2"/>
  <c r="L13557" i="2"/>
  <c r="L13558" i="2"/>
  <c r="L13559" i="2"/>
  <c r="L13560" i="2"/>
  <c r="L13561" i="2"/>
  <c r="L13562" i="2"/>
  <c r="L13563" i="2"/>
  <c r="L13564" i="2"/>
  <c r="L13565" i="2"/>
  <c r="L13566" i="2"/>
  <c r="L13567" i="2"/>
  <c r="L13568" i="2"/>
  <c r="L13569" i="2"/>
  <c r="L13570" i="2"/>
  <c r="L13571" i="2"/>
  <c r="L13572" i="2"/>
  <c r="L13573" i="2"/>
  <c r="L13574" i="2"/>
  <c r="L13575" i="2"/>
  <c r="L13576" i="2"/>
  <c r="L13577" i="2"/>
  <c r="L13578" i="2"/>
  <c r="L13579" i="2"/>
  <c r="L13580" i="2"/>
  <c r="L13581" i="2"/>
  <c r="L13582" i="2"/>
  <c r="L13583" i="2"/>
  <c r="L13584" i="2"/>
  <c r="L13585" i="2"/>
  <c r="L13586" i="2"/>
  <c r="L13587" i="2"/>
  <c r="L13588" i="2"/>
  <c r="L13589" i="2"/>
  <c r="L13590" i="2"/>
  <c r="L13591" i="2"/>
  <c r="L13592" i="2"/>
  <c r="L13593" i="2"/>
  <c r="L13594" i="2"/>
  <c r="L13595" i="2"/>
  <c r="L13596" i="2"/>
  <c r="L13597" i="2"/>
  <c r="L13598" i="2"/>
  <c r="L13599" i="2"/>
  <c r="L13600" i="2"/>
  <c r="L13601" i="2"/>
  <c r="L13602" i="2"/>
  <c r="L13603" i="2"/>
  <c r="L13604" i="2"/>
  <c r="L13605" i="2"/>
  <c r="L13606" i="2"/>
  <c r="L13607" i="2"/>
  <c r="L13608" i="2"/>
  <c r="L13609" i="2"/>
  <c r="L13610" i="2"/>
  <c r="L13611" i="2"/>
  <c r="L13612" i="2"/>
  <c r="L13613" i="2"/>
  <c r="L13614" i="2"/>
  <c r="L13615" i="2"/>
  <c r="L13616" i="2"/>
  <c r="L13617" i="2"/>
  <c r="L13618" i="2"/>
  <c r="L13619" i="2"/>
  <c r="L13620" i="2"/>
  <c r="L13621" i="2"/>
  <c r="L13622" i="2"/>
  <c r="L13623" i="2"/>
  <c r="L13624" i="2"/>
  <c r="L13625" i="2"/>
  <c r="L13626" i="2"/>
  <c r="L13627" i="2"/>
  <c r="L13628" i="2"/>
  <c r="L13629" i="2"/>
  <c r="L13630" i="2"/>
  <c r="L13631" i="2"/>
  <c r="L13632" i="2"/>
  <c r="L13633" i="2"/>
  <c r="L13634" i="2"/>
  <c r="L13635" i="2"/>
  <c r="L13636" i="2"/>
  <c r="L13637" i="2"/>
  <c r="L13638" i="2"/>
  <c r="L13639" i="2"/>
  <c r="L13640" i="2"/>
  <c r="L13641" i="2"/>
  <c r="L13642" i="2"/>
  <c r="L13643" i="2"/>
  <c r="L13644" i="2"/>
  <c r="L13645" i="2"/>
  <c r="L13646" i="2"/>
  <c r="L13647" i="2"/>
  <c r="L13648" i="2"/>
  <c r="L13649" i="2"/>
  <c r="L13650" i="2"/>
  <c r="L13651" i="2"/>
  <c r="L13652" i="2"/>
  <c r="L13653" i="2"/>
  <c r="L13654" i="2"/>
  <c r="L13655" i="2"/>
  <c r="L13656" i="2"/>
  <c r="L13657" i="2"/>
  <c r="L13658" i="2"/>
  <c r="L13659" i="2"/>
  <c r="L13660" i="2"/>
  <c r="L13661" i="2"/>
  <c r="L13662" i="2"/>
  <c r="L13663" i="2"/>
  <c r="L13664" i="2"/>
  <c r="L13665" i="2"/>
  <c r="L13666" i="2"/>
  <c r="L13667" i="2"/>
  <c r="L13668" i="2"/>
  <c r="L13669" i="2"/>
  <c r="L13670" i="2"/>
  <c r="L13671" i="2"/>
  <c r="L13672" i="2"/>
  <c r="L13673" i="2"/>
  <c r="L13674" i="2"/>
  <c r="L13675" i="2"/>
  <c r="L13676" i="2"/>
  <c r="L13677" i="2"/>
  <c r="L13678" i="2"/>
  <c r="L13679" i="2"/>
  <c r="L13680" i="2"/>
  <c r="L13681" i="2"/>
  <c r="L13682" i="2"/>
  <c r="L13683" i="2"/>
  <c r="L13684" i="2"/>
  <c r="L13685" i="2"/>
  <c r="L13686" i="2"/>
  <c r="L13687" i="2"/>
  <c r="L13688" i="2"/>
  <c r="L13689" i="2"/>
  <c r="L13690" i="2"/>
  <c r="L13691" i="2"/>
  <c r="L13692" i="2"/>
  <c r="L13693" i="2"/>
  <c r="L13694" i="2"/>
  <c r="L13695" i="2"/>
  <c r="L13696" i="2"/>
  <c r="L13697" i="2"/>
  <c r="L13698" i="2"/>
  <c r="L13699" i="2"/>
  <c r="L13700" i="2"/>
  <c r="L13701" i="2"/>
  <c r="L13702" i="2"/>
  <c r="L13703" i="2"/>
  <c r="L13704" i="2"/>
  <c r="L13705" i="2"/>
  <c r="L13706" i="2"/>
  <c r="L13707" i="2"/>
  <c r="L13708" i="2"/>
  <c r="L13709" i="2"/>
  <c r="L13710" i="2"/>
  <c r="L13711" i="2"/>
  <c r="L13712" i="2"/>
  <c r="L13713" i="2"/>
  <c r="L13714" i="2"/>
  <c r="L13715" i="2"/>
  <c r="L13716" i="2"/>
  <c r="L13717" i="2"/>
  <c r="L13718" i="2"/>
  <c r="L13719" i="2"/>
  <c r="L13720" i="2"/>
  <c r="L13721" i="2"/>
  <c r="L13722" i="2"/>
  <c r="L13723" i="2"/>
  <c r="L13724" i="2"/>
  <c r="L13725" i="2"/>
  <c r="L13726" i="2"/>
  <c r="L13727" i="2"/>
  <c r="L13728" i="2"/>
  <c r="L13729" i="2"/>
  <c r="L13730" i="2"/>
  <c r="L13731" i="2"/>
  <c r="L13732" i="2"/>
  <c r="L13733" i="2"/>
  <c r="L13734" i="2"/>
  <c r="L13735" i="2"/>
  <c r="L13736" i="2"/>
  <c r="L13737" i="2"/>
  <c r="L13738" i="2"/>
  <c r="L13739" i="2"/>
  <c r="L13740" i="2"/>
  <c r="L13741" i="2"/>
  <c r="L13742" i="2"/>
  <c r="L13743" i="2"/>
  <c r="L13744" i="2"/>
  <c r="L13745" i="2"/>
  <c r="L13746" i="2"/>
  <c r="L13747" i="2"/>
  <c r="L13748" i="2"/>
  <c r="L13749" i="2"/>
  <c r="L13750" i="2"/>
  <c r="L13751" i="2"/>
  <c r="L13752" i="2"/>
  <c r="L13753" i="2"/>
  <c r="L13754" i="2"/>
  <c r="L13755" i="2"/>
  <c r="L13756" i="2"/>
  <c r="L13757" i="2"/>
  <c r="L13758" i="2"/>
  <c r="L13759" i="2"/>
  <c r="L13760" i="2"/>
  <c r="L13761" i="2"/>
  <c r="L13762" i="2"/>
  <c r="L13763" i="2"/>
  <c r="L13764" i="2"/>
  <c r="L13765" i="2"/>
  <c r="L13766" i="2"/>
  <c r="L13767" i="2"/>
  <c r="L13768" i="2"/>
  <c r="L13769" i="2"/>
  <c r="L13770" i="2"/>
  <c r="L13771" i="2"/>
  <c r="L13772" i="2"/>
  <c r="L13773" i="2"/>
  <c r="L13774" i="2"/>
  <c r="L13775" i="2"/>
  <c r="L13776" i="2"/>
  <c r="L13777" i="2"/>
  <c r="L13778" i="2"/>
  <c r="L13779" i="2"/>
  <c r="L13780" i="2"/>
  <c r="L13781" i="2"/>
  <c r="L13782" i="2"/>
  <c r="L13783" i="2"/>
  <c r="L13784" i="2"/>
  <c r="L13785" i="2"/>
  <c r="L13786" i="2"/>
  <c r="L13787" i="2"/>
  <c r="L13788" i="2"/>
  <c r="L13789" i="2"/>
  <c r="L13790" i="2"/>
  <c r="L13791" i="2"/>
  <c r="L13792" i="2"/>
  <c r="L13793" i="2"/>
  <c r="L13794" i="2"/>
  <c r="L13795" i="2"/>
  <c r="L13796" i="2"/>
  <c r="L13797" i="2"/>
  <c r="L13798" i="2"/>
  <c r="L13799" i="2"/>
  <c r="L13800" i="2"/>
  <c r="L13801" i="2"/>
  <c r="L13802" i="2"/>
  <c r="L13803" i="2"/>
  <c r="L13804" i="2"/>
  <c r="L13805" i="2"/>
  <c r="L13806" i="2"/>
  <c r="L13807" i="2"/>
  <c r="L13808" i="2"/>
  <c r="L13809" i="2"/>
  <c r="L13810" i="2"/>
  <c r="L13811" i="2"/>
  <c r="L13812" i="2"/>
  <c r="L13813" i="2"/>
  <c r="L13814" i="2"/>
  <c r="L13815" i="2"/>
  <c r="L13816" i="2"/>
  <c r="L13817" i="2"/>
  <c r="L13818" i="2"/>
  <c r="L13819" i="2"/>
  <c r="L13820" i="2"/>
  <c r="L13821" i="2"/>
  <c r="L13822" i="2"/>
  <c r="L13823" i="2"/>
  <c r="L13824" i="2"/>
  <c r="L13825" i="2"/>
  <c r="L13826" i="2"/>
  <c r="L13827" i="2"/>
  <c r="L13828" i="2"/>
  <c r="L13829" i="2"/>
  <c r="L13830" i="2"/>
  <c r="L13831" i="2"/>
  <c r="L13832" i="2"/>
  <c r="L13833" i="2"/>
  <c r="L13834" i="2"/>
  <c r="L13835" i="2"/>
  <c r="L13836" i="2"/>
  <c r="L13837" i="2"/>
  <c r="L13838" i="2"/>
  <c r="L13839" i="2"/>
  <c r="L13840" i="2"/>
  <c r="L13841" i="2"/>
  <c r="L13842" i="2"/>
  <c r="L13843" i="2"/>
  <c r="L13844" i="2"/>
  <c r="L13845" i="2"/>
  <c r="L13846" i="2"/>
  <c r="L13847" i="2"/>
  <c r="L13848" i="2"/>
  <c r="L13849" i="2"/>
  <c r="L13850" i="2"/>
  <c r="L13851" i="2"/>
  <c r="L13852" i="2"/>
  <c r="L13853" i="2"/>
  <c r="L13854" i="2"/>
  <c r="L13855" i="2"/>
  <c r="L13856" i="2"/>
  <c r="L13857" i="2"/>
  <c r="L13858" i="2"/>
  <c r="L13859" i="2"/>
  <c r="L13860" i="2"/>
  <c r="L13861" i="2"/>
  <c r="L13862" i="2"/>
  <c r="L13863" i="2"/>
  <c r="L13864" i="2"/>
  <c r="L13865" i="2"/>
  <c r="L13866" i="2"/>
  <c r="L13867" i="2"/>
  <c r="L13868" i="2"/>
  <c r="L13869" i="2"/>
  <c r="L13870" i="2"/>
  <c r="L13871" i="2"/>
  <c r="L13872" i="2"/>
  <c r="L13873" i="2"/>
  <c r="L13874" i="2"/>
  <c r="L13875" i="2"/>
  <c r="L13876" i="2"/>
  <c r="L13877" i="2"/>
  <c r="L13878" i="2"/>
  <c r="L13879" i="2"/>
  <c r="L13880" i="2"/>
  <c r="L13881" i="2"/>
  <c r="L13882" i="2"/>
  <c r="L13883" i="2"/>
  <c r="L13884" i="2"/>
  <c r="L13885" i="2"/>
  <c r="L13886" i="2"/>
  <c r="L13887" i="2"/>
  <c r="L13888" i="2"/>
  <c r="L13889" i="2"/>
  <c r="L13890" i="2"/>
  <c r="L13891" i="2"/>
  <c r="L13892" i="2"/>
  <c r="L13893" i="2"/>
  <c r="L13894" i="2"/>
  <c r="L13895" i="2"/>
  <c r="L13896" i="2"/>
  <c r="L13897" i="2"/>
  <c r="L13898" i="2"/>
  <c r="L13899" i="2"/>
  <c r="L13900" i="2"/>
  <c r="L13901" i="2"/>
  <c r="L13902" i="2"/>
  <c r="L13903" i="2"/>
  <c r="L13904" i="2"/>
  <c r="L13905" i="2"/>
  <c r="L13906" i="2"/>
  <c r="L13907" i="2"/>
  <c r="L13908" i="2"/>
  <c r="L13909" i="2"/>
  <c r="L13910" i="2"/>
  <c r="L13911" i="2"/>
  <c r="L13912" i="2"/>
  <c r="L13913" i="2"/>
  <c r="L13914" i="2"/>
  <c r="L13915" i="2"/>
  <c r="L13916" i="2"/>
  <c r="L13917" i="2"/>
  <c r="L13918" i="2"/>
  <c r="L13919" i="2"/>
  <c r="L13920" i="2"/>
  <c r="L13921" i="2"/>
  <c r="L13922" i="2"/>
  <c r="L13923" i="2"/>
  <c r="L13924" i="2"/>
  <c r="L13925" i="2"/>
  <c r="L13926" i="2"/>
  <c r="L13927" i="2"/>
  <c r="L13928" i="2"/>
  <c r="L13929" i="2"/>
  <c r="L13930" i="2"/>
  <c r="L13931" i="2"/>
  <c r="L13932" i="2"/>
  <c r="L13933" i="2"/>
  <c r="L13934" i="2"/>
  <c r="L13935" i="2"/>
  <c r="L13936" i="2"/>
  <c r="L13937" i="2"/>
  <c r="L13938" i="2"/>
  <c r="L13939" i="2"/>
  <c r="L13940" i="2"/>
  <c r="L13941" i="2"/>
  <c r="L13942" i="2"/>
  <c r="L13943" i="2"/>
  <c r="L13944" i="2"/>
  <c r="L13945" i="2"/>
  <c r="L13946" i="2"/>
  <c r="L13947" i="2"/>
  <c r="L13948" i="2"/>
  <c r="L13949" i="2"/>
  <c r="L13950" i="2"/>
  <c r="L13951" i="2"/>
  <c r="L13952" i="2"/>
  <c r="L13953" i="2"/>
  <c r="L13954" i="2"/>
  <c r="L13955" i="2"/>
  <c r="L13956" i="2"/>
  <c r="L13957" i="2"/>
  <c r="L13958" i="2"/>
  <c r="L13959" i="2"/>
  <c r="L13960" i="2"/>
  <c r="L13961" i="2"/>
  <c r="L13962" i="2"/>
  <c r="L13963" i="2"/>
  <c r="L13964" i="2"/>
  <c r="L13965" i="2"/>
  <c r="L13966" i="2"/>
  <c r="L13967" i="2"/>
  <c r="L13968" i="2"/>
  <c r="L13969" i="2"/>
  <c r="L13970" i="2"/>
  <c r="L13971" i="2"/>
  <c r="L13972" i="2"/>
  <c r="L13973" i="2"/>
  <c r="L13974" i="2"/>
  <c r="L13975" i="2"/>
  <c r="L13976" i="2"/>
  <c r="L13977" i="2"/>
  <c r="L13978" i="2"/>
  <c r="L13979" i="2"/>
  <c r="L13980" i="2"/>
  <c r="L13981" i="2"/>
  <c r="L13982" i="2"/>
  <c r="L13983" i="2"/>
  <c r="L13984" i="2"/>
  <c r="L13985" i="2"/>
  <c r="L13986" i="2"/>
  <c r="L13987" i="2"/>
  <c r="L13988" i="2"/>
  <c r="L13989" i="2"/>
  <c r="L13990" i="2"/>
  <c r="L13991" i="2"/>
  <c r="L13992" i="2"/>
  <c r="L13993" i="2"/>
  <c r="L13994" i="2"/>
  <c r="L13995" i="2"/>
  <c r="L13996" i="2"/>
  <c r="L13997" i="2"/>
  <c r="L13998" i="2"/>
  <c r="L13999" i="2"/>
  <c r="L14000" i="2"/>
  <c r="L14001" i="2"/>
  <c r="L14002" i="2"/>
  <c r="L14003" i="2"/>
  <c r="L14004" i="2"/>
  <c r="L14005" i="2"/>
  <c r="L14006" i="2"/>
  <c r="L14007" i="2"/>
  <c r="L14008" i="2"/>
  <c r="L14009" i="2"/>
  <c r="L14010" i="2"/>
  <c r="L14011" i="2"/>
  <c r="L14012" i="2"/>
  <c r="L14013" i="2"/>
  <c r="L14014" i="2"/>
  <c r="L14015" i="2"/>
  <c r="L14016" i="2"/>
  <c r="L14017" i="2"/>
  <c r="L14018" i="2"/>
  <c r="L14019" i="2"/>
  <c r="L14020" i="2"/>
  <c r="L14021" i="2"/>
  <c r="L14022" i="2"/>
  <c r="L14023" i="2"/>
  <c r="L14024" i="2"/>
  <c r="L14025" i="2"/>
  <c r="L14026" i="2"/>
  <c r="L14027" i="2"/>
  <c r="L14028" i="2"/>
  <c r="L14029" i="2"/>
  <c r="L14030" i="2"/>
  <c r="L14031" i="2"/>
  <c r="L14032" i="2"/>
  <c r="L14033" i="2"/>
  <c r="L14034" i="2"/>
  <c r="L14035" i="2"/>
  <c r="L14036" i="2"/>
  <c r="L14037" i="2"/>
  <c r="L14038" i="2"/>
  <c r="L14039" i="2"/>
  <c r="L14040" i="2"/>
  <c r="L14041" i="2"/>
  <c r="L14042" i="2"/>
  <c r="L14043" i="2"/>
  <c r="L14044" i="2"/>
  <c r="L14045" i="2"/>
  <c r="L14046" i="2"/>
  <c r="L14047" i="2"/>
  <c r="L14048" i="2"/>
  <c r="L14049" i="2"/>
  <c r="L14050" i="2"/>
  <c r="L14051" i="2"/>
  <c r="L14052" i="2"/>
  <c r="L14053" i="2"/>
  <c r="L14054" i="2"/>
  <c r="L14055" i="2"/>
  <c r="L14056" i="2"/>
  <c r="L14057" i="2"/>
  <c r="L14058" i="2"/>
  <c r="L14059" i="2"/>
  <c r="L14060" i="2"/>
  <c r="L14061" i="2"/>
  <c r="L14062" i="2"/>
  <c r="L14063" i="2"/>
  <c r="L14064" i="2"/>
  <c r="L14065" i="2"/>
  <c r="L14066" i="2"/>
  <c r="L14067" i="2"/>
  <c r="L14068" i="2"/>
  <c r="L14069" i="2"/>
  <c r="L14070" i="2"/>
  <c r="L14071" i="2"/>
  <c r="L14072" i="2"/>
  <c r="L14073" i="2"/>
  <c r="L14074" i="2"/>
  <c r="L14075" i="2"/>
  <c r="L14076" i="2"/>
  <c r="L14077" i="2"/>
  <c r="L14078" i="2"/>
  <c r="L14079" i="2"/>
  <c r="L14080" i="2"/>
  <c r="L14081" i="2"/>
  <c r="L14082" i="2"/>
  <c r="L14083" i="2"/>
  <c r="L14084" i="2"/>
  <c r="L14085" i="2"/>
  <c r="L14086" i="2"/>
  <c r="L14087" i="2"/>
  <c r="L14088" i="2"/>
  <c r="L14089" i="2"/>
  <c r="L14090" i="2"/>
  <c r="L14091" i="2"/>
  <c r="L14092" i="2"/>
  <c r="L14093" i="2"/>
  <c r="L14094" i="2"/>
  <c r="L14095" i="2"/>
  <c r="L14096" i="2"/>
  <c r="L14097" i="2"/>
  <c r="L14098" i="2"/>
  <c r="L14099" i="2"/>
  <c r="L14100" i="2"/>
  <c r="L14101" i="2"/>
  <c r="L14102" i="2"/>
  <c r="L14103" i="2"/>
  <c r="L14104" i="2"/>
  <c r="L14105" i="2"/>
  <c r="L14106" i="2"/>
  <c r="L14107" i="2"/>
  <c r="L14108" i="2"/>
  <c r="L14109" i="2"/>
  <c r="L14110" i="2"/>
  <c r="L14111" i="2"/>
  <c r="L14112" i="2"/>
  <c r="L14113" i="2"/>
  <c r="L14114" i="2"/>
  <c r="L14115" i="2"/>
  <c r="L14116" i="2"/>
  <c r="L14117" i="2"/>
  <c r="L14118" i="2"/>
  <c r="L14119" i="2"/>
  <c r="L14120" i="2"/>
  <c r="L14121" i="2"/>
  <c r="L14122" i="2"/>
  <c r="L14123" i="2"/>
  <c r="L14124" i="2"/>
  <c r="L14125" i="2"/>
  <c r="L14126" i="2"/>
  <c r="L14127" i="2"/>
  <c r="L14128" i="2"/>
  <c r="L14129" i="2"/>
  <c r="L14130" i="2"/>
  <c r="L14131" i="2"/>
  <c r="L14132" i="2"/>
  <c r="L14133" i="2"/>
  <c r="L14134" i="2"/>
  <c r="L14135" i="2"/>
  <c r="L14136" i="2"/>
  <c r="L14137" i="2"/>
  <c r="L14138" i="2"/>
  <c r="L14139" i="2"/>
  <c r="L14140" i="2"/>
  <c r="L14141" i="2"/>
  <c r="L14142" i="2"/>
  <c r="L14143" i="2"/>
  <c r="L14144" i="2"/>
  <c r="L14145" i="2"/>
  <c r="L14146" i="2"/>
  <c r="L14147" i="2"/>
  <c r="L14148" i="2"/>
  <c r="L14149" i="2"/>
  <c r="L14150" i="2"/>
  <c r="L14151" i="2"/>
  <c r="L14152" i="2"/>
  <c r="L14153" i="2"/>
  <c r="L14154" i="2"/>
  <c r="L14155" i="2"/>
  <c r="L14156" i="2"/>
  <c r="L14157" i="2"/>
  <c r="L14158" i="2"/>
  <c r="L14159" i="2"/>
  <c r="L14160" i="2"/>
  <c r="L14161" i="2"/>
  <c r="L14162" i="2"/>
  <c r="L14163" i="2"/>
  <c r="L14164" i="2"/>
  <c r="L14165" i="2"/>
  <c r="L14166" i="2"/>
  <c r="L14167" i="2"/>
  <c r="L14168" i="2"/>
  <c r="L14169" i="2"/>
  <c r="L14170" i="2"/>
  <c r="L14171" i="2"/>
  <c r="L14172" i="2"/>
  <c r="L14173" i="2"/>
  <c r="L14174" i="2"/>
  <c r="L14175" i="2"/>
  <c r="L14176" i="2"/>
  <c r="L14177" i="2"/>
  <c r="L14178" i="2"/>
  <c r="L14179" i="2"/>
  <c r="L14180" i="2"/>
  <c r="L14181" i="2"/>
  <c r="L14182" i="2"/>
  <c r="L14183" i="2"/>
  <c r="L14184" i="2"/>
  <c r="L14185" i="2"/>
  <c r="L14186" i="2"/>
  <c r="L14187" i="2"/>
  <c r="L14188" i="2"/>
  <c r="L14189" i="2"/>
  <c r="L14190" i="2"/>
  <c r="L14191" i="2"/>
  <c r="L14192" i="2"/>
  <c r="L14193" i="2"/>
  <c r="L14194" i="2"/>
  <c r="L14195" i="2"/>
  <c r="L14196" i="2"/>
  <c r="L14197" i="2"/>
  <c r="L14198" i="2"/>
  <c r="L14199" i="2"/>
  <c r="L14200" i="2"/>
  <c r="L14201" i="2"/>
  <c r="L14202" i="2"/>
  <c r="L14203" i="2"/>
  <c r="L14204" i="2"/>
  <c r="L14205" i="2"/>
  <c r="L14206" i="2"/>
  <c r="L14207" i="2"/>
  <c r="L14208" i="2"/>
  <c r="L14209" i="2"/>
  <c r="L14210" i="2"/>
  <c r="L14211" i="2"/>
  <c r="L14212" i="2"/>
  <c r="L14213" i="2"/>
  <c r="L14214" i="2"/>
  <c r="L14215" i="2"/>
  <c r="L14216" i="2"/>
  <c r="L14217" i="2"/>
  <c r="L14218" i="2"/>
  <c r="L14219" i="2"/>
  <c r="L14220" i="2"/>
  <c r="L14221" i="2"/>
  <c r="L14222" i="2"/>
  <c r="L14223" i="2"/>
  <c r="L14224" i="2"/>
  <c r="L14225" i="2"/>
  <c r="L14226" i="2"/>
  <c r="L14227" i="2"/>
  <c r="L14228" i="2"/>
  <c r="L14229" i="2"/>
  <c r="L14230" i="2"/>
  <c r="L14231" i="2"/>
  <c r="L14232" i="2"/>
  <c r="L14233" i="2"/>
  <c r="L14234" i="2"/>
  <c r="L14235" i="2"/>
  <c r="L14236" i="2"/>
  <c r="L14237" i="2"/>
  <c r="L14238" i="2"/>
  <c r="L14239" i="2"/>
  <c r="L14240" i="2"/>
  <c r="L14241" i="2"/>
  <c r="L14242" i="2"/>
  <c r="L14243" i="2"/>
  <c r="L14244" i="2"/>
  <c r="L14245" i="2"/>
  <c r="L14246" i="2"/>
  <c r="L14247" i="2"/>
  <c r="L14248" i="2"/>
  <c r="L14249" i="2"/>
  <c r="L14250" i="2"/>
  <c r="L14251" i="2"/>
  <c r="L14252" i="2"/>
  <c r="L14253" i="2"/>
  <c r="L14254" i="2"/>
  <c r="L14255" i="2"/>
  <c r="L14256" i="2"/>
  <c r="L14257" i="2"/>
  <c r="L14258" i="2"/>
  <c r="L14259" i="2"/>
  <c r="L14260" i="2"/>
  <c r="L14261" i="2"/>
  <c r="L14262" i="2"/>
  <c r="L14263" i="2"/>
  <c r="L14264" i="2"/>
  <c r="L14265" i="2"/>
  <c r="L14266" i="2"/>
  <c r="L14267" i="2"/>
  <c r="L14268" i="2"/>
  <c r="L14269" i="2"/>
  <c r="L14270" i="2"/>
  <c r="L14271" i="2"/>
  <c r="L14272" i="2"/>
  <c r="L14273" i="2"/>
  <c r="L14274" i="2"/>
  <c r="L14275" i="2"/>
  <c r="L14276" i="2"/>
  <c r="L14277" i="2"/>
  <c r="L14278" i="2"/>
  <c r="L14279" i="2"/>
  <c r="L14280" i="2"/>
  <c r="L14281" i="2"/>
  <c r="L14282" i="2"/>
  <c r="L14283" i="2"/>
  <c r="L14284" i="2"/>
  <c r="L14285" i="2"/>
  <c r="L14286" i="2"/>
  <c r="L14287" i="2"/>
  <c r="L14288" i="2"/>
  <c r="L14289" i="2"/>
  <c r="L14290" i="2"/>
  <c r="L14291" i="2"/>
  <c r="L14292" i="2"/>
  <c r="L14293" i="2"/>
  <c r="L14294" i="2"/>
  <c r="L14295" i="2"/>
  <c r="L14296" i="2"/>
  <c r="L14297" i="2"/>
  <c r="L14298" i="2"/>
  <c r="L14299" i="2"/>
  <c r="L14300" i="2"/>
  <c r="L14301" i="2"/>
  <c r="L14302" i="2"/>
  <c r="L14303" i="2"/>
  <c r="L14304" i="2"/>
  <c r="L14305" i="2"/>
  <c r="L14306" i="2"/>
  <c r="L14307" i="2"/>
  <c r="L14308" i="2"/>
  <c r="L14309" i="2"/>
  <c r="L14310" i="2"/>
  <c r="L14311" i="2"/>
  <c r="L14312" i="2"/>
  <c r="L14313" i="2"/>
  <c r="L14314" i="2"/>
  <c r="L14315" i="2"/>
  <c r="L14316" i="2"/>
  <c r="L14317" i="2"/>
  <c r="L14318" i="2"/>
  <c r="L14319" i="2"/>
  <c r="L14320" i="2"/>
  <c r="L14321" i="2"/>
  <c r="L14322" i="2"/>
  <c r="L14323" i="2"/>
  <c r="L14324" i="2"/>
  <c r="L14325" i="2"/>
  <c r="L14326" i="2"/>
  <c r="L14327" i="2"/>
  <c r="L14328" i="2"/>
  <c r="L14329" i="2"/>
  <c r="L14330" i="2"/>
  <c r="L14331" i="2"/>
  <c r="L14332" i="2"/>
  <c r="L14333" i="2"/>
  <c r="L14334" i="2"/>
  <c r="L14335" i="2"/>
  <c r="L14336" i="2"/>
  <c r="L14337" i="2"/>
  <c r="L14338" i="2"/>
  <c r="L14339" i="2"/>
  <c r="L14340" i="2"/>
  <c r="L14341" i="2"/>
  <c r="L14342" i="2"/>
  <c r="L14343" i="2"/>
  <c r="L14344" i="2"/>
  <c r="L14345" i="2"/>
  <c r="L14346" i="2"/>
  <c r="L14347" i="2"/>
  <c r="L14348" i="2"/>
  <c r="L14349" i="2"/>
  <c r="L14350" i="2"/>
  <c r="L14351" i="2"/>
  <c r="L14352" i="2"/>
  <c r="L14353" i="2"/>
  <c r="L14354" i="2"/>
  <c r="L14355" i="2"/>
  <c r="L14356" i="2"/>
  <c r="L14357" i="2"/>
  <c r="L14358" i="2"/>
  <c r="L14359" i="2"/>
  <c r="L14360" i="2"/>
  <c r="L14361" i="2"/>
  <c r="L14362" i="2"/>
  <c r="L14363" i="2"/>
  <c r="L14364" i="2"/>
  <c r="L14365" i="2"/>
  <c r="L14366" i="2"/>
  <c r="L14367" i="2"/>
  <c r="L14368" i="2"/>
  <c r="L14369" i="2"/>
  <c r="L14370" i="2"/>
  <c r="L14371" i="2"/>
  <c r="L14372" i="2"/>
  <c r="L14373" i="2"/>
  <c r="L14374" i="2"/>
  <c r="L14375" i="2"/>
  <c r="L14376" i="2"/>
  <c r="L14377" i="2"/>
  <c r="L14378" i="2"/>
  <c r="L14379" i="2"/>
  <c r="L14380" i="2"/>
  <c r="L14381" i="2"/>
  <c r="L14382" i="2"/>
  <c r="L14383" i="2"/>
  <c r="L14384" i="2"/>
  <c r="L14385" i="2"/>
  <c r="L14386" i="2"/>
  <c r="L14387" i="2"/>
  <c r="L14388" i="2"/>
  <c r="L14389" i="2"/>
  <c r="L14390" i="2"/>
  <c r="L14391" i="2"/>
  <c r="L14392" i="2"/>
  <c r="L14393" i="2"/>
  <c r="L14394" i="2"/>
  <c r="L14395" i="2"/>
  <c r="L14396" i="2"/>
  <c r="L14397" i="2"/>
  <c r="L14398" i="2"/>
  <c r="L14399" i="2"/>
  <c r="L14400" i="2"/>
  <c r="L14401" i="2"/>
  <c r="L14402" i="2"/>
  <c r="L14403" i="2"/>
  <c r="L14404" i="2"/>
  <c r="L14405" i="2"/>
  <c r="L14406" i="2"/>
  <c r="L14407" i="2"/>
  <c r="L14408" i="2"/>
  <c r="L14409" i="2"/>
  <c r="L14410" i="2"/>
  <c r="L14411" i="2"/>
  <c r="L14412" i="2"/>
  <c r="L14413" i="2"/>
  <c r="L14414" i="2"/>
  <c r="L14415" i="2"/>
  <c r="L14416" i="2"/>
  <c r="L14417" i="2"/>
  <c r="L14418" i="2"/>
  <c r="L14419" i="2"/>
  <c r="L14420" i="2"/>
  <c r="L14421" i="2"/>
  <c r="L14422" i="2"/>
  <c r="L14423" i="2"/>
  <c r="L14424" i="2"/>
  <c r="L14425" i="2"/>
  <c r="L14426" i="2"/>
  <c r="L14427" i="2"/>
  <c r="L14428" i="2"/>
  <c r="L14429" i="2"/>
  <c r="L14430" i="2"/>
  <c r="L14431" i="2"/>
  <c r="L14432" i="2"/>
  <c r="L14433" i="2"/>
  <c r="L14434" i="2"/>
  <c r="L14435" i="2"/>
  <c r="L14436" i="2"/>
  <c r="L14437" i="2"/>
  <c r="L14438" i="2"/>
  <c r="L14439" i="2"/>
  <c r="L14440" i="2"/>
  <c r="L14441" i="2"/>
  <c r="L14442" i="2"/>
  <c r="L14443" i="2"/>
  <c r="L14444" i="2"/>
  <c r="L14445" i="2"/>
  <c r="L14446" i="2"/>
  <c r="L14447" i="2"/>
  <c r="L14448" i="2"/>
  <c r="L14449" i="2"/>
  <c r="L14450" i="2"/>
  <c r="L14451" i="2"/>
  <c r="L14452" i="2"/>
  <c r="L14453" i="2"/>
  <c r="L14454" i="2"/>
  <c r="L14455" i="2"/>
  <c r="L14456" i="2"/>
  <c r="L14457" i="2"/>
  <c r="L14458" i="2"/>
  <c r="L14459" i="2"/>
  <c r="L14460" i="2"/>
  <c r="L14461" i="2"/>
  <c r="L14462" i="2"/>
  <c r="L14463" i="2"/>
  <c r="L14464" i="2"/>
  <c r="L14465" i="2"/>
  <c r="L14466" i="2"/>
  <c r="L14467" i="2"/>
  <c r="L14468" i="2"/>
  <c r="L14469" i="2"/>
  <c r="L14470" i="2"/>
  <c r="L14471" i="2"/>
  <c r="L14472" i="2"/>
  <c r="L14473" i="2"/>
  <c r="L14474" i="2"/>
  <c r="L14475" i="2"/>
  <c r="L14476" i="2"/>
  <c r="L14477" i="2"/>
  <c r="L14478" i="2"/>
  <c r="L14479" i="2"/>
  <c r="L14480" i="2"/>
  <c r="L14481" i="2"/>
  <c r="L14482" i="2"/>
  <c r="L14483" i="2"/>
  <c r="L14484" i="2"/>
  <c r="L14485" i="2"/>
  <c r="L14486" i="2"/>
  <c r="L14487" i="2"/>
  <c r="L14488" i="2"/>
  <c r="L14489" i="2"/>
  <c r="L14490" i="2"/>
  <c r="L14491" i="2"/>
  <c r="L14492" i="2"/>
  <c r="L14493" i="2"/>
  <c r="L14494" i="2"/>
  <c r="L14495" i="2"/>
  <c r="L14496" i="2"/>
  <c r="L14497" i="2"/>
  <c r="L14498" i="2"/>
  <c r="L14499" i="2"/>
  <c r="L14500" i="2"/>
  <c r="L14501" i="2"/>
  <c r="L14502" i="2"/>
  <c r="L14503" i="2"/>
  <c r="L14504" i="2"/>
  <c r="L14505" i="2"/>
  <c r="L14506" i="2"/>
  <c r="L14507" i="2"/>
  <c r="L14508" i="2"/>
  <c r="L14509" i="2"/>
  <c r="L14510" i="2"/>
  <c r="L14511" i="2"/>
  <c r="L14512" i="2"/>
  <c r="L14513" i="2"/>
  <c r="L14514" i="2"/>
  <c r="L14515" i="2"/>
  <c r="L14516" i="2"/>
  <c r="L14517" i="2"/>
  <c r="L14518" i="2"/>
  <c r="L14519" i="2"/>
  <c r="L14520" i="2"/>
  <c r="L14521" i="2"/>
  <c r="L14522" i="2"/>
  <c r="L14523" i="2"/>
  <c r="L14524" i="2"/>
  <c r="L14525" i="2"/>
  <c r="L14526" i="2"/>
  <c r="L14527" i="2"/>
  <c r="L14528" i="2"/>
  <c r="L14529" i="2"/>
  <c r="L14530" i="2"/>
  <c r="L14531" i="2"/>
  <c r="L14532" i="2"/>
  <c r="L14533" i="2"/>
  <c r="L14534" i="2"/>
  <c r="L14535" i="2"/>
  <c r="L14536" i="2"/>
  <c r="L14537" i="2"/>
  <c r="L14538" i="2"/>
  <c r="L14539" i="2"/>
  <c r="L14540" i="2"/>
  <c r="L14541" i="2"/>
  <c r="L14542" i="2"/>
  <c r="L14543" i="2"/>
  <c r="L14544" i="2"/>
  <c r="L14545" i="2"/>
  <c r="L14546" i="2"/>
  <c r="L14547" i="2"/>
  <c r="L14548" i="2"/>
  <c r="L14549" i="2"/>
  <c r="L14550" i="2"/>
  <c r="L14551" i="2"/>
  <c r="L14552" i="2"/>
  <c r="L14553" i="2"/>
  <c r="L14554" i="2"/>
  <c r="L14555" i="2"/>
  <c r="L14556" i="2"/>
  <c r="L14557" i="2"/>
  <c r="L14558" i="2"/>
  <c r="L14559" i="2"/>
  <c r="L14560" i="2"/>
  <c r="L14561" i="2"/>
  <c r="L14562" i="2"/>
  <c r="L14563" i="2"/>
  <c r="L14564" i="2"/>
  <c r="L14565" i="2"/>
  <c r="L14566" i="2"/>
  <c r="L14567" i="2"/>
  <c r="L14568" i="2"/>
  <c r="L14569" i="2"/>
  <c r="L14570" i="2"/>
  <c r="L14571" i="2"/>
  <c r="L14572" i="2"/>
  <c r="L14573" i="2"/>
  <c r="L14574" i="2"/>
  <c r="L14575" i="2"/>
  <c r="L14576" i="2"/>
  <c r="L14577" i="2"/>
  <c r="L14578" i="2"/>
  <c r="L14579" i="2"/>
  <c r="L14580" i="2"/>
  <c r="L14581" i="2"/>
  <c r="L14582" i="2"/>
  <c r="L14583" i="2"/>
  <c r="L14584" i="2"/>
  <c r="L14585" i="2"/>
  <c r="L14586" i="2"/>
  <c r="L14587" i="2"/>
  <c r="L14588" i="2"/>
  <c r="L14589" i="2"/>
  <c r="L14590" i="2"/>
  <c r="L14591" i="2"/>
  <c r="L14592" i="2"/>
  <c r="L14593" i="2"/>
  <c r="L14594" i="2"/>
  <c r="L14595" i="2"/>
  <c r="L14596" i="2"/>
  <c r="L14597" i="2"/>
  <c r="L14598" i="2"/>
  <c r="L14599" i="2"/>
  <c r="L14600" i="2"/>
  <c r="L14601" i="2"/>
  <c r="L14602" i="2"/>
  <c r="L14603" i="2"/>
  <c r="L14604" i="2"/>
  <c r="L14605" i="2"/>
  <c r="L14606" i="2"/>
  <c r="L14607" i="2"/>
  <c r="L14608" i="2"/>
  <c r="L14609" i="2"/>
  <c r="L14610" i="2"/>
  <c r="L14611" i="2"/>
  <c r="L14612" i="2"/>
  <c r="L14613" i="2"/>
  <c r="L14614" i="2"/>
  <c r="L14615" i="2"/>
  <c r="L14616" i="2"/>
  <c r="L14617" i="2"/>
  <c r="L14618" i="2"/>
  <c r="L14619" i="2"/>
  <c r="L14620" i="2"/>
  <c r="L14621" i="2"/>
  <c r="L14622" i="2"/>
  <c r="L14623" i="2"/>
  <c r="L14624" i="2"/>
  <c r="L14625" i="2"/>
  <c r="L14626" i="2"/>
  <c r="L14627" i="2"/>
  <c r="L14628" i="2"/>
  <c r="L14629" i="2"/>
  <c r="L14630" i="2"/>
  <c r="L14631" i="2"/>
  <c r="L14632" i="2"/>
  <c r="L14633" i="2"/>
  <c r="L14634" i="2"/>
  <c r="L14635" i="2"/>
  <c r="L14636" i="2"/>
  <c r="L14637" i="2"/>
  <c r="L14638" i="2"/>
  <c r="L14639" i="2"/>
  <c r="L14640" i="2"/>
  <c r="L14641" i="2"/>
  <c r="L14642" i="2"/>
  <c r="L14643" i="2"/>
  <c r="L14644" i="2"/>
  <c r="L14645" i="2"/>
  <c r="L14646" i="2"/>
  <c r="L14647" i="2"/>
  <c r="L14648" i="2"/>
  <c r="L14649" i="2"/>
  <c r="L14650" i="2"/>
  <c r="L14651" i="2"/>
  <c r="L14652" i="2"/>
  <c r="L14653" i="2"/>
  <c r="L14654" i="2"/>
  <c r="L14655" i="2"/>
  <c r="L14656" i="2"/>
  <c r="L14657" i="2"/>
  <c r="L14658" i="2"/>
  <c r="L14659" i="2"/>
  <c r="L14660" i="2"/>
  <c r="L14661" i="2"/>
  <c r="L14662" i="2"/>
  <c r="L14663" i="2"/>
  <c r="L14664" i="2"/>
  <c r="L14665" i="2"/>
  <c r="L14666" i="2"/>
  <c r="L14667" i="2"/>
  <c r="L14668" i="2"/>
  <c r="L14669" i="2"/>
  <c r="L14670" i="2"/>
  <c r="L14671" i="2"/>
  <c r="L14672" i="2"/>
  <c r="L14673" i="2"/>
  <c r="L14674" i="2"/>
  <c r="L14675" i="2"/>
  <c r="L14676" i="2"/>
  <c r="L14677" i="2"/>
  <c r="L14678" i="2"/>
  <c r="L14679" i="2"/>
  <c r="L14680" i="2"/>
  <c r="L14681" i="2"/>
  <c r="L14682" i="2"/>
  <c r="L14683" i="2"/>
  <c r="L14684" i="2"/>
  <c r="L14685" i="2"/>
  <c r="L14686" i="2"/>
  <c r="L14687" i="2"/>
  <c r="L14688" i="2"/>
  <c r="L14689" i="2"/>
  <c r="L14690" i="2"/>
  <c r="L14691" i="2"/>
  <c r="L14692" i="2"/>
  <c r="L14693" i="2"/>
  <c r="L14694" i="2"/>
  <c r="L14695" i="2"/>
  <c r="L14696" i="2"/>
  <c r="L14697" i="2"/>
  <c r="L14698" i="2"/>
  <c r="L14699" i="2"/>
  <c r="L14700" i="2"/>
  <c r="L14701" i="2"/>
  <c r="L14702" i="2"/>
  <c r="L14703" i="2"/>
  <c r="L14704" i="2"/>
  <c r="L14705" i="2"/>
  <c r="L14706" i="2"/>
  <c r="L14707" i="2"/>
  <c r="L14708" i="2"/>
  <c r="L14709" i="2"/>
  <c r="L14710" i="2"/>
  <c r="L14711" i="2"/>
  <c r="L14712" i="2"/>
  <c r="L14713" i="2"/>
  <c r="L14714" i="2"/>
  <c r="L14715" i="2"/>
  <c r="L14716" i="2"/>
  <c r="L14717" i="2"/>
  <c r="L14718" i="2"/>
  <c r="L14719" i="2"/>
  <c r="L14720" i="2"/>
  <c r="L14721" i="2"/>
  <c r="L14722" i="2"/>
  <c r="L14723" i="2"/>
  <c r="L14724" i="2"/>
  <c r="L14725" i="2"/>
  <c r="L14726" i="2"/>
  <c r="L14727" i="2"/>
  <c r="L14728" i="2"/>
  <c r="L14729" i="2"/>
  <c r="L14730" i="2"/>
  <c r="L14731" i="2"/>
  <c r="L14732" i="2"/>
  <c r="L14733" i="2"/>
  <c r="L14734" i="2"/>
  <c r="L14735" i="2"/>
  <c r="L14736" i="2"/>
  <c r="L14737" i="2"/>
  <c r="L14738" i="2"/>
  <c r="L14739" i="2"/>
  <c r="L14740" i="2"/>
  <c r="L14741" i="2"/>
  <c r="L14742" i="2"/>
  <c r="L14743" i="2"/>
  <c r="L14744" i="2"/>
  <c r="L14745" i="2"/>
  <c r="L14746" i="2"/>
  <c r="L14747" i="2"/>
  <c r="L14748" i="2"/>
  <c r="L14749" i="2"/>
  <c r="L14750" i="2"/>
  <c r="L14751" i="2"/>
  <c r="L14752" i="2"/>
  <c r="L14753" i="2"/>
  <c r="L14754" i="2"/>
  <c r="L14755" i="2"/>
  <c r="L14756" i="2"/>
  <c r="L14757" i="2"/>
  <c r="L14758" i="2"/>
  <c r="L14759" i="2"/>
  <c r="L14760" i="2"/>
  <c r="L14761" i="2"/>
  <c r="L14762" i="2"/>
  <c r="L14763" i="2"/>
  <c r="L14764" i="2"/>
  <c r="L14765" i="2"/>
  <c r="L14766" i="2"/>
  <c r="L14767" i="2"/>
  <c r="L14768" i="2"/>
  <c r="L14769" i="2"/>
  <c r="L14770" i="2"/>
  <c r="L14771" i="2"/>
  <c r="L14772" i="2"/>
  <c r="L14773" i="2"/>
  <c r="L14774" i="2"/>
  <c r="L14775" i="2"/>
  <c r="L14776" i="2"/>
  <c r="L14777" i="2"/>
  <c r="L14778" i="2"/>
  <c r="L14779" i="2"/>
  <c r="L14780" i="2"/>
  <c r="L14781" i="2"/>
  <c r="L14782" i="2"/>
  <c r="L14783" i="2"/>
  <c r="L14784" i="2"/>
  <c r="L14785" i="2"/>
  <c r="L14786" i="2"/>
  <c r="L14787" i="2"/>
  <c r="L14788" i="2"/>
  <c r="L14789" i="2"/>
  <c r="L14790" i="2"/>
  <c r="L14791" i="2"/>
  <c r="L14792" i="2"/>
  <c r="L14793" i="2"/>
  <c r="L14794" i="2"/>
  <c r="L14795" i="2"/>
  <c r="L14796" i="2"/>
  <c r="L14797" i="2"/>
  <c r="L14798" i="2"/>
  <c r="L14799" i="2"/>
  <c r="L14800" i="2"/>
  <c r="L14801" i="2"/>
  <c r="L14802" i="2"/>
  <c r="L14803" i="2"/>
  <c r="L14804" i="2"/>
  <c r="L14805" i="2"/>
  <c r="L14806" i="2"/>
  <c r="L14807" i="2"/>
  <c r="L14808" i="2"/>
  <c r="L14809" i="2"/>
  <c r="L14810" i="2"/>
  <c r="L14811" i="2"/>
  <c r="L14812" i="2"/>
  <c r="L14813" i="2"/>
  <c r="L14814" i="2"/>
  <c r="L14815" i="2"/>
  <c r="L14816" i="2"/>
  <c r="L14817" i="2"/>
  <c r="L14818" i="2"/>
  <c r="L14819" i="2"/>
  <c r="L14820" i="2"/>
  <c r="L14821" i="2"/>
  <c r="L14822" i="2"/>
  <c r="L14823" i="2"/>
  <c r="L14824" i="2"/>
  <c r="L14825" i="2"/>
  <c r="L14826" i="2"/>
  <c r="L14827" i="2"/>
  <c r="L14828" i="2"/>
  <c r="L14829" i="2"/>
  <c r="L14830" i="2"/>
  <c r="L14831" i="2"/>
  <c r="L14832" i="2"/>
  <c r="L14833" i="2"/>
  <c r="L14834" i="2"/>
  <c r="L14835" i="2"/>
  <c r="L14836" i="2"/>
  <c r="L14837" i="2"/>
  <c r="L14838" i="2"/>
  <c r="L14839" i="2"/>
  <c r="L14840" i="2"/>
  <c r="L14841" i="2"/>
  <c r="L14842" i="2"/>
  <c r="L14843" i="2"/>
  <c r="L14844" i="2"/>
  <c r="L14845" i="2"/>
  <c r="L14846" i="2"/>
  <c r="L14847" i="2"/>
  <c r="L14848" i="2"/>
  <c r="L14849" i="2"/>
  <c r="L14850" i="2"/>
  <c r="L14851" i="2"/>
  <c r="L14852" i="2"/>
  <c r="L14853" i="2"/>
  <c r="L14854" i="2"/>
  <c r="L14855" i="2"/>
  <c r="L14856" i="2"/>
  <c r="L14857" i="2"/>
  <c r="L14858" i="2"/>
  <c r="L14859" i="2"/>
  <c r="L14860" i="2"/>
  <c r="L14861" i="2"/>
  <c r="L14862" i="2"/>
  <c r="L14863" i="2"/>
  <c r="L14864" i="2"/>
  <c r="L14865" i="2"/>
  <c r="L14866" i="2"/>
  <c r="L14867" i="2"/>
  <c r="L14868" i="2"/>
  <c r="L14869" i="2"/>
  <c r="L14870" i="2"/>
  <c r="L14871" i="2"/>
  <c r="L14872" i="2"/>
  <c r="L14873" i="2"/>
  <c r="L14874" i="2"/>
  <c r="L14875" i="2"/>
  <c r="L14876" i="2"/>
  <c r="L14877" i="2"/>
  <c r="L14878" i="2"/>
  <c r="L14879" i="2"/>
  <c r="L14880" i="2"/>
  <c r="L14881" i="2"/>
  <c r="L14882" i="2"/>
  <c r="L14883" i="2"/>
  <c r="L14884" i="2"/>
  <c r="L14885" i="2"/>
  <c r="L14886" i="2"/>
  <c r="L14887" i="2"/>
  <c r="L14888" i="2"/>
  <c r="L14889" i="2"/>
  <c r="L14890" i="2"/>
  <c r="L14891" i="2"/>
  <c r="L14892" i="2"/>
  <c r="L14893" i="2"/>
  <c r="L14894" i="2"/>
  <c r="L14895" i="2"/>
  <c r="L14896" i="2"/>
  <c r="L14897" i="2"/>
  <c r="L14898" i="2"/>
  <c r="L14899" i="2"/>
  <c r="L14900" i="2"/>
  <c r="L14901" i="2"/>
  <c r="L14902" i="2"/>
  <c r="L14903" i="2"/>
  <c r="L14904" i="2"/>
  <c r="L14905" i="2"/>
  <c r="L14906" i="2"/>
  <c r="L14907" i="2"/>
  <c r="L14908" i="2"/>
  <c r="L14909" i="2"/>
  <c r="L14910" i="2"/>
  <c r="L14911" i="2"/>
  <c r="L14912" i="2"/>
  <c r="L14913" i="2"/>
  <c r="L14914" i="2"/>
  <c r="L14915" i="2"/>
  <c r="L14916" i="2"/>
  <c r="L14917" i="2"/>
  <c r="L14918" i="2"/>
  <c r="L14919" i="2"/>
  <c r="L14920" i="2"/>
  <c r="L14921" i="2"/>
  <c r="L14922" i="2"/>
  <c r="L14923" i="2"/>
  <c r="L14924" i="2"/>
  <c r="L14925" i="2"/>
  <c r="L14926" i="2"/>
  <c r="L14927" i="2"/>
  <c r="L14928" i="2"/>
  <c r="L14929" i="2"/>
  <c r="L14930" i="2"/>
  <c r="L14931" i="2"/>
  <c r="L14932" i="2"/>
  <c r="L14933" i="2"/>
  <c r="L14934" i="2"/>
  <c r="L14935" i="2"/>
  <c r="L14936" i="2"/>
  <c r="L14937" i="2"/>
  <c r="L14938" i="2"/>
  <c r="L14939" i="2"/>
  <c r="L14940" i="2"/>
  <c r="L14941" i="2"/>
  <c r="L14942" i="2"/>
  <c r="L14943" i="2"/>
  <c r="L14944" i="2"/>
  <c r="L14945" i="2"/>
  <c r="L14946" i="2"/>
  <c r="L14947" i="2"/>
  <c r="L14948" i="2"/>
  <c r="L14949" i="2"/>
  <c r="L14950" i="2"/>
  <c r="L14951" i="2"/>
  <c r="L14952" i="2"/>
  <c r="L14953" i="2"/>
  <c r="L14954" i="2"/>
  <c r="L14955" i="2"/>
  <c r="L14956" i="2"/>
  <c r="L14957" i="2"/>
  <c r="L14958" i="2"/>
  <c r="L14959" i="2"/>
  <c r="L14960" i="2"/>
  <c r="L14961" i="2"/>
  <c r="L14962" i="2"/>
  <c r="L14963" i="2"/>
  <c r="L14964" i="2"/>
  <c r="L14965" i="2"/>
  <c r="L14966" i="2"/>
  <c r="L14967" i="2"/>
  <c r="L14968" i="2"/>
  <c r="L14969" i="2"/>
  <c r="L14970" i="2"/>
  <c r="L14971" i="2"/>
  <c r="L14972" i="2"/>
  <c r="L14973" i="2"/>
  <c r="L14974" i="2"/>
  <c r="L14975" i="2"/>
  <c r="L14976" i="2"/>
  <c r="L14977" i="2"/>
  <c r="L14978" i="2"/>
  <c r="L14979" i="2"/>
  <c r="L14980" i="2"/>
  <c r="L14981" i="2"/>
  <c r="L14982" i="2"/>
  <c r="L14983" i="2"/>
  <c r="L14984" i="2"/>
  <c r="L14985" i="2"/>
  <c r="L14986" i="2"/>
  <c r="L14987" i="2"/>
  <c r="L14988" i="2"/>
  <c r="L14989" i="2"/>
  <c r="L14990" i="2"/>
  <c r="L14991" i="2"/>
  <c r="L14992" i="2"/>
  <c r="L14993" i="2"/>
  <c r="L14994" i="2"/>
  <c r="L14995" i="2"/>
  <c r="L14996" i="2"/>
  <c r="L14997" i="2"/>
  <c r="L14998" i="2"/>
  <c r="L14999" i="2"/>
  <c r="L15000" i="2"/>
  <c r="L3" i="2"/>
  <c r="G4" i="2"/>
  <c r="G5" i="2"/>
  <c r="G6" i="2"/>
  <c r="G7" i="2"/>
  <c r="G8" i="2"/>
  <c r="G9" i="2"/>
  <c r="G10" i="2"/>
  <c r="G11" i="2"/>
  <c r="G12" i="2"/>
  <c r="G13" i="2"/>
  <c r="G15" i="2"/>
  <c r="G16" i="2"/>
  <c r="G17" i="2"/>
  <c r="G19" i="2"/>
  <c r="G20" i="2"/>
  <c r="G21" i="2"/>
  <c r="G22" i="2"/>
  <c r="G23" i="2"/>
  <c r="G24" i="2"/>
  <c r="G25" i="2"/>
  <c r="G26" i="2"/>
  <c r="G27"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 r="G3158" i="2"/>
  <c r="G3159" i="2"/>
  <c r="G3160" i="2"/>
  <c r="G3161" i="2"/>
  <c r="G3162" i="2"/>
  <c r="G3163" i="2"/>
  <c r="G3164" i="2"/>
  <c r="G3165" i="2"/>
  <c r="G3166" i="2"/>
  <c r="G3167" i="2"/>
  <c r="G3168" i="2"/>
  <c r="G3169" i="2"/>
  <c r="G3170" i="2"/>
  <c r="G3171" i="2"/>
  <c r="G3172" i="2"/>
  <c r="G3173" i="2"/>
  <c r="G3174" i="2"/>
  <c r="G3175" i="2"/>
  <c r="G3176" i="2"/>
  <c r="G3177" i="2"/>
  <c r="G3178" i="2"/>
  <c r="G3179" i="2"/>
  <c r="G3180" i="2"/>
  <c r="G3181" i="2"/>
  <c r="G3182" i="2"/>
  <c r="G3183" i="2"/>
  <c r="G3184" i="2"/>
  <c r="G3185" i="2"/>
  <c r="G3186" i="2"/>
  <c r="G3187" i="2"/>
  <c r="G3188" i="2"/>
  <c r="G3189" i="2"/>
  <c r="G3190" i="2"/>
  <c r="G3191" i="2"/>
  <c r="G3192" i="2"/>
  <c r="G3193" i="2"/>
  <c r="G3194" i="2"/>
  <c r="G3195" i="2"/>
  <c r="G3196" i="2"/>
  <c r="G3197" i="2"/>
  <c r="G3198" i="2"/>
  <c r="G3199" i="2"/>
  <c r="G3200" i="2"/>
  <c r="G3201" i="2"/>
  <c r="G3202" i="2"/>
  <c r="G3203" i="2"/>
  <c r="G3204" i="2"/>
  <c r="G3205" i="2"/>
  <c r="G3206" i="2"/>
  <c r="G3207" i="2"/>
  <c r="G3208" i="2"/>
  <c r="G3209" i="2"/>
  <c r="G3210" i="2"/>
  <c r="G3211" i="2"/>
  <c r="G3212" i="2"/>
  <c r="G3213" i="2"/>
  <c r="G3214" i="2"/>
  <c r="G3215" i="2"/>
  <c r="G3216" i="2"/>
  <c r="G3217" i="2"/>
  <c r="G3218" i="2"/>
  <c r="G3219" i="2"/>
  <c r="G3220" i="2"/>
  <c r="G3221" i="2"/>
  <c r="G3222" i="2"/>
  <c r="G3223" i="2"/>
  <c r="G3224" i="2"/>
  <c r="G3225" i="2"/>
  <c r="G3226" i="2"/>
  <c r="G3227" i="2"/>
  <c r="G3228" i="2"/>
  <c r="G3229" i="2"/>
  <c r="G3230" i="2"/>
  <c r="G3231" i="2"/>
  <c r="G3232" i="2"/>
  <c r="G3233" i="2"/>
  <c r="G3234" i="2"/>
  <c r="G3235" i="2"/>
  <c r="G3236" i="2"/>
  <c r="G3237" i="2"/>
  <c r="G3238" i="2"/>
  <c r="G3239" i="2"/>
  <c r="G3240" i="2"/>
  <c r="G3241" i="2"/>
  <c r="G3242" i="2"/>
  <c r="G3243" i="2"/>
  <c r="G3244" i="2"/>
  <c r="G3245" i="2"/>
  <c r="G3246" i="2"/>
  <c r="G3247" i="2"/>
  <c r="G3248" i="2"/>
  <c r="G3249" i="2"/>
  <c r="G3250" i="2"/>
  <c r="G3251" i="2"/>
  <c r="G3252" i="2"/>
  <c r="G3253" i="2"/>
  <c r="G3254" i="2"/>
  <c r="G3255" i="2"/>
  <c r="G3256" i="2"/>
  <c r="G3257" i="2"/>
  <c r="G3258" i="2"/>
  <c r="G3259" i="2"/>
  <c r="G3260" i="2"/>
  <c r="G3261" i="2"/>
  <c r="G3262" i="2"/>
  <c r="G3263" i="2"/>
  <c r="G3264" i="2"/>
  <c r="G3265" i="2"/>
  <c r="G3266" i="2"/>
  <c r="G3267" i="2"/>
  <c r="G3268" i="2"/>
  <c r="G3269" i="2"/>
  <c r="G3270" i="2"/>
  <c r="G3271" i="2"/>
  <c r="G3272" i="2"/>
  <c r="G3273" i="2"/>
  <c r="G3274" i="2"/>
  <c r="G3275" i="2"/>
  <c r="G3276" i="2"/>
  <c r="G3277" i="2"/>
  <c r="G3278" i="2"/>
  <c r="G3279" i="2"/>
  <c r="G3280" i="2"/>
  <c r="G3281" i="2"/>
  <c r="G3282" i="2"/>
  <c r="G3283" i="2"/>
  <c r="G3284" i="2"/>
  <c r="G3285" i="2"/>
  <c r="G3286" i="2"/>
  <c r="G3287" i="2"/>
  <c r="G3288" i="2"/>
  <c r="G3289" i="2"/>
  <c r="G3290" i="2"/>
  <c r="G3291" i="2"/>
  <c r="G3292" i="2"/>
  <c r="G3293" i="2"/>
  <c r="G3294" i="2"/>
  <c r="G3295" i="2"/>
  <c r="G3296" i="2"/>
  <c r="G3297" i="2"/>
  <c r="G3298" i="2"/>
  <c r="G3299" i="2"/>
  <c r="G3300" i="2"/>
  <c r="G3301" i="2"/>
  <c r="G3302" i="2"/>
  <c r="G3303" i="2"/>
  <c r="G3304" i="2"/>
  <c r="G3305" i="2"/>
  <c r="G3306" i="2"/>
  <c r="G3307" i="2"/>
  <c r="G3308" i="2"/>
  <c r="G3309" i="2"/>
  <c r="G3310" i="2"/>
  <c r="G3311" i="2"/>
  <c r="G3312" i="2"/>
  <c r="G3313" i="2"/>
  <c r="G3314" i="2"/>
  <c r="G3315" i="2"/>
  <c r="G3316" i="2"/>
  <c r="G3317" i="2"/>
  <c r="G3318" i="2"/>
  <c r="G3319" i="2"/>
  <c r="G3320" i="2"/>
  <c r="G3321" i="2"/>
  <c r="G3322" i="2"/>
  <c r="G3323" i="2"/>
  <c r="G3324" i="2"/>
  <c r="G3325" i="2"/>
  <c r="G3326" i="2"/>
  <c r="G3327" i="2"/>
  <c r="G3328" i="2"/>
  <c r="G3329" i="2"/>
  <c r="G3330" i="2"/>
  <c r="G3331" i="2"/>
  <c r="G3332" i="2"/>
  <c r="G3333" i="2"/>
  <c r="G3334" i="2"/>
  <c r="G3335" i="2"/>
  <c r="G3336" i="2"/>
  <c r="G3337" i="2"/>
  <c r="G3338" i="2"/>
  <c r="G3339" i="2"/>
  <c r="G3340" i="2"/>
  <c r="G3341" i="2"/>
  <c r="G3342" i="2"/>
  <c r="G3343" i="2"/>
  <c r="G3344" i="2"/>
  <c r="G3345" i="2"/>
  <c r="G3346" i="2"/>
  <c r="G3347" i="2"/>
  <c r="G3348" i="2"/>
  <c r="G3349" i="2"/>
  <c r="G3350" i="2"/>
  <c r="G3351" i="2"/>
  <c r="G3352" i="2"/>
  <c r="G3353" i="2"/>
  <c r="G3354" i="2"/>
  <c r="G3355" i="2"/>
  <c r="G3356" i="2"/>
  <c r="G3357" i="2"/>
  <c r="G3358" i="2"/>
  <c r="G3359" i="2"/>
  <c r="G3360" i="2"/>
  <c r="G3361" i="2"/>
  <c r="G3362" i="2"/>
  <c r="G3363" i="2"/>
  <c r="G3364" i="2"/>
  <c r="G3365" i="2"/>
  <c r="G3366" i="2"/>
  <c r="G3367" i="2"/>
  <c r="G3368" i="2"/>
  <c r="G3369" i="2"/>
  <c r="G3370" i="2"/>
  <c r="G3371" i="2"/>
  <c r="G3372" i="2"/>
  <c r="G3373" i="2"/>
  <c r="G3374" i="2"/>
  <c r="G3375" i="2"/>
  <c r="G3376" i="2"/>
  <c r="G3377" i="2"/>
  <c r="G3378" i="2"/>
  <c r="G3379" i="2"/>
  <c r="G3380" i="2"/>
  <c r="G3381" i="2"/>
  <c r="G3382" i="2"/>
  <c r="G3383" i="2"/>
  <c r="G3384" i="2"/>
  <c r="G3385" i="2"/>
  <c r="G3386" i="2"/>
  <c r="G3387" i="2"/>
  <c r="G3388" i="2"/>
  <c r="G3389" i="2"/>
  <c r="G3390" i="2"/>
  <c r="G3391" i="2"/>
  <c r="G3392" i="2"/>
  <c r="G3393" i="2"/>
  <c r="G3394" i="2"/>
  <c r="G3395" i="2"/>
  <c r="G3396" i="2"/>
  <c r="G3397" i="2"/>
  <c r="G3398" i="2"/>
  <c r="G3399" i="2"/>
  <c r="G3400" i="2"/>
  <c r="G3401" i="2"/>
  <c r="G3402" i="2"/>
  <c r="G3403" i="2"/>
  <c r="G3404" i="2"/>
  <c r="G3405" i="2"/>
  <c r="G3406" i="2"/>
  <c r="G3407" i="2"/>
  <c r="G3408" i="2"/>
  <c r="G3409" i="2"/>
  <c r="G3410" i="2"/>
  <c r="G3411" i="2"/>
  <c r="G3412" i="2"/>
  <c r="G3413" i="2"/>
  <c r="G3414" i="2"/>
  <c r="G3415" i="2"/>
  <c r="G3416" i="2"/>
  <c r="G3417" i="2"/>
  <c r="G3418" i="2"/>
  <c r="G3419" i="2"/>
  <c r="G3420" i="2"/>
  <c r="G3421" i="2"/>
  <c r="G3422" i="2"/>
  <c r="G3423" i="2"/>
  <c r="G3424" i="2"/>
  <c r="G3425" i="2"/>
  <c r="G3426" i="2"/>
  <c r="G3427" i="2"/>
  <c r="G3428" i="2"/>
  <c r="G3429" i="2"/>
  <c r="G3430" i="2"/>
  <c r="G3431" i="2"/>
  <c r="G3432" i="2"/>
  <c r="G3433" i="2"/>
  <c r="G3434" i="2"/>
  <c r="G3435" i="2"/>
  <c r="G3436" i="2"/>
  <c r="G3437" i="2"/>
  <c r="G3438" i="2"/>
  <c r="G3439" i="2"/>
  <c r="G3440" i="2"/>
  <c r="G3441" i="2"/>
  <c r="G3442" i="2"/>
  <c r="G3443" i="2"/>
  <c r="G3444" i="2"/>
  <c r="G3445" i="2"/>
  <c r="G3446" i="2"/>
  <c r="G3447" i="2"/>
  <c r="G3448" i="2"/>
  <c r="G3449" i="2"/>
  <c r="G3450" i="2"/>
  <c r="G3451" i="2"/>
  <c r="G3452" i="2"/>
  <c r="G3453" i="2"/>
  <c r="G3454" i="2"/>
  <c r="G3455" i="2"/>
  <c r="G3456" i="2"/>
  <c r="G3457" i="2"/>
  <c r="G3458" i="2"/>
  <c r="G3459" i="2"/>
  <c r="G3460" i="2"/>
  <c r="G3461" i="2"/>
  <c r="G3462" i="2"/>
  <c r="G3463" i="2"/>
  <c r="G3464" i="2"/>
  <c r="G3465" i="2"/>
  <c r="G3466" i="2"/>
  <c r="G3467" i="2"/>
  <c r="G3468" i="2"/>
  <c r="G3469" i="2"/>
  <c r="G3470" i="2"/>
  <c r="G3471" i="2"/>
  <c r="G3472" i="2"/>
  <c r="G3473" i="2"/>
  <c r="G3474" i="2"/>
  <c r="G3475" i="2"/>
  <c r="G3476" i="2"/>
  <c r="G3477" i="2"/>
  <c r="G3478" i="2"/>
  <c r="G3479" i="2"/>
  <c r="G3480" i="2"/>
  <c r="G3481" i="2"/>
  <c r="G3482" i="2"/>
  <c r="G3483" i="2"/>
  <c r="G3484" i="2"/>
  <c r="G3485" i="2"/>
  <c r="G3486" i="2"/>
  <c r="G3487" i="2"/>
  <c r="G3488" i="2"/>
  <c r="G3489" i="2"/>
  <c r="G3490" i="2"/>
  <c r="G3491" i="2"/>
  <c r="G3492" i="2"/>
  <c r="G3493" i="2"/>
  <c r="G3494" i="2"/>
  <c r="G3495" i="2"/>
  <c r="G3496" i="2"/>
  <c r="G3497" i="2"/>
  <c r="G3498" i="2"/>
  <c r="G3499" i="2"/>
  <c r="G3500" i="2"/>
  <c r="G3501" i="2"/>
  <c r="G3502" i="2"/>
  <c r="G3503" i="2"/>
  <c r="G3504" i="2"/>
  <c r="G3505" i="2"/>
  <c r="G3506" i="2"/>
  <c r="G3507" i="2"/>
  <c r="G3508" i="2"/>
  <c r="G3509" i="2"/>
  <c r="G3510" i="2"/>
  <c r="G3511" i="2"/>
  <c r="G3512" i="2"/>
  <c r="G3513" i="2"/>
  <c r="G3514" i="2"/>
  <c r="G3515" i="2"/>
  <c r="G3516" i="2"/>
  <c r="G3517" i="2"/>
  <c r="G3518" i="2"/>
  <c r="G3519" i="2"/>
  <c r="G3520" i="2"/>
  <c r="G3521" i="2"/>
  <c r="G3522" i="2"/>
  <c r="G3523" i="2"/>
  <c r="G3524" i="2"/>
  <c r="G3525" i="2"/>
  <c r="G3526" i="2"/>
  <c r="G3527" i="2"/>
  <c r="G3528" i="2"/>
  <c r="G3529" i="2"/>
  <c r="G3530" i="2"/>
  <c r="G3531" i="2"/>
  <c r="G3532" i="2"/>
  <c r="G3533" i="2"/>
  <c r="G3534" i="2"/>
  <c r="G3535" i="2"/>
  <c r="G3536" i="2"/>
  <c r="G3537" i="2"/>
  <c r="G3538" i="2"/>
  <c r="G3539" i="2"/>
  <c r="G3540" i="2"/>
  <c r="G3541" i="2"/>
  <c r="G3542" i="2"/>
  <c r="G3543" i="2"/>
  <c r="G3544" i="2"/>
  <c r="G3545" i="2"/>
  <c r="G3546" i="2"/>
  <c r="G3547" i="2"/>
  <c r="G3548" i="2"/>
  <c r="G3549" i="2"/>
  <c r="G3550" i="2"/>
  <c r="G3551" i="2"/>
  <c r="G3552" i="2"/>
  <c r="G3553" i="2"/>
  <c r="G3554" i="2"/>
  <c r="G3555" i="2"/>
  <c r="G3556" i="2"/>
  <c r="G3557" i="2"/>
  <c r="G3558" i="2"/>
  <c r="G3559" i="2"/>
  <c r="G3560" i="2"/>
  <c r="G3561" i="2"/>
  <c r="G3562" i="2"/>
  <c r="G3563" i="2"/>
  <c r="G3564" i="2"/>
  <c r="G3565" i="2"/>
  <c r="G3566" i="2"/>
  <c r="G3567" i="2"/>
  <c r="G3568" i="2"/>
  <c r="G3569" i="2"/>
  <c r="G3570" i="2"/>
  <c r="G3571" i="2"/>
  <c r="G3572" i="2"/>
  <c r="G3573" i="2"/>
  <c r="G3574" i="2"/>
  <c r="G3575" i="2"/>
  <c r="G3576" i="2"/>
  <c r="G3577" i="2"/>
  <c r="G3578" i="2"/>
  <c r="G3579" i="2"/>
  <c r="G3580" i="2"/>
  <c r="G3581" i="2"/>
  <c r="G3582" i="2"/>
  <c r="G3583" i="2"/>
  <c r="G3584" i="2"/>
  <c r="G3585" i="2"/>
  <c r="G3586" i="2"/>
  <c r="G3587" i="2"/>
  <c r="G3588" i="2"/>
  <c r="G3589" i="2"/>
  <c r="G3590" i="2"/>
  <c r="G3591" i="2"/>
  <c r="G3592" i="2"/>
  <c r="G3593" i="2"/>
  <c r="G3594" i="2"/>
  <c r="G3595" i="2"/>
  <c r="G3596" i="2"/>
  <c r="G3597" i="2"/>
  <c r="G3598" i="2"/>
  <c r="G3599" i="2"/>
  <c r="G3600" i="2"/>
  <c r="G3601" i="2"/>
  <c r="G3602" i="2"/>
  <c r="G3603" i="2"/>
  <c r="G3604" i="2"/>
  <c r="G3605" i="2"/>
  <c r="G3606" i="2"/>
  <c r="G3607" i="2"/>
  <c r="G3608" i="2"/>
  <c r="G3609" i="2"/>
  <c r="G3610" i="2"/>
  <c r="G3611" i="2"/>
  <c r="G3612" i="2"/>
  <c r="G3613" i="2"/>
  <c r="G3614" i="2"/>
  <c r="G3615" i="2"/>
  <c r="G3616" i="2"/>
  <c r="G3617" i="2"/>
  <c r="G3618" i="2"/>
  <c r="G3619" i="2"/>
  <c r="G3620" i="2"/>
  <c r="G3621" i="2"/>
  <c r="G3622" i="2"/>
  <c r="G3623" i="2"/>
  <c r="G3624" i="2"/>
  <c r="G3625" i="2"/>
  <c r="G3626" i="2"/>
  <c r="G3627" i="2"/>
  <c r="G3628" i="2"/>
  <c r="G3629" i="2"/>
  <c r="G3630" i="2"/>
  <c r="G3631" i="2"/>
  <c r="G3632" i="2"/>
  <c r="G3633" i="2"/>
  <c r="G3634" i="2"/>
  <c r="G3635" i="2"/>
  <c r="G3636" i="2"/>
  <c r="G3637" i="2"/>
  <c r="G3638" i="2"/>
  <c r="G3639" i="2"/>
  <c r="G3640" i="2"/>
  <c r="G3641" i="2"/>
  <c r="G3642" i="2"/>
  <c r="G3643" i="2"/>
  <c r="G3644" i="2"/>
  <c r="G3645" i="2"/>
  <c r="G3646" i="2"/>
  <c r="G3647" i="2"/>
  <c r="G3648" i="2"/>
  <c r="G3649" i="2"/>
  <c r="G3650" i="2"/>
  <c r="G3651" i="2"/>
  <c r="G3652" i="2"/>
  <c r="G3653" i="2"/>
  <c r="G3654" i="2"/>
  <c r="G3655" i="2"/>
  <c r="G3656" i="2"/>
  <c r="G3657" i="2"/>
  <c r="G3658" i="2"/>
  <c r="G3659" i="2"/>
  <c r="G3660" i="2"/>
  <c r="G3661" i="2"/>
  <c r="G3662" i="2"/>
  <c r="G3663" i="2"/>
  <c r="G3664" i="2"/>
  <c r="G3665" i="2"/>
  <c r="G3666" i="2"/>
  <c r="G3667" i="2"/>
  <c r="G3668" i="2"/>
  <c r="G3669" i="2"/>
  <c r="G3670" i="2"/>
  <c r="G3671" i="2"/>
  <c r="G3672" i="2"/>
  <c r="G3673" i="2"/>
  <c r="G3674" i="2"/>
  <c r="G3675" i="2"/>
  <c r="G3676" i="2"/>
  <c r="G3677" i="2"/>
  <c r="G3678" i="2"/>
  <c r="G3679" i="2"/>
  <c r="G3680" i="2"/>
  <c r="G3681" i="2"/>
  <c r="G3682" i="2"/>
  <c r="G3683" i="2"/>
  <c r="G3684" i="2"/>
  <c r="G3685" i="2"/>
  <c r="G3686" i="2"/>
  <c r="G3687" i="2"/>
  <c r="G3688" i="2"/>
  <c r="G3689" i="2"/>
  <c r="G3690" i="2"/>
  <c r="G3691" i="2"/>
  <c r="G3692" i="2"/>
  <c r="G3693" i="2"/>
  <c r="G3694" i="2"/>
  <c r="G3695" i="2"/>
  <c r="G3696" i="2"/>
  <c r="G3697" i="2"/>
  <c r="G3698" i="2"/>
  <c r="G3699" i="2"/>
  <c r="G3700" i="2"/>
  <c r="G3701" i="2"/>
  <c r="G3702" i="2"/>
  <c r="G3703" i="2"/>
  <c r="G3704" i="2"/>
  <c r="G3705" i="2"/>
  <c r="G3706" i="2"/>
  <c r="G3707" i="2"/>
  <c r="G3708" i="2"/>
  <c r="G3709" i="2"/>
  <c r="G3710" i="2"/>
  <c r="G3711" i="2"/>
  <c r="G3712" i="2"/>
  <c r="G3713" i="2"/>
  <c r="G3714" i="2"/>
  <c r="G3715" i="2"/>
  <c r="G3716" i="2"/>
  <c r="G3717" i="2"/>
  <c r="G3718" i="2"/>
  <c r="G3719" i="2"/>
  <c r="G3720" i="2"/>
  <c r="G3721" i="2"/>
  <c r="G3722" i="2"/>
  <c r="G3723" i="2"/>
  <c r="G3724" i="2"/>
  <c r="G3725" i="2"/>
  <c r="G3726" i="2"/>
  <c r="G3727" i="2"/>
  <c r="G3728" i="2"/>
  <c r="G3729" i="2"/>
  <c r="G3730" i="2"/>
  <c r="G3731" i="2"/>
  <c r="G3732" i="2"/>
  <c r="G3733" i="2"/>
  <c r="G3734" i="2"/>
  <c r="G3735" i="2"/>
  <c r="G3736" i="2"/>
  <c r="G3737" i="2"/>
  <c r="G3738" i="2"/>
  <c r="G3739" i="2"/>
  <c r="G3740" i="2"/>
  <c r="G3741" i="2"/>
  <c r="G3742" i="2"/>
  <c r="G3743" i="2"/>
  <c r="G3744" i="2"/>
  <c r="G3745" i="2"/>
  <c r="G3746" i="2"/>
  <c r="G3747" i="2"/>
  <c r="G3748" i="2"/>
  <c r="G3749" i="2"/>
  <c r="G3750" i="2"/>
  <c r="G3751" i="2"/>
  <c r="G3752" i="2"/>
  <c r="G3753" i="2"/>
  <c r="G3754" i="2"/>
  <c r="G3755" i="2"/>
  <c r="G3756" i="2"/>
  <c r="G3757" i="2"/>
  <c r="G3758" i="2"/>
  <c r="G3759" i="2"/>
  <c r="G3760" i="2"/>
  <c r="G3761" i="2"/>
  <c r="G3762" i="2"/>
  <c r="G3763" i="2"/>
  <c r="G3764" i="2"/>
  <c r="G3765" i="2"/>
  <c r="G3766" i="2"/>
  <c r="G3767" i="2"/>
  <c r="G3768" i="2"/>
  <c r="G3769" i="2"/>
  <c r="G3770" i="2"/>
  <c r="G3771" i="2"/>
  <c r="G3772" i="2"/>
  <c r="G3773" i="2"/>
  <c r="G3774" i="2"/>
  <c r="G3775" i="2"/>
  <c r="G3776" i="2"/>
  <c r="G3777" i="2"/>
  <c r="G3778" i="2"/>
  <c r="G3779" i="2"/>
  <c r="G3780" i="2"/>
  <c r="G3781" i="2"/>
  <c r="G3782" i="2"/>
  <c r="G3783" i="2"/>
  <c r="G3784" i="2"/>
  <c r="G3785" i="2"/>
  <c r="G3786" i="2"/>
  <c r="G3787" i="2"/>
  <c r="G3788" i="2"/>
  <c r="G3789" i="2"/>
  <c r="G3790" i="2"/>
  <c r="G3791" i="2"/>
  <c r="G3792" i="2"/>
  <c r="G3793" i="2"/>
  <c r="G3794" i="2"/>
  <c r="G3795" i="2"/>
  <c r="G3796" i="2"/>
  <c r="G3797" i="2"/>
  <c r="G3798" i="2"/>
  <c r="G3799" i="2"/>
  <c r="G3800" i="2"/>
  <c r="G3801" i="2"/>
  <c r="G3802" i="2"/>
  <c r="G3803" i="2"/>
  <c r="G3804" i="2"/>
  <c r="G3805" i="2"/>
  <c r="G3806" i="2"/>
  <c r="G3807" i="2"/>
  <c r="G3808" i="2"/>
  <c r="G3809" i="2"/>
  <c r="G3810" i="2"/>
  <c r="G3811" i="2"/>
  <c r="G3812" i="2"/>
  <c r="G3813" i="2"/>
  <c r="G3814" i="2"/>
  <c r="G3815" i="2"/>
  <c r="G3816" i="2"/>
  <c r="G3817" i="2"/>
  <c r="G3818" i="2"/>
  <c r="G3819" i="2"/>
  <c r="G3820" i="2"/>
  <c r="G3821" i="2"/>
  <c r="G3822" i="2"/>
  <c r="G3823" i="2"/>
  <c r="G3824" i="2"/>
  <c r="G3825" i="2"/>
  <c r="G3826" i="2"/>
  <c r="G3827" i="2"/>
  <c r="G3828" i="2"/>
  <c r="G3829" i="2"/>
  <c r="G3830" i="2"/>
  <c r="G3831" i="2"/>
  <c r="G3832" i="2"/>
  <c r="G3833" i="2"/>
  <c r="G3834" i="2"/>
  <c r="G3835" i="2"/>
  <c r="G3836" i="2"/>
  <c r="G3837" i="2"/>
  <c r="G3838" i="2"/>
  <c r="G3839" i="2"/>
  <c r="G3840" i="2"/>
  <c r="G3841" i="2"/>
  <c r="G3842" i="2"/>
  <c r="G3843" i="2"/>
  <c r="G3844" i="2"/>
  <c r="G3845" i="2"/>
  <c r="G3846" i="2"/>
  <c r="G3847" i="2"/>
  <c r="G3848" i="2"/>
  <c r="G3849" i="2"/>
  <c r="G3850" i="2"/>
  <c r="G3851" i="2"/>
  <c r="G3852" i="2"/>
  <c r="G3853" i="2"/>
  <c r="G3854" i="2"/>
  <c r="G3855" i="2"/>
  <c r="G3856" i="2"/>
  <c r="G3857" i="2"/>
  <c r="G3858" i="2"/>
  <c r="G3859" i="2"/>
  <c r="G3860" i="2"/>
  <c r="G3861" i="2"/>
  <c r="G3862" i="2"/>
  <c r="G3863" i="2"/>
  <c r="G3864" i="2"/>
  <c r="G3865" i="2"/>
  <c r="G3866" i="2"/>
  <c r="G3867" i="2"/>
  <c r="G3868" i="2"/>
  <c r="G3869" i="2"/>
  <c r="G3870" i="2"/>
  <c r="G3871" i="2"/>
  <c r="G3872" i="2"/>
  <c r="G3873" i="2"/>
  <c r="G3874" i="2"/>
  <c r="G3875" i="2"/>
  <c r="G3876" i="2"/>
  <c r="G3877" i="2"/>
  <c r="G3878" i="2"/>
  <c r="G3879" i="2"/>
  <c r="G3880" i="2"/>
  <c r="G3881" i="2"/>
  <c r="G3882" i="2"/>
  <c r="G3883" i="2"/>
  <c r="G3884" i="2"/>
  <c r="G3885" i="2"/>
  <c r="G3886" i="2"/>
  <c r="G3887" i="2"/>
  <c r="G3888" i="2"/>
  <c r="G3889" i="2"/>
  <c r="G3890" i="2"/>
  <c r="G3891" i="2"/>
  <c r="G3892" i="2"/>
  <c r="G3893" i="2"/>
  <c r="G3894" i="2"/>
  <c r="G3895" i="2"/>
  <c r="G3896" i="2"/>
  <c r="G3897" i="2"/>
  <c r="G3898" i="2"/>
  <c r="G3899" i="2"/>
  <c r="G3900" i="2"/>
  <c r="G3901" i="2"/>
  <c r="G3902" i="2"/>
  <c r="G3903" i="2"/>
  <c r="G3904" i="2"/>
  <c r="G3905" i="2"/>
  <c r="G3906" i="2"/>
  <c r="G3907" i="2"/>
  <c r="G3908" i="2"/>
  <c r="G3909" i="2"/>
  <c r="G3910" i="2"/>
  <c r="G3911" i="2"/>
  <c r="G3912" i="2"/>
  <c r="G3913" i="2"/>
  <c r="G3914" i="2"/>
  <c r="G3915" i="2"/>
  <c r="G3916" i="2"/>
  <c r="G3917" i="2"/>
  <c r="G3918" i="2"/>
  <c r="G3919" i="2"/>
  <c r="G3920" i="2"/>
  <c r="G3921" i="2"/>
  <c r="G3922" i="2"/>
  <c r="G3923" i="2"/>
  <c r="G3924" i="2"/>
  <c r="G3925" i="2"/>
  <c r="G3926" i="2"/>
  <c r="G3927" i="2"/>
  <c r="G3928" i="2"/>
  <c r="G3929" i="2"/>
  <c r="G3930" i="2"/>
  <c r="G3931" i="2"/>
  <c r="G3932" i="2"/>
  <c r="G3933" i="2"/>
  <c r="G3934" i="2"/>
  <c r="G3935" i="2"/>
  <c r="G3936" i="2"/>
  <c r="G3937" i="2"/>
  <c r="G3938" i="2"/>
  <c r="G3939" i="2"/>
  <c r="G3940" i="2"/>
  <c r="G3941" i="2"/>
  <c r="G3942" i="2"/>
  <c r="G3943" i="2"/>
  <c r="G3944" i="2"/>
  <c r="G3945" i="2"/>
  <c r="G3946" i="2"/>
  <c r="G3947" i="2"/>
  <c r="G3948" i="2"/>
  <c r="G3949" i="2"/>
  <c r="G3950" i="2"/>
  <c r="G3951" i="2"/>
  <c r="G3952" i="2"/>
  <c r="G3953" i="2"/>
  <c r="G3954" i="2"/>
  <c r="G3955" i="2"/>
  <c r="G3956" i="2"/>
  <c r="G3957" i="2"/>
  <c r="G3958" i="2"/>
  <c r="G3959" i="2"/>
  <c r="G3960" i="2"/>
  <c r="G3961" i="2"/>
  <c r="G3962" i="2"/>
  <c r="G3963" i="2"/>
  <c r="G3964" i="2"/>
  <c r="G3965" i="2"/>
  <c r="G3966" i="2"/>
  <c r="G3967" i="2"/>
  <c r="G3968" i="2"/>
  <c r="G3969" i="2"/>
  <c r="G3970" i="2"/>
  <c r="G3971" i="2"/>
  <c r="G3972" i="2"/>
  <c r="G3973" i="2"/>
  <c r="G3974" i="2"/>
  <c r="G3975" i="2"/>
  <c r="G3976" i="2"/>
  <c r="G3977" i="2"/>
  <c r="G3978" i="2"/>
  <c r="G3979" i="2"/>
  <c r="G3980" i="2"/>
  <c r="G3981" i="2"/>
  <c r="G3982" i="2"/>
  <c r="G3983" i="2"/>
  <c r="G3984" i="2"/>
  <c r="G3985" i="2"/>
  <c r="G3986" i="2"/>
  <c r="G3987" i="2"/>
  <c r="G3988" i="2"/>
  <c r="G3989" i="2"/>
  <c r="G3990" i="2"/>
  <c r="G3991" i="2"/>
  <c r="G3992" i="2"/>
  <c r="G3993" i="2"/>
  <c r="G3994" i="2"/>
  <c r="G3995" i="2"/>
  <c r="G3996" i="2"/>
  <c r="G3997" i="2"/>
  <c r="G3998" i="2"/>
  <c r="G3999" i="2"/>
  <c r="G4000" i="2"/>
  <c r="G4001" i="2"/>
  <c r="G4002" i="2"/>
  <c r="G4003" i="2"/>
  <c r="G4004" i="2"/>
  <c r="G4005" i="2"/>
  <c r="G4006" i="2"/>
  <c r="G4007" i="2"/>
  <c r="G4008" i="2"/>
  <c r="G4009" i="2"/>
  <c r="G4010" i="2"/>
  <c r="G4011" i="2"/>
  <c r="G4012" i="2"/>
  <c r="G4013" i="2"/>
  <c r="G4014" i="2"/>
  <c r="G4015" i="2"/>
  <c r="G4016" i="2"/>
  <c r="G4017" i="2"/>
  <c r="G4018" i="2"/>
  <c r="G4019" i="2"/>
  <c r="G4020" i="2"/>
  <c r="G4021" i="2"/>
  <c r="G4022" i="2"/>
  <c r="G4023" i="2"/>
  <c r="G4024" i="2"/>
  <c r="G4025" i="2"/>
  <c r="G4026" i="2"/>
  <c r="G4027" i="2"/>
  <c r="G4028" i="2"/>
  <c r="G4029" i="2"/>
  <c r="G4030" i="2"/>
  <c r="G4031" i="2"/>
  <c r="G4032" i="2"/>
  <c r="G4033" i="2"/>
  <c r="G4034" i="2"/>
  <c r="G4035" i="2"/>
  <c r="G4036" i="2"/>
  <c r="G4037" i="2"/>
  <c r="G4038" i="2"/>
  <c r="G4039" i="2"/>
  <c r="G4040" i="2"/>
  <c r="G4041" i="2"/>
  <c r="G4042" i="2"/>
  <c r="G4043" i="2"/>
  <c r="G4044" i="2"/>
  <c r="G4045" i="2"/>
  <c r="G4046" i="2"/>
  <c r="G4047" i="2"/>
  <c r="G4048" i="2"/>
  <c r="G4049" i="2"/>
  <c r="G4050" i="2"/>
  <c r="G4051" i="2"/>
  <c r="G4052" i="2"/>
  <c r="G4053" i="2"/>
  <c r="G4054" i="2"/>
  <c r="G4055" i="2"/>
  <c r="G4056" i="2"/>
  <c r="G4057" i="2"/>
  <c r="G4058" i="2"/>
  <c r="G4059" i="2"/>
  <c r="G4060" i="2"/>
  <c r="G4061" i="2"/>
  <c r="G4062" i="2"/>
  <c r="G4063" i="2"/>
  <c r="G4064" i="2"/>
  <c r="G4065" i="2"/>
  <c r="G4066" i="2"/>
  <c r="G4067" i="2"/>
  <c r="G4068" i="2"/>
  <c r="G4069" i="2"/>
  <c r="G4070" i="2"/>
  <c r="G4071" i="2"/>
  <c r="G4072" i="2"/>
  <c r="G4073" i="2"/>
  <c r="G4074" i="2"/>
  <c r="G4075" i="2"/>
  <c r="G4076" i="2"/>
  <c r="G4077" i="2"/>
  <c r="G4078" i="2"/>
  <c r="G4079" i="2"/>
  <c r="G4080" i="2"/>
  <c r="G4081" i="2"/>
  <c r="G4082" i="2"/>
  <c r="G4083" i="2"/>
  <c r="G4084" i="2"/>
  <c r="G4085" i="2"/>
  <c r="G4086" i="2"/>
  <c r="G4087" i="2"/>
  <c r="G4088" i="2"/>
  <c r="G4089" i="2"/>
  <c r="G4090" i="2"/>
  <c r="G4091" i="2"/>
  <c r="G4092" i="2"/>
  <c r="G4093" i="2"/>
  <c r="G4094" i="2"/>
  <c r="G4095" i="2"/>
  <c r="G4096" i="2"/>
  <c r="G4097" i="2"/>
  <c r="G4098" i="2"/>
  <c r="G4099" i="2"/>
  <c r="G4100" i="2"/>
  <c r="G4101" i="2"/>
  <c r="G4102" i="2"/>
  <c r="G4103" i="2"/>
  <c r="G4104" i="2"/>
  <c r="G4105" i="2"/>
  <c r="G4106" i="2"/>
  <c r="G4107" i="2"/>
  <c r="G4108" i="2"/>
  <c r="G4109" i="2"/>
  <c r="G4110" i="2"/>
  <c r="G4111" i="2"/>
  <c r="G4112" i="2"/>
  <c r="G4113" i="2"/>
  <c r="G4114" i="2"/>
  <c r="G4115" i="2"/>
  <c r="G4116" i="2"/>
  <c r="G4117" i="2"/>
  <c r="G4118" i="2"/>
  <c r="G4119" i="2"/>
  <c r="G4120" i="2"/>
  <c r="G4121" i="2"/>
  <c r="G4122" i="2"/>
  <c r="G4123" i="2"/>
  <c r="G4124" i="2"/>
  <c r="G4125" i="2"/>
  <c r="G4126" i="2"/>
  <c r="G4127" i="2"/>
  <c r="G4128" i="2"/>
  <c r="G4129" i="2"/>
  <c r="G4130" i="2"/>
  <c r="G4131" i="2"/>
  <c r="G4132" i="2"/>
  <c r="G4133" i="2"/>
  <c r="G4134" i="2"/>
  <c r="G4135" i="2"/>
  <c r="G4136" i="2"/>
  <c r="G4137" i="2"/>
  <c r="G4138" i="2"/>
  <c r="G4139" i="2"/>
  <c r="G4140" i="2"/>
  <c r="G4141" i="2"/>
  <c r="G4142" i="2"/>
  <c r="G4143" i="2"/>
  <c r="G4144" i="2"/>
  <c r="G4145" i="2"/>
  <c r="G4146" i="2"/>
  <c r="G4147" i="2"/>
  <c r="G4148" i="2"/>
  <c r="G4149" i="2"/>
  <c r="G4150" i="2"/>
  <c r="G4151" i="2"/>
  <c r="G4152" i="2"/>
  <c r="G4153" i="2"/>
  <c r="G4154" i="2"/>
  <c r="G4155" i="2"/>
  <c r="G4156" i="2"/>
  <c r="G4157" i="2"/>
  <c r="G4158" i="2"/>
  <c r="G4159" i="2"/>
  <c r="G4160" i="2"/>
  <c r="G4161" i="2"/>
  <c r="G4162" i="2"/>
  <c r="G4163" i="2"/>
  <c r="G4164" i="2"/>
  <c r="G4165" i="2"/>
  <c r="G4166" i="2"/>
  <c r="G4167" i="2"/>
  <c r="G4168" i="2"/>
  <c r="G4169" i="2"/>
  <c r="G4170" i="2"/>
  <c r="G4171" i="2"/>
  <c r="G4172" i="2"/>
  <c r="G4173" i="2"/>
  <c r="G4174" i="2"/>
  <c r="G4175" i="2"/>
  <c r="G4176" i="2"/>
  <c r="G4177" i="2"/>
  <c r="G4178" i="2"/>
  <c r="G4179" i="2"/>
  <c r="G4180" i="2"/>
  <c r="G4181" i="2"/>
  <c r="G4182" i="2"/>
  <c r="G4183" i="2"/>
  <c r="G4184" i="2"/>
  <c r="G4185" i="2"/>
  <c r="G4186" i="2"/>
  <c r="G4187" i="2"/>
  <c r="G4188" i="2"/>
  <c r="G4189" i="2"/>
  <c r="G4190" i="2"/>
  <c r="G4191" i="2"/>
  <c r="G4192" i="2"/>
  <c r="G4193" i="2"/>
  <c r="G4194" i="2"/>
  <c r="G4195" i="2"/>
  <c r="G4196" i="2"/>
  <c r="G4197" i="2"/>
  <c r="G4198" i="2"/>
  <c r="G4199" i="2"/>
  <c r="G4200" i="2"/>
  <c r="G4201" i="2"/>
  <c r="G4202" i="2"/>
  <c r="G4203" i="2"/>
  <c r="G4204" i="2"/>
  <c r="G4205" i="2"/>
  <c r="G4206" i="2"/>
  <c r="G4207" i="2"/>
  <c r="G4208" i="2"/>
  <c r="G4209" i="2"/>
  <c r="G4210" i="2"/>
  <c r="G4211" i="2"/>
  <c r="G4212" i="2"/>
  <c r="G4213" i="2"/>
  <c r="G4214" i="2"/>
  <c r="G4215" i="2"/>
  <c r="G4216" i="2"/>
  <c r="G4217" i="2"/>
  <c r="G4218" i="2"/>
  <c r="G4219" i="2"/>
  <c r="G4220" i="2"/>
  <c r="G4221" i="2"/>
  <c r="G4222" i="2"/>
  <c r="G4223" i="2"/>
  <c r="G4224" i="2"/>
  <c r="G4225" i="2"/>
  <c r="G4226" i="2"/>
  <c r="G4227" i="2"/>
  <c r="G4228" i="2"/>
  <c r="G4229" i="2"/>
  <c r="G4230" i="2"/>
  <c r="G4231" i="2"/>
  <c r="G4232" i="2"/>
  <c r="G4233" i="2"/>
  <c r="G4234" i="2"/>
  <c r="G4235" i="2"/>
  <c r="G4236" i="2"/>
  <c r="G4237" i="2"/>
  <c r="G4238" i="2"/>
  <c r="G4239" i="2"/>
  <c r="G4240" i="2"/>
  <c r="G4241" i="2"/>
  <c r="G4242" i="2"/>
  <c r="G4243" i="2"/>
  <c r="G4244" i="2"/>
  <c r="G4245" i="2"/>
  <c r="G4246" i="2"/>
  <c r="G4247" i="2"/>
  <c r="G4248" i="2"/>
  <c r="G4249" i="2"/>
  <c r="G4250" i="2"/>
  <c r="G4251" i="2"/>
  <c r="G4252" i="2"/>
  <c r="G4253" i="2"/>
  <c r="G4254" i="2"/>
  <c r="G4255" i="2"/>
  <c r="G4256" i="2"/>
  <c r="G4257" i="2"/>
  <c r="G4258" i="2"/>
  <c r="G4259" i="2"/>
  <c r="G4260" i="2"/>
  <c r="G4261" i="2"/>
  <c r="G4262" i="2"/>
  <c r="G4263" i="2"/>
  <c r="G4264" i="2"/>
  <c r="G4265" i="2"/>
  <c r="G4266" i="2"/>
  <c r="G4267" i="2"/>
  <c r="G4268" i="2"/>
  <c r="G4269" i="2"/>
  <c r="G4270" i="2"/>
  <c r="G4271" i="2"/>
  <c r="G4272" i="2"/>
  <c r="G4273" i="2"/>
  <c r="G4274" i="2"/>
  <c r="G4275" i="2"/>
  <c r="G4276" i="2"/>
  <c r="G4277" i="2"/>
  <c r="G4278" i="2"/>
  <c r="G4279" i="2"/>
  <c r="G4280" i="2"/>
  <c r="G4281" i="2"/>
  <c r="G4282" i="2"/>
  <c r="G4283" i="2"/>
  <c r="G4284" i="2"/>
  <c r="G4285" i="2"/>
  <c r="G4286" i="2"/>
  <c r="G4287" i="2"/>
  <c r="G4288" i="2"/>
  <c r="G4289" i="2"/>
  <c r="G4290" i="2"/>
  <c r="G4291" i="2"/>
  <c r="G4292" i="2"/>
  <c r="G4293" i="2"/>
  <c r="G4294" i="2"/>
  <c r="G4295" i="2"/>
  <c r="G4296" i="2"/>
  <c r="G4297" i="2"/>
  <c r="G4298" i="2"/>
  <c r="G4299" i="2"/>
  <c r="G4300" i="2"/>
  <c r="G4301" i="2"/>
  <c r="G4302" i="2"/>
  <c r="G4303" i="2"/>
  <c r="G4304" i="2"/>
  <c r="G4305" i="2"/>
  <c r="G4306" i="2"/>
  <c r="G4307" i="2"/>
  <c r="G4308" i="2"/>
  <c r="G4309" i="2"/>
  <c r="G4310" i="2"/>
  <c r="G4311" i="2"/>
  <c r="G4312" i="2"/>
  <c r="G4313" i="2"/>
  <c r="G4314" i="2"/>
  <c r="G4315" i="2"/>
  <c r="G4316" i="2"/>
  <c r="G4317" i="2"/>
  <c r="G4318" i="2"/>
  <c r="G4319" i="2"/>
  <c r="G4320" i="2"/>
  <c r="G4321" i="2"/>
  <c r="G4322" i="2"/>
  <c r="G4323" i="2"/>
  <c r="G4324" i="2"/>
  <c r="G4325" i="2"/>
  <c r="G4326" i="2"/>
  <c r="G4327" i="2"/>
  <c r="G4328" i="2"/>
  <c r="G4329" i="2"/>
  <c r="G4330" i="2"/>
  <c r="G4331" i="2"/>
  <c r="G4332" i="2"/>
  <c r="G4333" i="2"/>
  <c r="G4334" i="2"/>
  <c r="G4335" i="2"/>
  <c r="G4336" i="2"/>
  <c r="G4337" i="2"/>
  <c r="G4338" i="2"/>
  <c r="G4339" i="2"/>
  <c r="G4340" i="2"/>
  <c r="G4341" i="2"/>
  <c r="G4342" i="2"/>
  <c r="G4343" i="2"/>
  <c r="G4344" i="2"/>
  <c r="G4345" i="2"/>
  <c r="G4346" i="2"/>
  <c r="G4347" i="2"/>
  <c r="G4348" i="2"/>
  <c r="G4349" i="2"/>
  <c r="G4350" i="2"/>
  <c r="G4351" i="2"/>
  <c r="G4352" i="2"/>
  <c r="G4353" i="2"/>
  <c r="G4354" i="2"/>
  <c r="G4355" i="2"/>
  <c r="G4356" i="2"/>
  <c r="G4357" i="2"/>
  <c r="G4358" i="2"/>
  <c r="G4359" i="2"/>
  <c r="G4360" i="2"/>
  <c r="G4361" i="2"/>
  <c r="G4362" i="2"/>
  <c r="G4363" i="2"/>
  <c r="G4364" i="2"/>
  <c r="G4365" i="2"/>
  <c r="G4366" i="2"/>
  <c r="G4367" i="2"/>
  <c r="G4368" i="2"/>
  <c r="G4369" i="2"/>
  <c r="G4370" i="2"/>
  <c r="G4371" i="2"/>
  <c r="G4372" i="2"/>
  <c r="G4373" i="2"/>
  <c r="G4374" i="2"/>
  <c r="G4375" i="2"/>
  <c r="G4376" i="2"/>
  <c r="G4377" i="2"/>
  <c r="G4378" i="2"/>
  <c r="G4379" i="2"/>
  <c r="G4380" i="2"/>
  <c r="G4381" i="2"/>
  <c r="G4382" i="2"/>
  <c r="G4383" i="2"/>
  <c r="G4384" i="2"/>
  <c r="G4385" i="2"/>
  <c r="G4386" i="2"/>
  <c r="G4387" i="2"/>
  <c r="G4388" i="2"/>
  <c r="G4389" i="2"/>
  <c r="G4390" i="2"/>
  <c r="G4391" i="2"/>
  <c r="G4392" i="2"/>
  <c r="G4393" i="2"/>
  <c r="G4394" i="2"/>
  <c r="G4395" i="2"/>
  <c r="G4396" i="2"/>
  <c r="G4397" i="2"/>
  <c r="G4398" i="2"/>
  <c r="G4399" i="2"/>
  <c r="G4400" i="2"/>
  <c r="G4401" i="2"/>
  <c r="G4402" i="2"/>
  <c r="G4403" i="2"/>
  <c r="G4404" i="2"/>
  <c r="G4405" i="2"/>
  <c r="G4406" i="2"/>
  <c r="G4407" i="2"/>
  <c r="G4408" i="2"/>
  <c r="G4409" i="2"/>
  <c r="G4410" i="2"/>
  <c r="G4411" i="2"/>
  <c r="G4412" i="2"/>
  <c r="G4413" i="2"/>
  <c r="G4414" i="2"/>
  <c r="G4415" i="2"/>
  <c r="G4416" i="2"/>
  <c r="G4417" i="2"/>
  <c r="G4418" i="2"/>
  <c r="G4419" i="2"/>
  <c r="G4420" i="2"/>
  <c r="G4421" i="2"/>
  <c r="G4422" i="2"/>
  <c r="G4423" i="2"/>
  <c r="G4424" i="2"/>
  <c r="G4425" i="2"/>
  <c r="G4426" i="2"/>
  <c r="G4427" i="2"/>
  <c r="G4428" i="2"/>
  <c r="G4429" i="2"/>
  <c r="G4430" i="2"/>
  <c r="G4431" i="2"/>
  <c r="G4432" i="2"/>
  <c r="G4433" i="2"/>
  <c r="G4434" i="2"/>
  <c r="G4435" i="2"/>
  <c r="G4436" i="2"/>
  <c r="G4437" i="2"/>
  <c r="G4438" i="2"/>
  <c r="G4439" i="2"/>
  <c r="G4440" i="2"/>
  <c r="G4441" i="2"/>
  <c r="G4442" i="2"/>
  <c r="G4443" i="2"/>
  <c r="G4444" i="2"/>
  <c r="G4445" i="2"/>
  <c r="G4446" i="2"/>
  <c r="G4447" i="2"/>
  <c r="G4448" i="2"/>
  <c r="G4449" i="2"/>
  <c r="G4450" i="2"/>
  <c r="G4451" i="2"/>
  <c r="G4452" i="2"/>
  <c r="G4453" i="2"/>
  <c r="G4454" i="2"/>
  <c r="G4455" i="2"/>
  <c r="G4456" i="2"/>
  <c r="G4457" i="2"/>
  <c r="G4458" i="2"/>
  <c r="G4459" i="2"/>
  <c r="G4460" i="2"/>
  <c r="G4461" i="2"/>
  <c r="G4462" i="2"/>
  <c r="G4463" i="2"/>
  <c r="G4464" i="2"/>
  <c r="G4465" i="2"/>
  <c r="G4466" i="2"/>
  <c r="G4467" i="2"/>
  <c r="G4468" i="2"/>
  <c r="G4469" i="2"/>
  <c r="G4470" i="2"/>
  <c r="G4471" i="2"/>
  <c r="G4472" i="2"/>
  <c r="G4473" i="2"/>
  <c r="G4474" i="2"/>
  <c r="G4475" i="2"/>
  <c r="G4476" i="2"/>
  <c r="G4477" i="2"/>
  <c r="G4478" i="2"/>
  <c r="G4479" i="2"/>
  <c r="G4480" i="2"/>
  <c r="G4481" i="2"/>
  <c r="G4482" i="2"/>
  <c r="G4483" i="2"/>
  <c r="G4484" i="2"/>
  <c r="G4485" i="2"/>
  <c r="G4486" i="2"/>
  <c r="G4487" i="2"/>
  <c r="G4488" i="2"/>
  <c r="G4489" i="2"/>
  <c r="G4490" i="2"/>
  <c r="G4491" i="2"/>
  <c r="G4492" i="2"/>
  <c r="G4493" i="2"/>
  <c r="G4494" i="2"/>
  <c r="G4495" i="2"/>
  <c r="G4496" i="2"/>
  <c r="G4497" i="2"/>
  <c r="G4498" i="2"/>
  <c r="G4499" i="2"/>
  <c r="G4500" i="2"/>
  <c r="G4501" i="2"/>
  <c r="G4502" i="2"/>
  <c r="G4503" i="2"/>
  <c r="G4504" i="2"/>
  <c r="G4505" i="2"/>
  <c r="G4506" i="2"/>
  <c r="G4507" i="2"/>
  <c r="G4508" i="2"/>
  <c r="G4509" i="2"/>
  <c r="G4510" i="2"/>
  <c r="G4511" i="2"/>
  <c r="G4512" i="2"/>
  <c r="G4513" i="2"/>
  <c r="G4514" i="2"/>
  <c r="G4515" i="2"/>
  <c r="G4516" i="2"/>
  <c r="G4517" i="2"/>
  <c r="G4518" i="2"/>
  <c r="G4519" i="2"/>
  <c r="G4520" i="2"/>
  <c r="G4521" i="2"/>
  <c r="G4522" i="2"/>
  <c r="G4523" i="2"/>
  <c r="G4524" i="2"/>
  <c r="G4525" i="2"/>
  <c r="G4526" i="2"/>
  <c r="G4527" i="2"/>
  <c r="G4528" i="2"/>
  <c r="G4529" i="2"/>
  <c r="G4530" i="2"/>
  <c r="G4531" i="2"/>
  <c r="G4532" i="2"/>
  <c r="G4533" i="2"/>
  <c r="G4534" i="2"/>
  <c r="G4535" i="2"/>
  <c r="G4536" i="2"/>
  <c r="G4537" i="2"/>
  <c r="G4538" i="2"/>
  <c r="G4539" i="2"/>
  <c r="G4540" i="2"/>
  <c r="G4541" i="2"/>
  <c r="G4542" i="2"/>
  <c r="G4543" i="2"/>
  <c r="G4544" i="2"/>
  <c r="G4545" i="2"/>
  <c r="G4546" i="2"/>
  <c r="G4547" i="2"/>
  <c r="G4548" i="2"/>
  <c r="G4549" i="2"/>
  <c r="G4550" i="2"/>
  <c r="G4551" i="2"/>
  <c r="G4552" i="2"/>
  <c r="G4553" i="2"/>
  <c r="G4554" i="2"/>
  <c r="G4555" i="2"/>
  <c r="G4556" i="2"/>
  <c r="G4557" i="2"/>
  <c r="G4558" i="2"/>
  <c r="G4559" i="2"/>
  <c r="G4560" i="2"/>
  <c r="G4561" i="2"/>
  <c r="G4562" i="2"/>
  <c r="G4563" i="2"/>
  <c r="G4564" i="2"/>
  <c r="G4565" i="2"/>
  <c r="G4566" i="2"/>
  <c r="G4567" i="2"/>
  <c r="G4568" i="2"/>
  <c r="G4569" i="2"/>
  <c r="G4570" i="2"/>
  <c r="G4571" i="2"/>
  <c r="G4572" i="2"/>
  <c r="G4573" i="2"/>
  <c r="G4574" i="2"/>
  <c r="G4575" i="2"/>
  <c r="G4576" i="2"/>
  <c r="G4577" i="2"/>
  <c r="G4578" i="2"/>
  <c r="G4579" i="2"/>
  <c r="G4580" i="2"/>
  <c r="G4581" i="2"/>
  <c r="G4582" i="2"/>
  <c r="G4583" i="2"/>
  <c r="G4584" i="2"/>
  <c r="G4585" i="2"/>
  <c r="G4586" i="2"/>
  <c r="G4587" i="2"/>
  <c r="G4588" i="2"/>
  <c r="G4589" i="2"/>
  <c r="G4590" i="2"/>
  <c r="G4591" i="2"/>
  <c r="G4592" i="2"/>
  <c r="G4593" i="2"/>
  <c r="G4594" i="2"/>
  <c r="G4595" i="2"/>
  <c r="G4596" i="2"/>
  <c r="G4597" i="2"/>
  <c r="G4598" i="2"/>
  <c r="G4599" i="2"/>
  <c r="G4600" i="2"/>
  <c r="G4601" i="2"/>
  <c r="G4602" i="2"/>
  <c r="G4603" i="2"/>
  <c r="G4604" i="2"/>
  <c r="G4605" i="2"/>
  <c r="G4606" i="2"/>
  <c r="G4607" i="2"/>
  <c r="G4608" i="2"/>
  <c r="G4609" i="2"/>
  <c r="G4610" i="2"/>
  <c r="G4611" i="2"/>
  <c r="G4612" i="2"/>
  <c r="G4613" i="2"/>
  <c r="G4614" i="2"/>
  <c r="G4615" i="2"/>
  <c r="G4616" i="2"/>
  <c r="G4617" i="2"/>
  <c r="G4618" i="2"/>
  <c r="G4619" i="2"/>
  <c r="G4620" i="2"/>
  <c r="G4621" i="2"/>
  <c r="G4622" i="2"/>
  <c r="G4623" i="2"/>
  <c r="G4624" i="2"/>
  <c r="G4625" i="2"/>
  <c r="G4626" i="2"/>
  <c r="G4627" i="2"/>
  <c r="G4628" i="2"/>
  <c r="G4629" i="2"/>
  <c r="G4630" i="2"/>
  <c r="G4631" i="2"/>
  <c r="G4632" i="2"/>
  <c r="G4633" i="2"/>
  <c r="G4634" i="2"/>
  <c r="G4635" i="2"/>
  <c r="G4636" i="2"/>
  <c r="G4637" i="2"/>
  <c r="G4638" i="2"/>
  <c r="G4639" i="2"/>
  <c r="G4640" i="2"/>
  <c r="G4641" i="2"/>
  <c r="G4642" i="2"/>
  <c r="G4643" i="2"/>
  <c r="G4644" i="2"/>
  <c r="G4645" i="2"/>
  <c r="G4646" i="2"/>
  <c r="G4647" i="2"/>
  <c r="G4648" i="2"/>
  <c r="G4649" i="2"/>
  <c r="G4650" i="2"/>
  <c r="G4651" i="2"/>
  <c r="G4652" i="2"/>
  <c r="G4653" i="2"/>
  <c r="G4654" i="2"/>
  <c r="G4655" i="2"/>
  <c r="G4656" i="2"/>
  <c r="G4657" i="2"/>
  <c r="G4658" i="2"/>
  <c r="G4659" i="2"/>
  <c r="G4660" i="2"/>
  <c r="G4661" i="2"/>
  <c r="G4662" i="2"/>
  <c r="G4663" i="2"/>
  <c r="G4664" i="2"/>
  <c r="G4665" i="2"/>
  <c r="G4666" i="2"/>
  <c r="G4667" i="2"/>
  <c r="G4668" i="2"/>
  <c r="G4669" i="2"/>
  <c r="G4670" i="2"/>
  <c r="G4671" i="2"/>
  <c r="G4672" i="2"/>
  <c r="G4673" i="2"/>
  <c r="G4674" i="2"/>
  <c r="G4675" i="2"/>
  <c r="G4676" i="2"/>
  <c r="G4677" i="2"/>
  <c r="G4678" i="2"/>
  <c r="G4679" i="2"/>
  <c r="G4680" i="2"/>
  <c r="G4681" i="2"/>
  <c r="G4682" i="2"/>
  <c r="G4683" i="2"/>
  <c r="G4684" i="2"/>
  <c r="G4685" i="2"/>
  <c r="G4686" i="2"/>
  <c r="G4687" i="2"/>
  <c r="G4688" i="2"/>
  <c r="G4689" i="2"/>
  <c r="G4690" i="2"/>
  <c r="G4691" i="2"/>
  <c r="G4692" i="2"/>
  <c r="G4693" i="2"/>
  <c r="G4694" i="2"/>
  <c r="G4695" i="2"/>
  <c r="G4696" i="2"/>
  <c r="G4697" i="2"/>
  <c r="G4698" i="2"/>
  <c r="G4699" i="2"/>
  <c r="G4700" i="2"/>
  <c r="G4701" i="2"/>
  <c r="G4702" i="2"/>
  <c r="G4703" i="2"/>
  <c r="G4704" i="2"/>
  <c r="G4705" i="2"/>
  <c r="G4706" i="2"/>
  <c r="G4707" i="2"/>
  <c r="G4708" i="2"/>
  <c r="G4709" i="2"/>
  <c r="G4710" i="2"/>
  <c r="G4711" i="2"/>
  <c r="G4712" i="2"/>
  <c r="G4713" i="2"/>
  <c r="G4714" i="2"/>
  <c r="G4715" i="2"/>
  <c r="G4716" i="2"/>
  <c r="G4717" i="2"/>
  <c r="G4718" i="2"/>
  <c r="G4719" i="2"/>
  <c r="G4720" i="2"/>
  <c r="G4721" i="2"/>
  <c r="G4722" i="2"/>
  <c r="G4723" i="2"/>
  <c r="G4724" i="2"/>
  <c r="G4725" i="2"/>
  <c r="G4726" i="2"/>
  <c r="G4727" i="2"/>
  <c r="G4728" i="2"/>
  <c r="G4729" i="2"/>
  <c r="G4730" i="2"/>
  <c r="G4731" i="2"/>
  <c r="G4732" i="2"/>
  <c r="G4733" i="2"/>
  <c r="G4734" i="2"/>
  <c r="G4735" i="2"/>
  <c r="G4736" i="2"/>
  <c r="G4737" i="2"/>
  <c r="G4738" i="2"/>
  <c r="G4739" i="2"/>
  <c r="G4740" i="2"/>
  <c r="G4741" i="2"/>
  <c r="G4742" i="2"/>
  <c r="G4743" i="2"/>
  <c r="G4744" i="2"/>
  <c r="G4745" i="2"/>
  <c r="G4746" i="2"/>
  <c r="G4747" i="2"/>
  <c r="G4748" i="2"/>
  <c r="G4749" i="2"/>
  <c r="G4750" i="2"/>
  <c r="G4751" i="2"/>
  <c r="G4752" i="2"/>
  <c r="G4753" i="2"/>
  <c r="G4754" i="2"/>
  <c r="G4755" i="2"/>
  <c r="G4756" i="2"/>
  <c r="G4757" i="2"/>
  <c r="G4758" i="2"/>
  <c r="G4759" i="2"/>
  <c r="G4760" i="2"/>
  <c r="G4761" i="2"/>
  <c r="G4762" i="2"/>
  <c r="G4763" i="2"/>
  <c r="G4764" i="2"/>
  <c r="G4765" i="2"/>
  <c r="G4766" i="2"/>
  <c r="G4767" i="2"/>
  <c r="G4768" i="2"/>
  <c r="G4769" i="2"/>
  <c r="G4770" i="2"/>
  <c r="G4771" i="2"/>
  <c r="G4772" i="2"/>
  <c r="G4773" i="2"/>
  <c r="G4774" i="2"/>
  <c r="G4775" i="2"/>
  <c r="G4776" i="2"/>
  <c r="G4777" i="2"/>
  <c r="G4778" i="2"/>
  <c r="G4779" i="2"/>
  <c r="G4780" i="2"/>
  <c r="G4781" i="2"/>
  <c r="G4782" i="2"/>
  <c r="G4783" i="2"/>
  <c r="G4784" i="2"/>
  <c r="G4785" i="2"/>
  <c r="G4786" i="2"/>
  <c r="G4787" i="2"/>
  <c r="G4788" i="2"/>
  <c r="G4789" i="2"/>
  <c r="G4790" i="2"/>
  <c r="G4791" i="2"/>
  <c r="G4792" i="2"/>
  <c r="G4793" i="2"/>
  <c r="G4794" i="2"/>
  <c r="G4795" i="2"/>
  <c r="G4796" i="2"/>
  <c r="G4797" i="2"/>
  <c r="G4798" i="2"/>
  <c r="G4799" i="2"/>
  <c r="G4800" i="2"/>
  <c r="G4801" i="2"/>
  <c r="G4802" i="2"/>
  <c r="G4803" i="2"/>
  <c r="G4804" i="2"/>
  <c r="G4805" i="2"/>
  <c r="G4806" i="2"/>
  <c r="G4807" i="2"/>
  <c r="G4808" i="2"/>
  <c r="G4809" i="2"/>
  <c r="G4810" i="2"/>
  <c r="G4811" i="2"/>
  <c r="G4812" i="2"/>
  <c r="G4813" i="2"/>
  <c r="G4814" i="2"/>
  <c r="G4815" i="2"/>
  <c r="G4816" i="2"/>
  <c r="G4817" i="2"/>
  <c r="G4818" i="2"/>
  <c r="G4819" i="2"/>
  <c r="G4820" i="2"/>
  <c r="G4821" i="2"/>
  <c r="G4822" i="2"/>
  <c r="G4823" i="2"/>
  <c r="G4824" i="2"/>
  <c r="G4825" i="2"/>
  <c r="G4826" i="2"/>
  <c r="G4827" i="2"/>
  <c r="G4828" i="2"/>
  <c r="G4829" i="2"/>
  <c r="G4830" i="2"/>
  <c r="G4831" i="2"/>
  <c r="G4832" i="2"/>
  <c r="G4833" i="2"/>
  <c r="G4834" i="2"/>
  <c r="G4835" i="2"/>
  <c r="G4836" i="2"/>
  <c r="G4837" i="2"/>
  <c r="G4838" i="2"/>
  <c r="G4839" i="2"/>
  <c r="G4840" i="2"/>
  <c r="G4841" i="2"/>
  <c r="G4842" i="2"/>
  <c r="G4843" i="2"/>
  <c r="G4844" i="2"/>
  <c r="G4845" i="2"/>
  <c r="G4846" i="2"/>
  <c r="G4847" i="2"/>
  <c r="G4848" i="2"/>
  <c r="G4849" i="2"/>
  <c r="G4850" i="2"/>
  <c r="G4851" i="2"/>
  <c r="G4852" i="2"/>
  <c r="G4853" i="2"/>
  <c r="G4854" i="2"/>
  <c r="G4855" i="2"/>
  <c r="G4856" i="2"/>
  <c r="G4857" i="2"/>
  <c r="G4858" i="2"/>
  <c r="G4859" i="2"/>
  <c r="G4860" i="2"/>
  <c r="G4861" i="2"/>
  <c r="G4862" i="2"/>
  <c r="G4863" i="2"/>
  <c r="G4864" i="2"/>
  <c r="G4865" i="2"/>
  <c r="G4866" i="2"/>
  <c r="G4867" i="2"/>
  <c r="G4868" i="2"/>
  <c r="G4869" i="2"/>
  <c r="G4870" i="2"/>
  <c r="G4871" i="2"/>
  <c r="G4872" i="2"/>
  <c r="G4873" i="2"/>
  <c r="G4874" i="2"/>
  <c r="G4875" i="2"/>
  <c r="G4876" i="2"/>
  <c r="G4877" i="2"/>
  <c r="G4878" i="2"/>
  <c r="G4879" i="2"/>
  <c r="G4880" i="2"/>
  <c r="G4881" i="2"/>
  <c r="G4882" i="2"/>
  <c r="G4883" i="2"/>
  <c r="G4884" i="2"/>
  <c r="G4885" i="2"/>
  <c r="G4886" i="2"/>
  <c r="G4887" i="2"/>
  <c r="G4888" i="2"/>
  <c r="G4889" i="2"/>
  <c r="G4890" i="2"/>
  <c r="G4891" i="2"/>
  <c r="G4892" i="2"/>
  <c r="G4893" i="2"/>
  <c r="G4894" i="2"/>
  <c r="G4895" i="2"/>
  <c r="G4896" i="2"/>
  <c r="G4897" i="2"/>
  <c r="G4898" i="2"/>
  <c r="G4899" i="2"/>
  <c r="G4900" i="2"/>
  <c r="G4901" i="2"/>
  <c r="G4902" i="2"/>
  <c r="G4903" i="2"/>
  <c r="G4904" i="2"/>
  <c r="G4905" i="2"/>
  <c r="G4906" i="2"/>
  <c r="G4907" i="2"/>
  <c r="G4908" i="2"/>
  <c r="G4909" i="2"/>
  <c r="G4910" i="2"/>
  <c r="G4911" i="2"/>
  <c r="G4912" i="2"/>
  <c r="G4913" i="2"/>
  <c r="G4914" i="2"/>
  <c r="G4915" i="2"/>
  <c r="G4916" i="2"/>
  <c r="G4917" i="2"/>
  <c r="G4918" i="2"/>
  <c r="G4919" i="2"/>
  <c r="G4920" i="2"/>
  <c r="G4921" i="2"/>
  <c r="G4922" i="2"/>
  <c r="G4923" i="2"/>
  <c r="G4924" i="2"/>
  <c r="G4925" i="2"/>
  <c r="G4926" i="2"/>
  <c r="G4927" i="2"/>
  <c r="G4928" i="2"/>
  <c r="G4929" i="2"/>
  <c r="G4930" i="2"/>
  <c r="G4931" i="2"/>
  <c r="G4932" i="2"/>
  <c r="G4933" i="2"/>
  <c r="G4934" i="2"/>
  <c r="G4935" i="2"/>
  <c r="G4936" i="2"/>
  <c r="G4937" i="2"/>
  <c r="G4938" i="2"/>
  <c r="G4939" i="2"/>
  <c r="G4940" i="2"/>
  <c r="G4941" i="2"/>
  <c r="G4942" i="2"/>
  <c r="G4943" i="2"/>
  <c r="G4944" i="2"/>
  <c r="G4945" i="2"/>
  <c r="G4946" i="2"/>
  <c r="G4947" i="2"/>
  <c r="G4948" i="2"/>
  <c r="G4949" i="2"/>
  <c r="G4950" i="2"/>
  <c r="G4951" i="2"/>
  <c r="G4952" i="2"/>
  <c r="G4953" i="2"/>
  <c r="G4954" i="2"/>
  <c r="G4955" i="2"/>
  <c r="G4956" i="2"/>
  <c r="G4957" i="2"/>
  <c r="G4958" i="2"/>
  <c r="G4959" i="2"/>
  <c r="G4960" i="2"/>
  <c r="G4961" i="2"/>
  <c r="G4962" i="2"/>
  <c r="G4963" i="2"/>
  <c r="G4964" i="2"/>
  <c r="G4965" i="2"/>
  <c r="G4966" i="2"/>
  <c r="G4967" i="2"/>
  <c r="G4968" i="2"/>
  <c r="G4969" i="2"/>
  <c r="G4970" i="2"/>
  <c r="G4971" i="2"/>
  <c r="G4972" i="2"/>
  <c r="G4973" i="2"/>
  <c r="G4974" i="2"/>
  <c r="G4975" i="2"/>
  <c r="G4976" i="2"/>
  <c r="G4977" i="2"/>
  <c r="G4978" i="2"/>
  <c r="G4979" i="2"/>
  <c r="G4980" i="2"/>
  <c r="G4981" i="2"/>
  <c r="G4982" i="2"/>
  <c r="G4983" i="2"/>
  <c r="G4984" i="2"/>
  <c r="G4985" i="2"/>
  <c r="G4986" i="2"/>
  <c r="G4987" i="2"/>
  <c r="G4988" i="2"/>
  <c r="G4989" i="2"/>
  <c r="G4990" i="2"/>
  <c r="G4991" i="2"/>
  <c r="G4992" i="2"/>
  <c r="G4993" i="2"/>
  <c r="G4994" i="2"/>
  <c r="G4995" i="2"/>
  <c r="G4996" i="2"/>
  <c r="G4997" i="2"/>
  <c r="G4998" i="2"/>
  <c r="G4999" i="2"/>
  <c r="G5000" i="2"/>
  <c r="G5001" i="2"/>
  <c r="G5002" i="2"/>
  <c r="G5003" i="2"/>
  <c r="G5004" i="2"/>
  <c r="G5005" i="2"/>
  <c r="G5006" i="2"/>
  <c r="G5007" i="2"/>
  <c r="G5008" i="2"/>
  <c r="G5009" i="2"/>
  <c r="G5010" i="2"/>
  <c r="G5011" i="2"/>
  <c r="G5012" i="2"/>
  <c r="G5013" i="2"/>
  <c r="G5014" i="2"/>
  <c r="G5015" i="2"/>
  <c r="G5016" i="2"/>
  <c r="G5017" i="2"/>
  <c r="G5018" i="2"/>
  <c r="G5019" i="2"/>
  <c r="G5020" i="2"/>
  <c r="G5021" i="2"/>
  <c r="G5022" i="2"/>
  <c r="G5023" i="2"/>
  <c r="G5024" i="2"/>
  <c r="G5025" i="2"/>
  <c r="G5026" i="2"/>
  <c r="G5027" i="2"/>
  <c r="G5028" i="2"/>
  <c r="G5029" i="2"/>
  <c r="G5030" i="2"/>
  <c r="G5031" i="2"/>
  <c r="G5032" i="2"/>
  <c r="G5033" i="2"/>
  <c r="G5034" i="2"/>
  <c r="G5035" i="2"/>
  <c r="G5036" i="2"/>
  <c r="G5037" i="2"/>
  <c r="G5038" i="2"/>
  <c r="G5039" i="2"/>
  <c r="G5040" i="2"/>
  <c r="G5041" i="2"/>
  <c r="G5042" i="2"/>
  <c r="G5043" i="2"/>
  <c r="G5044" i="2"/>
  <c r="G5045" i="2"/>
  <c r="G5046" i="2"/>
  <c r="G5047" i="2"/>
  <c r="G5048" i="2"/>
  <c r="G5049" i="2"/>
  <c r="G5050" i="2"/>
  <c r="G5051" i="2"/>
  <c r="G5052" i="2"/>
  <c r="G5053" i="2"/>
  <c r="G5054" i="2"/>
  <c r="G5055" i="2"/>
  <c r="G5056" i="2"/>
  <c r="G5057" i="2"/>
  <c r="G5058" i="2"/>
  <c r="G5059" i="2"/>
  <c r="G5060" i="2"/>
  <c r="G5061" i="2"/>
  <c r="G5062" i="2"/>
  <c r="G5063" i="2"/>
  <c r="G5064" i="2"/>
  <c r="G5065" i="2"/>
  <c r="G5066" i="2"/>
  <c r="G5067" i="2"/>
  <c r="G5068" i="2"/>
  <c r="G5069" i="2"/>
  <c r="G5070" i="2"/>
  <c r="G5071" i="2"/>
  <c r="G5072" i="2"/>
  <c r="G5073" i="2"/>
  <c r="G5074" i="2"/>
  <c r="G5075" i="2"/>
  <c r="G5076" i="2"/>
  <c r="G5077" i="2"/>
  <c r="G5078" i="2"/>
  <c r="G5079" i="2"/>
  <c r="G5080" i="2"/>
  <c r="G5081" i="2"/>
  <c r="G5082" i="2"/>
  <c r="G5083" i="2"/>
  <c r="G5084" i="2"/>
  <c r="G5085" i="2"/>
  <c r="G5086" i="2"/>
  <c r="G5087" i="2"/>
  <c r="G5088" i="2"/>
  <c r="G5089" i="2"/>
  <c r="G5090" i="2"/>
  <c r="G5091" i="2"/>
  <c r="G5092" i="2"/>
  <c r="G5093" i="2"/>
  <c r="G5094" i="2"/>
  <c r="G5095" i="2"/>
  <c r="G5096" i="2"/>
  <c r="G5097" i="2"/>
  <c r="G5098" i="2"/>
  <c r="G5099" i="2"/>
  <c r="G5100" i="2"/>
  <c r="G5101" i="2"/>
  <c r="G5102" i="2"/>
  <c r="G5103" i="2"/>
  <c r="G5104" i="2"/>
  <c r="G5105" i="2"/>
  <c r="G5106" i="2"/>
  <c r="G5107" i="2"/>
  <c r="G5108" i="2"/>
  <c r="G5109" i="2"/>
  <c r="G5110" i="2"/>
  <c r="G5111" i="2"/>
  <c r="G5112" i="2"/>
  <c r="G5113" i="2"/>
  <c r="G5114" i="2"/>
  <c r="G5115" i="2"/>
  <c r="G5116" i="2"/>
  <c r="G5117" i="2"/>
  <c r="G5118" i="2"/>
  <c r="G5119" i="2"/>
  <c r="G5120" i="2"/>
  <c r="G5121" i="2"/>
  <c r="G5122" i="2"/>
  <c r="G5123" i="2"/>
  <c r="G5124" i="2"/>
  <c r="G5125" i="2"/>
  <c r="G5126" i="2"/>
  <c r="G5127" i="2"/>
  <c r="G5128" i="2"/>
  <c r="G5129" i="2"/>
  <c r="G5130" i="2"/>
  <c r="G5131" i="2"/>
  <c r="G5132" i="2"/>
  <c r="G5133" i="2"/>
  <c r="G5134" i="2"/>
  <c r="G5135" i="2"/>
  <c r="G5136" i="2"/>
  <c r="G5137" i="2"/>
  <c r="G5138" i="2"/>
  <c r="G5139" i="2"/>
  <c r="G5140" i="2"/>
  <c r="G5141" i="2"/>
  <c r="G5142" i="2"/>
  <c r="G5143" i="2"/>
  <c r="G5144" i="2"/>
  <c r="G5145" i="2"/>
  <c r="G5146" i="2"/>
  <c r="G5147" i="2"/>
  <c r="G5148" i="2"/>
  <c r="G5149" i="2"/>
  <c r="G5150" i="2"/>
  <c r="G5151" i="2"/>
  <c r="G5152" i="2"/>
  <c r="G5153" i="2"/>
  <c r="G5154" i="2"/>
  <c r="G5155" i="2"/>
  <c r="G5156" i="2"/>
  <c r="G5157" i="2"/>
  <c r="G5158" i="2"/>
  <c r="G5159" i="2"/>
  <c r="G5160" i="2"/>
  <c r="G5161" i="2"/>
  <c r="G5162" i="2"/>
  <c r="G5163" i="2"/>
  <c r="G5164" i="2"/>
  <c r="G5165" i="2"/>
  <c r="G5166" i="2"/>
  <c r="G5167" i="2"/>
  <c r="G5168" i="2"/>
  <c r="G5169" i="2"/>
  <c r="G5170" i="2"/>
  <c r="G5171" i="2"/>
  <c r="G5172" i="2"/>
  <c r="G5173" i="2"/>
  <c r="G5174" i="2"/>
  <c r="G5175" i="2"/>
  <c r="G5176" i="2"/>
  <c r="G5177" i="2"/>
  <c r="G5178" i="2"/>
  <c r="G5179" i="2"/>
  <c r="G5180" i="2"/>
  <c r="G5181" i="2"/>
  <c r="G5182" i="2"/>
  <c r="G5183" i="2"/>
  <c r="G5184" i="2"/>
  <c r="G5185" i="2"/>
  <c r="G5186" i="2"/>
  <c r="G5187" i="2"/>
  <c r="G5188" i="2"/>
  <c r="G5189" i="2"/>
  <c r="G5190" i="2"/>
  <c r="G5191" i="2"/>
  <c r="G5192" i="2"/>
  <c r="G5193" i="2"/>
  <c r="G5194" i="2"/>
  <c r="G5195" i="2"/>
  <c r="G5196" i="2"/>
  <c r="G5197" i="2"/>
  <c r="G5198" i="2"/>
  <c r="G5199" i="2"/>
  <c r="G5200" i="2"/>
  <c r="G5201" i="2"/>
  <c r="G5202" i="2"/>
  <c r="G5203" i="2"/>
  <c r="G5204" i="2"/>
  <c r="G5205" i="2"/>
  <c r="G5206" i="2"/>
  <c r="G5207" i="2"/>
  <c r="G5208" i="2"/>
  <c r="G5209" i="2"/>
  <c r="G5210" i="2"/>
  <c r="G5211" i="2"/>
  <c r="G5212" i="2"/>
  <c r="G5213" i="2"/>
  <c r="G5214" i="2"/>
  <c r="G5215" i="2"/>
  <c r="G5216" i="2"/>
  <c r="G5217" i="2"/>
  <c r="G5218" i="2"/>
  <c r="G5219" i="2"/>
  <c r="G5220" i="2"/>
  <c r="G5221" i="2"/>
  <c r="G5222" i="2"/>
  <c r="G5223" i="2"/>
  <c r="G5224" i="2"/>
  <c r="G5225" i="2"/>
  <c r="G5226" i="2"/>
  <c r="G5227" i="2"/>
  <c r="G5228" i="2"/>
  <c r="G5229" i="2"/>
  <c r="G5230" i="2"/>
  <c r="G5231" i="2"/>
  <c r="G5232" i="2"/>
  <c r="G5233" i="2"/>
  <c r="G5234" i="2"/>
  <c r="G5235" i="2"/>
  <c r="G5236" i="2"/>
  <c r="G5237" i="2"/>
  <c r="G5238" i="2"/>
  <c r="G5239" i="2"/>
  <c r="G5240" i="2"/>
  <c r="G5241" i="2"/>
  <c r="G5242" i="2"/>
  <c r="G5243" i="2"/>
  <c r="G5244" i="2"/>
  <c r="G5245" i="2"/>
  <c r="G5246" i="2"/>
  <c r="G5247" i="2"/>
  <c r="G5248" i="2"/>
  <c r="G5249" i="2"/>
  <c r="G5250" i="2"/>
  <c r="G5251" i="2"/>
  <c r="G5252" i="2"/>
  <c r="G5253" i="2"/>
  <c r="G5254" i="2"/>
  <c r="G5255" i="2"/>
  <c r="G5256" i="2"/>
  <c r="G5257" i="2"/>
  <c r="G5258" i="2"/>
  <c r="G5259" i="2"/>
  <c r="G5260" i="2"/>
  <c r="G5261" i="2"/>
  <c r="G5262" i="2"/>
  <c r="G5263" i="2"/>
  <c r="G5264" i="2"/>
  <c r="G5265" i="2"/>
  <c r="G5266" i="2"/>
  <c r="G5267" i="2"/>
  <c r="G5268" i="2"/>
  <c r="G5269" i="2"/>
  <c r="G5270" i="2"/>
  <c r="G5271" i="2"/>
  <c r="G5272" i="2"/>
  <c r="G5273" i="2"/>
  <c r="G5274" i="2"/>
  <c r="G5275" i="2"/>
  <c r="G5276" i="2"/>
  <c r="G5277" i="2"/>
  <c r="G5278" i="2"/>
  <c r="G5279" i="2"/>
  <c r="G5280" i="2"/>
  <c r="G5281" i="2"/>
  <c r="G5282" i="2"/>
  <c r="G5283" i="2"/>
  <c r="G5284" i="2"/>
  <c r="G5285" i="2"/>
  <c r="G5286" i="2"/>
  <c r="G5287" i="2"/>
  <c r="G5288" i="2"/>
  <c r="G5289" i="2"/>
  <c r="G5290" i="2"/>
  <c r="G5291" i="2"/>
  <c r="G5292" i="2"/>
  <c r="G5293" i="2"/>
  <c r="G5294" i="2"/>
  <c r="G5295" i="2"/>
  <c r="G5296" i="2"/>
  <c r="G5297" i="2"/>
  <c r="G5298" i="2"/>
  <c r="G5299" i="2"/>
  <c r="G5300" i="2"/>
  <c r="G5301" i="2"/>
  <c r="G5302" i="2"/>
  <c r="G5303" i="2"/>
  <c r="G5304" i="2"/>
  <c r="G5305" i="2"/>
  <c r="G5306" i="2"/>
  <c r="G5307" i="2"/>
  <c r="G5308" i="2"/>
  <c r="G5309" i="2"/>
  <c r="G5310" i="2"/>
  <c r="G5311" i="2"/>
  <c r="G5312" i="2"/>
  <c r="G5313" i="2"/>
  <c r="G5314" i="2"/>
  <c r="G5315" i="2"/>
  <c r="G5316" i="2"/>
  <c r="G5317" i="2"/>
  <c r="G5318" i="2"/>
  <c r="G5319" i="2"/>
  <c r="G5320" i="2"/>
  <c r="G5321" i="2"/>
  <c r="G5322" i="2"/>
  <c r="G5323" i="2"/>
  <c r="G5324" i="2"/>
  <c r="G5325" i="2"/>
  <c r="G5326" i="2"/>
  <c r="G5327" i="2"/>
  <c r="G5328" i="2"/>
  <c r="G5329" i="2"/>
  <c r="G5330" i="2"/>
  <c r="G5331" i="2"/>
  <c r="G5332" i="2"/>
  <c r="G5333" i="2"/>
  <c r="G5334" i="2"/>
  <c r="G5335" i="2"/>
  <c r="G5336" i="2"/>
  <c r="G5337" i="2"/>
  <c r="G5338" i="2"/>
  <c r="G5339" i="2"/>
  <c r="G5340" i="2"/>
  <c r="G5341" i="2"/>
  <c r="G5342" i="2"/>
  <c r="G5343" i="2"/>
  <c r="G5344" i="2"/>
  <c r="G5345" i="2"/>
  <c r="G5346" i="2"/>
  <c r="G5347" i="2"/>
  <c r="G5348" i="2"/>
  <c r="G5349" i="2"/>
  <c r="G5350" i="2"/>
  <c r="G5351" i="2"/>
  <c r="G5352" i="2"/>
  <c r="G5353" i="2"/>
  <c r="G5354" i="2"/>
  <c r="G5355" i="2"/>
  <c r="G5356" i="2"/>
  <c r="G5357" i="2"/>
  <c r="G5358" i="2"/>
  <c r="G5359" i="2"/>
  <c r="G5360" i="2"/>
  <c r="G5361" i="2"/>
  <c r="G5362" i="2"/>
  <c r="G5363" i="2"/>
  <c r="G5364" i="2"/>
  <c r="G5365" i="2"/>
  <c r="G5366" i="2"/>
  <c r="G5367" i="2"/>
  <c r="G5368" i="2"/>
  <c r="G5369" i="2"/>
  <c r="G5370" i="2"/>
  <c r="G5371" i="2"/>
  <c r="G5372" i="2"/>
  <c r="G5373" i="2"/>
  <c r="G5374" i="2"/>
  <c r="G5375" i="2"/>
  <c r="G5376" i="2"/>
  <c r="G5377" i="2"/>
  <c r="G5378" i="2"/>
  <c r="G5379" i="2"/>
  <c r="G5380" i="2"/>
  <c r="G5381" i="2"/>
  <c r="G5382" i="2"/>
  <c r="G5383" i="2"/>
  <c r="G5384" i="2"/>
  <c r="G5385" i="2"/>
  <c r="G5386" i="2"/>
  <c r="G5387" i="2"/>
  <c r="G5388" i="2"/>
  <c r="G5389" i="2"/>
  <c r="G5390" i="2"/>
  <c r="G5391" i="2"/>
  <c r="G5392" i="2"/>
  <c r="G5393" i="2"/>
  <c r="G5394" i="2"/>
  <c r="G5395" i="2"/>
  <c r="G5396" i="2"/>
  <c r="G5397" i="2"/>
  <c r="G5398" i="2"/>
  <c r="G5399" i="2"/>
  <c r="G5400" i="2"/>
  <c r="G5401" i="2"/>
  <c r="G5402" i="2"/>
  <c r="G5403" i="2"/>
  <c r="G5404" i="2"/>
  <c r="G5405" i="2"/>
  <c r="G5406" i="2"/>
  <c r="G5407" i="2"/>
  <c r="G5408" i="2"/>
  <c r="G5409" i="2"/>
  <c r="G5410" i="2"/>
  <c r="G5411" i="2"/>
  <c r="G5412" i="2"/>
  <c r="G5413" i="2"/>
  <c r="G5414" i="2"/>
  <c r="G5415" i="2"/>
  <c r="G5416" i="2"/>
  <c r="G5417" i="2"/>
  <c r="G5418" i="2"/>
  <c r="G5419" i="2"/>
  <c r="G5420" i="2"/>
  <c r="G5421" i="2"/>
  <c r="G5422" i="2"/>
  <c r="G5423" i="2"/>
  <c r="G5424" i="2"/>
  <c r="G5425" i="2"/>
  <c r="G5426" i="2"/>
  <c r="G5427" i="2"/>
  <c r="G5428" i="2"/>
  <c r="G5429" i="2"/>
  <c r="G5430" i="2"/>
  <c r="G5431" i="2"/>
  <c r="G5432" i="2"/>
  <c r="G5433" i="2"/>
  <c r="G5434" i="2"/>
  <c r="G5435" i="2"/>
  <c r="G5436" i="2"/>
  <c r="G5437" i="2"/>
  <c r="G5438" i="2"/>
  <c r="G5439" i="2"/>
  <c r="G5440" i="2"/>
  <c r="G5441" i="2"/>
  <c r="G5442" i="2"/>
  <c r="G5443" i="2"/>
  <c r="G5444" i="2"/>
  <c r="G5445" i="2"/>
  <c r="G5446" i="2"/>
  <c r="G5447" i="2"/>
  <c r="G5448" i="2"/>
  <c r="G5449" i="2"/>
  <c r="G5450" i="2"/>
  <c r="G5451" i="2"/>
  <c r="G5452" i="2"/>
  <c r="G5453" i="2"/>
  <c r="G5454" i="2"/>
  <c r="G5455" i="2"/>
  <c r="G5456" i="2"/>
  <c r="G5457" i="2"/>
  <c r="G5458" i="2"/>
  <c r="G5459" i="2"/>
  <c r="G5460" i="2"/>
  <c r="G5461" i="2"/>
  <c r="G5462" i="2"/>
  <c r="G5463" i="2"/>
  <c r="G5464" i="2"/>
  <c r="G5465" i="2"/>
  <c r="G5466" i="2"/>
  <c r="G5467" i="2"/>
  <c r="G5468" i="2"/>
  <c r="G5469" i="2"/>
  <c r="G5470" i="2"/>
  <c r="G5471" i="2"/>
  <c r="G5472" i="2"/>
  <c r="G5473" i="2"/>
  <c r="G5474" i="2"/>
  <c r="G5475" i="2"/>
  <c r="G5476" i="2"/>
  <c r="G5477" i="2"/>
  <c r="G5478" i="2"/>
  <c r="G5479" i="2"/>
  <c r="G5480" i="2"/>
  <c r="G5481" i="2"/>
  <c r="G5482" i="2"/>
  <c r="G5483" i="2"/>
  <c r="G5484" i="2"/>
  <c r="G5485" i="2"/>
  <c r="G5486" i="2"/>
  <c r="G5487" i="2"/>
  <c r="G5488" i="2"/>
  <c r="G5489" i="2"/>
  <c r="G5490" i="2"/>
  <c r="G5491" i="2"/>
  <c r="G5492" i="2"/>
  <c r="G5493" i="2"/>
  <c r="G5494" i="2"/>
  <c r="G5495" i="2"/>
  <c r="G5496" i="2"/>
  <c r="G5497" i="2"/>
  <c r="G5498" i="2"/>
  <c r="G5499" i="2"/>
  <c r="G5500" i="2"/>
  <c r="G5501" i="2"/>
  <c r="G5502" i="2"/>
  <c r="G5503" i="2"/>
  <c r="G5504" i="2"/>
  <c r="G5505" i="2"/>
  <c r="G5506" i="2"/>
  <c r="G5507" i="2"/>
  <c r="G5508" i="2"/>
  <c r="G5509" i="2"/>
  <c r="G5510" i="2"/>
  <c r="G5511" i="2"/>
  <c r="G5512" i="2"/>
  <c r="G5513" i="2"/>
  <c r="G5514" i="2"/>
  <c r="G5515" i="2"/>
  <c r="G5516" i="2"/>
  <c r="G5517" i="2"/>
  <c r="G5518" i="2"/>
  <c r="G5519" i="2"/>
  <c r="G5520" i="2"/>
  <c r="G5521" i="2"/>
  <c r="G5522" i="2"/>
  <c r="G5523" i="2"/>
  <c r="G5524" i="2"/>
  <c r="G5525" i="2"/>
  <c r="G5526" i="2"/>
  <c r="G5527" i="2"/>
  <c r="G5528" i="2"/>
  <c r="G5529" i="2"/>
  <c r="G5530" i="2"/>
  <c r="G5531" i="2"/>
  <c r="G5532" i="2"/>
  <c r="G5533" i="2"/>
  <c r="G5534" i="2"/>
  <c r="G5535" i="2"/>
  <c r="G5536" i="2"/>
  <c r="G5537" i="2"/>
  <c r="G5538" i="2"/>
  <c r="G5539" i="2"/>
  <c r="G5540" i="2"/>
  <c r="G5541" i="2"/>
  <c r="G5542" i="2"/>
  <c r="G5543" i="2"/>
  <c r="G5544" i="2"/>
  <c r="G5545" i="2"/>
  <c r="G5546" i="2"/>
  <c r="G5547" i="2"/>
  <c r="G5548" i="2"/>
  <c r="G5549" i="2"/>
  <c r="G5550" i="2"/>
  <c r="G5551" i="2"/>
  <c r="G5552" i="2"/>
  <c r="G5553" i="2"/>
  <c r="G5554" i="2"/>
  <c r="G5555" i="2"/>
  <c r="G5556" i="2"/>
  <c r="G5557" i="2"/>
  <c r="G5558" i="2"/>
  <c r="G5559" i="2"/>
  <c r="G5560" i="2"/>
  <c r="G5561" i="2"/>
  <c r="G5562" i="2"/>
  <c r="G5563" i="2"/>
  <c r="G5564" i="2"/>
  <c r="G5565" i="2"/>
  <c r="G5566" i="2"/>
  <c r="G5567" i="2"/>
  <c r="G5568" i="2"/>
  <c r="G5569" i="2"/>
  <c r="G5570" i="2"/>
  <c r="G5571" i="2"/>
  <c r="G5572" i="2"/>
  <c r="G5573" i="2"/>
  <c r="G5574" i="2"/>
  <c r="G5575" i="2"/>
  <c r="G5576" i="2"/>
  <c r="G5577" i="2"/>
  <c r="G5578" i="2"/>
  <c r="G5579" i="2"/>
  <c r="G5580" i="2"/>
  <c r="G5581" i="2"/>
  <c r="G5582" i="2"/>
  <c r="G5583" i="2"/>
  <c r="G5584" i="2"/>
  <c r="G5585" i="2"/>
  <c r="G5586" i="2"/>
  <c r="G5587" i="2"/>
  <c r="G5588" i="2"/>
  <c r="G5589" i="2"/>
  <c r="G5590" i="2"/>
  <c r="G5591" i="2"/>
  <c r="G5592" i="2"/>
  <c r="G5593" i="2"/>
  <c r="G5594" i="2"/>
  <c r="G5595" i="2"/>
  <c r="G5596" i="2"/>
  <c r="G5597" i="2"/>
  <c r="G5598" i="2"/>
  <c r="G5599" i="2"/>
  <c r="G5600" i="2"/>
  <c r="G5601" i="2"/>
  <c r="G5602" i="2"/>
  <c r="G5603" i="2"/>
  <c r="G5604" i="2"/>
  <c r="G5605" i="2"/>
  <c r="G5606" i="2"/>
  <c r="G5607" i="2"/>
  <c r="G5608" i="2"/>
  <c r="G5609" i="2"/>
  <c r="G5610" i="2"/>
  <c r="G5611" i="2"/>
  <c r="G5612" i="2"/>
  <c r="G5613" i="2"/>
  <c r="G5614" i="2"/>
  <c r="G5615" i="2"/>
  <c r="G5616" i="2"/>
  <c r="G5617" i="2"/>
  <c r="G5618" i="2"/>
  <c r="G5619" i="2"/>
  <c r="G5620" i="2"/>
  <c r="G5621" i="2"/>
  <c r="G5622" i="2"/>
  <c r="G5623" i="2"/>
  <c r="G5624" i="2"/>
  <c r="G5625" i="2"/>
  <c r="G5626" i="2"/>
  <c r="G5627" i="2"/>
  <c r="G5628" i="2"/>
  <c r="G5629" i="2"/>
  <c r="G5630" i="2"/>
  <c r="G5631" i="2"/>
  <c r="G5632" i="2"/>
  <c r="G5633" i="2"/>
  <c r="G5634" i="2"/>
  <c r="G5635" i="2"/>
  <c r="G5636" i="2"/>
  <c r="G5637" i="2"/>
  <c r="G5638" i="2"/>
  <c r="G5639" i="2"/>
  <c r="G5640" i="2"/>
  <c r="G5641" i="2"/>
  <c r="G5642" i="2"/>
  <c r="G5643" i="2"/>
  <c r="G5644" i="2"/>
  <c r="G5645" i="2"/>
  <c r="G5646" i="2"/>
  <c r="G5647" i="2"/>
  <c r="G5648" i="2"/>
  <c r="G5649" i="2"/>
  <c r="G5650" i="2"/>
  <c r="G5651" i="2"/>
  <c r="G5652" i="2"/>
  <c r="G5653" i="2"/>
  <c r="G5654" i="2"/>
  <c r="G5655" i="2"/>
  <c r="G5656" i="2"/>
  <c r="G5657" i="2"/>
  <c r="G5658" i="2"/>
  <c r="G5659" i="2"/>
  <c r="G5660" i="2"/>
  <c r="G5661" i="2"/>
  <c r="G5662" i="2"/>
  <c r="G5663" i="2"/>
  <c r="G5664" i="2"/>
  <c r="G5665" i="2"/>
  <c r="G5666" i="2"/>
  <c r="G5667" i="2"/>
  <c r="G5668" i="2"/>
  <c r="G5669" i="2"/>
  <c r="G5670" i="2"/>
  <c r="G5671" i="2"/>
  <c r="G5672" i="2"/>
  <c r="G5673" i="2"/>
  <c r="G5674" i="2"/>
  <c r="G5675" i="2"/>
  <c r="G5676" i="2"/>
  <c r="G5677" i="2"/>
  <c r="G5678" i="2"/>
  <c r="G5679" i="2"/>
  <c r="G5680" i="2"/>
  <c r="G5681" i="2"/>
  <c r="G5682" i="2"/>
  <c r="G5683" i="2"/>
  <c r="G5684" i="2"/>
  <c r="G5685" i="2"/>
  <c r="G5686" i="2"/>
  <c r="G5687" i="2"/>
  <c r="G5688" i="2"/>
  <c r="G5689" i="2"/>
  <c r="G5690" i="2"/>
  <c r="G5691" i="2"/>
  <c r="G5692" i="2"/>
  <c r="G5693" i="2"/>
  <c r="G5694" i="2"/>
  <c r="G5695" i="2"/>
  <c r="G5696" i="2"/>
  <c r="G5697" i="2"/>
  <c r="G5698" i="2"/>
  <c r="G5699" i="2"/>
  <c r="G5700" i="2"/>
  <c r="G5701" i="2"/>
  <c r="G5702" i="2"/>
  <c r="G5703" i="2"/>
  <c r="G5704" i="2"/>
  <c r="G5705" i="2"/>
  <c r="G5706" i="2"/>
  <c r="G5707" i="2"/>
  <c r="G5708" i="2"/>
  <c r="G5709" i="2"/>
  <c r="G5710" i="2"/>
  <c r="G5711" i="2"/>
  <c r="G5712" i="2"/>
  <c r="G5713" i="2"/>
  <c r="G5714" i="2"/>
  <c r="G5715" i="2"/>
  <c r="G5716" i="2"/>
  <c r="G5717" i="2"/>
  <c r="G5718" i="2"/>
  <c r="G5719" i="2"/>
  <c r="G5720" i="2"/>
  <c r="G5721" i="2"/>
  <c r="G5722" i="2"/>
  <c r="G5723" i="2"/>
  <c r="G5724" i="2"/>
  <c r="G5725" i="2"/>
  <c r="G5726" i="2"/>
  <c r="G5727" i="2"/>
  <c r="G5728" i="2"/>
  <c r="G5729" i="2"/>
  <c r="G5730" i="2"/>
  <c r="G5731" i="2"/>
  <c r="G5732" i="2"/>
  <c r="G5733" i="2"/>
  <c r="G5734" i="2"/>
  <c r="G5735" i="2"/>
  <c r="G5736" i="2"/>
  <c r="G5737" i="2"/>
  <c r="G5738" i="2"/>
  <c r="G5739" i="2"/>
  <c r="G5740" i="2"/>
  <c r="G5741" i="2"/>
  <c r="G5742" i="2"/>
  <c r="G5743" i="2"/>
  <c r="G5744" i="2"/>
  <c r="G5745" i="2"/>
  <c r="G5746" i="2"/>
  <c r="G5747" i="2"/>
  <c r="G5748" i="2"/>
  <c r="G5749" i="2"/>
  <c r="G5750" i="2"/>
  <c r="G5751" i="2"/>
  <c r="G5752" i="2"/>
  <c r="G5753" i="2"/>
  <c r="G5754" i="2"/>
  <c r="G5755" i="2"/>
  <c r="G5756" i="2"/>
  <c r="G5757" i="2"/>
  <c r="G5758" i="2"/>
  <c r="G5759" i="2"/>
  <c r="G5760" i="2"/>
  <c r="G5761" i="2"/>
  <c r="G5762" i="2"/>
  <c r="G5763" i="2"/>
  <c r="G5764" i="2"/>
  <c r="G5765" i="2"/>
  <c r="G5766" i="2"/>
  <c r="G5767" i="2"/>
  <c r="G5768" i="2"/>
  <c r="G5769" i="2"/>
  <c r="G5770" i="2"/>
  <c r="G5771" i="2"/>
  <c r="G5772" i="2"/>
  <c r="G5773" i="2"/>
  <c r="G5774" i="2"/>
  <c r="G5775" i="2"/>
  <c r="G5776" i="2"/>
  <c r="G5777" i="2"/>
  <c r="G5778" i="2"/>
  <c r="G5779" i="2"/>
  <c r="G5780" i="2"/>
  <c r="G5781" i="2"/>
  <c r="G5782" i="2"/>
  <c r="G5783" i="2"/>
  <c r="G5784" i="2"/>
  <c r="G5785" i="2"/>
  <c r="G5786" i="2"/>
  <c r="G5787" i="2"/>
  <c r="G5788" i="2"/>
  <c r="G5789" i="2"/>
  <c r="G5790" i="2"/>
  <c r="G5791" i="2"/>
  <c r="G5792" i="2"/>
  <c r="G5793" i="2"/>
  <c r="G5794" i="2"/>
  <c r="G5795" i="2"/>
  <c r="G5796" i="2"/>
  <c r="G5797" i="2"/>
  <c r="G5798" i="2"/>
  <c r="G5799" i="2"/>
  <c r="G5800" i="2"/>
  <c r="G5801" i="2"/>
  <c r="G5802" i="2"/>
  <c r="G5803" i="2"/>
  <c r="G5804" i="2"/>
  <c r="G5805" i="2"/>
  <c r="G5806" i="2"/>
  <c r="G5807" i="2"/>
  <c r="G5808" i="2"/>
  <c r="G5809" i="2"/>
  <c r="G5810" i="2"/>
  <c r="G5811" i="2"/>
  <c r="G5812" i="2"/>
  <c r="G5813" i="2"/>
  <c r="G5814" i="2"/>
  <c r="G5815" i="2"/>
  <c r="G5816" i="2"/>
  <c r="G5817" i="2"/>
  <c r="G5818" i="2"/>
  <c r="G5819" i="2"/>
  <c r="G5820" i="2"/>
  <c r="G5821" i="2"/>
  <c r="G5822" i="2"/>
  <c r="G5823" i="2"/>
  <c r="G5824" i="2"/>
  <c r="G5825" i="2"/>
  <c r="G5826" i="2"/>
  <c r="G5827" i="2"/>
  <c r="G5828" i="2"/>
  <c r="G5829" i="2"/>
  <c r="G5830" i="2"/>
  <c r="G5831" i="2"/>
  <c r="G5832" i="2"/>
  <c r="G5833" i="2"/>
  <c r="G5834" i="2"/>
  <c r="G5835" i="2"/>
  <c r="G5836" i="2"/>
  <c r="G5837" i="2"/>
  <c r="G5838" i="2"/>
  <c r="G5839" i="2"/>
  <c r="G5840" i="2"/>
  <c r="G5841" i="2"/>
  <c r="G5842" i="2"/>
  <c r="G5843" i="2"/>
  <c r="G5844" i="2"/>
  <c r="G5845" i="2"/>
  <c r="G5846" i="2"/>
  <c r="G5847" i="2"/>
  <c r="G5848" i="2"/>
  <c r="G5849" i="2"/>
  <c r="G5850" i="2"/>
  <c r="G5851" i="2"/>
  <c r="G5852" i="2"/>
  <c r="G5853" i="2"/>
  <c r="G5854" i="2"/>
  <c r="G5855" i="2"/>
  <c r="G5856" i="2"/>
  <c r="G5857" i="2"/>
  <c r="G5858" i="2"/>
  <c r="G5859" i="2"/>
  <c r="G5860" i="2"/>
  <c r="G5861" i="2"/>
  <c r="G5862" i="2"/>
  <c r="G5863" i="2"/>
  <c r="G5864" i="2"/>
  <c r="G5865" i="2"/>
  <c r="G5866" i="2"/>
  <c r="G5867" i="2"/>
  <c r="G5868" i="2"/>
  <c r="G5869" i="2"/>
  <c r="G5870" i="2"/>
  <c r="G5871" i="2"/>
  <c r="G5872" i="2"/>
  <c r="G5873" i="2"/>
  <c r="G5874" i="2"/>
  <c r="G5875" i="2"/>
  <c r="G5876" i="2"/>
  <c r="G5877" i="2"/>
  <c r="G5878" i="2"/>
  <c r="G5879" i="2"/>
  <c r="G5880" i="2"/>
  <c r="G5881" i="2"/>
  <c r="G5882" i="2"/>
  <c r="G5883" i="2"/>
  <c r="G5884" i="2"/>
  <c r="G5885" i="2"/>
  <c r="G5886" i="2"/>
  <c r="G5887" i="2"/>
  <c r="G5888" i="2"/>
  <c r="G5889" i="2"/>
  <c r="G5890" i="2"/>
  <c r="G5891" i="2"/>
  <c r="G5892" i="2"/>
  <c r="G5893" i="2"/>
  <c r="G5894" i="2"/>
  <c r="G5895" i="2"/>
  <c r="G5896" i="2"/>
  <c r="G5897" i="2"/>
  <c r="G5898" i="2"/>
  <c r="G5899" i="2"/>
  <c r="G5900" i="2"/>
  <c r="G5901" i="2"/>
  <c r="G5902" i="2"/>
  <c r="G5903" i="2"/>
  <c r="G5904" i="2"/>
  <c r="G5905" i="2"/>
  <c r="G5906" i="2"/>
  <c r="G5907" i="2"/>
  <c r="G5908" i="2"/>
  <c r="G5909" i="2"/>
  <c r="G5910" i="2"/>
  <c r="G5911" i="2"/>
  <c r="G5912" i="2"/>
  <c r="G5913" i="2"/>
  <c r="G5914" i="2"/>
  <c r="G5915" i="2"/>
  <c r="G5916" i="2"/>
  <c r="G5917" i="2"/>
  <c r="G5918" i="2"/>
  <c r="G5919" i="2"/>
  <c r="G5920" i="2"/>
  <c r="G5921" i="2"/>
  <c r="G5922" i="2"/>
  <c r="G5923" i="2"/>
  <c r="G5924" i="2"/>
  <c r="G5925" i="2"/>
  <c r="G5926" i="2"/>
  <c r="G5927" i="2"/>
  <c r="G5928" i="2"/>
  <c r="G5929" i="2"/>
  <c r="G5930" i="2"/>
  <c r="G5931" i="2"/>
  <c r="G5932" i="2"/>
  <c r="G5933" i="2"/>
  <c r="G5934" i="2"/>
  <c r="G5935" i="2"/>
  <c r="G5936" i="2"/>
  <c r="G5937" i="2"/>
  <c r="G5938" i="2"/>
  <c r="G5939" i="2"/>
  <c r="G5940" i="2"/>
  <c r="G5941" i="2"/>
  <c r="G5942" i="2"/>
  <c r="G5943" i="2"/>
  <c r="G5944" i="2"/>
  <c r="G5945" i="2"/>
  <c r="G5946" i="2"/>
  <c r="G5947" i="2"/>
  <c r="G5948" i="2"/>
  <c r="G5949" i="2"/>
  <c r="G5950" i="2"/>
  <c r="G5951" i="2"/>
  <c r="G5952" i="2"/>
  <c r="G5953" i="2"/>
  <c r="G5954" i="2"/>
  <c r="G5955" i="2"/>
  <c r="G5956" i="2"/>
  <c r="G5957" i="2"/>
  <c r="G5958" i="2"/>
  <c r="G5959" i="2"/>
  <c r="G5960" i="2"/>
  <c r="G5961" i="2"/>
  <c r="G5962" i="2"/>
  <c r="G5963" i="2"/>
  <c r="G5964" i="2"/>
  <c r="G5965" i="2"/>
  <c r="G5966" i="2"/>
  <c r="G5967" i="2"/>
  <c r="G5968" i="2"/>
  <c r="G5969" i="2"/>
  <c r="G5970" i="2"/>
  <c r="G5971" i="2"/>
  <c r="G5972" i="2"/>
  <c r="G5973" i="2"/>
  <c r="G5974" i="2"/>
  <c r="G5975" i="2"/>
  <c r="G5976" i="2"/>
  <c r="G5977" i="2"/>
  <c r="G5978" i="2"/>
  <c r="G5979" i="2"/>
  <c r="G5980" i="2"/>
  <c r="G5981" i="2"/>
  <c r="G5982" i="2"/>
  <c r="G5983" i="2"/>
  <c r="G5984" i="2"/>
  <c r="G5985" i="2"/>
  <c r="G5986" i="2"/>
  <c r="G5987" i="2"/>
  <c r="G5988" i="2"/>
  <c r="G5989" i="2"/>
  <c r="G5990" i="2"/>
  <c r="G5991" i="2"/>
  <c r="G5992" i="2"/>
  <c r="G5993" i="2"/>
  <c r="G5994" i="2"/>
  <c r="G5995" i="2"/>
  <c r="G5996" i="2"/>
  <c r="G5997" i="2"/>
  <c r="G5998" i="2"/>
  <c r="G5999" i="2"/>
  <c r="G6000" i="2"/>
  <c r="G6001" i="2"/>
  <c r="G6002" i="2"/>
  <c r="G6003" i="2"/>
  <c r="G6004" i="2"/>
  <c r="G6005" i="2"/>
  <c r="G6006" i="2"/>
  <c r="G6007" i="2"/>
  <c r="G6008" i="2"/>
  <c r="G6009" i="2"/>
  <c r="G6010" i="2"/>
  <c r="G6011" i="2"/>
  <c r="G6012" i="2"/>
  <c r="G6013" i="2"/>
  <c r="G6014" i="2"/>
  <c r="G6015" i="2"/>
  <c r="G6016" i="2"/>
  <c r="G6017" i="2"/>
  <c r="G6018" i="2"/>
  <c r="G6019" i="2"/>
  <c r="G6020" i="2"/>
  <c r="G6021" i="2"/>
  <c r="G6022" i="2"/>
  <c r="G6023" i="2"/>
  <c r="G6024" i="2"/>
  <c r="G6025" i="2"/>
  <c r="G6026" i="2"/>
  <c r="G6027" i="2"/>
  <c r="G6028" i="2"/>
  <c r="G6029" i="2"/>
  <c r="G6030" i="2"/>
  <c r="G6031" i="2"/>
  <c r="G6032" i="2"/>
  <c r="G6033" i="2"/>
  <c r="G6034" i="2"/>
  <c r="G6035" i="2"/>
  <c r="G6036" i="2"/>
  <c r="G6037" i="2"/>
  <c r="G6038" i="2"/>
  <c r="G6039" i="2"/>
  <c r="G6040" i="2"/>
  <c r="G6041" i="2"/>
  <c r="G6042" i="2"/>
  <c r="G6043" i="2"/>
  <c r="G6044" i="2"/>
  <c r="G6045" i="2"/>
  <c r="G6046" i="2"/>
  <c r="G6047" i="2"/>
  <c r="G6048" i="2"/>
  <c r="G6049" i="2"/>
  <c r="G6050" i="2"/>
  <c r="G6051" i="2"/>
  <c r="G6052" i="2"/>
  <c r="G6053" i="2"/>
  <c r="G6054" i="2"/>
  <c r="G6055" i="2"/>
  <c r="G6056" i="2"/>
  <c r="G6057" i="2"/>
  <c r="G6058" i="2"/>
  <c r="G6059" i="2"/>
  <c r="G6060" i="2"/>
  <c r="G6061" i="2"/>
  <c r="G6062" i="2"/>
  <c r="G6063" i="2"/>
  <c r="G6064" i="2"/>
  <c r="G6065" i="2"/>
  <c r="G6066" i="2"/>
  <c r="G6067" i="2"/>
  <c r="G6068" i="2"/>
  <c r="G6069" i="2"/>
  <c r="G6070" i="2"/>
  <c r="G6071" i="2"/>
  <c r="G6072" i="2"/>
  <c r="G6073" i="2"/>
  <c r="G6074" i="2"/>
  <c r="G6075" i="2"/>
  <c r="G6076" i="2"/>
  <c r="G6077" i="2"/>
  <c r="G6078" i="2"/>
  <c r="G6079" i="2"/>
  <c r="G6080" i="2"/>
  <c r="G6081" i="2"/>
  <c r="G6082" i="2"/>
  <c r="G6083" i="2"/>
  <c r="G6084" i="2"/>
  <c r="G6085" i="2"/>
  <c r="G6086" i="2"/>
  <c r="G6087" i="2"/>
  <c r="G6088" i="2"/>
  <c r="G6089" i="2"/>
  <c r="G6090" i="2"/>
  <c r="G6091" i="2"/>
  <c r="G6092" i="2"/>
  <c r="G6093" i="2"/>
  <c r="G6094" i="2"/>
  <c r="G6095" i="2"/>
  <c r="G6096" i="2"/>
  <c r="G6097" i="2"/>
  <c r="G6098" i="2"/>
  <c r="G6099" i="2"/>
  <c r="G6100" i="2"/>
  <c r="G6101" i="2"/>
  <c r="G6102" i="2"/>
  <c r="G6103" i="2"/>
  <c r="G6104" i="2"/>
  <c r="G6105" i="2"/>
  <c r="G6106" i="2"/>
  <c r="G6107" i="2"/>
  <c r="G6108" i="2"/>
  <c r="G6109" i="2"/>
  <c r="G6110" i="2"/>
  <c r="G6111" i="2"/>
  <c r="G6112" i="2"/>
  <c r="G6113" i="2"/>
  <c r="G6114" i="2"/>
  <c r="G6115" i="2"/>
  <c r="G6116" i="2"/>
  <c r="G6117" i="2"/>
  <c r="G6118" i="2"/>
  <c r="G6119" i="2"/>
  <c r="G6120" i="2"/>
  <c r="G6121" i="2"/>
  <c r="G6122" i="2"/>
  <c r="G6123" i="2"/>
  <c r="G6124" i="2"/>
  <c r="G6125" i="2"/>
  <c r="G6126" i="2"/>
  <c r="G6127" i="2"/>
  <c r="G6128" i="2"/>
  <c r="G6129" i="2"/>
  <c r="G6130" i="2"/>
  <c r="G6131" i="2"/>
  <c r="G6132" i="2"/>
  <c r="G6133" i="2"/>
  <c r="G6134" i="2"/>
  <c r="G6135" i="2"/>
  <c r="G6136" i="2"/>
  <c r="G6137" i="2"/>
  <c r="G6138" i="2"/>
  <c r="G6139" i="2"/>
  <c r="G6140" i="2"/>
  <c r="G6141" i="2"/>
  <c r="G6142" i="2"/>
  <c r="G6143" i="2"/>
  <c r="G6144" i="2"/>
  <c r="G6145" i="2"/>
  <c r="G6146" i="2"/>
  <c r="G6147" i="2"/>
  <c r="G6148" i="2"/>
  <c r="G6149" i="2"/>
  <c r="G6150" i="2"/>
  <c r="G6151" i="2"/>
  <c r="G6152" i="2"/>
  <c r="G6153" i="2"/>
  <c r="G6154" i="2"/>
  <c r="G6155" i="2"/>
  <c r="G6156" i="2"/>
  <c r="G6157" i="2"/>
  <c r="G6158" i="2"/>
  <c r="G6159" i="2"/>
  <c r="G6160" i="2"/>
  <c r="G6161" i="2"/>
  <c r="G6162" i="2"/>
  <c r="G6163" i="2"/>
  <c r="G6164" i="2"/>
  <c r="G6165" i="2"/>
  <c r="G6166" i="2"/>
  <c r="G6167" i="2"/>
  <c r="G6168" i="2"/>
  <c r="G6169" i="2"/>
  <c r="G6170" i="2"/>
  <c r="G6171" i="2"/>
  <c r="G6172" i="2"/>
  <c r="G6173" i="2"/>
  <c r="G6174" i="2"/>
  <c r="G6175" i="2"/>
  <c r="G6176" i="2"/>
  <c r="G6177" i="2"/>
  <c r="G6178" i="2"/>
  <c r="G6179" i="2"/>
  <c r="G6180" i="2"/>
  <c r="G6181" i="2"/>
  <c r="G6182" i="2"/>
  <c r="G6183" i="2"/>
  <c r="G6184" i="2"/>
  <c r="G6185" i="2"/>
  <c r="G6186" i="2"/>
  <c r="G6187" i="2"/>
  <c r="G6188" i="2"/>
  <c r="G6189" i="2"/>
  <c r="G6190" i="2"/>
  <c r="G6191" i="2"/>
  <c r="G6192" i="2"/>
  <c r="G6193" i="2"/>
  <c r="G6194" i="2"/>
  <c r="G6195" i="2"/>
  <c r="G6196" i="2"/>
  <c r="G6197" i="2"/>
  <c r="G6198" i="2"/>
  <c r="G6199" i="2"/>
  <c r="G6200" i="2"/>
  <c r="G6201" i="2"/>
  <c r="G6202" i="2"/>
  <c r="G6203" i="2"/>
  <c r="G6204" i="2"/>
  <c r="G6205" i="2"/>
  <c r="G6206" i="2"/>
  <c r="G6207" i="2"/>
  <c r="G6208" i="2"/>
  <c r="G6209" i="2"/>
  <c r="G6210" i="2"/>
  <c r="G6211" i="2"/>
  <c r="G6212" i="2"/>
  <c r="G6213" i="2"/>
  <c r="G6214" i="2"/>
  <c r="G6215" i="2"/>
  <c r="G6216" i="2"/>
  <c r="G6217" i="2"/>
  <c r="G6218" i="2"/>
  <c r="G6219" i="2"/>
  <c r="G6220" i="2"/>
  <c r="G6221" i="2"/>
  <c r="G6222" i="2"/>
  <c r="G6223" i="2"/>
  <c r="G6224" i="2"/>
  <c r="G6225" i="2"/>
  <c r="G6226" i="2"/>
  <c r="G6227" i="2"/>
  <c r="G6228" i="2"/>
  <c r="G6229" i="2"/>
  <c r="G6230" i="2"/>
  <c r="G6231" i="2"/>
  <c r="G6232" i="2"/>
  <c r="G6233" i="2"/>
  <c r="G6234" i="2"/>
  <c r="G6235" i="2"/>
  <c r="G6236" i="2"/>
  <c r="G6237" i="2"/>
  <c r="G6238" i="2"/>
  <c r="G6239" i="2"/>
  <c r="G6240" i="2"/>
  <c r="G6241" i="2"/>
  <c r="G6242" i="2"/>
  <c r="G6243" i="2"/>
  <c r="G6244" i="2"/>
  <c r="G6245" i="2"/>
  <c r="G6246" i="2"/>
  <c r="G6247" i="2"/>
  <c r="G6248" i="2"/>
  <c r="G6249" i="2"/>
  <c r="G6250" i="2"/>
  <c r="G6251" i="2"/>
  <c r="G6252" i="2"/>
  <c r="G6253" i="2"/>
  <c r="G6254" i="2"/>
  <c r="G6255" i="2"/>
  <c r="G6256" i="2"/>
  <c r="G6257" i="2"/>
  <c r="G6258" i="2"/>
  <c r="G6259" i="2"/>
  <c r="G6260" i="2"/>
  <c r="G6261" i="2"/>
  <c r="G6262" i="2"/>
  <c r="G6263" i="2"/>
  <c r="G6264" i="2"/>
  <c r="G6265" i="2"/>
  <c r="G6266" i="2"/>
  <c r="G6267" i="2"/>
  <c r="G6268" i="2"/>
  <c r="G6269" i="2"/>
  <c r="G6270" i="2"/>
  <c r="G6271" i="2"/>
  <c r="G6272" i="2"/>
  <c r="G6273" i="2"/>
  <c r="G6274" i="2"/>
  <c r="G6275" i="2"/>
  <c r="G6276" i="2"/>
  <c r="G6277" i="2"/>
  <c r="G6278" i="2"/>
  <c r="G6279" i="2"/>
  <c r="G6280" i="2"/>
  <c r="G6281" i="2"/>
  <c r="G6282" i="2"/>
  <c r="G6283" i="2"/>
  <c r="G6284" i="2"/>
  <c r="G6285" i="2"/>
  <c r="G6286" i="2"/>
  <c r="G6287" i="2"/>
  <c r="G6288" i="2"/>
  <c r="G6289" i="2"/>
  <c r="G6290" i="2"/>
  <c r="G6291" i="2"/>
  <c r="G6292" i="2"/>
  <c r="G6293" i="2"/>
  <c r="G6294" i="2"/>
  <c r="G6295" i="2"/>
  <c r="G6296" i="2"/>
  <c r="G6297" i="2"/>
  <c r="G6298" i="2"/>
  <c r="G6299" i="2"/>
  <c r="G6300" i="2"/>
  <c r="G6301" i="2"/>
  <c r="G6302" i="2"/>
  <c r="G6303" i="2"/>
  <c r="G6304" i="2"/>
  <c r="G6305" i="2"/>
  <c r="G6306" i="2"/>
  <c r="G6307" i="2"/>
  <c r="G6308" i="2"/>
  <c r="G6309" i="2"/>
  <c r="G6310" i="2"/>
  <c r="G6311" i="2"/>
  <c r="G6312" i="2"/>
  <c r="G6313" i="2"/>
  <c r="G6314" i="2"/>
  <c r="G6315" i="2"/>
  <c r="G6316" i="2"/>
  <c r="G6317" i="2"/>
  <c r="G6318" i="2"/>
  <c r="G6319" i="2"/>
  <c r="G6320" i="2"/>
  <c r="G6321" i="2"/>
  <c r="G6322" i="2"/>
  <c r="G6323" i="2"/>
  <c r="G6324" i="2"/>
  <c r="G6325" i="2"/>
  <c r="G6326" i="2"/>
  <c r="G6327" i="2"/>
  <c r="G6328" i="2"/>
  <c r="G6329" i="2"/>
  <c r="G6330" i="2"/>
  <c r="G6331" i="2"/>
  <c r="G6332" i="2"/>
  <c r="G6333" i="2"/>
  <c r="G6334" i="2"/>
  <c r="G6335" i="2"/>
  <c r="G6336" i="2"/>
  <c r="G6337" i="2"/>
  <c r="G6338" i="2"/>
  <c r="G6339" i="2"/>
  <c r="G6340" i="2"/>
  <c r="G6341" i="2"/>
  <c r="G6342" i="2"/>
  <c r="G6343" i="2"/>
  <c r="G6344" i="2"/>
  <c r="G6345" i="2"/>
  <c r="G6346" i="2"/>
  <c r="G6347" i="2"/>
  <c r="G6348" i="2"/>
  <c r="G6349" i="2"/>
  <c r="G6350" i="2"/>
  <c r="G6351" i="2"/>
  <c r="G6352" i="2"/>
  <c r="G6353" i="2"/>
  <c r="G6354" i="2"/>
  <c r="G6355" i="2"/>
  <c r="G6356" i="2"/>
  <c r="G6357" i="2"/>
  <c r="G6358" i="2"/>
  <c r="G6359" i="2"/>
  <c r="G6360" i="2"/>
  <c r="G6361" i="2"/>
  <c r="G6362" i="2"/>
  <c r="G6363" i="2"/>
  <c r="G6364" i="2"/>
  <c r="G6365" i="2"/>
  <c r="G6366" i="2"/>
  <c r="G6367" i="2"/>
  <c r="G6368" i="2"/>
  <c r="G6369" i="2"/>
  <c r="G6370" i="2"/>
  <c r="G6371" i="2"/>
  <c r="G6372" i="2"/>
  <c r="G6373" i="2"/>
  <c r="G6374" i="2"/>
  <c r="G6375" i="2"/>
  <c r="G6376" i="2"/>
  <c r="G6377" i="2"/>
  <c r="G6378" i="2"/>
  <c r="G6379" i="2"/>
  <c r="G6380" i="2"/>
  <c r="G6381" i="2"/>
  <c r="G6382" i="2"/>
  <c r="G6383" i="2"/>
  <c r="G6384" i="2"/>
  <c r="G6385" i="2"/>
  <c r="G6386" i="2"/>
  <c r="G6387" i="2"/>
  <c r="G6388" i="2"/>
  <c r="G6389" i="2"/>
  <c r="G6390" i="2"/>
  <c r="G6391" i="2"/>
  <c r="G6392" i="2"/>
  <c r="G6393" i="2"/>
  <c r="G6394" i="2"/>
  <c r="G6395" i="2"/>
  <c r="G6396" i="2"/>
  <c r="G6397" i="2"/>
  <c r="G6398" i="2"/>
  <c r="G6399" i="2"/>
  <c r="G6400" i="2"/>
  <c r="G6401" i="2"/>
  <c r="G6402" i="2"/>
  <c r="G6403" i="2"/>
  <c r="G6404" i="2"/>
  <c r="G6405" i="2"/>
  <c r="G6406" i="2"/>
  <c r="G6407" i="2"/>
  <c r="G6408" i="2"/>
  <c r="G6409" i="2"/>
  <c r="G6410" i="2"/>
  <c r="G6411" i="2"/>
  <c r="G6412" i="2"/>
  <c r="G6413" i="2"/>
  <c r="G6414" i="2"/>
  <c r="G6415" i="2"/>
  <c r="G6416" i="2"/>
  <c r="G6417" i="2"/>
  <c r="G6418" i="2"/>
  <c r="G6419" i="2"/>
  <c r="G6420" i="2"/>
  <c r="G6421" i="2"/>
  <c r="G6422" i="2"/>
  <c r="G6423" i="2"/>
  <c r="G6424" i="2"/>
  <c r="G6425" i="2"/>
  <c r="G6426" i="2"/>
  <c r="G6427" i="2"/>
  <c r="G6428" i="2"/>
  <c r="G6429" i="2"/>
  <c r="G6430" i="2"/>
  <c r="G6431" i="2"/>
  <c r="G6432" i="2"/>
  <c r="G6433" i="2"/>
  <c r="G6434" i="2"/>
  <c r="G6435" i="2"/>
  <c r="G6436" i="2"/>
  <c r="G6437" i="2"/>
  <c r="G6438" i="2"/>
  <c r="G6439" i="2"/>
  <c r="G6440" i="2"/>
  <c r="G6441" i="2"/>
  <c r="G6442" i="2"/>
  <c r="G6443" i="2"/>
  <c r="G6444" i="2"/>
  <c r="G6445" i="2"/>
  <c r="G6446" i="2"/>
  <c r="G6447" i="2"/>
  <c r="G6448" i="2"/>
  <c r="G6449" i="2"/>
  <c r="G6450" i="2"/>
  <c r="G6451" i="2"/>
  <c r="G6452" i="2"/>
  <c r="G6453" i="2"/>
  <c r="G6454" i="2"/>
  <c r="G6455" i="2"/>
  <c r="G6456" i="2"/>
  <c r="G6457" i="2"/>
  <c r="G6458" i="2"/>
  <c r="G6459" i="2"/>
  <c r="G6460" i="2"/>
  <c r="G6461" i="2"/>
  <c r="G6462" i="2"/>
  <c r="G6463" i="2"/>
  <c r="G6464" i="2"/>
  <c r="G6465" i="2"/>
  <c r="G6466" i="2"/>
  <c r="G6467" i="2"/>
  <c r="G6468" i="2"/>
  <c r="G6469" i="2"/>
  <c r="G6470" i="2"/>
  <c r="G6471" i="2"/>
  <c r="G6472" i="2"/>
  <c r="G6473" i="2"/>
  <c r="G6474" i="2"/>
  <c r="G6475" i="2"/>
  <c r="G6476" i="2"/>
  <c r="G6477" i="2"/>
  <c r="G6478" i="2"/>
  <c r="G6479" i="2"/>
  <c r="G6480" i="2"/>
  <c r="G6481" i="2"/>
  <c r="G6482" i="2"/>
  <c r="G6483" i="2"/>
  <c r="G6484" i="2"/>
  <c r="G6485" i="2"/>
  <c r="G6486" i="2"/>
  <c r="G6487" i="2"/>
  <c r="G6488" i="2"/>
  <c r="G6489" i="2"/>
  <c r="G6490" i="2"/>
  <c r="G6491" i="2"/>
  <c r="G6492" i="2"/>
  <c r="G6493" i="2"/>
  <c r="G6494" i="2"/>
  <c r="G6495" i="2"/>
  <c r="G6496" i="2"/>
  <c r="G6497" i="2"/>
  <c r="G6498" i="2"/>
  <c r="G6499" i="2"/>
  <c r="G6500" i="2"/>
  <c r="G6501" i="2"/>
  <c r="G6502" i="2"/>
  <c r="G6503" i="2"/>
  <c r="G6504" i="2"/>
  <c r="G6505" i="2"/>
  <c r="G6506" i="2"/>
  <c r="G6507" i="2"/>
  <c r="G6508" i="2"/>
  <c r="G6509" i="2"/>
  <c r="G6510" i="2"/>
  <c r="G6511" i="2"/>
  <c r="G6512" i="2"/>
  <c r="G6513" i="2"/>
  <c r="G6514" i="2"/>
  <c r="G6515" i="2"/>
  <c r="G6516" i="2"/>
  <c r="G6517" i="2"/>
  <c r="G6518" i="2"/>
  <c r="G6519" i="2"/>
  <c r="G6520" i="2"/>
  <c r="G6521" i="2"/>
  <c r="G6522" i="2"/>
  <c r="G6523" i="2"/>
  <c r="G6524" i="2"/>
  <c r="G6525" i="2"/>
  <c r="G6526" i="2"/>
  <c r="G6527" i="2"/>
  <c r="G6528" i="2"/>
  <c r="G6529" i="2"/>
  <c r="G6530" i="2"/>
  <c r="G6531" i="2"/>
  <c r="G6532" i="2"/>
  <c r="G6533" i="2"/>
  <c r="G6534" i="2"/>
  <c r="G6535" i="2"/>
  <c r="G6536" i="2"/>
  <c r="G6537" i="2"/>
  <c r="G6538" i="2"/>
  <c r="G6539" i="2"/>
  <c r="G6540" i="2"/>
  <c r="G6541" i="2"/>
  <c r="G6542" i="2"/>
  <c r="G6543" i="2"/>
  <c r="G6544" i="2"/>
  <c r="G6545" i="2"/>
  <c r="G6546" i="2"/>
  <c r="G6547" i="2"/>
  <c r="G6548" i="2"/>
  <c r="G6549" i="2"/>
  <c r="G6550" i="2"/>
  <c r="G6551" i="2"/>
  <c r="G6552" i="2"/>
  <c r="G6553" i="2"/>
  <c r="G6554" i="2"/>
  <c r="G6555" i="2"/>
  <c r="G6556" i="2"/>
  <c r="G6557" i="2"/>
  <c r="G6558" i="2"/>
  <c r="G6559" i="2"/>
  <c r="G6560" i="2"/>
  <c r="G6561" i="2"/>
  <c r="G6562" i="2"/>
  <c r="G6563" i="2"/>
  <c r="G6564" i="2"/>
  <c r="G6565" i="2"/>
  <c r="G6566" i="2"/>
  <c r="G6567" i="2"/>
  <c r="G6568" i="2"/>
  <c r="G6569" i="2"/>
  <c r="G6570" i="2"/>
  <c r="G6571" i="2"/>
  <c r="G6572" i="2"/>
  <c r="G6573" i="2"/>
  <c r="G6574" i="2"/>
  <c r="G6575" i="2"/>
  <c r="G6576" i="2"/>
  <c r="G6577" i="2"/>
  <c r="G6578" i="2"/>
  <c r="G6579" i="2"/>
  <c r="G6580" i="2"/>
  <c r="G6581" i="2"/>
  <c r="G6582" i="2"/>
  <c r="G6583" i="2"/>
  <c r="G6584" i="2"/>
  <c r="G6585" i="2"/>
  <c r="G6586" i="2"/>
  <c r="G6587" i="2"/>
  <c r="G6588" i="2"/>
  <c r="G6589" i="2"/>
  <c r="G6590" i="2"/>
  <c r="G6591" i="2"/>
  <c r="G6592" i="2"/>
  <c r="G6593" i="2"/>
  <c r="G6594" i="2"/>
  <c r="G6595" i="2"/>
  <c r="G6596" i="2"/>
  <c r="G6597" i="2"/>
  <c r="G6598" i="2"/>
  <c r="G6599" i="2"/>
  <c r="G6600" i="2"/>
  <c r="G6601" i="2"/>
  <c r="G6602" i="2"/>
  <c r="G6603" i="2"/>
  <c r="G6604" i="2"/>
  <c r="G6605" i="2"/>
  <c r="G6606" i="2"/>
  <c r="G6607" i="2"/>
  <c r="G6608" i="2"/>
  <c r="G6609" i="2"/>
  <c r="G6610" i="2"/>
  <c r="G6611" i="2"/>
  <c r="G6612" i="2"/>
  <c r="G6613" i="2"/>
  <c r="G6614" i="2"/>
  <c r="G6615" i="2"/>
  <c r="G6616" i="2"/>
  <c r="G6617" i="2"/>
  <c r="G6618" i="2"/>
  <c r="G6619" i="2"/>
  <c r="G6620" i="2"/>
  <c r="G6621" i="2"/>
  <c r="G6622" i="2"/>
  <c r="G6623" i="2"/>
  <c r="G6624" i="2"/>
  <c r="G6625" i="2"/>
  <c r="G6626" i="2"/>
  <c r="G6627" i="2"/>
  <c r="G6628" i="2"/>
  <c r="G6629" i="2"/>
  <c r="G6630" i="2"/>
  <c r="G6631" i="2"/>
  <c r="G6632" i="2"/>
  <c r="G6633" i="2"/>
  <c r="G6634" i="2"/>
  <c r="G6635" i="2"/>
  <c r="G6636" i="2"/>
  <c r="G6637" i="2"/>
  <c r="G6638" i="2"/>
  <c r="G6639" i="2"/>
  <c r="G6640" i="2"/>
  <c r="G6641" i="2"/>
  <c r="G6642" i="2"/>
  <c r="G6643" i="2"/>
  <c r="G6644" i="2"/>
  <c r="G6645" i="2"/>
  <c r="G6646" i="2"/>
  <c r="G6647" i="2"/>
  <c r="G6648" i="2"/>
  <c r="G6649" i="2"/>
  <c r="G6650" i="2"/>
  <c r="G6651" i="2"/>
  <c r="G6652" i="2"/>
  <c r="G6653" i="2"/>
  <c r="G6654" i="2"/>
  <c r="G6655" i="2"/>
  <c r="G6656" i="2"/>
  <c r="G6657" i="2"/>
  <c r="G6658" i="2"/>
  <c r="G6659" i="2"/>
  <c r="G6660" i="2"/>
  <c r="G6661" i="2"/>
  <c r="G6662" i="2"/>
  <c r="G6663" i="2"/>
  <c r="G6664" i="2"/>
  <c r="G6665" i="2"/>
  <c r="G6666" i="2"/>
  <c r="G6667" i="2"/>
  <c r="G6668" i="2"/>
  <c r="G6669" i="2"/>
  <c r="G6670" i="2"/>
  <c r="G6671" i="2"/>
  <c r="G6672" i="2"/>
  <c r="G6673" i="2"/>
  <c r="G6674" i="2"/>
  <c r="G6675" i="2"/>
  <c r="G6676" i="2"/>
  <c r="G6677" i="2"/>
  <c r="G6678" i="2"/>
  <c r="G6679" i="2"/>
  <c r="G6680" i="2"/>
  <c r="G6681" i="2"/>
  <c r="G6682" i="2"/>
  <c r="G6683" i="2"/>
  <c r="G6684" i="2"/>
  <c r="G6685" i="2"/>
  <c r="G6686" i="2"/>
  <c r="G6687" i="2"/>
  <c r="G6688" i="2"/>
  <c r="G6689" i="2"/>
  <c r="G6690" i="2"/>
  <c r="G6691" i="2"/>
  <c r="G6692" i="2"/>
  <c r="G6693" i="2"/>
  <c r="G6694" i="2"/>
  <c r="G6695" i="2"/>
  <c r="G6696" i="2"/>
  <c r="G6697" i="2"/>
  <c r="G6698" i="2"/>
  <c r="G6699" i="2"/>
  <c r="G6700" i="2"/>
  <c r="G6701" i="2"/>
  <c r="G6702" i="2"/>
  <c r="G6703" i="2"/>
  <c r="G6704" i="2"/>
  <c r="G6705" i="2"/>
  <c r="G6706" i="2"/>
  <c r="G6707" i="2"/>
  <c r="G6708" i="2"/>
  <c r="G6709" i="2"/>
  <c r="G6710" i="2"/>
  <c r="G6711" i="2"/>
  <c r="G6712" i="2"/>
  <c r="G6713" i="2"/>
  <c r="G6714" i="2"/>
  <c r="G6715" i="2"/>
  <c r="G6716" i="2"/>
  <c r="G6717" i="2"/>
  <c r="G6718" i="2"/>
  <c r="G6719" i="2"/>
  <c r="G6720" i="2"/>
  <c r="G6721" i="2"/>
  <c r="G6722" i="2"/>
  <c r="G6723" i="2"/>
  <c r="G6724" i="2"/>
  <c r="G6725" i="2"/>
  <c r="G6726" i="2"/>
  <c r="G6727" i="2"/>
  <c r="G6728" i="2"/>
  <c r="G6729" i="2"/>
  <c r="G6730" i="2"/>
  <c r="G6731" i="2"/>
  <c r="G6732" i="2"/>
  <c r="G6733" i="2"/>
  <c r="G6734" i="2"/>
  <c r="G6735" i="2"/>
  <c r="G6736" i="2"/>
  <c r="G6737" i="2"/>
  <c r="G6738" i="2"/>
  <c r="G6739" i="2"/>
  <c r="G6740" i="2"/>
  <c r="G6741" i="2"/>
  <c r="G6742" i="2"/>
  <c r="G6743" i="2"/>
  <c r="G6744" i="2"/>
  <c r="G6745" i="2"/>
  <c r="G6746" i="2"/>
  <c r="G6747" i="2"/>
  <c r="G6748" i="2"/>
  <c r="G6749" i="2"/>
  <c r="G6750" i="2"/>
  <c r="G6751" i="2"/>
  <c r="G6752" i="2"/>
  <c r="G6753" i="2"/>
  <c r="G6754" i="2"/>
  <c r="G6755" i="2"/>
  <c r="G6756" i="2"/>
  <c r="G6757" i="2"/>
  <c r="G6758" i="2"/>
  <c r="G6759" i="2"/>
  <c r="G6760" i="2"/>
  <c r="G6761" i="2"/>
  <c r="G6762" i="2"/>
  <c r="G6763" i="2"/>
  <c r="G6764" i="2"/>
  <c r="G6765" i="2"/>
  <c r="G6766" i="2"/>
  <c r="G6767" i="2"/>
  <c r="G6768" i="2"/>
  <c r="G6769" i="2"/>
  <c r="G6770" i="2"/>
  <c r="G6771" i="2"/>
  <c r="G6772" i="2"/>
  <c r="G6773" i="2"/>
  <c r="G6774" i="2"/>
  <c r="G6775" i="2"/>
  <c r="G6776" i="2"/>
  <c r="G6777" i="2"/>
  <c r="G6778" i="2"/>
  <c r="G6779" i="2"/>
  <c r="G6780" i="2"/>
  <c r="G6781" i="2"/>
  <c r="G6782" i="2"/>
  <c r="G6783" i="2"/>
  <c r="G6784" i="2"/>
  <c r="G6785" i="2"/>
  <c r="G6786" i="2"/>
  <c r="G6787" i="2"/>
  <c r="G6788" i="2"/>
  <c r="G6789" i="2"/>
  <c r="G6790" i="2"/>
  <c r="G6791" i="2"/>
  <c r="G6792" i="2"/>
  <c r="G6793" i="2"/>
  <c r="G6794" i="2"/>
  <c r="G6795" i="2"/>
  <c r="G6796" i="2"/>
  <c r="G6797" i="2"/>
  <c r="G6798" i="2"/>
  <c r="G6799" i="2"/>
  <c r="G6800" i="2"/>
  <c r="G6801" i="2"/>
  <c r="G6802" i="2"/>
  <c r="G6803" i="2"/>
  <c r="G6804" i="2"/>
  <c r="G6805" i="2"/>
  <c r="G6806" i="2"/>
  <c r="G6807" i="2"/>
  <c r="G6808" i="2"/>
  <c r="G6809" i="2"/>
  <c r="G6810" i="2"/>
  <c r="G6811" i="2"/>
  <c r="G6812" i="2"/>
  <c r="G6813" i="2"/>
  <c r="G6814" i="2"/>
  <c r="G6815" i="2"/>
  <c r="G6816" i="2"/>
  <c r="G6817" i="2"/>
  <c r="G6818" i="2"/>
  <c r="G6819" i="2"/>
  <c r="G6820" i="2"/>
  <c r="G6821" i="2"/>
  <c r="G6822" i="2"/>
  <c r="G6823" i="2"/>
  <c r="G6824" i="2"/>
  <c r="G6825" i="2"/>
  <c r="G6826" i="2"/>
  <c r="G6827" i="2"/>
  <c r="G6828" i="2"/>
  <c r="G6829" i="2"/>
  <c r="G6830" i="2"/>
  <c r="G6831" i="2"/>
  <c r="G6832" i="2"/>
  <c r="G6833" i="2"/>
  <c r="G6834" i="2"/>
  <c r="G6835" i="2"/>
  <c r="G6836" i="2"/>
  <c r="G6837" i="2"/>
  <c r="G6838" i="2"/>
  <c r="G6839" i="2"/>
  <c r="G6840" i="2"/>
  <c r="G6841" i="2"/>
  <c r="G6842" i="2"/>
  <c r="G6843" i="2"/>
  <c r="G6844" i="2"/>
  <c r="G6845" i="2"/>
  <c r="G6846" i="2"/>
  <c r="G6847" i="2"/>
  <c r="G6848" i="2"/>
  <c r="G6849" i="2"/>
  <c r="G6850" i="2"/>
  <c r="G6851" i="2"/>
  <c r="G6852" i="2"/>
  <c r="G6853" i="2"/>
  <c r="G6854" i="2"/>
  <c r="G6855" i="2"/>
  <c r="G6856" i="2"/>
  <c r="G6857" i="2"/>
  <c r="G6858" i="2"/>
  <c r="G6859" i="2"/>
  <c r="G6860" i="2"/>
  <c r="G6861" i="2"/>
  <c r="G6862" i="2"/>
  <c r="G6863" i="2"/>
  <c r="G6864" i="2"/>
  <c r="G6865" i="2"/>
  <c r="G6866" i="2"/>
  <c r="G6867" i="2"/>
  <c r="G6868" i="2"/>
  <c r="G6869" i="2"/>
  <c r="G6870" i="2"/>
  <c r="G6871" i="2"/>
  <c r="G6872" i="2"/>
  <c r="G6873" i="2"/>
  <c r="G6874" i="2"/>
  <c r="G6875" i="2"/>
  <c r="G6876" i="2"/>
  <c r="G6877" i="2"/>
  <c r="G6878" i="2"/>
  <c r="G6879" i="2"/>
  <c r="G6880" i="2"/>
  <c r="G6881" i="2"/>
  <c r="G6882" i="2"/>
  <c r="G6883" i="2"/>
  <c r="G6884" i="2"/>
  <c r="G6885" i="2"/>
  <c r="G6886" i="2"/>
  <c r="G6887" i="2"/>
  <c r="G6888" i="2"/>
  <c r="G6889" i="2"/>
  <c r="G6890" i="2"/>
  <c r="G6891" i="2"/>
  <c r="G6892" i="2"/>
  <c r="G6893" i="2"/>
  <c r="G6894" i="2"/>
  <c r="G6895" i="2"/>
  <c r="G6896" i="2"/>
  <c r="G6897" i="2"/>
  <c r="G6898" i="2"/>
  <c r="G6899" i="2"/>
  <c r="G6900" i="2"/>
  <c r="G6901" i="2"/>
  <c r="G6902" i="2"/>
  <c r="G6903" i="2"/>
  <c r="G6904" i="2"/>
  <c r="G6905" i="2"/>
  <c r="G6906" i="2"/>
  <c r="G6907" i="2"/>
  <c r="G6908" i="2"/>
  <c r="G6909" i="2"/>
  <c r="G6910" i="2"/>
  <c r="G6911" i="2"/>
  <c r="G6912" i="2"/>
  <c r="G6913" i="2"/>
  <c r="G6914" i="2"/>
  <c r="G6915" i="2"/>
  <c r="G6916" i="2"/>
  <c r="G6917" i="2"/>
  <c r="G6918" i="2"/>
  <c r="G6919" i="2"/>
  <c r="G6920" i="2"/>
  <c r="G6921" i="2"/>
  <c r="G6922" i="2"/>
  <c r="G6923" i="2"/>
  <c r="G6924" i="2"/>
  <c r="G6925" i="2"/>
  <c r="G6926" i="2"/>
  <c r="G6927" i="2"/>
  <c r="G6928" i="2"/>
  <c r="G6929" i="2"/>
  <c r="G6930" i="2"/>
  <c r="G6931" i="2"/>
  <c r="G6932" i="2"/>
  <c r="G6933" i="2"/>
  <c r="G6934" i="2"/>
  <c r="G6935" i="2"/>
  <c r="G6936" i="2"/>
  <c r="G6937" i="2"/>
  <c r="G6938" i="2"/>
  <c r="G6939" i="2"/>
  <c r="G6940" i="2"/>
  <c r="G6941" i="2"/>
  <c r="G6942" i="2"/>
  <c r="G6943" i="2"/>
  <c r="G6944" i="2"/>
  <c r="G6945" i="2"/>
  <c r="G6946" i="2"/>
  <c r="G6947" i="2"/>
  <c r="G6948" i="2"/>
  <c r="G6949" i="2"/>
  <c r="G6950" i="2"/>
  <c r="G6951" i="2"/>
  <c r="G6952" i="2"/>
  <c r="G6953" i="2"/>
  <c r="G6954" i="2"/>
  <c r="G6955" i="2"/>
  <c r="G6956" i="2"/>
  <c r="G6957" i="2"/>
  <c r="G6958" i="2"/>
  <c r="G6959" i="2"/>
  <c r="G6960" i="2"/>
  <c r="G6961" i="2"/>
  <c r="G6962" i="2"/>
  <c r="G6963" i="2"/>
  <c r="G6964" i="2"/>
  <c r="G6965" i="2"/>
  <c r="G6966" i="2"/>
  <c r="G6967" i="2"/>
  <c r="G6968" i="2"/>
  <c r="G6969" i="2"/>
  <c r="G6970" i="2"/>
  <c r="G6971" i="2"/>
  <c r="G6972" i="2"/>
  <c r="G6973" i="2"/>
  <c r="G6974" i="2"/>
  <c r="G6975" i="2"/>
  <c r="G6976" i="2"/>
  <c r="G6977" i="2"/>
  <c r="G6978" i="2"/>
  <c r="G6979" i="2"/>
  <c r="G6980" i="2"/>
  <c r="G6981" i="2"/>
  <c r="G6982" i="2"/>
  <c r="G6983" i="2"/>
  <c r="G6984" i="2"/>
  <c r="G6985" i="2"/>
  <c r="G6986" i="2"/>
  <c r="G6987" i="2"/>
  <c r="G6988" i="2"/>
  <c r="G6989" i="2"/>
  <c r="G6990" i="2"/>
  <c r="G6991" i="2"/>
  <c r="G6992" i="2"/>
  <c r="G6993" i="2"/>
  <c r="G6994" i="2"/>
  <c r="G6995" i="2"/>
  <c r="G6996" i="2"/>
  <c r="G6997" i="2"/>
  <c r="G6998" i="2"/>
  <c r="G6999" i="2"/>
  <c r="G7000" i="2"/>
  <c r="G7001" i="2"/>
  <c r="G7002" i="2"/>
  <c r="G7003" i="2"/>
  <c r="G7004" i="2"/>
  <c r="G7005" i="2"/>
  <c r="G7006" i="2"/>
  <c r="G7007" i="2"/>
  <c r="G7008" i="2"/>
  <c r="G7009" i="2"/>
  <c r="G7010" i="2"/>
  <c r="G7011" i="2"/>
  <c r="G7012" i="2"/>
  <c r="G7013" i="2"/>
  <c r="G7014" i="2"/>
  <c r="G7015" i="2"/>
  <c r="G7016" i="2"/>
  <c r="G7017" i="2"/>
  <c r="G7018" i="2"/>
  <c r="G7019" i="2"/>
  <c r="G7020" i="2"/>
  <c r="G7021" i="2"/>
  <c r="G7022" i="2"/>
  <c r="G7023" i="2"/>
  <c r="G7024" i="2"/>
  <c r="G7025" i="2"/>
  <c r="G7026" i="2"/>
  <c r="G7027" i="2"/>
  <c r="G7028" i="2"/>
  <c r="G7029" i="2"/>
  <c r="G7030" i="2"/>
  <c r="G7031" i="2"/>
  <c r="G7032" i="2"/>
  <c r="G7033" i="2"/>
  <c r="G7034" i="2"/>
  <c r="G7035" i="2"/>
  <c r="G7036" i="2"/>
  <c r="G7037" i="2"/>
  <c r="G7038" i="2"/>
  <c r="G7039" i="2"/>
  <c r="G7040" i="2"/>
  <c r="G7041" i="2"/>
  <c r="G7042" i="2"/>
  <c r="G7043" i="2"/>
  <c r="G7044" i="2"/>
  <c r="G7045" i="2"/>
  <c r="G7046" i="2"/>
  <c r="G7047" i="2"/>
  <c r="G7048" i="2"/>
  <c r="G7049" i="2"/>
  <c r="G7050" i="2"/>
  <c r="G7051" i="2"/>
  <c r="G7052" i="2"/>
  <c r="G7053" i="2"/>
  <c r="G7054" i="2"/>
  <c r="G7055" i="2"/>
  <c r="G7056" i="2"/>
  <c r="G7057" i="2"/>
  <c r="G7058" i="2"/>
  <c r="G7059" i="2"/>
  <c r="G7060" i="2"/>
  <c r="G7061" i="2"/>
  <c r="G7062" i="2"/>
  <c r="G7063" i="2"/>
  <c r="G7064" i="2"/>
  <c r="G7065" i="2"/>
  <c r="G7066" i="2"/>
  <c r="G7067" i="2"/>
  <c r="G7068" i="2"/>
  <c r="G7069" i="2"/>
  <c r="G7070" i="2"/>
  <c r="G7071" i="2"/>
  <c r="G7072" i="2"/>
  <c r="G7073" i="2"/>
  <c r="G7074" i="2"/>
  <c r="G7075" i="2"/>
  <c r="G7076" i="2"/>
  <c r="G7077" i="2"/>
  <c r="G7078" i="2"/>
  <c r="G7079" i="2"/>
  <c r="G7080" i="2"/>
  <c r="G7081" i="2"/>
  <c r="G7082" i="2"/>
  <c r="G7083" i="2"/>
  <c r="G7084" i="2"/>
  <c r="G7085" i="2"/>
  <c r="G7086" i="2"/>
  <c r="G7087" i="2"/>
  <c r="G7088" i="2"/>
  <c r="G7089" i="2"/>
  <c r="G7090" i="2"/>
  <c r="G7091" i="2"/>
  <c r="G7092" i="2"/>
  <c r="G7093" i="2"/>
  <c r="G7094" i="2"/>
  <c r="G7095" i="2"/>
  <c r="G7096" i="2"/>
  <c r="G7097" i="2"/>
  <c r="G7098" i="2"/>
  <c r="G7099" i="2"/>
  <c r="G7100" i="2"/>
  <c r="G7101" i="2"/>
  <c r="G7102" i="2"/>
  <c r="G7103" i="2"/>
  <c r="G7104" i="2"/>
  <c r="G7105" i="2"/>
  <c r="G7106" i="2"/>
  <c r="G7107" i="2"/>
  <c r="G7108" i="2"/>
  <c r="G7109" i="2"/>
  <c r="G7110" i="2"/>
  <c r="G7111" i="2"/>
  <c r="G7112" i="2"/>
  <c r="G7113" i="2"/>
  <c r="G7114" i="2"/>
  <c r="G7115" i="2"/>
  <c r="G7116" i="2"/>
  <c r="G7117" i="2"/>
  <c r="G7118" i="2"/>
  <c r="G7119" i="2"/>
  <c r="G7120" i="2"/>
  <c r="G7121" i="2"/>
  <c r="G7122" i="2"/>
  <c r="G7123" i="2"/>
  <c r="G7124" i="2"/>
  <c r="G7125" i="2"/>
  <c r="G7126" i="2"/>
  <c r="G7127" i="2"/>
  <c r="G7128" i="2"/>
  <c r="G7129" i="2"/>
  <c r="G7130" i="2"/>
  <c r="G7131" i="2"/>
  <c r="G7132" i="2"/>
  <c r="G7133" i="2"/>
  <c r="G7134" i="2"/>
  <c r="G7135" i="2"/>
  <c r="G7136" i="2"/>
  <c r="G7137" i="2"/>
  <c r="G7138" i="2"/>
  <c r="G7139" i="2"/>
  <c r="G7140" i="2"/>
  <c r="G7141" i="2"/>
  <c r="G7142" i="2"/>
  <c r="G7143" i="2"/>
  <c r="G7144" i="2"/>
  <c r="G7145" i="2"/>
  <c r="G7146" i="2"/>
  <c r="G7147" i="2"/>
  <c r="G7148" i="2"/>
  <c r="G7149" i="2"/>
  <c r="G7150" i="2"/>
  <c r="G7151" i="2"/>
  <c r="G7152" i="2"/>
  <c r="G7153" i="2"/>
  <c r="G7154" i="2"/>
  <c r="G7155" i="2"/>
  <c r="G7156" i="2"/>
  <c r="G7157" i="2"/>
  <c r="G7158" i="2"/>
  <c r="G7159" i="2"/>
  <c r="G7160" i="2"/>
  <c r="G7161" i="2"/>
  <c r="G7162" i="2"/>
  <c r="G7163" i="2"/>
  <c r="G7164" i="2"/>
  <c r="G7165" i="2"/>
  <c r="G7166" i="2"/>
  <c r="G7167" i="2"/>
  <c r="G7168" i="2"/>
  <c r="G7169" i="2"/>
  <c r="G7170" i="2"/>
  <c r="G7171" i="2"/>
  <c r="G7172" i="2"/>
  <c r="G7173" i="2"/>
  <c r="G7174" i="2"/>
  <c r="G7175" i="2"/>
  <c r="G7176" i="2"/>
  <c r="G7177" i="2"/>
  <c r="G7178" i="2"/>
  <c r="G7179" i="2"/>
  <c r="G7180" i="2"/>
  <c r="G7181" i="2"/>
  <c r="G7182" i="2"/>
  <c r="G7183" i="2"/>
  <c r="G7184" i="2"/>
  <c r="G7185" i="2"/>
  <c r="G7186" i="2"/>
  <c r="G7187" i="2"/>
  <c r="G7188" i="2"/>
  <c r="G7189" i="2"/>
  <c r="G7190" i="2"/>
  <c r="G7191" i="2"/>
  <c r="G7192" i="2"/>
  <c r="G7193" i="2"/>
  <c r="G7194" i="2"/>
  <c r="G7195" i="2"/>
  <c r="G7196" i="2"/>
  <c r="G7197" i="2"/>
  <c r="G7198" i="2"/>
  <c r="G7199" i="2"/>
  <c r="G7200" i="2"/>
  <c r="G7201" i="2"/>
  <c r="G7202" i="2"/>
  <c r="G7203" i="2"/>
  <c r="G7204" i="2"/>
  <c r="G7205" i="2"/>
  <c r="G7206" i="2"/>
  <c r="G7207" i="2"/>
  <c r="G7208" i="2"/>
  <c r="G7209" i="2"/>
  <c r="G7210" i="2"/>
  <c r="G7211" i="2"/>
  <c r="G7212" i="2"/>
  <c r="G7213" i="2"/>
  <c r="G7214" i="2"/>
  <c r="G7215" i="2"/>
  <c r="G7216" i="2"/>
  <c r="G7217" i="2"/>
  <c r="G7218" i="2"/>
  <c r="G7219" i="2"/>
  <c r="G7220" i="2"/>
  <c r="G7221" i="2"/>
  <c r="G7222" i="2"/>
  <c r="G7223" i="2"/>
  <c r="G7224" i="2"/>
  <c r="G7225" i="2"/>
  <c r="G7226" i="2"/>
  <c r="G7227" i="2"/>
  <c r="G7228" i="2"/>
  <c r="G7229" i="2"/>
  <c r="G7230" i="2"/>
  <c r="G7231" i="2"/>
  <c r="G7232" i="2"/>
  <c r="G7233" i="2"/>
  <c r="G7234" i="2"/>
  <c r="G7235" i="2"/>
  <c r="G7236" i="2"/>
  <c r="G7237" i="2"/>
  <c r="G7238" i="2"/>
  <c r="G7239" i="2"/>
  <c r="G7240" i="2"/>
  <c r="G7241" i="2"/>
  <c r="G7242" i="2"/>
  <c r="G7243" i="2"/>
  <c r="G7244" i="2"/>
  <c r="G7245" i="2"/>
  <c r="G7246" i="2"/>
  <c r="G7247" i="2"/>
  <c r="G7248" i="2"/>
  <c r="G7249" i="2"/>
  <c r="G7250" i="2"/>
  <c r="G7251" i="2"/>
  <c r="G7252" i="2"/>
  <c r="G7253" i="2"/>
  <c r="G7254" i="2"/>
  <c r="G7255" i="2"/>
  <c r="G7256" i="2"/>
  <c r="G7257" i="2"/>
  <c r="G7258" i="2"/>
  <c r="G7259" i="2"/>
  <c r="G7260" i="2"/>
  <c r="G7261" i="2"/>
  <c r="G7262" i="2"/>
  <c r="G7263" i="2"/>
  <c r="G7264" i="2"/>
  <c r="G7265" i="2"/>
  <c r="G7266" i="2"/>
  <c r="G7267" i="2"/>
  <c r="G7268" i="2"/>
  <c r="G7269" i="2"/>
  <c r="G7270" i="2"/>
  <c r="G7271" i="2"/>
  <c r="G7272" i="2"/>
  <c r="G7273" i="2"/>
  <c r="G7274" i="2"/>
  <c r="G7275" i="2"/>
  <c r="G7276" i="2"/>
  <c r="G7277" i="2"/>
  <c r="G7278" i="2"/>
  <c r="G7279" i="2"/>
  <c r="G7280" i="2"/>
  <c r="G7281" i="2"/>
  <c r="G7282" i="2"/>
  <c r="G7283" i="2"/>
  <c r="G7284" i="2"/>
  <c r="G7285" i="2"/>
  <c r="G7286" i="2"/>
  <c r="G7287" i="2"/>
  <c r="G7288" i="2"/>
  <c r="G7289" i="2"/>
  <c r="G7290" i="2"/>
  <c r="G7291" i="2"/>
  <c r="G7292" i="2"/>
  <c r="G7293" i="2"/>
  <c r="G7294" i="2"/>
  <c r="G7295" i="2"/>
  <c r="G7296" i="2"/>
  <c r="G7297" i="2"/>
  <c r="G7298" i="2"/>
  <c r="G7299" i="2"/>
  <c r="G7300" i="2"/>
  <c r="G7301" i="2"/>
  <c r="G7302" i="2"/>
  <c r="G7303" i="2"/>
  <c r="G7304" i="2"/>
  <c r="G7305" i="2"/>
  <c r="G7306" i="2"/>
  <c r="G7307" i="2"/>
  <c r="G7308" i="2"/>
  <c r="G7309" i="2"/>
  <c r="G7310" i="2"/>
  <c r="G7311" i="2"/>
  <c r="G7312" i="2"/>
  <c r="G7313" i="2"/>
  <c r="G7314" i="2"/>
  <c r="G7315" i="2"/>
  <c r="G7316" i="2"/>
  <c r="G7317" i="2"/>
  <c r="G7318" i="2"/>
  <c r="G7319" i="2"/>
  <c r="G7320" i="2"/>
  <c r="G7321" i="2"/>
  <c r="G7322" i="2"/>
  <c r="G7323" i="2"/>
  <c r="G7324" i="2"/>
  <c r="G7325" i="2"/>
  <c r="G7326" i="2"/>
  <c r="G7327" i="2"/>
  <c r="G7328" i="2"/>
  <c r="G7329" i="2"/>
  <c r="G7330" i="2"/>
  <c r="G7331" i="2"/>
  <c r="G7332" i="2"/>
  <c r="G7333" i="2"/>
  <c r="G7334" i="2"/>
  <c r="G7335" i="2"/>
  <c r="G7336" i="2"/>
  <c r="G7337" i="2"/>
  <c r="G7338" i="2"/>
  <c r="G7339" i="2"/>
  <c r="G7340" i="2"/>
  <c r="G7341" i="2"/>
  <c r="G7342" i="2"/>
  <c r="G7343" i="2"/>
  <c r="G7344" i="2"/>
  <c r="G7345" i="2"/>
  <c r="G7346" i="2"/>
  <c r="G7347" i="2"/>
  <c r="G7348" i="2"/>
  <c r="G7349" i="2"/>
  <c r="G7350" i="2"/>
  <c r="G7351" i="2"/>
  <c r="G7352" i="2"/>
  <c r="G7353" i="2"/>
  <c r="G7354" i="2"/>
  <c r="G7355" i="2"/>
  <c r="G7356" i="2"/>
  <c r="G7357" i="2"/>
  <c r="G7358" i="2"/>
  <c r="G7359" i="2"/>
  <c r="G7360" i="2"/>
  <c r="G7361" i="2"/>
  <c r="G7362" i="2"/>
  <c r="G7363" i="2"/>
  <c r="G7364" i="2"/>
  <c r="G7365" i="2"/>
  <c r="G7366" i="2"/>
  <c r="G7367" i="2"/>
  <c r="G7368" i="2"/>
  <c r="G7369" i="2"/>
  <c r="G7370" i="2"/>
  <c r="G7371" i="2"/>
  <c r="G7372" i="2"/>
  <c r="G7373" i="2"/>
  <c r="G7374" i="2"/>
  <c r="G7375" i="2"/>
  <c r="G7376" i="2"/>
  <c r="G7377" i="2"/>
  <c r="G7378" i="2"/>
  <c r="G7379" i="2"/>
  <c r="G7380" i="2"/>
  <c r="G7381" i="2"/>
  <c r="G7382" i="2"/>
  <c r="G7383" i="2"/>
  <c r="G7384" i="2"/>
  <c r="G7385" i="2"/>
  <c r="G7386" i="2"/>
  <c r="G7387" i="2"/>
  <c r="G7388" i="2"/>
  <c r="G7389" i="2"/>
  <c r="G7390" i="2"/>
  <c r="G7391" i="2"/>
  <c r="G7392" i="2"/>
  <c r="G7393" i="2"/>
  <c r="G7394" i="2"/>
  <c r="G7395" i="2"/>
  <c r="G7396" i="2"/>
  <c r="G7397" i="2"/>
  <c r="G7398" i="2"/>
  <c r="G7399" i="2"/>
  <c r="G7400" i="2"/>
  <c r="G7401" i="2"/>
  <c r="G7402" i="2"/>
  <c r="G7403" i="2"/>
  <c r="G7404" i="2"/>
  <c r="G7405" i="2"/>
  <c r="G7406" i="2"/>
  <c r="G7407" i="2"/>
  <c r="G7408" i="2"/>
  <c r="G7409" i="2"/>
  <c r="G7410" i="2"/>
  <c r="G7411" i="2"/>
  <c r="G7412" i="2"/>
  <c r="G7413" i="2"/>
  <c r="G7414" i="2"/>
  <c r="G7415" i="2"/>
  <c r="G7416" i="2"/>
  <c r="G7417" i="2"/>
  <c r="G7418" i="2"/>
  <c r="G7419" i="2"/>
  <c r="G7420" i="2"/>
  <c r="G7421" i="2"/>
  <c r="G7422" i="2"/>
  <c r="G7423" i="2"/>
  <c r="G7424" i="2"/>
  <c r="G7425" i="2"/>
  <c r="G7426" i="2"/>
  <c r="G7427" i="2"/>
  <c r="G7428" i="2"/>
  <c r="G7429" i="2"/>
  <c r="G7430" i="2"/>
  <c r="G7431" i="2"/>
  <c r="G7432" i="2"/>
  <c r="G7433" i="2"/>
  <c r="G7434" i="2"/>
  <c r="G7435" i="2"/>
  <c r="G7436" i="2"/>
  <c r="G7437" i="2"/>
  <c r="G7438" i="2"/>
  <c r="G7439" i="2"/>
  <c r="G7440" i="2"/>
  <c r="G7441" i="2"/>
  <c r="G7442" i="2"/>
  <c r="G7443" i="2"/>
  <c r="G7444" i="2"/>
  <c r="G7445" i="2"/>
  <c r="G7446" i="2"/>
  <c r="G7447" i="2"/>
  <c r="G7448" i="2"/>
  <c r="G7449" i="2"/>
  <c r="G7450" i="2"/>
  <c r="G7451" i="2"/>
  <c r="G7452" i="2"/>
  <c r="G7453" i="2"/>
  <c r="G7454" i="2"/>
  <c r="G7455" i="2"/>
  <c r="G7456" i="2"/>
  <c r="G7457" i="2"/>
  <c r="G7458" i="2"/>
  <c r="G7459" i="2"/>
  <c r="G7460" i="2"/>
  <c r="G7461" i="2"/>
  <c r="G7462" i="2"/>
  <c r="G7463" i="2"/>
  <c r="G7464" i="2"/>
  <c r="G7465" i="2"/>
  <c r="G7466" i="2"/>
  <c r="G7467" i="2"/>
  <c r="G7468" i="2"/>
  <c r="G7469" i="2"/>
  <c r="G7470" i="2"/>
  <c r="G7471" i="2"/>
  <c r="G7472" i="2"/>
  <c r="G7473" i="2"/>
  <c r="G7474" i="2"/>
  <c r="G7475" i="2"/>
  <c r="G7476" i="2"/>
  <c r="G7477" i="2"/>
  <c r="G7478" i="2"/>
  <c r="G7479" i="2"/>
  <c r="G7480" i="2"/>
  <c r="G7481" i="2"/>
  <c r="G7482" i="2"/>
  <c r="G7483" i="2"/>
  <c r="G7484" i="2"/>
  <c r="G7485" i="2"/>
  <c r="G7486" i="2"/>
  <c r="G7487" i="2"/>
  <c r="G7488" i="2"/>
  <c r="G7489" i="2"/>
  <c r="G7490" i="2"/>
  <c r="G7491" i="2"/>
  <c r="G7492" i="2"/>
  <c r="G7493" i="2"/>
  <c r="G7494" i="2"/>
  <c r="G7495" i="2"/>
  <c r="G7496" i="2"/>
  <c r="G7497" i="2"/>
  <c r="G7498" i="2"/>
  <c r="G7499" i="2"/>
  <c r="G7500" i="2"/>
  <c r="G7501" i="2"/>
  <c r="G7502" i="2"/>
  <c r="G7503" i="2"/>
  <c r="G7504" i="2"/>
  <c r="G7505" i="2"/>
  <c r="G7506" i="2"/>
  <c r="G7507" i="2"/>
  <c r="G7508" i="2"/>
  <c r="G7509" i="2"/>
  <c r="G7510" i="2"/>
  <c r="G7511" i="2"/>
  <c r="G7512" i="2"/>
  <c r="G7513" i="2"/>
  <c r="G7514" i="2"/>
  <c r="G7515" i="2"/>
  <c r="G7516" i="2"/>
  <c r="G7517" i="2"/>
  <c r="G7518" i="2"/>
  <c r="G7519" i="2"/>
  <c r="G7520" i="2"/>
  <c r="G7521" i="2"/>
  <c r="G7522" i="2"/>
  <c r="G7523" i="2"/>
  <c r="G7524" i="2"/>
  <c r="G7525" i="2"/>
  <c r="G7526" i="2"/>
  <c r="G7527" i="2"/>
  <c r="G7528" i="2"/>
  <c r="G7529" i="2"/>
  <c r="G7530" i="2"/>
  <c r="G7531" i="2"/>
  <c r="G7532" i="2"/>
  <c r="G7533" i="2"/>
  <c r="G7534" i="2"/>
  <c r="G7535" i="2"/>
  <c r="G7536" i="2"/>
  <c r="G7537" i="2"/>
  <c r="G7538" i="2"/>
  <c r="G7539" i="2"/>
  <c r="G7540" i="2"/>
  <c r="G7541" i="2"/>
  <c r="G7542" i="2"/>
  <c r="G7543" i="2"/>
  <c r="G7544" i="2"/>
  <c r="G7545" i="2"/>
  <c r="G7546" i="2"/>
  <c r="G7547" i="2"/>
  <c r="G7548" i="2"/>
  <c r="G7549" i="2"/>
  <c r="G7550" i="2"/>
  <c r="G7551" i="2"/>
  <c r="G7552" i="2"/>
  <c r="G7553" i="2"/>
  <c r="G7554" i="2"/>
  <c r="G7555" i="2"/>
  <c r="G7556" i="2"/>
  <c r="G7557" i="2"/>
  <c r="G7558" i="2"/>
  <c r="G7559" i="2"/>
  <c r="G7560" i="2"/>
  <c r="G7561" i="2"/>
  <c r="G7562" i="2"/>
  <c r="G7563" i="2"/>
  <c r="G7564" i="2"/>
  <c r="G7565" i="2"/>
  <c r="G7566" i="2"/>
  <c r="G7567" i="2"/>
  <c r="G7568" i="2"/>
  <c r="G7569" i="2"/>
  <c r="G7570" i="2"/>
  <c r="G7571" i="2"/>
  <c r="G7572" i="2"/>
  <c r="G7573" i="2"/>
  <c r="G7574" i="2"/>
  <c r="G7575" i="2"/>
  <c r="G7576" i="2"/>
  <c r="G7577" i="2"/>
  <c r="G7578" i="2"/>
  <c r="G7579" i="2"/>
  <c r="G7580" i="2"/>
  <c r="G7581" i="2"/>
  <c r="G7582" i="2"/>
  <c r="G7583" i="2"/>
  <c r="G7584" i="2"/>
  <c r="G7585" i="2"/>
  <c r="G7586" i="2"/>
  <c r="G7587" i="2"/>
  <c r="G7588" i="2"/>
  <c r="G7589" i="2"/>
  <c r="G7590" i="2"/>
  <c r="G7591" i="2"/>
  <c r="G7592" i="2"/>
  <c r="G7593" i="2"/>
  <c r="G7594" i="2"/>
  <c r="G7595" i="2"/>
  <c r="G7596" i="2"/>
  <c r="G7597" i="2"/>
  <c r="G7598" i="2"/>
  <c r="G7599" i="2"/>
  <c r="G7600" i="2"/>
  <c r="G7601" i="2"/>
  <c r="G7602" i="2"/>
  <c r="G7603" i="2"/>
  <c r="G7604" i="2"/>
  <c r="G7605" i="2"/>
  <c r="G7606" i="2"/>
  <c r="G7607" i="2"/>
  <c r="G7608" i="2"/>
  <c r="G7609" i="2"/>
  <c r="G7610" i="2"/>
  <c r="G7611" i="2"/>
  <c r="G7612" i="2"/>
  <c r="G7613" i="2"/>
  <c r="G7614" i="2"/>
  <c r="G7615" i="2"/>
  <c r="G7616" i="2"/>
  <c r="G7617" i="2"/>
  <c r="G7618" i="2"/>
  <c r="G7619" i="2"/>
  <c r="G7620" i="2"/>
  <c r="G7621" i="2"/>
  <c r="G7622" i="2"/>
  <c r="G7623" i="2"/>
  <c r="G7624" i="2"/>
  <c r="G7625" i="2"/>
  <c r="G7626" i="2"/>
  <c r="G7627" i="2"/>
  <c r="G7628" i="2"/>
  <c r="G7629" i="2"/>
  <c r="G7630" i="2"/>
  <c r="G7631" i="2"/>
  <c r="G7632" i="2"/>
  <c r="G7633" i="2"/>
  <c r="G7634" i="2"/>
  <c r="G7635" i="2"/>
  <c r="G7636" i="2"/>
  <c r="G7637" i="2"/>
  <c r="G7638" i="2"/>
  <c r="G7639" i="2"/>
  <c r="G7640" i="2"/>
  <c r="G7641" i="2"/>
  <c r="G7642" i="2"/>
  <c r="G7643" i="2"/>
  <c r="G7644" i="2"/>
  <c r="G7645" i="2"/>
  <c r="G7646" i="2"/>
  <c r="G7647" i="2"/>
  <c r="G7648" i="2"/>
  <c r="G7649" i="2"/>
  <c r="G7650" i="2"/>
  <c r="G7651" i="2"/>
  <c r="G7652" i="2"/>
  <c r="G7653" i="2"/>
  <c r="G7654" i="2"/>
  <c r="G7655" i="2"/>
  <c r="G7656" i="2"/>
  <c r="G7657" i="2"/>
  <c r="G7658" i="2"/>
  <c r="G7659" i="2"/>
  <c r="G7660" i="2"/>
  <c r="G7661" i="2"/>
  <c r="G7662" i="2"/>
  <c r="G7663" i="2"/>
  <c r="G7664" i="2"/>
  <c r="G7665" i="2"/>
  <c r="G7666" i="2"/>
  <c r="G7667" i="2"/>
  <c r="G7668" i="2"/>
  <c r="G7669" i="2"/>
  <c r="G7670" i="2"/>
  <c r="G7671" i="2"/>
  <c r="G7672" i="2"/>
  <c r="G7673" i="2"/>
  <c r="G7674" i="2"/>
  <c r="G7675" i="2"/>
  <c r="G7676" i="2"/>
  <c r="G7677" i="2"/>
  <c r="G7678" i="2"/>
  <c r="G7679" i="2"/>
  <c r="G7680" i="2"/>
  <c r="G7681" i="2"/>
  <c r="G7682" i="2"/>
  <c r="G7683" i="2"/>
  <c r="G7684" i="2"/>
  <c r="G7685" i="2"/>
  <c r="G7686" i="2"/>
  <c r="G7687" i="2"/>
  <c r="G7688" i="2"/>
  <c r="G7689" i="2"/>
  <c r="G7690" i="2"/>
  <c r="G7691" i="2"/>
  <c r="G7692" i="2"/>
  <c r="G7693" i="2"/>
  <c r="G7694" i="2"/>
  <c r="G7695" i="2"/>
  <c r="G7696" i="2"/>
  <c r="G7697" i="2"/>
  <c r="G7698" i="2"/>
  <c r="G7699" i="2"/>
  <c r="G7700" i="2"/>
  <c r="G7701" i="2"/>
  <c r="G7702" i="2"/>
  <c r="G7703" i="2"/>
  <c r="G7704" i="2"/>
  <c r="G7705" i="2"/>
  <c r="G7706" i="2"/>
  <c r="G7707" i="2"/>
  <c r="G7708" i="2"/>
  <c r="G7709" i="2"/>
  <c r="G7710" i="2"/>
  <c r="G7711" i="2"/>
  <c r="G7712" i="2"/>
  <c r="G7713" i="2"/>
  <c r="G7714" i="2"/>
  <c r="G7715" i="2"/>
  <c r="G7716" i="2"/>
  <c r="G7717" i="2"/>
  <c r="G7718" i="2"/>
  <c r="G7719" i="2"/>
  <c r="G7720" i="2"/>
  <c r="G7721" i="2"/>
  <c r="G7722" i="2"/>
  <c r="G7723" i="2"/>
  <c r="G7724" i="2"/>
  <c r="G7725" i="2"/>
  <c r="G7726" i="2"/>
  <c r="G7727" i="2"/>
  <c r="G7728" i="2"/>
  <c r="G7729" i="2"/>
  <c r="G7730" i="2"/>
  <c r="G7731" i="2"/>
  <c r="G7732" i="2"/>
  <c r="G7733" i="2"/>
  <c r="G7734" i="2"/>
  <c r="G7735" i="2"/>
  <c r="G7736" i="2"/>
  <c r="G7737" i="2"/>
  <c r="G7738" i="2"/>
  <c r="G7739" i="2"/>
  <c r="G7740" i="2"/>
  <c r="G7741" i="2"/>
  <c r="G7742" i="2"/>
  <c r="G7743" i="2"/>
  <c r="G7744" i="2"/>
  <c r="G7745" i="2"/>
  <c r="G7746" i="2"/>
  <c r="G7747" i="2"/>
  <c r="G7748" i="2"/>
  <c r="G7749" i="2"/>
  <c r="G7750" i="2"/>
  <c r="G7751" i="2"/>
  <c r="G7752" i="2"/>
  <c r="G7753" i="2"/>
  <c r="G7754" i="2"/>
  <c r="G7755" i="2"/>
  <c r="G7756" i="2"/>
  <c r="G7757" i="2"/>
  <c r="G7758" i="2"/>
  <c r="G7759" i="2"/>
  <c r="G7760" i="2"/>
  <c r="G7761" i="2"/>
  <c r="G7762" i="2"/>
  <c r="G7763" i="2"/>
  <c r="G7764" i="2"/>
  <c r="G7765" i="2"/>
  <c r="G7766" i="2"/>
  <c r="G7767" i="2"/>
  <c r="G7768" i="2"/>
  <c r="G7769" i="2"/>
  <c r="G7770" i="2"/>
  <c r="G7771" i="2"/>
  <c r="G7772" i="2"/>
  <c r="G7773" i="2"/>
  <c r="G7774" i="2"/>
  <c r="G7775" i="2"/>
  <c r="G7776" i="2"/>
  <c r="G7777" i="2"/>
  <c r="G7778" i="2"/>
  <c r="G7779" i="2"/>
  <c r="G7780" i="2"/>
  <c r="G7781" i="2"/>
  <c r="G7782" i="2"/>
  <c r="G7783" i="2"/>
  <c r="G7784" i="2"/>
  <c r="G7785" i="2"/>
  <c r="G7786" i="2"/>
  <c r="G7787" i="2"/>
  <c r="G7788" i="2"/>
  <c r="G7789" i="2"/>
  <c r="G7790" i="2"/>
  <c r="G7791" i="2"/>
  <c r="G7792" i="2"/>
  <c r="G7793" i="2"/>
  <c r="G7794" i="2"/>
  <c r="G7795" i="2"/>
  <c r="G7796" i="2"/>
  <c r="G7797" i="2"/>
  <c r="G7798" i="2"/>
  <c r="G7799" i="2"/>
  <c r="G7800" i="2"/>
  <c r="G7801" i="2"/>
  <c r="G7802" i="2"/>
  <c r="G7803" i="2"/>
  <c r="G7804" i="2"/>
  <c r="G7805" i="2"/>
  <c r="G7806" i="2"/>
  <c r="G7807" i="2"/>
  <c r="G7808" i="2"/>
  <c r="G7809" i="2"/>
  <c r="G7810" i="2"/>
  <c r="G7811" i="2"/>
  <c r="G7812" i="2"/>
  <c r="G7813" i="2"/>
  <c r="G7814" i="2"/>
  <c r="G7815" i="2"/>
  <c r="G7816" i="2"/>
  <c r="G7817" i="2"/>
  <c r="G7818" i="2"/>
  <c r="G7819" i="2"/>
  <c r="G7820" i="2"/>
  <c r="G7821" i="2"/>
  <c r="G7822" i="2"/>
  <c r="G7823" i="2"/>
  <c r="G7824" i="2"/>
  <c r="G7825" i="2"/>
  <c r="G7826" i="2"/>
  <c r="G7827" i="2"/>
  <c r="G7828" i="2"/>
  <c r="G7829" i="2"/>
  <c r="G7830" i="2"/>
  <c r="G7831" i="2"/>
  <c r="G7832" i="2"/>
  <c r="G7833" i="2"/>
  <c r="G7834" i="2"/>
  <c r="G7835" i="2"/>
  <c r="G7836" i="2"/>
  <c r="G7837" i="2"/>
  <c r="G7838" i="2"/>
  <c r="G7839" i="2"/>
  <c r="G7840" i="2"/>
  <c r="G7841" i="2"/>
  <c r="G7842" i="2"/>
  <c r="G7843" i="2"/>
  <c r="G7844" i="2"/>
  <c r="G7845" i="2"/>
  <c r="G7846" i="2"/>
  <c r="G7847" i="2"/>
  <c r="G7848" i="2"/>
  <c r="G7849" i="2"/>
  <c r="G7850" i="2"/>
  <c r="G7851" i="2"/>
  <c r="G7852" i="2"/>
  <c r="G7853" i="2"/>
  <c r="G7854" i="2"/>
  <c r="G7855" i="2"/>
  <c r="G7856" i="2"/>
  <c r="G7857" i="2"/>
  <c r="G7858" i="2"/>
  <c r="G7859" i="2"/>
  <c r="G7860" i="2"/>
  <c r="G7861" i="2"/>
  <c r="G7862" i="2"/>
  <c r="G7863" i="2"/>
  <c r="G7864" i="2"/>
  <c r="G7865" i="2"/>
  <c r="G7866" i="2"/>
  <c r="G7867" i="2"/>
  <c r="G7868" i="2"/>
  <c r="G7869" i="2"/>
  <c r="G7870" i="2"/>
  <c r="G7871" i="2"/>
  <c r="G7872" i="2"/>
  <c r="G7873" i="2"/>
  <c r="G7874" i="2"/>
  <c r="G7875" i="2"/>
  <c r="G7876" i="2"/>
  <c r="G7877" i="2"/>
  <c r="G7878" i="2"/>
  <c r="G7879" i="2"/>
  <c r="G7880" i="2"/>
  <c r="G7881" i="2"/>
  <c r="G7882" i="2"/>
  <c r="G7883" i="2"/>
  <c r="G7884" i="2"/>
  <c r="G7885" i="2"/>
  <c r="G7886" i="2"/>
  <c r="G7887" i="2"/>
  <c r="G7888" i="2"/>
  <c r="G7889" i="2"/>
  <c r="G7890" i="2"/>
  <c r="G7891" i="2"/>
  <c r="G7892" i="2"/>
  <c r="G7893" i="2"/>
  <c r="G7894" i="2"/>
  <c r="G7895" i="2"/>
  <c r="G7896" i="2"/>
  <c r="G7897" i="2"/>
  <c r="G7898" i="2"/>
  <c r="G7899" i="2"/>
  <c r="G7900" i="2"/>
  <c r="G7901" i="2"/>
  <c r="G7902" i="2"/>
  <c r="G7903" i="2"/>
  <c r="G7904" i="2"/>
  <c r="G7905" i="2"/>
  <c r="G7906" i="2"/>
  <c r="G7907" i="2"/>
  <c r="G7908" i="2"/>
  <c r="G7909" i="2"/>
  <c r="G7910" i="2"/>
  <c r="G7911" i="2"/>
  <c r="G7912" i="2"/>
  <c r="G7913" i="2"/>
  <c r="G7914" i="2"/>
  <c r="G7915" i="2"/>
  <c r="G7916" i="2"/>
  <c r="G7917" i="2"/>
  <c r="G7918" i="2"/>
  <c r="G7919" i="2"/>
  <c r="G7920" i="2"/>
  <c r="G7921" i="2"/>
  <c r="G7922" i="2"/>
  <c r="G7923" i="2"/>
  <c r="G7924" i="2"/>
  <c r="G7925" i="2"/>
  <c r="G7926" i="2"/>
  <c r="G7927" i="2"/>
  <c r="G7928" i="2"/>
  <c r="G7929" i="2"/>
  <c r="G7930" i="2"/>
  <c r="G7931" i="2"/>
  <c r="G7932" i="2"/>
  <c r="G7933" i="2"/>
  <c r="G7934" i="2"/>
  <c r="G7935" i="2"/>
  <c r="G7936" i="2"/>
  <c r="G7937" i="2"/>
  <c r="G7938" i="2"/>
  <c r="G7939" i="2"/>
  <c r="G7940" i="2"/>
  <c r="G7941" i="2"/>
  <c r="G7942" i="2"/>
  <c r="G7943" i="2"/>
  <c r="G7944" i="2"/>
  <c r="G7945" i="2"/>
  <c r="G7946" i="2"/>
  <c r="G7947" i="2"/>
  <c r="G7948" i="2"/>
  <c r="G7949" i="2"/>
  <c r="G7950" i="2"/>
  <c r="G7951" i="2"/>
  <c r="G7952" i="2"/>
  <c r="G7953" i="2"/>
  <c r="G7954" i="2"/>
  <c r="G7955" i="2"/>
  <c r="G7956" i="2"/>
  <c r="G7957" i="2"/>
  <c r="G7958" i="2"/>
  <c r="G7959" i="2"/>
  <c r="G7960" i="2"/>
  <c r="G7961" i="2"/>
  <c r="G7962" i="2"/>
  <c r="G7963" i="2"/>
  <c r="G7964" i="2"/>
  <c r="G7965" i="2"/>
  <c r="G7966" i="2"/>
  <c r="G7967" i="2"/>
  <c r="G7968" i="2"/>
  <c r="G7969" i="2"/>
  <c r="G7970" i="2"/>
  <c r="G7971" i="2"/>
  <c r="G7972" i="2"/>
  <c r="G7973" i="2"/>
  <c r="G7974" i="2"/>
  <c r="G7975" i="2"/>
  <c r="G7976" i="2"/>
  <c r="G7977" i="2"/>
  <c r="G7978" i="2"/>
  <c r="G7979" i="2"/>
  <c r="G7980" i="2"/>
  <c r="G7981" i="2"/>
  <c r="G7982" i="2"/>
  <c r="G7983" i="2"/>
  <c r="G7984" i="2"/>
  <c r="G7985" i="2"/>
  <c r="G7986" i="2"/>
  <c r="G7987" i="2"/>
  <c r="G7988" i="2"/>
  <c r="G7989" i="2"/>
  <c r="G7990" i="2"/>
  <c r="G7991" i="2"/>
  <c r="G7992" i="2"/>
  <c r="G7993" i="2"/>
  <c r="G7994" i="2"/>
  <c r="G7995" i="2"/>
  <c r="G7996" i="2"/>
  <c r="G7997" i="2"/>
  <c r="G7998" i="2"/>
  <c r="G7999" i="2"/>
  <c r="G8000" i="2"/>
  <c r="G8001" i="2"/>
  <c r="G8002" i="2"/>
  <c r="G8003" i="2"/>
  <c r="G8004" i="2"/>
  <c r="G8005" i="2"/>
  <c r="G8006" i="2"/>
  <c r="G8007" i="2"/>
  <c r="G8008" i="2"/>
  <c r="G8009" i="2"/>
  <c r="G8010" i="2"/>
  <c r="G8011" i="2"/>
  <c r="G8012" i="2"/>
  <c r="G8013" i="2"/>
  <c r="G8014" i="2"/>
  <c r="G8015" i="2"/>
  <c r="G8016" i="2"/>
  <c r="G8017" i="2"/>
  <c r="G8018" i="2"/>
  <c r="G8019" i="2"/>
  <c r="G8020" i="2"/>
  <c r="G8021" i="2"/>
  <c r="G8022" i="2"/>
  <c r="G8023" i="2"/>
  <c r="G8024" i="2"/>
  <c r="G8025" i="2"/>
  <c r="G8026" i="2"/>
  <c r="G8027" i="2"/>
  <c r="G8028" i="2"/>
  <c r="G8029" i="2"/>
  <c r="G8030" i="2"/>
  <c r="G8031" i="2"/>
  <c r="G8032" i="2"/>
  <c r="G8033" i="2"/>
  <c r="G8034" i="2"/>
  <c r="G8035" i="2"/>
  <c r="G8036" i="2"/>
  <c r="G8037" i="2"/>
  <c r="G8038" i="2"/>
  <c r="G8039" i="2"/>
  <c r="G8040" i="2"/>
  <c r="G8041" i="2"/>
  <c r="G8042" i="2"/>
  <c r="G8043" i="2"/>
  <c r="G8044" i="2"/>
  <c r="G8045" i="2"/>
  <c r="G8046" i="2"/>
  <c r="G8047" i="2"/>
  <c r="G8048" i="2"/>
  <c r="G8049" i="2"/>
  <c r="G8050" i="2"/>
  <c r="G8051" i="2"/>
  <c r="G8052" i="2"/>
  <c r="G8053" i="2"/>
  <c r="G8054" i="2"/>
  <c r="G8055" i="2"/>
  <c r="G8056" i="2"/>
  <c r="G8057" i="2"/>
  <c r="G8058" i="2"/>
  <c r="G8059" i="2"/>
  <c r="G8060" i="2"/>
  <c r="G8061" i="2"/>
  <c r="G8062" i="2"/>
  <c r="G8063" i="2"/>
  <c r="G8064" i="2"/>
  <c r="G8065" i="2"/>
  <c r="G8066" i="2"/>
  <c r="G8067" i="2"/>
  <c r="G8068" i="2"/>
  <c r="G8069" i="2"/>
  <c r="G8070" i="2"/>
  <c r="G8071" i="2"/>
  <c r="G8072" i="2"/>
  <c r="G8073" i="2"/>
  <c r="G8074" i="2"/>
  <c r="G8075" i="2"/>
  <c r="G8076" i="2"/>
  <c r="G8077" i="2"/>
  <c r="G8078" i="2"/>
  <c r="G8079" i="2"/>
  <c r="G8080" i="2"/>
  <c r="G8081" i="2"/>
  <c r="G8082" i="2"/>
  <c r="G8083" i="2"/>
  <c r="G8084" i="2"/>
  <c r="G8085" i="2"/>
  <c r="G8086" i="2"/>
  <c r="G8087" i="2"/>
  <c r="G8088" i="2"/>
  <c r="G8089" i="2"/>
  <c r="G8090" i="2"/>
  <c r="G8091" i="2"/>
  <c r="G8092" i="2"/>
  <c r="G8093" i="2"/>
  <c r="G8094" i="2"/>
  <c r="G8095" i="2"/>
  <c r="G8096" i="2"/>
  <c r="G8097" i="2"/>
  <c r="G8098" i="2"/>
  <c r="G8099" i="2"/>
  <c r="G8100" i="2"/>
  <c r="G8101" i="2"/>
  <c r="G8102" i="2"/>
  <c r="G8103" i="2"/>
  <c r="G8104" i="2"/>
  <c r="G8105" i="2"/>
  <c r="G8106" i="2"/>
  <c r="G8107" i="2"/>
  <c r="G8108" i="2"/>
  <c r="G8109" i="2"/>
  <c r="G8110" i="2"/>
  <c r="G8111" i="2"/>
  <c r="G8112" i="2"/>
  <c r="G8113" i="2"/>
  <c r="G8114" i="2"/>
  <c r="G8115" i="2"/>
  <c r="G8116" i="2"/>
  <c r="G8117" i="2"/>
  <c r="G8118" i="2"/>
  <c r="G8119" i="2"/>
  <c r="G8120" i="2"/>
  <c r="G8121" i="2"/>
  <c r="G8122" i="2"/>
  <c r="G8123" i="2"/>
  <c r="G8124" i="2"/>
  <c r="G8125" i="2"/>
  <c r="G8126" i="2"/>
  <c r="G8127" i="2"/>
  <c r="G8128" i="2"/>
  <c r="G8129" i="2"/>
  <c r="G8130" i="2"/>
  <c r="G8131" i="2"/>
  <c r="G8132" i="2"/>
  <c r="G8133" i="2"/>
  <c r="G8134" i="2"/>
  <c r="G8135" i="2"/>
  <c r="G8136" i="2"/>
  <c r="G8137" i="2"/>
  <c r="G8138" i="2"/>
  <c r="G8139" i="2"/>
  <c r="G8140" i="2"/>
  <c r="G8141" i="2"/>
  <c r="G8142" i="2"/>
  <c r="G8143" i="2"/>
  <c r="G8144" i="2"/>
  <c r="G8145" i="2"/>
  <c r="G8146" i="2"/>
  <c r="G8147" i="2"/>
  <c r="G8148" i="2"/>
  <c r="G8149" i="2"/>
  <c r="G8150" i="2"/>
  <c r="G8151" i="2"/>
  <c r="G8152" i="2"/>
  <c r="G8153" i="2"/>
  <c r="G8154" i="2"/>
  <c r="G8155" i="2"/>
  <c r="G8156" i="2"/>
  <c r="G8157" i="2"/>
  <c r="G8158" i="2"/>
  <c r="G8159" i="2"/>
  <c r="G8160" i="2"/>
  <c r="G8161" i="2"/>
  <c r="G8162" i="2"/>
  <c r="G8163" i="2"/>
  <c r="G8164" i="2"/>
  <c r="G8165" i="2"/>
  <c r="G8166" i="2"/>
  <c r="G8167" i="2"/>
  <c r="G8168" i="2"/>
  <c r="G8169" i="2"/>
  <c r="G8170" i="2"/>
  <c r="G8171" i="2"/>
  <c r="G8172" i="2"/>
  <c r="G8173" i="2"/>
  <c r="G8174" i="2"/>
  <c r="G8175" i="2"/>
  <c r="G8176" i="2"/>
  <c r="G8177" i="2"/>
  <c r="G8178" i="2"/>
  <c r="G8179" i="2"/>
  <c r="G8180" i="2"/>
  <c r="G8181" i="2"/>
  <c r="G8182" i="2"/>
  <c r="G8183" i="2"/>
  <c r="G8184" i="2"/>
  <c r="G8185" i="2"/>
  <c r="G8186" i="2"/>
  <c r="G8187" i="2"/>
  <c r="G8188" i="2"/>
  <c r="G8189" i="2"/>
  <c r="G8190" i="2"/>
  <c r="G8191" i="2"/>
  <c r="G8192" i="2"/>
  <c r="G8193" i="2"/>
  <c r="G8194" i="2"/>
  <c r="G8195" i="2"/>
  <c r="G8196" i="2"/>
  <c r="G8197" i="2"/>
  <c r="G8198" i="2"/>
  <c r="G8199" i="2"/>
  <c r="G8200" i="2"/>
  <c r="G8201" i="2"/>
  <c r="G8202" i="2"/>
  <c r="G8203" i="2"/>
  <c r="G8204" i="2"/>
  <c r="G8205" i="2"/>
  <c r="G8206" i="2"/>
  <c r="G8207" i="2"/>
  <c r="G8208" i="2"/>
  <c r="G8209" i="2"/>
  <c r="G8210" i="2"/>
  <c r="G8211" i="2"/>
  <c r="G8212" i="2"/>
  <c r="G8213" i="2"/>
  <c r="G8214" i="2"/>
  <c r="G8215" i="2"/>
  <c r="G8216" i="2"/>
  <c r="G8217" i="2"/>
  <c r="G8218" i="2"/>
  <c r="G8219" i="2"/>
  <c r="G8220" i="2"/>
  <c r="G8221" i="2"/>
  <c r="G8222" i="2"/>
  <c r="G8223" i="2"/>
  <c r="G8224" i="2"/>
  <c r="G8225" i="2"/>
  <c r="G8226" i="2"/>
  <c r="G8227" i="2"/>
  <c r="G8228" i="2"/>
  <c r="G8229" i="2"/>
  <c r="G8230" i="2"/>
  <c r="G8231" i="2"/>
  <c r="G8232" i="2"/>
  <c r="G8233" i="2"/>
  <c r="G8234" i="2"/>
  <c r="G8235" i="2"/>
  <c r="G8236" i="2"/>
  <c r="G8237" i="2"/>
  <c r="G8238" i="2"/>
  <c r="G8239" i="2"/>
  <c r="G8240" i="2"/>
  <c r="G8241" i="2"/>
  <c r="G8242" i="2"/>
  <c r="G8243" i="2"/>
  <c r="G8244" i="2"/>
  <c r="G8245" i="2"/>
  <c r="G8246" i="2"/>
  <c r="G8247" i="2"/>
  <c r="G8248" i="2"/>
  <c r="G8249" i="2"/>
  <c r="G8250" i="2"/>
  <c r="G8251" i="2"/>
  <c r="G8252" i="2"/>
  <c r="G8253" i="2"/>
  <c r="G8254" i="2"/>
  <c r="G8255" i="2"/>
  <c r="G8256" i="2"/>
  <c r="G8257" i="2"/>
  <c r="G8258" i="2"/>
  <c r="G8259" i="2"/>
  <c r="G8260" i="2"/>
  <c r="G8261" i="2"/>
  <c r="G8262" i="2"/>
  <c r="G8263" i="2"/>
  <c r="G8264" i="2"/>
  <c r="G8265" i="2"/>
  <c r="G8266" i="2"/>
  <c r="G8267" i="2"/>
  <c r="G8268" i="2"/>
  <c r="G8269" i="2"/>
  <c r="G8270" i="2"/>
  <c r="G8271" i="2"/>
  <c r="G8272" i="2"/>
  <c r="G8273" i="2"/>
  <c r="G8274" i="2"/>
  <c r="G8275" i="2"/>
  <c r="G8276" i="2"/>
  <c r="G8277" i="2"/>
  <c r="G8278" i="2"/>
  <c r="G8279" i="2"/>
  <c r="G8280" i="2"/>
  <c r="G8281" i="2"/>
  <c r="G8282" i="2"/>
  <c r="G8283" i="2"/>
  <c r="G8284" i="2"/>
  <c r="G8285" i="2"/>
  <c r="G8286" i="2"/>
  <c r="G8287" i="2"/>
  <c r="G8288" i="2"/>
  <c r="G8289" i="2"/>
  <c r="G8290" i="2"/>
  <c r="G8291" i="2"/>
  <c r="G8292" i="2"/>
  <c r="G8293" i="2"/>
  <c r="G8294" i="2"/>
  <c r="G8295" i="2"/>
  <c r="G8296" i="2"/>
  <c r="G8297" i="2"/>
  <c r="G8298" i="2"/>
  <c r="G8299" i="2"/>
  <c r="G8300" i="2"/>
  <c r="G8301" i="2"/>
  <c r="G8302" i="2"/>
  <c r="G8303" i="2"/>
  <c r="G8304" i="2"/>
  <c r="G8305" i="2"/>
  <c r="G8306" i="2"/>
  <c r="G8307" i="2"/>
  <c r="G8308" i="2"/>
  <c r="G8309" i="2"/>
  <c r="G8310" i="2"/>
  <c r="G8311" i="2"/>
  <c r="G8312" i="2"/>
  <c r="G8313" i="2"/>
  <c r="G8314" i="2"/>
  <c r="G8315" i="2"/>
  <c r="G8316" i="2"/>
  <c r="G8317" i="2"/>
  <c r="G8318" i="2"/>
  <c r="G8319" i="2"/>
  <c r="G8320" i="2"/>
  <c r="G8321" i="2"/>
  <c r="G8322" i="2"/>
  <c r="G8323" i="2"/>
  <c r="G8324" i="2"/>
  <c r="G8325" i="2"/>
  <c r="G8326" i="2"/>
  <c r="G8327" i="2"/>
  <c r="G8328" i="2"/>
  <c r="G8329" i="2"/>
  <c r="G8330" i="2"/>
  <c r="G8331" i="2"/>
  <c r="G8332" i="2"/>
  <c r="G8333" i="2"/>
  <c r="G8334" i="2"/>
  <c r="G8335" i="2"/>
  <c r="G8336" i="2"/>
  <c r="G8337" i="2"/>
  <c r="G8338" i="2"/>
  <c r="G8339" i="2"/>
  <c r="G8340" i="2"/>
  <c r="G8341" i="2"/>
  <c r="G8342" i="2"/>
  <c r="G8343" i="2"/>
  <c r="G8344" i="2"/>
  <c r="G8345" i="2"/>
  <c r="G8346" i="2"/>
  <c r="G8347" i="2"/>
  <c r="G8348" i="2"/>
  <c r="G8349" i="2"/>
  <c r="G8350" i="2"/>
  <c r="G8351" i="2"/>
  <c r="G8352" i="2"/>
  <c r="G8353" i="2"/>
  <c r="G8354" i="2"/>
  <c r="G8355" i="2"/>
  <c r="G8356" i="2"/>
  <c r="G8357" i="2"/>
  <c r="G8358" i="2"/>
  <c r="G8359" i="2"/>
  <c r="G8360" i="2"/>
  <c r="G8361" i="2"/>
  <c r="G8362" i="2"/>
  <c r="G8363" i="2"/>
  <c r="G8364" i="2"/>
  <c r="G8365" i="2"/>
  <c r="G8366" i="2"/>
  <c r="G8367" i="2"/>
  <c r="G8368" i="2"/>
  <c r="G8369" i="2"/>
  <c r="G8370" i="2"/>
  <c r="G8371" i="2"/>
  <c r="G8372" i="2"/>
  <c r="G8373" i="2"/>
  <c r="G8374" i="2"/>
  <c r="G8375" i="2"/>
  <c r="G8376" i="2"/>
  <c r="G8377" i="2"/>
  <c r="G8378" i="2"/>
  <c r="G8379" i="2"/>
  <c r="G8380" i="2"/>
  <c r="G8381" i="2"/>
  <c r="G8382" i="2"/>
  <c r="G8383" i="2"/>
  <c r="G8384" i="2"/>
  <c r="G8385" i="2"/>
  <c r="G8386" i="2"/>
  <c r="G8387" i="2"/>
  <c r="G8388" i="2"/>
  <c r="G8389" i="2"/>
  <c r="G8390" i="2"/>
  <c r="G8391" i="2"/>
  <c r="G8392" i="2"/>
  <c r="G8393" i="2"/>
  <c r="G8394" i="2"/>
  <c r="G8395" i="2"/>
  <c r="G8396" i="2"/>
  <c r="G8397" i="2"/>
  <c r="G8398" i="2"/>
  <c r="G8399" i="2"/>
  <c r="G8400" i="2"/>
  <c r="G8401" i="2"/>
  <c r="G8402" i="2"/>
  <c r="G8403" i="2"/>
  <c r="G8404" i="2"/>
  <c r="G8405" i="2"/>
  <c r="G8406" i="2"/>
  <c r="G8407" i="2"/>
  <c r="G8408" i="2"/>
  <c r="G8409" i="2"/>
  <c r="G8410" i="2"/>
  <c r="G8411" i="2"/>
  <c r="G8412" i="2"/>
  <c r="G8413" i="2"/>
  <c r="G8414" i="2"/>
  <c r="G8415" i="2"/>
  <c r="G8416" i="2"/>
  <c r="G8417" i="2"/>
  <c r="G8418" i="2"/>
  <c r="G8419" i="2"/>
  <c r="G8420" i="2"/>
  <c r="G8421" i="2"/>
  <c r="G8422" i="2"/>
  <c r="G8423" i="2"/>
  <c r="G8424" i="2"/>
  <c r="G8425" i="2"/>
  <c r="G8426" i="2"/>
  <c r="G8427" i="2"/>
  <c r="G8428" i="2"/>
  <c r="G8429" i="2"/>
  <c r="G8430" i="2"/>
  <c r="G8431" i="2"/>
  <c r="G8432" i="2"/>
  <c r="G8433" i="2"/>
  <c r="G8434" i="2"/>
  <c r="G8435" i="2"/>
  <c r="G8436" i="2"/>
  <c r="G8437" i="2"/>
  <c r="G8438" i="2"/>
  <c r="G8439" i="2"/>
  <c r="G8440" i="2"/>
  <c r="G8441" i="2"/>
  <c r="G8442" i="2"/>
  <c r="G8443" i="2"/>
  <c r="G8444" i="2"/>
  <c r="G8445" i="2"/>
  <c r="G8446" i="2"/>
  <c r="G8447" i="2"/>
  <c r="G8448" i="2"/>
  <c r="G8449" i="2"/>
  <c r="G8450" i="2"/>
  <c r="G8451" i="2"/>
  <c r="G8452" i="2"/>
  <c r="G8453" i="2"/>
  <c r="G8454" i="2"/>
  <c r="G8455" i="2"/>
  <c r="G8456" i="2"/>
  <c r="G8457" i="2"/>
  <c r="G8458" i="2"/>
  <c r="G8459" i="2"/>
  <c r="G8460" i="2"/>
  <c r="G8461" i="2"/>
  <c r="G8462" i="2"/>
  <c r="G8463" i="2"/>
  <c r="G8464" i="2"/>
  <c r="G8465" i="2"/>
  <c r="G8466" i="2"/>
  <c r="G8467" i="2"/>
  <c r="G8468" i="2"/>
  <c r="G8469" i="2"/>
  <c r="G8470" i="2"/>
  <c r="G8471" i="2"/>
  <c r="G8472" i="2"/>
  <c r="G8473" i="2"/>
  <c r="G8474" i="2"/>
  <c r="G8475" i="2"/>
  <c r="G8476" i="2"/>
  <c r="G8477" i="2"/>
  <c r="G8478" i="2"/>
  <c r="G8479" i="2"/>
  <c r="G8480" i="2"/>
  <c r="G8481" i="2"/>
  <c r="G8482" i="2"/>
  <c r="G8483" i="2"/>
  <c r="G8484" i="2"/>
  <c r="G8485" i="2"/>
  <c r="G8486" i="2"/>
  <c r="G8487" i="2"/>
  <c r="G8488" i="2"/>
  <c r="G8489" i="2"/>
  <c r="G8490" i="2"/>
  <c r="G8491" i="2"/>
  <c r="G8492" i="2"/>
  <c r="G8493" i="2"/>
  <c r="G8494" i="2"/>
  <c r="G8495" i="2"/>
  <c r="G8496" i="2"/>
  <c r="G8497" i="2"/>
  <c r="G8498" i="2"/>
  <c r="G8499" i="2"/>
  <c r="G8500" i="2"/>
  <c r="G8501" i="2"/>
  <c r="G8502" i="2"/>
  <c r="G8503" i="2"/>
  <c r="G8504" i="2"/>
  <c r="G8505" i="2"/>
  <c r="G8506" i="2"/>
  <c r="G8507" i="2"/>
  <c r="G8508" i="2"/>
  <c r="G8509" i="2"/>
  <c r="G8510" i="2"/>
  <c r="G8511" i="2"/>
  <c r="G8512" i="2"/>
  <c r="G8513" i="2"/>
  <c r="G8514" i="2"/>
  <c r="G8515" i="2"/>
  <c r="G8516" i="2"/>
  <c r="G8517" i="2"/>
  <c r="G8518" i="2"/>
  <c r="G8519" i="2"/>
  <c r="G8520" i="2"/>
  <c r="G8521" i="2"/>
  <c r="G8522" i="2"/>
  <c r="G8523" i="2"/>
  <c r="G8524" i="2"/>
  <c r="G8525" i="2"/>
  <c r="G8526" i="2"/>
  <c r="G8527" i="2"/>
  <c r="G8528" i="2"/>
  <c r="G8529" i="2"/>
  <c r="G8530" i="2"/>
  <c r="G8531" i="2"/>
  <c r="G8532" i="2"/>
  <c r="G8533" i="2"/>
  <c r="G8534" i="2"/>
  <c r="G8535" i="2"/>
  <c r="G8536" i="2"/>
  <c r="G8537" i="2"/>
  <c r="G8538" i="2"/>
  <c r="G8539" i="2"/>
  <c r="G8540" i="2"/>
  <c r="G8541" i="2"/>
  <c r="G8542" i="2"/>
  <c r="G8543" i="2"/>
  <c r="G8544" i="2"/>
  <c r="G8545" i="2"/>
  <c r="G8546" i="2"/>
  <c r="G8547" i="2"/>
  <c r="G8548" i="2"/>
  <c r="G8549" i="2"/>
  <c r="G8550" i="2"/>
  <c r="G8551" i="2"/>
  <c r="G8552" i="2"/>
  <c r="G8553" i="2"/>
  <c r="G8554" i="2"/>
  <c r="G8555" i="2"/>
  <c r="G8556" i="2"/>
  <c r="G8557" i="2"/>
  <c r="G8558" i="2"/>
  <c r="G8559" i="2"/>
  <c r="G8560" i="2"/>
  <c r="G8561" i="2"/>
  <c r="G8562" i="2"/>
  <c r="G8563" i="2"/>
  <c r="G8564" i="2"/>
  <c r="G8565" i="2"/>
  <c r="G8566" i="2"/>
  <c r="G8567" i="2"/>
  <c r="G8568" i="2"/>
  <c r="G8569" i="2"/>
  <c r="G8570" i="2"/>
  <c r="G8571" i="2"/>
  <c r="G8572" i="2"/>
  <c r="G8573" i="2"/>
  <c r="G8574" i="2"/>
  <c r="G8575" i="2"/>
  <c r="G8576" i="2"/>
  <c r="G8577" i="2"/>
  <c r="G8578" i="2"/>
  <c r="G8579" i="2"/>
  <c r="G8580" i="2"/>
  <c r="G8581" i="2"/>
  <c r="G8582" i="2"/>
  <c r="G8583" i="2"/>
  <c r="G8584" i="2"/>
  <c r="G8585" i="2"/>
  <c r="G8586" i="2"/>
  <c r="G8587" i="2"/>
  <c r="G8588" i="2"/>
  <c r="G8589" i="2"/>
  <c r="G8590" i="2"/>
  <c r="G8591" i="2"/>
  <c r="G8592" i="2"/>
  <c r="G8593" i="2"/>
  <c r="G8594" i="2"/>
  <c r="G8595" i="2"/>
  <c r="G8596" i="2"/>
  <c r="G8597" i="2"/>
  <c r="G8598" i="2"/>
  <c r="G8599" i="2"/>
  <c r="G8600" i="2"/>
  <c r="G8601" i="2"/>
  <c r="G8602" i="2"/>
  <c r="G8603" i="2"/>
  <c r="G8604" i="2"/>
  <c r="G8605" i="2"/>
  <c r="G8606" i="2"/>
  <c r="G8607" i="2"/>
  <c r="G8608" i="2"/>
  <c r="G8609" i="2"/>
  <c r="G8610" i="2"/>
  <c r="G8611" i="2"/>
  <c r="G8612" i="2"/>
  <c r="G8613" i="2"/>
  <c r="G8614" i="2"/>
  <c r="G8615" i="2"/>
  <c r="G8616" i="2"/>
  <c r="G8617" i="2"/>
  <c r="G8618" i="2"/>
  <c r="G8619" i="2"/>
  <c r="G8620" i="2"/>
  <c r="G8621" i="2"/>
  <c r="G8622" i="2"/>
  <c r="G8623" i="2"/>
  <c r="G8624" i="2"/>
  <c r="G8625" i="2"/>
  <c r="G8626" i="2"/>
  <c r="G8627" i="2"/>
  <c r="G8628" i="2"/>
  <c r="G8629" i="2"/>
  <c r="G8630" i="2"/>
  <c r="G8631" i="2"/>
  <c r="G8632" i="2"/>
  <c r="G8633" i="2"/>
  <c r="G8634" i="2"/>
  <c r="G8635" i="2"/>
  <c r="G8636" i="2"/>
  <c r="G8637" i="2"/>
  <c r="G8638" i="2"/>
  <c r="G8639" i="2"/>
  <c r="G8640" i="2"/>
  <c r="G8641" i="2"/>
  <c r="G8642" i="2"/>
  <c r="G8643" i="2"/>
  <c r="G8644" i="2"/>
  <c r="G8645" i="2"/>
  <c r="G8646" i="2"/>
  <c r="G8647" i="2"/>
  <c r="G8648" i="2"/>
  <c r="G8649" i="2"/>
  <c r="G8650" i="2"/>
  <c r="G8651" i="2"/>
  <c r="G8652" i="2"/>
  <c r="G8653" i="2"/>
  <c r="G8654" i="2"/>
  <c r="G8655" i="2"/>
  <c r="G8656" i="2"/>
  <c r="G8657" i="2"/>
  <c r="G8658" i="2"/>
  <c r="G8659" i="2"/>
  <c r="G8660" i="2"/>
  <c r="G8661" i="2"/>
  <c r="G8662" i="2"/>
  <c r="G8663" i="2"/>
  <c r="G8664" i="2"/>
  <c r="G8665" i="2"/>
  <c r="G8666" i="2"/>
  <c r="G8667" i="2"/>
  <c r="G8668" i="2"/>
  <c r="G8669" i="2"/>
  <c r="G8670" i="2"/>
  <c r="G8671" i="2"/>
  <c r="G8672" i="2"/>
  <c r="G8673" i="2"/>
  <c r="G8674" i="2"/>
  <c r="G8675" i="2"/>
  <c r="G8676" i="2"/>
  <c r="G8677" i="2"/>
  <c r="G8678" i="2"/>
  <c r="G8679" i="2"/>
  <c r="G8680" i="2"/>
  <c r="G8681" i="2"/>
  <c r="G8682" i="2"/>
  <c r="G8683" i="2"/>
  <c r="G8684" i="2"/>
  <c r="G8685" i="2"/>
  <c r="G8686" i="2"/>
  <c r="G8687" i="2"/>
  <c r="G8688" i="2"/>
  <c r="G8689" i="2"/>
  <c r="G8690" i="2"/>
  <c r="G8691" i="2"/>
  <c r="G8692" i="2"/>
  <c r="G8693" i="2"/>
  <c r="G8694" i="2"/>
  <c r="G8695" i="2"/>
  <c r="G8696" i="2"/>
  <c r="G8697" i="2"/>
  <c r="G8698" i="2"/>
  <c r="G8699" i="2"/>
  <c r="G8700" i="2"/>
  <c r="G8701" i="2"/>
  <c r="G8702" i="2"/>
  <c r="G8703" i="2"/>
  <c r="G8704" i="2"/>
  <c r="G8705" i="2"/>
  <c r="G8706" i="2"/>
  <c r="G8707" i="2"/>
  <c r="G8708" i="2"/>
  <c r="G8709" i="2"/>
  <c r="G8710" i="2"/>
  <c r="G8711" i="2"/>
  <c r="G8712" i="2"/>
  <c r="G8713" i="2"/>
  <c r="G8714" i="2"/>
  <c r="G8715" i="2"/>
  <c r="G8716" i="2"/>
  <c r="G8717" i="2"/>
  <c r="G8718" i="2"/>
  <c r="G8719" i="2"/>
  <c r="G8720" i="2"/>
  <c r="G8721" i="2"/>
  <c r="G8722" i="2"/>
  <c r="G8723" i="2"/>
  <c r="G8724" i="2"/>
  <c r="G8725" i="2"/>
  <c r="G8726" i="2"/>
  <c r="G8727" i="2"/>
  <c r="G8728" i="2"/>
  <c r="G8729" i="2"/>
  <c r="G8730" i="2"/>
  <c r="G8731" i="2"/>
  <c r="G8732" i="2"/>
  <c r="G8733" i="2"/>
  <c r="G8734" i="2"/>
  <c r="G8735" i="2"/>
  <c r="G8736" i="2"/>
  <c r="G8737" i="2"/>
  <c r="G8738" i="2"/>
  <c r="G8739" i="2"/>
  <c r="G8740" i="2"/>
  <c r="G8741" i="2"/>
  <c r="G8742" i="2"/>
  <c r="G8743" i="2"/>
  <c r="G8744" i="2"/>
  <c r="G8745" i="2"/>
  <c r="G8746" i="2"/>
  <c r="G8747" i="2"/>
  <c r="G8748" i="2"/>
  <c r="G8749" i="2"/>
  <c r="G8750" i="2"/>
  <c r="G8751" i="2"/>
  <c r="G8752" i="2"/>
  <c r="G8753" i="2"/>
  <c r="G8754" i="2"/>
  <c r="G8755" i="2"/>
  <c r="G8756" i="2"/>
  <c r="G8757" i="2"/>
  <c r="G8758" i="2"/>
  <c r="G8759" i="2"/>
  <c r="G8760" i="2"/>
  <c r="G8761" i="2"/>
  <c r="G8762" i="2"/>
  <c r="G8763" i="2"/>
  <c r="G8764" i="2"/>
  <c r="G8765" i="2"/>
  <c r="G8766" i="2"/>
  <c r="G8767" i="2"/>
  <c r="G8768" i="2"/>
  <c r="G8769" i="2"/>
  <c r="G8770" i="2"/>
  <c r="G8771" i="2"/>
  <c r="G8772" i="2"/>
  <c r="G8773" i="2"/>
  <c r="G8774" i="2"/>
  <c r="G8775" i="2"/>
  <c r="G8776" i="2"/>
  <c r="G8777" i="2"/>
  <c r="G8778" i="2"/>
  <c r="G8779" i="2"/>
  <c r="G8780" i="2"/>
  <c r="G8781" i="2"/>
  <c r="G8782" i="2"/>
  <c r="G8783" i="2"/>
  <c r="G8784" i="2"/>
  <c r="G8785" i="2"/>
  <c r="G8786" i="2"/>
  <c r="G8787" i="2"/>
  <c r="G8788" i="2"/>
  <c r="G8789" i="2"/>
  <c r="G8790" i="2"/>
  <c r="G8791" i="2"/>
  <c r="G8792" i="2"/>
  <c r="G8793" i="2"/>
  <c r="G8794" i="2"/>
  <c r="G8795" i="2"/>
  <c r="G8796" i="2"/>
  <c r="G8797" i="2"/>
  <c r="G8798" i="2"/>
  <c r="G8799" i="2"/>
  <c r="G8800" i="2"/>
  <c r="G8801" i="2"/>
  <c r="G8802" i="2"/>
  <c r="G8803" i="2"/>
  <c r="G8804" i="2"/>
  <c r="G8805" i="2"/>
  <c r="G8806" i="2"/>
  <c r="G8807" i="2"/>
  <c r="G8808" i="2"/>
  <c r="G8809" i="2"/>
  <c r="G8810" i="2"/>
  <c r="G8811" i="2"/>
  <c r="G8812" i="2"/>
  <c r="G8813" i="2"/>
  <c r="G8814" i="2"/>
  <c r="G8815" i="2"/>
  <c r="G8816" i="2"/>
  <c r="G8817" i="2"/>
  <c r="G8818" i="2"/>
  <c r="G8819" i="2"/>
  <c r="G8820" i="2"/>
  <c r="G8821" i="2"/>
  <c r="G8822" i="2"/>
  <c r="G8823" i="2"/>
  <c r="G8824" i="2"/>
  <c r="G8825" i="2"/>
  <c r="G8826" i="2"/>
  <c r="G8827" i="2"/>
  <c r="G8828" i="2"/>
  <c r="G8829" i="2"/>
  <c r="G8830" i="2"/>
  <c r="G8831" i="2"/>
  <c r="G8832" i="2"/>
  <c r="G8833" i="2"/>
  <c r="G8834" i="2"/>
  <c r="G8835" i="2"/>
  <c r="G8836" i="2"/>
  <c r="G8837" i="2"/>
  <c r="G8838" i="2"/>
  <c r="G8839" i="2"/>
  <c r="G8840" i="2"/>
  <c r="G8841" i="2"/>
  <c r="G8842" i="2"/>
  <c r="G8843" i="2"/>
  <c r="G8844" i="2"/>
  <c r="G8845" i="2"/>
  <c r="G8846" i="2"/>
  <c r="G8847" i="2"/>
  <c r="G8848" i="2"/>
  <c r="G8849" i="2"/>
  <c r="G8850" i="2"/>
  <c r="G8851" i="2"/>
  <c r="G8852" i="2"/>
  <c r="G8853" i="2"/>
  <c r="G8854" i="2"/>
  <c r="G8855" i="2"/>
  <c r="G8856" i="2"/>
  <c r="G8857" i="2"/>
  <c r="G8858" i="2"/>
  <c r="G8859" i="2"/>
  <c r="G8860" i="2"/>
  <c r="G8861" i="2"/>
  <c r="G8862" i="2"/>
  <c r="G8863" i="2"/>
  <c r="G8864" i="2"/>
  <c r="G8865" i="2"/>
  <c r="G8866" i="2"/>
  <c r="G8867" i="2"/>
  <c r="G8868" i="2"/>
  <c r="G8869" i="2"/>
  <c r="G8870" i="2"/>
  <c r="G8871" i="2"/>
  <c r="G8872" i="2"/>
  <c r="G8873" i="2"/>
  <c r="G8874" i="2"/>
  <c r="G8875" i="2"/>
  <c r="G8876" i="2"/>
  <c r="G8877" i="2"/>
  <c r="G8878" i="2"/>
  <c r="G8879" i="2"/>
  <c r="G8880" i="2"/>
  <c r="G8881" i="2"/>
  <c r="G8882" i="2"/>
  <c r="G8883" i="2"/>
  <c r="G8884" i="2"/>
  <c r="G8885" i="2"/>
  <c r="G8886" i="2"/>
  <c r="G8887" i="2"/>
  <c r="G8888" i="2"/>
  <c r="G8889" i="2"/>
  <c r="G8890" i="2"/>
  <c r="G8891" i="2"/>
  <c r="G8892" i="2"/>
  <c r="G8893" i="2"/>
  <c r="G8894" i="2"/>
  <c r="G8895" i="2"/>
  <c r="G8896" i="2"/>
  <c r="G8897" i="2"/>
  <c r="G8898" i="2"/>
  <c r="G8899" i="2"/>
  <c r="G8900" i="2"/>
  <c r="G8901" i="2"/>
  <c r="G8902" i="2"/>
  <c r="G8903" i="2"/>
  <c r="G8904" i="2"/>
  <c r="G8905" i="2"/>
  <c r="G8906" i="2"/>
  <c r="G8907" i="2"/>
  <c r="G8908" i="2"/>
  <c r="G8909" i="2"/>
  <c r="G8910" i="2"/>
  <c r="G8911" i="2"/>
  <c r="G8912" i="2"/>
  <c r="G8913" i="2"/>
  <c r="G8914" i="2"/>
  <c r="G8915" i="2"/>
  <c r="G8916" i="2"/>
  <c r="G8917" i="2"/>
  <c r="G8918" i="2"/>
  <c r="G8919" i="2"/>
  <c r="G8920" i="2"/>
  <c r="G8921" i="2"/>
  <c r="G8922" i="2"/>
  <c r="G8923" i="2"/>
  <c r="G8924" i="2"/>
  <c r="G8925" i="2"/>
  <c r="G8926" i="2"/>
  <c r="G8927" i="2"/>
  <c r="G8928" i="2"/>
  <c r="G8929" i="2"/>
  <c r="G8930" i="2"/>
  <c r="G8931" i="2"/>
  <c r="G8932" i="2"/>
  <c r="G8933" i="2"/>
  <c r="G8934" i="2"/>
  <c r="G8935" i="2"/>
  <c r="G8936" i="2"/>
  <c r="G8937" i="2"/>
  <c r="G8938" i="2"/>
  <c r="G8939" i="2"/>
  <c r="G8940" i="2"/>
  <c r="G8941" i="2"/>
  <c r="G8942" i="2"/>
  <c r="G8943" i="2"/>
  <c r="G8944" i="2"/>
  <c r="G8945" i="2"/>
  <c r="G8946" i="2"/>
  <c r="G8947" i="2"/>
  <c r="G8948" i="2"/>
  <c r="G8949" i="2"/>
  <c r="G8950" i="2"/>
  <c r="G8951" i="2"/>
  <c r="G8952" i="2"/>
  <c r="G8953" i="2"/>
  <c r="G8954" i="2"/>
  <c r="G8955" i="2"/>
  <c r="G8956" i="2"/>
  <c r="G8957" i="2"/>
  <c r="G8958" i="2"/>
  <c r="G8959" i="2"/>
  <c r="G8960" i="2"/>
  <c r="G8961" i="2"/>
  <c r="G8962" i="2"/>
  <c r="G8963" i="2"/>
  <c r="G8964" i="2"/>
  <c r="G8965" i="2"/>
  <c r="G8966" i="2"/>
  <c r="G8967" i="2"/>
  <c r="G8968" i="2"/>
  <c r="G8969" i="2"/>
  <c r="G8970" i="2"/>
  <c r="G8971" i="2"/>
  <c r="G8972" i="2"/>
  <c r="G8973" i="2"/>
  <c r="G8974" i="2"/>
  <c r="G8975" i="2"/>
  <c r="G8976" i="2"/>
  <c r="G8977" i="2"/>
  <c r="G8978" i="2"/>
  <c r="G8979" i="2"/>
  <c r="G8980" i="2"/>
  <c r="G8981" i="2"/>
  <c r="G8982" i="2"/>
  <c r="G8983" i="2"/>
  <c r="G8984" i="2"/>
  <c r="G8985" i="2"/>
  <c r="G8986" i="2"/>
  <c r="G8987" i="2"/>
  <c r="G8988" i="2"/>
  <c r="G8989" i="2"/>
  <c r="G8990" i="2"/>
  <c r="G8991" i="2"/>
  <c r="G8992" i="2"/>
  <c r="G8993" i="2"/>
  <c r="G8994" i="2"/>
  <c r="G8995" i="2"/>
  <c r="G8996" i="2"/>
  <c r="G8997" i="2"/>
  <c r="G8998" i="2"/>
  <c r="G8999" i="2"/>
  <c r="G9000" i="2"/>
  <c r="G9001" i="2"/>
  <c r="G9002" i="2"/>
  <c r="G9003" i="2"/>
  <c r="G9004" i="2"/>
  <c r="G9005" i="2"/>
  <c r="G9006" i="2"/>
  <c r="G9007" i="2"/>
  <c r="G9008" i="2"/>
  <c r="G9009" i="2"/>
  <c r="G9010" i="2"/>
  <c r="G9011" i="2"/>
  <c r="G9012" i="2"/>
  <c r="G9013" i="2"/>
  <c r="G9014" i="2"/>
  <c r="G9015" i="2"/>
  <c r="G9016" i="2"/>
  <c r="G9017" i="2"/>
  <c r="G9018" i="2"/>
  <c r="G9019" i="2"/>
  <c r="G9020" i="2"/>
  <c r="G9021" i="2"/>
  <c r="G9022" i="2"/>
  <c r="G9023" i="2"/>
  <c r="G9024" i="2"/>
  <c r="G9025" i="2"/>
  <c r="G9026" i="2"/>
  <c r="G9027" i="2"/>
  <c r="G9028" i="2"/>
  <c r="G9029" i="2"/>
  <c r="G9030" i="2"/>
  <c r="G9031" i="2"/>
  <c r="G9032" i="2"/>
  <c r="G9033" i="2"/>
  <c r="G9034" i="2"/>
  <c r="G9035" i="2"/>
  <c r="G9036" i="2"/>
  <c r="G9037" i="2"/>
  <c r="G9038" i="2"/>
  <c r="G9039" i="2"/>
  <c r="G9040" i="2"/>
  <c r="G9041" i="2"/>
  <c r="G9042" i="2"/>
  <c r="G9043" i="2"/>
  <c r="G9044" i="2"/>
  <c r="G9045" i="2"/>
  <c r="G9046" i="2"/>
  <c r="G9047" i="2"/>
  <c r="G9048" i="2"/>
  <c r="G9049" i="2"/>
  <c r="G9050" i="2"/>
  <c r="G9051" i="2"/>
  <c r="G9052" i="2"/>
  <c r="G9053" i="2"/>
  <c r="G9054" i="2"/>
  <c r="G9055" i="2"/>
  <c r="G9056" i="2"/>
  <c r="G9057" i="2"/>
  <c r="G9058" i="2"/>
  <c r="G9059" i="2"/>
  <c r="G9060" i="2"/>
  <c r="G9061" i="2"/>
  <c r="G9062" i="2"/>
  <c r="G9063" i="2"/>
  <c r="G9064" i="2"/>
  <c r="G9065" i="2"/>
  <c r="G9066" i="2"/>
  <c r="G9067" i="2"/>
  <c r="G9068" i="2"/>
  <c r="G9069" i="2"/>
  <c r="G9070" i="2"/>
  <c r="G9071" i="2"/>
  <c r="G9072" i="2"/>
  <c r="G9073" i="2"/>
  <c r="G9074" i="2"/>
  <c r="G9075" i="2"/>
  <c r="G9076" i="2"/>
  <c r="G9077" i="2"/>
  <c r="G9078" i="2"/>
  <c r="G9079" i="2"/>
  <c r="G9080" i="2"/>
  <c r="G9081" i="2"/>
  <c r="G9082" i="2"/>
  <c r="G9083" i="2"/>
  <c r="G9084" i="2"/>
  <c r="G9085" i="2"/>
  <c r="G9086" i="2"/>
  <c r="G9087" i="2"/>
  <c r="G9088" i="2"/>
  <c r="G9089" i="2"/>
  <c r="G9090" i="2"/>
  <c r="G9091" i="2"/>
  <c r="G9092" i="2"/>
  <c r="G9093" i="2"/>
  <c r="G9094" i="2"/>
  <c r="G9095" i="2"/>
  <c r="G9096" i="2"/>
  <c r="G9097" i="2"/>
  <c r="G9098" i="2"/>
  <c r="G9099" i="2"/>
  <c r="G9100" i="2"/>
  <c r="G9101" i="2"/>
  <c r="G9102" i="2"/>
  <c r="G9103" i="2"/>
  <c r="G9104" i="2"/>
  <c r="G9105" i="2"/>
  <c r="G9106" i="2"/>
  <c r="G9107" i="2"/>
  <c r="G9108" i="2"/>
  <c r="G9109" i="2"/>
  <c r="G9110" i="2"/>
  <c r="G9111" i="2"/>
  <c r="G9112" i="2"/>
  <c r="G9113" i="2"/>
  <c r="G9114" i="2"/>
  <c r="G9115" i="2"/>
  <c r="G9116" i="2"/>
  <c r="G9117" i="2"/>
  <c r="G9118" i="2"/>
  <c r="G9119" i="2"/>
  <c r="G9120" i="2"/>
  <c r="G9121" i="2"/>
  <c r="G9122" i="2"/>
  <c r="G9123" i="2"/>
  <c r="G9124" i="2"/>
  <c r="G9125" i="2"/>
  <c r="G9126" i="2"/>
  <c r="G9127" i="2"/>
  <c r="G9128" i="2"/>
  <c r="G9129" i="2"/>
  <c r="G9130" i="2"/>
  <c r="G9131" i="2"/>
  <c r="G9132" i="2"/>
  <c r="G9133" i="2"/>
  <c r="G9134" i="2"/>
  <c r="G9135" i="2"/>
  <c r="G9136" i="2"/>
  <c r="G9137" i="2"/>
  <c r="G9138" i="2"/>
  <c r="G9139" i="2"/>
  <c r="G9140" i="2"/>
  <c r="G9141" i="2"/>
  <c r="G9142" i="2"/>
  <c r="G9143" i="2"/>
  <c r="G9144" i="2"/>
  <c r="G9145" i="2"/>
  <c r="G9146" i="2"/>
  <c r="G9147" i="2"/>
  <c r="G9148" i="2"/>
  <c r="G9149" i="2"/>
  <c r="G9150" i="2"/>
  <c r="G9151" i="2"/>
  <c r="G9152" i="2"/>
  <c r="G9153" i="2"/>
  <c r="G9154" i="2"/>
  <c r="G9155" i="2"/>
  <c r="G9156" i="2"/>
  <c r="G9157" i="2"/>
  <c r="G9158" i="2"/>
  <c r="G9159" i="2"/>
  <c r="G9160" i="2"/>
  <c r="G9161" i="2"/>
  <c r="G9162" i="2"/>
  <c r="G9163" i="2"/>
  <c r="G9164" i="2"/>
  <c r="G9165" i="2"/>
  <c r="G9166" i="2"/>
  <c r="G9167" i="2"/>
  <c r="G9168" i="2"/>
  <c r="G9169" i="2"/>
  <c r="G9170" i="2"/>
  <c r="G9171" i="2"/>
  <c r="G9172" i="2"/>
  <c r="G9173" i="2"/>
  <c r="G9174" i="2"/>
  <c r="G9175" i="2"/>
  <c r="G9176" i="2"/>
  <c r="G9177" i="2"/>
  <c r="G9178" i="2"/>
  <c r="G9179" i="2"/>
  <c r="G9180" i="2"/>
  <c r="G9181" i="2"/>
  <c r="G9182" i="2"/>
  <c r="G9183" i="2"/>
  <c r="G9184" i="2"/>
  <c r="G9185" i="2"/>
  <c r="G9186" i="2"/>
  <c r="G9187" i="2"/>
  <c r="G9188" i="2"/>
  <c r="G9189" i="2"/>
  <c r="G9190" i="2"/>
  <c r="G9191" i="2"/>
  <c r="G9192" i="2"/>
  <c r="G9193" i="2"/>
  <c r="G9194" i="2"/>
  <c r="G9195" i="2"/>
  <c r="G9196" i="2"/>
  <c r="G9197" i="2"/>
  <c r="G9198" i="2"/>
  <c r="G9199" i="2"/>
  <c r="G9200" i="2"/>
  <c r="G9201" i="2"/>
  <c r="G9202" i="2"/>
  <c r="G9203" i="2"/>
  <c r="G9204" i="2"/>
  <c r="G9205" i="2"/>
  <c r="G9206" i="2"/>
  <c r="G9207" i="2"/>
  <c r="G9208" i="2"/>
  <c r="G9209" i="2"/>
  <c r="G9210" i="2"/>
  <c r="G9211" i="2"/>
  <c r="G9212" i="2"/>
  <c r="G9213" i="2"/>
  <c r="G9214" i="2"/>
  <c r="G9215" i="2"/>
  <c r="G9216" i="2"/>
  <c r="G9217" i="2"/>
  <c r="G9218" i="2"/>
  <c r="G9219" i="2"/>
  <c r="G9220" i="2"/>
  <c r="G9221" i="2"/>
  <c r="G9222" i="2"/>
  <c r="G9223" i="2"/>
  <c r="G9224" i="2"/>
  <c r="G9225" i="2"/>
  <c r="G9226" i="2"/>
  <c r="G9227" i="2"/>
  <c r="G9228" i="2"/>
  <c r="G9229" i="2"/>
  <c r="G9230" i="2"/>
  <c r="G9231" i="2"/>
  <c r="G9232" i="2"/>
  <c r="G9233" i="2"/>
  <c r="G9234" i="2"/>
  <c r="G9235" i="2"/>
  <c r="G9236" i="2"/>
  <c r="G9237" i="2"/>
  <c r="G9238" i="2"/>
  <c r="G9239" i="2"/>
  <c r="G9240" i="2"/>
  <c r="G9241" i="2"/>
  <c r="G9242" i="2"/>
  <c r="G9243" i="2"/>
  <c r="G9244" i="2"/>
  <c r="G9245" i="2"/>
  <c r="G9246" i="2"/>
  <c r="G9247" i="2"/>
  <c r="G9248" i="2"/>
  <c r="G9249" i="2"/>
  <c r="G9250" i="2"/>
  <c r="G9251" i="2"/>
  <c r="G9252" i="2"/>
  <c r="G9253" i="2"/>
  <c r="G9254" i="2"/>
  <c r="G9255" i="2"/>
  <c r="G9256" i="2"/>
  <c r="G9257" i="2"/>
  <c r="G9258" i="2"/>
  <c r="G9259" i="2"/>
  <c r="G9260" i="2"/>
  <c r="G9261" i="2"/>
  <c r="G9262" i="2"/>
  <c r="G9263" i="2"/>
  <c r="G9264" i="2"/>
  <c r="G9265" i="2"/>
  <c r="G9266" i="2"/>
  <c r="G9267" i="2"/>
  <c r="G9268" i="2"/>
  <c r="G9269" i="2"/>
  <c r="G9270" i="2"/>
  <c r="G9271" i="2"/>
  <c r="G9272" i="2"/>
  <c r="G9273" i="2"/>
  <c r="G9274" i="2"/>
  <c r="G9275" i="2"/>
  <c r="G9276" i="2"/>
  <c r="G9277" i="2"/>
  <c r="G9278" i="2"/>
  <c r="G9279" i="2"/>
  <c r="G9280" i="2"/>
  <c r="G9281" i="2"/>
  <c r="G9282" i="2"/>
  <c r="G9283" i="2"/>
  <c r="G9284" i="2"/>
  <c r="G9285" i="2"/>
  <c r="G9286" i="2"/>
  <c r="G9287" i="2"/>
  <c r="G9288" i="2"/>
  <c r="G9289" i="2"/>
  <c r="G9290" i="2"/>
  <c r="G9291" i="2"/>
  <c r="G9292" i="2"/>
  <c r="G9293" i="2"/>
  <c r="G9294" i="2"/>
  <c r="G9295" i="2"/>
  <c r="G9296" i="2"/>
  <c r="G9297" i="2"/>
  <c r="G9298" i="2"/>
  <c r="G9299" i="2"/>
  <c r="G9300" i="2"/>
  <c r="G9301" i="2"/>
  <c r="G9302" i="2"/>
  <c r="G9303" i="2"/>
  <c r="G9304" i="2"/>
  <c r="G9305" i="2"/>
  <c r="G9306" i="2"/>
  <c r="G9307" i="2"/>
  <c r="G9308" i="2"/>
  <c r="G9309" i="2"/>
  <c r="G9310" i="2"/>
  <c r="G9311" i="2"/>
  <c r="G9312" i="2"/>
  <c r="G9313" i="2"/>
  <c r="G9314" i="2"/>
  <c r="G9315" i="2"/>
  <c r="G9316" i="2"/>
  <c r="G9317" i="2"/>
  <c r="G9318" i="2"/>
  <c r="G9319" i="2"/>
  <c r="G9320" i="2"/>
  <c r="G9321" i="2"/>
  <c r="G9322" i="2"/>
  <c r="G9323" i="2"/>
  <c r="G9324" i="2"/>
  <c r="G9325" i="2"/>
  <c r="G9326" i="2"/>
  <c r="G9327" i="2"/>
  <c r="G9328" i="2"/>
  <c r="G9329" i="2"/>
  <c r="G9330" i="2"/>
  <c r="G9331" i="2"/>
  <c r="G9332" i="2"/>
  <c r="G9333" i="2"/>
  <c r="G9334" i="2"/>
  <c r="G9335" i="2"/>
  <c r="G9336" i="2"/>
  <c r="G9337" i="2"/>
  <c r="G9338" i="2"/>
  <c r="G9339" i="2"/>
  <c r="G9340" i="2"/>
  <c r="G9341" i="2"/>
  <c r="G9342" i="2"/>
  <c r="G9343" i="2"/>
  <c r="G9344" i="2"/>
  <c r="G9345" i="2"/>
  <c r="G9346" i="2"/>
  <c r="G9347" i="2"/>
  <c r="G9348" i="2"/>
  <c r="G9349" i="2"/>
  <c r="G9350" i="2"/>
  <c r="G9351" i="2"/>
  <c r="G9352" i="2"/>
  <c r="G9353" i="2"/>
  <c r="G9354" i="2"/>
  <c r="G9355" i="2"/>
  <c r="G9356" i="2"/>
  <c r="G9357" i="2"/>
  <c r="G9358" i="2"/>
  <c r="G9359" i="2"/>
  <c r="G9360" i="2"/>
  <c r="G9361" i="2"/>
  <c r="G9362" i="2"/>
  <c r="G9363" i="2"/>
  <c r="G9364" i="2"/>
  <c r="G9365" i="2"/>
  <c r="G9366" i="2"/>
  <c r="G9367" i="2"/>
  <c r="G9368" i="2"/>
  <c r="G9369" i="2"/>
  <c r="G9370" i="2"/>
  <c r="G9371" i="2"/>
  <c r="G9372" i="2"/>
  <c r="G9373" i="2"/>
  <c r="G9374" i="2"/>
  <c r="G9375" i="2"/>
  <c r="G9376" i="2"/>
  <c r="G9377" i="2"/>
  <c r="G9378" i="2"/>
  <c r="G9379" i="2"/>
  <c r="G9380" i="2"/>
  <c r="G9381" i="2"/>
  <c r="G9382" i="2"/>
  <c r="G9383" i="2"/>
  <c r="G9384" i="2"/>
  <c r="G9385" i="2"/>
  <c r="G9386" i="2"/>
  <c r="G9387" i="2"/>
  <c r="G9388" i="2"/>
  <c r="G9389" i="2"/>
  <c r="G9390" i="2"/>
  <c r="G9391" i="2"/>
  <c r="G9392" i="2"/>
  <c r="G9393" i="2"/>
  <c r="G9394" i="2"/>
  <c r="G9395" i="2"/>
  <c r="G9396" i="2"/>
  <c r="G9397" i="2"/>
  <c r="G9398" i="2"/>
  <c r="G9399" i="2"/>
  <c r="G9400" i="2"/>
  <c r="G9401" i="2"/>
  <c r="G9402" i="2"/>
  <c r="G9403" i="2"/>
  <c r="G9404" i="2"/>
  <c r="G9405" i="2"/>
  <c r="G9406" i="2"/>
  <c r="G9407" i="2"/>
  <c r="G9408" i="2"/>
  <c r="G9409" i="2"/>
  <c r="G9410" i="2"/>
  <c r="G9411" i="2"/>
  <c r="G9412" i="2"/>
  <c r="G9413" i="2"/>
  <c r="G9414" i="2"/>
  <c r="G9415" i="2"/>
  <c r="G9416" i="2"/>
  <c r="G9417" i="2"/>
  <c r="G9418" i="2"/>
  <c r="G9419" i="2"/>
  <c r="G9420" i="2"/>
  <c r="G9421" i="2"/>
  <c r="G9422" i="2"/>
  <c r="G9423" i="2"/>
  <c r="G9424" i="2"/>
  <c r="G9425" i="2"/>
  <c r="G9426" i="2"/>
  <c r="G9427" i="2"/>
  <c r="G9428" i="2"/>
  <c r="G9429" i="2"/>
  <c r="G9430" i="2"/>
  <c r="G9431" i="2"/>
  <c r="G9432" i="2"/>
  <c r="G9433" i="2"/>
  <c r="G9434" i="2"/>
  <c r="G9435" i="2"/>
  <c r="G9436" i="2"/>
  <c r="G9437" i="2"/>
  <c r="G9438" i="2"/>
  <c r="G9439" i="2"/>
  <c r="G9440" i="2"/>
  <c r="G9441" i="2"/>
  <c r="G9442" i="2"/>
  <c r="G9443" i="2"/>
  <c r="G9444" i="2"/>
  <c r="G9445" i="2"/>
  <c r="G9446" i="2"/>
  <c r="G9447" i="2"/>
  <c r="G9448" i="2"/>
  <c r="G9449" i="2"/>
  <c r="G9450" i="2"/>
  <c r="G9451" i="2"/>
  <c r="G9452" i="2"/>
  <c r="G9453" i="2"/>
  <c r="G9454" i="2"/>
  <c r="G9455" i="2"/>
  <c r="G9456" i="2"/>
  <c r="G9457" i="2"/>
  <c r="G9458" i="2"/>
  <c r="G9459" i="2"/>
  <c r="G9460" i="2"/>
  <c r="G9461" i="2"/>
  <c r="G9462" i="2"/>
  <c r="G9463" i="2"/>
  <c r="G9464" i="2"/>
  <c r="G9465" i="2"/>
  <c r="G9466" i="2"/>
  <c r="G9467" i="2"/>
  <c r="G9468" i="2"/>
  <c r="G9469" i="2"/>
  <c r="G9470" i="2"/>
  <c r="G9471" i="2"/>
  <c r="G9472" i="2"/>
  <c r="G9473" i="2"/>
  <c r="G9474" i="2"/>
  <c r="G9475" i="2"/>
  <c r="G9476" i="2"/>
  <c r="G9477" i="2"/>
  <c r="G9478" i="2"/>
  <c r="G9479" i="2"/>
  <c r="G9480" i="2"/>
  <c r="G9481" i="2"/>
  <c r="G9482" i="2"/>
  <c r="G9483" i="2"/>
  <c r="G9484" i="2"/>
  <c r="G9485" i="2"/>
  <c r="G9486" i="2"/>
  <c r="G9487" i="2"/>
  <c r="G9488" i="2"/>
  <c r="G9489" i="2"/>
  <c r="G9490" i="2"/>
  <c r="G9491" i="2"/>
  <c r="G9492" i="2"/>
  <c r="G9493" i="2"/>
  <c r="G9494" i="2"/>
  <c r="G9495" i="2"/>
  <c r="G9496" i="2"/>
  <c r="G9497" i="2"/>
  <c r="G9498" i="2"/>
  <c r="G9499" i="2"/>
  <c r="G9500" i="2"/>
  <c r="G9501" i="2"/>
  <c r="G9502" i="2"/>
  <c r="G9503" i="2"/>
  <c r="G9504" i="2"/>
  <c r="G9505" i="2"/>
  <c r="G9506" i="2"/>
  <c r="G9507" i="2"/>
  <c r="G9508" i="2"/>
  <c r="G9509" i="2"/>
  <c r="G9510" i="2"/>
  <c r="G9511" i="2"/>
  <c r="G9512" i="2"/>
  <c r="G9513" i="2"/>
  <c r="G9514" i="2"/>
  <c r="G9515" i="2"/>
  <c r="G9516" i="2"/>
  <c r="G9517" i="2"/>
  <c r="G9518" i="2"/>
  <c r="G9519" i="2"/>
  <c r="G9520" i="2"/>
  <c r="G9521" i="2"/>
  <c r="G9522" i="2"/>
  <c r="G9523" i="2"/>
  <c r="G9524" i="2"/>
  <c r="G9525" i="2"/>
  <c r="G9526" i="2"/>
  <c r="G9527" i="2"/>
  <c r="G9528" i="2"/>
  <c r="G9529" i="2"/>
  <c r="G9530" i="2"/>
  <c r="G9531" i="2"/>
  <c r="G9532" i="2"/>
  <c r="G9533" i="2"/>
  <c r="G9534" i="2"/>
  <c r="G9535" i="2"/>
  <c r="G9536" i="2"/>
  <c r="G9537" i="2"/>
  <c r="G9538" i="2"/>
  <c r="G9539" i="2"/>
  <c r="G9540" i="2"/>
  <c r="G9541" i="2"/>
  <c r="G9542" i="2"/>
  <c r="G9543" i="2"/>
  <c r="G9544" i="2"/>
  <c r="G9545" i="2"/>
  <c r="G9546" i="2"/>
  <c r="G9547" i="2"/>
  <c r="G9548" i="2"/>
  <c r="G9549" i="2"/>
  <c r="G9550" i="2"/>
  <c r="G9551" i="2"/>
  <c r="G9552" i="2"/>
  <c r="G9553" i="2"/>
  <c r="G9554" i="2"/>
  <c r="G9555" i="2"/>
  <c r="G9556" i="2"/>
  <c r="G9557" i="2"/>
  <c r="G9558" i="2"/>
  <c r="G9559" i="2"/>
  <c r="G9560" i="2"/>
  <c r="G9561" i="2"/>
  <c r="G9562" i="2"/>
  <c r="G9563" i="2"/>
  <c r="G9564" i="2"/>
  <c r="G9565" i="2"/>
  <c r="G9566" i="2"/>
  <c r="G9567" i="2"/>
  <c r="G9568" i="2"/>
  <c r="G9569" i="2"/>
  <c r="G9570" i="2"/>
  <c r="G9571" i="2"/>
  <c r="G9572" i="2"/>
  <c r="G9573" i="2"/>
  <c r="G9574" i="2"/>
  <c r="G9575" i="2"/>
  <c r="G9576" i="2"/>
  <c r="G9577" i="2"/>
  <c r="G9578" i="2"/>
  <c r="G9579" i="2"/>
  <c r="G9580" i="2"/>
  <c r="G9581" i="2"/>
  <c r="G9582" i="2"/>
  <c r="G9583" i="2"/>
  <c r="G9584" i="2"/>
  <c r="G9585" i="2"/>
  <c r="G9586" i="2"/>
  <c r="G9587" i="2"/>
  <c r="G9588" i="2"/>
  <c r="G9589" i="2"/>
  <c r="G9590" i="2"/>
  <c r="G9591" i="2"/>
  <c r="G9592" i="2"/>
  <c r="G9593" i="2"/>
  <c r="G9594" i="2"/>
  <c r="G9595" i="2"/>
  <c r="G9596" i="2"/>
  <c r="G9597" i="2"/>
  <c r="G9598" i="2"/>
  <c r="G9599" i="2"/>
  <c r="G9600" i="2"/>
  <c r="G9601" i="2"/>
  <c r="G9602" i="2"/>
  <c r="G9603" i="2"/>
  <c r="G9604" i="2"/>
  <c r="G9605" i="2"/>
  <c r="G9606" i="2"/>
  <c r="G9607" i="2"/>
  <c r="G9608" i="2"/>
  <c r="G9609" i="2"/>
  <c r="G9610" i="2"/>
  <c r="G9611" i="2"/>
  <c r="G9612" i="2"/>
  <c r="G9613" i="2"/>
  <c r="G9614" i="2"/>
  <c r="G9615" i="2"/>
  <c r="G9616" i="2"/>
  <c r="G9617" i="2"/>
  <c r="G9618" i="2"/>
  <c r="G9619" i="2"/>
  <c r="G9620" i="2"/>
  <c r="G9621" i="2"/>
  <c r="G9622" i="2"/>
  <c r="G9623" i="2"/>
  <c r="G9624" i="2"/>
  <c r="G9625" i="2"/>
  <c r="G9626" i="2"/>
  <c r="G9627" i="2"/>
  <c r="G9628" i="2"/>
  <c r="G9629" i="2"/>
  <c r="G9630" i="2"/>
  <c r="G9631" i="2"/>
  <c r="G9632" i="2"/>
  <c r="G9633" i="2"/>
  <c r="G9634" i="2"/>
  <c r="G9635" i="2"/>
  <c r="G9636" i="2"/>
  <c r="G9637" i="2"/>
  <c r="G9638" i="2"/>
  <c r="G9639" i="2"/>
  <c r="G9640" i="2"/>
  <c r="G9641" i="2"/>
  <c r="G9642" i="2"/>
  <c r="G9643" i="2"/>
  <c r="G9644" i="2"/>
  <c r="G9645" i="2"/>
  <c r="G9646" i="2"/>
  <c r="G9647" i="2"/>
  <c r="G9648" i="2"/>
  <c r="G9649" i="2"/>
  <c r="G9650" i="2"/>
  <c r="G9651" i="2"/>
  <c r="G9652" i="2"/>
  <c r="G9653" i="2"/>
  <c r="G9654" i="2"/>
  <c r="G9655" i="2"/>
  <c r="G9656" i="2"/>
  <c r="G9657" i="2"/>
  <c r="G9658" i="2"/>
  <c r="G9659" i="2"/>
  <c r="G9660" i="2"/>
  <c r="G9661" i="2"/>
  <c r="G9662" i="2"/>
  <c r="G9663" i="2"/>
  <c r="G9664" i="2"/>
  <c r="G9665" i="2"/>
  <c r="G9666" i="2"/>
  <c r="G9667" i="2"/>
  <c r="G9668" i="2"/>
  <c r="G9669" i="2"/>
  <c r="G9670" i="2"/>
  <c r="G9671" i="2"/>
  <c r="G9672" i="2"/>
  <c r="G9673" i="2"/>
  <c r="G9674" i="2"/>
  <c r="G9675" i="2"/>
  <c r="G9676" i="2"/>
  <c r="G9677" i="2"/>
  <c r="G9678" i="2"/>
  <c r="G9679" i="2"/>
  <c r="G9680" i="2"/>
  <c r="G9681" i="2"/>
  <c r="G9682" i="2"/>
  <c r="G9683" i="2"/>
  <c r="G9684" i="2"/>
  <c r="G9685" i="2"/>
  <c r="G9686" i="2"/>
  <c r="G9687" i="2"/>
  <c r="G9688" i="2"/>
  <c r="G9689" i="2"/>
  <c r="G9690" i="2"/>
  <c r="G9691" i="2"/>
  <c r="G9692" i="2"/>
  <c r="G9693" i="2"/>
  <c r="G9694" i="2"/>
  <c r="G9695" i="2"/>
  <c r="G9696" i="2"/>
  <c r="G9697" i="2"/>
  <c r="G9698" i="2"/>
  <c r="G9699" i="2"/>
  <c r="G9700" i="2"/>
  <c r="G9701" i="2"/>
  <c r="G9702" i="2"/>
  <c r="G9703" i="2"/>
  <c r="G9704" i="2"/>
  <c r="G9705" i="2"/>
  <c r="G9706" i="2"/>
  <c r="G9707" i="2"/>
  <c r="G9708" i="2"/>
  <c r="G9709" i="2"/>
  <c r="G9710" i="2"/>
  <c r="G9711" i="2"/>
  <c r="G9712" i="2"/>
  <c r="G9713" i="2"/>
  <c r="G9714" i="2"/>
  <c r="G9715" i="2"/>
  <c r="G9716" i="2"/>
  <c r="G9717" i="2"/>
  <c r="G9718" i="2"/>
  <c r="G9719" i="2"/>
  <c r="G9720" i="2"/>
  <c r="G9721" i="2"/>
  <c r="G9722" i="2"/>
  <c r="G9723" i="2"/>
  <c r="G9724" i="2"/>
  <c r="G9725" i="2"/>
  <c r="G9726" i="2"/>
  <c r="G9727" i="2"/>
  <c r="G9728" i="2"/>
  <c r="G9729" i="2"/>
  <c r="G9730" i="2"/>
  <c r="G9731" i="2"/>
  <c r="G9732" i="2"/>
  <c r="G9733" i="2"/>
  <c r="G9734" i="2"/>
  <c r="G9735" i="2"/>
  <c r="G9736" i="2"/>
  <c r="G9737" i="2"/>
  <c r="G9738" i="2"/>
  <c r="G9739" i="2"/>
  <c r="G9740" i="2"/>
  <c r="G9741" i="2"/>
  <c r="G9742" i="2"/>
  <c r="G9743" i="2"/>
  <c r="G9744" i="2"/>
  <c r="G9745" i="2"/>
  <c r="G9746" i="2"/>
  <c r="G9747" i="2"/>
  <c r="G9748" i="2"/>
  <c r="G9749" i="2"/>
  <c r="G9750" i="2"/>
  <c r="G9751" i="2"/>
  <c r="G9752" i="2"/>
  <c r="G9753" i="2"/>
  <c r="G9754" i="2"/>
  <c r="G9755" i="2"/>
  <c r="G9756" i="2"/>
  <c r="G9757" i="2"/>
  <c r="G9758" i="2"/>
  <c r="G9759" i="2"/>
  <c r="G9760" i="2"/>
  <c r="G9761" i="2"/>
  <c r="G9762" i="2"/>
  <c r="G9763" i="2"/>
  <c r="G9764" i="2"/>
  <c r="G9765" i="2"/>
  <c r="G9766" i="2"/>
  <c r="G9767" i="2"/>
  <c r="G9768" i="2"/>
  <c r="G9769" i="2"/>
  <c r="G9770" i="2"/>
  <c r="G9771" i="2"/>
  <c r="G9772" i="2"/>
  <c r="G9773" i="2"/>
  <c r="G9774" i="2"/>
  <c r="G9775" i="2"/>
  <c r="G9776" i="2"/>
  <c r="G9777" i="2"/>
  <c r="G9778" i="2"/>
  <c r="G9779" i="2"/>
  <c r="G9780" i="2"/>
  <c r="G9781" i="2"/>
  <c r="G9782" i="2"/>
  <c r="G9783" i="2"/>
  <c r="G9784" i="2"/>
  <c r="G9785" i="2"/>
  <c r="G9786" i="2"/>
  <c r="G9787" i="2"/>
  <c r="G9788" i="2"/>
  <c r="G9789" i="2"/>
  <c r="G9790" i="2"/>
  <c r="G9791" i="2"/>
  <c r="G9792" i="2"/>
  <c r="G9793" i="2"/>
  <c r="G9794" i="2"/>
  <c r="G9795" i="2"/>
  <c r="G9796" i="2"/>
  <c r="G9797" i="2"/>
  <c r="G9798" i="2"/>
  <c r="G9799" i="2"/>
  <c r="G9800" i="2"/>
  <c r="G9801" i="2"/>
  <c r="G9802" i="2"/>
  <c r="G9803" i="2"/>
  <c r="G9804" i="2"/>
  <c r="G9805" i="2"/>
  <c r="G9806" i="2"/>
  <c r="G9807" i="2"/>
  <c r="G9808" i="2"/>
  <c r="G9809" i="2"/>
  <c r="G9810" i="2"/>
  <c r="G9811" i="2"/>
  <c r="G9812" i="2"/>
  <c r="G9813" i="2"/>
  <c r="G9814" i="2"/>
  <c r="G9815" i="2"/>
  <c r="G9816" i="2"/>
  <c r="G9817" i="2"/>
  <c r="G9818" i="2"/>
  <c r="G9819" i="2"/>
  <c r="G9820" i="2"/>
  <c r="G9821" i="2"/>
  <c r="G9822" i="2"/>
  <c r="G9823" i="2"/>
  <c r="G9824" i="2"/>
  <c r="G9825" i="2"/>
  <c r="G9826" i="2"/>
  <c r="G9827" i="2"/>
  <c r="G9828" i="2"/>
  <c r="G9829" i="2"/>
  <c r="G9830" i="2"/>
  <c r="G9831" i="2"/>
  <c r="G9832" i="2"/>
  <c r="G9833" i="2"/>
  <c r="G9834" i="2"/>
  <c r="G9835" i="2"/>
  <c r="G9836" i="2"/>
  <c r="G9837" i="2"/>
  <c r="G9838" i="2"/>
  <c r="G9839" i="2"/>
  <c r="G9840" i="2"/>
  <c r="G9841" i="2"/>
  <c r="G9842" i="2"/>
  <c r="G9843" i="2"/>
  <c r="G9844" i="2"/>
  <c r="G9845" i="2"/>
  <c r="G9846" i="2"/>
  <c r="G9847" i="2"/>
  <c r="G9848" i="2"/>
  <c r="G9849" i="2"/>
  <c r="G9850" i="2"/>
  <c r="G9851" i="2"/>
  <c r="G9852" i="2"/>
  <c r="G9853" i="2"/>
  <c r="G9854" i="2"/>
  <c r="G9855" i="2"/>
  <c r="G9856" i="2"/>
  <c r="G9857" i="2"/>
  <c r="G9858" i="2"/>
  <c r="G9859" i="2"/>
  <c r="G9860" i="2"/>
  <c r="G9861" i="2"/>
  <c r="G9862" i="2"/>
  <c r="G9863" i="2"/>
  <c r="G9864" i="2"/>
  <c r="G9865" i="2"/>
  <c r="G9866" i="2"/>
  <c r="G9867" i="2"/>
  <c r="G9868" i="2"/>
  <c r="G9869" i="2"/>
  <c r="G9870" i="2"/>
  <c r="G9871" i="2"/>
  <c r="G9872" i="2"/>
  <c r="G9873" i="2"/>
  <c r="G9874" i="2"/>
  <c r="G9875" i="2"/>
  <c r="G9876" i="2"/>
  <c r="G9877" i="2"/>
  <c r="G9878" i="2"/>
  <c r="G9879" i="2"/>
  <c r="G9880" i="2"/>
  <c r="G9881" i="2"/>
  <c r="G9882" i="2"/>
  <c r="G9883" i="2"/>
  <c r="G9884" i="2"/>
  <c r="G9885" i="2"/>
  <c r="G9886" i="2"/>
  <c r="G9887" i="2"/>
  <c r="G9888" i="2"/>
  <c r="G9889" i="2"/>
  <c r="G9890" i="2"/>
  <c r="G9891" i="2"/>
  <c r="G9892" i="2"/>
  <c r="G9893" i="2"/>
  <c r="G9894" i="2"/>
  <c r="G9895" i="2"/>
  <c r="G9896" i="2"/>
  <c r="G9897" i="2"/>
  <c r="G9898" i="2"/>
  <c r="G9899" i="2"/>
  <c r="G9900" i="2"/>
  <c r="G9901" i="2"/>
  <c r="G9902" i="2"/>
  <c r="G9903" i="2"/>
  <c r="G9904" i="2"/>
  <c r="G9905" i="2"/>
  <c r="G9906" i="2"/>
  <c r="G9907" i="2"/>
  <c r="G9908" i="2"/>
  <c r="G9909" i="2"/>
  <c r="G9910" i="2"/>
  <c r="G9911" i="2"/>
  <c r="G9912" i="2"/>
  <c r="G9913" i="2"/>
  <c r="G9914" i="2"/>
  <c r="G9915" i="2"/>
  <c r="G9916" i="2"/>
  <c r="G9917" i="2"/>
  <c r="G9918" i="2"/>
  <c r="G9919" i="2"/>
  <c r="G9920" i="2"/>
  <c r="G9921" i="2"/>
  <c r="G9922" i="2"/>
  <c r="G9923" i="2"/>
  <c r="G9924" i="2"/>
  <c r="G9925" i="2"/>
  <c r="G9926" i="2"/>
  <c r="G9927" i="2"/>
  <c r="G9928" i="2"/>
  <c r="G9929" i="2"/>
  <c r="G9930" i="2"/>
  <c r="G9931" i="2"/>
  <c r="G9932" i="2"/>
  <c r="G9933" i="2"/>
  <c r="G9934" i="2"/>
  <c r="G9935" i="2"/>
  <c r="G9936" i="2"/>
  <c r="G9937" i="2"/>
  <c r="G9938" i="2"/>
  <c r="G9939" i="2"/>
  <c r="G9940" i="2"/>
  <c r="G9941" i="2"/>
  <c r="G9942" i="2"/>
  <c r="G9943" i="2"/>
  <c r="G9944" i="2"/>
  <c r="G9945" i="2"/>
  <c r="G9946" i="2"/>
  <c r="G9947" i="2"/>
  <c r="G9948" i="2"/>
  <c r="G9949" i="2"/>
  <c r="G9950" i="2"/>
  <c r="G9951" i="2"/>
  <c r="G9952" i="2"/>
  <c r="G9953" i="2"/>
  <c r="G9954" i="2"/>
  <c r="G9955" i="2"/>
  <c r="G9956" i="2"/>
  <c r="G9957" i="2"/>
  <c r="G9958" i="2"/>
  <c r="G9959" i="2"/>
  <c r="G9960" i="2"/>
  <c r="G9961" i="2"/>
  <c r="G9962" i="2"/>
  <c r="G9963" i="2"/>
  <c r="G9964" i="2"/>
  <c r="G9965" i="2"/>
  <c r="G9966" i="2"/>
  <c r="G9967" i="2"/>
  <c r="G9968" i="2"/>
  <c r="G9969" i="2"/>
  <c r="G9970" i="2"/>
  <c r="G9971" i="2"/>
  <c r="G9972" i="2"/>
  <c r="G9973" i="2"/>
  <c r="G9974" i="2"/>
  <c r="G9975" i="2"/>
  <c r="G9976" i="2"/>
  <c r="G9977" i="2"/>
  <c r="G9978" i="2"/>
  <c r="G9979" i="2"/>
  <c r="G9980" i="2"/>
  <c r="G9981" i="2"/>
  <c r="G9982" i="2"/>
  <c r="G9983" i="2"/>
  <c r="G9984" i="2"/>
  <c r="G9985" i="2"/>
  <c r="G9986" i="2"/>
  <c r="G9987" i="2"/>
  <c r="G9988" i="2"/>
  <c r="G9989" i="2"/>
  <c r="G9990" i="2"/>
  <c r="G9991" i="2"/>
  <c r="G9992" i="2"/>
  <c r="G9993" i="2"/>
  <c r="G9994" i="2"/>
  <c r="G9995" i="2"/>
  <c r="G9996" i="2"/>
  <c r="G9997" i="2"/>
  <c r="G9998" i="2"/>
  <c r="G9999" i="2"/>
  <c r="G10000" i="2"/>
  <c r="G10001" i="2"/>
  <c r="G10002" i="2"/>
  <c r="G10003" i="2"/>
  <c r="G10004" i="2"/>
  <c r="G10005" i="2"/>
  <c r="G10006" i="2"/>
  <c r="G10007" i="2"/>
  <c r="G10008" i="2"/>
  <c r="G10009" i="2"/>
  <c r="G10010" i="2"/>
  <c r="G10011" i="2"/>
  <c r="G10012" i="2"/>
  <c r="G10013" i="2"/>
  <c r="G10014" i="2"/>
  <c r="G10015" i="2"/>
  <c r="G10016" i="2"/>
  <c r="G10017" i="2"/>
  <c r="G10018" i="2"/>
  <c r="G10019" i="2"/>
  <c r="G10020" i="2"/>
  <c r="G10021" i="2"/>
  <c r="G10022" i="2"/>
  <c r="G10023" i="2"/>
  <c r="G10024" i="2"/>
  <c r="G10025" i="2"/>
  <c r="G10026" i="2"/>
  <c r="G10027" i="2"/>
  <c r="G10028" i="2"/>
  <c r="G10029" i="2"/>
  <c r="G10030" i="2"/>
  <c r="G10031" i="2"/>
  <c r="G10032" i="2"/>
  <c r="G10033" i="2"/>
  <c r="G10034" i="2"/>
  <c r="G10035" i="2"/>
  <c r="G10036" i="2"/>
  <c r="G10037" i="2"/>
  <c r="G10038" i="2"/>
  <c r="G10039" i="2"/>
  <c r="G10040" i="2"/>
  <c r="G10041" i="2"/>
  <c r="G10042" i="2"/>
  <c r="G10043" i="2"/>
  <c r="G10044" i="2"/>
  <c r="G10045" i="2"/>
  <c r="G10046" i="2"/>
  <c r="G10047" i="2"/>
  <c r="G10048" i="2"/>
  <c r="G10049" i="2"/>
  <c r="G10050" i="2"/>
  <c r="G10051" i="2"/>
  <c r="G10052" i="2"/>
  <c r="G10053" i="2"/>
  <c r="G10054" i="2"/>
  <c r="G10055" i="2"/>
  <c r="G10056" i="2"/>
  <c r="G10057" i="2"/>
  <c r="G10058" i="2"/>
  <c r="G10059" i="2"/>
  <c r="G10060" i="2"/>
  <c r="G10061" i="2"/>
  <c r="G10062" i="2"/>
  <c r="G10063" i="2"/>
  <c r="G10064" i="2"/>
  <c r="G10065" i="2"/>
  <c r="G10066" i="2"/>
  <c r="G10067" i="2"/>
  <c r="G10068" i="2"/>
  <c r="G10069" i="2"/>
  <c r="G10070" i="2"/>
  <c r="G10071" i="2"/>
  <c r="G10072" i="2"/>
  <c r="G10073" i="2"/>
  <c r="G10074" i="2"/>
  <c r="G10075" i="2"/>
  <c r="G10076" i="2"/>
  <c r="G10077" i="2"/>
  <c r="G10078" i="2"/>
  <c r="G10079" i="2"/>
  <c r="G10080" i="2"/>
  <c r="G10081" i="2"/>
  <c r="G10082" i="2"/>
  <c r="G10083" i="2"/>
  <c r="G10084" i="2"/>
  <c r="G10085" i="2"/>
  <c r="G10086" i="2"/>
  <c r="G10087" i="2"/>
  <c r="G10088" i="2"/>
  <c r="G10089" i="2"/>
  <c r="G10090" i="2"/>
  <c r="G10091" i="2"/>
  <c r="G10092" i="2"/>
  <c r="G10093" i="2"/>
  <c r="G10094" i="2"/>
  <c r="G10095" i="2"/>
  <c r="G10096" i="2"/>
  <c r="G10097" i="2"/>
  <c r="G10098" i="2"/>
  <c r="G10099" i="2"/>
  <c r="G10100" i="2"/>
  <c r="G10101" i="2"/>
  <c r="G10102" i="2"/>
  <c r="G10103" i="2"/>
  <c r="G10104" i="2"/>
  <c r="G10105" i="2"/>
  <c r="G10106" i="2"/>
  <c r="G10107" i="2"/>
  <c r="G10108" i="2"/>
  <c r="G10109" i="2"/>
  <c r="G10110" i="2"/>
  <c r="G10111" i="2"/>
  <c r="G10112" i="2"/>
  <c r="G10113" i="2"/>
  <c r="G10114" i="2"/>
  <c r="G10115" i="2"/>
  <c r="G10116" i="2"/>
  <c r="G10117" i="2"/>
  <c r="G10118" i="2"/>
  <c r="G10119" i="2"/>
  <c r="G10120" i="2"/>
  <c r="G10121" i="2"/>
  <c r="G10122" i="2"/>
  <c r="G10123" i="2"/>
  <c r="G10124" i="2"/>
  <c r="G10125" i="2"/>
  <c r="G10126" i="2"/>
  <c r="G10127" i="2"/>
  <c r="G10128" i="2"/>
  <c r="G10129" i="2"/>
  <c r="G10130" i="2"/>
  <c r="G10131" i="2"/>
  <c r="G10132" i="2"/>
  <c r="G10133" i="2"/>
  <c r="G10134" i="2"/>
  <c r="G10135" i="2"/>
  <c r="G10136" i="2"/>
  <c r="G10137" i="2"/>
  <c r="G10138" i="2"/>
  <c r="G10139" i="2"/>
  <c r="G10140" i="2"/>
  <c r="G10141" i="2"/>
  <c r="G10142" i="2"/>
  <c r="G10143" i="2"/>
  <c r="G10144" i="2"/>
  <c r="G10145" i="2"/>
  <c r="G10146" i="2"/>
  <c r="G10147" i="2"/>
  <c r="G10148" i="2"/>
  <c r="G10149" i="2"/>
  <c r="G10150" i="2"/>
  <c r="G10151" i="2"/>
  <c r="G10152" i="2"/>
  <c r="G10153" i="2"/>
  <c r="G10154" i="2"/>
  <c r="G10155" i="2"/>
  <c r="G10156" i="2"/>
  <c r="G10157" i="2"/>
  <c r="G10158" i="2"/>
  <c r="G10159" i="2"/>
  <c r="G10160" i="2"/>
  <c r="G10161" i="2"/>
  <c r="G10162" i="2"/>
  <c r="G10163" i="2"/>
  <c r="G10164" i="2"/>
  <c r="G10165" i="2"/>
  <c r="G10166" i="2"/>
  <c r="G10167" i="2"/>
  <c r="G10168" i="2"/>
  <c r="G10169" i="2"/>
  <c r="G10170" i="2"/>
  <c r="G10171" i="2"/>
  <c r="G10172" i="2"/>
  <c r="G10173" i="2"/>
  <c r="G10174" i="2"/>
  <c r="G10175" i="2"/>
  <c r="G10176" i="2"/>
  <c r="G10177" i="2"/>
  <c r="G10178" i="2"/>
  <c r="G10179" i="2"/>
  <c r="G10180" i="2"/>
  <c r="G10181" i="2"/>
  <c r="G10182" i="2"/>
  <c r="G10183" i="2"/>
  <c r="G10184" i="2"/>
  <c r="G10185" i="2"/>
  <c r="G10186" i="2"/>
  <c r="G10187" i="2"/>
  <c r="G10188" i="2"/>
  <c r="G10189" i="2"/>
  <c r="G10190" i="2"/>
  <c r="G10191" i="2"/>
  <c r="G10192" i="2"/>
  <c r="G10193" i="2"/>
  <c r="G10194" i="2"/>
  <c r="G10195" i="2"/>
  <c r="G10196" i="2"/>
  <c r="G10197" i="2"/>
  <c r="G10198" i="2"/>
  <c r="G10199" i="2"/>
  <c r="G10200" i="2"/>
  <c r="G10201" i="2"/>
  <c r="G10202" i="2"/>
  <c r="G10203" i="2"/>
  <c r="G10204" i="2"/>
  <c r="G10205" i="2"/>
  <c r="G10206" i="2"/>
  <c r="G10207" i="2"/>
  <c r="G10208" i="2"/>
  <c r="G10209" i="2"/>
  <c r="G10210" i="2"/>
  <c r="G10211" i="2"/>
  <c r="G10212" i="2"/>
  <c r="G10213" i="2"/>
  <c r="G10214" i="2"/>
  <c r="G10215" i="2"/>
  <c r="G10216" i="2"/>
  <c r="G10217" i="2"/>
  <c r="G10218" i="2"/>
  <c r="G10219" i="2"/>
  <c r="G10220" i="2"/>
  <c r="G10221" i="2"/>
  <c r="G10222" i="2"/>
  <c r="G10223" i="2"/>
  <c r="G10224" i="2"/>
  <c r="G10225" i="2"/>
  <c r="G10226" i="2"/>
  <c r="G10227" i="2"/>
  <c r="G10228" i="2"/>
  <c r="G10229" i="2"/>
  <c r="G10230" i="2"/>
  <c r="G10231" i="2"/>
  <c r="G10232" i="2"/>
  <c r="G10233" i="2"/>
  <c r="G10234" i="2"/>
  <c r="G10235" i="2"/>
  <c r="G10236" i="2"/>
  <c r="G10237" i="2"/>
  <c r="G10238" i="2"/>
  <c r="G10239" i="2"/>
  <c r="G10240" i="2"/>
  <c r="G10241" i="2"/>
  <c r="G10242" i="2"/>
  <c r="G10243" i="2"/>
  <c r="G10244" i="2"/>
  <c r="G10245" i="2"/>
  <c r="G10246" i="2"/>
  <c r="G10247" i="2"/>
  <c r="G10248" i="2"/>
  <c r="G10249" i="2"/>
  <c r="G10250" i="2"/>
  <c r="G10251" i="2"/>
  <c r="G10252" i="2"/>
  <c r="G10253" i="2"/>
  <c r="G10254" i="2"/>
  <c r="G10255" i="2"/>
  <c r="G10256" i="2"/>
  <c r="G10257" i="2"/>
  <c r="G10258" i="2"/>
  <c r="G10259" i="2"/>
  <c r="G10260" i="2"/>
  <c r="G10261" i="2"/>
  <c r="G10262" i="2"/>
  <c r="G10263" i="2"/>
  <c r="G10264" i="2"/>
  <c r="G10265" i="2"/>
  <c r="G10266" i="2"/>
  <c r="G10267" i="2"/>
  <c r="G10268" i="2"/>
  <c r="G10269" i="2"/>
  <c r="G10270" i="2"/>
  <c r="G10271" i="2"/>
  <c r="G10272" i="2"/>
  <c r="G10273" i="2"/>
  <c r="G10274" i="2"/>
  <c r="G10275" i="2"/>
  <c r="G10276" i="2"/>
  <c r="G10277" i="2"/>
  <c r="G10278" i="2"/>
  <c r="G10279" i="2"/>
  <c r="G10280" i="2"/>
  <c r="G10281" i="2"/>
  <c r="G10282" i="2"/>
  <c r="G10283" i="2"/>
  <c r="G10284" i="2"/>
  <c r="G10285" i="2"/>
  <c r="G10286" i="2"/>
  <c r="G10287" i="2"/>
  <c r="G10288" i="2"/>
  <c r="G10289" i="2"/>
  <c r="G10290" i="2"/>
  <c r="G10291" i="2"/>
  <c r="G10292" i="2"/>
  <c r="G10293" i="2"/>
  <c r="G10294" i="2"/>
  <c r="G10295" i="2"/>
  <c r="G10296" i="2"/>
  <c r="G10297" i="2"/>
  <c r="G10298" i="2"/>
  <c r="G10299" i="2"/>
  <c r="G10300" i="2"/>
  <c r="G10301" i="2"/>
  <c r="G10302" i="2"/>
  <c r="G10303" i="2"/>
  <c r="G10304" i="2"/>
  <c r="G10305" i="2"/>
  <c r="G10306" i="2"/>
  <c r="G10307" i="2"/>
  <c r="G10308" i="2"/>
  <c r="G10309" i="2"/>
  <c r="G10310" i="2"/>
  <c r="G10311" i="2"/>
  <c r="G10312" i="2"/>
  <c r="G10313" i="2"/>
  <c r="G10314" i="2"/>
  <c r="G10315" i="2"/>
  <c r="G10316" i="2"/>
  <c r="G10317" i="2"/>
  <c r="G10318" i="2"/>
  <c r="G10319" i="2"/>
  <c r="G10320" i="2"/>
  <c r="G10321" i="2"/>
  <c r="G10322" i="2"/>
  <c r="G10323" i="2"/>
  <c r="G10324" i="2"/>
  <c r="G10325" i="2"/>
  <c r="G10326" i="2"/>
  <c r="G10327" i="2"/>
  <c r="G10328" i="2"/>
  <c r="G10329" i="2"/>
  <c r="G10330" i="2"/>
  <c r="G10331" i="2"/>
  <c r="G10332" i="2"/>
  <c r="G10333" i="2"/>
  <c r="G10334" i="2"/>
  <c r="G10335" i="2"/>
  <c r="G10336" i="2"/>
  <c r="G10337" i="2"/>
  <c r="G10338" i="2"/>
  <c r="G10339" i="2"/>
  <c r="G10340" i="2"/>
  <c r="G10341" i="2"/>
  <c r="G10342" i="2"/>
  <c r="G10343" i="2"/>
  <c r="G10344" i="2"/>
  <c r="G10345" i="2"/>
  <c r="G10346" i="2"/>
  <c r="G10347" i="2"/>
  <c r="G10348" i="2"/>
  <c r="G10349" i="2"/>
  <c r="G10350" i="2"/>
  <c r="G10351" i="2"/>
  <c r="G10352" i="2"/>
  <c r="G10353" i="2"/>
  <c r="G10354" i="2"/>
  <c r="G10355" i="2"/>
  <c r="G10356" i="2"/>
  <c r="G10357" i="2"/>
  <c r="G10358" i="2"/>
  <c r="G10359" i="2"/>
  <c r="G10360" i="2"/>
  <c r="G10361" i="2"/>
  <c r="G10362" i="2"/>
  <c r="G10363" i="2"/>
  <c r="G10364" i="2"/>
  <c r="G10365" i="2"/>
  <c r="G10366" i="2"/>
  <c r="G10367" i="2"/>
  <c r="G10368" i="2"/>
  <c r="G10369" i="2"/>
  <c r="G10370" i="2"/>
  <c r="G10371" i="2"/>
  <c r="G10372" i="2"/>
  <c r="G10373" i="2"/>
  <c r="G10374" i="2"/>
  <c r="G10375" i="2"/>
  <c r="G10376" i="2"/>
  <c r="G10377" i="2"/>
  <c r="G10378" i="2"/>
  <c r="G10379" i="2"/>
  <c r="G10380" i="2"/>
  <c r="G10381" i="2"/>
  <c r="G10382" i="2"/>
  <c r="G10383" i="2"/>
  <c r="G10384" i="2"/>
  <c r="G10385" i="2"/>
  <c r="G10386" i="2"/>
  <c r="G10387" i="2"/>
  <c r="G10388" i="2"/>
  <c r="G10389" i="2"/>
  <c r="G10390" i="2"/>
  <c r="G10391" i="2"/>
  <c r="G10392" i="2"/>
  <c r="G10393" i="2"/>
  <c r="G10394" i="2"/>
  <c r="G10395" i="2"/>
  <c r="G10396" i="2"/>
  <c r="G10397" i="2"/>
  <c r="G10398" i="2"/>
  <c r="G10399" i="2"/>
  <c r="G10400" i="2"/>
  <c r="G10401" i="2"/>
  <c r="G10402" i="2"/>
  <c r="G10403" i="2"/>
  <c r="G10404" i="2"/>
  <c r="G10405" i="2"/>
  <c r="G10406" i="2"/>
  <c r="G10407" i="2"/>
  <c r="G10408" i="2"/>
  <c r="G10409" i="2"/>
  <c r="G10410" i="2"/>
  <c r="G10411" i="2"/>
  <c r="G10412" i="2"/>
  <c r="G10413" i="2"/>
  <c r="G10414" i="2"/>
  <c r="G10415" i="2"/>
  <c r="G10416" i="2"/>
  <c r="G10417" i="2"/>
  <c r="G10418" i="2"/>
  <c r="G10419" i="2"/>
  <c r="G10420" i="2"/>
  <c r="G10421" i="2"/>
  <c r="G10422" i="2"/>
  <c r="G10423" i="2"/>
  <c r="G10424" i="2"/>
  <c r="G10425" i="2"/>
  <c r="G10426" i="2"/>
  <c r="G10427" i="2"/>
  <c r="G10428" i="2"/>
  <c r="G10429" i="2"/>
  <c r="G10430" i="2"/>
  <c r="G10431" i="2"/>
  <c r="G10432" i="2"/>
  <c r="G10433" i="2"/>
  <c r="G10434" i="2"/>
  <c r="G10435" i="2"/>
  <c r="G10436" i="2"/>
  <c r="G10437" i="2"/>
  <c r="G10438" i="2"/>
  <c r="G10439" i="2"/>
  <c r="G10440" i="2"/>
  <c r="G10441" i="2"/>
  <c r="G10442" i="2"/>
  <c r="G10443" i="2"/>
  <c r="G10444" i="2"/>
  <c r="G10445" i="2"/>
  <c r="G10446" i="2"/>
  <c r="G10447" i="2"/>
  <c r="G10448" i="2"/>
  <c r="G10449" i="2"/>
  <c r="G10450" i="2"/>
  <c r="G10451" i="2"/>
  <c r="G10452" i="2"/>
  <c r="G10453" i="2"/>
  <c r="G10454" i="2"/>
  <c r="G10455" i="2"/>
  <c r="G10456" i="2"/>
  <c r="G10457" i="2"/>
  <c r="G10458" i="2"/>
  <c r="G10459" i="2"/>
  <c r="G10460" i="2"/>
  <c r="G10461" i="2"/>
  <c r="G10462" i="2"/>
  <c r="G10463" i="2"/>
  <c r="G10464" i="2"/>
  <c r="G10465" i="2"/>
  <c r="G10466" i="2"/>
  <c r="G10467" i="2"/>
  <c r="G10468" i="2"/>
  <c r="G10469" i="2"/>
  <c r="G10470" i="2"/>
  <c r="G10471" i="2"/>
  <c r="G10472" i="2"/>
  <c r="G10473" i="2"/>
  <c r="G10474" i="2"/>
  <c r="G10475" i="2"/>
  <c r="G10476" i="2"/>
  <c r="G10477" i="2"/>
  <c r="G10478" i="2"/>
  <c r="G10479" i="2"/>
  <c r="G10480" i="2"/>
  <c r="G10481" i="2"/>
  <c r="G10482" i="2"/>
  <c r="G10483" i="2"/>
  <c r="G10484" i="2"/>
  <c r="G10485" i="2"/>
  <c r="G10486" i="2"/>
  <c r="G10487" i="2"/>
  <c r="G10488" i="2"/>
  <c r="G10489" i="2"/>
  <c r="G10490" i="2"/>
  <c r="G10491" i="2"/>
  <c r="G10492" i="2"/>
  <c r="G10493" i="2"/>
  <c r="G10494" i="2"/>
  <c r="G10495" i="2"/>
  <c r="G10496" i="2"/>
  <c r="G10497" i="2"/>
  <c r="G10498" i="2"/>
  <c r="G10499" i="2"/>
  <c r="G10500" i="2"/>
  <c r="G10501" i="2"/>
  <c r="G10502" i="2"/>
  <c r="G10503" i="2"/>
  <c r="G10504" i="2"/>
  <c r="G10505" i="2"/>
  <c r="G10506" i="2"/>
  <c r="G10507" i="2"/>
  <c r="G10508" i="2"/>
  <c r="G10509" i="2"/>
  <c r="G10510" i="2"/>
  <c r="G10511" i="2"/>
  <c r="G10512" i="2"/>
  <c r="G10513" i="2"/>
  <c r="G10514" i="2"/>
  <c r="G10515" i="2"/>
  <c r="G10516" i="2"/>
  <c r="G10517" i="2"/>
  <c r="G10518" i="2"/>
  <c r="G10519" i="2"/>
  <c r="G10520" i="2"/>
  <c r="G10521" i="2"/>
  <c r="G10522" i="2"/>
  <c r="G10523" i="2"/>
  <c r="G10524" i="2"/>
  <c r="G10525" i="2"/>
  <c r="G10526" i="2"/>
  <c r="G10527" i="2"/>
  <c r="G10528" i="2"/>
  <c r="G10529" i="2"/>
  <c r="G10530" i="2"/>
  <c r="G10531" i="2"/>
  <c r="G10532" i="2"/>
  <c r="G10533" i="2"/>
  <c r="G10534" i="2"/>
  <c r="G10535" i="2"/>
  <c r="G10536" i="2"/>
  <c r="G10537" i="2"/>
  <c r="G10538" i="2"/>
  <c r="G10539" i="2"/>
  <c r="G10540" i="2"/>
  <c r="G10541" i="2"/>
  <c r="G10542" i="2"/>
  <c r="G10543" i="2"/>
  <c r="G10544" i="2"/>
  <c r="G10545" i="2"/>
  <c r="G10546" i="2"/>
  <c r="G10547" i="2"/>
  <c r="G10548" i="2"/>
  <c r="G10549" i="2"/>
  <c r="G10550" i="2"/>
  <c r="G10551" i="2"/>
  <c r="G10552" i="2"/>
  <c r="G10553" i="2"/>
  <c r="G10554" i="2"/>
  <c r="G10555" i="2"/>
  <c r="G10556" i="2"/>
  <c r="G10557" i="2"/>
  <c r="G10558" i="2"/>
  <c r="G10559" i="2"/>
  <c r="G10560" i="2"/>
  <c r="G10561" i="2"/>
  <c r="G10562" i="2"/>
  <c r="G10563" i="2"/>
  <c r="G10564" i="2"/>
  <c r="G10565" i="2"/>
  <c r="G10566" i="2"/>
  <c r="G10567" i="2"/>
  <c r="G10568" i="2"/>
  <c r="G10569" i="2"/>
  <c r="G10570" i="2"/>
  <c r="G10571" i="2"/>
  <c r="G10572" i="2"/>
  <c r="G10573" i="2"/>
  <c r="G10574" i="2"/>
  <c r="G10575" i="2"/>
  <c r="G10576" i="2"/>
  <c r="G10577" i="2"/>
  <c r="G10578" i="2"/>
  <c r="G10579" i="2"/>
  <c r="G10580" i="2"/>
  <c r="G10581" i="2"/>
  <c r="G10582" i="2"/>
  <c r="G10583" i="2"/>
  <c r="G10584" i="2"/>
  <c r="G10585" i="2"/>
  <c r="G10586" i="2"/>
  <c r="G10587" i="2"/>
  <c r="G10588" i="2"/>
  <c r="G10589" i="2"/>
  <c r="G10590" i="2"/>
  <c r="G10591" i="2"/>
  <c r="G10592" i="2"/>
  <c r="G10593" i="2"/>
  <c r="G10594" i="2"/>
  <c r="G10595" i="2"/>
  <c r="G10596" i="2"/>
  <c r="G10597" i="2"/>
  <c r="G10598" i="2"/>
  <c r="G10599" i="2"/>
  <c r="G10600" i="2"/>
  <c r="G10601" i="2"/>
  <c r="G10602" i="2"/>
  <c r="G10603" i="2"/>
  <c r="G10604" i="2"/>
  <c r="G10605" i="2"/>
  <c r="G10606" i="2"/>
  <c r="G10607" i="2"/>
  <c r="G10608" i="2"/>
  <c r="G10609" i="2"/>
  <c r="G10610" i="2"/>
  <c r="G10611" i="2"/>
  <c r="G10612" i="2"/>
  <c r="G10613" i="2"/>
  <c r="G10614" i="2"/>
  <c r="G10615" i="2"/>
  <c r="G10616" i="2"/>
  <c r="G10617" i="2"/>
  <c r="G10618" i="2"/>
  <c r="G10619" i="2"/>
  <c r="G10620" i="2"/>
  <c r="G10621" i="2"/>
  <c r="G10622" i="2"/>
  <c r="G10623" i="2"/>
  <c r="G10624" i="2"/>
  <c r="G10625" i="2"/>
  <c r="G10626" i="2"/>
  <c r="G10627" i="2"/>
  <c r="G10628" i="2"/>
  <c r="G10629" i="2"/>
  <c r="G10630" i="2"/>
  <c r="G10631" i="2"/>
  <c r="G10632" i="2"/>
  <c r="G10633" i="2"/>
  <c r="G10634" i="2"/>
  <c r="G10635" i="2"/>
  <c r="G10636" i="2"/>
  <c r="G10637" i="2"/>
  <c r="G10638" i="2"/>
  <c r="G10639" i="2"/>
  <c r="G10640" i="2"/>
  <c r="G10641" i="2"/>
  <c r="G10642" i="2"/>
  <c r="G10643" i="2"/>
  <c r="G10644" i="2"/>
  <c r="G10645" i="2"/>
  <c r="G10646" i="2"/>
  <c r="G10647" i="2"/>
  <c r="G10648" i="2"/>
  <c r="G10649" i="2"/>
  <c r="G10650" i="2"/>
  <c r="G10651" i="2"/>
  <c r="G10652" i="2"/>
  <c r="G10653" i="2"/>
  <c r="G10654" i="2"/>
  <c r="G10655" i="2"/>
  <c r="G10656" i="2"/>
  <c r="G10657" i="2"/>
  <c r="G10658" i="2"/>
  <c r="G10659" i="2"/>
  <c r="G10660" i="2"/>
  <c r="G10661" i="2"/>
  <c r="G10662" i="2"/>
  <c r="G10663" i="2"/>
  <c r="G10664" i="2"/>
  <c r="G10665" i="2"/>
  <c r="G10666" i="2"/>
  <c r="G10667" i="2"/>
  <c r="G10668" i="2"/>
  <c r="G10669" i="2"/>
  <c r="G10670" i="2"/>
  <c r="G10671" i="2"/>
  <c r="G10672" i="2"/>
  <c r="G10673" i="2"/>
  <c r="G10674" i="2"/>
  <c r="G10675" i="2"/>
  <c r="G10676" i="2"/>
  <c r="G10677" i="2"/>
  <c r="G10678" i="2"/>
  <c r="G10679" i="2"/>
  <c r="G10680" i="2"/>
  <c r="G10681" i="2"/>
  <c r="G10682" i="2"/>
  <c r="G10683" i="2"/>
  <c r="G10684" i="2"/>
  <c r="G10685" i="2"/>
  <c r="G10686" i="2"/>
  <c r="G10687" i="2"/>
  <c r="G10688" i="2"/>
  <c r="G10689" i="2"/>
  <c r="G10690" i="2"/>
  <c r="G10691" i="2"/>
  <c r="G10692" i="2"/>
  <c r="G10693" i="2"/>
  <c r="G10694" i="2"/>
  <c r="G10695" i="2"/>
  <c r="G10696" i="2"/>
  <c r="G10697" i="2"/>
  <c r="G10698" i="2"/>
  <c r="G10699" i="2"/>
  <c r="G10700" i="2"/>
  <c r="G10701" i="2"/>
  <c r="G10702" i="2"/>
  <c r="G10703" i="2"/>
  <c r="G10704" i="2"/>
  <c r="G10705" i="2"/>
  <c r="G10706" i="2"/>
  <c r="G10707" i="2"/>
  <c r="G10708" i="2"/>
  <c r="G10709" i="2"/>
  <c r="G10710" i="2"/>
  <c r="G10711" i="2"/>
  <c r="G10712" i="2"/>
  <c r="G10713" i="2"/>
  <c r="G10714" i="2"/>
  <c r="G10715" i="2"/>
  <c r="G10716" i="2"/>
  <c r="G10717" i="2"/>
  <c r="G10718" i="2"/>
  <c r="G10719" i="2"/>
  <c r="G10720" i="2"/>
  <c r="G10721" i="2"/>
  <c r="G10722" i="2"/>
  <c r="G10723" i="2"/>
  <c r="G10724" i="2"/>
  <c r="G10725" i="2"/>
  <c r="G10726" i="2"/>
  <c r="G10727" i="2"/>
  <c r="G10728" i="2"/>
  <c r="G10729" i="2"/>
  <c r="G10730" i="2"/>
  <c r="G10731" i="2"/>
  <c r="G10732" i="2"/>
  <c r="G10733" i="2"/>
  <c r="G10734" i="2"/>
  <c r="G10735" i="2"/>
  <c r="G10736" i="2"/>
  <c r="G10737" i="2"/>
  <c r="G10738" i="2"/>
  <c r="G10739" i="2"/>
  <c r="G10740" i="2"/>
  <c r="G10741" i="2"/>
  <c r="G10742" i="2"/>
  <c r="G10743" i="2"/>
  <c r="G10744" i="2"/>
  <c r="G10745" i="2"/>
  <c r="G10746" i="2"/>
  <c r="G10747" i="2"/>
  <c r="G10748" i="2"/>
  <c r="G10749" i="2"/>
  <c r="G10750" i="2"/>
  <c r="G10751" i="2"/>
  <c r="G10752" i="2"/>
  <c r="G10753" i="2"/>
  <c r="G10754" i="2"/>
  <c r="G10755" i="2"/>
  <c r="G10756" i="2"/>
  <c r="G10757" i="2"/>
  <c r="G10758" i="2"/>
  <c r="G10759" i="2"/>
  <c r="G10760" i="2"/>
  <c r="G10761" i="2"/>
  <c r="G10762" i="2"/>
  <c r="G10763" i="2"/>
  <c r="G10764" i="2"/>
  <c r="G10765" i="2"/>
  <c r="G10766" i="2"/>
  <c r="G10767" i="2"/>
  <c r="G10768" i="2"/>
  <c r="G10769" i="2"/>
  <c r="G10770" i="2"/>
  <c r="G10771" i="2"/>
  <c r="G10772" i="2"/>
  <c r="G10773" i="2"/>
  <c r="G10774" i="2"/>
  <c r="G10775" i="2"/>
  <c r="G10776" i="2"/>
  <c r="G10777" i="2"/>
  <c r="G10778" i="2"/>
  <c r="G10779" i="2"/>
  <c r="G10780" i="2"/>
  <c r="G10781" i="2"/>
  <c r="G10782" i="2"/>
  <c r="G10783" i="2"/>
  <c r="G10784" i="2"/>
  <c r="G10785" i="2"/>
  <c r="G10786" i="2"/>
  <c r="G10787" i="2"/>
  <c r="G10788" i="2"/>
  <c r="G10789" i="2"/>
  <c r="G10790" i="2"/>
  <c r="G10791" i="2"/>
  <c r="G10792" i="2"/>
  <c r="G10793" i="2"/>
  <c r="G10794" i="2"/>
  <c r="G10795" i="2"/>
  <c r="G10796" i="2"/>
  <c r="G10797" i="2"/>
  <c r="G10798" i="2"/>
  <c r="G10799" i="2"/>
  <c r="G10800" i="2"/>
  <c r="G10801" i="2"/>
  <c r="G10802" i="2"/>
  <c r="G10803" i="2"/>
  <c r="G10804" i="2"/>
  <c r="G10805" i="2"/>
  <c r="G10806" i="2"/>
  <c r="G10807" i="2"/>
  <c r="G10808" i="2"/>
  <c r="G10809" i="2"/>
  <c r="G10810" i="2"/>
  <c r="G10811" i="2"/>
  <c r="G10812" i="2"/>
  <c r="G10813" i="2"/>
  <c r="G10814" i="2"/>
  <c r="G10815" i="2"/>
  <c r="G10816" i="2"/>
  <c r="G10817" i="2"/>
  <c r="G10818" i="2"/>
  <c r="G10819" i="2"/>
  <c r="G10820" i="2"/>
  <c r="G10821" i="2"/>
  <c r="G10822" i="2"/>
  <c r="G10823" i="2"/>
  <c r="G10824" i="2"/>
  <c r="G10825" i="2"/>
  <c r="G10826" i="2"/>
  <c r="G10827" i="2"/>
  <c r="G10828" i="2"/>
  <c r="G10829" i="2"/>
  <c r="G10830" i="2"/>
  <c r="G10831" i="2"/>
  <c r="G10832" i="2"/>
  <c r="G10833" i="2"/>
  <c r="G10834" i="2"/>
  <c r="G10835" i="2"/>
  <c r="G10836" i="2"/>
  <c r="G10837" i="2"/>
  <c r="G10838" i="2"/>
  <c r="G10839" i="2"/>
  <c r="G10840" i="2"/>
  <c r="G10841" i="2"/>
  <c r="G10842" i="2"/>
  <c r="G10843" i="2"/>
  <c r="G10844" i="2"/>
  <c r="G10845" i="2"/>
  <c r="G10846" i="2"/>
  <c r="G10847" i="2"/>
  <c r="G10848" i="2"/>
  <c r="G10849" i="2"/>
  <c r="G10850" i="2"/>
  <c r="G10851" i="2"/>
  <c r="G10852" i="2"/>
  <c r="G10853" i="2"/>
  <c r="G10854" i="2"/>
  <c r="G10855" i="2"/>
  <c r="G10856" i="2"/>
  <c r="G10857" i="2"/>
  <c r="G10858" i="2"/>
  <c r="G10859" i="2"/>
  <c r="G10860" i="2"/>
  <c r="G10861" i="2"/>
  <c r="G10862" i="2"/>
  <c r="G10863" i="2"/>
  <c r="G10864" i="2"/>
  <c r="G10865" i="2"/>
  <c r="G10866" i="2"/>
  <c r="G10867" i="2"/>
  <c r="G10868" i="2"/>
  <c r="G10869" i="2"/>
  <c r="G10870" i="2"/>
  <c r="G10871" i="2"/>
  <c r="G10872" i="2"/>
  <c r="G10873" i="2"/>
  <c r="G10874" i="2"/>
  <c r="G10875" i="2"/>
  <c r="G10876" i="2"/>
  <c r="G10877" i="2"/>
  <c r="G10878" i="2"/>
  <c r="G10879" i="2"/>
  <c r="G10880" i="2"/>
  <c r="G10881" i="2"/>
  <c r="G10882" i="2"/>
  <c r="G10883" i="2"/>
  <c r="G10884" i="2"/>
  <c r="G10885" i="2"/>
  <c r="G10886" i="2"/>
  <c r="G10887" i="2"/>
  <c r="G10888" i="2"/>
  <c r="G10889" i="2"/>
  <c r="G10890" i="2"/>
  <c r="G10891" i="2"/>
  <c r="G10892" i="2"/>
  <c r="G10893" i="2"/>
  <c r="G10894" i="2"/>
  <c r="G10895" i="2"/>
  <c r="G10896" i="2"/>
  <c r="G10897" i="2"/>
  <c r="G10898" i="2"/>
  <c r="G10899" i="2"/>
  <c r="G10900" i="2"/>
  <c r="G10901" i="2"/>
  <c r="G10902" i="2"/>
  <c r="G10903" i="2"/>
  <c r="G10904" i="2"/>
  <c r="G10905" i="2"/>
  <c r="G10906" i="2"/>
  <c r="G10907" i="2"/>
  <c r="G10908" i="2"/>
  <c r="G10909" i="2"/>
  <c r="G10910" i="2"/>
  <c r="G10911" i="2"/>
  <c r="G10912" i="2"/>
  <c r="G10913" i="2"/>
  <c r="G10914" i="2"/>
  <c r="G10915" i="2"/>
  <c r="G10916" i="2"/>
  <c r="G10917" i="2"/>
  <c r="G10918" i="2"/>
  <c r="G10919" i="2"/>
  <c r="G10920" i="2"/>
  <c r="G10921" i="2"/>
  <c r="G10922" i="2"/>
  <c r="G10923" i="2"/>
  <c r="G10924" i="2"/>
  <c r="G10925" i="2"/>
  <c r="G10926" i="2"/>
  <c r="G10927" i="2"/>
  <c r="G10928" i="2"/>
  <c r="G10929" i="2"/>
  <c r="G10930" i="2"/>
  <c r="G10931" i="2"/>
  <c r="G10932" i="2"/>
  <c r="G10933" i="2"/>
  <c r="G10934" i="2"/>
  <c r="G10935" i="2"/>
  <c r="G10936" i="2"/>
  <c r="G10937" i="2"/>
  <c r="G10938" i="2"/>
  <c r="G10939" i="2"/>
  <c r="G10940" i="2"/>
  <c r="G10941" i="2"/>
  <c r="G10942" i="2"/>
  <c r="G10943" i="2"/>
  <c r="G10944" i="2"/>
  <c r="G10945" i="2"/>
  <c r="G10946" i="2"/>
  <c r="G10947" i="2"/>
  <c r="G10948" i="2"/>
  <c r="G10949" i="2"/>
  <c r="G10950" i="2"/>
  <c r="G10951" i="2"/>
  <c r="G10952" i="2"/>
  <c r="G10953" i="2"/>
  <c r="G10954" i="2"/>
  <c r="G10955" i="2"/>
  <c r="G10956" i="2"/>
  <c r="G10957" i="2"/>
  <c r="G10958" i="2"/>
  <c r="G10959" i="2"/>
  <c r="G10960" i="2"/>
  <c r="G10961" i="2"/>
  <c r="G10962" i="2"/>
  <c r="G10963" i="2"/>
  <c r="G10964" i="2"/>
  <c r="G10965" i="2"/>
  <c r="G10966" i="2"/>
  <c r="G10967" i="2"/>
  <c r="G10968" i="2"/>
  <c r="G10969" i="2"/>
  <c r="G10970" i="2"/>
  <c r="G10971" i="2"/>
  <c r="G10972" i="2"/>
  <c r="G10973" i="2"/>
  <c r="G10974" i="2"/>
  <c r="G10975" i="2"/>
  <c r="G10976" i="2"/>
  <c r="G10977" i="2"/>
  <c r="G10978" i="2"/>
  <c r="G10979" i="2"/>
  <c r="G10980" i="2"/>
  <c r="G10981" i="2"/>
  <c r="G10982" i="2"/>
  <c r="G10983" i="2"/>
  <c r="G10984" i="2"/>
  <c r="G10985" i="2"/>
  <c r="G10986" i="2"/>
  <c r="G10987" i="2"/>
  <c r="G10988" i="2"/>
  <c r="G10989" i="2"/>
  <c r="G10990" i="2"/>
  <c r="G10991" i="2"/>
  <c r="G10992" i="2"/>
  <c r="G10993" i="2"/>
  <c r="G10994" i="2"/>
  <c r="G10995" i="2"/>
  <c r="G10996" i="2"/>
  <c r="G10997" i="2"/>
  <c r="G10998" i="2"/>
  <c r="G10999" i="2"/>
  <c r="G11000" i="2"/>
  <c r="G11001" i="2"/>
  <c r="G11002" i="2"/>
  <c r="G11003" i="2"/>
  <c r="G11004" i="2"/>
  <c r="G11005" i="2"/>
  <c r="G11006" i="2"/>
  <c r="G11007" i="2"/>
  <c r="G11008" i="2"/>
  <c r="G11009" i="2"/>
  <c r="G11010" i="2"/>
  <c r="G11011" i="2"/>
  <c r="G11012" i="2"/>
  <c r="G11013" i="2"/>
  <c r="G11014" i="2"/>
  <c r="G11015" i="2"/>
  <c r="G11016" i="2"/>
  <c r="G11017" i="2"/>
  <c r="G11018" i="2"/>
  <c r="G11019" i="2"/>
  <c r="G11020" i="2"/>
  <c r="G11021" i="2"/>
  <c r="G11022" i="2"/>
  <c r="G11023" i="2"/>
  <c r="G11024" i="2"/>
  <c r="G11025" i="2"/>
  <c r="G11026" i="2"/>
  <c r="G11027" i="2"/>
  <c r="G11028" i="2"/>
  <c r="G11029" i="2"/>
  <c r="G11030" i="2"/>
  <c r="G11031" i="2"/>
  <c r="G11032" i="2"/>
  <c r="G11033" i="2"/>
  <c r="G11034" i="2"/>
  <c r="G11035" i="2"/>
  <c r="G11036" i="2"/>
  <c r="G11037" i="2"/>
  <c r="G11038" i="2"/>
  <c r="G11039" i="2"/>
  <c r="G11040" i="2"/>
  <c r="G11041" i="2"/>
  <c r="G11042" i="2"/>
  <c r="G11043" i="2"/>
  <c r="G11044" i="2"/>
  <c r="G11045" i="2"/>
  <c r="G11046" i="2"/>
  <c r="G11047" i="2"/>
  <c r="G11048" i="2"/>
  <c r="G11049" i="2"/>
  <c r="G11050" i="2"/>
  <c r="G11051" i="2"/>
  <c r="G11052" i="2"/>
  <c r="G11053" i="2"/>
  <c r="G11054" i="2"/>
  <c r="G11055" i="2"/>
  <c r="G11056" i="2"/>
  <c r="G11057" i="2"/>
  <c r="G11058" i="2"/>
  <c r="G11059" i="2"/>
  <c r="G11060" i="2"/>
  <c r="G11061" i="2"/>
  <c r="G11062" i="2"/>
  <c r="G11063" i="2"/>
  <c r="G11064" i="2"/>
  <c r="G11065" i="2"/>
  <c r="G11066" i="2"/>
  <c r="G11067" i="2"/>
  <c r="G11068" i="2"/>
  <c r="G11069" i="2"/>
  <c r="G11070" i="2"/>
  <c r="G11071" i="2"/>
  <c r="G11072" i="2"/>
  <c r="G11073" i="2"/>
  <c r="G11074" i="2"/>
  <c r="G11075" i="2"/>
  <c r="G11076" i="2"/>
  <c r="G11077" i="2"/>
  <c r="G11078" i="2"/>
  <c r="G11079" i="2"/>
  <c r="G11080" i="2"/>
  <c r="G11081" i="2"/>
  <c r="G11082" i="2"/>
  <c r="G11083" i="2"/>
  <c r="G11084" i="2"/>
  <c r="G11085" i="2"/>
  <c r="G11086" i="2"/>
  <c r="G11087" i="2"/>
  <c r="G11088" i="2"/>
  <c r="G11089" i="2"/>
  <c r="G11090" i="2"/>
  <c r="G11091" i="2"/>
  <c r="G11092" i="2"/>
  <c r="G11093" i="2"/>
  <c r="G11094" i="2"/>
  <c r="G11095" i="2"/>
  <c r="G11096" i="2"/>
  <c r="G11097" i="2"/>
  <c r="G11098" i="2"/>
  <c r="G11099" i="2"/>
  <c r="G11100" i="2"/>
  <c r="G11101" i="2"/>
  <c r="G11102" i="2"/>
  <c r="G11103" i="2"/>
  <c r="G11104" i="2"/>
  <c r="G11105" i="2"/>
  <c r="G11106" i="2"/>
  <c r="G11107" i="2"/>
  <c r="G11108" i="2"/>
  <c r="G11109" i="2"/>
  <c r="G11110" i="2"/>
  <c r="G11111" i="2"/>
  <c r="G11112" i="2"/>
  <c r="G11113" i="2"/>
  <c r="G11114" i="2"/>
  <c r="G11115" i="2"/>
  <c r="G11116" i="2"/>
  <c r="G11117" i="2"/>
  <c r="G11118" i="2"/>
  <c r="G11119" i="2"/>
  <c r="G11120" i="2"/>
  <c r="G11121" i="2"/>
  <c r="G11122" i="2"/>
  <c r="G11123" i="2"/>
  <c r="G11124" i="2"/>
  <c r="G11125" i="2"/>
  <c r="G11126" i="2"/>
  <c r="G11127" i="2"/>
  <c r="G11128" i="2"/>
  <c r="G11129" i="2"/>
  <c r="G11130" i="2"/>
  <c r="G11131" i="2"/>
  <c r="G11132" i="2"/>
  <c r="G11133" i="2"/>
  <c r="G11134" i="2"/>
  <c r="G11135" i="2"/>
  <c r="G11136" i="2"/>
  <c r="G11137" i="2"/>
  <c r="G11138" i="2"/>
  <c r="G11139" i="2"/>
  <c r="G11140" i="2"/>
  <c r="G11141" i="2"/>
  <c r="G11142" i="2"/>
  <c r="G11143" i="2"/>
  <c r="G11144" i="2"/>
  <c r="G11145" i="2"/>
  <c r="G11146" i="2"/>
  <c r="G11147" i="2"/>
  <c r="G11148" i="2"/>
  <c r="G11149" i="2"/>
  <c r="G11150" i="2"/>
  <c r="G11151" i="2"/>
  <c r="G11152" i="2"/>
  <c r="G11153" i="2"/>
  <c r="G11154" i="2"/>
  <c r="G11155" i="2"/>
  <c r="G11156" i="2"/>
  <c r="G11157" i="2"/>
  <c r="G11158" i="2"/>
  <c r="G11159" i="2"/>
  <c r="G11160" i="2"/>
  <c r="G11161" i="2"/>
  <c r="G11162" i="2"/>
  <c r="G11163" i="2"/>
  <c r="G11164" i="2"/>
  <c r="G11165" i="2"/>
  <c r="G11166" i="2"/>
  <c r="G11167" i="2"/>
  <c r="G11168" i="2"/>
  <c r="G11169" i="2"/>
  <c r="G11170" i="2"/>
  <c r="G11171" i="2"/>
  <c r="G11172" i="2"/>
  <c r="G11173" i="2"/>
  <c r="G11174" i="2"/>
  <c r="G11175" i="2"/>
  <c r="G11176" i="2"/>
  <c r="G11177" i="2"/>
  <c r="G11178" i="2"/>
  <c r="G11179" i="2"/>
  <c r="G11180" i="2"/>
  <c r="G11181" i="2"/>
  <c r="G11182" i="2"/>
  <c r="G11183" i="2"/>
  <c r="G11184" i="2"/>
  <c r="G11185" i="2"/>
  <c r="G11186" i="2"/>
  <c r="G11187" i="2"/>
  <c r="G11188" i="2"/>
  <c r="G11189" i="2"/>
  <c r="G11190" i="2"/>
  <c r="G11191" i="2"/>
  <c r="G11192" i="2"/>
  <c r="G11193" i="2"/>
  <c r="G11194" i="2"/>
  <c r="G11195" i="2"/>
  <c r="G11196" i="2"/>
  <c r="G11197" i="2"/>
  <c r="G11198" i="2"/>
  <c r="G11199" i="2"/>
  <c r="G11200" i="2"/>
  <c r="G11201" i="2"/>
  <c r="G11202" i="2"/>
  <c r="G11203" i="2"/>
  <c r="G11204" i="2"/>
  <c r="G11205" i="2"/>
  <c r="G11206" i="2"/>
  <c r="G11207" i="2"/>
  <c r="G11208" i="2"/>
  <c r="G11209" i="2"/>
  <c r="G11210" i="2"/>
  <c r="G11211" i="2"/>
  <c r="G11212" i="2"/>
  <c r="G11213" i="2"/>
  <c r="G11214" i="2"/>
  <c r="G11215" i="2"/>
  <c r="G11216" i="2"/>
  <c r="G11217" i="2"/>
  <c r="G11218" i="2"/>
  <c r="G11219" i="2"/>
  <c r="G11220" i="2"/>
  <c r="G11221" i="2"/>
  <c r="G11222" i="2"/>
  <c r="G11223" i="2"/>
  <c r="G11224" i="2"/>
  <c r="G11225" i="2"/>
  <c r="G11226" i="2"/>
  <c r="G11227" i="2"/>
  <c r="G11228" i="2"/>
  <c r="G11229" i="2"/>
  <c r="G11230" i="2"/>
  <c r="G11231" i="2"/>
  <c r="G11232" i="2"/>
  <c r="G11233" i="2"/>
  <c r="G11234" i="2"/>
  <c r="G11235" i="2"/>
  <c r="G11236" i="2"/>
  <c r="G11237" i="2"/>
  <c r="G11238" i="2"/>
  <c r="G11239" i="2"/>
  <c r="G11240" i="2"/>
  <c r="G11241" i="2"/>
  <c r="G11242" i="2"/>
  <c r="G11243" i="2"/>
  <c r="G11244" i="2"/>
  <c r="G11245" i="2"/>
  <c r="G11246" i="2"/>
  <c r="G11247" i="2"/>
  <c r="G11248" i="2"/>
  <c r="G11249" i="2"/>
  <c r="G11250" i="2"/>
  <c r="G11251" i="2"/>
  <c r="G11252" i="2"/>
  <c r="G11253" i="2"/>
  <c r="G11254" i="2"/>
  <c r="G11255" i="2"/>
  <c r="G11256" i="2"/>
  <c r="G11257" i="2"/>
  <c r="G11258" i="2"/>
  <c r="G11259" i="2"/>
  <c r="G11260" i="2"/>
  <c r="G11261" i="2"/>
  <c r="G11262" i="2"/>
  <c r="G11263" i="2"/>
  <c r="G11264" i="2"/>
  <c r="G11265" i="2"/>
  <c r="G11266" i="2"/>
  <c r="G11267" i="2"/>
  <c r="G11268" i="2"/>
  <c r="G11269" i="2"/>
  <c r="G11270" i="2"/>
  <c r="G11271" i="2"/>
  <c r="G11272" i="2"/>
  <c r="G11273" i="2"/>
  <c r="G11274" i="2"/>
  <c r="G11275" i="2"/>
  <c r="G11276" i="2"/>
  <c r="G11277" i="2"/>
  <c r="G11278" i="2"/>
  <c r="G11279" i="2"/>
  <c r="G11280" i="2"/>
  <c r="G11281" i="2"/>
  <c r="G11282" i="2"/>
  <c r="G11283" i="2"/>
  <c r="G11284" i="2"/>
  <c r="G11285" i="2"/>
  <c r="G11286" i="2"/>
  <c r="G11287" i="2"/>
  <c r="G11288" i="2"/>
  <c r="G11289" i="2"/>
  <c r="G11290" i="2"/>
  <c r="G11291" i="2"/>
  <c r="G11292" i="2"/>
  <c r="G11293" i="2"/>
  <c r="G11294" i="2"/>
  <c r="G11295" i="2"/>
  <c r="G11296" i="2"/>
  <c r="G11297" i="2"/>
  <c r="G11298" i="2"/>
  <c r="G11299" i="2"/>
  <c r="G11300" i="2"/>
  <c r="G11301" i="2"/>
  <c r="G11302" i="2"/>
  <c r="G11303" i="2"/>
  <c r="G11304" i="2"/>
  <c r="G11305" i="2"/>
  <c r="G11306" i="2"/>
  <c r="G11307" i="2"/>
  <c r="G11308" i="2"/>
  <c r="G11309" i="2"/>
  <c r="G11310" i="2"/>
  <c r="G11311" i="2"/>
  <c r="G11312" i="2"/>
  <c r="G11313" i="2"/>
  <c r="G11314" i="2"/>
  <c r="G11315" i="2"/>
  <c r="G11316" i="2"/>
  <c r="G11317" i="2"/>
  <c r="G11318" i="2"/>
  <c r="G11319" i="2"/>
  <c r="G11320" i="2"/>
  <c r="G11321" i="2"/>
  <c r="G11322" i="2"/>
  <c r="G11323" i="2"/>
  <c r="G11324" i="2"/>
  <c r="G11325" i="2"/>
  <c r="G11326" i="2"/>
  <c r="G11327" i="2"/>
  <c r="G11328" i="2"/>
  <c r="G11329" i="2"/>
  <c r="G11330" i="2"/>
  <c r="G11331" i="2"/>
  <c r="G11332" i="2"/>
  <c r="G11333" i="2"/>
  <c r="G11334" i="2"/>
  <c r="G11335" i="2"/>
  <c r="G11336" i="2"/>
  <c r="G11337" i="2"/>
  <c r="G11338" i="2"/>
  <c r="G11339" i="2"/>
  <c r="G11340" i="2"/>
  <c r="G11341" i="2"/>
  <c r="G11342" i="2"/>
  <c r="G11343" i="2"/>
  <c r="G11344" i="2"/>
  <c r="G11345" i="2"/>
  <c r="G11346" i="2"/>
  <c r="G11347" i="2"/>
  <c r="G11348" i="2"/>
  <c r="G11349" i="2"/>
  <c r="G11350" i="2"/>
  <c r="G11351" i="2"/>
  <c r="G11352" i="2"/>
  <c r="G11353" i="2"/>
  <c r="G11354" i="2"/>
  <c r="G11355" i="2"/>
  <c r="G11356" i="2"/>
  <c r="G11357" i="2"/>
  <c r="G11358" i="2"/>
  <c r="G11359" i="2"/>
  <c r="G11360" i="2"/>
  <c r="G11361" i="2"/>
  <c r="G11362" i="2"/>
  <c r="G11363" i="2"/>
  <c r="G11364" i="2"/>
  <c r="G11365" i="2"/>
  <c r="G11366" i="2"/>
  <c r="G11367" i="2"/>
  <c r="G11368" i="2"/>
  <c r="G11369" i="2"/>
  <c r="G11370" i="2"/>
  <c r="G11371" i="2"/>
  <c r="G11372" i="2"/>
  <c r="G11373" i="2"/>
  <c r="G11374" i="2"/>
  <c r="G11375" i="2"/>
  <c r="G11376" i="2"/>
  <c r="G11377" i="2"/>
  <c r="G11378" i="2"/>
  <c r="G11379" i="2"/>
  <c r="G11380" i="2"/>
  <c r="G11381" i="2"/>
  <c r="G11382" i="2"/>
  <c r="G11383" i="2"/>
  <c r="G11384" i="2"/>
  <c r="G11385" i="2"/>
  <c r="G11386" i="2"/>
  <c r="G11387" i="2"/>
  <c r="G11388" i="2"/>
  <c r="G11389" i="2"/>
  <c r="G11390" i="2"/>
  <c r="G11391" i="2"/>
  <c r="G11392" i="2"/>
  <c r="G11393" i="2"/>
  <c r="G11394" i="2"/>
  <c r="G11395" i="2"/>
  <c r="G11396" i="2"/>
  <c r="G11397" i="2"/>
  <c r="G11398" i="2"/>
  <c r="G11399" i="2"/>
  <c r="G11400" i="2"/>
  <c r="G11401" i="2"/>
  <c r="G11402" i="2"/>
  <c r="G11403" i="2"/>
  <c r="G11404" i="2"/>
  <c r="G11405" i="2"/>
  <c r="G11406" i="2"/>
  <c r="G11407" i="2"/>
  <c r="G11408" i="2"/>
  <c r="G11409" i="2"/>
  <c r="G11410" i="2"/>
  <c r="G11411" i="2"/>
  <c r="G11412" i="2"/>
  <c r="G11413" i="2"/>
  <c r="G11414" i="2"/>
  <c r="G11415" i="2"/>
  <c r="G11416" i="2"/>
  <c r="G11417" i="2"/>
  <c r="G11418" i="2"/>
  <c r="G11419" i="2"/>
  <c r="G11420" i="2"/>
  <c r="G11421" i="2"/>
  <c r="G11422" i="2"/>
  <c r="G11423" i="2"/>
  <c r="G11424" i="2"/>
  <c r="G11425" i="2"/>
  <c r="G11426" i="2"/>
  <c r="G11427" i="2"/>
  <c r="G11428" i="2"/>
  <c r="G11429" i="2"/>
  <c r="G11430" i="2"/>
  <c r="G11431" i="2"/>
  <c r="G11432" i="2"/>
  <c r="G11433" i="2"/>
  <c r="G11434" i="2"/>
  <c r="G11435" i="2"/>
  <c r="G11436" i="2"/>
  <c r="G11437" i="2"/>
  <c r="G11438" i="2"/>
  <c r="G11439" i="2"/>
  <c r="G11440" i="2"/>
  <c r="G11441" i="2"/>
  <c r="G11442" i="2"/>
  <c r="G11443" i="2"/>
  <c r="G11444" i="2"/>
  <c r="G11445" i="2"/>
  <c r="G11446" i="2"/>
  <c r="G11447" i="2"/>
  <c r="G11448" i="2"/>
  <c r="G11449" i="2"/>
  <c r="G11450" i="2"/>
  <c r="G11451" i="2"/>
  <c r="G11452" i="2"/>
  <c r="G11453" i="2"/>
  <c r="G11454" i="2"/>
  <c r="G11455" i="2"/>
  <c r="G11456" i="2"/>
  <c r="G11457" i="2"/>
  <c r="G11458" i="2"/>
  <c r="G11459" i="2"/>
  <c r="G11460" i="2"/>
  <c r="G11461" i="2"/>
  <c r="G11462" i="2"/>
  <c r="G11463" i="2"/>
  <c r="G11464" i="2"/>
  <c r="G11465" i="2"/>
  <c r="G11466" i="2"/>
  <c r="G11467" i="2"/>
  <c r="G11468" i="2"/>
  <c r="G11469" i="2"/>
  <c r="G11470" i="2"/>
  <c r="G11471" i="2"/>
  <c r="G11472" i="2"/>
  <c r="G11473" i="2"/>
  <c r="G11474" i="2"/>
  <c r="G11475" i="2"/>
  <c r="G11476" i="2"/>
  <c r="G11477" i="2"/>
  <c r="G11478" i="2"/>
  <c r="G11479" i="2"/>
  <c r="G11480" i="2"/>
  <c r="G11481" i="2"/>
  <c r="G11482" i="2"/>
  <c r="G11483" i="2"/>
  <c r="G11484" i="2"/>
  <c r="G11485" i="2"/>
  <c r="G11486" i="2"/>
  <c r="G11487" i="2"/>
  <c r="G11488" i="2"/>
  <c r="G11489" i="2"/>
  <c r="G11490" i="2"/>
  <c r="G11491" i="2"/>
  <c r="G11492" i="2"/>
  <c r="G11493" i="2"/>
  <c r="G11494" i="2"/>
  <c r="G11495" i="2"/>
  <c r="G11496" i="2"/>
  <c r="G11497" i="2"/>
  <c r="G11498" i="2"/>
  <c r="G11499" i="2"/>
  <c r="G11500" i="2"/>
  <c r="G11501" i="2"/>
  <c r="G11502" i="2"/>
  <c r="G11503" i="2"/>
  <c r="G11504" i="2"/>
  <c r="G11505" i="2"/>
  <c r="G11506" i="2"/>
  <c r="G11507" i="2"/>
  <c r="G11508" i="2"/>
  <c r="G11509" i="2"/>
  <c r="G11510" i="2"/>
  <c r="G11511" i="2"/>
  <c r="G11512" i="2"/>
  <c r="G11513" i="2"/>
  <c r="G11514" i="2"/>
  <c r="G11515" i="2"/>
  <c r="G11516" i="2"/>
  <c r="G11517" i="2"/>
  <c r="G11518" i="2"/>
  <c r="G11519" i="2"/>
  <c r="G11520" i="2"/>
  <c r="G11521" i="2"/>
  <c r="G11522" i="2"/>
  <c r="G11523" i="2"/>
  <c r="G11524" i="2"/>
  <c r="G11525" i="2"/>
  <c r="G11526" i="2"/>
  <c r="G11527" i="2"/>
  <c r="G11528" i="2"/>
  <c r="G11529" i="2"/>
  <c r="G11530" i="2"/>
  <c r="G11531" i="2"/>
  <c r="G11532" i="2"/>
  <c r="G11533" i="2"/>
  <c r="G11534" i="2"/>
  <c r="G11535" i="2"/>
  <c r="G11536" i="2"/>
  <c r="G11537" i="2"/>
  <c r="G11538" i="2"/>
  <c r="G11539" i="2"/>
  <c r="G11540" i="2"/>
  <c r="G11541" i="2"/>
  <c r="G11542" i="2"/>
  <c r="G11543" i="2"/>
  <c r="G11544" i="2"/>
  <c r="G11545" i="2"/>
  <c r="G11546" i="2"/>
  <c r="G11547" i="2"/>
  <c r="G11548" i="2"/>
  <c r="G11549" i="2"/>
  <c r="G11550" i="2"/>
  <c r="G11551" i="2"/>
  <c r="G11552" i="2"/>
  <c r="G11553" i="2"/>
  <c r="G11554" i="2"/>
  <c r="G11555" i="2"/>
  <c r="G11556" i="2"/>
  <c r="G11557" i="2"/>
  <c r="G11558" i="2"/>
  <c r="G11559" i="2"/>
  <c r="G11560" i="2"/>
  <c r="G11561" i="2"/>
  <c r="G11562" i="2"/>
  <c r="G11563" i="2"/>
  <c r="G11564" i="2"/>
  <c r="G11565" i="2"/>
  <c r="G11566" i="2"/>
  <c r="G11567" i="2"/>
  <c r="G11568" i="2"/>
  <c r="G11569" i="2"/>
  <c r="G11570" i="2"/>
  <c r="G11571" i="2"/>
  <c r="G11572" i="2"/>
  <c r="G11573" i="2"/>
  <c r="G11574" i="2"/>
  <c r="G11575" i="2"/>
  <c r="G11576" i="2"/>
  <c r="G11577" i="2"/>
  <c r="G11578" i="2"/>
  <c r="G11579" i="2"/>
  <c r="G11580" i="2"/>
  <c r="G11581" i="2"/>
  <c r="G11582" i="2"/>
  <c r="G11583" i="2"/>
  <c r="G11584" i="2"/>
  <c r="G11585" i="2"/>
  <c r="G11586" i="2"/>
  <c r="G11587" i="2"/>
  <c r="G11588" i="2"/>
  <c r="G11589" i="2"/>
  <c r="G11590" i="2"/>
  <c r="G11591" i="2"/>
  <c r="G11592" i="2"/>
  <c r="G11593" i="2"/>
  <c r="G11594" i="2"/>
  <c r="G11595" i="2"/>
  <c r="G11596" i="2"/>
  <c r="G11597" i="2"/>
  <c r="G11598" i="2"/>
  <c r="G11599" i="2"/>
  <c r="G11600" i="2"/>
  <c r="G11601" i="2"/>
  <c r="G11602" i="2"/>
  <c r="G11603" i="2"/>
  <c r="G11604" i="2"/>
  <c r="G11605" i="2"/>
  <c r="G11606" i="2"/>
  <c r="G11607" i="2"/>
  <c r="G11608" i="2"/>
  <c r="G11609" i="2"/>
  <c r="G11610" i="2"/>
  <c r="G11611" i="2"/>
  <c r="G11612" i="2"/>
  <c r="G11613" i="2"/>
  <c r="G11614" i="2"/>
  <c r="G11615" i="2"/>
  <c r="G11616" i="2"/>
  <c r="G11617" i="2"/>
  <c r="G11618" i="2"/>
  <c r="G11619" i="2"/>
  <c r="G11620" i="2"/>
  <c r="G11621" i="2"/>
  <c r="G11622" i="2"/>
  <c r="G11623" i="2"/>
  <c r="G11624" i="2"/>
  <c r="G11625" i="2"/>
  <c r="G11626" i="2"/>
  <c r="G11627" i="2"/>
  <c r="G11628" i="2"/>
  <c r="G11629" i="2"/>
  <c r="G11630" i="2"/>
  <c r="G11631" i="2"/>
  <c r="G11632" i="2"/>
  <c r="G11633" i="2"/>
  <c r="G11634" i="2"/>
  <c r="G11635" i="2"/>
  <c r="G11636" i="2"/>
  <c r="G11637" i="2"/>
  <c r="G11638" i="2"/>
  <c r="G11639" i="2"/>
  <c r="G11640" i="2"/>
  <c r="G11641" i="2"/>
  <c r="G11642" i="2"/>
  <c r="G11643" i="2"/>
  <c r="G11644" i="2"/>
  <c r="G11645" i="2"/>
  <c r="G11646" i="2"/>
  <c r="G11647" i="2"/>
  <c r="G11648" i="2"/>
  <c r="G11649" i="2"/>
  <c r="G11650" i="2"/>
  <c r="G11651" i="2"/>
  <c r="G11652" i="2"/>
  <c r="G11653" i="2"/>
  <c r="G11654" i="2"/>
  <c r="G11655" i="2"/>
  <c r="G11656" i="2"/>
  <c r="G11657" i="2"/>
  <c r="G11658" i="2"/>
  <c r="G11659" i="2"/>
  <c r="G11660" i="2"/>
  <c r="G11661" i="2"/>
  <c r="G11662" i="2"/>
  <c r="G11663" i="2"/>
  <c r="G11664" i="2"/>
  <c r="G11665" i="2"/>
  <c r="G11666" i="2"/>
  <c r="G11667" i="2"/>
  <c r="G11668" i="2"/>
  <c r="G11669" i="2"/>
  <c r="G11670" i="2"/>
  <c r="G11671" i="2"/>
  <c r="G11672" i="2"/>
  <c r="G11673" i="2"/>
  <c r="G11674" i="2"/>
  <c r="G11675" i="2"/>
  <c r="G11676" i="2"/>
  <c r="G11677" i="2"/>
  <c r="G11678" i="2"/>
  <c r="G11679" i="2"/>
  <c r="G11680" i="2"/>
  <c r="G11681" i="2"/>
  <c r="G11682" i="2"/>
  <c r="G11683" i="2"/>
  <c r="G11684" i="2"/>
  <c r="G11685" i="2"/>
  <c r="G11686" i="2"/>
  <c r="G11687" i="2"/>
  <c r="G11688" i="2"/>
  <c r="G11689" i="2"/>
  <c r="G11690" i="2"/>
  <c r="G11691" i="2"/>
  <c r="G11692" i="2"/>
  <c r="G11693" i="2"/>
  <c r="G11694" i="2"/>
  <c r="G11695" i="2"/>
  <c r="G11696" i="2"/>
  <c r="G11697" i="2"/>
  <c r="G11698" i="2"/>
  <c r="G11699" i="2"/>
  <c r="G11700" i="2"/>
  <c r="G11701" i="2"/>
  <c r="G11702" i="2"/>
  <c r="G11703" i="2"/>
  <c r="G11704" i="2"/>
  <c r="G11705" i="2"/>
  <c r="G11706" i="2"/>
  <c r="G11707" i="2"/>
  <c r="G11708" i="2"/>
  <c r="G11709" i="2"/>
  <c r="G11710" i="2"/>
  <c r="G11711" i="2"/>
  <c r="G11712" i="2"/>
  <c r="G11713" i="2"/>
  <c r="G11714" i="2"/>
  <c r="G11715" i="2"/>
  <c r="G11716" i="2"/>
  <c r="G11717" i="2"/>
  <c r="G11718" i="2"/>
  <c r="G11719" i="2"/>
  <c r="G11720" i="2"/>
  <c r="G11721" i="2"/>
  <c r="G11722" i="2"/>
  <c r="G11723" i="2"/>
  <c r="G11724" i="2"/>
  <c r="G11725" i="2"/>
  <c r="G11726" i="2"/>
  <c r="G11727" i="2"/>
  <c r="G11728" i="2"/>
  <c r="G11729" i="2"/>
  <c r="G11730" i="2"/>
  <c r="G11731" i="2"/>
  <c r="G11732" i="2"/>
  <c r="G11733" i="2"/>
  <c r="G11734" i="2"/>
  <c r="G11735" i="2"/>
  <c r="G11736" i="2"/>
  <c r="G11737" i="2"/>
  <c r="G11738" i="2"/>
  <c r="G11739" i="2"/>
  <c r="G11740" i="2"/>
  <c r="G11741" i="2"/>
  <c r="G11742" i="2"/>
  <c r="G11743" i="2"/>
  <c r="G11744" i="2"/>
  <c r="G11745" i="2"/>
  <c r="G11746" i="2"/>
  <c r="G11747" i="2"/>
  <c r="G11748" i="2"/>
  <c r="G11749" i="2"/>
  <c r="G11750" i="2"/>
  <c r="G11751" i="2"/>
  <c r="G11752" i="2"/>
  <c r="G11753" i="2"/>
  <c r="G11754" i="2"/>
  <c r="G11755" i="2"/>
  <c r="G11756" i="2"/>
  <c r="G11757" i="2"/>
  <c r="G11758" i="2"/>
  <c r="G11759" i="2"/>
  <c r="G11760" i="2"/>
  <c r="G11761" i="2"/>
  <c r="G11762" i="2"/>
  <c r="G11763" i="2"/>
  <c r="G11764" i="2"/>
  <c r="G11765" i="2"/>
  <c r="G11766" i="2"/>
  <c r="G11767" i="2"/>
  <c r="G11768" i="2"/>
  <c r="G11769" i="2"/>
  <c r="G11770" i="2"/>
  <c r="G11771" i="2"/>
  <c r="G11772" i="2"/>
  <c r="G11773" i="2"/>
  <c r="G11774" i="2"/>
  <c r="G11775" i="2"/>
  <c r="G11776" i="2"/>
  <c r="G11777" i="2"/>
  <c r="G11778" i="2"/>
  <c r="G11779" i="2"/>
  <c r="G11780" i="2"/>
  <c r="G11781" i="2"/>
  <c r="G11782" i="2"/>
  <c r="G11783" i="2"/>
  <c r="G11784" i="2"/>
  <c r="G11785" i="2"/>
  <c r="G11786" i="2"/>
  <c r="G11787" i="2"/>
  <c r="G11788" i="2"/>
  <c r="G11789" i="2"/>
  <c r="G11790" i="2"/>
  <c r="G11791" i="2"/>
  <c r="G11792" i="2"/>
  <c r="G11793" i="2"/>
  <c r="G11794" i="2"/>
  <c r="G11795" i="2"/>
  <c r="G11796" i="2"/>
  <c r="G11797" i="2"/>
  <c r="G11798" i="2"/>
  <c r="G11799" i="2"/>
  <c r="G11800" i="2"/>
  <c r="G11801" i="2"/>
  <c r="G11802" i="2"/>
  <c r="G11803" i="2"/>
  <c r="G11804" i="2"/>
  <c r="G11805" i="2"/>
  <c r="G11806" i="2"/>
  <c r="G11807" i="2"/>
  <c r="G11808" i="2"/>
  <c r="G11809" i="2"/>
  <c r="G11810" i="2"/>
  <c r="G11811" i="2"/>
  <c r="G11812" i="2"/>
  <c r="G11813" i="2"/>
  <c r="G11814" i="2"/>
  <c r="G11815" i="2"/>
  <c r="G11816" i="2"/>
  <c r="G11817" i="2"/>
  <c r="G11818" i="2"/>
  <c r="G11819" i="2"/>
  <c r="G11820" i="2"/>
  <c r="G11821" i="2"/>
  <c r="G11822" i="2"/>
  <c r="G11823" i="2"/>
  <c r="G11824" i="2"/>
  <c r="G11825" i="2"/>
  <c r="G11826" i="2"/>
  <c r="G11827" i="2"/>
  <c r="G11828" i="2"/>
  <c r="G11829" i="2"/>
  <c r="G11830" i="2"/>
  <c r="G11831" i="2"/>
  <c r="G11832" i="2"/>
  <c r="G11833" i="2"/>
  <c r="G11834" i="2"/>
  <c r="G11835" i="2"/>
  <c r="G11836" i="2"/>
  <c r="G11837" i="2"/>
  <c r="G11838" i="2"/>
  <c r="G11839" i="2"/>
  <c r="G11840" i="2"/>
  <c r="G11841" i="2"/>
  <c r="G11842" i="2"/>
  <c r="G11843" i="2"/>
  <c r="G11844" i="2"/>
  <c r="G11845" i="2"/>
  <c r="G11846" i="2"/>
  <c r="G11847" i="2"/>
  <c r="G11848" i="2"/>
  <c r="G11849" i="2"/>
  <c r="G11850" i="2"/>
  <c r="G11851" i="2"/>
  <c r="G11852" i="2"/>
  <c r="G11853" i="2"/>
  <c r="G11854" i="2"/>
  <c r="G11855" i="2"/>
  <c r="G11856" i="2"/>
  <c r="G11857" i="2"/>
  <c r="G11858" i="2"/>
  <c r="G11859" i="2"/>
  <c r="G11860" i="2"/>
  <c r="G11861" i="2"/>
  <c r="G11862" i="2"/>
  <c r="G11863" i="2"/>
  <c r="G11864" i="2"/>
  <c r="G11865" i="2"/>
  <c r="G11866" i="2"/>
  <c r="G11867" i="2"/>
  <c r="G11868" i="2"/>
  <c r="G11869" i="2"/>
  <c r="G11870" i="2"/>
  <c r="G11871" i="2"/>
  <c r="G11872" i="2"/>
  <c r="G11873" i="2"/>
  <c r="G11874" i="2"/>
  <c r="G11875" i="2"/>
  <c r="G11876" i="2"/>
  <c r="G11877" i="2"/>
  <c r="G11878" i="2"/>
  <c r="G11879" i="2"/>
  <c r="G11880" i="2"/>
  <c r="G11881" i="2"/>
  <c r="G11882" i="2"/>
  <c r="G11883" i="2"/>
  <c r="G11884" i="2"/>
  <c r="G11885" i="2"/>
  <c r="G11886" i="2"/>
  <c r="G11887" i="2"/>
  <c r="G11888" i="2"/>
  <c r="G11889" i="2"/>
  <c r="G11890" i="2"/>
  <c r="G11891" i="2"/>
  <c r="G11892" i="2"/>
  <c r="G11893" i="2"/>
  <c r="G11894" i="2"/>
  <c r="G11895" i="2"/>
  <c r="G11896" i="2"/>
  <c r="G11897" i="2"/>
  <c r="G11898" i="2"/>
  <c r="G11899" i="2"/>
  <c r="G11900" i="2"/>
  <c r="G11901" i="2"/>
  <c r="G11902" i="2"/>
  <c r="G11903" i="2"/>
  <c r="G11904" i="2"/>
  <c r="G11905" i="2"/>
  <c r="G11906" i="2"/>
  <c r="G11907" i="2"/>
  <c r="G11908" i="2"/>
  <c r="G11909" i="2"/>
  <c r="G11910" i="2"/>
  <c r="G11911" i="2"/>
  <c r="G11912" i="2"/>
  <c r="G11913" i="2"/>
  <c r="G11914" i="2"/>
  <c r="G11915" i="2"/>
  <c r="G11916" i="2"/>
  <c r="G11917" i="2"/>
  <c r="G11918" i="2"/>
  <c r="G11919" i="2"/>
  <c r="G11920" i="2"/>
  <c r="G11921" i="2"/>
  <c r="G11922" i="2"/>
  <c r="G11923" i="2"/>
  <c r="G11924" i="2"/>
  <c r="G11925" i="2"/>
  <c r="G11926" i="2"/>
  <c r="G11927" i="2"/>
  <c r="G11928" i="2"/>
  <c r="G11929" i="2"/>
  <c r="G11930" i="2"/>
  <c r="G11931" i="2"/>
  <c r="G11932" i="2"/>
  <c r="G11933" i="2"/>
  <c r="G11934" i="2"/>
  <c r="G11935" i="2"/>
  <c r="G11936" i="2"/>
  <c r="G11937" i="2"/>
  <c r="G11938" i="2"/>
  <c r="G11939" i="2"/>
  <c r="G11940" i="2"/>
  <c r="G11941" i="2"/>
  <c r="G11942" i="2"/>
  <c r="G11943" i="2"/>
  <c r="G11944" i="2"/>
  <c r="G11945" i="2"/>
  <c r="G11946" i="2"/>
  <c r="G11947" i="2"/>
  <c r="G11948" i="2"/>
  <c r="G11949" i="2"/>
  <c r="G11950" i="2"/>
  <c r="G11951" i="2"/>
  <c r="G11952" i="2"/>
  <c r="G11953" i="2"/>
  <c r="G11954" i="2"/>
  <c r="G11955" i="2"/>
  <c r="G11956" i="2"/>
  <c r="G11957" i="2"/>
  <c r="G11958" i="2"/>
  <c r="G11959" i="2"/>
  <c r="G11960" i="2"/>
  <c r="G11961" i="2"/>
  <c r="G11962" i="2"/>
  <c r="G11963" i="2"/>
  <c r="G11964" i="2"/>
  <c r="G11965" i="2"/>
  <c r="G11966" i="2"/>
  <c r="G11967" i="2"/>
  <c r="G11968" i="2"/>
  <c r="G11969" i="2"/>
  <c r="G11970" i="2"/>
  <c r="G11971" i="2"/>
  <c r="G11972" i="2"/>
  <c r="G11973" i="2"/>
  <c r="G11974" i="2"/>
  <c r="G11975" i="2"/>
  <c r="G11976" i="2"/>
  <c r="G11977" i="2"/>
  <c r="G11978" i="2"/>
  <c r="G11979" i="2"/>
  <c r="G11980" i="2"/>
  <c r="G11981" i="2"/>
  <c r="G11982" i="2"/>
  <c r="G11983" i="2"/>
  <c r="G11984" i="2"/>
  <c r="G11985" i="2"/>
  <c r="G11986" i="2"/>
  <c r="G11987" i="2"/>
  <c r="G11988" i="2"/>
  <c r="G11989" i="2"/>
  <c r="G11990" i="2"/>
  <c r="G11991" i="2"/>
  <c r="G11992" i="2"/>
  <c r="G11993" i="2"/>
  <c r="G11994" i="2"/>
  <c r="G11995" i="2"/>
  <c r="G11996" i="2"/>
  <c r="G11997" i="2"/>
  <c r="G11998" i="2"/>
  <c r="G11999" i="2"/>
  <c r="G12000" i="2"/>
  <c r="G12001" i="2"/>
  <c r="G12002" i="2"/>
  <c r="G12003" i="2"/>
  <c r="G12004" i="2"/>
  <c r="G12005" i="2"/>
  <c r="G12006" i="2"/>
  <c r="G12007" i="2"/>
  <c r="G12008" i="2"/>
  <c r="G12009" i="2"/>
  <c r="G12010" i="2"/>
  <c r="G12011" i="2"/>
  <c r="G12012" i="2"/>
  <c r="G12013" i="2"/>
  <c r="G12014" i="2"/>
  <c r="G12015" i="2"/>
  <c r="G12016" i="2"/>
  <c r="G12017" i="2"/>
  <c r="G12018" i="2"/>
  <c r="G12019" i="2"/>
  <c r="G12020" i="2"/>
  <c r="G12021" i="2"/>
  <c r="G12022" i="2"/>
  <c r="G12023" i="2"/>
  <c r="G12024" i="2"/>
  <c r="G12025" i="2"/>
  <c r="G12026" i="2"/>
  <c r="G12027" i="2"/>
  <c r="G12028" i="2"/>
  <c r="G12029" i="2"/>
  <c r="G12030" i="2"/>
  <c r="G12031" i="2"/>
  <c r="G12032" i="2"/>
  <c r="G12033" i="2"/>
  <c r="G12034" i="2"/>
  <c r="G12035" i="2"/>
  <c r="G12036" i="2"/>
  <c r="G12037" i="2"/>
  <c r="G12038" i="2"/>
  <c r="G12039" i="2"/>
  <c r="G12040" i="2"/>
  <c r="G12041" i="2"/>
  <c r="G12042" i="2"/>
  <c r="G12043" i="2"/>
  <c r="G12044" i="2"/>
  <c r="G12045" i="2"/>
  <c r="G12046" i="2"/>
  <c r="G12047" i="2"/>
  <c r="G12048" i="2"/>
  <c r="G12049" i="2"/>
  <c r="G12050" i="2"/>
  <c r="G12051" i="2"/>
  <c r="G12052" i="2"/>
  <c r="G12053" i="2"/>
  <c r="G12054" i="2"/>
  <c r="G12055" i="2"/>
  <c r="G12056" i="2"/>
  <c r="G12057" i="2"/>
  <c r="G12058" i="2"/>
  <c r="G12059" i="2"/>
  <c r="G12060" i="2"/>
  <c r="G12061" i="2"/>
  <c r="G12062" i="2"/>
  <c r="G12063" i="2"/>
  <c r="G12064" i="2"/>
  <c r="G12065" i="2"/>
  <c r="G12066" i="2"/>
  <c r="G12067" i="2"/>
  <c r="G12068" i="2"/>
  <c r="G12069" i="2"/>
  <c r="G12070" i="2"/>
  <c r="G12071" i="2"/>
  <c r="G12072" i="2"/>
  <c r="G12073" i="2"/>
  <c r="G12074" i="2"/>
  <c r="G12075" i="2"/>
  <c r="G12076" i="2"/>
  <c r="G12077" i="2"/>
  <c r="G12078" i="2"/>
  <c r="G12079" i="2"/>
  <c r="G12080" i="2"/>
  <c r="G12081" i="2"/>
  <c r="G12082" i="2"/>
  <c r="G12083" i="2"/>
  <c r="G12084" i="2"/>
  <c r="G12085" i="2"/>
  <c r="G12086" i="2"/>
  <c r="G12087" i="2"/>
  <c r="G12088" i="2"/>
  <c r="G12089" i="2"/>
  <c r="G12090" i="2"/>
  <c r="G12091" i="2"/>
  <c r="G12092" i="2"/>
  <c r="G12093" i="2"/>
  <c r="G12094" i="2"/>
  <c r="G12095" i="2"/>
  <c r="G12096" i="2"/>
  <c r="G12097" i="2"/>
  <c r="G12098" i="2"/>
  <c r="G12099" i="2"/>
  <c r="G12100" i="2"/>
  <c r="G12101" i="2"/>
  <c r="G12102" i="2"/>
  <c r="G12103" i="2"/>
  <c r="G12104" i="2"/>
  <c r="G12105" i="2"/>
  <c r="G12106" i="2"/>
  <c r="G12107" i="2"/>
  <c r="G12108" i="2"/>
  <c r="G12109" i="2"/>
  <c r="G12110" i="2"/>
  <c r="G12111" i="2"/>
  <c r="G12112" i="2"/>
  <c r="G12113" i="2"/>
  <c r="G12114" i="2"/>
  <c r="G12115" i="2"/>
  <c r="G12116" i="2"/>
  <c r="G12117" i="2"/>
  <c r="G12118" i="2"/>
  <c r="G12119" i="2"/>
  <c r="G12120" i="2"/>
  <c r="G12121" i="2"/>
  <c r="G12122" i="2"/>
  <c r="G12123" i="2"/>
  <c r="G12124" i="2"/>
  <c r="G12125" i="2"/>
  <c r="G12126" i="2"/>
  <c r="G12127" i="2"/>
  <c r="G12128" i="2"/>
  <c r="G12129" i="2"/>
  <c r="G12130" i="2"/>
  <c r="G12131" i="2"/>
  <c r="G12132" i="2"/>
  <c r="G12133" i="2"/>
  <c r="G12134" i="2"/>
  <c r="G12135" i="2"/>
  <c r="G12136" i="2"/>
  <c r="G12137" i="2"/>
  <c r="G12138" i="2"/>
  <c r="G12139" i="2"/>
  <c r="G12140" i="2"/>
  <c r="G12141" i="2"/>
  <c r="G12142" i="2"/>
  <c r="G12143" i="2"/>
  <c r="G12144" i="2"/>
  <c r="G12145" i="2"/>
  <c r="G12146" i="2"/>
  <c r="G12147" i="2"/>
  <c r="G12148" i="2"/>
  <c r="G12149" i="2"/>
  <c r="G12150" i="2"/>
  <c r="G12151" i="2"/>
  <c r="G12152" i="2"/>
  <c r="G12153" i="2"/>
  <c r="G12154" i="2"/>
  <c r="G12155" i="2"/>
  <c r="G12156" i="2"/>
  <c r="G12157" i="2"/>
  <c r="G12158" i="2"/>
  <c r="G12159" i="2"/>
  <c r="G12160" i="2"/>
  <c r="G12161" i="2"/>
  <c r="G12162" i="2"/>
  <c r="G12163" i="2"/>
  <c r="G12164" i="2"/>
  <c r="G12165" i="2"/>
  <c r="G12166" i="2"/>
  <c r="G12167" i="2"/>
  <c r="G12168" i="2"/>
  <c r="G12169" i="2"/>
  <c r="G12170" i="2"/>
  <c r="G12171" i="2"/>
  <c r="G12172" i="2"/>
  <c r="G12173" i="2"/>
  <c r="G12174" i="2"/>
  <c r="G12175" i="2"/>
  <c r="G12176" i="2"/>
  <c r="G12177" i="2"/>
  <c r="G12178" i="2"/>
  <c r="G12179" i="2"/>
  <c r="G12180" i="2"/>
  <c r="G12181" i="2"/>
  <c r="G12182" i="2"/>
  <c r="G12183" i="2"/>
  <c r="G12184" i="2"/>
  <c r="G12185" i="2"/>
  <c r="G12186" i="2"/>
  <c r="G12187" i="2"/>
  <c r="G12188" i="2"/>
  <c r="G12189" i="2"/>
  <c r="G12190" i="2"/>
  <c r="G12191" i="2"/>
  <c r="G12192" i="2"/>
  <c r="G12193" i="2"/>
  <c r="G12194" i="2"/>
  <c r="G12195" i="2"/>
  <c r="G12196" i="2"/>
  <c r="G12197" i="2"/>
  <c r="G12198" i="2"/>
  <c r="G12199" i="2"/>
  <c r="G12200" i="2"/>
  <c r="G12201" i="2"/>
  <c r="G12202" i="2"/>
  <c r="G12203" i="2"/>
  <c r="G12204" i="2"/>
  <c r="G12205" i="2"/>
  <c r="G12206" i="2"/>
  <c r="G12207" i="2"/>
  <c r="G12208" i="2"/>
  <c r="G12209" i="2"/>
  <c r="G12210" i="2"/>
  <c r="G12211" i="2"/>
  <c r="G12212" i="2"/>
  <c r="G12213" i="2"/>
  <c r="G12214" i="2"/>
  <c r="G12215" i="2"/>
  <c r="G12216" i="2"/>
  <c r="G12217" i="2"/>
  <c r="G12218" i="2"/>
  <c r="G12219" i="2"/>
  <c r="G12220" i="2"/>
  <c r="G12221" i="2"/>
  <c r="G12222" i="2"/>
  <c r="G12223" i="2"/>
  <c r="G12224" i="2"/>
  <c r="G12225" i="2"/>
  <c r="G12226" i="2"/>
  <c r="G12227" i="2"/>
  <c r="G12228" i="2"/>
  <c r="G12229" i="2"/>
  <c r="G12230" i="2"/>
  <c r="G12231" i="2"/>
  <c r="G12232" i="2"/>
  <c r="G12233" i="2"/>
  <c r="G12234" i="2"/>
  <c r="G12235" i="2"/>
  <c r="G12236" i="2"/>
  <c r="G12237" i="2"/>
  <c r="G12238" i="2"/>
  <c r="G12239" i="2"/>
  <c r="G12240" i="2"/>
  <c r="G12241" i="2"/>
  <c r="G12242" i="2"/>
  <c r="G12243" i="2"/>
  <c r="G12244" i="2"/>
  <c r="G12245" i="2"/>
  <c r="G12246" i="2"/>
  <c r="G12247" i="2"/>
  <c r="G12248" i="2"/>
  <c r="G12249" i="2"/>
  <c r="G12250" i="2"/>
  <c r="G12251" i="2"/>
  <c r="G12252" i="2"/>
  <c r="G12253" i="2"/>
  <c r="G12254" i="2"/>
  <c r="G12255" i="2"/>
  <c r="G12256" i="2"/>
  <c r="G12257" i="2"/>
  <c r="G12258" i="2"/>
  <c r="G12259" i="2"/>
  <c r="G12260" i="2"/>
  <c r="G12261" i="2"/>
  <c r="G12262" i="2"/>
  <c r="G12263" i="2"/>
  <c r="G12264" i="2"/>
  <c r="G12265" i="2"/>
  <c r="G12266" i="2"/>
  <c r="G12267" i="2"/>
  <c r="G12268" i="2"/>
  <c r="G12269" i="2"/>
  <c r="G12270" i="2"/>
  <c r="G12271" i="2"/>
  <c r="G12272" i="2"/>
  <c r="G12273" i="2"/>
  <c r="G12274" i="2"/>
  <c r="G12275" i="2"/>
  <c r="G12276" i="2"/>
  <c r="G12277" i="2"/>
  <c r="G12278" i="2"/>
  <c r="G12279" i="2"/>
  <c r="G12280" i="2"/>
  <c r="G12281" i="2"/>
  <c r="G12282" i="2"/>
  <c r="G12283" i="2"/>
  <c r="G12284" i="2"/>
  <c r="G12285" i="2"/>
  <c r="G12286" i="2"/>
  <c r="G12287" i="2"/>
  <c r="G12288" i="2"/>
  <c r="G12289" i="2"/>
  <c r="G12290" i="2"/>
  <c r="G12291" i="2"/>
  <c r="G12292" i="2"/>
  <c r="G12293" i="2"/>
  <c r="G12294" i="2"/>
  <c r="G12295" i="2"/>
  <c r="G12296" i="2"/>
  <c r="G12297" i="2"/>
  <c r="G12298" i="2"/>
  <c r="G12299" i="2"/>
  <c r="G12300" i="2"/>
  <c r="G12301" i="2"/>
  <c r="G12302" i="2"/>
  <c r="G12303" i="2"/>
  <c r="G12304" i="2"/>
  <c r="G12305" i="2"/>
  <c r="G12306" i="2"/>
  <c r="G12307" i="2"/>
  <c r="G12308" i="2"/>
  <c r="G12309" i="2"/>
  <c r="G12310" i="2"/>
  <c r="G12311" i="2"/>
  <c r="G12312" i="2"/>
  <c r="G12313" i="2"/>
  <c r="G12314" i="2"/>
  <c r="G12315" i="2"/>
  <c r="G12316" i="2"/>
  <c r="G12317" i="2"/>
  <c r="G12318" i="2"/>
  <c r="G12319" i="2"/>
  <c r="G12320" i="2"/>
  <c r="G12321" i="2"/>
  <c r="G12322" i="2"/>
  <c r="G12323" i="2"/>
  <c r="G12324" i="2"/>
  <c r="G12325" i="2"/>
  <c r="G12326" i="2"/>
  <c r="G12327" i="2"/>
  <c r="G12328" i="2"/>
  <c r="G12329" i="2"/>
  <c r="G12330" i="2"/>
  <c r="G12331" i="2"/>
  <c r="G12332" i="2"/>
  <c r="G12333" i="2"/>
  <c r="G12334" i="2"/>
  <c r="G12335" i="2"/>
  <c r="G12336" i="2"/>
  <c r="G12337" i="2"/>
  <c r="G12338" i="2"/>
  <c r="G12339" i="2"/>
  <c r="G12340" i="2"/>
  <c r="G12341" i="2"/>
  <c r="G12342" i="2"/>
  <c r="G12343" i="2"/>
  <c r="G12344" i="2"/>
  <c r="G12345" i="2"/>
  <c r="G12346" i="2"/>
  <c r="G12347" i="2"/>
  <c r="G12348" i="2"/>
  <c r="G12349" i="2"/>
  <c r="G12350" i="2"/>
  <c r="G12351" i="2"/>
  <c r="G12352" i="2"/>
  <c r="G12353" i="2"/>
  <c r="G12354" i="2"/>
  <c r="G12355" i="2"/>
  <c r="G12356" i="2"/>
  <c r="G12357" i="2"/>
  <c r="G12358" i="2"/>
  <c r="G12359" i="2"/>
  <c r="G12360" i="2"/>
  <c r="G12361" i="2"/>
  <c r="G12362" i="2"/>
  <c r="G12363" i="2"/>
  <c r="G12364" i="2"/>
  <c r="G12365" i="2"/>
  <c r="G12366" i="2"/>
  <c r="G12367" i="2"/>
  <c r="G12368" i="2"/>
  <c r="G12369" i="2"/>
  <c r="G12370" i="2"/>
  <c r="G12371" i="2"/>
  <c r="G12372" i="2"/>
  <c r="G12373" i="2"/>
  <c r="G12374" i="2"/>
  <c r="G12375" i="2"/>
  <c r="G12376" i="2"/>
  <c r="G12377" i="2"/>
  <c r="G12378" i="2"/>
  <c r="G12379" i="2"/>
  <c r="G12380" i="2"/>
  <c r="G12381" i="2"/>
  <c r="G12382" i="2"/>
  <c r="G12383" i="2"/>
  <c r="G12384" i="2"/>
  <c r="G12385" i="2"/>
  <c r="G12386" i="2"/>
  <c r="G12387" i="2"/>
  <c r="G12388" i="2"/>
  <c r="G12389" i="2"/>
  <c r="G12390" i="2"/>
  <c r="G12391" i="2"/>
  <c r="G12392" i="2"/>
  <c r="G12393" i="2"/>
  <c r="G12394" i="2"/>
  <c r="G12395" i="2"/>
  <c r="G12396" i="2"/>
  <c r="G12397" i="2"/>
  <c r="G12398" i="2"/>
  <c r="G12399" i="2"/>
  <c r="G12400" i="2"/>
  <c r="G12401" i="2"/>
  <c r="G12402" i="2"/>
  <c r="G12403" i="2"/>
  <c r="G12404" i="2"/>
  <c r="G12405" i="2"/>
  <c r="G12406" i="2"/>
  <c r="G12407" i="2"/>
  <c r="G12408" i="2"/>
  <c r="G12409" i="2"/>
  <c r="G12410" i="2"/>
  <c r="G12411" i="2"/>
  <c r="G12412" i="2"/>
  <c r="G12413" i="2"/>
  <c r="G12414" i="2"/>
  <c r="G12415" i="2"/>
  <c r="G12416" i="2"/>
  <c r="G12417" i="2"/>
  <c r="G12418" i="2"/>
  <c r="G12419" i="2"/>
  <c r="G12420" i="2"/>
  <c r="G12421" i="2"/>
  <c r="G12422" i="2"/>
  <c r="G12423" i="2"/>
  <c r="G12424" i="2"/>
  <c r="G12425" i="2"/>
  <c r="G12426" i="2"/>
  <c r="G12427" i="2"/>
  <c r="G12428" i="2"/>
  <c r="G12429" i="2"/>
  <c r="G12430" i="2"/>
  <c r="G12431" i="2"/>
  <c r="G12432" i="2"/>
  <c r="G12433" i="2"/>
  <c r="G12434" i="2"/>
  <c r="G12435" i="2"/>
  <c r="G12436" i="2"/>
  <c r="G12437" i="2"/>
  <c r="G12438" i="2"/>
  <c r="G12439" i="2"/>
  <c r="G12440" i="2"/>
  <c r="G12441" i="2"/>
  <c r="G12442" i="2"/>
  <c r="G12443" i="2"/>
  <c r="G12444" i="2"/>
  <c r="G12445" i="2"/>
  <c r="G12446" i="2"/>
  <c r="G12447" i="2"/>
  <c r="G12448" i="2"/>
  <c r="G12449" i="2"/>
  <c r="G12450" i="2"/>
  <c r="G12451" i="2"/>
  <c r="G12452" i="2"/>
  <c r="G12453" i="2"/>
  <c r="G12454" i="2"/>
  <c r="G12455" i="2"/>
  <c r="G12456" i="2"/>
  <c r="G12457" i="2"/>
  <c r="G12458" i="2"/>
  <c r="G12459" i="2"/>
  <c r="G12460" i="2"/>
  <c r="G12461" i="2"/>
  <c r="G12462" i="2"/>
  <c r="G12463" i="2"/>
  <c r="G12464" i="2"/>
  <c r="G12465" i="2"/>
  <c r="G12466" i="2"/>
  <c r="G12467" i="2"/>
  <c r="G12468" i="2"/>
  <c r="G12469" i="2"/>
  <c r="G12470" i="2"/>
  <c r="G12471" i="2"/>
  <c r="G12472" i="2"/>
  <c r="G12473" i="2"/>
  <c r="G12474" i="2"/>
  <c r="G12475" i="2"/>
  <c r="G12476" i="2"/>
  <c r="G12477" i="2"/>
  <c r="G12478" i="2"/>
  <c r="G12479" i="2"/>
  <c r="G12480" i="2"/>
  <c r="G12481" i="2"/>
  <c r="G12482" i="2"/>
  <c r="G12483" i="2"/>
  <c r="G12484" i="2"/>
  <c r="G12485" i="2"/>
  <c r="G12486" i="2"/>
  <c r="G12487" i="2"/>
  <c r="G12488" i="2"/>
  <c r="G12489" i="2"/>
  <c r="G12490" i="2"/>
  <c r="G12491" i="2"/>
  <c r="G12492" i="2"/>
  <c r="G12493" i="2"/>
  <c r="G12494" i="2"/>
  <c r="G12495" i="2"/>
  <c r="G12496" i="2"/>
  <c r="G12497" i="2"/>
  <c r="G12498" i="2"/>
  <c r="G12499" i="2"/>
  <c r="G12500" i="2"/>
  <c r="G12501" i="2"/>
  <c r="G12502" i="2"/>
  <c r="G12503" i="2"/>
  <c r="G12504" i="2"/>
  <c r="G12505" i="2"/>
  <c r="G12506" i="2"/>
  <c r="G12507" i="2"/>
  <c r="G12508" i="2"/>
  <c r="G12509" i="2"/>
  <c r="G12510" i="2"/>
  <c r="G12511" i="2"/>
  <c r="G12512" i="2"/>
  <c r="G12513" i="2"/>
  <c r="G12514" i="2"/>
  <c r="G12515" i="2"/>
  <c r="G12516" i="2"/>
  <c r="G12517" i="2"/>
  <c r="G12518" i="2"/>
  <c r="G12519" i="2"/>
  <c r="G12520" i="2"/>
  <c r="G12521" i="2"/>
  <c r="G12522" i="2"/>
  <c r="G12523" i="2"/>
  <c r="G12524" i="2"/>
  <c r="G12525" i="2"/>
  <c r="G12526" i="2"/>
  <c r="G12527" i="2"/>
  <c r="G12528" i="2"/>
  <c r="G12529" i="2"/>
  <c r="G12530" i="2"/>
  <c r="G12531" i="2"/>
  <c r="G12532" i="2"/>
  <c r="G12533" i="2"/>
  <c r="G12534" i="2"/>
  <c r="G12535" i="2"/>
  <c r="G12536" i="2"/>
  <c r="G12537" i="2"/>
  <c r="G12538" i="2"/>
  <c r="G12539" i="2"/>
  <c r="G12540" i="2"/>
  <c r="G12541" i="2"/>
  <c r="G12542" i="2"/>
  <c r="G12543" i="2"/>
  <c r="G12544" i="2"/>
  <c r="G12545" i="2"/>
  <c r="G12546" i="2"/>
  <c r="G12547" i="2"/>
  <c r="G12548" i="2"/>
  <c r="G12549" i="2"/>
  <c r="G12550" i="2"/>
  <c r="G12551" i="2"/>
  <c r="G12552" i="2"/>
  <c r="G12553" i="2"/>
  <c r="G12554" i="2"/>
  <c r="G12555" i="2"/>
  <c r="G12556" i="2"/>
  <c r="G12557" i="2"/>
  <c r="G12558" i="2"/>
  <c r="G12559" i="2"/>
  <c r="G12560" i="2"/>
  <c r="G12561" i="2"/>
  <c r="G12562" i="2"/>
  <c r="G12563" i="2"/>
  <c r="G12564" i="2"/>
  <c r="G12565" i="2"/>
  <c r="G12566" i="2"/>
  <c r="G12567" i="2"/>
  <c r="G12568" i="2"/>
  <c r="G12569" i="2"/>
  <c r="G12570" i="2"/>
  <c r="G12571" i="2"/>
  <c r="G12572" i="2"/>
  <c r="G12573" i="2"/>
  <c r="G12574" i="2"/>
  <c r="G12575" i="2"/>
  <c r="G12576" i="2"/>
  <c r="G12577" i="2"/>
  <c r="G12578" i="2"/>
  <c r="G12579" i="2"/>
  <c r="G12580" i="2"/>
  <c r="G12581" i="2"/>
  <c r="G12582" i="2"/>
  <c r="G12583" i="2"/>
  <c r="G12584" i="2"/>
  <c r="G12585" i="2"/>
  <c r="G12586" i="2"/>
  <c r="G12587" i="2"/>
  <c r="G12588" i="2"/>
  <c r="G12589" i="2"/>
  <c r="G12590" i="2"/>
  <c r="G12591" i="2"/>
  <c r="G12592" i="2"/>
  <c r="G12593" i="2"/>
  <c r="G12594" i="2"/>
  <c r="G12595" i="2"/>
  <c r="G12596" i="2"/>
  <c r="G12597" i="2"/>
  <c r="G12598" i="2"/>
  <c r="G12599" i="2"/>
  <c r="G12600" i="2"/>
  <c r="G12601" i="2"/>
  <c r="G12602" i="2"/>
  <c r="G12603" i="2"/>
  <c r="G12604" i="2"/>
  <c r="G12605" i="2"/>
  <c r="G12606" i="2"/>
  <c r="G12607" i="2"/>
  <c r="G12608" i="2"/>
  <c r="G12609" i="2"/>
  <c r="G12610" i="2"/>
  <c r="G12611" i="2"/>
  <c r="G12612" i="2"/>
  <c r="G12613" i="2"/>
  <c r="G12614" i="2"/>
  <c r="G12615" i="2"/>
  <c r="G12616" i="2"/>
  <c r="G12617" i="2"/>
  <c r="G12618" i="2"/>
  <c r="G12619" i="2"/>
  <c r="G12620" i="2"/>
  <c r="G12621" i="2"/>
  <c r="G12622" i="2"/>
  <c r="G12623" i="2"/>
  <c r="G12624" i="2"/>
  <c r="G12625" i="2"/>
  <c r="G12626" i="2"/>
  <c r="G12627" i="2"/>
  <c r="G12628" i="2"/>
  <c r="G12629" i="2"/>
  <c r="G12630" i="2"/>
  <c r="G12631" i="2"/>
  <c r="G12632" i="2"/>
  <c r="G12633" i="2"/>
  <c r="G12634" i="2"/>
  <c r="G12635" i="2"/>
  <c r="G12636" i="2"/>
  <c r="G12637" i="2"/>
  <c r="G12638" i="2"/>
  <c r="G12639" i="2"/>
  <c r="G12640" i="2"/>
  <c r="G12641" i="2"/>
  <c r="G12642" i="2"/>
  <c r="G12643" i="2"/>
  <c r="G12644" i="2"/>
  <c r="G12645" i="2"/>
  <c r="G12646" i="2"/>
  <c r="G12647" i="2"/>
  <c r="G12648" i="2"/>
  <c r="G12649" i="2"/>
  <c r="G12650" i="2"/>
  <c r="G12651" i="2"/>
  <c r="G12652" i="2"/>
  <c r="G12653" i="2"/>
  <c r="G12654" i="2"/>
  <c r="G12655" i="2"/>
  <c r="G12656" i="2"/>
  <c r="G12657" i="2"/>
  <c r="G12658" i="2"/>
  <c r="G12659" i="2"/>
  <c r="G12660" i="2"/>
  <c r="G12661" i="2"/>
  <c r="G12662" i="2"/>
  <c r="G12663" i="2"/>
  <c r="G12664" i="2"/>
  <c r="G12665" i="2"/>
  <c r="G12666" i="2"/>
  <c r="G12667" i="2"/>
  <c r="G12668" i="2"/>
  <c r="G12669" i="2"/>
  <c r="G12670" i="2"/>
  <c r="G12671" i="2"/>
  <c r="G12672" i="2"/>
  <c r="G12673" i="2"/>
  <c r="G12674" i="2"/>
  <c r="G12675" i="2"/>
  <c r="G12676" i="2"/>
  <c r="G12677" i="2"/>
  <c r="G12678" i="2"/>
  <c r="G12679" i="2"/>
  <c r="G12680" i="2"/>
  <c r="G12681" i="2"/>
  <c r="G12682" i="2"/>
  <c r="G12683" i="2"/>
  <c r="G12684" i="2"/>
  <c r="G12685" i="2"/>
  <c r="G12686" i="2"/>
  <c r="G12687" i="2"/>
  <c r="G12688" i="2"/>
  <c r="G12689" i="2"/>
  <c r="G12690" i="2"/>
  <c r="G12691" i="2"/>
  <c r="G12692" i="2"/>
  <c r="G12693" i="2"/>
  <c r="G12694" i="2"/>
  <c r="G12695" i="2"/>
  <c r="G12696" i="2"/>
  <c r="G12697" i="2"/>
  <c r="G12698" i="2"/>
  <c r="G12699" i="2"/>
  <c r="G12700" i="2"/>
  <c r="G12701" i="2"/>
  <c r="G12702" i="2"/>
  <c r="G12703" i="2"/>
  <c r="G12704" i="2"/>
  <c r="G12705" i="2"/>
  <c r="G12706" i="2"/>
  <c r="G12707" i="2"/>
  <c r="G12708" i="2"/>
  <c r="G12709" i="2"/>
  <c r="G12710" i="2"/>
  <c r="G12711" i="2"/>
  <c r="G12712" i="2"/>
  <c r="G12713" i="2"/>
  <c r="G12714" i="2"/>
  <c r="G12715" i="2"/>
  <c r="G12716" i="2"/>
  <c r="G12717" i="2"/>
  <c r="G12718" i="2"/>
  <c r="G12719" i="2"/>
  <c r="G12720" i="2"/>
  <c r="G12721" i="2"/>
  <c r="G12722" i="2"/>
  <c r="G12723" i="2"/>
  <c r="G12724" i="2"/>
  <c r="G12725" i="2"/>
  <c r="G12726" i="2"/>
  <c r="G12727" i="2"/>
  <c r="G12728" i="2"/>
  <c r="G12729" i="2"/>
  <c r="G12730" i="2"/>
  <c r="G12731" i="2"/>
  <c r="G12732" i="2"/>
  <c r="G12733" i="2"/>
  <c r="G12734" i="2"/>
  <c r="G12735" i="2"/>
  <c r="G12736" i="2"/>
  <c r="G12737" i="2"/>
  <c r="G12738" i="2"/>
  <c r="G12739" i="2"/>
  <c r="G12740" i="2"/>
  <c r="G12741" i="2"/>
  <c r="G12742" i="2"/>
  <c r="G12743" i="2"/>
  <c r="G12744" i="2"/>
  <c r="G12745" i="2"/>
  <c r="G12746" i="2"/>
  <c r="G12747" i="2"/>
  <c r="G12748" i="2"/>
  <c r="G12749" i="2"/>
  <c r="G12750" i="2"/>
  <c r="G12751" i="2"/>
  <c r="G12752" i="2"/>
  <c r="G12753" i="2"/>
  <c r="G12754" i="2"/>
  <c r="G12755" i="2"/>
  <c r="G12756" i="2"/>
  <c r="G12757" i="2"/>
  <c r="G12758" i="2"/>
  <c r="G12759" i="2"/>
  <c r="G12760" i="2"/>
  <c r="G12761" i="2"/>
  <c r="G12762" i="2"/>
  <c r="G12763" i="2"/>
  <c r="G12764" i="2"/>
  <c r="G12765" i="2"/>
  <c r="G12766" i="2"/>
  <c r="G12767" i="2"/>
  <c r="G12768" i="2"/>
  <c r="G12769" i="2"/>
  <c r="G12770" i="2"/>
  <c r="G12771" i="2"/>
  <c r="G12772" i="2"/>
  <c r="G12773" i="2"/>
  <c r="G12774" i="2"/>
  <c r="G12775" i="2"/>
  <c r="G12776" i="2"/>
  <c r="G12777" i="2"/>
  <c r="G12778" i="2"/>
  <c r="G12779" i="2"/>
  <c r="G12780" i="2"/>
  <c r="G12781" i="2"/>
  <c r="G12782" i="2"/>
  <c r="G12783" i="2"/>
  <c r="G12784" i="2"/>
  <c r="G12785" i="2"/>
  <c r="G12786" i="2"/>
  <c r="G12787" i="2"/>
  <c r="G12788" i="2"/>
  <c r="G12789" i="2"/>
  <c r="G12790" i="2"/>
  <c r="G12791" i="2"/>
  <c r="G12792" i="2"/>
  <c r="G12793" i="2"/>
  <c r="G12794" i="2"/>
  <c r="G12795" i="2"/>
  <c r="G12796" i="2"/>
  <c r="G12797" i="2"/>
  <c r="G12798" i="2"/>
  <c r="G12799" i="2"/>
  <c r="G12800" i="2"/>
  <c r="G12801" i="2"/>
  <c r="G12802" i="2"/>
  <c r="G12803" i="2"/>
  <c r="G12804" i="2"/>
  <c r="G12805" i="2"/>
  <c r="G12806" i="2"/>
  <c r="G12807" i="2"/>
  <c r="G12808" i="2"/>
  <c r="G12809" i="2"/>
  <c r="G12810" i="2"/>
  <c r="G12811" i="2"/>
  <c r="G12812" i="2"/>
  <c r="G12813" i="2"/>
  <c r="G12814" i="2"/>
  <c r="G12815" i="2"/>
  <c r="G12816" i="2"/>
  <c r="G12817" i="2"/>
  <c r="G12818" i="2"/>
  <c r="G12819" i="2"/>
  <c r="G12820" i="2"/>
  <c r="G12821" i="2"/>
  <c r="G12822" i="2"/>
  <c r="G12823" i="2"/>
  <c r="G12824" i="2"/>
  <c r="G12825" i="2"/>
  <c r="G12826" i="2"/>
  <c r="G12827" i="2"/>
  <c r="G12828" i="2"/>
  <c r="G12829" i="2"/>
  <c r="G12830" i="2"/>
  <c r="G12831" i="2"/>
  <c r="G12832" i="2"/>
  <c r="G12833" i="2"/>
  <c r="G12834" i="2"/>
  <c r="G12835" i="2"/>
  <c r="G12836" i="2"/>
  <c r="G12837" i="2"/>
  <c r="G12838" i="2"/>
  <c r="G12839" i="2"/>
  <c r="G12840" i="2"/>
  <c r="G12841" i="2"/>
  <c r="G12842" i="2"/>
  <c r="G12843" i="2"/>
  <c r="G12844" i="2"/>
  <c r="G12845" i="2"/>
  <c r="G12846" i="2"/>
  <c r="G12847" i="2"/>
  <c r="G12848" i="2"/>
  <c r="G12849" i="2"/>
  <c r="G12850" i="2"/>
  <c r="G12851" i="2"/>
  <c r="G12852" i="2"/>
  <c r="G12853" i="2"/>
  <c r="G12854" i="2"/>
  <c r="G12855" i="2"/>
  <c r="G12856" i="2"/>
  <c r="G12857" i="2"/>
  <c r="G12858" i="2"/>
  <c r="G12859" i="2"/>
  <c r="G12860" i="2"/>
  <c r="G12861" i="2"/>
  <c r="G12862" i="2"/>
  <c r="G12863" i="2"/>
  <c r="G12864" i="2"/>
  <c r="G12865" i="2"/>
  <c r="G12866" i="2"/>
  <c r="G12867" i="2"/>
  <c r="G12868" i="2"/>
  <c r="G12869" i="2"/>
  <c r="G12870" i="2"/>
  <c r="G12871" i="2"/>
  <c r="G12872" i="2"/>
  <c r="G12873" i="2"/>
  <c r="G12874" i="2"/>
  <c r="G12875" i="2"/>
  <c r="G12876" i="2"/>
  <c r="G12877" i="2"/>
  <c r="G12878" i="2"/>
  <c r="G12879" i="2"/>
  <c r="G12880" i="2"/>
  <c r="G12881" i="2"/>
  <c r="G12882" i="2"/>
  <c r="G12883" i="2"/>
  <c r="G12884" i="2"/>
  <c r="G12885" i="2"/>
  <c r="G12886" i="2"/>
  <c r="G12887" i="2"/>
  <c r="G12888" i="2"/>
  <c r="G12889" i="2"/>
  <c r="G12890" i="2"/>
  <c r="G12891" i="2"/>
  <c r="G12892" i="2"/>
  <c r="G12893" i="2"/>
  <c r="G12894" i="2"/>
  <c r="G12895" i="2"/>
  <c r="G12896" i="2"/>
  <c r="G12897" i="2"/>
  <c r="G12898" i="2"/>
  <c r="G12899" i="2"/>
  <c r="G12900" i="2"/>
  <c r="G12901" i="2"/>
  <c r="G12902" i="2"/>
  <c r="G12903" i="2"/>
  <c r="G12904" i="2"/>
  <c r="G12905" i="2"/>
  <c r="G12906" i="2"/>
  <c r="G12907" i="2"/>
  <c r="G12908" i="2"/>
  <c r="G12909" i="2"/>
  <c r="G12910" i="2"/>
  <c r="G12911" i="2"/>
  <c r="G12912" i="2"/>
  <c r="G12913" i="2"/>
  <c r="G12914" i="2"/>
  <c r="G12915" i="2"/>
  <c r="G12916" i="2"/>
  <c r="G12917" i="2"/>
  <c r="G12918" i="2"/>
  <c r="G12919" i="2"/>
  <c r="G12920" i="2"/>
  <c r="G12921" i="2"/>
  <c r="G12922" i="2"/>
  <c r="G12923" i="2"/>
  <c r="G12924" i="2"/>
  <c r="G12925" i="2"/>
  <c r="G12926" i="2"/>
  <c r="G12927" i="2"/>
  <c r="G12928" i="2"/>
  <c r="G12929" i="2"/>
  <c r="G12930" i="2"/>
  <c r="G12931" i="2"/>
  <c r="G12932" i="2"/>
  <c r="G12933" i="2"/>
  <c r="G12934" i="2"/>
  <c r="G12935" i="2"/>
  <c r="G12936" i="2"/>
  <c r="G12937" i="2"/>
  <c r="G12938" i="2"/>
  <c r="G12939" i="2"/>
  <c r="G12940" i="2"/>
  <c r="G12941" i="2"/>
  <c r="G12942" i="2"/>
  <c r="G12943" i="2"/>
  <c r="G12944" i="2"/>
  <c r="G12945" i="2"/>
  <c r="G12946" i="2"/>
  <c r="G12947" i="2"/>
  <c r="G12948" i="2"/>
  <c r="G12949" i="2"/>
  <c r="G12950" i="2"/>
  <c r="G12951" i="2"/>
  <c r="G12952" i="2"/>
  <c r="G12953" i="2"/>
  <c r="G12954" i="2"/>
  <c r="G12955" i="2"/>
  <c r="G12956" i="2"/>
  <c r="G12957" i="2"/>
  <c r="G12958" i="2"/>
  <c r="G12959" i="2"/>
  <c r="G12960" i="2"/>
  <c r="G12961" i="2"/>
  <c r="G12962" i="2"/>
  <c r="G12963" i="2"/>
  <c r="G12964" i="2"/>
  <c r="G12965" i="2"/>
  <c r="G12966" i="2"/>
  <c r="G12967" i="2"/>
  <c r="G12968" i="2"/>
  <c r="G12969" i="2"/>
  <c r="G12970" i="2"/>
  <c r="G12971" i="2"/>
  <c r="G12972" i="2"/>
  <c r="G12973" i="2"/>
  <c r="G12974" i="2"/>
  <c r="G12975" i="2"/>
  <c r="G12976" i="2"/>
  <c r="G12977" i="2"/>
  <c r="G12978" i="2"/>
  <c r="G12979" i="2"/>
  <c r="G12980" i="2"/>
  <c r="G12981" i="2"/>
  <c r="G12982" i="2"/>
  <c r="G12983" i="2"/>
  <c r="G12984" i="2"/>
  <c r="G12985" i="2"/>
  <c r="G12986" i="2"/>
  <c r="G12987" i="2"/>
  <c r="G12988" i="2"/>
  <c r="G12989" i="2"/>
  <c r="G12990" i="2"/>
  <c r="G12991" i="2"/>
  <c r="G12992" i="2"/>
  <c r="G12993" i="2"/>
  <c r="G12994" i="2"/>
  <c r="G12995" i="2"/>
  <c r="G12996" i="2"/>
  <c r="G12997" i="2"/>
  <c r="G12998" i="2"/>
  <c r="G12999" i="2"/>
  <c r="G13000" i="2"/>
  <c r="G13001" i="2"/>
  <c r="G13002" i="2"/>
  <c r="G13003" i="2"/>
  <c r="G13004" i="2"/>
  <c r="G13005" i="2"/>
  <c r="G13006" i="2"/>
  <c r="G13007" i="2"/>
  <c r="G13008" i="2"/>
  <c r="G13009" i="2"/>
  <c r="G13010" i="2"/>
  <c r="G13011" i="2"/>
  <c r="G13012" i="2"/>
  <c r="G13013" i="2"/>
  <c r="G13014" i="2"/>
  <c r="G13015" i="2"/>
  <c r="G13016" i="2"/>
  <c r="G13017" i="2"/>
  <c r="G13018" i="2"/>
  <c r="G13019" i="2"/>
  <c r="G13020" i="2"/>
  <c r="G13021" i="2"/>
  <c r="G13022" i="2"/>
  <c r="G13023" i="2"/>
  <c r="G13024" i="2"/>
  <c r="G13025" i="2"/>
  <c r="G13026" i="2"/>
  <c r="G13027" i="2"/>
  <c r="G13028" i="2"/>
  <c r="G13029" i="2"/>
  <c r="G13030" i="2"/>
  <c r="G13031" i="2"/>
  <c r="G13032" i="2"/>
  <c r="G13033" i="2"/>
  <c r="G13034" i="2"/>
  <c r="G13035" i="2"/>
  <c r="G13036" i="2"/>
  <c r="G13037" i="2"/>
  <c r="G13038" i="2"/>
  <c r="G13039" i="2"/>
  <c r="G13040" i="2"/>
  <c r="G13041" i="2"/>
  <c r="G13042" i="2"/>
  <c r="G13043" i="2"/>
  <c r="G13044" i="2"/>
  <c r="G13045" i="2"/>
  <c r="G13046" i="2"/>
  <c r="G13047" i="2"/>
  <c r="G13048" i="2"/>
  <c r="G13049" i="2"/>
  <c r="G13050" i="2"/>
  <c r="G13051" i="2"/>
  <c r="G13052" i="2"/>
  <c r="G13053" i="2"/>
  <c r="G13054" i="2"/>
  <c r="G13055" i="2"/>
  <c r="G13056" i="2"/>
  <c r="G13057" i="2"/>
  <c r="G13058" i="2"/>
  <c r="G13059" i="2"/>
  <c r="G13060" i="2"/>
  <c r="G13061" i="2"/>
  <c r="G13062" i="2"/>
  <c r="G13063" i="2"/>
  <c r="G13064" i="2"/>
  <c r="G13065" i="2"/>
  <c r="G13066" i="2"/>
  <c r="G13067" i="2"/>
  <c r="G13068" i="2"/>
  <c r="G13069" i="2"/>
  <c r="G13070" i="2"/>
  <c r="G13071" i="2"/>
  <c r="G13072" i="2"/>
  <c r="G13073" i="2"/>
  <c r="G13074" i="2"/>
  <c r="G13075" i="2"/>
  <c r="G13076" i="2"/>
  <c r="G13077" i="2"/>
  <c r="G13078" i="2"/>
  <c r="G13079" i="2"/>
  <c r="G13080" i="2"/>
  <c r="G13081" i="2"/>
  <c r="G13082" i="2"/>
  <c r="G13083" i="2"/>
  <c r="G13084" i="2"/>
  <c r="G13085" i="2"/>
  <c r="G13086" i="2"/>
  <c r="G13087" i="2"/>
  <c r="G13088" i="2"/>
  <c r="G13089" i="2"/>
  <c r="G13090" i="2"/>
  <c r="G13091" i="2"/>
  <c r="G13092" i="2"/>
  <c r="G13093" i="2"/>
  <c r="G13094" i="2"/>
  <c r="G13095" i="2"/>
  <c r="G13096" i="2"/>
  <c r="G13097" i="2"/>
  <c r="G13098" i="2"/>
  <c r="G13099" i="2"/>
  <c r="G13100" i="2"/>
  <c r="G13101" i="2"/>
  <c r="G13102" i="2"/>
  <c r="G13103" i="2"/>
  <c r="G13104" i="2"/>
  <c r="G13105" i="2"/>
  <c r="G13106" i="2"/>
  <c r="G13107" i="2"/>
  <c r="G13108" i="2"/>
  <c r="G13109" i="2"/>
  <c r="G13110" i="2"/>
  <c r="G13111" i="2"/>
  <c r="G13112" i="2"/>
  <c r="G13113" i="2"/>
  <c r="G13114" i="2"/>
  <c r="G13115" i="2"/>
  <c r="G13116" i="2"/>
  <c r="G13117" i="2"/>
  <c r="G13118" i="2"/>
  <c r="G13119" i="2"/>
  <c r="G13120" i="2"/>
  <c r="G13121" i="2"/>
  <c r="G13122" i="2"/>
  <c r="G13123" i="2"/>
  <c r="G13124" i="2"/>
  <c r="G13125" i="2"/>
  <c r="G13126" i="2"/>
  <c r="G13127" i="2"/>
  <c r="G13128" i="2"/>
  <c r="G13129" i="2"/>
  <c r="G13130" i="2"/>
  <c r="G13131" i="2"/>
  <c r="G13132" i="2"/>
  <c r="G13133" i="2"/>
  <c r="G13134" i="2"/>
  <c r="G13135" i="2"/>
  <c r="G13136" i="2"/>
  <c r="G13137" i="2"/>
  <c r="G13138" i="2"/>
  <c r="G13139" i="2"/>
  <c r="G13140" i="2"/>
  <c r="G13141" i="2"/>
  <c r="G13142" i="2"/>
  <c r="G13143" i="2"/>
  <c r="G13144" i="2"/>
  <c r="G13145" i="2"/>
  <c r="G13146" i="2"/>
  <c r="G13147" i="2"/>
  <c r="G13148" i="2"/>
  <c r="G13149" i="2"/>
  <c r="G13150" i="2"/>
  <c r="G13151" i="2"/>
  <c r="G13152" i="2"/>
  <c r="G13153" i="2"/>
  <c r="G13154" i="2"/>
  <c r="G13155" i="2"/>
  <c r="G13156" i="2"/>
  <c r="G13157" i="2"/>
  <c r="G13158" i="2"/>
  <c r="G13159" i="2"/>
  <c r="G13160" i="2"/>
  <c r="G13161" i="2"/>
  <c r="G13162" i="2"/>
  <c r="G13163" i="2"/>
  <c r="G13164" i="2"/>
  <c r="G13165" i="2"/>
  <c r="G13166" i="2"/>
  <c r="G13167" i="2"/>
  <c r="G13168" i="2"/>
  <c r="G13169" i="2"/>
  <c r="G13170" i="2"/>
  <c r="G13171" i="2"/>
  <c r="G13172" i="2"/>
  <c r="G13173" i="2"/>
  <c r="G13174" i="2"/>
  <c r="G13175" i="2"/>
  <c r="G13176" i="2"/>
  <c r="G13177" i="2"/>
  <c r="G13178" i="2"/>
  <c r="G13179" i="2"/>
  <c r="G13180" i="2"/>
  <c r="G13181" i="2"/>
  <c r="G13182" i="2"/>
  <c r="G13183" i="2"/>
  <c r="G13184" i="2"/>
  <c r="G13185" i="2"/>
  <c r="G13186" i="2"/>
  <c r="G13187" i="2"/>
  <c r="G13188" i="2"/>
  <c r="G13189" i="2"/>
  <c r="G13190" i="2"/>
  <c r="G13191" i="2"/>
  <c r="G13192" i="2"/>
  <c r="G13193" i="2"/>
  <c r="G13194" i="2"/>
  <c r="G13195" i="2"/>
  <c r="G13196" i="2"/>
  <c r="G13197" i="2"/>
  <c r="G13198" i="2"/>
  <c r="G13199" i="2"/>
  <c r="G13200" i="2"/>
  <c r="G13201" i="2"/>
  <c r="G13202" i="2"/>
  <c r="G13203" i="2"/>
  <c r="G13204" i="2"/>
  <c r="G13205" i="2"/>
  <c r="G13206" i="2"/>
  <c r="G13207" i="2"/>
  <c r="G13208" i="2"/>
  <c r="G13209" i="2"/>
  <c r="G13210" i="2"/>
  <c r="G13211" i="2"/>
  <c r="G13212" i="2"/>
  <c r="G13213" i="2"/>
  <c r="G13214" i="2"/>
  <c r="G13215" i="2"/>
  <c r="G13216" i="2"/>
  <c r="G13217" i="2"/>
  <c r="G13218" i="2"/>
  <c r="G13219" i="2"/>
  <c r="G13220" i="2"/>
  <c r="G13221" i="2"/>
  <c r="G13222" i="2"/>
  <c r="G13223" i="2"/>
  <c r="G13224" i="2"/>
  <c r="G13225" i="2"/>
  <c r="G13226" i="2"/>
  <c r="G13227" i="2"/>
  <c r="G13228" i="2"/>
  <c r="G13229" i="2"/>
  <c r="G13230" i="2"/>
  <c r="G13231" i="2"/>
  <c r="G13232" i="2"/>
  <c r="G13233" i="2"/>
  <c r="G13234" i="2"/>
  <c r="G13235" i="2"/>
  <c r="G13236" i="2"/>
  <c r="G13237" i="2"/>
  <c r="G13238" i="2"/>
  <c r="G13239" i="2"/>
  <c r="G13240" i="2"/>
  <c r="G13241" i="2"/>
  <c r="G13242" i="2"/>
  <c r="G13243" i="2"/>
  <c r="G13244" i="2"/>
  <c r="G13245" i="2"/>
  <c r="G13246" i="2"/>
  <c r="G13247" i="2"/>
  <c r="G13248" i="2"/>
  <c r="G13249" i="2"/>
  <c r="G13250" i="2"/>
  <c r="G13251" i="2"/>
  <c r="G13252" i="2"/>
  <c r="G13253" i="2"/>
  <c r="G13254" i="2"/>
  <c r="G13255" i="2"/>
  <c r="G13256" i="2"/>
  <c r="G13257" i="2"/>
  <c r="G13258" i="2"/>
  <c r="G13259" i="2"/>
  <c r="G13260" i="2"/>
  <c r="G13261" i="2"/>
  <c r="G13262" i="2"/>
  <c r="G13263" i="2"/>
  <c r="G13264" i="2"/>
  <c r="G13265" i="2"/>
  <c r="G13266" i="2"/>
  <c r="G13267" i="2"/>
  <c r="G13268" i="2"/>
  <c r="G13269" i="2"/>
  <c r="G13270" i="2"/>
  <c r="G13271" i="2"/>
  <c r="G13272" i="2"/>
  <c r="G13273" i="2"/>
  <c r="G13274" i="2"/>
  <c r="G13275" i="2"/>
  <c r="G13276" i="2"/>
  <c r="G13277" i="2"/>
  <c r="G13278" i="2"/>
  <c r="G13279" i="2"/>
  <c r="G13280" i="2"/>
  <c r="G13281" i="2"/>
  <c r="G13282" i="2"/>
  <c r="G13283" i="2"/>
  <c r="G13284" i="2"/>
  <c r="G13285" i="2"/>
  <c r="G13286" i="2"/>
  <c r="G13287" i="2"/>
  <c r="G13288" i="2"/>
  <c r="G13289" i="2"/>
  <c r="G13290" i="2"/>
  <c r="G13291" i="2"/>
  <c r="G13292" i="2"/>
  <c r="G13293" i="2"/>
  <c r="G13294" i="2"/>
  <c r="G13295" i="2"/>
  <c r="G13296" i="2"/>
  <c r="G13297" i="2"/>
  <c r="G13298" i="2"/>
  <c r="G13299" i="2"/>
  <c r="G13300" i="2"/>
  <c r="G13301" i="2"/>
  <c r="G13302" i="2"/>
  <c r="G13303" i="2"/>
  <c r="G13304" i="2"/>
  <c r="G13305" i="2"/>
  <c r="G13306" i="2"/>
  <c r="G13307" i="2"/>
  <c r="G13308" i="2"/>
  <c r="G13309" i="2"/>
  <c r="G13310" i="2"/>
  <c r="G13311" i="2"/>
  <c r="G13312" i="2"/>
  <c r="G13313" i="2"/>
  <c r="G13314" i="2"/>
  <c r="G13315" i="2"/>
  <c r="G13316" i="2"/>
  <c r="G13317" i="2"/>
  <c r="G13318" i="2"/>
  <c r="G13319" i="2"/>
  <c r="G13320" i="2"/>
  <c r="G13321" i="2"/>
  <c r="G13322" i="2"/>
  <c r="G13323" i="2"/>
  <c r="G13324" i="2"/>
  <c r="G13325" i="2"/>
  <c r="G13326" i="2"/>
  <c r="G13327" i="2"/>
  <c r="G13328" i="2"/>
  <c r="G13329" i="2"/>
  <c r="G13330" i="2"/>
  <c r="G13331" i="2"/>
  <c r="G13332" i="2"/>
  <c r="G13333" i="2"/>
  <c r="G13334" i="2"/>
  <c r="G13335" i="2"/>
  <c r="G13336" i="2"/>
  <c r="G13337" i="2"/>
  <c r="G13338" i="2"/>
  <c r="G13339" i="2"/>
  <c r="G13340" i="2"/>
  <c r="G13341" i="2"/>
  <c r="G13342" i="2"/>
  <c r="G13343" i="2"/>
  <c r="G13344" i="2"/>
  <c r="G13345" i="2"/>
  <c r="G13346" i="2"/>
  <c r="G13347" i="2"/>
  <c r="G13348" i="2"/>
  <c r="G13349" i="2"/>
  <c r="G13350" i="2"/>
  <c r="G13351" i="2"/>
  <c r="G13352" i="2"/>
  <c r="G13353" i="2"/>
  <c r="G13354" i="2"/>
  <c r="G13355" i="2"/>
  <c r="G13356" i="2"/>
  <c r="G13357" i="2"/>
  <c r="G13358" i="2"/>
  <c r="G13359" i="2"/>
  <c r="G13360" i="2"/>
  <c r="G13361" i="2"/>
  <c r="G13362" i="2"/>
  <c r="G13363" i="2"/>
  <c r="G13364" i="2"/>
  <c r="G13365" i="2"/>
  <c r="G13366" i="2"/>
  <c r="G13367" i="2"/>
  <c r="G13368" i="2"/>
  <c r="G13369" i="2"/>
  <c r="G13370" i="2"/>
  <c r="G13371" i="2"/>
  <c r="G13372" i="2"/>
  <c r="G13373" i="2"/>
  <c r="G13374" i="2"/>
  <c r="G13375" i="2"/>
  <c r="G13376" i="2"/>
  <c r="G13377" i="2"/>
  <c r="G13378" i="2"/>
  <c r="G13379" i="2"/>
  <c r="G13380" i="2"/>
  <c r="G13381" i="2"/>
  <c r="G13382" i="2"/>
  <c r="G13383" i="2"/>
  <c r="G13384" i="2"/>
  <c r="G13385" i="2"/>
  <c r="G13386" i="2"/>
  <c r="G13387" i="2"/>
  <c r="G13388" i="2"/>
  <c r="G13389" i="2"/>
  <c r="G13390" i="2"/>
  <c r="G13391" i="2"/>
  <c r="G13392" i="2"/>
  <c r="G13393" i="2"/>
  <c r="G13394" i="2"/>
  <c r="G13395" i="2"/>
  <c r="G13396" i="2"/>
  <c r="G13397" i="2"/>
  <c r="G13398" i="2"/>
  <c r="G13399" i="2"/>
  <c r="G13400" i="2"/>
  <c r="G13401" i="2"/>
  <c r="G13402" i="2"/>
  <c r="G13403" i="2"/>
  <c r="G13404" i="2"/>
  <c r="G13405" i="2"/>
  <c r="G13406" i="2"/>
  <c r="G13407" i="2"/>
  <c r="G13408" i="2"/>
  <c r="G13409" i="2"/>
  <c r="G13410" i="2"/>
  <c r="G13411" i="2"/>
  <c r="G13412" i="2"/>
  <c r="G13413" i="2"/>
  <c r="G13414" i="2"/>
  <c r="G13415" i="2"/>
  <c r="G13416" i="2"/>
  <c r="G13417" i="2"/>
  <c r="G13418" i="2"/>
  <c r="G13419" i="2"/>
  <c r="G13420" i="2"/>
  <c r="G13421" i="2"/>
  <c r="G13422" i="2"/>
  <c r="G13423" i="2"/>
  <c r="G13424" i="2"/>
  <c r="G13425" i="2"/>
  <c r="G13426" i="2"/>
  <c r="G13427" i="2"/>
  <c r="G13428" i="2"/>
  <c r="G13429" i="2"/>
  <c r="G13430" i="2"/>
  <c r="G13431" i="2"/>
  <c r="G13432" i="2"/>
  <c r="G13433" i="2"/>
  <c r="G13434" i="2"/>
  <c r="G13435" i="2"/>
  <c r="G13436" i="2"/>
  <c r="G13437" i="2"/>
  <c r="G13438" i="2"/>
  <c r="G13439" i="2"/>
  <c r="G13440" i="2"/>
  <c r="G13441" i="2"/>
  <c r="G13442" i="2"/>
  <c r="G13443" i="2"/>
  <c r="G13444" i="2"/>
  <c r="G13445" i="2"/>
  <c r="G13446" i="2"/>
  <c r="G13447" i="2"/>
  <c r="G13448" i="2"/>
  <c r="G13449" i="2"/>
  <c r="G13450" i="2"/>
  <c r="G13451" i="2"/>
  <c r="G13452" i="2"/>
  <c r="G13453" i="2"/>
  <c r="G13454" i="2"/>
  <c r="G13455" i="2"/>
  <c r="G13456" i="2"/>
  <c r="G13457" i="2"/>
  <c r="G13458" i="2"/>
  <c r="G13459" i="2"/>
  <c r="G13460" i="2"/>
  <c r="G13461" i="2"/>
  <c r="G13462" i="2"/>
  <c r="G13463" i="2"/>
  <c r="G13464" i="2"/>
  <c r="G13465" i="2"/>
  <c r="G13466" i="2"/>
  <c r="G13467" i="2"/>
  <c r="G13468" i="2"/>
  <c r="G13469" i="2"/>
  <c r="G13470" i="2"/>
  <c r="G13471" i="2"/>
  <c r="G13472" i="2"/>
  <c r="G13473" i="2"/>
  <c r="G13474" i="2"/>
  <c r="G13475" i="2"/>
  <c r="G13476" i="2"/>
  <c r="G13477" i="2"/>
  <c r="G13478" i="2"/>
  <c r="G13479" i="2"/>
  <c r="G13480" i="2"/>
  <c r="G13481" i="2"/>
  <c r="G13482" i="2"/>
  <c r="G13483" i="2"/>
  <c r="G13484" i="2"/>
  <c r="G13485" i="2"/>
  <c r="G13486" i="2"/>
  <c r="G13487" i="2"/>
  <c r="G13488" i="2"/>
  <c r="G13489" i="2"/>
  <c r="G13490" i="2"/>
  <c r="G13491" i="2"/>
  <c r="G13492" i="2"/>
  <c r="G13493" i="2"/>
  <c r="G13494" i="2"/>
  <c r="G13495" i="2"/>
  <c r="G13496" i="2"/>
  <c r="G13497" i="2"/>
  <c r="G13498" i="2"/>
  <c r="G13499" i="2"/>
  <c r="G13500" i="2"/>
  <c r="G13501" i="2"/>
  <c r="G13502" i="2"/>
  <c r="G13503" i="2"/>
  <c r="G13504" i="2"/>
  <c r="G13505" i="2"/>
  <c r="G13506" i="2"/>
  <c r="G13507" i="2"/>
  <c r="G13508" i="2"/>
  <c r="G13509" i="2"/>
  <c r="G13510" i="2"/>
  <c r="G13511" i="2"/>
  <c r="G13512" i="2"/>
  <c r="G13513" i="2"/>
  <c r="G13514" i="2"/>
  <c r="G13515" i="2"/>
  <c r="G13516" i="2"/>
  <c r="G13517" i="2"/>
  <c r="G13518" i="2"/>
  <c r="G13519" i="2"/>
  <c r="G13520" i="2"/>
  <c r="G13521" i="2"/>
  <c r="G13522" i="2"/>
  <c r="G13523" i="2"/>
  <c r="G13524" i="2"/>
  <c r="G13525" i="2"/>
  <c r="G13526" i="2"/>
  <c r="G13527" i="2"/>
  <c r="G13528" i="2"/>
  <c r="G13529" i="2"/>
  <c r="G13530" i="2"/>
  <c r="G13531" i="2"/>
  <c r="G13532" i="2"/>
  <c r="G13533" i="2"/>
  <c r="G13534" i="2"/>
  <c r="G13535" i="2"/>
  <c r="G13536" i="2"/>
  <c r="G13537" i="2"/>
  <c r="G13538" i="2"/>
  <c r="G13539" i="2"/>
  <c r="G13540" i="2"/>
  <c r="G13541" i="2"/>
  <c r="G13542" i="2"/>
  <c r="G13543" i="2"/>
  <c r="G13544" i="2"/>
  <c r="G13545" i="2"/>
  <c r="G13546" i="2"/>
  <c r="G13547" i="2"/>
  <c r="G13548" i="2"/>
  <c r="G13549" i="2"/>
  <c r="G13550" i="2"/>
  <c r="G13551" i="2"/>
  <c r="G13552" i="2"/>
  <c r="G13553" i="2"/>
  <c r="G13554" i="2"/>
  <c r="G13555" i="2"/>
  <c r="G13556" i="2"/>
  <c r="G13557" i="2"/>
  <c r="G13558" i="2"/>
  <c r="G13559" i="2"/>
  <c r="G13560" i="2"/>
  <c r="G13561" i="2"/>
  <c r="G13562" i="2"/>
  <c r="G13563" i="2"/>
  <c r="G13564" i="2"/>
  <c r="G13565" i="2"/>
  <c r="G13566" i="2"/>
  <c r="G13567" i="2"/>
  <c r="G13568" i="2"/>
  <c r="G13569" i="2"/>
  <c r="G13570" i="2"/>
  <c r="G13571" i="2"/>
  <c r="G13572" i="2"/>
  <c r="G13573" i="2"/>
  <c r="G13574" i="2"/>
  <c r="G13575" i="2"/>
  <c r="G13576" i="2"/>
  <c r="G13577" i="2"/>
  <c r="G13578" i="2"/>
  <c r="G13579" i="2"/>
  <c r="G13580" i="2"/>
  <c r="G13581" i="2"/>
  <c r="G13582" i="2"/>
  <c r="G13583" i="2"/>
  <c r="G13584" i="2"/>
  <c r="G13585" i="2"/>
  <c r="G13586" i="2"/>
  <c r="G13587" i="2"/>
  <c r="G13588" i="2"/>
  <c r="G13589" i="2"/>
  <c r="G13590" i="2"/>
  <c r="G13591" i="2"/>
  <c r="G13592" i="2"/>
  <c r="G13593" i="2"/>
  <c r="G13594" i="2"/>
  <c r="G13595" i="2"/>
  <c r="G13596" i="2"/>
  <c r="G13597" i="2"/>
  <c r="G13598" i="2"/>
  <c r="G13599" i="2"/>
  <c r="G13600" i="2"/>
  <c r="G13601" i="2"/>
  <c r="G13602" i="2"/>
  <c r="G13603" i="2"/>
  <c r="G13604" i="2"/>
  <c r="G13605" i="2"/>
  <c r="G13606" i="2"/>
  <c r="G13607" i="2"/>
  <c r="G13608" i="2"/>
  <c r="G13609" i="2"/>
  <c r="G13610" i="2"/>
  <c r="G13611" i="2"/>
  <c r="G13612" i="2"/>
  <c r="G13613" i="2"/>
  <c r="G13614" i="2"/>
  <c r="G13615" i="2"/>
  <c r="G13616" i="2"/>
  <c r="G13617" i="2"/>
  <c r="G13618" i="2"/>
  <c r="G13619" i="2"/>
  <c r="G13620" i="2"/>
  <c r="G13621" i="2"/>
  <c r="G13622" i="2"/>
  <c r="G13623" i="2"/>
  <c r="G13624" i="2"/>
  <c r="G13625" i="2"/>
  <c r="G13626" i="2"/>
  <c r="G13627" i="2"/>
  <c r="G13628" i="2"/>
  <c r="G13629" i="2"/>
  <c r="G13630" i="2"/>
  <c r="G13631" i="2"/>
  <c r="G13632" i="2"/>
  <c r="G13633" i="2"/>
  <c r="G13634" i="2"/>
  <c r="G13635" i="2"/>
  <c r="G13636" i="2"/>
  <c r="G13637" i="2"/>
  <c r="G13638" i="2"/>
  <c r="G13639" i="2"/>
  <c r="G13640" i="2"/>
  <c r="G13641" i="2"/>
  <c r="G13642" i="2"/>
  <c r="G13643" i="2"/>
  <c r="G13644" i="2"/>
  <c r="G13645" i="2"/>
  <c r="G13646" i="2"/>
  <c r="G13647" i="2"/>
  <c r="G13648" i="2"/>
  <c r="G13649" i="2"/>
  <c r="G13650" i="2"/>
  <c r="G13651" i="2"/>
  <c r="G13652" i="2"/>
  <c r="G13653" i="2"/>
  <c r="G13654" i="2"/>
  <c r="G13655" i="2"/>
  <c r="G13656" i="2"/>
  <c r="G13657" i="2"/>
  <c r="G13658" i="2"/>
  <c r="G13659" i="2"/>
  <c r="G13660" i="2"/>
  <c r="G13661" i="2"/>
  <c r="G13662" i="2"/>
  <c r="G13663" i="2"/>
  <c r="G13664" i="2"/>
  <c r="G13665" i="2"/>
  <c r="G13666" i="2"/>
  <c r="G13667" i="2"/>
  <c r="G13668" i="2"/>
  <c r="G13669" i="2"/>
  <c r="G13670" i="2"/>
  <c r="G13671" i="2"/>
  <c r="G13672" i="2"/>
  <c r="G13673" i="2"/>
  <c r="G13674" i="2"/>
  <c r="G13675" i="2"/>
  <c r="G13676" i="2"/>
  <c r="G13677" i="2"/>
  <c r="G13678" i="2"/>
  <c r="G13679" i="2"/>
  <c r="G13680" i="2"/>
  <c r="G13681" i="2"/>
  <c r="G13682" i="2"/>
  <c r="G13683" i="2"/>
  <c r="G13684" i="2"/>
  <c r="G13685" i="2"/>
  <c r="G13686" i="2"/>
  <c r="G13687" i="2"/>
  <c r="G13688" i="2"/>
  <c r="G13689" i="2"/>
  <c r="G13690" i="2"/>
  <c r="G13691" i="2"/>
  <c r="G13692" i="2"/>
  <c r="G13693" i="2"/>
  <c r="G13694" i="2"/>
  <c r="G13695" i="2"/>
  <c r="G13696" i="2"/>
  <c r="G13697" i="2"/>
  <c r="G13698" i="2"/>
  <c r="G13699" i="2"/>
  <c r="G13700" i="2"/>
  <c r="G13701" i="2"/>
  <c r="G13702" i="2"/>
  <c r="G13703" i="2"/>
  <c r="G13704" i="2"/>
  <c r="G13705" i="2"/>
  <c r="G13706" i="2"/>
  <c r="G13707" i="2"/>
  <c r="G13708" i="2"/>
  <c r="G13709" i="2"/>
  <c r="G13710" i="2"/>
  <c r="G13711" i="2"/>
  <c r="G13712" i="2"/>
  <c r="G13713" i="2"/>
  <c r="G13714" i="2"/>
  <c r="G13715" i="2"/>
  <c r="G13716" i="2"/>
  <c r="G13717" i="2"/>
  <c r="G13718" i="2"/>
  <c r="G13719" i="2"/>
  <c r="G13720" i="2"/>
  <c r="G13721" i="2"/>
  <c r="G13722" i="2"/>
  <c r="G13723" i="2"/>
  <c r="G13724" i="2"/>
  <c r="G13725" i="2"/>
  <c r="G13726" i="2"/>
  <c r="G13727" i="2"/>
  <c r="G13728" i="2"/>
  <c r="G13729" i="2"/>
  <c r="G13730" i="2"/>
  <c r="G13731" i="2"/>
  <c r="G13732" i="2"/>
  <c r="G13733" i="2"/>
  <c r="G13734" i="2"/>
  <c r="G13735" i="2"/>
  <c r="G13736" i="2"/>
  <c r="G13737" i="2"/>
  <c r="G13738" i="2"/>
  <c r="G13739" i="2"/>
  <c r="G13740" i="2"/>
  <c r="G13741" i="2"/>
  <c r="G13742" i="2"/>
  <c r="G13743" i="2"/>
  <c r="G13744" i="2"/>
  <c r="G13745" i="2"/>
  <c r="G13746" i="2"/>
  <c r="G13747" i="2"/>
  <c r="G13748" i="2"/>
  <c r="G13749" i="2"/>
  <c r="G13750" i="2"/>
  <c r="G13751" i="2"/>
  <c r="G13752" i="2"/>
  <c r="G13753" i="2"/>
  <c r="G13754" i="2"/>
  <c r="G13755" i="2"/>
  <c r="G13756" i="2"/>
  <c r="G13757" i="2"/>
  <c r="G13758" i="2"/>
  <c r="G13759" i="2"/>
  <c r="G13760" i="2"/>
  <c r="G13761" i="2"/>
  <c r="G13762" i="2"/>
  <c r="G13763" i="2"/>
  <c r="G13764" i="2"/>
  <c r="G13765" i="2"/>
  <c r="G13766" i="2"/>
  <c r="G13767" i="2"/>
  <c r="G13768" i="2"/>
  <c r="G13769" i="2"/>
  <c r="G13770" i="2"/>
  <c r="G13771" i="2"/>
  <c r="G13772" i="2"/>
  <c r="G13773" i="2"/>
  <c r="G13774" i="2"/>
  <c r="G13775" i="2"/>
  <c r="G13776" i="2"/>
  <c r="G13777" i="2"/>
  <c r="G13778" i="2"/>
  <c r="G13779" i="2"/>
  <c r="G13780" i="2"/>
  <c r="G13781" i="2"/>
  <c r="G13782" i="2"/>
  <c r="G13783" i="2"/>
  <c r="G13784" i="2"/>
  <c r="G13785" i="2"/>
  <c r="G13786" i="2"/>
  <c r="G13787" i="2"/>
  <c r="G13788" i="2"/>
  <c r="G13789" i="2"/>
  <c r="G13790" i="2"/>
  <c r="G13791" i="2"/>
  <c r="G13792" i="2"/>
  <c r="G13793" i="2"/>
  <c r="G13794" i="2"/>
  <c r="G13795" i="2"/>
  <c r="G13796" i="2"/>
  <c r="G13797" i="2"/>
  <c r="G13798" i="2"/>
  <c r="G13799" i="2"/>
  <c r="G13800" i="2"/>
  <c r="G13801" i="2"/>
  <c r="G13802" i="2"/>
  <c r="G13803" i="2"/>
  <c r="G13804" i="2"/>
  <c r="G13805" i="2"/>
  <c r="G13806" i="2"/>
  <c r="G13807" i="2"/>
  <c r="G13808" i="2"/>
  <c r="G13809" i="2"/>
  <c r="G13810" i="2"/>
  <c r="G13811" i="2"/>
  <c r="G13812" i="2"/>
  <c r="G13813" i="2"/>
  <c r="G13814" i="2"/>
  <c r="G13815" i="2"/>
  <c r="G13816" i="2"/>
  <c r="G13817" i="2"/>
  <c r="G13818" i="2"/>
  <c r="G13819" i="2"/>
  <c r="G13820" i="2"/>
  <c r="G13821" i="2"/>
  <c r="G13822" i="2"/>
  <c r="G13823" i="2"/>
  <c r="G13824" i="2"/>
  <c r="G13825" i="2"/>
  <c r="G13826" i="2"/>
  <c r="G13827" i="2"/>
  <c r="G13828" i="2"/>
  <c r="G13829" i="2"/>
  <c r="G13830" i="2"/>
  <c r="G13831" i="2"/>
  <c r="G13832" i="2"/>
  <c r="G13833" i="2"/>
  <c r="G13834" i="2"/>
  <c r="G13835" i="2"/>
  <c r="G13836" i="2"/>
  <c r="G13837" i="2"/>
  <c r="G13838" i="2"/>
  <c r="G13839" i="2"/>
  <c r="G13840" i="2"/>
  <c r="G13841" i="2"/>
  <c r="G13842" i="2"/>
  <c r="G13843" i="2"/>
  <c r="G13844" i="2"/>
  <c r="G13845" i="2"/>
  <c r="G13846" i="2"/>
  <c r="G13847" i="2"/>
  <c r="G13848" i="2"/>
  <c r="G13849" i="2"/>
  <c r="G13850" i="2"/>
  <c r="G13851" i="2"/>
  <c r="G13852" i="2"/>
  <c r="G13853" i="2"/>
  <c r="G13854" i="2"/>
  <c r="G13855" i="2"/>
  <c r="G13856" i="2"/>
  <c r="G13857" i="2"/>
  <c r="G13858" i="2"/>
  <c r="G13859" i="2"/>
  <c r="G13860" i="2"/>
  <c r="G13861" i="2"/>
  <c r="G13862" i="2"/>
  <c r="G13863" i="2"/>
  <c r="G13864" i="2"/>
  <c r="G13865" i="2"/>
  <c r="G13866" i="2"/>
  <c r="G13867" i="2"/>
  <c r="G13868" i="2"/>
  <c r="G13869" i="2"/>
  <c r="G13870" i="2"/>
  <c r="G13871" i="2"/>
  <c r="G13872" i="2"/>
  <c r="G13873" i="2"/>
  <c r="G13874" i="2"/>
  <c r="G13875" i="2"/>
  <c r="G13876" i="2"/>
  <c r="G13877" i="2"/>
  <c r="G13878" i="2"/>
  <c r="G13879" i="2"/>
  <c r="G13880" i="2"/>
  <c r="G13881" i="2"/>
  <c r="G13882" i="2"/>
  <c r="G13883" i="2"/>
  <c r="G13884" i="2"/>
  <c r="G13885" i="2"/>
  <c r="G13886" i="2"/>
  <c r="G13887" i="2"/>
  <c r="G13888" i="2"/>
  <c r="G13889" i="2"/>
  <c r="G13890" i="2"/>
  <c r="G13891" i="2"/>
  <c r="G13892" i="2"/>
  <c r="G13893" i="2"/>
  <c r="G13894" i="2"/>
  <c r="G13895" i="2"/>
  <c r="G13896" i="2"/>
  <c r="G13897" i="2"/>
  <c r="G13898" i="2"/>
  <c r="G13899" i="2"/>
  <c r="G13900" i="2"/>
  <c r="G13901" i="2"/>
  <c r="G13902" i="2"/>
  <c r="G13903" i="2"/>
  <c r="G13904" i="2"/>
  <c r="G13905" i="2"/>
  <c r="G13906" i="2"/>
  <c r="G13907" i="2"/>
  <c r="G13908" i="2"/>
  <c r="G13909" i="2"/>
  <c r="G13910" i="2"/>
  <c r="G13911" i="2"/>
  <c r="G13912" i="2"/>
  <c r="G13913" i="2"/>
  <c r="G13914" i="2"/>
  <c r="G13915" i="2"/>
  <c r="G13916" i="2"/>
  <c r="G13917" i="2"/>
  <c r="G13918" i="2"/>
  <c r="G13919" i="2"/>
  <c r="G13920" i="2"/>
  <c r="G13921" i="2"/>
  <c r="G13922" i="2"/>
  <c r="G13923" i="2"/>
  <c r="G13924" i="2"/>
  <c r="G13925" i="2"/>
  <c r="G13926" i="2"/>
  <c r="G13927" i="2"/>
  <c r="G13928" i="2"/>
  <c r="G13929" i="2"/>
  <c r="G13930" i="2"/>
  <c r="G13931" i="2"/>
  <c r="G13932" i="2"/>
  <c r="G13933" i="2"/>
  <c r="G13934" i="2"/>
  <c r="G13935" i="2"/>
  <c r="G13936" i="2"/>
  <c r="G13937" i="2"/>
  <c r="G13938" i="2"/>
  <c r="G13939" i="2"/>
  <c r="G13940" i="2"/>
  <c r="G13941" i="2"/>
  <c r="G13942" i="2"/>
  <c r="G13943" i="2"/>
  <c r="G13944" i="2"/>
  <c r="G13945" i="2"/>
  <c r="G13946" i="2"/>
  <c r="G13947" i="2"/>
  <c r="G13948" i="2"/>
  <c r="G13949" i="2"/>
  <c r="G13950" i="2"/>
  <c r="G13951" i="2"/>
  <c r="G13952" i="2"/>
  <c r="G13953" i="2"/>
  <c r="G13954" i="2"/>
  <c r="G13955" i="2"/>
  <c r="G13956" i="2"/>
  <c r="G13957" i="2"/>
  <c r="G13958" i="2"/>
  <c r="G13959" i="2"/>
  <c r="G13960" i="2"/>
  <c r="G13961" i="2"/>
  <c r="G13962" i="2"/>
  <c r="G13963" i="2"/>
  <c r="G13964" i="2"/>
  <c r="G13965" i="2"/>
  <c r="G13966" i="2"/>
  <c r="G13967" i="2"/>
  <c r="G13968" i="2"/>
  <c r="G13969" i="2"/>
  <c r="G13970" i="2"/>
  <c r="G13971" i="2"/>
  <c r="G13972" i="2"/>
  <c r="G13973" i="2"/>
  <c r="G13974" i="2"/>
  <c r="G13975" i="2"/>
  <c r="G13976" i="2"/>
  <c r="G13977" i="2"/>
  <c r="G13978" i="2"/>
  <c r="G13979" i="2"/>
  <c r="G13980" i="2"/>
  <c r="G13981" i="2"/>
  <c r="G13982" i="2"/>
  <c r="G13983" i="2"/>
  <c r="G13984" i="2"/>
  <c r="G13985" i="2"/>
  <c r="G13986" i="2"/>
  <c r="G13987" i="2"/>
  <c r="G13988" i="2"/>
  <c r="G13989" i="2"/>
  <c r="G13990" i="2"/>
  <c r="G13991" i="2"/>
  <c r="G13992" i="2"/>
  <c r="G13993" i="2"/>
  <c r="G13994" i="2"/>
  <c r="G13995" i="2"/>
  <c r="G13996" i="2"/>
  <c r="G13997" i="2"/>
  <c r="G13998" i="2"/>
  <c r="G13999" i="2"/>
  <c r="G14000" i="2"/>
  <c r="G14001" i="2"/>
  <c r="G14002" i="2"/>
  <c r="G14003" i="2"/>
  <c r="G14004" i="2"/>
  <c r="G14005" i="2"/>
  <c r="G14006" i="2"/>
  <c r="G14007" i="2"/>
  <c r="G14008" i="2"/>
  <c r="G14009" i="2"/>
  <c r="G14010" i="2"/>
  <c r="G14011" i="2"/>
  <c r="G14012" i="2"/>
  <c r="G14013" i="2"/>
  <c r="G14014" i="2"/>
  <c r="G14015" i="2"/>
  <c r="G14016" i="2"/>
  <c r="G14017" i="2"/>
  <c r="G14018" i="2"/>
  <c r="G14019" i="2"/>
  <c r="G14020" i="2"/>
  <c r="G14021" i="2"/>
  <c r="G14022" i="2"/>
  <c r="G14023" i="2"/>
  <c r="G14024" i="2"/>
  <c r="G14025" i="2"/>
  <c r="G14026" i="2"/>
  <c r="G14027" i="2"/>
  <c r="G14028" i="2"/>
  <c r="G14029" i="2"/>
  <c r="G14030" i="2"/>
  <c r="G14031" i="2"/>
  <c r="G14032" i="2"/>
  <c r="G14033" i="2"/>
  <c r="G14034" i="2"/>
  <c r="G14035" i="2"/>
  <c r="G14036" i="2"/>
  <c r="G14037" i="2"/>
  <c r="G14038" i="2"/>
  <c r="G14039" i="2"/>
  <c r="G14040" i="2"/>
  <c r="G14041" i="2"/>
  <c r="G14042" i="2"/>
  <c r="G14043" i="2"/>
  <c r="G14044" i="2"/>
  <c r="G14045" i="2"/>
  <c r="G14046" i="2"/>
  <c r="G14047" i="2"/>
  <c r="G14048" i="2"/>
  <c r="G14049" i="2"/>
  <c r="G14050" i="2"/>
  <c r="G14051" i="2"/>
  <c r="G14052" i="2"/>
  <c r="G14053" i="2"/>
  <c r="G14054" i="2"/>
  <c r="G14055" i="2"/>
  <c r="G14056" i="2"/>
  <c r="G14057" i="2"/>
  <c r="G14058" i="2"/>
  <c r="G14059" i="2"/>
  <c r="G14060" i="2"/>
  <c r="G14061" i="2"/>
  <c r="G14062" i="2"/>
  <c r="G14063" i="2"/>
  <c r="G14064" i="2"/>
  <c r="G14065" i="2"/>
  <c r="G14066" i="2"/>
  <c r="G14067" i="2"/>
  <c r="G14068" i="2"/>
  <c r="G14069" i="2"/>
  <c r="G14070" i="2"/>
  <c r="G14071" i="2"/>
  <c r="G14072" i="2"/>
  <c r="G14073" i="2"/>
  <c r="G14074" i="2"/>
  <c r="G14075" i="2"/>
  <c r="G14076" i="2"/>
  <c r="G14077" i="2"/>
  <c r="G14078" i="2"/>
  <c r="G14079" i="2"/>
  <c r="G14080" i="2"/>
  <c r="G14081" i="2"/>
  <c r="G14082" i="2"/>
  <c r="G14083" i="2"/>
  <c r="G14084" i="2"/>
  <c r="G14085" i="2"/>
  <c r="G14086" i="2"/>
  <c r="G14087" i="2"/>
  <c r="G14088" i="2"/>
  <c r="G14089" i="2"/>
  <c r="G14090" i="2"/>
  <c r="G14091" i="2"/>
  <c r="G14092" i="2"/>
  <c r="G14093" i="2"/>
  <c r="G14094" i="2"/>
  <c r="G14095" i="2"/>
  <c r="G14096" i="2"/>
  <c r="G14097" i="2"/>
  <c r="G14098" i="2"/>
  <c r="G14099" i="2"/>
  <c r="G14100" i="2"/>
  <c r="G14101" i="2"/>
  <c r="G14102" i="2"/>
  <c r="G14103" i="2"/>
  <c r="G14104" i="2"/>
  <c r="G14105" i="2"/>
  <c r="G14106" i="2"/>
  <c r="G14107" i="2"/>
  <c r="G14108" i="2"/>
  <c r="G14109" i="2"/>
  <c r="G14110" i="2"/>
  <c r="G14111" i="2"/>
  <c r="G14112" i="2"/>
  <c r="G14113" i="2"/>
  <c r="G14114" i="2"/>
  <c r="G14115" i="2"/>
  <c r="G14116" i="2"/>
  <c r="G14117" i="2"/>
  <c r="G14118" i="2"/>
  <c r="G14119" i="2"/>
  <c r="G14120" i="2"/>
  <c r="G14121" i="2"/>
  <c r="G14122" i="2"/>
  <c r="G14123" i="2"/>
  <c r="G14124" i="2"/>
  <c r="G14125" i="2"/>
  <c r="G14126" i="2"/>
  <c r="G14127" i="2"/>
  <c r="G14128" i="2"/>
  <c r="G14129" i="2"/>
  <c r="G14130" i="2"/>
  <c r="G14131" i="2"/>
  <c r="G14132" i="2"/>
  <c r="G14133" i="2"/>
  <c r="G14134" i="2"/>
  <c r="G14135" i="2"/>
  <c r="G14136" i="2"/>
  <c r="G14137" i="2"/>
  <c r="G14138" i="2"/>
  <c r="G14139" i="2"/>
  <c r="G14140" i="2"/>
  <c r="G14141" i="2"/>
  <c r="G14142" i="2"/>
  <c r="G14143" i="2"/>
  <c r="G14144" i="2"/>
  <c r="G14145" i="2"/>
  <c r="G14146" i="2"/>
  <c r="G14147" i="2"/>
  <c r="G14148" i="2"/>
  <c r="G14149" i="2"/>
  <c r="G14150" i="2"/>
  <c r="G14151" i="2"/>
  <c r="G14152" i="2"/>
  <c r="G14153" i="2"/>
  <c r="G14154" i="2"/>
  <c r="G14155" i="2"/>
  <c r="G14156" i="2"/>
  <c r="G14157" i="2"/>
  <c r="G14158" i="2"/>
  <c r="G14159" i="2"/>
  <c r="G14160" i="2"/>
  <c r="G14161" i="2"/>
  <c r="G14162" i="2"/>
  <c r="G14163" i="2"/>
  <c r="G14164" i="2"/>
  <c r="G14165" i="2"/>
  <c r="G14166" i="2"/>
  <c r="G14167" i="2"/>
  <c r="G14168" i="2"/>
  <c r="G14169" i="2"/>
  <c r="G14170" i="2"/>
  <c r="G14171" i="2"/>
  <c r="G14172" i="2"/>
  <c r="G14173" i="2"/>
  <c r="G14174" i="2"/>
  <c r="G14175" i="2"/>
  <c r="G14176" i="2"/>
  <c r="G14177" i="2"/>
  <c r="G14178" i="2"/>
  <c r="G14179" i="2"/>
  <c r="G14180" i="2"/>
  <c r="G14181" i="2"/>
  <c r="G14182" i="2"/>
  <c r="G14183" i="2"/>
  <c r="G14184" i="2"/>
  <c r="G14185" i="2"/>
  <c r="G14186" i="2"/>
  <c r="G14187" i="2"/>
  <c r="G14188" i="2"/>
  <c r="G14189" i="2"/>
  <c r="G14190" i="2"/>
  <c r="G14191" i="2"/>
  <c r="G14192" i="2"/>
  <c r="G14193" i="2"/>
  <c r="G14194" i="2"/>
  <c r="G14195" i="2"/>
  <c r="G14196" i="2"/>
  <c r="G14197" i="2"/>
  <c r="G14198" i="2"/>
  <c r="G14199" i="2"/>
  <c r="G14200" i="2"/>
  <c r="G14201" i="2"/>
  <c r="G14202" i="2"/>
  <c r="G14203" i="2"/>
  <c r="G14204" i="2"/>
  <c r="G14205" i="2"/>
  <c r="G14206" i="2"/>
  <c r="G14207" i="2"/>
  <c r="G14208" i="2"/>
  <c r="G14209" i="2"/>
  <c r="G14210" i="2"/>
  <c r="G14211" i="2"/>
  <c r="G14212" i="2"/>
  <c r="G14213" i="2"/>
  <c r="G14214" i="2"/>
  <c r="G14215" i="2"/>
  <c r="G14216" i="2"/>
  <c r="G14217" i="2"/>
  <c r="G14218" i="2"/>
  <c r="G14219" i="2"/>
  <c r="G14220" i="2"/>
  <c r="G14221" i="2"/>
  <c r="G14222" i="2"/>
  <c r="G14223" i="2"/>
  <c r="G14224" i="2"/>
  <c r="G14225" i="2"/>
  <c r="G14226" i="2"/>
  <c r="G14227" i="2"/>
  <c r="G14228" i="2"/>
  <c r="G14229" i="2"/>
  <c r="G14230" i="2"/>
  <c r="G14231" i="2"/>
  <c r="G14232" i="2"/>
  <c r="G14233" i="2"/>
  <c r="G14234" i="2"/>
  <c r="G14235" i="2"/>
  <c r="G14236" i="2"/>
  <c r="G14237" i="2"/>
  <c r="G14238" i="2"/>
  <c r="G14239" i="2"/>
  <c r="G14240" i="2"/>
  <c r="G14241" i="2"/>
  <c r="G14242" i="2"/>
  <c r="G14243" i="2"/>
  <c r="G14244" i="2"/>
  <c r="G14245" i="2"/>
  <c r="G14246" i="2"/>
  <c r="G14247" i="2"/>
  <c r="G14248" i="2"/>
  <c r="G14249" i="2"/>
  <c r="G14250" i="2"/>
  <c r="G14251" i="2"/>
  <c r="G14252" i="2"/>
  <c r="G14253" i="2"/>
  <c r="G14254" i="2"/>
  <c r="G14255" i="2"/>
  <c r="G14256" i="2"/>
  <c r="G14257" i="2"/>
  <c r="G14258" i="2"/>
  <c r="G14259" i="2"/>
  <c r="G14260" i="2"/>
  <c r="G14261" i="2"/>
  <c r="G14262" i="2"/>
  <c r="G14263" i="2"/>
  <c r="G14264" i="2"/>
  <c r="G14265" i="2"/>
  <c r="G14266" i="2"/>
  <c r="G14267" i="2"/>
  <c r="G14268" i="2"/>
  <c r="G14269" i="2"/>
  <c r="G14270" i="2"/>
  <c r="G14271" i="2"/>
  <c r="G14272" i="2"/>
  <c r="G14273" i="2"/>
  <c r="G14274" i="2"/>
  <c r="G14275" i="2"/>
  <c r="G14276" i="2"/>
  <c r="G14277" i="2"/>
  <c r="G14278" i="2"/>
  <c r="G14279" i="2"/>
  <c r="G14280" i="2"/>
  <c r="G14281" i="2"/>
  <c r="G14282" i="2"/>
  <c r="G14283" i="2"/>
  <c r="G14284" i="2"/>
  <c r="G14285" i="2"/>
  <c r="G14286" i="2"/>
  <c r="G14287" i="2"/>
  <c r="G14288" i="2"/>
  <c r="G14289" i="2"/>
  <c r="G14290" i="2"/>
  <c r="G14291" i="2"/>
  <c r="G14292" i="2"/>
  <c r="G14293" i="2"/>
  <c r="G14294" i="2"/>
  <c r="G14295" i="2"/>
  <c r="G14296" i="2"/>
  <c r="G14297" i="2"/>
  <c r="G14298" i="2"/>
  <c r="G14299" i="2"/>
  <c r="G14300" i="2"/>
  <c r="G14301" i="2"/>
  <c r="G14302" i="2"/>
  <c r="G14303" i="2"/>
  <c r="G14304" i="2"/>
  <c r="G14305" i="2"/>
  <c r="G14306" i="2"/>
  <c r="G14307" i="2"/>
  <c r="G14308" i="2"/>
  <c r="G14309" i="2"/>
  <c r="G14310" i="2"/>
  <c r="G14311" i="2"/>
  <c r="G14312" i="2"/>
  <c r="G14313" i="2"/>
  <c r="G14314" i="2"/>
  <c r="G14315" i="2"/>
  <c r="G14316" i="2"/>
  <c r="G14317" i="2"/>
  <c r="G14318" i="2"/>
  <c r="G14319" i="2"/>
  <c r="G14320" i="2"/>
  <c r="G14321" i="2"/>
  <c r="G14322" i="2"/>
  <c r="G14323" i="2"/>
  <c r="G14324" i="2"/>
  <c r="G14325" i="2"/>
  <c r="G14326" i="2"/>
  <c r="G14327" i="2"/>
  <c r="G14328" i="2"/>
  <c r="G14329" i="2"/>
  <c r="G14330" i="2"/>
  <c r="G14331" i="2"/>
  <c r="G14332" i="2"/>
  <c r="G14333" i="2"/>
  <c r="G14334" i="2"/>
  <c r="G14335" i="2"/>
  <c r="G14336" i="2"/>
  <c r="G14337" i="2"/>
  <c r="G14338" i="2"/>
  <c r="G14339" i="2"/>
  <c r="G14340" i="2"/>
  <c r="G14341" i="2"/>
  <c r="G14342" i="2"/>
  <c r="G14343" i="2"/>
  <c r="G14344" i="2"/>
  <c r="G14345" i="2"/>
  <c r="G14346" i="2"/>
  <c r="G14347" i="2"/>
  <c r="G14348" i="2"/>
  <c r="G14349" i="2"/>
  <c r="G14350" i="2"/>
  <c r="G14351" i="2"/>
  <c r="G14352" i="2"/>
  <c r="G14353" i="2"/>
  <c r="G14354" i="2"/>
  <c r="G14355" i="2"/>
  <c r="G14356" i="2"/>
  <c r="G14357" i="2"/>
  <c r="G14358" i="2"/>
  <c r="G14359" i="2"/>
  <c r="G14360" i="2"/>
  <c r="G14361" i="2"/>
  <c r="G14362" i="2"/>
  <c r="G14363" i="2"/>
  <c r="G14364" i="2"/>
  <c r="G14365" i="2"/>
  <c r="G14366" i="2"/>
  <c r="G14367" i="2"/>
  <c r="G14368" i="2"/>
  <c r="G14369" i="2"/>
  <c r="G14370" i="2"/>
  <c r="G14371" i="2"/>
  <c r="G14372" i="2"/>
  <c r="G14373" i="2"/>
  <c r="G14374" i="2"/>
  <c r="G14375" i="2"/>
  <c r="G14376" i="2"/>
  <c r="G14377" i="2"/>
  <c r="G14378" i="2"/>
  <c r="G14379" i="2"/>
  <c r="G14380" i="2"/>
  <c r="G14381" i="2"/>
  <c r="G14382" i="2"/>
  <c r="G14383" i="2"/>
  <c r="G14384" i="2"/>
  <c r="G14385" i="2"/>
  <c r="G14386" i="2"/>
  <c r="G14387" i="2"/>
  <c r="G14388" i="2"/>
  <c r="G14389" i="2"/>
  <c r="G14390" i="2"/>
  <c r="G14391" i="2"/>
  <c r="G14392" i="2"/>
  <c r="G14393" i="2"/>
  <c r="G14394" i="2"/>
  <c r="G14395" i="2"/>
  <c r="G14396" i="2"/>
  <c r="G14397" i="2"/>
  <c r="G14398" i="2"/>
  <c r="G14399" i="2"/>
  <c r="G14400" i="2"/>
  <c r="G14401" i="2"/>
  <c r="G14402" i="2"/>
  <c r="G14403" i="2"/>
  <c r="G14404" i="2"/>
  <c r="G14405" i="2"/>
  <c r="G14406" i="2"/>
  <c r="G14407" i="2"/>
  <c r="G14408" i="2"/>
  <c r="G14409" i="2"/>
  <c r="G14410" i="2"/>
  <c r="G14411" i="2"/>
  <c r="G14412" i="2"/>
  <c r="G14413" i="2"/>
  <c r="G14414" i="2"/>
  <c r="G14415" i="2"/>
  <c r="G14416" i="2"/>
  <c r="G14417" i="2"/>
  <c r="G14418" i="2"/>
  <c r="G14419" i="2"/>
  <c r="G14420" i="2"/>
  <c r="G14421" i="2"/>
  <c r="G14422" i="2"/>
  <c r="G14423" i="2"/>
  <c r="G14424" i="2"/>
  <c r="G14425" i="2"/>
  <c r="G14426" i="2"/>
  <c r="G14427" i="2"/>
  <c r="G14428" i="2"/>
  <c r="G14429" i="2"/>
  <c r="G14430" i="2"/>
  <c r="G14431" i="2"/>
  <c r="G14432" i="2"/>
  <c r="G14433" i="2"/>
  <c r="G14434" i="2"/>
  <c r="G14435" i="2"/>
  <c r="G14436" i="2"/>
  <c r="G14437" i="2"/>
  <c r="G14438" i="2"/>
  <c r="G14439" i="2"/>
  <c r="G14440" i="2"/>
  <c r="G14441" i="2"/>
  <c r="G14442" i="2"/>
  <c r="G14443" i="2"/>
  <c r="G14444" i="2"/>
  <c r="G14445" i="2"/>
  <c r="G14446" i="2"/>
  <c r="G14447" i="2"/>
  <c r="G14448" i="2"/>
  <c r="G14449" i="2"/>
  <c r="G14450" i="2"/>
  <c r="G14451" i="2"/>
  <c r="G14452" i="2"/>
  <c r="G14453" i="2"/>
  <c r="G14454" i="2"/>
  <c r="G14455" i="2"/>
  <c r="G14456" i="2"/>
  <c r="G14457" i="2"/>
  <c r="G14458" i="2"/>
  <c r="G14459" i="2"/>
  <c r="G14460" i="2"/>
  <c r="G14461" i="2"/>
  <c r="G14462" i="2"/>
  <c r="G14463" i="2"/>
  <c r="G14464" i="2"/>
  <c r="G14465" i="2"/>
  <c r="G14466" i="2"/>
  <c r="G14467" i="2"/>
  <c r="G14468" i="2"/>
  <c r="G14469" i="2"/>
  <c r="G14470" i="2"/>
  <c r="G14471" i="2"/>
  <c r="G14472" i="2"/>
  <c r="G14473" i="2"/>
  <c r="G14474" i="2"/>
  <c r="G14475" i="2"/>
  <c r="G14476" i="2"/>
  <c r="G14477" i="2"/>
  <c r="G14478" i="2"/>
  <c r="G14479" i="2"/>
  <c r="G14480" i="2"/>
  <c r="G14481" i="2"/>
  <c r="G14482" i="2"/>
  <c r="G14483" i="2"/>
  <c r="G14484" i="2"/>
  <c r="G14485" i="2"/>
  <c r="G14486" i="2"/>
  <c r="G14487" i="2"/>
  <c r="G14488" i="2"/>
  <c r="G14489" i="2"/>
  <c r="G14490" i="2"/>
  <c r="G14491" i="2"/>
  <c r="G14492" i="2"/>
  <c r="G14493" i="2"/>
  <c r="G14494" i="2"/>
  <c r="G14495" i="2"/>
  <c r="G14496" i="2"/>
  <c r="G14497" i="2"/>
  <c r="G14498" i="2"/>
  <c r="G14499" i="2"/>
  <c r="G14500" i="2"/>
  <c r="G14501" i="2"/>
  <c r="G14502" i="2"/>
  <c r="G14503" i="2"/>
  <c r="G14504" i="2"/>
  <c r="G14505" i="2"/>
  <c r="G14506" i="2"/>
  <c r="G14507" i="2"/>
  <c r="G14508" i="2"/>
  <c r="G14509" i="2"/>
  <c r="G14510" i="2"/>
  <c r="G14511" i="2"/>
  <c r="G14512" i="2"/>
  <c r="G14513" i="2"/>
  <c r="G14514" i="2"/>
  <c r="G14515" i="2"/>
  <c r="G14516" i="2"/>
  <c r="G14517" i="2"/>
  <c r="G14518" i="2"/>
  <c r="G14519" i="2"/>
  <c r="G14520" i="2"/>
  <c r="G14521" i="2"/>
  <c r="G14522" i="2"/>
  <c r="G14523" i="2"/>
  <c r="G14524" i="2"/>
  <c r="G14525" i="2"/>
  <c r="G14526" i="2"/>
  <c r="G14527" i="2"/>
  <c r="G14528" i="2"/>
  <c r="G14529" i="2"/>
  <c r="G14530" i="2"/>
  <c r="G14531" i="2"/>
  <c r="G14532" i="2"/>
  <c r="G14533" i="2"/>
  <c r="G14534" i="2"/>
  <c r="G14535" i="2"/>
  <c r="G14536" i="2"/>
  <c r="G14537" i="2"/>
  <c r="G14538" i="2"/>
  <c r="G14539" i="2"/>
  <c r="G14540" i="2"/>
  <c r="G14541" i="2"/>
  <c r="G14542" i="2"/>
  <c r="G14543" i="2"/>
  <c r="G14544" i="2"/>
  <c r="G14545" i="2"/>
  <c r="G14546" i="2"/>
  <c r="G14547" i="2"/>
  <c r="G14548" i="2"/>
  <c r="G14549" i="2"/>
  <c r="G14550" i="2"/>
  <c r="G14551" i="2"/>
  <c r="G14552" i="2"/>
  <c r="G14553" i="2"/>
  <c r="G14554" i="2"/>
  <c r="G14555" i="2"/>
  <c r="G14556" i="2"/>
  <c r="G14557" i="2"/>
  <c r="G14558" i="2"/>
  <c r="G14559" i="2"/>
  <c r="G14560" i="2"/>
  <c r="G14561" i="2"/>
  <c r="G14562" i="2"/>
  <c r="G14563" i="2"/>
  <c r="G14564" i="2"/>
  <c r="G14565" i="2"/>
  <c r="G14566" i="2"/>
  <c r="G14567" i="2"/>
  <c r="G14568" i="2"/>
  <c r="G14569" i="2"/>
  <c r="G14570" i="2"/>
  <c r="G14571" i="2"/>
  <c r="G14572" i="2"/>
  <c r="G14573" i="2"/>
  <c r="G14574" i="2"/>
  <c r="G14575" i="2"/>
  <c r="G14576" i="2"/>
  <c r="G14577" i="2"/>
  <c r="G14578" i="2"/>
  <c r="G14579" i="2"/>
  <c r="G14580" i="2"/>
  <c r="G14581" i="2"/>
  <c r="G14582" i="2"/>
  <c r="G14583" i="2"/>
  <c r="G14584" i="2"/>
  <c r="G14585" i="2"/>
  <c r="G14586" i="2"/>
  <c r="G14587" i="2"/>
  <c r="G14588" i="2"/>
  <c r="G14589" i="2"/>
  <c r="G14590" i="2"/>
  <c r="G14591" i="2"/>
  <c r="G14592" i="2"/>
  <c r="G14593" i="2"/>
  <c r="G14594" i="2"/>
  <c r="G14595" i="2"/>
  <c r="G14596" i="2"/>
  <c r="G14597" i="2"/>
  <c r="G14598" i="2"/>
  <c r="G14599" i="2"/>
  <c r="G14600" i="2"/>
  <c r="G14601" i="2"/>
  <c r="G14602" i="2"/>
  <c r="G14603" i="2"/>
  <c r="G14604" i="2"/>
  <c r="G14605" i="2"/>
  <c r="G14606" i="2"/>
  <c r="G14607" i="2"/>
  <c r="G14608" i="2"/>
  <c r="G14609" i="2"/>
  <c r="G14610" i="2"/>
  <c r="G14611" i="2"/>
  <c r="G14612" i="2"/>
  <c r="G14613" i="2"/>
  <c r="G14614" i="2"/>
  <c r="G14615" i="2"/>
  <c r="G14616" i="2"/>
  <c r="G14617" i="2"/>
  <c r="G14618" i="2"/>
  <c r="G14619" i="2"/>
  <c r="G14620" i="2"/>
  <c r="G14621" i="2"/>
  <c r="G14622" i="2"/>
  <c r="G14623" i="2"/>
  <c r="G14624" i="2"/>
  <c r="G14625" i="2"/>
  <c r="G14626" i="2"/>
  <c r="G14627" i="2"/>
  <c r="G14628" i="2"/>
  <c r="G14629" i="2"/>
  <c r="G14630" i="2"/>
  <c r="G14631" i="2"/>
  <c r="G14632" i="2"/>
  <c r="G14633" i="2"/>
  <c r="G14634" i="2"/>
  <c r="G14635" i="2"/>
  <c r="G14636" i="2"/>
  <c r="G14637" i="2"/>
  <c r="G14638" i="2"/>
  <c r="G14639" i="2"/>
  <c r="G14640" i="2"/>
  <c r="G14641" i="2"/>
  <c r="G14642" i="2"/>
  <c r="G14643" i="2"/>
  <c r="G14644" i="2"/>
  <c r="G14645" i="2"/>
  <c r="G14646" i="2"/>
  <c r="G14647" i="2"/>
  <c r="G14648" i="2"/>
  <c r="G14649" i="2"/>
  <c r="G14650" i="2"/>
  <c r="G14651" i="2"/>
  <c r="G14652" i="2"/>
  <c r="G14653" i="2"/>
  <c r="G14654" i="2"/>
  <c r="G14655" i="2"/>
  <c r="G14656" i="2"/>
  <c r="G14657" i="2"/>
  <c r="G14658" i="2"/>
  <c r="G14659" i="2"/>
  <c r="G14660" i="2"/>
  <c r="G14661" i="2"/>
  <c r="G14662" i="2"/>
  <c r="G14663" i="2"/>
  <c r="G14664" i="2"/>
  <c r="G14665" i="2"/>
  <c r="G14666" i="2"/>
  <c r="G14667" i="2"/>
  <c r="G14668" i="2"/>
  <c r="G14669" i="2"/>
  <c r="G14670" i="2"/>
  <c r="G14671" i="2"/>
  <c r="G14672" i="2"/>
  <c r="G14673" i="2"/>
  <c r="G14674" i="2"/>
  <c r="G14675" i="2"/>
  <c r="G14676" i="2"/>
  <c r="G14677" i="2"/>
  <c r="G14678" i="2"/>
  <c r="G14679" i="2"/>
  <c r="G14680" i="2"/>
  <c r="G14681" i="2"/>
  <c r="G14682" i="2"/>
  <c r="G14683" i="2"/>
  <c r="G14684" i="2"/>
  <c r="G14685" i="2"/>
  <c r="G14686" i="2"/>
  <c r="G14687" i="2"/>
  <c r="G14688" i="2"/>
  <c r="G14689" i="2"/>
  <c r="G14690" i="2"/>
  <c r="G14691" i="2"/>
  <c r="G14692" i="2"/>
  <c r="G14693" i="2"/>
  <c r="G14694" i="2"/>
  <c r="G14695" i="2"/>
  <c r="G14696" i="2"/>
  <c r="G14697" i="2"/>
  <c r="G14698" i="2"/>
  <c r="G14699" i="2"/>
  <c r="G14700" i="2"/>
  <c r="G14701" i="2"/>
  <c r="G14702" i="2"/>
  <c r="G14703" i="2"/>
  <c r="G14704" i="2"/>
  <c r="G14705" i="2"/>
  <c r="G14706" i="2"/>
  <c r="G14707" i="2"/>
  <c r="G14708" i="2"/>
  <c r="G14709" i="2"/>
  <c r="G14710" i="2"/>
  <c r="G14711" i="2"/>
  <c r="G14712" i="2"/>
  <c r="G14713" i="2"/>
  <c r="G14714" i="2"/>
  <c r="G14715" i="2"/>
  <c r="G14716" i="2"/>
  <c r="G14717" i="2"/>
  <c r="G14718" i="2"/>
  <c r="G14719" i="2"/>
  <c r="G14720" i="2"/>
  <c r="G14721" i="2"/>
  <c r="G14722" i="2"/>
  <c r="G14723" i="2"/>
  <c r="G14724" i="2"/>
  <c r="G14725" i="2"/>
  <c r="G14726" i="2"/>
  <c r="G14727" i="2"/>
  <c r="G14728" i="2"/>
  <c r="G14729" i="2"/>
  <c r="G14730" i="2"/>
  <c r="G14731" i="2"/>
  <c r="G14732" i="2"/>
  <c r="G14733" i="2"/>
  <c r="G14734" i="2"/>
  <c r="G14735" i="2"/>
  <c r="G14736" i="2"/>
  <c r="G14737" i="2"/>
  <c r="G14738" i="2"/>
  <c r="G14739" i="2"/>
  <c r="G14740" i="2"/>
  <c r="G14741" i="2"/>
  <c r="G14742" i="2"/>
  <c r="G14743" i="2"/>
  <c r="G14744" i="2"/>
  <c r="G14745" i="2"/>
  <c r="G14746" i="2"/>
  <c r="G14747" i="2"/>
  <c r="G14748" i="2"/>
  <c r="G14749" i="2"/>
  <c r="G14750" i="2"/>
  <c r="G14751" i="2"/>
  <c r="G14752" i="2"/>
  <c r="G14753" i="2"/>
  <c r="G14754" i="2"/>
  <c r="G14755" i="2"/>
  <c r="G14756" i="2"/>
  <c r="G14757" i="2"/>
  <c r="G14758" i="2"/>
  <c r="G14759" i="2"/>
  <c r="G14760" i="2"/>
  <c r="G14761" i="2"/>
  <c r="G14762" i="2"/>
  <c r="G14763" i="2"/>
  <c r="G14764" i="2"/>
  <c r="G14765" i="2"/>
  <c r="G14766" i="2"/>
  <c r="G14767" i="2"/>
  <c r="G14768" i="2"/>
  <c r="G14769" i="2"/>
  <c r="G14770" i="2"/>
  <c r="G14771" i="2"/>
  <c r="G14772" i="2"/>
  <c r="G14773" i="2"/>
  <c r="G14774" i="2"/>
  <c r="G14775" i="2"/>
  <c r="G14776" i="2"/>
  <c r="G14777" i="2"/>
  <c r="G14778" i="2"/>
  <c r="G14779" i="2"/>
  <c r="G14780" i="2"/>
  <c r="G14781" i="2"/>
  <c r="G14782" i="2"/>
  <c r="G14783" i="2"/>
  <c r="G14784" i="2"/>
  <c r="G14785" i="2"/>
  <c r="G14786" i="2"/>
  <c r="G14787" i="2"/>
  <c r="G14788" i="2"/>
  <c r="G14789" i="2"/>
  <c r="G14790" i="2"/>
  <c r="G14791" i="2"/>
  <c r="G14792" i="2"/>
  <c r="G14793" i="2"/>
  <c r="G14794" i="2"/>
  <c r="G14795" i="2"/>
  <c r="G14796" i="2"/>
  <c r="G14797" i="2"/>
  <c r="G14798" i="2"/>
  <c r="G14799" i="2"/>
  <c r="G14800" i="2"/>
  <c r="G14801" i="2"/>
  <c r="G14802" i="2"/>
  <c r="G14803" i="2"/>
  <c r="G14804" i="2"/>
  <c r="G14805" i="2"/>
  <c r="G14806" i="2"/>
  <c r="G14807" i="2"/>
  <c r="G14808" i="2"/>
  <c r="G14809" i="2"/>
  <c r="G14810" i="2"/>
  <c r="G14811" i="2"/>
  <c r="G14812" i="2"/>
  <c r="G14813" i="2"/>
  <c r="G14814" i="2"/>
  <c r="G14815" i="2"/>
  <c r="G14816" i="2"/>
  <c r="G14817" i="2"/>
  <c r="G14818" i="2"/>
  <c r="G14819" i="2"/>
  <c r="G14820" i="2"/>
  <c r="G14821" i="2"/>
  <c r="G14822" i="2"/>
  <c r="G14823" i="2"/>
  <c r="G14824" i="2"/>
  <c r="G14825" i="2"/>
  <c r="G14826" i="2"/>
  <c r="G14827" i="2"/>
  <c r="G14828" i="2"/>
  <c r="G14829" i="2"/>
  <c r="G14830" i="2"/>
  <c r="G14831" i="2"/>
  <c r="G14832" i="2"/>
  <c r="G14833" i="2"/>
  <c r="G14834" i="2"/>
  <c r="G14835" i="2"/>
  <c r="G14836" i="2"/>
  <c r="G14837" i="2"/>
  <c r="G14838" i="2"/>
  <c r="G14839" i="2"/>
  <c r="G14840" i="2"/>
  <c r="G14841" i="2"/>
  <c r="G14842" i="2"/>
  <c r="G14843" i="2"/>
  <c r="G14844" i="2"/>
  <c r="G14845" i="2"/>
  <c r="G14846" i="2"/>
  <c r="G14847" i="2"/>
  <c r="G14848" i="2"/>
  <c r="G14849" i="2"/>
  <c r="G14850" i="2"/>
  <c r="G14851" i="2"/>
  <c r="G14852" i="2"/>
  <c r="G14853" i="2"/>
  <c r="G14854" i="2"/>
  <c r="G14855" i="2"/>
  <c r="G14856" i="2"/>
  <c r="G14857" i="2"/>
  <c r="G14858" i="2"/>
  <c r="G14859" i="2"/>
  <c r="G14860" i="2"/>
  <c r="G14861" i="2"/>
  <c r="G14862" i="2"/>
  <c r="G14863" i="2"/>
  <c r="G14864" i="2"/>
  <c r="G14865" i="2"/>
  <c r="G14866" i="2"/>
  <c r="G14867" i="2"/>
  <c r="G14868" i="2"/>
  <c r="G14869" i="2"/>
  <c r="G14870" i="2"/>
  <c r="G14871" i="2"/>
  <c r="G14872" i="2"/>
  <c r="G14873" i="2"/>
  <c r="G14874" i="2"/>
  <c r="G14875" i="2"/>
  <c r="G14876" i="2"/>
  <c r="G14877" i="2"/>
  <c r="G14878" i="2"/>
  <c r="G14879" i="2"/>
  <c r="G14880" i="2"/>
  <c r="G14881" i="2"/>
  <c r="G14882" i="2"/>
  <c r="G14883" i="2"/>
  <c r="G14884" i="2"/>
  <c r="G14885" i="2"/>
  <c r="G14886" i="2"/>
  <c r="G14887" i="2"/>
  <c r="G14888" i="2"/>
  <c r="G14889" i="2"/>
  <c r="G14890" i="2"/>
  <c r="G14891" i="2"/>
  <c r="G14892" i="2"/>
  <c r="G14893" i="2"/>
  <c r="G14894" i="2"/>
  <c r="G14895" i="2"/>
  <c r="G14896" i="2"/>
  <c r="G14897" i="2"/>
  <c r="G14898" i="2"/>
  <c r="G14899" i="2"/>
  <c r="G14900" i="2"/>
  <c r="G14901" i="2"/>
  <c r="G14902" i="2"/>
  <c r="G14903" i="2"/>
  <c r="G14904" i="2"/>
  <c r="G14905" i="2"/>
  <c r="G14906" i="2"/>
  <c r="G14907" i="2"/>
  <c r="G14908" i="2"/>
  <c r="G14909" i="2"/>
  <c r="G14910" i="2"/>
  <c r="G14911" i="2"/>
  <c r="G14912" i="2"/>
  <c r="G14913" i="2"/>
  <c r="G14914" i="2"/>
  <c r="G14915" i="2"/>
  <c r="G14916" i="2"/>
  <c r="G14917" i="2"/>
  <c r="G14918" i="2"/>
  <c r="G14919" i="2"/>
  <c r="G14920" i="2"/>
  <c r="G14921" i="2"/>
  <c r="G14922" i="2"/>
  <c r="G14923" i="2"/>
  <c r="G14924" i="2"/>
  <c r="G14925" i="2"/>
  <c r="G14926" i="2"/>
  <c r="G14927" i="2"/>
  <c r="G14928" i="2"/>
  <c r="G14929" i="2"/>
  <c r="G14930" i="2"/>
  <c r="G14931" i="2"/>
  <c r="G14932" i="2"/>
  <c r="G14933" i="2"/>
  <c r="G14934" i="2"/>
  <c r="G14935" i="2"/>
  <c r="G14936" i="2"/>
  <c r="G14937" i="2"/>
  <c r="G14938" i="2"/>
  <c r="G14939" i="2"/>
  <c r="G14940" i="2"/>
  <c r="G14941" i="2"/>
  <c r="G14942" i="2"/>
  <c r="G14943" i="2"/>
  <c r="G14944" i="2"/>
  <c r="G14945" i="2"/>
  <c r="G14946" i="2"/>
  <c r="G14947" i="2"/>
  <c r="G14948" i="2"/>
  <c r="G14949" i="2"/>
  <c r="G14950" i="2"/>
  <c r="G14951" i="2"/>
  <c r="G14952" i="2"/>
  <c r="G14953" i="2"/>
  <c r="G14954" i="2"/>
  <c r="G14955" i="2"/>
  <c r="G14956" i="2"/>
  <c r="G14957" i="2"/>
  <c r="G14958" i="2"/>
  <c r="G14959" i="2"/>
  <c r="G14960" i="2"/>
  <c r="G14961" i="2"/>
  <c r="G14962" i="2"/>
  <c r="G14963" i="2"/>
  <c r="G14964" i="2"/>
  <c r="G14965" i="2"/>
  <c r="G14966" i="2"/>
  <c r="G14967" i="2"/>
  <c r="G14968" i="2"/>
  <c r="G14969" i="2"/>
  <c r="G14970" i="2"/>
  <c r="G14971" i="2"/>
  <c r="G14972" i="2"/>
  <c r="G14973" i="2"/>
  <c r="G14974" i="2"/>
  <c r="G14975" i="2"/>
  <c r="G14976" i="2"/>
  <c r="G14977" i="2"/>
  <c r="G14978" i="2"/>
  <c r="G14979" i="2"/>
  <c r="G14980" i="2"/>
  <c r="G14981" i="2"/>
  <c r="G14982" i="2"/>
  <c r="G14983" i="2"/>
  <c r="G14984" i="2"/>
  <c r="G14985" i="2"/>
  <c r="G14986" i="2"/>
  <c r="G14987" i="2"/>
  <c r="G14988" i="2"/>
  <c r="G14989" i="2"/>
  <c r="G14990" i="2"/>
  <c r="G14991" i="2"/>
  <c r="G14992" i="2"/>
  <c r="G14993" i="2"/>
  <c r="G14994" i="2"/>
  <c r="G14995" i="2"/>
  <c r="G14996" i="2"/>
  <c r="G14997" i="2"/>
  <c r="G14998" i="2"/>
  <c r="G14999" i="2"/>
  <c r="G15000" i="2"/>
  <c r="P13" i="37" l="1"/>
  <c r="P10" i="37"/>
  <c r="P7" i="37"/>
  <c r="P13" i="36"/>
  <c r="P10" i="36"/>
  <c r="P8" i="41"/>
  <c r="P6" i="41"/>
  <c r="P12" i="38"/>
  <c r="P9" i="38"/>
  <c r="P6" i="38"/>
  <c r="P6" i="42"/>
  <c r="P12" i="42"/>
  <c r="P9" i="42"/>
  <c r="P11" i="37"/>
  <c r="P8" i="37"/>
  <c r="P5" i="37"/>
  <c r="P11" i="36"/>
  <c r="P8" i="36"/>
  <c r="P10" i="38"/>
  <c r="P7" i="38"/>
  <c r="P7" i="42"/>
  <c r="P13" i="38"/>
  <c r="P13" i="42"/>
  <c r="P10" i="42"/>
  <c r="P11" i="41"/>
  <c r="P12" i="41"/>
  <c r="P13" i="41"/>
  <c r="P12" i="37"/>
  <c r="P9" i="37"/>
  <c r="P6" i="37"/>
  <c r="P6" i="36"/>
  <c r="P5" i="41"/>
  <c r="P12" i="36"/>
  <c r="P9" i="36"/>
  <c r="P9" i="41"/>
  <c r="P11" i="38"/>
  <c r="P8" i="38"/>
  <c r="P5" i="38"/>
  <c r="P8" i="42"/>
  <c r="P5" i="42"/>
  <c r="P11" i="42"/>
  <c r="P7" i="36"/>
  <c r="P10" i="41"/>
  <c r="P7" i="41"/>
  <c r="P5" i="36"/>
  <c r="K12" i="36"/>
  <c r="K11" i="38"/>
  <c r="K8" i="38"/>
  <c r="K5" i="38"/>
  <c r="K8" i="42"/>
  <c r="K5" i="42"/>
  <c r="K11" i="42"/>
  <c r="K13" i="37"/>
  <c r="K10" i="37"/>
  <c r="K7" i="37"/>
  <c r="K12" i="38"/>
  <c r="K9" i="38"/>
  <c r="K6" i="38"/>
  <c r="K6" i="42"/>
  <c r="K12" i="42"/>
  <c r="K11" i="37"/>
  <c r="K8" i="37"/>
  <c r="K5" i="37"/>
  <c r="K5" i="36"/>
  <c r="K9" i="36"/>
  <c r="K11" i="36"/>
  <c r="K8" i="36"/>
  <c r="K6" i="36"/>
  <c r="K7" i="36"/>
  <c r="K13" i="36"/>
  <c r="K10" i="38"/>
  <c r="K7" i="38"/>
  <c r="K7" i="42"/>
  <c r="K10" i="36"/>
  <c r="K13" i="38"/>
  <c r="K13" i="42"/>
  <c r="K10" i="42"/>
  <c r="K12" i="37"/>
  <c r="K9" i="37"/>
  <c r="K6" i="37"/>
  <c r="J12" i="37"/>
  <c r="J9" i="37"/>
  <c r="J6" i="37"/>
  <c r="J11" i="38"/>
  <c r="J8" i="38"/>
  <c r="J5" i="38"/>
  <c r="J8" i="42"/>
  <c r="J5" i="42"/>
  <c r="J11" i="42"/>
  <c r="J13" i="37"/>
  <c r="J10" i="37"/>
  <c r="J7" i="37"/>
  <c r="J13" i="36"/>
  <c r="J10" i="36"/>
  <c r="J12" i="38"/>
  <c r="J9" i="38"/>
  <c r="J6" i="38"/>
  <c r="J9" i="42"/>
  <c r="J6" i="42"/>
  <c r="J12" i="42"/>
  <c r="J8" i="41"/>
  <c r="J7" i="36"/>
  <c r="J11" i="37"/>
  <c r="J8" i="37"/>
  <c r="J5" i="37"/>
  <c r="J5" i="36"/>
  <c r="J13" i="41"/>
  <c r="J10" i="42"/>
  <c r="J5" i="41"/>
  <c r="J10" i="41"/>
  <c r="J11" i="36"/>
  <c r="J6" i="41"/>
  <c r="J9" i="41"/>
  <c r="J9" i="36"/>
  <c r="J10" i="38"/>
  <c r="J7" i="38"/>
  <c r="J7" i="42"/>
  <c r="J11" i="41"/>
  <c r="J12" i="36"/>
  <c r="J12" i="41"/>
  <c r="J13" i="38"/>
  <c r="J13" i="42"/>
  <c r="J6" i="36"/>
  <c r="J7" i="41"/>
  <c r="R9" i="38"/>
  <c r="R6" i="38"/>
  <c r="R6" i="42"/>
  <c r="R12" i="42"/>
  <c r="R9" i="42"/>
  <c r="R11" i="36"/>
  <c r="R11" i="37"/>
  <c r="R8" i="37"/>
  <c r="R5" i="37"/>
  <c r="R13" i="41"/>
  <c r="R10" i="38"/>
  <c r="R7" i="38"/>
  <c r="R7" i="42"/>
  <c r="R6" i="36"/>
  <c r="R13" i="38"/>
  <c r="R13" i="42"/>
  <c r="R10" i="42"/>
  <c r="R11" i="41"/>
  <c r="R12" i="37"/>
  <c r="R9" i="37"/>
  <c r="R6" i="37"/>
  <c r="R12" i="36"/>
  <c r="R9" i="36"/>
  <c r="R9" i="41"/>
  <c r="R11" i="38"/>
  <c r="R8" i="38"/>
  <c r="R5" i="38"/>
  <c r="R8" i="42"/>
  <c r="R5" i="42"/>
  <c r="R10" i="36"/>
  <c r="R5" i="41"/>
  <c r="R5" i="36"/>
  <c r="R8" i="41"/>
  <c r="R11" i="42"/>
  <c r="R7" i="41"/>
  <c r="R13" i="36"/>
  <c r="R6" i="41"/>
  <c r="R13" i="37"/>
  <c r="R10" i="37"/>
  <c r="R7" i="37"/>
  <c r="R7" i="36"/>
  <c r="R12" i="41"/>
  <c r="R10" i="41"/>
  <c r="R8" i="36"/>
  <c r="M13" i="38"/>
  <c r="M9" i="38"/>
  <c r="M5" i="38"/>
  <c r="M13" i="41"/>
  <c r="M10" i="41"/>
  <c r="M7" i="41"/>
  <c r="M12" i="37"/>
  <c r="M8" i="37"/>
  <c r="M7" i="42"/>
  <c r="M6" i="36"/>
  <c r="M11" i="42"/>
  <c r="M10" i="36"/>
  <c r="M10" i="38"/>
  <c r="M6" i="38"/>
  <c r="M13" i="37"/>
  <c r="M9" i="37"/>
  <c r="M5" i="37"/>
  <c r="M8" i="42"/>
  <c r="M7" i="36"/>
  <c r="M11" i="41"/>
  <c r="M8" i="41"/>
  <c r="M5" i="41"/>
  <c r="M12" i="42"/>
  <c r="M11" i="36"/>
  <c r="M13" i="42"/>
  <c r="M8" i="36"/>
  <c r="M6" i="41"/>
  <c r="M8" i="38"/>
  <c r="M11" i="38"/>
  <c r="M7" i="38"/>
  <c r="M9" i="42"/>
  <c r="M12" i="41"/>
  <c r="M9" i="41"/>
  <c r="M6" i="37"/>
  <c r="M5" i="42"/>
  <c r="M12" i="36"/>
  <c r="M12" i="38"/>
  <c r="M11" i="37"/>
  <c r="M7" i="37"/>
  <c r="M6" i="42"/>
  <c r="M5" i="36"/>
  <c r="M10" i="42"/>
  <c r="M13" i="36"/>
  <c r="M9" i="36"/>
  <c r="S10" i="38"/>
  <c r="S10" i="37"/>
  <c r="S9" i="42"/>
  <c r="S5" i="38"/>
  <c r="S11" i="38"/>
  <c r="S11" i="37"/>
  <c r="S5" i="37"/>
  <c r="S10" i="42"/>
  <c r="S9" i="36"/>
  <c r="S12" i="38"/>
  <c r="S12" i="37"/>
  <c r="S6" i="37"/>
  <c r="S11" i="42"/>
  <c r="S5" i="42"/>
  <c r="S10" i="36"/>
  <c r="S11" i="41"/>
  <c r="S7" i="41"/>
  <c r="S7" i="38"/>
  <c r="S13" i="37"/>
  <c r="S7" i="37"/>
  <c r="S12" i="42"/>
  <c r="S6" i="42"/>
  <c r="S11" i="36"/>
  <c r="S5" i="36"/>
  <c r="S9" i="38"/>
  <c r="S8" i="36"/>
  <c r="S10" i="41"/>
  <c r="S12" i="41"/>
  <c r="S8" i="41"/>
  <c r="S9" i="37"/>
  <c r="S7" i="36"/>
  <c r="S5" i="41"/>
  <c r="S8" i="38"/>
  <c r="S8" i="37"/>
  <c r="S13" i="42"/>
  <c r="S7" i="42"/>
  <c r="S12" i="36"/>
  <c r="S6" i="36"/>
  <c r="S13" i="41"/>
  <c r="S6" i="41"/>
  <c r="S13" i="36"/>
  <c r="S9" i="41"/>
  <c r="S8" i="42"/>
  <c r="H8" i="38"/>
  <c r="H10" i="37"/>
  <c r="H11" i="42"/>
  <c r="H13" i="41"/>
  <c r="H7" i="41"/>
  <c r="H8" i="41"/>
  <c r="H9" i="38"/>
  <c r="H11" i="37"/>
  <c r="H12" i="42"/>
  <c r="H10" i="42"/>
  <c r="H10" i="38"/>
  <c r="H12" i="37"/>
  <c r="H13" i="42"/>
  <c r="H11" i="38"/>
  <c r="H13" i="37"/>
  <c r="H12" i="38"/>
  <c r="H9" i="41"/>
  <c r="H13" i="38"/>
  <c r="H5" i="42"/>
  <c r="H10" i="41"/>
  <c r="H6" i="41"/>
  <c r="H5" i="37"/>
  <c r="H6" i="42"/>
  <c r="H5" i="38"/>
  <c r="H8" i="42"/>
  <c r="H6" i="37"/>
  <c r="H7" i="42"/>
  <c r="H11" i="41"/>
  <c r="H5" i="41"/>
  <c r="H7" i="37"/>
  <c r="H12" i="41"/>
  <c r="H7" i="38"/>
  <c r="H9" i="37"/>
  <c r="H6" i="38"/>
  <c r="H8" i="37"/>
  <c r="H9" i="42"/>
  <c r="L11" i="36"/>
  <c r="L9" i="42"/>
  <c r="L5" i="36"/>
  <c r="L7" i="36"/>
  <c r="L11" i="41"/>
  <c r="L12" i="36"/>
  <c r="L13" i="42"/>
  <c r="L5" i="42"/>
  <c r="L13" i="36"/>
  <c r="L12" i="42"/>
  <c r="L13" i="38"/>
  <c r="L12" i="38"/>
  <c r="L11" i="38"/>
  <c r="L10" i="38"/>
  <c r="L9" i="38"/>
  <c r="L8" i="38"/>
  <c r="L7" i="38"/>
  <c r="L6" i="38"/>
  <c r="L5" i="38"/>
  <c r="L5" i="41"/>
  <c r="L6" i="41"/>
  <c r="L10" i="42"/>
  <c r="L9" i="41"/>
  <c r="L6" i="42"/>
  <c r="L8" i="41"/>
  <c r="L7" i="42"/>
  <c r="L13" i="37"/>
  <c r="L11" i="37"/>
  <c r="L10" i="37"/>
  <c r="L9" i="37"/>
  <c r="L8" i="37"/>
  <c r="L7" i="37"/>
  <c r="L6" i="37"/>
  <c r="L5" i="37"/>
  <c r="L9" i="36"/>
  <c r="L12" i="41"/>
  <c r="L7" i="41"/>
  <c r="L11" i="42"/>
  <c r="L6" i="36"/>
  <c r="L10" i="36"/>
  <c r="L13" i="41"/>
  <c r="L8" i="42"/>
  <c r="L10" i="41"/>
  <c r="L8" i="36"/>
  <c r="I7" i="38"/>
  <c r="I12" i="37"/>
  <c r="I6" i="42"/>
  <c r="I6" i="38"/>
  <c r="I11" i="37"/>
  <c r="I5" i="42"/>
  <c r="I5" i="38"/>
  <c r="I10" i="37"/>
  <c r="I9" i="37"/>
  <c r="I13" i="41"/>
  <c r="I10" i="41"/>
  <c r="I8" i="37"/>
  <c r="I13" i="42"/>
  <c r="I13" i="38"/>
  <c r="I6" i="37"/>
  <c r="I12" i="42"/>
  <c r="I12" i="36"/>
  <c r="I9" i="36"/>
  <c r="I9" i="41"/>
  <c r="I5" i="41"/>
  <c r="I12" i="38"/>
  <c r="I5" i="37"/>
  <c r="I11" i="42"/>
  <c r="I10" i="38"/>
  <c r="I9" i="42"/>
  <c r="I11" i="36"/>
  <c r="I8" i="36"/>
  <c r="I5" i="36"/>
  <c r="I11" i="41"/>
  <c r="I11" i="38"/>
  <c r="I13" i="36"/>
  <c r="I10" i="36"/>
  <c r="I6" i="36"/>
  <c r="I8" i="41"/>
  <c r="I6" i="41"/>
  <c r="I9" i="38"/>
  <c r="I7" i="36"/>
  <c r="I12" i="41"/>
  <c r="I8" i="38"/>
  <c r="I13" i="37"/>
  <c r="H12" i="36"/>
  <c r="H11" i="36"/>
  <c r="H10" i="36"/>
  <c r="H9" i="36"/>
  <c r="H7" i="36"/>
  <c r="H6" i="36"/>
  <c r="H5" i="36"/>
  <c r="H13" i="36"/>
  <c r="K12" i="41"/>
  <c r="K7" i="41"/>
  <c r="K10" i="41"/>
  <c r="K13" i="41"/>
  <c r="K8" i="41"/>
  <c r="K11" i="41"/>
  <c r="K6" i="41"/>
  <c r="K9" i="41"/>
  <c r="S12" i="39"/>
  <c r="S10" i="39"/>
  <c r="S8" i="39"/>
  <c r="S6" i="39"/>
  <c r="S13" i="39"/>
  <c r="S11" i="39"/>
  <c r="S9" i="39"/>
  <c r="S7" i="39"/>
  <c r="S5" i="39"/>
  <c r="R12" i="39"/>
  <c r="R8" i="39"/>
  <c r="R13" i="39"/>
  <c r="R9" i="39"/>
  <c r="R5" i="39"/>
  <c r="R10" i="39"/>
  <c r="R6" i="39"/>
  <c r="R11" i="39"/>
  <c r="R7" i="39"/>
  <c r="Q13" i="39"/>
  <c r="Q12" i="39"/>
  <c r="Q11" i="39"/>
  <c r="Q10" i="39"/>
  <c r="Q9" i="39"/>
  <c r="Q8" i="39"/>
  <c r="Q7" i="39"/>
  <c r="Q6" i="39"/>
  <c r="Q5" i="39"/>
  <c r="P10" i="39"/>
  <c r="P6" i="39"/>
  <c r="P13" i="39"/>
  <c r="P9" i="39"/>
  <c r="P5" i="39"/>
  <c r="P12" i="39"/>
  <c r="P8" i="39"/>
  <c r="P11" i="39"/>
  <c r="P7" i="39"/>
  <c r="O12" i="39"/>
  <c r="O10" i="39"/>
  <c r="O8" i="39"/>
  <c r="O6" i="39"/>
  <c r="O13" i="39"/>
  <c r="O11" i="39"/>
  <c r="O9" i="39"/>
  <c r="O7" i="39"/>
  <c r="O5" i="39"/>
  <c r="N12" i="39"/>
  <c r="N8" i="39"/>
  <c r="N13" i="39"/>
  <c r="N9" i="39"/>
  <c r="N5" i="39"/>
  <c r="N10" i="39"/>
  <c r="N6" i="39"/>
  <c r="N11" i="39"/>
  <c r="N7" i="39"/>
  <c r="K13" i="39"/>
  <c r="K12" i="39"/>
  <c r="K11" i="39"/>
  <c r="K10" i="39"/>
  <c r="K9" i="39"/>
  <c r="K8" i="39"/>
  <c r="K7" i="39"/>
  <c r="K6" i="39"/>
  <c r="K5" i="39"/>
  <c r="M13" i="39"/>
  <c r="M9" i="39"/>
  <c r="M5" i="39"/>
  <c r="M12" i="39"/>
  <c r="M8" i="39"/>
  <c r="M11" i="39"/>
  <c r="M7" i="39"/>
  <c r="M10" i="39"/>
  <c r="M6" i="39"/>
  <c r="L12" i="39"/>
  <c r="L10" i="39"/>
  <c r="L8" i="39"/>
  <c r="L6" i="39"/>
  <c r="L13" i="39"/>
  <c r="L11" i="39"/>
  <c r="L9" i="39"/>
  <c r="L7" i="39"/>
  <c r="L5" i="39"/>
  <c r="J12" i="39"/>
  <c r="J8" i="39"/>
  <c r="J13" i="39"/>
  <c r="J9" i="39"/>
  <c r="J5" i="39"/>
  <c r="J10" i="39"/>
  <c r="J6" i="39"/>
  <c r="J11" i="39"/>
  <c r="J7" i="39"/>
  <c r="I13" i="39"/>
  <c r="I12" i="39"/>
  <c r="I11" i="39"/>
  <c r="I10" i="39"/>
  <c r="I9" i="39"/>
  <c r="I8" i="39"/>
  <c r="I7" i="39"/>
  <c r="I6" i="39"/>
  <c r="I5" i="39"/>
  <c r="H13" i="39"/>
  <c r="H9" i="39"/>
  <c r="H5" i="39"/>
  <c r="H12" i="39"/>
  <c r="H8" i="39"/>
  <c r="H11" i="39"/>
  <c r="H7" i="39"/>
  <c r="G28" i="2"/>
  <c r="G3" i="2"/>
  <c r="G14" i="2"/>
  <c r="G18" i="2"/>
  <c r="L5" i="2"/>
  <c r="O5" i="2"/>
  <c r="Q15002" i="2" l="1"/>
  <c r="Q15003" i="2"/>
  <c r="Q15004" i="2"/>
  <c r="Q15005" i="2"/>
  <c r="Q15006" i="2"/>
  <c r="Q15007" i="2"/>
  <c r="Q15008" i="2"/>
  <c r="Q15009" i="2"/>
  <c r="Q15010" i="2"/>
  <c r="Q15011" i="2"/>
  <c r="Q15012" i="2"/>
  <c r="Q15013" i="2"/>
  <c r="Q15014" i="2"/>
  <c r="Q15015" i="2"/>
  <c r="Q15016" i="2"/>
  <c r="Q15017" i="2"/>
  <c r="Q15018" i="2"/>
  <c r="Q15019" i="2"/>
  <c r="Q15020" i="2"/>
  <c r="Q15021" i="2"/>
  <c r="Q15022" i="2"/>
  <c r="Q15023" i="2"/>
  <c r="Q15024" i="2"/>
  <c r="Q15025" i="2"/>
  <c r="Q15026" i="2"/>
  <c r="Q15027" i="2"/>
  <c r="Q15028" i="2"/>
  <c r="Q15029" i="2"/>
  <c r="Q15030" i="2"/>
  <c r="Q15031" i="2"/>
  <c r="Q15032" i="2"/>
  <c r="Q15033" i="2"/>
  <c r="Q15034" i="2"/>
  <c r="Q15035" i="2"/>
  <c r="Q15036" i="2"/>
  <c r="Q15037" i="2"/>
  <c r="Q15038" i="2"/>
  <c r="Q15039" i="2"/>
  <c r="Q15040" i="2"/>
  <c r="Q15041" i="2"/>
  <c r="Q15042" i="2"/>
  <c r="Q15043" i="2"/>
  <c r="Q15044" i="2"/>
  <c r="Q15045" i="2"/>
  <c r="Q15046" i="2"/>
  <c r="Q15047" i="2"/>
  <c r="Q15048" i="2"/>
  <c r="Q15049" i="2"/>
  <c r="Q15050" i="2"/>
  <c r="Q15051" i="2"/>
  <c r="Q15052" i="2"/>
  <c r="Q15053" i="2"/>
  <c r="Q15054" i="2"/>
  <c r="Q15055" i="2"/>
  <c r="Q15056" i="2"/>
  <c r="Q15057" i="2"/>
  <c r="Q15058" i="2"/>
  <c r="Q15059" i="2"/>
  <c r="Q15060" i="2"/>
  <c r="Q15061" i="2"/>
  <c r="Q15062" i="2"/>
  <c r="Q15063" i="2"/>
  <c r="Q15064" i="2"/>
  <c r="Q15065" i="2"/>
  <c r="Q15066" i="2"/>
  <c r="Q15067" i="2"/>
  <c r="Q15068" i="2"/>
  <c r="Q15069" i="2"/>
  <c r="Q15070" i="2"/>
  <c r="Q15071" i="2"/>
  <c r="Q15072" i="2"/>
  <c r="Q15073" i="2"/>
  <c r="Q15074" i="2"/>
  <c r="Q15075" i="2"/>
  <c r="Q15076" i="2"/>
  <c r="Q15077" i="2"/>
  <c r="Q15078" i="2"/>
  <c r="Q15079" i="2"/>
  <c r="Q15080" i="2"/>
  <c r="Q15081" i="2"/>
  <c r="Q15082" i="2"/>
  <c r="Q15083" i="2"/>
  <c r="Q15084" i="2"/>
  <c r="Q15085" i="2"/>
  <c r="Q15086" i="2"/>
  <c r="Q15087" i="2"/>
  <c r="Q15088" i="2"/>
  <c r="Q15089" i="2"/>
  <c r="Q15090" i="2"/>
  <c r="Q15091" i="2"/>
  <c r="Q15092" i="2"/>
  <c r="Q15093" i="2"/>
  <c r="Q15094" i="2"/>
  <c r="Q15095" i="2"/>
  <c r="Q15096" i="2"/>
  <c r="Q15097" i="2"/>
  <c r="Q15098" i="2"/>
  <c r="Q15099" i="2"/>
  <c r="Q15100" i="2"/>
  <c r="Q15101" i="2"/>
  <c r="Q15102" i="2"/>
  <c r="Q15103" i="2"/>
  <c r="Q15104" i="2"/>
  <c r="Q15105" i="2"/>
  <c r="Q15106" i="2"/>
  <c r="Q15107" i="2"/>
  <c r="Q15108" i="2"/>
  <c r="Q15109" i="2"/>
  <c r="Q15110" i="2"/>
  <c r="Q15111" i="2"/>
  <c r="Q15112" i="2"/>
  <c r="Q15113" i="2"/>
  <c r="Q15114" i="2"/>
  <c r="Q15115" i="2"/>
  <c r="Q15116" i="2"/>
  <c r="Q15117" i="2"/>
  <c r="Q15118" i="2"/>
  <c r="Q15119" i="2"/>
  <c r="Q15120" i="2"/>
  <c r="Q15121" i="2"/>
  <c r="Q15122" i="2"/>
  <c r="Q15123" i="2"/>
  <c r="Q15124" i="2"/>
  <c r="Q15125" i="2"/>
  <c r="Q15126" i="2"/>
  <c r="Q15127" i="2"/>
  <c r="Q15128" i="2"/>
  <c r="Q15129" i="2"/>
  <c r="Q15130" i="2"/>
  <c r="Q15131" i="2"/>
  <c r="Q15132" i="2"/>
  <c r="Q15133" i="2"/>
  <c r="Q15134" i="2"/>
  <c r="Q15135" i="2"/>
  <c r="Q15136" i="2"/>
  <c r="Q15137" i="2"/>
  <c r="Q15138" i="2"/>
  <c r="Q15139" i="2"/>
  <c r="Q15140" i="2"/>
  <c r="Q15141" i="2"/>
  <c r="Q15142" i="2"/>
  <c r="Q15143" i="2"/>
  <c r="Q15144" i="2"/>
  <c r="Q15145" i="2"/>
  <c r="Q15146" i="2"/>
  <c r="Q15147" i="2"/>
  <c r="Q15148" i="2"/>
  <c r="Q15149" i="2"/>
  <c r="Q15150" i="2"/>
  <c r="Q15151" i="2"/>
  <c r="Q15152" i="2"/>
  <c r="Q15153" i="2"/>
  <c r="Q15154" i="2"/>
  <c r="Q15155" i="2"/>
  <c r="Q15156" i="2"/>
  <c r="Q15157" i="2"/>
  <c r="Q15158" i="2"/>
  <c r="Q15159" i="2"/>
  <c r="Q15160" i="2"/>
  <c r="Q15161" i="2"/>
  <c r="Q15162" i="2"/>
  <c r="Q15163" i="2"/>
  <c r="Q15164" i="2"/>
  <c r="Q15165" i="2"/>
  <c r="Q15166" i="2"/>
  <c r="Q15167" i="2"/>
  <c r="Q15168" i="2"/>
  <c r="Q15169" i="2"/>
  <c r="Q15170" i="2"/>
  <c r="Q15171" i="2"/>
  <c r="Q15172" i="2"/>
  <c r="Q15173" i="2"/>
  <c r="Q15174" i="2"/>
  <c r="Q15175" i="2"/>
  <c r="Q15176" i="2"/>
  <c r="Q15177" i="2"/>
  <c r="Q15178" i="2"/>
  <c r="Q15179" i="2"/>
  <c r="Q15180" i="2"/>
  <c r="Q15181" i="2"/>
  <c r="Q15182" i="2"/>
  <c r="Q15183" i="2"/>
  <c r="Q15184" i="2"/>
  <c r="Q15185" i="2"/>
  <c r="Q15186" i="2"/>
  <c r="Q15187" i="2"/>
  <c r="Q15188" i="2"/>
  <c r="Q15189" i="2"/>
  <c r="Q15190" i="2"/>
  <c r="Q15191" i="2"/>
  <c r="Q15192" i="2"/>
  <c r="Q15193" i="2"/>
  <c r="Q15194" i="2"/>
  <c r="Q15195" i="2"/>
  <c r="Q15196" i="2"/>
  <c r="Q15197" i="2"/>
  <c r="Q15198" i="2"/>
  <c r="Q15199" i="2"/>
  <c r="Q15200" i="2"/>
  <c r="Q15201" i="2"/>
  <c r="Q15202" i="2"/>
  <c r="Q15203" i="2"/>
  <c r="Q15204" i="2"/>
  <c r="Q15205" i="2"/>
  <c r="Q15206" i="2"/>
  <c r="Q15207" i="2"/>
  <c r="Q15208" i="2"/>
  <c r="Q15209" i="2"/>
  <c r="Q15210" i="2"/>
  <c r="Q15211" i="2"/>
  <c r="Q15212" i="2"/>
  <c r="Q15213" i="2"/>
  <c r="Q15214" i="2"/>
  <c r="Q15215" i="2"/>
  <c r="Q15216" i="2"/>
  <c r="Q15217" i="2"/>
  <c r="Q15218" i="2"/>
  <c r="Q15219" i="2"/>
  <c r="Q15220" i="2"/>
  <c r="Q15221" i="2"/>
  <c r="Q15222" i="2"/>
  <c r="Q15223" i="2"/>
  <c r="Q15224" i="2"/>
  <c r="Q15225" i="2"/>
  <c r="Q15226" i="2"/>
  <c r="Q15227" i="2"/>
  <c r="Q15228" i="2"/>
  <c r="Q15229" i="2"/>
  <c r="Q15230" i="2"/>
  <c r="Q15231" i="2"/>
  <c r="Q15232" i="2"/>
  <c r="Q15233" i="2"/>
  <c r="Q15234" i="2"/>
  <c r="Q15235" i="2"/>
  <c r="Q15236" i="2"/>
  <c r="Q15237" i="2"/>
  <c r="Q15238" i="2"/>
  <c r="Q15239" i="2"/>
  <c r="Q15240" i="2"/>
  <c r="Q15241" i="2"/>
  <c r="Q15242" i="2"/>
  <c r="Q15243" i="2"/>
  <c r="Q15244" i="2"/>
  <c r="Q15245" i="2"/>
  <c r="Q15246" i="2"/>
  <c r="Q15247" i="2"/>
  <c r="Q15248" i="2"/>
  <c r="Q15249" i="2"/>
  <c r="Q15250" i="2"/>
  <c r="Q15251" i="2"/>
  <c r="Q15252" i="2"/>
  <c r="Q15253" i="2"/>
  <c r="Q15254" i="2"/>
  <c r="Q15255" i="2"/>
  <c r="Q15256" i="2"/>
  <c r="Q15257" i="2"/>
  <c r="Q15258" i="2"/>
  <c r="Q15259" i="2"/>
  <c r="Q15260" i="2"/>
  <c r="Q15261" i="2"/>
  <c r="Q15262" i="2"/>
  <c r="Q15263" i="2"/>
  <c r="Q15264" i="2"/>
  <c r="Q15265" i="2"/>
  <c r="Q15266" i="2"/>
  <c r="Q15267" i="2"/>
  <c r="Q15268" i="2"/>
  <c r="Q15269" i="2"/>
  <c r="Q15270" i="2"/>
  <c r="Q15271" i="2"/>
  <c r="Q15272" i="2"/>
  <c r="Q15273" i="2"/>
  <c r="Q15274" i="2"/>
  <c r="Q15275" i="2"/>
  <c r="Q15276" i="2"/>
  <c r="Q15277" i="2"/>
  <c r="Q15278" i="2"/>
  <c r="Q15279" i="2"/>
  <c r="Q15280" i="2"/>
  <c r="Q15281" i="2"/>
  <c r="Q15282" i="2"/>
  <c r="Q15283" i="2"/>
  <c r="Q15284" i="2"/>
  <c r="Q15285" i="2"/>
  <c r="Q15286" i="2"/>
  <c r="Q15287" i="2"/>
  <c r="Q15288" i="2"/>
  <c r="Q15289" i="2"/>
  <c r="Q15290" i="2"/>
  <c r="Q15291" i="2"/>
  <c r="Q15292" i="2"/>
  <c r="Q15293" i="2"/>
  <c r="Q15294" i="2"/>
  <c r="Q15295" i="2"/>
  <c r="Q15296" i="2"/>
  <c r="Q15297" i="2"/>
  <c r="Q15298" i="2"/>
  <c r="Q15299" i="2"/>
  <c r="Q15300" i="2"/>
  <c r="Q15301" i="2"/>
  <c r="Q15302" i="2"/>
  <c r="Q15303" i="2"/>
  <c r="Q15304" i="2"/>
  <c r="Q15305" i="2"/>
  <c r="Q15306" i="2"/>
  <c r="Q15307" i="2"/>
  <c r="Q15308" i="2"/>
  <c r="Q15309" i="2"/>
  <c r="Q15310" i="2"/>
  <c r="Q15311" i="2"/>
  <c r="Q15312" i="2"/>
  <c r="Q15313" i="2"/>
  <c r="Q15314" i="2"/>
  <c r="Q15315" i="2"/>
  <c r="Q15316" i="2"/>
  <c r="Q15317" i="2"/>
  <c r="Q15318" i="2"/>
  <c r="Q15319" i="2"/>
  <c r="Q15320" i="2"/>
  <c r="Q15321" i="2"/>
  <c r="Q15322" i="2"/>
  <c r="Q15323" i="2"/>
  <c r="Q15324" i="2"/>
  <c r="Q15325" i="2"/>
  <c r="Q15326" i="2"/>
  <c r="Q15327" i="2"/>
  <c r="Q15328" i="2"/>
  <c r="Q15329" i="2"/>
  <c r="Q15330" i="2"/>
  <c r="Q15331" i="2"/>
  <c r="Q15332" i="2"/>
  <c r="Q15333" i="2"/>
  <c r="Q15334" i="2"/>
  <c r="Q15335" i="2"/>
  <c r="Q15336" i="2"/>
  <c r="Q15337" i="2"/>
  <c r="Q15338" i="2"/>
  <c r="Q15339" i="2"/>
  <c r="Q15340" i="2"/>
  <c r="Q15341" i="2"/>
  <c r="Q15342" i="2"/>
  <c r="Q15343" i="2"/>
  <c r="Q15344" i="2"/>
  <c r="Q15345" i="2"/>
  <c r="Q15346" i="2"/>
  <c r="Q15347" i="2"/>
  <c r="Q15348" i="2"/>
  <c r="Q15349" i="2"/>
  <c r="Q15350" i="2"/>
  <c r="Q15351" i="2"/>
  <c r="Q15352" i="2"/>
  <c r="Q15353" i="2"/>
  <c r="Q15354" i="2"/>
  <c r="Q15355" i="2"/>
  <c r="Q15356" i="2"/>
  <c r="Q15357" i="2"/>
  <c r="Q15358" i="2"/>
  <c r="Q15359" i="2"/>
  <c r="Q15360" i="2"/>
  <c r="Q15361" i="2"/>
  <c r="Q15362" i="2"/>
  <c r="Q15363" i="2"/>
  <c r="Q15364" i="2"/>
  <c r="Q15365" i="2"/>
  <c r="Q15366" i="2"/>
  <c r="Q15367" i="2"/>
  <c r="Q15368" i="2"/>
  <c r="Q15369" i="2"/>
  <c r="Q15370" i="2"/>
  <c r="Q15371" i="2"/>
  <c r="Q15372" i="2"/>
  <c r="Q15373" i="2"/>
  <c r="Q15374" i="2"/>
  <c r="Q15375" i="2"/>
  <c r="Q15376" i="2"/>
  <c r="Q15377" i="2"/>
  <c r="Q15378" i="2"/>
  <c r="Q15379" i="2"/>
  <c r="Q15380" i="2"/>
  <c r="Q15381" i="2"/>
  <c r="Q15382" i="2"/>
  <c r="Q15383" i="2"/>
  <c r="Q15384" i="2"/>
  <c r="Q15385" i="2"/>
  <c r="Q15386" i="2"/>
  <c r="Q15387" i="2"/>
  <c r="Q15388" i="2"/>
  <c r="Q15389" i="2"/>
  <c r="Q15390" i="2"/>
  <c r="Q15391" i="2"/>
  <c r="Q15392" i="2"/>
  <c r="Q15393" i="2"/>
  <c r="Q15394" i="2"/>
  <c r="Q15395" i="2"/>
  <c r="Q15396" i="2"/>
  <c r="Q15397" i="2"/>
  <c r="Q15398" i="2"/>
  <c r="Q15399" i="2"/>
  <c r="Q15400" i="2"/>
  <c r="Q15401" i="2"/>
  <c r="Q15402" i="2"/>
  <c r="Q15403" i="2"/>
  <c r="Q15404" i="2"/>
  <c r="Q15405" i="2"/>
  <c r="Q15406" i="2"/>
  <c r="Q15407" i="2"/>
  <c r="Q15408" i="2"/>
  <c r="Q15409" i="2"/>
  <c r="Q15410" i="2"/>
  <c r="Q15411" i="2"/>
  <c r="Q15412" i="2"/>
  <c r="Q15413" i="2"/>
  <c r="Q15414" i="2"/>
  <c r="Q15415" i="2"/>
  <c r="Q15416" i="2"/>
  <c r="Q15417" i="2"/>
  <c r="Q15418" i="2"/>
  <c r="Q15419" i="2"/>
  <c r="Q15420" i="2"/>
  <c r="Q15421" i="2"/>
  <c r="Q15422" i="2"/>
  <c r="Q15423" i="2"/>
  <c r="Q15424" i="2"/>
  <c r="Q15425" i="2"/>
  <c r="Q15426" i="2"/>
  <c r="Q15427" i="2"/>
  <c r="Q15428" i="2"/>
  <c r="Q15429" i="2"/>
  <c r="Q15430" i="2"/>
  <c r="Q15431" i="2"/>
  <c r="Q15432" i="2"/>
  <c r="Q15433" i="2"/>
  <c r="Q15434" i="2"/>
  <c r="Q15435" i="2"/>
  <c r="Q15436" i="2"/>
  <c r="Q15437" i="2"/>
  <c r="Q15438" i="2"/>
  <c r="Q15439" i="2"/>
  <c r="Q15440" i="2"/>
  <c r="Q15441" i="2"/>
  <c r="Q15442" i="2"/>
  <c r="Q15443" i="2"/>
  <c r="Q15444" i="2"/>
  <c r="Q15445" i="2"/>
  <c r="Q15446" i="2"/>
  <c r="Q15447" i="2"/>
  <c r="Q15448" i="2"/>
  <c r="Q15449" i="2"/>
  <c r="Q15450" i="2"/>
  <c r="Q15451" i="2"/>
  <c r="Q15452" i="2"/>
  <c r="Q15453" i="2"/>
  <c r="Q15454" i="2"/>
  <c r="Q15455" i="2"/>
  <c r="Q15456" i="2"/>
  <c r="Q15457" i="2"/>
  <c r="Q15458" i="2"/>
  <c r="Q15459" i="2"/>
  <c r="Q15460" i="2"/>
  <c r="Q15461" i="2"/>
  <c r="Q15462" i="2"/>
  <c r="Q15463" i="2"/>
  <c r="Q15464" i="2"/>
  <c r="Q15465" i="2"/>
  <c r="Q15466" i="2"/>
  <c r="Q15467" i="2"/>
  <c r="Q15468" i="2"/>
  <c r="Q15469" i="2"/>
  <c r="Q15470" i="2"/>
  <c r="Q15471" i="2"/>
  <c r="Q15472" i="2"/>
  <c r="Q15473" i="2"/>
  <c r="Q15474" i="2"/>
  <c r="Q15475" i="2"/>
  <c r="Q15476" i="2"/>
  <c r="Q15477" i="2"/>
  <c r="Q15478" i="2"/>
  <c r="Q15479" i="2"/>
  <c r="Q15480" i="2"/>
  <c r="Q15481" i="2"/>
  <c r="Q15482" i="2"/>
  <c r="Q15483" i="2"/>
  <c r="Q15484" i="2"/>
  <c r="Q15485" i="2"/>
  <c r="Q15486" i="2"/>
  <c r="Q15487" i="2"/>
  <c r="Q15488" i="2"/>
  <c r="Q15489" i="2"/>
  <c r="Q15490" i="2"/>
  <c r="Q15491" i="2"/>
  <c r="Q15492" i="2"/>
  <c r="Q15493" i="2"/>
  <c r="Q15494" i="2"/>
  <c r="Q15495" i="2"/>
  <c r="Q15496" i="2"/>
  <c r="Q15497" i="2"/>
  <c r="Q15498" i="2"/>
  <c r="Q15499" i="2"/>
  <c r="Q15500" i="2"/>
  <c r="Q15501" i="2"/>
  <c r="Q15502" i="2"/>
  <c r="Q15503" i="2"/>
  <c r="Q15504" i="2"/>
  <c r="Q15505" i="2"/>
  <c r="Q15506" i="2"/>
  <c r="Q15507" i="2"/>
  <c r="Q15508" i="2"/>
  <c r="Q15509" i="2"/>
  <c r="Q15510" i="2"/>
  <c r="Q15511" i="2"/>
  <c r="Q15512" i="2"/>
  <c r="Q15513" i="2"/>
  <c r="Q15514" i="2"/>
  <c r="Q15515" i="2"/>
  <c r="Q15516" i="2"/>
  <c r="Q15517" i="2"/>
  <c r="Q15518" i="2"/>
  <c r="Q15519" i="2"/>
  <c r="Q15520" i="2"/>
  <c r="Q15521" i="2"/>
  <c r="Q15522" i="2"/>
  <c r="Q15523" i="2"/>
  <c r="Q15524" i="2"/>
  <c r="Q15525" i="2"/>
  <c r="Q15526" i="2"/>
  <c r="Q15527" i="2"/>
  <c r="Q15528" i="2"/>
  <c r="Q15529" i="2"/>
  <c r="Q15530" i="2"/>
  <c r="Q15531" i="2"/>
  <c r="Q15532" i="2"/>
  <c r="Q15533" i="2"/>
  <c r="Q15534" i="2"/>
  <c r="Q15535" i="2"/>
  <c r="Q15536" i="2"/>
  <c r="Q15537" i="2"/>
  <c r="Q15538" i="2"/>
  <c r="Q15539" i="2"/>
  <c r="Q15540" i="2"/>
  <c r="Q15541" i="2"/>
  <c r="Q15542" i="2"/>
  <c r="Q15543" i="2"/>
  <c r="Q15544" i="2"/>
  <c r="Q15545" i="2"/>
  <c r="Q15546" i="2"/>
  <c r="Q15547" i="2"/>
  <c r="Q15548" i="2"/>
  <c r="Q15549" i="2"/>
  <c r="Q15550" i="2"/>
  <c r="Q15551" i="2"/>
  <c r="Q15552" i="2"/>
  <c r="Q15553" i="2"/>
  <c r="Q15554" i="2"/>
  <c r="Q15555" i="2"/>
  <c r="Q15556" i="2"/>
  <c r="Q15557" i="2"/>
  <c r="Q15558" i="2"/>
  <c r="Q15559" i="2"/>
  <c r="Q15560" i="2"/>
  <c r="Q15561" i="2"/>
  <c r="Q15562" i="2"/>
  <c r="Q15563" i="2"/>
  <c r="Q15564" i="2"/>
  <c r="Q15565" i="2"/>
  <c r="Q15566" i="2"/>
  <c r="Q15567" i="2"/>
  <c r="Q15568" i="2"/>
  <c r="Q15569" i="2"/>
  <c r="Q15570" i="2"/>
  <c r="Q15571" i="2"/>
  <c r="Q15572" i="2"/>
  <c r="Q15573" i="2"/>
  <c r="Q15574" i="2"/>
  <c r="Q15575" i="2"/>
  <c r="Q15576" i="2"/>
  <c r="Q15577" i="2"/>
  <c r="Q15578" i="2"/>
  <c r="Q15579" i="2"/>
  <c r="Q15580" i="2"/>
  <c r="Q15581" i="2"/>
  <c r="Q15582" i="2"/>
  <c r="Q15583" i="2"/>
  <c r="Q15584" i="2"/>
  <c r="Q15585" i="2"/>
  <c r="Q15586" i="2"/>
  <c r="Q15587" i="2"/>
  <c r="Q15588" i="2"/>
  <c r="Q15589" i="2"/>
  <c r="Q15590" i="2"/>
  <c r="Q15591" i="2"/>
  <c r="Q15592" i="2"/>
  <c r="Q15593" i="2"/>
  <c r="Q15594" i="2"/>
  <c r="Q15595" i="2"/>
  <c r="Q15596" i="2"/>
  <c r="Q15597" i="2"/>
  <c r="Q15598" i="2"/>
  <c r="Q15599" i="2"/>
  <c r="Q15600" i="2"/>
  <c r="Q15601" i="2"/>
  <c r="Q15602" i="2"/>
  <c r="Q15603" i="2"/>
  <c r="Q15604" i="2"/>
  <c r="Q15605" i="2"/>
  <c r="Q15606" i="2"/>
  <c r="Q15607" i="2"/>
  <c r="Q15608" i="2"/>
  <c r="Q15609" i="2"/>
  <c r="Q15610" i="2"/>
  <c r="Q15611" i="2"/>
  <c r="Q15612" i="2"/>
  <c r="Q15613" i="2"/>
  <c r="Q15614" i="2"/>
  <c r="Q15615" i="2"/>
  <c r="Q15616" i="2"/>
  <c r="Q15617" i="2"/>
  <c r="Q15618" i="2"/>
  <c r="Q15619" i="2"/>
  <c r="Q15620" i="2"/>
  <c r="Q15621" i="2"/>
  <c r="Q15622" i="2"/>
  <c r="Q15623" i="2"/>
  <c r="Q15624" i="2"/>
  <c r="Q15625" i="2"/>
  <c r="Q15626" i="2"/>
  <c r="Q15627" i="2"/>
  <c r="Q15628" i="2"/>
  <c r="Q15629" i="2"/>
  <c r="Q15630" i="2"/>
  <c r="Q15631" i="2"/>
  <c r="Q15632" i="2"/>
  <c r="Q15633" i="2"/>
  <c r="Q15634" i="2"/>
  <c r="Q15635" i="2"/>
  <c r="Q15636" i="2"/>
  <c r="Q15637" i="2"/>
  <c r="Q15638" i="2"/>
  <c r="Q15639" i="2"/>
  <c r="Q15640" i="2"/>
  <c r="Q15641" i="2"/>
  <c r="Q15642" i="2"/>
  <c r="Q15643" i="2"/>
  <c r="Q15644" i="2"/>
  <c r="Q15645" i="2"/>
  <c r="Q15646" i="2"/>
  <c r="Q15647" i="2"/>
  <c r="Q15648" i="2"/>
  <c r="Q15649" i="2"/>
  <c r="Q15650" i="2"/>
  <c r="Q15651" i="2"/>
  <c r="Q15652" i="2"/>
  <c r="Q15653" i="2"/>
  <c r="Q15654" i="2"/>
  <c r="Q15655" i="2"/>
  <c r="Q15656" i="2"/>
  <c r="Q15657" i="2"/>
  <c r="Q15658" i="2"/>
  <c r="Q15659" i="2"/>
  <c r="Q15660" i="2"/>
  <c r="Q15661" i="2"/>
  <c r="Q15662" i="2"/>
  <c r="Q15663" i="2"/>
  <c r="Q15664" i="2"/>
  <c r="Q15665" i="2"/>
  <c r="Q15666" i="2"/>
  <c r="Q15667" i="2"/>
  <c r="Q15668" i="2"/>
  <c r="Q15669" i="2"/>
  <c r="Q15670" i="2"/>
  <c r="Q15671" i="2"/>
  <c r="Q15672" i="2"/>
  <c r="Q15673" i="2"/>
  <c r="Q15674" i="2"/>
  <c r="Q15675" i="2"/>
  <c r="Q15676" i="2"/>
  <c r="Q15677" i="2"/>
  <c r="Q15678" i="2"/>
  <c r="Q15679" i="2"/>
  <c r="Q15680" i="2"/>
  <c r="Q15681" i="2"/>
  <c r="Q15682" i="2"/>
  <c r="Q15683" i="2"/>
  <c r="Q15684" i="2"/>
  <c r="Q15685" i="2"/>
  <c r="Q15686" i="2"/>
  <c r="Q15687" i="2"/>
  <c r="Q15688" i="2"/>
  <c r="Q15689" i="2"/>
  <c r="Q15690" i="2"/>
  <c r="Q15691" i="2"/>
  <c r="Q15692" i="2"/>
  <c r="Q15693" i="2"/>
  <c r="Q15694" i="2"/>
  <c r="Q15695" i="2"/>
  <c r="Q15696" i="2"/>
  <c r="Q15697" i="2"/>
  <c r="Q15698" i="2"/>
  <c r="Q15699" i="2"/>
  <c r="Q15700" i="2"/>
  <c r="Q15701" i="2"/>
  <c r="Q15702" i="2"/>
  <c r="Q15703" i="2"/>
  <c r="Q15704" i="2"/>
  <c r="Q15705" i="2"/>
  <c r="Q15706" i="2"/>
  <c r="Q15707" i="2"/>
  <c r="Q15708" i="2"/>
  <c r="Q15709" i="2"/>
  <c r="Q15710" i="2"/>
  <c r="Q15711" i="2"/>
  <c r="Q15712" i="2"/>
  <c r="Q15713" i="2"/>
  <c r="Q15714" i="2"/>
  <c r="Q15715" i="2"/>
  <c r="Q15716" i="2"/>
  <c r="Q15717" i="2"/>
  <c r="Q15718" i="2"/>
  <c r="Q15719" i="2"/>
  <c r="Q15720" i="2"/>
  <c r="Q15721" i="2"/>
  <c r="Q15722" i="2"/>
  <c r="Q15723" i="2"/>
  <c r="Q15724" i="2"/>
  <c r="Q15725" i="2"/>
  <c r="Q15726" i="2"/>
  <c r="Q15727" i="2"/>
  <c r="Q15728" i="2"/>
  <c r="Q15729" i="2"/>
  <c r="Q15730" i="2"/>
  <c r="Q15731" i="2"/>
  <c r="Q15732" i="2"/>
  <c r="Q15733" i="2"/>
  <c r="Q15734" i="2"/>
  <c r="Q15735" i="2"/>
  <c r="Q15736" i="2"/>
  <c r="Q15737" i="2"/>
  <c r="Q15738" i="2"/>
  <c r="Q15739" i="2"/>
  <c r="Q15740" i="2"/>
  <c r="Q15741" i="2"/>
  <c r="Q15742" i="2"/>
  <c r="Q15743" i="2"/>
  <c r="Q15744" i="2"/>
  <c r="Q15745" i="2"/>
  <c r="Q15746" i="2"/>
  <c r="Q15747" i="2"/>
  <c r="Q15748" i="2"/>
  <c r="Q15749" i="2"/>
  <c r="Q15750" i="2"/>
  <c r="Q15751" i="2"/>
  <c r="Q15752" i="2"/>
  <c r="Q15753" i="2"/>
  <c r="Q15754" i="2"/>
  <c r="Q15755" i="2"/>
  <c r="Q15756" i="2"/>
  <c r="Q15757" i="2"/>
  <c r="Q15758" i="2"/>
  <c r="Q15759" i="2"/>
  <c r="Q15760" i="2"/>
  <c r="Q15761" i="2"/>
  <c r="Q15762" i="2"/>
  <c r="Q15763" i="2"/>
  <c r="Q15764" i="2"/>
  <c r="Q15765" i="2"/>
  <c r="Q15766" i="2"/>
  <c r="Q15767" i="2"/>
  <c r="Q15768" i="2"/>
  <c r="Q15769" i="2"/>
  <c r="Q15770" i="2"/>
  <c r="Q15771" i="2"/>
  <c r="Q15772" i="2"/>
  <c r="Q15773" i="2"/>
  <c r="Q15774" i="2"/>
  <c r="Q15775" i="2"/>
  <c r="Q15776" i="2"/>
  <c r="Q15777" i="2"/>
  <c r="Q15778" i="2"/>
  <c r="Q15779" i="2"/>
  <c r="Q15780" i="2"/>
  <c r="Q15781" i="2"/>
  <c r="Q15782" i="2"/>
  <c r="Q15783" i="2"/>
  <c r="Q15784" i="2"/>
  <c r="Q15785" i="2"/>
  <c r="Q15786" i="2"/>
  <c r="Q15787" i="2"/>
  <c r="Q15788" i="2"/>
  <c r="Q15789" i="2"/>
  <c r="Q15790" i="2"/>
  <c r="Q15791" i="2"/>
  <c r="Q15792" i="2"/>
  <c r="Q15793" i="2"/>
  <c r="Q15794" i="2"/>
  <c r="Q15795" i="2"/>
  <c r="Q15796" i="2"/>
  <c r="Q15797" i="2"/>
  <c r="Q15798" i="2"/>
  <c r="Q15799" i="2"/>
  <c r="Q15800" i="2"/>
  <c r="Q15801" i="2"/>
  <c r="Q15802" i="2"/>
  <c r="Q15803" i="2"/>
  <c r="Q15804" i="2"/>
  <c r="Q15805" i="2"/>
  <c r="Q15806" i="2"/>
  <c r="Q15807" i="2"/>
  <c r="Q15808" i="2"/>
  <c r="Q15809" i="2"/>
  <c r="Q15810" i="2"/>
  <c r="Q15811" i="2"/>
  <c r="Q15812" i="2"/>
  <c r="Q15813" i="2"/>
  <c r="Q15814" i="2"/>
  <c r="Q15815" i="2"/>
  <c r="Q15816" i="2"/>
  <c r="Q15817" i="2"/>
  <c r="Q15818" i="2"/>
  <c r="Q15819" i="2"/>
  <c r="Q15820" i="2"/>
  <c r="Q15821" i="2"/>
  <c r="Q15822" i="2"/>
  <c r="Q15823" i="2"/>
  <c r="Q15824" i="2"/>
  <c r="Q15825" i="2"/>
  <c r="Q15826" i="2"/>
  <c r="Q15827" i="2"/>
  <c r="Q15828" i="2"/>
  <c r="Q15829" i="2"/>
  <c r="Q15830" i="2"/>
  <c r="Q15831" i="2"/>
  <c r="Q15832" i="2"/>
  <c r="Q15833" i="2"/>
  <c r="Q15834" i="2"/>
  <c r="Q15835" i="2"/>
  <c r="Q15836" i="2"/>
  <c r="Q15837" i="2"/>
  <c r="Q15838" i="2"/>
  <c r="Q15839" i="2"/>
  <c r="Q15840" i="2"/>
  <c r="Q15841" i="2"/>
  <c r="Q15842" i="2"/>
  <c r="Q15843" i="2"/>
  <c r="Q15844" i="2"/>
  <c r="Q15845" i="2"/>
  <c r="Q15846" i="2"/>
  <c r="Q15847" i="2"/>
  <c r="Q15848" i="2"/>
  <c r="Q15849" i="2"/>
  <c r="Q15850" i="2"/>
  <c r="Q15851" i="2"/>
  <c r="Q15852" i="2"/>
  <c r="Q15853" i="2"/>
  <c r="Q15854" i="2"/>
  <c r="Q15855" i="2"/>
  <c r="Q15856" i="2"/>
  <c r="Q15857" i="2"/>
  <c r="Q15858" i="2"/>
  <c r="Q15859" i="2"/>
  <c r="Q15860" i="2"/>
  <c r="Q15861" i="2"/>
  <c r="Q15862" i="2"/>
  <c r="Q15863" i="2"/>
  <c r="Q15864" i="2"/>
  <c r="Q15865" i="2"/>
  <c r="Q15866" i="2"/>
  <c r="Q15867" i="2"/>
  <c r="Q15868" i="2"/>
  <c r="Q15869" i="2"/>
  <c r="Q15870" i="2"/>
  <c r="Q15871" i="2"/>
  <c r="Q15872" i="2"/>
  <c r="Q15873" i="2"/>
  <c r="Q15874" i="2"/>
  <c r="Q15875" i="2"/>
  <c r="Q15876" i="2"/>
  <c r="Q15877" i="2"/>
  <c r="Q15878" i="2"/>
  <c r="Q15879" i="2"/>
  <c r="Q15880" i="2"/>
  <c r="Q15881" i="2"/>
  <c r="Q15882" i="2"/>
  <c r="Q15883" i="2"/>
  <c r="Q15884" i="2"/>
  <c r="Q15885" i="2"/>
  <c r="Q15886" i="2"/>
  <c r="Q15887" i="2"/>
  <c r="Q15888" i="2"/>
  <c r="Q15889" i="2"/>
  <c r="Q15890" i="2"/>
  <c r="Q15891" i="2"/>
  <c r="Q15892" i="2"/>
  <c r="Q15893" i="2"/>
  <c r="Q15894" i="2"/>
  <c r="Q15895" i="2"/>
  <c r="Q15896" i="2"/>
  <c r="Q15897" i="2"/>
  <c r="Q15898" i="2"/>
  <c r="Q15899" i="2"/>
  <c r="Q15900" i="2"/>
  <c r="Q15901" i="2"/>
  <c r="Q15902" i="2"/>
  <c r="Q15903" i="2"/>
  <c r="Q15904" i="2"/>
  <c r="Q15905" i="2"/>
  <c r="Q15906" i="2"/>
  <c r="Q15907" i="2"/>
  <c r="Q15908" i="2"/>
  <c r="Q15909" i="2"/>
  <c r="Q15910" i="2"/>
  <c r="Q15911" i="2"/>
  <c r="Q15912" i="2"/>
  <c r="Q15913" i="2"/>
  <c r="Q15914" i="2"/>
  <c r="Q15915" i="2"/>
  <c r="Q15916" i="2"/>
  <c r="Q15917" i="2"/>
  <c r="Q15918" i="2"/>
  <c r="Q15919" i="2"/>
  <c r="Q15920" i="2"/>
  <c r="Q15921" i="2"/>
  <c r="Q15922" i="2"/>
  <c r="Q15923" i="2"/>
  <c r="Q15924" i="2"/>
  <c r="Q15925" i="2"/>
  <c r="Q15926" i="2"/>
  <c r="Q15927" i="2"/>
  <c r="Q15928" i="2"/>
  <c r="Q15929" i="2"/>
  <c r="Q15930" i="2"/>
  <c r="Q15931" i="2"/>
  <c r="Q15932" i="2"/>
  <c r="Q15933" i="2"/>
  <c r="Q15934" i="2"/>
  <c r="Q15935" i="2"/>
  <c r="Q15936" i="2"/>
  <c r="Q15937" i="2"/>
  <c r="Q15938" i="2"/>
  <c r="Q15939" i="2"/>
  <c r="Q15940" i="2"/>
  <c r="Q15941" i="2"/>
  <c r="Q15942" i="2"/>
  <c r="Q15943" i="2"/>
  <c r="Q15944" i="2"/>
  <c r="Q15945" i="2"/>
  <c r="Q15946" i="2"/>
  <c r="Q15947" i="2"/>
  <c r="Q15948" i="2"/>
  <c r="Q15949" i="2"/>
  <c r="Q15950" i="2"/>
  <c r="Q15951" i="2"/>
  <c r="Q15952" i="2"/>
  <c r="Q15953" i="2"/>
  <c r="Q15954" i="2"/>
  <c r="Q15955" i="2"/>
  <c r="Q15956" i="2"/>
  <c r="Q15957" i="2"/>
  <c r="Q15958" i="2"/>
  <c r="Q15959" i="2"/>
  <c r="Q15960" i="2"/>
  <c r="Q15961" i="2"/>
  <c r="Q15962" i="2"/>
  <c r="Q15963" i="2"/>
  <c r="Q15964" i="2"/>
  <c r="Q15965" i="2"/>
  <c r="Q15966" i="2"/>
  <c r="Q15967" i="2"/>
  <c r="Q15968" i="2"/>
  <c r="Q15969" i="2"/>
  <c r="Q15970" i="2"/>
  <c r="Q15971" i="2"/>
  <c r="Q15972" i="2"/>
  <c r="Q15973" i="2"/>
  <c r="Q15974" i="2"/>
  <c r="Q15975" i="2"/>
  <c r="Q15976" i="2"/>
  <c r="Q15977" i="2"/>
  <c r="Q15978" i="2"/>
  <c r="Q15979" i="2"/>
  <c r="Q15980" i="2"/>
  <c r="Q15981" i="2"/>
  <c r="Q15982" i="2"/>
  <c r="Q15983" i="2"/>
  <c r="Q15984" i="2"/>
  <c r="Q15985" i="2"/>
  <c r="Q15986" i="2"/>
  <c r="Q15987" i="2"/>
  <c r="Q15988" i="2"/>
  <c r="Q15989" i="2"/>
  <c r="Q15990" i="2"/>
  <c r="Q15991" i="2"/>
  <c r="Q15992" i="2"/>
  <c r="Q15993" i="2"/>
  <c r="Q15994" i="2"/>
  <c r="Q15995" i="2"/>
  <c r="Q15996" i="2"/>
  <c r="Q15997" i="2"/>
  <c r="Q15998" i="2"/>
  <c r="Q15999" i="2"/>
  <c r="Q16000" i="2"/>
  <c r="Q16001" i="2"/>
  <c r="Q16002" i="2"/>
  <c r="Q16003" i="2"/>
  <c r="Q16004" i="2"/>
  <c r="Q16005" i="2"/>
  <c r="Q16006" i="2"/>
  <c r="Q16007" i="2"/>
  <c r="Q16008" i="2"/>
  <c r="Q16009" i="2"/>
  <c r="Q16010" i="2"/>
  <c r="Q16011" i="2"/>
  <c r="Q16012" i="2"/>
  <c r="Q16013" i="2"/>
  <c r="Q16014" i="2"/>
  <c r="Q16015" i="2"/>
  <c r="Q16016" i="2"/>
  <c r="Q16017" i="2"/>
  <c r="Q16018" i="2"/>
  <c r="Q16019" i="2"/>
  <c r="Q16020" i="2"/>
  <c r="Q16021" i="2"/>
  <c r="Q16022" i="2"/>
  <c r="Q16023" i="2"/>
  <c r="Q16024" i="2"/>
  <c r="Q16025" i="2"/>
  <c r="Q16026" i="2"/>
  <c r="Q16027" i="2"/>
  <c r="Q16028" i="2"/>
  <c r="Q16029" i="2"/>
  <c r="Q16030" i="2"/>
  <c r="Q16031" i="2"/>
  <c r="Q16032" i="2"/>
  <c r="Q16033" i="2"/>
  <c r="Q16034" i="2"/>
  <c r="Q16035" i="2"/>
  <c r="Q16036" i="2"/>
  <c r="Q16037" i="2"/>
  <c r="Q16038" i="2"/>
  <c r="Q16039" i="2"/>
  <c r="Q16040" i="2"/>
  <c r="Q16041" i="2"/>
  <c r="Q16042" i="2"/>
  <c r="Q16043" i="2"/>
  <c r="Q16044" i="2"/>
  <c r="Q16045" i="2"/>
  <c r="Q16046" i="2"/>
  <c r="Q16047" i="2"/>
  <c r="Q16048" i="2"/>
  <c r="Q16049" i="2"/>
  <c r="Q16050" i="2"/>
  <c r="Q16051" i="2"/>
  <c r="Q16052" i="2"/>
  <c r="Q16053" i="2"/>
  <c r="Q16054" i="2"/>
  <c r="Q16055" i="2"/>
  <c r="Q16056" i="2"/>
  <c r="Q16057" i="2"/>
  <c r="Q16058" i="2"/>
  <c r="Q16059" i="2"/>
  <c r="Q16060" i="2"/>
  <c r="Q16061" i="2"/>
  <c r="Q16062" i="2"/>
  <c r="Q16063" i="2"/>
  <c r="Q16064" i="2"/>
  <c r="Q16065" i="2"/>
  <c r="Q16066" i="2"/>
  <c r="Q16067" i="2"/>
  <c r="Q16068" i="2"/>
  <c r="Q16069" i="2"/>
  <c r="Q16070" i="2"/>
  <c r="Q16071" i="2"/>
  <c r="Q16072" i="2"/>
  <c r="Q16073" i="2"/>
  <c r="Q16074" i="2"/>
  <c r="Q16075" i="2"/>
  <c r="Q16076" i="2"/>
  <c r="Q16077" i="2"/>
  <c r="Q16078" i="2"/>
  <c r="Q16079" i="2"/>
  <c r="Q16080" i="2"/>
  <c r="Q16081" i="2"/>
  <c r="Q16082" i="2"/>
  <c r="Q16083" i="2"/>
  <c r="Q16084" i="2"/>
  <c r="Q16085" i="2"/>
  <c r="Q16086" i="2"/>
  <c r="Q16087" i="2"/>
  <c r="Q16088" i="2"/>
  <c r="Q16089" i="2"/>
  <c r="Q16090" i="2"/>
  <c r="Q16091" i="2"/>
  <c r="Q16092" i="2"/>
  <c r="Q16093" i="2"/>
  <c r="Q16094" i="2"/>
  <c r="Q16095" i="2"/>
  <c r="Q16096" i="2"/>
  <c r="Q16097" i="2"/>
  <c r="Q16098" i="2"/>
  <c r="Q16099" i="2"/>
  <c r="Q16100" i="2"/>
  <c r="Q16101" i="2"/>
  <c r="Q16102" i="2"/>
  <c r="Q16103" i="2"/>
  <c r="Q16104" i="2"/>
  <c r="Q16105" i="2"/>
  <c r="Q16106" i="2"/>
  <c r="Q16107" i="2"/>
  <c r="Q16108" i="2"/>
  <c r="Q16109" i="2"/>
  <c r="Q16110" i="2"/>
  <c r="Q16111" i="2"/>
  <c r="Q16112" i="2"/>
  <c r="Q16113" i="2"/>
  <c r="Q16114" i="2"/>
  <c r="Q16115" i="2"/>
  <c r="Q16116" i="2"/>
  <c r="Q16117" i="2"/>
  <c r="Q16118" i="2"/>
  <c r="Q16119" i="2"/>
  <c r="Q16120" i="2"/>
  <c r="Q16121" i="2"/>
  <c r="Q16122" i="2"/>
  <c r="Q16123" i="2"/>
  <c r="Q16124" i="2"/>
  <c r="Q16125" i="2"/>
  <c r="Q16126" i="2"/>
  <c r="Q16127" i="2"/>
  <c r="Q16128" i="2"/>
  <c r="Q16129" i="2"/>
  <c r="Q16130" i="2"/>
  <c r="Q16131" i="2"/>
  <c r="Q16132" i="2"/>
  <c r="Q16133" i="2"/>
  <c r="Q16134" i="2"/>
  <c r="Q16135" i="2"/>
  <c r="Q16136" i="2"/>
  <c r="Q16137" i="2"/>
  <c r="Q16138" i="2"/>
  <c r="Q16139" i="2"/>
  <c r="Q16140" i="2"/>
  <c r="Q16141" i="2"/>
  <c r="Q16142" i="2"/>
  <c r="Q16143" i="2"/>
  <c r="Q16144" i="2"/>
  <c r="Q16145" i="2"/>
  <c r="Q16146" i="2"/>
  <c r="Q16147" i="2"/>
  <c r="Q16148" i="2"/>
  <c r="Q16149" i="2"/>
  <c r="Q16150" i="2"/>
  <c r="Q16151" i="2"/>
  <c r="Q16152" i="2"/>
  <c r="Q16153" i="2"/>
  <c r="Q16154" i="2"/>
  <c r="Q16155" i="2"/>
  <c r="Q16156" i="2"/>
  <c r="Q16157" i="2"/>
  <c r="Q16158" i="2"/>
  <c r="Q16159" i="2"/>
  <c r="Q16160" i="2"/>
  <c r="Q16161" i="2"/>
  <c r="Q16162" i="2"/>
  <c r="Q16163" i="2"/>
  <c r="Q16164" i="2"/>
  <c r="Q16165" i="2"/>
  <c r="Q16166" i="2"/>
  <c r="Q16167" i="2"/>
  <c r="Q16168" i="2"/>
  <c r="Q16169" i="2"/>
  <c r="Q16170" i="2"/>
  <c r="Q16171" i="2"/>
  <c r="Q16172" i="2"/>
  <c r="Q16173" i="2"/>
  <c r="Q16174" i="2"/>
  <c r="Q16175" i="2"/>
  <c r="Q16176" i="2"/>
  <c r="Q16177" i="2"/>
  <c r="Q16178" i="2"/>
  <c r="Q16179" i="2"/>
  <c r="Q16180" i="2"/>
  <c r="Q16181" i="2"/>
  <c r="Q16182" i="2"/>
  <c r="Q16183" i="2"/>
  <c r="Q16184" i="2"/>
  <c r="Q16185" i="2"/>
  <c r="Q16186" i="2"/>
  <c r="Q16187" i="2"/>
  <c r="Q16188" i="2"/>
  <c r="Q16189" i="2"/>
  <c r="Q16190" i="2"/>
  <c r="Q16191" i="2"/>
  <c r="Q16192" i="2"/>
  <c r="Q16193" i="2"/>
  <c r="Q16194" i="2"/>
  <c r="Q16195" i="2"/>
  <c r="Q16196" i="2"/>
  <c r="Q16197" i="2"/>
  <c r="Q16198" i="2"/>
  <c r="Q16199" i="2"/>
  <c r="Q16200" i="2"/>
  <c r="Q16201" i="2"/>
  <c r="Q16202" i="2"/>
  <c r="Q16203" i="2"/>
  <c r="Q16204" i="2"/>
  <c r="Q16205" i="2"/>
  <c r="Q16206" i="2"/>
  <c r="Q16207" i="2"/>
  <c r="Q16208" i="2"/>
  <c r="Q16209" i="2"/>
  <c r="Q16210" i="2"/>
  <c r="Q16211" i="2"/>
  <c r="Q16212" i="2"/>
  <c r="Q16213" i="2"/>
  <c r="Q16214" i="2"/>
  <c r="Q16215" i="2"/>
  <c r="Q16216" i="2"/>
  <c r="Q16217" i="2"/>
  <c r="Q16218" i="2"/>
  <c r="Q16219" i="2"/>
  <c r="Q16220" i="2"/>
  <c r="Q16221" i="2"/>
  <c r="Q16222" i="2"/>
  <c r="Q16223" i="2"/>
  <c r="Q16224" i="2"/>
  <c r="Q14" i="2" l="1"/>
  <c r="Q18" i="2"/>
  <c r="P36" i="2"/>
  <c r="V36" i="2" s="1"/>
  <c r="P37" i="2"/>
  <c r="V37" i="2" s="1"/>
  <c r="Q38" i="2"/>
  <c r="Q39" i="2"/>
  <c r="P40" i="2"/>
  <c r="V40" i="2" s="1"/>
  <c r="P41" i="2"/>
  <c r="V41" i="2" s="1"/>
  <c r="Q42" i="2"/>
  <c r="Q43" i="2"/>
  <c r="P44" i="2"/>
  <c r="V44" i="2" s="1"/>
  <c r="P45" i="2"/>
  <c r="V45" i="2" s="1"/>
  <c r="Q46" i="2"/>
  <c r="Q47" i="2"/>
  <c r="P48" i="2"/>
  <c r="V48" i="2" s="1"/>
  <c r="P49" i="2"/>
  <c r="V49" i="2" s="1"/>
  <c r="Q50" i="2"/>
  <c r="Q51" i="2"/>
  <c r="P52" i="2"/>
  <c r="V52" i="2" s="1"/>
  <c r="P53" i="2"/>
  <c r="V53" i="2" s="1"/>
  <c r="Q54" i="2"/>
  <c r="Q55" i="2"/>
  <c r="P56" i="2"/>
  <c r="V56" i="2" s="1"/>
  <c r="P57" i="2"/>
  <c r="V57" i="2" s="1"/>
  <c r="Q58" i="2"/>
  <c r="Q59" i="2"/>
  <c r="P60" i="2"/>
  <c r="V60" i="2" s="1"/>
  <c r="P61" i="2"/>
  <c r="V61" i="2" s="1"/>
  <c r="Q62" i="2"/>
  <c r="Q63" i="2"/>
  <c r="P64" i="2"/>
  <c r="V64" i="2" s="1"/>
  <c r="P65" i="2"/>
  <c r="V65" i="2" s="1"/>
  <c r="Q66" i="2"/>
  <c r="Q67" i="2"/>
  <c r="P68" i="2"/>
  <c r="V68" i="2" s="1"/>
  <c r="P69" i="2"/>
  <c r="V69" i="2" s="1"/>
  <c r="Q70" i="2"/>
  <c r="Q71" i="2"/>
  <c r="P72" i="2"/>
  <c r="V72" i="2" s="1"/>
  <c r="P73" i="2"/>
  <c r="V73" i="2" s="1"/>
  <c r="Q74" i="2"/>
  <c r="Q75" i="2"/>
  <c r="P76" i="2"/>
  <c r="V76" i="2" s="1"/>
  <c r="P77" i="2"/>
  <c r="V77" i="2" s="1"/>
  <c r="Q78" i="2"/>
  <c r="Q79" i="2"/>
  <c r="P80" i="2"/>
  <c r="V80" i="2" s="1"/>
  <c r="P81" i="2"/>
  <c r="V81" i="2" s="1"/>
  <c r="Q82" i="2"/>
  <c r="Q83" i="2"/>
  <c r="P84" i="2"/>
  <c r="V84" i="2" s="1"/>
  <c r="P85" i="2"/>
  <c r="V85" i="2" s="1"/>
  <c r="Q86" i="2"/>
  <c r="Q87" i="2"/>
  <c r="P88" i="2"/>
  <c r="V88" i="2" s="1"/>
  <c r="P89" i="2"/>
  <c r="V89" i="2" s="1"/>
  <c r="Q90" i="2"/>
  <c r="Q91" i="2"/>
  <c r="P92" i="2"/>
  <c r="V92" i="2" s="1"/>
  <c r="P93" i="2"/>
  <c r="V93" i="2" s="1"/>
  <c r="Q94" i="2"/>
  <c r="Q95" i="2"/>
  <c r="P96" i="2"/>
  <c r="V96" i="2" s="1"/>
  <c r="P97" i="2"/>
  <c r="V97" i="2" s="1"/>
  <c r="Q98" i="2"/>
  <c r="Q99" i="2"/>
  <c r="P100" i="2"/>
  <c r="V100" i="2" s="1"/>
  <c r="P101" i="2"/>
  <c r="V101" i="2" s="1"/>
  <c r="Q102" i="2"/>
  <c r="Q103" i="2"/>
  <c r="P104" i="2"/>
  <c r="V104" i="2" s="1"/>
  <c r="P105" i="2"/>
  <c r="V105" i="2" s="1"/>
  <c r="Q106" i="2"/>
  <c r="Q107" i="2"/>
  <c r="P108" i="2"/>
  <c r="V108" i="2" s="1"/>
  <c r="P109" i="2"/>
  <c r="V109" i="2" s="1"/>
  <c r="Q110" i="2"/>
  <c r="Q111" i="2"/>
  <c r="P112" i="2"/>
  <c r="V112" i="2" s="1"/>
  <c r="P113" i="2"/>
  <c r="V113" i="2" s="1"/>
  <c r="Q114" i="2"/>
  <c r="Q115" i="2"/>
  <c r="P116" i="2"/>
  <c r="V116" i="2" s="1"/>
  <c r="P117" i="2"/>
  <c r="V117" i="2" s="1"/>
  <c r="Q118" i="2"/>
  <c r="Q119" i="2"/>
  <c r="P120" i="2"/>
  <c r="V120" i="2" s="1"/>
  <c r="P121" i="2"/>
  <c r="V121" i="2" s="1"/>
  <c r="Q122" i="2"/>
  <c r="Q123" i="2"/>
  <c r="P124" i="2"/>
  <c r="V124" i="2" s="1"/>
  <c r="P125" i="2"/>
  <c r="V125" i="2" s="1"/>
  <c r="Q126" i="2"/>
  <c r="Q127" i="2"/>
  <c r="P128" i="2"/>
  <c r="V128" i="2" s="1"/>
  <c r="P129" i="2"/>
  <c r="V129" i="2" s="1"/>
  <c r="Q130" i="2"/>
  <c r="Q131" i="2"/>
  <c r="P132" i="2"/>
  <c r="V132" i="2" s="1"/>
  <c r="P133" i="2"/>
  <c r="V133" i="2" s="1"/>
  <c r="Q134" i="2"/>
  <c r="Q135" i="2"/>
  <c r="P136" i="2"/>
  <c r="V136" i="2" s="1"/>
  <c r="P137" i="2"/>
  <c r="V137" i="2" s="1"/>
  <c r="Q138" i="2"/>
  <c r="Q139" i="2"/>
  <c r="P140" i="2"/>
  <c r="V140" i="2" s="1"/>
  <c r="P141" i="2"/>
  <c r="V141" i="2" s="1"/>
  <c r="Q142" i="2"/>
  <c r="Q143" i="2"/>
  <c r="P144" i="2"/>
  <c r="V144" i="2" s="1"/>
  <c r="P145" i="2"/>
  <c r="V145" i="2" s="1"/>
  <c r="Q146" i="2"/>
  <c r="Q147" i="2"/>
  <c r="P148" i="2"/>
  <c r="V148" i="2" s="1"/>
  <c r="P149" i="2"/>
  <c r="V149" i="2" s="1"/>
  <c r="Q150" i="2"/>
  <c r="Q151" i="2"/>
  <c r="P152" i="2"/>
  <c r="V152" i="2" s="1"/>
  <c r="P153" i="2"/>
  <c r="V153" i="2" s="1"/>
  <c r="Q154" i="2"/>
  <c r="Q155" i="2"/>
  <c r="P156" i="2"/>
  <c r="V156" i="2" s="1"/>
  <c r="P157" i="2"/>
  <c r="V157" i="2" s="1"/>
  <c r="Q158" i="2"/>
  <c r="Q159" i="2"/>
  <c r="P160" i="2"/>
  <c r="V160" i="2" s="1"/>
  <c r="P161" i="2"/>
  <c r="V161" i="2" s="1"/>
  <c r="Q162" i="2"/>
  <c r="Q163" i="2"/>
  <c r="P164" i="2"/>
  <c r="V164" i="2" s="1"/>
  <c r="P165" i="2"/>
  <c r="V165" i="2" s="1"/>
  <c r="Q166" i="2"/>
  <c r="Q167" i="2"/>
  <c r="P168" i="2"/>
  <c r="V168" i="2" s="1"/>
  <c r="P169" i="2"/>
  <c r="V169" i="2" s="1"/>
  <c r="Q170" i="2"/>
  <c r="Q171" i="2"/>
  <c r="P172" i="2"/>
  <c r="V172" i="2" s="1"/>
  <c r="P173" i="2"/>
  <c r="V173" i="2" s="1"/>
  <c r="Q174" i="2"/>
  <c r="Q175" i="2"/>
  <c r="P176" i="2"/>
  <c r="V176" i="2" s="1"/>
  <c r="P177" i="2"/>
  <c r="V177" i="2" s="1"/>
  <c r="Q178" i="2"/>
  <c r="Q179" i="2"/>
  <c r="P180" i="2"/>
  <c r="V180" i="2" s="1"/>
  <c r="P181" i="2"/>
  <c r="V181" i="2" s="1"/>
  <c r="Q182" i="2"/>
  <c r="Q183" i="2"/>
  <c r="P184" i="2"/>
  <c r="V184" i="2" s="1"/>
  <c r="P185" i="2"/>
  <c r="V185" i="2" s="1"/>
  <c r="Q186" i="2"/>
  <c r="Q187" i="2"/>
  <c r="P188" i="2"/>
  <c r="V188" i="2" s="1"/>
  <c r="P189" i="2"/>
  <c r="V189" i="2" s="1"/>
  <c r="Q190" i="2"/>
  <c r="Q191" i="2"/>
  <c r="P192" i="2"/>
  <c r="V192" i="2" s="1"/>
  <c r="P193" i="2"/>
  <c r="V193" i="2" s="1"/>
  <c r="Q194" i="2"/>
  <c r="Q195" i="2"/>
  <c r="P196" i="2"/>
  <c r="V196" i="2" s="1"/>
  <c r="P197" i="2"/>
  <c r="V197" i="2" s="1"/>
  <c r="Q198" i="2"/>
  <c r="Q199" i="2"/>
  <c r="P200" i="2"/>
  <c r="V200" i="2" s="1"/>
  <c r="P201" i="2"/>
  <c r="V201" i="2" s="1"/>
  <c r="Q202" i="2"/>
  <c r="Q203" i="2"/>
  <c r="P204" i="2"/>
  <c r="V204" i="2" s="1"/>
  <c r="P205" i="2"/>
  <c r="V205" i="2" s="1"/>
  <c r="Q206" i="2"/>
  <c r="Q207" i="2"/>
  <c r="P208" i="2"/>
  <c r="V208" i="2" s="1"/>
  <c r="P209" i="2"/>
  <c r="V209" i="2" s="1"/>
  <c r="Q210" i="2"/>
  <c r="Q211" i="2"/>
  <c r="P212" i="2"/>
  <c r="V212" i="2" s="1"/>
  <c r="P213" i="2"/>
  <c r="V213" i="2" s="1"/>
  <c r="Q214" i="2"/>
  <c r="Q215" i="2"/>
  <c r="P216" i="2"/>
  <c r="V216" i="2" s="1"/>
  <c r="P217" i="2"/>
  <c r="V217" i="2" s="1"/>
  <c r="Q218" i="2"/>
  <c r="Q219" i="2"/>
  <c r="P220" i="2"/>
  <c r="V220" i="2" s="1"/>
  <c r="P221" i="2"/>
  <c r="V221" i="2" s="1"/>
  <c r="Q222" i="2"/>
  <c r="Q223" i="2"/>
  <c r="P224" i="2"/>
  <c r="V224" i="2" s="1"/>
  <c r="P225" i="2"/>
  <c r="V225" i="2" s="1"/>
  <c r="Q226" i="2"/>
  <c r="Q227" i="2"/>
  <c r="P228" i="2"/>
  <c r="V228" i="2" s="1"/>
  <c r="P229" i="2"/>
  <c r="V229" i="2" s="1"/>
  <c r="Q230" i="2"/>
  <c r="Q231" i="2"/>
  <c r="P232" i="2"/>
  <c r="V232" i="2" s="1"/>
  <c r="P233" i="2"/>
  <c r="V233" i="2" s="1"/>
  <c r="Q234" i="2"/>
  <c r="Q235" i="2"/>
  <c r="P236" i="2"/>
  <c r="V236" i="2" s="1"/>
  <c r="P237" i="2"/>
  <c r="V237" i="2" s="1"/>
  <c r="Q238" i="2"/>
  <c r="Q239" i="2"/>
  <c r="P240" i="2"/>
  <c r="V240" i="2" s="1"/>
  <c r="P241" i="2"/>
  <c r="V241" i="2" s="1"/>
  <c r="Q242" i="2"/>
  <c r="Q243" i="2"/>
  <c r="P244" i="2"/>
  <c r="V244" i="2" s="1"/>
  <c r="P245" i="2"/>
  <c r="V245" i="2" s="1"/>
  <c r="Q246" i="2"/>
  <c r="Q247" i="2"/>
  <c r="P248" i="2"/>
  <c r="V248" i="2" s="1"/>
  <c r="P249" i="2"/>
  <c r="V249" i="2" s="1"/>
  <c r="Q250" i="2"/>
  <c r="Q251" i="2"/>
  <c r="P252" i="2"/>
  <c r="V252" i="2" s="1"/>
  <c r="P253" i="2"/>
  <c r="V253" i="2" s="1"/>
  <c r="Q254" i="2"/>
  <c r="Q255" i="2"/>
  <c r="P256" i="2"/>
  <c r="V256" i="2" s="1"/>
  <c r="P257" i="2"/>
  <c r="V257" i="2" s="1"/>
  <c r="Q258" i="2"/>
  <c r="Q259" i="2"/>
  <c r="P260" i="2"/>
  <c r="V260" i="2" s="1"/>
  <c r="P261" i="2"/>
  <c r="V261" i="2" s="1"/>
  <c r="Q262" i="2"/>
  <c r="Q263" i="2"/>
  <c r="P264" i="2"/>
  <c r="V264" i="2" s="1"/>
  <c r="P265" i="2"/>
  <c r="V265" i="2" s="1"/>
  <c r="Q266" i="2"/>
  <c r="Q267" i="2"/>
  <c r="P268" i="2"/>
  <c r="V268" i="2" s="1"/>
  <c r="P269" i="2"/>
  <c r="V269" i="2" s="1"/>
  <c r="Q270" i="2"/>
  <c r="Q271" i="2"/>
  <c r="P272" i="2"/>
  <c r="V272" i="2" s="1"/>
  <c r="P273" i="2"/>
  <c r="V273" i="2" s="1"/>
  <c r="Q274" i="2"/>
  <c r="Q275" i="2"/>
  <c r="P276" i="2"/>
  <c r="V276" i="2" s="1"/>
  <c r="P277" i="2"/>
  <c r="V277" i="2" s="1"/>
  <c r="Q278" i="2"/>
  <c r="Q279" i="2"/>
  <c r="P280" i="2"/>
  <c r="V280" i="2" s="1"/>
  <c r="P281" i="2"/>
  <c r="V281" i="2" s="1"/>
  <c r="Q282" i="2"/>
  <c r="Q283" i="2"/>
  <c r="P284" i="2"/>
  <c r="V284" i="2" s="1"/>
  <c r="P285" i="2"/>
  <c r="V285" i="2" s="1"/>
  <c r="Q286" i="2"/>
  <c r="Q287" i="2"/>
  <c r="P288" i="2"/>
  <c r="V288" i="2" s="1"/>
  <c r="P289" i="2"/>
  <c r="V289" i="2" s="1"/>
  <c r="Q290" i="2"/>
  <c r="Q291" i="2"/>
  <c r="P292" i="2"/>
  <c r="V292" i="2" s="1"/>
  <c r="P293" i="2"/>
  <c r="V293" i="2" s="1"/>
  <c r="Q294" i="2"/>
  <c r="Q295" i="2"/>
  <c r="P296" i="2"/>
  <c r="V296" i="2" s="1"/>
  <c r="P297" i="2"/>
  <c r="V297" i="2" s="1"/>
  <c r="Q298" i="2"/>
  <c r="Q299" i="2"/>
  <c r="P300" i="2"/>
  <c r="V300" i="2" s="1"/>
  <c r="P301" i="2"/>
  <c r="V301" i="2" s="1"/>
  <c r="Q302" i="2"/>
  <c r="Q303" i="2"/>
  <c r="P304" i="2"/>
  <c r="V304" i="2" s="1"/>
  <c r="P305" i="2"/>
  <c r="V305" i="2" s="1"/>
  <c r="Q306" i="2"/>
  <c r="Q307" i="2"/>
  <c r="P308" i="2"/>
  <c r="V308" i="2" s="1"/>
  <c r="P309" i="2"/>
  <c r="V309" i="2" s="1"/>
  <c r="Q310" i="2"/>
  <c r="Q311" i="2"/>
  <c r="P312" i="2"/>
  <c r="V312" i="2" s="1"/>
  <c r="P313" i="2"/>
  <c r="V313" i="2" s="1"/>
  <c r="Q314" i="2"/>
  <c r="Q315" i="2"/>
  <c r="P316" i="2"/>
  <c r="V316" i="2" s="1"/>
  <c r="P317" i="2"/>
  <c r="V317" i="2" s="1"/>
  <c r="Q318" i="2"/>
  <c r="Q319" i="2"/>
  <c r="P320" i="2"/>
  <c r="V320" i="2" s="1"/>
  <c r="P321" i="2"/>
  <c r="V321" i="2" s="1"/>
  <c r="Q322" i="2"/>
  <c r="Q323" i="2"/>
  <c r="P324" i="2"/>
  <c r="V324" i="2" s="1"/>
  <c r="P325" i="2"/>
  <c r="V325" i="2" s="1"/>
  <c r="Q326" i="2"/>
  <c r="Q327" i="2"/>
  <c r="P328" i="2"/>
  <c r="V328" i="2" s="1"/>
  <c r="P329" i="2"/>
  <c r="V329" i="2" s="1"/>
  <c r="Q330" i="2"/>
  <c r="Q331" i="2"/>
  <c r="P332" i="2"/>
  <c r="V332" i="2" s="1"/>
  <c r="P333" i="2"/>
  <c r="V333" i="2" s="1"/>
  <c r="Q334" i="2"/>
  <c r="Q335" i="2"/>
  <c r="P336" i="2"/>
  <c r="V336" i="2" s="1"/>
  <c r="P337" i="2"/>
  <c r="V337" i="2" s="1"/>
  <c r="Q338" i="2"/>
  <c r="Q339" i="2"/>
  <c r="P340" i="2"/>
  <c r="V340" i="2" s="1"/>
  <c r="P341" i="2"/>
  <c r="V341" i="2" s="1"/>
  <c r="Q342" i="2"/>
  <c r="Q343" i="2"/>
  <c r="P344" i="2"/>
  <c r="V344" i="2" s="1"/>
  <c r="P345" i="2"/>
  <c r="V345" i="2" s="1"/>
  <c r="Q346" i="2"/>
  <c r="Q347" i="2"/>
  <c r="P348" i="2"/>
  <c r="V348" i="2" s="1"/>
  <c r="P349" i="2"/>
  <c r="V349" i="2" s="1"/>
  <c r="Q350" i="2"/>
  <c r="Q351" i="2"/>
  <c r="P352" i="2"/>
  <c r="V352" i="2" s="1"/>
  <c r="P353" i="2"/>
  <c r="V353" i="2" s="1"/>
  <c r="Q354" i="2"/>
  <c r="Q355" i="2"/>
  <c r="P356" i="2"/>
  <c r="V356" i="2" s="1"/>
  <c r="P357" i="2"/>
  <c r="V357" i="2" s="1"/>
  <c r="Q358" i="2"/>
  <c r="Q359" i="2"/>
  <c r="P360" i="2"/>
  <c r="V360" i="2" s="1"/>
  <c r="P361" i="2"/>
  <c r="V361" i="2" s="1"/>
  <c r="Q362" i="2"/>
  <c r="Q363" i="2"/>
  <c r="P364" i="2"/>
  <c r="V364" i="2" s="1"/>
  <c r="P365" i="2"/>
  <c r="V365" i="2" s="1"/>
  <c r="Q366" i="2"/>
  <c r="Q367" i="2"/>
  <c r="P368" i="2"/>
  <c r="V368" i="2" s="1"/>
  <c r="P369" i="2"/>
  <c r="V369" i="2" s="1"/>
  <c r="Q370" i="2"/>
  <c r="Q371" i="2"/>
  <c r="P372" i="2"/>
  <c r="V372" i="2" s="1"/>
  <c r="P373" i="2"/>
  <c r="V373" i="2" s="1"/>
  <c r="Q374" i="2"/>
  <c r="Q375" i="2"/>
  <c r="P376" i="2"/>
  <c r="V376" i="2" s="1"/>
  <c r="P377" i="2"/>
  <c r="V377" i="2" s="1"/>
  <c r="Q378" i="2"/>
  <c r="Q379" i="2"/>
  <c r="P380" i="2"/>
  <c r="V380" i="2" s="1"/>
  <c r="P381" i="2"/>
  <c r="V381" i="2" s="1"/>
  <c r="Q382" i="2"/>
  <c r="Q383" i="2"/>
  <c r="P384" i="2"/>
  <c r="V384" i="2" s="1"/>
  <c r="P385" i="2"/>
  <c r="V385" i="2" s="1"/>
  <c r="Q386" i="2"/>
  <c r="Q387" i="2"/>
  <c r="P388" i="2"/>
  <c r="V388" i="2" s="1"/>
  <c r="P389" i="2"/>
  <c r="V389" i="2" s="1"/>
  <c r="Q390" i="2"/>
  <c r="Q391" i="2"/>
  <c r="P392" i="2"/>
  <c r="V392" i="2" s="1"/>
  <c r="P393" i="2"/>
  <c r="V393" i="2" s="1"/>
  <c r="Q394" i="2"/>
  <c r="Q395" i="2"/>
  <c r="P396" i="2"/>
  <c r="V396" i="2" s="1"/>
  <c r="P397" i="2"/>
  <c r="V397" i="2" s="1"/>
  <c r="Q398" i="2"/>
  <c r="Q399" i="2"/>
  <c r="P400" i="2"/>
  <c r="V400" i="2" s="1"/>
  <c r="P401" i="2"/>
  <c r="V401" i="2" s="1"/>
  <c r="Q402" i="2"/>
  <c r="Q403" i="2"/>
  <c r="P404" i="2"/>
  <c r="V404" i="2" s="1"/>
  <c r="P405" i="2"/>
  <c r="V405" i="2" s="1"/>
  <c r="Q406" i="2"/>
  <c r="Q407" i="2"/>
  <c r="P408" i="2"/>
  <c r="V408" i="2" s="1"/>
  <c r="P409" i="2"/>
  <c r="V409" i="2" s="1"/>
  <c r="Q410" i="2"/>
  <c r="Q411" i="2"/>
  <c r="P412" i="2"/>
  <c r="V412" i="2" s="1"/>
  <c r="P413" i="2"/>
  <c r="V413" i="2" s="1"/>
  <c r="Q414" i="2"/>
  <c r="Q415" i="2"/>
  <c r="P416" i="2"/>
  <c r="V416" i="2" s="1"/>
  <c r="P417" i="2"/>
  <c r="V417" i="2" s="1"/>
  <c r="Q418" i="2"/>
  <c r="Q419" i="2"/>
  <c r="P420" i="2"/>
  <c r="V420" i="2" s="1"/>
  <c r="P421" i="2"/>
  <c r="V421" i="2" s="1"/>
  <c r="Q422" i="2"/>
  <c r="Q423" i="2"/>
  <c r="P424" i="2"/>
  <c r="V424" i="2" s="1"/>
  <c r="P425" i="2"/>
  <c r="V425" i="2" s="1"/>
  <c r="Q426" i="2"/>
  <c r="Q427" i="2"/>
  <c r="P428" i="2"/>
  <c r="V428" i="2" s="1"/>
  <c r="P429" i="2"/>
  <c r="V429" i="2" s="1"/>
  <c r="Q430" i="2"/>
  <c r="Q431" i="2"/>
  <c r="P432" i="2"/>
  <c r="V432" i="2" s="1"/>
  <c r="P433" i="2"/>
  <c r="V433" i="2" s="1"/>
  <c r="Q434" i="2"/>
  <c r="Q435" i="2"/>
  <c r="P436" i="2"/>
  <c r="V436" i="2" s="1"/>
  <c r="P437" i="2"/>
  <c r="V437" i="2" s="1"/>
  <c r="Q438" i="2"/>
  <c r="Q439" i="2"/>
  <c r="P440" i="2"/>
  <c r="V440" i="2" s="1"/>
  <c r="P441" i="2"/>
  <c r="V441" i="2" s="1"/>
  <c r="Q442" i="2"/>
  <c r="Q443" i="2"/>
  <c r="P444" i="2"/>
  <c r="V444" i="2" s="1"/>
  <c r="P445" i="2"/>
  <c r="V445" i="2" s="1"/>
  <c r="Q446" i="2"/>
  <c r="Q447" i="2"/>
  <c r="P448" i="2"/>
  <c r="V448" i="2" s="1"/>
  <c r="P449" i="2"/>
  <c r="V449" i="2" s="1"/>
  <c r="Q450" i="2"/>
  <c r="Q451" i="2"/>
  <c r="P452" i="2"/>
  <c r="V452" i="2" s="1"/>
  <c r="P453" i="2"/>
  <c r="V453" i="2" s="1"/>
  <c r="Q454" i="2"/>
  <c r="Q455" i="2"/>
  <c r="P456" i="2"/>
  <c r="V456" i="2" s="1"/>
  <c r="P457" i="2"/>
  <c r="V457" i="2" s="1"/>
  <c r="Q458" i="2"/>
  <c r="Q459" i="2"/>
  <c r="P460" i="2"/>
  <c r="V460" i="2" s="1"/>
  <c r="P461" i="2"/>
  <c r="V461" i="2" s="1"/>
  <c r="Q462" i="2"/>
  <c r="Q463" i="2"/>
  <c r="P464" i="2"/>
  <c r="V464" i="2" s="1"/>
  <c r="P465" i="2"/>
  <c r="V465" i="2" s="1"/>
  <c r="Q466" i="2"/>
  <c r="Q467" i="2"/>
  <c r="P468" i="2"/>
  <c r="V468" i="2" s="1"/>
  <c r="P469" i="2"/>
  <c r="V469" i="2" s="1"/>
  <c r="Q470" i="2"/>
  <c r="Q471" i="2"/>
  <c r="P472" i="2"/>
  <c r="V472" i="2" s="1"/>
  <c r="P473" i="2"/>
  <c r="V473" i="2" s="1"/>
  <c r="Q474" i="2"/>
  <c r="Q475" i="2"/>
  <c r="P476" i="2"/>
  <c r="V476" i="2" s="1"/>
  <c r="P477" i="2"/>
  <c r="V477" i="2" s="1"/>
  <c r="Q478" i="2"/>
  <c r="Q479" i="2"/>
  <c r="P480" i="2"/>
  <c r="V480" i="2" s="1"/>
  <c r="P481" i="2"/>
  <c r="V481" i="2" s="1"/>
  <c r="Q482" i="2"/>
  <c r="Q483" i="2"/>
  <c r="P484" i="2"/>
  <c r="V484" i="2" s="1"/>
  <c r="P485" i="2"/>
  <c r="V485" i="2" s="1"/>
  <c r="Q486" i="2"/>
  <c r="Q487" i="2"/>
  <c r="P488" i="2"/>
  <c r="V488" i="2" s="1"/>
  <c r="P489" i="2"/>
  <c r="V489" i="2" s="1"/>
  <c r="Q490" i="2"/>
  <c r="Q491" i="2"/>
  <c r="P492" i="2"/>
  <c r="V492" i="2" s="1"/>
  <c r="P493" i="2"/>
  <c r="V493" i="2" s="1"/>
  <c r="Q494" i="2"/>
  <c r="Q495" i="2"/>
  <c r="P496" i="2"/>
  <c r="V496" i="2" s="1"/>
  <c r="P497" i="2"/>
  <c r="V497" i="2" s="1"/>
  <c r="Q498" i="2"/>
  <c r="Q499" i="2"/>
  <c r="P500" i="2"/>
  <c r="V500" i="2" s="1"/>
  <c r="P501" i="2"/>
  <c r="V501" i="2" s="1"/>
  <c r="Q502" i="2"/>
  <c r="Q503" i="2"/>
  <c r="P504" i="2"/>
  <c r="V504" i="2" s="1"/>
  <c r="P505" i="2"/>
  <c r="V505" i="2" s="1"/>
  <c r="Q506" i="2"/>
  <c r="Q507" i="2"/>
  <c r="P508" i="2"/>
  <c r="V508" i="2" s="1"/>
  <c r="P509" i="2"/>
  <c r="V509" i="2" s="1"/>
  <c r="Q510" i="2"/>
  <c r="Q511" i="2"/>
  <c r="P512" i="2"/>
  <c r="V512" i="2" s="1"/>
  <c r="P513" i="2"/>
  <c r="V513" i="2" s="1"/>
  <c r="Q514" i="2"/>
  <c r="Q515" i="2"/>
  <c r="P516" i="2"/>
  <c r="V516" i="2" s="1"/>
  <c r="P517" i="2"/>
  <c r="V517" i="2" s="1"/>
  <c r="Q518" i="2"/>
  <c r="Q519" i="2"/>
  <c r="P520" i="2"/>
  <c r="V520" i="2" s="1"/>
  <c r="P521" i="2"/>
  <c r="V521" i="2" s="1"/>
  <c r="Q522" i="2"/>
  <c r="Q523" i="2"/>
  <c r="P524" i="2"/>
  <c r="V524" i="2" s="1"/>
  <c r="P525" i="2"/>
  <c r="V525" i="2" s="1"/>
  <c r="Q526" i="2"/>
  <c r="Q527" i="2"/>
  <c r="P528" i="2"/>
  <c r="V528" i="2" s="1"/>
  <c r="P529" i="2"/>
  <c r="V529" i="2" s="1"/>
  <c r="Q530" i="2"/>
  <c r="Q531" i="2"/>
  <c r="P532" i="2"/>
  <c r="V532" i="2" s="1"/>
  <c r="P533" i="2"/>
  <c r="V533" i="2" s="1"/>
  <c r="Q534" i="2"/>
  <c r="Q535" i="2"/>
  <c r="P536" i="2"/>
  <c r="V536" i="2" s="1"/>
  <c r="P537" i="2"/>
  <c r="V537" i="2" s="1"/>
  <c r="Q538" i="2"/>
  <c r="Q539" i="2"/>
  <c r="P540" i="2"/>
  <c r="V540" i="2" s="1"/>
  <c r="P541" i="2"/>
  <c r="V541" i="2" s="1"/>
  <c r="Q542" i="2"/>
  <c r="Q543" i="2"/>
  <c r="P544" i="2"/>
  <c r="V544" i="2" s="1"/>
  <c r="P545" i="2"/>
  <c r="V545" i="2" s="1"/>
  <c r="Q546" i="2"/>
  <c r="Q547" i="2"/>
  <c r="P548" i="2"/>
  <c r="V548" i="2" s="1"/>
  <c r="P549" i="2"/>
  <c r="V549" i="2" s="1"/>
  <c r="Q550" i="2"/>
  <c r="Q551" i="2"/>
  <c r="P552" i="2"/>
  <c r="V552" i="2" s="1"/>
  <c r="P553" i="2"/>
  <c r="V553" i="2" s="1"/>
  <c r="Q554" i="2"/>
  <c r="Q555" i="2"/>
  <c r="P556" i="2"/>
  <c r="V556" i="2" s="1"/>
  <c r="P557" i="2"/>
  <c r="V557" i="2" s="1"/>
  <c r="Q558" i="2"/>
  <c r="Q559" i="2"/>
  <c r="P560" i="2"/>
  <c r="V560" i="2" s="1"/>
  <c r="P561" i="2"/>
  <c r="V561" i="2" s="1"/>
  <c r="Q562" i="2"/>
  <c r="Q563" i="2"/>
  <c r="P564" i="2"/>
  <c r="V564" i="2" s="1"/>
  <c r="P565" i="2"/>
  <c r="V565" i="2" s="1"/>
  <c r="Q566" i="2"/>
  <c r="Q567" i="2"/>
  <c r="P568" i="2"/>
  <c r="V568" i="2" s="1"/>
  <c r="P569" i="2"/>
  <c r="V569" i="2" s="1"/>
  <c r="Q570" i="2"/>
  <c r="Q571" i="2"/>
  <c r="P572" i="2"/>
  <c r="V572" i="2" s="1"/>
  <c r="P573" i="2"/>
  <c r="V573" i="2" s="1"/>
  <c r="Q574" i="2"/>
  <c r="Q575" i="2"/>
  <c r="P576" i="2"/>
  <c r="V576" i="2" s="1"/>
  <c r="P577" i="2"/>
  <c r="V577" i="2" s="1"/>
  <c r="Q578" i="2"/>
  <c r="Q579" i="2"/>
  <c r="P580" i="2"/>
  <c r="V580" i="2" s="1"/>
  <c r="P581" i="2"/>
  <c r="V581" i="2" s="1"/>
  <c r="Q582" i="2"/>
  <c r="Q583" i="2"/>
  <c r="P584" i="2"/>
  <c r="V584" i="2" s="1"/>
  <c r="P585" i="2"/>
  <c r="V585" i="2" s="1"/>
  <c r="Q586" i="2"/>
  <c r="Q587" i="2"/>
  <c r="P588" i="2"/>
  <c r="V588" i="2" s="1"/>
  <c r="P589" i="2"/>
  <c r="V589" i="2" s="1"/>
  <c r="Q590" i="2"/>
  <c r="Q591" i="2"/>
  <c r="P592" i="2"/>
  <c r="V592" i="2" s="1"/>
  <c r="P593" i="2"/>
  <c r="V593" i="2" s="1"/>
  <c r="Q594" i="2"/>
  <c r="Q595" i="2"/>
  <c r="P596" i="2"/>
  <c r="V596" i="2" s="1"/>
  <c r="P597" i="2"/>
  <c r="V597" i="2" s="1"/>
  <c r="Q598" i="2"/>
  <c r="Q599" i="2"/>
  <c r="P600" i="2"/>
  <c r="V600" i="2" s="1"/>
  <c r="P601" i="2"/>
  <c r="V601" i="2" s="1"/>
  <c r="Q602" i="2"/>
  <c r="Q603" i="2"/>
  <c r="P604" i="2"/>
  <c r="V604" i="2" s="1"/>
  <c r="P605" i="2"/>
  <c r="V605" i="2" s="1"/>
  <c r="Q606" i="2"/>
  <c r="Q607" i="2"/>
  <c r="P608" i="2"/>
  <c r="V608" i="2" s="1"/>
  <c r="P609" i="2"/>
  <c r="V609" i="2" s="1"/>
  <c r="Q610" i="2"/>
  <c r="Q611" i="2"/>
  <c r="P612" i="2"/>
  <c r="V612" i="2" s="1"/>
  <c r="P613" i="2"/>
  <c r="V613" i="2" s="1"/>
  <c r="Q614" i="2"/>
  <c r="Q615" i="2"/>
  <c r="P616" i="2"/>
  <c r="V616" i="2" s="1"/>
  <c r="P617" i="2"/>
  <c r="V617" i="2" s="1"/>
  <c r="Q618" i="2"/>
  <c r="Q619" i="2"/>
  <c r="P620" i="2"/>
  <c r="V620" i="2" s="1"/>
  <c r="P621" i="2"/>
  <c r="V621" i="2" s="1"/>
  <c r="Q622" i="2"/>
  <c r="Q623" i="2"/>
  <c r="P624" i="2"/>
  <c r="V624" i="2" s="1"/>
  <c r="P625" i="2"/>
  <c r="V625" i="2" s="1"/>
  <c r="Q626" i="2"/>
  <c r="Q627" i="2"/>
  <c r="P628" i="2"/>
  <c r="V628" i="2" s="1"/>
  <c r="P629" i="2"/>
  <c r="V629" i="2" s="1"/>
  <c r="Q630" i="2"/>
  <c r="Q631" i="2"/>
  <c r="P632" i="2"/>
  <c r="V632" i="2" s="1"/>
  <c r="P633" i="2"/>
  <c r="V633" i="2" s="1"/>
  <c r="Q634" i="2"/>
  <c r="Q635" i="2"/>
  <c r="P636" i="2"/>
  <c r="V636" i="2" s="1"/>
  <c r="P637" i="2"/>
  <c r="V637" i="2" s="1"/>
  <c r="Q638" i="2"/>
  <c r="Q639" i="2"/>
  <c r="P640" i="2"/>
  <c r="V640" i="2" s="1"/>
  <c r="P641" i="2"/>
  <c r="V641" i="2" s="1"/>
  <c r="Q642" i="2"/>
  <c r="Q643" i="2"/>
  <c r="P644" i="2"/>
  <c r="V644" i="2" s="1"/>
  <c r="P645" i="2"/>
  <c r="V645" i="2" s="1"/>
  <c r="Q646" i="2"/>
  <c r="Q647" i="2"/>
  <c r="P648" i="2"/>
  <c r="V648" i="2" s="1"/>
  <c r="P649" i="2"/>
  <c r="V649" i="2" s="1"/>
  <c r="Q650" i="2"/>
  <c r="Q651" i="2"/>
  <c r="P652" i="2"/>
  <c r="V652" i="2" s="1"/>
  <c r="P653" i="2"/>
  <c r="V653" i="2" s="1"/>
  <c r="Q654" i="2"/>
  <c r="Q655" i="2"/>
  <c r="P656" i="2"/>
  <c r="V656" i="2" s="1"/>
  <c r="P657" i="2"/>
  <c r="V657" i="2" s="1"/>
  <c r="Q658" i="2"/>
  <c r="Q659" i="2"/>
  <c r="P660" i="2"/>
  <c r="V660" i="2" s="1"/>
  <c r="P661" i="2"/>
  <c r="V661" i="2" s="1"/>
  <c r="Q662" i="2"/>
  <c r="Q663" i="2"/>
  <c r="P664" i="2"/>
  <c r="V664" i="2" s="1"/>
  <c r="P665" i="2"/>
  <c r="V665" i="2" s="1"/>
  <c r="Q666" i="2"/>
  <c r="Q667" i="2"/>
  <c r="P668" i="2"/>
  <c r="V668" i="2" s="1"/>
  <c r="P669" i="2"/>
  <c r="V669" i="2" s="1"/>
  <c r="Q670" i="2"/>
  <c r="Q671" i="2"/>
  <c r="P672" i="2"/>
  <c r="V672" i="2" s="1"/>
  <c r="P673" i="2"/>
  <c r="V673" i="2" s="1"/>
  <c r="Q674" i="2"/>
  <c r="Q675" i="2"/>
  <c r="P676" i="2"/>
  <c r="V676" i="2" s="1"/>
  <c r="P677" i="2"/>
  <c r="V677" i="2" s="1"/>
  <c r="Q678" i="2"/>
  <c r="Q679" i="2"/>
  <c r="P680" i="2"/>
  <c r="V680" i="2" s="1"/>
  <c r="P681" i="2"/>
  <c r="V681" i="2" s="1"/>
  <c r="Q682" i="2"/>
  <c r="Q683" i="2"/>
  <c r="P684" i="2"/>
  <c r="V684" i="2" s="1"/>
  <c r="P685" i="2"/>
  <c r="V685" i="2" s="1"/>
  <c r="Q686" i="2"/>
  <c r="Q687" i="2"/>
  <c r="P688" i="2"/>
  <c r="V688" i="2" s="1"/>
  <c r="P689" i="2"/>
  <c r="V689" i="2" s="1"/>
  <c r="Q690" i="2"/>
  <c r="Q691" i="2"/>
  <c r="P692" i="2"/>
  <c r="V692" i="2" s="1"/>
  <c r="P693" i="2"/>
  <c r="V693" i="2" s="1"/>
  <c r="Q694" i="2"/>
  <c r="Q695" i="2"/>
  <c r="P696" i="2"/>
  <c r="V696" i="2" s="1"/>
  <c r="P697" i="2"/>
  <c r="V697" i="2" s="1"/>
  <c r="Q698" i="2"/>
  <c r="Q699" i="2"/>
  <c r="P700" i="2"/>
  <c r="V700" i="2" s="1"/>
  <c r="P701" i="2"/>
  <c r="V701" i="2" s="1"/>
  <c r="Q702" i="2"/>
  <c r="Q703" i="2"/>
  <c r="P704" i="2"/>
  <c r="V704" i="2" s="1"/>
  <c r="P705" i="2"/>
  <c r="V705" i="2" s="1"/>
  <c r="Q706" i="2"/>
  <c r="Q707" i="2"/>
  <c r="P708" i="2"/>
  <c r="V708" i="2" s="1"/>
  <c r="P709" i="2"/>
  <c r="V709" i="2" s="1"/>
  <c r="Q710" i="2"/>
  <c r="Q711" i="2"/>
  <c r="P712" i="2"/>
  <c r="V712" i="2" s="1"/>
  <c r="P713" i="2"/>
  <c r="V713" i="2" s="1"/>
  <c r="Q714" i="2"/>
  <c r="Q715" i="2"/>
  <c r="P716" i="2"/>
  <c r="V716" i="2" s="1"/>
  <c r="P717" i="2"/>
  <c r="V717" i="2" s="1"/>
  <c r="Q718" i="2"/>
  <c r="Q719" i="2"/>
  <c r="P720" i="2"/>
  <c r="V720" i="2" s="1"/>
  <c r="P721" i="2"/>
  <c r="V721" i="2" s="1"/>
  <c r="Q722" i="2"/>
  <c r="Q723" i="2"/>
  <c r="P724" i="2"/>
  <c r="V724" i="2" s="1"/>
  <c r="P725" i="2"/>
  <c r="V725" i="2" s="1"/>
  <c r="Q726" i="2"/>
  <c r="Q727" i="2"/>
  <c r="P728" i="2"/>
  <c r="V728" i="2" s="1"/>
  <c r="P729" i="2"/>
  <c r="V729" i="2" s="1"/>
  <c r="Q730" i="2"/>
  <c r="Q731" i="2"/>
  <c r="P732" i="2"/>
  <c r="V732" i="2" s="1"/>
  <c r="P733" i="2"/>
  <c r="V733" i="2" s="1"/>
  <c r="Q734" i="2"/>
  <c r="Q735" i="2"/>
  <c r="P736" i="2"/>
  <c r="V736" i="2" s="1"/>
  <c r="P737" i="2"/>
  <c r="V737" i="2" s="1"/>
  <c r="Q738" i="2"/>
  <c r="Q739" i="2"/>
  <c r="P740" i="2"/>
  <c r="V740" i="2" s="1"/>
  <c r="P741" i="2"/>
  <c r="V741" i="2" s="1"/>
  <c r="Q742" i="2"/>
  <c r="Q743" i="2"/>
  <c r="P744" i="2"/>
  <c r="V744" i="2" s="1"/>
  <c r="P745" i="2"/>
  <c r="V745" i="2" s="1"/>
  <c r="Q746" i="2"/>
  <c r="Q747" i="2"/>
  <c r="P748" i="2"/>
  <c r="V748" i="2" s="1"/>
  <c r="P749" i="2"/>
  <c r="V749" i="2" s="1"/>
  <c r="Q750" i="2"/>
  <c r="Q751" i="2"/>
  <c r="P752" i="2"/>
  <c r="V752" i="2" s="1"/>
  <c r="P753" i="2"/>
  <c r="V753" i="2" s="1"/>
  <c r="Q754" i="2"/>
  <c r="Q755" i="2"/>
  <c r="P756" i="2"/>
  <c r="V756" i="2" s="1"/>
  <c r="P757" i="2"/>
  <c r="V757" i="2" s="1"/>
  <c r="Q758" i="2"/>
  <c r="Q759" i="2"/>
  <c r="P760" i="2"/>
  <c r="V760" i="2" s="1"/>
  <c r="P761" i="2"/>
  <c r="V761" i="2" s="1"/>
  <c r="Q762" i="2"/>
  <c r="Q763" i="2"/>
  <c r="P764" i="2"/>
  <c r="V764" i="2" s="1"/>
  <c r="P765" i="2"/>
  <c r="V765" i="2" s="1"/>
  <c r="Q766" i="2"/>
  <c r="Q767" i="2"/>
  <c r="P768" i="2"/>
  <c r="V768" i="2" s="1"/>
  <c r="P769" i="2"/>
  <c r="V769" i="2" s="1"/>
  <c r="Q770" i="2"/>
  <c r="Q771" i="2"/>
  <c r="P772" i="2"/>
  <c r="V772" i="2" s="1"/>
  <c r="P773" i="2"/>
  <c r="V773" i="2" s="1"/>
  <c r="Q774" i="2"/>
  <c r="Q775" i="2"/>
  <c r="P776" i="2"/>
  <c r="V776" i="2" s="1"/>
  <c r="P777" i="2"/>
  <c r="V777" i="2" s="1"/>
  <c r="Q778" i="2"/>
  <c r="Q779" i="2"/>
  <c r="P780" i="2"/>
  <c r="V780" i="2" s="1"/>
  <c r="P781" i="2"/>
  <c r="V781" i="2" s="1"/>
  <c r="Q782" i="2"/>
  <c r="Q783" i="2"/>
  <c r="P784" i="2"/>
  <c r="V784" i="2" s="1"/>
  <c r="P785" i="2"/>
  <c r="V785" i="2" s="1"/>
  <c r="Q786" i="2"/>
  <c r="Q787" i="2"/>
  <c r="P788" i="2"/>
  <c r="V788" i="2" s="1"/>
  <c r="P789" i="2"/>
  <c r="V789" i="2" s="1"/>
  <c r="Q790" i="2"/>
  <c r="Q791" i="2"/>
  <c r="P792" i="2"/>
  <c r="V792" i="2" s="1"/>
  <c r="P793" i="2"/>
  <c r="V793" i="2" s="1"/>
  <c r="Q794" i="2"/>
  <c r="Q795" i="2"/>
  <c r="P796" i="2"/>
  <c r="V796" i="2" s="1"/>
  <c r="P797" i="2"/>
  <c r="V797" i="2" s="1"/>
  <c r="Q798" i="2"/>
  <c r="Q799" i="2"/>
  <c r="P800" i="2"/>
  <c r="V800" i="2" s="1"/>
  <c r="P801" i="2"/>
  <c r="V801" i="2" s="1"/>
  <c r="Q802" i="2"/>
  <c r="Q803" i="2"/>
  <c r="P804" i="2"/>
  <c r="V804" i="2" s="1"/>
  <c r="P805" i="2"/>
  <c r="V805" i="2" s="1"/>
  <c r="Q806" i="2"/>
  <c r="Q807" i="2"/>
  <c r="P808" i="2"/>
  <c r="V808" i="2" s="1"/>
  <c r="P809" i="2"/>
  <c r="V809" i="2" s="1"/>
  <c r="Q810" i="2"/>
  <c r="Q811" i="2"/>
  <c r="P812" i="2"/>
  <c r="V812" i="2" s="1"/>
  <c r="P813" i="2"/>
  <c r="V813" i="2" s="1"/>
  <c r="Q814" i="2"/>
  <c r="Q815" i="2"/>
  <c r="P816" i="2"/>
  <c r="V816" i="2" s="1"/>
  <c r="P817" i="2"/>
  <c r="V817" i="2" s="1"/>
  <c r="Q818" i="2"/>
  <c r="Q819" i="2"/>
  <c r="P820" i="2"/>
  <c r="V820" i="2" s="1"/>
  <c r="P821" i="2"/>
  <c r="V821" i="2" s="1"/>
  <c r="Q822" i="2"/>
  <c r="Q823" i="2"/>
  <c r="P824" i="2"/>
  <c r="V824" i="2" s="1"/>
  <c r="P825" i="2"/>
  <c r="V825" i="2" s="1"/>
  <c r="Q826" i="2"/>
  <c r="Q827" i="2"/>
  <c r="P828" i="2"/>
  <c r="V828" i="2" s="1"/>
  <c r="P829" i="2"/>
  <c r="V829" i="2" s="1"/>
  <c r="Q830" i="2"/>
  <c r="Q831" i="2"/>
  <c r="P832" i="2"/>
  <c r="V832" i="2" s="1"/>
  <c r="P833" i="2"/>
  <c r="V833" i="2" s="1"/>
  <c r="Q834" i="2"/>
  <c r="Q835" i="2"/>
  <c r="P836" i="2"/>
  <c r="V836" i="2" s="1"/>
  <c r="P837" i="2"/>
  <c r="V837" i="2" s="1"/>
  <c r="Q838" i="2"/>
  <c r="Q839" i="2"/>
  <c r="P840" i="2"/>
  <c r="V840" i="2" s="1"/>
  <c r="P841" i="2"/>
  <c r="V841" i="2" s="1"/>
  <c r="Q842" i="2"/>
  <c r="Q843" i="2"/>
  <c r="P844" i="2"/>
  <c r="V844" i="2" s="1"/>
  <c r="P845" i="2"/>
  <c r="V845" i="2" s="1"/>
  <c r="Q846" i="2"/>
  <c r="Q847" i="2"/>
  <c r="P848" i="2"/>
  <c r="V848" i="2" s="1"/>
  <c r="P849" i="2"/>
  <c r="V849" i="2" s="1"/>
  <c r="Q850" i="2"/>
  <c r="Q851" i="2"/>
  <c r="P852" i="2"/>
  <c r="V852" i="2" s="1"/>
  <c r="P853" i="2"/>
  <c r="V853" i="2" s="1"/>
  <c r="Q854" i="2"/>
  <c r="Q855" i="2"/>
  <c r="P856" i="2"/>
  <c r="V856" i="2" s="1"/>
  <c r="P857" i="2"/>
  <c r="V857" i="2" s="1"/>
  <c r="Q858" i="2"/>
  <c r="Q859" i="2"/>
  <c r="P860" i="2"/>
  <c r="V860" i="2" s="1"/>
  <c r="P861" i="2"/>
  <c r="V861" i="2" s="1"/>
  <c r="Q862" i="2"/>
  <c r="Q863" i="2"/>
  <c r="P864" i="2"/>
  <c r="V864" i="2" s="1"/>
  <c r="P865" i="2"/>
  <c r="V865" i="2" s="1"/>
  <c r="Q866" i="2"/>
  <c r="Q867" i="2"/>
  <c r="P868" i="2"/>
  <c r="V868" i="2" s="1"/>
  <c r="P869" i="2"/>
  <c r="V869" i="2" s="1"/>
  <c r="Q870" i="2"/>
  <c r="Q871" i="2"/>
  <c r="P872" i="2"/>
  <c r="V872" i="2" s="1"/>
  <c r="P873" i="2"/>
  <c r="V873" i="2" s="1"/>
  <c r="Q874" i="2"/>
  <c r="Q875" i="2"/>
  <c r="P876" i="2"/>
  <c r="V876" i="2" s="1"/>
  <c r="P877" i="2"/>
  <c r="V877" i="2" s="1"/>
  <c r="Q878" i="2"/>
  <c r="Q879" i="2"/>
  <c r="P880" i="2"/>
  <c r="V880" i="2" s="1"/>
  <c r="P881" i="2"/>
  <c r="V881" i="2" s="1"/>
  <c r="Q882" i="2"/>
  <c r="Q883" i="2"/>
  <c r="P884" i="2"/>
  <c r="V884" i="2" s="1"/>
  <c r="P885" i="2"/>
  <c r="V885" i="2" s="1"/>
  <c r="Q886" i="2"/>
  <c r="Q887" i="2"/>
  <c r="P888" i="2"/>
  <c r="V888" i="2" s="1"/>
  <c r="P889" i="2"/>
  <c r="V889" i="2" s="1"/>
  <c r="Q890" i="2"/>
  <c r="Q891" i="2"/>
  <c r="P892" i="2"/>
  <c r="V892" i="2" s="1"/>
  <c r="P893" i="2"/>
  <c r="V893" i="2" s="1"/>
  <c r="Q894" i="2"/>
  <c r="Q895" i="2"/>
  <c r="P896" i="2"/>
  <c r="V896" i="2" s="1"/>
  <c r="P897" i="2"/>
  <c r="V897" i="2" s="1"/>
  <c r="Q898" i="2"/>
  <c r="Q899" i="2"/>
  <c r="P900" i="2"/>
  <c r="V900" i="2" s="1"/>
  <c r="P901" i="2"/>
  <c r="V901" i="2" s="1"/>
  <c r="Q902" i="2"/>
  <c r="Q903" i="2"/>
  <c r="P904" i="2"/>
  <c r="V904" i="2" s="1"/>
  <c r="P905" i="2"/>
  <c r="V905" i="2" s="1"/>
  <c r="Q906" i="2"/>
  <c r="Q907" i="2"/>
  <c r="P908" i="2"/>
  <c r="V908" i="2" s="1"/>
  <c r="P909" i="2"/>
  <c r="V909" i="2" s="1"/>
  <c r="Q910" i="2"/>
  <c r="Q911" i="2"/>
  <c r="P912" i="2"/>
  <c r="V912" i="2" s="1"/>
  <c r="P913" i="2"/>
  <c r="V913" i="2" s="1"/>
  <c r="Q914" i="2"/>
  <c r="Q915" i="2"/>
  <c r="P916" i="2"/>
  <c r="V916" i="2" s="1"/>
  <c r="P917" i="2"/>
  <c r="V917" i="2" s="1"/>
  <c r="Q918" i="2"/>
  <c r="Q919" i="2"/>
  <c r="P920" i="2"/>
  <c r="V920" i="2" s="1"/>
  <c r="P921" i="2"/>
  <c r="V921" i="2" s="1"/>
  <c r="Q922" i="2"/>
  <c r="Q923" i="2"/>
  <c r="P924" i="2"/>
  <c r="V924" i="2" s="1"/>
  <c r="P925" i="2"/>
  <c r="V925" i="2" s="1"/>
  <c r="Q926" i="2"/>
  <c r="Q927" i="2"/>
  <c r="P928" i="2"/>
  <c r="V928" i="2" s="1"/>
  <c r="P929" i="2"/>
  <c r="V929" i="2" s="1"/>
  <c r="Q930" i="2"/>
  <c r="Q931" i="2"/>
  <c r="P932" i="2"/>
  <c r="V932" i="2" s="1"/>
  <c r="P933" i="2"/>
  <c r="V933" i="2" s="1"/>
  <c r="Q934" i="2"/>
  <c r="Q935" i="2"/>
  <c r="P936" i="2"/>
  <c r="V936" i="2" s="1"/>
  <c r="P937" i="2"/>
  <c r="V937" i="2" s="1"/>
  <c r="Q938" i="2"/>
  <c r="Q939" i="2"/>
  <c r="P940" i="2"/>
  <c r="V940" i="2" s="1"/>
  <c r="P941" i="2"/>
  <c r="V941" i="2" s="1"/>
  <c r="Q942" i="2"/>
  <c r="Q943" i="2"/>
  <c r="P944" i="2"/>
  <c r="V944" i="2" s="1"/>
  <c r="P945" i="2"/>
  <c r="V945" i="2" s="1"/>
  <c r="Q946" i="2"/>
  <c r="Q947" i="2"/>
  <c r="P948" i="2"/>
  <c r="V948" i="2" s="1"/>
  <c r="P949" i="2"/>
  <c r="V949" i="2" s="1"/>
  <c r="Q950" i="2"/>
  <c r="Q951" i="2"/>
  <c r="P952" i="2"/>
  <c r="V952" i="2" s="1"/>
  <c r="P953" i="2"/>
  <c r="V953" i="2" s="1"/>
  <c r="Q954" i="2"/>
  <c r="Q955" i="2"/>
  <c r="P956" i="2"/>
  <c r="V956" i="2" s="1"/>
  <c r="P957" i="2"/>
  <c r="V957" i="2" s="1"/>
  <c r="Q958" i="2"/>
  <c r="Q959" i="2"/>
  <c r="P960" i="2"/>
  <c r="V960" i="2" s="1"/>
  <c r="P961" i="2"/>
  <c r="V961" i="2" s="1"/>
  <c r="Q962" i="2"/>
  <c r="Q963" i="2"/>
  <c r="P964" i="2"/>
  <c r="V964" i="2" s="1"/>
  <c r="P965" i="2"/>
  <c r="V965" i="2" s="1"/>
  <c r="Q966" i="2"/>
  <c r="Q967" i="2"/>
  <c r="P968" i="2"/>
  <c r="V968" i="2" s="1"/>
  <c r="P969" i="2"/>
  <c r="V969" i="2" s="1"/>
  <c r="Q970" i="2"/>
  <c r="Q971" i="2"/>
  <c r="P972" i="2"/>
  <c r="V972" i="2" s="1"/>
  <c r="P973" i="2"/>
  <c r="V973" i="2" s="1"/>
  <c r="Q974" i="2"/>
  <c r="Q975" i="2"/>
  <c r="P976" i="2"/>
  <c r="V976" i="2" s="1"/>
  <c r="P977" i="2"/>
  <c r="V977" i="2" s="1"/>
  <c r="Q978" i="2"/>
  <c r="Q979" i="2"/>
  <c r="P980" i="2"/>
  <c r="V980" i="2" s="1"/>
  <c r="P981" i="2"/>
  <c r="V981" i="2" s="1"/>
  <c r="Q982" i="2"/>
  <c r="Q983" i="2"/>
  <c r="P984" i="2"/>
  <c r="V984" i="2" s="1"/>
  <c r="P985" i="2"/>
  <c r="V985" i="2" s="1"/>
  <c r="Q986" i="2"/>
  <c r="Q987" i="2"/>
  <c r="P988" i="2"/>
  <c r="V988" i="2" s="1"/>
  <c r="P989" i="2"/>
  <c r="V989" i="2" s="1"/>
  <c r="Q990" i="2"/>
  <c r="Q991" i="2"/>
  <c r="P992" i="2"/>
  <c r="V992" i="2" s="1"/>
  <c r="P993" i="2"/>
  <c r="V993" i="2" s="1"/>
  <c r="Q994" i="2"/>
  <c r="Q995" i="2"/>
  <c r="P996" i="2"/>
  <c r="V996" i="2" s="1"/>
  <c r="P997" i="2"/>
  <c r="V997" i="2" s="1"/>
  <c r="Q998" i="2"/>
  <c r="Q999" i="2"/>
  <c r="P1000" i="2"/>
  <c r="V1000" i="2" s="1"/>
  <c r="P1001" i="2"/>
  <c r="V1001" i="2" s="1"/>
  <c r="Q1002" i="2"/>
  <c r="Q1003" i="2"/>
  <c r="P1004" i="2"/>
  <c r="V1004" i="2" s="1"/>
  <c r="P1005" i="2"/>
  <c r="V1005" i="2" s="1"/>
  <c r="Q1006" i="2"/>
  <c r="Q1007" i="2"/>
  <c r="P1008" i="2"/>
  <c r="V1008" i="2" s="1"/>
  <c r="P1009" i="2"/>
  <c r="V1009" i="2" s="1"/>
  <c r="Q1010" i="2"/>
  <c r="Q1011" i="2"/>
  <c r="P1012" i="2"/>
  <c r="V1012" i="2" s="1"/>
  <c r="P1013" i="2"/>
  <c r="V1013" i="2" s="1"/>
  <c r="Q1014" i="2"/>
  <c r="Q1015" i="2"/>
  <c r="P1016" i="2"/>
  <c r="V1016" i="2" s="1"/>
  <c r="P1017" i="2"/>
  <c r="V1017" i="2" s="1"/>
  <c r="Q1018" i="2"/>
  <c r="Q1019" i="2"/>
  <c r="P1020" i="2"/>
  <c r="V1020" i="2" s="1"/>
  <c r="P1021" i="2"/>
  <c r="V1021" i="2" s="1"/>
  <c r="Q1022" i="2"/>
  <c r="Q1023" i="2"/>
  <c r="P1024" i="2"/>
  <c r="V1024" i="2" s="1"/>
  <c r="P1025" i="2"/>
  <c r="V1025" i="2" s="1"/>
  <c r="Q1026" i="2"/>
  <c r="Q1027" i="2"/>
  <c r="P1028" i="2"/>
  <c r="V1028" i="2" s="1"/>
  <c r="P1029" i="2"/>
  <c r="V1029" i="2" s="1"/>
  <c r="Q1030" i="2"/>
  <c r="Q1031" i="2"/>
  <c r="P1032" i="2"/>
  <c r="V1032" i="2" s="1"/>
  <c r="P1033" i="2"/>
  <c r="V1033" i="2" s="1"/>
  <c r="Q1034" i="2"/>
  <c r="Q1035" i="2"/>
  <c r="P1036" i="2"/>
  <c r="V1036" i="2" s="1"/>
  <c r="P1037" i="2"/>
  <c r="V1037" i="2" s="1"/>
  <c r="Q1038" i="2"/>
  <c r="Q1039" i="2"/>
  <c r="P1040" i="2"/>
  <c r="V1040" i="2" s="1"/>
  <c r="P1041" i="2"/>
  <c r="V1041" i="2" s="1"/>
  <c r="Q1042" i="2"/>
  <c r="Q1043" i="2"/>
  <c r="P1044" i="2"/>
  <c r="V1044" i="2" s="1"/>
  <c r="P1045" i="2"/>
  <c r="V1045" i="2" s="1"/>
  <c r="Q1046" i="2"/>
  <c r="Q1047" i="2"/>
  <c r="P1048" i="2"/>
  <c r="V1048" i="2" s="1"/>
  <c r="P1049" i="2"/>
  <c r="V1049" i="2" s="1"/>
  <c r="Q1050" i="2"/>
  <c r="Q1051" i="2"/>
  <c r="P1052" i="2"/>
  <c r="V1052" i="2" s="1"/>
  <c r="P1053" i="2"/>
  <c r="V1053" i="2" s="1"/>
  <c r="Q1054" i="2"/>
  <c r="Q1055" i="2"/>
  <c r="P1056" i="2"/>
  <c r="V1056" i="2" s="1"/>
  <c r="P1057" i="2"/>
  <c r="V1057" i="2" s="1"/>
  <c r="Q1058" i="2"/>
  <c r="Q1059" i="2"/>
  <c r="P1060" i="2"/>
  <c r="V1060" i="2" s="1"/>
  <c r="P1061" i="2"/>
  <c r="V1061" i="2" s="1"/>
  <c r="Q1062" i="2"/>
  <c r="Q1063" i="2"/>
  <c r="P1064" i="2"/>
  <c r="V1064" i="2" s="1"/>
  <c r="P1065" i="2"/>
  <c r="V1065" i="2" s="1"/>
  <c r="Q1066" i="2"/>
  <c r="Q1067" i="2"/>
  <c r="P1068" i="2"/>
  <c r="V1068" i="2" s="1"/>
  <c r="P1069" i="2"/>
  <c r="V1069" i="2" s="1"/>
  <c r="Q1070" i="2"/>
  <c r="Q1071" i="2"/>
  <c r="P1072" i="2"/>
  <c r="V1072" i="2" s="1"/>
  <c r="P1073" i="2"/>
  <c r="V1073" i="2" s="1"/>
  <c r="Q1074" i="2"/>
  <c r="Q1075" i="2"/>
  <c r="P1076" i="2"/>
  <c r="V1076" i="2" s="1"/>
  <c r="P1077" i="2"/>
  <c r="V1077" i="2" s="1"/>
  <c r="Q1078" i="2"/>
  <c r="Q1079" i="2"/>
  <c r="P1080" i="2"/>
  <c r="V1080" i="2" s="1"/>
  <c r="P1081" i="2"/>
  <c r="V1081" i="2" s="1"/>
  <c r="Q1082" i="2"/>
  <c r="Q1083" i="2"/>
  <c r="P1084" i="2"/>
  <c r="V1084" i="2" s="1"/>
  <c r="P1085" i="2"/>
  <c r="V1085" i="2" s="1"/>
  <c r="Q1086" i="2"/>
  <c r="Q1087" i="2"/>
  <c r="P1088" i="2"/>
  <c r="V1088" i="2" s="1"/>
  <c r="P1089" i="2"/>
  <c r="V1089" i="2" s="1"/>
  <c r="Q1090" i="2"/>
  <c r="Q1091" i="2"/>
  <c r="P1092" i="2"/>
  <c r="V1092" i="2" s="1"/>
  <c r="P1093" i="2"/>
  <c r="V1093" i="2" s="1"/>
  <c r="Q1094" i="2"/>
  <c r="Q1095" i="2"/>
  <c r="P1096" i="2"/>
  <c r="V1096" i="2" s="1"/>
  <c r="P1097" i="2"/>
  <c r="V1097" i="2" s="1"/>
  <c r="Q1098" i="2"/>
  <c r="Q1099" i="2"/>
  <c r="P1100" i="2"/>
  <c r="V1100" i="2" s="1"/>
  <c r="P1101" i="2"/>
  <c r="V1101" i="2" s="1"/>
  <c r="Q1102" i="2"/>
  <c r="Q1103" i="2"/>
  <c r="P1104" i="2"/>
  <c r="V1104" i="2" s="1"/>
  <c r="P1105" i="2"/>
  <c r="V1105" i="2" s="1"/>
  <c r="Q1106" i="2"/>
  <c r="Q1107" i="2"/>
  <c r="P1108" i="2"/>
  <c r="V1108" i="2" s="1"/>
  <c r="P1109" i="2"/>
  <c r="V1109" i="2" s="1"/>
  <c r="Q1110" i="2"/>
  <c r="Q1111" i="2"/>
  <c r="P1112" i="2"/>
  <c r="V1112" i="2" s="1"/>
  <c r="P1113" i="2"/>
  <c r="V1113" i="2" s="1"/>
  <c r="Q1114" i="2"/>
  <c r="Q1115" i="2"/>
  <c r="P1116" i="2"/>
  <c r="V1116" i="2" s="1"/>
  <c r="P1117" i="2"/>
  <c r="V1117" i="2" s="1"/>
  <c r="Q1118" i="2"/>
  <c r="Q1119" i="2"/>
  <c r="P1120" i="2"/>
  <c r="V1120" i="2" s="1"/>
  <c r="P1121" i="2"/>
  <c r="V1121" i="2" s="1"/>
  <c r="Q1122" i="2"/>
  <c r="Q1123" i="2"/>
  <c r="P1124" i="2"/>
  <c r="V1124" i="2" s="1"/>
  <c r="P1125" i="2"/>
  <c r="V1125" i="2" s="1"/>
  <c r="Q1126" i="2"/>
  <c r="Q1127" i="2"/>
  <c r="P1128" i="2"/>
  <c r="V1128" i="2" s="1"/>
  <c r="P1129" i="2"/>
  <c r="V1129" i="2" s="1"/>
  <c r="Q1130" i="2"/>
  <c r="Q1131" i="2"/>
  <c r="P1132" i="2"/>
  <c r="V1132" i="2" s="1"/>
  <c r="P1133" i="2"/>
  <c r="V1133" i="2" s="1"/>
  <c r="Q1134" i="2"/>
  <c r="Q1135" i="2"/>
  <c r="P1136" i="2"/>
  <c r="V1136" i="2" s="1"/>
  <c r="P1137" i="2"/>
  <c r="V1137" i="2" s="1"/>
  <c r="Q1138" i="2"/>
  <c r="Q1139" i="2"/>
  <c r="P1140" i="2"/>
  <c r="V1140" i="2" s="1"/>
  <c r="P1141" i="2"/>
  <c r="V1141" i="2" s="1"/>
  <c r="Q1142" i="2"/>
  <c r="Q1143" i="2"/>
  <c r="P1144" i="2"/>
  <c r="V1144" i="2" s="1"/>
  <c r="P1145" i="2"/>
  <c r="V1145" i="2" s="1"/>
  <c r="Q1146" i="2"/>
  <c r="Q1147" i="2"/>
  <c r="P1148" i="2"/>
  <c r="V1148" i="2" s="1"/>
  <c r="P1149" i="2"/>
  <c r="V1149" i="2" s="1"/>
  <c r="Q1150" i="2"/>
  <c r="Q1151" i="2"/>
  <c r="P1152" i="2"/>
  <c r="V1152" i="2" s="1"/>
  <c r="P1153" i="2"/>
  <c r="V1153" i="2" s="1"/>
  <c r="Q1154" i="2"/>
  <c r="Q1155" i="2"/>
  <c r="P1156" i="2"/>
  <c r="V1156" i="2" s="1"/>
  <c r="P1157" i="2"/>
  <c r="V1157" i="2" s="1"/>
  <c r="Q1158" i="2"/>
  <c r="Q1159" i="2"/>
  <c r="P1160" i="2"/>
  <c r="V1160" i="2" s="1"/>
  <c r="P1161" i="2"/>
  <c r="V1161" i="2" s="1"/>
  <c r="Q1162" i="2"/>
  <c r="Q1163" i="2"/>
  <c r="P1164" i="2"/>
  <c r="V1164" i="2" s="1"/>
  <c r="P1165" i="2"/>
  <c r="V1165" i="2" s="1"/>
  <c r="Q1166" i="2"/>
  <c r="Q1167" i="2"/>
  <c r="P1168" i="2"/>
  <c r="V1168" i="2" s="1"/>
  <c r="P1169" i="2"/>
  <c r="V1169" i="2" s="1"/>
  <c r="Q1170" i="2"/>
  <c r="Q1171" i="2"/>
  <c r="P1172" i="2"/>
  <c r="V1172" i="2" s="1"/>
  <c r="P1173" i="2"/>
  <c r="V1173" i="2" s="1"/>
  <c r="Q1174" i="2"/>
  <c r="Q1175" i="2"/>
  <c r="P1176" i="2"/>
  <c r="V1176" i="2" s="1"/>
  <c r="P1177" i="2"/>
  <c r="V1177" i="2" s="1"/>
  <c r="Q1178" i="2"/>
  <c r="Q1179" i="2"/>
  <c r="P1180" i="2"/>
  <c r="V1180" i="2" s="1"/>
  <c r="P1181" i="2"/>
  <c r="V1181" i="2" s="1"/>
  <c r="Q1182" i="2"/>
  <c r="Q1183" i="2"/>
  <c r="P1184" i="2"/>
  <c r="V1184" i="2" s="1"/>
  <c r="P1185" i="2"/>
  <c r="V1185" i="2" s="1"/>
  <c r="Q1186" i="2"/>
  <c r="Q1187" i="2"/>
  <c r="P1188" i="2"/>
  <c r="V1188" i="2" s="1"/>
  <c r="P1189" i="2"/>
  <c r="V1189" i="2" s="1"/>
  <c r="Q1190" i="2"/>
  <c r="Q1191" i="2"/>
  <c r="P1192" i="2"/>
  <c r="V1192" i="2" s="1"/>
  <c r="P1193" i="2"/>
  <c r="V1193" i="2" s="1"/>
  <c r="Q1194" i="2"/>
  <c r="Q1195" i="2"/>
  <c r="P1196" i="2"/>
  <c r="V1196" i="2" s="1"/>
  <c r="P1197" i="2"/>
  <c r="V1197" i="2" s="1"/>
  <c r="Q1198" i="2"/>
  <c r="Q1199" i="2"/>
  <c r="P1200" i="2"/>
  <c r="V1200" i="2" s="1"/>
  <c r="P1201" i="2"/>
  <c r="V1201" i="2" s="1"/>
  <c r="Q1202" i="2"/>
  <c r="Q1203" i="2"/>
  <c r="P1204" i="2"/>
  <c r="V1204" i="2" s="1"/>
  <c r="P1205" i="2"/>
  <c r="V1205" i="2" s="1"/>
  <c r="Q1206" i="2"/>
  <c r="Q1207" i="2"/>
  <c r="P1208" i="2"/>
  <c r="V1208" i="2" s="1"/>
  <c r="P1209" i="2"/>
  <c r="V1209" i="2" s="1"/>
  <c r="Q1210" i="2"/>
  <c r="Q1211" i="2"/>
  <c r="P1212" i="2"/>
  <c r="V1212" i="2" s="1"/>
  <c r="P1213" i="2"/>
  <c r="V1213" i="2" s="1"/>
  <c r="Q1214" i="2"/>
  <c r="Q1215" i="2"/>
  <c r="P1216" i="2"/>
  <c r="V1216" i="2" s="1"/>
  <c r="P1217" i="2"/>
  <c r="V1217" i="2" s="1"/>
  <c r="Q1218" i="2"/>
  <c r="Q1219" i="2"/>
  <c r="P1220" i="2"/>
  <c r="V1220" i="2" s="1"/>
  <c r="P1221" i="2"/>
  <c r="V1221" i="2" s="1"/>
  <c r="Q1222" i="2"/>
  <c r="Q1223" i="2"/>
  <c r="P1224" i="2"/>
  <c r="V1224" i="2" s="1"/>
  <c r="P1225" i="2"/>
  <c r="V1225" i="2" s="1"/>
  <c r="Q1226" i="2"/>
  <c r="Q1227" i="2"/>
  <c r="P1228" i="2"/>
  <c r="V1228" i="2" s="1"/>
  <c r="P1229" i="2"/>
  <c r="V1229" i="2" s="1"/>
  <c r="Q1230" i="2"/>
  <c r="Q1231" i="2"/>
  <c r="P1232" i="2"/>
  <c r="V1232" i="2" s="1"/>
  <c r="P1233" i="2"/>
  <c r="V1233" i="2" s="1"/>
  <c r="Q1234" i="2"/>
  <c r="Q1235" i="2"/>
  <c r="P1236" i="2"/>
  <c r="V1236" i="2" s="1"/>
  <c r="P1237" i="2"/>
  <c r="V1237" i="2" s="1"/>
  <c r="Q1238" i="2"/>
  <c r="Q1239" i="2"/>
  <c r="P1240" i="2"/>
  <c r="V1240" i="2" s="1"/>
  <c r="P1241" i="2"/>
  <c r="V1241" i="2" s="1"/>
  <c r="Q1242" i="2"/>
  <c r="Q1243" i="2"/>
  <c r="P1244" i="2"/>
  <c r="V1244" i="2" s="1"/>
  <c r="P1245" i="2"/>
  <c r="V1245" i="2" s="1"/>
  <c r="Q1246" i="2"/>
  <c r="Q1247" i="2"/>
  <c r="P1248" i="2"/>
  <c r="V1248" i="2" s="1"/>
  <c r="P1249" i="2"/>
  <c r="V1249" i="2" s="1"/>
  <c r="Q1250" i="2"/>
  <c r="Q1251" i="2"/>
  <c r="P1252" i="2"/>
  <c r="V1252" i="2" s="1"/>
  <c r="P1253" i="2"/>
  <c r="V1253" i="2" s="1"/>
  <c r="Q1254" i="2"/>
  <c r="Q1255" i="2"/>
  <c r="P1256" i="2"/>
  <c r="V1256" i="2" s="1"/>
  <c r="P1257" i="2"/>
  <c r="V1257" i="2" s="1"/>
  <c r="Q1258" i="2"/>
  <c r="Q1259" i="2"/>
  <c r="P1260" i="2"/>
  <c r="V1260" i="2" s="1"/>
  <c r="P1261" i="2"/>
  <c r="V1261" i="2" s="1"/>
  <c r="Q1262" i="2"/>
  <c r="Q1263" i="2"/>
  <c r="P1264" i="2"/>
  <c r="V1264" i="2" s="1"/>
  <c r="P1265" i="2"/>
  <c r="V1265" i="2" s="1"/>
  <c r="Q1266" i="2"/>
  <c r="Q1267" i="2"/>
  <c r="P1268" i="2"/>
  <c r="V1268" i="2" s="1"/>
  <c r="P1269" i="2"/>
  <c r="V1269" i="2" s="1"/>
  <c r="Q1270" i="2"/>
  <c r="Q1271" i="2"/>
  <c r="P1272" i="2"/>
  <c r="V1272" i="2" s="1"/>
  <c r="P1273" i="2"/>
  <c r="V1273" i="2" s="1"/>
  <c r="Q1274" i="2"/>
  <c r="Q1275" i="2"/>
  <c r="P1276" i="2"/>
  <c r="V1276" i="2" s="1"/>
  <c r="P1277" i="2"/>
  <c r="V1277" i="2" s="1"/>
  <c r="Q1278" i="2"/>
  <c r="Q1279" i="2"/>
  <c r="P1280" i="2"/>
  <c r="V1280" i="2" s="1"/>
  <c r="P1281" i="2"/>
  <c r="V1281" i="2" s="1"/>
  <c r="Q1282" i="2"/>
  <c r="Q1283" i="2"/>
  <c r="P1284" i="2"/>
  <c r="V1284" i="2" s="1"/>
  <c r="P1285" i="2"/>
  <c r="V1285" i="2" s="1"/>
  <c r="Q1286" i="2"/>
  <c r="Q1287" i="2"/>
  <c r="P1288" i="2"/>
  <c r="V1288" i="2" s="1"/>
  <c r="P1289" i="2"/>
  <c r="V1289" i="2" s="1"/>
  <c r="Q1290" i="2"/>
  <c r="Q1291" i="2"/>
  <c r="P1292" i="2"/>
  <c r="V1292" i="2" s="1"/>
  <c r="P1293" i="2"/>
  <c r="V1293" i="2" s="1"/>
  <c r="Q1294" i="2"/>
  <c r="Q1295" i="2"/>
  <c r="P1296" i="2"/>
  <c r="V1296" i="2" s="1"/>
  <c r="P1297" i="2"/>
  <c r="V1297" i="2" s="1"/>
  <c r="Q1298" i="2"/>
  <c r="Q1299" i="2"/>
  <c r="P1300" i="2"/>
  <c r="V1300" i="2" s="1"/>
  <c r="P1301" i="2"/>
  <c r="V1301" i="2" s="1"/>
  <c r="Q1302" i="2"/>
  <c r="Q1303" i="2"/>
  <c r="P1304" i="2"/>
  <c r="V1304" i="2" s="1"/>
  <c r="P1305" i="2"/>
  <c r="V1305" i="2" s="1"/>
  <c r="Q1306" i="2"/>
  <c r="Q1307" i="2"/>
  <c r="P1308" i="2"/>
  <c r="V1308" i="2" s="1"/>
  <c r="P1309" i="2"/>
  <c r="V1309" i="2" s="1"/>
  <c r="Q1310" i="2"/>
  <c r="Q1311" i="2"/>
  <c r="P1312" i="2"/>
  <c r="V1312" i="2" s="1"/>
  <c r="P1313" i="2"/>
  <c r="V1313" i="2" s="1"/>
  <c r="Q1314" i="2"/>
  <c r="Q1315" i="2"/>
  <c r="P1316" i="2"/>
  <c r="V1316" i="2" s="1"/>
  <c r="P1317" i="2"/>
  <c r="V1317" i="2" s="1"/>
  <c r="Q1318" i="2"/>
  <c r="Q1319" i="2"/>
  <c r="P1320" i="2"/>
  <c r="V1320" i="2" s="1"/>
  <c r="P1321" i="2"/>
  <c r="V1321" i="2" s="1"/>
  <c r="Q1322" i="2"/>
  <c r="Q1323" i="2"/>
  <c r="P1324" i="2"/>
  <c r="V1324" i="2" s="1"/>
  <c r="P1325" i="2"/>
  <c r="V1325" i="2" s="1"/>
  <c r="Q1326" i="2"/>
  <c r="Q1327" i="2"/>
  <c r="P1328" i="2"/>
  <c r="V1328" i="2" s="1"/>
  <c r="P1329" i="2"/>
  <c r="V1329" i="2" s="1"/>
  <c r="Q1330" i="2"/>
  <c r="Q1331" i="2"/>
  <c r="P1332" i="2"/>
  <c r="V1332" i="2" s="1"/>
  <c r="P1333" i="2"/>
  <c r="V1333" i="2" s="1"/>
  <c r="Q1334" i="2"/>
  <c r="Q1335" i="2"/>
  <c r="P1336" i="2"/>
  <c r="V1336" i="2" s="1"/>
  <c r="P1337" i="2"/>
  <c r="V1337" i="2" s="1"/>
  <c r="Q1338" i="2"/>
  <c r="Q1339" i="2"/>
  <c r="P1340" i="2"/>
  <c r="V1340" i="2" s="1"/>
  <c r="P1341" i="2"/>
  <c r="V1341" i="2" s="1"/>
  <c r="Q1342" i="2"/>
  <c r="Q1343" i="2"/>
  <c r="P1344" i="2"/>
  <c r="V1344" i="2" s="1"/>
  <c r="P1345" i="2"/>
  <c r="V1345" i="2" s="1"/>
  <c r="Q1346" i="2"/>
  <c r="Q1347" i="2"/>
  <c r="P1348" i="2"/>
  <c r="V1348" i="2" s="1"/>
  <c r="P1349" i="2"/>
  <c r="V1349" i="2" s="1"/>
  <c r="Q1350" i="2"/>
  <c r="Q1351" i="2"/>
  <c r="P1352" i="2"/>
  <c r="V1352" i="2" s="1"/>
  <c r="P1353" i="2"/>
  <c r="V1353" i="2" s="1"/>
  <c r="Q1354" i="2"/>
  <c r="Q1355" i="2"/>
  <c r="P1356" i="2"/>
  <c r="V1356" i="2" s="1"/>
  <c r="P1357" i="2"/>
  <c r="V1357" i="2" s="1"/>
  <c r="Q1358" i="2"/>
  <c r="Q1359" i="2"/>
  <c r="P1360" i="2"/>
  <c r="V1360" i="2" s="1"/>
  <c r="P1361" i="2"/>
  <c r="V1361" i="2" s="1"/>
  <c r="Q1362" i="2"/>
  <c r="Q1363" i="2"/>
  <c r="P1364" i="2"/>
  <c r="V1364" i="2" s="1"/>
  <c r="P1365" i="2"/>
  <c r="V1365" i="2" s="1"/>
  <c r="Q1366" i="2"/>
  <c r="Q1367" i="2"/>
  <c r="P1368" i="2"/>
  <c r="V1368" i="2" s="1"/>
  <c r="P1369" i="2"/>
  <c r="V1369" i="2" s="1"/>
  <c r="Q1370" i="2"/>
  <c r="Q1371" i="2"/>
  <c r="P1372" i="2"/>
  <c r="V1372" i="2" s="1"/>
  <c r="P1373" i="2"/>
  <c r="V1373" i="2" s="1"/>
  <c r="Q1374" i="2"/>
  <c r="Q1375" i="2"/>
  <c r="P1376" i="2"/>
  <c r="V1376" i="2" s="1"/>
  <c r="P1377" i="2"/>
  <c r="V1377" i="2" s="1"/>
  <c r="Q1378" i="2"/>
  <c r="Q1379" i="2"/>
  <c r="P1380" i="2"/>
  <c r="V1380" i="2" s="1"/>
  <c r="P1381" i="2"/>
  <c r="V1381" i="2" s="1"/>
  <c r="Q1382" i="2"/>
  <c r="Q1383" i="2"/>
  <c r="P1384" i="2"/>
  <c r="V1384" i="2" s="1"/>
  <c r="P1385" i="2"/>
  <c r="V1385" i="2" s="1"/>
  <c r="Q1386" i="2"/>
  <c r="Q1387" i="2"/>
  <c r="P1388" i="2"/>
  <c r="V1388" i="2" s="1"/>
  <c r="P1389" i="2"/>
  <c r="V1389" i="2" s="1"/>
  <c r="Q1390" i="2"/>
  <c r="Q1391" i="2"/>
  <c r="P1392" i="2"/>
  <c r="V1392" i="2" s="1"/>
  <c r="P1393" i="2"/>
  <c r="V1393" i="2" s="1"/>
  <c r="Q1394" i="2"/>
  <c r="Q1395" i="2"/>
  <c r="P1396" i="2"/>
  <c r="V1396" i="2" s="1"/>
  <c r="P1397" i="2"/>
  <c r="V1397" i="2" s="1"/>
  <c r="Q1398" i="2"/>
  <c r="Q1399" i="2"/>
  <c r="P1400" i="2"/>
  <c r="V1400" i="2" s="1"/>
  <c r="P1401" i="2"/>
  <c r="V1401" i="2" s="1"/>
  <c r="Q1402" i="2"/>
  <c r="Q1403" i="2"/>
  <c r="P1404" i="2"/>
  <c r="V1404" i="2" s="1"/>
  <c r="P1405" i="2"/>
  <c r="V1405" i="2" s="1"/>
  <c r="Q1406" i="2"/>
  <c r="Q1407" i="2"/>
  <c r="P1408" i="2"/>
  <c r="V1408" i="2" s="1"/>
  <c r="P1409" i="2"/>
  <c r="V1409" i="2" s="1"/>
  <c r="Q1410" i="2"/>
  <c r="Q1411" i="2"/>
  <c r="P1412" i="2"/>
  <c r="V1412" i="2" s="1"/>
  <c r="P1413" i="2"/>
  <c r="V1413" i="2" s="1"/>
  <c r="Q1414" i="2"/>
  <c r="Q1415" i="2"/>
  <c r="P1416" i="2"/>
  <c r="V1416" i="2" s="1"/>
  <c r="P1417" i="2"/>
  <c r="V1417" i="2" s="1"/>
  <c r="Q1418" i="2"/>
  <c r="Q1419" i="2"/>
  <c r="P1420" i="2"/>
  <c r="V1420" i="2" s="1"/>
  <c r="P1421" i="2"/>
  <c r="V1421" i="2" s="1"/>
  <c r="Q1422" i="2"/>
  <c r="Q1423" i="2"/>
  <c r="P1424" i="2"/>
  <c r="V1424" i="2" s="1"/>
  <c r="P1425" i="2"/>
  <c r="V1425" i="2" s="1"/>
  <c r="Q1426" i="2"/>
  <c r="Q1427" i="2"/>
  <c r="P1428" i="2"/>
  <c r="V1428" i="2" s="1"/>
  <c r="P1429" i="2"/>
  <c r="V1429" i="2" s="1"/>
  <c r="Q1430" i="2"/>
  <c r="Q1431" i="2"/>
  <c r="P1432" i="2"/>
  <c r="V1432" i="2" s="1"/>
  <c r="P1433" i="2"/>
  <c r="V1433" i="2" s="1"/>
  <c r="Q1434" i="2"/>
  <c r="Q1435" i="2"/>
  <c r="P1436" i="2"/>
  <c r="V1436" i="2" s="1"/>
  <c r="P1437" i="2"/>
  <c r="V1437" i="2" s="1"/>
  <c r="Q1438" i="2"/>
  <c r="Q1439" i="2"/>
  <c r="P1440" i="2"/>
  <c r="V1440" i="2" s="1"/>
  <c r="P1441" i="2"/>
  <c r="V1441" i="2" s="1"/>
  <c r="Q1442" i="2"/>
  <c r="Q1443" i="2"/>
  <c r="P1444" i="2"/>
  <c r="V1444" i="2" s="1"/>
  <c r="P1445" i="2"/>
  <c r="V1445" i="2" s="1"/>
  <c r="Q1446" i="2"/>
  <c r="Q1447" i="2"/>
  <c r="P1448" i="2"/>
  <c r="V1448" i="2" s="1"/>
  <c r="P1449" i="2"/>
  <c r="V1449" i="2" s="1"/>
  <c r="Q1450" i="2"/>
  <c r="Q1451" i="2"/>
  <c r="P1452" i="2"/>
  <c r="V1452" i="2" s="1"/>
  <c r="P1453" i="2"/>
  <c r="V1453" i="2" s="1"/>
  <c r="Q1454" i="2"/>
  <c r="Q1455" i="2"/>
  <c r="P1456" i="2"/>
  <c r="V1456" i="2" s="1"/>
  <c r="P1457" i="2"/>
  <c r="V1457" i="2" s="1"/>
  <c r="Q1458" i="2"/>
  <c r="Q1459" i="2"/>
  <c r="P1460" i="2"/>
  <c r="V1460" i="2" s="1"/>
  <c r="P1461" i="2"/>
  <c r="V1461" i="2" s="1"/>
  <c r="Q1462" i="2"/>
  <c r="Q1463" i="2"/>
  <c r="P1464" i="2"/>
  <c r="V1464" i="2" s="1"/>
  <c r="P1465" i="2"/>
  <c r="V1465" i="2" s="1"/>
  <c r="Q1466" i="2"/>
  <c r="Q1467" i="2"/>
  <c r="P1468" i="2"/>
  <c r="V1468" i="2" s="1"/>
  <c r="P1469" i="2"/>
  <c r="V1469" i="2" s="1"/>
  <c r="Q1470" i="2"/>
  <c r="Q1471" i="2"/>
  <c r="P1472" i="2"/>
  <c r="V1472" i="2" s="1"/>
  <c r="P1473" i="2"/>
  <c r="V1473" i="2" s="1"/>
  <c r="Q1474" i="2"/>
  <c r="Q1475" i="2"/>
  <c r="P1476" i="2"/>
  <c r="V1476" i="2" s="1"/>
  <c r="P1477" i="2"/>
  <c r="V1477" i="2" s="1"/>
  <c r="Q1478" i="2"/>
  <c r="Q1479" i="2"/>
  <c r="P1480" i="2"/>
  <c r="V1480" i="2" s="1"/>
  <c r="P1481" i="2"/>
  <c r="V1481" i="2" s="1"/>
  <c r="Q1482" i="2"/>
  <c r="Q1483" i="2"/>
  <c r="P1484" i="2"/>
  <c r="V1484" i="2" s="1"/>
  <c r="P1485" i="2"/>
  <c r="V1485" i="2" s="1"/>
  <c r="Q1486" i="2"/>
  <c r="Q1487" i="2"/>
  <c r="P1488" i="2"/>
  <c r="V1488" i="2" s="1"/>
  <c r="P1489" i="2"/>
  <c r="V1489" i="2" s="1"/>
  <c r="Q1490" i="2"/>
  <c r="Q1491" i="2"/>
  <c r="P1492" i="2"/>
  <c r="V1492" i="2" s="1"/>
  <c r="P1493" i="2"/>
  <c r="V1493" i="2" s="1"/>
  <c r="Q1494" i="2"/>
  <c r="Q1495" i="2"/>
  <c r="P1496" i="2"/>
  <c r="V1496" i="2" s="1"/>
  <c r="P1497" i="2"/>
  <c r="V1497" i="2" s="1"/>
  <c r="Q1498" i="2"/>
  <c r="Q1499" i="2"/>
  <c r="P1500" i="2"/>
  <c r="V1500" i="2" s="1"/>
  <c r="P1501" i="2"/>
  <c r="V1501" i="2" s="1"/>
  <c r="Q1502" i="2"/>
  <c r="Q1503" i="2"/>
  <c r="P1504" i="2"/>
  <c r="V1504" i="2" s="1"/>
  <c r="P1505" i="2"/>
  <c r="V1505" i="2" s="1"/>
  <c r="Q1506" i="2"/>
  <c r="Q1507" i="2"/>
  <c r="P1508" i="2"/>
  <c r="V1508" i="2" s="1"/>
  <c r="P1509" i="2"/>
  <c r="V1509" i="2" s="1"/>
  <c r="Q1510" i="2"/>
  <c r="Q1511" i="2"/>
  <c r="P1512" i="2"/>
  <c r="V1512" i="2" s="1"/>
  <c r="P1513" i="2"/>
  <c r="V1513" i="2" s="1"/>
  <c r="Q1514" i="2"/>
  <c r="Q1515" i="2"/>
  <c r="P1516" i="2"/>
  <c r="V1516" i="2" s="1"/>
  <c r="P1517" i="2"/>
  <c r="V1517" i="2" s="1"/>
  <c r="Q1518" i="2"/>
  <c r="Q1519" i="2"/>
  <c r="P1520" i="2"/>
  <c r="V1520" i="2" s="1"/>
  <c r="P1521" i="2"/>
  <c r="V1521" i="2" s="1"/>
  <c r="Q1522" i="2"/>
  <c r="Q1523" i="2"/>
  <c r="P1524" i="2"/>
  <c r="V1524" i="2" s="1"/>
  <c r="P1525" i="2"/>
  <c r="V1525" i="2" s="1"/>
  <c r="Q1526" i="2"/>
  <c r="Q1527" i="2"/>
  <c r="P1528" i="2"/>
  <c r="V1528" i="2" s="1"/>
  <c r="P1529" i="2"/>
  <c r="V1529" i="2" s="1"/>
  <c r="Q1530" i="2"/>
  <c r="Q1531" i="2"/>
  <c r="P1532" i="2"/>
  <c r="V1532" i="2" s="1"/>
  <c r="P1533" i="2"/>
  <c r="V1533" i="2" s="1"/>
  <c r="Q1534" i="2"/>
  <c r="Q1535" i="2"/>
  <c r="P1536" i="2"/>
  <c r="V1536" i="2" s="1"/>
  <c r="P1537" i="2"/>
  <c r="V1537" i="2" s="1"/>
  <c r="Q1538" i="2"/>
  <c r="Q1539" i="2"/>
  <c r="P1540" i="2"/>
  <c r="V1540" i="2" s="1"/>
  <c r="P1541" i="2"/>
  <c r="V1541" i="2" s="1"/>
  <c r="Q1542" i="2"/>
  <c r="Q1543" i="2"/>
  <c r="P1544" i="2"/>
  <c r="V1544" i="2" s="1"/>
  <c r="P1545" i="2"/>
  <c r="V1545" i="2" s="1"/>
  <c r="Q1546" i="2"/>
  <c r="Q1547" i="2"/>
  <c r="P1548" i="2"/>
  <c r="V1548" i="2" s="1"/>
  <c r="P1549" i="2"/>
  <c r="V1549" i="2" s="1"/>
  <c r="Q1550" i="2"/>
  <c r="Q1551" i="2"/>
  <c r="P1552" i="2"/>
  <c r="V1552" i="2" s="1"/>
  <c r="P1553" i="2"/>
  <c r="V1553" i="2" s="1"/>
  <c r="Q1554" i="2"/>
  <c r="Q1555" i="2"/>
  <c r="P1556" i="2"/>
  <c r="V1556" i="2" s="1"/>
  <c r="P1557" i="2"/>
  <c r="V1557" i="2" s="1"/>
  <c r="Q1558" i="2"/>
  <c r="Q1559" i="2"/>
  <c r="P1560" i="2"/>
  <c r="V1560" i="2" s="1"/>
  <c r="P1561" i="2"/>
  <c r="V1561" i="2" s="1"/>
  <c r="Q1562" i="2"/>
  <c r="Q1563" i="2"/>
  <c r="P1564" i="2"/>
  <c r="V1564" i="2" s="1"/>
  <c r="P1565" i="2"/>
  <c r="V1565" i="2" s="1"/>
  <c r="Q1566" i="2"/>
  <c r="Q1567" i="2"/>
  <c r="P1568" i="2"/>
  <c r="V1568" i="2" s="1"/>
  <c r="P1569" i="2"/>
  <c r="V1569" i="2" s="1"/>
  <c r="Q1570" i="2"/>
  <c r="Q1571" i="2"/>
  <c r="P1572" i="2"/>
  <c r="V1572" i="2" s="1"/>
  <c r="P1573" i="2"/>
  <c r="V1573" i="2" s="1"/>
  <c r="Q1574" i="2"/>
  <c r="Q1575" i="2"/>
  <c r="P1576" i="2"/>
  <c r="V1576" i="2" s="1"/>
  <c r="P1577" i="2"/>
  <c r="V1577" i="2" s="1"/>
  <c r="Q1578" i="2"/>
  <c r="Q1579" i="2"/>
  <c r="P1580" i="2"/>
  <c r="V1580" i="2" s="1"/>
  <c r="P1581" i="2"/>
  <c r="V1581" i="2" s="1"/>
  <c r="Q1582" i="2"/>
  <c r="Q1583" i="2"/>
  <c r="P1584" i="2"/>
  <c r="V1584" i="2" s="1"/>
  <c r="P1585" i="2"/>
  <c r="V1585" i="2" s="1"/>
  <c r="Q1586" i="2"/>
  <c r="Q1587" i="2"/>
  <c r="P1588" i="2"/>
  <c r="V1588" i="2" s="1"/>
  <c r="P1589" i="2"/>
  <c r="V1589" i="2" s="1"/>
  <c r="Q1590" i="2"/>
  <c r="Q1591" i="2"/>
  <c r="P1592" i="2"/>
  <c r="V1592" i="2" s="1"/>
  <c r="P1593" i="2"/>
  <c r="V1593" i="2" s="1"/>
  <c r="Q1594" i="2"/>
  <c r="Q1595" i="2"/>
  <c r="P1596" i="2"/>
  <c r="V1596" i="2" s="1"/>
  <c r="P1597" i="2"/>
  <c r="V1597" i="2" s="1"/>
  <c r="Q1598" i="2"/>
  <c r="Q1599" i="2"/>
  <c r="P1600" i="2"/>
  <c r="V1600" i="2" s="1"/>
  <c r="P1601" i="2"/>
  <c r="V1601" i="2" s="1"/>
  <c r="Q1602" i="2"/>
  <c r="Q1603" i="2"/>
  <c r="P1604" i="2"/>
  <c r="V1604" i="2" s="1"/>
  <c r="P1605" i="2"/>
  <c r="V1605" i="2" s="1"/>
  <c r="Q1606" i="2"/>
  <c r="Q1607" i="2"/>
  <c r="P1608" i="2"/>
  <c r="V1608" i="2" s="1"/>
  <c r="P1609" i="2"/>
  <c r="V1609" i="2" s="1"/>
  <c r="Q1610" i="2"/>
  <c r="Q1611" i="2"/>
  <c r="P1612" i="2"/>
  <c r="V1612" i="2" s="1"/>
  <c r="P1613" i="2"/>
  <c r="V1613" i="2" s="1"/>
  <c r="Q1614" i="2"/>
  <c r="Q1615" i="2"/>
  <c r="P1616" i="2"/>
  <c r="V1616" i="2" s="1"/>
  <c r="P1617" i="2"/>
  <c r="V1617" i="2" s="1"/>
  <c r="Q1618" i="2"/>
  <c r="Q1619" i="2"/>
  <c r="P1620" i="2"/>
  <c r="V1620" i="2" s="1"/>
  <c r="P1621" i="2"/>
  <c r="V1621" i="2" s="1"/>
  <c r="Q1622" i="2"/>
  <c r="Q1623" i="2"/>
  <c r="P1624" i="2"/>
  <c r="V1624" i="2" s="1"/>
  <c r="P1625" i="2"/>
  <c r="V1625" i="2" s="1"/>
  <c r="Q1626" i="2"/>
  <c r="Q1627" i="2"/>
  <c r="P1628" i="2"/>
  <c r="V1628" i="2" s="1"/>
  <c r="P1629" i="2"/>
  <c r="V1629" i="2" s="1"/>
  <c r="Q1630" i="2"/>
  <c r="Q1631" i="2"/>
  <c r="P1632" i="2"/>
  <c r="V1632" i="2" s="1"/>
  <c r="P1633" i="2"/>
  <c r="V1633" i="2" s="1"/>
  <c r="Q1634" i="2"/>
  <c r="Q1635" i="2"/>
  <c r="P1636" i="2"/>
  <c r="V1636" i="2" s="1"/>
  <c r="P1637" i="2"/>
  <c r="V1637" i="2" s="1"/>
  <c r="Q1638" i="2"/>
  <c r="Q1639" i="2"/>
  <c r="P1640" i="2"/>
  <c r="V1640" i="2" s="1"/>
  <c r="P1641" i="2"/>
  <c r="V1641" i="2" s="1"/>
  <c r="Q1642" i="2"/>
  <c r="Q1643" i="2"/>
  <c r="P1644" i="2"/>
  <c r="V1644" i="2" s="1"/>
  <c r="P1645" i="2"/>
  <c r="V1645" i="2" s="1"/>
  <c r="Q1646" i="2"/>
  <c r="Q1647" i="2"/>
  <c r="P1648" i="2"/>
  <c r="V1648" i="2" s="1"/>
  <c r="P1649" i="2"/>
  <c r="V1649" i="2" s="1"/>
  <c r="Q1650" i="2"/>
  <c r="Q1651" i="2"/>
  <c r="P1652" i="2"/>
  <c r="V1652" i="2" s="1"/>
  <c r="P1653" i="2"/>
  <c r="V1653" i="2" s="1"/>
  <c r="Q1654" i="2"/>
  <c r="Q1655" i="2"/>
  <c r="P1656" i="2"/>
  <c r="V1656" i="2" s="1"/>
  <c r="P1657" i="2"/>
  <c r="V1657" i="2" s="1"/>
  <c r="Q1658" i="2"/>
  <c r="Q1659" i="2"/>
  <c r="P1660" i="2"/>
  <c r="V1660" i="2" s="1"/>
  <c r="P1661" i="2"/>
  <c r="V1661" i="2" s="1"/>
  <c r="Q1662" i="2"/>
  <c r="Q1663" i="2"/>
  <c r="P1664" i="2"/>
  <c r="V1664" i="2" s="1"/>
  <c r="P1665" i="2"/>
  <c r="V1665" i="2" s="1"/>
  <c r="Q1666" i="2"/>
  <c r="Q1667" i="2"/>
  <c r="P1668" i="2"/>
  <c r="V1668" i="2" s="1"/>
  <c r="P1669" i="2"/>
  <c r="V1669" i="2" s="1"/>
  <c r="Q1670" i="2"/>
  <c r="Q1671" i="2"/>
  <c r="P1672" i="2"/>
  <c r="V1672" i="2" s="1"/>
  <c r="P1673" i="2"/>
  <c r="V1673" i="2" s="1"/>
  <c r="Q1674" i="2"/>
  <c r="Q1675" i="2"/>
  <c r="P1676" i="2"/>
  <c r="V1676" i="2" s="1"/>
  <c r="P1677" i="2"/>
  <c r="V1677" i="2" s="1"/>
  <c r="Q1678" i="2"/>
  <c r="Q1679" i="2"/>
  <c r="P1680" i="2"/>
  <c r="V1680" i="2" s="1"/>
  <c r="P1681" i="2"/>
  <c r="V1681" i="2" s="1"/>
  <c r="Q1682" i="2"/>
  <c r="Q1683" i="2"/>
  <c r="P1684" i="2"/>
  <c r="V1684" i="2" s="1"/>
  <c r="P1685" i="2"/>
  <c r="V1685" i="2" s="1"/>
  <c r="Q1686" i="2"/>
  <c r="Q1687" i="2"/>
  <c r="P1688" i="2"/>
  <c r="V1688" i="2" s="1"/>
  <c r="P1689" i="2"/>
  <c r="V1689" i="2" s="1"/>
  <c r="Q1690" i="2"/>
  <c r="Q1691" i="2"/>
  <c r="P1692" i="2"/>
  <c r="V1692" i="2" s="1"/>
  <c r="P1693" i="2"/>
  <c r="V1693" i="2" s="1"/>
  <c r="Q1694" i="2"/>
  <c r="Q1695" i="2"/>
  <c r="P1696" i="2"/>
  <c r="V1696" i="2" s="1"/>
  <c r="P1697" i="2"/>
  <c r="V1697" i="2" s="1"/>
  <c r="Q1698" i="2"/>
  <c r="Q1699" i="2"/>
  <c r="P1700" i="2"/>
  <c r="V1700" i="2" s="1"/>
  <c r="P1701" i="2"/>
  <c r="V1701" i="2" s="1"/>
  <c r="Q1702" i="2"/>
  <c r="Q1703" i="2"/>
  <c r="P1704" i="2"/>
  <c r="V1704" i="2" s="1"/>
  <c r="P1705" i="2"/>
  <c r="V1705" i="2" s="1"/>
  <c r="Q1706" i="2"/>
  <c r="Q1707" i="2"/>
  <c r="P1708" i="2"/>
  <c r="V1708" i="2" s="1"/>
  <c r="P1709" i="2"/>
  <c r="V1709" i="2" s="1"/>
  <c r="Q1710" i="2"/>
  <c r="Q1711" i="2"/>
  <c r="P1712" i="2"/>
  <c r="V1712" i="2" s="1"/>
  <c r="P1713" i="2"/>
  <c r="V1713" i="2" s="1"/>
  <c r="Q1714" i="2"/>
  <c r="Q1715" i="2"/>
  <c r="P1716" i="2"/>
  <c r="V1716" i="2" s="1"/>
  <c r="P1717" i="2"/>
  <c r="V1717" i="2" s="1"/>
  <c r="Q1718" i="2"/>
  <c r="Q1719" i="2"/>
  <c r="P1720" i="2"/>
  <c r="V1720" i="2" s="1"/>
  <c r="P1721" i="2"/>
  <c r="V1721" i="2" s="1"/>
  <c r="Q1722" i="2"/>
  <c r="Q1723" i="2"/>
  <c r="P1724" i="2"/>
  <c r="V1724" i="2" s="1"/>
  <c r="P1725" i="2"/>
  <c r="V1725" i="2" s="1"/>
  <c r="Q1726" i="2"/>
  <c r="Q1727" i="2"/>
  <c r="P1728" i="2"/>
  <c r="V1728" i="2" s="1"/>
  <c r="P1729" i="2"/>
  <c r="V1729" i="2" s="1"/>
  <c r="Q1730" i="2"/>
  <c r="Q1731" i="2"/>
  <c r="P1732" i="2"/>
  <c r="V1732" i="2" s="1"/>
  <c r="P1733" i="2"/>
  <c r="V1733" i="2" s="1"/>
  <c r="Q1734" i="2"/>
  <c r="Q1735" i="2"/>
  <c r="P1736" i="2"/>
  <c r="V1736" i="2" s="1"/>
  <c r="P1737" i="2"/>
  <c r="V1737" i="2" s="1"/>
  <c r="Q1738" i="2"/>
  <c r="Q1739" i="2"/>
  <c r="P1740" i="2"/>
  <c r="V1740" i="2" s="1"/>
  <c r="P1741" i="2"/>
  <c r="V1741" i="2" s="1"/>
  <c r="Q1742" i="2"/>
  <c r="Q1743" i="2"/>
  <c r="P1744" i="2"/>
  <c r="V1744" i="2" s="1"/>
  <c r="P1745" i="2"/>
  <c r="V1745" i="2" s="1"/>
  <c r="Q1746" i="2"/>
  <c r="Q1747" i="2"/>
  <c r="P1748" i="2"/>
  <c r="V1748" i="2" s="1"/>
  <c r="P1749" i="2"/>
  <c r="V1749" i="2" s="1"/>
  <c r="Q1750" i="2"/>
  <c r="Q1751" i="2"/>
  <c r="P1752" i="2"/>
  <c r="V1752" i="2" s="1"/>
  <c r="P1753" i="2"/>
  <c r="V1753" i="2" s="1"/>
  <c r="Q1754" i="2"/>
  <c r="Q1755" i="2"/>
  <c r="P1756" i="2"/>
  <c r="V1756" i="2" s="1"/>
  <c r="P1757" i="2"/>
  <c r="V1757" i="2" s="1"/>
  <c r="Q1758" i="2"/>
  <c r="Q1759" i="2"/>
  <c r="P1760" i="2"/>
  <c r="V1760" i="2" s="1"/>
  <c r="P1761" i="2"/>
  <c r="V1761" i="2" s="1"/>
  <c r="Q1762" i="2"/>
  <c r="Q1763" i="2"/>
  <c r="P1764" i="2"/>
  <c r="V1764" i="2" s="1"/>
  <c r="P1765" i="2"/>
  <c r="V1765" i="2" s="1"/>
  <c r="Q1766" i="2"/>
  <c r="Q1767" i="2"/>
  <c r="P1768" i="2"/>
  <c r="V1768" i="2" s="1"/>
  <c r="P1769" i="2"/>
  <c r="V1769" i="2" s="1"/>
  <c r="Q1770" i="2"/>
  <c r="Q1771" i="2"/>
  <c r="P1772" i="2"/>
  <c r="V1772" i="2" s="1"/>
  <c r="P1773" i="2"/>
  <c r="V1773" i="2" s="1"/>
  <c r="Q1774" i="2"/>
  <c r="Q1775" i="2"/>
  <c r="P1776" i="2"/>
  <c r="V1776" i="2" s="1"/>
  <c r="P1777" i="2"/>
  <c r="V1777" i="2" s="1"/>
  <c r="Q1778" i="2"/>
  <c r="Q1779" i="2"/>
  <c r="P1780" i="2"/>
  <c r="V1780" i="2" s="1"/>
  <c r="P1781" i="2"/>
  <c r="V1781" i="2" s="1"/>
  <c r="Q1782" i="2"/>
  <c r="Q1783" i="2"/>
  <c r="P1784" i="2"/>
  <c r="V1784" i="2" s="1"/>
  <c r="P1785" i="2"/>
  <c r="V1785" i="2" s="1"/>
  <c r="Q1786" i="2"/>
  <c r="Q1787" i="2"/>
  <c r="P1788" i="2"/>
  <c r="V1788" i="2" s="1"/>
  <c r="P1789" i="2"/>
  <c r="V1789" i="2" s="1"/>
  <c r="Q1790" i="2"/>
  <c r="Q1791" i="2"/>
  <c r="P1792" i="2"/>
  <c r="V1792" i="2" s="1"/>
  <c r="P1793" i="2"/>
  <c r="V1793" i="2" s="1"/>
  <c r="Q1794" i="2"/>
  <c r="Q1795" i="2"/>
  <c r="P1796" i="2"/>
  <c r="V1796" i="2" s="1"/>
  <c r="P1797" i="2"/>
  <c r="V1797" i="2" s="1"/>
  <c r="Q1798" i="2"/>
  <c r="Q1799" i="2"/>
  <c r="P1800" i="2"/>
  <c r="V1800" i="2" s="1"/>
  <c r="P1801" i="2"/>
  <c r="V1801" i="2" s="1"/>
  <c r="Q1802" i="2"/>
  <c r="Q1803" i="2"/>
  <c r="P1804" i="2"/>
  <c r="V1804" i="2" s="1"/>
  <c r="P1805" i="2"/>
  <c r="V1805" i="2" s="1"/>
  <c r="Q1806" i="2"/>
  <c r="Q1807" i="2"/>
  <c r="P1808" i="2"/>
  <c r="V1808" i="2" s="1"/>
  <c r="P1809" i="2"/>
  <c r="V1809" i="2" s="1"/>
  <c r="Q1810" i="2"/>
  <c r="Q1811" i="2"/>
  <c r="P1812" i="2"/>
  <c r="V1812" i="2" s="1"/>
  <c r="P1813" i="2"/>
  <c r="V1813" i="2" s="1"/>
  <c r="Q1814" i="2"/>
  <c r="Q1815" i="2"/>
  <c r="P1816" i="2"/>
  <c r="V1816" i="2" s="1"/>
  <c r="P1817" i="2"/>
  <c r="V1817" i="2" s="1"/>
  <c r="Q1818" i="2"/>
  <c r="Q1819" i="2"/>
  <c r="P1820" i="2"/>
  <c r="V1820" i="2" s="1"/>
  <c r="P1821" i="2"/>
  <c r="V1821" i="2" s="1"/>
  <c r="Q1822" i="2"/>
  <c r="Q1823" i="2"/>
  <c r="P1824" i="2"/>
  <c r="V1824" i="2" s="1"/>
  <c r="P1825" i="2"/>
  <c r="V1825" i="2" s="1"/>
  <c r="Q1826" i="2"/>
  <c r="Q1827" i="2"/>
  <c r="P1828" i="2"/>
  <c r="V1828" i="2" s="1"/>
  <c r="P1829" i="2"/>
  <c r="V1829" i="2" s="1"/>
  <c r="Q1830" i="2"/>
  <c r="Q1831" i="2"/>
  <c r="P1832" i="2"/>
  <c r="V1832" i="2" s="1"/>
  <c r="P1833" i="2"/>
  <c r="V1833" i="2" s="1"/>
  <c r="Q1834" i="2"/>
  <c r="Q1835" i="2"/>
  <c r="P1836" i="2"/>
  <c r="V1836" i="2" s="1"/>
  <c r="P1837" i="2"/>
  <c r="V1837" i="2" s="1"/>
  <c r="Q1838" i="2"/>
  <c r="Q1839" i="2"/>
  <c r="P1840" i="2"/>
  <c r="V1840" i="2" s="1"/>
  <c r="P1841" i="2"/>
  <c r="V1841" i="2" s="1"/>
  <c r="Q1842" i="2"/>
  <c r="Q1843" i="2"/>
  <c r="P1844" i="2"/>
  <c r="V1844" i="2" s="1"/>
  <c r="P1845" i="2"/>
  <c r="V1845" i="2" s="1"/>
  <c r="Q1846" i="2"/>
  <c r="Q1847" i="2"/>
  <c r="P1848" i="2"/>
  <c r="V1848" i="2" s="1"/>
  <c r="P1849" i="2"/>
  <c r="V1849" i="2" s="1"/>
  <c r="Q1850" i="2"/>
  <c r="Q1851" i="2"/>
  <c r="P1852" i="2"/>
  <c r="V1852" i="2" s="1"/>
  <c r="P1853" i="2"/>
  <c r="V1853" i="2" s="1"/>
  <c r="Q1854" i="2"/>
  <c r="Q1855" i="2"/>
  <c r="P1856" i="2"/>
  <c r="V1856" i="2" s="1"/>
  <c r="P1857" i="2"/>
  <c r="V1857" i="2" s="1"/>
  <c r="Q1858" i="2"/>
  <c r="Q1859" i="2"/>
  <c r="P1860" i="2"/>
  <c r="V1860" i="2" s="1"/>
  <c r="P1861" i="2"/>
  <c r="V1861" i="2" s="1"/>
  <c r="Q1862" i="2"/>
  <c r="Q1863" i="2"/>
  <c r="P1864" i="2"/>
  <c r="V1864" i="2" s="1"/>
  <c r="P1865" i="2"/>
  <c r="V1865" i="2" s="1"/>
  <c r="Q1866" i="2"/>
  <c r="Q1867" i="2"/>
  <c r="P1868" i="2"/>
  <c r="V1868" i="2" s="1"/>
  <c r="P1869" i="2"/>
  <c r="V1869" i="2" s="1"/>
  <c r="Q1870" i="2"/>
  <c r="Q1871" i="2"/>
  <c r="P1872" i="2"/>
  <c r="V1872" i="2" s="1"/>
  <c r="P1873" i="2"/>
  <c r="V1873" i="2" s="1"/>
  <c r="Q1874" i="2"/>
  <c r="Q1875" i="2"/>
  <c r="P1876" i="2"/>
  <c r="V1876" i="2" s="1"/>
  <c r="P1877" i="2"/>
  <c r="V1877" i="2" s="1"/>
  <c r="Q1878" i="2"/>
  <c r="Q1879" i="2"/>
  <c r="P1880" i="2"/>
  <c r="V1880" i="2" s="1"/>
  <c r="P1881" i="2"/>
  <c r="V1881" i="2" s="1"/>
  <c r="Q1882" i="2"/>
  <c r="Q1883" i="2"/>
  <c r="P1884" i="2"/>
  <c r="V1884" i="2" s="1"/>
  <c r="P1885" i="2"/>
  <c r="V1885" i="2" s="1"/>
  <c r="Q1886" i="2"/>
  <c r="Q1887" i="2"/>
  <c r="P1888" i="2"/>
  <c r="V1888" i="2" s="1"/>
  <c r="P1889" i="2"/>
  <c r="V1889" i="2" s="1"/>
  <c r="Q1890" i="2"/>
  <c r="Q1891" i="2"/>
  <c r="P1892" i="2"/>
  <c r="V1892" i="2" s="1"/>
  <c r="P1893" i="2"/>
  <c r="V1893" i="2" s="1"/>
  <c r="Q1894" i="2"/>
  <c r="Q1895" i="2"/>
  <c r="P1896" i="2"/>
  <c r="V1896" i="2" s="1"/>
  <c r="P1897" i="2"/>
  <c r="V1897" i="2" s="1"/>
  <c r="Q1898" i="2"/>
  <c r="Q1899" i="2"/>
  <c r="P1900" i="2"/>
  <c r="V1900" i="2" s="1"/>
  <c r="P1901" i="2"/>
  <c r="V1901" i="2" s="1"/>
  <c r="Q1902" i="2"/>
  <c r="Q1903" i="2"/>
  <c r="P1904" i="2"/>
  <c r="V1904" i="2" s="1"/>
  <c r="P1905" i="2"/>
  <c r="V1905" i="2" s="1"/>
  <c r="Q1906" i="2"/>
  <c r="Q1907" i="2"/>
  <c r="P1908" i="2"/>
  <c r="V1908" i="2" s="1"/>
  <c r="P1909" i="2"/>
  <c r="V1909" i="2" s="1"/>
  <c r="Q1910" i="2"/>
  <c r="Q1911" i="2"/>
  <c r="P1912" i="2"/>
  <c r="V1912" i="2" s="1"/>
  <c r="P1913" i="2"/>
  <c r="V1913" i="2" s="1"/>
  <c r="Q1914" i="2"/>
  <c r="Q1915" i="2"/>
  <c r="P1916" i="2"/>
  <c r="V1916" i="2" s="1"/>
  <c r="P1917" i="2"/>
  <c r="V1917" i="2" s="1"/>
  <c r="Q1918" i="2"/>
  <c r="Q1919" i="2"/>
  <c r="P1920" i="2"/>
  <c r="V1920" i="2" s="1"/>
  <c r="P1921" i="2"/>
  <c r="V1921" i="2" s="1"/>
  <c r="Q1922" i="2"/>
  <c r="Q1923" i="2"/>
  <c r="P1924" i="2"/>
  <c r="V1924" i="2" s="1"/>
  <c r="P1925" i="2"/>
  <c r="V1925" i="2" s="1"/>
  <c r="Q1926" i="2"/>
  <c r="Q1927" i="2"/>
  <c r="P1928" i="2"/>
  <c r="V1928" i="2" s="1"/>
  <c r="P1929" i="2"/>
  <c r="V1929" i="2" s="1"/>
  <c r="Q1930" i="2"/>
  <c r="Q1931" i="2"/>
  <c r="P1932" i="2"/>
  <c r="V1932" i="2" s="1"/>
  <c r="P1933" i="2"/>
  <c r="V1933" i="2" s="1"/>
  <c r="Q1934" i="2"/>
  <c r="Q1935" i="2"/>
  <c r="P1936" i="2"/>
  <c r="V1936" i="2" s="1"/>
  <c r="P1937" i="2"/>
  <c r="V1937" i="2" s="1"/>
  <c r="Q1938" i="2"/>
  <c r="Q1939" i="2"/>
  <c r="P1940" i="2"/>
  <c r="V1940" i="2" s="1"/>
  <c r="P1941" i="2"/>
  <c r="V1941" i="2" s="1"/>
  <c r="Q1942" i="2"/>
  <c r="Q1943" i="2"/>
  <c r="P1944" i="2"/>
  <c r="V1944" i="2" s="1"/>
  <c r="P1945" i="2"/>
  <c r="V1945" i="2" s="1"/>
  <c r="Q1946" i="2"/>
  <c r="Q1947" i="2"/>
  <c r="P1948" i="2"/>
  <c r="V1948" i="2" s="1"/>
  <c r="P1949" i="2"/>
  <c r="V1949" i="2" s="1"/>
  <c r="Q1950" i="2"/>
  <c r="Q1951" i="2"/>
  <c r="P1952" i="2"/>
  <c r="V1952" i="2" s="1"/>
  <c r="P1953" i="2"/>
  <c r="V1953" i="2" s="1"/>
  <c r="Q1954" i="2"/>
  <c r="Q1955" i="2"/>
  <c r="P1956" i="2"/>
  <c r="V1956" i="2" s="1"/>
  <c r="P1957" i="2"/>
  <c r="V1957" i="2" s="1"/>
  <c r="Q1958" i="2"/>
  <c r="Q1959" i="2"/>
  <c r="P1960" i="2"/>
  <c r="V1960" i="2" s="1"/>
  <c r="P1961" i="2"/>
  <c r="V1961" i="2" s="1"/>
  <c r="Q1962" i="2"/>
  <c r="Q1963" i="2"/>
  <c r="P1964" i="2"/>
  <c r="V1964" i="2" s="1"/>
  <c r="P1965" i="2"/>
  <c r="V1965" i="2" s="1"/>
  <c r="Q1966" i="2"/>
  <c r="Q1967" i="2"/>
  <c r="P1968" i="2"/>
  <c r="V1968" i="2" s="1"/>
  <c r="P1969" i="2"/>
  <c r="V1969" i="2" s="1"/>
  <c r="Q1970" i="2"/>
  <c r="Q1971" i="2"/>
  <c r="P1972" i="2"/>
  <c r="V1972" i="2" s="1"/>
  <c r="P1973" i="2"/>
  <c r="V1973" i="2" s="1"/>
  <c r="Q1974" i="2"/>
  <c r="Q1975" i="2"/>
  <c r="P1976" i="2"/>
  <c r="V1976" i="2" s="1"/>
  <c r="P1977" i="2"/>
  <c r="V1977" i="2" s="1"/>
  <c r="Q1978" i="2"/>
  <c r="Q1979" i="2"/>
  <c r="P1980" i="2"/>
  <c r="V1980" i="2" s="1"/>
  <c r="P1981" i="2"/>
  <c r="V1981" i="2" s="1"/>
  <c r="Q1982" i="2"/>
  <c r="Q1983" i="2"/>
  <c r="P1984" i="2"/>
  <c r="V1984" i="2" s="1"/>
  <c r="P1985" i="2"/>
  <c r="V1985" i="2" s="1"/>
  <c r="Q1986" i="2"/>
  <c r="Q1987" i="2"/>
  <c r="P1988" i="2"/>
  <c r="V1988" i="2" s="1"/>
  <c r="P1989" i="2"/>
  <c r="V1989" i="2" s="1"/>
  <c r="Q1990" i="2"/>
  <c r="Q1991" i="2"/>
  <c r="P1992" i="2"/>
  <c r="V1992" i="2" s="1"/>
  <c r="P1993" i="2"/>
  <c r="V1993" i="2" s="1"/>
  <c r="Q1994" i="2"/>
  <c r="Q1995" i="2"/>
  <c r="P1996" i="2"/>
  <c r="V1996" i="2" s="1"/>
  <c r="P1997" i="2"/>
  <c r="V1997" i="2" s="1"/>
  <c r="Q1998" i="2"/>
  <c r="Q1999" i="2"/>
  <c r="P2000" i="2"/>
  <c r="V2000" i="2" s="1"/>
  <c r="P2001" i="2"/>
  <c r="V2001" i="2" s="1"/>
  <c r="Q2002" i="2"/>
  <c r="Q2003" i="2"/>
  <c r="P2004" i="2"/>
  <c r="V2004" i="2" s="1"/>
  <c r="P2005" i="2"/>
  <c r="V2005" i="2" s="1"/>
  <c r="Q2006" i="2"/>
  <c r="Q2007" i="2"/>
  <c r="P2008" i="2"/>
  <c r="V2008" i="2" s="1"/>
  <c r="P2009" i="2"/>
  <c r="V2009" i="2" s="1"/>
  <c r="Q2010" i="2"/>
  <c r="Q2011" i="2"/>
  <c r="P2012" i="2"/>
  <c r="V2012" i="2" s="1"/>
  <c r="P2013" i="2"/>
  <c r="V2013" i="2" s="1"/>
  <c r="Q2014" i="2"/>
  <c r="Q2015" i="2"/>
  <c r="P2016" i="2"/>
  <c r="V2016" i="2" s="1"/>
  <c r="P2017" i="2"/>
  <c r="V2017" i="2" s="1"/>
  <c r="Q2018" i="2"/>
  <c r="Q2019" i="2"/>
  <c r="P2020" i="2"/>
  <c r="V2020" i="2" s="1"/>
  <c r="P2021" i="2"/>
  <c r="V2021" i="2" s="1"/>
  <c r="Q2022" i="2"/>
  <c r="Q2023" i="2"/>
  <c r="P2024" i="2"/>
  <c r="V2024" i="2" s="1"/>
  <c r="P2025" i="2"/>
  <c r="V2025" i="2" s="1"/>
  <c r="Q2026" i="2"/>
  <c r="Q2027" i="2"/>
  <c r="P2028" i="2"/>
  <c r="V2028" i="2" s="1"/>
  <c r="P2029" i="2"/>
  <c r="V2029" i="2" s="1"/>
  <c r="Q2030" i="2"/>
  <c r="Q2031" i="2"/>
  <c r="P2032" i="2"/>
  <c r="V2032" i="2" s="1"/>
  <c r="P2033" i="2"/>
  <c r="V2033" i="2" s="1"/>
  <c r="Q2034" i="2"/>
  <c r="Q2035" i="2"/>
  <c r="P2036" i="2"/>
  <c r="V2036" i="2" s="1"/>
  <c r="P2037" i="2"/>
  <c r="V2037" i="2" s="1"/>
  <c r="Q2038" i="2"/>
  <c r="Q2039" i="2"/>
  <c r="P2040" i="2"/>
  <c r="V2040" i="2" s="1"/>
  <c r="P2041" i="2"/>
  <c r="V2041" i="2" s="1"/>
  <c r="Q2042" i="2"/>
  <c r="Q2043" i="2"/>
  <c r="P2044" i="2"/>
  <c r="V2044" i="2" s="1"/>
  <c r="P2045" i="2"/>
  <c r="V2045" i="2" s="1"/>
  <c r="Q2046" i="2"/>
  <c r="Q2047" i="2"/>
  <c r="P2048" i="2"/>
  <c r="V2048" i="2" s="1"/>
  <c r="P2049" i="2"/>
  <c r="V2049" i="2" s="1"/>
  <c r="Q2050" i="2"/>
  <c r="Q2051" i="2"/>
  <c r="P2052" i="2"/>
  <c r="V2052" i="2" s="1"/>
  <c r="P2053" i="2"/>
  <c r="V2053" i="2" s="1"/>
  <c r="Q2054" i="2"/>
  <c r="Q2055" i="2"/>
  <c r="P2056" i="2"/>
  <c r="V2056" i="2" s="1"/>
  <c r="P2057" i="2"/>
  <c r="V2057" i="2" s="1"/>
  <c r="Q2058" i="2"/>
  <c r="Q2059" i="2"/>
  <c r="P2060" i="2"/>
  <c r="V2060" i="2" s="1"/>
  <c r="P2061" i="2"/>
  <c r="V2061" i="2" s="1"/>
  <c r="Q2062" i="2"/>
  <c r="Q2063" i="2"/>
  <c r="P2064" i="2"/>
  <c r="V2064" i="2" s="1"/>
  <c r="P2065" i="2"/>
  <c r="V2065" i="2" s="1"/>
  <c r="Q2066" i="2"/>
  <c r="Q2067" i="2"/>
  <c r="P2068" i="2"/>
  <c r="V2068" i="2" s="1"/>
  <c r="P2069" i="2"/>
  <c r="V2069" i="2" s="1"/>
  <c r="Q2070" i="2"/>
  <c r="Q2071" i="2"/>
  <c r="P2072" i="2"/>
  <c r="V2072" i="2" s="1"/>
  <c r="P2073" i="2"/>
  <c r="V2073" i="2" s="1"/>
  <c r="Q2074" i="2"/>
  <c r="Q2075" i="2"/>
  <c r="P2076" i="2"/>
  <c r="V2076" i="2" s="1"/>
  <c r="P2077" i="2"/>
  <c r="V2077" i="2" s="1"/>
  <c r="Q2078" i="2"/>
  <c r="Q2079" i="2"/>
  <c r="P2080" i="2"/>
  <c r="V2080" i="2" s="1"/>
  <c r="P2081" i="2"/>
  <c r="V2081" i="2" s="1"/>
  <c r="Q2082" i="2"/>
  <c r="Q2083" i="2"/>
  <c r="P2084" i="2"/>
  <c r="V2084" i="2" s="1"/>
  <c r="P2085" i="2"/>
  <c r="V2085" i="2" s="1"/>
  <c r="Q2086" i="2"/>
  <c r="Q2087" i="2"/>
  <c r="P2088" i="2"/>
  <c r="V2088" i="2" s="1"/>
  <c r="P2089" i="2"/>
  <c r="V2089" i="2" s="1"/>
  <c r="Q2090" i="2"/>
  <c r="Q2091" i="2"/>
  <c r="P2092" i="2"/>
  <c r="V2092" i="2" s="1"/>
  <c r="P2093" i="2"/>
  <c r="V2093" i="2" s="1"/>
  <c r="Q2094" i="2"/>
  <c r="Q2095" i="2"/>
  <c r="P2096" i="2"/>
  <c r="V2096" i="2" s="1"/>
  <c r="P2097" i="2"/>
  <c r="V2097" i="2" s="1"/>
  <c r="Q2098" i="2"/>
  <c r="Q2099" i="2"/>
  <c r="P2100" i="2"/>
  <c r="V2100" i="2" s="1"/>
  <c r="P2101" i="2"/>
  <c r="V2101" i="2" s="1"/>
  <c r="Q2102" i="2"/>
  <c r="Q2103" i="2"/>
  <c r="P2104" i="2"/>
  <c r="V2104" i="2" s="1"/>
  <c r="P2105" i="2"/>
  <c r="V2105" i="2" s="1"/>
  <c r="Q2106" i="2"/>
  <c r="Q2107" i="2"/>
  <c r="P2108" i="2"/>
  <c r="V2108" i="2" s="1"/>
  <c r="P2109" i="2"/>
  <c r="V2109" i="2" s="1"/>
  <c r="Q2110" i="2"/>
  <c r="Q2111" i="2"/>
  <c r="P2112" i="2"/>
  <c r="V2112" i="2" s="1"/>
  <c r="P2113" i="2"/>
  <c r="V2113" i="2" s="1"/>
  <c r="Q2114" i="2"/>
  <c r="Q2115" i="2"/>
  <c r="P2116" i="2"/>
  <c r="V2116" i="2" s="1"/>
  <c r="P2117" i="2"/>
  <c r="V2117" i="2" s="1"/>
  <c r="Q2118" i="2"/>
  <c r="Q2119" i="2"/>
  <c r="P2120" i="2"/>
  <c r="V2120" i="2" s="1"/>
  <c r="P2121" i="2"/>
  <c r="V2121" i="2" s="1"/>
  <c r="Q2122" i="2"/>
  <c r="Q2123" i="2"/>
  <c r="P2124" i="2"/>
  <c r="V2124" i="2" s="1"/>
  <c r="P2125" i="2"/>
  <c r="V2125" i="2" s="1"/>
  <c r="Q2126" i="2"/>
  <c r="Q2127" i="2"/>
  <c r="P2128" i="2"/>
  <c r="V2128" i="2" s="1"/>
  <c r="P2129" i="2"/>
  <c r="V2129" i="2" s="1"/>
  <c r="Q2130" i="2"/>
  <c r="Q2131" i="2"/>
  <c r="P2132" i="2"/>
  <c r="V2132" i="2" s="1"/>
  <c r="P2133" i="2"/>
  <c r="V2133" i="2" s="1"/>
  <c r="Q2134" i="2"/>
  <c r="Q2135" i="2"/>
  <c r="P2136" i="2"/>
  <c r="V2136" i="2" s="1"/>
  <c r="P2137" i="2"/>
  <c r="V2137" i="2" s="1"/>
  <c r="Q2138" i="2"/>
  <c r="Q2139" i="2"/>
  <c r="P2140" i="2"/>
  <c r="V2140" i="2" s="1"/>
  <c r="P2141" i="2"/>
  <c r="V2141" i="2" s="1"/>
  <c r="Q2142" i="2"/>
  <c r="Q2143" i="2"/>
  <c r="P2144" i="2"/>
  <c r="V2144" i="2" s="1"/>
  <c r="P2145" i="2"/>
  <c r="V2145" i="2" s="1"/>
  <c r="Q2146" i="2"/>
  <c r="Q2147" i="2"/>
  <c r="P2148" i="2"/>
  <c r="V2148" i="2" s="1"/>
  <c r="P2149" i="2"/>
  <c r="V2149" i="2" s="1"/>
  <c r="Q2150" i="2"/>
  <c r="Q2151" i="2"/>
  <c r="P2152" i="2"/>
  <c r="V2152" i="2" s="1"/>
  <c r="P2153" i="2"/>
  <c r="V2153" i="2" s="1"/>
  <c r="Q2154" i="2"/>
  <c r="Q2155" i="2"/>
  <c r="P2156" i="2"/>
  <c r="V2156" i="2" s="1"/>
  <c r="P2157" i="2"/>
  <c r="V2157" i="2" s="1"/>
  <c r="Q2158" i="2"/>
  <c r="Q2159" i="2"/>
  <c r="P2160" i="2"/>
  <c r="V2160" i="2" s="1"/>
  <c r="P2161" i="2"/>
  <c r="V2161" i="2" s="1"/>
  <c r="Q2162" i="2"/>
  <c r="Q2163" i="2"/>
  <c r="P2164" i="2"/>
  <c r="V2164" i="2" s="1"/>
  <c r="P2165" i="2"/>
  <c r="V2165" i="2" s="1"/>
  <c r="Q2166" i="2"/>
  <c r="Q2167" i="2"/>
  <c r="P2168" i="2"/>
  <c r="V2168" i="2" s="1"/>
  <c r="P2169" i="2"/>
  <c r="V2169" i="2" s="1"/>
  <c r="Q2170" i="2"/>
  <c r="Q2171" i="2"/>
  <c r="P2172" i="2"/>
  <c r="V2172" i="2" s="1"/>
  <c r="P2173" i="2"/>
  <c r="V2173" i="2" s="1"/>
  <c r="Q2174" i="2"/>
  <c r="Q2175" i="2"/>
  <c r="P2176" i="2"/>
  <c r="V2176" i="2" s="1"/>
  <c r="P2177" i="2"/>
  <c r="V2177" i="2" s="1"/>
  <c r="Q2178" i="2"/>
  <c r="Q2179" i="2"/>
  <c r="P2180" i="2"/>
  <c r="V2180" i="2" s="1"/>
  <c r="P2181" i="2"/>
  <c r="V2181" i="2" s="1"/>
  <c r="Q2182" i="2"/>
  <c r="Q2183" i="2"/>
  <c r="P2184" i="2"/>
  <c r="V2184" i="2" s="1"/>
  <c r="P2185" i="2"/>
  <c r="V2185" i="2" s="1"/>
  <c r="Q2186" i="2"/>
  <c r="Q2187" i="2"/>
  <c r="P2188" i="2"/>
  <c r="V2188" i="2" s="1"/>
  <c r="P2189" i="2"/>
  <c r="V2189" i="2" s="1"/>
  <c r="Q2190" i="2"/>
  <c r="Q2191" i="2"/>
  <c r="P2192" i="2"/>
  <c r="V2192" i="2" s="1"/>
  <c r="P2193" i="2"/>
  <c r="V2193" i="2" s="1"/>
  <c r="Q2194" i="2"/>
  <c r="Q2195" i="2"/>
  <c r="P2196" i="2"/>
  <c r="V2196" i="2" s="1"/>
  <c r="P2197" i="2"/>
  <c r="V2197" i="2" s="1"/>
  <c r="Q2198" i="2"/>
  <c r="Q2199" i="2"/>
  <c r="P2200" i="2"/>
  <c r="V2200" i="2" s="1"/>
  <c r="P2201" i="2"/>
  <c r="V2201" i="2" s="1"/>
  <c r="Q2202" i="2"/>
  <c r="Q2203" i="2"/>
  <c r="P2204" i="2"/>
  <c r="V2204" i="2" s="1"/>
  <c r="P2205" i="2"/>
  <c r="V2205" i="2" s="1"/>
  <c r="Q2206" i="2"/>
  <c r="Q2207" i="2"/>
  <c r="P2208" i="2"/>
  <c r="V2208" i="2" s="1"/>
  <c r="P2209" i="2"/>
  <c r="V2209" i="2" s="1"/>
  <c r="Q2210" i="2"/>
  <c r="Q2211" i="2"/>
  <c r="P2212" i="2"/>
  <c r="V2212" i="2" s="1"/>
  <c r="P2213" i="2"/>
  <c r="V2213" i="2" s="1"/>
  <c r="Q2214" i="2"/>
  <c r="Q2215" i="2"/>
  <c r="P2216" i="2"/>
  <c r="V2216" i="2" s="1"/>
  <c r="P2217" i="2"/>
  <c r="V2217" i="2" s="1"/>
  <c r="Q2218" i="2"/>
  <c r="Q2219" i="2"/>
  <c r="P2220" i="2"/>
  <c r="V2220" i="2" s="1"/>
  <c r="P2221" i="2"/>
  <c r="V2221" i="2" s="1"/>
  <c r="Q2222" i="2"/>
  <c r="Q2223" i="2"/>
  <c r="P2224" i="2"/>
  <c r="V2224" i="2" s="1"/>
  <c r="P2225" i="2"/>
  <c r="V2225" i="2" s="1"/>
  <c r="Q2226" i="2"/>
  <c r="Q2227" i="2"/>
  <c r="P2228" i="2"/>
  <c r="V2228" i="2" s="1"/>
  <c r="P2229" i="2"/>
  <c r="V2229" i="2" s="1"/>
  <c r="Q2230" i="2"/>
  <c r="Q2231" i="2"/>
  <c r="P2232" i="2"/>
  <c r="V2232" i="2" s="1"/>
  <c r="P2233" i="2"/>
  <c r="V2233" i="2" s="1"/>
  <c r="Q2234" i="2"/>
  <c r="Q2235" i="2"/>
  <c r="P2236" i="2"/>
  <c r="V2236" i="2" s="1"/>
  <c r="P2237" i="2"/>
  <c r="V2237" i="2" s="1"/>
  <c r="Q2238" i="2"/>
  <c r="Q2239" i="2"/>
  <c r="P2240" i="2"/>
  <c r="V2240" i="2" s="1"/>
  <c r="P2241" i="2"/>
  <c r="V2241" i="2" s="1"/>
  <c r="Q2242" i="2"/>
  <c r="Q2243" i="2"/>
  <c r="P2244" i="2"/>
  <c r="V2244" i="2" s="1"/>
  <c r="P2245" i="2"/>
  <c r="V2245" i="2" s="1"/>
  <c r="Q2246" i="2"/>
  <c r="Q2247" i="2"/>
  <c r="P2248" i="2"/>
  <c r="V2248" i="2" s="1"/>
  <c r="P2249" i="2"/>
  <c r="V2249" i="2" s="1"/>
  <c r="Q2250" i="2"/>
  <c r="Q2251" i="2"/>
  <c r="P2252" i="2"/>
  <c r="V2252" i="2" s="1"/>
  <c r="P2253" i="2"/>
  <c r="V2253" i="2" s="1"/>
  <c r="Q2254" i="2"/>
  <c r="Q2255" i="2"/>
  <c r="P2256" i="2"/>
  <c r="V2256" i="2" s="1"/>
  <c r="P2257" i="2"/>
  <c r="V2257" i="2" s="1"/>
  <c r="Q2258" i="2"/>
  <c r="Q2259" i="2"/>
  <c r="P2260" i="2"/>
  <c r="V2260" i="2" s="1"/>
  <c r="P2261" i="2"/>
  <c r="V2261" i="2" s="1"/>
  <c r="Q2262" i="2"/>
  <c r="Q2263" i="2"/>
  <c r="P2264" i="2"/>
  <c r="V2264" i="2" s="1"/>
  <c r="P2265" i="2"/>
  <c r="V2265" i="2" s="1"/>
  <c r="Q2266" i="2"/>
  <c r="Q2267" i="2"/>
  <c r="P2268" i="2"/>
  <c r="V2268" i="2" s="1"/>
  <c r="P2269" i="2"/>
  <c r="V2269" i="2" s="1"/>
  <c r="Q2270" i="2"/>
  <c r="Q2271" i="2"/>
  <c r="P2272" i="2"/>
  <c r="V2272" i="2" s="1"/>
  <c r="P2273" i="2"/>
  <c r="V2273" i="2" s="1"/>
  <c r="Q2274" i="2"/>
  <c r="Q2275" i="2"/>
  <c r="P2276" i="2"/>
  <c r="V2276" i="2" s="1"/>
  <c r="P2277" i="2"/>
  <c r="V2277" i="2" s="1"/>
  <c r="Q2278" i="2"/>
  <c r="Q2279" i="2"/>
  <c r="P2280" i="2"/>
  <c r="V2280" i="2" s="1"/>
  <c r="P2281" i="2"/>
  <c r="V2281" i="2" s="1"/>
  <c r="Q2282" i="2"/>
  <c r="Q2283" i="2"/>
  <c r="P2284" i="2"/>
  <c r="V2284" i="2" s="1"/>
  <c r="P2285" i="2"/>
  <c r="V2285" i="2" s="1"/>
  <c r="Q2286" i="2"/>
  <c r="Q2287" i="2"/>
  <c r="P2288" i="2"/>
  <c r="V2288" i="2" s="1"/>
  <c r="P2289" i="2"/>
  <c r="V2289" i="2" s="1"/>
  <c r="Q2290" i="2"/>
  <c r="Q2291" i="2"/>
  <c r="P2292" i="2"/>
  <c r="V2292" i="2" s="1"/>
  <c r="P2293" i="2"/>
  <c r="V2293" i="2" s="1"/>
  <c r="Q2294" i="2"/>
  <c r="Q2295" i="2"/>
  <c r="P2296" i="2"/>
  <c r="V2296" i="2" s="1"/>
  <c r="P2297" i="2"/>
  <c r="V2297" i="2" s="1"/>
  <c r="Q2298" i="2"/>
  <c r="Q2299" i="2"/>
  <c r="P2300" i="2"/>
  <c r="V2300" i="2" s="1"/>
  <c r="P2301" i="2"/>
  <c r="V2301" i="2" s="1"/>
  <c r="Q2302" i="2"/>
  <c r="Q2303" i="2"/>
  <c r="P2304" i="2"/>
  <c r="V2304" i="2" s="1"/>
  <c r="P2305" i="2"/>
  <c r="V2305" i="2" s="1"/>
  <c r="Q2306" i="2"/>
  <c r="Q2307" i="2"/>
  <c r="P2308" i="2"/>
  <c r="V2308" i="2" s="1"/>
  <c r="P2309" i="2"/>
  <c r="V2309" i="2" s="1"/>
  <c r="Q2310" i="2"/>
  <c r="Q2311" i="2"/>
  <c r="P2312" i="2"/>
  <c r="V2312" i="2" s="1"/>
  <c r="P2313" i="2"/>
  <c r="V2313" i="2" s="1"/>
  <c r="Q2314" i="2"/>
  <c r="Q2315" i="2"/>
  <c r="P2316" i="2"/>
  <c r="V2316" i="2" s="1"/>
  <c r="P2317" i="2"/>
  <c r="V2317" i="2" s="1"/>
  <c r="Q2318" i="2"/>
  <c r="Q2319" i="2"/>
  <c r="P2320" i="2"/>
  <c r="V2320" i="2" s="1"/>
  <c r="P2321" i="2"/>
  <c r="V2321" i="2" s="1"/>
  <c r="Q2322" i="2"/>
  <c r="Q2323" i="2"/>
  <c r="P2324" i="2"/>
  <c r="V2324" i="2" s="1"/>
  <c r="P2325" i="2"/>
  <c r="V2325" i="2" s="1"/>
  <c r="Q2326" i="2"/>
  <c r="Q2327" i="2"/>
  <c r="P2328" i="2"/>
  <c r="V2328" i="2" s="1"/>
  <c r="P2329" i="2"/>
  <c r="V2329" i="2" s="1"/>
  <c r="Q2330" i="2"/>
  <c r="Q2331" i="2"/>
  <c r="P2332" i="2"/>
  <c r="V2332" i="2" s="1"/>
  <c r="P2333" i="2"/>
  <c r="V2333" i="2" s="1"/>
  <c r="Q2334" i="2"/>
  <c r="Q2335" i="2"/>
  <c r="P2336" i="2"/>
  <c r="V2336" i="2" s="1"/>
  <c r="P2337" i="2"/>
  <c r="V2337" i="2" s="1"/>
  <c r="Q2338" i="2"/>
  <c r="Q2339" i="2"/>
  <c r="P2340" i="2"/>
  <c r="V2340" i="2" s="1"/>
  <c r="P2341" i="2"/>
  <c r="V2341" i="2" s="1"/>
  <c r="Q2342" i="2"/>
  <c r="Q2343" i="2"/>
  <c r="P2344" i="2"/>
  <c r="V2344" i="2" s="1"/>
  <c r="P2345" i="2"/>
  <c r="V2345" i="2" s="1"/>
  <c r="Q2346" i="2"/>
  <c r="Q2347" i="2"/>
  <c r="P2348" i="2"/>
  <c r="V2348" i="2" s="1"/>
  <c r="P2349" i="2"/>
  <c r="V2349" i="2" s="1"/>
  <c r="Q2350" i="2"/>
  <c r="Q2351" i="2"/>
  <c r="P2352" i="2"/>
  <c r="V2352" i="2" s="1"/>
  <c r="P2353" i="2"/>
  <c r="V2353" i="2" s="1"/>
  <c r="Q2354" i="2"/>
  <c r="Q2355" i="2"/>
  <c r="P2356" i="2"/>
  <c r="V2356" i="2" s="1"/>
  <c r="P2357" i="2"/>
  <c r="V2357" i="2" s="1"/>
  <c r="Q2358" i="2"/>
  <c r="Q2359" i="2"/>
  <c r="P2360" i="2"/>
  <c r="V2360" i="2" s="1"/>
  <c r="P2361" i="2"/>
  <c r="V2361" i="2" s="1"/>
  <c r="Q2362" i="2"/>
  <c r="Q2363" i="2"/>
  <c r="P2364" i="2"/>
  <c r="V2364" i="2" s="1"/>
  <c r="P2365" i="2"/>
  <c r="V2365" i="2" s="1"/>
  <c r="Q2366" i="2"/>
  <c r="Q2367" i="2"/>
  <c r="P2368" i="2"/>
  <c r="V2368" i="2" s="1"/>
  <c r="P2369" i="2"/>
  <c r="V2369" i="2" s="1"/>
  <c r="Q2370" i="2"/>
  <c r="Q2371" i="2"/>
  <c r="P2372" i="2"/>
  <c r="V2372" i="2" s="1"/>
  <c r="P2373" i="2"/>
  <c r="V2373" i="2" s="1"/>
  <c r="Q2374" i="2"/>
  <c r="Q2375" i="2"/>
  <c r="P2376" i="2"/>
  <c r="V2376" i="2" s="1"/>
  <c r="P2377" i="2"/>
  <c r="V2377" i="2" s="1"/>
  <c r="Q2378" i="2"/>
  <c r="Q2379" i="2"/>
  <c r="P2380" i="2"/>
  <c r="V2380" i="2" s="1"/>
  <c r="P2381" i="2"/>
  <c r="V2381" i="2" s="1"/>
  <c r="Q2382" i="2"/>
  <c r="Q2383" i="2"/>
  <c r="P2384" i="2"/>
  <c r="V2384" i="2" s="1"/>
  <c r="P2385" i="2"/>
  <c r="V2385" i="2" s="1"/>
  <c r="Q2386" i="2"/>
  <c r="Q2387" i="2"/>
  <c r="P2388" i="2"/>
  <c r="V2388" i="2" s="1"/>
  <c r="P2389" i="2"/>
  <c r="V2389" i="2" s="1"/>
  <c r="Q2390" i="2"/>
  <c r="Q2391" i="2"/>
  <c r="P2392" i="2"/>
  <c r="V2392" i="2" s="1"/>
  <c r="P2393" i="2"/>
  <c r="V2393" i="2" s="1"/>
  <c r="Q2394" i="2"/>
  <c r="Q2395" i="2"/>
  <c r="P2396" i="2"/>
  <c r="V2396" i="2" s="1"/>
  <c r="P2397" i="2"/>
  <c r="V2397" i="2" s="1"/>
  <c r="Q2398" i="2"/>
  <c r="Q2399" i="2"/>
  <c r="P2400" i="2"/>
  <c r="V2400" i="2" s="1"/>
  <c r="P2401" i="2"/>
  <c r="V2401" i="2" s="1"/>
  <c r="Q2402" i="2"/>
  <c r="Q2403" i="2"/>
  <c r="P2404" i="2"/>
  <c r="V2404" i="2" s="1"/>
  <c r="P2405" i="2"/>
  <c r="V2405" i="2" s="1"/>
  <c r="Q2406" i="2"/>
  <c r="Q2407" i="2"/>
  <c r="P2408" i="2"/>
  <c r="V2408" i="2" s="1"/>
  <c r="P2409" i="2"/>
  <c r="V2409" i="2" s="1"/>
  <c r="Q2410" i="2"/>
  <c r="Q2411" i="2"/>
  <c r="P2412" i="2"/>
  <c r="V2412" i="2" s="1"/>
  <c r="P2413" i="2"/>
  <c r="V2413" i="2" s="1"/>
  <c r="Q2414" i="2"/>
  <c r="Q2415" i="2"/>
  <c r="P2416" i="2"/>
  <c r="V2416" i="2" s="1"/>
  <c r="P2417" i="2"/>
  <c r="V2417" i="2" s="1"/>
  <c r="Q2418" i="2"/>
  <c r="Q2419" i="2"/>
  <c r="P2420" i="2"/>
  <c r="V2420" i="2" s="1"/>
  <c r="P2421" i="2"/>
  <c r="V2421" i="2" s="1"/>
  <c r="Q2422" i="2"/>
  <c r="Q2423" i="2"/>
  <c r="P2424" i="2"/>
  <c r="V2424" i="2" s="1"/>
  <c r="P2425" i="2"/>
  <c r="V2425" i="2" s="1"/>
  <c r="Q2426" i="2"/>
  <c r="Q2427" i="2"/>
  <c r="P2428" i="2"/>
  <c r="V2428" i="2" s="1"/>
  <c r="P2429" i="2"/>
  <c r="V2429" i="2" s="1"/>
  <c r="Q2430" i="2"/>
  <c r="Q2431" i="2"/>
  <c r="P2432" i="2"/>
  <c r="V2432" i="2" s="1"/>
  <c r="P2433" i="2"/>
  <c r="V2433" i="2" s="1"/>
  <c r="Q2434" i="2"/>
  <c r="Q2435" i="2"/>
  <c r="P2436" i="2"/>
  <c r="V2436" i="2" s="1"/>
  <c r="P2437" i="2"/>
  <c r="V2437" i="2" s="1"/>
  <c r="Q2438" i="2"/>
  <c r="Q2439" i="2"/>
  <c r="P2440" i="2"/>
  <c r="V2440" i="2" s="1"/>
  <c r="P2441" i="2"/>
  <c r="V2441" i="2" s="1"/>
  <c r="Q2442" i="2"/>
  <c r="Q2443" i="2"/>
  <c r="P2444" i="2"/>
  <c r="V2444" i="2" s="1"/>
  <c r="P2445" i="2"/>
  <c r="V2445" i="2" s="1"/>
  <c r="Q2446" i="2"/>
  <c r="Q2447" i="2"/>
  <c r="P2448" i="2"/>
  <c r="V2448" i="2" s="1"/>
  <c r="P2449" i="2"/>
  <c r="V2449" i="2" s="1"/>
  <c r="Q2450" i="2"/>
  <c r="Q2451" i="2"/>
  <c r="P2452" i="2"/>
  <c r="V2452" i="2" s="1"/>
  <c r="P2453" i="2"/>
  <c r="V2453" i="2" s="1"/>
  <c r="Q2454" i="2"/>
  <c r="Q2455" i="2"/>
  <c r="P2456" i="2"/>
  <c r="V2456" i="2" s="1"/>
  <c r="P2457" i="2"/>
  <c r="V2457" i="2" s="1"/>
  <c r="Q2458" i="2"/>
  <c r="Q2459" i="2"/>
  <c r="P2460" i="2"/>
  <c r="V2460" i="2" s="1"/>
  <c r="P2461" i="2"/>
  <c r="V2461" i="2" s="1"/>
  <c r="Q2462" i="2"/>
  <c r="Q2463" i="2"/>
  <c r="P2464" i="2"/>
  <c r="V2464" i="2" s="1"/>
  <c r="P2465" i="2"/>
  <c r="V2465" i="2" s="1"/>
  <c r="Q2466" i="2"/>
  <c r="Q2467" i="2"/>
  <c r="P2468" i="2"/>
  <c r="V2468" i="2" s="1"/>
  <c r="P2469" i="2"/>
  <c r="V2469" i="2" s="1"/>
  <c r="Q2470" i="2"/>
  <c r="Q2471" i="2"/>
  <c r="P2472" i="2"/>
  <c r="V2472" i="2" s="1"/>
  <c r="P2473" i="2"/>
  <c r="V2473" i="2" s="1"/>
  <c r="Q2474" i="2"/>
  <c r="Q2475" i="2"/>
  <c r="P2476" i="2"/>
  <c r="V2476" i="2" s="1"/>
  <c r="P2477" i="2"/>
  <c r="V2477" i="2" s="1"/>
  <c r="Q2478" i="2"/>
  <c r="Q2479" i="2"/>
  <c r="P2480" i="2"/>
  <c r="V2480" i="2" s="1"/>
  <c r="P2481" i="2"/>
  <c r="V2481" i="2" s="1"/>
  <c r="Q2482" i="2"/>
  <c r="Q2483" i="2"/>
  <c r="P2484" i="2"/>
  <c r="V2484" i="2" s="1"/>
  <c r="P2485" i="2"/>
  <c r="V2485" i="2" s="1"/>
  <c r="Q2486" i="2"/>
  <c r="Q2487" i="2"/>
  <c r="P2488" i="2"/>
  <c r="V2488" i="2" s="1"/>
  <c r="P2489" i="2"/>
  <c r="V2489" i="2" s="1"/>
  <c r="Q2490" i="2"/>
  <c r="Q2491" i="2"/>
  <c r="P2492" i="2"/>
  <c r="V2492" i="2" s="1"/>
  <c r="P2493" i="2"/>
  <c r="V2493" i="2" s="1"/>
  <c r="Q2494" i="2"/>
  <c r="Q2495" i="2"/>
  <c r="P2496" i="2"/>
  <c r="V2496" i="2" s="1"/>
  <c r="P2497" i="2"/>
  <c r="V2497" i="2" s="1"/>
  <c r="Q2498" i="2"/>
  <c r="Q2499" i="2"/>
  <c r="P2500" i="2"/>
  <c r="V2500" i="2" s="1"/>
  <c r="P2501" i="2"/>
  <c r="V2501" i="2" s="1"/>
  <c r="Q2502" i="2"/>
  <c r="Q2503" i="2"/>
  <c r="P2504" i="2"/>
  <c r="V2504" i="2" s="1"/>
  <c r="P2505" i="2"/>
  <c r="V2505" i="2" s="1"/>
  <c r="Q2506" i="2"/>
  <c r="Q2507" i="2"/>
  <c r="P2508" i="2"/>
  <c r="V2508" i="2" s="1"/>
  <c r="P2509" i="2"/>
  <c r="V2509" i="2" s="1"/>
  <c r="Q2510" i="2"/>
  <c r="Q2511" i="2"/>
  <c r="P2512" i="2"/>
  <c r="V2512" i="2" s="1"/>
  <c r="P2513" i="2"/>
  <c r="V2513" i="2" s="1"/>
  <c r="Q2514" i="2"/>
  <c r="Q2515" i="2"/>
  <c r="P2516" i="2"/>
  <c r="V2516" i="2" s="1"/>
  <c r="P2517" i="2"/>
  <c r="V2517" i="2" s="1"/>
  <c r="Q2518" i="2"/>
  <c r="Q2519" i="2"/>
  <c r="P2520" i="2"/>
  <c r="V2520" i="2" s="1"/>
  <c r="P2521" i="2"/>
  <c r="V2521" i="2" s="1"/>
  <c r="Q2522" i="2"/>
  <c r="Q2523" i="2"/>
  <c r="P2524" i="2"/>
  <c r="V2524" i="2" s="1"/>
  <c r="P2525" i="2"/>
  <c r="V2525" i="2" s="1"/>
  <c r="Q2526" i="2"/>
  <c r="Q2527" i="2"/>
  <c r="P2528" i="2"/>
  <c r="V2528" i="2" s="1"/>
  <c r="P2529" i="2"/>
  <c r="V2529" i="2" s="1"/>
  <c r="Q2530" i="2"/>
  <c r="Q2531" i="2"/>
  <c r="P2532" i="2"/>
  <c r="V2532" i="2" s="1"/>
  <c r="P2533" i="2"/>
  <c r="V2533" i="2" s="1"/>
  <c r="Q2534" i="2"/>
  <c r="Q2535" i="2"/>
  <c r="P2536" i="2"/>
  <c r="V2536" i="2" s="1"/>
  <c r="P2537" i="2"/>
  <c r="V2537" i="2" s="1"/>
  <c r="Q2538" i="2"/>
  <c r="Q2539" i="2"/>
  <c r="P2540" i="2"/>
  <c r="V2540" i="2" s="1"/>
  <c r="P2541" i="2"/>
  <c r="V2541" i="2" s="1"/>
  <c r="Q2542" i="2"/>
  <c r="Q2543" i="2"/>
  <c r="P2544" i="2"/>
  <c r="V2544" i="2" s="1"/>
  <c r="P2545" i="2"/>
  <c r="V2545" i="2" s="1"/>
  <c r="Q2546" i="2"/>
  <c r="Q2547" i="2"/>
  <c r="P2548" i="2"/>
  <c r="V2548" i="2" s="1"/>
  <c r="P2549" i="2"/>
  <c r="V2549" i="2" s="1"/>
  <c r="Q2550" i="2"/>
  <c r="Q2551" i="2"/>
  <c r="P2552" i="2"/>
  <c r="V2552" i="2" s="1"/>
  <c r="P2553" i="2"/>
  <c r="V2553" i="2" s="1"/>
  <c r="Q2554" i="2"/>
  <c r="Q2555" i="2"/>
  <c r="P2556" i="2"/>
  <c r="V2556" i="2" s="1"/>
  <c r="P2557" i="2"/>
  <c r="V2557" i="2" s="1"/>
  <c r="Q2558" i="2"/>
  <c r="Q2559" i="2"/>
  <c r="P2560" i="2"/>
  <c r="V2560" i="2" s="1"/>
  <c r="P2561" i="2"/>
  <c r="V2561" i="2" s="1"/>
  <c r="Q2562" i="2"/>
  <c r="Q2563" i="2"/>
  <c r="P2564" i="2"/>
  <c r="V2564" i="2" s="1"/>
  <c r="P2565" i="2"/>
  <c r="V2565" i="2" s="1"/>
  <c r="Q2566" i="2"/>
  <c r="Q2567" i="2"/>
  <c r="P2568" i="2"/>
  <c r="V2568" i="2" s="1"/>
  <c r="P2569" i="2"/>
  <c r="V2569" i="2" s="1"/>
  <c r="Q2570" i="2"/>
  <c r="Q2571" i="2"/>
  <c r="P2572" i="2"/>
  <c r="V2572" i="2" s="1"/>
  <c r="P2573" i="2"/>
  <c r="V2573" i="2" s="1"/>
  <c r="Q2574" i="2"/>
  <c r="Q2575" i="2"/>
  <c r="P2576" i="2"/>
  <c r="V2576" i="2" s="1"/>
  <c r="P2577" i="2"/>
  <c r="V2577" i="2" s="1"/>
  <c r="Q2578" i="2"/>
  <c r="Q2579" i="2"/>
  <c r="P2580" i="2"/>
  <c r="V2580" i="2" s="1"/>
  <c r="P2581" i="2"/>
  <c r="V2581" i="2" s="1"/>
  <c r="Q2582" i="2"/>
  <c r="Q2583" i="2"/>
  <c r="P2584" i="2"/>
  <c r="V2584" i="2" s="1"/>
  <c r="P2585" i="2"/>
  <c r="V2585" i="2" s="1"/>
  <c r="Q2586" i="2"/>
  <c r="Q2587" i="2"/>
  <c r="P2588" i="2"/>
  <c r="V2588" i="2" s="1"/>
  <c r="P2589" i="2"/>
  <c r="V2589" i="2" s="1"/>
  <c r="Q2590" i="2"/>
  <c r="Q2591" i="2"/>
  <c r="P2592" i="2"/>
  <c r="V2592" i="2" s="1"/>
  <c r="P2593" i="2"/>
  <c r="V2593" i="2" s="1"/>
  <c r="Q2594" i="2"/>
  <c r="Q2595" i="2"/>
  <c r="P2596" i="2"/>
  <c r="V2596" i="2" s="1"/>
  <c r="P2597" i="2"/>
  <c r="V2597" i="2" s="1"/>
  <c r="Q2598" i="2"/>
  <c r="Q2599" i="2"/>
  <c r="P2600" i="2"/>
  <c r="V2600" i="2" s="1"/>
  <c r="P2601" i="2"/>
  <c r="V2601" i="2" s="1"/>
  <c r="Q2602" i="2"/>
  <c r="Q2603" i="2"/>
  <c r="P2604" i="2"/>
  <c r="V2604" i="2" s="1"/>
  <c r="P2605" i="2"/>
  <c r="V2605" i="2" s="1"/>
  <c r="Q2606" i="2"/>
  <c r="Q2607" i="2"/>
  <c r="P2608" i="2"/>
  <c r="V2608" i="2" s="1"/>
  <c r="P2609" i="2"/>
  <c r="V2609" i="2" s="1"/>
  <c r="Q2610" i="2"/>
  <c r="Q2611" i="2"/>
  <c r="P2612" i="2"/>
  <c r="V2612" i="2" s="1"/>
  <c r="P2613" i="2"/>
  <c r="V2613" i="2" s="1"/>
  <c r="Q2614" i="2"/>
  <c r="Q2615" i="2"/>
  <c r="P2616" i="2"/>
  <c r="V2616" i="2" s="1"/>
  <c r="P2617" i="2"/>
  <c r="V2617" i="2" s="1"/>
  <c r="Q2618" i="2"/>
  <c r="Q2619" i="2"/>
  <c r="P2620" i="2"/>
  <c r="V2620" i="2" s="1"/>
  <c r="P2621" i="2"/>
  <c r="V2621" i="2" s="1"/>
  <c r="Q2622" i="2"/>
  <c r="Q2623" i="2"/>
  <c r="P2624" i="2"/>
  <c r="V2624" i="2" s="1"/>
  <c r="P2625" i="2"/>
  <c r="V2625" i="2" s="1"/>
  <c r="Q2626" i="2"/>
  <c r="Q2627" i="2"/>
  <c r="P2628" i="2"/>
  <c r="V2628" i="2" s="1"/>
  <c r="P2629" i="2"/>
  <c r="V2629" i="2" s="1"/>
  <c r="Q2630" i="2"/>
  <c r="Q2631" i="2"/>
  <c r="P2632" i="2"/>
  <c r="V2632" i="2" s="1"/>
  <c r="P2633" i="2"/>
  <c r="V2633" i="2" s="1"/>
  <c r="Q2634" i="2"/>
  <c r="Q2635" i="2"/>
  <c r="P2636" i="2"/>
  <c r="V2636" i="2" s="1"/>
  <c r="P2637" i="2"/>
  <c r="V2637" i="2" s="1"/>
  <c r="Q2638" i="2"/>
  <c r="Q2639" i="2"/>
  <c r="P2640" i="2"/>
  <c r="V2640" i="2" s="1"/>
  <c r="P2641" i="2"/>
  <c r="V2641" i="2" s="1"/>
  <c r="Q2642" i="2"/>
  <c r="Q2643" i="2"/>
  <c r="P2644" i="2"/>
  <c r="V2644" i="2" s="1"/>
  <c r="P2645" i="2"/>
  <c r="V2645" i="2" s="1"/>
  <c r="Q2646" i="2"/>
  <c r="Q2647" i="2"/>
  <c r="P2649" i="2"/>
  <c r="V2649" i="2" s="1"/>
  <c r="Q2650" i="2"/>
  <c r="Q2651" i="2"/>
  <c r="P2652" i="2"/>
  <c r="V2652" i="2" s="1"/>
  <c r="P2653" i="2"/>
  <c r="V2653" i="2" s="1"/>
  <c r="Q2654" i="2"/>
  <c r="Q2655" i="2"/>
  <c r="P2657" i="2"/>
  <c r="V2657" i="2" s="1"/>
  <c r="Q2658" i="2"/>
  <c r="Q2659" i="2"/>
  <c r="P2660" i="2"/>
  <c r="V2660" i="2" s="1"/>
  <c r="P2661" i="2"/>
  <c r="V2661" i="2" s="1"/>
  <c r="Q2662" i="2"/>
  <c r="Q2663" i="2"/>
  <c r="P2665" i="2"/>
  <c r="V2665" i="2" s="1"/>
  <c r="Q2666" i="2"/>
  <c r="Q2667" i="2"/>
  <c r="P2668" i="2"/>
  <c r="V2668" i="2" s="1"/>
  <c r="P2669" i="2"/>
  <c r="V2669" i="2" s="1"/>
  <c r="Q2670" i="2"/>
  <c r="Q2671" i="2"/>
  <c r="P2673" i="2"/>
  <c r="V2673" i="2" s="1"/>
  <c r="Q2674" i="2"/>
  <c r="Q2675" i="2"/>
  <c r="P2676" i="2"/>
  <c r="V2676" i="2" s="1"/>
  <c r="P2677" i="2"/>
  <c r="V2677" i="2" s="1"/>
  <c r="Q2678" i="2"/>
  <c r="Q2679" i="2"/>
  <c r="P2681" i="2"/>
  <c r="V2681" i="2" s="1"/>
  <c r="Q2682" i="2"/>
  <c r="Q2683" i="2"/>
  <c r="P2684" i="2"/>
  <c r="V2684" i="2" s="1"/>
  <c r="P2685" i="2"/>
  <c r="V2685" i="2" s="1"/>
  <c r="Q2686" i="2"/>
  <c r="Q2687" i="2"/>
  <c r="P2689" i="2"/>
  <c r="V2689" i="2" s="1"/>
  <c r="Q2690" i="2"/>
  <c r="Q2691" i="2"/>
  <c r="P2692" i="2"/>
  <c r="V2692" i="2" s="1"/>
  <c r="P2693" i="2"/>
  <c r="V2693" i="2" s="1"/>
  <c r="Q2694" i="2"/>
  <c r="Q2695" i="2"/>
  <c r="P2697" i="2"/>
  <c r="V2697" i="2" s="1"/>
  <c r="Q2698" i="2"/>
  <c r="Q2699" i="2"/>
  <c r="P2700" i="2"/>
  <c r="V2700" i="2" s="1"/>
  <c r="P2701" i="2"/>
  <c r="V2701" i="2" s="1"/>
  <c r="Q2702" i="2"/>
  <c r="Q2703" i="2"/>
  <c r="P2705" i="2"/>
  <c r="V2705" i="2" s="1"/>
  <c r="Q2706" i="2"/>
  <c r="Q2707" i="2"/>
  <c r="P2708" i="2"/>
  <c r="V2708" i="2" s="1"/>
  <c r="P2709" i="2"/>
  <c r="V2709" i="2" s="1"/>
  <c r="Q2710" i="2"/>
  <c r="Q2711" i="2"/>
  <c r="P2713" i="2"/>
  <c r="V2713" i="2" s="1"/>
  <c r="Q2714" i="2"/>
  <c r="Q2715" i="2"/>
  <c r="P2716" i="2"/>
  <c r="V2716" i="2" s="1"/>
  <c r="P2717" i="2"/>
  <c r="V2717" i="2" s="1"/>
  <c r="Q2718" i="2"/>
  <c r="Q2719" i="2"/>
  <c r="P2721" i="2"/>
  <c r="V2721" i="2" s="1"/>
  <c r="Q2722" i="2"/>
  <c r="Q2723" i="2"/>
  <c r="P2724" i="2"/>
  <c r="V2724" i="2" s="1"/>
  <c r="P2725" i="2"/>
  <c r="V2725" i="2" s="1"/>
  <c r="Q2726" i="2"/>
  <c r="Q2727" i="2"/>
  <c r="P2729" i="2"/>
  <c r="V2729" i="2" s="1"/>
  <c r="Q2730" i="2"/>
  <c r="Q2731" i="2"/>
  <c r="P2732" i="2"/>
  <c r="V2732" i="2" s="1"/>
  <c r="Q2734" i="2"/>
  <c r="Q2735" i="2"/>
  <c r="Q2738" i="2"/>
  <c r="Q2739" i="2"/>
  <c r="P2740" i="2"/>
  <c r="V2740" i="2" s="1"/>
  <c r="Q2742" i="2"/>
  <c r="Q2743" i="2"/>
  <c r="Q2746" i="2"/>
  <c r="Q2747" i="2"/>
  <c r="P2748" i="2"/>
  <c r="V2748" i="2" s="1"/>
  <c r="Q2750" i="2"/>
  <c r="Q2751" i="2"/>
  <c r="Q2754" i="2"/>
  <c r="Q2755" i="2"/>
  <c r="P2756" i="2"/>
  <c r="V2756" i="2" s="1"/>
  <c r="Q2758" i="2"/>
  <c r="Q2759" i="2"/>
  <c r="Q2762" i="2"/>
  <c r="Q2763" i="2"/>
  <c r="P2764" i="2"/>
  <c r="V2764" i="2" s="1"/>
  <c r="Q2766" i="2"/>
  <c r="Q2767" i="2"/>
  <c r="Q2770" i="2"/>
  <c r="Q2771" i="2"/>
  <c r="P2772" i="2"/>
  <c r="V2772" i="2" s="1"/>
  <c r="Q2774" i="2"/>
  <c r="Q2775" i="2"/>
  <c r="Q2778" i="2"/>
  <c r="Q2779" i="2"/>
  <c r="P2780" i="2"/>
  <c r="V2780" i="2" s="1"/>
  <c r="Q2782" i="2"/>
  <c r="Q2783" i="2"/>
  <c r="Q2786" i="2"/>
  <c r="Q2787" i="2"/>
  <c r="P2788" i="2"/>
  <c r="V2788" i="2" s="1"/>
  <c r="Q2790" i="2"/>
  <c r="Q2791" i="2"/>
  <c r="Q2794" i="2"/>
  <c r="Q2795" i="2"/>
  <c r="P2796" i="2"/>
  <c r="V2796" i="2" s="1"/>
  <c r="Q2798" i="2"/>
  <c r="Q2799" i="2"/>
  <c r="Q2802" i="2"/>
  <c r="Q2803" i="2"/>
  <c r="P2804" i="2"/>
  <c r="V2804" i="2" s="1"/>
  <c r="Q2806" i="2"/>
  <c r="Q2807" i="2"/>
  <c r="Q2810" i="2"/>
  <c r="Q2811" i="2"/>
  <c r="P2812" i="2"/>
  <c r="V2812" i="2" s="1"/>
  <c r="Q2814" i="2"/>
  <c r="Q2815" i="2"/>
  <c r="Q2818" i="2"/>
  <c r="Q2819" i="2"/>
  <c r="P2820" i="2"/>
  <c r="V2820" i="2" s="1"/>
  <c r="Q2822" i="2"/>
  <c r="Q2823" i="2"/>
  <c r="Q2826" i="2"/>
  <c r="Q2827" i="2"/>
  <c r="P2828" i="2"/>
  <c r="V2828" i="2" s="1"/>
  <c r="Q2830" i="2"/>
  <c r="Q2831" i="2"/>
  <c r="Q2834" i="2"/>
  <c r="Q2835" i="2"/>
  <c r="P2836" i="2"/>
  <c r="V2836" i="2" s="1"/>
  <c r="Q2838" i="2"/>
  <c r="Q2839" i="2"/>
  <c r="Q2842" i="2"/>
  <c r="Q2843" i="2"/>
  <c r="P2844" i="2"/>
  <c r="V2844" i="2" s="1"/>
  <c r="Q2846" i="2"/>
  <c r="Q2847" i="2"/>
  <c r="Q2850" i="2"/>
  <c r="Q2851" i="2"/>
  <c r="P2852" i="2"/>
  <c r="V2852" i="2" s="1"/>
  <c r="Q2854" i="2"/>
  <c r="Q2855" i="2"/>
  <c r="Q2858" i="2"/>
  <c r="Q2859" i="2"/>
  <c r="P2860" i="2"/>
  <c r="V2860" i="2" s="1"/>
  <c r="Q2862" i="2"/>
  <c r="Q2863" i="2"/>
  <c r="Q2866" i="2"/>
  <c r="Q2867" i="2"/>
  <c r="P2868" i="2"/>
  <c r="V2868" i="2" s="1"/>
  <c r="Q2870" i="2"/>
  <c r="Q2871" i="2"/>
  <c r="Q2874" i="2"/>
  <c r="Q2875" i="2"/>
  <c r="P2876" i="2"/>
  <c r="V2876" i="2" s="1"/>
  <c r="Q2878" i="2"/>
  <c r="Q2879" i="2"/>
  <c r="Q2882" i="2"/>
  <c r="Q2883" i="2"/>
  <c r="P2884" i="2"/>
  <c r="V2884" i="2" s="1"/>
  <c r="Q2886" i="2"/>
  <c r="Q2887" i="2"/>
  <c r="Q2890" i="2"/>
  <c r="Q2891" i="2"/>
  <c r="P2892" i="2"/>
  <c r="V2892" i="2" s="1"/>
  <c r="Q2894" i="2"/>
  <c r="Q2895" i="2"/>
  <c r="Q2898" i="2"/>
  <c r="Q2899" i="2"/>
  <c r="P2900" i="2"/>
  <c r="V2900" i="2" s="1"/>
  <c r="Q2902" i="2"/>
  <c r="Q2903" i="2"/>
  <c r="Q2906" i="2"/>
  <c r="Q2907" i="2"/>
  <c r="P2908" i="2"/>
  <c r="V2908" i="2" s="1"/>
  <c r="Q2910" i="2"/>
  <c r="Q2911" i="2"/>
  <c r="Q2914" i="2"/>
  <c r="Q2915" i="2"/>
  <c r="P2916" i="2"/>
  <c r="V2916" i="2" s="1"/>
  <c r="Q2918" i="2"/>
  <c r="Q2919" i="2"/>
  <c r="Q2922" i="2"/>
  <c r="Q2923" i="2"/>
  <c r="P2924" i="2"/>
  <c r="V2924" i="2" s="1"/>
  <c r="Q2926" i="2"/>
  <c r="Q2927" i="2"/>
  <c r="Q2930" i="2"/>
  <c r="Q2931" i="2"/>
  <c r="P2932" i="2"/>
  <c r="V2932" i="2" s="1"/>
  <c r="Q2934" i="2"/>
  <c r="Q2935" i="2"/>
  <c r="Q2938" i="2"/>
  <c r="Q2939" i="2"/>
  <c r="P2940" i="2"/>
  <c r="V2940" i="2" s="1"/>
  <c r="Q2942" i="2"/>
  <c r="Q2943" i="2"/>
  <c r="Q2946" i="2"/>
  <c r="Q2947" i="2"/>
  <c r="P2948" i="2"/>
  <c r="V2948" i="2" s="1"/>
  <c r="Q2950" i="2"/>
  <c r="Q2951" i="2"/>
  <c r="Q2954" i="2"/>
  <c r="Q2955" i="2"/>
  <c r="P2956" i="2"/>
  <c r="V2956" i="2" s="1"/>
  <c r="Q2958" i="2"/>
  <c r="Q2959" i="2"/>
  <c r="Q2962" i="2"/>
  <c r="Q2963" i="2"/>
  <c r="P2964" i="2"/>
  <c r="V2964" i="2" s="1"/>
  <c r="Q2966" i="2"/>
  <c r="Q2967" i="2"/>
  <c r="Q2970" i="2"/>
  <c r="Q2971" i="2"/>
  <c r="P2972" i="2"/>
  <c r="V2972" i="2" s="1"/>
  <c r="Q2974" i="2"/>
  <c r="Q2975" i="2"/>
  <c r="Q2978" i="2"/>
  <c r="Q2979" i="2"/>
  <c r="P2980" i="2"/>
  <c r="V2980" i="2" s="1"/>
  <c r="Q2982" i="2"/>
  <c r="Q2983" i="2"/>
  <c r="Q2986" i="2"/>
  <c r="Q2987" i="2"/>
  <c r="P2988" i="2"/>
  <c r="V2988" i="2" s="1"/>
  <c r="Q2990" i="2"/>
  <c r="Q2991" i="2"/>
  <c r="Q2994" i="2"/>
  <c r="Q2995" i="2"/>
  <c r="P2996" i="2"/>
  <c r="V2996" i="2" s="1"/>
  <c r="Q2998" i="2"/>
  <c r="Q2999" i="2"/>
  <c r="Q3002" i="2"/>
  <c r="Q3003" i="2"/>
  <c r="P3004" i="2"/>
  <c r="V3004" i="2" s="1"/>
  <c r="Q3006" i="2"/>
  <c r="Q3007" i="2"/>
  <c r="Q3010" i="2"/>
  <c r="Q3011" i="2"/>
  <c r="P3012" i="2"/>
  <c r="V3012" i="2" s="1"/>
  <c r="Q3014" i="2"/>
  <c r="Q3015" i="2"/>
  <c r="Q3018" i="2"/>
  <c r="Q3019" i="2"/>
  <c r="P3020" i="2"/>
  <c r="V3020" i="2" s="1"/>
  <c r="Q3022" i="2"/>
  <c r="Q3023" i="2"/>
  <c r="Q3026" i="2"/>
  <c r="Q3027" i="2"/>
  <c r="P3028" i="2"/>
  <c r="V3028" i="2" s="1"/>
  <c r="Q3030" i="2"/>
  <c r="Q3031" i="2"/>
  <c r="Q3034" i="2"/>
  <c r="Q3035" i="2"/>
  <c r="P3036" i="2"/>
  <c r="V3036" i="2" s="1"/>
  <c r="Q3038" i="2"/>
  <c r="Q3039" i="2"/>
  <c r="Q3042" i="2"/>
  <c r="Q3043" i="2"/>
  <c r="P3044" i="2"/>
  <c r="V3044" i="2" s="1"/>
  <c r="Q3046" i="2"/>
  <c r="Q3047" i="2"/>
  <c r="Q3050" i="2"/>
  <c r="Q3051" i="2"/>
  <c r="P3052" i="2"/>
  <c r="V3052" i="2" s="1"/>
  <c r="Q3054" i="2"/>
  <c r="Q3055" i="2"/>
  <c r="Q3058" i="2"/>
  <c r="Q3059" i="2"/>
  <c r="P3060" i="2"/>
  <c r="V3060" i="2" s="1"/>
  <c r="Q3062" i="2"/>
  <c r="Q3063" i="2"/>
  <c r="Q3066" i="2"/>
  <c r="Q3067" i="2"/>
  <c r="P3068" i="2"/>
  <c r="V3068" i="2" s="1"/>
  <c r="Q3070" i="2"/>
  <c r="Q3071" i="2"/>
  <c r="Q3074" i="2"/>
  <c r="Q3075" i="2"/>
  <c r="P3076" i="2"/>
  <c r="V3076" i="2" s="1"/>
  <c r="Q3078" i="2"/>
  <c r="Q3079" i="2"/>
  <c r="Q3082" i="2"/>
  <c r="Q3083" i="2"/>
  <c r="P3084" i="2"/>
  <c r="V3084" i="2" s="1"/>
  <c r="Q3086" i="2"/>
  <c r="Q3087" i="2"/>
  <c r="Q3090" i="2"/>
  <c r="Q3091" i="2"/>
  <c r="P3092" i="2"/>
  <c r="V3092" i="2" s="1"/>
  <c r="Q3094" i="2"/>
  <c r="Q3095" i="2"/>
  <c r="Q3098" i="2"/>
  <c r="Q3099" i="2"/>
  <c r="P3100" i="2"/>
  <c r="V3100" i="2" s="1"/>
  <c r="Q3102" i="2"/>
  <c r="Q3103" i="2"/>
  <c r="Q3106" i="2"/>
  <c r="Q3107" i="2"/>
  <c r="P3108" i="2"/>
  <c r="V3108" i="2" s="1"/>
  <c r="Q3110" i="2"/>
  <c r="Q3111" i="2"/>
  <c r="Q3114" i="2"/>
  <c r="Q3115" i="2"/>
  <c r="P3116" i="2"/>
  <c r="V3116" i="2" s="1"/>
  <c r="Q3118" i="2"/>
  <c r="Q3119" i="2"/>
  <c r="Q3122" i="2"/>
  <c r="Q3123" i="2"/>
  <c r="P3124" i="2"/>
  <c r="V3124" i="2" s="1"/>
  <c r="Q3126" i="2"/>
  <c r="Q3127" i="2"/>
  <c r="Q3130" i="2"/>
  <c r="Q3131" i="2"/>
  <c r="P3132" i="2"/>
  <c r="V3132" i="2" s="1"/>
  <c r="Q3134" i="2"/>
  <c r="Q3135" i="2"/>
  <c r="Q3138" i="2"/>
  <c r="Q3139" i="2"/>
  <c r="P3140" i="2"/>
  <c r="V3140" i="2" s="1"/>
  <c r="Q3142" i="2"/>
  <c r="Q3143" i="2"/>
  <c r="Q3146" i="2"/>
  <c r="Q3147" i="2"/>
  <c r="P3148" i="2"/>
  <c r="V3148" i="2" s="1"/>
  <c r="Q3150" i="2"/>
  <c r="Q3151" i="2"/>
  <c r="Q3154" i="2"/>
  <c r="Q3155" i="2"/>
  <c r="P3156" i="2"/>
  <c r="V3156" i="2" s="1"/>
  <c r="Q3158" i="2"/>
  <c r="Q3159" i="2"/>
  <c r="Q3162" i="2"/>
  <c r="Q3163" i="2"/>
  <c r="P3164" i="2"/>
  <c r="V3164" i="2" s="1"/>
  <c r="Q3166" i="2"/>
  <c r="Q3167" i="2"/>
  <c r="Q3170" i="2"/>
  <c r="Q3171" i="2"/>
  <c r="P3172" i="2"/>
  <c r="V3172" i="2" s="1"/>
  <c r="Q3174" i="2"/>
  <c r="Q3175" i="2"/>
  <c r="Q3178" i="2"/>
  <c r="Q3179" i="2"/>
  <c r="P3180" i="2"/>
  <c r="V3180" i="2" s="1"/>
  <c r="Q3182" i="2"/>
  <c r="Q3183" i="2"/>
  <c r="Q3186" i="2"/>
  <c r="Q3187" i="2"/>
  <c r="P3188" i="2"/>
  <c r="V3188" i="2" s="1"/>
  <c r="Q3190" i="2"/>
  <c r="Q3191" i="2"/>
  <c r="Q3194" i="2"/>
  <c r="Q3195" i="2"/>
  <c r="P3196" i="2"/>
  <c r="V3196" i="2" s="1"/>
  <c r="Q3198" i="2"/>
  <c r="Q3199" i="2"/>
  <c r="Q3202" i="2"/>
  <c r="Q3203" i="2"/>
  <c r="P3204" i="2"/>
  <c r="V3204" i="2" s="1"/>
  <c r="Q3206" i="2"/>
  <c r="Q3207" i="2"/>
  <c r="Q3210" i="2"/>
  <c r="Q3211" i="2"/>
  <c r="P3212" i="2"/>
  <c r="V3212" i="2" s="1"/>
  <c r="Q3214" i="2"/>
  <c r="Q3215" i="2"/>
  <c r="Q3218" i="2"/>
  <c r="Q3219" i="2"/>
  <c r="P3220" i="2"/>
  <c r="V3220" i="2" s="1"/>
  <c r="Q3222" i="2"/>
  <c r="Q3223" i="2"/>
  <c r="Q3226" i="2"/>
  <c r="Q3227" i="2"/>
  <c r="P3228" i="2"/>
  <c r="V3228" i="2" s="1"/>
  <c r="Q3230" i="2"/>
  <c r="Q3231" i="2"/>
  <c r="Q3234" i="2"/>
  <c r="Q3235" i="2"/>
  <c r="P3236" i="2"/>
  <c r="V3236" i="2" s="1"/>
  <c r="Q3238" i="2"/>
  <c r="Q3239" i="2"/>
  <c r="Q3242" i="2"/>
  <c r="Q3243" i="2"/>
  <c r="P3244" i="2"/>
  <c r="V3244" i="2" s="1"/>
  <c r="Q3246" i="2"/>
  <c r="Q3247" i="2"/>
  <c r="Q3250" i="2"/>
  <c r="Q3251" i="2"/>
  <c r="P3252" i="2"/>
  <c r="V3252" i="2" s="1"/>
  <c r="Q3254" i="2"/>
  <c r="Q3255" i="2"/>
  <c r="Q3258" i="2"/>
  <c r="Q3259" i="2"/>
  <c r="P3260" i="2"/>
  <c r="V3260" i="2" s="1"/>
  <c r="Q3262" i="2"/>
  <c r="Q3263" i="2"/>
  <c r="Q3266" i="2"/>
  <c r="Q3267" i="2"/>
  <c r="P3268" i="2"/>
  <c r="V3268" i="2" s="1"/>
  <c r="Q3270" i="2"/>
  <c r="Q3271" i="2"/>
  <c r="Q3274" i="2"/>
  <c r="Q3275" i="2"/>
  <c r="P3276" i="2"/>
  <c r="V3276" i="2" s="1"/>
  <c r="Q3278" i="2"/>
  <c r="Q3279" i="2"/>
  <c r="Q3282" i="2"/>
  <c r="Q3283" i="2"/>
  <c r="P3284" i="2"/>
  <c r="V3284" i="2" s="1"/>
  <c r="Q3286" i="2"/>
  <c r="Q3287" i="2"/>
  <c r="Q3290" i="2"/>
  <c r="Q3291" i="2"/>
  <c r="P3292" i="2"/>
  <c r="V3292" i="2" s="1"/>
  <c r="Q3294" i="2"/>
  <c r="Q3295" i="2"/>
  <c r="Q3298" i="2"/>
  <c r="Q3299" i="2"/>
  <c r="P3300" i="2"/>
  <c r="V3300" i="2" s="1"/>
  <c r="Q3302" i="2"/>
  <c r="Q3303" i="2"/>
  <c r="Q3306" i="2"/>
  <c r="Q3307" i="2"/>
  <c r="P3308" i="2"/>
  <c r="V3308" i="2" s="1"/>
  <c r="Q3310" i="2"/>
  <c r="Q3311" i="2"/>
  <c r="Q3314" i="2"/>
  <c r="Q3315" i="2"/>
  <c r="P3316" i="2"/>
  <c r="V3316" i="2" s="1"/>
  <c r="Q3318" i="2"/>
  <c r="Q3319" i="2"/>
  <c r="Q3322" i="2"/>
  <c r="Q3323" i="2"/>
  <c r="P3324" i="2"/>
  <c r="V3324" i="2" s="1"/>
  <c r="Q3326" i="2"/>
  <c r="Q3327" i="2"/>
  <c r="Q3330" i="2"/>
  <c r="Q3331" i="2"/>
  <c r="P3332" i="2"/>
  <c r="V3332" i="2" s="1"/>
  <c r="Q3334" i="2"/>
  <c r="Q3335" i="2"/>
  <c r="Q3338" i="2"/>
  <c r="Q3339" i="2"/>
  <c r="P3340" i="2"/>
  <c r="V3340" i="2" s="1"/>
  <c r="Q3342" i="2"/>
  <c r="Q3343" i="2"/>
  <c r="Q3346" i="2"/>
  <c r="Q3347" i="2"/>
  <c r="P3348" i="2"/>
  <c r="V3348" i="2" s="1"/>
  <c r="Q3350" i="2"/>
  <c r="Q3351" i="2"/>
  <c r="Q3354" i="2"/>
  <c r="Q3355" i="2"/>
  <c r="P3356" i="2"/>
  <c r="V3356" i="2" s="1"/>
  <c r="Q3358" i="2"/>
  <c r="Q3359" i="2"/>
  <c r="Q3362" i="2"/>
  <c r="Q3363" i="2"/>
  <c r="P3364" i="2"/>
  <c r="V3364" i="2" s="1"/>
  <c r="Q3366" i="2"/>
  <c r="Q3367" i="2"/>
  <c r="Q3370" i="2"/>
  <c r="Q3371" i="2"/>
  <c r="P3372" i="2"/>
  <c r="V3372" i="2" s="1"/>
  <c r="Q3374" i="2"/>
  <c r="Q3375" i="2"/>
  <c r="Q3378" i="2"/>
  <c r="Q3379" i="2"/>
  <c r="P3380" i="2"/>
  <c r="V3380" i="2" s="1"/>
  <c r="Q3382" i="2"/>
  <c r="Q3383" i="2"/>
  <c r="Q3386" i="2"/>
  <c r="Q3387" i="2"/>
  <c r="P3388" i="2"/>
  <c r="V3388" i="2" s="1"/>
  <c r="Q3390" i="2"/>
  <c r="Q3391" i="2"/>
  <c r="Q3394" i="2"/>
  <c r="Q3395" i="2"/>
  <c r="P3396" i="2"/>
  <c r="V3396" i="2" s="1"/>
  <c r="Q3398" i="2"/>
  <c r="Q3399" i="2"/>
  <c r="Q3402" i="2"/>
  <c r="Q3403" i="2"/>
  <c r="P3404" i="2"/>
  <c r="V3404" i="2" s="1"/>
  <c r="Q3406" i="2"/>
  <c r="Q3407" i="2"/>
  <c r="Q3410" i="2"/>
  <c r="Q3411" i="2"/>
  <c r="P3412" i="2"/>
  <c r="V3412" i="2" s="1"/>
  <c r="Q3414" i="2"/>
  <c r="Q3415" i="2"/>
  <c r="Q3418" i="2"/>
  <c r="Q3419" i="2"/>
  <c r="P3420" i="2"/>
  <c r="V3420" i="2" s="1"/>
  <c r="Q3422" i="2"/>
  <c r="Q3423" i="2"/>
  <c r="Q3426" i="2"/>
  <c r="Q3427" i="2"/>
  <c r="P3428" i="2"/>
  <c r="V3428" i="2" s="1"/>
  <c r="Q3430" i="2"/>
  <c r="Q3431" i="2"/>
  <c r="Q3434" i="2"/>
  <c r="Q3435" i="2"/>
  <c r="P3436" i="2"/>
  <c r="V3436" i="2" s="1"/>
  <c r="Q3438" i="2"/>
  <c r="Q3439" i="2"/>
  <c r="Q3442" i="2"/>
  <c r="Q3443" i="2"/>
  <c r="P3444" i="2"/>
  <c r="V3444" i="2" s="1"/>
  <c r="Q3446" i="2"/>
  <c r="Q3447" i="2"/>
  <c r="Q3450" i="2"/>
  <c r="Q3451" i="2"/>
  <c r="P3452" i="2"/>
  <c r="V3452" i="2" s="1"/>
  <c r="Q3454" i="2"/>
  <c r="Q3455" i="2"/>
  <c r="Q3458" i="2"/>
  <c r="Q3459" i="2"/>
  <c r="P3460" i="2"/>
  <c r="V3460" i="2" s="1"/>
  <c r="Q3462" i="2"/>
  <c r="Q3463" i="2"/>
  <c r="Q3466" i="2"/>
  <c r="Q3467" i="2"/>
  <c r="P3468" i="2"/>
  <c r="V3468" i="2" s="1"/>
  <c r="Q3470" i="2"/>
  <c r="Q3471" i="2"/>
  <c r="Q3474" i="2"/>
  <c r="Q3475" i="2"/>
  <c r="P3476" i="2"/>
  <c r="V3476" i="2" s="1"/>
  <c r="Q3478" i="2"/>
  <c r="Q3479" i="2"/>
  <c r="Q3482" i="2"/>
  <c r="Q3483" i="2"/>
  <c r="P3484" i="2"/>
  <c r="V3484" i="2" s="1"/>
  <c r="Q3486" i="2"/>
  <c r="Q3487" i="2"/>
  <c r="Q3490" i="2"/>
  <c r="Q3491" i="2"/>
  <c r="P3492" i="2"/>
  <c r="V3492" i="2" s="1"/>
  <c r="Q3494" i="2"/>
  <c r="Q3495" i="2"/>
  <c r="Q3498" i="2"/>
  <c r="Q3499" i="2"/>
  <c r="P3500" i="2"/>
  <c r="V3500" i="2" s="1"/>
  <c r="Q3502" i="2"/>
  <c r="Q3503" i="2"/>
  <c r="Q3506" i="2"/>
  <c r="Q3507" i="2"/>
  <c r="P3508" i="2"/>
  <c r="V3508" i="2" s="1"/>
  <c r="Q3510" i="2"/>
  <c r="Q3511" i="2"/>
  <c r="Q3514" i="2"/>
  <c r="Q3515" i="2"/>
  <c r="P3516" i="2"/>
  <c r="V3516" i="2" s="1"/>
  <c r="Q3518" i="2"/>
  <c r="Q3519" i="2"/>
  <c r="Q3522" i="2"/>
  <c r="Q3523" i="2"/>
  <c r="P3524" i="2"/>
  <c r="V3524" i="2" s="1"/>
  <c r="Q3526" i="2"/>
  <c r="Q3527" i="2"/>
  <c r="Q3530" i="2"/>
  <c r="Q3531" i="2"/>
  <c r="P3532" i="2"/>
  <c r="V3532" i="2" s="1"/>
  <c r="Q3534" i="2"/>
  <c r="Q3535" i="2"/>
  <c r="Q3538" i="2"/>
  <c r="Q3539" i="2"/>
  <c r="P3540" i="2"/>
  <c r="V3540" i="2" s="1"/>
  <c r="Q3542" i="2"/>
  <c r="Q3543" i="2"/>
  <c r="Q3546" i="2"/>
  <c r="Q3547" i="2"/>
  <c r="P3548" i="2"/>
  <c r="V3548" i="2" s="1"/>
  <c r="Q3550" i="2"/>
  <c r="Q3551" i="2"/>
  <c r="Q3554" i="2"/>
  <c r="Q3555" i="2"/>
  <c r="P3556" i="2"/>
  <c r="V3556" i="2" s="1"/>
  <c r="Q3558" i="2"/>
  <c r="Q3559" i="2"/>
  <c r="Q3562" i="2"/>
  <c r="Q3563" i="2"/>
  <c r="P3564" i="2"/>
  <c r="V3564" i="2" s="1"/>
  <c r="Q3566" i="2"/>
  <c r="Q3567" i="2"/>
  <c r="Q3570" i="2"/>
  <c r="Q3571" i="2"/>
  <c r="P3572" i="2"/>
  <c r="V3572" i="2" s="1"/>
  <c r="Q3574" i="2"/>
  <c r="Q3575" i="2"/>
  <c r="Q3578" i="2"/>
  <c r="Q3579" i="2"/>
  <c r="P3580" i="2"/>
  <c r="V3580" i="2" s="1"/>
  <c r="Q3582" i="2"/>
  <c r="Q3583" i="2"/>
  <c r="Q3586" i="2"/>
  <c r="Q3587" i="2"/>
  <c r="P3588" i="2"/>
  <c r="V3588" i="2" s="1"/>
  <c r="Q3590" i="2"/>
  <c r="Q3591" i="2"/>
  <c r="Q3594" i="2"/>
  <c r="Q3595" i="2"/>
  <c r="P3596" i="2"/>
  <c r="V3596" i="2" s="1"/>
  <c r="Q3598" i="2"/>
  <c r="Q3599" i="2"/>
  <c r="Q3602" i="2"/>
  <c r="Q3603" i="2"/>
  <c r="P3604" i="2"/>
  <c r="V3604" i="2" s="1"/>
  <c r="Q3606" i="2"/>
  <c r="Q3607" i="2"/>
  <c r="Q3610" i="2"/>
  <c r="Q3611" i="2"/>
  <c r="P3612" i="2"/>
  <c r="V3612" i="2" s="1"/>
  <c r="Q3614" i="2"/>
  <c r="Q3615" i="2"/>
  <c r="Q3618" i="2"/>
  <c r="Q3619" i="2"/>
  <c r="P3620" i="2"/>
  <c r="V3620" i="2" s="1"/>
  <c r="Q3622" i="2"/>
  <c r="Q3623" i="2"/>
  <c r="Q3626" i="2"/>
  <c r="Q3627" i="2"/>
  <c r="P3628" i="2"/>
  <c r="V3628" i="2" s="1"/>
  <c r="Q3630" i="2"/>
  <c r="Q3631" i="2"/>
  <c r="Q3634" i="2"/>
  <c r="Q3635" i="2"/>
  <c r="P3636" i="2"/>
  <c r="V3636" i="2" s="1"/>
  <c r="Q3638" i="2"/>
  <c r="Q3639" i="2"/>
  <c r="Q3642" i="2"/>
  <c r="Q3643" i="2"/>
  <c r="P3644" i="2"/>
  <c r="V3644" i="2" s="1"/>
  <c r="Q3646" i="2"/>
  <c r="Q3647" i="2"/>
  <c r="Q3650" i="2"/>
  <c r="Q3651" i="2"/>
  <c r="P3652" i="2"/>
  <c r="V3652" i="2" s="1"/>
  <c r="Q3654" i="2"/>
  <c r="Q3655" i="2"/>
  <c r="Q3658" i="2"/>
  <c r="Q3659" i="2"/>
  <c r="P3660" i="2"/>
  <c r="V3660" i="2" s="1"/>
  <c r="Q3662" i="2"/>
  <c r="Q3663" i="2"/>
  <c r="Q3666" i="2"/>
  <c r="Q3667" i="2"/>
  <c r="P3668" i="2"/>
  <c r="V3668" i="2" s="1"/>
  <c r="Q3670" i="2"/>
  <c r="Q3671" i="2"/>
  <c r="Q3674" i="2"/>
  <c r="Q3675" i="2"/>
  <c r="P3676" i="2"/>
  <c r="V3676" i="2" s="1"/>
  <c r="Q3678" i="2"/>
  <c r="Q3679" i="2"/>
  <c r="Q3682" i="2"/>
  <c r="Q3683" i="2"/>
  <c r="P3684" i="2"/>
  <c r="V3684" i="2" s="1"/>
  <c r="Q3686" i="2"/>
  <c r="Q3687" i="2"/>
  <c r="Q3690" i="2"/>
  <c r="Q3691" i="2"/>
  <c r="P3692" i="2"/>
  <c r="V3692" i="2" s="1"/>
  <c r="Q3694" i="2"/>
  <c r="Q3695" i="2"/>
  <c r="Q3698" i="2"/>
  <c r="Q3699" i="2"/>
  <c r="P3700" i="2"/>
  <c r="V3700" i="2" s="1"/>
  <c r="Q3702" i="2"/>
  <c r="Q3703" i="2"/>
  <c r="Q3706" i="2"/>
  <c r="Q3707" i="2"/>
  <c r="P3708" i="2"/>
  <c r="V3708" i="2" s="1"/>
  <c r="Q3710" i="2"/>
  <c r="Q3711" i="2"/>
  <c r="Q3714" i="2"/>
  <c r="Q3715" i="2"/>
  <c r="P3716" i="2"/>
  <c r="V3716" i="2" s="1"/>
  <c r="Q3718" i="2"/>
  <c r="Q3719" i="2"/>
  <c r="Q3722" i="2"/>
  <c r="Q3723" i="2"/>
  <c r="P3724" i="2"/>
  <c r="V3724" i="2" s="1"/>
  <c r="Q3726" i="2"/>
  <c r="Q3727" i="2"/>
  <c r="Q3730" i="2"/>
  <c r="Q3731" i="2"/>
  <c r="P3732" i="2"/>
  <c r="V3732" i="2" s="1"/>
  <c r="Q3734" i="2"/>
  <c r="Q3735" i="2"/>
  <c r="Q3738" i="2"/>
  <c r="Q3739" i="2"/>
  <c r="P3740" i="2"/>
  <c r="V3740" i="2" s="1"/>
  <c r="Q3742" i="2"/>
  <c r="Q3743" i="2"/>
  <c r="Q3746" i="2"/>
  <c r="Q3747" i="2"/>
  <c r="P3748" i="2"/>
  <c r="V3748" i="2" s="1"/>
  <c r="Q3750" i="2"/>
  <c r="Q3751" i="2"/>
  <c r="Q3754" i="2"/>
  <c r="Q3755" i="2"/>
  <c r="P3756" i="2"/>
  <c r="V3756" i="2" s="1"/>
  <c r="Q3758" i="2"/>
  <c r="Q3759" i="2"/>
  <c r="Q3762" i="2"/>
  <c r="Q3763" i="2"/>
  <c r="P3764" i="2"/>
  <c r="V3764" i="2" s="1"/>
  <c r="Q3766" i="2"/>
  <c r="Q3767" i="2"/>
  <c r="Q3770" i="2"/>
  <c r="Q3771" i="2"/>
  <c r="P3772" i="2"/>
  <c r="V3772" i="2" s="1"/>
  <c r="Q3774" i="2"/>
  <c r="Q3775" i="2"/>
  <c r="Q3778" i="2"/>
  <c r="Q3779" i="2"/>
  <c r="P3780" i="2"/>
  <c r="V3780" i="2" s="1"/>
  <c r="Q3782" i="2"/>
  <c r="Q3783" i="2"/>
  <c r="Q3786" i="2"/>
  <c r="Q3787" i="2"/>
  <c r="P3788" i="2"/>
  <c r="V3788" i="2" s="1"/>
  <c r="Q3790" i="2"/>
  <c r="Q3791" i="2"/>
  <c r="Q3794" i="2"/>
  <c r="Q3795" i="2"/>
  <c r="P3796" i="2"/>
  <c r="V3796" i="2" s="1"/>
  <c r="Q3798" i="2"/>
  <c r="Q3799" i="2"/>
  <c r="Q3802" i="2"/>
  <c r="Q3803" i="2"/>
  <c r="P3804" i="2"/>
  <c r="V3804" i="2" s="1"/>
  <c r="Q3806" i="2"/>
  <c r="Q3807" i="2"/>
  <c r="Q3810" i="2"/>
  <c r="Q3811" i="2"/>
  <c r="P3812" i="2"/>
  <c r="V3812" i="2" s="1"/>
  <c r="Q3814" i="2"/>
  <c r="Q3815" i="2"/>
  <c r="Q3818" i="2"/>
  <c r="Q3819" i="2"/>
  <c r="P3820" i="2"/>
  <c r="V3820" i="2" s="1"/>
  <c r="Q3822" i="2"/>
  <c r="Q3823" i="2"/>
  <c r="Q3826" i="2"/>
  <c r="Q3827" i="2"/>
  <c r="P3828" i="2"/>
  <c r="V3828" i="2" s="1"/>
  <c r="Q3830" i="2"/>
  <c r="Q3831" i="2"/>
  <c r="Q3834" i="2"/>
  <c r="Q3835" i="2"/>
  <c r="P3836" i="2"/>
  <c r="V3836" i="2" s="1"/>
  <c r="Q3838" i="2"/>
  <c r="Q3839" i="2"/>
  <c r="Q3842" i="2"/>
  <c r="Q3843" i="2"/>
  <c r="P3844" i="2"/>
  <c r="V3844" i="2" s="1"/>
  <c r="Q3846" i="2"/>
  <c r="Q3847" i="2"/>
  <c r="Q3850" i="2"/>
  <c r="Q3851" i="2"/>
  <c r="P3852" i="2"/>
  <c r="V3852" i="2" s="1"/>
  <c r="Q3854" i="2"/>
  <c r="Q3855" i="2"/>
  <c r="Q3858" i="2"/>
  <c r="Q3859" i="2"/>
  <c r="P3860" i="2"/>
  <c r="V3860" i="2" s="1"/>
  <c r="Q3862" i="2"/>
  <c r="Q3863" i="2"/>
  <c r="Q3866" i="2"/>
  <c r="Q3867" i="2"/>
  <c r="P3868" i="2"/>
  <c r="V3868" i="2" s="1"/>
  <c r="Q3870" i="2"/>
  <c r="Q3871" i="2"/>
  <c r="Q3874" i="2"/>
  <c r="Q3875" i="2"/>
  <c r="P3876" i="2"/>
  <c r="V3876" i="2" s="1"/>
  <c r="Q3878" i="2"/>
  <c r="Q3879" i="2"/>
  <c r="Q3882" i="2"/>
  <c r="Q3883" i="2"/>
  <c r="P3884" i="2"/>
  <c r="V3884" i="2" s="1"/>
  <c r="Q3886" i="2"/>
  <c r="Q3887" i="2"/>
  <c r="Q3890" i="2"/>
  <c r="Q3891" i="2"/>
  <c r="P3892" i="2"/>
  <c r="V3892" i="2" s="1"/>
  <c r="Q3894" i="2"/>
  <c r="Q3895" i="2"/>
  <c r="Q3898" i="2"/>
  <c r="Q3899" i="2"/>
  <c r="P3900" i="2"/>
  <c r="V3900" i="2" s="1"/>
  <c r="Q3902" i="2"/>
  <c r="Q3903" i="2"/>
  <c r="Q3906" i="2"/>
  <c r="Q3907" i="2"/>
  <c r="P3908" i="2"/>
  <c r="V3908" i="2" s="1"/>
  <c r="Q3910" i="2"/>
  <c r="Q3911" i="2"/>
  <c r="Q3914" i="2"/>
  <c r="Q3915" i="2"/>
  <c r="P3916" i="2"/>
  <c r="V3916" i="2" s="1"/>
  <c r="Q3918" i="2"/>
  <c r="Q3919" i="2"/>
  <c r="Q3922" i="2"/>
  <c r="Q3923" i="2"/>
  <c r="P3924" i="2"/>
  <c r="V3924" i="2" s="1"/>
  <c r="Q3926" i="2"/>
  <c r="Q3927" i="2"/>
  <c r="Q3930" i="2"/>
  <c r="Q3931" i="2"/>
  <c r="P3932" i="2"/>
  <c r="V3932" i="2" s="1"/>
  <c r="Q3934" i="2"/>
  <c r="Q3935" i="2"/>
  <c r="Q3938" i="2"/>
  <c r="Q3939" i="2"/>
  <c r="P3940" i="2"/>
  <c r="V3940" i="2" s="1"/>
  <c r="Q3942" i="2"/>
  <c r="Q3943" i="2"/>
  <c r="Q3946" i="2"/>
  <c r="Q3947" i="2"/>
  <c r="P3948" i="2"/>
  <c r="V3948" i="2" s="1"/>
  <c r="Q3950" i="2"/>
  <c r="Q3951" i="2"/>
  <c r="Q3954" i="2"/>
  <c r="Q3955" i="2"/>
  <c r="P3956" i="2"/>
  <c r="V3956" i="2" s="1"/>
  <c r="Q3958" i="2"/>
  <c r="Q3959" i="2"/>
  <c r="Q3962" i="2"/>
  <c r="Q3963" i="2"/>
  <c r="P3964" i="2"/>
  <c r="V3964" i="2" s="1"/>
  <c r="Q3966" i="2"/>
  <c r="Q3967" i="2"/>
  <c r="Q3970" i="2"/>
  <c r="Q3971" i="2"/>
  <c r="P3972" i="2"/>
  <c r="V3972" i="2" s="1"/>
  <c r="Q3974" i="2"/>
  <c r="Q3975" i="2"/>
  <c r="Q3978" i="2"/>
  <c r="Q3979" i="2"/>
  <c r="P3980" i="2"/>
  <c r="V3980" i="2" s="1"/>
  <c r="Q3982" i="2"/>
  <c r="Q3983" i="2"/>
  <c r="Q3986" i="2"/>
  <c r="Q3987" i="2"/>
  <c r="P3988" i="2"/>
  <c r="V3988" i="2" s="1"/>
  <c r="Q3990" i="2"/>
  <c r="Q3991" i="2"/>
  <c r="Q3994" i="2"/>
  <c r="Q3995" i="2"/>
  <c r="P3996" i="2"/>
  <c r="V3996" i="2" s="1"/>
  <c r="Q3998" i="2"/>
  <c r="Q3999" i="2"/>
  <c r="Q4002" i="2"/>
  <c r="Q4003" i="2"/>
  <c r="P4004" i="2"/>
  <c r="V4004" i="2" s="1"/>
  <c r="Q4006" i="2"/>
  <c r="Q4007" i="2"/>
  <c r="Q4010" i="2"/>
  <c r="Q4011" i="2"/>
  <c r="P4012" i="2"/>
  <c r="V4012" i="2" s="1"/>
  <c r="Q4014" i="2"/>
  <c r="Q4015" i="2"/>
  <c r="Q4018" i="2"/>
  <c r="Q4019" i="2"/>
  <c r="P4020" i="2"/>
  <c r="V4020" i="2" s="1"/>
  <c r="Q4022" i="2"/>
  <c r="Q4023" i="2"/>
  <c r="Q4026" i="2"/>
  <c r="Q4027" i="2"/>
  <c r="P4028" i="2"/>
  <c r="V4028" i="2" s="1"/>
  <c r="Q4030" i="2"/>
  <c r="Q4031" i="2"/>
  <c r="Q4034" i="2"/>
  <c r="Q4035" i="2"/>
  <c r="P4036" i="2"/>
  <c r="V4036" i="2" s="1"/>
  <c r="Q4038" i="2"/>
  <c r="Q4039" i="2"/>
  <c r="Q4042" i="2"/>
  <c r="Q4043" i="2"/>
  <c r="P4044" i="2"/>
  <c r="V4044" i="2" s="1"/>
  <c r="Q4046" i="2"/>
  <c r="Q4047" i="2"/>
  <c r="Q4050" i="2"/>
  <c r="Q4051" i="2"/>
  <c r="P4052" i="2"/>
  <c r="V4052" i="2" s="1"/>
  <c r="Q4054" i="2"/>
  <c r="Q4055" i="2"/>
  <c r="Q4058" i="2"/>
  <c r="Q4059" i="2"/>
  <c r="P4060" i="2"/>
  <c r="V4060" i="2" s="1"/>
  <c r="Q4062" i="2"/>
  <c r="Q4063" i="2"/>
  <c r="Q4066" i="2"/>
  <c r="Q4067" i="2"/>
  <c r="P4068" i="2"/>
  <c r="V4068" i="2" s="1"/>
  <c r="Q4070" i="2"/>
  <c r="Q4071" i="2"/>
  <c r="Q4074" i="2"/>
  <c r="Q4075" i="2"/>
  <c r="P4076" i="2"/>
  <c r="V4076" i="2" s="1"/>
  <c r="Q4078" i="2"/>
  <c r="Q4079" i="2"/>
  <c r="Q4082" i="2"/>
  <c r="Q4083" i="2"/>
  <c r="P4084" i="2"/>
  <c r="V4084" i="2" s="1"/>
  <c r="Q4086" i="2"/>
  <c r="Q4087" i="2"/>
  <c r="Q4090" i="2"/>
  <c r="Q4091" i="2"/>
  <c r="P4092" i="2"/>
  <c r="V4092" i="2" s="1"/>
  <c r="Q4094" i="2"/>
  <c r="Q4095" i="2"/>
  <c r="Q4098" i="2"/>
  <c r="Q4099" i="2"/>
  <c r="P4100" i="2"/>
  <c r="V4100" i="2" s="1"/>
  <c r="Q4102" i="2"/>
  <c r="Q4103" i="2"/>
  <c r="Q4106" i="2"/>
  <c r="Q4107" i="2"/>
  <c r="P4108" i="2"/>
  <c r="V4108" i="2" s="1"/>
  <c r="Q4110" i="2"/>
  <c r="Q4111" i="2"/>
  <c r="Q4114" i="2"/>
  <c r="Q4115" i="2"/>
  <c r="P4116" i="2"/>
  <c r="V4116" i="2" s="1"/>
  <c r="Q4118" i="2"/>
  <c r="Q4119" i="2"/>
  <c r="Q4122" i="2"/>
  <c r="Q4123" i="2"/>
  <c r="P4124" i="2"/>
  <c r="V4124" i="2" s="1"/>
  <c r="Q4126" i="2"/>
  <c r="Q4127" i="2"/>
  <c r="Q4130" i="2"/>
  <c r="Q4131" i="2"/>
  <c r="P4132" i="2"/>
  <c r="V4132" i="2" s="1"/>
  <c r="Q4134" i="2"/>
  <c r="Q4135" i="2"/>
  <c r="Q4138" i="2"/>
  <c r="Q4139" i="2"/>
  <c r="P4140" i="2"/>
  <c r="V4140" i="2" s="1"/>
  <c r="Q4142" i="2"/>
  <c r="Q4143" i="2"/>
  <c r="Q4146" i="2"/>
  <c r="Q4147" i="2"/>
  <c r="P4148" i="2"/>
  <c r="V4148" i="2" s="1"/>
  <c r="Q4150" i="2"/>
  <c r="Q4151" i="2"/>
  <c r="Q4154" i="2"/>
  <c r="Q4155" i="2"/>
  <c r="P4156" i="2"/>
  <c r="V4156" i="2" s="1"/>
  <c r="Q4158" i="2"/>
  <c r="Q4159" i="2"/>
  <c r="Q4162" i="2"/>
  <c r="Q4163" i="2"/>
  <c r="P4164" i="2"/>
  <c r="V4164" i="2" s="1"/>
  <c r="Q4166" i="2"/>
  <c r="Q4167" i="2"/>
  <c r="Q4170" i="2"/>
  <c r="Q4171" i="2"/>
  <c r="P4172" i="2"/>
  <c r="V4172" i="2" s="1"/>
  <c r="Q4174" i="2"/>
  <c r="Q4175" i="2"/>
  <c r="Q4178" i="2"/>
  <c r="Q4179" i="2"/>
  <c r="P4180" i="2"/>
  <c r="V4180" i="2" s="1"/>
  <c r="Q4182" i="2"/>
  <c r="Q4183" i="2"/>
  <c r="Q4186" i="2"/>
  <c r="Q4187" i="2"/>
  <c r="P4188" i="2"/>
  <c r="V4188" i="2" s="1"/>
  <c r="Q4190" i="2"/>
  <c r="Q4191" i="2"/>
  <c r="Q4194" i="2"/>
  <c r="Q4195" i="2"/>
  <c r="P4196" i="2"/>
  <c r="V4196" i="2" s="1"/>
  <c r="Q4198" i="2"/>
  <c r="Q4199" i="2"/>
  <c r="Q4202" i="2"/>
  <c r="Q4203" i="2"/>
  <c r="P4204" i="2"/>
  <c r="V4204" i="2" s="1"/>
  <c r="Q4206" i="2"/>
  <c r="Q4207" i="2"/>
  <c r="Q4210" i="2"/>
  <c r="Q4211" i="2"/>
  <c r="P4212" i="2"/>
  <c r="V4212" i="2" s="1"/>
  <c r="Q4214" i="2"/>
  <c r="Q4215" i="2"/>
  <c r="Q4218" i="2"/>
  <c r="Q4219" i="2"/>
  <c r="P4220" i="2"/>
  <c r="V4220" i="2" s="1"/>
  <c r="Q4222" i="2"/>
  <c r="Q4223" i="2"/>
  <c r="Q4226" i="2"/>
  <c r="Q4227" i="2"/>
  <c r="P4228" i="2"/>
  <c r="V4228" i="2" s="1"/>
  <c r="Q4230" i="2"/>
  <c r="Q4231" i="2"/>
  <c r="Q4234" i="2"/>
  <c r="Q4235" i="2"/>
  <c r="P4236" i="2"/>
  <c r="V4236" i="2" s="1"/>
  <c r="Q4238" i="2"/>
  <c r="Q4239" i="2"/>
  <c r="Q4242" i="2"/>
  <c r="Q4243" i="2"/>
  <c r="P4244" i="2"/>
  <c r="V4244" i="2" s="1"/>
  <c r="Q4246" i="2"/>
  <c r="Q4247" i="2"/>
  <c r="Q4250" i="2"/>
  <c r="Q4251" i="2"/>
  <c r="P4252" i="2"/>
  <c r="V4252" i="2" s="1"/>
  <c r="Q4254" i="2"/>
  <c r="Q4255" i="2"/>
  <c r="Q4258" i="2"/>
  <c r="Q4259" i="2"/>
  <c r="P4260" i="2"/>
  <c r="V4260" i="2" s="1"/>
  <c r="Q4262" i="2"/>
  <c r="Q4263" i="2"/>
  <c r="Q4266" i="2"/>
  <c r="Q4267" i="2"/>
  <c r="P4268" i="2"/>
  <c r="V4268" i="2" s="1"/>
  <c r="Q4270" i="2"/>
  <c r="Q4271" i="2"/>
  <c r="Q4274" i="2"/>
  <c r="Q4275" i="2"/>
  <c r="P4276" i="2"/>
  <c r="V4276" i="2" s="1"/>
  <c r="Q4278" i="2"/>
  <c r="Q4279" i="2"/>
  <c r="Q4282" i="2"/>
  <c r="Q4283" i="2"/>
  <c r="P4284" i="2"/>
  <c r="V4284" i="2" s="1"/>
  <c r="Q4286" i="2"/>
  <c r="Q4287" i="2"/>
  <c r="Q4290" i="2"/>
  <c r="Q4291" i="2"/>
  <c r="P4292" i="2"/>
  <c r="V4292" i="2" s="1"/>
  <c r="Q4294" i="2"/>
  <c r="Q4295" i="2"/>
  <c r="Q4298" i="2"/>
  <c r="Q4299" i="2"/>
  <c r="P4300" i="2"/>
  <c r="V4300" i="2" s="1"/>
  <c r="Q4302" i="2"/>
  <c r="Q4303" i="2"/>
  <c r="Q4306" i="2"/>
  <c r="Q4307" i="2"/>
  <c r="P4308" i="2"/>
  <c r="V4308" i="2" s="1"/>
  <c r="Q4310" i="2"/>
  <c r="Q4311" i="2"/>
  <c r="Q4314" i="2"/>
  <c r="Q4315" i="2"/>
  <c r="P4316" i="2"/>
  <c r="V4316" i="2" s="1"/>
  <c r="Q4318" i="2"/>
  <c r="Q4319" i="2"/>
  <c r="Q4322" i="2"/>
  <c r="Q4323" i="2"/>
  <c r="P4324" i="2"/>
  <c r="V4324" i="2" s="1"/>
  <c r="Q4326" i="2"/>
  <c r="Q4327" i="2"/>
  <c r="Q4330" i="2"/>
  <c r="Q4331" i="2"/>
  <c r="P4332" i="2"/>
  <c r="V4332" i="2" s="1"/>
  <c r="Q4334" i="2"/>
  <c r="Q4335" i="2"/>
  <c r="Q4338" i="2"/>
  <c r="Q4339" i="2"/>
  <c r="P4340" i="2"/>
  <c r="V4340" i="2" s="1"/>
  <c r="Q4342" i="2"/>
  <c r="Q4343" i="2"/>
  <c r="Q4346" i="2"/>
  <c r="Q4347" i="2"/>
  <c r="P4348" i="2"/>
  <c r="V4348" i="2" s="1"/>
  <c r="Q4350" i="2"/>
  <c r="Q4351" i="2"/>
  <c r="Q4354" i="2"/>
  <c r="Q4355" i="2"/>
  <c r="P4356" i="2"/>
  <c r="V4356" i="2" s="1"/>
  <c r="Q4358" i="2"/>
  <c r="Q4359" i="2"/>
  <c r="Q4362" i="2"/>
  <c r="Q4363" i="2"/>
  <c r="P4364" i="2"/>
  <c r="V4364" i="2" s="1"/>
  <c r="Q4366" i="2"/>
  <c r="Q4367" i="2"/>
  <c r="Q4370" i="2"/>
  <c r="Q4371" i="2"/>
  <c r="P4372" i="2"/>
  <c r="V4372" i="2" s="1"/>
  <c r="Q4374" i="2"/>
  <c r="Q4375" i="2"/>
  <c r="Q4378" i="2"/>
  <c r="Q4379" i="2"/>
  <c r="P4380" i="2"/>
  <c r="V4380" i="2" s="1"/>
  <c r="Q4382" i="2"/>
  <c r="Q4383" i="2"/>
  <c r="Q4386" i="2"/>
  <c r="Q4387" i="2"/>
  <c r="P4388" i="2"/>
  <c r="V4388" i="2" s="1"/>
  <c r="Q4390" i="2"/>
  <c r="Q4391" i="2"/>
  <c r="Q4394" i="2"/>
  <c r="Q4395" i="2"/>
  <c r="P4396" i="2"/>
  <c r="V4396" i="2" s="1"/>
  <c r="Q4398" i="2"/>
  <c r="Q4399" i="2"/>
  <c r="Q4402" i="2"/>
  <c r="Q4403" i="2"/>
  <c r="P4404" i="2"/>
  <c r="V4404" i="2" s="1"/>
  <c r="Q4406" i="2"/>
  <c r="Q4407" i="2"/>
  <c r="Q4410" i="2"/>
  <c r="Q4411" i="2"/>
  <c r="P4412" i="2"/>
  <c r="V4412" i="2" s="1"/>
  <c r="Q4414" i="2"/>
  <c r="Q4415" i="2"/>
  <c r="Q4418" i="2"/>
  <c r="Q4419" i="2"/>
  <c r="P4420" i="2"/>
  <c r="V4420" i="2" s="1"/>
  <c r="Q4422" i="2"/>
  <c r="Q4423" i="2"/>
  <c r="Q4426" i="2"/>
  <c r="Q4427" i="2"/>
  <c r="P4428" i="2"/>
  <c r="V4428" i="2" s="1"/>
  <c r="Q4430" i="2"/>
  <c r="Q4431" i="2"/>
  <c r="Q4434" i="2"/>
  <c r="Q4435" i="2"/>
  <c r="P4436" i="2"/>
  <c r="V4436" i="2" s="1"/>
  <c r="Q4438" i="2"/>
  <c r="Q4439" i="2"/>
  <c r="Q4442" i="2"/>
  <c r="Q4443" i="2"/>
  <c r="P4444" i="2"/>
  <c r="V4444" i="2" s="1"/>
  <c r="Q4446" i="2"/>
  <c r="Q4447" i="2"/>
  <c r="Q4450" i="2"/>
  <c r="Q4451" i="2"/>
  <c r="P4452" i="2"/>
  <c r="V4452" i="2" s="1"/>
  <c r="Q4454" i="2"/>
  <c r="Q4455" i="2"/>
  <c r="Q4458" i="2"/>
  <c r="Q4459" i="2"/>
  <c r="P4460" i="2"/>
  <c r="V4460" i="2" s="1"/>
  <c r="Q4462" i="2"/>
  <c r="Q4463" i="2"/>
  <c r="Q4466" i="2"/>
  <c r="Q4467" i="2"/>
  <c r="P4468" i="2"/>
  <c r="V4468" i="2" s="1"/>
  <c r="Q4470" i="2"/>
  <c r="Q4471" i="2"/>
  <c r="Q4474" i="2"/>
  <c r="Q4475" i="2"/>
  <c r="P4476" i="2"/>
  <c r="V4476" i="2" s="1"/>
  <c r="Q4478" i="2"/>
  <c r="Q4479" i="2"/>
  <c r="Q4482" i="2"/>
  <c r="Q4483" i="2"/>
  <c r="P4484" i="2"/>
  <c r="V4484" i="2" s="1"/>
  <c r="Q4486" i="2"/>
  <c r="Q4487" i="2"/>
  <c r="Q4490" i="2"/>
  <c r="Q4491" i="2"/>
  <c r="P4492" i="2"/>
  <c r="V4492" i="2" s="1"/>
  <c r="Q4494" i="2"/>
  <c r="Q4495" i="2"/>
  <c r="Q4498" i="2"/>
  <c r="Q4499" i="2"/>
  <c r="P4500" i="2"/>
  <c r="V4500" i="2" s="1"/>
  <c r="Q4502" i="2"/>
  <c r="Q4503" i="2"/>
  <c r="Q4506" i="2"/>
  <c r="Q4507" i="2"/>
  <c r="P4508" i="2"/>
  <c r="V4508" i="2" s="1"/>
  <c r="Q4510" i="2"/>
  <c r="Q4511" i="2"/>
  <c r="Q4514" i="2"/>
  <c r="Q4515" i="2"/>
  <c r="P4516" i="2"/>
  <c r="V4516" i="2" s="1"/>
  <c r="Q4518" i="2"/>
  <c r="Q4519" i="2"/>
  <c r="Q4522" i="2"/>
  <c r="Q4523" i="2"/>
  <c r="P4524" i="2"/>
  <c r="V4524" i="2" s="1"/>
  <c r="Q4526" i="2"/>
  <c r="Q4527" i="2"/>
  <c r="Q4530" i="2"/>
  <c r="Q4531" i="2"/>
  <c r="P4532" i="2"/>
  <c r="V4532" i="2" s="1"/>
  <c r="Q4534" i="2"/>
  <c r="Q4535" i="2"/>
  <c r="Q4538" i="2"/>
  <c r="Q4539" i="2"/>
  <c r="P4540" i="2"/>
  <c r="V4540" i="2" s="1"/>
  <c r="Q4542" i="2"/>
  <c r="Q4543" i="2"/>
  <c r="Q4546" i="2"/>
  <c r="Q4547" i="2"/>
  <c r="P4548" i="2"/>
  <c r="V4548" i="2" s="1"/>
  <c r="Q4550" i="2"/>
  <c r="Q4551" i="2"/>
  <c r="Q4554" i="2"/>
  <c r="Q4555" i="2"/>
  <c r="P4556" i="2"/>
  <c r="V4556" i="2" s="1"/>
  <c r="Q4558" i="2"/>
  <c r="Q4559" i="2"/>
  <c r="Q4562" i="2"/>
  <c r="Q4563" i="2"/>
  <c r="P4564" i="2"/>
  <c r="V4564" i="2" s="1"/>
  <c r="Q4566" i="2"/>
  <c r="Q4567" i="2"/>
  <c r="Q4570" i="2"/>
  <c r="Q4571" i="2"/>
  <c r="P4572" i="2"/>
  <c r="V4572" i="2" s="1"/>
  <c r="Q4574" i="2"/>
  <c r="Q4575" i="2"/>
  <c r="Q4578" i="2"/>
  <c r="Q4579" i="2"/>
  <c r="P4580" i="2"/>
  <c r="V4580" i="2" s="1"/>
  <c r="Q4582" i="2"/>
  <c r="Q4583" i="2"/>
  <c r="Q4586" i="2"/>
  <c r="Q4587" i="2"/>
  <c r="P4588" i="2"/>
  <c r="V4588" i="2" s="1"/>
  <c r="Q4590" i="2"/>
  <c r="Q4591" i="2"/>
  <c r="Q4594" i="2"/>
  <c r="Q4595" i="2"/>
  <c r="P4596" i="2"/>
  <c r="V4596" i="2" s="1"/>
  <c r="Q4598" i="2"/>
  <c r="Q4599" i="2"/>
  <c r="Q4602" i="2"/>
  <c r="Q4603" i="2"/>
  <c r="P4604" i="2"/>
  <c r="V4604" i="2" s="1"/>
  <c r="Q4606" i="2"/>
  <c r="Q4607" i="2"/>
  <c r="Q4610" i="2"/>
  <c r="Q4611" i="2"/>
  <c r="P4612" i="2"/>
  <c r="V4612" i="2" s="1"/>
  <c r="Q4614" i="2"/>
  <c r="Q4615" i="2"/>
  <c r="Q4618" i="2"/>
  <c r="Q4619" i="2"/>
  <c r="P4620" i="2"/>
  <c r="V4620" i="2" s="1"/>
  <c r="Q4622" i="2"/>
  <c r="Q4623" i="2"/>
  <c r="Q4626" i="2"/>
  <c r="Q4627" i="2"/>
  <c r="P4628" i="2"/>
  <c r="V4628" i="2" s="1"/>
  <c r="Q4630" i="2"/>
  <c r="Q4631" i="2"/>
  <c r="Q4634" i="2"/>
  <c r="Q4635" i="2"/>
  <c r="P4636" i="2"/>
  <c r="V4636" i="2" s="1"/>
  <c r="Q4638" i="2"/>
  <c r="Q4639" i="2"/>
  <c r="Q4642" i="2"/>
  <c r="Q4643" i="2"/>
  <c r="P4644" i="2"/>
  <c r="V4644" i="2" s="1"/>
  <c r="Q4646" i="2"/>
  <c r="Q4647" i="2"/>
  <c r="Q4650" i="2"/>
  <c r="Q4651" i="2"/>
  <c r="P4652" i="2"/>
  <c r="V4652" i="2" s="1"/>
  <c r="Q4654" i="2"/>
  <c r="Q4655" i="2"/>
  <c r="Q4658" i="2"/>
  <c r="Q4659" i="2"/>
  <c r="P4660" i="2"/>
  <c r="V4660" i="2" s="1"/>
  <c r="Q4662" i="2"/>
  <c r="Q4663" i="2"/>
  <c r="Q4666" i="2"/>
  <c r="Q4667" i="2"/>
  <c r="P4668" i="2"/>
  <c r="V4668" i="2" s="1"/>
  <c r="Q4670" i="2"/>
  <c r="Q4671" i="2"/>
  <c r="Q4674" i="2"/>
  <c r="Q4675" i="2"/>
  <c r="P4676" i="2"/>
  <c r="V4676" i="2" s="1"/>
  <c r="Q4678" i="2"/>
  <c r="Q4679" i="2"/>
  <c r="Q4682" i="2"/>
  <c r="Q4683" i="2"/>
  <c r="P4684" i="2"/>
  <c r="V4684" i="2" s="1"/>
  <c r="Q4686" i="2"/>
  <c r="Q4687" i="2"/>
  <c r="Q4690" i="2"/>
  <c r="Q4691" i="2"/>
  <c r="P4692" i="2"/>
  <c r="V4692" i="2" s="1"/>
  <c r="Q4694" i="2"/>
  <c r="Q4695" i="2"/>
  <c r="Q4698" i="2"/>
  <c r="Q4699" i="2"/>
  <c r="P4700" i="2"/>
  <c r="V4700" i="2" s="1"/>
  <c r="Q4702" i="2"/>
  <c r="Q4703" i="2"/>
  <c r="Q4706" i="2"/>
  <c r="Q4707" i="2"/>
  <c r="P4708" i="2"/>
  <c r="V4708" i="2" s="1"/>
  <c r="Q4710" i="2"/>
  <c r="Q4711" i="2"/>
  <c r="Q4714" i="2"/>
  <c r="Q4715" i="2"/>
  <c r="P4716" i="2"/>
  <c r="V4716" i="2" s="1"/>
  <c r="Q4718" i="2"/>
  <c r="Q4719" i="2"/>
  <c r="Q4722" i="2"/>
  <c r="Q4723" i="2"/>
  <c r="P4724" i="2"/>
  <c r="V4724" i="2" s="1"/>
  <c r="Q4726" i="2"/>
  <c r="Q4727" i="2"/>
  <c r="Q4730" i="2"/>
  <c r="Q4731" i="2"/>
  <c r="P4732" i="2"/>
  <c r="V4732" i="2" s="1"/>
  <c r="Q4734" i="2"/>
  <c r="Q4735" i="2"/>
  <c r="Q4738" i="2"/>
  <c r="Q4739" i="2"/>
  <c r="P4740" i="2"/>
  <c r="V4740" i="2" s="1"/>
  <c r="Q4742" i="2"/>
  <c r="Q4743" i="2"/>
  <c r="Q4746" i="2"/>
  <c r="Q4747" i="2"/>
  <c r="P4748" i="2"/>
  <c r="V4748" i="2" s="1"/>
  <c r="Q4750" i="2"/>
  <c r="Q4751" i="2"/>
  <c r="Q4754" i="2"/>
  <c r="Q4755" i="2"/>
  <c r="P4756" i="2"/>
  <c r="V4756" i="2" s="1"/>
  <c r="Q4758" i="2"/>
  <c r="Q4759" i="2"/>
  <c r="Q4762" i="2"/>
  <c r="Q4763" i="2"/>
  <c r="P4764" i="2"/>
  <c r="V4764" i="2" s="1"/>
  <c r="Q4766" i="2"/>
  <c r="Q4767" i="2"/>
  <c r="Q4770" i="2"/>
  <c r="Q4771" i="2"/>
  <c r="P4772" i="2"/>
  <c r="V4772" i="2" s="1"/>
  <c r="Q4774" i="2"/>
  <c r="Q4775" i="2"/>
  <c r="Q4778" i="2"/>
  <c r="Q4779" i="2"/>
  <c r="P4780" i="2"/>
  <c r="V4780" i="2" s="1"/>
  <c r="Q4782" i="2"/>
  <c r="Q4783" i="2"/>
  <c r="Q4786" i="2"/>
  <c r="Q4787" i="2"/>
  <c r="P4788" i="2"/>
  <c r="V4788" i="2" s="1"/>
  <c r="Q4790" i="2"/>
  <c r="Q4791" i="2"/>
  <c r="Q4794" i="2"/>
  <c r="Q4795" i="2"/>
  <c r="P4796" i="2"/>
  <c r="V4796" i="2" s="1"/>
  <c r="Q4798" i="2"/>
  <c r="Q4799" i="2"/>
  <c r="Q4802" i="2"/>
  <c r="Q4803" i="2"/>
  <c r="P4804" i="2"/>
  <c r="V4804" i="2" s="1"/>
  <c r="Q4806" i="2"/>
  <c r="Q4807" i="2"/>
  <c r="Q4810" i="2"/>
  <c r="Q4811" i="2"/>
  <c r="P4812" i="2"/>
  <c r="V4812" i="2" s="1"/>
  <c r="Q4814" i="2"/>
  <c r="Q4815" i="2"/>
  <c r="Q4818" i="2"/>
  <c r="Q4819" i="2"/>
  <c r="P4820" i="2"/>
  <c r="V4820" i="2" s="1"/>
  <c r="Q4822" i="2"/>
  <c r="Q4823" i="2"/>
  <c r="Q4826" i="2"/>
  <c r="Q4827" i="2"/>
  <c r="P4828" i="2"/>
  <c r="V4828" i="2" s="1"/>
  <c r="Q4830" i="2"/>
  <c r="Q4831" i="2"/>
  <c r="Q4834" i="2"/>
  <c r="Q4835" i="2"/>
  <c r="P4836" i="2"/>
  <c r="V4836" i="2" s="1"/>
  <c r="Q4838" i="2"/>
  <c r="Q4839" i="2"/>
  <c r="Q4842" i="2"/>
  <c r="Q4843" i="2"/>
  <c r="P4844" i="2"/>
  <c r="V4844" i="2" s="1"/>
  <c r="Q4846" i="2"/>
  <c r="Q4847" i="2"/>
  <c r="Q4850" i="2"/>
  <c r="Q4851" i="2"/>
  <c r="P4852" i="2"/>
  <c r="V4852" i="2" s="1"/>
  <c r="Q4854" i="2"/>
  <c r="Q4855" i="2"/>
  <c r="Q4858" i="2"/>
  <c r="Q4859" i="2"/>
  <c r="P4860" i="2"/>
  <c r="V4860" i="2" s="1"/>
  <c r="Q4862" i="2"/>
  <c r="Q4863" i="2"/>
  <c r="Q4866" i="2"/>
  <c r="Q4867" i="2"/>
  <c r="P4868" i="2"/>
  <c r="V4868" i="2" s="1"/>
  <c r="Q4870" i="2"/>
  <c r="Q4871" i="2"/>
  <c r="Q4874" i="2"/>
  <c r="Q4875" i="2"/>
  <c r="P4876" i="2"/>
  <c r="V4876" i="2" s="1"/>
  <c r="Q4878" i="2"/>
  <c r="Q4879" i="2"/>
  <c r="Q4882" i="2"/>
  <c r="Q4883" i="2"/>
  <c r="P4884" i="2"/>
  <c r="V4884" i="2" s="1"/>
  <c r="Q4886" i="2"/>
  <c r="Q4887" i="2"/>
  <c r="Q4890" i="2"/>
  <c r="Q4891" i="2"/>
  <c r="P4892" i="2"/>
  <c r="V4892" i="2" s="1"/>
  <c r="Q4894" i="2"/>
  <c r="Q4895" i="2"/>
  <c r="Q4898" i="2"/>
  <c r="Q4899" i="2"/>
  <c r="P4900" i="2"/>
  <c r="V4900" i="2" s="1"/>
  <c r="Q4902" i="2"/>
  <c r="Q4903" i="2"/>
  <c r="Q4906" i="2"/>
  <c r="Q4907" i="2"/>
  <c r="P4908" i="2"/>
  <c r="V4908" i="2" s="1"/>
  <c r="Q4910" i="2"/>
  <c r="Q4911" i="2"/>
  <c r="Q4914" i="2"/>
  <c r="Q4915" i="2"/>
  <c r="P4916" i="2"/>
  <c r="V4916" i="2" s="1"/>
  <c r="Q4918" i="2"/>
  <c r="Q4919" i="2"/>
  <c r="Q4922" i="2"/>
  <c r="Q4923" i="2"/>
  <c r="P4924" i="2"/>
  <c r="V4924" i="2" s="1"/>
  <c r="Q4926" i="2"/>
  <c r="Q4927" i="2"/>
  <c r="Q4930" i="2"/>
  <c r="Q4931" i="2"/>
  <c r="P4932" i="2"/>
  <c r="V4932" i="2" s="1"/>
  <c r="Q4934" i="2"/>
  <c r="Q4935" i="2"/>
  <c r="Q4938" i="2"/>
  <c r="Q4939" i="2"/>
  <c r="P4940" i="2"/>
  <c r="V4940" i="2" s="1"/>
  <c r="Q4942" i="2"/>
  <c r="Q4943" i="2"/>
  <c r="Q4946" i="2"/>
  <c r="Q4947" i="2"/>
  <c r="P4948" i="2"/>
  <c r="V4948" i="2" s="1"/>
  <c r="Q4950" i="2"/>
  <c r="Q4951" i="2"/>
  <c r="Q4954" i="2"/>
  <c r="Q4955" i="2"/>
  <c r="P4956" i="2"/>
  <c r="V4956" i="2" s="1"/>
  <c r="Q4958" i="2"/>
  <c r="Q4959" i="2"/>
  <c r="Q4962" i="2"/>
  <c r="Q4963" i="2"/>
  <c r="P4964" i="2"/>
  <c r="V4964" i="2" s="1"/>
  <c r="Q4966" i="2"/>
  <c r="Q4967" i="2"/>
  <c r="Q4970" i="2"/>
  <c r="Q4971" i="2"/>
  <c r="P4972" i="2"/>
  <c r="V4972" i="2" s="1"/>
  <c r="Q4974" i="2"/>
  <c r="Q4975" i="2"/>
  <c r="Q4978" i="2"/>
  <c r="Q4979" i="2"/>
  <c r="P4980" i="2"/>
  <c r="V4980" i="2" s="1"/>
  <c r="Q4982" i="2"/>
  <c r="Q4983" i="2"/>
  <c r="Q4986" i="2"/>
  <c r="Q4987" i="2"/>
  <c r="P4988" i="2"/>
  <c r="V4988" i="2" s="1"/>
  <c r="Q4990" i="2"/>
  <c r="Q4991" i="2"/>
  <c r="Q4994" i="2"/>
  <c r="Q4995" i="2"/>
  <c r="P4996" i="2"/>
  <c r="V4996" i="2" s="1"/>
  <c r="Q4998" i="2"/>
  <c r="Q4999" i="2"/>
  <c r="Q5002" i="2"/>
  <c r="Q5003" i="2"/>
  <c r="P5004" i="2"/>
  <c r="V5004" i="2" s="1"/>
  <c r="Q5006" i="2"/>
  <c r="Q5007" i="2"/>
  <c r="Q5010" i="2"/>
  <c r="Q5011" i="2"/>
  <c r="P5012" i="2"/>
  <c r="V5012" i="2" s="1"/>
  <c r="Q5014" i="2"/>
  <c r="Q5015" i="2"/>
  <c r="Q5018" i="2"/>
  <c r="Q5019" i="2"/>
  <c r="P5020" i="2"/>
  <c r="V5020" i="2" s="1"/>
  <c r="Q5022" i="2"/>
  <c r="Q5023" i="2"/>
  <c r="Q5026" i="2"/>
  <c r="Q5027" i="2"/>
  <c r="P5028" i="2"/>
  <c r="V5028" i="2" s="1"/>
  <c r="Q5030" i="2"/>
  <c r="Q5031" i="2"/>
  <c r="Q5034" i="2"/>
  <c r="Q5035" i="2"/>
  <c r="P5036" i="2"/>
  <c r="V5036" i="2" s="1"/>
  <c r="Q5038" i="2"/>
  <c r="Q5039" i="2"/>
  <c r="Q5042" i="2"/>
  <c r="Q5043" i="2"/>
  <c r="P5044" i="2"/>
  <c r="V5044" i="2" s="1"/>
  <c r="Q5046" i="2"/>
  <c r="Q5047" i="2"/>
  <c r="Q5050" i="2"/>
  <c r="Q5051" i="2"/>
  <c r="P5052" i="2"/>
  <c r="V5052" i="2" s="1"/>
  <c r="Q5054" i="2"/>
  <c r="Q5055" i="2"/>
  <c r="Q5058" i="2"/>
  <c r="Q5059" i="2"/>
  <c r="P5060" i="2"/>
  <c r="V5060" i="2" s="1"/>
  <c r="Q5062" i="2"/>
  <c r="Q5063" i="2"/>
  <c r="Q5066" i="2"/>
  <c r="Q5067" i="2"/>
  <c r="P5068" i="2"/>
  <c r="V5068" i="2" s="1"/>
  <c r="Q5070" i="2"/>
  <c r="Q5071" i="2"/>
  <c r="Q5074" i="2"/>
  <c r="Q5075" i="2"/>
  <c r="P5076" i="2"/>
  <c r="V5076" i="2" s="1"/>
  <c r="Q5078" i="2"/>
  <c r="Q5079" i="2"/>
  <c r="Q5082" i="2"/>
  <c r="Q5083" i="2"/>
  <c r="P5084" i="2"/>
  <c r="V5084" i="2" s="1"/>
  <c r="Q5086" i="2"/>
  <c r="Q5087" i="2"/>
  <c r="Q5090" i="2"/>
  <c r="Q5091" i="2"/>
  <c r="P5092" i="2"/>
  <c r="V5092" i="2" s="1"/>
  <c r="Q5094" i="2"/>
  <c r="Q5095" i="2"/>
  <c r="Q5098" i="2"/>
  <c r="Q5099" i="2"/>
  <c r="P5100" i="2"/>
  <c r="V5100" i="2" s="1"/>
  <c r="Q5102" i="2"/>
  <c r="Q5103" i="2"/>
  <c r="Q5106" i="2"/>
  <c r="Q5107" i="2"/>
  <c r="P5108" i="2"/>
  <c r="V5108" i="2" s="1"/>
  <c r="Q5110" i="2"/>
  <c r="Q5111" i="2"/>
  <c r="Q5114" i="2"/>
  <c r="Q5115" i="2"/>
  <c r="P5116" i="2"/>
  <c r="V5116" i="2" s="1"/>
  <c r="Q5118" i="2"/>
  <c r="Q5119" i="2"/>
  <c r="Q5122" i="2"/>
  <c r="Q5123" i="2"/>
  <c r="P5124" i="2"/>
  <c r="V5124" i="2" s="1"/>
  <c r="Q5126" i="2"/>
  <c r="Q5127" i="2"/>
  <c r="Q5130" i="2"/>
  <c r="Q5131" i="2"/>
  <c r="P5132" i="2"/>
  <c r="V5132" i="2" s="1"/>
  <c r="Q5134" i="2"/>
  <c r="Q5135" i="2"/>
  <c r="Q5138" i="2"/>
  <c r="Q5139" i="2"/>
  <c r="P5140" i="2"/>
  <c r="V5140" i="2" s="1"/>
  <c r="Q5142" i="2"/>
  <c r="Q5143" i="2"/>
  <c r="Q5146" i="2"/>
  <c r="Q5147" i="2"/>
  <c r="P5148" i="2"/>
  <c r="V5148" i="2" s="1"/>
  <c r="Q5150" i="2"/>
  <c r="Q5151" i="2"/>
  <c r="Q5154" i="2"/>
  <c r="Q5155" i="2"/>
  <c r="P5156" i="2"/>
  <c r="V5156" i="2" s="1"/>
  <c r="Q5158" i="2"/>
  <c r="Q5159" i="2"/>
  <c r="Q5162" i="2"/>
  <c r="Q5163" i="2"/>
  <c r="P5164" i="2"/>
  <c r="V5164" i="2" s="1"/>
  <c r="Q5166" i="2"/>
  <c r="Q5167" i="2"/>
  <c r="Q5170" i="2"/>
  <c r="Q5171" i="2"/>
  <c r="P5172" i="2"/>
  <c r="V5172" i="2" s="1"/>
  <c r="Q5174" i="2"/>
  <c r="Q5175" i="2"/>
  <c r="Q5178" i="2"/>
  <c r="Q5179" i="2"/>
  <c r="P5180" i="2"/>
  <c r="V5180" i="2" s="1"/>
  <c r="Q5182" i="2"/>
  <c r="Q5183" i="2"/>
  <c r="Q5186" i="2"/>
  <c r="Q5187" i="2"/>
  <c r="P5188" i="2"/>
  <c r="V5188" i="2" s="1"/>
  <c r="Q5190" i="2"/>
  <c r="Q5191" i="2"/>
  <c r="Q5194" i="2"/>
  <c r="Q5195" i="2"/>
  <c r="P5196" i="2"/>
  <c r="V5196" i="2" s="1"/>
  <c r="Q5198" i="2"/>
  <c r="Q5199" i="2"/>
  <c r="Q5202" i="2"/>
  <c r="Q5203" i="2"/>
  <c r="P5204" i="2"/>
  <c r="V5204" i="2" s="1"/>
  <c r="Q5206" i="2"/>
  <c r="Q5207" i="2"/>
  <c r="Q5210" i="2"/>
  <c r="Q5211" i="2"/>
  <c r="P5212" i="2"/>
  <c r="V5212" i="2" s="1"/>
  <c r="Q5214" i="2"/>
  <c r="Q5215" i="2"/>
  <c r="Q5218" i="2"/>
  <c r="Q5219" i="2"/>
  <c r="P5220" i="2"/>
  <c r="V5220" i="2" s="1"/>
  <c r="Q5222" i="2"/>
  <c r="Q5223" i="2"/>
  <c r="Q5226" i="2"/>
  <c r="Q5227" i="2"/>
  <c r="P5228" i="2"/>
  <c r="V5228" i="2" s="1"/>
  <c r="Q5230" i="2"/>
  <c r="Q5231" i="2"/>
  <c r="Q5234" i="2"/>
  <c r="Q5235" i="2"/>
  <c r="P5236" i="2"/>
  <c r="V5236" i="2" s="1"/>
  <c r="Q5238" i="2"/>
  <c r="Q5239" i="2"/>
  <c r="Q5242" i="2"/>
  <c r="Q5243" i="2"/>
  <c r="P5244" i="2"/>
  <c r="V5244" i="2" s="1"/>
  <c r="Q5246" i="2"/>
  <c r="Q5247" i="2"/>
  <c r="Q5250" i="2"/>
  <c r="Q5251" i="2"/>
  <c r="P5252" i="2"/>
  <c r="V5252" i="2" s="1"/>
  <c r="Q5254" i="2"/>
  <c r="Q5255" i="2"/>
  <c r="Q5258" i="2"/>
  <c r="Q5259" i="2"/>
  <c r="P5260" i="2"/>
  <c r="V5260" i="2" s="1"/>
  <c r="Q5262" i="2"/>
  <c r="Q5263" i="2"/>
  <c r="Q5266" i="2"/>
  <c r="Q5267" i="2"/>
  <c r="P5268" i="2"/>
  <c r="V5268" i="2" s="1"/>
  <c r="Q5270" i="2"/>
  <c r="Q5271" i="2"/>
  <c r="Q5274" i="2"/>
  <c r="Q5275" i="2"/>
  <c r="P5276" i="2"/>
  <c r="V5276" i="2" s="1"/>
  <c r="Q5278" i="2"/>
  <c r="Q5279" i="2"/>
  <c r="Q5282" i="2"/>
  <c r="Q5283" i="2"/>
  <c r="P5284" i="2"/>
  <c r="V5284" i="2" s="1"/>
  <c r="Q5286" i="2"/>
  <c r="Q5287" i="2"/>
  <c r="Q5290" i="2"/>
  <c r="Q5291" i="2"/>
  <c r="P5292" i="2"/>
  <c r="V5292" i="2" s="1"/>
  <c r="Q5294" i="2"/>
  <c r="Q5295" i="2"/>
  <c r="Q5298" i="2"/>
  <c r="Q5299" i="2"/>
  <c r="P5300" i="2"/>
  <c r="V5300" i="2" s="1"/>
  <c r="Q5302" i="2"/>
  <c r="Q5303" i="2"/>
  <c r="Q5306" i="2"/>
  <c r="Q5307" i="2"/>
  <c r="P5308" i="2"/>
  <c r="V5308" i="2" s="1"/>
  <c r="Q5310" i="2"/>
  <c r="Q5311" i="2"/>
  <c r="Q5314" i="2"/>
  <c r="Q5315" i="2"/>
  <c r="P5316" i="2"/>
  <c r="V5316" i="2" s="1"/>
  <c r="Q5318" i="2"/>
  <c r="Q5319" i="2"/>
  <c r="Q5322" i="2"/>
  <c r="Q5323" i="2"/>
  <c r="P5324" i="2"/>
  <c r="V5324" i="2" s="1"/>
  <c r="Q5326" i="2"/>
  <c r="Q5327" i="2"/>
  <c r="Q5330" i="2"/>
  <c r="Q5331" i="2"/>
  <c r="P5332" i="2"/>
  <c r="V5332" i="2" s="1"/>
  <c r="Q5334" i="2"/>
  <c r="Q5335" i="2"/>
  <c r="Q5338" i="2"/>
  <c r="Q5339" i="2"/>
  <c r="P5340" i="2"/>
  <c r="V5340" i="2" s="1"/>
  <c r="Q5342" i="2"/>
  <c r="Q5343" i="2"/>
  <c r="Q5346" i="2"/>
  <c r="Q5347" i="2"/>
  <c r="P5348" i="2"/>
  <c r="V5348" i="2" s="1"/>
  <c r="Q5350" i="2"/>
  <c r="Q5351" i="2"/>
  <c r="Q5354" i="2"/>
  <c r="Q5355" i="2"/>
  <c r="P5356" i="2"/>
  <c r="V5356" i="2" s="1"/>
  <c r="Q5358" i="2"/>
  <c r="Q5359" i="2"/>
  <c r="Q5362" i="2"/>
  <c r="Q5363" i="2"/>
  <c r="P5364" i="2"/>
  <c r="V5364" i="2" s="1"/>
  <c r="Q5366" i="2"/>
  <c r="Q5367" i="2"/>
  <c r="Q5370" i="2"/>
  <c r="Q5371" i="2"/>
  <c r="P5372" i="2"/>
  <c r="V5372" i="2" s="1"/>
  <c r="Q5374" i="2"/>
  <c r="Q5375" i="2"/>
  <c r="Q5378" i="2"/>
  <c r="Q5379" i="2"/>
  <c r="P5380" i="2"/>
  <c r="V5380" i="2" s="1"/>
  <c r="Q5382" i="2"/>
  <c r="Q5383" i="2"/>
  <c r="Q5386" i="2"/>
  <c r="Q5387" i="2"/>
  <c r="P5388" i="2"/>
  <c r="V5388" i="2" s="1"/>
  <c r="Q5390" i="2"/>
  <c r="Q5391" i="2"/>
  <c r="Q5394" i="2"/>
  <c r="Q5395" i="2"/>
  <c r="P5396" i="2"/>
  <c r="V5396" i="2" s="1"/>
  <c r="Q5398" i="2"/>
  <c r="Q5399" i="2"/>
  <c r="Q5402" i="2"/>
  <c r="Q5403" i="2"/>
  <c r="P5404" i="2"/>
  <c r="V5404" i="2" s="1"/>
  <c r="Q5406" i="2"/>
  <c r="Q5407" i="2"/>
  <c r="Q5410" i="2"/>
  <c r="Q5411" i="2"/>
  <c r="P5412" i="2"/>
  <c r="V5412" i="2" s="1"/>
  <c r="Q5414" i="2"/>
  <c r="Q5415" i="2"/>
  <c r="Q5418" i="2"/>
  <c r="Q5419" i="2"/>
  <c r="P5420" i="2"/>
  <c r="V5420" i="2" s="1"/>
  <c r="Q5422" i="2"/>
  <c r="Q5423" i="2"/>
  <c r="Q5426" i="2"/>
  <c r="Q5427" i="2"/>
  <c r="P5428" i="2"/>
  <c r="V5428" i="2" s="1"/>
  <c r="Q5430" i="2"/>
  <c r="Q5431" i="2"/>
  <c r="Q5434" i="2"/>
  <c r="Q5435" i="2"/>
  <c r="P5436" i="2"/>
  <c r="V5436" i="2" s="1"/>
  <c r="Q5438" i="2"/>
  <c r="Q5439" i="2"/>
  <c r="Q5442" i="2"/>
  <c r="Q5443" i="2"/>
  <c r="P5444" i="2"/>
  <c r="V5444" i="2" s="1"/>
  <c r="Q5446" i="2"/>
  <c r="Q5447" i="2"/>
  <c r="Q5450" i="2"/>
  <c r="Q5451" i="2"/>
  <c r="P5452" i="2"/>
  <c r="V5452" i="2" s="1"/>
  <c r="Q5454" i="2"/>
  <c r="Q5455" i="2"/>
  <c r="Q5458" i="2"/>
  <c r="Q5459" i="2"/>
  <c r="P5460" i="2"/>
  <c r="V5460" i="2" s="1"/>
  <c r="Q5462" i="2"/>
  <c r="Q5463" i="2"/>
  <c r="Q5466" i="2"/>
  <c r="Q5467" i="2"/>
  <c r="P5468" i="2"/>
  <c r="V5468" i="2" s="1"/>
  <c r="Q5470" i="2"/>
  <c r="Q5471" i="2"/>
  <c r="Q5474" i="2"/>
  <c r="Q5475" i="2"/>
  <c r="P5476" i="2"/>
  <c r="V5476" i="2" s="1"/>
  <c r="Q5478" i="2"/>
  <c r="Q5479" i="2"/>
  <c r="Q5482" i="2"/>
  <c r="Q5483" i="2"/>
  <c r="P5484" i="2"/>
  <c r="V5484" i="2" s="1"/>
  <c r="Q5486" i="2"/>
  <c r="Q5487" i="2"/>
  <c r="Q5490" i="2"/>
  <c r="Q5491" i="2"/>
  <c r="P5492" i="2"/>
  <c r="V5492" i="2" s="1"/>
  <c r="Q5494" i="2"/>
  <c r="Q5495" i="2"/>
  <c r="Q5498" i="2"/>
  <c r="Q5499" i="2"/>
  <c r="P5500" i="2"/>
  <c r="V5500" i="2" s="1"/>
  <c r="Q5502" i="2"/>
  <c r="Q5503" i="2"/>
  <c r="Q5506" i="2"/>
  <c r="Q5507" i="2"/>
  <c r="P5508" i="2"/>
  <c r="V5508" i="2" s="1"/>
  <c r="Q5510" i="2"/>
  <c r="Q5511" i="2"/>
  <c r="Q5514" i="2"/>
  <c r="Q5515" i="2"/>
  <c r="P5516" i="2"/>
  <c r="V5516" i="2" s="1"/>
  <c r="Q5518" i="2"/>
  <c r="Q5519" i="2"/>
  <c r="Q5522" i="2"/>
  <c r="Q5523" i="2"/>
  <c r="P5524" i="2"/>
  <c r="V5524" i="2" s="1"/>
  <c r="Q5526" i="2"/>
  <c r="Q5527" i="2"/>
  <c r="Q5530" i="2"/>
  <c r="Q5531" i="2"/>
  <c r="P5532" i="2"/>
  <c r="V5532" i="2" s="1"/>
  <c r="Q5534" i="2"/>
  <c r="Q5535" i="2"/>
  <c r="Q5538" i="2"/>
  <c r="Q5539" i="2"/>
  <c r="P5540" i="2"/>
  <c r="V5540" i="2" s="1"/>
  <c r="Q5542" i="2"/>
  <c r="Q5543" i="2"/>
  <c r="Q5546" i="2"/>
  <c r="Q5547" i="2"/>
  <c r="P5548" i="2"/>
  <c r="V5548" i="2" s="1"/>
  <c r="Q5550" i="2"/>
  <c r="Q5551" i="2"/>
  <c r="Q5554" i="2"/>
  <c r="Q5555" i="2"/>
  <c r="P5556" i="2"/>
  <c r="V5556" i="2" s="1"/>
  <c r="Q5558" i="2"/>
  <c r="Q5559" i="2"/>
  <c r="Q5562" i="2"/>
  <c r="Q5563" i="2"/>
  <c r="P5564" i="2"/>
  <c r="V5564" i="2" s="1"/>
  <c r="Q5566" i="2"/>
  <c r="Q5567" i="2"/>
  <c r="Q5570" i="2"/>
  <c r="Q5571" i="2"/>
  <c r="P5572" i="2"/>
  <c r="V5572" i="2" s="1"/>
  <c r="Q5574" i="2"/>
  <c r="Q5575" i="2"/>
  <c r="Q5578" i="2"/>
  <c r="Q5579" i="2"/>
  <c r="P5580" i="2"/>
  <c r="V5580" i="2" s="1"/>
  <c r="Q5582" i="2"/>
  <c r="Q5583" i="2"/>
  <c r="Q5586" i="2"/>
  <c r="Q5587" i="2"/>
  <c r="P5588" i="2"/>
  <c r="V5588" i="2" s="1"/>
  <c r="Q5590" i="2"/>
  <c r="Q5591" i="2"/>
  <c r="Q5594" i="2"/>
  <c r="Q5595" i="2"/>
  <c r="P5596" i="2"/>
  <c r="V5596" i="2" s="1"/>
  <c r="Q5598" i="2"/>
  <c r="Q5599" i="2"/>
  <c r="Q5602" i="2"/>
  <c r="Q5603" i="2"/>
  <c r="P5604" i="2"/>
  <c r="V5604" i="2" s="1"/>
  <c r="Q5606" i="2"/>
  <c r="Q5607" i="2"/>
  <c r="Q5610" i="2"/>
  <c r="Q5611" i="2"/>
  <c r="P5612" i="2"/>
  <c r="V5612" i="2" s="1"/>
  <c r="Q5614" i="2"/>
  <c r="Q5615" i="2"/>
  <c r="Q5618" i="2"/>
  <c r="Q5619" i="2"/>
  <c r="P5620" i="2"/>
  <c r="V5620" i="2" s="1"/>
  <c r="Q5622" i="2"/>
  <c r="Q5623" i="2"/>
  <c r="Q5626" i="2"/>
  <c r="Q5627" i="2"/>
  <c r="P5628" i="2"/>
  <c r="V5628" i="2" s="1"/>
  <c r="Q5630" i="2"/>
  <c r="Q5631" i="2"/>
  <c r="Q5634" i="2"/>
  <c r="Q5635" i="2"/>
  <c r="P5636" i="2"/>
  <c r="V5636" i="2" s="1"/>
  <c r="Q5638" i="2"/>
  <c r="Q5639" i="2"/>
  <c r="Q5642" i="2"/>
  <c r="Q5643" i="2"/>
  <c r="P5644" i="2"/>
  <c r="V5644" i="2" s="1"/>
  <c r="Q5646" i="2"/>
  <c r="Q5647" i="2"/>
  <c r="Q5650" i="2"/>
  <c r="Q5651" i="2"/>
  <c r="P5652" i="2"/>
  <c r="V5652" i="2" s="1"/>
  <c r="Q5654" i="2"/>
  <c r="Q5655" i="2"/>
  <c r="Q5658" i="2"/>
  <c r="Q5659" i="2"/>
  <c r="P5660" i="2"/>
  <c r="V5660" i="2" s="1"/>
  <c r="Q5662" i="2"/>
  <c r="Q5663" i="2"/>
  <c r="Q5666" i="2"/>
  <c r="Q5667" i="2"/>
  <c r="P5668" i="2"/>
  <c r="V5668" i="2" s="1"/>
  <c r="Q5670" i="2"/>
  <c r="Q5671" i="2"/>
  <c r="Q5674" i="2"/>
  <c r="Q5675" i="2"/>
  <c r="P5676" i="2"/>
  <c r="V5676" i="2" s="1"/>
  <c r="Q5678" i="2"/>
  <c r="Q5679" i="2"/>
  <c r="Q5682" i="2"/>
  <c r="Q5683" i="2"/>
  <c r="P5684" i="2"/>
  <c r="V5684" i="2" s="1"/>
  <c r="Q5686" i="2"/>
  <c r="Q5687" i="2"/>
  <c r="Q5690" i="2"/>
  <c r="Q5691" i="2"/>
  <c r="P5692" i="2"/>
  <c r="V5692" i="2" s="1"/>
  <c r="Q5694" i="2"/>
  <c r="Q5695" i="2"/>
  <c r="Q5698" i="2"/>
  <c r="Q5699" i="2"/>
  <c r="P5700" i="2"/>
  <c r="V5700" i="2" s="1"/>
  <c r="Q5702" i="2"/>
  <c r="Q5703" i="2"/>
  <c r="Q5706" i="2"/>
  <c r="Q5707" i="2"/>
  <c r="P5708" i="2"/>
  <c r="V5708" i="2" s="1"/>
  <c r="Q5710" i="2"/>
  <c r="Q5711" i="2"/>
  <c r="Q5714" i="2"/>
  <c r="Q5715" i="2"/>
  <c r="P5716" i="2"/>
  <c r="V5716" i="2" s="1"/>
  <c r="Q5718" i="2"/>
  <c r="Q5719" i="2"/>
  <c r="Q5722" i="2"/>
  <c r="Q5723" i="2"/>
  <c r="P5724" i="2"/>
  <c r="V5724" i="2" s="1"/>
  <c r="Q5726" i="2"/>
  <c r="Q5727" i="2"/>
  <c r="Q5730" i="2"/>
  <c r="Q5731" i="2"/>
  <c r="P5732" i="2"/>
  <c r="V5732" i="2" s="1"/>
  <c r="Q5734" i="2"/>
  <c r="Q5735" i="2"/>
  <c r="Q5738" i="2"/>
  <c r="Q5739" i="2"/>
  <c r="P5740" i="2"/>
  <c r="V5740" i="2" s="1"/>
  <c r="Q5742" i="2"/>
  <c r="Q5743" i="2"/>
  <c r="Q5746" i="2"/>
  <c r="Q5747" i="2"/>
  <c r="P5748" i="2"/>
  <c r="V5748" i="2" s="1"/>
  <c r="Q5750" i="2"/>
  <c r="Q5751" i="2"/>
  <c r="Q5754" i="2"/>
  <c r="Q5755" i="2"/>
  <c r="P5756" i="2"/>
  <c r="V5756" i="2" s="1"/>
  <c r="Q5758" i="2"/>
  <c r="Q5759" i="2"/>
  <c r="Q5762" i="2"/>
  <c r="Q5763" i="2"/>
  <c r="P5764" i="2"/>
  <c r="V5764" i="2" s="1"/>
  <c r="Q5766" i="2"/>
  <c r="Q5767" i="2"/>
  <c r="Q5770" i="2"/>
  <c r="Q5771" i="2"/>
  <c r="P5772" i="2"/>
  <c r="V5772" i="2" s="1"/>
  <c r="Q5774" i="2"/>
  <c r="Q5775" i="2"/>
  <c r="Q5778" i="2"/>
  <c r="Q5779" i="2"/>
  <c r="P5780" i="2"/>
  <c r="V5780" i="2" s="1"/>
  <c r="Q5782" i="2"/>
  <c r="Q5783" i="2"/>
  <c r="Q5786" i="2"/>
  <c r="Q5787" i="2"/>
  <c r="P5788" i="2"/>
  <c r="V5788" i="2" s="1"/>
  <c r="Q5790" i="2"/>
  <c r="Q5791" i="2"/>
  <c r="Q5794" i="2"/>
  <c r="Q5795" i="2"/>
  <c r="P5796" i="2"/>
  <c r="V5796" i="2" s="1"/>
  <c r="Q5798" i="2"/>
  <c r="Q5799" i="2"/>
  <c r="Q5802" i="2"/>
  <c r="Q5803" i="2"/>
  <c r="P5804" i="2"/>
  <c r="V5804" i="2" s="1"/>
  <c r="Q5806" i="2"/>
  <c r="Q5807" i="2"/>
  <c r="Q5810" i="2"/>
  <c r="Q5811" i="2"/>
  <c r="P5812" i="2"/>
  <c r="V5812" i="2" s="1"/>
  <c r="Q5814" i="2"/>
  <c r="Q5815" i="2"/>
  <c r="Q5818" i="2"/>
  <c r="Q5819" i="2"/>
  <c r="P5820" i="2"/>
  <c r="V5820" i="2" s="1"/>
  <c r="Q5822" i="2"/>
  <c r="Q5823" i="2"/>
  <c r="Q5826" i="2"/>
  <c r="Q5827" i="2"/>
  <c r="P5828" i="2"/>
  <c r="V5828" i="2" s="1"/>
  <c r="Q5830" i="2"/>
  <c r="Q5831" i="2"/>
  <c r="Q5834" i="2"/>
  <c r="Q5835" i="2"/>
  <c r="P5836" i="2"/>
  <c r="V5836" i="2" s="1"/>
  <c r="Q5838" i="2"/>
  <c r="Q5839" i="2"/>
  <c r="Q5842" i="2"/>
  <c r="Q5843" i="2"/>
  <c r="P5844" i="2"/>
  <c r="V5844" i="2" s="1"/>
  <c r="Q5846" i="2"/>
  <c r="Q5847" i="2"/>
  <c r="Q5850" i="2"/>
  <c r="Q5851" i="2"/>
  <c r="P5852" i="2"/>
  <c r="V5852" i="2" s="1"/>
  <c r="Q5854" i="2"/>
  <c r="Q5855" i="2"/>
  <c r="Q5858" i="2"/>
  <c r="Q5859" i="2"/>
  <c r="P5860" i="2"/>
  <c r="V5860" i="2" s="1"/>
  <c r="Q5862" i="2"/>
  <c r="Q5863" i="2"/>
  <c r="Q5866" i="2"/>
  <c r="Q5867" i="2"/>
  <c r="P5868" i="2"/>
  <c r="V5868" i="2" s="1"/>
  <c r="Q5870" i="2"/>
  <c r="Q5871" i="2"/>
  <c r="Q5874" i="2"/>
  <c r="Q5875" i="2"/>
  <c r="P5876" i="2"/>
  <c r="V5876" i="2" s="1"/>
  <c r="Q5878" i="2"/>
  <c r="Q5879" i="2"/>
  <c r="Q5882" i="2"/>
  <c r="Q5883" i="2"/>
  <c r="P5884" i="2"/>
  <c r="V5884" i="2" s="1"/>
  <c r="Q5886" i="2"/>
  <c r="Q5887" i="2"/>
  <c r="Q5890" i="2"/>
  <c r="Q5891" i="2"/>
  <c r="P5892" i="2"/>
  <c r="V5892" i="2" s="1"/>
  <c r="Q5894" i="2"/>
  <c r="Q5895" i="2"/>
  <c r="Q5898" i="2"/>
  <c r="Q5899" i="2"/>
  <c r="P5900" i="2"/>
  <c r="V5900" i="2" s="1"/>
  <c r="Q5902" i="2"/>
  <c r="Q5903" i="2"/>
  <c r="Q5906" i="2"/>
  <c r="Q5907" i="2"/>
  <c r="P5908" i="2"/>
  <c r="V5908" i="2" s="1"/>
  <c r="Q5910" i="2"/>
  <c r="Q5911" i="2"/>
  <c r="Q5914" i="2"/>
  <c r="Q5915" i="2"/>
  <c r="P5916" i="2"/>
  <c r="V5916" i="2" s="1"/>
  <c r="Q5918" i="2"/>
  <c r="Q5919" i="2"/>
  <c r="Q5922" i="2"/>
  <c r="Q5923" i="2"/>
  <c r="P5924" i="2"/>
  <c r="V5924" i="2" s="1"/>
  <c r="Q5926" i="2"/>
  <c r="Q5927" i="2"/>
  <c r="Q5930" i="2"/>
  <c r="Q5931" i="2"/>
  <c r="P5932" i="2"/>
  <c r="V5932" i="2" s="1"/>
  <c r="Q5934" i="2"/>
  <c r="Q5935" i="2"/>
  <c r="Q5938" i="2"/>
  <c r="Q5939" i="2"/>
  <c r="P5940" i="2"/>
  <c r="V5940" i="2" s="1"/>
  <c r="Q5942" i="2"/>
  <c r="Q5943" i="2"/>
  <c r="Q5946" i="2"/>
  <c r="Q5947" i="2"/>
  <c r="P5948" i="2"/>
  <c r="V5948" i="2" s="1"/>
  <c r="Q5950" i="2"/>
  <c r="Q5951" i="2"/>
  <c r="Q5954" i="2"/>
  <c r="Q5955" i="2"/>
  <c r="P5956" i="2"/>
  <c r="V5956" i="2" s="1"/>
  <c r="Q5958" i="2"/>
  <c r="Q5959" i="2"/>
  <c r="Q5962" i="2"/>
  <c r="Q5963" i="2"/>
  <c r="P5964" i="2"/>
  <c r="V5964" i="2" s="1"/>
  <c r="Q5966" i="2"/>
  <c r="Q5967" i="2"/>
  <c r="Q5970" i="2"/>
  <c r="Q5971" i="2"/>
  <c r="P5972" i="2"/>
  <c r="V5972" i="2" s="1"/>
  <c r="Q5974" i="2"/>
  <c r="Q5975" i="2"/>
  <c r="Q5978" i="2"/>
  <c r="Q5979" i="2"/>
  <c r="P5980" i="2"/>
  <c r="V5980" i="2" s="1"/>
  <c r="Q5982" i="2"/>
  <c r="Q5983" i="2"/>
  <c r="Q5986" i="2"/>
  <c r="Q5987" i="2"/>
  <c r="P5988" i="2"/>
  <c r="V5988" i="2" s="1"/>
  <c r="Q5990" i="2"/>
  <c r="Q5991" i="2"/>
  <c r="Q5994" i="2"/>
  <c r="Q5995" i="2"/>
  <c r="P5996" i="2"/>
  <c r="V5996" i="2" s="1"/>
  <c r="Q5998" i="2"/>
  <c r="Q5999" i="2"/>
  <c r="Q6002" i="2"/>
  <c r="Q6003" i="2"/>
  <c r="P6004" i="2"/>
  <c r="V6004" i="2" s="1"/>
  <c r="Q6006" i="2"/>
  <c r="Q6007" i="2"/>
  <c r="Q6010" i="2"/>
  <c r="Q6011" i="2"/>
  <c r="P6012" i="2"/>
  <c r="V6012" i="2" s="1"/>
  <c r="Q6014" i="2"/>
  <c r="Q6015" i="2"/>
  <c r="Q6018" i="2"/>
  <c r="Q6019" i="2"/>
  <c r="P6020" i="2"/>
  <c r="V6020" i="2" s="1"/>
  <c r="Q6022" i="2"/>
  <c r="Q6023" i="2"/>
  <c r="Q6026" i="2"/>
  <c r="Q6027" i="2"/>
  <c r="P6028" i="2"/>
  <c r="V6028" i="2" s="1"/>
  <c r="Q6030" i="2"/>
  <c r="Q6031" i="2"/>
  <c r="Q6034" i="2"/>
  <c r="Q6035" i="2"/>
  <c r="P6036" i="2"/>
  <c r="V6036" i="2" s="1"/>
  <c r="Q6038" i="2"/>
  <c r="Q6039" i="2"/>
  <c r="Q6042" i="2"/>
  <c r="Q6043" i="2"/>
  <c r="P6044" i="2"/>
  <c r="V6044" i="2" s="1"/>
  <c r="Q6046" i="2"/>
  <c r="Q6047" i="2"/>
  <c r="Q6050" i="2"/>
  <c r="Q6051" i="2"/>
  <c r="P6052" i="2"/>
  <c r="V6052" i="2" s="1"/>
  <c r="Q6054" i="2"/>
  <c r="Q6055" i="2"/>
  <c r="Q6058" i="2"/>
  <c r="Q6059" i="2"/>
  <c r="P6060" i="2"/>
  <c r="V6060" i="2" s="1"/>
  <c r="Q6062" i="2"/>
  <c r="Q6063" i="2"/>
  <c r="Q6066" i="2"/>
  <c r="Q6067" i="2"/>
  <c r="P6068" i="2"/>
  <c r="V6068" i="2" s="1"/>
  <c r="Q6070" i="2"/>
  <c r="Q6071" i="2"/>
  <c r="Q6074" i="2"/>
  <c r="Q6075" i="2"/>
  <c r="P6076" i="2"/>
  <c r="V6076" i="2" s="1"/>
  <c r="Q6078" i="2"/>
  <c r="Q6079" i="2"/>
  <c r="Q6082" i="2"/>
  <c r="Q6083" i="2"/>
  <c r="P6084" i="2"/>
  <c r="V6084" i="2" s="1"/>
  <c r="Q6086" i="2"/>
  <c r="Q6087" i="2"/>
  <c r="Q6090" i="2"/>
  <c r="Q6091" i="2"/>
  <c r="P6092" i="2"/>
  <c r="V6092" i="2" s="1"/>
  <c r="Q6094" i="2"/>
  <c r="Q6095" i="2"/>
  <c r="Q6098" i="2"/>
  <c r="Q6099" i="2"/>
  <c r="P6100" i="2"/>
  <c r="V6100" i="2" s="1"/>
  <c r="Q6102" i="2"/>
  <c r="Q6103" i="2"/>
  <c r="Q6106" i="2"/>
  <c r="Q6107" i="2"/>
  <c r="P6108" i="2"/>
  <c r="V6108" i="2" s="1"/>
  <c r="Q6110" i="2"/>
  <c r="Q6111" i="2"/>
  <c r="Q6114" i="2"/>
  <c r="Q6115" i="2"/>
  <c r="P6116" i="2"/>
  <c r="V6116" i="2" s="1"/>
  <c r="Q6118" i="2"/>
  <c r="Q6119" i="2"/>
  <c r="Q6122" i="2"/>
  <c r="Q6123" i="2"/>
  <c r="P6124" i="2"/>
  <c r="V6124" i="2" s="1"/>
  <c r="Q6126" i="2"/>
  <c r="Q6127" i="2"/>
  <c r="Q6130" i="2"/>
  <c r="Q6131" i="2"/>
  <c r="P6132" i="2"/>
  <c r="V6132" i="2" s="1"/>
  <c r="Q6134" i="2"/>
  <c r="Q6135" i="2"/>
  <c r="Q6138" i="2"/>
  <c r="Q6139" i="2"/>
  <c r="P6140" i="2"/>
  <c r="V6140" i="2" s="1"/>
  <c r="Q6142" i="2"/>
  <c r="Q6143" i="2"/>
  <c r="Q6146" i="2"/>
  <c r="Q6147" i="2"/>
  <c r="P6148" i="2"/>
  <c r="V6148" i="2" s="1"/>
  <c r="Q6150" i="2"/>
  <c r="Q6151" i="2"/>
  <c r="Q6154" i="2"/>
  <c r="Q6155" i="2"/>
  <c r="P6156" i="2"/>
  <c r="V6156" i="2" s="1"/>
  <c r="Q6158" i="2"/>
  <c r="Q6159" i="2"/>
  <c r="Q6162" i="2"/>
  <c r="Q6163" i="2"/>
  <c r="P6164" i="2"/>
  <c r="V6164" i="2" s="1"/>
  <c r="Q6166" i="2"/>
  <c r="Q6167" i="2"/>
  <c r="Q6170" i="2"/>
  <c r="Q6171" i="2"/>
  <c r="P6172" i="2"/>
  <c r="V6172" i="2" s="1"/>
  <c r="Q6174" i="2"/>
  <c r="Q6175" i="2"/>
  <c r="Q6178" i="2"/>
  <c r="Q6179" i="2"/>
  <c r="P6180" i="2"/>
  <c r="V6180" i="2" s="1"/>
  <c r="Q6182" i="2"/>
  <c r="Q6183" i="2"/>
  <c r="Q6186" i="2"/>
  <c r="Q6187" i="2"/>
  <c r="P6188" i="2"/>
  <c r="V6188" i="2" s="1"/>
  <c r="Q6190" i="2"/>
  <c r="Q6191" i="2"/>
  <c r="Q6194" i="2"/>
  <c r="Q6195" i="2"/>
  <c r="P6196" i="2"/>
  <c r="V6196" i="2" s="1"/>
  <c r="Q6198" i="2"/>
  <c r="Q6199" i="2"/>
  <c r="Q6202" i="2"/>
  <c r="Q6203" i="2"/>
  <c r="P6204" i="2"/>
  <c r="V6204" i="2" s="1"/>
  <c r="Q6206" i="2"/>
  <c r="Q6207" i="2"/>
  <c r="Q6210" i="2"/>
  <c r="Q6211" i="2"/>
  <c r="P6212" i="2"/>
  <c r="V6212" i="2" s="1"/>
  <c r="Q6214" i="2"/>
  <c r="Q6215" i="2"/>
  <c r="Q6218" i="2"/>
  <c r="Q6219" i="2"/>
  <c r="P6220" i="2"/>
  <c r="V6220" i="2" s="1"/>
  <c r="Q6222" i="2"/>
  <c r="Q6223" i="2"/>
  <c r="Q6226" i="2"/>
  <c r="Q6227" i="2"/>
  <c r="P6228" i="2"/>
  <c r="V6228" i="2" s="1"/>
  <c r="Q6230" i="2"/>
  <c r="Q6231" i="2"/>
  <c r="Q6234" i="2"/>
  <c r="Q6235" i="2"/>
  <c r="P6236" i="2"/>
  <c r="V6236" i="2" s="1"/>
  <c r="Q6238" i="2"/>
  <c r="Q6239" i="2"/>
  <c r="Q6242" i="2"/>
  <c r="Q6243" i="2"/>
  <c r="P6244" i="2"/>
  <c r="V6244" i="2" s="1"/>
  <c r="Q6246" i="2"/>
  <c r="Q6247" i="2"/>
  <c r="Q6250" i="2"/>
  <c r="Q6251" i="2"/>
  <c r="P6252" i="2"/>
  <c r="V6252" i="2" s="1"/>
  <c r="Q6254" i="2"/>
  <c r="Q6255" i="2"/>
  <c r="Q6258" i="2"/>
  <c r="Q6259" i="2"/>
  <c r="P6260" i="2"/>
  <c r="V6260" i="2" s="1"/>
  <c r="Q6262" i="2"/>
  <c r="Q6263" i="2"/>
  <c r="Q6266" i="2"/>
  <c r="Q6267" i="2"/>
  <c r="P6268" i="2"/>
  <c r="V6268" i="2" s="1"/>
  <c r="Q6270" i="2"/>
  <c r="Q6271" i="2"/>
  <c r="Q6274" i="2"/>
  <c r="Q6275" i="2"/>
  <c r="P6276" i="2"/>
  <c r="V6276" i="2" s="1"/>
  <c r="Q6278" i="2"/>
  <c r="Q6279" i="2"/>
  <c r="Q6282" i="2"/>
  <c r="Q6283" i="2"/>
  <c r="P6284" i="2"/>
  <c r="V6284" i="2" s="1"/>
  <c r="Q6286" i="2"/>
  <c r="Q6287" i="2"/>
  <c r="Q6290" i="2"/>
  <c r="Q6291" i="2"/>
  <c r="P6292" i="2"/>
  <c r="V6292" i="2" s="1"/>
  <c r="Q6294" i="2"/>
  <c r="Q6295" i="2"/>
  <c r="Q6298" i="2"/>
  <c r="Q6299" i="2"/>
  <c r="P6300" i="2"/>
  <c r="V6300" i="2" s="1"/>
  <c r="Q6302" i="2"/>
  <c r="Q6303" i="2"/>
  <c r="Q6306" i="2"/>
  <c r="Q6307" i="2"/>
  <c r="P6308" i="2"/>
  <c r="V6308" i="2" s="1"/>
  <c r="Q6310" i="2"/>
  <c r="Q6311" i="2"/>
  <c r="Q6314" i="2"/>
  <c r="Q6315" i="2"/>
  <c r="P6316" i="2"/>
  <c r="V6316" i="2" s="1"/>
  <c r="Q6318" i="2"/>
  <c r="Q6319" i="2"/>
  <c r="Q6322" i="2"/>
  <c r="Q6323" i="2"/>
  <c r="P6324" i="2"/>
  <c r="V6324" i="2" s="1"/>
  <c r="Q6326" i="2"/>
  <c r="Q6327" i="2"/>
  <c r="Q6330" i="2"/>
  <c r="Q6331" i="2"/>
  <c r="P6332" i="2"/>
  <c r="V6332" i="2" s="1"/>
  <c r="Q6334" i="2"/>
  <c r="Q6335" i="2"/>
  <c r="Q6338" i="2"/>
  <c r="Q6339" i="2"/>
  <c r="P6340" i="2"/>
  <c r="V6340" i="2" s="1"/>
  <c r="Q6342" i="2"/>
  <c r="Q6343" i="2"/>
  <c r="Q6346" i="2"/>
  <c r="Q6347" i="2"/>
  <c r="P6348" i="2"/>
  <c r="V6348" i="2" s="1"/>
  <c r="Q6350" i="2"/>
  <c r="Q6351" i="2"/>
  <c r="Q6354" i="2"/>
  <c r="Q6355" i="2"/>
  <c r="P6356" i="2"/>
  <c r="V6356" i="2" s="1"/>
  <c r="Q6358" i="2"/>
  <c r="Q6359" i="2"/>
  <c r="Q6362" i="2"/>
  <c r="Q6363" i="2"/>
  <c r="P6364" i="2"/>
  <c r="V6364" i="2" s="1"/>
  <c r="Q6366" i="2"/>
  <c r="Q6367" i="2"/>
  <c r="Q6370" i="2"/>
  <c r="Q6371" i="2"/>
  <c r="P6372" i="2"/>
  <c r="V6372" i="2" s="1"/>
  <c r="Q6374" i="2"/>
  <c r="Q6375" i="2"/>
  <c r="Q6378" i="2"/>
  <c r="Q6379" i="2"/>
  <c r="P6380" i="2"/>
  <c r="V6380" i="2" s="1"/>
  <c r="Q6382" i="2"/>
  <c r="Q6383" i="2"/>
  <c r="Q6386" i="2"/>
  <c r="Q6387" i="2"/>
  <c r="P6388" i="2"/>
  <c r="V6388" i="2" s="1"/>
  <c r="Q6390" i="2"/>
  <c r="Q6391" i="2"/>
  <c r="Q6394" i="2"/>
  <c r="Q6395" i="2"/>
  <c r="P6396" i="2"/>
  <c r="V6396" i="2" s="1"/>
  <c r="Q6398" i="2"/>
  <c r="Q6399" i="2"/>
  <c r="Q6402" i="2"/>
  <c r="Q6403" i="2"/>
  <c r="P6404" i="2"/>
  <c r="V6404" i="2" s="1"/>
  <c r="Q6406" i="2"/>
  <c r="Q6407" i="2"/>
  <c r="Q6410" i="2"/>
  <c r="Q6411" i="2"/>
  <c r="P6412" i="2"/>
  <c r="V6412" i="2" s="1"/>
  <c r="Q6414" i="2"/>
  <c r="Q6415" i="2"/>
  <c r="Q6418" i="2"/>
  <c r="Q6419" i="2"/>
  <c r="P6420" i="2"/>
  <c r="V6420" i="2" s="1"/>
  <c r="Q6422" i="2"/>
  <c r="Q6423" i="2"/>
  <c r="Q6426" i="2"/>
  <c r="Q6427" i="2"/>
  <c r="P6428" i="2"/>
  <c r="V6428" i="2" s="1"/>
  <c r="Q6430" i="2"/>
  <c r="Q6431" i="2"/>
  <c r="Q6434" i="2"/>
  <c r="Q6435" i="2"/>
  <c r="P6436" i="2"/>
  <c r="V6436" i="2" s="1"/>
  <c r="Q6438" i="2"/>
  <c r="Q6439" i="2"/>
  <c r="Q6442" i="2"/>
  <c r="Q6443" i="2"/>
  <c r="P6444" i="2"/>
  <c r="V6444" i="2" s="1"/>
  <c r="Q6446" i="2"/>
  <c r="Q6447" i="2"/>
  <c r="Q6450" i="2"/>
  <c r="Q6451" i="2"/>
  <c r="P6452" i="2"/>
  <c r="V6452" i="2" s="1"/>
  <c r="Q6454" i="2"/>
  <c r="Q6455" i="2"/>
  <c r="Q6458" i="2"/>
  <c r="Q6459" i="2"/>
  <c r="P6460" i="2"/>
  <c r="V6460" i="2" s="1"/>
  <c r="Q6462" i="2"/>
  <c r="Q6463" i="2"/>
  <c r="Q6466" i="2"/>
  <c r="Q6467" i="2"/>
  <c r="P6468" i="2"/>
  <c r="V6468" i="2" s="1"/>
  <c r="Q6470" i="2"/>
  <c r="Q6471" i="2"/>
  <c r="Q6474" i="2"/>
  <c r="Q6475" i="2"/>
  <c r="P6476" i="2"/>
  <c r="V6476" i="2" s="1"/>
  <c r="Q6478" i="2"/>
  <c r="Q6479" i="2"/>
  <c r="Q6482" i="2"/>
  <c r="Q6483" i="2"/>
  <c r="P6484" i="2"/>
  <c r="V6484" i="2" s="1"/>
  <c r="Q6486" i="2"/>
  <c r="Q6487" i="2"/>
  <c r="Q6490" i="2"/>
  <c r="Q6491" i="2"/>
  <c r="P6492" i="2"/>
  <c r="V6492" i="2" s="1"/>
  <c r="Q6494" i="2"/>
  <c r="Q6495" i="2"/>
  <c r="Q6498" i="2"/>
  <c r="Q6499" i="2"/>
  <c r="P6500" i="2"/>
  <c r="V6500" i="2" s="1"/>
  <c r="Q6502" i="2"/>
  <c r="Q6503" i="2"/>
  <c r="Q6506" i="2"/>
  <c r="Q6507" i="2"/>
  <c r="P6508" i="2"/>
  <c r="V6508" i="2" s="1"/>
  <c r="Q6510" i="2"/>
  <c r="Q6511" i="2"/>
  <c r="Q6514" i="2"/>
  <c r="Q6515" i="2"/>
  <c r="P6516" i="2"/>
  <c r="V6516" i="2" s="1"/>
  <c r="Q6518" i="2"/>
  <c r="Q6519" i="2"/>
  <c r="Q6522" i="2"/>
  <c r="Q6523" i="2"/>
  <c r="P6524" i="2"/>
  <c r="V6524" i="2" s="1"/>
  <c r="Q6526" i="2"/>
  <c r="Q6527" i="2"/>
  <c r="Q6530" i="2"/>
  <c r="Q6531" i="2"/>
  <c r="P6532" i="2"/>
  <c r="V6532" i="2" s="1"/>
  <c r="Q6534" i="2"/>
  <c r="Q6535" i="2"/>
  <c r="Q6538" i="2"/>
  <c r="Q6539" i="2"/>
  <c r="P6540" i="2"/>
  <c r="V6540" i="2" s="1"/>
  <c r="Q6542" i="2"/>
  <c r="Q6543" i="2"/>
  <c r="Q6546" i="2"/>
  <c r="Q6547" i="2"/>
  <c r="P6548" i="2"/>
  <c r="V6548" i="2" s="1"/>
  <c r="Q6550" i="2"/>
  <c r="Q6551" i="2"/>
  <c r="Q6554" i="2"/>
  <c r="Q6555" i="2"/>
  <c r="P6556" i="2"/>
  <c r="V6556" i="2" s="1"/>
  <c r="Q6558" i="2"/>
  <c r="Q6559" i="2"/>
  <c r="Q6562" i="2"/>
  <c r="Q6563" i="2"/>
  <c r="P6564" i="2"/>
  <c r="V6564" i="2" s="1"/>
  <c r="Q6566" i="2"/>
  <c r="Q6567" i="2"/>
  <c r="Q6570" i="2"/>
  <c r="Q6571" i="2"/>
  <c r="P6572" i="2"/>
  <c r="V6572" i="2" s="1"/>
  <c r="Q6574" i="2"/>
  <c r="Q6575" i="2"/>
  <c r="Q6578" i="2"/>
  <c r="Q6579" i="2"/>
  <c r="P6580" i="2"/>
  <c r="V6580" i="2" s="1"/>
  <c r="Q6582" i="2"/>
  <c r="Q6583" i="2"/>
  <c r="Q6586" i="2"/>
  <c r="Q6587" i="2"/>
  <c r="P6588" i="2"/>
  <c r="V6588" i="2" s="1"/>
  <c r="Q6590" i="2"/>
  <c r="Q6591" i="2"/>
  <c r="Q6594" i="2"/>
  <c r="Q6595" i="2"/>
  <c r="P6596" i="2"/>
  <c r="V6596" i="2" s="1"/>
  <c r="Q6598" i="2"/>
  <c r="Q6599" i="2"/>
  <c r="Q6602" i="2"/>
  <c r="Q6603" i="2"/>
  <c r="P6604" i="2"/>
  <c r="V6604" i="2" s="1"/>
  <c r="Q6606" i="2"/>
  <c r="Q6607" i="2"/>
  <c r="Q6610" i="2"/>
  <c r="Q6611" i="2"/>
  <c r="P6612" i="2"/>
  <c r="V6612" i="2" s="1"/>
  <c r="Q6614" i="2"/>
  <c r="Q6615" i="2"/>
  <c r="Q6618" i="2"/>
  <c r="Q6619" i="2"/>
  <c r="P6620" i="2"/>
  <c r="V6620" i="2" s="1"/>
  <c r="Q6622" i="2"/>
  <c r="Q6623" i="2"/>
  <c r="Q6626" i="2"/>
  <c r="Q6627" i="2"/>
  <c r="P6628" i="2"/>
  <c r="V6628" i="2" s="1"/>
  <c r="Q6630" i="2"/>
  <c r="Q6631" i="2"/>
  <c r="Q6634" i="2"/>
  <c r="Q6635" i="2"/>
  <c r="P6636" i="2"/>
  <c r="V6636" i="2" s="1"/>
  <c r="Q6638" i="2"/>
  <c r="Q6639" i="2"/>
  <c r="Q6642" i="2"/>
  <c r="Q6643" i="2"/>
  <c r="P6644" i="2"/>
  <c r="V6644" i="2" s="1"/>
  <c r="Q6646" i="2"/>
  <c r="Q6647" i="2"/>
  <c r="Q6650" i="2"/>
  <c r="Q6651" i="2"/>
  <c r="P6652" i="2"/>
  <c r="V6652" i="2" s="1"/>
  <c r="Q6654" i="2"/>
  <c r="Q6655" i="2"/>
  <c r="Q6658" i="2"/>
  <c r="Q6659" i="2"/>
  <c r="P6660" i="2"/>
  <c r="V6660" i="2" s="1"/>
  <c r="Q6662" i="2"/>
  <c r="Q6663" i="2"/>
  <c r="Q6666" i="2"/>
  <c r="Q6667" i="2"/>
  <c r="P6668" i="2"/>
  <c r="V6668" i="2" s="1"/>
  <c r="Q6670" i="2"/>
  <c r="Q6671" i="2"/>
  <c r="Q6674" i="2"/>
  <c r="Q6675" i="2"/>
  <c r="P6676" i="2"/>
  <c r="V6676" i="2" s="1"/>
  <c r="Q6678" i="2"/>
  <c r="Q6679" i="2"/>
  <c r="Q6682" i="2"/>
  <c r="Q6683" i="2"/>
  <c r="P6684" i="2"/>
  <c r="V6684" i="2" s="1"/>
  <c r="Q6686" i="2"/>
  <c r="Q6687" i="2"/>
  <c r="Q6690" i="2"/>
  <c r="Q6691" i="2"/>
  <c r="P6692" i="2"/>
  <c r="V6692" i="2" s="1"/>
  <c r="Q6694" i="2"/>
  <c r="Q6695" i="2"/>
  <c r="Q6698" i="2"/>
  <c r="Q6699" i="2"/>
  <c r="P6700" i="2"/>
  <c r="V6700" i="2" s="1"/>
  <c r="Q6702" i="2"/>
  <c r="Q6703" i="2"/>
  <c r="Q6706" i="2"/>
  <c r="Q6707" i="2"/>
  <c r="P6708" i="2"/>
  <c r="V6708" i="2" s="1"/>
  <c r="Q6710" i="2"/>
  <c r="Q6711" i="2"/>
  <c r="Q6714" i="2"/>
  <c r="Q6715" i="2"/>
  <c r="P6716" i="2"/>
  <c r="V6716" i="2" s="1"/>
  <c r="Q6718" i="2"/>
  <c r="Q6719" i="2"/>
  <c r="Q6722" i="2"/>
  <c r="Q6723" i="2"/>
  <c r="P6724" i="2"/>
  <c r="V6724" i="2" s="1"/>
  <c r="Q6726" i="2"/>
  <c r="Q6727" i="2"/>
  <c r="Q6730" i="2"/>
  <c r="Q6731" i="2"/>
  <c r="P6732" i="2"/>
  <c r="V6732" i="2" s="1"/>
  <c r="Q6734" i="2"/>
  <c r="Q6735" i="2"/>
  <c r="Q6738" i="2"/>
  <c r="Q6739" i="2"/>
  <c r="P6740" i="2"/>
  <c r="V6740" i="2" s="1"/>
  <c r="Q6742" i="2"/>
  <c r="Q6743" i="2"/>
  <c r="Q6746" i="2"/>
  <c r="Q6747" i="2"/>
  <c r="P6748" i="2"/>
  <c r="V6748" i="2" s="1"/>
  <c r="Q6750" i="2"/>
  <c r="Q6751" i="2"/>
  <c r="Q6754" i="2"/>
  <c r="Q6755" i="2"/>
  <c r="P6756" i="2"/>
  <c r="V6756" i="2" s="1"/>
  <c r="Q6758" i="2"/>
  <c r="Q6759" i="2"/>
  <c r="Q6762" i="2"/>
  <c r="Q6763" i="2"/>
  <c r="P6764" i="2"/>
  <c r="V6764" i="2" s="1"/>
  <c r="Q6766" i="2"/>
  <c r="Q6767" i="2"/>
  <c r="Q6770" i="2"/>
  <c r="Q6771" i="2"/>
  <c r="P6772" i="2"/>
  <c r="V6772" i="2" s="1"/>
  <c r="Q6774" i="2"/>
  <c r="Q6775" i="2"/>
  <c r="Q6778" i="2"/>
  <c r="Q6779" i="2"/>
  <c r="P6780" i="2"/>
  <c r="V6780" i="2" s="1"/>
  <c r="Q6782" i="2"/>
  <c r="Q6783" i="2"/>
  <c r="Q6786" i="2"/>
  <c r="Q6787" i="2"/>
  <c r="P6788" i="2"/>
  <c r="V6788" i="2" s="1"/>
  <c r="Q6790" i="2"/>
  <c r="Q6791" i="2"/>
  <c r="Q6794" i="2"/>
  <c r="Q6795" i="2"/>
  <c r="P6796" i="2"/>
  <c r="V6796" i="2" s="1"/>
  <c r="Q6798" i="2"/>
  <c r="Q6799" i="2"/>
  <c r="Q6802" i="2"/>
  <c r="Q6803" i="2"/>
  <c r="P6804" i="2"/>
  <c r="V6804" i="2" s="1"/>
  <c r="Q6806" i="2"/>
  <c r="Q6807" i="2"/>
  <c r="Q6810" i="2"/>
  <c r="Q6811" i="2"/>
  <c r="P6812" i="2"/>
  <c r="V6812" i="2" s="1"/>
  <c r="Q6814" i="2"/>
  <c r="Q6815" i="2"/>
  <c r="Q6818" i="2"/>
  <c r="Q6819" i="2"/>
  <c r="P6820" i="2"/>
  <c r="V6820" i="2" s="1"/>
  <c r="Q6822" i="2"/>
  <c r="Q6823" i="2"/>
  <c r="Q6826" i="2"/>
  <c r="Q6827" i="2"/>
  <c r="P6828" i="2"/>
  <c r="V6828" i="2" s="1"/>
  <c r="Q6830" i="2"/>
  <c r="Q6831" i="2"/>
  <c r="Q6834" i="2"/>
  <c r="Q6835" i="2"/>
  <c r="P6836" i="2"/>
  <c r="V6836" i="2" s="1"/>
  <c r="Q6838" i="2"/>
  <c r="Q6839" i="2"/>
  <c r="Q6842" i="2"/>
  <c r="Q6843" i="2"/>
  <c r="P6844" i="2"/>
  <c r="V6844" i="2" s="1"/>
  <c r="Q6846" i="2"/>
  <c r="Q6847" i="2"/>
  <c r="Q6850" i="2"/>
  <c r="Q6851" i="2"/>
  <c r="P6852" i="2"/>
  <c r="V6852" i="2" s="1"/>
  <c r="Q6854" i="2"/>
  <c r="Q6855" i="2"/>
  <c r="Q6858" i="2"/>
  <c r="Q6859" i="2"/>
  <c r="P6860" i="2"/>
  <c r="V6860" i="2" s="1"/>
  <c r="Q6862" i="2"/>
  <c r="Q6863" i="2"/>
  <c r="Q6866" i="2"/>
  <c r="Q6867" i="2"/>
  <c r="P6868" i="2"/>
  <c r="V6868" i="2" s="1"/>
  <c r="Q6870" i="2"/>
  <c r="Q6871" i="2"/>
  <c r="Q6874" i="2"/>
  <c r="Q6875" i="2"/>
  <c r="P6876" i="2"/>
  <c r="V6876" i="2" s="1"/>
  <c r="Q6878" i="2"/>
  <c r="Q6879" i="2"/>
  <c r="Q6882" i="2"/>
  <c r="Q6883" i="2"/>
  <c r="P6884" i="2"/>
  <c r="V6884" i="2" s="1"/>
  <c r="Q6886" i="2"/>
  <c r="Q6887" i="2"/>
  <c r="Q6890" i="2"/>
  <c r="Q6891" i="2"/>
  <c r="P6892" i="2"/>
  <c r="V6892" i="2" s="1"/>
  <c r="Q6894" i="2"/>
  <c r="Q6895" i="2"/>
  <c r="Q6898" i="2"/>
  <c r="Q6899" i="2"/>
  <c r="P6900" i="2"/>
  <c r="V6900" i="2" s="1"/>
  <c r="Q6902" i="2"/>
  <c r="Q6903" i="2"/>
  <c r="Q6906" i="2"/>
  <c r="Q6907" i="2"/>
  <c r="P6908" i="2"/>
  <c r="V6908" i="2" s="1"/>
  <c r="Q6910" i="2"/>
  <c r="Q6911" i="2"/>
  <c r="Q6914" i="2"/>
  <c r="Q6915" i="2"/>
  <c r="P6916" i="2"/>
  <c r="V6916" i="2" s="1"/>
  <c r="Q6918" i="2"/>
  <c r="Q6919" i="2"/>
  <c r="Q6922" i="2"/>
  <c r="Q6923" i="2"/>
  <c r="P6924" i="2"/>
  <c r="V6924" i="2" s="1"/>
  <c r="Q6926" i="2"/>
  <c r="Q6927" i="2"/>
  <c r="Q6930" i="2"/>
  <c r="Q6931" i="2"/>
  <c r="P6932" i="2"/>
  <c r="V6932" i="2" s="1"/>
  <c r="Q6934" i="2"/>
  <c r="Q6935" i="2"/>
  <c r="Q6938" i="2"/>
  <c r="Q6939" i="2"/>
  <c r="P6940" i="2"/>
  <c r="V6940" i="2" s="1"/>
  <c r="Q6942" i="2"/>
  <c r="Q6943" i="2"/>
  <c r="Q6946" i="2"/>
  <c r="Q6947" i="2"/>
  <c r="P6948" i="2"/>
  <c r="V6948" i="2" s="1"/>
  <c r="Q6950" i="2"/>
  <c r="Q6951" i="2"/>
  <c r="Q6954" i="2"/>
  <c r="Q6955" i="2"/>
  <c r="P6956" i="2"/>
  <c r="V6956" i="2" s="1"/>
  <c r="Q6958" i="2"/>
  <c r="Q6959" i="2"/>
  <c r="Q6962" i="2"/>
  <c r="Q6963" i="2"/>
  <c r="P6964" i="2"/>
  <c r="V6964" i="2" s="1"/>
  <c r="Q6966" i="2"/>
  <c r="Q6967" i="2"/>
  <c r="Q6970" i="2"/>
  <c r="Q6971" i="2"/>
  <c r="P6972" i="2"/>
  <c r="V6972" i="2" s="1"/>
  <c r="Q6974" i="2"/>
  <c r="Q6975" i="2"/>
  <c r="Q6978" i="2"/>
  <c r="Q6979" i="2"/>
  <c r="P6980" i="2"/>
  <c r="V6980" i="2" s="1"/>
  <c r="Q6982" i="2"/>
  <c r="Q6983" i="2"/>
  <c r="Q6986" i="2"/>
  <c r="Q6987" i="2"/>
  <c r="P6988" i="2"/>
  <c r="V6988" i="2" s="1"/>
  <c r="Q6990" i="2"/>
  <c r="Q6991" i="2"/>
  <c r="Q6994" i="2"/>
  <c r="Q6995" i="2"/>
  <c r="P6996" i="2"/>
  <c r="V6996" i="2" s="1"/>
  <c r="Q6998" i="2"/>
  <c r="Q6999" i="2"/>
  <c r="Q7002" i="2"/>
  <c r="Q7003" i="2"/>
  <c r="P7004" i="2"/>
  <c r="V7004" i="2" s="1"/>
  <c r="Q7006" i="2"/>
  <c r="Q7007" i="2"/>
  <c r="Q7010" i="2"/>
  <c r="Q7011" i="2"/>
  <c r="P7012" i="2"/>
  <c r="V7012" i="2" s="1"/>
  <c r="Q7014" i="2"/>
  <c r="Q7015" i="2"/>
  <c r="Q7018" i="2"/>
  <c r="Q7019" i="2"/>
  <c r="P7020" i="2"/>
  <c r="V7020" i="2" s="1"/>
  <c r="Q7022" i="2"/>
  <c r="Q7023" i="2"/>
  <c r="Q7026" i="2"/>
  <c r="Q7027" i="2"/>
  <c r="P7028" i="2"/>
  <c r="V7028" i="2" s="1"/>
  <c r="Q7030" i="2"/>
  <c r="Q7031" i="2"/>
  <c r="Q7034" i="2"/>
  <c r="Q7035" i="2"/>
  <c r="P7036" i="2"/>
  <c r="V7036" i="2" s="1"/>
  <c r="Q7038" i="2"/>
  <c r="Q7039" i="2"/>
  <c r="Q7042" i="2"/>
  <c r="Q7043" i="2"/>
  <c r="P7044" i="2"/>
  <c r="V7044" i="2" s="1"/>
  <c r="Q7046" i="2"/>
  <c r="Q7047" i="2"/>
  <c r="Q7050" i="2"/>
  <c r="Q7051" i="2"/>
  <c r="P7052" i="2"/>
  <c r="V7052" i="2" s="1"/>
  <c r="Q7054" i="2"/>
  <c r="Q7055" i="2"/>
  <c r="Q7058" i="2"/>
  <c r="Q7059" i="2"/>
  <c r="P7060" i="2"/>
  <c r="V7060" i="2" s="1"/>
  <c r="Q7062" i="2"/>
  <c r="Q7063" i="2"/>
  <c r="Q7066" i="2"/>
  <c r="Q7067" i="2"/>
  <c r="P7068" i="2"/>
  <c r="V7068" i="2" s="1"/>
  <c r="Q7070" i="2"/>
  <c r="Q7071" i="2"/>
  <c r="Q7074" i="2"/>
  <c r="Q7075" i="2"/>
  <c r="P7076" i="2"/>
  <c r="V7076" i="2" s="1"/>
  <c r="Q7078" i="2"/>
  <c r="Q7079" i="2"/>
  <c r="Q7082" i="2"/>
  <c r="Q7083" i="2"/>
  <c r="P7084" i="2"/>
  <c r="V7084" i="2" s="1"/>
  <c r="Q7086" i="2"/>
  <c r="Q7087" i="2"/>
  <c r="Q7090" i="2"/>
  <c r="Q7091" i="2"/>
  <c r="P7092" i="2"/>
  <c r="V7092" i="2" s="1"/>
  <c r="Q7094" i="2"/>
  <c r="Q7095" i="2"/>
  <c r="Q7098" i="2"/>
  <c r="Q7099" i="2"/>
  <c r="P7100" i="2"/>
  <c r="V7100" i="2" s="1"/>
  <c r="Q7102" i="2"/>
  <c r="Q7103" i="2"/>
  <c r="Q7106" i="2"/>
  <c r="Q7107" i="2"/>
  <c r="P7108" i="2"/>
  <c r="V7108" i="2" s="1"/>
  <c r="Q7110" i="2"/>
  <c r="Q7111" i="2"/>
  <c r="Q7114" i="2"/>
  <c r="Q7115" i="2"/>
  <c r="P7116" i="2"/>
  <c r="V7116" i="2" s="1"/>
  <c r="Q7118" i="2"/>
  <c r="Q7119" i="2"/>
  <c r="Q7122" i="2"/>
  <c r="Q7123" i="2"/>
  <c r="P7124" i="2"/>
  <c r="V7124" i="2" s="1"/>
  <c r="Q7126" i="2"/>
  <c r="Q7127" i="2"/>
  <c r="Q7130" i="2"/>
  <c r="Q7131" i="2"/>
  <c r="P7132" i="2"/>
  <c r="V7132" i="2" s="1"/>
  <c r="Q7134" i="2"/>
  <c r="Q7135" i="2"/>
  <c r="Q7138" i="2"/>
  <c r="Q7139" i="2"/>
  <c r="P7140" i="2"/>
  <c r="V7140" i="2" s="1"/>
  <c r="Q7142" i="2"/>
  <c r="Q7143" i="2"/>
  <c r="Q7146" i="2"/>
  <c r="Q7147" i="2"/>
  <c r="P7148" i="2"/>
  <c r="V7148" i="2" s="1"/>
  <c r="Q7150" i="2"/>
  <c r="Q7151" i="2"/>
  <c r="Q7154" i="2"/>
  <c r="Q7155" i="2"/>
  <c r="P7156" i="2"/>
  <c r="V7156" i="2" s="1"/>
  <c r="Q7158" i="2"/>
  <c r="Q7159" i="2"/>
  <c r="Q7162" i="2"/>
  <c r="Q7163" i="2"/>
  <c r="P7164" i="2"/>
  <c r="V7164" i="2" s="1"/>
  <c r="Q7166" i="2"/>
  <c r="Q7167" i="2"/>
  <c r="Q7170" i="2"/>
  <c r="Q7171" i="2"/>
  <c r="P7172" i="2"/>
  <c r="V7172" i="2" s="1"/>
  <c r="Q7174" i="2"/>
  <c r="Q7175" i="2"/>
  <c r="Q7178" i="2"/>
  <c r="Q7179" i="2"/>
  <c r="P7180" i="2"/>
  <c r="V7180" i="2" s="1"/>
  <c r="Q7182" i="2"/>
  <c r="Q7183" i="2"/>
  <c r="Q7186" i="2"/>
  <c r="Q7187" i="2"/>
  <c r="P7188" i="2"/>
  <c r="V7188" i="2" s="1"/>
  <c r="Q7190" i="2"/>
  <c r="Q7191" i="2"/>
  <c r="Q7194" i="2"/>
  <c r="Q7195" i="2"/>
  <c r="P7196" i="2"/>
  <c r="V7196" i="2" s="1"/>
  <c r="Q7198" i="2"/>
  <c r="Q7199" i="2"/>
  <c r="Q7202" i="2"/>
  <c r="Q7203" i="2"/>
  <c r="P7204" i="2"/>
  <c r="V7204" i="2" s="1"/>
  <c r="Q7206" i="2"/>
  <c r="Q7207" i="2"/>
  <c r="Q7210" i="2"/>
  <c r="Q7211" i="2"/>
  <c r="P7212" i="2"/>
  <c r="V7212" i="2" s="1"/>
  <c r="Q7214" i="2"/>
  <c r="Q7215" i="2"/>
  <c r="Q7218" i="2"/>
  <c r="Q7219" i="2"/>
  <c r="P7220" i="2"/>
  <c r="V7220" i="2" s="1"/>
  <c r="Q7222" i="2"/>
  <c r="Q7223" i="2"/>
  <c r="Q7226" i="2"/>
  <c r="Q7227" i="2"/>
  <c r="P7228" i="2"/>
  <c r="V7228" i="2" s="1"/>
  <c r="Q7230" i="2"/>
  <c r="Q7231" i="2"/>
  <c r="Q7234" i="2"/>
  <c r="Q7235" i="2"/>
  <c r="P7236" i="2"/>
  <c r="V7236" i="2" s="1"/>
  <c r="Q7238" i="2"/>
  <c r="Q7239" i="2"/>
  <c r="Q7242" i="2"/>
  <c r="Q7243" i="2"/>
  <c r="P7244" i="2"/>
  <c r="V7244" i="2" s="1"/>
  <c r="Q7246" i="2"/>
  <c r="Q7247" i="2"/>
  <c r="Q7250" i="2"/>
  <c r="Q7251" i="2"/>
  <c r="P7252" i="2"/>
  <c r="V7252" i="2" s="1"/>
  <c r="Q7254" i="2"/>
  <c r="Q7255" i="2"/>
  <c r="Q7258" i="2"/>
  <c r="Q7259" i="2"/>
  <c r="Q7262" i="2"/>
  <c r="Q7263" i="2"/>
  <c r="Q7266" i="2"/>
  <c r="Q7267" i="2"/>
  <c r="Q7270" i="2"/>
  <c r="Q7271" i="2"/>
  <c r="Q7274" i="2"/>
  <c r="Q7275" i="2"/>
  <c r="Q7278" i="2"/>
  <c r="Q7279" i="2"/>
  <c r="Q7282" i="2"/>
  <c r="Q7283" i="2"/>
  <c r="Q7286" i="2"/>
  <c r="Q7287" i="2"/>
  <c r="Q7290" i="2"/>
  <c r="Q7291" i="2"/>
  <c r="Q7294" i="2"/>
  <c r="Q7295" i="2"/>
  <c r="Q7298" i="2"/>
  <c r="Q7299" i="2"/>
  <c r="Q7302" i="2"/>
  <c r="Q7303" i="2"/>
  <c r="Q7306" i="2"/>
  <c r="Q7307" i="2"/>
  <c r="Q7310" i="2"/>
  <c r="Q7311" i="2"/>
  <c r="Q7314" i="2"/>
  <c r="Q7315" i="2"/>
  <c r="Q7318" i="2"/>
  <c r="Q7319" i="2"/>
  <c r="Q7322" i="2"/>
  <c r="Q7323" i="2"/>
  <c r="Q7326" i="2"/>
  <c r="Q7327" i="2"/>
  <c r="Q7330" i="2"/>
  <c r="Q7331" i="2"/>
  <c r="Q7334" i="2"/>
  <c r="Q7335" i="2"/>
  <c r="Q7338" i="2"/>
  <c r="Q7339" i="2"/>
  <c r="Q7342" i="2"/>
  <c r="Q7343" i="2"/>
  <c r="Q7346" i="2"/>
  <c r="Q7347" i="2"/>
  <c r="Q7350" i="2"/>
  <c r="Q7351" i="2"/>
  <c r="Q7354" i="2"/>
  <c r="Q7355" i="2"/>
  <c r="Q7358" i="2"/>
  <c r="Q7359" i="2"/>
  <c r="Q7362" i="2"/>
  <c r="Q7363" i="2"/>
  <c r="Q7366" i="2"/>
  <c r="Q7367" i="2"/>
  <c r="Q7370" i="2"/>
  <c r="Q7371" i="2"/>
  <c r="Q7374" i="2"/>
  <c r="Q7375" i="2"/>
  <c r="Q7378" i="2"/>
  <c r="Q7379" i="2"/>
  <c r="Q7382" i="2"/>
  <c r="Q7383" i="2"/>
  <c r="Q7386" i="2"/>
  <c r="Q7387" i="2"/>
  <c r="Q7390" i="2"/>
  <c r="Q7391" i="2"/>
  <c r="Q7394" i="2"/>
  <c r="Q7395" i="2"/>
  <c r="Q7398" i="2"/>
  <c r="Q7399" i="2"/>
  <c r="Q7402" i="2"/>
  <c r="Q7403" i="2"/>
  <c r="Q7406" i="2"/>
  <c r="Q7407" i="2"/>
  <c r="Q7410" i="2"/>
  <c r="Q7411" i="2"/>
  <c r="Q7414" i="2"/>
  <c r="Q7415" i="2"/>
  <c r="Q7418" i="2"/>
  <c r="Q7419" i="2"/>
  <c r="Q7422" i="2"/>
  <c r="Q7423" i="2"/>
  <c r="Q7426" i="2"/>
  <c r="Q7427" i="2"/>
  <c r="Q7430" i="2"/>
  <c r="Q7431" i="2"/>
  <c r="Q7434" i="2"/>
  <c r="Q7435" i="2"/>
  <c r="Q7438" i="2"/>
  <c r="Q7439" i="2"/>
  <c r="Q7442" i="2"/>
  <c r="Q7443" i="2"/>
  <c r="Q7446" i="2"/>
  <c r="Q7447" i="2"/>
  <c r="Q7450" i="2"/>
  <c r="Q7451" i="2"/>
  <c r="Q7454" i="2"/>
  <c r="Q7455" i="2"/>
  <c r="Q7458" i="2"/>
  <c r="Q7459" i="2"/>
  <c r="Q7462" i="2"/>
  <c r="Q7463" i="2"/>
  <c r="Q7466" i="2"/>
  <c r="Q7467" i="2"/>
  <c r="Q7470" i="2"/>
  <c r="Q7471" i="2"/>
  <c r="Q7474" i="2"/>
  <c r="Q7475" i="2"/>
  <c r="Q7478" i="2"/>
  <c r="Q7479" i="2"/>
  <c r="Q7482" i="2"/>
  <c r="Q7483" i="2"/>
  <c r="Q7486" i="2"/>
  <c r="Q7487" i="2"/>
  <c r="Q7490" i="2"/>
  <c r="Q7491" i="2"/>
  <c r="Q7494" i="2"/>
  <c r="Q7495" i="2"/>
  <c r="Q7498" i="2"/>
  <c r="Q7499" i="2"/>
  <c r="Q7502" i="2"/>
  <c r="Q7503" i="2"/>
  <c r="Q7506" i="2"/>
  <c r="Q7507" i="2"/>
  <c r="Q7510" i="2"/>
  <c r="Q7511" i="2"/>
  <c r="Q7514" i="2"/>
  <c r="Q7515" i="2"/>
  <c r="Q7518" i="2"/>
  <c r="Q7519" i="2"/>
  <c r="Q7522" i="2"/>
  <c r="Q7523" i="2"/>
  <c r="Q7526" i="2"/>
  <c r="Q7527" i="2"/>
  <c r="Q7530" i="2"/>
  <c r="Q7531" i="2"/>
  <c r="Q7534" i="2"/>
  <c r="Q7535" i="2"/>
  <c r="Q7538" i="2"/>
  <c r="Q7539" i="2"/>
  <c r="Q7542" i="2"/>
  <c r="Q7543" i="2"/>
  <c r="Q7546" i="2"/>
  <c r="Q7547" i="2"/>
  <c r="Q7550" i="2"/>
  <c r="Q7551" i="2"/>
  <c r="Q7554" i="2"/>
  <c r="Q7555" i="2"/>
  <c r="Q7558" i="2"/>
  <c r="Q7559" i="2"/>
  <c r="Q7562" i="2"/>
  <c r="Q7563" i="2"/>
  <c r="Q7566" i="2"/>
  <c r="Q7567" i="2"/>
  <c r="Q7570" i="2"/>
  <c r="Q7571" i="2"/>
  <c r="Q7574" i="2"/>
  <c r="Q7575" i="2"/>
  <c r="Q7578" i="2"/>
  <c r="Q7579" i="2"/>
  <c r="Q7582" i="2"/>
  <c r="Q7583" i="2"/>
  <c r="Q7586" i="2"/>
  <c r="Q7587" i="2"/>
  <c r="Q7590" i="2"/>
  <c r="Q7591" i="2"/>
  <c r="Q7594" i="2"/>
  <c r="Q7595" i="2"/>
  <c r="Q7598" i="2"/>
  <c r="Q7599" i="2"/>
  <c r="Q7602" i="2"/>
  <c r="Q7603" i="2"/>
  <c r="Q7606" i="2"/>
  <c r="Q7607" i="2"/>
  <c r="Q7610" i="2"/>
  <c r="Q7611" i="2"/>
  <c r="Q7614" i="2"/>
  <c r="Q7615" i="2"/>
  <c r="Q7618" i="2"/>
  <c r="Q7619" i="2"/>
  <c r="Q7622" i="2"/>
  <c r="Q7623" i="2"/>
  <c r="Q7626" i="2"/>
  <c r="Q7627" i="2"/>
  <c r="Q7630" i="2"/>
  <c r="Q7631" i="2"/>
  <c r="Q7634" i="2"/>
  <c r="Q7635" i="2"/>
  <c r="Q7638" i="2"/>
  <c r="Q7639" i="2"/>
  <c r="Q7642" i="2"/>
  <c r="Q7643" i="2"/>
  <c r="Q7646" i="2"/>
  <c r="Q7647" i="2"/>
  <c r="Q7650" i="2"/>
  <c r="Q7651" i="2"/>
  <c r="Q7654" i="2"/>
  <c r="Q7655" i="2"/>
  <c r="Q7658" i="2"/>
  <c r="Q7659" i="2"/>
  <c r="Q7662" i="2"/>
  <c r="Q7663" i="2"/>
  <c r="Q7666" i="2"/>
  <c r="Q7667" i="2"/>
  <c r="Q7670" i="2"/>
  <c r="Q7671" i="2"/>
  <c r="Q7674" i="2"/>
  <c r="Q7675" i="2"/>
  <c r="Q7678" i="2"/>
  <c r="Q7679" i="2"/>
  <c r="Q7682" i="2"/>
  <c r="Q7683" i="2"/>
  <c r="Q7686" i="2"/>
  <c r="Q7687" i="2"/>
  <c r="Q7690" i="2"/>
  <c r="Q7691" i="2"/>
  <c r="Q7694" i="2"/>
  <c r="Q7695" i="2"/>
  <c r="Q7698" i="2"/>
  <c r="Q7699" i="2"/>
  <c r="Q7702" i="2"/>
  <c r="Q7703" i="2"/>
  <c r="Q7706" i="2"/>
  <c r="Q7707" i="2"/>
  <c r="Q7710" i="2"/>
  <c r="Q7711" i="2"/>
  <c r="Q7714" i="2"/>
  <c r="Q7715" i="2"/>
  <c r="Q7718" i="2"/>
  <c r="Q7719" i="2"/>
  <c r="Q7722" i="2"/>
  <c r="Q7723" i="2"/>
  <c r="Q7726" i="2"/>
  <c r="Q7727" i="2"/>
  <c r="Q7730" i="2"/>
  <c r="Q7731" i="2"/>
  <c r="Q7734" i="2"/>
  <c r="Q7735" i="2"/>
  <c r="Q7738" i="2"/>
  <c r="Q7739" i="2"/>
  <c r="Q7742" i="2"/>
  <c r="Q7743" i="2"/>
  <c r="Q7746" i="2"/>
  <c r="Q7747" i="2"/>
  <c r="Q7750" i="2"/>
  <c r="Q7751" i="2"/>
  <c r="Q7754" i="2"/>
  <c r="Q7755" i="2"/>
  <c r="Q7758" i="2"/>
  <c r="Q7759" i="2"/>
  <c r="Q7762" i="2"/>
  <c r="Q7763" i="2"/>
  <c r="Q7766" i="2"/>
  <c r="Q7767" i="2"/>
  <c r="Q7770" i="2"/>
  <c r="Q7771" i="2"/>
  <c r="Q7774" i="2"/>
  <c r="Q7775" i="2"/>
  <c r="Q7778" i="2"/>
  <c r="Q7779" i="2"/>
  <c r="Q7782" i="2"/>
  <c r="Q7783" i="2"/>
  <c r="Q7786" i="2"/>
  <c r="Q7787" i="2"/>
  <c r="Q7790" i="2"/>
  <c r="Q7791" i="2"/>
  <c r="Q7794" i="2"/>
  <c r="Q7795" i="2"/>
  <c r="Q7798" i="2"/>
  <c r="Q7799" i="2"/>
  <c r="Q7802" i="2"/>
  <c r="Q7803" i="2"/>
  <c r="Q7806" i="2"/>
  <c r="Q7807" i="2"/>
  <c r="Q7810" i="2"/>
  <c r="Q7811" i="2"/>
  <c r="Q7814" i="2"/>
  <c r="Q7815" i="2"/>
  <c r="Q7818" i="2"/>
  <c r="Q7819" i="2"/>
  <c r="Q7822" i="2"/>
  <c r="Q7823" i="2"/>
  <c r="Q7826" i="2"/>
  <c r="Q7827" i="2"/>
  <c r="Q7830" i="2"/>
  <c r="Q7831" i="2"/>
  <c r="Q7834" i="2"/>
  <c r="Q7835" i="2"/>
  <c r="Q7838" i="2"/>
  <c r="Q7839" i="2"/>
  <c r="Q7842" i="2"/>
  <c r="Q7843" i="2"/>
  <c r="Q7846" i="2"/>
  <c r="Q7847" i="2"/>
  <c r="Q7850" i="2"/>
  <c r="Q7851" i="2"/>
  <c r="Q7854" i="2"/>
  <c r="Q7855" i="2"/>
  <c r="Q7858" i="2"/>
  <c r="Q7859" i="2"/>
  <c r="Q7862" i="2"/>
  <c r="Q7863" i="2"/>
  <c r="Q7866" i="2"/>
  <c r="Q7867" i="2"/>
  <c r="Q7870" i="2"/>
  <c r="Q7871" i="2"/>
  <c r="Q7874" i="2"/>
  <c r="Q7875" i="2"/>
  <c r="Q7878" i="2"/>
  <c r="Q7879" i="2"/>
  <c r="Q7882" i="2"/>
  <c r="Q7883" i="2"/>
  <c r="Q7886" i="2"/>
  <c r="Q7887" i="2"/>
  <c r="Q7890" i="2"/>
  <c r="Q7891" i="2"/>
  <c r="Q7894" i="2"/>
  <c r="Q7895" i="2"/>
  <c r="Q7898" i="2"/>
  <c r="Q7899" i="2"/>
  <c r="Q7902" i="2"/>
  <c r="Q7903" i="2"/>
  <c r="Q7906" i="2"/>
  <c r="Q7907" i="2"/>
  <c r="Q7910" i="2"/>
  <c r="Q7911" i="2"/>
  <c r="Q7914" i="2"/>
  <c r="Q7915" i="2"/>
  <c r="Q7918" i="2"/>
  <c r="Q7919" i="2"/>
  <c r="Q7922" i="2"/>
  <c r="Q7923" i="2"/>
  <c r="Q7926" i="2"/>
  <c r="Q7927" i="2"/>
  <c r="Q7930" i="2"/>
  <c r="Q7931" i="2"/>
  <c r="Q7934" i="2"/>
  <c r="Q7935" i="2"/>
  <c r="Q7938" i="2"/>
  <c r="Q7939" i="2"/>
  <c r="Q7942" i="2"/>
  <c r="Q7943" i="2"/>
  <c r="Q7946" i="2"/>
  <c r="Q7947" i="2"/>
  <c r="Q7950" i="2"/>
  <c r="Q7951" i="2"/>
  <c r="Q7954" i="2"/>
  <c r="Q7955" i="2"/>
  <c r="Q7958" i="2"/>
  <c r="Q7959" i="2"/>
  <c r="Q7962" i="2"/>
  <c r="Q7963" i="2"/>
  <c r="Q7966" i="2"/>
  <c r="Q7967" i="2"/>
  <c r="Q7970" i="2"/>
  <c r="Q7971" i="2"/>
  <c r="Q7974" i="2"/>
  <c r="Q7975" i="2"/>
  <c r="Q7978" i="2"/>
  <c r="Q7979" i="2"/>
  <c r="Q7982" i="2"/>
  <c r="Q7983" i="2"/>
  <c r="Q7986" i="2"/>
  <c r="Q7987" i="2"/>
  <c r="Q7990" i="2"/>
  <c r="Q7991" i="2"/>
  <c r="Q7994" i="2"/>
  <c r="Q7995" i="2"/>
  <c r="Q7998" i="2"/>
  <c r="Q7999" i="2"/>
  <c r="Q8002" i="2"/>
  <c r="Q8003" i="2"/>
  <c r="Q8006" i="2"/>
  <c r="Q8007" i="2"/>
  <c r="Q8010" i="2"/>
  <c r="Q8011" i="2"/>
  <c r="Q8014" i="2"/>
  <c r="Q8015" i="2"/>
  <c r="Q8018" i="2"/>
  <c r="Q8019" i="2"/>
  <c r="Q8022" i="2"/>
  <c r="Q8023" i="2"/>
  <c r="Q8026" i="2"/>
  <c r="Q8027" i="2"/>
  <c r="Q8030" i="2"/>
  <c r="Q8031" i="2"/>
  <c r="Q8034" i="2"/>
  <c r="Q8035" i="2"/>
  <c r="Q8038" i="2"/>
  <c r="Q8039" i="2"/>
  <c r="Q8042" i="2"/>
  <c r="Q8043" i="2"/>
  <c r="Q8046" i="2"/>
  <c r="Q8047" i="2"/>
  <c r="Q8050" i="2"/>
  <c r="Q8051" i="2"/>
  <c r="Q8054" i="2"/>
  <c r="Q8055" i="2"/>
  <c r="Q8058" i="2"/>
  <c r="Q8059" i="2"/>
  <c r="Q8062" i="2"/>
  <c r="Q8063" i="2"/>
  <c r="Q8066" i="2"/>
  <c r="Q8067" i="2"/>
  <c r="Q8070" i="2"/>
  <c r="Q8071" i="2"/>
  <c r="Q8074" i="2"/>
  <c r="Q8075" i="2"/>
  <c r="Q8078" i="2"/>
  <c r="Q8079" i="2"/>
  <c r="Q8082" i="2"/>
  <c r="Q8083" i="2"/>
  <c r="Q8086" i="2"/>
  <c r="Q8087" i="2"/>
  <c r="Q8090" i="2"/>
  <c r="Q8091" i="2"/>
  <c r="Q8094" i="2"/>
  <c r="Q8095" i="2"/>
  <c r="Q8098" i="2"/>
  <c r="Q8099" i="2"/>
  <c r="Q8102" i="2"/>
  <c r="Q8103" i="2"/>
  <c r="Q8106" i="2"/>
  <c r="Q8107" i="2"/>
  <c r="Q8110" i="2"/>
  <c r="Q8111" i="2"/>
  <c r="Q8114" i="2"/>
  <c r="Q8115" i="2"/>
  <c r="Q8118" i="2"/>
  <c r="Q8119" i="2"/>
  <c r="Q8122" i="2"/>
  <c r="Q8123" i="2"/>
  <c r="Q8126" i="2"/>
  <c r="Q8127" i="2"/>
  <c r="Q8130" i="2"/>
  <c r="Q8131" i="2"/>
  <c r="Q8134" i="2"/>
  <c r="Q8135" i="2"/>
  <c r="Q8138" i="2"/>
  <c r="Q8139" i="2"/>
  <c r="Q8142" i="2"/>
  <c r="Q8143" i="2"/>
  <c r="Q8146" i="2"/>
  <c r="Q8147" i="2"/>
  <c r="Q8150" i="2"/>
  <c r="Q8151" i="2"/>
  <c r="Q8154" i="2"/>
  <c r="Q8155" i="2"/>
  <c r="Q8158" i="2"/>
  <c r="Q8159" i="2"/>
  <c r="Q8162" i="2"/>
  <c r="Q8163" i="2"/>
  <c r="Q8166" i="2"/>
  <c r="Q8167" i="2"/>
  <c r="Q8170" i="2"/>
  <c r="Q8171" i="2"/>
  <c r="Q8174" i="2"/>
  <c r="Q8175" i="2"/>
  <c r="Q8178" i="2"/>
  <c r="Q8179" i="2"/>
  <c r="Q8182" i="2"/>
  <c r="Q8183" i="2"/>
  <c r="Q8186" i="2"/>
  <c r="Q8187" i="2"/>
  <c r="Q8190" i="2"/>
  <c r="Q8191" i="2"/>
  <c r="Q8194" i="2"/>
  <c r="Q8195" i="2"/>
  <c r="Q8198" i="2"/>
  <c r="Q8199" i="2"/>
  <c r="Q8202" i="2"/>
  <c r="Q8203" i="2"/>
  <c r="Q8206" i="2"/>
  <c r="Q8207" i="2"/>
  <c r="Q8210" i="2"/>
  <c r="Q8211" i="2"/>
  <c r="Q8214" i="2"/>
  <c r="Q8215" i="2"/>
  <c r="Q8218" i="2"/>
  <c r="Q8219" i="2"/>
  <c r="Q8222" i="2"/>
  <c r="Q8223" i="2"/>
  <c r="Q8226" i="2"/>
  <c r="Q8227" i="2"/>
  <c r="Q8230" i="2"/>
  <c r="Q8231" i="2"/>
  <c r="Q8234" i="2"/>
  <c r="Q8235" i="2"/>
  <c r="Q8238" i="2"/>
  <c r="Q8239" i="2"/>
  <c r="Q8242" i="2"/>
  <c r="Q8243" i="2"/>
  <c r="Q8246" i="2"/>
  <c r="Q8247" i="2"/>
  <c r="Q8250" i="2"/>
  <c r="Q8251" i="2"/>
  <c r="Q8254" i="2"/>
  <c r="Q8255" i="2"/>
  <c r="Q8258" i="2"/>
  <c r="Q8259" i="2"/>
  <c r="Q8262" i="2"/>
  <c r="Q8263" i="2"/>
  <c r="Q8266" i="2"/>
  <c r="Q8267" i="2"/>
  <c r="Q8270" i="2"/>
  <c r="Q8271" i="2"/>
  <c r="Q8274" i="2"/>
  <c r="Q8275" i="2"/>
  <c r="Q8278" i="2"/>
  <c r="Q8279" i="2"/>
  <c r="Q8282" i="2"/>
  <c r="Q8283" i="2"/>
  <c r="Q8286" i="2"/>
  <c r="Q8287" i="2"/>
  <c r="Q8290" i="2"/>
  <c r="Q8291" i="2"/>
  <c r="Q8294" i="2"/>
  <c r="Q8295" i="2"/>
  <c r="Q8298" i="2"/>
  <c r="Q8299" i="2"/>
  <c r="Q8302" i="2"/>
  <c r="Q8303" i="2"/>
  <c r="Q8306" i="2"/>
  <c r="Q8307" i="2"/>
  <c r="Q8310" i="2"/>
  <c r="Q8311" i="2"/>
  <c r="Q8314" i="2"/>
  <c r="Q8315" i="2"/>
  <c r="Q8318" i="2"/>
  <c r="Q8319" i="2"/>
  <c r="Q8322" i="2"/>
  <c r="Q8323" i="2"/>
  <c r="Q8326" i="2"/>
  <c r="Q8327" i="2"/>
  <c r="Q8330" i="2"/>
  <c r="Q8331" i="2"/>
  <c r="Q8334" i="2"/>
  <c r="Q8335" i="2"/>
  <c r="Q8338" i="2"/>
  <c r="Q8339" i="2"/>
  <c r="Q8342" i="2"/>
  <c r="Q8343" i="2"/>
  <c r="Q8346" i="2"/>
  <c r="Q8347" i="2"/>
  <c r="Q8350" i="2"/>
  <c r="Q8351" i="2"/>
  <c r="Q8354" i="2"/>
  <c r="Q8355" i="2"/>
  <c r="Q8358" i="2"/>
  <c r="Q8359" i="2"/>
  <c r="Q8362" i="2"/>
  <c r="Q8363" i="2"/>
  <c r="Q8366" i="2"/>
  <c r="Q8367" i="2"/>
  <c r="Q8370" i="2"/>
  <c r="Q8371" i="2"/>
  <c r="Q8374" i="2"/>
  <c r="Q8375" i="2"/>
  <c r="Q8378" i="2"/>
  <c r="Q8379" i="2"/>
  <c r="Q8382" i="2"/>
  <c r="Q8383" i="2"/>
  <c r="Q8386" i="2"/>
  <c r="Q8387" i="2"/>
  <c r="Q8390" i="2"/>
  <c r="Q8391" i="2"/>
  <c r="Q8394" i="2"/>
  <c r="Q8395" i="2"/>
  <c r="Q8398" i="2"/>
  <c r="Q8399" i="2"/>
  <c r="Q8402" i="2"/>
  <c r="Q8403" i="2"/>
  <c r="Q8406" i="2"/>
  <c r="Q8407" i="2"/>
  <c r="Q8410" i="2"/>
  <c r="Q8411" i="2"/>
  <c r="Q8414" i="2"/>
  <c r="Q8415" i="2"/>
  <c r="Q8418" i="2"/>
  <c r="Q8419" i="2"/>
  <c r="Q8422" i="2"/>
  <c r="Q8423" i="2"/>
  <c r="Q8426" i="2"/>
  <c r="Q8427" i="2"/>
  <c r="Q8430" i="2"/>
  <c r="Q8431" i="2"/>
  <c r="Q8434" i="2"/>
  <c r="Q8435" i="2"/>
  <c r="Q8438" i="2"/>
  <c r="Q8439" i="2"/>
  <c r="Q8442" i="2"/>
  <c r="Q8443" i="2"/>
  <c r="Q8446" i="2"/>
  <c r="Q8447" i="2"/>
  <c r="Q8450" i="2"/>
  <c r="Q8451" i="2"/>
  <c r="Q8454" i="2"/>
  <c r="Q8455" i="2"/>
  <c r="Q8458" i="2"/>
  <c r="Q8459" i="2"/>
  <c r="Q8462" i="2"/>
  <c r="Q8463" i="2"/>
  <c r="Q8466" i="2"/>
  <c r="Q8467" i="2"/>
  <c r="Q8470" i="2"/>
  <c r="Q8471" i="2"/>
  <c r="Q8474" i="2"/>
  <c r="Q8475" i="2"/>
  <c r="Q8478" i="2"/>
  <c r="Q8479" i="2"/>
  <c r="Q8482" i="2"/>
  <c r="Q8483" i="2"/>
  <c r="Q8486" i="2"/>
  <c r="Q8487" i="2"/>
  <c r="Q8490" i="2"/>
  <c r="Q8491" i="2"/>
  <c r="Q8494" i="2"/>
  <c r="Q8495" i="2"/>
  <c r="Q8498" i="2"/>
  <c r="Q8499" i="2"/>
  <c r="Q8502" i="2"/>
  <c r="Q8503" i="2"/>
  <c r="Q8506" i="2"/>
  <c r="Q8507" i="2"/>
  <c r="Q8510" i="2"/>
  <c r="Q8511" i="2"/>
  <c r="Q8514" i="2"/>
  <c r="Q8515" i="2"/>
  <c r="Q8518" i="2"/>
  <c r="Q8519" i="2"/>
  <c r="Q8522" i="2"/>
  <c r="Q8523" i="2"/>
  <c r="Q8526" i="2"/>
  <c r="Q8527" i="2"/>
  <c r="Q8530" i="2"/>
  <c r="Q8531" i="2"/>
  <c r="Q8534" i="2"/>
  <c r="Q8535" i="2"/>
  <c r="Q8538" i="2"/>
  <c r="Q8539" i="2"/>
  <c r="Q8542" i="2"/>
  <c r="Q8543" i="2"/>
  <c r="Q8546" i="2"/>
  <c r="Q8547" i="2"/>
  <c r="Q8550" i="2"/>
  <c r="Q8551" i="2"/>
  <c r="Q8554" i="2"/>
  <c r="Q8555" i="2"/>
  <c r="Q8558" i="2"/>
  <c r="Q8559" i="2"/>
  <c r="Q8562" i="2"/>
  <c r="Q8563" i="2"/>
  <c r="Q8566" i="2"/>
  <c r="Q8567" i="2"/>
  <c r="Q8570" i="2"/>
  <c r="Q8571" i="2"/>
  <c r="Q8574" i="2"/>
  <c r="Q8575" i="2"/>
  <c r="Q8578" i="2"/>
  <c r="Q8579" i="2"/>
  <c r="Q8582" i="2"/>
  <c r="Q8583" i="2"/>
  <c r="Q8586" i="2"/>
  <c r="Q8587" i="2"/>
  <c r="Q8590" i="2"/>
  <c r="Q8591" i="2"/>
  <c r="Q8594" i="2"/>
  <c r="Q8595" i="2"/>
  <c r="Q8598" i="2"/>
  <c r="Q8599" i="2"/>
  <c r="Q8602" i="2"/>
  <c r="Q8603" i="2"/>
  <c r="Q8606" i="2"/>
  <c r="Q8607" i="2"/>
  <c r="Q8610" i="2"/>
  <c r="Q8611" i="2"/>
  <c r="Q8614" i="2"/>
  <c r="Q8615" i="2"/>
  <c r="Q8618" i="2"/>
  <c r="Q8619" i="2"/>
  <c r="Q8622" i="2"/>
  <c r="Q8623" i="2"/>
  <c r="Q8626" i="2"/>
  <c r="Q8627" i="2"/>
  <c r="Q8630" i="2"/>
  <c r="Q8631" i="2"/>
  <c r="Q8634" i="2"/>
  <c r="Q8635" i="2"/>
  <c r="Q8638" i="2"/>
  <c r="Q8639" i="2"/>
  <c r="Q8642" i="2"/>
  <c r="Q8643" i="2"/>
  <c r="Q8646" i="2"/>
  <c r="Q8647" i="2"/>
  <c r="Q8650" i="2"/>
  <c r="Q8651" i="2"/>
  <c r="Q8654" i="2"/>
  <c r="Q8655" i="2"/>
  <c r="Q8658" i="2"/>
  <c r="Q8659" i="2"/>
  <c r="Q8662" i="2"/>
  <c r="Q8663" i="2"/>
  <c r="Q8666" i="2"/>
  <c r="Q8667" i="2"/>
  <c r="Q8670" i="2"/>
  <c r="Q8671" i="2"/>
  <c r="Q8674" i="2"/>
  <c r="Q8675" i="2"/>
  <c r="Q8678" i="2"/>
  <c r="Q8679" i="2"/>
  <c r="Q8682" i="2"/>
  <c r="Q8683" i="2"/>
  <c r="Q8686" i="2"/>
  <c r="Q8687" i="2"/>
  <c r="Q8690" i="2"/>
  <c r="Q8691" i="2"/>
  <c r="Q8694" i="2"/>
  <c r="Q8695" i="2"/>
  <c r="Q8698" i="2"/>
  <c r="Q8699" i="2"/>
  <c r="Q8702" i="2"/>
  <c r="Q8703" i="2"/>
  <c r="Q8706" i="2"/>
  <c r="Q8707" i="2"/>
  <c r="Q8710" i="2"/>
  <c r="Q8711" i="2"/>
  <c r="Q8714" i="2"/>
  <c r="Q8715" i="2"/>
  <c r="Q8718" i="2"/>
  <c r="Q8719" i="2"/>
  <c r="Q8722" i="2"/>
  <c r="Q8723" i="2"/>
  <c r="Q8726" i="2"/>
  <c r="Q8727" i="2"/>
  <c r="Q8730" i="2"/>
  <c r="Q8731" i="2"/>
  <c r="Q8734" i="2"/>
  <c r="Q8735" i="2"/>
  <c r="Q8738" i="2"/>
  <c r="Q8739" i="2"/>
  <c r="Q8742" i="2"/>
  <c r="Q8743" i="2"/>
  <c r="Q8746" i="2"/>
  <c r="Q8747" i="2"/>
  <c r="Q8750" i="2"/>
  <c r="Q8751" i="2"/>
  <c r="Q8754" i="2"/>
  <c r="Q8755" i="2"/>
  <c r="Q8758" i="2"/>
  <c r="Q8759" i="2"/>
  <c r="Q8762" i="2"/>
  <c r="Q8763" i="2"/>
  <c r="Q8766" i="2"/>
  <c r="Q8767" i="2"/>
  <c r="Q8770" i="2"/>
  <c r="Q8771" i="2"/>
  <c r="Q8774" i="2"/>
  <c r="Q8775" i="2"/>
  <c r="Q8778" i="2"/>
  <c r="Q8779" i="2"/>
  <c r="Q8782" i="2"/>
  <c r="Q8783" i="2"/>
  <c r="Q8786" i="2"/>
  <c r="Q8787" i="2"/>
  <c r="Q8790" i="2"/>
  <c r="Q8791" i="2"/>
  <c r="Q8794" i="2"/>
  <c r="Q8795" i="2"/>
  <c r="Q8798" i="2"/>
  <c r="Q8799" i="2"/>
  <c r="Q8802" i="2"/>
  <c r="Q8803" i="2"/>
  <c r="Q8806" i="2"/>
  <c r="Q8807" i="2"/>
  <c r="Q8810" i="2"/>
  <c r="Q8811" i="2"/>
  <c r="Q8814" i="2"/>
  <c r="Q8815" i="2"/>
  <c r="Q8818" i="2"/>
  <c r="Q8819" i="2"/>
  <c r="Q8822" i="2"/>
  <c r="Q8823" i="2"/>
  <c r="Q8826" i="2"/>
  <c r="Q8827" i="2"/>
  <c r="Q8830" i="2"/>
  <c r="Q8831" i="2"/>
  <c r="Q8834" i="2"/>
  <c r="Q8835" i="2"/>
  <c r="Q8838" i="2"/>
  <c r="Q8839" i="2"/>
  <c r="Q8842" i="2"/>
  <c r="Q8843" i="2"/>
  <c r="Q8846" i="2"/>
  <c r="Q8847" i="2"/>
  <c r="Q8850" i="2"/>
  <c r="Q8851" i="2"/>
  <c r="Q8854" i="2"/>
  <c r="Q8855" i="2"/>
  <c r="Q8858" i="2"/>
  <c r="Q8859" i="2"/>
  <c r="Q8862" i="2"/>
  <c r="Q8863" i="2"/>
  <c r="Q8866" i="2"/>
  <c r="Q8867" i="2"/>
  <c r="Q8870" i="2"/>
  <c r="Q8871" i="2"/>
  <c r="Q8874" i="2"/>
  <c r="Q8875" i="2"/>
  <c r="Q8878" i="2"/>
  <c r="Q8879" i="2"/>
  <c r="Q8882" i="2"/>
  <c r="Q8883" i="2"/>
  <c r="Q8886" i="2"/>
  <c r="Q8887" i="2"/>
  <c r="Q8890" i="2"/>
  <c r="Q8891" i="2"/>
  <c r="Q8894" i="2"/>
  <c r="Q8895" i="2"/>
  <c r="Q8898" i="2"/>
  <c r="Q8899" i="2"/>
  <c r="Q8902" i="2"/>
  <c r="Q8903" i="2"/>
  <c r="Q8906" i="2"/>
  <c r="Q8907" i="2"/>
  <c r="Q8910" i="2"/>
  <c r="Q8911" i="2"/>
  <c r="Q8914" i="2"/>
  <c r="Q8915" i="2"/>
  <c r="Q8918" i="2"/>
  <c r="Q8919" i="2"/>
  <c r="Q8922" i="2"/>
  <c r="Q8923" i="2"/>
  <c r="Q8926" i="2"/>
  <c r="Q8927" i="2"/>
  <c r="Q8930" i="2"/>
  <c r="Q8931" i="2"/>
  <c r="Q8934" i="2"/>
  <c r="Q8935" i="2"/>
  <c r="Q8938" i="2"/>
  <c r="Q8939" i="2"/>
  <c r="Q8942" i="2"/>
  <c r="Q8943" i="2"/>
  <c r="Q8946" i="2"/>
  <c r="Q8947" i="2"/>
  <c r="Q8950" i="2"/>
  <c r="Q8951" i="2"/>
  <c r="Q8954" i="2"/>
  <c r="Q8955" i="2"/>
  <c r="Q8958" i="2"/>
  <c r="Q8959" i="2"/>
  <c r="Q8962" i="2"/>
  <c r="Q8963" i="2"/>
  <c r="Q8966" i="2"/>
  <c r="Q8967" i="2"/>
  <c r="Q8970" i="2"/>
  <c r="Q8971" i="2"/>
  <c r="Q8974" i="2"/>
  <c r="Q8975" i="2"/>
  <c r="Q8978" i="2"/>
  <c r="Q8979" i="2"/>
  <c r="Q8982" i="2"/>
  <c r="Q8983" i="2"/>
  <c r="Q8986" i="2"/>
  <c r="Q8987" i="2"/>
  <c r="Q8990" i="2"/>
  <c r="Q8991" i="2"/>
  <c r="Q8994" i="2"/>
  <c r="Q8995" i="2"/>
  <c r="Q8998" i="2"/>
  <c r="Q8999" i="2"/>
  <c r="Q9002" i="2"/>
  <c r="Q9003" i="2"/>
  <c r="Q9006" i="2"/>
  <c r="Q9007" i="2"/>
  <c r="Q9010" i="2"/>
  <c r="Q9011" i="2"/>
  <c r="Q9014" i="2"/>
  <c r="Q9015" i="2"/>
  <c r="Q9018" i="2"/>
  <c r="Q9019" i="2"/>
  <c r="Q9022" i="2"/>
  <c r="Q9023" i="2"/>
  <c r="Q9026" i="2"/>
  <c r="Q9027" i="2"/>
  <c r="Q9030" i="2"/>
  <c r="Q9031" i="2"/>
  <c r="Q9034" i="2"/>
  <c r="Q9035" i="2"/>
  <c r="Q9038" i="2"/>
  <c r="Q9039" i="2"/>
  <c r="Q9042" i="2"/>
  <c r="Q9043" i="2"/>
  <c r="Q9046" i="2"/>
  <c r="Q9047" i="2"/>
  <c r="Q9050" i="2"/>
  <c r="Q9051" i="2"/>
  <c r="Q9054" i="2"/>
  <c r="Q9055" i="2"/>
  <c r="Q9058" i="2"/>
  <c r="Q9059" i="2"/>
  <c r="Q9062" i="2"/>
  <c r="Q9063" i="2"/>
  <c r="Q9066" i="2"/>
  <c r="Q9067" i="2"/>
  <c r="Q9070" i="2"/>
  <c r="Q9071" i="2"/>
  <c r="Q9074" i="2"/>
  <c r="Q9075" i="2"/>
  <c r="Q9078" i="2"/>
  <c r="Q9079" i="2"/>
  <c r="Q9082" i="2"/>
  <c r="Q9083" i="2"/>
  <c r="Q9086" i="2"/>
  <c r="Q9087" i="2"/>
  <c r="Q9090" i="2"/>
  <c r="Q9091" i="2"/>
  <c r="Q9094" i="2"/>
  <c r="Q9095" i="2"/>
  <c r="Q9098" i="2"/>
  <c r="Q9099" i="2"/>
  <c r="Q9102" i="2"/>
  <c r="Q9103" i="2"/>
  <c r="Q9106" i="2"/>
  <c r="Q9107" i="2"/>
  <c r="Q9110" i="2"/>
  <c r="Q9111" i="2"/>
  <c r="Q9114" i="2"/>
  <c r="Q9115" i="2"/>
  <c r="Q9118" i="2"/>
  <c r="Q9119" i="2"/>
  <c r="Q9122" i="2"/>
  <c r="Q9123" i="2"/>
  <c r="Q9126" i="2"/>
  <c r="Q9127" i="2"/>
  <c r="Q9130" i="2"/>
  <c r="Q9131" i="2"/>
  <c r="Q9134" i="2"/>
  <c r="Q9135" i="2"/>
  <c r="Q9138" i="2"/>
  <c r="Q9139" i="2"/>
  <c r="Q9142" i="2"/>
  <c r="Q9143" i="2"/>
  <c r="Q9146" i="2"/>
  <c r="Q9147" i="2"/>
  <c r="Q9150" i="2"/>
  <c r="Q9151" i="2"/>
  <c r="Q9154" i="2"/>
  <c r="Q9155" i="2"/>
  <c r="Q9158" i="2"/>
  <c r="Q9159" i="2"/>
  <c r="Q9162" i="2"/>
  <c r="Q9163" i="2"/>
  <c r="Q9166" i="2"/>
  <c r="Q9167" i="2"/>
  <c r="Q9170" i="2"/>
  <c r="Q9171" i="2"/>
  <c r="Q9174" i="2"/>
  <c r="Q9175" i="2"/>
  <c r="Q9178" i="2"/>
  <c r="Q9179" i="2"/>
  <c r="Q9182" i="2"/>
  <c r="Q9183" i="2"/>
  <c r="Q9186" i="2"/>
  <c r="Q9187" i="2"/>
  <c r="Q9190" i="2"/>
  <c r="Q9191" i="2"/>
  <c r="Q9194" i="2"/>
  <c r="Q9195" i="2"/>
  <c r="Q9198" i="2"/>
  <c r="Q9199" i="2"/>
  <c r="Q9202" i="2"/>
  <c r="Q9203" i="2"/>
  <c r="Q9206" i="2"/>
  <c r="Q9207" i="2"/>
  <c r="Q9210" i="2"/>
  <c r="Q9211" i="2"/>
  <c r="Q9214" i="2"/>
  <c r="Q9215" i="2"/>
  <c r="Q9218" i="2"/>
  <c r="Q9219" i="2"/>
  <c r="Q9222" i="2"/>
  <c r="Q9223" i="2"/>
  <c r="Q9226" i="2"/>
  <c r="Q9227" i="2"/>
  <c r="Q9230" i="2"/>
  <c r="Q9231" i="2"/>
  <c r="Q9234" i="2"/>
  <c r="Q9235" i="2"/>
  <c r="Q9238" i="2"/>
  <c r="Q9239" i="2"/>
  <c r="Q9242" i="2"/>
  <c r="Q9243" i="2"/>
  <c r="Q9246" i="2"/>
  <c r="Q9247" i="2"/>
  <c r="Q9250" i="2"/>
  <c r="Q9251" i="2"/>
  <c r="Q9254" i="2"/>
  <c r="Q9255" i="2"/>
  <c r="Q9258" i="2"/>
  <c r="Q9259" i="2"/>
  <c r="Q9262" i="2"/>
  <c r="Q9263" i="2"/>
  <c r="Q9266" i="2"/>
  <c r="Q9267" i="2"/>
  <c r="Q9270" i="2"/>
  <c r="Q9271" i="2"/>
  <c r="Q9274" i="2"/>
  <c r="Q9275" i="2"/>
  <c r="Q9278" i="2"/>
  <c r="Q9279" i="2"/>
  <c r="Q9282" i="2"/>
  <c r="Q9283" i="2"/>
  <c r="Q9286" i="2"/>
  <c r="Q9287" i="2"/>
  <c r="Q9290" i="2"/>
  <c r="Q9291" i="2"/>
  <c r="Q9294" i="2"/>
  <c r="Q9295" i="2"/>
  <c r="Q9298" i="2"/>
  <c r="Q9299" i="2"/>
  <c r="Q9302" i="2"/>
  <c r="Q9303" i="2"/>
  <c r="Q9306" i="2"/>
  <c r="Q9307" i="2"/>
  <c r="Q9310" i="2"/>
  <c r="Q9311" i="2"/>
  <c r="Q9314" i="2"/>
  <c r="Q9315" i="2"/>
  <c r="Q9318" i="2"/>
  <c r="Q9319" i="2"/>
  <c r="Q9322" i="2"/>
  <c r="Q9323" i="2"/>
  <c r="Q9326" i="2"/>
  <c r="Q9327" i="2"/>
  <c r="Q9330" i="2"/>
  <c r="Q9331" i="2"/>
  <c r="Q9334" i="2"/>
  <c r="Q9335" i="2"/>
  <c r="Q9338" i="2"/>
  <c r="Q9339" i="2"/>
  <c r="Q9342" i="2"/>
  <c r="Q9343" i="2"/>
  <c r="Q9346" i="2"/>
  <c r="Q9347" i="2"/>
  <c r="Q9350" i="2"/>
  <c r="Q9351" i="2"/>
  <c r="Q9354" i="2"/>
  <c r="Q9355" i="2"/>
  <c r="Q9358" i="2"/>
  <c r="Q9359" i="2"/>
  <c r="Q9362" i="2"/>
  <c r="Q9363" i="2"/>
  <c r="Q9366" i="2"/>
  <c r="Q9367" i="2"/>
  <c r="Q9370" i="2"/>
  <c r="Q9371" i="2"/>
  <c r="Q9374" i="2"/>
  <c r="Q9375" i="2"/>
  <c r="Q9378" i="2"/>
  <c r="Q9379" i="2"/>
  <c r="Q9382" i="2"/>
  <c r="Q9383" i="2"/>
  <c r="Q9386" i="2"/>
  <c r="Q9387" i="2"/>
  <c r="Q9390" i="2"/>
  <c r="Q9391" i="2"/>
  <c r="Q9394" i="2"/>
  <c r="Q9395" i="2"/>
  <c r="Q9398" i="2"/>
  <c r="Q9399" i="2"/>
  <c r="Q9402" i="2"/>
  <c r="Q9403" i="2"/>
  <c r="Q9406" i="2"/>
  <c r="Q9407" i="2"/>
  <c r="Q9410" i="2"/>
  <c r="Q9411" i="2"/>
  <c r="Q9414" i="2"/>
  <c r="Q9415" i="2"/>
  <c r="Q9418" i="2"/>
  <c r="Q9419" i="2"/>
  <c r="Q9422" i="2"/>
  <c r="Q9423" i="2"/>
  <c r="Q9426" i="2"/>
  <c r="Q9427" i="2"/>
  <c r="Q9430" i="2"/>
  <c r="Q9431" i="2"/>
  <c r="Q9434" i="2"/>
  <c r="Q9435" i="2"/>
  <c r="Q9438" i="2"/>
  <c r="Q9439" i="2"/>
  <c r="Q9442" i="2"/>
  <c r="Q9443" i="2"/>
  <c r="Q9446" i="2"/>
  <c r="Q9447" i="2"/>
  <c r="Q9450" i="2"/>
  <c r="Q9451" i="2"/>
  <c r="Q9454" i="2"/>
  <c r="Q9455" i="2"/>
  <c r="Q9458" i="2"/>
  <c r="Q9459" i="2"/>
  <c r="Q9462" i="2"/>
  <c r="Q9463" i="2"/>
  <c r="Q9466" i="2"/>
  <c r="Q9467" i="2"/>
  <c r="Q9470" i="2"/>
  <c r="Q9471" i="2"/>
  <c r="Q9474" i="2"/>
  <c r="Q9475" i="2"/>
  <c r="Q9478" i="2"/>
  <c r="Q9479" i="2"/>
  <c r="Q9482" i="2"/>
  <c r="Q9483" i="2"/>
  <c r="Q9486" i="2"/>
  <c r="Q9487" i="2"/>
  <c r="Q9490" i="2"/>
  <c r="Q9491" i="2"/>
  <c r="Q9494" i="2"/>
  <c r="Q9495" i="2"/>
  <c r="Q9498" i="2"/>
  <c r="Q9499" i="2"/>
  <c r="Q9502" i="2"/>
  <c r="Q9503" i="2"/>
  <c r="Q9506" i="2"/>
  <c r="Q9507" i="2"/>
  <c r="Q9510" i="2"/>
  <c r="Q9511" i="2"/>
  <c r="Q9514" i="2"/>
  <c r="Q9515" i="2"/>
  <c r="Q9518" i="2"/>
  <c r="Q9519" i="2"/>
  <c r="Q9522" i="2"/>
  <c r="Q9523" i="2"/>
  <c r="Q9526" i="2"/>
  <c r="Q9527" i="2"/>
  <c r="Q9530" i="2"/>
  <c r="Q9531" i="2"/>
  <c r="Q9534" i="2"/>
  <c r="Q9535" i="2"/>
  <c r="Q9538" i="2"/>
  <c r="Q9539" i="2"/>
  <c r="Q9542" i="2"/>
  <c r="Q9543" i="2"/>
  <c r="Q9546" i="2"/>
  <c r="Q9547" i="2"/>
  <c r="Q9550" i="2"/>
  <c r="Q9551" i="2"/>
  <c r="Q9554" i="2"/>
  <c r="Q9555" i="2"/>
  <c r="Q9558" i="2"/>
  <c r="Q9559" i="2"/>
  <c r="Q9562" i="2"/>
  <c r="Q9563" i="2"/>
  <c r="Q9566" i="2"/>
  <c r="Q9567" i="2"/>
  <c r="Q9570" i="2"/>
  <c r="Q9571" i="2"/>
  <c r="Q9574" i="2"/>
  <c r="Q9575" i="2"/>
  <c r="Q9578" i="2"/>
  <c r="Q9579" i="2"/>
  <c r="Q9582" i="2"/>
  <c r="Q9583" i="2"/>
  <c r="Q9586" i="2"/>
  <c r="Q9587" i="2"/>
  <c r="Q9590" i="2"/>
  <c r="Q9591" i="2"/>
  <c r="Q9594" i="2"/>
  <c r="Q9595" i="2"/>
  <c r="Q9598" i="2"/>
  <c r="Q9599" i="2"/>
  <c r="Q9602" i="2"/>
  <c r="Q9603" i="2"/>
  <c r="Q9606" i="2"/>
  <c r="Q9607" i="2"/>
  <c r="Q9610" i="2"/>
  <c r="Q9611" i="2"/>
  <c r="Q9614" i="2"/>
  <c r="Q9615" i="2"/>
  <c r="Q9618" i="2"/>
  <c r="Q9619" i="2"/>
  <c r="Q9622" i="2"/>
  <c r="Q9623" i="2"/>
  <c r="Q9626" i="2"/>
  <c r="Q9627" i="2"/>
  <c r="Q9630" i="2"/>
  <c r="Q9631" i="2"/>
  <c r="Q9634" i="2"/>
  <c r="Q9635" i="2"/>
  <c r="Q9638" i="2"/>
  <c r="Q9639" i="2"/>
  <c r="Q9642" i="2"/>
  <c r="Q9643" i="2"/>
  <c r="Q9646" i="2"/>
  <c r="Q9647" i="2"/>
  <c r="Q9650" i="2"/>
  <c r="Q9651" i="2"/>
  <c r="Q9654" i="2"/>
  <c r="Q9655" i="2"/>
  <c r="Q9658" i="2"/>
  <c r="Q9659" i="2"/>
  <c r="Q9662" i="2"/>
  <c r="Q9663" i="2"/>
  <c r="Q9666" i="2"/>
  <c r="Q9667" i="2"/>
  <c r="Q9670" i="2"/>
  <c r="Q9671" i="2"/>
  <c r="Q9674" i="2"/>
  <c r="Q9675" i="2"/>
  <c r="Q9678" i="2"/>
  <c r="Q9679" i="2"/>
  <c r="Q9682" i="2"/>
  <c r="Q9683" i="2"/>
  <c r="Q9686" i="2"/>
  <c r="Q9687" i="2"/>
  <c r="Q9690" i="2"/>
  <c r="Q9691" i="2"/>
  <c r="Q9694" i="2"/>
  <c r="Q9695" i="2"/>
  <c r="Q9698" i="2"/>
  <c r="Q9699" i="2"/>
  <c r="Q9702" i="2"/>
  <c r="Q9703" i="2"/>
  <c r="Q9706" i="2"/>
  <c r="Q9707" i="2"/>
  <c r="Q9710" i="2"/>
  <c r="Q9711" i="2"/>
  <c r="Q9714" i="2"/>
  <c r="Q9715" i="2"/>
  <c r="Q9718" i="2"/>
  <c r="Q9719" i="2"/>
  <c r="Q9722" i="2"/>
  <c r="Q9723" i="2"/>
  <c r="Q9726" i="2"/>
  <c r="Q9727" i="2"/>
  <c r="Q9730" i="2"/>
  <c r="Q9731" i="2"/>
  <c r="Q9734" i="2"/>
  <c r="Q9735" i="2"/>
  <c r="Q9738" i="2"/>
  <c r="Q9739" i="2"/>
  <c r="Q9742" i="2"/>
  <c r="Q9743" i="2"/>
  <c r="Q9746" i="2"/>
  <c r="Q9747" i="2"/>
  <c r="Q9750" i="2"/>
  <c r="Q9751" i="2"/>
  <c r="Q9754" i="2"/>
  <c r="Q9755" i="2"/>
  <c r="Q9758" i="2"/>
  <c r="Q9759" i="2"/>
  <c r="Q9762" i="2"/>
  <c r="Q9763" i="2"/>
  <c r="Q9766" i="2"/>
  <c r="Q9767" i="2"/>
  <c r="Q9770" i="2"/>
  <c r="Q9771" i="2"/>
  <c r="Q9774" i="2"/>
  <c r="Q9775" i="2"/>
  <c r="Q9778" i="2"/>
  <c r="Q9779" i="2"/>
  <c r="Q9782" i="2"/>
  <c r="Q9783" i="2"/>
  <c r="Q9786" i="2"/>
  <c r="Q9787" i="2"/>
  <c r="Q9790" i="2"/>
  <c r="Q9791" i="2"/>
  <c r="Q9794" i="2"/>
  <c r="Q9795" i="2"/>
  <c r="Q9798" i="2"/>
  <c r="Q9799" i="2"/>
  <c r="Q9802" i="2"/>
  <c r="Q9803" i="2"/>
  <c r="Q9806" i="2"/>
  <c r="Q9807" i="2"/>
  <c r="Q9810" i="2"/>
  <c r="Q9811" i="2"/>
  <c r="Q9814" i="2"/>
  <c r="Q9815" i="2"/>
  <c r="Q9818" i="2"/>
  <c r="Q9819" i="2"/>
  <c r="Q9822" i="2"/>
  <c r="Q9823" i="2"/>
  <c r="Q9826" i="2"/>
  <c r="Q9827" i="2"/>
  <c r="Q9830" i="2"/>
  <c r="Q9831" i="2"/>
  <c r="Q9834" i="2"/>
  <c r="Q9835" i="2"/>
  <c r="Q9838" i="2"/>
  <c r="Q9839" i="2"/>
  <c r="Q9842" i="2"/>
  <c r="Q9843" i="2"/>
  <c r="Q9846" i="2"/>
  <c r="Q9847" i="2"/>
  <c r="Q9850" i="2"/>
  <c r="Q9851" i="2"/>
  <c r="Q9854" i="2"/>
  <c r="Q9855" i="2"/>
  <c r="Q9858" i="2"/>
  <c r="Q9859" i="2"/>
  <c r="Q9862" i="2"/>
  <c r="Q9863" i="2"/>
  <c r="Q9866" i="2"/>
  <c r="Q9867" i="2"/>
  <c r="Q9870" i="2"/>
  <c r="Q9871" i="2"/>
  <c r="Q9874" i="2"/>
  <c r="Q9875" i="2"/>
  <c r="Q9878" i="2"/>
  <c r="Q9879" i="2"/>
  <c r="Q9882" i="2"/>
  <c r="Q9883" i="2"/>
  <c r="Q9886" i="2"/>
  <c r="Q9887" i="2"/>
  <c r="Q9890" i="2"/>
  <c r="Q9891" i="2"/>
  <c r="Q9894" i="2"/>
  <c r="Q9895" i="2"/>
  <c r="Q9898" i="2"/>
  <c r="Q9899" i="2"/>
  <c r="Q9902" i="2"/>
  <c r="Q9903" i="2"/>
  <c r="Q9906" i="2"/>
  <c r="Q9907" i="2"/>
  <c r="Q9910" i="2"/>
  <c r="Q9911" i="2"/>
  <c r="Q9914" i="2"/>
  <c r="Q9915" i="2"/>
  <c r="Q9918" i="2"/>
  <c r="Q9919" i="2"/>
  <c r="Q9922" i="2"/>
  <c r="Q9923" i="2"/>
  <c r="Q9926" i="2"/>
  <c r="Q9927" i="2"/>
  <c r="Q9930" i="2"/>
  <c r="Q9931" i="2"/>
  <c r="Q9934" i="2"/>
  <c r="Q9935" i="2"/>
  <c r="Q9938" i="2"/>
  <c r="Q9939" i="2"/>
  <c r="Q9942" i="2"/>
  <c r="Q9943" i="2"/>
  <c r="Q9946" i="2"/>
  <c r="Q9947" i="2"/>
  <c r="Q9950" i="2"/>
  <c r="Q9951" i="2"/>
  <c r="Q9954" i="2"/>
  <c r="Q9955" i="2"/>
  <c r="Q9958" i="2"/>
  <c r="Q9959" i="2"/>
  <c r="Q9962" i="2"/>
  <c r="Q9963" i="2"/>
  <c r="Q9966" i="2"/>
  <c r="Q9967" i="2"/>
  <c r="Q9970" i="2"/>
  <c r="Q9971" i="2"/>
  <c r="Q9974" i="2"/>
  <c r="Q9975" i="2"/>
  <c r="Q9978" i="2"/>
  <c r="Q9979" i="2"/>
  <c r="Q9982" i="2"/>
  <c r="Q9983" i="2"/>
  <c r="Q9986" i="2"/>
  <c r="Q9987" i="2"/>
  <c r="Q9990" i="2"/>
  <c r="Q9991" i="2"/>
  <c r="Q9994" i="2"/>
  <c r="Q9995" i="2"/>
  <c r="Q9998" i="2"/>
  <c r="Q9999" i="2"/>
  <c r="Q10002" i="2"/>
  <c r="Q10003" i="2"/>
  <c r="Q10006" i="2"/>
  <c r="Q10007" i="2"/>
  <c r="Q10010" i="2"/>
  <c r="Q10011" i="2"/>
  <c r="Q10014" i="2"/>
  <c r="Q10015" i="2"/>
  <c r="Q10018" i="2"/>
  <c r="Q10019" i="2"/>
  <c r="Q10022" i="2"/>
  <c r="Q10023" i="2"/>
  <c r="Q10026" i="2"/>
  <c r="Q10027" i="2"/>
  <c r="Q10030" i="2"/>
  <c r="Q10031" i="2"/>
  <c r="Q10034" i="2"/>
  <c r="Q10035" i="2"/>
  <c r="Q10038" i="2"/>
  <c r="Q10039" i="2"/>
  <c r="Q10042" i="2"/>
  <c r="Q10043" i="2"/>
  <c r="Q10046" i="2"/>
  <c r="Q10047" i="2"/>
  <c r="Q10050" i="2"/>
  <c r="Q10051" i="2"/>
  <c r="Q10054" i="2"/>
  <c r="Q10055" i="2"/>
  <c r="Q10058" i="2"/>
  <c r="Q10059" i="2"/>
  <c r="Q10062" i="2"/>
  <c r="Q10063" i="2"/>
  <c r="Q10066" i="2"/>
  <c r="Q10067" i="2"/>
  <c r="Q10070" i="2"/>
  <c r="Q10071" i="2"/>
  <c r="Q10074" i="2"/>
  <c r="Q10075" i="2"/>
  <c r="Q10078" i="2"/>
  <c r="Q10079" i="2"/>
  <c r="Q10082" i="2"/>
  <c r="Q10083" i="2"/>
  <c r="Q10086" i="2"/>
  <c r="Q10087" i="2"/>
  <c r="Q10090" i="2"/>
  <c r="Q10091" i="2"/>
  <c r="Q10094" i="2"/>
  <c r="Q10095" i="2"/>
  <c r="Q10098" i="2"/>
  <c r="Q10099" i="2"/>
  <c r="Q10102" i="2"/>
  <c r="Q10103" i="2"/>
  <c r="Q10106" i="2"/>
  <c r="Q10107" i="2"/>
  <c r="Q10110" i="2"/>
  <c r="Q10111" i="2"/>
  <c r="Q10114" i="2"/>
  <c r="Q10115" i="2"/>
  <c r="Q10118" i="2"/>
  <c r="Q10119" i="2"/>
  <c r="Q10122" i="2"/>
  <c r="Q10123" i="2"/>
  <c r="Q10126" i="2"/>
  <c r="Q10127" i="2"/>
  <c r="Q10130" i="2"/>
  <c r="Q10131" i="2"/>
  <c r="Q10134" i="2"/>
  <c r="Q10135" i="2"/>
  <c r="Q10138" i="2"/>
  <c r="Q10139" i="2"/>
  <c r="Q10142" i="2"/>
  <c r="Q10143" i="2"/>
  <c r="Q10146" i="2"/>
  <c r="Q10147" i="2"/>
  <c r="Q10150" i="2"/>
  <c r="Q10151" i="2"/>
  <c r="Q10154" i="2"/>
  <c r="Q10155" i="2"/>
  <c r="Q10158" i="2"/>
  <c r="Q10159" i="2"/>
  <c r="Q10162" i="2"/>
  <c r="Q10163" i="2"/>
  <c r="Q10166" i="2"/>
  <c r="Q10167" i="2"/>
  <c r="Q10170" i="2"/>
  <c r="Q10171" i="2"/>
  <c r="Q10174" i="2"/>
  <c r="Q10175" i="2"/>
  <c r="Q10178" i="2"/>
  <c r="Q10179" i="2"/>
  <c r="Q10182" i="2"/>
  <c r="Q10183" i="2"/>
  <c r="Q10186" i="2"/>
  <c r="Q10187" i="2"/>
  <c r="Q10190" i="2"/>
  <c r="Q10191" i="2"/>
  <c r="Q10194" i="2"/>
  <c r="Q10195" i="2"/>
  <c r="Q10198" i="2"/>
  <c r="Q10199" i="2"/>
  <c r="Q10202" i="2"/>
  <c r="Q10203" i="2"/>
  <c r="Q10206" i="2"/>
  <c r="Q10207" i="2"/>
  <c r="Q10210" i="2"/>
  <c r="Q10211" i="2"/>
  <c r="Q10214" i="2"/>
  <c r="Q10215" i="2"/>
  <c r="Q10218" i="2"/>
  <c r="Q10219" i="2"/>
  <c r="Q10222" i="2"/>
  <c r="Q10223" i="2"/>
  <c r="Q10226" i="2"/>
  <c r="Q10227" i="2"/>
  <c r="Q10230" i="2"/>
  <c r="Q10231" i="2"/>
  <c r="Q10234" i="2"/>
  <c r="Q10235" i="2"/>
  <c r="Q10238" i="2"/>
  <c r="Q10239" i="2"/>
  <c r="Q10242" i="2"/>
  <c r="Q10243" i="2"/>
  <c r="Q10246" i="2"/>
  <c r="Q10247" i="2"/>
  <c r="Q10250" i="2"/>
  <c r="Q10251" i="2"/>
  <c r="Q10254" i="2"/>
  <c r="Q10255" i="2"/>
  <c r="Q10258" i="2"/>
  <c r="Q10259" i="2"/>
  <c r="Q10262" i="2"/>
  <c r="Q10263" i="2"/>
  <c r="Q10266" i="2"/>
  <c r="Q10267" i="2"/>
  <c r="Q10270" i="2"/>
  <c r="Q10271" i="2"/>
  <c r="Q10274" i="2"/>
  <c r="Q10275" i="2"/>
  <c r="Q10278" i="2"/>
  <c r="Q10279" i="2"/>
  <c r="Q10282" i="2"/>
  <c r="Q10283" i="2"/>
  <c r="Q10286" i="2"/>
  <c r="Q10287" i="2"/>
  <c r="Q10290" i="2"/>
  <c r="Q10291" i="2"/>
  <c r="Q10294" i="2"/>
  <c r="Q10295" i="2"/>
  <c r="Q10298" i="2"/>
  <c r="Q10299" i="2"/>
  <c r="Q10302" i="2"/>
  <c r="Q10303" i="2"/>
  <c r="Q10306" i="2"/>
  <c r="Q10307" i="2"/>
  <c r="Q10310" i="2"/>
  <c r="Q10311" i="2"/>
  <c r="Q10314" i="2"/>
  <c r="Q10315" i="2"/>
  <c r="Q10318" i="2"/>
  <c r="Q10319" i="2"/>
  <c r="Q10322" i="2"/>
  <c r="Q10323" i="2"/>
  <c r="Q10326" i="2"/>
  <c r="Q10327" i="2"/>
  <c r="Q10330" i="2"/>
  <c r="Q10331" i="2"/>
  <c r="Q10334" i="2"/>
  <c r="Q10335" i="2"/>
  <c r="Q10338" i="2"/>
  <c r="Q10339" i="2"/>
  <c r="Q10342" i="2"/>
  <c r="Q10343" i="2"/>
  <c r="Q10346" i="2"/>
  <c r="Q10347" i="2"/>
  <c r="Q10350" i="2"/>
  <c r="Q10351" i="2"/>
  <c r="Q10354" i="2"/>
  <c r="Q10355" i="2"/>
  <c r="Q10358" i="2"/>
  <c r="Q10359" i="2"/>
  <c r="Q10362" i="2"/>
  <c r="Q10363" i="2"/>
  <c r="Q10366" i="2"/>
  <c r="Q10367" i="2"/>
  <c r="Q10370" i="2"/>
  <c r="Q10371" i="2"/>
  <c r="Q10374" i="2"/>
  <c r="Q10375" i="2"/>
  <c r="Q10378" i="2"/>
  <c r="Q10379" i="2"/>
  <c r="Q10382" i="2"/>
  <c r="Q10383" i="2"/>
  <c r="Q10386" i="2"/>
  <c r="Q10387" i="2"/>
  <c r="Q10390" i="2"/>
  <c r="Q10391" i="2"/>
  <c r="Q10394" i="2"/>
  <c r="Q10395" i="2"/>
  <c r="Q10398" i="2"/>
  <c r="Q10399" i="2"/>
  <c r="Q10402" i="2"/>
  <c r="Q10403" i="2"/>
  <c r="Q10406" i="2"/>
  <c r="Q10407" i="2"/>
  <c r="Q10410" i="2"/>
  <c r="Q10411" i="2"/>
  <c r="Q10414" i="2"/>
  <c r="Q10415" i="2"/>
  <c r="Q10418" i="2"/>
  <c r="Q10419" i="2"/>
  <c r="Q10422" i="2"/>
  <c r="Q10423" i="2"/>
  <c r="Q10426" i="2"/>
  <c r="Q10427" i="2"/>
  <c r="Q10430" i="2"/>
  <c r="Q10431" i="2"/>
  <c r="Q10434" i="2"/>
  <c r="Q10435" i="2"/>
  <c r="Q10438" i="2"/>
  <c r="Q10439" i="2"/>
  <c r="Q10442" i="2"/>
  <c r="Q10443" i="2"/>
  <c r="Q10446" i="2"/>
  <c r="Q10447" i="2"/>
  <c r="Q10450" i="2"/>
  <c r="Q10451" i="2"/>
  <c r="Q10454" i="2"/>
  <c r="Q10455" i="2"/>
  <c r="Q10458" i="2"/>
  <c r="Q10459" i="2"/>
  <c r="Q10462" i="2"/>
  <c r="Q10463" i="2"/>
  <c r="Q10466" i="2"/>
  <c r="Q10467" i="2"/>
  <c r="Q10470" i="2"/>
  <c r="Q10471" i="2"/>
  <c r="Q10474" i="2"/>
  <c r="Q10475" i="2"/>
  <c r="Q10478" i="2"/>
  <c r="Q10479" i="2"/>
  <c r="Q10482" i="2"/>
  <c r="Q10483" i="2"/>
  <c r="Q10486" i="2"/>
  <c r="Q10487" i="2"/>
  <c r="Q10490" i="2"/>
  <c r="Q10491" i="2"/>
  <c r="Q10494" i="2"/>
  <c r="Q10495" i="2"/>
  <c r="Q10498" i="2"/>
  <c r="Q10499" i="2"/>
  <c r="Q10502" i="2"/>
  <c r="Q10503" i="2"/>
  <c r="Q10506" i="2"/>
  <c r="Q10507" i="2"/>
  <c r="Q10510" i="2"/>
  <c r="Q10511" i="2"/>
  <c r="Q10514" i="2"/>
  <c r="Q10515" i="2"/>
  <c r="Q10518" i="2"/>
  <c r="Q10519" i="2"/>
  <c r="Q10522" i="2"/>
  <c r="Q10523" i="2"/>
  <c r="Q10526" i="2"/>
  <c r="Q10527" i="2"/>
  <c r="Q10530" i="2"/>
  <c r="Q10531" i="2"/>
  <c r="Q10534" i="2"/>
  <c r="Q10535" i="2"/>
  <c r="Q10538" i="2"/>
  <c r="Q10539" i="2"/>
  <c r="Q10542" i="2"/>
  <c r="Q10543" i="2"/>
  <c r="Q10546" i="2"/>
  <c r="Q10547" i="2"/>
  <c r="Q10550" i="2"/>
  <c r="Q10551" i="2"/>
  <c r="Q10554" i="2"/>
  <c r="Q10555" i="2"/>
  <c r="Q10558" i="2"/>
  <c r="Q10559" i="2"/>
  <c r="Q10562" i="2"/>
  <c r="Q10563" i="2"/>
  <c r="Q10566" i="2"/>
  <c r="Q10567" i="2"/>
  <c r="Q10570" i="2"/>
  <c r="Q10571" i="2"/>
  <c r="Q10574" i="2"/>
  <c r="Q10575" i="2"/>
  <c r="Q10578" i="2"/>
  <c r="Q10579" i="2"/>
  <c r="Q10582" i="2"/>
  <c r="Q10583" i="2"/>
  <c r="Q10586" i="2"/>
  <c r="Q10587" i="2"/>
  <c r="Q10590" i="2"/>
  <c r="Q10591" i="2"/>
  <c r="Q10594" i="2"/>
  <c r="Q10595" i="2"/>
  <c r="Q10598" i="2"/>
  <c r="Q10599" i="2"/>
  <c r="Q10602" i="2"/>
  <c r="Q10603" i="2"/>
  <c r="Q10606" i="2"/>
  <c r="Q10607" i="2"/>
  <c r="Q10610" i="2"/>
  <c r="Q10611" i="2"/>
  <c r="Q10614" i="2"/>
  <c r="Q10615" i="2"/>
  <c r="Q10618" i="2"/>
  <c r="Q10619" i="2"/>
  <c r="Q10622" i="2"/>
  <c r="Q10623" i="2"/>
  <c r="Q10626" i="2"/>
  <c r="Q10627" i="2"/>
  <c r="Q10630" i="2"/>
  <c r="Q10631" i="2"/>
  <c r="Q10634" i="2"/>
  <c r="Q10635" i="2"/>
  <c r="Q10638" i="2"/>
  <c r="Q10639" i="2"/>
  <c r="Q10642" i="2"/>
  <c r="Q10643" i="2"/>
  <c r="Q10646" i="2"/>
  <c r="Q10647" i="2"/>
  <c r="Q10650" i="2"/>
  <c r="Q10651" i="2"/>
  <c r="Q10654" i="2"/>
  <c r="Q10655" i="2"/>
  <c r="Q10658" i="2"/>
  <c r="Q10659" i="2"/>
  <c r="Q10662" i="2"/>
  <c r="Q10663" i="2"/>
  <c r="Q10666" i="2"/>
  <c r="Q10667" i="2"/>
  <c r="Q10670" i="2"/>
  <c r="Q10671" i="2"/>
  <c r="Q10674" i="2"/>
  <c r="Q10675" i="2"/>
  <c r="Q10678" i="2"/>
  <c r="Q10679" i="2"/>
  <c r="Q10682" i="2"/>
  <c r="Q10683" i="2"/>
  <c r="Q10686" i="2"/>
  <c r="Q10687" i="2"/>
  <c r="Q10690" i="2"/>
  <c r="Q10691" i="2"/>
  <c r="Q10694" i="2"/>
  <c r="Q10695" i="2"/>
  <c r="Q10698" i="2"/>
  <c r="Q10699" i="2"/>
  <c r="Q10702" i="2"/>
  <c r="Q10703" i="2"/>
  <c r="Q10706" i="2"/>
  <c r="Q10707" i="2"/>
  <c r="Q10710" i="2"/>
  <c r="Q10711" i="2"/>
  <c r="Q10714" i="2"/>
  <c r="Q10715" i="2"/>
  <c r="Q10718" i="2"/>
  <c r="Q10719" i="2"/>
  <c r="Q10722" i="2"/>
  <c r="Q10723" i="2"/>
  <c r="Q10726" i="2"/>
  <c r="Q10727" i="2"/>
  <c r="Q10730" i="2"/>
  <c r="Q10731" i="2"/>
  <c r="Q10734" i="2"/>
  <c r="Q10735" i="2"/>
  <c r="Q10738" i="2"/>
  <c r="Q10739" i="2"/>
  <c r="Q10742" i="2"/>
  <c r="Q10743" i="2"/>
  <c r="Q10746" i="2"/>
  <c r="Q10747" i="2"/>
  <c r="Q10750" i="2"/>
  <c r="Q10751" i="2"/>
  <c r="Q10754" i="2"/>
  <c r="Q10755" i="2"/>
  <c r="Q10758" i="2"/>
  <c r="Q10759" i="2"/>
  <c r="Q10762" i="2"/>
  <c r="Q10763" i="2"/>
  <c r="Q10766" i="2"/>
  <c r="Q10767" i="2"/>
  <c r="Q10770" i="2"/>
  <c r="Q10771" i="2"/>
  <c r="Q10774" i="2"/>
  <c r="Q10775" i="2"/>
  <c r="Q10778" i="2"/>
  <c r="Q10779" i="2"/>
  <c r="Q10782" i="2"/>
  <c r="Q10783" i="2"/>
  <c r="Q10786" i="2"/>
  <c r="Q10787" i="2"/>
  <c r="Q10790" i="2"/>
  <c r="Q10791" i="2"/>
  <c r="Q10794" i="2"/>
  <c r="Q10795" i="2"/>
  <c r="Q10798" i="2"/>
  <c r="Q10799" i="2"/>
  <c r="Q10802" i="2"/>
  <c r="Q10803" i="2"/>
  <c r="Q10806" i="2"/>
  <c r="Q10807" i="2"/>
  <c r="Q10810" i="2"/>
  <c r="Q10811" i="2"/>
  <c r="Q10814" i="2"/>
  <c r="Q10815" i="2"/>
  <c r="Q10818" i="2"/>
  <c r="Q10819" i="2"/>
  <c r="Q10822" i="2"/>
  <c r="Q10823" i="2"/>
  <c r="Q10826" i="2"/>
  <c r="Q10827" i="2"/>
  <c r="Q10830" i="2"/>
  <c r="Q10831" i="2"/>
  <c r="Q10834" i="2"/>
  <c r="Q10835" i="2"/>
  <c r="Q10838" i="2"/>
  <c r="Q10839" i="2"/>
  <c r="Q10842" i="2"/>
  <c r="Q10843" i="2"/>
  <c r="Q10846" i="2"/>
  <c r="Q10847" i="2"/>
  <c r="Q10850" i="2"/>
  <c r="Q10851" i="2"/>
  <c r="Q10854" i="2"/>
  <c r="Q10855" i="2"/>
  <c r="Q10858" i="2"/>
  <c r="Q10859" i="2"/>
  <c r="Q10862" i="2"/>
  <c r="Q10863" i="2"/>
  <c r="Q10866" i="2"/>
  <c r="Q10867" i="2"/>
  <c r="Q10870" i="2"/>
  <c r="Q10871" i="2"/>
  <c r="Q10874" i="2"/>
  <c r="Q10875" i="2"/>
  <c r="Q10878" i="2"/>
  <c r="Q10879" i="2"/>
  <c r="Q10882" i="2"/>
  <c r="Q10883" i="2"/>
  <c r="Q10886" i="2"/>
  <c r="Q10887" i="2"/>
  <c r="Q10890" i="2"/>
  <c r="Q10891" i="2"/>
  <c r="Q10894" i="2"/>
  <c r="Q10895" i="2"/>
  <c r="Q10898" i="2"/>
  <c r="Q10899" i="2"/>
  <c r="Q10902" i="2"/>
  <c r="Q10903" i="2"/>
  <c r="Q10906" i="2"/>
  <c r="Q10907" i="2"/>
  <c r="Q10910" i="2"/>
  <c r="Q10911" i="2"/>
  <c r="Q10914" i="2"/>
  <c r="Q10915" i="2"/>
  <c r="Q10918" i="2"/>
  <c r="Q10919" i="2"/>
  <c r="Q10922" i="2"/>
  <c r="Q10923" i="2"/>
  <c r="Q10926" i="2"/>
  <c r="Q10927" i="2"/>
  <c r="Q10930" i="2"/>
  <c r="Q10931" i="2"/>
  <c r="Q10934" i="2"/>
  <c r="Q10935" i="2"/>
  <c r="Q10938" i="2"/>
  <c r="Q10939" i="2"/>
  <c r="Q10942" i="2"/>
  <c r="Q10943" i="2"/>
  <c r="Q10946" i="2"/>
  <c r="Q10947" i="2"/>
  <c r="Q10950" i="2"/>
  <c r="Q10951" i="2"/>
  <c r="Q10954" i="2"/>
  <c r="Q10955" i="2"/>
  <c r="Q10958" i="2"/>
  <c r="Q10959" i="2"/>
  <c r="Q10962" i="2"/>
  <c r="Q10963" i="2"/>
  <c r="Q10966" i="2"/>
  <c r="Q10967" i="2"/>
  <c r="Q10970" i="2"/>
  <c r="Q10971" i="2"/>
  <c r="Q10974" i="2"/>
  <c r="Q10975" i="2"/>
  <c r="Q10978" i="2"/>
  <c r="Q10979" i="2"/>
  <c r="Q10982" i="2"/>
  <c r="Q10983" i="2"/>
  <c r="Q10986" i="2"/>
  <c r="Q10987" i="2"/>
  <c r="Q10990" i="2"/>
  <c r="Q10991" i="2"/>
  <c r="Q10994" i="2"/>
  <c r="Q10995" i="2"/>
  <c r="Q10998" i="2"/>
  <c r="Q10999" i="2"/>
  <c r="Q11002" i="2"/>
  <c r="Q11003" i="2"/>
  <c r="Q11006" i="2"/>
  <c r="Q11007" i="2"/>
  <c r="Q11010" i="2"/>
  <c r="Q11011" i="2"/>
  <c r="Q11014" i="2"/>
  <c r="Q11015" i="2"/>
  <c r="Q11018" i="2"/>
  <c r="Q11019" i="2"/>
  <c r="Q11022" i="2"/>
  <c r="Q11023" i="2"/>
  <c r="Q11026" i="2"/>
  <c r="Q11027" i="2"/>
  <c r="Q11030" i="2"/>
  <c r="Q11031" i="2"/>
  <c r="Q11034" i="2"/>
  <c r="Q11035" i="2"/>
  <c r="Q11038" i="2"/>
  <c r="Q11039" i="2"/>
  <c r="Q11042" i="2"/>
  <c r="Q11043" i="2"/>
  <c r="Q11046" i="2"/>
  <c r="Q11047" i="2"/>
  <c r="Q11050" i="2"/>
  <c r="Q11051" i="2"/>
  <c r="Q11054" i="2"/>
  <c r="Q11055" i="2"/>
  <c r="Q11058" i="2"/>
  <c r="Q11059" i="2"/>
  <c r="Q11062" i="2"/>
  <c r="Q11063" i="2"/>
  <c r="Q11066" i="2"/>
  <c r="Q11067" i="2"/>
  <c r="Q11070" i="2"/>
  <c r="Q11071" i="2"/>
  <c r="Q11074" i="2"/>
  <c r="Q11075" i="2"/>
  <c r="Q11078" i="2"/>
  <c r="Q11079" i="2"/>
  <c r="Q11082" i="2"/>
  <c r="Q11083" i="2"/>
  <c r="Q11086" i="2"/>
  <c r="Q11087" i="2"/>
  <c r="Q11090" i="2"/>
  <c r="Q11091" i="2"/>
  <c r="Q11094" i="2"/>
  <c r="Q11095" i="2"/>
  <c r="Q11098" i="2"/>
  <c r="Q11099" i="2"/>
  <c r="Q11102" i="2"/>
  <c r="Q11103" i="2"/>
  <c r="Q11106" i="2"/>
  <c r="Q11107" i="2"/>
  <c r="Q11110" i="2"/>
  <c r="Q11111" i="2"/>
  <c r="Q11114" i="2"/>
  <c r="Q11115" i="2"/>
  <c r="Q11118" i="2"/>
  <c r="Q11119" i="2"/>
  <c r="Q11122" i="2"/>
  <c r="Q11123" i="2"/>
  <c r="Q11126" i="2"/>
  <c r="Q11127" i="2"/>
  <c r="Q11130" i="2"/>
  <c r="Q11131" i="2"/>
  <c r="Q11134" i="2"/>
  <c r="Q11135" i="2"/>
  <c r="Q11138" i="2"/>
  <c r="Q11139" i="2"/>
  <c r="Q11142" i="2"/>
  <c r="Q11143" i="2"/>
  <c r="Q11146" i="2"/>
  <c r="Q11147" i="2"/>
  <c r="Q11150" i="2"/>
  <c r="Q11151" i="2"/>
  <c r="Q11154" i="2"/>
  <c r="Q11155" i="2"/>
  <c r="Q11158" i="2"/>
  <c r="Q11159" i="2"/>
  <c r="Q11162" i="2"/>
  <c r="Q11163" i="2"/>
  <c r="Q11166" i="2"/>
  <c r="Q11167" i="2"/>
  <c r="Q11170" i="2"/>
  <c r="Q11171" i="2"/>
  <c r="Q11174" i="2"/>
  <c r="Q11175" i="2"/>
  <c r="Q11178" i="2"/>
  <c r="Q11179" i="2"/>
  <c r="Q11182" i="2"/>
  <c r="Q11183" i="2"/>
  <c r="Q11186" i="2"/>
  <c r="Q11187" i="2"/>
  <c r="Q11190" i="2"/>
  <c r="Q11191" i="2"/>
  <c r="Q11194" i="2"/>
  <c r="Q11195" i="2"/>
  <c r="Q11198" i="2"/>
  <c r="Q11199" i="2"/>
  <c r="Q11202" i="2"/>
  <c r="Q11203" i="2"/>
  <c r="Q11206" i="2"/>
  <c r="Q11207" i="2"/>
  <c r="Q11210" i="2"/>
  <c r="Q11211" i="2"/>
  <c r="Q11214" i="2"/>
  <c r="Q11215" i="2"/>
  <c r="Q11218" i="2"/>
  <c r="Q11219" i="2"/>
  <c r="Q11222" i="2"/>
  <c r="Q11223" i="2"/>
  <c r="Q11226" i="2"/>
  <c r="Q11227" i="2"/>
  <c r="Q11230" i="2"/>
  <c r="Q11231" i="2"/>
  <c r="Q11234" i="2"/>
  <c r="Q11235" i="2"/>
  <c r="Q11238" i="2"/>
  <c r="Q11239" i="2"/>
  <c r="Q11242" i="2"/>
  <c r="Q11243" i="2"/>
  <c r="Q11246" i="2"/>
  <c r="Q11247" i="2"/>
  <c r="Q11250" i="2"/>
  <c r="Q11251" i="2"/>
  <c r="Q11254" i="2"/>
  <c r="Q11255" i="2"/>
  <c r="Q11258" i="2"/>
  <c r="Q11259" i="2"/>
  <c r="Q11262" i="2"/>
  <c r="Q11263" i="2"/>
  <c r="Q11266" i="2"/>
  <c r="Q11267" i="2"/>
  <c r="Q11270" i="2"/>
  <c r="Q11271" i="2"/>
  <c r="Q11274" i="2"/>
  <c r="Q11275" i="2"/>
  <c r="Q11278" i="2"/>
  <c r="Q11279" i="2"/>
  <c r="Q11282" i="2"/>
  <c r="Q11283" i="2"/>
  <c r="Q11286" i="2"/>
  <c r="Q11287" i="2"/>
  <c r="Q11290" i="2"/>
  <c r="Q11291" i="2"/>
  <c r="Q11294" i="2"/>
  <c r="Q11295" i="2"/>
  <c r="Q11298" i="2"/>
  <c r="Q11299" i="2"/>
  <c r="Q11302" i="2"/>
  <c r="Q11303" i="2"/>
  <c r="Q11306" i="2"/>
  <c r="Q11307" i="2"/>
  <c r="Q11310" i="2"/>
  <c r="Q11311" i="2"/>
  <c r="Q11314" i="2"/>
  <c r="Q11315" i="2"/>
  <c r="Q11318" i="2"/>
  <c r="Q11319" i="2"/>
  <c r="Q11322" i="2"/>
  <c r="Q11323" i="2"/>
  <c r="Q11326" i="2"/>
  <c r="Q11327" i="2"/>
  <c r="Q11330" i="2"/>
  <c r="Q11331" i="2"/>
  <c r="Q11334" i="2"/>
  <c r="Q11335" i="2"/>
  <c r="Q11338" i="2"/>
  <c r="Q11339" i="2"/>
  <c r="Q11342" i="2"/>
  <c r="Q11343" i="2"/>
  <c r="Q11346" i="2"/>
  <c r="Q11347" i="2"/>
  <c r="Q11350" i="2"/>
  <c r="Q11351" i="2"/>
  <c r="Q11354" i="2"/>
  <c r="Q11355" i="2"/>
  <c r="Q11358" i="2"/>
  <c r="Q11359" i="2"/>
  <c r="Q11362" i="2"/>
  <c r="Q11363" i="2"/>
  <c r="Q11366" i="2"/>
  <c r="Q11367" i="2"/>
  <c r="Q11370" i="2"/>
  <c r="Q11371" i="2"/>
  <c r="Q11374" i="2"/>
  <c r="Q11375" i="2"/>
  <c r="Q11378" i="2"/>
  <c r="Q11379" i="2"/>
  <c r="Q11382" i="2"/>
  <c r="Q11383" i="2"/>
  <c r="Q11386" i="2"/>
  <c r="Q11387" i="2"/>
  <c r="Q11390" i="2"/>
  <c r="Q11391" i="2"/>
  <c r="Q11394" i="2"/>
  <c r="Q11395" i="2"/>
  <c r="Q11398" i="2"/>
  <c r="Q11399" i="2"/>
  <c r="Q11402" i="2"/>
  <c r="Q11403" i="2"/>
  <c r="Q11406" i="2"/>
  <c r="Q11407" i="2"/>
  <c r="Q11410" i="2"/>
  <c r="Q11411" i="2"/>
  <c r="Q11414" i="2"/>
  <c r="Q11415" i="2"/>
  <c r="Q11418" i="2"/>
  <c r="Q11419" i="2"/>
  <c r="Q11422" i="2"/>
  <c r="Q11423" i="2"/>
  <c r="Q11426" i="2"/>
  <c r="Q11427" i="2"/>
  <c r="Q11430" i="2"/>
  <c r="Q11431" i="2"/>
  <c r="Q11434" i="2"/>
  <c r="Q11435" i="2"/>
  <c r="Q11438" i="2"/>
  <c r="Q11439" i="2"/>
  <c r="Q11442" i="2"/>
  <c r="Q11443" i="2"/>
  <c r="Q11446" i="2"/>
  <c r="Q11447" i="2"/>
  <c r="Q11450" i="2"/>
  <c r="Q11451" i="2"/>
  <c r="Q11454" i="2"/>
  <c r="Q11455" i="2"/>
  <c r="Q11458" i="2"/>
  <c r="Q11459" i="2"/>
  <c r="Q11462" i="2"/>
  <c r="Q11463" i="2"/>
  <c r="Q11466" i="2"/>
  <c r="Q11467" i="2"/>
  <c r="Q11470" i="2"/>
  <c r="Q11471" i="2"/>
  <c r="Q11474" i="2"/>
  <c r="Q11475" i="2"/>
  <c r="Q11478" i="2"/>
  <c r="Q11479" i="2"/>
  <c r="Q11482" i="2"/>
  <c r="Q11483" i="2"/>
  <c r="Q11486" i="2"/>
  <c r="Q11487" i="2"/>
  <c r="Q11490" i="2"/>
  <c r="Q11491" i="2"/>
  <c r="Q11494" i="2"/>
  <c r="Q11495" i="2"/>
  <c r="Q11498" i="2"/>
  <c r="Q11499" i="2"/>
  <c r="Q11502" i="2"/>
  <c r="Q11503" i="2"/>
  <c r="Q11506" i="2"/>
  <c r="Q11507" i="2"/>
  <c r="Q11510" i="2"/>
  <c r="Q11511" i="2"/>
  <c r="Q11514" i="2"/>
  <c r="Q11515" i="2"/>
  <c r="Q11518" i="2"/>
  <c r="Q11519" i="2"/>
  <c r="Q11522" i="2"/>
  <c r="Q11523" i="2"/>
  <c r="Q11526" i="2"/>
  <c r="Q11527" i="2"/>
  <c r="Q11530" i="2"/>
  <c r="Q11531" i="2"/>
  <c r="Q11534" i="2"/>
  <c r="Q11535" i="2"/>
  <c r="Q11538" i="2"/>
  <c r="Q11539" i="2"/>
  <c r="Q11542" i="2"/>
  <c r="Q11543" i="2"/>
  <c r="Q11546" i="2"/>
  <c r="Q11547" i="2"/>
  <c r="Q11550" i="2"/>
  <c r="Q11551" i="2"/>
  <c r="Q11554" i="2"/>
  <c r="Q11555" i="2"/>
  <c r="Q11558" i="2"/>
  <c r="Q11559" i="2"/>
  <c r="Q11562" i="2"/>
  <c r="Q11563" i="2"/>
  <c r="Q11566" i="2"/>
  <c r="Q11567" i="2"/>
  <c r="Q11570" i="2"/>
  <c r="Q11571" i="2"/>
  <c r="Q11574" i="2"/>
  <c r="Q11575" i="2"/>
  <c r="Q11578" i="2"/>
  <c r="Q11579" i="2"/>
  <c r="Q11582" i="2"/>
  <c r="Q11583" i="2"/>
  <c r="Q11586" i="2"/>
  <c r="Q11587" i="2"/>
  <c r="Q11590" i="2"/>
  <c r="Q11591" i="2"/>
  <c r="Q11594" i="2"/>
  <c r="Q11595" i="2"/>
  <c r="Q11598" i="2"/>
  <c r="Q11599" i="2"/>
  <c r="Q11602" i="2"/>
  <c r="Q11603" i="2"/>
  <c r="Q11606" i="2"/>
  <c r="Q11607" i="2"/>
  <c r="Q11610" i="2"/>
  <c r="Q11611" i="2"/>
  <c r="Q11614" i="2"/>
  <c r="Q11615" i="2"/>
  <c r="Q11618" i="2"/>
  <c r="Q11619" i="2"/>
  <c r="Q11622" i="2"/>
  <c r="Q11623" i="2"/>
  <c r="Q11626" i="2"/>
  <c r="Q11627" i="2"/>
  <c r="Q11630" i="2"/>
  <c r="Q11631" i="2"/>
  <c r="Q11634" i="2"/>
  <c r="Q11635" i="2"/>
  <c r="Q11638" i="2"/>
  <c r="Q11639" i="2"/>
  <c r="Q11642" i="2"/>
  <c r="Q11643" i="2"/>
  <c r="Q11646" i="2"/>
  <c r="Q11647" i="2"/>
  <c r="Q11650" i="2"/>
  <c r="Q11651" i="2"/>
  <c r="Q11654" i="2"/>
  <c r="Q11655" i="2"/>
  <c r="Q11658" i="2"/>
  <c r="Q11659" i="2"/>
  <c r="Q11662" i="2"/>
  <c r="Q11663" i="2"/>
  <c r="Q11666" i="2"/>
  <c r="Q11667" i="2"/>
  <c r="Q11670" i="2"/>
  <c r="Q11671" i="2"/>
  <c r="Q11674" i="2"/>
  <c r="Q11675" i="2"/>
  <c r="Q11678" i="2"/>
  <c r="Q11679" i="2"/>
  <c r="Q11682" i="2"/>
  <c r="Q11683" i="2"/>
  <c r="Q11686" i="2"/>
  <c r="Q11687" i="2"/>
  <c r="Q11690" i="2"/>
  <c r="Q11691" i="2"/>
  <c r="Q11694" i="2"/>
  <c r="Q11695" i="2"/>
  <c r="Q11698" i="2"/>
  <c r="Q11699" i="2"/>
  <c r="Q11702" i="2"/>
  <c r="Q11703" i="2"/>
  <c r="Q11706" i="2"/>
  <c r="Q11707" i="2"/>
  <c r="Q11710" i="2"/>
  <c r="Q11711" i="2"/>
  <c r="Q11714" i="2"/>
  <c r="Q11715" i="2"/>
  <c r="Q11718" i="2"/>
  <c r="Q11719" i="2"/>
  <c r="Q11722" i="2"/>
  <c r="Q11723" i="2"/>
  <c r="Q11726" i="2"/>
  <c r="Q11727" i="2"/>
  <c r="Q11730" i="2"/>
  <c r="Q11731" i="2"/>
  <c r="Q11734" i="2"/>
  <c r="Q11735" i="2"/>
  <c r="Q11738" i="2"/>
  <c r="Q11739" i="2"/>
  <c r="Q11742" i="2"/>
  <c r="Q11743" i="2"/>
  <c r="Q11746" i="2"/>
  <c r="Q11747" i="2"/>
  <c r="Q11750" i="2"/>
  <c r="Q11751" i="2"/>
  <c r="Q11754" i="2"/>
  <c r="Q11755" i="2"/>
  <c r="Q11758" i="2"/>
  <c r="Q11759" i="2"/>
  <c r="Q11762" i="2"/>
  <c r="Q11763" i="2"/>
  <c r="Q11766" i="2"/>
  <c r="Q11767" i="2"/>
  <c r="Q11770" i="2"/>
  <c r="Q11771" i="2"/>
  <c r="Q11774" i="2"/>
  <c r="Q11775" i="2"/>
  <c r="Q11778" i="2"/>
  <c r="Q11779" i="2"/>
  <c r="Q11782" i="2"/>
  <c r="Q11783" i="2"/>
  <c r="Q11786" i="2"/>
  <c r="Q11787" i="2"/>
  <c r="Q11790" i="2"/>
  <c r="Q11791" i="2"/>
  <c r="Q11794" i="2"/>
  <c r="Q11795" i="2"/>
  <c r="Q11798" i="2"/>
  <c r="Q11799" i="2"/>
  <c r="Q11802" i="2"/>
  <c r="Q11803" i="2"/>
  <c r="Q11806" i="2"/>
  <c r="Q11807" i="2"/>
  <c r="Q11810" i="2"/>
  <c r="Q11811" i="2"/>
  <c r="Q11814" i="2"/>
  <c r="Q11815" i="2"/>
  <c r="Q11818" i="2"/>
  <c r="Q11819" i="2"/>
  <c r="Q11822" i="2"/>
  <c r="Q11823" i="2"/>
  <c r="Q11826" i="2"/>
  <c r="Q11827" i="2"/>
  <c r="Q11830" i="2"/>
  <c r="Q11831" i="2"/>
  <c r="Q11834" i="2"/>
  <c r="Q11835" i="2"/>
  <c r="Q11838" i="2"/>
  <c r="Q11839" i="2"/>
  <c r="Q11842" i="2"/>
  <c r="Q11843" i="2"/>
  <c r="Q11846" i="2"/>
  <c r="Q11847" i="2"/>
  <c r="Q11850" i="2"/>
  <c r="Q11851" i="2"/>
  <c r="Q11854" i="2"/>
  <c r="Q11855" i="2"/>
  <c r="Q11858" i="2"/>
  <c r="Q11859" i="2"/>
  <c r="Q11862" i="2"/>
  <c r="Q11863" i="2"/>
  <c r="Q11866" i="2"/>
  <c r="Q11867" i="2"/>
  <c r="Q11870" i="2"/>
  <c r="Q11871" i="2"/>
  <c r="Q11874" i="2"/>
  <c r="Q11875" i="2"/>
  <c r="Q11878" i="2"/>
  <c r="Q11879" i="2"/>
  <c r="Q11882" i="2"/>
  <c r="Q11883" i="2"/>
  <c r="Q11886" i="2"/>
  <c r="Q11887" i="2"/>
  <c r="Q11890" i="2"/>
  <c r="Q11891" i="2"/>
  <c r="Q11894" i="2"/>
  <c r="Q11895" i="2"/>
  <c r="Q11898" i="2"/>
  <c r="Q11899" i="2"/>
  <c r="Q11902" i="2"/>
  <c r="Q11903" i="2"/>
  <c r="Q11906" i="2"/>
  <c r="Q11907" i="2"/>
  <c r="Q11910" i="2"/>
  <c r="Q11911" i="2"/>
  <c r="Q11914" i="2"/>
  <c r="Q11915" i="2"/>
  <c r="Q11918" i="2"/>
  <c r="Q11919" i="2"/>
  <c r="Q11922" i="2"/>
  <c r="Q11923" i="2"/>
  <c r="Q11926" i="2"/>
  <c r="Q11927" i="2"/>
  <c r="Q11930" i="2"/>
  <c r="Q11931" i="2"/>
  <c r="Q11934" i="2"/>
  <c r="Q11935" i="2"/>
  <c r="Q11938" i="2"/>
  <c r="Q11939" i="2"/>
  <c r="Q11942" i="2"/>
  <c r="Q11943" i="2"/>
  <c r="Q11946" i="2"/>
  <c r="Q11947" i="2"/>
  <c r="Q11950" i="2"/>
  <c r="Q11951" i="2"/>
  <c r="Q11954" i="2"/>
  <c r="Q11955" i="2"/>
  <c r="Q11958" i="2"/>
  <c r="Q11959" i="2"/>
  <c r="Q11962" i="2"/>
  <c r="Q11963" i="2"/>
  <c r="Q11966" i="2"/>
  <c r="Q11967" i="2"/>
  <c r="Q11970" i="2"/>
  <c r="Q11971" i="2"/>
  <c r="Q11974" i="2"/>
  <c r="Q11975" i="2"/>
  <c r="Q11978" i="2"/>
  <c r="Q11979" i="2"/>
  <c r="Q11982" i="2"/>
  <c r="Q11983" i="2"/>
  <c r="Q11986" i="2"/>
  <c r="Q11987" i="2"/>
  <c r="Q11990" i="2"/>
  <c r="Q11991" i="2"/>
  <c r="Q11994" i="2"/>
  <c r="Q11995" i="2"/>
  <c r="Q11998" i="2"/>
  <c r="Q11999" i="2"/>
  <c r="Q12002" i="2"/>
  <c r="Q12003" i="2"/>
  <c r="Q12006" i="2"/>
  <c r="Q12007" i="2"/>
  <c r="Q12010" i="2"/>
  <c r="Q12011" i="2"/>
  <c r="Q12014" i="2"/>
  <c r="Q12015" i="2"/>
  <c r="Q12018" i="2"/>
  <c r="Q12019" i="2"/>
  <c r="Q12022" i="2"/>
  <c r="Q12023" i="2"/>
  <c r="Q12026" i="2"/>
  <c r="Q12027" i="2"/>
  <c r="Q12030" i="2"/>
  <c r="Q12031" i="2"/>
  <c r="Q12034" i="2"/>
  <c r="Q12035" i="2"/>
  <c r="Q12038" i="2"/>
  <c r="Q12039" i="2"/>
  <c r="Q12042" i="2"/>
  <c r="Q12043" i="2"/>
  <c r="Q12046" i="2"/>
  <c r="Q12047" i="2"/>
  <c r="Q12050" i="2"/>
  <c r="Q12051" i="2"/>
  <c r="Q12054" i="2"/>
  <c r="Q12055" i="2"/>
  <c r="Q12058" i="2"/>
  <c r="Q12059" i="2"/>
  <c r="Q12062" i="2"/>
  <c r="Q12063" i="2"/>
  <c r="Q12066" i="2"/>
  <c r="Q12067" i="2"/>
  <c r="Q12070" i="2"/>
  <c r="Q12071" i="2"/>
  <c r="Q12074" i="2"/>
  <c r="Q12075" i="2"/>
  <c r="Q12078" i="2"/>
  <c r="Q12079" i="2"/>
  <c r="Q12082" i="2"/>
  <c r="Q12083" i="2"/>
  <c r="Q12086" i="2"/>
  <c r="Q12087" i="2"/>
  <c r="Q12090" i="2"/>
  <c r="Q12091" i="2"/>
  <c r="Q12094" i="2"/>
  <c r="Q12095" i="2"/>
  <c r="Q12098" i="2"/>
  <c r="Q12099" i="2"/>
  <c r="Q12102" i="2"/>
  <c r="Q12103" i="2"/>
  <c r="Q12106" i="2"/>
  <c r="Q12107" i="2"/>
  <c r="Q12110" i="2"/>
  <c r="Q12111" i="2"/>
  <c r="Q12114" i="2"/>
  <c r="Q12115" i="2"/>
  <c r="Q12118" i="2"/>
  <c r="Q12119" i="2"/>
  <c r="Q12122" i="2"/>
  <c r="Q12123" i="2"/>
  <c r="Q12126" i="2"/>
  <c r="Q12127" i="2"/>
  <c r="Q12130" i="2"/>
  <c r="Q12131" i="2"/>
  <c r="Q12134" i="2"/>
  <c r="Q12135" i="2"/>
  <c r="Q12138" i="2"/>
  <c r="Q12139" i="2"/>
  <c r="Q12142" i="2"/>
  <c r="Q12143" i="2"/>
  <c r="Q12146" i="2"/>
  <c r="Q12147" i="2"/>
  <c r="Q12150" i="2"/>
  <c r="Q12151" i="2"/>
  <c r="Q12154" i="2"/>
  <c r="Q12155" i="2"/>
  <c r="Q12158" i="2"/>
  <c r="Q12159" i="2"/>
  <c r="Q12162" i="2"/>
  <c r="Q12163" i="2"/>
  <c r="Q12166" i="2"/>
  <c r="Q12167" i="2"/>
  <c r="Q12170" i="2"/>
  <c r="Q12171" i="2"/>
  <c r="Q12174" i="2"/>
  <c r="Q12175" i="2"/>
  <c r="Q12178" i="2"/>
  <c r="Q12179" i="2"/>
  <c r="Q12182" i="2"/>
  <c r="Q12183" i="2"/>
  <c r="Q12186" i="2"/>
  <c r="Q12187" i="2"/>
  <c r="Q12190" i="2"/>
  <c r="Q12191" i="2"/>
  <c r="Q12194" i="2"/>
  <c r="Q12195" i="2"/>
  <c r="Q12198" i="2"/>
  <c r="Q12199" i="2"/>
  <c r="Q12202" i="2"/>
  <c r="Q12203" i="2"/>
  <c r="Q12206" i="2"/>
  <c r="Q12207" i="2"/>
  <c r="Q12210" i="2"/>
  <c r="Q12211" i="2"/>
  <c r="Q12214" i="2"/>
  <c r="Q12215" i="2"/>
  <c r="Q12218" i="2"/>
  <c r="Q12219" i="2"/>
  <c r="Q12222" i="2"/>
  <c r="Q12223" i="2"/>
  <c r="Q12226" i="2"/>
  <c r="Q12227" i="2"/>
  <c r="Q12230" i="2"/>
  <c r="Q12231" i="2"/>
  <c r="Q12234" i="2"/>
  <c r="Q12235" i="2"/>
  <c r="Q12238" i="2"/>
  <c r="Q12239" i="2"/>
  <c r="Q12242" i="2"/>
  <c r="Q12243" i="2"/>
  <c r="Q12246" i="2"/>
  <c r="Q12247" i="2"/>
  <c r="Q12250" i="2"/>
  <c r="Q12251" i="2"/>
  <c r="Q12254" i="2"/>
  <c r="Q12255" i="2"/>
  <c r="Q12258" i="2"/>
  <c r="Q12259" i="2"/>
  <c r="Q12262" i="2"/>
  <c r="Q12263" i="2"/>
  <c r="Q12266" i="2"/>
  <c r="Q12267" i="2"/>
  <c r="Q12270" i="2"/>
  <c r="Q12271" i="2"/>
  <c r="Q12274" i="2"/>
  <c r="Q12275" i="2"/>
  <c r="Q12278" i="2"/>
  <c r="Q12279" i="2"/>
  <c r="Q12282" i="2"/>
  <c r="Q12283" i="2"/>
  <c r="Q12286" i="2"/>
  <c r="Q12287" i="2"/>
  <c r="Q12290" i="2"/>
  <c r="Q12291" i="2"/>
  <c r="Q12294" i="2"/>
  <c r="Q12295" i="2"/>
  <c r="Q12298" i="2"/>
  <c r="Q12299" i="2"/>
  <c r="Q12302" i="2"/>
  <c r="Q12303" i="2"/>
  <c r="Q12306" i="2"/>
  <c r="Q12307" i="2"/>
  <c r="Q12310" i="2"/>
  <c r="Q12311" i="2"/>
  <c r="Q12314" i="2"/>
  <c r="Q12315" i="2"/>
  <c r="Q12318" i="2"/>
  <c r="Q12319" i="2"/>
  <c r="Q12322" i="2"/>
  <c r="Q12323" i="2"/>
  <c r="Q12326" i="2"/>
  <c r="Q12327" i="2"/>
  <c r="Q12330" i="2"/>
  <c r="Q12331" i="2"/>
  <c r="Q12334" i="2"/>
  <c r="Q12335" i="2"/>
  <c r="Q12338" i="2"/>
  <c r="Q12339" i="2"/>
  <c r="Q12342" i="2"/>
  <c r="Q12343" i="2"/>
  <c r="Q12346" i="2"/>
  <c r="Q12347" i="2"/>
  <c r="Q12350" i="2"/>
  <c r="Q12351" i="2"/>
  <c r="Q12354" i="2"/>
  <c r="Q12355" i="2"/>
  <c r="Q12358" i="2"/>
  <c r="Q12359" i="2"/>
  <c r="Q12362" i="2"/>
  <c r="Q12363" i="2"/>
  <c r="Q12366" i="2"/>
  <c r="Q12367" i="2"/>
  <c r="Q12370" i="2"/>
  <c r="Q12371" i="2"/>
  <c r="Q12374" i="2"/>
  <c r="Q12375" i="2"/>
  <c r="Q12378" i="2"/>
  <c r="Q12379" i="2"/>
  <c r="Q12382" i="2"/>
  <c r="Q12383" i="2"/>
  <c r="Q12386" i="2"/>
  <c r="Q12387" i="2"/>
  <c r="Q12390" i="2"/>
  <c r="Q12391" i="2"/>
  <c r="Q12394" i="2"/>
  <c r="Q12395" i="2"/>
  <c r="Q12398" i="2"/>
  <c r="Q12399" i="2"/>
  <c r="Q12402" i="2"/>
  <c r="Q12403" i="2"/>
  <c r="Q12406" i="2"/>
  <c r="Q12407" i="2"/>
  <c r="Q12410" i="2"/>
  <c r="Q12411" i="2"/>
  <c r="Q12414" i="2"/>
  <c r="Q12415" i="2"/>
  <c r="Q12418" i="2"/>
  <c r="Q12419" i="2"/>
  <c r="Q12422" i="2"/>
  <c r="Q12423" i="2"/>
  <c r="Q12426" i="2"/>
  <c r="Q12427" i="2"/>
  <c r="Q12430" i="2"/>
  <c r="Q12431" i="2"/>
  <c r="Q12434" i="2"/>
  <c r="Q12435" i="2"/>
  <c r="Q12438" i="2"/>
  <c r="Q12439" i="2"/>
  <c r="Q12442" i="2"/>
  <c r="Q12443" i="2"/>
  <c r="Q12446" i="2"/>
  <c r="Q12447" i="2"/>
  <c r="Q12450" i="2"/>
  <c r="Q12451" i="2"/>
  <c r="Q12454" i="2"/>
  <c r="Q12455" i="2"/>
  <c r="Q12458" i="2"/>
  <c r="Q12459" i="2"/>
  <c r="Q12462" i="2"/>
  <c r="Q12463" i="2"/>
  <c r="Q12466" i="2"/>
  <c r="Q12467" i="2"/>
  <c r="Q12470" i="2"/>
  <c r="Q12471" i="2"/>
  <c r="Q12474" i="2"/>
  <c r="Q12475" i="2"/>
  <c r="Q12478" i="2"/>
  <c r="Q12479" i="2"/>
  <c r="Q12482" i="2"/>
  <c r="Q12483" i="2"/>
  <c r="Q12486" i="2"/>
  <c r="Q12487" i="2"/>
  <c r="Q12490" i="2"/>
  <c r="Q12491" i="2"/>
  <c r="Q12494" i="2"/>
  <c r="Q12495" i="2"/>
  <c r="Q12498" i="2"/>
  <c r="Q12499" i="2"/>
  <c r="Q12502" i="2"/>
  <c r="Q12503" i="2"/>
  <c r="Q12506" i="2"/>
  <c r="Q12507" i="2"/>
  <c r="Q12510" i="2"/>
  <c r="Q12511" i="2"/>
  <c r="Q12514" i="2"/>
  <c r="Q12515" i="2"/>
  <c r="Q12518" i="2"/>
  <c r="Q12519" i="2"/>
  <c r="Q12522" i="2"/>
  <c r="Q12523" i="2"/>
  <c r="Q12526" i="2"/>
  <c r="Q12527" i="2"/>
  <c r="Q12530" i="2"/>
  <c r="Q12531" i="2"/>
  <c r="Q12534" i="2"/>
  <c r="Q12535" i="2"/>
  <c r="Q12538" i="2"/>
  <c r="Q12539" i="2"/>
  <c r="Q12542" i="2"/>
  <c r="Q12543" i="2"/>
  <c r="Q12546" i="2"/>
  <c r="Q12547" i="2"/>
  <c r="Q12550" i="2"/>
  <c r="Q12551" i="2"/>
  <c r="Q12554" i="2"/>
  <c r="Q12555" i="2"/>
  <c r="Q12558" i="2"/>
  <c r="Q12559" i="2"/>
  <c r="Q12562" i="2"/>
  <c r="Q12563" i="2"/>
  <c r="Q12566" i="2"/>
  <c r="Q12567" i="2"/>
  <c r="Q12570" i="2"/>
  <c r="Q12571" i="2"/>
  <c r="Q12574" i="2"/>
  <c r="Q12575" i="2"/>
  <c r="Q12578" i="2"/>
  <c r="Q12579" i="2"/>
  <c r="Q12582" i="2"/>
  <c r="Q12583" i="2"/>
  <c r="Q12586" i="2"/>
  <c r="Q12587" i="2"/>
  <c r="Q12590" i="2"/>
  <c r="Q12591" i="2"/>
  <c r="Q12594" i="2"/>
  <c r="Q12595" i="2"/>
  <c r="Q12598" i="2"/>
  <c r="Q12599" i="2"/>
  <c r="Q12602" i="2"/>
  <c r="Q12603" i="2"/>
  <c r="Q12606" i="2"/>
  <c r="Q12607" i="2"/>
  <c r="Q12610" i="2"/>
  <c r="Q12611" i="2"/>
  <c r="Q12614" i="2"/>
  <c r="Q12615" i="2"/>
  <c r="Q12618" i="2"/>
  <c r="Q12619" i="2"/>
  <c r="Q12622" i="2"/>
  <c r="Q12623" i="2"/>
  <c r="Q12626" i="2"/>
  <c r="Q12627" i="2"/>
  <c r="Q12630" i="2"/>
  <c r="Q12631" i="2"/>
  <c r="Q12634" i="2"/>
  <c r="Q12635" i="2"/>
  <c r="Q12638" i="2"/>
  <c r="Q12639" i="2"/>
  <c r="Q12642" i="2"/>
  <c r="Q12643" i="2"/>
  <c r="Q12646" i="2"/>
  <c r="Q12647" i="2"/>
  <c r="Q12650" i="2"/>
  <c r="Q12651" i="2"/>
  <c r="Q12654" i="2"/>
  <c r="Q12655" i="2"/>
  <c r="Q12658" i="2"/>
  <c r="Q12659" i="2"/>
  <c r="Q12662" i="2"/>
  <c r="Q12663" i="2"/>
  <c r="Q12666" i="2"/>
  <c r="Q12667" i="2"/>
  <c r="Q12670" i="2"/>
  <c r="Q12671" i="2"/>
  <c r="Q12674" i="2"/>
  <c r="Q12675" i="2"/>
  <c r="Q12678" i="2"/>
  <c r="Q12679" i="2"/>
  <c r="Q12682" i="2"/>
  <c r="Q12683" i="2"/>
  <c r="Q12686" i="2"/>
  <c r="Q12687" i="2"/>
  <c r="Q12690" i="2"/>
  <c r="Q12691" i="2"/>
  <c r="Q12694" i="2"/>
  <c r="Q12695" i="2"/>
  <c r="Q12698" i="2"/>
  <c r="Q12699" i="2"/>
  <c r="Q12702" i="2"/>
  <c r="Q12703" i="2"/>
  <c r="Q12706" i="2"/>
  <c r="Q12707" i="2"/>
  <c r="Q12710" i="2"/>
  <c r="Q12711" i="2"/>
  <c r="Q12714" i="2"/>
  <c r="Q12715" i="2"/>
  <c r="Q12718" i="2"/>
  <c r="Q12719" i="2"/>
  <c r="Q12722" i="2"/>
  <c r="Q12723" i="2"/>
  <c r="Q12726" i="2"/>
  <c r="Q12727" i="2"/>
  <c r="Q12730" i="2"/>
  <c r="Q12731" i="2"/>
  <c r="Q12734" i="2"/>
  <c r="Q12735" i="2"/>
  <c r="Q12738" i="2"/>
  <c r="Q12739" i="2"/>
  <c r="Q12742" i="2"/>
  <c r="Q12743" i="2"/>
  <c r="Q12746" i="2"/>
  <c r="Q12747" i="2"/>
  <c r="Q12750" i="2"/>
  <c r="Q12751" i="2"/>
  <c r="Q12754" i="2"/>
  <c r="Q12755" i="2"/>
  <c r="Q12758" i="2"/>
  <c r="Q12759" i="2"/>
  <c r="Q12762" i="2"/>
  <c r="Q12763" i="2"/>
  <c r="Q12766" i="2"/>
  <c r="Q12767" i="2"/>
  <c r="Q12770" i="2"/>
  <c r="Q12771" i="2"/>
  <c r="Q12774" i="2"/>
  <c r="Q12775" i="2"/>
  <c r="Q12778" i="2"/>
  <c r="Q12779" i="2"/>
  <c r="Q12782" i="2"/>
  <c r="Q12783" i="2"/>
  <c r="Q12786" i="2"/>
  <c r="Q12787" i="2"/>
  <c r="Q12790" i="2"/>
  <c r="Q12791" i="2"/>
  <c r="Q12794" i="2"/>
  <c r="Q12795" i="2"/>
  <c r="Q12798" i="2"/>
  <c r="Q12799" i="2"/>
  <c r="Q12802" i="2"/>
  <c r="Q12803" i="2"/>
  <c r="Q12806" i="2"/>
  <c r="Q12807" i="2"/>
  <c r="Q12810" i="2"/>
  <c r="Q12811" i="2"/>
  <c r="Q12814" i="2"/>
  <c r="Q12815" i="2"/>
  <c r="Q12818" i="2"/>
  <c r="Q12819" i="2"/>
  <c r="Q12822" i="2"/>
  <c r="Q12823" i="2"/>
  <c r="Q12826" i="2"/>
  <c r="Q12827" i="2"/>
  <c r="Q12830" i="2"/>
  <c r="Q12831" i="2"/>
  <c r="Q12834" i="2"/>
  <c r="Q12835" i="2"/>
  <c r="Q12838" i="2"/>
  <c r="Q12839" i="2"/>
  <c r="Q12842" i="2"/>
  <c r="Q12843" i="2"/>
  <c r="Q12846" i="2"/>
  <c r="Q12847" i="2"/>
  <c r="Q12850" i="2"/>
  <c r="Q12851" i="2"/>
  <c r="Q12854" i="2"/>
  <c r="Q12855" i="2"/>
  <c r="Q12858" i="2"/>
  <c r="Q12859" i="2"/>
  <c r="Q12862" i="2"/>
  <c r="Q12863" i="2"/>
  <c r="Q12866" i="2"/>
  <c r="Q12867" i="2"/>
  <c r="Q12870" i="2"/>
  <c r="Q12871" i="2"/>
  <c r="Q12874" i="2"/>
  <c r="Q12875" i="2"/>
  <c r="Q12878" i="2"/>
  <c r="Q12879" i="2"/>
  <c r="Q12882" i="2"/>
  <c r="Q12883" i="2"/>
  <c r="Q12886" i="2"/>
  <c r="Q12887" i="2"/>
  <c r="Q12890" i="2"/>
  <c r="Q12891" i="2"/>
  <c r="Q12894" i="2"/>
  <c r="Q12895" i="2"/>
  <c r="Q12898" i="2"/>
  <c r="Q12899" i="2"/>
  <c r="Q12902" i="2"/>
  <c r="Q12903" i="2"/>
  <c r="Q12906" i="2"/>
  <c r="Q12907" i="2"/>
  <c r="Q12910" i="2"/>
  <c r="Q12911" i="2"/>
  <c r="Q12914" i="2"/>
  <c r="Q12915" i="2"/>
  <c r="Q12918" i="2"/>
  <c r="Q12919" i="2"/>
  <c r="Q12922" i="2"/>
  <c r="Q12923" i="2"/>
  <c r="Q12926" i="2"/>
  <c r="Q12927" i="2"/>
  <c r="Q12930" i="2"/>
  <c r="Q12931" i="2"/>
  <c r="Q12934" i="2"/>
  <c r="Q12935" i="2"/>
  <c r="Q12938" i="2"/>
  <c r="Q12939" i="2"/>
  <c r="Q12942" i="2"/>
  <c r="Q12943" i="2"/>
  <c r="Q12946" i="2"/>
  <c r="Q12947" i="2"/>
  <c r="Q12950" i="2"/>
  <c r="Q12951" i="2"/>
  <c r="Q12954" i="2"/>
  <c r="Q12955" i="2"/>
  <c r="Q12958" i="2"/>
  <c r="Q12959" i="2"/>
  <c r="Q12962" i="2"/>
  <c r="Q12963" i="2"/>
  <c r="Q12966" i="2"/>
  <c r="Q12967" i="2"/>
  <c r="Q12970" i="2"/>
  <c r="Q12971" i="2"/>
  <c r="Q12974" i="2"/>
  <c r="Q12975" i="2"/>
  <c r="Q12978" i="2"/>
  <c r="Q12979" i="2"/>
  <c r="Q12982" i="2"/>
  <c r="Q12983" i="2"/>
  <c r="Q12986" i="2"/>
  <c r="Q12987" i="2"/>
  <c r="Q12990" i="2"/>
  <c r="Q12991" i="2"/>
  <c r="Q12994" i="2"/>
  <c r="Q12995" i="2"/>
  <c r="Q12998" i="2"/>
  <c r="Q12999" i="2"/>
  <c r="Q13002" i="2"/>
  <c r="Q13003" i="2"/>
  <c r="Q13006" i="2"/>
  <c r="Q13007" i="2"/>
  <c r="Q13010" i="2"/>
  <c r="Q13011" i="2"/>
  <c r="Q13014" i="2"/>
  <c r="Q13015" i="2"/>
  <c r="Q13018" i="2"/>
  <c r="Q13019" i="2"/>
  <c r="Q13022" i="2"/>
  <c r="Q13023" i="2"/>
  <c r="Q13026" i="2"/>
  <c r="Q13027" i="2"/>
  <c r="Q13030" i="2"/>
  <c r="Q13031" i="2"/>
  <c r="Q13034" i="2"/>
  <c r="Q13035" i="2"/>
  <c r="Q13038" i="2"/>
  <c r="Q13039" i="2"/>
  <c r="Q13042" i="2"/>
  <c r="Q13043" i="2"/>
  <c r="Q13046" i="2"/>
  <c r="Q13047" i="2"/>
  <c r="Q13050" i="2"/>
  <c r="Q13051" i="2"/>
  <c r="Q13054" i="2"/>
  <c r="Q13055" i="2"/>
  <c r="Q13058" i="2"/>
  <c r="Q13059" i="2"/>
  <c r="Q13062" i="2"/>
  <c r="Q13063" i="2"/>
  <c r="Q13066" i="2"/>
  <c r="Q13067" i="2"/>
  <c r="Q13070" i="2"/>
  <c r="Q13071" i="2"/>
  <c r="Q13074" i="2"/>
  <c r="Q13075" i="2"/>
  <c r="Q13078" i="2"/>
  <c r="Q13079" i="2"/>
  <c r="Q13082" i="2"/>
  <c r="Q13083" i="2"/>
  <c r="Q13086" i="2"/>
  <c r="Q13087" i="2"/>
  <c r="Q13090" i="2"/>
  <c r="Q13091" i="2"/>
  <c r="Q13094" i="2"/>
  <c r="Q13095" i="2"/>
  <c r="Q13098" i="2"/>
  <c r="Q13099" i="2"/>
  <c r="Q13102" i="2"/>
  <c r="Q13103" i="2"/>
  <c r="Q13106" i="2"/>
  <c r="Q13107" i="2"/>
  <c r="Q13110" i="2"/>
  <c r="Q13111" i="2"/>
  <c r="Q13114" i="2"/>
  <c r="Q13115" i="2"/>
  <c r="Q13118" i="2"/>
  <c r="Q13119" i="2"/>
  <c r="Q13122" i="2"/>
  <c r="Q13123" i="2"/>
  <c r="Q13126" i="2"/>
  <c r="Q13127" i="2"/>
  <c r="Q13130" i="2"/>
  <c r="Q13131" i="2"/>
  <c r="Q13134" i="2"/>
  <c r="Q13135" i="2"/>
  <c r="Q13138" i="2"/>
  <c r="Q13139" i="2"/>
  <c r="Q13142" i="2"/>
  <c r="Q13143" i="2"/>
  <c r="Q13146" i="2"/>
  <c r="Q13147" i="2"/>
  <c r="Q13150" i="2"/>
  <c r="Q13151" i="2"/>
  <c r="Q13154" i="2"/>
  <c r="Q13155" i="2"/>
  <c r="Q13158" i="2"/>
  <c r="Q13159" i="2"/>
  <c r="Q13162" i="2"/>
  <c r="Q13163" i="2"/>
  <c r="Q13166" i="2"/>
  <c r="Q13167" i="2"/>
  <c r="Q13170" i="2"/>
  <c r="Q13171" i="2"/>
  <c r="Q13174" i="2"/>
  <c r="Q13175" i="2"/>
  <c r="Q13178" i="2"/>
  <c r="Q13179" i="2"/>
  <c r="Q13182" i="2"/>
  <c r="Q13183" i="2"/>
  <c r="Q13186" i="2"/>
  <c r="Q13187" i="2"/>
  <c r="Q13190" i="2"/>
  <c r="Q13191" i="2"/>
  <c r="Q13194" i="2"/>
  <c r="Q13195" i="2"/>
  <c r="Q13198" i="2"/>
  <c r="Q13199" i="2"/>
  <c r="Q13202" i="2"/>
  <c r="Q13203" i="2"/>
  <c r="Q13206" i="2"/>
  <c r="Q13207" i="2"/>
  <c r="Q13210" i="2"/>
  <c r="Q13211" i="2"/>
  <c r="Q13214" i="2"/>
  <c r="Q13215" i="2"/>
  <c r="Q13218" i="2"/>
  <c r="Q13219" i="2"/>
  <c r="Q13222" i="2"/>
  <c r="Q13223" i="2"/>
  <c r="Q13226" i="2"/>
  <c r="Q13227" i="2"/>
  <c r="Q13230" i="2"/>
  <c r="Q13231" i="2"/>
  <c r="Q13234" i="2"/>
  <c r="Q13235" i="2"/>
  <c r="Q13238" i="2"/>
  <c r="Q13239" i="2"/>
  <c r="Q13242" i="2"/>
  <c r="Q13243" i="2"/>
  <c r="Q13246" i="2"/>
  <c r="Q13247" i="2"/>
  <c r="Q13250" i="2"/>
  <c r="Q13251" i="2"/>
  <c r="Q13254" i="2"/>
  <c r="Q13255" i="2"/>
  <c r="Q13258" i="2"/>
  <c r="Q13259" i="2"/>
  <c r="Q13262" i="2"/>
  <c r="Q13263" i="2"/>
  <c r="Q13266" i="2"/>
  <c r="Q13267" i="2"/>
  <c r="Q13270" i="2"/>
  <c r="Q13271" i="2"/>
  <c r="Q13274" i="2"/>
  <c r="Q13275" i="2"/>
  <c r="Q13278" i="2"/>
  <c r="Q13279" i="2"/>
  <c r="Q13282" i="2"/>
  <c r="Q13283" i="2"/>
  <c r="Q13286" i="2"/>
  <c r="Q13287" i="2"/>
  <c r="Q13290" i="2"/>
  <c r="Q13291" i="2"/>
  <c r="Q13294" i="2"/>
  <c r="Q13295" i="2"/>
  <c r="Q13298" i="2"/>
  <c r="Q13299" i="2"/>
  <c r="Q13302" i="2"/>
  <c r="Q13303" i="2"/>
  <c r="Q13306" i="2"/>
  <c r="Q13307" i="2"/>
  <c r="Q13310" i="2"/>
  <c r="Q13311" i="2"/>
  <c r="Q13314" i="2"/>
  <c r="Q13315" i="2"/>
  <c r="Q13318" i="2"/>
  <c r="Q13319" i="2"/>
  <c r="Q13322" i="2"/>
  <c r="Q13323" i="2"/>
  <c r="Q13326" i="2"/>
  <c r="Q13327" i="2"/>
  <c r="Q13330" i="2"/>
  <c r="Q13331" i="2"/>
  <c r="Q13334" i="2"/>
  <c r="Q13335" i="2"/>
  <c r="Q13338" i="2"/>
  <c r="Q13339" i="2"/>
  <c r="Q13342" i="2"/>
  <c r="Q13343" i="2"/>
  <c r="Q13346" i="2"/>
  <c r="Q13347" i="2"/>
  <c r="Q13350" i="2"/>
  <c r="Q13351" i="2"/>
  <c r="Q13354" i="2"/>
  <c r="Q13355" i="2"/>
  <c r="Q13358" i="2"/>
  <c r="Q13359" i="2"/>
  <c r="Q13362" i="2"/>
  <c r="Q13363" i="2"/>
  <c r="Q13366" i="2"/>
  <c r="Q13367" i="2"/>
  <c r="Q13370" i="2"/>
  <c r="Q13371" i="2"/>
  <c r="Q13374" i="2"/>
  <c r="Q13375" i="2"/>
  <c r="Q13378" i="2"/>
  <c r="Q13379" i="2"/>
  <c r="Q13382" i="2"/>
  <c r="Q13383" i="2"/>
  <c r="Q13386" i="2"/>
  <c r="Q13387" i="2"/>
  <c r="Q13390" i="2"/>
  <c r="Q13391" i="2"/>
  <c r="Q13394" i="2"/>
  <c r="Q13395" i="2"/>
  <c r="Q13398" i="2"/>
  <c r="Q13399" i="2"/>
  <c r="Q13402" i="2"/>
  <c r="Q13403" i="2"/>
  <c r="Q13406" i="2"/>
  <c r="Q13407" i="2"/>
  <c r="Q13410" i="2"/>
  <c r="Q13411" i="2"/>
  <c r="Q13414" i="2"/>
  <c r="Q13415" i="2"/>
  <c r="Q13418" i="2"/>
  <c r="Q13419" i="2"/>
  <c r="Q13422" i="2"/>
  <c r="Q13423" i="2"/>
  <c r="Q13426" i="2"/>
  <c r="Q13427" i="2"/>
  <c r="Q13430" i="2"/>
  <c r="Q13431" i="2"/>
  <c r="Q13434" i="2"/>
  <c r="Q13435" i="2"/>
  <c r="Q13438" i="2"/>
  <c r="Q13439" i="2"/>
  <c r="Q13442" i="2"/>
  <c r="Q13443" i="2"/>
  <c r="Q13446" i="2"/>
  <c r="Q13447" i="2"/>
  <c r="Q13450" i="2"/>
  <c r="Q13451" i="2"/>
  <c r="Q13454" i="2"/>
  <c r="Q13455" i="2"/>
  <c r="Q13458" i="2"/>
  <c r="Q13459" i="2"/>
  <c r="Q13462" i="2"/>
  <c r="Q13463" i="2"/>
  <c r="Q13466" i="2"/>
  <c r="Q13467" i="2"/>
  <c r="Q13470" i="2"/>
  <c r="Q13471" i="2"/>
  <c r="Q13474" i="2"/>
  <c r="Q13475" i="2"/>
  <c r="Q13478" i="2"/>
  <c r="Q13479" i="2"/>
  <c r="Q13482" i="2"/>
  <c r="Q13483" i="2"/>
  <c r="Q13486" i="2"/>
  <c r="Q13487" i="2"/>
  <c r="Q13490" i="2"/>
  <c r="Q13491" i="2"/>
  <c r="Q13494" i="2"/>
  <c r="Q13495" i="2"/>
  <c r="Q13498" i="2"/>
  <c r="Q13499" i="2"/>
  <c r="Q13502" i="2"/>
  <c r="Q13503" i="2"/>
  <c r="Q13506" i="2"/>
  <c r="Q13507" i="2"/>
  <c r="Q13510" i="2"/>
  <c r="Q13511" i="2"/>
  <c r="Q13514" i="2"/>
  <c r="Q13515" i="2"/>
  <c r="Q13518" i="2"/>
  <c r="Q13519" i="2"/>
  <c r="Q13522" i="2"/>
  <c r="Q13523" i="2"/>
  <c r="Q13526" i="2"/>
  <c r="Q13527" i="2"/>
  <c r="Q13530" i="2"/>
  <c r="Q13531" i="2"/>
  <c r="Q13534" i="2"/>
  <c r="Q13535" i="2"/>
  <c r="Q13538" i="2"/>
  <c r="Q13539" i="2"/>
  <c r="Q13542" i="2"/>
  <c r="Q13543" i="2"/>
  <c r="Q13546" i="2"/>
  <c r="Q13547" i="2"/>
  <c r="Q13550" i="2"/>
  <c r="Q13551" i="2"/>
  <c r="Q13554" i="2"/>
  <c r="Q13555" i="2"/>
  <c r="Q13558" i="2"/>
  <c r="Q13559" i="2"/>
  <c r="Q13562" i="2"/>
  <c r="Q13563" i="2"/>
  <c r="Q13566" i="2"/>
  <c r="Q13567" i="2"/>
  <c r="Q13570" i="2"/>
  <c r="Q13571" i="2"/>
  <c r="Q13574" i="2"/>
  <c r="Q13575" i="2"/>
  <c r="Q13578" i="2"/>
  <c r="Q13579" i="2"/>
  <c r="Q13582" i="2"/>
  <c r="Q13583" i="2"/>
  <c r="Q13586" i="2"/>
  <c r="Q13587" i="2"/>
  <c r="Q13590" i="2"/>
  <c r="Q13591" i="2"/>
  <c r="Q13594" i="2"/>
  <c r="Q13595" i="2"/>
  <c r="Q13598" i="2"/>
  <c r="Q13599" i="2"/>
  <c r="Q13602" i="2"/>
  <c r="Q13603" i="2"/>
  <c r="Q13606" i="2"/>
  <c r="Q13607" i="2"/>
  <c r="Q13610" i="2"/>
  <c r="Q13611" i="2"/>
  <c r="Q13614" i="2"/>
  <c r="Q13615" i="2"/>
  <c r="Q13618" i="2"/>
  <c r="Q13619" i="2"/>
  <c r="Q13622" i="2"/>
  <c r="Q13623" i="2"/>
  <c r="Q13626" i="2"/>
  <c r="Q13627" i="2"/>
  <c r="Q13630" i="2"/>
  <c r="Q13631" i="2"/>
  <c r="Q13634" i="2"/>
  <c r="Q13635" i="2"/>
  <c r="Q13638" i="2"/>
  <c r="Q13639" i="2"/>
  <c r="Q13642" i="2"/>
  <c r="Q13643" i="2"/>
  <c r="Q13646" i="2"/>
  <c r="Q13647" i="2"/>
  <c r="Q13650" i="2"/>
  <c r="Q13651" i="2"/>
  <c r="Q13654" i="2"/>
  <c r="Q13655" i="2"/>
  <c r="Q13658" i="2"/>
  <c r="Q13659" i="2"/>
  <c r="Q13662" i="2"/>
  <c r="Q13663" i="2"/>
  <c r="Q13666" i="2"/>
  <c r="Q13667" i="2"/>
  <c r="Q13670" i="2"/>
  <c r="Q13671" i="2"/>
  <c r="Q13674" i="2"/>
  <c r="Q13675" i="2"/>
  <c r="Q13678" i="2"/>
  <c r="Q13679" i="2"/>
  <c r="Q13682" i="2"/>
  <c r="Q13683" i="2"/>
  <c r="Q13686" i="2"/>
  <c r="Q13687" i="2"/>
  <c r="Q13690" i="2"/>
  <c r="Q13691" i="2"/>
  <c r="Q13694" i="2"/>
  <c r="Q13695" i="2"/>
  <c r="Q13698" i="2"/>
  <c r="Q13699" i="2"/>
  <c r="Q13702" i="2"/>
  <c r="Q13703" i="2"/>
  <c r="Q13706" i="2"/>
  <c r="Q13707" i="2"/>
  <c r="Q13710" i="2"/>
  <c r="Q13711" i="2"/>
  <c r="Q13714" i="2"/>
  <c r="Q13715" i="2"/>
  <c r="Q13718" i="2"/>
  <c r="Q13719" i="2"/>
  <c r="Q13722" i="2"/>
  <c r="Q13723" i="2"/>
  <c r="Q13726" i="2"/>
  <c r="Q13727" i="2"/>
  <c r="Q13730" i="2"/>
  <c r="Q13731" i="2"/>
  <c r="Q13734" i="2"/>
  <c r="Q13735" i="2"/>
  <c r="Q13738" i="2"/>
  <c r="Q13739" i="2"/>
  <c r="Q13742" i="2"/>
  <c r="Q13743" i="2"/>
  <c r="Q13746" i="2"/>
  <c r="Q13747" i="2"/>
  <c r="Q13750" i="2"/>
  <c r="Q13751" i="2"/>
  <c r="Q13754" i="2"/>
  <c r="Q13755" i="2"/>
  <c r="Q13758" i="2"/>
  <c r="Q13759" i="2"/>
  <c r="Q13762" i="2"/>
  <c r="Q13763" i="2"/>
  <c r="Q13766" i="2"/>
  <c r="Q13767" i="2"/>
  <c r="Q13770" i="2"/>
  <c r="Q13771" i="2"/>
  <c r="Q13774" i="2"/>
  <c r="Q13775" i="2"/>
  <c r="Q13778" i="2"/>
  <c r="Q13779" i="2"/>
  <c r="Q13782" i="2"/>
  <c r="Q13783" i="2"/>
  <c r="Q13786" i="2"/>
  <c r="Q13787" i="2"/>
  <c r="Q13790" i="2"/>
  <c r="Q13791" i="2"/>
  <c r="Q13794" i="2"/>
  <c r="Q13795" i="2"/>
  <c r="Q13798" i="2"/>
  <c r="Q13799" i="2"/>
  <c r="Q13802" i="2"/>
  <c r="Q13803" i="2"/>
  <c r="Q13806" i="2"/>
  <c r="Q13807" i="2"/>
  <c r="Q13810" i="2"/>
  <c r="Q13811" i="2"/>
  <c r="Q13814" i="2"/>
  <c r="Q13815" i="2"/>
  <c r="Q13818" i="2"/>
  <c r="Q13819" i="2"/>
  <c r="Q13822" i="2"/>
  <c r="Q13823" i="2"/>
  <c r="Q13826" i="2"/>
  <c r="Q13827" i="2"/>
  <c r="Q13830" i="2"/>
  <c r="Q13831" i="2"/>
  <c r="Q13834" i="2"/>
  <c r="Q13835" i="2"/>
  <c r="Q13838" i="2"/>
  <c r="Q13839" i="2"/>
  <c r="Q13842" i="2"/>
  <c r="Q13843" i="2"/>
  <c r="Q13846" i="2"/>
  <c r="Q13847" i="2"/>
  <c r="Q13850" i="2"/>
  <c r="Q13851" i="2"/>
  <c r="Q13854" i="2"/>
  <c r="Q13855" i="2"/>
  <c r="Q13858" i="2"/>
  <c r="Q13859" i="2"/>
  <c r="Q13862" i="2"/>
  <c r="Q13863" i="2"/>
  <c r="Q13866" i="2"/>
  <c r="Q13867" i="2"/>
  <c r="Q13870" i="2"/>
  <c r="Q13871" i="2"/>
  <c r="Q13874" i="2"/>
  <c r="Q13875" i="2"/>
  <c r="Q13878" i="2"/>
  <c r="Q13879" i="2"/>
  <c r="Q13882" i="2"/>
  <c r="Q13883" i="2"/>
  <c r="Q13886" i="2"/>
  <c r="Q13887" i="2"/>
  <c r="Q13890" i="2"/>
  <c r="Q13891" i="2"/>
  <c r="Q13894" i="2"/>
  <c r="Q13895" i="2"/>
  <c r="Q13898" i="2"/>
  <c r="Q13899" i="2"/>
  <c r="Q13902" i="2"/>
  <c r="Q13903" i="2"/>
  <c r="Q13906" i="2"/>
  <c r="Q13907" i="2"/>
  <c r="Q13910" i="2"/>
  <c r="Q13911" i="2"/>
  <c r="Q13914" i="2"/>
  <c r="Q13915" i="2"/>
  <c r="Q13918" i="2"/>
  <c r="Q13919" i="2"/>
  <c r="Q13922" i="2"/>
  <c r="Q13923" i="2"/>
  <c r="Q13926" i="2"/>
  <c r="Q13927" i="2"/>
  <c r="Q13930" i="2"/>
  <c r="Q13931" i="2"/>
  <c r="Q13934" i="2"/>
  <c r="Q13935" i="2"/>
  <c r="Q13938" i="2"/>
  <c r="Q13939" i="2"/>
  <c r="Q13942" i="2"/>
  <c r="Q13943" i="2"/>
  <c r="Q13946" i="2"/>
  <c r="Q13947" i="2"/>
  <c r="Q13950" i="2"/>
  <c r="Q13951" i="2"/>
  <c r="Q13954" i="2"/>
  <c r="Q13955" i="2"/>
  <c r="Q13958" i="2"/>
  <c r="Q13959" i="2"/>
  <c r="Q13962" i="2"/>
  <c r="Q13963" i="2"/>
  <c r="Q13966" i="2"/>
  <c r="Q13967" i="2"/>
  <c r="Q13970" i="2"/>
  <c r="Q13971" i="2"/>
  <c r="Q13974" i="2"/>
  <c r="Q13975" i="2"/>
  <c r="Q13978" i="2"/>
  <c r="Q13979" i="2"/>
  <c r="Q13982" i="2"/>
  <c r="Q13983" i="2"/>
  <c r="Q13986" i="2"/>
  <c r="Q13987" i="2"/>
  <c r="Q13990" i="2"/>
  <c r="Q13991" i="2"/>
  <c r="Q13994" i="2"/>
  <c r="Q13995" i="2"/>
  <c r="Q13998" i="2"/>
  <c r="Q13999" i="2"/>
  <c r="Q14002" i="2"/>
  <c r="Q14003" i="2"/>
  <c r="Q14006" i="2"/>
  <c r="Q14007" i="2"/>
  <c r="Q14010" i="2"/>
  <c r="Q14011" i="2"/>
  <c r="Q14014" i="2"/>
  <c r="Q14015" i="2"/>
  <c r="Q14018" i="2"/>
  <c r="Q14019" i="2"/>
  <c r="Q14022" i="2"/>
  <c r="Q14023" i="2"/>
  <c r="Q14026" i="2"/>
  <c r="Q14027" i="2"/>
  <c r="Q14030" i="2"/>
  <c r="Q14031" i="2"/>
  <c r="Q14034" i="2"/>
  <c r="Q14035" i="2"/>
  <c r="Q14038" i="2"/>
  <c r="Q14039" i="2"/>
  <c r="Q14042" i="2"/>
  <c r="Q14043" i="2"/>
  <c r="Q14046" i="2"/>
  <c r="Q14047" i="2"/>
  <c r="Q14050" i="2"/>
  <c r="Q14051" i="2"/>
  <c r="Q14054" i="2"/>
  <c r="Q14055" i="2"/>
  <c r="Q14058" i="2"/>
  <c r="Q14059" i="2"/>
  <c r="Q14062" i="2"/>
  <c r="Q14063" i="2"/>
  <c r="Q14066" i="2"/>
  <c r="Q14067" i="2"/>
  <c r="Q14070" i="2"/>
  <c r="Q14071" i="2"/>
  <c r="Q14074" i="2"/>
  <c r="Q14075" i="2"/>
  <c r="Q14078" i="2"/>
  <c r="Q14079" i="2"/>
  <c r="Q14082" i="2"/>
  <c r="Q14083" i="2"/>
  <c r="Q14086" i="2"/>
  <c r="Q14087" i="2"/>
  <c r="Q14090" i="2"/>
  <c r="Q14091" i="2"/>
  <c r="Q14094" i="2"/>
  <c r="Q14095" i="2"/>
  <c r="Q14098" i="2"/>
  <c r="Q14099" i="2"/>
  <c r="Q14102" i="2"/>
  <c r="Q14103" i="2"/>
  <c r="Q14106" i="2"/>
  <c r="Q14107" i="2"/>
  <c r="Q14110" i="2"/>
  <c r="Q14111" i="2"/>
  <c r="Q14114" i="2"/>
  <c r="Q14115" i="2"/>
  <c r="Q14118" i="2"/>
  <c r="Q14119" i="2"/>
  <c r="Q14122" i="2"/>
  <c r="Q14123" i="2"/>
  <c r="Q14126" i="2"/>
  <c r="Q14127" i="2"/>
  <c r="Q14130" i="2"/>
  <c r="Q14131" i="2"/>
  <c r="Q14134" i="2"/>
  <c r="Q14135" i="2"/>
  <c r="Q14138" i="2"/>
  <c r="Q14139" i="2"/>
  <c r="Q14142" i="2"/>
  <c r="Q14143" i="2"/>
  <c r="Q14146" i="2"/>
  <c r="Q14147" i="2"/>
  <c r="Q14150" i="2"/>
  <c r="Q14151" i="2"/>
  <c r="Q14154" i="2"/>
  <c r="Q14155" i="2"/>
  <c r="Q14158" i="2"/>
  <c r="Q14159" i="2"/>
  <c r="Q14162" i="2"/>
  <c r="Q14163" i="2"/>
  <c r="Q14166" i="2"/>
  <c r="Q14167" i="2"/>
  <c r="Q14170" i="2"/>
  <c r="Q14171" i="2"/>
  <c r="Q14174" i="2"/>
  <c r="Q14175" i="2"/>
  <c r="Q14178" i="2"/>
  <c r="Q14179" i="2"/>
  <c r="Q14182" i="2"/>
  <c r="Q14183" i="2"/>
  <c r="Q14186" i="2"/>
  <c r="Q14187" i="2"/>
  <c r="Q14190" i="2"/>
  <c r="Q14191" i="2"/>
  <c r="Q14194" i="2"/>
  <c r="Q14195" i="2"/>
  <c r="Q14198" i="2"/>
  <c r="Q14199" i="2"/>
  <c r="Q14202" i="2"/>
  <c r="Q14203" i="2"/>
  <c r="Q14206" i="2"/>
  <c r="Q14207" i="2"/>
  <c r="Q14210" i="2"/>
  <c r="Q14211" i="2"/>
  <c r="Q14214" i="2"/>
  <c r="Q14215" i="2"/>
  <c r="Q14218" i="2"/>
  <c r="Q14219" i="2"/>
  <c r="Q14222" i="2"/>
  <c r="Q14223" i="2"/>
  <c r="Q14226" i="2"/>
  <c r="Q14227" i="2"/>
  <c r="Q14230" i="2"/>
  <c r="Q14231" i="2"/>
  <c r="Q14234" i="2"/>
  <c r="Q14235" i="2"/>
  <c r="Q14238" i="2"/>
  <c r="Q14239" i="2"/>
  <c r="Q14242" i="2"/>
  <c r="Q14243" i="2"/>
  <c r="Q14246" i="2"/>
  <c r="Q14247" i="2"/>
  <c r="Q14250" i="2"/>
  <c r="Q14251" i="2"/>
  <c r="Q14254" i="2"/>
  <c r="Q14255" i="2"/>
  <c r="Q14258" i="2"/>
  <c r="Q14259" i="2"/>
  <c r="Q14262" i="2"/>
  <c r="Q14263" i="2"/>
  <c r="Q14266" i="2"/>
  <c r="Q14267" i="2"/>
  <c r="Q14270" i="2"/>
  <c r="Q14271" i="2"/>
  <c r="Q14274" i="2"/>
  <c r="Q14275" i="2"/>
  <c r="Q14278" i="2"/>
  <c r="Q14279" i="2"/>
  <c r="Q14282" i="2"/>
  <c r="Q14283" i="2"/>
  <c r="Q14286" i="2"/>
  <c r="Q14287" i="2"/>
  <c r="Q14290" i="2"/>
  <c r="Q14291" i="2"/>
  <c r="Q14294" i="2"/>
  <c r="Q14295" i="2"/>
  <c r="Q14298" i="2"/>
  <c r="Q14299" i="2"/>
  <c r="Q14302" i="2"/>
  <c r="Q14303" i="2"/>
  <c r="Q14306" i="2"/>
  <c r="Q14307" i="2"/>
  <c r="Q14310" i="2"/>
  <c r="Q14311" i="2"/>
  <c r="Q14314" i="2"/>
  <c r="Q14315" i="2"/>
  <c r="Q14318" i="2"/>
  <c r="Q14319" i="2"/>
  <c r="Q14322" i="2"/>
  <c r="Q14323" i="2"/>
  <c r="Q14326" i="2"/>
  <c r="Q14327" i="2"/>
  <c r="Q14330" i="2"/>
  <c r="Q14331" i="2"/>
  <c r="Q14334" i="2"/>
  <c r="Q14335" i="2"/>
  <c r="Q14338" i="2"/>
  <c r="Q14339" i="2"/>
  <c r="Q14342" i="2"/>
  <c r="Q14343" i="2"/>
  <c r="Q14346" i="2"/>
  <c r="Q14347" i="2"/>
  <c r="Q14350" i="2"/>
  <c r="Q14351" i="2"/>
  <c r="Q14354" i="2"/>
  <c r="Q14355" i="2"/>
  <c r="Q14358" i="2"/>
  <c r="Q14359" i="2"/>
  <c r="Q14362" i="2"/>
  <c r="Q14363" i="2"/>
  <c r="Q14366" i="2"/>
  <c r="Q14367" i="2"/>
  <c r="Q14370" i="2"/>
  <c r="Q14371" i="2"/>
  <c r="Q14374" i="2"/>
  <c r="Q14375" i="2"/>
  <c r="Q14378" i="2"/>
  <c r="Q14379" i="2"/>
  <c r="Q14382" i="2"/>
  <c r="Q14383" i="2"/>
  <c r="Q14386" i="2"/>
  <c r="Q14387" i="2"/>
  <c r="Q14390" i="2"/>
  <c r="Q14391" i="2"/>
  <c r="Q14394" i="2"/>
  <c r="Q14395" i="2"/>
  <c r="Q14398" i="2"/>
  <c r="Q14399" i="2"/>
  <c r="Q14402" i="2"/>
  <c r="Q14403" i="2"/>
  <c r="Q14406" i="2"/>
  <c r="Q14407" i="2"/>
  <c r="Q14410" i="2"/>
  <c r="Q14411" i="2"/>
  <c r="Q14414" i="2"/>
  <c r="Q14415" i="2"/>
  <c r="Q14418" i="2"/>
  <c r="Q14419" i="2"/>
  <c r="Q14422" i="2"/>
  <c r="Q14423" i="2"/>
  <c r="Q14426" i="2"/>
  <c r="Q14427" i="2"/>
  <c r="Q14430" i="2"/>
  <c r="Q14431" i="2"/>
  <c r="Q14434" i="2"/>
  <c r="Q14435" i="2"/>
  <c r="Q14438" i="2"/>
  <c r="Q14439" i="2"/>
  <c r="Q14442" i="2"/>
  <c r="Q14443" i="2"/>
  <c r="Q14446" i="2"/>
  <c r="Q14447" i="2"/>
  <c r="Q14450" i="2"/>
  <c r="Q14451" i="2"/>
  <c r="Q14454" i="2"/>
  <c r="Q14455" i="2"/>
  <c r="Q14458" i="2"/>
  <c r="Q14459" i="2"/>
  <c r="Q14462" i="2"/>
  <c r="Q14463" i="2"/>
  <c r="Q14466" i="2"/>
  <c r="Q14467" i="2"/>
  <c r="Q14470" i="2"/>
  <c r="Q14471" i="2"/>
  <c r="Q14474" i="2"/>
  <c r="Q14475" i="2"/>
  <c r="Q14478" i="2"/>
  <c r="Q14479" i="2"/>
  <c r="Q14482" i="2"/>
  <c r="Q14483" i="2"/>
  <c r="Q14486" i="2"/>
  <c r="Q14487" i="2"/>
  <c r="Q14490" i="2"/>
  <c r="Q14491" i="2"/>
  <c r="Q14494" i="2"/>
  <c r="Q14495" i="2"/>
  <c r="Q14498" i="2"/>
  <c r="Q14499" i="2"/>
  <c r="Q14502" i="2"/>
  <c r="Q14503" i="2"/>
  <c r="Q14506" i="2"/>
  <c r="Q14507" i="2"/>
  <c r="Q14510" i="2"/>
  <c r="Q14511" i="2"/>
  <c r="Q14514" i="2"/>
  <c r="Q14515" i="2"/>
  <c r="Q14518" i="2"/>
  <c r="Q14519" i="2"/>
  <c r="Q14522" i="2"/>
  <c r="Q14523" i="2"/>
  <c r="Q14526" i="2"/>
  <c r="Q14527" i="2"/>
  <c r="Q14530" i="2"/>
  <c r="Q14531" i="2"/>
  <c r="Q14534" i="2"/>
  <c r="Q14535" i="2"/>
  <c r="Q14538" i="2"/>
  <c r="Q14539" i="2"/>
  <c r="Q14542" i="2"/>
  <c r="Q14543" i="2"/>
  <c r="Q14546" i="2"/>
  <c r="Q14547" i="2"/>
  <c r="Q14550" i="2"/>
  <c r="Q14551" i="2"/>
  <c r="Q14554" i="2"/>
  <c r="Q14555" i="2"/>
  <c r="Q14558" i="2"/>
  <c r="Q14559" i="2"/>
  <c r="Q14562" i="2"/>
  <c r="Q14563" i="2"/>
  <c r="Q14566" i="2"/>
  <c r="Q14567" i="2"/>
  <c r="Q14570" i="2"/>
  <c r="Q14571" i="2"/>
  <c r="Q14574" i="2"/>
  <c r="Q14575" i="2"/>
  <c r="Q14578" i="2"/>
  <c r="Q14579" i="2"/>
  <c r="Q14582" i="2"/>
  <c r="Q14583" i="2"/>
  <c r="Q14586" i="2"/>
  <c r="Q14587" i="2"/>
  <c r="Q14590" i="2"/>
  <c r="Q14591" i="2"/>
  <c r="Q14594" i="2"/>
  <c r="Q14595" i="2"/>
  <c r="Q14598" i="2"/>
  <c r="Q14599" i="2"/>
  <c r="Q14602" i="2"/>
  <c r="Q14603" i="2"/>
  <c r="Q14606" i="2"/>
  <c r="Q14607" i="2"/>
  <c r="Q14610" i="2"/>
  <c r="Q14611" i="2"/>
  <c r="Q14614" i="2"/>
  <c r="Q14615" i="2"/>
  <c r="Q14618" i="2"/>
  <c r="Q14619" i="2"/>
  <c r="Q14622" i="2"/>
  <c r="Q14623" i="2"/>
  <c r="Q14626" i="2"/>
  <c r="Q14627" i="2"/>
  <c r="Q14630" i="2"/>
  <c r="Q14631" i="2"/>
  <c r="Q14634" i="2"/>
  <c r="Q14635" i="2"/>
  <c r="Q14638" i="2"/>
  <c r="Q14639" i="2"/>
  <c r="Q14642" i="2"/>
  <c r="Q14643" i="2"/>
  <c r="Q14646" i="2"/>
  <c r="Q14647" i="2"/>
  <c r="Q14650" i="2"/>
  <c r="Q14651" i="2"/>
  <c r="Q14654" i="2"/>
  <c r="Q14655" i="2"/>
  <c r="Q14658" i="2"/>
  <c r="Q14659" i="2"/>
  <c r="Q14662" i="2"/>
  <c r="Q14663" i="2"/>
  <c r="Q14666" i="2"/>
  <c r="Q14667" i="2"/>
  <c r="Q14670" i="2"/>
  <c r="Q14671" i="2"/>
  <c r="Q14674" i="2"/>
  <c r="Q14675" i="2"/>
  <c r="Q14678" i="2"/>
  <c r="Q14679" i="2"/>
  <c r="Q14682" i="2"/>
  <c r="Q14683" i="2"/>
  <c r="Q14686" i="2"/>
  <c r="Q14687" i="2"/>
  <c r="Q14690" i="2"/>
  <c r="Q14691" i="2"/>
  <c r="Q14694" i="2"/>
  <c r="Q14695" i="2"/>
  <c r="Q14698" i="2"/>
  <c r="Q14699" i="2"/>
  <c r="Q14702" i="2"/>
  <c r="Q14703" i="2"/>
  <c r="Q14706" i="2"/>
  <c r="Q14707" i="2"/>
  <c r="Q14710" i="2"/>
  <c r="Q14711" i="2"/>
  <c r="Q14714" i="2"/>
  <c r="Q14715" i="2"/>
  <c r="Q14718" i="2"/>
  <c r="Q14719" i="2"/>
  <c r="Q14722" i="2"/>
  <c r="Q14723" i="2"/>
  <c r="Q14726" i="2"/>
  <c r="Q14727" i="2"/>
  <c r="Q14730" i="2"/>
  <c r="Q14731" i="2"/>
  <c r="Q14734" i="2"/>
  <c r="Q14735" i="2"/>
  <c r="Q14738" i="2"/>
  <c r="Q14739" i="2"/>
  <c r="Q14742" i="2"/>
  <c r="Q14743" i="2"/>
  <c r="Q14746" i="2"/>
  <c r="Q14747" i="2"/>
  <c r="Q14750" i="2"/>
  <c r="Q14751" i="2"/>
  <c r="Q14754" i="2"/>
  <c r="Q14755" i="2"/>
  <c r="Q14758" i="2"/>
  <c r="Q14759" i="2"/>
  <c r="Q14762" i="2"/>
  <c r="Q14763" i="2"/>
  <c r="Q14766" i="2"/>
  <c r="Q14767" i="2"/>
  <c r="Q14770" i="2"/>
  <c r="Q14771" i="2"/>
  <c r="Q14774" i="2"/>
  <c r="Q14775" i="2"/>
  <c r="Q14778" i="2"/>
  <c r="Q14779" i="2"/>
  <c r="Q14782" i="2"/>
  <c r="Q14783" i="2"/>
  <c r="Q14786" i="2"/>
  <c r="Q14787" i="2"/>
  <c r="Q14790" i="2"/>
  <c r="Q14791" i="2"/>
  <c r="Q14794" i="2"/>
  <c r="Q14795" i="2"/>
  <c r="Q14798" i="2"/>
  <c r="Q14799" i="2"/>
  <c r="Q14802" i="2"/>
  <c r="Q14803" i="2"/>
  <c r="Q14806" i="2"/>
  <c r="Q14807" i="2"/>
  <c r="Q14810" i="2"/>
  <c r="Q14811" i="2"/>
  <c r="Q14814" i="2"/>
  <c r="Q14815" i="2"/>
  <c r="Q14818" i="2"/>
  <c r="Q14819" i="2"/>
  <c r="Q14822" i="2"/>
  <c r="Q14823" i="2"/>
  <c r="Q14826" i="2"/>
  <c r="Q14827" i="2"/>
  <c r="Q14830" i="2"/>
  <c r="Q14831" i="2"/>
  <c r="Q14834" i="2"/>
  <c r="Q14835" i="2"/>
  <c r="Q14838" i="2"/>
  <c r="Q14839" i="2"/>
  <c r="Q14842" i="2"/>
  <c r="Q14843" i="2"/>
  <c r="Q14846" i="2"/>
  <c r="Q14847" i="2"/>
  <c r="Q14850" i="2"/>
  <c r="Q14851" i="2"/>
  <c r="Q14854" i="2"/>
  <c r="Q14855" i="2"/>
  <c r="Q14858" i="2"/>
  <c r="Q14859" i="2"/>
  <c r="Q14862" i="2"/>
  <c r="Q14863" i="2"/>
  <c r="Q14866" i="2"/>
  <c r="Q14867" i="2"/>
  <c r="Q14870" i="2"/>
  <c r="Q14871" i="2"/>
  <c r="Q14874" i="2"/>
  <c r="Q14875" i="2"/>
  <c r="Q14878" i="2"/>
  <c r="Q14879" i="2"/>
  <c r="Q14882" i="2"/>
  <c r="Q14883" i="2"/>
  <c r="Q14886" i="2"/>
  <c r="Q14887" i="2"/>
  <c r="Q14890" i="2"/>
  <c r="Q14891" i="2"/>
  <c r="Q14894" i="2"/>
  <c r="Q14895" i="2"/>
  <c r="Q14898" i="2"/>
  <c r="Q14899" i="2"/>
  <c r="Q14902" i="2"/>
  <c r="Q14903" i="2"/>
  <c r="Q14906" i="2"/>
  <c r="Q14907" i="2"/>
  <c r="Q14910" i="2"/>
  <c r="Q14911" i="2"/>
  <c r="Q14914" i="2"/>
  <c r="Q14915" i="2"/>
  <c r="Q14918" i="2"/>
  <c r="Q14919" i="2"/>
  <c r="Q14922" i="2"/>
  <c r="Q14923" i="2"/>
  <c r="Q14926" i="2"/>
  <c r="Q14927" i="2"/>
  <c r="Q14930" i="2"/>
  <c r="Q14931" i="2"/>
  <c r="Q14934" i="2"/>
  <c r="Q14935" i="2"/>
  <c r="Q14938" i="2"/>
  <c r="Q14939" i="2"/>
  <c r="Q14942" i="2"/>
  <c r="Q14943" i="2"/>
  <c r="Q14946" i="2"/>
  <c r="Q14947" i="2"/>
  <c r="Q14950" i="2"/>
  <c r="Q14951" i="2"/>
  <c r="Q14954" i="2"/>
  <c r="Q14955" i="2"/>
  <c r="Q14958" i="2"/>
  <c r="Q14959" i="2"/>
  <c r="Q14962" i="2"/>
  <c r="Q14963" i="2"/>
  <c r="Q14966" i="2"/>
  <c r="Q14967" i="2"/>
  <c r="Q14970" i="2"/>
  <c r="Q14971" i="2"/>
  <c r="Q14974" i="2"/>
  <c r="Q14975" i="2"/>
  <c r="Q14978" i="2"/>
  <c r="Q14979" i="2"/>
  <c r="Q14982" i="2"/>
  <c r="Q14983" i="2"/>
  <c r="Q14986" i="2"/>
  <c r="Q14987" i="2"/>
  <c r="Q14990" i="2"/>
  <c r="Q14991" i="2"/>
  <c r="Q14994" i="2"/>
  <c r="Q14995" i="2"/>
  <c r="Q14998" i="2"/>
  <c r="Q14999" i="2"/>
  <c r="P18" i="2"/>
  <c r="V18" i="2" s="1"/>
  <c r="P15000" i="2" l="1"/>
  <c r="V15000" i="2" s="1"/>
  <c r="Q15000" i="2"/>
  <c r="P14984" i="2"/>
  <c r="V14984" i="2" s="1"/>
  <c r="Q14984" i="2"/>
  <c r="P14968" i="2"/>
  <c r="V14968" i="2" s="1"/>
  <c r="Q14968" i="2"/>
  <c r="P14956" i="2"/>
  <c r="V14956" i="2" s="1"/>
  <c r="Q14956" i="2"/>
  <c r="P14940" i="2"/>
  <c r="V14940" i="2" s="1"/>
  <c r="Q14940" i="2"/>
  <c r="P14928" i="2"/>
  <c r="V14928" i="2" s="1"/>
  <c r="Q14928" i="2"/>
  <c r="P14920" i="2"/>
  <c r="V14920" i="2" s="1"/>
  <c r="Q14920" i="2"/>
  <c r="P14912" i="2"/>
  <c r="V14912" i="2" s="1"/>
  <c r="Q14912" i="2"/>
  <c r="P14900" i="2"/>
  <c r="V14900" i="2" s="1"/>
  <c r="Q14900" i="2"/>
  <c r="P14888" i="2"/>
  <c r="V14888" i="2" s="1"/>
  <c r="Q14888" i="2"/>
  <c r="P14880" i="2"/>
  <c r="V14880" i="2" s="1"/>
  <c r="Q14880" i="2"/>
  <c r="P14872" i="2"/>
  <c r="V14872" i="2" s="1"/>
  <c r="Q14872" i="2"/>
  <c r="P14864" i="2"/>
  <c r="V14864" i="2" s="1"/>
  <c r="Q14864" i="2"/>
  <c r="P14860" i="2"/>
  <c r="V14860" i="2" s="1"/>
  <c r="Q14860" i="2"/>
  <c r="P14852" i="2"/>
  <c r="V14852" i="2" s="1"/>
  <c r="Q14852" i="2"/>
  <c r="P14844" i="2"/>
  <c r="V14844" i="2" s="1"/>
  <c r="Q14844" i="2"/>
  <c r="P14836" i="2"/>
  <c r="V14836" i="2" s="1"/>
  <c r="Q14836" i="2"/>
  <c r="P14824" i="2"/>
  <c r="V14824" i="2" s="1"/>
  <c r="Q14824" i="2"/>
  <c r="P14812" i="2"/>
  <c r="V14812" i="2" s="1"/>
  <c r="Q14812" i="2"/>
  <c r="P14804" i="2"/>
  <c r="V14804" i="2" s="1"/>
  <c r="Q14804" i="2"/>
  <c r="P14792" i="2"/>
  <c r="V14792" i="2" s="1"/>
  <c r="Q14792" i="2"/>
  <c r="P14784" i="2"/>
  <c r="V14784" i="2" s="1"/>
  <c r="Q14784" i="2"/>
  <c r="P14776" i="2"/>
  <c r="V14776" i="2" s="1"/>
  <c r="Q14776" i="2"/>
  <c r="P14768" i="2"/>
  <c r="V14768" i="2" s="1"/>
  <c r="Q14768" i="2"/>
  <c r="P14764" i="2"/>
  <c r="V14764" i="2" s="1"/>
  <c r="Q14764" i="2"/>
  <c r="P14720" i="2"/>
  <c r="V14720" i="2" s="1"/>
  <c r="Q14720" i="2"/>
  <c r="P14704" i="2"/>
  <c r="V14704" i="2" s="1"/>
  <c r="Q14704" i="2"/>
  <c r="P14688" i="2"/>
  <c r="V14688" i="2" s="1"/>
  <c r="Q14688" i="2"/>
  <c r="P14672" i="2"/>
  <c r="V14672" i="2" s="1"/>
  <c r="Q14672" i="2"/>
  <c r="P14656" i="2"/>
  <c r="V14656" i="2" s="1"/>
  <c r="Q14656" i="2"/>
  <c r="P14640" i="2"/>
  <c r="V14640" i="2" s="1"/>
  <c r="Q14640" i="2"/>
  <c r="P14624" i="2"/>
  <c r="V14624" i="2" s="1"/>
  <c r="Q14624" i="2"/>
  <c r="P14608" i="2"/>
  <c r="V14608" i="2" s="1"/>
  <c r="Q14608" i="2"/>
  <c r="P14592" i="2"/>
  <c r="V14592" i="2" s="1"/>
  <c r="Q14592" i="2"/>
  <c r="P14576" i="2"/>
  <c r="V14576" i="2" s="1"/>
  <c r="Q14576" i="2"/>
  <c r="P14564" i="2"/>
  <c r="V14564" i="2" s="1"/>
  <c r="Q14564" i="2"/>
  <c r="P14544" i="2"/>
  <c r="V14544" i="2" s="1"/>
  <c r="Q14544" i="2"/>
  <c r="P14528" i="2"/>
  <c r="V14528" i="2" s="1"/>
  <c r="Q14528" i="2"/>
  <c r="P14512" i="2"/>
  <c r="V14512" i="2" s="1"/>
  <c r="Q14512" i="2"/>
  <c r="P14496" i="2"/>
  <c r="V14496" i="2" s="1"/>
  <c r="Q14496" i="2"/>
  <c r="P14480" i="2"/>
  <c r="V14480" i="2" s="1"/>
  <c r="Q14480" i="2"/>
  <c r="P14464" i="2"/>
  <c r="V14464" i="2" s="1"/>
  <c r="Q14464" i="2"/>
  <c r="P14452" i="2"/>
  <c r="V14452" i="2" s="1"/>
  <c r="Q14452" i="2"/>
  <c r="P14432" i="2"/>
  <c r="V14432" i="2" s="1"/>
  <c r="Q14432" i="2"/>
  <c r="P14416" i="2"/>
  <c r="V14416" i="2" s="1"/>
  <c r="Q14416" i="2"/>
  <c r="P14400" i="2"/>
  <c r="V14400" i="2" s="1"/>
  <c r="Q14400" i="2"/>
  <c r="P14384" i="2"/>
  <c r="V14384" i="2" s="1"/>
  <c r="Q14384" i="2"/>
  <c r="P14368" i="2"/>
  <c r="V14368" i="2" s="1"/>
  <c r="Q14368" i="2"/>
  <c r="P14352" i="2"/>
  <c r="V14352" i="2" s="1"/>
  <c r="Q14352" i="2"/>
  <c r="P14340" i="2"/>
  <c r="V14340" i="2" s="1"/>
  <c r="Q14340" i="2"/>
  <c r="P14320" i="2"/>
  <c r="V14320" i="2" s="1"/>
  <c r="Q14320" i="2"/>
  <c r="P14304" i="2"/>
  <c r="V14304" i="2" s="1"/>
  <c r="Q14304" i="2"/>
  <c r="P14288" i="2"/>
  <c r="V14288" i="2" s="1"/>
  <c r="Q14288" i="2"/>
  <c r="P14276" i="2"/>
  <c r="V14276" i="2" s="1"/>
  <c r="Q14276" i="2"/>
  <c r="P14260" i="2"/>
  <c r="V14260" i="2" s="1"/>
  <c r="Q14260" i="2"/>
  <c r="P14244" i="2"/>
  <c r="V14244" i="2" s="1"/>
  <c r="Q14244" i="2"/>
  <c r="P14228" i="2"/>
  <c r="V14228" i="2" s="1"/>
  <c r="Q14228" i="2"/>
  <c r="P14212" i="2"/>
  <c r="V14212" i="2" s="1"/>
  <c r="Q14212" i="2"/>
  <c r="P14196" i="2"/>
  <c r="V14196" i="2" s="1"/>
  <c r="Q14196" i="2"/>
  <c r="P14180" i="2"/>
  <c r="V14180" i="2" s="1"/>
  <c r="Q14180" i="2"/>
  <c r="P14164" i="2"/>
  <c r="V14164" i="2" s="1"/>
  <c r="Q14164" i="2"/>
  <c r="P14148" i="2"/>
  <c r="V14148" i="2" s="1"/>
  <c r="Q14148" i="2"/>
  <c r="P14132" i="2"/>
  <c r="V14132" i="2" s="1"/>
  <c r="Q14132" i="2"/>
  <c r="P14116" i="2"/>
  <c r="V14116" i="2" s="1"/>
  <c r="Q14116" i="2"/>
  <c r="P14100" i="2"/>
  <c r="V14100" i="2" s="1"/>
  <c r="Q14100" i="2"/>
  <c r="P14084" i="2"/>
  <c r="V14084" i="2" s="1"/>
  <c r="Q14084" i="2"/>
  <c r="P14068" i="2"/>
  <c r="V14068" i="2" s="1"/>
  <c r="Q14068" i="2"/>
  <c r="P14052" i="2"/>
  <c r="V14052" i="2" s="1"/>
  <c r="Q14052" i="2"/>
  <c r="P14036" i="2"/>
  <c r="V14036" i="2" s="1"/>
  <c r="Q14036" i="2"/>
  <c r="P14020" i="2"/>
  <c r="V14020" i="2" s="1"/>
  <c r="Q14020" i="2"/>
  <c r="P14004" i="2"/>
  <c r="V14004" i="2" s="1"/>
  <c r="Q14004" i="2"/>
  <c r="P13988" i="2"/>
  <c r="V13988" i="2" s="1"/>
  <c r="Q13988" i="2"/>
  <c r="P13972" i="2"/>
  <c r="V13972" i="2" s="1"/>
  <c r="Q13972" i="2"/>
  <c r="P13956" i="2"/>
  <c r="V13956" i="2" s="1"/>
  <c r="Q13956" i="2"/>
  <c r="P13940" i="2"/>
  <c r="V13940" i="2" s="1"/>
  <c r="Q13940" i="2"/>
  <c r="P13924" i="2"/>
  <c r="V13924" i="2" s="1"/>
  <c r="Q13924" i="2"/>
  <c r="P13908" i="2"/>
  <c r="V13908" i="2" s="1"/>
  <c r="Q13908" i="2"/>
  <c r="P13892" i="2"/>
  <c r="V13892" i="2" s="1"/>
  <c r="Q13892" i="2"/>
  <c r="P13876" i="2"/>
  <c r="V13876" i="2" s="1"/>
  <c r="Q13876" i="2"/>
  <c r="P13860" i="2"/>
  <c r="V13860" i="2" s="1"/>
  <c r="Q13860" i="2"/>
  <c r="P13844" i="2"/>
  <c r="V13844" i="2" s="1"/>
  <c r="Q13844" i="2"/>
  <c r="P13828" i="2"/>
  <c r="V13828" i="2" s="1"/>
  <c r="Q13828" i="2"/>
  <c r="P13804" i="2"/>
  <c r="V13804" i="2" s="1"/>
  <c r="Q13804" i="2"/>
  <c r="P15001" i="2"/>
  <c r="Q15001" i="2"/>
  <c r="P14997" i="2"/>
  <c r="V14997" i="2" s="1"/>
  <c r="Q14997" i="2"/>
  <c r="P14993" i="2"/>
  <c r="V14993" i="2" s="1"/>
  <c r="Q14993" i="2"/>
  <c r="P14989" i="2"/>
  <c r="V14989" i="2" s="1"/>
  <c r="Q14989" i="2"/>
  <c r="P14985" i="2"/>
  <c r="V14985" i="2" s="1"/>
  <c r="Q14985" i="2"/>
  <c r="P14981" i="2"/>
  <c r="V14981" i="2" s="1"/>
  <c r="Q14981" i="2"/>
  <c r="P14977" i="2"/>
  <c r="V14977" i="2" s="1"/>
  <c r="Q14977" i="2"/>
  <c r="P14973" i="2"/>
  <c r="V14973" i="2" s="1"/>
  <c r="Q14973" i="2"/>
  <c r="P14969" i="2"/>
  <c r="V14969" i="2" s="1"/>
  <c r="Q14969" i="2"/>
  <c r="P14965" i="2"/>
  <c r="V14965" i="2" s="1"/>
  <c r="Q14965" i="2"/>
  <c r="P14961" i="2"/>
  <c r="V14961" i="2" s="1"/>
  <c r="Q14961" i="2"/>
  <c r="P14957" i="2"/>
  <c r="V14957" i="2" s="1"/>
  <c r="Q14957" i="2"/>
  <c r="P14953" i="2"/>
  <c r="V14953" i="2" s="1"/>
  <c r="Q14953" i="2"/>
  <c r="P14949" i="2"/>
  <c r="V14949" i="2" s="1"/>
  <c r="Q14949" i="2"/>
  <c r="P14945" i="2"/>
  <c r="V14945" i="2" s="1"/>
  <c r="Q14945" i="2"/>
  <c r="P14941" i="2"/>
  <c r="V14941" i="2" s="1"/>
  <c r="Q14941" i="2"/>
  <c r="P14937" i="2"/>
  <c r="V14937" i="2" s="1"/>
  <c r="Q14937" i="2"/>
  <c r="P14933" i="2"/>
  <c r="V14933" i="2" s="1"/>
  <c r="Q14933" i="2"/>
  <c r="P14929" i="2"/>
  <c r="V14929" i="2" s="1"/>
  <c r="Q14929" i="2"/>
  <c r="P14925" i="2"/>
  <c r="V14925" i="2" s="1"/>
  <c r="Q14925" i="2"/>
  <c r="P14921" i="2"/>
  <c r="V14921" i="2" s="1"/>
  <c r="Q14921" i="2"/>
  <c r="P14917" i="2"/>
  <c r="V14917" i="2" s="1"/>
  <c r="Q14917" i="2"/>
  <c r="P14913" i="2"/>
  <c r="V14913" i="2" s="1"/>
  <c r="Q14913" i="2"/>
  <c r="P14909" i="2"/>
  <c r="V14909" i="2" s="1"/>
  <c r="Q14909" i="2"/>
  <c r="P14905" i="2"/>
  <c r="V14905" i="2" s="1"/>
  <c r="Q14905" i="2"/>
  <c r="P14901" i="2"/>
  <c r="V14901" i="2" s="1"/>
  <c r="Q14901" i="2"/>
  <c r="P14897" i="2"/>
  <c r="V14897" i="2" s="1"/>
  <c r="Q14897" i="2"/>
  <c r="P14893" i="2"/>
  <c r="V14893" i="2" s="1"/>
  <c r="Q14893" i="2"/>
  <c r="P14889" i="2"/>
  <c r="V14889" i="2" s="1"/>
  <c r="Q14889" i="2"/>
  <c r="P14885" i="2"/>
  <c r="V14885" i="2" s="1"/>
  <c r="Q14885" i="2"/>
  <c r="P14881" i="2"/>
  <c r="V14881" i="2" s="1"/>
  <c r="Q14881" i="2"/>
  <c r="P14877" i="2"/>
  <c r="V14877" i="2" s="1"/>
  <c r="Q14877" i="2"/>
  <c r="P14873" i="2"/>
  <c r="V14873" i="2" s="1"/>
  <c r="Q14873" i="2"/>
  <c r="P14869" i="2"/>
  <c r="V14869" i="2" s="1"/>
  <c r="Q14869" i="2"/>
  <c r="P14865" i="2"/>
  <c r="V14865" i="2" s="1"/>
  <c r="Q14865" i="2"/>
  <c r="P14861" i="2"/>
  <c r="V14861" i="2" s="1"/>
  <c r="Q14861" i="2"/>
  <c r="P14857" i="2"/>
  <c r="V14857" i="2" s="1"/>
  <c r="Q14857" i="2"/>
  <c r="P14853" i="2"/>
  <c r="V14853" i="2" s="1"/>
  <c r="Q14853" i="2"/>
  <c r="P14849" i="2"/>
  <c r="V14849" i="2" s="1"/>
  <c r="Q14849" i="2"/>
  <c r="P14845" i="2"/>
  <c r="V14845" i="2" s="1"/>
  <c r="Q14845" i="2"/>
  <c r="P14841" i="2"/>
  <c r="V14841" i="2" s="1"/>
  <c r="Q14841" i="2"/>
  <c r="P14837" i="2"/>
  <c r="V14837" i="2" s="1"/>
  <c r="Q14837" i="2"/>
  <c r="P14833" i="2"/>
  <c r="V14833" i="2" s="1"/>
  <c r="Q14833" i="2"/>
  <c r="P14829" i="2"/>
  <c r="V14829" i="2" s="1"/>
  <c r="Q14829" i="2"/>
  <c r="P14825" i="2"/>
  <c r="V14825" i="2" s="1"/>
  <c r="Q14825" i="2"/>
  <c r="P14821" i="2"/>
  <c r="V14821" i="2" s="1"/>
  <c r="Q14821" i="2"/>
  <c r="P14817" i="2"/>
  <c r="V14817" i="2" s="1"/>
  <c r="Q14817" i="2"/>
  <c r="P14813" i="2"/>
  <c r="V14813" i="2" s="1"/>
  <c r="Q14813" i="2"/>
  <c r="P14809" i="2"/>
  <c r="V14809" i="2" s="1"/>
  <c r="Q14809" i="2"/>
  <c r="P14805" i="2"/>
  <c r="V14805" i="2" s="1"/>
  <c r="Q14805" i="2"/>
  <c r="P14801" i="2"/>
  <c r="V14801" i="2" s="1"/>
  <c r="Q14801" i="2"/>
  <c r="P14797" i="2"/>
  <c r="V14797" i="2" s="1"/>
  <c r="Q14797" i="2"/>
  <c r="P14793" i="2"/>
  <c r="V14793" i="2" s="1"/>
  <c r="Q14793" i="2"/>
  <c r="P14789" i="2"/>
  <c r="V14789" i="2" s="1"/>
  <c r="Q14789" i="2"/>
  <c r="P14785" i="2"/>
  <c r="V14785" i="2" s="1"/>
  <c r="Q14785" i="2"/>
  <c r="P14781" i="2"/>
  <c r="V14781" i="2" s="1"/>
  <c r="Q14781" i="2"/>
  <c r="P14777" i="2"/>
  <c r="V14777" i="2" s="1"/>
  <c r="Q14777" i="2"/>
  <c r="P14773" i="2"/>
  <c r="V14773" i="2" s="1"/>
  <c r="Q14773" i="2"/>
  <c r="P14769" i="2"/>
  <c r="V14769" i="2" s="1"/>
  <c r="Q14769" i="2"/>
  <c r="P14765" i="2"/>
  <c r="V14765" i="2" s="1"/>
  <c r="Q14765" i="2"/>
  <c r="P14761" i="2"/>
  <c r="V14761" i="2" s="1"/>
  <c r="Q14761" i="2"/>
  <c r="P14757" i="2"/>
  <c r="V14757" i="2" s="1"/>
  <c r="Q14757" i="2"/>
  <c r="P14753" i="2"/>
  <c r="V14753" i="2" s="1"/>
  <c r="Q14753" i="2"/>
  <c r="P14749" i="2"/>
  <c r="V14749" i="2" s="1"/>
  <c r="Q14749" i="2"/>
  <c r="P14745" i="2"/>
  <c r="V14745" i="2" s="1"/>
  <c r="Q14745" i="2"/>
  <c r="P14741" i="2"/>
  <c r="V14741" i="2" s="1"/>
  <c r="Q14741" i="2"/>
  <c r="P14737" i="2"/>
  <c r="V14737" i="2" s="1"/>
  <c r="Q14737" i="2"/>
  <c r="P14733" i="2"/>
  <c r="V14733" i="2" s="1"/>
  <c r="Q14733" i="2"/>
  <c r="P14729" i="2"/>
  <c r="V14729" i="2" s="1"/>
  <c r="Q14729" i="2"/>
  <c r="P14725" i="2"/>
  <c r="V14725" i="2" s="1"/>
  <c r="Q14725" i="2"/>
  <c r="P14721" i="2"/>
  <c r="V14721" i="2" s="1"/>
  <c r="Q14721" i="2"/>
  <c r="P14717" i="2"/>
  <c r="V14717" i="2" s="1"/>
  <c r="Q14717" i="2"/>
  <c r="P14713" i="2"/>
  <c r="V14713" i="2" s="1"/>
  <c r="Q14713" i="2"/>
  <c r="P14709" i="2"/>
  <c r="V14709" i="2" s="1"/>
  <c r="Q14709" i="2"/>
  <c r="P14705" i="2"/>
  <c r="V14705" i="2" s="1"/>
  <c r="Q14705" i="2"/>
  <c r="P14701" i="2"/>
  <c r="V14701" i="2" s="1"/>
  <c r="Q14701" i="2"/>
  <c r="P14697" i="2"/>
  <c r="V14697" i="2" s="1"/>
  <c r="Q14697" i="2"/>
  <c r="P14693" i="2"/>
  <c r="V14693" i="2" s="1"/>
  <c r="Q14693" i="2"/>
  <c r="P14689" i="2"/>
  <c r="V14689" i="2" s="1"/>
  <c r="Q14689" i="2"/>
  <c r="P14685" i="2"/>
  <c r="V14685" i="2" s="1"/>
  <c r="Q14685" i="2"/>
  <c r="P14681" i="2"/>
  <c r="V14681" i="2" s="1"/>
  <c r="Q14681" i="2"/>
  <c r="P14677" i="2"/>
  <c r="V14677" i="2" s="1"/>
  <c r="Q14677" i="2"/>
  <c r="P14673" i="2"/>
  <c r="V14673" i="2" s="1"/>
  <c r="Q14673" i="2"/>
  <c r="P14669" i="2"/>
  <c r="V14669" i="2" s="1"/>
  <c r="Q14669" i="2"/>
  <c r="P14665" i="2"/>
  <c r="V14665" i="2" s="1"/>
  <c r="Q14665" i="2"/>
  <c r="P14661" i="2"/>
  <c r="V14661" i="2" s="1"/>
  <c r="Q14661" i="2"/>
  <c r="P14657" i="2"/>
  <c r="V14657" i="2" s="1"/>
  <c r="Q14657" i="2"/>
  <c r="P14653" i="2"/>
  <c r="V14653" i="2" s="1"/>
  <c r="Q14653" i="2"/>
  <c r="P14649" i="2"/>
  <c r="V14649" i="2" s="1"/>
  <c r="Q14649" i="2"/>
  <c r="P14645" i="2"/>
  <c r="V14645" i="2" s="1"/>
  <c r="Q14645" i="2"/>
  <c r="P14641" i="2"/>
  <c r="V14641" i="2" s="1"/>
  <c r="Q14641" i="2"/>
  <c r="P14637" i="2"/>
  <c r="V14637" i="2" s="1"/>
  <c r="Q14637" i="2"/>
  <c r="P14633" i="2"/>
  <c r="V14633" i="2" s="1"/>
  <c r="Q14633" i="2"/>
  <c r="P14629" i="2"/>
  <c r="V14629" i="2" s="1"/>
  <c r="Q14629" i="2"/>
  <c r="P14625" i="2"/>
  <c r="V14625" i="2" s="1"/>
  <c r="Q14625" i="2"/>
  <c r="P14621" i="2"/>
  <c r="V14621" i="2" s="1"/>
  <c r="Q14621" i="2"/>
  <c r="P14617" i="2"/>
  <c r="V14617" i="2" s="1"/>
  <c r="Q14617" i="2"/>
  <c r="P14613" i="2"/>
  <c r="V14613" i="2" s="1"/>
  <c r="Q14613" i="2"/>
  <c r="P14609" i="2"/>
  <c r="V14609" i="2" s="1"/>
  <c r="Q14609" i="2"/>
  <c r="P14605" i="2"/>
  <c r="V14605" i="2" s="1"/>
  <c r="Q14605" i="2"/>
  <c r="P14601" i="2"/>
  <c r="V14601" i="2" s="1"/>
  <c r="Q14601" i="2"/>
  <c r="P14597" i="2"/>
  <c r="V14597" i="2" s="1"/>
  <c r="Q14597" i="2"/>
  <c r="P14593" i="2"/>
  <c r="V14593" i="2" s="1"/>
  <c r="Q14593" i="2"/>
  <c r="P14589" i="2"/>
  <c r="V14589" i="2" s="1"/>
  <c r="Q14589" i="2"/>
  <c r="P14585" i="2"/>
  <c r="V14585" i="2" s="1"/>
  <c r="Q14585" i="2"/>
  <c r="P14581" i="2"/>
  <c r="V14581" i="2" s="1"/>
  <c r="Q14581" i="2"/>
  <c r="P14577" i="2"/>
  <c r="V14577" i="2" s="1"/>
  <c r="Q14577" i="2"/>
  <c r="P14573" i="2"/>
  <c r="V14573" i="2" s="1"/>
  <c r="Q14573" i="2"/>
  <c r="P14569" i="2"/>
  <c r="V14569" i="2" s="1"/>
  <c r="Q14569" i="2"/>
  <c r="P14565" i="2"/>
  <c r="V14565" i="2" s="1"/>
  <c r="Q14565" i="2"/>
  <c r="P14561" i="2"/>
  <c r="V14561" i="2" s="1"/>
  <c r="Q14561" i="2"/>
  <c r="P14557" i="2"/>
  <c r="V14557" i="2" s="1"/>
  <c r="Q14557" i="2"/>
  <c r="P14553" i="2"/>
  <c r="V14553" i="2" s="1"/>
  <c r="Q14553" i="2"/>
  <c r="P14549" i="2"/>
  <c r="V14549" i="2" s="1"/>
  <c r="Q14549" i="2"/>
  <c r="P14545" i="2"/>
  <c r="V14545" i="2" s="1"/>
  <c r="Q14545" i="2"/>
  <c r="P14541" i="2"/>
  <c r="V14541" i="2" s="1"/>
  <c r="Q14541" i="2"/>
  <c r="P14537" i="2"/>
  <c r="V14537" i="2" s="1"/>
  <c r="Q14537" i="2"/>
  <c r="P14533" i="2"/>
  <c r="V14533" i="2" s="1"/>
  <c r="Q14533" i="2"/>
  <c r="P14529" i="2"/>
  <c r="V14529" i="2" s="1"/>
  <c r="Q14529" i="2"/>
  <c r="P14525" i="2"/>
  <c r="V14525" i="2" s="1"/>
  <c r="Q14525" i="2"/>
  <c r="P14521" i="2"/>
  <c r="V14521" i="2" s="1"/>
  <c r="Q14521" i="2"/>
  <c r="P14517" i="2"/>
  <c r="V14517" i="2" s="1"/>
  <c r="Q14517" i="2"/>
  <c r="P14513" i="2"/>
  <c r="V14513" i="2" s="1"/>
  <c r="Q14513" i="2"/>
  <c r="P14509" i="2"/>
  <c r="V14509" i="2" s="1"/>
  <c r="Q14509" i="2"/>
  <c r="P14505" i="2"/>
  <c r="V14505" i="2" s="1"/>
  <c r="Q14505" i="2"/>
  <c r="P14501" i="2"/>
  <c r="V14501" i="2" s="1"/>
  <c r="Q14501" i="2"/>
  <c r="P14497" i="2"/>
  <c r="V14497" i="2" s="1"/>
  <c r="Q14497" i="2"/>
  <c r="P14493" i="2"/>
  <c r="V14493" i="2" s="1"/>
  <c r="Q14493" i="2"/>
  <c r="P14489" i="2"/>
  <c r="V14489" i="2" s="1"/>
  <c r="Q14489" i="2"/>
  <c r="P14485" i="2"/>
  <c r="V14485" i="2" s="1"/>
  <c r="Q14485" i="2"/>
  <c r="P14481" i="2"/>
  <c r="V14481" i="2" s="1"/>
  <c r="Q14481" i="2"/>
  <c r="P14477" i="2"/>
  <c r="V14477" i="2" s="1"/>
  <c r="Q14477" i="2"/>
  <c r="P14473" i="2"/>
  <c r="V14473" i="2" s="1"/>
  <c r="Q14473" i="2"/>
  <c r="P14469" i="2"/>
  <c r="V14469" i="2" s="1"/>
  <c r="Q14469" i="2"/>
  <c r="P14465" i="2"/>
  <c r="V14465" i="2" s="1"/>
  <c r="Q14465" i="2"/>
  <c r="P14461" i="2"/>
  <c r="V14461" i="2" s="1"/>
  <c r="Q14461" i="2"/>
  <c r="P14457" i="2"/>
  <c r="V14457" i="2" s="1"/>
  <c r="Q14457" i="2"/>
  <c r="P14453" i="2"/>
  <c r="V14453" i="2" s="1"/>
  <c r="Q14453" i="2"/>
  <c r="P14449" i="2"/>
  <c r="V14449" i="2" s="1"/>
  <c r="Q14449" i="2"/>
  <c r="P14445" i="2"/>
  <c r="V14445" i="2" s="1"/>
  <c r="Q14445" i="2"/>
  <c r="P14441" i="2"/>
  <c r="V14441" i="2" s="1"/>
  <c r="Q14441" i="2"/>
  <c r="P14437" i="2"/>
  <c r="V14437" i="2" s="1"/>
  <c r="Q14437" i="2"/>
  <c r="P14433" i="2"/>
  <c r="V14433" i="2" s="1"/>
  <c r="Q14433" i="2"/>
  <c r="P14429" i="2"/>
  <c r="V14429" i="2" s="1"/>
  <c r="Q14429" i="2"/>
  <c r="P14425" i="2"/>
  <c r="V14425" i="2" s="1"/>
  <c r="Q14425" i="2"/>
  <c r="P14421" i="2"/>
  <c r="V14421" i="2" s="1"/>
  <c r="Q14421" i="2"/>
  <c r="P14417" i="2"/>
  <c r="V14417" i="2" s="1"/>
  <c r="Q14417" i="2"/>
  <c r="P14413" i="2"/>
  <c r="V14413" i="2" s="1"/>
  <c r="Q14413" i="2"/>
  <c r="P14409" i="2"/>
  <c r="V14409" i="2" s="1"/>
  <c r="Q14409" i="2"/>
  <c r="P14405" i="2"/>
  <c r="V14405" i="2" s="1"/>
  <c r="Q14405" i="2"/>
  <c r="P14401" i="2"/>
  <c r="V14401" i="2" s="1"/>
  <c r="Q14401" i="2"/>
  <c r="P14397" i="2"/>
  <c r="V14397" i="2" s="1"/>
  <c r="Q14397" i="2"/>
  <c r="P14393" i="2"/>
  <c r="V14393" i="2" s="1"/>
  <c r="Q14393" i="2"/>
  <c r="P14389" i="2"/>
  <c r="V14389" i="2" s="1"/>
  <c r="Q14389" i="2"/>
  <c r="P14385" i="2"/>
  <c r="V14385" i="2" s="1"/>
  <c r="Q14385" i="2"/>
  <c r="P14381" i="2"/>
  <c r="V14381" i="2" s="1"/>
  <c r="Q14381" i="2"/>
  <c r="P14377" i="2"/>
  <c r="V14377" i="2" s="1"/>
  <c r="Q14377" i="2"/>
  <c r="P14373" i="2"/>
  <c r="V14373" i="2" s="1"/>
  <c r="Q14373" i="2"/>
  <c r="P14369" i="2"/>
  <c r="V14369" i="2" s="1"/>
  <c r="Q14369" i="2"/>
  <c r="P14365" i="2"/>
  <c r="V14365" i="2" s="1"/>
  <c r="Q14365" i="2"/>
  <c r="P14361" i="2"/>
  <c r="V14361" i="2" s="1"/>
  <c r="Q14361" i="2"/>
  <c r="P14357" i="2"/>
  <c r="V14357" i="2" s="1"/>
  <c r="Q14357" i="2"/>
  <c r="P14353" i="2"/>
  <c r="V14353" i="2" s="1"/>
  <c r="Q14353" i="2"/>
  <c r="P14349" i="2"/>
  <c r="V14349" i="2" s="1"/>
  <c r="Q14349" i="2"/>
  <c r="P14345" i="2"/>
  <c r="V14345" i="2" s="1"/>
  <c r="Q14345" i="2"/>
  <c r="P14341" i="2"/>
  <c r="V14341" i="2" s="1"/>
  <c r="Q14341" i="2"/>
  <c r="P14337" i="2"/>
  <c r="V14337" i="2" s="1"/>
  <c r="Q14337" i="2"/>
  <c r="P14333" i="2"/>
  <c r="V14333" i="2" s="1"/>
  <c r="Q14333" i="2"/>
  <c r="P14329" i="2"/>
  <c r="V14329" i="2" s="1"/>
  <c r="Q14329" i="2"/>
  <c r="P14325" i="2"/>
  <c r="V14325" i="2" s="1"/>
  <c r="Q14325" i="2"/>
  <c r="P14321" i="2"/>
  <c r="V14321" i="2" s="1"/>
  <c r="Q14321" i="2"/>
  <c r="P14317" i="2"/>
  <c r="V14317" i="2" s="1"/>
  <c r="Q14317" i="2"/>
  <c r="P14313" i="2"/>
  <c r="V14313" i="2" s="1"/>
  <c r="Q14313" i="2"/>
  <c r="P14309" i="2"/>
  <c r="V14309" i="2" s="1"/>
  <c r="Q14309" i="2"/>
  <c r="P14305" i="2"/>
  <c r="V14305" i="2" s="1"/>
  <c r="Q14305" i="2"/>
  <c r="P14301" i="2"/>
  <c r="V14301" i="2" s="1"/>
  <c r="Q14301" i="2"/>
  <c r="P14297" i="2"/>
  <c r="V14297" i="2" s="1"/>
  <c r="Q14297" i="2"/>
  <c r="P14293" i="2"/>
  <c r="V14293" i="2" s="1"/>
  <c r="Q14293" i="2"/>
  <c r="P14289" i="2"/>
  <c r="V14289" i="2" s="1"/>
  <c r="Q14289" i="2"/>
  <c r="P14285" i="2"/>
  <c r="V14285" i="2" s="1"/>
  <c r="Q14285" i="2"/>
  <c r="P14281" i="2"/>
  <c r="V14281" i="2" s="1"/>
  <c r="Q14281" i="2"/>
  <c r="P14277" i="2"/>
  <c r="V14277" i="2" s="1"/>
  <c r="Q14277" i="2"/>
  <c r="P14273" i="2"/>
  <c r="V14273" i="2" s="1"/>
  <c r="Q14273" i="2"/>
  <c r="P14269" i="2"/>
  <c r="V14269" i="2" s="1"/>
  <c r="Q14269" i="2"/>
  <c r="P14265" i="2"/>
  <c r="V14265" i="2" s="1"/>
  <c r="Q14265" i="2"/>
  <c r="P14261" i="2"/>
  <c r="V14261" i="2" s="1"/>
  <c r="Q14261" i="2"/>
  <c r="P14257" i="2"/>
  <c r="V14257" i="2" s="1"/>
  <c r="Q14257" i="2"/>
  <c r="P14253" i="2"/>
  <c r="V14253" i="2" s="1"/>
  <c r="Q14253" i="2"/>
  <c r="P14249" i="2"/>
  <c r="V14249" i="2" s="1"/>
  <c r="Q14249" i="2"/>
  <c r="P14245" i="2"/>
  <c r="V14245" i="2" s="1"/>
  <c r="Q14245" i="2"/>
  <c r="P14241" i="2"/>
  <c r="V14241" i="2" s="1"/>
  <c r="Q14241" i="2"/>
  <c r="P14237" i="2"/>
  <c r="V14237" i="2" s="1"/>
  <c r="Q14237" i="2"/>
  <c r="P14233" i="2"/>
  <c r="V14233" i="2" s="1"/>
  <c r="Q14233" i="2"/>
  <c r="P14229" i="2"/>
  <c r="V14229" i="2" s="1"/>
  <c r="Q14229" i="2"/>
  <c r="P14225" i="2"/>
  <c r="V14225" i="2" s="1"/>
  <c r="Q14225" i="2"/>
  <c r="P14221" i="2"/>
  <c r="V14221" i="2" s="1"/>
  <c r="Q14221" i="2"/>
  <c r="P14217" i="2"/>
  <c r="V14217" i="2" s="1"/>
  <c r="Q14217" i="2"/>
  <c r="P14213" i="2"/>
  <c r="V14213" i="2" s="1"/>
  <c r="Q14213" i="2"/>
  <c r="P14209" i="2"/>
  <c r="V14209" i="2" s="1"/>
  <c r="Q14209" i="2"/>
  <c r="P14205" i="2"/>
  <c r="V14205" i="2" s="1"/>
  <c r="Q14205" i="2"/>
  <c r="P14201" i="2"/>
  <c r="V14201" i="2" s="1"/>
  <c r="Q14201" i="2"/>
  <c r="P14197" i="2"/>
  <c r="V14197" i="2" s="1"/>
  <c r="Q14197" i="2"/>
  <c r="P14193" i="2"/>
  <c r="V14193" i="2" s="1"/>
  <c r="Q14193" i="2"/>
  <c r="P14189" i="2"/>
  <c r="V14189" i="2" s="1"/>
  <c r="Q14189" i="2"/>
  <c r="P14185" i="2"/>
  <c r="V14185" i="2" s="1"/>
  <c r="Q14185" i="2"/>
  <c r="P14181" i="2"/>
  <c r="V14181" i="2" s="1"/>
  <c r="Q14181" i="2"/>
  <c r="P14177" i="2"/>
  <c r="V14177" i="2" s="1"/>
  <c r="Q14177" i="2"/>
  <c r="P14173" i="2"/>
  <c r="V14173" i="2" s="1"/>
  <c r="Q14173" i="2"/>
  <c r="P14169" i="2"/>
  <c r="V14169" i="2" s="1"/>
  <c r="Q14169" i="2"/>
  <c r="P14165" i="2"/>
  <c r="V14165" i="2" s="1"/>
  <c r="Q14165" i="2"/>
  <c r="P14161" i="2"/>
  <c r="V14161" i="2" s="1"/>
  <c r="Q14161" i="2"/>
  <c r="P14157" i="2"/>
  <c r="V14157" i="2" s="1"/>
  <c r="Q14157" i="2"/>
  <c r="P14153" i="2"/>
  <c r="V14153" i="2" s="1"/>
  <c r="Q14153" i="2"/>
  <c r="P14149" i="2"/>
  <c r="V14149" i="2" s="1"/>
  <c r="Q14149" i="2"/>
  <c r="P14145" i="2"/>
  <c r="V14145" i="2" s="1"/>
  <c r="Q14145" i="2"/>
  <c r="P14141" i="2"/>
  <c r="V14141" i="2" s="1"/>
  <c r="Q14141" i="2"/>
  <c r="P14137" i="2"/>
  <c r="V14137" i="2" s="1"/>
  <c r="Q14137" i="2"/>
  <c r="P14133" i="2"/>
  <c r="V14133" i="2" s="1"/>
  <c r="Q14133" i="2"/>
  <c r="P14129" i="2"/>
  <c r="V14129" i="2" s="1"/>
  <c r="Q14129" i="2"/>
  <c r="P14125" i="2"/>
  <c r="V14125" i="2" s="1"/>
  <c r="Q14125" i="2"/>
  <c r="P14121" i="2"/>
  <c r="V14121" i="2" s="1"/>
  <c r="Q14121" i="2"/>
  <c r="P14117" i="2"/>
  <c r="V14117" i="2" s="1"/>
  <c r="Q14117" i="2"/>
  <c r="P14113" i="2"/>
  <c r="V14113" i="2" s="1"/>
  <c r="Q14113" i="2"/>
  <c r="P14109" i="2"/>
  <c r="V14109" i="2" s="1"/>
  <c r="Q14109" i="2"/>
  <c r="P14105" i="2"/>
  <c r="V14105" i="2" s="1"/>
  <c r="Q14105" i="2"/>
  <c r="P14101" i="2"/>
  <c r="V14101" i="2" s="1"/>
  <c r="Q14101" i="2"/>
  <c r="P14097" i="2"/>
  <c r="V14097" i="2" s="1"/>
  <c r="Q14097" i="2"/>
  <c r="P14093" i="2"/>
  <c r="V14093" i="2" s="1"/>
  <c r="Q14093" i="2"/>
  <c r="P14089" i="2"/>
  <c r="V14089" i="2" s="1"/>
  <c r="Q14089" i="2"/>
  <c r="P14085" i="2"/>
  <c r="V14085" i="2" s="1"/>
  <c r="Q14085" i="2"/>
  <c r="P14081" i="2"/>
  <c r="V14081" i="2" s="1"/>
  <c r="Q14081" i="2"/>
  <c r="P14077" i="2"/>
  <c r="V14077" i="2" s="1"/>
  <c r="Q14077" i="2"/>
  <c r="P14073" i="2"/>
  <c r="V14073" i="2" s="1"/>
  <c r="Q14073" i="2"/>
  <c r="P14069" i="2"/>
  <c r="V14069" i="2" s="1"/>
  <c r="Q14069" i="2"/>
  <c r="P14065" i="2"/>
  <c r="V14065" i="2" s="1"/>
  <c r="Q14065" i="2"/>
  <c r="P14061" i="2"/>
  <c r="V14061" i="2" s="1"/>
  <c r="Q14061" i="2"/>
  <c r="P14057" i="2"/>
  <c r="V14057" i="2" s="1"/>
  <c r="Q14057" i="2"/>
  <c r="P14053" i="2"/>
  <c r="V14053" i="2" s="1"/>
  <c r="Q14053" i="2"/>
  <c r="P14049" i="2"/>
  <c r="V14049" i="2" s="1"/>
  <c r="Q14049" i="2"/>
  <c r="P14045" i="2"/>
  <c r="V14045" i="2" s="1"/>
  <c r="Q14045" i="2"/>
  <c r="P14041" i="2"/>
  <c r="V14041" i="2" s="1"/>
  <c r="Q14041" i="2"/>
  <c r="P14037" i="2"/>
  <c r="V14037" i="2" s="1"/>
  <c r="Q14037" i="2"/>
  <c r="P14033" i="2"/>
  <c r="V14033" i="2" s="1"/>
  <c r="Q14033" i="2"/>
  <c r="P14029" i="2"/>
  <c r="V14029" i="2" s="1"/>
  <c r="Q14029" i="2"/>
  <c r="P14025" i="2"/>
  <c r="V14025" i="2" s="1"/>
  <c r="Q14025" i="2"/>
  <c r="P14021" i="2"/>
  <c r="V14021" i="2" s="1"/>
  <c r="Q14021" i="2"/>
  <c r="P14017" i="2"/>
  <c r="V14017" i="2" s="1"/>
  <c r="Q14017" i="2"/>
  <c r="P14013" i="2"/>
  <c r="V14013" i="2" s="1"/>
  <c r="Q14013" i="2"/>
  <c r="P14009" i="2"/>
  <c r="V14009" i="2" s="1"/>
  <c r="Q14009" i="2"/>
  <c r="P14005" i="2"/>
  <c r="V14005" i="2" s="1"/>
  <c r="Q14005" i="2"/>
  <c r="P14001" i="2"/>
  <c r="V14001" i="2" s="1"/>
  <c r="Q14001" i="2"/>
  <c r="P13997" i="2"/>
  <c r="V13997" i="2" s="1"/>
  <c r="Q13997" i="2"/>
  <c r="P13993" i="2"/>
  <c r="V13993" i="2" s="1"/>
  <c r="Q13993" i="2"/>
  <c r="P13989" i="2"/>
  <c r="V13989" i="2" s="1"/>
  <c r="Q13989" i="2"/>
  <c r="P13985" i="2"/>
  <c r="V13985" i="2" s="1"/>
  <c r="Q13985" i="2"/>
  <c r="P13981" i="2"/>
  <c r="V13981" i="2" s="1"/>
  <c r="Q13981" i="2"/>
  <c r="P13977" i="2"/>
  <c r="V13977" i="2" s="1"/>
  <c r="Q13977" i="2"/>
  <c r="P13973" i="2"/>
  <c r="V13973" i="2" s="1"/>
  <c r="Q13973" i="2"/>
  <c r="P13969" i="2"/>
  <c r="V13969" i="2" s="1"/>
  <c r="Q13969" i="2"/>
  <c r="P13965" i="2"/>
  <c r="V13965" i="2" s="1"/>
  <c r="Q13965" i="2"/>
  <c r="P13961" i="2"/>
  <c r="V13961" i="2" s="1"/>
  <c r="Q13961" i="2"/>
  <c r="P13957" i="2"/>
  <c r="V13957" i="2" s="1"/>
  <c r="Q13957" i="2"/>
  <c r="P13953" i="2"/>
  <c r="V13953" i="2" s="1"/>
  <c r="Q13953" i="2"/>
  <c r="P13949" i="2"/>
  <c r="V13949" i="2" s="1"/>
  <c r="Q13949" i="2"/>
  <c r="P13945" i="2"/>
  <c r="V13945" i="2" s="1"/>
  <c r="Q13945" i="2"/>
  <c r="P13941" i="2"/>
  <c r="V13941" i="2" s="1"/>
  <c r="Q13941" i="2"/>
  <c r="P13937" i="2"/>
  <c r="V13937" i="2" s="1"/>
  <c r="Q13937" i="2"/>
  <c r="P13933" i="2"/>
  <c r="V13933" i="2" s="1"/>
  <c r="Q13933" i="2"/>
  <c r="P13929" i="2"/>
  <c r="V13929" i="2" s="1"/>
  <c r="Q13929" i="2"/>
  <c r="P13925" i="2"/>
  <c r="V13925" i="2" s="1"/>
  <c r="Q13925" i="2"/>
  <c r="P13921" i="2"/>
  <c r="V13921" i="2" s="1"/>
  <c r="Q13921" i="2"/>
  <c r="P13917" i="2"/>
  <c r="V13917" i="2" s="1"/>
  <c r="Q13917" i="2"/>
  <c r="P13913" i="2"/>
  <c r="V13913" i="2" s="1"/>
  <c r="Q13913" i="2"/>
  <c r="P13909" i="2"/>
  <c r="V13909" i="2" s="1"/>
  <c r="Q13909" i="2"/>
  <c r="P13905" i="2"/>
  <c r="V13905" i="2" s="1"/>
  <c r="Q13905" i="2"/>
  <c r="P13901" i="2"/>
  <c r="V13901" i="2" s="1"/>
  <c r="Q13901" i="2"/>
  <c r="P13897" i="2"/>
  <c r="V13897" i="2" s="1"/>
  <c r="Q13897" i="2"/>
  <c r="P13893" i="2"/>
  <c r="V13893" i="2" s="1"/>
  <c r="Q13893" i="2"/>
  <c r="P13889" i="2"/>
  <c r="V13889" i="2" s="1"/>
  <c r="Q13889" i="2"/>
  <c r="P13885" i="2"/>
  <c r="V13885" i="2" s="1"/>
  <c r="Q13885" i="2"/>
  <c r="P13881" i="2"/>
  <c r="V13881" i="2" s="1"/>
  <c r="Q13881" i="2"/>
  <c r="P13877" i="2"/>
  <c r="V13877" i="2" s="1"/>
  <c r="Q13877" i="2"/>
  <c r="P13873" i="2"/>
  <c r="V13873" i="2" s="1"/>
  <c r="Q13873" i="2"/>
  <c r="P13869" i="2"/>
  <c r="V13869" i="2" s="1"/>
  <c r="Q13869" i="2"/>
  <c r="P13865" i="2"/>
  <c r="V13865" i="2" s="1"/>
  <c r="Q13865" i="2"/>
  <c r="P13861" i="2"/>
  <c r="V13861" i="2" s="1"/>
  <c r="Q13861" i="2"/>
  <c r="P13857" i="2"/>
  <c r="V13857" i="2" s="1"/>
  <c r="Q13857" i="2"/>
  <c r="P13853" i="2"/>
  <c r="V13853" i="2" s="1"/>
  <c r="Q13853" i="2"/>
  <c r="P13849" i="2"/>
  <c r="V13849" i="2" s="1"/>
  <c r="Q13849" i="2"/>
  <c r="P13845" i="2"/>
  <c r="V13845" i="2" s="1"/>
  <c r="Q13845" i="2"/>
  <c r="P13841" i="2"/>
  <c r="V13841" i="2" s="1"/>
  <c r="Q13841" i="2"/>
  <c r="P13837" i="2"/>
  <c r="V13837" i="2" s="1"/>
  <c r="Q13837" i="2"/>
  <c r="P13833" i="2"/>
  <c r="V13833" i="2" s="1"/>
  <c r="Q13833" i="2"/>
  <c r="P13829" i="2"/>
  <c r="V13829" i="2" s="1"/>
  <c r="Q13829" i="2"/>
  <c r="P13825" i="2"/>
  <c r="V13825" i="2" s="1"/>
  <c r="Q13825" i="2"/>
  <c r="P13821" i="2"/>
  <c r="V13821" i="2" s="1"/>
  <c r="Q13821" i="2"/>
  <c r="P13817" i="2"/>
  <c r="V13817" i="2" s="1"/>
  <c r="Q13817" i="2"/>
  <c r="P13813" i="2"/>
  <c r="V13813" i="2" s="1"/>
  <c r="Q13813" i="2"/>
  <c r="P13809" i="2"/>
  <c r="V13809" i="2" s="1"/>
  <c r="Q13809" i="2"/>
  <c r="P13805" i="2"/>
  <c r="V13805" i="2" s="1"/>
  <c r="Q13805" i="2"/>
  <c r="P13801" i="2"/>
  <c r="V13801" i="2" s="1"/>
  <c r="Q13801" i="2"/>
  <c r="P13797" i="2"/>
  <c r="V13797" i="2" s="1"/>
  <c r="Q13797" i="2"/>
  <c r="P13793" i="2"/>
  <c r="V13793" i="2" s="1"/>
  <c r="Q13793" i="2"/>
  <c r="P13789" i="2"/>
  <c r="V13789" i="2" s="1"/>
  <c r="Q13789" i="2"/>
  <c r="P13785" i="2"/>
  <c r="V13785" i="2" s="1"/>
  <c r="Q13785" i="2"/>
  <c r="P13781" i="2"/>
  <c r="V13781" i="2" s="1"/>
  <c r="Q13781" i="2"/>
  <c r="P13777" i="2"/>
  <c r="V13777" i="2" s="1"/>
  <c r="Q13777" i="2"/>
  <c r="P13773" i="2"/>
  <c r="V13773" i="2" s="1"/>
  <c r="Q13773" i="2"/>
  <c r="P13769" i="2"/>
  <c r="V13769" i="2" s="1"/>
  <c r="Q13769" i="2"/>
  <c r="P13765" i="2"/>
  <c r="V13765" i="2" s="1"/>
  <c r="Q13765" i="2"/>
  <c r="P13761" i="2"/>
  <c r="V13761" i="2" s="1"/>
  <c r="Q13761" i="2"/>
  <c r="P13757" i="2"/>
  <c r="V13757" i="2" s="1"/>
  <c r="Q13757" i="2"/>
  <c r="P13753" i="2"/>
  <c r="V13753" i="2" s="1"/>
  <c r="Q13753" i="2"/>
  <c r="P13749" i="2"/>
  <c r="V13749" i="2" s="1"/>
  <c r="Q13749" i="2"/>
  <c r="P13745" i="2"/>
  <c r="V13745" i="2" s="1"/>
  <c r="Q13745" i="2"/>
  <c r="P13741" i="2"/>
  <c r="V13741" i="2" s="1"/>
  <c r="Q13741" i="2"/>
  <c r="P13737" i="2"/>
  <c r="V13737" i="2" s="1"/>
  <c r="Q13737" i="2"/>
  <c r="P13733" i="2"/>
  <c r="V13733" i="2" s="1"/>
  <c r="Q13733" i="2"/>
  <c r="P13729" i="2"/>
  <c r="V13729" i="2" s="1"/>
  <c r="Q13729" i="2"/>
  <c r="P13725" i="2"/>
  <c r="V13725" i="2" s="1"/>
  <c r="Q13725" i="2"/>
  <c r="P13721" i="2"/>
  <c r="V13721" i="2" s="1"/>
  <c r="Q13721" i="2"/>
  <c r="P13717" i="2"/>
  <c r="V13717" i="2" s="1"/>
  <c r="Q13717" i="2"/>
  <c r="P13713" i="2"/>
  <c r="V13713" i="2" s="1"/>
  <c r="Q13713" i="2"/>
  <c r="P13709" i="2"/>
  <c r="V13709" i="2" s="1"/>
  <c r="Q13709" i="2"/>
  <c r="P13705" i="2"/>
  <c r="V13705" i="2" s="1"/>
  <c r="Q13705" i="2"/>
  <c r="P13701" i="2"/>
  <c r="V13701" i="2" s="1"/>
  <c r="Q13701" i="2"/>
  <c r="P13697" i="2"/>
  <c r="V13697" i="2" s="1"/>
  <c r="Q13697" i="2"/>
  <c r="P13693" i="2"/>
  <c r="V13693" i="2" s="1"/>
  <c r="Q13693" i="2"/>
  <c r="P13689" i="2"/>
  <c r="V13689" i="2" s="1"/>
  <c r="Q13689" i="2"/>
  <c r="P13685" i="2"/>
  <c r="V13685" i="2" s="1"/>
  <c r="Q13685" i="2"/>
  <c r="P13681" i="2"/>
  <c r="V13681" i="2" s="1"/>
  <c r="Q13681" i="2"/>
  <c r="P13677" i="2"/>
  <c r="V13677" i="2" s="1"/>
  <c r="Q13677" i="2"/>
  <c r="P13673" i="2"/>
  <c r="V13673" i="2" s="1"/>
  <c r="Q13673" i="2"/>
  <c r="P13669" i="2"/>
  <c r="V13669" i="2" s="1"/>
  <c r="Q13669" i="2"/>
  <c r="P13665" i="2"/>
  <c r="V13665" i="2" s="1"/>
  <c r="Q13665" i="2"/>
  <c r="P13661" i="2"/>
  <c r="V13661" i="2" s="1"/>
  <c r="Q13661" i="2"/>
  <c r="P13657" i="2"/>
  <c r="V13657" i="2" s="1"/>
  <c r="Q13657" i="2"/>
  <c r="P13653" i="2"/>
  <c r="V13653" i="2" s="1"/>
  <c r="Q13653" i="2"/>
  <c r="P13649" i="2"/>
  <c r="V13649" i="2" s="1"/>
  <c r="Q13649" i="2"/>
  <c r="P13645" i="2"/>
  <c r="V13645" i="2" s="1"/>
  <c r="Q13645" i="2"/>
  <c r="P13641" i="2"/>
  <c r="V13641" i="2" s="1"/>
  <c r="Q13641" i="2"/>
  <c r="P13637" i="2"/>
  <c r="V13637" i="2" s="1"/>
  <c r="Q13637" i="2"/>
  <c r="P13633" i="2"/>
  <c r="V13633" i="2" s="1"/>
  <c r="Q13633" i="2"/>
  <c r="P13629" i="2"/>
  <c r="V13629" i="2" s="1"/>
  <c r="Q13629" i="2"/>
  <c r="P13625" i="2"/>
  <c r="V13625" i="2" s="1"/>
  <c r="Q13625" i="2"/>
  <c r="P13621" i="2"/>
  <c r="V13621" i="2" s="1"/>
  <c r="Q13621" i="2"/>
  <c r="P13617" i="2"/>
  <c r="V13617" i="2" s="1"/>
  <c r="Q13617" i="2"/>
  <c r="P13613" i="2"/>
  <c r="V13613" i="2" s="1"/>
  <c r="Q13613" i="2"/>
  <c r="P13609" i="2"/>
  <c r="V13609" i="2" s="1"/>
  <c r="Q13609" i="2"/>
  <c r="P13605" i="2"/>
  <c r="V13605" i="2" s="1"/>
  <c r="Q13605" i="2"/>
  <c r="P13601" i="2"/>
  <c r="V13601" i="2" s="1"/>
  <c r="Q13601" i="2"/>
  <c r="P13597" i="2"/>
  <c r="V13597" i="2" s="1"/>
  <c r="Q13597" i="2"/>
  <c r="P13593" i="2"/>
  <c r="V13593" i="2" s="1"/>
  <c r="Q13593" i="2"/>
  <c r="P13589" i="2"/>
  <c r="V13589" i="2" s="1"/>
  <c r="Q13589" i="2"/>
  <c r="P13585" i="2"/>
  <c r="V13585" i="2" s="1"/>
  <c r="Q13585" i="2"/>
  <c r="P13581" i="2"/>
  <c r="V13581" i="2" s="1"/>
  <c r="Q13581" i="2"/>
  <c r="P13577" i="2"/>
  <c r="V13577" i="2" s="1"/>
  <c r="Q13577" i="2"/>
  <c r="P13573" i="2"/>
  <c r="V13573" i="2" s="1"/>
  <c r="Q13573" i="2"/>
  <c r="P13569" i="2"/>
  <c r="V13569" i="2" s="1"/>
  <c r="Q13569" i="2"/>
  <c r="P13565" i="2"/>
  <c r="V13565" i="2" s="1"/>
  <c r="Q13565" i="2"/>
  <c r="P13561" i="2"/>
  <c r="V13561" i="2" s="1"/>
  <c r="Q13561" i="2"/>
  <c r="P13557" i="2"/>
  <c r="V13557" i="2" s="1"/>
  <c r="Q13557" i="2"/>
  <c r="P13553" i="2"/>
  <c r="V13553" i="2" s="1"/>
  <c r="Q13553" i="2"/>
  <c r="P13549" i="2"/>
  <c r="V13549" i="2" s="1"/>
  <c r="Q13549" i="2"/>
  <c r="P13545" i="2"/>
  <c r="V13545" i="2" s="1"/>
  <c r="Q13545" i="2"/>
  <c r="P13541" i="2"/>
  <c r="V13541" i="2" s="1"/>
  <c r="Q13541" i="2"/>
  <c r="P13537" i="2"/>
  <c r="V13537" i="2" s="1"/>
  <c r="Q13537" i="2"/>
  <c r="P13533" i="2"/>
  <c r="V13533" i="2" s="1"/>
  <c r="Q13533" i="2"/>
  <c r="P13529" i="2"/>
  <c r="V13529" i="2" s="1"/>
  <c r="Q13529" i="2"/>
  <c r="P13525" i="2"/>
  <c r="V13525" i="2" s="1"/>
  <c r="Q13525" i="2"/>
  <c r="P13521" i="2"/>
  <c r="V13521" i="2" s="1"/>
  <c r="Q13521" i="2"/>
  <c r="P13517" i="2"/>
  <c r="V13517" i="2" s="1"/>
  <c r="Q13517" i="2"/>
  <c r="P13513" i="2"/>
  <c r="V13513" i="2" s="1"/>
  <c r="Q13513" i="2"/>
  <c r="P13509" i="2"/>
  <c r="V13509" i="2" s="1"/>
  <c r="Q13509" i="2"/>
  <c r="P13505" i="2"/>
  <c r="V13505" i="2" s="1"/>
  <c r="Q13505" i="2"/>
  <c r="P13501" i="2"/>
  <c r="V13501" i="2" s="1"/>
  <c r="Q13501" i="2"/>
  <c r="P13497" i="2"/>
  <c r="V13497" i="2" s="1"/>
  <c r="Q13497" i="2"/>
  <c r="P13493" i="2"/>
  <c r="V13493" i="2" s="1"/>
  <c r="Q13493" i="2"/>
  <c r="P13489" i="2"/>
  <c r="V13489" i="2" s="1"/>
  <c r="Q13489" i="2"/>
  <c r="P13485" i="2"/>
  <c r="V13485" i="2" s="1"/>
  <c r="Q13485" i="2"/>
  <c r="P13481" i="2"/>
  <c r="V13481" i="2" s="1"/>
  <c r="Q13481" i="2"/>
  <c r="P13477" i="2"/>
  <c r="V13477" i="2" s="1"/>
  <c r="Q13477" i="2"/>
  <c r="P13473" i="2"/>
  <c r="V13473" i="2" s="1"/>
  <c r="Q13473" i="2"/>
  <c r="P13469" i="2"/>
  <c r="V13469" i="2" s="1"/>
  <c r="Q13469" i="2"/>
  <c r="P13465" i="2"/>
  <c r="V13465" i="2" s="1"/>
  <c r="Q13465" i="2"/>
  <c r="P13461" i="2"/>
  <c r="V13461" i="2" s="1"/>
  <c r="Q13461" i="2"/>
  <c r="P13457" i="2"/>
  <c r="V13457" i="2" s="1"/>
  <c r="Q13457" i="2"/>
  <c r="P13453" i="2"/>
  <c r="V13453" i="2" s="1"/>
  <c r="Q13453" i="2"/>
  <c r="P13449" i="2"/>
  <c r="V13449" i="2" s="1"/>
  <c r="Q13449" i="2"/>
  <c r="P13445" i="2"/>
  <c r="V13445" i="2" s="1"/>
  <c r="Q13445" i="2"/>
  <c r="P13441" i="2"/>
  <c r="V13441" i="2" s="1"/>
  <c r="Q13441" i="2"/>
  <c r="P13437" i="2"/>
  <c r="V13437" i="2" s="1"/>
  <c r="Q13437" i="2"/>
  <c r="P13433" i="2"/>
  <c r="V13433" i="2" s="1"/>
  <c r="Q13433" i="2"/>
  <c r="P13429" i="2"/>
  <c r="V13429" i="2" s="1"/>
  <c r="Q13429" i="2"/>
  <c r="P13425" i="2"/>
  <c r="V13425" i="2" s="1"/>
  <c r="Q13425" i="2"/>
  <c r="P13421" i="2"/>
  <c r="V13421" i="2" s="1"/>
  <c r="Q13421" i="2"/>
  <c r="P13417" i="2"/>
  <c r="V13417" i="2" s="1"/>
  <c r="Q13417" i="2"/>
  <c r="P13413" i="2"/>
  <c r="V13413" i="2" s="1"/>
  <c r="Q13413" i="2"/>
  <c r="P13409" i="2"/>
  <c r="V13409" i="2" s="1"/>
  <c r="Q13409" i="2"/>
  <c r="P13405" i="2"/>
  <c r="V13405" i="2" s="1"/>
  <c r="Q13405" i="2"/>
  <c r="P13401" i="2"/>
  <c r="V13401" i="2" s="1"/>
  <c r="Q13401" i="2"/>
  <c r="P13397" i="2"/>
  <c r="V13397" i="2" s="1"/>
  <c r="Q13397" i="2"/>
  <c r="P13393" i="2"/>
  <c r="V13393" i="2" s="1"/>
  <c r="Q13393" i="2"/>
  <c r="P13389" i="2"/>
  <c r="V13389" i="2" s="1"/>
  <c r="Q13389" i="2"/>
  <c r="P13385" i="2"/>
  <c r="V13385" i="2" s="1"/>
  <c r="Q13385" i="2"/>
  <c r="P13381" i="2"/>
  <c r="V13381" i="2" s="1"/>
  <c r="Q13381" i="2"/>
  <c r="P13377" i="2"/>
  <c r="V13377" i="2" s="1"/>
  <c r="Q13377" i="2"/>
  <c r="P13373" i="2"/>
  <c r="V13373" i="2" s="1"/>
  <c r="Q13373" i="2"/>
  <c r="P13369" i="2"/>
  <c r="V13369" i="2" s="1"/>
  <c r="Q13369" i="2"/>
  <c r="P13365" i="2"/>
  <c r="V13365" i="2" s="1"/>
  <c r="Q13365" i="2"/>
  <c r="P13361" i="2"/>
  <c r="V13361" i="2" s="1"/>
  <c r="Q13361" i="2"/>
  <c r="P13357" i="2"/>
  <c r="V13357" i="2" s="1"/>
  <c r="Q13357" i="2"/>
  <c r="P13353" i="2"/>
  <c r="V13353" i="2" s="1"/>
  <c r="Q13353" i="2"/>
  <c r="P13349" i="2"/>
  <c r="V13349" i="2" s="1"/>
  <c r="Q13349" i="2"/>
  <c r="P13345" i="2"/>
  <c r="V13345" i="2" s="1"/>
  <c r="Q13345" i="2"/>
  <c r="P13341" i="2"/>
  <c r="V13341" i="2" s="1"/>
  <c r="Q13341" i="2"/>
  <c r="P13337" i="2"/>
  <c r="V13337" i="2" s="1"/>
  <c r="Q13337" i="2"/>
  <c r="P13333" i="2"/>
  <c r="V13333" i="2" s="1"/>
  <c r="Q13333" i="2"/>
  <c r="P13329" i="2"/>
  <c r="V13329" i="2" s="1"/>
  <c r="Q13329" i="2"/>
  <c r="P13325" i="2"/>
  <c r="V13325" i="2" s="1"/>
  <c r="Q13325" i="2"/>
  <c r="P13321" i="2"/>
  <c r="V13321" i="2" s="1"/>
  <c r="Q13321" i="2"/>
  <c r="P13317" i="2"/>
  <c r="V13317" i="2" s="1"/>
  <c r="Q13317" i="2"/>
  <c r="P13313" i="2"/>
  <c r="V13313" i="2" s="1"/>
  <c r="Q13313" i="2"/>
  <c r="P13309" i="2"/>
  <c r="V13309" i="2" s="1"/>
  <c r="Q13309" i="2"/>
  <c r="P13305" i="2"/>
  <c r="V13305" i="2" s="1"/>
  <c r="Q13305" i="2"/>
  <c r="P13301" i="2"/>
  <c r="V13301" i="2" s="1"/>
  <c r="Q13301" i="2"/>
  <c r="P13297" i="2"/>
  <c r="V13297" i="2" s="1"/>
  <c r="Q13297" i="2"/>
  <c r="P13293" i="2"/>
  <c r="V13293" i="2" s="1"/>
  <c r="Q13293" i="2"/>
  <c r="P13289" i="2"/>
  <c r="V13289" i="2" s="1"/>
  <c r="Q13289" i="2"/>
  <c r="P13285" i="2"/>
  <c r="V13285" i="2" s="1"/>
  <c r="Q13285" i="2"/>
  <c r="P13281" i="2"/>
  <c r="V13281" i="2" s="1"/>
  <c r="Q13281" i="2"/>
  <c r="P13277" i="2"/>
  <c r="V13277" i="2" s="1"/>
  <c r="Q13277" i="2"/>
  <c r="P13273" i="2"/>
  <c r="V13273" i="2" s="1"/>
  <c r="Q13273" i="2"/>
  <c r="P13269" i="2"/>
  <c r="V13269" i="2" s="1"/>
  <c r="Q13269" i="2"/>
  <c r="P13265" i="2"/>
  <c r="V13265" i="2" s="1"/>
  <c r="Q13265" i="2"/>
  <c r="P13261" i="2"/>
  <c r="V13261" i="2" s="1"/>
  <c r="Q13261" i="2"/>
  <c r="P13257" i="2"/>
  <c r="V13257" i="2" s="1"/>
  <c r="Q13257" i="2"/>
  <c r="P13253" i="2"/>
  <c r="V13253" i="2" s="1"/>
  <c r="Q13253" i="2"/>
  <c r="P13249" i="2"/>
  <c r="V13249" i="2" s="1"/>
  <c r="Q13249" i="2"/>
  <c r="P13245" i="2"/>
  <c r="V13245" i="2" s="1"/>
  <c r="Q13245" i="2"/>
  <c r="P13241" i="2"/>
  <c r="V13241" i="2" s="1"/>
  <c r="Q13241" i="2"/>
  <c r="P13237" i="2"/>
  <c r="V13237" i="2" s="1"/>
  <c r="Q13237" i="2"/>
  <c r="P13233" i="2"/>
  <c r="V13233" i="2" s="1"/>
  <c r="Q13233" i="2"/>
  <c r="P13229" i="2"/>
  <c r="V13229" i="2" s="1"/>
  <c r="Q13229" i="2"/>
  <c r="P13225" i="2"/>
  <c r="V13225" i="2" s="1"/>
  <c r="Q13225" i="2"/>
  <c r="P13221" i="2"/>
  <c r="V13221" i="2" s="1"/>
  <c r="Q13221" i="2"/>
  <c r="P13217" i="2"/>
  <c r="V13217" i="2" s="1"/>
  <c r="Q13217" i="2"/>
  <c r="P13213" i="2"/>
  <c r="V13213" i="2" s="1"/>
  <c r="Q13213" i="2"/>
  <c r="P13209" i="2"/>
  <c r="V13209" i="2" s="1"/>
  <c r="Q13209" i="2"/>
  <c r="P13205" i="2"/>
  <c r="V13205" i="2" s="1"/>
  <c r="Q13205" i="2"/>
  <c r="P13201" i="2"/>
  <c r="V13201" i="2" s="1"/>
  <c r="Q13201" i="2"/>
  <c r="P13197" i="2"/>
  <c r="V13197" i="2" s="1"/>
  <c r="Q13197" i="2"/>
  <c r="P13193" i="2"/>
  <c r="V13193" i="2" s="1"/>
  <c r="Q13193" i="2"/>
  <c r="P13189" i="2"/>
  <c r="V13189" i="2" s="1"/>
  <c r="Q13189" i="2"/>
  <c r="P13185" i="2"/>
  <c r="V13185" i="2" s="1"/>
  <c r="Q13185" i="2"/>
  <c r="P13181" i="2"/>
  <c r="V13181" i="2" s="1"/>
  <c r="Q13181" i="2"/>
  <c r="P13177" i="2"/>
  <c r="V13177" i="2" s="1"/>
  <c r="Q13177" i="2"/>
  <c r="P13173" i="2"/>
  <c r="V13173" i="2" s="1"/>
  <c r="Q13173" i="2"/>
  <c r="P13169" i="2"/>
  <c r="V13169" i="2" s="1"/>
  <c r="Q13169" i="2"/>
  <c r="P13165" i="2"/>
  <c r="V13165" i="2" s="1"/>
  <c r="Q13165" i="2"/>
  <c r="P13161" i="2"/>
  <c r="V13161" i="2" s="1"/>
  <c r="Q13161" i="2"/>
  <c r="P13157" i="2"/>
  <c r="V13157" i="2" s="1"/>
  <c r="Q13157" i="2"/>
  <c r="P13153" i="2"/>
  <c r="V13153" i="2" s="1"/>
  <c r="Q13153" i="2"/>
  <c r="P13149" i="2"/>
  <c r="V13149" i="2" s="1"/>
  <c r="Q13149" i="2"/>
  <c r="P13145" i="2"/>
  <c r="V13145" i="2" s="1"/>
  <c r="Q13145" i="2"/>
  <c r="P13141" i="2"/>
  <c r="V13141" i="2" s="1"/>
  <c r="Q13141" i="2"/>
  <c r="P13137" i="2"/>
  <c r="V13137" i="2" s="1"/>
  <c r="Q13137" i="2"/>
  <c r="P13133" i="2"/>
  <c r="V13133" i="2" s="1"/>
  <c r="Q13133" i="2"/>
  <c r="P13129" i="2"/>
  <c r="V13129" i="2" s="1"/>
  <c r="Q13129" i="2"/>
  <c r="P13125" i="2"/>
  <c r="V13125" i="2" s="1"/>
  <c r="Q13125" i="2"/>
  <c r="P13121" i="2"/>
  <c r="V13121" i="2" s="1"/>
  <c r="Q13121" i="2"/>
  <c r="P13117" i="2"/>
  <c r="V13117" i="2" s="1"/>
  <c r="Q13117" i="2"/>
  <c r="P13113" i="2"/>
  <c r="V13113" i="2" s="1"/>
  <c r="Q13113" i="2"/>
  <c r="P13109" i="2"/>
  <c r="V13109" i="2" s="1"/>
  <c r="Q13109" i="2"/>
  <c r="P13105" i="2"/>
  <c r="V13105" i="2" s="1"/>
  <c r="Q13105" i="2"/>
  <c r="P13101" i="2"/>
  <c r="V13101" i="2" s="1"/>
  <c r="Q13101" i="2"/>
  <c r="P13097" i="2"/>
  <c r="V13097" i="2" s="1"/>
  <c r="Q13097" i="2"/>
  <c r="P13093" i="2"/>
  <c r="V13093" i="2" s="1"/>
  <c r="Q13093" i="2"/>
  <c r="P13089" i="2"/>
  <c r="V13089" i="2" s="1"/>
  <c r="Q13089" i="2"/>
  <c r="P13085" i="2"/>
  <c r="V13085" i="2" s="1"/>
  <c r="Q13085" i="2"/>
  <c r="P13081" i="2"/>
  <c r="V13081" i="2" s="1"/>
  <c r="Q13081" i="2"/>
  <c r="P13077" i="2"/>
  <c r="V13077" i="2" s="1"/>
  <c r="Q13077" i="2"/>
  <c r="P13073" i="2"/>
  <c r="V13073" i="2" s="1"/>
  <c r="Q13073" i="2"/>
  <c r="P13069" i="2"/>
  <c r="V13069" i="2" s="1"/>
  <c r="Q13069" i="2"/>
  <c r="P13065" i="2"/>
  <c r="V13065" i="2" s="1"/>
  <c r="Q13065" i="2"/>
  <c r="P13061" i="2"/>
  <c r="V13061" i="2" s="1"/>
  <c r="Q13061" i="2"/>
  <c r="P13057" i="2"/>
  <c r="V13057" i="2" s="1"/>
  <c r="Q13057" i="2"/>
  <c r="P13053" i="2"/>
  <c r="V13053" i="2" s="1"/>
  <c r="Q13053" i="2"/>
  <c r="P13049" i="2"/>
  <c r="V13049" i="2" s="1"/>
  <c r="Q13049" i="2"/>
  <c r="P13045" i="2"/>
  <c r="V13045" i="2" s="1"/>
  <c r="Q13045" i="2"/>
  <c r="P13041" i="2"/>
  <c r="V13041" i="2" s="1"/>
  <c r="Q13041" i="2"/>
  <c r="P13037" i="2"/>
  <c r="V13037" i="2" s="1"/>
  <c r="Q13037" i="2"/>
  <c r="P13033" i="2"/>
  <c r="V13033" i="2" s="1"/>
  <c r="Q13033" i="2"/>
  <c r="P13029" i="2"/>
  <c r="V13029" i="2" s="1"/>
  <c r="Q13029" i="2"/>
  <c r="P13025" i="2"/>
  <c r="V13025" i="2" s="1"/>
  <c r="Q13025" i="2"/>
  <c r="P13021" i="2"/>
  <c r="V13021" i="2" s="1"/>
  <c r="Q13021" i="2"/>
  <c r="P13017" i="2"/>
  <c r="V13017" i="2" s="1"/>
  <c r="Q13017" i="2"/>
  <c r="P13013" i="2"/>
  <c r="V13013" i="2" s="1"/>
  <c r="Q13013" i="2"/>
  <c r="P13009" i="2"/>
  <c r="V13009" i="2" s="1"/>
  <c r="Q13009" i="2"/>
  <c r="P13005" i="2"/>
  <c r="V13005" i="2" s="1"/>
  <c r="Q13005" i="2"/>
  <c r="P13001" i="2"/>
  <c r="V13001" i="2" s="1"/>
  <c r="Q13001" i="2"/>
  <c r="P12997" i="2"/>
  <c r="V12997" i="2" s="1"/>
  <c r="Q12997" i="2"/>
  <c r="P12993" i="2"/>
  <c r="V12993" i="2" s="1"/>
  <c r="Q12993" i="2"/>
  <c r="P12989" i="2"/>
  <c r="V12989" i="2" s="1"/>
  <c r="Q12989" i="2"/>
  <c r="P12985" i="2"/>
  <c r="V12985" i="2" s="1"/>
  <c r="Q12985" i="2"/>
  <c r="P12981" i="2"/>
  <c r="V12981" i="2" s="1"/>
  <c r="Q12981" i="2"/>
  <c r="P12977" i="2"/>
  <c r="V12977" i="2" s="1"/>
  <c r="Q12977" i="2"/>
  <c r="P12973" i="2"/>
  <c r="V12973" i="2" s="1"/>
  <c r="Q12973" i="2"/>
  <c r="P12969" i="2"/>
  <c r="V12969" i="2" s="1"/>
  <c r="Q12969" i="2"/>
  <c r="P12965" i="2"/>
  <c r="V12965" i="2" s="1"/>
  <c r="Q12965" i="2"/>
  <c r="P12961" i="2"/>
  <c r="V12961" i="2" s="1"/>
  <c r="Q12961" i="2"/>
  <c r="P12957" i="2"/>
  <c r="V12957" i="2" s="1"/>
  <c r="Q12957" i="2"/>
  <c r="P12953" i="2"/>
  <c r="V12953" i="2" s="1"/>
  <c r="Q12953" i="2"/>
  <c r="P12949" i="2"/>
  <c r="V12949" i="2" s="1"/>
  <c r="Q12949" i="2"/>
  <c r="P12945" i="2"/>
  <c r="V12945" i="2" s="1"/>
  <c r="Q12945" i="2"/>
  <c r="P12941" i="2"/>
  <c r="V12941" i="2" s="1"/>
  <c r="Q12941" i="2"/>
  <c r="P12937" i="2"/>
  <c r="V12937" i="2" s="1"/>
  <c r="Q12937" i="2"/>
  <c r="P12933" i="2"/>
  <c r="V12933" i="2" s="1"/>
  <c r="Q12933" i="2"/>
  <c r="P12929" i="2"/>
  <c r="V12929" i="2" s="1"/>
  <c r="Q12929" i="2"/>
  <c r="P12925" i="2"/>
  <c r="V12925" i="2" s="1"/>
  <c r="Q12925" i="2"/>
  <c r="P12921" i="2"/>
  <c r="V12921" i="2" s="1"/>
  <c r="Q12921" i="2"/>
  <c r="P12917" i="2"/>
  <c r="V12917" i="2" s="1"/>
  <c r="Q12917" i="2"/>
  <c r="P12913" i="2"/>
  <c r="V12913" i="2" s="1"/>
  <c r="Q12913" i="2"/>
  <c r="P12909" i="2"/>
  <c r="V12909" i="2" s="1"/>
  <c r="Q12909" i="2"/>
  <c r="P12905" i="2"/>
  <c r="V12905" i="2" s="1"/>
  <c r="Q12905" i="2"/>
  <c r="P12901" i="2"/>
  <c r="V12901" i="2" s="1"/>
  <c r="Q12901" i="2"/>
  <c r="P12897" i="2"/>
  <c r="V12897" i="2" s="1"/>
  <c r="Q12897" i="2"/>
  <c r="P12893" i="2"/>
  <c r="V12893" i="2" s="1"/>
  <c r="Q12893" i="2"/>
  <c r="P12889" i="2"/>
  <c r="V12889" i="2" s="1"/>
  <c r="Q12889" i="2"/>
  <c r="P12885" i="2"/>
  <c r="V12885" i="2" s="1"/>
  <c r="Q12885" i="2"/>
  <c r="P12881" i="2"/>
  <c r="V12881" i="2" s="1"/>
  <c r="Q12881" i="2"/>
  <c r="P12877" i="2"/>
  <c r="V12877" i="2" s="1"/>
  <c r="Q12877" i="2"/>
  <c r="P12873" i="2"/>
  <c r="V12873" i="2" s="1"/>
  <c r="Q12873" i="2"/>
  <c r="P12869" i="2"/>
  <c r="V12869" i="2" s="1"/>
  <c r="Q12869" i="2"/>
  <c r="P12865" i="2"/>
  <c r="V12865" i="2" s="1"/>
  <c r="Q12865" i="2"/>
  <c r="P12861" i="2"/>
  <c r="V12861" i="2" s="1"/>
  <c r="Q12861" i="2"/>
  <c r="P12857" i="2"/>
  <c r="V12857" i="2" s="1"/>
  <c r="Q12857" i="2"/>
  <c r="P12853" i="2"/>
  <c r="V12853" i="2" s="1"/>
  <c r="Q12853" i="2"/>
  <c r="P12849" i="2"/>
  <c r="V12849" i="2" s="1"/>
  <c r="Q12849" i="2"/>
  <c r="P12845" i="2"/>
  <c r="V12845" i="2" s="1"/>
  <c r="Q12845" i="2"/>
  <c r="P12841" i="2"/>
  <c r="V12841" i="2" s="1"/>
  <c r="Q12841" i="2"/>
  <c r="P12837" i="2"/>
  <c r="V12837" i="2" s="1"/>
  <c r="Q12837" i="2"/>
  <c r="P12833" i="2"/>
  <c r="V12833" i="2" s="1"/>
  <c r="Q12833" i="2"/>
  <c r="P12829" i="2"/>
  <c r="V12829" i="2" s="1"/>
  <c r="Q12829" i="2"/>
  <c r="P12825" i="2"/>
  <c r="V12825" i="2" s="1"/>
  <c r="Q12825" i="2"/>
  <c r="P12821" i="2"/>
  <c r="V12821" i="2" s="1"/>
  <c r="Q12821" i="2"/>
  <c r="P12817" i="2"/>
  <c r="V12817" i="2" s="1"/>
  <c r="Q12817" i="2"/>
  <c r="P12813" i="2"/>
  <c r="V12813" i="2" s="1"/>
  <c r="Q12813" i="2"/>
  <c r="P12809" i="2"/>
  <c r="V12809" i="2" s="1"/>
  <c r="Q12809" i="2"/>
  <c r="P12805" i="2"/>
  <c r="V12805" i="2" s="1"/>
  <c r="Q12805" i="2"/>
  <c r="P12801" i="2"/>
  <c r="V12801" i="2" s="1"/>
  <c r="Q12801" i="2"/>
  <c r="P12797" i="2"/>
  <c r="V12797" i="2" s="1"/>
  <c r="Q12797" i="2"/>
  <c r="P12793" i="2"/>
  <c r="V12793" i="2" s="1"/>
  <c r="Q12793" i="2"/>
  <c r="P12789" i="2"/>
  <c r="V12789" i="2" s="1"/>
  <c r="Q12789" i="2"/>
  <c r="P12785" i="2"/>
  <c r="V12785" i="2" s="1"/>
  <c r="Q12785" i="2"/>
  <c r="P12781" i="2"/>
  <c r="V12781" i="2" s="1"/>
  <c r="Q12781" i="2"/>
  <c r="P12777" i="2"/>
  <c r="V12777" i="2" s="1"/>
  <c r="Q12777" i="2"/>
  <c r="P12773" i="2"/>
  <c r="V12773" i="2" s="1"/>
  <c r="Q12773" i="2"/>
  <c r="P12769" i="2"/>
  <c r="V12769" i="2" s="1"/>
  <c r="Q12769" i="2"/>
  <c r="P12765" i="2"/>
  <c r="V12765" i="2" s="1"/>
  <c r="Q12765" i="2"/>
  <c r="P12761" i="2"/>
  <c r="V12761" i="2" s="1"/>
  <c r="Q12761" i="2"/>
  <c r="P12757" i="2"/>
  <c r="V12757" i="2" s="1"/>
  <c r="Q12757" i="2"/>
  <c r="P12753" i="2"/>
  <c r="V12753" i="2" s="1"/>
  <c r="Q12753" i="2"/>
  <c r="P12749" i="2"/>
  <c r="V12749" i="2" s="1"/>
  <c r="Q12749" i="2"/>
  <c r="P12745" i="2"/>
  <c r="V12745" i="2" s="1"/>
  <c r="Q12745" i="2"/>
  <c r="P12741" i="2"/>
  <c r="V12741" i="2" s="1"/>
  <c r="Q12741" i="2"/>
  <c r="P12737" i="2"/>
  <c r="V12737" i="2" s="1"/>
  <c r="Q12737" i="2"/>
  <c r="P12733" i="2"/>
  <c r="V12733" i="2" s="1"/>
  <c r="Q12733" i="2"/>
  <c r="P12729" i="2"/>
  <c r="V12729" i="2" s="1"/>
  <c r="Q12729" i="2"/>
  <c r="P12725" i="2"/>
  <c r="V12725" i="2" s="1"/>
  <c r="Q12725" i="2"/>
  <c r="P12721" i="2"/>
  <c r="V12721" i="2" s="1"/>
  <c r="Q12721" i="2"/>
  <c r="P12717" i="2"/>
  <c r="V12717" i="2" s="1"/>
  <c r="Q12717" i="2"/>
  <c r="P12713" i="2"/>
  <c r="V12713" i="2" s="1"/>
  <c r="Q12713" i="2"/>
  <c r="P12709" i="2"/>
  <c r="V12709" i="2" s="1"/>
  <c r="Q12709" i="2"/>
  <c r="P12705" i="2"/>
  <c r="V12705" i="2" s="1"/>
  <c r="Q12705" i="2"/>
  <c r="P12701" i="2"/>
  <c r="V12701" i="2" s="1"/>
  <c r="Q12701" i="2"/>
  <c r="P12697" i="2"/>
  <c r="V12697" i="2" s="1"/>
  <c r="Q12697" i="2"/>
  <c r="P12693" i="2"/>
  <c r="V12693" i="2" s="1"/>
  <c r="Q12693" i="2"/>
  <c r="P12689" i="2"/>
  <c r="V12689" i="2" s="1"/>
  <c r="Q12689" i="2"/>
  <c r="P12685" i="2"/>
  <c r="V12685" i="2" s="1"/>
  <c r="Q12685" i="2"/>
  <c r="P12681" i="2"/>
  <c r="V12681" i="2" s="1"/>
  <c r="Q12681" i="2"/>
  <c r="P12677" i="2"/>
  <c r="V12677" i="2" s="1"/>
  <c r="Q12677" i="2"/>
  <c r="P12673" i="2"/>
  <c r="V12673" i="2" s="1"/>
  <c r="Q12673" i="2"/>
  <c r="P12669" i="2"/>
  <c r="V12669" i="2" s="1"/>
  <c r="Q12669" i="2"/>
  <c r="P12665" i="2"/>
  <c r="V12665" i="2" s="1"/>
  <c r="Q12665" i="2"/>
  <c r="P12661" i="2"/>
  <c r="V12661" i="2" s="1"/>
  <c r="Q12661" i="2"/>
  <c r="P12657" i="2"/>
  <c r="V12657" i="2" s="1"/>
  <c r="Q12657" i="2"/>
  <c r="P12653" i="2"/>
  <c r="V12653" i="2" s="1"/>
  <c r="Q12653" i="2"/>
  <c r="P12649" i="2"/>
  <c r="V12649" i="2" s="1"/>
  <c r="Q12649" i="2"/>
  <c r="P12645" i="2"/>
  <c r="V12645" i="2" s="1"/>
  <c r="Q12645" i="2"/>
  <c r="P12641" i="2"/>
  <c r="V12641" i="2" s="1"/>
  <c r="Q12641" i="2"/>
  <c r="P12637" i="2"/>
  <c r="V12637" i="2" s="1"/>
  <c r="Q12637" i="2"/>
  <c r="P12633" i="2"/>
  <c r="V12633" i="2" s="1"/>
  <c r="Q12633" i="2"/>
  <c r="P12629" i="2"/>
  <c r="V12629" i="2" s="1"/>
  <c r="Q12629" i="2"/>
  <c r="P12625" i="2"/>
  <c r="V12625" i="2" s="1"/>
  <c r="Q12625" i="2"/>
  <c r="P12621" i="2"/>
  <c r="V12621" i="2" s="1"/>
  <c r="Q12621" i="2"/>
  <c r="P12617" i="2"/>
  <c r="V12617" i="2" s="1"/>
  <c r="Q12617" i="2"/>
  <c r="P12613" i="2"/>
  <c r="V12613" i="2" s="1"/>
  <c r="Q12613" i="2"/>
  <c r="P12609" i="2"/>
  <c r="V12609" i="2" s="1"/>
  <c r="Q12609" i="2"/>
  <c r="P12605" i="2"/>
  <c r="V12605" i="2" s="1"/>
  <c r="Q12605" i="2"/>
  <c r="P12601" i="2"/>
  <c r="V12601" i="2" s="1"/>
  <c r="Q12601" i="2"/>
  <c r="P12597" i="2"/>
  <c r="V12597" i="2" s="1"/>
  <c r="Q12597" i="2"/>
  <c r="P12593" i="2"/>
  <c r="V12593" i="2" s="1"/>
  <c r="Q12593" i="2"/>
  <c r="P12589" i="2"/>
  <c r="V12589" i="2" s="1"/>
  <c r="Q12589" i="2"/>
  <c r="P12585" i="2"/>
  <c r="V12585" i="2" s="1"/>
  <c r="Q12585" i="2"/>
  <c r="P12581" i="2"/>
  <c r="V12581" i="2" s="1"/>
  <c r="Q12581" i="2"/>
  <c r="P12577" i="2"/>
  <c r="V12577" i="2" s="1"/>
  <c r="Q12577" i="2"/>
  <c r="P12573" i="2"/>
  <c r="V12573" i="2" s="1"/>
  <c r="Q12573" i="2"/>
  <c r="P12569" i="2"/>
  <c r="V12569" i="2" s="1"/>
  <c r="Q12569" i="2"/>
  <c r="P12565" i="2"/>
  <c r="V12565" i="2" s="1"/>
  <c r="Q12565" i="2"/>
  <c r="P12561" i="2"/>
  <c r="V12561" i="2" s="1"/>
  <c r="Q12561" i="2"/>
  <c r="P12557" i="2"/>
  <c r="V12557" i="2" s="1"/>
  <c r="Q12557" i="2"/>
  <c r="P12553" i="2"/>
  <c r="V12553" i="2" s="1"/>
  <c r="Q12553" i="2"/>
  <c r="P12549" i="2"/>
  <c r="V12549" i="2" s="1"/>
  <c r="Q12549" i="2"/>
  <c r="P12545" i="2"/>
  <c r="V12545" i="2" s="1"/>
  <c r="Q12545" i="2"/>
  <c r="P12541" i="2"/>
  <c r="V12541" i="2" s="1"/>
  <c r="Q12541" i="2"/>
  <c r="P12537" i="2"/>
  <c r="V12537" i="2" s="1"/>
  <c r="Q12537" i="2"/>
  <c r="P12533" i="2"/>
  <c r="V12533" i="2" s="1"/>
  <c r="Q12533" i="2"/>
  <c r="P12529" i="2"/>
  <c r="V12529" i="2" s="1"/>
  <c r="Q12529" i="2"/>
  <c r="P12525" i="2"/>
  <c r="V12525" i="2" s="1"/>
  <c r="Q12525" i="2"/>
  <c r="P12521" i="2"/>
  <c r="V12521" i="2" s="1"/>
  <c r="Q12521" i="2"/>
  <c r="P12517" i="2"/>
  <c r="V12517" i="2" s="1"/>
  <c r="Q12517" i="2"/>
  <c r="P12513" i="2"/>
  <c r="V12513" i="2" s="1"/>
  <c r="Q12513" i="2"/>
  <c r="P12509" i="2"/>
  <c r="V12509" i="2" s="1"/>
  <c r="Q12509" i="2"/>
  <c r="P12505" i="2"/>
  <c r="V12505" i="2" s="1"/>
  <c r="Q12505" i="2"/>
  <c r="P12501" i="2"/>
  <c r="V12501" i="2" s="1"/>
  <c r="Q12501" i="2"/>
  <c r="P12497" i="2"/>
  <c r="V12497" i="2" s="1"/>
  <c r="Q12497" i="2"/>
  <c r="P12493" i="2"/>
  <c r="V12493" i="2" s="1"/>
  <c r="Q12493" i="2"/>
  <c r="P12489" i="2"/>
  <c r="V12489" i="2" s="1"/>
  <c r="Q12489" i="2"/>
  <c r="P12485" i="2"/>
  <c r="V12485" i="2" s="1"/>
  <c r="Q12485" i="2"/>
  <c r="P12481" i="2"/>
  <c r="V12481" i="2" s="1"/>
  <c r="Q12481" i="2"/>
  <c r="P12477" i="2"/>
  <c r="V12477" i="2" s="1"/>
  <c r="Q12477" i="2"/>
  <c r="P12473" i="2"/>
  <c r="V12473" i="2" s="1"/>
  <c r="Q12473" i="2"/>
  <c r="P12469" i="2"/>
  <c r="V12469" i="2" s="1"/>
  <c r="Q12469" i="2"/>
  <c r="P12465" i="2"/>
  <c r="V12465" i="2" s="1"/>
  <c r="Q12465" i="2"/>
  <c r="P12461" i="2"/>
  <c r="V12461" i="2" s="1"/>
  <c r="Q12461" i="2"/>
  <c r="P12457" i="2"/>
  <c r="V12457" i="2" s="1"/>
  <c r="Q12457" i="2"/>
  <c r="P12453" i="2"/>
  <c r="V12453" i="2" s="1"/>
  <c r="Q12453" i="2"/>
  <c r="P12449" i="2"/>
  <c r="V12449" i="2" s="1"/>
  <c r="Q12449" i="2"/>
  <c r="P12445" i="2"/>
  <c r="V12445" i="2" s="1"/>
  <c r="Q12445" i="2"/>
  <c r="P12441" i="2"/>
  <c r="V12441" i="2" s="1"/>
  <c r="Q12441" i="2"/>
  <c r="P12437" i="2"/>
  <c r="V12437" i="2" s="1"/>
  <c r="Q12437" i="2"/>
  <c r="P12433" i="2"/>
  <c r="V12433" i="2" s="1"/>
  <c r="Q12433" i="2"/>
  <c r="P12429" i="2"/>
  <c r="V12429" i="2" s="1"/>
  <c r="Q12429" i="2"/>
  <c r="P12425" i="2"/>
  <c r="V12425" i="2" s="1"/>
  <c r="Q12425" i="2"/>
  <c r="P12421" i="2"/>
  <c r="V12421" i="2" s="1"/>
  <c r="Q12421" i="2"/>
  <c r="P12417" i="2"/>
  <c r="V12417" i="2" s="1"/>
  <c r="Q12417" i="2"/>
  <c r="P12413" i="2"/>
  <c r="V12413" i="2" s="1"/>
  <c r="Q12413" i="2"/>
  <c r="P12409" i="2"/>
  <c r="V12409" i="2" s="1"/>
  <c r="Q12409" i="2"/>
  <c r="P12405" i="2"/>
  <c r="V12405" i="2" s="1"/>
  <c r="Q12405" i="2"/>
  <c r="P12401" i="2"/>
  <c r="V12401" i="2" s="1"/>
  <c r="Q12401" i="2"/>
  <c r="P12397" i="2"/>
  <c r="V12397" i="2" s="1"/>
  <c r="Q12397" i="2"/>
  <c r="P12393" i="2"/>
  <c r="V12393" i="2" s="1"/>
  <c r="Q12393" i="2"/>
  <c r="P12389" i="2"/>
  <c r="V12389" i="2" s="1"/>
  <c r="Q12389" i="2"/>
  <c r="P12385" i="2"/>
  <c r="V12385" i="2" s="1"/>
  <c r="Q12385" i="2"/>
  <c r="P12381" i="2"/>
  <c r="V12381" i="2" s="1"/>
  <c r="Q12381" i="2"/>
  <c r="P12377" i="2"/>
  <c r="V12377" i="2" s="1"/>
  <c r="Q12377" i="2"/>
  <c r="P12373" i="2"/>
  <c r="V12373" i="2" s="1"/>
  <c r="Q12373" i="2"/>
  <c r="P12369" i="2"/>
  <c r="V12369" i="2" s="1"/>
  <c r="Q12369" i="2"/>
  <c r="P12365" i="2"/>
  <c r="V12365" i="2" s="1"/>
  <c r="Q12365" i="2"/>
  <c r="P12361" i="2"/>
  <c r="V12361" i="2" s="1"/>
  <c r="Q12361" i="2"/>
  <c r="P12357" i="2"/>
  <c r="V12357" i="2" s="1"/>
  <c r="Q12357" i="2"/>
  <c r="P12353" i="2"/>
  <c r="V12353" i="2" s="1"/>
  <c r="Q12353" i="2"/>
  <c r="P12349" i="2"/>
  <c r="V12349" i="2" s="1"/>
  <c r="Q12349" i="2"/>
  <c r="P12345" i="2"/>
  <c r="V12345" i="2" s="1"/>
  <c r="Q12345" i="2"/>
  <c r="P12341" i="2"/>
  <c r="V12341" i="2" s="1"/>
  <c r="Q12341" i="2"/>
  <c r="P12337" i="2"/>
  <c r="V12337" i="2" s="1"/>
  <c r="Q12337" i="2"/>
  <c r="P12333" i="2"/>
  <c r="V12333" i="2" s="1"/>
  <c r="Q12333" i="2"/>
  <c r="P12329" i="2"/>
  <c r="V12329" i="2" s="1"/>
  <c r="Q12329" i="2"/>
  <c r="P12325" i="2"/>
  <c r="V12325" i="2" s="1"/>
  <c r="Q12325" i="2"/>
  <c r="P12321" i="2"/>
  <c r="V12321" i="2" s="1"/>
  <c r="Q12321" i="2"/>
  <c r="P12317" i="2"/>
  <c r="V12317" i="2" s="1"/>
  <c r="Q12317" i="2"/>
  <c r="P12313" i="2"/>
  <c r="V12313" i="2" s="1"/>
  <c r="Q12313" i="2"/>
  <c r="P12309" i="2"/>
  <c r="V12309" i="2" s="1"/>
  <c r="Q12309" i="2"/>
  <c r="P12305" i="2"/>
  <c r="V12305" i="2" s="1"/>
  <c r="Q12305" i="2"/>
  <c r="P12301" i="2"/>
  <c r="V12301" i="2" s="1"/>
  <c r="Q12301" i="2"/>
  <c r="P12297" i="2"/>
  <c r="V12297" i="2" s="1"/>
  <c r="Q12297" i="2"/>
  <c r="P12293" i="2"/>
  <c r="V12293" i="2" s="1"/>
  <c r="Q12293" i="2"/>
  <c r="P12289" i="2"/>
  <c r="V12289" i="2" s="1"/>
  <c r="Q12289" i="2"/>
  <c r="P12285" i="2"/>
  <c r="V12285" i="2" s="1"/>
  <c r="Q12285" i="2"/>
  <c r="P12281" i="2"/>
  <c r="V12281" i="2" s="1"/>
  <c r="Q12281" i="2"/>
  <c r="P12277" i="2"/>
  <c r="V12277" i="2" s="1"/>
  <c r="Q12277" i="2"/>
  <c r="P12273" i="2"/>
  <c r="V12273" i="2" s="1"/>
  <c r="Q12273" i="2"/>
  <c r="P12269" i="2"/>
  <c r="V12269" i="2" s="1"/>
  <c r="Q12269" i="2"/>
  <c r="P12265" i="2"/>
  <c r="V12265" i="2" s="1"/>
  <c r="Q12265" i="2"/>
  <c r="P12261" i="2"/>
  <c r="V12261" i="2" s="1"/>
  <c r="Q12261" i="2"/>
  <c r="P12257" i="2"/>
  <c r="V12257" i="2" s="1"/>
  <c r="Q12257" i="2"/>
  <c r="P12253" i="2"/>
  <c r="V12253" i="2" s="1"/>
  <c r="Q12253" i="2"/>
  <c r="P12249" i="2"/>
  <c r="V12249" i="2" s="1"/>
  <c r="Q12249" i="2"/>
  <c r="P12245" i="2"/>
  <c r="V12245" i="2" s="1"/>
  <c r="Q12245" i="2"/>
  <c r="P12241" i="2"/>
  <c r="V12241" i="2" s="1"/>
  <c r="Q12241" i="2"/>
  <c r="P12237" i="2"/>
  <c r="V12237" i="2" s="1"/>
  <c r="Q12237" i="2"/>
  <c r="P12233" i="2"/>
  <c r="V12233" i="2" s="1"/>
  <c r="Q12233" i="2"/>
  <c r="P12229" i="2"/>
  <c r="V12229" i="2" s="1"/>
  <c r="Q12229" i="2"/>
  <c r="P12225" i="2"/>
  <c r="V12225" i="2" s="1"/>
  <c r="Q12225" i="2"/>
  <c r="P12221" i="2"/>
  <c r="V12221" i="2" s="1"/>
  <c r="Q12221" i="2"/>
  <c r="P12217" i="2"/>
  <c r="V12217" i="2" s="1"/>
  <c r="Q12217" i="2"/>
  <c r="P12213" i="2"/>
  <c r="V12213" i="2" s="1"/>
  <c r="Q12213" i="2"/>
  <c r="P12209" i="2"/>
  <c r="V12209" i="2" s="1"/>
  <c r="Q12209" i="2"/>
  <c r="P12205" i="2"/>
  <c r="V12205" i="2" s="1"/>
  <c r="Q12205" i="2"/>
  <c r="P12201" i="2"/>
  <c r="V12201" i="2" s="1"/>
  <c r="Q12201" i="2"/>
  <c r="P12197" i="2"/>
  <c r="V12197" i="2" s="1"/>
  <c r="Q12197" i="2"/>
  <c r="P12193" i="2"/>
  <c r="V12193" i="2" s="1"/>
  <c r="Q12193" i="2"/>
  <c r="P12189" i="2"/>
  <c r="V12189" i="2" s="1"/>
  <c r="Q12189" i="2"/>
  <c r="P12185" i="2"/>
  <c r="V12185" i="2" s="1"/>
  <c r="Q12185" i="2"/>
  <c r="P12181" i="2"/>
  <c r="V12181" i="2" s="1"/>
  <c r="Q12181" i="2"/>
  <c r="P12177" i="2"/>
  <c r="V12177" i="2" s="1"/>
  <c r="Q12177" i="2"/>
  <c r="P12173" i="2"/>
  <c r="V12173" i="2" s="1"/>
  <c r="Q12173" i="2"/>
  <c r="P12169" i="2"/>
  <c r="V12169" i="2" s="1"/>
  <c r="Q12169" i="2"/>
  <c r="P12165" i="2"/>
  <c r="V12165" i="2" s="1"/>
  <c r="Q12165" i="2"/>
  <c r="P12161" i="2"/>
  <c r="V12161" i="2" s="1"/>
  <c r="Q12161" i="2"/>
  <c r="P12157" i="2"/>
  <c r="V12157" i="2" s="1"/>
  <c r="Q12157" i="2"/>
  <c r="P12153" i="2"/>
  <c r="V12153" i="2" s="1"/>
  <c r="Q12153" i="2"/>
  <c r="P12149" i="2"/>
  <c r="V12149" i="2" s="1"/>
  <c r="Q12149" i="2"/>
  <c r="P12145" i="2"/>
  <c r="V12145" i="2" s="1"/>
  <c r="Q12145" i="2"/>
  <c r="P12141" i="2"/>
  <c r="V12141" i="2" s="1"/>
  <c r="Q12141" i="2"/>
  <c r="P12137" i="2"/>
  <c r="V12137" i="2" s="1"/>
  <c r="Q12137" i="2"/>
  <c r="P12133" i="2"/>
  <c r="V12133" i="2" s="1"/>
  <c r="Q12133" i="2"/>
  <c r="P12129" i="2"/>
  <c r="V12129" i="2" s="1"/>
  <c r="Q12129" i="2"/>
  <c r="P12125" i="2"/>
  <c r="V12125" i="2" s="1"/>
  <c r="Q12125" i="2"/>
  <c r="P12121" i="2"/>
  <c r="V12121" i="2" s="1"/>
  <c r="Q12121" i="2"/>
  <c r="P12117" i="2"/>
  <c r="V12117" i="2" s="1"/>
  <c r="Q12117" i="2"/>
  <c r="P12113" i="2"/>
  <c r="V12113" i="2" s="1"/>
  <c r="Q12113" i="2"/>
  <c r="P12109" i="2"/>
  <c r="V12109" i="2" s="1"/>
  <c r="Q12109" i="2"/>
  <c r="P12105" i="2"/>
  <c r="V12105" i="2" s="1"/>
  <c r="Q12105" i="2"/>
  <c r="P12101" i="2"/>
  <c r="V12101" i="2" s="1"/>
  <c r="Q12101" i="2"/>
  <c r="P12097" i="2"/>
  <c r="V12097" i="2" s="1"/>
  <c r="Q12097" i="2"/>
  <c r="P12093" i="2"/>
  <c r="V12093" i="2" s="1"/>
  <c r="Q12093" i="2"/>
  <c r="P12089" i="2"/>
  <c r="V12089" i="2" s="1"/>
  <c r="Q12089" i="2"/>
  <c r="P12085" i="2"/>
  <c r="V12085" i="2" s="1"/>
  <c r="Q12085" i="2"/>
  <c r="P12081" i="2"/>
  <c r="V12081" i="2" s="1"/>
  <c r="Q12081" i="2"/>
  <c r="P12077" i="2"/>
  <c r="V12077" i="2" s="1"/>
  <c r="Q12077" i="2"/>
  <c r="P12073" i="2"/>
  <c r="V12073" i="2" s="1"/>
  <c r="Q12073" i="2"/>
  <c r="P12069" i="2"/>
  <c r="V12069" i="2" s="1"/>
  <c r="Q12069" i="2"/>
  <c r="P12065" i="2"/>
  <c r="V12065" i="2" s="1"/>
  <c r="Q12065" i="2"/>
  <c r="P12061" i="2"/>
  <c r="V12061" i="2" s="1"/>
  <c r="Q12061" i="2"/>
  <c r="P12057" i="2"/>
  <c r="V12057" i="2" s="1"/>
  <c r="Q12057" i="2"/>
  <c r="P12053" i="2"/>
  <c r="V12053" i="2" s="1"/>
  <c r="Q12053" i="2"/>
  <c r="P12049" i="2"/>
  <c r="V12049" i="2" s="1"/>
  <c r="Q12049" i="2"/>
  <c r="P12045" i="2"/>
  <c r="V12045" i="2" s="1"/>
  <c r="Q12045" i="2"/>
  <c r="P12041" i="2"/>
  <c r="V12041" i="2" s="1"/>
  <c r="Q12041" i="2"/>
  <c r="P12037" i="2"/>
  <c r="V12037" i="2" s="1"/>
  <c r="Q12037" i="2"/>
  <c r="P12033" i="2"/>
  <c r="V12033" i="2" s="1"/>
  <c r="Q12033" i="2"/>
  <c r="P12029" i="2"/>
  <c r="V12029" i="2" s="1"/>
  <c r="Q12029" i="2"/>
  <c r="P12025" i="2"/>
  <c r="V12025" i="2" s="1"/>
  <c r="Q12025" i="2"/>
  <c r="P12021" i="2"/>
  <c r="V12021" i="2" s="1"/>
  <c r="Q12021" i="2"/>
  <c r="P12017" i="2"/>
  <c r="V12017" i="2" s="1"/>
  <c r="Q12017" i="2"/>
  <c r="P12013" i="2"/>
  <c r="V12013" i="2" s="1"/>
  <c r="Q12013" i="2"/>
  <c r="P12009" i="2"/>
  <c r="V12009" i="2" s="1"/>
  <c r="Q12009" i="2"/>
  <c r="P12005" i="2"/>
  <c r="V12005" i="2" s="1"/>
  <c r="Q12005" i="2"/>
  <c r="P12001" i="2"/>
  <c r="V12001" i="2" s="1"/>
  <c r="Q12001" i="2"/>
  <c r="P11997" i="2"/>
  <c r="V11997" i="2" s="1"/>
  <c r="Q11997" i="2"/>
  <c r="P11993" i="2"/>
  <c r="V11993" i="2" s="1"/>
  <c r="Q11993" i="2"/>
  <c r="P11989" i="2"/>
  <c r="V11989" i="2" s="1"/>
  <c r="Q11989" i="2"/>
  <c r="P11985" i="2"/>
  <c r="V11985" i="2" s="1"/>
  <c r="Q11985" i="2"/>
  <c r="P11981" i="2"/>
  <c r="V11981" i="2" s="1"/>
  <c r="Q11981" i="2"/>
  <c r="P11977" i="2"/>
  <c r="V11977" i="2" s="1"/>
  <c r="Q11977" i="2"/>
  <c r="P11973" i="2"/>
  <c r="V11973" i="2" s="1"/>
  <c r="Q11973" i="2"/>
  <c r="P11969" i="2"/>
  <c r="V11969" i="2" s="1"/>
  <c r="Q11969" i="2"/>
  <c r="P11965" i="2"/>
  <c r="V11965" i="2" s="1"/>
  <c r="Q11965" i="2"/>
  <c r="P11961" i="2"/>
  <c r="V11961" i="2" s="1"/>
  <c r="Q11961" i="2"/>
  <c r="P11957" i="2"/>
  <c r="V11957" i="2" s="1"/>
  <c r="Q11957" i="2"/>
  <c r="P11953" i="2"/>
  <c r="V11953" i="2" s="1"/>
  <c r="Q11953" i="2"/>
  <c r="P11949" i="2"/>
  <c r="V11949" i="2" s="1"/>
  <c r="Q11949" i="2"/>
  <c r="P11945" i="2"/>
  <c r="V11945" i="2" s="1"/>
  <c r="Q11945" i="2"/>
  <c r="P11941" i="2"/>
  <c r="V11941" i="2" s="1"/>
  <c r="Q11941" i="2"/>
  <c r="P11937" i="2"/>
  <c r="V11937" i="2" s="1"/>
  <c r="Q11937" i="2"/>
  <c r="P11933" i="2"/>
  <c r="V11933" i="2" s="1"/>
  <c r="Q11933" i="2"/>
  <c r="P11929" i="2"/>
  <c r="V11929" i="2" s="1"/>
  <c r="Q11929" i="2"/>
  <c r="P11925" i="2"/>
  <c r="V11925" i="2" s="1"/>
  <c r="Q11925" i="2"/>
  <c r="P11921" i="2"/>
  <c r="V11921" i="2" s="1"/>
  <c r="Q11921" i="2"/>
  <c r="P11917" i="2"/>
  <c r="V11917" i="2" s="1"/>
  <c r="Q11917" i="2"/>
  <c r="P11913" i="2"/>
  <c r="V11913" i="2" s="1"/>
  <c r="Q11913" i="2"/>
  <c r="P11909" i="2"/>
  <c r="V11909" i="2" s="1"/>
  <c r="Q11909" i="2"/>
  <c r="P11905" i="2"/>
  <c r="V11905" i="2" s="1"/>
  <c r="Q11905" i="2"/>
  <c r="P11901" i="2"/>
  <c r="V11901" i="2" s="1"/>
  <c r="Q11901" i="2"/>
  <c r="P11897" i="2"/>
  <c r="V11897" i="2" s="1"/>
  <c r="Q11897" i="2"/>
  <c r="P11893" i="2"/>
  <c r="V11893" i="2" s="1"/>
  <c r="Q11893" i="2"/>
  <c r="P11889" i="2"/>
  <c r="V11889" i="2" s="1"/>
  <c r="Q11889" i="2"/>
  <c r="P11885" i="2"/>
  <c r="V11885" i="2" s="1"/>
  <c r="Q11885" i="2"/>
  <c r="P11881" i="2"/>
  <c r="V11881" i="2" s="1"/>
  <c r="Q11881" i="2"/>
  <c r="P11877" i="2"/>
  <c r="V11877" i="2" s="1"/>
  <c r="Q11877" i="2"/>
  <c r="P11873" i="2"/>
  <c r="V11873" i="2" s="1"/>
  <c r="Q11873" i="2"/>
  <c r="P11869" i="2"/>
  <c r="V11869" i="2" s="1"/>
  <c r="Q11869" i="2"/>
  <c r="P11865" i="2"/>
  <c r="V11865" i="2" s="1"/>
  <c r="Q11865" i="2"/>
  <c r="P11861" i="2"/>
  <c r="V11861" i="2" s="1"/>
  <c r="Q11861" i="2"/>
  <c r="P11857" i="2"/>
  <c r="V11857" i="2" s="1"/>
  <c r="Q11857" i="2"/>
  <c r="P11853" i="2"/>
  <c r="V11853" i="2" s="1"/>
  <c r="Q11853" i="2"/>
  <c r="P11849" i="2"/>
  <c r="V11849" i="2" s="1"/>
  <c r="Q11849" i="2"/>
  <c r="P11845" i="2"/>
  <c r="V11845" i="2" s="1"/>
  <c r="Q11845" i="2"/>
  <c r="P11841" i="2"/>
  <c r="V11841" i="2" s="1"/>
  <c r="Q11841" i="2"/>
  <c r="P11837" i="2"/>
  <c r="V11837" i="2" s="1"/>
  <c r="Q11837" i="2"/>
  <c r="P11833" i="2"/>
  <c r="V11833" i="2" s="1"/>
  <c r="Q11833" i="2"/>
  <c r="P11829" i="2"/>
  <c r="V11829" i="2" s="1"/>
  <c r="Q11829" i="2"/>
  <c r="P11825" i="2"/>
  <c r="V11825" i="2" s="1"/>
  <c r="Q11825" i="2"/>
  <c r="P11821" i="2"/>
  <c r="V11821" i="2" s="1"/>
  <c r="Q11821" i="2"/>
  <c r="P11817" i="2"/>
  <c r="V11817" i="2" s="1"/>
  <c r="Q11817" i="2"/>
  <c r="P11813" i="2"/>
  <c r="V11813" i="2" s="1"/>
  <c r="Q11813" i="2"/>
  <c r="P11809" i="2"/>
  <c r="V11809" i="2" s="1"/>
  <c r="Q11809" i="2"/>
  <c r="P11805" i="2"/>
  <c r="V11805" i="2" s="1"/>
  <c r="Q11805" i="2"/>
  <c r="P11801" i="2"/>
  <c r="V11801" i="2" s="1"/>
  <c r="Q11801" i="2"/>
  <c r="P11797" i="2"/>
  <c r="V11797" i="2" s="1"/>
  <c r="Q11797" i="2"/>
  <c r="P11793" i="2"/>
  <c r="V11793" i="2" s="1"/>
  <c r="Q11793" i="2"/>
  <c r="P11789" i="2"/>
  <c r="V11789" i="2" s="1"/>
  <c r="Q11789" i="2"/>
  <c r="P11785" i="2"/>
  <c r="V11785" i="2" s="1"/>
  <c r="Q11785" i="2"/>
  <c r="P11781" i="2"/>
  <c r="V11781" i="2" s="1"/>
  <c r="Q11781" i="2"/>
  <c r="P11777" i="2"/>
  <c r="V11777" i="2" s="1"/>
  <c r="Q11777" i="2"/>
  <c r="P11773" i="2"/>
  <c r="V11773" i="2" s="1"/>
  <c r="Q11773" i="2"/>
  <c r="P11769" i="2"/>
  <c r="V11769" i="2" s="1"/>
  <c r="Q11769" i="2"/>
  <c r="P11765" i="2"/>
  <c r="V11765" i="2" s="1"/>
  <c r="Q11765" i="2"/>
  <c r="P11761" i="2"/>
  <c r="V11761" i="2" s="1"/>
  <c r="Q11761" i="2"/>
  <c r="P11757" i="2"/>
  <c r="V11757" i="2" s="1"/>
  <c r="Q11757" i="2"/>
  <c r="P11753" i="2"/>
  <c r="V11753" i="2" s="1"/>
  <c r="Q11753" i="2"/>
  <c r="P11749" i="2"/>
  <c r="V11749" i="2" s="1"/>
  <c r="Q11749" i="2"/>
  <c r="P11745" i="2"/>
  <c r="V11745" i="2" s="1"/>
  <c r="Q11745" i="2"/>
  <c r="P11741" i="2"/>
  <c r="V11741" i="2" s="1"/>
  <c r="Q11741" i="2"/>
  <c r="P11737" i="2"/>
  <c r="V11737" i="2" s="1"/>
  <c r="Q11737" i="2"/>
  <c r="P11733" i="2"/>
  <c r="V11733" i="2" s="1"/>
  <c r="Q11733" i="2"/>
  <c r="P11729" i="2"/>
  <c r="V11729" i="2" s="1"/>
  <c r="Q11729" i="2"/>
  <c r="P11725" i="2"/>
  <c r="V11725" i="2" s="1"/>
  <c r="Q11725" i="2"/>
  <c r="P11721" i="2"/>
  <c r="V11721" i="2" s="1"/>
  <c r="Q11721" i="2"/>
  <c r="P11717" i="2"/>
  <c r="V11717" i="2" s="1"/>
  <c r="Q11717" i="2"/>
  <c r="P11713" i="2"/>
  <c r="V11713" i="2" s="1"/>
  <c r="Q11713" i="2"/>
  <c r="P11709" i="2"/>
  <c r="V11709" i="2" s="1"/>
  <c r="Q11709" i="2"/>
  <c r="P11705" i="2"/>
  <c r="V11705" i="2" s="1"/>
  <c r="Q11705" i="2"/>
  <c r="P11701" i="2"/>
  <c r="V11701" i="2" s="1"/>
  <c r="Q11701" i="2"/>
  <c r="P11697" i="2"/>
  <c r="V11697" i="2" s="1"/>
  <c r="Q11697" i="2"/>
  <c r="P11693" i="2"/>
  <c r="V11693" i="2" s="1"/>
  <c r="Q11693" i="2"/>
  <c r="P11689" i="2"/>
  <c r="V11689" i="2" s="1"/>
  <c r="Q11689" i="2"/>
  <c r="P11685" i="2"/>
  <c r="V11685" i="2" s="1"/>
  <c r="Q11685" i="2"/>
  <c r="P11681" i="2"/>
  <c r="V11681" i="2" s="1"/>
  <c r="Q11681" i="2"/>
  <c r="P11677" i="2"/>
  <c r="V11677" i="2" s="1"/>
  <c r="Q11677" i="2"/>
  <c r="P11673" i="2"/>
  <c r="V11673" i="2" s="1"/>
  <c r="Q11673" i="2"/>
  <c r="P11669" i="2"/>
  <c r="V11669" i="2" s="1"/>
  <c r="Q11669" i="2"/>
  <c r="P11665" i="2"/>
  <c r="V11665" i="2" s="1"/>
  <c r="Q11665" i="2"/>
  <c r="P11661" i="2"/>
  <c r="V11661" i="2" s="1"/>
  <c r="Q11661" i="2"/>
  <c r="P11657" i="2"/>
  <c r="V11657" i="2" s="1"/>
  <c r="Q11657" i="2"/>
  <c r="P11653" i="2"/>
  <c r="V11653" i="2" s="1"/>
  <c r="Q11653" i="2"/>
  <c r="P11649" i="2"/>
  <c r="V11649" i="2" s="1"/>
  <c r="Q11649" i="2"/>
  <c r="P11645" i="2"/>
  <c r="V11645" i="2" s="1"/>
  <c r="Q11645" i="2"/>
  <c r="P11641" i="2"/>
  <c r="V11641" i="2" s="1"/>
  <c r="Q11641" i="2"/>
  <c r="P11637" i="2"/>
  <c r="V11637" i="2" s="1"/>
  <c r="Q11637" i="2"/>
  <c r="P11633" i="2"/>
  <c r="V11633" i="2" s="1"/>
  <c r="Q11633" i="2"/>
  <c r="P11629" i="2"/>
  <c r="V11629" i="2" s="1"/>
  <c r="Q11629" i="2"/>
  <c r="P11625" i="2"/>
  <c r="V11625" i="2" s="1"/>
  <c r="Q11625" i="2"/>
  <c r="P11621" i="2"/>
  <c r="V11621" i="2" s="1"/>
  <c r="Q11621" i="2"/>
  <c r="P11617" i="2"/>
  <c r="V11617" i="2" s="1"/>
  <c r="Q11617" i="2"/>
  <c r="P11613" i="2"/>
  <c r="V11613" i="2" s="1"/>
  <c r="Q11613" i="2"/>
  <c r="P11609" i="2"/>
  <c r="V11609" i="2" s="1"/>
  <c r="Q11609" i="2"/>
  <c r="P11605" i="2"/>
  <c r="V11605" i="2" s="1"/>
  <c r="Q11605" i="2"/>
  <c r="P11601" i="2"/>
  <c r="V11601" i="2" s="1"/>
  <c r="Q11601" i="2"/>
  <c r="P11597" i="2"/>
  <c r="V11597" i="2" s="1"/>
  <c r="Q11597" i="2"/>
  <c r="P11593" i="2"/>
  <c r="V11593" i="2" s="1"/>
  <c r="Q11593" i="2"/>
  <c r="P11589" i="2"/>
  <c r="V11589" i="2" s="1"/>
  <c r="Q11589" i="2"/>
  <c r="P11585" i="2"/>
  <c r="V11585" i="2" s="1"/>
  <c r="Q11585" i="2"/>
  <c r="P11581" i="2"/>
  <c r="V11581" i="2" s="1"/>
  <c r="Q11581" i="2"/>
  <c r="P11577" i="2"/>
  <c r="V11577" i="2" s="1"/>
  <c r="Q11577" i="2"/>
  <c r="P11573" i="2"/>
  <c r="V11573" i="2" s="1"/>
  <c r="Q11573" i="2"/>
  <c r="P11569" i="2"/>
  <c r="V11569" i="2" s="1"/>
  <c r="Q11569" i="2"/>
  <c r="P11565" i="2"/>
  <c r="V11565" i="2" s="1"/>
  <c r="Q11565" i="2"/>
  <c r="P11561" i="2"/>
  <c r="V11561" i="2" s="1"/>
  <c r="Q11561" i="2"/>
  <c r="P11557" i="2"/>
  <c r="V11557" i="2" s="1"/>
  <c r="Q11557" i="2"/>
  <c r="P11553" i="2"/>
  <c r="V11553" i="2" s="1"/>
  <c r="Q11553" i="2"/>
  <c r="P11549" i="2"/>
  <c r="V11549" i="2" s="1"/>
  <c r="Q11549" i="2"/>
  <c r="P11545" i="2"/>
  <c r="V11545" i="2" s="1"/>
  <c r="Q11545" i="2"/>
  <c r="P11541" i="2"/>
  <c r="V11541" i="2" s="1"/>
  <c r="Q11541" i="2"/>
  <c r="P11537" i="2"/>
  <c r="V11537" i="2" s="1"/>
  <c r="Q11537" i="2"/>
  <c r="P11533" i="2"/>
  <c r="V11533" i="2" s="1"/>
  <c r="Q11533" i="2"/>
  <c r="P11529" i="2"/>
  <c r="V11529" i="2" s="1"/>
  <c r="Q11529" i="2"/>
  <c r="P11525" i="2"/>
  <c r="V11525" i="2" s="1"/>
  <c r="Q11525" i="2"/>
  <c r="P11521" i="2"/>
  <c r="V11521" i="2" s="1"/>
  <c r="Q11521" i="2"/>
  <c r="P11517" i="2"/>
  <c r="V11517" i="2" s="1"/>
  <c r="Q11517" i="2"/>
  <c r="P11513" i="2"/>
  <c r="V11513" i="2" s="1"/>
  <c r="Q11513" i="2"/>
  <c r="P11509" i="2"/>
  <c r="V11509" i="2" s="1"/>
  <c r="Q11509" i="2"/>
  <c r="P11505" i="2"/>
  <c r="V11505" i="2" s="1"/>
  <c r="Q11505" i="2"/>
  <c r="P11501" i="2"/>
  <c r="V11501" i="2" s="1"/>
  <c r="Q11501" i="2"/>
  <c r="P11497" i="2"/>
  <c r="V11497" i="2" s="1"/>
  <c r="Q11497" i="2"/>
  <c r="P11493" i="2"/>
  <c r="V11493" i="2" s="1"/>
  <c r="Q11493" i="2"/>
  <c r="P11489" i="2"/>
  <c r="V11489" i="2" s="1"/>
  <c r="Q11489" i="2"/>
  <c r="P11485" i="2"/>
  <c r="V11485" i="2" s="1"/>
  <c r="Q11485" i="2"/>
  <c r="P11481" i="2"/>
  <c r="V11481" i="2" s="1"/>
  <c r="Q11481" i="2"/>
  <c r="P11477" i="2"/>
  <c r="V11477" i="2" s="1"/>
  <c r="Q11477" i="2"/>
  <c r="P11473" i="2"/>
  <c r="V11473" i="2" s="1"/>
  <c r="Q11473" i="2"/>
  <c r="P11469" i="2"/>
  <c r="V11469" i="2" s="1"/>
  <c r="Q11469" i="2"/>
  <c r="P11465" i="2"/>
  <c r="V11465" i="2" s="1"/>
  <c r="Q11465" i="2"/>
  <c r="P11461" i="2"/>
  <c r="V11461" i="2" s="1"/>
  <c r="Q11461" i="2"/>
  <c r="P11457" i="2"/>
  <c r="V11457" i="2" s="1"/>
  <c r="Q11457" i="2"/>
  <c r="P11453" i="2"/>
  <c r="V11453" i="2" s="1"/>
  <c r="Q11453" i="2"/>
  <c r="P11449" i="2"/>
  <c r="V11449" i="2" s="1"/>
  <c r="Q11449" i="2"/>
  <c r="P11445" i="2"/>
  <c r="V11445" i="2" s="1"/>
  <c r="Q11445" i="2"/>
  <c r="P11441" i="2"/>
  <c r="V11441" i="2" s="1"/>
  <c r="Q11441" i="2"/>
  <c r="P11437" i="2"/>
  <c r="V11437" i="2" s="1"/>
  <c r="Q11437" i="2"/>
  <c r="P11433" i="2"/>
  <c r="V11433" i="2" s="1"/>
  <c r="Q11433" i="2"/>
  <c r="P11429" i="2"/>
  <c r="V11429" i="2" s="1"/>
  <c r="Q11429" i="2"/>
  <c r="P11425" i="2"/>
  <c r="V11425" i="2" s="1"/>
  <c r="Q11425" i="2"/>
  <c r="P11421" i="2"/>
  <c r="V11421" i="2" s="1"/>
  <c r="Q11421" i="2"/>
  <c r="P11417" i="2"/>
  <c r="V11417" i="2" s="1"/>
  <c r="Q11417" i="2"/>
  <c r="P11413" i="2"/>
  <c r="V11413" i="2" s="1"/>
  <c r="Q11413" i="2"/>
  <c r="P11409" i="2"/>
  <c r="V11409" i="2" s="1"/>
  <c r="Q11409" i="2"/>
  <c r="P11405" i="2"/>
  <c r="V11405" i="2" s="1"/>
  <c r="Q11405" i="2"/>
  <c r="P11401" i="2"/>
  <c r="V11401" i="2" s="1"/>
  <c r="Q11401" i="2"/>
  <c r="P11397" i="2"/>
  <c r="V11397" i="2" s="1"/>
  <c r="Q11397" i="2"/>
  <c r="P11393" i="2"/>
  <c r="V11393" i="2" s="1"/>
  <c r="Q11393" i="2"/>
  <c r="P11389" i="2"/>
  <c r="V11389" i="2" s="1"/>
  <c r="Q11389" i="2"/>
  <c r="P11385" i="2"/>
  <c r="V11385" i="2" s="1"/>
  <c r="Q11385" i="2"/>
  <c r="P11381" i="2"/>
  <c r="V11381" i="2" s="1"/>
  <c r="Q11381" i="2"/>
  <c r="P11377" i="2"/>
  <c r="V11377" i="2" s="1"/>
  <c r="Q11377" i="2"/>
  <c r="P11373" i="2"/>
  <c r="V11373" i="2" s="1"/>
  <c r="Q11373" i="2"/>
  <c r="P11369" i="2"/>
  <c r="V11369" i="2" s="1"/>
  <c r="Q11369" i="2"/>
  <c r="P11365" i="2"/>
  <c r="V11365" i="2" s="1"/>
  <c r="Q11365" i="2"/>
  <c r="P11361" i="2"/>
  <c r="V11361" i="2" s="1"/>
  <c r="Q11361" i="2"/>
  <c r="P11357" i="2"/>
  <c r="V11357" i="2" s="1"/>
  <c r="Q11357" i="2"/>
  <c r="P11353" i="2"/>
  <c r="V11353" i="2" s="1"/>
  <c r="Q11353" i="2"/>
  <c r="P11349" i="2"/>
  <c r="V11349" i="2" s="1"/>
  <c r="Q11349" i="2"/>
  <c r="P11345" i="2"/>
  <c r="V11345" i="2" s="1"/>
  <c r="Q11345" i="2"/>
  <c r="P11341" i="2"/>
  <c r="V11341" i="2" s="1"/>
  <c r="Q11341" i="2"/>
  <c r="P11337" i="2"/>
  <c r="V11337" i="2" s="1"/>
  <c r="Q11337" i="2"/>
  <c r="P11333" i="2"/>
  <c r="V11333" i="2" s="1"/>
  <c r="Q11333" i="2"/>
  <c r="P11329" i="2"/>
  <c r="V11329" i="2" s="1"/>
  <c r="Q11329" i="2"/>
  <c r="P11325" i="2"/>
  <c r="V11325" i="2" s="1"/>
  <c r="Q11325" i="2"/>
  <c r="P11321" i="2"/>
  <c r="V11321" i="2" s="1"/>
  <c r="Q11321" i="2"/>
  <c r="P11317" i="2"/>
  <c r="V11317" i="2" s="1"/>
  <c r="Q11317" i="2"/>
  <c r="P11313" i="2"/>
  <c r="V11313" i="2" s="1"/>
  <c r="Q11313" i="2"/>
  <c r="P11309" i="2"/>
  <c r="V11309" i="2" s="1"/>
  <c r="Q11309" i="2"/>
  <c r="P11305" i="2"/>
  <c r="V11305" i="2" s="1"/>
  <c r="Q11305" i="2"/>
  <c r="P11301" i="2"/>
  <c r="V11301" i="2" s="1"/>
  <c r="Q11301" i="2"/>
  <c r="P11297" i="2"/>
  <c r="V11297" i="2" s="1"/>
  <c r="Q11297" i="2"/>
  <c r="P11293" i="2"/>
  <c r="V11293" i="2" s="1"/>
  <c r="Q11293" i="2"/>
  <c r="P11289" i="2"/>
  <c r="V11289" i="2" s="1"/>
  <c r="Q11289" i="2"/>
  <c r="P11285" i="2"/>
  <c r="V11285" i="2" s="1"/>
  <c r="Q11285" i="2"/>
  <c r="P11281" i="2"/>
  <c r="V11281" i="2" s="1"/>
  <c r="Q11281" i="2"/>
  <c r="P11277" i="2"/>
  <c r="V11277" i="2" s="1"/>
  <c r="Q11277" i="2"/>
  <c r="P11273" i="2"/>
  <c r="V11273" i="2" s="1"/>
  <c r="Q11273" i="2"/>
  <c r="P11269" i="2"/>
  <c r="V11269" i="2" s="1"/>
  <c r="Q11269" i="2"/>
  <c r="P11265" i="2"/>
  <c r="V11265" i="2" s="1"/>
  <c r="Q11265" i="2"/>
  <c r="P11261" i="2"/>
  <c r="V11261" i="2" s="1"/>
  <c r="Q11261" i="2"/>
  <c r="P11257" i="2"/>
  <c r="V11257" i="2" s="1"/>
  <c r="Q11257" i="2"/>
  <c r="P11253" i="2"/>
  <c r="V11253" i="2" s="1"/>
  <c r="Q11253" i="2"/>
  <c r="P11249" i="2"/>
  <c r="V11249" i="2" s="1"/>
  <c r="Q11249" i="2"/>
  <c r="P11245" i="2"/>
  <c r="V11245" i="2" s="1"/>
  <c r="Q11245" i="2"/>
  <c r="P11241" i="2"/>
  <c r="V11241" i="2" s="1"/>
  <c r="Q11241" i="2"/>
  <c r="P11237" i="2"/>
  <c r="V11237" i="2" s="1"/>
  <c r="Q11237" i="2"/>
  <c r="P11233" i="2"/>
  <c r="V11233" i="2" s="1"/>
  <c r="Q11233" i="2"/>
  <c r="P11229" i="2"/>
  <c r="V11229" i="2" s="1"/>
  <c r="Q11229" i="2"/>
  <c r="P11225" i="2"/>
  <c r="V11225" i="2" s="1"/>
  <c r="Q11225" i="2"/>
  <c r="P11221" i="2"/>
  <c r="V11221" i="2" s="1"/>
  <c r="Q11221" i="2"/>
  <c r="P11217" i="2"/>
  <c r="V11217" i="2" s="1"/>
  <c r="Q11217" i="2"/>
  <c r="P11213" i="2"/>
  <c r="V11213" i="2" s="1"/>
  <c r="Q11213" i="2"/>
  <c r="P11209" i="2"/>
  <c r="V11209" i="2" s="1"/>
  <c r="Q11209" i="2"/>
  <c r="P11205" i="2"/>
  <c r="V11205" i="2" s="1"/>
  <c r="Q11205" i="2"/>
  <c r="P11201" i="2"/>
  <c r="V11201" i="2" s="1"/>
  <c r="Q11201" i="2"/>
  <c r="P11197" i="2"/>
  <c r="V11197" i="2" s="1"/>
  <c r="Q11197" i="2"/>
  <c r="P11193" i="2"/>
  <c r="V11193" i="2" s="1"/>
  <c r="Q11193" i="2"/>
  <c r="P11189" i="2"/>
  <c r="V11189" i="2" s="1"/>
  <c r="Q11189" i="2"/>
  <c r="P11185" i="2"/>
  <c r="V11185" i="2" s="1"/>
  <c r="Q11185" i="2"/>
  <c r="P11181" i="2"/>
  <c r="V11181" i="2" s="1"/>
  <c r="Q11181" i="2"/>
  <c r="P11177" i="2"/>
  <c r="V11177" i="2" s="1"/>
  <c r="Q11177" i="2"/>
  <c r="P11173" i="2"/>
  <c r="V11173" i="2" s="1"/>
  <c r="Q11173" i="2"/>
  <c r="P11169" i="2"/>
  <c r="V11169" i="2" s="1"/>
  <c r="Q11169" i="2"/>
  <c r="P11165" i="2"/>
  <c r="V11165" i="2" s="1"/>
  <c r="Q11165" i="2"/>
  <c r="P11161" i="2"/>
  <c r="V11161" i="2" s="1"/>
  <c r="Q11161" i="2"/>
  <c r="P11157" i="2"/>
  <c r="V11157" i="2" s="1"/>
  <c r="Q11157" i="2"/>
  <c r="P11153" i="2"/>
  <c r="V11153" i="2" s="1"/>
  <c r="Q11153" i="2"/>
  <c r="P11149" i="2"/>
  <c r="V11149" i="2" s="1"/>
  <c r="Q11149" i="2"/>
  <c r="P11145" i="2"/>
  <c r="V11145" i="2" s="1"/>
  <c r="Q11145" i="2"/>
  <c r="P11141" i="2"/>
  <c r="V11141" i="2" s="1"/>
  <c r="Q11141" i="2"/>
  <c r="P11137" i="2"/>
  <c r="V11137" i="2" s="1"/>
  <c r="Q11137" i="2"/>
  <c r="P11133" i="2"/>
  <c r="V11133" i="2" s="1"/>
  <c r="Q11133" i="2"/>
  <c r="P11129" i="2"/>
  <c r="V11129" i="2" s="1"/>
  <c r="Q11129" i="2"/>
  <c r="P11125" i="2"/>
  <c r="V11125" i="2" s="1"/>
  <c r="Q11125" i="2"/>
  <c r="P11121" i="2"/>
  <c r="V11121" i="2" s="1"/>
  <c r="Q11121" i="2"/>
  <c r="P11117" i="2"/>
  <c r="V11117" i="2" s="1"/>
  <c r="Q11117" i="2"/>
  <c r="P11113" i="2"/>
  <c r="V11113" i="2" s="1"/>
  <c r="Q11113" i="2"/>
  <c r="P11109" i="2"/>
  <c r="V11109" i="2" s="1"/>
  <c r="Q11109" i="2"/>
  <c r="P11105" i="2"/>
  <c r="V11105" i="2" s="1"/>
  <c r="Q11105" i="2"/>
  <c r="P11101" i="2"/>
  <c r="V11101" i="2" s="1"/>
  <c r="Q11101" i="2"/>
  <c r="P11097" i="2"/>
  <c r="V11097" i="2" s="1"/>
  <c r="Q11097" i="2"/>
  <c r="P11093" i="2"/>
  <c r="V11093" i="2" s="1"/>
  <c r="Q11093" i="2"/>
  <c r="P11089" i="2"/>
  <c r="V11089" i="2" s="1"/>
  <c r="Q11089" i="2"/>
  <c r="P11085" i="2"/>
  <c r="V11085" i="2" s="1"/>
  <c r="Q11085" i="2"/>
  <c r="P11081" i="2"/>
  <c r="V11081" i="2" s="1"/>
  <c r="Q11081" i="2"/>
  <c r="P11077" i="2"/>
  <c r="V11077" i="2" s="1"/>
  <c r="Q11077" i="2"/>
  <c r="P11073" i="2"/>
  <c r="V11073" i="2" s="1"/>
  <c r="Q11073" i="2"/>
  <c r="P11069" i="2"/>
  <c r="V11069" i="2" s="1"/>
  <c r="Q11069" i="2"/>
  <c r="P11065" i="2"/>
  <c r="V11065" i="2" s="1"/>
  <c r="Q11065" i="2"/>
  <c r="P11061" i="2"/>
  <c r="V11061" i="2" s="1"/>
  <c r="Q11061" i="2"/>
  <c r="P11057" i="2"/>
  <c r="V11057" i="2" s="1"/>
  <c r="Q11057" i="2"/>
  <c r="P11053" i="2"/>
  <c r="V11053" i="2" s="1"/>
  <c r="Q11053" i="2"/>
  <c r="P11049" i="2"/>
  <c r="V11049" i="2" s="1"/>
  <c r="Q11049" i="2"/>
  <c r="P11045" i="2"/>
  <c r="V11045" i="2" s="1"/>
  <c r="Q11045" i="2"/>
  <c r="P11041" i="2"/>
  <c r="V11041" i="2" s="1"/>
  <c r="Q11041" i="2"/>
  <c r="P11037" i="2"/>
  <c r="V11037" i="2" s="1"/>
  <c r="Q11037" i="2"/>
  <c r="P11033" i="2"/>
  <c r="V11033" i="2" s="1"/>
  <c r="Q11033" i="2"/>
  <c r="P11029" i="2"/>
  <c r="V11029" i="2" s="1"/>
  <c r="Q11029" i="2"/>
  <c r="P11025" i="2"/>
  <c r="V11025" i="2" s="1"/>
  <c r="Q11025" i="2"/>
  <c r="P11021" i="2"/>
  <c r="V11021" i="2" s="1"/>
  <c r="Q11021" i="2"/>
  <c r="P11017" i="2"/>
  <c r="V11017" i="2" s="1"/>
  <c r="Q11017" i="2"/>
  <c r="P11013" i="2"/>
  <c r="V11013" i="2" s="1"/>
  <c r="Q11013" i="2"/>
  <c r="P11009" i="2"/>
  <c r="V11009" i="2" s="1"/>
  <c r="Q11009" i="2"/>
  <c r="P11005" i="2"/>
  <c r="V11005" i="2" s="1"/>
  <c r="Q11005" i="2"/>
  <c r="P11001" i="2"/>
  <c r="V11001" i="2" s="1"/>
  <c r="Q11001" i="2"/>
  <c r="P10997" i="2"/>
  <c r="V10997" i="2" s="1"/>
  <c r="Q10997" i="2"/>
  <c r="P10993" i="2"/>
  <c r="V10993" i="2" s="1"/>
  <c r="Q10993" i="2"/>
  <c r="P10989" i="2"/>
  <c r="V10989" i="2" s="1"/>
  <c r="Q10989" i="2"/>
  <c r="P10985" i="2"/>
  <c r="V10985" i="2" s="1"/>
  <c r="Q10985" i="2"/>
  <c r="P10981" i="2"/>
  <c r="V10981" i="2" s="1"/>
  <c r="Q10981" i="2"/>
  <c r="P10977" i="2"/>
  <c r="V10977" i="2" s="1"/>
  <c r="Q10977" i="2"/>
  <c r="P10973" i="2"/>
  <c r="V10973" i="2" s="1"/>
  <c r="Q10973" i="2"/>
  <c r="P10969" i="2"/>
  <c r="V10969" i="2" s="1"/>
  <c r="Q10969" i="2"/>
  <c r="P10965" i="2"/>
  <c r="V10965" i="2" s="1"/>
  <c r="Q10965" i="2"/>
  <c r="P10961" i="2"/>
  <c r="V10961" i="2" s="1"/>
  <c r="Q10961" i="2"/>
  <c r="P10957" i="2"/>
  <c r="V10957" i="2" s="1"/>
  <c r="Q10957" i="2"/>
  <c r="P10953" i="2"/>
  <c r="V10953" i="2" s="1"/>
  <c r="Q10953" i="2"/>
  <c r="P10949" i="2"/>
  <c r="V10949" i="2" s="1"/>
  <c r="Q10949" i="2"/>
  <c r="P10945" i="2"/>
  <c r="V10945" i="2" s="1"/>
  <c r="Q10945" i="2"/>
  <c r="P10941" i="2"/>
  <c r="V10941" i="2" s="1"/>
  <c r="Q10941" i="2"/>
  <c r="P10937" i="2"/>
  <c r="V10937" i="2" s="1"/>
  <c r="Q10937" i="2"/>
  <c r="P10933" i="2"/>
  <c r="V10933" i="2" s="1"/>
  <c r="Q10933" i="2"/>
  <c r="P10929" i="2"/>
  <c r="V10929" i="2" s="1"/>
  <c r="Q10929" i="2"/>
  <c r="P10925" i="2"/>
  <c r="V10925" i="2" s="1"/>
  <c r="Q10925" i="2"/>
  <c r="P10921" i="2"/>
  <c r="V10921" i="2" s="1"/>
  <c r="Q10921" i="2"/>
  <c r="P10917" i="2"/>
  <c r="V10917" i="2" s="1"/>
  <c r="Q10917" i="2"/>
  <c r="P10913" i="2"/>
  <c r="V10913" i="2" s="1"/>
  <c r="Q10913" i="2"/>
  <c r="P10909" i="2"/>
  <c r="V10909" i="2" s="1"/>
  <c r="Q10909" i="2"/>
  <c r="P10905" i="2"/>
  <c r="V10905" i="2" s="1"/>
  <c r="Q10905" i="2"/>
  <c r="P10901" i="2"/>
  <c r="V10901" i="2" s="1"/>
  <c r="Q10901" i="2"/>
  <c r="P10897" i="2"/>
  <c r="V10897" i="2" s="1"/>
  <c r="Q10897" i="2"/>
  <c r="P10893" i="2"/>
  <c r="V10893" i="2" s="1"/>
  <c r="Q10893" i="2"/>
  <c r="P10889" i="2"/>
  <c r="V10889" i="2" s="1"/>
  <c r="Q10889" i="2"/>
  <c r="P10885" i="2"/>
  <c r="V10885" i="2" s="1"/>
  <c r="Q10885" i="2"/>
  <c r="P10881" i="2"/>
  <c r="V10881" i="2" s="1"/>
  <c r="Q10881" i="2"/>
  <c r="P10877" i="2"/>
  <c r="V10877" i="2" s="1"/>
  <c r="Q10877" i="2"/>
  <c r="P10873" i="2"/>
  <c r="V10873" i="2" s="1"/>
  <c r="Q10873" i="2"/>
  <c r="P10869" i="2"/>
  <c r="V10869" i="2" s="1"/>
  <c r="Q10869" i="2"/>
  <c r="P10865" i="2"/>
  <c r="V10865" i="2" s="1"/>
  <c r="Q10865" i="2"/>
  <c r="P10861" i="2"/>
  <c r="V10861" i="2" s="1"/>
  <c r="Q10861" i="2"/>
  <c r="P10857" i="2"/>
  <c r="V10857" i="2" s="1"/>
  <c r="Q10857" i="2"/>
  <c r="P10853" i="2"/>
  <c r="V10853" i="2" s="1"/>
  <c r="Q10853" i="2"/>
  <c r="P10849" i="2"/>
  <c r="V10849" i="2" s="1"/>
  <c r="Q10849" i="2"/>
  <c r="P10845" i="2"/>
  <c r="V10845" i="2" s="1"/>
  <c r="Q10845" i="2"/>
  <c r="P10841" i="2"/>
  <c r="V10841" i="2" s="1"/>
  <c r="Q10841" i="2"/>
  <c r="P10837" i="2"/>
  <c r="V10837" i="2" s="1"/>
  <c r="Q10837" i="2"/>
  <c r="P10833" i="2"/>
  <c r="V10833" i="2" s="1"/>
  <c r="Q10833" i="2"/>
  <c r="P10829" i="2"/>
  <c r="V10829" i="2" s="1"/>
  <c r="Q10829" i="2"/>
  <c r="P10825" i="2"/>
  <c r="V10825" i="2" s="1"/>
  <c r="Q10825" i="2"/>
  <c r="P10821" i="2"/>
  <c r="V10821" i="2" s="1"/>
  <c r="Q10821" i="2"/>
  <c r="P10817" i="2"/>
  <c r="V10817" i="2" s="1"/>
  <c r="Q10817" i="2"/>
  <c r="P10813" i="2"/>
  <c r="V10813" i="2" s="1"/>
  <c r="Q10813" i="2"/>
  <c r="P10809" i="2"/>
  <c r="V10809" i="2" s="1"/>
  <c r="Q10809" i="2"/>
  <c r="P10805" i="2"/>
  <c r="V10805" i="2" s="1"/>
  <c r="Q10805" i="2"/>
  <c r="P10801" i="2"/>
  <c r="V10801" i="2" s="1"/>
  <c r="Q10801" i="2"/>
  <c r="P10797" i="2"/>
  <c r="V10797" i="2" s="1"/>
  <c r="Q10797" i="2"/>
  <c r="P10793" i="2"/>
  <c r="V10793" i="2" s="1"/>
  <c r="Q10793" i="2"/>
  <c r="P10789" i="2"/>
  <c r="V10789" i="2" s="1"/>
  <c r="Q10789" i="2"/>
  <c r="P10785" i="2"/>
  <c r="V10785" i="2" s="1"/>
  <c r="Q10785" i="2"/>
  <c r="P10781" i="2"/>
  <c r="V10781" i="2" s="1"/>
  <c r="Q10781" i="2"/>
  <c r="P10777" i="2"/>
  <c r="V10777" i="2" s="1"/>
  <c r="Q10777" i="2"/>
  <c r="P10773" i="2"/>
  <c r="V10773" i="2" s="1"/>
  <c r="Q10773" i="2"/>
  <c r="P10769" i="2"/>
  <c r="V10769" i="2" s="1"/>
  <c r="Q10769" i="2"/>
  <c r="P10765" i="2"/>
  <c r="V10765" i="2" s="1"/>
  <c r="Q10765" i="2"/>
  <c r="P10761" i="2"/>
  <c r="V10761" i="2" s="1"/>
  <c r="Q10761" i="2"/>
  <c r="P10757" i="2"/>
  <c r="V10757" i="2" s="1"/>
  <c r="Q10757" i="2"/>
  <c r="P10753" i="2"/>
  <c r="V10753" i="2" s="1"/>
  <c r="Q10753" i="2"/>
  <c r="P10749" i="2"/>
  <c r="V10749" i="2" s="1"/>
  <c r="Q10749" i="2"/>
  <c r="P10745" i="2"/>
  <c r="V10745" i="2" s="1"/>
  <c r="Q10745" i="2"/>
  <c r="P10741" i="2"/>
  <c r="V10741" i="2" s="1"/>
  <c r="Q10741" i="2"/>
  <c r="P10737" i="2"/>
  <c r="V10737" i="2" s="1"/>
  <c r="Q10737" i="2"/>
  <c r="P10733" i="2"/>
  <c r="V10733" i="2" s="1"/>
  <c r="Q10733" i="2"/>
  <c r="P10729" i="2"/>
  <c r="V10729" i="2" s="1"/>
  <c r="Q10729" i="2"/>
  <c r="P10725" i="2"/>
  <c r="V10725" i="2" s="1"/>
  <c r="Q10725" i="2"/>
  <c r="P10721" i="2"/>
  <c r="V10721" i="2" s="1"/>
  <c r="Q10721" i="2"/>
  <c r="P10717" i="2"/>
  <c r="V10717" i="2" s="1"/>
  <c r="Q10717" i="2"/>
  <c r="P10713" i="2"/>
  <c r="V10713" i="2" s="1"/>
  <c r="Q10713" i="2"/>
  <c r="P10709" i="2"/>
  <c r="V10709" i="2" s="1"/>
  <c r="Q10709" i="2"/>
  <c r="P10705" i="2"/>
  <c r="V10705" i="2" s="1"/>
  <c r="Q10705" i="2"/>
  <c r="P10701" i="2"/>
  <c r="V10701" i="2" s="1"/>
  <c r="Q10701" i="2"/>
  <c r="P10697" i="2"/>
  <c r="V10697" i="2" s="1"/>
  <c r="Q10697" i="2"/>
  <c r="P10693" i="2"/>
  <c r="V10693" i="2" s="1"/>
  <c r="Q10693" i="2"/>
  <c r="P10689" i="2"/>
  <c r="V10689" i="2" s="1"/>
  <c r="Q10689" i="2"/>
  <c r="P10685" i="2"/>
  <c r="V10685" i="2" s="1"/>
  <c r="Q10685" i="2"/>
  <c r="P10681" i="2"/>
  <c r="V10681" i="2" s="1"/>
  <c r="Q10681" i="2"/>
  <c r="P10677" i="2"/>
  <c r="V10677" i="2" s="1"/>
  <c r="Q10677" i="2"/>
  <c r="P10673" i="2"/>
  <c r="V10673" i="2" s="1"/>
  <c r="Q10673" i="2"/>
  <c r="P10669" i="2"/>
  <c r="V10669" i="2" s="1"/>
  <c r="Q10669" i="2"/>
  <c r="P10665" i="2"/>
  <c r="V10665" i="2" s="1"/>
  <c r="Q10665" i="2"/>
  <c r="P10661" i="2"/>
  <c r="V10661" i="2" s="1"/>
  <c r="Q10661" i="2"/>
  <c r="P10657" i="2"/>
  <c r="V10657" i="2" s="1"/>
  <c r="Q10657" i="2"/>
  <c r="P10653" i="2"/>
  <c r="V10653" i="2" s="1"/>
  <c r="Q10653" i="2"/>
  <c r="P10649" i="2"/>
  <c r="V10649" i="2" s="1"/>
  <c r="Q10649" i="2"/>
  <c r="P10645" i="2"/>
  <c r="V10645" i="2" s="1"/>
  <c r="Q10645" i="2"/>
  <c r="P10641" i="2"/>
  <c r="V10641" i="2" s="1"/>
  <c r="Q10641" i="2"/>
  <c r="P10637" i="2"/>
  <c r="V10637" i="2" s="1"/>
  <c r="Q10637" i="2"/>
  <c r="P10633" i="2"/>
  <c r="V10633" i="2" s="1"/>
  <c r="Q10633" i="2"/>
  <c r="P10629" i="2"/>
  <c r="V10629" i="2" s="1"/>
  <c r="Q10629" i="2"/>
  <c r="P10625" i="2"/>
  <c r="V10625" i="2" s="1"/>
  <c r="Q10625" i="2"/>
  <c r="P10621" i="2"/>
  <c r="V10621" i="2" s="1"/>
  <c r="Q10621" i="2"/>
  <c r="P10617" i="2"/>
  <c r="V10617" i="2" s="1"/>
  <c r="Q10617" i="2"/>
  <c r="P10613" i="2"/>
  <c r="V10613" i="2" s="1"/>
  <c r="Q10613" i="2"/>
  <c r="P10609" i="2"/>
  <c r="V10609" i="2" s="1"/>
  <c r="Q10609" i="2"/>
  <c r="P10605" i="2"/>
  <c r="V10605" i="2" s="1"/>
  <c r="Q10605" i="2"/>
  <c r="P10601" i="2"/>
  <c r="V10601" i="2" s="1"/>
  <c r="Q10601" i="2"/>
  <c r="P10597" i="2"/>
  <c r="V10597" i="2" s="1"/>
  <c r="Q10597" i="2"/>
  <c r="P10593" i="2"/>
  <c r="V10593" i="2" s="1"/>
  <c r="Q10593" i="2"/>
  <c r="P10589" i="2"/>
  <c r="V10589" i="2" s="1"/>
  <c r="Q10589" i="2"/>
  <c r="P10585" i="2"/>
  <c r="V10585" i="2" s="1"/>
  <c r="Q10585" i="2"/>
  <c r="P10581" i="2"/>
  <c r="V10581" i="2" s="1"/>
  <c r="Q10581" i="2"/>
  <c r="P10577" i="2"/>
  <c r="V10577" i="2" s="1"/>
  <c r="Q10577" i="2"/>
  <c r="P10573" i="2"/>
  <c r="V10573" i="2" s="1"/>
  <c r="Q10573" i="2"/>
  <c r="P10569" i="2"/>
  <c r="V10569" i="2" s="1"/>
  <c r="Q10569" i="2"/>
  <c r="P10565" i="2"/>
  <c r="V10565" i="2" s="1"/>
  <c r="Q10565" i="2"/>
  <c r="P10561" i="2"/>
  <c r="V10561" i="2" s="1"/>
  <c r="Q10561" i="2"/>
  <c r="P10557" i="2"/>
  <c r="V10557" i="2" s="1"/>
  <c r="Q10557" i="2"/>
  <c r="P10553" i="2"/>
  <c r="V10553" i="2" s="1"/>
  <c r="Q10553" i="2"/>
  <c r="P10549" i="2"/>
  <c r="V10549" i="2" s="1"/>
  <c r="Q10549" i="2"/>
  <c r="P10545" i="2"/>
  <c r="V10545" i="2" s="1"/>
  <c r="Q10545" i="2"/>
  <c r="P10541" i="2"/>
  <c r="V10541" i="2" s="1"/>
  <c r="Q10541" i="2"/>
  <c r="P10537" i="2"/>
  <c r="V10537" i="2" s="1"/>
  <c r="Q10537" i="2"/>
  <c r="P10533" i="2"/>
  <c r="V10533" i="2" s="1"/>
  <c r="Q10533" i="2"/>
  <c r="P10529" i="2"/>
  <c r="V10529" i="2" s="1"/>
  <c r="Q10529" i="2"/>
  <c r="P10525" i="2"/>
  <c r="V10525" i="2" s="1"/>
  <c r="Q10525" i="2"/>
  <c r="P10521" i="2"/>
  <c r="V10521" i="2" s="1"/>
  <c r="Q10521" i="2"/>
  <c r="P10517" i="2"/>
  <c r="V10517" i="2" s="1"/>
  <c r="Q10517" i="2"/>
  <c r="P10513" i="2"/>
  <c r="V10513" i="2" s="1"/>
  <c r="Q10513" i="2"/>
  <c r="P10509" i="2"/>
  <c r="V10509" i="2" s="1"/>
  <c r="Q10509" i="2"/>
  <c r="P10505" i="2"/>
  <c r="V10505" i="2" s="1"/>
  <c r="Q10505" i="2"/>
  <c r="P10501" i="2"/>
  <c r="V10501" i="2" s="1"/>
  <c r="Q10501" i="2"/>
  <c r="P10497" i="2"/>
  <c r="V10497" i="2" s="1"/>
  <c r="Q10497" i="2"/>
  <c r="P10493" i="2"/>
  <c r="V10493" i="2" s="1"/>
  <c r="Q10493" i="2"/>
  <c r="P10489" i="2"/>
  <c r="V10489" i="2" s="1"/>
  <c r="Q10489" i="2"/>
  <c r="P10485" i="2"/>
  <c r="V10485" i="2" s="1"/>
  <c r="Q10485" i="2"/>
  <c r="P10481" i="2"/>
  <c r="V10481" i="2" s="1"/>
  <c r="Q10481" i="2"/>
  <c r="P10477" i="2"/>
  <c r="V10477" i="2" s="1"/>
  <c r="Q10477" i="2"/>
  <c r="P10473" i="2"/>
  <c r="V10473" i="2" s="1"/>
  <c r="Q10473" i="2"/>
  <c r="P10469" i="2"/>
  <c r="V10469" i="2" s="1"/>
  <c r="Q10469" i="2"/>
  <c r="P10465" i="2"/>
  <c r="V10465" i="2" s="1"/>
  <c r="Q10465" i="2"/>
  <c r="P10461" i="2"/>
  <c r="V10461" i="2" s="1"/>
  <c r="Q10461" i="2"/>
  <c r="P10457" i="2"/>
  <c r="V10457" i="2" s="1"/>
  <c r="Q10457" i="2"/>
  <c r="P10453" i="2"/>
  <c r="V10453" i="2" s="1"/>
  <c r="Q10453" i="2"/>
  <c r="P10449" i="2"/>
  <c r="V10449" i="2" s="1"/>
  <c r="Q10449" i="2"/>
  <c r="P10445" i="2"/>
  <c r="V10445" i="2" s="1"/>
  <c r="Q10445" i="2"/>
  <c r="P10441" i="2"/>
  <c r="V10441" i="2" s="1"/>
  <c r="Q10441" i="2"/>
  <c r="P10437" i="2"/>
  <c r="V10437" i="2" s="1"/>
  <c r="Q10437" i="2"/>
  <c r="P10433" i="2"/>
  <c r="V10433" i="2" s="1"/>
  <c r="Q10433" i="2"/>
  <c r="P10429" i="2"/>
  <c r="V10429" i="2" s="1"/>
  <c r="Q10429" i="2"/>
  <c r="P10425" i="2"/>
  <c r="V10425" i="2" s="1"/>
  <c r="Q10425" i="2"/>
  <c r="P10421" i="2"/>
  <c r="V10421" i="2" s="1"/>
  <c r="Q10421" i="2"/>
  <c r="P10417" i="2"/>
  <c r="V10417" i="2" s="1"/>
  <c r="Q10417" i="2"/>
  <c r="P10413" i="2"/>
  <c r="V10413" i="2" s="1"/>
  <c r="Q10413" i="2"/>
  <c r="P10409" i="2"/>
  <c r="V10409" i="2" s="1"/>
  <c r="Q10409" i="2"/>
  <c r="P10405" i="2"/>
  <c r="V10405" i="2" s="1"/>
  <c r="Q10405" i="2"/>
  <c r="P10401" i="2"/>
  <c r="V10401" i="2" s="1"/>
  <c r="Q10401" i="2"/>
  <c r="P10397" i="2"/>
  <c r="V10397" i="2" s="1"/>
  <c r="Q10397" i="2"/>
  <c r="P10393" i="2"/>
  <c r="V10393" i="2" s="1"/>
  <c r="Q10393" i="2"/>
  <c r="P10389" i="2"/>
  <c r="V10389" i="2" s="1"/>
  <c r="Q10389" i="2"/>
  <c r="P10385" i="2"/>
  <c r="V10385" i="2" s="1"/>
  <c r="Q10385" i="2"/>
  <c r="P10381" i="2"/>
  <c r="V10381" i="2" s="1"/>
  <c r="Q10381" i="2"/>
  <c r="P10377" i="2"/>
  <c r="V10377" i="2" s="1"/>
  <c r="Q10377" i="2"/>
  <c r="P10373" i="2"/>
  <c r="V10373" i="2" s="1"/>
  <c r="Q10373" i="2"/>
  <c r="P10369" i="2"/>
  <c r="V10369" i="2" s="1"/>
  <c r="Q10369" i="2"/>
  <c r="P10365" i="2"/>
  <c r="V10365" i="2" s="1"/>
  <c r="Q10365" i="2"/>
  <c r="P10361" i="2"/>
  <c r="V10361" i="2" s="1"/>
  <c r="Q10361" i="2"/>
  <c r="P10357" i="2"/>
  <c r="V10357" i="2" s="1"/>
  <c r="Q10357" i="2"/>
  <c r="P10353" i="2"/>
  <c r="V10353" i="2" s="1"/>
  <c r="Q10353" i="2"/>
  <c r="P10349" i="2"/>
  <c r="V10349" i="2" s="1"/>
  <c r="Q10349" i="2"/>
  <c r="P10345" i="2"/>
  <c r="V10345" i="2" s="1"/>
  <c r="Q10345" i="2"/>
  <c r="P10341" i="2"/>
  <c r="V10341" i="2" s="1"/>
  <c r="Q10341" i="2"/>
  <c r="P10337" i="2"/>
  <c r="V10337" i="2" s="1"/>
  <c r="Q10337" i="2"/>
  <c r="P10333" i="2"/>
  <c r="V10333" i="2" s="1"/>
  <c r="Q10333" i="2"/>
  <c r="P10329" i="2"/>
  <c r="V10329" i="2" s="1"/>
  <c r="Q10329" i="2"/>
  <c r="P10325" i="2"/>
  <c r="V10325" i="2" s="1"/>
  <c r="Q10325" i="2"/>
  <c r="P10321" i="2"/>
  <c r="V10321" i="2" s="1"/>
  <c r="Q10321" i="2"/>
  <c r="P10317" i="2"/>
  <c r="V10317" i="2" s="1"/>
  <c r="Q10317" i="2"/>
  <c r="P10313" i="2"/>
  <c r="V10313" i="2" s="1"/>
  <c r="Q10313" i="2"/>
  <c r="P10309" i="2"/>
  <c r="V10309" i="2" s="1"/>
  <c r="Q10309" i="2"/>
  <c r="P10305" i="2"/>
  <c r="V10305" i="2" s="1"/>
  <c r="Q10305" i="2"/>
  <c r="P10301" i="2"/>
  <c r="V10301" i="2" s="1"/>
  <c r="Q10301" i="2"/>
  <c r="P10297" i="2"/>
  <c r="V10297" i="2" s="1"/>
  <c r="Q10297" i="2"/>
  <c r="P10293" i="2"/>
  <c r="V10293" i="2" s="1"/>
  <c r="Q10293" i="2"/>
  <c r="P10289" i="2"/>
  <c r="V10289" i="2" s="1"/>
  <c r="Q10289" i="2"/>
  <c r="P10285" i="2"/>
  <c r="V10285" i="2" s="1"/>
  <c r="Q10285" i="2"/>
  <c r="P10281" i="2"/>
  <c r="V10281" i="2" s="1"/>
  <c r="Q10281" i="2"/>
  <c r="P10277" i="2"/>
  <c r="V10277" i="2" s="1"/>
  <c r="Q10277" i="2"/>
  <c r="P10273" i="2"/>
  <c r="V10273" i="2" s="1"/>
  <c r="Q10273" i="2"/>
  <c r="P10269" i="2"/>
  <c r="V10269" i="2" s="1"/>
  <c r="Q10269" i="2"/>
  <c r="P10265" i="2"/>
  <c r="V10265" i="2" s="1"/>
  <c r="Q10265" i="2"/>
  <c r="P10261" i="2"/>
  <c r="V10261" i="2" s="1"/>
  <c r="Q10261" i="2"/>
  <c r="P10257" i="2"/>
  <c r="V10257" i="2" s="1"/>
  <c r="Q10257" i="2"/>
  <c r="P10253" i="2"/>
  <c r="V10253" i="2" s="1"/>
  <c r="Q10253" i="2"/>
  <c r="P10249" i="2"/>
  <c r="V10249" i="2" s="1"/>
  <c r="Q10249" i="2"/>
  <c r="P10245" i="2"/>
  <c r="V10245" i="2" s="1"/>
  <c r="Q10245" i="2"/>
  <c r="P10241" i="2"/>
  <c r="V10241" i="2" s="1"/>
  <c r="Q10241" i="2"/>
  <c r="P10237" i="2"/>
  <c r="V10237" i="2" s="1"/>
  <c r="Q10237" i="2"/>
  <c r="P10233" i="2"/>
  <c r="V10233" i="2" s="1"/>
  <c r="Q10233" i="2"/>
  <c r="P10229" i="2"/>
  <c r="V10229" i="2" s="1"/>
  <c r="Q10229" i="2"/>
  <c r="P10225" i="2"/>
  <c r="V10225" i="2" s="1"/>
  <c r="Q10225" i="2"/>
  <c r="P10221" i="2"/>
  <c r="V10221" i="2" s="1"/>
  <c r="Q10221" i="2"/>
  <c r="P10217" i="2"/>
  <c r="V10217" i="2" s="1"/>
  <c r="Q10217" i="2"/>
  <c r="P10213" i="2"/>
  <c r="V10213" i="2" s="1"/>
  <c r="Q10213" i="2"/>
  <c r="P10209" i="2"/>
  <c r="V10209" i="2" s="1"/>
  <c r="Q10209" i="2"/>
  <c r="P10205" i="2"/>
  <c r="V10205" i="2" s="1"/>
  <c r="Q10205" i="2"/>
  <c r="P10201" i="2"/>
  <c r="V10201" i="2" s="1"/>
  <c r="Q10201" i="2"/>
  <c r="P10197" i="2"/>
  <c r="V10197" i="2" s="1"/>
  <c r="Q10197" i="2"/>
  <c r="P10193" i="2"/>
  <c r="V10193" i="2" s="1"/>
  <c r="Q10193" i="2"/>
  <c r="P10189" i="2"/>
  <c r="V10189" i="2" s="1"/>
  <c r="Q10189" i="2"/>
  <c r="P10185" i="2"/>
  <c r="V10185" i="2" s="1"/>
  <c r="Q10185" i="2"/>
  <c r="P10181" i="2"/>
  <c r="V10181" i="2" s="1"/>
  <c r="Q10181" i="2"/>
  <c r="P10177" i="2"/>
  <c r="V10177" i="2" s="1"/>
  <c r="Q10177" i="2"/>
  <c r="P10173" i="2"/>
  <c r="V10173" i="2" s="1"/>
  <c r="Q10173" i="2"/>
  <c r="P10169" i="2"/>
  <c r="V10169" i="2" s="1"/>
  <c r="Q10169" i="2"/>
  <c r="P10165" i="2"/>
  <c r="V10165" i="2" s="1"/>
  <c r="Q10165" i="2"/>
  <c r="P10161" i="2"/>
  <c r="V10161" i="2" s="1"/>
  <c r="Q10161" i="2"/>
  <c r="P10157" i="2"/>
  <c r="V10157" i="2" s="1"/>
  <c r="Q10157" i="2"/>
  <c r="P10153" i="2"/>
  <c r="V10153" i="2" s="1"/>
  <c r="Q10153" i="2"/>
  <c r="P10149" i="2"/>
  <c r="V10149" i="2" s="1"/>
  <c r="Q10149" i="2"/>
  <c r="P10145" i="2"/>
  <c r="V10145" i="2" s="1"/>
  <c r="Q10145" i="2"/>
  <c r="P10141" i="2"/>
  <c r="V10141" i="2" s="1"/>
  <c r="Q10141" i="2"/>
  <c r="P10137" i="2"/>
  <c r="V10137" i="2" s="1"/>
  <c r="Q10137" i="2"/>
  <c r="P10133" i="2"/>
  <c r="V10133" i="2" s="1"/>
  <c r="Q10133" i="2"/>
  <c r="P10129" i="2"/>
  <c r="V10129" i="2" s="1"/>
  <c r="Q10129" i="2"/>
  <c r="P10125" i="2"/>
  <c r="V10125" i="2" s="1"/>
  <c r="Q10125" i="2"/>
  <c r="P10121" i="2"/>
  <c r="V10121" i="2" s="1"/>
  <c r="Q10121" i="2"/>
  <c r="P10117" i="2"/>
  <c r="V10117" i="2" s="1"/>
  <c r="Q10117" i="2"/>
  <c r="P10113" i="2"/>
  <c r="V10113" i="2" s="1"/>
  <c r="Q10113" i="2"/>
  <c r="P10109" i="2"/>
  <c r="V10109" i="2" s="1"/>
  <c r="Q10109" i="2"/>
  <c r="P10105" i="2"/>
  <c r="V10105" i="2" s="1"/>
  <c r="Q10105" i="2"/>
  <c r="P10101" i="2"/>
  <c r="V10101" i="2" s="1"/>
  <c r="Q10101" i="2"/>
  <c r="P10097" i="2"/>
  <c r="V10097" i="2" s="1"/>
  <c r="Q10097" i="2"/>
  <c r="P10093" i="2"/>
  <c r="V10093" i="2" s="1"/>
  <c r="Q10093" i="2"/>
  <c r="P10089" i="2"/>
  <c r="V10089" i="2" s="1"/>
  <c r="Q10089" i="2"/>
  <c r="P10085" i="2"/>
  <c r="V10085" i="2" s="1"/>
  <c r="Q10085" i="2"/>
  <c r="P10081" i="2"/>
  <c r="V10081" i="2" s="1"/>
  <c r="Q10081" i="2"/>
  <c r="P10077" i="2"/>
  <c r="V10077" i="2" s="1"/>
  <c r="Q10077" i="2"/>
  <c r="P10073" i="2"/>
  <c r="V10073" i="2" s="1"/>
  <c r="Q10073" i="2"/>
  <c r="P10069" i="2"/>
  <c r="V10069" i="2" s="1"/>
  <c r="Q10069" i="2"/>
  <c r="P10065" i="2"/>
  <c r="V10065" i="2" s="1"/>
  <c r="Q10065" i="2"/>
  <c r="P10061" i="2"/>
  <c r="V10061" i="2" s="1"/>
  <c r="Q10061" i="2"/>
  <c r="P10057" i="2"/>
  <c r="V10057" i="2" s="1"/>
  <c r="Q10057" i="2"/>
  <c r="P10053" i="2"/>
  <c r="V10053" i="2" s="1"/>
  <c r="Q10053" i="2"/>
  <c r="P10049" i="2"/>
  <c r="V10049" i="2" s="1"/>
  <c r="Q10049" i="2"/>
  <c r="P10045" i="2"/>
  <c r="V10045" i="2" s="1"/>
  <c r="Q10045" i="2"/>
  <c r="P10041" i="2"/>
  <c r="V10041" i="2" s="1"/>
  <c r="Q10041" i="2"/>
  <c r="P10037" i="2"/>
  <c r="V10037" i="2" s="1"/>
  <c r="Q10037" i="2"/>
  <c r="P10033" i="2"/>
  <c r="V10033" i="2" s="1"/>
  <c r="Q10033" i="2"/>
  <c r="P10029" i="2"/>
  <c r="V10029" i="2" s="1"/>
  <c r="Q10029" i="2"/>
  <c r="P10025" i="2"/>
  <c r="V10025" i="2" s="1"/>
  <c r="Q10025" i="2"/>
  <c r="P10021" i="2"/>
  <c r="V10021" i="2" s="1"/>
  <c r="Q10021" i="2"/>
  <c r="P10017" i="2"/>
  <c r="V10017" i="2" s="1"/>
  <c r="Q10017" i="2"/>
  <c r="P10013" i="2"/>
  <c r="V10013" i="2" s="1"/>
  <c r="Q10013" i="2"/>
  <c r="P10009" i="2"/>
  <c r="V10009" i="2" s="1"/>
  <c r="Q10009" i="2"/>
  <c r="P10005" i="2"/>
  <c r="V10005" i="2" s="1"/>
  <c r="Q10005" i="2"/>
  <c r="P10001" i="2"/>
  <c r="V10001" i="2" s="1"/>
  <c r="Q10001" i="2"/>
  <c r="P9997" i="2"/>
  <c r="V9997" i="2" s="1"/>
  <c r="Q9997" i="2"/>
  <c r="P9993" i="2"/>
  <c r="V9993" i="2" s="1"/>
  <c r="Q9993" i="2"/>
  <c r="P9989" i="2"/>
  <c r="V9989" i="2" s="1"/>
  <c r="Q9989" i="2"/>
  <c r="P9985" i="2"/>
  <c r="V9985" i="2" s="1"/>
  <c r="Q9985" i="2"/>
  <c r="P9981" i="2"/>
  <c r="V9981" i="2" s="1"/>
  <c r="Q9981" i="2"/>
  <c r="P9977" i="2"/>
  <c r="V9977" i="2" s="1"/>
  <c r="Q9977" i="2"/>
  <c r="P9973" i="2"/>
  <c r="V9973" i="2" s="1"/>
  <c r="Q9973" i="2"/>
  <c r="P9969" i="2"/>
  <c r="V9969" i="2" s="1"/>
  <c r="Q9969" i="2"/>
  <c r="P9965" i="2"/>
  <c r="V9965" i="2" s="1"/>
  <c r="Q9965" i="2"/>
  <c r="P9961" i="2"/>
  <c r="V9961" i="2" s="1"/>
  <c r="Q9961" i="2"/>
  <c r="P9957" i="2"/>
  <c r="V9957" i="2" s="1"/>
  <c r="Q9957" i="2"/>
  <c r="P9953" i="2"/>
  <c r="V9953" i="2" s="1"/>
  <c r="Q9953" i="2"/>
  <c r="P9949" i="2"/>
  <c r="V9949" i="2" s="1"/>
  <c r="Q9949" i="2"/>
  <c r="P9945" i="2"/>
  <c r="V9945" i="2" s="1"/>
  <c r="Q9945" i="2"/>
  <c r="P9941" i="2"/>
  <c r="V9941" i="2" s="1"/>
  <c r="Q9941" i="2"/>
  <c r="P9937" i="2"/>
  <c r="V9937" i="2" s="1"/>
  <c r="Q9937" i="2"/>
  <c r="P9933" i="2"/>
  <c r="V9933" i="2" s="1"/>
  <c r="Q9933" i="2"/>
  <c r="P9929" i="2"/>
  <c r="V9929" i="2" s="1"/>
  <c r="Q9929" i="2"/>
  <c r="P9925" i="2"/>
  <c r="V9925" i="2" s="1"/>
  <c r="Q9925" i="2"/>
  <c r="P9921" i="2"/>
  <c r="V9921" i="2" s="1"/>
  <c r="Q9921" i="2"/>
  <c r="P9917" i="2"/>
  <c r="V9917" i="2" s="1"/>
  <c r="Q9917" i="2"/>
  <c r="P9913" i="2"/>
  <c r="V9913" i="2" s="1"/>
  <c r="Q9913" i="2"/>
  <c r="P9909" i="2"/>
  <c r="V9909" i="2" s="1"/>
  <c r="Q9909" i="2"/>
  <c r="P9905" i="2"/>
  <c r="V9905" i="2" s="1"/>
  <c r="Q9905" i="2"/>
  <c r="P9901" i="2"/>
  <c r="V9901" i="2" s="1"/>
  <c r="Q9901" i="2"/>
  <c r="P9897" i="2"/>
  <c r="V9897" i="2" s="1"/>
  <c r="Q9897" i="2"/>
  <c r="P9893" i="2"/>
  <c r="V9893" i="2" s="1"/>
  <c r="Q9893" i="2"/>
  <c r="P9889" i="2"/>
  <c r="V9889" i="2" s="1"/>
  <c r="Q9889" i="2"/>
  <c r="P9885" i="2"/>
  <c r="V9885" i="2" s="1"/>
  <c r="Q9885" i="2"/>
  <c r="P9881" i="2"/>
  <c r="V9881" i="2" s="1"/>
  <c r="Q9881" i="2"/>
  <c r="P9877" i="2"/>
  <c r="V9877" i="2" s="1"/>
  <c r="Q9877" i="2"/>
  <c r="P9873" i="2"/>
  <c r="V9873" i="2" s="1"/>
  <c r="Q9873" i="2"/>
  <c r="P9869" i="2"/>
  <c r="V9869" i="2" s="1"/>
  <c r="Q9869" i="2"/>
  <c r="P9865" i="2"/>
  <c r="V9865" i="2" s="1"/>
  <c r="Q9865" i="2"/>
  <c r="P9861" i="2"/>
  <c r="V9861" i="2" s="1"/>
  <c r="Q9861" i="2"/>
  <c r="P9857" i="2"/>
  <c r="V9857" i="2" s="1"/>
  <c r="Q9857" i="2"/>
  <c r="P9853" i="2"/>
  <c r="V9853" i="2" s="1"/>
  <c r="Q9853" i="2"/>
  <c r="P9849" i="2"/>
  <c r="V9849" i="2" s="1"/>
  <c r="Q9849" i="2"/>
  <c r="P9845" i="2"/>
  <c r="V9845" i="2" s="1"/>
  <c r="Q9845" i="2"/>
  <c r="P9841" i="2"/>
  <c r="V9841" i="2" s="1"/>
  <c r="Q9841" i="2"/>
  <c r="P9837" i="2"/>
  <c r="V9837" i="2" s="1"/>
  <c r="Q9837" i="2"/>
  <c r="P9833" i="2"/>
  <c r="V9833" i="2" s="1"/>
  <c r="Q9833" i="2"/>
  <c r="P9829" i="2"/>
  <c r="V9829" i="2" s="1"/>
  <c r="Q9829" i="2"/>
  <c r="P9825" i="2"/>
  <c r="V9825" i="2" s="1"/>
  <c r="Q9825" i="2"/>
  <c r="P9821" i="2"/>
  <c r="V9821" i="2" s="1"/>
  <c r="Q9821" i="2"/>
  <c r="P9817" i="2"/>
  <c r="V9817" i="2" s="1"/>
  <c r="Q9817" i="2"/>
  <c r="P9813" i="2"/>
  <c r="V9813" i="2" s="1"/>
  <c r="Q9813" i="2"/>
  <c r="P9809" i="2"/>
  <c r="V9809" i="2" s="1"/>
  <c r="Q9809" i="2"/>
  <c r="P9805" i="2"/>
  <c r="V9805" i="2" s="1"/>
  <c r="Q9805" i="2"/>
  <c r="P9801" i="2"/>
  <c r="V9801" i="2" s="1"/>
  <c r="Q9801" i="2"/>
  <c r="P9797" i="2"/>
  <c r="V9797" i="2" s="1"/>
  <c r="Q9797" i="2"/>
  <c r="P9793" i="2"/>
  <c r="V9793" i="2" s="1"/>
  <c r="Q9793" i="2"/>
  <c r="P9789" i="2"/>
  <c r="V9789" i="2" s="1"/>
  <c r="Q9789" i="2"/>
  <c r="P9785" i="2"/>
  <c r="V9785" i="2" s="1"/>
  <c r="Q9785" i="2"/>
  <c r="P9781" i="2"/>
  <c r="V9781" i="2" s="1"/>
  <c r="Q9781" i="2"/>
  <c r="P9777" i="2"/>
  <c r="V9777" i="2" s="1"/>
  <c r="Q9777" i="2"/>
  <c r="P9773" i="2"/>
  <c r="V9773" i="2" s="1"/>
  <c r="Q9773" i="2"/>
  <c r="P9769" i="2"/>
  <c r="V9769" i="2" s="1"/>
  <c r="Q9769" i="2"/>
  <c r="P9765" i="2"/>
  <c r="V9765" i="2" s="1"/>
  <c r="Q9765" i="2"/>
  <c r="P9761" i="2"/>
  <c r="V9761" i="2" s="1"/>
  <c r="Q9761" i="2"/>
  <c r="P9757" i="2"/>
  <c r="V9757" i="2" s="1"/>
  <c r="Q9757" i="2"/>
  <c r="P9753" i="2"/>
  <c r="V9753" i="2" s="1"/>
  <c r="Q9753" i="2"/>
  <c r="P9749" i="2"/>
  <c r="V9749" i="2" s="1"/>
  <c r="Q9749" i="2"/>
  <c r="P9745" i="2"/>
  <c r="V9745" i="2" s="1"/>
  <c r="Q9745" i="2"/>
  <c r="P9741" i="2"/>
  <c r="V9741" i="2" s="1"/>
  <c r="Q9741" i="2"/>
  <c r="P9737" i="2"/>
  <c r="V9737" i="2" s="1"/>
  <c r="Q9737" i="2"/>
  <c r="P9733" i="2"/>
  <c r="V9733" i="2" s="1"/>
  <c r="Q9733" i="2"/>
  <c r="P9729" i="2"/>
  <c r="V9729" i="2" s="1"/>
  <c r="Q9729" i="2"/>
  <c r="P9725" i="2"/>
  <c r="V9725" i="2" s="1"/>
  <c r="Q9725" i="2"/>
  <c r="P9721" i="2"/>
  <c r="V9721" i="2" s="1"/>
  <c r="Q9721" i="2"/>
  <c r="P9717" i="2"/>
  <c r="V9717" i="2" s="1"/>
  <c r="Q9717" i="2"/>
  <c r="P9713" i="2"/>
  <c r="V9713" i="2" s="1"/>
  <c r="Q9713" i="2"/>
  <c r="P9709" i="2"/>
  <c r="V9709" i="2" s="1"/>
  <c r="Q9709" i="2"/>
  <c r="P9705" i="2"/>
  <c r="V9705" i="2" s="1"/>
  <c r="Q9705" i="2"/>
  <c r="P9701" i="2"/>
  <c r="V9701" i="2" s="1"/>
  <c r="Q9701" i="2"/>
  <c r="P9697" i="2"/>
  <c r="V9697" i="2" s="1"/>
  <c r="Q9697" i="2"/>
  <c r="P9693" i="2"/>
  <c r="V9693" i="2" s="1"/>
  <c r="Q9693" i="2"/>
  <c r="P9689" i="2"/>
  <c r="V9689" i="2" s="1"/>
  <c r="Q9689" i="2"/>
  <c r="P9685" i="2"/>
  <c r="V9685" i="2" s="1"/>
  <c r="Q9685" i="2"/>
  <c r="P9681" i="2"/>
  <c r="V9681" i="2" s="1"/>
  <c r="Q9681" i="2"/>
  <c r="P9677" i="2"/>
  <c r="V9677" i="2" s="1"/>
  <c r="Q9677" i="2"/>
  <c r="P9673" i="2"/>
  <c r="V9673" i="2" s="1"/>
  <c r="Q9673" i="2"/>
  <c r="P9669" i="2"/>
  <c r="V9669" i="2" s="1"/>
  <c r="Q9669" i="2"/>
  <c r="P9665" i="2"/>
  <c r="V9665" i="2" s="1"/>
  <c r="Q9665" i="2"/>
  <c r="P9661" i="2"/>
  <c r="V9661" i="2" s="1"/>
  <c r="Q9661" i="2"/>
  <c r="P9657" i="2"/>
  <c r="V9657" i="2" s="1"/>
  <c r="Q9657" i="2"/>
  <c r="P9653" i="2"/>
  <c r="V9653" i="2" s="1"/>
  <c r="Q9653" i="2"/>
  <c r="P9649" i="2"/>
  <c r="V9649" i="2" s="1"/>
  <c r="Q9649" i="2"/>
  <c r="P9645" i="2"/>
  <c r="V9645" i="2" s="1"/>
  <c r="Q9645" i="2"/>
  <c r="P9641" i="2"/>
  <c r="V9641" i="2" s="1"/>
  <c r="Q9641" i="2"/>
  <c r="P9637" i="2"/>
  <c r="V9637" i="2" s="1"/>
  <c r="Q9637" i="2"/>
  <c r="P9633" i="2"/>
  <c r="V9633" i="2" s="1"/>
  <c r="Q9633" i="2"/>
  <c r="P9629" i="2"/>
  <c r="V9629" i="2" s="1"/>
  <c r="Q9629" i="2"/>
  <c r="P9625" i="2"/>
  <c r="V9625" i="2" s="1"/>
  <c r="Q9625" i="2"/>
  <c r="P9621" i="2"/>
  <c r="V9621" i="2" s="1"/>
  <c r="Q9621" i="2"/>
  <c r="P9617" i="2"/>
  <c r="V9617" i="2" s="1"/>
  <c r="Q9617" i="2"/>
  <c r="P9613" i="2"/>
  <c r="V9613" i="2" s="1"/>
  <c r="Q9613" i="2"/>
  <c r="P9609" i="2"/>
  <c r="V9609" i="2" s="1"/>
  <c r="Q9609" i="2"/>
  <c r="P9605" i="2"/>
  <c r="V9605" i="2" s="1"/>
  <c r="Q9605" i="2"/>
  <c r="P9601" i="2"/>
  <c r="V9601" i="2" s="1"/>
  <c r="Q9601" i="2"/>
  <c r="P9597" i="2"/>
  <c r="V9597" i="2" s="1"/>
  <c r="Q9597" i="2"/>
  <c r="P9593" i="2"/>
  <c r="V9593" i="2" s="1"/>
  <c r="Q9593" i="2"/>
  <c r="P9589" i="2"/>
  <c r="V9589" i="2" s="1"/>
  <c r="Q9589" i="2"/>
  <c r="P9585" i="2"/>
  <c r="V9585" i="2" s="1"/>
  <c r="Q9585" i="2"/>
  <c r="P9581" i="2"/>
  <c r="V9581" i="2" s="1"/>
  <c r="Q9581" i="2"/>
  <c r="P9577" i="2"/>
  <c r="V9577" i="2" s="1"/>
  <c r="Q9577" i="2"/>
  <c r="P9573" i="2"/>
  <c r="V9573" i="2" s="1"/>
  <c r="Q9573" i="2"/>
  <c r="P9569" i="2"/>
  <c r="V9569" i="2" s="1"/>
  <c r="Q9569" i="2"/>
  <c r="P9565" i="2"/>
  <c r="V9565" i="2" s="1"/>
  <c r="Q9565" i="2"/>
  <c r="P9561" i="2"/>
  <c r="V9561" i="2" s="1"/>
  <c r="Q9561" i="2"/>
  <c r="P9557" i="2"/>
  <c r="V9557" i="2" s="1"/>
  <c r="Q9557" i="2"/>
  <c r="P9553" i="2"/>
  <c r="V9553" i="2" s="1"/>
  <c r="Q9553" i="2"/>
  <c r="P9549" i="2"/>
  <c r="V9549" i="2" s="1"/>
  <c r="Q9549" i="2"/>
  <c r="P9545" i="2"/>
  <c r="V9545" i="2" s="1"/>
  <c r="Q9545" i="2"/>
  <c r="P9541" i="2"/>
  <c r="V9541" i="2" s="1"/>
  <c r="Q9541" i="2"/>
  <c r="P9537" i="2"/>
  <c r="V9537" i="2" s="1"/>
  <c r="Q9537" i="2"/>
  <c r="P9533" i="2"/>
  <c r="V9533" i="2" s="1"/>
  <c r="Q9533" i="2"/>
  <c r="P9529" i="2"/>
  <c r="V9529" i="2" s="1"/>
  <c r="Q9529" i="2"/>
  <c r="P9525" i="2"/>
  <c r="V9525" i="2" s="1"/>
  <c r="Q9525" i="2"/>
  <c r="P9521" i="2"/>
  <c r="V9521" i="2" s="1"/>
  <c r="Q9521" i="2"/>
  <c r="P9517" i="2"/>
  <c r="V9517" i="2" s="1"/>
  <c r="Q9517" i="2"/>
  <c r="P9513" i="2"/>
  <c r="V9513" i="2" s="1"/>
  <c r="Q9513" i="2"/>
  <c r="P9509" i="2"/>
  <c r="V9509" i="2" s="1"/>
  <c r="Q9509" i="2"/>
  <c r="P9505" i="2"/>
  <c r="V9505" i="2" s="1"/>
  <c r="Q9505" i="2"/>
  <c r="P9501" i="2"/>
  <c r="V9501" i="2" s="1"/>
  <c r="Q9501" i="2"/>
  <c r="P9497" i="2"/>
  <c r="V9497" i="2" s="1"/>
  <c r="Q9497" i="2"/>
  <c r="P9493" i="2"/>
  <c r="V9493" i="2" s="1"/>
  <c r="Q9493" i="2"/>
  <c r="P9489" i="2"/>
  <c r="V9489" i="2" s="1"/>
  <c r="Q9489" i="2"/>
  <c r="P9485" i="2"/>
  <c r="V9485" i="2" s="1"/>
  <c r="Q9485" i="2"/>
  <c r="P9481" i="2"/>
  <c r="V9481" i="2" s="1"/>
  <c r="Q9481" i="2"/>
  <c r="P9477" i="2"/>
  <c r="V9477" i="2" s="1"/>
  <c r="Q9477" i="2"/>
  <c r="P9473" i="2"/>
  <c r="V9473" i="2" s="1"/>
  <c r="Q9473" i="2"/>
  <c r="P9469" i="2"/>
  <c r="V9469" i="2" s="1"/>
  <c r="Q9469" i="2"/>
  <c r="P9465" i="2"/>
  <c r="V9465" i="2" s="1"/>
  <c r="Q9465" i="2"/>
  <c r="P9461" i="2"/>
  <c r="V9461" i="2" s="1"/>
  <c r="Q9461" i="2"/>
  <c r="P9457" i="2"/>
  <c r="V9457" i="2" s="1"/>
  <c r="Q9457" i="2"/>
  <c r="P9453" i="2"/>
  <c r="V9453" i="2" s="1"/>
  <c r="Q9453" i="2"/>
  <c r="P9449" i="2"/>
  <c r="V9449" i="2" s="1"/>
  <c r="Q9449" i="2"/>
  <c r="P9445" i="2"/>
  <c r="V9445" i="2" s="1"/>
  <c r="Q9445" i="2"/>
  <c r="P9441" i="2"/>
  <c r="V9441" i="2" s="1"/>
  <c r="Q9441" i="2"/>
  <c r="P9437" i="2"/>
  <c r="V9437" i="2" s="1"/>
  <c r="Q9437" i="2"/>
  <c r="P9433" i="2"/>
  <c r="V9433" i="2" s="1"/>
  <c r="Q9433" i="2"/>
  <c r="P9429" i="2"/>
  <c r="V9429" i="2" s="1"/>
  <c r="Q9429" i="2"/>
  <c r="P9425" i="2"/>
  <c r="V9425" i="2" s="1"/>
  <c r="Q9425" i="2"/>
  <c r="P9421" i="2"/>
  <c r="V9421" i="2" s="1"/>
  <c r="Q9421" i="2"/>
  <c r="P9417" i="2"/>
  <c r="V9417" i="2" s="1"/>
  <c r="Q9417" i="2"/>
  <c r="P9413" i="2"/>
  <c r="V9413" i="2" s="1"/>
  <c r="Q9413" i="2"/>
  <c r="P9409" i="2"/>
  <c r="V9409" i="2" s="1"/>
  <c r="Q9409" i="2"/>
  <c r="P9405" i="2"/>
  <c r="V9405" i="2" s="1"/>
  <c r="Q9405" i="2"/>
  <c r="P9401" i="2"/>
  <c r="V9401" i="2" s="1"/>
  <c r="Q9401" i="2"/>
  <c r="P9397" i="2"/>
  <c r="V9397" i="2" s="1"/>
  <c r="Q9397" i="2"/>
  <c r="P9393" i="2"/>
  <c r="V9393" i="2" s="1"/>
  <c r="Q9393" i="2"/>
  <c r="P9389" i="2"/>
  <c r="V9389" i="2" s="1"/>
  <c r="Q9389" i="2"/>
  <c r="P9385" i="2"/>
  <c r="V9385" i="2" s="1"/>
  <c r="Q9385" i="2"/>
  <c r="P9381" i="2"/>
  <c r="V9381" i="2" s="1"/>
  <c r="Q9381" i="2"/>
  <c r="P9377" i="2"/>
  <c r="V9377" i="2" s="1"/>
  <c r="Q9377" i="2"/>
  <c r="P9373" i="2"/>
  <c r="V9373" i="2" s="1"/>
  <c r="Q9373" i="2"/>
  <c r="P9369" i="2"/>
  <c r="V9369" i="2" s="1"/>
  <c r="Q9369" i="2"/>
  <c r="P9365" i="2"/>
  <c r="V9365" i="2" s="1"/>
  <c r="Q9365" i="2"/>
  <c r="P9361" i="2"/>
  <c r="V9361" i="2" s="1"/>
  <c r="Q9361" i="2"/>
  <c r="P9357" i="2"/>
  <c r="V9357" i="2" s="1"/>
  <c r="Q9357" i="2"/>
  <c r="P9353" i="2"/>
  <c r="V9353" i="2" s="1"/>
  <c r="Q9353" i="2"/>
  <c r="P9349" i="2"/>
  <c r="V9349" i="2" s="1"/>
  <c r="Q9349" i="2"/>
  <c r="P9345" i="2"/>
  <c r="V9345" i="2" s="1"/>
  <c r="Q9345" i="2"/>
  <c r="P9341" i="2"/>
  <c r="V9341" i="2" s="1"/>
  <c r="Q9341" i="2"/>
  <c r="P9337" i="2"/>
  <c r="V9337" i="2" s="1"/>
  <c r="Q9337" i="2"/>
  <c r="P9333" i="2"/>
  <c r="V9333" i="2" s="1"/>
  <c r="Q9333" i="2"/>
  <c r="P9329" i="2"/>
  <c r="V9329" i="2" s="1"/>
  <c r="Q9329" i="2"/>
  <c r="P9325" i="2"/>
  <c r="V9325" i="2" s="1"/>
  <c r="Q9325" i="2"/>
  <c r="P9321" i="2"/>
  <c r="V9321" i="2" s="1"/>
  <c r="Q9321" i="2"/>
  <c r="P9317" i="2"/>
  <c r="V9317" i="2" s="1"/>
  <c r="Q9317" i="2"/>
  <c r="P9313" i="2"/>
  <c r="V9313" i="2" s="1"/>
  <c r="Q9313" i="2"/>
  <c r="P9309" i="2"/>
  <c r="V9309" i="2" s="1"/>
  <c r="Q9309" i="2"/>
  <c r="P9305" i="2"/>
  <c r="V9305" i="2" s="1"/>
  <c r="Q9305" i="2"/>
  <c r="P9301" i="2"/>
  <c r="V9301" i="2" s="1"/>
  <c r="Q9301" i="2"/>
  <c r="P9297" i="2"/>
  <c r="V9297" i="2" s="1"/>
  <c r="Q9297" i="2"/>
  <c r="P9293" i="2"/>
  <c r="V9293" i="2" s="1"/>
  <c r="Q9293" i="2"/>
  <c r="P9289" i="2"/>
  <c r="V9289" i="2" s="1"/>
  <c r="Q9289" i="2"/>
  <c r="P9285" i="2"/>
  <c r="V9285" i="2" s="1"/>
  <c r="Q9285" i="2"/>
  <c r="P9281" i="2"/>
  <c r="V9281" i="2" s="1"/>
  <c r="Q9281" i="2"/>
  <c r="P9277" i="2"/>
  <c r="V9277" i="2" s="1"/>
  <c r="Q9277" i="2"/>
  <c r="P9273" i="2"/>
  <c r="V9273" i="2" s="1"/>
  <c r="Q9273" i="2"/>
  <c r="P9269" i="2"/>
  <c r="V9269" i="2" s="1"/>
  <c r="Q9269" i="2"/>
  <c r="P9265" i="2"/>
  <c r="V9265" i="2" s="1"/>
  <c r="Q9265" i="2"/>
  <c r="P9261" i="2"/>
  <c r="V9261" i="2" s="1"/>
  <c r="Q9261" i="2"/>
  <c r="P9257" i="2"/>
  <c r="V9257" i="2" s="1"/>
  <c r="Q9257" i="2"/>
  <c r="P9253" i="2"/>
  <c r="V9253" i="2" s="1"/>
  <c r="Q9253" i="2"/>
  <c r="P9249" i="2"/>
  <c r="V9249" i="2" s="1"/>
  <c r="Q9249" i="2"/>
  <c r="P9245" i="2"/>
  <c r="V9245" i="2" s="1"/>
  <c r="Q9245" i="2"/>
  <c r="P9241" i="2"/>
  <c r="V9241" i="2" s="1"/>
  <c r="Q9241" i="2"/>
  <c r="P9237" i="2"/>
  <c r="V9237" i="2" s="1"/>
  <c r="Q9237" i="2"/>
  <c r="P9233" i="2"/>
  <c r="V9233" i="2" s="1"/>
  <c r="Q9233" i="2"/>
  <c r="P9229" i="2"/>
  <c r="V9229" i="2" s="1"/>
  <c r="Q9229" i="2"/>
  <c r="P9225" i="2"/>
  <c r="V9225" i="2" s="1"/>
  <c r="Q9225" i="2"/>
  <c r="P9221" i="2"/>
  <c r="V9221" i="2" s="1"/>
  <c r="Q9221" i="2"/>
  <c r="P9217" i="2"/>
  <c r="V9217" i="2" s="1"/>
  <c r="Q9217" i="2"/>
  <c r="P9213" i="2"/>
  <c r="V9213" i="2" s="1"/>
  <c r="Q9213" i="2"/>
  <c r="P9209" i="2"/>
  <c r="V9209" i="2" s="1"/>
  <c r="Q9209" i="2"/>
  <c r="P9205" i="2"/>
  <c r="V9205" i="2" s="1"/>
  <c r="Q9205" i="2"/>
  <c r="P9201" i="2"/>
  <c r="V9201" i="2" s="1"/>
  <c r="Q9201" i="2"/>
  <c r="P9197" i="2"/>
  <c r="V9197" i="2" s="1"/>
  <c r="Q9197" i="2"/>
  <c r="P9193" i="2"/>
  <c r="V9193" i="2" s="1"/>
  <c r="Q9193" i="2"/>
  <c r="P9189" i="2"/>
  <c r="V9189" i="2" s="1"/>
  <c r="Q9189" i="2"/>
  <c r="P9185" i="2"/>
  <c r="V9185" i="2" s="1"/>
  <c r="Q9185" i="2"/>
  <c r="P9181" i="2"/>
  <c r="V9181" i="2" s="1"/>
  <c r="Q9181" i="2"/>
  <c r="P9177" i="2"/>
  <c r="V9177" i="2" s="1"/>
  <c r="Q9177" i="2"/>
  <c r="P9173" i="2"/>
  <c r="V9173" i="2" s="1"/>
  <c r="Q9173" i="2"/>
  <c r="P9169" i="2"/>
  <c r="V9169" i="2" s="1"/>
  <c r="Q9169" i="2"/>
  <c r="P9165" i="2"/>
  <c r="V9165" i="2" s="1"/>
  <c r="Q9165" i="2"/>
  <c r="P9161" i="2"/>
  <c r="V9161" i="2" s="1"/>
  <c r="Q9161" i="2"/>
  <c r="P9157" i="2"/>
  <c r="V9157" i="2" s="1"/>
  <c r="Q9157" i="2"/>
  <c r="P9153" i="2"/>
  <c r="V9153" i="2" s="1"/>
  <c r="Q9153" i="2"/>
  <c r="P9149" i="2"/>
  <c r="V9149" i="2" s="1"/>
  <c r="Q9149" i="2"/>
  <c r="P9145" i="2"/>
  <c r="V9145" i="2" s="1"/>
  <c r="Q9145" i="2"/>
  <c r="P9141" i="2"/>
  <c r="V9141" i="2" s="1"/>
  <c r="Q9141" i="2"/>
  <c r="P9137" i="2"/>
  <c r="V9137" i="2" s="1"/>
  <c r="Q9137" i="2"/>
  <c r="P9133" i="2"/>
  <c r="V9133" i="2" s="1"/>
  <c r="Q9133" i="2"/>
  <c r="P9129" i="2"/>
  <c r="V9129" i="2" s="1"/>
  <c r="Q9129" i="2"/>
  <c r="P9125" i="2"/>
  <c r="V9125" i="2" s="1"/>
  <c r="Q9125" i="2"/>
  <c r="P9121" i="2"/>
  <c r="V9121" i="2" s="1"/>
  <c r="Q9121" i="2"/>
  <c r="P9117" i="2"/>
  <c r="V9117" i="2" s="1"/>
  <c r="Q9117" i="2"/>
  <c r="P9113" i="2"/>
  <c r="V9113" i="2" s="1"/>
  <c r="Q9113" i="2"/>
  <c r="P9109" i="2"/>
  <c r="V9109" i="2" s="1"/>
  <c r="Q9109" i="2"/>
  <c r="P9105" i="2"/>
  <c r="V9105" i="2" s="1"/>
  <c r="Q9105" i="2"/>
  <c r="P9101" i="2"/>
  <c r="V9101" i="2" s="1"/>
  <c r="Q9101" i="2"/>
  <c r="P9097" i="2"/>
  <c r="V9097" i="2" s="1"/>
  <c r="Q9097" i="2"/>
  <c r="P9093" i="2"/>
  <c r="V9093" i="2" s="1"/>
  <c r="Q9093" i="2"/>
  <c r="P9089" i="2"/>
  <c r="V9089" i="2" s="1"/>
  <c r="Q9089" i="2"/>
  <c r="P9085" i="2"/>
  <c r="V9085" i="2" s="1"/>
  <c r="Q9085" i="2"/>
  <c r="P9081" i="2"/>
  <c r="V9081" i="2" s="1"/>
  <c r="Q9081" i="2"/>
  <c r="P9077" i="2"/>
  <c r="V9077" i="2" s="1"/>
  <c r="Q9077" i="2"/>
  <c r="P9073" i="2"/>
  <c r="V9073" i="2" s="1"/>
  <c r="Q9073" i="2"/>
  <c r="P9069" i="2"/>
  <c r="V9069" i="2" s="1"/>
  <c r="Q9069" i="2"/>
  <c r="P9065" i="2"/>
  <c r="V9065" i="2" s="1"/>
  <c r="Q9065" i="2"/>
  <c r="P9061" i="2"/>
  <c r="V9061" i="2" s="1"/>
  <c r="Q9061" i="2"/>
  <c r="P9057" i="2"/>
  <c r="V9057" i="2" s="1"/>
  <c r="Q9057" i="2"/>
  <c r="P9053" i="2"/>
  <c r="V9053" i="2" s="1"/>
  <c r="Q9053" i="2"/>
  <c r="P9049" i="2"/>
  <c r="V9049" i="2" s="1"/>
  <c r="Q9049" i="2"/>
  <c r="P9045" i="2"/>
  <c r="V9045" i="2" s="1"/>
  <c r="Q9045" i="2"/>
  <c r="P9041" i="2"/>
  <c r="V9041" i="2" s="1"/>
  <c r="Q9041" i="2"/>
  <c r="P9037" i="2"/>
  <c r="V9037" i="2" s="1"/>
  <c r="Q9037" i="2"/>
  <c r="P9033" i="2"/>
  <c r="V9033" i="2" s="1"/>
  <c r="Q9033" i="2"/>
  <c r="P9029" i="2"/>
  <c r="V9029" i="2" s="1"/>
  <c r="Q9029" i="2"/>
  <c r="P9025" i="2"/>
  <c r="V9025" i="2" s="1"/>
  <c r="Q9025" i="2"/>
  <c r="P9021" i="2"/>
  <c r="V9021" i="2" s="1"/>
  <c r="Q9021" i="2"/>
  <c r="P9017" i="2"/>
  <c r="V9017" i="2" s="1"/>
  <c r="Q9017" i="2"/>
  <c r="P9013" i="2"/>
  <c r="V9013" i="2" s="1"/>
  <c r="Q9013" i="2"/>
  <c r="P9009" i="2"/>
  <c r="V9009" i="2" s="1"/>
  <c r="Q9009" i="2"/>
  <c r="P9005" i="2"/>
  <c r="V9005" i="2" s="1"/>
  <c r="Q9005" i="2"/>
  <c r="P9001" i="2"/>
  <c r="V9001" i="2" s="1"/>
  <c r="Q9001" i="2"/>
  <c r="P8997" i="2"/>
  <c r="V8997" i="2" s="1"/>
  <c r="Q8997" i="2"/>
  <c r="P8993" i="2"/>
  <c r="V8993" i="2" s="1"/>
  <c r="Q8993" i="2"/>
  <c r="P8989" i="2"/>
  <c r="V8989" i="2" s="1"/>
  <c r="Q8989" i="2"/>
  <c r="P8985" i="2"/>
  <c r="V8985" i="2" s="1"/>
  <c r="Q8985" i="2"/>
  <c r="P8981" i="2"/>
  <c r="V8981" i="2" s="1"/>
  <c r="Q8981" i="2"/>
  <c r="P8977" i="2"/>
  <c r="V8977" i="2" s="1"/>
  <c r="Q8977" i="2"/>
  <c r="P8973" i="2"/>
  <c r="V8973" i="2" s="1"/>
  <c r="Q8973" i="2"/>
  <c r="P8969" i="2"/>
  <c r="V8969" i="2" s="1"/>
  <c r="Q8969" i="2"/>
  <c r="P8965" i="2"/>
  <c r="V8965" i="2" s="1"/>
  <c r="Q8965" i="2"/>
  <c r="P8961" i="2"/>
  <c r="V8961" i="2" s="1"/>
  <c r="Q8961" i="2"/>
  <c r="P8957" i="2"/>
  <c r="V8957" i="2" s="1"/>
  <c r="Q8957" i="2"/>
  <c r="P8953" i="2"/>
  <c r="V8953" i="2" s="1"/>
  <c r="Q8953" i="2"/>
  <c r="P8949" i="2"/>
  <c r="V8949" i="2" s="1"/>
  <c r="Q8949" i="2"/>
  <c r="P8945" i="2"/>
  <c r="V8945" i="2" s="1"/>
  <c r="Q8945" i="2"/>
  <c r="P8941" i="2"/>
  <c r="V8941" i="2" s="1"/>
  <c r="Q8941" i="2"/>
  <c r="P8937" i="2"/>
  <c r="V8937" i="2" s="1"/>
  <c r="Q8937" i="2"/>
  <c r="P8933" i="2"/>
  <c r="V8933" i="2" s="1"/>
  <c r="Q8933" i="2"/>
  <c r="P8929" i="2"/>
  <c r="V8929" i="2" s="1"/>
  <c r="Q8929" i="2"/>
  <c r="P8925" i="2"/>
  <c r="V8925" i="2" s="1"/>
  <c r="Q8925" i="2"/>
  <c r="P8921" i="2"/>
  <c r="V8921" i="2" s="1"/>
  <c r="Q8921" i="2"/>
  <c r="P8917" i="2"/>
  <c r="V8917" i="2" s="1"/>
  <c r="Q8917" i="2"/>
  <c r="P8913" i="2"/>
  <c r="V8913" i="2" s="1"/>
  <c r="Q8913" i="2"/>
  <c r="P8909" i="2"/>
  <c r="V8909" i="2" s="1"/>
  <c r="Q8909" i="2"/>
  <c r="P8905" i="2"/>
  <c r="V8905" i="2" s="1"/>
  <c r="Q8905" i="2"/>
  <c r="P8901" i="2"/>
  <c r="V8901" i="2" s="1"/>
  <c r="Q8901" i="2"/>
  <c r="P8897" i="2"/>
  <c r="V8897" i="2" s="1"/>
  <c r="Q8897" i="2"/>
  <c r="P8893" i="2"/>
  <c r="V8893" i="2" s="1"/>
  <c r="Q8893" i="2"/>
  <c r="P8889" i="2"/>
  <c r="V8889" i="2" s="1"/>
  <c r="Q8889" i="2"/>
  <c r="P8885" i="2"/>
  <c r="V8885" i="2" s="1"/>
  <c r="Q8885" i="2"/>
  <c r="P8881" i="2"/>
  <c r="V8881" i="2" s="1"/>
  <c r="Q8881" i="2"/>
  <c r="P8877" i="2"/>
  <c r="V8877" i="2" s="1"/>
  <c r="Q8877" i="2"/>
  <c r="P8873" i="2"/>
  <c r="V8873" i="2" s="1"/>
  <c r="Q8873" i="2"/>
  <c r="P8869" i="2"/>
  <c r="V8869" i="2" s="1"/>
  <c r="Q8869" i="2"/>
  <c r="P8865" i="2"/>
  <c r="V8865" i="2" s="1"/>
  <c r="Q8865" i="2"/>
  <c r="P8861" i="2"/>
  <c r="V8861" i="2" s="1"/>
  <c r="Q8861" i="2"/>
  <c r="P8857" i="2"/>
  <c r="V8857" i="2" s="1"/>
  <c r="Q8857" i="2"/>
  <c r="P8853" i="2"/>
  <c r="V8853" i="2" s="1"/>
  <c r="Q8853" i="2"/>
  <c r="P8849" i="2"/>
  <c r="V8849" i="2" s="1"/>
  <c r="Q8849" i="2"/>
  <c r="P8845" i="2"/>
  <c r="V8845" i="2" s="1"/>
  <c r="Q8845" i="2"/>
  <c r="P8841" i="2"/>
  <c r="V8841" i="2" s="1"/>
  <c r="Q8841" i="2"/>
  <c r="P8837" i="2"/>
  <c r="V8837" i="2" s="1"/>
  <c r="Q8837" i="2"/>
  <c r="P8833" i="2"/>
  <c r="V8833" i="2" s="1"/>
  <c r="Q8833" i="2"/>
  <c r="P8829" i="2"/>
  <c r="V8829" i="2" s="1"/>
  <c r="Q8829" i="2"/>
  <c r="P8825" i="2"/>
  <c r="V8825" i="2" s="1"/>
  <c r="Q8825" i="2"/>
  <c r="P8821" i="2"/>
  <c r="V8821" i="2" s="1"/>
  <c r="Q8821" i="2"/>
  <c r="P8817" i="2"/>
  <c r="V8817" i="2" s="1"/>
  <c r="Q8817" i="2"/>
  <c r="P8813" i="2"/>
  <c r="V8813" i="2" s="1"/>
  <c r="Q8813" i="2"/>
  <c r="P8809" i="2"/>
  <c r="V8809" i="2" s="1"/>
  <c r="Q8809" i="2"/>
  <c r="P8805" i="2"/>
  <c r="V8805" i="2" s="1"/>
  <c r="Q8805" i="2"/>
  <c r="P8801" i="2"/>
  <c r="V8801" i="2" s="1"/>
  <c r="Q8801" i="2"/>
  <c r="P8797" i="2"/>
  <c r="V8797" i="2" s="1"/>
  <c r="Q8797" i="2"/>
  <c r="P8793" i="2"/>
  <c r="V8793" i="2" s="1"/>
  <c r="Q8793" i="2"/>
  <c r="P8789" i="2"/>
  <c r="V8789" i="2" s="1"/>
  <c r="Q8789" i="2"/>
  <c r="P8785" i="2"/>
  <c r="V8785" i="2" s="1"/>
  <c r="Q8785" i="2"/>
  <c r="P8781" i="2"/>
  <c r="V8781" i="2" s="1"/>
  <c r="Q8781" i="2"/>
  <c r="P8777" i="2"/>
  <c r="V8777" i="2" s="1"/>
  <c r="Q8777" i="2"/>
  <c r="P8773" i="2"/>
  <c r="V8773" i="2" s="1"/>
  <c r="Q8773" i="2"/>
  <c r="P8769" i="2"/>
  <c r="V8769" i="2" s="1"/>
  <c r="Q8769" i="2"/>
  <c r="P8765" i="2"/>
  <c r="V8765" i="2" s="1"/>
  <c r="Q8765" i="2"/>
  <c r="P8761" i="2"/>
  <c r="V8761" i="2" s="1"/>
  <c r="Q8761" i="2"/>
  <c r="P8757" i="2"/>
  <c r="V8757" i="2" s="1"/>
  <c r="Q8757" i="2"/>
  <c r="P8753" i="2"/>
  <c r="V8753" i="2" s="1"/>
  <c r="Q8753" i="2"/>
  <c r="P8749" i="2"/>
  <c r="V8749" i="2" s="1"/>
  <c r="Q8749" i="2"/>
  <c r="P8745" i="2"/>
  <c r="V8745" i="2" s="1"/>
  <c r="Q8745" i="2"/>
  <c r="P8741" i="2"/>
  <c r="V8741" i="2" s="1"/>
  <c r="Q8741" i="2"/>
  <c r="P8737" i="2"/>
  <c r="V8737" i="2" s="1"/>
  <c r="Q8737" i="2"/>
  <c r="P8733" i="2"/>
  <c r="V8733" i="2" s="1"/>
  <c r="Q8733" i="2"/>
  <c r="P8729" i="2"/>
  <c r="V8729" i="2" s="1"/>
  <c r="Q8729" i="2"/>
  <c r="P8725" i="2"/>
  <c r="V8725" i="2" s="1"/>
  <c r="Q8725" i="2"/>
  <c r="P8721" i="2"/>
  <c r="V8721" i="2" s="1"/>
  <c r="Q8721" i="2"/>
  <c r="P8717" i="2"/>
  <c r="V8717" i="2" s="1"/>
  <c r="Q8717" i="2"/>
  <c r="P8713" i="2"/>
  <c r="V8713" i="2" s="1"/>
  <c r="Q8713" i="2"/>
  <c r="P8709" i="2"/>
  <c r="V8709" i="2" s="1"/>
  <c r="Q8709" i="2"/>
  <c r="P8705" i="2"/>
  <c r="V8705" i="2" s="1"/>
  <c r="Q8705" i="2"/>
  <c r="P8701" i="2"/>
  <c r="V8701" i="2" s="1"/>
  <c r="Q8701" i="2"/>
  <c r="P8697" i="2"/>
  <c r="V8697" i="2" s="1"/>
  <c r="Q8697" i="2"/>
  <c r="P8693" i="2"/>
  <c r="V8693" i="2" s="1"/>
  <c r="Q8693" i="2"/>
  <c r="P8689" i="2"/>
  <c r="V8689" i="2" s="1"/>
  <c r="Q8689" i="2"/>
  <c r="P8685" i="2"/>
  <c r="V8685" i="2" s="1"/>
  <c r="Q8685" i="2"/>
  <c r="P8681" i="2"/>
  <c r="V8681" i="2" s="1"/>
  <c r="Q8681" i="2"/>
  <c r="P8677" i="2"/>
  <c r="V8677" i="2" s="1"/>
  <c r="Q8677" i="2"/>
  <c r="P8673" i="2"/>
  <c r="V8673" i="2" s="1"/>
  <c r="Q8673" i="2"/>
  <c r="P8669" i="2"/>
  <c r="V8669" i="2" s="1"/>
  <c r="Q8669" i="2"/>
  <c r="P8665" i="2"/>
  <c r="V8665" i="2" s="1"/>
  <c r="Q8665" i="2"/>
  <c r="P8661" i="2"/>
  <c r="V8661" i="2" s="1"/>
  <c r="Q8661" i="2"/>
  <c r="P8657" i="2"/>
  <c r="V8657" i="2" s="1"/>
  <c r="Q8657" i="2"/>
  <c r="P8653" i="2"/>
  <c r="V8653" i="2" s="1"/>
  <c r="Q8653" i="2"/>
  <c r="P8649" i="2"/>
  <c r="V8649" i="2" s="1"/>
  <c r="Q8649" i="2"/>
  <c r="P8645" i="2"/>
  <c r="V8645" i="2" s="1"/>
  <c r="Q8645" i="2"/>
  <c r="P8641" i="2"/>
  <c r="V8641" i="2" s="1"/>
  <c r="Q8641" i="2"/>
  <c r="P8637" i="2"/>
  <c r="V8637" i="2" s="1"/>
  <c r="Q8637" i="2"/>
  <c r="P8633" i="2"/>
  <c r="V8633" i="2" s="1"/>
  <c r="Q8633" i="2"/>
  <c r="P8629" i="2"/>
  <c r="V8629" i="2" s="1"/>
  <c r="Q8629" i="2"/>
  <c r="P8625" i="2"/>
  <c r="V8625" i="2" s="1"/>
  <c r="Q8625" i="2"/>
  <c r="P8621" i="2"/>
  <c r="V8621" i="2" s="1"/>
  <c r="Q8621" i="2"/>
  <c r="P8617" i="2"/>
  <c r="V8617" i="2" s="1"/>
  <c r="Q8617" i="2"/>
  <c r="P8613" i="2"/>
  <c r="V8613" i="2" s="1"/>
  <c r="Q8613" i="2"/>
  <c r="P8609" i="2"/>
  <c r="V8609" i="2" s="1"/>
  <c r="Q8609" i="2"/>
  <c r="P8605" i="2"/>
  <c r="V8605" i="2" s="1"/>
  <c r="Q8605" i="2"/>
  <c r="P8601" i="2"/>
  <c r="V8601" i="2" s="1"/>
  <c r="Q8601" i="2"/>
  <c r="P8597" i="2"/>
  <c r="V8597" i="2" s="1"/>
  <c r="Q8597" i="2"/>
  <c r="P8593" i="2"/>
  <c r="V8593" i="2" s="1"/>
  <c r="Q8593" i="2"/>
  <c r="P8589" i="2"/>
  <c r="V8589" i="2" s="1"/>
  <c r="Q8589" i="2"/>
  <c r="P8585" i="2"/>
  <c r="V8585" i="2" s="1"/>
  <c r="Q8585" i="2"/>
  <c r="P8581" i="2"/>
  <c r="V8581" i="2" s="1"/>
  <c r="Q8581" i="2"/>
  <c r="P8577" i="2"/>
  <c r="V8577" i="2" s="1"/>
  <c r="Q8577" i="2"/>
  <c r="P8573" i="2"/>
  <c r="V8573" i="2" s="1"/>
  <c r="Q8573" i="2"/>
  <c r="P8569" i="2"/>
  <c r="V8569" i="2" s="1"/>
  <c r="Q8569" i="2"/>
  <c r="P8565" i="2"/>
  <c r="V8565" i="2" s="1"/>
  <c r="Q8565" i="2"/>
  <c r="P8561" i="2"/>
  <c r="V8561" i="2" s="1"/>
  <c r="Q8561" i="2"/>
  <c r="P8557" i="2"/>
  <c r="V8557" i="2" s="1"/>
  <c r="Q8557" i="2"/>
  <c r="P8553" i="2"/>
  <c r="V8553" i="2" s="1"/>
  <c r="Q8553" i="2"/>
  <c r="P8549" i="2"/>
  <c r="V8549" i="2" s="1"/>
  <c r="Q8549" i="2"/>
  <c r="P8545" i="2"/>
  <c r="V8545" i="2" s="1"/>
  <c r="Q8545" i="2"/>
  <c r="P8541" i="2"/>
  <c r="V8541" i="2" s="1"/>
  <c r="Q8541" i="2"/>
  <c r="P8537" i="2"/>
  <c r="V8537" i="2" s="1"/>
  <c r="Q8537" i="2"/>
  <c r="P8533" i="2"/>
  <c r="V8533" i="2" s="1"/>
  <c r="Q8533" i="2"/>
  <c r="P8529" i="2"/>
  <c r="V8529" i="2" s="1"/>
  <c r="Q8529" i="2"/>
  <c r="P8525" i="2"/>
  <c r="V8525" i="2" s="1"/>
  <c r="Q8525" i="2"/>
  <c r="P8521" i="2"/>
  <c r="V8521" i="2" s="1"/>
  <c r="Q8521" i="2"/>
  <c r="P8517" i="2"/>
  <c r="V8517" i="2" s="1"/>
  <c r="Q8517" i="2"/>
  <c r="P8513" i="2"/>
  <c r="V8513" i="2" s="1"/>
  <c r="Q8513" i="2"/>
  <c r="P8509" i="2"/>
  <c r="V8509" i="2" s="1"/>
  <c r="Q8509" i="2"/>
  <c r="P8505" i="2"/>
  <c r="V8505" i="2" s="1"/>
  <c r="Q8505" i="2"/>
  <c r="P8501" i="2"/>
  <c r="V8501" i="2" s="1"/>
  <c r="Q8501" i="2"/>
  <c r="P8497" i="2"/>
  <c r="V8497" i="2" s="1"/>
  <c r="Q8497" i="2"/>
  <c r="P8493" i="2"/>
  <c r="V8493" i="2" s="1"/>
  <c r="Q8493" i="2"/>
  <c r="P8489" i="2"/>
  <c r="V8489" i="2" s="1"/>
  <c r="Q8489" i="2"/>
  <c r="P8485" i="2"/>
  <c r="V8485" i="2" s="1"/>
  <c r="Q8485" i="2"/>
  <c r="P8481" i="2"/>
  <c r="V8481" i="2" s="1"/>
  <c r="Q8481" i="2"/>
  <c r="P8477" i="2"/>
  <c r="V8477" i="2" s="1"/>
  <c r="Q8477" i="2"/>
  <c r="P8473" i="2"/>
  <c r="V8473" i="2" s="1"/>
  <c r="Q8473" i="2"/>
  <c r="P8469" i="2"/>
  <c r="V8469" i="2" s="1"/>
  <c r="Q8469" i="2"/>
  <c r="P8465" i="2"/>
  <c r="V8465" i="2" s="1"/>
  <c r="Q8465" i="2"/>
  <c r="P8461" i="2"/>
  <c r="V8461" i="2" s="1"/>
  <c r="Q8461" i="2"/>
  <c r="P8457" i="2"/>
  <c r="V8457" i="2" s="1"/>
  <c r="Q8457" i="2"/>
  <c r="P8453" i="2"/>
  <c r="V8453" i="2" s="1"/>
  <c r="Q8453" i="2"/>
  <c r="P8449" i="2"/>
  <c r="V8449" i="2" s="1"/>
  <c r="Q8449" i="2"/>
  <c r="P8445" i="2"/>
  <c r="V8445" i="2" s="1"/>
  <c r="Q8445" i="2"/>
  <c r="P8441" i="2"/>
  <c r="V8441" i="2" s="1"/>
  <c r="Q8441" i="2"/>
  <c r="P8437" i="2"/>
  <c r="V8437" i="2" s="1"/>
  <c r="Q8437" i="2"/>
  <c r="P8433" i="2"/>
  <c r="V8433" i="2" s="1"/>
  <c r="Q8433" i="2"/>
  <c r="P8429" i="2"/>
  <c r="V8429" i="2" s="1"/>
  <c r="Q8429" i="2"/>
  <c r="P8425" i="2"/>
  <c r="V8425" i="2" s="1"/>
  <c r="Q8425" i="2"/>
  <c r="P8421" i="2"/>
  <c r="V8421" i="2" s="1"/>
  <c r="Q8421" i="2"/>
  <c r="P8417" i="2"/>
  <c r="V8417" i="2" s="1"/>
  <c r="Q8417" i="2"/>
  <c r="P8413" i="2"/>
  <c r="V8413" i="2" s="1"/>
  <c r="Q8413" i="2"/>
  <c r="P8409" i="2"/>
  <c r="V8409" i="2" s="1"/>
  <c r="Q8409" i="2"/>
  <c r="P8405" i="2"/>
  <c r="V8405" i="2" s="1"/>
  <c r="Q8405" i="2"/>
  <c r="P8401" i="2"/>
  <c r="V8401" i="2" s="1"/>
  <c r="Q8401" i="2"/>
  <c r="P8397" i="2"/>
  <c r="V8397" i="2" s="1"/>
  <c r="Q8397" i="2"/>
  <c r="P8393" i="2"/>
  <c r="V8393" i="2" s="1"/>
  <c r="Q8393" i="2"/>
  <c r="P8389" i="2"/>
  <c r="V8389" i="2" s="1"/>
  <c r="Q8389" i="2"/>
  <c r="P8385" i="2"/>
  <c r="V8385" i="2" s="1"/>
  <c r="Q8385" i="2"/>
  <c r="P8381" i="2"/>
  <c r="V8381" i="2" s="1"/>
  <c r="Q8381" i="2"/>
  <c r="P8377" i="2"/>
  <c r="V8377" i="2" s="1"/>
  <c r="Q8377" i="2"/>
  <c r="P8373" i="2"/>
  <c r="V8373" i="2" s="1"/>
  <c r="Q8373" i="2"/>
  <c r="P8369" i="2"/>
  <c r="V8369" i="2" s="1"/>
  <c r="Q8369" i="2"/>
  <c r="P8365" i="2"/>
  <c r="V8365" i="2" s="1"/>
  <c r="Q8365" i="2"/>
  <c r="P8361" i="2"/>
  <c r="V8361" i="2" s="1"/>
  <c r="Q8361" i="2"/>
  <c r="P8357" i="2"/>
  <c r="V8357" i="2" s="1"/>
  <c r="Q8357" i="2"/>
  <c r="P8353" i="2"/>
  <c r="V8353" i="2" s="1"/>
  <c r="Q8353" i="2"/>
  <c r="P8349" i="2"/>
  <c r="V8349" i="2" s="1"/>
  <c r="Q8349" i="2"/>
  <c r="P8345" i="2"/>
  <c r="V8345" i="2" s="1"/>
  <c r="Q8345" i="2"/>
  <c r="P8341" i="2"/>
  <c r="V8341" i="2" s="1"/>
  <c r="Q8341" i="2"/>
  <c r="P8337" i="2"/>
  <c r="V8337" i="2" s="1"/>
  <c r="Q8337" i="2"/>
  <c r="P8333" i="2"/>
  <c r="V8333" i="2" s="1"/>
  <c r="Q8333" i="2"/>
  <c r="P8329" i="2"/>
  <c r="V8329" i="2" s="1"/>
  <c r="Q8329" i="2"/>
  <c r="P8325" i="2"/>
  <c r="V8325" i="2" s="1"/>
  <c r="Q8325" i="2"/>
  <c r="P8321" i="2"/>
  <c r="V8321" i="2" s="1"/>
  <c r="Q8321" i="2"/>
  <c r="P8317" i="2"/>
  <c r="V8317" i="2" s="1"/>
  <c r="Q8317" i="2"/>
  <c r="P8313" i="2"/>
  <c r="V8313" i="2" s="1"/>
  <c r="Q8313" i="2"/>
  <c r="P8309" i="2"/>
  <c r="V8309" i="2" s="1"/>
  <c r="Q8309" i="2"/>
  <c r="P8305" i="2"/>
  <c r="V8305" i="2" s="1"/>
  <c r="Q8305" i="2"/>
  <c r="P8301" i="2"/>
  <c r="V8301" i="2" s="1"/>
  <c r="Q8301" i="2"/>
  <c r="P8297" i="2"/>
  <c r="V8297" i="2" s="1"/>
  <c r="Q8297" i="2"/>
  <c r="P8293" i="2"/>
  <c r="V8293" i="2" s="1"/>
  <c r="Q8293" i="2"/>
  <c r="P8289" i="2"/>
  <c r="V8289" i="2" s="1"/>
  <c r="Q8289" i="2"/>
  <c r="P8285" i="2"/>
  <c r="V8285" i="2" s="1"/>
  <c r="Q8285" i="2"/>
  <c r="P8281" i="2"/>
  <c r="V8281" i="2" s="1"/>
  <c r="Q8281" i="2"/>
  <c r="P8277" i="2"/>
  <c r="V8277" i="2" s="1"/>
  <c r="Q8277" i="2"/>
  <c r="P8273" i="2"/>
  <c r="V8273" i="2" s="1"/>
  <c r="Q8273" i="2"/>
  <c r="P8269" i="2"/>
  <c r="V8269" i="2" s="1"/>
  <c r="Q8269" i="2"/>
  <c r="P8265" i="2"/>
  <c r="V8265" i="2" s="1"/>
  <c r="Q8265" i="2"/>
  <c r="P8261" i="2"/>
  <c r="V8261" i="2" s="1"/>
  <c r="Q8261" i="2"/>
  <c r="P8257" i="2"/>
  <c r="V8257" i="2" s="1"/>
  <c r="Q8257" i="2"/>
  <c r="P8253" i="2"/>
  <c r="V8253" i="2" s="1"/>
  <c r="Q8253" i="2"/>
  <c r="P8249" i="2"/>
  <c r="V8249" i="2" s="1"/>
  <c r="Q8249" i="2"/>
  <c r="P8245" i="2"/>
  <c r="V8245" i="2" s="1"/>
  <c r="Q8245" i="2"/>
  <c r="P8241" i="2"/>
  <c r="V8241" i="2" s="1"/>
  <c r="Q8241" i="2"/>
  <c r="P8237" i="2"/>
  <c r="V8237" i="2" s="1"/>
  <c r="Q8237" i="2"/>
  <c r="P8233" i="2"/>
  <c r="V8233" i="2" s="1"/>
  <c r="Q8233" i="2"/>
  <c r="P8229" i="2"/>
  <c r="V8229" i="2" s="1"/>
  <c r="Q8229" i="2"/>
  <c r="P8225" i="2"/>
  <c r="V8225" i="2" s="1"/>
  <c r="Q8225" i="2"/>
  <c r="P8221" i="2"/>
  <c r="V8221" i="2" s="1"/>
  <c r="Q8221" i="2"/>
  <c r="P8217" i="2"/>
  <c r="V8217" i="2" s="1"/>
  <c r="Q8217" i="2"/>
  <c r="P8213" i="2"/>
  <c r="V8213" i="2" s="1"/>
  <c r="Q8213" i="2"/>
  <c r="P8209" i="2"/>
  <c r="V8209" i="2" s="1"/>
  <c r="Q8209" i="2"/>
  <c r="P8205" i="2"/>
  <c r="V8205" i="2" s="1"/>
  <c r="Q8205" i="2"/>
  <c r="P8201" i="2"/>
  <c r="V8201" i="2" s="1"/>
  <c r="Q8201" i="2"/>
  <c r="P8197" i="2"/>
  <c r="V8197" i="2" s="1"/>
  <c r="Q8197" i="2"/>
  <c r="P8193" i="2"/>
  <c r="V8193" i="2" s="1"/>
  <c r="Q8193" i="2"/>
  <c r="P8189" i="2"/>
  <c r="V8189" i="2" s="1"/>
  <c r="Q8189" i="2"/>
  <c r="P8185" i="2"/>
  <c r="V8185" i="2" s="1"/>
  <c r="Q8185" i="2"/>
  <c r="P8181" i="2"/>
  <c r="V8181" i="2" s="1"/>
  <c r="Q8181" i="2"/>
  <c r="P8177" i="2"/>
  <c r="V8177" i="2" s="1"/>
  <c r="Q8177" i="2"/>
  <c r="P8173" i="2"/>
  <c r="V8173" i="2" s="1"/>
  <c r="Q8173" i="2"/>
  <c r="P8169" i="2"/>
  <c r="V8169" i="2" s="1"/>
  <c r="Q8169" i="2"/>
  <c r="P8165" i="2"/>
  <c r="V8165" i="2" s="1"/>
  <c r="Q8165" i="2"/>
  <c r="P8161" i="2"/>
  <c r="V8161" i="2" s="1"/>
  <c r="Q8161" i="2"/>
  <c r="P8157" i="2"/>
  <c r="V8157" i="2" s="1"/>
  <c r="Q8157" i="2"/>
  <c r="P8153" i="2"/>
  <c r="V8153" i="2" s="1"/>
  <c r="Q8153" i="2"/>
  <c r="P8149" i="2"/>
  <c r="V8149" i="2" s="1"/>
  <c r="Q8149" i="2"/>
  <c r="P8145" i="2"/>
  <c r="V8145" i="2" s="1"/>
  <c r="Q8145" i="2"/>
  <c r="P8141" i="2"/>
  <c r="V8141" i="2" s="1"/>
  <c r="Q8141" i="2"/>
  <c r="P8137" i="2"/>
  <c r="V8137" i="2" s="1"/>
  <c r="Q8137" i="2"/>
  <c r="P8133" i="2"/>
  <c r="V8133" i="2" s="1"/>
  <c r="Q8133" i="2"/>
  <c r="P8129" i="2"/>
  <c r="V8129" i="2" s="1"/>
  <c r="Q8129" i="2"/>
  <c r="P8125" i="2"/>
  <c r="V8125" i="2" s="1"/>
  <c r="Q8125" i="2"/>
  <c r="P8121" i="2"/>
  <c r="V8121" i="2" s="1"/>
  <c r="Q8121" i="2"/>
  <c r="P8117" i="2"/>
  <c r="V8117" i="2" s="1"/>
  <c r="Q8117" i="2"/>
  <c r="P8113" i="2"/>
  <c r="V8113" i="2" s="1"/>
  <c r="Q8113" i="2"/>
  <c r="P8109" i="2"/>
  <c r="V8109" i="2" s="1"/>
  <c r="Q8109" i="2"/>
  <c r="P8105" i="2"/>
  <c r="V8105" i="2" s="1"/>
  <c r="Q8105" i="2"/>
  <c r="P8101" i="2"/>
  <c r="V8101" i="2" s="1"/>
  <c r="Q8101" i="2"/>
  <c r="P8097" i="2"/>
  <c r="V8097" i="2" s="1"/>
  <c r="Q8097" i="2"/>
  <c r="P8093" i="2"/>
  <c r="V8093" i="2" s="1"/>
  <c r="Q8093" i="2"/>
  <c r="P8089" i="2"/>
  <c r="V8089" i="2" s="1"/>
  <c r="Q8089" i="2"/>
  <c r="P8085" i="2"/>
  <c r="V8085" i="2" s="1"/>
  <c r="Q8085" i="2"/>
  <c r="P8081" i="2"/>
  <c r="V8081" i="2" s="1"/>
  <c r="Q8081" i="2"/>
  <c r="P8077" i="2"/>
  <c r="V8077" i="2" s="1"/>
  <c r="Q8077" i="2"/>
  <c r="P8073" i="2"/>
  <c r="V8073" i="2" s="1"/>
  <c r="Q8073" i="2"/>
  <c r="P8069" i="2"/>
  <c r="V8069" i="2" s="1"/>
  <c r="Q8069" i="2"/>
  <c r="P8065" i="2"/>
  <c r="V8065" i="2" s="1"/>
  <c r="Q8065" i="2"/>
  <c r="P8061" i="2"/>
  <c r="V8061" i="2" s="1"/>
  <c r="Q8061" i="2"/>
  <c r="P8057" i="2"/>
  <c r="V8057" i="2" s="1"/>
  <c r="Q8057" i="2"/>
  <c r="P8053" i="2"/>
  <c r="V8053" i="2" s="1"/>
  <c r="Q8053" i="2"/>
  <c r="P8049" i="2"/>
  <c r="V8049" i="2" s="1"/>
  <c r="Q8049" i="2"/>
  <c r="P8045" i="2"/>
  <c r="V8045" i="2" s="1"/>
  <c r="Q8045" i="2"/>
  <c r="P8041" i="2"/>
  <c r="V8041" i="2" s="1"/>
  <c r="Q8041" i="2"/>
  <c r="P8037" i="2"/>
  <c r="V8037" i="2" s="1"/>
  <c r="Q8037" i="2"/>
  <c r="P8033" i="2"/>
  <c r="V8033" i="2" s="1"/>
  <c r="Q8033" i="2"/>
  <c r="P8029" i="2"/>
  <c r="V8029" i="2" s="1"/>
  <c r="Q8029" i="2"/>
  <c r="P8025" i="2"/>
  <c r="V8025" i="2" s="1"/>
  <c r="Q8025" i="2"/>
  <c r="P8021" i="2"/>
  <c r="V8021" i="2" s="1"/>
  <c r="Q8021" i="2"/>
  <c r="P8017" i="2"/>
  <c r="V8017" i="2" s="1"/>
  <c r="Q8017" i="2"/>
  <c r="P8013" i="2"/>
  <c r="V8013" i="2" s="1"/>
  <c r="Q8013" i="2"/>
  <c r="P8009" i="2"/>
  <c r="V8009" i="2" s="1"/>
  <c r="Q8009" i="2"/>
  <c r="P8005" i="2"/>
  <c r="V8005" i="2" s="1"/>
  <c r="Q8005" i="2"/>
  <c r="P8001" i="2"/>
  <c r="V8001" i="2" s="1"/>
  <c r="Q8001" i="2"/>
  <c r="P7997" i="2"/>
  <c r="V7997" i="2" s="1"/>
  <c r="Q7997" i="2"/>
  <c r="P7993" i="2"/>
  <c r="V7993" i="2" s="1"/>
  <c r="Q7993" i="2"/>
  <c r="P7989" i="2"/>
  <c r="V7989" i="2" s="1"/>
  <c r="Q7989" i="2"/>
  <c r="P7985" i="2"/>
  <c r="V7985" i="2" s="1"/>
  <c r="Q7985" i="2"/>
  <c r="P7981" i="2"/>
  <c r="V7981" i="2" s="1"/>
  <c r="Q7981" i="2"/>
  <c r="P7977" i="2"/>
  <c r="V7977" i="2" s="1"/>
  <c r="Q7977" i="2"/>
  <c r="P7973" i="2"/>
  <c r="V7973" i="2" s="1"/>
  <c r="Q7973" i="2"/>
  <c r="P7969" i="2"/>
  <c r="V7969" i="2" s="1"/>
  <c r="Q7969" i="2"/>
  <c r="P7965" i="2"/>
  <c r="V7965" i="2" s="1"/>
  <c r="Q7965" i="2"/>
  <c r="P7961" i="2"/>
  <c r="V7961" i="2" s="1"/>
  <c r="Q7961" i="2"/>
  <c r="P7957" i="2"/>
  <c r="V7957" i="2" s="1"/>
  <c r="Q7957" i="2"/>
  <c r="P7953" i="2"/>
  <c r="V7953" i="2" s="1"/>
  <c r="Q7953" i="2"/>
  <c r="P7949" i="2"/>
  <c r="V7949" i="2" s="1"/>
  <c r="Q7949" i="2"/>
  <c r="P7945" i="2"/>
  <c r="V7945" i="2" s="1"/>
  <c r="Q7945" i="2"/>
  <c r="P7941" i="2"/>
  <c r="V7941" i="2" s="1"/>
  <c r="Q7941" i="2"/>
  <c r="P7937" i="2"/>
  <c r="V7937" i="2" s="1"/>
  <c r="Q7937" i="2"/>
  <c r="P7933" i="2"/>
  <c r="V7933" i="2" s="1"/>
  <c r="Q7933" i="2"/>
  <c r="P7929" i="2"/>
  <c r="V7929" i="2" s="1"/>
  <c r="Q7929" i="2"/>
  <c r="P7925" i="2"/>
  <c r="V7925" i="2" s="1"/>
  <c r="Q7925" i="2"/>
  <c r="P7921" i="2"/>
  <c r="V7921" i="2" s="1"/>
  <c r="Q7921" i="2"/>
  <c r="P7917" i="2"/>
  <c r="V7917" i="2" s="1"/>
  <c r="Q7917" i="2"/>
  <c r="P7913" i="2"/>
  <c r="V7913" i="2" s="1"/>
  <c r="Q7913" i="2"/>
  <c r="P7909" i="2"/>
  <c r="V7909" i="2" s="1"/>
  <c r="Q7909" i="2"/>
  <c r="P7905" i="2"/>
  <c r="V7905" i="2" s="1"/>
  <c r="Q7905" i="2"/>
  <c r="P7901" i="2"/>
  <c r="V7901" i="2" s="1"/>
  <c r="Q7901" i="2"/>
  <c r="P7897" i="2"/>
  <c r="V7897" i="2" s="1"/>
  <c r="Q7897" i="2"/>
  <c r="P7893" i="2"/>
  <c r="V7893" i="2" s="1"/>
  <c r="Q7893" i="2"/>
  <c r="P7889" i="2"/>
  <c r="V7889" i="2" s="1"/>
  <c r="Q7889" i="2"/>
  <c r="P7885" i="2"/>
  <c r="V7885" i="2" s="1"/>
  <c r="Q7885" i="2"/>
  <c r="P7881" i="2"/>
  <c r="V7881" i="2" s="1"/>
  <c r="Q7881" i="2"/>
  <c r="P7877" i="2"/>
  <c r="V7877" i="2" s="1"/>
  <c r="Q7877" i="2"/>
  <c r="P7873" i="2"/>
  <c r="V7873" i="2" s="1"/>
  <c r="Q7873" i="2"/>
  <c r="P7869" i="2"/>
  <c r="V7869" i="2" s="1"/>
  <c r="Q7869" i="2"/>
  <c r="P7865" i="2"/>
  <c r="V7865" i="2" s="1"/>
  <c r="Q7865" i="2"/>
  <c r="P7861" i="2"/>
  <c r="V7861" i="2" s="1"/>
  <c r="Q7861" i="2"/>
  <c r="P7857" i="2"/>
  <c r="V7857" i="2" s="1"/>
  <c r="Q7857" i="2"/>
  <c r="P7853" i="2"/>
  <c r="V7853" i="2" s="1"/>
  <c r="Q7853" i="2"/>
  <c r="P7849" i="2"/>
  <c r="V7849" i="2" s="1"/>
  <c r="Q7849" i="2"/>
  <c r="P7845" i="2"/>
  <c r="V7845" i="2" s="1"/>
  <c r="Q7845" i="2"/>
  <c r="P7841" i="2"/>
  <c r="V7841" i="2" s="1"/>
  <c r="Q7841" i="2"/>
  <c r="P7837" i="2"/>
  <c r="V7837" i="2" s="1"/>
  <c r="Q7837" i="2"/>
  <c r="P7833" i="2"/>
  <c r="V7833" i="2" s="1"/>
  <c r="Q7833" i="2"/>
  <c r="P7829" i="2"/>
  <c r="V7829" i="2" s="1"/>
  <c r="Q7829" i="2"/>
  <c r="P7825" i="2"/>
  <c r="V7825" i="2" s="1"/>
  <c r="Q7825" i="2"/>
  <c r="P7821" i="2"/>
  <c r="V7821" i="2" s="1"/>
  <c r="Q7821" i="2"/>
  <c r="P7817" i="2"/>
  <c r="V7817" i="2" s="1"/>
  <c r="Q7817" i="2"/>
  <c r="P7813" i="2"/>
  <c r="V7813" i="2" s="1"/>
  <c r="Q7813" i="2"/>
  <c r="P7809" i="2"/>
  <c r="V7809" i="2" s="1"/>
  <c r="Q7809" i="2"/>
  <c r="P7805" i="2"/>
  <c r="V7805" i="2" s="1"/>
  <c r="Q7805" i="2"/>
  <c r="P7801" i="2"/>
  <c r="V7801" i="2" s="1"/>
  <c r="Q7801" i="2"/>
  <c r="P7797" i="2"/>
  <c r="V7797" i="2" s="1"/>
  <c r="Q7797" i="2"/>
  <c r="P7793" i="2"/>
  <c r="V7793" i="2" s="1"/>
  <c r="Q7793" i="2"/>
  <c r="P7789" i="2"/>
  <c r="V7789" i="2" s="1"/>
  <c r="Q7789" i="2"/>
  <c r="P7785" i="2"/>
  <c r="V7785" i="2" s="1"/>
  <c r="Q7785" i="2"/>
  <c r="P7781" i="2"/>
  <c r="V7781" i="2" s="1"/>
  <c r="Q7781" i="2"/>
  <c r="P7777" i="2"/>
  <c r="V7777" i="2" s="1"/>
  <c r="Q7777" i="2"/>
  <c r="P7773" i="2"/>
  <c r="V7773" i="2" s="1"/>
  <c r="Q7773" i="2"/>
  <c r="P7769" i="2"/>
  <c r="V7769" i="2" s="1"/>
  <c r="Q7769" i="2"/>
  <c r="P7765" i="2"/>
  <c r="V7765" i="2" s="1"/>
  <c r="Q7765" i="2"/>
  <c r="P7761" i="2"/>
  <c r="V7761" i="2" s="1"/>
  <c r="Q7761" i="2"/>
  <c r="P7757" i="2"/>
  <c r="V7757" i="2" s="1"/>
  <c r="Q7757" i="2"/>
  <c r="P7753" i="2"/>
  <c r="V7753" i="2" s="1"/>
  <c r="Q7753" i="2"/>
  <c r="P7749" i="2"/>
  <c r="V7749" i="2" s="1"/>
  <c r="Q7749" i="2"/>
  <c r="P7745" i="2"/>
  <c r="V7745" i="2" s="1"/>
  <c r="Q7745" i="2"/>
  <c r="P7741" i="2"/>
  <c r="V7741" i="2" s="1"/>
  <c r="Q7741" i="2"/>
  <c r="P7737" i="2"/>
  <c r="V7737" i="2" s="1"/>
  <c r="Q7737" i="2"/>
  <c r="P7733" i="2"/>
  <c r="V7733" i="2" s="1"/>
  <c r="Q7733" i="2"/>
  <c r="P7729" i="2"/>
  <c r="V7729" i="2" s="1"/>
  <c r="Q7729" i="2"/>
  <c r="P7725" i="2"/>
  <c r="V7725" i="2" s="1"/>
  <c r="Q7725" i="2"/>
  <c r="P7721" i="2"/>
  <c r="V7721" i="2" s="1"/>
  <c r="Q7721" i="2"/>
  <c r="P7717" i="2"/>
  <c r="V7717" i="2" s="1"/>
  <c r="Q7717" i="2"/>
  <c r="P7713" i="2"/>
  <c r="V7713" i="2" s="1"/>
  <c r="Q7713" i="2"/>
  <c r="P7709" i="2"/>
  <c r="V7709" i="2" s="1"/>
  <c r="Q7709" i="2"/>
  <c r="P7705" i="2"/>
  <c r="V7705" i="2" s="1"/>
  <c r="Q7705" i="2"/>
  <c r="P7701" i="2"/>
  <c r="V7701" i="2" s="1"/>
  <c r="Q7701" i="2"/>
  <c r="P7697" i="2"/>
  <c r="V7697" i="2" s="1"/>
  <c r="Q7697" i="2"/>
  <c r="P7693" i="2"/>
  <c r="V7693" i="2" s="1"/>
  <c r="Q7693" i="2"/>
  <c r="P7689" i="2"/>
  <c r="V7689" i="2" s="1"/>
  <c r="Q7689" i="2"/>
  <c r="P7685" i="2"/>
  <c r="V7685" i="2" s="1"/>
  <c r="Q7685" i="2"/>
  <c r="P7681" i="2"/>
  <c r="V7681" i="2" s="1"/>
  <c r="Q7681" i="2"/>
  <c r="P7677" i="2"/>
  <c r="V7677" i="2" s="1"/>
  <c r="Q7677" i="2"/>
  <c r="P7673" i="2"/>
  <c r="V7673" i="2" s="1"/>
  <c r="Q7673" i="2"/>
  <c r="P7669" i="2"/>
  <c r="V7669" i="2" s="1"/>
  <c r="Q7669" i="2"/>
  <c r="P7665" i="2"/>
  <c r="V7665" i="2" s="1"/>
  <c r="Q7665" i="2"/>
  <c r="P7661" i="2"/>
  <c r="V7661" i="2" s="1"/>
  <c r="Q7661" i="2"/>
  <c r="P7657" i="2"/>
  <c r="V7657" i="2" s="1"/>
  <c r="Q7657" i="2"/>
  <c r="P7653" i="2"/>
  <c r="V7653" i="2" s="1"/>
  <c r="Q7653" i="2"/>
  <c r="P7649" i="2"/>
  <c r="V7649" i="2" s="1"/>
  <c r="Q7649" i="2"/>
  <c r="P7645" i="2"/>
  <c r="V7645" i="2" s="1"/>
  <c r="Q7645" i="2"/>
  <c r="P7641" i="2"/>
  <c r="V7641" i="2" s="1"/>
  <c r="Q7641" i="2"/>
  <c r="P7637" i="2"/>
  <c r="V7637" i="2" s="1"/>
  <c r="Q7637" i="2"/>
  <c r="P7633" i="2"/>
  <c r="V7633" i="2" s="1"/>
  <c r="Q7633" i="2"/>
  <c r="P7629" i="2"/>
  <c r="V7629" i="2" s="1"/>
  <c r="Q7629" i="2"/>
  <c r="P7625" i="2"/>
  <c r="V7625" i="2" s="1"/>
  <c r="Q7625" i="2"/>
  <c r="P7621" i="2"/>
  <c r="V7621" i="2" s="1"/>
  <c r="Q7621" i="2"/>
  <c r="P7617" i="2"/>
  <c r="V7617" i="2" s="1"/>
  <c r="Q7617" i="2"/>
  <c r="P7613" i="2"/>
  <c r="V7613" i="2" s="1"/>
  <c r="Q7613" i="2"/>
  <c r="P7609" i="2"/>
  <c r="V7609" i="2" s="1"/>
  <c r="Q7609" i="2"/>
  <c r="P7605" i="2"/>
  <c r="V7605" i="2" s="1"/>
  <c r="Q7605" i="2"/>
  <c r="P7601" i="2"/>
  <c r="V7601" i="2" s="1"/>
  <c r="Q7601" i="2"/>
  <c r="P7597" i="2"/>
  <c r="V7597" i="2" s="1"/>
  <c r="Q7597" i="2"/>
  <c r="P7593" i="2"/>
  <c r="V7593" i="2" s="1"/>
  <c r="Q7593" i="2"/>
  <c r="P7589" i="2"/>
  <c r="V7589" i="2" s="1"/>
  <c r="Q7589" i="2"/>
  <c r="P7585" i="2"/>
  <c r="V7585" i="2" s="1"/>
  <c r="Q7585" i="2"/>
  <c r="P7581" i="2"/>
  <c r="V7581" i="2" s="1"/>
  <c r="Q7581" i="2"/>
  <c r="P7577" i="2"/>
  <c r="V7577" i="2" s="1"/>
  <c r="Q7577" i="2"/>
  <c r="P7573" i="2"/>
  <c r="V7573" i="2" s="1"/>
  <c r="Q7573" i="2"/>
  <c r="P7569" i="2"/>
  <c r="V7569" i="2" s="1"/>
  <c r="Q7569" i="2"/>
  <c r="P7565" i="2"/>
  <c r="V7565" i="2" s="1"/>
  <c r="Q7565" i="2"/>
  <c r="P7561" i="2"/>
  <c r="V7561" i="2" s="1"/>
  <c r="Q7561" i="2"/>
  <c r="P7557" i="2"/>
  <c r="V7557" i="2" s="1"/>
  <c r="Q7557" i="2"/>
  <c r="P7553" i="2"/>
  <c r="V7553" i="2" s="1"/>
  <c r="Q7553" i="2"/>
  <c r="P7549" i="2"/>
  <c r="V7549" i="2" s="1"/>
  <c r="Q7549" i="2"/>
  <c r="P7545" i="2"/>
  <c r="V7545" i="2" s="1"/>
  <c r="Q7545" i="2"/>
  <c r="P7541" i="2"/>
  <c r="V7541" i="2" s="1"/>
  <c r="Q7541" i="2"/>
  <c r="P7537" i="2"/>
  <c r="V7537" i="2" s="1"/>
  <c r="Q7537" i="2"/>
  <c r="P7533" i="2"/>
  <c r="V7533" i="2" s="1"/>
  <c r="Q7533" i="2"/>
  <c r="P7529" i="2"/>
  <c r="V7529" i="2" s="1"/>
  <c r="Q7529" i="2"/>
  <c r="P7525" i="2"/>
  <c r="V7525" i="2" s="1"/>
  <c r="Q7525" i="2"/>
  <c r="P7521" i="2"/>
  <c r="V7521" i="2" s="1"/>
  <c r="Q7521" i="2"/>
  <c r="P7517" i="2"/>
  <c r="V7517" i="2" s="1"/>
  <c r="Q7517" i="2"/>
  <c r="P7513" i="2"/>
  <c r="V7513" i="2" s="1"/>
  <c r="Q7513" i="2"/>
  <c r="P7509" i="2"/>
  <c r="V7509" i="2" s="1"/>
  <c r="Q7509" i="2"/>
  <c r="P7505" i="2"/>
  <c r="V7505" i="2" s="1"/>
  <c r="Q7505" i="2"/>
  <c r="P7501" i="2"/>
  <c r="V7501" i="2" s="1"/>
  <c r="Q7501" i="2"/>
  <c r="P7497" i="2"/>
  <c r="V7497" i="2" s="1"/>
  <c r="Q7497" i="2"/>
  <c r="P7493" i="2"/>
  <c r="V7493" i="2" s="1"/>
  <c r="Q7493" i="2"/>
  <c r="P7489" i="2"/>
  <c r="V7489" i="2" s="1"/>
  <c r="Q7489" i="2"/>
  <c r="P7485" i="2"/>
  <c r="V7485" i="2" s="1"/>
  <c r="Q7485" i="2"/>
  <c r="P7481" i="2"/>
  <c r="V7481" i="2" s="1"/>
  <c r="Q7481" i="2"/>
  <c r="P7477" i="2"/>
  <c r="V7477" i="2" s="1"/>
  <c r="Q7477" i="2"/>
  <c r="P7473" i="2"/>
  <c r="V7473" i="2" s="1"/>
  <c r="Q7473" i="2"/>
  <c r="P7469" i="2"/>
  <c r="V7469" i="2" s="1"/>
  <c r="Q7469" i="2"/>
  <c r="P7465" i="2"/>
  <c r="V7465" i="2" s="1"/>
  <c r="Q7465" i="2"/>
  <c r="P7461" i="2"/>
  <c r="V7461" i="2" s="1"/>
  <c r="Q7461" i="2"/>
  <c r="P7457" i="2"/>
  <c r="V7457" i="2" s="1"/>
  <c r="Q7457" i="2"/>
  <c r="P7453" i="2"/>
  <c r="V7453" i="2" s="1"/>
  <c r="Q7453" i="2"/>
  <c r="P7449" i="2"/>
  <c r="V7449" i="2" s="1"/>
  <c r="Q7449" i="2"/>
  <c r="P7445" i="2"/>
  <c r="V7445" i="2" s="1"/>
  <c r="Q7445" i="2"/>
  <c r="P7441" i="2"/>
  <c r="V7441" i="2" s="1"/>
  <c r="Q7441" i="2"/>
  <c r="P7437" i="2"/>
  <c r="V7437" i="2" s="1"/>
  <c r="Q7437" i="2"/>
  <c r="P7433" i="2"/>
  <c r="V7433" i="2" s="1"/>
  <c r="Q7433" i="2"/>
  <c r="P7429" i="2"/>
  <c r="V7429" i="2" s="1"/>
  <c r="Q7429" i="2"/>
  <c r="P7425" i="2"/>
  <c r="V7425" i="2" s="1"/>
  <c r="Q7425" i="2"/>
  <c r="P7421" i="2"/>
  <c r="V7421" i="2" s="1"/>
  <c r="Q7421" i="2"/>
  <c r="P7417" i="2"/>
  <c r="V7417" i="2" s="1"/>
  <c r="Q7417" i="2"/>
  <c r="P7413" i="2"/>
  <c r="V7413" i="2" s="1"/>
  <c r="Q7413" i="2"/>
  <c r="P7409" i="2"/>
  <c r="V7409" i="2" s="1"/>
  <c r="Q7409" i="2"/>
  <c r="P7405" i="2"/>
  <c r="V7405" i="2" s="1"/>
  <c r="Q7405" i="2"/>
  <c r="P7401" i="2"/>
  <c r="V7401" i="2" s="1"/>
  <c r="Q7401" i="2"/>
  <c r="P7397" i="2"/>
  <c r="V7397" i="2" s="1"/>
  <c r="Q7397" i="2"/>
  <c r="P7393" i="2"/>
  <c r="V7393" i="2" s="1"/>
  <c r="Q7393" i="2"/>
  <c r="P7389" i="2"/>
  <c r="V7389" i="2" s="1"/>
  <c r="Q7389" i="2"/>
  <c r="P7385" i="2"/>
  <c r="V7385" i="2" s="1"/>
  <c r="Q7385" i="2"/>
  <c r="P7381" i="2"/>
  <c r="V7381" i="2" s="1"/>
  <c r="Q7381" i="2"/>
  <c r="P7377" i="2"/>
  <c r="V7377" i="2" s="1"/>
  <c r="Q7377" i="2"/>
  <c r="P7373" i="2"/>
  <c r="V7373" i="2" s="1"/>
  <c r="Q7373" i="2"/>
  <c r="P7369" i="2"/>
  <c r="V7369" i="2" s="1"/>
  <c r="Q7369" i="2"/>
  <c r="P7365" i="2"/>
  <c r="V7365" i="2" s="1"/>
  <c r="Q7365" i="2"/>
  <c r="P7361" i="2"/>
  <c r="V7361" i="2" s="1"/>
  <c r="Q7361" i="2"/>
  <c r="P7357" i="2"/>
  <c r="V7357" i="2" s="1"/>
  <c r="Q7357" i="2"/>
  <c r="P7353" i="2"/>
  <c r="V7353" i="2" s="1"/>
  <c r="Q7353" i="2"/>
  <c r="P7349" i="2"/>
  <c r="V7349" i="2" s="1"/>
  <c r="Q7349" i="2"/>
  <c r="P7345" i="2"/>
  <c r="V7345" i="2" s="1"/>
  <c r="Q7345" i="2"/>
  <c r="P7341" i="2"/>
  <c r="V7341" i="2" s="1"/>
  <c r="Q7341" i="2"/>
  <c r="P7337" i="2"/>
  <c r="V7337" i="2" s="1"/>
  <c r="Q7337" i="2"/>
  <c r="P7333" i="2"/>
  <c r="V7333" i="2" s="1"/>
  <c r="Q7333" i="2"/>
  <c r="P7329" i="2"/>
  <c r="V7329" i="2" s="1"/>
  <c r="Q7329" i="2"/>
  <c r="P7325" i="2"/>
  <c r="V7325" i="2" s="1"/>
  <c r="Q7325" i="2"/>
  <c r="P7321" i="2"/>
  <c r="V7321" i="2" s="1"/>
  <c r="Q7321" i="2"/>
  <c r="P7317" i="2"/>
  <c r="V7317" i="2" s="1"/>
  <c r="Q7317" i="2"/>
  <c r="P7313" i="2"/>
  <c r="V7313" i="2" s="1"/>
  <c r="Q7313" i="2"/>
  <c r="P7309" i="2"/>
  <c r="V7309" i="2" s="1"/>
  <c r="Q7309" i="2"/>
  <c r="P7305" i="2"/>
  <c r="V7305" i="2" s="1"/>
  <c r="Q7305" i="2"/>
  <c r="P7301" i="2"/>
  <c r="V7301" i="2" s="1"/>
  <c r="Q7301" i="2"/>
  <c r="P7297" i="2"/>
  <c r="V7297" i="2" s="1"/>
  <c r="Q7297" i="2"/>
  <c r="P7293" i="2"/>
  <c r="V7293" i="2" s="1"/>
  <c r="Q7293" i="2"/>
  <c r="P7289" i="2"/>
  <c r="V7289" i="2" s="1"/>
  <c r="Q7289" i="2"/>
  <c r="P7285" i="2"/>
  <c r="V7285" i="2" s="1"/>
  <c r="Q7285" i="2"/>
  <c r="P7281" i="2"/>
  <c r="V7281" i="2" s="1"/>
  <c r="Q7281" i="2"/>
  <c r="P7277" i="2"/>
  <c r="V7277" i="2" s="1"/>
  <c r="Q7277" i="2"/>
  <c r="P7273" i="2"/>
  <c r="V7273" i="2" s="1"/>
  <c r="Q7273" i="2"/>
  <c r="P7269" i="2"/>
  <c r="V7269" i="2" s="1"/>
  <c r="Q7269" i="2"/>
  <c r="P7265" i="2"/>
  <c r="V7265" i="2" s="1"/>
  <c r="Q7265" i="2"/>
  <c r="P7261" i="2"/>
  <c r="V7261" i="2" s="1"/>
  <c r="Q7261" i="2"/>
  <c r="P7257" i="2"/>
  <c r="V7257" i="2" s="1"/>
  <c r="Q7257" i="2"/>
  <c r="P7253" i="2"/>
  <c r="V7253" i="2" s="1"/>
  <c r="Q7253" i="2"/>
  <c r="P7249" i="2"/>
  <c r="V7249" i="2" s="1"/>
  <c r="Q7249" i="2"/>
  <c r="P7245" i="2"/>
  <c r="V7245" i="2" s="1"/>
  <c r="Q7245" i="2"/>
  <c r="P7241" i="2"/>
  <c r="V7241" i="2" s="1"/>
  <c r="Q7241" i="2"/>
  <c r="P7237" i="2"/>
  <c r="V7237" i="2" s="1"/>
  <c r="Q7237" i="2"/>
  <c r="P7233" i="2"/>
  <c r="V7233" i="2" s="1"/>
  <c r="Q7233" i="2"/>
  <c r="P7229" i="2"/>
  <c r="V7229" i="2" s="1"/>
  <c r="Q7229" i="2"/>
  <c r="P7225" i="2"/>
  <c r="V7225" i="2" s="1"/>
  <c r="Q7225" i="2"/>
  <c r="P7221" i="2"/>
  <c r="V7221" i="2" s="1"/>
  <c r="Q7221" i="2"/>
  <c r="P7217" i="2"/>
  <c r="V7217" i="2" s="1"/>
  <c r="Q7217" i="2"/>
  <c r="P7213" i="2"/>
  <c r="V7213" i="2" s="1"/>
  <c r="Q7213" i="2"/>
  <c r="P7209" i="2"/>
  <c r="V7209" i="2" s="1"/>
  <c r="Q7209" i="2"/>
  <c r="P7205" i="2"/>
  <c r="V7205" i="2" s="1"/>
  <c r="Q7205" i="2"/>
  <c r="P7201" i="2"/>
  <c r="V7201" i="2" s="1"/>
  <c r="Q7201" i="2"/>
  <c r="P7197" i="2"/>
  <c r="V7197" i="2" s="1"/>
  <c r="Q7197" i="2"/>
  <c r="P7193" i="2"/>
  <c r="V7193" i="2" s="1"/>
  <c r="Q7193" i="2"/>
  <c r="P7189" i="2"/>
  <c r="V7189" i="2" s="1"/>
  <c r="Q7189" i="2"/>
  <c r="P7185" i="2"/>
  <c r="V7185" i="2" s="1"/>
  <c r="Q7185" i="2"/>
  <c r="P7181" i="2"/>
  <c r="V7181" i="2" s="1"/>
  <c r="Q7181" i="2"/>
  <c r="P7177" i="2"/>
  <c r="V7177" i="2" s="1"/>
  <c r="Q7177" i="2"/>
  <c r="P7173" i="2"/>
  <c r="V7173" i="2" s="1"/>
  <c r="Q7173" i="2"/>
  <c r="P7169" i="2"/>
  <c r="V7169" i="2" s="1"/>
  <c r="Q7169" i="2"/>
  <c r="P7165" i="2"/>
  <c r="V7165" i="2" s="1"/>
  <c r="Q7165" i="2"/>
  <c r="P7161" i="2"/>
  <c r="V7161" i="2" s="1"/>
  <c r="Q7161" i="2"/>
  <c r="P7157" i="2"/>
  <c r="V7157" i="2" s="1"/>
  <c r="Q7157" i="2"/>
  <c r="P7153" i="2"/>
  <c r="V7153" i="2" s="1"/>
  <c r="Q7153" i="2"/>
  <c r="P7149" i="2"/>
  <c r="V7149" i="2" s="1"/>
  <c r="Q7149" i="2"/>
  <c r="P7145" i="2"/>
  <c r="V7145" i="2" s="1"/>
  <c r="Q7145" i="2"/>
  <c r="P7141" i="2"/>
  <c r="V7141" i="2" s="1"/>
  <c r="Q7141" i="2"/>
  <c r="P7137" i="2"/>
  <c r="V7137" i="2" s="1"/>
  <c r="Q7137" i="2"/>
  <c r="P7133" i="2"/>
  <c r="V7133" i="2" s="1"/>
  <c r="Q7133" i="2"/>
  <c r="P7129" i="2"/>
  <c r="V7129" i="2" s="1"/>
  <c r="Q7129" i="2"/>
  <c r="P7125" i="2"/>
  <c r="V7125" i="2" s="1"/>
  <c r="Q7125" i="2"/>
  <c r="P7121" i="2"/>
  <c r="V7121" i="2" s="1"/>
  <c r="Q7121" i="2"/>
  <c r="P7117" i="2"/>
  <c r="V7117" i="2" s="1"/>
  <c r="Q7117" i="2"/>
  <c r="P7113" i="2"/>
  <c r="V7113" i="2" s="1"/>
  <c r="Q7113" i="2"/>
  <c r="P7109" i="2"/>
  <c r="V7109" i="2" s="1"/>
  <c r="Q7109" i="2"/>
  <c r="P7105" i="2"/>
  <c r="V7105" i="2" s="1"/>
  <c r="Q7105" i="2"/>
  <c r="P7101" i="2"/>
  <c r="V7101" i="2" s="1"/>
  <c r="Q7101" i="2"/>
  <c r="P7097" i="2"/>
  <c r="V7097" i="2" s="1"/>
  <c r="Q7097" i="2"/>
  <c r="P7093" i="2"/>
  <c r="V7093" i="2" s="1"/>
  <c r="Q7093" i="2"/>
  <c r="P7089" i="2"/>
  <c r="V7089" i="2" s="1"/>
  <c r="Q7089" i="2"/>
  <c r="P7085" i="2"/>
  <c r="V7085" i="2" s="1"/>
  <c r="Q7085" i="2"/>
  <c r="P7081" i="2"/>
  <c r="V7081" i="2" s="1"/>
  <c r="Q7081" i="2"/>
  <c r="P7077" i="2"/>
  <c r="V7077" i="2" s="1"/>
  <c r="Q7077" i="2"/>
  <c r="P7073" i="2"/>
  <c r="V7073" i="2" s="1"/>
  <c r="Q7073" i="2"/>
  <c r="P7069" i="2"/>
  <c r="V7069" i="2" s="1"/>
  <c r="Q7069" i="2"/>
  <c r="P7065" i="2"/>
  <c r="V7065" i="2" s="1"/>
  <c r="Q7065" i="2"/>
  <c r="P7061" i="2"/>
  <c r="V7061" i="2" s="1"/>
  <c r="Q7061" i="2"/>
  <c r="P7057" i="2"/>
  <c r="V7057" i="2" s="1"/>
  <c r="Q7057" i="2"/>
  <c r="P7053" i="2"/>
  <c r="V7053" i="2" s="1"/>
  <c r="Q7053" i="2"/>
  <c r="P7049" i="2"/>
  <c r="V7049" i="2" s="1"/>
  <c r="Q7049" i="2"/>
  <c r="P7045" i="2"/>
  <c r="V7045" i="2" s="1"/>
  <c r="Q7045" i="2"/>
  <c r="P7041" i="2"/>
  <c r="V7041" i="2" s="1"/>
  <c r="Q7041" i="2"/>
  <c r="P7037" i="2"/>
  <c r="V7037" i="2" s="1"/>
  <c r="Q7037" i="2"/>
  <c r="P7033" i="2"/>
  <c r="V7033" i="2" s="1"/>
  <c r="Q7033" i="2"/>
  <c r="P7029" i="2"/>
  <c r="V7029" i="2" s="1"/>
  <c r="Q7029" i="2"/>
  <c r="P7025" i="2"/>
  <c r="V7025" i="2" s="1"/>
  <c r="Q7025" i="2"/>
  <c r="P7021" i="2"/>
  <c r="V7021" i="2" s="1"/>
  <c r="Q7021" i="2"/>
  <c r="P7017" i="2"/>
  <c r="V7017" i="2" s="1"/>
  <c r="Q7017" i="2"/>
  <c r="P7013" i="2"/>
  <c r="V7013" i="2" s="1"/>
  <c r="Q7013" i="2"/>
  <c r="P7009" i="2"/>
  <c r="V7009" i="2" s="1"/>
  <c r="Q7009" i="2"/>
  <c r="P7005" i="2"/>
  <c r="V7005" i="2" s="1"/>
  <c r="Q7005" i="2"/>
  <c r="P7001" i="2"/>
  <c r="V7001" i="2" s="1"/>
  <c r="Q7001" i="2"/>
  <c r="P6997" i="2"/>
  <c r="V6997" i="2" s="1"/>
  <c r="Q6997" i="2"/>
  <c r="P6993" i="2"/>
  <c r="V6993" i="2" s="1"/>
  <c r="Q6993" i="2"/>
  <c r="P6989" i="2"/>
  <c r="V6989" i="2" s="1"/>
  <c r="Q6989" i="2"/>
  <c r="P6985" i="2"/>
  <c r="V6985" i="2" s="1"/>
  <c r="Q6985" i="2"/>
  <c r="P6981" i="2"/>
  <c r="V6981" i="2" s="1"/>
  <c r="Q6981" i="2"/>
  <c r="P6977" i="2"/>
  <c r="V6977" i="2" s="1"/>
  <c r="Q6977" i="2"/>
  <c r="P6973" i="2"/>
  <c r="V6973" i="2" s="1"/>
  <c r="Q6973" i="2"/>
  <c r="P6969" i="2"/>
  <c r="V6969" i="2" s="1"/>
  <c r="Q6969" i="2"/>
  <c r="P6965" i="2"/>
  <c r="V6965" i="2" s="1"/>
  <c r="Q6965" i="2"/>
  <c r="P6961" i="2"/>
  <c r="V6961" i="2" s="1"/>
  <c r="Q6961" i="2"/>
  <c r="P6957" i="2"/>
  <c r="V6957" i="2" s="1"/>
  <c r="Q6957" i="2"/>
  <c r="P6953" i="2"/>
  <c r="V6953" i="2" s="1"/>
  <c r="Q6953" i="2"/>
  <c r="P6949" i="2"/>
  <c r="V6949" i="2" s="1"/>
  <c r="Q6949" i="2"/>
  <c r="P6945" i="2"/>
  <c r="V6945" i="2" s="1"/>
  <c r="Q6945" i="2"/>
  <c r="P6941" i="2"/>
  <c r="V6941" i="2" s="1"/>
  <c r="Q6941" i="2"/>
  <c r="P6937" i="2"/>
  <c r="V6937" i="2" s="1"/>
  <c r="Q6937" i="2"/>
  <c r="P6933" i="2"/>
  <c r="V6933" i="2" s="1"/>
  <c r="Q6933" i="2"/>
  <c r="P6929" i="2"/>
  <c r="V6929" i="2" s="1"/>
  <c r="Q6929" i="2"/>
  <c r="P6925" i="2"/>
  <c r="V6925" i="2" s="1"/>
  <c r="Q6925" i="2"/>
  <c r="P6921" i="2"/>
  <c r="V6921" i="2" s="1"/>
  <c r="Q6921" i="2"/>
  <c r="P6917" i="2"/>
  <c r="V6917" i="2" s="1"/>
  <c r="Q6917" i="2"/>
  <c r="P6913" i="2"/>
  <c r="V6913" i="2" s="1"/>
  <c r="Q6913" i="2"/>
  <c r="P6909" i="2"/>
  <c r="V6909" i="2" s="1"/>
  <c r="Q6909" i="2"/>
  <c r="P6905" i="2"/>
  <c r="V6905" i="2" s="1"/>
  <c r="Q6905" i="2"/>
  <c r="P6901" i="2"/>
  <c r="V6901" i="2" s="1"/>
  <c r="Q6901" i="2"/>
  <c r="P6897" i="2"/>
  <c r="V6897" i="2" s="1"/>
  <c r="Q6897" i="2"/>
  <c r="P6893" i="2"/>
  <c r="V6893" i="2" s="1"/>
  <c r="Q6893" i="2"/>
  <c r="P6889" i="2"/>
  <c r="V6889" i="2" s="1"/>
  <c r="Q6889" i="2"/>
  <c r="P6885" i="2"/>
  <c r="V6885" i="2" s="1"/>
  <c r="Q6885" i="2"/>
  <c r="P6881" i="2"/>
  <c r="V6881" i="2" s="1"/>
  <c r="Q6881" i="2"/>
  <c r="P6877" i="2"/>
  <c r="V6877" i="2" s="1"/>
  <c r="Q6877" i="2"/>
  <c r="P6873" i="2"/>
  <c r="V6873" i="2" s="1"/>
  <c r="Q6873" i="2"/>
  <c r="P6869" i="2"/>
  <c r="V6869" i="2" s="1"/>
  <c r="Q6869" i="2"/>
  <c r="P6865" i="2"/>
  <c r="V6865" i="2" s="1"/>
  <c r="Q6865" i="2"/>
  <c r="P6861" i="2"/>
  <c r="V6861" i="2" s="1"/>
  <c r="Q6861" i="2"/>
  <c r="P6857" i="2"/>
  <c r="V6857" i="2" s="1"/>
  <c r="Q6857" i="2"/>
  <c r="P6853" i="2"/>
  <c r="V6853" i="2" s="1"/>
  <c r="Q6853" i="2"/>
  <c r="P6849" i="2"/>
  <c r="V6849" i="2" s="1"/>
  <c r="Q6849" i="2"/>
  <c r="P6845" i="2"/>
  <c r="V6845" i="2" s="1"/>
  <c r="Q6845" i="2"/>
  <c r="P6841" i="2"/>
  <c r="V6841" i="2" s="1"/>
  <c r="Q6841" i="2"/>
  <c r="P6837" i="2"/>
  <c r="V6837" i="2" s="1"/>
  <c r="Q6837" i="2"/>
  <c r="P6833" i="2"/>
  <c r="V6833" i="2" s="1"/>
  <c r="Q6833" i="2"/>
  <c r="P6829" i="2"/>
  <c r="V6829" i="2" s="1"/>
  <c r="Q6829" i="2"/>
  <c r="P6825" i="2"/>
  <c r="V6825" i="2" s="1"/>
  <c r="Q6825" i="2"/>
  <c r="P6821" i="2"/>
  <c r="V6821" i="2" s="1"/>
  <c r="Q6821" i="2"/>
  <c r="P6817" i="2"/>
  <c r="V6817" i="2" s="1"/>
  <c r="Q6817" i="2"/>
  <c r="P6813" i="2"/>
  <c r="V6813" i="2" s="1"/>
  <c r="Q6813" i="2"/>
  <c r="P6809" i="2"/>
  <c r="V6809" i="2" s="1"/>
  <c r="Q6809" i="2"/>
  <c r="P6805" i="2"/>
  <c r="V6805" i="2" s="1"/>
  <c r="Q6805" i="2"/>
  <c r="P6801" i="2"/>
  <c r="V6801" i="2" s="1"/>
  <c r="Q6801" i="2"/>
  <c r="P6797" i="2"/>
  <c r="V6797" i="2" s="1"/>
  <c r="Q6797" i="2"/>
  <c r="P6793" i="2"/>
  <c r="V6793" i="2" s="1"/>
  <c r="Q6793" i="2"/>
  <c r="P6789" i="2"/>
  <c r="V6789" i="2" s="1"/>
  <c r="Q6789" i="2"/>
  <c r="P6785" i="2"/>
  <c r="V6785" i="2" s="1"/>
  <c r="Q6785" i="2"/>
  <c r="P6781" i="2"/>
  <c r="V6781" i="2" s="1"/>
  <c r="Q6781" i="2"/>
  <c r="P6777" i="2"/>
  <c r="V6777" i="2" s="1"/>
  <c r="Q6777" i="2"/>
  <c r="P6773" i="2"/>
  <c r="V6773" i="2" s="1"/>
  <c r="Q6773" i="2"/>
  <c r="P6769" i="2"/>
  <c r="V6769" i="2" s="1"/>
  <c r="Q6769" i="2"/>
  <c r="P6765" i="2"/>
  <c r="V6765" i="2" s="1"/>
  <c r="Q6765" i="2"/>
  <c r="P6761" i="2"/>
  <c r="V6761" i="2" s="1"/>
  <c r="Q6761" i="2"/>
  <c r="P6757" i="2"/>
  <c r="V6757" i="2" s="1"/>
  <c r="Q6757" i="2"/>
  <c r="P6753" i="2"/>
  <c r="V6753" i="2" s="1"/>
  <c r="Q6753" i="2"/>
  <c r="P6749" i="2"/>
  <c r="V6749" i="2" s="1"/>
  <c r="Q6749" i="2"/>
  <c r="P6745" i="2"/>
  <c r="V6745" i="2" s="1"/>
  <c r="Q6745" i="2"/>
  <c r="P6741" i="2"/>
  <c r="V6741" i="2" s="1"/>
  <c r="Q6741" i="2"/>
  <c r="P6737" i="2"/>
  <c r="V6737" i="2" s="1"/>
  <c r="Q6737" i="2"/>
  <c r="P6733" i="2"/>
  <c r="V6733" i="2" s="1"/>
  <c r="Q6733" i="2"/>
  <c r="P6729" i="2"/>
  <c r="V6729" i="2" s="1"/>
  <c r="Q6729" i="2"/>
  <c r="P6725" i="2"/>
  <c r="V6725" i="2" s="1"/>
  <c r="Q6725" i="2"/>
  <c r="P6721" i="2"/>
  <c r="V6721" i="2" s="1"/>
  <c r="Q6721" i="2"/>
  <c r="P6717" i="2"/>
  <c r="V6717" i="2" s="1"/>
  <c r="Q6717" i="2"/>
  <c r="P6713" i="2"/>
  <c r="V6713" i="2" s="1"/>
  <c r="Q6713" i="2"/>
  <c r="P6709" i="2"/>
  <c r="V6709" i="2" s="1"/>
  <c r="Q6709" i="2"/>
  <c r="P6705" i="2"/>
  <c r="V6705" i="2" s="1"/>
  <c r="Q6705" i="2"/>
  <c r="P6701" i="2"/>
  <c r="V6701" i="2" s="1"/>
  <c r="Q6701" i="2"/>
  <c r="P6697" i="2"/>
  <c r="V6697" i="2" s="1"/>
  <c r="Q6697" i="2"/>
  <c r="P6693" i="2"/>
  <c r="V6693" i="2" s="1"/>
  <c r="Q6693" i="2"/>
  <c r="P6689" i="2"/>
  <c r="V6689" i="2" s="1"/>
  <c r="Q6689" i="2"/>
  <c r="P6685" i="2"/>
  <c r="V6685" i="2" s="1"/>
  <c r="Q6685" i="2"/>
  <c r="P6681" i="2"/>
  <c r="V6681" i="2" s="1"/>
  <c r="Q6681" i="2"/>
  <c r="P6677" i="2"/>
  <c r="V6677" i="2" s="1"/>
  <c r="Q6677" i="2"/>
  <c r="P6673" i="2"/>
  <c r="V6673" i="2" s="1"/>
  <c r="Q6673" i="2"/>
  <c r="P6669" i="2"/>
  <c r="V6669" i="2" s="1"/>
  <c r="Q6669" i="2"/>
  <c r="P6665" i="2"/>
  <c r="V6665" i="2" s="1"/>
  <c r="Q6665" i="2"/>
  <c r="P6661" i="2"/>
  <c r="V6661" i="2" s="1"/>
  <c r="Q6661" i="2"/>
  <c r="P6657" i="2"/>
  <c r="V6657" i="2" s="1"/>
  <c r="Q6657" i="2"/>
  <c r="P6653" i="2"/>
  <c r="V6653" i="2" s="1"/>
  <c r="Q6653" i="2"/>
  <c r="P6649" i="2"/>
  <c r="V6649" i="2" s="1"/>
  <c r="Q6649" i="2"/>
  <c r="P6645" i="2"/>
  <c r="V6645" i="2" s="1"/>
  <c r="Q6645" i="2"/>
  <c r="P6641" i="2"/>
  <c r="V6641" i="2" s="1"/>
  <c r="Q6641" i="2"/>
  <c r="P6637" i="2"/>
  <c r="V6637" i="2" s="1"/>
  <c r="Q6637" i="2"/>
  <c r="P6633" i="2"/>
  <c r="V6633" i="2" s="1"/>
  <c r="Q6633" i="2"/>
  <c r="P6629" i="2"/>
  <c r="V6629" i="2" s="1"/>
  <c r="Q6629" i="2"/>
  <c r="P6625" i="2"/>
  <c r="V6625" i="2" s="1"/>
  <c r="Q6625" i="2"/>
  <c r="P6621" i="2"/>
  <c r="V6621" i="2" s="1"/>
  <c r="Q6621" i="2"/>
  <c r="P6617" i="2"/>
  <c r="V6617" i="2" s="1"/>
  <c r="Q6617" i="2"/>
  <c r="P6613" i="2"/>
  <c r="V6613" i="2" s="1"/>
  <c r="Q6613" i="2"/>
  <c r="P6609" i="2"/>
  <c r="V6609" i="2" s="1"/>
  <c r="Q6609" i="2"/>
  <c r="P6605" i="2"/>
  <c r="V6605" i="2" s="1"/>
  <c r="Q6605" i="2"/>
  <c r="P6601" i="2"/>
  <c r="V6601" i="2" s="1"/>
  <c r="Q6601" i="2"/>
  <c r="P6597" i="2"/>
  <c r="V6597" i="2" s="1"/>
  <c r="Q6597" i="2"/>
  <c r="P6593" i="2"/>
  <c r="V6593" i="2" s="1"/>
  <c r="Q6593" i="2"/>
  <c r="P6589" i="2"/>
  <c r="V6589" i="2" s="1"/>
  <c r="Q6589" i="2"/>
  <c r="P6585" i="2"/>
  <c r="V6585" i="2" s="1"/>
  <c r="Q6585" i="2"/>
  <c r="P6581" i="2"/>
  <c r="V6581" i="2" s="1"/>
  <c r="Q6581" i="2"/>
  <c r="P6577" i="2"/>
  <c r="V6577" i="2" s="1"/>
  <c r="Q6577" i="2"/>
  <c r="P6573" i="2"/>
  <c r="V6573" i="2" s="1"/>
  <c r="Q6573" i="2"/>
  <c r="P6569" i="2"/>
  <c r="V6569" i="2" s="1"/>
  <c r="Q6569" i="2"/>
  <c r="P6565" i="2"/>
  <c r="V6565" i="2" s="1"/>
  <c r="Q6565" i="2"/>
  <c r="P6561" i="2"/>
  <c r="V6561" i="2" s="1"/>
  <c r="Q6561" i="2"/>
  <c r="P6557" i="2"/>
  <c r="V6557" i="2" s="1"/>
  <c r="Q6557" i="2"/>
  <c r="P6553" i="2"/>
  <c r="V6553" i="2" s="1"/>
  <c r="Q6553" i="2"/>
  <c r="P6549" i="2"/>
  <c r="V6549" i="2" s="1"/>
  <c r="Q6549" i="2"/>
  <c r="P6545" i="2"/>
  <c r="V6545" i="2" s="1"/>
  <c r="Q6545" i="2"/>
  <c r="P6541" i="2"/>
  <c r="V6541" i="2" s="1"/>
  <c r="Q6541" i="2"/>
  <c r="P6537" i="2"/>
  <c r="V6537" i="2" s="1"/>
  <c r="Q6537" i="2"/>
  <c r="P6533" i="2"/>
  <c r="V6533" i="2" s="1"/>
  <c r="Q6533" i="2"/>
  <c r="P6529" i="2"/>
  <c r="V6529" i="2" s="1"/>
  <c r="Q6529" i="2"/>
  <c r="P6525" i="2"/>
  <c r="V6525" i="2" s="1"/>
  <c r="Q6525" i="2"/>
  <c r="P6521" i="2"/>
  <c r="V6521" i="2" s="1"/>
  <c r="Q6521" i="2"/>
  <c r="P6517" i="2"/>
  <c r="V6517" i="2" s="1"/>
  <c r="Q6517" i="2"/>
  <c r="P6513" i="2"/>
  <c r="V6513" i="2" s="1"/>
  <c r="Q6513" i="2"/>
  <c r="P6509" i="2"/>
  <c r="V6509" i="2" s="1"/>
  <c r="Q6509" i="2"/>
  <c r="P6505" i="2"/>
  <c r="V6505" i="2" s="1"/>
  <c r="Q6505" i="2"/>
  <c r="P6501" i="2"/>
  <c r="V6501" i="2" s="1"/>
  <c r="Q6501" i="2"/>
  <c r="P6497" i="2"/>
  <c r="V6497" i="2" s="1"/>
  <c r="Q6497" i="2"/>
  <c r="P6493" i="2"/>
  <c r="V6493" i="2" s="1"/>
  <c r="Q6493" i="2"/>
  <c r="P6489" i="2"/>
  <c r="V6489" i="2" s="1"/>
  <c r="Q6489" i="2"/>
  <c r="P6485" i="2"/>
  <c r="V6485" i="2" s="1"/>
  <c r="Q6485" i="2"/>
  <c r="P6481" i="2"/>
  <c r="V6481" i="2" s="1"/>
  <c r="Q6481" i="2"/>
  <c r="P6477" i="2"/>
  <c r="V6477" i="2" s="1"/>
  <c r="Q6477" i="2"/>
  <c r="P6473" i="2"/>
  <c r="V6473" i="2" s="1"/>
  <c r="Q6473" i="2"/>
  <c r="P6469" i="2"/>
  <c r="V6469" i="2" s="1"/>
  <c r="Q6469" i="2"/>
  <c r="P6465" i="2"/>
  <c r="V6465" i="2" s="1"/>
  <c r="Q6465" i="2"/>
  <c r="P6461" i="2"/>
  <c r="V6461" i="2" s="1"/>
  <c r="Q6461" i="2"/>
  <c r="P6457" i="2"/>
  <c r="V6457" i="2" s="1"/>
  <c r="Q6457" i="2"/>
  <c r="P6453" i="2"/>
  <c r="V6453" i="2" s="1"/>
  <c r="Q6453" i="2"/>
  <c r="P6449" i="2"/>
  <c r="V6449" i="2" s="1"/>
  <c r="Q6449" i="2"/>
  <c r="P6445" i="2"/>
  <c r="V6445" i="2" s="1"/>
  <c r="Q6445" i="2"/>
  <c r="P6441" i="2"/>
  <c r="V6441" i="2" s="1"/>
  <c r="Q6441" i="2"/>
  <c r="P6437" i="2"/>
  <c r="V6437" i="2" s="1"/>
  <c r="Q6437" i="2"/>
  <c r="P6433" i="2"/>
  <c r="V6433" i="2" s="1"/>
  <c r="Q6433" i="2"/>
  <c r="P6429" i="2"/>
  <c r="V6429" i="2" s="1"/>
  <c r="Q6429" i="2"/>
  <c r="P6425" i="2"/>
  <c r="V6425" i="2" s="1"/>
  <c r="Q6425" i="2"/>
  <c r="P6421" i="2"/>
  <c r="V6421" i="2" s="1"/>
  <c r="Q6421" i="2"/>
  <c r="P6417" i="2"/>
  <c r="V6417" i="2" s="1"/>
  <c r="Q6417" i="2"/>
  <c r="P6413" i="2"/>
  <c r="V6413" i="2" s="1"/>
  <c r="Q6413" i="2"/>
  <c r="P6409" i="2"/>
  <c r="V6409" i="2" s="1"/>
  <c r="Q6409" i="2"/>
  <c r="P6405" i="2"/>
  <c r="V6405" i="2" s="1"/>
  <c r="Q6405" i="2"/>
  <c r="P6401" i="2"/>
  <c r="V6401" i="2" s="1"/>
  <c r="Q6401" i="2"/>
  <c r="P6397" i="2"/>
  <c r="V6397" i="2" s="1"/>
  <c r="Q6397" i="2"/>
  <c r="P6393" i="2"/>
  <c r="V6393" i="2" s="1"/>
  <c r="Q6393" i="2"/>
  <c r="P6389" i="2"/>
  <c r="V6389" i="2" s="1"/>
  <c r="Q6389" i="2"/>
  <c r="P6385" i="2"/>
  <c r="V6385" i="2" s="1"/>
  <c r="Q6385" i="2"/>
  <c r="P6381" i="2"/>
  <c r="V6381" i="2" s="1"/>
  <c r="Q6381" i="2"/>
  <c r="P6377" i="2"/>
  <c r="V6377" i="2" s="1"/>
  <c r="Q6377" i="2"/>
  <c r="P6373" i="2"/>
  <c r="V6373" i="2" s="1"/>
  <c r="Q6373" i="2"/>
  <c r="P6369" i="2"/>
  <c r="V6369" i="2" s="1"/>
  <c r="Q6369" i="2"/>
  <c r="P6365" i="2"/>
  <c r="V6365" i="2" s="1"/>
  <c r="Q6365" i="2"/>
  <c r="P6361" i="2"/>
  <c r="V6361" i="2" s="1"/>
  <c r="Q6361" i="2"/>
  <c r="P6357" i="2"/>
  <c r="V6357" i="2" s="1"/>
  <c r="Q6357" i="2"/>
  <c r="P6353" i="2"/>
  <c r="V6353" i="2" s="1"/>
  <c r="Q6353" i="2"/>
  <c r="P6349" i="2"/>
  <c r="V6349" i="2" s="1"/>
  <c r="Q6349" i="2"/>
  <c r="P6345" i="2"/>
  <c r="V6345" i="2" s="1"/>
  <c r="Q6345" i="2"/>
  <c r="P6341" i="2"/>
  <c r="V6341" i="2" s="1"/>
  <c r="Q6341" i="2"/>
  <c r="P6337" i="2"/>
  <c r="V6337" i="2" s="1"/>
  <c r="Q6337" i="2"/>
  <c r="P6333" i="2"/>
  <c r="V6333" i="2" s="1"/>
  <c r="Q6333" i="2"/>
  <c r="P6329" i="2"/>
  <c r="V6329" i="2" s="1"/>
  <c r="Q6329" i="2"/>
  <c r="P6325" i="2"/>
  <c r="V6325" i="2" s="1"/>
  <c r="Q6325" i="2"/>
  <c r="P6321" i="2"/>
  <c r="V6321" i="2" s="1"/>
  <c r="Q6321" i="2"/>
  <c r="P6317" i="2"/>
  <c r="V6317" i="2" s="1"/>
  <c r="Q6317" i="2"/>
  <c r="P6313" i="2"/>
  <c r="V6313" i="2" s="1"/>
  <c r="Q6313" i="2"/>
  <c r="P6309" i="2"/>
  <c r="V6309" i="2" s="1"/>
  <c r="Q6309" i="2"/>
  <c r="P6305" i="2"/>
  <c r="V6305" i="2" s="1"/>
  <c r="Q6305" i="2"/>
  <c r="P6301" i="2"/>
  <c r="V6301" i="2" s="1"/>
  <c r="Q6301" i="2"/>
  <c r="P6297" i="2"/>
  <c r="V6297" i="2" s="1"/>
  <c r="Q6297" i="2"/>
  <c r="P6293" i="2"/>
  <c r="V6293" i="2" s="1"/>
  <c r="Q6293" i="2"/>
  <c r="P6289" i="2"/>
  <c r="V6289" i="2" s="1"/>
  <c r="Q6289" i="2"/>
  <c r="P6285" i="2"/>
  <c r="V6285" i="2" s="1"/>
  <c r="Q6285" i="2"/>
  <c r="P6281" i="2"/>
  <c r="V6281" i="2" s="1"/>
  <c r="Q6281" i="2"/>
  <c r="P6277" i="2"/>
  <c r="V6277" i="2" s="1"/>
  <c r="Q6277" i="2"/>
  <c r="P6273" i="2"/>
  <c r="V6273" i="2" s="1"/>
  <c r="Q6273" i="2"/>
  <c r="P6269" i="2"/>
  <c r="V6269" i="2" s="1"/>
  <c r="Q6269" i="2"/>
  <c r="P6265" i="2"/>
  <c r="V6265" i="2" s="1"/>
  <c r="Q6265" i="2"/>
  <c r="P6261" i="2"/>
  <c r="V6261" i="2" s="1"/>
  <c r="Q6261" i="2"/>
  <c r="P6257" i="2"/>
  <c r="V6257" i="2" s="1"/>
  <c r="Q6257" i="2"/>
  <c r="P6253" i="2"/>
  <c r="V6253" i="2" s="1"/>
  <c r="Q6253" i="2"/>
  <c r="P6249" i="2"/>
  <c r="V6249" i="2" s="1"/>
  <c r="Q6249" i="2"/>
  <c r="P6245" i="2"/>
  <c r="V6245" i="2" s="1"/>
  <c r="Q6245" i="2"/>
  <c r="P6241" i="2"/>
  <c r="V6241" i="2" s="1"/>
  <c r="Q6241" i="2"/>
  <c r="P6237" i="2"/>
  <c r="V6237" i="2" s="1"/>
  <c r="Q6237" i="2"/>
  <c r="P6233" i="2"/>
  <c r="V6233" i="2" s="1"/>
  <c r="Q6233" i="2"/>
  <c r="P6229" i="2"/>
  <c r="V6229" i="2" s="1"/>
  <c r="Q6229" i="2"/>
  <c r="P6225" i="2"/>
  <c r="V6225" i="2" s="1"/>
  <c r="Q6225" i="2"/>
  <c r="P6221" i="2"/>
  <c r="V6221" i="2" s="1"/>
  <c r="Q6221" i="2"/>
  <c r="P6217" i="2"/>
  <c r="V6217" i="2" s="1"/>
  <c r="Q6217" i="2"/>
  <c r="P6213" i="2"/>
  <c r="V6213" i="2" s="1"/>
  <c r="Q6213" i="2"/>
  <c r="P6209" i="2"/>
  <c r="V6209" i="2" s="1"/>
  <c r="Q6209" i="2"/>
  <c r="P6205" i="2"/>
  <c r="V6205" i="2" s="1"/>
  <c r="Q6205" i="2"/>
  <c r="P6201" i="2"/>
  <c r="V6201" i="2" s="1"/>
  <c r="Q6201" i="2"/>
  <c r="P6197" i="2"/>
  <c r="V6197" i="2" s="1"/>
  <c r="Q6197" i="2"/>
  <c r="P6193" i="2"/>
  <c r="V6193" i="2" s="1"/>
  <c r="Q6193" i="2"/>
  <c r="P6189" i="2"/>
  <c r="V6189" i="2" s="1"/>
  <c r="Q6189" i="2"/>
  <c r="P6185" i="2"/>
  <c r="V6185" i="2" s="1"/>
  <c r="Q6185" i="2"/>
  <c r="P6181" i="2"/>
  <c r="V6181" i="2" s="1"/>
  <c r="Q6181" i="2"/>
  <c r="P6177" i="2"/>
  <c r="V6177" i="2" s="1"/>
  <c r="Q6177" i="2"/>
  <c r="P6173" i="2"/>
  <c r="V6173" i="2" s="1"/>
  <c r="Q6173" i="2"/>
  <c r="P6169" i="2"/>
  <c r="V6169" i="2" s="1"/>
  <c r="Q6169" i="2"/>
  <c r="P6165" i="2"/>
  <c r="V6165" i="2" s="1"/>
  <c r="Q6165" i="2"/>
  <c r="P6161" i="2"/>
  <c r="V6161" i="2" s="1"/>
  <c r="Q6161" i="2"/>
  <c r="P6157" i="2"/>
  <c r="V6157" i="2" s="1"/>
  <c r="Q6157" i="2"/>
  <c r="P6153" i="2"/>
  <c r="V6153" i="2" s="1"/>
  <c r="Q6153" i="2"/>
  <c r="P6149" i="2"/>
  <c r="V6149" i="2" s="1"/>
  <c r="Q6149" i="2"/>
  <c r="P6145" i="2"/>
  <c r="V6145" i="2" s="1"/>
  <c r="Q6145" i="2"/>
  <c r="P6141" i="2"/>
  <c r="V6141" i="2" s="1"/>
  <c r="Q6141" i="2"/>
  <c r="P6137" i="2"/>
  <c r="V6137" i="2" s="1"/>
  <c r="Q6137" i="2"/>
  <c r="P6133" i="2"/>
  <c r="V6133" i="2" s="1"/>
  <c r="Q6133" i="2"/>
  <c r="P6129" i="2"/>
  <c r="V6129" i="2" s="1"/>
  <c r="Q6129" i="2"/>
  <c r="P6125" i="2"/>
  <c r="V6125" i="2" s="1"/>
  <c r="Q6125" i="2"/>
  <c r="P6121" i="2"/>
  <c r="V6121" i="2" s="1"/>
  <c r="Q6121" i="2"/>
  <c r="P6117" i="2"/>
  <c r="V6117" i="2" s="1"/>
  <c r="Q6117" i="2"/>
  <c r="P6113" i="2"/>
  <c r="V6113" i="2" s="1"/>
  <c r="Q6113" i="2"/>
  <c r="P6109" i="2"/>
  <c r="V6109" i="2" s="1"/>
  <c r="Q6109" i="2"/>
  <c r="P6105" i="2"/>
  <c r="V6105" i="2" s="1"/>
  <c r="Q6105" i="2"/>
  <c r="P6101" i="2"/>
  <c r="V6101" i="2" s="1"/>
  <c r="Q6101" i="2"/>
  <c r="P6097" i="2"/>
  <c r="V6097" i="2" s="1"/>
  <c r="Q6097" i="2"/>
  <c r="P6093" i="2"/>
  <c r="V6093" i="2" s="1"/>
  <c r="Q6093" i="2"/>
  <c r="P6089" i="2"/>
  <c r="V6089" i="2" s="1"/>
  <c r="Q6089" i="2"/>
  <c r="P6085" i="2"/>
  <c r="V6085" i="2" s="1"/>
  <c r="Q6085" i="2"/>
  <c r="P6081" i="2"/>
  <c r="V6081" i="2" s="1"/>
  <c r="Q6081" i="2"/>
  <c r="P6077" i="2"/>
  <c r="V6077" i="2" s="1"/>
  <c r="Q6077" i="2"/>
  <c r="P6073" i="2"/>
  <c r="V6073" i="2" s="1"/>
  <c r="Q6073" i="2"/>
  <c r="P6069" i="2"/>
  <c r="V6069" i="2" s="1"/>
  <c r="Q6069" i="2"/>
  <c r="P6065" i="2"/>
  <c r="V6065" i="2" s="1"/>
  <c r="Q6065" i="2"/>
  <c r="P6061" i="2"/>
  <c r="V6061" i="2" s="1"/>
  <c r="Q6061" i="2"/>
  <c r="P6057" i="2"/>
  <c r="V6057" i="2" s="1"/>
  <c r="Q6057" i="2"/>
  <c r="P6053" i="2"/>
  <c r="V6053" i="2" s="1"/>
  <c r="Q6053" i="2"/>
  <c r="P6049" i="2"/>
  <c r="V6049" i="2" s="1"/>
  <c r="Q6049" i="2"/>
  <c r="P6045" i="2"/>
  <c r="V6045" i="2" s="1"/>
  <c r="Q6045" i="2"/>
  <c r="P6041" i="2"/>
  <c r="V6041" i="2" s="1"/>
  <c r="Q6041" i="2"/>
  <c r="P6037" i="2"/>
  <c r="V6037" i="2" s="1"/>
  <c r="Q6037" i="2"/>
  <c r="P6033" i="2"/>
  <c r="V6033" i="2" s="1"/>
  <c r="Q6033" i="2"/>
  <c r="P6029" i="2"/>
  <c r="V6029" i="2" s="1"/>
  <c r="Q6029" i="2"/>
  <c r="P6025" i="2"/>
  <c r="V6025" i="2" s="1"/>
  <c r="Q6025" i="2"/>
  <c r="P6021" i="2"/>
  <c r="V6021" i="2" s="1"/>
  <c r="Q6021" i="2"/>
  <c r="P6017" i="2"/>
  <c r="V6017" i="2" s="1"/>
  <c r="Q6017" i="2"/>
  <c r="P6013" i="2"/>
  <c r="V6013" i="2" s="1"/>
  <c r="Q6013" i="2"/>
  <c r="P6009" i="2"/>
  <c r="V6009" i="2" s="1"/>
  <c r="Q6009" i="2"/>
  <c r="P6005" i="2"/>
  <c r="V6005" i="2" s="1"/>
  <c r="Q6005" i="2"/>
  <c r="P6001" i="2"/>
  <c r="V6001" i="2" s="1"/>
  <c r="Q6001" i="2"/>
  <c r="P5997" i="2"/>
  <c r="V5997" i="2" s="1"/>
  <c r="Q5997" i="2"/>
  <c r="P5993" i="2"/>
  <c r="V5993" i="2" s="1"/>
  <c r="Q5993" i="2"/>
  <c r="P5989" i="2"/>
  <c r="V5989" i="2" s="1"/>
  <c r="Q5989" i="2"/>
  <c r="P5985" i="2"/>
  <c r="V5985" i="2" s="1"/>
  <c r="Q5985" i="2"/>
  <c r="P5981" i="2"/>
  <c r="V5981" i="2" s="1"/>
  <c r="Q5981" i="2"/>
  <c r="P5977" i="2"/>
  <c r="V5977" i="2" s="1"/>
  <c r="Q5977" i="2"/>
  <c r="P5973" i="2"/>
  <c r="V5973" i="2" s="1"/>
  <c r="Q5973" i="2"/>
  <c r="P5969" i="2"/>
  <c r="V5969" i="2" s="1"/>
  <c r="Q5969" i="2"/>
  <c r="P5965" i="2"/>
  <c r="V5965" i="2" s="1"/>
  <c r="Q5965" i="2"/>
  <c r="P5961" i="2"/>
  <c r="V5961" i="2" s="1"/>
  <c r="Q5961" i="2"/>
  <c r="P5957" i="2"/>
  <c r="V5957" i="2" s="1"/>
  <c r="Q5957" i="2"/>
  <c r="P5953" i="2"/>
  <c r="V5953" i="2" s="1"/>
  <c r="Q5953" i="2"/>
  <c r="P5949" i="2"/>
  <c r="V5949" i="2" s="1"/>
  <c r="Q5949" i="2"/>
  <c r="P5945" i="2"/>
  <c r="V5945" i="2" s="1"/>
  <c r="Q5945" i="2"/>
  <c r="P5941" i="2"/>
  <c r="V5941" i="2" s="1"/>
  <c r="Q5941" i="2"/>
  <c r="P5937" i="2"/>
  <c r="V5937" i="2" s="1"/>
  <c r="Q5937" i="2"/>
  <c r="P5933" i="2"/>
  <c r="V5933" i="2" s="1"/>
  <c r="Q5933" i="2"/>
  <c r="P5929" i="2"/>
  <c r="V5929" i="2" s="1"/>
  <c r="Q5929" i="2"/>
  <c r="P5925" i="2"/>
  <c r="V5925" i="2" s="1"/>
  <c r="Q5925" i="2"/>
  <c r="P5921" i="2"/>
  <c r="V5921" i="2" s="1"/>
  <c r="Q5921" i="2"/>
  <c r="P5917" i="2"/>
  <c r="V5917" i="2" s="1"/>
  <c r="Q5917" i="2"/>
  <c r="P5913" i="2"/>
  <c r="V5913" i="2" s="1"/>
  <c r="Q5913" i="2"/>
  <c r="P5909" i="2"/>
  <c r="V5909" i="2" s="1"/>
  <c r="Q5909" i="2"/>
  <c r="P5905" i="2"/>
  <c r="V5905" i="2" s="1"/>
  <c r="Q5905" i="2"/>
  <c r="P5901" i="2"/>
  <c r="V5901" i="2" s="1"/>
  <c r="Q5901" i="2"/>
  <c r="P5897" i="2"/>
  <c r="V5897" i="2" s="1"/>
  <c r="Q5897" i="2"/>
  <c r="P5893" i="2"/>
  <c r="V5893" i="2" s="1"/>
  <c r="Q5893" i="2"/>
  <c r="P5889" i="2"/>
  <c r="V5889" i="2" s="1"/>
  <c r="Q5889" i="2"/>
  <c r="P5885" i="2"/>
  <c r="V5885" i="2" s="1"/>
  <c r="Q5885" i="2"/>
  <c r="P5881" i="2"/>
  <c r="V5881" i="2" s="1"/>
  <c r="Q5881" i="2"/>
  <c r="P5877" i="2"/>
  <c r="V5877" i="2" s="1"/>
  <c r="Q5877" i="2"/>
  <c r="P5873" i="2"/>
  <c r="V5873" i="2" s="1"/>
  <c r="Q5873" i="2"/>
  <c r="P5869" i="2"/>
  <c r="V5869" i="2" s="1"/>
  <c r="Q5869" i="2"/>
  <c r="P5865" i="2"/>
  <c r="V5865" i="2" s="1"/>
  <c r="Q5865" i="2"/>
  <c r="P5861" i="2"/>
  <c r="V5861" i="2" s="1"/>
  <c r="Q5861" i="2"/>
  <c r="P5857" i="2"/>
  <c r="V5857" i="2" s="1"/>
  <c r="Q5857" i="2"/>
  <c r="P5853" i="2"/>
  <c r="V5853" i="2" s="1"/>
  <c r="Q5853" i="2"/>
  <c r="P5849" i="2"/>
  <c r="V5849" i="2" s="1"/>
  <c r="Q5849" i="2"/>
  <c r="P5845" i="2"/>
  <c r="V5845" i="2" s="1"/>
  <c r="Q5845" i="2"/>
  <c r="P5841" i="2"/>
  <c r="V5841" i="2" s="1"/>
  <c r="Q5841" i="2"/>
  <c r="P5837" i="2"/>
  <c r="V5837" i="2" s="1"/>
  <c r="Q5837" i="2"/>
  <c r="P5833" i="2"/>
  <c r="V5833" i="2" s="1"/>
  <c r="Q5833" i="2"/>
  <c r="P5829" i="2"/>
  <c r="V5829" i="2" s="1"/>
  <c r="Q5829" i="2"/>
  <c r="P5825" i="2"/>
  <c r="V5825" i="2" s="1"/>
  <c r="Q5825" i="2"/>
  <c r="P5821" i="2"/>
  <c r="V5821" i="2" s="1"/>
  <c r="Q5821" i="2"/>
  <c r="P5817" i="2"/>
  <c r="V5817" i="2" s="1"/>
  <c r="Q5817" i="2"/>
  <c r="P5813" i="2"/>
  <c r="V5813" i="2" s="1"/>
  <c r="Q5813" i="2"/>
  <c r="P5809" i="2"/>
  <c r="V5809" i="2" s="1"/>
  <c r="Q5809" i="2"/>
  <c r="P5805" i="2"/>
  <c r="V5805" i="2" s="1"/>
  <c r="Q5805" i="2"/>
  <c r="P5801" i="2"/>
  <c r="V5801" i="2" s="1"/>
  <c r="Q5801" i="2"/>
  <c r="P5797" i="2"/>
  <c r="V5797" i="2" s="1"/>
  <c r="Q5797" i="2"/>
  <c r="P5793" i="2"/>
  <c r="V5793" i="2" s="1"/>
  <c r="Q5793" i="2"/>
  <c r="P5789" i="2"/>
  <c r="V5789" i="2" s="1"/>
  <c r="Q5789" i="2"/>
  <c r="P5785" i="2"/>
  <c r="V5785" i="2" s="1"/>
  <c r="Q5785" i="2"/>
  <c r="P5781" i="2"/>
  <c r="V5781" i="2" s="1"/>
  <c r="Q5781" i="2"/>
  <c r="P5777" i="2"/>
  <c r="V5777" i="2" s="1"/>
  <c r="Q5777" i="2"/>
  <c r="P5773" i="2"/>
  <c r="V5773" i="2" s="1"/>
  <c r="Q5773" i="2"/>
  <c r="P5769" i="2"/>
  <c r="V5769" i="2" s="1"/>
  <c r="Q5769" i="2"/>
  <c r="P5765" i="2"/>
  <c r="V5765" i="2" s="1"/>
  <c r="Q5765" i="2"/>
  <c r="P5761" i="2"/>
  <c r="V5761" i="2" s="1"/>
  <c r="Q5761" i="2"/>
  <c r="P5757" i="2"/>
  <c r="V5757" i="2" s="1"/>
  <c r="Q5757" i="2"/>
  <c r="P5753" i="2"/>
  <c r="V5753" i="2" s="1"/>
  <c r="Q5753" i="2"/>
  <c r="P5749" i="2"/>
  <c r="V5749" i="2" s="1"/>
  <c r="Q5749" i="2"/>
  <c r="P5745" i="2"/>
  <c r="V5745" i="2" s="1"/>
  <c r="Q5745" i="2"/>
  <c r="P5741" i="2"/>
  <c r="V5741" i="2" s="1"/>
  <c r="Q5741" i="2"/>
  <c r="P5737" i="2"/>
  <c r="V5737" i="2" s="1"/>
  <c r="Q5737" i="2"/>
  <c r="P5733" i="2"/>
  <c r="V5733" i="2" s="1"/>
  <c r="Q5733" i="2"/>
  <c r="P5729" i="2"/>
  <c r="V5729" i="2" s="1"/>
  <c r="Q5729" i="2"/>
  <c r="P5725" i="2"/>
  <c r="V5725" i="2" s="1"/>
  <c r="Q5725" i="2"/>
  <c r="P5721" i="2"/>
  <c r="V5721" i="2" s="1"/>
  <c r="Q5721" i="2"/>
  <c r="P5717" i="2"/>
  <c r="V5717" i="2" s="1"/>
  <c r="Q5717" i="2"/>
  <c r="P5713" i="2"/>
  <c r="V5713" i="2" s="1"/>
  <c r="Q5713" i="2"/>
  <c r="P5709" i="2"/>
  <c r="V5709" i="2" s="1"/>
  <c r="Q5709" i="2"/>
  <c r="P5705" i="2"/>
  <c r="V5705" i="2" s="1"/>
  <c r="Q5705" i="2"/>
  <c r="P5701" i="2"/>
  <c r="V5701" i="2" s="1"/>
  <c r="Q5701" i="2"/>
  <c r="P5697" i="2"/>
  <c r="V5697" i="2" s="1"/>
  <c r="Q5697" i="2"/>
  <c r="P5693" i="2"/>
  <c r="V5693" i="2" s="1"/>
  <c r="Q5693" i="2"/>
  <c r="P5689" i="2"/>
  <c r="V5689" i="2" s="1"/>
  <c r="Q5689" i="2"/>
  <c r="P5685" i="2"/>
  <c r="V5685" i="2" s="1"/>
  <c r="Q5685" i="2"/>
  <c r="P5681" i="2"/>
  <c r="V5681" i="2" s="1"/>
  <c r="Q5681" i="2"/>
  <c r="P5677" i="2"/>
  <c r="V5677" i="2" s="1"/>
  <c r="Q5677" i="2"/>
  <c r="P5673" i="2"/>
  <c r="V5673" i="2" s="1"/>
  <c r="Q5673" i="2"/>
  <c r="P5669" i="2"/>
  <c r="V5669" i="2" s="1"/>
  <c r="Q5669" i="2"/>
  <c r="P5665" i="2"/>
  <c r="V5665" i="2" s="1"/>
  <c r="Q5665" i="2"/>
  <c r="P5661" i="2"/>
  <c r="V5661" i="2" s="1"/>
  <c r="Q5661" i="2"/>
  <c r="P5657" i="2"/>
  <c r="V5657" i="2" s="1"/>
  <c r="Q5657" i="2"/>
  <c r="P5653" i="2"/>
  <c r="V5653" i="2" s="1"/>
  <c r="Q5653" i="2"/>
  <c r="P5649" i="2"/>
  <c r="V5649" i="2" s="1"/>
  <c r="Q5649" i="2"/>
  <c r="P5645" i="2"/>
  <c r="V5645" i="2" s="1"/>
  <c r="Q5645" i="2"/>
  <c r="P5641" i="2"/>
  <c r="V5641" i="2" s="1"/>
  <c r="Q5641" i="2"/>
  <c r="P5637" i="2"/>
  <c r="V5637" i="2" s="1"/>
  <c r="Q5637" i="2"/>
  <c r="P5633" i="2"/>
  <c r="V5633" i="2" s="1"/>
  <c r="Q5633" i="2"/>
  <c r="P5629" i="2"/>
  <c r="V5629" i="2" s="1"/>
  <c r="Q5629" i="2"/>
  <c r="P5625" i="2"/>
  <c r="V5625" i="2" s="1"/>
  <c r="Q5625" i="2"/>
  <c r="P5621" i="2"/>
  <c r="V5621" i="2" s="1"/>
  <c r="Q5621" i="2"/>
  <c r="P5617" i="2"/>
  <c r="V5617" i="2" s="1"/>
  <c r="Q5617" i="2"/>
  <c r="P5613" i="2"/>
  <c r="V5613" i="2" s="1"/>
  <c r="Q5613" i="2"/>
  <c r="P5609" i="2"/>
  <c r="V5609" i="2" s="1"/>
  <c r="Q5609" i="2"/>
  <c r="P5605" i="2"/>
  <c r="V5605" i="2" s="1"/>
  <c r="Q5605" i="2"/>
  <c r="P5601" i="2"/>
  <c r="V5601" i="2" s="1"/>
  <c r="Q5601" i="2"/>
  <c r="P5597" i="2"/>
  <c r="V5597" i="2" s="1"/>
  <c r="Q5597" i="2"/>
  <c r="P5593" i="2"/>
  <c r="V5593" i="2" s="1"/>
  <c r="Q5593" i="2"/>
  <c r="P5589" i="2"/>
  <c r="V5589" i="2" s="1"/>
  <c r="Q5589" i="2"/>
  <c r="P5585" i="2"/>
  <c r="V5585" i="2" s="1"/>
  <c r="Q5585" i="2"/>
  <c r="P5581" i="2"/>
  <c r="V5581" i="2" s="1"/>
  <c r="Q5581" i="2"/>
  <c r="P5577" i="2"/>
  <c r="V5577" i="2" s="1"/>
  <c r="Q5577" i="2"/>
  <c r="P5573" i="2"/>
  <c r="V5573" i="2" s="1"/>
  <c r="Q5573" i="2"/>
  <c r="P5569" i="2"/>
  <c r="V5569" i="2" s="1"/>
  <c r="Q5569" i="2"/>
  <c r="P5565" i="2"/>
  <c r="V5565" i="2" s="1"/>
  <c r="Q5565" i="2"/>
  <c r="P5561" i="2"/>
  <c r="V5561" i="2" s="1"/>
  <c r="Q5561" i="2"/>
  <c r="P5557" i="2"/>
  <c r="V5557" i="2" s="1"/>
  <c r="Q5557" i="2"/>
  <c r="P5553" i="2"/>
  <c r="V5553" i="2" s="1"/>
  <c r="Q5553" i="2"/>
  <c r="P5549" i="2"/>
  <c r="V5549" i="2" s="1"/>
  <c r="Q5549" i="2"/>
  <c r="P5545" i="2"/>
  <c r="V5545" i="2" s="1"/>
  <c r="Q5545" i="2"/>
  <c r="P5541" i="2"/>
  <c r="V5541" i="2" s="1"/>
  <c r="Q5541" i="2"/>
  <c r="P5537" i="2"/>
  <c r="V5537" i="2" s="1"/>
  <c r="Q5537" i="2"/>
  <c r="P5533" i="2"/>
  <c r="V5533" i="2" s="1"/>
  <c r="Q5533" i="2"/>
  <c r="P5529" i="2"/>
  <c r="V5529" i="2" s="1"/>
  <c r="Q5529" i="2"/>
  <c r="P5525" i="2"/>
  <c r="V5525" i="2" s="1"/>
  <c r="Q5525" i="2"/>
  <c r="P5521" i="2"/>
  <c r="V5521" i="2" s="1"/>
  <c r="Q5521" i="2"/>
  <c r="P5517" i="2"/>
  <c r="V5517" i="2" s="1"/>
  <c r="Q5517" i="2"/>
  <c r="P5513" i="2"/>
  <c r="V5513" i="2" s="1"/>
  <c r="Q5513" i="2"/>
  <c r="P5509" i="2"/>
  <c r="V5509" i="2" s="1"/>
  <c r="Q5509" i="2"/>
  <c r="P5505" i="2"/>
  <c r="V5505" i="2" s="1"/>
  <c r="Q5505" i="2"/>
  <c r="P5501" i="2"/>
  <c r="V5501" i="2" s="1"/>
  <c r="Q5501" i="2"/>
  <c r="P5497" i="2"/>
  <c r="V5497" i="2" s="1"/>
  <c r="Q5497" i="2"/>
  <c r="P5493" i="2"/>
  <c r="V5493" i="2" s="1"/>
  <c r="Q5493" i="2"/>
  <c r="P5489" i="2"/>
  <c r="V5489" i="2" s="1"/>
  <c r="Q5489" i="2"/>
  <c r="P5485" i="2"/>
  <c r="V5485" i="2" s="1"/>
  <c r="Q5485" i="2"/>
  <c r="P5481" i="2"/>
  <c r="V5481" i="2" s="1"/>
  <c r="Q5481" i="2"/>
  <c r="P5477" i="2"/>
  <c r="V5477" i="2" s="1"/>
  <c r="Q5477" i="2"/>
  <c r="P5473" i="2"/>
  <c r="V5473" i="2" s="1"/>
  <c r="Q5473" i="2"/>
  <c r="P5469" i="2"/>
  <c r="V5469" i="2" s="1"/>
  <c r="Q5469" i="2"/>
  <c r="P5465" i="2"/>
  <c r="V5465" i="2" s="1"/>
  <c r="Q5465" i="2"/>
  <c r="P5461" i="2"/>
  <c r="V5461" i="2" s="1"/>
  <c r="Q5461" i="2"/>
  <c r="P5457" i="2"/>
  <c r="V5457" i="2" s="1"/>
  <c r="Q5457" i="2"/>
  <c r="P5453" i="2"/>
  <c r="V5453" i="2" s="1"/>
  <c r="Q5453" i="2"/>
  <c r="P5449" i="2"/>
  <c r="V5449" i="2" s="1"/>
  <c r="Q5449" i="2"/>
  <c r="P5445" i="2"/>
  <c r="V5445" i="2" s="1"/>
  <c r="Q5445" i="2"/>
  <c r="P5441" i="2"/>
  <c r="V5441" i="2" s="1"/>
  <c r="Q5441" i="2"/>
  <c r="P5437" i="2"/>
  <c r="V5437" i="2" s="1"/>
  <c r="Q5437" i="2"/>
  <c r="P5433" i="2"/>
  <c r="V5433" i="2" s="1"/>
  <c r="Q5433" i="2"/>
  <c r="P5429" i="2"/>
  <c r="V5429" i="2" s="1"/>
  <c r="Q5429" i="2"/>
  <c r="P5425" i="2"/>
  <c r="V5425" i="2" s="1"/>
  <c r="Q5425" i="2"/>
  <c r="P5421" i="2"/>
  <c r="V5421" i="2" s="1"/>
  <c r="Q5421" i="2"/>
  <c r="P5417" i="2"/>
  <c r="V5417" i="2" s="1"/>
  <c r="Q5417" i="2"/>
  <c r="P5413" i="2"/>
  <c r="V5413" i="2" s="1"/>
  <c r="Q5413" i="2"/>
  <c r="P5409" i="2"/>
  <c r="V5409" i="2" s="1"/>
  <c r="Q5409" i="2"/>
  <c r="P5405" i="2"/>
  <c r="V5405" i="2" s="1"/>
  <c r="Q5405" i="2"/>
  <c r="P5401" i="2"/>
  <c r="V5401" i="2" s="1"/>
  <c r="Q5401" i="2"/>
  <c r="P5397" i="2"/>
  <c r="V5397" i="2" s="1"/>
  <c r="Q5397" i="2"/>
  <c r="P5393" i="2"/>
  <c r="V5393" i="2" s="1"/>
  <c r="Q5393" i="2"/>
  <c r="P5389" i="2"/>
  <c r="V5389" i="2" s="1"/>
  <c r="Q5389" i="2"/>
  <c r="P5385" i="2"/>
  <c r="V5385" i="2" s="1"/>
  <c r="Q5385" i="2"/>
  <c r="P5381" i="2"/>
  <c r="V5381" i="2" s="1"/>
  <c r="Q5381" i="2"/>
  <c r="P5377" i="2"/>
  <c r="V5377" i="2" s="1"/>
  <c r="Q5377" i="2"/>
  <c r="P5373" i="2"/>
  <c r="V5373" i="2" s="1"/>
  <c r="Q5373" i="2"/>
  <c r="P5369" i="2"/>
  <c r="V5369" i="2" s="1"/>
  <c r="Q5369" i="2"/>
  <c r="P5365" i="2"/>
  <c r="V5365" i="2" s="1"/>
  <c r="Q5365" i="2"/>
  <c r="P5361" i="2"/>
  <c r="V5361" i="2" s="1"/>
  <c r="Q5361" i="2"/>
  <c r="P5357" i="2"/>
  <c r="V5357" i="2" s="1"/>
  <c r="Q5357" i="2"/>
  <c r="P5353" i="2"/>
  <c r="V5353" i="2" s="1"/>
  <c r="Q5353" i="2"/>
  <c r="P5349" i="2"/>
  <c r="V5349" i="2" s="1"/>
  <c r="Q5349" i="2"/>
  <c r="P5345" i="2"/>
  <c r="V5345" i="2" s="1"/>
  <c r="Q5345" i="2"/>
  <c r="P5341" i="2"/>
  <c r="V5341" i="2" s="1"/>
  <c r="Q5341" i="2"/>
  <c r="P5337" i="2"/>
  <c r="V5337" i="2" s="1"/>
  <c r="Q5337" i="2"/>
  <c r="P5333" i="2"/>
  <c r="V5333" i="2" s="1"/>
  <c r="Q5333" i="2"/>
  <c r="P5329" i="2"/>
  <c r="V5329" i="2" s="1"/>
  <c r="Q5329" i="2"/>
  <c r="P5325" i="2"/>
  <c r="V5325" i="2" s="1"/>
  <c r="Q5325" i="2"/>
  <c r="P5321" i="2"/>
  <c r="V5321" i="2" s="1"/>
  <c r="Q5321" i="2"/>
  <c r="P5317" i="2"/>
  <c r="V5317" i="2" s="1"/>
  <c r="Q5317" i="2"/>
  <c r="P5313" i="2"/>
  <c r="V5313" i="2" s="1"/>
  <c r="Q5313" i="2"/>
  <c r="P5309" i="2"/>
  <c r="V5309" i="2" s="1"/>
  <c r="Q5309" i="2"/>
  <c r="P5305" i="2"/>
  <c r="V5305" i="2" s="1"/>
  <c r="Q5305" i="2"/>
  <c r="P5301" i="2"/>
  <c r="V5301" i="2" s="1"/>
  <c r="Q5301" i="2"/>
  <c r="P5297" i="2"/>
  <c r="V5297" i="2" s="1"/>
  <c r="Q5297" i="2"/>
  <c r="P5293" i="2"/>
  <c r="V5293" i="2" s="1"/>
  <c r="Q5293" i="2"/>
  <c r="P5289" i="2"/>
  <c r="V5289" i="2" s="1"/>
  <c r="Q5289" i="2"/>
  <c r="P5285" i="2"/>
  <c r="V5285" i="2" s="1"/>
  <c r="Q5285" i="2"/>
  <c r="P5281" i="2"/>
  <c r="V5281" i="2" s="1"/>
  <c r="Q5281" i="2"/>
  <c r="P5277" i="2"/>
  <c r="V5277" i="2" s="1"/>
  <c r="Q5277" i="2"/>
  <c r="P5273" i="2"/>
  <c r="V5273" i="2" s="1"/>
  <c r="Q5273" i="2"/>
  <c r="P5269" i="2"/>
  <c r="V5269" i="2" s="1"/>
  <c r="Q5269" i="2"/>
  <c r="P5265" i="2"/>
  <c r="V5265" i="2" s="1"/>
  <c r="Q5265" i="2"/>
  <c r="P5261" i="2"/>
  <c r="V5261" i="2" s="1"/>
  <c r="Q5261" i="2"/>
  <c r="P5257" i="2"/>
  <c r="V5257" i="2" s="1"/>
  <c r="Q5257" i="2"/>
  <c r="P5253" i="2"/>
  <c r="V5253" i="2" s="1"/>
  <c r="Q5253" i="2"/>
  <c r="P5249" i="2"/>
  <c r="V5249" i="2" s="1"/>
  <c r="Q5249" i="2"/>
  <c r="P5245" i="2"/>
  <c r="V5245" i="2" s="1"/>
  <c r="Q5245" i="2"/>
  <c r="P5241" i="2"/>
  <c r="V5241" i="2" s="1"/>
  <c r="Q5241" i="2"/>
  <c r="P5237" i="2"/>
  <c r="V5237" i="2" s="1"/>
  <c r="Q5237" i="2"/>
  <c r="P5233" i="2"/>
  <c r="V5233" i="2" s="1"/>
  <c r="Q5233" i="2"/>
  <c r="P5229" i="2"/>
  <c r="V5229" i="2" s="1"/>
  <c r="Q5229" i="2"/>
  <c r="P5225" i="2"/>
  <c r="V5225" i="2" s="1"/>
  <c r="Q5225" i="2"/>
  <c r="P5221" i="2"/>
  <c r="V5221" i="2" s="1"/>
  <c r="Q5221" i="2"/>
  <c r="P5217" i="2"/>
  <c r="V5217" i="2" s="1"/>
  <c r="Q5217" i="2"/>
  <c r="P5213" i="2"/>
  <c r="V5213" i="2" s="1"/>
  <c r="Q5213" i="2"/>
  <c r="P5209" i="2"/>
  <c r="V5209" i="2" s="1"/>
  <c r="Q5209" i="2"/>
  <c r="P5205" i="2"/>
  <c r="V5205" i="2" s="1"/>
  <c r="Q5205" i="2"/>
  <c r="P5201" i="2"/>
  <c r="V5201" i="2" s="1"/>
  <c r="Q5201" i="2"/>
  <c r="P5197" i="2"/>
  <c r="V5197" i="2" s="1"/>
  <c r="Q5197" i="2"/>
  <c r="P5193" i="2"/>
  <c r="V5193" i="2" s="1"/>
  <c r="Q5193" i="2"/>
  <c r="P5189" i="2"/>
  <c r="V5189" i="2" s="1"/>
  <c r="Q5189" i="2"/>
  <c r="P5185" i="2"/>
  <c r="V5185" i="2" s="1"/>
  <c r="Q5185" i="2"/>
  <c r="P5181" i="2"/>
  <c r="V5181" i="2" s="1"/>
  <c r="Q5181" i="2"/>
  <c r="P5177" i="2"/>
  <c r="V5177" i="2" s="1"/>
  <c r="Q5177" i="2"/>
  <c r="P5173" i="2"/>
  <c r="V5173" i="2" s="1"/>
  <c r="Q5173" i="2"/>
  <c r="P5169" i="2"/>
  <c r="V5169" i="2" s="1"/>
  <c r="Q5169" i="2"/>
  <c r="P5165" i="2"/>
  <c r="V5165" i="2" s="1"/>
  <c r="Q5165" i="2"/>
  <c r="P5161" i="2"/>
  <c r="V5161" i="2" s="1"/>
  <c r="Q5161" i="2"/>
  <c r="P5157" i="2"/>
  <c r="V5157" i="2" s="1"/>
  <c r="Q5157" i="2"/>
  <c r="P5153" i="2"/>
  <c r="V5153" i="2" s="1"/>
  <c r="Q5153" i="2"/>
  <c r="P5149" i="2"/>
  <c r="V5149" i="2" s="1"/>
  <c r="Q5149" i="2"/>
  <c r="P5145" i="2"/>
  <c r="V5145" i="2" s="1"/>
  <c r="Q5145" i="2"/>
  <c r="P5141" i="2"/>
  <c r="V5141" i="2" s="1"/>
  <c r="Q5141" i="2"/>
  <c r="P5137" i="2"/>
  <c r="V5137" i="2" s="1"/>
  <c r="Q5137" i="2"/>
  <c r="P5133" i="2"/>
  <c r="V5133" i="2" s="1"/>
  <c r="Q5133" i="2"/>
  <c r="P5129" i="2"/>
  <c r="V5129" i="2" s="1"/>
  <c r="Q5129" i="2"/>
  <c r="P5125" i="2"/>
  <c r="V5125" i="2" s="1"/>
  <c r="Q5125" i="2"/>
  <c r="P5121" i="2"/>
  <c r="V5121" i="2" s="1"/>
  <c r="Q5121" i="2"/>
  <c r="P5117" i="2"/>
  <c r="V5117" i="2" s="1"/>
  <c r="Q5117" i="2"/>
  <c r="P5113" i="2"/>
  <c r="V5113" i="2" s="1"/>
  <c r="Q5113" i="2"/>
  <c r="P5109" i="2"/>
  <c r="V5109" i="2" s="1"/>
  <c r="Q5109" i="2"/>
  <c r="P5105" i="2"/>
  <c r="V5105" i="2" s="1"/>
  <c r="Q5105" i="2"/>
  <c r="P5101" i="2"/>
  <c r="V5101" i="2" s="1"/>
  <c r="Q5101" i="2"/>
  <c r="P5097" i="2"/>
  <c r="V5097" i="2" s="1"/>
  <c r="Q5097" i="2"/>
  <c r="P5093" i="2"/>
  <c r="V5093" i="2" s="1"/>
  <c r="Q5093" i="2"/>
  <c r="P5089" i="2"/>
  <c r="V5089" i="2" s="1"/>
  <c r="Q5089" i="2"/>
  <c r="P5085" i="2"/>
  <c r="V5085" i="2" s="1"/>
  <c r="Q5085" i="2"/>
  <c r="P5081" i="2"/>
  <c r="V5081" i="2" s="1"/>
  <c r="Q5081" i="2"/>
  <c r="P5077" i="2"/>
  <c r="V5077" i="2" s="1"/>
  <c r="Q5077" i="2"/>
  <c r="P5073" i="2"/>
  <c r="V5073" i="2" s="1"/>
  <c r="Q5073" i="2"/>
  <c r="P5069" i="2"/>
  <c r="V5069" i="2" s="1"/>
  <c r="Q5069" i="2"/>
  <c r="P5065" i="2"/>
  <c r="V5065" i="2" s="1"/>
  <c r="Q5065" i="2"/>
  <c r="P5061" i="2"/>
  <c r="V5061" i="2" s="1"/>
  <c r="Q5061" i="2"/>
  <c r="P5057" i="2"/>
  <c r="V5057" i="2" s="1"/>
  <c r="Q5057" i="2"/>
  <c r="P5053" i="2"/>
  <c r="V5053" i="2" s="1"/>
  <c r="Q5053" i="2"/>
  <c r="P5049" i="2"/>
  <c r="V5049" i="2" s="1"/>
  <c r="Q5049" i="2"/>
  <c r="P5045" i="2"/>
  <c r="V5045" i="2" s="1"/>
  <c r="Q5045" i="2"/>
  <c r="P5041" i="2"/>
  <c r="V5041" i="2" s="1"/>
  <c r="Q5041" i="2"/>
  <c r="P5037" i="2"/>
  <c r="V5037" i="2" s="1"/>
  <c r="Q5037" i="2"/>
  <c r="P5033" i="2"/>
  <c r="V5033" i="2" s="1"/>
  <c r="Q5033" i="2"/>
  <c r="P5029" i="2"/>
  <c r="V5029" i="2" s="1"/>
  <c r="Q5029" i="2"/>
  <c r="P5025" i="2"/>
  <c r="V5025" i="2" s="1"/>
  <c r="Q5025" i="2"/>
  <c r="P5021" i="2"/>
  <c r="V5021" i="2" s="1"/>
  <c r="Q5021" i="2"/>
  <c r="P5017" i="2"/>
  <c r="V5017" i="2" s="1"/>
  <c r="Q5017" i="2"/>
  <c r="P5013" i="2"/>
  <c r="V5013" i="2" s="1"/>
  <c r="Q5013" i="2"/>
  <c r="P5009" i="2"/>
  <c r="V5009" i="2" s="1"/>
  <c r="Q5009" i="2"/>
  <c r="P5005" i="2"/>
  <c r="V5005" i="2" s="1"/>
  <c r="Q5005" i="2"/>
  <c r="P5001" i="2"/>
  <c r="V5001" i="2" s="1"/>
  <c r="Q5001" i="2"/>
  <c r="P4997" i="2"/>
  <c r="V4997" i="2" s="1"/>
  <c r="Q4997" i="2"/>
  <c r="P4993" i="2"/>
  <c r="V4993" i="2" s="1"/>
  <c r="Q4993" i="2"/>
  <c r="P4989" i="2"/>
  <c r="V4989" i="2" s="1"/>
  <c r="Q4989" i="2"/>
  <c r="P4985" i="2"/>
  <c r="V4985" i="2" s="1"/>
  <c r="Q4985" i="2"/>
  <c r="P4981" i="2"/>
  <c r="V4981" i="2" s="1"/>
  <c r="Q4981" i="2"/>
  <c r="P4977" i="2"/>
  <c r="V4977" i="2" s="1"/>
  <c r="Q4977" i="2"/>
  <c r="P4973" i="2"/>
  <c r="V4973" i="2" s="1"/>
  <c r="Q4973" i="2"/>
  <c r="P4969" i="2"/>
  <c r="V4969" i="2" s="1"/>
  <c r="Q4969" i="2"/>
  <c r="P4965" i="2"/>
  <c r="V4965" i="2" s="1"/>
  <c r="Q4965" i="2"/>
  <c r="P4961" i="2"/>
  <c r="V4961" i="2" s="1"/>
  <c r="Q4961" i="2"/>
  <c r="P4957" i="2"/>
  <c r="V4957" i="2" s="1"/>
  <c r="Q4957" i="2"/>
  <c r="P4953" i="2"/>
  <c r="V4953" i="2" s="1"/>
  <c r="Q4953" i="2"/>
  <c r="P4949" i="2"/>
  <c r="V4949" i="2" s="1"/>
  <c r="Q4949" i="2"/>
  <c r="P4945" i="2"/>
  <c r="V4945" i="2" s="1"/>
  <c r="Q4945" i="2"/>
  <c r="P4941" i="2"/>
  <c r="V4941" i="2" s="1"/>
  <c r="Q4941" i="2"/>
  <c r="P4937" i="2"/>
  <c r="V4937" i="2" s="1"/>
  <c r="Q4937" i="2"/>
  <c r="P4933" i="2"/>
  <c r="V4933" i="2" s="1"/>
  <c r="Q4933" i="2"/>
  <c r="P4929" i="2"/>
  <c r="V4929" i="2" s="1"/>
  <c r="Q4929" i="2"/>
  <c r="P4925" i="2"/>
  <c r="V4925" i="2" s="1"/>
  <c r="Q4925" i="2"/>
  <c r="P4921" i="2"/>
  <c r="V4921" i="2" s="1"/>
  <c r="Q4921" i="2"/>
  <c r="P4917" i="2"/>
  <c r="V4917" i="2" s="1"/>
  <c r="Q4917" i="2"/>
  <c r="P4913" i="2"/>
  <c r="V4913" i="2" s="1"/>
  <c r="Q4913" i="2"/>
  <c r="P4909" i="2"/>
  <c r="V4909" i="2" s="1"/>
  <c r="Q4909" i="2"/>
  <c r="P4905" i="2"/>
  <c r="V4905" i="2" s="1"/>
  <c r="Q4905" i="2"/>
  <c r="P4901" i="2"/>
  <c r="V4901" i="2" s="1"/>
  <c r="Q4901" i="2"/>
  <c r="P4897" i="2"/>
  <c r="V4897" i="2" s="1"/>
  <c r="Q4897" i="2"/>
  <c r="P4893" i="2"/>
  <c r="V4893" i="2" s="1"/>
  <c r="Q4893" i="2"/>
  <c r="P4889" i="2"/>
  <c r="V4889" i="2" s="1"/>
  <c r="Q4889" i="2"/>
  <c r="P4885" i="2"/>
  <c r="V4885" i="2" s="1"/>
  <c r="Q4885" i="2"/>
  <c r="P4881" i="2"/>
  <c r="V4881" i="2" s="1"/>
  <c r="Q4881" i="2"/>
  <c r="P4877" i="2"/>
  <c r="V4877" i="2" s="1"/>
  <c r="Q4877" i="2"/>
  <c r="P4873" i="2"/>
  <c r="V4873" i="2" s="1"/>
  <c r="Q4873" i="2"/>
  <c r="P4869" i="2"/>
  <c r="V4869" i="2" s="1"/>
  <c r="Q4869" i="2"/>
  <c r="P4865" i="2"/>
  <c r="V4865" i="2" s="1"/>
  <c r="Q4865" i="2"/>
  <c r="P4861" i="2"/>
  <c r="V4861" i="2" s="1"/>
  <c r="Q4861" i="2"/>
  <c r="P4857" i="2"/>
  <c r="V4857" i="2" s="1"/>
  <c r="Q4857" i="2"/>
  <c r="P4853" i="2"/>
  <c r="V4853" i="2" s="1"/>
  <c r="Q4853" i="2"/>
  <c r="P4849" i="2"/>
  <c r="V4849" i="2" s="1"/>
  <c r="Q4849" i="2"/>
  <c r="P4845" i="2"/>
  <c r="V4845" i="2" s="1"/>
  <c r="Q4845" i="2"/>
  <c r="P4841" i="2"/>
  <c r="V4841" i="2" s="1"/>
  <c r="Q4841" i="2"/>
  <c r="P4837" i="2"/>
  <c r="V4837" i="2" s="1"/>
  <c r="Q4837" i="2"/>
  <c r="P4833" i="2"/>
  <c r="V4833" i="2" s="1"/>
  <c r="Q4833" i="2"/>
  <c r="P4829" i="2"/>
  <c r="V4829" i="2" s="1"/>
  <c r="Q4829" i="2"/>
  <c r="P4825" i="2"/>
  <c r="V4825" i="2" s="1"/>
  <c r="Q4825" i="2"/>
  <c r="P4821" i="2"/>
  <c r="V4821" i="2" s="1"/>
  <c r="Q4821" i="2"/>
  <c r="P4817" i="2"/>
  <c r="V4817" i="2" s="1"/>
  <c r="Q4817" i="2"/>
  <c r="P4813" i="2"/>
  <c r="V4813" i="2" s="1"/>
  <c r="Q4813" i="2"/>
  <c r="P4809" i="2"/>
  <c r="V4809" i="2" s="1"/>
  <c r="Q4809" i="2"/>
  <c r="P4805" i="2"/>
  <c r="V4805" i="2" s="1"/>
  <c r="Q4805" i="2"/>
  <c r="P4801" i="2"/>
  <c r="V4801" i="2" s="1"/>
  <c r="Q4801" i="2"/>
  <c r="P4797" i="2"/>
  <c r="V4797" i="2" s="1"/>
  <c r="Q4797" i="2"/>
  <c r="P4793" i="2"/>
  <c r="V4793" i="2" s="1"/>
  <c r="Q4793" i="2"/>
  <c r="P4789" i="2"/>
  <c r="V4789" i="2" s="1"/>
  <c r="Q4789" i="2"/>
  <c r="P4785" i="2"/>
  <c r="V4785" i="2" s="1"/>
  <c r="Q4785" i="2"/>
  <c r="P4781" i="2"/>
  <c r="V4781" i="2" s="1"/>
  <c r="Q4781" i="2"/>
  <c r="P4777" i="2"/>
  <c r="V4777" i="2" s="1"/>
  <c r="Q4777" i="2"/>
  <c r="P4773" i="2"/>
  <c r="V4773" i="2" s="1"/>
  <c r="Q4773" i="2"/>
  <c r="P4769" i="2"/>
  <c r="V4769" i="2" s="1"/>
  <c r="Q4769" i="2"/>
  <c r="P4765" i="2"/>
  <c r="V4765" i="2" s="1"/>
  <c r="Q4765" i="2"/>
  <c r="P4761" i="2"/>
  <c r="V4761" i="2" s="1"/>
  <c r="Q4761" i="2"/>
  <c r="P4757" i="2"/>
  <c r="V4757" i="2" s="1"/>
  <c r="Q4757" i="2"/>
  <c r="P4753" i="2"/>
  <c r="V4753" i="2" s="1"/>
  <c r="Q4753" i="2"/>
  <c r="P4749" i="2"/>
  <c r="V4749" i="2" s="1"/>
  <c r="Q4749" i="2"/>
  <c r="P4745" i="2"/>
  <c r="V4745" i="2" s="1"/>
  <c r="Q4745" i="2"/>
  <c r="P4741" i="2"/>
  <c r="V4741" i="2" s="1"/>
  <c r="Q4741" i="2"/>
  <c r="P4737" i="2"/>
  <c r="V4737" i="2" s="1"/>
  <c r="Q4737" i="2"/>
  <c r="P4733" i="2"/>
  <c r="V4733" i="2" s="1"/>
  <c r="Q4733" i="2"/>
  <c r="P4729" i="2"/>
  <c r="V4729" i="2" s="1"/>
  <c r="Q4729" i="2"/>
  <c r="P4725" i="2"/>
  <c r="V4725" i="2" s="1"/>
  <c r="Q4725" i="2"/>
  <c r="P4721" i="2"/>
  <c r="V4721" i="2" s="1"/>
  <c r="Q4721" i="2"/>
  <c r="P4717" i="2"/>
  <c r="V4717" i="2" s="1"/>
  <c r="Q4717" i="2"/>
  <c r="P4713" i="2"/>
  <c r="V4713" i="2" s="1"/>
  <c r="Q4713" i="2"/>
  <c r="P4709" i="2"/>
  <c r="V4709" i="2" s="1"/>
  <c r="Q4709" i="2"/>
  <c r="P4705" i="2"/>
  <c r="V4705" i="2" s="1"/>
  <c r="Q4705" i="2"/>
  <c r="P4701" i="2"/>
  <c r="V4701" i="2" s="1"/>
  <c r="Q4701" i="2"/>
  <c r="P4697" i="2"/>
  <c r="V4697" i="2" s="1"/>
  <c r="Q4697" i="2"/>
  <c r="P4693" i="2"/>
  <c r="V4693" i="2" s="1"/>
  <c r="Q4693" i="2"/>
  <c r="P4689" i="2"/>
  <c r="V4689" i="2" s="1"/>
  <c r="Q4689" i="2"/>
  <c r="P4685" i="2"/>
  <c r="V4685" i="2" s="1"/>
  <c r="Q4685" i="2"/>
  <c r="P4681" i="2"/>
  <c r="V4681" i="2" s="1"/>
  <c r="Q4681" i="2"/>
  <c r="P4677" i="2"/>
  <c r="V4677" i="2" s="1"/>
  <c r="Q4677" i="2"/>
  <c r="P4673" i="2"/>
  <c r="V4673" i="2" s="1"/>
  <c r="Q4673" i="2"/>
  <c r="P4669" i="2"/>
  <c r="V4669" i="2" s="1"/>
  <c r="Q4669" i="2"/>
  <c r="P4665" i="2"/>
  <c r="V4665" i="2" s="1"/>
  <c r="Q4665" i="2"/>
  <c r="P4661" i="2"/>
  <c r="V4661" i="2" s="1"/>
  <c r="Q4661" i="2"/>
  <c r="P4657" i="2"/>
  <c r="V4657" i="2" s="1"/>
  <c r="Q4657" i="2"/>
  <c r="P4653" i="2"/>
  <c r="V4653" i="2" s="1"/>
  <c r="Q4653" i="2"/>
  <c r="P4649" i="2"/>
  <c r="V4649" i="2" s="1"/>
  <c r="Q4649" i="2"/>
  <c r="P4645" i="2"/>
  <c r="V4645" i="2" s="1"/>
  <c r="Q4645" i="2"/>
  <c r="P4641" i="2"/>
  <c r="V4641" i="2" s="1"/>
  <c r="Q4641" i="2"/>
  <c r="P4637" i="2"/>
  <c r="V4637" i="2" s="1"/>
  <c r="Q4637" i="2"/>
  <c r="P4633" i="2"/>
  <c r="V4633" i="2" s="1"/>
  <c r="Q4633" i="2"/>
  <c r="P4629" i="2"/>
  <c r="V4629" i="2" s="1"/>
  <c r="Q4629" i="2"/>
  <c r="P4625" i="2"/>
  <c r="V4625" i="2" s="1"/>
  <c r="Q4625" i="2"/>
  <c r="P4621" i="2"/>
  <c r="V4621" i="2" s="1"/>
  <c r="Q4621" i="2"/>
  <c r="P4617" i="2"/>
  <c r="V4617" i="2" s="1"/>
  <c r="Q4617" i="2"/>
  <c r="P4613" i="2"/>
  <c r="V4613" i="2" s="1"/>
  <c r="Q4613" i="2"/>
  <c r="P4609" i="2"/>
  <c r="V4609" i="2" s="1"/>
  <c r="Q4609" i="2"/>
  <c r="P4605" i="2"/>
  <c r="V4605" i="2" s="1"/>
  <c r="Q4605" i="2"/>
  <c r="P4601" i="2"/>
  <c r="V4601" i="2" s="1"/>
  <c r="Q4601" i="2"/>
  <c r="P4597" i="2"/>
  <c r="V4597" i="2" s="1"/>
  <c r="Q4597" i="2"/>
  <c r="P4593" i="2"/>
  <c r="V4593" i="2" s="1"/>
  <c r="Q4593" i="2"/>
  <c r="P4589" i="2"/>
  <c r="V4589" i="2" s="1"/>
  <c r="Q4589" i="2"/>
  <c r="P4585" i="2"/>
  <c r="V4585" i="2" s="1"/>
  <c r="Q4585" i="2"/>
  <c r="P4581" i="2"/>
  <c r="V4581" i="2" s="1"/>
  <c r="Q4581" i="2"/>
  <c r="P4577" i="2"/>
  <c r="V4577" i="2" s="1"/>
  <c r="Q4577" i="2"/>
  <c r="P4573" i="2"/>
  <c r="V4573" i="2" s="1"/>
  <c r="Q4573" i="2"/>
  <c r="P4569" i="2"/>
  <c r="V4569" i="2" s="1"/>
  <c r="Q4569" i="2"/>
  <c r="P4565" i="2"/>
  <c r="V4565" i="2" s="1"/>
  <c r="Q4565" i="2"/>
  <c r="P4561" i="2"/>
  <c r="V4561" i="2" s="1"/>
  <c r="Q4561" i="2"/>
  <c r="P4557" i="2"/>
  <c r="V4557" i="2" s="1"/>
  <c r="Q4557" i="2"/>
  <c r="P4553" i="2"/>
  <c r="V4553" i="2" s="1"/>
  <c r="Q4553" i="2"/>
  <c r="P4549" i="2"/>
  <c r="V4549" i="2" s="1"/>
  <c r="Q4549" i="2"/>
  <c r="P4545" i="2"/>
  <c r="V4545" i="2" s="1"/>
  <c r="Q4545" i="2"/>
  <c r="P4541" i="2"/>
  <c r="V4541" i="2" s="1"/>
  <c r="Q4541" i="2"/>
  <c r="P4537" i="2"/>
  <c r="V4537" i="2" s="1"/>
  <c r="Q4537" i="2"/>
  <c r="P4533" i="2"/>
  <c r="V4533" i="2" s="1"/>
  <c r="Q4533" i="2"/>
  <c r="P4529" i="2"/>
  <c r="V4529" i="2" s="1"/>
  <c r="Q4529" i="2"/>
  <c r="P4525" i="2"/>
  <c r="V4525" i="2" s="1"/>
  <c r="Q4525" i="2"/>
  <c r="P4521" i="2"/>
  <c r="V4521" i="2" s="1"/>
  <c r="Q4521" i="2"/>
  <c r="P4517" i="2"/>
  <c r="V4517" i="2" s="1"/>
  <c r="Q4517" i="2"/>
  <c r="P4513" i="2"/>
  <c r="V4513" i="2" s="1"/>
  <c r="Q4513" i="2"/>
  <c r="P4509" i="2"/>
  <c r="V4509" i="2" s="1"/>
  <c r="Q4509" i="2"/>
  <c r="P4505" i="2"/>
  <c r="V4505" i="2" s="1"/>
  <c r="Q4505" i="2"/>
  <c r="P4501" i="2"/>
  <c r="V4501" i="2" s="1"/>
  <c r="Q4501" i="2"/>
  <c r="P4497" i="2"/>
  <c r="V4497" i="2" s="1"/>
  <c r="Q4497" i="2"/>
  <c r="P4493" i="2"/>
  <c r="V4493" i="2" s="1"/>
  <c r="Q4493" i="2"/>
  <c r="P4489" i="2"/>
  <c r="V4489" i="2" s="1"/>
  <c r="Q4489" i="2"/>
  <c r="P4485" i="2"/>
  <c r="V4485" i="2" s="1"/>
  <c r="Q4485" i="2"/>
  <c r="P4481" i="2"/>
  <c r="V4481" i="2" s="1"/>
  <c r="Q4481" i="2"/>
  <c r="P4477" i="2"/>
  <c r="V4477" i="2" s="1"/>
  <c r="Q4477" i="2"/>
  <c r="P4473" i="2"/>
  <c r="V4473" i="2" s="1"/>
  <c r="Q4473" i="2"/>
  <c r="P4469" i="2"/>
  <c r="V4469" i="2" s="1"/>
  <c r="Q4469" i="2"/>
  <c r="P4465" i="2"/>
  <c r="V4465" i="2" s="1"/>
  <c r="Q4465" i="2"/>
  <c r="P4461" i="2"/>
  <c r="V4461" i="2" s="1"/>
  <c r="Q4461" i="2"/>
  <c r="P4457" i="2"/>
  <c r="V4457" i="2" s="1"/>
  <c r="Q4457" i="2"/>
  <c r="P4453" i="2"/>
  <c r="V4453" i="2" s="1"/>
  <c r="Q4453" i="2"/>
  <c r="P4449" i="2"/>
  <c r="V4449" i="2" s="1"/>
  <c r="Q4449" i="2"/>
  <c r="P4445" i="2"/>
  <c r="V4445" i="2" s="1"/>
  <c r="Q4445" i="2"/>
  <c r="P4441" i="2"/>
  <c r="V4441" i="2" s="1"/>
  <c r="Q4441" i="2"/>
  <c r="P4437" i="2"/>
  <c r="V4437" i="2" s="1"/>
  <c r="Q4437" i="2"/>
  <c r="P4433" i="2"/>
  <c r="V4433" i="2" s="1"/>
  <c r="Q4433" i="2"/>
  <c r="P4429" i="2"/>
  <c r="V4429" i="2" s="1"/>
  <c r="Q4429" i="2"/>
  <c r="P4425" i="2"/>
  <c r="V4425" i="2" s="1"/>
  <c r="Q4425" i="2"/>
  <c r="P4421" i="2"/>
  <c r="V4421" i="2" s="1"/>
  <c r="Q4421" i="2"/>
  <c r="P4417" i="2"/>
  <c r="V4417" i="2" s="1"/>
  <c r="Q4417" i="2"/>
  <c r="P4413" i="2"/>
  <c r="V4413" i="2" s="1"/>
  <c r="Q4413" i="2"/>
  <c r="P4409" i="2"/>
  <c r="V4409" i="2" s="1"/>
  <c r="Q4409" i="2"/>
  <c r="P4405" i="2"/>
  <c r="V4405" i="2" s="1"/>
  <c r="Q4405" i="2"/>
  <c r="P4401" i="2"/>
  <c r="V4401" i="2" s="1"/>
  <c r="Q4401" i="2"/>
  <c r="P4397" i="2"/>
  <c r="V4397" i="2" s="1"/>
  <c r="Q4397" i="2"/>
  <c r="P4393" i="2"/>
  <c r="V4393" i="2" s="1"/>
  <c r="Q4393" i="2"/>
  <c r="P4389" i="2"/>
  <c r="V4389" i="2" s="1"/>
  <c r="Q4389" i="2"/>
  <c r="P4385" i="2"/>
  <c r="V4385" i="2" s="1"/>
  <c r="Q4385" i="2"/>
  <c r="P4381" i="2"/>
  <c r="V4381" i="2" s="1"/>
  <c r="Q4381" i="2"/>
  <c r="P4377" i="2"/>
  <c r="V4377" i="2" s="1"/>
  <c r="Q4377" i="2"/>
  <c r="P4373" i="2"/>
  <c r="V4373" i="2" s="1"/>
  <c r="Q4373" i="2"/>
  <c r="P4369" i="2"/>
  <c r="V4369" i="2" s="1"/>
  <c r="Q4369" i="2"/>
  <c r="P4365" i="2"/>
  <c r="V4365" i="2" s="1"/>
  <c r="Q4365" i="2"/>
  <c r="P4361" i="2"/>
  <c r="V4361" i="2" s="1"/>
  <c r="Q4361" i="2"/>
  <c r="P4357" i="2"/>
  <c r="V4357" i="2" s="1"/>
  <c r="Q4357" i="2"/>
  <c r="P4353" i="2"/>
  <c r="V4353" i="2" s="1"/>
  <c r="Q4353" i="2"/>
  <c r="P4349" i="2"/>
  <c r="V4349" i="2" s="1"/>
  <c r="Q4349" i="2"/>
  <c r="P4345" i="2"/>
  <c r="V4345" i="2" s="1"/>
  <c r="Q4345" i="2"/>
  <c r="P4341" i="2"/>
  <c r="V4341" i="2" s="1"/>
  <c r="Q4341" i="2"/>
  <c r="P4337" i="2"/>
  <c r="V4337" i="2" s="1"/>
  <c r="Q4337" i="2"/>
  <c r="P4333" i="2"/>
  <c r="V4333" i="2" s="1"/>
  <c r="Q4333" i="2"/>
  <c r="P4329" i="2"/>
  <c r="V4329" i="2" s="1"/>
  <c r="Q4329" i="2"/>
  <c r="P4325" i="2"/>
  <c r="V4325" i="2" s="1"/>
  <c r="Q4325" i="2"/>
  <c r="P4321" i="2"/>
  <c r="V4321" i="2" s="1"/>
  <c r="Q4321" i="2"/>
  <c r="P4317" i="2"/>
  <c r="V4317" i="2" s="1"/>
  <c r="Q4317" i="2"/>
  <c r="P4313" i="2"/>
  <c r="V4313" i="2" s="1"/>
  <c r="Q4313" i="2"/>
  <c r="P4309" i="2"/>
  <c r="V4309" i="2" s="1"/>
  <c r="Q4309" i="2"/>
  <c r="P4305" i="2"/>
  <c r="V4305" i="2" s="1"/>
  <c r="Q4305" i="2"/>
  <c r="P4301" i="2"/>
  <c r="V4301" i="2" s="1"/>
  <c r="Q4301" i="2"/>
  <c r="P4297" i="2"/>
  <c r="V4297" i="2" s="1"/>
  <c r="Q4297" i="2"/>
  <c r="P4293" i="2"/>
  <c r="V4293" i="2" s="1"/>
  <c r="Q4293" i="2"/>
  <c r="P4289" i="2"/>
  <c r="V4289" i="2" s="1"/>
  <c r="Q4289" i="2"/>
  <c r="P4285" i="2"/>
  <c r="V4285" i="2" s="1"/>
  <c r="Q4285" i="2"/>
  <c r="P4281" i="2"/>
  <c r="V4281" i="2" s="1"/>
  <c r="Q4281" i="2"/>
  <c r="P4277" i="2"/>
  <c r="V4277" i="2" s="1"/>
  <c r="Q4277" i="2"/>
  <c r="P4273" i="2"/>
  <c r="V4273" i="2" s="1"/>
  <c r="Q4273" i="2"/>
  <c r="P4269" i="2"/>
  <c r="V4269" i="2" s="1"/>
  <c r="Q4269" i="2"/>
  <c r="P4265" i="2"/>
  <c r="V4265" i="2" s="1"/>
  <c r="Q4265" i="2"/>
  <c r="P4261" i="2"/>
  <c r="V4261" i="2" s="1"/>
  <c r="Q4261" i="2"/>
  <c r="P4257" i="2"/>
  <c r="V4257" i="2" s="1"/>
  <c r="Q4257" i="2"/>
  <c r="P4253" i="2"/>
  <c r="V4253" i="2" s="1"/>
  <c r="Q4253" i="2"/>
  <c r="P4249" i="2"/>
  <c r="V4249" i="2" s="1"/>
  <c r="Q4249" i="2"/>
  <c r="P4245" i="2"/>
  <c r="V4245" i="2" s="1"/>
  <c r="Q4245" i="2"/>
  <c r="P4241" i="2"/>
  <c r="V4241" i="2" s="1"/>
  <c r="Q4241" i="2"/>
  <c r="P4237" i="2"/>
  <c r="V4237" i="2" s="1"/>
  <c r="Q4237" i="2"/>
  <c r="P4233" i="2"/>
  <c r="V4233" i="2" s="1"/>
  <c r="Q4233" i="2"/>
  <c r="P4229" i="2"/>
  <c r="V4229" i="2" s="1"/>
  <c r="Q4229" i="2"/>
  <c r="P4225" i="2"/>
  <c r="V4225" i="2" s="1"/>
  <c r="Q4225" i="2"/>
  <c r="P4221" i="2"/>
  <c r="V4221" i="2" s="1"/>
  <c r="Q4221" i="2"/>
  <c r="P4217" i="2"/>
  <c r="V4217" i="2" s="1"/>
  <c r="Q4217" i="2"/>
  <c r="P4213" i="2"/>
  <c r="V4213" i="2" s="1"/>
  <c r="Q4213" i="2"/>
  <c r="P4209" i="2"/>
  <c r="V4209" i="2" s="1"/>
  <c r="Q4209" i="2"/>
  <c r="P4205" i="2"/>
  <c r="V4205" i="2" s="1"/>
  <c r="Q4205" i="2"/>
  <c r="P4201" i="2"/>
  <c r="V4201" i="2" s="1"/>
  <c r="Q4201" i="2"/>
  <c r="P4197" i="2"/>
  <c r="V4197" i="2" s="1"/>
  <c r="Q4197" i="2"/>
  <c r="P4193" i="2"/>
  <c r="V4193" i="2" s="1"/>
  <c r="Q4193" i="2"/>
  <c r="P4189" i="2"/>
  <c r="V4189" i="2" s="1"/>
  <c r="Q4189" i="2"/>
  <c r="P4185" i="2"/>
  <c r="V4185" i="2" s="1"/>
  <c r="Q4185" i="2"/>
  <c r="P4181" i="2"/>
  <c r="V4181" i="2" s="1"/>
  <c r="Q4181" i="2"/>
  <c r="P4177" i="2"/>
  <c r="V4177" i="2" s="1"/>
  <c r="Q4177" i="2"/>
  <c r="P4173" i="2"/>
  <c r="V4173" i="2" s="1"/>
  <c r="Q4173" i="2"/>
  <c r="P4169" i="2"/>
  <c r="V4169" i="2" s="1"/>
  <c r="Q4169" i="2"/>
  <c r="P4165" i="2"/>
  <c r="V4165" i="2" s="1"/>
  <c r="Q4165" i="2"/>
  <c r="P4161" i="2"/>
  <c r="V4161" i="2" s="1"/>
  <c r="Q4161" i="2"/>
  <c r="P4157" i="2"/>
  <c r="V4157" i="2" s="1"/>
  <c r="Q4157" i="2"/>
  <c r="P4153" i="2"/>
  <c r="V4153" i="2" s="1"/>
  <c r="Q4153" i="2"/>
  <c r="P4149" i="2"/>
  <c r="V4149" i="2" s="1"/>
  <c r="Q4149" i="2"/>
  <c r="P4145" i="2"/>
  <c r="V4145" i="2" s="1"/>
  <c r="Q4145" i="2"/>
  <c r="P4141" i="2"/>
  <c r="V4141" i="2" s="1"/>
  <c r="Q4141" i="2"/>
  <c r="P4137" i="2"/>
  <c r="V4137" i="2" s="1"/>
  <c r="Q4137" i="2"/>
  <c r="P4133" i="2"/>
  <c r="V4133" i="2" s="1"/>
  <c r="Q4133" i="2"/>
  <c r="P4129" i="2"/>
  <c r="V4129" i="2" s="1"/>
  <c r="Q4129" i="2"/>
  <c r="P4125" i="2"/>
  <c r="V4125" i="2" s="1"/>
  <c r="Q4125" i="2"/>
  <c r="P4121" i="2"/>
  <c r="V4121" i="2" s="1"/>
  <c r="Q4121" i="2"/>
  <c r="P4117" i="2"/>
  <c r="V4117" i="2" s="1"/>
  <c r="Q4117" i="2"/>
  <c r="P4113" i="2"/>
  <c r="V4113" i="2" s="1"/>
  <c r="Q4113" i="2"/>
  <c r="P4109" i="2"/>
  <c r="V4109" i="2" s="1"/>
  <c r="Q4109" i="2"/>
  <c r="P4105" i="2"/>
  <c r="V4105" i="2" s="1"/>
  <c r="Q4105" i="2"/>
  <c r="P4101" i="2"/>
  <c r="V4101" i="2" s="1"/>
  <c r="Q4101" i="2"/>
  <c r="P4097" i="2"/>
  <c r="V4097" i="2" s="1"/>
  <c r="Q4097" i="2"/>
  <c r="P4093" i="2"/>
  <c r="V4093" i="2" s="1"/>
  <c r="Q4093" i="2"/>
  <c r="P4089" i="2"/>
  <c r="V4089" i="2" s="1"/>
  <c r="Q4089" i="2"/>
  <c r="P4085" i="2"/>
  <c r="V4085" i="2" s="1"/>
  <c r="Q4085" i="2"/>
  <c r="P4081" i="2"/>
  <c r="V4081" i="2" s="1"/>
  <c r="Q4081" i="2"/>
  <c r="P4077" i="2"/>
  <c r="V4077" i="2" s="1"/>
  <c r="Q4077" i="2"/>
  <c r="P4073" i="2"/>
  <c r="V4073" i="2" s="1"/>
  <c r="Q4073" i="2"/>
  <c r="P4069" i="2"/>
  <c r="V4069" i="2" s="1"/>
  <c r="Q4069" i="2"/>
  <c r="P4065" i="2"/>
  <c r="V4065" i="2" s="1"/>
  <c r="Q4065" i="2"/>
  <c r="P4061" i="2"/>
  <c r="V4061" i="2" s="1"/>
  <c r="Q4061" i="2"/>
  <c r="P4057" i="2"/>
  <c r="V4057" i="2" s="1"/>
  <c r="Q4057" i="2"/>
  <c r="P4053" i="2"/>
  <c r="V4053" i="2" s="1"/>
  <c r="Q4053" i="2"/>
  <c r="P4049" i="2"/>
  <c r="V4049" i="2" s="1"/>
  <c r="Q4049" i="2"/>
  <c r="P4045" i="2"/>
  <c r="V4045" i="2" s="1"/>
  <c r="Q4045" i="2"/>
  <c r="P4041" i="2"/>
  <c r="V4041" i="2" s="1"/>
  <c r="Q4041" i="2"/>
  <c r="P4037" i="2"/>
  <c r="V4037" i="2" s="1"/>
  <c r="Q4037" i="2"/>
  <c r="P4033" i="2"/>
  <c r="V4033" i="2" s="1"/>
  <c r="Q4033" i="2"/>
  <c r="P4029" i="2"/>
  <c r="V4029" i="2" s="1"/>
  <c r="Q4029" i="2"/>
  <c r="P4025" i="2"/>
  <c r="V4025" i="2" s="1"/>
  <c r="Q4025" i="2"/>
  <c r="P4021" i="2"/>
  <c r="V4021" i="2" s="1"/>
  <c r="Q4021" i="2"/>
  <c r="P4017" i="2"/>
  <c r="V4017" i="2" s="1"/>
  <c r="Q4017" i="2"/>
  <c r="P4013" i="2"/>
  <c r="V4013" i="2" s="1"/>
  <c r="Q4013" i="2"/>
  <c r="P4009" i="2"/>
  <c r="V4009" i="2" s="1"/>
  <c r="Q4009" i="2"/>
  <c r="P4005" i="2"/>
  <c r="V4005" i="2" s="1"/>
  <c r="Q4005" i="2"/>
  <c r="P4001" i="2"/>
  <c r="V4001" i="2" s="1"/>
  <c r="Q4001" i="2"/>
  <c r="P3997" i="2"/>
  <c r="V3997" i="2" s="1"/>
  <c r="Q3997" i="2"/>
  <c r="P3993" i="2"/>
  <c r="V3993" i="2" s="1"/>
  <c r="Q3993" i="2"/>
  <c r="P3989" i="2"/>
  <c r="V3989" i="2" s="1"/>
  <c r="Q3989" i="2"/>
  <c r="P3985" i="2"/>
  <c r="V3985" i="2" s="1"/>
  <c r="Q3985" i="2"/>
  <c r="P3981" i="2"/>
  <c r="V3981" i="2" s="1"/>
  <c r="Q3981" i="2"/>
  <c r="P3977" i="2"/>
  <c r="V3977" i="2" s="1"/>
  <c r="Q3977" i="2"/>
  <c r="P3973" i="2"/>
  <c r="V3973" i="2" s="1"/>
  <c r="Q3973" i="2"/>
  <c r="P3969" i="2"/>
  <c r="V3969" i="2" s="1"/>
  <c r="Q3969" i="2"/>
  <c r="P3965" i="2"/>
  <c r="V3965" i="2" s="1"/>
  <c r="Q3965" i="2"/>
  <c r="P3961" i="2"/>
  <c r="V3961" i="2" s="1"/>
  <c r="Q3961" i="2"/>
  <c r="P3957" i="2"/>
  <c r="V3957" i="2" s="1"/>
  <c r="Q3957" i="2"/>
  <c r="P3953" i="2"/>
  <c r="V3953" i="2" s="1"/>
  <c r="Q3953" i="2"/>
  <c r="P3949" i="2"/>
  <c r="V3949" i="2" s="1"/>
  <c r="Q3949" i="2"/>
  <c r="P3945" i="2"/>
  <c r="V3945" i="2" s="1"/>
  <c r="Q3945" i="2"/>
  <c r="P3941" i="2"/>
  <c r="V3941" i="2" s="1"/>
  <c r="Q3941" i="2"/>
  <c r="P3937" i="2"/>
  <c r="V3937" i="2" s="1"/>
  <c r="Q3937" i="2"/>
  <c r="P3933" i="2"/>
  <c r="V3933" i="2" s="1"/>
  <c r="Q3933" i="2"/>
  <c r="P3929" i="2"/>
  <c r="V3929" i="2" s="1"/>
  <c r="Q3929" i="2"/>
  <c r="P3925" i="2"/>
  <c r="V3925" i="2" s="1"/>
  <c r="Q3925" i="2"/>
  <c r="P3921" i="2"/>
  <c r="V3921" i="2" s="1"/>
  <c r="Q3921" i="2"/>
  <c r="P3917" i="2"/>
  <c r="V3917" i="2" s="1"/>
  <c r="Q3917" i="2"/>
  <c r="P3913" i="2"/>
  <c r="V3913" i="2" s="1"/>
  <c r="Q3913" i="2"/>
  <c r="P3909" i="2"/>
  <c r="V3909" i="2" s="1"/>
  <c r="Q3909" i="2"/>
  <c r="P3905" i="2"/>
  <c r="V3905" i="2" s="1"/>
  <c r="Q3905" i="2"/>
  <c r="P3901" i="2"/>
  <c r="V3901" i="2" s="1"/>
  <c r="Q3901" i="2"/>
  <c r="P3897" i="2"/>
  <c r="V3897" i="2" s="1"/>
  <c r="Q3897" i="2"/>
  <c r="P3893" i="2"/>
  <c r="V3893" i="2" s="1"/>
  <c r="Q3893" i="2"/>
  <c r="P3889" i="2"/>
  <c r="V3889" i="2" s="1"/>
  <c r="Q3889" i="2"/>
  <c r="P3885" i="2"/>
  <c r="V3885" i="2" s="1"/>
  <c r="Q3885" i="2"/>
  <c r="P3881" i="2"/>
  <c r="V3881" i="2" s="1"/>
  <c r="Q3881" i="2"/>
  <c r="P3877" i="2"/>
  <c r="V3877" i="2" s="1"/>
  <c r="Q3877" i="2"/>
  <c r="P3873" i="2"/>
  <c r="V3873" i="2" s="1"/>
  <c r="Q3873" i="2"/>
  <c r="P3869" i="2"/>
  <c r="V3869" i="2" s="1"/>
  <c r="Q3869" i="2"/>
  <c r="P3865" i="2"/>
  <c r="V3865" i="2" s="1"/>
  <c r="Q3865" i="2"/>
  <c r="P3861" i="2"/>
  <c r="V3861" i="2" s="1"/>
  <c r="Q3861" i="2"/>
  <c r="P3857" i="2"/>
  <c r="V3857" i="2" s="1"/>
  <c r="Q3857" i="2"/>
  <c r="P3853" i="2"/>
  <c r="V3853" i="2" s="1"/>
  <c r="Q3853" i="2"/>
  <c r="P3849" i="2"/>
  <c r="V3849" i="2" s="1"/>
  <c r="Q3849" i="2"/>
  <c r="P3845" i="2"/>
  <c r="V3845" i="2" s="1"/>
  <c r="Q3845" i="2"/>
  <c r="P3841" i="2"/>
  <c r="V3841" i="2" s="1"/>
  <c r="Q3841" i="2"/>
  <c r="P3837" i="2"/>
  <c r="V3837" i="2" s="1"/>
  <c r="Q3837" i="2"/>
  <c r="P3833" i="2"/>
  <c r="V3833" i="2" s="1"/>
  <c r="Q3833" i="2"/>
  <c r="P3829" i="2"/>
  <c r="V3829" i="2" s="1"/>
  <c r="Q3829" i="2"/>
  <c r="P3825" i="2"/>
  <c r="V3825" i="2" s="1"/>
  <c r="Q3825" i="2"/>
  <c r="P3821" i="2"/>
  <c r="V3821" i="2" s="1"/>
  <c r="Q3821" i="2"/>
  <c r="P3817" i="2"/>
  <c r="V3817" i="2" s="1"/>
  <c r="Q3817" i="2"/>
  <c r="P3813" i="2"/>
  <c r="V3813" i="2" s="1"/>
  <c r="Q3813" i="2"/>
  <c r="P3809" i="2"/>
  <c r="V3809" i="2" s="1"/>
  <c r="Q3809" i="2"/>
  <c r="P3805" i="2"/>
  <c r="V3805" i="2" s="1"/>
  <c r="Q3805" i="2"/>
  <c r="P3801" i="2"/>
  <c r="V3801" i="2" s="1"/>
  <c r="Q3801" i="2"/>
  <c r="P3797" i="2"/>
  <c r="V3797" i="2" s="1"/>
  <c r="Q3797" i="2"/>
  <c r="P3793" i="2"/>
  <c r="V3793" i="2" s="1"/>
  <c r="Q3793" i="2"/>
  <c r="P3789" i="2"/>
  <c r="V3789" i="2" s="1"/>
  <c r="Q3789" i="2"/>
  <c r="P3785" i="2"/>
  <c r="V3785" i="2" s="1"/>
  <c r="Q3785" i="2"/>
  <c r="P3781" i="2"/>
  <c r="V3781" i="2" s="1"/>
  <c r="Q3781" i="2"/>
  <c r="P3777" i="2"/>
  <c r="V3777" i="2" s="1"/>
  <c r="Q3777" i="2"/>
  <c r="P3773" i="2"/>
  <c r="V3773" i="2" s="1"/>
  <c r="Q3773" i="2"/>
  <c r="P3769" i="2"/>
  <c r="V3769" i="2" s="1"/>
  <c r="Q3769" i="2"/>
  <c r="P3765" i="2"/>
  <c r="V3765" i="2" s="1"/>
  <c r="Q3765" i="2"/>
  <c r="P3761" i="2"/>
  <c r="V3761" i="2" s="1"/>
  <c r="Q3761" i="2"/>
  <c r="P3757" i="2"/>
  <c r="V3757" i="2" s="1"/>
  <c r="Q3757" i="2"/>
  <c r="P3753" i="2"/>
  <c r="V3753" i="2" s="1"/>
  <c r="Q3753" i="2"/>
  <c r="P3749" i="2"/>
  <c r="V3749" i="2" s="1"/>
  <c r="Q3749" i="2"/>
  <c r="P3745" i="2"/>
  <c r="V3745" i="2" s="1"/>
  <c r="Q3745" i="2"/>
  <c r="P3741" i="2"/>
  <c r="V3741" i="2" s="1"/>
  <c r="Q3741" i="2"/>
  <c r="P3737" i="2"/>
  <c r="V3737" i="2" s="1"/>
  <c r="Q3737" i="2"/>
  <c r="P3733" i="2"/>
  <c r="V3733" i="2" s="1"/>
  <c r="Q3733" i="2"/>
  <c r="P3729" i="2"/>
  <c r="V3729" i="2" s="1"/>
  <c r="Q3729" i="2"/>
  <c r="P3725" i="2"/>
  <c r="V3725" i="2" s="1"/>
  <c r="Q3725" i="2"/>
  <c r="P3721" i="2"/>
  <c r="V3721" i="2" s="1"/>
  <c r="Q3721" i="2"/>
  <c r="P3717" i="2"/>
  <c r="V3717" i="2" s="1"/>
  <c r="Q3717" i="2"/>
  <c r="P3713" i="2"/>
  <c r="V3713" i="2" s="1"/>
  <c r="Q3713" i="2"/>
  <c r="P3709" i="2"/>
  <c r="V3709" i="2" s="1"/>
  <c r="Q3709" i="2"/>
  <c r="P3705" i="2"/>
  <c r="V3705" i="2" s="1"/>
  <c r="Q3705" i="2"/>
  <c r="P3701" i="2"/>
  <c r="V3701" i="2" s="1"/>
  <c r="Q3701" i="2"/>
  <c r="P3697" i="2"/>
  <c r="V3697" i="2" s="1"/>
  <c r="Q3697" i="2"/>
  <c r="P3693" i="2"/>
  <c r="V3693" i="2" s="1"/>
  <c r="Q3693" i="2"/>
  <c r="P3689" i="2"/>
  <c r="V3689" i="2" s="1"/>
  <c r="Q3689" i="2"/>
  <c r="P3685" i="2"/>
  <c r="V3685" i="2" s="1"/>
  <c r="Q3685" i="2"/>
  <c r="P3681" i="2"/>
  <c r="V3681" i="2" s="1"/>
  <c r="Q3681" i="2"/>
  <c r="P3677" i="2"/>
  <c r="V3677" i="2" s="1"/>
  <c r="Q3677" i="2"/>
  <c r="P3673" i="2"/>
  <c r="V3673" i="2" s="1"/>
  <c r="Q3673" i="2"/>
  <c r="P3669" i="2"/>
  <c r="V3669" i="2" s="1"/>
  <c r="Q3669" i="2"/>
  <c r="P3665" i="2"/>
  <c r="V3665" i="2" s="1"/>
  <c r="Q3665" i="2"/>
  <c r="P3661" i="2"/>
  <c r="V3661" i="2" s="1"/>
  <c r="Q3661" i="2"/>
  <c r="P3657" i="2"/>
  <c r="V3657" i="2" s="1"/>
  <c r="Q3657" i="2"/>
  <c r="P3653" i="2"/>
  <c r="V3653" i="2" s="1"/>
  <c r="Q3653" i="2"/>
  <c r="P3649" i="2"/>
  <c r="V3649" i="2" s="1"/>
  <c r="Q3649" i="2"/>
  <c r="P3645" i="2"/>
  <c r="V3645" i="2" s="1"/>
  <c r="Q3645" i="2"/>
  <c r="P3641" i="2"/>
  <c r="V3641" i="2" s="1"/>
  <c r="Q3641" i="2"/>
  <c r="P3637" i="2"/>
  <c r="V3637" i="2" s="1"/>
  <c r="Q3637" i="2"/>
  <c r="P3633" i="2"/>
  <c r="V3633" i="2" s="1"/>
  <c r="Q3633" i="2"/>
  <c r="P3629" i="2"/>
  <c r="V3629" i="2" s="1"/>
  <c r="Q3629" i="2"/>
  <c r="P3625" i="2"/>
  <c r="V3625" i="2" s="1"/>
  <c r="Q3625" i="2"/>
  <c r="P3621" i="2"/>
  <c r="V3621" i="2" s="1"/>
  <c r="Q3621" i="2"/>
  <c r="P3617" i="2"/>
  <c r="V3617" i="2" s="1"/>
  <c r="Q3617" i="2"/>
  <c r="P3613" i="2"/>
  <c r="V3613" i="2" s="1"/>
  <c r="Q3613" i="2"/>
  <c r="P3609" i="2"/>
  <c r="V3609" i="2" s="1"/>
  <c r="Q3609" i="2"/>
  <c r="P3605" i="2"/>
  <c r="V3605" i="2" s="1"/>
  <c r="Q3605" i="2"/>
  <c r="P3601" i="2"/>
  <c r="V3601" i="2" s="1"/>
  <c r="Q3601" i="2"/>
  <c r="P3597" i="2"/>
  <c r="V3597" i="2" s="1"/>
  <c r="Q3597" i="2"/>
  <c r="P3593" i="2"/>
  <c r="V3593" i="2" s="1"/>
  <c r="Q3593" i="2"/>
  <c r="P3589" i="2"/>
  <c r="V3589" i="2" s="1"/>
  <c r="Q3589" i="2"/>
  <c r="P3585" i="2"/>
  <c r="V3585" i="2" s="1"/>
  <c r="Q3585" i="2"/>
  <c r="P3581" i="2"/>
  <c r="V3581" i="2" s="1"/>
  <c r="Q3581" i="2"/>
  <c r="P3577" i="2"/>
  <c r="V3577" i="2" s="1"/>
  <c r="Q3577" i="2"/>
  <c r="P3573" i="2"/>
  <c r="V3573" i="2" s="1"/>
  <c r="Q3573" i="2"/>
  <c r="P3569" i="2"/>
  <c r="V3569" i="2" s="1"/>
  <c r="Q3569" i="2"/>
  <c r="P3565" i="2"/>
  <c r="V3565" i="2" s="1"/>
  <c r="Q3565" i="2"/>
  <c r="P3561" i="2"/>
  <c r="V3561" i="2" s="1"/>
  <c r="Q3561" i="2"/>
  <c r="P3557" i="2"/>
  <c r="V3557" i="2" s="1"/>
  <c r="Q3557" i="2"/>
  <c r="P3553" i="2"/>
  <c r="V3553" i="2" s="1"/>
  <c r="Q3553" i="2"/>
  <c r="P3549" i="2"/>
  <c r="V3549" i="2" s="1"/>
  <c r="Q3549" i="2"/>
  <c r="P3545" i="2"/>
  <c r="V3545" i="2" s="1"/>
  <c r="Q3545" i="2"/>
  <c r="P3541" i="2"/>
  <c r="V3541" i="2" s="1"/>
  <c r="Q3541" i="2"/>
  <c r="P3537" i="2"/>
  <c r="V3537" i="2" s="1"/>
  <c r="Q3537" i="2"/>
  <c r="P3533" i="2"/>
  <c r="V3533" i="2" s="1"/>
  <c r="Q3533" i="2"/>
  <c r="P3529" i="2"/>
  <c r="V3529" i="2" s="1"/>
  <c r="Q3529" i="2"/>
  <c r="P3525" i="2"/>
  <c r="V3525" i="2" s="1"/>
  <c r="Q3525" i="2"/>
  <c r="P3521" i="2"/>
  <c r="V3521" i="2" s="1"/>
  <c r="Q3521" i="2"/>
  <c r="P3517" i="2"/>
  <c r="V3517" i="2" s="1"/>
  <c r="Q3517" i="2"/>
  <c r="P3513" i="2"/>
  <c r="V3513" i="2" s="1"/>
  <c r="Q3513" i="2"/>
  <c r="P3509" i="2"/>
  <c r="V3509" i="2" s="1"/>
  <c r="Q3509" i="2"/>
  <c r="P3505" i="2"/>
  <c r="V3505" i="2" s="1"/>
  <c r="Q3505" i="2"/>
  <c r="P3501" i="2"/>
  <c r="V3501" i="2" s="1"/>
  <c r="Q3501" i="2"/>
  <c r="P3497" i="2"/>
  <c r="V3497" i="2" s="1"/>
  <c r="Q3497" i="2"/>
  <c r="P3493" i="2"/>
  <c r="V3493" i="2" s="1"/>
  <c r="Q3493" i="2"/>
  <c r="P3489" i="2"/>
  <c r="V3489" i="2" s="1"/>
  <c r="Q3489" i="2"/>
  <c r="P3485" i="2"/>
  <c r="V3485" i="2" s="1"/>
  <c r="Q3485" i="2"/>
  <c r="P3481" i="2"/>
  <c r="V3481" i="2" s="1"/>
  <c r="Q3481" i="2"/>
  <c r="P3477" i="2"/>
  <c r="V3477" i="2" s="1"/>
  <c r="Q3477" i="2"/>
  <c r="P3473" i="2"/>
  <c r="V3473" i="2" s="1"/>
  <c r="Q3473" i="2"/>
  <c r="P3469" i="2"/>
  <c r="V3469" i="2" s="1"/>
  <c r="Q3469" i="2"/>
  <c r="P3465" i="2"/>
  <c r="V3465" i="2" s="1"/>
  <c r="Q3465" i="2"/>
  <c r="P3461" i="2"/>
  <c r="V3461" i="2" s="1"/>
  <c r="Q3461" i="2"/>
  <c r="P3457" i="2"/>
  <c r="V3457" i="2" s="1"/>
  <c r="Q3457" i="2"/>
  <c r="P3453" i="2"/>
  <c r="V3453" i="2" s="1"/>
  <c r="Q3453" i="2"/>
  <c r="P3449" i="2"/>
  <c r="V3449" i="2" s="1"/>
  <c r="Q3449" i="2"/>
  <c r="P3445" i="2"/>
  <c r="V3445" i="2" s="1"/>
  <c r="Q3445" i="2"/>
  <c r="P3441" i="2"/>
  <c r="V3441" i="2" s="1"/>
  <c r="Q3441" i="2"/>
  <c r="P3437" i="2"/>
  <c r="V3437" i="2" s="1"/>
  <c r="Q3437" i="2"/>
  <c r="P3433" i="2"/>
  <c r="V3433" i="2" s="1"/>
  <c r="Q3433" i="2"/>
  <c r="P3429" i="2"/>
  <c r="V3429" i="2" s="1"/>
  <c r="Q3429" i="2"/>
  <c r="P3425" i="2"/>
  <c r="V3425" i="2" s="1"/>
  <c r="Q3425" i="2"/>
  <c r="P3421" i="2"/>
  <c r="V3421" i="2" s="1"/>
  <c r="Q3421" i="2"/>
  <c r="P3417" i="2"/>
  <c r="V3417" i="2" s="1"/>
  <c r="Q3417" i="2"/>
  <c r="P3413" i="2"/>
  <c r="V3413" i="2" s="1"/>
  <c r="Q3413" i="2"/>
  <c r="P3409" i="2"/>
  <c r="V3409" i="2" s="1"/>
  <c r="Q3409" i="2"/>
  <c r="P3405" i="2"/>
  <c r="V3405" i="2" s="1"/>
  <c r="Q3405" i="2"/>
  <c r="P3401" i="2"/>
  <c r="V3401" i="2" s="1"/>
  <c r="Q3401" i="2"/>
  <c r="P3397" i="2"/>
  <c r="V3397" i="2" s="1"/>
  <c r="Q3397" i="2"/>
  <c r="P3393" i="2"/>
  <c r="V3393" i="2" s="1"/>
  <c r="Q3393" i="2"/>
  <c r="P3389" i="2"/>
  <c r="V3389" i="2" s="1"/>
  <c r="Q3389" i="2"/>
  <c r="P3385" i="2"/>
  <c r="V3385" i="2" s="1"/>
  <c r="Q3385" i="2"/>
  <c r="P3381" i="2"/>
  <c r="V3381" i="2" s="1"/>
  <c r="Q3381" i="2"/>
  <c r="P3377" i="2"/>
  <c r="V3377" i="2" s="1"/>
  <c r="Q3377" i="2"/>
  <c r="P3373" i="2"/>
  <c r="V3373" i="2" s="1"/>
  <c r="Q3373" i="2"/>
  <c r="P3369" i="2"/>
  <c r="V3369" i="2" s="1"/>
  <c r="Q3369" i="2"/>
  <c r="P3365" i="2"/>
  <c r="V3365" i="2" s="1"/>
  <c r="Q3365" i="2"/>
  <c r="P3361" i="2"/>
  <c r="V3361" i="2" s="1"/>
  <c r="Q3361" i="2"/>
  <c r="P3357" i="2"/>
  <c r="V3357" i="2" s="1"/>
  <c r="Q3357" i="2"/>
  <c r="P3353" i="2"/>
  <c r="V3353" i="2" s="1"/>
  <c r="Q3353" i="2"/>
  <c r="P3349" i="2"/>
  <c r="V3349" i="2" s="1"/>
  <c r="Q3349" i="2"/>
  <c r="P3345" i="2"/>
  <c r="V3345" i="2" s="1"/>
  <c r="Q3345" i="2"/>
  <c r="P3341" i="2"/>
  <c r="V3341" i="2" s="1"/>
  <c r="Q3341" i="2"/>
  <c r="P3337" i="2"/>
  <c r="V3337" i="2" s="1"/>
  <c r="Q3337" i="2"/>
  <c r="P3333" i="2"/>
  <c r="V3333" i="2" s="1"/>
  <c r="Q3333" i="2"/>
  <c r="P3329" i="2"/>
  <c r="V3329" i="2" s="1"/>
  <c r="Q3329" i="2"/>
  <c r="P3325" i="2"/>
  <c r="V3325" i="2" s="1"/>
  <c r="Q3325" i="2"/>
  <c r="P3321" i="2"/>
  <c r="V3321" i="2" s="1"/>
  <c r="Q3321" i="2"/>
  <c r="P3317" i="2"/>
  <c r="V3317" i="2" s="1"/>
  <c r="Q3317" i="2"/>
  <c r="P3313" i="2"/>
  <c r="V3313" i="2" s="1"/>
  <c r="Q3313" i="2"/>
  <c r="P3309" i="2"/>
  <c r="V3309" i="2" s="1"/>
  <c r="Q3309" i="2"/>
  <c r="P3305" i="2"/>
  <c r="V3305" i="2" s="1"/>
  <c r="Q3305" i="2"/>
  <c r="P3301" i="2"/>
  <c r="V3301" i="2" s="1"/>
  <c r="Q3301" i="2"/>
  <c r="P3297" i="2"/>
  <c r="V3297" i="2" s="1"/>
  <c r="Q3297" i="2"/>
  <c r="P3293" i="2"/>
  <c r="V3293" i="2" s="1"/>
  <c r="Q3293" i="2"/>
  <c r="P3289" i="2"/>
  <c r="V3289" i="2" s="1"/>
  <c r="Q3289" i="2"/>
  <c r="P3285" i="2"/>
  <c r="V3285" i="2" s="1"/>
  <c r="Q3285" i="2"/>
  <c r="P3281" i="2"/>
  <c r="V3281" i="2" s="1"/>
  <c r="Q3281" i="2"/>
  <c r="P3277" i="2"/>
  <c r="V3277" i="2" s="1"/>
  <c r="Q3277" i="2"/>
  <c r="P3273" i="2"/>
  <c r="V3273" i="2" s="1"/>
  <c r="Q3273" i="2"/>
  <c r="P3269" i="2"/>
  <c r="V3269" i="2" s="1"/>
  <c r="Q3269" i="2"/>
  <c r="P3265" i="2"/>
  <c r="V3265" i="2" s="1"/>
  <c r="Q3265" i="2"/>
  <c r="P3261" i="2"/>
  <c r="V3261" i="2" s="1"/>
  <c r="Q3261" i="2"/>
  <c r="P3257" i="2"/>
  <c r="V3257" i="2" s="1"/>
  <c r="Q3257" i="2"/>
  <c r="P3253" i="2"/>
  <c r="V3253" i="2" s="1"/>
  <c r="Q3253" i="2"/>
  <c r="P3249" i="2"/>
  <c r="V3249" i="2" s="1"/>
  <c r="Q3249" i="2"/>
  <c r="P3245" i="2"/>
  <c r="V3245" i="2" s="1"/>
  <c r="Q3245" i="2"/>
  <c r="P3241" i="2"/>
  <c r="V3241" i="2" s="1"/>
  <c r="Q3241" i="2"/>
  <c r="P3237" i="2"/>
  <c r="V3237" i="2" s="1"/>
  <c r="Q3237" i="2"/>
  <c r="P3233" i="2"/>
  <c r="V3233" i="2" s="1"/>
  <c r="Q3233" i="2"/>
  <c r="P3229" i="2"/>
  <c r="V3229" i="2" s="1"/>
  <c r="Q3229" i="2"/>
  <c r="P3225" i="2"/>
  <c r="V3225" i="2" s="1"/>
  <c r="Q3225" i="2"/>
  <c r="P3221" i="2"/>
  <c r="V3221" i="2" s="1"/>
  <c r="Q3221" i="2"/>
  <c r="P3217" i="2"/>
  <c r="V3217" i="2" s="1"/>
  <c r="Q3217" i="2"/>
  <c r="P3213" i="2"/>
  <c r="V3213" i="2" s="1"/>
  <c r="Q3213" i="2"/>
  <c r="P3209" i="2"/>
  <c r="V3209" i="2" s="1"/>
  <c r="Q3209" i="2"/>
  <c r="P3205" i="2"/>
  <c r="V3205" i="2" s="1"/>
  <c r="Q3205" i="2"/>
  <c r="P3201" i="2"/>
  <c r="V3201" i="2" s="1"/>
  <c r="Q3201" i="2"/>
  <c r="P3197" i="2"/>
  <c r="V3197" i="2" s="1"/>
  <c r="Q3197" i="2"/>
  <c r="P3193" i="2"/>
  <c r="V3193" i="2" s="1"/>
  <c r="Q3193" i="2"/>
  <c r="P3189" i="2"/>
  <c r="V3189" i="2" s="1"/>
  <c r="Q3189" i="2"/>
  <c r="P3185" i="2"/>
  <c r="V3185" i="2" s="1"/>
  <c r="Q3185" i="2"/>
  <c r="P3181" i="2"/>
  <c r="V3181" i="2" s="1"/>
  <c r="Q3181" i="2"/>
  <c r="P3177" i="2"/>
  <c r="V3177" i="2" s="1"/>
  <c r="Q3177" i="2"/>
  <c r="P3173" i="2"/>
  <c r="V3173" i="2" s="1"/>
  <c r="Q3173" i="2"/>
  <c r="P3169" i="2"/>
  <c r="V3169" i="2" s="1"/>
  <c r="Q3169" i="2"/>
  <c r="P3165" i="2"/>
  <c r="V3165" i="2" s="1"/>
  <c r="Q3165" i="2"/>
  <c r="P3161" i="2"/>
  <c r="V3161" i="2" s="1"/>
  <c r="Q3161" i="2"/>
  <c r="P3157" i="2"/>
  <c r="V3157" i="2" s="1"/>
  <c r="Q3157" i="2"/>
  <c r="P3153" i="2"/>
  <c r="V3153" i="2" s="1"/>
  <c r="Q3153" i="2"/>
  <c r="P3149" i="2"/>
  <c r="V3149" i="2" s="1"/>
  <c r="Q3149" i="2"/>
  <c r="P3145" i="2"/>
  <c r="V3145" i="2" s="1"/>
  <c r="Q3145" i="2"/>
  <c r="P3141" i="2"/>
  <c r="V3141" i="2" s="1"/>
  <c r="Q3141" i="2"/>
  <c r="P3137" i="2"/>
  <c r="V3137" i="2" s="1"/>
  <c r="Q3137" i="2"/>
  <c r="P3133" i="2"/>
  <c r="V3133" i="2" s="1"/>
  <c r="Q3133" i="2"/>
  <c r="P3129" i="2"/>
  <c r="V3129" i="2" s="1"/>
  <c r="Q3129" i="2"/>
  <c r="P3125" i="2"/>
  <c r="V3125" i="2" s="1"/>
  <c r="Q3125" i="2"/>
  <c r="P3121" i="2"/>
  <c r="V3121" i="2" s="1"/>
  <c r="Q3121" i="2"/>
  <c r="P3117" i="2"/>
  <c r="V3117" i="2" s="1"/>
  <c r="Q3117" i="2"/>
  <c r="P3113" i="2"/>
  <c r="V3113" i="2" s="1"/>
  <c r="Q3113" i="2"/>
  <c r="P3109" i="2"/>
  <c r="V3109" i="2" s="1"/>
  <c r="Q3109" i="2"/>
  <c r="P3105" i="2"/>
  <c r="V3105" i="2" s="1"/>
  <c r="Q3105" i="2"/>
  <c r="P3101" i="2"/>
  <c r="V3101" i="2" s="1"/>
  <c r="Q3101" i="2"/>
  <c r="P3097" i="2"/>
  <c r="V3097" i="2" s="1"/>
  <c r="Q3097" i="2"/>
  <c r="P3093" i="2"/>
  <c r="V3093" i="2" s="1"/>
  <c r="Q3093" i="2"/>
  <c r="P3089" i="2"/>
  <c r="V3089" i="2" s="1"/>
  <c r="Q3089" i="2"/>
  <c r="P3085" i="2"/>
  <c r="V3085" i="2" s="1"/>
  <c r="Q3085" i="2"/>
  <c r="P3081" i="2"/>
  <c r="V3081" i="2" s="1"/>
  <c r="Q3081" i="2"/>
  <c r="P3077" i="2"/>
  <c r="V3077" i="2" s="1"/>
  <c r="Q3077" i="2"/>
  <c r="P3073" i="2"/>
  <c r="V3073" i="2" s="1"/>
  <c r="Q3073" i="2"/>
  <c r="P3069" i="2"/>
  <c r="V3069" i="2" s="1"/>
  <c r="Q3069" i="2"/>
  <c r="P3065" i="2"/>
  <c r="V3065" i="2" s="1"/>
  <c r="Q3065" i="2"/>
  <c r="P3061" i="2"/>
  <c r="V3061" i="2" s="1"/>
  <c r="Q3061" i="2"/>
  <c r="P3057" i="2"/>
  <c r="V3057" i="2" s="1"/>
  <c r="Q3057" i="2"/>
  <c r="P3053" i="2"/>
  <c r="V3053" i="2" s="1"/>
  <c r="Q3053" i="2"/>
  <c r="P3049" i="2"/>
  <c r="V3049" i="2" s="1"/>
  <c r="Q3049" i="2"/>
  <c r="P3045" i="2"/>
  <c r="V3045" i="2" s="1"/>
  <c r="Q3045" i="2"/>
  <c r="P3041" i="2"/>
  <c r="V3041" i="2" s="1"/>
  <c r="Q3041" i="2"/>
  <c r="P3037" i="2"/>
  <c r="V3037" i="2" s="1"/>
  <c r="Q3037" i="2"/>
  <c r="P3033" i="2"/>
  <c r="V3033" i="2" s="1"/>
  <c r="Q3033" i="2"/>
  <c r="P3029" i="2"/>
  <c r="V3029" i="2" s="1"/>
  <c r="Q3029" i="2"/>
  <c r="P3025" i="2"/>
  <c r="V3025" i="2" s="1"/>
  <c r="Q3025" i="2"/>
  <c r="P3021" i="2"/>
  <c r="V3021" i="2" s="1"/>
  <c r="Q3021" i="2"/>
  <c r="P3017" i="2"/>
  <c r="V3017" i="2" s="1"/>
  <c r="Q3017" i="2"/>
  <c r="P3013" i="2"/>
  <c r="V3013" i="2" s="1"/>
  <c r="Q3013" i="2"/>
  <c r="P3009" i="2"/>
  <c r="V3009" i="2" s="1"/>
  <c r="Q3009" i="2"/>
  <c r="P3005" i="2"/>
  <c r="V3005" i="2" s="1"/>
  <c r="Q3005" i="2"/>
  <c r="P3001" i="2"/>
  <c r="V3001" i="2" s="1"/>
  <c r="Q3001" i="2"/>
  <c r="P2997" i="2"/>
  <c r="V2997" i="2" s="1"/>
  <c r="Q2997" i="2"/>
  <c r="P2993" i="2"/>
  <c r="V2993" i="2" s="1"/>
  <c r="Q2993" i="2"/>
  <c r="P2989" i="2"/>
  <c r="V2989" i="2" s="1"/>
  <c r="Q2989" i="2"/>
  <c r="P2985" i="2"/>
  <c r="V2985" i="2" s="1"/>
  <c r="Q2985" i="2"/>
  <c r="P2981" i="2"/>
  <c r="V2981" i="2" s="1"/>
  <c r="Q2981" i="2"/>
  <c r="P2977" i="2"/>
  <c r="V2977" i="2" s="1"/>
  <c r="Q2977" i="2"/>
  <c r="P2973" i="2"/>
  <c r="V2973" i="2" s="1"/>
  <c r="Q2973" i="2"/>
  <c r="P2969" i="2"/>
  <c r="V2969" i="2" s="1"/>
  <c r="Q2969" i="2"/>
  <c r="P2965" i="2"/>
  <c r="V2965" i="2" s="1"/>
  <c r="Q2965" i="2"/>
  <c r="P2961" i="2"/>
  <c r="V2961" i="2" s="1"/>
  <c r="Q2961" i="2"/>
  <c r="P2957" i="2"/>
  <c r="V2957" i="2" s="1"/>
  <c r="Q2957" i="2"/>
  <c r="P2953" i="2"/>
  <c r="V2953" i="2" s="1"/>
  <c r="Q2953" i="2"/>
  <c r="P2949" i="2"/>
  <c r="V2949" i="2" s="1"/>
  <c r="Q2949" i="2"/>
  <c r="P2945" i="2"/>
  <c r="V2945" i="2" s="1"/>
  <c r="Q2945" i="2"/>
  <c r="P2941" i="2"/>
  <c r="V2941" i="2" s="1"/>
  <c r="Q2941" i="2"/>
  <c r="P2937" i="2"/>
  <c r="V2937" i="2" s="1"/>
  <c r="Q2937" i="2"/>
  <c r="P2933" i="2"/>
  <c r="V2933" i="2" s="1"/>
  <c r="Q2933" i="2"/>
  <c r="P2929" i="2"/>
  <c r="V2929" i="2" s="1"/>
  <c r="Q2929" i="2"/>
  <c r="P2925" i="2"/>
  <c r="V2925" i="2" s="1"/>
  <c r="Q2925" i="2"/>
  <c r="P2921" i="2"/>
  <c r="V2921" i="2" s="1"/>
  <c r="Q2921" i="2"/>
  <c r="P2917" i="2"/>
  <c r="V2917" i="2" s="1"/>
  <c r="Q2917" i="2"/>
  <c r="P2913" i="2"/>
  <c r="V2913" i="2" s="1"/>
  <c r="Q2913" i="2"/>
  <c r="P2909" i="2"/>
  <c r="V2909" i="2" s="1"/>
  <c r="Q2909" i="2"/>
  <c r="P2905" i="2"/>
  <c r="V2905" i="2" s="1"/>
  <c r="Q2905" i="2"/>
  <c r="P2901" i="2"/>
  <c r="V2901" i="2" s="1"/>
  <c r="Q2901" i="2"/>
  <c r="P2897" i="2"/>
  <c r="V2897" i="2" s="1"/>
  <c r="Q2897" i="2"/>
  <c r="P2893" i="2"/>
  <c r="V2893" i="2" s="1"/>
  <c r="Q2893" i="2"/>
  <c r="P2889" i="2"/>
  <c r="V2889" i="2" s="1"/>
  <c r="Q2889" i="2"/>
  <c r="P2885" i="2"/>
  <c r="V2885" i="2" s="1"/>
  <c r="Q2885" i="2"/>
  <c r="P2881" i="2"/>
  <c r="V2881" i="2" s="1"/>
  <c r="Q2881" i="2"/>
  <c r="P2877" i="2"/>
  <c r="V2877" i="2" s="1"/>
  <c r="Q2877" i="2"/>
  <c r="P2873" i="2"/>
  <c r="V2873" i="2" s="1"/>
  <c r="Q2873" i="2"/>
  <c r="P2869" i="2"/>
  <c r="V2869" i="2" s="1"/>
  <c r="Q2869" i="2"/>
  <c r="P2865" i="2"/>
  <c r="V2865" i="2" s="1"/>
  <c r="Q2865" i="2"/>
  <c r="P2861" i="2"/>
  <c r="V2861" i="2" s="1"/>
  <c r="Q2861" i="2"/>
  <c r="P2857" i="2"/>
  <c r="V2857" i="2" s="1"/>
  <c r="Q2857" i="2"/>
  <c r="P2853" i="2"/>
  <c r="V2853" i="2" s="1"/>
  <c r="Q2853" i="2"/>
  <c r="P2849" i="2"/>
  <c r="V2849" i="2" s="1"/>
  <c r="Q2849" i="2"/>
  <c r="P2845" i="2"/>
  <c r="V2845" i="2" s="1"/>
  <c r="Q2845" i="2"/>
  <c r="P2841" i="2"/>
  <c r="V2841" i="2" s="1"/>
  <c r="Q2841" i="2"/>
  <c r="P2837" i="2"/>
  <c r="V2837" i="2" s="1"/>
  <c r="Q2837" i="2"/>
  <c r="P2833" i="2"/>
  <c r="V2833" i="2" s="1"/>
  <c r="Q2833" i="2"/>
  <c r="P2829" i="2"/>
  <c r="V2829" i="2" s="1"/>
  <c r="Q2829" i="2"/>
  <c r="P2825" i="2"/>
  <c r="V2825" i="2" s="1"/>
  <c r="Q2825" i="2"/>
  <c r="P2821" i="2"/>
  <c r="V2821" i="2" s="1"/>
  <c r="Q2821" i="2"/>
  <c r="P2817" i="2"/>
  <c r="V2817" i="2" s="1"/>
  <c r="Q2817" i="2"/>
  <c r="P2813" i="2"/>
  <c r="V2813" i="2" s="1"/>
  <c r="Q2813" i="2"/>
  <c r="P2809" i="2"/>
  <c r="V2809" i="2" s="1"/>
  <c r="Q2809" i="2"/>
  <c r="P2805" i="2"/>
  <c r="V2805" i="2" s="1"/>
  <c r="Q2805" i="2"/>
  <c r="P2801" i="2"/>
  <c r="V2801" i="2" s="1"/>
  <c r="Q2801" i="2"/>
  <c r="P2797" i="2"/>
  <c r="V2797" i="2" s="1"/>
  <c r="Q2797" i="2"/>
  <c r="P2793" i="2"/>
  <c r="V2793" i="2" s="1"/>
  <c r="Q2793" i="2"/>
  <c r="P2789" i="2"/>
  <c r="V2789" i="2" s="1"/>
  <c r="Q2789" i="2"/>
  <c r="P2785" i="2"/>
  <c r="V2785" i="2" s="1"/>
  <c r="Q2785" i="2"/>
  <c r="P2781" i="2"/>
  <c r="V2781" i="2" s="1"/>
  <c r="Q2781" i="2"/>
  <c r="P2777" i="2"/>
  <c r="V2777" i="2" s="1"/>
  <c r="Q2777" i="2"/>
  <c r="P2773" i="2"/>
  <c r="V2773" i="2" s="1"/>
  <c r="Q2773" i="2"/>
  <c r="P2769" i="2"/>
  <c r="V2769" i="2" s="1"/>
  <c r="Q2769" i="2"/>
  <c r="P2765" i="2"/>
  <c r="V2765" i="2" s="1"/>
  <c r="Q2765" i="2"/>
  <c r="P2761" i="2"/>
  <c r="V2761" i="2" s="1"/>
  <c r="Q2761" i="2"/>
  <c r="P2757" i="2"/>
  <c r="V2757" i="2" s="1"/>
  <c r="Q2757" i="2"/>
  <c r="P2753" i="2"/>
  <c r="V2753" i="2" s="1"/>
  <c r="Q2753" i="2"/>
  <c r="P2749" i="2"/>
  <c r="V2749" i="2" s="1"/>
  <c r="Q2749" i="2"/>
  <c r="P2745" i="2"/>
  <c r="V2745" i="2" s="1"/>
  <c r="Q2745" i="2"/>
  <c r="P2741" i="2"/>
  <c r="V2741" i="2" s="1"/>
  <c r="Q2741" i="2"/>
  <c r="P2737" i="2"/>
  <c r="V2737" i="2" s="1"/>
  <c r="Q2737" i="2"/>
  <c r="P2733" i="2"/>
  <c r="V2733" i="2" s="1"/>
  <c r="Q2733" i="2"/>
  <c r="Q48" i="2"/>
  <c r="Q64" i="2"/>
  <c r="Q80" i="2"/>
  <c r="Q96" i="2"/>
  <c r="Q112" i="2"/>
  <c r="Q128" i="2"/>
  <c r="Q144" i="2"/>
  <c r="Q160" i="2"/>
  <c r="Q176" i="2"/>
  <c r="Q192" i="2"/>
  <c r="Q208" i="2"/>
  <c r="Q224" i="2"/>
  <c r="Q240" i="2"/>
  <c r="Q256" i="2"/>
  <c r="Q272" i="2"/>
  <c r="Q288" i="2"/>
  <c r="Q304" i="2"/>
  <c r="Q320" i="2"/>
  <c r="Q336" i="2"/>
  <c r="Q352" i="2"/>
  <c r="Q368" i="2"/>
  <c r="Q384" i="2"/>
  <c r="Q400" i="2"/>
  <c r="Q416" i="2"/>
  <c r="Q432" i="2"/>
  <c r="Q448" i="2"/>
  <c r="Q464" i="2"/>
  <c r="Q480" i="2"/>
  <c r="Q496" i="2"/>
  <c r="Q512" i="2"/>
  <c r="Q528" i="2"/>
  <c r="Q544" i="2"/>
  <c r="Q560" i="2"/>
  <c r="Q576" i="2"/>
  <c r="Q592" i="2"/>
  <c r="Q608" i="2"/>
  <c r="Q624" i="2"/>
  <c r="Q640" i="2"/>
  <c r="Q656" i="2"/>
  <c r="Q672" i="2"/>
  <c r="Q688" i="2"/>
  <c r="Q704" i="2"/>
  <c r="Q720" i="2"/>
  <c r="Q736" i="2"/>
  <c r="Q752" i="2"/>
  <c r="Q768" i="2"/>
  <c r="Q784" i="2"/>
  <c r="Q800" i="2"/>
  <c r="Q816" i="2"/>
  <c r="Q832" i="2"/>
  <c r="Q848" i="2"/>
  <c r="Q864" i="2"/>
  <c r="Q880" i="2"/>
  <c r="Q896" i="2"/>
  <c r="Q912" i="2"/>
  <c r="Q928" i="2"/>
  <c r="Q944" i="2"/>
  <c r="Q960" i="2"/>
  <c r="Q976" i="2"/>
  <c r="Q992" i="2"/>
  <c r="Q1008" i="2"/>
  <c r="Q1024" i="2"/>
  <c r="Q1040" i="2"/>
  <c r="Q1056" i="2"/>
  <c r="Q1072" i="2"/>
  <c r="Q1088" i="2"/>
  <c r="Q1104" i="2"/>
  <c r="Q1120" i="2"/>
  <c r="Q1136" i="2"/>
  <c r="Q1152" i="2"/>
  <c r="Q1168" i="2"/>
  <c r="Q1184" i="2"/>
  <c r="Q1200" i="2"/>
  <c r="Q1216" i="2"/>
  <c r="Q1232" i="2"/>
  <c r="Q1248" i="2"/>
  <c r="Q1264" i="2"/>
  <c r="Q1280" i="2"/>
  <c r="Q1296" i="2"/>
  <c r="Q1312" i="2"/>
  <c r="Q1328" i="2"/>
  <c r="Q1344" i="2"/>
  <c r="Q1360" i="2"/>
  <c r="Q1376" i="2"/>
  <c r="Q1392" i="2"/>
  <c r="Q1408" i="2"/>
  <c r="Q1424" i="2"/>
  <c r="Q1440" i="2"/>
  <c r="Q1456" i="2"/>
  <c r="Q1472" i="2"/>
  <c r="Q1488" i="2"/>
  <c r="Q1504" i="2"/>
  <c r="Q1520" i="2"/>
  <c r="Q1536" i="2"/>
  <c r="Q1552" i="2"/>
  <c r="Q1568" i="2"/>
  <c r="Q1584" i="2"/>
  <c r="Q1600" i="2"/>
  <c r="Q1616" i="2"/>
  <c r="Q1632" i="2"/>
  <c r="Q1648" i="2"/>
  <c r="Q1664" i="2"/>
  <c r="Q1680" i="2"/>
  <c r="Q1696" i="2"/>
  <c r="Q1712" i="2"/>
  <c r="Q1728" i="2"/>
  <c r="Q1744" i="2"/>
  <c r="Q1760" i="2"/>
  <c r="Q1776" i="2"/>
  <c r="Q1792" i="2"/>
  <c r="Q1808" i="2"/>
  <c r="Q1824" i="2"/>
  <c r="Q1840" i="2"/>
  <c r="Q1856" i="2"/>
  <c r="Q1872" i="2"/>
  <c r="Q1888" i="2"/>
  <c r="Q1904" i="2"/>
  <c r="Q1920" i="2"/>
  <c r="Q1936" i="2"/>
  <c r="Q1952" i="2"/>
  <c r="Q1968" i="2"/>
  <c r="Q1984" i="2"/>
  <c r="Q2000" i="2"/>
  <c r="Q2016" i="2"/>
  <c r="Q2032" i="2"/>
  <c r="Q2048" i="2"/>
  <c r="Q2064" i="2"/>
  <c r="Q2080" i="2"/>
  <c r="Q2096" i="2"/>
  <c r="Q2112" i="2"/>
  <c r="Q2128" i="2"/>
  <c r="Q2144" i="2"/>
  <c r="Q2160" i="2"/>
  <c r="Q2176" i="2"/>
  <c r="Q2192" i="2"/>
  <c r="Q2208" i="2"/>
  <c r="Q2224" i="2"/>
  <c r="Q2240" i="2"/>
  <c r="Q2256" i="2"/>
  <c r="Q2272" i="2"/>
  <c r="Q2288" i="2"/>
  <c r="Q2304" i="2"/>
  <c r="Q2320" i="2"/>
  <c r="Q2336" i="2"/>
  <c r="Q2352" i="2"/>
  <c r="Q2368" i="2"/>
  <c r="Q2384" i="2"/>
  <c r="Q2400" i="2"/>
  <c r="Q2416" i="2"/>
  <c r="Q2432" i="2"/>
  <c r="Q2448" i="2"/>
  <c r="Q2464" i="2"/>
  <c r="Q2480" i="2"/>
  <c r="Q2496" i="2"/>
  <c r="Q2512" i="2"/>
  <c r="Q2528" i="2"/>
  <c r="Q2544" i="2"/>
  <c r="Q2560" i="2"/>
  <c r="Q2576" i="2"/>
  <c r="Q2592" i="2"/>
  <c r="Q2608" i="2"/>
  <c r="Q2624" i="2"/>
  <c r="Q2640" i="2"/>
  <c r="Q45" i="2"/>
  <c r="Q61" i="2"/>
  <c r="Q77" i="2"/>
  <c r="Q93" i="2"/>
  <c r="Q109" i="2"/>
  <c r="Q125" i="2"/>
  <c r="Q141" i="2"/>
  <c r="Q157" i="2"/>
  <c r="Q173" i="2"/>
  <c r="Q189" i="2"/>
  <c r="Q205" i="2"/>
  <c r="Q221" i="2"/>
  <c r="Q237" i="2"/>
  <c r="Q253" i="2"/>
  <c r="Q269" i="2"/>
  <c r="Q285" i="2"/>
  <c r="Q301" i="2"/>
  <c r="Q317" i="2"/>
  <c r="Q333" i="2"/>
  <c r="Q349" i="2"/>
  <c r="Q365" i="2"/>
  <c r="Q381" i="2"/>
  <c r="Q397" i="2"/>
  <c r="Q413" i="2"/>
  <c r="Q429" i="2"/>
  <c r="Q445" i="2"/>
  <c r="Q461" i="2"/>
  <c r="Q477" i="2"/>
  <c r="Q493" i="2"/>
  <c r="Q509" i="2"/>
  <c r="Q525" i="2"/>
  <c r="Q541" i="2"/>
  <c r="Q557" i="2"/>
  <c r="Q573" i="2"/>
  <c r="Q589" i="2"/>
  <c r="Q605" i="2"/>
  <c r="Q621" i="2"/>
  <c r="Q637" i="2"/>
  <c r="Q653" i="2"/>
  <c r="Q669" i="2"/>
  <c r="Q685" i="2"/>
  <c r="Q701" i="2"/>
  <c r="Q717" i="2"/>
  <c r="Q733" i="2"/>
  <c r="Q749" i="2"/>
  <c r="Q765" i="2"/>
  <c r="Q781" i="2"/>
  <c r="Q797" i="2"/>
  <c r="Q813" i="2"/>
  <c r="Q829" i="2"/>
  <c r="Q845" i="2"/>
  <c r="Q861" i="2"/>
  <c r="Q877" i="2"/>
  <c r="Q893" i="2"/>
  <c r="Q909" i="2"/>
  <c r="Q925" i="2"/>
  <c r="Q941" i="2"/>
  <c r="Q957" i="2"/>
  <c r="Q973" i="2"/>
  <c r="Q989" i="2"/>
  <c r="Q1005" i="2"/>
  <c r="Q1021" i="2"/>
  <c r="Q1037" i="2"/>
  <c r="Q1053" i="2"/>
  <c r="Q1069" i="2"/>
  <c r="Q1085" i="2"/>
  <c r="Q1101" i="2"/>
  <c r="Q1117" i="2"/>
  <c r="Q1133" i="2"/>
  <c r="Q1149" i="2"/>
  <c r="Q1165" i="2"/>
  <c r="Q1181" i="2"/>
  <c r="Q1197" i="2"/>
  <c r="Q1213" i="2"/>
  <c r="Q1229" i="2"/>
  <c r="Q1245" i="2"/>
  <c r="Q1261" i="2"/>
  <c r="Q1277" i="2"/>
  <c r="Q1293" i="2"/>
  <c r="Q1309" i="2"/>
  <c r="Q1325" i="2"/>
  <c r="Q1341" i="2"/>
  <c r="Q1357" i="2"/>
  <c r="Q1373" i="2"/>
  <c r="Q1389" i="2"/>
  <c r="Q1405" i="2"/>
  <c r="Q1421" i="2"/>
  <c r="Q1437" i="2"/>
  <c r="Q1453" i="2"/>
  <c r="Q1469" i="2"/>
  <c r="Q1485" i="2"/>
  <c r="Q1501" i="2"/>
  <c r="Q1517" i="2"/>
  <c r="Q1533" i="2"/>
  <c r="Q1549" i="2"/>
  <c r="Q1565" i="2"/>
  <c r="Q1581" i="2"/>
  <c r="Q1597" i="2"/>
  <c r="Q1613" i="2"/>
  <c r="Q1629" i="2"/>
  <c r="Q1645" i="2"/>
  <c r="Q1661" i="2"/>
  <c r="Q1677" i="2"/>
  <c r="Q1693" i="2"/>
  <c r="Q1709" i="2"/>
  <c r="Q1725" i="2"/>
  <c r="Q1741" i="2"/>
  <c r="Q1757" i="2"/>
  <c r="Q1773" i="2"/>
  <c r="Q1789" i="2"/>
  <c r="Q1805" i="2"/>
  <c r="Q1821" i="2"/>
  <c r="Q1837" i="2"/>
  <c r="Q1853" i="2"/>
  <c r="Q1869" i="2"/>
  <c r="Q1885" i="2"/>
  <c r="Q1901" i="2"/>
  <c r="Q1917" i="2"/>
  <c r="Q1933" i="2"/>
  <c r="Q1949" i="2"/>
  <c r="Q1965" i="2"/>
  <c r="Q1981" i="2"/>
  <c r="Q1997" i="2"/>
  <c r="Q2013" i="2"/>
  <c r="Q2029" i="2"/>
  <c r="Q2045" i="2"/>
  <c r="Q2061" i="2"/>
  <c r="Q2077" i="2"/>
  <c r="Q2093" i="2"/>
  <c r="Q2109" i="2"/>
  <c r="Q2125" i="2"/>
  <c r="Q2141" i="2"/>
  <c r="Q2157" i="2"/>
  <c r="Q2173" i="2"/>
  <c r="Q2189" i="2"/>
  <c r="Q2205" i="2"/>
  <c r="Q2221" i="2"/>
  <c r="Q2237" i="2"/>
  <c r="Q2253" i="2"/>
  <c r="Q2269" i="2"/>
  <c r="Q2285" i="2"/>
  <c r="Q2301" i="2"/>
  <c r="Q2317" i="2"/>
  <c r="Q2333" i="2"/>
  <c r="Q2349" i="2"/>
  <c r="Q2365" i="2"/>
  <c r="Q2381" i="2"/>
  <c r="Q2397" i="2"/>
  <c r="Q2413" i="2"/>
  <c r="Q2429" i="2"/>
  <c r="Q2445" i="2"/>
  <c r="Q2461" i="2"/>
  <c r="Q2477" i="2"/>
  <c r="Q2493" i="2"/>
  <c r="Q2509" i="2"/>
  <c r="Q2525" i="2"/>
  <c r="Q2541" i="2"/>
  <c r="Q2557" i="2"/>
  <c r="Q2573" i="2"/>
  <c r="Q2589" i="2"/>
  <c r="Q2605" i="2"/>
  <c r="Q2621" i="2"/>
  <c r="Q2637" i="2"/>
  <c r="Q2653" i="2"/>
  <c r="Q2669" i="2"/>
  <c r="Q2685" i="2"/>
  <c r="Q2701" i="2"/>
  <c r="Q2717" i="2"/>
  <c r="Q2652" i="2"/>
  <c r="Q2684" i="2"/>
  <c r="Q2716" i="2"/>
  <c r="Q2748" i="2"/>
  <c r="Q2780" i="2"/>
  <c r="Q2812" i="2"/>
  <c r="Q2844" i="2"/>
  <c r="Q2876" i="2"/>
  <c r="Q2908" i="2"/>
  <c r="Q2940" i="2"/>
  <c r="Q2972" i="2"/>
  <c r="Q3004" i="2"/>
  <c r="Q3036" i="2"/>
  <c r="Q3068" i="2"/>
  <c r="Q3100" i="2"/>
  <c r="Q3132" i="2"/>
  <c r="Q3164" i="2"/>
  <c r="Q3196" i="2"/>
  <c r="Q3228" i="2"/>
  <c r="Q3260" i="2"/>
  <c r="Q3292" i="2"/>
  <c r="Q3324" i="2"/>
  <c r="Q3356" i="2"/>
  <c r="Q3388" i="2"/>
  <c r="Q3420" i="2"/>
  <c r="Q3452" i="2"/>
  <c r="Q3484" i="2"/>
  <c r="Q3516" i="2"/>
  <c r="Q3548" i="2"/>
  <c r="Q3580" i="2"/>
  <c r="Q3612" i="2"/>
  <c r="Q3644" i="2"/>
  <c r="Q3676" i="2"/>
  <c r="Q3708" i="2"/>
  <c r="Q3740" i="2"/>
  <c r="Q3772" i="2"/>
  <c r="Q3804" i="2"/>
  <c r="Q3836" i="2"/>
  <c r="Q3868" i="2"/>
  <c r="Q3900" i="2"/>
  <c r="Q3932" i="2"/>
  <c r="Q3964" i="2"/>
  <c r="Q3996" i="2"/>
  <c r="Q4028" i="2"/>
  <c r="Q4060" i="2"/>
  <c r="Q4092" i="2"/>
  <c r="Q4124" i="2"/>
  <c r="Q4156" i="2"/>
  <c r="Q4188" i="2"/>
  <c r="Q4220" i="2"/>
  <c r="Q4252" i="2"/>
  <c r="Q4284" i="2"/>
  <c r="Q4316" i="2"/>
  <c r="Q4348" i="2"/>
  <c r="Q4380" i="2"/>
  <c r="Q4412" i="2"/>
  <c r="Q4444" i="2"/>
  <c r="Q4476" i="2"/>
  <c r="Q4508" i="2"/>
  <c r="Q4540" i="2"/>
  <c r="Q4572" i="2"/>
  <c r="Q4604" i="2"/>
  <c r="Q4636" i="2"/>
  <c r="Q4668" i="2"/>
  <c r="Q4700" i="2"/>
  <c r="Q4732" i="2"/>
  <c r="Q4764" i="2"/>
  <c r="Q4796" i="2"/>
  <c r="Q4828" i="2"/>
  <c r="Q4860" i="2"/>
  <c r="Q4892" i="2"/>
  <c r="Q4924" i="2"/>
  <c r="Q4956" i="2"/>
  <c r="Q4988" i="2"/>
  <c r="Q5020" i="2"/>
  <c r="Q5052" i="2"/>
  <c r="Q5084" i="2"/>
  <c r="Q5116" i="2"/>
  <c r="Q5148" i="2"/>
  <c r="Q5180" i="2"/>
  <c r="Q5212" i="2"/>
  <c r="Q5244" i="2"/>
  <c r="Q5276" i="2"/>
  <c r="Q5308" i="2"/>
  <c r="Q5340" i="2"/>
  <c r="Q5372" i="2"/>
  <c r="Q5404" i="2"/>
  <c r="Q5436" i="2"/>
  <c r="Q5468" i="2"/>
  <c r="Q5500" i="2"/>
  <c r="Q5532" i="2"/>
  <c r="Q5564" i="2"/>
  <c r="Q5596" i="2"/>
  <c r="Q5628" i="2"/>
  <c r="Q5660" i="2"/>
  <c r="Q5692" i="2"/>
  <c r="Q5724" i="2"/>
  <c r="Q5756" i="2"/>
  <c r="Q5788" i="2"/>
  <c r="Q5820" i="2"/>
  <c r="Q5852" i="2"/>
  <c r="Q5884" i="2"/>
  <c r="Q5916" i="2"/>
  <c r="Q5948" i="2"/>
  <c r="Q5980" i="2"/>
  <c r="Q6012" i="2"/>
  <c r="Q6044" i="2"/>
  <c r="Q6076" i="2"/>
  <c r="Q6108" i="2"/>
  <c r="Q6140" i="2"/>
  <c r="Q6172" i="2"/>
  <c r="Q6204" i="2"/>
  <c r="Q6236" i="2"/>
  <c r="Q6268" i="2"/>
  <c r="Q6300" i="2"/>
  <c r="Q6332" i="2"/>
  <c r="Q6364" i="2"/>
  <c r="Q6396" i="2"/>
  <c r="Q6428" i="2"/>
  <c r="Q6460" i="2"/>
  <c r="Q6492" i="2"/>
  <c r="Q6524" i="2"/>
  <c r="Q6556" i="2"/>
  <c r="Q6588" i="2"/>
  <c r="Q6620" i="2"/>
  <c r="Q6652" i="2"/>
  <c r="Q6684" i="2"/>
  <c r="Q6716" i="2"/>
  <c r="Q6748" i="2"/>
  <c r="Q6780" i="2"/>
  <c r="Q6812" i="2"/>
  <c r="Q6844" i="2"/>
  <c r="Q6876" i="2"/>
  <c r="Q6908" i="2"/>
  <c r="Q6940" i="2"/>
  <c r="Q6972" i="2"/>
  <c r="Q7004" i="2"/>
  <c r="Q7036" i="2"/>
  <c r="Q7068" i="2"/>
  <c r="Q7100" i="2"/>
  <c r="Q7132" i="2"/>
  <c r="Q7164" i="2"/>
  <c r="Q7196" i="2"/>
  <c r="Q7228" i="2"/>
  <c r="P14996" i="2"/>
  <c r="V14996" i="2" s="1"/>
  <c r="Q14996" i="2"/>
  <c r="P14980" i="2"/>
  <c r="V14980" i="2" s="1"/>
  <c r="Q14980" i="2"/>
  <c r="P14964" i="2"/>
  <c r="V14964" i="2" s="1"/>
  <c r="Q14964" i="2"/>
  <c r="P14952" i="2"/>
  <c r="V14952" i="2" s="1"/>
  <c r="Q14952" i="2"/>
  <c r="P14936" i="2"/>
  <c r="V14936" i="2" s="1"/>
  <c r="Q14936" i="2"/>
  <c r="P14924" i="2"/>
  <c r="V14924" i="2" s="1"/>
  <c r="Q14924" i="2"/>
  <c r="P14916" i="2"/>
  <c r="V14916" i="2" s="1"/>
  <c r="Q14916" i="2"/>
  <c r="P14908" i="2"/>
  <c r="V14908" i="2" s="1"/>
  <c r="Q14908" i="2"/>
  <c r="P14904" i="2"/>
  <c r="V14904" i="2" s="1"/>
  <c r="Q14904" i="2"/>
  <c r="P14896" i="2"/>
  <c r="V14896" i="2" s="1"/>
  <c r="Q14896" i="2"/>
  <c r="P14892" i="2"/>
  <c r="V14892" i="2" s="1"/>
  <c r="Q14892" i="2"/>
  <c r="P14884" i="2"/>
  <c r="V14884" i="2" s="1"/>
  <c r="Q14884" i="2"/>
  <c r="P14876" i="2"/>
  <c r="V14876" i="2" s="1"/>
  <c r="Q14876" i="2"/>
  <c r="P14868" i="2"/>
  <c r="V14868" i="2" s="1"/>
  <c r="Q14868" i="2"/>
  <c r="P14856" i="2"/>
  <c r="V14856" i="2" s="1"/>
  <c r="Q14856" i="2"/>
  <c r="P14848" i="2"/>
  <c r="V14848" i="2" s="1"/>
  <c r="Q14848" i="2"/>
  <c r="P14840" i="2"/>
  <c r="V14840" i="2" s="1"/>
  <c r="Q14840" i="2"/>
  <c r="P14832" i="2"/>
  <c r="V14832" i="2" s="1"/>
  <c r="Q14832" i="2"/>
  <c r="P14820" i="2"/>
  <c r="V14820" i="2" s="1"/>
  <c r="Q14820" i="2"/>
  <c r="P14800" i="2"/>
  <c r="V14800" i="2" s="1"/>
  <c r="Q14800" i="2"/>
  <c r="P14748" i="2"/>
  <c r="V14748" i="2" s="1"/>
  <c r="Q14748" i="2"/>
  <c r="P14736" i="2"/>
  <c r="V14736" i="2" s="1"/>
  <c r="Q14736" i="2"/>
  <c r="P14724" i="2"/>
  <c r="V14724" i="2" s="1"/>
  <c r="Q14724" i="2"/>
  <c r="P14708" i="2"/>
  <c r="V14708" i="2" s="1"/>
  <c r="Q14708" i="2"/>
  <c r="P14692" i="2"/>
  <c r="V14692" i="2" s="1"/>
  <c r="Q14692" i="2"/>
  <c r="P14676" i="2"/>
  <c r="V14676" i="2" s="1"/>
  <c r="Q14676" i="2"/>
  <c r="P14660" i="2"/>
  <c r="V14660" i="2" s="1"/>
  <c r="Q14660" i="2"/>
  <c r="P14644" i="2"/>
  <c r="V14644" i="2" s="1"/>
  <c r="Q14644" i="2"/>
  <c r="P14628" i="2"/>
  <c r="V14628" i="2" s="1"/>
  <c r="Q14628" i="2"/>
  <c r="P14612" i="2"/>
  <c r="V14612" i="2" s="1"/>
  <c r="Q14612" i="2"/>
  <c r="P14596" i="2"/>
  <c r="V14596" i="2" s="1"/>
  <c r="Q14596" i="2"/>
  <c r="P14580" i="2"/>
  <c r="V14580" i="2" s="1"/>
  <c r="Q14580" i="2"/>
  <c r="P14560" i="2"/>
  <c r="V14560" i="2" s="1"/>
  <c r="Q14560" i="2"/>
  <c r="P14548" i="2"/>
  <c r="V14548" i="2" s="1"/>
  <c r="Q14548" i="2"/>
  <c r="P14532" i="2"/>
  <c r="V14532" i="2" s="1"/>
  <c r="Q14532" i="2"/>
  <c r="P14516" i="2"/>
  <c r="V14516" i="2" s="1"/>
  <c r="Q14516" i="2"/>
  <c r="P14500" i="2"/>
  <c r="V14500" i="2" s="1"/>
  <c r="Q14500" i="2"/>
  <c r="P14484" i="2"/>
  <c r="V14484" i="2" s="1"/>
  <c r="Q14484" i="2"/>
  <c r="P14468" i="2"/>
  <c r="V14468" i="2" s="1"/>
  <c r="Q14468" i="2"/>
  <c r="P14448" i="2"/>
  <c r="V14448" i="2" s="1"/>
  <c r="Q14448" i="2"/>
  <c r="P14436" i="2"/>
  <c r="V14436" i="2" s="1"/>
  <c r="Q14436" i="2"/>
  <c r="P14420" i="2"/>
  <c r="V14420" i="2" s="1"/>
  <c r="Q14420" i="2"/>
  <c r="P14404" i="2"/>
  <c r="V14404" i="2" s="1"/>
  <c r="Q14404" i="2"/>
  <c r="P14388" i="2"/>
  <c r="V14388" i="2" s="1"/>
  <c r="Q14388" i="2"/>
  <c r="P14372" i="2"/>
  <c r="V14372" i="2" s="1"/>
  <c r="Q14372" i="2"/>
  <c r="P14356" i="2"/>
  <c r="V14356" i="2" s="1"/>
  <c r="Q14356" i="2"/>
  <c r="P14336" i="2"/>
  <c r="V14336" i="2" s="1"/>
  <c r="Q14336" i="2"/>
  <c r="P14324" i="2"/>
  <c r="V14324" i="2" s="1"/>
  <c r="Q14324" i="2"/>
  <c r="P14308" i="2"/>
  <c r="V14308" i="2" s="1"/>
  <c r="Q14308" i="2"/>
  <c r="P14292" i="2"/>
  <c r="V14292" i="2" s="1"/>
  <c r="Q14292" i="2"/>
  <c r="P14272" i="2"/>
  <c r="V14272" i="2" s="1"/>
  <c r="Q14272" i="2"/>
  <c r="P14256" i="2"/>
  <c r="V14256" i="2" s="1"/>
  <c r="Q14256" i="2"/>
  <c r="P14240" i="2"/>
  <c r="V14240" i="2" s="1"/>
  <c r="Q14240" i="2"/>
  <c r="P14224" i="2"/>
  <c r="V14224" i="2" s="1"/>
  <c r="Q14224" i="2"/>
  <c r="P14208" i="2"/>
  <c r="V14208" i="2" s="1"/>
  <c r="Q14208" i="2"/>
  <c r="P14192" i="2"/>
  <c r="V14192" i="2" s="1"/>
  <c r="Q14192" i="2"/>
  <c r="P14176" i="2"/>
  <c r="V14176" i="2" s="1"/>
  <c r="Q14176" i="2"/>
  <c r="P14160" i="2"/>
  <c r="V14160" i="2" s="1"/>
  <c r="Q14160" i="2"/>
  <c r="P14144" i="2"/>
  <c r="V14144" i="2" s="1"/>
  <c r="Q14144" i="2"/>
  <c r="P14128" i="2"/>
  <c r="V14128" i="2" s="1"/>
  <c r="Q14128" i="2"/>
  <c r="P14112" i="2"/>
  <c r="V14112" i="2" s="1"/>
  <c r="Q14112" i="2"/>
  <c r="P14096" i="2"/>
  <c r="V14096" i="2" s="1"/>
  <c r="Q14096" i="2"/>
  <c r="P14080" i="2"/>
  <c r="V14080" i="2" s="1"/>
  <c r="Q14080" i="2"/>
  <c r="P14064" i="2"/>
  <c r="V14064" i="2" s="1"/>
  <c r="Q14064" i="2"/>
  <c r="P14048" i="2"/>
  <c r="V14048" i="2" s="1"/>
  <c r="Q14048" i="2"/>
  <c r="P14032" i="2"/>
  <c r="V14032" i="2" s="1"/>
  <c r="Q14032" i="2"/>
  <c r="P14016" i="2"/>
  <c r="V14016" i="2" s="1"/>
  <c r="Q14016" i="2"/>
  <c r="P14000" i="2"/>
  <c r="V14000" i="2" s="1"/>
  <c r="Q14000" i="2"/>
  <c r="P13984" i="2"/>
  <c r="V13984" i="2" s="1"/>
  <c r="Q13984" i="2"/>
  <c r="P13968" i="2"/>
  <c r="V13968" i="2" s="1"/>
  <c r="Q13968" i="2"/>
  <c r="P13952" i="2"/>
  <c r="V13952" i="2" s="1"/>
  <c r="Q13952" i="2"/>
  <c r="P13936" i="2"/>
  <c r="V13936" i="2" s="1"/>
  <c r="Q13936" i="2"/>
  <c r="P13920" i="2"/>
  <c r="V13920" i="2" s="1"/>
  <c r="Q13920" i="2"/>
  <c r="P13904" i="2"/>
  <c r="V13904" i="2" s="1"/>
  <c r="Q13904" i="2"/>
  <c r="P13888" i="2"/>
  <c r="V13888" i="2" s="1"/>
  <c r="Q13888" i="2"/>
  <c r="P13872" i="2"/>
  <c r="V13872" i="2" s="1"/>
  <c r="Q13872" i="2"/>
  <c r="P13856" i="2"/>
  <c r="V13856" i="2" s="1"/>
  <c r="Q13856" i="2"/>
  <c r="P13840" i="2"/>
  <c r="V13840" i="2" s="1"/>
  <c r="Q13840" i="2"/>
  <c r="P13824" i="2"/>
  <c r="V13824" i="2" s="1"/>
  <c r="Q13824" i="2"/>
  <c r="P13820" i="2"/>
  <c r="V13820" i="2" s="1"/>
  <c r="Q13820" i="2"/>
  <c r="P13816" i="2"/>
  <c r="V13816" i="2" s="1"/>
  <c r="Q13816" i="2"/>
  <c r="P13800" i="2"/>
  <c r="V13800" i="2" s="1"/>
  <c r="Q13800" i="2"/>
  <c r="P13796" i="2"/>
  <c r="V13796" i="2" s="1"/>
  <c r="Q13796" i="2"/>
  <c r="P13792" i="2"/>
  <c r="V13792" i="2" s="1"/>
  <c r="Q13792" i="2"/>
  <c r="P13788" i="2"/>
  <c r="V13788" i="2" s="1"/>
  <c r="Q13788" i="2"/>
  <c r="P13784" i="2"/>
  <c r="V13784" i="2" s="1"/>
  <c r="Q13784" i="2"/>
  <c r="P13780" i="2"/>
  <c r="V13780" i="2" s="1"/>
  <c r="Q13780" i="2"/>
  <c r="P13776" i="2"/>
  <c r="V13776" i="2" s="1"/>
  <c r="Q13776" i="2"/>
  <c r="P13772" i="2"/>
  <c r="V13772" i="2" s="1"/>
  <c r="Q13772" i="2"/>
  <c r="P13768" i="2"/>
  <c r="V13768" i="2" s="1"/>
  <c r="Q13768" i="2"/>
  <c r="P13764" i="2"/>
  <c r="V13764" i="2" s="1"/>
  <c r="Q13764" i="2"/>
  <c r="P13760" i="2"/>
  <c r="V13760" i="2" s="1"/>
  <c r="Q13760" i="2"/>
  <c r="P13756" i="2"/>
  <c r="V13756" i="2" s="1"/>
  <c r="Q13756" i="2"/>
  <c r="P13752" i="2"/>
  <c r="V13752" i="2" s="1"/>
  <c r="Q13752" i="2"/>
  <c r="P13748" i="2"/>
  <c r="V13748" i="2" s="1"/>
  <c r="Q13748" i="2"/>
  <c r="P13744" i="2"/>
  <c r="V13744" i="2" s="1"/>
  <c r="Q13744" i="2"/>
  <c r="P13740" i="2"/>
  <c r="V13740" i="2" s="1"/>
  <c r="Q13740" i="2"/>
  <c r="P13736" i="2"/>
  <c r="V13736" i="2" s="1"/>
  <c r="Q13736" i="2"/>
  <c r="P13732" i="2"/>
  <c r="V13732" i="2" s="1"/>
  <c r="Q13732" i="2"/>
  <c r="P13728" i="2"/>
  <c r="V13728" i="2" s="1"/>
  <c r="Q13728" i="2"/>
  <c r="P13724" i="2"/>
  <c r="V13724" i="2" s="1"/>
  <c r="Q13724" i="2"/>
  <c r="P13720" i="2"/>
  <c r="V13720" i="2" s="1"/>
  <c r="Q13720" i="2"/>
  <c r="P13716" i="2"/>
  <c r="V13716" i="2" s="1"/>
  <c r="Q13716" i="2"/>
  <c r="P13712" i="2"/>
  <c r="V13712" i="2" s="1"/>
  <c r="Q13712" i="2"/>
  <c r="P13708" i="2"/>
  <c r="V13708" i="2" s="1"/>
  <c r="Q13708" i="2"/>
  <c r="P13704" i="2"/>
  <c r="V13704" i="2" s="1"/>
  <c r="Q13704" i="2"/>
  <c r="P13700" i="2"/>
  <c r="V13700" i="2" s="1"/>
  <c r="Q13700" i="2"/>
  <c r="P13696" i="2"/>
  <c r="V13696" i="2" s="1"/>
  <c r="Q13696" i="2"/>
  <c r="P13692" i="2"/>
  <c r="V13692" i="2" s="1"/>
  <c r="Q13692" i="2"/>
  <c r="P13688" i="2"/>
  <c r="V13688" i="2" s="1"/>
  <c r="Q13688" i="2"/>
  <c r="P13684" i="2"/>
  <c r="V13684" i="2" s="1"/>
  <c r="Q13684" i="2"/>
  <c r="P13680" i="2"/>
  <c r="V13680" i="2" s="1"/>
  <c r="Q13680" i="2"/>
  <c r="P13676" i="2"/>
  <c r="V13676" i="2" s="1"/>
  <c r="Q13676" i="2"/>
  <c r="P13672" i="2"/>
  <c r="V13672" i="2" s="1"/>
  <c r="Q13672" i="2"/>
  <c r="P13668" i="2"/>
  <c r="V13668" i="2" s="1"/>
  <c r="Q13668" i="2"/>
  <c r="P13664" i="2"/>
  <c r="V13664" i="2" s="1"/>
  <c r="Q13664" i="2"/>
  <c r="P13660" i="2"/>
  <c r="V13660" i="2" s="1"/>
  <c r="Q13660" i="2"/>
  <c r="P13656" i="2"/>
  <c r="V13656" i="2" s="1"/>
  <c r="Q13656" i="2"/>
  <c r="P13652" i="2"/>
  <c r="V13652" i="2" s="1"/>
  <c r="Q13652" i="2"/>
  <c r="P13648" i="2"/>
  <c r="V13648" i="2" s="1"/>
  <c r="Q13648" i="2"/>
  <c r="P13644" i="2"/>
  <c r="V13644" i="2" s="1"/>
  <c r="Q13644" i="2"/>
  <c r="P13640" i="2"/>
  <c r="V13640" i="2" s="1"/>
  <c r="Q13640" i="2"/>
  <c r="P13636" i="2"/>
  <c r="V13636" i="2" s="1"/>
  <c r="Q13636" i="2"/>
  <c r="P13632" i="2"/>
  <c r="V13632" i="2" s="1"/>
  <c r="Q13632" i="2"/>
  <c r="P13628" i="2"/>
  <c r="V13628" i="2" s="1"/>
  <c r="Q13628" i="2"/>
  <c r="P13624" i="2"/>
  <c r="V13624" i="2" s="1"/>
  <c r="Q13624" i="2"/>
  <c r="P13620" i="2"/>
  <c r="V13620" i="2" s="1"/>
  <c r="Q13620" i="2"/>
  <c r="P13616" i="2"/>
  <c r="V13616" i="2" s="1"/>
  <c r="Q13616" i="2"/>
  <c r="P13612" i="2"/>
  <c r="V13612" i="2" s="1"/>
  <c r="Q13612" i="2"/>
  <c r="P13608" i="2"/>
  <c r="V13608" i="2" s="1"/>
  <c r="Q13608" i="2"/>
  <c r="P13604" i="2"/>
  <c r="V13604" i="2" s="1"/>
  <c r="Q13604" i="2"/>
  <c r="P13600" i="2"/>
  <c r="V13600" i="2" s="1"/>
  <c r="Q13600" i="2"/>
  <c r="P13596" i="2"/>
  <c r="V13596" i="2" s="1"/>
  <c r="Q13596" i="2"/>
  <c r="P13592" i="2"/>
  <c r="V13592" i="2" s="1"/>
  <c r="Q13592" i="2"/>
  <c r="P13588" i="2"/>
  <c r="V13588" i="2" s="1"/>
  <c r="Q13588" i="2"/>
  <c r="P13584" i="2"/>
  <c r="V13584" i="2" s="1"/>
  <c r="Q13584" i="2"/>
  <c r="P13580" i="2"/>
  <c r="V13580" i="2" s="1"/>
  <c r="Q13580" i="2"/>
  <c r="P13576" i="2"/>
  <c r="V13576" i="2" s="1"/>
  <c r="Q13576" i="2"/>
  <c r="P13572" i="2"/>
  <c r="V13572" i="2" s="1"/>
  <c r="Q13572" i="2"/>
  <c r="P13568" i="2"/>
  <c r="V13568" i="2" s="1"/>
  <c r="Q13568" i="2"/>
  <c r="P13564" i="2"/>
  <c r="V13564" i="2" s="1"/>
  <c r="Q13564" i="2"/>
  <c r="P13560" i="2"/>
  <c r="V13560" i="2" s="1"/>
  <c r="Q13560" i="2"/>
  <c r="P13556" i="2"/>
  <c r="V13556" i="2" s="1"/>
  <c r="Q13556" i="2"/>
  <c r="P13552" i="2"/>
  <c r="V13552" i="2" s="1"/>
  <c r="Q13552" i="2"/>
  <c r="P13548" i="2"/>
  <c r="V13548" i="2" s="1"/>
  <c r="Q13548" i="2"/>
  <c r="P13544" i="2"/>
  <c r="V13544" i="2" s="1"/>
  <c r="Q13544" i="2"/>
  <c r="P13540" i="2"/>
  <c r="V13540" i="2" s="1"/>
  <c r="Q13540" i="2"/>
  <c r="P13536" i="2"/>
  <c r="V13536" i="2" s="1"/>
  <c r="Q13536" i="2"/>
  <c r="P13532" i="2"/>
  <c r="V13532" i="2" s="1"/>
  <c r="Q13532" i="2"/>
  <c r="P13528" i="2"/>
  <c r="V13528" i="2" s="1"/>
  <c r="Q13528" i="2"/>
  <c r="P13524" i="2"/>
  <c r="V13524" i="2" s="1"/>
  <c r="Q13524" i="2"/>
  <c r="P13520" i="2"/>
  <c r="V13520" i="2" s="1"/>
  <c r="Q13520" i="2"/>
  <c r="P13516" i="2"/>
  <c r="V13516" i="2" s="1"/>
  <c r="Q13516" i="2"/>
  <c r="P13512" i="2"/>
  <c r="V13512" i="2" s="1"/>
  <c r="Q13512" i="2"/>
  <c r="P13508" i="2"/>
  <c r="V13508" i="2" s="1"/>
  <c r="Q13508" i="2"/>
  <c r="P13504" i="2"/>
  <c r="V13504" i="2" s="1"/>
  <c r="Q13504" i="2"/>
  <c r="P13500" i="2"/>
  <c r="V13500" i="2" s="1"/>
  <c r="Q13500" i="2"/>
  <c r="P13496" i="2"/>
  <c r="V13496" i="2" s="1"/>
  <c r="Q13496" i="2"/>
  <c r="P13492" i="2"/>
  <c r="V13492" i="2" s="1"/>
  <c r="Q13492" i="2"/>
  <c r="P13488" i="2"/>
  <c r="V13488" i="2" s="1"/>
  <c r="Q13488" i="2"/>
  <c r="P13484" i="2"/>
  <c r="V13484" i="2" s="1"/>
  <c r="Q13484" i="2"/>
  <c r="P13480" i="2"/>
  <c r="V13480" i="2" s="1"/>
  <c r="Q13480" i="2"/>
  <c r="P13476" i="2"/>
  <c r="V13476" i="2" s="1"/>
  <c r="Q13476" i="2"/>
  <c r="P13472" i="2"/>
  <c r="V13472" i="2" s="1"/>
  <c r="Q13472" i="2"/>
  <c r="P13468" i="2"/>
  <c r="V13468" i="2" s="1"/>
  <c r="Q13468" i="2"/>
  <c r="P13464" i="2"/>
  <c r="V13464" i="2" s="1"/>
  <c r="Q13464" i="2"/>
  <c r="P13460" i="2"/>
  <c r="V13460" i="2" s="1"/>
  <c r="Q13460" i="2"/>
  <c r="P13456" i="2"/>
  <c r="V13456" i="2" s="1"/>
  <c r="Q13456" i="2"/>
  <c r="P13452" i="2"/>
  <c r="V13452" i="2" s="1"/>
  <c r="Q13452" i="2"/>
  <c r="P13448" i="2"/>
  <c r="V13448" i="2" s="1"/>
  <c r="Q13448" i="2"/>
  <c r="P13444" i="2"/>
  <c r="V13444" i="2" s="1"/>
  <c r="Q13444" i="2"/>
  <c r="P13440" i="2"/>
  <c r="V13440" i="2" s="1"/>
  <c r="Q13440" i="2"/>
  <c r="P13436" i="2"/>
  <c r="V13436" i="2" s="1"/>
  <c r="Q13436" i="2"/>
  <c r="P13432" i="2"/>
  <c r="V13432" i="2" s="1"/>
  <c r="Q13432" i="2"/>
  <c r="P13428" i="2"/>
  <c r="V13428" i="2" s="1"/>
  <c r="Q13428" i="2"/>
  <c r="P13424" i="2"/>
  <c r="V13424" i="2" s="1"/>
  <c r="Q13424" i="2"/>
  <c r="P13420" i="2"/>
  <c r="V13420" i="2" s="1"/>
  <c r="Q13420" i="2"/>
  <c r="P13416" i="2"/>
  <c r="V13416" i="2" s="1"/>
  <c r="Q13416" i="2"/>
  <c r="P13412" i="2"/>
  <c r="V13412" i="2" s="1"/>
  <c r="Q13412" i="2"/>
  <c r="P13408" i="2"/>
  <c r="V13408" i="2" s="1"/>
  <c r="Q13408" i="2"/>
  <c r="P13404" i="2"/>
  <c r="V13404" i="2" s="1"/>
  <c r="Q13404" i="2"/>
  <c r="P13400" i="2"/>
  <c r="V13400" i="2" s="1"/>
  <c r="Q13400" i="2"/>
  <c r="P13396" i="2"/>
  <c r="V13396" i="2" s="1"/>
  <c r="Q13396" i="2"/>
  <c r="P13392" i="2"/>
  <c r="V13392" i="2" s="1"/>
  <c r="Q13392" i="2"/>
  <c r="P13388" i="2"/>
  <c r="V13388" i="2" s="1"/>
  <c r="Q13388" i="2"/>
  <c r="P13384" i="2"/>
  <c r="V13384" i="2" s="1"/>
  <c r="Q13384" i="2"/>
  <c r="P13380" i="2"/>
  <c r="V13380" i="2" s="1"/>
  <c r="Q13380" i="2"/>
  <c r="P13376" i="2"/>
  <c r="V13376" i="2" s="1"/>
  <c r="Q13376" i="2"/>
  <c r="P13372" i="2"/>
  <c r="V13372" i="2" s="1"/>
  <c r="Q13372" i="2"/>
  <c r="P13368" i="2"/>
  <c r="V13368" i="2" s="1"/>
  <c r="Q13368" i="2"/>
  <c r="P13364" i="2"/>
  <c r="V13364" i="2" s="1"/>
  <c r="Q13364" i="2"/>
  <c r="P13360" i="2"/>
  <c r="V13360" i="2" s="1"/>
  <c r="Q13360" i="2"/>
  <c r="P13356" i="2"/>
  <c r="V13356" i="2" s="1"/>
  <c r="Q13356" i="2"/>
  <c r="P13352" i="2"/>
  <c r="V13352" i="2" s="1"/>
  <c r="Q13352" i="2"/>
  <c r="P13348" i="2"/>
  <c r="V13348" i="2" s="1"/>
  <c r="Q13348" i="2"/>
  <c r="P13344" i="2"/>
  <c r="V13344" i="2" s="1"/>
  <c r="Q13344" i="2"/>
  <c r="P13340" i="2"/>
  <c r="V13340" i="2" s="1"/>
  <c r="Q13340" i="2"/>
  <c r="P13336" i="2"/>
  <c r="V13336" i="2" s="1"/>
  <c r="Q13336" i="2"/>
  <c r="P13332" i="2"/>
  <c r="V13332" i="2" s="1"/>
  <c r="Q13332" i="2"/>
  <c r="P13328" i="2"/>
  <c r="V13328" i="2" s="1"/>
  <c r="Q13328" i="2"/>
  <c r="P13324" i="2"/>
  <c r="V13324" i="2" s="1"/>
  <c r="Q13324" i="2"/>
  <c r="P13320" i="2"/>
  <c r="V13320" i="2" s="1"/>
  <c r="Q13320" i="2"/>
  <c r="P13316" i="2"/>
  <c r="V13316" i="2" s="1"/>
  <c r="Q13316" i="2"/>
  <c r="P13312" i="2"/>
  <c r="V13312" i="2" s="1"/>
  <c r="Q13312" i="2"/>
  <c r="P13308" i="2"/>
  <c r="V13308" i="2" s="1"/>
  <c r="Q13308" i="2"/>
  <c r="P13304" i="2"/>
  <c r="V13304" i="2" s="1"/>
  <c r="Q13304" i="2"/>
  <c r="P13300" i="2"/>
  <c r="V13300" i="2" s="1"/>
  <c r="Q13300" i="2"/>
  <c r="P13296" i="2"/>
  <c r="V13296" i="2" s="1"/>
  <c r="Q13296" i="2"/>
  <c r="P13292" i="2"/>
  <c r="V13292" i="2" s="1"/>
  <c r="Q13292" i="2"/>
  <c r="P13288" i="2"/>
  <c r="V13288" i="2" s="1"/>
  <c r="Q13288" i="2"/>
  <c r="P13284" i="2"/>
  <c r="V13284" i="2" s="1"/>
  <c r="Q13284" i="2"/>
  <c r="P13280" i="2"/>
  <c r="V13280" i="2" s="1"/>
  <c r="Q13280" i="2"/>
  <c r="P13276" i="2"/>
  <c r="V13276" i="2" s="1"/>
  <c r="Q13276" i="2"/>
  <c r="P13272" i="2"/>
  <c r="V13272" i="2" s="1"/>
  <c r="Q13272" i="2"/>
  <c r="P13268" i="2"/>
  <c r="V13268" i="2" s="1"/>
  <c r="Q13268" i="2"/>
  <c r="P13264" i="2"/>
  <c r="V13264" i="2" s="1"/>
  <c r="Q13264" i="2"/>
  <c r="P13260" i="2"/>
  <c r="V13260" i="2" s="1"/>
  <c r="Q13260" i="2"/>
  <c r="P13256" i="2"/>
  <c r="V13256" i="2" s="1"/>
  <c r="Q13256" i="2"/>
  <c r="P13252" i="2"/>
  <c r="V13252" i="2" s="1"/>
  <c r="Q13252" i="2"/>
  <c r="P13248" i="2"/>
  <c r="V13248" i="2" s="1"/>
  <c r="Q13248" i="2"/>
  <c r="P13244" i="2"/>
  <c r="V13244" i="2" s="1"/>
  <c r="Q13244" i="2"/>
  <c r="P13240" i="2"/>
  <c r="V13240" i="2" s="1"/>
  <c r="Q13240" i="2"/>
  <c r="P13236" i="2"/>
  <c r="V13236" i="2" s="1"/>
  <c r="Q13236" i="2"/>
  <c r="P13232" i="2"/>
  <c r="V13232" i="2" s="1"/>
  <c r="Q13232" i="2"/>
  <c r="P13228" i="2"/>
  <c r="V13228" i="2" s="1"/>
  <c r="Q13228" i="2"/>
  <c r="P13224" i="2"/>
  <c r="V13224" i="2" s="1"/>
  <c r="Q13224" i="2"/>
  <c r="P13220" i="2"/>
  <c r="V13220" i="2" s="1"/>
  <c r="Q13220" i="2"/>
  <c r="P13216" i="2"/>
  <c r="V13216" i="2" s="1"/>
  <c r="Q13216" i="2"/>
  <c r="P13212" i="2"/>
  <c r="V13212" i="2" s="1"/>
  <c r="Q13212" i="2"/>
  <c r="P13208" i="2"/>
  <c r="V13208" i="2" s="1"/>
  <c r="Q13208" i="2"/>
  <c r="P13204" i="2"/>
  <c r="V13204" i="2" s="1"/>
  <c r="Q13204" i="2"/>
  <c r="P13200" i="2"/>
  <c r="V13200" i="2" s="1"/>
  <c r="Q13200" i="2"/>
  <c r="P13196" i="2"/>
  <c r="V13196" i="2" s="1"/>
  <c r="Q13196" i="2"/>
  <c r="P13192" i="2"/>
  <c r="V13192" i="2" s="1"/>
  <c r="Q13192" i="2"/>
  <c r="P13188" i="2"/>
  <c r="V13188" i="2" s="1"/>
  <c r="Q13188" i="2"/>
  <c r="P13184" i="2"/>
  <c r="V13184" i="2" s="1"/>
  <c r="Q13184" i="2"/>
  <c r="P13180" i="2"/>
  <c r="V13180" i="2" s="1"/>
  <c r="Q13180" i="2"/>
  <c r="P13176" i="2"/>
  <c r="V13176" i="2" s="1"/>
  <c r="Q13176" i="2"/>
  <c r="P13172" i="2"/>
  <c r="V13172" i="2" s="1"/>
  <c r="Q13172" i="2"/>
  <c r="P13168" i="2"/>
  <c r="V13168" i="2" s="1"/>
  <c r="Q13168" i="2"/>
  <c r="P13164" i="2"/>
  <c r="V13164" i="2" s="1"/>
  <c r="Q13164" i="2"/>
  <c r="P13160" i="2"/>
  <c r="V13160" i="2" s="1"/>
  <c r="Q13160" i="2"/>
  <c r="P13156" i="2"/>
  <c r="V13156" i="2" s="1"/>
  <c r="Q13156" i="2"/>
  <c r="P13152" i="2"/>
  <c r="V13152" i="2" s="1"/>
  <c r="Q13152" i="2"/>
  <c r="P13148" i="2"/>
  <c r="V13148" i="2" s="1"/>
  <c r="Q13148" i="2"/>
  <c r="P13144" i="2"/>
  <c r="V13144" i="2" s="1"/>
  <c r="Q13144" i="2"/>
  <c r="P13140" i="2"/>
  <c r="V13140" i="2" s="1"/>
  <c r="Q13140" i="2"/>
  <c r="P13136" i="2"/>
  <c r="V13136" i="2" s="1"/>
  <c r="Q13136" i="2"/>
  <c r="P13132" i="2"/>
  <c r="V13132" i="2" s="1"/>
  <c r="Q13132" i="2"/>
  <c r="P13128" i="2"/>
  <c r="V13128" i="2" s="1"/>
  <c r="Q13128" i="2"/>
  <c r="P13124" i="2"/>
  <c r="V13124" i="2" s="1"/>
  <c r="Q13124" i="2"/>
  <c r="P13120" i="2"/>
  <c r="V13120" i="2" s="1"/>
  <c r="Q13120" i="2"/>
  <c r="P13116" i="2"/>
  <c r="V13116" i="2" s="1"/>
  <c r="Q13116" i="2"/>
  <c r="P13112" i="2"/>
  <c r="V13112" i="2" s="1"/>
  <c r="Q13112" i="2"/>
  <c r="P13108" i="2"/>
  <c r="V13108" i="2" s="1"/>
  <c r="Q13108" i="2"/>
  <c r="P13104" i="2"/>
  <c r="V13104" i="2" s="1"/>
  <c r="Q13104" i="2"/>
  <c r="P13100" i="2"/>
  <c r="V13100" i="2" s="1"/>
  <c r="Q13100" i="2"/>
  <c r="P13096" i="2"/>
  <c r="V13096" i="2" s="1"/>
  <c r="Q13096" i="2"/>
  <c r="P13092" i="2"/>
  <c r="V13092" i="2" s="1"/>
  <c r="Q13092" i="2"/>
  <c r="P13088" i="2"/>
  <c r="V13088" i="2" s="1"/>
  <c r="Q13088" i="2"/>
  <c r="P13084" i="2"/>
  <c r="V13084" i="2" s="1"/>
  <c r="Q13084" i="2"/>
  <c r="P13080" i="2"/>
  <c r="V13080" i="2" s="1"/>
  <c r="Q13080" i="2"/>
  <c r="P13076" i="2"/>
  <c r="V13076" i="2" s="1"/>
  <c r="Q13076" i="2"/>
  <c r="P13072" i="2"/>
  <c r="V13072" i="2" s="1"/>
  <c r="Q13072" i="2"/>
  <c r="P13068" i="2"/>
  <c r="V13068" i="2" s="1"/>
  <c r="Q13068" i="2"/>
  <c r="P13064" i="2"/>
  <c r="V13064" i="2" s="1"/>
  <c r="Q13064" i="2"/>
  <c r="P13060" i="2"/>
  <c r="V13060" i="2" s="1"/>
  <c r="Q13060" i="2"/>
  <c r="P13056" i="2"/>
  <c r="V13056" i="2" s="1"/>
  <c r="Q13056" i="2"/>
  <c r="P13052" i="2"/>
  <c r="V13052" i="2" s="1"/>
  <c r="Q13052" i="2"/>
  <c r="P13048" i="2"/>
  <c r="V13048" i="2" s="1"/>
  <c r="Q13048" i="2"/>
  <c r="P13044" i="2"/>
  <c r="V13044" i="2" s="1"/>
  <c r="Q13044" i="2"/>
  <c r="P13040" i="2"/>
  <c r="V13040" i="2" s="1"/>
  <c r="Q13040" i="2"/>
  <c r="P13036" i="2"/>
  <c r="V13036" i="2" s="1"/>
  <c r="Q13036" i="2"/>
  <c r="P13032" i="2"/>
  <c r="V13032" i="2" s="1"/>
  <c r="Q13032" i="2"/>
  <c r="P13028" i="2"/>
  <c r="V13028" i="2" s="1"/>
  <c r="Q13028" i="2"/>
  <c r="P13024" i="2"/>
  <c r="V13024" i="2" s="1"/>
  <c r="Q13024" i="2"/>
  <c r="P13020" i="2"/>
  <c r="V13020" i="2" s="1"/>
  <c r="Q13020" i="2"/>
  <c r="P13016" i="2"/>
  <c r="V13016" i="2" s="1"/>
  <c r="Q13016" i="2"/>
  <c r="P13012" i="2"/>
  <c r="V13012" i="2" s="1"/>
  <c r="Q13012" i="2"/>
  <c r="P13008" i="2"/>
  <c r="V13008" i="2" s="1"/>
  <c r="Q13008" i="2"/>
  <c r="P13004" i="2"/>
  <c r="V13004" i="2" s="1"/>
  <c r="Q13004" i="2"/>
  <c r="P13000" i="2"/>
  <c r="V13000" i="2" s="1"/>
  <c r="Q13000" i="2"/>
  <c r="P12996" i="2"/>
  <c r="V12996" i="2" s="1"/>
  <c r="Q12996" i="2"/>
  <c r="P12992" i="2"/>
  <c r="V12992" i="2" s="1"/>
  <c r="Q12992" i="2"/>
  <c r="P12988" i="2"/>
  <c r="V12988" i="2" s="1"/>
  <c r="Q12988" i="2"/>
  <c r="P12984" i="2"/>
  <c r="V12984" i="2" s="1"/>
  <c r="Q12984" i="2"/>
  <c r="P12980" i="2"/>
  <c r="V12980" i="2" s="1"/>
  <c r="Q12980" i="2"/>
  <c r="P12976" i="2"/>
  <c r="V12976" i="2" s="1"/>
  <c r="Q12976" i="2"/>
  <c r="P12972" i="2"/>
  <c r="V12972" i="2" s="1"/>
  <c r="Q12972" i="2"/>
  <c r="P12968" i="2"/>
  <c r="V12968" i="2" s="1"/>
  <c r="Q12968" i="2"/>
  <c r="P12964" i="2"/>
  <c r="V12964" i="2" s="1"/>
  <c r="Q12964" i="2"/>
  <c r="P12960" i="2"/>
  <c r="V12960" i="2" s="1"/>
  <c r="Q12960" i="2"/>
  <c r="P12956" i="2"/>
  <c r="V12956" i="2" s="1"/>
  <c r="Q12956" i="2"/>
  <c r="P12952" i="2"/>
  <c r="V12952" i="2" s="1"/>
  <c r="Q12952" i="2"/>
  <c r="P12948" i="2"/>
  <c r="V12948" i="2" s="1"/>
  <c r="Q12948" i="2"/>
  <c r="P12944" i="2"/>
  <c r="V12944" i="2" s="1"/>
  <c r="Q12944" i="2"/>
  <c r="P12940" i="2"/>
  <c r="V12940" i="2" s="1"/>
  <c r="Q12940" i="2"/>
  <c r="P12936" i="2"/>
  <c r="V12936" i="2" s="1"/>
  <c r="Q12936" i="2"/>
  <c r="P12932" i="2"/>
  <c r="V12932" i="2" s="1"/>
  <c r="Q12932" i="2"/>
  <c r="P12928" i="2"/>
  <c r="V12928" i="2" s="1"/>
  <c r="Q12928" i="2"/>
  <c r="P12924" i="2"/>
  <c r="V12924" i="2" s="1"/>
  <c r="Q12924" i="2"/>
  <c r="P12920" i="2"/>
  <c r="V12920" i="2" s="1"/>
  <c r="Q12920" i="2"/>
  <c r="P12916" i="2"/>
  <c r="V12916" i="2" s="1"/>
  <c r="Q12916" i="2"/>
  <c r="P12912" i="2"/>
  <c r="V12912" i="2" s="1"/>
  <c r="Q12912" i="2"/>
  <c r="P12908" i="2"/>
  <c r="V12908" i="2" s="1"/>
  <c r="Q12908" i="2"/>
  <c r="P12904" i="2"/>
  <c r="V12904" i="2" s="1"/>
  <c r="Q12904" i="2"/>
  <c r="P12900" i="2"/>
  <c r="V12900" i="2" s="1"/>
  <c r="Q12900" i="2"/>
  <c r="P12896" i="2"/>
  <c r="V12896" i="2" s="1"/>
  <c r="Q12896" i="2"/>
  <c r="P12892" i="2"/>
  <c r="V12892" i="2" s="1"/>
  <c r="Q12892" i="2"/>
  <c r="P12888" i="2"/>
  <c r="V12888" i="2" s="1"/>
  <c r="Q12888" i="2"/>
  <c r="P12884" i="2"/>
  <c r="V12884" i="2" s="1"/>
  <c r="Q12884" i="2"/>
  <c r="P12880" i="2"/>
  <c r="V12880" i="2" s="1"/>
  <c r="Q12880" i="2"/>
  <c r="P12876" i="2"/>
  <c r="V12876" i="2" s="1"/>
  <c r="Q12876" i="2"/>
  <c r="P12872" i="2"/>
  <c r="V12872" i="2" s="1"/>
  <c r="Q12872" i="2"/>
  <c r="P12868" i="2"/>
  <c r="V12868" i="2" s="1"/>
  <c r="Q12868" i="2"/>
  <c r="P12864" i="2"/>
  <c r="V12864" i="2" s="1"/>
  <c r="Q12864" i="2"/>
  <c r="P12860" i="2"/>
  <c r="V12860" i="2" s="1"/>
  <c r="Q12860" i="2"/>
  <c r="P12856" i="2"/>
  <c r="V12856" i="2" s="1"/>
  <c r="Q12856" i="2"/>
  <c r="P12852" i="2"/>
  <c r="V12852" i="2" s="1"/>
  <c r="Q12852" i="2"/>
  <c r="P12848" i="2"/>
  <c r="V12848" i="2" s="1"/>
  <c r="Q12848" i="2"/>
  <c r="P12844" i="2"/>
  <c r="V12844" i="2" s="1"/>
  <c r="Q12844" i="2"/>
  <c r="P12840" i="2"/>
  <c r="V12840" i="2" s="1"/>
  <c r="Q12840" i="2"/>
  <c r="P12836" i="2"/>
  <c r="V12836" i="2" s="1"/>
  <c r="Q12836" i="2"/>
  <c r="P12832" i="2"/>
  <c r="V12832" i="2" s="1"/>
  <c r="Q12832" i="2"/>
  <c r="P12828" i="2"/>
  <c r="V12828" i="2" s="1"/>
  <c r="Q12828" i="2"/>
  <c r="P12824" i="2"/>
  <c r="V12824" i="2" s="1"/>
  <c r="Q12824" i="2"/>
  <c r="P12820" i="2"/>
  <c r="V12820" i="2" s="1"/>
  <c r="Q12820" i="2"/>
  <c r="P12816" i="2"/>
  <c r="V12816" i="2" s="1"/>
  <c r="Q12816" i="2"/>
  <c r="P12812" i="2"/>
  <c r="V12812" i="2" s="1"/>
  <c r="Q12812" i="2"/>
  <c r="P12808" i="2"/>
  <c r="V12808" i="2" s="1"/>
  <c r="Q12808" i="2"/>
  <c r="P12804" i="2"/>
  <c r="V12804" i="2" s="1"/>
  <c r="Q12804" i="2"/>
  <c r="P12800" i="2"/>
  <c r="V12800" i="2" s="1"/>
  <c r="Q12800" i="2"/>
  <c r="P12796" i="2"/>
  <c r="V12796" i="2" s="1"/>
  <c r="Q12796" i="2"/>
  <c r="P12792" i="2"/>
  <c r="V12792" i="2" s="1"/>
  <c r="Q12792" i="2"/>
  <c r="P12788" i="2"/>
  <c r="V12788" i="2" s="1"/>
  <c r="Q12788" i="2"/>
  <c r="P12784" i="2"/>
  <c r="V12784" i="2" s="1"/>
  <c r="Q12784" i="2"/>
  <c r="P12780" i="2"/>
  <c r="V12780" i="2" s="1"/>
  <c r="Q12780" i="2"/>
  <c r="P12776" i="2"/>
  <c r="V12776" i="2" s="1"/>
  <c r="Q12776" i="2"/>
  <c r="P12772" i="2"/>
  <c r="V12772" i="2" s="1"/>
  <c r="Q12772" i="2"/>
  <c r="P12768" i="2"/>
  <c r="V12768" i="2" s="1"/>
  <c r="Q12768" i="2"/>
  <c r="P12764" i="2"/>
  <c r="V12764" i="2" s="1"/>
  <c r="Q12764" i="2"/>
  <c r="P12760" i="2"/>
  <c r="V12760" i="2" s="1"/>
  <c r="Q12760" i="2"/>
  <c r="P12756" i="2"/>
  <c r="V12756" i="2" s="1"/>
  <c r="Q12756" i="2"/>
  <c r="P12752" i="2"/>
  <c r="V12752" i="2" s="1"/>
  <c r="Q12752" i="2"/>
  <c r="P12748" i="2"/>
  <c r="V12748" i="2" s="1"/>
  <c r="Q12748" i="2"/>
  <c r="P12744" i="2"/>
  <c r="V12744" i="2" s="1"/>
  <c r="Q12744" i="2"/>
  <c r="P12740" i="2"/>
  <c r="V12740" i="2" s="1"/>
  <c r="Q12740" i="2"/>
  <c r="P12736" i="2"/>
  <c r="V12736" i="2" s="1"/>
  <c r="Q12736" i="2"/>
  <c r="P12732" i="2"/>
  <c r="V12732" i="2" s="1"/>
  <c r="Q12732" i="2"/>
  <c r="P12728" i="2"/>
  <c r="V12728" i="2" s="1"/>
  <c r="Q12728" i="2"/>
  <c r="P12724" i="2"/>
  <c r="V12724" i="2" s="1"/>
  <c r="Q12724" i="2"/>
  <c r="P12720" i="2"/>
  <c r="V12720" i="2" s="1"/>
  <c r="Q12720" i="2"/>
  <c r="P12716" i="2"/>
  <c r="V12716" i="2" s="1"/>
  <c r="Q12716" i="2"/>
  <c r="P12712" i="2"/>
  <c r="V12712" i="2" s="1"/>
  <c r="Q12712" i="2"/>
  <c r="P12708" i="2"/>
  <c r="V12708" i="2" s="1"/>
  <c r="Q12708" i="2"/>
  <c r="P12704" i="2"/>
  <c r="V12704" i="2" s="1"/>
  <c r="Q12704" i="2"/>
  <c r="P12700" i="2"/>
  <c r="V12700" i="2" s="1"/>
  <c r="Q12700" i="2"/>
  <c r="P12696" i="2"/>
  <c r="V12696" i="2" s="1"/>
  <c r="Q12696" i="2"/>
  <c r="P12692" i="2"/>
  <c r="V12692" i="2" s="1"/>
  <c r="Q12692" i="2"/>
  <c r="P12688" i="2"/>
  <c r="V12688" i="2" s="1"/>
  <c r="Q12688" i="2"/>
  <c r="P12684" i="2"/>
  <c r="V12684" i="2" s="1"/>
  <c r="Q12684" i="2"/>
  <c r="P12680" i="2"/>
  <c r="V12680" i="2" s="1"/>
  <c r="Q12680" i="2"/>
  <c r="P12676" i="2"/>
  <c r="V12676" i="2" s="1"/>
  <c r="Q12676" i="2"/>
  <c r="P12672" i="2"/>
  <c r="V12672" i="2" s="1"/>
  <c r="Q12672" i="2"/>
  <c r="P12668" i="2"/>
  <c r="V12668" i="2" s="1"/>
  <c r="Q12668" i="2"/>
  <c r="P12664" i="2"/>
  <c r="V12664" i="2" s="1"/>
  <c r="Q12664" i="2"/>
  <c r="P12660" i="2"/>
  <c r="V12660" i="2" s="1"/>
  <c r="Q12660" i="2"/>
  <c r="P12656" i="2"/>
  <c r="V12656" i="2" s="1"/>
  <c r="Q12656" i="2"/>
  <c r="P12652" i="2"/>
  <c r="V12652" i="2" s="1"/>
  <c r="Q12652" i="2"/>
  <c r="P12648" i="2"/>
  <c r="V12648" i="2" s="1"/>
  <c r="Q12648" i="2"/>
  <c r="P12644" i="2"/>
  <c r="V12644" i="2" s="1"/>
  <c r="Q12644" i="2"/>
  <c r="P12640" i="2"/>
  <c r="V12640" i="2" s="1"/>
  <c r="Q12640" i="2"/>
  <c r="P12636" i="2"/>
  <c r="V12636" i="2" s="1"/>
  <c r="Q12636" i="2"/>
  <c r="P12632" i="2"/>
  <c r="V12632" i="2" s="1"/>
  <c r="Q12632" i="2"/>
  <c r="P12628" i="2"/>
  <c r="V12628" i="2" s="1"/>
  <c r="Q12628" i="2"/>
  <c r="P12624" i="2"/>
  <c r="V12624" i="2" s="1"/>
  <c r="Q12624" i="2"/>
  <c r="P12620" i="2"/>
  <c r="V12620" i="2" s="1"/>
  <c r="Q12620" i="2"/>
  <c r="P12616" i="2"/>
  <c r="V12616" i="2" s="1"/>
  <c r="Q12616" i="2"/>
  <c r="P12612" i="2"/>
  <c r="V12612" i="2" s="1"/>
  <c r="Q12612" i="2"/>
  <c r="P12608" i="2"/>
  <c r="V12608" i="2" s="1"/>
  <c r="Q12608" i="2"/>
  <c r="P12604" i="2"/>
  <c r="V12604" i="2" s="1"/>
  <c r="Q12604" i="2"/>
  <c r="P12600" i="2"/>
  <c r="V12600" i="2" s="1"/>
  <c r="Q12600" i="2"/>
  <c r="P12596" i="2"/>
  <c r="V12596" i="2" s="1"/>
  <c r="Q12596" i="2"/>
  <c r="P12592" i="2"/>
  <c r="V12592" i="2" s="1"/>
  <c r="Q12592" i="2"/>
  <c r="P12588" i="2"/>
  <c r="V12588" i="2" s="1"/>
  <c r="Q12588" i="2"/>
  <c r="P12584" i="2"/>
  <c r="V12584" i="2" s="1"/>
  <c r="Q12584" i="2"/>
  <c r="P12580" i="2"/>
  <c r="V12580" i="2" s="1"/>
  <c r="Q12580" i="2"/>
  <c r="P12576" i="2"/>
  <c r="V12576" i="2" s="1"/>
  <c r="Q12576" i="2"/>
  <c r="P12572" i="2"/>
  <c r="V12572" i="2" s="1"/>
  <c r="Q12572" i="2"/>
  <c r="P12568" i="2"/>
  <c r="V12568" i="2" s="1"/>
  <c r="Q12568" i="2"/>
  <c r="P12564" i="2"/>
  <c r="V12564" i="2" s="1"/>
  <c r="Q12564" i="2"/>
  <c r="P12560" i="2"/>
  <c r="V12560" i="2" s="1"/>
  <c r="Q12560" i="2"/>
  <c r="P12556" i="2"/>
  <c r="V12556" i="2" s="1"/>
  <c r="Q12556" i="2"/>
  <c r="P12552" i="2"/>
  <c r="V12552" i="2" s="1"/>
  <c r="Q12552" i="2"/>
  <c r="P12548" i="2"/>
  <c r="V12548" i="2" s="1"/>
  <c r="Q12548" i="2"/>
  <c r="P12544" i="2"/>
  <c r="V12544" i="2" s="1"/>
  <c r="Q12544" i="2"/>
  <c r="P12540" i="2"/>
  <c r="V12540" i="2" s="1"/>
  <c r="Q12540" i="2"/>
  <c r="P12536" i="2"/>
  <c r="V12536" i="2" s="1"/>
  <c r="Q12536" i="2"/>
  <c r="P12532" i="2"/>
  <c r="V12532" i="2" s="1"/>
  <c r="Q12532" i="2"/>
  <c r="P12528" i="2"/>
  <c r="V12528" i="2" s="1"/>
  <c r="Q12528" i="2"/>
  <c r="P12524" i="2"/>
  <c r="V12524" i="2" s="1"/>
  <c r="Q12524" i="2"/>
  <c r="P12520" i="2"/>
  <c r="V12520" i="2" s="1"/>
  <c r="Q12520" i="2"/>
  <c r="P12516" i="2"/>
  <c r="V12516" i="2" s="1"/>
  <c r="Q12516" i="2"/>
  <c r="P12512" i="2"/>
  <c r="V12512" i="2" s="1"/>
  <c r="Q12512" i="2"/>
  <c r="P12508" i="2"/>
  <c r="V12508" i="2" s="1"/>
  <c r="Q12508" i="2"/>
  <c r="P12504" i="2"/>
  <c r="V12504" i="2" s="1"/>
  <c r="Q12504" i="2"/>
  <c r="P12500" i="2"/>
  <c r="V12500" i="2" s="1"/>
  <c r="Q12500" i="2"/>
  <c r="P12496" i="2"/>
  <c r="V12496" i="2" s="1"/>
  <c r="Q12496" i="2"/>
  <c r="P12492" i="2"/>
  <c r="V12492" i="2" s="1"/>
  <c r="Q12492" i="2"/>
  <c r="P12488" i="2"/>
  <c r="V12488" i="2" s="1"/>
  <c r="Q12488" i="2"/>
  <c r="P12484" i="2"/>
  <c r="V12484" i="2" s="1"/>
  <c r="Q12484" i="2"/>
  <c r="P12480" i="2"/>
  <c r="V12480" i="2" s="1"/>
  <c r="Q12480" i="2"/>
  <c r="P12476" i="2"/>
  <c r="V12476" i="2" s="1"/>
  <c r="Q12476" i="2"/>
  <c r="P12472" i="2"/>
  <c r="V12472" i="2" s="1"/>
  <c r="Q12472" i="2"/>
  <c r="P12468" i="2"/>
  <c r="V12468" i="2" s="1"/>
  <c r="Q12468" i="2"/>
  <c r="P12464" i="2"/>
  <c r="V12464" i="2" s="1"/>
  <c r="Q12464" i="2"/>
  <c r="P12460" i="2"/>
  <c r="V12460" i="2" s="1"/>
  <c r="Q12460" i="2"/>
  <c r="P12456" i="2"/>
  <c r="V12456" i="2" s="1"/>
  <c r="Q12456" i="2"/>
  <c r="P12452" i="2"/>
  <c r="V12452" i="2" s="1"/>
  <c r="Q12452" i="2"/>
  <c r="P12448" i="2"/>
  <c r="V12448" i="2" s="1"/>
  <c r="Q12448" i="2"/>
  <c r="P12444" i="2"/>
  <c r="V12444" i="2" s="1"/>
  <c r="Q12444" i="2"/>
  <c r="P12440" i="2"/>
  <c r="V12440" i="2" s="1"/>
  <c r="Q12440" i="2"/>
  <c r="P12436" i="2"/>
  <c r="V12436" i="2" s="1"/>
  <c r="Q12436" i="2"/>
  <c r="P12432" i="2"/>
  <c r="V12432" i="2" s="1"/>
  <c r="Q12432" i="2"/>
  <c r="P12428" i="2"/>
  <c r="V12428" i="2" s="1"/>
  <c r="Q12428" i="2"/>
  <c r="P12424" i="2"/>
  <c r="V12424" i="2" s="1"/>
  <c r="Q12424" i="2"/>
  <c r="P12420" i="2"/>
  <c r="V12420" i="2" s="1"/>
  <c r="Q12420" i="2"/>
  <c r="P12416" i="2"/>
  <c r="V12416" i="2" s="1"/>
  <c r="Q12416" i="2"/>
  <c r="P12412" i="2"/>
  <c r="V12412" i="2" s="1"/>
  <c r="Q12412" i="2"/>
  <c r="P12408" i="2"/>
  <c r="V12408" i="2" s="1"/>
  <c r="Q12408" i="2"/>
  <c r="P12404" i="2"/>
  <c r="V12404" i="2" s="1"/>
  <c r="Q12404" i="2"/>
  <c r="P12400" i="2"/>
  <c r="V12400" i="2" s="1"/>
  <c r="Q12400" i="2"/>
  <c r="P12396" i="2"/>
  <c r="V12396" i="2" s="1"/>
  <c r="Q12396" i="2"/>
  <c r="P12392" i="2"/>
  <c r="V12392" i="2" s="1"/>
  <c r="Q12392" i="2"/>
  <c r="P12388" i="2"/>
  <c r="V12388" i="2" s="1"/>
  <c r="Q12388" i="2"/>
  <c r="P12384" i="2"/>
  <c r="V12384" i="2" s="1"/>
  <c r="Q12384" i="2"/>
  <c r="P12380" i="2"/>
  <c r="V12380" i="2" s="1"/>
  <c r="Q12380" i="2"/>
  <c r="P12376" i="2"/>
  <c r="V12376" i="2" s="1"/>
  <c r="Q12376" i="2"/>
  <c r="P12372" i="2"/>
  <c r="V12372" i="2" s="1"/>
  <c r="Q12372" i="2"/>
  <c r="P12368" i="2"/>
  <c r="V12368" i="2" s="1"/>
  <c r="Q12368" i="2"/>
  <c r="P12364" i="2"/>
  <c r="V12364" i="2" s="1"/>
  <c r="Q12364" i="2"/>
  <c r="P12360" i="2"/>
  <c r="V12360" i="2" s="1"/>
  <c r="Q12360" i="2"/>
  <c r="P12356" i="2"/>
  <c r="V12356" i="2" s="1"/>
  <c r="Q12356" i="2"/>
  <c r="P12352" i="2"/>
  <c r="V12352" i="2" s="1"/>
  <c r="Q12352" i="2"/>
  <c r="P12348" i="2"/>
  <c r="V12348" i="2" s="1"/>
  <c r="Q12348" i="2"/>
  <c r="P12344" i="2"/>
  <c r="V12344" i="2" s="1"/>
  <c r="Q12344" i="2"/>
  <c r="P12340" i="2"/>
  <c r="V12340" i="2" s="1"/>
  <c r="Q12340" i="2"/>
  <c r="P12336" i="2"/>
  <c r="V12336" i="2" s="1"/>
  <c r="Q12336" i="2"/>
  <c r="P12332" i="2"/>
  <c r="V12332" i="2" s="1"/>
  <c r="Q12332" i="2"/>
  <c r="P12328" i="2"/>
  <c r="V12328" i="2" s="1"/>
  <c r="Q12328" i="2"/>
  <c r="P12324" i="2"/>
  <c r="V12324" i="2" s="1"/>
  <c r="Q12324" i="2"/>
  <c r="P12320" i="2"/>
  <c r="V12320" i="2" s="1"/>
  <c r="Q12320" i="2"/>
  <c r="P12316" i="2"/>
  <c r="V12316" i="2" s="1"/>
  <c r="Q12316" i="2"/>
  <c r="P12312" i="2"/>
  <c r="V12312" i="2" s="1"/>
  <c r="Q12312" i="2"/>
  <c r="P12308" i="2"/>
  <c r="V12308" i="2" s="1"/>
  <c r="Q12308" i="2"/>
  <c r="P12304" i="2"/>
  <c r="V12304" i="2" s="1"/>
  <c r="Q12304" i="2"/>
  <c r="P12300" i="2"/>
  <c r="V12300" i="2" s="1"/>
  <c r="Q12300" i="2"/>
  <c r="P12296" i="2"/>
  <c r="V12296" i="2" s="1"/>
  <c r="Q12296" i="2"/>
  <c r="P12292" i="2"/>
  <c r="V12292" i="2" s="1"/>
  <c r="Q12292" i="2"/>
  <c r="P12288" i="2"/>
  <c r="V12288" i="2" s="1"/>
  <c r="Q12288" i="2"/>
  <c r="P12284" i="2"/>
  <c r="V12284" i="2" s="1"/>
  <c r="Q12284" i="2"/>
  <c r="P12280" i="2"/>
  <c r="V12280" i="2" s="1"/>
  <c r="Q12280" i="2"/>
  <c r="P12276" i="2"/>
  <c r="V12276" i="2" s="1"/>
  <c r="Q12276" i="2"/>
  <c r="P12272" i="2"/>
  <c r="V12272" i="2" s="1"/>
  <c r="Q12272" i="2"/>
  <c r="P12268" i="2"/>
  <c r="V12268" i="2" s="1"/>
  <c r="Q12268" i="2"/>
  <c r="P12264" i="2"/>
  <c r="V12264" i="2" s="1"/>
  <c r="Q12264" i="2"/>
  <c r="P12260" i="2"/>
  <c r="V12260" i="2" s="1"/>
  <c r="Q12260" i="2"/>
  <c r="P12256" i="2"/>
  <c r="V12256" i="2" s="1"/>
  <c r="Q12256" i="2"/>
  <c r="P12252" i="2"/>
  <c r="V12252" i="2" s="1"/>
  <c r="Q12252" i="2"/>
  <c r="P12248" i="2"/>
  <c r="V12248" i="2" s="1"/>
  <c r="Q12248" i="2"/>
  <c r="P12244" i="2"/>
  <c r="V12244" i="2" s="1"/>
  <c r="Q12244" i="2"/>
  <c r="P12240" i="2"/>
  <c r="V12240" i="2" s="1"/>
  <c r="Q12240" i="2"/>
  <c r="P12236" i="2"/>
  <c r="V12236" i="2" s="1"/>
  <c r="Q12236" i="2"/>
  <c r="P12232" i="2"/>
  <c r="V12232" i="2" s="1"/>
  <c r="Q12232" i="2"/>
  <c r="P12228" i="2"/>
  <c r="V12228" i="2" s="1"/>
  <c r="Q12228" i="2"/>
  <c r="P12224" i="2"/>
  <c r="V12224" i="2" s="1"/>
  <c r="Q12224" i="2"/>
  <c r="P12220" i="2"/>
  <c r="V12220" i="2" s="1"/>
  <c r="Q12220" i="2"/>
  <c r="P12216" i="2"/>
  <c r="V12216" i="2" s="1"/>
  <c r="Q12216" i="2"/>
  <c r="P12212" i="2"/>
  <c r="V12212" i="2" s="1"/>
  <c r="Q12212" i="2"/>
  <c r="P12208" i="2"/>
  <c r="V12208" i="2" s="1"/>
  <c r="Q12208" i="2"/>
  <c r="P12204" i="2"/>
  <c r="V12204" i="2" s="1"/>
  <c r="Q12204" i="2"/>
  <c r="P12200" i="2"/>
  <c r="V12200" i="2" s="1"/>
  <c r="Q12200" i="2"/>
  <c r="P12196" i="2"/>
  <c r="V12196" i="2" s="1"/>
  <c r="Q12196" i="2"/>
  <c r="P12192" i="2"/>
  <c r="V12192" i="2" s="1"/>
  <c r="Q12192" i="2"/>
  <c r="P12188" i="2"/>
  <c r="V12188" i="2" s="1"/>
  <c r="Q12188" i="2"/>
  <c r="P12184" i="2"/>
  <c r="V12184" i="2" s="1"/>
  <c r="Q12184" i="2"/>
  <c r="P12180" i="2"/>
  <c r="V12180" i="2" s="1"/>
  <c r="Q12180" i="2"/>
  <c r="P12176" i="2"/>
  <c r="V12176" i="2" s="1"/>
  <c r="Q12176" i="2"/>
  <c r="P12172" i="2"/>
  <c r="V12172" i="2" s="1"/>
  <c r="Q12172" i="2"/>
  <c r="P12168" i="2"/>
  <c r="V12168" i="2" s="1"/>
  <c r="Q12168" i="2"/>
  <c r="P12164" i="2"/>
  <c r="V12164" i="2" s="1"/>
  <c r="Q12164" i="2"/>
  <c r="P12160" i="2"/>
  <c r="V12160" i="2" s="1"/>
  <c r="Q12160" i="2"/>
  <c r="P12156" i="2"/>
  <c r="V12156" i="2" s="1"/>
  <c r="Q12156" i="2"/>
  <c r="P12152" i="2"/>
  <c r="V12152" i="2" s="1"/>
  <c r="Q12152" i="2"/>
  <c r="P12148" i="2"/>
  <c r="V12148" i="2" s="1"/>
  <c r="Q12148" i="2"/>
  <c r="P12144" i="2"/>
  <c r="V12144" i="2" s="1"/>
  <c r="Q12144" i="2"/>
  <c r="P12140" i="2"/>
  <c r="V12140" i="2" s="1"/>
  <c r="Q12140" i="2"/>
  <c r="P12136" i="2"/>
  <c r="V12136" i="2" s="1"/>
  <c r="Q12136" i="2"/>
  <c r="P12132" i="2"/>
  <c r="V12132" i="2" s="1"/>
  <c r="Q12132" i="2"/>
  <c r="P12128" i="2"/>
  <c r="V12128" i="2" s="1"/>
  <c r="Q12128" i="2"/>
  <c r="P12124" i="2"/>
  <c r="V12124" i="2" s="1"/>
  <c r="Q12124" i="2"/>
  <c r="P12120" i="2"/>
  <c r="V12120" i="2" s="1"/>
  <c r="Q12120" i="2"/>
  <c r="P12116" i="2"/>
  <c r="V12116" i="2" s="1"/>
  <c r="Q12116" i="2"/>
  <c r="P12112" i="2"/>
  <c r="V12112" i="2" s="1"/>
  <c r="Q12112" i="2"/>
  <c r="P12108" i="2"/>
  <c r="V12108" i="2" s="1"/>
  <c r="Q12108" i="2"/>
  <c r="P12104" i="2"/>
  <c r="V12104" i="2" s="1"/>
  <c r="Q12104" i="2"/>
  <c r="P12100" i="2"/>
  <c r="V12100" i="2" s="1"/>
  <c r="Q12100" i="2"/>
  <c r="P12096" i="2"/>
  <c r="V12096" i="2" s="1"/>
  <c r="Q12096" i="2"/>
  <c r="P12092" i="2"/>
  <c r="V12092" i="2" s="1"/>
  <c r="Q12092" i="2"/>
  <c r="P12088" i="2"/>
  <c r="V12088" i="2" s="1"/>
  <c r="Q12088" i="2"/>
  <c r="P12084" i="2"/>
  <c r="V12084" i="2" s="1"/>
  <c r="Q12084" i="2"/>
  <c r="P12080" i="2"/>
  <c r="V12080" i="2" s="1"/>
  <c r="Q12080" i="2"/>
  <c r="P12076" i="2"/>
  <c r="V12076" i="2" s="1"/>
  <c r="Q12076" i="2"/>
  <c r="P12072" i="2"/>
  <c r="V12072" i="2" s="1"/>
  <c r="Q12072" i="2"/>
  <c r="P12068" i="2"/>
  <c r="V12068" i="2" s="1"/>
  <c r="Q12068" i="2"/>
  <c r="P12064" i="2"/>
  <c r="V12064" i="2" s="1"/>
  <c r="Q12064" i="2"/>
  <c r="P12060" i="2"/>
  <c r="V12060" i="2" s="1"/>
  <c r="Q12060" i="2"/>
  <c r="P12056" i="2"/>
  <c r="V12056" i="2" s="1"/>
  <c r="Q12056" i="2"/>
  <c r="P12052" i="2"/>
  <c r="V12052" i="2" s="1"/>
  <c r="Q12052" i="2"/>
  <c r="P12048" i="2"/>
  <c r="V12048" i="2" s="1"/>
  <c r="Q12048" i="2"/>
  <c r="P12044" i="2"/>
  <c r="V12044" i="2" s="1"/>
  <c r="Q12044" i="2"/>
  <c r="P12040" i="2"/>
  <c r="V12040" i="2" s="1"/>
  <c r="Q12040" i="2"/>
  <c r="P12036" i="2"/>
  <c r="V12036" i="2" s="1"/>
  <c r="Q12036" i="2"/>
  <c r="P12032" i="2"/>
  <c r="V12032" i="2" s="1"/>
  <c r="Q12032" i="2"/>
  <c r="P12028" i="2"/>
  <c r="V12028" i="2" s="1"/>
  <c r="Q12028" i="2"/>
  <c r="P12024" i="2"/>
  <c r="V12024" i="2" s="1"/>
  <c r="Q12024" i="2"/>
  <c r="P12020" i="2"/>
  <c r="V12020" i="2" s="1"/>
  <c r="Q12020" i="2"/>
  <c r="P12016" i="2"/>
  <c r="V12016" i="2" s="1"/>
  <c r="Q12016" i="2"/>
  <c r="P12012" i="2"/>
  <c r="V12012" i="2" s="1"/>
  <c r="Q12012" i="2"/>
  <c r="P12008" i="2"/>
  <c r="V12008" i="2" s="1"/>
  <c r="Q12008" i="2"/>
  <c r="P12004" i="2"/>
  <c r="V12004" i="2" s="1"/>
  <c r="Q12004" i="2"/>
  <c r="P12000" i="2"/>
  <c r="V12000" i="2" s="1"/>
  <c r="Q12000" i="2"/>
  <c r="P11996" i="2"/>
  <c r="V11996" i="2" s="1"/>
  <c r="Q11996" i="2"/>
  <c r="P11992" i="2"/>
  <c r="V11992" i="2" s="1"/>
  <c r="Q11992" i="2"/>
  <c r="P11988" i="2"/>
  <c r="V11988" i="2" s="1"/>
  <c r="Q11988" i="2"/>
  <c r="P11984" i="2"/>
  <c r="V11984" i="2" s="1"/>
  <c r="Q11984" i="2"/>
  <c r="P11980" i="2"/>
  <c r="V11980" i="2" s="1"/>
  <c r="Q11980" i="2"/>
  <c r="P11976" i="2"/>
  <c r="V11976" i="2" s="1"/>
  <c r="Q11976" i="2"/>
  <c r="P11972" i="2"/>
  <c r="V11972" i="2" s="1"/>
  <c r="Q11972" i="2"/>
  <c r="P11968" i="2"/>
  <c r="V11968" i="2" s="1"/>
  <c r="Q11968" i="2"/>
  <c r="P11964" i="2"/>
  <c r="V11964" i="2" s="1"/>
  <c r="Q11964" i="2"/>
  <c r="P11960" i="2"/>
  <c r="V11960" i="2" s="1"/>
  <c r="Q11960" i="2"/>
  <c r="P11956" i="2"/>
  <c r="V11956" i="2" s="1"/>
  <c r="Q11956" i="2"/>
  <c r="P11952" i="2"/>
  <c r="V11952" i="2" s="1"/>
  <c r="Q11952" i="2"/>
  <c r="P11948" i="2"/>
  <c r="V11948" i="2" s="1"/>
  <c r="Q11948" i="2"/>
  <c r="P11944" i="2"/>
  <c r="V11944" i="2" s="1"/>
  <c r="Q11944" i="2"/>
  <c r="P11940" i="2"/>
  <c r="V11940" i="2" s="1"/>
  <c r="Q11940" i="2"/>
  <c r="P11936" i="2"/>
  <c r="V11936" i="2" s="1"/>
  <c r="Q11936" i="2"/>
  <c r="P11932" i="2"/>
  <c r="V11932" i="2" s="1"/>
  <c r="Q11932" i="2"/>
  <c r="P11928" i="2"/>
  <c r="V11928" i="2" s="1"/>
  <c r="Q11928" i="2"/>
  <c r="P11924" i="2"/>
  <c r="V11924" i="2" s="1"/>
  <c r="Q11924" i="2"/>
  <c r="P11920" i="2"/>
  <c r="V11920" i="2" s="1"/>
  <c r="Q11920" i="2"/>
  <c r="P11916" i="2"/>
  <c r="V11916" i="2" s="1"/>
  <c r="Q11916" i="2"/>
  <c r="P11912" i="2"/>
  <c r="V11912" i="2" s="1"/>
  <c r="Q11912" i="2"/>
  <c r="P11908" i="2"/>
  <c r="V11908" i="2" s="1"/>
  <c r="Q11908" i="2"/>
  <c r="P11904" i="2"/>
  <c r="V11904" i="2" s="1"/>
  <c r="Q11904" i="2"/>
  <c r="P11900" i="2"/>
  <c r="V11900" i="2" s="1"/>
  <c r="Q11900" i="2"/>
  <c r="P11896" i="2"/>
  <c r="V11896" i="2" s="1"/>
  <c r="Q11896" i="2"/>
  <c r="P11892" i="2"/>
  <c r="V11892" i="2" s="1"/>
  <c r="Q11892" i="2"/>
  <c r="P11888" i="2"/>
  <c r="V11888" i="2" s="1"/>
  <c r="Q11888" i="2"/>
  <c r="P11884" i="2"/>
  <c r="V11884" i="2" s="1"/>
  <c r="Q11884" i="2"/>
  <c r="P11880" i="2"/>
  <c r="V11880" i="2" s="1"/>
  <c r="Q11880" i="2"/>
  <c r="P11876" i="2"/>
  <c r="V11876" i="2" s="1"/>
  <c r="Q11876" i="2"/>
  <c r="P11872" i="2"/>
  <c r="V11872" i="2" s="1"/>
  <c r="Q11872" i="2"/>
  <c r="P11868" i="2"/>
  <c r="V11868" i="2" s="1"/>
  <c r="Q11868" i="2"/>
  <c r="P11864" i="2"/>
  <c r="V11864" i="2" s="1"/>
  <c r="Q11864" i="2"/>
  <c r="P11860" i="2"/>
  <c r="V11860" i="2" s="1"/>
  <c r="Q11860" i="2"/>
  <c r="P11856" i="2"/>
  <c r="V11856" i="2" s="1"/>
  <c r="Q11856" i="2"/>
  <c r="P11852" i="2"/>
  <c r="V11852" i="2" s="1"/>
  <c r="Q11852" i="2"/>
  <c r="P11848" i="2"/>
  <c r="V11848" i="2" s="1"/>
  <c r="Q11848" i="2"/>
  <c r="P11844" i="2"/>
  <c r="V11844" i="2" s="1"/>
  <c r="Q11844" i="2"/>
  <c r="P11840" i="2"/>
  <c r="V11840" i="2" s="1"/>
  <c r="Q11840" i="2"/>
  <c r="P11836" i="2"/>
  <c r="V11836" i="2" s="1"/>
  <c r="Q11836" i="2"/>
  <c r="P11832" i="2"/>
  <c r="V11832" i="2" s="1"/>
  <c r="Q11832" i="2"/>
  <c r="P11828" i="2"/>
  <c r="V11828" i="2" s="1"/>
  <c r="Q11828" i="2"/>
  <c r="P11824" i="2"/>
  <c r="V11824" i="2" s="1"/>
  <c r="Q11824" i="2"/>
  <c r="P11820" i="2"/>
  <c r="V11820" i="2" s="1"/>
  <c r="Q11820" i="2"/>
  <c r="P11816" i="2"/>
  <c r="V11816" i="2" s="1"/>
  <c r="Q11816" i="2"/>
  <c r="P11812" i="2"/>
  <c r="V11812" i="2" s="1"/>
  <c r="Q11812" i="2"/>
  <c r="P11808" i="2"/>
  <c r="V11808" i="2" s="1"/>
  <c r="Q11808" i="2"/>
  <c r="P11804" i="2"/>
  <c r="V11804" i="2" s="1"/>
  <c r="Q11804" i="2"/>
  <c r="P11800" i="2"/>
  <c r="V11800" i="2" s="1"/>
  <c r="Q11800" i="2"/>
  <c r="P11796" i="2"/>
  <c r="V11796" i="2" s="1"/>
  <c r="Q11796" i="2"/>
  <c r="P11792" i="2"/>
  <c r="V11792" i="2" s="1"/>
  <c r="Q11792" i="2"/>
  <c r="P11788" i="2"/>
  <c r="V11788" i="2" s="1"/>
  <c r="Q11788" i="2"/>
  <c r="P11784" i="2"/>
  <c r="V11784" i="2" s="1"/>
  <c r="Q11784" i="2"/>
  <c r="P11780" i="2"/>
  <c r="V11780" i="2" s="1"/>
  <c r="Q11780" i="2"/>
  <c r="P11776" i="2"/>
  <c r="V11776" i="2" s="1"/>
  <c r="Q11776" i="2"/>
  <c r="P11772" i="2"/>
  <c r="V11772" i="2" s="1"/>
  <c r="Q11772" i="2"/>
  <c r="P11768" i="2"/>
  <c r="V11768" i="2" s="1"/>
  <c r="Q11768" i="2"/>
  <c r="P11764" i="2"/>
  <c r="V11764" i="2" s="1"/>
  <c r="Q11764" i="2"/>
  <c r="P11760" i="2"/>
  <c r="V11760" i="2" s="1"/>
  <c r="Q11760" i="2"/>
  <c r="P11756" i="2"/>
  <c r="V11756" i="2" s="1"/>
  <c r="Q11756" i="2"/>
  <c r="P11752" i="2"/>
  <c r="V11752" i="2" s="1"/>
  <c r="Q11752" i="2"/>
  <c r="P11748" i="2"/>
  <c r="V11748" i="2" s="1"/>
  <c r="Q11748" i="2"/>
  <c r="P11744" i="2"/>
  <c r="V11744" i="2" s="1"/>
  <c r="Q11744" i="2"/>
  <c r="P11740" i="2"/>
  <c r="V11740" i="2" s="1"/>
  <c r="Q11740" i="2"/>
  <c r="P11736" i="2"/>
  <c r="V11736" i="2" s="1"/>
  <c r="Q11736" i="2"/>
  <c r="P11732" i="2"/>
  <c r="V11732" i="2" s="1"/>
  <c r="Q11732" i="2"/>
  <c r="P11728" i="2"/>
  <c r="V11728" i="2" s="1"/>
  <c r="Q11728" i="2"/>
  <c r="P11724" i="2"/>
  <c r="V11724" i="2" s="1"/>
  <c r="Q11724" i="2"/>
  <c r="P11720" i="2"/>
  <c r="V11720" i="2" s="1"/>
  <c r="Q11720" i="2"/>
  <c r="P11716" i="2"/>
  <c r="V11716" i="2" s="1"/>
  <c r="Q11716" i="2"/>
  <c r="P11712" i="2"/>
  <c r="V11712" i="2" s="1"/>
  <c r="Q11712" i="2"/>
  <c r="P11708" i="2"/>
  <c r="V11708" i="2" s="1"/>
  <c r="Q11708" i="2"/>
  <c r="P11704" i="2"/>
  <c r="V11704" i="2" s="1"/>
  <c r="Q11704" i="2"/>
  <c r="P11700" i="2"/>
  <c r="V11700" i="2" s="1"/>
  <c r="Q11700" i="2"/>
  <c r="P11696" i="2"/>
  <c r="V11696" i="2" s="1"/>
  <c r="Q11696" i="2"/>
  <c r="P11692" i="2"/>
  <c r="V11692" i="2" s="1"/>
  <c r="Q11692" i="2"/>
  <c r="P11688" i="2"/>
  <c r="V11688" i="2" s="1"/>
  <c r="Q11688" i="2"/>
  <c r="P11684" i="2"/>
  <c r="V11684" i="2" s="1"/>
  <c r="Q11684" i="2"/>
  <c r="P11680" i="2"/>
  <c r="V11680" i="2" s="1"/>
  <c r="Q11680" i="2"/>
  <c r="P11676" i="2"/>
  <c r="V11676" i="2" s="1"/>
  <c r="Q11676" i="2"/>
  <c r="P11672" i="2"/>
  <c r="V11672" i="2" s="1"/>
  <c r="Q11672" i="2"/>
  <c r="P11668" i="2"/>
  <c r="V11668" i="2" s="1"/>
  <c r="Q11668" i="2"/>
  <c r="P11664" i="2"/>
  <c r="V11664" i="2" s="1"/>
  <c r="Q11664" i="2"/>
  <c r="P11660" i="2"/>
  <c r="V11660" i="2" s="1"/>
  <c r="Q11660" i="2"/>
  <c r="P11656" i="2"/>
  <c r="V11656" i="2" s="1"/>
  <c r="Q11656" i="2"/>
  <c r="P11652" i="2"/>
  <c r="V11652" i="2" s="1"/>
  <c r="Q11652" i="2"/>
  <c r="P11648" i="2"/>
  <c r="V11648" i="2" s="1"/>
  <c r="Q11648" i="2"/>
  <c r="P11644" i="2"/>
  <c r="V11644" i="2" s="1"/>
  <c r="Q11644" i="2"/>
  <c r="P11640" i="2"/>
  <c r="V11640" i="2" s="1"/>
  <c r="Q11640" i="2"/>
  <c r="P11636" i="2"/>
  <c r="V11636" i="2" s="1"/>
  <c r="Q11636" i="2"/>
  <c r="P11632" i="2"/>
  <c r="V11632" i="2" s="1"/>
  <c r="Q11632" i="2"/>
  <c r="P11628" i="2"/>
  <c r="V11628" i="2" s="1"/>
  <c r="Q11628" i="2"/>
  <c r="P11624" i="2"/>
  <c r="V11624" i="2" s="1"/>
  <c r="Q11624" i="2"/>
  <c r="P11620" i="2"/>
  <c r="V11620" i="2" s="1"/>
  <c r="Q11620" i="2"/>
  <c r="P11616" i="2"/>
  <c r="V11616" i="2" s="1"/>
  <c r="Q11616" i="2"/>
  <c r="P11612" i="2"/>
  <c r="V11612" i="2" s="1"/>
  <c r="Q11612" i="2"/>
  <c r="P11608" i="2"/>
  <c r="V11608" i="2" s="1"/>
  <c r="Q11608" i="2"/>
  <c r="P11604" i="2"/>
  <c r="V11604" i="2" s="1"/>
  <c r="Q11604" i="2"/>
  <c r="P11600" i="2"/>
  <c r="V11600" i="2" s="1"/>
  <c r="Q11600" i="2"/>
  <c r="P11596" i="2"/>
  <c r="V11596" i="2" s="1"/>
  <c r="Q11596" i="2"/>
  <c r="P11592" i="2"/>
  <c r="V11592" i="2" s="1"/>
  <c r="Q11592" i="2"/>
  <c r="P11588" i="2"/>
  <c r="V11588" i="2" s="1"/>
  <c r="Q11588" i="2"/>
  <c r="P11584" i="2"/>
  <c r="V11584" i="2" s="1"/>
  <c r="Q11584" i="2"/>
  <c r="P11580" i="2"/>
  <c r="V11580" i="2" s="1"/>
  <c r="Q11580" i="2"/>
  <c r="P11576" i="2"/>
  <c r="V11576" i="2" s="1"/>
  <c r="Q11576" i="2"/>
  <c r="P11572" i="2"/>
  <c r="V11572" i="2" s="1"/>
  <c r="Q11572" i="2"/>
  <c r="P11568" i="2"/>
  <c r="V11568" i="2" s="1"/>
  <c r="Q11568" i="2"/>
  <c r="P11564" i="2"/>
  <c r="V11564" i="2" s="1"/>
  <c r="Q11564" i="2"/>
  <c r="P11560" i="2"/>
  <c r="V11560" i="2" s="1"/>
  <c r="Q11560" i="2"/>
  <c r="P11556" i="2"/>
  <c r="V11556" i="2" s="1"/>
  <c r="Q11556" i="2"/>
  <c r="P11552" i="2"/>
  <c r="V11552" i="2" s="1"/>
  <c r="Q11552" i="2"/>
  <c r="P11548" i="2"/>
  <c r="V11548" i="2" s="1"/>
  <c r="Q11548" i="2"/>
  <c r="P11544" i="2"/>
  <c r="V11544" i="2" s="1"/>
  <c r="Q11544" i="2"/>
  <c r="P11540" i="2"/>
  <c r="V11540" i="2" s="1"/>
  <c r="Q11540" i="2"/>
  <c r="P11536" i="2"/>
  <c r="V11536" i="2" s="1"/>
  <c r="Q11536" i="2"/>
  <c r="P11532" i="2"/>
  <c r="V11532" i="2" s="1"/>
  <c r="Q11532" i="2"/>
  <c r="P11528" i="2"/>
  <c r="V11528" i="2" s="1"/>
  <c r="Q11528" i="2"/>
  <c r="P11524" i="2"/>
  <c r="V11524" i="2" s="1"/>
  <c r="Q11524" i="2"/>
  <c r="P11520" i="2"/>
  <c r="V11520" i="2" s="1"/>
  <c r="Q11520" i="2"/>
  <c r="P11516" i="2"/>
  <c r="V11516" i="2" s="1"/>
  <c r="Q11516" i="2"/>
  <c r="P11512" i="2"/>
  <c r="V11512" i="2" s="1"/>
  <c r="Q11512" i="2"/>
  <c r="P11508" i="2"/>
  <c r="V11508" i="2" s="1"/>
  <c r="Q11508" i="2"/>
  <c r="P11504" i="2"/>
  <c r="V11504" i="2" s="1"/>
  <c r="Q11504" i="2"/>
  <c r="P11500" i="2"/>
  <c r="V11500" i="2" s="1"/>
  <c r="Q11500" i="2"/>
  <c r="P11496" i="2"/>
  <c r="V11496" i="2" s="1"/>
  <c r="Q11496" i="2"/>
  <c r="P11492" i="2"/>
  <c r="V11492" i="2" s="1"/>
  <c r="Q11492" i="2"/>
  <c r="P11488" i="2"/>
  <c r="V11488" i="2" s="1"/>
  <c r="Q11488" i="2"/>
  <c r="P11484" i="2"/>
  <c r="V11484" i="2" s="1"/>
  <c r="Q11484" i="2"/>
  <c r="P11480" i="2"/>
  <c r="V11480" i="2" s="1"/>
  <c r="Q11480" i="2"/>
  <c r="P11476" i="2"/>
  <c r="V11476" i="2" s="1"/>
  <c r="Q11476" i="2"/>
  <c r="P11472" i="2"/>
  <c r="V11472" i="2" s="1"/>
  <c r="Q11472" i="2"/>
  <c r="P11468" i="2"/>
  <c r="V11468" i="2" s="1"/>
  <c r="Q11468" i="2"/>
  <c r="P11464" i="2"/>
  <c r="V11464" i="2" s="1"/>
  <c r="Q11464" i="2"/>
  <c r="P11460" i="2"/>
  <c r="V11460" i="2" s="1"/>
  <c r="Q11460" i="2"/>
  <c r="P11456" i="2"/>
  <c r="V11456" i="2" s="1"/>
  <c r="Q11456" i="2"/>
  <c r="P11452" i="2"/>
  <c r="V11452" i="2" s="1"/>
  <c r="Q11452" i="2"/>
  <c r="P11448" i="2"/>
  <c r="V11448" i="2" s="1"/>
  <c r="Q11448" i="2"/>
  <c r="P11444" i="2"/>
  <c r="V11444" i="2" s="1"/>
  <c r="Q11444" i="2"/>
  <c r="P11440" i="2"/>
  <c r="V11440" i="2" s="1"/>
  <c r="Q11440" i="2"/>
  <c r="P11436" i="2"/>
  <c r="V11436" i="2" s="1"/>
  <c r="Q11436" i="2"/>
  <c r="P11432" i="2"/>
  <c r="V11432" i="2" s="1"/>
  <c r="Q11432" i="2"/>
  <c r="P11428" i="2"/>
  <c r="V11428" i="2" s="1"/>
  <c r="Q11428" i="2"/>
  <c r="P11424" i="2"/>
  <c r="V11424" i="2" s="1"/>
  <c r="Q11424" i="2"/>
  <c r="P11420" i="2"/>
  <c r="V11420" i="2" s="1"/>
  <c r="Q11420" i="2"/>
  <c r="P11416" i="2"/>
  <c r="V11416" i="2" s="1"/>
  <c r="Q11416" i="2"/>
  <c r="P11412" i="2"/>
  <c r="V11412" i="2" s="1"/>
  <c r="Q11412" i="2"/>
  <c r="P11408" i="2"/>
  <c r="V11408" i="2" s="1"/>
  <c r="Q11408" i="2"/>
  <c r="P11404" i="2"/>
  <c r="V11404" i="2" s="1"/>
  <c r="Q11404" i="2"/>
  <c r="P11400" i="2"/>
  <c r="V11400" i="2" s="1"/>
  <c r="Q11400" i="2"/>
  <c r="P11396" i="2"/>
  <c r="V11396" i="2" s="1"/>
  <c r="Q11396" i="2"/>
  <c r="P11392" i="2"/>
  <c r="V11392" i="2" s="1"/>
  <c r="Q11392" i="2"/>
  <c r="P11388" i="2"/>
  <c r="V11388" i="2" s="1"/>
  <c r="Q11388" i="2"/>
  <c r="P11384" i="2"/>
  <c r="V11384" i="2" s="1"/>
  <c r="Q11384" i="2"/>
  <c r="P11380" i="2"/>
  <c r="V11380" i="2" s="1"/>
  <c r="Q11380" i="2"/>
  <c r="P11376" i="2"/>
  <c r="V11376" i="2" s="1"/>
  <c r="Q11376" i="2"/>
  <c r="P11372" i="2"/>
  <c r="V11372" i="2" s="1"/>
  <c r="Q11372" i="2"/>
  <c r="P11368" i="2"/>
  <c r="V11368" i="2" s="1"/>
  <c r="Q11368" i="2"/>
  <c r="P11364" i="2"/>
  <c r="V11364" i="2" s="1"/>
  <c r="Q11364" i="2"/>
  <c r="P11360" i="2"/>
  <c r="V11360" i="2" s="1"/>
  <c r="Q11360" i="2"/>
  <c r="P11356" i="2"/>
  <c r="V11356" i="2" s="1"/>
  <c r="Q11356" i="2"/>
  <c r="P11352" i="2"/>
  <c r="V11352" i="2" s="1"/>
  <c r="Q11352" i="2"/>
  <c r="P11348" i="2"/>
  <c r="V11348" i="2" s="1"/>
  <c r="Q11348" i="2"/>
  <c r="P11344" i="2"/>
  <c r="V11344" i="2" s="1"/>
  <c r="Q11344" i="2"/>
  <c r="P11340" i="2"/>
  <c r="V11340" i="2" s="1"/>
  <c r="Q11340" i="2"/>
  <c r="P11336" i="2"/>
  <c r="V11336" i="2" s="1"/>
  <c r="Q11336" i="2"/>
  <c r="P11332" i="2"/>
  <c r="V11332" i="2" s="1"/>
  <c r="Q11332" i="2"/>
  <c r="P11328" i="2"/>
  <c r="V11328" i="2" s="1"/>
  <c r="Q11328" i="2"/>
  <c r="P11324" i="2"/>
  <c r="V11324" i="2" s="1"/>
  <c r="Q11324" i="2"/>
  <c r="P11320" i="2"/>
  <c r="V11320" i="2" s="1"/>
  <c r="Q11320" i="2"/>
  <c r="P11316" i="2"/>
  <c r="V11316" i="2" s="1"/>
  <c r="Q11316" i="2"/>
  <c r="P11312" i="2"/>
  <c r="V11312" i="2" s="1"/>
  <c r="Q11312" i="2"/>
  <c r="P11308" i="2"/>
  <c r="V11308" i="2" s="1"/>
  <c r="Q11308" i="2"/>
  <c r="P11304" i="2"/>
  <c r="V11304" i="2" s="1"/>
  <c r="Q11304" i="2"/>
  <c r="P11300" i="2"/>
  <c r="V11300" i="2" s="1"/>
  <c r="Q11300" i="2"/>
  <c r="P11296" i="2"/>
  <c r="V11296" i="2" s="1"/>
  <c r="Q11296" i="2"/>
  <c r="P11292" i="2"/>
  <c r="V11292" i="2" s="1"/>
  <c r="Q11292" i="2"/>
  <c r="P11288" i="2"/>
  <c r="V11288" i="2" s="1"/>
  <c r="Q11288" i="2"/>
  <c r="P11284" i="2"/>
  <c r="V11284" i="2" s="1"/>
  <c r="Q11284" i="2"/>
  <c r="P11280" i="2"/>
  <c r="V11280" i="2" s="1"/>
  <c r="Q11280" i="2"/>
  <c r="P11276" i="2"/>
  <c r="V11276" i="2" s="1"/>
  <c r="Q11276" i="2"/>
  <c r="P11272" i="2"/>
  <c r="V11272" i="2" s="1"/>
  <c r="Q11272" i="2"/>
  <c r="P11268" i="2"/>
  <c r="V11268" i="2" s="1"/>
  <c r="Q11268" i="2"/>
  <c r="P11264" i="2"/>
  <c r="V11264" i="2" s="1"/>
  <c r="Q11264" i="2"/>
  <c r="P11260" i="2"/>
  <c r="V11260" i="2" s="1"/>
  <c r="Q11260" i="2"/>
  <c r="P11256" i="2"/>
  <c r="V11256" i="2" s="1"/>
  <c r="Q11256" i="2"/>
  <c r="P11252" i="2"/>
  <c r="V11252" i="2" s="1"/>
  <c r="Q11252" i="2"/>
  <c r="P11248" i="2"/>
  <c r="V11248" i="2" s="1"/>
  <c r="Q11248" i="2"/>
  <c r="P11244" i="2"/>
  <c r="V11244" i="2" s="1"/>
  <c r="Q11244" i="2"/>
  <c r="P11240" i="2"/>
  <c r="V11240" i="2" s="1"/>
  <c r="Q11240" i="2"/>
  <c r="P11236" i="2"/>
  <c r="V11236" i="2" s="1"/>
  <c r="Q11236" i="2"/>
  <c r="P11232" i="2"/>
  <c r="V11232" i="2" s="1"/>
  <c r="Q11232" i="2"/>
  <c r="P11228" i="2"/>
  <c r="V11228" i="2" s="1"/>
  <c r="Q11228" i="2"/>
  <c r="P11224" i="2"/>
  <c r="V11224" i="2" s="1"/>
  <c r="Q11224" i="2"/>
  <c r="P11220" i="2"/>
  <c r="V11220" i="2" s="1"/>
  <c r="Q11220" i="2"/>
  <c r="P11216" i="2"/>
  <c r="V11216" i="2" s="1"/>
  <c r="Q11216" i="2"/>
  <c r="P11212" i="2"/>
  <c r="V11212" i="2" s="1"/>
  <c r="Q11212" i="2"/>
  <c r="P11208" i="2"/>
  <c r="V11208" i="2" s="1"/>
  <c r="Q11208" i="2"/>
  <c r="P11204" i="2"/>
  <c r="V11204" i="2" s="1"/>
  <c r="Q11204" i="2"/>
  <c r="P11200" i="2"/>
  <c r="V11200" i="2" s="1"/>
  <c r="Q11200" i="2"/>
  <c r="P11196" i="2"/>
  <c r="V11196" i="2" s="1"/>
  <c r="Q11196" i="2"/>
  <c r="P11192" i="2"/>
  <c r="V11192" i="2" s="1"/>
  <c r="Q11192" i="2"/>
  <c r="P11188" i="2"/>
  <c r="V11188" i="2" s="1"/>
  <c r="Q11188" i="2"/>
  <c r="P11184" i="2"/>
  <c r="V11184" i="2" s="1"/>
  <c r="Q11184" i="2"/>
  <c r="P11180" i="2"/>
  <c r="V11180" i="2" s="1"/>
  <c r="Q11180" i="2"/>
  <c r="P11176" i="2"/>
  <c r="V11176" i="2" s="1"/>
  <c r="Q11176" i="2"/>
  <c r="P11172" i="2"/>
  <c r="V11172" i="2" s="1"/>
  <c r="Q11172" i="2"/>
  <c r="P11168" i="2"/>
  <c r="V11168" i="2" s="1"/>
  <c r="Q11168" i="2"/>
  <c r="P11164" i="2"/>
  <c r="V11164" i="2" s="1"/>
  <c r="Q11164" i="2"/>
  <c r="P11160" i="2"/>
  <c r="V11160" i="2" s="1"/>
  <c r="Q11160" i="2"/>
  <c r="P11156" i="2"/>
  <c r="V11156" i="2" s="1"/>
  <c r="Q11156" i="2"/>
  <c r="P11152" i="2"/>
  <c r="V11152" i="2" s="1"/>
  <c r="Q11152" i="2"/>
  <c r="P11148" i="2"/>
  <c r="V11148" i="2" s="1"/>
  <c r="Q11148" i="2"/>
  <c r="P11144" i="2"/>
  <c r="V11144" i="2" s="1"/>
  <c r="Q11144" i="2"/>
  <c r="P11140" i="2"/>
  <c r="V11140" i="2" s="1"/>
  <c r="Q11140" i="2"/>
  <c r="P11136" i="2"/>
  <c r="V11136" i="2" s="1"/>
  <c r="Q11136" i="2"/>
  <c r="P11132" i="2"/>
  <c r="V11132" i="2" s="1"/>
  <c r="Q11132" i="2"/>
  <c r="P11128" i="2"/>
  <c r="V11128" i="2" s="1"/>
  <c r="Q11128" i="2"/>
  <c r="P11124" i="2"/>
  <c r="V11124" i="2" s="1"/>
  <c r="Q11124" i="2"/>
  <c r="P11120" i="2"/>
  <c r="V11120" i="2" s="1"/>
  <c r="Q11120" i="2"/>
  <c r="P11116" i="2"/>
  <c r="V11116" i="2" s="1"/>
  <c r="Q11116" i="2"/>
  <c r="P11112" i="2"/>
  <c r="V11112" i="2" s="1"/>
  <c r="Q11112" i="2"/>
  <c r="P11108" i="2"/>
  <c r="V11108" i="2" s="1"/>
  <c r="Q11108" i="2"/>
  <c r="P11104" i="2"/>
  <c r="V11104" i="2" s="1"/>
  <c r="Q11104" i="2"/>
  <c r="P11100" i="2"/>
  <c r="V11100" i="2" s="1"/>
  <c r="Q11100" i="2"/>
  <c r="P11096" i="2"/>
  <c r="V11096" i="2" s="1"/>
  <c r="Q11096" i="2"/>
  <c r="P11092" i="2"/>
  <c r="V11092" i="2" s="1"/>
  <c r="Q11092" i="2"/>
  <c r="P11088" i="2"/>
  <c r="V11088" i="2" s="1"/>
  <c r="Q11088" i="2"/>
  <c r="P11084" i="2"/>
  <c r="V11084" i="2" s="1"/>
  <c r="Q11084" i="2"/>
  <c r="P11080" i="2"/>
  <c r="V11080" i="2" s="1"/>
  <c r="Q11080" i="2"/>
  <c r="P11076" i="2"/>
  <c r="V11076" i="2" s="1"/>
  <c r="Q11076" i="2"/>
  <c r="P11072" i="2"/>
  <c r="V11072" i="2" s="1"/>
  <c r="Q11072" i="2"/>
  <c r="P11068" i="2"/>
  <c r="V11068" i="2" s="1"/>
  <c r="Q11068" i="2"/>
  <c r="P11064" i="2"/>
  <c r="V11064" i="2" s="1"/>
  <c r="Q11064" i="2"/>
  <c r="P11060" i="2"/>
  <c r="V11060" i="2" s="1"/>
  <c r="Q11060" i="2"/>
  <c r="P11056" i="2"/>
  <c r="V11056" i="2" s="1"/>
  <c r="Q11056" i="2"/>
  <c r="P11052" i="2"/>
  <c r="V11052" i="2" s="1"/>
  <c r="Q11052" i="2"/>
  <c r="P11048" i="2"/>
  <c r="V11048" i="2" s="1"/>
  <c r="Q11048" i="2"/>
  <c r="P11044" i="2"/>
  <c r="V11044" i="2" s="1"/>
  <c r="Q11044" i="2"/>
  <c r="P11040" i="2"/>
  <c r="V11040" i="2" s="1"/>
  <c r="Q11040" i="2"/>
  <c r="P11036" i="2"/>
  <c r="V11036" i="2" s="1"/>
  <c r="Q11036" i="2"/>
  <c r="P11032" i="2"/>
  <c r="V11032" i="2" s="1"/>
  <c r="Q11032" i="2"/>
  <c r="P11028" i="2"/>
  <c r="V11028" i="2" s="1"/>
  <c r="Q11028" i="2"/>
  <c r="P11024" i="2"/>
  <c r="V11024" i="2" s="1"/>
  <c r="Q11024" i="2"/>
  <c r="P11020" i="2"/>
  <c r="V11020" i="2" s="1"/>
  <c r="Q11020" i="2"/>
  <c r="P11016" i="2"/>
  <c r="V11016" i="2" s="1"/>
  <c r="Q11016" i="2"/>
  <c r="P11012" i="2"/>
  <c r="V11012" i="2" s="1"/>
  <c r="Q11012" i="2"/>
  <c r="P11008" i="2"/>
  <c r="V11008" i="2" s="1"/>
  <c r="Q11008" i="2"/>
  <c r="P11004" i="2"/>
  <c r="V11004" i="2" s="1"/>
  <c r="Q11004" i="2"/>
  <c r="P11000" i="2"/>
  <c r="V11000" i="2" s="1"/>
  <c r="Q11000" i="2"/>
  <c r="P10996" i="2"/>
  <c r="V10996" i="2" s="1"/>
  <c r="Q10996" i="2"/>
  <c r="P10992" i="2"/>
  <c r="V10992" i="2" s="1"/>
  <c r="Q10992" i="2"/>
  <c r="P10988" i="2"/>
  <c r="V10988" i="2" s="1"/>
  <c r="Q10988" i="2"/>
  <c r="P10984" i="2"/>
  <c r="V10984" i="2" s="1"/>
  <c r="Q10984" i="2"/>
  <c r="P10980" i="2"/>
  <c r="V10980" i="2" s="1"/>
  <c r="Q10980" i="2"/>
  <c r="P10976" i="2"/>
  <c r="V10976" i="2" s="1"/>
  <c r="Q10976" i="2"/>
  <c r="P10972" i="2"/>
  <c r="V10972" i="2" s="1"/>
  <c r="Q10972" i="2"/>
  <c r="P10968" i="2"/>
  <c r="V10968" i="2" s="1"/>
  <c r="Q10968" i="2"/>
  <c r="P10964" i="2"/>
  <c r="V10964" i="2" s="1"/>
  <c r="Q10964" i="2"/>
  <c r="P10960" i="2"/>
  <c r="V10960" i="2" s="1"/>
  <c r="Q10960" i="2"/>
  <c r="P10956" i="2"/>
  <c r="V10956" i="2" s="1"/>
  <c r="Q10956" i="2"/>
  <c r="P10952" i="2"/>
  <c r="V10952" i="2" s="1"/>
  <c r="Q10952" i="2"/>
  <c r="P10948" i="2"/>
  <c r="V10948" i="2" s="1"/>
  <c r="Q10948" i="2"/>
  <c r="P10944" i="2"/>
  <c r="V10944" i="2" s="1"/>
  <c r="Q10944" i="2"/>
  <c r="P10940" i="2"/>
  <c r="V10940" i="2" s="1"/>
  <c r="Q10940" i="2"/>
  <c r="P10936" i="2"/>
  <c r="V10936" i="2" s="1"/>
  <c r="Q10936" i="2"/>
  <c r="P10932" i="2"/>
  <c r="V10932" i="2" s="1"/>
  <c r="Q10932" i="2"/>
  <c r="P10928" i="2"/>
  <c r="V10928" i="2" s="1"/>
  <c r="Q10928" i="2"/>
  <c r="P10924" i="2"/>
  <c r="V10924" i="2" s="1"/>
  <c r="Q10924" i="2"/>
  <c r="P10920" i="2"/>
  <c r="V10920" i="2" s="1"/>
  <c r="Q10920" i="2"/>
  <c r="P10916" i="2"/>
  <c r="V10916" i="2" s="1"/>
  <c r="Q10916" i="2"/>
  <c r="P10912" i="2"/>
  <c r="V10912" i="2" s="1"/>
  <c r="Q10912" i="2"/>
  <c r="P10908" i="2"/>
  <c r="V10908" i="2" s="1"/>
  <c r="Q10908" i="2"/>
  <c r="P10904" i="2"/>
  <c r="V10904" i="2" s="1"/>
  <c r="Q10904" i="2"/>
  <c r="P10900" i="2"/>
  <c r="V10900" i="2" s="1"/>
  <c r="Q10900" i="2"/>
  <c r="P10896" i="2"/>
  <c r="V10896" i="2" s="1"/>
  <c r="Q10896" i="2"/>
  <c r="P10892" i="2"/>
  <c r="V10892" i="2" s="1"/>
  <c r="Q10892" i="2"/>
  <c r="P10888" i="2"/>
  <c r="V10888" i="2" s="1"/>
  <c r="Q10888" i="2"/>
  <c r="P10884" i="2"/>
  <c r="V10884" i="2" s="1"/>
  <c r="Q10884" i="2"/>
  <c r="P10880" i="2"/>
  <c r="V10880" i="2" s="1"/>
  <c r="Q10880" i="2"/>
  <c r="P10876" i="2"/>
  <c r="V10876" i="2" s="1"/>
  <c r="Q10876" i="2"/>
  <c r="P10872" i="2"/>
  <c r="V10872" i="2" s="1"/>
  <c r="Q10872" i="2"/>
  <c r="P10868" i="2"/>
  <c r="V10868" i="2" s="1"/>
  <c r="Q10868" i="2"/>
  <c r="P10864" i="2"/>
  <c r="V10864" i="2" s="1"/>
  <c r="Q10864" i="2"/>
  <c r="P10860" i="2"/>
  <c r="V10860" i="2" s="1"/>
  <c r="Q10860" i="2"/>
  <c r="P10856" i="2"/>
  <c r="V10856" i="2" s="1"/>
  <c r="Q10856" i="2"/>
  <c r="P10852" i="2"/>
  <c r="V10852" i="2" s="1"/>
  <c r="Q10852" i="2"/>
  <c r="P10848" i="2"/>
  <c r="V10848" i="2" s="1"/>
  <c r="Q10848" i="2"/>
  <c r="P10844" i="2"/>
  <c r="V10844" i="2" s="1"/>
  <c r="Q10844" i="2"/>
  <c r="P10840" i="2"/>
  <c r="V10840" i="2" s="1"/>
  <c r="Q10840" i="2"/>
  <c r="P10836" i="2"/>
  <c r="V10836" i="2" s="1"/>
  <c r="Q10836" i="2"/>
  <c r="P10832" i="2"/>
  <c r="V10832" i="2" s="1"/>
  <c r="Q10832" i="2"/>
  <c r="P10828" i="2"/>
  <c r="V10828" i="2" s="1"/>
  <c r="Q10828" i="2"/>
  <c r="P10824" i="2"/>
  <c r="V10824" i="2" s="1"/>
  <c r="Q10824" i="2"/>
  <c r="P10820" i="2"/>
  <c r="V10820" i="2" s="1"/>
  <c r="Q10820" i="2"/>
  <c r="P10816" i="2"/>
  <c r="V10816" i="2" s="1"/>
  <c r="Q10816" i="2"/>
  <c r="P10812" i="2"/>
  <c r="V10812" i="2" s="1"/>
  <c r="Q10812" i="2"/>
  <c r="P10808" i="2"/>
  <c r="V10808" i="2" s="1"/>
  <c r="Q10808" i="2"/>
  <c r="P10804" i="2"/>
  <c r="V10804" i="2" s="1"/>
  <c r="Q10804" i="2"/>
  <c r="P10800" i="2"/>
  <c r="V10800" i="2" s="1"/>
  <c r="Q10800" i="2"/>
  <c r="P10796" i="2"/>
  <c r="V10796" i="2" s="1"/>
  <c r="Q10796" i="2"/>
  <c r="P10792" i="2"/>
  <c r="V10792" i="2" s="1"/>
  <c r="Q10792" i="2"/>
  <c r="P10788" i="2"/>
  <c r="V10788" i="2" s="1"/>
  <c r="Q10788" i="2"/>
  <c r="P10784" i="2"/>
  <c r="V10784" i="2" s="1"/>
  <c r="Q10784" i="2"/>
  <c r="P10780" i="2"/>
  <c r="V10780" i="2" s="1"/>
  <c r="Q10780" i="2"/>
  <c r="P10776" i="2"/>
  <c r="V10776" i="2" s="1"/>
  <c r="Q10776" i="2"/>
  <c r="P10772" i="2"/>
  <c r="V10772" i="2" s="1"/>
  <c r="Q10772" i="2"/>
  <c r="P10768" i="2"/>
  <c r="V10768" i="2" s="1"/>
  <c r="Q10768" i="2"/>
  <c r="P10764" i="2"/>
  <c r="V10764" i="2" s="1"/>
  <c r="Q10764" i="2"/>
  <c r="P10760" i="2"/>
  <c r="V10760" i="2" s="1"/>
  <c r="Q10760" i="2"/>
  <c r="P10756" i="2"/>
  <c r="V10756" i="2" s="1"/>
  <c r="Q10756" i="2"/>
  <c r="P10752" i="2"/>
  <c r="V10752" i="2" s="1"/>
  <c r="Q10752" i="2"/>
  <c r="P10748" i="2"/>
  <c r="V10748" i="2" s="1"/>
  <c r="Q10748" i="2"/>
  <c r="P10744" i="2"/>
  <c r="V10744" i="2" s="1"/>
  <c r="Q10744" i="2"/>
  <c r="P10740" i="2"/>
  <c r="V10740" i="2" s="1"/>
  <c r="Q10740" i="2"/>
  <c r="P10736" i="2"/>
  <c r="V10736" i="2" s="1"/>
  <c r="Q10736" i="2"/>
  <c r="P10732" i="2"/>
  <c r="V10732" i="2" s="1"/>
  <c r="Q10732" i="2"/>
  <c r="P10728" i="2"/>
  <c r="V10728" i="2" s="1"/>
  <c r="Q10728" i="2"/>
  <c r="P10724" i="2"/>
  <c r="V10724" i="2" s="1"/>
  <c r="Q10724" i="2"/>
  <c r="P10720" i="2"/>
  <c r="V10720" i="2" s="1"/>
  <c r="Q10720" i="2"/>
  <c r="P10716" i="2"/>
  <c r="V10716" i="2" s="1"/>
  <c r="Q10716" i="2"/>
  <c r="P10712" i="2"/>
  <c r="V10712" i="2" s="1"/>
  <c r="Q10712" i="2"/>
  <c r="P10708" i="2"/>
  <c r="V10708" i="2" s="1"/>
  <c r="Q10708" i="2"/>
  <c r="P10704" i="2"/>
  <c r="V10704" i="2" s="1"/>
  <c r="Q10704" i="2"/>
  <c r="P10700" i="2"/>
  <c r="V10700" i="2" s="1"/>
  <c r="Q10700" i="2"/>
  <c r="P10696" i="2"/>
  <c r="V10696" i="2" s="1"/>
  <c r="Q10696" i="2"/>
  <c r="P10692" i="2"/>
  <c r="V10692" i="2" s="1"/>
  <c r="Q10692" i="2"/>
  <c r="P10688" i="2"/>
  <c r="V10688" i="2" s="1"/>
  <c r="Q10688" i="2"/>
  <c r="P10684" i="2"/>
  <c r="V10684" i="2" s="1"/>
  <c r="Q10684" i="2"/>
  <c r="P10680" i="2"/>
  <c r="V10680" i="2" s="1"/>
  <c r="Q10680" i="2"/>
  <c r="P10676" i="2"/>
  <c r="V10676" i="2" s="1"/>
  <c r="Q10676" i="2"/>
  <c r="P10672" i="2"/>
  <c r="V10672" i="2" s="1"/>
  <c r="Q10672" i="2"/>
  <c r="P10668" i="2"/>
  <c r="V10668" i="2" s="1"/>
  <c r="Q10668" i="2"/>
  <c r="P10664" i="2"/>
  <c r="V10664" i="2" s="1"/>
  <c r="Q10664" i="2"/>
  <c r="P10660" i="2"/>
  <c r="V10660" i="2" s="1"/>
  <c r="Q10660" i="2"/>
  <c r="P10656" i="2"/>
  <c r="V10656" i="2" s="1"/>
  <c r="Q10656" i="2"/>
  <c r="P10652" i="2"/>
  <c r="V10652" i="2" s="1"/>
  <c r="Q10652" i="2"/>
  <c r="P10648" i="2"/>
  <c r="V10648" i="2" s="1"/>
  <c r="Q10648" i="2"/>
  <c r="P10644" i="2"/>
  <c r="V10644" i="2" s="1"/>
  <c r="Q10644" i="2"/>
  <c r="P10640" i="2"/>
  <c r="V10640" i="2" s="1"/>
  <c r="Q10640" i="2"/>
  <c r="P10636" i="2"/>
  <c r="V10636" i="2" s="1"/>
  <c r="Q10636" i="2"/>
  <c r="P10632" i="2"/>
  <c r="V10632" i="2" s="1"/>
  <c r="Q10632" i="2"/>
  <c r="P10628" i="2"/>
  <c r="V10628" i="2" s="1"/>
  <c r="Q10628" i="2"/>
  <c r="P10624" i="2"/>
  <c r="V10624" i="2" s="1"/>
  <c r="Q10624" i="2"/>
  <c r="P10620" i="2"/>
  <c r="V10620" i="2" s="1"/>
  <c r="Q10620" i="2"/>
  <c r="P10616" i="2"/>
  <c r="V10616" i="2" s="1"/>
  <c r="Q10616" i="2"/>
  <c r="P10612" i="2"/>
  <c r="V10612" i="2" s="1"/>
  <c r="Q10612" i="2"/>
  <c r="P10608" i="2"/>
  <c r="V10608" i="2" s="1"/>
  <c r="Q10608" i="2"/>
  <c r="P10604" i="2"/>
  <c r="V10604" i="2" s="1"/>
  <c r="Q10604" i="2"/>
  <c r="P10600" i="2"/>
  <c r="V10600" i="2" s="1"/>
  <c r="Q10600" i="2"/>
  <c r="P10596" i="2"/>
  <c r="V10596" i="2" s="1"/>
  <c r="Q10596" i="2"/>
  <c r="P10592" i="2"/>
  <c r="V10592" i="2" s="1"/>
  <c r="Q10592" i="2"/>
  <c r="P10588" i="2"/>
  <c r="V10588" i="2" s="1"/>
  <c r="Q10588" i="2"/>
  <c r="P10584" i="2"/>
  <c r="V10584" i="2" s="1"/>
  <c r="Q10584" i="2"/>
  <c r="P10580" i="2"/>
  <c r="V10580" i="2" s="1"/>
  <c r="Q10580" i="2"/>
  <c r="P10576" i="2"/>
  <c r="V10576" i="2" s="1"/>
  <c r="Q10576" i="2"/>
  <c r="P10572" i="2"/>
  <c r="V10572" i="2" s="1"/>
  <c r="Q10572" i="2"/>
  <c r="P10568" i="2"/>
  <c r="V10568" i="2" s="1"/>
  <c r="Q10568" i="2"/>
  <c r="P10564" i="2"/>
  <c r="V10564" i="2" s="1"/>
  <c r="Q10564" i="2"/>
  <c r="P10560" i="2"/>
  <c r="V10560" i="2" s="1"/>
  <c r="Q10560" i="2"/>
  <c r="P10556" i="2"/>
  <c r="V10556" i="2" s="1"/>
  <c r="Q10556" i="2"/>
  <c r="P10552" i="2"/>
  <c r="V10552" i="2" s="1"/>
  <c r="Q10552" i="2"/>
  <c r="P10548" i="2"/>
  <c r="V10548" i="2" s="1"/>
  <c r="Q10548" i="2"/>
  <c r="P10544" i="2"/>
  <c r="V10544" i="2" s="1"/>
  <c r="Q10544" i="2"/>
  <c r="P10540" i="2"/>
  <c r="V10540" i="2" s="1"/>
  <c r="Q10540" i="2"/>
  <c r="P10536" i="2"/>
  <c r="V10536" i="2" s="1"/>
  <c r="Q10536" i="2"/>
  <c r="P10532" i="2"/>
  <c r="V10532" i="2" s="1"/>
  <c r="Q10532" i="2"/>
  <c r="P10528" i="2"/>
  <c r="V10528" i="2" s="1"/>
  <c r="Q10528" i="2"/>
  <c r="P10524" i="2"/>
  <c r="V10524" i="2" s="1"/>
  <c r="Q10524" i="2"/>
  <c r="P10520" i="2"/>
  <c r="V10520" i="2" s="1"/>
  <c r="Q10520" i="2"/>
  <c r="P10516" i="2"/>
  <c r="V10516" i="2" s="1"/>
  <c r="Q10516" i="2"/>
  <c r="P10512" i="2"/>
  <c r="V10512" i="2" s="1"/>
  <c r="Q10512" i="2"/>
  <c r="P10508" i="2"/>
  <c r="V10508" i="2" s="1"/>
  <c r="Q10508" i="2"/>
  <c r="P10504" i="2"/>
  <c r="V10504" i="2" s="1"/>
  <c r="Q10504" i="2"/>
  <c r="P10500" i="2"/>
  <c r="V10500" i="2" s="1"/>
  <c r="Q10500" i="2"/>
  <c r="P10496" i="2"/>
  <c r="V10496" i="2" s="1"/>
  <c r="Q10496" i="2"/>
  <c r="P10492" i="2"/>
  <c r="V10492" i="2" s="1"/>
  <c r="Q10492" i="2"/>
  <c r="P10488" i="2"/>
  <c r="V10488" i="2" s="1"/>
  <c r="Q10488" i="2"/>
  <c r="P10484" i="2"/>
  <c r="V10484" i="2" s="1"/>
  <c r="Q10484" i="2"/>
  <c r="P10480" i="2"/>
  <c r="V10480" i="2" s="1"/>
  <c r="Q10480" i="2"/>
  <c r="P10476" i="2"/>
  <c r="V10476" i="2" s="1"/>
  <c r="Q10476" i="2"/>
  <c r="P10472" i="2"/>
  <c r="V10472" i="2" s="1"/>
  <c r="Q10472" i="2"/>
  <c r="P10468" i="2"/>
  <c r="V10468" i="2" s="1"/>
  <c r="Q10468" i="2"/>
  <c r="P10464" i="2"/>
  <c r="V10464" i="2" s="1"/>
  <c r="Q10464" i="2"/>
  <c r="P10460" i="2"/>
  <c r="V10460" i="2" s="1"/>
  <c r="Q10460" i="2"/>
  <c r="P10456" i="2"/>
  <c r="V10456" i="2" s="1"/>
  <c r="Q10456" i="2"/>
  <c r="P10452" i="2"/>
  <c r="V10452" i="2" s="1"/>
  <c r="Q10452" i="2"/>
  <c r="P10448" i="2"/>
  <c r="V10448" i="2" s="1"/>
  <c r="Q10448" i="2"/>
  <c r="P10444" i="2"/>
  <c r="V10444" i="2" s="1"/>
  <c r="Q10444" i="2"/>
  <c r="P10440" i="2"/>
  <c r="V10440" i="2" s="1"/>
  <c r="Q10440" i="2"/>
  <c r="P10436" i="2"/>
  <c r="V10436" i="2" s="1"/>
  <c r="Q10436" i="2"/>
  <c r="P10432" i="2"/>
  <c r="V10432" i="2" s="1"/>
  <c r="Q10432" i="2"/>
  <c r="P10428" i="2"/>
  <c r="V10428" i="2" s="1"/>
  <c r="Q10428" i="2"/>
  <c r="P10424" i="2"/>
  <c r="V10424" i="2" s="1"/>
  <c r="Q10424" i="2"/>
  <c r="P10420" i="2"/>
  <c r="V10420" i="2" s="1"/>
  <c r="Q10420" i="2"/>
  <c r="P10416" i="2"/>
  <c r="V10416" i="2" s="1"/>
  <c r="Q10416" i="2"/>
  <c r="P10412" i="2"/>
  <c r="V10412" i="2" s="1"/>
  <c r="Q10412" i="2"/>
  <c r="P10408" i="2"/>
  <c r="V10408" i="2" s="1"/>
  <c r="Q10408" i="2"/>
  <c r="P10404" i="2"/>
  <c r="V10404" i="2" s="1"/>
  <c r="Q10404" i="2"/>
  <c r="P10400" i="2"/>
  <c r="V10400" i="2" s="1"/>
  <c r="Q10400" i="2"/>
  <c r="P10396" i="2"/>
  <c r="V10396" i="2" s="1"/>
  <c r="Q10396" i="2"/>
  <c r="P10392" i="2"/>
  <c r="V10392" i="2" s="1"/>
  <c r="Q10392" i="2"/>
  <c r="P10388" i="2"/>
  <c r="V10388" i="2" s="1"/>
  <c r="Q10388" i="2"/>
  <c r="P10384" i="2"/>
  <c r="V10384" i="2" s="1"/>
  <c r="Q10384" i="2"/>
  <c r="P10380" i="2"/>
  <c r="V10380" i="2" s="1"/>
  <c r="Q10380" i="2"/>
  <c r="P10376" i="2"/>
  <c r="V10376" i="2" s="1"/>
  <c r="Q10376" i="2"/>
  <c r="P10372" i="2"/>
  <c r="V10372" i="2" s="1"/>
  <c r="Q10372" i="2"/>
  <c r="P10368" i="2"/>
  <c r="V10368" i="2" s="1"/>
  <c r="Q10368" i="2"/>
  <c r="P10364" i="2"/>
  <c r="V10364" i="2" s="1"/>
  <c r="Q10364" i="2"/>
  <c r="P10360" i="2"/>
  <c r="V10360" i="2" s="1"/>
  <c r="Q10360" i="2"/>
  <c r="P10356" i="2"/>
  <c r="V10356" i="2" s="1"/>
  <c r="Q10356" i="2"/>
  <c r="P10352" i="2"/>
  <c r="V10352" i="2" s="1"/>
  <c r="Q10352" i="2"/>
  <c r="P10348" i="2"/>
  <c r="V10348" i="2" s="1"/>
  <c r="Q10348" i="2"/>
  <c r="P10344" i="2"/>
  <c r="V10344" i="2" s="1"/>
  <c r="Q10344" i="2"/>
  <c r="P10340" i="2"/>
  <c r="V10340" i="2" s="1"/>
  <c r="Q10340" i="2"/>
  <c r="P10336" i="2"/>
  <c r="V10336" i="2" s="1"/>
  <c r="Q10336" i="2"/>
  <c r="P10332" i="2"/>
  <c r="V10332" i="2" s="1"/>
  <c r="Q10332" i="2"/>
  <c r="P10328" i="2"/>
  <c r="V10328" i="2" s="1"/>
  <c r="Q10328" i="2"/>
  <c r="P10324" i="2"/>
  <c r="V10324" i="2" s="1"/>
  <c r="Q10324" i="2"/>
  <c r="P10320" i="2"/>
  <c r="V10320" i="2" s="1"/>
  <c r="Q10320" i="2"/>
  <c r="P10316" i="2"/>
  <c r="V10316" i="2" s="1"/>
  <c r="Q10316" i="2"/>
  <c r="P10312" i="2"/>
  <c r="V10312" i="2" s="1"/>
  <c r="Q10312" i="2"/>
  <c r="P10308" i="2"/>
  <c r="V10308" i="2" s="1"/>
  <c r="Q10308" i="2"/>
  <c r="P10304" i="2"/>
  <c r="V10304" i="2" s="1"/>
  <c r="Q10304" i="2"/>
  <c r="P10300" i="2"/>
  <c r="V10300" i="2" s="1"/>
  <c r="Q10300" i="2"/>
  <c r="P10296" i="2"/>
  <c r="V10296" i="2" s="1"/>
  <c r="Q10296" i="2"/>
  <c r="P10292" i="2"/>
  <c r="V10292" i="2" s="1"/>
  <c r="Q10292" i="2"/>
  <c r="P10288" i="2"/>
  <c r="V10288" i="2" s="1"/>
  <c r="Q10288" i="2"/>
  <c r="P10284" i="2"/>
  <c r="V10284" i="2" s="1"/>
  <c r="Q10284" i="2"/>
  <c r="P10280" i="2"/>
  <c r="V10280" i="2" s="1"/>
  <c r="Q10280" i="2"/>
  <c r="P10276" i="2"/>
  <c r="V10276" i="2" s="1"/>
  <c r="Q10276" i="2"/>
  <c r="P10272" i="2"/>
  <c r="V10272" i="2" s="1"/>
  <c r="Q10272" i="2"/>
  <c r="P10268" i="2"/>
  <c r="V10268" i="2" s="1"/>
  <c r="Q10268" i="2"/>
  <c r="P10264" i="2"/>
  <c r="V10264" i="2" s="1"/>
  <c r="Q10264" i="2"/>
  <c r="P10260" i="2"/>
  <c r="V10260" i="2" s="1"/>
  <c r="Q10260" i="2"/>
  <c r="P10256" i="2"/>
  <c r="V10256" i="2" s="1"/>
  <c r="Q10256" i="2"/>
  <c r="P10252" i="2"/>
  <c r="V10252" i="2" s="1"/>
  <c r="Q10252" i="2"/>
  <c r="P10248" i="2"/>
  <c r="V10248" i="2" s="1"/>
  <c r="Q10248" i="2"/>
  <c r="P10244" i="2"/>
  <c r="V10244" i="2" s="1"/>
  <c r="Q10244" i="2"/>
  <c r="P10240" i="2"/>
  <c r="V10240" i="2" s="1"/>
  <c r="Q10240" i="2"/>
  <c r="P10236" i="2"/>
  <c r="V10236" i="2" s="1"/>
  <c r="Q10236" i="2"/>
  <c r="P10232" i="2"/>
  <c r="V10232" i="2" s="1"/>
  <c r="Q10232" i="2"/>
  <c r="P10228" i="2"/>
  <c r="V10228" i="2" s="1"/>
  <c r="Q10228" i="2"/>
  <c r="P10224" i="2"/>
  <c r="V10224" i="2" s="1"/>
  <c r="Q10224" i="2"/>
  <c r="P10220" i="2"/>
  <c r="V10220" i="2" s="1"/>
  <c r="Q10220" i="2"/>
  <c r="P10216" i="2"/>
  <c r="V10216" i="2" s="1"/>
  <c r="Q10216" i="2"/>
  <c r="P10212" i="2"/>
  <c r="V10212" i="2" s="1"/>
  <c r="Q10212" i="2"/>
  <c r="P10208" i="2"/>
  <c r="V10208" i="2" s="1"/>
  <c r="Q10208" i="2"/>
  <c r="P10204" i="2"/>
  <c r="V10204" i="2" s="1"/>
  <c r="Q10204" i="2"/>
  <c r="P10200" i="2"/>
  <c r="V10200" i="2" s="1"/>
  <c r="Q10200" i="2"/>
  <c r="P10196" i="2"/>
  <c r="V10196" i="2" s="1"/>
  <c r="Q10196" i="2"/>
  <c r="P10192" i="2"/>
  <c r="V10192" i="2" s="1"/>
  <c r="Q10192" i="2"/>
  <c r="P10188" i="2"/>
  <c r="V10188" i="2" s="1"/>
  <c r="Q10188" i="2"/>
  <c r="P10184" i="2"/>
  <c r="V10184" i="2" s="1"/>
  <c r="Q10184" i="2"/>
  <c r="P10180" i="2"/>
  <c r="V10180" i="2" s="1"/>
  <c r="Q10180" i="2"/>
  <c r="P10176" i="2"/>
  <c r="V10176" i="2" s="1"/>
  <c r="Q10176" i="2"/>
  <c r="P10172" i="2"/>
  <c r="V10172" i="2" s="1"/>
  <c r="Q10172" i="2"/>
  <c r="P10168" i="2"/>
  <c r="V10168" i="2" s="1"/>
  <c r="Q10168" i="2"/>
  <c r="P10164" i="2"/>
  <c r="V10164" i="2" s="1"/>
  <c r="Q10164" i="2"/>
  <c r="P10160" i="2"/>
  <c r="V10160" i="2" s="1"/>
  <c r="Q10160" i="2"/>
  <c r="P10156" i="2"/>
  <c r="V10156" i="2" s="1"/>
  <c r="Q10156" i="2"/>
  <c r="P10152" i="2"/>
  <c r="V10152" i="2" s="1"/>
  <c r="Q10152" i="2"/>
  <c r="P10148" i="2"/>
  <c r="V10148" i="2" s="1"/>
  <c r="Q10148" i="2"/>
  <c r="P10144" i="2"/>
  <c r="V10144" i="2" s="1"/>
  <c r="Q10144" i="2"/>
  <c r="P10140" i="2"/>
  <c r="V10140" i="2" s="1"/>
  <c r="Q10140" i="2"/>
  <c r="P10136" i="2"/>
  <c r="V10136" i="2" s="1"/>
  <c r="Q10136" i="2"/>
  <c r="P10132" i="2"/>
  <c r="V10132" i="2" s="1"/>
  <c r="Q10132" i="2"/>
  <c r="P10128" i="2"/>
  <c r="V10128" i="2" s="1"/>
  <c r="Q10128" i="2"/>
  <c r="P10124" i="2"/>
  <c r="V10124" i="2" s="1"/>
  <c r="Q10124" i="2"/>
  <c r="P10120" i="2"/>
  <c r="V10120" i="2" s="1"/>
  <c r="Q10120" i="2"/>
  <c r="P10116" i="2"/>
  <c r="V10116" i="2" s="1"/>
  <c r="Q10116" i="2"/>
  <c r="P10112" i="2"/>
  <c r="V10112" i="2" s="1"/>
  <c r="Q10112" i="2"/>
  <c r="P10108" i="2"/>
  <c r="V10108" i="2" s="1"/>
  <c r="Q10108" i="2"/>
  <c r="P10104" i="2"/>
  <c r="V10104" i="2" s="1"/>
  <c r="Q10104" i="2"/>
  <c r="P10100" i="2"/>
  <c r="V10100" i="2" s="1"/>
  <c r="Q10100" i="2"/>
  <c r="P10096" i="2"/>
  <c r="V10096" i="2" s="1"/>
  <c r="Q10096" i="2"/>
  <c r="P10092" i="2"/>
  <c r="V10092" i="2" s="1"/>
  <c r="Q10092" i="2"/>
  <c r="P10088" i="2"/>
  <c r="V10088" i="2" s="1"/>
  <c r="Q10088" i="2"/>
  <c r="P10084" i="2"/>
  <c r="V10084" i="2" s="1"/>
  <c r="Q10084" i="2"/>
  <c r="P10080" i="2"/>
  <c r="V10080" i="2" s="1"/>
  <c r="Q10080" i="2"/>
  <c r="P10076" i="2"/>
  <c r="V10076" i="2" s="1"/>
  <c r="Q10076" i="2"/>
  <c r="P10072" i="2"/>
  <c r="V10072" i="2" s="1"/>
  <c r="Q10072" i="2"/>
  <c r="P10068" i="2"/>
  <c r="V10068" i="2" s="1"/>
  <c r="Q10068" i="2"/>
  <c r="P10064" i="2"/>
  <c r="V10064" i="2" s="1"/>
  <c r="Q10064" i="2"/>
  <c r="P10060" i="2"/>
  <c r="V10060" i="2" s="1"/>
  <c r="Q10060" i="2"/>
  <c r="P10056" i="2"/>
  <c r="V10056" i="2" s="1"/>
  <c r="Q10056" i="2"/>
  <c r="P10052" i="2"/>
  <c r="V10052" i="2" s="1"/>
  <c r="Q10052" i="2"/>
  <c r="P10048" i="2"/>
  <c r="V10048" i="2" s="1"/>
  <c r="Q10048" i="2"/>
  <c r="P10044" i="2"/>
  <c r="V10044" i="2" s="1"/>
  <c r="Q10044" i="2"/>
  <c r="P10040" i="2"/>
  <c r="V10040" i="2" s="1"/>
  <c r="Q10040" i="2"/>
  <c r="P10036" i="2"/>
  <c r="V10036" i="2" s="1"/>
  <c r="Q10036" i="2"/>
  <c r="P10032" i="2"/>
  <c r="V10032" i="2" s="1"/>
  <c r="Q10032" i="2"/>
  <c r="P10028" i="2"/>
  <c r="V10028" i="2" s="1"/>
  <c r="Q10028" i="2"/>
  <c r="P10024" i="2"/>
  <c r="V10024" i="2" s="1"/>
  <c r="Q10024" i="2"/>
  <c r="P10020" i="2"/>
  <c r="V10020" i="2" s="1"/>
  <c r="Q10020" i="2"/>
  <c r="P10016" i="2"/>
  <c r="V10016" i="2" s="1"/>
  <c r="Q10016" i="2"/>
  <c r="P10012" i="2"/>
  <c r="V10012" i="2" s="1"/>
  <c r="Q10012" i="2"/>
  <c r="P10008" i="2"/>
  <c r="V10008" i="2" s="1"/>
  <c r="Q10008" i="2"/>
  <c r="P10004" i="2"/>
  <c r="V10004" i="2" s="1"/>
  <c r="Q10004" i="2"/>
  <c r="P10000" i="2"/>
  <c r="V10000" i="2" s="1"/>
  <c r="Q10000" i="2"/>
  <c r="P9996" i="2"/>
  <c r="V9996" i="2" s="1"/>
  <c r="Q9996" i="2"/>
  <c r="P9992" i="2"/>
  <c r="V9992" i="2" s="1"/>
  <c r="Q9992" i="2"/>
  <c r="P9988" i="2"/>
  <c r="V9988" i="2" s="1"/>
  <c r="Q9988" i="2"/>
  <c r="P9984" i="2"/>
  <c r="V9984" i="2" s="1"/>
  <c r="Q9984" i="2"/>
  <c r="P9980" i="2"/>
  <c r="V9980" i="2" s="1"/>
  <c r="Q9980" i="2"/>
  <c r="P9976" i="2"/>
  <c r="V9976" i="2" s="1"/>
  <c r="Q9976" i="2"/>
  <c r="P9972" i="2"/>
  <c r="V9972" i="2" s="1"/>
  <c r="Q9972" i="2"/>
  <c r="P9968" i="2"/>
  <c r="V9968" i="2" s="1"/>
  <c r="Q9968" i="2"/>
  <c r="P9964" i="2"/>
  <c r="V9964" i="2" s="1"/>
  <c r="Q9964" i="2"/>
  <c r="P9960" i="2"/>
  <c r="V9960" i="2" s="1"/>
  <c r="Q9960" i="2"/>
  <c r="P9956" i="2"/>
  <c r="V9956" i="2" s="1"/>
  <c r="Q9956" i="2"/>
  <c r="P9952" i="2"/>
  <c r="V9952" i="2" s="1"/>
  <c r="Q9952" i="2"/>
  <c r="P9948" i="2"/>
  <c r="V9948" i="2" s="1"/>
  <c r="Q9948" i="2"/>
  <c r="P9944" i="2"/>
  <c r="V9944" i="2" s="1"/>
  <c r="Q9944" i="2"/>
  <c r="P9940" i="2"/>
  <c r="V9940" i="2" s="1"/>
  <c r="Q9940" i="2"/>
  <c r="P9936" i="2"/>
  <c r="V9936" i="2" s="1"/>
  <c r="Q9936" i="2"/>
  <c r="P9932" i="2"/>
  <c r="V9932" i="2" s="1"/>
  <c r="Q9932" i="2"/>
  <c r="P9928" i="2"/>
  <c r="V9928" i="2" s="1"/>
  <c r="Q9928" i="2"/>
  <c r="P9924" i="2"/>
  <c r="V9924" i="2" s="1"/>
  <c r="Q9924" i="2"/>
  <c r="P9920" i="2"/>
  <c r="V9920" i="2" s="1"/>
  <c r="Q9920" i="2"/>
  <c r="P9916" i="2"/>
  <c r="V9916" i="2" s="1"/>
  <c r="Q9916" i="2"/>
  <c r="P9912" i="2"/>
  <c r="V9912" i="2" s="1"/>
  <c r="Q9912" i="2"/>
  <c r="P9908" i="2"/>
  <c r="V9908" i="2" s="1"/>
  <c r="Q9908" i="2"/>
  <c r="P9904" i="2"/>
  <c r="V9904" i="2" s="1"/>
  <c r="Q9904" i="2"/>
  <c r="P9900" i="2"/>
  <c r="V9900" i="2" s="1"/>
  <c r="Q9900" i="2"/>
  <c r="P9896" i="2"/>
  <c r="V9896" i="2" s="1"/>
  <c r="Q9896" i="2"/>
  <c r="P9892" i="2"/>
  <c r="V9892" i="2" s="1"/>
  <c r="Q9892" i="2"/>
  <c r="P9888" i="2"/>
  <c r="V9888" i="2" s="1"/>
  <c r="Q9888" i="2"/>
  <c r="P9884" i="2"/>
  <c r="V9884" i="2" s="1"/>
  <c r="Q9884" i="2"/>
  <c r="P9880" i="2"/>
  <c r="V9880" i="2" s="1"/>
  <c r="Q9880" i="2"/>
  <c r="P9876" i="2"/>
  <c r="V9876" i="2" s="1"/>
  <c r="Q9876" i="2"/>
  <c r="P9872" i="2"/>
  <c r="V9872" i="2" s="1"/>
  <c r="Q9872" i="2"/>
  <c r="P9868" i="2"/>
  <c r="V9868" i="2" s="1"/>
  <c r="Q9868" i="2"/>
  <c r="P9864" i="2"/>
  <c r="V9864" i="2" s="1"/>
  <c r="Q9864" i="2"/>
  <c r="P9860" i="2"/>
  <c r="V9860" i="2" s="1"/>
  <c r="Q9860" i="2"/>
  <c r="P9856" i="2"/>
  <c r="V9856" i="2" s="1"/>
  <c r="Q9856" i="2"/>
  <c r="P9852" i="2"/>
  <c r="V9852" i="2" s="1"/>
  <c r="Q9852" i="2"/>
  <c r="P9848" i="2"/>
  <c r="V9848" i="2" s="1"/>
  <c r="Q9848" i="2"/>
  <c r="P9844" i="2"/>
  <c r="V9844" i="2" s="1"/>
  <c r="Q9844" i="2"/>
  <c r="P9840" i="2"/>
  <c r="V9840" i="2" s="1"/>
  <c r="Q9840" i="2"/>
  <c r="P9836" i="2"/>
  <c r="V9836" i="2" s="1"/>
  <c r="Q9836" i="2"/>
  <c r="P9832" i="2"/>
  <c r="V9832" i="2" s="1"/>
  <c r="Q9832" i="2"/>
  <c r="P9828" i="2"/>
  <c r="V9828" i="2" s="1"/>
  <c r="Q9828" i="2"/>
  <c r="P9824" i="2"/>
  <c r="V9824" i="2" s="1"/>
  <c r="Q9824" i="2"/>
  <c r="P9820" i="2"/>
  <c r="V9820" i="2" s="1"/>
  <c r="Q9820" i="2"/>
  <c r="P9816" i="2"/>
  <c r="V9816" i="2" s="1"/>
  <c r="Q9816" i="2"/>
  <c r="P9812" i="2"/>
  <c r="V9812" i="2" s="1"/>
  <c r="Q9812" i="2"/>
  <c r="P9808" i="2"/>
  <c r="V9808" i="2" s="1"/>
  <c r="Q9808" i="2"/>
  <c r="P9804" i="2"/>
  <c r="V9804" i="2" s="1"/>
  <c r="Q9804" i="2"/>
  <c r="P9800" i="2"/>
  <c r="V9800" i="2" s="1"/>
  <c r="Q9800" i="2"/>
  <c r="P9796" i="2"/>
  <c r="V9796" i="2" s="1"/>
  <c r="Q9796" i="2"/>
  <c r="P9792" i="2"/>
  <c r="V9792" i="2" s="1"/>
  <c r="Q9792" i="2"/>
  <c r="P9788" i="2"/>
  <c r="V9788" i="2" s="1"/>
  <c r="Q9788" i="2"/>
  <c r="P9784" i="2"/>
  <c r="V9784" i="2" s="1"/>
  <c r="Q9784" i="2"/>
  <c r="P9780" i="2"/>
  <c r="V9780" i="2" s="1"/>
  <c r="Q9780" i="2"/>
  <c r="P9776" i="2"/>
  <c r="V9776" i="2" s="1"/>
  <c r="Q9776" i="2"/>
  <c r="P9772" i="2"/>
  <c r="V9772" i="2" s="1"/>
  <c r="Q9772" i="2"/>
  <c r="P9768" i="2"/>
  <c r="V9768" i="2" s="1"/>
  <c r="Q9768" i="2"/>
  <c r="P9764" i="2"/>
  <c r="V9764" i="2" s="1"/>
  <c r="Q9764" i="2"/>
  <c r="P9760" i="2"/>
  <c r="V9760" i="2" s="1"/>
  <c r="Q9760" i="2"/>
  <c r="P9756" i="2"/>
  <c r="V9756" i="2" s="1"/>
  <c r="Q9756" i="2"/>
  <c r="P9752" i="2"/>
  <c r="V9752" i="2" s="1"/>
  <c r="Q9752" i="2"/>
  <c r="P9748" i="2"/>
  <c r="V9748" i="2" s="1"/>
  <c r="Q9748" i="2"/>
  <c r="P9744" i="2"/>
  <c r="V9744" i="2" s="1"/>
  <c r="Q9744" i="2"/>
  <c r="P9740" i="2"/>
  <c r="V9740" i="2" s="1"/>
  <c r="Q9740" i="2"/>
  <c r="P9736" i="2"/>
  <c r="V9736" i="2" s="1"/>
  <c r="Q9736" i="2"/>
  <c r="P9732" i="2"/>
  <c r="V9732" i="2" s="1"/>
  <c r="Q9732" i="2"/>
  <c r="P9728" i="2"/>
  <c r="V9728" i="2" s="1"/>
  <c r="Q9728" i="2"/>
  <c r="P9724" i="2"/>
  <c r="V9724" i="2" s="1"/>
  <c r="Q9724" i="2"/>
  <c r="P9720" i="2"/>
  <c r="V9720" i="2" s="1"/>
  <c r="Q9720" i="2"/>
  <c r="P9716" i="2"/>
  <c r="V9716" i="2" s="1"/>
  <c r="Q9716" i="2"/>
  <c r="P9712" i="2"/>
  <c r="V9712" i="2" s="1"/>
  <c r="Q9712" i="2"/>
  <c r="P9708" i="2"/>
  <c r="V9708" i="2" s="1"/>
  <c r="Q9708" i="2"/>
  <c r="P9704" i="2"/>
  <c r="V9704" i="2" s="1"/>
  <c r="Q9704" i="2"/>
  <c r="P9700" i="2"/>
  <c r="V9700" i="2" s="1"/>
  <c r="Q9700" i="2"/>
  <c r="P9696" i="2"/>
  <c r="V9696" i="2" s="1"/>
  <c r="Q9696" i="2"/>
  <c r="P9692" i="2"/>
  <c r="V9692" i="2" s="1"/>
  <c r="Q9692" i="2"/>
  <c r="P9688" i="2"/>
  <c r="V9688" i="2" s="1"/>
  <c r="Q9688" i="2"/>
  <c r="P9684" i="2"/>
  <c r="V9684" i="2" s="1"/>
  <c r="Q9684" i="2"/>
  <c r="P9680" i="2"/>
  <c r="V9680" i="2" s="1"/>
  <c r="Q9680" i="2"/>
  <c r="P9676" i="2"/>
  <c r="V9676" i="2" s="1"/>
  <c r="Q9676" i="2"/>
  <c r="P9672" i="2"/>
  <c r="V9672" i="2" s="1"/>
  <c r="Q9672" i="2"/>
  <c r="P9668" i="2"/>
  <c r="V9668" i="2" s="1"/>
  <c r="Q9668" i="2"/>
  <c r="P9664" i="2"/>
  <c r="V9664" i="2" s="1"/>
  <c r="Q9664" i="2"/>
  <c r="P9660" i="2"/>
  <c r="V9660" i="2" s="1"/>
  <c r="Q9660" i="2"/>
  <c r="P9656" i="2"/>
  <c r="V9656" i="2" s="1"/>
  <c r="Q9656" i="2"/>
  <c r="P9652" i="2"/>
  <c r="V9652" i="2" s="1"/>
  <c r="Q9652" i="2"/>
  <c r="P9648" i="2"/>
  <c r="V9648" i="2" s="1"/>
  <c r="Q9648" i="2"/>
  <c r="P9644" i="2"/>
  <c r="V9644" i="2" s="1"/>
  <c r="Q9644" i="2"/>
  <c r="P9640" i="2"/>
  <c r="V9640" i="2" s="1"/>
  <c r="Q9640" i="2"/>
  <c r="P9636" i="2"/>
  <c r="V9636" i="2" s="1"/>
  <c r="Q9636" i="2"/>
  <c r="P9632" i="2"/>
  <c r="V9632" i="2" s="1"/>
  <c r="Q9632" i="2"/>
  <c r="P9628" i="2"/>
  <c r="V9628" i="2" s="1"/>
  <c r="Q9628" i="2"/>
  <c r="P9624" i="2"/>
  <c r="V9624" i="2" s="1"/>
  <c r="Q9624" i="2"/>
  <c r="P9620" i="2"/>
  <c r="V9620" i="2" s="1"/>
  <c r="Q9620" i="2"/>
  <c r="P9616" i="2"/>
  <c r="V9616" i="2" s="1"/>
  <c r="Q9616" i="2"/>
  <c r="P9612" i="2"/>
  <c r="V9612" i="2" s="1"/>
  <c r="Q9612" i="2"/>
  <c r="P9608" i="2"/>
  <c r="V9608" i="2" s="1"/>
  <c r="Q9608" i="2"/>
  <c r="P9604" i="2"/>
  <c r="V9604" i="2" s="1"/>
  <c r="Q9604" i="2"/>
  <c r="P9600" i="2"/>
  <c r="V9600" i="2" s="1"/>
  <c r="Q9600" i="2"/>
  <c r="P9596" i="2"/>
  <c r="V9596" i="2" s="1"/>
  <c r="Q9596" i="2"/>
  <c r="P9592" i="2"/>
  <c r="V9592" i="2" s="1"/>
  <c r="Q9592" i="2"/>
  <c r="P9588" i="2"/>
  <c r="V9588" i="2" s="1"/>
  <c r="Q9588" i="2"/>
  <c r="P9584" i="2"/>
  <c r="V9584" i="2" s="1"/>
  <c r="Q9584" i="2"/>
  <c r="P9580" i="2"/>
  <c r="V9580" i="2" s="1"/>
  <c r="Q9580" i="2"/>
  <c r="P9576" i="2"/>
  <c r="V9576" i="2" s="1"/>
  <c r="Q9576" i="2"/>
  <c r="P9572" i="2"/>
  <c r="V9572" i="2" s="1"/>
  <c r="Q9572" i="2"/>
  <c r="P9568" i="2"/>
  <c r="V9568" i="2" s="1"/>
  <c r="Q9568" i="2"/>
  <c r="P9564" i="2"/>
  <c r="V9564" i="2" s="1"/>
  <c r="Q9564" i="2"/>
  <c r="P9560" i="2"/>
  <c r="V9560" i="2" s="1"/>
  <c r="Q9560" i="2"/>
  <c r="P9556" i="2"/>
  <c r="V9556" i="2" s="1"/>
  <c r="Q9556" i="2"/>
  <c r="P9552" i="2"/>
  <c r="V9552" i="2" s="1"/>
  <c r="Q9552" i="2"/>
  <c r="P9548" i="2"/>
  <c r="V9548" i="2" s="1"/>
  <c r="Q9548" i="2"/>
  <c r="P9544" i="2"/>
  <c r="V9544" i="2" s="1"/>
  <c r="Q9544" i="2"/>
  <c r="P9540" i="2"/>
  <c r="V9540" i="2" s="1"/>
  <c r="Q9540" i="2"/>
  <c r="P9536" i="2"/>
  <c r="V9536" i="2" s="1"/>
  <c r="Q9536" i="2"/>
  <c r="P9532" i="2"/>
  <c r="V9532" i="2" s="1"/>
  <c r="Q9532" i="2"/>
  <c r="P9528" i="2"/>
  <c r="V9528" i="2" s="1"/>
  <c r="Q9528" i="2"/>
  <c r="P9524" i="2"/>
  <c r="V9524" i="2" s="1"/>
  <c r="Q9524" i="2"/>
  <c r="P9520" i="2"/>
  <c r="V9520" i="2" s="1"/>
  <c r="Q9520" i="2"/>
  <c r="P9516" i="2"/>
  <c r="V9516" i="2" s="1"/>
  <c r="Q9516" i="2"/>
  <c r="P9512" i="2"/>
  <c r="V9512" i="2" s="1"/>
  <c r="Q9512" i="2"/>
  <c r="P9508" i="2"/>
  <c r="V9508" i="2" s="1"/>
  <c r="Q9508" i="2"/>
  <c r="P9504" i="2"/>
  <c r="V9504" i="2" s="1"/>
  <c r="Q9504" i="2"/>
  <c r="P9500" i="2"/>
  <c r="V9500" i="2" s="1"/>
  <c r="Q9500" i="2"/>
  <c r="P9496" i="2"/>
  <c r="V9496" i="2" s="1"/>
  <c r="Q9496" i="2"/>
  <c r="P9492" i="2"/>
  <c r="V9492" i="2" s="1"/>
  <c r="Q9492" i="2"/>
  <c r="P9488" i="2"/>
  <c r="V9488" i="2" s="1"/>
  <c r="Q9488" i="2"/>
  <c r="P9484" i="2"/>
  <c r="V9484" i="2" s="1"/>
  <c r="Q9484" i="2"/>
  <c r="P9480" i="2"/>
  <c r="V9480" i="2" s="1"/>
  <c r="Q9480" i="2"/>
  <c r="P9476" i="2"/>
  <c r="V9476" i="2" s="1"/>
  <c r="Q9476" i="2"/>
  <c r="P9472" i="2"/>
  <c r="V9472" i="2" s="1"/>
  <c r="Q9472" i="2"/>
  <c r="P9468" i="2"/>
  <c r="V9468" i="2" s="1"/>
  <c r="Q9468" i="2"/>
  <c r="P9464" i="2"/>
  <c r="V9464" i="2" s="1"/>
  <c r="Q9464" i="2"/>
  <c r="P9460" i="2"/>
  <c r="V9460" i="2" s="1"/>
  <c r="Q9460" i="2"/>
  <c r="P9456" i="2"/>
  <c r="V9456" i="2" s="1"/>
  <c r="Q9456" i="2"/>
  <c r="P9452" i="2"/>
  <c r="V9452" i="2" s="1"/>
  <c r="Q9452" i="2"/>
  <c r="P9448" i="2"/>
  <c r="V9448" i="2" s="1"/>
  <c r="Q9448" i="2"/>
  <c r="P9444" i="2"/>
  <c r="V9444" i="2" s="1"/>
  <c r="Q9444" i="2"/>
  <c r="P9440" i="2"/>
  <c r="V9440" i="2" s="1"/>
  <c r="Q9440" i="2"/>
  <c r="P9436" i="2"/>
  <c r="V9436" i="2" s="1"/>
  <c r="Q9436" i="2"/>
  <c r="P9432" i="2"/>
  <c r="V9432" i="2" s="1"/>
  <c r="Q9432" i="2"/>
  <c r="P9428" i="2"/>
  <c r="V9428" i="2" s="1"/>
  <c r="Q9428" i="2"/>
  <c r="P9424" i="2"/>
  <c r="V9424" i="2" s="1"/>
  <c r="Q9424" i="2"/>
  <c r="P9420" i="2"/>
  <c r="V9420" i="2" s="1"/>
  <c r="Q9420" i="2"/>
  <c r="P9416" i="2"/>
  <c r="V9416" i="2" s="1"/>
  <c r="Q9416" i="2"/>
  <c r="P9412" i="2"/>
  <c r="V9412" i="2" s="1"/>
  <c r="Q9412" i="2"/>
  <c r="P9408" i="2"/>
  <c r="V9408" i="2" s="1"/>
  <c r="Q9408" i="2"/>
  <c r="P9404" i="2"/>
  <c r="V9404" i="2" s="1"/>
  <c r="Q9404" i="2"/>
  <c r="P9400" i="2"/>
  <c r="V9400" i="2" s="1"/>
  <c r="Q9400" i="2"/>
  <c r="P9396" i="2"/>
  <c r="V9396" i="2" s="1"/>
  <c r="Q9396" i="2"/>
  <c r="P9392" i="2"/>
  <c r="V9392" i="2" s="1"/>
  <c r="Q9392" i="2"/>
  <c r="P9388" i="2"/>
  <c r="V9388" i="2" s="1"/>
  <c r="Q9388" i="2"/>
  <c r="P9384" i="2"/>
  <c r="V9384" i="2" s="1"/>
  <c r="Q9384" i="2"/>
  <c r="P9380" i="2"/>
  <c r="V9380" i="2" s="1"/>
  <c r="Q9380" i="2"/>
  <c r="P9376" i="2"/>
  <c r="V9376" i="2" s="1"/>
  <c r="Q9376" i="2"/>
  <c r="P9372" i="2"/>
  <c r="V9372" i="2" s="1"/>
  <c r="Q9372" i="2"/>
  <c r="P9368" i="2"/>
  <c r="V9368" i="2" s="1"/>
  <c r="Q9368" i="2"/>
  <c r="P9364" i="2"/>
  <c r="V9364" i="2" s="1"/>
  <c r="Q9364" i="2"/>
  <c r="P9360" i="2"/>
  <c r="V9360" i="2" s="1"/>
  <c r="Q9360" i="2"/>
  <c r="P9356" i="2"/>
  <c r="V9356" i="2" s="1"/>
  <c r="Q9356" i="2"/>
  <c r="P9352" i="2"/>
  <c r="V9352" i="2" s="1"/>
  <c r="Q9352" i="2"/>
  <c r="P9348" i="2"/>
  <c r="V9348" i="2" s="1"/>
  <c r="Q9348" i="2"/>
  <c r="P9344" i="2"/>
  <c r="V9344" i="2" s="1"/>
  <c r="Q9344" i="2"/>
  <c r="P9340" i="2"/>
  <c r="V9340" i="2" s="1"/>
  <c r="Q9340" i="2"/>
  <c r="P9336" i="2"/>
  <c r="V9336" i="2" s="1"/>
  <c r="Q9336" i="2"/>
  <c r="P9332" i="2"/>
  <c r="V9332" i="2" s="1"/>
  <c r="Q9332" i="2"/>
  <c r="P9328" i="2"/>
  <c r="V9328" i="2" s="1"/>
  <c r="Q9328" i="2"/>
  <c r="P9324" i="2"/>
  <c r="V9324" i="2" s="1"/>
  <c r="Q9324" i="2"/>
  <c r="P9320" i="2"/>
  <c r="V9320" i="2" s="1"/>
  <c r="Q9320" i="2"/>
  <c r="P9316" i="2"/>
  <c r="V9316" i="2" s="1"/>
  <c r="Q9316" i="2"/>
  <c r="P9312" i="2"/>
  <c r="V9312" i="2" s="1"/>
  <c r="Q9312" i="2"/>
  <c r="P9308" i="2"/>
  <c r="V9308" i="2" s="1"/>
  <c r="Q9308" i="2"/>
  <c r="P9304" i="2"/>
  <c r="V9304" i="2" s="1"/>
  <c r="Q9304" i="2"/>
  <c r="P9300" i="2"/>
  <c r="V9300" i="2" s="1"/>
  <c r="Q9300" i="2"/>
  <c r="P9296" i="2"/>
  <c r="V9296" i="2" s="1"/>
  <c r="Q9296" i="2"/>
  <c r="P9292" i="2"/>
  <c r="V9292" i="2" s="1"/>
  <c r="Q9292" i="2"/>
  <c r="P9288" i="2"/>
  <c r="V9288" i="2" s="1"/>
  <c r="Q9288" i="2"/>
  <c r="P9284" i="2"/>
  <c r="V9284" i="2" s="1"/>
  <c r="Q9284" i="2"/>
  <c r="P9280" i="2"/>
  <c r="V9280" i="2" s="1"/>
  <c r="Q9280" i="2"/>
  <c r="P9276" i="2"/>
  <c r="V9276" i="2" s="1"/>
  <c r="Q9276" i="2"/>
  <c r="P9272" i="2"/>
  <c r="V9272" i="2" s="1"/>
  <c r="Q9272" i="2"/>
  <c r="P9268" i="2"/>
  <c r="V9268" i="2" s="1"/>
  <c r="Q9268" i="2"/>
  <c r="P9264" i="2"/>
  <c r="V9264" i="2" s="1"/>
  <c r="Q9264" i="2"/>
  <c r="P9260" i="2"/>
  <c r="V9260" i="2" s="1"/>
  <c r="Q9260" i="2"/>
  <c r="P9256" i="2"/>
  <c r="V9256" i="2" s="1"/>
  <c r="Q9256" i="2"/>
  <c r="P9252" i="2"/>
  <c r="V9252" i="2" s="1"/>
  <c r="Q9252" i="2"/>
  <c r="P9248" i="2"/>
  <c r="V9248" i="2" s="1"/>
  <c r="Q9248" i="2"/>
  <c r="P9244" i="2"/>
  <c r="V9244" i="2" s="1"/>
  <c r="Q9244" i="2"/>
  <c r="P9240" i="2"/>
  <c r="V9240" i="2" s="1"/>
  <c r="Q9240" i="2"/>
  <c r="P9236" i="2"/>
  <c r="V9236" i="2" s="1"/>
  <c r="Q9236" i="2"/>
  <c r="P9232" i="2"/>
  <c r="V9232" i="2" s="1"/>
  <c r="Q9232" i="2"/>
  <c r="P9228" i="2"/>
  <c r="V9228" i="2" s="1"/>
  <c r="Q9228" i="2"/>
  <c r="P9224" i="2"/>
  <c r="V9224" i="2" s="1"/>
  <c r="Q9224" i="2"/>
  <c r="P9220" i="2"/>
  <c r="V9220" i="2" s="1"/>
  <c r="Q9220" i="2"/>
  <c r="P9216" i="2"/>
  <c r="V9216" i="2" s="1"/>
  <c r="Q9216" i="2"/>
  <c r="P9212" i="2"/>
  <c r="V9212" i="2" s="1"/>
  <c r="Q9212" i="2"/>
  <c r="P9208" i="2"/>
  <c r="V9208" i="2" s="1"/>
  <c r="Q9208" i="2"/>
  <c r="P9204" i="2"/>
  <c r="V9204" i="2" s="1"/>
  <c r="Q9204" i="2"/>
  <c r="P9200" i="2"/>
  <c r="V9200" i="2" s="1"/>
  <c r="Q9200" i="2"/>
  <c r="P9196" i="2"/>
  <c r="V9196" i="2" s="1"/>
  <c r="Q9196" i="2"/>
  <c r="P9192" i="2"/>
  <c r="V9192" i="2" s="1"/>
  <c r="Q9192" i="2"/>
  <c r="P9188" i="2"/>
  <c r="V9188" i="2" s="1"/>
  <c r="Q9188" i="2"/>
  <c r="P9184" i="2"/>
  <c r="V9184" i="2" s="1"/>
  <c r="Q9184" i="2"/>
  <c r="P9180" i="2"/>
  <c r="V9180" i="2" s="1"/>
  <c r="Q9180" i="2"/>
  <c r="P9176" i="2"/>
  <c r="V9176" i="2" s="1"/>
  <c r="Q9176" i="2"/>
  <c r="P9172" i="2"/>
  <c r="V9172" i="2" s="1"/>
  <c r="Q9172" i="2"/>
  <c r="P9168" i="2"/>
  <c r="V9168" i="2" s="1"/>
  <c r="Q9168" i="2"/>
  <c r="P9164" i="2"/>
  <c r="V9164" i="2" s="1"/>
  <c r="Q9164" i="2"/>
  <c r="P9160" i="2"/>
  <c r="V9160" i="2" s="1"/>
  <c r="Q9160" i="2"/>
  <c r="P9156" i="2"/>
  <c r="V9156" i="2" s="1"/>
  <c r="Q9156" i="2"/>
  <c r="P9152" i="2"/>
  <c r="V9152" i="2" s="1"/>
  <c r="Q9152" i="2"/>
  <c r="P9148" i="2"/>
  <c r="V9148" i="2" s="1"/>
  <c r="Q9148" i="2"/>
  <c r="P9144" i="2"/>
  <c r="V9144" i="2" s="1"/>
  <c r="Q9144" i="2"/>
  <c r="P9140" i="2"/>
  <c r="V9140" i="2" s="1"/>
  <c r="Q9140" i="2"/>
  <c r="P9136" i="2"/>
  <c r="V9136" i="2" s="1"/>
  <c r="Q9136" i="2"/>
  <c r="P9132" i="2"/>
  <c r="V9132" i="2" s="1"/>
  <c r="Q9132" i="2"/>
  <c r="P9128" i="2"/>
  <c r="V9128" i="2" s="1"/>
  <c r="Q9128" i="2"/>
  <c r="P9124" i="2"/>
  <c r="V9124" i="2" s="1"/>
  <c r="Q9124" i="2"/>
  <c r="P9120" i="2"/>
  <c r="V9120" i="2" s="1"/>
  <c r="Q9120" i="2"/>
  <c r="P9116" i="2"/>
  <c r="V9116" i="2" s="1"/>
  <c r="Q9116" i="2"/>
  <c r="P9112" i="2"/>
  <c r="V9112" i="2" s="1"/>
  <c r="Q9112" i="2"/>
  <c r="P9108" i="2"/>
  <c r="V9108" i="2" s="1"/>
  <c r="Q9108" i="2"/>
  <c r="P9104" i="2"/>
  <c r="V9104" i="2" s="1"/>
  <c r="Q9104" i="2"/>
  <c r="P9100" i="2"/>
  <c r="V9100" i="2" s="1"/>
  <c r="Q9100" i="2"/>
  <c r="P9096" i="2"/>
  <c r="V9096" i="2" s="1"/>
  <c r="Q9096" i="2"/>
  <c r="P9092" i="2"/>
  <c r="V9092" i="2" s="1"/>
  <c r="Q9092" i="2"/>
  <c r="P9088" i="2"/>
  <c r="V9088" i="2" s="1"/>
  <c r="Q9088" i="2"/>
  <c r="P9084" i="2"/>
  <c r="V9084" i="2" s="1"/>
  <c r="Q9084" i="2"/>
  <c r="P9080" i="2"/>
  <c r="V9080" i="2" s="1"/>
  <c r="Q9080" i="2"/>
  <c r="P9076" i="2"/>
  <c r="V9076" i="2" s="1"/>
  <c r="Q9076" i="2"/>
  <c r="P9072" i="2"/>
  <c r="V9072" i="2" s="1"/>
  <c r="Q9072" i="2"/>
  <c r="P9068" i="2"/>
  <c r="V9068" i="2" s="1"/>
  <c r="Q9068" i="2"/>
  <c r="P9064" i="2"/>
  <c r="V9064" i="2" s="1"/>
  <c r="Q9064" i="2"/>
  <c r="P9060" i="2"/>
  <c r="V9060" i="2" s="1"/>
  <c r="Q9060" i="2"/>
  <c r="P9056" i="2"/>
  <c r="V9056" i="2" s="1"/>
  <c r="Q9056" i="2"/>
  <c r="P9052" i="2"/>
  <c r="V9052" i="2" s="1"/>
  <c r="Q9052" i="2"/>
  <c r="P9048" i="2"/>
  <c r="V9048" i="2" s="1"/>
  <c r="Q9048" i="2"/>
  <c r="P9044" i="2"/>
  <c r="V9044" i="2" s="1"/>
  <c r="Q9044" i="2"/>
  <c r="P9040" i="2"/>
  <c r="V9040" i="2" s="1"/>
  <c r="Q9040" i="2"/>
  <c r="P9036" i="2"/>
  <c r="V9036" i="2" s="1"/>
  <c r="Q9036" i="2"/>
  <c r="P9032" i="2"/>
  <c r="V9032" i="2" s="1"/>
  <c r="Q9032" i="2"/>
  <c r="P9028" i="2"/>
  <c r="V9028" i="2" s="1"/>
  <c r="Q9028" i="2"/>
  <c r="P9024" i="2"/>
  <c r="V9024" i="2" s="1"/>
  <c r="Q9024" i="2"/>
  <c r="P9020" i="2"/>
  <c r="V9020" i="2" s="1"/>
  <c r="Q9020" i="2"/>
  <c r="P9016" i="2"/>
  <c r="V9016" i="2" s="1"/>
  <c r="Q9016" i="2"/>
  <c r="P9012" i="2"/>
  <c r="V9012" i="2" s="1"/>
  <c r="Q9012" i="2"/>
  <c r="P9008" i="2"/>
  <c r="V9008" i="2" s="1"/>
  <c r="Q9008" i="2"/>
  <c r="P9004" i="2"/>
  <c r="V9004" i="2" s="1"/>
  <c r="Q9004" i="2"/>
  <c r="P9000" i="2"/>
  <c r="V9000" i="2" s="1"/>
  <c r="Q9000" i="2"/>
  <c r="P8996" i="2"/>
  <c r="V8996" i="2" s="1"/>
  <c r="Q8996" i="2"/>
  <c r="P8992" i="2"/>
  <c r="V8992" i="2" s="1"/>
  <c r="Q8992" i="2"/>
  <c r="P8988" i="2"/>
  <c r="V8988" i="2" s="1"/>
  <c r="Q8988" i="2"/>
  <c r="P8984" i="2"/>
  <c r="V8984" i="2" s="1"/>
  <c r="Q8984" i="2"/>
  <c r="P8980" i="2"/>
  <c r="V8980" i="2" s="1"/>
  <c r="Q8980" i="2"/>
  <c r="P8976" i="2"/>
  <c r="V8976" i="2" s="1"/>
  <c r="Q8976" i="2"/>
  <c r="P8972" i="2"/>
  <c r="V8972" i="2" s="1"/>
  <c r="Q8972" i="2"/>
  <c r="P8968" i="2"/>
  <c r="V8968" i="2" s="1"/>
  <c r="Q8968" i="2"/>
  <c r="P8964" i="2"/>
  <c r="V8964" i="2" s="1"/>
  <c r="Q8964" i="2"/>
  <c r="P8960" i="2"/>
  <c r="V8960" i="2" s="1"/>
  <c r="Q8960" i="2"/>
  <c r="P8956" i="2"/>
  <c r="V8956" i="2" s="1"/>
  <c r="Q8956" i="2"/>
  <c r="P8952" i="2"/>
  <c r="V8952" i="2" s="1"/>
  <c r="Q8952" i="2"/>
  <c r="P8948" i="2"/>
  <c r="V8948" i="2" s="1"/>
  <c r="Q8948" i="2"/>
  <c r="P8944" i="2"/>
  <c r="V8944" i="2" s="1"/>
  <c r="Q8944" i="2"/>
  <c r="P8940" i="2"/>
  <c r="V8940" i="2" s="1"/>
  <c r="Q8940" i="2"/>
  <c r="P8936" i="2"/>
  <c r="V8936" i="2" s="1"/>
  <c r="Q8936" i="2"/>
  <c r="P8932" i="2"/>
  <c r="V8932" i="2" s="1"/>
  <c r="Q8932" i="2"/>
  <c r="P8928" i="2"/>
  <c r="V8928" i="2" s="1"/>
  <c r="Q8928" i="2"/>
  <c r="P8924" i="2"/>
  <c r="V8924" i="2" s="1"/>
  <c r="Q8924" i="2"/>
  <c r="P8920" i="2"/>
  <c r="V8920" i="2" s="1"/>
  <c r="Q8920" i="2"/>
  <c r="P8916" i="2"/>
  <c r="V8916" i="2" s="1"/>
  <c r="Q8916" i="2"/>
  <c r="P8912" i="2"/>
  <c r="V8912" i="2" s="1"/>
  <c r="Q8912" i="2"/>
  <c r="P8908" i="2"/>
  <c r="V8908" i="2" s="1"/>
  <c r="Q8908" i="2"/>
  <c r="P8904" i="2"/>
  <c r="V8904" i="2" s="1"/>
  <c r="Q8904" i="2"/>
  <c r="P8900" i="2"/>
  <c r="V8900" i="2" s="1"/>
  <c r="Q8900" i="2"/>
  <c r="P8896" i="2"/>
  <c r="V8896" i="2" s="1"/>
  <c r="Q8896" i="2"/>
  <c r="P8892" i="2"/>
  <c r="V8892" i="2" s="1"/>
  <c r="Q8892" i="2"/>
  <c r="P8888" i="2"/>
  <c r="V8888" i="2" s="1"/>
  <c r="Q8888" i="2"/>
  <c r="P8884" i="2"/>
  <c r="V8884" i="2" s="1"/>
  <c r="Q8884" i="2"/>
  <c r="P8880" i="2"/>
  <c r="V8880" i="2" s="1"/>
  <c r="Q8880" i="2"/>
  <c r="P8876" i="2"/>
  <c r="V8876" i="2" s="1"/>
  <c r="Q8876" i="2"/>
  <c r="P8872" i="2"/>
  <c r="V8872" i="2" s="1"/>
  <c r="Q8872" i="2"/>
  <c r="P8868" i="2"/>
  <c r="V8868" i="2" s="1"/>
  <c r="Q8868" i="2"/>
  <c r="P8864" i="2"/>
  <c r="V8864" i="2" s="1"/>
  <c r="Q8864" i="2"/>
  <c r="P8860" i="2"/>
  <c r="V8860" i="2" s="1"/>
  <c r="Q8860" i="2"/>
  <c r="P8856" i="2"/>
  <c r="V8856" i="2" s="1"/>
  <c r="Q8856" i="2"/>
  <c r="P8852" i="2"/>
  <c r="V8852" i="2" s="1"/>
  <c r="Q8852" i="2"/>
  <c r="P8848" i="2"/>
  <c r="V8848" i="2" s="1"/>
  <c r="Q8848" i="2"/>
  <c r="P8844" i="2"/>
  <c r="V8844" i="2" s="1"/>
  <c r="Q8844" i="2"/>
  <c r="P8840" i="2"/>
  <c r="V8840" i="2" s="1"/>
  <c r="Q8840" i="2"/>
  <c r="P8836" i="2"/>
  <c r="V8836" i="2" s="1"/>
  <c r="Q8836" i="2"/>
  <c r="P8832" i="2"/>
  <c r="V8832" i="2" s="1"/>
  <c r="Q8832" i="2"/>
  <c r="P8828" i="2"/>
  <c r="V8828" i="2" s="1"/>
  <c r="Q8828" i="2"/>
  <c r="P8824" i="2"/>
  <c r="V8824" i="2" s="1"/>
  <c r="Q8824" i="2"/>
  <c r="P8820" i="2"/>
  <c r="V8820" i="2" s="1"/>
  <c r="Q8820" i="2"/>
  <c r="P8816" i="2"/>
  <c r="V8816" i="2" s="1"/>
  <c r="Q8816" i="2"/>
  <c r="P8812" i="2"/>
  <c r="V8812" i="2" s="1"/>
  <c r="Q8812" i="2"/>
  <c r="P8808" i="2"/>
  <c r="V8808" i="2" s="1"/>
  <c r="Q8808" i="2"/>
  <c r="P8804" i="2"/>
  <c r="V8804" i="2" s="1"/>
  <c r="Q8804" i="2"/>
  <c r="P8800" i="2"/>
  <c r="V8800" i="2" s="1"/>
  <c r="Q8800" i="2"/>
  <c r="P8796" i="2"/>
  <c r="V8796" i="2" s="1"/>
  <c r="Q8796" i="2"/>
  <c r="P8792" i="2"/>
  <c r="V8792" i="2" s="1"/>
  <c r="Q8792" i="2"/>
  <c r="P8788" i="2"/>
  <c r="V8788" i="2" s="1"/>
  <c r="Q8788" i="2"/>
  <c r="P8784" i="2"/>
  <c r="V8784" i="2" s="1"/>
  <c r="Q8784" i="2"/>
  <c r="P8780" i="2"/>
  <c r="V8780" i="2" s="1"/>
  <c r="Q8780" i="2"/>
  <c r="P8776" i="2"/>
  <c r="V8776" i="2" s="1"/>
  <c r="Q8776" i="2"/>
  <c r="P8772" i="2"/>
  <c r="V8772" i="2" s="1"/>
  <c r="Q8772" i="2"/>
  <c r="P8768" i="2"/>
  <c r="V8768" i="2" s="1"/>
  <c r="Q8768" i="2"/>
  <c r="P8764" i="2"/>
  <c r="V8764" i="2" s="1"/>
  <c r="Q8764" i="2"/>
  <c r="P8760" i="2"/>
  <c r="V8760" i="2" s="1"/>
  <c r="Q8760" i="2"/>
  <c r="P8756" i="2"/>
  <c r="V8756" i="2" s="1"/>
  <c r="Q8756" i="2"/>
  <c r="P8752" i="2"/>
  <c r="V8752" i="2" s="1"/>
  <c r="Q8752" i="2"/>
  <c r="P8748" i="2"/>
  <c r="V8748" i="2" s="1"/>
  <c r="Q8748" i="2"/>
  <c r="P8744" i="2"/>
  <c r="V8744" i="2" s="1"/>
  <c r="Q8744" i="2"/>
  <c r="P8740" i="2"/>
  <c r="V8740" i="2" s="1"/>
  <c r="Q8740" i="2"/>
  <c r="P8736" i="2"/>
  <c r="V8736" i="2" s="1"/>
  <c r="Q8736" i="2"/>
  <c r="P8732" i="2"/>
  <c r="V8732" i="2" s="1"/>
  <c r="Q8732" i="2"/>
  <c r="P8728" i="2"/>
  <c r="V8728" i="2" s="1"/>
  <c r="Q8728" i="2"/>
  <c r="P8724" i="2"/>
  <c r="V8724" i="2" s="1"/>
  <c r="Q8724" i="2"/>
  <c r="P8720" i="2"/>
  <c r="V8720" i="2" s="1"/>
  <c r="Q8720" i="2"/>
  <c r="P8716" i="2"/>
  <c r="V8716" i="2" s="1"/>
  <c r="Q8716" i="2"/>
  <c r="P8712" i="2"/>
  <c r="V8712" i="2" s="1"/>
  <c r="Q8712" i="2"/>
  <c r="P8708" i="2"/>
  <c r="V8708" i="2" s="1"/>
  <c r="Q8708" i="2"/>
  <c r="P8704" i="2"/>
  <c r="V8704" i="2" s="1"/>
  <c r="Q8704" i="2"/>
  <c r="P8700" i="2"/>
  <c r="V8700" i="2" s="1"/>
  <c r="Q8700" i="2"/>
  <c r="P8696" i="2"/>
  <c r="V8696" i="2" s="1"/>
  <c r="Q8696" i="2"/>
  <c r="P8692" i="2"/>
  <c r="V8692" i="2" s="1"/>
  <c r="Q8692" i="2"/>
  <c r="P8688" i="2"/>
  <c r="V8688" i="2" s="1"/>
  <c r="Q8688" i="2"/>
  <c r="P8684" i="2"/>
  <c r="V8684" i="2" s="1"/>
  <c r="Q8684" i="2"/>
  <c r="P8680" i="2"/>
  <c r="V8680" i="2" s="1"/>
  <c r="Q8680" i="2"/>
  <c r="P8676" i="2"/>
  <c r="V8676" i="2" s="1"/>
  <c r="Q8676" i="2"/>
  <c r="P8672" i="2"/>
  <c r="V8672" i="2" s="1"/>
  <c r="Q8672" i="2"/>
  <c r="P8668" i="2"/>
  <c r="V8668" i="2" s="1"/>
  <c r="Q8668" i="2"/>
  <c r="P8664" i="2"/>
  <c r="V8664" i="2" s="1"/>
  <c r="Q8664" i="2"/>
  <c r="P8660" i="2"/>
  <c r="V8660" i="2" s="1"/>
  <c r="Q8660" i="2"/>
  <c r="P8656" i="2"/>
  <c r="V8656" i="2" s="1"/>
  <c r="Q8656" i="2"/>
  <c r="P8652" i="2"/>
  <c r="V8652" i="2" s="1"/>
  <c r="Q8652" i="2"/>
  <c r="P8648" i="2"/>
  <c r="V8648" i="2" s="1"/>
  <c r="Q8648" i="2"/>
  <c r="P8644" i="2"/>
  <c r="V8644" i="2" s="1"/>
  <c r="Q8644" i="2"/>
  <c r="P8640" i="2"/>
  <c r="V8640" i="2" s="1"/>
  <c r="Q8640" i="2"/>
  <c r="P8636" i="2"/>
  <c r="V8636" i="2" s="1"/>
  <c r="Q8636" i="2"/>
  <c r="P8632" i="2"/>
  <c r="V8632" i="2" s="1"/>
  <c r="Q8632" i="2"/>
  <c r="P8628" i="2"/>
  <c r="V8628" i="2" s="1"/>
  <c r="Q8628" i="2"/>
  <c r="P8624" i="2"/>
  <c r="V8624" i="2" s="1"/>
  <c r="Q8624" i="2"/>
  <c r="P8620" i="2"/>
  <c r="V8620" i="2" s="1"/>
  <c r="Q8620" i="2"/>
  <c r="P8616" i="2"/>
  <c r="V8616" i="2" s="1"/>
  <c r="Q8616" i="2"/>
  <c r="P8612" i="2"/>
  <c r="V8612" i="2" s="1"/>
  <c r="Q8612" i="2"/>
  <c r="P8608" i="2"/>
  <c r="V8608" i="2" s="1"/>
  <c r="Q8608" i="2"/>
  <c r="P8604" i="2"/>
  <c r="V8604" i="2" s="1"/>
  <c r="Q8604" i="2"/>
  <c r="P8600" i="2"/>
  <c r="V8600" i="2" s="1"/>
  <c r="Q8600" i="2"/>
  <c r="P8596" i="2"/>
  <c r="V8596" i="2" s="1"/>
  <c r="Q8596" i="2"/>
  <c r="P8592" i="2"/>
  <c r="V8592" i="2" s="1"/>
  <c r="Q8592" i="2"/>
  <c r="P8588" i="2"/>
  <c r="V8588" i="2" s="1"/>
  <c r="Q8588" i="2"/>
  <c r="P8584" i="2"/>
  <c r="V8584" i="2" s="1"/>
  <c r="Q8584" i="2"/>
  <c r="P8580" i="2"/>
  <c r="V8580" i="2" s="1"/>
  <c r="Q8580" i="2"/>
  <c r="P8576" i="2"/>
  <c r="V8576" i="2" s="1"/>
  <c r="Q8576" i="2"/>
  <c r="P8572" i="2"/>
  <c r="V8572" i="2" s="1"/>
  <c r="Q8572" i="2"/>
  <c r="P8568" i="2"/>
  <c r="V8568" i="2" s="1"/>
  <c r="Q8568" i="2"/>
  <c r="P8564" i="2"/>
  <c r="V8564" i="2" s="1"/>
  <c r="Q8564" i="2"/>
  <c r="P8560" i="2"/>
  <c r="V8560" i="2" s="1"/>
  <c r="Q8560" i="2"/>
  <c r="P8556" i="2"/>
  <c r="V8556" i="2" s="1"/>
  <c r="Q8556" i="2"/>
  <c r="P8552" i="2"/>
  <c r="V8552" i="2" s="1"/>
  <c r="Q8552" i="2"/>
  <c r="P8548" i="2"/>
  <c r="V8548" i="2" s="1"/>
  <c r="Q8548" i="2"/>
  <c r="P8544" i="2"/>
  <c r="V8544" i="2" s="1"/>
  <c r="Q8544" i="2"/>
  <c r="P8540" i="2"/>
  <c r="V8540" i="2" s="1"/>
  <c r="Q8540" i="2"/>
  <c r="P8536" i="2"/>
  <c r="V8536" i="2" s="1"/>
  <c r="Q8536" i="2"/>
  <c r="P8532" i="2"/>
  <c r="V8532" i="2" s="1"/>
  <c r="Q8532" i="2"/>
  <c r="P8528" i="2"/>
  <c r="V8528" i="2" s="1"/>
  <c r="Q8528" i="2"/>
  <c r="P8524" i="2"/>
  <c r="V8524" i="2" s="1"/>
  <c r="Q8524" i="2"/>
  <c r="P8520" i="2"/>
  <c r="V8520" i="2" s="1"/>
  <c r="Q8520" i="2"/>
  <c r="P8516" i="2"/>
  <c r="V8516" i="2" s="1"/>
  <c r="Q8516" i="2"/>
  <c r="P8512" i="2"/>
  <c r="V8512" i="2" s="1"/>
  <c r="Q8512" i="2"/>
  <c r="P8508" i="2"/>
  <c r="V8508" i="2" s="1"/>
  <c r="Q8508" i="2"/>
  <c r="P8504" i="2"/>
  <c r="V8504" i="2" s="1"/>
  <c r="Q8504" i="2"/>
  <c r="P8500" i="2"/>
  <c r="V8500" i="2" s="1"/>
  <c r="Q8500" i="2"/>
  <c r="P8496" i="2"/>
  <c r="V8496" i="2" s="1"/>
  <c r="Q8496" i="2"/>
  <c r="P8492" i="2"/>
  <c r="V8492" i="2" s="1"/>
  <c r="Q8492" i="2"/>
  <c r="P8488" i="2"/>
  <c r="V8488" i="2" s="1"/>
  <c r="Q8488" i="2"/>
  <c r="P8484" i="2"/>
  <c r="V8484" i="2" s="1"/>
  <c r="Q8484" i="2"/>
  <c r="P8480" i="2"/>
  <c r="V8480" i="2" s="1"/>
  <c r="Q8480" i="2"/>
  <c r="P8476" i="2"/>
  <c r="V8476" i="2" s="1"/>
  <c r="Q8476" i="2"/>
  <c r="P8472" i="2"/>
  <c r="V8472" i="2" s="1"/>
  <c r="Q8472" i="2"/>
  <c r="P8468" i="2"/>
  <c r="V8468" i="2" s="1"/>
  <c r="Q8468" i="2"/>
  <c r="P8464" i="2"/>
  <c r="V8464" i="2" s="1"/>
  <c r="Q8464" i="2"/>
  <c r="P8460" i="2"/>
  <c r="V8460" i="2" s="1"/>
  <c r="Q8460" i="2"/>
  <c r="P8456" i="2"/>
  <c r="V8456" i="2" s="1"/>
  <c r="Q8456" i="2"/>
  <c r="P8452" i="2"/>
  <c r="V8452" i="2" s="1"/>
  <c r="Q8452" i="2"/>
  <c r="P8448" i="2"/>
  <c r="V8448" i="2" s="1"/>
  <c r="Q8448" i="2"/>
  <c r="P8444" i="2"/>
  <c r="V8444" i="2" s="1"/>
  <c r="Q8444" i="2"/>
  <c r="P8440" i="2"/>
  <c r="V8440" i="2" s="1"/>
  <c r="Q8440" i="2"/>
  <c r="P8436" i="2"/>
  <c r="V8436" i="2" s="1"/>
  <c r="Q8436" i="2"/>
  <c r="P8432" i="2"/>
  <c r="V8432" i="2" s="1"/>
  <c r="Q8432" i="2"/>
  <c r="P8428" i="2"/>
  <c r="V8428" i="2" s="1"/>
  <c r="Q8428" i="2"/>
  <c r="P8424" i="2"/>
  <c r="V8424" i="2" s="1"/>
  <c r="Q8424" i="2"/>
  <c r="P8420" i="2"/>
  <c r="V8420" i="2" s="1"/>
  <c r="Q8420" i="2"/>
  <c r="P8416" i="2"/>
  <c r="V8416" i="2" s="1"/>
  <c r="Q8416" i="2"/>
  <c r="P8412" i="2"/>
  <c r="V8412" i="2" s="1"/>
  <c r="Q8412" i="2"/>
  <c r="P8408" i="2"/>
  <c r="V8408" i="2" s="1"/>
  <c r="Q8408" i="2"/>
  <c r="P8404" i="2"/>
  <c r="V8404" i="2" s="1"/>
  <c r="Q8404" i="2"/>
  <c r="P8400" i="2"/>
  <c r="V8400" i="2" s="1"/>
  <c r="Q8400" i="2"/>
  <c r="P8396" i="2"/>
  <c r="V8396" i="2" s="1"/>
  <c r="Q8396" i="2"/>
  <c r="P8392" i="2"/>
  <c r="V8392" i="2" s="1"/>
  <c r="Q8392" i="2"/>
  <c r="P8388" i="2"/>
  <c r="V8388" i="2" s="1"/>
  <c r="Q8388" i="2"/>
  <c r="P8384" i="2"/>
  <c r="V8384" i="2" s="1"/>
  <c r="Q8384" i="2"/>
  <c r="P8380" i="2"/>
  <c r="V8380" i="2" s="1"/>
  <c r="Q8380" i="2"/>
  <c r="P8376" i="2"/>
  <c r="V8376" i="2" s="1"/>
  <c r="Q8376" i="2"/>
  <c r="P8372" i="2"/>
  <c r="V8372" i="2" s="1"/>
  <c r="Q8372" i="2"/>
  <c r="P8368" i="2"/>
  <c r="V8368" i="2" s="1"/>
  <c r="Q8368" i="2"/>
  <c r="P8364" i="2"/>
  <c r="V8364" i="2" s="1"/>
  <c r="Q8364" i="2"/>
  <c r="P8360" i="2"/>
  <c r="V8360" i="2" s="1"/>
  <c r="Q8360" i="2"/>
  <c r="P8356" i="2"/>
  <c r="V8356" i="2" s="1"/>
  <c r="Q8356" i="2"/>
  <c r="P8352" i="2"/>
  <c r="V8352" i="2" s="1"/>
  <c r="Q8352" i="2"/>
  <c r="P8348" i="2"/>
  <c r="V8348" i="2" s="1"/>
  <c r="Q8348" i="2"/>
  <c r="P8344" i="2"/>
  <c r="V8344" i="2" s="1"/>
  <c r="Q8344" i="2"/>
  <c r="P8340" i="2"/>
  <c r="V8340" i="2" s="1"/>
  <c r="Q8340" i="2"/>
  <c r="P8336" i="2"/>
  <c r="V8336" i="2" s="1"/>
  <c r="Q8336" i="2"/>
  <c r="P8332" i="2"/>
  <c r="V8332" i="2" s="1"/>
  <c r="Q8332" i="2"/>
  <c r="P8328" i="2"/>
  <c r="V8328" i="2" s="1"/>
  <c r="Q8328" i="2"/>
  <c r="P8324" i="2"/>
  <c r="V8324" i="2" s="1"/>
  <c r="Q8324" i="2"/>
  <c r="P8320" i="2"/>
  <c r="V8320" i="2" s="1"/>
  <c r="Q8320" i="2"/>
  <c r="P8316" i="2"/>
  <c r="V8316" i="2" s="1"/>
  <c r="Q8316" i="2"/>
  <c r="P8312" i="2"/>
  <c r="V8312" i="2" s="1"/>
  <c r="Q8312" i="2"/>
  <c r="P8308" i="2"/>
  <c r="V8308" i="2" s="1"/>
  <c r="Q8308" i="2"/>
  <c r="P8304" i="2"/>
  <c r="V8304" i="2" s="1"/>
  <c r="Q8304" i="2"/>
  <c r="P8300" i="2"/>
  <c r="V8300" i="2" s="1"/>
  <c r="Q8300" i="2"/>
  <c r="P8296" i="2"/>
  <c r="V8296" i="2" s="1"/>
  <c r="Q8296" i="2"/>
  <c r="P8292" i="2"/>
  <c r="V8292" i="2" s="1"/>
  <c r="Q8292" i="2"/>
  <c r="P8288" i="2"/>
  <c r="V8288" i="2" s="1"/>
  <c r="Q8288" i="2"/>
  <c r="P8284" i="2"/>
  <c r="V8284" i="2" s="1"/>
  <c r="Q8284" i="2"/>
  <c r="P8280" i="2"/>
  <c r="V8280" i="2" s="1"/>
  <c r="Q8280" i="2"/>
  <c r="P8276" i="2"/>
  <c r="V8276" i="2" s="1"/>
  <c r="Q8276" i="2"/>
  <c r="P8272" i="2"/>
  <c r="V8272" i="2" s="1"/>
  <c r="Q8272" i="2"/>
  <c r="P8268" i="2"/>
  <c r="V8268" i="2" s="1"/>
  <c r="Q8268" i="2"/>
  <c r="P8264" i="2"/>
  <c r="V8264" i="2" s="1"/>
  <c r="Q8264" i="2"/>
  <c r="P8260" i="2"/>
  <c r="V8260" i="2" s="1"/>
  <c r="Q8260" i="2"/>
  <c r="P8256" i="2"/>
  <c r="V8256" i="2" s="1"/>
  <c r="Q8256" i="2"/>
  <c r="P8252" i="2"/>
  <c r="V8252" i="2" s="1"/>
  <c r="Q8252" i="2"/>
  <c r="P8248" i="2"/>
  <c r="V8248" i="2" s="1"/>
  <c r="Q8248" i="2"/>
  <c r="P8244" i="2"/>
  <c r="V8244" i="2" s="1"/>
  <c r="Q8244" i="2"/>
  <c r="P8240" i="2"/>
  <c r="V8240" i="2" s="1"/>
  <c r="Q8240" i="2"/>
  <c r="P8236" i="2"/>
  <c r="V8236" i="2" s="1"/>
  <c r="Q8236" i="2"/>
  <c r="P8232" i="2"/>
  <c r="V8232" i="2" s="1"/>
  <c r="Q8232" i="2"/>
  <c r="P8228" i="2"/>
  <c r="V8228" i="2" s="1"/>
  <c r="Q8228" i="2"/>
  <c r="P8224" i="2"/>
  <c r="V8224" i="2" s="1"/>
  <c r="Q8224" i="2"/>
  <c r="P8220" i="2"/>
  <c r="V8220" i="2" s="1"/>
  <c r="Q8220" i="2"/>
  <c r="P8216" i="2"/>
  <c r="V8216" i="2" s="1"/>
  <c r="Q8216" i="2"/>
  <c r="P8212" i="2"/>
  <c r="V8212" i="2" s="1"/>
  <c r="Q8212" i="2"/>
  <c r="P8208" i="2"/>
  <c r="V8208" i="2" s="1"/>
  <c r="Q8208" i="2"/>
  <c r="P8204" i="2"/>
  <c r="V8204" i="2" s="1"/>
  <c r="Q8204" i="2"/>
  <c r="P8200" i="2"/>
  <c r="V8200" i="2" s="1"/>
  <c r="Q8200" i="2"/>
  <c r="P8196" i="2"/>
  <c r="V8196" i="2" s="1"/>
  <c r="Q8196" i="2"/>
  <c r="P8192" i="2"/>
  <c r="V8192" i="2" s="1"/>
  <c r="Q8192" i="2"/>
  <c r="P8188" i="2"/>
  <c r="V8188" i="2" s="1"/>
  <c r="Q8188" i="2"/>
  <c r="P8184" i="2"/>
  <c r="V8184" i="2" s="1"/>
  <c r="Q8184" i="2"/>
  <c r="P8180" i="2"/>
  <c r="V8180" i="2" s="1"/>
  <c r="Q8180" i="2"/>
  <c r="P8176" i="2"/>
  <c r="V8176" i="2" s="1"/>
  <c r="Q8176" i="2"/>
  <c r="P8172" i="2"/>
  <c r="V8172" i="2" s="1"/>
  <c r="Q8172" i="2"/>
  <c r="P8168" i="2"/>
  <c r="V8168" i="2" s="1"/>
  <c r="Q8168" i="2"/>
  <c r="P8164" i="2"/>
  <c r="V8164" i="2" s="1"/>
  <c r="Q8164" i="2"/>
  <c r="P8160" i="2"/>
  <c r="V8160" i="2" s="1"/>
  <c r="Q8160" i="2"/>
  <c r="P8156" i="2"/>
  <c r="V8156" i="2" s="1"/>
  <c r="Q8156" i="2"/>
  <c r="P8152" i="2"/>
  <c r="V8152" i="2" s="1"/>
  <c r="Q8152" i="2"/>
  <c r="P8148" i="2"/>
  <c r="V8148" i="2" s="1"/>
  <c r="Q8148" i="2"/>
  <c r="P8144" i="2"/>
  <c r="V8144" i="2" s="1"/>
  <c r="Q8144" i="2"/>
  <c r="P8140" i="2"/>
  <c r="V8140" i="2" s="1"/>
  <c r="Q8140" i="2"/>
  <c r="P8136" i="2"/>
  <c r="V8136" i="2" s="1"/>
  <c r="Q8136" i="2"/>
  <c r="P8132" i="2"/>
  <c r="V8132" i="2" s="1"/>
  <c r="Q8132" i="2"/>
  <c r="P8128" i="2"/>
  <c r="V8128" i="2" s="1"/>
  <c r="Q8128" i="2"/>
  <c r="P8124" i="2"/>
  <c r="V8124" i="2" s="1"/>
  <c r="Q8124" i="2"/>
  <c r="P8120" i="2"/>
  <c r="V8120" i="2" s="1"/>
  <c r="Q8120" i="2"/>
  <c r="P8116" i="2"/>
  <c r="V8116" i="2" s="1"/>
  <c r="Q8116" i="2"/>
  <c r="P8112" i="2"/>
  <c r="V8112" i="2" s="1"/>
  <c r="Q8112" i="2"/>
  <c r="P8108" i="2"/>
  <c r="V8108" i="2" s="1"/>
  <c r="Q8108" i="2"/>
  <c r="P8104" i="2"/>
  <c r="V8104" i="2" s="1"/>
  <c r="Q8104" i="2"/>
  <c r="P8100" i="2"/>
  <c r="V8100" i="2" s="1"/>
  <c r="Q8100" i="2"/>
  <c r="P8096" i="2"/>
  <c r="V8096" i="2" s="1"/>
  <c r="Q8096" i="2"/>
  <c r="P8092" i="2"/>
  <c r="V8092" i="2" s="1"/>
  <c r="Q8092" i="2"/>
  <c r="P8088" i="2"/>
  <c r="V8088" i="2" s="1"/>
  <c r="Q8088" i="2"/>
  <c r="P8084" i="2"/>
  <c r="V8084" i="2" s="1"/>
  <c r="Q8084" i="2"/>
  <c r="P8080" i="2"/>
  <c r="V8080" i="2" s="1"/>
  <c r="Q8080" i="2"/>
  <c r="P8076" i="2"/>
  <c r="V8076" i="2" s="1"/>
  <c r="Q8076" i="2"/>
  <c r="P8072" i="2"/>
  <c r="V8072" i="2" s="1"/>
  <c r="Q8072" i="2"/>
  <c r="P8068" i="2"/>
  <c r="V8068" i="2" s="1"/>
  <c r="Q8068" i="2"/>
  <c r="P8064" i="2"/>
  <c r="V8064" i="2" s="1"/>
  <c r="Q8064" i="2"/>
  <c r="P8060" i="2"/>
  <c r="V8060" i="2" s="1"/>
  <c r="Q8060" i="2"/>
  <c r="P8056" i="2"/>
  <c r="V8056" i="2" s="1"/>
  <c r="Q8056" i="2"/>
  <c r="P8052" i="2"/>
  <c r="V8052" i="2" s="1"/>
  <c r="Q8052" i="2"/>
  <c r="P8048" i="2"/>
  <c r="V8048" i="2" s="1"/>
  <c r="Q8048" i="2"/>
  <c r="P8044" i="2"/>
  <c r="V8044" i="2" s="1"/>
  <c r="Q8044" i="2"/>
  <c r="P8040" i="2"/>
  <c r="V8040" i="2" s="1"/>
  <c r="Q8040" i="2"/>
  <c r="P8036" i="2"/>
  <c r="V8036" i="2" s="1"/>
  <c r="Q8036" i="2"/>
  <c r="P8032" i="2"/>
  <c r="V8032" i="2" s="1"/>
  <c r="Q8032" i="2"/>
  <c r="P8028" i="2"/>
  <c r="V8028" i="2" s="1"/>
  <c r="Q8028" i="2"/>
  <c r="P8024" i="2"/>
  <c r="V8024" i="2" s="1"/>
  <c r="Q8024" i="2"/>
  <c r="P8020" i="2"/>
  <c r="V8020" i="2" s="1"/>
  <c r="Q8020" i="2"/>
  <c r="P8016" i="2"/>
  <c r="V8016" i="2" s="1"/>
  <c r="Q8016" i="2"/>
  <c r="P8012" i="2"/>
  <c r="V8012" i="2" s="1"/>
  <c r="Q8012" i="2"/>
  <c r="P8008" i="2"/>
  <c r="V8008" i="2" s="1"/>
  <c r="Q8008" i="2"/>
  <c r="P8004" i="2"/>
  <c r="V8004" i="2" s="1"/>
  <c r="Q8004" i="2"/>
  <c r="P8000" i="2"/>
  <c r="V8000" i="2" s="1"/>
  <c r="Q8000" i="2"/>
  <c r="P7996" i="2"/>
  <c r="V7996" i="2" s="1"/>
  <c r="Q7996" i="2"/>
  <c r="P7992" i="2"/>
  <c r="V7992" i="2" s="1"/>
  <c r="Q7992" i="2"/>
  <c r="P7988" i="2"/>
  <c r="V7988" i="2" s="1"/>
  <c r="Q7988" i="2"/>
  <c r="P7984" i="2"/>
  <c r="V7984" i="2" s="1"/>
  <c r="Q7984" i="2"/>
  <c r="P7980" i="2"/>
  <c r="V7980" i="2" s="1"/>
  <c r="Q7980" i="2"/>
  <c r="P7976" i="2"/>
  <c r="V7976" i="2" s="1"/>
  <c r="Q7976" i="2"/>
  <c r="P7972" i="2"/>
  <c r="V7972" i="2" s="1"/>
  <c r="Q7972" i="2"/>
  <c r="P7968" i="2"/>
  <c r="V7968" i="2" s="1"/>
  <c r="Q7968" i="2"/>
  <c r="P7964" i="2"/>
  <c r="V7964" i="2" s="1"/>
  <c r="Q7964" i="2"/>
  <c r="P7960" i="2"/>
  <c r="V7960" i="2" s="1"/>
  <c r="Q7960" i="2"/>
  <c r="P7956" i="2"/>
  <c r="V7956" i="2" s="1"/>
  <c r="Q7956" i="2"/>
  <c r="P7952" i="2"/>
  <c r="V7952" i="2" s="1"/>
  <c r="Q7952" i="2"/>
  <c r="P7948" i="2"/>
  <c r="V7948" i="2" s="1"/>
  <c r="Q7948" i="2"/>
  <c r="P7944" i="2"/>
  <c r="V7944" i="2" s="1"/>
  <c r="Q7944" i="2"/>
  <c r="P7940" i="2"/>
  <c r="V7940" i="2" s="1"/>
  <c r="Q7940" i="2"/>
  <c r="P7936" i="2"/>
  <c r="V7936" i="2" s="1"/>
  <c r="Q7936" i="2"/>
  <c r="P7932" i="2"/>
  <c r="V7932" i="2" s="1"/>
  <c r="Q7932" i="2"/>
  <c r="P7928" i="2"/>
  <c r="V7928" i="2" s="1"/>
  <c r="Q7928" i="2"/>
  <c r="P7924" i="2"/>
  <c r="V7924" i="2" s="1"/>
  <c r="Q7924" i="2"/>
  <c r="P7920" i="2"/>
  <c r="V7920" i="2" s="1"/>
  <c r="Q7920" i="2"/>
  <c r="P7916" i="2"/>
  <c r="V7916" i="2" s="1"/>
  <c r="Q7916" i="2"/>
  <c r="P7912" i="2"/>
  <c r="V7912" i="2" s="1"/>
  <c r="Q7912" i="2"/>
  <c r="P7908" i="2"/>
  <c r="V7908" i="2" s="1"/>
  <c r="Q7908" i="2"/>
  <c r="P7904" i="2"/>
  <c r="V7904" i="2" s="1"/>
  <c r="Q7904" i="2"/>
  <c r="P7900" i="2"/>
  <c r="V7900" i="2" s="1"/>
  <c r="Q7900" i="2"/>
  <c r="P7896" i="2"/>
  <c r="V7896" i="2" s="1"/>
  <c r="Q7896" i="2"/>
  <c r="P7892" i="2"/>
  <c r="V7892" i="2" s="1"/>
  <c r="Q7892" i="2"/>
  <c r="P7888" i="2"/>
  <c r="V7888" i="2" s="1"/>
  <c r="Q7888" i="2"/>
  <c r="P7884" i="2"/>
  <c r="V7884" i="2" s="1"/>
  <c r="Q7884" i="2"/>
  <c r="P7880" i="2"/>
  <c r="V7880" i="2" s="1"/>
  <c r="Q7880" i="2"/>
  <c r="P7876" i="2"/>
  <c r="V7876" i="2" s="1"/>
  <c r="Q7876" i="2"/>
  <c r="P7872" i="2"/>
  <c r="V7872" i="2" s="1"/>
  <c r="Q7872" i="2"/>
  <c r="P7868" i="2"/>
  <c r="V7868" i="2" s="1"/>
  <c r="Q7868" i="2"/>
  <c r="P7864" i="2"/>
  <c r="V7864" i="2" s="1"/>
  <c r="Q7864" i="2"/>
  <c r="P7860" i="2"/>
  <c r="V7860" i="2" s="1"/>
  <c r="Q7860" i="2"/>
  <c r="P7856" i="2"/>
  <c r="V7856" i="2" s="1"/>
  <c r="Q7856" i="2"/>
  <c r="P7852" i="2"/>
  <c r="V7852" i="2" s="1"/>
  <c r="Q7852" i="2"/>
  <c r="P7848" i="2"/>
  <c r="V7848" i="2" s="1"/>
  <c r="Q7848" i="2"/>
  <c r="P7844" i="2"/>
  <c r="V7844" i="2" s="1"/>
  <c r="Q7844" i="2"/>
  <c r="P7840" i="2"/>
  <c r="V7840" i="2" s="1"/>
  <c r="Q7840" i="2"/>
  <c r="P7836" i="2"/>
  <c r="V7836" i="2" s="1"/>
  <c r="Q7836" i="2"/>
  <c r="P7832" i="2"/>
  <c r="V7832" i="2" s="1"/>
  <c r="Q7832" i="2"/>
  <c r="P7828" i="2"/>
  <c r="V7828" i="2" s="1"/>
  <c r="Q7828" i="2"/>
  <c r="P7824" i="2"/>
  <c r="V7824" i="2" s="1"/>
  <c r="Q7824" i="2"/>
  <c r="P7820" i="2"/>
  <c r="V7820" i="2" s="1"/>
  <c r="Q7820" i="2"/>
  <c r="P7816" i="2"/>
  <c r="V7816" i="2" s="1"/>
  <c r="Q7816" i="2"/>
  <c r="P7812" i="2"/>
  <c r="V7812" i="2" s="1"/>
  <c r="Q7812" i="2"/>
  <c r="P7808" i="2"/>
  <c r="V7808" i="2" s="1"/>
  <c r="Q7808" i="2"/>
  <c r="P7804" i="2"/>
  <c r="V7804" i="2" s="1"/>
  <c r="Q7804" i="2"/>
  <c r="P7800" i="2"/>
  <c r="V7800" i="2" s="1"/>
  <c r="Q7800" i="2"/>
  <c r="P7796" i="2"/>
  <c r="V7796" i="2" s="1"/>
  <c r="Q7796" i="2"/>
  <c r="P7792" i="2"/>
  <c r="V7792" i="2" s="1"/>
  <c r="Q7792" i="2"/>
  <c r="P7788" i="2"/>
  <c r="V7788" i="2" s="1"/>
  <c r="Q7788" i="2"/>
  <c r="P7784" i="2"/>
  <c r="V7784" i="2" s="1"/>
  <c r="Q7784" i="2"/>
  <c r="P7780" i="2"/>
  <c r="V7780" i="2" s="1"/>
  <c r="Q7780" i="2"/>
  <c r="P7776" i="2"/>
  <c r="V7776" i="2" s="1"/>
  <c r="Q7776" i="2"/>
  <c r="P7772" i="2"/>
  <c r="V7772" i="2" s="1"/>
  <c r="Q7772" i="2"/>
  <c r="P7768" i="2"/>
  <c r="V7768" i="2" s="1"/>
  <c r="Q7768" i="2"/>
  <c r="P7764" i="2"/>
  <c r="V7764" i="2" s="1"/>
  <c r="Q7764" i="2"/>
  <c r="P7760" i="2"/>
  <c r="V7760" i="2" s="1"/>
  <c r="Q7760" i="2"/>
  <c r="P7756" i="2"/>
  <c r="V7756" i="2" s="1"/>
  <c r="Q7756" i="2"/>
  <c r="P7752" i="2"/>
  <c r="V7752" i="2" s="1"/>
  <c r="Q7752" i="2"/>
  <c r="P7748" i="2"/>
  <c r="V7748" i="2" s="1"/>
  <c r="Q7748" i="2"/>
  <c r="P7744" i="2"/>
  <c r="V7744" i="2" s="1"/>
  <c r="Q7744" i="2"/>
  <c r="P7740" i="2"/>
  <c r="V7740" i="2" s="1"/>
  <c r="Q7740" i="2"/>
  <c r="P7736" i="2"/>
  <c r="V7736" i="2" s="1"/>
  <c r="Q7736" i="2"/>
  <c r="P7732" i="2"/>
  <c r="V7732" i="2" s="1"/>
  <c r="Q7732" i="2"/>
  <c r="P7728" i="2"/>
  <c r="V7728" i="2" s="1"/>
  <c r="Q7728" i="2"/>
  <c r="P7724" i="2"/>
  <c r="V7724" i="2" s="1"/>
  <c r="Q7724" i="2"/>
  <c r="P7720" i="2"/>
  <c r="V7720" i="2" s="1"/>
  <c r="Q7720" i="2"/>
  <c r="P7716" i="2"/>
  <c r="V7716" i="2" s="1"/>
  <c r="Q7716" i="2"/>
  <c r="P7712" i="2"/>
  <c r="V7712" i="2" s="1"/>
  <c r="Q7712" i="2"/>
  <c r="P7708" i="2"/>
  <c r="V7708" i="2" s="1"/>
  <c r="Q7708" i="2"/>
  <c r="P7704" i="2"/>
  <c r="V7704" i="2" s="1"/>
  <c r="Q7704" i="2"/>
  <c r="P7700" i="2"/>
  <c r="V7700" i="2" s="1"/>
  <c r="Q7700" i="2"/>
  <c r="P7696" i="2"/>
  <c r="V7696" i="2" s="1"/>
  <c r="Q7696" i="2"/>
  <c r="P7692" i="2"/>
  <c r="V7692" i="2" s="1"/>
  <c r="Q7692" i="2"/>
  <c r="P7688" i="2"/>
  <c r="V7688" i="2" s="1"/>
  <c r="Q7688" i="2"/>
  <c r="P7684" i="2"/>
  <c r="V7684" i="2" s="1"/>
  <c r="Q7684" i="2"/>
  <c r="P7680" i="2"/>
  <c r="V7680" i="2" s="1"/>
  <c r="Q7680" i="2"/>
  <c r="P7676" i="2"/>
  <c r="V7676" i="2" s="1"/>
  <c r="Q7676" i="2"/>
  <c r="P7672" i="2"/>
  <c r="V7672" i="2" s="1"/>
  <c r="Q7672" i="2"/>
  <c r="P7668" i="2"/>
  <c r="V7668" i="2" s="1"/>
  <c r="Q7668" i="2"/>
  <c r="P7664" i="2"/>
  <c r="V7664" i="2" s="1"/>
  <c r="Q7664" i="2"/>
  <c r="P7660" i="2"/>
  <c r="V7660" i="2" s="1"/>
  <c r="Q7660" i="2"/>
  <c r="P7656" i="2"/>
  <c r="V7656" i="2" s="1"/>
  <c r="Q7656" i="2"/>
  <c r="P7652" i="2"/>
  <c r="V7652" i="2" s="1"/>
  <c r="Q7652" i="2"/>
  <c r="P7648" i="2"/>
  <c r="V7648" i="2" s="1"/>
  <c r="Q7648" i="2"/>
  <c r="P7644" i="2"/>
  <c r="V7644" i="2" s="1"/>
  <c r="Q7644" i="2"/>
  <c r="P7640" i="2"/>
  <c r="V7640" i="2" s="1"/>
  <c r="Q7640" i="2"/>
  <c r="P7636" i="2"/>
  <c r="V7636" i="2" s="1"/>
  <c r="Q7636" i="2"/>
  <c r="P7632" i="2"/>
  <c r="V7632" i="2" s="1"/>
  <c r="Q7632" i="2"/>
  <c r="P7628" i="2"/>
  <c r="V7628" i="2" s="1"/>
  <c r="Q7628" i="2"/>
  <c r="P7624" i="2"/>
  <c r="V7624" i="2" s="1"/>
  <c r="Q7624" i="2"/>
  <c r="P7620" i="2"/>
  <c r="V7620" i="2" s="1"/>
  <c r="Q7620" i="2"/>
  <c r="P7616" i="2"/>
  <c r="V7616" i="2" s="1"/>
  <c r="Q7616" i="2"/>
  <c r="P7612" i="2"/>
  <c r="V7612" i="2" s="1"/>
  <c r="Q7612" i="2"/>
  <c r="P7608" i="2"/>
  <c r="V7608" i="2" s="1"/>
  <c r="Q7608" i="2"/>
  <c r="P7604" i="2"/>
  <c r="V7604" i="2" s="1"/>
  <c r="Q7604" i="2"/>
  <c r="P7600" i="2"/>
  <c r="V7600" i="2" s="1"/>
  <c r="Q7600" i="2"/>
  <c r="P7596" i="2"/>
  <c r="V7596" i="2" s="1"/>
  <c r="Q7596" i="2"/>
  <c r="P7592" i="2"/>
  <c r="V7592" i="2" s="1"/>
  <c r="Q7592" i="2"/>
  <c r="P7588" i="2"/>
  <c r="V7588" i="2" s="1"/>
  <c r="Q7588" i="2"/>
  <c r="P7584" i="2"/>
  <c r="V7584" i="2" s="1"/>
  <c r="Q7584" i="2"/>
  <c r="P7580" i="2"/>
  <c r="V7580" i="2" s="1"/>
  <c r="Q7580" i="2"/>
  <c r="P7576" i="2"/>
  <c r="V7576" i="2" s="1"/>
  <c r="Q7576" i="2"/>
  <c r="P7572" i="2"/>
  <c r="V7572" i="2" s="1"/>
  <c r="Q7572" i="2"/>
  <c r="P7568" i="2"/>
  <c r="V7568" i="2" s="1"/>
  <c r="Q7568" i="2"/>
  <c r="P7564" i="2"/>
  <c r="V7564" i="2" s="1"/>
  <c r="Q7564" i="2"/>
  <c r="P7560" i="2"/>
  <c r="V7560" i="2" s="1"/>
  <c r="Q7560" i="2"/>
  <c r="P7556" i="2"/>
  <c r="V7556" i="2" s="1"/>
  <c r="Q7556" i="2"/>
  <c r="P7552" i="2"/>
  <c r="V7552" i="2" s="1"/>
  <c r="Q7552" i="2"/>
  <c r="P7548" i="2"/>
  <c r="V7548" i="2" s="1"/>
  <c r="Q7548" i="2"/>
  <c r="P7544" i="2"/>
  <c r="V7544" i="2" s="1"/>
  <c r="Q7544" i="2"/>
  <c r="P7540" i="2"/>
  <c r="V7540" i="2" s="1"/>
  <c r="Q7540" i="2"/>
  <c r="P7536" i="2"/>
  <c r="V7536" i="2" s="1"/>
  <c r="Q7536" i="2"/>
  <c r="P7532" i="2"/>
  <c r="V7532" i="2" s="1"/>
  <c r="Q7532" i="2"/>
  <c r="P7528" i="2"/>
  <c r="V7528" i="2" s="1"/>
  <c r="Q7528" i="2"/>
  <c r="P7524" i="2"/>
  <c r="V7524" i="2" s="1"/>
  <c r="Q7524" i="2"/>
  <c r="P7520" i="2"/>
  <c r="V7520" i="2" s="1"/>
  <c r="Q7520" i="2"/>
  <c r="P7516" i="2"/>
  <c r="V7516" i="2" s="1"/>
  <c r="Q7516" i="2"/>
  <c r="P7512" i="2"/>
  <c r="V7512" i="2" s="1"/>
  <c r="Q7512" i="2"/>
  <c r="P7508" i="2"/>
  <c r="V7508" i="2" s="1"/>
  <c r="Q7508" i="2"/>
  <c r="P7504" i="2"/>
  <c r="V7504" i="2" s="1"/>
  <c r="Q7504" i="2"/>
  <c r="P7500" i="2"/>
  <c r="V7500" i="2" s="1"/>
  <c r="Q7500" i="2"/>
  <c r="P7496" i="2"/>
  <c r="V7496" i="2" s="1"/>
  <c r="Q7496" i="2"/>
  <c r="P7492" i="2"/>
  <c r="V7492" i="2" s="1"/>
  <c r="Q7492" i="2"/>
  <c r="P7488" i="2"/>
  <c r="V7488" i="2" s="1"/>
  <c r="Q7488" i="2"/>
  <c r="P7484" i="2"/>
  <c r="V7484" i="2" s="1"/>
  <c r="Q7484" i="2"/>
  <c r="P7480" i="2"/>
  <c r="V7480" i="2" s="1"/>
  <c r="Q7480" i="2"/>
  <c r="P7476" i="2"/>
  <c r="V7476" i="2" s="1"/>
  <c r="Q7476" i="2"/>
  <c r="P7472" i="2"/>
  <c r="V7472" i="2" s="1"/>
  <c r="Q7472" i="2"/>
  <c r="P7468" i="2"/>
  <c r="V7468" i="2" s="1"/>
  <c r="Q7468" i="2"/>
  <c r="P7464" i="2"/>
  <c r="V7464" i="2" s="1"/>
  <c r="Q7464" i="2"/>
  <c r="P7460" i="2"/>
  <c r="V7460" i="2" s="1"/>
  <c r="Q7460" i="2"/>
  <c r="P7456" i="2"/>
  <c r="V7456" i="2" s="1"/>
  <c r="Q7456" i="2"/>
  <c r="P7452" i="2"/>
  <c r="V7452" i="2" s="1"/>
  <c r="Q7452" i="2"/>
  <c r="P7448" i="2"/>
  <c r="V7448" i="2" s="1"/>
  <c r="Q7448" i="2"/>
  <c r="P7444" i="2"/>
  <c r="V7444" i="2" s="1"/>
  <c r="Q7444" i="2"/>
  <c r="P7440" i="2"/>
  <c r="V7440" i="2" s="1"/>
  <c r="Q7440" i="2"/>
  <c r="P7436" i="2"/>
  <c r="V7436" i="2" s="1"/>
  <c r="Q7436" i="2"/>
  <c r="P7432" i="2"/>
  <c r="V7432" i="2" s="1"/>
  <c r="Q7432" i="2"/>
  <c r="P7428" i="2"/>
  <c r="V7428" i="2" s="1"/>
  <c r="Q7428" i="2"/>
  <c r="P7424" i="2"/>
  <c r="V7424" i="2" s="1"/>
  <c r="Q7424" i="2"/>
  <c r="P7420" i="2"/>
  <c r="V7420" i="2" s="1"/>
  <c r="Q7420" i="2"/>
  <c r="P7416" i="2"/>
  <c r="V7416" i="2" s="1"/>
  <c r="Q7416" i="2"/>
  <c r="P7412" i="2"/>
  <c r="V7412" i="2" s="1"/>
  <c r="Q7412" i="2"/>
  <c r="P7408" i="2"/>
  <c r="V7408" i="2" s="1"/>
  <c r="Q7408" i="2"/>
  <c r="P7404" i="2"/>
  <c r="V7404" i="2" s="1"/>
  <c r="Q7404" i="2"/>
  <c r="P7400" i="2"/>
  <c r="V7400" i="2" s="1"/>
  <c r="Q7400" i="2"/>
  <c r="P7396" i="2"/>
  <c r="V7396" i="2" s="1"/>
  <c r="Q7396" i="2"/>
  <c r="P7392" i="2"/>
  <c r="V7392" i="2" s="1"/>
  <c r="Q7392" i="2"/>
  <c r="P7388" i="2"/>
  <c r="V7388" i="2" s="1"/>
  <c r="Q7388" i="2"/>
  <c r="P7384" i="2"/>
  <c r="V7384" i="2" s="1"/>
  <c r="Q7384" i="2"/>
  <c r="P7380" i="2"/>
  <c r="V7380" i="2" s="1"/>
  <c r="Q7380" i="2"/>
  <c r="P7376" i="2"/>
  <c r="V7376" i="2" s="1"/>
  <c r="Q7376" i="2"/>
  <c r="P7372" i="2"/>
  <c r="V7372" i="2" s="1"/>
  <c r="Q7372" i="2"/>
  <c r="P7368" i="2"/>
  <c r="V7368" i="2" s="1"/>
  <c r="Q7368" i="2"/>
  <c r="P7364" i="2"/>
  <c r="V7364" i="2" s="1"/>
  <c r="Q7364" i="2"/>
  <c r="P7360" i="2"/>
  <c r="V7360" i="2" s="1"/>
  <c r="Q7360" i="2"/>
  <c r="P7356" i="2"/>
  <c r="V7356" i="2" s="1"/>
  <c r="Q7356" i="2"/>
  <c r="P7352" i="2"/>
  <c r="V7352" i="2" s="1"/>
  <c r="Q7352" i="2"/>
  <c r="P7348" i="2"/>
  <c r="V7348" i="2" s="1"/>
  <c r="Q7348" i="2"/>
  <c r="P7344" i="2"/>
  <c r="V7344" i="2" s="1"/>
  <c r="Q7344" i="2"/>
  <c r="P7340" i="2"/>
  <c r="V7340" i="2" s="1"/>
  <c r="Q7340" i="2"/>
  <c r="P7336" i="2"/>
  <c r="V7336" i="2" s="1"/>
  <c r="Q7336" i="2"/>
  <c r="P7332" i="2"/>
  <c r="V7332" i="2" s="1"/>
  <c r="Q7332" i="2"/>
  <c r="P7328" i="2"/>
  <c r="V7328" i="2" s="1"/>
  <c r="Q7328" i="2"/>
  <c r="P7324" i="2"/>
  <c r="V7324" i="2" s="1"/>
  <c r="Q7324" i="2"/>
  <c r="P7320" i="2"/>
  <c r="V7320" i="2" s="1"/>
  <c r="Q7320" i="2"/>
  <c r="P7316" i="2"/>
  <c r="V7316" i="2" s="1"/>
  <c r="Q7316" i="2"/>
  <c r="P7312" i="2"/>
  <c r="V7312" i="2" s="1"/>
  <c r="Q7312" i="2"/>
  <c r="P7308" i="2"/>
  <c r="V7308" i="2" s="1"/>
  <c r="Q7308" i="2"/>
  <c r="P7304" i="2"/>
  <c r="V7304" i="2" s="1"/>
  <c r="Q7304" i="2"/>
  <c r="P7300" i="2"/>
  <c r="V7300" i="2" s="1"/>
  <c r="Q7300" i="2"/>
  <c r="P7296" i="2"/>
  <c r="V7296" i="2" s="1"/>
  <c r="Q7296" i="2"/>
  <c r="P7292" i="2"/>
  <c r="V7292" i="2" s="1"/>
  <c r="Q7292" i="2"/>
  <c r="P7288" i="2"/>
  <c r="V7288" i="2" s="1"/>
  <c r="Q7288" i="2"/>
  <c r="P7284" i="2"/>
  <c r="V7284" i="2" s="1"/>
  <c r="Q7284" i="2"/>
  <c r="P7280" i="2"/>
  <c r="V7280" i="2" s="1"/>
  <c r="Q7280" i="2"/>
  <c r="P7276" i="2"/>
  <c r="V7276" i="2" s="1"/>
  <c r="Q7276" i="2"/>
  <c r="P7272" i="2"/>
  <c r="V7272" i="2" s="1"/>
  <c r="Q7272" i="2"/>
  <c r="P7268" i="2"/>
  <c r="V7268" i="2" s="1"/>
  <c r="Q7268" i="2"/>
  <c r="P7264" i="2"/>
  <c r="V7264" i="2" s="1"/>
  <c r="Q7264" i="2"/>
  <c r="P7260" i="2"/>
  <c r="V7260" i="2" s="1"/>
  <c r="Q7260" i="2"/>
  <c r="P7256" i="2"/>
  <c r="V7256" i="2" s="1"/>
  <c r="Q7256" i="2"/>
  <c r="P7248" i="2"/>
  <c r="V7248" i="2" s="1"/>
  <c r="Q7248" i="2"/>
  <c r="P7240" i="2"/>
  <c r="V7240" i="2" s="1"/>
  <c r="Q7240" i="2"/>
  <c r="P7232" i="2"/>
  <c r="V7232" i="2" s="1"/>
  <c r="Q7232" i="2"/>
  <c r="P7224" i="2"/>
  <c r="V7224" i="2" s="1"/>
  <c r="Q7224" i="2"/>
  <c r="P7216" i="2"/>
  <c r="V7216" i="2" s="1"/>
  <c r="Q7216" i="2"/>
  <c r="P7208" i="2"/>
  <c r="V7208" i="2" s="1"/>
  <c r="Q7208" i="2"/>
  <c r="P7200" i="2"/>
  <c r="V7200" i="2" s="1"/>
  <c r="Q7200" i="2"/>
  <c r="P7192" i="2"/>
  <c r="V7192" i="2" s="1"/>
  <c r="Q7192" i="2"/>
  <c r="P7184" i="2"/>
  <c r="V7184" i="2" s="1"/>
  <c r="Q7184" i="2"/>
  <c r="P7176" i="2"/>
  <c r="V7176" i="2" s="1"/>
  <c r="Q7176" i="2"/>
  <c r="P7168" i="2"/>
  <c r="V7168" i="2" s="1"/>
  <c r="Q7168" i="2"/>
  <c r="P7160" i="2"/>
  <c r="V7160" i="2" s="1"/>
  <c r="Q7160" i="2"/>
  <c r="P7152" i="2"/>
  <c r="V7152" i="2" s="1"/>
  <c r="Q7152" i="2"/>
  <c r="P7144" i="2"/>
  <c r="V7144" i="2" s="1"/>
  <c r="Q7144" i="2"/>
  <c r="P7136" i="2"/>
  <c r="V7136" i="2" s="1"/>
  <c r="Q7136" i="2"/>
  <c r="P7128" i="2"/>
  <c r="V7128" i="2" s="1"/>
  <c r="Q7128" i="2"/>
  <c r="P7120" i="2"/>
  <c r="V7120" i="2" s="1"/>
  <c r="Q7120" i="2"/>
  <c r="P7112" i="2"/>
  <c r="V7112" i="2" s="1"/>
  <c r="Q7112" i="2"/>
  <c r="P7104" i="2"/>
  <c r="V7104" i="2" s="1"/>
  <c r="Q7104" i="2"/>
  <c r="P7096" i="2"/>
  <c r="V7096" i="2" s="1"/>
  <c r="Q7096" i="2"/>
  <c r="P7088" i="2"/>
  <c r="V7088" i="2" s="1"/>
  <c r="Q7088" i="2"/>
  <c r="P7080" i="2"/>
  <c r="V7080" i="2" s="1"/>
  <c r="Q7080" i="2"/>
  <c r="P7072" i="2"/>
  <c r="V7072" i="2" s="1"/>
  <c r="Q7072" i="2"/>
  <c r="P7064" i="2"/>
  <c r="V7064" i="2" s="1"/>
  <c r="Q7064" i="2"/>
  <c r="P7056" i="2"/>
  <c r="V7056" i="2" s="1"/>
  <c r="Q7056" i="2"/>
  <c r="P7048" i="2"/>
  <c r="V7048" i="2" s="1"/>
  <c r="Q7048" i="2"/>
  <c r="P7040" i="2"/>
  <c r="V7040" i="2" s="1"/>
  <c r="Q7040" i="2"/>
  <c r="P7032" i="2"/>
  <c r="V7032" i="2" s="1"/>
  <c r="Q7032" i="2"/>
  <c r="P7024" i="2"/>
  <c r="V7024" i="2" s="1"/>
  <c r="Q7024" i="2"/>
  <c r="P7016" i="2"/>
  <c r="V7016" i="2" s="1"/>
  <c r="Q7016" i="2"/>
  <c r="P7008" i="2"/>
  <c r="V7008" i="2" s="1"/>
  <c r="Q7008" i="2"/>
  <c r="P7000" i="2"/>
  <c r="V7000" i="2" s="1"/>
  <c r="Q7000" i="2"/>
  <c r="P6992" i="2"/>
  <c r="V6992" i="2" s="1"/>
  <c r="Q6992" i="2"/>
  <c r="P6984" i="2"/>
  <c r="V6984" i="2" s="1"/>
  <c r="Q6984" i="2"/>
  <c r="P6976" i="2"/>
  <c r="V6976" i="2" s="1"/>
  <c r="Q6976" i="2"/>
  <c r="P6968" i="2"/>
  <c r="V6968" i="2" s="1"/>
  <c r="Q6968" i="2"/>
  <c r="P6960" i="2"/>
  <c r="V6960" i="2" s="1"/>
  <c r="Q6960" i="2"/>
  <c r="P6952" i="2"/>
  <c r="V6952" i="2" s="1"/>
  <c r="Q6952" i="2"/>
  <c r="P6944" i="2"/>
  <c r="V6944" i="2" s="1"/>
  <c r="Q6944" i="2"/>
  <c r="P6936" i="2"/>
  <c r="V6936" i="2" s="1"/>
  <c r="Q6936" i="2"/>
  <c r="P6928" i="2"/>
  <c r="V6928" i="2" s="1"/>
  <c r="Q6928" i="2"/>
  <c r="P6920" i="2"/>
  <c r="V6920" i="2" s="1"/>
  <c r="Q6920" i="2"/>
  <c r="P6912" i="2"/>
  <c r="V6912" i="2" s="1"/>
  <c r="Q6912" i="2"/>
  <c r="P6904" i="2"/>
  <c r="V6904" i="2" s="1"/>
  <c r="Q6904" i="2"/>
  <c r="P6896" i="2"/>
  <c r="V6896" i="2" s="1"/>
  <c r="Q6896" i="2"/>
  <c r="P6888" i="2"/>
  <c r="V6888" i="2" s="1"/>
  <c r="Q6888" i="2"/>
  <c r="P6880" i="2"/>
  <c r="V6880" i="2" s="1"/>
  <c r="Q6880" i="2"/>
  <c r="P6872" i="2"/>
  <c r="V6872" i="2" s="1"/>
  <c r="Q6872" i="2"/>
  <c r="P6864" i="2"/>
  <c r="V6864" i="2" s="1"/>
  <c r="Q6864" i="2"/>
  <c r="P6856" i="2"/>
  <c r="V6856" i="2" s="1"/>
  <c r="Q6856" i="2"/>
  <c r="P6848" i="2"/>
  <c r="V6848" i="2" s="1"/>
  <c r="Q6848" i="2"/>
  <c r="P6840" i="2"/>
  <c r="V6840" i="2" s="1"/>
  <c r="Q6840" i="2"/>
  <c r="P6832" i="2"/>
  <c r="V6832" i="2" s="1"/>
  <c r="Q6832" i="2"/>
  <c r="P6824" i="2"/>
  <c r="V6824" i="2" s="1"/>
  <c r="Q6824" i="2"/>
  <c r="P6816" i="2"/>
  <c r="V6816" i="2" s="1"/>
  <c r="Q6816" i="2"/>
  <c r="P6808" i="2"/>
  <c r="V6808" i="2" s="1"/>
  <c r="Q6808" i="2"/>
  <c r="P6800" i="2"/>
  <c r="V6800" i="2" s="1"/>
  <c r="Q6800" i="2"/>
  <c r="P6792" i="2"/>
  <c r="V6792" i="2" s="1"/>
  <c r="Q6792" i="2"/>
  <c r="P6784" i="2"/>
  <c r="V6784" i="2" s="1"/>
  <c r="Q6784" i="2"/>
  <c r="P6776" i="2"/>
  <c r="V6776" i="2" s="1"/>
  <c r="Q6776" i="2"/>
  <c r="P6768" i="2"/>
  <c r="V6768" i="2" s="1"/>
  <c r="Q6768" i="2"/>
  <c r="P6760" i="2"/>
  <c r="V6760" i="2" s="1"/>
  <c r="Q6760" i="2"/>
  <c r="P6752" i="2"/>
  <c r="V6752" i="2" s="1"/>
  <c r="Q6752" i="2"/>
  <c r="P6744" i="2"/>
  <c r="V6744" i="2" s="1"/>
  <c r="Q6744" i="2"/>
  <c r="P6736" i="2"/>
  <c r="V6736" i="2" s="1"/>
  <c r="Q6736" i="2"/>
  <c r="P6728" i="2"/>
  <c r="V6728" i="2" s="1"/>
  <c r="Q6728" i="2"/>
  <c r="P6720" i="2"/>
  <c r="V6720" i="2" s="1"/>
  <c r="Q6720" i="2"/>
  <c r="P6712" i="2"/>
  <c r="V6712" i="2" s="1"/>
  <c r="Q6712" i="2"/>
  <c r="P6704" i="2"/>
  <c r="V6704" i="2" s="1"/>
  <c r="Q6704" i="2"/>
  <c r="P6696" i="2"/>
  <c r="V6696" i="2" s="1"/>
  <c r="Q6696" i="2"/>
  <c r="P6688" i="2"/>
  <c r="V6688" i="2" s="1"/>
  <c r="Q6688" i="2"/>
  <c r="P6680" i="2"/>
  <c r="V6680" i="2" s="1"/>
  <c r="Q6680" i="2"/>
  <c r="P6672" i="2"/>
  <c r="V6672" i="2" s="1"/>
  <c r="Q6672" i="2"/>
  <c r="P6664" i="2"/>
  <c r="V6664" i="2" s="1"/>
  <c r="Q6664" i="2"/>
  <c r="P6656" i="2"/>
  <c r="V6656" i="2" s="1"/>
  <c r="Q6656" i="2"/>
  <c r="P6648" i="2"/>
  <c r="V6648" i="2" s="1"/>
  <c r="Q6648" i="2"/>
  <c r="P6640" i="2"/>
  <c r="V6640" i="2" s="1"/>
  <c r="Q6640" i="2"/>
  <c r="P6632" i="2"/>
  <c r="V6632" i="2" s="1"/>
  <c r="Q6632" i="2"/>
  <c r="P6624" i="2"/>
  <c r="V6624" i="2" s="1"/>
  <c r="Q6624" i="2"/>
  <c r="P6616" i="2"/>
  <c r="V6616" i="2" s="1"/>
  <c r="Q6616" i="2"/>
  <c r="P6608" i="2"/>
  <c r="V6608" i="2" s="1"/>
  <c r="Q6608" i="2"/>
  <c r="P6600" i="2"/>
  <c r="V6600" i="2" s="1"/>
  <c r="Q6600" i="2"/>
  <c r="P6592" i="2"/>
  <c r="V6592" i="2" s="1"/>
  <c r="Q6592" i="2"/>
  <c r="P6584" i="2"/>
  <c r="V6584" i="2" s="1"/>
  <c r="Q6584" i="2"/>
  <c r="P6576" i="2"/>
  <c r="V6576" i="2" s="1"/>
  <c r="Q6576" i="2"/>
  <c r="P6568" i="2"/>
  <c r="V6568" i="2" s="1"/>
  <c r="Q6568" i="2"/>
  <c r="P6560" i="2"/>
  <c r="V6560" i="2" s="1"/>
  <c r="Q6560" i="2"/>
  <c r="P6552" i="2"/>
  <c r="V6552" i="2" s="1"/>
  <c r="Q6552" i="2"/>
  <c r="P6544" i="2"/>
  <c r="V6544" i="2" s="1"/>
  <c r="Q6544" i="2"/>
  <c r="P6536" i="2"/>
  <c r="V6536" i="2" s="1"/>
  <c r="Q6536" i="2"/>
  <c r="P6528" i="2"/>
  <c r="V6528" i="2" s="1"/>
  <c r="Q6528" i="2"/>
  <c r="P6520" i="2"/>
  <c r="V6520" i="2" s="1"/>
  <c r="Q6520" i="2"/>
  <c r="P6512" i="2"/>
  <c r="V6512" i="2" s="1"/>
  <c r="Q6512" i="2"/>
  <c r="P6504" i="2"/>
  <c r="V6504" i="2" s="1"/>
  <c r="Q6504" i="2"/>
  <c r="P6496" i="2"/>
  <c r="V6496" i="2" s="1"/>
  <c r="Q6496" i="2"/>
  <c r="P6488" i="2"/>
  <c r="V6488" i="2" s="1"/>
  <c r="Q6488" i="2"/>
  <c r="P6480" i="2"/>
  <c r="V6480" i="2" s="1"/>
  <c r="Q6480" i="2"/>
  <c r="P6472" i="2"/>
  <c r="V6472" i="2" s="1"/>
  <c r="Q6472" i="2"/>
  <c r="P6464" i="2"/>
  <c r="V6464" i="2" s="1"/>
  <c r="Q6464" i="2"/>
  <c r="P6456" i="2"/>
  <c r="V6456" i="2" s="1"/>
  <c r="Q6456" i="2"/>
  <c r="P6448" i="2"/>
  <c r="V6448" i="2" s="1"/>
  <c r="Q6448" i="2"/>
  <c r="P6440" i="2"/>
  <c r="V6440" i="2" s="1"/>
  <c r="Q6440" i="2"/>
  <c r="P6432" i="2"/>
  <c r="V6432" i="2" s="1"/>
  <c r="Q6432" i="2"/>
  <c r="P6424" i="2"/>
  <c r="V6424" i="2" s="1"/>
  <c r="Q6424" i="2"/>
  <c r="P6416" i="2"/>
  <c r="V6416" i="2" s="1"/>
  <c r="Q6416" i="2"/>
  <c r="P6408" i="2"/>
  <c r="V6408" i="2" s="1"/>
  <c r="Q6408" i="2"/>
  <c r="P6400" i="2"/>
  <c r="V6400" i="2" s="1"/>
  <c r="Q6400" i="2"/>
  <c r="P6392" i="2"/>
  <c r="V6392" i="2" s="1"/>
  <c r="Q6392" i="2"/>
  <c r="P6384" i="2"/>
  <c r="V6384" i="2" s="1"/>
  <c r="Q6384" i="2"/>
  <c r="P6376" i="2"/>
  <c r="V6376" i="2" s="1"/>
  <c r="Q6376" i="2"/>
  <c r="P6368" i="2"/>
  <c r="V6368" i="2" s="1"/>
  <c r="Q6368" i="2"/>
  <c r="P6360" i="2"/>
  <c r="V6360" i="2" s="1"/>
  <c r="Q6360" i="2"/>
  <c r="P6352" i="2"/>
  <c r="V6352" i="2" s="1"/>
  <c r="Q6352" i="2"/>
  <c r="P6344" i="2"/>
  <c r="V6344" i="2" s="1"/>
  <c r="Q6344" i="2"/>
  <c r="P6336" i="2"/>
  <c r="V6336" i="2" s="1"/>
  <c r="Q6336" i="2"/>
  <c r="P6328" i="2"/>
  <c r="V6328" i="2" s="1"/>
  <c r="Q6328" i="2"/>
  <c r="P6320" i="2"/>
  <c r="V6320" i="2" s="1"/>
  <c r="Q6320" i="2"/>
  <c r="P6312" i="2"/>
  <c r="V6312" i="2" s="1"/>
  <c r="Q6312" i="2"/>
  <c r="P6304" i="2"/>
  <c r="V6304" i="2" s="1"/>
  <c r="Q6304" i="2"/>
  <c r="P6296" i="2"/>
  <c r="V6296" i="2" s="1"/>
  <c r="Q6296" i="2"/>
  <c r="P6288" i="2"/>
  <c r="V6288" i="2" s="1"/>
  <c r="Q6288" i="2"/>
  <c r="P6280" i="2"/>
  <c r="V6280" i="2" s="1"/>
  <c r="Q6280" i="2"/>
  <c r="P6272" i="2"/>
  <c r="V6272" i="2" s="1"/>
  <c r="Q6272" i="2"/>
  <c r="P6264" i="2"/>
  <c r="V6264" i="2" s="1"/>
  <c r="Q6264" i="2"/>
  <c r="P6256" i="2"/>
  <c r="V6256" i="2" s="1"/>
  <c r="Q6256" i="2"/>
  <c r="P6248" i="2"/>
  <c r="V6248" i="2" s="1"/>
  <c r="Q6248" i="2"/>
  <c r="P6240" i="2"/>
  <c r="V6240" i="2" s="1"/>
  <c r="Q6240" i="2"/>
  <c r="P6232" i="2"/>
  <c r="V6232" i="2" s="1"/>
  <c r="Q6232" i="2"/>
  <c r="P6224" i="2"/>
  <c r="V6224" i="2" s="1"/>
  <c r="Q6224" i="2"/>
  <c r="P6216" i="2"/>
  <c r="V6216" i="2" s="1"/>
  <c r="Q6216" i="2"/>
  <c r="P6208" i="2"/>
  <c r="V6208" i="2" s="1"/>
  <c r="Q6208" i="2"/>
  <c r="P6200" i="2"/>
  <c r="V6200" i="2" s="1"/>
  <c r="Q6200" i="2"/>
  <c r="P6192" i="2"/>
  <c r="V6192" i="2" s="1"/>
  <c r="Q6192" i="2"/>
  <c r="P6184" i="2"/>
  <c r="V6184" i="2" s="1"/>
  <c r="Q6184" i="2"/>
  <c r="P6176" i="2"/>
  <c r="V6176" i="2" s="1"/>
  <c r="Q6176" i="2"/>
  <c r="P6168" i="2"/>
  <c r="V6168" i="2" s="1"/>
  <c r="Q6168" i="2"/>
  <c r="P6160" i="2"/>
  <c r="V6160" i="2" s="1"/>
  <c r="Q6160" i="2"/>
  <c r="P6152" i="2"/>
  <c r="V6152" i="2" s="1"/>
  <c r="Q6152" i="2"/>
  <c r="P6144" i="2"/>
  <c r="V6144" i="2" s="1"/>
  <c r="Q6144" i="2"/>
  <c r="P6136" i="2"/>
  <c r="V6136" i="2" s="1"/>
  <c r="Q6136" i="2"/>
  <c r="P6128" i="2"/>
  <c r="V6128" i="2" s="1"/>
  <c r="Q6128" i="2"/>
  <c r="P6120" i="2"/>
  <c r="V6120" i="2" s="1"/>
  <c r="Q6120" i="2"/>
  <c r="P6112" i="2"/>
  <c r="V6112" i="2" s="1"/>
  <c r="Q6112" i="2"/>
  <c r="P6104" i="2"/>
  <c r="V6104" i="2" s="1"/>
  <c r="Q6104" i="2"/>
  <c r="P6096" i="2"/>
  <c r="V6096" i="2" s="1"/>
  <c r="Q6096" i="2"/>
  <c r="P6088" i="2"/>
  <c r="V6088" i="2" s="1"/>
  <c r="Q6088" i="2"/>
  <c r="P6080" i="2"/>
  <c r="V6080" i="2" s="1"/>
  <c r="Q6080" i="2"/>
  <c r="P6072" i="2"/>
  <c r="V6072" i="2" s="1"/>
  <c r="Q6072" i="2"/>
  <c r="P6064" i="2"/>
  <c r="V6064" i="2" s="1"/>
  <c r="Q6064" i="2"/>
  <c r="P6056" i="2"/>
  <c r="V6056" i="2" s="1"/>
  <c r="Q6056" i="2"/>
  <c r="P6048" i="2"/>
  <c r="V6048" i="2" s="1"/>
  <c r="Q6048" i="2"/>
  <c r="P6040" i="2"/>
  <c r="V6040" i="2" s="1"/>
  <c r="Q6040" i="2"/>
  <c r="P6032" i="2"/>
  <c r="V6032" i="2" s="1"/>
  <c r="Q6032" i="2"/>
  <c r="P6024" i="2"/>
  <c r="V6024" i="2" s="1"/>
  <c r="Q6024" i="2"/>
  <c r="P6016" i="2"/>
  <c r="V6016" i="2" s="1"/>
  <c r="Q6016" i="2"/>
  <c r="P6008" i="2"/>
  <c r="V6008" i="2" s="1"/>
  <c r="Q6008" i="2"/>
  <c r="P6000" i="2"/>
  <c r="V6000" i="2" s="1"/>
  <c r="Q6000" i="2"/>
  <c r="P5992" i="2"/>
  <c r="V5992" i="2" s="1"/>
  <c r="Q5992" i="2"/>
  <c r="P5984" i="2"/>
  <c r="V5984" i="2" s="1"/>
  <c r="Q5984" i="2"/>
  <c r="P5976" i="2"/>
  <c r="V5976" i="2" s="1"/>
  <c r="Q5976" i="2"/>
  <c r="P5968" i="2"/>
  <c r="V5968" i="2" s="1"/>
  <c r="Q5968" i="2"/>
  <c r="P5960" i="2"/>
  <c r="V5960" i="2" s="1"/>
  <c r="Q5960" i="2"/>
  <c r="P5952" i="2"/>
  <c r="V5952" i="2" s="1"/>
  <c r="Q5952" i="2"/>
  <c r="P5944" i="2"/>
  <c r="V5944" i="2" s="1"/>
  <c r="Q5944" i="2"/>
  <c r="P5936" i="2"/>
  <c r="V5936" i="2" s="1"/>
  <c r="Q5936" i="2"/>
  <c r="P5928" i="2"/>
  <c r="V5928" i="2" s="1"/>
  <c r="Q5928" i="2"/>
  <c r="P5920" i="2"/>
  <c r="V5920" i="2" s="1"/>
  <c r="Q5920" i="2"/>
  <c r="P5912" i="2"/>
  <c r="V5912" i="2" s="1"/>
  <c r="Q5912" i="2"/>
  <c r="P5904" i="2"/>
  <c r="V5904" i="2" s="1"/>
  <c r="Q5904" i="2"/>
  <c r="P5896" i="2"/>
  <c r="V5896" i="2" s="1"/>
  <c r="Q5896" i="2"/>
  <c r="P5888" i="2"/>
  <c r="V5888" i="2" s="1"/>
  <c r="Q5888" i="2"/>
  <c r="P5880" i="2"/>
  <c r="V5880" i="2" s="1"/>
  <c r="Q5880" i="2"/>
  <c r="P5872" i="2"/>
  <c r="V5872" i="2" s="1"/>
  <c r="Q5872" i="2"/>
  <c r="P5864" i="2"/>
  <c r="V5864" i="2" s="1"/>
  <c r="Q5864" i="2"/>
  <c r="P5856" i="2"/>
  <c r="V5856" i="2" s="1"/>
  <c r="Q5856" i="2"/>
  <c r="P5848" i="2"/>
  <c r="V5848" i="2" s="1"/>
  <c r="Q5848" i="2"/>
  <c r="P5840" i="2"/>
  <c r="V5840" i="2" s="1"/>
  <c r="Q5840" i="2"/>
  <c r="P5832" i="2"/>
  <c r="V5832" i="2" s="1"/>
  <c r="Q5832" i="2"/>
  <c r="P5824" i="2"/>
  <c r="V5824" i="2" s="1"/>
  <c r="Q5824" i="2"/>
  <c r="P5816" i="2"/>
  <c r="V5816" i="2" s="1"/>
  <c r="Q5816" i="2"/>
  <c r="P5808" i="2"/>
  <c r="V5808" i="2" s="1"/>
  <c r="Q5808" i="2"/>
  <c r="P5800" i="2"/>
  <c r="V5800" i="2" s="1"/>
  <c r="Q5800" i="2"/>
  <c r="P5792" i="2"/>
  <c r="V5792" i="2" s="1"/>
  <c r="Q5792" i="2"/>
  <c r="P5784" i="2"/>
  <c r="V5784" i="2" s="1"/>
  <c r="Q5784" i="2"/>
  <c r="P5776" i="2"/>
  <c r="V5776" i="2" s="1"/>
  <c r="Q5776" i="2"/>
  <c r="P5768" i="2"/>
  <c r="V5768" i="2" s="1"/>
  <c r="Q5768" i="2"/>
  <c r="P5760" i="2"/>
  <c r="V5760" i="2" s="1"/>
  <c r="Q5760" i="2"/>
  <c r="P5752" i="2"/>
  <c r="V5752" i="2" s="1"/>
  <c r="Q5752" i="2"/>
  <c r="P5744" i="2"/>
  <c r="V5744" i="2" s="1"/>
  <c r="Q5744" i="2"/>
  <c r="P5736" i="2"/>
  <c r="V5736" i="2" s="1"/>
  <c r="Q5736" i="2"/>
  <c r="P5728" i="2"/>
  <c r="V5728" i="2" s="1"/>
  <c r="Q5728" i="2"/>
  <c r="P5720" i="2"/>
  <c r="V5720" i="2" s="1"/>
  <c r="Q5720" i="2"/>
  <c r="P5712" i="2"/>
  <c r="V5712" i="2" s="1"/>
  <c r="Q5712" i="2"/>
  <c r="P5704" i="2"/>
  <c r="V5704" i="2" s="1"/>
  <c r="Q5704" i="2"/>
  <c r="P5696" i="2"/>
  <c r="V5696" i="2" s="1"/>
  <c r="Q5696" i="2"/>
  <c r="P5688" i="2"/>
  <c r="V5688" i="2" s="1"/>
  <c r="Q5688" i="2"/>
  <c r="P5680" i="2"/>
  <c r="V5680" i="2" s="1"/>
  <c r="Q5680" i="2"/>
  <c r="P5672" i="2"/>
  <c r="V5672" i="2" s="1"/>
  <c r="Q5672" i="2"/>
  <c r="P5664" i="2"/>
  <c r="V5664" i="2" s="1"/>
  <c r="Q5664" i="2"/>
  <c r="P5656" i="2"/>
  <c r="V5656" i="2" s="1"/>
  <c r="Q5656" i="2"/>
  <c r="P5648" i="2"/>
  <c r="V5648" i="2" s="1"/>
  <c r="Q5648" i="2"/>
  <c r="P5640" i="2"/>
  <c r="V5640" i="2" s="1"/>
  <c r="Q5640" i="2"/>
  <c r="P5632" i="2"/>
  <c r="V5632" i="2" s="1"/>
  <c r="Q5632" i="2"/>
  <c r="P5624" i="2"/>
  <c r="V5624" i="2" s="1"/>
  <c r="Q5624" i="2"/>
  <c r="P5616" i="2"/>
  <c r="V5616" i="2" s="1"/>
  <c r="Q5616" i="2"/>
  <c r="P5608" i="2"/>
  <c r="V5608" i="2" s="1"/>
  <c r="Q5608" i="2"/>
  <c r="P5600" i="2"/>
  <c r="V5600" i="2" s="1"/>
  <c r="Q5600" i="2"/>
  <c r="P5592" i="2"/>
  <c r="V5592" i="2" s="1"/>
  <c r="Q5592" i="2"/>
  <c r="P5584" i="2"/>
  <c r="V5584" i="2" s="1"/>
  <c r="Q5584" i="2"/>
  <c r="P5576" i="2"/>
  <c r="V5576" i="2" s="1"/>
  <c r="Q5576" i="2"/>
  <c r="P5568" i="2"/>
  <c r="V5568" i="2" s="1"/>
  <c r="Q5568" i="2"/>
  <c r="P5560" i="2"/>
  <c r="V5560" i="2" s="1"/>
  <c r="Q5560" i="2"/>
  <c r="P5552" i="2"/>
  <c r="V5552" i="2" s="1"/>
  <c r="Q5552" i="2"/>
  <c r="P5544" i="2"/>
  <c r="V5544" i="2" s="1"/>
  <c r="Q5544" i="2"/>
  <c r="P5536" i="2"/>
  <c r="V5536" i="2" s="1"/>
  <c r="Q5536" i="2"/>
  <c r="P5528" i="2"/>
  <c r="V5528" i="2" s="1"/>
  <c r="Q5528" i="2"/>
  <c r="P5520" i="2"/>
  <c r="V5520" i="2" s="1"/>
  <c r="Q5520" i="2"/>
  <c r="P5512" i="2"/>
  <c r="V5512" i="2" s="1"/>
  <c r="Q5512" i="2"/>
  <c r="P5504" i="2"/>
  <c r="V5504" i="2" s="1"/>
  <c r="Q5504" i="2"/>
  <c r="P5496" i="2"/>
  <c r="V5496" i="2" s="1"/>
  <c r="Q5496" i="2"/>
  <c r="P5488" i="2"/>
  <c r="V5488" i="2" s="1"/>
  <c r="Q5488" i="2"/>
  <c r="P5480" i="2"/>
  <c r="V5480" i="2" s="1"/>
  <c r="Q5480" i="2"/>
  <c r="P5472" i="2"/>
  <c r="V5472" i="2" s="1"/>
  <c r="Q5472" i="2"/>
  <c r="P5464" i="2"/>
  <c r="V5464" i="2" s="1"/>
  <c r="Q5464" i="2"/>
  <c r="P5456" i="2"/>
  <c r="V5456" i="2" s="1"/>
  <c r="Q5456" i="2"/>
  <c r="P5448" i="2"/>
  <c r="V5448" i="2" s="1"/>
  <c r="Q5448" i="2"/>
  <c r="P5440" i="2"/>
  <c r="V5440" i="2" s="1"/>
  <c r="Q5440" i="2"/>
  <c r="P5432" i="2"/>
  <c r="V5432" i="2" s="1"/>
  <c r="Q5432" i="2"/>
  <c r="P5424" i="2"/>
  <c r="V5424" i="2" s="1"/>
  <c r="Q5424" i="2"/>
  <c r="P5416" i="2"/>
  <c r="V5416" i="2" s="1"/>
  <c r="Q5416" i="2"/>
  <c r="P5408" i="2"/>
  <c r="V5408" i="2" s="1"/>
  <c r="Q5408" i="2"/>
  <c r="P5400" i="2"/>
  <c r="V5400" i="2" s="1"/>
  <c r="Q5400" i="2"/>
  <c r="P5392" i="2"/>
  <c r="V5392" i="2" s="1"/>
  <c r="Q5392" i="2"/>
  <c r="P5384" i="2"/>
  <c r="V5384" i="2" s="1"/>
  <c r="Q5384" i="2"/>
  <c r="P5376" i="2"/>
  <c r="V5376" i="2" s="1"/>
  <c r="Q5376" i="2"/>
  <c r="P5368" i="2"/>
  <c r="V5368" i="2" s="1"/>
  <c r="Q5368" i="2"/>
  <c r="P5360" i="2"/>
  <c r="V5360" i="2" s="1"/>
  <c r="Q5360" i="2"/>
  <c r="P5352" i="2"/>
  <c r="V5352" i="2" s="1"/>
  <c r="Q5352" i="2"/>
  <c r="P5344" i="2"/>
  <c r="V5344" i="2" s="1"/>
  <c r="Q5344" i="2"/>
  <c r="P5336" i="2"/>
  <c r="V5336" i="2" s="1"/>
  <c r="Q5336" i="2"/>
  <c r="P5328" i="2"/>
  <c r="V5328" i="2" s="1"/>
  <c r="Q5328" i="2"/>
  <c r="P5320" i="2"/>
  <c r="V5320" i="2" s="1"/>
  <c r="Q5320" i="2"/>
  <c r="P5312" i="2"/>
  <c r="V5312" i="2" s="1"/>
  <c r="Q5312" i="2"/>
  <c r="P5304" i="2"/>
  <c r="V5304" i="2" s="1"/>
  <c r="Q5304" i="2"/>
  <c r="P5296" i="2"/>
  <c r="V5296" i="2" s="1"/>
  <c r="Q5296" i="2"/>
  <c r="P5288" i="2"/>
  <c r="V5288" i="2" s="1"/>
  <c r="Q5288" i="2"/>
  <c r="P5280" i="2"/>
  <c r="V5280" i="2" s="1"/>
  <c r="Q5280" i="2"/>
  <c r="P5272" i="2"/>
  <c r="V5272" i="2" s="1"/>
  <c r="Q5272" i="2"/>
  <c r="P5264" i="2"/>
  <c r="V5264" i="2" s="1"/>
  <c r="Q5264" i="2"/>
  <c r="P5256" i="2"/>
  <c r="V5256" i="2" s="1"/>
  <c r="Q5256" i="2"/>
  <c r="P5248" i="2"/>
  <c r="V5248" i="2" s="1"/>
  <c r="Q5248" i="2"/>
  <c r="P5240" i="2"/>
  <c r="V5240" i="2" s="1"/>
  <c r="Q5240" i="2"/>
  <c r="P5232" i="2"/>
  <c r="V5232" i="2" s="1"/>
  <c r="Q5232" i="2"/>
  <c r="P5224" i="2"/>
  <c r="V5224" i="2" s="1"/>
  <c r="Q5224" i="2"/>
  <c r="P5216" i="2"/>
  <c r="V5216" i="2" s="1"/>
  <c r="Q5216" i="2"/>
  <c r="P5208" i="2"/>
  <c r="V5208" i="2" s="1"/>
  <c r="Q5208" i="2"/>
  <c r="P5200" i="2"/>
  <c r="V5200" i="2" s="1"/>
  <c r="Q5200" i="2"/>
  <c r="P5192" i="2"/>
  <c r="V5192" i="2" s="1"/>
  <c r="Q5192" i="2"/>
  <c r="P5184" i="2"/>
  <c r="V5184" i="2" s="1"/>
  <c r="Q5184" i="2"/>
  <c r="P5176" i="2"/>
  <c r="V5176" i="2" s="1"/>
  <c r="Q5176" i="2"/>
  <c r="P5168" i="2"/>
  <c r="V5168" i="2" s="1"/>
  <c r="Q5168" i="2"/>
  <c r="P5160" i="2"/>
  <c r="V5160" i="2" s="1"/>
  <c r="Q5160" i="2"/>
  <c r="P5152" i="2"/>
  <c r="V5152" i="2" s="1"/>
  <c r="Q5152" i="2"/>
  <c r="P5144" i="2"/>
  <c r="V5144" i="2" s="1"/>
  <c r="Q5144" i="2"/>
  <c r="P5136" i="2"/>
  <c r="V5136" i="2" s="1"/>
  <c r="Q5136" i="2"/>
  <c r="P5128" i="2"/>
  <c r="V5128" i="2" s="1"/>
  <c r="Q5128" i="2"/>
  <c r="P5120" i="2"/>
  <c r="V5120" i="2" s="1"/>
  <c r="Q5120" i="2"/>
  <c r="P5112" i="2"/>
  <c r="V5112" i="2" s="1"/>
  <c r="Q5112" i="2"/>
  <c r="P5104" i="2"/>
  <c r="V5104" i="2" s="1"/>
  <c r="Q5104" i="2"/>
  <c r="P5096" i="2"/>
  <c r="V5096" i="2" s="1"/>
  <c r="Q5096" i="2"/>
  <c r="P5088" i="2"/>
  <c r="V5088" i="2" s="1"/>
  <c r="Q5088" i="2"/>
  <c r="P5080" i="2"/>
  <c r="V5080" i="2" s="1"/>
  <c r="Q5080" i="2"/>
  <c r="P5072" i="2"/>
  <c r="V5072" i="2" s="1"/>
  <c r="Q5072" i="2"/>
  <c r="P5064" i="2"/>
  <c r="V5064" i="2" s="1"/>
  <c r="Q5064" i="2"/>
  <c r="P5056" i="2"/>
  <c r="V5056" i="2" s="1"/>
  <c r="Q5056" i="2"/>
  <c r="P5048" i="2"/>
  <c r="V5048" i="2" s="1"/>
  <c r="Q5048" i="2"/>
  <c r="P5040" i="2"/>
  <c r="V5040" i="2" s="1"/>
  <c r="Q5040" i="2"/>
  <c r="P5032" i="2"/>
  <c r="V5032" i="2" s="1"/>
  <c r="Q5032" i="2"/>
  <c r="P5024" i="2"/>
  <c r="V5024" i="2" s="1"/>
  <c r="Q5024" i="2"/>
  <c r="P5016" i="2"/>
  <c r="V5016" i="2" s="1"/>
  <c r="Q5016" i="2"/>
  <c r="P5008" i="2"/>
  <c r="V5008" i="2" s="1"/>
  <c r="Q5008" i="2"/>
  <c r="P5000" i="2"/>
  <c r="V5000" i="2" s="1"/>
  <c r="Q5000" i="2"/>
  <c r="P4992" i="2"/>
  <c r="V4992" i="2" s="1"/>
  <c r="Q4992" i="2"/>
  <c r="P4984" i="2"/>
  <c r="V4984" i="2" s="1"/>
  <c r="Q4984" i="2"/>
  <c r="P4976" i="2"/>
  <c r="V4976" i="2" s="1"/>
  <c r="Q4976" i="2"/>
  <c r="P4968" i="2"/>
  <c r="V4968" i="2" s="1"/>
  <c r="Q4968" i="2"/>
  <c r="P4960" i="2"/>
  <c r="V4960" i="2" s="1"/>
  <c r="Q4960" i="2"/>
  <c r="P4952" i="2"/>
  <c r="V4952" i="2" s="1"/>
  <c r="Q4952" i="2"/>
  <c r="P4944" i="2"/>
  <c r="V4944" i="2" s="1"/>
  <c r="Q4944" i="2"/>
  <c r="P4936" i="2"/>
  <c r="V4936" i="2" s="1"/>
  <c r="Q4936" i="2"/>
  <c r="P4928" i="2"/>
  <c r="V4928" i="2" s="1"/>
  <c r="Q4928" i="2"/>
  <c r="P4920" i="2"/>
  <c r="V4920" i="2" s="1"/>
  <c r="Q4920" i="2"/>
  <c r="P4912" i="2"/>
  <c r="V4912" i="2" s="1"/>
  <c r="Q4912" i="2"/>
  <c r="P4904" i="2"/>
  <c r="V4904" i="2" s="1"/>
  <c r="Q4904" i="2"/>
  <c r="P4896" i="2"/>
  <c r="V4896" i="2" s="1"/>
  <c r="Q4896" i="2"/>
  <c r="P4888" i="2"/>
  <c r="V4888" i="2" s="1"/>
  <c r="Q4888" i="2"/>
  <c r="P4880" i="2"/>
  <c r="V4880" i="2" s="1"/>
  <c r="Q4880" i="2"/>
  <c r="P4872" i="2"/>
  <c r="V4872" i="2" s="1"/>
  <c r="Q4872" i="2"/>
  <c r="P4864" i="2"/>
  <c r="V4864" i="2" s="1"/>
  <c r="Q4864" i="2"/>
  <c r="P4856" i="2"/>
  <c r="V4856" i="2" s="1"/>
  <c r="Q4856" i="2"/>
  <c r="P4848" i="2"/>
  <c r="V4848" i="2" s="1"/>
  <c r="Q4848" i="2"/>
  <c r="P4840" i="2"/>
  <c r="V4840" i="2" s="1"/>
  <c r="Q4840" i="2"/>
  <c r="P4832" i="2"/>
  <c r="V4832" i="2" s="1"/>
  <c r="Q4832" i="2"/>
  <c r="P4824" i="2"/>
  <c r="V4824" i="2" s="1"/>
  <c r="Q4824" i="2"/>
  <c r="P4816" i="2"/>
  <c r="V4816" i="2" s="1"/>
  <c r="Q4816" i="2"/>
  <c r="P4808" i="2"/>
  <c r="V4808" i="2" s="1"/>
  <c r="Q4808" i="2"/>
  <c r="P4800" i="2"/>
  <c r="V4800" i="2" s="1"/>
  <c r="Q4800" i="2"/>
  <c r="P4792" i="2"/>
  <c r="V4792" i="2" s="1"/>
  <c r="Q4792" i="2"/>
  <c r="P4784" i="2"/>
  <c r="V4784" i="2" s="1"/>
  <c r="Q4784" i="2"/>
  <c r="P4776" i="2"/>
  <c r="V4776" i="2" s="1"/>
  <c r="Q4776" i="2"/>
  <c r="P4768" i="2"/>
  <c r="V4768" i="2" s="1"/>
  <c r="Q4768" i="2"/>
  <c r="P4760" i="2"/>
  <c r="V4760" i="2" s="1"/>
  <c r="Q4760" i="2"/>
  <c r="P4752" i="2"/>
  <c r="V4752" i="2" s="1"/>
  <c r="Q4752" i="2"/>
  <c r="P4744" i="2"/>
  <c r="V4744" i="2" s="1"/>
  <c r="Q4744" i="2"/>
  <c r="P4736" i="2"/>
  <c r="V4736" i="2" s="1"/>
  <c r="Q4736" i="2"/>
  <c r="P4728" i="2"/>
  <c r="V4728" i="2" s="1"/>
  <c r="Q4728" i="2"/>
  <c r="P4720" i="2"/>
  <c r="V4720" i="2" s="1"/>
  <c r="Q4720" i="2"/>
  <c r="P4712" i="2"/>
  <c r="V4712" i="2" s="1"/>
  <c r="Q4712" i="2"/>
  <c r="P4704" i="2"/>
  <c r="V4704" i="2" s="1"/>
  <c r="Q4704" i="2"/>
  <c r="P4696" i="2"/>
  <c r="V4696" i="2" s="1"/>
  <c r="Q4696" i="2"/>
  <c r="P4688" i="2"/>
  <c r="V4688" i="2" s="1"/>
  <c r="Q4688" i="2"/>
  <c r="P4680" i="2"/>
  <c r="V4680" i="2" s="1"/>
  <c r="Q4680" i="2"/>
  <c r="P4672" i="2"/>
  <c r="V4672" i="2" s="1"/>
  <c r="Q4672" i="2"/>
  <c r="P4664" i="2"/>
  <c r="V4664" i="2" s="1"/>
  <c r="Q4664" i="2"/>
  <c r="P4656" i="2"/>
  <c r="V4656" i="2" s="1"/>
  <c r="Q4656" i="2"/>
  <c r="P4648" i="2"/>
  <c r="V4648" i="2" s="1"/>
  <c r="Q4648" i="2"/>
  <c r="P4640" i="2"/>
  <c r="V4640" i="2" s="1"/>
  <c r="Q4640" i="2"/>
  <c r="P4632" i="2"/>
  <c r="V4632" i="2" s="1"/>
  <c r="Q4632" i="2"/>
  <c r="P4624" i="2"/>
  <c r="V4624" i="2" s="1"/>
  <c r="Q4624" i="2"/>
  <c r="P4616" i="2"/>
  <c r="V4616" i="2" s="1"/>
  <c r="Q4616" i="2"/>
  <c r="P4608" i="2"/>
  <c r="V4608" i="2" s="1"/>
  <c r="Q4608" i="2"/>
  <c r="P4600" i="2"/>
  <c r="V4600" i="2" s="1"/>
  <c r="Q4600" i="2"/>
  <c r="P4592" i="2"/>
  <c r="V4592" i="2" s="1"/>
  <c r="Q4592" i="2"/>
  <c r="P4584" i="2"/>
  <c r="V4584" i="2" s="1"/>
  <c r="Q4584" i="2"/>
  <c r="P4576" i="2"/>
  <c r="V4576" i="2" s="1"/>
  <c r="Q4576" i="2"/>
  <c r="P4568" i="2"/>
  <c r="V4568" i="2" s="1"/>
  <c r="Q4568" i="2"/>
  <c r="P4560" i="2"/>
  <c r="V4560" i="2" s="1"/>
  <c r="Q4560" i="2"/>
  <c r="P4552" i="2"/>
  <c r="V4552" i="2" s="1"/>
  <c r="Q4552" i="2"/>
  <c r="P4544" i="2"/>
  <c r="V4544" i="2" s="1"/>
  <c r="Q4544" i="2"/>
  <c r="P4536" i="2"/>
  <c r="V4536" i="2" s="1"/>
  <c r="Q4536" i="2"/>
  <c r="P4528" i="2"/>
  <c r="V4528" i="2" s="1"/>
  <c r="Q4528" i="2"/>
  <c r="P4520" i="2"/>
  <c r="V4520" i="2" s="1"/>
  <c r="Q4520" i="2"/>
  <c r="P4512" i="2"/>
  <c r="V4512" i="2" s="1"/>
  <c r="Q4512" i="2"/>
  <c r="P4504" i="2"/>
  <c r="V4504" i="2" s="1"/>
  <c r="Q4504" i="2"/>
  <c r="P4496" i="2"/>
  <c r="V4496" i="2" s="1"/>
  <c r="Q4496" i="2"/>
  <c r="P4488" i="2"/>
  <c r="V4488" i="2" s="1"/>
  <c r="Q4488" i="2"/>
  <c r="P4480" i="2"/>
  <c r="V4480" i="2" s="1"/>
  <c r="Q4480" i="2"/>
  <c r="P4472" i="2"/>
  <c r="V4472" i="2" s="1"/>
  <c r="Q4472" i="2"/>
  <c r="P4464" i="2"/>
  <c r="V4464" i="2" s="1"/>
  <c r="Q4464" i="2"/>
  <c r="P4456" i="2"/>
  <c r="V4456" i="2" s="1"/>
  <c r="Q4456" i="2"/>
  <c r="P4448" i="2"/>
  <c r="V4448" i="2" s="1"/>
  <c r="Q4448" i="2"/>
  <c r="P4440" i="2"/>
  <c r="V4440" i="2" s="1"/>
  <c r="Q4440" i="2"/>
  <c r="P4432" i="2"/>
  <c r="V4432" i="2" s="1"/>
  <c r="Q4432" i="2"/>
  <c r="P4424" i="2"/>
  <c r="V4424" i="2" s="1"/>
  <c r="Q4424" i="2"/>
  <c r="P4416" i="2"/>
  <c r="V4416" i="2" s="1"/>
  <c r="Q4416" i="2"/>
  <c r="P4408" i="2"/>
  <c r="V4408" i="2" s="1"/>
  <c r="Q4408" i="2"/>
  <c r="P4400" i="2"/>
  <c r="V4400" i="2" s="1"/>
  <c r="Q4400" i="2"/>
  <c r="P4392" i="2"/>
  <c r="V4392" i="2" s="1"/>
  <c r="Q4392" i="2"/>
  <c r="P4384" i="2"/>
  <c r="V4384" i="2" s="1"/>
  <c r="Q4384" i="2"/>
  <c r="P4376" i="2"/>
  <c r="V4376" i="2" s="1"/>
  <c r="Q4376" i="2"/>
  <c r="P4368" i="2"/>
  <c r="V4368" i="2" s="1"/>
  <c r="Q4368" i="2"/>
  <c r="P4360" i="2"/>
  <c r="V4360" i="2" s="1"/>
  <c r="Q4360" i="2"/>
  <c r="P4352" i="2"/>
  <c r="V4352" i="2" s="1"/>
  <c r="Q4352" i="2"/>
  <c r="P4344" i="2"/>
  <c r="V4344" i="2" s="1"/>
  <c r="Q4344" i="2"/>
  <c r="P4336" i="2"/>
  <c r="V4336" i="2" s="1"/>
  <c r="Q4336" i="2"/>
  <c r="P4328" i="2"/>
  <c r="V4328" i="2" s="1"/>
  <c r="Q4328" i="2"/>
  <c r="P4320" i="2"/>
  <c r="V4320" i="2" s="1"/>
  <c r="Q4320" i="2"/>
  <c r="P4312" i="2"/>
  <c r="V4312" i="2" s="1"/>
  <c r="Q4312" i="2"/>
  <c r="P4304" i="2"/>
  <c r="V4304" i="2" s="1"/>
  <c r="Q4304" i="2"/>
  <c r="P4296" i="2"/>
  <c r="V4296" i="2" s="1"/>
  <c r="Q4296" i="2"/>
  <c r="P4288" i="2"/>
  <c r="V4288" i="2" s="1"/>
  <c r="Q4288" i="2"/>
  <c r="P4280" i="2"/>
  <c r="V4280" i="2" s="1"/>
  <c r="Q4280" i="2"/>
  <c r="P4272" i="2"/>
  <c r="V4272" i="2" s="1"/>
  <c r="Q4272" i="2"/>
  <c r="P4264" i="2"/>
  <c r="V4264" i="2" s="1"/>
  <c r="Q4264" i="2"/>
  <c r="P4256" i="2"/>
  <c r="V4256" i="2" s="1"/>
  <c r="Q4256" i="2"/>
  <c r="P4248" i="2"/>
  <c r="V4248" i="2" s="1"/>
  <c r="Q4248" i="2"/>
  <c r="P4240" i="2"/>
  <c r="V4240" i="2" s="1"/>
  <c r="Q4240" i="2"/>
  <c r="P4232" i="2"/>
  <c r="V4232" i="2" s="1"/>
  <c r="Q4232" i="2"/>
  <c r="P4224" i="2"/>
  <c r="V4224" i="2" s="1"/>
  <c r="Q4224" i="2"/>
  <c r="P4216" i="2"/>
  <c r="V4216" i="2" s="1"/>
  <c r="Q4216" i="2"/>
  <c r="P4208" i="2"/>
  <c r="V4208" i="2" s="1"/>
  <c r="Q4208" i="2"/>
  <c r="P4200" i="2"/>
  <c r="V4200" i="2" s="1"/>
  <c r="Q4200" i="2"/>
  <c r="P4192" i="2"/>
  <c r="V4192" i="2" s="1"/>
  <c r="Q4192" i="2"/>
  <c r="P4184" i="2"/>
  <c r="V4184" i="2" s="1"/>
  <c r="Q4184" i="2"/>
  <c r="P4176" i="2"/>
  <c r="V4176" i="2" s="1"/>
  <c r="Q4176" i="2"/>
  <c r="P4168" i="2"/>
  <c r="V4168" i="2" s="1"/>
  <c r="Q4168" i="2"/>
  <c r="P4160" i="2"/>
  <c r="V4160" i="2" s="1"/>
  <c r="Q4160" i="2"/>
  <c r="P4152" i="2"/>
  <c r="V4152" i="2" s="1"/>
  <c r="Q4152" i="2"/>
  <c r="P4144" i="2"/>
  <c r="V4144" i="2" s="1"/>
  <c r="Q4144" i="2"/>
  <c r="P4136" i="2"/>
  <c r="V4136" i="2" s="1"/>
  <c r="Q4136" i="2"/>
  <c r="P4128" i="2"/>
  <c r="V4128" i="2" s="1"/>
  <c r="Q4128" i="2"/>
  <c r="P4120" i="2"/>
  <c r="V4120" i="2" s="1"/>
  <c r="Q4120" i="2"/>
  <c r="P4112" i="2"/>
  <c r="V4112" i="2" s="1"/>
  <c r="Q4112" i="2"/>
  <c r="P4104" i="2"/>
  <c r="V4104" i="2" s="1"/>
  <c r="Q4104" i="2"/>
  <c r="P4096" i="2"/>
  <c r="V4096" i="2" s="1"/>
  <c r="Q4096" i="2"/>
  <c r="P4088" i="2"/>
  <c r="V4088" i="2" s="1"/>
  <c r="Q4088" i="2"/>
  <c r="P4080" i="2"/>
  <c r="V4080" i="2" s="1"/>
  <c r="Q4080" i="2"/>
  <c r="P4072" i="2"/>
  <c r="V4072" i="2" s="1"/>
  <c r="Q4072" i="2"/>
  <c r="P4064" i="2"/>
  <c r="V4064" i="2" s="1"/>
  <c r="Q4064" i="2"/>
  <c r="P4056" i="2"/>
  <c r="V4056" i="2" s="1"/>
  <c r="Q4056" i="2"/>
  <c r="P4048" i="2"/>
  <c r="V4048" i="2" s="1"/>
  <c r="Q4048" i="2"/>
  <c r="P4040" i="2"/>
  <c r="V4040" i="2" s="1"/>
  <c r="Q4040" i="2"/>
  <c r="P4032" i="2"/>
  <c r="V4032" i="2" s="1"/>
  <c r="Q4032" i="2"/>
  <c r="P4024" i="2"/>
  <c r="V4024" i="2" s="1"/>
  <c r="Q4024" i="2"/>
  <c r="P4016" i="2"/>
  <c r="V4016" i="2" s="1"/>
  <c r="Q4016" i="2"/>
  <c r="P4008" i="2"/>
  <c r="V4008" i="2" s="1"/>
  <c r="Q4008" i="2"/>
  <c r="P4000" i="2"/>
  <c r="V4000" i="2" s="1"/>
  <c r="Q4000" i="2"/>
  <c r="P3992" i="2"/>
  <c r="V3992" i="2" s="1"/>
  <c r="Q3992" i="2"/>
  <c r="P3984" i="2"/>
  <c r="V3984" i="2" s="1"/>
  <c r="Q3984" i="2"/>
  <c r="P3976" i="2"/>
  <c r="V3976" i="2" s="1"/>
  <c r="Q3976" i="2"/>
  <c r="P3968" i="2"/>
  <c r="V3968" i="2" s="1"/>
  <c r="Q3968" i="2"/>
  <c r="P3960" i="2"/>
  <c r="V3960" i="2" s="1"/>
  <c r="Q3960" i="2"/>
  <c r="P3952" i="2"/>
  <c r="V3952" i="2" s="1"/>
  <c r="Q3952" i="2"/>
  <c r="P3944" i="2"/>
  <c r="V3944" i="2" s="1"/>
  <c r="Q3944" i="2"/>
  <c r="P3936" i="2"/>
  <c r="V3936" i="2" s="1"/>
  <c r="Q3936" i="2"/>
  <c r="P3928" i="2"/>
  <c r="V3928" i="2" s="1"/>
  <c r="Q3928" i="2"/>
  <c r="P3920" i="2"/>
  <c r="V3920" i="2" s="1"/>
  <c r="Q3920" i="2"/>
  <c r="P3912" i="2"/>
  <c r="V3912" i="2" s="1"/>
  <c r="Q3912" i="2"/>
  <c r="P3904" i="2"/>
  <c r="V3904" i="2" s="1"/>
  <c r="Q3904" i="2"/>
  <c r="P3896" i="2"/>
  <c r="V3896" i="2" s="1"/>
  <c r="Q3896" i="2"/>
  <c r="P3888" i="2"/>
  <c r="V3888" i="2" s="1"/>
  <c r="Q3888" i="2"/>
  <c r="P3880" i="2"/>
  <c r="V3880" i="2" s="1"/>
  <c r="Q3880" i="2"/>
  <c r="P3872" i="2"/>
  <c r="V3872" i="2" s="1"/>
  <c r="Q3872" i="2"/>
  <c r="P3864" i="2"/>
  <c r="V3864" i="2" s="1"/>
  <c r="Q3864" i="2"/>
  <c r="P3856" i="2"/>
  <c r="V3856" i="2" s="1"/>
  <c r="Q3856" i="2"/>
  <c r="P3848" i="2"/>
  <c r="V3848" i="2" s="1"/>
  <c r="Q3848" i="2"/>
  <c r="P3840" i="2"/>
  <c r="V3840" i="2" s="1"/>
  <c r="Q3840" i="2"/>
  <c r="P3832" i="2"/>
  <c r="V3832" i="2" s="1"/>
  <c r="Q3832" i="2"/>
  <c r="P3824" i="2"/>
  <c r="V3824" i="2" s="1"/>
  <c r="Q3824" i="2"/>
  <c r="P3816" i="2"/>
  <c r="V3816" i="2" s="1"/>
  <c r="Q3816" i="2"/>
  <c r="P3808" i="2"/>
  <c r="V3808" i="2" s="1"/>
  <c r="Q3808" i="2"/>
  <c r="P3800" i="2"/>
  <c r="V3800" i="2" s="1"/>
  <c r="Q3800" i="2"/>
  <c r="P3792" i="2"/>
  <c r="V3792" i="2" s="1"/>
  <c r="Q3792" i="2"/>
  <c r="P3784" i="2"/>
  <c r="V3784" i="2" s="1"/>
  <c r="Q3784" i="2"/>
  <c r="P3776" i="2"/>
  <c r="V3776" i="2" s="1"/>
  <c r="Q3776" i="2"/>
  <c r="P3768" i="2"/>
  <c r="V3768" i="2" s="1"/>
  <c r="Q3768" i="2"/>
  <c r="P3760" i="2"/>
  <c r="V3760" i="2" s="1"/>
  <c r="Q3760" i="2"/>
  <c r="P3752" i="2"/>
  <c r="V3752" i="2" s="1"/>
  <c r="Q3752" i="2"/>
  <c r="P3744" i="2"/>
  <c r="V3744" i="2" s="1"/>
  <c r="Q3744" i="2"/>
  <c r="P3736" i="2"/>
  <c r="V3736" i="2" s="1"/>
  <c r="Q3736" i="2"/>
  <c r="P3728" i="2"/>
  <c r="V3728" i="2" s="1"/>
  <c r="Q3728" i="2"/>
  <c r="P3720" i="2"/>
  <c r="V3720" i="2" s="1"/>
  <c r="Q3720" i="2"/>
  <c r="P3712" i="2"/>
  <c r="V3712" i="2" s="1"/>
  <c r="Q3712" i="2"/>
  <c r="P3704" i="2"/>
  <c r="V3704" i="2" s="1"/>
  <c r="Q3704" i="2"/>
  <c r="P3696" i="2"/>
  <c r="V3696" i="2" s="1"/>
  <c r="Q3696" i="2"/>
  <c r="P3688" i="2"/>
  <c r="V3688" i="2" s="1"/>
  <c r="Q3688" i="2"/>
  <c r="P3680" i="2"/>
  <c r="V3680" i="2" s="1"/>
  <c r="Q3680" i="2"/>
  <c r="P3672" i="2"/>
  <c r="V3672" i="2" s="1"/>
  <c r="Q3672" i="2"/>
  <c r="P3664" i="2"/>
  <c r="V3664" i="2" s="1"/>
  <c r="Q3664" i="2"/>
  <c r="P3656" i="2"/>
  <c r="V3656" i="2" s="1"/>
  <c r="Q3656" i="2"/>
  <c r="P3648" i="2"/>
  <c r="V3648" i="2" s="1"/>
  <c r="Q3648" i="2"/>
  <c r="P3640" i="2"/>
  <c r="V3640" i="2" s="1"/>
  <c r="Q3640" i="2"/>
  <c r="P3632" i="2"/>
  <c r="V3632" i="2" s="1"/>
  <c r="Q3632" i="2"/>
  <c r="P3624" i="2"/>
  <c r="V3624" i="2" s="1"/>
  <c r="Q3624" i="2"/>
  <c r="P3616" i="2"/>
  <c r="V3616" i="2" s="1"/>
  <c r="Q3616" i="2"/>
  <c r="P3608" i="2"/>
  <c r="V3608" i="2" s="1"/>
  <c r="Q3608" i="2"/>
  <c r="P3600" i="2"/>
  <c r="V3600" i="2" s="1"/>
  <c r="Q3600" i="2"/>
  <c r="P3592" i="2"/>
  <c r="V3592" i="2" s="1"/>
  <c r="Q3592" i="2"/>
  <c r="P3584" i="2"/>
  <c r="V3584" i="2" s="1"/>
  <c r="Q3584" i="2"/>
  <c r="P3576" i="2"/>
  <c r="V3576" i="2" s="1"/>
  <c r="Q3576" i="2"/>
  <c r="P3568" i="2"/>
  <c r="V3568" i="2" s="1"/>
  <c r="Q3568" i="2"/>
  <c r="P3560" i="2"/>
  <c r="V3560" i="2" s="1"/>
  <c r="Q3560" i="2"/>
  <c r="P3552" i="2"/>
  <c r="V3552" i="2" s="1"/>
  <c r="Q3552" i="2"/>
  <c r="P3544" i="2"/>
  <c r="V3544" i="2" s="1"/>
  <c r="Q3544" i="2"/>
  <c r="P3536" i="2"/>
  <c r="V3536" i="2" s="1"/>
  <c r="Q3536" i="2"/>
  <c r="P3528" i="2"/>
  <c r="V3528" i="2" s="1"/>
  <c r="Q3528" i="2"/>
  <c r="P3520" i="2"/>
  <c r="V3520" i="2" s="1"/>
  <c r="Q3520" i="2"/>
  <c r="P3512" i="2"/>
  <c r="V3512" i="2" s="1"/>
  <c r="Q3512" i="2"/>
  <c r="P3504" i="2"/>
  <c r="V3504" i="2" s="1"/>
  <c r="Q3504" i="2"/>
  <c r="P3496" i="2"/>
  <c r="V3496" i="2" s="1"/>
  <c r="Q3496" i="2"/>
  <c r="P3488" i="2"/>
  <c r="V3488" i="2" s="1"/>
  <c r="Q3488" i="2"/>
  <c r="P3480" i="2"/>
  <c r="V3480" i="2" s="1"/>
  <c r="Q3480" i="2"/>
  <c r="P3472" i="2"/>
  <c r="V3472" i="2" s="1"/>
  <c r="Q3472" i="2"/>
  <c r="P3464" i="2"/>
  <c r="V3464" i="2" s="1"/>
  <c r="Q3464" i="2"/>
  <c r="P3456" i="2"/>
  <c r="V3456" i="2" s="1"/>
  <c r="Q3456" i="2"/>
  <c r="P3448" i="2"/>
  <c r="V3448" i="2" s="1"/>
  <c r="Q3448" i="2"/>
  <c r="P3440" i="2"/>
  <c r="V3440" i="2" s="1"/>
  <c r="Q3440" i="2"/>
  <c r="P3432" i="2"/>
  <c r="V3432" i="2" s="1"/>
  <c r="Q3432" i="2"/>
  <c r="P3424" i="2"/>
  <c r="V3424" i="2" s="1"/>
  <c r="Q3424" i="2"/>
  <c r="P3416" i="2"/>
  <c r="V3416" i="2" s="1"/>
  <c r="Q3416" i="2"/>
  <c r="P3408" i="2"/>
  <c r="V3408" i="2" s="1"/>
  <c r="Q3408" i="2"/>
  <c r="P3400" i="2"/>
  <c r="V3400" i="2" s="1"/>
  <c r="Q3400" i="2"/>
  <c r="P3392" i="2"/>
  <c r="V3392" i="2" s="1"/>
  <c r="Q3392" i="2"/>
  <c r="P3384" i="2"/>
  <c r="V3384" i="2" s="1"/>
  <c r="Q3384" i="2"/>
  <c r="P3376" i="2"/>
  <c r="V3376" i="2" s="1"/>
  <c r="Q3376" i="2"/>
  <c r="P3368" i="2"/>
  <c r="V3368" i="2" s="1"/>
  <c r="Q3368" i="2"/>
  <c r="P3360" i="2"/>
  <c r="V3360" i="2" s="1"/>
  <c r="Q3360" i="2"/>
  <c r="P3352" i="2"/>
  <c r="V3352" i="2" s="1"/>
  <c r="Q3352" i="2"/>
  <c r="P3344" i="2"/>
  <c r="V3344" i="2" s="1"/>
  <c r="Q3344" i="2"/>
  <c r="P3336" i="2"/>
  <c r="V3336" i="2" s="1"/>
  <c r="Q3336" i="2"/>
  <c r="P3328" i="2"/>
  <c r="V3328" i="2" s="1"/>
  <c r="Q3328" i="2"/>
  <c r="P3320" i="2"/>
  <c r="V3320" i="2" s="1"/>
  <c r="Q3320" i="2"/>
  <c r="P3312" i="2"/>
  <c r="V3312" i="2" s="1"/>
  <c r="Q3312" i="2"/>
  <c r="P3304" i="2"/>
  <c r="V3304" i="2" s="1"/>
  <c r="Q3304" i="2"/>
  <c r="P3296" i="2"/>
  <c r="V3296" i="2" s="1"/>
  <c r="Q3296" i="2"/>
  <c r="P3288" i="2"/>
  <c r="V3288" i="2" s="1"/>
  <c r="Q3288" i="2"/>
  <c r="P3280" i="2"/>
  <c r="V3280" i="2" s="1"/>
  <c r="Q3280" i="2"/>
  <c r="P3272" i="2"/>
  <c r="V3272" i="2" s="1"/>
  <c r="Q3272" i="2"/>
  <c r="P3264" i="2"/>
  <c r="V3264" i="2" s="1"/>
  <c r="Q3264" i="2"/>
  <c r="P3256" i="2"/>
  <c r="V3256" i="2" s="1"/>
  <c r="Q3256" i="2"/>
  <c r="P3248" i="2"/>
  <c r="V3248" i="2" s="1"/>
  <c r="Q3248" i="2"/>
  <c r="P3240" i="2"/>
  <c r="V3240" i="2" s="1"/>
  <c r="Q3240" i="2"/>
  <c r="P3232" i="2"/>
  <c r="V3232" i="2" s="1"/>
  <c r="Q3232" i="2"/>
  <c r="P3224" i="2"/>
  <c r="V3224" i="2" s="1"/>
  <c r="Q3224" i="2"/>
  <c r="P3216" i="2"/>
  <c r="V3216" i="2" s="1"/>
  <c r="Q3216" i="2"/>
  <c r="P3208" i="2"/>
  <c r="V3208" i="2" s="1"/>
  <c r="Q3208" i="2"/>
  <c r="P3200" i="2"/>
  <c r="V3200" i="2" s="1"/>
  <c r="Q3200" i="2"/>
  <c r="P3192" i="2"/>
  <c r="V3192" i="2" s="1"/>
  <c r="Q3192" i="2"/>
  <c r="P3184" i="2"/>
  <c r="V3184" i="2" s="1"/>
  <c r="Q3184" i="2"/>
  <c r="P3176" i="2"/>
  <c r="V3176" i="2" s="1"/>
  <c r="Q3176" i="2"/>
  <c r="P3168" i="2"/>
  <c r="V3168" i="2" s="1"/>
  <c r="Q3168" i="2"/>
  <c r="P3160" i="2"/>
  <c r="V3160" i="2" s="1"/>
  <c r="Q3160" i="2"/>
  <c r="P3152" i="2"/>
  <c r="V3152" i="2" s="1"/>
  <c r="Q3152" i="2"/>
  <c r="P3144" i="2"/>
  <c r="V3144" i="2" s="1"/>
  <c r="Q3144" i="2"/>
  <c r="P3136" i="2"/>
  <c r="V3136" i="2" s="1"/>
  <c r="Q3136" i="2"/>
  <c r="P3128" i="2"/>
  <c r="V3128" i="2" s="1"/>
  <c r="Q3128" i="2"/>
  <c r="P3120" i="2"/>
  <c r="V3120" i="2" s="1"/>
  <c r="Q3120" i="2"/>
  <c r="P3112" i="2"/>
  <c r="V3112" i="2" s="1"/>
  <c r="Q3112" i="2"/>
  <c r="P3104" i="2"/>
  <c r="V3104" i="2" s="1"/>
  <c r="Q3104" i="2"/>
  <c r="P3096" i="2"/>
  <c r="V3096" i="2" s="1"/>
  <c r="Q3096" i="2"/>
  <c r="P3088" i="2"/>
  <c r="V3088" i="2" s="1"/>
  <c r="Q3088" i="2"/>
  <c r="P3080" i="2"/>
  <c r="V3080" i="2" s="1"/>
  <c r="Q3080" i="2"/>
  <c r="P3072" i="2"/>
  <c r="V3072" i="2" s="1"/>
  <c r="Q3072" i="2"/>
  <c r="P3064" i="2"/>
  <c r="V3064" i="2" s="1"/>
  <c r="Q3064" i="2"/>
  <c r="P3056" i="2"/>
  <c r="V3056" i="2" s="1"/>
  <c r="Q3056" i="2"/>
  <c r="P3048" i="2"/>
  <c r="V3048" i="2" s="1"/>
  <c r="Q3048" i="2"/>
  <c r="P3040" i="2"/>
  <c r="V3040" i="2" s="1"/>
  <c r="Q3040" i="2"/>
  <c r="P3032" i="2"/>
  <c r="V3032" i="2" s="1"/>
  <c r="Q3032" i="2"/>
  <c r="P3024" i="2"/>
  <c r="V3024" i="2" s="1"/>
  <c r="Q3024" i="2"/>
  <c r="P3016" i="2"/>
  <c r="V3016" i="2" s="1"/>
  <c r="Q3016" i="2"/>
  <c r="P3008" i="2"/>
  <c r="V3008" i="2" s="1"/>
  <c r="Q3008" i="2"/>
  <c r="P3000" i="2"/>
  <c r="V3000" i="2" s="1"/>
  <c r="Q3000" i="2"/>
  <c r="P2992" i="2"/>
  <c r="V2992" i="2" s="1"/>
  <c r="Q2992" i="2"/>
  <c r="P2984" i="2"/>
  <c r="V2984" i="2" s="1"/>
  <c r="Q2984" i="2"/>
  <c r="P2976" i="2"/>
  <c r="V2976" i="2" s="1"/>
  <c r="Q2976" i="2"/>
  <c r="P2968" i="2"/>
  <c r="V2968" i="2" s="1"/>
  <c r="Q2968" i="2"/>
  <c r="P2960" i="2"/>
  <c r="V2960" i="2" s="1"/>
  <c r="Q2960" i="2"/>
  <c r="P2952" i="2"/>
  <c r="V2952" i="2" s="1"/>
  <c r="Q2952" i="2"/>
  <c r="P2944" i="2"/>
  <c r="V2944" i="2" s="1"/>
  <c r="Q2944" i="2"/>
  <c r="P2936" i="2"/>
  <c r="V2936" i="2" s="1"/>
  <c r="Q2936" i="2"/>
  <c r="P2928" i="2"/>
  <c r="V2928" i="2" s="1"/>
  <c r="Q2928" i="2"/>
  <c r="P2920" i="2"/>
  <c r="V2920" i="2" s="1"/>
  <c r="Q2920" i="2"/>
  <c r="P2912" i="2"/>
  <c r="V2912" i="2" s="1"/>
  <c r="Q2912" i="2"/>
  <c r="P2904" i="2"/>
  <c r="V2904" i="2" s="1"/>
  <c r="Q2904" i="2"/>
  <c r="P2896" i="2"/>
  <c r="V2896" i="2" s="1"/>
  <c r="Q2896" i="2"/>
  <c r="P2888" i="2"/>
  <c r="V2888" i="2" s="1"/>
  <c r="Q2888" i="2"/>
  <c r="P2880" i="2"/>
  <c r="V2880" i="2" s="1"/>
  <c r="Q2880" i="2"/>
  <c r="P2872" i="2"/>
  <c r="V2872" i="2" s="1"/>
  <c r="Q2872" i="2"/>
  <c r="P2864" i="2"/>
  <c r="V2864" i="2" s="1"/>
  <c r="Q2864" i="2"/>
  <c r="P2856" i="2"/>
  <c r="V2856" i="2" s="1"/>
  <c r="Q2856" i="2"/>
  <c r="P2848" i="2"/>
  <c r="V2848" i="2" s="1"/>
  <c r="Q2848" i="2"/>
  <c r="P2840" i="2"/>
  <c r="V2840" i="2" s="1"/>
  <c r="Q2840" i="2"/>
  <c r="P2832" i="2"/>
  <c r="V2832" i="2" s="1"/>
  <c r="Q2832" i="2"/>
  <c r="P2824" i="2"/>
  <c r="V2824" i="2" s="1"/>
  <c r="Q2824" i="2"/>
  <c r="P2816" i="2"/>
  <c r="V2816" i="2" s="1"/>
  <c r="Q2816" i="2"/>
  <c r="P2808" i="2"/>
  <c r="V2808" i="2" s="1"/>
  <c r="Q2808" i="2"/>
  <c r="P2800" i="2"/>
  <c r="V2800" i="2" s="1"/>
  <c r="Q2800" i="2"/>
  <c r="P2792" i="2"/>
  <c r="V2792" i="2" s="1"/>
  <c r="Q2792" i="2"/>
  <c r="P2784" i="2"/>
  <c r="V2784" i="2" s="1"/>
  <c r="Q2784" i="2"/>
  <c r="P2776" i="2"/>
  <c r="V2776" i="2" s="1"/>
  <c r="Q2776" i="2"/>
  <c r="P2768" i="2"/>
  <c r="V2768" i="2" s="1"/>
  <c r="Q2768" i="2"/>
  <c r="P2760" i="2"/>
  <c r="V2760" i="2" s="1"/>
  <c r="Q2760" i="2"/>
  <c r="P2752" i="2"/>
  <c r="V2752" i="2" s="1"/>
  <c r="Q2752" i="2"/>
  <c r="P2744" i="2"/>
  <c r="V2744" i="2" s="1"/>
  <c r="Q2744" i="2"/>
  <c r="P2736" i="2"/>
  <c r="V2736" i="2" s="1"/>
  <c r="Q2736" i="2"/>
  <c r="P2728" i="2"/>
  <c r="V2728" i="2" s="1"/>
  <c r="Q2728" i="2"/>
  <c r="P2720" i="2"/>
  <c r="V2720" i="2" s="1"/>
  <c r="Q2720" i="2"/>
  <c r="P2712" i="2"/>
  <c r="V2712" i="2" s="1"/>
  <c r="Q2712" i="2"/>
  <c r="P2704" i="2"/>
  <c r="V2704" i="2" s="1"/>
  <c r="Q2704" i="2"/>
  <c r="P2696" i="2"/>
  <c r="V2696" i="2" s="1"/>
  <c r="Q2696" i="2"/>
  <c r="P2688" i="2"/>
  <c r="V2688" i="2" s="1"/>
  <c r="Q2688" i="2"/>
  <c r="P2680" i="2"/>
  <c r="V2680" i="2" s="1"/>
  <c r="Q2680" i="2"/>
  <c r="P2672" i="2"/>
  <c r="V2672" i="2" s="1"/>
  <c r="Q2672" i="2"/>
  <c r="P2664" i="2"/>
  <c r="V2664" i="2" s="1"/>
  <c r="Q2664" i="2"/>
  <c r="P2656" i="2"/>
  <c r="V2656" i="2" s="1"/>
  <c r="Q2656" i="2"/>
  <c r="P2648" i="2"/>
  <c r="V2648" i="2" s="1"/>
  <c r="Q2648" i="2"/>
  <c r="Q36" i="2"/>
  <c r="Q52" i="2"/>
  <c r="Q68" i="2"/>
  <c r="Q84" i="2"/>
  <c r="Q100" i="2"/>
  <c r="Q116" i="2"/>
  <c r="Q132" i="2"/>
  <c r="Q148" i="2"/>
  <c r="Q164" i="2"/>
  <c r="Q180" i="2"/>
  <c r="Q196" i="2"/>
  <c r="Q212" i="2"/>
  <c r="Q228" i="2"/>
  <c r="Q244" i="2"/>
  <c r="Q260" i="2"/>
  <c r="Q276" i="2"/>
  <c r="Q292" i="2"/>
  <c r="Q308" i="2"/>
  <c r="Q324" i="2"/>
  <c r="Q340" i="2"/>
  <c r="Q356" i="2"/>
  <c r="Q372" i="2"/>
  <c r="Q388" i="2"/>
  <c r="Q404" i="2"/>
  <c r="Q420" i="2"/>
  <c r="Q436" i="2"/>
  <c r="Q452" i="2"/>
  <c r="Q468" i="2"/>
  <c r="Q484" i="2"/>
  <c r="Q500" i="2"/>
  <c r="Q516" i="2"/>
  <c r="Q532" i="2"/>
  <c r="Q548" i="2"/>
  <c r="Q564" i="2"/>
  <c r="Q580" i="2"/>
  <c r="Q596" i="2"/>
  <c r="Q612" i="2"/>
  <c r="Q628" i="2"/>
  <c r="Q644" i="2"/>
  <c r="Q660" i="2"/>
  <c r="Q676" i="2"/>
  <c r="Q692" i="2"/>
  <c r="Q708" i="2"/>
  <c r="Q724" i="2"/>
  <c r="Q740" i="2"/>
  <c r="Q756" i="2"/>
  <c r="Q772" i="2"/>
  <c r="Q788" i="2"/>
  <c r="Q804" i="2"/>
  <c r="Q820" i="2"/>
  <c r="Q836" i="2"/>
  <c r="Q852" i="2"/>
  <c r="Q868" i="2"/>
  <c r="Q884" i="2"/>
  <c r="Q900" i="2"/>
  <c r="Q916" i="2"/>
  <c r="Q932" i="2"/>
  <c r="Q948" i="2"/>
  <c r="Q964" i="2"/>
  <c r="Q980" i="2"/>
  <c r="Q996" i="2"/>
  <c r="Q1012" i="2"/>
  <c r="Q1028" i="2"/>
  <c r="Q1044" i="2"/>
  <c r="Q1060" i="2"/>
  <c r="Q1076" i="2"/>
  <c r="Q1092" i="2"/>
  <c r="Q1108" i="2"/>
  <c r="Q1124" i="2"/>
  <c r="Q1140" i="2"/>
  <c r="Q1156" i="2"/>
  <c r="Q1172" i="2"/>
  <c r="Q1188" i="2"/>
  <c r="Q1204" i="2"/>
  <c r="Q1220" i="2"/>
  <c r="Q1236" i="2"/>
  <c r="Q1252" i="2"/>
  <c r="Q1268" i="2"/>
  <c r="Q1284" i="2"/>
  <c r="Q1300" i="2"/>
  <c r="Q1316" i="2"/>
  <c r="Q1332" i="2"/>
  <c r="Q1348" i="2"/>
  <c r="Q1364" i="2"/>
  <c r="Q1380" i="2"/>
  <c r="Q1396" i="2"/>
  <c r="Q1412" i="2"/>
  <c r="Q1428" i="2"/>
  <c r="Q1444" i="2"/>
  <c r="Q1460" i="2"/>
  <c r="Q1476" i="2"/>
  <c r="Q1492" i="2"/>
  <c r="Q1508" i="2"/>
  <c r="Q1524" i="2"/>
  <c r="Q1540" i="2"/>
  <c r="Q1556" i="2"/>
  <c r="Q1572" i="2"/>
  <c r="Q1588" i="2"/>
  <c r="Q1604" i="2"/>
  <c r="Q1620" i="2"/>
  <c r="Q1636" i="2"/>
  <c r="Q1652" i="2"/>
  <c r="Q1668" i="2"/>
  <c r="Q1684" i="2"/>
  <c r="Q1700" i="2"/>
  <c r="Q1716" i="2"/>
  <c r="Q1732" i="2"/>
  <c r="Q1748" i="2"/>
  <c r="Q1764" i="2"/>
  <c r="Q1780" i="2"/>
  <c r="Q1796" i="2"/>
  <c r="Q1812" i="2"/>
  <c r="Q1828" i="2"/>
  <c r="Q1844" i="2"/>
  <c r="Q1860" i="2"/>
  <c r="Q1876" i="2"/>
  <c r="Q1892" i="2"/>
  <c r="Q1908" i="2"/>
  <c r="Q1924" i="2"/>
  <c r="Q1940" i="2"/>
  <c r="Q1956" i="2"/>
  <c r="Q1972" i="2"/>
  <c r="Q1988" i="2"/>
  <c r="Q2004" i="2"/>
  <c r="Q2020" i="2"/>
  <c r="Q2036" i="2"/>
  <c r="Q2052" i="2"/>
  <c r="Q2068" i="2"/>
  <c r="Q2084" i="2"/>
  <c r="Q2100" i="2"/>
  <c r="Q2116" i="2"/>
  <c r="Q2132" i="2"/>
  <c r="Q2148" i="2"/>
  <c r="Q2164" i="2"/>
  <c r="Q2180" i="2"/>
  <c r="Q2196" i="2"/>
  <c r="Q2212" i="2"/>
  <c r="Q2228" i="2"/>
  <c r="Q2244" i="2"/>
  <c r="Q2260" i="2"/>
  <c r="Q2276" i="2"/>
  <c r="Q2292" i="2"/>
  <c r="Q2308" i="2"/>
  <c r="Q2324" i="2"/>
  <c r="Q2340" i="2"/>
  <c r="Q2356" i="2"/>
  <c r="Q2372" i="2"/>
  <c r="Q2388" i="2"/>
  <c r="Q2404" i="2"/>
  <c r="Q2420" i="2"/>
  <c r="Q2436" i="2"/>
  <c r="Q2452" i="2"/>
  <c r="Q2468" i="2"/>
  <c r="Q2484" i="2"/>
  <c r="Q2500" i="2"/>
  <c r="Q2516" i="2"/>
  <c r="Q2532" i="2"/>
  <c r="Q2548" i="2"/>
  <c r="Q2564" i="2"/>
  <c r="Q2580" i="2"/>
  <c r="Q2596" i="2"/>
  <c r="Q2612" i="2"/>
  <c r="Q2628" i="2"/>
  <c r="Q2644" i="2"/>
  <c r="Q49" i="2"/>
  <c r="Q65" i="2"/>
  <c r="Q81" i="2"/>
  <c r="Q97" i="2"/>
  <c r="Q113" i="2"/>
  <c r="Q129" i="2"/>
  <c r="Q145" i="2"/>
  <c r="Q161" i="2"/>
  <c r="Q177" i="2"/>
  <c r="Q193" i="2"/>
  <c r="Q209" i="2"/>
  <c r="Q225" i="2"/>
  <c r="Q241" i="2"/>
  <c r="Q257" i="2"/>
  <c r="Q273" i="2"/>
  <c r="Q289" i="2"/>
  <c r="Q305" i="2"/>
  <c r="Q321" i="2"/>
  <c r="Q337" i="2"/>
  <c r="Q353" i="2"/>
  <c r="Q369" i="2"/>
  <c r="Q385" i="2"/>
  <c r="Q401" i="2"/>
  <c r="Q417" i="2"/>
  <c r="Q433" i="2"/>
  <c r="Q449" i="2"/>
  <c r="Q465" i="2"/>
  <c r="Q481" i="2"/>
  <c r="Q497" i="2"/>
  <c r="Q513" i="2"/>
  <c r="Q529" i="2"/>
  <c r="Q545" i="2"/>
  <c r="Q561" i="2"/>
  <c r="Q577" i="2"/>
  <c r="Q593" i="2"/>
  <c r="Q609" i="2"/>
  <c r="Q625" i="2"/>
  <c r="Q641" i="2"/>
  <c r="Q657" i="2"/>
  <c r="Q673" i="2"/>
  <c r="Q689" i="2"/>
  <c r="Q705" i="2"/>
  <c r="Q721" i="2"/>
  <c r="Q737" i="2"/>
  <c r="Q753" i="2"/>
  <c r="Q769" i="2"/>
  <c r="Q785" i="2"/>
  <c r="Q801" i="2"/>
  <c r="Q817" i="2"/>
  <c r="Q833" i="2"/>
  <c r="Q849" i="2"/>
  <c r="Q865" i="2"/>
  <c r="Q881" i="2"/>
  <c r="Q897" i="2"/>
  <c r="Q913" i="2"/>
  <c r="Q929" i="2"/>
  <c r="Q945" i="2"/>
  <c r="Q961" i="2"/>
  <c r="Q977" i="2"/>
  <c r="Q993" i="2"/>
  <c r="Q1009" i="2"/>
  <c r="Q1025" i="2"/>
  <c r="Q1041" i="2"/>
  <c r="Q1057" i="2"/>
  <c r="Q1073" i="2"/>
  <c r="Q1089" i="2"/>
  <c r="Q1105" i="2"/>
  <c r="Q1121" i="2"/>
  <c r="Q1137" i="2"/>
  <c r="Q1153" i="2"/>
  <c r="Q1169" i="2"/>
  <c r="Q1185" i="2"/>
  <c r="Q1201" i="2"/>
  <c r="Q1217" i="2"/>
  <c r="Q1233" i="2"/>
  <c r="Q1249" i="2"/>
  <c r="Q1265" i="2"/>
  <c r="Q1281" i="2"/>
  <c r="Q1297" i="2"/>
  <c r="Q1313" i="2"/>
  <c r="Q1329" i="2"/>
  <c r="Q1345" i="2"/>
  <c r="Q1361" i="2"/>
  <c r="Q1377" i="2"/>
  <c r="Q1393" i="2"/>
  <c r="Q1409" i="2"/>
  <c r="Q1425" i="2"/>
  <c r="Q1441" i="2"/>
  <c r="Q1457" i="2"/>
  <c r="Q1473" i="2"/>
  <c r="Q1489" i="2"/>
  <c r="Q1505" i="2"/>
  <c r="Q1521" i="2"/>
  <c r="Q1537" i="2"/>
  <c r="Q1553" i="2"/>
  <c r="Q1569" i="2"/>
  <c r="Q1585" i="2"/>
  <c r="Q1601" i="2"/>
  <c r="Q1617" i="2"/>
  <c r="Q1633" i="2"/>
  <c r="Q1649" i="2"/>
  <c r="Q1665" i="2"/>
  <c r="Q1681" i="2"/>
  <c r="Q1697" i="2"/>
  <c r="Q1713" i="2"/>
  <c r="Q1729" i="2"/>
  <c r="Q1745" i="2"/>
  <c r="Q1761" i="2"/>
  <c r="Q1777" i="2"/>
  <c r="Q1793" i="2"/>
  <c r="Q1809" i="2"/>
  <c r="Q1825" i="2"/>
  <c r="Q1841" i="2"/>
  <c r="Q1857" i="2"/>
  <c r="Q1873" i="2"/>
  <c r="Q1889" i="2"/>
  <c r="Q1905" i="2"/>
  <c r="Q1921" i="2"/>
  <c r="Q1937" i="2"/>
  <c r="Q1953" i="2"/>
  <c r="Q1969" i="2"/>
  <c r="Q1985" i="2"/>
  <c r="Q2001" i="2"/>
  <c r="Q2017" i="2"/>
  <c r="Q2033" i="2"/>
  <c r="Q2049" i="2"/>
  <c r="Q2065" i="2"/>
  <c r="Q2081" i="2"/>
  <c r="Q2097" i="2"/>
  <c r="Q2113" i="2"/>
  <c r="Q2129" i="2"/>
  <c r="Q2145" i="2"/>
  <c r="Q2161" i="2"/>
  <c r="Q2177" i="2"/>
  <c r="Q2193" i="2"/>
  <c r="Q2209" i="2"/>
  <c r="Q2225" i="2"/>
  <c r="Q2241" i="2"/>
  <c r="Q2257" i="2"/>
  <c r="Q2273" i="2"/>
  <c r="Q2289" i="2"/>
  <c r="Q2305" i="2"/>
  <c r="Q2321" i="2"/>
  <c r="Q2337" i="2"/>
  <c r="Q2353" i="2"/>
  <c r="Q2369" i="2"/>
  <c r="Q2385" i="2"/>
  <c r="Q2401" i="2"/>
  <c r="Q2417" i="2"/>
  <c r="Q2433" i="2"/>
  <c r="Q2449" i="2"/>
  <c r="Q2465" i="2"/>
  <c r="Q2481" i="2"/>
  <c r="Q2497" i="2"/>
  <c r="Q2513" i="2"/>
  <c r="Q2529" i="2"/>
  <c r="Q2545" i="2"/>
  <c r="Q2561" i="2"/>
  <c r="Q2577" i="2"/>
  <c r="Q2593" i="2"/>
  <c r="Q2609" i="2"/>
  <c r="Q2625" i="2"/>
  <c r="Q2641" i="2"/>
  <c r="Q2657" i="2"/>
  <c r="Q2673" i="2"/>
  <c r="Q2689" i="2"/>
  <c r="Q2705" i="2"/>
  <c r="Q2721" i="2"/>
  <c r="Q2660" i="2"/>
  <c r="Q2692" i="2"/>
  <c r="Q2724" i="2"/>
  <c r="Q2756" i="2"/>
  <c r="Q2788" i="2"/>
  <c r="Q2820" i="2"/>
  <c r="Q2852" i="2"/>
  <c r="Q2884" i="2"/>
  <c r="Q2916" i="2"/>
  <c r="Q2948" i="2"/>
  <c r="Q2980" i="2"/>
  <c r="Q3012" i="2"/>
  <c r="Q3044" i="2"/>
  <c r="Q3076" i="2"/>
  <c r="Q3108" i="2"/>
  <c r="Q3140" i="2"/>
  <c r="Q3172" i="2"/>
  <c r="Q3204" i="2"/>
  <c r="Q3236" i="2"/>
  <c r="Q3268" i="2"/>
  <c r="Q3300" i="2"/>
  <c r="Q3332" i="2"/>
  <c r="Q3364" i="2"/>
  <c r="Q3396" i="2"/>
  <c r="Q3428" i="2"/>
  <c r="Q3460" i="2"/>
  <c r="Q3492" i="2"/>
  <c r="Q3524" i="2"/>
  <c r="Q3556" i="2"/>
  <c r="Q3588" i="2"/>
  <c r="Q3620" i="2"/>
  <c r="Q3652" i="2"/>
  <c r="Q3684" i="2"/>
  <c r="Q3716" i="2"/>
  <c r="Q3748" i="2"/>
  <c r="Q3780" i="2"/>
  <c r="Q3812" i="2"/>
  <c r="Q3844" i="2"/>
  <c r="Q3876" i="2"/>
  <c r="Q3908" i="2"/>
  <c r="Q3940" i="2"/>
  <c r="Q3972" i="2"/>
  <c r="Q4004" i="2"/>
  <c r="Q4036" i="2"/>
  <c r="Q4068" i="2"/>
  <c r="Q4100" i="2"/>
  <c r="Q4132" i="2"/>
  <c r="Q4164" i="2"/>
  <c r="Q4196" i="2"/>
  <c r="Q4228" i="2"/>
  <c r="Q4260" i="2"/>
  <c r="Q4292" i="2"/>
  <c r="Q4324" i="2"/>
  <c r="Q4356" i="2"/>
  <c r="Q4388" i="2"/>
  <c r="Q4420" i="2"/>
  <c r="Q4452" i="2"/>
  <c r="Q4484" i="2"/>
  <c r="Q4516" i="2"/>
  <c r="Q4548" i="2"/>
  <c r="Q4580" i="2"/>
  <c r="Q4612" i="2"/>
  <c r="Q4644" i="2"/>
  <c r="Q4676" i="2"/>
  <c r="Q4708" i="2"/>
  <c r="Q4740" i="2"/>
  <c r="Q4772" i="2"/>
  <c r="Q4804" i="2"/>
  <c r="Q4836" i="2"/>
  <c r="Q4868" i="2"/>
  <c r="Q4900" i="2"/>
  <c r="Q4932" i="2"/>
  <c r="Q4964" i="2"/>
  <c r="Q4996" i="2"/>
  <c r="Q5028" i="2"/>
  <c r="Q5060" i="2"/>
  <c r="Q5092" i="2"/>
  <c r="Q5124" i="2"/>
  <c r="Q5156" i="2"/>
  <c r="Q5188" i="2"/>
  <c r="Q5220" i="2"/>
  <c r="Q5252" i="2"/>
  <c r="Q5284" i="2"/>
  <c r="Q5316" i="2"/>
  <c r="Q5348" i="2"/>
  <c r="Q5380" i="2"/>
  <c r="Q5412" i="2"/>
  <c r="Q5444" i="2"/>
  <c r="Q5476" i="2"/>
  <c r="Q5508" i="2"/>
  <c r="Q5540" i="2"/>
  <c r="Q5572" i="2"/>
  <c r="Q5604" i="2"/>
  <c r="Q5636" i="2"/>
  <c r="Q5668" i="2"/>
  <c r="Q5700" i="2"/>
  <c r="Q5732" i="2"/>
  <c r="Q5764" i="2"/>
  <c r="Q5796" i="2"/>
  <c r="Q5828" i="2"/>
  <c r="Q5860" i="2"/>
  <c r="Q5892" i="2"/>
  <c r="Q5924" i="2"/>
  <c r="Q5956" i="2"/>
  <c r="Q5988" i="2"/>
  <c r="Q6020" i="2"/>
  <c r="Q6052" i="2"/>
  <c r="Q6084" i="2"/>
  <c r="Q6116" i="2"/>
  <c r="Q6148" i="2"/>
  <c r="Q6180" i="2"/>
  <c r="Q6212" i="2"/>
  <c r="Q6244" i="2"/>
  <c r="Q6276" i="2"/>
  <c r="Q6308" i="2"/>
  <c r="Q6340" i="2"/>
  <c r="Q6372" i="2"/>
  <c r="Q6404" i="2"/>
  <c r="Q6436" i="2"/>
  <c r="Q6468" i="2"/>
  <c r="Q6500" i="2"/>
  <c r="Q6532" i="2"/>
  <c r="Q6564" i="2"/>
  <c r="Q6596" i="2"/>
  <c r="Q6628" i="2"/>
  <c r="Q6660" i="2"/>
  <c r="Q6692" i="2"/>
  <c r="Q6724" i="2"/>
  <c r="Q6756" i="2"/>
  <c r="Q6788" i="2"/>
  <c r="Q6820" i="2"/>
  <c r="Q6852" i="2"/>
  <c r="Q6884" i="2"/>
  <c r="Q6916" i="2"/>
  <c r="Q6948" i="2"/>
  <c r="Q6980" i="2"/>
  <c r="Q7012" i="2"/>
  <c r="Q7044" i="2"/>
  <c r="Q7076" i="2"/>
  <c r="Q7108" i="2"/>
  <c r="Q7140" i="2"/>
  <c r="Q7172" i="2"/>
  <c r="Q7204" i="2"/>
  <c r="Q7236" i="2"/>
  <c r="P14988" i="2"/>
  <c r="V14988" i="2" s="1"/>
  <c r="Q14988" i="2"/>
  <c r="P14972" i="2"/>
  <c r="V14972" i="2" s="1"/>
  <c r="Q14972" i="2"/>
  <c r="P14960" i="2"/>
  <c r="V14960" i="2" s="1"/>
  <c r="Q14960" i="2"/>
  <c r="P14944" i="2"/>
  <c r="V14944" i="2" s="1"/>
  <c r="Q14944" i="2"/>
  <c r="P14932" i="2"/>
  <c r="V14932" i="2" s="1"/>
  <c r="Q14932" i="2"/>
  <c r="P14828" i="2"/>
  <c r="V14828" i="2" s="1"/>
  <c r="Q14828" i="2"/>
  <c r="P14816" i="2"/>
  <c r="V14816" i="2" s="1"/>
  <c r="Q14816" i="2"/>
  <c r="P14808" i="2"/>
  <c r="V14808" i="2" s="1"/>
  <c r="Q14808" i="2"/>
  <c r="P14796" i="2"/>
  <c r="V14796" i="2" s="1"/>
  <c r="Q14796" i="2"/>
  <c r="P14788" i="2"/>
  <c r="V14788" i="2" s="1"/>
  <c r="Q14788" i="2"/>
  <c r="P14780" i="2"/>
  <c r="V14780" i="2" s="1"/>
  <c r="Q14780" i="2"/>
  <c r="P14772" i="2"/>
  <c r="V14772" i="2" s="1"/>
  <c r="Q14772" i="2"/>
  <c r="P14760" i="2"/>
  <c r="V14760" i="2" s="1"/>
  <c r="Q14760" i="2"/>
  <c r="P14756" i="2"/>
  <c r="V14756" i="2" s="1"/>
  <c r="Q14756" i="2"/>
  <c r="P14752" i="2"/>
  <c r="V14752" i="2" s="1"/>
  <c r="Q14752" i="2"/>
  <c r="P14744" i="2"/>
  <c r="V14744" i="2" s="1"/>
  <c r="Q14744" i="2"/>
  <c r="P14732" i="2"/>
  <c r="V14732" i="2" s="1"/>
  <c r="Q14732" i="2"/>
  <c r="P14716" i="2"/>
  <c r="V14716" i="2" s="1"/>
  <c r="Q14716" i="2"/>
  <c r="P14700" i="2"/>
  <c r="V14700" i="2" s="1"/>
  <c r="Q14700" i="2"/>
  <c r="P14684" i="2"/>
  <c r="V14684" i="2" s="1"/>
  <c r="Q14684" i="2"/>
  <c r="P14668" i="2"/>
  <c r="V14668" i="2" s="1"/>
  <c r="Q14668" i="2"/>
  <c r="P14652" i="2"/>
  <c r="V14652" i="2" s="1"/>
  <c r="Q14652" i="2"/>
  <c r="P14636" i="2"/>
  <c r="V14636" i="2" s="1"/>
  <c r="Q14636" i="2"/>
  <c r="P14620" i="2"/>
  <c r="V14620" i="2" s="1"/>
  <c r="Q14620" i="2"/>
  <c r="P14604" i="2"/>
  <c r="V14604" i="2" s="1"/>
  <c r="Q14604" i="2"/>
  <c r="P14584" i="2"/>
  <c r="V14584" i="2" s="1"/>
  <c r="Q14584" i="2"/>
  <c r="P14572" i="2"/>
  <c r="V14572" i="2" s="1"/>
  <c r="Q14572" i="2"/>
  <c r="P14556" i="2"/>
  <c r="V14556" i="2" s="1"/>
  <c r="Q14556" i="2"/>
  <c r="P14540" i="2"/>
  <c r="V14540" i="2" s="1"/>
  <c r="Q14540" i="2"/>
  <c r="P14524" i="2"/>
  <c r="V14524" i="2" s="1"/>
  <c r="Q14524" i="2"/>
  <c r="P14508" i="2"/>
  <c r="V14508" i="2" s="1"/>
  <c r="Q14508" i="2"/>
  <c r="P14488" i="2"/>
  <c r="V14488" i="2" s="1"/>
  <c r="Q14488" i="2"/>
  <c r="P14476" i="2"/>
  <c r="V14476" i="2" s="1"/>
  <c r="Q14476" i="2"/>
  <c r="P14460" i="2"/>
  <c r="V14460" i="2" s="1"/>
  <c r="Q14460" i="2"/>
  <c r="P14444" i="2"/>
  <c r="V14444" i="2" s="1"/>
  <c r="Q14444" i="2"/>
  <c r="P14428" i="2"/>
  <c r="V14428" i="2" s="1"/>
  <c r="Q14428" i="2"/>
  <c r="P14412" i="2"/>
  <c r="V14412" i="2" s="1"/>
  <c r="Q14412" i="2"/>
  <c r="P14396" i="2"/>
  <c r="V14396" i="2" s="1"/>
  <c r="Q14396" i="2"/>
  <c r="P14380" i="2"/>
  <c r="V14380" i="2" s="1"/>
  <c r="Q14380" i="2"/>
  <c r="P14364" i="2"/>
  <c r="V14364" i="2" s="1"/>
  <c r="Q14364" i="2"/>
  <c r="P14348" i="2"/>
  <c r="V14348" i="2" s="1"/>
  <c r="Q14348" i="2"/>
  <c r="P14332" i="2"/>
  <c r="V14332" i="2" s="1"/>
  <c r="Q14332" i="2"/>
  <c r="P14316" i="2"/>
  <c r="V14316" i="2" s="1"/>
  <c r="Q14316" i="2"/>
  <c r="P14300" i="2"/>
  <c r="V14300" i="2" s="1"/>
  <c r="Q14300" i="2"/>
  <c r="P14280" i="2"/>
  <c r="V14280" i="2" s="1"/>
  <c r="Q14280" i="2"/>
  <c r="P14264" i="2"/>
  <c r="V14264" i="2" s="1"/>
  <c r="Q14264" i="2"/>
  <c r="P14252" i="2"/>
  <c r="V14252" i="2" s="1"/>
  <c r="Q14252" i="2"/>
  <c r="P14236" i="2"/>
  <c r="V14236" i="2" s="1"/>
  <c r="Q14236" i="2"/>
  <c r="P14216" i="2"/>
  <c r="V14216" i="2" s="1"/>
  <c r="Q14216" i="2"/>
  <c r="P14204" i="2"/>
  <c r="V14204" i="2" s="1"/>
  <c r="Q14204" i="2"/>
  <c r="P14184" i="2"/>
  <c r="V14184" i="2" s="1"/>
  <c r="Q14184" i="2"/>
  <c r="P14172" i="2"/>
  <c r="V14172" i="2" s="1"/>
  <c r="Q14172" i="2"/>
  <c r="P14152" i="2"/>
  <c r="V14152" i="2" s="1"/>
  <c r="Q14152" i="2"/>
  <c r="P14140" i="2"/>
  <c r="V14140" i="2" s="1"/>
  <c r="Q14140" i="2"/>
  <c r="P14120" i="2"/>
  <c r="V14120" i="2" s="1"/>
  <c r="Q14120" i="2"/>
  <c r="P14104" i="2"/>
  <c r="V14104" i="2" s="1"/>
  <c r="Q14104" i="2"/>
  <c r="P14092" i="2"/>
  <c r="V14092" i="2" s="1"/>
  <c r="Q14092" i="2"/>
  <c r="P14072" i="2"/>
  <c r="V14072" i="2" s="1"/>
  <c r="Q14072" i="2"/>
  <c r="P14060" i="2"/>
  <c r="V14060" i="2" s="1"/>
  <c r="Q14060" i="2"/>
  <c r="P14044" i="2"/>
  <c r="V14044" i="2" s="1"/>
  <c r="Q14044" i="2"/>
  <c r="P14028" i="2"/>
  <c r="V14028" i="2" s="1"/>
  <c r="Q14028" i="2"/>
  <c r="P14012" i="2"/>
  <c r="V14012" i="2" s="1"/>
  <c r="Q14012" i="2"/>
  <c r="P13996" i="2"/>
  <c r="V13996" i="2" s="1"/>
  <c r="Q13996" i="2"/>
  <c r="P13976" i="2"/>
  <c r="V13976" i="2" s="1"/>
  <c r="Q13976" i="2"/>
  <c r="P13964" i="2"/>
  <c r="V13964" i="2" s="1"/>
  <c r="Q13964" i="2"/>
  <c r="P13948" i="2"/>
  <c r="V13948" i="2" s="1"/>
  <c r="Q13948" i="2"/>
  <c r="P13932" i="2"/>
  <c r="V13932" i="2" s="1"/>
  <c r="Q13932" i="2"/>
  <c r="P13912" i="2"/>
  <c r="V13912" i="2" s="1"/>
  <c r="Q13912" i="2"/>
  <c r="P13896" i="2"/>
  <c r="V13896" i="2" s="1"/>
  <c r="Q13896" i="2"/>
  <c r="P13884" i="2"/>
  <c r="V13884" i="2" s="1"/>
  <c r="Q13884" i="2"/>
  <c r="P13868" i="2"/>
  <c r="V13868" i="2" s="1"/>
  <c r="Q13868" i="2"/>
  <c r="P13848" i="2"/>
  <c r="V13848" i="2" s="1"/>
  <c r="Q13848" i="2"/>
  <c r="P13836" i="2"/>
  <c r="V13836" i="2" s="1"/>
  <c r="Q13836" i="2"/>
  <c r="P13812" i="2"/>
  <c r="V13812" i="2" s="1"/>
  <c r="Q13812" i="2"/>
  <c r="Q40" i="2"/>
  <c r="Q56" i="2"/>
  <c r="Q72" i="2"/>
  <c r="Q88" i="2"/>
  <c r="Q104" i="2"/>
  <c r="Q120" i="2"/>
  <c r="Q136" i="2"/>
  <c r="Q152" i="2"/>
  <c r="Q168" i="2"/>
  <c r="Q184" i="2"/>
  <c r="Q200" i="2"/>
  <c r="Q216" i="2"/>
  <c r="Q232" i="2"/>
  <c r="Q248" i="2"/>
  <c r="Q264" i="2"/>
  <c r="Q280" i="2"/>
  <c r="Q296" i="2"/>
  <c r="Q312" i="2"/>
  <c r="Q328" i="2"/>
  <c r="Q344" i="2"/>
  <c r="Q360" i="2"/>
  <c r="Q376" i="2"/>
  <c r="Q392" i="2"/>
  <c r="Q408" i="2"/>
  <c r="Q424" i="2"/>
  <c r="Q440" i="2"/>
  <c r="Q456" i="2"/>
  <c r="Q472" i="2"/>
  <c r="Q488" i="2"/>
  <c r="Q504" i="2"/>
  <c r="Q520" i="2"/>
  <c r="Q536" i="2"/>
  <c r="Q552" i="2"/>
  <c r="Q568" i="2"/>
  <c r="Q584" i="2"/>
  <c r="Q600" i="2"/>
  <c r="Q616" i="2"/>
  <c r="Q632" i="2"/>
  <c r="Q648" i="2"/>
  <c r="Q664" i="2"/>
  <c r="Q680" i="2"/>
  <c r="Q696" i="2"/>
  <c r="Q712" i="2"/>
  <c r="Q728" i="2"/>
  <c r="Q744" i="2"/>
  <c r="Q760" i="2"/>
  <c r="Q776" i="2"/>
  <c r="Q792" i="2"/>
  <c r="Q808" i="2"/>
  <c r="Q824" i="2"/>
  <c r="Q840" i="2"/>
  <c r="Q856" i="2"/>
  <c r="Q872" i="2"/>
  <c r="Q888" i="2"/>
  <c r="Q904" i="2"/>
  <c r="Q920" i="2"/>
  <c r="Q936" i="2"/>
  <c r="Q952" i="2"/>
  <c r="Q968" i="2"/>
  <c r="Q984" i="2"/>
  <c r="Q1000" i="2"/>
  <c r="Q1016" i="2"/>
  <c r="Q1032" i="2"/>
  <c r="Q1048" i="2"/>
  <c r="Q1064" i="2"/>
  <c r="Q1080" i="2"/>
  <c r="Q1096" i="2"/>
  <c r="Q1112" i="2"/>
  <c r="Q1128" i="2"/>
  <c r="Q1144" i="2"/>
  <c r="Q1160" i="2"/>
  <c r="Q1176" i="2"/>
  <c r="Q1192" i="2"/>
  <c r="Q1208" i="2"/>
  <c r="Q1224" i="2"/>
  <c r="Q1240" i="2"/>
  <c r="Q1256" i="2"/>
  <c r="Q1272" i="2"/>
  <c r="Q1288" i="2"/>
  <c r="Q1304" i="2"/>
  <c r="Q1320" i="2"/>
  <c r="Q1336" i="2"/>
  <c r="Q1352" i="2"/>
  <c r="Q1368" i="2"/>
  <c r="Q1384" i="2"/>
  <c r="Q1400" i="2"/>
  <c r="Q1416" i="2"/>
  <c r="Q1432" i="2"/>
  <c r="Q1448" i="2"/>
  <c r="Q1464" i="2"/>
  <c r="Q1480" i="2"/>
  <c r="Q1496" i="2"/>
  <c r="Q1512" i="2"/>
  <c r="Q1528" i="2"/>
  <c r="Q1544" i="2"/>
  <c r="Q1560" i="2"/>
  <c r="Q1576" i="2"/>
  <c r="Q1592" i="2"/>
  <c r="Q1608" i="2"/>
  <c r="Q1624" i="2"/>
  <c r="Q1640" i="2"/>
  <c r="Q1656" i="2"/>
  <c r="Q1672" i="2"/>
  <c r="Q1688" i="2"/>
  <c r="Q1704" i="2"/>
  <c r="Q1720" i="2"/>
  <c r="Q1736" i="2"/>
  <c r="Q1752" i="2"/>
  <c r="Q1768" i="2"/>
  <c r="Q1784" i="2"/>
  <c r="Q1800" i="2"/>
  <c r="Q1816" i="2"/>
  <c r="Q1832" i="2"/>
  <c r="Q1848" i="2"/>
  <c r="Q1864" i="2"/>
  <c r="Q1880" i="2"/>
  <c r="Q1896" i="2"/>
  <c r="Q1912" i="2"/>
  <c r="Q1928" i="2"/>
  <c r="Q1944" i="2"/>
  <c r="Q1960" i="2"/>
  <c r="Q1976" i="2"/>
  <c r="Q1992" i="2"/>
  <c r="Q2008" i="2"/>
  <c r="Q2024" i="2"/>
  <c r="Q2040" i="2"/>
  <c r="Q2056" i="2"/>
  <c r="Q2072" i="2"/>
  <c r="Q2088" i="2"/>
  <c r="Q2104" i="2"/>
  <c r="Q2120" i="2"/>
  <c r="Q2136" i="2"/>
  <c r="Q2152" i="2"/>
  <c r="Q2168" i="2"/>
  <c r="Q2184" i="2"/>
  <c r="Q2200" i="2"/>
  <c r="Q2216" i="2"/>
  <c r="Q2232" i="2"/>
  <c r="Q2248" i="2"/>
  <c r="Q2264" i="2"/>
  <c r="Q2280" i="2"/>
  <c r="Q2296" i="2"/>
  <c r="Q2312" i="2"/>
  <c r="Q2328" i="2"/>
  <c r="Q2344" i="2"/>
  <c r="Q2360" i="2"/>
  <c r="Q2376" i="2"/>
  <c r="Q2392" i="2"/>
  <c r="Q2408" i="2"/>
  <c r="Q2424" i="2"/>
  <c r="Q2440" i="2"/>
  <c r="Q2456" i="2"/>
  <c r="Q2472" i="2"/>
  <c r="Q2488" i="2"/>
  <c r="Q2504" i="2"/>
  <c r="Q2520" i="2"/>
  <c r="Q2536" i="2"/>
  <c r="Q2552" i="2"/>
  <c r="Q2568" i="2"/>
  <c r="Q2584" i="2"/>
  <c r="Q2600" i="2"/>
  <c r="Q2616" i="2"/>
  <c r="Q2632" i="2"/>
  <c r="Q37" i="2"/>
  <c r="Q53" i="2"/>
  <c r="Q69" i="2"/>
  <c r="Q85" i="2"/>
  <c r="Q101" i="2"/>
  <c r="Q117" i="2"/>
  <c r="Q133" i="2"/>
  <c r="Q149" i="2"/>
  <c r="Q165" i="2"/>
  <c r="Q181" i="2"/>
  <c r="Q197" i="2"/>
  <c r="Q213" i="2"/>
  <c r="Q229" i="2"/>
  <c r="Q245" i="2"/>
  <c r="Q261" i="2"/>
  <c r="Q277" i="2"/>
  <c r="Q293" i="2"/>
  <c r="Q309" i="2"/>
  <c r="Q325" i="2"/>
  <c r="Q341" i="2"/>
  <c r="Q357" i="2"/>
  <c r="Q373" i="2"/>
  <c r="Q389" i="2"/>
  <c r="Q405" i="2"/>
  <c r="Q421" i="2"/>
  <c r="Q437" i="2"/>
  <c r="Q453" i="2"/>
  <c r="Q469" i="2"/>
  <c r="Q485" i="2"/>
  <c r="Q501" i="2"/>
  <c r="Q517" i="2"/>
  <c r="Q533" i="2"/>
  <c r="Q549" i="2"/>
  <c r="Q565" i="2"/>
  <c r="Q581" i="2"/>
  <c r="Q597" i="2"/>
  <c r="Q613" i="2"/>
  <c r="Q629" i="2"/>
  <c r="Q645" i="2"/>
  <c r="Q661" i="2"/>
  <c r="Q677" i="2"/>
  <c r="Q693" i="2"/>
  <c r="Q709" i="2"/>
  <c r="Q725" i="2"/>
  <c r="Q741" i="2"/>
  <c r="Q757" i="2"/>
  <c r="Q773" i="2"/>
  <c r="Q789" i="2"/>
  <c r="Q805" i="2"/>
  <c r="Q821" i="2"/>
  <c r="Q837" i="2"/>
  <c r="Q853" i="2"/>
  <c r="Q869" i="2"/>
  <c r="Q885" i="2"/>
  <c r="Q901" i="2"/>
  <c r="Q917" i="2"/>
  <c r="Q933" i="2"/>
  <c r="Q949" i="2"/>
  <c r="Q965" i="2"/>
  <c r="Q981" i="2"/>
  <c r="Q997" i="2"/>
  <c r="Q1013" i="2"/>
  <c r="Q1029" i="2"/>
  <c r="Q1045" i="2"/>
  <c r="Q1061" i="2"/>
  <c r="Q1077" i="2"/>
  <c r="Q1093" i="2"/>
  <c r="Q1109" i="2"/>
  <c r="Q1125" i="2"/>
  <c r="Q1141" i="2"/>
  <c r="Q1157" i="2"/>
  <c r="Q1173" i="2"/>
  <c r="Q1189" i="2"/>
  <c r="Q1205" i="2"/>
  <c r="Q1221" i="2"/>
  <c r="Q1237" i="2"/>
  <c r="Q1253" i="2"/>
  <c r="Q1269" i="2"/>
  <c r="Q1285" i="2"/>
  <c r="Q1301" i="2"/>
  <c r="Q1317" i="2"/>
  <c r="Q1333" i="2"/>
  <c r="Q1349" i="2"/>
  <c r="Q1365" i="2"/>
  <c r="Q1381" i="2"/>
  <c r="Q1397" i="2"/>
  <c r="Q1413" i="2"/>
  <c r="Q1429" i="2"/>
  <c r="Q1445" i="2"/>
  <c r="Q1461" i="2"/>
  <c r="Q1477" i="2"/>
  <c r="Q1493" i="2"/>
  <c r="Q1509" i="2"/>
  <c r="Q1525" i="2"/>
  <c r="Q1541" i="2"/>
  <c r="Q1557" i="2"/>
  <c r="Q1573" i="2"/>
  <c r="Q1589" i="2"/>
  <c r="Q1605" i="2"/>
  <c r="Q1621" i="2"/>
  <c r="Q1637" i="2"/>
  <c r="Q1653" i="2"/>
  <c r="Q1669" i="2"/>
  <c r="Q1685" i="2"/>
  <c r="Q1701" i="2"/>
  <c r="Q1717" i="2"/>
  <c r="Q1733" i="2"/>
  <c r="Q1749" i="2"/>
  <c r="Q1765" i="2"/>
  <c r="Q1781" i="2"/>
  <c r="Q1797" i="2"/>
  <c r="Q1813" i="2"/>
  <c r="Q1829" i="2"/>
  <c r="Q1845" i="2"/>
  <c r="Q1861" i="2"/>
  <c r="Q1877" i="2"/>
  <c r="Q1893" i="2"/>
  <c r="Q1909" i="2"/>
  <c r="Q1925" i="2"/>
  <c r="Q1941" i="2"/>
  <c r="Q1957" i="2"/>
  <c r="Q1973" i="2"/>
  <c r="Q1989" i="2"/>
  <c r="Q2005" i="2"/>
  <c r="Q2021" i="2"/>
  <c r="Q2037" i="2"/>
  <c r="Q2053" i="2"/>
  <c r="Q2069" i="2"/>
  <c r="Q2085" i="2"/>
  <c r="Q2101" i="2"/>
  <c r="Q2117" i="2"/>
  <c r="Q2133" i="2"/>
  <c r="Q2149" i="2"/>
  <c r="Q2165" i="2"/>
  <c r="Q2181" i="2"/>
  <c r="Q2197" i="2"/>
  <c r="Q2213" i="2"/>
  <c r="Q2229" i="2"/>
  <c r="Q2245" i="2"/>
  <c r="Q2261" i="2"/>
  <c r="Q2277" i="2"/>
  <c r="Q2293" i="2"/>
  <c r="Q2309" i="2"/>
  <c r="Q2325" i="2"/>
  <c r="Q2341" i="2"/>
  <c r="Q2357" i="2"/>
  <c r="Q2373" i="2"/>
  <c r="Q2389" i="2"/>
  <c r="Q2405" i="2"/>
  <c r="Q2421" i="2"/>
  <c r="Q2437" i="2"/>
  <c r="Q2453" i="2"/>
  <c r="Q2469" i="2"/>
  <c r="Q2485" i="2"/>
  <c r="Q2501" i="2"/>
  <c r="Q2517" i="2"/>
  <c r="Q2533" i="2"/>
  <c r="Q2549" i="2"/>
  <c r="Q2565" i="2"/>
  <c r="Q2581" i="2"/>
  <c r="Q2597" i="2"/>
  <c r="Q2613" i="2"/>
  <c r="Q2629" i="2"/>
  <c r="Q2645" i="2"/>
  <c r="Q2661" i="2"/>
  <c r="Q2677" i="2"/>
  <c r="Q2693" i="2"/>
  <c r="Q2709" i="2"/>
  <c r="Q2725" i="2"/>
  <c r="Q2668" i="2"/>
  <c r="Q2700" i="2"/>
  <c r="Q2732" i="2"/>
  <c r="Q2764" i="2"/>
  <c r="Q2796" i="2"/>
  <c r="Q2828" i="2"/>
  <c r="Q2860" i="2"/>
  <c r="Q2892" i="2"/>
  <c r="Q2924" i="2"/>
  <c r="Q2956" i="2"/>
  <c r="Q2988" i="2"/>
  <c r="Q3020" i="2"/>
  <c r="Q3052" i="2"/>
  <c r="Q3084" i="2"/>
  <c r="Q3116" i="2"/>
  <c r="Q3148" i="2"/>
  <c r="Q3180" i="2"/>
  <c r="Q3212" i="2"/>
  <c r="Q3244" i="2"/>
  <c r="Q3276" i="2"/>
  <c r="Q3308" i="2"/>
  <c r="Q3340" i="2"/>
  <c r="Q3372" i="2"/>
  <c r="Q3404" i="2"/>
  <c r="Q3436" i="2"/>
  <c r="Q3468" i="2"/>
  <c r="Q3500" i="2"/>
  <c r="Q3532" i="2"/>
  <c r="Q3564" i="2"/>
  <c r="Q3596" i="2"/>
  <c r="Q3628" i="2"/>
  <c r="Q3660" i="2"/>
  <c r="Q3692" i="2"/>
  <c r="Q3724" i="2"/>
  <c r="Q3756" i="2"/>
  <c r="Q3788" i="2"/>
  <c r="Q3820" i="2"/>
  <c r="Q3852" i="2"/>
  <c r="Q3884" i="2"/>
  <c r="Q3916" i="2"/>
  <c r="Q3948" i="2"/>
  <c r="Q3980" i="2"/>
  <c r="Q4012" i="2"/>
  <c r="Q4044" i="2"/>
  <c r="Q4076" i="2"/>
  <c r="Q4108" i="2"/>
  <c r="Q4140" i="2"/>
  <c r="Q4172" i="2"/>
  <c r="Q4204" i="2"/>
  <c r="Q4236" i="2"/>
  <c r="Q4268" i="2"/>
  <c r="Q4300" i="2"/>
  <c r="Q4332" i="2"/>
  <c r="Q4364" i="2"/>
  <c r="Q4396" i="2"/>
  <c r="Q4428" i="2"/>
  <c r="Q4460" i="2"/>
  <c r="Q4492" i="2"/>
  <c r="Q4524" i="2"/>
  <c r="Q4556" i="2"/>
  <c r="Q4588" i="2"/>
  <c r="Q4620" i="2"/>
  <c r="Q4652" i="2"/>
  <c r="Q4684" i="2"/>
  <c r="Q4716" i="2"/>
  <c r="Q4748" i="2"/>
  <c r="Q4780" i="2"/>
  <c r="Q4812" i="2"/>
  <c r="Q4844" i="2"/>
  <c r="Q4876" i="2"/>
  <c r="Q4908" i="2"/>
  <c r="Q4940" i="2"/>
  <c r="Q4972" i="2"/>
  <c r="Q5004" i="2"/>
  <c r="Q5036" i="2"/>
  <c r="Q5068" i="2"/>
  <c r="Q5100" i="2"/>
  <c r="Q5132" i="2"/>
  <c r="Q5164" i="2"/>
  <c r="Q5196" i="2"/>
  <c r="Q5228" i="2"/>
  <c r="Q5260" i="2"/>
  <c r="Q5292" i="2"/>
  <c r="Q5324" i="2"/>
  <c r="Q5356" i="2"/>
  <c r="Q5388" i="2"/>
  <c r="Q5420" i="2"/>
  <c r="Q5452" i="2"/>
  <c r="Q5484" i="2"/>
  <c r="Q5516" i="2"/>
  <c r="Q5548" i="2"/>
  <c r="Q5580" i="2"/>
  <c r="Q5612" i="2"/>
  <c r="Q5644" i="2"/>
  <c r="Q5676" i="2"/>
  <c r="Q5708" i="2"/>
  <c r="Q5740" i="2"/>
  <c r="Q5772" i="2"/>
  <c r="Q5804" i="2"/>
  <c r="Q5836" i="2"/>
  <c r="Q5868" i="2"/>
  <c r="Q5900" i="2"/>
  <c r="Q5932" i="2"/>
  <c r="Q5964" i="2"/>
  <c r="Q5996" i="2"/>
  <c r="Q6028" i="2"/>
  <c r="Q6060" i="2"/>
  <c r="Q6092" i="2"/>
  <c r="Q6124" i="2"/>
  <c r="Q6156" i="2"/>
  <c r="Q6188" i="2"/>
  <c r="Q6220" i="2"/>
  <c r="Q6252" i="2"/>
  <c r="Q6284" i="2"/>
  <c r="Q6316" i="2"/>
  <c r="Q6348" i="2"/>
  <c r="Q6380" i="2"/>
  <c r="Q6412" i="2"/>
  <c r="Q6444" i="2"/>
  <c r="Q6476" i="2"/>
  <c r="Q6508" i="2"/>
  <c r="Q6540" i="2"/>
  <c r="Q6572" i="2"/>
  <c r="Q6604" i="2"/>
  <c r="Q6636" i="2"/>
  <c r="Q6668" i="2"/>
  <c r="Q6700" i="2"/>
  <c r="Q6732" i="2"/>
  <c r="Q6764" i="2"/>
  <c r="Q6796" i="2"/>
  <c r="Q6828" i="2"/>
  <c r="Q6860" i="2"/>
  <c r="Q6892" i="2"/>
  <c r="Q6924" i="2"/>
  <c r="Q6956" i="2"/>
  <c r="Q6988" i="2"/>
  <c r="Q7020" i="2"/>
  <c r="Q7052" i="2"/>
  <c r="Q7084" i="2"/>
  <c r="Q7116" i="2"/>
  <c r="Q7148" i="2"/>
  <c r="Q7180" i="2"/>
  <c r="Q7212" i="2"/>
  <c r="Q7244" i="2"/>
  <c r="P14992" i="2"/>
  <c r="V14992" i="2" s="1"/>
  <c r="Q14992" i="2"/>
  <c r="P14976" i="2"/>
  <c r="V14976" i="2" s="1"/>
  <c r="Q14976" i="2"/>
  <c r="P14948" i="2"/>
  <c r="V14948" i="2" s="1"/>
  <c r="Q14948" i="2"/>
  <c r="P14740" i="2"/>
  <c r="V14740" i="2" s="1"/>
  <c r="Q14740" i="2"/>
  <c r="P14728" i="2"/>
  <c r="V14728" i="2" s="1"/>
  <c r="Q14728" i="2"/>
  <c r="P14712" i="2"/>
  <c r="V14712" i="2" s="1"/>
  <c r="Q14712" i="2"/>
  <c r="P14696" i="2"/>
  <c r="V14696" i="2" s="1"/>
  <c r="Q14696" i="2"/>
  <c r="P14680" i="2"/>
  <c r="V14680" i="2" s="1"/>
  <c r="Q14680" i="2"/>
  <c r="P14664" i="2"/>
  <c r="V14664" i="2" s="1"/>
  <c r="Q14664" i="2"/>
  <c r="P14648" i="2"/>
  <c r="V14648" i="2" s="1"/>
  <c r="Q14648" i="2"/>
  <c r="P14632" i="2"/>
  <c r="V14632" i="2" s="1"/>
  <c r="Q14632" i="2"/>
  <c r="P14616" i="2"/>
  <c r="V14616" i="2" s="1"/>
  <c r="Q14616" i="2"/>
  <c r="P14600" i="2"/>
  <c r="V14600" i="2" s="1"/>
  <c r="Q14600" i="2"/>
  <c r="P14588" i="2"/>
  <c r="V14588" i="2" s="1"/>
  <c r="Q14588" i="2"/>
  <c r="P14568" i="2"/>
  <c r="V14568" i="2" s="1"/>
  <c r="Q14568" i="2"/>
  <c r="P14552" i="2"/>
  <c r="V14552" i="2" s="1"/>
  <c r="Q14552" i="2"/>
  <c r="P14536" i="2"/>
  <c r="V14536" i="2" s="1"/>
  <c r="Q14536" i="2"/>
  <c r="P14520" i="2"/>
  <c r="V14520" i="2" s="1"/>
  <c r="Q14520" i="2"/>
  <c r="P14504" i="2"/>
  <c r="V14504" i="2" s="1"/>
  <c r="Q14504" i="2"/>
  <c r="P14492" i="2"/>
  <c r="V14492" i="2" s="1"/>
  <c r="Q14492" i="2"/>
  <c r="P14472" i="2"/>
  <c r="V14472" i="2" s="1"/>
  <c r="Q14472" i="2"/>
  <c r="P14456" i="2"/>
  <c r="V14456" i="2" s="1"/>
  <c r="Q14456" i="2"/>
  <c r="P14440" i="2"/>
  <c r="V14440" i="2" s="1"/>
  <c r="Q14440" i="2"/>
  <c r="P14424" i="2"/>
  <c r="V14424" i="2" s="1"/>
  <c r="Q14424" i="2"/>
  <c r="P14408" i="2"/>
  <c r="V14408" i="2" s="1"/>
  <c r="Q14408" i="2"/>
  <c r="P14392" i="2"/>
  <c r="V14392" i="2" s="1"/>
  <c r="Q14392" i="2"/>
  <c r="P14376" i="2"/>
  <c r="V14376" i="2" s="1"/>
  <c r="Q14376" i="2"/>
  <c r="P14360" i="2"/>
  <c r="V14360" i="2" s="1"/>
  <c r="Q14360" i="2"/>
  <c r="P14344" i="2"/>
  <c r="V14344" i="2" s="1"/>
  <c r="Q14344" i="2"/>
  <c r="P14328" i="2"/>
  <c r="V14328" i="2" s="1"/>
  <c r="Q14328" i="2"/>
  <c r="P14312" i="2"/>
  <c r="V14312" i="2" s="1"/>
  <c r="Q14312" i="2"/>
  <c r="P14296" i="2"/>
  <c r="V14296" i="2" s="1"/>
  <c r="Q14296" i="2"/>
  <c r="P14284" i="2"/>
  <c r="V14284" i="2" s="1"/>
  <c r="Q14284" i="2"/>
  <c r="P14268" i="2"/>
  <c r="V14268" i="2" s="1"/>
  <c r="Q14268" i="2"/>
  <c r="P14248" i="2"/>
  <c r="V14248" i="2" s="1"/>
  <c r="Q14248" i="2"/>
  <c r="P14232" i="2"/>
  <c r="V14232" i="2" s="1"/>
  <c r="Q14232" i="2"/>
  <c r="P14220" i="2"/>
  <c r="V14220" i="2" s="1"/>
  <c r="Q14220" i="2"/>
  <c r="P14200" i="2"/>
  <c r="V14200" i="2" s="1"/>
  <c r="Q14200" i="2"/>
  <c r="P14188" i="2"/>
  <c r="V14188" i="2" s="1"/>
  <c r="Q14188" i="2"/>
  <c r="P14168" i="2"/>
  <c r="V14168" i="2" s="1"/>
  <c r="Q14168" i="2"/>
  <c r="P14156" i="2"/>
  <c r="V14156" i="2" s="1"/>
  <c r="Q14156" i="2"/>
  <c r="P14136" i="2"/>
  <c r="V14136" i="2" s="1"/>
  <c r="Q14136" i="2"/>
  <c r="P14124" i="2"/>
  <c r="V14124" i="2" s="1"/>
  <c r="Q14124" i="2"/>
  <c r="P14108" i="2"/>
  <c r="V14108" i="2" s="1"/>
  <c r="Q14108" i="2"/>
  <c r="P14088" i="2"/>
  <c r="V14088" i="2" s="1"/>
  <c r="Q14088" i="2"/>
  <c r="P14076" i="2"/>
  <c r="V14076" i="2" s="1"/>
  <c r="Q14076" i="2"/>
  <c r="P14056" i="2"/>
  <c r="V14056" i="2" s="1"/>
  <c r="Q14056" i="2"/>
  <c r="P14040" i="2"/>
  <c r="V14040" i="2" s="1"/>
  <c r="Q14040" i="2"/>
  <c r="P14024" i="2"/>
  <c r="V14024" i="2" s="1"/>
  <c r="Q14024" i="2"/>
  <c r="P14008" i="2"/>
  <c r="V14008" i="2" s="1"/>
  <c r="Q14008" i="2"/>
  <c r="P13992" i="2"/>
  <c r="V13992" i="2" s="1"/>
  <c r="Q13992" i="2"/>
  <c r="P13980" i="2"/>
  <c r="V13980" i="2" s="1"/>
  <c r="Q13980" i="2"/>
  <c r="P13960" i="2"/>
  <c r="V13960" i="2" s="1"/>
  <c r="Q13960" i="2"/>
  <c r="P13944" i="2"/>
  <c r="V13944" i="2" s="1"/>
  <c r="Q13944" i="2"/>
  <c r="P13928" i="2"/>
  <c r="V13928" i="2" s="1"/>
  <c r="Q13928" i="2"/>
  <c r="P13916" i="2"/>
  <c r="V13916" i="2" s="1"/>
  <c r="Q13916" i="2"/>
  <c r="P13900" i="2"/>
  <c r="V13900" i="2" s="1"/>
  <c r="Q13900" i="2"/>
  <c r="P13880" i="2"/>
  <c r="V13880" i="2" s="1"/>
  <c r="Q13880" i="2"/>
  <c r="P13864" i="2"/>
  <c r="V13864" i="2" s="1"/>
  <c r="Q13864" i="2"/>
  <c r="P13852" i="2"/>
  <c r="V13852" i="2" s="1"/>
  <c r="Q13852" i="2"/>
  <c r="P13832" i="2"/>
  <c r="V13832" i="2" s="1"/>
  <c r="Q13832" i="2"/>
  <c r="P13808" i="2"/>
  <c r="V13808" i="2" s="1"/>
  <c r="Q13808" i="2"/>
  <c r="Q44" i="2"/>
  <c r="Q60" i="2"/>
  <c r="Q76" i="2"/>
  <c r="Q92" i="2"/>
  <c r="Q108" i="2"/>
  <c r="Q124" i="2"/>
  <c r="Q140" i="2"/>
  <c r="Q156" i="2"/>
  <c r="Q172" i="2"/>
  <c r="Q188" i="2"/>
  <c r="Q204" i="2"/>
  <c r="Q220" i="2"/>
  <c r="Q236" i="2"/>
  <c r="Q252" i="2"/>
  <c r="Q268" i="2"/>
  <c r="Q284" i="2"/>
  <c r="Q300" i="2"/>
  <c r="Q316" i="2"/>
  <c r="Q332" i="2"/>
  <c r="Q348" i="2"/>
  <c r="Q364" i="2"/>
  <c r="Q380" i="2"/>
  <c r="Q396" i="2"/>
  <c r="Q412" i="2"/>
  <c r="Q428" i="2"/>
  <c r="Q444" i="2"/>
  <c r="Q460" i="2"/>
  <c r="Q476" i="2"/>
  <c r="Q492" i="2"/>
  <c r="Q508" i="2"/>
  <c r="Q524" i="2"/>
  <c r="Q540" i="2"/>
  <c r="Q556" i="2"/>
  <c r="Q572" i="2"/>
  <c r="Q588" i="2"/>
  <c r="Q604" i="2"/>
  <c r="Q620" i="2"/>
  <c r="Q636" i="2"/>
  <c r="Q652" i="2"/>
  <c r="Q668" i="2"/>
  <c r="Q684" i="2"/>
  <c r="Q700" i="2"/>
  <c r="Q716" i="2"/>
  <c r="Q732" i="2"/>
  <c r="Q748" i="2"/>
  <c r="Q764" i="2"/>
  <c r="Q780" i="2"/>
  <c r="Q796" i="2"/>
  <c r="Q812" i="2"/>
  <c r="Q828" i="2"/>
  <c r="Q844" i="2"/>
  <c r="Q860" i="2"/>
  <c r="Q876" i="2"/>
  <c r="Q892" i="2"/>
  <c r="Q908" i="2"/>
  <c r="Q924" i="2"/>
  <c r="Q940" i="2"/>
  <c r="Q956" i="2"/>
  <c r="Q972" i="2"/>
  <c r="Q988" i="2"/>
  <c r="Q1004" i="2"/>
  <c r="Q1020" i="2"/>
  <c r="Q1036" i="2"/>
  <c r="Q1052" i="2"/>
  <c r="Q1068" i="2"/>
  <c r="Q1084" i="2"/>
  <c r="Q1100" i="2"/>
  <c r="Q1116" i="2"/>
  <c r="Q1132" i="2"/>
  <c r="Q1148" i="2"/>
  <c r="Q1164" i="2"/>
  <c r="Q1180" i="2"/>
  <c r="Q1196" i="2"/>
  <c r="Q1212" i="2"/>
  <c r="Q1228" i="2"/>
  <c r="Q1244" i="2"/>
  <c r="Q1260" i="2"/>
  <c r="Q1276" i="2"/>
  <c r="Q1292" i="2"/>
  <c r="Q1308" i="2"/>
  <c r="Q1324" i="2"/>
  <c r="Q1340" i="2"/>
  <c r="Q1356" i="2"/>
  <c r="Q1372" i="2"/>
  <c r="Q1388" i="2"/>
  <c r="Q1404" i="2"/>
  <c r="Q1420" i="2"/>
  <c r="Q1436" i="2"/>
  <c r="Q1452" i="2"/>
  <c r="Q1468" i="2"/>
  <c r="Q1484" i="2"/>
  <c r="Q1500" i="2"/>
  <c r="Q1516" i="2"/>
  <c r="Q1532" i="2"/>
  <c r="Q1548" i="2"/>
  <c r="Q1564" i="2"/>
  <c r="Q1580" i="2"/>
  <c r="Q1596" i="2"/>
  <c r="Q1612" i="2"/>
  <c r="Q1628" i="2"/>
  <c r="Q1644" i="2"/>
  <c r="Q1660" i="2"/>
  <c r="Q1676" i="2"/>
  <c r="Q1692" i="2"/>
  <c r="Q1708" i="2"/>
  <c r="Q1724" i="2"/>
  <c r="Q1740" i="2"/>
  <c r="Q1756" i="2"/>
  <c r="Q1772" i="2"/>
  <c r="Q1788" i="2"/>
  <c r="Q1804" i="2"/>
  <c r="Q1820" i="2"/>
  <c r="Q1836" i="2"/>
  <c r="Q1852" i="2"/>
  <c r="Q1868" i="2"/>
  <c r="Q1884" i="2"/>
  <c r="Q1900" i="2"/>
  <c r="Q1916" i="2"/>
  <c r="Q1932" i="2"/>
  <c r="Q1948" i="2"/>
  <c r="Q1964" i="2"/>
  <c r="Q1980" i="2"/>
  <c r="Q1996" i="2"/>
  <c r="Q2012" i="2"/>
  <c r="Q2028" i="2"/>
  <c r="Q2044" i="2"/>
  <c r="Q2060" i="2"/>
  <c r="Q2076" i="2"/>
  <c r="Q2092" i="2"/>
  <c r="Q2108" i="2"/>
  <c r="Q2124" i="2"/>
  <c r="Q2140" i="2"/>
  <c r="Q2156" i="2"/>
  <c r="Q2172" i="2"/>
  <c r="Q2188" i="2"/>
  <c r="Q2204" i="2"/>
  <c r="Q2220" i="2"/>
  <c r="Q2236" i="2"/>
  <c r="Q2252" i="2"/>
  <c r="Q2268" i="2"/>
  <c r="Q2284" i="2"/>
  <c r="Q2300" i="2"/>
  <c r="Q2316" i="2"/>
  <c r="Q2332" i="2"/>
  <c r="Q2348" i="2"/>
  <c r="Q2364" i="2"/>
  <c r="Q2380" i="2"/>
  <c r="Q2396" i="2"/>
  <c r="Q2412" i="2"/>
  <c r="Q2428" i="2"/>
  <c r="Q2444" i="2"/>
  <c r="Q2460" i="2"/>
  <c r="Q2476" i="2"/>
  <c r="Q2492" i="2"/>
  <c r="Q2508" i="2"/>
  <c r="Q2524" i="2"/>
  <c r="Q2540" i="2"/>
  <c r="Q2556" i="2"/>
  <c r="Q2572" i="2"/>
  <c r="Q2588" i="2"/>
  <c r="Q2604" i="2"/>
  <c r="Q2620" i="2"/>
  <c r="Q2636" i="2"/>
  <c r="Q41" i="2"/>
  <c r="Q57" i="2"/>
  <c r="Q73" i="2"/>
  <c r="Q89" i="2"/>
  <c r="Q105" i="2"/>
  <c r="Q121" i="2"/>
  <c r="Q137" i="2"/>
  <c r="Q153" i="2"/>
  <c r="Q169" i="2"/>
  <c r="Q185" i="2"/>
  <c r="Q201" i="2"/>
  <c r="Q217" i="2"/>
  <c r="Q233" i="2"/>
  <c r="Q249" i="2"/>
  <c r="Q265" i="2"/>
  <c r="Q281" i="2"/>
  <c r="Q297" i="2"/>
  <c r="Q313" i="2"/>
  <c r="Q329" i="2"/>
  <c r="Q345" i="2"/>
  <c r="Q361" i="2"/>
  <c r="Q377" i="2"/>
  <c r="Q393" i="2"/>
  <c r="Q409" i="2"/>
  <c r="Q425" i="2"/>
  <c r="Q441" i="2"/>
  <c r="Q457" i="2"/>
  <c r="Q473" i="2"/>
  <c r="Q489" i="2"/>
  <c r="Q505" i="2"/>
  <c r="Q521" i="2"/>
  <c r="Q537" i="2"/>
  <c r="Q553" i="2"/>
  <c r="Q569" i="2"/>
  <c r="Q585" i="2"/>
  <c r="Q601" i="2"/>
  <c r="Q617" i="2"/>
  <c r="Q633" i="2"/>
  <c r="Q649" i="2"/>
  <c r="Q665" i="2"/>
  <c r="Q681" i="2"/>
  <c r="Q697" i="2"/>
  <c r="Q713" i="2"/>
  <c r="Q729" i="2"/>
  <c r="Q745" i="2"/>
  <c r="Q761" i="2"/>
  <c r="Q777" i="2"/>
  <c r="Q793" i="2"/>
  <c r="Q809" i="2"/>
  <c r="Q825" i="2"/>
  <c r="Q841" i="2"/>
  <c r="Q857" i="2"/>
  <c r="Q873" i="2"/>
  <c r="Q889" i="2"/>
  <c r="Q905" i="2"/>
  <c r="Q921" i="2"/>
  <c r="Q937" i="2"/>
  <c r="Q953" i="2"/>
  <c r="Q969" i="2"/>
  <c r="Q985" i="2"/>
  <c r="Q1001" i="2"/>
  <c r="Q1017" i="2"/>
  <c r="Q1033" i="2"/>
  <c r="Q1049" i="2"/>
  <c r="Q1065" i="2"/>
  <c r="Q1081" i="2"/>
  <c r="Q1097" i="2"/>
  <c r="Q1113" i="2"/>
  <c r="Q1129" i="2"/>
  <c r="Q1145" i="2"/>
  <c r="Q1161" i="2"/>
  <c r="Q1177" i="2"/>
  <c r="Q1193" i="2"/>
  <c r="Q1209" i="2"/>
  <c r="Q1225" i="2"/>
  <c r="Q1241" i="2"/>
  <c r="Q1257" i="2"/>
  <c r="Q1273" i="2"/>
  <c r="Q1289" i="2"/>
  <c r="Q1305" i="2"/>
  <c r="Q1321" i="2"/>
  <c r="Q1337" i="2"/>
  <c r="Q1353" i="2"/>
  <c r="Q1369" i="2"/>
  <c r="Q1385" i="2"/>
  <c r="Q1401" i="2"/>
  <c r="Q1417" i="2"/>
  <c r="Q1433" i="2"/>
  <c r="Q1449" i="2"/>
  <c r="Q1465" i="2"/>
  <c r="Q1481" i="2"/>
  <c r="Q1497" i="2"/>
  <c r="Q1513" i="2"/>
  <c r="Q1529" i="2"/>
  <c r="Q1545" i="2"/>
  <c r="Q1561" i="2"/>
  <c r="Q1577" i="2"/>
  <c r="Q1593" i="2"/>
  <c r="Q1609" i="2"/>
  <c r="Q1625" i="2"/>
  <c r="Q1641" i="2"/>
  <c r="Q1657" i="2"/>
  <c r="Q1673" i="2"/>
  <c r="Q1689" i="2"/>
  <c r="Q1705" i="2"/>
  <c r="Q1721" i="2"/>
  <c r="Q1737" i="2"/>
  <c r="Q1753" i="2"/>
  <c r="Q1769" i="2"/>
  <c r="Q1785" i="2"/>
  <c r="Q1801" i="2"/>
  <c r="Q1817" i="2"/>
  <c r="Q1833" i="2"/>
  <c r="Q1849" i="2"/>
  <c r="Q1865" i="2"/>
  <c r="Q1881" i="2"/>
  <c r="Q1897" i="2"/>
  <c r="Q1913" i="2"/>
  <c r="Q1929" i="2"/>
  <c r="Q1945" i="2"/>
  <c r="Q1961" i="2"/>
  <c r="Q1977" i="2"/>
  <c r="Q1993" i="2"/>
  <c r="Q2009" i="2"/>
  <c r="Q2025" i="2"/>
  <c r="Q2041" i="2"/>
  <c r="Q2057" i="2"/>
  <c r="Q2073" i="2"/>
  <c r="Q2089" i="2"/>
  <c r="Q2105" i="2"/>
  <c r="Q2121" i="2"/>
  <c r="Q2137" i="2"/>
  <c r="Q2153" i="2"/>
  <c r="Q2169" i="2"/>
  <c r="Q2185" i="2"/>
  <c r="Q2201" i="2"/>
  <c r="Q2217" i="2"/>
  <c r="Q2233" i="2"/>
  <c r="Q2249" i="2"/>
  <c r="Q2265" i="2"/>
  <c r="Q2281" i="2"/>
  <c r="Q2297" i="2"/>
  <c r="Q2313" i="2"/>
  <c r="Q2329" i="2"/>
  <c r="Q2345" i="2"/>
  <c r="Q2361" i="2"/>
  <c r="Q2377" i="2"/>
  <c r="Q2393" i="2"/>
  <c r="Q2409" i="2"/>
  <c r="Q2425" i="2"/>
  <c r="Q2441" i="2"/>
  <c r="Q2457" i="2"/>
  <c r="Q2473" i="2"/>
  <c r="Q2489" i="2"/>
  <c r="Q2505" i="2"/>
  <c r="Q2521" i="2"/>
  <c r="Q2537" i="2"/>
  <c r="Q2553" i="2"/>
  <c r="Q2569" i="2"/>
  <c r="Q2585" i="2"/>
  <c r="Q2601" i="2"/>
  <c r="Q2617" i="2"/>
  <c r="Q2633" i="2"/>
  <c r="Q2649" i="2"/>
  <c r="Q2665" i="2"/>
  <c r="Q2681" i="2"/>
  <c r="Q2697" i="2"/>
  <c r="Q2713" i="2"/>
  <c r="Q2729" i="2"/>
  <c r="Q2676" i="2"/>
  <c r="Q2708" i="2"/>
  <c r="Q2740" i="2"/>
  <c r="Q2772" i="2"/>
  <c r="Q2804" i="2"/>
  <c r="Q2836" i="2"/>
  <c r="Q2868" i="2"/>
  <c r="Q2900" i="2"/>
  <c r="Q2932" i="2"/>
  <c r="Q2964" i="2"/>
  <c r="Q2996" i="2"/>
  <c r="Q3028" i="2"/>
  <c r="Q3060" i="2"/>
  <c r="Q3092" i="2"/>
  <c r="Q3124" i="2"/>
  <c r="Q3156" i="2"/>
  <c r="Q3188" i="2"/>
  <c r="Q3220" i="2"/>
  <c r="Q3252" i="2"/>
  <c r="Q3284" i="2"/>
  <c r="Q3316" i="2"/>
  <c r="Q3348" i="2"/>
  <c r="Q3380" i="2"/>
  <c r="Q3412" i="2"/>
  <c r="Q3444" i="2"/>
  <c r="Q3476" i="2"/>
  <c r="Q3508" i="2"/>
  <c r="Q3540" i="2"/>
  <c r="Q3572" i="2"/>
  <c r="Q3604" i="2"/>
  <c r="Q3636" i="2"/>
  <c r="Q3668" i="2"/>
  <c r="Q3700" i="2"/>
  <c r="Q3732" i="2"/>
  <c r="Q3764" i="2"/>
  <c r="Q3796" i="2"/>
  <c r="Q3828" i="2"/>
  <c r="Q3860" i="2"/>
  <c r="Q3892" i="2"/>
  <c r="Q3924" i="2"/>
  <c r="Q3956" i="2"/>
  <c r="Q3988" i="2"/>
  <c r="Q4020" i="2"/>
  <c r="Q4052" i="2"/>
  <c r="Q4084" i="2"/>
  <c r="Q4116" i="2"/>
  <c r="Q4148" i="2"/>
  <c r="Q4180" i="2"/>
  <c r="Q4212" i="2"/>
  <c r="Q4244" i="2"/>
  <c r="Q4276" i="2"/>
  <c r="Q4308" i="2"/>
  <c r="Q4340" i="2"/>
  <c r="Q4372" i="2"/>
  <c r="Q4404" i="2"/>
  <c r="Q4436" i="2"/>
  <c r="Q4468" i="2"/>
  <c r="Q4500" i="2"/>
  <c r="Q4532" i="2"/>
  <c r="Q4564" i="2"/>
  <c r="Q4596" i="2"/>
  <c r="Q4628" i="2"/>
  <c r="Q4660" i="2"/>
  <c r="Q4692" i="2"/>
  <c r="Q4724" i="2"/>
  <c r="Q4756" i="2"/>
  <c r="Q4788" i="2"/>
  <c r="Q4820" i="2"/>
  <c r="Q4852" i="2"/>
  <c r="Q4884" i="2"/>
  <c r="Q4916" i="2"/>
  <c r="Q4948" i="2"/>
  <c r="Q4980" i="2"/>
  <c r="Q5012" i="2"/>
  <c r="Q5044" i="2"/>
  <c r="Q5076" i="2"/>
  <c r="Q5108" i="2"/>
  <c r="Q5140" i="2"/>
  <c r="Q5172" i="2"/>
  <c r="Q5204" i="2"/>
  <c r="Q5236" i="2"/>
  <c r="Q5268" i="2"/>
  <c r="Q5300" i="2"/>
  <c r="Q5332" i="2"/>
  <c r="Q5364" i="2"/>
  <c r="Q5396" i="2"/>
  <c r="Q5428" i="2"/>
  <c r="Q5460" i="2"/>
  <c r="Q5492" i="2"/>
  <c r="Q5524" i="2"/>
  <c r="Q5556" i="2"/>
  <c r="Q5588" i="2"/>
  <c r="Q5620" i="2"/>
  <c r="Q5652" i="2"/>
  <c r="Q5684" i="2"/>
  <c r="Q5716" i="2"/>
  <c r="Q5748" i="2"/>
  <c r="Q5780" i="2"/>
  <c r="Q5812" i="2"/>
  <c r="Q5844" i="2"/>
  <c r="Q5876" i="2"/>
  <c r="Q5908" i="2"/>
  <c r="Q5940" i="2"/>
  <c r="Q5972" i="2"/>
  <c r="Q6004" i="2"/>
  <c r="Q6036" i="2"/>
  <c r="Q6068" i="2"/>
  <c r="Q6100" i="2"/>
  <c r="Q6132" i="2"/>
  <c r="Q6164" i="2"/>
  <c r="Q6196" i="2"/>
  <c r="Q6228" i="2"/>
  <c r="Q6260" i="2"/>
  <c r="Q6292" i="2"/>
  <c r="Q6324" i="2"/>
  <c r="Q6356" i="2"/>
  <c r="Q6388" i="2"/>
  <c r="Q6420" i="2"/>
  <c r="Q6452" i="2"/>
  <c r="Q6484" i="2"/>
  <c r="Q6516" i="2"/>
  <c r="Q6548" i="2"/>
  <c r="Q6580" i="2"/>
  <c r="Q6612" i="2"/>
  <c r="Q6644" i="2"/>
  <c r="Q6676" i="2"/>
  <c r="Q6708" i="2"/>
  <c r="Q6740" i="2"/>
  <c r="Q6772" i="2"/>
  <c r="Q6804" i="2"/>
  <c r="Q6836" i="2"/>
  <c r="Q6868" i="2"/>
  <c r="Q6900" i="2"/>
  <c r="Q6932" i="2"/>
  <c r="Q6964" i="2"/>
  <c r="Q6996" i="2"/>
  <c r="Q7028" i="2"/>
  <c r="Q7060" i="2"/>
  <c r="Q7092" i="2"/>
  <c r="Q7124" i="2"/>
  <c r="Q7156" i="2"/>
  <c r="Q7188" i="2"/>
  <c r="Q7220" i="2"/>
  <c r="Q7252" i="2"/>
  <c r="P14998" i="2"/>
  <c r="V14998" i="2" s="1"/>
  <c r="P14994" i="2"/>
  <c r="V14994" i="2" s="1"/>
  <c r="P14990" i="2"/>
  <c r="V14990" i="2" s="1"/>
  <c r="P14986" i="2"/>
  <c r="V14986" i="2" s="1"/>
  <c r="P14982" i="2"/>
  <c r="V14982" i="2" s="1"/>
  <c r="P14978" i="2"/>
  <c r="V14978" i="2" s="1"/>
  <c r="P14974" i="2"/>
  <c r="V14974" i="2" s="1"/>
  <c r="P14970" i="2"/>
  <c r="V14970" i="2" s="1"/>
  <c r="P14966" i="2"/>
  <c r="V14966" i="2" s="1"/>
  <c r="P14962" i="2"/>
  <c r="V14962" i="2" s="1"/>
  <c r="P14958" i="2"/>
  <c r="V14958" i="2" s="1"/>
  <c r="P14954" i="2"/>
  <c r="V14954" i="2" s="1"/>
  <c r="P14950" i="2"/>
  <c r="V14950" i="2" s="1"/>
  <c r="P14946" i="2"/>
  <c r="V14946" i="2" s="1"/>
  <c r="P14942" i="2"/>
  <c r="V14942" i="2" s="1"/>
  <c r="P14938" i="2"/>
  <c r="V14938" i="2" s="1"/>
  <c r="P14934" i="2"/>
  <c r="V14934" i="2" s="1"/>
  <c r="P14930" i="2"/>
  <c r="V14930" i="2" s="1"/>
  <c r="P14926" i="2"/>
  <c r="V14926" i="2" s="1"/>
  <c r="P14922" i="2"/>
  <c r="V14922" i="2" s="1"/>
  <c r="P14918" i="2"/>
  <c r="V14918" i="2" s="1"/>
  <c r="P14914" i="2"/>
  <c r="V14914" i="2" s="1"/>
  <c r="P14910" i="2"/>
  <c r="V14910" i="2" s="1"/>
  <c r="P14906" i="2"/>
  <c r="V14906" i="2" s="1"/>
  <c r="P14902" i="2"/>
  <c r="V14902" i="2" s="1"/>
  <c r="P14898" i="2"/>
  <c r="V14898" i="2" s="1"/>
  <c r="P14894" i="2"/>
  <c r="V14894" i="2" s="1"/>
  <c r="P14890" i="2"/>
  <c r="V14890" i="2" s="1"/>
  <c r="P14886" i="2"/>
  <c r="V14886" i="2" s="1"/>
  <c r="P14882" i="2"/>
  <c r="V14882" i="2" s="1"/>
  <c r="P14878" i="2"/>
  <c r="V14878" i="2" s="1"/>
  <c r="P14874" i="2"/>
  <c r="V14874" i="2" s="1"/>
  <c r="P14870" i="2"/>
  <c r="V14870" i="2" s="1"/>
  <c r="P14866" i="2"/>
  <c r="V14866" i="2" s="1"/>
  <c r="P14862" i="2"/>
  <c r="V14862" i="2" s="1"/>
  <c r="P14858" i="2"/>
  <c r="V14858" i="2" s="1"/>
  <c r="P14854" i="2"/>
  <c r="V14854" i="2" s="1"/>
  <c r="P14850" i="2"/>
  <c r="V14850" i="2" s="1"/>
  <c r="P14846" i="2"/>
  <c r="V14846" i="2" s="1"/>
  <c r="P14842" i="2"/>
  <c r="V14842" i="2" s="1"/>
  <c r="P14838" i="2"/>
  <c r="V14838" i="2" s="1"/>
  <c r="P14834" i="2"/>
  <c r="V14834" i="2" s="1"/>
  <c r="P14830" i="2"/>
  <c r="V14830" i="2" s="1"/>
  <c r="P14826" i="2"/>
  <c r="V14826" i="2" s="1"/>
  <c r="P14822" i="2"/>
  <c r="V14822" i="2" s="1"/>
  <c r="P14818" i="2"/>
  <c r="V14818" i="2" s="1"/>
  <c r="P14814" i="2"/>
  <c r="V14814" i="2" s="1"/>
  <c r="P14810" i="2"/>
  <c r="V14810" i="2" s="1"/>
  <c r="P14806" i="2"/>
  <c r="V14806" i="2" s="1"/>
  <c r="P14802" i="2"/>
  <c r="V14802" i="2" s="1"/>
  <c r="P14798" i="2"/>
  <c r="V14798" i="2" s="1"/>
  <c r="P14794" i="2"/>
  <c r="V14794" i="2" s="1"/>
  <c r="P14790" i="2"/>
  <c r="V14790" i="2" s="1"/>
  <c r="P14786" i="2"/>
  <c r="V14786" i="2" s="1"/>
  <c r="P14782" i="2"/>
  <c r="V14782" i="2" s="1"/>
  <c r="P14778" i="2"/>
  <c r="V14778" i="2" s="1"/>
  <c r="P14774" i="2"/>
  <c r="V14774" i="2" s="1"/>
  <c r="P14770" i="2"/>
  <c r="V14770" i="2" s="1"/>
  <c r="P14766" i="2"/>
  <c r="V14766" i="2" s="1"/>
  <c r="P14762" i="2"/>
  <c r="V14762" i="2" s="1"/>
  <c r="P14758" i="2"/>
  <c r="V14758" i="2" s="1"/>
  <c r="P14754" i="2"/>
  <c r="V14754" i="2" s="1"/>
  <c r="P14750" i="2"/>
  <c r="V14750" i="2" s="1"/>
  <c r="P14746" i="2"/>
  <c r="V14746" i="2" s="1"/>
  <c r="P14742" i="2"/>
  <c r="V14742" i="2" s="1"/>
  <c r="P14738" i="2"/>
  <c r="V14738" i="2" s="1"/>
  <c r="P14734" i="2"/>
  <c r="V14734" i="2" s="1"/>
  <c r="P14730" i="2"/>
  <c r="V14730" i="2" s="1"/>
  <c r="P14726" i="2"/>
  <c r="V14726" i="2" s="1"/>
  <c r="P14722" i="2"/>
  <c r="V14722" i="2" s="1"/>
  <c r="P14718" i="2"/>
  <c r="V14718" i="2" s="1"/>
  <c r="P14714" i="2"/>
  <c r="V14714" i="2" s="1"/>
  <c r="P14710" i="2"/>
  <c r="V14710" i="2" s="1"/>
  <c r="P14706" i="2"/>
  <c r="V14706" i="2" s="1"/>
  <c r="P14702" i="2"/>
  <c r="V14702" i="2" s="1"/>
  <c r="P14698" i="2"/>
  <c r="V14698" i="2" s="1"/>
  <c r="P14694" i="2"/>
  <c r="V14694" i="2" s="1"/>
  <c r="P14690" i="2"/>
  <c r="V14690" i="2" s="1"/>
  <c r="P14686" i="2"/>
  <c r="V14686" i="2" s="1"/>
  <c r="P14682" i="2"/>
  <c r="V14682" i="2" s="1"/>
  <c r="P14678" i="2"/>
  <c r="V14678" i="2" s="1"/>
  <c r="P14674" i="2"/>
  <c r="V14674" i="2" s="1"/>
  <c r="P14670" i="2"/>
  <c r="V14670" i="2" s="1"/>
  <c r="P14666" i="2"/>
  <c r="V14666" i="2" s="1"/>
  <c r="P14662" i="2"/>
  <c r="V14662" i="2" s="1"/>
  <c r="P14658" i="2"/>
  <c r="V14658" i="2" s="1"/>
  <c r="P14654" i="2"/>
  <c r="V14654" i="2" s="1"/>
  <c r="P14650" i="2"/>
  <c r="V14650" i="2" s="1"/>
  <c r="P14646" i="2"/>
  <c r="V14646" i="2" s="1"/>
  <c r="P14642" i="2"/>
  <c r="V14642" i="2" s="1"/>
  <c r="P14638" i="2"/>
  <c r="V14638" i="2" s="1"/>
  <c r="P14634" i="2"/>
  <c r="V14634" i="2" s="1"/>
  <c r="P14630" i="2"/>
  <c r="V14630" i="2" s="1"/>
  <c r="P14626" i="2"/>
  <c r="V14626" i="2" s="1"/>
  <c r="P14622" i="2"/>
  <c r="V14622" i="2" s="1"/>
  <c r="P14618" i="2"/>
  <c r="V14618" i="2" s="1"/>
  <c r="P14614" i="2"/>
  <c r="V14614" i="2" s="1"/>
  <c r="P14610" i="2"/>
  <c r="V14610" i="2" s="1"/>
  <c r="P14606" i="2"/>
  <c r="V14606" i="2" s="1"/>
  <c r="P14602" i="2"/>
  <c r="V14602" i="2" s="1"/>
  <c r="P14598" i="2"/>
  <c r="V14598" i="2" s="1"/>
  <c r="P14594" i="2"/>
  <c r="V14594" i="2" s="1"/>
  <c r="P14590" i="2"/>
  <c r="V14590" i="2" s="1"/>
  <c r="P14586" i="2"/>
  <c r="V14586" i="2" s="1"/>
  <c r="P14582" i="2"/>
  <c r="V14582" i="2" s="1"/>
  <c r="P14578" i="2"/>
  <c r="V14578" i="2" s="1"/>
  <c r="P14574" i="2"/>
  <c r="V14574" i="2" s="1"/>
  <c r="P14570" i="2"/>
  <c r="V14570" i="2" s="1"/>
  <c r="P14566" i="2"/>
  <c r="V14566" i="2" s="1"/>
  <c r="P14562" i="2"/>
  <c r="V14562" i="2" s="1"/>
  <c r="P14558" i="2"/>
  <c r="V14558" i="2" s="1"/>
  <c r="P14554" i="2"/>
  <c r="V14554" i="2" s="1"/>
  <c r="P14550" i="2"/>
  <c r="V14550" i="2" s="1"/>
  <c r="P14546" i="2"/>
  <c r="V14546" i="2" s="1"/>
  <c r="P14542" i="2"/>
  <c r="V14542" i="2" s="1"/>
  <c r="P14538" i="2"/>
  <c r="V14538" i="2" s="1"/>
  <c r="P14534" i="2"/>
  <c r="V14534" i="2" s="1"/>
  <c r="P14530" i="2"/>
  <c r="V14530" i="2" s="1"/>
  <c r="P14526" i="2"/>
  <c r="V14526" i="2" s="1"/>
  <c r="P14522" i="2"/>
  <c r="V14522" i="2" s="1"/>
  <c r="P14518" i="2"/>
  <c r="V14518" i="2" s="1"/>
  <c r="P14514" i="2"/>
  <c r="V14514" i="2" s="1"/>
  <c r="P14510" i="2"/>
  <c r="V14510" i="2" s="1"/>
  <c r="P14506" i="2"/>
  <c r="V14506" i="2" s="1"/>
  <c r="P14502" i="2"/>
  <c r="V14502" i="2" s="1"/>
  <c r="P14498" i="2"/>
  <c r="V14498" i="2" s="1"/>
  <c r="P14494" i="2"/>
  <c r="V14494" i="2" s="1"/>
  <c r="P14490" i="2"/>
  <c r="V14490" i="2" s="1"/>
  <c r="P14486" i="2"/>
  <c r="V14486" i="2" s="1"/>
  <c r="P14482" i="2"/>
  <c r="V14482" i="2" s="1"/>
  <c r="P14478" i="2"/>
  <c r="V14478" i="2" s="1"/>
  <c r="P14474" i="2"/>
  <c r="V14474" i="2" s="1"/>
  <c r="P14470" i="2"/>
  <c r="V14470" i="2" s="1"/>
  <c r="P14466" i="2"/>
  <c r="V14466" i="2" s="1"/>
  <c r="P14462" i="2"/>
  <c r="V14462" i="2" s="1"/>
  <c r="P14458" i="2"/>
  <c r="V14458" i="2" s="1"/>
  <c r="P14454" i="2"/>
  <c r="V14454" i="2" s="1"/>
  <c r="P14450" i="2"/>
  <c r="V14450" i="2" s="1"/>
  <c r="P14446" i="2"/>
  <c r="V14446" i="2" s="1"/>
  <c r="P14442" i="2"/>
  <c r="V14442" i="2" s="1"/>
  <c r="P14438" i="2"/>
  <c r="V14438" i="2" s="1"/>
  <c r="P14434" i="2"/>
  <c r="V14434" i="2" s="1"/>
  <c r="P14430" i="2"/>
  <c r="V14430" i="2" s="1"/>
  <c r="P14426" i="2"/>
  <c r="V14426" i="2" s="1"/>
  <c r="P14422" i="2"/>
  <c r="V14422" i="2" s="1"/>
  <c r="P14418" i="2"/>
  <c r="V14418" i="2" s="1"/>
  <c r="P14414" i="2"/>
  <c r="V14414" i="2" s="1"/>
  <c r="P14410" i="2"/>
  <c r="V14410" i="2" s="1"/>
  <c r="P14406" i="2"/>
  <c r="V14406" i="2" s="1"/>
  <c r="P14402" i="2"/>
  <c r="V14402" i="2" s="1"/>
  <c r="P14398" i="2"/>
  <c r="V14398" i="2" s="1"/>
  <c r="P14394" i="2"/>
  <c r="V14394" i="2" s="1"/>
  <c r="P14390" i="2"/>
  <c r="V14390" i="2" s="1"/>
  <c r="P14386" i="2"/>
  <c r="V14386" i="2" s="1"/>
  <c r="P14382" i="2"/>
  <c r="V14382" i="2" s="1"/>
  <c r="P14378" i="2"/>
  <c r="V14378" i="2" s="1"/>
  <c r="P14374" i="2"/>
  <c r="V14374" i="2" s="1"/>
  <c r="P14370" i="2"/>
  <c r="V14370" i="2" s="1"/>
  <c r="P14366" i="2"/>
  <c r="V14366" i="2" s="1"/>
  <c r="P14362" i="2"/>
  <c r="V14362" i="2" s="1"/>
  <c r="P14358" i="2"/>
  <c r="V14358" i="2" s="1"/>
  <c r="P14354" i="2"/>
  <c r="V14354" i="2" s="1"/>
  <c r="P14350" i="2"/>
  <c r="V14350" i="2" s="1"/>
  <c r="P14346" i="2"/>
  <c r="V14346" i="2" s="1"/>
  <c r="P14342" i="2"/>
  <c r="V14342" i="2" s="1"/>
  <c r="P14338" i="2"/>
  <c r="V14338" i="2" s="1"/>
  <c r="P14334" i="2"/>
  <c r="V14334" i="2" s="1"/>
  <c r="P14330" i="2"/>
  <c r="V14330" i="2" s="1"/>
  <c r="P14326" i="2"/>
  <c r="V14326" i="2" s="1"/>
  <c r="P14322" i="2"/>
  <c r="V14322" i="2" s="1"/>
  <c r="P14318" i="2"/>
  <c r="V14318" i="2" s="1"/>
  <c r="P14314" i="2"/>
  <c r="V14314" i="2" s="1"/>
  <c r="P14310" i="2"/>
  <c r="V14310" i="2" s="1"/>
  <c r="P14306" i="2"/>
  <c r="V14306" i="2" s="1"/>
  <c r="P14302" i="2"/>
  <c r="V14302" i="2" s="1"/>
  <c r="P14298" i="2"/>
  <c r="V14298" i="2" s="1"/>
  <c r="P14294" i="2"/>
  <c r="V14294" i="2" s="1"/>
  <c r="P14290" i="2"/>
  <c r="V14290" i="2" s="1"/>
  <c r="P14286" i="2"/>
  <c r="V14286" i="2" s="1"/>
  <c r="P14282" i="2"/>
  <c r="V14282" i="2" s="1"/>
  <c r="P14278" i="2"/>
  <c r="V14278" i="2" s="1"/>
  <c r="P14274" i="2"/>
  <c r="V14274" i="2" s="1"/>
  <c r="P14270" i="2"/>
  <c r="V14270" i="2" s="1"/>
  <c r="P14266" i="2"/>
  <c r="V14266" i="2" s="1"/>
  <c r="P14262" i="2"/>
  <c r="V14262" i="2" s="1"/>
  <c r="P14258" i="2"/>
  <c r="V14258" i="2" s="1"/>
  <c r="P14254" i="2"/>
  <c r="V14254" i="2" s="1"/>
  <c r="P14250" i="2"/>
  <c r="V14250" i="2" s="1"/>
  <c r="P14246" i="2"/>
  <c r="V14246" i="2" s="1"/>
  <c r="P14242" i="2"/>
  <c r="V14242" i="2" s="1"/>
  <c r="P14238" i="2"/>
  <c r="V14238" i="2" s="1"/>
  <c r="P14234" i="2"/>
  <c r="V14234" i="2" s="1"/>
  <c r="P14230" i="2"/>
  <c r="V14230" i="2" s="1"/>
  <c r="P14226" i="2"/>
  <c r="V14226" i="2" s="1"/>
  <c r="P14222" i="2"/>
  <c r="V14222" i="2" s="1"/>
  <c r="P14218" i="2"/>
  <c r="V14218" i="2" s="1"/>
  <c r="P14214" i="2"/>
  <c r="V14214" i="2" s="1"/>
  <c r="P14210" i="2"/>
  <c r="V14210" i="2" s="1"/>
  <c r="P14206" i="2"/>
  <c r="V14206" i="2" s="1"/>
  <c r="P14202" i="2"/>
  <c r="V14202" i="2" s="1"/>
  <c r="P14198" i="2"/>
  <c r="V14198" i="2" s="1"/>
  <c r="P14194" i="2"/>
  <c r="V14194" i="2" s="1"/>
  <c r="P14190" i="2"/>
  <c r="V14190" i="2" s="1"/>
  <c r="P14186" i="2"/>
  <c r="V14186" i="2" s="1"/>
  <c r="P14182" i="2"/>
  <c r="V14182" i="2" s="1"/>
  <c r="P14178" i="2"/>
  <c r="V14178" i="2" s="1"/>
  <c r="P14174" i="2"/>
  <c r="V14174" i="2" s="1"/>
  <c r="P14170" i="2"/>
  <c r="V14170" i="2" s="1"/>
  <c r="P14166" i="2"/>
  <c r="V14166" i="2" s="1"/>
  <c r="P14162" i="2"/>
  <c r="V14162" i="2" s="1"/>
  <c r="P14158" i="2"/>
  <c r="V14158" i="2" s="1"/>
  <c r="P14154" i="2"/>
  <c r="V14154" i="2" s="1"/>
  <c r="P14150" i="2"/>
  <c r="V14150" i="2" s="1"/>
  <c r="P14146" i="2"/>
  <c r="V14146" i="2" s="1"/>
  <c r="P14142" i="2"/>
  <c r="V14142" i="2" s="1"/>
  <c r="P14138" i="2"/>
  <c r="V14138" i="2" s="1"/>
  <c r="P14134" i="2"/>
  <c r="V14134" i="2" s="1"/>
  <c r="P14130" i="2"/>
  <c r="V14130" i="2" s="1"/>
  <c r="P14126" i="2"/>
  <c r="V14126" i="2" s="1"/>
  <c r="P14122" i="2"/>
  <c r="V14122" i="2" s="1"/>
  <c r="P14118" i="2"/>
  <c r="V14118" i="2" s="1"/>
  <c r="P14114" i="2"/>
  <c r="V14114" i="2" s="1"/>
  <c r="P14110" i="2"/>
  <c r="V14110" i="2" s="1"/>
  <c r="P14106" i="2"/>
  <c r="V14106" i="2" s="1"/>
  <c r="P14102" i="2"/>
  <c r="V14102" i="2" s="1"/>
  <c r="P14098" i="2"/>
  <c r="V14098" i="2" s="1"/>
  <c r="P14094" i="2"/>
  <c r="V14094" i="2" s="1"/>
  <c r="P14090" i="2"/>
  <c r="V14090" i="2" s="1"/>
  <c r="P14086" i="2"/>
  <c r="V14086" i="2" s="1"/>
  <c r="P14082" i="2"/>
  <c r="V14082" i="2" s="1"/>
  <c r="P14078" i="2"/>
  <c r="V14078" i="2" s="1"/>
  <c r="P14074" i="2"/>
  <c r="V14074" i="2" s="1"/>
  <c r="P14070" i="2"/>
  <c r="V14070" i="2" s="1"/>
  <c r="P14066" i="2"/>
  <c r="V14066" i="2" s="1"/>
  <c r="P14062" i="2"/>
  <c r="V14062" i="2" s="1"/>
  <c r="P14058" i="2"/>
  <c r="V14058" i="2" s="1"/>
  <c r="P14054" i="2"/>
  <c r="V14054" i="2" s="1"/>
  <c r="P14050" i="2"/>
  <c r="V14050" i="2" s="1"/>
  <c r="P14046" i="2"/>
  <c r="V14046" i="2" s="1"/>
  <c r="P14042" i="2"/>
  <c r="V14042" i="2" s="1"/>
  <c r="P14038" i="2"/>
  <c r="V14038" i="2" s="1"/>
  <c r="P14034" i="2"/>
  <c r="V14034" i="2" s="1"/>
  <c r="P14030" i="2"/>
  <c r="V14030" i="2" s="1"/>
  <c r="P14026" i="2"/>
  <c r="V14026" i="2" s="1"/>
  <c r="P14022" i="2"/>
  <c r="V14022" i="2" s="1"/>
  <c r="P14018" i="2"/>
  <c r="V14018" i="2" s="1"/>
  <c r="P14014" i="2"/>
  <c r="V14014" i="2" s="1"/>
  <c r="P14010" i="2"/>
  <c r="V14010" i="2" s="1"/>
  <c r="P14006" i="2"/>
  <c r="V14006" i="2" s="1"/>
  <c r="P14002" i="2"/>
  <c r="V14002" i="2" s="1"/>
  <c r="P13998" i="2"/>
  <c r="V13998" i="2" s="1"/>
  <c r="P13994" i="2"/>
  <c r="V13994" i="2" s="1"/>
  <c r="P13990" i="2"/>
  <c r="V13990" i="2" s="1"/>
  <c r="P13986" i="2"/>
  <c r="V13986" i="2" s="1"/>
  <c r="P13982" i="2"/>
  <c r="V13982" i="2" s="1"/>
  <c r="P13978" i="2"/>
  <c r="V13978" i="2" s="1"/>
  <c r="P13974" i="2"/>
  <c r="V13974" i="2" s="1"/>
  <c r="P13970" i="2"/>
  <c r="V13970" i="2" s="1"/>
  <c r="P13966" i="2"/>
  <c r="V13966" i="2" s="1"/>
  <c r="P13962" i="2"/>
  <c r="V13962" i="2" s="1"/>
  <c r="P13958" i="2"/>
  <c r="V13958" i="2" s="1"/>
  <c r="P13954" i="2"/>
  <c r="V13954" i="2" s="1"/>
  <c r="P13950" i="2"/>
  <c r="V13950" i="2" s="1"/>
  <c r="P13946" i="2"/>
  <c r="V13946" i="2" s="1"/>
  <c r="P13942" i="2"/>
  <c r="V13942" i="2" s="1"/>
  <c r="P13938" i="2"/>
  <c r="V13938" i="2" s="1"/>
  <c r="P13934" i="2"/>
  <c r="V13934" i="2" s="1"/>
  <c r="P13930" i="2"/>
  <c r="V13930" i="2" s="1"/>
  <c r="P13926" i="2"/>
  <c r="V13926" i="2" s="1"/>
  <c r="P13922" i="2"/>
  <c r="V13922" i="2" s="1"/>
  <c r="P13918" i="2"/>
  <c r="V13918" i="2" s="1"/>
  <c r="P13914" i="2"/>
  <c r="V13914" i="2" s="1"/>
  <c r="P13910" i="2"/>
  <c r="V13910" i="2" s="1"/>
  <c r="P13906" i="2"/>
  <c r="V13906" i="2" s="1"/>
  <c r="P13902" i="2"/>
  <c r="V13902" i="2" s="1"/>
  <c r="P13898" i="2"/>
  <c r="V13898" i="2" s="1"/>
  <c r="P13894" i="2"/>
  <c r="V13894" i="2" s="1"/>
  <c r="P13890" i="2"/>
  <c r="V13890" i="2" s="1"/>
  <c r="P13886" i="2"/>
  <c r="V13886" i="2" s="1"/>
  <c r="P13882" i="2"/>
  <c r="V13882" i="2" s="1"/>
  <c r="P13878" i="2"/>
  <c r="V13878" i="2" s="1"/>
  <c r="P13874" i="2"/>
  <c r="V13874" i="2" s="1"/>
  <c r="P13870" i="2"/>
  <c r="V13870" i="2" s="1"/>
  <c r="P13866" i="2"/>
  <c r="V13866" i="2" s="1"/>
  <c r="P13862" i="2"/>
  <c r="V13862" i="2" s="1"/>
  <c r="P13858" i="2"/>
  <c r="V13858" i="2" s="1"/>
  <c r="P13854" i="2"/>
  <c r="V13854" i="2" s="1"/>
  <c r="P13850" i="2"/>
  <c r="V13850" i="2" s="1"/>
  <c r="P13846" i="2"/>
  <c r="V13846" i="2" s="1"/>
  <c r="P13842" i="2"/>
  <c r="V13842" i="2" s="1"/>
  <c r="P13838" i="2"/>
  <c r="V13838" i="2" s="1"/>
  <c r="P13834" i="2"/>
  <c r="V13834" i="2" s="1"/>
  <c r="P13830" i="2"/>
  <c r="V13830" i="2" s="1"/>
  <c r="P13826" i="2"/>
  <c r="V13826" i="2" s="1"/>
  <c r="P13822" i="2"/>
  <c r="V13822" i="2" s="1"/>
  <c r="P13818" i="2"/>
  <c r="V13818" i="2" s="1"/>
  <c r="P13814" i="2"/>
  <c r="V13814" i="2" s="1"/>
  <c r="P13810" i="2"/>
  <c r="V13810" i="2" s="1"/>
  <c r="P13806" i="2"/>
  <c r="V13806" i="2" s="1"/>
  <c r="P13802" i="2"/>
  <c r="V13802" i="2" s="1"/>
  <c r="P13798" i="2"/>
  <c r="V13798" i="2" s="1"/>
  <c r="P13794" i="2"/>
  <c r="V13794" i="2" s="1"/>
  <c r="P13790" i="2"/>
  <c r="V13790" i="2" s="1"/>
  <c r="P13786" i="2"/>
  <c r="V13786" i="2" s="1"/>
  <c r="P13782" i="2"/>
  <c r="V13782" i="2" s="1"/>
  <c r="P13778" i="2"/>
  <c r="V13778" i="2" s="1"/>
  <c r="P13774" i="2"/>
  <c r="V13774" i="2" s="1"/>
  <c r="P13770" i="2"/>
  <c r="V13770" i="2" s="1"/>
  <c r="P13766" i="2"/>
  <c r="V13766" i="2" s="1"/>
  <c r="P13762" i="2"/>
  <c r="V13762" i="2" s="1"/>
  <c r="P13758" i="2"/>
  <c r="V13758" i="2" s="1"/>
  <c r="P13754" i="2"/>
  <c r="V13754" i="2" s="1"/>
  <c r="P13750" i="2"/>
  <c r="V13750" i="2" s="1"/>
  <c r="P13746" i="2"/>
  <c r="V13746" i="2" s="1"/>
  <c r="P13742" i="2"/>
  <c r="V13742" i="2" s="1"/>
  <c r="P13738" i="2"/>
  <c r="V13738" i="2" s="1"/>
  <c r="P13734" i="2"/>
  <c r="V13734" i="2" s="1"/>
  <c r="P13730" i="2"/>
  <c r="V13730" i="2" s="1"/>
  <c r="P13726" i="2"/>
  <c r="V13726" i="2" s="1"/>
  <c r="P13722" i="2"/>
  <c r="V13722" i="2" s="1"/>
  <c r="P13718" i="2"/>
  <c r="V13718" i="2" s="1"/>
  <c r="P13714" i="2"/>
  <c r="V13714" i="2" s="1"/>
  <c r="P13710" i="2"/>
  <c r="V13710" i="2" s="1"/>
  <c r="P13706" i="2"/>
  <c r="V13706" i="2" s="1"/>
  <c r="P13702" i="2"/>
  <c r="V13702" i="2" s="1"/>
  <c r="P13698" i="2"/>
  <c r="V13698" i="2" s="1"/>
  <c r="P13694" i="2"/>
  <c r="V13694" i="2" s="1"/>
  <c r="P13690" i="2"/>
  <c r="V13690" i="2" s="1"/>
  <c r="P13686" i="2"/>
  <c r="V13686" i="2" s="1"/>
  <c r="P13682" i="2"/>
  <c r="V13682" i="2" s="1"/>
  <c r="P13678" i="2"/>
  <c r="V13678" i="2" s="1"/>
  <c r="P13674" i="2"/>
  <c r="V13674" i="2" s="1"/>
  <c r="P13670" i="2"/>
  <c r="V13670" i="2" s="1"/>
  <c r="P13666" i="2"/>
  <c r="V13666" i="2" s="1"/>
  <c r="P13662" i="2"/>
  <c r="V13662" i="2" s="1"/>
  <c r="P13658" i="2"/>
  <c r="V13658" i="2" s="1"/>
  <c r="P13654" i="2"/>
  <c r="V13654" i="2" s="1"/>
  <c r="P13650" i="2"/>
  <c r="V13650" i="2" s="1"/>
  <c r="P13646" i="2"/>
  <c r="V13646" i="2" s="1"/>
  <c r="P13642" i="2"/>
  <c r="V13642" i="2" s="1"/>
  <c r="P13638" i="2"/>
  <c r="V13638" i="2" s="1"/>
  <c r="P13634" i="2"/>
  <c r="V13634" i="2" s="1"/>
  <c r="P13630" i="2"/>
  <c r="V13630" i="2" s="1"/>
  <c r="P13626" i="2"/>
  <c r="V13626" i="2" s="1"/>
  <c r="P13622" i="2"/>
  <c r="V13622" i="2" s="1"/>
  <c r="P13618" i="2"/>
  <c r="V13618" i="2" s="1"/>
  <c r="P13614" i="2"/>
  <c r="V13614" i="2" s="1"/>
  <c r="P13610" i="2"/>
  <c r="V13610" i="2" s="1"/>
  <c r="P13606" i="2"/>
  <c r="V13606" i="2" s="1"/>
  <c r="P13602" i="2"/>
  <c r="V13602" i="2" s="1"/>
  <c r="P13598" i="2"/>
  <c r="V13598" i="2" s="1"/>
  <c r="P13594" i="2"/>
  <c r="V13594" i="2" s="1"/>
  <c r="P13590" i="2"/>
  <c r="V13590" i="2" s="1"/>
  <c r="P13586" i="2"/>
  <c r="V13586" i="2" s="1"/>
  <c r="P13582" i="2"/>
  <c r="V13582" i="2" s="1"/>
  <c r="P13578" i="2"/>
  <c r="V13578" i="2" s="1"/>
  <c r="P13574" i="2"/>
  <c r="V13574" i="2" s="1"/>
  <c r="P13570" i="2"/>
  <c r="V13570" i="2" s="1"/>
  <c r="P13566" i="2"/>
  <c r="V13566" i="2" s="1"/>
  <c r="P13562" i="2"/>
  <c r="V13562" i="2" s="1"/>
  <c r="P13558" i="2"/>
  <c r="V13558" i="2" s="1"/>
  <c r="P13554" i="2"/>
  <c r="V13554" i="2" s="1"/>
  <c r="P13550" i="2"/>
  <c r="V13550" i="2" s="1"/>
  <c r="P13546" i="2"/>
  <c r="V13546" i="2" s="1"/>
  <c r="P13542" i="2"/>
  <c r="V13542" i="2" s="1"/>
  <c r="P13538" i="2"/>
  <c r="V13538" i="2" s="1"/>
  <c r="P13534" i="2"/>
  <c r="V13534" i="2" s="1"/>
  <c r="P13530" i="2"/>
  <c r="V13530" i="2" s="1"/>
  <c r="P13526" i="2"/>
  <c r="V13526" i="2" s="1"/>
  <c r="P13522" i="2"/>
  <c r="V13522" i="2" s="1"/>
  <c r="P13518" i="2"/>
  <c r="V13518" i="2" s="1"/>
  <c r="P13514" i="2"/>
  <c r="V13514" i="2" s="1"/>
  <c r="P13510" i="2"/>
  <c r="V13510" i="2" s="1"/>
  <c r="P13506" i="2"/>
  <c r="V13506" i="2" s="1"/>
  <c r="P13502" i="2"/>
  <c r="V13502" i="2" s="1"/>
  <c r="P13498" i="2"/>
  <c r="V13498" i="2" s="1"/>
  <c r="P13494" i="2"/>
  <c r="V13494" i="2" s="1"/>
  <c r="P13490" i="2"/>
  <c r="V13490" i="2" s="1"/>
  <c r="P13486" i="2"/>
  <c r="V13486" i="2" s="1"/>
  <c r="P13482" i="2"/>
  <c r="V13482" i="2" s="1"/>
  <c r="P13478" i="2"/>
  <c r="V13478" i="2" s="1"/>
  <c r="P13474" i="2"/>
  <c r="V13474" i="2" s="1"/>
  <c r="P13470" i="2"/>
  <c r="V13470" i="2" s="1"/>
  <c r="P13466" i="2"/>
  <c r="V13466" i="2" s="1"/>
  <c r="P13462" i="2"/>
  <c r="V13462" i="2" s="1"/>
  <c r="P13458" i="2"/>
  <c r="V13458" i="2" s="1"/>
  <c r="P13454" i="2"/>
  <c r="V13454" i="2" s="1"/>
  <c r="P13450" i="2"/>
  <c r="V13450" i="2" s="1"/>
  <c r="P13446" i="2"/>
  <c r="V13446" i="2" s="1"/>
  <c r="P13442" i="2"/>
  <c r="V13442" i="2" s="1"/>
  <c r="P13438" i="2"/>
  <c r="V13438" i="2" s="1"/>
  <c r="P13434" i="2"/>
  <c r="V13434" i="2" s="1"/>
  <c r="P13430" i="2"/>
  <c r="V13430" i="2" s="1"/>
  <c r="P13426" i="2"/>
  <c r="V13426" i="2" s="1"/>
  <c r="P13422" i="2"/>
  <c r="V13422" i="2" s="1"/>
  <c r="P13418" i="2"/>
  <c r="V13418" i="2" s="1"/>
  <c r="P13414" i="2"/>
  <c r="V13414" i="2" s="1"/>
  <c r="P13410" i="2"/>
  <c r="V13410" i="2" s="1"/>
  <c r="P13406" i="2"/>
  <c r="V13406" i="2" s="1"/>
  <c r="P13402" i="2"/>
  <c r="V13402" i="2" s="1"/>
  <c r="P13398" i="2"/>
  <c r="V13398" i="2" s="1"/>
  <c r="P13394" i="2"/>
  <c r="V13394" i="2" s="1"/>
  <c r="P13390" i="2"/>
  <c r="V13390" i="2" s="1"/>
  <c r="P13386" i="2"/>
  <c r="V13386" i="2" s="1"/>
  <c r="P13382" i="2"/>
  <c r="V13382" i="2" s="1"/>
  <c r="P13378" i="2"/>
  <c r="V13378" i="2" s="1"/>
  <c r="P13374" i="2"/>
  <c r="V13374" i="2" s="1"/>
  <c r="P13370" i="2"/>
  <c r="V13370" i="2" s="1"/>
  <c r="P13366" i="2"/>
  <c r="V13366" i="2" s="1"/>
  <c r="P13362" i="2"/>
  <c r="V13362" i="2" s="1"/>
  <c r="P13358" i="2"/>
  <c r="V13358" i="2" s="1"/>
  <c r="P13354" i="2"/>
  <c r="V13354" i="2" s="1"/>
  <c r="P13350" i="2"/>
  <c r="V13350" i="2" s="1"/>
  <c r="P13346" i="2"/>
  <c r="V13346" i="2" s="1"/>
  <c r="P13342" i="2"/>
  <c r="V13342" i="2" s="1"/>
  <c r="P13338" i="2"/>
  <c r="V13338" i="2" s="1"/>
  <c r="P13334" i="2"/>
  <c r="V13334" i="2" s="1"/>
  <c r="P13330" i="2"/>
  <c r="V13330" i="2" s="1"/>
  <c r="P13326" i="2"/>
  <c r="V13326" i="2" s="1"/>
  <c r="P13322" i="2"/>
  <c r="V13322" i="2" s="1"/>
  <c r="P13318" i="2"/>
  <c r="V13318" i="2" s="1"/>
  <c r="P13314" i="2"/>
  <c r="V13314" i="2" s="1"/>
  <c r="P13310" i="2"/>
  <c r="V13310" i="2" s="1"/>
  <c r="P13306" i="2"/>
  <c r="V13306" i="2" s="1"/>
  <c r="P13302" i="2"/>
  <c r="V13302" i="2" s="1"/>
  <c r="P13298" i="2"/>
  <c r="V13298" i="2" s="1"/>
  <c r="P13294" i="2"/>
  <c r="V13294" i="2" s="1"/>
  <c r="P13290" i="2"/>
  <c r="V13290" i="2" s="1"/>
  <c r="P13286" i="2"/>
  <c r="V13286" i="2" s="1"/>
  <c r="P13282" i="2"/>
  <c r="V13282" i="2" s="1"/>
  <c r="P13278" i="2"/>
  <c r="V13278" i="2" s="1"/>
  <c r="P13274" i="2"/>
  <c r="V13274" i="2" s="1"/>
  <c r="P13270" i="2"/>
  <c r="V13270" i="2" s="1"/>
  <c r="P13266" i="2"/>
  <c r="V13266" i="2" s="1"/>
  <c r="P13262" i="2"/>
  <c r="V13262" i="2" s="1"/>
  <c r="P13258" i="2"/>
  <c r="V13258" i="2" s="1"/>
  <c r="P13254" i="2"/>
  <c r="V13254" i="2" s="1"/>
  <c r="P13250" i="2"/>
  <c r="V13250" i="2" s="1"/>
  <c r="P13246" i="2"/>
  <c r="V13246" i="2" s="1"/>
  <c r="P13242" i="2"/>
  <c r="V13242" i="2" s="1"/>
  <c r="P13238" i="2"/>
  <c r="V13238" i="2" s="1"/>
  <c r="P13234" i="2"/>
  <c r="V13234" i="2" s="1"/>
  <c r="P13230" i="2"/>
  <c r="V13230" i="2" s="1"/>
  <c r="P13226" i="2"/>
  <c r="V13226" i="2" s="1"/>
  <c r="P13222" i="2"/>
  <c r="V13222" i="2" s="1"/>
  <c r="P13218" i="2"/>
  <c r="V13218" i="2" s="1"/>
  <c r="P13214" i="2"/>
  <c r="V13214" i="2" s="1"/>
  <c r="P13210" i="2"/>
  <c r="V13210" i="2" s="1"/>
  <c r="P13206" i="2"/>
  <c r="V13206" i="2" s="1"/>
  <c r="P13202" i="2"/>
  <c r="V13202" i="2" s="1"/>
  <c r="P13198" i="2"/>
  <c r="V13198" i="2" s="1"/>
  <c r="P13194" i="2"/>
  <c r="V13194" i="2" s="1"/>
  <c r="P13190" i="2"/>
  <c r="V13190" i="2" s="1"/>
  <c r="P13186" i="2"/>
  <c r="V13186" i="2" s="1"/>
  <c r="P13182" i="2"/>
  <c r="V13182" i="2" s="1"/>
  <c r="P13178" i="2"/>
  <c r="V13178" i="2" s="1"/>
  <c r="P13174" i="2"/>
  <c r="V13174" i="2" s="1"/>
  <c r="P13170" i="2"/>
  <c r="V13170" i="2" s="1"/>
  <c r="P13166" i="2"/>
  <c r="V13166" i="2" s="1"/>
  <c r="P13162" i="2"/>
  <c r="V13162" i="2" s="1"/>
  <c r="P13158" i="2"/>
  <c r="V13158" i="2" s="1"/>
  <c r="P13154" i="2"/>
  <c r="V13154" i="2" s="1"/>
  <c r="P13150" i="2"/>
  <c r="V13150" i="2" s="1"/>
  <c r="P13146" i="2"/>
  <c r="V13146" i="2" s="1"/>
  <c r="P13142" i="2"/>
  <c r="V13142" i="2" s="1"/>
  <c r="P13138" i="2"/>
  <c r="V13138" i="2" s="1"/>
  <c r="P13134" i="2"/>
  <c r="V13134" i="2" s="1"/>
  <c r="P13130" i="2"/>
  <c r="V13130" i="2" s="1"/>
  <c r="P13126" i="2"/>
  <c r="V13126" i="2" s="1"/>
  <c r="P13122" i="2"/>
  <c r="V13122" i="2" s="1"/>
  <c r="P13118" i="2"/>
  <c r="V13118" i="2" s="1"/>
  <c r="P13114" i="2"/>
  <c r="V13114" i="2" s="1"/>
  <c r="P13110" i="2"/>
  <c r="V13110" i="2" s="1"/>
  <c r="P13106" i="2"/>
  <c r="V13106" i="2" s="1"/>
  <c r="P13102" i="2"/>
  <c r="V13102" i="2" s="1"/>
  <c r="P13098" i="2"/>
  <c r="V13098" i="2" s="1"/>
  <c r="P13094" i="2"/>
  <c r="V13094" i="2" s="1"/>
  <c r="P13090" i="2"/>
  <c r="V13090" i="2" s="1"/>
  <c r="P13086" i="2"/>
  <c r="V13086" i="2" s="1"/>
  <c r="P13082" i="2"/>
  <c r="V13082" i="2" s="1"/>
  <c r="P13078" i="2"/>
  <c r="V13078" i="2" s="1"/>
  <c r="P13074" i="2"/>
  <c r="V13074" i="2" s="1"/>
  <c r="P13070" i="2"/>
  <c r="V13070" i="2" s="1"/>
  <c r="P13066" i="2"/>
  <c r="V13066" i="2" s="1"/>
  <c r="P13062" i="2"/>
  <c r="V13062" i="2" s="1"/>
  <c r="P13058" i="2"/>
  <c r="V13058" i="2" s="1"/>
  <c r="P13054" i="2"/>
  <c r="V13054" i="2" s="1"/>
  <c r="P13050" i="2"/>
  <c r="V13050" i="2" s="1"/>
  <c r="P13046" i="2"/>
  <c r="V13046" i="2" s="1"/>
  <c r="P13042" i="2"/>
  <c r="V13042" i="2" s="1"/>
  <c r="P13038" i="2"/>
  <c r="V13038" i="2" s="1"/>
  <c r="P13034" i="2"/>
  <c r="V13034" i="2" s="1"/>
  <c r="P13030" i="2"/>
  <c r="V13030" i="2" s="1"/>
  <c r="P13026" i="2"/>
  <c r="V13026" i="2" s="1"/>
  <c r="P13022" i="2"/>
  <c r="V13022" i="2" s="1"/>
  <c r="P13018" i="2"/>
  <c r="V13018" i="2" s="1"/>
  <c r="P13014" i="2"/>
  <c r="V13014" i="2" s="1"/>
  <c r="P13010" i="2"/>
  <c r="V13010" i="2" s="1"/>
  <c r="P13006" i="2"/>
  <c r="V13006" i="2" s="1"/>
  <c r="P13002" i="2"/>
  <c r="V13002" i="2" s="1"/>
  <c r="P12998" i="2"/>
  <c r="V12998" i="2" s="1"/>
  <c r="P12994" i="2"/>
  <c r="V12994" i="2" s="1"/>
  <c r="P12990" i="2"/>
  <c r="V12990" i="2" s="1"/>
  <c r="P12986" i="2"/>
  <c r="V12986" i="2" s="1"/>
  <c r="P12982" i="2"/>
  <c r="V12982" i="2" s="1"/>
  <c r="P12978" i="2"/>
  <c r="V12978" i="2" s="1"/>
  <c r="P12974" i="2"/>
  <c r="V12974" i="2" s="1"/>
  <c r="P12970" i="2"/>
  <c r="V12970" i="2" s="1"/>
  <c r="P12966" i="2"/>
  <c r="V12966" i="2" s="1"/>
  <c r="P12962" i="2"/>
  <c r="V12962" i="2" s="1"/>
  <c r="P12958" i="2"/>
  <c r="V12958" i="2" s="1"/>
  <c r="P12954" i="2"/>
  <c r="V12954" i="2" s="1"/>
  <c r="P12950" i="2"/>
  <c r="V12950" i="2" s="1"/>
  <c r="P12946" i="2"/>
  <c r="V12946" i="2" s="1"/>
  <c r="P12942" i="2"/>
  <c r="V12942" i="2" s="1"/>
  <c r="P12938" i="2"/>
  <c r="V12938" i="2" s="1"/>
  <c r="P12934" i="2"/>
  <c r="V12934" i="2" s="1"/>
  <c r="P12930" i="2"/>
  <c r="V12930" i="2" s="1"/>
  <c r="P12926" i="2"/>
  <c r="V12926" i="2" s="1"/>
  <c r="P12922" i="2"/>
  <c r="V12922" i="2" s="1"/>
  <c r="P12918" i="2"/>
  <c r="V12918" i="2" s="1"/>
  <c r="P12914" i="2"/>
  <c r="V12914" i="2" s="1"/>
  <c r="P12910" i="2"/>
  <c r="V12910" i="2" s="1"/>
  <c r="P12906" i="2"/>
  <c r="V12906" i="2" s="1"/>
  <c r="P12902" i="2"/>
  <c r="V12902" i="2" s="1"/>
  <c r="P12898" i="2"/>
  <c r="V12898" i="2" s="1"/>
  <c r="P12894" i="2"/>
  <c r="V12894" i="2" s="1"/>
  <c r="P12890" i="2"/>
  <c r="V12890" i="2" s="1"/>
  <c r="P12886" i="2"/>
  <c r="V12886" i="2" s="1"/>
  <c r="P12882" i="2"/>
  <c r="V12882" i="2" s="1"/>
  <c r="P12878" i="2"/>
  <c r="V12878" i="2" s="1"/>
  <c r="P12874" i="2"/>
  <c r="V12874" i="2" s="1"/>
  <c r="P12870" i="2"/>
  <c r="V12870" i="2" s="1"/>
  <c r="P12866" i="2"/>
  <c r="V12866" i="2" s="1"/>
  <c r="P12862" i="2"/>
  <c r="V12862" i="2" s="1"/>
  <c r="P12858" i="2"/>
  <c r="V12858" i="2" s="1"/>
  <c r="P12854" i="2"/>
  <c r="V12854" i="2" s="1"/>
  <c r="P12850" i="2"/>
  <c r="V12850" i="2" s="1"/>
  <c r="P12846" i="2"/>
  <c r="V12846" i="2" s="1"/>
  <c r="P12842" i="2"/>
  <c r="V12842" i="2" s="1"/>
  <c r="P12838" i="2"/>
  <c r="V12838" i="2" s="1"/>
  <c r="P12834" i="2"/>
  <c r="V12834" i="2" s="1"/>
  <c r="P12830" i="2"/>
  <c r="V12830" i="2" s="1"/>
  <c r="P12826" i="2"/>
  <c r="V12826" i="2" s="1"/>
  <c r="P12822" i="2"/>
  <c r="V12822" i="2" s="1"/>
  <c r="P12818" i="2"/>
  <c r="V12818" i="2" s="1"/>
  <c r="P12814" i="2"/>
  <c r="V12814" i="2" s="1"/>
  <c r="P12810" i="2"/>
  <c r="V12810" i="2" s="1"/>
  <c r="P12806" i="2"/>
  <c r="V12806" i="2" s="1"/>
  <c r="P12802" i="2"/>
  <c r="V12802" i="2" s="1"/>
  <c r="P12798" i="2"/>
  <c r="V12798" i="2" s="1"/>
  <c r="P12794" i="2"/>
  <c r="V12794" i="2" s="1"/>
  <c r="P12790" i="2"/>
  <c r="V12790" i="2" s="1"/>
  <c r="P12786" i="2"/>
  <c r="V12786" i="2" s="1"/>
  <c r="P12782" i="2"/>
  <c r="V12782" i="2" s="1"/>
  <c r="P12778" i="2"/>
  <c r="V12778" i="2" s="1"/>
  <c r="P12774" i="2"/>
  <c r="V12774" i="2" s="1"/>
  <c r="P12770" i="2"/>
  <c r="V12770" i="2" s="1"/>
  <c r="P12766" i="2"/>
  <c r="V12766" i="2" s="1"/>
  <c r="P12762" i="2"/>
  <c r="V12762" i="2" s="1"/>
  <c r="P12758" i="2"/>
  <c r="V12758" i="2" s="1"/>
  <c r="P12754" i="2"/>
  <c r="V12754" i="2" s="1"/>
  <c r="P12750" i="2"/>
  <c r="V12750" i="2" s="1"/>
  <c r="P12746" i="2"/>
  <c r="V12746" i="2" s="1"/>
  <c r="P12742" i="2"/>
  <c r="V12742" i="2" s="1"/>
  <c r="P12738" i="2"/>
  <c r="V12738" i="2" s="1"/>
  <c r="P12734" i="2"/>
  <c r="V12734" i="2" s="1"/>
  <c r="P12730" i="2"/>
  <c r="V12730" i="2" s="1"/>
  <c r="P12726" i="2"/>
  <c r="V12726" i="2" s="1"/>
  <c r="P12722" i="2"/>
  <c r="V12722" i="2" s="1"/>
  <c r="P12718" i="2"/>
  <c r="V12718" i="2" s="1"/>
  <c r="P12714" i="2"/>
  <c r="V12714" i="2" s="1"/>
  <c r="P12710" i="2"/>
  <c r="V12710" i="2" s="1"/>
  <c r="P12706" i="2"/>
  <c r="V12706" i="2" s="1"/>
  <c r="P12702" i="2"/>
  <c r="V12702" i="2" s="1"/>
  <c r="P12698" i="2"/>
  <c r="V12698" i="2" s="1"/>
  <c r="P12694" i="2"/>
  <c r="V12694" i="2" s="1"/>
  <c r="P12690" i="2"/>
  <c r="V12690" i="2" s="1"/>
  <c r="P12686" i="2"/>
  <c r="V12686" i="2" s="1"/>
  <c r="P12682" i="2"/>
  <c r="V12682" i="2" s="1"/>
  <c r="P12678" i="2"/>
  <c r="V12678" i="2" s="1"/>
  <c r="P12674" i="2"/>
  <c r="V12674" i="2" s="1"/>
  <c r="P12670" i="2"/>
  <c r="V12670" i="2" s="1"/>
  <c r="P12666" i="2"/>
  <c r="V12666" i="2" s="1"/>
  <c r="P12662" i="2"/>
  <c r="V12662" i="2" s="1"/>
  <c r="P12658" i="2"/>
  <c r="V12658" i="2" s="1"/>
  <c r="P12654" i="2"/>
  <c r="V12654" i="2" s="1"/>
  <c r="P12650" i="2"/>
  <c r="V12650" i="2" s="1"/>
  <c r="P12646" i="2"/>
  <c r="V12646" i="2" s="1"/>
  <c r="P12642" i="2"/>
  <c r="V12642" i="2" s="1"/>
  <c r="P12638" i="2"/>
  <c r="V12638" i="2" s="1"/>
  <c r="P12634" i="2"/>
  <c r="V12634" i="2" s="1"/>
  <c r="P12630" i="2"/>
  <c r="V12630" i="2" s="1"/>
  <c r="P12626" i="2"/>
  <c r="V12626" i="2" s="1"/>
  <c r="P12622" i="2"/>
  <c r="V12622" i="2" s="1"/>
  <c r="P12618" i="2"/>
  <c r="V12618" i="2" s="1"/>
  <c r="P12614" i="2"/>
  <c r="V12614" i="2" s="1"/>
  <c r="P12610" i="2"/>
  <c r="V12610" i="2" s="1"/>
  <c r="P12606" i="2"/>
  <c r="V12606" i="2" s="1"/>
  <c r="P12602" i="2"/>
  <c r="V12602" i="2" s="1"/>
  <c r="P12598" i="2"/>
  <c r="V12598" i="2" s="1"/>
  <c r="P12594" i="2"/>
  <c r="V12594" i="2" s="1"/>
  <c r="P12590" i="2"/>
  <c r="V12590" i="2" s="1"/>
  <c r="P12586" i="2"/>
  <c r="V12586" i="2" s="1"/>
  <c r="P12582" i="2"/>
  <c r="V12582" i="2" s="1"/>
  <c r="P12578" i="2"/>
  <c r="V12578" i="2" s="1"/>
  <c r="P12574" i="2"/>
  <c r="V12574" i="2" s="1"/>
  <c r="P12570" i="2"/>
  <c r="V12570" i="2" s="1"/>
  <c r="P12566" i="2"/>
  <c r="V12566" i="2" s="1"/>
  <c r="P12562" i="2"/>
  <c r="V12562" i="2" s="1"/>
  <c r="P12558" i="2"/>
  <c r="V12558" i="2" s="1"/>
  <c r="P12554" i="2"/>
  <c r="V12554" i="2" s="1"/>
  <c r="P12550" i="2"/>
  <c r="V12550" i="2" s="1"/>
  <c r="P12546" i="2"/>
  <c r="V12546" i="2" s="1"/>
  <c r="P12542" i="2"/>
  <c r="V12542" i="2" s="1"/>
  <c r="P12538" i="2"/>
  <c r="V12538" i="2" s="1"/>
  <c r="P12534" i="2"/>
  <c r="V12534" i="2" s="1"/>
  <c r="P12530" i="2"/>
  <c r="V12530" i="2" s="1"/>
  <c r="P12526" i="2"/>
  <c r="V12526" i="2" s="1"/>
  <c r="P12522" i="2"/>
  <c r="V12522" i="2" s="1"/>
  <c r="P12518" i="2"/>
  <c r="V12518" i="2" s="1"/>
  <c r="P12514" i="2"/>
  <c r="V12514" i="2" s="1"/>
  <c r="P12510" i="2"/>
  <c r="V12510" i="2" s="1"/>
  <c r="P12506" i="2"/>
  <c r="V12506" i="2" s="1"/>
  <c r="P12502" i="2"/>
  <c r="V12502" i="2" s="1"/>
  <c r="P12498" i="2"/>
  <c r="V12498" i="2" s="1"/>
  <c r="P12494" i="2"/>
  <c r="V12494" i="2" s="1"/>
  <c r="P12490" i="2"/>
  <c r="V12490" i="2" s="1"/>
  <c r="P12486" i="2"/>
  <c r="V12486" i="2" s="1"/>
  <c r="P12482" i="2"/>
  <c r="V12482" i="2" s="1"/>
  <c r="P12478" i="2"/>
  <c r="V12478" i="2" s="1"/>
  <c r="P12474" i="2"/>
  <c r="V12474" i="2" s="1"/>
  <c r="P12470" i="2"/>
  <c r="V12470" i="2" s="1"/>
  <c r="P12466" i="2"/>
  <c r="V12466" i="2" s="1"/>
  <c r="P12462" i="2"/>
  <c r="V12462" i="2" s="1"/>
  <c r="P12458" i="2"/>
  <c r="V12458" i="2" s="1"/>
  <c r="P12454" i="2"/>
  <c r="V12454" i="2" s="1"/>
  <c r="P12450" i="2"/>
  <c r="V12450" i="2" s="1"/>
  <c r="P12446" i="2"/>
  <c r="V12446" i="2" s="1"/>
  <c r="P12442" i="2"/>
  <c r="V12442" i="2" s="1"/>
  <c r="P12438" i="2"/>
  <c r="V12438" i="2" s="1"/>
  <c r="P12434" i="2"/>
  <c r="V12434" i="2" s="1"/>
  <c r="P12430" i="2"/>
  <c r="V12430" i="2" s="1"/>
  <c r="P12426" i="2"/>
  <c r="V12426" i="2" s="1"/>
  <c r="P12422" i="2"/>
  <c r="V12422" i="2" s="1"/>
  <c r="P12418" i="2"/>
  <c r="V12418" i="2" s="1"/>
  <c r="P12414" i="2"/>
  <c r="V12414" i="2" s="1"/>
  <c r="P12410" i="2"/>
  <c r="V12410" i="2" s="1"/>
  <c r="P12406" i="2"/>
  <c r="V12406" i="2" s="1"/>
  <c r="P12402" i="2"/>
  <c r="V12402" i="2" s="1"/>
  <c r="P12398" i="2"/>
  <c r="V12398" i="2" s="1"/>
  <c r="P12394" i="2"/>
  <c r="V12394" i="2" s="1"/>
  <c r="P12390" i="2"/>
  <c r="V12390" i="2" s="1"/>
  <c r="P12386" i="2"/>
  <c r="V12386" i="2" s="1"/>
  <c r="P12382" i="2"/>
  <c r="V12382" i="2" s="1"/>
  <c r="P12378" i="2"/>
  <c r="V12378" i="2" s="1"/>
  <c r="P12374" i="2"/>
  <c r="V12374" i="2" s="1"/>
  <c r="P12370" i="2"/>
  <c r="V12370" i="2" s="1"/>
  <c r="P12366" i="2"/>
  <c r="V12366" i="2" s="1"/>
  <c r="P12362" i="2"/>
  <c r="V12362" i="2" s="1"/>
  <c r="P12358" i="2"/>
  <c r="V12358" i="2" s="1"/>
  <c r="P12354" i="2"/>
  <c r="V12354" i="2" s="1"/>
  <c r="P12350" i="2"/>
  <c r="V12350" i="2" s="1"/>
  <c r="P12346" i="2"/>
  <c r="V12346" i="2" s="1"/>
  <c r="P12342" i="2"/>
  <c r="V12342" i="2" s="1"/>
  <c r="P12338" i="2"/>
  <c r="V12338" i="2" s="1"/>
  <c r="P12334" i="2"/>
  <c r="V12334" i="2" s="1"/>
  <c r="P12330" i="2"/>
  <c r="V12330" i="2" s="1"/>
  <c r="P12326" i="2"/>
  <c r="V12326" i="2" s="1"/>
  <c r="P12322" i="2"/>
  <c r="V12322" i="2" s="1"/>
  <c r="P12318" i="2"/>
  <c r="V12318" i="2" s="1"/>
  <c r="P12314" i="2"/>
  <c r="V12314" i="2" s="1"/>
  <c r="P12310" i="2"/>
  <c r="V12310" i="2" s="1"/>
  <c r="P12306" i="2"/>
  <c r="V12306" i="2" s="1"/>
  <c r="P12302" i="2"/>
  <c r="V12302" i="2" s="1"/>
  <c r="P12298" i="2"/>
  <c r="V12298" i="2" s="1"/>
  <c r="P12294" i="2"/>
  <c r="V12294" i="2" s="1"/>
  <c r="P12290" i="2"/>
  <c r="V12290" i="2" s="1"/>
  <c r="P12286" i="2"/>
  <c r="V12286" i="2" s="1"/>
  <c r="P12282" i="2"/>
  <c r="V12282" i="2" s="1"/>
  <c r="P12278" i="2"/>
  <c r="V12278" i="2" s="1"/>
  <c r="P12274" i="2"/>
  <c r="V12274" i="2" s="1"/>
  <c r="P12270" i="2"/>
  <c r="V12270" i="2" s="1"/>
  <c r="P12266" i="2"/>
  <c r="V12266" i="2" s="1"/>
  <c r="P12262" i="2"/>
  <c r="V12262" i="2" s="1"/>
  <c r="P12258" i="2"/>
  <c r="V12258" i="2" s="1"/>
  <c r="P12254" i="2"/>
  <c r="V12254" i="2" s="1"/>
  <c r="P12250" i="2"/>
  <c r="V12250" i="2" s="1"/>
  <c r="P12246" i="2"/>
  <c r="V12246" i="2" s="1"/>
  <c r="P12242" i="2"/>
  <c r="V12242" i="2" s="1"/>
  <c r="P12238" i="2"/>
  <c r="V12238" i="2" s="1"/>
  <c r="P12234" i="2"/>
  <c r="V12234" i="2" s="1"/>
  <c r="P12230" i="2"/>
  <c r="V12230" i="2" s="1"/>
  <c r="P12226" i="2"/>
  <c r="V12226" i="2" s="1"/>
  <c r="P12222" i="2"/>
  <c r="V12222" i="2" s="1"/>
  <c r="P12218" i="2"/>
  <c r="V12218" i="2" s="1"/>
  <c r="P12214" i="2"/>
  <c r="V12214" i="2" s="1"/>
  <c r="P12210" i="2"/>
  <c r="V12210" i="2" s="1"/>
  <c r="P12206" i="2"/>
  <c r="V12206" i="2" s="1"/>
  <c r="P12202" i="2"/>
  <c r="V12202" i="2" s="1"/>
  <c r="P12198" i="2"/>
  <c r="V12198" i="2" s="1"/>
  <c r="P12194" i="2"/>
  <c r="V12194" i="2" s="1"/>
  <c r="P12190" i="2"/>
  <c r="V12190" i="2" s="1"/>
  <c r="P12186" i="2"/>
  <c r="V12186" i="2" s="1"/>
  <c r="P12182" i="2"/>
  <c r="V12182" i="2" s="1"/>
  <c r="P12178" i="2"/>
  <c r="V12178" i="2" s="1"/>
  <c r="P12174" i="2"/>
  <c r="V12174" i="2" s="1"/>
  <c r="P12170" i="2"/>
  <c r="V12170" i="2" s="1"/>
  <c r="P12166" i="2"/>
  <c r="V12166" i="2" s="1"/>
  <c r="P12162" i="2"/>
  <c r="V12162" i="2" s="1"/>
  <c r="P12158" i="2"/>
  <c r="V12158" i="2" s="1"/>
  <c r="P12154" i="2"/>
  <c r="V12154" i="2" s="1"/>
  <c r="P12150" i="2"/>
  <c r="V12150" i="2" s="1"/>
  <c r="P12146" i="2"/>
  <c r="V12146" i="2" s="1"/>
  <c r="P12142" i="2"/>
  <c r="V12142" i="2" s="1"/>
  <c r="P12138" i="2"/>
  <c r="V12138" i="2" s="1"/>
  <c r="P12134" i="2"/>
  <c r="V12134" i="2" s="1"/>
  <c r="P12130" i="2"/>
  <c r="V12130" i="2" s="1"/>
  <c r="P12126" i="2"/>
  <c r="V12126" i="2" s="1"/>
  <c r="P12122" i="2"/>
  <c r="V12122" i="2" s="1"/>
  <c r="P12118" i="2"/>
  <c r="V12118" i="2" s="1"/>
  <c r="P12114" i="2"/>
  <c r="V12114" i="2" s="1"/>
  <c r="P12110" i="2"/>
  <c r="V12110" i="2" s="1"/>
  <c r="P12106" i="2"/>
  <c r="V12106" i="2" s="1"/>
  <c r="P12102" i="2"/>
  <c r="V12102" i="2" s="1"/>
  <c r="P12098" i="2"/>
  <c r="V12098" i="2" s="1"/>
  <c r="P12094" i="2"/>
  <c r="V12094" i="2" s="1"/>
  <c r="P12090" i="2"/>
  <c r="V12090" i="2" s="1"/>
  <c r="P12086" i="2"/>
  <c r="V12086" i="2" s="1"/>
  <c r="P12082" i="2"/>
  <c r="V12082" i="2" s="1"/>
  <c r="P12078" i="2"/>
  <c r="V12078" i="2" s="1"/>
  <c r="P12074" i="2"/>
  <c r="V12074" i="2" s="1"/>
  <c r="P12070" i="2"/>
  <c r="V12070" i="2" s="1"/>
  <c r="P12066" i="2"/>
  <c r="V12066" i="2" s="1"/>
  <c r="P12062" i="2"/>
  <c r="V12062" i="2" s="1"/>
  <c r="P12058" i="2"/>
  <c r="V12058" i="2" s="1"/>
  <c r="P12054" i="2"/>
  <c r="V12054" i="2" s="1"/>
  <c r="P12050" i="2"/>
  <c r="V12050" i="2" s="1"/>
  <c r="P12046" i="2"/>
  <c r="V12046" i="2" s="1"/>
  <c r="P12042" i="2"/>
  <c r="V12042" i="2" s="1"/>
  <c r="P12038" i="2"/>
  <c r="V12038" i="2" s="1"/>
  <c r="P12034" i="2"/>
  <c r="V12034" i="2" s="1"/>
  <c r="P12030" i="2"/>
  <c r="V12030" i="2" s="1"/>
  <c r="P12026" i="2"/>
  <c r="V12026" i="2" s="1"/>
  <c r="P12022" i="2"/>
  <c r="V12022" i="2" s="1"/>
  <c r="P12018" i="2"/>
  <c r="V12018" i="2" s="1"/>
  <c r="P12014" i="2"/>
  <c r="V12014" i="2" s="1"/>
  <c r="P12010" i="2"/>
  <c r="V12010" i="2" s="1"/>
  <c r="P12006" i="2"/>
  <c r="V12006" i="2" s="1"/>
  <c r="P12002" i="2"/>
  <c r="V12002" i="2" s="1"/>
  <c r="P11998" i="2"/>
  <c r="V11998" i="2" s="1"/>
  <c r="P11994" i="2"/>
  <c r="V11994" i="2" s="1"/>
  <c r="P11990" i="2"/>
  <c r="V11990" i="2" s="1"/>
  <c r="P11986" i="2"/>
  <c r="V11986" i="2" s="1"/>
  <c r="P11982" i="2"/>
  <c r="V11982" i="2" s="1"/>
  <c r="P11978" i="2"/>
  <c r="V11978" i="2" s="1"/>
  <c r="P11974" i="2"/>
  <c r="V11974" i="2" s="1"/>
  <c r="P11970" i="2"/>
  <c r="V11970" i="2" s="1"/>
  <c r="P11966" i="2"/>
  <c r="V11966" i="2" s="1"/>
  <c r="P11962" i="2"/>
  <c r="V11962" i="2" s="1"/>
  <c r="P11958" i="2"/>
  <c r="V11958" i="2" s="1"/>
  <c r="P11954" i="2"/>
  <c r="V11954" i="2" s="1"/>
  <c r="P11950" i="2"/>
  <c r="V11950" i="2" s="1"/>
  <c r="P11946" i="2"/>
  <c r="V11946" i="2" s="1"/>
  <c r="P11942" i="2"/>
  <c r="V11942" i="2" s="1"/>
  <c r="P11938" i="2"/>
  <c r="V11938" i="2" s="1"/>
  <c r="P11934" i="2"/>
  <c r="V11934" i="2" s="1"/>
  <c r="P11930" i="2"/>
  <c r="V11930" i="2" s="1"/>
  <c r="P11926" i="2"/>
  <c r="V11926" i="2" s="1"/>
  <c r="P11922" i="2"/>
  <c r="V11922" i="2" s="1"/>
  <c r="P11918" i="2"/>
  <c r="V11918" i="2" s="1"/>
  <c r="P11914" i="2"/>
  <c r="V11914" i="2" s="1"/>
  <c r="P11910" i="2"/>
  <c r="V11910" i="2" s="1"/>
  <c r="P11906" i="2"/>
  <c r="V11906" i="2" s="1"/>
  <c r="P11902" i="2"/>
  <c r="V11902" i="2" s="1"/>
  <c r="P11898" i="2"/>
  <c r="V11898" i="2" s="1"/>
  <c r="P11894" i="2"/>
  <c r="V11894" i="2" s="1"/>
  <c r="P11890" i="2"/>
  <c r="V11890" i="2" s="1"/>
  <c r="P11886" i="2"/>
  <c r="V11886" i="2" s="1"/>
  <c r="P11882" i="2"/>
  <c r="V11882" i="2" s="1"/>
  <c r="P11878" i="2"/>
  <c r="V11878" i="2" s="1"/>
  <c r="P11874" i="2"/>
  <c r="V11874" i="2" s="1"/>
  <c r="P11870" i="2"/>
  <c r="V11870" i="2" s="1"/>
  <c r="P11866" i="2"/>
  <c r="V11866" i="2" s="1"/>
  <c r="P11862" i="2"/>
  <c r="V11862" i="2" s="1"/>
  <c r="P11858" i="2"/>
  <c r="V11858" i="2" s="1"/>
  <c r="P11854" i="2"/>
  <c r="V11854" i="2" s="1"/>
  <c r="P11850" i="2"/>
  <c r="V11850" i="2" s="1"/>
  <c r="P11846" i="2"/>
  <c r="V11846" i="2" s="1"/>
  <c r="P11842" i="2"/>
  <c r="V11842" i="2" s="1"/>
  <c r="P11838" i="2"/>
  <c r="V11838" i="2" s="1"/>
  <c r="P11834" i="2"/>
  <c r="V11834" i="2" s="1"/>
  <c r="P11830" i="2"/>
  <c r="V11830" i="2" s="1"/>
  <c r="P11826" i="2"/>
  <c r="V11826" i="2" s="1"/>
  <c r="P11822" i="2"/>
  <c r="V11822" i="2" s="1"/>
  <c r="P11818" i="2"/>
  <c r="V11818" i="2" s="1"/>
  <c r="P11814" i="2"/>
  <c r="V11814" i="2" s="1"/>
  <c r="P11810" i="2"/>
  <c r="V11810" i="2" s="1"/>
  <c r="P11806" i="2"/>
  <c r="V11806" i="2" s="1"/>
  <c r="P11802" i="2"/>
  <c r="V11802" i="2" s="1"/>
  <c r="P11798" i="2"/>
  <c r="V11798" i="2" s="1"/>
  <c r="P11794" i="2"/>
  <c r="V11794" i="2" s="1"/>
  <c r="P11790" i="2"/>
  <c r="V11790" i="2" s="1"/>
  <c r="P11786" i="2"/>
  <c r="V11786" i="2" s="1"/>
  <c r="P11782" i="2"/>
  <c r="V11782" i="2" s="1"/>
  <c r="P11778" i="2"/>
  <c r="V11778" i="2" s="1"/>
  <c r="P11774" i="2"/>
  <c r="V11774" i="2" s="1"/>
  <c r="P11770" i="2"/>
  <c r="V11770" i="2" s="1"/>
  <c r="P11766" i="2"/>
  <c r="V11766" i="2" s="1"/>
  <c r="P11762" i="2"/>
  <c r="V11762" i="2" s="1"/>
  <c r="P11758" i="2"/>
  <c r="V11758" i="2" s="1"/>
  <c r="P11754" i="2"/>
  <c r="V11754" i="2" s="1"/>
  <c r="P11750" i="2"/>
  <c r="V11750" i="2" s="1"/>
  <c r="P11746" i="2"/>
  <c r="V11746" i="2" s="1"/>
  <c r="P11742" i="2"/>
  <c r="V11742" i="2" s="1"/>
  <c r="P11738" i="2"/>
  <c r="V11738" i="2" s="1"/>
  <c r="P11734" i="2"/>
  <c r="V11734" i="2" s="1"/>
  <c r="P11730" i="2"/>
  <c r="V11730" i="2" s="1"/>
  <c r="P11726" i="2"/>
  <c r="V11726" i="2" s="1"/>
  <c r="P11722" i="2"/>
  <c r="V11722" i="2" s="1"/>
  <c r="P11718" i="2"/>
  <c r="V11718" i="2" s="1"/>
  <c r="P11714" i="2"/>
  <c r="V11714" i="2" s="1"/>
  <c r="P11710" i="2"/>
  <c r="V11710" i="2" s="1"/>
  <c r="P11706" i="2"/>
  <c r="V11706" i="2" s="1"/>
  <c r="P11702" i="2"/>
  <c r="V11702" i="2" s="1"/>
  <c r="P11698" i="2"/>
  <c r="V11698" i="2" s="1"/>
  <c r="P11694" i="2"/>
  <c r="V11694" i="2" s="1"/>
  <c r="P11690" i="2"/>
  <c r="V11690" i="2" s="1"/>
  <c r="P11686" i="2"/>
  <c r="V11686" i="2" s="1"/>
  <c r="P11682" i="2"/>
  <c r="V11682" i="2" s="1"/>
  <c r="P11678" i="2"/>
  <c r="V11678" i="2" s="1"/>
  <c r="P11674" i="2"/>
  <c r="V11674" i="2" s="1"/>
  <c r="P11670" i="2"/>
  <c r="V11670" i="2" s="1"/>
  <c r="P11666" i="2"/>
  <c r="V11666" i="2" s="1"/>
  <c r="P11662" i="2"/>
  <c r="V11662" i="2" s="1"/>
  <c r="P11658" i="2"/>
  <c r="V11658" i="2" s="1"/>
  <c r="P11654" i="2"/>
  <c r="V11654" i="2" s="1"/>
  <c r="P11650" i="2"/>
  <c r="V11650" i="2" s="1"/>
  <c r="P11646" i="2"/>
  <c r="V11646" i="2" s="1"/>
  <c r="P11642" i="2"/>
  <c r="V11642" i="2" s="1"/>
  <c r="P11638" i="2"/>
  <c r="V11638" i="2" s="1"/>
  <c r="P11634" i="2"/>
  <c r="V11634" i="2" s="1"/>
  <c r="P11630" i="2"/>
  <c r="V11630" i="2" s="1"/>
  <c r="P11626" i="2"/>
  <c r="V11626" i="2" s="1"/>
  <c r="P11622" i="2"/>
  <c r="V11622" i="2" s="1"/>
  <c r="P11618" i="2"/>
  <c r="V11618" i="2" s="1"/>
  <c r="P11614" i="2"/>
  <c r="V11614" i="2" s="1"/>
  <c r="P11610" i="2"/>
  <c r="V11610" i="2" s="1"/>
  <c r="P11606" i="2"/>
  <c r="V11606" i="2" s="1"/>
  <c r="P11602" i="2"/>
  <c r="V11602" i="2" s="1"/>
  <c r="P11598" i="2"/>
  <c r="V11598" i="2" s="1"/>
  <c r="P11594" i="2"/>
  <c r="V11594" i="2" s="1"/>
  <c r="P11590" i="2"/>
  <c r="V11590" i="2" s="1"/>
  <c r="P11586" i="2"/>
  <c r="V11586" i="2" s="1"/>
  <c r="P11582" i="2"/>
  <c r="V11582" i="2" s="1"/>
  <c r="P11578" i="2"/>
  <c r="V11578" i="2" s="1"/>
  <c r="P11574" i="2"/>
  <c r="V11574" i="2" s="1"/>
  <c r="P11570" i="2"/>
  <c r="V11570" i="2" s="1"/>
  <c r="P11566" i="2"/>
  <c r="V11566" i="2" s="1"/>
  <c r="P11562" i="2"/>
  <c r="V11562" i="2" s="1"/>
  <c r="P11558" i="2"/>
  <c r="V11558" i="2" s="1"/>
  <c r="P11554" i="2"/>
  <c r="V11554" i="2" s="1"/>
  <c r="P11550" i="2"/>
  <c r="V11550" i="2" s="1"/>
  <c r="P11546" i="2"/>
  <c r="V11546" i="2" s="1"/>
  <c r="P11542" i="2"/>
  <c r="V11542" i="2" s="1"/>
  <c r="P11538" i="2"/>
  <c r="V11538" i="2" s="1"/>
  <c r="P11534" i="2"/>
  <c r="V11534" i="2" s="1"/>
  <c r="P11530" i="2"/>
  <c r="V11530" i="2" s="1"/>
  <c r="P11526" i="2"/>
  <c r="V11526" i="2" s="1"/>
  <c r="P11522" i="2"/>
  <c r="V11522" i="2" s="1"/>
  <c r="P11518" i="2"/>
  <c r="V11518" i="2" s="1"/>
  <c r="P11514" i="2"/>
  <c r="V11514" i="2" s="1"/>
  <c r="P11510" i="2"/>
  <c r="V11510" i="2" s="1"/>
  <c r="P11506" i="2"/>
  <c r="V11506" i="2" s="1"/>
  <c r="P11502" i="2"/>
  <c r="V11502" i="2" s="1"/>
  <c r="P11498" i="2"/>
  <c r="V11498" i="2" s="1"/>
  <c r="P11494" i="2"/>
  <c r="V11494" i="2" s="1"/>
  <c r="P11490" i="2"/>
  <c r="V11490" i="2" s="1"/>
  <c r="P11486" i="2"/>
  <c r="V11486" i="2" s="1"/>
  <c r="P11482" i="2"/>
  <c r="V11482" i="2" s="1"/>
  <c r="P11478" i="2"/>
  <c r="V11478" i="2" s="1"/>
  <c r="P11474" i="2"/>
  <c r="V11474" i="2" s="1"/>
  <c r="P11470" i="2"/>
  <c r="V11470" i="2" s="1"/>
  <c r="P11466" i="2"/>
  <c r="V11466" i="2" s="1"/>
  <c r="P11462" i="2"/>
  <c r="V11462" i="2" s="1"/>
  <c r="P11458" i="2"/>
  <c r="V11458" i="2" s="1"/>
  <c r="P11454" i="2"/>
  <c r="V11454" i="2" s="1"/>
  <c r="P11450" i="2"/>
  <c r="V11450" i="2" s="1"/>
  <c r="P11446" i="2"/>
  <c r="V11446" i="2" s="1"/>
  <c r="P11442" i="2"/>
  <c r="V11442" i="2" s="1"/>
  <c r="P11438" i="2"/>
  <c r="V11438" i="2" s="1"/>
  <c r="P11434" i="2"/>
  <c r="V11434" i="2" s="1"/>
  <c r="P11430" i="2"/>
  <c r="V11430" i="2" s="1"/>
  <c r="P11426" i="2"/>
  <c r="V11426" i="2" s="1"/>
  <c r="P11422" i="2"/>
  <c r="V11422" i="2" s="1"/>
  <c r="P11418" i="2"/>
  <c r="V11418" i="2" s="1"/>
  <c r="P11414" i="2"/>
  <c r="V11414" i="2" s="1"/>
  <c r="P11410" i="2"/>
  <c r="V11410" i="2" s="1"/>
  <c r="P11406" i="2"/>
  <c r="V11406" i="2" s="1"/>
  <c r="P11402" i="2"/>
  <c r="V11402" i="2" s="1"/>
  <c r="P11398" i="2"/>
  <c r="V11398" i="2" s="1"/>
  <c r="P11394" i="2"/>
  <c r="V11394" i="2" s="1"/>
  <c r="P11390" i="2"/>
  <c r="V11390" i="2" s="1"/>
  <c r="P11386" i="2"/>
  <c r="V11386" i="2" s="1"/>
  <c r="P11382" i="2"/>
  <c r="V11382" i="2" s="1"/>
  <c r="P11378" i="2"/>
  <c r="V11378" i="2" s="1"/>
  <c r="P11374" i="2"/>
  <c r="V11374" i="2" s="1"/>
  <c r="P11370" i="2"/>
  <c r="V11370" i="2" s="1"/>
  <c r="P11366" i="2"/>
  <c r="V11366" i="2" s="1"/>
  <c r="P11362" i="2"/>
  <c r="V11362" i="2" s="1"/>
  <c r="P11358" i="2"/>
  <c r="V11358" i="2" s="1"/>
  <c r="P11354" i="2"/>
  <c r="V11354" i="2" s="1"/>
  <c r="P11350" i="2"/>
  <c r="V11350" i="2" s="1"/>
  <c r="P11346" i="2"/>
  <c r="V11346" i="2" s="1"/>
  <c r="P11342" i="2"/>
  <c r="V11342" i="2" s="1"/>
  <c r="P11338" i="2"/>
  <c r="V11338" i="2" s="1"/>
  <c r="P11334" i="2"/>
  <c r="V11334" i="2" s="1"/>
  <c r="P11330" i="2"/>
  <c r="V11330" i="2" s="1"/>
  <c r="P11326" i="2"/>
  <c r="V11326" i="2" s="1"/>
  <c r="P11322" i="2"/>
  <c r="V11322" i="2" s="1"/>
  <c r="P11318" i="2"/>
  <c r="V11318" i="2" s="1"/>
  <c r="P11314" i="2"/>
  <c r="V11314" i="2" s="1"/>
  <c r="P11310" i="2"/>
  <c r="V11310" i="2" s="1"/>
  <c r="P11306" i="2"/>
  <c r="V11306" i="2" s="1"/>
  <c r="P11302" i="2"/>
  <c r="V11302" i="2" s="1"/>
  <c r="P11298" i="2"/>
  <c r="V11298" i="2" s="1"/>
  <c r="P11294" i="2"/>
  <c r="V11294" i="2" s="1"/>
  <c r="P11290" i="2"/>
  <c r="V11290" i="2" s="1"/>
  <c r="P11286" i="2"/>
  <c r="V11286" i="2" s="1"/>
  <c r="P11282" i="2"/>
  <c r="V11282" i="2" s="1"/>
  <c r="P11278" i="2"/>
  <c r="V11278" i="2" s="1"/>
  <c r="P11274" i="2"/>
  <c r="V11274" i="2" s="1"/>
  <c r="P11270" i="2"/>
  <c r="V11270" i="2" s="1"/>
  <c r="P11266" i="2"/>
  <c r="V11266" i="2" s="1"/>
  <c r="P11262" i="2"/>
  <c r="V11262" i="2" s="1"/>
  <c r="P11258" i="2"/>
  <c r="V11258" i="2" s="1"/>
  <c r="P11254" i="2"/>
  <c r="V11254" i="2" s="1"/>
  <c r="P11250" i="2"/>
  <c r="V11250" i="2" s="1"/>
  <c r="P11246" i="2"/>
  <c r="V11246" i="2" s="1"/>
  <c r="P11242" i="2"/>
  <c r="V11242" i="2" s="1"/>
  <c r="P11238" i="2"/>
  <c r="V11238" i="2" s="1"/>
  <c r="P11234" i="2"/>
  <c r="V11234" i="2" s="1"/>
  <c r="P11230" i="2"/>
  <c r="V11230" i="2" s="1"/>
  <c r="P11226" i="2"/>
  <c r="V11226" i="2" s="1"/>
  <c r="P11222" i="2"/>
  <c r="V11222" i="2" s="1"/>
  <c r="P11218" i="2"/>
  <c r="V11218" i="2" s="1"/>
  <c r="P11214" i="2"/>
  <c r="V11214" i="2" s="1"/>
  <c r="P11210" i="2"/>
  <c r="V11210" i="2" s="1"/>
  <c r="P11206" i="2"/>
  <c r="V11206" i="2" s="1"/>
  <c r="P11202" i="2"/>
  <c r="V11202" i="2" s="1"/>
  <c r="P11198" i="2"/>
  <c r="V11198" i="2" s="1"/>
  <c r="P11194" i="2"/>
  <c r="V11194" i="2" s="1"/>
  <c r="P11190" i="2"/>
  <c r="V11190" i="2" s="1"/>
  <c r="P11186" i="2"/>
  <c r="V11186" i="2" s="1"/>
  <c r="P11182" i="2"/>
  <c r="V11182" i="2" s="1"/>
  <c r="P11178" i="2"/>
  <c r="V11178" i="2" s="1"/>
  <c r="P11174" i="2"/>
  <c r="V11174" i="2" s="1"/>
  <c r="P11170" i="2"/>
  <c r="V11170" i="2" s="1"/>
  <c r="P11166" i="2"/>
  <c r="V11166" i="2" s="1"/>
  <c r="P11162" i="2"/>
  <c r="V11162" i="2" s="1"/>
  <c r="P11158" i="2"/>
  <c r="V11158" i="2" s="1"/>
  <c r="P11154" i="2"/>
  <c r="V11154" i="2" s="1"/>
  <c r="P11150" i="2"/>
  <c r="V11150" i="2" s="1"/>
  <c r="P11146" i="2"/>
  <c r="V11146" i="2" s="1"/>
  <c r="P11142" i="2"/>
  <c r="V11142" i="2" s="1"/>
  <c r="P11138" i="2"/>
  <c r="V11138" i="2" s="1"/>
  <c r="P11134" i="2"/>
  <c r="V11134" i="2" s="1"/>
  <c r="P11130" i="2"/>
  <c r="V11130" i="2" s="1"/>
  <c r="P11126" i="2"/>
  <c r="V11126" i="2" s="1"/>
  <c r="P11122" i="2"/>
  <c r="V11122" i="2" s="1"/>
  <c r="P11118" i="2"/>
  <c r="V11118" i="2" s="1"/>
  <c r="P11114" i="2"/>
  <c r="V11114" i="2" s="1"/>
  <c r="P11110" i="2"/>
  <c r="V11110" i="2" s="1"/>
  <c r="P11106" i="2"/>
  <c r="V11106" i="2" s="1"/>
  <c r="P11102" i="2"/>
  <c r="V11102" i="2" s="1"/>
  <c r="P11098" i="2"/>
  <c r="V11098" i="2" s="1"/>
  <c r="P11094" i="2"/>
  <c r="V11094" i="2" s="1"/>
  <c r="P11090" i="2"/>
  <c r="V11090" i="2" s="1"/>
  <c r="P11086" i="2"/>
  <c r="V11086" i="2" s="1"/>
  <c r="P11082" i="2"/>
  <c r="V11082" i="2" s="1"/>
  <c r="P11078" i="2"/>
  <c r="V11078" i="2" s="1"/>
  <c r="P11074" i="2"/>
  <c r="V11074" i="2" s="1"/>
  <c r="P11070" i="2"/>
  <c r="V11070" i="2" s="1"/>
  <c r="P11066" i="2"/>
  <c r="V11066" i="2" s="1"/>
  <c r="P11062" i="2"/>
  <c r="V11062" i="2" s="1"/>
  <c r="P11058" i="2"/>
  <c r="V11058" i="2" s="1"/>
  <c r="P11054" i="2"/>
  <c r="V11054" i="2" s="1"/>
  <c r="P11050" i="2"/>
  <c r="V11050" i="2" s="1"/>
  <c r="P11046" i="2"/>
  <c r="V11046" i="2" s="1"/>
  <c r="P11042" i="2"/>
  <c r="V11042" i="2" s="1"/>
  <c r="P11038" i="2"/>
  <c r="V11038" i="2" s="1"/>
  <c r="P11034" i="2"/>
  <c r="V11034" i="2" s="1"/>
  <c r="P11030" i="2"/>
  <c r="V11030" i="2" s="1"/>
  <c r="P11026" i="2"/>
  <c r="V11026" i="2" s="1"/>
  <c r="P11022" i="2"/>
  <c r="V11022" i="2" s="1"/>
  <c r="P11018" i="2"/>
  <c r="V11018" i="2" s="1"/>
  <c r="P11014" i="2"/>
  <c r="V11014" i="2" s="1"/>
  <c r="P11010" i="2"/>
  <c r="V11010" i="2" s="1"/>
  <c r="P11006" i="2"/>
  <c r="V11006" i="2" s="1"/>
  <c r="P11002" i="2"/>
  <c r="V11002" i="2" s="1"/>
  <c r="P10998" i="2"/>
  <c r="V10998" i="2" s="1"/>
  <c r="P10994" i="2"/>
  <c r="V10994" i="2" s="1"/>
  <c r="P10990" i="2"/>
  <c r="V10990" i="2" s="1"/>
  <c r="P10986" i="2"/>
  <c r="V10986" i="2" s="1"/>
  <c r="P10982" i="2"/>
  <c r="V10982" i="2" s="1"/>
  <c r="P10978" i="2"/>
  <c r="V10978" i="2" s="1"/>
  <c r="P10974" i="2"/>
  <c r="V10974" i="2" s="1"/>
  <c r="P10970" i="2"/>
  <c r="V10970" i="2" s="1"/>
  <c r="P10966" i="2"/>
  <c r="V10966" i="2" s="1"/>
  <c r="P10962" i="2"/>
  <c r="V10962" i="2" s="1"/>
  <c r="P10958" i="2"/>
  <c r="V10958" i="2" s="1"/>
  <c r="P10954" i="2"/>
  <c r="V10954" i="2" s="1"/>
  <c r="P10950" i="2"/>
  <c r="V10950" i="2" s="1"/>
  <c r="P10946" i="2"/>
  <c r="V10946" i="2" s="1"/>
  <c r="P10942" i="2"/>
  <c r="V10942" i="2" s="1"/>
  <c r="P10938" i="2"/>
  <c r="V10938" i="2" s="1"/>
  <c r="P10934" i="2"/>
  <c r="V10934" i="2" s="1"/>
  <c r="P10930" i="2"/>
  <c r="V10930" i="2" s="1"/>
  <c r="P10926" i="2"/>
  <c r="V10926" i="2" s="1"/>
  <c r="P10922" i="2"/>
  <c r="V10922" i="2" s="1"/>
  <c r="P10918" i="2"/>
  <c r="V10918" i="2" s="1"/>
  <c r="P10914" i="2"/>
  <c r="V10914" i="2" s="1"/>
  <c r="P10910" i="2"/>
  <c r="V10910" i="2" s="1"/>
  <c r="P10906" i="2"/>
  <c r="V10906" i="2" s="1"/>
  <c r="P10902" i="2"/>
  <c r="V10902" i="2" s="1"/>
  <c r="P10898" i="2"/>
  <c r="V10898" i="2" s="1"/>
  <c r="P10894" i="2"/>
  <c r="V10894" i="2" s="1"/>
  <c r="P10890" i="2"/>
  <c r="V10890" i="2" s="1"/>
  <c r="P10886" i="2"/>
  <c r="V10886" i="2" s="1"/>
  <c r="P10882" i="2"/>
  <c r="V10882" i="2" s="1"/>
  <c r="P10878" i="2"/>
  <c r="V10878" i="2" s="1"/>
  <c r="P10874" i="2"/>
  <c r="V10874" i="2" s="1"/>
  <c r="P10870" i="2"/>
  <c r="V10870" i="2" s="1"/>
  <c r="P10866" i="2"/>
  <c r="V10866" i="2" s="1"/>
  <c r="P10862" i="2"/>
  <c r="V10862" i="2" s="1"/>
  <c r="P10858" i="2"/>
  <c r="V10858" i="2" s="1"/>
  <c r="P10854" i="2"/>
  <c r="V10854" i="2" s="1"/>
  <c r="P10850" i="2"/>
  <c r="V10850" i="2" s="1"/>
  <c r="P10846" i="2"/>
  <c r="V10846" i="2" s="1"/>
  <c r="P10842" i="2"/>
  <c r="V10842" i="2" s="1"/>
  <c r="P10838" i="2"/>
  <c r="V10838" i="2" s="1"/>
  <c r="P10834" i="2"/>
  <c r="V10834" i="2" s="1"/>
  <c r="P10830" i="2"/>
  <c r="V10830" i="2" s="1"/>
  <c r="P10826" i="2"/>
  <c r="V10826" i="2" s="1"/>
  <c r="P10822" i="2"/>
  <c r="V10822" i="2" s="1"/>
  <c r="P10818" i="2"/>
  <c r="V10818" i="2" s="1"/>
  <c r="P10814" i="2"/>
  <c r="V10814" i="2" s="1"/>
  <c r="P10810" i="2"/>
  <c r="V10810" i="2" s="1"/>
  <c r="P10806" i="2"/>
  <c r="V10806" i="2" s="1"/>
  <c r="P10802" i="2"/>
  <c r="V10802" i="2" s="1"/>
  <c r="P10798" i="2"/>
  <c r="V10798" i="2" s="1"/>
  <c r="P10794" i="2"/>
  <c r="V10794" i="2" s="1"/>
  <c r="P10790" i="2"/>
  <c r="V10790" i="2" s="1"/>
  <c r="P10786" i="2"/>
  <c r="V10786" i="2" s="1"/>
  <c r="P10782" i="2"/>
  <c r="V10782" i="2" s="1"/>
  <c r="P10778" i="2"/>
  <c r="V10778" i="2" s="1"/>
  <c r="P10774" i="2"/>
  <c r="V10774" i="2" s="1"/>
  <c r="P10770" i="2"/>
  <c r="V10770" i="2" s="1"/>
  <c r="P10766" i="2"/>
  <c r="V10766" i="2" s="1"/>
  <c r="P10762" i="2"/>
  <c r="V10762" i="2" s="1"/>
  <c r="P10758" i="2"/>
  <c r="V10758" i="2" s="1"/>
  <c r="P10754" i="2"/>
  <c r="V10754" i="2" s="1"/>
  <c r="P10750" i="2"/>
  <c r="V10750" i="2" s="1"/>
  <c r="P10746" i="2"/>
  <c r="V10746" i="2" s="1"/>
  <c r="P10742" i="2"/>
  <c r="V10742" i="2" s="1"/>
  <c r="P10738" i="2"/>
  <c r="V10738" i="2" s="1"/>
  <c r="P10734" i="2"/>
  <c r="V10734" i="2" s="1"/>
  <c r="P10730" i="2"/>
  <c r="V10730" i="2" s="1"/>
  <c r="P10726" i="2"/>
  <c r="V10726" i="2" s="1"/>
  <c r="P10722" i="2"/>
  <c r="V10722" i="2" s="1"/>
  <c r="P10718" i="2"/>
  <c r="V10718" i="2" s="1"/>
  <c r="P10714" i="2"/>
  <c r="V10714" i="2" s="1"/>
  <c r="P10710" i="2"/>
  <c r="V10710" i="2" s="1"/>
  <c r="P10706" i="2"/>
  <c r="V10706" i="2" s="1"/>
  <c r="P10702" i="2"/>
  <c r="V10702" i="2" s="1"/>
  <c r="P10698" i="2"/>
  <c r="V10698" i="2" s="1"/>
  <c r="P10694" i="2"/>
  <c r="V10694" i="2" s="1"/>
  <c r="P10690" i="2"/>
  <c r="V10690" i="2" s="1"/>
  <c r="P10686" i="2"/>
  <c r="V10686" i="2" s="1"/>
  <c r="P10682" i="2"/>
  <c r="V10682" i="2" s="1"/>
  <c r="P10678" i="2"/>
  <c r="V10678" i="2" s="1"/>
  <c r="P10674" i="2"/>
  <c r="V10674" i="2" s="1"/>
  <c r="P10670" i="2"/>
  <c r="V10670" i="2" s="1"/>
  <c r="P10666" i="2"/>
  <c r="V10666" i="2" s="1"/>
  <c r="P10662" i="2"/>
  <c r="V10662" i="2" s="1"/>
  <c r="P10658" i="2"/>
  <c r="V10658" i="2" s="1"/>
  <c r="P10654" i="2"/>
  <c r="V10654" i="2" s="1"/>
  <c r="P10650" i="2"/>
  <c r="V10650" i="2" s="1"/>
  <c r="P10646" i="2"/>
  <c r="V10646" i="2" s="1"/>
  <c r="P10642" i="2"/>
  <c r="V10642" i="2" s="1"/>
  <c r="P10638" i="2"/>
  <c r="V10638" i="2" s="1"/>
  <c r="P10634" i="2"/>
  <c r="V10634" i="2" s="1"/>
  <c r="P10630" i="2"/>
  <c r="V10630" i="2" s="1"/>
  <c r="P10626" i="2"/>
  <c r="V10626" i="2" s="1"/>
  <c r="P10622" i="2"/>
  <c r="V10622" i="2" s="1"/>
  <c r="P10618" i="2"/>
  <c r="V10618" i="2" s="1"/>
  <c r="P10614" i="2"/>
  <c r="V10614" i="2" s="1"/>
  <c r="P10610" i="2"/>
  <c r="V10610" i="2" s="1"/>
  <c r="P10606" i="2"/>
  <c r="V10606" i="2" s="1"/>
  <c r="P10602" i="2"/>
  <c r="V10602" i="2" s="1"/>
  <c r="P10598" i="2"/>
  <c r="V10598" i="2" s="1"/>
  <c r="P10594" i="2"/>
  <c r="V10594" i="2" s="1"/>
  <c r="P10590" i="2"/>
  <c r="V10590" i="2" s="1"/>
  <c r="P10586" i="2"/>
  <c r="V10586" i="2" s="1"/>
  <c r="P10582" i="2"/>
  <c r="V10582" i="2" s="1"/>
  <c r="P10578" i="2"/>
  <c r="V10578" i="2" s="1"/>
  <c r="P10574" i="2"/>
  <c r="V10574" i="2" s="1"/>
  <c r="P10570" i="2"/>
  <c r="V10570" i="2" s="1"/>
  <c r="P10566" i="2"/>
  <c r="V10566" i="2" s="1"/>
  <c r="P10562" i="2"/>
  <c r="V10562" i="2" s="1"/>
  <c r="P10558" i="2"/>
  <c r="V10558" i="2" s="1"/>
  <c r="P10554" i="2"/>
  <c r="V10554" i="2" s="1"/>
  <c r="P10550" i="2"/>
  <c r="V10550" i="2" s="1"/>
  <c r="P10546" i="2"/>
  <c r="V10546" i="2" s="1"/>
  <c r="P10542" i="2"/>
  <c r="V10542" i="2" s="1"/>
  <c r="P10538" i="2"/>
  <c r="V10538" i="2" s="1"/>
  <c r="P10534" i="2"/>
  <c r="V10534" i="2" s="1"/>
  <c r="P10530" i="2"/>
  <c r="V10530" i="2" s="1"/>
  <c r="P10526" i="2"/>
  <c r="V10526" i="2" s="1"/>
  <c r="P10522" i="2"/>
  <c r="V10522" i="2" s="1"/>
  <c r="P10518" i="2"/>
  <c r="V10518" i="2" s="1"/>
  <c r="P10514" i="2"/>
  <c r="V10514" i="2" s="1"/>
  <c r="P10510" i="2"/>
  <c r="V10510" i="2" s="1"/>
  <c r="P10506" i="2"/>
  <c r="V10506" i="2" s="1"/>
  <c r="P10502" i="2"/>
  <c r="V10502" i="2" s="1"/>
  <c r="P10498" i="2"/>
  <c r="V10498" i="2" s="1"/>
  <c r="P10494" i="2"/>
  <c r="V10494" i="2" s="1"/>
  <c r="P10490" i="2"/>
  <c r="V10490" i="2" s="1"/>
  <c r="P10486" i="2"/>
  <c r="V10486" i="2" s="1"/>
  <c r="P10482" i="2"/>
  <c r="V10482" i="2" s="1"/>
  <c r="P10478" i="2"/>
  <c r="V10478" i="2" s="1"/>
  <c r="P10474" i="2"/>
  <c r="V10474" i="2" s="1"/>
  <c r="P10470" i="2"/>
  <c r="V10470" i="2" s="1"/>
  <c r="P10466" i="2"/>
  <c r="V10466" i="2" s="1"/>
  <c r="P10462" i="2"/>
  <c r="V10462" i="2" s="1"/>
  <c r="P10458" i="2"/>
  <c r="V10458" i="2" s="1"/>
  <c r="P10454" i="2"/>
  <c r="V10454" i="2" s="1"/>
  <c r="P10450" i="2"/>
  <c r="V10450" i="2" s="1"/>
  <c r="P10446" i="2"/>
  <c r="V10446" i="2" s="1"/>
  <c r="P10442" i="2"/>
  <c r="V10442" i="2" s="1"/>
  <c r="P10438" i="2"/>
  <c r="V10438" i="2" s="1"/>
  <c r="P10434" i="2"/>
  <c r="V10434" i="2" s="1"/>
  <c r="P10430" i="2"/>
  <c r="V10430" i="2" s="1"/>
  <c r="P10426" i="2"/>
  <c r="V10426" i="2" s="1"/>
  <c r="P10422" i="2"/>
  <c r="V10422" i="2" s="1"/>
  <c r="P10418" i="2"/>
  <c r="V10418" i="2" s="1"/>
  <c r="P10414" i="2"/>
  <c r="V10414" i="2" s="1"/>
  <c r="P10410" i="2"/>
  <c r="V10410" i="2" s="1"/>
  <c r="P10406" i="2"/>
  <c r="V10406" i="2" s="1"/>
  <c r="P10402" i="2"/>
  <c r="V10402" i="2" s="1"/>
  <c r="P10398" i="2"/>
  <c r="V10398" i="2" s="1"/>
  <c r="P10394" i="2"/>
  <c r="V10394" i="2" s="1"/>
  <c r="P10390" i="2"/>
  <c r="V10390" i="2" s="1"/>
  <c r="P10386" i="2"/>
  <c r="V10386" i="2" s="1"/>
  <c r="P10382" i="2"/>
  <c r="V10382" i="2" s="1"/>
  <c r="P10378" i="2"/>
  <c r="V10378" i="2" s="1"/>
  <c r="P10374" i="2"/>
  <c r="V10374" i="2" s="1"/>
  <c r="P10370" i="2"/>
  <c r="V10370" i="2" s="1"/>
  <c r="P10366" i="2"/>
  <c r="V10366" i="2" s="1"/>
  <c r="P10362" i="2"/>
  <c r="V10362" i="2" s="1"/>
  <c r="P10358" i="2"/>
  <c r="V10358" i="2" s="1"/>
  <c r="P10354" i="2"/>
  <c r="V10354" i="2" s="1"/>
  <c r="P10350" i="2"/>
  <c r="V10350" i="2" s="1"/>
  <c r="P10346" i="2"/>
  <c r="V10346" i="2" s="1"/>
  <c r="P10342" i="2"/>
  <c r="V10342" i="2" s="1"/>
  <c r="P10338" i="2"/>
  <c r="V10338" i="2" s="1"/>
  <c r="P10334" i="2"/>
  <c r="V10334" i="2" s="1"/>
  <c r="P10330" i="2"/>
  <c r="V10330" i="2" s="1"/>
  <c r="P10326" i="2"/>
  <c r="V10326" i="2" s="1"/>
  <c r="P10322" i="2"/>
  <c r="V10322" i="2" s="1"/>
  <c r="P10318" i="2"/>
  <c r="V10318" i="2" s="1"/>
  <c r="P10314" i="2"/>
  <c r="V10314" i="2" s="1"/>
  <c r="P10310" i="2"/>
  <c r="V10310" i="2" s="1"/>
  <c r="P10306" i="2"/>
  <c r="V10306" i="2" s="1"/>
  <c r="P10302" i="2"/>
  <c r="V10302" i="2" s="1"/>
  <c r="P10298" i="2"/>
  <c r="V10298" i="2" s="1"/>
  <c r="P10294" i="2"/>
  <c r="V10294" i="2" s="1"/>
  <c r="P10290" i="2"/>
  <c r="V10290" i="2" s="1"/>
  <c r="P10286" i="2"/>
  <c r="V10286" i="2" s="1"/>
  <c r="P10282" i="2"/>
  <c r="V10282" i="2" s="1"/>
  <c r="P10278" i="2"/>
  <c r="V10278" i="2" s="1"/>
  <c r="P10274" i="2"/>
  <c r="V10274" i="2" s="1"/>
  <c r="P10270" i="2"/>
  <c r="V10270" i="2" s="1"/>
  <c r="P10266" i="2"/>
  <c r="V10266" i="2" s="1"/>
  <c r="P10262" i="2"/>
  <c r="V10262" i="2" s="1"/>
  <c r="P10258" i="2"/>
  <c r="V10258" i="2" s="1"/>
  <c r="P10254" i="2"/>
  <c r="V10254" i="2" s="1"/>
  <c r="P10250" i="2"/>
  <c r="V10250" i="2" s="1"/>
  <c r="P10246" i="2"/>
  <c r="V10246" i="2" s="1"/>
  <c r="P10242" i="2"/>
  <c r="V10242" i="2" s="1"/>
  <c r="P10238" i="2"/>
  <c r="V10238" i="2" s="1"/>
  <c r="P10234" i="2"/>
  <c r="V10234" i="2" s="1"/>
  <c r="P10230" i="2"/>
  <c r="V10230" i="2" s="1"/>
  <c r="P10226" i="2"/>
  <c r="V10226" i="2" s="1"/>
  <c r="P10222" i="2"/>
  <c r="V10222" i="2" s="1"/>
  <c r="P10218" i="2"/>
  <c r="V10218" i="2" s="1"/>
  <c r="P10214" i="2"/>
  <c r="V10214" i="2" s="1"/>
  <c r="P10210" i="2"/>
  <c r="V10210" i="2" s="1"/>
  <c r="P10206" i="2"/>
  <c r="V10206" i="2" s="1"/>
  <c r="P10202" i="2"/>
  <c r="V10202" i="2" s="1"/>
  <c r="P10198" i="2"/>
  <c r="V10198" i="2" s="1"/>
  <c r="P10194" i="2"/>
  <c r="V10194" i="2" s="1"/>
  <c r="P10190" i="2"/>
  <c r="V10190" i="2" s="1"/>
  <c r="P10186" i="2"/>
  <c r="V10186" i="2" s="1"/>
  <c r="P10182" i="2"/>
  <c r="V10182" i="2" s="1"/>
  <c r="P10178" i="2"/>
  <c r="V10178" i="2" s="1"/>
  <c r="P10174" i="2"/>
  <c r="V10174" i="2" s="1"/>
  <c r="P10170" i="2"/>
  <c r="V10170" i="2" s="1"/>
  <c r="P10166" i="2"/>
  <c r="V10166" i="2" s="1"/>
  <c r="P10162" i="2"/>
  <c r="V10162" i="2" s="1"/>
  <c r="P10158" i="2"/>
  <c r="V10158" i="2" s="1"/>
  <c r="P10154" i="2"/>
  <c r="V10154" i="2" s="1"/>
  <c r="P10150" i="2"/>
  <c r="V10150" i="2" s="1"/>
  <c r="P10146" i="2"/>
  <c r="V10146" i="2" s="1"/>
  <c r="P10142" i="2"/>
  <c r="V10142" i="2" s="1"/>
  <c r="P10138" i="2"/>
  <c r="V10138" i="2" s="1"/>
  <c r="P10134" i="2"/>
  <c r="V10134" i="2" s="1"/>
  <c r="P10130" i="2"/>
  <c r="V10130" i="2" s="1"/>
  <c r="P10126" i="2"/>
  <c r="V10126" i="2" s="1"/>
  <c r="P10122" i="2"/>
  <c r="V10122" i="2" s="1"/>
  <c r="P10118" i="2"/>
  <c r="V10118" i="2" s="1"/>
  <c r="P10114" i="2"/>
  <c r="V10114" i="2" s="1"/>
  <c r="P10110" i="2"/>
  <c r="V10110" i="2" s="1"/>
  <c r="P10106" i="2"/>
  <c r="V10106" i="2" s="1"/>
  <c r="P10102" i="2"/>
  <c r="V10102" i="2" s="1"/>
  <c r="P10098" i="2"/>
  <c r="V10098" i="2" s="1"/>
  <c r="P10094" i="2"/>
  <c r="V10094" i="2" s="1"/>
  <c r="P10090" i="2"/>
  <c r="V10090" i="2" s="1"/>
  <c r="P10086" i="2"/>
  <c r="V10086" i="2" s="1"/>
  <c r="P10082" i="2"/>
  <c r="V10082" i="2" s="1"/>
  <c r="P10078" i="2"/>
  <c r="V10078" i="2" s="1"/>
  <c r="P10074" i="2"/>
  <c r="V10074" i="2" s="1"/>
  <c r="P10070" i="2"/>
  <c r="V10070" i="2" s="1"/>
  <c r="P10066" i="2"/>
  <c r="V10066" i="2" s="1"/>
  <c r="P10062" i="2"/>
  <c r="V10062" i="2" s="1"/>
  <c r="P10058" i="2"/>
  <c r="V10058" i="2" s="1"/>
  <c r="P10054" i="2"/>
  <c r="V10054" i="2" s="1"/>
  <c r="P10050" i="2"/>
  <c r="V10050" i="2" s="1"/>
  <c r="P10046" i="2"/>
  <c r="V10046" i="2" s="1"/>
  <c r="P10042" i="2"/>
  <c r="V10042" i="2" s="1"/>
  <c r="P10038" i="2"/>
  <c r="V10038" i="2" s="1"/>
  <c r="P10034" i="2"/>
  <c r="V10034" i="2" s="1"/>
  <c r="P10030" i="2"/>
  <c r="V10030" i="2" s="1"/>
  <c r="P10026" i="2"/>
  <c r="V10026" i="2" s="1"/>
  <c r="P10022" i="2"/>
  <c r="V10022" i="2" s="1"/>
  <c r="P10018" i="2"/>
  <c r="V10018" i="2" s="1"/>
  <c r="P10014" i="2"/>
  <c r="V10014" i="2" s="1"/>
  <c r="P10010" i="2"/>
  <c r="V10010" i="2" s="1"/>
  <c r="P10006" i="2"/>
  <c r="V10006" i="2" s="1"/>
  <c r="P10002" i="2"/>
  <c r="V10002" i="2" s="1"/>
  <c r="P9998" i="2"/>
  <c r="V9998" i="2" s="1"/>
  <c r="P9994" i="2"/>
  <c r="V9994" i="2" s="1"/>
  <c r="P9990" i="2"/>
  <c r="V9990" i="2" s="1"/>
  <c r="P9986" i="2"/>
  <c r="V9986" i="2" s="1"/>
  <c r="P9982" i="2"/>
  <c r="V9982" i="2" s="1"/>
  <c r="P9978" i="2"/>
  <c r="V9978" i="2" s="1"/>
  <c r="P9974" i="2"/>
  <c r="V9974" i="2" s="1"/>
  <c r="P9970" i="2"/>
  <c r="V9970" i="2" s="1"/>
  <c r="P9966" i="2"/>
  <c r="V9966" i="2" s="1"/>
  <c r="P9962" i="2"/>
  <c r="V9962" i="2" s="1"/>
  <c r="P9958" i="2"/>
  <c r="V9958" i="2" s="1"/>
  <c r="P9954" i="2"/>
  <c r="V9954" i="2" s="1"/>
  <c r="P9950" i="2"/>
  <c r="V9950" i="2" s="1"/>
  <c r="P9946" i="2"/>
  <c r="V9946" i="2" s="1"/>
  <c r="P9942" i="2"/>
  <c r="V9942" i="2" s="1"/>
  <c r="P9938" i="2"/>
  <c r="V9938" i="2" s="1"/>
  <c r="P9934" i="2"/>
  <c r="V9934" i="2" s="1"/>
  <c r="P9930" i="2"/>
  <c r="V9930" i="2" s="1"/>
  <c r="P9926" i="2"/>
  <c r="V9926" i="2" s="1"/>
  <c r="P9922" i="2"/>
  <c r="V9922" i="2" s="1"/>
  <c r="P9918" i="2"/>
  <c r="V9918" i="2" s="1"/>
  <c r="P9914" i="2"/>
  <c r="V9914" i="2" s="1"/>
  <c r="P9910" i="2"/>
  <c r="V9910" i="2" s="1"/>
  <c r="P9906" i="2"/>
  <c r="V9906" i="2" s="1"/>
  <c r="P9902" i="2"/>
  <c r="V9902" i="2" s="1"/>
  <c r="P9898" i="2"/>
  <c r="V9898" i="2" s="1"/>
  <c r="P9894" i="2"/>
  <c r="V9894" i="2" s="1"/>
  <c r="P9890" i="2"/>
  <c r="V9890" i="2" s="1"/>
  <c r="P9886" i="2"/>
  <c r="V9886" i="2" s="1"/>
  <c r="P9882" i="2"/>
  <c r="V9882" i="2" s="1"/>
  <c r="P9878" i="2"/>
  <c r="V9878" i="2" s="1"/>
  <c r="P9874" i="2"/>
  <c r="V9874" i="2" s="1"/>
  <c r="P9870" i="2"/>
  <c r="V9870" i="2" s="1"/>
  <c r="P9866" i="2"/>
  <c r="V9866" i="2" s="1"/>
  <c r="P9862" i="2"/>
  <c r="V9862" i="2" s="1"/>
  <c r="P9858" i="2"/>
  <c r="V9858" i="2" s="1"/>
  <c r="P9854" i="2"/>
  <c r="V9854" i="2" s="1"/>
  <c r="P9850" i="2"/>
  <c r="V9850" i="2" s="1"/>
  <c r="P9846" i="2"/>
  <c r="V9846" i="2" s="1"/>
  <c r="P9842" i="2"/>
  <c r="V9842" i="2" s="1"/>
  <c r="P9838" i="2"/>
  <c r="V9838" i="2" s="1"/>
  <c r="P9834" i="2"/>
  <c r="V9834" i="2" s="1"/>
  <c r="P9830" i="2"/>
  <c r="V9830" i="2" s="1"/>
  <c r="P9826" i="2"/>
  <c r="V9826" i="2" s="1"/>
  <c r="P9822" i="2"/>
  <c r="V9822" i="2" s="1"/>
  <c r="P9818" i="2"/>
  <c r="V9818" i="2" s="1"/>
  <c r="P9814" i="2"/>
  <c r="V9814" i="2" s="1"/>
  <c r="P9810" i="2"/>
  <c r="V9810" i="2" s="1"/>
  <c r="P9806" i="2"/>
  <c r="V9806" i="2" s="1"/>
  <c r="P9802" i="2"/>
  <c r="V9802" i="2" s="1"/>
  <c r="P9798" i="2"/>
  <c r="V9798" i="2" s="1"/>
  <c r="P9794" i="2"/>
  <c r="V9794" i="2" s="1"/>
  <c r="P9790" i="2"/>
  <c r="V9790" i="2" s="1"/>
  <c r="P9786" i="2"/>
  <c r="V9786" i="2" s="1"/>
  <c r="P9782" i="2"/>
  <c r="V9782" i="2" s="1"/>
  <c r="P9778" i="2"/>
  <c r="V9778" i="2" s="1"/>
  <c r="P9774" i="2"/>
  <c r="V9774" i="2" s="1"/>
  <c r="P9770" i="2"/>
  <c r="V9770" i="2" s="1"/>
  <c r="P9766" i="2"/>
  <c r="V9766" i="2" s="1"/>
  <c r="P9762" i="2"/>
  <c r="V9762" i="2" s="1"/>
  <c r="P9758" i="2"/>
  <c r="V9758" i="2" s="1"/>
  <c r="P9754" i="2"/>
  <c r="V9754" i="2" s="1"/>
  <c r="P9750" i="2"/>
  <c r="V9750" i="2" s="1"/>
  <c r="P9746" i="2"/>
  <c r="V9746" i="2" s="1"/>
  <c r="P9742" i="2"/>
  <c r="V9742" i="2" s="1"/>
  <c r="P9738" i="2"/>
  <c r="V9738" i="2" s="1"/>
  <c r="P9734" i="2"/>
  <c r="V9734" i="2" s="1"/>
  <c r="P9730" i="2"/>
  <c r="V9730" i="2" s="1"/>
  <c r="P9726" i="2"/>
  <c r="V9726" i="2" s="1"/>
  <c r="P9722" i="2"/>
  <c r="V9722" i="2" s="1"/>
  <c r="P9718" i="2"/>
  <c r="V9718" i="2" s="1"/>
  <c r="P9714" i="2"/>
  <c r="V9714" i="2" s="1"/>
  <c r="P9710" i="2"/>
  <c r="V9710" i="2" s="1"/>
  <c r="P9706" i="2"/>
  <c r="V9706" i="2" s="1"/>
  <c r="P9702" i="2"/>
  <c r="V9702" i="2" s="1"/>
  <c r="P9698" i="2"/>
  <c r="V9698" i="2" s="1"/>
  <c r="P9694" i="2"/>
  <c r="V9694" i="2" s="1"/>
  <c r="P9690" i="2"/>
  <c r="V9690" i="2" s="1"/>
  <c r="P9686" i="2"/>
  <c r="V9686" i="2" s="1"/>
  <c r="P9682" i="2"/>
  <c r="V9682" i="2" s="1"/>
  <c r="P9678" i="2"/>
  <c r="V9678" i="2" s="1"/>
  <c r="P9674" i="2"/>
  <c r="V9674" i="2" s="1"/>
  <c r="P9670" i="2"/>
  <c r="V9670" i="2" s="1"/>
  <c r="P9666" i="2"/>
  <c r="V9666" i="2" s="1"/>
  <c r="P9662" i="2"/>
  <c r="V9662" i="2" s="1"/>
  <c r="P9658" i="2"/>
  <c r="V9658" i="2" s="1"/>
  <c r="P9654" i="2"/>
  <c r="V9654" i="2" s="1"/>
  <c r="P9650" i="2"/>
  <c r="V9650" i="2" s="1"/>
  <c r="P9646" i="2"/>
  <c r="V9646" i="2" s="1"/>
  <c r="P9642" i="2"/>
  <c r="V9642" i="2" s="1"/>
  <c r="P9638" i="2"/>
  <c r="V9638" i="2" s="1"/>
  <c r="P9634" i="2"/>
  <c r="V9634" i="2" s="1"/>
  <c r="P9630" i="2"/>
  <c r="V9630" i="2" s="1"/>
  <c r="P9626" i="2"/>
  <c r="V9626" i="2" s="1"/>
  <c r="P9622" i="2"/>
  <c r="V9622" i="2" s="1"/>
  <c r="P9618" i="2"/>
  <c r="V9618" i="2" s="1"/>
  <c r="P9614" i="2"/>
  <c r="V9614" i="2" s="1"/>
  <c r="P9610" i="2"/>
  <c r="V9610" i="2" s="1"/>
  <c r="P9606" i="2"/>
  <c r="V9606" i="2" s="1"/>
  <c r="P9602" i="2"/>
  <c r="V9602" i="2" s="1"/>
  <c r="P9598" i="2"/>
  <c r="V9598" i="2" s="1"/>
  <c r="P9594" i="2"/>
  <c r="V9594" i="2" s="1"/>
  <c r="P9590" i="2"/>
  <c r="V9590" i="2" s="1"/>
  <c r="P9586" i="2"/>
  <c r="V9586" i="2" s="1"/>
  <c r="P9582" i="2"/>
  <c r="V9582" i="2" s="1"/>
  <c r="P9578" i="2"/>
  <c r="V9578" i="2" s="1"/>
  <c r="P9574" i="2"/>
  <c r="V9574" i="2" s="1"/>
  <c r="P9570" i="2"/>
  <c r="V9570" i="2" s="1"/>
  <c r="P9566" i="2"/>
  <c r="V9566" i="2" s="1"/>
  <c r="P9562" i="2"/>
  <c r="V9562" i="2" s="1"/>
  <c r="P9558" i="2"/>
  <c r="V9558" i="2" s="1"/>
  <c r="P9554" i="2"/>
  <c r="V9554" i="2" s="1"/>
  <c r="P9550" i="2"/>
  <c r="V9550" i="2" s="1"/>
  <c r="P9546" i="2"/>
  <c r="V9546" i="2" s="1"/>
  <c r="P9542" i="2"/>
  <c r="V9542" i="2" s="1"/>
  <c r="P9538" i="2"/>
  <c r="V9538" i="2" s="1"/>
  <c r="P9534" i="2"/>
  <c r="V9534" i="2" s="1"/>
  <c r="P9530" i="2"/>
  <c r="V9530" i="2" s="1"/>
  <c r="P9526" i="2"/>
  <c r="V9526" i="2" s="1"/>
  <c r="P9522" i="2"/>
  <c r="V9522" i="2" s="1"/>
  <c r="P9518" i="2"/>
  <c r="V9518" i="2" s="1"/>
  <c r="P9514" i="2"/>
  <c r="V9514" i="2" s="1"/>
  <c r="P9510" i="2"/>
  <c r="V9510" i="2" s="1"/>
  <c r="P9506" i="2"/>
  <c r="V9506" i="2" s="1"/>
  <c r="P9502" i="2"/>
  <c r="V9502" i="2" s="1"/>
  <c r="P9498" i="2"/>
  <c r="V9498" i="2" s="1"/>
  <c r="P9494" i="2"/>
  <c r="V9494" i="2" s="1"/>
  <c r="P9490" i="2"/>
  <c r="V9490" i="2" s="1"/>
  <c r="P9486" i="2"/>
  <c r="V9486" i="2" s="1"/>
  <c r="P9482" i="2"/>
  <c r="V9482" i="2" s="1"/>
  <c r="P9478" i="2"/>
  <c r="V9478" i="2" s="1"/>
  <c r="P9474" i="2"/>
  <c r="V9474" i="2" s="1"/>
  <c r="P9470" i="2"/>
  <c r="V9470" i="2" s="1"/>
  <c r="P9466" i="2"/>
  <c r="V9466" i="2" s="1"/>
  <c r="P9462" i="2"/>
  <c r="V9462" i="2" s="1"/>
  <c r="P9458" i="2"/>
  <c r="V9458" i="2" s="1"/>
  <c r="P9454" i="2"/>
  <c r="V9454" i="2" s="1"/>
  <c r="P9450" i="2"/>
  <c r="V9450" i="2" s="1"/>
  <c r="P9446" i="2"/>
  <c r="V9446" i="2" s="1"/>
  <c r="P9442" i="2"/>
  <c r="V9442" i="2" s="1"/>
  <c r="P9438" i="2"/>
  <c r="V9438" i="2" s="1"/>
  <c r="P9434" i="2"/>
  <c r="V9434" i="2" s="1"/>
  <c r="P9430" i="2"/>
  <c r="V9430" i="2" s="1"/>
  <c r="P9426" i="2"/>
  <c r="V9426" i="2" s="1"/>
  <c r="P9422" i="2"/>
  <c r="V9422" i="2" s="1"/>
  <c r="P9418" i="2"/>
  <c r="V9418" i="2" s="1"/>
  <c r="P9414" i="2"/>
  <c r="V9414" i="2" s="1"/>
  <c r="P9410" i="2"/>
  <c r="V9410" i="2" s="1"/>
  <c r="P9406" i="2"/>
  <c r="V9406" i="2" s="1"/>
  <c r="P9402" i="2"/>
  <c r="V9402" i="2" s="1"/>
  <c r="P9398" i="2"/>
  <c r="V9398" i="2" s="1"/>
  <c r="P9394" i="2"/>
  <c r="V9394" i="2" s="1"/>
  <c r="P9390" i="2"/>
  <c r="V9390" i="2" s="1"/>
  <c r="P9386" i="2"/>
  <c r="V9386" i="2" s="1"/>
  <c r="P9382" i="2"/>
  <c r="V9382" i="2" s="1"/>
  <c r="P9378" i="2"/>
  <c r="V9378" i="2" s="1"/>
  <c r="P9374" i="2"/>
  <c r="V9374" i="2" s="1"/>
  <c r="P9370" i="2"/>
  <c r="V9370" i="2" s="1"/>
  <c r="P9366" i="2"/>
  <c r="V9366" i="2" s="1"/>
  <c r="P9362" i="2"/>
  <c r="V9362" i="2" s="1"/>
  <c r="P9358" i="2"/>
  <c r="V9358" i="2" s="1"/>
  <c r="P9354" i="2"/>
  <c r="V9354" i="2" s="1"/>
  <c r="P9350" i="2"/>
  <c r="V9350" i="2" s="1"/>
  <c r="P9346" i="2"/>
  <c r="V9346" i="2" s="1"/>
  <c r="P9342" i="2"/>
  <c r="V9342" i="2" s="1"/>
  <c r="P9338" i="2"/>
  <c r="V9338" i="2" s="1"/>
  <c r="P9334" i="2"/>
  <c r="V9334" i="2" s="1"/>
  <c r="P9330" i="2"/>
  <c r="V9330" i="2" s="1"/>
  <c r="P9326" i="2"/>
  <c r="V9326" i="2" s="1"/>
  <c r="P9322" i="2"/>
  <c r="V9322" i="2" s="1"/>
  <c r="P9318" i="2"/>
  <c r="V9318" i="2" s="1"/>
  <c r="P9314" i="2"/>
  <c r="V9314" i="2" s="1"/>
  <c r="P9310" i="2"/>
  <c r="V9310" i="2" s="1"/>
  <c r="P9306" i="2"/>
  <c r="V9306" i="2" s="1"/>
  <c r="P9302" i="2"/>
  <c r="V9302" i="2" s="1"/>
  <c r="P9298" i="2"/>
  <c r="V9298" i="2" s="1"/>
  <c r="P9294" i="2"/>
  <c r="V9294" i="2" s="1"/>
  <c r="P9290" i="2"/>
  <c r="V9290" i="2" s="1"/>
  <c r="P9286" i="2"/>
  <c r="V9286" i="2" s="1"/>
  <c r="P9282" i="2"/>
  <c r="V9282" i="2" s="1"/>
  <c r="P9278" i="2"/>
  <c r="V9278" i="2" s="1"/>
  <c r="P9274" i="2"/>
  <c r="V9274" i="2" s="1"/>
  <c r="P9270" i="2"/>
  <c r="V9270" i="2" s="1"/>
  <c r="P9266" i="2"/>
  <c r="V9266" i="2" s="1"/>
  <c r="P9262" i="2"/>
  <c r="V9262" i="2" s="1"/>
  <c r="P9258" i="2"/>
  <c r="V9258" i="2" s="1"/>
  <c r="P9254" i="2"/>
  <c r="V9254" i="2" s="1"/>
  <c r="P9250" i="2"/>
  <c r="V9250" i="2" s="1"/>
  <c r="P9246" i="2"/>
  <c r="V9246" i="2" s="1"/>
  <c r="P9242" i="2"/>
  <c r="V9242" i="2" s="1"/>
  <c r="P9238" i="2"/>
  <c r="V9238" i="2" s="1"/>
  <c r="P9234" i="2"/>
  <c r="V9234" i="2" s="1"/>
  <c r="P9230" i="2"/>
  <c r="V9230" i="2" s="1"/>
  <c r="P9226" i="2"/>
  <c r="V9226" i="2" s="1"/>
  <c r="P9222" i="2"/>
  <c r="V9222" i="2" s="1"/>
  <c r="P9218" i="2"/>
  <c r="V9218" i="2" s="1"/>
  <c r="P9214" i="2"/>
  <c r="V9214" i="2" s="1"/>
  <c r="P9210" i="2"/>
  <c r="V9210" i="2" s="1"/>
  <c r="P9206" i="2"/>
  <c r="V9206" i="2" s="1"/>
  <c r="P9202" i="2"/>
  <c r="V9202" i="2" s="1"/>
  <c r="P9198" i="2"/>
  <c r="V9198" i="2" s="1"/>
  <c r="P9194" i="2"/>
  <c r="V9194" i="2" s="1"/>
  <c r="P9190" i="2"/>
  <c r="V9190" i="2" s="1"/>
  <c r="P9186" i="2"/>
  <c r="V9186" i="2" s="1"/>
  <c r="P9182" i="2"/>
  <c r="V9182" i="2" s="1"/>
  <c r="P9178" i="2"/>
  <c r="V9178" i="2" s="1"/>
  <c r="P9174" i="2"/>
  <c r="V9174" i="2" s="1"/>
  <c r="P9170" i="2"/>
  <c r="V9170" i="2" s="1"/>
  <c r="P9166" i="2"/>
  <c r="V9166" i="2" s="1"/>
  <c r="P9162" i="2"/>
  <c r="V9162" i="2" s="1"/>
  <c r="P9158" i="2"/>
  <c r="V9158" i="2" s="1"/>
  <c r="P9154" i="2"/>
  <c r="V9154" i="2" s="1"/>
  <c r="P9150" i="2"/>
  <c r="V9150" i="2" s="1"/>
  <c r="P9146" i="2"/>
  <c r="V9146" i="2" s="1"/>
  <c r="P9142" i="2"/>
  <c r="V9142" i="2" s="1"/>
  <c r="P9138" i="2"/>
  <c r="V9138" i="2" s="1"/>
  <c r="P9134" i="2"/>
  <c r="V9134" i="2" s="1"/>
  <c r="P9130" i="2"/>
  <c r="V9130" i="2" s="1"/>
  <c r="P9126" i="2"/>
  <c r="V9126" i="2" s="1"/>
  <c r="P9122" i="2"/>
  <c r="V9122" i="2" s="1"/>
  <c r="P9118" i="2"/>
  <c r="V9118" i="2" s="1"/>
  <c r="P9114" i="2"/>
  <c r="V9114" i="2" s="1"/>
  <c r="P9110" i="2"/>
  <c r="V9110" i="2" s="1"/>
  <c r="P9106" i="2"/>
  <c r="V9106" i="2" s="1"/>
  <c r="P9102" i="2"/>
  <c r="V9102" i="2" s="1"/>
  <c r="P9098" i="2"/>
  <c r="V9098" i="2" s="1"/>
  <c r="P9094" i="2"/>
  <c r="V9094" i="2" s="1"/>
  <c r="P9090" i="2"/>
  <c r="V9090" i="2" s="1"/>
  <c r="P9086" i="2"/>
  <c r="V9086" i="2" s="1"/>
  <c r="P9082" i="2"/>
  <c r="V9082" i="2" s="1"/>
  <c r="P9078" i="2"/>
  <c r="V9078" i="2" s="1"/>
  <c r="P9074" i="2"/>
  <c r="V9074" i="2" s="1"/>
  <c r="P9070" i="2"/>
  <c r="V9070" i="2" s="1"/>
  <c r="P9066" i="2"/>
  <c r="V9066" i="2" s="1"/>
  <c r="P9062" i="2"/>
  <c r="V9062" i="2" s="1"/>
  <c r="P9058" i="2"/>
  <c r="V9058" i="2" s="1"/>
  <c r="P9054" i="2"/>
  <c r="V9054" i="2" s="1"/>
  <c r="P9050" i="2"/>
  <c r="V9050" i="2" s="1"/>
  <c r="P9046" i="2"/>
  <c r="V9046" i="2" s="1"/>
  <c r="P9042" i="2"/>
  <c r="V9042" i="2" s="1"/>
  <c r="P9038" i="2"/>
  <c r="V9038" i="2" s="1"/>
  <c r="P9034" i="2"/>
  <c r="V9034" i="2" s="1"/>
  <c r="P9030" i="2"/>
  <c r="V9030" i="2" s="1"/>
  <c r="P9026" i="2"/>
  <c r="V9026" i="2" s="1"/>
  <c r="P9022" i="2"/>
  <c r="V9022" i="2" s="1"/>
  <c r="P9018" i="2"/>
  <c r="V9018" i="2" s="1"/>
  <c r="P9014" i="2"/>
  <c r="V9014" i="2" s="1"/>
  <c r="P9010" i="2"/>
  <c r="V9010" i="2" s="1"/>
  <c r="P9006" i="2"/>
  <c r="V9006" i="2" s="1"/>
  <c r="P9002" i="2"/>
  <c r="V9002" i="2" s="1"/>
  <c r="P8998" i="2"/>
  <c r="V8998" i="2" s="1"/>
  <c r="P8994" i="2"/>
  <c r="V8994" i="2" s="1"/>
  <c r="P8990" i="2"/>
  <c r="V8990" i="2" s="1"/>
  <c r="P8986" i="2"/>
  <c r="V8986" i="2" s="1"/>
  <c r="P8982" i="2"/>
  <c r="V8982" i="2" s="1"/>
  <c r="P8978" i="2"/>
  <c r="V8978" i="2" s="1"/>
  <c r="P8974" i="2"/>
  <c r="V8974" i="2" s="1"/>
  <c r="P8970" i="2"/>
  <c r="V8970" i="2" s="1"/>
  <c r="P8966" i="2"/>
  <c r="V8966" i="2" s="1"/>
  <c r="P8962" i="2"/>
  <c r="V8962" i="2" s="1"/>
  <c r="P8958" i="2"/>
  <c r="V8958" i="2" s="1"/>
  <c r="P8954" i="2"/>
  <c r="V8954" i="2" s="1"/>
  <c r="P8950" i="2"/>
  <c r="V8950" i="2" s="1"/>
  <c r="P8946" i="2"/>
  <c r="V8946" i="2" s="1"/>
  <c r="P8942" i="2"/>
  <c r="V8942" i="2" s="1"/>
  <c r="P8938" i="2"/>
  <c r="V8938" i="2" s="1"/>
  <c r="P8934" i="2"/>
  <c r="V8934" i="2" s="1"/>
  <c r="P8930" i="2"/>
  <c r="V8930" i="2" s="1"/>
  <c r="P8926" i="2"/>
  <c r="V8926" i="2" s="1"/>
  <c r="P8922" i="2"/>
  <c r="V8922" i="2" s="1"/>
  <c r="P8918" i="2"/>
  <c r="V8918" i="2" s="1"/>
  <c r="P8914" i="2"/>
  <c r="V8914" i="2" s="1"/>
  <c r="P8910" i="2"/>
  <c r="V8910" i="2" s="1"/>
  <c r="P8906" i="2"/>
  <c r="V8906" i="2" s="1"/>
  <c r="P8902" i="2"/>
  <c r="V8902" i="2" s="1"/>
  <c r="P8898" i="2"/>
  <c r="V8898" i="2" s="1"/>
  <c r="P8894" i="2"/>
  <c r="V8894" i="2" s="1"/>
  <c r="P8890" i="2"/>
  <c r="V8890" i="2" s="1"/>
  <c r="P8886" i="2"/>
  <c r="V8886" i="2" s="1"/>
  <c r="P8882" i="2"/>
  <c r="V8882" i="2" s="1"/>
  <c r="P8878" i="2"/>
  <c r="V8878" i="2" s="1"/>
  <c r="P8874" i="2"/>
  <c r="V8874" i="2" s="1"/>
  <c r="P8870" i="2"/>
  <c r="V8870" i="2" s="1"/>
  <c r="P8866" i="2"/>
  <c r="V8866" i="2" s="1"/>
  <c r="P8862" i="2"/>
  <c r="V8862" i="2" s="1"/>
  <c r="P8858" i="2"/>
  <c r="V8858" i="2" s="1"/>
  <c r="P8854" i="2"/>
  <c r="V8854" i="2" s="1"/>
  <c r="P8850" i="2"/>
  <c r="V8850" i="2" s="1"/>
  <c r="P8846" i="2"/>
  <c r="V8846" i="2" s="1"/>
  <c r="P8842" i="2"/>
  <c r="V8842" i="2" s="1"/>
  <c r="P8838" i="2"/>
  <c r="V8838" i="2" s="1"/>
  <c r="P8834" i="2"/>
  <c r="V8834" i="2" s="1"/>
  <c r="P8830" i="2"/>
  <c r="V8830" i="2" s="1"/>
  <c r="P8826" i="2"/>
  <c r="V8826" i="2" s="1"/>
  <c r="P8822" i="2"/>
  <c r="V8822" i="2" s="1"/>
  <c r="P8818" i="2"/>
  <c r="V8818" i="2" s="1"/>
  <c r="P8814" i="2"/>
  <c r="V8814" i="2" s="1"/>
  <c r="P8810" i="2"/>
  <c r="V8810" i="2" s="1"/>
  <c r="P8806" i="2"/>
  <c r="V8806" i="2" s="1"/>
  <c r="P8802" i="2"/>
  <c r="V8802" i="2" s="1"/>
  <c r="P8798" i="2"/>
  <c r="V8798" i="2" s="1"/>
  <c r="P8794" i="2"/>
  <c r="V8794" i="2" s="1"/>
  <c r="P8790" i="2"/>
  <c r="V8790" i="2" s="1"/>
  <c r="P8786" i="2"/>
  <c r="V8786" i="2" s="1"/>
  <c r="P8782" i="2"/>
  <c r="V8782" i="2" s="1"/>
  <c r="P8778" i="2"/>
  <c r="V8778" i="2" s="1"/>
  <c r="P8774" i="2"/>
  <c r="V8774" i="2" s="1"/>
  <c r="P8770" i="2"/>
  <c r="V8770" i="2" s="1"/>
  <c r="P8766" i="2"/>
  <c r="V8766" i="2" s="1"/>
  <c r="P8762" i="2"/>
  <c r="V8762" i="2" s="1"/>
  <c r="P8758" i="2"/>
  <c r="V8758" i="2" s="1"/>
  <c r="P8754" i="2"/>
  <c r="V8754" i="2" s="1"/>
  <c r="P8750" i="2"/>
  <c r="V8750" i="2" s="1"/>
  <c r="P8746" i="2"/>
  <c r="V8746" i="2" s="1"/>
  <c r="P8742" i="2"/>
  <c r="V8742" i="2" s="1"/>
  <c r="P8738" i="2"/>
  <c r="V8738" i="2" s="1"/>
  <c r="P8734" i="2"/>
  <c r="V8734" i="2" s="1"/>
  <c r="P8730" i="2"/>
  <c r="V8730" i="2" s="1"/>
  <c r="P8726" i="2"/>
  <c r="V8726" i="2" s="1"/>
  <c r="P8722" i="2"/>
  <c r="V8722" i="2" s="1"/>
  <c r="P8718" i="2"/>
  <c r="V8718" i="2" s="1"/>
  <c r="P8714" i="2"/>
  <c r="V8714" i="2" s="1"/>
  <c r="P8710" i="2"/>
  <c r="V8710" i="2" s="1"/>
  <c r="P8706" i="2"/>
  <c r="V8706" i="2" s="1"/>
  <c r="P8702" i="2"/>
  <c r="V8702" i="2" s="1"/>
  <c r="P8698" i="2"/>
  <c r="V8698" i="2" s="1"/>
  <c r="P8694" i="2"/>
  <c r="V8694" i="2" s="1"/>
  <c r="P8690" i="2"/>
  <c r="V8690" i="2" s="1"/>
  <c r="P8686" i="2"/>
  <c r="V8686" i="2" s="1"/>
  <c r="P8682" i="2"/>
  <c r="V8682" i="2" s="1"/>
  <c r="P8678" i="2"/>
  <c r="V8678" i="2" s="1"/>
  <c r="P8674" i="2"/>
  <c r="V8674" i="2" s="1"/>
  <c r="P8670" i="2"/>
  <c r="V8670" i="2" s="1"/>
  <c r="P8666" i="2"/>
  <c r="V8666" i="2" s="1"/>
  <c r="P8662" i="2"/>
  <c r="V8662" i="2" s="1"/>
  <c r="P8658" i="2"/>
  <c r="V8658" i="2" s="1"/>
  <c r="P8654" i="2"/>
  <c r="V8654" i="2" s="1"/>
  <c r="P8650" i="2"/>
  <c r="V8650" i="2" s="1"/>
  <c r="P8646" i="2"/>
  <c r="V8646" i="2" s="1"/>
  <c r="P8642" i="2"/>
  <c r="V8642" i="2" s="1"/>
  <c r="P8638" i="2"/>
  <c r="V8638" i="2" s="1"/>
  <c r="P8634" i="2"/>
  <c r="V8634" i="2" s="1"/>
  <c r="P8630" i="2"/>
  <c r="V8630" i="2" s="1"/>
  <c r="P8626" i="2"/>
  <c r="V8626" i="2" s="1"/>
  <c r="P8622" i="2"/>
  <c r="V8622" i="2" s="1"/>
  <c r="P8618" i="2"/>
  <c r="V8618" i="2" s="1"/>
  <c r="P8614" i="2"/>
  <c r="V8614" i="2" s="1"/>
  <c r="P8610" i="2"/>
  <c r="V8610" i="2" s="1"/>
  <c r="P8606" i="2"/>
  <c r="V8606" i="2" s="1"/>
  <c r="P8602" i="2"/>
  <c r="V8602" i="2" s="1"/>
  <c r="P8598" i="2"/>
  <c r="V8598" i="2" s="1"/>
  <c r="P8594" i="2"/>
  <c r="V8594" i="2" s="1"/>
  <c r="P8590" i="2"/>
  <c r="V8590" i="2" s="1"/>
  <c r="P8586" i="2"/>
  <c r="V8586" i="2" s="1"/>
  <c r="P8582" i="2"/>
  <c r="V8582" i="2" s="1"/>
  <c r="P8578" i="2"/>
  <c r="V8578" i="2" s="1"/>
  <c r="P8574" i="2"/>
  <c r="V8574" i="2" s="1"/>
  <c r="P8570" i="2"/>
  <c r="V8570" i="2" s="1"/>
  <c r="P8566" i="2"/>
  <c r="V8566" i="2" s="1"/>
  <c r="P8562" i="2"/>
  <c r="V8562" i="2" s="1"/>
  <c r="P8558" i="2"/>
  <c r="V8558" i="2" s="1"/>
  <c r="P8554" i="2"/>
  <c r="V8554" i="2" s="1"/>
  <c r="P8550" i="2"/>
  <c r="V8550" i="2" s="1"/>
  <c r="P8546" i="2"/>
  <c r="V8546" i="2" s="1"/>
  <c r="P8542" i="2"/>
  <c r="V8542" i="2" s="1"/>
  <c r="P8538" i="2"/>
  <c r="V8538" i="2" s="1"/>
  <c r="P8534" i="2"/>
  <c r="V8534" i="2" s="1"/>
  <c r="P8530" i="2"/>
  <c r="V8530" i="2" s="1"/>
  <c r="P8526" i="2"/>
  <c r="V8526" i="2" s="1"/>
  <c r="P8522" i="2"/>
  <c r="V8522" i="2" s="1"/>
  <c r="P8518" i="2"/>
  <c r="V8518" i="2" s="1"/>
  <c r="P8514" i="2"/>
  <c r="V8514" i="2" s="1"/>
  <c r="P8510" i="2"/>
  <c r="V8510" i="2" s="1"/>
  <c r="P8506" i="2"/>
  <c r="V8506" i="2" s="1"/>
  <c r="P8502" i="2"/>
  <c r="V8502" i="2" s="1"/>
  <c r="P8498" i="2"/>
  <c r="V8498" i="2" s="1"/>
  <c r="P8494" i="2"/>
  <c r="V8494" i="2" s="1"/>
  <c r="P8490" i="2"/>
  <c r="V8490" i="2" s="1"/>
  <c r="P8486" i="2"/>
  <c r="V8486" i="2" s="1"/>
  <c r="P8482" i="2"/>
  <c r="V8482" i="2" s="1"/>
  <c r="P8478" i="2"/>
  <c r="V8478" i="2" s="1"/>
  <c r="P8474" i="2"/>
  <c r="V8474" i="2" s="1"/>
  <c r="P8470" i="2"/>
  <c r="V8470" i="2" s="1"/>
  <c r="P8466" i="2"/>
  <c r="V8466" i="2" s="1"/>
  <c r="P8462" i="2"/>
  <c r="V8462" i="2" s="1"/>
  <c r="P8458" i="2"/>
  <c r="V8458" i="2" s="1"/>
  <c r="P8454" i="2"/>
  <c r="V8454" i="2" s="1"/>
  <c r="P8450" i="2"/>
  <c r="V8450" i="2" s="1"/>
  <c r="P8446" i="2"/>
  <c r="V8446" i="2" s="1"/>
  <c r="P8442" i="2"/>
  <c r="V8442" i="2" s="1"/>
  <c r="P8438" i="2"/>
  <c r="V8438" i="2" s="1"/>
  <c r="P8434" i="2"/>
  <c r="V8434" i="2" s="1"/>
  <c r="P8430" i="2"/>
  <c r="V8430" i="2" s="1"/>
  <c r="P8426" i="2"/>
  <c r="V8426" i="2" s="1"/>
  <c r="P8422" i="2"/>
  <c r="V8422" i="2" s="1"/>
  <c r="P8418" i="2"/>
  <c r="V8418" i="2" s="1"/>
  <c r="P8414" i="2"/>
  <c r="V8414" i="2" s="1"/>
  <c r="P8410" i="2"/>
  <c r="V8410" i="2" s="1"/>
  <c r="P8406" i="2"/>
  <c r="V8406" i="2" s="1"/>
  <c r="P8402" i="2"/>
  <c r="V8402" i="2" s="1"/>
  <c r="P8398" i="2"/>
  <c r="V8398" i="2" s="1"/>
  <c r="P8394" i="2"/>
  <c r="V8394" i="2" s="1"/>
  <c r="P8390" i="2"/>
  <c r="V8390" i="2" s="1"/>
  <c r="P8386" i="2"/>
  <c r="V8386" i="2" s="1"/>
  <c r="P8382" i="2"/>
  <c r="V8382" i="2" s="1"/>
  <c r="P8378" i="2"/>
  <c r="V8378" i="2" s="1"/>
  <c r="P8374" i="2"/>
  <c r="V8374" i="2" s="1"/>
  <c r="P8370" i="2"/>
  <c r="V8370" i="2" s="1"/>
  <c r="P8366" i="2"/>
  <c r="V8366" i="2" s="1"/>
  <c r="P8362" i="2"/>
  <c r="V8362" i="2" s="1"/>
  <c r="P8358" i="2"/>
  <c r="V8358" i="2" s="1"/>
  <c r="P8354" i="2"/>
  <c r="V8354" i="2" s="1"/>
  <c r="P8350" i="2"/>
  <c r="V8350" i="2" s="1"/>
  <c r="P8346" i="2"/>
  <c r="V8346" i="2" s="1"/>
  <c r="P8342" i="2"/>
  <c r="V8342" i="2" s="1"/>
  <c r="P8338" i="2"/>
  <c r="V8338" i="2" s="1"/>
  <c r="P8334" i="2"/>
  <c r="V8334" i="2" s="1"/>
  <c r="P8330" i="2"/>
  <c r="V8330" i="2" s="1"/>
  <c r="P8326" i="2"/>
  <c r="V8326" i="2" s="1"/>
  <c r="P8322" i="2"/>
  <c r="V8322" i="2" s="1"/>
  <c r="P8318" i="2"/>
  <c r="V8318" i="2" s="1"/>
  <c r="P8314" i="2"/>
  <c r="V8314" i="2" s="1"/>
  <c r="P8310" i="2"/>
  <c r="V8310" i="2" s="1"/>
  <c r="P8306" i="2"/>
  <c r="V8306" i="2" s="1"/>
  <c r="P8302" i="2"/>
  <c r="V8302" i="2" s="1"/>
  <c r="P8298" i="2"/>
  <c r="V8298" i="2" s="1"/>
  <c r="P8294" i="2"/>
  <c r="V8294" i="2" s="1"/>
  <c r="P8290" i="2"/>
  <c r="V8290" i="2" s="1"/>
  <c r="P8286" i="2"/>
  <c r="V8286" i="2" s="1"/>
  <c r="P8282" i="2"/>
  <c r="V8282" i="2" s="1"/>
  <c r="P8278" i="2"/>
  <c r="V8278" i="2" s="1"/>
  <c r="P8274" i="2"/>
  <c r="V8274" i="2" s="1"/>
  <c r="P8270" i="2"/>
  <c r="V8270" i="2" s="1"/>
  <c r="P8266" i="2"/>
  <c r="V8266" i="2" s="1"/>
  <c r="P8262" i="2"/>
  <c r="V8262" i="2" s="1"/>
  <c r="P8258" i="2"/>
  <c r="V8258" i="2" s="1"/>
  <c r="P8254" i="2"/>
  <c r="V8254" i="2" s="1"/>
  <c r="P8250" i="2"/>
  <c r="V8250" i="2" s="1"/>
  <c r="P8246" i="2"/>
  <c r="V8246" i="2" s="1"/>
  <c r="P8242" i="2"/>
  <c r="V8242" i="2" s="1"/>
  <c r="P8238" i="2"/>
  <c r="V8238" i="2" s="1"/>
  <c r="P8234" i="2"/>
  <c r="V8234" i="2" s="1"/>
  <c r="P8230" i="2"/>
  <c r="V8230" i="2" s="1"/>
  <c r="P8226" i="2"/>
  <c r="V8226" i="2" s="1"/>
  <c r="P8222" i="2"/>
  <c r="V8222" i="2" s="1"/>
  <c r="P8218" i="2"/>
  <c r="V8218" i="2" s="1"/>
  <c r="P8214" i="2"/>
  <c r="V8214" i="2" s="1"/>
  <c r="P8210" i="2"/>
  <c r="V8210" i="2" s="1"/>
  <c r="P8206" i="2"/>
  <c r="V8206" i="2" s="1"/>
  <c r="P8202" i="2"/>
  <c r="V8202" i="2" s="1"/>
  <c r="P8198" i="2"/>
  <c r="V8198" i="2" s="1"/>
  <c r="P8194" i="2"/>
  <c r="V8194" i="2" s="1"/>
  <c r="P8190" i="2"/>
  <c r="V8190" i="2" s="1"/>
  <c r="P8186" i="2"/>
  <c r="V8186" i="2" s="1"/>
  <c r="P8182" i="2"/>
  <c r="V8182" i="2" s="1"/>
  <c r="P8178" i="2"/>
  <c r="V8178" i="2" s="1"/>
  <c r="P8174" i="2"/>
  <c r="V8174" i="2" s="1"/>
  <c r="P8170" i="2"/>
  <c r="V8170" i="2" s="1"/>
  <c r="P8166" i="2"/>
  <c r="V8166" i="2" s="1"/>
  <c r="P8162" i="2"/>
  <c r="V8162" i="2" s="1"/>
  <c r="P8158" i="2"/>
  <c r="V8158" i="2" s="1"/>
  <c r="P8154" i="2"/>
  <c r="V8154" i="2" s="1"/>
  <c r="P8150" i="2"/>
  <c r="V8150" i="2" s="1"/>
  <c r="P8146" i="2"/>
  <c r="V8146" i="2" s="1"/>
  <c r="P8142" i="2"/>
  <c r="V8142" i="2" s="1"/>
  <c r="P8138" i="2"/>
  <c r="V8138" i="2" s="1"/>
  <c r="P8134" i="2"/>
  <c r="V8134" i="2" s="1"/>
  <c r="P8130" i="2"/>
  <c r="V8130" i="2" s="1"/>
  <c r="P8126" i="2"/>
  <c r="V8126" i="2" s="1"/>
  <c r="P8122" i="2"/>
  <c r="V8122" i="2" s="1"/>
  <c r="P8118" i="2"/>
  <c r="V8118" i="2" s="1"/>
  <c r="P8114" i="2"/>
  <c r="V8114" i="2" s="1"/>
  <c r="P8110" i="2"/>
  <c r="V8110" i="2" s="1"/>
  <c r="P8106" i="2"/>
  <c r="V8106" i="2" s="1"/>
  <c r="P8102" i="2"/>
  <c r="V8102" i="2" s="1"/>
  <c r="P8098" i="2"/>
  <c r="V8098" i="2" s="1"/>
  <c r="P8094" i="2"/>
  <c r="V8094" i="2" s="1"/>
  <c r="P8090" i="2"/>
  <c r="V8090" i="2" s="1"/>
  <c r="P8086" i="2"/>
  <c r="V8086" i="2" s="1"/>
  <c r="P8082" i="2"/>
  <c r="V8082" i="2" s="1"/>
  <c r="P8078" i="2"/>
  <c r="V8078" i="2" s="1"/>
  <c r="P8074" i="2"/>
  <c r="V8074" i="2" s="1"/>
  <c r="P8070" i="2"/>
  <c r="V8070" i="2" s="1"/>
  <c r="P8066" i="2"/>
  <c r="V8066" i="2" s="1"/>
  <c r="P8062" i="2"/>
  <c r="V8062" i="2" s="1"/>
  <c r="P8058" i="2"/>
  <c r="V8058" i="2" s="1"/>
  <c r="P8054" i="2"/>
  <c r="V8054" i="2" s="1"/>
  <c r="P8050" i="2"/>
  <c r="V8050" i="2" s="1"/>
  <c r="P8046" i="2"/>
  <c r="V8046" i="2" s="1"/>
  <c r="P8042" i="2"/>
  <c r="V8042" i="2" s="1"/>
  <c r="P8038" i="2"/>
  <c r="V8038" i="2" s="1"/>
  <c r="P8034" i="2"/>
  <c r="V8034" i="2" s="1"/>
  <c r="P8030" i="2"/>
  <c r="V8030" i="2" s="1"/>
  <c r="P8026" i="2"/>
  <c r="V8026" i="2" s="1"/>
  <c r="P8022" i="2"/>
  <c r="V8022" i="2" s="1"/>
  <c r="P8018" i="2"/>
  <c r="V8018" i="2" s="1"/>
  <c r="P8014" i="2"/>
  <c r="V8014" i="2" s="1"/>
  <c r="P8010" i="2"/>
  <c r="V8010" i="2" s="1"/>
  <c r="P8006" i="2"/>
  <c r="V8006" i="2" s="1"/>
  <c r="P8002" i="2"/>
  <c r="V8002" i="2" s="1"/>
  <c r="P7998" i="2"/>
  <c r="V7998" i="2" s="1"/>
  <c r="P7994" i="2"/>
  <c r="V7994" i="2" s="1"/>
  <c r="P7990" i="2"/>
  <c r="V7990" i="2" s="1"/>
  <c r="P7986" i="2"/>
  <c r="V7986" i="2" s="1"/>
  <c r="P7982" i="2"/>
  <c r="V7982" i="2" s="1"/>
  <c r="P7978" i="2"/>
  <c r="V7978" i="2" s="1"/>
  <c r="P7974" i="2"/>
  <c r="V7974" i="2" s="1"/>
  <c r="P7970" i="2"/>
  <c r="V7970" i="2" s="1"/>
  <c r="P7966" i="2"/>
  <c r="V7966" i="2" s="1"/>
  <c r="P7962" i="2"/>
  <c r="V7962" i="2" s="1"/>
  <c r="P7958" i="2"/>
  <c r="V7958" i="2" s="1"/>
  <c r="P7954" i="2"/>
  <c r="V7954" i="2" s="1"/>
  <c r="P7950" i="2"/>
  <c r="V7950" i="2" s="1"/>
  <c r="P7946" i="2"/>
  <c r="V7946" i="2" s="1"/>
  <c r="P7942" i="2"/>
  <c r="V7942" i="2" s="1"/>
  <c r="P7938" i="2"/>
  <c r="V7938" i="2" s="1"/>
  <c r="P7934" i="2"/>
  <c r="V7934" i="2" s="1"/>
  <c r="P7930" i="2"/>
  <c r="V7930" i="2" s="1"/>
  <c r="P7926" i="2"/>
  <c r="V7926" i="2" s="1"/>
  <c r="P7922" i="2"/>
  <c r="V7922" i="2" s="1"/>
  <c r="P7918" i="2"/>
  <c r="V7918" i="2" s="1"/>
  <c r="P7914" i="2"/>
  <c r="V7914" i="2" s="1"/>
  <c r="P7910" i="2"/>
  <c r="V7910" i="2" s="1"/>
  <c r="P7906" i="2"/>
  <c r="V7906" i="2" s="1"/>
  <c r="P7902" i="2"/>
  <c r="V7902" i="2" s="1"/>
  <c r="P7898" i="2"/>
  <c r="V7898" i="2" s="1"/>
  <c r="P7894" i="2"/>
  <c r="V7894" i="2" s="1"/>
  <c r="P7890" i="2"/>
  <c r="V7890" i="2" s="1"/>
  <c r="P7886" i="2"/>
  <c r="V7886" i="2" s="1"/>
  <c r="P7882" i="2"/>
  <c r="V7882" i="2" s="1"/>
  <c r="P7878" i="2"/>
  <c r="V7878" i="2" s="1"/>
  <c r="P7874" i="2"/>
  <c r="V7874" i="2" s="1"/>
  <c r="P7870" i="2"/>
  <c r="V7870" i="2" s="1"/>
  <c r="P7866" i="2"/>
  <c r="V7866" i="2" s="1"/>
  <c r="P7862" i="2"/>
  <c r="V7862" i="2" s="1"/>
  <c r="P7858" i="2"/>
  <c r="V7858" i="2" s="1"/>
  <c r="P7854" i="2"/>
  <c r="V7854" i="2" s="1"/>
  <c r="P7850" i="2"/>
  <c r="V7850" i="2" s="1"/>
  <c r="P7846" i="2"/>
  <c r="V7846" i="2" s="1"/>
  <c r="P7842" i="2"/>
  <c r="V7842" i="2" s="1"/>
  <c r="P7838" i="2"/>
  <c r="V7838" i="2" s="1"/>
  <c r="P7834" i="2"/>
  <c r="V7834" i="2" s="1"/>
  <c r="P7830" i="2"/>
  <c r="V7830" i="2" s="1"/>
  <c r="P7826" i="2"/>
  <c r="V7826" i="2" s="1"/>
  <c r="P7822" i="2"/>
  <c r="V7822" i="2" s="1"/>
  <c r="P7818" i="2"/>
  <c r="V7818" i="2" s="1"/>
  <c r="P7814" i="2"/>
  <c r="V7814" i="2" s="1"/>
  <c r="P7810" i="2"/>
  <c r="V7810" i="2" s="1"/>
  <c r="P7806" i="2"/>
  <c r="V7806" i="2" s="1"/>
  <c r="P7802" i="2"/>
  <c r="V7802" i="2" s="1"/>
  <c r="P7798" i="2"/>
  <c r="V7798" i="2" s="1"/>
  <c r="P7794" i="2"/>
  <c r="V7794" i="2" s="1"/>
  <c r="P7790" i="2"/>
  <c r="V7790" i="2" s="1"/>
  <c r="P7786" i="2"/>
  <c r="V7786" i="2" s="1"/>
  <c r="P7782" i="2"/>
  <c r="V7782" i="2" s="1"/>
  <c r="P7778" i="2"/>
  <c r="V7778" i="2" s="1"/>
  <c r="P7774" i="2"/>
  <c r="V7774" i="2" s="1"/>
  <c r="P7770" i="2"/>
  <c r="V7770" i="2" s="1"/>
  <c r="P7766" i="2"/>
  <c r="V7766" i="2" s="1"/>
  <c r="P7762" i="2"/>
  <c r="V7762" i="2" s="1"/>
  <c r="P7758" i="2"/>
  <c r="V7758" i="2" s="1"/>
  <c r="P7754" i="2"/>
  <c r="V7754" i="2" s="1"/>
  <c r="P7750" i="2"/>
  <c r="V7750" i="2" s="1"/>
  <c r="P7746" i="2"/>
  <c r="V7746" i="2" s="1"/>
  <c r="P7742" i="2"/>
  <c r="V7742" i="2" s="1"/>
  <c r="P7738" i="2"/>
  <c r="V7738" i="2" s="1"/>
  <c r="P7734" i="2"/>
  <c r="V7734" i="2" s="1"/>
  <c r="P7730" i="2"/>
  <c r="V7730" i="2" s="1"/>
  <c r="P7726" i="2"/>
  <c r="V7726" i="2" s="1"/>
  <c r="P7722" i="2"/>
  <c r="V7722" i="2" s="1"/>
  <c r="P7718" i="2"/>
  <c r="V7718" i="2" s="1"/>
  <c r="P7714" i="2"/>
  <c r="V7714" i="2" s="1"/>
  <c r="P7710" i="2"/>
  <c r="V7710" i="2" s="1"/>
  <c r="P7706" i="2"/>
  <c r="V7706" i="2" s="1"/>
  <c r="P7702" i="2"/>
  <c r="V7702" i="2" s="1"/>
  <c r="P7698" i="2"/>
  <c r="V7698" i="2" s="1"/>
  <c r="P7694" i="2"/>
  <c r="V7694" i="2" s="1"/>
  <c r="P7690" i="2"/>
  <c r="V7690" i="2" s="1"/>
  <c r="P7686" i="2"/>
  <c r="V7686" i="2" s="1"/>
  <c r="P7682" i="2"/>
  <c r="V7682" i="2" s="1"/>
  <c r="P7678" i="2"/>
  <c r="V7678" i="2" s="1"/>
  <c r="P7674" i="2"/>
  <c r="V7674" i="2" s="1"/>
  <c r="P7670" i="2"/>
  <c r="V7670" i="2" s="1"/>
  <c r="P7666" i="2"/>
  <c r="V7666" i="2" s="1"/>
  <c r="P7662" i="2"/>
  <c r="V7662" i="2" s="1"/>
  <c r="P7658" i="2"/>
  <c r="V7658" i="2" s="1"/>
  <c r="P7654" i="2"/>
  <c r="V7654" i="2" s="1"/>
  <c r="P7650" i="2"/>
  <c r="V7650" i="2" s="1"/>
  <c r="P7646" i="2"/>
  <c r="V7646" i="2" s="1"/>
  <c r="P7642" i="2"/>
  <c r="V7642" i="2" s="1"/>
  <c r="P7638" i="2"/>
  <c r="V7638" i="2" s="1"/>
  <c r="P7634" i="2"/>
  <c r="V7634" i="2" s="1"/>
  <c r="P7630" i="2"/>
  <c r="V7630" i="2" s="1"/>
  <c r="P7626" i="2"/>
  <c r="V7626" i="2" s="1"/>
  <c r="P7622" i="2"/>
  <c r="V7622" i="2" s="1"/>
  <c r="P7618" i="2"/>
  <c r="V7618" i="2" s="1"/>
  <c r="P7614" i="2"/>
  <c r="V7614" i="2" s="1"/>
  <c r="P7610" i="2"/>
  <c r="V7610" i="2" s="1"/>
  <c r="P7606" i="2"/>
  <c r="V7606" i="2" s="1"/>
  <c r="P7602" i="2"/>
  <c r="V7602" i="2" s="1"/>
  <c r="P7598" i="2"/>
  <c r="V7598" i="2" s="1"/>
  <c r="P7594" i="2"/>
  <c r="V7594" i="2" s="1"/>
  <c r="P7590" i="2"/>
  <c r="V7590" i="2" s="1"/>
  <c r="P7586" i="2"/>
  <c r="V7586" i="2" s="1"/>
  <c r="P7582" i="2"/>
  <c r="V7582" i="2" s="1"/>
  <c r="P7578" i="2"/>
  <c r="V7578" i="2" s="1"/>
  <c r="P7574" i="2"/>
  <c r="V7574" i="2" s="1"/>
  <c r="P7570" i="2"/>
  <c r="V7570" i="2" s="1"/>
  <c r="P7566" i="2"/>
  <c r="V7566" i="2" s="1"/>
  <c r="P7562" i="2"/>
  <c r="V7562" i="2" s="1"/>
  <c r="P7558" i="2"/>
  <c r="V7558" i="2" s="1"/>
  <c r="P7554" i="2"/>
  <c r="V7554" i="2" s="1"/>
  <c r="P7550" i="2"/>
  <c r="V7550" i="2" s="1"/>
  <c r="P7546" i="2"/>
  <c r="V7546" i="2" s="1"/>
  <c r="P7542" i="2"/>
  <c r="V7542" i="2" s="1"/>
  <c r="P7538" i="2"/>
  <c r="V7538" i="2" s="1"/>
  <c r="P7534" i="2"/>
  <c r="V7534" i="2" s="1"/>
  <c r="P7530" i="2"/>
  <c r="V7530" i="2" s="1"/>
  <c r="P7526" i="2"/>
  <c r="V7526" i="2" s="1"/>
  <c r="P7522" i="2"/>
  <c r="V7522" i="2" s="1"/>
  <c r="P7518" i="2"/>
  <c r="V7518" i="2" s="1"/>
  <c r="P7514" i="2"/>
  <c r="V7514" i="2" s="1"/>
  <c r="P7510" i="2"/>
  <c r="V7510" i="2" s="1"/>
  <c r="P7506" i="2"/>
  <c r="V7506" i="2" s="1"/>
  <c r="P7502" i="2"/>
  <c r="V7502" i="2" s="1"/>
  <c r="P7498" i="2"/>
  <c r="V7498" i="2" s="1"/>
  <c r="P7494" i="2"/>
  <c r="V7494" i="2" s="1"/>
  <c r="P7490" i="2"/>
  <c r="V7490" i="2" s="1"/>
  <c r="P7486" i="2"/>
  <c r="V7486" i="2" s="1"/>
  <c r="P7482" i="2"/>
  <c r="V7482" i="2" s="1"/>
  <c r="P7478" i="2"/>
  <c r="V7478" i="2" s="1"/>
  <c r="P7474" i="2"/>
  <c r="V7474" i="2" s="1"/>
  <c r="P7470" i="2"/>
  <c r="V7470" i="2" s="1"/>
  <c r="P7466" i="2"/>
  <c r="V7466" i="2" s="1"/>
  <c r="P7462" i="2"/>
  <c r="V7462" i="2" s="1"/>
  <c r="P7458" i="2"/>
  <c r="V7458" i="2" s="1"/>
  <c r="P7454" i="2"/>
  <c r="V7454" i="2" s="1"/>
  <c r="P7450" i="2"/>
  <c r="V7450" i="2" s="1"/>
  <c r="P7446" i="2"/>
  <c r="V7446" i="2" s="1"/>
  <c r="P7442" i="2"/>
  <c r="V7442" i="2" s="1"/>
  <c r="P7438" i="2"/>
  <c r="V7438" i="2" s="1"/>
  <c r="P7434" i="2"/>
  <c r="V7434" i="2" s="1"/>
  <c r="P7430" i="2"/>
  <c r="V7430" i="2" s="1"/>
  <c r="P7426" i="2"/>
  <c r="V7426" i="2" s="1"/>
  <c r="P7422" i="2"/>
  <c r="V7422" i="2" s="1"/>
  <c r="P7418" i="2"/>
  <c r="V7418" i="2" s="1"/>
  <c r="P7414" i="2"/>
  <c r="V7414" i="2" s="1"/>
  <c r="P7410" i="2"/>
  <c r="V7410" i="2" s="1"/>
  <c r="P7406" i="2"/>
  <c r="V7406" i="2" s="1"/>
  <c r="P7402" i="2"/>
  <c r="V7402" i="2" s="1"/>
  <c r="P7398" i="2"/>
  <c r="V7398" i="2" s="1"/>
  <c r="P7394" i="2"/>
  <c r="V7394" i="2" s="1"/>
  <c r="P7390" i="2"/>
  <c r="V7390" i="2" s="1"/>
  <c r="P7386" i="2"/>
  <c r="V7386" i="2" s="1"/>
  <c r="P7382" i="2"/>
  <c r="V7382" i="2" s="1"/>
  <c r="P7378" i="2"/>
  <c r="V7378" i="2" s="1"/>
  <c r="P7374" i="2"/>
  <c r="V7374" i="2" s="1"/>
  <c r="P7370" i="2"/>
  <c r="V7370" i="2" s="1"/>
  <c r="P7366" i="2"/>
  <c r="V7366" i="2" s="1"/>
  <c r="P7362" i="2"/>
  <c r="V7362" i="2" s="1"/>
  <c r="P7358" i="2"/>
  <c r="V7358" i="2" s="1"/>
  <c r="P7354" i="2"/>
  <c r="V7354" i="2" s="1"/>
  <c r="P7350" i="2"/>
  <c r="V7350" i="2" s="1"/>
  <c r="P7346" i="2"/>
  <c r="V7346" i="2" s="1"/>
  <c r="P7342" i="2"/>
  <c r="V7342" i="2" s="1"/>
  <c r="P7338" i="2"/>
  <c r="V7338" i="2" s="1"/>
  <c r="P7334" i="2"/>
  <c r="V7334" i="2" s="1"/>
  <c r="P7330" i="2"/>
  <c r="V7330" i="2" s="1"/>
  <c r="P7326" i="2"/>
  <c r="V7326" i="2" s="1"/>
  <c r="P7322" i="2"/>
  <c r="V7322" i="2" s="1"/>
  <c r="P7318" i="2"/>
  <c r="V7318" i="2" s="1"/>
  <c r="P7314" i="2"/>
  <c r="V7314" i="2" s="1"/>
  <c r="P7310" i="2"/>
  <c r="V7310" i="2" s="1"/>
  <c r="P7306" i="2"/>
  <c r="V7306" i="2" s="1"/>
  <c r="P7302" i="2"/>
  <c r="V7302" i="2" s="1"/>
  <c r="P7298" i="2"/>
  <c r="V7298" i="2" s="1"/>
  <c r="P7294" i="2"/>
  <c r="V7294" i="2" s="1"/>
  <c r="P7290" i="2"/>
  <c r="V7290" i="2" s="1"/>
  <c r="P7286" i="2"/>
  <c r="V7286" i="2" s="1"/>
  <c r="P7282" i="2"/>
  <c r="V7282" i="2" s="1"/>
  <c r="P7278" i="2"/>
  <c r="V7278" i="2" s="1"/>
  <c r="P7274" i="2"/>
  <c r="V7274" i="2" s="1"/>
  <c r="P7270" i="2"/>
  <c r="V7270" i="2" s="1"/>
  <c r="P7266" i="2"/>
  <c r="V7266" i="2" s="1"/>
  <c r="P7262" i="2"/>
  <c r="V7262" i="2" s="1"/>
  <c r="P7258" i="2"/>
  <c r="V7258" i="2" s="1"/>
  <c r="P7254" i="2"/>
  <c r="V7254" i="2" s="1"/>
  <c r="P7250" i="2"/>
  <c r="V7250" i="2" s="1"/>
  <c r="P7246" i="2"/>
  <c r="V7246" i="2" s="1"/>
  <c r="P7242" i="2"/>
  <c r="V7242" i="2" s="1"/>
  <c r="P7238" i="2"/>
  <c r="V7238" i="2" s="1"/>
  <c r="P7234" i="2"/>
  <c r="V7234" i="2" s="1"/>
  <c r="P7230" i="2"/>
  <c r="V7230" i="2" s="1"/>
  <c r="P7226" i="2"/>
  <c r="V7226" i="2" s="1"/>
  <c r="P7222" i="2"/>
  <c r="V7222" i="2" s="1"/>
  <c r="P7218" i="2"/>
  <c r="V7218" i="2" s="1"/>
  <c r="P7214" i="2"/>
  <c r="V7214" i="2" s="1"/>
  <c r="P7210" i="2"/>
  <c r="V7210" i="2" s="1"/>
  <c r="P7206" i="2"/>
  <c r="V7206" i="2" s="1"/>
  <c r="P7202" i="2"/>
  <c r="V7202" i="2" s="1"/>
  <c r="P7198" i="2"/>
  <c r="V7198" i="2" s="1"/>
  <c r="P7194" i="2"/>
  <c r="V7194" i="2" s="1"/>
  <c r="P7190" i="2"/>
  <c r="V7190" i="2" s="1"/>
  <c r="P7186" i="2"/>
  <c r="V7186" i="2" s="1"/>
  <c r="P7182" i="2"/>
  <c r="V7182" i="2" s="1"/>
  <c r="P7178" i="2"/>
  <c r="V7178" i="2" s="1"/>
  <c r="P7174" i="2"/>
  <c r="V7174" i="2" s="1"/>
  <c r="P7170" i="2"/>
  <c r="V7170" i="2" s="1"/>
  <c r="P7166" i="2"/>
  <c r="V7166" i="2" s="1"/>
  <c r="P7162" i="2"/>
  <c r="V7162" i="2" s="1"/>
  <c r="P7158" i="2"/>
  <c r="V7158" i="2" s="1"/>
  <c r="P7154" i="2"/>
  <c r="V7154" i="2" s="1"/>
  <c r="P7150" i="2"/>
  <c r="V7150" i="2" s="1"/>
  <c r="P7146" i="2"/>
  <c r="V7146" i="2" s="1"/>
  <c r="P7142" i="2"/>
  <c r="V7142" i="2" s="1"/>
  <c r="P7138" i="2"/>
  <c r="V7138" i="2" s="1"/>
  <c r="P7134" i="2"/>
  <c r="V7134" i="2" s="1"/>
  <c r="P7130" i="2"/>
  <c r="V7130" i="2" s="1"/>
  <c r="P7126" i="2"/>
  <c r="V7126" i="2" s="1"/>
  <c r="P7122" i="2"/>
  <c r="V7122" i="2" s="1"/>
  <c r="P7118" i="2"/>
  <c r="V7118" i="2" s="1"/>
  <c r="P7114" i="2"/>
  <c r="V7114" i="2" s="1"/>
  <c r="P7110" i="2"/>
  <c r="V7110" i="2" s="1"/>
  <c r="P7106" i="2"/>
  <c r="V7106" i="2" s="1"/>
  <c r="P7102" i="2"/>
  <c r="V7102" i="2" s="1"/>
  <c r="P7098" i="2"/>
  <c r="V7098" i="2" s="1"/>
  <c r="P7094" i="2"/>
  <c r="V7094" i="2" s="1"/>
  <c r="P7090" i="2"/>
  <c r="V7090" i="2" s="1"/>
  <c r="P7086" i="2"/>
  <c r="V7086" i="2" s="1"/>
  <c r="P7082" i="2"/>
  <c r="V7082" i="2" s="1"/>
  <c r="P7078" i="2"/>
  <c r="V7078" i="2" s="1"/>
  <c r="P7074" i="2"/>
  <c r="V7074" i="2" s="1"/>
  <c r="P7070" i="2"/>
  <c r="V7070" i="2" s="1"/>
  <c r="P7066" i="2"/>
  <c r="V7066" i="2" s="1"/>
  <c r="P7062" i="2"/>
  <c r="V7062" i="2" s="1"/>
  <c r="P7058" i="2"/>
  <c r="V7058" i="2" s="1"/>
  <c r="P7054" i="2"/>
  <c r="V7054" i="2" s="1"/>
  <c r="P7050" i="2"/>
  <c r="V7050" i="2" s="1"/>
  <c r="P7046" i="2"/>
  <c r="V7046" i="2" s="1"/>
  <c r="P7042" i="2"/>
  <c r="V7042" i="2" s="1"/>
  <c r="P7038" i="2"/>
  <c r="V7038" i="2" s="1"/>
  <c r="P7034" i="2"/>
  <c r="V7034" i="2" s="1"/>
  <c r="P7030" i="2"/>
  <c r="V7030" i="2" s="1"/>
  <c r="P7026" i="2"/>
  <c r="V7026" i="2" s="1"/>
  <c r="P7022" i="2"/>
  <c r="V7022" i="2" s="1"/>
  <c r="P7018" i="2"/>
  <c r="V7018" i="2" s="1"/>
  <c r="P7014" i="2"/>
  <c r="V7014" i="2" s="1"/>
  <c r="P7010" i="2"/>
  <c r="V7010" i="2" s="1"/>
  <c r="P7006" i="2"/>
  <c r="V7006" i="2" s="1"/>
  <c r="P7002" i="2"/>
  <c r="V7002" i="2" s="1"/>
  <c r="P6998" i="2"/>
  <c r="V6998" i="2" s="1"/>
  <c r="P6994" i="2"/>
  <c r="V6994" i="2" s="1"/>
  <c r="P6990" i="2"/>
  <c r="V6990" i="2" s="1"/>
  <c r="P6986" i="2"/>
  <c r="V6986" i="2" s="1"/>
  <c r="P6982" i="2"/>
  <c r="V6982" i="2" s="1"/>
  <c r="P6978" i="2"/>
  <c r="V6978" i="2" s="1"/>
  <c r="P6974" i="2"/>
  <c r="V6974" i="2" s="1"/>
  <c r="P6970" i="2"/>
  <c r="V6970" i="2" s="1"/>
  <c r="P6966" i="2"/>
  <c r="V6966" i="2" s="1"/>
  <c r="P6962" i="2"/>
  <c r="V6962" i="2" s="1"/>
  <c r="P6958" i="2"/>
  <c r="V6958" i="2" s="1"/>
  <c r="P6954" i="2"/>
  <c r="V6954" i="2" s="1"/>
  <c r="P6950" i="2"/>
  <c r="V6950" i="2" s="1"/>
  <c r="P6946" i="2"/>
  <c r="V6946" i="2" s="1"/>
  <c r="P6942" i="2"/>
  <c r="V6942" i="2" s="1"/>
  <c r="P6938" i="2"/>
  <c r="V6938" i="2" s="1"/>
  <c r="P6934" i="2"/>
  <c r="V6934" i="2" s="1"/>
  <c r="P6930" i="2"/>
  <c r="V6930" i="2" s="1"/>
  <c r="P6926" i="2"/>
  <c r="V6926" i="2" s="1"/>
  <c r="P6922" i="2"/>
  <c r="V6922" i="2" s="1"/>
  <c r="P6918" i="2"/>
  <c r="V6918" i="2" s="1"/>
  <c r="P6914" i="2"/>
  <c r="V6914" i="2" s="1"/>
  <c r="P6910" i="2"/>
  <c r="V6910" i="2" s="1"/>
  <c r="P6906" i="2"/>
  <c r="V6906" i="2" s="1"/>
  <c r="P6902" i="2"/>
  <c r="V6902" i="2" s="1"/>
  <c r="P6898" i="2"/>
  <c r="V6898" i="2" s="1"/>
  <c r="P6894" i="2"/>
  <c r="V6894" i="2" s="1"/>
  <c r="P6890" i="2"/>
  <c r="V6890" i="2" s="1"/>
  <c r="P6886" i="2"/>
  <c r="V6886" i="2" s="1"/>
  <c r="P6882" i="2"/>
  <c r="V6882" i="2" s="1"/>
  <c r="P6878" i="2"/>
  <c r="V6878" i="2" s="1"/>
  <c r="P6874" i="2"/>
  <c r="V6874" i="2" s="1"/>
  <c r="P6870" i="2"/>
  <c r="V6870" i="2" s="1"/>
  <c r="P6866" i="2"/>
  <c r="V6866" i="2" s="1"/>
  <c r="P6862" i="2"/>
  <c r="V6862" i="2" s="1"/>
  <c r="P6858" i="2"/>
  <c r="V6858" i="2" s="1"/>
  <c r="P6854" i="2"/>
  <c r="V6854" i="2" s="1"/>
  <c r="P6850" i="2"/>
  <c r="V6850" i="2" s="1"/>
  <c r="P6846" i="2"/>
  <c r="V6846" i="2" s="1"/>
  <c r="P6842" i="2"/>
  <c r="V6842" i="2" s="1"/>
  <c r="P6838" i="2"/>
  <c r="V6838" i="2" s="1"/>
  <c r="P6834" i="2"/>
  <c r="V6834" i="2" s="1"/>
  <c r="P6830" i="2"/>
  <c r="V6830" i="2" s="1"/>
  <c r="P6826" i="2"/>
  <c r="V6826" i="2" s="1"/>
  <c r="P6822" i="2"/>
  <c r="V6822" i="2" s="1"/>
  <c r="P6818" i="2"/>
  <c r="V6818" i="2" s="1"/>
  <c r="P6814" i="2"/>
  <c r="V6814" i="2" s="1"/>
  <c r="P6810" i="2"/>
  <c r="V6810" i="2" s="1"/>
  <c r="P6806" i="2"/>
  <c r="V6806" i="2" s="1"/>
  <c r="P6802" i="2"/>
  <c r="V6802" i="2" s="1"/>
  <c r="P6798" i="2"/>
  <c r="V6798" i="2" s="1"/>
  <c r="P6794" i="2"/>
  <c r="V6794" i="2" s="1"/>
  <c r="P6790" i="2"/>
  <c r="V6790" i="2" s="1"/>
  <c r="P6786" i="2"/>
  <c r="V6786" i="2" s="1"/>
  <c r="P6782" i="2"/>
  <c r="V6782" i="2" s="1"/>
  <c r="P6778" i="2"/>
  <c r="V6778" i="2" s="1"/>
  <c r="P6774" i="2"/>
  <c r="V6774" i="2" s="1"/>
  <c r="P6770" i="2"/>
  <c r="V6770" i="2" s="1"/>
  <c r="P6766" i="2"/>
  <c r="V6766" i="2" s="1"/>
  <c r="P6762" i="2"/>
  <c r="V6762" i="2" s="1"/>
  <c r="P6758" i="2"/>
  <c r="V6758" i="2" s="1"/>
  <c r="P6754" i="2"/>
  <c r="V6754" i="2" s="1"/>
  <c r="P6750" i="2"/>
  <c r="V6750" i="2" s="1"/>
  <c r="P6746" i="2"/>
  <c r="V6746" i="2" s="1"/>
  <c r="P6742" i="2"/>
  <c r="V6742" i="2" s="1"/>
  <c r="P6738" i="2"/>
  <c r="V6738" i="2" s="1"/>
  <c r="P6734" i="2"/>
  <c r="V6734" i="2" s="1"/>
  <c r="P6730" i="2"/>
  <c r="V6730" i="2" s="1"/>
  <c r="P6726" i="2"/>
  <c r="V6726" i="2" s="1"/>
  <c r="P6722" i="2"/>
  <c r="V6722" i="2" s="1"/>
  <c r="P6718" i="2"/>
  <c r="V6718" i="2" s="1"/>
  <c r="P6714" i="2"/>
  <c r="V6714" i="2" s="1"/>
  <c r="P6710" i="2"/>
  <c r="V6710" i="2" s="1"/>
  <c r="P6706" i="2"/>
  <c r="V6706" i="2" s="1"/>
  <c r="P6702" i="2"/>
  <c r="V6702" i="2" s="1"/>
  <c r="P6698" i="2"/>
  <c r="V6698" i="2" s="1"/>
  <c r="P6694" i="2"/>
  <c r="V6694" i="2" s="1"/>
  <c r="P6690" i="2"/>
  <c r="V6690" i="2" s="1"/>
  <c r="P6686" i="2"/>
  <c r="V6686" i="2" s="1"/>
  <c r="P6682" i="2"/>
  <c r="V6682" i="2" s="1"/>
  <c r="P6678" i="2"/>
  <c r="V6678" i="2" s="1"/>
  <c r="P6674" i="2"/>
  <c r="V6674" i="2" s="1"/>
  <c r="P6670" i="2"/>
  <c r="V6670" i="2" s="1"/>
  <c r="P6666" i="2"/>
  <c r="V6666" i="2" s="1"/>
  <c r="P6662" i="2"/>
  <c r="V6662" i="2" s="1"/>
  <c r="P6658" i="2"/>
  <c r="V6658" i="2" s="1"/>
  <c r="P6654" i="2"/>
  <c r="V6654" i="2" s="1"/>
  <c r="P6650" i="2"/>
  <c r="V6650" i="2" s="1"/>
  <c r="P6646" i="2"/>
  <c r="V6646" i="2" s="1"/>
  <c r="P6642" i="2"/>
  <c r="V6642" i="2" s="1"/>
  <c r="P6638" i="2"/>
  <c r="V6638" i="2" s="1"/>
  <c r="P6634" i="2"/>
  <c r="V6634" i="2" s="1"/>
  <c r="P6630" i="2"/>
  <c r="V6630" i="2" s="1"/>
  <c r="P6626" i="2"/>
  <c r="V6626" i="2" s="1"/>
  <c r="P6622" i="2"/>
  <c r="V6622" i="2" s="1"/>
  <c r="P6618" i="2"/>
  <c r="V6618" i="2" s="1"/>
  <c r="P6614" i="2"/>
  <c r="V6614" i="2" s="1"/>
  <c r="P6610" i="2"/>
  <c r="V6610" i="2" s="1"/>
  <c r="P6606" i="2"/>
  <c r="V6606" i="2" s="1"/>
  <c r="P6602" i="2"/>
  <c r="V6602" i="2" s="1"/>
  <c r="P6598" i="2"/>
  <c r="V6598" i="2" s="1"/>
  <c r="P6594" i="2"/>
  <c r="V6594" i="2" s="1"/>
  <c r="P6590" i="2"/>
  <c r="V6590" i="2" s="1"/>
  <c r="P6586" i="2"/>
  <c r="V6586" i="2" s="1"/>
  <c r="P6582" i="2"/>
  <c r="V6582" i="2" s="1"/>
  <c r="P6578" i="2"/>
  <c r="V6578" i="2" s="1"/>
  <c r="P6574" i="2"/>
  <c r="V6574" i="2" s="1"/>
  <c r="P6570" i="2"/>
  <c r="V6570" i="2" s="1"/>
  <c r="P6566" i="2"/>
  <c r="V6566" i="2" s="1"/>
  <c r="P6562" i="2"/>
  <c r="V6562" i="2" s="1"/>
  <c r="P6558" i="2"/>
  <c r="V6558" i="2" s="1"/>
  <c r="P6554" i="2"/>
  <c r="V6554" i="2" s="1"/>
  <c r="P6550" i="2"/>
  <c r="V6550" i="2" s="1"/>
  <c r="P6546" i="2"/>
  <c r="V6546" i="2" s="1"/>
  <c r="P6542" i="2"/>
  <c r="V6542" i="2" s="1"/>
  <c r="P6538" i="2"/>
  <c r="V6538" i="2" s="1"/>
  <c r="P6534" i="2"/>
  <c r="V6534" i="2" s="1"/>
  <c r="P6530" i="2"/>
  <c r="V6530" i="2" s="1"/>
  <c r="P6526" i="2"/>
  <c r="V6526" i="2" s="1"/>
  <c r="P6522" i="2"/>
  <c r="V6522" i="2" s="1"/>
  <c r="P6518" i="2"/>
  <c r="V6518" i="2" s="1"/>
  <c r="P6514" i="2"/>
  <c r="V6514" i="2" s="1"/>
  <c r="P6510" i="2"/>
  <c r="V6510" i="2" s="1"/>
  <c r="P6506" i="2"/>
  <c r="V6506" i="2" s="1"/>
  <c r="P6502" i="2"/>
  <c r="V6502" i="2" s="1"/>
  <c r="P6498" i="2"/>
  <c r="V6498" i="2" s="1"/>
  <c r="P6494" i="2"/>
  <c r="V6494" i="2" s="1"/>
  <c r="P6490" i="2"/>
  <c r="V6490" i="2" s="1"/>
  <c r="P6486" i="2"/>
  <c r="V6486" i="2" s="1"/>
  <c r="P6482" i="2"/>
  <c r="V6482" i="2" s="1"/>
  <c r="P6478" i="2"/>
  <c r="V6478" i="2" s="1"/>
  <c r="P6474" i="2"/>
  <c r="V6474" i="2" s="1"/>
  <c r="P6470" i="2"/>
  <c r="V6470" i="2" s="1"/>
  <c r="P6466" i="2"/>
  <c r="V6466" i="2" s="1"/>
  <c r="P6462" i="2"/>
  <c r="V6462" i="2" s="1"/>
  <c r="P6458" i="2"/>
  <c r="V6458" i="2" s="1"/>
  <c r="P6454" i="2"/>
  <c r="V6454" i="2" s="1"/>
  <c r="P6450" i="2"/>
  <c r="V6450" i="2" s="1"/>
  <c r="P6446" i="2"/>
  <c r="V6446" i="2" s="1"/>
  <c r="P6442" i="2"/>
  <c r="V6442" i="2" s="1"/>
  <c r="P6438" i="2"/>
  <c r="V6438" i="2" s="1"/>
  <c r="P6434" i="2"/>
  <c r="V6434" i="2" s="1"/>
  <c r="P6430" i="2"/>
  <c r="V6430" i="2" s="1"/>
  <c r="P6426" i="2"/>
  <c r="V6426" i="2" s="1"/>
  <c r="P6422" i="2"/>
  <c r="V6422" i="2" s="1"/>
  <c r="P6418" i="2"/>
  <c r="V6418" i="2" s="1"/>
  <c r="P6414" i="2"/>
  <c r="V6414" i="2" s="1"/>
  <c r="P6410" i="2"/>
  <c r="V6410" i="2" s="1"/>
  <c r="P6406" i="2"/>
  <c r="V6406" i="2" s="1"/>
  <c r="P6402" i="2"/>
  <c r="V6402" i="2" s="1"/>
  <c r="P6398" i="2"/>
  <c r="V6398" i="2" s="1"/>
  <c r="P6394" i="2"/>
  <c r="V6394" i="2" s="1"/>
  <c r="P6390" i="2"/>
  <c r="V6390" i="2" s="1"/>
  <c r="P6386" i="2"/>
  <c r="V6386" i="2" s="1"/>
  <c r="P6382" i="2"/>
  <c r="V6382" i="2" s="1"/>
  <c r="P6378" i="2"/>
  <c r="V6378" i="2" s="1"/>
  <c r="P6374" i="2"/>
  <c r="V6374" i="2" s="1"/>
  <c r="P6370" i="2"/>
  <c r="V6370" i="2" s="1"/>
  <c r="P6366" i="2"/>
  <c r="V6366" i="2" s="1"/>
  <c r="P6362" i="2"/>
  <c r="V6362" i="2" s="1"/>
  <c r="P6358" i="2"/>
  <c r="V6358" i="2" s="1"/>
  <c r="P6354" i="2"/>
  <c r="V6354" i="2" s="1"/>
  <c r="P6350" i="2"/>
  <c r="V6350" i="2" s="1"/>
  <c r="P6346" i="2"/>
  <c r="V6346" i="2" s="1"/>
  <c r="P6342" i="2"/>
  <c r="V6342" i="2" s="1"/>
  <c r="P6338" i="2"/>
  <c r="V6338" i="2" s="1"/>
  <c r="P6334" i="2"/>
  <c r="V6334" i="2" s="1"/>
  <c r="P6330" i="2"/>
  <c r="V6330" i="2" s="1"/>
  <c r="P6326" i="2"/>
  <c r="V6326" i="2" s="1"/>
  <c r="P6322" i="2"/>
  <c r="V6322" i="2" s="1"/>
  <c r="P6318" i="2"/>
  <c r="V6318" i="2" s="1"/>
  <c r="P6314" i="2"/>
  <c r="V6314" i="2" s="1"/>
  <c r="P6310" i="2"/>
  <c r="V6310" i="2" s="1"/>
  <c r="P6306" i="2"/>
  <c r="V6306" i="2" s="1"/>
  <c r="P6302" i="2"/>
  <c r="V6302" i="2" s="1"/>
  <c r="P6298" i="2"/>
  <c r="V6298" i="2" s="1"/>
  <c r="P6294" i="2"/>
  <c r="V6294" i="2" s="1"/>
  <c r="P6290" i="2"/>
  <c r="V6290" i="2" s="1"/>
  <c r="P6286" i="2"/>
  <c r="V6286" i="2" s="1"/>
  <c r="P6282" i="2"/>
  <c r="V6282" i="2" s="1"/>
  <c r="P6278" i="2"/>
  <c r="V6278" i="2" s="1"/>
  <c r="P6274" i="2"/>
  <c r="V6274" i="2" s="1"/>
  <c r="P6270" i="2"/>
  <c r="V6270" i="2" s="1"/>
  <c r="P6266" i="2"/>
  <c r="V6266" i="2" s="1"/>
  <c r="P6262" i="2"/>
  <c r="V6262" i="2" s="1"/>
  <c r="P6258" i="2"/>
  <c r="V6258" i="2" s="1"/>
  <c r="P6254" i="2"/>
  <c r="V6254" i="2" s="1"/>
  <c r="P6250" i="2"/>
  <c r="V6250" i="2" s="1"/>
  <c r="P6246" i="2"/>
  <c r="V6246" i="2" s="1"/>
  <c r="P6242" i="2"/>
  <c r="V6242" i="2" s="1"/>
  <c r="P6238" i="2"/>
  <c r="V6238" i="2" s="1"/>
  <c r="P6234" i="2"/>
  <c r="V6234" i="2" s="1"/>
  <c r="P6230" i="2"/>
  <c r="V6230" i="2" s="1"/>
  <c r="P6226" i="2"/>
  <c r="V6226" i="2" s="1"/>
  <c r="P6222" i="2"/>
  <c r="V6222" i="2" s="1"/>
  <c r="P6218" i="2"/>
  <c r="V6218" i="2" s="1"/>
  <c r="P6214" i="2"/>
  <c r="V6214" i="2" s="1"/>
  <c r="P6210" i="2"/>
  <c r="V6210" i="2" s="1"/>
  <c r="P6206" i="2"/>
  <c r="V6206" i="2" s="1"/>
  <c r="P6202" i="2"/>
  <c r="V6202" i="2" s="1"/>
  <c r="P6198" i="2"/>
  <c r="V6198" i="2" s="1"/>
  <c r="P6194" i="2"/>
  <c r="V6194" i="2" s="1"/>
  <c r="P6190" i="2"/>
  <c r="V6190" i="2" s="1"/>
  <c r="P6186" i="2"/>
  <c r="V6186" i="2" s="1"/>
  <c r="P6182" i="2"/>
  <c r="V6182" i="2" s="1"/>
  <c r="P6178" i="2"/>
  <c r="V6178" i="2" s="1"/>
  <c r="P6174" i="2"/>
  <c r="V6174" i="2" s="1"/>
  <c r="P6170" i="2"/>
  <c r="V6170" i="2" s="1"/>
  <c r="P6166" i="2"/>
  <c r="V6166" i="2" s="1"/>
  <c r="P6162" i="2"/>
  <c r="V6162" i="2" s="1"/>
  <c r="P6158" i="2"/>
  <c r="V6158" i="2" s="1"/>
  <c r="P6154" i="2"/>
  <c r="V6154" i="2" s="1"/>
  <c r="P6150" i="2"/>
  <c r="V6150" i="2" s="1"/>
  <c r="P6146" i="2"/>
  <c r="V6146" i="2" s="1"/>
  <c r="P6142" i="2"/>
  <c r="V6142" i="2" s="1"/>
  <c r="P6138" i="2"/>
  <c r="V6138" i="2" s="1"/>
  <c r="P6134" i="2"/>
  <c r="V6134" i="2" s="1"/>
  <c r="P6130" i="2"/>
  <c r="V6130" i="2" s="1"/>
  <c r="P6126" i="2"/>
  <c r="V6126" i="2" s="1"/>
  <c r="P6122" i="2"/>
  <c r="V6122" i="2" s="1"/>
  <c r="P6118" i="2"/>
  <c r="V6118" i="2" s="1"/>
  <c r="P6114" i="2"/>
  <c r="V6114" i="2" s="1"/>
  <c r="P6110" i="2"/>
  <c r="V6110" i="2" s="1"/>
  <c r="P6106" i="2"/>
  <c r="V6106" i="2" s="1"/>
  <c r="P6102" i="2"/>
  <c r="V6102" i="2" s="1"/>
  <c r="P6098" i="2"/>
  <c r="V6098" i="2" s="1"/>
  <c r="P6094" i="2"/>
  <c r="V6094" i="2" s="1"/>
  <c r="P6090" i="2"/>
  <c r="V6090" i="2" s="1"/>
  <c r="P6086" i="2"/>
  <c r="V6086" i="2" s="1"/>
  <c r="P6082" i="2"/>
  <c r="V6082" i="2" s="1"/>
  <c r="P6078" i="2"/>
  <c r="V6078" i="2" s="1"/>
  <c r="P6074" i="2"/>
  <c r="V6074" i="2" s="1"/>
  <c r="P6070" i="2"/>
  <c r="V6070" i="2" s="1"/>
  <c r="P6066" i="2"/>
  <c r="V6066" i="2" s="1"/>
  <c r="P6062" i="2"/>
  <c r="V6062" i="2" s="1"/>
  <c r="P6058" i="2"/>
  <c r="V6058" i="2" s="1"/>
  <c r="P6054" i="2"/>
  <c r="V6054" i="2" s="1"/>
  <c r="P6050" i="2"/>
  <c r="V6050" i="2" s="1"/>
  <c r="P6046" i="2"/>
  <c r="V6046" i="2" s="1"/>
  <c r="P6042" i="2"/>
  <c r="V6042" i="2" s="1"/>
  <c r="P6038" i="2"/>
  <c r="V6038" i="2" s="1"/>
  <c r="P6034" i="2"/>
  <c r="V6034" i="2" s="1"/>
  <c r="P6030" i="2"/>
  <c r="V6030" i="2" s="1"/>
  <c r="P6026" i="2"/>
  <c r="V6026" i="2" s="1"/>
  <c r="P6022" i="2"/>
  <c r="V6022" i="2" s="1"/>
  <c r="P6018" i="2"/>
  <c r="V6018" i="2" s="1"/>
  <c r="P6014" i="2"/>
  <c r="V6014" i="2" s="1"/>
  <c r="P6010" i="2"/>
  <c r="V6010" i="2" s="1"/>
  <c r="P6006" i="2"/>
  <c r="V6006" i="2" s="1"/>
  <c r="P6002" i="2"/>
  <c r="V6002" i="2" s="1"/>
  <c r="P5998" i="2"/>
  <c r="V5998" i="2" s="1"/>
  <c r="P5994" i="2"/>
  <c r="V5994" i="2" s="1"/>
  <c r="P5990" i="2"/>
  <c r="V5990" i="2" s="1"/>
  <c r="P5986" i="2"/>
  <c r="V5986" i="2" s="1"/>
  <c r="P5982" i="2"/>
  <c r="V5982" i="2" s="1"/>
  <c r="P5978" i="2"/>
  <c r="V5978" i="2" s="1"/>
  <c r="P5974" i="2"/>
  <c r="V5974" i="2" s="1"/>
  <c r="P5970" i="2"/>
  <c r="V5970" i="2" s="1"/>
  <c r="P5966" i="2"/>
  <c r="V5966" i="2" s="1"/>
  <c r="P5962" i="2"/>
  <c r="V5962" i="2" s="1"/>
  <c r="P5958" i="2"/>
  <c r="V5958" i="2" s="1"/>
  <c r="P5954" i="2"/>
  <c r="V5954" i="2" s="1"/>
  <c r="P5950" i="2"/>
  <c r="V5950" i="2" s="1"/>
  <c r="P5946" i="2"/>
  <c r="V5946" i="2" s="1"/>
  <c r="P5942" i="2"/>
  <c r="V5942" i="2" s="1"/>
  <c r="P5938" i="2"/>
  <c r="V5938" i="2" s="1"/>
  <c r="P5934" i="2"/>
  <c r="V5934" i="2" s="1"/>
  <c r="P5930" i="2"/>
  <c r="V5930" i="2" s="1"/>
  <c r="P5926" i="2"/>
  <c r="V5926" i="2" s="1"/>
  <c r="P5922" i="2"/>
  <c r="V5922" i="2" s="1"/>
  <c r="P5918" i="2"/>
  <c r="V5918" i="2" s="1"/>
  <c r="P5914" i="2"/>
  <c r="V5914" i="2" s="1"/>
  <c r="P5910" i="2"/>
  <c r="V5910" i="2" s="1"/>
  <c r="P5906" i="2"/>
  <c r="V5906" i="2" s="1"/>
  <c r="P5902" i="2"/>
  <c r="V5902" i="2" s="1"/>
  <c r="P5898" i="2"/>
  <c r="V5898" i="2" s="1"/>
  <c r="P5894" i="2"/>
  <c r="V5894" i="2" s="1"/>
  <c r="P5890" i="2"/>
  <c r="V5890" i="2" s="1"/>
  <c r="P5886" i="2"/>
  <c r="V5886" i="2" s="1"/>
  <c r="P5882" i="2"/>
  <c r="V5882" i="2" s="1"/>
  <c r="P5878" i="2"/>
  <c r="V5878" i="2" s="1"/>
  <c r="P5874" i="2"/>
  <c r="V5874" i="2" s="1"/>
  <c r="P5870" i="2"/>
  <c r="V5870" i="2" s="1"/>
  <c r="P5866" i="2"/>
  <c r="V5866" i="2" s="1"/>
  <c r="P5862" i="2"/>
  <c r="V5862" i="2" s="1"/>
  <c r="P5858" i="2"/>
  <c r="V5858" i="2" s="1"/>
  <c r="P5854" i="2"/>
  <c r="V5854" i="2" s="1"/>
  <c r="P5850" i="2"/>
  <c r="V5850" i="2" s="1"/>
  <c r="P5846" i="2"/>
  <c r="V5846" i="2" s="1"/>
  <c r="P5842" i="2"/>
  <c r="V5842" i="2" s="1"/>
  <c r="P5838" i="2"/>
  <c r="V5838" i="2" s="1"/>
  <c r="P5834" i="2"/>
  <c r="V5834" i="2" s="1"/>
  <c r="P5830" i="2"/>
  <c r="V5830" i="2" s="1"/>
  <c r="P5826" i="2"/>
  <c r="V5826" i="2" s="1"/>
  <c r="P5822" i="2"/>
  <c r="V5822" i="2" s="1"/>
  <c r="P5818" i="2"/>
  <c r="V5818" i="2" s="1"/>
  <c r="P5814" i="2"/>
  <c r="V5814" i="2" s="1"/>
  <c r="P5810" i="2"/>
  <c r="V5810" i="2" s="1"/>
  <c r="P5806" i="2"/>
  <c r="V5806" i="2" s="1"/>
  <c r="P5802" i="2"/>
  <c r="V5802" i="2" s="1"/>
  <c r="P5798" i="2"/>
  <c r="V5798" i="2" s="1"/>
  <c r="P5794" i="2"/>
  <c r="V5794" i="2" s="1"/>
  <c r="P5790" i="2"/>
  <c r="V5790" i="2" s="1"/>
  <c r="P5786" i="2"/>
  <c r="V5786" i="2" s="1"/>
  <c r="P5782" i="2"/>
  <c r="V5782" i="2" s="1"/>
  <c r="P5778" i="2"/>
  <c r="V5778" i="2" s="1"/>
  <c r="P5774" i="2"/>
  <c r="V5774" i="2" s="1"/>
  <c r="P5770" i="2"/>
  <c r="V5770" i="2" s="1"/>
  <c r="P5766" i="2"/>
  <c r="V5766" i="2" s="1"/>
  <c r="P5762" i="2"/>
  <c r="V5762" i="2" s="1"/>
  <c r="P5758" i="2"/>
  <c r="V5758" i="2" s="1"/>
  <c r="P5754" i="2"/>
  <c r="V5754" i="2" s="1"/>
  <c r="P5750" i="2"/>
  <c r="V5750" i="2" s="1"/>
  <c r="P5746" i="2"/>
  <c r="V5746" i="2" s="1"/>
  <c r="P5742" i="2"/>
  <c r="V5742" i="2" s="1"/>
  <c r="P5738" i="2"/>
  <c r="V5738" i="2" s="1"/>
  <c r="P5734" i="2"/>
  <c r="V5734" i="2" s="1"/>
  <c r="P5730" i="2"/>
  <c r="V5730" i="2" s="1"/>
  <c r="P5726" i="2"/>
  <c r="V5726" i="2" s="1"/>
  <c r="P5722" i="2"/>
  <c r="V5722" i="2" s="1"/>
  <c r="P5718" i="2"/>
  <c r="V5718" i="2" s="1"/>
  <c r="P5714" i="2"/>
  <c r="V5714" i="2" s="1"/>
  <c r="P5710" i="2"/>
  <c r="V5710" i="2" s="1"/>
  <c r="P5706" i="2"/>
  <c r="V5706" i="2" s="1"/>
  <c r="P5702" i="2"/>
  <c r="V5702" i="2" s="1"/>
  <c r="P5698" i="2"/>
  <c r="V5698" i="2" s="1"/>
  <c r="P5694" i="2"/>
  <c r="V5694" i="2" s="1"/>
  <c r="P5690" i="2"/>
  <c r="V5690" i="2" s="1"/>
  <c r="P5686" i="2"/>
  <c r="V5686" i="2" s="1"/>
  <c r="P5682" i="2"/>
  <c r="V5682" i="2" s="1"/>
  <c r="P5678" i="2"/>
  <c r="V5678" i="2" s="1"/>
  <c r="P5674" i="2"/>
  <c r="V5674" i="2" s="1"/>
  <c r="P5670" i="2"/>
  <c r="V5670" i="2" s="1"/>
  <c r="P5666" i="2"/>
  <c r="V5666" i="2" s="1"/>
  <c r="P5662" i="2"/>
  <c r="V5662" i="2" s="1"/>
  <c r="P5658" i="2"/>
  <c r="V5658" i="2" s="1"/>
  <c r="P5654" i="2"/>
  <c r="V5654" i="2" s="1"/>
  <c r="P5650" i="2"/>
  <c r="V5650" i="2" s="1"/>
  <c r="P5646" i="2"/>
  <c r="V5646" i="2" s="1"/>
  <c r="P5642" i="2"/>
  <c r="V5642" i="2" s="1"/>
  <c r="P5638" i="2"/>
  <c r="V5638" i="2" s="1"/>
  <c r="P5634" i="2"/>
  <c r="V5634" i="2" s="1"/>
  <c r="P5630" i="2"/>
  <c r="V5630" i="2" s="1"/>
  <c r="P5626" i="2"/>
  <c r="V5626" i="2" s="1"/>
  <c r="P5622" i="2"/>
  <c r="V5622" i="2" s="1"/>
  <c r="P5618" i="2"/>
  <c r="V5618" i="2" s="1"/>
  <c r="P5614" i="2"/>
  <c r="V5614" i="2" s="1"/>
  <c r="P5610" i="2"/>
  <c r="V5610" i="2" s="1"/>
  <c r="P5606" i="2"/>
  <c r="V5606" i="2" s="1"/>
  <c r="P5602" i="2"/>
  <c r="V5602" i="2" s="1"/>
  <c r="P5598" i="2"/>
  <c r="V5598" i="2" s="1"/>
  <c r="P5594" i="2"/>
  <c r="V5594" i="2" s="1"/>
  <c r="P5590" i="2"/>
  <c r="V5590" i="2" s="1"/>
  <c r="P5586" i="2"/>
  <c r="V5586" i="2" s="1"/>
  <c r="P5582" i="2"/>
  <c r="V5582" i="2" s="1"/>
  <c r="P5578" i="2"/>
  <c r="V5578" i="2" s="1"/>
  <c r="P5574" i="2"/>
  <c r="V5574" i="2" s="1"/>
  <c r="P5570" i="2"/>
  <c r="V5570" i="2" s="1"/>
  <c r="P5566" i="2"/>
  <c r="V5566" i="2" s="1"/>
  <c r="P5562" i="2"/>
  <c r="V5562" i="2" s="1"/>
  <c r="P5558" i="2"/>
  <c r="V5558" i="2" s="1"/>
  <c r="P5554" i="2"/>
  <c r="V5554" i="2" s="1"/>
  <c r="P5550" i="2"/>
  <c r="V5550" i="2" s="1"/>
  <c r="P5546" i="2"/>
  <c r="V5546" i="2" s="1"/>
  <c r="P5542" i="2"/>
  <c r="V5542" i="2" s="1"/>
  <c r="P5538" i="2"/>
  <c r="V5538" i="2" s="1"/>
  <c r="P5534" i="2"/>
  <c r="V5534" i="2" s="1"/>
  <c r="P5530" i="2"/>
  <c r="V5530" i="2" s="1"/>
  <c r="P5526" i="2"/>
  <c r="V5526" i="2" s="1"/>
  <c r="P5522" i="2"/>
  <c r="V5522" i="2" s="1"/>
  <c r="P5518" i="2"/>
  <c r="V5518" i="2" s="1"/>
  <c r="P5514" i="2"/>
  <c r="V5514" i="2" s="1"/>
  <c r="P5510" i="2"/>
  <c r="V5510" i="2" s="1"/>
  <c r="P5506" i="2"/>
  <c r="V5506" i="2" s="1"/>
  <c r="P5502" i="2"/>
  <c r="V5502" i="2" s="1"/>
  <c r="P5498" i="2"/>
  <c r="V5498" i="2" s="1"/>
  <c r="P5494" i="2"/>
  <c r="V5494" i="2" s="1"/>
  <c r="P5490" i="2"/>
  <c r="V5490" i="2" s="1"/>
  <c r="P5486" i="2"/>
  <c r="V5486" i="2" s="1"/>
  <c r="P5482" i="2"/>
  <c r="V5482" i="2" s="1"/>
  <c r="P5478" i="2"/>
  <c r="V5478" i="2" s="1"/>
  <c r="P5474" i="2"/>
  <c r="V5474" i="2" s="1"/>
  <c r="P5470" i="2"/>
  <c r="V5470" i="2" s="1"/>
  <c r="P5466" i="2"/>
  <c r="V5466" i="2" s="1"/>
  <c r="P5462" i="2"/>
  <c r="V5462" i="2" s="1"/>
  <c r="P5458" i="2"/>
  <c r="V5458" i="2" s="1"/>
  <c r="P5454" i="2"/>
  <c r="V5454" i="2" s="1"/>
  <c r="P5450" i="2"/>
  <c r="V5450" i="2" s="1"/>
  <c r="P5446" i="2"/>
  <c r="V5446" i="2" s="1"/>
  <c r="P5442" i="2"/>
  <c r="V5442" i="2" s="1"/>
  <c r="P5438" i="2"/>
  <c r="V5438" i="2" s="1"/>
  <c r="P5434" i="2"/>
  <c r="V5434" i="2" s="1"/>
  <c r="P5430" i="2"/>
  <c r="V5430" i="2" s="1"/>
  <c r="P5426" i="2"/>
  <c r="V5426" i="2" s="1"/>
  <c r="P5422" i="2"/>
  <c r="V5422" i="2" s="1"/>
  <c r="P5418" i="2"/>
  <c r="V5418" i="2" s="1"/>
  <c r="P5414" i="2"/>
  <c r="V5414" i="2" s="1"/>
  <c r="P5410" i="2"/>
  <c r="V5410" i="2" s="1"/>
  <c r="P5406" i="2"/>
  <c r="V5406" i="2" s="1"/>
  <c r="P5402" i="2"/>
  <c r="V5402" i="2" s="1"/>
  <c r="P5398" i="2"/>
  <c r="V5398" i="2" s="1"/>
  <c r="P5394" i="2"/>
  <c r="V5394" i="2" s="1"/>
  <c r="P5390" i="2"/>
  <c r="V5390" i="2" s="1"/>
  <c r="P5386" i="2"/>
  <c r="V5386" i="2" s="1"/>
  <c r="P5382" i="2"/>
  <c r="V5382" i="2" s="1"/>
  <c r="P5378" i="2"/>
  <c r="V5378" i="2" s="1"/>
  <c r="P5374" i="2"/>
  <c r="V5374" i="2" s="1"/>
  <c r="P5370" i="2"/>
  <c r="V5370" i="2" s="1"/>
  <c r="P5366" i="2"/>
  <c r="V5366" i="2" s="1"/>
  <c r="P5362" i="2"/>
  <c r="V5362" i="2" s="1"/>
  <c r="P5358" i="2"/>
  <c r="V5358" i="2" s="1"/>
  <c r="P5354" i="2"/>
  <c r="V5354" i="2" s="1"/>
  <c r="P5350" i="2"/>
  <c r="V5350" i="2" s="1"/>
  <c r="P5346" i="2"/>
  <c r="V5346" i="2" s="1"/>
  <c r="P5342" i="2"/>
  <c r="V5342" i="2" s="1"/>
  <c r="P5338" i="2"/>
  <c r="V5338" i="2" s="1"/>
  <c r="P5334" i="2"/>
  <c r="V5334" i="2" s="1"/>
  <c r="P5330" i="2"/>
  <c r="V5330" i="2" s="1"/>
  <c r="P5326" i="2"/>
  <c r="V5326" i="2" s="1"/>
  <c r="P5322" i="2"/>
  <c r="V5322" i="2" s="1"/>
  <c r="P5318" i="2"/>
  <c r="V5318" i="2" s="1"/>
  <c r="P5314" i="2"/>
  <c r="V5314" i="2" s="1"/>
  <c r="P5310" i="2"/>
  <c r="V5310" i="2" s="1"/>
  <c r="P5306" i="2"/>
  <c r="V5306" i="2" s="1"/>
  <c r="P5302" i="2"/>
  <c r="V5302" i="2" s="1"/>
  <c r="P5298" i="2"/>
  <c r="V5298" i="2" s="1"/>
  <c r="P5294" i="2"/>
  <c r="V5294" i="2" s="1"/>
  <c r="P5290" i="2"/>
  <c r="V5290" i="2" s="1"/>
  <c r="P5286" i="2"/>
  <c r="V5286" i="2" s="1"/>
  <c r="P5282" i="2"/>
  <c r="V5282" i="2" s="1"/>
  <c r="P5278" i="2"/>
  <c r="V5278" i="2" s="1"/>
  <c r="P5274" i="2"/>
  <c r="V5274" i="2" s="1"/>
  <c r="P5270" i="2"/>
  <c r="V5270" i="2" s="1"/>
  <c r="P5266" i="2"/>
  <c r="V5266" i="2" s="1"/>
  <c r="P5262" i="2"/>
  <c r="V5262" i="2" s="1"/>
  <c r="P5258" i="2"/>
  <c r="V5258" i="2" s="1"/>
  <c r="P5254" i="2"/>
  <c r="V5254" i="2" s="1"/>
  <c r="P5250" i="2"/>
  <c r="V5250" i="2" s="1"/>
  <c r="P5246" i="2"/>
  <c r="V5246" i="2" s="1"/>
  <c r="P5242" i="2"/>
  <c r="V5242" i="2" s="1"/>
  <c r="P5238" i="2"/>
  <c r="V5238" i="2" s="1"/>
  <c r="P5234" i="2"/>
  <c r="V5234" i="2" s="1"/>
  <c r="P5230" i="2"/>
  <c r="V5230" i="2" s="1"/>
  <c r="P5226" i="2"/>
  <c r="V5226" i="2" s="1"/>
  <c r="P5222" i="2"/>
  <c r="V5222" i="2" s="1"/>
  <c r="P5218" i="2"/>
  <c r="V5218" i="2" s="1"/>
  <c r="P5214" i="2"/>
  <c r="V5214" i="2" s="1"/>
  <c r="P5210" i="2"/>
  <c r="V5210" i="2" s="1"/>
  <c r="P5206" i="2"/>
  <c r="V5206" i="2" s="1"/>
  <c r="P5202" i="2"/>
  <c r="V5202" i="2" s="1"/>
  <c r="P5198" i="2"/>
  <c r="V5198" i="2" s="1"/>
  <c r="P5194" i="2"/>
  <c r="V5194" i="2" s="1"/>
  <c r="P5190" i="2"/>
  <c r="V5190" i="2" s="1"/>
  <c r="P5186" i="2"/>
  <c r="V5186" i="2" s="1"/>
  <c r="P5182" i="2"/>
  <c r="V5182" i="2" s="1"/>
  <c r="P5178" i="2"/>
  <c r="V5178" i="2" s="1"/>
  <c r="P5174" i="2"/>
  <c r="V5174" i="2" s="1"/>
  <c r="P5170" i="2"/>
  <c r="V5170" i="2" s="1"/>
  <c r="P5166" i="2"/>
  <c r="V5166" i="2" s="1"/>
  <c r="P5162" i="2"/>
  <c r="V5162" i="2" s="1"/>
  <c r="P5158" i="2"/>
  <c r="V5158" i="2" s="1"/>
  <c r="P5154" i="2"/>
  <c r="V5154" i="2" s="1"/>
  <c r="P5150" i="2"/>
  <c r="V5150" i="2" s="1"/>
  <c r="P5146" i="2"/>
  <c r="V5146" i="2" s="1"/>
  <c r="P5142" i="2"/>
  <c r="V5142" i="2" s="1"/>
  <c r="P5138" i="2"/>
  <c r="V5138" i="2" s="1"/>
  <c r="P5134" i="2"/>
  <c r="V5134" i="2" s="1"/>
  <c r="P5130" i="2"/>
  <c r="V5130" i="2" s="1"/>
  <c r="P5126" i="2"/>
  <c r="V5126" i="2" s="1"/>
  <c r="P5122" i="2"/>
  <c r="V5122" i="2" s="1"/>
  <c r="P5118" i="2"/>
  <c r="V5118" i="2" s="1"/>
  <c r="P5114" i="2"/>
  <c r="V5114" i="2" s="1"/>
  <c r="P5110" i="2"/>
  <c r="V5110" i="2" s="1"/>
  <c r="P5106" i="2"/>
  <c r="V5106" i="2" s="1"/>
  <c r="P5102" i="2"/>
  <c r="V5102" i="2" s="1"/>
  <c r="P5098" i="2"/>
  <c r="V5098" i="2" s="1"/>
  <c r="P5094" i="2"/>
  <c r="V5094" i="2" s="1"/>
  <c r="P5090" i="2"/>
  <c r="V5090" i="2" s="1"/>
  <c r="P5086" i="2"/>
  <c r="V5086" i="2" s="1"/>
  <c r="P5082" i="2"/>
  <c r="V5082" i="2" s="1"/>
  <c r="P5078" i="2"/>
  <c r="V5078" i="2" s="1"/>
  <c r="P5074" i="2"/>
  <c r="V5074" i="2" s="1"/>
  <c r="P5070" i="2"/>
  <c r="V5070" i="2" s="1"/>
  <c r="P5066" i="2"/>
  <c r="V5066" i="2" s="1"/>
  <c r="P5062" i="2"/>
  <c r="V5062" i="2" s="1"/>
  <c r="P5058" i="2"/>
  <c r="V5058" i="2" s="1"/>
  <c r="P5054" i="2"/>
  <c r="V5054" i="2" s="1"/>
  <c r="P5050" i="2"/>
  <c r="V5050" i="2" s="1"/>
  <c r="P5046" i="2"/>
  <c r="V5046" i="2" s="1"/>
  <c r="P5042" i="2"/>
  <c r="V5042" i="2" s="1"/>
  <c r="P5038" i="2"/>
  <c r="V5038" i="2" s="1"/>
  <c r="P5034" i="2"/>
  <c r="V5034" i="2" s="1"/>
  <c r="P5030" i="2"/>
  <c r="V5030" i="2" s="1"/>
  <c r="P5026" i="2"/>
  <c r="V5026" i="2" s="1"/>
  <c r="P5022" i="2"/>
  <c r="V5022" i="2" s="1"/>
  <c r="P5018" i="2"/>
  <c r="V5018" i="2" s="1"/>
  <c r="P5014" i="2"/>
  <c r="V5014" i="2" s="1"/>
  <c r="P5010" i="2"/>
  <c r="V5010" i="2" s="1"/>
  <c r="P5006" i="2"/>
  <c r="V5006" i="2" s="1"/>
  <c r="P5002" i="2"/>
  <c r="V5002" i="2" s="1"/>
  <c r="P4998" i="2"/>
  <c r="V4998" i="2" s="1"/>
  <c r="P4994" i="2"/>
  <c r="V4994" i="2" s="1"/>
  <c r="P4990" i="2"/>
  <c r="V4990" i="2" s="1"/>
  <c r="P4986" i="2"/>
  <c r="V4986" i="2" s="1"/>
  <c r="P4982" i="2"/>
  <c r="V4982" i="2" s="1"/>
  <c r="P4978" i="2"/>
  <c r="V4978" i="2" s="1"/>
  <c r="P4974" i="2"/>
  <c r="V4974" i="2" s="1"/>
  <c r="P4970" i="2"/>
  <c r="V4970" i="2" s="1"/>
  <c r="P4966" i="2"/>
  <c r="V4966" i="2" s="1"/>
  <c r="P4962" i="2"/>
  <c r="V4962" i="2" s="1"/>
  <c r="P4958" i="2"/>
  <c r="V4958" i="2" s="1"/>
  <c r="P4954" i="2"/>
  <c r="V4954" i="2" s="1"/>
  <c r="P4950" i="2"/>
  <c r="V4950" i="2" s="1"/>
  <c r="P4946" i="2"/>
  <c r="V4946" i="2" s="1"/>
  <c r="P4942" i="2"/>
  <c r="V4942" i="2" s="1"/>
  <c r="P4938" i="2"/>
  <c r="V4938" i="2" s="1"/>
  <c r="P4934" i="2"/>
  <c r="V4934" i="2" s="1"/>
  <c r="P4930" i="2"/>
  <c r="V4930" i="2" s="1"/>
  <c r="P4926" i="2"/>
  <c r="V4926" i="2" s="1"/>
  <c r="P4922" i="2"/>
  <c r="V4922" i="2" s="1"/>
  <c r="P4918" i="2"/>
  <c r="V4918" i="2" s="1"/>
  <c r="P4914" i="2"/>
  <c r="V4914" i="2" s="1"/>
  <c r="P4910" i="2"/>
  <c r="V4910" i="2" s="1"/>
  <c r="P4906" i="2"/>
  <c r="V4906" i="2" s="1"/>
  <c r="P4902" i="2"/>
  <c r="V4902" i="2" s="1"/>
  <c r="P4898" i="2"/>
  <c r="V4898" i="2" s="1"/>
  <c r="P4894" i="2"/>
  <c r="V4894" i="2" s="1"/>
  <c r="P4890" i="2"/>
  <c r="V4890" i="2" s="1"/>
  <c r="P4886" i="2"/>
  <c r="V4886" i="2" s="1"/>
  <c r="P4882" i="2"/>
  <c r="V4882" i="2" s="1"/>
  <c r="P4878" i="2"/>
  <c r="V4878" i="2" s="1"/>
  <c r="P4874" i="2"/>
  <c r="V4874" i="2" s="1"/>
  <c r="P4870" i="2"/>
  <c r="V4870" i="2" s="1"/>
  <c r="P4866" i="2"/>
  <c r="V4866" i="2" s="1"/>
  <c r="P4862" i="2"/>
  <c r="V4862" i="2" s="1"/>
  <c r="P4858" i="2"/>
  <c r="V4858" i="2" s="1"/>
  <c r="P4854" i="2"/>
  <c r="V4854" i="2" s="1"/>
  <c r="P4850" i="2"/>
  <c r="V4850" i="2" s="1"/>
  <c r="P4846" i="2"/>
  <c r="V4846" i="2" s="1"/>
  <c r="P4842" i="2"/>
  <c r="V4842" i="2" s="1"/>
  <c r="P4838" i="2"/>
  <c r="V4838" i="2" s="1"/>
  <c r="P4834" i="2"/>
  <c r="V4834" i="2" s="1"/>
  <c r="P4830" i="2"/>
  <c r="V4830" i="2" s="1"/>
  <c r="P4826" i="2"/>
  <c r="V4826" i="2" s="1"/>
  <c r="P4822" i="2"/>
  <c r="V4822" i="2" s="1"/>
  <c r="P4818" i="2"/>
  <c r="V4818" i="2" s="1"/>
  <c r="P4814" i="2"/>
  <c r="V4814" i="2" s="1"/>
  <c r="P4810" i="2"/>
  <c r="V4810" i="2" s="1"/>
  <c r="P4806" i="2"/>
  <c r="V4806" i="2" s="1"/>
  <c r="P4802" i="2"/>
  <c r="V4802" i="2" s="1"/>
  <c r="P4798" i="2"/>
  <c r="V4798" i="2" s="1"/>
  <c r="P4794" i="2"/>
  <c r="V4794" i="2" s="1"/>
  <c r="P4790" i="2"/>
  <c r="V4790" i="2" s="1"/>
  <c r="P4786" i="2"/>
  <c r="V4786" i="2" s="1"/>
  <c r="P4782" i="2"/>
  <c r="V4782" i="2" s="1"/>
  <c r="P4778" i="2"/>
  <c r="V4778" i="2" s="1"/>
  <c r="P4774" i="2"/>
  <c r="V4774" i="2" s="1"/>
  <c r="P4770" i="2"/>
  <c r="V4770" i="2" s="1"/>
  <c r="P4766" i="2"/>
  <c r="V4766" i="2" s="1"/>
  <c r="P4762" i="2"/>
  <c r="V4762" i="2" s="1"/>
  <c r="P4758" i="2"/>
  <c r="V4758" i="2" s="1"/>
  <c r="P4754" i="2"/>
  <c r="V4754" i="2" s="1"/>
  <c r="P4750" i="2"/>
  <c r="V4750" i="2" s="1"/>
  <c r="P4746" i="2"/>
  <c r="V4746" i="2" s="1"/>
  <c r="P4742" i="2"/>
  <c r="V4742" i="2" s="1"/>
  <c r="P4738" i="2"/>
  <c r="V4738" i="2" s="1"/>
  <c r="P4734" i="2"/>
  <c r="V4734" i="2" s="1"/>
  <c r="P4730" i="2"/>
  <c r="V4730" i="2" s="1"/>
  <c r="P4726" i="2"/>
  <c r="V4726" i="2" s="1"/>
  <c r="P4722" i="2"/>
  <c r="V4722" i="2" s="1"/>
  <c r="P4718" i="2"/>
  <c r="V4718" i="2" s="1"/>
  <c r="P4714" i="2"/>
  <c r="V4714" i="2" s="1"/>
  <c r="P4710" i="2"/>
  <c r="V4710" i="2" s="1"/>
  <c r="P4706" i="2"/>
  <c r="V4706" i="2" s="1"/>
  <c r="P4702" i="2"/>
  <c r="V4702" i="2" s="1"/>
  <c r="P4698" i="2"/>
  <c r="V4698" i="2" s="1"/>
  <c r="P4694" i="2"/>
  <c r="V4694" i="2" s="1"/>
  <c r="P4690" i="2"/>
  <c r="V4690" i="2" s="1"/>
  <c r="P4686" i="2"/>
  <c r="V4686" i="2" s="1"/>
  <c r="P4682" i="2"/>
  <c r="V4682" i="2" s="1"/>
  <c r="P4678" i="2"/>
  <c r="V4678" i="2" s="1"/>
  <c r="P4674" i="2"/>
  <c r="V4674" i="2" s="1"/>
  <c r="P4670" i="2"/>
  <c r="V4670" i="2" s="1"/>
  <c r="P4666" i="2"/>
  <c r="V4666" i="2" s="1"/>
  <c r="P4662" i="2"/>
  <c r="V4662" i="2" s="1"/>
  <c r="P4658" i="2"/>
  <c r="V4658" i="2" s="1"/>
  <c r="P4654" i="2"/>
  <c r="V4654" i="2" s="1"/>
  <c r="P4650" i="2"/>
  <c r="V4650" i="2" s="1"/>
  <c r="P4646" i="2"/>
  <c r="V4646" i="2" s="1"/>
  <c r="P4642" i="2"/>
  <c r="V4642" i="2" s="1"/>
  <c r="P4638" i="2"/>
  <c r="V4638" i="2" s="1"/>
  <c r="P4634" i="2"/>
  <c r="V4634" i="2" s="1"/>
  <c r="P4630" i="2"/>
  <c r="V4630" i="2" s="1"/>
  <c r="P4626" i="2"/>
  <c r="V4626" i="2" s="1"/>
  <c r="P4622" i="2"/>
  <c r="V4622" i="2" s="1"/>
  <c r="P4618" i="2"/>
  <c r="V4618" i="2" s="1"/>
  <c r="P4614" i="2"/>
  <c r="V4614" i="2" s="1"/>
  <c r="P4610" i="2"/>
  <c r="V4610" i="2" s="1"/>
  <c r="P4606" i="2"/>
  <c r="V4606" i="2" s="1"/>
  <c r="P4602" i="2"/>
  <c r="V4602" i="2" s="1"/>
  <c r="P4598" i="2"/>
  <c r="V4598" i="2" s="1"/>
  <c r="P4594" i="2"/>
  <c r="V4594" i="2" s="1"/>
  <c r="P4590" i="2"/>
  <c r="V4590" i="2" s="1"/>
  <c r="P4586" i="2"/>
  <c r="V4586" i="2" s="1"/>
  <c r="P4582" i="2"/>
  <c r="V4582" i="2" s="1"/>
  <c r="P4578" i="2"/>
  <c r="V4578" i="2" s="1"/>
  <c r="P4574" i="2"/>
  <c r="V4574" i="2" s="1"/>
  <c r="P4570" i="2"/>
  <c r="V4570" i="2" s="1"/>
  <c r="P4566" i="2"/>
  <c r="V4566" i="2" s="1"/>
  <c r="P4562" i="2"/>
  <c r="V4562" i="2" s="1"/>
  <c r="P4558" i="2"/>
  <c r="V4558" i="2" s="1"/>
  <c r="P4554" i="2"/>
  <c r="V4554" i="2" s="1"/>
  <c r="P4550" i="2"/>
  <c r="V4550" i="2" s="1"/>
  <c r="P4546" i="2"/>
  <c r="V4546" i="2" s="1"/>
  <c r="P4542" i="2"/>
  <c r="V4542" i="2" s="1"/>
  <c r="P4538" i="2"/>
  <c r="V4538" i="2" s="1"/>
  <c r="P4534" i="2"/>
  <c r="V4534" i="2" s="1"/>
  <c r="P4530" i="2"/>
  <c r="V4530" i="2" s="1"/>
  <c r="P4526" i="2"/>
  <c r="V4526" i="2" s="1"/>
  <c r="P4522" i="2"/>
  <c r="V4522" i="2" s="1"/>
  <c r="P4518" i="2"/>
  <c r="V4518" i="2" s="1"/>
  <c r="P4514" i="2"/>
  <c r="V4514" i="2" s="1"/>
  <c r="P4510" i="2"/>
  <c r="V4510" i="2" s="1"/>
  <c r="P4506" i="2"/>
  <c r="V4506" i="2" s="1"/>
  <c r="P4502" i="2"/>
  <c r="V4502" i="2" s="1"/>
  <c r="P4498" i="2"/>
  <c r="V4498" i="2" s="1"/>
  <c r="P4494" i="2"/>
  <c r="V4494" i="2" s="1"/>
  <c r="P4490" i="2"/>
  <c r="V4490" i="2" s="1"/>
  <c r="P4486" i="2"/>
  <c r="V4486" i="2" s="1"/>
  <c r="P4482" i="2"/>
  <c r="V4482" i="2" s="1"/>
  <c r="P4478" i="2"/>
  <c r="V4478" i="2" s="1"/>
  <c r="P4474" i="2"/>
  <c r="V4474" i="2" s="1"/>
  <c r="P4470" i="2"/>
  <c r="V4470" i="2" s="1"/>
  <c r="P4466" i="2"/>
  <c r="V4466" i="2" s="1"/>
  <c r="P4462" i="2"/>
  <c r="V4462" i="2" s="1"/>
  <c r="P4458" i="2"/>
  <c r="V4458" i="2" s="1"/>
  <c r="P4454" i="2"/>
  <c r="V4454" i="2" s="1"/>
  <c r="P4450" i="2"/>
  <c r="V4450" i="2" s="1"/>
  <c r="P4446" i="2"/>
  <c r="V4446" i="2" s="1"/>
  <c r="P4442" i="2"/>
  <c r="V4442" i="2" s="1"/>
  <c r="P4438" i="2"/>
  <c r="V4438" i="2" s="1"/>
  <c r="P4434" i="2"/>
  <c r="V4434" i="2" s="1"/>
  <c r="P4430" i="2"/>
  <c r="V4430" i="2" s="1"/>
  <c r="P4426" i="2"/>
  <c r="V4426" i="2" s="1"/>
  <c r="P4422" i="2"/>
  <c r="V4422" i="2" s="1"/>
  <c r="P4418" i="2"/>
  <c r="V4418" i="2" s="1"/>
  <c r="P4414" i="2"/>
  <c r="V4414" i="2" s="1"/>
  <c r="P4410" i="2"/>
  <c r="V4410" i="2" s="1"/>
  <c r="P4406" i="2"/>
  <c r="V4406" i="2" s="1"/>
  <c r="P4402" i="2"/>
  <c r="V4402" i="2" s="1"/>
  <c r="P4398" i="2"/>
  <c r="V4398" i="2" s="1"/>
  <c r="P4394" i="2"/>
  <c r="V4394" i="2" s="1"/>
  <c r="P4390" i="2"/>
  <c r="V4390" i="2" s="1"/>
  <c r="P4386" i="2"/>
  <c r="V4386" i="2" s="1"/>
  <c r="P4382" i="2"/>
  <c r="V4382" i="2" s="1"/>
  <c r="P4378" i="2"/>
  <c r="V4378" i="2" s="1"/>
  <c r="P4374" i="2"/>
  <c r="V4374" i="2" s="1"/>
  <c r="P4370" i="2"/>
  <c r="V4370" i="2" s="1"/>
  <c r="P4366" i="2"/>
  <c r="V4366" i="2" s="1"/>
  <c r="P4362" i="2"/>
  <c r="V4362" i="2" s="1"/>
  <c r="P4358" i="2"/>
  <c r="V4358" i="2" s="1"/>
  <c r="P4354" i="2"/>
  <c r="V4354" i="2" s="1"/>
  <c r="P4350" i="2"/>
  <c r="V4350" i="2" s="1"/>
  <c r="P4346" i="2"/>
  <c r="V4346" i="2" s="1"/>
  <c r="P4342" i="2"/>
  <c r="V4342" i="2" s="1"/>
  <c r="P4338" i="2"/>
  <c r="V4338" i="2" s="1"/>
  <c r="P4334" i="2"/>
  <c r="V4334" i="2" s="1"/>
  <c r="P4330" i="2"/>
  <c r="V4330" i="2" s="1"/>
  <c r="P4326" i="2"/>
  <c r="V4326" i="2" s="1"/>
  <c r="P4322" i="2"/>
  <c r="V4322" i="2" s="1"/>
  <c r="P4318" i="2"/>
  <c r="V4318" i="2" s="1"/>
  <c r="P4314" i="2"/>
  <c r="V4314" i="2" s="1"/>
  <c r="P4310" i="2"/>
  <c r="V4310" i="2" s="1"/>
  <c r="P4306" i="2"/>
  <c r="V4306" i="2" s="1"/>
  <c r="P4302" i="2"/>
  <c r="V4302" i="2" s="1"/>
  <c r="P4298" i="2"/>
  <c r="V4298" i="2" s="1"/>
  <c r="P4294" i="2"/>
  <c r="V4294" i="2" s="1"/>
  <c r="P4290" i="2"/>
  <c r="V4290" i="2" s="1"/>
  <c r="P4286" i="2"/>
  <c r="V4286" i="2" s="1"/>
  <c r="P4282" i="2"/>
  <c r="V4282" i="2" s="1"/>
  <c r="P4278" i="2"/>
  <c r="V4278" i="2" s="1"/>
  <c r="P4274" i="2"/>
  <c r="V4274" i="2" s="1"/>
  <c r="P4270" i="2"/>
  <c r="V4270" i="2" s="1"/>
  <c r="P4266" i="2"/>
  <c r="V4266" i="2" s="1"/>
  <c r="P4262" i="2"/>
  <c r="V4262" i="2" s="1"/>
  <c r="P4258" i="2"/>
  <c r="V4258" i="2" s="1"/>
  <c r="P4254" i="2"/>
  <c r="V4254" i="2" s="1"/>
  <c r="P4250" i="2"/>
  <c r="V4250" i="2" s="1"/>
  <c r="P4246" i="2"/>
  <c r="V4246" i="2" s="1"/>
  <c r="P4242" i="2"/>
  <c r="V4242" i="2" s="1"/>
  <c r="P4238" i="2"/>
  <c r="V4238" i="2" s="1"/>
  <c r="P4234" i="2"/>
  <c r="V4234" i="2" s="1"/>
  <c r="P4230" i="2"/>
  <c r="V4230" i="2" s="1"/>
  <c r="P4226" i="2"/>
  <c r="V4226" i="2" s="1"/>
  <c r="P4222" i="2"/>
  <c r="V4222" i="2" s="1"/>
  <c r="P4218" i="2"/>
  <c r="V4218" i="2" s="1"/>
  <c r="P4214" i="2"/>
  <c r="V4214" i="2" s="1"/>
  <c r="P4210" i="2"/>
  <c r="V4210" i="2" s="1"/>
  <c r="P4206" i="2"/>
  <c r="V4206" i="2" s="1"/>
  <c r="P4202" i="2"/>
  <c r="V4202" i="2" s="1"/>
  <c r="P4198" i="2"/>
  <c r="V4198" i="2" s="1"/>
  <c r="P4194" i="2"/>
  <c r="V4194" i="2" s="1"/>
  <c r="P4190" i="2"/>
  <c r="V4190" i="2" s="1"/>
  <c r="P4186" i="2"/>
  <c r="V4186" i="2" s="1"/>
  <c r="P4182" i="2"/>
  <c r="V4182" i="2" s="1"/>
  <c r="P4178" i="2"/>
  <c r="V4178" i="2" s="1"/>
  <c r="P4174" i="2"/>
  <c r="V4174" i="2" s="1"/>
  <c r="P4170" i="2"/>
  <c r="V4170" i="2" s="1"/>
  <c r="P4166" i="2"/>
  <c r="V4166" i="2" s="1"/>
  <c r="P4162" i="2"/>
  <c r="V4162" i="2" s="1"/>
  <c r="P4158" i="2"/>
  <c r="V4158" i="2" s="1"/>
  <c r="P4154" i="2"/>
  <c r="V4154" i="2" s="1"/>
  <c r="P4150" i="2"/>
  <c r="V4150" i="2" s="1"/>
  <c r="P4146" i="2"/>
  <c r="V4146" i="2" s="1"/>
  <c r="P4142" i="2"/>
  <c r="V4142" i="2" s="1"/>
  <c r="P4138" i="2"/>
  <c r="V4138" i="2" s="1"/>
  <c r="P4134" i="2"/>
  <c r="V4134" i="2" s="1"/>
  <c r="P4130" i="2"/>
  <c r="V4130" i="2" s="1"/>
  <c r="P4126" i="2"/>
  <c r="V4126" i="2" s="1"/>
  <c r="P4122" i="2"/>
  <c r="V4122" i="2" s="1"/>
  <c r="P4118" i="2"/>
  <c r="V4118" i="2" s="1"/>
  <c r="P4114" i="2"/>
  <c r="V4114" i="2" s="1"/>
  <c r="P4110" i="2"/>
  <c r="V4110" i="2" s="1"/>
  <c r="P4106" i="2"/>
  <c r="V4106" i="2" s="1"/>
  <c r="P4102" i="2"/>
  <c r="V4102" i="2" s="1"/>
  <c r="P4098" i="2"/>
  <c r="V4098" i="2" s="1"/>
  <c r="P4094" i="2"/>
  <c r="V4094" i="2" s="1"/>
  <c r="P4090" i="2"/>
  <c r="V4090" i="2" s="1"/>
  <c r="P4086" i="2"/>
  <c r="V4086" i="2" s="1"/>
  <c r="P4082" i="2"/>
  <c r="V4082" i="2" s="1"/>
  <c r="P4078" i="2"/>
  <c r="V4078" i="2" s="1"/>
  <c r="P4074" i="2"/>
  <c r="V4074" i="2" s="1"/>
  <c r="P4070" i="2"/>
  <c r="V4070" i="2" s="1"/>
  <c r="P4066" i="2"/>
  <c r="V4066" i="2" s="1"/>
  <c r="P4062" i="2"/>
  <c r="V4062" i="2" s="1"/>
  <c r="P4058" i="2"/>
  <c r="V4058" i="2" s="1"/>
  <c r="P4054" i="2"/>
  <c r="V4054" i="2" s="1"/>
  <c r="P4050" i="2"/>
  <c r="V4050" i="2" s="1"/>
  <c r="P4046" i="2"/>
  <c r="V4046" i="2" s="1"/>
  <c r="P4042" i="2"/>
  <c r="V4042" i="2" s="1"/>
  <c r="P4038" i="2"/>
  <c r="V4038" i="2" s="1"/>
  <c r="P4034" i="2"/>
  <c r="V4034" i="2" s="1"/>
  <c r="P4030" i="2"/>
  <c r="V4030" i="2" s="1"/>
  <c r="P4026" i="2"/>
  <c r="V4026" i="2" s="1"/>
  <c r="P4022" i="2"/>
  <c r="V4022" i="2" s="1"/>
  <c r="P4018" i="2"/>
  <c r="V4018" i="2" s="1"/>
  <c r="P4014" i="2"/>
  <c r="V4014" i="2" s="1"/>
  <c r="P4010" i="2"/>
  <c r="V4010" i="2" s="1"/>
  <c r="P4006" i="2"/>
  <c r="V4006" i="2" s="1"/>
  <c r="P4002" i="2"/>
  <c r="V4002" i="2" s="1"/>
  <c r="P3998" i="2"/>
  <c r="V3998" i="2" s="1"/>
  <c r="P3994" i="2"/>
  <c r="V3994" i="2" s="1"/>
  <c r="P3990" i="2"/>
  <c r="V3990" i="2" s="1"/>
  <c r="P3986" i="2"/>
  <c r="V3986" i="2" s="1"/>
  <c r="P3982" i="2"/>
  <c r="V3982" i="2" s="1"/>
  <c r="P3978" i="2"/>
  <c r="V3978" i="2" s="1"/>
  <c r="P3974" i="2"/>
  <c r="V3974" i="2" s="1"/>
  <c r="P3970" i="2"/>
  <c r="V3970" i="2" s="1"/>
  <c r="P3966" i="2"/>
  <c r="V3966" i="2" s="1"/>
  <c r="P3962" i="2"/>
  <c r="V3962" i="2" s="1"/>
  <c r="P3958" i="2"/>
  <c r="V3958" i="2" s="1"/>
  <c r="P3954" i="2"/>
  <c r="V3954" i="2" s="1"/>
  <c r="P3950" i="2"/>
  <c r="V3950" i="2" s="1"/>
  <c r="P3946" i="2"/>
  <c r="V3946" i="2" s="1"/>
  <c r="P3942" i="2"/>
  <c r="V3942" i="2" s="1"/>
  <c r="P3938" i="2"/>
  <c r="V3938" i="2" s="1"/>
  <c r="P3934" i="2"/>
  <c r="V3934" i="2" s="1"/>
  <c r="P3930" i="2"/>
  <c r="V3930" i="2" s="1"/>
  <c r="P3926" i="2"/>
  <c r="V3926" i="2" s="1"/>
  <c r="P3922" i="2"/>
  <c r="V3922" i="2" s="1"/>
  <c r="P3918" i="2"/>
  <c r="V3918" i="2" s="1"/>
  <c r="P3914" i="2"/>
  <c r="V3914" i="2" s="1"/>
  <c r="P3910" i="2"/>
  <c r="V3910" i="2" s="1"/>
  <c r="P3906" i="2"/>
  <c r="V3906" i="2" s="1"/>
  <c r="P3902" i="2"/>
  <c r="V3902" i="2" s="1"/>
  <c r="P3898" i="2"/>
  <c r="V3898" i="2" s="1"/>
  <c r="P3894" i="2"/>
  <c r="V3894" i="2" s="1"/>
  <c r="P3890" i="2"/>
  <c r="V3890" i="2" s="1"/>
  <c r="P3886" i="2"/>
  <c r="V3886" i="2" s="1"/>
  <c r="P3882" i="2"/>
  <c r="V3882" i="2" s="1"/>
  <c r="P3878" i="2"/>
  <c r="V3878" i="2" s="1"/>
  <c r="P3874" i="2"/>
  <c r="V3874" i="2" s="1"/>
  <c r="P3870" i="2"/>
  <c r="V3870" i="2" s="1"/>
  <c r="P3866" i="2"/>
  <c r="V3866" i="2" s="1"/>
  <c r="P3862" i="2"/>
  <c r="V3862" i="2" s="1"/>
  <c r="P3858" i="2"/>
  <c r="V3858" i="2" s="1"/>
  <c r="P3854" i="2"/>
  <c r="V3854" i="2" s="1"/>
  <c r="P3850" i="2"/>
  <c r="V3850" i="2" s="1"/>
  <c r="P3846" i="2"/>
  <c r="V3846" i="2" s="1"/>
  <c r="P3842" i="2"/>
  <c r="V3842" i="2" s="1"/>
  <c r="P3838" i="2"/>
  <c r="V3838" i="2" s="1"/>
  <c r="P3834" i="2"/>
  <c r="V3834" i="2" s="1"/>
  <c r="P3830" i="2"/>
  <c r="V3830" i="2" s="1"/>
  <c r="P3826" i="2"/>
  <c r="V3826" i="2" s="1"/>
  <c r="P3822" i="2"/>
  <c r="V3822" i="2" s="1"/>
  <c r="P3818" i="2"/>
  <c r="V3818" i="2" s="1"/>
  <c r="P3814" i="2"/>
  <c r="V3814" i="2" s="1"/>
  <c r="P3810" i="2"/>
  <c r="V3810" i="2" s="1"/>
  <c r="P3806" i="2"/>
  <c r="V3806" i="2" s="1"/>
  <c r="P3802" i="2"/>
  <c r="V3802" i="2" s="1"/>
  <c r="P3798" i="2"/>
  <c r="V3798" i="2" s="1"/>
  <c r="P3794" i="2"/>
  <c r="V3794" i="2" s="1"/>
  <c r="P3790" i="2"/>
  <c r="V3790" i="2" s="1"/>
  <c r="P3786" i="2"/>
  <c r="V3786" i="2" s="1"/>
  <c r="P3782" i="2"/>
  <c r="V3782" i="2" s="1"/>
  <c r="P3778" i="2"/>
  <c r="V3778" i="2" s="1"/>
  <c r="P3774" i="2"/>
  <c r="V3774" i="2" s="1"/>
  <c r="P3770" i="2"/>
  <c r="V3770" i="2" s="1"/>
  <c r="P3766" i="2"/>
  <c r="V3766" i="2" s="1"/>
  <c r="P3762" i="2"/>
  <c r="V3762" i="2" s="1"/>
  <c r="P3758" i="2"/>
  <c r="V3758" i="2" s="1"/>
  <c r="P3754" i="2"/>
  <c r="V3754" i="2" s="1"/>
  <c r="P3750" i="2"/>
  <c r="V3750" i="2" s="1"/>
  <c r="P3746" i="2"/>
  <c r="V3746" i="2" s="1"/>
  <c r="P3742" i="2"/>
  <c r="V3742" i="2" s="1"/>
  <c r="P3738" i="2"/>
  <c r="V3738" i="2" s="1"/>
  <c r="P3734" i="2"/>
  <c r="V3734" i="2" s="1"/>
  <c r="P3730" i="2"/>
  <c r="V3730" i="2" s="1"/>
  <c r="P3726" i="2"/>
  <c r="V3726" i="2" s="1"/>
  <c r="P3722" i="2"/>
  <c r="V3722" i="2" s="1"/>
  <c r="P3718" i="2"/>
  <c r="V3718" i="2" s="1"/>
  <c r="P3714" i="2"/>
  <c r="V3714" i="2" s="1"/>
  <c r="P3710" i="2"/>
  <c r="V3710" i="2" s="1"/>
  <c r="P3706" i="2"/>
  <c r="V3706" i="2" s="1"/>
  <c r="P3702" i="2"/>
  <c r="V3702" i="2" s="1"/>
  <c r="P3698" i="2"/>
  <c r="V3698" i="2" s="1"/>
  <c r="P3694" i="2"/>
  <c r="V3694" i="2" s="1"/>
  <c r="P3690" i="2"/>
  <c r="V3690" i="2" s="1"/>
  <c r="P3686" i="2"/>
  <c r="V3686" i="2" s="1"/>
  <c r="P3682" i="2"/>
  <c r="V3682" i="2" s="1"/>
  <c r="P3678" i="2"/>
  <c r="V3678" i="2" s="1"/>
  <c r="P3674" i="2"/>
  <c r="V3674" i="2" s="1"/>
  <c r="P3670" i="2"/>
  <c r="V3670" i="2" s="1"/>
  <c r="P3666" i="2"/>
  <c r="V3666" i="2" s="1"/>
  <c r="P3662" i="2"/>
  <c r="V3662" i="2" s="1"/>
  <c r="P3658" i="2"/>
  <c r="V3658" i="2" s="1"/>
  <c r="P3654" i="2"/>
  <c r="V3654" i="2" s="1"/>
  <c r="P3650" i="2"/>
  <c r="V3650" i="2" s="1"/>
  <c r="P3646" i="2"/>
  <c r="V3646" i="2" s="1"/>
  <c r="P3642" i="2"/>
  <c r="V3642" i="2" s="1"/>
  <c r="P3638" i="2"/>
  <c r="V3638" i="2" s="1"/>
  <c r="P3634" i="2"/>
  <c r="V3634" i="2" s="1"/>
  <c r="P3630" i="2"/>
  <c r="V3630" i="2" s="1"/>
  <c r="P3626" i="2"/>
  <c r="V3626" i="2" s="1"/>
  <c r="P3622" i="2"/>
  <c r="V3622" i="2" s="1"/>
  <c r="P3618" i="2"/>
  <c r="V3618" i="2" s="1"/>
  <c r="P3614" i="2"/>
  <c r="V3614" i="2" s="1"/>
  <c r="P3610" i="2"/>
  <c r="V3610" i="2" s="1"/>
  <c r="P3606" i="2"/>
  <c r="V3606" i="2" s="1"/>
  <c r="P3602" i="2"/>
  <c r="V3602" i="2" s="1"/>
  <c r="P3598" i="2"/>
  <c r="V3598" i="2" s="1"/>
  <c r="P3594" i="2"/>
  <c r="V3594" i="2" s="1"/>
  <c r="P3590" i="2"/>
  <c r="V3590" i="2" s="1"/>
  <c r="P3586" i="2"/>
  <c r="V3586" i="2" s="1"/>
  <c r="P3582" i="2"/>
  <c r="V3582" i="2" s="1"/>
  <c r="P3578" i="2"/>
  <c r="V3578" i="2" s="1"/>
  <c r="P3574" i="2"/>
  <c r="V3574" i="2" s="1"/>
  <c r="P3570" i="2"/>
  <c r="V3570" i="2" s="1"/>
  <c r="P3566" i="2"/>
  <c r="V3566" i="2" s="1"/>
  <c r="P3562" i="2"/>
  <c r="V3562" i="2" s="1"/>
  <c r="P3558" i="2"/>
  <c r="V3558" i="2" s="1"/>
  <c r="P3554" i="2"/>
  <c r="V3554" i="2" s="1"/>
  <c r="P3550" i="2"/>
  <c r="V3550" i="2" s="1"/>
  <c r="P3546" i="2"/>
  <c r="V3546" i="2" s="1"/>
  <c r="P3542" i="2"/>
  <c r="V3542" i="2" s="1"/>
  <c r="P3538" i="2"/>
  <c r="V3538" i="2" s="1"/>
  <c r="P3534" i="2"/>
  <c r="V3534" i="2" s="1"/>
  <c r="P3530" i="2"/>
  <c r="V3530" i="2" s="1"/>
  <c r="P3526" i="2"/>
  <c r="V3526" i="2" s="1"/>
  <c r="P3522" i="2"/>
  <c r="V3522" i="2" s="1"/>
  <c r="P3518" i="2"/>
  <c r="V3518" i="2" s="1"/>
  <c r="P3514" i="2"/>
  <c r="V3514" i="2" s="1"/>
  <c r="P3510" i="2"/>
  <c r="V3510" i="2" s="1"/>
  <c r="P3506" i="2"/>
  <c r="V3506" i="2" s="1"/>
  <c r="P3502" i="2"/>
  <c r="V3502" i="2" s="1"/>
  <c r="P3498" i="2"/>
  <c r="V3498" i="2" s="1"/>
  <c r="P3494" i="2"/>
  <c r="V3494" i="2" s="1"/>
  <c r="P3490" i="2"/>
  <c r="V3490" i="2" s="1"/>
  <c r="P3486" i="2"/>
  <c r="V3486" i="2" s="1"/>
  <c r="P3482" i="2"/>
  <c r="V3482" i="2" s="1"/>
  <c r="P3478" i="2"/>
  <c r="V3478" i="2" s="1"/>
  <c r="P3474" i="2"/>
  <c r="V3474" i="2" s="1"/>
  <c r="P3470" i="2"/>
  <c r="V3470" i="2" s="1"/>
  <c r="P3466" i="2"/>
  <c r="V3466" i="2" s="1"/>
  <c r="P3462" i="2"/>
  <c r="V3462" i="2" s="1"/>
  <c r="P3458" i="2"/>
  <c r="V3458" i="2" s="1"/>
  <c r="P3454" i="2"/>
  <c r="V3454" i="2" s="1"/>
  <c r="P3450" i="2"/>
  <c r="V3450" i="2" s="1"/>
  <c r="P3446" i="2"/>
  <c r="V3446" i="2" s="1"/>
  <c r="P3442" i="2"/>
  <c r="V3442" i="2" s="1"/>
  <c r="P3438" i="2"/>
  <c r="V3438" i="2" s="1"/>
  <c r="P3434" i="2"/>
  <c r="V3434" i="2" s="1"/>
  <c r="P3430" i="2"/>
  <c r="V3430" i="2" s="1"/>
  <c r="P3426" i="2"/>
  <c r="V3426" i="2" s="1"/>
  <c r="P3422" i="2"/>
  <c r="V3422" i="2" s="1"/>
  <c r="P3418" i="2"/>
  <c r="V3418" i="2" s="1"/>
  <c r="P3414" i="2"/>
  <c r="V3414" i="2" s="1"/>
  <c r="P3410" i="2"/>
  <c r="V3410" i="2" s="1"/>
  <c r="P3406" i="2"/>
  <c r="V3406" i="2" s="1"/>
  <c r="P3402" i="2"/>
  <c r="V3402" i="2" s="1"/>
  <c r="P3398" i="2"/>
  <c r="V3398" i="2" s="1"/>
  <c r="P3394" i="2"/>
  <c r="V3394" i="2" s="1"/>
  <c r="P3390" i="2"/>
  <c r="V3390" i="2" s="1"/>
  <c r="P3386" i="2"/>
  <c r="V3386" i="2" s="1"/>
  <c r="P3382" i="2"/>
  <c r="V3382" i="2" s="1"/>
  <c r="P3378" i="2"/>
  <c r="V3378" i="2" s="1"/>
  <c r="P3374" i="2"/>
  <c r="V3374" i="2" s="1"/>
  <c r="P3370" i="2"/>
  <c r="V3370" i="2" s="1"/>
  <c r="P3366" i="2"/>
  <c r="V3366" i="2" s="1"/>
  <c r="P3362" i="2"/>
  <c r="V3362" i="2" s="1"/>
  <c r="P3358" i="2"/>
  <c r="V3358" i="2" s="1"/>
  <c r="P3354" i="2"/>
  <c r="V3354" i="2" s="1"/>
  <c r="P3350" i="2"/>
  <c r="V3350" i="2" s="1"/>
  <c r="P3346" i="2"/>
  <c r="V3346" i="2" s="1"/>
  <c r="P3342" i="2"/>
  <c r="V3342" i="2" s="1"/>
  <c r="P3338" i="2"/>
  <c r="V3338" i="2" s="1"/>
  <c r="P3334" i="2"/>
  <c r="V3334" i="2" s="1"/>
  <c r="P3330" i="2"/>
  <c r="V3330" i="2" s="1"/>
  <c r="P3326" i="2"/>
  <c r="V3326" i="2" s="1"/>
  <c r="P3322" i="2"/>
  <c r="V3322" i="2" s="1"/>
  <c r="P3318" i="2"/>
  <c r="V3318" i="2" s="1"/>
  <c r="P3314" i="2"/>
  <c r="V3314" i="2" s="1"/>
  <c r="P3310" i="2"/>
  <c r="V3310" i="2" s="1"/>
  <c r="P3306" i="2"/>
  <c r="V3306" i="2" s="1"/>
  <c r="P3302" i="2"/>
  <c r="V3302" i="2" s="1"/>
  <c r="P3298" i="2"/>
  <c r="V3298" i="2" s="1"/>
  <c r="P3294" i="2"/>
  <c r="V3294" i="2" s="1"/>
  <c r="P3290" i="2"/>
  <c r="V3290" i="2" s="1"/>
  <c r="P3286" i="2"/>
  <c r="V3286" i="2" s="1"/>
  <c r="P3282" i="2"/>
  <c r="V3282" i="2" s="1"/>
  <c r="P3278" i="2"/>
  <c r="V3278" i="2" s="1"/>
  <c r="P3274" i="2"/>
  <c r="V3274" i="2" s="1"/>
  <c r="P3270" i="2"/>
  <c r="V3270" i="2" s="1"/>
  <c r="P3266" i="2"/>
  <c r="V3266" i="2" s="1"/>
  <c r="P3262" i="2"/>
  <c r="V3262" i="2" s="1"/>
  <c r="P3258" i="2"/>
  <c r="V3258" i="2" s="1"/>
  <c r="P3254" i="2"/>
  <c r="V3254" i="2" s="1"/>
  <c r="P3250" i="2"/>
  <c r="V3250" i="2" s="1"/>
  <c r="P3246" i="2"/>
  <c r="V3246" i="2" s="1"/>
  <c r="P3242" i="2"/>
  <c r="V3242" i="2" s="1"/>
  <c r="P3238" i="2"/>
  <c r="V3238" i="2" s="1"/>
  <c r="P3234" i="2"/>
  <c r="V3234" i="2" s="1"/>
  <c r="P3230" i="2"/>
  <c r="V3230" i="2" s="1"/>
  <c r="P3226" i="2"/>
  <c r="V3226" i="2" s="1"/>
  <c r="P3222" i="2"/>
  <c r="V3222" i="2" s="1"/>
  <c r="P3218" i="2"/>
  <c r="V3218" i="2" s="1"/>
  <c r="P3214" i="2"/>
  <c r="V3214" i="2" s="1"/>
  <c r="P3210" i="2"/>
  <c r="V3210" i="2" s="1"/>
  <c r="P3206" i="2"/>
  <c r="V3206" i="2" s="1"/>
  <c r="P3202" i="2"/>
  <c r="V3202" i="2" s="1"/>
  <c r="P3198" i="2"/>
  <c r="V3198" i="2" s="1"/>
  <c r="P3194" i="2"/>
  <c r="V3194" i="2" s="1"/>
  <c r="P3190" i="2"/>
  <c r="V3190" i="2" s="1"/>
  <c r="P3186" i="2"/>
  <c r="V3186" i="2" s="1"/>
  <c r="P3182" i="2"/>
  <c r="V3182" i="2" s="1"/>
  <c r="P3178" i="2"/>
  <c r="V3178" i="2" s="1"/>
  <c r="P3174" i="2"/>
  <c r="V3174" i="2" s="1"/>
  <c r="P3170" i="2"/>
  <c r="V3170" i="2" s="1"/>
  <c r="P3166" i="2"/>
  <c r="V3166" i="2" s="1"/>
  <c r="P3162" i="2"/>
  <c r="V3162" i="2" s="1"/>
  <c r="P3158" i="2"/>
  <c r="V3158" i="2" s="1"/>
  <c r="P3154" i="2"/>
  <c r="V3154" i="2" s="1"/>
  <c r="P3150" i="2"/>
  <c r="V3150" i="2" s="1"/>
  <c r="P3146" i="2"/>
  <c r="V3146" i="2" s="1"/>
  <c r="P3142" i="2"/>
  <c r="V3142" i="2" s="1"/>
  <c r="P3138" i="2"/>
  <c r="V3138" i="2" s="1"/>
  <c r="P3134" i="2"/>
  <c r="V3134" i="2" s="1"/>
  <c r="P3130" i="2"/>
  <c r="V3130" i="2" s="1"/>
  <c r="P3126" i="2"/>
  <c r="V3126" i="2" s="1"/>
  <c r="P3122" i="2"/>
  <c r="V3122" i="2" s="1"/>
  <c r="P3118" i="2"/>
  <c r="V3118" i="2" s="1"/>
  <c r="P3114" i="2"/>
  <c r="V3114" i="2" s="1"/>
  <c r="P3110" i="2"/>
  <c r="V3110" i="2" s="1"/>
  <c r="P3106" i="2"/>
  <c r="V3106" i="2" s="1"/>
  <c r="P3102" i="2"/>
  <c r="V3102" i="2" s="1"/>
  <c r="P3098" i="2"/>
  <c r="V3098" i="2" s="1"/>
  <c r="P3094" i="2"/>
  <c r="V3094" i="2" s="1"/>
  <c r="P3090" i="2"/>
  <c r="V3090" i="2" s="1"/>
  <c r="P3086" i="2"/>
  <c r="V3086" i="2" s="1"/>
  <c r="P3082" i="2"/>
  <c r="V3082" i="2" s="1"/>
  <c r="P3078" i="2"/>
  <c r="V3078" i="2" s="1"/>
  <c r="P3074" i="2"/>
  <c r="V3074" i="2" s="1"/>
  <c r="P3070" i="2"/>
  <c r="V3070" i="2" s="1"/>
  <c r="P3066" i="2"/>
  <c r="V3066" i="2" s="1"/>
  <c r="P3062" i="2"/>
  <c r="V3062" i="2" s="1"/>
  <c r="P3058" i="2"/>
  <c r="V3058" i="2" s="1"/>
  <c r="P3054" i="2"/>
  <c r="V3054" i="2" s="1"/>
  <c r="P3050" i="2"/>
  <c r="V3050" i="2" s="1"/>
  <c r="P3046" i="2"/>
  <c r="V3046" i="2" s="1"/>
  <c r="P3042" i="2"/>
  <c r="V3042" i="2" s="1"/>
  <c r="P3038" i="2"/>
  <c r="V3038" i="2" s="1"/>
  <c r="P3034" i="2"/>
  <c r="V3034" i="2" s="1"/>
  <c r="P3030" i="2"/>
  <c r="V3030" i="2" s="1"/>
  <c r="P3026" i="2"/>
  <c r="V3026" i="2" s="1"/>
  <c r="P3022" i="2"/>
  <c r="V3022" i="2" s="1"/>
  <c r="P3018" i="2"/>
  <c r="V3018" i="2" s="1"/>
  <c r="P3014" i="2"/>
  <c r="V3014" i="2" s="1"/>
  <c r="P3010" i="2"/>
  <c r="V3010" i="2" s="1"/>
  <c r="P3006" i="2"/>
  <c r="V3006" i="2" s="1"/>
  <c r="P3002" i="2"/>
  <c r="V3002" i="2" s="1"/>
  <c r="P2998" i="2"/>
  <c r="V2998" i="2" s="1"/>
  <c r="P2994" i="2"/>
  <c r="V2994" i="2" s="1"/>
  <c r="P2990" i="2"/>
  <c r="V2990" i="2" s="1"/>
  <c r="P2986" i="2"/>
  <c r="V2986" i="2" s="1"/>
  <c r="P2982" i="2"/>
  <c r="V2982" i="2" s="1"/>
  <c r="P2978" i="2"/>
  <c r="V2978" i="2" s="1"/>
  <c r="P2974" i="2"/>
  <c r="V2974" i="2" s="1"/>
  <c r="P2970" i="2"/>
  <c r="V2970" i="2" s="1"/>
  <c r="P2966" i="2"/>
  <c r="V2966" i="2" s="1"/>
  <c r="P2962" i="2"/>
  <c r="V2962" i="2" s="1"/>
  <c r="P2958" i="2"/>
  <c r="V2958" i="2" s="1"/>
  <c r="P2954" i="2"/>
  <c r="V2954" i="2" s="1"/>
  <c r="P2950" i="2"/>
  <c r="V2950" i="2" s="1"/>
  <c r="P2946" i="2"/>
  <c r="V2946" i="2" s="1"/>
  <c r="P2942" i="2"/>
  <c r="V2942" i="2" s="1"/>
  <c r="P2938" i="2"/>
  <c r="V2938" i="2" s="1"/>
  <c r="P2934" i="2"/>
  <c r="V2934" i="2" s="1"/>
  <c r="P2930" i="2"/>
  <c r="V2930" i="2" s="1"/>
  <c r="P2926" i="2"/>
  <c r="V2926" i="2" s="1"/>
  <c r="P2922" i="2"/>
  <c r="V2922" i="2" s="1"/>
  <c r="P2918" i="2"/>
  <c r="V2918" i="2" s="1"/>
  <c r="P2914" i="2"/>
  <c r="V2914" i="2" s="1"/>
  <c r="P2910" i="2"/>
  <c r="V2910" i="2" s="1"/>
  <c r="P2906" i="2"/>
  <c r="V2906" i="2" s="1"/>
  <c r="P2902" i="2"/>
  <c r="V2902" i="2" s="1"/>
  <c r="P2898" i="2"/>
  <c r="V2898" i="2" s="1"/>
  <c r="P2894" i="2"/>
  <c r="V2894" i="2" s="1"/>
  <c r="P2890" i="2"/>
  <c r="V2890" i="2" s="1"/>
  <c r="P2886" i="2"/>
  <c r="V2886" i="2" s="1"/>
  <c r="P2882" i="2"/>
  <c r="V2882" i="2" s="1"/>
  <c r="P2878" i="2"/>
  <c r="V2878" i="2" s="1"/>
  <c r="P2874" i="2"/>
  <c r="V2874" i="2" s="1"/>
  <c r="P2870" i="2"/>
  <c r="V2870" i="2" s="1"/>
  <c r="P2866" i="2"/>
  <c r="V2866" i="2" s="1"/>
  <c r="P2862" i="2"/>
  <c r="V2862" i="2" s="1"/>
  <c r="P2858" i="2"/>
  <c r="V2858" i="2" s="1"/>
  <c r="P2854" i="2"/>
  <c r="V2854" i="2" s="1"/>
  <c r="P2850" i="2"/>
  <c r="V2850" i="2" s="1"/>
  <c r="P2846" i="2"/>
  <c r="V2846" i="2" s="1"/>
  <c r="P2842" i="2"/>
  <c r="V2842" i="2" s="1"/>
  <c r="P2838" i="2"/>
  <c r="V2838" i="2" s="1"/>
  <c r="P2834" i="2"/>
  <c r="V2834" i="2" s="1"/>
  <c r="P2830" i="2"/>
  <c r="V2830" i="2" s="1"/>
  <c r="P2826" i="2"/>
  <c r="V2826" i="2" s="1"/>
  <c r="P2822" i="2"/>
  <c r="V2822" i="2" s="1"/>
  <c r="P2818" i="2"/>
  <c r="V2818" i="2" s="1"/>
  <c r="P2814" i="2"/>
  <c r="V2814" i="2" s="1"/>
  <c r="P2810" i="2"/>
  <c r="V2810" i="2" s="1"/>
  <c r="P2806" i="2"/>
  <c r="V2806" i="2" s="1"/>
  <c r="P2802" i="2"/>
  <c r="V2802" i="2" s="1"/>
  <c r="P2798" i="2"/>
  <c r="V2798" i="2" s="1"/>
  <c r="P2794" i="2"/>
  <c r="V2794" i="2" s="1"/>
  <c r="P2790" i="2"/>
  <c r="V2790" i="2" s="1"/>
  <c r="P2786" i="2"/>
  <c r="V2786" i="2" s="1"/>
  <c r="P2782" i="2"/>
  <c r="V2782" i="2" s="1"/>
  <c r="P2778" i="2"/>
  <c r="V2778" i="2" s="1"/>
  <c r="P2774" i="2"/>
  <c r="V2774" i="2" s="1"/>
  <c r="P2770" i="2"/>
  <c r="V2770" i="2" s="1"/>
  <c r="P2766" i="2"/>
  <c r="V2766" i="2" s="1"/>
  <c r="P2762" i="2"/>
  <c r="V2762" i="2" s="1"/>
  <c r="P2758" i="2"/>
  <c r="V2758" i="2" s="1"/>
  <c r="P2754" i="2"/>
  <c r="V2754" i="2" s="1"/>
  <c r="P2750" i="2"/>
  <c r="V2750" i="2" s="1"/>
  <c r="P2746" i="2"/>
  <c r="V2746" i="2" s="1"/>
  <c r="P2742" i="2"/>
  <c r="V2742" i="2" s="1"/>
  <c r="P2738" i="2"/>
  <c r="V2738" i="2" s="1"/>
  <c r="P2734" i="2"/>
  <c r="V2734" i="2" s="1"/>
  <c r="P2730" i="2"/>
  <c r="V2730" i="2" s="1"/>
  <c r="P2726" i="2"/>
  <c r="V2726" i="2" s="1"/>
  <c r="P2722" i="2"/>
  <c r="V2722" i="2" s="1"/>
  <c r="P2718" i="2"/>
  <c r="V2718" i="2" s="1"/>
  <c r="P2714" i="2"/>
  <c r="V2714" i="2" s="1"/>
  <c r="P2710" i="2"/>
  <c r="V2710" i="2" s="1"/>
  <c r="P2706" i="2"/>
  <c r="V2706" i="2" s="1"/>
  <c r="P2702" i="2"/>
  <c r="V2702" i="2" s="1"/>
  <c r="P2698" i="2"/>
  <c r="V2698" i="2" s="1"/>
  <c r="P2694" i="2"/>
  <c r="V2694" i="2" s="1"/>
  <c r="P2690" i="2"/>
  <c r="V2690" i="2" s="1"/>
  <c r="P2686" i="2"/>
  <c r="V2686" i="2" s="1"/>
  <c r="P2682" i="2"/>
  <c r="V2682" i="2" s="1"/>
  <c r="P2678" i="2"/>
  <c r="V2678" i="2" s="1"/>
  <c r="P2674" i="2"/>
  <c r="V2674" i="2" s="1"/>
  <c r="P2670" i="2"/>
  <c r="V2670" i="2" s="1"/>
  <c r="P2666" i="2"/>
  <c r="V2666" i="2" s="1"/>
  <c r="P2662" i="2"/>
  <c r="V2662" i="2" s="1"/>
  <c r="P2658" i="2"/>
  <c r="V2658" i="2" s="1"/>
  <c r="P2654" i="2"/>
  <c r="V2654" i="2" s="1"/>
  <c r="P2650" i="2"/>
  <c r="V2650" i="2" s="1"/>
  <c r="P2646" i="2"/>
  <c r="V2646" i="2" s="1"/>
  <c r="P2642" i="2"/>
  <c r="V2642" i="2" s="1"/>
  <c r="P2638" i="2"/>
  <c r="V2638" i="2" s="1"/>
  <c r="P2634" i="2"/>
  <c r="V2634" i="2" s="1"/>
  <c r="P2630" i="2"/>
  <c r="V2630" i="2" s="1"/>
  <c r="P2626" i="2"/>
  <c r="V2626" i="2" s="1"/>
  <c r="P2622" i="2"/>
  <c r="V2622" i="2" s="1"/>
  <c r="P2618" i="2"/>
  <c r="V2618" i="2" s="1"/>
  <c r="P2614" i="2"/>
  <c r="V2614" i="2" s="1"/>
  <c r="P2610" i="2"/>
  <c r="V2610" i="2" s="1"/>
  <c r="P2606" i="2"/>
  <c r="V2606" i="2" s="1"/>
  <c r="P2602" i="2"/>
  <c r="V2602" i="2" s="1"/>
  <c r="P2598" i="2"/>
  <c r="V2598" i="2" s="1"/>
  <c r="P2594" i="2"/>
  <c r="V2594" i="2" s="1"/>
  <c r="P2590" i="2"/>
  <c r="V2590" i="2" s="1"/>
  <c r="P2586" i="2"/>
  <c r="V2586" i="2" s="1"/>
  <c r="P2582" i="2"/>
  <c r="V2582" i="2" s="1"/>
  <c r="P2578" i="2"/>
  <c r="V2578" i="2" s="1"/>
  <c r="P2574" i="2"/>
  <c r="V2574" i="2" s="1"/>
  <c r="P2570" i="2"/>
  <c r="V2570" i="2" s="1"/>
  <c r="P2566" i="2"/>
  <c r="V2566" i="2" s="1"/>
  <c r="P2562" i="2"/>
  <c r="V2562" i="2" s="1"/>
  <c r="P2558" i="2"/>
  <c r="V2558" i="2" s="1"/>
  <c r="P2554" i="2"/>
  <c r="V2554" i="2" s="1"/>
  <c r="P2550" i="2"/>
  <c r="V2550" i="2" s="1"/>
  <c r="P2546" i="2"/>
  <c r="V2546" i="2" s="1"/>
  <c r="P2542" i="2"/>
  <c r="V2542" i="2" s="1"/>
  <c r="P2538" i="2"/>
  <c r="V2538" i="2" s="1"/>
  <c r="P2534" i="2"/>
  <c r="V2534" i="2" s="1"/>
  <c r="P2530" i="2"/>
  <c r="V2530" i="2" s="1"/>
  <c r="P2526" i="2"/>
  <c r="V2526" i="2" s="1"/>
  <c r="P2522" i="2"/>
  <c r="V2522" i="2" s="1"/>
  <c r="P2518" i="2"/>
  <c r="V2518" i="2" s="1"/>
  <c r="P2514" i="2"/>
  <c r="V2514" i="2" s="1"/>
  <c r="P2510" i="2"/>
  <c r="V2510" i="2" s="1"/>
  <c r="P2506" i="2"/>
  <c r="V2506" i="2" s="1"/>
  <c r="P2502" i="2"/>
  <c r="V2502" i="2" s="1"/>
  <c r="P2498" i="2"/>
  <c r="V2498" i="2" s="1"/>
  <c r="P2494" i="2"/>
  <c r="V2494" i="2" s="1"/>
  <c r="P2490" i="2"/>
  <c r="V2490" i="2" s="1"/>
  <c r="P2486" i="2"/>
  <c r="V2486" i="2" s="1"/>
  <c r="P2482" i="2"/>
  <c r="V2482" i="2" s="1"/>
  <c r="P2478" i="2"/>
  <c r="V2478" i="2" s="1"/>
  <c r="P2474" i="2"/>
  <c r="V2474" i="2" s="1"/>
  <c r="P2470" i="2"/>
  <c r="V2470" i="2" s="1"/>
  <c r="P2466" i="2"/>
  <c r="V2466" i="2" s="1"/>
  <c r="P2462" i="2"/>
  <c r="V2462" i="2" s="1"/>
  <c r="P2458" i="2"/>
  <c r="V2458" i="2" s="1"/>
  <c r="P2454" i="2"/>
  <c r="V2454" i="2" s="1"/>
  <c r="P2450" i="2"/>
  <c r="V2450" i="2" s="1"/>
  <c r="P2446" i="2"/>
  <c r="V2446" i="2" s="1"/>
  <c r="P2442" i="2"/>
  <c r="V2442" i="2" s="1"/>
  <c r="P2438" i="2"/>
  <c r="V2438" i="2" s="1"/>
  <c r="P2434" i="2"/>
  <c r="V2434" i="2" s="1"/>
  <c r="P2430" i="2"/>
  <c r="V2430" i="2" s="1"/>
  <c r="P2426" i="2"/>
  <c r="V2426" i="2" s="1"/>
  <c r="P2422" i="2"/>
  <c r="V2422" i="2" s="1"/>
  <c r="P2418" i="2"/>
  <c r="V2418" i="2" s="1"/>
  <c r="P2414" i="2"/>
  <c r="V2414" i="2" s="1"/>
  <c r="P2410" i="2"/>
  <c r="V2410" i="2" s="1"/>
  <c r="P2406" i="2"/>
  <c r="V2406" i="2" s="1"/>
  <c r="P2402" i="2"/>
  <c r="V2402" i="2" s="1"/>
  <c r="P2398" i="2"/>
  <c r="V2398" i="2" s="1"/>
  <c r="P2394" i="2"/>
  <c r="V2394" i="2" s="1"/>
  <c r="P2390" i="2"/>
  <c r="V2390" i="2" s="1"/>
  <c r="P2386" i="2"/>
  <c r="V2386" i="2" s="1"/>
  <c r="P2382" i="2"/>
  <c r="V2382" i="2" s="1"/>
  <c r="P2378" i="2"/>
  <c r="V2378" i="2" s="1"/>
  <c r="P2374" i="2"/>
  <c r="V2374" i="2" s="1"/>
  <c r="P2370" i="2"/>
  <c r="V2370" i="2" s="1"/>
  <c r="P2366" i="2"/>
  <c r="V2366" i="2" s="1"/>
  <c r="P2362" i="2"/>
  <c r="V2362" i="2" s="1"/>
  <c r="P2358" i="2"/>
  <c r="V2358" i="2" s="1"/>
  <c r="P2354" i="2"/>
  <c r="V2354" i="2" s="1"/>
  <c r="P2350" i="2"/>
  <c r="V2350" i="2" s="1"/>
  <c r="P2346" i="2"/>
  <c r="V2346" i="2" s="1"/>
  <c r="P2342" i="2"/>
  <c r="V2342" i="2" s="1"/>
  <c r="P2338" i="2"/>
  <c r="V2338" i="2" s="1"/>
  <c r="P2334" i="2"/>
  <c r="V2334" i="2" s="1"/>
  <c r="P2330" i="2"/>
  <c r="V2330" i="2" s="1"/>
  <c r="P2326" i="2"/>
  <c r="V2326" i="2" s="1"/>
  <c r="P2322" i="2"/>
  <c r="V2322" i="2" s="1"/>
  <c r="P2318" i="2"/>
  <c r="V2318" i="2" s="1"/>
  <c r="P2314" i="2"/>
  <c r="V2314" i="2" s="1"/>
  <c r="P2310" i="2"/>
  <c r="V2310" i="2" s="1"/>
  <c r="P2306" i="2"/>
  <c r="V2306" i="2" s="1"/>
  <c r="P2302" i="2"/>
  <c r="V2302" i="2" s="1"/>
  <c r="P2298" i="2"/>
  <c r="V2298" i="2" s="1"/>
  <c r="P2294" i="2"/>
  <c r="V2294" i="2" s="1"/>
  <c r="P2290" i="2"/>
  <c r="V2290" i="2" s="1"/>
  <c r="P2286" i="2"/>
  <c r="V2286" i="2" s="1"/>
  <c r="P2282" i="2"/>
  <c r="V2282" i="2" s="1"/>
  <c r="P2278" i="2"/>
  <c r="V2278" i="2" s="1"/>
  <c r="P2274" i="2"/>
  <c r="V2274" i="2" s="1"/>
  <c r="P2270" i="2"/>
  <c r="V2270" i="2" s="1"/>
  <c r="P2266" i="2"/>
  <c r="V2266" i="2" s="1"/>
  <c r="P2262" i="2"/>
  <c r="V2262" i="2" s="1"/>
  <c r="P2258" i="2"/>
  <c r="V2258" i="2" s="1"/>
  <c r="P2254" i="2"/>
  <c r="V2254" i="2" s="1"/>
  <c r="P2250" i="2"/>
  <c r="V2250" i="2" s="1"/>
  <c r="P2246" i="2"/>
  <c r="V2246" i="2" s="1"/>
  <c r="P2242" i="2"/>
  <c r="V2242" i="2" s="1"/>
  <c r="P2238" i="2"/>
  <c r="V2238" i="2" s="1"/>
  <c r="P2234" i="2"/>
  <c r="V2234" i="2" s="1"/>
  <c r="P2230" i="2"/>
  <c r="V2230" i="2" s="1"/>
  <c r="P2226" i="2"/>
  <c r="V2226" i="2" s="1"/>
  <c r="P2222" i="2"/>
  <c r="V2222" i="2" s="1"/>
  <c r="P2218" i="2"/>
  <c r="V2218" i="2" s="1"/>
  <c r="P2214" i="2"/>
  <c r="V2214" i="2" s="1"/>
  <c r="P2210" i="2"/>
  <c r="V2210" i="2" s="1"/>
  <c r="P2206" i="2"/>
  <c r="V2206" i="2" s="1"/>
  <c r="P2202" i="2"/>
  <c r="V2202" i="2" s="1"/>
  <c r="P2198" i="2"/>
  <c r="V2198" i="2" s="1"/>
  <c r="P2194" i="2"/>
  <c r="V2194" i="2" s="1"/>
  <c r="P2190" i="2"/>
  <c r="V2190" i="2" s="1"/>
  <c r="P2186" i="2"/>
  <c r="V2186" i="2" s="1"/>
  <c r="P2182" i="2"/>
  <c r="V2182" i="2" s="1"/>
  <c r="P2178" i="2"/>
  <c r="V2178" i="2" s="1"/>
  <c r="P2174" i="2"/>
  <c r="V2174" i="2" s="1"/>
  <c r="P2170" i="2"/>
  <c r="V2170" i="2" s="1"/>
  <c r="P2166" i="2"/>
  <c r="V2166" i="2" s="1"/>
  <c r="P2162" i="2"/>
  <c r="V2162" i="2" s="1"/>
  <c r="P2158" i="2"/>
  <c r="V2158" i="2" s="1"/>
  <c r="P2154" i="2"/>
  <c r="V2154" i="2" s="1"/>
  <c r="P2150" i="2"/>
  <c r="V2150" i="2" s="1"/>
  <c r="P2146" i="2"/>
  <c r="V2146" i="2" s="1"/>
  <c r="P2142" i="2"/>
  <c r="V2142" i="2" s="1"/>
  <c r="P2138" i="2"/>
  <c r="V2138" i="2" s="1"/>
  <c r="P2134" i="2"/>
  <c r="V2134" i="2" s="1"/>
  <c r="P2130" i="2"/>
  <c r="V2130" i="2" s="1"/>
  <c r="P2126" i="2"/>
  <c r="V2126" i="2" s="1"/>
  <c r="P2122" i="2"/>
  <c r="V2122" i="2" s="1"/>
  <c r="P2118" i="2"/>
  <c r="V2118" i="2" s="1"/>
  <c r="P2114" i="2"/>
  <c r="V2114" i="2" s="1"/>
  <c r="P2110" i="2"/>
  <c r="V2110" i="2" s="1"/>
  <c r="P2106" i="2"/>
  <c r="V2106" i="2" s="1"/>
  <c r="P2102" i="2"/>
  <c r="V2102" i="2" s="1"/>
  <c r="P2098" i="2"/>
  <c r="V2098" i="2" s="1"/>
  <c r="P2094" i="2"/>
  <c r="V2094" i="2" s="1"/>
  <c r="P2090" i="2"/>
  <c r="V2090" i="2" s="1"/>
  <c r="P2086" i="2"/>
  <c r="V2086" i="2" s="1"/>
  <c r="P2082" i="2"/>
  <c r="V2082" i="2" s="1"/>
  <c r="P2078" i="2"/>
  <c r="V2078" i="2" s="1"/>
  <c r="P2074" i="2"/>
  <c r="V2074" i="2" s="1"/>
  <c r="P2070" i="2"/>
  <c r="V2070" i="2" s="1"/>
  <c r="P2066" i="2"/>
  <c r="V2066" i="2" s="1"/>
  <c r="P2062" i="2"/>
  <c r="V2062" i="2" s="1"/>
  <c r="P2058" i="2"/>
  <c r="V2058" i="2" s="1"/>
  <c r="P2054" i="2"/>
  <c r="V2054" i="2" s="1"/>
  <c r="P2050" i="2"/>
  <c r="V2050" i="2" s="1"/>
  <c r="P2046" i="2"/>
  <c r="V2046" i="2" s="1"/>
  <c r="P2042" i="2"/>
  <c r="V2042" i="2" s="1"/>
  <c r="P2038" i="2"/>
  <c r="V2038" i="2" s="1"/>
  <c r="P2034" i="2"/>
  <c r="V2034" i="2" s="1"/>
  <c r="P2030" i="2"/>
  <c r="V2030" i="2" s="1"/>
  <c r="P2026" i="2"/>
  <c r="V2026" i="2" s="1"/>
  <c r="P2022" i="2"/>
  <c r="V2022" i="2" s="1"/>
  <c r="P2018" i="2"/>
  <c r="V2018" i="2" s="1"/>
  <c r="P2014" i="2"/>
  <c r="V2014" i="2" s="1"/>
  <c r="P2010" i="2"/>
  <c r="V2010" i="2" s="1"/>
  <c r="P2006" i="2"/>
  <c r="V2006" i="2" s="1"/>
  <c r="P2002" i="2"/>
  <c r="V2002" i="2" s="1"/>
  <c r="P1998" i="2"/>
  <c r="V1998" i="2" s="1"/>
  <c r="P1994" i="2"/>
  <c r="V1994" i="2" s="1"/>
  <c r="P1990" i="2"/>
  <c r="V1990" i="2" s="1"/>
  <c r="P1986" i="2"/>
  <c r="V1986" i="2" s="1"/>
  <c r="P1982" i="2"/>
  <c r="V1982" i="2" s="1"/>
  <c r="P1978" i="2"/>
  <c r="V1978" i="2" s="1"/>
  <c r="P1974" i="2"/>
  <c r="V1974" i="2" s="1"/>
  <c r="P1970" i="2"/>
  <c r="V1970" i="2" s="1"/>
  <c r="P1966" i="2"/>
  <c r="V1966" i="2" s="1"/>
  <c r="P1962" i="2"/>
  <c r="V1962" i="2" s="1"/>
  <c r="P1958" i="2"/>
  <c r="V1958" i="2" s="1"/>
  <c r="P1954" i="2"/>
  <c r="V1954" i="2" s="1"/>
  <c r="P1950" i="2"/>
  <c r="V1950" i="2" s="1"/>
  <c r="P1946" i="2"/>
  <c r="V1946" i="2" s="1"/>
  <c r="P1942" i="2"/>
  <c r="V1942" i="2" s="1"/>
  <c r="P1938" i="2"/>
  <c r="V1938" i="2" s="1"/>
  <c r="P1934" i="2"/>
  <c r="V1934" i="2" s="1"/>
  <c r="P1930" i="2"/>
  <c r="V1930" i="2" s="1"/>
  <c r="P1926" i="2"/>
  <c r="V1926" i="2" s="1"/>
  <c r="P1922" i="2"/>
  <c r="V1922" i="2" s="1"/>
  <c r="P1918" i="2"/>
  <c r="V1918" i="2" s="1"/>
  <c r="P1914" i="2"/>
  <c r="V1914" i="2" s="1"/>
  <c r="P1910" i="2"/>
  <c r="V1910" i="2" s="1"/>
  <c r="P1906" i="2"/>
  <c r="V1906" i="2" s="1"/>
  <c r="P1902" i="2"/>
  <c r="V1902" i="2" s="1"/>
  <c r="P1898" i="2"/>
  <c r="V1898" i="2" s="1"/>
  <c r="P1894" i="2"/>
  <c r="V1894" i="2" s="1"/>
  <c r="P1890" i="2"/>
  <c r="V1890" i="2" s="1"/>
  <c r="P1886" i="2"/>
  <c r="V1886" i="2" s="1"/>
  <c r="P1882" i="2"/>
  <c r="V1882" i="2" s="1"/>
  <c r="P1878" i="2"/>
  <c r="V1878" i="2" s="1"/>
  <c r="P1874" i="2"/>
  <c r="V1874" i="2" s="1"/>
  <c r="P1870" i="2"/>
  <c r="V1870" i="2" s="1"/>
  <c r="P1866" i="2"/>
  <c r="V1866" i="2" s="1"/>
  <c r="P1862" i="2"/>
  <c r="V1862" i="2" s="1"/>
  <c r="P1858" i="2"/>
  <c r="V1858" i="2" s="1"/>
  <c r="P1854" i="2"/>
  <c r="V1854" i="2" s="1"/>
  <c r="P1850" i="2"/>
  <c r="V1850" i="2" s="1"/>
  <c r="P1846" i="2"/>
  <c r="V1846" i="2" s="1"/>
  <c r="P1842" i="2"/>
  <c r="V1842" i="2" s="1"/>
  <c r="P1838" i="2"/>
  <c r="V1838" i="2" s="1"/>
  <c r="P1834" i="2"/>
  <c r="V1834" i="2" s="1"/>
  <c r="P1830" i="2"/>
  <c r="V1830" i="2" s="1"/>
  <c r="P1826" i="2"/>
  <c r="V1826" i="2" s="1"/>
  <c r="P1822" i="2"/>
  <c r="V1822" i="2" s="1"/>
  <c r="P1818" i="2"/>
  <c r="V1818" i="2" s="1"/>
  <c r="P1814" i="2"/>
  <c r="V1814" i="2" s="1"/>
  <c r="P1810" i="2"/>
  <c r="V1810" i="2" s="1"/>
  <c r="P1806" i="2"/>
  <c r="V1806" i="2" s="1"/>
  <c r="P1802" i="2"/>
  <c r="V1802" i="2" s="1"/>
  <c r="P1798" i="2"/>
  <c r="V1798" i="2" s="1"/>
  <c r="P1794" i="2"/>
  <c r="V1794" i="2" s="1"/>
  <c r="P1790" i="2"/>
  <c r="V1790" i="2" s="1"/>
  <c r="P1786" i="2"/>
  <c r="V1786" i="2" s="1"/>
  <c r="P1782" i="2"/>
  <c r="V1782" i="2" s="1"/>
  <c r="P1778" i="2"/>
  <c r="V1778" i="2" s="1"/>
  <c r="P1774" i="2"/>
  <c r="V1774" i="2" s="1"/>
  <c r="P1770" i="2"/>
  <c r="V1770" i="2" s="1"/>
  <c r="P1766" i="2"/>
  <c r="V1766" i="2" s="1"/>
  <c r="P1762" i="2"/>
  <c r="V1762" i="2" s="1"/>
  <c r="P1758" i="2"/>
  <c r="V1758" i="2" s="1"/>
  <c r="P1754" i="2"/>
  <c r="V1754" i="2" s="1"/>
  <c r="P1750" i="2"/>
  <c r="V1750" i="2" s="1"/>
  <c r="P1746" i="2"/>
  <c r="V1746" i="2" s="1"/>
  <c r="P1742" i="2"/>
  <c r="V1742" i="2" s="1"/>
  <c r="P1738" i="2"/>
  <c r="V1738" i="2" s="1"/>
  <c r="P1734" i="2"/>
  <c r="V1734" i="2" s="1"/>
  <c r="P1730" i="2"/>
  <c r="V1730" i="2" s="1"/>
  <c r="P1726" i="2"/>
  <c r="V1726" i="2" s="1"/>
  <c r="P1722" i="2"/>
  <c r="V1722" i="2" s="1"/>
  <c r="P1718" i="2"/>
  <c r="V1718" i="2" s="1"/>
  <c r="P1714" i="2"/>
  <c r="V1714" i="2" s="1"/>
  <c r="P1710" i="2"/>
  <c r="V1710" i="2" s="1"/>
  <c r="P1706" i="2"/>
  <c r="V1706" i="2" s="1"/>
  <c r="P1702" i="2"/>
  <c r="V1702" i="2" s="1"/>
  <c r="P1698" i="2"/>
  <c r="V1698" i="2" s="1"/>
  <c r="P1694" i="2"/>
  <c r="V1694" i="2" s="1"/>
  <c r="P1690" i="2"/>
  <c r="V1690" i="2" s="1"/>
  <c r="P1686" i="2"/>
  <c r="V1686" i="2" s="1"/>
  <c r="P1682" i="2"/>
  <c r="V1682" i="2" s="1"/>
  <c r="P1678" i="2"/>
  <c r="V1678" i="2" s="1"/>
  <c r="P1674" i="2"/>
  <c r="V1674" i="2" s="1"/>
  <c r="P1670" i="2"/>
  <c r="V1670" i="2" s="1"/>
  <c r="P1666" i="2"/>
  <c r="V1666" i="2" s="1"/>
  <c r="P1662" i="2"/>
  <c r="V1662" i="2" s="1"/>
  <c r="P1658" i="2"/>
  <c r="V1658" i="2" s="1"/>
  <c r="P1654" i="2"/>
  <c r="V1654" i="2" s="1"/>
  <c r="P1650" i="2"/>
  <c r="V1650" i="2" s="1"/>
  <c r="P1646" i="2"/>
  <c r="V1646" i="2" s="1"/>
  <c r="P1642" i="2"/>
  <c r="V1642" i="2" s="1"/>
  <c r="P1638" i="2"/>
  <c r="V1638" i="2" s="1"/>
  <c r="P1634" i="2"/>
  <c r="V1634" i="2" s="1"/>
  <c r="P1630" i="2"/>
  <c r="V1630" i="2" s="1"/>
  <c r="P1626" i="2"/>
  <c r="V1626" i="2" s="1"/>
  <c r="P1622" i="2"/>
  <c r="V1622" i="2" s="1"/>
  <c r="P1618" i="2"/>
  <c r="V1618" i="2" s="1"/>
  <c r="P1614" i="2"/>
  <c r="V1614" i="2" s="1"/>
  <c r="P1610" i="2"/>
  <c r="V1610" i="2" s="1"/>
  <c r="P1606" i="2"/>
  <c r="V1606" i="2" s="1"/>
  <c r="P1602" i="2"/>
  <c r="V1602" i="2" s="1"/>
  <c r="P1598" i="2"/>
  <c r="V1598" i="2" s="1"/>
  <c r="P1594" i="2"/>
  <c r="V1594" i="2" s="1"/>
  <c r="P1590" i="2"/>
  <c r="V1590" i="2" s="1"/>
  <c r="P1586" i="2"/>
  <c r="V1586" i="2" s="1"/>
  <c r="P1582" i="2"/>
  <c r="V1582" i="2" s="1"/>
  <c r="P1578" i="2"/>
  <c r="V1578" i="2" s="1"/>
  <c r="P1574" i="2"/>
  <c r="V1574" i="2" s="1"/>
  <c r="P1570" i="2"/>
  <c r="V1570" i="2" s="1"/>
  <c r="P1566" i="2"/>
  <c r="V1566" i="2" s="1"/>
  <c r="P1562" i="2"/>
  <c r="V1562" i="2" s="1"/>
  <c r="P1558" i="2"/>
  <c r="V1558" i="2" s="1"/>
  <c r="P1554" i="2"/>
  <c r="V1554" i="2" s="1"/>
  <c r="P1550" i="2"/>
  <c r="V1550" i="2" s="1"/>
  <c r="P1546" i="2"/>
  <c r="V1546" i="2" s="1"/>
  <c r="P1542" i="2"/>
  <c r="V1542" i="2" s="1"/>
  <c r="P1538" i="2"/>
  <c r="V1538" i="2" s="1"/>
  <c r="P1534" i="2"/>
  <c r="V1534" i="2" s="1"/>
  <c r="P1530" i="2"/>
  <c r="V1530" i="2" s="1"/>
  <c r="P1526" i="2"/>
  <c r="V1526" i="2" s="1"/>
  <c r="P1522" i="2"/>
  <c r="V1522" i="2" s="1"/>
  <c r="P1518" i="2"/>
  <c r="V1518" i="2" s="1"/>
  <c r="P1514" i="2"/>
  <c r="V1514" i="2" s="1"/>
  <c r="P1510" i="2"/>
  <c r="V1510" i="2" s="1"/>
  <c r="P1506" i="2"/>
  <c r="V1506" i="2" s="1"/>
  <c r="P1502" i="2"/>
  <c r="V1502" i="2" s="1"/>
  <c r="P1498" i="2"/>
  <c r="V1498" i="2" s="1"/>
  <c r="P1494" i="2"/>
  <c r="V1494" i="2" s="1"/>
  <c r="P1490" i="2"/>
  <c r="V1490" i="2" s="1"/>
  <c r="P1486" i="2"/>
  <c r="V1486" i="2" s="1"/>
  <c r="P1482" i="2"/>
  <c r="V1482" i="2" s="1"/>
  <c r="P1478" i="2"/>
  <c r="V1478" i="2" s="1"/>
  <c r="P1474" i="2"/>
  <c r="V1474" i="2" s="1"/>
  <c r="P1470" i="2"/>
  <c r="V1470" i="2" s="1"/>
  <c r="P1466" i="2"/>
  <c r="V1466" i="2" s="1"/>
  <c r="P1462" i="2"/>
  <c r="V1462" i="2" s="1"/>
  <c r="P1458" i="2"/>
  <c r="V1458" i="2" s="1"/>
  <c r="P1454" i="2"/>
  <c r="V1454" i="2" s="1"/>
  <c r="P1450" i="2"/>
  <c r="V1450" i="2" s="1"/>
  <c r="P1446" i="2"/>
  <c r="V1446" i="2" s="1"/>
  <c r="P1442" i="2"/>
  <c r="V1442" i="2" s="1"/>
  <c r="P1438" i="2"/>
  <c r="V1438" i="2" s="1"/>
  <c r="P1434" i="2"/>
  <c r="V1434" i="2" s="1"/>
  <c r="P1430" i="2"/>
  <c r="V1430" i="2" s="1"/>
  <c r="P1426" i="2"/>
  <c r="V1426" i="2" s="1"/>
  <c r="P1422" i="2"/>
  <c r="V1422" i="2" s="1"/>
  <c r="P1418" i="2"/>
  <c r="V1418" i="2" s="1"/>
  <c r="P1414" i="2"/>
  <c r="V1414" i="2" s="1"/>
  <c r="P1410" i="2"/>
  <c r="V1410" i="2" s="1"/>
  <c r="P1406" i="2"/>
  <c r="V1406" i="2" s="1"/>
  <c r="P1402" i="2"/>
  <c r="V1402" i="2" s="1"/>
  <c r="P1398" i="2"/>
  <c r="V1398" i="2" s="1"/>
  <c r="P1394" i="2"/>
  <c r="V1394" i="2" s="1"/>
  <c r="P1390" i="2"/>
  <c r="V1390" i="2" s="1"/>
  <c r="P1386" i="2"/>
  <c r="V1386" i="2" s="1"/>
  <c r="P1382" i="2"/>
  <c r="V1382" i="2" s="1"/>
  <c r="P1378" i="2"/>
  <c r="V1378" i="2" s="1"/>
  <c r="P1374" i="2"/>
  <c r="V1374" i="2" s="1"/>
  <c r="P1370" i="2"/>
  <c r="V1370" i="2" s="1"/>
  <c r="P1366" i="2"/>
  <c r="V1366" i="2" s="1"/>
  <c r="P1362" i="2"/>
  <c r="V1362" i="2" s="1"/>
  <c r="P1358" i="2"/>
  <c r="V1358" i="2" s="1"/>
  <c r="P1354" i="2"/>
  <c r="V1354" i="2" s="1"/>
  <c r="P1350" i="2"/>
  <c r="V1350" i="2" s="1"/>
  <c r="P1346" i="2"/>
  <c r="V1346" i="2" s="1"/>
  <c r="P1342" i="2"/>
  <c r="V1342" i="2" s="1"/>
  <c r="P1338" i="2"/>
  <c r="V1338" i="2" s="1"/>
  <c r="P1334" i="2"/>
  <c r="V1334" i="2" s="1"/>
  <c r="P1330" i="2"/>
  <c r="V1330" i="2" s="1"/>
  <c r="P1326" i="2"/>
  <c r="V1326" i="2" s="1"/>
  <c r="P1322" i="2"/>
  <c r="V1322" i="2" s="1"/>
  <c r="P1318" i="2"/>
  <c r="V1318" i="2" s="1"/>
  <c r="P1314" i="2"/>
  <c r="V1314" i="2" s="1"/>
  <c r="P1310" i="2"/>
  <c r="V1310" i="2" s="1"/>
  <c r="P1306" i="2"/>
  <c r="V1306" i="2" s="1"/>
  <c r="P1302" i="2"/>
  <c r="V1302" i="2" s="1"/>
  <c r="P1298" i="2"/>
  <c r="V1298" i="2" s="1"/>
  <c r="P1294" i="2"/>
  <c r="V1294" i="2" s="1"/>
  <c r="P1290" i="2"/>
  <c r="V1290" i="2" s="1"/>
  <c r="P1286" i="2"/>
  <c r="V1286" i="2" s="1"/>
  <c r="P1282" i="2"/>
  <c r="V1282" i="2" s="1"/>
  <c r="P1278" i="2"/>
  <c r="V1278" i="2" s="1"/>
  <c r="P1274" i="2"/>
  <c r="V1274" i="2" s="1"/>
  <c r="P1270" i="2"/>
  <c r="V1270" i="2" s="1"/>
  <c r="P1266" i="2"/>
  <c r="V1266" i="2" s="1"/>
  <c r="P1262" i="2"/>
  <c r="V1262" i="2" s="1"/>
  <c r="P1258" i="2"/>
  <c r="V1258" i="2" s="1"/>
  <c r="P1254" i="2"/>
  <c r="V1254" i="2" s="1"/>
  <c r="P1250" i="2"/>
  <c r="V1250" i="2" s="1"/>
  <c r="P1246" i="2"/>
  <c r="V1246" i="2" s="1"/>
  <c r="P1242" i="2"/>
  <c r="V1242" i="2" s="1"/>
  <c r="P1238" i="2"/>
  <c r="V1238" i="2" s="1"/>
  <c r="P1234" i="2"/>
  <c r="V1234" i="2" s="1"/>
  <c r="P1230" i="2"/>
  <c r="V1230" i="2" s="1"/>
  <c r="P1226" i="2"/>
  <c r="V1226" i="2" s="1"/>
  <c r="P1222" i="2"/>
  <c r="V1222" i="2" s="1"/>
  <c r="P1218" i="2"/>
  <c r="V1218" i="2" s="1"/>
  <c r="P1214" i="2"/>
  <c r="V1214" i="2" s="1"/>
  <c r="P1210" i="2"/>
  <c r="V1210" i="2" s="1"/>
  <c r="P1206" i="2"/>
  <c r="V1206" i="2" s="1"/>
  <c r="P1202" i="2"/>
  <c r="V1202" i="2" s="1"/>
  <c r="P1198" i="2"/>
  <c r="V1198" i="2" s="1"/>
  <c r="P1194" i="2"/>
  <c r="V1194" i="2" s="1"/>
  <c r="P1190" i="2"/>
  <c r="V1190" i="2" s="1"/>
  <c r="P1186" i="2"/>
  <c r="V1186" i="2" s="1"/>
  <c r="P1182" i="2"/>
  <c r="V1182" i="2" s="1"/>
  <c r="P1178" i="2"/>
  <c r="V1178" i="2" s="1"/>
  <c r="P1174" i="2"/>
  <c r="V1174" i="2" s="1"/>
  <c r="P1170" i="2"/>
  <c r="V1170" i="2" s="1"/>
  <c r="P1166" i="2"/>
  <c r="V1166" i="2" s="1"/>
  <c r="P1162" i="2"/>
  <c r="V1162" i="2" s="1"/>
  <c r="P1158" i="2"/>
  <c r="V1158" i="2" s="1"/>
  <c r="P1154" i="2"/>
  <c r="V1154" i="2" s="1"/>
  <c r="P1150" i="2"/>
  <c r="V1150" i="2" s="1"/>
  <c r="P1146" i="2"/>
  <c r="V1146" i="2" s="1"/>
  <c r="P1142" i="2"/>
  <c r="V1142" i="2" s="1"/>
  <c r="P1138" i="2"/>
  <c r="V1138" i="2" s="1"/>
  <c r="P1134" i="2"/>
  <c r="V1134" i="2" s="1"/>
  <c r="P1130" i="2"/>
  <c r="V1130" i="2" s="1"/>
  <c r="P1126" i="2"/>
  <c r="V1126" i="2" s="1"/>
  <c r="P1122" i="2"/>
  <c r="V1122" i="2" s="1"/>
  <c r="P1118" i="2"/>
  <c r="V1118" i="2" s="1"/>
  <c r="P1114" i="2"/>
  <c r="V1114" i="2" s="1"/>
  <c r="P1110" i="2"/>
  <c r="V1110" i="2" s="1"/>
  <c r="P1106" i="2"/>
  <c r="V1106" i="2" s="1"/>
  <c r="P1102" i="2"/>
  <c r="V1102" i="2" s="1"/>
  <c r="P1098" i="2"/>
  <c r="V1098" i="2" s="1"/>
  <c r="P1094" i="2"/>
  <c r="V1094" i="2" s="1"/>
  <c r="P1090" i="2"/>
  <c r="V1090" i="2" s="1"/>
  <c r="P1086" i="2"/>
  <c r="V1086" i="2" s="1"/>
  <c r="P1082" i="2"/>
  <c r="V1082" i="2" s="1"/>
  <c r="P1078" i="2"/>
  <c r="V1078" i="2" s="1"/>
  <c r="P1074" i="2"/>
  <c r="V1074" i="2" s="1"/>
  <c r="P1070" i="2"/>
  <c r="V1070" i="2" s="1"/>
  <c r="P1066" i="2"/>
  <c r="V1066" i="2" s="1"/>
  <c r="P1062" i="2"/>
  <c r="V1062" i="2" s="1"/>
  <c r="P1058" i="2"/>
  <c r="V1058" i="2" s="1"/>
  <c r="P1054" i="2"/>
  <c r="V1054" i="2" s="1"/>
  <c r="P1050" i="2"/>
  <c r="V1050" i="2" s="1"/>
  <c r="P1046" i="2"/>
  <c r="V1046" i="2" s="1"/>
  <c r="P1042" i="2"/>
  <c r="V1042" i="2" s="1"/>
  <c r="P1038" i="2"/>
  <c r="V1038" i="2" s="1"/>
  <c r="P1034" i="2"/>
  <c r="V1034" i="2" s="1"/>
  <c r="P1030" i="2"/>
  <c r="V1030" i="2" s="1"/>
  <c r="P1026" i="2"/>
  <c r="V1026" i="2" s="1"/>
  <c r="P1022" i="2"/>
  <c r="V1022" i="2" s="1"/>
  <c r="P1018" i="2"/>
  <c r="V1018" i="2" s="1"/>
  <c r="P1014" i="2"/>
  <c r="V1014" i="2" s="1"/>
  <c r="P1010" i="2"/>
  <c r="V1010" i="2" s="1"/>
  <c r="P1006" i="2"/>
  <c r="V1006" i="2" s="1"/>
  <c r="P1002" i="2"/>
  <c r="V1002" i="2" s="1"/>
  <c r="P998" i="2"/>
  <c r="V998" i="2" s="1"/>
  <c r="P994" i="2"/>
  <c r="V994" i="2" s="1"/>
  <c r="P990" i="2"/>
  <c r="V990" i="2" s="1"/>
  <c r="P986" i="2"/>
  <c r="V986" i="2" s="1"/>
  <c r="P982" i="2"/>
  <c r="V982" i="2" s="1"/>
  <c r="P978" i="2"/>
  <c r="V978" i="2" s="1"/>
  <c r="P974" i="2"/>
  <c r="V974" i="2" s="1"/>
  <c r="P970" i="2"/>
  <c r="V970" i="2" s="1"/>
  <c r="P966" i="2"/>
  <c r="V966" i="2" s="1"/>
  <c r="P962" i="2"/>
  <c r="V962" i="2" s="1"/>
  <c r="P958" i="2"/>
  <c r="V958" i="2" s="1"/>
  <c r="P954" i="2"/>
  <c r="V954" i="2" s="1"/>
  <c r="P950" i="2"/>
  <c r="V950" i="2" s="1"/>
  <c r="P946" i="2"/>
  <c r="V946" i="2" s="1"/>
  <c r="P942" i="2"/>
  <c r="V942" i="2" s="1"/>
  <c r="P938" i="2"/>
  <c r="V938" i="2" s="1"/>
  <c r="P934" i="2"/>
  <c r="V934" i="2" s="1"/>
  <c r="P930" i="2"/>
  <c r="V930" i="2" s="1"/>
  <c r="P926" i="2"/>
  <c r="V926" i="2" s="1"/>
  <c r="P922" i="2"/>
  <c r="V922" i="2" s="1"/>
  <c r="P918" i="2"/>
  <c r="V918" i="2" s="1"/>
  <c r="P914" i="2"/>
  <c r="V914" i="2" s="1"/>
  <c r="P910" i="2"/>
  <c r="V910" i="2" s="1"/>
  <c r="P906" i="2"/>
  <c r="V906" i="2" s="1"/>
  <c r="P902" i="2"/>
  <c r="V902" i="2" s="1"/>
  <c r="P898" i="2"/>
  <c r="V898" i="2" s="1"/>
  <c r="P894" i="2"/>
  <c r="V894" i="2" s="1"/>
  <c r="P890" i="2"/>
  <c r="V890" i="2" s="1"/>
  <c r="P886" i="2"/>
  <c r="V886" i="2" s="1"/>
  <c r="P882" i="2"/>
  <c r="V882" i="2" s="1"/>
  <c r="P878" i="2"/>
  <c r="V878" i="2" s="1"/>
  <c r="P874" i="2"/>
  <c r="V874" i="2" s="1"/>
  <c r="P870" i="2"/>
  <c r="V870" i="2" s="1"/>
  <c r="P866" i="2"/>
  <c r="V866" i="2" s="1"/>
  <c r="P862" i="2"/>
  <c r="V862" i="2" s="1"/>
  <c r="P858" i="2"/>
  <c r="V858" i="2" s="1"/>
  <c r="P854" i="2"/>
  <c r="V854" i="2" s="1"/>
  <c r="P850" i="2"/>
  <c r="V850" i="2" s="1"/>
  <c r="P846" i="2"/>
  <c r="V846" i="2" s="1"/>
  <c r="P842" i="2"/>
  <c r="V842" i="2" s="1"/>
  <c r="P838" i="2"/>
  <c r="V838" i="2" s="1"/>
  <c r="P834" i="2"/>
  <c r="V834" i="2" s="1"/>
  <c r="P830" i="2"/>
  <c r="V830" i="2" s="1"/>
  <c r="P826" i="2"/>
  <c r="V826" i="2" s="1"/>
  <c r="P822" i="2"/>
  <c r="V822" i="2" s="1"/>
  <c r="P818" i="2"/>
  <c r="V818" i="2" s="1"/>
  <c r="P814" i="2"/>
  <c r="V814" i="2" s="1"/>
  <c r="P810" i="2"/>
  <c r="V810" i="2" s="1"/>
  <c r="P806" i="2"/>
  <c r="V806" i="2" s="1"/>
  <c r="P802" i="2"/>
  <c r="V802" i="2" s="1"/>
  <c r="P798" i="2"/>
  <c r="V798" i="2" s="1"/>
  <c r="P794" i="2"/>
  <c r="V794" i="2" s="1"/>
  <c r="P790" i="2"/>
  <c r="V790" i="2" s="1"/>
  <c r="P786" i="2"/>
  <c r="V786" i="2" s="1"/>
  <c r="P782" i="2"/>
  <c r="V782" i="2" s="1"/>
  <c r="P778" i="2"/>
  <c r="V778" i="2" s="1"/>
  <c r="P774" i="2"/>
  <c r="V774" i="2" s="1"/>
  <c r="P770" i="2"/>
  <c r="V770" i="2" s="1"/>
  <c r="P766" i="2"/>
  <c r="V766" i="2" s="1"/>
  <c r="P762" i="2"/>
  <c r="V762" i="2" s="1"/>
  <c r="P758" i="2"/>
  <c r="V758" i="2" s="1"/>
  <c r="P754" i="2"/>
  <c r="V754" i="2" s="1"/>
  <c r="P750" i="2"/>
  <c r="V750" i="2" s="1"/>
  <c r="P746" i="2"/>
  <c r="V746" i="2" s="1"/>
  <c r="P742" i="2"/>
  <c r="V742" i="2" s="1"/>
  <c r="P738" i="2"/>
  <c r="V738" i="2" s="1"/>
  <c r="P734" i="2"/>
  <c r="V734" i="2" s="1"/>
  <c r="P730" i="2"/>
  <c r="V730" i="2" s="1"/>
  <c r="P726" i="2"/>
  <c r="V726" i="2" s="1"/>
  <c r="P722" i="2"/>
  <c r="V722" i="2" s="1"/>
  <c r="P718" i="2"/>
  <c r="V718" i="2" s="1"/>
  <c r="P714" i="2"/>
  <c r="V714" i="2" s="1"/>
  <c r="P710" i="2"/>
  <c r="V710" i="2" s="1"/>
  <c r="P706" i="2"/>
  <c r="V706" i="2" s="1"/>
  <c r="P702" i="2"/>
  <c r="V702" i="2" s="1"/>
  <c r="P698" i="2"/>
  <c r="V698" i="2" s="1"/>
  <c r="P694" i="2"/>
  <c r="V694" i="2" s="1"/>
  <c r="P690" i="2"/>
  <c r="V690" i="2" s="1"/>
  <c r="P686" i="2"/>
  <c r="V686" i="2" s="1"/>
  <c r="P682" i="2"/>
  <c r="V682" i="2" s="1"/>
  <c r="P678" i="2"/>
  <c r="V678" i="2" s="1"/>
  <c r="P674" i="2"/>
  <c r="V674" i="2" s="1"/>
  <c r="P670" i="2"/>
  <c r="V670" i="2" s="1"/>
  <c r="P666" i="2"/>
  <c r="V666" i="2" s="1"/>
  <c r="P662" i="2"/>
  <c r="V662" i="2" s="1"/>
  <c r="P658" i="2"/>
  <c r="V658" i="2" s="1"/>
  <c r="P654" i="2"/>
  <c r="V654" i="2" s="1"/>
  <c r="P650" i="2"/>
  <c r="V650" i="2" s="1"/>
  <c r="P646" i="2"/>
  <c r="V646" i="2" s="1"/>
  <c r="P642" i="2"/>
  <c r="V642" i="2" s="1"/>
  <c r="P638" i="2"/>
  <c r="V638" i="2" s="1"/>
  <c r="P634" i="2"/>
  <c r="V634" i="2" s="1"/>
  <c r="P630" i="2"/>
  <c r="V630" i="2" s="1"/>
  <c r="P626" i="2"/>
  <c r="V626" i="2" s="1"/>
  <c r="P622" i="2"/>
  <c r="V622" i="2" s="1"/>
  <c r="P618" i="2"/>
  <c r="V618" i="2" s="1"/>
  <c r="P614" i="2"/>
  <c r="V614" i="2" s="1"/>
  <c r="P610" i="2"/>
  <c r="V610" i="2" s="1"/>
  <c r="P606" i="2"/>
  <c r="V606" i="2" s="1"/>
  <c r="P602" i="2"/>
  <c r="V602" i="2" s="1"/>
  <c r="P598" i="2"/>
  <c r="V598" i="2" s="1"/>
  <c r="P594" i="2"/>
  <c r="V594" i="2" s="1"/>
  <c r="P590" i="2"/>
  <c r="V590" i="2" s="1"/>
  <c r="P586" i="2"/>
  <c r="V586" i="2" s="1"/>
  <c r="P582" i="2"/>
  <c r="V582" i="2" s="1"/>
  <c r="P578" i="2"/>
  <c r="V578" i="2" s="1"/>
  <c r="P574" i="2"/>
  <c r="V574" i="2" s="1"/>
  <c r="P570" i="2"/>
  <c r="V570" i="2" s="1"/>
  <c r="P566" i="2"/>
  <c r="V566" i="2" s="1"/>
  <c r="P562" i="2"/>
  <c r="V562" i="2" s="1"/>
  <c r="P558" i="2"/>
  <c r="V558" i="2" s="1"/>
  <c r="P554" i="2"/>
  <c r="V554" i="2" s="1"/>
  <c r="P550" i="2"/>
  <c r="V550" i="2" s="1"/>
  <c r="P546" i="2"/>
  <c r="V546" i="2" s="1"/>
  <c r="P542" i="2"/>
  <c r="V542" i="2" s="1"/>
  <c r="P538" i="2"/>
  <c r="V538" i="2" s="1"/>
  <c r="P534" i="2"/>
  <c r="V534" i="2" s="1"/>
  <c r="P530" i="2"/>
  <c r="V530" i="2" s="1"/>
  <c r="P526" i="2"/>
  <c r="V526" i="2" s="1"/>
  <c r="P522" i="2"/>
  <c r="V522" i="2" s="1"/>
  <c r="P518" i="2"/>
  <c r="V518" i="2" s="1"/>
  <c r="P514" i="2"/>
  <c r="V514" i="2" s="1"/>
  <c r="P510" i="2"/>
  <c r="V510" i="2" s="1"/>
  <c r="P506" i="2"/>
  <c r="V506" i="2" s="1"/>
  <c r="P502" i="2"/>
  <c r="V502" i="2" s="1"/>
  <c r="P498" i="2"/>
  <c r="V498" i="2" s="1"/>
  <c r="P494" i="2"/>
  <c r="V494" i="2" s="1"/>
  <c r="P490" i="2"/>
  <c r="V490" i="2" s="1"/>
  <c r="P486" i="2"/>
  <c r="V486" i="2" s="1"/>
  <c r="P482" i="2"/>
  <c r="V482" i="2" s="1"/>
  <c r="P478" i="2"/>
  <c r="V478" i="2" s="1"/>
  <c r="P474" i="2"/>
  <c r="V474" i="2" s="1"/>
  <c r="P470" i="2"/>
  <c r="V470" i="2" s="1"/>
  <c r="P466" i="2"/>
  <c r="V466" i="2" s="1"/>
  <c r="P462" i="2"/>
  <c r="V462" i="2" s="1"/>
  <c r="P458" i="2"/>
  <c r="V458" i="2" s="1"/>
  <c r="P454" i="2"/>
  <c r="V454" i="2" s="1"/>
  <c r="P450" i="2"/>
  <c r="V450" i="2" s="1"/>
  <c r="P446" i="2"/>
  <c r="V446" i="2" s="1"/>
  <c r="P442" i="2"/>
  <c r="V442" i="2" s="1"/>
  <c r="P438" i="2"/>
  <c r="V438" i="2" s="1"/>
  <c r="P434" i="2"/>
  <c r="V434" i="2" s="1"/>
  <c r="P430" i="2"/>
  <c r="V430" i="2" s="1"/>
  <c r="P426" i="2"/>
  <c r="V426" i="2" s="1"/>
  <c r="P422" i="2"/>
  <c r="V422" i="2" s="1"/>
  <c r="P418" i="2"/>
  <c r="V418" i="2" s="1"/>
  <c r="P414" i="2"/>
  <c r="V414" i="2" s="1"/>
  <c r="P410" i="2"/>
  <c r="V410" i="2" s="1"/>
  <c r="P406" i="2"/>
  <c r="V406" i="2" s="1"/>
  <c r="P402" i="2"/>
  <c r="V402" i="2" s="1"/>
  <c r="P398" i="2"/>
  <c r="V398" i="2" s="1"/>
  <c r="P394" i="2"/>
  <c r="V394" i="2" s="1"/>
  <c r="P390" i="2"/>
  <c r="V390" i="2" s="1"/>
  <c r="P386" i="2"/>
  <c r="V386" i="2" s="1"/>
  <c r="P382" i="2"/>
  <c r="V382" i="2" s="1"/>
  <c r="P378" i="2"/>
  <c r="V378" i="2" s="1"/>
  <c r="P374" i="2"/>
  <c r="V374" i="2" s="1"/>
  <c r="P370" i="2"/>
  <c r="V370" i="2" s="1"/>
  <c r="P366" i="2"/>
  <c r="V366" i="2" s="1"/>
  <c r="P362" i="2"/>
  <c r="V362" i="2" s="1"/>
  <c r="P358" i="2"/>
  <c r="V358" i="2" s="1"/>
  <c r="P354" i="2"/>
  <c r="V354" i="2" s="1"/>
  <c r="P350" i="2"/>
  <c r="V350" i="2" s="1"/>
  <c r="P346" i="2"/>
  <c r="V346" i="2" s="1"/>
  <c r="P342" i="2"/>
  <c r="V342" i="2" s="1"/>
  <c r="P338" i="2"/>
  <c r="V338" i="2" s="1"/>
  <c r="P334" i="2"/>
  <c r="V334" i="2" s="1"/>
  <c r="P330" i="2"/>
  <c r="V330" i="2" s="1"/>
  <c r="P326" i="2"/>
  <c r="V326" i="2" s="1"/>
  <c r="P322" i="2"/>
  <c r="V322" i="2" s="1"/>
  <c r="P318" i="2"/>
  <c r="V318" i="2" s="1"/>
  <c r="P314" i="2"/>
  <c r="V314" i="2" s="1"/>
  <c r="P310" i="2"/>
  <c r="V310" i="2" s="1"/>
  <c r="P306" i="2"/>
  <c r="V306" i="2" s="1"/>
  <c r="P302" i="2"/>
  <c r="V302" i="2" s="1"/>
  <c r="P298" i="2"/>
  <c r="V298" i="2" s="1"/>
  <c r="P294" i="2"/>
  <c r="V294" i="2" s="1"/>
  <c r="P290" i="2"/>
  <c r="V290" i="2" s="1"/>
  <c r="P286" i="2"/>
  <c r="V286" i="2" s="1"/>
  <c r="P282" i="2"/>
  <c r="V282" i="2" s="1"/>
  <c r="P278" i="2"/>
  <c r="V278" i="2" s="1"/>
  <c r="P274" i="2"/>
  <c r="V274" i="2" s="1"/>
  <c r="P270" i="2"/>
  <c r="V270" i="2" s="1"/>
  <c r="P266" i="2"/>
  <c r="V266" i="2" s="1"/>
  <c r="P262" i="2"/>
  <c r="V262" i="2" s="1"/>
  <c r="P258" i="2"/>
  <c r="V258" i="2" s="1"/>
  <c r="P254" i="2"/>
  <c r="V254" i="2" s="1"/>
  <c r="P250" i="2"/>
  <c r="V250" i="2" s="1"/>
  <c r="P246" i="2"/>
  <c r="V246" i="2" s="1"/>
  <c r="P242" i="2"/>
  <c r="V242" i="2" s="1"/>
  <c r="P238" i="2"/>
  <c r="V238" i="2" s="1"/>
  <c r="P234" i="2"/>
  <c r="V234" i="2" s="1"/>
  <c r="P230" i="2"/>
  <c r="V230" i="2" s="1"/>
  <c r="P226" i="2"/>
  <c r="V226" i="2" s="1"/>
  <c r="P222" i="2"/>
  <c r="V222" i="2" s="1"/>
  <c r="P218" i="2"/>
  <c r="V218" i="2" s="1"/>
  <c r="P214" i="2"/>
  <c r="V214" i="2" s="1"/>
  <c r="P210" i="2"/>
  <c r="V210" i="2" s="1"/>
  <c r="P206" i="2"/>
  <c r="V206" i="2" s="1"/>
  <c r="P202" i="2"/>
  <c r="V202" i="2" s="1"/>
  <c r="P198" i="2"/>
  <c r="V198" i="2" s="1"/>
  <c r="P194" i="2"/>
  <c r="V194" i="2" s="1"/>
  <c r="P190" i="2"/>
  <c r="V190" i="2" s="1"/>
  <c r="P186" i="2"/>
  <c r="V186" i="2" s="1"/>
  <c r="P182" i="2"/>
  <c r="V182" i="2" s="1"/>
  <c r="P178" i="2"/>
  <c r="V178" i="2" s="1"/>
  <c r="P174" i="2"/>
  <c r="V174" i="2" s="1"/>
  <c r="P170" i="2"/>
  <c r="V170" i="2" s="1"/>
  <c r="P166" i="2"/>
  <c r="V166" i="2" s="1"/>
  <c r="P162" i="2"/>
  <c r="V162" i="2" s="1"/>
  <c r="P158" i="2"/>
  <c r="V158" i="2" s="1"/>
  <c r="P154" i="2"/>
  <c r="V154" i="2" s="1"/>
  <c r="P150" i="2"/>
  <c r="V150" i="2" s="1"/>
  <c r="P146" i="2"/>
  <c r="V146" i="2" s="1"/>
  <c r="P142" i="2"/>
  <c r="V142" i="2" s="1"/>
  <c r="P138" i="2"/>
  <c r="V138" i="2" s="1"/>
  <c r="P134" i="2"/>
  <c r="V134" i="2" s="1"/>
  <c r="P130" i="2"/>
  <c r="V130" i="2" s="1"/>
  <c r="P126" i="2"/>
  <c r="V126" i="2" s="1"/>
  <c r="P122" i="2"/>
  <c r="V122" i="2" s="1"/>
  <c r="P118" i="2"/>
  <c r="V118" i="2" s="1"/>
  <c r="P114" i="2"/>
  <c r="V114" i="2" s="1"/>
  <c r="P110" i="2"/>
  <c r="V110" i="2" s="1"/>
  <c r="P106" i="2"/>
  <c r="V106" i="2" s="1"/>
  <c r="P102" i="2"/>
  <c r="V102" i="2" s="1"/>
  <c r="P98" i="2"/>
  <c r="V98" i="2" s="1"/>
  <c r="P94" i="2"/>
  <c r="V94" i="2" s="1"/>
  <c r="P90" i="2"/>
  <c r="V90" i="2" s="1"/>
  <c r="P86" i="2"/>
  <c r="V86" i="2" s="1"/>
  <c r="P82" i="2"/>
  <c r="V82" i="2" s="1"/>
  <c r="P78" i="2"/>
  <c r="V78" i="2" s="1"/>
  <c r="P74" i="2"/>
  <c r="V74" i="2" s="1"/>
  <c r="P70" i="2"/>
  <c r="V70" i="2" s="1"/>
  <c r="P66" i="2"/>
  <c r="V66" i="2" s="1"/>
  <c r="P62" i="2"/>
  <c r="V62" i="2" s="1"/>
  <c r="P58" i="2"/>
  <c r="V58" i="2" s="1"/>
  <c r="P54" i="2"/>
  <c r="V54" i="2" s="1"/>
  <c r="P50" i="2"/>
  <c r="V50" i="2" s="1"/>
  <c r="P46" i="2"/>
  <c r="V46" i="2" s="1"/>
  <c r="P42" i="2"/>
  <c r="V42" i="2" s="1"/>
  <c r="P38" i="2"/>
  <c r="V38" i="2" s="1"/>
  <c r="P14" i="2"/>
  <c r="P14999" i="2"/>
  <c r="V14999" i="2" s="1"/>
  <c r="P14995" i="2"/>
  <c r="V14995" i="2" s="1"/>
  <c r="P14991" i="2"/>
  <c r="V14991" i="2" s="1"/>
  <c r="P14987" i="2"/>
  <c r="V14987" i="2" s="1"/>
  <c r="P14983" i="2"/>
  <c r="V14983" i="2" s="1"/>
  <c r="P14979" i="2"/>
  <c r="V14979" i="2" s="1"/>
  <c r="P14975" i="2"/>
  <c r="V14975" i="2" s="1"/>
  <c r="P14971" i="2"/>
  <c r="V14971" i="2" s="1"/>
  <c r="P14967" i="2"/>
  <c r="V14967" i="2" s="1"/>
  <c r="P14963" i="2"/>
  <c r="V14963" i="2" s="1"/>
  <c r="P14959" i="2"/>
  <c r="V14959" i="2" s="1"/>
  <c r="P14955" i="2"/>
  <c r="V14955" i="2" s="1"/>
  <c r="P14951" i="2"/>
  <c r="V14951" i="2" s="1"/>
  <c r="P14947" i="2"/>
  <c r="V14947" i="2" s="1"/>
  <c r="P14943" i="2"/>
  <c r="V14943" i="2" s="1"/>
  <c r="P14939" i="2"/>
  <c r="V14939" i="2" s="1"/>
  <c r="P14935" i="2"/>
  <c r="V14935" i="2" s="1"/>
  <c r="P14931" i="2"/>
  <c r="V14931" i="2" s="1"/>
  <c r="P14927" i="2"/>
  <c r="V14927" i="2" s="1"/>
  <c r="P14923" i="2"/>
  <c r="V14923" i="2" s="1"/>
  <c r="P14919" i="2"/>
  <c r="V14919" i="2" s="1"/>
  <c r="P14915" i="2"/>
  <c r="V14915" i="2" s="1"/>
  <c r="P14911" i="2"/>
  <c r="V14911" i="2" s="1"/>
  <c r="P14907" i="2"/>
  <c r="V14907" i="2" s="1"/>
  <c r="P14903" i="2"/>
  <c r="V14903" i="2" s="1"/>
  <c r="P14899" i="2"/>
  <c r="V14899" i="2" s="1"/>
  <c r="P14895" i="2"/>
  <c r="V14895" i="2" s="1"/>
  <c r="P14891" i="2"/>
  <c r="V14891" i="2" s="1"/>
  <c r="P14887" i="2"/>
  <c r="V14887" i="2" s="1"/>
  <c r="P14883" i="2"/>
  <c r="V14883" i="2" s="1"/>
  <c r="P14879" i="2"/>
  <c r="V14879" i="2" s="1"/>
  <c r="P14875" i="2"/>
  <c r="V14875" i="2" s="1"/>
  <c r="P14871" i="2"/>
  <c r="V14871" i="2" s="1"/>
  <c r="P14867" i="2"/>
  <c r="V14867" i="2" s="1"/>
  <c r="P14863" i="2"/>
  <c r="V14863" i="2" s="1"/>
  <c r="P14859" i="2"/>
  <c r="V14859" i="2" s="1"/>
  <c r="P14855" i="2"/>
  <c r="V14855" i="2" s="1"/>
  <c r="P14851" i="2"/>
  <c r="V14851" i="2" s="1"/>
  <c r="P14847" i="2"/>
  <c r="V14847" i="2" s="1"/>
  <c r="P14843" i="2"/>
  <c r="V14843" i="2" s="1"/>
  <c r="P14839" i="2"/>
  <c r="V14839" i="2" s="1"/>
  <c r="P14835" i="2"/>
  <c r="V14835" i="2" s="1"/>
  <c r="P14831" i="2"/>
  <c r="V14831" i="2" s="1"/>
  <c r="P14827" i="2"/>
  <c r="V14827" i="2" s="1"/>
  <c r="P14823" i="2"/>
  <c r="V14823" i="2" s="1"/>
  <c r="P14819" i="2"/>
  <c r="V14819" i="2" s="1"/>
  <c r="P14815" i="2"/>
  <c r="V14815" i="2" s="1"/>
  <c r="P14811" i="2"/>
  <c r="V14811" i="2" s="1"/>
  <c r="P14807" i="2"/>
  <c r="V14807" i="2" s="1"/>
  <c r="P14803" i="2"/>
  <c r="V14803" i="2" s="1"/>
  <c r="P14799" i="2"/>
  <c r="V14799" i="2" s="1"/>
  <c r="P14795" i="2"/>
  <c r="V14795" i="2" s="1"/>
  <c r="P14791" i="2"/>
  <c r="V14791" i="2" s="1"/>
  <c r="P14787" i="2"/>
  <c r="V14787" i="2" s="1"/>
  <c r="P14783" i="2"/>
  <c r="V14783" i="2" s="1"/>
  <c r="P14779" i="2"/>
  <c r="V14779" i="2" s="1"/>
  <c r="P14775" i="2"/>
  <c r="V14775" i="2" s="1"/>
  <c r="P14771" i="2"/>
  <c r="V14771" i="2" s="1"/>
  <c r="P14767" i="2"/>
  <c r="V14767" i="2" s="1"/>
  <c r="P14763" i="2"/>
  <c r="V14763" i="2" s="1"/>
  <c r="P14759" i="2"/>
  <c r="V14759" i="2" s="1"/>
  <c r="P14755" i="2"/>
  <c r="V14755" i="2" s="1"/>
  <c r="P14751" i="2"/>
  <c r="V14751" i="2" s="1"/>
  <c r="P14747" i="2"/>
  <c r="V14747" i="2" s="1"/>
  <c r="P14743" i="2"/>
  <c r="V14743" i="2" s="1"/>
  <c r="P14739" i="2"/>
  <c r="V14739" i="2" s="1"/>
  <c r="P14735" i="2"/>
  <c r="V14735" i="2" s="1"/>
  <c r="P14731" i="2"/>
  <c r="V14731" i="2" s="1"/>
  <c r="P14727" i="2"/>
  <c r="V14727" i="2" s="1"/>
  <c r="P14723" i="2"/>
  <c r="V14723" i="2" s="1"/>
  <c r="P14719" i="2"/>
  <c r="V14719" i="2" s="1"/>
  <c r="P14715" i="2"/>
  <c r="V14715" i="2" s="1"/>
  <c r="P14711" i="2"/>
  <c r="V14711" i="2" s="1"/>
  <c r="P14707" i="2"/>
  <c r="V14707" i="2" s="1"/>
  <c r="P14703" i="2"/>
  <c r="V14703" i="2" s="1"/>
  <c r="P14699" i="2"/>
  <c r="V14699" i="2" s="1"/>
  <c r="P14695" i="2"/>
  <c r="V14695" i="2" s="1"/>
  <c r="P14691" i="2"/>
  <c r="V14691" i="2" s="1"/>
  <c r="P14687" i="2"/>
  <c r="V14687" i="2" s="1"/>
  <c r="P14683" i="2"/>
  <c r="V14683" i="2" s="1"/>
  <c r="P14679" i="2"/>
  <c r="V14679" i="2" s="1"/>
  <c r="P14675" i="2"/>
  <c r="V14675" i="2" s="1"/>
  <c r="P14671" i="2"/>
  <c r="V14671" i="2" s="1"/>
  <c r="P14667" i="2"/>
  <c r="V14667" i="2" s="1"/>
  <c r="P14663" i="2"/>
  <c r="V14663" i="2" s="1"/>
  <c r="P14659" i="2"/>
  <c r="V14659" i="2" s="1"/>
  <c r="P14655" i="2"/>
  <c r="V14655" i="2" s="1"/>
  <c r="P14651" i="2"/>
  <c r="V14651" i="2" s="1"/>
  <c r="P14647" i="2"/>
  <c r="V14647" i="2" s="1"/>
  <c r="P14643" i="2"/>
  <c r="V14643" i="2" s="1"/>
  <c r="P14639" i="2"/>
  <c r="V14639" i="2" s="1"/>
  <c r="P14635" i="2"/>
  <c r="V14635" i="2" s="1"/>
  <c r="P14631" i="2"/>
  <c r="V14631" i="2" s="1"/>
  <c r="P14627" i="2"/>
  <c r="V14627" i="2" s="1"/>
  <c r="P14623" i="2"/>
  <c r="V14623" i="2" s="1"/>
  <c r="P14619" i="2"/>
  <c r="V14619" i="2" s="1"/>
  <c r="P14615" i="2"/>
  <c r="V14615" i="2" s="1"/>
  <c r="P14611" i="2"/>
  <c r="V14611" i="2" s="1"/>
  <c r="P14607" i="2"/>
  <c r="V14607" i="2" s="1"/>
  <c r="P14603" i="2"/>
  <c r="V14603" i="2" s="1"/>
  <c r="P14599" i="2"/>
  <c r="V14599" i="2" s="1"/>
  <c r="P14595" i="2"/>
  <c r="V14595" i="2" s="1"/>
  <c r="P14591" i="2"/>
  <c r="V14591" i="2" s="1"/>
  <c r="P14587" i="2"/>
  <c r="V14587" i="2" s="1"/>
  <c r="P14583" i="2"/>
  <c r="V14583" i="2" s="1"/>
  <c r="P14579" i="2"/>
  <c r="V14579" i="2" s="1"/>
  <c r="P14575" i="2"/>
  <c r="V14575" i="2" s="1"/>
  <c r="P14571" i="2"/>
  <c r="V14571" i="2" s="1"/>
  <c r="P14567" i="2"/>
  <c r="V14567" i="2" s="1"/>
  <c r="P14563" i="2"/>
  <c r="V14563" i="2" s="1"/>
  <c r="P14559" i="2"/>
  <c r="V14559" i="2" s="1"/>
  <c r="P14555" i="2"/>
  <c r="V14555" i="2" s="1"/>
  <c r="P14551" i="2"/>
  <c r="V14551" i="2" s="1"/>
  <c r="P14547" i="2"/>
  <c r="V14547" i="2" s="1"/>
  <c r="P14543" i="2"/>
  <c r="V14543" i="2" s="1"/>
  <c r="P14539" i="2"/>
  <c r="V14539" i="2" s="1"/>
  <c r="P14535" i="2"/>
  <c r="V14535" i="2" s="1"/>
  <c r="P14531" i="2"/>
  <c r="V14531" i="2" s="1"/>
  <c r="P14527" i="2"/>
  <c r="V14527" i="2" s="1"/>
  <c r="P14523" i="2"/>
  <c r="V14523" i="2" s="1"/>
  <c r="P14519" i="2"/>
  <c r="V14519" i="2" s="1"/>
  <c r="P14515" i="2"/>
  <c r="V14515" i="2" s="1"/>
  <c r="P14511" i="2"/>
  <c r="V14511" i="2" s="1"/>
  <c r="P14507" i="2"/>
  <c r="V14507" i="2" s="1"/>
  <c r="P14503" i="2"/>
  <c r="V14503" i="2" s="1"/>
  <c r="P14499" i="2"/>
  <c r="V14499" i="2" s="1"/>
  <c r="P14495" i="2"/>
  <c r="V14495" i="2" s="1"/>
  <c r="P14491" i="2"/>
  <c r="V14491" i="2" s="1"/>
  <c r="P14487" i="2"/>
  <c r="V14487" i="2" s="1"/>
  <c r="P14483" i="2"/>
  <c r="V14483" i="2" s="1"/>
  <c r="P14479" i="2"/>
  <c r="V14479" i="2" s="1"/>
  <c r="P14475" i="2"/>
  <c r="V14475" i="2" s="1"/>
  <c r="P14471" i="2"/>
  <c r="V14471" i="2" s="1"/>
  <c r="P14467" i="2"/>
  <c r="V14467" i="2" s="1"/>
  <c r="P14463" i="2"/>
  <c r="V14463" i="2" s="1"/>
  <c r="P14459" i="2"/>
  <c r="V14459" i="2" s="1"/>
  <c r="P14455" i="2"/>
  <c r="V14455" i="2" s="1"/>
  <c r="P14451" i="2"/>
  <c r="V14451" i="2" s="1"/>
  <c r="P14447" i="2"/>
  <c r="V14447" i="2" s="1"/>
  <c r="P14443" i="2"/>
  <c r="V14443" i="2" s="1"/>
  <c r="P14439" i="2"/>
  <c r="V14439" i="2" s="1"/>
  <c r="P14435" i="2"/>
  <c r="V14435" i="2" s="1"/>
  <c r="P14431" i="2"/>
  <c r="V14431" i="2" s="1"/>
  <c r="P14427" i="2"/>
  <c r="V14427" i="2" s="1"/>
  <c r="P14423" i="2"/>
  <c r="V14423" i="2" s="1"/>
  <c r="P14419" i="2"/>
  <c r="V14419" i="2" s="1"/>
  <c r="P14415" i="2"/>
  <c r="V14415" i="2" s="1"/>
  <c r="P14411" i="2"/>
  <c r="V14411" i="2" s="1"/>
  <c r="P14407" i="2"/>
  <c r="V14407" i="2" s="1"/>
  <c r="P14403" i="2"/>
  <c r="V14403" i="2" s="1"/>
  <c r="P14399" i="2"/>
  <c r="V14399" i="2" s="1"/>
  <c r="P14395" i="2"/>
  <c r="V14395" i="2" s="1"/>
  <c r="P14391" i="2"/>
  <c r="V14391" i="2" s="1"/>
  <c r="P14387" i="2"/>
  <c r="V14387" i="2" s="1"/>
  <c r="P14383" i="2"/>
  <c r="V14383" i="2" s="1"/>
  <c r="P14379" i="2"/>
  <c r="V14379" i="2" s="1"/>
  <c r="P14375" i="2"/>
  <c r="V14375" i="2" s="1"/>
  <c r="P14371" i="2"/>
  <c r="V14371" i="2" s="1"/>
  <c r="P14367" i="2"/>
  <c r="V14367" i="2" s="1"/>
  <c r="P14363" i="2"/>
  <c r="V14363" i="2" s="1"/>
  <c r="P14359" i="2"/>
  <c r="V14359" i="2" s="1"/>
  <c r="P14355" i="2"/>
  <c r="V14355" i="2" s="1"/>
  <c r="P14351" i="2"/>
  <c r="V14351" i="2" s="1"/>
  <c r="P14347" i="2"/>
  <c r="V14347" i="2" s="1"/>
  <c r="P14343" i="2"/>
  <c r="V14343" i="2" s="1"/>
  <c r="P14339" i="2"/>
  <c r="V14339" i="2" s="1"/>
  <c r="P14335" i="2"/>
  <c r="V14335" i="2" s="1"/>
  <c r="P14331" i="2"/>
  <c r="V14331" i="2" s="1"/>
  <c r="P14327" i="2"/>
  <c r="V14327" i="2" s="1"/>
  <c r="P14323" i="2"/>
  <c r="V14323" i="2" s="1"/>
  <c r="P14319" i="2"/>
  <c r="V14319" i="2" s="1"/>
  <c r="P14315" i="2"/>
  <c r="V14315" i="2" s="1"/>
  <c r="P14311" i="2"/>
  <c r="V14311" i="2" s="1"/>
  <c r="P14307" i="2"/>
  <c r="V14307" i="2" s="1"/>
  <c r="P14303" i="2"/>
  <c r="V14303" i="2" s="1"/>
  <c r="P14299" i="2"/>
  <c r="V14299" i="2" s="1"/>
  <c r="P14295" i="2"/>
  <c r="V14295" i="2" s="1"/>
  <c r="P14291" i="2"/>
  <c r="V14291" i="2" s="1"/>
  <c r="P14287" i="2"/>
  <c r="V14287" i="2" s="1"/>
  <c r="P14283" i="2"/>
  <c r="V14283" i="2" s="1"/>
  <c r="P14279" i="2"/>
  <c r="V14279" i="2" s="1"/>
  <c r="P14275" i="2"/>
  <c r="V14275" i="2" s="1"/>
  <c r="P14271" i="2"/>
  <c r="V14271" i="2" s="1"/>
  <c r="P14267" i="2"/>
  <c r="V14267" i="2" s="1"/>
  <c r="P14263" i="2"/>
  <c r="V14263" i="2" s="1"/>
  <c r="P14259" i="2"/>
  <c r="V14259" i="2" s="1"/>
  <c r="P14255" i="2"/>
  <c r="V14255" i="2" s="1"/>
  <c r="P14251" i="2"/>
  <c r="V14251" i="2" s="1"/>
  <c r="P14247" i="2"/>
  <c r="V14247" i="2" s="1"/>
  <c r="P14243" i="2"/>
  <c r="V14243" i="2" s="1"/>
  <c r="P14239" i="2"/>
  <c r="V14239" i="2" s="1"/>
  <c r="P14235" i="2"/>
  <c r="V14235" i="2" s="1"/>
  <c r="P14231" i="2"/>
  <c r="V14231" i="2" s="1"/>
  <c r="P14227" i="2"/>
  <c r="V14227" i="2" s="1"/>
  <c r="P14223" i="2"/>
  <c r="V14223" i="2" s="1"/>
  <c r="P14219" i="2"/>
  <c r="V14219" i="2" s="1"/>
  <c r="P14215" i="2"/>
  <c r="V14215" i="2" s="1"/>
  <c r="P14211" i="2"/>
  <c r="V14211" i="2" s="1"/>
  <c r="P14207" i="2"/>
  <c r="V14207" i="2" s="1"/>
  <c r="P14203" i="2"/>
  <c r="V14203" i="2" s="1"/>
  <c r="P14199" i="2"/>
  <c r="V14199" i="2" s="1"/>
  <c r="P14195" i="2"/>
  <c r="V14195" i="2" s="1"/>
  <c r="P14191" i="2"/>
  <c r="V14191" i="2" s="1"/>
  <c r="P14187" i="2"/>
  <c r="V14187" i="2" s="1"/>
  <c r="P14183" i="2"/>
  <c r="V14183" i="2" s="1"/>
  <c r="P14179" i="2"/>
  <c r="V14179" i="2" s="1"/>
  <c r="P14175" i="2"/>
  <c r="V14175" i="2" s="1"/>
  <c r="P14171" i="2"/>
  <c r="V14171" i="2" s="1"/>
  <c r="P14167" i="2"/>
  <c r="V14167" i="2" s="1"/>
  <c r="P14163" i="2"/>
  <c r="V14163" i="2" s="1"/>
  <c r="P14159" i="2"/>
  <c r="V14159" i="2" s="1"/>
  <c r="P14155" i="2"/>
  <c r="V14155" i="2" s="1"/>
  <c r="P14151" i="2"/>
  <c r="V14151" i="2" s="1"/>
  <c r="P14147" i="2"/>
  <c r="V14147" i="2" s="1"/>
  <c r="P14143" i="2"/>
  <c r="V14143" i="2" s="1"/>
  <c r="P14139" i="2"/>
  <c r="V14139" i="2" s="1"/>
  <c r="P14135" i="2"/>
  <c r="V14135" i="2" s="1"/>
  <c r="P14131" i="2"/>
  <c r="V14131" i="2" s="1"/>
  <c r="P14127" i="2"/>
  <c r="V14127" i="2" s="1"/>
  <c r="P14123" i="2"/>
  <c r="V14123" i="2" s="1"/>
  <c r="P14119" i="2"/>
  <c r="V14119" i="2" s="1"/>
  <c r="P14115" i="2"/>
  <c r="V14115" i="2" s="1"/>
  <c r="P14111" i="2"/>
  <c r="V14111" i="2" s="1"/>
  <c r="P14107" i="2"/>
  <c r="V14107" i="2" s="1"/>
  <c r="P14103" i="2"/>
  <c r="V14103" i="2" s="1"/>
  <c r="P14099" i="2"/>
  <c r="V14099" i="2" s="1"/>
  <c r="P14095" i="2"/>
  <c r="V14095" i="2" s="1"/>
  <c r="P14091" i="2"/>
  <c r="V14091" i="2" s="1"/>
  <c r="P14087" i="2"/>
  <c r="V14087" i="2" s="1"/>
  <c r="P14083" i="2"/>
  <c r="V14083" i="2" s="1"/>
  <c r="P14079" i="2"/>
  <c r="V14079" i="2" s="1"/>
  <c r="P14075" i="2"/>
  <c r="V14075" i="2" s="1"/>
  <c r="P14071" i="2"/>
  <c r="V14071" i="2" s="1"/>
  <c r="P14067" i="2"/>
  <c r="V14067" i="2" s="1"/>
  <c r="P14063" i="2"/>
  <c r="V14063" i="2" s="1"/>
  <c r="P14059" i="2"/>
  <c r="V14059" i="2" s="1"/>
  <c r="P14055" i="2"/>
  <c r="V14055" i="2" s="1"/>
  <c r="P14051" i="2"/>
  <c r="V14051" i="2" s="1"/>
  <c r="P14047" i="2"/>
  <c r="V14047" i="2" s="1"/>
  <c r="P14043" i="2"/>
  <c r="V14043" i="2" s="1"/>
  <c r="P14039" i="2"/>
  <c r="V14039" i="2" s="1"/>
  <c r="P14035" i="2"/>
  <c r="V14035" i="2" s="1"/>
  <c r="P14031" i="2"/>
  <c r="V14031" i="2" s="1"/>
  <c r="P14027" i="2"/>
  <c r="V14027" i="2" s="1"/>
  <c r="P14023" i="2"/>
  <c r="V14023" i="2" s="1"/>
  <c r="P14019" i="2"/>
  <c r="V14019" i="2" s="1"/>
  <c r="P14015" i="2"/>
  <c r="V14015" i="2" s="1"/>
  <c r="P14011" i="2"/>
  <c r="V14011" i="2" s="1"/>
  <c r="P14007" i="2"/>
  <c r="V14007" i="2" s="1"/>
  <c r="P14003" i="2"/>
  <c r="V14003" i="2" s="1"/>
  <c r="P13999" i="2"/>
  <c r="V13999" i="2" s="1"/>
  <c r="P13995" i="2"/>
  <c r="V13995" i="2" s="1"/>
  <c r="P13991" i="2"/>
  <c r="V13991" i="2" s="1"/>
  <c r="P13987" i="2"/>
  <c r="V13987" i="2" s="1"/>
  <c r="P13983" i="2"/>
  <c r="V13983" i="2" s="1"/>
  <c r="P13979" i="2"/>
  <c r="V13979" i="2" s="1"/>
  <c r="P13975" i="2"/>
  <c r="V13975" i="2" s="1"/>
  <c r="P13971" i="2"/>
  <c r="V13971" i="2" s="1"/>
  <c r="P13967" i="2"/>
  <c r="V13967" i="2" s="1"/>
  <c r="P13963" i="2"/>
  <c r="V13963" i="2" s="1"/>
  <c r="P13959" i="2"/>
  <c r="V13959" i="2" s="1"/>
  <c r="P13955" i="2"/>
  <c r="V13955" i="2" s="1"/>
  <c r="P13951" i="2"/>
  <c r="V13951" i="2" s="1"/>
  <c r="P13947" i="2"/>
  <c r="V13947" i="2" s="1"/>
  <c r="P13943" i="2"/>
  <c r="V13943" i="2" s="1"/>
  <c r="P13939" i="2"/>
  <c r="V13939" i="2" s="1"/>
  <c r="P13935" i="2"/>
  <c r="V13935" i="2" s="1"/>
  <c r="P13931" i="2"/>
  <c r="V13931" i="2" s="1"/>
  <c r="P13927" i="2"/>
  <c r="V13927" i="2" s="1"/>
  <c r="P13923" i="2"/>
  <c r="V13923" i="2" s="1"/>
  <c r="P13919" i="2"/>
  <c r="V13919" i="2" s="1"/>
  <c r="P13915" i="2"/>
  <c r="V13915" i="2" s="1"/>
  <c r="P13911" i="2"/>
  <c r="V13911" i="2" s="1"/>
  <c r="P13907" i="2"/>
  <c r="V13907" i="2" s="1"/>
  <c r="P13903" i="2"/>
  <c r="V13903" i="2" s="1"/>
  <c r="P13899" i="2"/>
  <c r="V13899" i="2" s="1"/>
  <c r="P13895" i="2"/>
  <c r="V13895" i="2" s="1"/>
  <c r="P13891" i="2"/>
  <c r="V13891" i="2" s="1"/>
  <c r="P13887" i="2"/>
  <c r="V13887" i="2" s="1"/>
  <c r="P13883" i="2"/>
  <c r="V13883" i="2" s="1"/>
  <c r="P13879" i="2"/>
  <c r="V13879" i="2" s="1"/>
  <c r="P13875" i="2"/>
  <c r="V13875" i="2" s="1"/>
  <c r="P13871" i="2"/>
  <c r="V13871" i="2" s="1"/>
  <c r="P13867" i="2"/>
  <c r="V13867" i="2" s="1"/>
  <c r="P13863" i="2"/>
  <c r="V13863" i="2" s="1"/>
  <c r="P13859" i="2"/>
  <c r="V13859" i="2" s="1"/>
  <c r="P13855" i="2"/>
  <c r="V13855" i="2" s="1"/>
  <c r="P13851" i="2"/>
  <c r="V13851" i="2" s="1"/>
  <c r="P13847" i="2"/>
  <c r="V13847" i="2" s="1"/>
  <c r="P13843" i="2"/>
  <c r="V13843" i="2" s="1"/>
  <c r="P13839" i="2"/>
  <c r="V13839" i="2" s="1"/>
  <c r="P13835" i="2"/>
  <c r="V13835" i="2" s="1"/>
  <c r="P13831" i="2"/>
  <c r="V13831" i="2" s="1"/>
  <c r="P13827" i="2"/>
  <c r="V13827" i="2" s="1"/>
  <c r="P13823" i="2"/>
  <c r="V13823" i="2" s="1"/>
  <c r="P13819" i="2"/>
  <c r="V13819" i="2" s="1"/>
  <c r="P13815" i="2"/>
  <c r="V13815" i="2" s="1"/>
  <c r="P13811" i="2"/>
  <c r="V13811" i="2" s="1"/>
  <c r="P13807" i="2"/>
  <c r="V13807" i="2" s="1"/>
  <c r="P13803" i="2"/>
  <c r="V13803" i="2" s="1"/>
  <c r="P13799" i="2"/>
  <c r="V13799" i="2" s="1"/>
  <c r="P13795" i="2"/>
  <c r="V13795" i="2" s="1"/>
  <c r="P13791" i="2"/>
  <c r="V13791" i="2" s="1"/>
  <c r="P13787" i="2"/>
  <c r="V13787" i="2" s="1"/>
  <c r="P13783" i="2"/>
  <c r="V13783" i="2" s="1"/>
  <c r="P13779" i="2"/>
  <c r="V13779" i="2" s="1"/>
  <c r="P13775" i="2"/>
  <c r="V13775" i="2" s="1"/>
  <c r="P13771" i="2"/>
  <c r="V13771" i="2" s="1"/>
  <c r="P13767" i="2"/>
  <c r="V13767" i="2" s="1"/>
  <c r="P13763" i="2"/>
  <c r="V13763" i="2" s="1"/>
  <c r="P13759" i="2"/>
  <c r="V13759" i="2" s="1"/>
  <c r="P13755" i="2"/>
  <c r="V13755" i="2" s="1"/>
  <c r="P13751" i="2"/>
  <c r="V13751" i="2" s="1"/>
  <c r="P13747" i="2"/>
  <c r="V13747" i="2" s="1"/>
  <c r="P13743" i="2"/>
  <c r="V13743" i="2" s="1"/>
  <c r="P13739" i="2"/>
  <c r="V13739" i="2" s="1"/>
  <c r="P13735" i="2"/>
  <c r="V13735" i="2" s="1"/>
  <c r="P13731" i="2"/>
  <c r="V13731" i="2" s="1"/>
  <c r="P13727" i="2"/>
  <c r="V13727" i="2" s="1"/>
  <c r="P13723" i="2"/>
  <c r="V13723" i="2" s="1"/>
  <c r="P13719" i="2"/>
  <c r="V13719" i="2" s="1"/>
  <c r="P13715" i="2"/>
  <c r="V13715" i="2" s="1"/>
  <c r="P13711" i="2"/>
  <c r="V13711" i="2" s="1"/>
  <c r="P13707" i="2"/>
  <c r="V13707" i="2" s="1"/>
  <c r="P13703" i="2"/>
  <c r="V13703" i="2" s="1"/>
  <c r="P13699" i="2"/>
  <c r="V13699" i="2" s="1"/>
  <c r="P13695" i="2"/>
  <c r="V13695" i="2" s="1"/>
  <c r="P13691" i="2"/>
  <c r="V13691" i="2" s="1"/>
  <c r="P13687" i="2"/>
  <c r="V13687" i="2" s="1"/>
  <c r="P13683" i="2"/>
  <c r="V13683" i="2" s="1"/>
  <c r="P13679" i="2"/>
  <c r="V13679" i="2" s="1"/>
  <c r="P13675" i="2"/>
  <c r="V13675" i="2" s="1"/>
  <c r="P13671" i="2"/>
  <c r="V13671" i="2" s="1"/>
  <c r="P13667" i="2"/>
  <c r="V13667" i="2" s="1"/>
  <c r="P13663" i="2"/>
  <c r="V13663" i="2" s="1"/>
  <c r="P13659" i="2"/>
  <c r="V13659" i="2" s="1"/>
  <c r="P13655" i="2"/>
  <c r="V13655" i="2" s="1"/>
  <c r="P13651" i="2"/>
  <c r="V13651" i="2" s="1"/>
  <c r="P13647" i="2"/>
  <c r="V13647" i="2" s="1"/>
  <c r="P13643" i="2"/>
  <c r="V13643" i="2" s="1"/>
  <c r="P13639" i="2"/>
  <c r="V13639" i="2" s="1"/>
  <c r="P13635" i="2"/>
  <c r="V13635" i="2" s="1"/>
  <c r="P13631" i="2"/>
  <c r="V13631" i="2" s="1"/>
  <c r="P13627" i="2"/>
  <c r="V13627" i="2" s="1"/>
  <c r="P13623" i="2"/>
  <c r="V13623" i="2" s="1"/>
  <c r="P13619" i="2"/>
  <c r="V13619" i="2" s="1"/>
  <c r="P13615" i="2"/>
  <c r="V13615" i="2" s="1"/>
  <c r="P13611" i="2"/>
  <c r="V13611" i="2" s="1"/>
  <c r="P13607" i="2"/>
  <c r="V13607" i="2" s="1"/>
  <c r="P13603" i="2"/>
  <c r="V13603" i="2" s="1"/>
  <c r="P13599" i="2"/>
  <c r="V13599" i="2" s="1"/>
  <c r="P13595" i="2"/>
  <c r="V13595" i="2" s="1"/>
  <c r="P13591" i="2"/>
  <c r="V13591" i="2" s="1"/>
  <c r="P13587" i="2"/>
  <c r="V13587" i="2" s="1"/>
  <c r="P13583" i="2"/>
  <c r="V13583" i="2" s="1"/>
  <c r="P13579" i="2"/>
  <c r="V13579" i="2" s="1"/>
  <c r="P13575" i="2"/>
  <c r="V13575" i="2" s="1"/>
  <c r="P13571" i="2"/>
  <c r="V13571" i="2" s="1"/>
  <c r="P13567" i="2"/>
  <c r="V13567" i="2" s="1"/>
  <c r="P13563" i="2"/>
  <c r="V13563" i="2" s="1"/>
  <c r="P13559" i="2"/>
  <c r="V13559" i="2" s="1"/>
  <c r="P13555" i="2"/>
  <c r="V13555" i="2" s="1"/>
  <c r="P13551" i="2"/>
  <c r="V13551" i="2" s="1"/>
  <c r="P13547" i="2"/>
  <c r="V13547" i="2" s="1"/>
  <c r="P13543" i="2"/>
  <c r="V13543" i="2" s="1"/>
  <c r="P13539" i="2"/>
  <c r="V13539" i="2" s="1"/>
  <c r="P13535" i="2"/>
  <c r="V13535" i="2" s="1"/>
  <c r="P13531" i="2"/>
  <c r="V13531" i="2" s="1"/>
  <c r="P13527" i="2"/>
  <c r="V13527" i="2" s="1"/>
  <c r="P13523" i="2"/>
  <c r="V13523" i="2" s="1"/>
  <c r="P13519" i="2"/>
  <c r="V13519" i="2" s="1"/>
  <c r="P13515" i="2"/>
  <c r="V13515" i="2" s="1"/>
  <c r="P13511" i="2"/>
  <c r="V13511" i="2" s="1"/>
  <c r="P13507" i="2"/>
  <c r="V13507" i="2" s="1"/>
  <c r="P13503" i="2"/>
  <c r="V13503" i="2" s="1"/>
  <c r="P13499" i="2"/>
  <c r="V13499" i="2" s="1"/>
  <c r="P13495" i="2"/>
  <c r="V13495" i="2" s="1"/>
  <c r="P13491" i="2"/>
  <c r="V13491" i="2" s="1"/>
  <c r="P13487" i="2"/>
  <c r="V13487" i="2" s="1"/>
  <c r="P13483" i="2"/>
  <c r="V13483" i="2" s="1"/>
  <c r="P13479" i="2"/>
  <c r="V13479" i="2" s="1"/>
  <c r="P13475" i="2"/>
  <c r="V13475" i="2" s="1"/>
  <c r="P13471" i="2"/>
  <c r="V13471" i="2" s="1"/>
  <c r="P13467" i="2"/>
  <c r="V13467" i="2" s="1"/>
  <c r="P13463" i="2"/>
  <c r="V13463" i="2" s="1"/>
  <c r="P13459" i="2"/>
  <c r="V13459" i="2" s="1"/>
  <c r="P13455" i="2"/>
  <c r="V13455" i="2" s="1"/>
  <c r="P13451" i="2"/>
  <c r="V13451" i="2" s="1"/>
  <c r="P13447" i="2"/>
  <c r="V13447" i="2" s="1"/>
  <c r="P13443" i="2"/>
  <c r="V13443" i="2" s="1"/>
  <c r="P13439" i="2"/>
  <c r="V13439" i="2" s="1"/>
  <c r="P13435" i="2"/>
  <c r="V13435" i="2" s="1"/>
  <c r="P13431" i="2"/>
  <c r="V13431" i="2" s="1"/>
  <c r="P13427" i="2"/>
  <c r="V13427" i="2" s="1"/>
  <c r="P13423" i="2"/>
  <c r="V13423" i="2" s="1"/>
  <c r="P13419" i="2"/>
  <c r="V13419" i="2" s="1"/>
  <c r="P13415" i="2"/>
  <c r="V13415" i="2" s="1"/>
  <c r="P13411" i="2"/>
  <c r="V13411" i="2" s="1"/>
  <c r="P13407" i="2"/>
  <c r="V13407" i="2" s="1"/>
  <c r="P13403" i="2"/>
  <c r="V13403" i="2" s="1"/>
  <c r="P13399" i="2"/>
  <c r="V13399" i="2" s="1"/>
  <c r="P13395" i="2"/>
  <c r="V13395" i="2" s="1"/>
  <c r="P13391" i="2"/>
  <c r="V13391" i="2" s="1"/>
  <c r="P13387" i="2"/>
  <c r="V13387" i="2" s="1"/>
  <c r="P13383" i="2"/>
  <c r="V13383" i="2" s="1"/>
  <c r="P13379" i="2"/>
  <c r="V13379" i="2" s="1"/>
  <c r="P13375" i="2"/>
  <c r="V13375" i="2" s="1"/>
  <c r="P13371" i="2"/>
  <c r="V13371" i="2" s="1"/>
  <c r="P13367" i="2"/>
  <c r="V13367" i="2" s="1"/>
  <c r="P13363" i="2"/>
  <c r="V13363" i="2" s="1"/>
  <c r="P13359" i="2"/>
  <c r="V13359" i="2" s="1"/>
  <c r="P13355" i="2"/>
  <c r="V13355" i="2" s="1"/>
  <c r="P13351" i="2"/>
  <c r="V13351" i="2" s="1"/>
  <c r="P13347" i="2"/>
  <c r="V13347" i="2" s="1"/>
  <c r="P13343" i="2"/>
  <c r="V13343" i="2" s="1"/>
  <c r="P13339" i="2"/>
  <c r="V13339" i="2" s="1"/>
  <c r="P13335" i="2"/>
  <c r="V13335" i="2" s="1"/>
  <c r="P13331" i="2"/>
  <c r="V13331" i="2" s="1"/>
  <c r="P13327" i="2"/>
  <c r="V13327" i="2" s="1"/>
  <c r="P13323" i="2"/>
  <c r="V13323" i="2" s="1"/>
  <c r="P13319" i="2"/>
  <c r="V13319" i="2" s="1"/>
  <c r="P13315" i="2"/>
  <c r="V13315" i="2" s="1"/>
  <c r="P13311" i="2"/>
  <c r="V13311" i="2" s="1"/>
  <c r="P13307" i="2"/>
  <c r="V13307" i="2" s="1"/>
  <c r="P13303" i="2"/>
  <c r="V13303" i="2" s="1"/>
  <c r="P13299" i="2"/>
  <c r="V13299" i="2" s="1"/>
  <c r="P13295" i="2"/>
  <c r="V13295" i="2" s="1"/>
  <c r="P13291" i="2"/>
  <c r="V13291" i="2" s="1"/>
  <c r="P13287" i="2"/>
  <c r="V13287" i="2" s="1"/>
  <c r="P13283" i="2"/>
  <c r="V13283" i="2" s="1"/>
  <c r="P13279" i="2"/>
  <c r="V13279" i="2" s="1"/>
  <c r="P13275" i="2"/>
  <c r="V13275" i="2" s="1"/>
  <c r="P13271" i="2"/>
  <c r="V13271" i="2" s="1"/>
  <c r="P13267" i="2"/>
  <c r="V13267" i="2" s="1"/>
  <c r="P13263" i="2"/>
  <c r="V13263" i="2" s="1"/>
  <c r="P13259" i="2"/>
  <c r="V13259" i="2" s="1"/>
  <c r="P13255" i="2"/>
  <c r="V13255" i="2" s="1"/>
  <c r="P13251" i="2"/>
  <c r="V13251" i="2" s="1"/>
  <c r="P13247" i="2"/>
  <c r="V13247" i="2" s="1"/>
  <c r="P13243" i="2"/>
  <c r="V13243" i="2" s="1"/>
  <c r="P13239" i="2"/>
  <c r="V13239" i="2" s="1"/>
  <c r="P13235" i="2"/>
  <c r="V13235" i="2" s="1"/>
  <c r="P13231" i="2"/>
  <c r="V13231" i="2" s="1"/>
  <c r="P13227" i="2"/>
  <c r="V13227" i="2" s="1"/>
  <c r="P13223" i="2"/>
  <c r="V13223" i="2" s="1"/>
  <c r="P13219" i="2"/>
  <c r="V13219" i="2" s="1"/>
  <c r="P13215" i="2"/>
  <c r="V13215" i="2" s="1"/>
  <c r="P13211" i="2"/>
  <c r="V13211" i="2" s="1"/>
  <c r="P13207" i="2"/>
  <c r="V13207" i="2" s="1"/>
  <c r="P13203" i="2"/>
  <c r="V13203" i="2" s="1"/>
  <c r="P13199" i="2"/>
  <c r="V13199" i="2" s="1"/>
  <c r="P13195" i="2"/>
  <c r="V13195" i="2" s="1"/>
  <c r="P13191" i="2"/>
  <c r="V13191" i="2" s="1"/>
  <c r="P13187" i="2"/>
  <c r="V13187" i="2" s="1"/>
  <c r="P13183" i="2"/>
  <c r="V13183" i="2" s="1"/>
  <c r="P13179" i="2"/>
  <c r="V13179" i="2" s="1"/>
  <c r="P13175" i="2"/>
  <c r="V13175" i="2" s="1"/>
  <c r="P13171" i="2"/>
  <c r="V13171" i="2" s="1"/>
  <c r="P13167" i="2"/>
  <c r="V13167" i="2" s="1"/>
  <c r="P13163" i="2"/>
  <c r="V13163" i="2" s="1"/>
  <c r="P13159" i="2"/>
  <c r="V13159" i="2" s="1"/>
  <c r="P13155" i="2"/>
  <c r="V13155" i="2" s="1"/>
  <c r="P13151" i="2"/>
  <c r="V13151" i="2" s="1"/>
  <c r="P13147" i="2"/>
  <c r="V13147" i="2" s="1"/>
  <c r="P13143" i="2"/>
  <c r="V13143" i="2" s="1"/>
  <c r="P13139" i="2"/>
  <c r="V13139" i="2" s="1"/>
  <c r="P13135" i="2"/>
  <c r="V13135" i="2" s="1"/>
  <c r="P13131" i="2"/>
  <c r="V13131" i="2" s="1"/>
  <c r="P13127" i="2"/>
  <c r="V13127" i="2" s="1"/>
  <c r="P13123" i="2"/>
  <c r="V13123" i="2" s="1"/>
  <c r="P13119" i="2"/>
  <c r="V13119" i="2" s="1"/>
  <c r="P13115" i="2"/>
  <c r="V13115" i="2" s="1"/>
  <c r="P13111" i="2"/>
  <c r="V13111" i="2" s="1"/>
  <c r="P13107" i="2"/>
  <c r="V13107" i="2" s="1"/>
  <c r="P13103" i="2"/>
  <c r="V13103" i="2" s="1"/>
  <c r="P13099" i="2"/>
  <c r="V13099" i="2" s="1"/>
  <c r="P13095" i="2"/>
  <c r="V13095" i="2" s="1"/>
  <c r="P13091" i="2"/>
  <c r="V13091" i="2" s="1"/>
  <c r="P13087" i="2"/>
  <c r="V13087" i="2" s="1"/>
  <c r="P13083" i="2"/>
  <c r="V13083" i="2" s="1"/>
  <c r="P13079" i="2"/>
  <c r="V13079" i="2" s="1"/>
  <c r="P13075" i="2"/>
  <c r="V13075" i="2" s="1"/>
  <c r="P13071" i="2"/>
  <c r="V13071" i="2" s="1"/>
  <c r="P13067" i="2"/>
  <c r="V13067" i="2" s="1"/>
  <c r="P13063" i="2"/>
  <c r="V13063" i="2" s="1"/>
  <c r="P13059" i="2"/>
  <c r="V13059" i="2" s="1"/>
  <c r="P13055" i="2"/>
  <c r="V13055" i="2" s="1"/>
  <c r="P13051" i="2"/>
  <c r="V13051" i="2" s="1"/>
  <c r="P13047" i="2"/>
  <c r="V13047" i="2" s="1"/>
  <c r="P13043" i="2"/>
  <c r="V13043" i="2" s="1"/>
  <c r="P13039" i="2"/>
  <c r="V13039" i="2" s="1"/>
  <c r="P13035" i="2"/>
  <c r="V13035" i="2" s="1"/>
  <c r="P13031" i="2"/>
  <c r="V13031" i="2" s="1"/>
  <c r="P13027" i="2"/>
  <c r="V13027" i="2" s="1"/>
  <c r="P13023" i="2"/>
  <c r="V13023" i="2" s="1"/>
  <c r="P13019" i="2"/>
  <c r="V13019" i="2" s="1"/>
  <c r="P13015" i="2"/>
  <c r="V13015" i="2" s="1"/>
  <c r="P13011" i="2"/>
  <c r="V13011" i="2" s="1"/>
  <c r="P13007" i="2"/>
  <c r="V13007" i="2" s="1"/>
  <c r="P13003" i="2"/>
  <c r="V13003" i="2" s="1"/>
  <c r="P12999" i="2"/>
  <c r="V12999" i="2" s="1"/>
  <c r="P12995" i="2"/>
  <c r="V12995" i="2" s="1"/>
  <c r="P12991" i="2"/>
  <c r="V12991" i="2" s="1"/>
  <c r="P12987" i="2"/>
  <c r="V12987" i="2" s="1"/>
  <c r="P12983" i="2"/>
  <c r="V12983" i="2" s="1"/>
  <c r="P12979" i="2"/>
  <c r="V12979" i="2" s="1"/>
  <c r="P12975" i="2"/>
  <c r="V12975" i="2" s="1"/>
  <c r="P12971" i="2"/>
  <c r="V12971" i="2" s="1"/>
  <c r="P12967" i="2"/>
  <c r="V12967" i="2" s="1"/>
  <c r="P12963" i="2"/>
  <c r="V12963" i="2" s="1"/>
  <c r="P12959" i="2"/>
  <c r="V12959" i="2" s="1"/>
  <c r="P12955" i="2"/>
  <c r="V12955" i="2" s="1"/>
  <c r="P12951" i="2"/>
  <c r="V12951" i="2" s="1"/>
  <c r="P12947" i="2"/>
  <c r="V12947" i="2" s="1"/>
  <c r="P12943" i="2"/>
  <c r="V12943" i="2" s="1"/>
  <c r="P12939" i="2"/>
  <c r="V12939" i="2" s="1"/>
  <c r="P12935" i="2"/>
  <c r="V12935" i="2" s="1"/>
  <c r="P12931" i="2"/>
  <c r="V12931" i="2" s="1"/>
  <c r="P12927" i="2"/>
  <c r="V12927" i="2" s="1"/>
  <c r="P12923" i="2"/>
  <c r="V12923" i="2" s="1"/>
  <c r="P12919" i="2"/>
  <c r="V12919" i="2" s="1"/>
  <c r="P12915" i="2"/>
  <c r="V12915" i="2" s="1"/>
  <c r="P12911" i="2"/>
  <c r="V12911" i="2" s="1"/>
  <c r="P12907" i="2"/>
  <c r="V12907" i="2" s="1"/>
  <c r="P12903" i="2"/>
  <c r="V12903" i="2" s="1"/>
  <c r="P12899" i="2"/>
  <c r="V12899" i="2" s="1"/>
  <c r="P12895" i="2"/>
  <c r="V12895" i="2" s="1"/>
  <c r="P12891" i="2"/>
  <c r="V12891" i="2" s="1"/>
  <c r="P12887" i="2"/>
  <c r="V12887" i="2" s="1"/>
  <c r="P12883" i="2"/>
  <c r="V12883" i="2" s="1"/>
  <c r="P12879" i="2"/>
  <c r="V12879" i="2" s="1"/>
  <c r="P12875" i="2"/>
  <c r="V12875" i="2" s="1"/>
  <c r="P12871" i="2"/>
  <c r="V12871" i="2" s="1"/>
  <c r="P12867" i="2"/>
  <c r="V12867" i="2" s="1"/>
  <c r="P12863" i="2"/>
  <c r="V12863" i="2" s="1"/>
  <c r="P12859" i="2"/>
  <c r="V12859" i="2" s="1"/>
  <c r="P12855" i="2"/>
  <c r="V12855" i="2" s="1"/>
  <c r="P12851" i="2"/>
  <c r="V12851" i="2" s="1"/>
  <c r="P12847" i="2"/>
  <c r="V12847" i="2" s="1"/>
  <c r="P12843" i="2"/>
  <c r="V12843" i="2" s="1"/>
  <c r="P12839" i="2"/>
  <c r="V12839" i="2" s="1"/>
  <c r="P12835" i="2"/>
  <c r="V12835" i="2" s="1"/>
  <c r="P12831" i="2"/>
  <c r="V12831" i="2" s="1"/>
  <c r="P12827" i="2"/>
  <c r="V12827" i="2" s="1"/>
  <c r="P12823" i="2"/>
  <c r="V12823" i="2" s="1"/>
  <c r="P12819" i="2"/>
  <c r="V12819" i="2" s="1"/>
  <c r="P12815" i="2"/>
  <c r="V12815" i="2" s="1"/>
  <c r="P12811" i="2"/>
  <c r="V12811" i="2" s="1"/>
  <c r="P12807" i="2"/>
  <c r="V12807" i="2" s="1"/>
  <c r="P12803" i="2"/>
  <c r="V12803" i="2" s="1"/>
  <c r="P12799" i="2"/>
  <c r="V12799" i="2" s="1"/>
  <c r="P12795" i="2"/>
  <c r="V12795" i="2" s="1"/>
  <c r="P12791" i="2"/>
  <c r="V12791" i="2" s="1"/>
  <c r="P12787" i="2"/>
  <c r="V12787" i="2" s="1"/>
  <c r="P12783" i="2"/>
  <c r="V12783" i="2" s="1"/>
  <c r="P12779" i="2"/>
  <c r="V12779" i="2" s="1"/>
  <c r="P12775" i="2"/>
  <c r="V12775" i="2" s="1"/>
  <c r="P12771" i="2"/>
  <c r="V12771" i="2" s="1"/>
  <c r="P12767" i="2"/>
  <c r="V12767" i="2" s="1"/>
  <c r="P12763" i="2"/>
  <c r="V12763" i="2" s="1"/>
  <c r="P12759" i="2"/>
  <c r="V12759" i="2" s="1"/>
  <c r="P12755" i="2"/>
  <c r="V12755" i="2" s="1"/>
  <c r="P12751" i="2"/>
  <c r="V12751" i="2" s="1"/>
  <c r="P12747" i="2"/>
  <c r="V12747" i="2" s="1"/>
  <c r="P12743" i="2"/>
  <c r="V12743" i="2" s="1"/>
  <c r="P12739" i="2"/>
  <c r="V12739" i="2" s="1"/>
  <c r="P12735" i="2"/>
  <c r="V12735" i="2" s="1"/>
  <c r="P12731" i="2"/>
  <c r="V12731" i="2" s="1"/>
  <c r="P12727" i="2"/>
  <c r="V12727" i="2" s="1"/>
  <c r="P12723" i="2"/>
  <c r="V12723" i="2" s="1"/>
  <c r="P12719" i="2"/>
  <c r="V12719" i="2" s="1"/>
  <c r="P12715" i="2"/>
  <c r="V12715" i="2" s="1"/>
  <c r="P12711" i="2"/>
  <c r="V12711" i="2" s="1"/>
  <c r="P12707" i="2"/>
  <c r="V12707" i="2" s="1"/>
  <c r="P12703" i="2"/>
  <c r="V12703" i="2" s="1"/>
  <c r="P12699" i="2"/>
  <c r="V12699" i="2" s="1"/>
  <c r="P12695" i="2"/>
  <c r="V12695" i="2" s="1"/>
  <c r="P12691" i="2"/>
  <c r="V12691" i="2" s="1"/>
  <c r="P12687" i="2"/>
  <c r="V12687" i="2" s="1"/>
  <c r="P12683" i="2"/>
  <c r="V12683" i="2" s="1"/>
  <c r="P12679" i="2"/>
  <c r="V12679" i="2" s="1"/>
  <c r="P12675" i="2"/>
  <c r="V12675" i="2" s="1"/>
  <c r="P12671" i="2"/>
  <c r="V12671" i="2" s="1"/>
  <c r="P12667" i="2"/>
  <c r="V12667" i="2" s="1"/>
  <c r="P12663" i="2"/>
  <c r="V12663" i="2" s="1"/>
  <c r="P12659" i="2"/>
  <c r="V12659" i="2" s="1"/>
  <c r="P12655" i="2"/>
  <c r="V12655" i="2" s="1"/>
  <c r="P12651" i="2"/>
  <c r="V12651" i="2" s="1"/>
  <c r="P12647" i="2"/>
  <c r="V12647" i="2" s="1"/>
  <c r="P12643" i="2"/>
  <c r="V12643" i="2" s="1"/>
  <c r="P12639" i="2"/>
  <c r="V12639" i="2" s="1"/>
  <c r="P12635" i="2"/>
  <c r="V12635" i="2" s="1"/>
  <c r="P12631" i="2"/>
  <c r="V12631" i="2" s="1"/>
  <c r="P12627" i="2"/>
  <c r="V12627" i="2" s="1"/>
  <c r="P12623" i="2"/>
  <c r="V12623" i="2" s="1"/>
  <c r="P12619" i="2"/>
  <c r="V12619" i="2" s="1"/>
  <c r="P12615" i="2"/>
  <c r="V12615" i="2" s="1"/>
  <c r="P12611" i="2"/>
  <c r="V12611" i="2" s="1"/>
  <c r="P12607" i="2"/>
  <c r="V12607" i="2" s="1"/>
  <c r="P12603" i="2"/>
  <c r="V12603" i="2" s="1"/>
  <c r="P12599" i="2"/>
  <c r="V12599" i="2" s="1"/>
  <c r="P12595" i="2"/>
  <c r="V12595" i="2" s="1"/>
  <c r="P12591" i="2"/>
  <c r="V12591" i="2" s="1"/>
  <c r="P12587" i="2"/>
  <c r="V12587" i="2" s="1"/>
  <c r="P12583" i="2"/>
  <c r="V12583" i="2" s="1"/>
  <c r="P12579" i="2"/>
  <c r="V12579" i="2" s="1"/>
  <c r="P12575" i="2"/>
  <c r="V12575" i="2" s="1"/>
  <c r="P12571" i="2"/>
  <c r="V12571" i="2" s="1"/>
  <c r="P12567" i="2"/>
  <c r="V12567" i="2" s="1"/>
  <c r="P12563" i="2"/>
  <c r="V12563" i="2" s="1"/>
  <c r="P12559" i="2"/>
  <c r="V12559" i="2" s="1"/>
  <c r="P12555" i="2"/>
  <c r="V12555" i="2" s="1"/>
  <c r="P12551" i="2"/>
  <c r="V12551" i="2" s="1"/>
  <c r="P12547" i="2"/>
  <c r="V12547" i="2" s="1"/>
  <c r="P12543" i="2"/>
  <c r="V12543" i="2" s="1"/>
  <c r="P12539" i="2"/>
  <c r="V12539" i="2" s="1"/>
  <c r="P12535" i="2"/>
  <c r="V12535" i="2" s="1"/>
  <c r="P12531" i="2"/>
  <c r="V12531" i="2" s="1"/>
  <c r="P12527" i="2"/>
  <c r="V12527" i="2" s="1"/>
  <c r="P12523" i="2"/>
  <c r="V12523" i="2" s="1"/>
  <c r="P12519" i="2"/>
  <c r="V12519" i="2" s="1"/>
  <c r="P12515" i="2"/>
  <c r="V12515" i="2" s="1"/>
  <c r="P12511" i="2"/>
  <c r="V12511" i="2" s="1"/>
  <c r="P12507" i="2"/>
  <c r="V12507" i="2" s="1"/>
  <c r="P12503" i="2"/>
  <c r="V12503" i="2" s="1"/>
  <c r="P12499" i="2"/>
  <c r="V12499" i="2" s="1"/>
  <c r="P12495" i="2"/>
  <c r="V12495" i="2" s="1"/>
  <c r="P12491" i="2"/>
  <c r="V12491" i="2" s="1"/>
  <c r="P12487" i="2"/>
  <c r="V12487" i="2" s="1"/>
  <c r="P12483" i="2"/>
  <c r="V12483" i="2" s="1"/>
  <c r="P12479" i="2"/>
  <c r="V12479" i="2" s="1"/>
  <c r="P12475" i="2"/>
  <c r="V12475" i="2" s="1"/>
  <c r="P12471" i="2"/>
  <c r="V12471" i="2" s="1"/>
  <c r="P12467" i="2"/>
  <c r="V12467" i="2" s="1"/>
  <c r="P12463" i="2"/>
  <c r="V12463" i="2" s="1"/>
  <c r="P12459" i="2"/>
  <c r="V12459" i="2" s="1"/>
  <c r="P12455" i="2"/>
  <c r="V12455" i="2" s="1"/>
  <c r="P12451" i="2"/>
  <c r="V12451" i="2" s="1"/>
  <c r="P12447" i="2"/>
  <c r="V12447" i="2" s="1"/>
  <c r="P12443" i="2"/>
  <c r="V12443" i="2" s="1"/>
  <c r="P12439" i="2"/>
  <c r="V12439" i="2" s="1"/>
  <c r="P12435" i="2"/>
  <c r="V12435" i="2" s="1"/>
  <c r="P12431" i="2"/>
  <c r="V12431" i="2" s="1"/>
  <c r="P12427" i="2"/>
  <c r="V12427" i="2" s="1"/>
  <c r="P12423" i="2"/>
  <c r="V12423" i="2" s="1"/>
  <c r="P12419" i="2"/>
  <c r="V12419" i="2" s="1"/>
  <c r="P12415" i="2"/>
  <c r="V12415" i="2" s="1"/>
  <c r="P12411" i="2"/>
  <c r="V12411" i="2" s="1"/>
  <c r="P12407" i="2"/>
  <c r="V12407" i="2" s="1"/>
  <c r="P12403" i="2"/>
  <c r="V12403" i="2" s="1"/>
  <c r="P12399" i="2"/>
  <c r="V12399" i="2" s="1"/>
  <c r="P12395" i="2"/>
  <c r="V12395" i="2" s="1"/>
  <c r="P12391" i="2"/>
  <c r="V12391" i="2" s="1"/>
  <c r="P12387" i="2"/>
  <c r="V12387" i="2" s="1"/>
  <c r="P12383" i="2"/>
  <c r="V12383" i="2" s="1"/>
  <c r="P12379" i="2"/>
  <c r="V12379" i="2" s="1"/>
  <c r="P12375" i="2"/>
  <c r="V12375" i="2" s="1"/>
  <c r="P12371" i="2"/>
  <c r="V12371" i="2" s="1"/>
  <c r="P12367" i="2"/>
  <c r="V12367" i="2" s="1"/>
  <c r="P12363" i="2"/>
  <c r="V12363" i="2" s="1"/>
  <c r="P12359" i="2"/>
  <c r="V12359" i="2" s="1"/>
  <c r="P12355" i="2"/>
  <c r="V12355" i="2" s="1"/>
  <c r="P12351" i="2"/>
  <c r="V12351" i="2" s="1"/>
  <c r="P12347" i="2"/>
  <c r="V12347" i="2" s="1"/>
  <c r="P12343" i="2"/>
  <c r="V12343" i="2" s="1"/>
  <c r="P12339" i="2"/>
  <c r="V12339" i="2" s="1"/>
  <c r="P12335" i="2"/>
  <c r="V12335" i="2" s="1"/>
  <c r="P12331" i="2"/>
  <c r="V12331" i="2" s="1"/>
  <c r="P12327" i="2"/>
  <c r="V12327" i="2" s="1"/>
  <c r="P12323" i="2"/>
  <c r="V12323" i="2" s="1"/>
  <c r="P12319" i="2"/>
  <c r="V12319" i="2" s="1"/>
  <c r="P12315" i="2"/>
  <c r="V12315" i="2" s="1"/>
  <c r="P12311" i="2"/>
  <c r="V12311" i="2" s="1"/>
  <c r="P12307" i="2"/>
  <c r="V12307" i="2" s="1"/>
  <c r="P12303" i="2"/>
  <c r="V12303" i="2" s="1"/>
  <c r="P12299" i="2"/>
  <c r="V12299" i="2" s="1"/>
  <c r="P12295" i="2"/>
  <c r="V12295" i="2" s="1"/>
  <c r="P12291" i="2"/>
  <c r="V12291" i="2" s="1"/>
  <c r="P12287" i="2"/>
  <c r="V12287" i="2" s="1"/>
  <c r="P12283" i="2"/>
  <c r="V12283" i="2" s="1"/>
  <c r="P12279" i="2"/>
  <c r="V12279" i="2" s="1"/>
  <c r="P12275" i="2"/>
  <c r="V12275" i="2" s="1"/>
  <c r="P12271" i="2"/>
  <c r="V12271" i="2" s="1"/>
  <c r="P12267" i="2"/>
  <c r="V12267" i="2" s="1"/>
  <c r="P12263" i="2"/>
  <c r="V12263" i="2" s="1"/>
  <c r="P12259" i="2"/>
  <c r="V12259" i="2" s="1"/>
  <c r="P12255" i="2"/>
  <c r="V12255" i="2" s="1"/>
  <c r="P12251" i="2"/>
  <c r="V12251" i="2" s="1"/>
  <c r="P12247" i="2"/>
  <c r="V12247" i="2" s="1"/>
  <c r="P12243" i="2"/>
  <c r="V12243" i="2" s="1"/>
  <c r="P12239" i="2"/>
  <c r="V12239" i="2" s="1"/>
  <c r="P12235" i="2"/>
  <c r="V12235" i="2" s="1"/>
  <c r="P12231" i="2"/>
  <c r="V12231" i="2" s="1"/>
  <c r="P12227" i="2"/>
  <c r="V12227" i="2" s="1"/>
  <c r="P12223" i="2"/>
  <c r="V12223" i="2" s="1"/>
  <c r="P12219" i="2"/>
  <c r="V12219" i="2" s="1"/>
  <c r="P12215" i="2"/>
  <c r="V12215" i="2" s="1"/>
  <c r="P12211" i="2"/>
  <c r="V12211" i="2" s="1"/>
  <c r="P12207" i="2"/>
  <c r="V12207" i="2" s="1"/>
  <c r="P12203" i="2"/>
  <c r="V12203" i="2" s="1"/>
  <c r="P12199" i="2"/>
  <c r="V12199" i="2" s="1"/>
  <c r="P12195" i="2"/>
  <c r="V12195" i="2" s="1"/>
  <c r="P12191" i="2"/>
  <c r="V12191" i="2" s="1"/>
  <c r="P12187" i="2"/>
  <c r="V12187" i="2" s="1"/>
  <c r="P12183" i="2"/>
  <c r="V12183" i="2" s="1"/>
  <c r="P12179" i="2"/>
  <c r="V12179" i="2" s="1"/>
  <c r="P12175" i="2"/>
  <c r="V12175" i="2" s="1"/>
  <c r="P12171" i="2"/>
  <c r="V12171" i="2" s="1"/>
  <c r="P12167" i="2"/>
  <c r="V12167" i="2" s="1"/>
  <c r="P12163" i="2"/>
  <c r="V12163" i="2" s="1"/>
  <c r="P12159" i="2"/>
  <c r="V12159" i="2" s="1"/>
  <c r="P12155" i="2"/>
  <c r="V12155" i="2" s="1"/>
  <c r="P12151" i="2"/>
  <c r="V12151" i="2" s="1"/>
  <c r="P12147" i="2"/>
  <c r="V12147" i="2" s="1"/>
  <c r="P12143" i="2"/>
  <c r="V12143" i="2" s="1"/>
  <c r="P12139" i="2"/>
  <c r="V12139" i="2" s="1"/>
  <c r="P12135" i="2"/>
  <c r="V12135" i="2" s="1"/>
  <c r="P12131" i="2"/>
  <c r="V12131" i="2" s="1"/>
  <c r="P12127" i="2"/>
  <c r="V12127" i="2" s="1"/>
  <c r="P12123" i="2"/>
  <c r="V12123" i="2" s="1"/>
  <c r="P12119" i="2"/>
  <c r="V12119" i="2" s="1"/>
  <c r="P12115" i="2"/>
  <c r="V12115" i="2" s="1"/>
  <c r="P12111" i="2"/>
  <c r="V12111" i="2" s="1"/>
  <c r="P12107" i="2"/>
  <c r="V12107" i="2" s="1"/>
  <c r="P12103" i="2"/>
  <c r="V12103" i="2" s="1"/>
  <c r="P12099" i="2"/>
  <c r="V12099" i="2" s="1"/>
  <c r="P12095" i="2"/>
  <c r="V12095" i="2" s="1"/>
  <c r="P12091" i="2"/>
  <c r="V12091" i="2" s="1"/>
  <c r="P12087" i="2"/>
  <c r="V12087" i="2" s="1"/>
  <c r="P12083" i="2"/>
  <c r="V12083" i="2" s="1"/>
  <c r="P12079" i="2"/>
  <c r="V12079" i="2" s="1"/>
  <c r="P12075" i="2"/>
  <c r="V12075" i="2" s="1"/>
  <c r="P12071" i="2"/>
  <c r="V12071" i="2" s="1"/>
  <c r="P12067" i="2"/>
  <c r="V12067" i="2" s="1"/>
  <c r="P12063" i="2"/>
  <c r="V12063" i="2" s="1"/>
  <c r="P12059" i="2"/>
  <c r="V12059" i="2" s="1"/>
  <c r="P12055" i="2"/>
  <c r="V12055" i="2" s="1"/>
  <c r="P12051" i="2"/>
  <c r="V12051" i="2" s="1"/>
  <c r="P12047" i="2"/>
  <c r="V12047" i="2" s="1"/>
  <c r="P12043" i="2"/>
  <c r="V12043" i="2" s="1"/>
  <c r="P12039" i="2"/>
  <c r="V12039" i="2" s="1"/>
  <c r="P12035" i="2"/>
  <c r="V12035" i="2" s="1"/>
  <c r="P12031" i="2"/>
  <c r="V12031" i="2" s="1"/>
  <c r="P12027" i="2"/>
  <c r="V12027" i="2" s="1"/>
  <c r="P12023" i="2"/>
  <c r="V12023" i="2" s="1"/>
  <c r="P12019" i="2"/>
  <c r="V12019" i="2" s="1"/>
  <c r="P12015" i="2"/>
  <c r="V12015" i="2" s="1"/>
  <c r="P12011" i="2"/>
  <c r="V12011" i="2" s="1"/>
  <c r="P12007" i="2"/>
  <c r="V12007" i="2" s="1"/>
  <c r="P12003" i="2"/>
  <c r="V12003" i="2" s="1"/>
  <c r="P11999" i="2"/>
  <c r="V11999" i="2" s="1"/>
  <c r="P11995" i="2"/>
  <c r="V11995" i="2" s="1"/>
  <c r="P11991" i="2"/>
  <c r="V11991" i="2" s="1"/>
  <c r="P11987" i="2"/>
  <c r="V11987" i="2" s="1"/>
  <c r="P11983" i="2"/>
  <c r="V11983" i="2" s="1"/>
  <c r="P11979" i="2"/>
  <c r="V11979" i="2" s="1"/>
  <c r="P11975" i="2"/>
  <c r="V11975" i="2" s="1"/>
  <c r="P11971" i="2"/>
  <c r="V11971" i="2" s="1"/>
  <c r="P11967" i="2"/>
  <c r="V11967" i="2" s="1"/>
  <c r="P11963" i="2"/>
  <c r="V11963" i="2" s="1"/>
  <c r="P11959" i="2"/>
  <c r="V11959" i="2" s="1"/>
  <c r="P11955" i="2"/>
  <c r="V11955" i="2" s="1"/>
  <c r="P11951" i="2"/>
  <c r="V11951" i="2" s="1"/>
  <c r="P11947" i="2"/>
  <c r="V11947" i="2" s="1"/>
  <c r="P11943" i="2"/>
  <c r="V11943" i="2" s="1"/>
  <c r="P11939" i="2"/>
  <c r="V11939" i="2" s="1"/>
  <c r="P11935" i="2"/>
  <c r="V11935" i="2" s="1"/>
  <c r="P11931" i="2"/>
  <c r="V11931" i="2" s="1"/>
  <c r="P11927" i="2"/>
  <c r="V11927" i="2" s="1"/>
  <c r="P11923" i="2"/>
  <c r="V11923" i="2" s="1"/>
  <c r="P11919" i="2"/>
  <c r="V11919" i="2" s="1"/>
  <c r="P11915" i="2"/>
  <c r="V11915" i="2" s="1"/>
  <c r="P11911" i="2"/>
  <c r="V11911" i="2" s="1"/>
  <c r="P11907" i="2"/>
  <c r="V11907" i="2" s="1"/>
  <c r="P11903" i="2"/>
  <c r="V11903" i="2" s="1"/>
  <c r="P11899" i="2"/>
  <c r="V11899" i="2" s="1"/>
  <c r="P11895" i="2"/>
  <c r="V11895" i="2" s="1"/>
  <c r="P11891" i="2"/>
  <c r="V11891" i="2" s="1"/>
  <c r="P11887" i="2"/>
  <c r="V11887" i="2" s="1"/>
  <c r="P11883" i="2"/>
  <c r="V11883" i="2" s="1"/>
  <c r="P11879" i="2"/>
  <c r="V11879" i="2" s="1"/>
  <c r="P11875" i="2"/>
  <c r="V11875" i="2" s="1"/>
  <c r="P11871" i="2"/>
  <c r="V11871" i="2" s="1"/>
  <c r="P11867" i="2"/>
  <c r="V11867" i="2" s="1"/>
  <c r="P11863" i="2"/>
  <c r="V11863" i="2" s="1"/>
  <c r="P11859" i="2"/>
  <c r="V11859" i="2" s="1"/>
  <c r="P11855" i="2"/>
  <c r="V11855" i="2" s="1"/>
  <c r="P11851" i="2"/>
  <c r="V11851" i="2" s="1"/>
  <c r="P11847" i="2"/>
  <c r="V11847" i="2" s="1"/>
  <c r="P11843" i="2"/>
  <c r="V11843" i="2" s="1"/>
  <c r="P11839" i="2"/>
  <c r="V11839" i="2" s="1"/>
  <c r="P11835" i="2"/>
  <c r="V11835" i="2" s="1"/>
  <c r="P11831" i="2"/>
  <c r="V11831" i="2" s="1"/>
  <c r="P11827" i="2"/>
  <c r="V11827" i="2" s="1"/>
  <c r="P11823" i="2"/>
  <c r="V11823" i="2" s="1"/>
  <c r="P11819" i="2"/>
  <c r="V11819" i="2" s="1"/>
  <c r="P11815" i="2"/>
  <c r="V11815" i="2" s="1"/>
  <c r="P11811" i="2"/>
  <c r="V11811" i="2" s="1"/>
  <c r="P11807" i="2"/>
  <c r="V11807" i="2" s="1"/>
  <c r="P11803" i="2"/>
  <c r="V11803" i="2" s="1"/>
  <c r="P11799" i="2"/>
  <c r="V11799" i="2" s="1"/>
  <c r="P11795" i="2"/>
  <c r="V11795" i="2" s="1"/>
  <c r="P11791" i="2"/>
  <c r="V11791" i="2" s="1"/>
  <c r="P11787" i="2"/>
  <c r="V11787" i="2" s="1"/>
  <c r="P11783" i="2"/>
  <c r="V11783" i="2" s="1"/>
  <c r="P11779" i="2"/>
  <c r="V11779" i="2" s="1"/>
  <c r="P11775" i="2"/>
  <c r="V11775" i="2" s="1"/>
  <c r="P11771" i="2"/>
  <c r="V11771" i="2" s="1"/>
  <c r="P11767" i="2"/>
  <c r="V11767" i="2" s="1"/>
  <c r="P11763" i="2"/>
  <c r="V11763" i="2" s="1"/>
  <c r="P11759" i="2"/>
  <c r="V11759" i="2" s="1"/>
  <c r="P11755" i="2"/>
  <c r="V11755" i="2" s="1"/>
  <c r="P11751" i="2"/>
  <c r="V11751" i="2" s="1"/>
  <c r="P11747" i="2"/>
  <c r="V11747" i="2" s="1"/>
  <c r="P11743" i="2"/>
  <c r="V11743" i="2" s="1"/>
  <c r="P11739" i="2"/>
  <c r="V11739" i="2" s="1"/>
  <c r="P11735" i="2"/>
  <c r="V11735" i="2" s="1"/>
  <c r="P11731" i="2"/>
  <c r="V11731" i="2" s="1"/>
  <c r="P11727" i="2"/>
  <c r="V11727" i="2" s="1"/>
  <c r="P11723" i="2"/>
  <c r="V11723" i="2" s="1"/>
  <c r="P11719" i="2"/>
  <c r="V11719" i="2" s="1"/>
  <c r="P11715" i="2"/>
  <c r="V11715" i="2" s="1"/>
  <c r="P11711" i="2"/>
  <c r="V11711" i="2" s="1"/>
  <c r="P11707" i="2"/>
  <c r="V11707" i="2" s="1"/>
  <c r="P11703" i="2"/>
  <c r="V11703" i="2" s="1"/>
  <c r="P11699" i="2"/>
  <c r="V11699" i="2" s="1"/>
  <c r="P11695" i="2"/>
  <c r="V11695" i="2" s="1"/>
  <c r="P11691" i="2"/>
  <c r="V11691" i="2" s="1"/>
  <c r="P11687" i="2"/>
  <c r="V11687" i="2" s="1"/>
  <c r="P11683" i="2"/>
  <c r="V11683" i="2" s="1"/>
  <c r="P11679" i="2"/>
  <c r="V11679" i="2" s="1"/>
  <c r="P11675" i="2"/>
  <c r="V11675" i="2" s="1"/>
  <c r="P11671" i="2"/>
  <c r="V11671" i="2" s="1"/>
  <c r="P11667" i="2"/>
  <c r="V11667" i="2" s="1"/>
  <c r="P11663" i="2"/>
  <c r="V11663" i="2" s="1"/>
  <c r="P11659" i="2"/>
  <c r="V11659" i="2" s="1"/>
  <c r="P11655" i="2"/>
  <c r="V11655" i="2" s="1"/>
  <c r="P11651" i="2"/>
  <c r="V11651" i="2" s="1"/>
  <c r="P11647" i="2"/>
  <c r="V11647" i="2" s="1"/>
  <c r="P11643" i="2"/>
  <c r="V11643" i="2" s="1"/>
  <c r="P11639" i="2"/>
  <c r="V11639" i="2" s="1"/>
  <c r="P11635" i="2"/>
  <c r="V11635" i="2" s="1"/>
  <c r="P11631" i="2"/>
  <c r="V11631" i="2" s="1"/>
  <c r="P11627" i="2"/>
  <c r="V11627" i="2" s="1"/>
  <c r="P11623" i="2"/>
  <c r="V11623" i="2" s="1"/>
  <c r="P11619" i="2"/>
  <c r="V11619" i="2" s="1"/>
  <c r="P11615" i="2"/>
  <c r="V11615" i="2" s="1"/>
  <c r="P11611" i="2"/>
  <c r="V11611" i="2" s="1"/>
  <c r="P11607" i="2"/>
  <c r="V11607" i="2" s="1"/>
  <c r="P11603" i="2"/>
  <c r="V11603" i="2" s="1"/>
  <c r="P11599" i="2"/>
  <c r="V11599" i="2" s="1"/>
  <c r="P11595" i="2"/>
  <c r="V11595" i="2" s="1"/>
  <c r="P11591" i="2"/>
  <c r="V11591" i="2" s="1"/>
  <c r="P11587" i="2"/>
  <c r="V11587" i="2" s="1"/>
  <c r="P11583" i="2"/>
  <c r="V11583" i="2" s="1"/>
  <c r="P11579" i="2"/>
  <c r="V11579" i="2" s="1"/>
  <c r="P11575" i="2"/>
  <c r="V11575" i="2" s="1"/>
  <c r="P11571" i="2"/>
  <c r="V11571" i="2" s="1"/>
  <c r="P11567" i="2"/>
  <c r="V11567" i="2" s="1"/>
  <c r="P11563" i="2"/>
  <c r="V11563" i="2" s="1"/>
  <c r="P11559" i="2"/>
  <c r="V11559" i="2" s="1"/>
  <c r="P11555" i="2"/>
  <c r="V11555" i="2" s="1"/>
  <c r="P11551" i="2"/>
  <c r="V11551" i="2" s="1"/>
  <c r="P11547" i="2"/>
  <c r="V11547" i="2" s="1"/>
  <c r="P11543" i="2"/>
  <c r="V11543" i="2" s="1"/>
  <c r="P11539" i="2"/>
  <c r="V11539" i="2" s="1"/>
  <c r="P11535" i="2"/>
  <c r="V11535" i="2" s="1"/>
  <c r="P11531" i="2"/>
  <c r="V11531" i="2" s="1"/>
  <c r="P11527" i="2"/>
  <c r="V11527" i="2" s="1"/>
  <c r="P11523" i="2"/>
  <c r="V11523" i="2" s="1"/>
  <c r="P11519" i="2"/>
  <c r="V11519" i="2" s="1"/>
  <c r="P11515" i="2"/>
  <c r="V11515" i="2" s="1"/>
  <c r="P11511" i="2"/>
  <c r="V11511" i="2" s="1"/>
  <c r="P11507" i="2"/>
  <c r="V11507" i="2" s="1"/>
  <c r="P11503" i="2"/>
  <c r="V11503" i="2" s="1"/>
  <c r="P11499" i="2"/>
  <c r="V11499" i="2" s="1"/>
  <c r="P11495" i="2"/>
  <c r="V11495" i="2" s="1"/>
  <c r="P11491" i="2"/>
  <c r="V11491" i="2" s="1"/>
  <c r="P11487" i="2"/>
  <c r="V11487" i="2" s="1"/>
  <c r="P11483" i="2"/>
  <c r="V11483" i="2" s="1"/>
  <c r="P11479" i="2"/>
  <c r="V11479" i="2" s="1"/>
  <c r="P11475" i="2"/>
  <c r="V11475" i="2" s="1"/>
  <c r="P11471" i="2"/>
  <c r="V11471" i="2" s="1"/>
  <c r="P11467" i="2"/>
  <c r="V11467" i="2" s="1"/>
  <c r="P11463" i="2"/>
  <c r="V11463" i="2" s="1"/>
  <c r="P11459" i="2"/>
  <c r="V11459" i="2" s="1"/>
  <c r="P11455" i="2"/>
  <c r="V11455" i="2" s="1"/>
  <c r="P11451" i="2"/>
  <c r="V11451" i="2" s="1"/>
  <c r="P11447" i="2"/>
  <c r="V11447" i="2" s="1"/>
  <c r="P11443" i="2"/>
  <c r="V11443" i="2" s="1"/>
  <c r="P11439" i="2"/>
  <c r="V11439" i="2" s="1"/>
  <c r="P11435" i="2"/>
  <c r="V11435" i="2" s="1"/>
  <c r="P11431" i="2"/>
  <c r="V11431" i="2" s="1"/>
  <c r="P11427" i="2"/>
  <c r="V11427" i="2" s="1"/>
  <c r="P11423" i="2"/>
  <c r="V11423" i="2" s="1"/>
  <c r="P11419" i="2"/>
  <c r="V11419" i="2" s="1"/>
  <c r="P11415" i="2"/>
  <c r="V11415" i="2" s="1"/>
  <c r="P11411" i="2"/>
  <c r="V11411" i="2" s="1"/>
  <c r="P11407" i="2"/>
  <c r="V11407" i="2" s="1"/>
  <c r="P11403" i="2"/>
  <c r="V11403" i="2" s="1"/>
  <c r="P11399" i="2"/>
  <c r="V11399" i="2" s="1"/>
  <c r="P11395" i="2"/>
  <c r="V11395" i="2" s="1"/>
  <c r="P11391" i="2"/>
  <c r="V11391" i="2" s="1"/>
  <c r="P11387" i="2"/>
  <c r="V11387" i="2" s="1"/>
  <c r="P11383" i="2"/>
  <c r="V11383" i="2" s="1"/>
  <c r="P11379" i="2"/>
  <c r="V11379" i="2" s="1"/>
  <c r="P11375" i="2"/>
  <c r="V11375" i="2" s="1"/>
  <c r="P11371" i="2"/>
  <c r="V11371" i="2" s="1"/>
  <c r="P11367" i="2"/>
  <c r="V11367" i="2" s="1"/>
  <c r="P11363" i="2"/>
  <c r="V11363" i="2" s="1"/>
  <c r="P11359" i="2"/>
  <c r="V11359" i="2" s="1"/>
  <c r="P11355" i="2"/>
  <c r="V11355" i="2" s="1"/>
  <c r="P11351" i="2"/>
  <c r="V11351" i="2" s="1"/>
  <c r="P11347" i="2"/>
  <c r="V11347" i="2" s="1"/>
  <c r="P11343" i="2"/>
  <c r="V11343" i="2" s="1"/>
  <c r="P11339" i="2"/>
  <c r="V11339" i="2" s="1"/>
  <c r="P11335" i="2"/>
  <c r="V11335" i="2" s="1"/>
  <c r="P11331" i="2"/>
  <c r="V11331" i="2" s="1"/>
  <c r="P11327" i="2"/>
  <c r="V11327" i="2" s="1"/>
  <c r="P11323" i="2"/>
  <c r="V11323" i="2" s="1"/>
  <c r="P11319" i="2"/>
  <c r="V11319" i="2" s="1"/>
  <c r="P11315" i="2"/>
  <c r="V11315" i="2" s="1"/>
  <c r="P11311" i="2"/>
  <c r="V11311" i="2" s="1"/>
  <c r="P11307" i="2"/>
  <c r="V11307" i="2" s="1"/>
  <c r="P11303" i="2"/>
  <c r="V11303" i="2" s="1"/>
  <c r="P11299" i="2"/>
  <c r="V11299" i="2" s="1"/>
  <c r="P11295" i="2"/>
  <c r="V11295" i="2" s="1"/>
  <c r="P11291" i="2"/>
  <c r="V11291" i="2" s="1"/>
  <c r="P11287" i="2"/>
  <c r="V11287" i="2" s="1"/>
  <c r="P11283" i="2"/>
  <c r="V11283" i="2" s="1"/>
  <c r="P11279" i="2"/>
  <c r="V11279" i="2" s="1"/>
  <c r="P11275" i="2"/>
  <c r="V11275" i="2" s="1"/>
  <c r="P11271" i="2"/>
  <c r="V11271" i="2" s="1"/>
  <c r="P11267" i="2"/>
  <c r="V11267" i="2" s="1"/>
  <c r="P11263" i="2"/>
  <c r="V11263" i="2" s="1"/>
  <c r="P11259" i="2"/>
  <c r="V11259" i="2" s="1"/>
  <c r="P11255" i="2"/>
  <c r="V11255" i="2" s="1"/>
  <c r="P11251" i="2"/>
  <c r="V11251" i="2" s="1"/>
  <c r="P11247" i="2"/>
  <c r="V11247" i="2" s="1"/>
  <c r="P11243" i="2"/>
  <c r="V11243" i="2" s="1"/>
  <c r="P11239" i="2"/>
  <c r="V11239" i="2" s="1"/>
  <c r="P11235" i="2"/>
  <c r="V11235" i="2" s="1"/>
  <c r="P11231" i="2"/>
  <c r="V11231" i="2" s="1"/>
  <c r="P11227" i="2"/>
  <c r="V11227" i="2" s="1"/>
  <c r="P11223" i="2"/>
  <c r="V11223" i="2" s="1"/>
  <c r="P11219" i="2"/>
  <c r="V11219" i="2" s="1"/>
  <c r="P11215" i="2"/>
  <c r="V11215" i="2" s="1"/>
  <c r="P11211" i="2"/>
  <c r="V11211" i="2" s="1"/>
  <c r="P11207" i="2"/>
  <c r="V11207" i="2" s="1"/>
  <c r="P11203" i="2"/>
  <c r="V11203" i="2" s="1"/>
  <c r="P11199" i="2"/>
  <c r="V11199" i="2" s="1"/>
  <c r="P11195" i="2"/>
  <c r="V11195" i="2" s="1"/>
  <c r="P11191" i="2"/>
  <c r="V11191" i="2" s="1"/>
  <c r="P11187" i="2"/>
  <c r="V11187" i="2" s="1"/>
  <c r="P11183" i="2"/>
  <c r="V11183" i="2" s="1"/>
  <c r="P11179" i="2"/>
  <c r="V11179" i="2" s="1"/>
  <c r="P11175" i="2"/>
  <c r="V11175" i="2" s="1"/>
  <c r="P11171" i="2"/>
  <c r="V11171" i="2" s="1"/>
  <c r="P11167" i="2"/>
  <c r="V11167" i="2" s="1"/>
  <c r="P11163" i="2"/>
  <c r="V11163" i="2" s="1"/>
  <c r="P11159" i="2"/>
  <c r="V11159" i="2" s="1"/>
  <c r="P11155" i="2"/>
  <c r="V11155" i="2" s="1"/>
  <c r="P11151" i="2"/>
  <c r="V11151" i="2" s="1"/>
  <c r="P11147" i="2"/>
  <c r="V11147" i="2" s="1"/>
  <c r="P11143" i="2"/>
  <c r="V11143" i="2" s="1"/>
  <c r="P11139" i="2"/>
  <c r="V11139" i="2" s="1"/>
  <c r="P11135" i="2"/>
  <c r="V11135" i="2" s="1"/>
  <c r="P11131" i="2"/>
  <c r="V11131" i="2" s="1"/>
  <c r="P11127" i="2"/>
  <c r="V11127" i="2" s="1"/>
  <c r="P11123" i="2"/>
  <c r="V11123" i="2" s="1"/>
  <c r="P11119" i="2"/>
  <c r="V11119" i="2" s="1"/>
  <c r="P11115" i="2"/>
  <c r="V11115" i="2" s="1"/>
  <c r="P11111" i="2"/>
  <c r="V11111" i="2" s="1"/>
  <c r="P11107" i="2"/>
  <c r="V11107" i="2" s="1"/>
  <c r="P11103" i="2"/>
  <c r="V11103" i="2" s="1"/>
  <c r="P11099" i="2"/>
  <c r="V11099" i="2" s="1"/>
  <c r="P11095" i="2"/>
  <c r="V11095" i="2" s="1"/>
  <c r="P11091" i="2"/>
  <c r="V11091" i="2" s="1"/>
  <c r="P11087" i="2"/>
  <c r="V11087" i="2" s="1"/>
  <c r="P11083" i="2"/>
  <c r="V11083" i="2" s="1"/>
  <c r="P11079" i="2"/>
  <c r="V11079" i="2" s="1"/>
  <c r="P11075" i="2"/>
  <c r="V11075" i="2" s="1"/>
  <c r="P11071" i="2"/>
  <c r="V11071" i="2" s="1"/>
  <c r="P11067" i="2"/>
  <c r="V11067" i="2" s="1"/>
  <c r="P11063" i="2"/>
  <c r="V11063" i="2" s="1"/>
  <c r="P11059" i="2"/>
  <c r="V11059" i="2" s="1"/>
  <c r="P11055" i="2"/>
  <c r="V11055" i="2" s="1"/>
  <c r="P11051" i="2"/>
  <c r="V11051" i="2" s="1"/>
  <c r="P11047" i="2"/>
  <c r="V11047" i="2" s="1"/>
  <c r="P11043" i="2"/>
  <c r="V11043" i="2" s="1"/>
  <c r="P11039" i="2"/>
  <c r="V11039" i="2" s="1"/>
  <c r="P11035" i="2"/>
  <c r="V11035" i="2" s="1"/>
  <c r="P11031" i="2"/>
  <c r="V11031" i="2" s="1"/>
  <c r="P11027" i="2"/>
  <c r="V11027" i="2" s="1"/>
  <c r="P11023" i="2"/>
  <c r="V11023" i="2" s="1"/>
  <c r="P11019" i="2"/>
  <c r="V11019" i="2" s="1"/>
  <c r="P11015" i="2"/>
  <c r="V11015" i="2" s="1"/>
  <c r="P11011" i="2"/>
  <c r="V11011" i="2" s="1"/>
  <c r="P11007" i="2"/>
  <c r="V11007" i="2" s="1"/>
  <c r="P11003" i="2"/>
  <c r="V11003" i="2" s="1"/>
  <c r="P10999" i="2"/>
  <c r="V10999" i="2" s="1"/>
  <c r="P10995" i="2"/>
  <c r="V10995" i="2" s="1"/>
  <c r="P10991" i="2"/>
  <c r="V10991" i="2" s="1"/>
  <c r="P10987" i="2"/>
  <c r="V10987" i="2" s="1"/>
  <c r="P10983" i="2"/>
  <c r="V10983" i="2" s="1"/>
  <c r="P10979" i="2"/>
  <c r="V10979" i="2" s="1"/>
  <c r="P10975" i="2"/>
  <c r="V10975" i="2" s="1"/>
  <c r="P10971" i="2"/>
  <c r="V10971" i="2" s="1"/>
  <c r="P10967" i="2"/>
  <c r="V10967" i="2" s="1"/>
  <c r="P10963" i="2"/>
  <c r="V10963" i="2" s="1"/>
  <c r="P10959" i="2"/>
  <c r="V10959" i="2" s="1"/>
  <c r="P10955" i="2"/>
  <c r="V10955" i="2" s="1"/>
  <c r="P10951" i="2"/>
  <c r="V10951" i="2" s="1"/>
  <c r="P10947" i="2"/>
  <c r="V10947" i="2" s="1"/>
  <c r="P10943" i="2"/>
  <c r="V10943" i="2" s="1"/>
  <c r="P10939" i="2"/>
  <c r="V10939" i="2" s="1"/>
  <c r="P10935" i="2"/>
  <c r="V10935" i="2" s="1"/>
  <c r="P10931" i="2"/>
  <c r="V10931" i="2" s="1"/>
  <c r="P10927" i="2"/>
  <c r="V10927" i="2" s="1"/>
  <c r="P10923" i="2"/>
  <c r="V10923" i="2" s="1"/>
  <c r="P10919" i="2"/>
  <c r="V10919" i="2" s="1"/>
  <c r="P10915" i="2"/>
  <c r="V10915" i="2" s="1"/>
  <c r="P10911" i="2"/>
  <c r="V10911" i="2" s="1"/>
  <c r="P10907" i="2"/>
  <c r="V10907" i="2" s="1"/>
  <c r="P10903" i="2"/>
  <c r="V10903" i="2" s="1"/>
  <c r="P10899" i="2"/>
  <c r="V10899" i="2" s="1"/>
  <c r="P10895" i="2"/>
  <c r="V10895" i="2" s="1"/>
  <c r="P10891" i="2"/>
  <c r="V10891" i="2" s="1"/>
  <c r="P10887" i="2"/>
  <c r="V10887" i="2" s="1"/>
  <c r="P10883" i="2"/>
  <c r="V10883" i="2" s="1"/>
  <c r="P10879" i="2"/>
  <c r="V10879" i="2" s="1"/>
  <c r="P10875" i="2"/>
  <c r="V10875" i="2" s="1"/>
  <c r="P10871" i="2"/>
  <c r="V10871" i="2" s="1"/>
  <c r="P10867" i="2"/>
  <c r="V10867" i="2" s="1"/>
  <c r="P10863" i="2"/>
  <c r="V10863" i="2" s="1"/>
  <c r="P10859" i="2"/>
  <c r="V10859" i="2" s="1"/>
  <c r="P10855" i="2"/>
  <c r="V10855" i="2" s="1"/>
  <c r="P10851" i="2"/>
  <c r="V10851" i="2" s="1"/>
  <c r="P10847" i="2"/>
  <c r="V10847" i="2" s="1"/>
  <c r="P10843" i="2"/>
  <c r="V10843" i="2" s="1"/>
  <c r="P10839" i="2"/>
  <c r="V10839" i="2" s="1"/>
  <c r="P10835" i="2"/>
  <c r="V10835" i="2" s="1"/>
  <c r="P10831" i="2"/>
  <c r="V10831" i="2" s="1"/>
  <c r="P10827" i="2"/>
  <c r="V10827" i="2" s="1"/>
  <c r="P10823" i="2"/>
  <c r="V10823" i="2" s="1"/>
  <c r="P10819" i="2"/>
  <c r="V10819" i="2" s="1"/>
  <c r="P10815" i="2"/>
  <c r="V10815" i="2" s="1"/>
  <c r="P10811" i="2"/>
  <c r="V10811" i="2" s="1"/>
  <c r="P10807" i="2"/>
  <c r="V10807" i="2" s="1"/>
  <c r="P10803" i="2"/>
  <c r="V10803" i="2" s="1"/>
  <c r="P10799" i="2"/>
  <c r="V10799" i="2" s="1"/>
  <c r="P10795" i="2"/>
  <c r="V10795" i="2" s="1"/>
  <c r="P10791" i="2"/>
  <c r="V10791" i="2" s="1"/>
  <c r="P10787" i="2"/>
  <c r="V10787" i="2" s="1"/>
  <c r="P10783" i="2"/>
  <c r="V10783" i="2" s="1"/>
  <c r="P10779" i="2"/>
  <c r="V10779" i="2" s="1"/>
  <c r="P10775" i="2"/>
  <c r="V10775" i="2" s="1"/>
  <c r="P10771" i="2"/>
  <c r="V10771" i="2" s="1"/>
  <c r="P10767" i="2"/>
  <c r="V10767" i="2" s="1"/>
  <c r="P10763" i="2"/>
  <c r="V10763" i="2" s="1"/>
  <c r="P10759" i="2"/>
  <c r="V10759" i="2" s="1"/>
  <c r="P10755" i="2"/>
  <c r="V10755" i="2" s="1"/>
  <c r="P10751" i="2"/>
  <c r="V10751" i="2" s="1"/>
  <c r="P10747" i="2"/>
  <c r="V10747" i="2" s="1"/>
  <c r="P10743" i="2"/>
  <c r="V10743" i="2" s="1"/>
  <c r="P10739" i="2"/>
  <c r="V10739" i="2" s="1"/>
  <c r="P10735" i="2"/>
  <c r="V10735" i="2" s="1"/>
  <c r="P10731" i="2"/>
  <c r="V10731" i="2" s="1"/>
  <c r="P10727" i="2"/>
  <c r="V10727" i="2" s="1"/>
  <c r="P10723" i="2"/>
  <c r="V10723" i="2" s="1"/>
  <c r="P10719" i="2"/>
  <c r="V10719" i="2" s="1"/>
  <c r="P10715" i="2"/>
  <c r="V10715" i="2" s="1"/>
  <c r="P10711" i="2"/>
  <c r="V10711" i="2" s="1"/>
  <c r="P10707" i="2"/>
  <c r="V10707" i="2" s="1"/>
  <c r="P10703" i="2"/>
  <c r="V10703" i="2" s="1"/>
  <c r="P10699" i="2"/>
  <c r="V10699" i="2" s="1"/>
  <c r="P10695" i="2"/>
  <c r="V10695" i="2" s="1"/>
  <c r="P10691" i="2"/>
  <c r="V10691" i="2" s="1"/>
  <c r="P10687" i="2"/>
  <c r="V10687" i="2" s="1"/>
  <c r="P10683" i="2"/>
  <c r="V10683" i="2" s="1"/>
  <c r="P10679" i="2"/>
  <c r="V10679" i="2" s="1"/>
  <c r="P10675" i="2"/>
  <c r="V10675" i="2" s="1"/>
  <c r="P10671" i="2"/>
  <c r="V10671" i="2" s="1"/>
  <c r="P10667" i="2"/>
  <c r="V10667" i="2" s="1"/>
  <c r="P10663" i="2"/>
  <c r="V10663" i="2" s="1"/>
  <c r="P10659" i="2"/>
  <c r="V10659" i="2" s="1"/>
  <c r="P10655" i="2"/>
  <c r="V10655" i="2" s="1"/>
  <c r="P10651" i="2"/>
  <c r="V10651" i="2" s="1"/>
  <c r="P10647" i="2"/>
  <c r="V10647" i="2" s="1"/>
  <c r="P10643" i="2"/>
  <c r="V10643" i="2" s="1"/>
  <c r="P10639" i="2"/>
  <c r="V10639" i="2" s="1"/>
  <c r="P10635" i="2"/>
  <c r="V10635" i="2" s="1"/>
  <c r="P10631" i="2"/>
  <c r="V10631" i="2" s="1"/>
  <c r="P10627" i="2"/>
  <c r="V10627" i="2" s="1"/>
  <c r="P10623" i="2"/>
  <c r="V10623" i="2" s="1"/>
  <c r="P10619" i="2"/>
  <c r="V10619" i="2" s="1"/>
  <c r="P10615" i="2"/>
  <c r="V10615" i="2" s="1"/>
  <c r="P10611" i="2"/>
  <c r="V10611" i="2" s="1"/>
  <c r="P10607" i="2"/>
  <c r="V10607" i="2" s="1"/>
  <c r="P10603" i="2"/>
  <c r="V10603" i="2" s="1"/>
  <c r="P10599" i="2"/>
  <c r="V10599" i="2" s="1"/>
  <c r="P10595" i="2"/>
  <c r="V10595" i="2" s="1"/>
  <c r="P10591" i="2"/>
  <c r="V10591" i="2" s="1"/>
  <c r="P10587" i="2"/>
  <c r="V10587" i="2" s="1"/>
  <c r="P10583" i="2"/>
  <c r="V10583" i="2" s="1"/>
  <c r="P10579" i="2"/>
  <c r="V10579" i="2" s="1"/>
  <c r="P10575" i="2"/>
  <c r="V10575" i="2" s="1"/>
  <c r="P10571" i="2"/>
  <c r="V10571" i="2" s="1"/>
  <c r="P10567" i="2"/>
  <c r="V10567" i="2" s="1"/>
  <c r="P10563" i="2"/>
  <c r="V10563" i="2" s="1"/>
  <c r="P10559" i="2"/>
  <c r="V10559" i="2" s="1"/>
  <c r="P10555" i="2"/>
  <c r="V10555" i="2" s="1"/>
  <c r="P10551" i="2"/>
  <c r="V10551" i="2" s="1"/>
  <c r="P10547" i="2"/>
  <c r="V10547" i="2" s="1"/>
  <c r="P10543" i="2"/>
  <c r="V10543" i="2" s="1"/>
  <c r="P10539" i="2"/>
  <c r="V10539" i="2" s="1"/>
  <c r="P10535" i="2"/>
  <c r="V10535" i="2" s="1"/>
  <c r="P10531" i="2"/>
  <c r="V10531" i="2" s="1"/>
  <c r="P10527" i="2"/>
  <c r="V10527" i="2" s="1"/>
  <c r="P10523" i="2"/>
  <c r="V10523" i="2" s="1"/>
  <c r="P10519" i="2"/>
  <c r="V10519" i="2" s="1"/>
  <c r="P10515" i="2"/>
  <c r="V10515" i="2" s="1"/>
  <c r="P10511" i="2"/>
  <c r="V10511" i="2" s="1"/>
  <c r="P10507" i="2"/>
  <c r="V10507" i="2" s="1"/>
  <c r="P10503" i="2"/>
  <c r="V10503" i="2" s="1"/>
  <c r="P10499" i="2"/>
  <c r="V10499" i="2" s="1"/>
  <c r="P10495" i="2"/>
  <c r="V10495" i="2" s="1"/>
  <c r="P10491" i="2"/>
  <c r="V10491" i="2" s="1"/>
  <c r="P10487" i="2"/>
  <c r="V10487" i="2" s="1"/>
  <c r="P10483" i="2"/>
  <c r="V10483" i="2" s="1"/>
  <c r="P10479" i="2"/>
  <c r="V10479" i="2" s="1"/>
  <c r="P10475" i="2"/>
  <c r="V10475" i="2" s="1"/>
  <c r="P10471" i="2"/>
  <c r="V10471" i="2" s="1"/>
  <c r="P10467" i="2"/>
  <c r="V10467" i="2" s="1"/>
  <c r="P10463" i="2"/>
  <c r="V10463" i="2" s="1"/>
  <c r="P10459" i="2"/>
  <c r="V10459" i="2" s="1"/>
  <c r="P10455" i="2"/>
  <c r="V10455" i="2" s="1"/>
  <c r="P10451" i="2"/>
  <c r="V10451" i="2" s="1"/>
  <c r="P10447" i="2"/>
  <c r="V10447" i="2" s="1"/>
  <c r="P10443" i="2"/>
  <c r="V10443" i="2" s="1"/>
  <c r="P10439" i="2"/>
  <c r="V10439" i="2" s="1"/>
  <c r="P10435" i="2"/>
  <c r="V10435" i="2" s="1"/>
  <c r="P10431" i="2"/>
  <c r="V10431" i="2" s="1"/>
  <c r="P10427" i="2"/>
  <c r="V10427" i="2" s="1"/>
  <c r="P10423" i="2"/>
  <c r="V10423" i="2" s="1"/>
  <c r="P10419" i="2"/>
  <c r="V10419" i="2" s="1"/>
  <c r="P10415" i="2"/>
  <c r="V10415" i="2" s="1"/>
  <c r="P10411" i="2"/>
  <c r="V10411" i="2" s="1"/>
  <c r="P10407" i="2"/>
  <c r="V10407" i="2" s="1"/>
  <c r="P10403" i="2"/>
  <c r="V10403" i="2" s="1"/>
  <c r="P10399" i="2"/>
  <c r="V10399" i="2" s="1"/>
  <c r="P10395" i="2"/>
  <c r="V10395" i="2" s="1"/>
  <c r="P10391" i="2"/>
  <c r="V10391" i="2" s="1"/>
  <c r="P10387" i="2"/>
  <c r="V10387" i="2" s="1"/>
  <c r="P10383" i="2"/>
  <c r="V10383" i="2" s="1"/>
  <c r="P10379" i="2"/>
  <c r="V10379" i="2" s="1"/>
  <c r="P10375" i="2"/>
  <c r="V10375" i="2" s="1"/>
  <c r="P10371" i="2"/>
  <c r="V10371" i="2" s="1"/>
  <c r="P10367" i="2"/>
  <c r="V10367" i="2" s="1"/>
  <c r="P10363" i="2"/>
  <c r="V10363" i="2" s="1"/>
  <c r="P10359" i="2"/>
  <c r="V10359" i="2" s="1"/>
  <c r="P10355" i="2"/>
  <c r="V10355" i="2" s="1"/>
  <c r="P10351" i="2"/>
  <c r="V10351" i="2" s="1"/>
  <c r="P10347" i="2"/>
  <c r="V10347" i="2" s="1"/>
  <c r="P10343" i="2"/>
  <c r="V10343" i="2" s="1"/>
  <c r="P10339" i="2"/>
  <c r="V10339" i="2" s="1"/>
  <c r="P10335" i="2"/>
  <c r="V10335" i="2" s="1"/>
  <c r="P10331" i="2"/>
  <c r="V10331" i="2" s="1"/>
  <c r="P10327" i="2"/>
  <c r="V10327" i="2" s="1"/>
  <c r="P10323" i="2"/>
  <c r="V10323" i="2" s="1"/>
  <c r="P10319" i="2"/>
  <c r="V10319" i="2" s="1"/>
  <c r="P10315" i="2"/>
  <c r="V10315" i="2" s="1"/>
  <c r="P10311" i="2"/>
  <c r="V10311" i="2" s="1"/>
  <c r="P10307" i="2"/>
  <c r="V10307" i="2" s="1"/>
  <c r="P10303" i="2"/>
  <c r="V10303" i="2" s="1"/>
  <c r="P10299" i="2"/>
  <c r="V10299" i="2" s="1"/>
  <c r="P10295" i="2"/>
  <c r="V10295" i="2" s="1"/>
  <c r="P10291" i="2"/>
  <c r="V10291" i="2" s="1"/>
  <c r="P10287" i="2"/>
  <c r="V10287" i="2" s="1"/>
  <c r="P10283" i="2"/>
  <c r="V10283" i="2" s="1"/>
  <c r="P10279" i="2"/>
  <c r="V10279" i="2" s="1"/>
  <c r="P10275" i="2"/>
  <c r="V10275" i="2" s="1"/>
  <c r="P10271" i="2"/>
  <c r="V10271" i="2" s="1"/>
  <c r="P10267" i="2"/>
  <c r="V10267" i="2" s="1"/>
  <c r="P10263" i="2"/>
  <c r="V10263" i="2" s="1"/>
  <c r="P10259" i="2"/>
  <c r="V10259" i="2" s="1"/>
  <c r="P10255" i="2"/>
  <c r="V10255" i="2" s="1"/>
  <c r="P10251" i="2"/>
  <c r="V10251" i="2" s="1"/>
  <c r="P10247" i="2"/>
  <c r="V10247" i="2" s="1"/>
  <c r="P10243" i="2"/>
  <c r="V10243" i="2" s="1"/>
  <c r="P10239" i="2"/>
  <c r="V10239" i="2" s="1"/>
  <c r="P10235" i="2"/>
  <c r="V10235" i="2" s="1"/>
  <c r="P10231" i="2"/>
  <c r="V10231" i="2" s="1"/>
  <c r="P10227" i="2"/>
  <c r="V10227" i="2" s="1"/>
  <c r="P10223" i="2"/>
  <c r="V10223" i="2" s="1"/>
  <c r="P10219" i="2"/>
  <c r="V10219" i="2" s="1"/>
  <c r="P10215" i="2"/>
  <c r="V10215" i="2" s="1"/>
  <c r="P10211" i="2"/>
  <c r="V10211" i="2" s="1"/>
  <c r="P10207" i="2"/>
  <c r="V10207" i="2" s="1"/>
  <c r="P10203" i="2"/>
  <c r="V10203" i="2" s="1"/>
  <c r="P10199" i="2"/>
  <c r="V10199" i="2" s="1"/>
  <c r="P10195" i="2"/>
  <c r="V10195" i="2" s="1"/>
  <c r="P10191" i="2"/>
  <c r="V10191" i="2" s="1"/>
  <c r="P10187" i="2"/>
  <c r="V10187" i="2" s="1"/>
  <c r="P10183" i="2"/>
  <c r="V10183" i="2" s="1"/>
  <c r="P10179" i="2"/>
  <c r="V10179" i="2" s="1"/>
  <c r="P10175" i="2"/>
  <c r="V10175" i="2" s="1"/>
  <c r="P10171" i="2"/>
  <c r="V10171" i="2" s="1"/>
  <c r="P10167" i="2"/>
  <c r="V10167" i="2" s="1"/>
  <c r="P10163" i="2"/>
  <c r="V10163" i="2" s="1"/>
  <c r="P10159" i="2"/>
  <c r="V10159" i="2" s="1"/>
  <c r="P10155" i="2"/>
  <c r="V10155" i="2" s="1"/>
  <c r="P10151" i="2"/>
  <c r="V10151" i="2" s="1"/>
  <c r="P10147" i="2"/>
  <c r="V10147" i="2" s="1"/>
  <c r="P10143" i="2"/>
  <c r="V10143" i="2" s="1"/>
  <c r="P10139" i="2"/>
  <c r="V10139" i="2" s="1"/>
  <c r="P10135" i="2"/>
  <c r="V10135" i="2" s="1"/>
  <c r="P10131" i="2"/>
  <c r="V10131" i="2" s="1"/>
  <c r="P10127" i="2"/>
  <c r="V10127" i="2" s="1"/>
  <c r="P10123" i="2"/>
  <c r="V10123" i="2" s="1"/>
  <c r="P10119" i="2"/>
  <c r="V10119" i="2" s="1"/>
  <c r="P10115" i="2"/>
  <c r="V10115" i="2" s="1"/>
  <c r="P10111" i="2"/>
  <c r="V10111" i="2" s="1"/>
  <c r="P10107" i="2"/>
  <c r="V10107" i="2" s="1"/>
  <c r="P10103" i="2"/>
  <c r="V10103" i="2" s="1"/>
  <c r="P10099" i="2"/>
  <c r="V10099" i="2" s="1"/>
  <c r="P10095" i="2"/>
  <c r="V10095" i="2" s="1"/>
  <c r="P10091" i="2"/>
  <c r="V10091" i="2" s="1"/>
  <c r="P10087" i="2"/>
  <c r="V10087" i="2" s="1"/>
  <c r="P10083" i="2"/>
  <c r="V10083" i="2" s="1"/>
  <c r="P10079" i="2"/>
  <c r="V10079" i="2" s="1"/>
  <c r="P10075" i="2"/>
  <c r="V10075" i="2" s="1"/>
  <c r="P10071" i="2"/>
  <c r="V10071" i="2" s="1"/>
  <c r="P10067" i="2"/>
  <c r="V10067" i="2" s="1"/>
  <c r="P10063" i="2"/>
  <c r="V10063" i="2" s="1"/>
  <c r="P10059" i="2"/>
  <c r="V10059" i="2" s="1"/>
  <c r="P10055" i="2"/>
  <c r="V10055" i="2" s="1"/>
  <c r="P10051" i="2"/>
  <c r="V10051" i="2" s="1"/>
  <c r="P10047" i="2"/>
  <c r="V10047" i="2" s="1"/>
  <c r="P10043" i="2"/>
  <c r="V10043" i="2" s="1"/>
  <c r="P10039" i="2"/>
  <c r="V10039" i="2" s="1"/>
  <c r="P10035" i="2"/>
  <c r="V10035" i="2" s="1"/>
  <c r="P10031" i="2"/>
  <c r="V10031" i="2" s="1"/>
  <c r="P10027" i="2"/>
  <c r="V10027" i="2" s="1"/>
  <c r="P10023" i="2"/>
  <c r="V10023" i="2" s="1"/>
  <c r="P10019" i="2"/>
  <c r="V10019" i="2" s="1"/>
  <c r="P10015" i="2"/>
  <c r="V10015" i="2" s="1"/>
  <c r="P10011" i="2"/>
  <c r="V10011" i="2" s="1"/>
  <c r="P10007" i="2"/>
  <c r="V10007" i="2" s="1"/>
  <c r="P10003" i="2"/>
  <c r="V10003" i="2" s="1"/>
  <c r="P9999" i="2"/>
  <c r="V9999" i="2" s="1"/>
  <c r="P9995" i="2"/>
  <c r="V9995" i="2" s="1"/>
  <c r="P9991" i="2"/>
  <c r="V9991" i="2" s="1"/>
  <c r="P9987" i="2"/>
  <c r="V9987" i="2" s="1"/>
  <c r="P9983" i="2"/>
  <c r="V9983" i="2" s="1"/>
  <c r="P9979" i="2"/>
  <c r="V9979" i="2" s="1"/>
  <c r="P9975" i="2"/>
  <c r="V9975" i="2" s="1"/>
  <c r="P9971" i="2"/>
  <c r="V9971" i="2" s="1"/>
  <c r="P9967" i="2"/>
  <c r="V9967" i="2" s="1"/>
  <c r="P9963" i="2"/>
  <c r="V9963" i="2" s="1"/>
  <c r="P9959" i="2"/>
  <c r="V9959" i="2" s="1"/>
  <c r="P9955" i="2"/>
  <c r="V9955" i="2" s="1"/>
  <c r="P9951" i="2"/>
  <c r="V9951" i="2" s="1"/>
  <c r="P9947" i="2"/>
  <c r="V9947" i="2" s="1"/>
  <c r="P9943" i="2"/>
  <c r="V9943" i="2" s="1"/>
  <c r="P9939" i="2"/>
  <c r="V9939" i="2" s="1"/>
  <c r="P9935" i="2"/>
  <c r="V9935" i="2" s="1"/>
  <c r="P9931" i="2"/>
  <c r="V9931" i="2" s="1"/>
  <c r="P9927" i="2"/>
  <c r="V9927" i="2" s="1"/>
  <c r="P9923" i="2"/>
  <c r="V9923" i="2" s="1"/>
  <c r="P9919" i="2"/>
  <c r="V9919" i="2" s="1"/>
  <c r="P9915" i="2"/>
  <c r="V9915" i="2" s="1"/>
  <c r="P9911" i="2"/>
  <c r="V9911" i="2" s="1"/>
  <c r="P9907" i="2"/>
  <c r="V9907" i="2" s="1"/>
  <c r="P9903" i="2"/>
  <c r="V9903" i="2" s="1"/>
  <c r="P9899" i="2"/>
  <c r="V9899" i="2" s="1"/>
  <c r="P9895" i="2"/>
  <c r="V9895" i="2" s="1"/>
  <c r="P9891" i="2"/>
  <c r="V9891" i="2" s="1"/>
  <c r="P9887" i="2"/>
  <c r="V9887" i="2" s="1"/>
  <c r="P9883" i="2"/>
  <c r="V9883" i="2" s="1"/>
  <c r="P9879" i="2"/>
  <c r="V9879" i="2" s="1"/>
  <c r="P9875" i="2"/>
  <c r="V9875" i="2" s="1"/>
  <c r="P9871" i="2"/>
  <c r="V9871" i="2" s="1"/>
  <c r="P9867" i="2"/>
  <c r="V9867" i="2" s="1"/>
  <c r="P9863" i="2"/>
  <c r="V9863" i="2" s="1"/>
  <c r="P9859" i="2"/>
  <c r="V9859" i="2" s="1"/>
  <c r="P9855" i="2"/>
  <c r="V9855" i="2" s="1"/>
  <c r="P9851" i="2"/>
  <c r="V9851" i="2" s="1"/>
  <c r="P9847" i="2"/>
  <c r="V9847" i="2" s="1"/>
  <c r="P9843" i="2"/>
  <c r="V9843" i="2" s="1"/>
  <c r="P9839" i="2"/>
  <c r="V9839" i="2" s="1"/>
  <c r="P9835" i="2"/>
  <c r="V9835" i="2" s="1"/>
  <c r="P9831" i="2"/>
  <c r="V9831" i="2" s="1"/>
  <c r="P9827" i="2"/>
  <c r="V9827" i="2" s="1"/>
  <c r="P9823" i="2"/>
  <c r="V9823" i="2" s="1"/>
  <c r="P9819" i="2"/>
  <c r="V9819" i="2" s="1"/>
  <c r="P9815" i="2"/>
  <c r="V9815" i="2" s="1"/>
  <c r="P9811" i="2"/>
  <c r="V9811" i="2" s="1"/>
  <c r="P9807" i="2"/>
  <c r="V9807" i="2" s="1"/>
  <c r="P9803" i="2"/>
  <c r="V9803" i="2" s="1"/>
  <c r="P9799" i="2"/>
  <c r="V9799" i="2" s="1"/>
  <c r="P9795" i="2"/>
  <c r="V9795" i="2" s="1"/>
  <c r="P9791" i="2"/>
  <c r="V9791" i="2" s="1"/>
  <c r="P9787" i="2"/>
  <c r="V9787" i="2" s="1"/>
  <c r="P9783" i="2"/>
  <c r="V9783" i="2" s="1"/>
  <c r="P9779" i="2"/>
  <c r="V9779" i="2" s="1"/>
  <c r="P9775" i="2"/>
  <c r="V9775" i="2" s="1"/>
  <c r="P9771" i="2"/>
  <c r="V9771" i="2" s="1"/>
  <c r="P9767" i="2"/>
  <c r="V9767" i="2" s="1"/>
  <c r="P9763" i="2"/>
  <c r="V9763" i="2" s="1"/>
  <c r="P9759" i="2"/>
  <c r="V9759" i="2" s="1"/>
  <c r="P9755" i="2"/>
  <c r="V9755" i="2" s="1"/>
  <c r="P9751" i="2"/>
  <c r="V9751" i="2" s="1"/>
  <c r="P9747" i="2"/>
  <c r="V9747" i="2" s="1"/>
  <c r="P9743" i="2"/>
  <c r="V9743" i="2" s="1"/>
  <c r="P9739" i="2"/>
  <c r="V9739" i="2" s="1"/>
  <c r="P9735" i="2"/>
  <c r="V9735" i="2" s="1"/>
  <c r="P9731" i="2"/>
  <c r="V9731" i="2" s="1"/>
  <c r="P9727" i="2"/>
  <c r="V9727" i="2" s="1"/>
  <c r="P9723" i="2"/>
  <c r="V9723" i="2" s="1"/>
  <c r="P9719" i="2"/>
  <c r="V9719" i="2" s="1"/>
  <c r="P9715" i="2"/>
  <c r="V9715" i="2" s="1"/>
  <c r="P9711" i="2"/>
  <c r="V9711" i="2" s="1"/>
  <c r="P9707" i="2"/>
  <c r="V9707" i="2" s="1"/>
  <c r="P9703" i="2"/>
  <c r="V9703" i="2" s="1"/>
  <c r="P9699" i="2"/>
  <c r="V9699" i="2" s="1"/>
  <c r="P9695" i="2"/>
  <c r="V9695" i="2" s="1"/>
  <c r="P9691" i="2"/>
  <c r="V9691" i="2" s="1"/>
  <c r="P9687" i="2"/>
  <c r="V9687" i="2" s="1"/>
  <c r="P9683" i="2"/>
  <c r="V9683" i="2" s="1"/>
  <c r="P9679" i="2"/>
  <c r="V9679" i="2" s="1"/>
  <c r="P9675" i="2"/>
  <c r="V9675" i="2" s="1"/>
  <c r="P9671" i="2"/>
  <c r="V9671" i="2" s="1"/>
  <c r="P9667" i="2"/>
  <c r="V9667" i="2" s="1"/>
  <c r="P9663" i="2"/>
  <c r="V9663" i="2" s="1"/>
  <c r="P9659" i="2"/>
  <c r="V9659" i="2" s="1"/>
  <c r="P9655" i="2"/>
  <c r="V9655" i="2" s="1"/>
  <c r="P9651" i="2"/>
  <c r="V9651" i="2" s="1"/>
  <c r="P9647" i="2"/>
  <c r="V9647" i="2" s="1"/>
  <c r="P9643" i="2"/>
  <c r="V9643" i="2" s="1"/>
  <c r="P9639" i="2"/>
  <c r="V9639" i="2" s="1"/>
  <c r="P9635" i="2"/>
  <c r="V9635" i="2" s="1"/>
  <c r="P9631" i="2"/>
  <c r="V9631" i="2" s="1"/>
  <c r="P9627" i="2"/>
  <c r="V9627" i="2" s="1"/>
  <c r="P9623" i="2"/>
  <c r="V9623" i="2" s="1"/>
  <c r="P9619" i="2"/>
  <c r="V9619" i="2" s="1"/>
  <c r="P9615" i="2"/>
  <c r="V9615" i="2" s="1"/>
  <c r="P9611" i="2"/>
  <c r="V9611" i="2" s="1"/>
  <c r="P9607" i="2"/>
  <c r="V9607" i="2" s="1"/>
  <c r="P9603" i="2"/>
  <c r="V9603" i="2" s="1"/>
  <c r="P9599" i="2"/>
  <c r="V9599" i="2" s="1"/>
  <c r="P9595" i="2"/>
  <c r="V9595" i="2" s="1"/>
  <c r="P9591" i="2"/>
  <c r="V9591" i="2" s="1"/>
  <c r="P9587" i="2"/>
  <c r="V9587" i="2" s="1"/>
  <c r="P9583" i="2"/>
  <c r="V9583" i="2" s="1"/>
  <c r="P9579" i="2"/>
  <c r="V9579" i="2" s="1"/>
  <c r="P9575" i="2"/>
  <c r="V9575" i="2" s="1"/>
  <c r="P9571" i="2"/>
  <c r="V9571" i="2" s="1"/>
  <c r="P9567" i="2"/>
  <c r="V9567" i="2" s="1"/>
  <c r="P9563" i="2"/>
  <c r="V9563" i="2" s="1"/>
  <c r="P9559" i="2"/>
  <c r="V9559" i="2" s="1"/>
  <c r="P9555" i="2"/>
  <c r="V9555" i="2" s="1"/>
  <c r="P9551" i="2"/>
  <c r="V9551" i="2" s="1"/>
  <c r="P9547" i="2"/>
  <c r="V9547" i="2" s="1"/>
  <c r="P9543" i="2"/>
  <c r="V9543" i="2" s="1"/>
  <c r="P9539" i="2"/>
  <c r="V9539" i="2" s="1"/>
  <c r="P9535" i="2"/>
  <c r="V9535" i="2" s="1"/>
  <c r="P9531" i="2"/>
  <c r="V9531" i="2" s="1"/>
  <c r="P9527" i="2"/>
  <c r="V9527" i="2" s="1"/>
  <c r="P9523" i="2"/>
  <c r="V9523" i="2" s="1"/>
  <c r="P9519" i="2"/>
  <c r="V9519" i="2" s="1"/>
  <c r="P9515" i="2"/>
  <c r="V9515" i="2" s="1"/>
  <c r="P9511" i="2"/>
  <c r="V9511" i="2" s="1"/>
  <c r="P9507" i="2"/>
  <c r="V9507" i="2" s="1"/>
  <c r="P9503" i="2"/>
  <c r="V9503" i="2" s="1"/>
  <c r="P9499" i="2"/>
  <c r="V9499" i="2" s="1"/>
  <c r="P9495" i="2"/>
  <c r="V9495" i="2" s="1"/>
  <c r="P9491" i="2"/>
  <c r="V9491" i="2" s="1"/>
  <c r="P9487" i="2"/>
  <c r="V9487" i="2" s="1"/>
  <c r="P9483" i="2"/>
  <c r="V9483" i="2" s="1"/>
  <c r="P9479" i="2"/>
  <c r="V9479" i="2" s="1"/>
  <c r="P9475" i="2"/>
  <c r="V9475" i="2" s="1"/>
  <c r="P9471" i="2"/>
  <c r="V9471" i="2" s="1"/>
  <c r="P9467" i="2"/>
  <c r="V9467" i="2" s="1"/>
  <c r="P9463" i="2"/>
  <c r="V9463" i="2" s="1"/>
  <c r="P9459" i="2"/>
  <c r="V9459" i="2" s="1"/>
  <c r="P9455" i="2"/>
  <c r="V9455" i="2" s="1"/>
  <c r="P9451" i="2"/>
  <c r="V9451" i="2" s="1"/>
  <c r="P9447" i="2"/>
  <c r="V9447" i="2" s="1"/>
  <c r="P9443" i="2"/>
  <c r="V9443" i="2" s="1"/>
  <c r="P9439" i="2"/>
  <c r="V9439" i="2" s="1"/>
  <c r="P9435" i="2"/>
  <c r="V9435" i="2" s="1"/>
  <c r="P9431" i="2"/>
  <c r="V9431" i="2" s="1"/>
  <c r="P9427" i="2"/>
  <c r="V9427" i="2" s="1"/>
  <c r="P9423" i="2"/>
  <c r="V9423" i="2" s="1"/>
  <c r="P9419" i="2"/>
  <c r="V9419" i="2" s="1"/>
  <c r="P9415" i="2"/>
  <c r="V9415" i="2" s="1"/>
  <c r="P9411" i="2"/>
  <c r="V9411" i="2" s="1"/>
  <c r="P9407" i="2"/>
  <c r="V9407" i="2" s="1"/>
  <c r="P9403" i="2"/>
  <c r="V9403" i="2" s="1"/>
  <c r="P9399" i="2"/>
  <c r="V9399" i="2" s="1"/>
  <c r="P9395" i="2"/>
  <c r="V9395" i="2" s="1"/>
  <c r="P9391" i="2"/>
  <c r="V9391" i="2" s="1"/>
  <c r="P9387" i="2"/>
  <c r="V9387" i="2" s="1"/>
  <c r="P9383" i="2"/>
  <c r="V9383" i="2" s="1"/>
  <c r="P9379" i="2"/>
  <c r="V9379" i="2" s="1"/>
  <c r="P9375" i="2"/>
  <c r="V9375" i="2" s="1"/>
  <c r="P9371" i="2"/>
  <c r="V9371" i="2" s="1"/>
  <c r="P9367" i="2"/>
  <c r="V9367" i="2" s="1"/>
  <c r="P9363" i="2"/>
  <c r="V9363" i="2" s="1"/>
  <c r="P9359" i="2"/>
  <c r="V9359" i="2" s="1"/>
  <c r="P9355" i="2"/>
  <c r="V9355" i="2" s="1"/>
  <c r="P9351" i="2"/>
  <c r="V9351" i="2" s="1"/>
  <c r="P9347" i="2"/>
  <c r="V9347" i="2" s="1"/>
  <c r="P9343" i="2"/>
  <c r="V9343" i="2" s="1"/>
  <c r="P9339" i="2"/>
  <c r="V9339" i="2" s="1"/>
  <c r="P9335" i="2"/>
  <c r="V9335" i="2" s="1"/>
  <c r="P9331" i="2"/>
  <c r="V9331" i="2" s="1"/>
  <c r="P9327" i="2"/>
  <c r="V9327" i="2" s="1"/>
  <c r="P9323" i="2"/>
  <c r="V9323" i="2" s="1"/>
  <c r="P9319" i="2"/>
  <c r="V9319" i="2" s="1"/>
  <c r="P9315" i="2"/>
  <c r="V9315" i="2" s="1"/>
  <c r="P9311" i="2"/>
  <c r="V9311" i="2" s="1"/>
  <c r="P9307" i="2"/>
  <c r="V9307" i="2" s="1"/>
  <c r="P9303" i="2"/>
  <c r="V9303" i="2" s="1"/>
  <c r="P9299" i="2"/>
  <c r="V9299" i="2" s="1"/>
  <c r="P9295" i="2"/>
  <c r="V9295" i="2" s="1"/>
  <c r="P9291" i="2"/>
  <c r="V9291" i="2" s="1"/>
  <c r="P9287" i="2"/>
  <c r="V9287" i="2" s="1"/>
  <c r="P9283" i="2"/>
  <c r="V9283" i="2" s="1"/>
  <c r="P9279" i="2"/>
  <c r="V9279" i="2" s="1"/>
  <c r="P9275" i="2"/>
  <c r="V9275" i="2" s="1"/>
  <c r="P9271" i="2"/>
  <c r="V9271" i="2" s="1"/>
  <c r="P9267" i="2"/>
  <c r="V9267" i="2" s="1"/>
  <c r="P9263" i="2"/>
  <c r="V9263" i="2" s="1"/>
  <c r="P9259" i="2"/>
  <c r="V9259" i="2" s="1"/>
  <c r="P9255" i="2"/>
  <c r="V9255" i="2" s="1"/>
  <c r="P9251" i="2"/>
  <c r="V9251" i="2" s="1"/>
  <c r="P9247" i="2"/>
  <c r="V9247" i="2" s="1"/>
  <c r="P9243" i="2"/>
  <c r="V9243" i="2" s="1"/>
  <c r="P9239" i="2"/>
  <c r="V9239" i="2" s="1"/>
  <c r="P9235" i="2"/>
  <c r="V9235" i="2" s="1"/>
  <c r="P9231" i="2"/>
  <c r="V9231" i="2" s="1"/>
  <c r="P9227" i="2"/>
  <c r="V9227" i="2" s="1"/>
  <c r="P9223" i="2"/>
  <c r="V9223" i="2" s="1"/>
  <c r="P9219" i="2"/>
  <c r="V9219" i="2" s="1"/>
  <c r="P9215" i="2"/>
  <c r="V9215" i="2" s="1"/>
  <c r="P9211" i="2"/>
  <c r="V9211" i="2" s="1"/>
  <c r="P9207" i="2"/>
  <c r="V9207" i="2" s="1"/>
  <c r="P9203" i="2"/>
  <c r="V9203" i="2" s="1"/>
  <c r="P9199" i="2"/>
  <c r="V9199" i="2" s="1"/>
  <c r="P9195" i="2"/>
  <c r="V9195" i="2" s="1"/>
  <c r="P9191" i="2"/>
  <c r="V9191" i="2" s="1"/>
  <c r="P9187" i="2"/>
  <c r="V9187" i="2" s="1"/>
  <c r="P9183" i="2"/>
  <c r="V9183" i="2" s="1"/>
  <c r="P9179" i="2"/>
  <c r="V9179" i="2" s="1"/>
  <c r="P9175" i="2"/>
  <c r="V9175" i="2" s="1"/>
  <c r="P9171" i="2"/>
  <c r="V9171" i="2" s="1"/>
  <c r="P9167" i="2"/>
  <c r="V9167" i="2" s="1"/>
  <c r="P9163" i="2"/>
  <c r="V9163" i="2" s="1"/>
  <c r="P9159" i="2"/>
  <c r="V9159" i="2" s="1"/>
  <c r="P9155" i="2"/>
  <c r="V9155" i="2" s="1"/>
  <c r="P9151" i="2"/>
  <c r="V9151" i="2" s="1"/>
  <c r="P9147" i="2"/>
  <c r="V9147" i="2" s="1"/>
  <c r="P9143" i="2"/>
  <c r="V9143" i="2" s="1"/>
  <c r="P9139" i="2"/>
  <c r="V9139" i="2" s="1"/>
  <c r="P9135" i="2"/>
  <c r="V9135" i="2" s="1"/>
  <c r="P9131" i="2"/>
  <c r="V9131" i="2" s="1"/>
  <c r="P9127" i="2"/>
  <c r="V9127" i="2" s="1"/>
  <c r="P9123" i="2"/>
  <c r="V9123" i="2" s="1"/>
  <c r="P9119" i="2"/>
  <c r="V9119" i="2" s="1"/>
  <c r="P9115" i="2"/>
  <c r="V9115" i="2" s="1"/>
  <c r="P9111" i="2"/>
  <c r="V9111" i="2" s="1"/>
  <c r="P9107" i="2"/>
  <c r="V9107" i="2" s="1"/>
  <c r="P9103" i="2"/>
  <c r="V9103" i="2" s="1"/>
  <c r="P9099" i="2"/>
  <c r="V9099" i="2" s="1"/>
  <c r="P9095" i="2"/>
  <c r="V9095" i="2" s="1"/>
  <c r="P9091" i="2"/>
  <c r="V9091" i="2" s="1"/>
  <c r="P9087" i="2"/>
  <c r="V9087" i="2" s="1"/>
  <c r="P9083" i="2"/>
  <c r="V9083" i="2" s="1"/>
  <c r="P9079" i="2"/>
  <c r="V9079" i="2" s="1"/>
  <c r="P9075" i="2"/>
  <c r="V9075" i="2" s="1"/>
  <c r="P9071" i="2"/>
  <c r="V9071" i="2" s="1"/>
  <c r="P9067" i="2"/>
  <c r="V9067" i="2" s="1"/>
  <c r="P9063" i="2"/>
  <c r="V9063" i="2" s="1"/>
  <c r="P9059" i="2"/>
  <c r="V9059" i="2" s="1"/>
  <c r="P9055" i="2"/>
  <c r="V9055" i="2" s="1"/>
  <c r="P9051" i="2"/>
  <c r="V9051" i="2" s="1"/>
  <c r="P9047" i="2"/>
  <c r="V9047" i="2" s="1"/>
  <c r="P9043" i="2"/>
  <c r="V9043" i="2" s="1"/>
  <c r="P9039" i="2"/>
  <c r="V9039" i="2" s="1"/>
  <c r="P9035" i="2"/>
  <c r="V9035" i="2" s="1"/>
  <c r="P9031" i="2"/>
  <c r="V9031" i="2" s="1"/>
  <c r="P9027" i="2"/>
  <c r="V9027" i="2" s="1"/>
  <c r="P9023" i="2"/>
  <c r="V9023" i="2" s="1"/>
  <c r="P9019" i="2"/>
  <c r="V9019" i="2" s="1"/>
  <c r="P9015" i="2"/>
  <c r="V9015" i="2" s="1"/>
  <c r="P9011" i="2"/>
  <c r="V9011" i="2" s="1"/>
  <c r="P9007" i="2"/>
  <c r="V9007" i="2" s="1"/>
  <c r="P9003" i="2"/>
  <c r="V9003" i="2" s="1"/>
  <c r="P8999" i="2"/>
  <c r="V8999" i="2" s="1"/>
  <c r="P8995" i="2"/>
  <c r="V8995" i="2" s="1"/>
  <c r="P8991" i="2"/>
  <c r="V8991" i="2" s="1"/>
  <c r="P8987" i="2"/>
  <c r="V8987" i="2" s="1"/>
  <c r="P8983" i="2"/>
  <c r="V8983" i="2" s="1"/>
  <c r="P8979" i="2"/>
  <c r="V8979" i="2" s="1"/>
  <c r="P8975" i="2"/>
  <c r="V8975" i="2" s="1"/>
  <c r="P8971" i="2"/>
  <c r="V8971" i="2" s="1"/>
  <c r="P8967" i="2"/>
  <c r="V8967" i="2" s="1"/>
  <c r="P8963" i="2"/>
  <c r="V8963" i="2" s="1"/>
  <c r="P8959" i="2"/>
  <c r="V8959" i="2" s="1"/>
  <c r="P8955" i="2"/>
  <c r="V8955" i="2" s="1"/>
  <c r="P8951" i="2"/>
  <c r="V8951" i="2" s="1"/>
  <c r="P8947" i="2"/>
  <c r="V8947" i="2" s="1"/>
  <c r="P8943" i="2"/>
  <c r="V8943" i="2" s="1"/>
  <c r="P8939" i="2"/>
  <c r="V8939" i="2" s="1"/>
  <c r="P8935" i="2"/>
  <c r="V8935" i="2" s="1"/>
  <c r="P8931" i="2"/>
  <c r="V8931" i="2" s="1"/>
  <c r="P8927" i="2"/>
  <c r="V8927" i="2" s="1"/>
  <c r="P8923" i="2"/>
  <c r="V8923" i="2" s="1"/>
  <c r="P8919" i="2"/>
  <c r="V8919" i="2" s="1"/>
  <c r="P8915" i="2"/>
  <c r="V8915" i="2" s="1"/>
  <c r="P8911" i="2"/>
  <c r="V8911" i="2" s="1"/>
  <c r="P8907" i="2"/>
  <c r="V8907" i="2" s="1"/>
  <c r="P8903" i="2"/>
  <c r="V8903" i="2" s="1"/>
  <c r="P8899" i="2"/>
  <c r="V8899" i="2" s="1"/>
  <c r="P8895" i="2"/>
  <c r="V8895" i="2" s="1"/>
  <c r="P8891" i="2"/>
  <c r="V8891" i="2" s="1"/>
  <c r="P8887" i="2"/>
  <c r="V8887" i="2" s="1"/>
  <c r="P8883" i="2"/>
  <c r="V8883" i="2" s="1"/>
  <c r="P8879" i="2"/>
  <c r="V8879" i="2" s="1"/>
  <c r="P8875" i="2"/>
  <c r="V8875" i="2" s="1"/>
  <c r="P8871" i="2"/>
  <c r="V8871" i="2" s="1"/>
  <c r="P8867" i="2"/>
  <c r="V8867" i="2" s="1"/>
  <c r="P8863" i="2"/>
  <c r="V8863" i="2" s="1"/>
  <c r="P8859" i="2"/>
  <c r="V8859" i="2" s="1"/>
  <c r="P8855" i="2"/>
  <c r="V8855" i="2" s="1"/>
  <c r="P8851" i="2"/>
  <c r="V8851" i="2" s="1"/>
  <c r="P8847" i="2"/>
  <c r="V8847" i="2" s="1"/>
  <c r="P8843" i="2"/>
  <c r="V8843" i="2" s="1"/>
  <c r="P8839" i="2"/>
  <c r="V8839" i="2" s="1"/>
  <c r="P8835" i="2"/>
  <c r="V8835" i="2" s="1"/>
  <c r="P8831" i="2"/>
  <c r="V8831" i="2" s="1"/>
  <c r="P8827" i="2"/>
  <c r="V8827" i="2" s="1"/>
  <c r="P8823" i="2"/>
  <c r="V8823" i="2" s="1"/>
  <c r="P8819" i="2"/>
  <c r="V8819" i="2" s="1"/>
  <c r="P8815" i="2"/>
  <c r="V8815" i="2" s="1"/>
  <c r="P8811" i="2"/>
  <c r="V8811" i="2" s="1"/>
  <c r="P8807" i="2"/>
  <c r="V8807" i="2" s="1"/>
  <c r="P8803" i="2"/>
  <c r="V8803" i="2" s="1"/>
  <c r="P8799" i="2"/>
  <c r="V8799" i="2" s="1"/>
  <c r="P8795" i="2"/>
  <c r="V8795" i="2" s="1"/>
  <c r="P8791" i="2"/>
  <c r="V8791" i="2" s="1"/>
  <c r="P8787" i="2"/>
  <c r="V8787" i="2" s="1"/>
  <c r="P8783" i="2"/>
  <c r="V8783" i="2" s="1"/>
  <c r="P8779" i="2"/>
  <c r="V8779" i="2" s="1"/>
  <c r="P8775" i="2"/>
  <c r="V8775" i="2" s="1"/>
  <c r="P8771" i="2"/>
  <c r="V8771" i="2" s="1"/>
  <c r="P8767" i="2"/>
  <c r="V8767" i="2" s="1"/>
  <c r="P8763" i="2"/>
  <c r="V8763" i="2" s="1"/>
  <c r="P8759" i="2"/>
  <c r="V8759" i="2" s="1"/>
  <c r="P8755" i="2"/>
  <c r="V8755" i="2" s="1"/>
  <c r="P8751" i="2"/>
  <c r="V8751" i="2" s="1"/>
  <c r="P8747" i="2"/>
  <c r="V8747" i="2" s="1"/>
  <c r="P8743" i="2"/>
  <c r="V8743" i="2" s="1"/>
  <c r="P8739" i="2"/>
  <c r="V8739" i="2" s="1"/>
  <c r="P8735" i="2"/>
  <c r="V8735" i="2" s="1"/>
  <c r="P8731" i="2"/>
  <c r="V8731" i="2" s="1"/>
  <c r="P8727" i="2"/>
  <c r="V8727" i="2" s="1"/>
  <c r="P8723" i="2"/>
  <c r="V8723" i="2" s="1"/>
  <c r="P8719" i="2"/>
  <c r="V8719" i="2" s="1"/>
  <c r="P8715" i="2"/>
  <c r="V8715" i="2" s="1"/>
  <c r="P8711" i="2"/>
  <c r="V8711" i="2" s="1"/>
  <c r="P8707" i="2"/>
  <c r="V8707" i="2" s="1"/>
  <c r="P8703" i="2"/>
  <c r="V8703" i="2" s="1"/>
  <c r="P8699" i="2"/>
  <c r="V8699" i="2" s="1"/>
  <c r="P8695" i="2"/>
  <c r="V8695" i="2" s="1"/>
  <c r="P8691" i="2"/>
  <c r="V8691" i="2" s="1"/>
  <c r="P8687" i="2"/>
  <c r="V8687" i="2" s="1"/>
  <c r="P8683" i="2"/>
  <c r="V8683" i="2" s="1"/>
  <c r="P8679" i="2"/>
  <c r="V8679" i="2" s="1"/>
  <c r="P8675" i="2"/>
  <c r="V8675" i="2" s="1"/>
  <c r="P8671" i="2"/>
  <c r="V8671" i="2" s="1"/>
  <c r="P8667" i="2"/>
  <c r="V8667" i="2" s="1"/>
  <c r="P8663" i="2"/>
  <c r="V8663" i="2" s="1"/>
  <c r="P8659" i="2"/>
  <c r="V8659" i="2" s="1"/>
  <c r="P8655" i="2"/>
  <c r="V8655" i="2" s="1"/>
  <c r="P8651" i="2"/>
  <c r="V8651" i="2" s="1"/>
  <c r="P8647" i="2"/>
  <c r="V8647" i="2" s="1"/>
  <c r="P8643" i="2"/>
  <c r="V8643" i="2" s="1"/>
  <c r="P8639" i="2"/>
  <c r="V8639" i="2" s="1"/>
  <c r="P8635" i="2"/>
  <c r="V8635" i="2" s="1"/>
  <c r="P8631" i="2"/>
  <c r="V8631" i="2" s="1"/>
  <c r="P8627" i="2"/>
  <c r="V8627" i="2" s="1"/>
  <c r="P8623" i="2"/>
  <c r="V8623" i="2" s="1"/>
  <c r="P8619" i="2"/>
  <c r="V8619" i="2" s="1"/>
  <c r="P8615" i="2"/>
  <c r="V8615" i="2" s="1"/>
  <c r="P8611" i="2"/>
  <c r="V8611" i="2" s="1"/>
  <c r="P8607" i="2"/>
  <c r="V8607" i="2" s="1"/>
  <c r="P8603" i="2"/>
  <c r="V8603" i="2" s="1"/>
  <c r="P8599" i="2"/>
  <c r="V8599" i="2" s="1"/>
  <c r="P8595" i="2"/>
  <c r="V8595" i="2" s="1"/>
  <c r="P8591" i="2"/>
  <c r="V8591" i="2" s="1"/>
  <c r="P8587" i="2"/>
  <c r="V8587" i="2" s="1"/>
  <c r="P8583" i="2"/>
  <c r="V8583" i="2" s="1"/>
  <c r="P8579" i="2"/>
  <c r="V8579" i="2" s="1"/>
  <c r="P8575" i="2"/>
  <c r="V8575" i="2" s="1"/>
  <c r="P8571" i="2"/>
  <c r="V8571" i="2" s="1"/>
  <c r="P8567" i="2"/>
  <c r="V8567" i="2" s="1"/>
  <c r="P8563" i="2"/>
  <c r="V8563" i="2" s="1"/>
  <c r="P8559" i="2"/>
  <c r="V8559" i="2" s="1"/>
  <c r="P8555" i="2"/>
  <c r="V8555" i="2" s="1"/>
  <c r="P8551" i="2"/>
  <c r="V8551" i="2" s="1"/>
  <c r="P8547" i="2"/>
  <c r="V8547" i="2" s="1"/>
  <c r="P8543" i="2"/>
  <c r="V8543" i="2" s="1"/>
  <c r="P8539" i="2"/>
  <c r="V8539" i="2" s="1"/>
  <c r="P8535" i="2"/>
  <c r="V8535" i="2" s="1"/>
  <c r="P8531" i="2"/>
  <c r="V8531" i="2" s="1"/>
  <c r="P8527" i="2"/>
  <c r="V8527" i="2" s="1"/>
  <c r="P8523" i="2"/>
  <c r="V8523" i="2" s="1"/>
  <c r="P8519" i="2"/>
  <c r="V8519" i="2" s="1"/>
  <c r="P8515" i="2"/>
  <c r="V8515" i="2" s="1"/>
  <c r="P8511" i="2"/>
  <c r="V8511" i="2" s="1"/>
  <c r="P8507" i="2"/>
  <c r="V8507" i="2" s="1"/>
  <c r="P8503" i="2"/>
  <c r="V8503" i="2" s="1"/>
  <c r="P8499" i="2"/>
  <c r="V8499" i="2" s="1"/>
  <c r="P8495" i="2"/>
  <c r="V8495" i="2" s="1"/>
  <c r="P8491" i="2"/>
  <c r="V8491" i="2" s="1"/>
  <c r="P8487" i="2"/>
  <c r="V8487" i="2" s="1"/>
  <c r="P8483" i="2"/>
  <c r="V8483" i="2" s="1"/>
  <c r="P8479" i="2"/>
  <c r="V8479" i="2" s="1"/>
  <c r="P8475" i="2"/>
  <c r="V8475" i="2" s="1"/>
  <c r="P8471" i="2"/>
  <c r="V8471" i="2" s="1"/>
  <c r="P8467" i="2"/>
  <c r="V8467" i="2" s="1"/>
  <c r="P8463" i="2"/>
  <c r="V8463" i="2" s="1"/>
  <c r="P8459" i="2"/>
  <c r="V8459" i="2" s="1"/>
  <c r="P8455" i="2"/>
  <c r="V8455" i="2" s="1"/>
  <c r="P8451" i="2"/>
  <c r="V8451" i="2" s="1"/>
  <c r="P8447" i="2"/>
  <c r="V8447" i="2" s="1"/>
  <c r="P8443" i="2"/>
  <c r="V8443" i="2" s="1"/>
  <c r="P8439" i="2"/>
  <c r="V8439" i="2" s="1"/>
  <c r="P8435" i="2"/>
  <c r="V8435" i="2" s="1"/>
  <c r="P8431" i="2"/>
  <c r="V8431" i="2" s="1"/>
  <c r="P8427" i="2"/>
  <c r="V8427" i="2" s="1"/>
  <c r="P8423" i="2"/>
  <c r="V8423" i="2" s="1"/>
  <c r="P8419" i="2"/>
  <c r="V8419" i="2" s="1"/>
  <c r="P8415" i="2"/>
  <c r="V8415" i="2" s="1"/>
  <c r="P8411" i="2"/>
  <c r="V8411" i="2" s="1"/>
  <c r="P8407" i="2"/>
  <c r="V8407" i="2" s="1"/>
  <c r="P8403" i="2"/>
  <c r="V8403" i="2" s="1"/>
  <c r="P8399" i="2"/>
  <c r="V8399" i="2" s="1"/>
  <c r="P8395" i="2"/>
  <c r="V8395" i="2" s="1"/>
  <c r="P8391" i="2"/>
  <c r="V8391" i="2" s="1"/>
  <c r="P8387" i="2"/>
  <c r="V8387" i="2" s="1"/>
  <c r="P8383" i="2"/>
  <c r="V8383" i="2" s="1"/>
  <c r="P8379" i="2"/>
  <c r="V8379" i="2" s="1"/>
  <c r="P8375" i="2"/>
  <c r="V8375" i="2" s="1"/>
  <c r="P8371" i="2"/>
  <c r="V8371" i="2" s="1"/>
  <c r="P8367" i="2"/>
  <c r="V8367" i="2" s="1"/>
  <c r="P8363" i="2"/>
  <c r="V8363" i="2" s="1"/>
  <c r="P8359" i="2"/>
  <c r="V8359" i="2" s="1"/>
  <c r="P8355" i="2"/>
  <c r="V8355" i="2" s="1"/>
  <c r="P8351" i="2"/>
  <c r="V8351" i="2" s="1"/>
  <c r="P8347" i="2"/>
  <c r="V8347" i="2" s="1"/>
  <c r="P8343" i="2"/>
  <c r="V8343" i="2" s="1"/>
  <c r="P8339" i="2"/>
  <c r="V8339" i="2" s="1"/>
  <c r="P8335" i="2"/>
  <c r="V8335" i="2" s="1"/>
  <c r="P8331" i="2"/>
  <c r="V8331" i="2" s="1"/>
  <c r="P8327" i="2"/>
  <c r="V8327" i="2" s="1"/>
  <c r="P8323" i="2"/>
  <c r="V8323" i="2" s="1"/>
  <c r="P8319" i="2"/>
  <c r="V8319" i="2" s="1"/>
  <c r="P8315" i="2"/>
  <c r="V8315" i="2" s="1"/>
  <c r="P8311" i="2"/>
  <c r="V8311" i="2" s="1"/>
  <c r="P8307" i="2"/>
  <c r="V8307" i="2" s="1"/>
  <c r="P8303" i="2"/>
  <c r="V8303" i="2" s="1"/>
  <c r="P8299" i="2"/>
  <c r="V8299" i="2" s="1"/>
  <c r="P8295" i="2"/>
  <c r="V8295" i="2" s="1"/>
  <c r="P8291" i="2"/>
  <c r="V8291" i="2" s="1"/>
  <c r="P8287" i="2"/>
  <c r="V8287" i="2" s="1"/>
  <c r="P8283" i="2"/>
  <c r="V8283" i="2" s="1"/>
  <c r="P8279" i="2"/>
  <c r="V8279" i="2" s="1"/>
  <c r="P8275" i="2"/>
  <c r="V8275" i="2" s="1"/>
  <c r="P8271" i="2"/>
  <c r="V8271" i="2" s="1"/>
  <c r="P8267" i="2"/>
  <c r="V8267" i="2" s="1"/>
  <c r="P8263" i="2"/>
  <c r="V8263" i="2" s="1"/>
  <c r="P8259" i="2"/>
  <c r="V8259" i="2" s="1"/>
  <c r="P8255" i="2"/>
  <c r="V8255" i="2" s="1"/>
  <c r="P8251" i="2"/>
  <c r="V8251" i="2" s="1"/>
  <c r="P8247" i="2"/>
  <c r="V8247" i="2" s="1"/>
  <c r="P8243" i="2"/>
  <c r="V8243" i="2" s="1"/>
  <c r="P8239" i="2"/>
  <c r="V8239" i="2" s="1"/>
  <c r="P8235" i="2"/>
  <c r="V8235" i="2" s="1"/>
  <c r="P8231" i="2"/>
  <c r="V8231" i="2" s="1"/>
  <c r="P8227" i="2"/>
  <c r="V8227" i="2" s="1"/>
  <c r="P8223" i="2"/>
  <c r="V8223" i="2" s="1"/>
  <c r="P8219" i="2"/>
  <c r="V8219" i="2" s="1"/>
  <c r="P8215" i="2"/>
  <c r="V8215" i="2" s="1"/>
  <c r="P8211" i="2"/>
  <c r="V8211" i="2" s="1"/>
  <c r="P8207" i="2"/>
  <c r="V8207" i="2" s="1"/>
  <c r="P8203" i="2"/>
  <c r="V8203" i="2" s="1"/>
  <c r="P8199" i="2"/>
  <c r="V8199" i="2" s="1"/>
  <c r="P8195" i="2"/>
  <c r="V8195" i="2" s="1"/>
  <c r="P8191" i="2"/>
  <c r="V8191" i="2" s="1"/>
  <c r="P8187" i="2"/>
  <c r="V8187" i="2" s="1"/>
  <c r="P8183" i="2"/>
  <c r="V8183" i="2" s="1"/>
  <c r="P8179" i="2"/>
  <c r="V8179" i="2" s="1"/>
  <c r="P8175" i="2"/>
  <c r="V8175" i="2" s="1"/>
  <c r="P8171" i="2"/>
  <c r="V8171" i="2" s="1"/>
  <c r="P8167" i="2"/>
  <c r="V8167" i="2" s="1"/>
  <c r="P8163" i="2"/>
  <c r="V8163" i="2" s="1"/>
  <c r="P8159" i="2"/>
  <c r="V8159" i="2" s="1"/>
  <c r="P8155" i="2"/>
  <c r="V8155" i="2" s="1"/>
  <c r="P8151" i="2"/>
  <c r="V8151" i="2" s="1"/>
  <c r="P8147" i="2"/>
  <c r="V8147" i="2" s="1"/>
  <c r="P8143" i="2"/>
  <c r="V8143" i="2" s="1"/>
  <c r="P8139" i="2"/>
  <c r="V8139" i="2" s="1"/>
  <c r="P8135" i="2"/>
  <c r="V8135" i="2" s="1"/>
  <c r="P8131" i="2"/>
  <c r="V8131" i="2" s="1"/>
  <c r="P8127" i="2"/>
  <c r="V8127" i="2" s="1"/>
  <c r="P8123" i="2"/>
  <c r="V8123" i="2" s="1"/>
  <c r="P8119" i="2"/>
  <c r="V8119" i="2" s="1"/>
  <c r="P8115" i="2"/>
  <c r="V8115" i="2" s="1"/>
  <c r="P8111" i="2"/>
  <c r="V8111" i="2" s="1"/>
  <c r="P8107" i="2"/>
  <c r="V8107" i="2" s="1"/>
  <c r="P8103" i="2"/>
  <c r="V8103" i="2" s="1"/>
  <c r="P8099" i="2"/>
  <c r="V8099" i="2" s="1"/>
  <c r="P8095" i="2"/>
  <c r="V8095" i="2" s="1"/>
  <c r="P8091" i="2"/>
  <c r="V8091" i="2" s="1"/>
  <c r="P8087" i="2"/>
  <c r="V8087" i="2" s="1"/>
  <c r="P8083" i="2"/>
  <c r="V8083" i="2" s="1"/>
  <c r="P8079" i="2"/>
  <c r="V8079" i="2" s="1"/>
  <c r="P8075" i="2"/>
  <c r="V8075" i="2" s="1"/>
  <c r="P8071" i="2"/>
  <c r="V8071" i="2" s="1"/>
  <c r="P8067" i="2"/>
  <c r="V8067" i="2" s="1"/>
  <c r="P8063" i="2"/>
  <c r="V8063" i="2" s="1"/>
  <c r="P8059" i="2"/>
  <c r="V8059" i="2" s="1"/>
  <c r="P8055" i="2"/>
  <c r="V8055" i="2" s="1"/>
  <c r="P8051" i="2"/>
  <c r="V8051" i="2" s="1"/>
  <c r="P8047" i="2"/>
  <c r="V8047" i="2" s="1"/>
  <c r="P8043" i="2"/>
  <c r="V8043" i="2" s="1"/>
  <c r="P8039" i="2"/>
  <c r="V8039" i="2" s="1"/>
  <c r="P8035" i="2"/>
  <c r="V8035" i="2" s="1"/>
  <c r="P8031" i="2"/>
  <c r="V8031" i="2" s="1"/>
  <c r="P8027" i="2"/>
  <c r="V8027" i="2" s="1"/>
  <c r="P8023" i="2"/>
  <c r="V8023" i="2" s="1"/>
  <c r="P8019" i="2"/>
  <c r="V8019" i="2" s="1"/>
  <c r="P8015" i="2"/>
  <c r="V8015" i="2" s="1"/>
  <c r="P8011" i="2"/>
  <c r="V8011" i="2" s="1"/>
  <c r="P8007" i="2"/>
  <c r="V8007" i="2" s="1"/>
  <c r="P8003" i="2"/>
  <c r="V8003" i="2" s="1"/>
  <c r="P7999" i="2"/>
  <c r="V7999" i="2" s="1"/>
  <c r="P7995" i="2"/>
  <c r="V7995" i="2" s="1"/>
  <c r="P7991" i="2"/>
  <c r="V7991" i="2" s="1"/>
  <c r="P7987" i="2"/>
  <c r="V7987" i="2" s="1"/>
  <c r="P7983" i="2"/>
  <c r="V7983" i="2" s="1"/>
  <c r="P7979" i="2"/>
  <c r="V7979" i="2" s="1"/>
  <c r="P7975" i="2"/>
  <c r="V7975" i="2" s="1"/>
  <c r="P7971" i="2"/>
  <c r="V7971" i="2" s="1"/>
  <c r="P7967" i="2"/>
  <c r="V7967" i="2" s="1"/>
  <c r="P7963" i="2"/>
  <c r="V7963" i="2" s="1"/>
  <c r="P7959" i="2"/>
  <c r="V7959" i="2" s="1"/>
  <c r="P7955" i="2"/>
  <c r="V7955" i="2" s="1"/>
  <c r="P7951" i="2"/>
  <c r="V7951" i="2" s="1"/>
  <c r="P7947" i="2"/>
  <c r="V7947" i="2" s="1"/>
  <c r="P7943" i="2"/>
  <c r="V7943" i="2" s="1"/>
  <c r="P7939" i="2"/>
  <c r="V7939" i="2" s="1"/>
  <c r="P7935" i="2"/>
  <c r="V7935" i="2" s="1"/>
  <c r="P7931" i="2"/>
  <c r="V7931" i="2" s="1"/>
  <c r="P7927" i="2"/>
  <c r="V7927" i="2" s="1"/>
  <c r="P7923" i="2"/>
  <c r="V7923" i="2" s="1"/>
  <c r="P7919" i="2"/>
  <c r="V7919" i="2" s="1"/>
  <c r="P7915" i="2"/>
  <c r="V7915" i="2" s="1"/>
  <c r="P7911" i="2"/>
  <c r="V7911" i="2" s="1"/>
  <c r="P7907" i="2"/>
  <c r="V7907" i="2" s="1"/>
  <c r="P7903" i="2"/>
  <c r="V7903" i="2" s="1"/>
  <c r="P7899" i="2"/>
  <c r="V7899" i="2" s="1"/>
  <c r="P7895" i="2"/>
  <c r="V7895" i="2" s="1"/>
  <c r="P7891" i="2"/>
  <c r="V7891" i="2" s="1"/>
  <c r="P7887" i="2"/>
  <c r="V7887" i="2" s="1"/>
  <c r="P7883" i="2"/>
  <c r="V7883" i="2" s="1"/>
  <c r="P7879" i="2"/>
  <c r="V7879" i="2" s="1"/>
  <c r="P7875" i="2"/>
  <c r="V7875" i="2" s="1"/>
  <c r="P7871" i="2"/>
  <c r="V7871" i="2" s="1"/>
  <c r="P7867" i="2"/>
  <c r="V7867" i="2" s="1"/>
  <c r="P7863" i="2"/>
  <c r="V7863" i="2" s="1"/>
  <c r="P7859" i="2"/>
  <c r="V7859" i="2" s="1"/>
  <c r="P7855" i="2"/>
  <c r="V7855" i="2" s="1"/>
  <c r="P7851" i="2"/>
  <c r="V7851" i="2" s="1"/>
  <c r="P7847" i="2"/>
  <c r="V7847" i="2" s="1"/>
  <c r="P7843" i="2"/>
  <c r="V7843" i="2" s="1"/>
  <c r="P7839" i="2"/>
  <c r="V7839" i="2" s="1"/>
  <c r="P7835" i="2"/>
  <c r="V7835" i="2" s="1"/>
  <c r="P7831" i="2"/>
  <c r="V7831" i="2" s="1"/>
  <c r="P7827" i="2"/>
  <c r="V7827" i="2" s="1"/>
  <c r="P7823" i="2"/>
  <c r="V7823" i="2" s="1"/>
  <c r="P7819" i="2"/>
  <c r="V7819" i="2" s="1"/>
  <c r="P7815" i="2"/>
  <c r="V7815" i="2" s="1"/>
  <c r="P7811" i="2"/>
  <c r="V7811" i="2" s="1"/>
  <c r="P7807" i="2"/>
  <c r="V7807" i="2" s="1"/>
  <c r="P7803" i="2"/>
  <c r="V7803" i="2" s="1"/>
  <c r="P7799" i="2"/>
  <c r="V7799" i="2" s="1"/>
  <c r="P7795" i="2"/>
  <c r="V7795" i="2" s="1"/>
  <c r="P7791" i="2"/>
  <c r="V7791" i="2" s="1"/>
  <c r="P7787" i="2"/>
  <c r="V7787" i="2" s="1"/>
  <c r="P7783" i="2"/>
  <c r="V7783" i="2" s="1"/>
  <c r="P7779" i="2"/>
  <c r="V7779" i="2" s="1"/>
  <c r="P7775" i="2"/>
  <c r="V7775" i="2" s="1"/>
  <c r="P7771" i="2"/>
  <c r="V7771" i="2" s="1"/>
  <c r="P7767" i="2"/>
  <c r="V7767" i="2" s="1"/>
  <c r="P7763" i="2"/>
  <c r="V7763" i="2" s="1"/>
  <c r="P7759" i="2"/>
  <c r="V7759" i="2" s="1"/>
  <c r="P7755" i="2"/>
  <c r="V7755" i="2" s="1"/>
  <c r="P7751" i="2"/>
  <c r="V7751" i="2" s="1"/>
  <c r="P7747" i="2"/>
  <c r="V7747" i="2" s="1"/>
  <c r="P7743" i="2"/>
  <c r="V7743" i="2" s="1"/>
  <c r="P7739" i="2"/>
  <c r="V7739" i="2" s="1"/>
  <c r="P7735" i="2"/>
  <c r="V7735" i="2" s="1"/>
  <c r="P7731" i="2"/>
  <c r="V7731" i="2" s="1"/>
  <c r="P7727" i="2"/>
  <c r="V7727" i="2" s="1"/>
  <c r="P7723" i="2"/>
  <c r="V7723" i="2" s="1"/>
  <c r="P7719" i="2"/>
  <c r="V7719" i="2" s="1"/>
  <c r="P7715" i="2"/>
  <c r="V7715" i="2" s="1"/>
  <c r="P7711" i="2"/>
  <c r="V7711" i="2" s="1"/>
  <c r="P7707" i="2"/>
  <c r="V7707" i="2" s="1"/>
  <c r="P7703" i="2"/>
  <c r="V7703" i="2" s="1"/>
  <c r="P7699" i="2"/>
  <c r="V7699" i="2" s="1"/>
  <c r="P7695" i="2"/>
  <c r="V7695" i="2" s="1"/>
  <c r="P7691" i="2"/>
  <c r="V7691" i="2" s="1"/>
  <c r="P7687" i="2"/>
  <c r="V7687" i="2" s="1"/>
  <c r="P7683" i="2"/>
  <c r="V7683" i="2" s="1"/>
  <c r="P7679" i="2"/>
  <c r="V7679" i="2" s="1"/>
  <c r="P7675" i="2"/>
  <c r="V7675" i="2" s="1"/>
  <c r="P7671" i="2"/>
  <c r="V7671" i="2" s="1"/>
  <c r="P7667" i="2"/>
  <c r="V7667" i="2" s="1"/>
  <c r="P7663" i="2"/>
  <c r="V7663" i="2" s="1"/>
  <c r="P7659" i="2"/>
  <c r="V7659" i="2" s="1"/>
  <c r="P7655" i="2"/>
  <c r="V7655" i="2" s="1"/>
  <c r="P7651" i="2"/>
  <c r="V7651" i="2" s="1"/>
  <c r="P7647" i="2"/>
  <c r="V7647" i="2" s="1"/>
  <c r="P7643" i="2"/>
  <c r="V7643" i="2" s="1"/>
  <c r="P7639" i="2"/>
  <c r="V7639" i="2" s="1"/>
  <c r="P7635" i="2"/>
  <c r="V7635" i="2" s="1"/>
  <c r="P7631" i="2"/>
  <c r="V7631" i="2" s="1"/>
  <c r="P7627" i="2"/>
  <c r="V7627" i="2" s="1"/>
  <c r="P7623" i="2"/>
  <c r="V7623" i="2" s="1"/>
  <c r="P7619" i="2"/>
  <c r="V7619" i="2" s="1"/>
  <c r="P7615" i="2"/>
  <c r="V7615" i="2" s="1"/>
  <c r="P7611" i="2"/>
  <c r="V7611" i="2" s="1"/>
  <c r="P7607" i="2"/>
  <c r="V7607" i="2" s="1"/>
  <c r="P7603" i="2"/>
  <c r="V7603" i="2" s="1"/>
  <c r="P7599" i="2"/>
  <c r="V7599" i="2" s="1"/>
  <c r="P7595" i="2"/>
  <c r="V7595" i="2" s="1"/>
  <c r="P7591" i="2"/>
  <c r="V7591" i="2" s="1"/>
  <c r="P7587" i="2"/>
  <c r="V7587" i="2" s="1"/>
  <c r="P7583" i="2"/>
  <c r="V7583" i="2" s="1"/>
  <c r="P7579" i="2"/>
  <c r="V7579" i="2" s="1"/>
  <c r="P7575" i="2"/>
  <c r="V7575" i="2" s="1"/>
  <c r="P7571" i="2"/>
  <c r="V7571" i="2" s="1"/>
  <c r="P7567" i="2"/>
  <c r="V7567" i="2" s="1"/>
  <c r="P7563" i="2"/>
  <c r="V7563" i="2" s="1"/>
  <c r="P7559" i="2"/>
  <c r="V7559" i="2" s="1"/>
  <c r="P7555" i="2"/>
  <c r="V7555" i="2" s="1"/>
  <c r="P7551" i="2"/>
  <c r="V7551" i="2" s="1"/>
  <c r="P7547" i="2"/>
  <c r="V7547" i="2" s="1"/>
  <c r="P7543" i="2"/>
  <c r="V7543" i="2" s="1"/>
  <c r="P7539" i="2"/>
  <c r="V7539" i="2" s="1"/>
  <c r="P7535" i="2"/>
  <c r="V7535" i="2" s="1"/>
  <c r="P7531" i="2"/>
  <c r="V7531" i="2" s="1"/>
  <c r="P7527" i="2"/>
  <c r="V7527" i="2" s="1"/>
  <c r="P7523" i="2"/>
  <c r="V7523" i="2" s="1"/>
  <c r="P7519" i="2"/>
  <c r="V7519" i="2" s="1"/>
  <c r="P7515" i="2"/>
  <c r="V7515" i="2" s="1"/>
  <c r="P7511" i="2"/>
  <c r="V7511" i="2" s="1"/>
  <c r="P7507" i="2"/>
  <c r="V7507" i="2" s="1"/>
  <c r="P7503" i="2"/>
  <c r="V7503" i="2" s="1"/>
  <c r="P7499" i="2"/>
  <c r="V7499" i="2" s="1"/>
  <c r="P7495" i="2"/>
  <c r="V7495" i="2" s="1"/>
  <c r="P7491" i="2"/>
  <c r="V7491" i="2" s="1"/>
  <c r="P7487" i="2"/>
  <c r="V7487" i="2" s="1"/>
  <c r="P7483" i="2"/>
  <c r="V7483" i="2" s="1"/>
  <c r="P7479" i="2"/>
  <c r="V7479" i="2" s="1"/>
  <c r="P7475" i="2"/>
  <c r="V7475" i="2" s="1"/>
  <c r="P7471" i="2"/>
  <c r="V7471" i="2" s="1"/>
  <c r="P7467" i="2"/>
  <c r="V7467" i="2" s="1"/>
  <c r="P7463" i="2"/>
  <c r="V7463" i="2" s="1"/>
  <c r="P7459" i="2"/>
  <c r="V7459" i="2" s="1"/>
  <c r="P7455" i="2"/>
  <c r="V7455" i="2" s="1"/>
  <c r="P7451" i="2"/>
  <c r="V7451" i="2" s="1"/>
  <c r="P7447" i="2"/>
  <c r="V7447" i="2" s="1"/>
  <c r="P7443" i="2"/>
  <c r="V7443" i="2" s="1"/>
  <c r="P7439" i="2"/>
  <c r="V7439" i="2" s="1"/>
  <c r="P7435" i="2"/>
  <c r="V7435" i="2" s="1"/>
  <c r="P7431" i="2"/>
  <c r="V7431" i="2" s="1"/>
  <c r="P7427" i="2"/>
  <c r="V7427" i="2" s="1"/>
  <c r="P7423" i="2"/>
  <c r="V7423" i="2" s="1"/>
  <c r="P7419" i="2"/>
  <c r="V7419" i="2" s="1"/>
  <c r="P7415" i="2"/>
  <c r="V7415" i="2" s="1"/>
  <c r="P7411" i="2"/>
  <c r="V7411" i="2" s="1"/>
  <c r="P7407" i="2"/>
  <c r="V7407" i="2" s="1"/>
  <c r="P7403" i="2"/>
  <c r="V7403" i="2" s="1"/>
  <c r="P7399" i="2"/>
  <c r="V7399" i="2" s="1"/>
  <c r="P7395" i="2"/>
  <c r="V7395" i="2" s="1"/>
  <c r="P7391" i="2"/>
  <c r="V7391" i="2" s="1"/>
  <c r="P7387" i="2"/>
  <c r="V7387" i="2" s="1"/>
  <c r="P7383" i="2"/>
  <c r="V7383" i="2" s="1"/>
  <c r="P7379" i="2"/>
  <c r="V7379" i="2" s="1"/>
  <c r="P7375" i="2"/>
  <c r="V7375" i="2" s="1"/>
  <c r="P7371" i="2"/>
  <c r="V7371" i="2" s="1"/>
  <c r="P7367" i="2"/>
  <c r="V7367" i="2" s="1"/>
  <c r="P7363" i="2"/>
  <c r="V7363" i="2" s="1"/>
  <c r="P7359" i="2"/>
  <c r="V7359" i="2" s="1"/>
  <c r="P7355" i="2"/>
  <c r="V7355" i="2" s="1"/>
  <c r="P7351" i="2"/>
  <c r="V7351" i="2" s="1"/>
  <c r="P7347" i="2"/>
  <c r="V7347" i="2" s="1"/>
  <c r="P7343" i="2"/>
  <c r="V7343" i="2" s="1"/>
  <c r="P7339" i="2"/>
  <c r="V7339" i="2" s="1"/>
  <c r="P7335" i="2"/>
  <c r="V7335" i="2" s="1"/>
  <c r="P7331" i="2"/>
  <c r="V7331" i="2" s="1"/>
  <c r="P7327" i="2"/>
  <c r="V7327" i="2" s="1"/>
  <c r="P7323" i="2"/>
  <c r="V7323" i="2" s="1"/>
  <c r="P7319" i="2"/>
  <c r="V7319" i="2" s="1"/>
  <c r="P7315" i="2"/>
  <c r="V7315" i="2" s="1"/>
  <c r="P7311" i="2"/>
  <c r="V7311" i="2" s="1"/>
  <c r="P7307" i="2"/>
  <c r="V7307" i="2" s="1"/>
  <c r="P7303" i="2"/>
  <c r="V7303" i="2" s="1"/>
  <c r="P7299" i="2"/>
  <c r="V7299" i="2" s="1"/>
  <c r="P7295" i="2"/>
  <c r="V7295" i="2" s="1"/>
  <c r="P7291" i="2"/>
  <c r="V7291" i="2" s="1"/>
  <c r="P7287" i="2"/>
  <c r="V7287" i="2" s="1"/>
  <c r="P7283" i="2"/>
  <c r="V7283" i="2" s="1"/>
  <c r="P7279" i="2"/>
  <c r="V7279" i="2" s="1"/>
  <c r="P7275" i="2"/>
  <c r="V7275" i="2" s="1"/>
  <c r="P7271" i="2"/>
  <c r="V7271" i="2" s="1"/>
  <c r="P7267" i="2"/>
  <c r="V7267" i="2" s="1"/>
  <c r="P7263" i="2"/>
  <c r="V7263" i="2" s="1"/>
  <c r="P7259" i="2"/>
  <c r="V7259" i="2" s="1"/>
  <c r="P7255" i="2"/>
  <c r="V7255" i="2" s="1"/>
  <c r="P7251" i="2"/>
  <c r="V7251" i="2" s="1"/>
  <c r="P7247" i="2"/>
  <c r="V7247" i="2" s="1"/>
  <c r="P7243" i="2"/>
  <c r="V7243" i="2" s="1"/>
  <c r="P7239" i="2"/>
  <c r="V7239" i="2" s="1"/>
  <c r="P7235" i="2"/>
  <c r="V7235" i="2" s="1"/>
  <c r="P7231" i="2"/>
  <c r="V7231" i="2" s="1"/>
  <c r="P7227" i="2"/>
  <c r="V7227" i="2" s="1"/>
  <c r="P7223" i="2"/>
  <c r="V7223" i="2" s="1"/>
  <c r="P7219" i="2"/>
  <c r="V7219" i="2" s="1"/>
  <c r="P7215" i="2"/>
  <c r="V7215" i="2" s="1"/>
  <c r="P7211" i="2"/>
  <c r="V7211" i="2" s="1"/>
  <c r="P7207" i="2"/>
  <c r="V7207" i="2" s="1"/>
  <c r="P7203" i="2"/>
  <c r="V7203" i="2" s="1"/>
  <c r="P7199" i="2"/>
  <c r="V7199" i="2" s="1"/>
  <c r="P7195" i="2"/>
  <c r="V7195" i="2" s="1"/>
  <c r="P7191" i="2"/>
  <c r="V7191" i="2" s="1"/>
  <c r="P7187" i="2"/>
  <c r="V7187" i="2" s="1"/>
  <c r="P7183" i="2"/>
  <c r="V7183" i="2" s="1"/>
  <c r="P7179" i="2"/>
  <c r="V7179" i="2" s="1"/>
  <c r="P7175" i="2"/>
  <c r="V7175" i="2" s="1"/>
  <c r="P7171" i="2"/>
  <c r="V7171" i="2" s="1"/>
  <c r="P7167" i="2"/>
  <c r="V7167" i="2" s="1"/>
  <c r="P7163" i="2"/>
  <c r="V7163" i="2" s="1"/>
  <c r="P7159" i="2"/>
  <c r="V7159" i="2" s="1"/>
  <c r="P7155" i="2"/>
  <c r="V7155" i="2" s="1"/>
  <c r="P7151" i="2"/>
  <c r="V7151" i="2" s="1"/>
  <c r="P7147" i="2"/>
  <c r="V7147" i="2" s="1"/>
  <c r="P7143" i="2"/>
  <c r="V7143" i="2" s="1"/>
  <c r="P7139" i="2"/>
  <c r="V7139" i="2" s="1"/>
  <c r="P7135" i="2"/>
  <c r="V7135" i="2" s="1"/>
  <c r="P7131" i="2"/>
  <c r="V7131" i="2" s="1"/>
  <c r="P7127" i="2"/>
  <c r="V7127" i="2" s="1"/>
  <c r="P7123" i="2"/>
  <c r="V7123" i="2" s="1"/>
  <c r="P7119" i="2"/>
  <c r="V7119" i="2" s="1"/>
  <c r="P7115" i="2"/>
  <c r="V7115" i="2" s="1"/>
  <c r="P7111" i="2"/>
  <c r="V7111" i="2" s="1"/>
  <c r="P7107" i="2"/>
  <c r="V7107" i="2" s="1"/>
  <c r="P7103" i="2"/>
  <c r="V7103" i="2" s="1"/>
  <c r="P7099" i="2"/>
  <c r="V7099" i="2" s="1"/>
  <c r="P7095" i="2"/>
  <c r="V7095" i="2" s="1"/>
  <c r="P7091" i="2"/>
  <c r="V7091" i="2" s="1"/>
  <c r="P7087" i="2"/>
  <c r="V7087" i="2" s="1"/>
  <c r="P7083" i="2"/>
  <c r="V7083" i="2" s="1"/>
  <c r="P7079" i="2"/>
  <c r="V7079" i="2" s="1"/>
  <c r="P7075" i="2"/>
  <c r="V7075" i="2" s="1"/>
  <c r="P7071" i="2"/>
  <c r="V7071" i="2" s="1"/>
  <c r="P7067" i="2"/>
  <c r="V7067" i="2" s="1"/>
  <c r="P7063" i="2"/>
  <c r="V7063" i="2" s="1"/>
  <c r="P7059" i="2"/>
  <c r="V7059" i="2" s="1"/>
  <c r="P7055" i="2"/>
  <c r="V7055" i="2" s="1"/>
  <c r="P7051" i="2"/>
  <c r="V7051" i="2" s="1"/>
  <c r="P7047" i="2"/>
  <c r="V7047" i="2" s="1"/>
  <c r="P7043" i="2"/>
  <c r="V7043" i="2" s="1"/>
  <c r="P7039" i="2"/>
  <c r="V7039" i="2" s="1"/>
  <c r="P7035" i="2"/>
  <c r="V7035" i="2" s="1"/>
  <c r="P7031" i="2"/>
  <c r="V7031" i="2" s="1"/>
  <c r="P7027" i="2"/>
  <c r="V7027" i="2" s="1"/>
  <c r="P7023" i="2"/>
  <c r="V7023" i="2" s="1"/>
  <c r="P7019" i="2"/>
  <c r="V7019" i="2" s="1"/>
  <c r="P7015" i="2"/>
  <c r="V7015" i="2" s="1"/>
  <c r="P7011" i="2"/>
  <c r="V7011" i="2" s="1"/>
  <c r="P7007" i="2"/>
  <c r="V7007" i="2" s="1"/>
  <c r="P7003" i="2"/>
  <c r="V7003" i="2" s="1"/>
  <c r="P6999" i="2"/>
  <c r="V6999" i="2" s="1"/>
  <c r="P6995" i="2"/>
  <c r="V6995" i="2" s="1"/>
  <c r="P6991" i="2"/>
  <c r="V6991" i="2" s="1"/>
  <c r="P6987" i="2"/>
  <c r="V6987" i="2" s="1"/>
  <c r="P6983" i="2"/>
  <c r="V6983" i="2" s="1"/>
  <c r="P6979" i="2"/>
  <c r="V6979" i="2" s="1"/>
  <c r="P6975" i="2"/>
  <c r="V6975" i="2" s="1"/>
  <c r="P6971" i="2"/>
  <c r="V6971" i="2" s="1"/>
  <c r="P6967" i="2"/>
  <c r="V6967" i="2" s="1"/>
  <c r="P6963" i="2"/>
  <c r="V6963" i="2" s="1"/>
  <c r="P6959" i="2"/>
  <c r="V6959" i="2" s="1"/>
  <c r="P6955" i="2"/>
  <c r="V6955" i="2" s="1"/>
  <c r="P6951" i="2"/>
  <c r="V6951" i="2" s="1"/>
  <c r="P6947" i="2"/>
  <c r="V6947" i="2" s="1"/>
  <c r="P6943" i="2"/>
  <c r="V6943" i="2" s="1"/>
  <c r="P6939" i="2"/>
  <c r="V6939" i="2" s="1"/>
  <c r="P6935" i="2"/>
  <c r="V6935" i="2" s="1"/>
  <c r="P6931" i="2"/>
  <c r="V6931" i="2" s="1"/>
  <c r="P6927" i="2"/>
  <c r="V6927" i="2" s="1"/>
  <c r="P6923" i="2"/>
  <c r="V6923" i="2" s="1"/>
  <c r="P6919" i="2"/>
  <c r="V6919" i="2" s="1"/>
  <c r="P6915" i="2"/>
  <c r="V6915" i="2" s="1"/>
  <c r="P6911" i="2"/>
  <c r="V6911" i="2" s="1"/>
  <c r="P6907" i="2"/>
  <c r="V6907" i="2" s="1"/>
  <c r="P6903" i="2"/>
  <c r="V6903" i="2" s="1"/>
  <c r="P6899" i="2"/>
  <c r="V6899" i="2" s="1"/>
  <c r="P6895" i="2"/>
  <c r="V6895" i="2" s="1"/>
  <c r="P6891" i="2"/>
  <c r="V6891" i="2" s="1"/>
  <c r="P6887" i="2"/>
  <c r="V6887" i="2" s="1"/>
  <c r="P6883" i="2"/>
  <c r="V6883" i="2" s="1"/>
  <c r="P6879" i="2"/>
  <c r="V6879" i="2" s="1"/>
  <c r="P6875" i="2"/>
  <c r="V6875" i="2" s="1"/>
  <c r="P6871" i="2"/>
  <c r="V6871" i="2" s="1"/>
  <c r="P6867" i="2"/>
  <c r="V6867" i="2" s="1"/>
  <c r="P6863" i="2"/>
  <c r="V6863" i="2" s="1"/>
  <c r="P6859" i="2"/>
  <c r="V6859" i="2" s="1"/>
  <c r="P6855" i="2"/>
  <c r="V6855" i="2" s="1"/>
  <c r="P6851" i="2"/>
  <c r="V6851" i="2" s="1"/>
  <c r="P6847" i="2"/>
  <c r="V6847" i="2" s="1"/>
  <c r="P6843" i="2"/>
  <c r="V6843" i="2" s="1"/>
  <c r="P6839" i="2"/>
  <c r="V6839" i="2" s="1"/>
  <c r="P6835" i="2"/>
  <c r="V6835" i="2" s="1"/>
  <c r="P6831" i="2"/>
  <c r="V6831" i="2" s="1"/>
  <c r="P6827" i="2"/>
  <c r="V6827" i="2" s="1"/>
  <c r="P6823" i="2"/>
  <c r="V6823" i="2" s="1"/>
  <c r="P6819" i="2"/>
  <c r="V6819" i="2" s="1"/>
  <c r="P6815" i="2"/>
  <c r="V6815" i="2" s="1"/>
  <c r="P6811" i="2"/>
  <c r="V6811" i="2" s="1"/>
  <c r="P6807" i="2"/>
  <c r="V6807" i="2" s="1"/>
  <c r="P6803" i="2"/>
  <c r="V6803" i="2" s="1"/>
  <c r="P6799" i="2"/>
  <c r="V6799" i="2" s="1"/>
  <c r="P6795" i="2"/>
  <c r="V6795" i="2" s="1"/>
  <c r="P6791" i="2"/>
  <c r="V6791" i="2" s="1"/>
  <c r="P6787" i="2"/>
  <c r="V6787" i="2" s="1"/>
  <c r="P6783" i="2"/>
  <c r="V6783" i="2" s="1"/>
  <c r="P6779" i="2"/>
  <c r="V6779" i="2" s="1"/>
  <c r="P6775" i="2"/>
  <c r="V6775" i="2" s="1"/>
  <c r="P6771" i="2"/>
  <c r="V6771" i="2" s="1"/>
  <c r="P6767" i="2"/>
  <c r="V6767" i="2" s="1"/>
  <c r="P6763" i="2"/>
  <c r="V6763" i="2" s="1"/>
  <c r="P6759" i="2"/>
  <c r="V6759" i="2" s="1"/>
  <c r="P6755" i="2"/>
  <c r="V6755" i="2" s="1"/>
  <c r="P6751" i="2"/>
  <c r="V6751" i="2" s="1"/>
  <c r="P6747" i="2"/>
  <c r="V6747" i="2" s="1"/>
  <c r="P6743" i="2"/>
  <c r="V6743" i="2" s="1"/>
  <c r="P6739" i="2"/>
  <c r="V6739" i="2" s="1"/>
  <c r="P6735" i="2"/>
  <c r="V6735" i="2" s="1"/>
  <c r="P6731" i="2"/>
  <c r="V6731" i="2" s="1"/>
  <c r="P6727" i="2"/>
  <c r="V6727" i="2" s="1"/>
  <c r="P6723" i="2"/>
  <c r="V6723" i="2" s="1"/>
  <c r="P6719" i="2"/>
  <c r="V6719" i="2" s="1"/>
  <c r="P6715" i="2"/>
  <c r="V6715" i="2" s="1"/>
  <c r="P6711" i="2"/>
  <c r="V6711" i="2" s="1"/>
  <c r="P6707" i="2"/>
  <c r="V6707" i="2" s="1"/>
  <c r="P6703" i="2"/>
  <c r="V6703" i="2" s="1"/>
  <c r="P6699" i="2"/>
  <c r="V6699" i="2" s="1"/>
  <c r="P6695" i="2"/>
  <c r="V6695" i="2" s="1"/>
  <c r="P6691" i="2"/>
  <c r="V6691" i="2" s="1"/>
  <c r="P6687" i="2"/>
  <c r="V6687" i="2" s="1"/>
  <c r="P6683" i="2"/>
  <c r="V6683" i="2" s="1"/>
  <c r="P6679" i="2"/>
  <c r="V6679" i="2" s="1"/>
  <c r="P6675" i="2"/>
  <c r="V6675" i="2" s="1"/>
  <c r="P6671" i="2"/>
  <c r="V6671" i="2" s="1"/>
  <c r="P6667" i="2"/>
  <c r="V6667" i="2" s="1"/>
  <c r="P6663" i="2"/>
  <c r="V6663" i="2" s="1"/>
  <c r="P6659" i="2"/>
  <c r="V6659" i="2" s="1"/>
  <c r="P6655" i="2"/>
  <c r="V6655" i="2" s="1"/>
  <c r="P6651" i="2"/>
  <c r="V6651" i="2" s="1"/>
  <c r="P6647" i="2"/>
  <c r="V6647" i="2" s="1"/>
  <c r="P6643" i="2"/>
  <c r="V6643" i="2" s="1"/>
  <c r="P6639" i="2"/>
  <c r="V6639" i="2" s="1"/>
  <c r="P6635" i="2"/>
  <c r="V6635" i="2" s="1"/>
  <c r="P6631" i="2"/>
  <c r="V6631" i="2" s="1"/>
  <c r="P6627" i="2"/>
  <c r="V6627" i="2" s="1"/>
  <c r="P6623" i="2"/>
  <c r="V6623" i="2" s="1"/>
  <c r="P6619" i="2"/>
  <c r="V6619" i="2" s="1"/>
  <c r="P6615" i="2"/>
  <c r="V6615" i="2" s="1"/>
  <c r="P6611" i="2"/>
  <c r="V6611" i="2" s="1"/>
  <c r="P6607" i="2"/>
  <c r="V6607" i="2" s="1"/>
  <c r="P6603" i="2"/>
  <c r="V6603" i="2" s="1"/>
  <c r="P6599" i="2"/>
  <c r="V6599" i="2" s="1"/>
  <c r="P6595" i="2"/>
  <c r="V6595" i="2" s="1"/>
  <c r="P6591" i="2"/>
  <c r="V6591" i="2" s="1"/>
  <c r="P6587" i="2"/>
  <c r="V6587" i="2" s="1"/>
  <c r="P6583" i="2"/>
  <c r="V6583" i="2" s="1"/>
  <c r="P6579" i="2"/>
  <c r="V6579" i="2" s="1"/>
  <c r="P6575" i="2"/>
  <c r="V6575" i="2" s="1"/>
  <c r="P6571" i="2"/>
  <c r="V6571" i="2" s="1"/>
  <c r="P6567" i="2"/>
  <c r="V6567" i="2" s="1"/>
  <c r="P6563" i="2"/>
  <c r="V6563" i="2" s="1"/>
  <c r="P6559" i="2"/>
  <c r="V6559" i="2" s="1"/>
  <c r="P6555" i="2"/>
  <c r="V6555" i="2" s="1"/>
  <c r="P6551" i="2"/>
  <c r="V6551" i="2" s="1"/>
  <c r="P6547" i="2"/>
  <c r="V6547" i="2" s="1"/>
  <c r="P6543" i="2"/>
  <c r="V6543" i="2" s="1"/>
  <c r="P6539" i="2"/>
  <c r="V6539" i="2" s="1"/>
  <c r="P6535" i="2"/>
  <c r="V6535" i="2" s="1"/>
  <c r="P6531" i="2"/>
  <c r="V6531" i="2" s="1"/>
  <c r="P6527" i="2"/>
  <c r="V6527" i="2" s="1"/>
  <c r="P6523" i="2"/>
  <c r="V6523" i="2" s="1"/>
  <c r="P6519" i="2"/>
  <c r="V6519" i="2" s="1"/>
  <c r="P6515" i="2"/>
  <c r="V6515" i="2" s="1"/>
  <c r="P6511" i="2"/>
  <c r="V6511" i="2" s="1"/>
  <c r="P6507" i="2"/>
  <c r="V6507" i="2" s="1"/>
  <c r="P6503" i="2"/>
  <c r="V6503" i="2" s="1"/>
  <c r="P6499" i="2"/>
  <c r="V6499" i="2" s="1"/>
  <c r="P6495" i="2"/>
  <c r="V6495" i="2" s="1"/>
  <c r="P6491" i="2"/>
  <c r="V6491" i="2" s="1"/>
  <c r="P6487" i="2"/>
  <c r="V6487" i="2" s="1"/>
  <c r="P6483" i="2"/>
  <c r="V6483" i="2" s="1"/>
  <c r="P6479" i="2"/>
  <c r="V6479" i="2" s="1"/>
  <c r="P6475" i="2"/>
  <c r="V6475" i="2" s="1"/>
  <c r="P6471" i="2"/>
  <c r="V6471" i="2" s="1"/>
  <c r="P6467" i="2"/>
  <c r="V6467" i="2" s="1"/>
  <c r="P6463" i="2"/>
  <c r="V6463" i="2" s="1"/>
  <c r="P6459" i="2"/>
  <c r="V6459" i="2" s="1"/>
  <c r="P6455" i="2"/>
  <c r="V6455" i="2" s="1"/>
  <c r="P6451" i="2"/>
  <c r="V6451" i="2" s="1"/>
  <c r="P6447" i="2"/>
  <c r="V6447" i="2" s="1"/>
  <c r="P6443" i="2"/>
  <c r="V6443" i="2" s="1"/>
  <c r="P6439" i="2"/>
  <c r="V6439" i="2" s="1"/>
  <c r="P6435" i="2"/>
  <c r="V6435" i="2" s="1"/>
  <c r="P6431" i="2"/>
  <c r="V6431" i="2" s="1"/>
  <c r="P6427" i="2"/>
  <c r="V6427" i="2" s="1"/>
  <c r="P6423" i="2"/>
  <c r="V6423" i="2" s="1"/>
  <c r="P6419" i="2"/>
  <c r="V6419" i="2" s="1"/>
  <c r="P6415" i="2"/>
  <c r="V6415" i="2" s="1"/>
  <c r="P6411" i="2"/>
  <c r="V6411" i="2" s="1"/>
  <c r="P6407" i="2"/>
  <c r="V6407" i="2" s="1"/>
  <c r="P6403" i="2"/>
  <c r="V6403" i="2" s="1"/>
  <c r="P6399" i="2"/>
  <c r="V6399" i="2" s="1"/>
  <c r="P6395" i="2"/>
  <c r="V6395" i="2" s="1"/>
  <c r="P6391" i="2"/>
  <c r="V6391" i="2" s="1"/>
  <c r="P6387" i="2"/>
  <c r="V6387" i="2" s="1"/>
  <c r="P6383" i="2"/>
  <c r="V6383" i="2" s="1"/>
  <c r="P6379" i="2"/>
  <c r="V6379" i="2" s="1"/>
  <c r="P6375" i="2"/>
  <c r="V6375" i="2" s="1"/>
  <c r="P6371" i="2"/>
  <c r="V6371" i="2" s="1"/>
  <c r="P6367" i="2"/>
  <c r="V6367" i="2" s="1"/>
  <c r="P6363" i="2"/>
  <c r="V6363" i="2" s="1"/>
  <c r="P6359" i="2"/>
  <c r="V6359" i="2" s="1"/>
  <c r="P6355" i="2"/>
  <c r="V6355" i="2" s="1"/>
  <c r="P6351" i="2"/>
  <c r="V6351" i="2" s="1"/>
  <c r="P6347" i="2"/>
  <c r="V6347" i="2" s="1"/>
  <c r="P6343" i="2"/>
  <c r="V6343" i="2" s="1"/>
  <c r="P6339" i="2"/>
  <c r="V6339" i="2" s="1"/>
  <c r="P6335" i="2"/>
  <c r="V6335" i="2" s="1"/>
  <c r="P6331" i="2"/>
  <c r="V6331" i="2" s="1"/>
  <c r="P6327" i="2"/>
  <c r="V6327" i="2" s="1"/>
  <c r="P6323" i="2"/>
  <c r="V6323" i="2" s="1"/>
  <c r="P6319" i="2"/>
  <c r="V6319" i="2" s="1"/>
  <c r="P6315" i="2"/>
  <c r="V6315" i="2" s="1"/>
  <c r="P6311" i="2"/>
  <c r="V6311" i="2" s="1"/>
  <c r="P6307" i="2"/>
  <c r="V6307" i="2" s="1"/>
  <c r="P6303" i="2"/>
  <c r="V6303" i="2" s="1"/>
  <c r="P6299" i="2"/>
  <c r="V6299" i="2" s="1"/>
  <c r="P6295" i="2"/>
  <c r="V6295" i="2" s="1"/>
  <c r="P6291" i="2"/>
  <c r="V6291" i="2" s="1"/>
  <c r="P6287" i="2"/>
  <c r="V6287" i="2" s="1"/>
  <c r="P6283" i="2"/>
  <c r="V6283" i="2" s="1"/>
  <c r="P6279" i="2"/>
  <c r="V6279" i="2" s="1"/>
  <c r="P6275" i="2"/>
  <c r="V6275" i="2" s="1"/>
  <c r="P6271" i="2"/>
  <c r="V6271" i="2" s="1"/>
  <c r="P6267" i="2"/>
  <c r="V6267" i="2" s="1"/>
  <c r="P6263" i="2"/>
  <c r="V6263" i="2" s="1"/>
  <c r="P6259" i="2"/>
  <c r="V6259" i="2" s="1"/>
  <c r="P6255" i="2"/>
  <c r="V6255" i="2" s="1"/>
  <c r="P6251" i="2"/>
  <c r="V6251" i="2" s="1"/>
  <c r="P6247" i="2"/>
  <c r="V6247" i="2" s="1"/>
  <c r="P6243" i="2"/>
  <c r="V6243" i="2" s="1"/>
  <c r="P6239" i="2"/>
  <c r="V6239" i="2" s="1"/>
  <c r="P6235" i="2"/>
  <c r="V6235" i="2" s="1"/>
  <c r="P6231" i="2"/>
  <c r="V6231" i="2" s="1"/>
  <c r="P6227" i="2"/>
  <c r="V6227" i="2" s="1"/>
  <c r="P6223" i="2"/>
  <c r="V6223" i="2" s="1"/>
  <c r="P6219" i="2"/>
  <c r="V6219" i="2" s="1"/>
  <c r="P6215" i="2"/>
  <c r="V6215" i="2" s="1"/>
  <c r="P6211" i="2"/>
  <c r="V6211" i="2" s="1"/>
  <c r="P6207" i="2"/>
  <c r="V6207" i="2" s="1"/>
  <c r="P6203" i="2"/>
  <c r="V6203" i="2" s="1"/>
  <c r="P6199" i="2"/>
  <c r="V6199" i="2" s="1"/>
  <c r="P6195" i="2"/>
  <c r="V6195" i="2" s="1"/>
  <c r="P6191" i="2"/>
  <c r="V6191" i="2" s="1"/>
  <c r="P6187" i="2"/>
  <c r="V6187" i="2" s="1"/>
  <c r="P6183" i="2"/>
  <c r="V6183" i="2" s="1"/>
  <c r="P6179" i="2"/>
  <c r="V6179" i="2" s="1"/>
  <c r="P6175" i="2"/>
  <c r="V6175" i="2" s="1"/>
  <c r="P6171" i="2"/>
  <c r="V6171" i="2" s="1"/>
  <c r="P6167" i="2"/>
  <c r="V6167" i="2" s="1"/>
  <c r="P6163" i="2"/>
  <c r="V6163" i="2" s="1"/>
  <c r="P6159" i="2"/>
  <c r="V6159" i="2" s="1"/>
  <c r="P6155" i="2"/>
  <c r="V6155" i="2" s="1"/>
  <c r="P6151" i="2"/>
  <c r="V6151" i="2" s="1"/>
  <c r="P6147" i="2"/>
  <c r="V6147" i="2" s="1"/>
  <c r="P6143" i="2"/>
  <c r="V6143" i="2" s="1"/>
  <c r="P6139" i="2"/>
  <c r="V6139" i="2" s="1"/>
  <c r="P6135" i="2"/>
  <c r="V6135" i="2" s="1"/>
  <c r="P6131" i="2"/>
  <c r="V6131" i="2" s="1"/>
  <c r="P6127" i="2"/>
  <c r="V6127" i="2" s="1"/>
  <c r="P6123" i="2"/>
  <c r="V6123" i="2" s="1"/>
  <c r="P6119" i="2"/>
  <c r="V6119" i="2" s="1"/>
  <c r="P6115" i="2"/>
  <c r="V6115" i="2" s="1"/>
  <c r="P6111" i="2"/>
  <c r="V6111" i="2" s="1"/>
  <c r="P6107" i="2"/>
  <c r="V6107" i="2" s="1"/>
  <c r="P6103" i="2"/>
  <c r="V6103" i="2" s="1"/>
  <c r="P6099" i="2"/>
  <c r="V6099" i="2" s="1"/>
  <c r="P6095" i="2"/>
  <c r="V6095" i="2" s="1"/>
  <c r="P6091" i="2"/>
  <c r="V6091" i="2" s="1"/>
  <c r="P6087" i="2"/>
  <c r="V6087" i="2" s="1"/>
  <c r="P6083" i="2"/>
  <c r="V6083" i="2" s="1"/>
  <c r="P6079" i="2"/>
  <c r="V6079" i="2" s="1"/>
  <c r="P6075" i="2"/>
  <c r="V6075" i="2" s="1"/>
  <c r="P6071" i="2"/>
  <c r="V6071" i="2" s="1"/>
  <c r="P6067" i="2"/>
  <c r="V6067" i="2" s="1"/>
  <c r="P6063" i="2"/>
  <c r="V6063" i="2" s="1"/>
  <c r="P6059" i="2"/>
  <c r="V6059" i="2" s="1"/>
  <c r="P6055" i="2"/>
  <c r="V6055" i="2" s="1"/>
  <c r="P6051" i="2"/>
  <c r="V6051" i="2" s="1"/>
  <c r="P6047" i="2"/>
  <c r="V6047" i="2" s="1"/>
  <c r="P6043" i="2"/>
  <c r="V6043" i="2" s="1"/>
  <c r="P6039" i="2"/>
  <c r="V6039" i="2" s="1"/>
  <c r="P6035" i="2"/>
  <c r="V6035" i="2" s="1"/>
  <c r="P6031" i="2"/>
  <c r="V6031" i="2" s="1"/>
  <c r="P6027" i="2"/>
  <c r="V6027" i="2" s="1"/>
  <c r="P6023" i="2"/>
  <c r="V6023" i="2" s="1"/>
  <c r="P6019" i="2"/>
  <c r="V6019" i="2" s="1"/>
  <c r="P6015" i="2"/>
  <c r="V6015" i="2" s="1"/>
  <c r="P6011" i="2"/>
  <c r="V6011" i="2" s="1"/>
  <c r="P6007" i="2"/>
  <c r="V6007" i="2" s="1"/>
  <c r="P6003" i="2"/>
  <c r="V6003" i="2" s="1"/>
  <c r="P5999" i="2"/>
  <c r="V5999" i="2" s="1"/>
  <c r="P5995" i="2"/>
  <c r="V5995" i="2" s="1"/>
  <c r="P5991" i="2"/>
  <c r="V5991" i="2" s="1"/>
  <c r="P5987" i="2"/>
  <c r="V5987" i="2" s="1"/>
  <c r="P5983" i="2"/>
  <c r="V5983" i="2" s="1"/>
  <c r="P5979" i="2"/>
  <c r="V5979" i="2" s="1"/>
  <c r="P5975" i="2"/>
  <c r="V5975" i="2" s="1"/>
  <c r="P5971" i="2"/>
  <c r="V5971" i="2" s="1"/>
  <c r="P5967" i="2"/>
  <c r="V5967" i="2" s="1"/>
  <c r="P5963" i="2"/>
  <c r="V5963" i="2" s="1"/>
  <c r="P5959" i="2"/>
  <c r="V5959" i="2" s="1"/>
  <c r="P5955" i="2"/>
  <c r="V5955" i="2" s="1"/>
  <c r="P5951" i="2"/>
  <c r="V5951" i="2" s="1"/>
  <c r="P5947" i="2"/>
  <c r="V5947" i="2" s="1"/>
  <c r="P5943" i="2"/>
  <c r="V5943" i="2" s="1"/>
  <c r="P5939" i="2"/>
  <c r="V5939" i="2" s="1"/>
  <c r="P5935" i="2"/>
  <c r="V5935" i="2" s="1"/>
  <c r="P5931" i="2"/>
  <c r="V5931" i="2" s="1"/>
  <c r="P5927" i="2"/>
  <c r="V5927" i="2" s="1"/>
  <c r="P5923" i="2"/>
  <c r="V5923" i="2" s="1"/>
  <c r="P5919" i="2"/>
  <c r="V5919" i="2" s="1"/>
  <c r="P5915" i="2"/>
  <c r="V5915" i="2" s="1"/>
  <c r="P5911" i="2"/>
  <c r="V5911" i="2" s="1"/>
  <c r="P5907" i="2"/>
  <c r="V5907" i="2" s="1"/>
  <c r="P5903" i="2"/>
  <c r="V5903" i="2" s="1"/>
  <c r="P5899" i="2"/>
  <c r="V5899" i="2" s="1"/>
  <c r="P5895" i="2"/>
  <c r="V5895" i="2" s="1"/>
  <c r="P5891" i="2"/>
  <c r="V5891" i="2" s="1"/>
  <c r="P5887" i="2"/>
  <c r="V5887" i="2" s="1"/>
  <c r="P5883" i="2"/>
  <c r="V5883" i="2" s="1"/>
  <c r="P5879" i="2"/>
  <c r="V5879" i="2" s="1"/>
  <c r="P5875" i="2"/>
  <c r="V5875" i="2" s="1"/>
  <c r="P5871" i="2"/>
  <c r="V5871" i="2" s="1"/>
  <c r="P5867" i="2"/>
  <c r="V5867" i="2" s="1"/>
  <c r="P5863" i="2"/>
  <c r="V5863" i="2" s="1"/>
  <c r="P5859" i="2"/>
  <c r="V5859" i="2" s="1"/>
  <c r="P5855" i="2"/>
  <c r="V5855" i="2" s="1"/>
  <c r="P5851" i="2"/>
  <c r="V5851" i="2" s="1"/>
  <c r="P5847" i="2"/>
  <c r="V5847" i="2" s="1"/>
  <c r="P5843" i="2"/>
  <c r="V5843" i="2" s="1"/>
  <c r="P5839" i="2"/>
  <c r="V5839" i="2" s="1"/>
  <c r="P5835" i="2"/>
  <c r="V5835" i="2" s="1"/>
  <c r="P5831" i="2"/>
  <c r="V5831" i="2" s="1"/>
  <c r="P5827" i="2"/>
  <c r="V5827" i="2" s="1"/>
  <c r="P5823" i="2"/>
  <c r="V5823" i="2" s="1"/>
  <c r="P5819" i="2"/>
  <c r="V5819" i="2" s="1"/>
  <c r="P5815" i="2"/>
  <c r="V5815" i="2" s="1"/>
  <c r="P5811" i="2"/>
  <c r="V5811" i="2" s="1"/>
  <c r="P5807" i="2"/>
  <c r="V5807" i="2" s="1"/>
  <c r="P5803" i="2"/>
  <c r="V5803" i="2" s="1"/>
  <c r="P5799" i="2"/>
  <c r="V5799" i="2" s="1"/>
  <c r="P5795" i="2"/>
  <c r="V5795" i="2" s="1"/>
  <c r="P5791" i="2"/>
  <c r="V5791" i="2" s="1"/>
  <c r="P5787" i="2"/>
  <c r="V5787" i="2" s="1"/>
  <c r="P5783" i="2"/>
  <c r="V5783" i="2" s="1"/>
  <c r="P5779" i="2"/>
  <c r="V5779" i="2" s="1"/>
  <c r="P5775" i="2"/>
  <c r="V5775" i="2" s="1"/>
  <c r="P5771" i="2"/>
  <c r="V5771" i="2" s="1"/>
  <c r="P5767" i="2"/>
  <c r="V5767" i="2" s="1"/>
  <c r="P5763" i="2"/>
  <c r="V5763" i="2" s="1"/>
  <c r="P5759" i="2"/>
  <c r="V5759" i="2" s="1"/>
  <c r="P5755" i="2"/>
  <c r="V5755" i="2" s="1"/>
  <c r="P5751" i="2"/>
  <c r="V5751" i="2" s="1"/>
  <c r="P5747" i="2"/>
  <c r="V5747" i="2" s="1"/>
  <c r="P5743" i="2"/>
  <c r="V5743" i="2" s="1"/>
  <c r="P5739" i="2"/>
  <c r="V5739" i="2" s="1"/>
  <c r="P5735" i="2"/>
  <c r="V5735" i="2" s="1"/>
  <c r="P5731" i="2"/>
  <c r="V5731" i="2" s="1"/>
  <c r="P5727" i="2"/>
  <c r="V5727" i="2" s="1"/>
  <c r="P5723" i="2"/>
  <c r="V5723" i="2" s="1"/>
  <c r="P5719" i="2"/>
  <c r="V5719" i="2" s="1"/>
  <c r="P5715" i="2"/>
  <c r="V5715" i="2" s="1"/>
  <c r="P5711" i="2"/>
  <c r="V5711" i="2" s="1"/>
  <c r="P5707" i="2"/>
  <c r="V5707" i="2" s="1"/>
  <c r="P5703" i="2"/>
  <c r="V5703" i="2" s="1"/>
  <c r="P5699" i="2"/>
  <c r="V5699" i="2" s="1"/>
  <c r="P5695" i="2"/>
  <c r="V5695" i="2" s="1"/>
  <c r="P5691" i="2"/>
  <c r="V5691" i="2" s="1"/>
  <c r="P5687" i="2"/>
  <c r="V5687" i="2" s="1"/>
  <c r="P5683" i="2"/>
  <c r="V5683" i="2" s="1"/>
  <c r="P5679" i="2"/>
  <c r="V5679" i="2" s="1"/>
  <c r="P5675" i="2"/>
  <c r="V5675" i="2" s="1"/>
  <c r="P5671" i="2"/>
  <c r="V5671" i="2" s="1"/>
  <c r="P5667" i="2"/>
  <c r="V5667" i="2" s="1"/>
  <c r="P5663" i="2"/>
  <c r="V5663" i="2" s="1"/>
  <c r="P5659" i="2"/>
  <c r="V5659" i="2" s="1"/>
  <c r="P5655" i="2"/>
  <c r="V5655" i="2" s="1"/>
  <c r="P5651" i="2"/>
  <c r="V5651" i="2" s="1"/>
  <c r="P5647" i="2"/>
  <c r="V5647" i="2" s="1"/>
  <c r="P5643" i="2"/>
  <c r="V5643" i="2" s="1"/>
  <c r="P5639" i="2"/>
  <c r="V5639" i="2" s="1"/>
  <c r="P5635" i="2"/>
  <c r="V5635" i="2" s="1"/>
  <c r="P5631" i="2"/>
  <c r="V5631" i="2" s="1"/>
  <c r="P5627" i="2"/>
  <c r="V5627" i="2" s="1"/>
  <c r="P5623" i="2"/>
  <c r="V5623" i="2" s="1"/>
  <c r="P5619" i="2"/>
  <c r="V5619" i="2" s="1"/>
  <c r="P5615" i="2"/>
  <c r="V5615" i="2" s="1"/>
  <c r="P5611" i="2"/>
  <c r="V5611" i="2" s="1"/>
  <c r="P5607" i="2"/>
  <c r="V5607" i="2" s="1"/>
  <c r="P5603" i="2"/>
  <c r="V5603" i="2" s="1"/>
  <c r="P5599" i="2"/>
  <c r="V5599" i="2" s="1"/>
  <c r="P5595" i="2"/>
  <c r="V5595" i="2" s="1"/>
  <c r="P5591" i="2"/>
  <c r="V5591" i="2" s="1"/>
  <c r="P5587" i="2"/>
  <c r="V5587" i="2" s="1"/>
  <c r="P5583" i="2"/>
  <c r="V5583" i="2" s="1"/>
  <c r="P5579" i="2"/>
  <c r="V5579" i="2" s="1"/>
  <c r="P5575" i="2"/>
  <c r="V5575" i="2" s="1"/>
  <c r="P5571" i="2"/>
  <c r="V5571" i="2" s="1"/>
  <c r="P5567" i="2"/>
  <c r="V5567" i="2" s="1"/>
  <c r="P5563" i="2"/>
  <c r="V5563" i="2" s="1"/>
  <c r="P5559" i="2"/>
  <c r="V5559" i="2" s="1"/>
  <c r="P5555" i="2"/>
  <c r="V5555" i="2" s="1"/>
  <c r="P5551" i="2"/>
  <c r="V5551" i="2" s="1"/>
  <c r="P5547" i="2"/>
  <c r="V5547" i="2" s="1"/>
  <c r="P5543" i="2"/>
  <c r="V5543" i="2" s="1"/>
  <c r="P5539" i="2"/>
  <c r="V5539" i="2" s="1"/>
  <c r="P5535" i="2"/>
  <c r="V5535" i="2" s="1"/>
  <c r="P5531" i="2"/>
  <c r="V5531" i="2" s="1"/>
  <c r="P5527" i="2"/>
  <c r="V5527" i="2" s="1"/>
  <c r="P5523" i="2"/>
  <c r="V5523" i="2" s="1"/>
  <c r="P5519" i="2"/>
  <c r="V5519" i="2" s="1"/>
  <c r="P5515" i="2"/>
  <c r="V5515" i="2" s="1"/>
  <c r="P5511" i="2"/>
  <c r="V5511" i="2" s="1"/>
  <c r="P5507" i="2"/>
  <c r="V5507" i="2" s="1"/>
  <c r="P5503" i="2"/>
  <c r="V5503" i="2" s="1"/>
  <c r="P5499" i="2"/>
  <c r="V5499" i="2" s="1"/>
  <c r="P5495" i="2"/>
  <c r="V5495" i="2" s="1"/>
  <c r="P5491" i="2"/>
  <c r="V5491" i="2" s="1"/>
  <c r="P5487" i="2"/>
  <c r="V5487" i="2" s="1"/>
  <c r="P5483" i="2"/>
  <c r="V5483" i="2" s="1"/>
  <c r="P5479" i="2"/>
  <c r="V5479" i="2" s="1"/>
  <c r="P5475" i="2"/>
  <c r="V5475" i="2" s="1"/>
  <c r="P5471" i="2"/>
  <c r="V5471" i="2" s="1"/>
  <c r="P5467" i="2"/>
  <c r="V5467" i="2" s="1"/>
  <c r="P5463" i="2"/>
  <c r="V5463" i="2" s="1"/>
  <c r="P5459" i="2"/>
  <c r="V5459" i="2" s="1"/>
  <c r="P5455" i="2"/>
  <c r="V5455" i="2" s="1"/>
  <c r="P5451" i="2"/>
  <c r="V5451" i="2" s="1"/>
  <c r="P5447" i="2"/>
  <c r="V5447" i="2" s="1"/>
  <c r="P5443" i="2"/>
  <c r="V5443" i="2" s="1"/>
  <c r="P5439" i="2"/>
  <c r="V5439" i="2" s="1"/>
  <c r="P5435" i="2"/>
  <c r="V5435" i="2" s="1"/>
  <c r="P5431" i="2"/>
  <c r="V5431" i="2" s="1"/>
  <c r="P5427" i="2"/>
  <c r="V5427" i="2" s="1"/>
  <c r="P5423" i="2"/>
  <c r="V5423" i="2" s="1"/>
  <c r="P5419" i="2"/>
  <c r="V5419" i="2" s="1"/>
  <c r="P5415" i="2"/>
  <c r="V5415" i="2" s="1"/>
  <c r="P5411" i="2"/>
  <c r="V5411" i="2" s="1"/>
  <c r="P5407" i="2"/>
  <c r="V5407" i="2" s="1"/>
  <c r="P5403" i="2"/>
  <c r="V5403" i="2" s="1"/>
  <c r="P5399" i="2"/>
  <c r="V5399" i="2" s="1"/>
  <c r="P5395" i="2"/>
  <c r="V5395" i="2" s="1"/>
  <c r="P5391" i="2"/>
  <c r="V5391" i="2" s="1"/>
  <c r="P5387" i="2"/>
  <c r="V5387" i="2" s="1"/>
  <c r="P5383" i="2"/>
  <c r="V5383" i="2" s="1"/>
  <c r="P5379" i="2"/>
  <c r="V5379" i="2" s="1"/>
  <c r="P5375" i="2"/>
  <c r="V5375" i="2" s="1"/>
  <c r="P5371" i="2"/>
  <c r="V5371" i="2" s="1"/>
  <c r="P5367" i="2"/>
  <c r="V5367" i="2" s="1"/>
  <c r="P5363" i="2"/>
  <c r="V5363" i="2" s="1"/>
  <c r="P5359" i="2"/>
  <c r="V5359" i="2" s="1"/>
  <c r="P5355" i="2"/>
  <c r="V5355" i="2" s="1"/>
  <c r="P5351" i="2"/>
  <c r="V5351" i="2" s="1"/>
  <c r="P5347" i="2"/>
  <c r="V5347" i="2" s="1"/>
  <c r="P5343" i="2"/>
  <c r="V5343" i="2" s="1"/>
  <c r="P5339" i="2"/>
  <c r="V5339" i="2" s="1"/>
  <c r="P5335" i="2"/>
  <c r="V5335" i="2" s="1"/>
  <c r="P5331" i="2"/>
  <c r="V5331" i="2" s="1"/>
  <c r="P5327" i="2"/>
  <c r="V5327" i="2" s="1"/>
  <c r="P5323" i="2"/>
  <c r="V5323" i="2" s="1"/>
  <c r="P5319" i="2"/>
  <c r="V5319" i="2" s="1"/>
  <c r="P5315" i="2"/>
  <c r="V5315" i="2" s="1"/>
  <c r="P5311" i="2"/>
  <c r="V5311" i="2" s="1"/>
  <c r="P5307" i="2"/>
  <c r="V5307" i="2" s="1"/>
  <c r="P5303" i="2"/>
  <c r="V5303" i="2" s="1"/>
  <c r="P5299" i="2"/>
  <c r="V5299" i="2" s="1"/>
  <c r="P5295" i="2"/>
  <c r="V5295" i="2" s="1"/>
  <c r="P5291" i="2"/>
  <c r="V5291" i="2" s="1"/>
  <c r="P5287" i="2"/>
  <c r="V5287" i="2" s="1"/>
  <c r="P5283" i="2"/>
  <c r="V5283" i="2" s="1"/>
  <c r="P5279" i="2"/>
  <c r="V5279" i="2" s="1"/>
  <c r="P5275" i="2"/>
  <c r="V5275" i="2" s="1"/>
  <c r="P5271" i="2"/>
  <c r="V5271" i="2" s="1"/>
  <c r="P5267" i="2"/>
  <c r="V5267" i="2" s="1"/>
  <c r="P5263" i="2"/>
  <c r="V5263" i="2" s="1"/>
  <c r="P5259" i="2"/>
  <c r="V5259" i="2" s="1"/>
  <c r="P5255" i="2"/>
  <c r="V5255" i="2" s="1"/>
  <c r="P5251" i="2"/>
  <c r="V5251" i="2" s="1"/>
  <c r="P5247" i="2"/>
  <c r="V5247" i="2" s="1"/>
  <c r="P5243" i="2"/>
  <c r="V5243" i="2" s="1"/>
  <c r="P5239" i="2"/>
  <c r="V5239" i="2" s="1"/>
  <c r="P5235" i="2"/>
  <c r="V5235" i="2" s="1"/>
  <c r="P5231" i="2"/>
  <c r="V5231" i="2" s="1"/>
  <c r="P5227" i="2"/>
  <c r="V5227" i="2" s="1"/>
  <c r="P5223" i="2"/>
  <c r="V5223" i="2" s="1"/>
  <c r="P5219" i="2"/>
  <c r="V5219" i="2" s="1"/>
  <c r="P5215" i="2"/>
  <c r="V5215" i="2" s="1"/>
  <c r="P5211" i="2"/>
  <c r="V5211" i="2" s="1"/>
  <c r="P5207" i="2"/>
  <c r="V5207" i="2" s="1"/>
  <c r="P5203" i="2"/>
  <c r="V5203" i="2" s="1"/>
  <c r="P5199" i="2"/>
  <c r="V5199" i="2" s="1"/>
  <c r="P5195" i="2"/>
  <c r="V5195" i="2" s="1"/>
  <c r="P5191" i="2"/>
  <c r="V5191" i="2" s="1"/>
  <c r="P5187" i="2"/>
  <c r="V5187" i="2" s="1"/>
  <c r="P5183" i="2"/>
  <c r="V5183" i="2" s="1"/>
  <c r="P5179" i="2"/>
  <c r="V5179" i="2" s="1"/>
  <c r="P5175" i="2"/>
  <c r="V5175" i="2" s="1"/>
  <c r="P5171" i="2"/>
  <c r="V5171" i="2" s="1"/>
  <c r="P5167" i="2"/>
  <c r="V5167" i="2" s="1"/>
  <c r="P5163" i="2"/>
  <c r="V5163" i="2" s="1"/>
  <c r="P5159" i="2"/>
  <c r="V5159" i="2" s="1"/>
  <c r="P5155" i="2"/>
  <c r="V5155" i="2" s="1"/>
  <c r="P5151" i="2"/>
  <c r="V5151" i="2" s="1"/>
  <c r="P5147" i="2"/>
  <c r="V5147" i="2" s="1"/>
  <c r="P5143" i="2"/>
  <c r="V5143" i="2" s="1"/>
  <c r="P5139" i="2"/>
  <c r="V5139" i="2" s="1"/>
  <c r="P5135" i="2"/>
  <c r="V5135" i="2" s="1"/>
  <c r="P5131" i="2"/>
  <c r="V5131" i="2" s="1"/>
  <c r="P5127" i="2"/>
  <c r="V5127" i="2" s="1"/>
  <c r="P5123" i="2"/>
  <c r="V5123" i="2" s="1"/>
  <c r="P5119" i="2"/>
  <c r="V5119" i="2" s="1"/>
  <c r="P5115" i="2"/>
  <c r="V5115" i="2" s="1"/>
  <c r="P5111" i="2"/>
  <c r="V5111" i="2" s="1"/>
  <c r="P5107" i="2"/>
  <c r="V5107" i="2" s="1"/>
  <c r="P5103" i="2"/>
  <c r="V5103" i="2" s="1"/>
  <c r="P5099" i="2"/>
  <c r="V5099" i="2" s="1"/>
  <c r="P5095" i="2"/>
  <c r="V5095" i="2" s="1"/>
  <c r="P5091" i="2"/>
  <c r="V5091" i="2" s="1"/>
  <c r="P5087" i="2"/>
  <c r="V5087" i="2" s="1"/>
  <c r="P5083" i="2"/>
  <c r="V5083" i="2" s="1"/>
  <c r="P5079" i="2"/>
  <c r="V5079" i="2" s="1"/>
  <c r="P5075" i="2"/>
  <c r="V5075" i="2" s="1"/>
  <c r="P5071" i="2"/>
  <c r="V5071" i="2" s="1"/>
  <c r="P5067" i="2"/>
  <c r="V5067" i="2" s="1"/>
  <c r="P5063" i="2"/>
  <c r="V5063" i="2" s="1"/>
  <c r="P5059" i="2"/>
  <c r="V5059" i="2" s="1"/>
  <c r="P5055" i="2"/>
  <c r="V5055" i="2" s="1"/>
  <c r="P5051" i="2"/>
  <c r="V5051" i="2" s="1"/>
  <c r="P5047" i="2"/>
  <c r="V5047" i="2" s="1"/>
  <c r="P5043" i="2"/>
  <c r="V5043" i="2" s="1"/>
  <c r="P5039" i="2"/>
  <c r="V5039" i="2" s="1"/>
  <c r="P5035" i="2"/>
  <c r="V5035" i="2" s="1"/>
  <c r="P5031" i="2"/>
  <c r="V5031" i="2" s="1"/>
  <c r="P5027" i="2"/>
  <c r="V5027" i="2" s="1"/>
  <c r="P5023" i="2"/>
  <c r="V5023" i="2" s="1"/>
  <c r="P5019" i="2"/>
  <c r="V5019" i="2" s="1"/>
  <c r="P5015" i="2"/>
  <c r="V5015" i="2" s="1"/>
  <c r="P5011" i="2"/>
  <c r="V5011" i="2" s="1"/>
  <c r="P5007" i="2"/>
  <c r="V5007" i="2" s="1"/>
  <c r="P5003" i="2"/>
  <c r="V5003" i="2" s="1"/>
  <c r="P4999" i="2"/>
  <c r="V4999" i="2" s="1"/>
  <c r="P4995" i="2"/>
  <c r="V4995" i="2" s="1"/>
  <c r="P4991" i="2"/>
  <c r="V4991" i="2" s="1"/>
  <c r="P4987" i="2"/>
  <c r="V4987" i="2" s="1"/>
  <c r="P4983" i="2"/>
  <c r="V4983" i="2" s="1"/>
  <c r="P4979" i="2"/>
  <c r="V4979" i="2" s="1"/>
  <c r="P4975" i="2"/>
  <c r="V4975" i="2" s="1"/>
  <c r="P4971" i="2"/>
  <c r="V4971" i="2" s="1"/>
  <c r="P4967" i="2"/>
  <c r="V4967" i="2" s="1"/>
  <c r="P4963" i="2"/>
  <c r="V4963" i="2" s="1"/>
  <c r="P4959" i="2"/>
  <c r="V4959" i="2" s="1"/>
  <c r="P4955" i="2"/>
  <c r="V4955" i="2" s="1"/>
  <c r="P4951" i="2"/>
  <c r="V4951" i="2" s="1"/>
  <c r="P4947" i="2"/>
  <c r="V4947" i="2" s="1"/>
  <c r="P4943" i="2"/>
  <c r="V4943" i="2" s="1"/>
  <c r="P4939" i="2"/>
  <c r="V4939" i="2" s="1"/>
  <c r="P4935" i="2"/>
  <c r="V4935" i="2" s="1"/>
  <c r="P4931" i="2"/>
  <c r="V4931" i="2" s="1"/>
  <c r="P4927" i="2"/>
  <c r="V4927" i="2" s="1"/>
  <c r="P4923" i="2"/>
  <c r="V4923" i="2" s="1"/>
  <c r="P4919" i="2"/>
  <c r="V4919" i="2" s="1"/>
  <c r="P4915" i="2"/>
  <c r="V4915" i="2" s="1"/>
  <c r="P4911" i="2"/>
  <c r="V4911" i="2" s="1"/>
  <c r="P4907" i="2"/>
  <c r="V4907" i="2" s="1"/>
  <c r="P4903" i="2"/>
  <c r="V4903" i="2" s="1"/>
  <c r="P4899" i="2"/>
  <c r="V4899" i="2" s="1"/>
  <c r="P4895" i="2"/>
  <c r="V4895" i="2" s="1"/>
  <c r="P4891" i="2"/>
  <c r="V4891" i="2" s="1"/>
  <c r="P4887" i="2"/>
  <c r="V4887" i="2" s="1"/>
  <c r="P4883" i="2"/>
  <c r="V4883" i="2" s="1"/>
  <c r="P4879" i="2"/>
  <c r="V4879" i="2" s="1"/>
  <c r="P4875" i="2"/>
  <c r="V4875" i="2" s="1"/>
  <c r="P4871" i="2"/>
  <c r="V4871" i="2" s="1"/>
  <c r="P4867" i="2"/>
  <c r="V4867" i="2" s="1"/>
  <c r="P4863" i="2"/>
  <c r="V4863" i="2" s="1"/>
  <c r="P4859" i="2"/>
  <c r="V4859" i="2" s="1"/>
  <c r="P4855" i="2"/>
  <c r="V4855" i="2" s="1"/>
  <c r="P4851" i="2"/>
  <c r="V4851" i="2" s="1"/>
  <c r="P4847" i="2"/>
  <c r="V4847" i="2" s="1"/>
  <c r="P4843" i="2"/>
  <c r="V4843" i="2" s="1"/>
  <c r="P4839" i="2"/>
  <c r="V4839" i="2" s="1"/>
  <c r="P4835" i="2"/>
  <c r="V4835" i="2" s="1"/>
  <c r="P4831" i="2"/>
  <c r="V4831" i="2" s="1"/>
  <c r="P4827" i="2"/>
  <c r="V4827" i="2" s="1"/>
  <c r="P4823" i="2"/>
  <c r="V4823" i="2" s="1"/>
  <c r="P4819" i="2"/>
  <c r="V4819" i="2" s="1"/>
  <c r="P4815" i="2"/>
  <c r="V4815" i="2" s="1"/>
  <c r="P4811" i="2"/>
  <c r="V4811" i="2" s="1"/>
  <c r="P4807" i="2"/>
  <c r="V4807" i="2" s="1"/>
  <c r="P4803" i="2"/>
  <c r="V4803" i="2" s="1"/>
  <c r="P4799" i="2"/>
  <c r="V4799" i="2" s="1"/>
  <c r="P4795" i="2"/>
  <c r="V4795" i="2" s="1"/>
  <c r="P4791" i="2"/>
  <c r="V4791" i="2" s="1"/>
  <c r="P4787" i="2"/>
  <c r="V4787" i="2" s="1"/>
  <c r="P4783" i="2"/>
  <c r="V4783" i="2" s="1"/>
  <c r="P4779" i="2"/>
  <c r="V4779" i="2" s="1"/>
  <c r="P4775" i="2"/>
  <c r="V4775" i="2" s="1"/>
  <c r="P4771" i="2"/>
  <c r="V4771" i="2" s="1"/>
  <c r="P4767" i="2"/>
  <c r="V4767" i="2" s="1"/>
  <c r="P4763" i="2"/>
  <c r="V4763" i="2" s="1"/>
  <c r="P4759" i="2"/>
  <c r="V4759" i="2" s="1"/>
  <c r="P4755" i="2"/>
  <c r="V4755" i="2" s="1"/>
  <c r="P4751" i="2"/>
  <c r="V4751" i="2" s="1"/>
  <c r="P4747" i="2"/>
  <c r="V4747" i="2" s="1"/>
  <c r="P4743" i="2"/>
  <c r="V4743" i="2" s="1"/>
  <c r="P4739" i="2"/>
  <c r="V4739" i="2" s="1"/>
  <c r="P4735" i="2"/>
  <c r="V4735" i="2" s="1"/>
  <c r="P4731" i="2"/>
  <c r="V4731" i="2" s="1"/>
  <c r="P4727" i="2"/>
  <c r="V4727" i="2" s="1"/>
  <c r="P4723" i="2"/>
  <c r="V4723" i="2" s="1"/>
  <c r="P4719" i="2"/>
  <c r="V4719" i="2" s="1"/>
  <c r="P4715" i="2"/>
  <c r="V4715" i="2" s="1"/>
  <c r="P4711" i="2"/>
  <c r="V4711" i="2" s="1"/>
  <c r="P4707" i="2"/>
  <c r="V4707" i="2" s="1"/>
  <c r="P4703" i="2"/>
  <c r="V4703" i="2" s="1"/>
  <c r="P4699" i="2"/>
  <c r="V4699" i="2" s="1"/>
  <c r="P4695" i="2"/>
  <c r="V4695" i="2" s="1"/>
  <c r="P4691" i="2"/>
  <c r="V4691" i="2" s="1"/>
  <c r="P4687" i="2"/>
  <c r="V4687" i="2" s="1"/>
  <c r="P4683" i="2"/>
  <c r="V4683" i="2" s="1"/>
  <c r="P4679" i="2"/>
  <c r="V4679" i="2" s="1"/>
  <c r="P4675" i="2"/>
  <c r="V4675" i="2" s="1"/>
  <c r="P4671" i="2"/>
  <c r="V4671" i="2" s="1"/>
  <c r="P4667" i="2"/>
  <c r="V4667" i="2" s="1"/>
  <c r="P4663" i="2"/>
  <c r="V4663" i="2" s="1"/>
  <c r="P4659" i="2"/>
  <c r="V4659" i="2" s="1"/>
  <c r="P4655" i="2"/>
  <c r="V4655" i="2" s="1"/>
  <c r="P4651" i="2"/>
  <c r="V4651" i="2" s="1"/>
  <c r="P4647" i="2"/>
  <c r="V4647" i="2" s="1"/>
  <c r="P4643" i="2"/>
  <c r="V4643" i="2" s="1"/>
  <c r="P4639" i="2"/>
  <c r="V4639" i="2" s="1"/>
  <c r="P4635" i="2"/>
  <c r="V4635" i="2" s="1"/>
  <c r="P4631" i="2"/>
  <c r="V4631" i="2" s="1"/>
  <c r="P4627" i="2"/>
  <c r="V4627" i="2" s="1"/>
  <c r="P4623" i="2"/>
  <c r="V4623" i="2" s="1"/>
  <c r="P4619" i="2"/>
  <c r="V4619" i="2" s="1"/>
  <c r="P4615" i="2"/>
  <c r="V4615" i="2" s="1"/>
  <c r="P4611" i="2"/>
  <c r="V4611" i="2" s="1"/>
  <c r="P4607" i="2"/>
  <c r="V4607" i="2" s="1"/>
  <c r="P4603" i="2"/>
  <c r="V4603" i="2" s="1"/>
  <c r="P4599" i="2"/>
  <c r="V4599" i="2" s="1"/>
  <c r="P4595" i="2"/>
  <c r="V4595" i="2" s="1"/>
  <c r="P4591" i="2"/>
  <c r="V4591" i="2" s="1"/>
  <c r="P4587" i="2"/>
  <c r="V4587" i="2" s="1"/>
  <c r="P4583" i="2"/>
  <c r="V4583" i="2" s="1"/>
  <c r="P4579" i="2"/>
  <c r="V4579" i="2" s="1"/>
  <c r="P4575" i="2"/>
  <c r="V4575" i="2" s="1"/>
  <c r="P4571" i="2"/>
  <c r="V4571" i="2" s="1"/>
  <c r="P4567" i="2"/>
  <c r="V4567" i="2" s="1"/>
  <c r="P4563" i="2"/>
  <c r="V4563" i="2" s="1"/>
  <c r="P4559" i="2"/>
  <c r="V4559" i="2" s="1"/>
  <c r="P4555" i="2"/>
  <c r="V4555" i="2" s="1"/>
  <c r="P4551" i="2"/>
  <c r="V4551" i="2" s="1"/>
  <c r="P4547" i="2"/>
  <c r="V4547" i="2" s="1"/>
  <c r="P4543" i="2"/>
  <c r="V4543" i="2" s="1"/>
  <c r="P4539" i="2"/>
  <c r="V4539" i="2" s="1"/>
  <c r="P4535" i="2"/>
  <c r="V4535" i="2" s="1"/>
  <c r="P4531" i="2"/>
  <c r="V4531" i="2" s="1"/>
  <c r="P4527" i="2"/>
  <c r="V4527" i="2" s="1"/>
  <c r="P4523" i="2"/>
  <c r="V4523" i="2" s="1"/>
  <c r="P4519" i="2"/>
  <c r="V4519" i="2" s="1"/>
  <c r="P4515" i="2"/>
  <c r="V4515" i="2" s="1"/>
  <c r="P4511" i="2"/>
  <c r="V4511" i="2" s="1"/>
  <c r="P4507" i="2"/>
  <c r="V4507" i="2" s="1"/>
  <c r="P4503" i="2"/>
  <c r="V4503" i="2" s="1"/>
  <c r="P4499" i="2"/>
  <c r="V4499" i="2" s="1"/>
  <c r="P4495" i="2"/>
  <c r="V4495" i="2" s="1"/>
  <c r="P4491" i="2"/>
  <c r="V4491" i="2" s="1"/>
  <c r="P4487" i="2"/>
  <c r="V4487" i="2" s="1"/>
  <c r="P4483" i="2"/>
  <c r="V4483" i="2" s="1"/>
  <c r="P4479" i="2"/>
  <c r="V4479" i="2" s="1"/>
  <c r="P4475" i="2"/>
  <c r="V4475" i="2" s="1"/>
  <c r="P4471" i="2"/>
  <c r="V4471" i="2" s="1"/>
  <c r="P4467" i="2"/>
  <c r="V4467" i="2" s="1"/>
  <c r="P4463" i="2"/>
  <c r="V4463" i="2" s="1"/>
  <c r="P4459" i="2"/>
  <c r="V4459" i="2" s="1"/>
  <c r="P4455" i="2"/>
  <c r="V4455" i="2" s="1"/>
  <c r="P4451" i="2"/>
  <c r="V4451" i="2" s="1"/>
  <c r="P4447" i="2"/>
  <c r="V4447" i="2" s="1"/>
  <c r="P4443" i="2"/>
  <c r="V4443" i="2" s="1"/>
  <c r="P4439" i="2"/>
  <c r="V4439" i="2" s="1"/>
  <c r="P4435" i="2"/>
  <c r="V4435" i="2" s="1"/>
  <c r="P4431" i="2"/>
  <c r="V4431" i="2" s="1"/>
  <c r="P4427" i="2"/>
  <c r="V4427" i="2" s="1"/>
  <c r="P4423" i="2"/>
  <c r="V4423" i="2" s="1"/>
  <c r="P4419" i="2"/>
  <c r="V4419" i="2" s="1"/>
  <c r="P4415" i="2"/>
  <c r="V4415" i="2" s="1"/>
  <c r="P4411" i="2"/>
  <c r="V4411" i="2" s="1"/>
  <c r="P4407" i="2"/>
  <c r="V4407" i="2" s="1"/>
  <c r="P4403" i="2"/>
  <c r="V4403" i="2" s="1"/>
  <c r="P4399" i="2"/>
  <c r="V4399" i="2" s="1"/>
  <c r="P4395" i="2"/>
  <c r="V4395" i="2" s="1"/>
  <c r="P4391" i="2"/>
  <c r="V4391" i="2" s="1"/>
  <c r="P4387" i="2"/>
  <c r="V4387" i="2" s="1"/>
  <c r="P4383" i="2"/>
  <c r="V4383" i="2" s="1"/>
  <c r="P4379" i="2"/>
  <c r="V4379" i="2" s="1"/>
  <c r="P4375" i="2"/>
  <c r="V4375" i="2" s="1"/>
  <c r="P4371" i="2"/>
  <c r="V4371" i="2" s="1"/>
  <c r="P4367" i="2"/>
  <c r="V4367" i="2" s="1"/>
  <c r="P4363" i="2"/>
  <c r="V4363" i="2" s="1"/>
  <c r="P4359" i="2"/>
  <c r="V4359" i="2" s="1"/>
  <c r="P4355" i="2"/>
  <c r="V4355" i="2" s="1"/>
  <c r="P4351" i="2"/>
  <c r="V4351" i="2" s="1"/>
  <c r="P4347" i="2"/>
  <c r="V4347" i="2" s="1"/>
  <c r="P4343" i="2"/>
  <c r="V4343" i="2" s="1"/>
  <c r="P4339" i="2"/>
  <c r="V4339" i="2" s="1"/>
  <c r="P4335" i="2"/>
  <c r="V4335" i="2" s="1"/>
  <c r="P4331" i="2"/>
  <c r="V4331" i="2" s="1"/>
  <c r="P4327" i="2"/>
  <c r="V4327" i="2" s="1"/>
  <c r="P4323" i="2"/>
  <c r="V4323" i="2" s="1"/>
  <c r="P4319" i="2"/>
  <c r="V4319" i="2" s="1"/>
  <c r="P4315" i="2"/>
  <c r="V4315" i="2" s="1"/>
  <c r="P4311" i="2"/>
  <c r="V4311" i="2" s="1"/>
  <c r="P4307" i="2"/>
  <c r="V4307" i="2" s="1"/>
  <c r="P4303" i="2"/>
  <c r="V4303" i="2" s="1"/>
  <c r="P4299" i="2"/>
  <c r="V4299" i="2" s="1"/>
  <c r="P4295" i="2"/>
  <c r="V4295" i="2" s="1"/>
  <c r="P4291" i="2"/>
  <c r="V4291" i="2" s="1"/>
  <c r="P4287" i="2"/>
  <c r="V4287" i="2" s="1"/>
  <c r="P4283" i="2"/>
  <c r="V4283" i="2" s="1"/>
  <c r="P4279" i="2"/>
  <c r="V4279" i="2" s="1"/>
  <c r="P4275" i="2"/>
  <c r="V4275" i="2" s="1"/>
  <c r="P4271" i="2"/>
  <c r="V4271" i="2" s="1"/>
  <c r="P4267" i="2"/>
  <c r="V4267" i="2" s="1"/>
  <c r="P4263" i="2"/>
  <c r="V4263" i="2" s="1"/>
  <c r="P4259" i="2"/>
  <c r="V4259" i="2" s="1"/>
  <c r="P4255" i="2"/>
  <c r="V4255" i="2" s="1"/>
  <c r="P4251" i="2"/>
  <c r="V4251" i="2" s="1"/>
  <c r="P4247" i="2"/>
  <c r="V4247" i="2" s="1"/>
  <c r="P4243" i="2"/>
  <c r="V4243" i="2" s="1"/>
  <c r="P4239" i="2"/>
  <c r="V4239" i="2" s="1"/>
  <c r="P4235" i="2"/>
  <c r="V4235" i="2" s="1"/>
  <c r="P4231" i="2"/>
  <c r="V4231" i="2" s="1"/>
  <c r="P4227" i="2"/>
  <c r="V4227" i="2" s="1"/>
  <c r="P4223" i="2"/>
  <c r="V4223" i="2" s="1"/>
  <c r="P4219" i="2"/>
  <c r="V4219" i="2" s="1"/>
  <c r="P4215" i="2"/>
  <c r="V4215" i="2" s="1"/>
  <c r="P4211" i="2"/>
  <c r="V4211" i="2" s="1"/>
  <c r="P4207" i="2"/>
  <c r="V4207" i="2" s="1"/>
  <c r="P4203" i="2"/>
  <c r="V4203" i="2" s="1"/>
  <c r="P4199" i="2"/>
  <c r="V4199" i="2" s="1"/>
  <c r="P4195" i="2"/>
  <c r="V4195" i="2" s="1"/>
  <c r="P4191" i="2"/>
  <c r="V4191" i="2" s="1"/>
  <c r="P4187" i="2"/>
  <c r="V4187" i="2" s="1"/>
  <c r="P4183" i="2"/>
  <c r="V4183" i="2" s="1"/>
  <c r="P4179" i="2"/>
  <c r="V4179" i="2" s="1"/>
  <c r="P4175" i="2"/>
  <c r="V4175" i="2" s="1"/>
  <c r="P4171" i="2"/>
  <c r="V4171" i="2" s="1"/>
  <c r="P4167" i="2"/>
  <c r="V4167" i="2" s="1"/>
  <c r="P4163" i="2"/>
  <c r="V4163" i="2" s="1"/>
  <c r="P4159" i="2"/>
  <c r="V4159" i="2" s="1"/>
  <c r="P4155" i="2"/>
  <c r="V4155" i="2" s="1"/>
  <c r="P4151" i="2"/>
  <c r="V4151" i="2" s="1"/>
  <c r="P4147" i="2"/>
  <c r="V4147" i="2" s="1"/>
  <c r="P4143" i="2"/>
  <c r="V4143" i="2" s="1"/>
  <c r="P4139" i="2"/>
  <c r="V4139" i="2" s="1"/>
  <c r="P4135" i="2"/>
  <c r="V4135" i="2" s="1"/>
  <c r="P4131" i="2"/>
  <c r="V4131" i="2" s="1"/>
  <c r="P4127" i="2"/>
  <c r="V4127" i="2" s="1"/>
  <c r="P4123" i="2"/>
  <c r="V4123" i="2" s="1"/>
  <c r="P4119" i="2"/>
  <c r="V4119" i="2" s="1"/>
  <c r="P4115" i="2"/>
  <c r="V4115" i="2" s="1"/>
  <c r="P4111" i="2"/>
  <c r="V4111" i="2" s="1"/>
  <c r="P4107" i="2"/>
  <c r="V4107" i="2" s="1"/>
  <c r="P4103" i="2"/>
  <c r="V4103" i="2" s="1"/>
  <c r="P4099" i="2"/>
  <c r="V4099" i="2" s="1"/>
  <c r="P4095" i="2"/>
  <c r="V4095" i="2" s="1"/>
  <c r="P4091" i="2"/>
  <c r="V4091" i="2" s="1"/>
  <c r="P4087" i="2"/>
  <c r="V4087" i="2" s="1"/>
  <c r="P4083" i="2"/>
  <c r="V4083" i="2" s="1"/>
  <c r="P4079" i="2"/>
  <c r="V4079" i="2" s="1"/>
  <c r="P4075" i="2"/>
  <c r="V4075" i="2" s="1"/>
  <c r="P4071" i="2"/>
  <c r="V4071" i="2" s="1"/>
  <c r="P4067" i="2"/>
  <c r="V4067" i="2" s="1"/>
  <c r="P4063" i="2"/>
  <c r="V4063" i="2" s="1"/>
  <c r="P4059" i="2"/>
  <c r="V4059" i="2" s="1"/>
  <c r="P4055" i="2"/>
  <c r="V4055" i="2" s="1"/>
  <c r="P4051" i="2"/>
  <c r="V4051" i="2" s="1"/>
  <c r="P4047" i="2"/>
  <c r="V4047" i="2" s="1"/>
  <c r="P4043" i="2"/>
  <c r="V4043" i="2" s="1"/>
  <c r="P4039" i="2"/>
  <c r="V4039" i="2" s="1"/>
  <c r="P4035" i="2"/>
  <c r="V4035" i="2" s="1"/>
  <c r="P4031" i="2"/>
  <c r="V4031" i="2" s="1"/>
  <c r="P4027" i="2"/>
  <c r="V4027" i="2" s="1"/>
  <c r="P4023" i="2"/>
  <c r="V4023" i="2" s="1"/>
  <c r="P4019" i="2"/>
  <c r="V4019" i="2" s="1"/>
  <c r="P4015" i="2"/>
  <c r="V4015" i="2" s="1"/>
  <c r="P4011" i="2"/>
  <c r="V4011" i="2" s="1"/>
  <c r="P4007" i="2"/>
  <c r="V4007" i="2" s="1"/>
  <c r="P4003" i="2"/>
  <c r="V4003" i="2" s="1"/>
  <c r="P3999" i="2"/>
  <c r="V3999" i="2" s="1"/>
  <c r="P3995" i="2"/>
  <c r="V3995" i="2" s="1"/>
  <c r="P3991" i="2"/>
  <c r="V3991" i="2" s="1"/>
  <c r="P3987" i="2"/>
  <c r="V3987" i="2" s="1"/>
  <c r="P3983" i="2"/>
  <c r="V3983" i="2" s="1"/>
  <c r="P3979" i="2"/>
  <c r="V3979" i="2" s="1"/>
  <c r="P3975" i="2"/>
  <c r="V3975" i="2" s="1"/>
  <c r="P3971" i="2"/>
  <c r="V3971" i="2" s="1"/>
  <c r="P3967" i="2"/>
  <c r="V3967" i="2" s="1"/>
  <c r="P3963" i="2"/>
  <c r="V3963" i="2" s="1"/>
  <c r="P3959" i="2"/>
  <c r="V3959" i="2" s="1"/>
  <c r="P3955" i="2"/>
  <c r="V3955" i="2" s="1"/>
  <c r="P3951" i="2"/>
  <c r="V3951" i="2" s="1"/>
  <c r="P3947" i="2"/>
  <c r="V3947" i="2" s="1"/>
  <c r="P3943" i="2"/>
  <c r="V3943" i="2" s="1"/>
  <c r="P3939" i="2"/>
  <c r="V3939" i="2" s="1"/>
  <c r="P3935" i="2"/>
  <c r="V3935" i="2" s="1"/>
  <c r="P3931" i="2"/>
  <c r="V3931" i="2" s="1"/>
  <c r="P3927" i="2"/>
  <c r="V3927" i="2" s="1"/>
  <c r="P3923" i="2"/>
  <c r="V3923" i="2" s="1"/>
  <c r="P3919" i="2"/>
  <c r="V3919" i="2" s="1"/>
  <c r="P3915" i="2"/>
  <c r="V3915" i="2" s="1"/>
  <c r="P3911" i="2"/>
  <c r="V3911" i="2" s="1"/>
  <c r="P3907" i="2"/>
  <c r="V3907" i="2" s="1"/>
  <c r="P3903" i="2"/>
  <c r="V3903" i="2" s="1"/>
  <c r="P3899" i="2"/>
  <c r="V3899" i="2" s="1"/>
  <c r="P3895" i="2"/>
  <c r="V3895" i="2" s="1"/>
  <c r="P3891" i="2"/>
  <c r="V3891" i="2" s="1"/>
  <c r="P3887" i="2"/>
  <c r="V3887" i="2" s="1"/>
  <c r="P3883" i="2"/>
  <c r="V3883" i="2" s="1"/>
  <c r="P3879" i="2"/>
  <c r="V3879" i="2" s="1"/>
  <c r="P3875" i="2"/>
  <c r="V3875" i="2" s="1"/>
  <c r="P3871" i="2"/>
  <c r="V3871" i="2" s="1"/>
  <c r="P3867" i="2"/>
  <c r="V3867" i="2" s="1"/>
  <c r="P3863" i="2"/>
  <c r="V3863" i="2" s="1"/>
  <c r="P3859" i="2"/>
  <c r="V3859" i="2" s="1"/>
  <c r="P3855" i="2"/>
  <c r="V3855" i="2" s="1"/>
  <c r="P3851" i="2"/>
  <c r="V3851" i="2" s="1"/>
  <c r="P3847" i="2"/>
  <c r="V3847" i="2" s="1"/>
  <c r="P3843" i="2"/>
  <c r="V3843" i="2" s="1"/>
  <c r="P3839" i="2"/>
  <c r="V3839" i="2" s="1"/>
  <c r="P3835" i="2"/>
  <c r="V3835" i="2" s="1"/>
  <c r="P3831" i="2"/>
  <c r="V3831" i="2" s="1"/>
  <c r="P3827" i="2"/>
  <c r="V3827" i="2" s="1"/>
  <c r="P3823" i="2"/>
  <c r="V3823" i="2" s="1"/>
  <c r="P3819" i="2"/>
  <c r="V3819" i="2" s="1"/>
  <c r="P3815" i="2"/>
  <c r="V3815" i="2" s="1"/>
  <c r="P3811" i="2"/>
  <c r="V3811" i="2" s="1"/>
  <c r="P3807" i="2"/>
  <c r="V3807" i="2" s="1"/>
  <c r="P3803" i="2"/>
  <c r="V3803" i="2" s="1"/>
  <c r="P3799" i="2"/>
  <c r="V3799" i="2" s="1"/>
  <c r="P3795" i="2"/>
  <c r="V3795" i="2" s="1"/>
  <c r="P3791" i="2"/>
  <c r="V3791" i="2" s="1"/>
  <c r="P3787" i="2"/>
  <c r="V3787" i="2" s="1"/>
  <c r="P3783" i="2"/>
  <c r="V3783" i="2" s="1"/>
  <c r="P3779" i="2"/>
  <c r="V3779" i="2" s="1"/>
  <c r="P3775" i="2"/>
  <c r="V3775" i="2" s="1"/>
  <c r="P3771" i="2"/>
  <c r="V3771" i="2" s="1"/>
  <c r="P3767" i="2"/>
  <c r="V3767" i="2" s="1"/>
  <c r="P3763" i="2"/>
  <c r="V3763" i="2" s="1"/>
  <c r="P3759" i="2"/>
  <c r="V3759" i="2" s="1"/>
  <c r="P3755" i="2"/>
  <c r="V3755" i="2" s="1"/>
  <c r="P3751" i="2"/>
  <c r="V3751" i="2" s="1"/>
  <c r="P3747" i="2"/>
  <c r="V3747" i="2" s="1"/>
  <c r="P3743" i="2"/>
  <c r="V3743" i="2" s="1"/>
  <c r="P3739" i="2"/>
  <c r="V3739" i="2" s="1"/>
  <c r="P3735" i="2"/>
  <c r="V3735" i="2" s="1"/>
  <c r="P3731" i="2"/>
  <c r="V3731" i="2" s="1"/>
  <c r="P3727" i="2"/>
  <c r="V3727" i="2" s="1"/>
  <c r="P3723" i="2"/>
  <c r="V3723" i="2" s="1"/>
  <c r="P3719" i="2"/>
  <c r="V3719" i="2" s="1"/>
  <c r="P3715" i="2"/>
  <c r="V3715" i="2" s="1"/>
  <c r="P3711" i="2"/>
  <c r="V3711" i="2" s="1"/>
  <c r="P3707" i="2"/>
  <c r="V3707" i="2" s="1"/>
  <c r="P3703" i="2"/>
  <c r="V3703" i="2" s="1"/>
  <c r="P3699" i="2"/>
  <c r="V3699" i="2" s="1"/>
  <c r="P3695" i="2"/>
  <c r="V3695" i="2" s="1"/>
  <c r="P3691" i="2"/>
  <c r="V3691" i="2" s="1"/>
  <c r="P3687" i="2"/>
  <c r="V3687" i="2" s="1"/>
  <c r="P3683" i="2"/>
  <c r="V3683" i="2" s="1"/>
  <c r="P3679" i="2"/>
  <c r="V3679" i="2" s="1"/>
  <c r="P3675" i="2"/>
  <c r="V3675" i="2" s="1"/>
  <c r="P3671" i="2"/>
  <c r="V3671" i="2" s="1"/>
  <c r="P3667" i="2"/>
  <c r="V3667" i="2" s="1"/>
  <c r="P3663" i="2"/>
  <c r="V3663" i="2" s="1"/>
  <c r="P3659" i="2"/>
  <c r="V3659" i="2" s="1"/>
  <c r="P3655" i="2"/>
  <c r="V3655" i="2" s="1"/>
  <c r="P3651" i="2"/>
  <c r="V3651" i="2" s="1"/>
  <c r="P3647" i="2"/>
  <c r="V3647" i="2" s="1"/>
  <c r="P3643" i="2"/>
  <c r="V3643" i="2" s="1"/>
  <c r="P3639" i="2"/>
  <c r="V3639" i="2" s="1"/>
  <c r="P3635" i="2"/>
  <c r="V3635" i="2" s="1"/>
  <c r="P3631" i="2"/>
  <c r="V3631" i="2" s="1"/>
  <c r="P3627" i="2"/>
  <c r="V3627" i="2" s="1"/>
  <c r="P3623" i="2"/>
  <c r="V3623" i="2" s="1"/>
  <c r="P3619" i="2"/>
  <c r="V3619" i="2" s="1"/>
  <c r="P3615" i="2"/>
  <c r="V3615" i="2" s="1"/>
  <c r="P3611" i="2"/>
  <c r="V3611" i="2" s="1"/>
  <c r="P3607" i="2"/>
  <c r="V3607" i="2" s="1"/>
  <c r="P3603" i="2"/>
  <c r="V3603" i="2" s="1"/>
  <c r="P3599" i="2"/>
  <c r="V3599" i="2" s="1"/>
  <c r="P3595" i="2"/>
  <c r="V3595" i="2" s="1"/>
  <c r="P3591" i="2"/>
  <c r="V3591" i="2" s="1"/>
  <c r="P3587" i="2"/>
  <c r="V3587" i="2" s="1"/>
  <c r="P3583" i="2"/>
  <c r="V3583" i="2" s="1"/>
  <c r="P3579" i="2"/>
  <c r="V3579" i="2" s="1"/>
  <c r="P3575" i="2"/>
  <c r="V3575" i="2" s="1"/>
  <c r="P3571" i="2"/>
  <c r="V3571" i="2" s="1"/>
  <c r="P3567" i="2"/>
  <c r="V3567" i="2" s="1"/>
  <c r="P3563" i="2"/>
  <c r="V3563" i="2" s="1"/>
  <c r="P3559" i="2"/>
  <c r="V3559" i="2" s="1"/>
  <c r="P3555" i="2"/>
  <c r="V3555" i="2" s="1"/>
  <c r="P3551" i="2"/>
  <c r="V3551" i="2" s="1"/>
  <c r="P3547" i="2"/>
  <c r="V3547" i="2" s="1"/>
  <c r="P3543" i="2"/>
  <c r="V3543" i="2" s="1"/>
  <c r="P3539" i="2"/>
  <c r="V3539" i="2" s="1"/>
  <c r="P3535" i="2"/>
  <c r="V3535" i="2" s="1"/>
  <c r="P3531" i="2"/>
  <c r="V3531" i="2" s="1"/>
  <c r="P3527" i="2"/>
  <c r="V3527" i="2" s="1"/>
  <c r="P3523" i="2"/>
  <c r="V3523" i="2" s="1"/>
  <c r="P3519" i="2"/>
  <c r="V3519" i="2" s="1"/>
  <c r="P3515" i="2"/>
  <c r="V3515" i="2" s="1"/>
  <c r="P3511" i="2"/>
  <c r="V3511" i="2" s="1"/>
  <c r="P3507" i="2"/>
  <c r="V3507" i="2" s="1"/>
  <c r="P3503" i="2"/>
  <c r="V3503" i="2" s="1"/>
  <c r="P3499" i="2"/>
  <c r="V3499" i="2" s="1"/>
  <c r="P3495" i="2"/>
  <c r="V3495" i="2" s="1"/>
  <c r="P3491" i="2"/>
  <c r="V3491" i="2" s="1"/>
  <c r="P3487" i="2"/>
  <c r="V3487" i="2" s="1"/>
  <c r="P3483" i="2"/>
  <c r="V3483" i="2" s="1"/>
  <c r="P3479" i="2"/>
  <c r="V3479" i="2" s="1"/>
  <c r="P3475" i="2"/>
  <c r="V3475" i="2" s="1"/>
  <c r="P3471" i="2"/>
  <c r="V3471" i="2" s="1"/>
  <c r="P3467" i="2"/>
  <c r="V3467" i="2" s="1"/>
  <c r="P3463" i="2"/>
  <c r="V3463" i="2" s="1"/>
  <c r="P3459" i="2"/>
  <c r="V3459" i="2" s="1"/>
  <c r="P3455" i="2"/>
  <c r="V3455" i="2" s="1"/>
  <c r="P3451" i="2"/>
  <c r="V3451" i="2" s="1"/>
  <c r="P3447" i="2"/>
  <c r="V3447" i="2" s="1"/>
  <c r="P3443" i="2"/>
  <c r="V3443" i="2" s="1"/>
  <c r="P3439" i="2"/>
  <c r="V3439" i="2" s="1"/>
  <c r="P3435" i="2"/>
  <c r="V3435" i="2" s="1"/>
  <c r="P3431" i="2"/>
  <c r="V3431" i="2" s="1"/>
  <c r="P3427" i="2"/>
  <c r="V3427" i="2" s="1"/>
  <c r="P3423" i="2"/>
  <c r="V3423" i="2" s="1"/>
  <c r="P3419" i="2"/>
  <c r="V3419" i="2" s="1"/>
  <c r="P3415" i="2"/>
  <c r="V3415" i="2" s="1"/>
  <c r="P3411" i="2"/>
  <c r="V3411" i="2" s="1"/>
  <c r="P3407" i="2"/>
  <c r="V3407" i="2" s="1"/>
  <c r="P3403" i="2"/>
  <c r="V3403" i="2" s="1"/>
  <c r="P3399" i="2"/>
  <c r="V3399" i="2" s="1"/>
  <c r="P3395" i="2"/>
  <c r="V3395" i="2" s="1"/>
  <c r="P3391" i="2"/>
  <c r="V3391" i="2" s="1"/>
  <c r="P3387" i="2"/>
  <c r="V3387" i="2" s="1"/>
  <c r="P3383" i="2"/>
  <c r="V3383" i="2" s="1"/>
  <c r="P3379" i="2"/>
  <c r="V3379" i="2" s="1"/>
  <c r="P3375" i="2"/>
  <c r="V3375" i="2" s="1"/>
  <c r="P3371" i="2"/>
  <c r="V3371" i="2" s="1"/>
  <c r="P3367" i="2"/>
  <c r="V3367" i="2" s="1"/>
  <c r="P3363" i="2"/>
  <c r="V3363" i="2" s="1"/>
  <c r="P3359" i="2"/>
  <c r="V3359" i="2" s="1"/>
  <c r="P3355" i="2"/>
  <c r="V3355" i="2" s="1"/>
  <c r="P3351" i="2"/>
  <c r="V3351" i="2" s="1"/>
  <c r="P3347" i="2"/>
  <c r="V3347" i="2" s="1"/>
  <c r="P3343" i="2"/>
  <c r="V3343" i="2" s="1"/>
  <c r="P3339" i="2"/>
  <c r="V3339" i="2" s="1"/>
  <c r="P3335" i="2"/>
  <c r="V3335" i="2" s="1"/>
  <c r="P3331" i="2"/>
  <c r="V3331" i="2" s="1"/>
  <c r="P3327" i="2"/>
  <c r="V3327" i="2" s="1"/>
  <c r="P3323" i="2"/>
  <c r="V3323" i="2" s="1"/>
  <c r="P3319" i="2"/>
  <c r="V3319" i="2" s="1"/>
  <c r="P3315" i="2"/>
  <c r="V3315" i="2" s="1"/>
  <c r="P3311" i="2"/>
  <c r="V3311" i="2" s="1"/>
  <c r="P3307" i="2"/>
  <c r="V3307" i="2" s="1"/>
  <c r="P3303" i="2"/>
  <c r="V3303" i="2" s="1"/>
  <c r="P3299" i="2"/>
  <c r="V3299" i="2" s="1"/>
  <c r="P3295" i="2"/>
  <c r="V3295" i="2" s="1"/>
  <c r="P3291" i="2"/>
  <c r="V3291" i="2" s="1"/>
  <c r="P3287" i="2"/>
  <c r="V3287" i="2" s="1"/>
  <c r="P3283" i="2"/>
  <c r="V3283" i="2" s="1"/>
  <c r="P3279" i="2"/>
  <c r="V3279" i="2" s="1"/>
  <c r="P3275" i="2"/>
  <c r="V3275" i="2" s="1"/>
  <c r="P3271" i="2"/>
  <c r="V3271" i="2" s="1"/>
  <c r="P3267" i="2"/>
  <c r="V3267" i="2" s="1"/>
  <c r="P3263" i="2"/>
  <c r="V3263" i="2" s="1"/>
  <c r="P3259" i="2"/>
  <c r="V3259" i="2" s="1"/>
  <c r="P3255" i="2"/>
  <c r="V3255" i="2" s="1"/>
  <c r="P3251" i="2"/>
  <c r="V3251" i="2" s="1"/>
  <c r="P3247" i="2"/>
  <c r="V3247" i="2" s="1"/>
  <c r="P3243" i="2"/>
  <c r="V3243" i="2" s="1"/>
  <c r="P3239" i="2"/>
  <c r="V3239" i="2" s="1"/>
  <c r="P3235" i="2"/>
  <c r="V3235" i="2" s="1"/>
  <c r="P3231" i="2"/>
  <c r="V3231" i="2" s="1"/>
  <c r="P3227" i="2"/>
  <c r="V3227" i="2" s="1"/>
  <c r="P3223" i="2"/>
  <c r="V3223" i="2" s="1"/>
  <c r="P3219" i="2"/>
  <c r="V3219" i="2" s="1"/>
  <c r="P3215" i="2"/>
  <c r="V3215" i="2" s="1"/>
  <c r="P3211" i="2"/>
  <c r="V3211" i="2" s="1"/>
  <c r="P3207" i="2"/>
  <c r="V3207" i="2" s="1"/>
  <c r="P3203" i="2"/>
  <c r="V3203" i="2" s="1"/>
  <c r="P3199" i="2"/>
  <c r="V3199" i="2" s="1"/>
  <c r="P3195" i="2"/>
  <c r="V3195" i="2" s="1"/>
  <c r="P3191" i="2"/>
  <c r="V3191" i="2" s="1"/>
  <c r="P3187" i="2"/>
  <c r="V3187" i="2" s="1"/>
  <c r="P3183" i="2"/>
  <c r="V3183" i="2" s="1"/>
  <c r="P3179" i="2"/>
  <c r="V3179" i="2" s="1"/>
  <c r="P3175" i="2"/>
  <c r="V3175" i="2" s="1"/>
  <c r="P3171" i="2"/>
  <c r="V3171" i="2" s="1"/>
  <c r="P3167" i="2"/>
  <c r="V3167" i="2" s="1"/>
  <c r="P3163" i="2"/>
  <c r="V3163" i="2" s="1"/>
  <c r="P3159" i="2"/>
  <c r="V3159" i="2" s="1"/>
  <c r="P3155" i="2"/>
  <c r="V3155" i="2" s="1"/>
  <c r="P3151" i="2"/>
  <c r="V3151" i="2" s="1"/>
  <c r="P3147" i="2"/>
  <c r="V3147" i="2" s="1"/>
  <c r="P3143" i="2"/>
  <c r="V3143" i="2" s="1"/>
  <c r="P3139" i="2"/>
  <c r="V3139" i="2" s="1"/>
  <c r="P3135" i="2"/>
  <c r="V3135" i="2" s="1"/>
  <c r="P3131" i="2"/>
  <c r="V3131" i="2" s="1"/>
  <c r="P3127" i="2"/>
  <c r="V3127" i="2" s="1"/>
  <c r="P3123" i="2"/>
  <c r="V3123" i="2" s="1"/>
  <c r="P3119" i="2"/>
  <c r="V3119" i="2" s="1"/>
  <c r="P3115" i="2"/>
  <c r="V3115" i="2" s="1"/>
  <c r="P3111" i="2"/>
  <c r="V3111" i="2" s="1"/>
  <c r="P3107" i="2"/>
  <c r="V3107" i="2" s="1"/>
  <c r="P3103" i="2"/>
  <c r="V3103" i="2" s="1"/>
  <c r="P3099" i="2"/>
  <c r="V3099" i="2" s="1"/>
  <c r="P3095" i="2"/>
  <c r="V3095" i="2" s="1"/>
  <c r="P3091" i="2"/>
  <c r="V3091" i="2" s="1"/>
  <c r="P3087" i="2"/>
  <c r="V3087" i="2" s="1"/>
  <c r="P3083" i="2"/>
  <c r="V3083" i="2" s="1"/>
  <c r="P3079" i="2"/>
  <c r="V3079" i="2" s="1"/>
  <c r="P3075" i="2"/>
  <c r="V3075" i="2" s="1"/>
  <c r="P3071" i="2"/>
  <c r="V3071" i="2" s="1"/>
  <c r="P3067" i="2"/>
  <c r="V3067" i="2" s="1"/>
  <c r="P3063" i="2"/>
  <c r="V3063" i="2" s="1"/>
  <c r="P3059" i="2"/>
  <c r="V3059" i="2" s="1"/>
  <c r="P3055" i="2"/>
  <c r="V3055" i="2" s="1"/>
  <c r="P3051" i="2"/>
  <c r="V3051" i="2" s="1"/>
  <c r="P3047" i="2"/>
  <c r="V3047" i="2" s="1"/>
  <c r="P3043" i="2"/>
  <c r="V3043" i="2" s="1"/>
  <c r="P3039" i="2"/>
  <c r="V3039" i="2" s="1"/>
  <c r="P3035" i="2"/>
  <c r="V3035" i="2" s="1"/>
  <c r="P3031" i="2"/>
  <c r="V3031" i="2" s="1"/>
  <c r="P3027" i="2"/>
  <c r="V3027" i="2" s="1"/>
  <c r="P3023" i="2"/>
  <c r="V3023" i="2" s="1"/>
  <c r="P3019" i="2"/>
  <c r="V3019" i="2" s="1"/>
  <c r="P3015" i="2"/>
  <c r="V3015" i="2" s="1"/>
  <c r="P3011" i="2"/>
  <c r="V3011" i="2" s="1"/>
  <c r="P3007" i="2"/>
  <c r="V3007" i="2" s="1"/>
  <c r="P3003" i="2"/>
  <c r="V3003" i="2" s="1"/>
  <c r="P2999" i="2"/>
  <c r="V2999" i="2" s="1"/>
  <c r="P2995" i="2"/>
  <c r="V2995" i="2" s="1"/>
  <c r="P2991" i="2"/>
  <c r="V2991" i="2" s="1"/>
  <c r="P2987" i="2"/>
  <c r="V2987" i="2" s="1"/>
  <c r="P2983" i="2"/>
  <c r="V2983" i="2" s="1"/>
  <c r="P2979" i="2"/>
  <c r="V2979" i="2" s="1"/>
  <c r="P2975" i="2"/>
  <c r="V2975" i="2" s="1"/>
  <c r="P2971" i="2"/>
  <c r="V2971" i="2" s="1"/>
  <c r="P2967" i="2"/>
  <c r="V2967" i="2" s="1"/>
  <c r="P2963" i="2"/>
  <c r="V2963" i="2" s="1"/>
  <c r="P2959" i="2"/>
  <c r="V2959" i="2" s="1"/>
  <c r="P2955" i="2"/>
  <c r="V2955" i="2" s="1"/>
  <c r="P2951" i="2"/>
  <c r="V2951" i="2" s="1"/>
  <c r="P2947" i="2"/>
  <c r="V2947" i="2" s="1"/>
  <c r="P2943" i="2"/>
  <c r="V2943" i="2" s="1"/>
  <c r="P2939" i="2"/>
  <c r="V2939" i="2" s="1"/>
  <c r="P2935" i="2"/>
  <c r="V2935" i="2" s="1"/>
  <c r="P2931" i="2"/>
  <c r="V2931" i="2" s="1"/>
  <c r="P2927" i="2"/>
  <c r="V2927" i="2" s="1"/>
  <c r="P2923" i="2"/>
  <c r="V2923" i="2" s="1"/>
  <c r="P2919" i="2"/>
  <c r="V2919" i="2" s="1"/>
  <c r="P2915" i="2"/>
  <c r="V2915" i="2" s="1"/>
  <c r="P2911" i="2"/>
  <c r="V2911" i="2" s="1"/>
  <c r="P2907" i="2"/>
  <c r="V2907" i="2" s="1"/>
  <c r="P2903" i="2"/>
  <c r="V2903" i="2" s="1"/>
  <c r="P2899" i="2"/>
  <c r="V2899" i="2" s="1"/>
  <c r="P2895" i="2"/>
  <c r="V2895" i="2" s="1"/>
  <c r="P2891" i="2"/>
  <c r="V2891" i="2" s="1"/>
  <c r="P2887" i="2"/>
  <c r="V2887" i="2" s="1"/>
  <c r="P2883" i="2"/>
  <c r="V2883" i="2" s="1"/>
  <c r="P2879" i="2"/>
  <c r="V2879" i="2" s="1"/>
  <c r="P2875" i="2"/>
  <c r="V2875" i="2" s="1"/>
  <c r="P2871" i="2"/>
  <c r="V2871" i="2" s="1"/>
  <c r="P2867" i="2"/>
  <c r="V2867" i="2" s="1"/>
  <c r="P2863" i="2"/>
  <c r="V2863" i="2" s="1"/>
  <c r="P2859" i="2"/>
  <c r="V2859" i="2" s="1"/>
  <c r="P2855" i="2"/>
  <c r="V2855" i="2" s="1"/>
  <c r="P2851" i="2"/>
  <c r="V2851" i="2" s="1"/>
  <c r="P2847" i="2"/>
  <c r="V2847" i="2" s="1"/>
  <c r="P2843" i="2"/>
  <c r="V2843" i="2" s="1"/>
  <c r="P2839" i="2"/>
  <c r="V2839" i="2" s="1"/>
  <c r="P2835" i="2"/>
  <c r="V2835" i="2" s="1"/>
  <c r="P2831" i="2"/>
  <c r="V2831" i="2" s="1"/>
  <c r="P2827" i="2"/>
  <c r="V2827" i="2" s="1"/>
  <c r="P2823" i="2"/>
  <c r="V2823" i="2" s="1"/>
  <c r="P2819" i="2"/>
  <c r="V2819" i="2" s="1"/>
  <c r="P2815" i="2"/>
  <c r="V2815" i="2" s="1"/>
  <c r="P2811" i="2"/>
  <c r="V2811" i="2" s="1"/>
  <c r="P2807" i="2"/>
  <c r="V2807" i="2" s="1"/>
  <c r="P2803" i="2"/>
  <c r="V2803" i="2" s="1"/>
  <c r="P2799" i="2"/>
  <c r="V2799" i="2" s="1"/>
  <c r="P2795" i="2"/>
  <c r="V2795" i="2" s="1"/>
  <c r="P2791" i="2"/>
  <c r="V2791" i="2" s="1"/>
  <c r="P2787" i="2"/>
  <c r="V2787" i="2" s="1"/>
  <c r="P2783" i="2"/>
  <c r="V2783" i="2" s="1"/>
  <c r="P2779" i="2"/>
  <c r="V2779" i="2" s="1"/>
  <c r="P2775" i="2"/>
  <c r="V2775" i="2" s="1"/>
  <c r="P2771" i="2"/>
  <c r="V2771" i="2" s="1"/>
  <c r="P2767" i="2"/>
  <c r="V2767" i="2" s="1"/>
  <c r="P2763" i="2"/>
  <c r="V2763" i="2" s="1"/>
  <c r="P2759" i="2"/>
  <c r="V2759" i="2" s="1"/>
  <c r="P2755" i="2"/>
  <c r="V2755" i="2" s="1"/>
  <c r="P2751" i="2"/>
  <c r="V2751" i="2" s="1"/>
  <c r="P2747" i="2"/>
  <c r="V2747" i="2" s="1"/>
  <c r="P2743" i="2"/>
  <c r="V2743" i="2" s="1"/>
  <c r="P2739" i="2"/>
  <c r="V2739" i="2" s="1"/>
  <c r="P2735" i="2"/>
  <c r="V2735" i="2" s="1"/>
  <c r="P2731" i="2"/>
  <c r="V2731" i="2" s="1"/>
  <c r="P2727" i="2"/>
  <c r="V2727" i="2" s="1"/>
  <c r="P2723" i="2"/>
  <c r="V2723" i="2" s="1"/>
  <c r="P2719" i="2"/>
  <c r="V2719" i="2" s="1"/>
  <c r="P2715" i="2"/>
  <c r="V2715" i="2" s="1"/>
  <c r="P2711" i="2"/>
  <c r="V2711" i="2" s="1"/>
  <c r="P2707" i="2"/>
  <c r="V2707" i="2" s="1"/>
  <c r="P2703" i="2"/>
  <c r="V2703" i="2" s="1"/>
  <c r="P2699" i="2"/>
  <c r="V2699" i="2" s="1"/>
  <c r="P2695" i="2"/>
  <c r="V2695" i="2" s="1"/>
  <c r="P2691" i="2"/>
  <c r="V2691" i="2" s="1"/>
  <c r="P2687" i="2"/>
  <c r="V2687" i="2" s="1"/>
  <c r="P2683" i="2"/>
  <c r="V2683" i="2" s="1"/>
  <c r="P2679" i="2"/>
  <c r="V2679" i="2" s="1"/>
  <c r="P2675" i="2"/>
  <c r="V2675" i="2" s="1"/>
  <c r="P2671" i="2"/>
  <c r="V2671" i="2" s="1"/>
  <c r="P2667" i="2"/>
  <c r="V2667" i="2" s="1"/>
  <c r="P2663" i="2"/>
  <c r="V2663" i="2" s="1"/>
  <c r="P2659" i="2"/>
  <c r="V2659" i="2" s="1"/>
  <c r="P2655" i="2"/>
  <c r="V2655" i="2" s="1"/>
  <c r="P2651" i="2"/>
  <c r="V2651" i="2" s="1"/>
  <c r="P2647" i="2"/>
  <c r="V2647" i="2" s="1"/>
  <c r="P2643" i="2"/>
  <c r="V2643" i="2" s="1"/>
  <c r="P2639" i="2"/>
  <c r="V2639" i="2" s="1"/>
  <c r="P2635" i="2"/>
  <c r="V2635" i="2" s="1"/>
  <c r="P2631" i="2"/>
  <c r="V2631" i="2" s="1"/>
  <c r="P2627" i="2"/>
  <c r="V2627" i="2" s="1"/>
  <c r="P2623" i="2"/>
  <c r="V2623" i="2" s="1"/>
  <c r="P2619" i="2"/>
  <c r="V2619" i="2" s="1"/>
  <c r="P2615" i="2"/>
  <c r="V2615" i="2" s="1"/>
  <c r="P2611" i="2"/>
  <c r="V2611" i="2" s="1"/>
  <c r="P2607" i="2"/>
  <c r="V2607" i="2" s="1"/>
  <c r="P2603" i="2"/>
  <c r="V2603" i="2" s="1"/>
  <c r="P2599" i="2"/>
  <c r="V2599" i="2" s="1"/>
  <c r="P2595" i="2"/>
  <c r="V2595" i="2" s="1"/>
  <c r="P2591" i="2"/>
  <c r="V2591" i="2" s="1"/>
  <c r="P2587" i="2"/>
  <c r="V2587" i="2" s="1"/>
  <c r="P2583" i="2"/>
  <c r="V2583" i="2" s="1"/>
  <c r="P2579" i="2"/>
  <c r="V2579" i="2" s="1"/>
  <c r="P2575" i="2"/>
  <c r="V2575" i="2" s="1"/>
  <c r="P2571" i="2"/>
  <c r="V2571" i="2" s="1"/>
  <c r="P2567" i="2"/>
  <c r="V2567" i="2" s="1"/>
  <c r="P2563" i="2"/>
  <c r="V2563" i="2" s="1"/>
  <c r="P2559" i="2"/>
  <c r="V2559" i="2" s="1"/>
  <c r="P2555" i="2"/>
  <c r="V2555" i="2" s="1"/>
  <c r="P2551" i="2"/>
  <c r="V2551" i="2" s="1"/>
  <c r="P2547" i="2"/>
  <c r="V2547" i="2" s="1"/>
  <c r="P2543" i="2"/>
  <c r="V2543" i="2" s="1"/>
  <c r="P2539" i="2"/>
  <c r="V2539" i="2" s="1"/>
  <c r="P2535" i="2"/>
  <c r="V2535" i="2" s="1"/>
  <c r="P2531" i="2"/>
  <c r="V2531" i="2" s="1"/>
  <c r="P2527" i="2"/>
  <c r="V2527" i="2" s="1"/>
  <c r="P2523" i="2"/>
  <c r="V2523" i="2" s="1"/>
  <c r="P2519" i="2"/>
  <c r="V2519" i="2" s="1"/>
  <c r="P2515" i="2"/>
  <c r="V2515" i="2" s="1"/>
  <c r="P2511" i="2"/>
  <c r="V2511" i="2" s="1"/>
  <c r="P2507" i="2"/>
  <c r="V2507" i="2" s="1"/>
  <c r="P2503" i="2"/>
  <c r="V2503" i="2" s="1"/>
  <c r="P2499" i="2"/>
  <c r="V2499" i="2" s="1"/>
  <c r="P2495" i="2"/>
  <c r="V2495" i="2" s="1"/>
  <c r="P2491" i="2"/>
  <c r="V2491" i="2" s="1"/>
  <c r="P2487" i="2"/>
  <c r="V2487" i="2" s="1"/>
  <c r="P2483" i="2"/>
  <c r="V2483" i="2" s="1"/>
  <c r="P2479" i="2"/>
  <c r="V2479" i="2" s="1"/>
  <c r="P2475" i="2"/>
  <c r="V2475" i="2" s="1"/>
  <c r="P2471" i="2"/>
  <c r="V2471" i="2" s="1"/>
  <c r="P2467" i="2"/>
  <c r="V2467" i="2" s="1"/>
  <c r="P2463" i="2"/>
  <c r="V2463" i="2" s="1"/>
  <c r="P2459" i="2"/>
  <c r="V2459" i="2" s="1"/>
  <c r="P2455" i="2"/>
  <c r="V2455" i="2" s="1"/>
  <c r="P2451" i="2"/>
  <c r="V2451" i="2" s="1"/>
  <c r="P2447" i="2"/>
  <c r="V2447" i="2" s="1"/>
  <c r="P2443" i="2"/>
  <c r="V2443" i="2" s="1"/>
  <c r="P2439" i="2"/>
  <c r="V2439" i="2" s="1"/>
  <c r="P2435" i="2"/>
  <c r="V2435" i="2" s="1"/>
  <c r="P2431" i="2"/>
  <c r="V2431" i="2" s="1"/>
  <c r="P2427" i="2"/>
  <c r="V2427" i="2" s="1"/>
  <c r="P2423" i="2"/>
  <c r="V2423" i="2" s="1"/>
  <c r="P2419" i="2"/>
  <c r="V2419" i="2" s="1"/>
  <c r="P2415" i="2"/>
  <c r="V2415" i="2" s="1"/>
  <c r="P2411" i="2"/>
  <c r="V2411" i="2" s="1"/>
  <c r="P2407" i="2"/>
  <c r="V2407" i="2" s="1"/>
  <c r="P2403" i="2"/>
  <c r="V2403" i="2" s="1"/>
  <c r="P2399" i="2"/>
  <c r="V2399" i="2" s="1"/>
  <c r="P2395" i="2"/>
  <c r="V2395" i="2" s="1"/>
  <c r="P2391" i="2"/>
  <c r="V2391" i="2" s="1"/>
  <c r="P2387" i="2"/>
  <c r="V2387" i="2" s="1"/>
  <c r="P2383" i="2"/>
  <c r="V2383" i="2" s="1"/>
  <c r="P2379" i="2"/>
  <c r="V2379" i="2" s="1"/>
  <c r="P2375" i="2"/>
  <c r="V2375" i="2" s="1"/>
  <c r="P2371" i="2"/>
  <c r="V2371" i="2" s="1"/>
  <c r="P2367" i="2"/>
  <c r="V2367" i="2" s="1"/>
  <c r="P2363" i="2"/>
  <c r="V2363" i="2" s="1"/>
  <c r="P2359" i="2"/>
  <c r="V2359" i="2" s="1"/>
  <c r="P2355" i="2"/>
  <c r="V2355" i="2" s="1"/>
  <c r="P2351" i="2"/>
  <c r="V2351" i="2" s="1"/>
  <c r="P2347" i="2"/>
  <c r="V2347" i="2" s="1"/>
  <c r="P2343" i="2"/>
  <c r="V2343" i="2" s="1"/>
  <c r="P2339" i="2"/>
  <c r="V2339" i="2" s="1"/>
  <c r="P2335" i="2"/>
  <c r="V2335" i="2" s="1"/>
  <c r="P2331" i="2"/>
  <c r="V2331" i="2" s="1"/>
  <c r="P2327" i="2"/>
  <c r="V2327" i="2" s="1"/>
  <c r="P2323" i="2"/>
  <c r="V2323" i="2" s="1"/>
  <c r="P2319" i="2"/>
  <c r="V2319" i="2" s="1"/>
  <c r="P2315" i="2"/>
  <c r="V2315" i="2" s="1"/>
  <c r="P2311" i="2"/>
  <c r="V2311" i="2" s="1"/>
  <c r="P2307" i="2"/>
  <c r="V2307" i="2" s="1"/>
  <c r="P2303" i="2"/>
  <c r="V2303" i="2" s="1"/>
  <c r="P2299" i="2"/>
  <c r="V2299" i="2" s="1"/>
  <c r="P2295" i="2"/>
  <c r="V2295" i="2" s="1"/>
  <c r="P2291" i="2"/>
  <c r="V2291" i="2" s="1"/>
  <c r="P2287" i="2"/>
  <c r="V2287" i="2" s="1"/>
  <c r="P2283" i="2"/>
  <c r="V2283" i="2" s="1"/>
  <c r="P2279" i="2"/>
  <c r="V2279" i="2" s="1"/>
  <c r="P2275" i="2"/>
  <c r="V2275" i="2" s="1"/>
  <c r="P2271" i="2"/>
  <c r="V2271" i="2" s="1"/>
  <c r="P2267" i="2"/>
  <c r="V2267" i="2" s="1"/>
  <c r="P2263" i="2"/>
  <c r="V2263" i="2" s="1"/>
  <c r="P2259" i="2"/>
  <c r="V2259" i="2" s="1"/>
  <c r="P2255" i="2"/>
  <c r="V2255" i="2" s="1"/>
  <c r="P2251" i="2"/>
  <c r="V2251" i="2" s="1"/>
  <c r="P2247" i="2"/>
  <c r="V2247" i="2" s="1"/>
  <c r="P2243" i="2"/>
  <c r="V2243" i="2" s="1"/>
  <c r="P2239" i="2"/>
  <c r="V2239" i="2" s="1"/>
  <c r="P2235" i="2"/>
  <c r="V2235" i="2" s="1"/>
  <c r="P2231" i="2"/>
  <c r="V2231" i="2" s="1"/>
  <c r="P2227" i="2"/>
  <c r="V2227" i="2" s="1"/>
  <c r="P2223" i="2"/>
  <c r="V2223" i="2" s="1"/>
  <c r="P2219" i="2"/>
  <c r="V2219" i="2" s="1"/>
  <c r="P2215" i="2"/>
  <c r="V2215" i="2" s="1"/>
  <c r="P2211" i="2"/>
  <c r="V2211" i="2" s="1"/>
  <c r="P2207" i="2"/>
  <c r="V2207" i="2" s="1"/>
  <c r="P2203" i="2"/>
  <c r="V2203" i="2" s="1"/>
  <c r="P2199" i="2"/>
  <c r="V2199" i="2" s="1"/>
  <c r="P2195" i="2"/>
  <c r="V2195" i="2" s="1"/>
  <c r="P2191" i="2"/>
  <c r="V2191" i="2" s="1"/>
  <c r="P2187" i="2"/>
  <c r="V2187" i="2" s="1"/>
  <c r="P2183" i="2"/>
  <c r="V2183" i="2" s="1"/>
  <c r="P2179" i="2"/>
  <c r="V2179" i="2" s="1"/>
  <c r="P2175" i="2"/>
  <c r="V2175" i="2" s="1"/>
  <c r="P2171" i="2"/>
  <c r="V2171" i="2" s="1"/>
  <c r="P2167" i="2"/>
  <c r="V2167" i="2" s="1"/>
  <c r="P2163" i="2"/>
  <c r="V2163" i="2" s="1"/>
  <c r="P2159" i="2"/>
  <c r="V2159" i="2" s="1"/>
  <c r="P2155" i="2"/>
  <c r="V2155" i="2" s="1"/>
  <c r="P2151" i="2"/>
  <c r="V2151" i="2" s="1"/>
  <c r="P2147" i="2"/>
  <c r="V2147" i="2" s="1"/>
  <c r="P2143" i="2"/>
  <c r="V2143" i="2" s="1"/>
  <c r="P2139" i="2"/>
  <c r="V2139" i="2" s="1"/>
  <c r="P2135" i="2"/>
  <c r="V2135" i="2" s="1"/>
  <c r="P2131" i="2"/>
  <c r="V2131" i="2" s="1"/>
  <c r="P2127" i="2"/>
  <c r="V2127" i="2" s="1"/>
  <c r="P2123" i="2"/>
  <c r="V2123" i="2" s="1"/>
  <c r="P2119" i="2"/>
  <c r="V2119" i="2" s="1"/>
  <c r="P2115" i="2"/>
  <c r="V2115" i="2" s="1"/>
  <c r="P2111" i="2"/>
  <c r="V2111" i="2" s="1"/>
  <c r="P2107" i="2"/>
  <c r="V2107" i="2" s="1"/>
  <c r="P2103" i="2"/>
  <c r="V2103" i="2" s="1"/>
  <c r="P2099" i="2"/>
  <c r="V2099" i="2" s="1"/>
  <c r="P2095" i="2"/>
  <c r="V2095" i="2" s="1"/>
  <c r="P2091" i="2"/>
  <c r="V2091" i="2" s="1"/>
  <c r="P2087" i="2"/>
  <c r="V2087" i="2" s="1"/>
  <c r="P2083" i="2"/>
  <c r="V2083" i="2" s="1"/>
  <c r="P2079" i="2"/>
  <c r="V2079" i="2" s="1"/>
  <c r="P2075" i="2"/>
  <c r="V2075" i="2" s="1"/>
  <c r="P2071" i="2"/>
  <c r="V2071" i="2" s="1"/>
  <c r="P2067" i="2"/>
  <c r="V2067" i="2" s="1"/>
  <c r="P2063" i="2"/>
  <c r="V2063" i="2" s="1"/>
  <c r="P2059" i="2"/>
  <c r="V2059" i="2" s="1"/>
  <c r="P2055" i="2"/>
  <c r="V2055" i="2" s="1"/>
  <c r="P2051" i="2"/>
  <c r="V2051" i="2" s="1"/>
  <c r="P2047" i="2"/>
  <c r="V2047" i="2" s="1"/>
  <c r="P2043" i="2"/>
  <c r="V2043" i="2" s="1"/>
  <c r="P2039" i="2"/>
  <c r="V2039" i="2" s="1"/>
  <c r="P2035" i="2"/>
  <c r="V2035" i="2" s="1"/>
  <c r="P2031" i="2"/>
  <c r="V2031" i="2" s="1"/>
  <c r="P2027" i="2"/>
  <c r="V2027" i="2" s="1"/>
  <c r="P2023" i="2"/>
  <c r="V2023" i="2" s="1"/>
  <c r="P2019" i="2"/>
  <c r="V2019" i="2" s="1"/>
  <c r="P2015" i="2"/>
  <c r="V2015" i="2" s="1"/>
  <c r="P2011" i="2"/>
  <c r="V2011" i="2" s="1"/>
  <c r="P2007" i="2"/>
  <c r="V2007" i="2" s="1"/>
  <c r="P2003" i="2"/>
  <c r="V2003" i="2" s="1"/>
  <c r="P1999" i="2"/>
  <c r="V1999" i="2" s="1"/>
  <c r="P1995" i="2"/>
  <c r="V1995" i="2" s="1"/>
  <c r="P1991" i="2"/>
  <c r="V1991" i="2" s="1"/>
  <c r="P1987" i="2"/>
  <c r="V1987" i="2" s="1"/>
  <c r="P1983" i="2"/>
  <c r="V1983" i="2" s="1"/>
  <c r="P1979" i="2"/>
  <c r="V1979" i="2" s="1"/>
  <c r="P1975" i="2"/>
  <c r="V1975" i="2" s="1"/>
  <c r="P1971" i="2"/>
  <c r="V1971" i="2" s="1"/>
  <c r="P1967" i="2"/>
  <c r="V1967" i="2" s="1"/>
  <c r="P1963" i="2"/>
  <c r="V1963" i="2" s="1"/>
  <c r="P1959" i="2"/>
  <c r="V1959" i="2" s="1"/>
  <c r="P1955" i="2"/>
  <c r="V1955" i="2" s="1"/>
  <c r="P1951" i="2"/>
  <c r="V1951" i="2" s="1"/>
  <c r="P1947" i="2"/>
  <c r="V1947" i="2" s="1"/>
  <c r="P1943" i="2"/>
  <c r="V1943" i="2" s="1"/>
  <c r="P1939" i="2"/>
  <c r="V1939" i="2" s="1"/>
  <c r="P1935" i="2"/>
  <c r="V1935" i="2" s="1"/>
  <c r="P1931" i="2"/>
  <c r="V1931" i="2" s="1"/>
  <c r="P1927" i="2"/>
  <c r="V1927" i="2" s="1"/>
  <c r="P1923" i="2"/>
  <c r="V1923" i="2" s="1"/>
  <c r="P1919" i="2"/>
  <c r="V1919" i="2" s="1"/>
  <c r="P1915" i="2"/>
  <c r="V1915" i="2" s="1"/>
  <c r="P1911" i="2"/>
  <c r="V1911" i="2" s="1"/>
  <c r="P1907" i="2"/>
  <c r="V1907" i="2" s="1"/>
  <c r="P1903" i="2"/>
  <c r="V1903" i="2" s="1"/>
  <c r="P1899" i="2"/>
  <c r="V1899" i="2" s="1"/>
  <c r="P1895" i="2"/>
  <c r="V1895" i="2" s="1"/>
  <c r="P1891" i="2"/>
  <c r="V1891" i="2" s="1"/>
  <c r="P1887" i="2"/>
  <c r="V1887" i="2" s="1"/>
  <c r="P1883" i="2"/>
  <c r="V1883" i="2" s="1"/>
  <c r="P1879" i="2"/>
  <c r="V1879" i="2" s="1"/>
  <c r="P1875" i="2"/>
  <c r="V1875" i="2" s="1"/>
  <c r="P1871" i="2"/>
  <c r="V1871" i="2" s="1"/>
  <c r="P1867" i="2"/>
  <c r="V1867" i="2" s="1"/>
  <c r="P1863" i="2"/>
  <c r="V1863" i="2" s="1"/>
  <c r="P1859" i="2"/>
  <c r="V1859" i="2" s="1"/>
  <c r="P1855" i="2"/>
  <c r="V1855" i="2" s="1"/>
  <c r="P1851" i="2"/>
  <c r="V1851" i="2" s="1"/>
  <c r="P1847" i="2"/>
  <c r="V1847" i="2" s="1"/>
  <c r="P1843" i="2"/>
  <c r="V1843" i="2" s="1"/>
  <c r="P1839" i="2"/>
  <c r="V1839" i="2" s="1"/>
  <c r="P1835" i="2"/>
  <c r="V1835" i="2" s="1"/>
  <c r="P1831" i="2"/>
  <c r="V1831" i="2" s="1"/>
  <c r="P1827" i="2"/>
  <c r="V1827" i="2" s="1"/>
  <c r="P1823" i="2"/>
  <c r="V1823" i="2" s="1"/>
  <c r="P1819" i="2"/>
  <c r="V1819" i="2" s="1"/>
  <c r="P1815" i="2"/>
  <c r="V1815" i="2" s="1"/>
  <c r="P1811" i="2"/>
  <c r="V1811" i="2" s="1"/>
  <c r="P1807" i="2"/>
  <c r="V1807" i="2" s="1"/>
  <c r="P1803" i="2"/>
  <c r="V1803" i="2" s="1"/>
  <c r="P1799" i="2"/>
  <c r="V1799" i="2" s="1"/>
  <c r="P1795" i="2"/>
  <c r="V1795" i="2" s="1"/>
  <c r="P1791" i="2"/>
  <c r="V1791" i="2" s="1"/>
  <c r="P1787" i="2"/>
  <c r="V1787" i="2" s="1"/>
  <c r="P1783" i="2"/>
  <c r="V1783" i="2" s="1"/>
  <c r="P1779" i="2"/>
  <c r="V1779" i="2" s="1"/>
  <c r="P1775" i="2"/>
  <c r="V1775" i="2" s="1"/>
  <c r="P1771" i="2"/>
  <c r="V1771" i="2" s="1"/>
  <c r="P1767" i="2"/>
  <c r="V1767" i="2" s="1"/>
  <c r="P1763" i="2"/>
  <c r="V1763" i="2" s="1"/>
  <c r="P1759" i="2"/>
  <c r="V1759" i="2" s="1"/>
  <c r="P1755" i="2"/>
  <c r="V1755" i="2" s="1"/>
  <c r="P1751" i="2"/>
  <c r="V1751" i="2" s="1"/>
  <c r="P1747" i="2"/>
  <c r="V1747" i="2" s="1"/>
  <c r="P1743" i="2"/>
  <c r="V1743" i="2" s="1"/>
  <c r="P1739" i="2"/>
  <c r="V1739" i="2" s="1"/>
  <c r="P1735" i="2"/>
  <c r="V1735" i="2" s="1"/>
  <c r="P1731" i="2"/>
  <c r="V1731" i="2" s="1"/>
  <c r="P1727" i="2"/>
  <c r="V1727" i="2" s="1"/>
  <c r="P1723" i="2"/>
  <c r="V1723" i="2" s="1"/>
  <c r="P1719" i="2"/>
  <c r="V1719" i="2" s="1"/>
  <c r="P1715" i="2"/>
  <c r="V1715" i="2" s="1"/>
  <c r="P1711" i="2"/>
  <c r="V1711" i="2" s="1"/>
  <c r="P1707" i="2"/>
  <c r="V1707" i="2" s="1"/>
  <c r="P1703" i="2"/>
  <c r="V1703" i="2" s="1"/>
  <c r="P1699" i="2"/>
  <c r="V1699" i="2" s="1"/>
  <c r="P1695" i="2"/>
  <c r="V1695" i="2" s="1"/>
  <c r="P1691" i="2"/>
  <c r="V1691" i="2" s="1"/>
  <c r="P1687" i="2"/>
  <c r="V1687" i="2" s="1"/>
  <c r="P1683" i="2"/>
  <c r="V1683" i="2" s="1"/>
  <c r="P1679" i="2"/>
  <c r="V1679" i="2" s="1"/>
  <c r="P1675" i="2"/>
  <c r="V1675" i="2" s="1"/>
  <c r="P1671" i="2"/>
  <c r="V1671" i="2" s="1"/>
  <c r="P1667" i="2"/>
  <c r="V1667" i="2" s="1"/>
  <c r="P1663" i="2"/>
  <c r="V1663" i="2" s="1"/>
  <c r="P1659" i="2"/>
  <c r="V1659" i="2" s="1"/>
  <c r="P1655" i="2"/>
  <c r="V1655" i="2" s="1"/>
  <c r="P1651" i="2"/>
  <c r="V1651" i="2" s="1"/>
  <c r="P1647" i="2"/>
  <c r="V1647" i="2" s="1"/>
  <c r="P1643" i="2"/>
  <c r="V1643" i="2" s="1"/>
  <c r="P1639" i="2"/>
  <c r="V1639" i="2" s="1"/>
  <c r="P1635" i="2"/>
  <c r="V1635" i="2" s="1"/>
  <c r="P1631" i="2"/>
  <c r="V1631" i="2" s="1"/>
  <c r="P1627" i="2"/>
  <c r="V1627" i="2" s="1"/>
  <c r="P1623" i="2"/>
  <c r="V1623" i="2" s="1"/>
  <c r="P1619" i="2"/>
  <c r="V1619" i="2" s="1"/>
  <c r="P1615" i="2"/>
  <c r="V1615" i="2" s="1"/>
  <c r="P1611" i="2"/>
  <c r="V1611" i="2" s="1"/>
  <c r="P1607" i="2"/>
  <c r="V1607" i="2" s="1"/>
  <c r="P1603" i="2"/>
  <c r="V1603" i="2" s="1"/>
  <c r="P1599" i="2"/>
  <c r="V1599" i="2" s="1"/>
  <c r="P1595" i="2"/>
  <c r="V1595" i="2" s="1"/>
  <c r="P1591" i="2"/>
  <c r="V1591" i="2" s="1"/>
  <c r="P1587" i="2"/>
  <c r="V1587" i="2" s="1"/>
  <c r="P1583" i="2"/>
  <c r="V1583" i="2" s="1"/>
  <c r="P1579" i="2"/>
  <c r="V1579" i="2" s="1"/>
  <c r="P1575" i="2"/>
  <c r="V1575" i="2" s="1"/>
  <c r="P1571" i="2"/>
  <c r="V1571" i="2" s="1"/>
  <c r="P1567" i="2"/>
  <c r="V1567" i="2" s="1"/>
  <c r="P1563" i="2"/>
  <c r="V1563" i="2" s="1"/>
  <c r="P1559" i="2"/>
  <c r="V1559" i="2" s="1"/>
  <c r="P1555" i="2"/>
  <c r="V1555" i="2" s="1"/>
  <c r="P1551" i="2"/>
  <c r="V1551" i="2" s="1"/>
  <c r="P1547" i="2"/>
  <c r="V1547" i="2" s="1"/>
  <c r="P1543" i="2"/>
  <c r="V1543" i="2" s="1"/>
  <c r="P1539" i="2"/>
  <c r="V1539" i="2" s="1"/>
  <c r="P1535" i="2"/>
  <c r="V1535" i="2" s="1"/>
  <c r="P1531" i="2"/>
  <c r="V1531" i="2" s="1"/>
  <c r="P1527" i="2"/>
  <c r="V1527" i="2" s="1"/>
  <c r="P1523" i="2"/>
  <c r="V1523" i="2" s="1"/>
  <c r="P1519" i="2"/>
  <c r="V1519" i="2" s="1"/>
  <c r="P1515" i="2"/>
  <c r="V1515" i="2" s="1"/>
  <c r="P1511" i="2"/>
  <c r="V1511" i="2" s="1"/>
  <c r="P1507" i="2"/>
  <c r="V1507" i="2" s="1"/>
  <c r="P1503" i="2"/>
  <c r="V1503" i="2" s="1"/>
  <c r="P1499" i="2"/>
  <c r="V1499" i="2" s="1"/>
  <c r="P1495" i="2"/>
  <c r="V1495" i="2" s="1"/>
  <c r="P1491" i="2"/>
  <c r="V1491" i="2" s="1"/>
  <c r="P1487" i="2"/>
  <c r="V1487" i="2" s="1"/>
  <c r="P1483" i="2"/>
  <c r="V1483" i="2" s="1"/>
  <c r="P1479" i="2"/>
  <c r="V1479" i="2" s="1"/>
  <c r="P1475" i="2"/>
  <c r="V1475" i="2" s="1"/>
  <c r="P1471" i="2"/>
  <c r="V1471" i="2" s="1"/>
  <c r="P1467" i="2"/>
  <c r="V1467" i="2" s="1"/>
  <c r="P1463" i="2"/>
  <c r="V1463" i="2" s="1"/>
  <c r="P1459" i="2"/>
  <c r="V1459" i="2" s="1"/>
  <c r="P1455" i="2"/>
  <c r="V1455" i="2" s="1"/>
  <c r="P1451" i="2"/>
  <c r="V1451" i="2" s="1"/>
  <c r="P1447" i="2"/>
  <c r="V1447" i="2" s="1"/>
  <c r="P1443" i="2"/>
  <c r="V1443" i="2" s="1"/>
  <c r="P1439" i="2"/>
  <c r="V1439" i="2" s="1"/>
  <c r="P1435" i="2"/>
  <c r="V1435" i="2" s="1"/>
  <c r="P1431" i="2"/>
  <c r="V1431" i="2" s="1"/>
  <c r="P1427" i="2"/>
  <c r="V1427" i="2" s="1"/>
  <c r="P1423" i="2"/>
  <c r="V1423" i="2" s="1"/>
  <c r="P1419" i="2"/>
  <c r="V1419" i="2" s="1"/>
  <c r="P1415" i="2"/>
  <c r="V1415" i="2" s="1"/>
  <c r="P1411" i="2"/>
  <c r="V1411" i="2" s="1"/>
  <c r="P1407" i="2"/>
  <c r="V1407" i="2" s="1"/>
  <c r="P1403" i="2"/>
  <c r="V1403" i="2" s="1"/>
  <c r="P1399" i="2"/>
  <c r="V1399" i="2" s="1"/>
  <c r="P1395" i="2"/>
  <c r="V1395" i="2" s="1"/>
  <c r="P1391" i="2"/>
  <c r="V1391" i="2" s="1"/>
  <c r="P1387" i="2"/>
  <c r="V1387" i="2" s="1"/>
  <c r="P1383" i="2"/>
  <c r="V1383" i="2" s="1"/>
  <c r="P1379" i="2"/>
  <c r="V1379" i="2" s="1"/>
  <c r="P1375" i="2"/>
  <c r="V1375" i="2" s="1"/>
  <c r="P1371" i="2"/>
  <c r="V1371" i="2" s="1"/>
  <c r="P1367" i="2"/>
  <c r="V1367" i="2" s="1"/>
  <c r="P1363" i="2"/>
  <c r="V1363" i="2" s="1"/>
  <c r="P1359" i="2"/>
  <c r="V1359" i="2" s="1"/>
  <c r="P1355" i="2"/>
  <c r="V1355" i="2" s="1"/>
  <c r="P1351" i="2"/>
  <c r="V1351" i="2" s="1"/>
  <c r="P1347" i="2"/>
  <c r="V1347" i="2" s="1"/>
  <c r="P1343" i="2"/>
  <c r="V1343" i="2" s="1"/>
  <c r="P1339" i="2"/>
  <c r="V1339" i="2" s="1"/>
  <c r="P1335" i="2"/>
  <c r="V1335" i="2" s="1"/>
  <c r="P1331" i="2"/>
  <c r="V1331" i="2" s="1"/>
  <c r="P1327" i="2"/>
  <c r="V1327" i="2" s="1"/>
  <c r="P1323" i="2"/>
  <c r="V1323" i="2" s="1"/>
  <c r="P1319" i="2"/>
  <c r="V1319" i="2" s="1"/>
  <c r="P1315" i="2"/>
  <c r="V1315" i="2" s="1"/>
  <c r="P1311" i="2"/>
  <c r="V1311" i="2" s="1"/>
  <c r="P1307" i="2"/>
  <c r="V1307" i="2" s="1"/>
  <c r="P1303" i="2"/>
  <c r="V1303" i="2" s="1"/>
  <c r="P1299" i="2"/>
  <c r="V1299" i="2" s="1"/>
  <c r="P1295" i="2"/>
  <c r="V1295" i="2" s="1"/>
  <c r="P1291" i="2"/>
  <c r="V1291" i="2" s="1"/>
  <c r="P1287" i="2"/>
  <c r="V1287" i="2" s="1"/>
  <c r="P1283" i="2"/>
  <c r="V1283" i="2" s="1"/>
  <c r="P1279" i="2"/>
  <c r="V1279" i="2" s="1"/>
  <c r="P1275" i="2"/>
  <c r="V1275" i="2" s="1"/>
  <c r="P1271" i="2"/>
  <c r="V1271" i="2" s="1"/>
  <c r="P1267" i="2"/>
  <c r="V1267" i="2" s="1"/>
  <c r="P1263" i="2"/>
  <c r="V1263" i="2" s="1"/>
  <c r="P1259" i="2"/>
  <c r="V1259" i="2" s="1"/>
  <c r="P1255" i="2"/>
  <c r="V1255" i="2" s="1"/>
  <c r="P1251" i="2"/>
  <c r="V1251" i="2" s="1"/>
  <c r="P1247" i="2"/>
  <c r="V1247" i="2" s="1"/>
  <c r="P1243" i="2"/>
  <c r="V1243" i="2" s="1"/>
  <c r="P1239" i="2"/>
  <c r="V1239" i="2" s="1"/>
  <c r="P1235" i="2"/>
  <c r="V1235" i="2" s="1"/>
  <c r="P1231" i="2"/>
  <c r="V1231" i="2" s="1"/>
  <c r="P1227" i="2"/>
  <c r="V1227" i="2" s="1"/>
  <c r="P1223" i="2"/>
  <c r="V1223" i="2" s="1"/>
  <c r="P1219" i="2"/>
  <c r="V1219" i="2" s="1"/>
  <c r="P1215" i="2"/>
  <c r="V1215" i="2" s="1"/>
  <c r="P1211" i="2"/>
  <c r="V1211" i="2" s="1"/>
  <c r="P1207" i="2"/>
  <c r="V1207" i="2" s="1"/>
  <c r="P1203" i="2"/>
  <c r="V1203" i="2" s="1"/>
  <c r="P1199" i="2"/>
  <c r="V1199" i="2" s="1"/>
  <c r="P1195" i="2"/>
  <c r="V1195" i="2" s="1"/>
  <c r="P1191" i="2"/>
  <c r="V1191" i="2" s="1"/>
  <c r="P1187" i="2"/>
  <c r="V1187" i="2" s="1"/>
  <c r="P1183" i="2"/>
  <c r="V1183" i="2" s="1"/>
  <c r="P1179" i="2"/>
  <c r="V1179" i="2" s="1"/>
  <c r="P1175" i="2"/>
  <c r="V1175" i="2" s="1"/>
  <c r="P1171" i="2"/>
  <c r="V1171" i="2" s="1"/>
  <c r="P1167" i="2"/>
  <c r="V1167" i="2" s="1"/>
  <c r="P1163" i="2"/>
  <c r="V1163" i="2" s="1"/>
  <c r="P1159" i="2"/>
  <c r="V1159" i="2" s="1"/>
  <c r="P1155" i="2"/>
  <c r="V1155" i="2" s="1"/>
  <c r="P1151" i="2"/>
  <c r="V1151" i="2" s="1"/>
  <c r="P1147" i="2"/>
  <c r="V1147" i="2" s="1"/>
  <c r="P1143" i="2"/>
  <c r="V1143" i="2" s="1"/>
  <c r="P1139" i="2"/>
  <c r="V1139" i="2" s="1"/>
  <c r="P1135" i="2"/>
  <c r="V1135" i="2" s="1"/>
  <c r="P1131" i="2"/>
  <c r="V1131" i="2" s="1"/>
  <c r="P1127" i="2"/>
  <c r="V1127" i="2" s="1"/>
  <c r="P1123" i="2"/>
  <c r="V1123" i="2" s="1"/>
  <c r="P1119" i="2"/>
  <c r="V1119" i="2" s="1"/>
  <c r="P1115" i="2"/>
  <c r="V1115" i="2" s="1"/>
  <c r="P1111" i="2"/>
  <c r="V1111" i="2" s="1"/>
  <c r="P1107" i="2"/>
  <c r="V1107" i="2" s="1"/>
  <c r="P1103" i="2"/>
  <c r="V1103" i="2" s="1"/>
  <c r="P1099" i="2"/>
  <c r="V1099" i="2" s="1"/>
  <c r="P1095" i="2"/>
  <c r="V1095" i="2" s="1"/>
  <c r="P1091" i="2"/>
  <c r="V1091" i="2" s="1"/>
  <c r="P1087" i="2"/>
  <c r="V1087" i="2" s="1"/>
  <c r="P1083" i="2"/>
  <c r="V1083" i="2" s="1"/>
  <c r="P1079" i="2"/>
  <c r="V1079" i="2" s="1"/>
  <c r="P1075" i="2"/>
  <c r="V1075" i="2" s="1"/>
  <c r="P1071" i="2"/>
  <c r="V1071" i="2" s="1"/>
  <c r="P1067" i="2"/>
  <c r="V1067" i="2" s="1"/>
  <c r="P1063" i="2"/>
  <c r="V1063" i="2" s="1"/>
  <c r="P1059" i="2"/>
  <c r="V1059" i="2" s="1"/>
  <c r="P1055" i="2"/>
  <c r="V1055" i="2" s="1"/>
  <c r="P1051" i="2"/>
  <c r="V1051" i="2" s="1"/>
  <c r="P1047" i="2"/>
  <c r="V1047" i="2" s="1"/>
  <c r="P1043" i="2"/>
  <c r="V1043" i="2" s="1"/>
  <c r="P1039" i="2"/>
  <c r="V1039" i="2" s="1"/>
  <c r="P1035" i="2"/>
  <c r="V1035" i="2" s="1"/>
  <c r="P1031" i="2"/>
  <c r="V1031" i="2" s="1"/>
  <c r="P1027" i="2"/>
  <c r="V1027" i="2" s="1"/>
  <c r="P1023" i="2"/>
  <c r="V1023" i="2" s="1"/>
  <c r="P1019" i="2"/>
  <c r="V1019" i="2" s="1"/>
  <c r="P1015" i="2"/>
  <c r="V1015" i="2" s="1"/>
  <c r="P1011" i="2"/>
  <c r="V1011" i="2" s="1"/>
  <c r="P1007" i="2"/>
  <c r="V1007" i="2" s="1"/>
  <c r="P1003" i="2"/>
  <c r="V1003" i="2" s="1"/>
  <c r="P999" i="2"/>
  <c r="V999" i="2" s="1"/>
  <c r="P995" i="2"/>
  <c r="V995" i="2" s="1"/>
  <c r="P991" i="2"/>
  <c r="V991" i="2" s="1"/>
  <c r="P987" i="2"/>
  <c r="V987" i="2" s="1"/>
  <c r="P983" i="2"/>
  <c r="V983" i="2" s="1"/>
  <c r="P979" i="2"/>
  <c r="V979" i="2" s="1"/>
  <c r="P975" i="2"/>
  <c r="V975" i="2" s="1"/>
  <c r="P971" i="2"/>
  <c r="V971" i="2" s="1"/>
  <c r="P967" i="2"/>
  <c r="V967" i="2" s="1"/>
  <c r="P963" i="2"/>
  <c r="V963" i="2" s="1"/>
  <c r="P959" i="2"/>
  <c r="V959" i="2" s="1"/>
  <c r="P955" i="2"/>
  <c r="V955" i="2" s="1"/>
  <c r="P951" i="2"/>
  <c r="V951" i="2" s="1"/>
  <c r="P947" i="2"/>
  <c r="V947" i="2" s="1"/>
  <c r="P943" i="2"/>
  <c r="V943" i="2" s="1"/>
  <c r="P939" i="2"/>
  <c r="V939" i="2" s="1"/>
  <c r="P935" i="2"/>
  <c r="V935" i="2" s="1"/>
  <c r="P931" i="2"/>
  <c r="V931" i="2" s="1"/>
  <c r="P927" i="2"/>
  <c r="V927" i="2" s="1"/>
  <c r="P923" i="2"/>
  <c r="V923" i="2" s="1"/>
  <c r="P919" i="2"/>
  <c r="V919" i="2" s="1"/>
  <c r="P915" i="2"/>
  <c r="V915" i="2" s="1"/>
  <c r="P911" i="2"/>
  <c r="V911" i="2" s="1"/>
  <c r="P907" i="2"/>
  <c r="V907" i="2" s="1"/>
  <c r="P903" i="2"/>
  <c r="V903" i="2" s="1"/>
  <c r="P899" i="2"/>
  <c r="V899" i="2" s="1"/>
  <c r="P895" i="2"/>
  <c r="V895" i="2" s="1"/>
  <c r="P891" i="2"/>
  <c r="V891" i="2" s="1"/>
  <c r="P887" i="2"/>
  <c r="V887" i="2" s="1"/>
  <c r="P883" i="2"/>
  <c r="V883" i="2" s="1"/>
  <c r="P879" i="2"/>
  <c r="V879" i="2" s="1"/>
  <c r="P875" i="2"/>
  <c r="V875" i="2" s="1"/>
  <c r="P871" i="2"/>
  <c r="V871" i="2" s="1"/>
  <c r="P867" i="2"/>
  <c r="V867" i="2" s="1"/>
  <c r="P863" i="2"/>
  <c r="V863" i="2" s="1"/>
  <c r="P859" i="2"/>
  <c r="V859" i="2" s="1"/>
  <c r="P855" i="2"/>
  <c r="V855" i="2" s="1"/>
  <c r="P851" i="2"/>
  <c r="V851" i="2" s="1"/>
  <c r="P847" i="2"/>
  <c r="V847" i="2" s="1"/>
  <c r="P843" i="2"/>
  <c r="V843" i="2" s="1"/>
  <c r="P839" i="2"/>
  <c r="V839" i="2" s="1"/>
  <c r="P835" i="2"/>
  <c r="V835" i="2" s="1"/>
  <c r="P831" i="2"/>
  <c r="V831" i="2" s="1"/>
  <c r="P827" i="2"/>
  <c r="V827" i="2" s="1"/>
  <c r="P823" i="2"/>
  <c r="V823" i="2" s="1"/>
  <c r="P819" i="2"/>
  <c r="V819" i="2" s="1"/>
  <c r="P815" i="2"/>
  <c r="V815" i="2" s="1"/>
  <c r="P811" i="2"/>
  <c r="V811" i="2" s="1"/>
  <c r="P807" i="2"/>
  <c r="V807" i="2" s="1"/>
  <c r="P803" i="2"/>
  <c r="V803" i="2" s="1"/>
  <c r="P799" i="2"/>
  <c r="V799" i="2" s="1"/>
  <c r="P795" i="2"/>
  <c r="V795" i="2" s="1"/>
  <c r="P791" i="2"/>
  <c r="V791" i="2" s="1"/>
  <c r="P787" i="2"/>
  <c r="V787" i="2" s="1"/>
  <c r="P783" i="2"/>
  <c r="V783" i="2" s="1"/>
  <c r="P779" i="2"/>
  <c r="V779" i="2" s="1"/>
  <c r="P775" i="2"/>
  <c r="V775" i="2" s="1"/>
  <c r="P771" i="2"/>
  <c r="V771" i="2" s="1"/>
  <c r="P767" i="2"/>
  <c r="V767" i="2" s="1"/>
  <c r="P763" i="2"/>
  <c r="V763" i="2" s="1"/>
  <c r="P759" i="2"/>
  <c r="V759" i="2" s="1"/>
  <c r="P755" i="2"/>
  <c r="V755" i="2" s="1"/>
  <c r="P751" i="2"/>
  <c r="V751" i="2" s="1"/>
  <c r="P747" i="2"/>
  <c r="V747" i="2" s="1"/>
  <c r="P743" i="2"/>
  <c r="V743" i="2" s="1"/>
  <c r="P739" i="2"/>
  <c r="V739" i="2" s="1"/>
  <c r="P735" i="2"/>
  <c r="V735" i="2" s="1"/>
  <c r="P731" i="2"/>
  <c r="V731" i="2" s="1"/>
  <c r="P727" i="2"/>
  <c r="V727" i="2" s="1"/>
  <c r="P723" i="2"/>
  <c r="V723" i="2" s="1"/>
  <c r="P719" i="2"/>
  <c r="V719" i="2" s="1"/>
  <c r="P715" i="2"/>
  <c r="V715" i="2" s="1"/>
  <c r="P711" i="2"/>
  <c r="V711" i="2" s="1"/>
  <c r="P707" i="2"/>
  <c r="V707" i="2" s="1"/>
  <c r="P703" i="2"/>
  <c r="V703" i="2" s="1"/>
  <c r="P699" i="2"/>
  <c r="V699" i="2" s="1"/>
  <c r="P695" i="2"/>
  <c r="V695" i="2" s="1"/>
  <c r="P691" i="2"/>
  <c r="V691" i="2" s="1"/>
  <c r="P687" i="2"/>
  <c r="V687" i="2" s="1"/>
  <c r="P683" i="2"/>
  <c r="V683" i="2" s="1"/>
  <c r="P679" i="2"/>
  <c r="V679" i="2" s="1"/>
  <c r="P675" i="2"/>
  <c r="V675" i="2" s="1"/>
  <c r="P671" i="2"/>
  <c r="V671" i="2" s="1"/>
  <c r="P667" i="2"/>
  <c r="V667" i="2" s="1"/>
  <c r="P663" i="2"/>
  <c r="V663" i="2" s="1"/>
  <c r="P659" i="2"/>
  <c r="V659" i="2" s="1"/>
  <c r="P655" i="2"/>
  <c r="V655" i="2" s="1"/>
  <c r="P651" i="2"/>
  <c r="V651" i="2" s="1"/>
  <c r="P647" i="2"/>
  <c r="V647" i="2" s="1"/>
  <c r="P643" i="2"/>
  <c r="V643" i="2" s="1"/>
  <c r="P639" i="2"/>
  <c r="V639" i="2" s="1"/>
  <c r="P635" i="2"/>
  <c r="V635" i="2" s="1"/>
  <c r="P631" i="2"/>
  <c r="V631" i="2" s="1"/>
  <c r="P627" i="2"/>
  <c r="V627" i="2" s="1"/>
  <c r="P623" i="2"/>
  <c r="V623" i="2" s="1"/>
  <c r="P619" i="2"/>
  <c r="V619" i="2" s="1"/>
  <c r="P615" i="2"/>
  <c r="V615" i="2" s="1"/>
  <c r="P611" i="2"/>
  <c r="V611" i="2" s="1"/>
  <c r="P607" i="2"/>
  <c r="V607" i="2" s="1"/>
  <c r="P603" i="2"/>
  <c r="V603" i="2" s="1"/>
  <c r="P599" i="2"/>
  <c r="V599" i="2" s="1"/>
  <c r="P595" i="2"/>
  <c r="V595" i="2" s="1"/>
  <c r="P591" i="2"/>
  <c r="V591" i="2" s="1"/>
  <c r="P587" i="2"/>
  <c r="V587" i="2" s="1"/>
  <c r="P583" i="2"/>
  <c r="V583" i="2" s="1"/>
  <c r="P579" i="2"/>
  <c r="V579" i="2" s="1"/>
  <c r="P575" i="2"/>
  <c r="V575" i="2" s="1"/>
  <c r="P571" i="2"/>
  <c r="V571" i="2" s="1"/>
  <c r="P567" i="2"/>
  <c r="V567" i="2" s="1"/>
  <c r="P563" i="2"/>
  <c r="V563" i="2" s="1"/>
  <c r="P559" i="2"/>
  <c r="V559" i="2" s="1"/>
  <c r="P555" i="2"/>
  <c r="V555" i="2" s="1"/>
  <c r="P551" i="2"/>
  <c r="V551" i="2" s="1"/>
  <c r="P547" i="2"/>
  <c r="V547" i="2" s="1"/>
  <c r="P543" i="2"/>
  <c r="V543" i="2" s="1"/>
  <c r="P539" i="2"/>
  <c r="V539" i="2" s="1"/>
  <c r="P535" i="2"/>
  <c r="V535" i="2" s="1"/>
  <c r="P531" i="2"/>
  <c r="V531" i="2" s="1"/>
  <c r="P527" i="2"/>
  <c r="V527" i="2" s="1"/>
  <c r="P523" i="2"/>
  <c r="V523" i="2" s="1"/>
  <c r="P519" i="2"/>
  <c r="V519" i="2" s="1"/>
  <c r="P515" i="2"/>
  <c r="V515" i="2" s="1"/>
  <c r="P511" i="2"/>
  <c r="V511" i="2" s="1"/>
  <c r="P507" i="2"/>
  <c r="V507" i="2" s="1"/>
  <c r="P503" i="2"/>
  <c r="V503" i="2" s="1"/>
  <c r="P499" i="2"/>
  <c r="V499" i="2" s="1"/>
  <c r="P495" i="2"/>
  <c r="V495" i="2" s="1"/>
  <c r="P491" i="2"/>
  <c r="V491" i="2" s="1"/>
  <c r="P487" i="2"/>
  <c r="V487" i="2" s="1"/>
  <c r="P483" i="2"/>
  <c r="V483" i="2" s="1"/>
  <c r="P479" i="2"/>
  <c r="V479" i="2" s="1"/>
  <c r="P475" i="2"/>
  <c r="V475" i="2" s="1"/>
  <c r="P471" i="2"/>
  <c r="V471" i="2" s="1"/>
  <c r="P467" i="2"/>
  <c r="V467" i="2" s="1"/>
  <c r="P463" i="2"/>
  <c r="V463" i="2" s="1"/>
  <c r="P459" i="2"/>
  <c r="V459" i="2" s="1"/>
  <c r="P455" i="2"/>
  <c r="V455" i="2" s="1"/>
  <c r="P451" i="2"/>
  <c r="V451" i="2" s="1"/>
  <c r="P447" i="2"/>
  <c r="V447" i="2" s="1"/>
  <c r="P443" i="2"/>
  <c r="V443" i="2" s="1"/>
  <c r="P439" i="2"/>
  <c r="V439" i="2" s="1"/>
  <c r="P435" i="2"/>
  <c r="V435" i="2" s="1"/>
  <c r="P431" i="2"/>
  <c r="V431" i="2" s="1"/>
  <c r="P427" i="2"/>
  <c r="V427" i="2" s="1"/>
  <c r="P423" i="2"/>
  <c r="V423" i="2" s="1"/>
  <c r="P419" i="2"/>
  <c r="V419" i="2" s="1"/>
  <c r="P415" i="2"/>
  <c r="V415" i="2" s="1"/>
  <c r="P411" i="2"/>
  <c r="V411" i="2" s="1"/>
  <c r="P407" i="2"/>
  <c r="V407" i="2" s="1"/>
  <c r="P403" i="2"/>
  <c r="V403" i="2" s="1"/>
  <c r="P399" i="2"/>
  <c r="V399" i="2" s="1"/>
  <c r="P395" i="2"/>
  <c r="V395" i="2" s="1"/>
  <c r="P391" i="2"/>
  <c r="V391" i="2" s="1"/>
  <c r="P387" i="2"/>
  <c r="V387" i="2" s="1"/>
  <c r="P383" i="2"/>
  <c r="V383" i="2" s="1"/>
  <c r="P379" i="2"/>
  <c r="V379" i="2" s="1"/>
  <c r="P375" i="2"/>
  <c r="V375" i="2" s="1"/>
  <c r="P371" i="2"/>
  <c r="V371" i="2" s="1"/>
  <c r="P367" i="2"/>
  <c r="V367" i="2" s="1"/>
  <c r="P363" i="2"/>
  <c r="V363" i="2" s="1"/>
  <c r="P359" i="2"/>
  <c r="V359" i="2" s="1"/>
  <c r="P355" i="2"/>
  <c r="V355" i="2" s="1"/>
  <c r="P351" i="2"/>
  <c r="V351" i="2" s="1"/>
  <c r="P347" i="2"/>
  <c r="V347" i="2" s="1"/>
  <c r="P343" i="2"/>
  <c r="V343" i="2" s="1"/>
  <c r="P339" i="2"/>
  <c r="V339" i="2" s="1"/>
  <c r="P335" i="2"/>
  <c r="V335" i="2" s="1"/>
  <c r="P331" i="2"/>
  <c r="V331" i="2" s="1"/>
  <c r="P327" i="2"/>
  <c r="V327" i="2" s="1"/>
  <c r="P323" i="2"/>
  <c r="V323" i="2" s="1"/>
  <c r="P319" i="2"/>
  <c r="V319" i="2" s="1"/>
  <c r="P315" i="2"/>
  <c r="V315" i="2" s="1"/>
  <c r="P311" i="2"/>
  <c r="V311" i="2" s="1"/>
  <c r="P307" i="2"/>
  <c r="V307" i="2" s="1"/>
  <c r="P303" i="2"/>
  <c r="V303" i="2" s="1"/>
  <c r="P299" i="2"/>
  <c r="V299" i="2" s="1"/>
  <c r="P295" i="2"/>
  <c r="V295" i="2" s="1"/>
  <c r="P291" i="2"/>
  <c r="V291" i="2" s="1"/>
  <c r="P287" i="2"/>
  <c r="V287" i="2" s="1"/>
  <c r="P283" i="2"/>
  <c r="V283" i="2" s="1"/>
  <c r="P279" i="2"/>
  <c r="V279" i="2" s="1"/>
  <c r="P275" i="2"/>
  <c r="V275" i="2" s="1"/>
  <c r="P271" i="2"/>
  <c r="V271" i="2" s="1"/>
  <c r="P267" i="2"/>
  <c r="V267" i="2" s="1"/>
  <c r="P263" i="2"/>
  <c r="V263" i="2" s="1"/>
  <c r="P259" i="2"/>
  <c r="V259" i="2" s="1"/>
  <c r="P255" i="2"/>
  <c r="V255" i="2" s="1"/>
  <c r="P251" i="2"/>
  <c r="V251" i="2" s="1"/>
  <c r="P247" i="2"/>
  <c r="V247" i="2" s="1"/>
  <c r="P243" i="2"/>
  <c r="V243" i="2" s="1"/>
  <c r="P239" i="2"/>
  <c r="V239" i="2" s="1"/>
  <c r="P235" i="2"/>
  <c r="V235" i="2" s="1"/>
  <c r="P231" i="2"/>
  <c r="V231" i="2" s="1"/>
  <c r="P227" i="2"/>
  <c r="V227" i="2" s="1"/>
  <c r="P223" i="2"/>
  <c r="V223" i="2" s="1"/>
  <c r="P219" i="2"/>
  <c r="V219" i="2" s="1"/>
  <c r="P215" i="2"/>
  <c r="V215" i="2" s="1"/>
  <c r="P211" i="2"/>
  <c r="V211" i="2" s="1"/>
  <c r="P207" i="2"/>
  <c r="V207" i="2" s="1"/>
  <c r="P203" i="2"/>
  <c r="V203" i="2" s="1"/>
  <c r="P199" i="2"/>
  <c r="V199" i="2" s="1"/>
  <c r="P195" i="2"/>
  <c r="V195" i="2" s="1"/>
  <c r="P191" i="2"/>
  <c r="V191" i="2" s="1"/>
  <c r="P187" i="2"/>
  <c r="V187" i="2" s="1"/>
  <c r="P183" i="2"/>
  <c r="V183" i="2" s="1"/>
  <c r="P179" i="2"/>
  <c r="V179" i="2" s="1"/>
  <c r="P175" i="2"/>
  <c r="V175" i="2" s="1"/>
  <c r="P171" i="2"/>
  <c r="V171" i="2" s="1"/>
  <c r="P167" i="2"/>
  <c r="V167" i="2" s="1"/>
  <c r="P163" i="2"/>
  <c r="V163" i="2" s="1"/>
  <c r="P159" i="2"/>
  <c r="V159" i="2" s="1"/>
  <c r="P155" i="2"/>
  <c r="V155" i="2" s="1"/>
  <c r="P151" i="2"/>
  <c r="V151" i="2" s="1"/>
  <c r="P147" i="2"/>
  <c r="V147" i="2" s="1"/>
  <c r="P143" i="2"/>
  <c r="V143" i="2" s="1"/>
  <c r="P139" i="2"/>
  <c r="V139" i="2" s="1"/>
  <c r="P135" i="2"/>
  <c r="V135" i="2" s="1"/>
  <c r="P131" i="2"/>
  <c r="V131" i="2" s="1"/>
  <c r="P127" i="2"/>
  <c r="V127" i="2" s="1"/>
  <c r="P123" i="2"/>
  <c r="V123" i="2" s="1"/>
  <c r="P119" i="2"/>
  <c r="V119" i="2" s="1"/>
  <c r="P115" i="2"/>
  <c r="V115" i="2" s="1"/>
  <c r="P111" i="2"/>
  <c r="V111" i="2" s="1"/>
  <c r="P107" i="2"/>
  <c r="V107" i="2" s="1"/>
  <c r="P103" i="2"/>
  <c r="V103" i="2" s="1"/>
  <c r="P99" i="2"/>
  <c r="V99" i="2" s="1"/>
  <c r="P95" i="2"/>
  <c r="V95" i="2" s="1"/>
  <c r="P91" i="2"/>
  <c r="V91" i="2" s="1"/>
  <c r="P87" i="2"/>
  <c r="V87" i="2" s="1"/>
  <c r="P83" i="2"/>
  <c r="V83" i="2" s="1"/>
  <c r="P79" i="2"/>
  <c r="V79" i="2" s="1"/>
  <c r="P75" i="2"/>
  <c r="V75" i="2" s="1"/>
  <c r="P71" i="2"/>
  <c r="V71" i="2" s="1"/>
  <c r="P67" i="2"/>
  <c r="V67" i="2" s="1"/>
  <c r="P63" i="2"/>
  <c r="V63" i="2" s="1"/>
  <c r="P59" i="2"/>
  <c r="V59" i="2" s="1"/>
  <c r="P55" i="2"/>
  <c r="V55" i="2" s="1"/>
  <c r="P51" i="2"/>
  <c r="V51" i="2" s="1"/>
  <c r="P47" i="2"/>
  <c r="V47" i="2" s="1"/>
  <c r="P43" i="2"/>
  <c r="V43" i="2" s="1"/>
  <c r="P39" i="2"/>
  <c r="V39" i="2" s="1"/>
  <c r="P11" i="2"/>
  <c r="D347" i="38" s="1"/>
  <c r="Q11" i="2"/>
  <c r="Q17" i="2"/>
  <c r="V14" i="2" l="1"/>
  <c r="V11" i="2"/>
  <c r="S13" i="38" s="1"/>
  <c r="P17" i="2"/>
  <c r="V17" i="2" s="1"/>
  <c r="Q22" i="2" l="1"/>
  <c r="P22" i="2"/>
  <c r="V22" i="2" s="1"/>
  <c r="Q3" i="2"/>
  <c r="P3" i="2"/>
  <c r="Q21" i="2"/>
  <c r="P21" i="2"/>
  <c r="V21" i="2" s="1"/>
  <c r="Q8" i="2"/>
  <c r="P8" i="2"/>
  <c r="D158" i="37" s="1"/>
  <c r="Q19" i="2"/>
  <c r="P19" i="2"/>
  <c r="V19" i="2" s="1"/>
  <c r="Q20" i="2"/>
  <c r="P20" i="2"/>
  <c r="V20" i="2" s="1"/>
  <c r="Q5" i="2"/>
  <c r="P5" i="2"/>
  <c r="Q26" i="2"/>
  <c r="P26" i="2"/>
  <c r="Q10" i="2"/>
  <c r="P10" i="2"/>
  <c r="D320" i="38" s="1"/>
  <c r="Q23" i="2"/>
  <c r="P23" i="2"/>
  <c r="V23" i="2" s="1"/>
  <c r="Q4" i="2"/>
  <c r="Q13" i="2"/>
  <c r="P13" i="2"/>
  <c r="Q16" i="2"/>
  <c r="P16" i="2"/>
  <c r="Q9" i="2"/>
  <c r="P9" i="2"/>
  <c r="D251" i="38" s="1"/>
  <c r="Q6" i="2"/>
  <c r="P6" i="2"/>
  <c r="Q25" i="2"/>
  <c r="P25" i="2"/>
  <c r="Q7" i="2"/>
  <c r="P7" i="2"/>
  <c r="D101" i="42" s="1"/>
  <c r="Q27" i="2"/>
  <c r="P27" i="2"/>
  <c r="Q35" i="2"/>
  <c r="P35" i="2"/>
  <c r="V35" i="2" s="1"/>
  <c r="Q31" i="2"/>
  <c r="P31" i="2"/>
  <c r="V31" i="2" s="1"/>
  <c r="Q32" i="2"/>
  <c r="P32" i="2"/>
  <c r="V32" i="2" s="1"/>
  <c r="Q24" i="2"/>
  <c r="P24" i="2"/>
  <c r="V24" i="2" s="1"/>
  <c r="Q28" i="2"/>
  <c r="P28" i="2"/>
  <c r="Q29" i="2"/>
  <c r="P29" i="2"/>
  <c r="Q33" i="2"/>
  <c r="P33" i="2"/>
  <c r="V33" i="2" s="1"/>
  <c r="Q34" i="2"/>
  <c r="P34" i="2"/>
  <c r="V34" i="2" s="1"/>
  <c r="Q15" i="2"/>
  <c r="P15" i="2"/>
  <c r="Q30" i="2"/>
  <c r="P30" i="2"/>
  <c r="Q12" i="2"/>
  <c r="P12" i="2"/>
  <c r="P4" i="2"/>
  <c r="D369" i="38" l="1"/>
  <c r="D67" i="36"/>
  <c r="D137" i="37"/>
  <c r="D37" i="41"/>
  <c r="D64" i="42"/>
  <c r="D5" i="39"/>
  <c r="D98" i="41"/>
  <c r="D5" i="36"/>
  <c r="V3" i="2"/>
  <c r="H10" i="39" s="1"/>
  <c r="V16" i="2"/>
  <c r="V15" i="2"/>
  <c r="V13" i="2"/>
  <c r="V12" i="2"/>
  <c r="V10" i="2"/>
  <c r="R12" i="38" s="1"/>
  <c r="V9" i="2"/>
  <c r="V8" i="2"/>
  <c r="M10" i="37" s="1"/>
  <c r="V7" i="2"/>
  <c r="K9" i="42" s="1"/>
  <c r="V6" i="2"/>
  <c r="V5" i="2"/>
  <c r="V4" i="2"/>
  <c r="H6" i="39" s="1"/>
  <c r="V27" i="2"/>
  <c r="V26" i="2"/>
  <c r="V30" i="2"/>
  <c r="V29" i="2"/>
  <c r="V25" i="2"/>
  <c r="V28" i="2"/>
  <c r="I7" i="42" l="1"/>
  <c r="I7" i="37"/>
  <c r="S6" i="38"/>
  <c r="J8" i="36"/>
  <c r="L12" i="37"/>
  <c r="I7" i="41"/>
  <c r="H8" i="36"/>
  <c r="I8" i="42"/>
  <c r="I10" i="42"/>
  <c r="K5" i="41"/>
</calcChain>
</file>

<file path=xl/sharedStrings.xml><?xml version="1.0" encoding="utf-8"?>
<sst xmlns="http://schemas.openxmlformats.org/spreadsheetml/2006/main" count="2423" uniqueCount="67">
  <si>
    <t>% de COV contenu dans le produit</t>
  </si>
  <si>
    <t>Date</t>
  </si>
  <si>
    <t>Produit utilisé</t>
  </si>
  <si>
    <t>Premier produit ajouté</t>
  </si>
  <si>
    <t>Deuxième produit ajouté</t>
  </si>
  <si>
    <t>Quantité de COV (kg)</t>
  </si>
  <si>
    <t>Teneur en COV (exprimée en kg/l)</t>
  </si>
  <si>
    <t>Teneur en COV du premier produit ajouté                      (exprimée en kg/l)</t>
  </si>
  <si>
    <t>Teneur en COV du deuxième produit ajouté                              (exprimée en kg/l)</t>
  </si>
  <si>
    <t>Teneur en COV du produit seul ou mélangé, le cas échéant (exprimée en g/l)</t>
  </si>
  <si>
    <t>Première méthode</t>
  </si>
  <si>
    <t>Deuxième méthode</t>
  </si>
  <si>
    <t>Jour</t>
  </si>
  <si>
    <t>Mois</t>
  </si>
  <si>
    <t>Année</t>
  </si>
  <si>
    <t>janvier</t>
  </si>
  <si>
    <t>février</t>
  </si>
  <si>
    <t>mars</t>
  </si>
  <si>
    <t>avril</t>
  </si>
  <si>
    <t>mai</t>
  </si>
  <si>
    <t>juin</t>
  </si>
  <si>
    <t>juillet</t>
  </si>
  <si>
    <t>août</t>
  </si>
  <si>
    <t>septembre</t>
  </si>
  <si>
    <t>octobre</t>
  </si>
  <si>
    <t>novembre</t>
  </si>
  <si>
    <t>décembre</t>
  </si>
  <si>
    <t>Autres types de peinture</t>
  </si>
  <si>
    <t>Retardateur</t>
  </si>
  <si>
    <t>Type de peinture</t>
  </si>
  <si>
    <t>Moyenne pondérée des teneurs de chacun des mois (g/l)</t>
  </si>
  <si>
    <t>Diluant ou solvant de nettoyage (thinner)</t>
  </si>
  <si>
    <t>Activateur ou Catalyseur</t>
  </si>
  <si>
    <t>Quantités journalières de COV en kg de l'année 2025</t>
  </si>
  <si>
    <t xml:space="preserve">Teneur de référence (g/l)  Norme RAA, article 32 </t>
  </si>
  <si>
    <t>Nom des produits utilisés -fabrication de meubles, d’armoires, de cercueils ou d’autres produits en bois, à l’exclusion de ceux visés aux articles 30 et 31 du RAA</t>
  </si>
  <si>
    <t>Durcisseur</t>
  </si>
  <si>
    <t>Couche lavis (Washcoat)</t>
  </si>
  <si>
    <t>Teinture translucide (Translucent stain)</t>
  </si>
  <si>
    <t>Teinture ne gonflant pas le grain (Non-grain-raising stain)</t>
  </si>
  <si>
    <t xml:space="preserve">Bouche-pores (Filler) </t>
  </si>
  <si>
    <t xml:space="preserve">Scelleur (Sealer) </t>
  </si>
  <si>
    <t>Revêtement pigmenté (Pigmented coating)</t>
  </si>
  <si>
    <t>Couche de finition transparente (Transparent finishing coat)</t>
  </si>
  <si>
    <t>Couche de finition laquée (Laquered finishing coat)</t>
  </si>
  <si>
    <t>Réducteur (Reducer)</t>
  </si>
  <si>
    <t>Quantité de COV émis pour le produit utilisé seul ou mélangé (exprimé en g)</t>
  </si>
  <si>
    <t>Quantité totale  de produit (litres)</t>
  </si>
  <si>
    <t>Quantités journalières de COV en kg de l'année 2026</t>
  </si>
  <si>
    <t>Quantités journalières de COV en kg de l'année 2027</t>
  </si>
  <si>
    <t>Quantités journalières de COV en kg de l'année 2028</t>
  </si>
  <si>
    <t>Quantités journalières de COV en kg de l'année 2029</t>
  </si>
  <si>
    <t>Quantités journalières de COV en kg de l'année 2030</t>
  </si>
  <si>
    <t xml:space="preserve">Type de produit </t>
  </si>
  <si>
    <t>Teneur en COV exprimée en g/l, en kg/l ou en lb/gal US</t>
  </si>
  <si>
    <t>Unité de la teneur (choisir entre g/l ou kg/l ou lb/gal US)</t>
  </si>
  <si>
    <t>Densité du produit exprimée en g/l, en kg/l ou en lb/gal US</t>
  </si>
  <si>
    <t>Quantité utilisée (exprimée en litres)</t>
  </si>
  <si>
    <t>Quantité de solvant de nettoyage récupérée et gérée comme une matière dangereuse (exprimée en litres)</t>
  </si>
  <si>
    <t>Produit utilisé seul?</t>
  </si>
  <si>
    <t>Si le produit n'est pas utilisé seul, indiquez combien de produits sont ajoutés. Indiquez les noms des produits ajoutés et leurs quantités, dans les colonnes J et suivantes.</t>
  </si>
  <si>
    <t>Quantité utilisée du premier produit ajouté                               (exprimée en litres)</t>
  </si>
  <si>
    <t>Quantité utilisée du deuxième produit ajouté                               (exprimée en litres)</t>
  </si>
  <si>
    <t>Quantité de COV émise pour le produit utilisé seul ou mélangé (exprimée en kg)</t>
  </si>
  <si>
    <t>Type de produit de référence pour la comparaison de la teneur</t>
  </si>
  <si>
    <t>Commentaires   (Cette colonne peut servir à ajouter des remarques, un numéro de bon de commande, etc.)</t>
  </si>
  <si>
    <t>Moyenne pondérée de COV sur une base mensuelle pour chaque type de peinture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</si>
</sst>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b/>
      <sz val="11"/>
      <color theme="1"/>
      <name val="Calibri"/>
      <family val="2"/>
      <scheme val="minor"/>
    </font>
    <font>
      <sz val="11"/>
      <color rgb="FF000000"/>
      <name val="Calibri"/>
      <family val="2"/>
      <scheme val="minor"/>
    </font>
    <font>
      <b/>
      <sz val="1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xf numFmtId="2" fontId="0" fillId="0" borderId="0" xfId="0" applyNumberFormat="1" applyAlignment="1">
      <alignment horizontal="right"/>
    </xf>
    <xf numFmtId="0" fontId="0" fillId="0" borderId="0" xfId="0"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164" fontId="0" fillId="0" borderId="0" xfId="0" applyNumberFormat="1" applyProtection="1">
      <protection locked="0"/>
    </xf>
    <xf numFmtId="0" fontId="1" fillId="0" borderId="0" xfId="0" applyFont="1" applyAlignment="1">
      <alignment horizontal="center" vertical="center" wrapText="1"/>
    </xf>
    <xf numFmtId="0" fontId="0" fillId="2" borderId="1" xfId="0" applyFill="1" applyBorder="1"/>
    <xf numFmtId="0" fontId="0" fillId="3" borderId="1" xfId="0" applyFill="1" applyBorder="1"/>
    <xf numFmtId="0" fontId="0" fillId="0" borderId="0" xfId="0" applyAlignment="1" applyProtection="1">
      <alignment horizontal="left"/>
      <protection locked="0"/>
    </xf>
    <xf numFmtId="0" fontId="0" fillId="0" borderId="0" xfId="0" applyAlignment="1" applyProtection="1">
      <alignment horizontal="right"/>
      <protection locked="0"/>
    </xf>
    <xf numFmtId="0" fontId="1" fillId="4" borderId="14" xfId="0" applyFont="1" applyFill="1" applyBorder="1" applyAlignment="1">
      <alignment horizontal="center" vertical="center" wrapText="1"/>
    </xf>
    <xf numFmtId="0" fontId="0" fillId="2" borderId="4" xfId="0" applyFill="1" applyBorder="1"/>
    <xf numFmtId="0" fontId="1" fillId="4" borderId="8" xfId="0" applyFont="1" applyFill="1" applyBorder="1" applyAlignment="1">
      <alignment horizontal="center" vertical="center"/>
    </xf>
    <xf numFmtId="0" fontId="2" fillId="0" borderId="0" xfId="0" applyFont="1"/>
    <xf numFmtId="0" fontId="2" fillId="0" borderId="0" xfId="0" applyFont="1" applyAlignment="1">
      <alignment vertical="center"/>
    </xf>
    <xf numFmtId="0" fontId="1" fillId="4" borderId="8" xfId="0" applyFont="1" applyFill="1" applyBorder="1" applyAlignment="1">
      <alignment horizontal="center" vertical="center" wrapText="1"/>
    </xf>
    <xf numFmtId="0" fontId="1" fillId="4" borderId="1" xfId="0" applyFont="1" applyFill="1" applyBorder="1" applyAlignment="1">
      <alignment horizontal="center" vertical="center"/>
    </xf>
    <xf numFmtId="0" fontId="3" fillId="5" borderId="4" xfId="0" applyFont="1" applyFill="1" applyBorder="1"/>
    <xf numFmtId="0" fontId="3" fillId="5" borderId="1" xfId="0" applyFont="1" applyFill="1" applyBorder="1"/>
    <xf numFmtId="0" fontId="3" fillId="5" borderId="8" xfId="0" applyFont="1" applyFill="1" applyBorder="1"/>
    <xf numFmtId="0" fontId="1" fillId="4" borderId="1" xfId="0" applyFont="1" applyFill="1" applyBorder="1" applyAlignment="1">
      <alignment horizontal="center" vertical="center" wrapText="1"/>
    </xf>
    <xf numFmtId="0" fontId="2" fillId="0" borderId="5" xfId="0" applyFont="1" applyBorder="1"/>
    <xf numFmtId="0" fontId="2" fillId="0" borderId="7" xfId="0" applyFont="1" applyBorder="1"/>
    <xf numFmtId="0" fontId="2" fillId="0" borderId="20" xfId="0" applyFont="1" applyBorder="1"/>
    <xf numFmtId="2" fontId="0" fillId="0" borderId="0" xfId="0" applyNumberFormat="1" applyAlignment="1" applyProtection="1">
      <alignment horizontal="right"/>
      <protection locked="0"/>
    </xf>
    <xf numFmtId="0" fontId="1" fillId="4" borderId="7" xfId="0" applyFont="1" applyFill="1" applyBorder="1" applyAlignment="1">
      <alignment horizontal="center" vertical="center"/>
    </xf>
    <xf numFmtId="0" fontId="1" fillId="4" borderId="9" xfId="0" applyFont="1" applyFill="1" applyBorder="1" applyAlignment="1">
      <alignment horizontal="center" vertical="center" wrapText="1"/>
    </xf>
    <xf numFmtId="2" fontId="0" fillId="0" borderId="0" xfId="0" applyNumberFormat="1" applyProtection="1">
      <protection hidden="1"/>
    </xf>
    <xf numFmtId="0" fontId="0" fillId="0" borderId="0" xfId="0"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2" fontId="0" fillId="0" borderId="4" xfId="0" applyNumberFormat="1" applyBorder="1" applyAlignment="1" applyProtection="1">
      <alignment horizontal="right"/>
      <protection hidden="1"/>
    </xf>
    <xf numFmtId="2" fontId="0" fillId="0" borderId="11" xfId="0" applyNumberFormat="1" applyBorder="1" applyAlignment="1" applyProtection="1">
      <alignment horizontal="right"/>
      <protection hidden="1"/>
    </xf>
    <xf numFmtId="2" fontId="0" fillId="0" borderId="18" xfId="0" applyNumberFormat="1" applyBorder="1" applyAlignment="1" applyProtection="1">
      <alignment horizontal="right"/>
      <protection hidden="1"/>
    </xf>
    <xf numFmtId="2" fontId="0" fillId="0" borderId="19" xfId="0" applyNumberFormat="1" applyBorder="1" applyAlignment="1" applyProtection="1">
      <alignment horizontal="right"/>
      <protection hidden="1"/>
    </xf>
    <xf numFmtId="2" fontId="0" fillId="2" borderId="4" xfId="0" applyNumberFormat="1" applyFill="1" applyBorder="1" applyProtection="1">
      <protection hidden="1"/>
    </xf>
    <xf numFmtId="2" fontId="0" fillId="2" borderId="1" xfId="0" applyNumberFormat="1" applyFill="1" applyBorder="1" applyProtection="1">
      <protection hidden="1"/>
    </xf>
    <xf numFmtId="2" fontId="0" fillId="3" borderId="1" xfId="0" applyNumberFormat="1" applyFill="1" applyBorder="1" applyProtection="1">
      <protection hidden="1"/>
    </xf>
    <xf numFmtId="0" fontId="1" fillId="4" borderId="1" xfId="0" applyFont="1" applyFill="1" applyBorder="1" applyAlignment="1">
      <alignment horizontal="center" vertical="center" wrapText="1"/>
    </xf>
    <xf numFmtId="0" fontId="1" fillId="2" borderId="1" xfId="0" applyFont="1" applyFill="1" applyBorder="1" applyAlignment="1">
      <alignment horizontal="center"/>
    </xf>
    <xf numFmtId="0" fontId="1" fillId="3" borderId="1" xfId="0" applyFont="1" applyFill="1" applyBorder="1" applyAlignment="1">
      <alignment horizontal="center"/>
    </xf>
    <xf numFmtId="0" fontId="1" fillId="4" borderId="1" xfId="0" applyFont="1" applyFill="1" applyBorder="1" applyAlignment="1" applyProtection="1">
      <alignment horizontal="center" vertical="center" wrapText="1"/>
      <protection hidden="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4" borderId="1" xfId="0" applyNumberFormat="1" applyFont="1" applyFill="1" applyBorder="1" applyAlignment="1" applyProtection="1">
      <alignment horizontal="center" vertical="center" wrapText="1"/>
      <protection hidden="1"/>
    </xf>
    <xf numFmtId="0" fontId="1" fillId="4" borderId="21" xfId="0" applyFont="1" applyFill="1" applyBorder="1" applyAlignment="1">
      <alignment horizontal="center" vertical="center"/>
    </xf>
    <xf numFmtId="0" fontId="1" fillId="4" borderId="22" xfId="0" applyFont="1" applyFill="1" applyBorder="1" applyAlignment="1">
      <alignment horizontal="center" vertical="center"/>
    </xf>
    <xf numFmtId="0" fontId="1" fillId="4" borderId="23" xfId="0" applyFont="1" applyFill="1" applyBorder="1" applyAlignment="1">
      <alignment horizontal="center" vertical="center"/>
    </xf>
    <xf numFmtId="0" fontId="1" fillId="4" borderId="0" xfId="0" applyFont="1" applyFill="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wrapText="1"/>
      <protection hidden="1"/>
    </xf>
    <xf numFmtId="14" fontId="1" fillId="4" borderId="12" xfId="0" applyNumberFormat="1" applyFont="1" applyFill="1" applyBorder="1" applyAlignment="1">
      <alignment horizontal="center" vertical="center" wrapText="1"/>
    </xf>
    <xf numFmtId="14" fontId="1" fillId="4" borderId="13" xfId="0" applyNumberFormat="1" applyFont="1" applyFill="1" applyBorder="1" applyAlignment="1">
      <alignment horizontal="center" vertical="center" wrapText="1"/>
    </xf>
    <xf numFmtId="14" fontId="1" fillId="4" borderId="10" xfId="0" applyNumberFormat="1" applyFont="1" applyFill="1" applyBorder="1" applyAlignment="1">
      <alignment horizontal="center" vertical="center" wrapText="1"/>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5" xfId="0" applyFont="1" applyFill="1" applyBorder="1" applyAlignment="1">
      <alignment horizontal="center"/>
    </xf>
    <xf numFmtId="0" fontId="1" fillId="4" borderId="1" xfId="0" applyFont="1" applyFill="1" applyBorder="1" applyAlignment="1">
      <alignment horizontal="center"/>
    </xf>
    <xf numFmtId="0" fontId="1" fillId="4" borderId="6"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4" borderId="7"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6" xfId="0" applyFont="1" applyFill="1" applyBorder="1" applyAlignment="1">
      <alignment horizontal="center" vertical="center"/>
    </xf>
  </cellXfs>
  <cellStyles count="1">
    <cellStyle name="Normal" xfId="0" builtinId="0"/>
  </cellStyles>
  <dxfs count="3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99FF"/>
        </patternFill>
      </fill>
    </dxf>
    <dxf>
      <font>
        <color rgb="FFFF0000"/>
      </font>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761998</xdr:colOff>
      <xdr:row>0</xdr:row>
      <xdr:rowOff>0</xdr:rowOff>
    </xdr:from>
    <xdr:to>
      <xdr:col>4</xdr:col>
      <xdr:colOff>641377</xdr:colOff>
      <xdr:row>0</xdr:row>
      <xdr:rowOff>885600</xdr:rowOff>
    </xdr:to>
    <xdr:pic>
      <xdr:nvPicPr>
        <xdr:cNvPr id="2" name="Image 1">
          <a:extLst>
            <a:ext uri="{FF2B5EF4-FFF2-40B4-BE49-F238E27FC236}">
              <a16:creationId xmlns:a16="http://schemas.microsoft.com/office/drawing/2014/main" id="{0F8E9A56-3BDA-4AC3-AFA6-677269FB2106}"/>
            </a:ext>
          </a:extLst>
        </xdr:cNvPr>
        <xdr:cNvPicPr>
          <a:picLocks noChangeAspect="1"/>
        </xdr:cNvPicPr>
      </xdr:nvPicPr>
      <xdr:blipFill>
        <a:blip xmlns:r="http://schemas.openxmlformats.org/officeDocument/2006/relationships" r:embed="rId1"/>
        <a:stretch>
          <a:fillRect/>
        </a:stretch>
      </xdr:blipFill>
      <xdr:spPr>
        <a:xfrm>
          <a:off x="247648" y="0"/>
          <a:ext cx="2927379" cy="88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54</xdr:row>
          <xdr:rowOff>95250</xdr:rowOff>
        </xdr:from>
        <xdr:to>
          <xdr:col>15</xdr:col>
          <xdr:colOff>742950</xdr:colOff>
          <xdr:row>85</xdr:row>
          <xdr:rowOff>114300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19050</xdr:rowOff>
        </xdr:from>
        <xdr:to>
          <xdr:col>16</xdr:col>
          <xdr:colOff>0</xdr:colOff>
          <xdr:row>111</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9525</xdr:rowOff>
        </xdr:from>
        <xdr:to>
          <xdr:col>16</xdr:col>
          <xdr:colOff>0</xdr:colOff>
          <xdr:row>115</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15</xdr:col>
          <xdr:colOff>752475</xdr:colOff>
          <xdr:row>26</xdr:row>
          <xdr:rowOff>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000-000004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16</xdr:col>
          <xdr:colOff>0</xdr:colOff>
          <xdr:row>55</xdr:row>
          <xdr:rowOff>76200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5ABE6-418B-4D6E-AC7E-07E7363FAE20}">
  <dimension ref="A1:A2"/>
  <sheetViews>
    <sheetView tabSelected="1" zoomScaleNormal="100" workbookViewId="0">
      <selection activeCell="A2" sqref="A2"/>
    </sheetView>
  </sheetViews>
  <sheetFormatPr baseColWidth="10" defaultRowHeight="15" x14ac:dyDescent="0.25"/>
  <cols>
    <col min="1" max="1" width="3.7109375" customWidth="1"/>
  </cols>
  <sheetData>
    <row r="1" customFormat="1" ht="72" customHeight="1" x14ac:dyDescent="0.25"/>
    <row r="2" customFormat="1" x14ac:dyDescent="0.25"/>
  </sheetData>
  <sheetProtection algorithmName="SHA-512" hashValue="XM3Fqdolra7CqnAUOT43W8Fw+qIUHfG8xBjtw7zdWUK6Rosw/AeJzp0Cq1gtL4hEJzV6PLC/HwBZFdMneH84YA==" saltValue="MeP8GC6Y8p9mbJ8xXbr7iA==" spinCount="100000" sheet="1" objects="1" scenarios="1"/>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Word.Document.12" shapeId="10241" r:id="rId4">
          <objectPr defaultSize="0" r:id="rId5">
            <anchor moveWithCells="1">
              <from>
                <xdr:col>1</xdr:col>
                <xdr:colOff>9525</xdr:colOff>
                <xdr:row>54</xdr:row>
                <xdr:rowOff>95250</xdr:rowOff>
              </from>
              <to>
                <xdr:col>15</xdr:col>
                <xdr:colOff>742950</xdr:colOff>
                <xdr:row>85</xdr:row>
                <xdr:rowOff>114300</xdr:rowOff>
              </to>
            </anchor>
          </objectPr>
        </oleObject>
      </mc:Choice>
      <mc:Fallback>
        <oleObject progId="Word.Document.12" shapeId="10241" r:id="rId4"/>
      </mc:Fallback>
    </mc:AlternateContent>
    <mc:AlternateContent xmlns:mc="http://schemas.openxmlformats.org/markup-compatibility/2006">
      <mc:Choice Requires="x14">
        <oleObject progId="Word.Document.12" shapeId="10242" r:id="rId6">
          <objectPr defaultSize="0" r:id="rId7">
            <anchor moveWithCells="1">
              <from>
                <xdr:col>1</xdr:col>
                <xdr:colOff>0</xdr:colOff>
                <xdr:row>85</xdr:row>
                <xdr:rowOff>19050</xdr:rowOff>
              </from>
              <to>
                <xdr:col>16</xdr:col>
                <xdr:colOff>0</xdr:colOff>
                <xdr:row>111</xdr:row>
                <xdr:rowOff>19050</xdr:rowOff>
              </to>
            </anchor>
          </objectPr>
        </oleObject>
      </mc:Choice>
      <mc:Fallback>
        <oleObject progId="Word.Document.12" shapeId="10242" r:id="rId6"/>
      </mc:Fallback>
    </mc:AlternateContent>
    <mc:AlternateContent xmlns:mc="http://schemas.openxmlformats.org/markup-compatibility/2006">
      <mc:Choice Requires="x14">
        <oleObject progId="Word.Document.12" shapeId="10243" r:id="rId8">
          <objectPr defaultSize="0" r:id="rId9">
            <anchor moveWithCells="1">
              <from>
                <xdr:col>1</xdr:col>
                <xdr:colOff>0</xdr:colOff>
                <xdr:row>111</xdr:row>
                <xdr:rowOff>9525</xdr:rowOff>
              </from>
              <to>
                <xdr:col>16</xdr:col>
                <xdr:colOff>0</xdr:colOff>
                <xdr:row>115</xdr:row>
                <xdr:rowOff>19050</xdr:rowOff>
              </to>
            </anchor>
          </objectPr>
        </oleObject>
      </mc:Choice>
      <mc:Fallback>
        <oleObject progId="Word.Document.12" shapeId="10243" r:id="rId8"/>
      </mc:Fallback>
    </mc:AlternateContent>
    <mc:AlternateContent xmlns:mc="http://schemas.openxmlformats.org/markup-compatibility/2006">
      <mc:Choice Requires="x14">
        <oleObject progId="Word.Document.12" shapeId="10244" r:id="rId10">
          <objectPr defaultSize="0" r:id="rId11">
            <anchor moveWithCells="1">
              <from>
                <xdr:col>1</xdr:col>
                <xdr:colOff>19050</xdr:colOff>
                <xdr:row>1</xdr:row>
                <xdr:rowOff>0</xdr:rowOff>
              </from>
              <to>
                <xdr:col>15</xdr:col>
                <xdr:colOff>752475</xdr:colOff>
                <xdr:row>26</xdr:row>
                <xdr:rowOff>0</xdr:rowOff>
              </to>
            </anchor>
          </objectPr>
        </oleObject>
      </mc:Choice>
      <mc:Fallback>
        <oleObject progId="Word.Document.12" shapeId="10244" r:id="rId10"/>
      </mc:Fallback>
    </mc:AlternateContent>
    <mc:AlternateContent xmlns:mc="http://schemas.openxmlformats.org/markup-compatibility/2006">
      <mc:Choice Requires="x14">
        <oleObject progId="Word.Document.12" shapeId="10245" r:id="rId12">
          <objectPr defaultSize="0" r:id="rId13">
            <anchor moveWithCells="1">
              <from>
                <xdr:col>1</xdr:col>
                <xdr:colOff>0</xdr:colOff>
                <xdr:row>26</xdr:row>
                <xdr:rowOff>0</xdr:rowOff>
              </from>
              <to>
                <xdr:col>16</xdr:col>
                <xdr:colOff>0</xdr:colOff>
                <xdr:row>55</xdr:row>
                <xdr:rowOff>76200</xdr:rowOff>
              </to>
            </anchor>
          </objectPr>
        </oleObject>
      </mc:Choice>
      <mc:Fallback>
        <oleObject progId="Word.Document.12" shapeId="10245" r:id="rId12"/>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52</v>
      </c>
      <c r="B2" s="57"/>
      <c r="C2" s="57"/>
      <c r="D2" s="58"/>
      <c r="F2" s="59" t="s">
        <v>66</v>
      </c>
      <c r="G2" s="60"/>
      <c r="H2" s="60"/>
      <c r="I2" s="60"/>
      <c r="J2" s="60"/>
      <c r="K2" s="60"/>
      <c r="L2" s="60"/>
      <c r="M2" s="60"/>
      <c r="N2" s="60"/>
      <c r="O2" s="60"/>
      <c r="P2" s="60"/>
      <c r="Q2" s="60"/>
      <c r="R2" s="60"/>
      <c r="S2" s="61"/>
    </row>
    <row r="3" spans="1:19" x14ac:dyDescent="0.25">
      <c r="A3" s="62" t="s">
        <v>1</v>
      </c>
      <c r="B3" s="63"/>
      <c r="C3" s="63"/>
      <c r="D3" s="64" t="s">
        <v>5</v>
      </c>
      <c r="F3" s="66" t="s">
        <v>29</v>
      </c>
      <c r="G3" s="68" t="s">
        <v>34</v>
      </c>
      <c r="H3" s="70" t="s">
        <v>30</v>
      </c>
      <c r="I3" s="70"/>
      <c r="J3" s="70"/>
      <c r="K3" s="70"/>
      <c r="L3" s="70"/>
      <c r="M3" s="70"/>
      <c r="N3" s="70"/>
      <c r="O3" s="70"/>
      <c r="P3" s="70"/>
      <c r="Q3" s="70"/>
      <c r="R3" s="70"/>
      <c r="S3" s="71"/>
    </row>
    <row r="4" spans="1:19" ht="47.25" customHeight="1" thickBot="1" x14ac:dyDescent="0.3">
      <c r="A4" s="29"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30" t="s">
        <v>26</v>
      </c>
    </row>
    <row r="5" spans="1:19" x14ac:dyDescent="0.25">
      <c r="A5" s="15">
        <v>1</v>
      </c>
      <c r="B5" s="15" t="s">
        <v>15</v>
      </c>
      <c r="C5" s="15">
        <v>2030</v>
      </c>
      <c r="D5" s="39">
        <f>SUMIFS(Registre!$P$3:$P$15000,Registre!$A$3:$A$15000,1,Registre!$B$3:$B$15000,"janvier",Registre!$C$3:$C$15000,2030)</f>
        <v>0</v>
      </c>
      <c r="F5" s="27" t="s">
        <v>37</v>
      </c>
      <c r="G5" s="21">
        <v>730</v>
      </c>
      <c r="H5" s="35" t="str">
        <f>IFERROR(SUMIFS(Registre!$V$3:$V$15000,Registre!$B$3:$B$15000,"janvier",Registre!$R$3:$R$15000,$F5,Registre!$C$3:$C$15000,2030)/SUMIFS(Registre!$W$3:$W$15000,Registre!$B$3:$B$15000,"janvier",Registre!$R$3:$R$15000,$F5,Registre!$C$3:$C$15000,2030),"0")</f>
        <v>0</v>
      </c>
      <c r="I5" s="35" t="str">
        <f>IFERROR(SUMIFS(Registre!$V$3:$V$15000,Registre!$B$3:$B$15000,"février",Registre!$R$3:$R$15000,$F5,Registre!$C$3:$C$15000,2030)/SUMIFS(Registre!$W$3:$W$15000,Registre!$B$3:$B$15000,"février",Registre!$R$3:$R$15000,$F5,Registre!$C$3:$C$15000,2030),"0")</f>
        <v>0</v>
      </c>
      <c r="J5" s="35" t="str">
        <f>IFERROR(SUMIFS(Registre!$V$3:$V$15000,Registre!$B$3:$B$15000,"mars",Registre!$R$3:$R$15000,$F5,Registre!$C$3:$C$15000,2030)/SUMIFS(Registre!$W$3:$W$15000,Registre!$B$3:$B$15000,"mars",Registre!$R$3:$R$15000,$F5,Registre!$C$3:$C$15000,2030),"0")</f>
        <v>0</v>
      </c>
      <c r="K5" s="35" t="str">
        <f>IFERROR(SUMIFS(Registre!$V$3:$V$15000,Registre!$B$3:$B$15000,"avril",Registre!$R$3:$R$15000,$F5,Registre!$C$3:$C$15000,2030)/SUMIFS(Registre!$W$3:$W$15000,Registre!$B$3:$B$15000,"avril",Registre!$R$3:$R$15000,$F5,Registre!$C$3:$C$15000,2030),"0")</f>
        <v>0</v>
      </c>
      <c r="L5" s="35" t="str">
        <f>IFERROR(SUMIFS(Registre!$V$3:$V$15000,Registre!$B$3:$B$15000,"mai",Registre!$R$3:$R$15000,$F5,Registre!$C$3:$C$15000,2030)/SUMIFS(Registre!$W$3:$W$15000,Registre!$B$3:$B$15000,"mai",Registre!$R$3:$R$15000,$F5,Registre!$C$3:$C$15000,2030),"0")</f>
        <v>0</v>
      </c>
      <c r="M5" s="35" t="str">
        <f>IFERROR(SUMIFS(Registre!$V$3:$V$15000,Registre!$B$3:$B$15000,"juin",Registre!$R$3:$R$15000,$F5,Registre!$C$3:$C$15000,2030)/SUMIFS(Registre!$W$3:$W$15000,Registre!$B$3:$B$15000,"juin",Registre!$R$3:$R$15000,$F5,Registre!$C$3:$C$15000,2030),"0")</f>
        <v>0</v>
      </c>
      <c r="N5" s="35" t="str">
        <f>IFERROR(SUMIFS(Registre!$V$3:$V$15000,Registre!$B$3:$B$15000,"juillet",Registre!$R$3:$R$15000,$F5,Registre!$C$3:$C$15000,2030)/SUMIFS(Registre!$W$3:$W$15000,Registre!$B$3:$B$15000,"juillet",Registre!$R$3:$R$15000,$F5,Registre!$C$3:$C$15000,2030),"0")</f>
        <v>0</v>
      </c>
      <c r="O5" s="35" t="str">
        <f>IFERROR(SUMIFS(Registre!$V$3:$V$15000,Registre!$B$3:$B$15000,"août",Registre!$R$3:$R$15000,$F5,Registre!$C$3:$C$15000,2030)/SUMIFS(Registre!$W$3:$W$15000,Registre!$B$3:$B$15000,"août",Registre!$R$3:$R$15000,$F5,Registre!$C$3:$C$15000,2030),"0")</f>
        <v>0</v>
      </c>
      <c r="P5" s="35" t="str">
        <f>IFERROR(SUMIFS(Registre!$V$3:$V$15000,Registre!$B$3:$B$15000,"septembre",Registre!$R$3:$R$15000,$F5,Registre!$C$3:$C$15000,2030)/SUMIFS(Registre!$W$3:$W$15000,Registre!$B$3:$B$15000,"septembre",Registre!$R$3:$R$15000,$F5,Registre!$C$3:$C$15000,2030),"0")</f>
        <v>0</v>
      </c>
      <c r="Q5" s="35" t="str">
        <f>IFERROR(SUMIFS(Registre!$V$3:$V$15000,Registre!$B$3:$B$15000,"octobre",Registre!$R$3:$R$15000,$F5,Registre!$C$3:$C$15000,2030)/SUMIFS(Registre!$W$3:$W$15000,Registre!$B$3:$B$15000,"octobre",Registre!$R$3:$R$15000,$F5,Registre!$C$3:$C$15000,2030),"0")</f>
        <v>0</v>
      </c>
      <c r="R5" s="35" t="str">
        <f>IFERROR(SUMIFS(Registre!$V$3:$V$15000,Registre!$B$3:$B$15000,"novembre",Registre!$R$3:$R$15000,$F5,Registre!$C$3:$C$15000,2030)/SUMIFS(Registre!$W$3:$W$15000,Registre!$B$3:$B$15000,"novembre",Registre!$R$3:$R$15000,$F5,Registre!$C$3:$C$15000,2030),"0")</f>
        <v>0</v>
      </c>
      <c r="S5" s="36" t="str">
        <f>IFERROR(SUMIFS(Registre!$V$3:$V$15000,Registre!$B$3:$B$15000,"décembre",Registre!$R$3:$R$15000,$F5,Registre!$C$3:$C$15000,2030)/SUMIFS(Registre!$W$3:$W$15000,Registre!$B$3:$B$15000,"décembre",Registre!$R$3:$R$15000,$F5,Registre!$C$3:$C$15000,2030),"0")</f>
        <v>0</v>
      </c>
    </row>
    <row r="6" spans="1:19" x14ac:dyDescent="0.25">
      <c r="A6" s="10">
        <v>2</v>
      </c>
      <c r="B6" s="15" t="s">
        <v>15</v>
      </c>
      <c r="C6" s="10">
        <v>2030</v>
      </c>
      <c r="D6" s="40">
        <f>SUMIFS(Registre!$P$3:$P$15000,Registre!$A$3:$A$15000,2,Registre!$B$3:$B$15000,"janvier",Registre!$C$3:$C$15000,2030)</f>
        <v>0</v>
      </c>
      <c r="F6" s="25" t="s">
        <v>38</v>
      </c>
      <c r="G6" s="22">
        <v>760</v>
      </c>
      <c r="H6" s="35" t="str">
        <f>IFERROR(SUMIFS(Registre!$V$3:$V$15000,Registre!$B$3:$B$15000,"janvier",Registre!$R$3:$R$15000,$F6,Registre!$C$3:$C$15000,2030)/SUMIFS(Registre!$W$3:$W$15000,Registre!$B$3:$B$15000,"janvier",Registre!$R$3:$R$15000,$F6,Registre!$C$3:$C$15000,2030),"0")</f>
        <v>0</v>
      </c>
      <c r="I6" s="35" t="str">
        <f>IFERROR(SUMIFS(Registre!$V$3:$V$15000,Registre!$B$3:$B$15000,"février",Registre!$R$3:$R$15000,$F6,Registre!$C$3:$C$15000,2030)/SUMIFS(Registre!$W$3:$W$15000,Registre!$B$3:$B$15000,"février",Registre!$R$3:$R$15000,$F6,Registre!$C$3:$C$15000,2030),"0")</f>
        <v>0</v>
      </c>
      <c r="J6" s="35" t="str">
        <f>IFERROR(SUMIFS(Registre!$V$3:$V$15000,Registre!$B$3:$B$15000,"mars",Registre!$R$3:$R$15000,$F6,Registre!$C$3:$C$15000,2030)/SUMIFS(Registre!$W$3:$W$15000,Registre!$B$3:$B$15000,"mars",Registre!$R$3:$R$15000,$F6,Registre!$C$3:$C$15000,2030),"0")</f>
        <v>0</v>
      </c>
      <c r="K6" s="35" t="str">
        <f>IFERROR(SUMIFS(Registre!$V$3:$V$15000,Registre!$B$3:$B$15000,"avril",Registre!$R$3:$R$15000,$F6,Registre!$C$3:$C$15000,2030)/SUMIFS(Registre!$W$3:$W$15000,Registre!$B$3:$B$15000,"avril",Registre!$R$3:$R$15000,$F6,Registre!$C$3:$C$15000,2030),"0")</f>
        <v>0</v>
      </c>
      <c r="L6" s="35" t="str">
        <f>IFERROR(SUMIFS(Registre!$V$3:$V$15000,Registre!$B$3:$B$15000,"mai",Registre!$R$3:$R$15000,$F6,Registre!$C$3:$C$15000,2030)/SUMIFS(Registre!$W$3:$W$15000,Registre!$B$3:$B$15000,"mai",Registre!$R$3:$R$15000,$F6,Registre!$C$3:$C$15000,2030),"0")</f>
        <v>0</v>
      </c>
      <c r="M6" s="35" t="str">
        <f>IFERROR(SUMIFS(Registre!$V$3:$V$15000,Registre!$B$3:$B$15000,"juin",Registre!$R$3:$R$15000,$F6,Registre!$C$3:$C$15000,2030)/SUMIFS(Registre!$W$3:$W$15000,Registre!$B$3:$B$15000,"juin",Registre!$R$3:$R$15000,$F6,Registre!$C$3:$C$15000,2030),"0")</f>
        <v>0</v>
      </c>
      <c r="N6" s="35" t="str">
        <f>IFERROR(SUMIFS(Registre!$V$3:$V$15000,Registre!$B$3:$B$15000,"juillet",Registre!$R$3:$R$15000,$F6,Registre!$C$3:$C$15000,2030)/SUMIFS(Registre!$W$3:$W$15000,Registre!$B$3:$B$15000,"juillet",Registre!$R$3:$R$15000,$F6,Registre!$C$3:$C$15000,2030),"0")</f>
        <v>0</v>
      </c>
      <c r="O6" s="35" t="str">
        <f>IFERROR(SUMIFS(Registre!$V$3:$V$15000,Registre!$B$3:$B$15000,"août",Registre!$R$3:$R$15000,$F6,Registre!$C$3:$C$15000,2030)/SUMIFS(Registre!$W$3:$W$15000,Registre!$B$3:$B$15000,"août",Registre!$R$3:$R$15000,$F6,Registre!$C$3:$C$15000,2030),"0")</f>
        <v>0</v>
      </c>
      <c r="P6" s="35" t="str">
        <f>IFERROR(SUMIFS(Registre!$V$3:$V$15000,Registre!$B$3:$B$15000,"septembre",Registre!$R$3:$R$15000,$F6,Registre!$C$3:$C$15000,2030)/SUMIFS(Registre!$W$3:$W$15000,Registre!$B$3:$B$15000,"septembre",Registre!$R$3:$R$15000,$F6,Registre!$C$3:$C$15000,2030),"0")</f>
        <v>0</v>
      </c>
      <c r="Q6" s="35" t="str">
        <f>IFERROR(SUMIFS(Registre!$V$3:$V$15000,Registre!$B$3:$B$15000,"octobre",Registre!$R$3:$R$15000,$F6,Registre!$C$3:$C$15000,2030)/SUMIFS(Registre!$W$3:$W$15000,Registre!$B$3:$B$15000,"octobre",Registre!$R$3:$R$15000,$F6,Registre!$C$3:$C$15000,2030),"0")</f>
        <v>0</v>
      </c>
      <c r="R6" s="35" t="str">
        <f>IFERROR(SUMIFS(Registre!$V$3:$V$15000,Registre!$B$3:$B$15000,"novembre",Registre!$R$3:$R$15000,$F6,Registre!$C$3:$C$15000,2030)/SUMIFS(Registre!$W$3:$W$15000,Registre!$B$3:$B$15000,"novembre",Registre!$R$3:$R$15000,$F6,Registre!$C$3:$C$15000,2030),"0")</f>
        <v>0</v>
      </c>
      <c r="S6" s="36" t="str">
        <f>IFERROR(SUMIFS(Registre!$V$3:$V$15000,Registre!$B$3:$B$15000,"décembre",Registre!$R$3:$R$15000,$F6,Registre!$C$3:$C$15000,2030)/SUMIFS(Registre!$W$3:$W$15000,Registre!$B$3:$B$15000,"décembre",Registre!$R$3:$R$15000,$F6,Registre!$C$3:$C$15000,2030),"0")</f>
        <v>0</v>
      </c>
    </row>
    <row r="7" spans="1:19" x14ac:dyDescent="0.25">
      <c r="A7" s="10">
        <v>3</v>
      </c>
      <c r="B7" s="15" t="s">
        <v>15</v>
      </c>
      <c r="C7" s="10">
        <v>2030</v>
      </c>
      <c r="D7" s="40">
        <f>SUMIFS(Registre!$P$3:$P$15000,Registre!$A$3:$A$15000,3,Registre!$B$3:$B$15000,"janvier",Registre!$C$3:$C$15000,2030)</f>
        <v>0</v>
      </c>
      <c r="F7" s="25" t="s">
        <v>39</v>
      </c>
      <c r="G7" s="22">
        <v>780</v>
      </c>
      <c r="H7" s="35" t="str">
        <f>IFERROR(SUMIFS(Registre!$V$3:$V$15000,Registre!$B$3:$B$15000,"janvier",Registre!$R$3:$R$15000,$F7,Registre!$C$3:$C$15000,2030)/SUMIFS(Registre!$W$3:$W$15000,Registre!$B$3:$B$15000,"janvier",Registre!$R$3:$R$15000,$F7,Registre!$C$3:$C$15000,2030),"0")</f>
        <v>0</v>
      </c>
      <c r="I7" s="35" t="str">
        <f>IFERROR(SUMIFS(Registre!$V$3:$V$15000,Registre!$B$3:$B$15000,"février",Registre!$R$3:$R$15000,$F7,Registre!$C$3:$C$15000,2030)/SUMIFS(Registre!$W$3:$W$15000,Registre!$B$3:$B$15000,"février",Registre!$R$3:$R$15000,$F7,Registre!$C$3:$C$15000,2030),"0")</f>
        <v>0</v>
      </c>
      <c r="J7" s="35" t="str">
        <f>IFERROR(SUMIFS(Registre!$V$3:$V$15000,Registre!$B$3:$B$15000,"mars",Registre!$R$3:$R$15000,$F7,Registre!$C$3:$C$15000,2030)/SUMIFS(Registre!$W$3:$W$15000,Registre!$B$3:$B$15000,"mars",Registre!$R$3:$R$15000,$F7,Registre!$C$3:$C$15000,2030),"0")</f>
        <v>0</v>
      </c>
      <c r="K7" s="35" t="str">
        <f>IFERROR(SUMIFS(Registre!$V$3:$V$15000,Registre!$B$3:$B$15000,"avril",Registre!$R$3:$R$15000,$F7,Registre!$C$3:$C$15000,2030)/SUMIFS(Registre!$W$3:$W$15000,Registre!$B$3:$B$15000,"avril",Registre!$R$3:$R$15000,$F7,Registre!$C$3:$C$15000,2030),"0")</f>
        <v>0</v>
      </c>
      <c r="L7" s="35" t="str">
        <f>IFERROR(SUMIFS(Registre!$V$3:$V$15000,Registre!$B$3:$B$15000,"mai",Registre!$R$3:$R$15000,$F7,Registre!$C$3:$C$15000,2030)/SUMIFS(Registre!$W$3:$W$15000,Registre!$B$3:$B$15000,"mai",Registre!$R$3:$R$15000,$F7,Registre!$C$3:$C$15000,2030),"0")</f>
        <v>0</v>
      </c>
      <c r="M7" s="35" t="str">
        <f>IFERROR(SUMIFS(Registre!$V$3:$V$15000,Registre!$B$3:$B$15000,"juin",Registre!$R$3:$R$15000,$F7,Registre!$C$3:$C$15000,2030)/SUMIFS(Registre!$W$3:$W$15000,Registre!$B$3:$B$15000,"juin",Registre!$R$3:$R$15000,$F7,Registre!$C$3:$C$15000,2030),"0")</f>
        <v>0</v>
      </c>
      <c r="N7" s="35" t="str">
        <f>IFERROR(SUMIFS(Registre!$V$3:$V$15000,Registre!$B$3:$B$15000,"juillet",Registre!$R$3:$R$15000,$F7,Registre!$C$3:$C$15000,2030)/SUMIFS(Registre!$W$3:$W$15000,Registre!$B$3:$B$15000,"juillet",Registre!$R$3:$R$15000,$F7,Registre!$C$3:$C$15000,2030),"0")</f>
        <v>0</v>
      </c>
      <c r="O7" s="35" t="str">
        <f>IFERROR(SUMIFS(Registre!$V$3:$V$15000,Registre!$B$3:$B$15000,"août",Registre!$R$3:$R$15000,$F7,Registre!$C$3:$C$15000,2030)/SUMIFS(Registre!$W$3:$W$15000,Registre!$B$3:$B$15000,"août",Registre!$R$3:$R$15000,$F7,Registre!$C$3:$C$15000,2030),"0")</f>
        <v>0</v>
      </c>
      <c r="P7" s="35" t="str">
        <f>IFERROR(SUMIFS(Registre!$V$3:$V$15000,Registre!$B$3:$B$15000,"septembre",Registre!$R$3:$R$15000,$F7,Registre!$C$3:$C$15000,2030)/SUMIFS(Registre!$W$3:$W$15000,Registre!$B$3:$B$15000,"septembre",Registre!$R$3:$R$15000,$F7,Registre!$C$3:$C$15000,2030),"0")</f>
        <v>0</v>
      </c>
      <c r="Q7" s="35" t="str">
        <f>IFERROR(SUMIFS(Registre!$V$3:$V$15000,Registre!$B$3:$B$15000,"octobre",Registre!$R$3:$R$15000,$F7,Registre!$C$3:$C$15000,2030)/SUMIFS(Registre!$W$3:$W$15000,Registre!$B$3:$B$15000,"octobre",Registre!$R$3:$R$15000,$F7,Registre!$C$3:$C$15000,2030),"0")</f>
        <v>0</v>
      </c>
      <c r="R7" s="35" t="str">
        <f>IFERROR(SUMIFS(Registre!$V$3:$V$15000,Registre!$B$3:$B$15000,"novembre",Registre!$R$3:$R$15000,$F7,Registre!$C$3:$C$15000,2030)/SUMIFS(Registre!$W$3:$W$15000,Registre!$B$3:$B$15000,"novembre",Registre!$R$3:$R$15000,$F7,Registre!$C$3:$C$15000,2030),"0")</f>
        <v>0</v>
      </c>
      <c r="S7" s="36" t="str">
        <f>IFERROR(SUMIFS(Registre!$V$3:$V$15000,Registre!$B$3:$B$15000,"décembre",Registre!$R$3:$R$15000,$F7,Registre!$C$3:$C$15000,2030)/SUMIFS(Registre!$W$3:$W$15000,Registre!$B$3:$B$15000,"décembre",Registre!$R$3:$R$15000,$F7,Registre!$C$3:$C$15000,2030),"0")</f>
        <v>0</v>
      </c>
    </row>
    <row r="8" spans="1:19" x14ac:dyDescent="0.25">
      <c r="A8" s="10">
        <v>4</v>
      </c>
      <c r="B8" s="15" t="s">
        <v>15</v>
      </c>
      <c r="C8" s="10">
        <v>2030</v>
      </c>
      <c r="D8" s="40">
        <f>SUMIFS(Registre!$P$3:$P$15000,Registre!$A$3:$A$15000,4,Registre!$B$3:$B$15000,"janvier",Registre!$C$3:$C$15000,2030)</f>
        <v>0</v>
      </c>
      <c r="F8" s="25" t="s">
        <v>40</v>
      </c>
      <c r="G8" s="22">
        <v>480</v>
      </c>
      <c r="H8" s="35" t="str">
        <f>IFERROR(SUMIFS(Registre!$V$3:$V$15000,Registre!$B$3:$B$15000,"janvier",Registre!$R$3:$R$15000,$F8,Registre!$C$3:$C$15000,2030)/SUMIFS(Registre!$W$3:$W$15000,Registre!$B$3:$B$15000,"janvier",Registre!$R$3:$R$15000,$F8,Registre!$C$3:$C$15000,2030),"0")</f>
        <v>0</v>
      </c>
      <c r="I8" s="35" t="str">
        <f>IFERROR(SUMIFS(Registre!$V$3:$V$15000,Registre!$B$3:$B$15000,"février",Registre!$R$3:$R$15000,$F8,Registre!$C$3:$C$15000,2030)/SUMIFS(Registre!$W$3:$W$15000,Registre!$B$3:$B$15000,"février",Registre!$R$3:$R$15000,$F8,Registre!$C$3:$C$15000,2030),"0")</f>
        <v>0</v>
      </c>
      <c r="J8" s="35" t="str">
        <f>IFERROR(SUMIFS(Registre!$V$3:$V$15000,Registre!$B$3:$B$15000,"mars",Registre!$R$3:$R$15000,$F8,Registre!$C$3:$C$15000,2030)/SUMIFS(Registre!$W$3:$W$15000,Registre!$B$3:$B$15000,"mars",Registre!$R$3:$R$15000,$F8,Registre!$C$3:$C$15000,2030),"0")</f>
        <v>0</v>
      </c>
      <c r="K8" s="35" t="str">
        <f>IFERROR(SUMIFS(Registre!$V$3:$V$15000,Registre!$B$3:$B$15000,"avril",Registre!$R$3:$R$15000,$F8,Registre!$C$3:$C$15000,2030)/SUMIFS(Registre!$W$3:$W$15000,Registre!$B$3:$B$15000,"avril",Registre!$R$3:$R$15000,$F8,Registre!$C$3:$C$15000,2030),"0")</f>
        <v>0</v>
      </c>
      <c r="L8" s="35" t="str">
        <f>IFERROR(SUMIFS(Registre!$V$3:$V$15000,Registre!$B$3:$B$15000,"mai",Registre!$R$3:$R$15000,$F8,Registre!$C$3:$C$15000,2030)/SUMIFS(Registre!$W$3:$W$15000,Registre!$B$3:$B$15000,"mai",Registre!$R$3:$R$15000,$F8,Registre!$C$3:$C$15000,2030),"0")</f>
        <v>0</v>
      </c>
      <c r="M8" s="35" t="str">
        <f>IFERROR(SUMIFS(Registre!$V$3:$V$15000,Registre!$B$3:$B$15000,"juin",Registre!$R$3:$R$15000,$F8,Registre!$C$3:$C$15000,2030)/SUMIFS(Registre!$W$3:$W$15000,Registre!$B$3:$B$15000,"juin",Registre!$R$3:$R$15000,$F8,Registre!$C$3:$C$15000,2030),"0")</f>
        <v>0</v>
      </c>
      <c r="N8" s="35" t="str">
        <f>IFERROR(SUMIFS(Registre!$V$3:$V$15000,Registre!$B$3:$B$15000,"juillet",Registre!$R$3:$R$15000,$F8,Registre!$C$3:$C$15000,2030)/SUMIFS(Registre!$W$3:$W$15000,Registre!$B$3:$B$15000,"juillet",Registre!$R$3:$R$15000,$F8,Registre!$C$3:$C$15000,2030),"0")</f>
        <v>0</v>
      </c>
      <c r="O8" s="35" t="str">
        <f>IFERROR(SUMIFS(Registre!$V$3:$V$15000,Registre!$B$3:$B$15000,"août",Registre!$R$3:$R$15000,$F8,Registre!$C$3:$C$15000,2030)/SUMIFS(Registre!$W$3:$W$15000,Registre!$B$3:$B$15000,"août",Registre!$R$3:$R$15000,$F8,Registre!$C$3:$C$15000,2030),"0")</f>
        <v>0</v>
      </c>
      <c r="P8" s="35" t="str">
        <f>IFERROR(SUMIFS(Registre!$V$3:$V$15000,Registre!$B$3:$B$15000,"septembre",Registre!$R$3:$R$15000,$F8,Registre!$C$3:$C$15000,2030)/SUMIFS(Registre!$W$3:$W$15000,Registre!$B$3:$B$15000,"septembre",Registre!$R$3:$R$15000,$F8,Registre!$C$3:$C$15000,2030),"0")</f>
        <v>0</v>
      </c>
      <c r="Q8" s="35" t="str">
        <f>IFERROR(SUMIFS(Registre!$V$3:$V$15000,Registre!$B$3:$B$15000,"octobre",Registre!$R$3:$R$15000,$F8,Registre!$C$3:$C$15000,2030)/SUMIFS(Registre!$W$3:$W$15000,Registre!$B$3:$B$15000,"octobre",Registre!$R$3:$R$15000,$F8,Registre!$C$3:$C$15000,2030),"0")</f>
        <v>0</v>
      </c>
      <c r="R8" s="35" t="str">
        <f>IFERROR(SUMIFS(Registre!$V$3:$V$15000,Registre!$B$3:$B$15000,"novembre",Registre!$R$3:$R$15000,$F8,Registre!$C$3:$C$15000,2030)/SUMIFS(Registre!$W$3:$W$15000,Registre!$B$3:$B$15000,"novembre",Registre!$R$3:$R$15000,$F8,Registre!$C$3:$C$15000,2030),"0")</f>
        <v>0</v>
      </c>
      <c r="S8" s="36" t="str">
        <f>IFERROR(SUMIFS(Registre!$V$3:$V$15000,Registre!$B$3:$B$15000,"décembre",Registre!$R$3:$R$15000,$F8,Registre!$C$3:$C$15000,2030)/SUMIFS(Registre!$W$3:$W$15000,Registre!$B$3:$B$15000,"décembre",Registre!$R$3:$R$15000,$F8,Registre!$C$3:$C$15000,2030),"0")</f>
        <v>0</v>
      </c>
    </row>
    <row r="9" spans="1:19" x14ac:dyDescent="0.25">
      <c r="A9" s="10">
        <v>5</v>
      </c>
      <c r="B9" s="15" t="s">
        <v>15</v>
      </c>
      <c r="C9" s="10">
        <v>2030</v>
      </c>
      <c r="D9" s="40">
        <f>SUMIFS(Registre!$P$3:$P$15000,Registre!$A$3:$A$15000,5,Registre!$B$3:$B$15000,"janvier",Registre!$C$3:$C$15000,2030)</f>
        <v>0</v>
      </c>
      <c r="F9" s="25" t="s">
        <v>41</v>
      </c>
      <c r="G9" s="22">
        <v>670</v>
      </c>
      <c r="H9" s="35" t="str">
        <f>IFERROR(SUMIFS(Registre!$V$3:$V$15000,Registre!$B$3:$B$15000,"janvier",Registre!$R$3:$R$15000,$F9,Registre!$C$3:$C$15000,2030)/SUMIFS(Registre!$W$3:$W$15000,Registre!$B$3:$B$15000,"janvier",Registre!$R$3:$R$15000,$F9,Registre!$C$3:$C$15000,2030),"0")</f>
        <v>0</v>
      </c>
      <c r="I9" s="35" t="str">
        <f>IFERROR(SUMIFS(Registre!$V$3:$V$15000,Registre!$B$3:$B$15000,"février",Registre!$R$3:$R$15000,$F9,Registre!$C$3:$C$15000,2030)/SUMIFS(Registre!$W$3:$W$15000,Registre!$B$3:$B$15000,"février",Registre!$R$3:$R$15000,$F9,Registre!$C$3:$C$15000,2030),"0")</f>
        <v>0</v>
      </c>
      <c r="J9" s="35" t="str">
        <f>IFERROR(SUMIFS(Registre!$V$3:$V$15000,Registre!$B$3:$B$15000,"mars",Registre!$R$3:$R$15000,$F9,Registre!$C$3:$C$15000,2030)/SUMIFS(Registre!$W$3:$W$15000,Registre!$B$3:$B$15000,"mars",Registre!$R$3:$R$15000,$F9,Registre!$C$3:$C$15000,2030),"0")</f>
        <v>0</v>
      </c>
      <c r="K9" s="35" t="str">
        <f>IFERROR(SUMIFS(Registre!$V$3:$V$15000,Registre!$B$3:$B$15000,"avril",Registre!$R$3:$R$15000,$F9,Registre!$C$3:$C$15000,2030)/SUMIFS(Registre!$W$3:$W$15000,Registre!$B$3:$B$15000,"avril",Registre!$R$3:$R$15000,$F9,Registre!$C$3:$C$15000,2030),"0")</f>
        <v>0</v>
      </c>
      <c r="L9" s="35" t="str">
        <f>IFERROR(SUMIFS(Registre!$V$3:$V$15000,Registre!$B$3:$B$15000,"mai",Registre!$R$3:$R$15000,$F9,Registre!$C$3:$C$15000,2030)/SUMIFS(Registre!$W$3:$W$15000,Registre!$B$3:$B$15000,"mai",Registre!$R$3:$R$15000,$F9,Registre!$C$3:$C$15000,2030),"0")</f>
        <v>0</v>
      </c>
      <c r="M9" s="35" t="str">
        <f>IFERROR(SUMIFS(Registre!$V$3:$V$15000,Registre!$B$3:$B$15000,"juin",Registre!$R$3:$R$15000,$F9,Registre!$C$3:$C$15000,2030)/SUMIFS(Registre!$W$3:$W$15000,Registre!$B$3:$B$15000,"juin",Registre!$R$3:$R$15000,$F9,Registre!$C$3:$C$15000,2030),"0")</f>
        <v>0</v>
      </c>
      <c r="N9" s="35" t="str">
        <f>IFERROR(SUMIFS(Registre!$V$3:$V$15000,Registre!$B$3:$B$15000,"juillet",Registre!$R$3:$R$15000,$F9,Registre!$C$3:$C$15000,2030)/SUMIFS(Registre!$W$3:$W$15000,Registre!$B$3:$B$15000,"juillet",Registre!$R$3:$R$15000,$F9,Registre!$C$3:$C$15000,2030),"0")</f>
        <v>0</v>
      </c>
      <c r="O9" s="35" t="str">
        <f>IFERROR(SUMIFS(Registre!$V$3:$V$15000,Registre!$B$3:$B$15000,"août",Registre!$R$3:$R$15000,$F9,Registre!$C$3:$C$15000,2030)/SUMIFS(Registre!$W$3:$W$15000,Registre!$B$3:$B$15000,"août",Registre!$R$3:$R$15000,$F9,Registre!$C$3:$C$15000,2030),"0")</f>
        <v>0</v>
      </c>
      <c r="P9" s="35" t="str">
        <f>IFERROR(SUMIFS(Registre!$V$3:$V$15000,Registre!$B$3:$B$15000,"septembre",Registre!$R$3:$R$15000,$F9,Registre!$C$3:$C$15000,2030)/SUMIFS(Registre!$W$3:$W$15000,Registre!$B$3:$B$15000,"septembre",Registre!$R$3:$R$15000,$F9,Registre!$C$3:$C$15000,2030),"0")</f>
        <v>0</v>
      </c>
      <c r="Q9" s="35" t="str">
        <f>IFERROR(SUMIFS(Registre!$V$3:$V$15000,Registre!$B$3:$B$15000,"octobre",Registre!$R$3:$R$15000,$F9,Registre!$C$3:$C$15000,2030)/SUMIFS(Registre!$W$3:$W$15000,Registre!$B$3:$B$15000,"octobre",Registre!$R$3:$R$15000,$F9,Registre!$C$3:$C$15000,2030),"0")</f>
        <v>0</v>
      </c>
      <c r="R9" s="35" t="str">
        <f>IFERROR(SUMIFS(Registre!$V$3:$V$15000,Registre!$B$3:$B$15000,"novembre",Registre!$R$3:$R$15000,$F9,Registre!$C$3:$C$15000,2030)/SUMIFS(Registre!$W$3:$W$15000,Registre!$B$3:$B$15000,"novembre",Registre!$R$3:$R$15000,$F9,Registre!$C$3:$C$15000,2030),"0")</f>
        <v>0</v>
      </c>
      <c r="S9" s="36" t="str">
        <f>IFERROR(SUMIFS(Registre!$V$3:$V$15000,Registre!$B$3:$B$15000,"décembre",Registre!$R$3:$R$15000,$F9,Registre!$C$3:$C$15000,2030)/SUMIFS(Registre!$W$3:$W$15000,Registre!$B$3:$B$15000,"décembre",Registre!$R$3:$R$15000,$F9,Registre!$C$3:$C$15000,2030),"0")</f>
        <v>0</v>
      </c>
    </row>
    <row r="10" spans="1:19" x14ac:dyDescent="0.25">
      <c r="A10" s="10">
        <v>6</v>
      </c>
      <c r="B10" s="15" t="s">
        <v>15</v>
      </c>
      <c r="C10" s="10">
        <v>2030</v>
      </c>
      <c r="D10" s="40">
        <f>SUMIFS(Registre!$P$3:$P$15000,Registre!$A$3:$A$15000,6,Registre!$B$3:$B$15000,"janvier",Registre!$C$3:$C$15000,2030)</f>
        <v>0</v>
      </c>
      <c r="F10" s="25" t="s">
        <v>42</v>
      </c>
      <c r="G10" s="22">
        <v>600</v>
      </c>
      <c r="H10" s="35" t="str">
        <f>IFERROR(SUMIFS(Registre!$V$3:$V$15000,Registre!$B$3:$B$15000,"janvier",Registre!$R$3:$R$15000,$F10,Registre!$C$3:$C$15000,2030)/SUMIFS(Registre!$W$3:$W$15000,Registre!$B$3:$B$15000,"janvier",Registre!$R$3:$R$15000,$F10,Registre!$C$3:$C$15000,2030),"0")</f>
        <v>0</v>
      </c>
      <c r="I10" s="35" t="str">
        <f>IFERROR(SUMIFS(Registre!$V$3:$V$15000,Registre!$B$3:$B$15000,"février",Registre!$R$3:$R$15000,$F10,Registre!$C$3:$C$15000,2030)/SUMIFS(Registre!$W$3:$W$15000,Registre!$B$3:$B$15000,"février",Registre!$R$3:$R$15000,$F10,Registre!$C$3:$C$15000,2030),"0")</f>
        <v>0</v>
      </c>
      <c r="J10" s="35" t="str">
        <f>IFERROR(SUMIFS(Registre!$V$3:$V$15000,Registre!$B$3:$B$15000,"mars",Registre!$R$3:$R$15000,$F10,Registre!$C$3:$C$15000,2030)/SUMIFS(Registre!$W$3:$W$15000,Registre!$B$3:$B$15000,"mars",Registre!$R$3:$R$15000,$F10,Registre!$C$3:$C$15000,2030),"0")</f>
        <v>0</v>
      </c>
      <c r="K10" s="35" t="str">
        <f>IFERROR(SUMIFS(Registre!$V$3:$V$15000,Registre!$B$3:$B$15000,"avril",Registre!$R$3:$R$15000,$F10,Registre!$C$3:$C$15000,2030)/SUMIFS(Registre!$W$3:$W$15000,Registre!$B$3:$B$15000,"avril",Registre!$R$3:$R$15000,$F10,Registre!$C$3:$C$15000,2030),"0")</f>
        <v>0</v>
      </c>
      <c r="L10" s="35" t="str">
        <f>IFERROR(SUMIFS(Registre!$V$3:$V$15000,Registre!$B$3:$B$15000,"mai",Registre!$R$3:$R$15000,$F10,Registre!$C$3:$C$15000,2030)/SUMIFS(Registre!$W$3:$W$15000,Registre!$B$3:$B$15000,"mai",Registre!$R$3:$R$15000,$F10,Registre!$C$3:$C$15000,2030),"0")</f>
        <v>0</v>
      </c>
      <c r="M10" s="35" t="str">
        <f>IFERROR(SUMIFS(Registre!$V$3:$V$15000,Registre!$B$3:$B$15000,"juin",Registre!$R$3:$R$15000,$F10,Registre!$C$3:$C$15000,2030)/SUMIFS(Registre!$W$3:$W$15000,Registre!$B$3:$B$15000,"juin",Registre!$R$3:$R$15000,$F10,Registre!$C$3:$C$15000,2030),"0")</f>
        <v>0</v>
      </c>
      <c r="N10" s="35" t="str">
        <f>IFERROR(SUMIFS(Registre!$V$3:$V$15000,Registre!$B$3:$B$15000,"juillet",Registre!$R$3:$R$15000,$F10,Registre!$C$3:$C$15000,2030)/SUMIFS(Registre!$W$3:$W$15000,Registre!$B$3:$B$15000,"juillet",Registre!$R$3:$R$15000,$F10,Registre!$C$3:$C$15000,2030),"0")</f>
        <v>0</v>
      </c>
      <c r="O10" s="35" t="str">
        <f>IFERROR(SUMIFS(Registre!$V$3:$V$15000,Registre!$B$3:$B$15000,"août",Registre!$R$3:$R$15000,$F10,Registre!$C$3:$C$15000,2030)/SUMIFS(Registre!$W$3:$W$15000,Registre!$B$3:$B$15000,"août",Registre!$R$3:$R$15000,$F10,Registre!$C$3:$C$15000,2030),"0")</f>
        <v>0</v>
      </c>
      <c r="P10" s="35" t="str">
        <f>IFERROR(SUMIFS(Registre!$V$3:$V$15000,Registre!$B$3:$B$15000,"septembre",Registre!$R$3:$R$15000,$F10,Registre!$C$3:$C$15000,2030)/SUMIFS(Registre!$W$3:$W$15000,Registre!$B$3:$B$15000,"septembre",Registre!$R$3:$R$15000,$F10,Registre!$C$3:$C$15000,2030),"0")</f>
        <v>0</v>
      </c>
      <c r="Q10" s="35" t="str">
        <f>IFERROR(SUMIFS(Registre!$V$3:$V$15000,Registre!$B$3:$B$15000,"octobre",Registre!$R$3:$R$15000,$F10,Registre!$C$3:$C$15000,2030)/SUMIFS(Registre!$W$3:$W$15000,Registre!$B$3:$B$15000,"octobre",Registre!$R$3:$R$15000,$F10,Registre!$C$3:$C$15000,2030),"0")</f>
        <v>0</v>
      </c>
      <c r="R10" s="35" t="str">
        <f>IFERROR(SUMIFS(Registre!$V$3:$V$15000,Registre!$B$3:$B$15000,"novembre",Registre!$R$3:$R$15000,$F10,Registre!$C$3:$C$15000,2030)/SUMIFS(Registre!$W$3:$W$15000,Registre!$B$3:$B$15000,"novembre",Registre!$R$3:$R$15000,$F10,Registre!$C$3:$C$15000,2030),"0")</f>
        <v>0</v>
      </c>
      <c r="S10" s="36" t="str">
        <f>IFERROR(SUMIFS(Registre!$V$3:$V$15000,Registre!$B$3:$B$15000,"décembre",Registre!$R$3:$R$15000,$F10,Registre!$C$3:$C$15000,2030)/SUMIFS(Registre!$W$3:$W$15000,Registre!$B$3:$B$15000,"décembre",Registre!$R$3:$R$15000,$F10,Registre!$C$3:$C$15000,2030),"0")</f>
        <v>0</v>
      </c>
    </row>
    <row r="11" spans="1:19" x14ac:dyDescent="0.25">
      <c r="A11" s="10">
        <v>7</v>
      </c>
      <c r="B11" s="15" t="s">
        <v>15</v>
      </c>
      <c r="C11" s="10">
        <v>2030</v>
      </c>
      <c r="D11" s="40">
        <f>SUMIFS(Registre!$P$3:$P$15000,Registre!$A$3:$A$15000,7,Registre!$B$3:$B$15000,"janvier",Registre!$C$3:$C$15000,2030)</f>
        <v>0</v>
      </c>
      <c r="F11" s="25" t="s">
        <v>43</v>
      </c>
      <c r="G11" s="22">
        <v>670</v>
      </c>
      <c r="H11" s="35" t="str">
        <f>IFERROR(SUMIFS(Registre!$V$3:$V$15000,Registre!$B$3:$B$15000,"janvier",Registre!$R$3:$R$15000,$F11,Registre!$C$3:$C$15000,2030)/SUMIFS(Registre!$W$3:$W$15000,Registre!$B$3:$B$15000,"janvier",Registre!$R$3:$R$15000,$F11,Registre!$C$3:$C$15000,2030),"0")</f>
        <v>0</v>
      </c>
      <c r="I11" s="35" t="str">
        <f>IFERROR(SUMIFS(Registre!$V$3:$V$15000,Registre!$B$3:$B$15000,"février",Registre!$R$3:$R$15000,$F11,Registre!$C$3:$C$15000,2030)/SUMIFS(Registre!$W$3:$W$15000,Registre!$B$3:$B$15000,"février",Registre!$R$3:$R$15000,$F11,Registre!$C$3:$C$15000,2030),"0")</f>
        <v>0</v>
      </c>
      <c r="J11" s="35" t="str">
        <f>IFERROR(SUMIFS(Registre!$V$3:$V$15000,Registre!$B$3:$B$15000,"mars",Registre!$R$3:$R$15000,$F11,Registre!$C$3:$C$15000,2030)/SUMIFS(Registre!$W$3:$W$15000,Registre!$B$3:$B$15000,"mars",Registre!$R$3:$R$15000,$F11,Registre!$C$3:$C$15000,2030),"0")</f>
        <v>0</v>
      </c>
      <c r="K11" s="35" t="str">
        <f>IFERROR(SUMIFS(Registre!$V$3:$V$15000,Registre!$B$3:$B$15000,"avril",Registre!$R$3:$R$15000,$F11,Registre!$C$3:$C$15000,2030)/SUMIFS(Registre!$W$3:$W$15000,Registre!$B$3:$B$15000,"avril",Registre!$R$3:$R$15000,$F11,Registre!$C$3:$C$15000,2030),"0")</f>
        <v>0</v>
      </c>
      <c r="L11" s="35" t="str">
        <f>IFERROR(SUMIFS(Registre!$V$3:$V$15000,Registre!$B$3:$B$15000,"mai",Registre!$R$3:$R$15000,$F11,Registre!$C$3:$C$15000,2030)/SUMIFS(Registre!$W$3:$W$15000,Registre!$B$3:$B$15000,"mai",Registre!$R$3:$R$15000,$F11,Registre!$C$3:$C$15000,2030),"0")</f>
        <v>0</v>
      </c>
      <c r="M11" s="35" t="str">
        <f>IFERROR(SUMIFS(Registre!$V$3:$V$15000,Registre!$B$3:$B$15000,"juin",Registre!$R$3:$R$15000,$F11,Registre!$C$3:$C$15000,2030)/SUMIFS(Registre!$W$3:$W$15000,Registre!$B$3:$B$15000,"juin",Registre!$R$3:$R$15000,$F11,Registre!$C$3:$C$15000,2030),"0")</f>
        <v>0</v>
      </c>
      <c r="N11" s="35" t="str">
        <f>IFERROR(SUMIFS(Registre!$V$3:$V$15000,Registre!$B$3:$B$15000,"juillet",Registre!$R$3:$R$15000,$F11,Registre!$C$3:$C$15000,2030)/SUMIFS(Registre!$W$3:$W$15000,Registre!$B$3:$B$15000,"juillet",Registre!$R$3:$R$15000,$F11,Registre!$C$3:$C$15000,2030),"0")</f>
        <v>0</v>
      </c>
      <c r="O11" s="35" t="str">
        <f>IFERROR(SUMIFS(Registre!$V$3:$V$15000,Registre!$B$3:$B$15000,"août",Registre!$R$3:$R$15000,$F11,Registre!$C$3:$C$15000,2030)/SUMIFS(Registre!$W$3:$W$15000,Registre!$B$3:$B$15000,"août",Registre!$R$3:$R$15000,$F11,Registre!$C$3:$C$15000,2030),"0")</f>
        <v>0</v>
      </c>
      <c r="P11" s="35" t="str">
        <f>IFERROR(SUMIFS(Registre!$V$3:$V$15000,Registre!$B$3:$B$15000,"septembre",Registre!$R$3:$R$15000,$F11,Registre!$C$3:$C$15000,2030)/SUMIFS(Registre!$W$3:$W$15000,Registre!$B$3:$B$15000,"septembre",Registre!$R$3:$R$15000,$F11,Registre!$C$3:$C$15000,2030),"0")</f>
        <v>0</v>
      </c>
      <c r="Q11" s="35" t="str">
        <f>IFERROR(SUMIFS(Registre!$V$3:$V$15000,Registre!$B$3:$B$15000,"octobre",Registre!$R$3:$R$15000,$F11,Registre!$C$3:$C$15000,2030)/SUMIFS(Registre!$W$3:$W$15000,Registre!$B$3:$B$15000,"octobre",Registre!$R$3:$R$15000,$F11,Registre!$C$3:$C$15000,2030),"0")</f>
        <v>0</v>
      </c>
      <c r="R11" s="35" t="str">
        <f>IFERROR(SUMIFS(Registre!$V$3:$V$15000,Registre!$B$3:$B$15000,"novembre",Registre!$R$3:$R$15000,$F11,Registre!$C$3:$C$15000,2030)/SUMIFS(Registre!$W$3:$W$15000,Registre!$B$3:$B$15000,"novembre",Registre!$R$3:$R$15000,$F11,Registre!$C$3:$C$15000,2030),"0")</f>
        <v>0</v>
      </c>
      <c r="S11" s="36" t="str">
        <f>IFERROR(SUMIFS(Registre!$V$3:$V$15000,Registre!$B$3:$B$15000,"décembre",Registre!$R$3:$R$15000,$F11,Registre!$C$3:$C$15000,2030)/SUMIFS(Registre!$W$3:$W$15000,Registre!$B$3:$B$15000,"décembre",Registre!$R$3:$R$15000,$F11,Registre!$C$3:$C$15000,2030),"0")</f>
        <v>0</v>
      </c>
    </row>
    <row r="12" spans="1:19" x14ac:dyDescent="0.25">
      <c r="A12" s="10">
        <v>8</v>
      </c>
      <c r="B12" s="15" t="s">
        <v>15</v>
      </c>
      <c r="C12" s="10">
        <v>2030</v>
      </c>
      <c r="D12" s="40">
        <f>SUMIFS(Registre!$P$3:$P$15000,Registre!$A$3:$A$15000,8,Registre!$B$3:$B$15000,"janvier",Registre!$C$3:$C$15000,2030)</f>
        <v>0</v>
      </c>
      <c r="F12" s="25" t="s">
        <v>44</v>
      </c>
      <c r="G12" s="22">
        <v>780</v>
      </c>
      <c r="H12" s="35" t="str">
        <f>IFERROR(SUMIFS(Registre!$V$3:$V$15000,Registre!$B$3:$B$15000,"janvier",Registre!$R$3:$R$15000,$F12,Registre!$C$3:$C$15000,2030)/SUMIFS(Registre!$W$3:$W$15000,Registre!$B$3:$B$15000,"janvier",Registre!$R$3:$R$15000,$F12,Registre!$C$3:$C$15000,2030),"0")</f>
        <v>0</v>
      </c>
      <c r="I12" s="35" t="str">
        <f>IFERROR(SUMIFS(Registre!$V$3:$V$15000,Registre!$B$3:$B$15000,"février",Registre!$R$3:$R$15000,$F12,Registre!$C$3:$C$15000,2030)/SUMIFS(Registre!$W$3:$W$15000,Registre!$B$3:$B$15000,"février",Registre!$R$3:$R$15000,$F12,Registre!$C$3:$C$15000,2030),"0")</f>
        <v>0</v>
      </c>
      <c r="J12" s="35" t="str">
        <f>IFERROR(SUMIFS(Registre!$V$3:$V$15000,Registre!$B$3:$B$15000,"mars",Registre!$R$3:$R$15000,$F12,Registre!$C$3:$C$15000,2030)/SUMIFS(Registre!$W$3:$W$15000,Registre!$B$3:$B$15000,"mars",Registre!$R$3:$R$15000,$F12,Registre!$C$3:$C$15000,2030),"0")</f>
        <v>0</v>
      </c>
      <c r="K12" s="35" t="str">
        <f>IFERROR(SUMIFS(Registre!$V$3:$V$15000,Registre!$B$3:$B$15000,"avril",Registre!$R$3:$R$15000,$F12,Registre!$C$3:$C$15000,2030)/SUMIFS(Registre!$W$3:$W$15000,Registre!$B$3:$B$15000,"avril",Registre!$R$3:$R$15000,$F12,Registre!$C$3:$C$15000,2030),"0")</f>
        <v>0</v>
      </c>
      <c r="L12" s="35" t="str">
        <f>IFERROR(SUMIFS(Registre!$V$3:$V$15000,Registre!$B$3:$B$15000,"mai",Registre!$R$3:$R$15000,$F12,Registre!$C$3:$C$15000,2030)/SUMIFS(Registre!$W$3:$W$15000,Registre!$B$3:$B$15000,"mai",Registre!$R$3:$R$15000,$F12,Registre!$C$3:$C$15000,2030),"0")</f>
        <v>0</v>
      </c>
      <c r="M12" s="35" t="str">
        <f>IFERROR(SUMIFS(Registre!$V$3:$V$15000,Registre!$B$3:$B$15000,"juin",Registre!$R$3:$R$15000,$F12,Registre!$C$3:$C$15000,2030)/SUMIFS(Registre!$W$3:$W$15000,Registre!$B$3:$B$15000,"juin",Registre!$R$3:$R$15000,$F12,Registre!$C$3:$C$15000,2030),"0")</f>
        <v>0</v>
      </c>
      <c r="N12" s="35" t="str">
        <f>IFERROR(SUMIFS(Registre!$V$3:$V$15000,Registre!$B$3:$B$15000,"juillet",Registre!$R$3:$R$15000,$F12,Registre!$C$3:$C$15000,2030)/SUMIFS(Registre!$W$3:$W$15000,Registre!$B$3:$B$15000,"juillet",Registre!$R$3:$R$15000,$F12,Registre!$C$3:$C$15000,2030),"0")</f>
        <v>0</v>
      </c>
      <c r="O12" s="35" t="str">
        <f>IFERROR(SUMIFS(Registre!$V$3:$V$15000,Registre!$B$3:$B$15000,"août",Registre!$R$3:$R$15000,$F12,Registre!$C$3:$C$15000,2030)/SUMIFS(Registre!$W$3:$W$15000,Registre!$B$3:$B$15000,"août",Registre!$R$3:$R$15000,$F12,Registre!$C$3:$C$15000,2030),"0")</f>
        <v>0</v>
      </c>
      <c r="P12" s="35" t="str">
        <f>IFERROR(SUMIFS(Registre!$V$3:$V$15000,Registre!$B$3:$B$15000,"septembre",Registre!$R$3:$R$15000,$F12,Registre!$C$3:$C$15000,2030)/SUMIFS(Registre!$W$3:$W$15000,Registre!$B$3:$B$15000,"septembre",Registre!$R$3:$R$15000,$F12,Registre!$C$3:$C$15000,2030),"0")</f>
        <v>0</v>
      </c>
      <c r="Q12" s="35" t="str">
        <f>IFERROR(SUMIFS(Registre!$V$3:$V$15000,Registre!$B$3:$B$15000,"octobre",Registre!$R$3:$R$15000,$F12,Registre!$C$3:$C$15000,2030)/SUMIFS(Registre!$W$3:$W$15000,Registre!$B$3:$B$15000,"octobre",Registre!$R$3:$R$15000,$F12,Registre!$C$3:$C$15000,2030),"0")</f>
        <v>0</v>
      </c>
      <c r="R12" s="35" t="str">
        <f>IFERROR(SUMIFS(Registre!$V$3:$V$15000,Registre!$B$3:$B$15000,"novembre",Registre!$R$3:$R$15000,$F12,Registre!$C$3:$C$15000,2030)/SUMIFS(Registre!$W$3:$W$15000,Registre!$B$3:$B$15000,"novembre",Registre!$R$3:$R$15000,$F12,Registre!$C$3:$C$15000,2030),"0")</f>
        <v>0</v>
      </c>
      <c r="S12" s="36" t="str">
        <f>IFERROR(SUMIFS(Registre!$V$3:$V$15000,Registre!$B$3:$B$15000,"décembre",Registre!$R$3:$R$15000,$F12,Registre!$C$3:$C$15000,2030)/SUMIFS(Registre!$W$3:$W$15000,Registre!$B$3:$B$15000,"décembre",Registre!$R$3:$R$15000,$F12,Registre!$C$3:$C$15000,2030),"0")</f>
        <v>0</v>
      </c>
    </row>
    <row r="13" spans="1:19" ht="15.75" thickBot="1" x14ac:dyDescent="0.3">
      <c r="A13" s="10">
        <v>9</v>
      </c>
      <c r="B13" s="15" t="s">
        <v>15</v>
      </c>
      <c r="C13" s="10">
        <v>2030</v>
      </c>
      <c r="D13" s="40">
        <f>SUMIFS(Registre!$P$3:$P$15000,Registre!$A$3:$A$15000,9,Registre!$B$3:$B$15000,"janvier",Registre!$C$3:$C$15000,2030)</f>
        <v>0</v>
      </c>
      <c r="F13" s="26" t="s">
        <v>27</v>
      </c>
      <c r="G13" s="23">
        <v>780</v>
      </c>
      <c r="H13" s="37" t="str">
        <f>IFERROR(SUMIFS(Registre!$V$3:$V$15000,Registre!$B$3:$B$15000,"janvier",Registre!$R$3:$R$15000,$F13,Registre!$C$3:$C$15000,2030)/SUMIFS(Registre!$W$3:$W$15000,Registre!$B$3:$B$15000,"janvier",Registre!$R$3:$R$15000,$F13,Registre!$C$3:$C$15000,2030),"0")</f>
        <v>0</v>
      </c>
      <c r="I13" s="37" t="str">
        <f>IFERROR(SUMIFS(Registre!$V$3:$V$15000,Registre!$B$3:$B$15000,"février",Registre!$R$3:$R$15000,$F13,Registre!$C$3:$C$15000,2030)/SUMIFS(Registre!$W$3:$W$15000,Registre!$B$3:$B$15000,"février",Registre!$R$3:$R$15000,$F13,Registre!$C$3:$C$15000,2030),"0")</f>
        <v>0</v>
      </c>
      <c r="J13" s="37" t="str">
        <f>IFERROR(SUMIFS(Registre!$V$3:$V$15000,Registre!$B$3:$B$15000,"mars",Registre!$R$3:$R$15000,$F13,Registre!$C$3:$C$15000,2030)/SUMIFS(Registre!$W$3:$W$15000,Registre!$B$3:$B$15000,"mars",Registre!$R$3:$R$15000,$F13,Registre!$C$3:$C$15000,2030),"0")</f>
        <v>0</v>
      </c>
      <c r="K13" s="37" t="str">
        <f>IFERROR(SUMIFS(Registre!$V$3:$V$15000,Registre!$B$3:$B$15000,"avril",Registre!$R$3:$R$15000,$F13,Registre!$C$3:$C$15000,2030)/SUMIFS(Registre!$W$3:$W$15000,Registre!$B$3:$B$15000,"avril",Registre!$R$3:$R$15000,$F13,Registre!$C$3:$C$15000,2030),"0")</f>
        <v>0</v>
      </c>
      <c r="L13" s="37" t="str">
        <f>IFERROR(SUMIFS(Registre!$V$3:$V$15000,Registre!$B$3:$B$15000,"mai",Registre!$R$3:$R$15000,$F13,Registre!$C$3:$C$15000,2030)/SUMIFS(Registre!$W$3:$W$15000,Registre!$B$3:$B$15000,"mai",Registre!$R$3:$R$15000,$F13,Registre!$C$3:$C$15000,2030),"0")</f>
        <v>0</v>
      </c>
      <c r="M13" s="37" t="str">
        <f>IFERROR(SUMIFS(Registre!$V$3:$V$15000,Registre!$B$3:$B$15000,"juin",Registre!$R$3:$R$15000,$F13,Registre!$C$3:$C$15000,2030)/SUMIFS(Registre!$W$3:$W$15000,Registre!$B$3:$B$15000,"juin",Registre!$R$3:$R$15000,$F13,Registre!$C$3:$C$15000,2030),"0")</f>
        <v>0</v>
      </c>
      <c r="N13" s="37" t="str">
        <f>IFERROR(SUMIFS(Registre!$V$3:$V$15000,Registre!$B$3:$B$15000,"juillet",Registre!$R$3:$R$15000,$F13,Registre!$C$3:$C$15000,2030)/SUMIFS(Registre!$W$3:$W$15000,Registre!$B$3:$B$15000,"juillet",Registre!$R$3:$R$15000,$F13,Registre!$C$3:$C$15000,2030),"0")</f>
        <v>0</v>
      </c>
      <c r="O13" s="37" t="str">
        <f>IFERROR(SUMIFS(Registre!$V$3:$V$15000,Registre!$B$3:$B$15000,"août",Registre!$R$3:$R$15000,$F13,Registre!$C$3:$C$15000,2030)/SUMIFS(Registre!$W$3:$W$15000,Registre!$B$3:$B$15000,"août",Registre!$R$3:$R$15000,$F13,Registre!$C$3:$C$15000,2030),"0")</f>
        <v>0</v>
      </c>
      <c r="P13" s="37" t="str">
        <f>IFERROR(SUMIFS(Registre!$V$3:$V$15000,Registre!$B$3:$B$15000,"septembre",Registre!$R$3:$R$15000,$F13,Registre!$C$3:$C$15000,2030)/SUMIFS(Registre!$W$3:$W$15000,Registre!$B$3:$B$15000,"septembre",Registre!$R$3:$R$15000,$F13,Registre!$C$3:$C$15000,2030),"0")</f>
        <v>0</v>
      </c>
      <c r="Q13" s="37" t="str">
        <f>IFERROR(SUMIFS(Registre!$V$3:$V$15000,Registre!$B$3:$B$15000,"octobre",Registre!$R$3:$R$15000,$F13,Registre!$C$3:$C$15000,2030)/SUMIFS(Registre!$W$3:$W$15000,Registre!$B$3:$B$15000,"octobre",Registre!$R$3:$R$15000,$F13,Registre!$C$3:$C$15000,2030),"0")</f>
        <v>0</v>
      </c>
      <c r="R13" s="37" t="str">
        <f>IFERROR(SUMIFS(Registre!$V$3:$V$15000,Registre!$B$3:$B$15000,"novembre",Registre!$R$3:$R$15000,$F13,Registre!$C$3:$C$15000,2030)/SUMIFS(Registre!$W$3:$W$15000,Registre!$B$3:$B$15000,"novembre",Registre!$R$3:$R$15000,$F13,Registre!$C$3:$C$15000,2030),"0")</f>
        <v>0</v>
      </c>
      <c r="S13" s="38" t="str">
        <f>IFERROR(SUMIFS(Registre!$V$3:$V$15000,Registre!$B$3:$B$15000,"décembre",Registre!$R$3:$R$15000,$F13,Registre!$C$3:$C$15000,2030)/SUMIFS(Registre!$W$3:$W$15000,Registre!$B$3:$B$15000,"décembre",Registre!$R$3:$R$15000,$F13,Registre!$C$3:$C$15000,2030),"0")</f>
        <v>0</v>
      </c>
    </row>
    <row r="14" spans="1:19" x14ac:dyDescent="0.25">
      <c r="A14" s="10">
        <v>10</v>
      </c>
      <c r="B14" s="15" t="s">
        <v>15</v>
      </c>
      <c r="C14" s="10">
        <v>2030</v>
      </c>
      <c r="D14" s="40">
        <f>SUMIFS(Registre!$P$3:$P$15000,Registre!$A$3:$A$15000,10,Registre!$B$3:$B$15000,"janvier",Registre!$C$3:$C$15000,2030)</f>
        <v>0</v>
      </c>
      <c r="F14" s="17"/>
      <c r="H14" s="2"/>
    </row>
    <row r="15" spans="1:19" x14ac:dyDescent="0.25">
      <c r="A15" s="10">
        <v>11</v>
      </c>
      <c r="B15" s="15" t="s">
        <v>15</v>
      </c>
      <c r="C15" s="10">
        <v>2030</v>
      </c>
      <c r="D15" s="40">
        <f>SUMIFS(Registre!$P$3:$P$15000,Registre!$A$3:$A$15000,11,Registre!$B$3:$B$15000,"janvier",Registre!$C$3:$C$15000,2030)</f>
        <v>0</v>
      </c>
      <c r="F15" s="17"/>
      <c r="H15" s="2"/>
    </row>
    <row r="16" spans="1:19" x14ac:dyDescent="0.25">
      <c r="A16" s="10">
        <v>12</v>
      </c>
      <c r="B16" s="15" t="s">
        <v>15</v>
      </c>
      <c r="C16" s="10">
        <v>2030</v>
      </c>
      <c r="D16" s="40">
        <f>SUMIFS(Registre!$P$3:$P$15000,Registre!$A$3:$A$15000,12,Registre!$B$3:$B$15000,"janvier",Registre!$C$3:$C$15000,2030)</f>
        <v>0</v>
      </c>
      <c r="F16" s="18"/>
      <c r="H16" s="2"/>
    </row>
    <row r="17" spans="1:8" x14ac:dyDescent="0.25">
      <c r="A17" s="10">
        <v>13</v>
      </c>
      <c r="B17" s="15" t="s">
        <v>15</v>
      </c>
      <c r="C17" s="10">
        <v>2030</v>
      </c>
      <c r="D17" s="40">
        <f>SUMIFS(Registre!$P$3:$P$15000,Registre!$A$3:$A$15000,13,Registre!$B$3:$B$15000,"janvier",Registre!$C$3:$C$15000,2030)</f>
        <v>0</v>
      </c>
      <c r="F17" s="18"/>
      <c r="H17" s="2"/>
    </row>
    <row r="18" spans="1:8" x14ac:dyDescent="0.25">
      <c r="A18" s="10">
        <v>14</v>
      </c>
      <c r="B18" s="15" t="s">
        <v>15</v>
      </c>
      <c r="C18" s="10">
        <v>2030</v>
      </c>
      <c r="D18" s="40">
        <f>SUMIFS(Registre!$P$3:$P$15000,Registre!$A$3:$A$15000,14,Registre!$B$3:$B$15000,"janvier",Registre!$C$3:$C$15000,2030)</f>
        <v>0</v>
      </c>
      <c r="F18" s="18"/>
      <c r="H18" s="2"/>
    </row>
    <row r="19" spans="1:8" x14ac:dyDescent="0.25">
      <c r="A19" s="10">
        <v>15</v>
      </c>
      <c r="B19" s="15" t="s">
        <v>15</v>
      </c>
      <c r="C19" s="10">
        <v>2030</v>
      </c>
      <c r="D19" s="40">
        <f>SUMIFS(Registre!$P$3:$P$15000,Registre!$A$3:$A$15000,15,Registre!$B$3:$B$15000,"janvier",Registre!$C$3:$C$15000,2030)</f>
        <v>0</v>
      </c>
      <c r="F19" s="18"/>
      <c r="H19" s="2"/>
    </row>
    <row r="20" spans="1:8" x14ac:dyDescent="0.25">
      <c r="A20" s="10">
        <v>16</v>
      </c>
      <c r="B20" s="15" t="s">
        <v>15</v>
      </c>
      <c r="C20" s="10">
        <v>2030</v>
      </c>
      <c r="D20" s="40">
        <f>SUMIFS(Registre!$P$3:$P$15000,Registre!$A$3:$A$15000,16,Registre!$B$3:$B$15000,"janvier",Registre!$C$3:$C$15000,2030)</f>
        <v>0</v>
      </c>
      <c r="F20" s="18"/>
      <c r="H20" s="2"/>
    </row>
    <row r="21" spans="1:8" x14ac:dyDescent="0.25">
      <c r="A21" s="10">
        <v>17</v>
      </c>
      <c r="B21" s="15" t="s">
        <v>15</v>
      </c>
      <c r="C21" s="10">
        <v>2030</v>
      </c>
      <c r="D21" s="40">
        <f>SUMIFS(Registre!$P$3:$P$15000,Registre!$A$3:$A$15000,17,Registre!$B$3:$B$15000,"janvier",Registre!$C$3:$C$15000,2030)</f>
        <v>0</v>
      </c>
      <c r="F21" s="18"/>
      <c r="H21" s="2"/>
    </row>
    <row r="22" spans="1:8" x14ac:dyDescent="0.25">
      <c r="A22" s="10">
        <v>18</v>
      </c>
      <c r="B22" s="15" t="s">
        <v>15</v>
      </c>
      <c r="C22" s="10">
        <v>2030</v>
      </c>
      <c r="D22" s="40">
        <f>SUMIFS(Registre!$P$3:$P$15000,Registre!$A$3:$A$15000,18,Registre!$B$3:$B$15000,"janvier",Registre!$C$3:$C$15000,2030)</f>
        <v>0</v>
      </c>
      <c r="F22" s="18"/>
      <c r="H22" s="2"/>
    </row>
    <row r="23" spans="1:8" x14ac:dyDescent="0.25">
      <c r="A23" s="10">
        <v>19</v>
      </c>
      <c r="B23" s="15" t="s">
        <v>15</v>
      </c>
      <c r="C23" s="10">
        <v>2030</v>
      </c>
      <c r="D23" s="40">
        <f>SUMIFS(Registre!$P$3:$P$15000,Registre!$A$3:$A$15000,19,Registre!$B$3:$B$15000,"janvier",Registre!$C$3:$C$15000,2030)</f>
        <v>0</v>
      </c>
      <c r="F23" s="17"/>
      <c r="H23" s="2"/>
    </row>
    <row r="24" spans="1:8" x14ac:dyDescent="0.25">
      <c r="A24" s="10">
        <v>20</v>
      </c>
      <c r="B24" s="15" t="s">
        <v>15</v>
      </c>
      <c r="C24" s="10">
        <v>2030</v>
      </c>
      <c r="D24" s="40">
        <f>SUMIFS(Registre!$P$3:$P$15000,Registre!$A$3:$A$15000,20,Registre!$B$3:$B$15000,"janvier",Registre!$C$3:$C$15000,2030)</f>
        <v>0</v>
      </c>
      <c r="F24" s="17"/>
      <c r="H24" s="2"/>
    </row>
    <row r="25" spans="1:8" x14ac:dyDescent="0.25">
      <c r="A25" s="10">
        <v>21</v>
      </c>
      <c r="B25" s="15" t="s">
        <v>15</v>
      </c>
      <c r="C25" s="10">
        <v>2030</v>
      </c>
      <c r="D25" s="40">
        <f>SUMIFS(Registre!$P$3:$P$15000,Registre!$A$3:$A$15000,21,Registre!$B$3:$B$15000,"janvier",Registre!$C$3:$C$15000,2030)</f>
        <v>0</v>
      </c>
      <c r="F25" s="18"/>
      <c r="H25" s="2"/>
    </row>
    <row r="26" spans="1:8" x14ac:dyDescent="0.25">
      <c r="A26" s="10">
        <v>22</v>
      </c>
      <c r="B26" s="15" t="s">
        <v>15</v>
      </c>
      <c r="C26" s="10">
        <v>2030</v>
      </c>
      <c r="D26" s="40">
        <f>SUMIFS(Registre!$P$3:$P$15000,Registre!$A$3:$A$15000,22,Registre!$B$3:$B$15000,"janvier",Registre!$C$3:$C$15000,2030)</f>
        <v>0</v>
      </c>
      <c r="F26" s="18"/>
      <c r="H26" s="2"/>
    </row>
    <row r="27" spans="1:8" x14ac:dyDescent="0.25">
      <c r="A27" s="10">
        <v>23</v>
      </c>
      <c r="B27" s="15" t="s">
        <v>15</v>
      </c>
      <c r="C27" s="10">
        <v>2030</v>
      </c>
      <c r="D27" s="40">
        <f>SUMIFS(Registre!$P$3:$P$15000,Registre!$A$3:$A$15000,23,Registre!$B$3:$B$15000,"janvier",Registre!$C$3:$C$15000,2030)</f>
        <v>0</v>
      </c>
      <c r="F27" s="18"/>
      <c r="H27" s="2"/>
    </row>
    <row r="28" spans="1:8" x14ac:dyDescent="0.25">
      <c r="A28" s="10">
        <v>24</v>
      </c>
      <c r="B28" s="15" t="s">
        <v>15</v>
      </c>
      <c r="C28" s="10">
        <v>2030</v>
      </c>
      <c r="D28" s="40">
        <f>SUMIFS(Registre!$P$3:$P$15000,Registre!$A$3:$A$15000,24,Registre!$B$3:$B$15000,"janvier",Registre!$C$3:$C$15000,2030)</f>
        <v>0</v>
      </c>
      <c r="F28" s="18"/>
      <c r="H28" s="2"/>
    </row>
    <row r="29" spans="1:8" x14ac:dyDescent="0.25">
      <c r="A29" s="10">
        <v>25</v>
      </c>
      <c r="B29" s="15" t="s">
        <v>15</v>
      </c>
      <c r="C29" s="10">
        <v>2030</v>
      </c>
      <c r="D29" s="40">
        <f>SUMIFS(Registre!$P$3:$P$15000,Registre!$A$3:$A$15000,25,Registre!$B$3:$B$15000,"janvier",Registre!$C$3:$C$15000,2030)</f>
        <v>0</v>
      </c>
      <c r="F29" s="18"/>
      <c r="H29" s="2"/>
    </row>
    <row r="30" spans="1:8" x14ac:dyDescent="0.25">
      <c r="A30" s="10">
        <v>26</v>
      </c>
      <c r="B30" s="15" t="s">
        <v>15</v>
      </c>
      <c r="C30" s="10">
        <v>2030</v>
      </c>
      <c r="D30" s="40">
        <f>SUMIFS(Registre!$P$3:$P$15000,Registre!$A$3:$A$15000,26,Registre!$B$3:$B$15000,"janvier",Registre!$C$3:$C$15000,2030)</f>
        <v>0</v>
      </c>
      <c r="F30" s="18"/>
      <c r="H30" s="2"/>
    </row>
    <row r="31" spans="1:8" x14ac:dyDescent="0.25">
      <c r="A31" s="10">
        <v>27</v>
      </c>
      <c r="B31" s="15" t="s">
        <v>15</v>
      </c>
      <c r="C31" s="10">
        <v>2030</v>
      </c>
      <c r="D31" s="40">
        <f>SUMIFS(Registre!$P$3:$P$15000,Registre!$A$3:$A$15000,27,Registre!$B$3:$B$15000,"janvier",Registre!$C$3:$C$15000,2030)</f>
        <v>0</v>
      </c>
      <c r="F31" s="18"/>
      <c r="H31" s="2"/>
    </row>
    <row r="32" spans="1:8" x14ac:dyDescent="0.25">
      <c r="A32" s="10">
        <v>28</v>
      </c>
      <c r="B32" s="15" t="s">
        <v>15</v>
      </c>
      <c r="C32" s="10">
        <v>2030</v>
      </c>
      <c r="D32" s="40">
        <f>SUMIFS(Registre!$P$3:$P$15000,Registre!$A$3:$A$15000,28,Registre!$B$3:$B$15000,"janvier",Registre!$C$3:$C$15000,2030)</f>
        <v>0</v>
      </c>
      <c r="F32" s="17"/>
      <c r="H32" s="2"/>
    </row>
    <row r="33" spans="1:8" x14ac:dyDescent="0.25">
      <c r="A33" s="10">
        <v>29</v>
      </c>
      <c r="B33" s="15" t="s">
        <v>15</v>
      </c>
      <c r="C33" s="10">
        <v>2030</v>
      </c>
      <c r="D33" s="40">
        <f>SUMIFS(Registre!$P$3:$P$15000,Registre!$A$3:$A$15000,29,Registre!$B$3:$B$15000,"janvier",Registre!$C$3:$C$15000,2030)</f>
        <v>0</v>
      </c>
      <c r="F33" s="17"/>
      <c r="H33" s="2"/>
    </row>
    <row r="34" spans="1:8" x14ac:dyDescent="0.25">
      <c r="A34" s="10">
        <v>30</v>
      </c>
      <c r="B34" s="15" t="s">
        <v>15</v>
      </c>
      <c r="C34" s="10">
        <v>2030</v>
      </c>
      <c r="D34" s="40">
        <f>SUMIFS(Registre!$P$3:$P$15000,Registre!$A$3:$A$15000,30,Registre!$B$3:$B$15000,"janvier",Registre!$C$3:$C$15000,2030)</f>
        <v>0</v>
      </c>
      <c r="F34" s="18"/>
      <c r="H34" s="2"/>
    </row>
    <row r="35" spans="1:8" x14ac:dyDescent="0.25">
      <c r="A35" s="10">
        <v>31</v>
      </c>
      <c r="B35" s="15" t="s">
        <v>15</v>
      </c>
      <c r="C35" s="10">
        <v>2030</v>
      </c>
      <c r="D35" s="40">
        <f>SUMIFS(Registre!$P$3:$P$15000,Registre!$A$3:$A$15000,31,Registre!$B$3:$B$15000,"janvier",Registre!$C$3:$C$15000,2030)</f>
        <v>0</v>
      </c>
      <c r="F35" s="18"/>
      <c r="H35" s="2"/>
    </row>
    <row r="36" spans="1:8" x14ac:dyDescent="0.25">
      <c r="A36" s="11">
        <v>1</v>
      </c>
      <c r="B36" s="11" t="s">
        <v>16</v>
      </c>
      <c r="C36" s="11">
        <v>2030</v>
      </c>
      <c r="D36" s="41">
        <f>SUMIFS(Registre!$P$3:$P$15000,Registre!$A$3:$A$15000,1,Registre!$B$3:$B$15000,"février",Registre!$C$3:$C$15000,2030)</f>
        <v>0</v>
      </c>
      <c r="F36" s="18"/>
      <c r="H36" s="2"/>
    </row>
    <row r="37" spans="1:8" x14ac:dyDescent="0.25">
      <c r="A37" s="11">
        <v>2</v>
      </c>
      <c r="B37" s="11" t="s">
        <v>16</v>
      </c>
      <c r="C37" s="11">
        <v>2030</v>
      </c>
      <c r="D37" s="41">
        <f>SUMIFS(Registre!$P$3:$P$15000,Registre!$A$3:$A$15000,2,Registre!$B$3:$B$15000,"février",Registre!$C$3:$C$15000,2030)</f>
        <v>0</v>
      </c>
      <c r="F37" s="18"/>
      <c r="H37" s="2"/>
    </row>
    <row r="38" spans="1:8" x14ac:dyDescent="0.25">
      <c r="A38" s="11">
        <v>3</v>
      </c>
      <c r="B38" s="11" t="s">
        <v>16</v>
      </c>
      <c r="C38" s="11">
        <v>2030</v>
      </c>
      <c r="D38" s="41">
        <f>SUMIFS(Registre!$P$3:$P$15000,Registre!$A$3:$A$15000,3,Registre!$B$3:$B$15000,"février",Registre!$C$3:$C$15000,2030)</f>
        <v>0</v>
      </c>
      <c r="F38" s="18"/>
      <c r="H38" s="2"/>
    </row>
    <row r="39" spans="1:8" x14ac:dyDescent="0.25">
      <c r="A39" s="11">
        <v>4</v>
      </c>
      <c r="B39" s="11" t="s">
        <v>16</v>
      </c>
      <c r="C39" s="11">
        <v>2030</v>
      </c>
      <c r="D39" s="41">
        <f>SUMIFS(Registre!$P$3:$P$15000,Registre!$A$3:$A$15000,4,Registre!$B$3:$B$15000,"février",Registre!$C$3:$C$15000,2030)</f>
        <v>0</v>
      </c>
      <c r="F39" s="18"/>
      <c r="H39" s="2"/>
    </row>
    <row r="40" spans="1:8" x14ac:dyDescent="0.25">
      <c r="A40" s="11">
        <v>5</v>
      </c>
      <c r="B40" s="11" t="s">
        <v>16</v>
      </c>
      <c r="C40" s="11">
        <v>2030</v>
      </c>
      <c r="D40" s="41">
        <f>SUMIFS(Registre!$P$3:$P$15000,Registre!$A$3:$A$15000,5,Registre!$B$3:$B$15000,"février",Registre!$C$3:$C$15000,2030)</f>
        <v>0</v>
      </c>
      <c r="F40" s="18"/>
      <c r="H40" s="2"/>
    </row>
    <row r="41" spans="1:8" x14ac:dyDescent="0.25">
      <c r="A41" s="11">
        <v>6</v>
      </c>
      <c r="B41" s="11" t="s">
        <v>16</v>
      </c>
      <c r="C41" s="11">
        <v>2030</v>
      </c>
      <c r="D41" s="41">
        <f>SUMIFS(Registre!$P$3:$P$15000,Registre!$A$3:$A$15000,6,Registre!$B$3:$B$15000,"février",Registre!$C$3:$C$15000,2030)</f>
        <v>0</v>
      </c>
      <c r="F41" s="17"/>
      <c r="H41" s="2"/>
    </row>
    <row r="42" spans="1:8" x14ac:dyDescent="0.25">
      <c r="A42" s="11">
        <v>7</v>
      </c>
      <c r="B42" s="11" t="s">
        <v>16</v>
      </c>
      <c r="C42" s="11">
        <v>2030</v>
      </c>
      <c r="D42" s="41">
        <f>SUMIFS(Registre!$P$3:$P$15000,Registre!$A$3:$A$15000,7,Registre!$B$3:$B$15000,"février",Registre!$C$3:$C$15000,2030)</f>
        <v>0</v>
      </c>
      <c r="F42" s="17"/>
      <c r="H42" s="2"/>
    </row>
    <row r="43" spans="1:8" x14ac:dyDescent="0.25">
      <c r="A43" s="11">
        <v>8</v>
      </c>
      <c r="B43" s="11" t="s">
        <v>16</v>
      </c>
      <c r="C43" s="11">
        <v>2030</v>
      </c>
      <c r="D43" s="41">
        <f>SUMIFS(Registre!$P$3:$P$15000,Registre!$A$3:$A$15000,8,Registre!$B$3:$B$15000,"février",Registre!$C$3:$C$15000,2030)</f>
        <v>0</v>
      </c>
      <c r="F43" s="18"/>
      <c r="H43" s="2"/>
    </row>
    <row r="44" spans="1:8" x14ac:dyDescent="0.25">
      <c r="A44" s="11">
        <v>9</v>
      </c>
      <c r="B44" s="11" t="s">
        <v>16</v>
      </c>
      <c r="C44" s="11">
        <v>2030</v>
      </c>
      <c r="D44" s="41">
        <f>SUMIFS(Registre!$P$3:$P$15000,Registre!$A$3:$A$15000,9,Registre!$B$3:$B$15000,"février",Registre!$C$3:$C$15000,2030)</f>
        <v>0</v>
      </c>
      <c r="F44" s="18"/>
      <c r="H44" s="2"/>
    </row>
    <row r="45" spans="1:8" x14ac:dyDescent="0.25">
      <c r="A45" s="11">
        <v>10</v>
      </c>
      <c r="B45" s="11" t="s">
        <v>16</v>
      </c>
      <c r="C45" s="11">
        <v>2030</v>
      </c>
      <c r="D45" s="41">
        <f>SUMIFS(Registre!$P$3:$P$15000,Registre!$A$3:$A$15000,10,Registre!$B$3:$B$15000,"février",Registre!$C$3:$C$15000,2030)</f>
        <v>0</v>
      </c>
      <c r="F45" s="18"/>
      <c r="H45" s="2"/>
    </row>
    <row r="46" spans="1:8" x14ac:dyDescent="0.25">
      <c r="A46" s="11">
        <v>11</v>
      </c>
      <c r="B46" s="11" t="s">
        <v>16</v>
      </c>
      <c r="C46" s="11">
        <v>2030</v>
      </c>
      <c r="D46" s="41">
        <f>SUMIFS(Registre!$P$3:$P$15000,Registre!$A$3:$A$15000,11,Registre!$B$3:$B$15000,"février",Registre!$C$3:$C$15000,2030)</f>
        <v>0</v>
      </c>
      <c r="F46" s="18"/>
      <c r="H46" s="2"/>
    </row>
    <row r="47" spans="1:8" x14ac:dyDescent="0.25">
      <c r="A47" s="11">
        <v>12</v>
      </c>
      <c r="B47" s="11" t="s">
        <v>16</v>
      </c>
      <c r="C47" s="11">
        <v>2030</v>
      </c>
      <c r="D47" s="41">
        <f>SUMIFS(Registre!$P$3:$P$15000,Registre!$A$3:$A$15000,12,Registre!$B$3:$B$15000,"février",Registre!$C$3:$C$15000,2030)</f>
        <v>0</v>
      </c>
      <c r="F47" s="18"/>
      <c r="H47" s="2"/>
    </row>
    <row r="48" spans="1:8" x14ac:dyDescent="0.25">
      <c r="A48" s="11">
        <v>13</v>
      </c>
      <c r="B48" s="11" t="s">
        <v>16</v>
      </c>
      <c r="C48" s="11">
        <v>2030</v>
      </c>
      <c r="D48" s="41">
        <f>SUMIFS(Registre!$P$3:$P$15000,Registre!$A$3:$A$15000,13,Registre!$B$3:$B$15000,"février",Registre!$C$3:$C$15000,2030)</f>
        <v>0</v>
      </c>
      <c r="F48" s="18"/>
      <c r="H48" s="2"/>
    </row>
    <row r="49" spans="1:8" x14ac:dyDescent="0.25">
      <c r="A49" s="11">
        <v>14</v>
      </c>
      <c r="B49" s="11" t="s">
        <v>16</v>
      </c>
      <c r="C49" s="11">
        <v>2030</v>
      </c>
      <c r="D49" s="41">
        <f>SUMIFS(Registre!$P$3:$P$15000,Registre!$A$3:$A$15000,14,Registre!$B$3:$B$15000,"février",Registre!$C$3:$C$15000,2030)</f>
        <v>0</v>
      </c>
      <c r="F49" s="18"/>
      <c r="H49" s="2"/>
    </row>
    <row r="50" spans="1:8" x14ac:dyDescent="0.25">
      <c r="A50" s="11">
        <v>15</v>
      </c>
      <c r="B50" s="11" t="s">
        <v>16</v>
      </c>
      <c r="C50" s="11">
        <v>2030</v>
      </c>
      <c r="D50" s="41">
        <f>SUMIFS(Registre!$P$3:$P$15000,Registre!$A$3:$A$15000,15,Registre!$B$3:$B$15000,"février",Registre!$C$3:$C$15000,2030)</f>
        <v>0</v>
      </c>
      <c r="F50" s="17"/>
      <c r="H50" s="2"/>
    </row>
    <row r="51" spans="1:8" x14ac:dyDescent="0.25">
      <c r="A51" s="11">
        <v>16</v>
      </c>
      <c r="B51" s="11" t="s">
        <v>16</v>
      </c>
      <c r="C51" s="11">
        <v>2030</v>
      </c>
      <c r="D51" s="41">
        <f>SUMIFS(Registre!$P$3:$P$15000,Registre!$A$3:$A$15000,16,Registre!$B$3:$B$15000,"février",Registre!$C$3:$C$15000,2030)</f>
        <v>0</v>
      </c>
      <c r="F51" s="17"/>
      <c r="H51" s="2"/>
    </row>
    <row r="52" spans="1:8" x14ac:dyDescent="0.25">
      <c r="A52" s="11">
        <v>17</v>
      </c>
      <c r="B52" s="11" t="s">
        <v>16</v>
      </c>
      <c r="C52" s="11">
        <v>2030</v>
      </c>
      <c r="D52" s="41">
        <f>SUMIFS(Registre!$P$3:$P$15000,Registre!$A$3:$A$15000,17,Registre!$B$3:$B$15000,"février",Registre!$C$3:$C$15000,2030)</f>
        <v>0</v>
      </c>
      <c r="F52" s="18"/>
      <c r="H52" s="2"/>
    </row>
    <row r="53" spans="1:8" x14ac:dyDescent="0.25">
      <c r="A53" s="11">
        <v>18</v>
      </c>
      <c r="B53" s="11" t="s">
        <v>16</v>
      </c>
      <c r="C53" s="11">
        <v>2030</v>
      </c>
      <c r="D53" s="41">
        <f>SUMIFS(Registre!$P$3:$P$15000,Registre!$A$3:$A$15000,18,Registre!$B$3:$B$15000,"février",Registre!$C$3:$C$15000,2030)</f>
        <v>0</v>
      </c>
      <c r="F53" s="18"/>
      <c r="H53" s="2"/>
    </row>
    <row r="54" spans="1:8" x14ac:dyDescent="0.25">
      <c r="A54" s="11">
        <v>19</v>
      </c>
      <c r="B54" s="11" t="s">
        <v>16</v>
      </c>
      <c r="C54" s="11">
        <v>2030</v>
      </c>
      <c r="D54" s="41">
        <f>SUMIFS(Registre!$P$3:$P$15000,Registre!$A$3:$A$15000,19,Registre!$B$3:$B$15000,"février",Registre!$C$3:$C$15000,2030)</f>
        <v>0</v>
      </c>
      <c r="F54" s="18"/>
      <c r="H54" s="2"/>
    </row>
    <row r="55" spans="1:8" x14ac:dyDescent="0.25">
      <c r="A55" s="11">
        <v>20</v>
      </c>
      <c r="B55" s="11" t="s">
        <v>16</v>
      </c>
      <c r="C55" s="11">
        <v>2030</v>
      </c>
      <c r="D55" s="41">
        <f>SUMIFS(Registre!$P$3:$P$15000,Registre!$A$3:$A$15000,20,Registre!$B$3:$B$15000,"février",Registre!$C$3:$C$15000,2030)</f>
        <v>0</v>
      </c>
      <c r="F55" s="18"/>
      <c r="H55" s="2"/>
    </row>
    <row r="56" spans="1:8" x14ac:dyDescent="0.25">
      <c r="A56" s="11">
        <v>21</v>
      </c>
      <c r="B56" s="11" t="s">
        <v>16</v>
      </c>
      <c r="C56" s="11">
        <v>2030</v>
      </c>
      <c r="D56" s="41">
        <f>SUMIFS(Registre!$P$3:$P$15000,Registre!$A$3:$A$15000,21,Registre!$B$3:$B$15000,"février",Registre!$C$3:$C$15000,2030)</f>
        <v>0</v>
      </c>
      <c r="F56" s="18"/>
      <c r="H56" s="2"/>
    </row>
    <row r="57" spans="1:8" x14ac:dyDescent="0.25">
      <c r="A57" s="11">
        <v>22</v>
      </c>
      <c r="B57" s="11" t="s">
        <v>16</v>
      </c>
      <c r="C57" s="11">
        <v>2030</v>
      </c>
      <c r="D57" s="41">
        <f>SUMIFS(Registre!$P$3:$P$15000,Registre!$A$3:$A$15000,22,Registre!$B$3:$B$15000,"février",Registre!$C$3:$C$15000,2030)</f>
        <v>0</v>
      </c>
      <c r="F57" s="18"/>
      <c r="H57" s="2"/>
    </row>
    <row r="58" spans="1:8" x14ac:dyDescent="0.25">
      <c r="A58" s="11">
        <v>23</v>
      </c>
      <c r="B58" s="11" t="s">
        <v>16</v>
      </c>
      <c r="C58" s="11">
        <v>2030</v>
      </c>
      <c r="D58" s="41">
        <f>SUMIFS(Registre!$P$3:$P$15000,Registre!$A$3:$A$15000,23,Registre!$B$3:$B$15000,"février",Registre!$C$3:$C$15000,2030)</f>
        <v>0</v>
      </c>
      <c r="F58" s="18"/>
      <c r="H58" s="2"/>
    </row>
    <row r="59" spans="1:8" x14ac:dyDescent="0.25">
      <c r="A59" s="11">
        <v>24</v>
      </c>
      <c r="B59" s="11" t="s">
        <v>16</v>
      </c>
      <c r="C59" s="11">
        <v>2030</v>
      </c>
      <c r="D59" s="41">
        <f>SUMIFS(Registre!$P$3:$P$15000,Registre!$A$3:$A$15000,24,Registre!$B$3:$B$15000,"février",Registre!$C$3:$C$15000,2030)</f>
        <v>0</v>
      </c>
      <c r="F59" s="17"/>
      <c r="H59" s="2"/>
    </row>
    <row r="60" spans="1:8" x14ac:dyDescent="0.25">
      <c r="A60" s="11">
        <v>25</v>
      </c>
      <c r="B60" s="11" t="s">
        <v>16</v>
      </c>
      <c r="C60" s="11">
        <v>2030</v>
      </c>
      <c r="D60" s="41">
        <f>SUMIFS(Registre!$P$3:$P$15000,Registre!$A$3:$A$15000,25,Registre!$B$3:$B$15000,"février",Registre!$C$3:$C$15000,2030)</f>
        <v>0</v>
      </c>
      <c r="F60" s="17"/>
      <c r="H60" s="2"/>
    </row>
    <row r="61" spans="1:8" x14ac:dyDescent="0.25">
      <c r="A61" s="11">
        <v>26</v>
      </c>
      <c r="B61" s="11" t="s">
        <v>16</v>
      </c>
      <c r="C61" s="11">
        <v>2030</v>
      </c>
      <c r="D61" s="41">
        <f>SUMIFS(Registre!$P$3:$P$15000,Registre!$A$3:$A$15000,26,Registre!$B$3:$B$15000,"février",Registre!$C$3:$C$15000,2030)</f>
        <v>0</v>
      </c>
      <c r="F61" s="18"/>
      <c r="H61" s="2"/>
    </row>
    <row r="62" spans="1:8" x14ac:dyDescent="0.25">
      <c r="A62" s="11">
        <v>27</v>
      </c>
      <c r="B62" s="11" t="s">
        <v>16</v>
      </c>
      <c r="C62" s="11">
        <v>2030</v>
      </c>
      <c r="D62" s="41">
        <f>SUMIFS(Registre!$P$3:$P$15000,Registre!$A$3:$A$15000,27,Registre!$B$3:$B$15000,"février",Registre!$C$3:$C$15000,2030)</f>
        <v>0</v>
      </c>
      <c r="F62" s="18"/>
      <c r="H62" s="2"/>
    </row>
    <row r="63" spans="1:8" x14ac:dyDescent="0.25">
      <c r="A63" s="11">
        <v>28</v>
      </c>
      <c r="B63" s="11" t="s">
        <v>16</v>
      </c>
      <c r="C63" s="11">
        <v>2030</v>
      </c>
      <c r="D63" s="41">
        <f>SUMIFS(Registre!$P$3:$P$15000,Registre!$A$3:$A$15000,28,Registre!$B$3:$B$15000,"février",Registre!$C$3:$C$15000,2030)</f>
        <v>0</v>
      </c>
      <c r="F63" s="18"/>
      <c r="H63" s="2"/>
    </row>
    <row r="64" spans="1:8" x14ac:dyDescent="0.25">
      <c r="A64" s="10">
        <v>1</v>
      </c>
      <c r="B64" s="10" t="s">
        <v>17</v>
      </c>
      <c r="C64" s="10">
        <v>2030</v>
      </c>
      <c r="D64" s="40">
        <f>SUMIFS(Registre!$P$3:$P$15000,Registre!$A$3:$A$15000,1,Registre!$B$3:$B$15000,"mars",Registre!$C$3:$C$15000,2030)</f>
        <v>0</v>
      </c>
      <c r="F64" s="18"/>
      <c r="H64" s="2"/>
    </row>
    <row r="65" spans="1:8" x14ac:dyDescent="0.25">
      <c r="A65" s="10">
        <v>2</v>
      </c>
      <c r="B65" s="10" t="s">
        <v>17</v>
      </c>
      <c r="C65" s="10">
        <v>2030</v>
      </c>
      <c r="D65" s="40">
        <f>SUMIFS(Registre!$P$3:$P$15000,Registre!$A$3:$A$15000,2,Registre!$B$3:$B$15000,"mars",Registre!$C$3:$C$15000,2030)</f>
        <v>0</v>
      </c>
      <c r="F65" s="18"/>
      <c r="H65" s="2"/>
    </row>
    <row r="66" spans="1:8" x14ac:dyDescent="0.25">
      <c r="A66" s="10">
        <v>3</v>
      </c>
      <c r="B66" s="10" t="s">
        <v>17</v>
      </c>
      <c r="C66" s="10">
        <v>2030</v>
      </c>
      <c r="D66" s="40">
        <f>SUMIFS(Registre!$P$3:$P$15000,Registre!$A$3:$A$15000,3,Registre!$B$3:$B$15000,"mars",Registre!$C$3:$C$15000,2030)</f>
        <v>0</v>
      </c>
      <c r="F66" s="18"/>
      <c r="H66" s="2"/>
    </row>
    <row r="67" spans="1:8" x14ac:dyDescent="0.25">
      <c r="A67" s="10">
        <v>4</v>
      </c>
      <c r="B67" s="10" t="s">
        <v>17</v>
      </c>
      <c r="C67" s="10">
        <v>2030</v>
      </c>
      <c r="D67" s="40">
        <f>SUMIFS(Registre!$P$3:$P$15000,Registre!$A$3:$A$15000,4,Registre!$B$3:$B$15000,"mars",Registre!$C$3:$C$15000,2030)</f>
        <v>0</v>
      </c>
      <c r="F67" s="18"/>
      <c r="H67" s="2"/>
    </row>
    <row r="68" spans="1:8" x14ac:dyDescent="0.25">
      <c r="A68" s="10">
        <v>5</v>
      </c>
      <c r="B68" s="10" t="s">
        <v>17</v>
      </c>
      <c r="C68" s="10">
        <v>2030</v>
      </c>
      <c r="D68" s="40">
        <f>SUMIFS(Registre!$P$3:$P$15000,Registre!$A$3:$A$15000,5,Registre!$B$3:$B$15000,"mars",Registre!$C$3:$C$15000,2030)</f>
        <v>0</v>
      </c>
      <c r="F68" s="17"/>
      <c r="H68" s="2"/>
    </row>
    <row r="69" spans="1:8" x14ac:dyDescent="0.25">
      <c r="A69" s="10">
        <v>6</v>
      </c>
      <c r="B69" s="10" t="s">
        <v>17</v>
      </c>
      <c r="C69" s="10">
        <v>2030</v>
      </c>
      <c r="D69" s="40">
        <f>SUMIFS(Registre!$P$3:$P$15000,Registre!$A$3:$A$15000,6,Registre!$B$3:$B$15000,"mars",Registre!$C$3:$C$15000,2030)</f>
        <v>0</v>
      </c>
      <c r="F69" s="17"/>
      <c r="H69" s="2"/>
    </row>
    <row r="70" spans="1:8" x14ac:dyDescent="0.25">
      <c r="A70" s="10">
        <v>7</v>
      </c>
      <c r="B70" s="10" t="s">
        <v>17</v>
      </c>
      <c r="C70" s="10">
        <v>2030</v>
      </c>
      <c r="D70" s="40">
        <f>SUMIFS(Registre!$P$3:$P$15000,Registre!$A$3:$A$15000,7,Registre!$B$3:$B$15000,"mars",Registre!$C$3:$C$15000,2030)</f>
        <v>0</v>
      </c>
      <c r="F70" s="18"/>
      <c r="H70" s="2"/>
    </row>
    <row r="71" spans="1:8" x14ac:dyDescent="0.25">
      <c r="A71" s="10">
        <v>8</v>
      </c>
      <c r="B71" s="10" t="s">
        <v>17</v>
      </c>
      <c r="C71" s="10">
        <v>2030</v>
      </c>
      <c r="D71" s="40">
        <f>SUMIFS(Registre!$P$3:$P$15000,Registre!$A$3:$A$15000,8,Registre!$B$3:$B$15000,"mars",Registre!$C$3:$C$15000,2030)</f>
        <v>0</v>
      </c>
      <c r="F71" s="18"/>
      <c r="H71" s="2"/>
    </row>
    <row r="72" spans="1:8" x14ac:dyDescent="0.25">
      <c r="A72" s="10">
        <v>9</v>
      </c>
      <c r="B72" s="10" t="s">
        <v>17</v>
      </c>
      <c r="C72" s="10">
        <v>2030</v>
      </c>
      <c r="D72" s="40">
        <f>SUMIFS(Registre!$P$3:$P$15000,Registre!$A$3:$A$15000,9,Registre!$B$3:$B$15000,"mars",Registre!$C$3:$C$15000,2030)</f>
        <v>0</v>
      </c>
      <c r="F72" s="18"/>
      <c r="H72" s="2"/>
    </row>
    <row r="73" spans="1:8" x14ac:dyDescent="0.25">
      <c r="A73" s="10">
        <v>10</v>
      </c>
      <c r="B73" s="10" t="s">
        <v>17</v>
      </c>
      <c r="C73" s="10">
        <v>2030</v>
      </c>
      <c r="D73" s="40">
        <f>SUMIFS(Registre!$P$3:$P$15000,Registre!$A$3:$A$15000,10,Registre!$B$3:$B$15000,"mars",Registre!$C$3:$C$15000,2030)</f>
        <v>0</v>
      </c>
      <c r="F73" s="18"/>
      <c r="H73" s="2"/>
    </row>
    <row r="74" spans="1:8" x14ac:dyDescent="0.25">
      <c r="A74" s="10">
        <v>11</v>
      </c>
      <c r="B74" s="10" t="s">
        <v>17</v>
      </c>
      <c r="C74" s="10">
        <v>2030</v>
      </c>
      <c r="D74" s="40">
        <f>SUMIFS(Registre!$P$3:$P$15000,Registre!$A$3:$A$15000,11,Registre!$B$3:$B$15000,"mars",Registre!$C$3:$C$15000,2030)</f>
        <v>0</v>
      </c>
      <c r="F74" s="18"/>
      <c r="H74" s="2"/>
    </row>
    <row r="75" spans="1:8" x14ac:dyDescent="0.25">
      <c r="A75" s="10">
        <v>12</v>
      </c>
      <c r="B75" s="10" t="s">
        <v>17</v>
      </c>
      <c r="C75" s="10">
        <v>2030</v>
      </c>
      <c r="D75" s="40">
        <f>SUMIFS(Registre!$P$3:$P$15000,Registre!$A$3:$A$15000,12,Registre!$B$3:$B$15000,"mars",Registre!$C$3:$C$15000,2030)</f>
        <v>0</v>
      </c>
      <c r="F75" s="18"/>
      <c r="H75" s="2"/>
    </row>
    <row r="76" spans="1:8" x14ac:dyDescent="0.25">
      <c r="A76" s="10">
        <v>13</v>
      </c>
      <c r="B76" s="10" t="s">
        <v>17</v>
      </c>
      <c r="C76" s="10">
        <v>2030</v>
      </c>
      <c r="D76" s="40">
        <f>SUMIFS(Registre!$P$3:$P$15000,Registre!$A$3:$A$15000,13,Registre!$B$3:$B$15000,"mars",Registre!$C$3:$C$15000,2030)</f>
        <v>0</v>
      </c>
      <c r="F76" s="18"/>
      <c r="H76" s="2"/>
    </row>
    <row r="77" spans="1:8" x14ac:dyDescent="0.25">
      <c r="A77" s="10">
        <v>14</v>
      </c>
      <c r="B77" s="10" t="s">
        <v>17</v>
      </c>
      <c r="C77" s="10">
        <v>2030</v>
      </c>
      <c r="D77" s="40">
        <f>SUMIFS(Registre!$P$3:$P$15000,Registre!$A$3:$A$15000,14,Registre!$B$3:$B$15000,"mars",Registre!$C$3:$C$15000,2030)</f>
        <v>0</v>
      </c>
      <c r="F77" s="17"/>
      <c r="H77" s="2"/>
    </row>
    <row r="78" spans="1:8" x14ac:dyDescent="0.25">
      <c r="A78" s="10">
        <v>15</v>
      </c>
      <c r="B78" s="10" t="s">
        <v>17</v>
      </c>
      <c r="C78" s="10">
        <v>2030</v>
      </c>
      <c r="D78" s="40">
        <f>SUMIFS(Registre!$P$3:$P$15000,Registre!$A$3:$A$15000,15,Registre!$B$3:$B$15000,"mars",Registre!$C$3:$C$15000,2030)</f>
        <v>0</v>
      </c>
      <c r="F78" s="17"/>
      <c r="H78" s="2"/>
    </row>
    <row r="79" spans="1:8" x14ac:dyDescent="0.25">
      <c r="A79" s="10">
        <v>16</v>
      </c>
      <c r="B79" s="10" t="s">
        <v>17</v>
      </c>
      <c r="C79" s="10">
        <v>2030</v>
      </c>
      <c r="D79" s="40">
        <f>SUMIFS(Registre!$P$3:$P$15000,Registre!$A$3:$A$15000,16,Registre!$B$3:$B$15000,"mars",Registre!$C$3:$C$15000,2030)</f>
        <v>0</v>
      </c>
      <c r="F79" s="18"/>
      <c r="H79" s="2"/>
    </row>
    <row r="80" spans="1:8" x14ac:dyDescent="0.25">
      <c r="A80" s="10">
        <v>17</v>
      </c>
      <c r="B80" s="10" t="s">
        <v>17</v>
      </c>
      <c r="C80" s="10">
        <v>2030</v>
      </c>
      <c r="D80" s="40">
        <f>SUMIFS(Registre!$P$3:$P$15000,Registre!$A$3:$A$15000,17,Registre!$B$3:$B$15000,"mars",Registre!$C$3:$C$15000,2030)</f>
        <v>0</v>
      </c>
      <c r="F80" s="18"/>
      <c r="H80" s="2"/>
    </row>
    <row r="81" spans="1:8" x14ac:dyDescent="0.25">
      <c r="A81" s="10">
        <v>18</v>
      </c>
      <c r="B81" s="10" t="s">
        <v>17</v>
      </c>
      <c r="C81" s="10">
        <v>2030</v>
      </c>
      <c r="D81" s="40">
        <f>SUMIFS(Registre!$P$3:$P$15000,Registre!$A$3:$A$15000,18,Registre!$B$3:$B$15000,"mars",Registre!$C$3:$C$15000,2030)</f>
        <v>0</v>
      </c>
      <c r="F81" s="18"/>
      <c r="H81" s="2"/>
    </row>
    <row r="82" spans="1:8" x14ac:dyDescent="0.25">
      <c r="A82" s="10">
        <v>19</v>
      </c>
      <c r="B82" s="10" t="s">
        <v>17</v>
      </c>
      <c r="C82" s="10">
        <v>2030</v>
      </c>
      <c r="D82" s="40">
        <f>SUMIFS(Registre!$P$3:$P$15000,Registre!$A$3:$A$15000,19,Registre!$B$3:$B$15000,"mars",Registre!$C$3:$C$15000,2030)</f>
        <v>0</v>
      </c>
      <c r="F82" s="18"/>
      <c r="H82" s="2"/>
    </row>
    <row r="83" spans="1:8" x14ac:dyDescent="0.25">
      <c r="A83" s="10">
        <v>20</v>
      </c>
      <c r="B83" s="10" t="s">
        <v>17</v>
      </c>
      <c r="C83" s="10">
        <v>2030</v>
      </c>
      <c r="D83" s="40">
        <f>SUMIFS(Registre!$P$3:$P$15000,Registre!$A$3:$A$15000,20,Registre!$B$3:$B$15000,"mars",Registre!$C$3:$C$15000,2030)</f>
        <v>0</v>
      </c>
      <c r="F83" s="18"/>
      <c r="H83" s="2"/>
    </row>
    <row r="84" spans="1:8" x14ac:dyDescent="0.25">
      <c r="A84" s="10">
        <v>21</v>
      </c>
      <c r="B84" s="10" t="s">
        <v>17</v>
      </c>
      <c r="C84" s="10">
        <v>2030</v>
      </c>
      <c r="D84" s="40">
        <f>SUMIFS(Registre!$P$3:$P$15000,Registre!$A$3:$A$15000,21,Registre!$B$3:$B$15000,"mars",Registre!$C$3:$C$15000,2030)</f>
        <v>0</v>
      </c>
      <c r="F84" s="18"/>
      <c r="H84" s="2"/>
    </row>
    <row r="85" spans="1:8" x14ac:dyDescent="0.25">
      <c r="A85" s="10">
        <v>22</v>
      </c>
      <c r="B85" s="10" t="s">
        <v>17</v>
      </c>
      <c r="C85" s="10">
        <v>2030</v>
      </c>
      <c r="D85" s="40">
        <f>SUMIFS(Registre!$P$3:$P$15000,Registre!$A$3:$A$15000,22,Registre!$B$3:$B$15000,"mars",Registre!$C$3:$C$15000,2030)</f>
        <v>0</v>
      </c>
      <c r="F85" s="18"/>
      <c r="H85" s="2"/>
    </row>
    <row r="86" spans="1:8" x14ac:dyDescent="0.25">
      <c r="A86" s="10">
        <v>23</v>
      </c>
      <c r="B86" s="10" t="s">
        <v>17</v>
      </c>
      <c r="C86" s="10">
        <v>2030</v>
      </c>
      <c r="D86" s="40">
        <f>SUMIFS(Registre!$P$3:$P$15000,Registre!$A$3:$A$15000,23,Registre!$B$3:$B$15000,"mars",Registre!$C$3:$C$15000,2030)</f>
        <v>0</v>
      </c>
      <c r="F86" s="17"/>
      <c r="H86" s="2"/>
    </row>
    <row r="87" spans="1:8" x14ac:dyDescent="0.25">
      <c r="A87" s="10">
        <v>24</v>
      </c>
      <c r="B87" s="10" t="s">
        <v>17</v>
      </c>
      <c r="C87" s="10">
        <v>2030</v>
      </c>
      <c r="D87" s="40">
        <f>SUMIFS(Registre!$P$3:$P$15000,Registre!$A$3:$A$15000,24,Registre!$B$3:$B$15000,"mars",Registre!$C$3:$C$15000,2030)</f>
        <v>0</v>
      </c>
      <c r="F87" s="17"/>
      <c r="H87" s="2"/>
    </row>
    <row r="88" spans="1:8" x14ac:dyDescent="0.25">
      <c r="A88" s="10">
        <v>25</v>
      </c>
      <c r="B88" s="10" t="s">
        <v>17</v>
      </c>
      <c r="C88" s="10">
        <v>2030</v>
      </c>
      <c r="D88" s="40">
        <f>SUMIFS(Registre!$P$3:$P$15000,Registre!$A$3:$A$15000,25,Registre!$B$3:$B$15000,"mars",Registre!$C$3:$C$15000,2030)</f>
        <v>0</v>
      </c>
      <c r="F88" s="18"/>
      <c r="H88" s="2"/>
    </row>
    <row r="89" spans="1:8" x14ac:dyDescent="0.25">
      <c r="A89" s="10">
        <v>26</v>
      </c>
      <c r="B89" s="10" t="s">
        <v>17</v>
      </c>
      <c r="C89" s="10">
        <v>2030</v>
      </c>
      <c r="D89" s="40">
        <f>SUMIFS(Registre!$P$3:$P$15000,Registre!$A$3:$A$15000,26,Registre!$B$3:$B$15000,"mars",Registre!$C$3:$C$15000,2030)</f>
        <v>0</v>
      </c>
      <c r="F89" s="18"/>
      <c r="H89" s="2"/>
    </row>
    <row r="90" spans="1:8" x14ac:dyDescent="0.25">
      <c r="A90" s="10">
        <v>27</v>
      </c>
      <c r="B90" s="10" t="s">
        <v>17</v>
      </c>
      <c r="C90" s="10">
        <v>2030</v>
      </c>
      <c r="D90" s="40">
        <f>SUMIFS(Registre!$P$3:$P$15000,Registre!$A$3:$A$15000,27,Registre!$B$3:$B$15000,"mars",Registre!$C$3:$C$15000,2030)</f>
        <v>0</v>
      </c>
      <c r="F90" s="18"/>
      <c r="H90" s="2"/>
    </row>
    <row r="91" spans="1:8" x14ac:dyDescent="0.25">
      <c r="A91" s="10">
        <v>28</v>
      </c>
      <c r="B91" s="10" t="s">
        <v>17</v>
      </c>
      <c r="C91" s="10">
        <v>2030</v>
      </c>
      <c r="D91" s="40">
        <f>SUMIFS(Registre!$P$3:$P$15000,Registre!$A$3:$A$15000,28,Registre!$B$3:$B$15000,"mars",Registre!$C$3:$C$15000,2030)</f>
        <v>0</v>
      </c>
      <c r="F91" s="18"/>
      <c r="H91" s="2"/>
    </row>
    <row r="92" spans="1:8" x14ac:dyDescent="0.25">
      <c r="A92" s="10">
        <v>29</v>
      </c>
      <c r="B92" s="10" t="s">
        <v>17</v>
      </c>
      <c r="C92" s="10">
        <v>2030</v>
      </c>
      <c r="D92" s="40">
        <f>SUMIFS(Registre!$P$3:$P$15000,Registre!$A$3:$A$15000,29,Registre!$B$3:$B$15000,"mars",Registre!$C$3:$C$15000,2030)</f>
        <v>0</v>
      </c>
      <c r="F92" s="18"/>
      <c r="H92" s="2"/>
    </row>
    <row r="93" spans="1:8" x14ac:dyDescent="0.25">
      <c r="A93" s="10">
        <v>30</v>
      </c>
      <c r="B93" s="10" t="s">
        <v>17</v>
      </c>
      <c r="C93" s="10">
        <v>2030</v>
      </c>
      <c r="D93" s="40">
        <f>SUMIFS(Registre!$P$3:$P$15000,Registre!$A$3:$A$15000,30,Registre!$B$3:$B$15000,"mars",Registre!$C$3:$C$15000,2030)</f>
        <v>0</v>
      </c>
      <c r="F93" s="18"/>
      <c r="H93" s="2"/>
    </row>
    <row r="94" spans="1:8" x14ac:dyDescent="0.25">
      <c r="A94" s="10">
        <v>31</v>
      </c>
      <c r="B94" s="10" t="s">
        <v>17</v>
      </c>
      <c r="C94" s="10">
        <v>2030</v>
      </c>
      <c r="D94" s="40">
        <f>SUMIFS(Registre!$P$3:$P$15000,Registre!$A$3:$A$15000,31,Registre!$B$3:$B$15000,"mars",Registre!$C$3:$C$15000,2030)</f>
        <v>0</v>
      </c>
      <c r="F94" s="18"/>
      <c r="H94" s="2"/>
    </row>
    <row r="95" spans="1:8" x14ac:dyDescent="0.25">
      <c r="A95" s="11">
        <v>1</v>
      </c>
      <c r="B95" s="11" t="s">
        <v>18</v>
      </c>
      <c r="C95" s="11">
        <v>2030</v>
      </c>
      <c r="D95" s="41">
        <f>SUMIFS(Registre!$P$3:$P$15000,Registre!$A$3:$A$15000,1,Registre!$B$3:$B$15000,"avril",Registre!$C$3:$C$15000,2030)</f>
        <v>0</v>
      </c>
      <c r="F95" s="17"/>
      <c r="H95" s="2"/>
    </row>
    <row r="96" spans="1:8" x14ac:dyDescent="0.25">
      <c r="A96" s="11">
        <v>2</v>
      </c>
      <c r="B96" s="11" t="s">
        <v>18</v>
      </c>
      <c r="C96" s="11">
        <v>2030</v>
      </c>
      <c r="D96" s="41">
        <f>SUMIFS(Registre!$P$3:$P$15000,Registre!$A$3:$A$15000,2,Registre!$B$3:$B$15000,"avril",Registre!$C$3:$C$15000,2030)</f>
        <v>0</v>
      </c>
      <c r="F96" s="17"/>
      <c r="H96" s="2"/>
    </row>
    <row r="97" spans="1:8" x14ac:dyDescent="0.25">
      <c r="A97" s="11">
        <v>3</v>
      </c>
      <c r="B97" s="11" t="s">
        <v>18</v>
      </c>
      <c r="C97" s="11">
        <v>2030</v>
      </c>
      <c r="D97" s="41">
        <f>SUMIFS(Registre!$P$3:$P$15000,Registre!$A$3:$A$15000,3,Registre!$B$3:$B$15000,"avril",Registre!$C$3:$C$15000,2030)</f>
        <v>0</v>
      </c>
      <c r="F97" s="18"/>
      <c r="H97" s="2"/>
    </row>
    <row r="98" spans="1:8" x14ac:dyDescent="0.25">
      <c r="A98" s="11">
        <v>4</v>
      </c>
      <c r="B98" s="11" t="s">
        <v>18</v>
      </c>
      <c r="C98" s="11">
        <v>2030</v>
      </c>
      <c r="D98" s="41">
        <f>SUMIFS(Registre!$P$3:$P$15000,Registre!$A$3:$A$15000,4,Registre!$B$3:$B$15000,"avril",Registre!$C$3:$C$15000,2030)</f>
        <v>0</v>
      </c>
      <c r="F98" s="18"/>
      <c r="H98" s="2"/>
    </row>
    <row r="99" spans="1:8" x14ac:dyDescent="0.25">
      <c r="A99" s="11">
        <v>5</v>
      </c>
      <c r="B99" s="11" t="s">
        <v>18</v>
      </c>
      <c r="C99" s="11">
        <v>2030</v>
      </c>
      <c r="D99" s="41">
        <f>SUMIFS(Registre!$P$3:$P$15000,Registre!$A$3:$A$15000,5,Registre!$B$3:$B$15000,"avril",Registre!$C$3:$C$15000,2030)</f>
        <v>0</v>
      </c>
      <c r="F99" s="18"/>
      <c r="H99" s="2"/>
    </row>
    <row r="100" spans="1:8" x14ac:dyDescent="0.25">
      <c r="A100" s="11">
        <v>6</v>
      </c>
      <c r="B100" s="11" t="s">
        <v>18</v>
      </c>
      <c r="C100" s="11">
        <v>2030</v>
      </c>
      <c r="D100" s="41">
        <f>SUMIFS(Registre!$P$3:$P$15000,Registre!$A$3:$A$15000,6,Registre!$B$3:$B$15000,"avril",Registre!$C$3:$C$15000,2030)</f>
        <v>0</v>
      </c>
      <c r="F100" s="18"/>
      <c r="H100" s="2"/>
    </row>
    <row r="101" spans="1:8" x14ac:dyDescent="0.25">
      <c r="A101" s="11">
        <v>7</v>
      </c>
      <c r="B101" s="11" t="s">
        <v>18</v>
      </c>
      <c r="C101" s="11">
        <v>2030</v>
      </c>
      <c r="D101" s="41">
        <f>SUMIFS(Registre!$P$3:$P$15000,Registre!$A$3:$A$15000,7,Registre!$B$3:$B$15000,"avril",Registre!$C$3:$C$15000,2030)</f>
        <v>0</v>
      </c>
      <c r="F101" s="18"/>
      <c r="H101" s="2"/>
    </row>
    <row r="102" spans="1:8" x14ac:dyDescent="0.25">
      <c r="A102" s="11">
        <v>8</v>
      </c>
      <c r="B102" s="11" t="s">
        <v>18</v>
      </c>
      <c r="C102" s="11">
        <v>2030</v>
      </c>
      <c r="D102" s="41">
        <f>SUMIFS(Registre!$P$3:$P$15000,Registre!$A$3:$A$15000,8,Registre!$B$3:$B$15000,"avril",Registre!$C$3:$C$15000,2030)</f>
        <v>0</v>
      </c>
      <c r="F102" s="18"/>
      <c r="H102" s="2"/>
    </row>
    <row r="103" spans="1:8" x14ac:dyDescent="0.25">
      <c r="A103" s="11">
        <v>9</v>
      </c>
      <c r="B103" s="11" t="s">
        <v>18</v>
      </c>
      <c r="C103" s="11">
        <v>2030</v>
      </c>
      <c r="D103" s="41">
        <f>SUMIFS(Registre!$P$3:$P$15000,Registre!$A$3:$A$15000,9,Registre!$B$3:$B$15000,"avril",Registre!$C$3:$C$15000,2030)</f>
        <v>0</v>
      </c>
      <c r="F103" s="18"/>
      <c r="H103" s="2"/>
    </row>
    <row r="104" spans="1:8" x14ac:dyDescent="0.25">
      <c r="A104" s="11">
        <v>10</v>
      </c>
      <c r="B104" s="11" t="s">
        <v>18</v>
      </c>
      <c r="C104" s="11">
        <v>2030</v>
      </c>
      <c r="D104" s="41">
        <f>SUMIFS(Registre!$P$3:$P$15000,Registre!$A$3:$A$15000,10,Registre!$B$3:$B$15000,"avril",Registre!$C$3:$C$15000,2030)</f>
        <v>0</v>
      </c>
      <c r="F104" s="17"/>
      <c r="H104" s="2"/>
    </row>
    <row r="105" spans="1:8" x14ac:dyDescent="0.25">
      <c r="A105" s="11">
        <v>11</v>
      </c>
      <c r="B105" s="11" t="s">
        <v>18</v>
      </c>
      <c r="C105" s="11">
        <v>2030</v>
      </c>
      <c r="D105" s="41">
        <f>SUMIFS(Registre!$P$3:$P$15000,Registre!$A$3:$A$15000,11,Registre!$B$3:$B$15000,"avril",Registre!$C$3:$C$15000,2030)</f>
        <v>0</v>
      </c>
      <c r="F105" s="17"/>
      <c r="H105" s="2"/>
    </row>
    <row r="106" spans="1:8" x14ac:dyDescent="0.25">
      <c r="A106" s="11">
        <v>12</v>
      </c>
      <c r="B106" s="11" t="s">
        <v>18</v>
      </c>
      <c r="C106" s="11">
        <v>2030</v>
      </c>
      <c r="D106" s="41">
        <f>SUMIFS(Registre!$P$3:$P$15000,Registre!$A$3:$A$15000,12,Registre!$B$3:$B$15000,"avril",Registre!$C$3:$C$15000,2030)</f>
        <v>0</v>
      </c>
      <c r="F106" s="18"/>
      <c r="H106" s="2"/>
    </row>
    <row r="107" spans="1:8" x14ac:dyDescent="0.25">
      <c r="A107" s="11">
        <v>13</v>
      </c>
      <c r="B107" s="11" t="s">
        <v>18</v>
      </c>
      <c r="C107" s="11">
        <v>2030</v>
      </c>
      <c r="D107" s="41">
        <f>SUMIFS(Registre!$P$3:$P$15000,Registre!$A$3:$A$15000,13,Registre!$B$3:$B$15000,"avril",Registre!$C$3:$C$15000,2030)</f>
        <v>0</v>
      </c>
      <c r="F107" s="18"/>
      <c r="H107" s="2"/>
    </row>
    <row r="108" spans="1:8" x14ac:dyDescent="0.25">
      <c r="A108" s="11">
        <v>14</v>
      </c>
      <c r="B108" s="11" t="s">
        <v>18</v>
      </c>
      <c r="C108" s="11">
        <v>2030</v>
      </c>
      <c r="D108" s="41">
        <f>SUMIFS(Registre!$P$3:$P$15000,Registre!$A$3:$A$15000,14,Registre!$B$3:$B$15000,"avril",Registre!$C$3:$C$15000,2030)</f>
        <v>0</v>
      </c>
      <c r="F108" s="18"/>
      <c r="H108" s="2"/>
    </row>
    <row r="109" spans="1:8" x14ac:dyDescent="0.25">
      <c r="A109" s="11">
        <v>15</v>
      </c>
      <c r="B109" s="11" t="s">
        <v>18</v>
      </c>
      <c r="C109" s="11">
        <v>2030</v>
      </c>
      <c r="D109" s="41">
        <f>SUMIFS(Registre!$P$3:$P$15000,Registre!$A$3:$A$15000,15,Registre!$B$3:$B$15000,"avril",Registre!$C$3:$C$15000,2030)</f>
        <v>0</v>
      </c>
      <c r="F109" s="18"/>
      <c r="H109" s="2"/>
    </row>
    <row r="110" spans="1:8" x14ac:dyDescent="0.25">
      <c r="A110" s="11">
        <v>16</v>
      </c>
      <c r="B110" s="11" t="s">
        <v>18</v>
      </c>
      <c r="C110" s="11">
        <v>2030</v>
      </c>
      <c r="D110" s="41">
        <f>SUMIFS(Registre!$P$3:$P$15000,Registre!$A$3:$A$15000,16,Registre!$B$3:$B$15000,"avril",Registre!$C$3:$C$15000,2030)</f>
        <v>0</v>
      </c>
      <c r="F110" s="18"/>
      <c r="H110" s="2"/>
    </row>
    <row r="111" spans="1:8" x14ac:dyDescent="0.25">
      <c r="A111" s="11">
        <v>17</v>
      </c>
      <c r="B111" s="11" t="s">
        <v>18</v>
      </c>
      <c r="C111" s="11">
        <v>2030</v>
      </c>
      <c r="D111" s="41">
        <f>SUMIFS(Registre!$P$3:$P$15000,Registre!$A$3:$A$15000,17,Registre!$B$3:$B$15000,"avril",Registre!$C$3:$C$15000,2030)</f>
        <v>0</v>
      </c>
      <c r="F111" s="18"/>
      <c r="H111" s="2"/>
    </row>
    <row r="112" spans="1:8" x14ac:dyDescent="0.25">
      <c r="A112" s="11">
        <v>18</v>
      </c>
      <c r="B112" s="11" t="s">
        <v>18</v>
      </c>
      <c r="C112" s="11">
        <v>2030</v>
      </c>
      <c r="D112" s="41">
        <f>SUMIFS(Registre!$P$3:$P$15000,Registre!$A$3:$A$15000,18,Registre!$B$3:$B$15000,"avril",Registre!$C$3:$C$15000,2030)</f>
        <v>0</v>
      </c>
      <c r="F112" s="18"/>
      <c r="H112" s="2"/>
    </row>
    <row r="113" spans="1:4" x14ac:dyDescent="0.25">
      <c r="A113" s="11">
        <v>19</v>
      </c>
      <c r="B113" s="11" t="s">
        <v>18</v>
      </c>
      <c r="C113" s="11">
        <v>2030</v>
      </c>
      <c r="D113" s="41">
        <f>SUMIFS(Registre!$P$3:$P$15000,Registre!$A$3:$A$15000,19,Registre!$B$3:$B$15000,"avril",Registre!$C$3:$C$15000,2030)</f>
        <v>0</v>
      </c>
    </row>
    <row r="114" spans="1:4" x14ac:dyDescent="0.25">
      <c r="A114" s="11">
        <v>20</v>
      </c>
      <c r="B114" s="11" t="s">
        <v>18</v>
      </c>
      <c r="C114" s="11">
        <v>2030</v>
      </c>
      <c r="D114" s="41">
        <f>SUMIFS(Registre!$P$3:$P$15000,Registre!$A$3:$A$15000,20,Registre!$B$3:$B$15000,"avril",Registre!$C$3:$C$15000,2030)</f>
        <v>0</v>
      </c>
    </row>
    <row r="115" spans="1:4" x14ac:dyDescent="0.25">
      <c r="A115" s="11">
        <v>21</v>
      </c>
      <c r="B115" s="11" t="s">
        <v>18</v>
      </c>
      <c r="C115" s="11">
        <v>2030</v>
      </c>
      <c r="D115" s="41">
        <f>SUMIFS(Registre!$P$3:$P$15000,Registre!$A$3:$A$15000,21,Registre!$B$3:$B$15000,"avril",Registre!$C$3:$C$15000,2030)</f>
        <v>0</v>
      </c>
    </row>
    <row r="116" spans="1:4" x14ac:dyDescent="0.25">
      <c r="A116" s="11">
        <v>22</v>
      </c>
      <c r="B116" s="11" t="s">
        <v>18</v>
      </c>
      <c r="C116" s="11">
        <v>2030</v>
      </c>
      <c r="D116" s="41">
        <f>SUMIFS(Registre!$P$3:$P$15000,Registre!$A$3:$A$15000,22,Registre!$B$3:$B$15000,"avril",Registre!$C$3:$C$15000,2030)</f>
        <v>0</v>
      </c>
    </row>
    <row r="117" spans="1:4" x14ac:dyDescent="0.25">
      <c r="A117" s="11">
        <v>23</v>
      </c>
      <c r="B117" s="11" t="s">
        <v>18</v>
      </c>
      <c r="C117" s="11">
        <v>2030</v>
      </c>
      <c r="D117" s="41">
        <f>SUMIFS(Registre!$P$3:$P$15000,Registre!$A$3:$A$15000,23,Registre!$B$3:$B$15000,"avril",Registre!$C$3:$C$15000,2030)</f>
        <v>0</v>
      </c>
    </row>
    <row r="118" spans="1:4" x14ac:dyDescent="0.25">
      <c r="A118" s="11">
        <v>24</v>
      </c>
      <c r="B118" s="11" t="s">
        <v>18</v>
      </c>
      <c r="C118" s="11">
        <v>2030</v>
      </c>
      <c r="D118" s="41">
        <f>SUMIFS(Registre!$P$3:$P$15000,Registre!$A$3:$A$15000,24,Registre!$B$3:$B$15000,"avril",Registre!$C$3:$C$15000,2030)</f>
        <v>0</v>
      </c>
    </row>
    <row r="119" spans="1:4" x14ac:dyDescent="0.25">
      <c r="A119" s="11">
        <v>25</v>
      </c>
      <c r="B119" s="11" t="s">
        <v>18</v>
      </c>
      <c r="C119" s="11">
        <v>2030</v>
      </c>
      <c r="D119" s="41">
        <f>SUMIFS(Registre!$P$3:$P$15000,Registre!$A$3:$A$15000,25,Registre!$B$3:$B$15000,"avril",Registre!$C$3:$C$15000,2030)</f>
        <v>0</v>
      </c>
    </row>
    <row r="120" spans="1:4" x14ac:dyDescent="0.25">
      <c r="A120" s="11">
        <v>26</v>
      </c>
      <c r="B120" s="11" t="s">
        <v>18</v>
      </c>
      <c r="C120" s="11">
        <v>2030</v>
      </c>
      <c r="D120" s="41">
        <f>SUMIFS(Registre!$P$3:$P$15000,Registre!$A$3:$A$15000,26,Registre!$B$3:$B$15000,"avril",Registre!$C$3:$C$15000,2030)</f>
        <v>0</v>
      </c>
    </row>
    <row r="121" spans="1:4" x14ac:dyDescent="0.25">
      <c r="A121" s="11">
        <v>27</v>
      </c>
      <c r="B121" s="11" t="s">
        <v>18</v>
      </c>
      <c r="C121" s="11">
        <v>2030</v>
      </c>
      <c r="D121" s="41">
        <f>SUMIFS(Registre!$P$3:$P$15000,Registre!$A$3:$A$15000,27,Registre!$B$3:$B$15000,"avril",Registre!$C$3:$C$15000,2030)</f>
        <v>0</v>
      </c>
    </row>
    <row r="122" spans="1:4" x14ac:dyDescent="0.25">
      <c r="A122" s="11">
        <v>28</v>
      </c>
      <c r="B122" s="11" t="s">
        <v>18</v>
      </c>
      <c r="C122" s="11">
        <v>2030</v>
      </c>
      <c r="D122" s="41">
        <f>SUMIFS(Registre!$P$3:$P$15000,Registre!$A$3:$A$15000,28,Registre!$B$3:$B$15000,"avril",Registre!$C$3:$C$15000,2030)</f>
        <v>0</v>
      </c>
    </row>
    <row r="123" spans="1:4" x14ac:dyDescent="0.25">
      <c r="A123" s="11">
        <v>29</v>
      </c>
      <c r="B123" s="11" t="s">
        <v>18</v>
      </c>
      <c r="C123" s="11">
        <v>2030</v>
      </c>
      <c r="D123" s="41">
        <f>SUMIFS(Registre!$P$3:$P$15000,Registre!$A$3:$A$15000,29,Registre!$B$3:$B$15000,"avril",Registre!$C$3:$C$15000,2030)</f>
        <v>0</v>
      </c>
    </row>
    <row r="124" spans="1:4" x14ac:dyDescent="0.25">
      <c r="A124" s="11">
        <v>30</v>
      </c>
      <c r="B124" s="11" t="s">
        <v>18</v>
      </c>
      <c r="C124" s="11">
        <v>2030</v>
      </c>
      <c r="D124" s="41">
        <f>SUMIFS(Registre!$P$3:$P$15000,Registre!$A$3:$A$15000,30,Registre!$B$3:$B$15000,"avril",Registre!$C$3:$C$15000,2030)</f>
        <v>0</v>
      </c>
    </row>
    <row r="125" spans="1:4" x14ac:dyDescent="0.25">
      <c r="A125" s="10">
        <v>1</v>
      </c>
      <c r="B125" s="10" t="s">
        <v>19</v>
      </c>
      <c r="C125" s="10">
        <v>2030</v>
      </c>
      <c r="D125" s="40">
        <f>SUMIFS(Registre!$P$3:$P$15000,Registre!$A$3:$A$15000,1,Registre!$B$3:$B$15000,"mai",Registre!$C$3:$C$15000,2030)</f>
        <v>0</v>
      </c>
    </row>
    <row r="126" spans="1:4" x14ac:dyDescent="0.25">
      <c r="A126" s="10">
        <v>2</v>
      </c>
      <c r="B126" s="10" t="s">
        <v>19</v>
      </c>
      <c r="C126" s="10">
        <v>2030</v>
      </c>
      <c r="D126" s="40">
        <f>SUMIFS(Registre!$P$3:$P$15000,Registre!$A$3:$A$15000,2,Registre!$B$3:$B$15000,"mai",Registre!$C$3:$C$15000,2030)</f>
        <v>0</v>
      </c>
    </row>
    <row r="127" spans="1:4" x14ac:dyDescent="0.25">
      <c r="A127" s="10">
        <v>3</v>
      </c>
      <c r="B127" s="10" t="s">
        <v>19</v>
      </c>
      <c r="C127" s="10">
        <v>2030</v>
      </c>
      <c r="D127" s="40">
        <f>SUMIFS(Registre!$P$3:$P$15000,Registre!$A$3:$A$15000,3,Registre!$B$3:$B$15000,"mai",Registre!$C$3:$C$15000,2030)</f>
        <v>0</v>
      </c>
    </row>
    <row r="128" spans="1:4" x14ac:dyDescent="0.25">
      <c r="A128" s="10">
        <v>4</v>
      </c>
      <c r="B128" s="10" t="s">
        <v>19</v>
      </c>
      <c r="C128" s="10">
        <v>2030</v>
      </c>
      <c r="D128" s="40">
        <f>SUMIFS(Registre!$P$3:$P$15000,Registre!$A$3:$A$15000,4,Registre!$B$3:$B$15000,"mai",Registre!$C$3:$C$15000,2030)</f>
        <v>0</v>
      </c>
    </row>
    <row r="129" spans="1:4" x14ac:dyDescent="0.25">
      <c r="A129" s="10">
        <v>5</v>
      </c>
      <c r="B129" s="10" t="s">
        <v>19</v>
      </c>
      <c r="C129" s="10">
        <v>2030</v>
      </c>
      <c r="D129" s="40">
        <f>SUMIFS(Registre!$P$3:$P$15000,Registre!$A$3:$A$15000,5,Registre!$B$3:$B$15000,"mai",Registre!$C$3:$C$15000,2030)</f>
        <v>0</v>
      </c>
    </row>
    <row r="130" spans="1:4" x14ac:dyDescent="0.25">
      <c r="A130" s="10">
        <v>6</v>
      </c>
      <c r="B130" s="10" t="s">
        <v>19</v>
      </c>
      <c r="C130" s="10">
        <v>2030</v>
      </c>
      <c r="D130" s="40">
        <f>SUMIFS(Registre!$P$3:$P$15000,Registre!$A$3:$A$15000,6,Registre!$B$3:$B$15000,"mai",Registre!$C$3:$C$15000,2030)</f>
        <v>0</v>
      </c>
    </row>
    <row r="131" spans="1:4" x14ac:dyDescent="0.25">
      <c r="A131" s="10">
        <v>7</v>
      </c>
      <c r="B131" s="10" t="s">
        <v>19</v>
      </c>
      <c r="C131" s="10">
        <v>2030</v>
      </c>
      <c r="D131" s="40">
        <f>SUMIFS(Registre!$P$3:$P$15000,Registre!$A$3:$A$15000,7,Registre!$B$3:$B$15000,"mai",Registre!$C$3:$C$15000,2030)</f>
        <v>0</v>
      </c>
    </row>
    <row r="132" spans="1:4" x14ac:dyDescent="0.25">
      <c r="A132" s="10">
        <v>8</v>
      </c>
      <c r="B132" s="10" t="s">
        <v>19</v>
      </c>
      <c r="C132" s="10">
        <v>2030</v>
      </c>
      <c r="D132" s="40">
        <f>SUMIFS(Registre!$P$3:$P$15000,Registre!$A$3:$A$15000,8,Registre!$B$3:$B$15000,"mai",Registre!$C$3:$C$15000,2030)</f>
        <v>0</v>
      </c>
    </row>
    <row r="133" spans="1:4" x14ac:dyDescent="0.25">
      <c r="A133" s="10">
        <v>9</v>
      </c>
      <c r="B133" s="10" t="s">
        <v>19</v>
      </c>
      <c r="C133" s="10">
        <v>2030</v>
      </c>
      <c r="D133" s="40">
        <f>SUMIFS(Registre!$P$3:$P$15000,Registre!$A$3:$A$15000,9,Registre!$B$3:$B$15000,"mai",Registre!$C$3:$C$15000,2030)</f>
        <v>0</v>
      </c>
    </row>
    <row r="134" spans="1:4" x14ac:dyDescent="0.25">
      <c r="A134" s="10">
        <v>10</v>
      </c>
      <c r="B134" s="10" t="s">
        <v>19</v>
      </c>
      <c r="C134" s="10">
        <v>2030</v>
      </c>
      <c r="D134" s="40">
        <f>SUMIFS(Registre!$P$3:$P$15000,Registre!$A$3:$A$15000,10,Registre!$B$3:$B$15000,"mai",Registre!$C$3:$C$15000,2030)</f>
        <v>0</v>
      </c>
    </row>
    <row r="135" spans="1:4" x14ac:dyDescent="0.25">
      <c r="A135" s="10">
        <v>11</v>
      </c>
      <c r="B135" s="10" t="s">
        <v>19</v>
      </c>
      <c r="C135" s="10">
        <v>2030</v>
      </c>
      <c r="D135" s="40">
        <f>SUMIFS(Registre!$P$3:$P$15000,Registre!$A$3:$A$15000,11,Registre!$B$3:$B$15000,"mai",Registre!$C$3:$C$15000,2030)</f>
        <v>0</v>
      </c>
    </row>
    <row r="136" spans="1:4" x14ac:dyDescent="0.25">
      <c r="A136" s="10">
        <v>12</v>
      </c>
      <c r="B136" s="10" t="s">
        <v>19</v>
      </c>
      <c r="C136" s="10">
        <v>2030</v>
      </c>
      <c r="D136" s="40">
        <f>SUMIFS(Registre!$P$3:$P$15000,Registre!$A$3:$A$15000,12,Registre!$B$3:$B$15000,"mai",Registre!$C$3:$C$15000,2030)</f>
        <v>0</v>
      </c>
    </row>
    <row r="137" spans="1:4" x14ac:dyDescent="0.25">
      <c r="A137" s="10">
        <v>13</v>
      </c>
      <c r="B137" s="10" t="s">
        <v>19</v>
      </c>
      <c r="C137" s="10">
        <v>2030</v>
      </c>
      <c r="D137" s="40">
        <f>SUMIFS(Registre!$P$3:$P$15000,Registre!$A$3:$A$15000,13,Registre!$B$3:$B$15000,"mai",Registre!$C$3:$C$15000,2030)</f>
        <v>0</v>
      </c>
    </row>
    <row r="138" spans="1:4" x14ac:dyDescent="0.25">
      <c r="A138" s="10">
        <v>14</v>
      </c>
      <c r="B138" s="10" t="s">
        <v>19</v>
      </c>
      <c r="C138" s="10">
        <v>2030</v>
      </c>
      <c r="D138" s="40">
        <f>SUMIFS(Registre!$P$3:$P$15000,Registre!$A$3:$A$15000,14,Registre!$B$3:$B$15000,"mai",Registre!$C$3:$C$15000,2030)</f>
        <v>0</v>
      </c>
    </row>
    <row r="139" spans="1:4" x14ac:dyDescent="0.25">
      <c r="A139" s="10">
        <v>15</v>
      </c>
      <c r="B139" s="10" t="s">
        <v>19</v>
      </c>
      <c r="C139" s="10">
        <v>2030</v>
      </c>
      <c r="D139" s="40">
        <f>SUMIFS(Registre!$P$3:$P$15000,Registre!$A$3:$A$15000,15,Registre!$B$3:$B$15000,"mai",Registre!$C$3:$C$15000,2030)</f>
        <v>0</v>
      </c>
    </row>
    <row r="140" spans="1:4" x14ac:dyDescent="0.25">
      <c r="A140" s="10">
        <v>16</v>
      </c>
      <c r="B140" s="10" t="s">
        <v>19</v>
      </c>
      <c r="C140" s="10">
        <v>2030</v>
      </c>
      <c r="D140" s="40">
        <f>SUMIFS(Registre!$P$3:$P$15000,Registre!$A$3:$A$15000,16,Registre!$B$3:$B$15000,"mai",Registre!$C$3:$C$15000,2030)</f>
        <v>0</v>
      </c>
    </row>
    <row r="141" spans="1:4" x14ac:dyDescent="0.25">
      <c r="A141" s="10">
        <v>17</v>
      </c>
      <c r="B141" s="10" t="s">
        <v>19</v>
      </c>
      <c r="C141" s="10">
        <v>2030</v>
      </c>
      <c r="D141" s="40">
        <f>SUMIFS(Registre!$P$3:$P$15000,Registre!$A$3:$A$15000,17,Registre!$B$3:$B$15000,"mai",Registre!$C$3:$C$15000,2030)</f>
        <v>0</v>
      </c>
    </row>
    <row r="142" spans="1:4" x14ac:dyDescent="0.25">
      <c r="A142" s="10">
        <v>18</v>
      </c>
      <c r="B142" s="10" t="s">
        <v>19</v>
      </c>
      <c r="C142" s="10">
        <v>2030</v>
      </c>
      <c r="D142" s="40">
        <f>SUMIFS(Registre!$P$3:$P$15000,Registre!$A$3:$A$15000,18,Registre!$B$3:$B$15000,"mai",Registre!$C$3:$C$15000,2030)</f>
        <v>0</v>
      </c>
    </row>
    <row r="143" spans="1:4" x14ac:dyDescent="0.25">
      <c r="A143" s="10">
        <v>19</v>
      </c>
      <c r="B143" s="10" t="s">
        <v>19</v>
      </c>
      <c r="C143" s="10">
        <v>2030</v>
      </c>
      <c r="D143" s="40">
        <f>SUMIFS(Registre!$P$3:$P$15000,Registre!$A$3:$A$15000,19,Registre!$B$3:$B$15000,"mai",Registre!$C$3:$C$15000,2030)</f>
        <v>0</v>
      </c>
    </row>
    <row r="144" spans="1:4" x14ac:dyDescent="0.25">
      <c r="A144" s="10">
        <v>20</v>
      </c>
      <c r="B144" s="10" t="s">
        <v>19</v>
      </c>
      <c r="C144" s="10">
        <v>2030</v>
      </c>
      <c r="D144" s="40">
        <f>SUMIFS(Registre!$P$3:$P$15000,Registre!$A$3:$A$15000,20,Registre!$B$3:$B$15000,"mai",Registre!$C$3:$C$15000,2030)</f>
        <v>0</v>
      </c>
    </row>
    <row r="145" spans="1:4" x14ac:dyDescent="0.25">
      <c r="A145" s="10">
        <v>21</v>
      </c>
      <c r="B145" s="10" t="s">
        <v>19</v>
      </c>
      <c r="C145" s="10">
        <v>2030</v>
      </c>
      <c r="D145" s="40">
        <f>SUMIFS(Registre!$P$3:$P$15000,Registre!$A$3:$A$15000,21,Registre!$B$3:$B$15000,"mai",Registre!$C$3:$C$15000,2030)</f>
        <v>0</v>
      </c>
    </row>
    <row r="146" spans="1:4" x14ac:dyDescent="0.25">
      <c r="A146" s="10">
        <v>22</v>
      </c>
      <c r="B146" s="10" t="s">
        <v>19</v>
      </c>
      <c r="C146" s="10">
        <v>2030</v>
      </c>
      <c r="D146" s="40">
        <f>SUMIFS(Registre!$P$3:$P$15000,Registre!$A$3:$A$15000,22,Registre!$B$3:$B$15000,"mai",Registre!$C$3:$C$15000,2030)</f>
        <v>0</v>
      </c>
    </row>
    <row r="147" spans="1:4" x14ac:dyDescent="0.25">
      <c r="A147" s="10">
        <v>23</v>
      </c>
      <c r="B147" s="10" t="s">
        <v>19</v>
      </c>
      <c r="C147" s="10">
        <v>2030</v>
      </c>
      <c r="D147" s="40">
        <f>SUMIFS(Registre!$P$3:$P$15000,Registre!$A$3:$A$15000,23,Registre!$B$3:$B$15000,"mai",Registre!$C$3:$C$15000,2030)</f>
        <v>0</v>
      </c>
    </row>
    <row r="148" spans="1:4" x14ac:dyDescent="0.25">
      <c r="A148" s="10">
        <v>24</v>
      </c>
      <c r="B148" s="10" t="s">
        <v>19</v>
      </c>
      <c r="C148" s="10">
        <v>2030</v>
      </c>
      <c r="D148" s="40">
        <f>SUMIFS(Registre!$P$3:$P$15000,Registre!$A$3:$A$15000,24,Registre!$B$3:$B$15000,"mai",Registre!$C$3:$C$15000,2030)</f>
        <v>0</v>
      </c>
    </row>
    <row r="149" spans="1:4" x14ac:dyDescent="0.25">
      <c r="A149" s="10">
        <v>25</v>
      </c>
      <c r="B149" s="10" t="s">
        <v>19</v>
      </c>
      <c r="C149" s="10">
        <v>2030</v>
      </c>
      <c r="D149" s="40">
        <f>SUMIFS(Registre!$P$3:$P$15000,Registre!$A$3:$A$15000,25,Registre!$B$3:$B$15000,"mai",Registre!$C$3:$C$15000,2030)</f>
        <v>0</v>
      </c>
    </row>
    <row r="150" spans="1:4" x14ac:dyDescent="0.25">
      <c r="A150" s="10">
        <v>26</v>
      </c>
      <c r="B150" s="10" t="s">
        <v>19</v>
      </c>
      <c r="C150" s="10">
        <v>2030</v>
      </c>
      <c r="D150" s="40">
        <f>SUMIFS(Registre!$P$3:$P$15000,Registre!$A$3:$A$15000,26,Registre!$B$3:$B$15000,"mai",Registre!$C$3:$C$15000,2030)</f>
        <v>0</v>
      </c>
    </row>
    <row r="151" spans="1:4" x14ac:dyDescent="0.25">
      <c r="A151" s="10">
        <v>27</v>
      </c>
      <c r="B151" s="10" t="s">
        <v>19</v>
      </c>
      <c r="C151" s="10">
        <v>2030</v>
      </c>
      <c r="D151" s="40">
        <f>SUMIFS(Registre!$P$3:$P$15000,Registre!$A$3:$A$15000,27,Registre!$B$3:$B$15000,"mai",Registre!$C$3:$C$15000,2030)</f>
        <v>0</v>
      </c>
    </row>
    <row r="152" spans="1:4" x14ac:dyDescent="0.25">
      <c r="A152" s="10">
        <v>28</v>
      </c>
      <c r="B152" s="10" t="s">
        <v>19</v>
      </c>
      <c r="C152" s="10">
        <v>2030</v>
      </c>
      <c r="D152" s="40">
        <f>SUMIFS(Registre!$P$3:$P$15000,Registre!$A$3:$A$15000,28,Registre!$B$3:$B$15000,"mai",Registre!$C$3:$C$15000,2030)</f>
        <v>0</v>
      </c>
    </row>
    <row r="153" spans="1:4" x14ac:dyDescent="0.25">
      <c r="A153" s="10">
        <v>29</v>
      </c>
      <c r="B153" s="10" t="s">
        <v>19</v>
      </c>
      <c r="C153" s="10">
        <v>2030</v>
      </c>
      <c r="D153" s="40">
        <f>SUMIFS(Registre!$P$3:$P$15000,Registre!$A$3:$A$15000,29,Registre!$B$3:$B$15000,"mai",Registre!$C$3:$C$15000,2030)</f>
        <v>0</v>
      </c>
    </row>
    <row r="154" spans="1:4" x14ac:dyDescent="0.25">
      <c r="A154" s="10">
        <v>30</v>
      </c>
      <c r="B154" s="10" t="s">
        <v>19</v>
      </c>
      <c r="C154" s="10">
        <v>2030</v>
      </c>
      <c r="D154" s="40">
        <f>SUMIFS(Registre!$P$3:$P$15000,Registre!$A$3:$A$15000,30,Registre!$B$3:$B$15000,"mai",Registre!$C$3:$C$15000,2030)</f>
        <v>0</v>
      </c>
    </row>
    <row r="155" spans="1:4" x14ac:dyDescent="0.25">
      <c r="A155" s="10">
        <v>31</v>
      </c>
      <c r="B155" s="10" t="s">
        <v>19</v>
      </c>
      <c r="C155" s="10">
        <v>2030</v>
      </c>
      <c r="D155" s="40">
        <f>SUMIFS(Registre!$P$3:$P$15000,Registre!$A$3:$A$15000,31,Registre!$B$3:$B$15000,"mai",Registre!$C$3:$C$15000,2030)</f>
        <v>0</v>
      </c>
    </row>
    <row r="156" spans="1:4" x14ac:dyDescent="0.25">
      <c r="A156" s="11">
        <v>1</v>
      </c>
      <c r="B156" s="11" t="s">
        <v>20</v>
      </c>
      <c r="C156" s="11">
        <v>2030</v>
      </c>
      <c r="D156" s="41">
        <f>SUMIFS(Registre!$P$3:$P$15000,Registre!$A$3:$A$15000,1,Registre!$B$3:$B$15000,"juin",Registre!$C$3:$C$15000,2030)</f>
        <v>0</v>
      </c>
    </row>
    <row r="157" spans="1:4" x14ac:dyDescent="0.25">
      <c r="A157" s="11">
        <v>2</v>
      </c>
      <c r="B157" s="11" t="s">
        <v>20</v>
      </c>
      <c r="C157" s="11">
        <v>2030</v>
      </c>
      <c r="D157" s="41">
        <f>SUMIFS(Registre!$P$3:$P$15000,Registre!$A$3:$A$15000,2,Registre!$B$3:$B$15000,"juin",Registre!$C$3:$C$15000,2030)</f>
        <v>0</v>
      </c>
    </row>
    <row r="158" spans="1:4" x14ac:dyDescent="0.25">
      <c r="A158" s="11">
        <v>3</v>
      </c>
      <c r="B158" s="11" t="s">
        <v>20</v>
      </c>
      <c r="C158" s="11">
        <v>2030</v>
      </c>
      <c r="D158" s="41">
        <f>SUMIFS(Registre!$P$3:$P$15000,Registre!$A$3:$A$15000,3,Registre!$B$3:$B$15000,"juin",Registre!$C$3:$C$15000,2030)</f>
        <v>0</v>
      </c>
    </row>
    <row r="159" spans="1:4" x14ac:dyDescent="0.25">
      <c r="A159" s="11">
        <v>4</v>
      </c>
      <c r="B159" s="11" t="s">
        <v>20</v>
      </c>
      <c r="C159" s="11">
        <v>2030</v>
      </c>
      <c r="D159" s="41">
        <f>SUMIFS(Registre!$P$3:$P$15000,Registre!$A$3:$A$15000,4,Registre!$B$3:$B$15000,"juin",Registre!$C$3:$C$15000,2030)</f>
        <v>0</v>
      </c>
    </row>
    <row r="160" spans="1:4" x14ac:dyDescent="0.25">
      <c r="A160" s="11">
        <v>5</v>
      </c>
      <c r="B160" s="11" t="s">
        <v>20</v>
      </c>
      <c r="C160" s="11">
        <v>2030</v>
      </c>
      <c r="D160" s="41">
        <f>SUMIFS(Registre!$P$3:$P$15000,Registre!$A$3:$A$15000,5,Registre!$B$3:$B$15000,"juin",Registre!$C$3:$C$15000,2030)</f>
        <v>0</v>
      </c>
    </row>
    <row r="161" spans="1:4" x14ac:dyDescent="0.25">
      <c r="A161" s="11">
        <v>6</v>
      </c>
      <c r="B161" s="11" t="s">
        <v>20</v>
      </c>
      <c r="C161" s="11">
        <v>2030</v>
      </c>
      <c r="D161" s="41">
        <f>SUMIFS(Registre!$P$3:$P$15000,Registre!$A$3:$A$15000,6,Registre!$B$3:$B$15000,"juin",Registre!$C$3:$C$15000,2030)</f>
        <v>0</v>
      </c>
    </row>
    <row r="162" spans="1:4" x14ac:dyDescent="0.25">
      <c r="A162" s="11">
        <v>7</v>
      </c>
      <c r="B162" s="11" t="s">
        <v>20</v>
      </c>
      <c r="C162" s="11">
        <v>2030</v>
      </c>
      <c r="D162" s="41">
        <f>SUMIFS(Registre!$P$3:$P$15000,Registre!$A$3:$A$15000,7,Registre!$B$3:$B$15000,"juin",Registre!$C$3:$C$15000,2030)</f>
        <v>0</v>
      </c>
    </row>
    <row r="163" spans="1:4" x14ac:dyDescent="0.25">
      <c r="A163" s="11">
        <v>8</v>
      </c>
      <c r="B163" s="11" t="s">
        <v>20</v>
      </c>
      <c r="C163" s="11">
        <v>2030</v>
      </c>
      <c r="D163" s="41">
        <f>SUMIFS(Registre!$P$3:$P$15000,Registre!$A$3:$A$15000,8,Registre!$B$3:$B$15000,"juin",Registre!$C$3:$C$15000,2030)</f>
        <v>0</v>
      </c>
    </row>
    <row r="164" spans="1:4" x14ac:dyDescent="0.25">
      <c r="A164" s="11">
        <v>9</v>
      </c>
      <c r="B164" s="11" t="s">
        <v>20</v>
      </c>
      <c r="C164" s="11">
        <v>2030</v>
      </c>
      <c r="D164" s="41">
        <f>SUMIFS(Registre!$P$3:$P$15000,Registre!$A$3:$A$15000,9,Registre!$B$3:$B$15000,"juin",Registre!$C$3:$C$15000,2030)</f>
        <v>0</v>
      </c>
    </row>
    <row r="165" spans="1:4" x14ac:dyDescent="0.25">
      <c r="A165" s="11">
        <v>10</v>
      </c>
      <c r="B165" s="11" t="s">
        <v>20</v>
      </c>
      <c r="C165" s="11">
        <v>2030</v>
      </c>
      <c r="D165" s="41">
        <f>SUMIFS(Registre!$P$3:$P$15000,Registre!$A$3:$A$15000,10,Registre!$B$3:$B$15000,"juin",Registre!$C$3:$C$15000,2030)</f>
        <v>0</v>
      </c>
    </row>
    <row r="166" spans="1:4" x14ac:dyDescent="0.25">
      <c r="A166" s="11">
        <v>11</v>
      </c>
      <c r="B166" s="11" t="s">
        <v>20</v>
      </c>
      <c r="C166" s="11">
        <v>2030</v>
      </c>
      <c r="D166" s="41">
        <f>SUMIFS(Registre!$P$3:$P$15000,Registre!$A$3:$A$15000,11,Registre!$B$3:$B$15000,"juin",Registre!$C$3:$C$15000,2030)</f>
        <v>0</v>
      </c>
    </row>
    <row r="167" spans="1:4" x14ac:dyDescent="0.25">
      <c r="A167" s="11">
        <v>12</v>
      </c>
      <c r="B167" s="11" t="s">
        <v>20</v>
      </c>
      <c r="C167" s="11">
        <v>2030</v>
      </c>
      <c r="D167" s="41">
        <f>SUMIFS(Registre!$P$3:$P$15000,Registre!$A$3:$A$15000,12,Registre!$B$3:$B$15000,"juin",Registre!$C$3:$C$15000,2030)</f>
        <v>0</v>
      </c>
    </row>
    <row r="168" spans="1:4" x14ac:dyDescent="0.25">
      <c r="A168" s="11">
        <v>13</v>
      </c>
      <c r="B168" s="11" t="s">
        <v>20</v>
      </c>
      <c r="C168" s="11">
        <v>2030</v>
      </c>
      <c r="D168" s="41">
        <f>SUMIFS(Registre!$P$3:$P$15000,Registre!$A$3:$A$15000,13,Registre!$B$3:$B$15000,"juin",Registre!$C$3:$C$15000,2030)</f>
        <v>0</v>
      </c>
    </row>
    <row r="169" spans="1:4" x14ac:dyDescent="0.25">
      <c r="A169" s="11">
        <v>14</v>
      </c>
      <c r="B169" s="11" t="s">
        <v>20</v>
      </c>
      <c r="C169" s="11">
        <v>2030</v>
      </c>
      <c r="D169" s="41">
        <f>SUMIFS(Registre!$P$3:$P$15000,Registre!$A$3:$A$15000,14,Registre!$B$3:$B$15000,"juin",Registre!$C$3:$C$15000,2030)</f>
        <v>0</v>
      </c>
    </row>
    <row r="170" spans="1:4" x14ac:dyDescent="0.25">
      <c r="A170" s="11">
        <v>15</v>
      </c>
      <c r="B170" s="11" t="s">
        <v>20</v>
      </c>
      <c r="C170" s="11">
        <v>2030</v>
      </c>
      <c r="D170" s="41">
        <f>SUMIFS(Registre!$P$3:$P$15000,Registre!$A$3:$A$15000,15,Registre!$B$3:$B$15000,"juin",Registre!$C$3:$C$15000,2030)</f>
        <v>0</v>
      </c>
    </row>
    <row r="171" spans="1:4" x14ac:dyDescent="0.25">
      <c r="A171" s="11">
        <v>16</v>
      </c>
      <c r="B171" s="11" t="s">
        <v>20</v>
      </c>
      <c r="C171" s="11">
        <v>2030</v>
      </c>
      <c r="D171" s="41">
        <f>SUMIFS(Registre!$P$3:$P$15000,Registre!$A$3:$A$15000,16,Registre!$B$3:$B$15000,"juin",Registre!$C$3:$C$15000,2030)</f>
        <v>0</v>
      </c>
    </row>
    <row r="172" spans="1:4" x14ac:dyDescent="0.25">
      <c r="A172" s="11">
        <v>17</v>
      </c>
      <c r="B172" s="11" t="s">
        <v>20</v>
      </c>
      <c r="C172" s="11">
        <v>2030</v>
      </c>
      <c r="D172" s="41">
        <f>SUMIFS(Registre!$P$3:$P$15000,Registre!$A$3:$A$15000,17,Registre!$B$3:$B$15000,"juin",Registre!$C$3:$C$15000,2030)</f>
        <v>0</v>
      </c>
    </row>
    <row r="173" spans="1:4" x14ac:dyDescent="0.25">
      <c r="A173" s="11">
        <v>18</v>
      </c>
      <c r="B173" s="11" t="s">
        <v>20</v>
      </c>
      <c r="C173" s="11">
        <v>2030</v>
      </c>
      <c r="D173" s="41">
        <f>SUMIFS(Registre!$P$3:$P$15000,Registre!$A$3:$A$15000,18,Registre!$B$3:$B$15000,"juin",Registre!$C$3:$C$15000,2030)</f>
        <v>0</v>
      </c>
    </row>
    <row r="174" spans="1:4" x14ac:dyDescent="0.25">
      <c r="A174" s="11">
        <v>19</v>
      </c>
      <c r="B174" s="11" t="s">
        <v>20</v>
      </c>
      <c r="C174" s="11">
        <v>2030</v>
      </c>
      <c r="D174" s="41">
        <f>SUMIFS(Registre!$P$3:$P$15000,Registre!$A$3:$A$15000,19,Registre!$B$3:$B$15000,"juin",Registre!$C$3:$C$15000,2030)</f>
        <v>0</v>
      </c>
    </row>
    <row r="175" spans="1:4" x14ac:dyDescent="0.25">
      <c r="A175" s="11">
        <v>20</v>
      </c>
      <c r="B175" s="11" t="s">
        <v>20</v>
      </c>
      <c r="C175" s="11">
        <v>2030</v>
      </c>
      <c r="D175" s="41">
        <f>SUMIFS(Registre!$P$3:$P$15000,Registre!$A$3:$A$15000,20,Registre!$B$3:$B$15000,"juin",Registre!$C$3:$C$15000,2030)</f>
        <v>0</v>
      </c>
    </row>
    <row r="176" spans="1:4" x14ac:dyDescent="0.25">
      <c r="A176" s="11">
        <v>21</v>
      </c>
      <c r="B176" s="11" t="s">
        <v>20</v>
      </c>
      <c r="C176" s="11">
        <v>2030</v>
      </c>
      <c r="D176" s="41">
        <f>SUMIFS(Registre!$P$3:$P$15000,Registre!$A$3:$A$15000,21,Registre!$B$3:$B$15000,"juin",Registre!$C$3:$C$15000,2030)</f>
        <v>0</v>
      </c>
    </row>
    <row r="177" spans="1:4" x14ac:dyDescent="0.25">
      <c r="A177" s="11">
        <v>22</v>
      </c>
      <c r="B177" s="11" t="s">
        <v>20</v>
      </c>
      <c r="C177" s="11">
        <v>2030</v>
      </c>
      <c r="D177" s="41">
        <f>SUMIFS(Registre!$P$3:$P$15000,Registre!$A$3:$A$15000,22,Registre!$B$3:$B$15000,"juin",Registre!$C$3:$C$15000,2030)</f>
        <v>0</v>
      </c>
    </row>
    <row r="178" spans="1:4" x14ac:dyDescent="0.25">
      <c r="A178" s="11">
        <v>23</v>
      </c>
      <c r="B178" s="11" t="s">
        <v>20</v>
      </c>
      <c r="C178" s="11">
        <v>2030</v>
      </c>
      <c r="D178" s="41">
        <f>SUMIFS(Registre!$P$3:$P$15000,Registre!$A$3:$A$15000,23,Registre!$B$3:$B$15000,"juin",Registre!$C$3:$C$15000,2030)</f>
        <v>0</v>
      </c>
    </row>
    <row r="179" spans="1:4" x14ac:dyDescent="0.25">
      <c r="A179" s="11">
        <v>24</v>
      </c>
      <c r="B179" s="11" t="s">
        <v>20</v>
      </c>
      <c r="C179" s="11">
        <v>2030</v>
      </c>
      <c r="D179" s="41">
        <f>SUMIFS(Registre!$P$3:$P$15000,Registre!$A$3:$A$15000,24,Registre!$B$3:$B$15000,"juin",Registre!$C$3:$C$15000,2030)</f>
        <v>0</v>
      </c>
    </row>
    <row r="180" spans="1:4" x14ac:dyDescent="0.25">
      <c r="A180" s="11">
        <v>25</v>
      </c>
      <c r="B180" s="11" t="s">
        <v>20</v>
      </c>
      <c r="C180" s="11">
        <v>2030</v>
      </c>
      <c r="D180" s="41">
        <f>SUMIFS(Registre!$P$3:$P$15000,Registre!$A$3:$A$15000,25,Registre!$B$3:$B$15000,"juin",Registre!$C$3:$C$15000,2030)</f>
        <v>0</v>
      </c>
    </row>
    <row r="181" spans="1:4" x14ac:dyDescent="0.25">
      <c r="A181" s="11">
        <v>26</v>
      </c>
      <c r="B181" s="11" t="s">
        <v>20</v>
      </c>
      <c r="C181" s="11">
        <v>2030</v>
      </c>
      <c r="D181" s="41">
        <f>SUMIFS(Registre!$P$3:$P$15000,Registre!$A$3:$A$15000,26,Registre!$B$3:$B$15000,"juin",Registre!$C$3:$C$15000,2030)</f>
        <v>0</v>
      </c>
    </row>
    <row r="182" spans="1:4" x14ac:dyDescent="0.25">
      <c r="A182" s="11">
        <v>27</v>
      </c>
      <c r="B182" s="11" t="s">
        <v>20</v>
      </c>
      <c r="C182" s="11">
        <v>2030</v>
      </c>
      <c r="D182" s="41">
        <f>SUMIFS(Registre!$P$3:$P$15000,Registre!$A$3:$A$15000,27,Registre!$B$3:$B$15000,"juin",Registre!$C$3:$C$15000,2030)</f>
        <v>0</v>
      </c>
    </row>
    <row r="183" spans="1:4" x14ac:dyDescent="0.25">
      <c r="A183" s="11">
        <v>28</v>
      </c>
      <c r="B183" s="11" t="s">
        <v>20</v>
      </c>
      <c r="C183" s="11">
        <v>2030</v>
      </c>
      <c r="D183" s="41">
        <f>SUMIFS(Registre!$P$3:$P$15000,Registre!$A$3:$A$15000,28,Registre!$B$3:$B$15000,"juin",Registre!$C$3:$C$15000,2030)</f>
        <v>0</v>
      </c>
    </row>
    <row r="184" spans="1:4" x14ac:dyDescent="0.25">
      <c r="A184" s="11">
        <v>29</v>
      </c>
      <c r="B184" s="11" t="s">
        <v>20</v>
      </c>
      <c r="C184" s="11">
        <v>2030</v>
      </c>
      <c r="D184" s="41">
        <f>SUMIFS(Registre!$P$3:$P$15000,Registre!$A$3:$A$15000,29,Registre!$B$3:$B$15000,"juin",Registre!$C$3:$C$15000,2030)</f>
        <v>0</v>
      </c>
    </row>
    <row r="185" spans="1:4" x14ac:dyDescent="0.25">
      <c r="A185" s="11">
        <v>30</v>
      </c>
      <c r="B185" s="11" t="s">
        <v>20</v>
      </c>
      <c r="C185" s="11">
        <v>2030</v>
      </c>
      <c r="D185" s="41">
        <f>SUMIFS(Registre!$P$3:$P$15000,Registre!$A$3:$A$15000,30,Registre!$B$3:$B$15000,"juin",Registre!$C$3:$C$15000,2030)</f>
        <v>0</v>
      </c>
    </row>
    <row r="186" spans="1:4" x14ac:dyDescent="0.25">
      <c r="A186" s="10">
        <v>1</v>
      </c>
      <c r="B186" s="10" t="s">
        <v>21</v>
      </c>
      <c r="C186" s="10">
        <v>2030</v>
      </c>
      <c r="D186" s="40">
        <f>SUMIFS(Registre!$P$3:$P$15000,Registre!$A$3:$A$15000,1,Registre!$B$3:$B$15000,"juillet",Registre!$C$3:$C$15000,2030)</f>
        <v>0</v>
      </c>
    </row>
    <row r="187" spans="1:4" x14ac:dyDescent="0.25">
      <c r="A187" s="10">
        <v>2</v>
      </c>
      <c r="B187" s="10" t="s">
        <v>21</v>
      </c>
      <c r="C187" s="10">
        <v>2030</v>
      </c>
      <c r="D187" s="40">
        <f>SUMIFS(Registre!$P$3:$P$15000,Registre!$A$3:$A$15000,2,Registre!$B$3:$B$15000,"juillet",Registre!$C$3:$C$15000,2030)</f>
        <v>0</v>
      </c>
    </row>
    <row r="188" spans="1:4" x14ac:dyDescent="0.25">
      <c r="A188" s="10">
        <v>3</v>
      </c>
      <c r="B188" s="10" t="s">
        <v>21</v>
      </c>
      <c r="C188" s="10">
        <v>2030</v>
      </c>
      <c r="D188" s="40">
        <f>SUMIFS(Registre!$P$3:$P$15000,Registre!$A$3:$A$15000,3,Registre!$B$3:$B$15000,"juillet",Registre!$C$3:$C$15000,2030)</f>
        <v>0</v>
      </c>
    </row>
    <row r="189" spans="1:4" x14ac:dyDescent="0.25">
      <c r="A189" s="10">
        <v>4</v>
      </c>
      <c r="B189" s="10" t="s">
        <v>21</v>
      </c>
      <c r="C189" s="10">
        <v>2030</v>
      </c>
      <c r="D189" s="40">
        <f>SUMIFS(Registre!$P$3:$P$15000,Registre!$A$3:$A$15000,4,Registre!$B$3:$B$15000,"juillet",Registre!$C$3:$C$15000,2030)</f>
        <v>0</v>
      </c>
    </row>
    <row r="190" spans="1:4" x14ac:dyDescent="0.25">
      <c r="A190" s="10">
        <v>5</v>
      </c>
      <c r="B190" s="10" t="s">
        <v>21</v>
      </c>
      <c r="C190" s="10">
        <v>2030</v>
      </c>
      <c r="D190" s="40">
        <f>SUMIFS(Registre!$P$3:$P$15000,Registre!$A$3:$A$15000,5,Registre!$B$3:$B$15000,"juillet",Registre!$C$3:$C$15000,2030)</f>
        <v>0</v>
      </c>
    </row>
    <row r="191" spans="1:4" x14ac:dyDescent="0.25">
      <c r="A191" s="10">
        <v>6</v>
      </c>
      <c r="B191" s="10" t="s">
        <v>21</v>
      </c>
      <c r="C191" s="10">
        <v>2030</v>
      </c>
      <c r="D191" s="40">
        <f>SUMIFS(Registre!$P$3:$P$15000,Registre!$A$3:$A$15000,6,Registre!$B$3:$B$15000,"juillet",Registre!$C$3:$C$15000,2030)</f>
        <v>0</v>
      </c>
    </row>
    <row r="192" spans="1:4" x14ac:dyDescent="0.25">
      <c r="A192" s="10">
        <v>7</v>
      </c>
      <c r="B192" s="10" t="s">
        <v>21</v>
      </c>
      <c r="C192" s="10">
        <v>2030</v>
      </c>
      <c r="D192" s="40">
        <f>SUMIFS(Registre!$P$3:$P$15000,Registre!$A$3:$A$15000,7,Registre!$B$3:$B$15000,"juillet",Registre!$C$3:$C$15000,2030)</f>
        <v>0</v>
      </c>
    </row>
    <row r="193" spans="1:4" x14ac:dyDescent="0.25">
      <c r="A193" s="10">
        <v>8</v>
      </c>
      <c r="B193" s="10" t="s">
        <v>21</v>
      </c>
      <c r="C193" s="10">
        <v>2030</v>
      </c>
      <c r="D193" s="40">
        <f>SUMIFS(Registre!$P$3:$P$15000,Registre!$A$3:$A$15000,8,Registre!$B$3:$B$15000,"juillet",Registre!$C$3:$C$15000,2030)</f>
        <v>0</v>
      </c>
    </row>
    <row r="194" spans="1:4" x14ac:dyDescent="0.25">
      <c r="A194" s="10">
        <v>9</v>
      </c>
      <c r="B194" s="10" t="s">
        <v>21</v>
      </c>
      <c r="C194" s="10">
        <v>2030</v>
      </c>
      <c r="D194" s="40">
        <f>SUMIFS(Registre!$P$3:$P$15000,Registre!$A$3:$A$15000,9,Registre!$B$3:$B$15000,"juillet",Registre!$C$3:$C$15000,2030)</f>
        <v>0</v>
      </c>
    </row>
    <row r="195" spans="1:4" x14ac:dyDescent="0.25">
      <c r="A195" s="10">
        <v>10</v>
      </c>
      <c r="B195" s="10" t="s">
        <v>21</v>
      </c>
      <c r="C195" s="10">
        <v>2030</v>
      </c>
      <c r="D195" s="40">
        <f>SUMIFS(Registre!$P$3:$P$15000,Registre!$A$3:$A$15000,10,Registre!$B$3:$B$15000,"juillet",Registre!$C$3:$C$15000,2030)</f>
        <v>0</v>
      </c>
    </row>
    <row r="196" spans="1:4" x14ac:dyDescent="0.25">
      <c r="A196" s="10">
        <v>11</v>
      </c>
      <c r="B196" s="10" t="s">
        <v>21</v>
      </c>
      <c r="C196" s="10">
        <v>2030</v>
      </c>
      <c r="D196" s="40">
        <f>SUMIFS(Registre!$P$3:$P$15000,Registre!$A$3:$A$15000,11,Registre!$B$3:$B$15000,"juillet",Registre!$C$3:$C$15000,2030)</f>
        <v>0</v>
      </c>
    </row>
    <row r="197" spans="1:4" x14ac:dyDescent="0.25">
      <c r="A197" s="10">
        <v>12</v>
      </c>
      <c r="B197" s="10" t="s">
        <v>21</v>
      </c>
      <c r="C197" s="10">
        <v>2030</v>
      </c>
      <c r="D197" s="40">
        <f>SUMIFS(Registre!$P$3:$P$15000,Registre!$A$3:$A$15000,12,Registre!$B$3:$B$15000,"juillet",Registre!$C$3:$C$15000,2030)</f>
        <v>0</v>
      </c>
    </row>
    <row r="198" spans="1:4" x14ac:dyDescent="0.25">
      <c r="A198" s="10">
        <v>13</v>
      </c>
      <c r="B198" s="10" t="s">
        <v>21</v>
      </c>
      <c r="C198" s="10">
        <v>2030</v>
      </c>
      <c r="D198" s="40">
        <f>SUMIFS(Registre!$P$3:$P$15000,Registre!$A$3:$A$15000,13,Registre!$B$3:$B$15000,"juillet",Registre!$C$3:$C$15000,2030)</f>
        <v>0</v>
      </c>
    </row>
    <row r="199" spans="1:4" x14ac:dyDescent="0.25">
      <c r="A199" s="10">
        <v>14</v>
      </c>
      <c r="B199" s="10" t="s">
        <v>21</v>
      </c>
      <c r="C199" s="10">
        <v>2030</v>
      </c>
      <c r="D199" s="40">
        <f>SUMIFS(Registre!$P$3:$P$15000,Registre!$A$3:$A$15000,14,Registre!$B$3:$B$15000,"juillet",Registre!$C$3:$C$15000,2030)</f>
        <v>0</v>
      </c>
    </row>
    <row r="200" spans="1:4" x14ac:dyDescent="0.25">
      <c r="A200" s="10">
        <v>15</v>
      </c>
      <c r="B200" s="10" t="s">
        <v>21</v>
      </c>
      <c r="C200" s="10">
        <v>2030</v>
      </c>
      <c r="D200" s="40">
        <f>SUMIFS(Registre!$P$3:$P$15000,Registre!$A$3:$A$15000,15,Registre!$B$3:$B$15000,"juillet",Registre!$C$3:$C$15000,2030)</f>
        <v>0</v>
      </c>
    </row>
    <row r="201" spans="1:4" x14ac:dyDescent="0.25">
      <c r="A201" s="10">
        <v>16</v>
      </c>
      <c r="B201" s="10" t="s">
        <v>21</v>
      </c>
      <c r="C201" s="10">
        <v>2030</v>
      </c>
      <c r="D201" s="40">
        <f>SUMIFS(Registre!$P$3:$P$15000,Registre!$A$3:$A$15000,16,Registre!$B$3:$B$15000,"juillet",Registre!$C$3:$C$15000,2030)</f>
        <v>0</v>
      </c>
    </row>
    <row r="202" spans="1:4" x14ac:dyDescent="0.25">
      <c r="A202" s="10">
        <v>17</v>
      </c>
      <c r="B202" s="10" t="s">
        <v>21</v>
      </c>
      <c r="C202" s="10">
        <v>2030</v>
      </c>
      <c r="D202" s="40">
        <f>SUMIFS(Registre!$P$3:$P$15000,Registre!$A$3:$A$15000,17,Registre!$B$3:$B$15000,"juillet",Registre!$C$3:$C$15000,2030)</f>
        <v>0</v>
      </c>
    </row>
    <row r="203" spans="1:4" x14ac:dyDescent="0.25">
      <c r="A203" s="10">
        <v>18</v>
      </c>
      <c r="B203" s="10" t="s">
        <v>21</v>
      </c>
      <c r="C203" s="10">
        <v>2030</v>
      </c>
      <c r="D203" s="40">
        <f>SUMIFS(Registre!$P$3:$P$15000,Registre!$A$3:$A$15000,18,Registre!$B$3:$B$15000,"juillet",Registre!$C$3:$C$15000,2030)</f>
        <v>0</v>
      </c>
    </row>
    <row r="204" spans="1:4" x14ac:dyDescent="0.25">
      <c r="A204" s="10">
        <v>19</v>
      </c>
      <c r="B204" s="10" t="s">
        <v>21</v>
      </c>
      <c r="C204" s="10">
        <v>2030</v>
      </c>
      <c r="D204" s="40">
        <f>SUMIFS(Registre!$P$3:$P$15000,Registre!$A$3:$A$15000,19,Registre!$B$3:$B$15000,"juillet",Registre!$C$3:$C$15000,2030)</f>
        <v>0</v>
      </c>
    </row>
    <row r="205" spans="1:4" x14ac:dyDescent="0.25">
      <c r="A205" s="10">
        <v>20</v>
      </c>
      <c r="B205" s="10" t="s">
        <v>21</v>
      </c>
      <c r="C205" s="10">
        <v>2030</v>
      </c>
      <c r="D205" s="40">
        <f>SUMIFS(Registre!$P$3:$P$15000,Registre!$A$3:$A$15000,20,Registre!$B$3:$B$15000,"juillet",Registre!$C$3:$C$15000,2030)</f>
        <v>0</v>
      </c>
    </row>
    <row r="206" spans="1:4" x14ac:dyDescent="0.25">
      <c r="A206" s="10">
        <v>21</v>
      </c>
      <c r="B206" s="10" t="s">
        <v>21</v>
      </c>
      <c r="C206" s="10">
        <v>2030</v>
      </c>
      <c r="D206" s="40">
        <f>SUMIFS(Registre!$P$3:$P$15000,Registre!$A$3:$A$15000,21,Registre!$B$3:$B$15000,"juillet",Registre!$C$3:$C$15000,2030)</f>
        <v>0</v>
      </c>
    </row>
    <row r="207" spans="1:4" x14ac:dyDescent="0.25">
      <c r="A207" s="10">
        <v>22</v>
      </c>
      <c r="B207" s="10" t="s">
        <v>21</v>
      </c>
      <c r="C207" s="10">
        <v>2030</v>
      </c>
      <c r="D207" s="40">
        <f>SUMIFS(Registre!$P$3:$P$15000,Registre!$A$3:$A$15000,22,Registre!$B$3:$B$15000,"juillet",Registre!$C$3:$C$15000,2030)</f>
        <v>0</v>
      </c>
    </row>
    <row r="208" spans="1:4" x14ac:dyDescent="0.25">
      <c r="A208" s="10">
        <v>23</v>
      </c>
      <c r="B208" s="10" t="s">
        <v>21</v>
      </c>
      <c r="C208" s="10">
        <v>2030</v>
      </c>
      <c r="D208" s="40">
        <f>SUMIFS(Registre!$P$3:$P$15000,Registre!$A$3:$A$15000,23,Registre!$B$3:$B$15000,"juillet",Registre!$C$3:$C$15000,2030)</f>
        <v>0</v>
      </c>
    </row>
    <row r="209" spans="1:4" x14ac:dyDescent="0.25">
      <c r="A209" s="10">
        <v>24</v>
      </c>
      <c r="B209" s="10" t="s">
        <v>21</v>
      </c>
      <c r="C209" s="10">
        <v>2030</v>
      </c>
      <c r="D209" s="40">
        <f>SUMIFS(Registre!$P$3:$P$15000,Registre!$A$3:$A$15000,24,Registre!$B$3:$B$15000,"juillet",Registre!$C$3:$C$15000,2030)</f>
        <v>0</v>
      </c>
    </row>
    <row r="210" spans="1:4" x14ac:dyDescent="0.25">
      <c r="A210" s="10">
        <v>25</v>
      </c>
      <c r="B210" s="10" t="s">
        <v>21</v>
      </c>
      <c r="C210" s="10">
        <v>2030</v>
      </c>
      <c r="D210" s="40">
        <f>SUMIFS(Registre!$P$3:$P$15000,Registre!$A$3:$A$15000,25,Registre!$B$3:$B$15000,"juillet",Registre!$C$3:$C$15000,2030)</f>
        <v>0</v>
      </c>
    </row>
    <row r="211" spans="1:4" x14ac:dyDescent="0.25">
      <c r="A211" s="10">
        <v>26</v>
      </c>
      <c r="B211" s="10" t="s">
        <v>21</v>
      </c>
      <c r="C211" s="10">
        <v>2030</v>
      </c>
      <c r="D211" s="40">
        <f>SUMIFS(Registre!$P$3:$P$15000,Registre!$A$3:$A$15000,26,Registre!$B$3:$B$15000,"juillet",Registre!$C$3:$C$15000,2030)</f>
        <v>0</v>
      </c>
    </row>
    <row r="212" spans="1:4" x14ac:dyDescent="0.25">
      <c r="A212" s="10">
        <v>27</v>
      </c>
      <c r="B212" s="10" t="s">
        <v>21</v>
      </c>
      <c r="C212" s="10">
        <v>2030</v>
      </c>
      <c r="D212" s="40">
        <f>SUMIFS(Registre!$P$3:$P$15000,Registre!$A$3:$A$15000,27,Registre!$B$3:$B$15000,"juillet",Registre!$C$3:$C$15000,2030)</f>
        <v>0</v>
      </c>
    </row>
    <row r="213" spans="1:4" x14ac:dyDescent="0.25">
      <c r="A213" s="10">
        <v>28</v>
      </c>
      <c r="B213" s="10" t="s">
        <v>21</v>
      </c>
      <c r="C213" s="10">
        <v>2030</v>
      </c>
      <c r="D213" s="40">
        <f>SUMIFS(Registre!$P$3:$P$15000,Registre!$A$3:$A$15000,28,Registre!$B$3:$B$15000,"juillet",Registre!$C$3:$C$15000,2030)</f>
        <v>0</v>
      </c>
    </row>
    <row r="214" spans="1:4" x14ac:dyDescent="0.25">
      <c r="A214" s="10">
        <v>29</v>
      </c>
      <c r="B214" s="10" t="s">
        <v>21</v>
      </c>
      <c r="C214" s="10">
        <v>2030</v>
      </c>
      <c r="D214" s="40">
        <f>SUMIFS(Registre!$P$3:$P$15000,Registre!$A$3:$A$15000,29,Registre!$B$3:$B$15000,"juillet",Registre!$C$3:$C$15000,2030)</f>
        <v>0</v>
      </c>
    </row>
    <row r="215" spans="1:4" x14ac:dyDescent="0.25">
      <c r="A215" s="10">
        <v>30</v>
      </c>
      <c r="B215" s="10" t="s">
        <v>21</v>
      </c>
      <c r="C215" s="10">
        <v>2030</v>
      </c>
      <c r="D215" s="40">
        <f>SUMIFS(Registre!$P$3:$P$15000,Registre!$A$3:$A$15000,30,Registre!$B$3:$B$15000,"juillet",Registre!$C$3:$C$15000,2030)</f>
        <v>0</v>
      </c>
    </row>
    <row r="216" spans="1:4" x14ac:dyDescent="0.25">
      <c r="A216" s="10">
        <v>31</v>
      </c>
      <c r="B216" s="10" t="s">
        <v>21</v>
      </c>
      <c r="C216" s="10">
        <v>2030</v>
      </c>
      <c r="D216" s="40">
        <f>SUMIFS(Registre!$P$3:$P$15000,Registre!$A$3:$A$15000,31,Registre!$B$3:$B$15000,"juillet",Registre!$C$3:$C$15000,2030)</f>
        <v>0</v>
      </c>
    </row>
    <row r="217" spans="1:4" x14ac:dyDescent="0.25">
      <c r="A217" s="11">
        <v>1</v>
      </c>
      <c r="B217" s="11" t="s">
        <v>22</v>
      </c>
      <c r="C217" s="11">
        <v>2030</v>
      </c>
      <c r="D217" s="41">
        <f>SUMIFS(Registre!$P$3:$P$15000,Registre!$A$3:$A$15000,1,Registre!$B$3:$B$15000,"août",Registre!$C$3:$C$15000,2030)</f>
        <v>0</v>
      </c>
    </row>
    <row r="218" spans="1:4" x14ac:dyDescent="0.25">
      <c r="A218" s="11">
        <v>2</v>
      </c>
      <c r="B218" s="11" t="s">
        <v>22</v>
      </c>
      <c r="C218" s="11">
        <v>2030</v>
      </c>
      <c r="D218" s="41">
        <f>SUMIFS(Registre!$P$3:$P$15000,Registre!$A$3:$A$15000,2,Registre!$B$3:$B$15000,"août",Registre!$C$3:$C$15000,2030)</f>
        <v>0</v>
      </c>
    </row>
    <row r="219" spans="1:4" x14ac:dyDescent="0.25">
      <c r="A219" s="11">
        <v>3</v>
      </c>
      <c r="B219" s="11" t="s">
        <v>22</v>
      </c>
      <c r="C219" s="11">
        <v>2030</v>
      </c>
      <c r="D219" s="41">
        <f>SUMIFS(Registre!$P$3:$P$15000,Registre!$A$3:$A$15000,3,Registre!$B$3:$B$15000,"août",Registre!$C$3:$C$15000,2030)</f>
        <v>0</v>
      </c>
    </row>
    <row r="220" spans="1:4" x14ac:dyDescent="0.25">
      <c r="A220" s="11">
        <v>4</v>
      </c>
      <c r="B220" s="11" t="s">
        <v>22</v>
      </c>
      <c r="C220" s="11">
        <v>2030</v>
      </c>
      <c r="D220" s="41">
        <f>SUMIFS(Registre!$P$3:$P$15000,Registre!$A$3:$A$15000,4,Registre!$B$3:$B$15000,"août",Registre!$C$3:$C$15000,2030)</f>
        <v>0</v>
      </c>
    </row>
    <row r="221" spans="1:4" x14ac:dyDescent="0.25">
      <c r="A221" s="11">
        <v>5</v>
      </c>
      <c r="B221" s="11" t="s">
        <v>22</v>
      </c>
      <c r="C221" s="11">
        <v>2030</v>
      </c>
      <c r="D221" s="41">
        <f>SUMIFS(Registre!$P$3:$P$15000,Registre!$A$3:$A$15000,5,Registre!$B$3:$B$15000,"août",Registre!$C$3:$C$15000,2030)</f>
        <v>0</v>
      </c>
    </row>
    <row r="222" spans="1:4" x14ac:dyDescent="0.25">
      <c r="A222" s="11">
        <v>6</v>
      </c>
      <c r="B222" s="11" t="s">
        <v>22</v>
      </c>
      <c r="C222" s="11">
        <v>2030</v>
      </c>
      <c r="D222" s="41">
        <f>SUMIFS(Registre!$P$3:$P$15000,Registre!$A$3:$A$15000,6,Registre!$B$3:$B$15000,"août",Registre!$C$3:$C$15000,2030)</f>
        <v>0</v>
      </c>
    </row>
    <row r="223" spans="1:4" x14ac:dyDescent="0.25">
      <c r="A223" s="11">
        <v>7</v>
      </c>
      <c r="B223" s="11" t="s">
        <v>22</v>
      </c>
      <c r="C223" s="11">
        <v>2030</v>
      </c>
      <c r="D223" s="41">
        <f>SUMIFS(Registre!$P$3:$P$15000,Registre!$A$3:$A$15000,7,Registre!$B$3:$B$15000,"août",Registre!$C$3:$C$15000,2030)</f>
        <v>0</v>
      </c>
    </row>
    <row r="224" spans="1:4" x14ac:dyDescent="0.25">
      <c r="A224" s="11">
        <v>8</v>
      </c>
      <c r="B224" s="11" t="s">
        <v>22</v>
      </c>
      <c r="C224" s="11">
        <v>2030</v>
      </c>
      <c r="D224" s="41">
        <f>SUMIFS(Registre!$P$3:$P$15000,Registre!$A$3:$A$15000,8,Registre!$B$3:$B$15000,"août",Registre!$C$3:$C$15000,2030)</f>
        <v>0</v>
      </c>
    </row>
    <row r="225" spans="1:4" x14ac:dyDescent="0.25">
      <c r="A225" s="11">
        <v>9</v>
      </c>
      <c r="B225" s="11" t="s">
        <v>22</v>
      </c>
      <c r="C225" s="11">
        <v>2030</v>
      </c>
      <c r="D225" s="41">
        <f>SUMIFS(Registre!$P$3:$P$15000,Registre!$A$3:$A$15000,9,Registre!$B$3:$B$15000,"août",Registre!$C$3:$C$15000,2030)</f>
        <v>0</v>
      </c>
    </row>
    <row r="226" spans="1:4" x14ac:dyDescent="0.25">
      <c r="A226" s="11">
        <v>10</v>
      </c>
      <c r="B226" s="11" t="s">
        <v>22</v>
      </c>
      <c r="C226" s="11">
        <v>2030</v>
      </c>
      <c r="D226" s="41">
        <f>SUMIFS(Registre!$P$3:$P$15000,Registre!$A$3:$A$15000,10,Registre!$B$3:$B$15000,"août",Registre!$C$3:$C$15000,2030)</f>
        <v>0</v>
      </c>
    </row>
    <row r="227" spans="1:4" x14ac:dyDescent="0.25">
      <c r="A227" s="11">
        <v>11</v>
      </c>
      <c r="B227" s="11" t="s">
        <v>22</v>
      </c>
      <c r="C227" s="11">
        <v>2030</v>
      </c>
      <c r="D227" s="41">
        <f>SUMIFS(Registre!$P$3:$P$15000,Registre!$A$3:$A$15000,11,Registre!$B$3:$B$15000,"août",Registre!$C$3:$C$15000,2030)</f>
        <v>0</v>
      </c>
    </row>
    <row r="228" spans="1:4" x14ac:dyDescent="0.25">
      <c r="A228" s="11">
        <v>12</v>
      </c>
      <c r="B228" s="11" t="s">
        <v>22</v>
      </c>
      <c r="C228" s="11">
        <v>2030</v>
      </c>
      <c r="D228" s="41">
        <f>SUMIFS(Registre!$P$3:$P$15000,Registre!$A$3:$A$15000,12,Registre!$B$3:$B$15000,"août",Registre!$C$3:$C$15000,2030)</f>
        <v>0</v>
      </c>
    </row>
    <row r="229" spans="1:4" x14ac:dyDescent="0.25">
      <c r="A229" s="11">
        <v>13</v>
      </c>
      <c r="B229" s="11" t="s">
        <v>22</v>
      </c>
      <c r="C229" s="11">
        <v>2030</v>
      </c>
      <c r="D229" s="41">
        <f>SUMIFS(Registre!$P$3:$P$15000,Registre!$A$3:$A$15000,13,Registre!$B$3:$B$15000,"août",Registre!$C$3:$C$15000,2030)</f>
        <v>0</v>
      </c>
    </row>
    <row r="230" spans="1:4" x14ac:dyDescent="0.25">
      <c r="A230" s="11">
        <v>14</v>
      </c>
      <c r="B230" s="11" t="s">
        <v>22</v>
      </c>
      <c r="C230" s="11">
        <v>2030</v>
      </c>
      <c r="D230" s="41">
        <f>SUMIFS(Registre!$P$3:$P$15000,Registre!$A$3:$A$15000,14,Registre!$B$3:$B$15000,"août",Registre!$C$3:$C$15000,2030)</f>
        <v>0</v>
      </c>
    </row>
    <row r="231" spans="1:4" x14ac:dyDescent="0.25">
      <c r="A231" s="11">
        <v>15</v>
      </c>
      <c r="B231" s="11" t="s">
        <v>22</v>
      </c>
      <c r="C231" s="11">
        <v>2030</v>
      </c>
      <c r="D231" s="41">
        <f>SUMIFS(Registre!$P$3:$P$15000,Registre!$A$3:$A$15000,15,Registre!$B$3:$B$15000,"août",Registre!$C$3:$C$15000,2030)</f>
        <v>0</v>
      </c>
    </row>
    <row r="232" spans="1:4" x14ac:dyDescent="0.25">
      <c r="A232" s="11">
        <v>16</v>
      </c>
      <c r="B232" s="11" t="s">
        <v>22</v>
      </c>
      <c r="C232" s="11">
        <v>2030</v>
      </c>
      <c r="D232" s="41">
        <f>SUMIFS(Registre!$P$3:$P$15000,Registre!$A$3:$A$15000,16,Registre!$B$3:$B$15000,"août",Registre!$C$3:$C$15000,2030)</f>
        <v>0</v>
      </c>
    </row>
    <row r="233" spans="1:4" x14ac:dyDescent="0.25">
      <c r="A233" s="11">
        <v>17</v>
      </c>
      <c r="B233" s="11" t="s">
        <v>22</v>
      </c>
      <c r="C233" s="11">
        <v>2030</v>
      </c>
      <c r="D233" s="41">
        <f>SUMIFS(Registre!$P$3:$P$15000,Registre!$A$3:$A$15000,17,Registre!$B$3:$B$15000,"août",Registre!$C$3:$C$15000,2030)</f>
        <v>0</v>
      </c>
    </row>
    <row r="234" spans="1:4" x14ac:dyDescent="0.25">
      <c r="A234" s="11">
        <v>18</v>
      </c>
      <c r="B234" s="11" t="s">
        <v>22</v>
      </c>
      <c r="C234" s="11">
        <v>2030</v>
      </c>
      <c r="D234" s="41">
        <f>SUMIFS(Registre!$P$3:$P$15000,Registre!$A$3:$A$15000,18,Registre!$B$3:$B$15000,"août",Registre!$C$3:$C$15000,2030)</f>
        <v>0</v>
      </c>
    </row>
    <row r="235" spans="1:4" x14ac:dyDescent="0.25">
      <c r="A235" s="11">
        <v>19</v>
      </c>
      <c r="B235" s="11" t="s">
        <v>22</v>
      </c>
      <c r="C235" s="11">
        <v>2030</v>
      </c>
      <c r="D235" s="41">
        <f>SUMIFS(Registre!$P$3:$P$15000,Registre!$A$3:$A$15000,19,Registre!$B$3:$B$15000,"août",Registre!$C$3:$C$15000,2030)</f>
        <v>0</v>
      </c>
    </row>
    <row r="236" spans="1:4" x14ac:dyDescent="0.25">
      <c r="A236" s="11">
        <v>20</v>
      </c>
      <c r="B236" s="11" t="s">
        <v>22</v>
      </c>
      <c r="C236" s="11">
        <v>2030</v>
      </c>
      <c r="D236" s="41">
        <f>SUMIFS(Registre!$P$3:$P$15000,Registre!$A$3:$A$15000,20,Registre!$B$3:$B$15000,"août",Registre!$C$3:$C$15000,2030)</f>
        <v>0</v>
      </c>
    </row>
    <row r="237" spans="1:4" x14ac:dyDescent="0.25">
      <c r="A237" s="11">
        <v>21</v>
      </c>
      <c r="B237" s="11" t="s">
        <v>22</v>
      </c>
      <c r="C237" s="11">
        <v>2030</v>
      </c>
      <c r="D237" s="41">
        <f>SUMIFS(Registre!$P$3:$P$15000,Registre!$A$3:$A$15000,21,Registre!$B$3:$B$15000,"août",Registre!$C$3:$C$15000,2030)</f>
        <v>0</v>
      </c>
    </row>
    <row r="238" spans="1:4" x14ac:dyDescent="0.25">
      <c r="A238" s="11">
        <v>22</v>
      </c>
      <c r="B238" s="11" t="s">
        <v>22</v>
      </c>
      <c r="C238" s="11">
        <v>2030</v>
      </c>
      <c r="D238" s="41">
        <f>SUMIFS(Registre!$P$3:$P$15000,Registre!$A$3:$A$15000,22,Registre!$B$3:$B$15000,"août",Registre!$C$3:$C$15000,2030)</f>
        <v>0</v>
      </c>
    </row>
    <row r="239" spans="1:4" x14ac:dyDescent="0.25">
      <c r="A239" s="11">
        <v>23</v>
      </c>
      <c r="B239" s="11" t="s">
        <v>22</v>
      </c>
      <c r="C239" s="11">
        <v>2030</v>
      </c>
      <c r="D239" s="41">
        <f>SUMIFS(Registre!$P$3:$P$15000,Registre!$A$3:$A$15000,23,Registre!$B$3:$B$15000,"août",Registre!$C$3:$C$15000,2030)</f>
        <v>0</v>
      </c>
    </row>
    <row r="240" spans="1:4" x14ac:dyDescent="0.25">
      <c r="A240" s="11">
        <v>24</v>
      </c>
      <c r="B240" s="11" t="s">
        <v>22</v>
      </c>
      <c r="C240" s="11">
        <v>2030</v>
      </c>
      <c r="D240" s="41">
        <f>SUMIFS(Registre!$P$3:$P$15000,Registre!$A$3:$A$15000,24,Registre!$B$3:$B$15000,"août",Registre!$C$3:$C$15000,2030)</f>
        <v>0</v>
      </c>
    </row>
    <row r="241" spans="1:4" x14ac:dyDescent="0.25">
      <c r="A241" s="11">
        <v>25</v>
      </c>
      <c r="B241" s="11" t="s">
        <v>22</v>
      </c>
      <c r="C241" s="11">
        <v>2030</v>
      </c>
      <c r="D241" s="41">
        <f>SUMIFS(Registre!$P$3:$P$15000,Registre!$A$3:$A$15000,25,Registre!$B$3:$B$15000,"août",Registre!$C$3:$C$15000,2030)</f>
        <v>0</v>
      </c>
    </row>
    <row r="242" spans="1:4" x14ac:dyDescent="0.25">
      <c r="A242" s="11">
        <v>26</v>
      </c>
      <c r="B242" s="11" t="s">
        <v>22</v>
      </c>
      <c r="C242" s="11">
        <v>2030</v>
      </c>
      <c r="D242" s="41">
        <f>SUMIFS(Registre!$P$3:$P$15000,Registre!$A$3:$A$15000,26,Registre!$B$3:$B$15000,"août",Registre!$C$3:$C$15000,2030)</f>
        <v>0</v>
      </c>
    </row>
    <row r="243" spans="1:4" x14ac:dyDescent="0.25">
      <c r="A243" s="11">
        <v>27</v>
      </c>
      <c r="B243" s="11" t="s">
        <v>22</v>
      </c>
      <c r="C243" s="11">
        <v>2030</v>
      </c>
      <c r="D243" s="41">
        <f>SUMIFS(Registre!$P$3:$P$15000,Registre!$A$3:$A$15000,27,Registre!$B$3:$B$15000,"août",Registre!$C$3:$C$15000,2030)</f>
        <v>0</v>
      </c>
    </row>
    <row r="244" spans="1:4" x14ac:dyDescent="0.25">
      <c r="A244" s="11">
        <v>28</v>
      </c>
      <c r="B244" s="11" t="s">
        <v>22</v>
      </c>
      <c r="C244" s="11">
        <v>2030</v>
      </c>
      <c r="D244" s="41">
        <f>SUMIFS(Registre!$P$3:$P$15000,Registre!$A$3:$A$15000,28,Registre!$B$3:$B$15000,"août",Registre!$C$3:$C$15000,2030)</f>
        <v>0</v>
      </c>
    </row>
    <row r="245" spans="1:4" x14ac:dyDescent="0.25">
      <c r="A245" s="11">
        <v>29</v>
      </c>
      <c r="B245" s="11" t="s">
        <v>22</v>
      </c>
      <c r="C245" s="11">
        <v>2030</v>
      </c>
      <c r="D245" s="41">
        <f>SUMIFS(Registre!$P$3:$P$15000,Registre!$A$3:$A$15000,29,Registre!$B$3:$B$15000,"août",Registre!$C$3:$C$15000,2030)</f>
        <v>0</v>
      </c>
    </row>
    <row r="246" spans="1:4" x14ac:dyDescent="0.25">
      <c r="A246" s="11">
        <v>30</v>
      </c>
      <c r="B246" s="11" t="s">
        <v>22</v>
      </c>
      <c r="C246" s="11">
        <v>2030</v>
      </c>
      <c r="D246" s="41">
        <f>SUMIFS(Registre!$P$3:$P$15000,Registre!$A$3:$A$15000,30,Registre!$B$3:$B$15000,"août",Registre!$C$3:$C$15000,2030)</f>
        <v>0</v>
      </c>
    </row>
    <row r="247" spans="1:4" x14ac:dyDescent="0.25">
      <c r="A247" s="11">
        <v>31</v>
      </c>
      <c r="B247" s="11" t="s">
        <v>22</v>
      </c>
      <c r="C247" s="11">
        <v>2030</v>
      </c>
      <c r="D247" s="41">
        <f>SUMIFS(Registre!$P$3:$P$15000,Registre!$A$3:$A$15000,31,Registre!$B$3:$B$15000,"août",Registre!$C$3:$C$15000,2030)</f>
        <v>0</v>
      </c>
    </row>
    <row r="248" spans="1:4" x14ac:dyDescent="0.25">
      <c r="A248" s="10">
        <v>1</v>
      </c>
      <c r="B248" s="10" t="s">
        <v>23</v>
      </c>
      <c r="C248" s="10">
        <v>2030</v>
      </c>
      <c r="D248" s="40">
        <f>SUMIFS(Registre!$P$3:$P$15000,Registre!$A$3:$A$15000,1,Registre!$B$3:$B$15000,"septembre",Registre!$C$3:$C$15000,2030)</f>
        <v>0</v>
      </c>
    </row>
    <row r="249" spans="1:4" x14ac:dyDescent="0.25">
      <c r="A249" s="10">
        <v>2</v>
      </c>
      <c r="B249" s="10" t="s">
        <v>23</v>
      </c>
      <c r="C249" s="10">
        <v>2030</v>
      </c>
      <c r="D249" s="40">
        <f>SUMIFS(Registre!$P$3:$P$15000,Registre!$A$3:$A$15000,2,Registre!$B$3:$B$15000,"septembre",Registre!$C$3:$C$15000,2030)</f>
        <v>0</v>
      </c>
    </row>
    <row r="250" spans="1:4" x14ac:dyDescent="0.25">
      <c r="A250" s="10">
        <v>3</v>
      </c>
      <c r="B250" s="10" t="s">
        <v>23</v>
      </c>
      <c r="C250" s="10">
        <v>2030</v>
      </c>
      <c r="D250" s="40">
        <f>SUMIFS(Registre!$P$3:$P$15000,Registre!$A$3:$A$15000,3,Registre!$B$3:$B$15000,"septembre",Registre!$C$3:$C$15000,2030)</f>
        <v>0</v>
      </c>
    </row>
    <row r="251" spans="1:4" x14ac:dyDescent="0.25">
      <c r="A251" s="10">
        <v>4</v>
      </c>
      <c r="B251" s="10" t="s">
        <v>23</v>
      </c>
      <c r="C251" s="10">
        <v>2030</v>
      </c>
      <c r="D251" s="40">
        <f>SUMIFS(Registre!$P$3:$P$15000,Registre!$A$3:$A$15000,4,Registre!$B$3:$B$15000,"septembre",Registre!$C$3:$C$15000,2030)</f>
        <v>0</v>
      </c>
    </row>
    <row r="252" spans="1:4" x14ac:dyDescent="0.25">
      <c r="A252" s="10">
        <v>5</v>
      </c>
      <c r="B252" s="10" t="s">
        <v>23</v>
      </c>
      <c r="C252" s="10">
        <v>2030</v>
      </c>
      <c r="D252" s="40">
        <f>SUMIFS(Registre!$P$3:$P$15000,Registre!$A$3:$A$15000,5,Registre!$B$3:$B$15000,"septembre",Registre!$C$3:$C$15000,2030)</f>
        <v>0</v>
      </c>
    </row>
    <row r="253" spans="1:4" x14ac:dyDescent="0.25">
      <c r="A253" s="10">
        <v>6</v>
      </c>
      <c r="B253" s="10" t="s">
        <v>23</v>
      </c>
      <c r="C253" s="10">
        <v>2030</v>
      </c>
      <c r="D253" s="40">
        <f>SUMIFS(Registre!$P$3:$P$15000,Registre!$A$3:$A$15000,6,Registre!$B$3:$B$15000,"septembre",Registre!$C$3:$C$15000,2030)</f>
        <v>0</v>
      </c>
    </row>
    <row r="254" spans="1:4" x14ac:dyDescent="0.25">
      <c r="A254" s="10">
        <v>7</v>
      </c>
      <c r="B254" s="10" t="s">
        <v>23</v>
      </c>
      <c r="C254" s="10">
        <v>2030</v>
      </c>
      <c r="D254" s="40">
        <f>SUMIFS(Registre!$P$3:$P$15000,Registre!$A$3:$A$15000,7,Registre!$B$3:$B$15000,"septembre",Registre!$C$3:$C$15000,2030)</f>
        <v>0</v>
      </c>
    </row>
    <row r="255" spans="1:4" x14ac:dyDescent="0.25">
      <c r="A255" s="10">
        <v>8</v>
      </c>
      <c r="B255" s="10" t="s">
        <v>23</v>
      </c>
      <c r="C255" s="10">
        <v>2030</v>
      </c>
      <c r="D255" s="40">
        <f>SUMIFS(Registre!$P$3:$P$15000,Registre!$A$3:$A$15000,8,Registre!$B$3:$B$15000,"septembre",Registre!$C$3:$C$15000,2030)</f>
        <v>0</v>
      </c>
    </row>
    <row r="256" spans="1:4" x14ac:dyDescent="0.25">
      <c r="A256" s="10">
        <v>9</v>
      </c>
      <c r="B256" s="10" t="s">
        <v>23</v>
      </c>
      <c r="C256" s="10">
        <v>2030</v>
      </c>
      <c r="D256" s="40">
        <f>SUMIFS(Registre!$P$3:$P$15000,Registre!$A$3:$A$15000,9,Registre!$B$3:$B$15000,"septembre",Registre!$C$3:$C$15000,2030)</f>
        <v>0</v>
      </c>
    </row>
    <row r="257" spans="1:4" x14ac:dyDescent="0.25">
      <c r="A257" s="10">
        <v>10</v>
      </c>
      <c r="B257" s="10" t="s">
        <v>23</v>
      </c>
      <c r="C257" s="10">
        <v>2030</v>
      </c>
      <c r="D257" s="40">
        <f>SUMIFS(Registre!$P$3:$P$15000,Registre!$A$3:$A$15000,10,Registre!$B$3:$B$15000,"septembre",Registre!$C$3:$C$15000,2030)</f>
        <v>0</v>
      </c>
    </row>
    <row r="258" spans="1:4" x14ac:dyDescent="0.25">
      <c r="A258" s="10">
        <v>11</v>
      </c>
      <c r="B258" s="10" t="s">
        <v>23</v>
      </c>
      <c r="C258" s="10">
        <v>2030</v>
      </c>
      <c r="D258" s="40">
        <f>SUMIFS(Registre!$P$3:$P$15000,Registre!$A$3:$A$15000,11,Registre!$B$3:$B$15000,"septembre",Registre!$C$3:$C$15000,2030)</f>
        <v>0</v>
      </c>
    </row>
    <row r="259" spans="1:4" x14ac:dyDescent="0.25">
      <c r="A259" s="10">
        <v>12</v>
      </c>
      <c r="B259" s="10" t="s">
        <v>23</v>
      </c>
      <c r="C259" s="10">
        <v>2030</v>
      </c>
      <c r="D259" s="40">
        <f>SUMIFS(Registre!$P$3:$P$15000,Registre!$A$3:$A$15000,12,Registre!$B$3:$B$15000,"septembre",Registre!$C$3:$C$15000,2030)</f>
        <v>0</v>
      </c>
    </row>
    <row r="260" spans="1:4" x14ac:dyDescent="0.25">
      <c r="A260" s="10">
        <v>13</v>
      </c>
      <c r="B260" s="10" t="s">
        <v>23</v>
      </c>
      <c r="C260" s="10">
        <v>2030</v>
      </c>
      <c r="D260" s="40">
        <f>SUMIFS(Registre!$P$3:$P$15000,Registre!$A$3:$A$15000,13,Registre!$B$3:$B$15000,"septembre",Registre!$C$3:$C$15000,2030)</f>
        <v>0</v>
      </c>
    </row>
    <row r="261" spans="1:4" x14ac:dyDescent="0.25">
      <c r="A261" s="10">
        <v>14</v>
      </c>
      <c r="B261" s="10" t="s">
        <v>23</v>
      </c>
      <c r="C261" s="10">
        <v>2030</v>
      </c>
      <c r="D261" s="40">
        <f>SUMIFS(Registre!$P$3:$P$15000,Registre!$A$3:$A$15000,14,Registre!$B$3:$B$15000,"septembre",Registre!$C$3:$C$15000,2030)</f>
        <v>0</v>
      </c>
    </row>
    <row r="262" spans="1:4" x14ac:dyDescent="0.25">
      <c r="A262" s="10">
        <v>15</v>
      </c>
      <c r="B262" s="10" t="s">
        <v>23</v>
      </c>
      <c r="C262" s="10">
        <v>2030</v>
      </c>
      <c r="D262" s="40">
        <f>SUMIFS(Registre!$P$3:$P$15000,Registre!$A$3:$A$15000,15,Registre!$B$3:$B$15000,"septembre",Registre!$C$3:$C$15000,2030)</f>
        <v>0</v>
      </c>
    </row>
    <row r="263" spans="1:4" x14ac:dyDescent="0.25">
      <c r="A263" s="10">
        <v>16</v>
      </c>
      <c r="B263" s="10" t="s">
        <v>23</v>
      </c>
      <c r="C263" s="10">
        <v>2030</v>
      </c>
      <c r="D263" s="40">
        <f>SUMIFS(Registre!$P$3:$P$15000,Registre!$A$3:$A$15000,16,Registre!$B$3:$B$15000,"septembre",Registre!$C$3:$C$15000,2030)</f>
        <v>0</v>
      </c>
    </row>
    <row r="264" spans="1:4" x14ac:dyDescent="0.25">
      <c r="A264" s="10">
        <v>17</v>
      </c>
      <c r="B264" s="10" t="s">
        <v>23</v>
      </c>
      <c r="C264" s="10">
        <v>2030</v>
      </c>
      <c r="D264" s="40">
        <f>SUMIFS(Registre!$P$3:$P$15000,Registre!$A$3:$A$15000,17,Registre!$B$3:$B$15000,"septembre",Registre!$C$3:$C$15000,2030)</f>
        <v>0</v>
      </c>
    </row>
    <row r="265" spans="1:4" x14ac:dyDescent="0.25">
      <c r="A265" s="10">
        <v>18</v>
      </c>
      <c r="B265" s="10" t="s">
        <v>23</v>
      </c>
      <c r="C265" s="10">
        <v>2030</v>
      </c>
      <c r="D265" s="40">
        <f>SUMIFS(Registre!$P$3:$P$15000,Registre!$A$3:$A$15000,18,Registre!$B$3:$B$15000,"septembre",Registre!$C$3:$C$15000,2030)</f>
        <v>0</v>
      </c>
    </row>
    <row r="266" spans="1:4" x14ac:dyDescent="0.25">
      <c r="A266" s="10">
        <v>19</v>
      </c>
      <c r="B266" s="10" t="s">
        <v>23</v>
      </c>
      <c r="C266" s="10">
        <v>2030</v>
      </c>
      <c r="D266" s="40">
        <f>SUMIFS(Registre!$P$3:$P$15000,Registre!$A$3:$A$15000,19,Registre!$B$3:$B$15000,"septembre",Registre!$C$3:$C$15000,2030)</f>
        <v>0</v>
      </c>
    </row>
    <row r="267" spans="1:4" x14ac:dyDescent="0.25">
      <c r="A267" s="10">
        <v>20</v>
      </c>
      <c r="B267" s="10" t="s">
        <v>23</v>
      </c>
      <c r="C267" s="10">
        <v>2030</v>
      </c>
      <c r="D267" s="40">
        <f>SUMIFS(Registre!$P$3:$P$15000,Registre!$A$3:$A$15000,20,Registre!$B$3:$B$15000,"septembre",Registre!$C$3:$C$15000,2030)</f>
        <v>0</v>
      </c>
    </row>
    <row r="268" spans="1:4" x14ac:dyDescent="0.25">
      <c r="A268" s="10">
        <v>21</v>
      </c>
      <c r="B268" s="10" t="s">
        <v>23</v>
      </c>
      <c r="C268" s="10">
        <v>2030</v>
      </c>
      <c r="D268" s="40">
        <f>SUMIFS(Registre!$P$3:$P$15000,Registre!$A$3:$A$15000,21,Registre!$B$3:$B$15000,"septembre",Registre!$C$3:$C$15000,2030)</f>
        <v>0</v>
      </c>
    </row>
    <row r="269" spans="1:4" x14ac:dyDescent="0.25">
      <c r="A269" s="10">
        <v>22</v>
      </c>
      <c r="B269" s="10" t="s">
        <v>23</v>
      </c>
      <c r="C269" s="10">
        <v>2030</v>
      </c>
      <c r="D269" s="40">
        <f>SUMIFS(Registre!$P$3:$P$15000,Registre!$A$3:$A$15000,22,Registre!$B$3:$B$15000,"septembre",Registre!$C$3:$C$15000,2030)</f>
        <v>0</v>
      </c>
    </row>
    <row r="270" spans="1:4" x14ac:dyDescent="0.25">
      <c r="A270" s="10">
        <v>23</v>
      </c>
      <c r="B270" s="10" t="s">
        <v>23</v>
      </c>
      <c r="C270" s="10">
        <v>2030</v>
      </c>
      <c r="D270" s="40">
        <f>SUMIFS(Registre!$P$3:$P$15000,Registre!$A$3:$A$15000,23,Registre!$B$3:$B$15000,"septembre",Registre!$C$3:$C$15000,2030)</f>
        <v>0</v>
      </c>
    </row>
    <row r="271" spans="1:4" x14ac:dyDescent="0.25">
      <c r="A271" s="10">
        <v>24</v>
      </c>
      <c r="B271" s="10" t="s">
        <v>23</v>
      </c>
      <c r="C271" s="10">
        <v>2030</v>
      </c>
      <c r="D271" s="40">
        <f>SUMIFS(Registre!$P$3:$P$15000,Registre!$A$3:$A$15000,24,Registre!$B$3:$B$15000,"septembre",Registre!$C$3:$C$15000,2030)</f>
        <v>0</v>
      </c>
    </row>
    <row r="272" spans="1:4" x14ac:dyDescent="0.25">
      <c r="A272" s="10">
        <v>25</v>
      </c>
      <c r="B272" s="10" t="s">
        <v>23</v>
      </c>
      <c r="C272" s="10">
        <v>2030</v>
      </c>
      <c r="D272" s="40">
        <f>SUMIFS(Registre!$P$3:$P$15000,Registre!$A$3:$A$15000,25,Registre!$B$3:$B$15000,"septembre",Registre!$C$3:$C$15000,2030)</f>
        <v>0</v>
      </c>
    </row>
    <row r="273" spans="1:4" x14ac:dyDescent="0.25">
      <c r="A273" s="10">
        <v>26</v>
      </c>
      <c r="B273" s="10" t="s">
        <v>23</v>
      </c>
      <c r="C273" s="10">
        <v>2030</v>
      </c>
      <c r="D273" s="40">
        <f>SUMIFS(Registre!$P$3:$P$15000,Registre!$A$3:$A$15000,26,Registre!$B$3:$B$15000,"septembre",Registre!$C$3:$C$15000,2030)</f>
        <v>0</v>
      </c>
    </row>
    <row r="274" spans="1:4" x14ac:dyDescent="0.25">
      <c r="A274" s="10">
        <v>27</v>
      </c>
      <c r="B274" s="10" t="s">
        <v>23</v>
      </c>
      <c r="C274" s="10">
        <v>2030</v>
      </c>
      <c r="D274" s="40">
        <f>SUMIFS(Registre!$P$3:$P$15000,Registre!$A$3:$A$15000,27,Registre!$B$3:$B$15000,"septembre",Registre!$C$3:$C$15000,2030)</f>
        <v>0</v>
      </c>
    </row>
    <row r="275" spans="1:4" x14ac:dyDescent="0.25">
      <c r="A275" s="10">
        <v>28</v>
      </c>
      <c r="B275" s="10" t="s">
        <v>23</v>
      </c>
      <c r="C275" s="10">
        <v>2030</v>
      </c>
      <c r="D275" s="40">
        <f>SUMIFS(Registre!$P$3:$P$15000,Registre!$A$3:$A$15000,28,Registre!$B$3:$B$15000,"septembre",Registre!$C$3:$C$15000,2030)</f>
        <v>0</v>
      </c>
    </row>
    <row r="276" spans="1:4" x14ac:dyDescent="0.25">
      <c r="A276" s="10">
        <v>29</v>
      </c>
      <c r="B276" s="10" t="s">
        <v>23</v>
      </c>
      <c r="C276" s="10">
        <v>2030</v>
      </c>
      <c r="D276" s="40">
        <f>SUMIFS(Registre!$P$3:$P$15000,Registre!$A$3:$A$15000,29,Registre!$B$3:$B$15000,"septembre",Registre!$C$3:$C$15000,2030)</f>
        <v>0</v>
      </c>
    </row>
    <row r="277" spans="1:4" x14ac:dyDescent="0.25">
      <c r="A277" s="10">
        <v>30</v>
      </c>
      <c r="B277" s="10" t="s">
        <v>23</v>
      </c>
      <c r="C277" s="10">
        <v>2030</v>
      </c>
      <c r="D277" s="40">
        <f>SUMIFS(Registre!$P$3:$P$15000,Registre!$A$3:$A$15000,30,Registre!$B$3:$B$15000,"septembre",Registre!$C$3:$C$15000,2030)</f>
        <v>0</v>
      </c>
    </row>
    <row r="278" spans="1:4" x14ac:dyDescent="0.25">
      <c r="A278" s="11">
        <v>1</v>
      </c>
      <c r="B278" s="11" t="s">
        <v>24</v>
      </c>
      <c r="C278" s="11">
        <v>2030</v>
      </c>
      <c r="D278" s="41">
        <f>SUMIFS(Registre!$P$3:$P$15000,Registre!$A$3:$A$15000,1,Registre!$B$3:$B$15000,"octobre",Registre!$C$3:$C$15000,2030)</f>
        <v>0</v>
      </c>
    </row>
    <row r="279" spans="1:4" x14ac:dyDescent="0.25">
      <c r="A279" s="11">
        <v>2</v>
      </c>
      <c r="B279" s="11" t="s">
        <v>24</v>
      </c>
      <c r="C279" s="11">
        <v>2030</v>
      </c>
      <c r="D279" s="41">
        <f>SUMIFS(Registre!$P$3:$P$15000,Registre!$A$3:$A$15000,2,Registre!$B$3:$B$15000,"octobre",Registre!$C$3:$C$15000,2030)</f>
        <v>0</v>
      </c>
    </row>
    <row r="280" spans="1:4" x14ac:dyDescent="0.25">
      <c r="A280" s="11">
        <v>3</v>
      </c>
      <c r="B280" s="11" t="s">
        <v>24</v>
      </c>
      <c r="C280" s="11">
        <v>2030</v>
      </c>
      <c r="D280" s="41">
        <f>SUMIFS(Registre!$P$3:$P$15000,Registre!$A$3:$A$15000,3,Registre!$B$3:$B$15000,"octobre",Registre!$C$3:$C$15000,2030)</f>
        <v>0</v>
      </c>
    </row>
    <row r="281" spans="1:4" x14ac:dyDescent="0.25">
      <c r="A281" s="11">
        <v>4</v>
      </c>
      <c r="B281" s="11" t="s">
        <v>24</v>
      </c>
      <c r="C281" s="11">
        <v>2030</v>
      </c>
      <c r="D281" s="41">
        <f>SUMIFS(Registre!$P$3:$P$15000,Registre!$A$3:$A$15000,4,Registre!$B$3:$B$15000,"octobre",Registre!$C$3:$C$15000,2030)</f>
        <v>0</v>
      </c>
    </row>
    <row r="282" spans="1:4" x14ac:dyDescent="0.25">
      <c r="A282" s="11">
        <v>5</v>
      </c>
      <c r="B282" s="11" t="s">
        <v>24</v>
      </c>
      <c r="C282" s="11">
        <v>2030</v>
      </c>
      <c r="D282" s="41">
        <f>SUMIFS(Registre!$P$3:$P$15000,Registre!$A$3:$A$15000,5,Registre!$B$3:$B$15000,"octobre",Registre!$C$3:$C$15000,2030)</f>
        <v>0</v>
      </c>
    </row>
    <row r="283" spans="1:4" x14ac:dyDescent="0.25">
      <c r="A283" s="11">
        <v>6</v>
      </c>
      <c r="B283" s="11" t="s">
        <v>24</v>
      </c>
      <c r="C283" s="11">
        <v>2030</v>
      </c>
      <c r="D283" s="41">
        <f>SUMIFS(Registre!$P$3:$P$15000,Registre!$A$3:$A$15000,6,Registre!$B$3:$B$15000,"octobre",Registre!$C$3:$C$15000,2030)</f>
        <v>0</v>
      </c>
    </row>
    <row r="284" spans="1:4" x14ac:dyDescent="0.25">
      <c r="A284" s="11">
        <v>7</v>
      </c>
      <c r="B284" s="11" t="s">
        <v>24</v>
      </c>
      <c r="C284" s="11">
        <v>2030</v>
      </c>
      <c r="D284" s="41">
        <f>SUMIFS(Registre!$P$3:$P$15000,Registre!$A$3:$A$15000,7,Registre!$B$3:$B$15000,"octobre",Registre!$C$3:$C$15000,2030)</f>
        <v>0</v>
      </c>
    </row>
    <row r="285" spans="1:4" x14ac:dyDescent="0.25">
      <c r="A285" s="11">
        <v>8</v>
      </c>
      <c r="B285" s="11" t="s">
        <v>24</v>
      </c>
      <c r="C285" s="11">
        <v>2030</v>
      </c>
      <c r="D285" s="41">
        <f>SUMIFS(Registre!$P$3:$P$15000,Registre!$A$3:$A$15000,8,Registre!$B$3:$B$15000,"octobre",Registre!$C$3:$C$15000,2030)</f>
        <v>0</v>
      </c>
    </row>
    <row r="286" spans="1:4" x14ac:dyDescent="0.25">
      <c r="A286" s="11">
        <v>9</v>
      </c>
      <c r="B286" s="11" t="s">
        <v>24</v>
      </c>
      <c r="C286" s="11">
        <v>2030</v>
      </c>
      <c r="D286" s="41">
        <f>SUMIFS(Registre!$P$3:$P$15000,Registre!$A$3:$A$15000,9,Registre!$B$3:$B$15000,"octobre",Registre!$C$3:$C$15000,2030)</f>
        <v>0</v>
      </c>
    </row>
    <row r="287" spans="1:4" x14ac:dyDescent="0.25">
      <c r="A287" s="11">
        <v>10</v>
      </c>
      <c r="B287" s="11" t="s">
        <v>24</v>
      </c>
      <c r="C287" s="11">
        <v>2030</v>
      </c>
      <c r="D287" s="41">
        <f>SUMIFS(Registre!$P$3:$P$15000,Registre!$A$3:$A$15000,10,Registre!$B$3:$B$15000,"octobre",Registre!$C$3:$C$15000,2030)</f>
        <v>0</v>
      </c>
    </row>
    <row r="288" spans="1:4" x14ac:dyDescent="0.25">
      <c r="A288" s="11">
        <v>11</v>
      </c>
      <c r="B288" s="11" t="s">
        <v>24</v>
      </c>
      <c r="C288" s="11">
        <v>2030</v>
      </c>
      <c r="D288" s="41">
        <f>SUMIFS(Registre!$P$3:$P$15000,Registre!$A$3:$A$15000,11,Registre!$B$3:$B$15000,"octobre",Registre!$C$3:$C$15000,2030)</f>
        <v>0</v>
      </c>
    </row>
    <row r="289" spans="1:4" x14ac:dyDescent="0.25">
      <c r="A289" s="11">
        <v>12</v>
      </c>
      <c r="B289" s="11" t="s">
        <v>24</v>
      </c>
      <c r="C289" s="11">
        <v>2030</v>
      </c>
      <c r="D289" s="41">
        <f>SUMIFS(Registre!$P$3:$P$15000,Registre!$A$3:$A$15000,12,Registre!$B$3:$B$15000,"octobre",Registre!$C$3:$C$15000,2030)</f>
        <v>0</v>
      </c>
    </row>
    <row r="290" spans="1:4" x14ac:dyDescent="0.25">
      <c r="A290" s="11">
        <v>13</v>
      </c>
      <c r="B290" s="11" t="s">
        <v>24</v>
      </c>
      <c r="C290" s="11">
        <v>2030</v>
      </c>
      <c r="D290" s="41">
        <f>SUMIFS(Registre!$P$3:$P$15000,Registre!$A$3:$A$15000,13,Registre!$B$3:$B$15000,"octobre",Registre!$C$3:$C$15000,2030)</f>
        <v>0</v>
      </c>
    </row>
    <row r="291" spans="1:4" x14ac:dyDescent="0.25">
      <c r="A291" s="11">
        <v>14</v>
      </c>
      <c r="B291" s="11" t="s">
        <v>24</v>
      </c>
      <c r="C291" s="11">
        <v>2030</v>
      </c>
      <c r="D291" s="41">
        <f>SUMIFS(Registre!$P$3:$P$15000,Registre!$A$3:$A$15000,14,Registre!$B$3:$B$15000,"octobre",Registre!$C$3:$C$15000,2030)</f>
        <v>0</v>
      </c>
    </row>
    <row r="292" spans="1:4" x14ac:dyDescent="0.25">
      <c r="A292" s="11">
        <v>15</v>
      </c>
      <c r="B292" s="11" t="s">
        <v>24</v>
      </c>
      <c r="C292" s="11">
        <v>2030</v>
      </c>
      <c r="D292" s="41">
        <f>SUMIFS(Registre!$P$3:$P$15000,Registre!$A$3:$A$15000,15,Registre!$B$3:$B$15000,"octobre",Registre!$C$3:$C$15000,2030)</f>
        <v>0</v>
      </c>
    </row>
    <row r="293" spans="1:4" x14ac:dyDescent="0.25">
      <c r="A293" s="11">
        <v>16</v>
      </c>
      <c r="B293" s="11" t="s">
        <v>24</v>
      </c>
      <c r="C293" s="11">
        <v>2030</v>
      </c>
      <c r="D293" s="41">
        <f>SUMIFS(Registre!$P$3:$P$15000,Registre!$A$3:$A$15000,16,Registre!$B$3:$B$15000,"octobre",Registre!$C$3:$C$15000,2030)</f>
        <v>0</v>
      </c>
    </row>
    <row r="294" spans="1:4" x14ac:dyDescent="0.25">
      <c r="A294" s="11">
        <v>17</v>
      </c>
      <c r="B294" s="11" t="s">
        <v>24</v>
      </c>
      <c r="C294" s="11">
        <v>2030</v>
      </c>
      <c r="D294" s="41">
        <f>SUMIFS(Registre!$P$3:$P$15000,Registre!$A$3:$A$15000,17,Registre!$B$3:$B$15000,"octobre",Registre!$C$3:$C$15000,2030)</f>
        <v>0</v>
      </c>
    </row>
    <row r="295" spans="1:4" x14ac:dyDescent="0.25">
      <c r="A295" s="11">
        <v>18</v>
      </c>
      <c r="B295" s="11" t="s">
        <v>24</v>
      </c>
      <c r="C295" s="11">
        <v>2030</v>
      </c>
      <c r="D295" s="41">
        <f>SUMIFS(Registre!$P$3:$P$15000,Registre!$A$3:$A$15000,18,Registre!$B$3:$B$15000,"octobre",Registre!$C$3:$C$15000,2030)</f>
        <v>0</v>
      </c>
    </row>
    <row r="296" spans="1:4" x14ac:dyDescent="0.25">
      <c r="A296" s="11">
        <v>19</v>
      </c>
      <c r="B296" s="11" t="s">
        <v>24</v>
      </c>
      <c r="C296" s="11">
        <v>2030</v>
      </c>
      <c r="D296" s="41">
        <f>SUMIFS(Registre!$P$3:$P$15000,Registre!$A$3:$A$15000,19,Registre!$B$3:$B$15000,"octobre",Registre!$C$3:$C$15000,2030)</f>
        <v>0</v>
      </c>
    </row>
    <row r="297" spans="1:4" x14ac:dyDescent="0.25">
      <c r="A297" s="11">
        <v>20</v>
      </c>
      <c r="B297" s="11" t="s">
        <v>24</v>
      </c>
      <c r="C297" s="11">
        <v>2030</v>
      </c>
      <c r="D297" s="41">
        <f>SUMIFS(Registre!$P$3:$P$15000,Registre!$A$3:$A$15000,20,Registre!$B$3:$B$15000,"octobre",Registre!$C$3:$C$15000,2030)</f>
        <v>0</v>
      </c>
    </row>
    <row r="298" spans="1:4" x14ac:dyDescent="0.25">
      <c r="A298" s="11">
        <v>21</v>
      </c>
      <c r="B298" s="11" t="s">
        <v>24</v>
      </c>
      <c r="C298" s="11">
        <v>2030</v>
      </c>
      <c r="D298" s="41">
        <f>SUMIFS(Registre!$P$3:$P$15000,Registre!$A$3:$A$15000,21,Registre!$B$3:$B$15000,"octobre",Registre!$C$3:$C$15000,2030)</f>
        <v>0</v>
      </c>
    </row>
    <row r="299" spans="1:4" x14ac:dyDescent="0.25">
      <c r="A299" s="11">
        <v>22</v>
      </c>
      <c r="B299" s="11" t="s">
        <v>24</v>
      </c>
      <c r="C299" s="11">
        <v>2030</v>
      </c>
      <c r="D299" s="41">
        <f>SUMIFS(Registre!$P$3:$P$15000,Registre!$A$3:$A$15000,22,Registre!$B$3:$B$15000,"octobre",Registre!$C$3:$C$15000,2030)</f>
        <v>0</v>
      </c>
    </row>
    <row r="300" spans="1:4" x14ac:dyDescent="0.25">
      <c r="A300" s="11">
        <v>23</v>
      </c>
      <c r="B300" s="11" t="s">
        <v>24</v>
      </c>
      <c r="C300" s="11">
        <v>2030</v>
      </c>
      <c r="D300" s="41">
        <f>SUMIFS(Registre!$P$3:$P$15000,Registre!$A$3:$A$15000,23,Registre!$B$3:$B$15000,"octobre",Registre!$C$3:$C$15000,2030)</f>
        <v>0</v>
      </c>
    </row>
    <row r="301" spans="1:4" x14ac:dyDescent="0.25">
      <c r="A301" s="11">
        <v>24</v>
      </c>
      <c r="B301" s="11" t="s">
        <v>24</v>
      </c>
      <c r="C301" s="11">
        <v>2030</v>
      </c>
      <c r="D301" s="41">
        <f>SUMIFS(Registre!$P$3:$P$15000,Registre!$A$3:$A$15000,24,Registre!$B$3:$B$15000,"octobre",Registre!$C$3:$C$15000,2030)</f>
        <v>0</v>
      </c>
    </row>
    <row r="302" spans="1:4" x14ac:dyDescent="0.25">
      <c r="A302" s="11">
        <v>25</v>
      </c>
      <c r="B302" s="11" t="s">
        <v>24</v>
      </c>
      <c r="C302" s="11">
        <v>2030</v>
      </c>
      <c r="D302" s="41">
        <f>SUMIFS(Registre!$P$3:$P$15000,Registre!$A$3:$A$15000,25,Registre!$B$3:$B$15000,"octobre",Registre!$C$3:$C$15000,2030)</f>
        <v>0</v>
      </c>
    </row>
    <row r="303" spans="1:4" x14ac:dyDescent="0.25">
      <c r="A303" s="11">
        <v>26</v>
      </c>
      <c r="B303" s="11" t="s">
        <v>24</v>
      </c>
      <c r="C303" s="11">
        <v>2030</v>
      </c>
      <c r="D303" s="41">
        <f>SUMIFS(Registre!$P$3:$P$15000,Registre!$A$3:$A$15000,26,Registre!$B$3:$B$15000,"octobre",Registre!$C$3:$C$15000,2030)</f>
        <v>0</v>
      </c>
    </row>
    <row r="304" spans="1:4" x14ac:dyDescent="0.25">
      <c r="A304" s="11">
        <v>27</v>
      </c>
      <c r="B304" s="11" t="s">
        <v>24</v>
      </c>
      <c r="C304" s="11">
        <v>2030</v>
      </c>
      <c r="D304" s="41">
        <f>SUMIFS(Registre!$P$3:$P$15000,Registre!$A$3:$A$15000,27,Registre!$B$3:$B$15000,"octobre",Registre!$C$3:$C$15000,2030)</f>
        <v>0</v>
      </c>
    </row>
    <row r="305" spans="1:4" x14ac:dyDescent="0.25">
      <c r="A305" s="11">
        <v>28</v>
      </c>
      <c r="B305" s="11" t="s">
        <v>24</v>
      </c>
      <c r="C305" s="11">
        <v>2030</v>
      </c>
      <c r="D305" s="41">
        <f>SUMIFS(Registre!$P$3:$P$15000,Registre!$A$3:$A$15000,28,Registre!$B$3:$B$15000,"octobre",Registre!$C$3:$C$15000,2030)</f>
        <v>0</v>
      </c>
    </row>
    <row r="306" spans="1:4" x14ac:dyDescent="0.25">
      <c r="A306" s="11">
        <v>29</v>
      </c>
      <c r="B306" s="11" t="s">
        <v>24</v>
      </c>
      <c r="C306" s="11">
        <v>2030</v>
      </c>
      <c r="D306" s="41">
        <f>SUMIFS(Registre!$P$3:$P$15000,Registre!$A$3:$A$15000,29,Registre!$B$3:$B$15000,"octobre",Registre!$C$3:$C$15000,2030)</f>
        <v>0</v>
      </c>
    </row>
    <row r="307" spans="1:4" x14ac:dyDescent="0.25">
      <c r="A307" s="11">
        <v>30</v>
      </c>
      <c r="B307" s="11" t="s">
        <v>24</v>
      </c>
      <c r="C307" s="11">
        <v>2030</v>
      </c>
      <c r="D307" s="41">
        <f>SUMIFS(Registre!$P$3:$P$15000,Registre!$A$3:$A$15000,30,Registre!$B$3:$B$15000,"octobre",Registre!$C$3:$C$15000,2030)</f>
        <v>0</v>
      </c>
    </row>
    <row r="308" spans="1:4" x14ac:dyDescent="0.25">
      <c r="A308" s="11">
        <v>31</v>
      </c>
      <c r="B308" s="11" t="s">
        <v>24</v>
      </c>
      <c r="C308" s="11">
        <v>2030</v>
      </c>
      <c r="D308" s="41">
        <f>SUMIFS(Registre!$P$3:$P$15000,Registre!$A$3:$A$15000,31,Registre!$B$3:$B$15000,"octobre",Registre!$C$3:$C$15000,2030)</f>
        <v>0</v>
      </c>
    </row>
    <row r="309" spans="1:4" x14ac:dyDescent="0.25">
      <c r="A309" s="10">
        <v>1</v>
      </c>
      <c r="B309" s="10" t="s">
        <v>25</v>
      </c>
      <c r="C309" s="10">
        <v>2030</v>
      </c>
      <c r="D309" s="40">
        <f>SUMIFS(Registre!$P$3:$P$15000,Registre!$A$3:$A$15000,1,Registre!$B$3:$B$15000,"novembre",Registre!$C$3:$C$15000,2030)</f>
        <v>0</v>
      </c>
    </row>
    <row r="310" spans="1:4" x14ac:dyDescent="0.25">
      <c r="A310" s="10">
        <v>2</v>
      </c>
      <c r="B310" s="10" t="s">
        <v>25</v>
      </c>
      <c r="C310" s="10">
        <v>2030</v>
      </c>
      <c r="D310" s="40">
        <f>SUMIFS(Registre!$P$3:$P$15000,Registre!$A$3:$A$15000,2,Registre!$B$3:$B$15000,"novembre",Registre!$C$3:$C$15000,2030)</f>
        <v>0</v>
      </c>
    </row>
    <row r="311" spans="1:4" x14ac:dyDescent="0.25">
      <c r="A311" s="10">
        <v>3</v>
      </c>
      <c r="B311" s="10" t="s">
        <v>25</v>
      </c>
      <c r="C311" s="10">
        <v>2030</v>
      </c>
      <c r="D311" s="40">
        <f>SUMIFS(Registre!$P$3:$P$15000,Registre!$A$3:$A$15000,3,Registre!$B$3:$B$15000,"novembre",Registre!$C$3:$C$15000,2030)</f>
        <v>0</v>
      </c>
    </row>
    <row r="312" spans="1:4" x14ac:dyDescent="0.25">
      <c r="A312" s="10">
        <v>4</v>
      </c>
      <c r="B312" s="10" t="s">
        <v>25</v>
      </c>
      <c r="C312" s="10">
        <v>2030</v>
      </c>
      <c r="D312" s="40">
        <f>SUMIFS(Registre!$P$3:$P$15000,Registre!$A$3:$A$15000,4,Registre!$B$3:$B$15000,"novembre",Registre!$C$3:$C$15000,2030)</f>
        <v>0</v>
      </c>
    </row>
    <row r="313" spans="1:4" x14ac:dyDescent="0.25">
      <c r="A313" s="10">
        <v>5</v>
      </c>
      <c r="B313" s="10" t="s">
        <v>25</v>
      </c>
      <c r="C313" s="10">
        <v>2030</v>
      </c>
      <c r="D313" s="40">
        <f>SUMIFS(Registre!$P$3:$P$15000,Registre!$A$3:$A$15000,5,Registre!$B$3:$B$15000,"novembre",Registre!$C$3:$C$15000,2030)</f>
        <v>0</v>
      </c>
    </row>
    <row r="314" spans="1:4" x14ac:dyDescent="0.25">
      <c r="A314" s="10">
        <v>6</v>
      </c>
      <c r="B314" s="10" t="s">
        <v>25</v>
      </c>
      <c r="C314" s="10">
        <v>2030</v>
      </c>
      <c r="D314" s="40">
        <f>SUMIFS(Registre!$P$3:$P$15000,Registre!$A$3:$A$15000,6,Registre!$B$3:$B$15000,"novembre",Registre!$C$3:$C$15000,2030)</f>
        <v>0</v>
      </c>
    </row>
    <row r="315" spans="1:4" x14ac:dyDescent="0.25">
      <c r="A315" s="10">
        <v>7</v>
      </c>
      <c r="B315" s="10" t="s">
        <v>25</v>
      </c>
      <c r="C315" s="10">
        <v>2030</v>
      </c>
      <c r="D315" s="40">
        <f>SUMIFS(Registre!$P$3:$P$15000,Registre!$A$3:$A$15000,7,Registre!$B$3:$B$15000,"novembre",Registre!$C$3:$C$15000,2030)</f>
        <v>0</v>
      </c>
    </row>
    <row r="316" spans="1:4" x14ac:dyDescent="0.25">
      <c r="A316" s="10">
        <v>8</v>
      </c>
      <c r="B316" s="10" t="s">
        <v>25</v>
      </c>
      <c r="C316" s="10">
        <v>2030</v>
      </c>
      <c r="D316" s="40">
        <f>SUMIFS(Registre!$P$3:$P$15000,Registre!$A$3:$A$15000,8,Registre!$B$3:$B$15000,"novembre",Registre!$C$3:$C$15000,2030)</f>
        <v>0</v>
      </c>
    </row>
    <row r="317" spans="1:4" x14ac:dyDescent="0.25">
      <c r="A317" s="10">
        <v>9</v>
      </c>
      <c r="B317" s="10" t="s">
        <v>25</v>
      </c>
      <c r="C317" s="10">
        <v>2030</v>
      </c>
      <c r="D317" s="40">
        <f>SUMIFS(Registre!$P$3:$P$15000,Registre!$A$3:$A$15000,9,Registre!$B$3:$B$15000,"novembre",Registre!$C$3:$C$15000,2030)</f>
        <v>0</v>
      </c>
    </row>
    <row r="318" spans="1:4" x14ac:dyDescent="0.25">
      <c r="A318" s="10">
        <v>10</v>
      </c>
      <c r="B318" s="10" t="s">
        <v>25</v>
      </c>
      <c r="C318" s="10">
        <v>2030</v>
      </c>
      <c r="D318" s="40">
        <f>SUMIFS(Registre!$P$3:$P$15000,Registre!$A$3:$A$15000,10,Registre!$B$3:$B$15000,"novembre",Registre!$C$3:$C$15000,2030)</f>
        <v>0</v>
      </c>
    </row>
    <row r="319" spans="1:4" x14ac:dyDescent="0.25">
      <c r="A319" s="10">
        <v>11</v>
      </c>
      <c r="B319" s="10" t="s">
        <v>25</v>
      </c>
      <c r="C319" s="10">
        <v>2030</v>
      </c>
      <c r="D319" s="40">
        <f>SUMIFS(Registre!$P$3:$P$15000,Registre!$A$3:$A$15000,11,Registre!$B$3:$B$15000,"novembre",Registre!$C$3:$C$15000,2030)</f>
        <v>0</v>
      </c>
    </row>
    <row r="320" spans="1:4" x14ac:dyDescent="0.25">
      <c r="A320" s="10">
        <v>12</v>
      </c>
      <c r="B320" s="10" t="s">
        <v>25</v>
      </c>
      <c r="C320" s="10">
        <v>2030</v>
      </c>
      <c r="D320" s="40">
        <f>SUMIFS(Registre!$P$3:$P$15000,Registre!$A$3:$A$15000,12,Registre!$B$3:$B$15000,"novembre",Registre!$C$3:$C$15000,2030)</f>
        <v>0</v>
      </c>
    </row>
    <row r="321" spans="1:4" x14ac:dyDescent="0.25">
      <c r="A321" s="10">
        <v>13</v>
      </c>
      <c r="B321" s="10" t="s">
        <v>25</v>
      </c>
      <c r="C321" s="10">
        <v>2030</v>
      </c>
      <c r="D321" s="40">
        <f>SUMIFS(Registre!$P$3:$P$15000,Registre!$A$3:$A$15000,13,Registre!$B$3:$B$15000,"novembre",Registre!$C$3:$C$15000,2030)</f>
        <v>0</v>
      </c>
    </row>
    <row r="322" spans="1:4" x14ac:dyDescent="0.25">
      <c r="A322" s="10">
        <v>14</v>
      </c>
      <c r="B322" s="10" t="s">
        <v>25</v>
      </c>
      <c r="C322" s="10">
        <v>2030</v>
      </c>
      <c r="D322" s="40">
        <f>SUMIFS(Registre!$P$3:$P$15000,Registre!$A$3:$A$15000,14,Registre!$B$3:$B$15000,"novembre",Registre!$C$3:$C$15000,2030)</f>
        <v>0</v>
      </c>
    </row>
    <row r="323" spans="1:4" x14ac:dyDescent="0.25">
      <c r="A323" s="10">
        <v>15</v>
      </c>
      <c r="B323" s="10" t="s">
        <v>25</v>
      </c>
      <c r="C323" s="10">
        <v>2030</v>
      </c>
      <c r="D323" s="40">
        <f>SUMIFS(Registre!$P$3:$P$15000,Registre!$A$3:$A$15000,15,Registre!$B$3:$B$15000,"novembre",Registre!$C$3:$C$15000,2030)</f>
        <v>0</v>
      </c>
    </row>
    <row r="324" spans="1:4" x14ac:dyDescent="0.25">
      <c r="A324" s="10">
        <v>16</v>
      </c>
      <c r="B324" s="10" t="s">
        <v>25</v>
      </c>
      <c r="C324" s="10">
        <v>2030</v>
      </c>
      <c r="D324" s="40">
        <f>SUMIFS(Registre!$P$3:$P$15000,Registre!$A$3:$A$15000,16,Registre!$B$3:$B$15000,"novembre",Registre!$C$3:$C$15000,2030)</f>
        <v>0</v>
      </c>
    </row>
    <row r="325" spans="1:4" x14ac:dyDescent="0.25">
      <c r="A325" s="10">
        <v>17</v>
      </c>
      <c r="B325" s="10" t="s">
        <v>25</v>
      </c>
      <c r="C325" s="10">
        <v>2030</v>
      </c>
      <c r="D325" s="40">
        <f>SUMIFS(Registre!$P$3:$P$15000,Registre!$A$3:$A$15000,17,Registre!$B$3:$B$15000,"novembre",Registre!$C$3:$C$15000,2030)</f>
        <v>0</v>
      </c>
    </row>
    <row r="326" spans="1:4" x14ac:dyDescent="0.25">
      <c r="A326" s="10">
        <v>18</v>
      </c>
      <c r="B326" s="10" t="s">
        <v>25</v>
      </c>
      <c r="C326" s="10">
        <v>2030</v>
      </c>
      <c r="D326" s="40">
        <f>SUMIFS(Registre!$P$3:$P$15000,Registre!$A$3:$A$15000,18,Registre!$B$3:$B$15000,"novembre",Registre!$C$3:$C$15000,2030)</f>
        <v>0</v>
      </c>
    </row>
    <row r="327" spans="1:4" x14ac:dyDescent="0.25">
      <c r="A327" s="10">
        <v>19</v>
      </c>
      <c r="B327" s="10" t="s">
        <v>25</v>
      </c>
      <c r="C327" s="10">
        <v>2030</v>
      </c>
      <c r="D327" s="40">
        <f>SUMIFS(Registre!$P$3:$P$15000,Registre!$A$3:$A$15000,19,Registre!$B$3:$B$15000,"novembre",Registre!$C$3:$C$15000,2030)</f>
        <v>0</v>
      </c>
    </row>
    <row r="328" spans="1:4" x14ac:dyDescent="0.25">
      <c r="A328" s="10">
        <v>20</v>
      </c>
      <c r="B328" s="10" t="s">
        <v>25</v>
      </c>
      <c r="C328" s="10">
        <v>2030</v>
      </c>
      <c r="D328" s="40">
        <f>SUMIFS(Registre!$P$3:$P$15000,Registre!$A$3:$A$15000,20,Registre!$B$3:$B$15000,"novembre",Registre!$C$3:$C$15000,2030)</f>
        <v>0</v>
      </c>
    </row>
    <row r="329" spans="1:4" x14ac:dyDescent="0.25">
      <c r="A329" s="10">
        <v>21</v>
      </c>
      <c r="B329" s="10" t="s">
        <v>25</v>
      </c>
      <c r="C329" s="10">
        <v>2030</v>
      </c>
      <c r="D329" s="40">
        <f>SUMIFS(Registre!$P$3:$P$15000,Registre!$A$3:$A$15000,21,Registre!$B$3:$B$15000,"novembre",Registre!$C$3:$C$15000,2030)</f>
        <v>0</v>
      </c>
    </row>
    <row r="330" spans="1:4" x14ac:dyDescent="0.25">
      <c r="A330" s="10">
        <v>22</v>
      </c>
      <c r="B330" s="10" t="s">
        <v>25</v>
      </c>
      <c r="C330" s="10">
        <v>2030</v>
      </c>
      <c r="D330" s="40">
        <f>SUMIFS(Registre!$P$3:$P$15000,Registre!$A$3:$A$15000,22,Registre!$B$3:$B$15000,"novembre",Registre!$C$3:$C$15000,2030)</f>
        <v>0</v>
      </c>
    </row>
    <row r="331" spans="1:4" x14ac:dyDescent="0.25">
      <c r="A331" s="10">
        <v>23</v>
      </c>
      <c r="B331" s="10" t="s">
        <v>25</v>
      </c>
      <c r="C331" s="10">
        <v>2030</v>
      </c>
      <c r="D331" s="40">
        <f>SUMIFS(Registre!$P$3:$P$15000,Registre!$A$3:$A$15000,23,Registre!$B$3:$B$15000,"novembre",Registre!$C$3:$C$15000,2030)</f>
        <v>0</v>
      </c>
    </row>
    <row r="332" spans="1:4" x14ac:dyDescent="0.25">
      <c r="A332" s="10">
        <v>24</v>
      </c>
      <c r="B332" s="10" t="s">
        <v>25</v>
      </c>
      <c r="C332" s="10">
        <v>2030</v>
      </c>
      <c r="D332" s="40">
        <f>SUMIFS(Registre!$P$3:$P$15000,Registre!$A$3:$A$15000,24,Registre!$B$3:$B$15000,"novembre",Registre!$C$3:$C$15000,2030)</f>
        <v>0</v>
      </c>
    </row>
    <row r="333" spans="1:4" x14ac:dyDescent="0.25">
      <c r="A333" s="10">
        <v>25</v>
      </c>
      <c r="B333" s="10" t="s">
        <v>25</v>
      </c>
      <c r="C333" s="10">
        <v>2030</v>
      </c>
      <c r="D333" s="40">
        <f>SUMIFS(Registre!$P$3:$P$15000,Registre!$A$3:$A$15000,25,Registre!$B$3:$B$15000,"novembre",Registre!$C$3:$C$15000,2030)</f>
        <v>0</v>
      </c>
    </row>
    <row r="334" spans="1:4" x14ac:dyDescent="0.25">
      <c r="A334" s="10">
        <v>26</v>
      </c>
      <c r="B334" s="10" t="s">
        <v>25</v>
      </c>
      <c r="C334" s="10">
        <v>2030</v>
      </c>
      <c r="D334" s="40">
        <f>SUMIFS(Registre!$P$3:$P$15000,Registre!$A$3:$A$15000,26,Registre!$B$3:$B$15000,"novembre",Registre!$C$3:$C$15000,2030)</f>
        <v>0</v>
      </c>
    </row>
    <row r="335" spans="1:4" x14ac:dyDescent="0.25">
      <c r="A335" s="10">
        <v>27</v>
      </c>
      <c r="B335" s="10" t="s">
        <v>25</v>
      </c>
      <c r="C335" s="10">
        <v>2030</v>
      </c>
      <c r="D335" s="40">
        <f>SUMIFS(Registre!$P$3:$P$15000,Registre!$A$3:$A$15000,27,Registre!$B$3:$B$15000,"novembre",Registre!$C$3:$C$15000,2030)</f>
        <v>0</v>
      </c>
    </row>
    <row r="336" spans="1:4" x14ac:dyDescent="0.25">
      <c r="A336" s="10">
        <v>28</v>
      </c>
      <c r="B336" s="10" t="s">
        <v>25</v>
      </c>
      <c r="C336" s="10">
        <v>2030</v>
      </c>
      <c r="D336" s="40">
        <f>SUMIFS(Registre!$P$3:$P$15000,Registre!$A$3:$A$15000,28,Registre!$B$3:$B$15000,"novembre",Registre!$C$3:$C$15000,2030)</f>
        <v>0</v>
      </c>
    </row>
    <row r="337" spans="1:4" x14ac:dyDescent="0.25">
      <c r="A337" s="10">
        <v>29</v>
      </c>
      <c r="B337" s="10" t="s">
        <v>25</v>
      </c>
      <c r="C337" s="10">
        <v>2030</v>
      </c>
      <c r="D337" s="40">
        <f>SUMIFS(Registre!$P$3:$P$15000,Registre!$A$3:$A$15000,29,Registre!$B$3:$B$15000,"novembre",Registre!$C$3:$C$15000,2030)</f>
        <v>0</v>
      </c>
    </row>
    <row r="338" spans="1:4" x14ac:dyDescent="0.25">
      <c r="A338" s="10">
        <v>30</v>
      </c>
      <c r="B338" s="10" t="s">
        <v>25</v>
      </c>
      <c r="C338" s="10">
        <v>2030</v>
      </c>
      <c r="D338" s="40">
        <f>SUMIFS(Registre!$P$3:$P$15000,Registre!$A$3:$A$15000,30,Registre!$B$3:$B$15000,"novembre",Registre!$C$3:$C$15000,2030)</f>
        <v>0</v>
      </c>
    </row>
    <row r="339" spans="1:4" x14ac:dyDescent="0.25">
      <c r="A339" s="11">
        <v>1</v>
      </c>
      <c r="B339" s="11" t="s">
        <v>26</v>
      </c>
      <c r="C339" s="11">
        <v>2030</v>
      </c>
      <c r="D339" s="41">
        <f>SUMIFS(Registre!$P$3:$P$15000,Registre!$A$3:$A$15000,1,Registre!$B$3:$B$15000,"décembre",Registre!$C$3:$C$15000,2030)</f>
        <v>0</v>
      </c>
    </row>
    <row r="340" spans="1:4" x14ac:dyDescent="0.25">
      <c r="A340" s="11">
        <v>2</v>
      </c>
      <c r="B340" s="11" t="s">
        <v>26</v>
      </c>
      <c r="C340" s="11">
        <v>2030</v>
      </c>
      <c r="D340" s="41">
        <f>SUMIFS(Registre!$P$3:$P$15000,Registre!$A$3:$A$15000,2,Registre!$B$3:$B$15000,"décembre",Registre!$C$3:$C$15000,2030)</f>
        <v>0</v>
      </c>
    </row>
    <row r="341" spans="1:4" x14ac:dyDescent="0.25">
      <c r="A341" s="11">
        <v>3</v>
      </c>
      <c r="B341" s="11" t="s">
        <v>26</v>
      </c>
      <c r="C341" s="11">
        <v>2030</v>
      </c>
      <c r="D341" s="41">
        <f>SUMIFS(Registre!$P$3:$P$15000,Registre!$A$3:$A$15000,3,Registre!$B$3:$B$15000,"décembre",Registre!$C$3:$C$15000,2030)</f>
        <v>0</v>
      </c>
    </row>
    <row r="342" spans="1:4" x14ac:dyDescent="0.25">
      <c r="A342" s="11">
        <v>4</v>
      </c>
      <c r="B342" s="11" t="s">
        <v>26</v>
      </c>
      <c r="C342" s="11">
        <v>2030</v>
      </c>
      <c r="D342" s="41">
        <f>SUMIFS(Registre!$P$3:$P$15000,Registre!$A$3:$A$15000,4,Registre!$B$3:$B$15000,"décembre",Registre!$C$3:$C$15000,2030)</f>
        <v>0</v>
      </c>
    </row>
    <row r="343" spans="1:4" x14ac:dyDescent="0.25">
      <c r="A343" s="11">
        <v>5</v>
      </c>
      <c r="B343" s="11" t="s">
        <v>26</v>
      </c>
      <c r="C343" s="11">
        <v>2030</v>
      </c>
      <c r="D343" s="41">
        <f>SUMIFS(Registre!$P$3:$P$15000,Registre!$A$3:$A$15000,5,Registre!$B$3:$B$15000,"décembre",Registre!$C$3:$C$15000,2030)</f>
        <v>0</v>
      </c>
    </row>
    <row r="344" spans="1:4" x14ac:dyDescent="0.25">
      <c r="A344" s="11">
        <v>6</v>
      </c>
      <c r="B344" s="11" t="s">
        <v>26</v>
      </c>
      <c r="C344" s="11">
        <v>2030</v>
      </c>
      <c r="D344" s="41">
        <f>SUMIFS(Registre!$P$3:$P$15000,Registre!$A$3:$A$15000,6,Registre!$B$3:$B$15000,"décembre",Registre!$C$3:$C$15000,2030)</f>
        <v>0</v>
      </c>
    </row>
    <row r="345" spans="1:4" x14ac:dyDescent="0.25">
      <c r="A345" s="11">
        <v>7</v>
      </c>
      <c r="B345" s="11" t="s">
        <v>26</v>
      </c>
      <c r="C345" s="11">
        <v>2030</v>
      </c>
      <c r="D345" s="41">
        <f>SUMIFS(Registre!$P$3:$P$15000,Registre!$A$3:$A$15000,7,Registre!$B$3:$B$15000,"décembre",Registre!$C$3:$C$15000,2030)</f>
        <v>0</v>
      </c>
    </row>
    <row r="346" spans="1:4" x14ac:dyDescent="0.25">
      <c r="A346" s="11">
        <v>8</v>
      </c>
      <c r="B346" s="11" t="s">
        <v>26</v>
      </c>
      <c r="C346" s="11">
        <v>2030</v>
      </c>
      <c r="D346" s="41">
        <f>SUMIFS(Registre!$P$3:$P$15000,Registre!$A$3:$A$15000,8,Registre!$B$3:$B$15000,"décembre",Registre!$C$3:$C$15000,2030)</f>
        <v>0</v>
      </c>
    </row>
    <row r="347" spans="1:4" x14ac:dyDescent="0.25">
      <c r="A347" s="11">
        <v>9</v>
      </c>
      <c r="B347" s="11" t="s">
        <v>26</v>
      </c>
      <c r="C347" s="11">
        <v>2030</v>
      </c>
      <c r="D347" s="41">
        <f>SUMIFS(Registre!$P$3:$P$15000,Registre!$A$3:$A$15000,9,Registre!$B$3:$B$15000,"décembre",Registre!$C$3:$C$15000,2030)</f>
        <v>0</v>
      </c>
    </row>
    <row r="348" spans="1:4" x14ac:dyDescent="0.25">
      <c r="A348" s="11">
        <v>10</v>
      </c>
      <c r="B348" s="11" t="s">
        <v>26</v>
      </c>
      <c r="C348" s="11">
        <v>2030</v>
      </c>
      <c r="D348" s="41">
        <f>SUMIFS(Registre!$P$3:$P$15000,Registre!$A$3:$A$15000,10,Registre!$B$3:$B$15000,"décembre",Registre!$C$3:$C$15000,2030)</f>
        <v>0</v>
      </c>
    </row>
    <row r="349" spans="1:4" x14ac:dyDescent="0.25">
      <c r="A349" s="11">
        <v>11</v>
      </c>
      <c r="B349" s="11" t="s">
        <v>26</v>
      </c>
      <c r="C349" s="11">
        <v>2030</v>
      </c>
      <c r="D349" s="41">
        <f>SUMIFS(Registre!$P$3:$P$15000,Registre!$A$3:$A$15000,11,Registre!$B$3:$B$15000,"décembre",Registre!$C$3:$C$15000,2030)</f>
        <v>0</v>
      </c>
    </row>
    <row r="350" spans="1:4" x14ac:dyDescent="0.25">
      <c r="A350" s="11">
        <v>12</v>
      </c>
      <c r="B350" s="11" t="s">
        <v>26</v>
      </c>
      <c r="C350" s="11">
        <v>2030</v>
      </c>
      <c r="D350" s="41">
        <f>SUMIFS(Registre!$P$3:$P$15000,Registre!$A$3:$A$15000,12,Registre!$B$3:$B$15000,"décembre",Registre!$C$3:$C$15000,2030)</f>
        <v>0</v>
      </c>
    </row>
    <row r="351" spans="1:4" x14ac:dyDescent="0.25">
      <c r="A351" s="11">
        <v>13</v>
      </c>
      <c r="B351" s="11" t="s">
        <v>26</v>
      </c>
      <c r="C351" s="11">
        <v>2030</v>
      </c>
      <c r="D351" s="41">
        <f>SUMIFS(Registre!$P$3:$P$15000,Registre!$A$3:$A$15000,13,Registre!$B$3:$B$15000,"décembre",Registre!$C$3:$C$15000,2030)</f>
        <v>0</v>
      </c>
    </row>
    <row r="352" spans="1:4" x14ac:dyDescent="0.25">
      <c r="A352" s="11">
        <v>14</v>
      </c>
      <c r="B352" s="11" t="s">
        <v>26</v>
      </c>
      <c r="C352" s="11">
        <v>2030</v>
      </c>
      <c r="D352" s="41">
        <f>SUMIFS(Registre!$P$3:$P$15000,Registre!$A$3:$A$15000,14,Registre!$B$3:$B$15000,"décembre",Registre!$C$3:$C$15000,2030)</f>
        <v>0</v>
      </c>
    </row>
    <row r="353" spans="1:4" x14ac:dyDescent="0.25">
      <c r="A353" s="11">
        <v>15</v>
      </c>
      <c r="B353" s="11" t="s">
        <v>26</v>
      </c>
      <c r="C353" s="11">
        <v>2030</v>
      </c>
      <c r="D353" s="41">
        <f>SUMIFS(Registre!$P$3:$P$15000,Registre!$A$3:$A$15000,15,Registre!$B$3:$B$15000,"décembre",Registre!$C$3:$C$15000,2030)</f>
        <v>0</v>
      </c>
    </row>
    <row r="354" spans="1:4" x14ac:dyDescent="0.25">
      <c r="A354" s="11">
        <v>16</v>
      </c>
      <c r="B354" s="11" t="s">
        <v>26</v>
      </c>
      <c r="C354" s="11">
        <v>2030</v>
      </c>
      <c r="D354" s="41">
        <f>SUMIFS(Registre!$P$3:$P$15000,Registre!$A$3:$A$15000,16,Registre!$B$3:$B$15000,"décembre",Registre!$C$3:$C$15000,2030)</f>
        <v>0</v>
      </c>
    </row>
    <row r="355" spans="1:4" x14ac:dyDescent="0.25">
      <c r="A355" s="11">
        <v>17</v>
      </c>
      <c r="B355" s="11" t="s">
        <v>26</v>
      </c>
      <c r="C355" s="11">
        <v>2030</v>
      </c>
      <c r="D355" s="41">
        <f>SUMIFS(Registre!$P$3:$P$15000,Registre!$A$3:$A$15000,17,Registre!$B$3:$B$15000,"décembre",Registre!$C$3:$C$15000,2030)</f>
        <v>0</v>
      </c>
    </row>
    <row r="356" spans="1:4" x14ac:dyDescent="0.25">
      <c r="A356" s="11">
        <v>18</v>
      </c>
      <c r="B356" s="11" t="s">
        <v>26</v>
      </c>
      <c r="C356" s="11">
        <v>2030</v>
      </c>
      <c r="D356" s="41">
        <f>SUMIFS(Registre!$P$3:$P$15000,Registre!$A$3:$A$15000,18,Registre!$B$3:$B$15000,"décembre",Registre!$C$3:$C$15000,2030)</f>
        <v>0</v>
      </c>
    </row>
    <row r="357" spans="1:4" x14ac:dyDescent="0.25">
      <c r="A357" s="11">
        <v>19</v>
      </c>
      <c r="B357" s="11" t="s">
        <v>26</v>
      </c>
      <c r="C357" s="11">
        <v>2030</v>
      </c>
      <c r="D357" s="41">
        <f>SUMIFS(Registre!$P$3:$P$15000,Registre!$A$3:$A$15000,19,Registre!$B$3:$B$15000,"décembre",Registre!$C$3:$C$15000,2030)</f>
        <v>0</v>
      </c>
    </row>
    <row r="358" spans="1:4" x14ac:dyDescent="0.25">
      <c r="A358" s="11">
        <v>20</v>
      </c>
      <c r="B358" s="11" t="s">
        <v>26</v>
      </c>
      <c r="C358" s="11">
        <v>2030</v>
      </c>
      <c r="D358" s="41">
        <f>SUMIFS(Registre!$P$3:$P$15000,Registre!$A$3:$A$15000,20,Registre!$B$3:$B$15000,"décembre",Registre!$C$3:$C$15000,2030)</f>
        <v>0</v>
      </c>
    </row>
    <row r="359" spans="1:4" x14ac:dyDescent="0.25">
      <c r="A359" s="11">
        <v>21</v>
      </c>
      <c r="B359" s="11" t="s">
        <v>26</v>
      </c>
      <c r="C359" s="11">
        <v>2030</v>
      </c>
      <c r="D359" s="41">
        <f>SUMIFS(Registre!$P$3:$P$15000,Registre!$A$3:$A$15000,21,Registre!$B$3:$B$15000,"décembre",Registre!$C$3:$C$15000,2030)</f>
        <v>0</v>
      </c>
    </row>
    <row r="360" spans="1:4" x14ac:dyDescent="0.25">
      <c r="A360" s="11">
        <v>22</v>
      </c>
      <c r="B360" s="11" t="s">
        <v>26</v>
      </c>
      <c r="C360" s="11">
        <v>2030</v>
      </c>
      <c r="D360" s="41">
        <f>SUMIFS(Registre!$P$3:$P$15000,Registre!$A$3:$A$15000,22,Registre!$B$3:$B$15000,"décembre",Registre!$C$3:$C$15000,2030)</f>
        <v>0</v>
      </c>
    </row>
    <row r="361" spans="1:4" x14ac:dyDescent="0.25">
      <c r="A361" s="11">
        <v>23</v>
      </c>
      <c r="B361" s="11" t="s">
        <v>26</v>
      </c>
      <c r="C361" s="11">
        <v>2030</v>
      </c>
      <c r="D361" s="41">
        <f>SUMIFS(Registre!$P$3:$P$15000,Registre!$A$3:$A$15000,23,Registre!$B$3:$B$15000,"décembre",Registre!$C$3:$C$15000,2030)</f>
        <v>0</v>
      </c>
    </row>
    <row r="362" spans="1:4" x14ac:dyDescent="0.25">
      <c r="A362" s="11">
        <v>24</v>
      </c>
      <c r="B362" s="11" t="s">
        <v>26</v>
      </c>
      <c r="C362" s="11">
        <v>2030</v>
      </c>
      <c r="D362" s="41">
        <f>SUMIFS(Registre!$P$3:$P$15000,Registre!$A$3:$A$15000,24,Registre!$B$3:$B$15000,"décembre",Registre!$C$3:$C$15000,2030)</f>
        <v>0</v>
      </c>
    </row>
    <row r="363" spans="1:4" x14ac:dyDescent="0.25">
      <c r="A363" s="11">
        <v>25</v>
      </c>
      <c r="B363" s="11" t="s">
        <v>26</v>
      </c>
      <c r="C363" s="11">
        <v>2030</v>
      </c>
      <c r="D363" s="41">
        <f>SUMIFS(Registre!$P$3:$P$15000,Registre!$A$3:$A$15000,25,Registre!$B$3:$B$15000,"décembre",Registre!$C$3:$C$15000,2030)</f>
        <v>0</v>
      </c>
    </row>
    <row r="364" spans="1:4" x14ac:dyDescent="0.25">
      <c r="A364" s="11">
        <v>26</v>
      </c>
      <c r="B364" s="11" t="s">
        <v>26</v>
      </c>
      <c r="C364" s="11">
        <v>2030</v>
      </c>
      <c r="D364" s="41">
        <f>SUMIFS(Registre!$P$3:$P$15000,Registre!$A$3:$A$15000,26,Registre!$B$3:$B$15000,"décembre",Registre!$C$3:$C$15000,2030)</f>
        <v>0</v>
      </c>
    </row>
    <row r="365" spans="1:4" x14ac:dyDescent="0.25">
      <c r="A365" s="11">
        <v>27</v>
      </c>
      <c r="B365" s="11" t="s">
        <v>26</v>
      </c>
      <c r="C365" s="11">
        <v>2030</v>
      </c>
      <c r="D365" s="41">
        <f>SUMIFS(Registre!$P$3:$P$15000,Registre!$A$3:$A$15000,27,Registre!$B$3:$B$15000,"décembre",Registre!$C$3:$C$15000,2030)</f>
        <v>0</v>
      </c>
    </row>
    <row r="366" spans="1:4" x14ac:dyDescent="0.25">
      <c r="A366" s="11">
        <v>28</v>
      </c>
      <c r="B366" s="11" t="s">
        <v>26</v>
      </c>
      <c r="C366" s="11">
        <v>2030</v>
      </c>
      <c r="D366" s="41">
        <f>SUMIFS(Registre!$P$3:$P$15000,Registre!$A$3:$A$15000,28,Registre!$B$3:$B$15000,"décembre",Registre!$C$3:$C$15000,2030)</f>
        <v>0</v>
      </c>
    </row>
    <row r="367" spans="1:4" x14ac:dyDescent="0.25">
      <c r="A367" s="11">
        <v>29</v>
      </c>
      <c r="B367" s="11" t="s">
        <v>26</v>
      </c>
      <c r="C367" s="11">
        <v>2030</v>
      </c>
      <c r="D367" s="41">
        <f>SUMIFS(Registre!$P$3:$P$15000,Registre!$A$3:$A$15000,29,Registre!$B$3:$B$15000,"décembre",Registre!$C$3:$C$15000,2030)</f>
        <v>0</v>
      </c>
    </row>
    <row r="368" spans="1:4" x14ac:dyDescent="0.25">
      <c r="A368" s="11">
        <v>30</v>
      </c>
      <c r="B368" s="11" t="s">
        <v>26</v>
      </c>
      <c r="C368" s="11">
        <v>2030</v>
      </c>
      <c r="D368" s="41">
        <f>SUMIFS(Registre!$P$3:$P$15000,Registre!$A$3:$A$15000,30,Registre!$B$3:$B$15000,"décembre",Registre!$C$3:$C$15000,2030)</f>
        <v>0</v>
      </c>
    </row>
    <row r="369" spans="1:4" x14ac:dyDescent="0.25">
      <c r="A369" s="11">
        <v>31</v>
      </c>
      <c r="B369" s="11" t="s">
        <v>26</v>
      </c>
      <c r="C369" s="11">
        <v>2030</v>
      </c>
      <c r="D369" s="41">
        <f>SUMIFS(Registre!$P$3:$P$15000,Registre!$A$3:$A$15000,31,Registre!$B$3:$B$15000,"décembre",Registre!$C$3:$C$15000,2030)</f>
        <v>0</v>
      </c>
    </row>
  </sheetData>
  <sheetProtection algorithmName="SHA-512" hashValue="rPxqM7p1W+tKu2Dnf2sZiSc7vB8nStNhLNODNa9IvwbHDyPOjm2xAJIxTys/UgRVQjMHDFnjRddPlQbLXXW3Fw==" saltValue="MDKFhRm1x7S28TqAQUJlow==" spinCount="100000" sheet="1" objects="1" scenarios="1"/>
  <mergeCells count="7">
    <mergeCell ref="A2:D2"/>
    <mergeCell ref="F2:S2"/>
    <mergeCell ref="A3:C3"/>
    <mergeCell ref="D3:D4"/>
    <mergeCell ref="F3:F4"/>
    <mergeCell ref="G3:G4"/>
    <mergeCell ref="H3:S3"/>
  </mergeCells>
  <conditionalFormatting sqref="D5:D369">
    <cfRule type="expression" dxfId="5" priority="6">
      <formula>D5&gt;15</formula>
    </cfRule>
  </conditionalFormatting>
  <conditionalFormatting sqref="D36:D63">
    <cfRule type="expression" dxfId="4" priority="5">
      <formula>"ET($D$5:$D$35&gt;15;$H5&gt;$G$5"</formula>
    </cfRule>
  </conditionalFormatting>
  <conditionalFormatting sqref="H5:S13">
    <cfRule type="expression" dxfId="3" priority="1">
      <formula>AND(COUNTIFS($B:$B,H$4,$D:$D,"&gt;15")&gt;0,$G5&lt;H5,ISNUMBER(H5))</formula>
    </cfRule>
  </conditionalFormatting>
  <conditionalFormatting sqref="I5:I13">
    <cfRule type="expression" dxfId="2" priority="2">
      <formula>AND($D$36:$D$63&gt;15,$I5&gt;$G5)</formula>
    </cfRule>
  </conditionalFormatting>
  <conditionalFormatting sqref="J5:J13">
    <cfRule type="expression" dxfId="1" priority="4">
      <formula>"ET($D$64:$D$94&gt;15;$J$5&gt;$G$5)"</formula>
    </cfRule>
  </conditionalFormatting>
  <conditionalFormatting sqref="K5:K13">
    <cfRule type="expression" dxfId="0" priority="3">
      <formula>AND($D$95:$D$124&gt;15,$K$5&gt;$G$5)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J9998"/>
  <sheetViews>
    <sheetView zoomScale="120" zoomScaleNormal="120" workbookViewId="0">
      <selection activeCell="A3" sqref="A3"/>
    </sheetView>
  </sheetViews>
  <sheetFormatPr baseColWidth="10" defaultRowHeight="15" x14ac:dyDescent="0.25"/>
  <cols>
    <col min="1" max="1" width="42.28515625" style="12" customWidth="1"/>
    <col min="2" max="2" width="54.85546875" style="3" customWidth="1"/>
    <col min="3" max="3" width="17.140625" style="3" customWidth="1"/>
    <col min="4" max="4" width="19.42578125" style="5" customWidth="1"/>
    <col min="5" max="5" width="19.42578125" style="3" customWidth="1"/>
    <col min="6" max="6" width="17.5703125" style="3" customWidth="1"/>
    <col min="7" max="7" width="18.85546875" style="5" customWidth="1"/>
    <col min="8" max="8" width="17.5703125" style="32" customWidth="1"/>
    <col min="10" max="10" width="11.42578125" hidden="1" customWidth="1"/>
  </cols>
  <sheetData>
    <row r="1" spans="1:10" x14ac:dyDescent="0.25">
      <c r="A1" s="42" t="s">
        <v>35</v>
      </c>
      <c r="B1" s="42" t="s">
        <v>53</v>
      </c>
      <c r="C1" s="43" t="s">
        <v>10</v>
      </c>
      <c r="D1" s="43"/>
      <c r="E1" s="44" t="s">
        <v>11</v>
      </c>
      <c r="F1" s="44"/>
      <c r="G1" s="44"/>
      <c r="H1" s="45" t="s">
        <v>6</v>
      </c>
    </row>
    <row r="2" spans="1:10" ht="63.75" customHeight="1" x14ac:dyDescent="0.25">
      <c r="A2" s="42"/>
      <c r="B2" s="42"/>
      <c r="C2" s="6" t="s">
        <v>54</v>
      </c>
      <c r="D2" s="6" t="s">
        <v>55</v>
      </c>
      <c r="E2" s="7" t="s">
        <v>0</v>
      </c>
      <c r="F2" s="7" t="s">
        <v>56</v>
      </c>
      <c r="G2" s="7" t="s">
        <v>55</v>
      </c>
      <c r="H2" s="45"/>
    </row>
    <row r="3" spans="1:10" x14ac:dyDescent="0.25">
      <c r="C3" s="4"/>
      <c r="E3" s="4"/>
      <c r="F3" s="4"/>
      <c r="H3" s="31" t="str">
        <f>IF($J3=TRUE,"Il ne peut y avoir des valeurs dans les 2 méthodes",IF($D3="kg/l",$C3,IF($D3="g/l",$C3/1000,IF($D3="lb/gal US",$C3*0.454/3.785,IF($G3="kg/l",($E3/100)*$F3,IF($G3="g/l",($E3/100)*$F3/1000,IF($G3="lb/gal US",($E3/100)*$F3*0.454/3.785,"")))))))</f>
        <v/>
      </c>
      <c r="J3" t="b">
        <f>IF(AND(OR($C3&lt;&gt;"",$D3&lt;&gt;""),OR($E3&lt;&gt;"",F3&lt;&gt;"",G3&lt;&gt;"")),TRUE,FALSE)</f>
        <v>0</v>
      </c>
    </row>
    <row r="4" spans="1:10" x14ac:dyDescent="0.25">
      <c r="C4" s="4"/>
      <c r="E4" s="4"/>
      <c r="F4" s="4"/>
      <c r="H4" s="31" t="str">
        <f t="shared" ref="H4:H67" si="0">IF($J4=TRUE,"Il ne peut y avoir des valeurs dans les 2 méthodes",IF($D4="kg/l",$C4,IF($D4="g/l",$C4/1000,IF($D4="lb/gal US",$C4*0.454/3.785,IF($G4="kg/l",($E4/100)*$F4,IF($G4="g/l",($E4/100)*$F4/1000,IF($G4="lb/gal US",($E4/100)*$F4*0.454/3.785,"")))))))</f>
        <v/>
      </c>
      <c r="J4" t="b">
        <f t="shared" ref="J4:J67" si="1">IF(AND(OR($C4&lt;&gt;"",$D4&lt;&gt;""),OR($E4&lt;&gt;"",F4&lt;&gt;"",G4&lt;&gt;"")),TRUE,FALSE)</f>
        <v>0</v>
      </c>
    </row>
    <row r="5" spans="1:10" x14ac:dyDescent="0.25">
      <c r="C5" s="4"/>
      <c r="E5" s="4"/>
      <c r="F5" s="4"/>
      <c r="H5" s="31" t="str">
        <f t="shared" si="0"/>
        <v/>
      </c>
      <c r="J5" t="b">
        <f t="shared" si="1"/>
        <v>0</v>
      </c>
    </row>
    <row r="6" spans="1:10" x14ac:dyDescent="0.25">
      <c r="C6" s="4"/>
      <c r="E6" s="4"/>
      <c r="F6" s="4"/>
      <c r="H6" s="31" t="str">
        <f t="shared" si="0"/>
        <v/>
      </c>
      <c r="J6" t="b">
        <f t="shared" si="1"/>
        <v>0</v>
      </c>
    </row>
    <row r="7" spans="1:10" x14ac:dyDescent="0.25">
      <c r="C7" s="4"/>
      <c r="E7" s="4"/>
      <c r="F7" s="4"/>
      <c r="H7" s="31" t="str">
        <f t="shared" si="0"/>
        <v/>
      </c>
      <c r="J7" t="b">
        <f t="shared" si="1"/>
        <v>0</v>
      </c>
    </row>
    <row r="8" spans="1:10" x14ac:dyDescent="0.25">
      <c r="C8" s="4"/>
      <c r="E8" s="4"/>
      <c r="F8" s="4"/>
      <c r="H8" s="31" t="str">
        <f t="shared" si="0"/>
        <v/>
      </c>
      <c r="J8" t="b">
        <f t="shared" si="1"/>
        <v>0</v>
      </c>
    </row>
    <row r="9" spans="1:10" x14ac:dyDescent="0.25">
      <c r="C9" s="4"/>
      <c r="E9" s="4"/>
      <c r="F9" s="4"/>
      <c r="H9" s="31" t="str">
        <f t="shared" si="0"/>
        <v/>
      </c>
      <c r="J9" t="b">
        <f t="shared" si="1"/>
        <v>0</v>
      </c>
    </row>
    <row r="10" spans="1:10" x14ac:dyDescent="0.25">
      <c r="C10" s="4"/>
      <c r="E10" s="4"/>
      <c r="F10" s="4"/>
      <c r="H10" s="31" t="str">
        <f t="shared" si="0"/>
        <v/>
      </c>
      <c r="J10" t="b">
        <f t="shared" si="1"/>
        <v>0</v>
      </c>
    </row>
    <row r="11" spans="1:10" x14ac:dyDescent="0.25">
      <c r="C11" s="4"/>
      <c r="E11" s="4"/>
      <c r="F11" s="4"/>
      <c r="H11" s="31" t="str">
        <f t="shared" si="0"/>
        <v/>
      </c>
      <c r="J11" t="b">
        <f t="shared" si="1"/>
        <v>0</v>
      </c>
    </row>
    <row r="12" spans="1:10" x14ac:dyDescent="0.25">
      <c r="C12" s="4"/>
      <c r="E12" s="4"/>
      <c r="F12" s="4"/>
      <c r="H12" s="31" t="str">
        <f t="shared" si="0"/>
        <v/>
      </c>
      <c r="J12" t="b">
        <f t="shared" si="1"/>
        <v>0</v>
      </c>
    </row>
    <row r="13" spans="1:10" x14ac:dyDescent="0.25">
      <c r="C13" s="4"/>
      <c r="E13" s="4"/>
      <c r="F13" s="4"/>
      <c r="H13" s="31" t="str">
        <f t="shared" si="0"/>
        <v/>
      </c>
      <c r="J13" t="b">
        <f t="shared" si="1"/>
        <v>0</v>
      </c>
    </row>
    <row r="14" spans="1:10" x14ac:dyDescent="0.25">
      <c r="C14" s="4"/>
      <c r="E14" s="4"/>
      <c r="F14" s="4"/>
      <c r="H14" s="31" t="str">
        <f t="shared" si="0"/>
        <v/>
      </c>
      <c r="J14" t="b">
        <f t="shared" si="1"/>
        <v>0</v>
      </c>
    </row>
    <row r="15" spans="1:10" x14ac:dyDescent="0.25">
      <c r="C15" s="4"/>
      <c r="E15" s="4"/>
      <c r="H15" s="31" t="str">
        <f t="shared" si="0"/>
        <v/>
      </c>
      <c r="J15" t="b">
        <f t="shared" si="1"/>
        <v>0</v>
      </c>
    </row>
    <row r="16" spans="1:10" x14ac:dyDescent="0.25">
      <c r="C16" s="4"/>
      <c r="E16" s="4"/>
      <c r="H16" s="31" t="str">
        <f t="shared" si="0"/>
        <v/>
      </c>
      <c r="J16" t="b">
        <f t="shared" si="1"/>
        <v>0</v>
      </c>
    </row>
    <row r="17" spans="3:10" x14ac:dyDescent="0.25">
      <c r="C17" s="4"/>
      <c r="E17" s="4"/>
      <c r="H17" s="31" t="str">
        <f t="shared" si="0"/>
        <v/>
      </c>
      <c r="J17" t="b">
        <f t="shared" si="1"/>
        <v>0</v>
      </c>
    </row>
    <row r="18" spans="3:10" x14ac:dyDescent="0.25">
      <c r="C18" s="4"/>
      <c r="E18" s="4"/>
      <c r="H18" s="31" t="str">
        <f t="shared" si="0"/>
        <v/>
      </c>
      <c r="J18" t="b">
        <f t="shared" si="1"/>
        <v>0</v>
      </c>
    </row>
    <row r="19" spans="3:10" x14ac:dyDescent="0.25">
      <c r="C19" s="4"/>
      <c r="E19" s="4"/>
      <c r="H19" s="31" t="str">
        <f t="shared" si="0"/>
        <v/>
      </c>
      <c r="J19" t="b">
        <f t="shared" si="1"/>
        <v>0</v>
      </c>
    </row>
    <row r="20" spans="3:10" x14ac:dyDescent="0.25">
      <c r="C20" s="4"/>
      <c r="E20" s="4"/>
      <c r="H20" s="31" t="str">
        <f t="shared" si="0"/>
        <v/>
      </c>
      <c r="J20" t="b">
        <f t="shared" si="1"/>
        <v>0</v>
      </c>
    </row>
    <row r="21" spans="3:10" x14ac:dyDescent="0.25">
      <c r="C21" s="4"/>
      <c r="E21" s="4"/>
      <c r="H21" s="31" t="str">
        <f t="shared" si="0"/>
        <v/>
      </c>
      <c r="J21" t="b">
        <f t="shared" si="1"/>
        <v>0</v>
      </c>
    </row>
    <row r="22" spans="3:10" x14ac:dyDescent="0.25">
      <c r="C22" s="4"/>
      <c r="E22" s="4"/>
      <c r="H22" s="31" t="str">
        <f t="shared" si="0"/>
        <v/>
      </c>
      <c r="J22" t="b">
        <f t="shared" si="1"/>
        <v>0</v>
      </c>
    </row>
    <row r="23" spans="3:10" x14ac:dyDescent="0.25">
      <c r="C23" s="4"/>
      <c r="E23" s="4"/>
      <c r="H23" s="31" t="str">
        <f t="shared" si="0"/>
        <v/>
      </c>
      <c r="J23" t="b">
        <f t="shared" si="1"/>
        <v>0</v>
      </c>
    </row>
    <row r="24" spans="3:10" x14ac:dyDescent="0.25">
      <c r="C24" s="4"/>
      <c r="E24" s="4"/>
      <c r="H24" s="31" t="str">
        <f t="shared" si="0"/>
        <v/>
      </c>
      <c r="J24" t="b">
        <f t="shared" si="1"/>
        <v>0</v>
      </c>
    </row>
    <row r="25" spans="3:10" x14ac:dyDescent="0.25">
      <c r="C25" s="4"/>
      <c r="E25" s="4"/>
      <c r="H25" s="31" t="str">
        <f t="shared" si="0"/>
        <v/>
      </c>
      <c r="J25" t="b">
        <f t="shared" si="1"/>
        <v>0</v>
      </c>
    </row>
    <row r="26" spans="3:10" x14ac:dyDescent="0.25">
      <c r="C26" s="4"/>
      <c r="E26" s="4"/>
      <c r="H26" s="31" t="str">
        <f t="shared" si="0"/>
        <v/>
      </c>
      <c r="J26" t="b">
        <f t="shared" si="1"/>
        <v>0</v>
      </c>
    </row>
    <row r="27" spans="3:10" x14ac:dyDescent="0.25">
      <c r="C27" s="4"/>
      <c r="E27" s="4"/>
      <c r="H27" s="31" t="str">
        <f t="shared" si="0"/>
        <v/>
      </c>
      <c r="J27" t="b">
        <f t="shared" si="1"/>
        <v>0</v>
      </c>
    </row>
    <row r="28" spans="3:10" x14ac:dyDescent="0.25">
      <c r="C28" s="4"/>
      <c r="E28" s="4"/>
      <c r="H28" s="31" t="str">
        <f t="shared" si="0"/>
        <v/>
      </c>
      <c r="J28" t="b">
        <f t="shared" si="1"/>
        <v>0</v>
      </c>
    </row>
    <row r="29" spans="3:10" x14ac:dyDescent="0.25">
      <c r="C29" s="4"/>
      <c r="E29" s="4"/>
      <c r="H29" s="31" t="str">
        <f t="shared" si="0"/>
        <v/>
      </c>
      <c r="J29" t="b">
        <f t="shared" si="1"/>
        <v>0</v>
      </c>
    </row>
    <row r="30" spans="3:10" x14ac:dyDescent="0.25">
      <c r="C30" s="4"/>
      <c r="E30" s="4"/>
      <c r="H30" s="31" t="str">
        <f t="shared" si="0"/>
        <v/>
      </c>
      <c r="J30" t="b">
        <f t="shared" si="1"/>
        <v>0</v>
      </c>
    </row>
    <row r="31" spans="3:10" x14ac:dyDescent="0.25">
      <c r="C31" s="4"/>
      <c r="E31" s="4"/>
      <c r="H31" s="31" t="str">
        <f t="shared" si="0"/>
        <v/>
      </c>
      <c r="J31" t="b">
        <f t="shared" si="1"/>
        <v>0</v>
      </c>
    </row>
    <row r="32" spans="3:10" x14ac:dyDescent="0.25">
      <c r="C32" s="4"/>
      <c r="E32" s="4"/>
      <c r="H32" s="31" t="str">
        <f t="shared" si="0"/>
        <v/>
      </c>
      <c r="J32" t="b">
        <f t="shared" si="1"/>
        <v>0</v>
      </c>
    </row>
    <row r="33" spans="3:10" x14ac:dyDescent="0.25">
      <c r="C33" s="4"/>
      <c r="E33" s="4"/>
      <c r="H33" s="31" t="str">
        <f t="shared" si="0"/>
        <v/>
      </c>
      <c r="J33" t="b">
        <f t="shared" si="1"/>
        <v>0</v>
      </c>
    </row>
    <row r="34" spans="3:10" x14ac:dyDescent="0.25">
      <c r="C34" s="4"/>
      <c r="E34" s="4"/>
      <c r="H34" s="31" t="str">
        <f t="shared" si="0"/>
        <v/>
      </c>
      <c r="J34" t="b">
        <f t="shared" si="1"/>
        <v>0</v>
      </c>
    </row>
    <row r="35" spans="3:10" x14ac:dyDescent="0.25">
      <c r="C35" s="4"/>
      <c r="E35" s="4"/>
      <c r="H35" s="31" t="str">
        <f t="shared" si="0"/>
        <v/>
      </c>
      <c r="J35" t="b">
        <f t="shared" si="1"/>
        <v>0</v>
      </c>
    </row>
    <row r="36" spans="3:10" x14ac:dyDescent="0.25">
      <c r="C36" s="4"/>
      <c r="E36" s="4"/>
      <c r="H36" s="31" t="str">
        <f t="shared" si="0"/>
        <v/>
      </c>
      <c r="J36" t="b">
        <f t="shared" si="1"/>
        <v>0</v>
      </c>
    </row>
    <row r="37" spans="3:10" x14ac:dyDescent="0.25">
      <c r="C37" s="4"/>
      <c r="E37" s="4"/>
      <c r="H37" s="31" t="str">
        <f t="shared" si="0"/>
        <v/>
      </c>
      <c r="J37" t="b">
        <f t="shared" si="1"/>
        <v>0</v>
      </c>
    </row>
    <row r="38" spans="3:10" x14ac:dyDescent="0.25">
      <c r="C38" s="4"/>
      <c r="E38" s="4"/>
      <c r="H38" s="31" t="str">
        <f t="shared" si="0"/>
        <v/>
      </c>
      <c r="J38" t="b">
        <f t="shared" si="1"/>
        <v>0</v>
      </c>
    </row>
    <row r="39" spans="3:10" x14ac:dyDescent="0.25">
      <c r="C39" s="4"/>
      <c r="E39" s="4"/>
      <c r="H39" s="31" t="str">
        <f t="shared" si="0"/>
        <v/>
      </c>
      <c r="J39" t="b">
        <f t="shared" si="1"/>
        <v>0</v>
      </c>
    </row>
    <row r="40" spans="3:10" x14ac:dyDescent="0.25">
      <c r="C40" s="4"/>
      <c r="E40" s="4"/>
      <c r="H40" s="31" t="str">
        <f t="shared" si="0"/>
        <v/>
      </c>
      <c r="J40" t="b">
        <f t="shared" si="1"/>
        <v>0</v>
      </c>
    </row>
    <row r="41" spans="3:10" x14ac:dyDescent="0.25">
      <c r="C41" s="4"/>
      <c r="E41" s="4"/>
      <c r="H41" s="31" t="str">
        <f t="shared" si="0"/>
        <v/>
      </c>
      <c r="J41" t="b">
        <f t="shared" si="1"/>
        <v>0</v>
      </c>
    </row>
    <row r="42" spans="3:10" x14ac:dyDescent="0.25">
      <c r="C42" s="4"/>
      <c r="E42" s="4"/>
      <c r="H42" s="31" t="str">
        <f t="shared" si="0"/>
        <v/>
      </c>
      <c r="J42" t="b">
        <f t="shared" si="1"/>
        <v>0</v>
      </c>
    </row>
    <row r="43" spans="3:10" x14ac:dyDescent="0.25">
      <c r="C43" s="4"/>
      <c r="E43" s="4"/>
      <c r="H43" s="31" t="str">
        <f t="shared" si="0"/>
        <v/>
      </c>
      <c r="J43" t="b">
        <f t="shared" si="1"/>
        <v>0</v>
      </c>
    </row>
    <row r="44" spans="3:10" x14ac:dyDescent="0.25">
      <c r="C44" s="4"/>
      <c r="E44" s="4"/>
      <c r="H44" s="31" t="str">
        <f t="shared" si="0"/>
        <v/>
      </c>
      <c r="J44" t="b">
        <f t="shared" si="1"/>
        <v>0</v>
      </c>
    </row>
    <row r="45" spans="3:10" x14ac:dyDescent="0.25">
      <c r="C45" s="4"/>
      <c r="E45" s="4"/>
      <c r="H45" s="31" t="str">
        <f t="shared" si="0"/>
        <v/>
      </c>
      <c r="J45" t="b">
        <f t="shared" si="1"/>
        <v>0</v>
      </c>
    </row>
    <row r="46" spans="3:10" x14ac:dyDescent="0.25">
      <c r="C46" s="4"/>
      <c r="E46" s="4"/>
      <c r="H46" s="31" t="str">
        <f t="shared" si="0"/>
        <v/>
      </c>
      <c r="J46" t="b">
        <f t="shared" si="1"/>
        <v>0</v>
      </c>
    </row>
    <row r="47" spans="3:10" x14ac:dyDescent="0.25">
      <c r="C47" s="4"/>
      <c r="E47" s="4"/>
      <c r="H47" s="31" t="str">
        <f t="shared" si="0"/>
        <v/>
      </c>
      <c r="J47" t="b">
        <f t="shared" si="1"/>
        <v>0</v>
      </c>
    </row>
    <row r="48" spans="3:10" x14ac:dyDescent="0.25">
      <c r="C48" s="4"/>
      <c r="E48" s="4"/>
      <c r="H48" s="31" t="str">
        <f t="shared" si="0"/>
        <v/>
      </c>
      <c r="J48" t="b">
        <f t="shared" si="1"/>
        <v>0</v>
      </c>
    </row>
    <row r="49" spans="3:10" x14ac:dyDescent="0.25">
      <c r="C49" s="4"/>
      <c r="E49" s="4"/>
      <c r="H49" s="31" t="str">
        <f t="shared" si="0"/>
        <v/>
      </c>
      <c r="J49" t="b">
        <f t="shared" si="1"/>
        <v>0</v>
      </c>
    </row>
    <row r="50" spans="3:10" x14ac:dyDescent="0.25">
      <c r="C50" s="4"/>
      <c r="E50" s="4"/>
      <c r="H50" s="31" t="str">
        <f t="shared" si="0"/>
        <v/>
      </c>
      <c r="J50" t="b">
        <f t="shared" si="1"/>
        <v>0</v>
      </c>
    </row>
    <row r="51" spans="3:10" x14ac:dyDescent="0.25">
      <c r="C51" s="4"/>
      <c r="E51" s="4"/>
      <c r="H51" s="31" t="str">
        <f t="shared" si="0"/>
        <v/>
      </c>
      <c r="J51" t="b">
        <f t="shared" si="1"/>
        <v>0</v>
      </c>
    </row>
    <row r="52" spans="3:10" x14ac:dyDescent="0.25">
      <c r="C52" s="4"/>
      <c r="E52" s="4"/>
      <c r="H52" s="31" t="str">
        <f t="shared" si="0"/>
        <v/>
      </c>
      <c r="J52" t="b">
        <f t="shared" si="1"/>
        <v>0</v>
      </c>
    </row>
    <row r="53" spans="3:10" x14ac:dyDescent="0.25">
      <c r="C53" s="4"/>
      <c r="E53" s="4"/>
      <c r="H53" s="31" t="str">
        <f t="shared" si="0"/>
        <v/>
      </c>
      <c r="J53" t="b">
        <f t="shared" si="1"/>
        <v>0</v>
      </c>
    </row>
    <row r="54" spans="3:10" x14ac:dyDescent="0.25">
      <c r="C54" s="4"/>
      <c r="E54" s="4"/>
      <c r="H54" s="31" t="str">
        <f t="shared" si="0"/>
        <v/>
      </c>
      <c r="J54" t="b">
        <f t="shared" si="1"/>
        <v>0</v>
      </c>
    </row>
    <row r="55" spans="3:10" x14ac:dyDescent="0.25">
      <c r="C55" s="4"/>
      <c r="E55" s="4"/>
      <c r="H55" s="31" t="str">
        <f t="shared" si="0"/>
        <v/>
      </c>
      <c r="J55" t="b">
        <f t="shared" si="1"/>
        <v>0</v>
      </c>
    </row>
    <row r="56" spans="3:10" x14ac:dyDescent="0.25">
      <c r="C56" s="4"/>
      <c r="E56" s="4"/>
      <c r="H56" s="31" t="str">
        <f t="shared" si="0"/>
        <v/>
      </c>
      <c r="J56" t="b">
        <f t="shared" si="1"/>
        <v>0</v>
      </c>
    </row>
    <row r="57" spans="3:10" x14ac:dyDescent="0.25">
      <c r="C57" s="4"/>
      <c r="E57" s="4"/>
      <c r="H57" s="31" t="str">
        <f t="shared" si="0"/>
        <v/>
      </c>
      <c r="J57" t="b">
        <f t="shared" si="1"/>
        <v>0</v>
      </c>
    </row>
    <row r="58" spans="3:10" x14ac:dyDescent="0.25">
      <c r="C58" s="4"/>
      <c r="E58" s="4"/>
      <c r="H58" s="31" t="str">
        <f t="shared" si="0"/>
        <v/>
      </c>
      <c r="J58" t="b">
        <f t="shared" si="1"/>
        <v>0</v>
      </c>
    </row>
    <row r="59" spans="3:10" x14ac:dyDescent="0.25">
      <c r="C59" s="4"/>
      <c r="E59" s="4"/>
      <c r="H59" s="31" t="str">
        <f t="shared" si="0"/>
        <v/>
      </c>
      <c r="J59" t="b">
        <f t="shared" si="1"/>
        <v>0</v>
      </c>
    </row>
    <row r="60" spans="3:10" x14ac:dyDescent="0.25">
      <c r="C60" s="4"/>
      <c r="E60" s="4"/>
      <c r="H60" s="31" t="str">
        <f t="shared" si="0"/>
        <v/>
      </c>
      <c r="J60" t="b">
        <f t="shared" si="1"/>
        <v>0</v>
      </c>
    </row>
    <row r="61" spans="3:10" x14ac:dyDescent="0.25">
      <c r="C61" s="4"/>
      <c r="E61" s="4"/>
      <c r="H61" s="31" t="str">
        <f t="shared" si="0"/>
        <v/>
      </c>
      <c r="J61" t="b">
        <f t="shared" si="1"/>
        <v>0</v>
      </c>
    </row>
    <row r="62" spans="3:10" x14ac:dyDescent="0.25">
      <c r="C62" s="4"/>
      <c r="E62" s="4"/>
      <c r="H62" s="31" t="str">
        <f t="shared" si="0"/>
        <v/>
      </c>
      <c r="J62" t="b">
        <f t="shared" si="1"/>
        <v>0</v>
      </c>
    </row>
    <row r="63" spans="3:10" x14ac:dyDescent="0.25">
      <c r="C63" s="4"/>
      <c r="E63" s="4"/>
      <c r="H63" s="31" t="str">
        <f t="shared" si="0"/>
        <v/>
      </c>
      <c r="J63" t="b">
        <f t="shared" si="1"/>
        <v>0</v>
      </c>
    </row>
    <row r="64" spans="3:10" x14ac:dyDescent="0.25">
      <c r="C64" s="4"/>
      <c r="E64" s="4"/>
      <c r="H64" s="31" t="str">
        <f t="shared" si="0"/>
        <v/>
      </c>
      <c r="J64" t="b">
        <f t="shared" si="1"/>
        <v>0</v>
      </c>
    </row>
    <row r="65" spans="3:10" x14ac:dyDescent="0.25">
      <c r="C65" s="4"/>
      <c r="E65" s="4"/>
      <c r="H65" s="31" t="str">
        <f t="shared" si="0"/>
        <v/>
      </c>
      <c r="J65" t="b">
        <f t="shared" si="1"/>
        <v>0</v>
      </c>
    </row>
    <row r="66" spans="3:10" x14ac:dyDescent="0.25">
      <c r="C66" s="4"/>
      <c r="E66" s="4"/>
      <c r="H66" s="31" t="str">
        <f t="shared" si="0"/>
        <v/>
      </c>
      <c r="J66" t="b">
        <f t="shared" si="1"/>
        <v>0</v>
      </c>
    </row>
    <row r="67" spans="3:10" x14ac:dyDescent="0.25">
      <c r="C67" s="4"/>
      <c r="E67" s="4"/>
      <c r="H67" s="31" t="str">
        <f t="shared" si="0"/>
        <v/>
      </c>
      <c r="J67" t="b">
        <f t="shared" si="1"/>
        <v>0</v>
      </c>
    </row>
    <row r="68" spans="3:10" x14ac:dyDescent="0.25">
      <c r="C68" s="4"/>
      <c r="E68" s="4"/>
      <c r="H68" s="31" t="str">
        <f t="shared" ref="H68:H131" si="2">IF($J68=TRUE,"Il ne peut y avoir des valeurs dans les 2 méthodes",IF($D68="kg/l",$C68,IF($D68="g/l",$C68/1000,IF($D68="lb/gal US",$C68*0.454/3.785,IF($G68="kg/l",($E68/100)*$F68,IF($G68="g/l",($E68/100)*$F68/1000,IF($G68="lb/gal US",($E68/100)*$F68*0.454/3.785,"")))))))</f>
        <v/>
      </c>
      <c r="J68" t="b">
        <f t="shared" ref="J68:J131" si="3">IF(AND(OR($C68&lt;&gt;"",$D68&lt;&gt;""),OR($E68&lt;&gt;"",F68&lt;&gt;"",G68&lt;&gt;"")),TRUE,FALSE)</f>
        <v>0</v>
      </c>
    </row>
    <row r="69" spans="3:10" x14ac:dyDescent="0.25">
      <c r="C69" s="4"/>
      <c r="E69" s="4"/>
      <c r="H69" s="31" t="str">
        <f t="shared" si="2"/>
        <v/>
      </c>
      <c r="J69" t="b">
        <f t="shared" si="3"/>
        <v>0</v>
      </c>
    </row>
    <row r="70" spans="3:10" x14ac:dyDescent="0.25">
      <c r="C70" s="4"/>
      <c r="E70" s="4"/>
      <c r="H70" s="31" t="str">
        <f t="shared" si="2"/>
        <v/>
      </c>
      <c r="J70" t="b">
        <f t="shared" si="3"/>
        <v>0</v>
      </c>
    </row>
    <row r="71" spans="3:10" x14ac:dyDescent="0.25">
      <c r="C71" s="4"/>
      <c r="E71" s="4"/>
      <c r="H71" s="31" t="str">
        <f t="shared" si="2"/>
        <v/>
      </c>
      <c r="J71" t="b">
        <f t="shared" si="3"/>
        <v>0</v>
      </c>
    </row>
    <row r="72" spans="3:10" x14ac:dyDescent="0.25">
      <c r="C72" s="4"/>
      <c r="E72" s="4"/>
      <c r="H72" s="31" t="str">
        <f t="shared" si="2"/>
        <v/>
      </c>
      <c r="J72" t="b">
        <f t="shared" si="3"/>
        <v>0</v>
      </c>
    </row>
    <row r="73" spans="3:10" x14ac:dyDescent="0.25">
      <c r="C73" s="4"/>
      <c r="E73" s="4"/>
      <c r="H73" s="31" t="str">
        <f t="shared" si="2"/>
        <v/>
      </c>
      <c r="J73" t="b">
        <f t="shared" si="3"/>
        <v>0</v>
      </c>
    </row>
    <row r="74" spans="3:10" x14ac:dyDescent="0.25">
      <c r="C74" s="4"/>
      <c r="E74" s="4"/>
      <c r="H74" s="31" t="str">
        <f t="shared" si="2"/>
        <v/>
      </c>
      <c r="J74" t="b">
        <f t="shared" si="3"/>
        <v>0</v>
      </c>
    </row>
    <row r="75" spans="3:10" x14ac:dyDescent="0.25">
      <c r="C75" s="4"/>
      <c r="E75" s="4"/>
      <c r="H75" s="31" t="str">
        <f t="shared" si="2"/>
        <v/>
      </c>
      <c r="J75" t="b">
        <f t="shared" si="3"/>
        <v>0</v>
      </c>
    </row>
    <row r="76" spans="3:10" x14ac:dyDescent="0.25">
      <c r="C76" s="4"/>
      <c r="E76" s="4"/>
      <c r="H76" s="31" t="str">
        <f t="shared" si="2"/>
        <v/>
      </c>
      <c r="J76" t="b">
        <f t="shared" si="3"/>
        <v>0</v>
      </c>
    </row>
    <row r="77" spans="3:10" x14ac:dyDescent="0.25">
      <c r="C77" s="4"/>
      <c r="E77" s="4"/>
      <c r="H77" s="31" t="str">
        <f t="shared" si="2"/>
        <v/>
      </c>
      <c r="J77" t="b">
        <f t="shared" si="3"/>
        <v>0</v>
      </c>
    </row>
    <row r="78" spans="3:10" x14ac:dyDescent="0.25">
      <c r="C78" s="4"/>
      <c r="E78" s="4"/>
      <c r="H78" s="31" t="str">
        <f t="shared" si="2"/>
        <v/>
      </c>
      <c r="J78" t="b">
        <f t="shared" si="3"/>
        <v>0</v>
      </c>
    </row>
    <row r="79" spans="3:10" x14ac:dyDescent="0.25">
      <c r="C79" s="4"/>
      <c r="E79" s="4"/>
      <c r="H79" s="31" t="str">
        <f t="shared" si="2"/>
        <v/>
      </c>
      <c r="J79" t="b">
        <f t="shared" si="3"/>
        <v>0</v>
      </c>
    </row>
    <row r="80" spans="3:10" x14ac:dyDescent="0.25">
      <c r="C80" s="4"/>
      <c r="E80" s="4"/>
      <c r="H80" s="31" t="str">
        <f t="shared" si="2"/>
        <v/>
      </c>
      <c r="J80" t="b">
        <f t="shared" si="3"/>
        <v>0</v>
      </c>
    </row>
    <row r="81" spans="3:10" x14ac:dyDescent="0.25">
      <c r="C81" s="4"/>
      <c r="E81" s="4"/>
      <c r="H81" s="31" t="str">
        <f t="shared" si="2"/>
        <v/>
      </c>
      <c r="J81" t="b">
        <f t="shared" si="3"/>
        <v>0</v>
      </c>
    </row>
    <row r="82" spans="3:10" x14ac:dyDescent="0.25">
      <c r="C82" s="4"/>
      <c r="E82" s="4"/>
      <c r="H82" s="31" t="str">
        <f t="shared" si="2"/>
        <v/>
      </c>
      <c r="J82" t="b">
        <f t="shared" si="3"/>
        <v>0</v>
      </c>
    </row>
    <row r="83" spans="3:10" x14ac:dyDescent="0.25">
      <c r="C83" s="4"/>
      <c r="E83" s="4"/>
      <c r="H83" s="31" t="str">
        <f t="shared" si="2"/>
        <v/>
      </c>
      <c r="J83" t="b">
        <f t="shared" si="3"/>
        <v>0</v>
      </c>
    </row>
    <row r="84" spans="3:10" x14ac:dyDescent="0.25">
      <c r="C84" s="4"/>
      <c r="E84" s="4"/>
      <c r="H84" s="31" t="str">
        <f t="shared" si="2"/>
        <v/>
      </c>
      <c r="J84" t="b">
        <f t="shared" si="3"/>
        <v>0</v>
      </c>
    </row>
    <row r="85" spans="3:10" x14ac:dyDescent="0.25">
      <c r="C85" s="4"/>
      <c r="E85" s="4"/>
      <c r="H85" s="31" t="str">
        <f t="shared" si="2"/>
        <v/>
      </c>
      <c r="J85" t="b">
        <f t="shared" si="3"/>
        <v>0</v>
      </c>
    </row>
    <row r="86" spans="3:10" x14ac:dyDescent="0.25">
      <c r="C86" s="4"/>
      <c r="E86" s="4"/>
      <c r="H86" s="31" t="str">
        <f t="shared" si="2"/>
        <v/>
      </c>
      <c r="J86" t="b">
        <f t="shared" si="3"/>
        <v>0</v>
      </c>
    </row>
    <row r="87" spans="3:10" x14ac:dyDescent="0.25">
      <c r="C87" s="4"/>
      <c r="E87" s="4"/>
      <c r="H87" s="31" t="str">
        <f t="shared" si="2"/>
        <v/>
      </c>
      <c r="J87" t="b">
        <f t="shared" si="3"/>
        <v>0</v>
      </c>
    </row>
    <row r="88" spans="3:10" x14ac:dyDescent="0.25">
      <c r="C88" s="4"/>
      <c r="E88" s="4"/>
      <c r="H88" s="31" t="str">
        <f t="shared" si="2"/>
        <v/>
      </c>
      <c r="J88" t="b">
        <f t="shared" si="3"/>
        <v>0</v>
      </c>
    </row>
    <row r="89" spans="3:10" x14ac:dyDescent="0.25">
      <c r="C89" s="4"/>
      <c r="E89" s="4"/>
      <c r="H89" s="31" t="str">
        <f t="shared" si="2"/>
        <v/>
      </c>
      <c r="J89" t="b">
        <f t="shared" si="3"/>
        <v>0</v>
      </c>
    </row>
    <row r="90" spans="3:10" x14ac:dyDescent="0.25">
      <c r="C90" s="4"/>
      <c r="E90" s="4"/>
      <c r="H90" s="31" t="str">
        <f t="shared" si="2"/>
        <v/>
      </c>
      <c r="J90" t="b">
        <f t="shared" si="3"/>
        <v>0</v>
      </c>
    </row>
    <row r="91" spans="3:10" x14ac:dyDescent="0.25">
      <c r="C91" s="4"/>
      <c r="E91" s="4"/>
      <c r="H91" s="31" t="str">
        <f t="shared" si="2"/>
        <v/>
      </c>
      <c r="J91" t="b">
        <f t="shared" si="3"/>
        <v>0</v>
      </c>
    </row>
    <row r="92" spans="3:10" x14ac:dyDescent="0.25">
      <c r="C92" s="4"/>
      <c r="E92" s="4"/>
      <c r="H92" s="31" t="str">
        <f t="shared" si="2"/>
        <v/>
      </c>
      <c r="J92" t="b">
        <f t="shared" si="3"/>
        <v>0</v>
      </c>
    </row>
    <row r="93" spans="3:10" x14ac:dyDescent="0.25">
      <c r="C93" s="4"/>
      <c r="E93" s="4"/>
      <c r="H93" s="31" t="str">
        <f t="shared" si="2"/>
        <v/>
      </c>
      <c r="J93" t="b">
        <f t="shared" si="3"/>
        <v>0</v>
      </c>
    </row>
    <row r="94" spans="3:10" x14ac:dyDescent="0.25">
      <c r="C94" s="4"/>
      <c r="E94" s="4"/>
      <c r="H94" s="31" t="str">
        <f t="shared" si="2"/>
        <v/>
      </c>
      <c r="J94" t="b">
        <f t="shared" si="3"/>
        <v>0</v>
      </c>
    </row>
    <row r="95" spans="3:10" x14ac:dyDescent="0.25">
      <c r="C95" s="4"/>
      <c r="E95" s="4"/>
      <c r="H95" s="31" t="str">
        <f t="shared" si="2"/>
        <v/>
      </c>
      <c r="J95" t="b">
        <f t="shared" si="3"/>
        <v>0</v>
      </c>
    </row>
    <row r="96" spans="3:10" x14ac:dyDescent="0.25">
      <c r="C96" s="4"/>
      <c r="E96" s="4"/>
      <c r="H96" s="31" t="str">
        <f t="shared" si="2"/>
        <v/>
      </c>
      <c r="J96" t="b">
        <f t="shared" si="3"/>
        <v>0</v>
      </c>
    </row>
    <row r="97" spans="3:10" x14ac:dyDescent="0.25">
      <c r="C97" s="4"/>
      <c r="E97" s="4"/>
      <c r="H97" s="31" t="str">
        <f t="shared" si="2"/>
        <v/>
      </c>
      <c r="J97" t="b">
        <f t="shared" si="3"/>
        <v>0</v>
      </c>
    </row>
    <row r="98" spans="3:10" x14ac:dyDescent="0.25">
      <c r="C98" s="4"/>
      <c r="E98" s="4"/>
      <c r="H98" s="31" t="str">
        <f t="shared" si="2"/>
        <v/>
      </c>
      <c r="J98" t="b">
        <f t="shared" si="3"/>
        <v>0</v>
      </c>
    </row>
    <row r="99" spans="3:10" x14ac:dyDescent="0.25">
      <c r="C99" s="4"/>
      <c r="E99" s="4"/>
      <c r="H99" s="31" t="str">
        <f t="shared" si="2"/>
        <v/>
      </c>
      <c r="J99" t="b">
        <f t="shared" si="3"/>
        <v>0</v>
      </c>
    </row>
    <row r="100" spans="3:10" x14ac:dyDescent="0.25">
      <c r="C100" s="4"/>
      <c r="E100" s="4"/>
      <c r="H100" s="31" t="str">
        <f t="shared" si="2"/>
        <v/>
      </c>
      <c r="J100" t="b">
        <f t="shared" si="3"/>
        <v>0</v>
      </c>
    </row>
    <row r="101" spans="3:10" x14ac:dyDescent="0.25">
      <c r="C101" s="4"/>
      <c r="E101" s="4"/>
      <c r="H101" s="31" t="str">
        <f t="shared" si="2"/>
        <v/>
      </c>
      <c r="J101" t="b">
        <f t="shared" si="3"/>
        <v>0</v>
      </c>
    </row>
    <row r="102" spans="3:10" x14ac:dyDescent="0.25">
      <c r="C102" s="4"/>
      <c r="E102" s="4"/>
      <c r="H102" s="31" t="str">
        <f t="shared" si="2"/>
        <v/>
      </c>
      <c r="J102" t="b">
        <f t="shared" si="3"/>
        <v>0</v>
      </c>
    </row>
    <row r="103" spans="3:10" x14ac:dyDescent="0.25">
      <c r="C103" s="4"/>
      <c r="E103" s="4"/>
      <c r="H103" s="31" t="str">
        <f t="shared" si="2"/>
        <v/>
      </c>
      <c r="J103" t="b">
        <f t="shared" si="3"/>
        <v>0</v>
      </c>
    </row>
    <row r="104" spans="3:10" x14ac:dyDescent="0.25">
      <c r="C104" s="4"/>
      <c r="E104" s="4"/>
      <c r="H104" s="31" t="str">
        <f t="shared" si="2"/>
        <v/>
      </c>
      <c r="J104" t="b">
        <f t="shared" si="3"/>
        <v>0</v>
      </c>
    </row>
    <row r="105" spans="3:10" x14ac:dyDescent="0.25">
      <c r="C105" s="4"/>
      <c r="E105" s="4"/>
      <c r="H105" s="31" t="str">
        <f t="shared" si="2"/>
        <v/>
      </c>
      <c r="J105" t="b">
        <f t="shared" si="3"/>
        <v>0</v>
      </c>
    </row>
    <row r="106" spans="3:10" x14ac:dyDescent="0.25">
      <c r="C106" s="4"/>
      <c r="E106" s="4"/>
      <c r="H106" s="31" t="str">
        <f t="shared" si="2"/>
        <v/>
      </c>
      <c r="J106" t="b">
        <f t="shared" si="3"/>
        <v>0</v>
      </c>
    </row>
    <row r="107" spans="3:10" x14ac:dyDescent="0.25">
      <c r="C107" s="4"/>
      <c r="E107" s="4"/>
      <c r="H107" s="31" t="str">
        <f t="shared" si="2"/>
        <v/>
      </c>
      <c r="J107" t="b">
        <f t="shared" si="3"/>
        <v>0</v>
      </c>
    </row>
    <row r="108" spans="3:10" x14ac:dyDescent="0.25">
      <c r="C108" s="4"/>
      <c r="E108" s="4"/>
      <c r="H108" s="31" t="str">
        <f t="shared" si="2"/>
        <v/>
      </c>
      <c r="J108" t="b">
        <f t="shared" si="3"/>
        <v>0</v>
      </c>
    </row>
    <row r="109" spans="3:10" x14ac:dyDescent="0.25">
      <c r="C109" s="4"/>
      <c r="E109" s="4"/>
      <c r="H109" s="31" t="str">
        <f t="shared" si="2"/>
        <v/>
      </c>
      <c r="J109" t="b">
        <f t="shared" si="3"/>
        <v>0</v>
      </c>
    </row>
    <row r="110" spans="3:10" x14ac:dyDescent="0.25">
      <c r="C110" s="4"/>
      <c r="E110" s="4"/>
      <c r="H110" s="31" t="str">
        <f t="shared" si="2"/>
        <v/>
      </c>
      <c r="J110" t="b">
        <f t="shared" si="3"/>
        <v>0</v>
      </c>
    </row>
    <row r="111" spans="3:10" x14ac:dyDescent="0.25">
      <c r="C111" s="4"/>
      <c r="E111" s="4"/>
      <c r="H111" s="31" t="str">
        <f t="shared" si="2"/>
        <v/>
      </c>
      <c r="J111" t="b">
        <f t="shared" si="3"/>
        <v>0</v>
      </c>
    </row>
    <row r="112" spans="3:10" x14ac:dyDescent="0.25">
      <c r="C112" s="4"/>
      <c r="E112" s="4"/>
      <c r="H112" s="31" t="str">
        <f t="shared" si="2"/>
        <v/>
      </c>
      <c r="J112" t="b">
        <f t="shared" si="3"/>
        <v>0</v>
      </c>
    </row>
    <row r="113" spans="3:10" x14ac:dyDescent="0.25">
      <c r="C113" s="4"/>
      <c r="E113" s="4"/>
      <c r="H113" s="31" t="str">
        <f t="shared" si="2"/>
        <v/>
      </c>
      <c r="J113" t="b">
        <f t="shared" si="3"/>
        <v>0</v>
      </c>
    </row>
    <row r="114" spans="3:10" x14ac:dyDescent="0.25">
      <c r="C114" s="4"/>
      <c r="E114" s="4"/>
      <c r="H114" s="31" t="str">
        <f t="shared" si="2"/>
        <v/>
      </c>
      <c r="J114" t="b">
        <f t="shared" si="3"/>
        <v>0</v>
      </c>
    </row>
    <row r="115" spans="3:10" x14ac:dyDescent="0.25">
      <c r="C115" s="4"/>
      <c r="E115" s="4"/>
      <c r="H115" s="31" t="str">
        <f t="shared" si="2"/>
        <v/>
      </c>
      <c r="J115" t="b">
        <f t="shared" si="3"/>
        <v>0</v>
      </c>
    </row>
    <row r="116" spans="3:10" x14ac:dyDescent="0.25">
      <c r="C116" s="4"/>
      <c r="E116" s="4"/>
      <c r="H116" s="31" t="str">
        <f t="shared" si="2"/>
        <v/>
      </c>
      <c r="J116" t="b">
        <f t="shared" si="3"/>
        <v>0</v>
      </c>
    </row>
    <row r="117" spans="3:10" x14ac:dyDescent="0.25">
      <c r="C117" s="4"/>
      <c r="E117" s="4"/>
      <c r="H117" s="31" t="str">
        <f t="shared" si="2"/>
        <v/>
      </c>
      <c r="J117" t="b">
        <f t="shared" si="3"/>
        <v>0</v>
      </c>
    </row>
    <row r="118" spans="3:10" x14ac:dyDescent="0.25">
      <c r="C118" s="4"/>
      <c r="E118" s="4"/>
      <c r="H118" s="31" t="str">
        <f t="shared" si="2"/>
        <v/>
      </c>
      <c r="J118" t="b">
        <f t="shared" si="3"/>
        <v>0</v>
      </c>
    </row>
    <row r="119" spans="3:10" x14ac:dyDescent="0.25">
      <c r="C119" s="4"/>
      <c r="E119" s="4"/>
      <c r="H119" s="31" t="str">
        <f t="shared" si="2"/>
        <v/>
      </c>
      <c r="J119" t="b">
        <f t="shared" si="3"/>
        <v>0</v>
      </c>
    </row>
    <row r="120" spans="3:10" x14ac:dyDescent="0.25">
      <c r="C120" s="4"/>
      <c r="E120" s="4"/>
      <c r="H120" s="31" t="str">
        <f t="shared" si="2"/>
        <v/>
      </c>
      <c r="J120" t="b">
        <f t="shared" si="3"/>
        <v>0</v>
      </c>
    </row>
    <row r="121" spans="3:10" x14ac:dyDescent="0.25">
      <c r="C121" s="4"/>
      <c r="E121" s="4"/>
      <c r="H121" s="31" t="str">
        <f t="shared" si="2"/>
        <v/>
      </c>
      <c r="J121" t="b">
        <f t="shared" si="3"/>
        <v>0</v>
      </c>
    </row>
    <row r="122" spans="3:10" x14ac:dyDescent="0.25">
      <c r="C122" s="4"/>
      <c r="E122" s="4"/>
      <c r="H122" s="31" t="str">
        <f t="shared" si="2"/>
        <v/>
      </c>
      <c r="J122" t="b">
        <f t="shared" si="3"/>
        <v>0</v>
      </c>
    </row>
    <row r="123" spans="3:10" x14ac:dyDescent="0.25">
      <c r="C123" s="4"/>
      <c r="E123" s="4"/>
      <c r="H123" s="31" t="str">
        <f t="shared" si="2"/>
        <v/>
      </c>
      <c r="J123" t="b">
        <f t="shared" si="3"/>
        <v>0</v>
      </c>
    </row>
    <row r="124" spans="3:10" x14ac:dyDescent="0.25">
      <c r="C124" s="4"/>
      <c r="E124" s="4"/>
      <c r="H124" s="31" t="str">
        <f t="shared" si="2"/>
        <v/>
      </c>
      <c r="J124" t="b">
        <f t="shared" si="3"/>
        <v>0</v>
      </c>
    </row>
    <row r="125" spans="3:10" x14ac:dyDescent="0.25">
      <c r="C125" s="4"/>
      <c r="E125" s="4"/>
      <c r="H125" s="31" t="str">
        <f t="shared" si="2"/>
        <v/>
      </c>
      <c r="J125" t="b">
        <f t="shared" si="3"/>
        <v>0</v>
      </c>
    </row>
    <row r="126" spans="3:10" x14ac:dyDescent="0.25">
      <c r="C126" s="4"/>
      <c r="E126" s="4"/>
      <c r="H126" s="31" t="str">
        <f t="shared" si="2"/>
        <v/>
      </c>
      <c r="J126" t="b">
        <f t="shared" si="3"/>
        <v>0</v>
      </c>
    </row>
    <row r="127" spans="3:10" x14ac:dyDescent="0.25">
      <c r="C127" s="4"/>
      <c r="E127" s="4"/>
      <c r="H127" s="31" t="str">
        <f t="shared" si="2"/>
        <v/>
      </c>
      <c r="J127" t="b">
        <f t="shared" si="3"/>
        <v>0</v>
      </c>
    </row>
    <row r="128" spans="3:10" x14ac:dyDescent="0.25">
      <c r="C128" s="4"/>
      <c r="E128" s="4"/>
      <c r="H128" s="31" t="str">
        <f t="shared" si="2"/>
        <v/>
      </c>
      <c r="J128" t="b">
        <f t="shared" si="3"/>
        <v>0</v>
      </c>
    </row>
    <row r="129" spans="3:10" x14ac:dyDescent="0.25">
      <c r="C129" s="4"/>
      <c r="E129" s="4"/>
      <c r="H129" s="31" t="str">
        <f t="shared" si="2"/>
        <v/>
      </c>
      <c r="J129" t="b">
        <f t="shared" si="3"/>
        <v>0</v>
      </c>
    </row>
    <row r="130" spans="3:10" x14ac:dyDescent="0.25">
      <c r="C130" s="4"/>
      <c r="E130" s="4"/>
      <c r="H130" s="31" t="str">
        <f t="shared" si="2"/>
        <v/>
      </c>
      <c r="J130" t="b">
        <f t="shared" si="3"/>
        <v>0</v>
      </c>
    </row>
    <row r="131" spans="3:10" x14ac:dyDescent="0.25">
      <c r="C131" s="4"/>
      <c r="E131" s="4"/>
      <c r="H131" s="31" t="str">
        <f t="shared" si="2"/>
        <v/>
      </c>
      <c r="J131" t="b">
        <f t="shared" si="3"/>
        <v>0</v>
      </c>
    </row>
    <row r="132" spans="3:10" x14ac:dyDescent="0.25">
      <c r="C132" s="4"/>
      <c r="E132" s="4"/>
      <c r="H132" s="31" t="str">
        <f t="shared" ref="H132:H195" si="4">IF($J132=TRUE,"Il ne peut y avoir des valeurs dans les 2 méthodes",IF($D132="kg/l",$C132,IF($D132="g/l",$C132/1000,IF($D132="lb/gal US",$C132*0.454/3.785,IF($G132="kg/l",($E132/100)*$F132,IF($G132="g/l",($E132/100)*$F132/1000,IF($G132="lb/gal US",($E132/100)*$F132*0.454/3.785,"")))))))</f>
        <v/>
      </c>
      <c r="J132" t="b">
        <f t="shared" ref="J132:J195" si="5">IF(AND(OR($C132&lt;&gt;"",$D132&lt;&gt;""),OR($E132&lt;&gt;"",F132&lt;&gt;"",G132&lt;&gt;"")),TRUE,FALSE)</f>
        <v>0</v>
      </c>
    </row>
    <row r="133" spans="3:10" x14ac:dyDescent="0.25">
      <c r="C133" s="4"/>
      <c r="E133" s="4"/>
      <c r="H133" s="31" t="str">
        <f t="shared" si="4"/>
        <v/>
      </c>
      <c r="J133" t="b">
        <f t="shared" si="5"/>
        <v>0</v>
      </c>
    </row>
    <row r="134" spans="3:10" x14ac:dyDescent="0.25">
      <c r="C134" s="4"/>
      <c r="E134" s="4"/>
      <c r="H134" s="31" t="str">
        <f t="shared" si="4"/>
        <v/>
      </c>
      <c r="J134" t="b">
        <f t="shared" si="5"/>
        <v>0</v>
      </c>
    </row>
    <row r="135" spans="3:10" x14ac:dyDescent="0.25">
      <c r="C135" s="4"/>
      <c r="E135" s="4"/>
      <c r="H135" s="31" t="str">
        <f t="shared" si="4"/>
        <v/>
      </c>
      <c r="J135" t="b">
        <f t="shared" si="5"/>
        <v>0</v>
      </c>
    </row>
    <row r="136" spans="3:10" x14ac:dyDescent="0.25">
      <c r="C136" s="4"/>
      <c r="E136" s="4"/>
      <c r="H136" s="31" t="str">
        <f t="shared" si="4"/>
        <v/>
      </c>
      <c r="J136" t="b">
        <f t="shared" si="5"/>
        <v>0</v>
      </c>
    </row>
    <row r="137" spans="3:10" x14ac:dyDescent="0.25">
      <c r="C137" s="4"/>
      <c r="E137" s="4"/>
      <c r="H137" s="31" t="str">
        <f t="shared" si="4"/>
        <v/>
      </c>
      <c r="J137" t="b">
        <f t="shared" si="5"/>
        <v>0</v>
      </c>
    </row>
    <row r="138" spans="3:10" x14ac:dyDescent="0.25">
      <c r="C138" s="4"/>
      <c r="E138" s="4"/>
      <c r="H138" s="31" t="str">
        <f t="shared" si="4"/>
        <v/>
      </c>
      <c r="J138" t="b">
        <f t="shared" si="5"/>
        <v>0</v>
      </c>
    </row>
    <row r="139" spans="3:10" x14ac:dyDescent="0.25">
      <c r="C139" s="4"/>
      <c r="E139" s="4"/>
      <c r="H139" s="31" t="str">
        <f t="shared" si="4"/>
        <v/>
      </c>
      <c r="J139" t="b">
        <f t="shared" si="5"/>
        <v>0</v>
      </c>
    </row>
    <row r="140" spans="3:10" x14ac:dyDescent="0.25">
      <c r="C140" s="4"/>
      <c r="E140" s="4"/>
      <c r="H140" s="31" t="str">
        <f t="shared" si="4"/>
        <v/>
      </c>
      <c r="J140" t="b">
        <f t="shared" si="5"/>
        <v>0</v>
      </c>
    </row>
    <row r="141" spans="3:10" x14ac:dyDescent="0.25">
      <c r="C141" s="4"/>
      <c r="E141" s="4"/>
      <c r="H141" s="31" t="str">
        <f t="shared" si="4"/>
        <v/>
      </c>
      <c r="J141" t="b">
        <f t="shared" si="5"/>
        <v>0</v>
      </c>
    </row>
    <row r="142" spans="3:10" x14ac:dyDescent="0.25">
      <c r="C142" s="4"/>
      <c r="E142" s="4"/>
      <c r="H142" s="31" t="str">
        <f t="shared" si="4"/>
        <v/>
      </c>
      <c r="J142" t="b">
        <f t="shared" si="5"/>
        <v>0</v>
      </c>
    </row>
    <row r="143" spans="3:10" x14ac:dyDescent="0.25">
      <c r="C143" s="4"/>
      <c r="E143" s="4"/>
      <c r="H143" s="31" t="str">
        <f t="shared" si="4"/>
        <v/>
      </c>
      <c r="J143" t="b">
        <f t="shared" si="5"/>
        <v>0</v>
      </c>
    </row>
    <row r="144" spans="3:10" x14ac:dyDescent="0.25">
      <c r="C144" s="4"/>
      <c r="E144" s="4"/>
      <c r="H144" s="31" t="str">
        <f t="shared" si="4"/>
        <v/>
      </c>
      <c r="J144" t="b">
        <f t="shared" si="5"/>
        <v>0</v>
      </c>
    </row>
    <row r="145" spans="3:10" x14ac:dyDescent="0.25">
      <c r="C145" s="4"/>
      <c r="E145" s="4"/>
      <c r="H145" s="31" t="str">
        <f t="shared" si="4"/>
        <v/>
      </c>
      <c r="J145" t="b">
        <f t="shared" si="5"/>
        <v>0</v>
      </c>
    </row>
    <row r="146" spans="3:10" x14ac:dyDescent="0.25">
      <c r="C146" s="4"/>
      <c r="E146" s="4"/>
      <c r="H146" s="31" t="str">
        <f t="shared" si="4"/>
        <v/>
      </c>
      <c r="J146" t="b">
        <f t="shared" si="5"/>
        <v>0</v>
      </c>
    </row>
    <row r="147" spans="3:10" x14ac:dyDescent="0.25">
      <c r="C147" s="4"/>
      <c r="E147" s="4"/>
      <c r="H147" s="31" t="str">
        <f t="shared" si="4"/>
        <v/>
      </c>
      <c r="J147" t="b">
        <f t="shared" si="5"/>
        <v>0</v>
      </c>
    </row>
    <row r="148" spans="3:10" x14ac:dyDescent="0.25">
      <c r="C148" s="4"/>
      <c r="E148" s="4"/>
      <c r="H148" s="31" t="str">
        <f t="shared" si="4"/>
        <v/>
      </c>
      <c r="J148" t="b">
        <f t="shared" si="5"/>
        <v>0</v>
      </c>
    </row>
    <row r="149" spans="3:10" x14ac:dyDescent="0.25">
      <c r="C149" s="4"/>
      <c r="E149" s="4"/>
      <c r="H149" s="31" t="str">
        <f t="shared" si="4"/>
        <v/>
      </c>
      <c r="J149" t="b">
        <f t="shared" si="5"/>
        <v>0</v>
      </c>
    </row>
    <row r="150" spans="3:10" x14ac:dyDescent="0.25">
      <c r="C150" s="4"/>
      <c r="E150" s="4"/>
      <c r="H150" s="31" t="str">
        <f t="shared" si="4"/>
        <v/>
      </c>
      <c r="J150" t="b">
        <f t="shared" si="5"/>
        <v>0</v>
      </c>
    </row>
    <row r="151" spans="3:10" x14ac:dyDescent="0.25">
      <c r="C151" s="4"/>
      <c r="E151" s="4"/>
      <c r="H151" s="31" t="str">
        <f t="shared" si="4"/>
        <v/>
      </c>
      <c r="J151" t="b">
        <f t="shared" si="5"/>
        <v>0</v>
      </c>
    </row>
    <row r="152" spans="3:10" x14ac:dyDescent="0.25">
      <c r="C152" s="4"/>
      <c r="E152" s="4"/>
      <c r="H152" s="31" t="str">
        <f t="shared" si="4"/>
        <v/>
      </c>
      <c r="J152" t="b">
        <f t="shared" si="5"/>
        <v>0</v>
      </c>
    </row>
    <row r="153" spans="3:10" x14ac:dyDescent="0.25">
      <c r="C153" s="4"/>
      <c r="E153" s="4"/>
      <c r="H153" s="31" t="str">
        <f t="shared" si="4"/>
        <v/>
      </c>
      <c r="J153" t="b">
        <f t="shared" si="5"/>
        <v>0</v>
      </c>
    </row>
    <row r="154" spans="3:10" x14ac:dyDescent="0.25">
      <c r="C154" s="4"/>
      <c r="E154" s="4"/>
      <c r="H154" s="31" t="str">
        <f t="shared" si="4"/>
        <v/>
      </c>
      <c r="J154" t="b">
        <f t="shared" si="5"/>
        <v>0</v>
      </c>
    </row>
    <row r="155" spans="3:10" x14ac:dyDescent="0.25">
      <c r="C155" s="4"/>
      <c r="E155" s="4"/>
      <c r="H155" s="31" t="str">
        <f t="shared" si="4"/>
        <v/>
      </c>
      <c r="J155" t="b">
        <f t="shared" si="5"/>
        <v>0</v>
      </c>
    </row>
    <row r="156" spans="3:10" x14ac:dyDescent="0.25">
      <c r="C156" s="4"/>
      <c r="E156" s="4"/>
      <c r="H156" s="31" t="str">
        <f t="shared" si="4"/>
        <v/>
      </c>
      <c r="J156" t="b">
        <f t="shared" si="5"/>
        <v>0</v>
      </c>
    </row>
    <row r="157" spans="3:10" x14ac:dyDescent="0.25">
      <c r="C157" s="4"/>
      <c r="E157" s="4"/>
      <c r="H157" s="31" t="str">
        <f t="shared" si="4"/>
        <v/>
      </c>
      <c r="J157" t="b">
        <f t="shared" si="5"/>
        <v>0</v>
      </c>
    </row>
    <row r="158" spans="3:10" x14ac:dyDescent="0.25">
      <c r="C158" s="4"/>
      <c r="E158" s="4"/>
      <c r="H158" s="31" t="str">
        <f t="shared" si="4"/>
        <v/>
      </c>
      <c r="J158" t="b">
        <f t="shared" si="5"/>
        <v>0</v>
      </c>
    </row>
    <row r="159" spans="3:10" x14ac:dyDescent="0.25">
      <c r="C159" s="4"/>
      <c r="E159" s="4"/>
      <c r="H159" s="31" t="str">
        <f t="shared" si="4"/>
        <v/>
      </c>
      <c r="J159" t="b">
        <f t="shared" si="5"/>
        <v>0</v>
      </c>
    </row>
    <row r="160" spans="3:10" x14ac:dyDescent="0.25">
      <c r="C160" s="4"/>
      <c r="E160" s="4"/>
      <c r="H160" s="31" t="str">
        <f t="shared" si="4"/>
        <v/>
      </c>
      <c r="J160" t="b">
        <f t="shared" si="5"/>
        <v>0</v>
      </c>
    </row>
    <row r="161" spans="3:10" x14ac:dyDescent="0.25">
      <c r="C161" s="4"/>
      <c r="E161" s="4"/>
      <c r="H161" s="31" t="str">
        <f t="shared" si="4"/>
        <v/>
      </c>
      <c r="J161" t="b">
        <f t="shared" si="5"/>
        <v>0</v>
      </c>
    </row>
    <row r="162" spans="3:10" x14ac:dyDescent="0.25">
      <c r="C162" s="4"/>
      <c r="E162" s="4"/>
      <c r="H162" s="31" t="str">
        <f t="shared" si="4"/>
        <v/>
      </c>
      <c r="J162" t="b">
        <f t="shared" si="5"/>
        <v>0</v>
      </c>
    </row>
    <row r="163" spans="3:10" x14ac:dyDescent="0.25">
      <c r="C163" s="4"/>
      <c r="E163" s="4"/>
      <c r="H163" s="31" t="str">
        <f t="shared" si="4"/>
        <v/>
      </c>
      <c r="J163" t="b">
        <f t="shared" si="5"/>
        <v>0</v>
      </c>
    </row>
    <row r="164" spans="3:10" x14ac:dyDescent="0.25">
      <c r="C164" s="4"/>
      <c r="E164" s="4"/>
      <c r="H164" s="31" t="str">
        <f t="shared" si="4"/>
        <v/>
      </c>
      <c r="J164" t="b">
        <f t="shared" si="5"/>
        <v>0</v>
      </c>
    </row>
    <row r="165" spans="3:10" x14ac:dyDescent="0.25">
      <c r="C165" s="4"/>
      <c r="E165" s="4"/>
      <c r="H165" s="31" t="str">
        <f t="shared" si="4"/>
        <v/>
      </c>
      <c r="J165" t="b">
        <f t="shared" si="5"/>
        <v>0</v>
      </c>
    </row>
    <row r="166" spans="3:10" x14ac:dyDescent="0.25">
      <c r="C166" s="4"/>
      <c r="E166" s="4"/>
      <c r="H166" s="31" t="str">
        <f t="shared" si="4"/>
        <v/>
      </c>
      <c r="J166" t="b">
        <f t="shared" si="5"/>
        <v>0</v>
      </c>
    </row>
    <row r="167" spans="3:10" x14ac:dyDescent="0.25">
      <c r="C167" s="4"/>
      <c r="E167" s="4"/>
      <c r="H167" s="31" t="str">
        <f t="shared" si="4"/>
        <v/>
      </c>
      <c r="J167" t="b">
        <f t="shared" si="5"/>
        <v>0</v>
      </c>
    </row>
    <row r="168" spans="3:10" x14ac:dyDescent="0.25">
      <c r="C168" s="4"/>
      <c r="E168" s="4"/>
      <c r="H168" s="31" t="str">
        <f t="shared" si="4"/>
        <v/>
      </c>
      <c r="J168" t="b">
        <f t="shared" si="5"/>
        <v>0</v>
      </c>
    </row>
    <row r="169" spans="3:10" x14ac:dyDescent="0.25">
      <c r="C169" s="4"/>
      <c r="E169" s="4"/>
      <c r="H169" s="31" t="str">
        <f t="shared" si="4"/>
        <v/>
      </c>
      <c r="J169" t="b">
        <f t="shared" si="5"/>
        <v>0</v>
      </c>
    </row>
    <row r="170" spans="3:10" x14ac:dyDescent="0.25">
      <c r="C170" s="4"/>
      <c r="E170" s="4"/>
      <c r="H170" s="31" t="str">
        <f t="shared" si="4"/>
        <v/>
      </c>
      <c r="J170" t="b">
        <f t="shared" si="5"/>
        <v>0</v>
      </c>
    </row>
    <row r="171" spans="3:10" x14ac:dyDescent="0.25">
      <c r="C171" s="4"/>
      <c r="E171" s="4"/>
      <c r="H171" s="31" t="str">
        <f t="shared" si="4"/>
        <v/>
      </c>
      <c r="J171" t="b">
        <f t="shared" si="5"/>
        <v>0</v>
      </c>
    </row>
    <row r="172" spans="3:10" x14ac:dyDescent="0.25">
      <c r="C172" s="4"/>
      <c r="E172" s="4"/>
      <c r="H172" s="31" t="str">
        <f t="shared" si="4"/>
        <v/>
      </c>
      <c r="J172" t="b">
        <f t="shared" si="5"/>
        <v>0</v>
      </c>
    </row>
    <row r="173" spans="3:10" x14ac:dyDescent="0.25">
      <c r="C173" s="4"/>
      <c r="E173" s="4"/>
      <c r="H173" s="31" t="str">
        <f t="shared" si="4"/>
        <v/>
      </c>
      <c r="J173" t="b">
        <f t="shared" si="5"/>
        <v>0</v>
      </c>
    </row>
    <row r="174" spans="3:10" x14ac:dyDescent="0.25">
      <c r="C174" s="4"/>
      <c r="E174" s="4"/>
      <c r="H174" s="31" t="str">
        <f t="shared" si="4"/>
        <v/>
      </c>
      <c r="J174" t="b">
        <f t="shared" si="5"/>
        <v>0</v>
      </c>
    </row>
    <row r="175" spans="3:10" x14ac:dyDescent="0.25">
      <c r="C175" s="4"/>
      <c r="E175" s="4"/>
      <c r="H175" s="31" t="str">
        <f t="shared" si="4"/>
        <v/>
      </c>
      <c r="J175" t="b">
        <f t="shared" si="5"/>
        <v>0</v>
      </c>
    </row>
    <row r="176" spans="3:10" x14ac:dyDescent="0.25">
      <c r="C176" s="4"/>
      <c r="E176" s="4"/>
      <c r="H176" s="31" t="str">
        <f t="shared" si="4"/>
        <v/>
      </c>
      <c r="J176" t="b">
        <f t="shared" si="5"/>
        <v>0</v>
      </c>
    </row>
    <row r="177" spans="3:10" x14ac:dyDescent="0.25">
      <c r="C177" s="4"/>
      <c r="E177" s="4"/>
      <c r="H177" s="31" t="str">
        <f t="shared" si="4"/>
        <v/>
      </c>
      <c r="J177" t="b">
        <f t="shared" si="5"/>
        <v>0</v>
      </c>
    </row>
    <row r="178" spans="3:10" x14ac:dyDescent="0.25">
      <c r="C178" s="4"/>
      <c r="E178" s="4"/>
      <c r="H178" s="31" t="str">
        <f t="shared" si="4"/>
        <v/>
      </c>
      <c r="J178" t="b">
        <f t="shared" si="5"/>
        <v>0</v>
      </c>
    </row>
    <row r="179" spans="3:10" x14ac:dyDescent="0.25">
      <c r="C179" s="4"/>
      <c r="E179" s="4"/>
      <c r="H179" s="31" t="str">
        <f t="shared" si="4"/>
        <v/>
      </c>
      <c r="J179" t="b">
        <f t="shared" si="5"/>
        <v>0</v>
      </c>
    </row>
    <row r="180" spans="3:10" x14ac:dyDescent="0.25">
      <c r="C180" s="4"/>
      <c r="E180" s="4"/>
      <c r="H180" s="31" t="str">
        <f t="shared" si="4"/>
        <v/>
      </c>
      <c r="J180" t="b">
        <f t="shared" si="5"/>
        <v>0</v>
      </c>
    </row>
    <row r="181" spans="3:10" x14ac:dyDescent="0.25">
      <c r="C181" s="4"/>
      <c r="E181" s="4"/>
      <c r="H181" s="31" t="str">
        <f t="shared" si="4"/>
        <v/>
      </c>
      <c r="J181" t="b">
        <f t="shared" si="5"/>
        <v>0</v>
      </c>
    </row>
    <row r="182" spans="3:10" x14ac:dyDescent="0.25">
      <c r="C182" s="4"/>
      <c r="E182" s="4"/>
      <c r="H182" s="31" t="str">
        <f t="shared" si="4"/>
        <v/>
      </c>
      <c r="J182" t="b">
        <f t="shared" si="5"/>
        <v>0</v>
      </c>
    </row>
    <row r="183" spans="3:10" x14ac:dyDescent="0.25">
      <c r="C183" s="4"/>
      <c r="E183" s="4"/>
      <c r="H183" s="31" t="str">
        <f t="shared" si="4"/>
        <v/>
      </c>
      <c r="J183" t="b">
        <f t="shared" si="5"/>
        <v>0</v>
      </c>
    </row>
    <row r="184" spans="3:10" x14ac:dyDescent="0.25">
      <c r="C184" s="4"/>
      <c r="E184" s="4"/>
      <c r="H184" s="31" t="str">
        <f t="shared" si="4"/>
        <v/>
      </c>
      <c r="J184" t="b">
        <f t="shared" si="5"/>
        <v>0</v>
      </c>
    </row>
    <row r="185" spans="3:10" x14ac:dyDescent="0.25">
      <c r="C185" s="4"/>
      <c r="E185" s="4"/>
      <c r="H185" s="31" t="str">
        <f t="shared" si="4"/>
        <v/>
      </c>
      <c r="J185" t="b">
        <f t="shared" si="5"/>
        <v>0</v>
      </c>
    </row>
    <row r="186" spans="3:10" x14ac:dyDescent="0.25">
      <c r="C186" s="4"/>
      <c r="E186" s="4"/>
      <c r="H186" s="31" t="str">
        <f t="shared" si="4"/>
        <v/>
      </c>
      <c r="J186" t="b">
        <f t="shared" si="5"/>
        <v>0</v>
      </c>
    </row>
    <row r="187" spans="3:10" x14ac:dyDescent="0.25">
      <c r="C187" s="4"/>
      <c r="E187" s="4"/>
      <c r="H187" s="31" t="str">
        <f t="shared" si="4"/>
        <v/>
      </c>
      <c r="J187" t="b">
        <f t="shared" si="5"/>
        <v>0</v>
      </c>
    </row>
    <row r="188" spans="3:10" x14ac:dyDescent="0.25">
      <c r="C188" s="4"/>
      <c r="E188" s="4"/>
      <c r="H188" s="31" t="str">
        <f t="shared" si="4"/>
        <v/>
      </c>
      <c r="J188" t="b">
        <f t="shared" si="5"/>
        <v>0</v>
      </c>
    </row>
    <row r="189" spans="3:10" x14ac:dyDescent="0.25">
      <c r="C189" s="4"/>
      <c r="E189" s="4"/>
      <c r="H189" s="31" t="str">
        <f t="shared" si="4"/>
        <v/>
      </c>
      <c r="J189" t="b">
        <f t="shared" si="5"/>
        <v>0</v>
      </c>
    </row>
    <row r="190" spans="3:10" x14ac:dyDescent="0.25">
      <c r="C190" s="4"/>
      <c r="E190" s="4"/>
      <c r="H190" s="31" t="str">
        <f t="shared" si="4"/>
        <v/>
      </c>
      <c r="J190" t="b">
        <f t="shared" si="5"/>
        <v>0</v>
      </c>
    </row>
    <row r="191" spans="3:10" x14ac:dyDescent="0.25">
      <c r="C191" s="4"/>
      <c r="E191" s="4"/>
      <c r="H191" s="31" t="str">
        <f t="shared" si="4"/>
        <v/>
      </c>
      <c r="J191" t="b">
        <f t="shared" si="5"/>
        <v>0</v>
      </c>
    </row>
    <row r="192" spans="3:10" x14ac:dyDescent="0.25">
      <c r="C192" s="4"/>
      <c r="E192" s="4"/>
      <c r="H192" s="31" t="str">
        <f t="shared" si="4"/>
        <v/>
      </c>
      <c r="J192" t="b">
        <f t="shared" si="5"/>
        <v>0</v>
      </c>
    </row>
    <row r="193" spans="3:10" x14ac:dyDescent="0.25">
      <c r="C193" s="4"/>
      <c r="E193" s="4"/>
      <c r="H193" s="31" t="str">
        <f t="shared" si="4"/>
        <v/>
      </c>
      <c r="J193" t="b">
        <f t="shared" si="5"/>
        <v>0</v>
      </c>
    </row>
    <row r="194" spans="3:10" x14ac:dyDescent="0.25">
      <c r="C194" s="4"/>
      <c r="E194" s="4"/>
      <c r="H194" s="31" t="str">
        <f t="shared" si="4"/>
        <v/>
      </c>
      <c r="J194" t="b">
        <f t="shared" si="5"/>
        <v>0</v>
      </c>
    </row>
    <row r="195" spans="3:10" x14ac:dyDescent="0.25">
      <c r="C195" s="4"/>
      <c r="E195" s="4"/>
      <c r="H195" s="31" t="str">
        <f t="shared" si="4"/>
        <v/>
      </c>
      <c r="J195" t="b">
        <f t="shared" si="5"/>
        <v>0</v>
      </c>
    </row>
    <row r="196" spans="3:10" x14ac:dyDescent="0.25">
      <c r="C196" s="4"/>
      <c r="E196" s="4"/>
      <c r="H196" s="31" t="str">
        <f t="shared" ref="H196:H259" si="6">IF($J196=TRUE,"Il ne peut y avoir des valeurs dans les 2 méthodes",IF($D196="kg/l",$C196,IF($D196="g/l",$C196/1000,IF($D196="lb/gal US",$C196*0.454/3.785,IF($G196="kg/l",($E196/100)*$F196,IF($G196="g/l",($E196/100)*$F196/1000,IF($G196="lb/gal US",($E196/100)*$F196*0.454/3.785,"")))))))</f>
        <v/>
      </c>
      <c r="J196" t="b">
        <f t="shared" ref="J196:J259" si="7">IF(AND(OR($C196&lt;&gt;"",$D196&lt;&gt;""),OR($E196&lt;&gt;"",F196&lt;&gt;"",G196&lt;&gt;"")),TRUE,FALSE)</f>
        <v>0</v>
      </c>
    </row>
    <row r="197" spans="3:10" x14ac:dyDescent="0.25">
      <c r="C197" s="4"/>
      <c r="E197" s="4"/>
      <c r="H197" s="31" t="str">
        <f t="shared" si="6"/>
        <v/>
      </c>
      <c r="J197" t="b">
        <f t="shared" si="7"/>
        <v>0</v>
      </c>
    </row>
    <row r="198" spans="3:10" x14ac:dyDescent="0.25">
      <c r="C198" s="4"/>
      <c r="E198" s="4"/>
      <c r="H198" s="31" t="str">
        <f t="shared" si="6"/>
        <v/>
      </c>
      <c r="J198" t="b">
        <f t="shared" si="7"/>
        <v>0</v>
      </c>
    </row>
    <row r="199" spans="3:10" x14ac:dyDescent="0.25">
      <c r="C199" s="4"/>
      <c r="E199" s="4"/>
      <c r="H199" s="31" t="str">
        <f t="shared" si="6"/>
        <v/>
      </c>
      <c r="J199" t="b">
        <f t="shared" si="7"/>
        <v>0</v>
      </c>
    </row>
    <row r="200" spans="3:10" x14ac:dyDescent="0.25">
      <c r="C200" s="4"/>
      <c r="E200" s="4"/>
      <c r="H200" s="31" t="str">
        <f t="shared" si="6"/>
        <v/>
      </c>
      <c r="J200" t="b">
        <f t="shared" si="7"/>
        <v>0</v>
      </c>
    </row>
    <row r="201" spans="3:10" x14ac:dyDescent="0.25">
      <c r="C201" s="4"/>
      <c r="E201" s="4"/>
      <c r="H201" s="31" t="str">
        <f t="shared" si="6"/>
        <v/>
      </c>
      <c r="J201" t="b">
        <f t="shared" si="7"/>
        <v>0</v>
      </c>
    </row>
    <row r="202" spans="3:10" x14ac:dyDescent="0.25">
      <c r="C202" s="4"/>
      <c r="E202" s="4"/>
      <c r="H202" s="31" t="str">
        <f t="shared" si="6"/>
        <v/>
      </c>
      <c r="J202" t="b">
        <f t="shared" si="7"/>
        <v>0</v>
      </c>
    </row>
    <row r="203" spans="3:10" x14ac:dyDescent="0.25">
      <c r="C203" s="4"/>
      <c r="E203" s="4"/>
      <c r="H203" s="31" t="str">
        <f t="shared" si="6"/>
        <v/>
      </c>
      <c r="J203" t="b">
        <f t="shared" si="7"/>
        <v>0</v>
      </c>
    </row>
    <row r="204" spans="3:10" x14ac:dyDescent="0.25">
      <c r="C204" s="4"/>
      <c r="E204" s="4"/>
      <c r="H204" s="31" t="str">
        <f t="shared" si="6"/>
        <v/>
      </c>
      <c r="J204" t="b">
        <f t="shared" si="7"/>
        <v>0</v>
      </c>
    </row>
    <row r="205" spans="3:10" x14ac:dyDescent="0.25">
      <c r="C205" s="4"/>
      <c r="E205" s="4"/>
      <c r="H205" s="31" t="str">
        <f t="shared" si="6"/>
        <v/>
      </c>
      <c r="J205" t="b">
        <f t="shared" si="7"/>
        <v>0</v>
      </c>
    </row>
    <row r="206" spans="3:10" x14ac:dyDescent="0.25">
      <c r="C206" s="4"/>
      <c r="E206" s="4"/>
      <c r="H206" s="31" t="str">
        <f t="shared" si="6"/>
        <v/>
      </c>
      <c r="J206" t="b">
        <f t="shared" si="7"/>
        <v>0</v>
      </c>
    </row>
    <row r="207" spans="3:10" x14ac:dyDescent="0.25">
      <c r="C207" s="4"/>
      <c r="E207" s="4"/>
      <c r="H207" s="31" t="str">
        <f t="shared" si="6"/>
        <v/>
      </c>
      <c r="J207" t="b">
        <f t="shared" si="7"/>
        <v>0</v>
      </c>
    </row>
    <row r="208" spans="3:10" x14ac:dyDescent="0.25">
      <c r="C208" s="4"/>
      <c r="E208" s="4"/>
      <c r="H208" s="31" t="str">
        <f t="shared" si="6"/>
        <v/>
      </c>
      <c r="J208" t="b">
        <f t="shared" si="7"/>
        <v>0</v>
      </c>
    </row>
    <row r="209" spans="3:10" x14ac:dyDescent="0.25">
      <c r="C209" s="4"/>
      <c r="E209" s="4"/>
      <c r="H209" s="31" t="str">
        <f t="shared" si="6"/>
        <v/>
      </c>
      <c r="J209" t="b">
        <f t="shared" si="7"/>
        <v>0</v>
      </c>
    </row>
    <row r="210" spans="3:10" x14ac:dyDescent="0.25">
      <c r="C210" s="4"/>
      <c r="E210" s="4"/>
      <c r="H210" s="31" t="str">
        <f t="shared" si="6"/>
        <v/>
      </c>
      <c r="J210" t="b">
        <f t="shared" si="7"/>
        <v>0</v>
      </c>
    </row>
    <row r="211" spans="3:10" x14ac:dyDescent="0.25">
      <c r="C211" s="4"/>
      <c r="E211" s="4"/>
      <c r="H211" s="31" t="str">
        <f t="shared" si="6"/>
        <v/>
      </c>
      <c r="J211" t="b">
        <f t="shared" si="7"/>
        <v>0</v>
      </c>
    </row>
    <row r="212" spans="3:10" x14ac:dyDescent="0.25">
      <c r="C212" s="4"/>
      <c r="E212" s="4"/>
      <c r="H212" s="31" t="str">
        <f t="shared" si="6"/>
        <v/>
      </c>
      <c r="J212" t="b">
        <f t="shared" si="7"/>
        <v>0</v>
      </c>
    </row>
    <row r="213" spans="3:10" x14ac:dyDescent="0.25">
      <c r="C213" s="4"/>
      <c r="E213" s="4"/>
      <c r="H213" s="31" t="str">
        <f t="shared" si="6"/>
        <v/>
      </c>
      <c r="J213" t="b">
        <f t="shared" si="7"/>
        <v>0</v>
      </c>
    </row>
    <row r="214" spans="3:10" x14ac:dyDescent="0.25">
      <c r="C214" s="4"/>
      <c r="E214" s="4"/>
      <c r="H214" s="31" t="str">
        <f t="shared" si="6"/>
        <v/>
      </c>
      <c r="J214" t="b">
        <f t="shared" si="7"/>
        <v>0</v>
      </c>
    </row>
    <row r="215" spans="3:10" x14ac:dyDescent="0.25">
      <c r="C215" s="4"/>
      <c r="E215" s="4"/>
      <c r="H215" s="31" t="str">
        <f t="shared" si="6"/>
        <v/>
      </c>
      <c r="J215" t="b">
        <f t="shared" si="7"/>
        <v>0</v>
      </c>
    </row>
    <row r="216" spans="3:10" x14ac:dyDescent="0.25">
      <c r="C216" s="4"/>
      <c r="E216" s="4"/>
      <c r="H216" s="31" t="str">
        <f t="shared" si="6"/>
        <v/>
      </c>
      <c r="J216" t="b">
        <f t="shared" si="7"/>
        <v>0</v>
      </c>
    </row>
    <row r="217" spans="3:10" x14ac:dyDescent="0.25">
      <c r="C217" s="4"/>
      <c r="E217" s="4"/>
      <c r="H217" s="31" t="str">
        <f t="shared" si="6"/>
        <v/>
      </c>
      <c r="J217" t="b">
        <f t="shared" si="7"/>
        <v>0</v>
      </c>
    </row>
    <row r="218" spans="3:10" x14ac:dyDescent="0.25">
      <c r="C218" s="4"/>
      <c r="E218" s="4"/>
      <c r="H218" s="31" t="str">
        <f t="shared" si="6"/>
        <v/>
      </c>
      <c r="J218" t="b">
        <f t="shared" si="7"/>
        <v>0</v>
      </c>
    </row>
    <row r="219" spans="3:10" x14ac:dyDescent="0.25">
      <c r="C219" s="4"/>
      <c r="E219" s="4"/>
      <c r="H219" s="31" t="str">
        <f t="shared" si="6"/>
        <v/>
      </c>
      <c r="J219" t="b">
        <f t="shared" si="7"/>
        <v>0</v>
      </c>
    </row>
    <row r="220" spans="3:10" x14ac:dyDescent="0.25">
      <c r="C220" s="4"/>
      <c r="E220" s="4"/>
      <c r="H220" s="31" t="str">
        <f t="shared" si="6"/>
        <v/>
      </c>
      <c r="J220" t="b">
        <f t="shared" si="7"/>
        <v>0</v>
      </c>
    </row>
    <row r="221" spans="3:10" x14ac:dyDescent="0.25">
      <c r="C221" s="4"/>
      <c r="E221" s="4"/>
      <c r="H221" s="31" t="str">
        <f t="shared" si="6"/>
        <v/>
      </c>
      <c r="J221" t="b">
        <f t="shared" si="7"/>
        <v>0</v>
      </c>
    </row>
    <row r="222" spans="3:10" x14ac:dyDescent="0.25">
      <c r="C222" s="4"/>
      <c r="E222" s="4"/>
      <c r="H222" s="31" t="str">
        <f t="shared" si="6"/>
        <v/>
      </c>
      <c r="J222" t="b">
        <f t="shared" si="7"/>
        <v>0</v>
      </c>
    </row>
    <row r="223" spans="3:10" x14ac:dyDescent="0.25">
      <c r="C223" s="4"/>
      <c r="E223" s="4"/>
      <c r="H223" s="31" t="str">
        <f t="shared" si="6"/>
        <v/>
      </c>
      <c r="J223" t="b">
        <f t="shared" si="7"/>
        <v>0</v>
      </c>
    </row>
    <row r="224" spans="3:10" x14ac:dyDescent="0.25">
      <c r="C224" s="4"/>
      <c r="E224" s="4"/>
      <c r="H224" s="31" t="str">
        <f t="shared" si="6"/>
        <v/>
      </c>
      <c r="J224" t="b">
        <f t="shared" si="7"/>
        <v>0</v>
      </c>
    </row>
    <row r="225" spans="3:10" x14ac:dyDescent="0.25">
      <c r="C225" s="4"/>
      <c r="E225" s="4"/>
      <c r="H225" s="31" t="str">
        <f t="shared" si="6"/>
        <v/>
      </c>
      <c r="J225" t="b">
        <f t="shared" si="7"/>
        <v>0</v>
      </c>
    </row>
    <row r="226" spans="3:10" x14ac:dyDescent="0.25">
      <c r="C226" s="4"/>
      <c r="E226" s="4"/>
      <c r="H226" s="31" t="str">
        <f t="shared" si="6"/>
        <v/>
      </c>
      <c r="J226" t="b">
        <f t="shared" si="7"/>
        <v>0</v>
      </c>
    </row>
    <row r="227" spans="3:10" x14ac:dyDescent="0.25">
      <c r="C227" s="4"/>
      <c r="E227" s="4"/>
      <c r="H227" s="31" t="str">
        <f t="shared" si="6"/>
        <v/>
      </c>
      <c r="J227" t="b">
        <f t="shared" si="7"/>
        <v>0</v>
      </c>
    </row>
    <row r="228" spans="3:10" x14ac:dyDescent="0.25">
      <c r="C228" s="4"/>
      <c r="E228" s="4"/>
      <c r="H228" s="31" t="str">
        <f t="shared" si="6"/>
        <v/>
      </c>
      <c r="J228" t="b">
        <f t="shared" si="7"/>
        <v>0</v>
      </c>
    </row>
    <row r="229" spans="3:10" x14ac:dyDescent="0.25">
      <c r="C229" s="4"/>
      <c r="E229" s="4"/>
      <c r="H229" s="31" t="str">
        <f t="shared" si="6"/>
        <v/>
      </c>
      <c r="J229" t="b">
        <f t="shared" si="7"/>
        <v>0</v>
      </c>
    </row>
    <row r="230" spans="3:10" x14ac:dyDescent="0.25">
      <c r="C230" s="4"/>
      <c r="E230" s="4"/>
      <c r="H230" s="31" t="str">
        <f t="shared" si="6"/>
        <v/>
      </c>
      <c r="J230" t="b">
        <f t="shared" si="7"/>
        <v>0</v>
      </c>
    </row>
    <row r="231" spans="3:10" x14ac:dyDescent="0.25">
      <c r="C231" s="4"/>
      <c r="E231" s="4"/>
      <c r="H231" s="31" t="str">
        <f t="shared" si="6"/>
        <v/>
      </c>
      <c r="J231" t="b">
        <f t="shared" si="7"/>
        <v>0</v>
      </c>
    </row>
    <row r="232" spans="3:10" x14ac:dyDescent="0.25">
      <c r="C232" s="4"/>
      <c r="E232" s="4"/>
      <c r="H232" s="31" t="str">
        <f t="shared" si="6"/>
        <v/>
      </c>
      <c r="J232" t="b">
        <f t="shared" si="7"/>
        <v>0</v>
      </c>
    </row>
    <row r="233" spans="3:10" x14ac:dyDescent="0.25">
      <c r="C233" s="4"/>
      <c r="E233" s="4"/>
      <c r="H233" s="31" t="str">
        <f t="shared" si="6"/>
        <v/>
      </c>
      <c r="J233" t="b">
        <f t="shared" si="7"/>
        <v>0</v>
      </c>
    </row>
    <row r="234" spans="3:10" x14ac:dyDescent="0.25">
      <c r="C234" s="4"/>
      <c r="E234" s="4"/>
      <c r="H234" s="31" t="str">
        <f t="shared" si="6"/>
        <v/>
      </c>
      <c r="J234" t="b">
        <f t="shared" si="7"/>
        <v>0</v>
      </c>
    </row>
    <row r="235" spans="3:10" x14ac:dyDescent="0.25">
      <c r="C235" s="4"/>
      <c r="E235" s="4"/>
      <c r="H235" s="31" t="str">
        <f t="shared" si="6"/>
        <v/>
      </c>
      <c r="J235" t="b">
        <f t="shared" si="7"/>
        <v>0</v>
      </c>
    </row>
    <row r="236" spans="3:10" x14ac:dyDescent="0.25">
      <c r="C236" s="4"/>
      <c r="E236" s="4"/>
      <c r="H236" s="31" t="str">
        <f t="shared" si="6"/>
        <v/>
      </c>
      <c r="J236" t="b">
        <f t="shared" si="7"/>
        <v>0</v>
      </c>
    </row>
    <row r="237" spans="3:10" x14ac:dyDescent="0.25">
      <c r="C237" s="4"/>
      <c r="E237" s="4"/>
      <c r="H237" s="31" t="str">
        <f t="shared" si="6"/>
        <v/>
      </c>
      <c r="J237" t="b">
        <f t="shared" si="7"/>
        <v>0</v>
      </c>
    </row>
    <row r="238" spans="3:10" x14ac:dyDescent="0.25">
      <c r="C238" s="4"/>
      <c r="E238" s="4"/>
      <c r="H238" s="31" t="str">
        <f t="shared" si="6"/>
        <v/>
      </c>
      <c r="J238" t="b">
        <f t="shared" si="7"/>
        <v>0</v>
      </c>
    </row>
    <row r="239" spans="3:10" x14ac:dyDescent="0.25">
      <c r="C239" s="4"/>
      <c r="E239" s="4"/>
      <c r="H239" s="31" t="str">
        <f t="shared" si="6"/>
        <v/>
      </c>
      <c r="J239" t="b">
        <f t="shared" si="7"/>
        <v>0</v>
      </c>
    </row>
    <row r="240" spans="3:10" x14ac:dyDescent="0.25">
      <c r="C240" s="4"/>
      <c r="E240" s="4"/>
      <c r="H240" s="31" t="str">
        <f t="shared" si="6"/>
        <v/>
      </c>
      <c r="J240" t="b">
        <f t="shared" si="7"/>
        <v>0</v>
      </c>
    </row>
    <row r="241" spans="3:10" x14ac:dyDescent="0.25">
      <c r="C241" s="4"/>
      <c r="E241" s="4"/>
      <c r="H241" s="31" t="str">
        <f t="shared" si="6"/>
        <v/>
      </c>
      <c r="J241" t="b">
        <f t="shared" si="7"/>
        <v>0</v>
      </c>
    </row>
    <row r="242" spans="3:10" x14ac:dyDescent="0.25">
      <c r="C242" s="4"/>
      <c r="E242" s="4"/>
      <c r="H242" s="31" t="str">
        <f t="shared" si="6"/>
        <v/>
      </c>
      <c r="J242" t="b">
        <f t="shared" si="7"/>
        <v>0</v>
      </c>
    </row>
    <row r="243" spans="3:10" x14ac:dyDescent="0.25">
      <c r="C243" s="4"/>
      <c r="E243" s="4"/>
      <c r="H243" s="31" t="str">
        <f t="shared" si="6"/>
        <v/>
      </c>
      <c r="J243" t="b">
        <f t="shared" si="7"/>
        <v>0</v>
      </c>
    </row>
    <row r="244" spans="3:10" x14ac:dyDescent="0.25">
      <c r="C244" s="4"/>
      <c r="E244" s="4"/>
      <c r="H244" s="31" t="str">
        <f t="shared" si="6"/>
        <v/>
      </c>
      <c r="J244" t="b">
        <f t="shared" si="7"/>
        <v>0</v>
      </c>
    </row>
    <row r="245" spans="3:10" x14ac:dyDescent="0.25">
      <c r="C245" s="4"/>
      <c r="E245" s="4"/>
      <c r="H245" s="31" t="str">
        <f t="shared" si="6"/>
        <v/>
      </c>
      <c r="J245" t="b">
        <f t="shared" si="7"/>
        <v>0</v>
      </c>
    </row>
    <row r="246" spans="3:10" x14ac:dyDescent="0.25">
      <c r="C246" s="4"/>
      <c r="E246" s="4"/>
      <c r="H246" s="31" t="str">
        <f t="shared" si="6"/>
        <v/>
      </c>
      <c r="J246" t="b">
        <f t="shared" si="7"/>
        <v>0</v>
      </c>
    </row>
    <row r="247" spans="3:10" x14ac:dyDescent="0.25">
      <c r="C247" s="4"/>
      <c r="E247" s="4"/>
      <c r="H247" s="31" t="str">
        <f t="shared" si="6"/>
        <v/>
      </c>
      <c r="J247" t="b">
        <f t="shared" si="7"/>
        <v>0</v>
      </c>
    </row>
    <row r="248" spans="3:10" x14ac:dyDescent="0.25">
      <c r="C248" s="4"/>
      <c r="E248" s="4"/>
      <c r="H248" s="31" t="str">
        <f t="shared" si="6"/>
        <v/>
      </c>
      <c r="J248" t="b">
        <f t="shared" si="7"/>
        <v>0</v>
      </c>
    </row>
    <row r="249" spans="3:10" x14ac:dyDescent="0.25">
      <c r="C249" s="4"/>
      <c r="E249" s="4"/>
      <c r="H249" s="31" t="str">
        <f t="shared" si="6"/>
        <v/>
      </c>
      <c r="J249" t="b">
        <f t="shared" si="7"/>
        <v>0</v>
      </c>
    </row>
    <row r="250" spans="3:10" x14ac:dyDescent="0.25">
      <c r="C250" s="4"/>
      <c r="E250" s="4"/>
      <c r="H250" s="31" t="str">
        <f t="shared" si="6"/>
        <v/>
      </c>
      <c r="J250" t="b">
        <f t="shared" si="7"/>
        <v>0</v>
      </c>
    </row>
    <row r="251" spans="3:10" x14ac:dyDescent="0.25">
      <c r="C251" s="4"/>
      <c r="E251" s="4"/>
      <c r="H251" s="31" t="str">
        <f t="shared" si="6"/>
        <v/>
      </c>
      <c r="J251" t="b">
        <f t="shared" si="7"/>
        <v>0</v>
      </c>
    </row>
    <row r="252" spans="3:10" x14ac:dyDescent="0.25">
      <c r="C252" s="4"/>
      <c r="E252" s="4"/>
      <c r="H252" s="31" t="str">
        <f t="shared" si="6"/>
        <v/>
      </c>
      <c r="J252" t="b">
        <f t="shared" si="7"/>
        <v>0</v>
      </c>
    </row>
    <row r="253" spans="3:10" x14ac:dyDescent="0.25">
      <c r="C253" s="4"/>
      <c r="E253" s="4"/>
      <c r="H253" s="31" t="str">
        <f t="shared" si="6"/>
        <v/>
      </c>
      <c r="J253" t="b">
        <f t="shared" si="7"/>
        <v>0</v>
      </c>
    </row>
    <row r="254" spans="3:10" x14ac:dyDescent="0.25">
      <c r="C254" s="4"/>
      <c r="E254" s="4"/>
      <c r="H254" s="31" t="str">
        <f t="shared" si="6"/>
        <v/>
      </c>
      <c r="J254" t="b">
        <f t="shared" si="7"/>
        <v>0</v>
      </c>
    </row>
    <row r="255" spans="3:10" x14ac:dyDescent="0.25">
      <c r="C255" s="4"/>
      <c r="E255" s="4"/>
      <c r="H255" s="31" t="str">
        <f t="shared" si="6"/>
        <v/>
      </c>
      <c r="J255" t="b">
        <f t="shared" si="7"/>
        <v>0</v>
      </c>
    </row>
    <row r="256" spans="3:10" x14ac:dyDescent="0.25">
      <c r="C256" s="4"/>
      <c r="E256" s="4"/>
      <c r="H256" s="31" t="str">
        <f t="shared" si="6"/>
        <v/>
      </c>
      <c r="J256" t="b">
        <f t="shared" si="7"/>
        <v>0</v>
      </c>
    </row>
    <row r="257" spans="3:10" x14ac:dyDescent="0.25">
      <c r="C257" s="4"/>
      <c r="E257" s="4"/>
      <c r="H257" s="31" t="str">
        <f t="shared" si="6"/>
        <v/>
      </c>
      <c r="J257" t="b">
        <f t="shared" si="7"/>
        <v>0</v>
      </c>
    </row>
    <row r="258" spans="3:10" x14ac:dyDescent="0.25">
      <c r="C258" s="4"/>
      <c r="E258" s="4"/>
      <c r="H258" s="31" t="str">
        <f t="shared" si="6"/>
        <v/>
      </c>
      <c r="J258" t="b">
        <f t="shared" si="7"/>
        <v>0</v>
      </c>
    </row>
    <row r="259" spans="3:10" x14ac:dyDescent="0.25">
      <c r="C259" s="4"/>
      <c r="E259" s="4"/>
      <c r="H259" s="31" t="str">
        <f t="shared" si="6"/>
        <v/>
      </c>
      <c r="J259" t="b">
        <f t="shared" si="7"/>
        <v>0</v>
      </c>
    </row>
    <row r="260" spans="3:10" x14ac:dyDescent="0.25">
      <c r="C260" s="4"/>
      <c r="E260" s="4"/>
      <c r="H260" s="31" t="str">
        <f t="shared" ref="H260:H323" si="8">IF($J260=TRUE,"Il ne peut y avoir des valeurs dans les 2 méthodes",IF($D260="kg/l",$C260,IF($D260="g/l",$C260/1000,IF($D260="lb/gal US",$C260*0.454/3.785,IF($G260="kg/l",($E260/100)*$F260,IF($G260="g/l",($E260/100)*$F260/1000,IF($G260="lb/gal US",($E260/100)*$F260*0.454/3.785,"")))))))</f>
        <v/>
      </c>
      <c r="J260" t="b">
        <f t="shared" ref="J260:J323" si="9">IF(AND(OR($C260&lt;&gt;"",$D260&lt;&gt;""),OR($E260&lt;&gt;"",F260&lt;&gt;"",G260&lt;&gt;"")),TRUE,FALSE)</f>
        <v>0</v>
      </c>
    </row>
    <row r="261" spans="3:10" x14ac:dyDescent="0.25">
      <c r="C261" s="4"/>
      <c r="E261" s="4"/>
      <c r="H261" s="31" t="str">
        <f t="shared" si="8"/>
        <v/>
      </c>
      <c r="J261" t="b">
        <f t="shared" si="9"/>
        <v>0</v>
      </c>
    </row>
    <row r="262" spans="3:10" x14ac:dyDescent="0.25">
      <c r="C262" s="4"/>
      <c r="E262" s="4"/>
      <c r="H262" s="31" t="str">
        <f t="shared" si="8"/>
        <v/>
      </c>
      <c r="J262" t="b">
        <f t="shared" si="9"/>
        <v>0</v>
      </c>
    </row>
    <row r="263" spans="3:10" x14ac:dyDescent="0.25">
      <c r="C263" s="4"/>
      <c r="E263" s="4"/>
      <c r="H263" s="31" t="str">
        <f t="shared" si="8"/>
        <v/>
      </c>
      <c r="J263" t="b">
        <f t="shared" si="9"/>
        <v>0</v>
      </c>
    </row>
    <row r="264" spans="3:10" x14ac:dyDescent="0.25">
      <c r="C264" s="4"/>
      <c r="E264" s="4"/>
      <c r="H264" s="31" t="str">
        <f t="shared" si="8"/>
        <v/>
      </c>
      <c r="J264" t="b">
        <f t="shared" si="9"/>
        <v>0</v>
      </c>
    </row>
    <row r="265" spans="3:10" x14ac:dyDescent="0.25">
      <c r="C265" s="4"/>
      <c r="E265" s="4"/>
      <c r="H265" s="31" t="str">
        <f t="shared" si="8"/>
        <v/>
      </c>
      <c r="J265" t="b">
        <f t="shared" si="9"/>
        <v>0</v>
      </c>
    </row>
    <row r="266" spans="3:10" x14ac:dyDescent="0.25">
      <c r="C266" s="4"/>
      <c r="E266" s="4"/>
      <c r="H266" s="31" t="str">
        <f t="shared" si="8"/>
        <v/>
      </c>
      <c r="J266" t="b">
        <f t="shared" si="9"/>
        <v>0</v>
      </c>
    </row>
    <row r="267" spans="3:10" x14ac:dyDescent="0.25">
      <c r="C267" s="4"/>
      <c r="E267" s="4"/>
      <c r="H267" s="31" t="str">
        <f t="shared" si="8"/>
        <v/>
      </c>
      <c r="J267" t="b">
        <f t="shared" si="9"/>
        <v>0</v>
      </c>
    </row>
    <row r="268" spans="3:10" x14ac:dyDescent="0.25">
      <c r="C268" s="4"/>
      <c r="E268" s="4"/>
      <c r="H268" s="31" t="str">
        <f t="shared" si="8"/>
        <v/>
      </c>
      <c r="J268" t="b">
        <f t="shared" si="9"/>
        <v>0</v>
      </c>
    </row>
    <row r="269" spans="3:10" x14ac:dyDescent="0.25">
      <c r="C269" s="4"/>
      <c r="E269" s="4"/>
      <c r="H269" s="31" t="str">
        <f t="shared" si="8"/>
        <v/>
      </c>
      <c r="J269" t="b">
        <f t="shared" si="9"/>
        <v>0</v>
      </c>
    </row>
    <row r="270" spans="3:10" x14ac:dyDescent="0.25">
      <c r="C270" s="4"/>
      <c r="E270" s="4"/>
      <c r="H270" s="31" t="str">
        <f t="shared" si="8"/>
        <v/>
      </c>
      <c r="J270" t="b">
        <f t="shared" si="9"/>
        <v>0</v>
      </c>
    </row>
    <row r="271" spans="3:10" x14ac:dyDescent="0.25">
      <c r="C271" s="4"/>
      <c r="E271" s="4"/>
      <c r="H271" s="31" t="str">
        <f t="shared" si="8"/>
        <v/>
      </c>
      <c r="J271" t="b">
        <f t="shared" si="9"/>
        <v>0</v>
      </c>
    </row>
    <row r="272" spans="3:10" x14ac:dyDescent="0.25">
      <c r="C272" s="4"/>
      <c r="E272" s="4"/>
      <c r="H272" s="31" t="str">
        <f t="shared" si="8"/>
        <v/>
      </c>
      <c r="J272" t="b">
        <f t="shared" si="9"/>
        <v>0</v>
      </c>
    </row>
    <row r="273" spans="3:10" x14ac:dyDescent="0.25">
      <c r="C273" s="4"/>
      <c r="E273" s="4"/>
      <c r="H273" s="31" t="str">
        <f t="shared" si="8"/>
        <v/>
      </c>
      <c r="J273" t="b">
        <f t="shared" si="9"/>
        <v>0</v>
      </c>
    </row>
    <row r="274" spans="3:10" x14ac:dyDescent="0.25">
      <c r="C274" s="4"/>
      <c r="E274" s="4"/>
      <c r="H274" s="31" t="str">
        <f t="shared" si="8"/>
        <v/>
      </c>
      <c r="J274" t="b">
        <f t="shared" si="9"/>
        <v>0</v>
      </c>
    </row>
    <row r="275" spans="3:10" x14ac:dyDescent="0.25">
      <c r="C275" s="4"/>
      <c r="E275" s="4"/>
      <c r="H275" s="31" t="str">
        <f t="shared" si="8"/>
        <v/>
      </c>
      <c r="J275" t="b">
        <f t="shared" si="9"/>
        <v>0</v>
      </c>
    </row>
    <row r="276" spans="3:10" x14ac:dyDescent="0.25">
      <c r="C276" s="4"/>
      <c r="E276" s="4"/>
      <c r="H276" s="31" t="str">
        <f t="shared" si="8"/>
        <v/>
      </c>
      <c r="J276" t="b">
        <f t="shared" si="9"/>
        <v>0</v>
      </c>
    </row>
    <row r="277" spans="3:10" x14ac:dyDescent="0.25">
      <c r="C277" s="4"/>
      <c r="E277" s="4"/>
      <c r="H277" s="31" t="str">
        <f t="shared" si="8"/>
        <v/>
      </c>
      <c r="J277" t="b">
        <f t="shared" si="9"/>
        <v>0</v>
      </c>
    </row>
    <row r="278" spans="3:10" x14ac:dyDescent="0.25">
      <c r="C278" s="4"/>
      <c r="E278" s="4"/>
      <c r="H278" s="31" t="str">
        <f t="shared" si="8"/>
        <v/>
      </c>
      <c r="J278" t="b">
        <f t="shared" si="9"/>
        <v>0</v>
      </c>
    </row>
    <row r="279" spans="3:10" x14ac:dyDescent="0.25">
      <c r="C279" s="4"/>
      <c r="E279" s="4"/>
      <c r="H279" s="31" t="str">
        <f t="shared" si="8"/>
        <v/>
      </c>
      <c r="J279" t="b">
        <f t="shared" si="9"/>
        <v>0</v>
      </c>
    </row>
    <row r="280" spans="3:10" x14ac:dyDescent="0.25">
      <c r="C280" s="4"/>
      <c r="E280" s="4"/>
      <c r="H280" s="31" t="str">
        <f t="shared" si="8"/>
        <v/>
      </c>
      <c r="J280" t="b">
        <f t="shared" si="9"/>
        <v>0</v>
      </c>
    </row>
    <row r="281" spans="3:10" x14ac:dyDescent="0.25">
      <c r="C281" s="4"/>
      <c r="E281" s="4"/>
      <c r="H281" s="31" t="str">
        <f t="shared" si="8"/>
        <v/>
      </c>
      <c r="J281" t="b">
        <f t="shared" si="9"/>
        <v>0</v>
      </c>
    </row>
    <row r="282" spans="3:10" x14ac:dyDescent="0.25">
      <c r="C282" s="4"/>
      <c r="E282" s="4"/>
      <c r="H282" s="31" t="str">
        <f t="shared" si="8"/>
        <v/>
      </c>
      <c r="J282" t="b">
        <f t="shared" si="9"/>
        <v>0</v>
      </c>
    </row>
    <row r="283" spans="3:10" x14ac:dyDescent="0.25">
      <c r="C283" s="4"/>
      <c r="E283" s="4"/>
      <c r="H283" s="31" t="str">
        <f t="shared" si="8"/>
        <v/>
      </c>
      <c r="J283" t="b">
        <f t="shared" si="9"/>
        <v>0</v>
      </c>
    </row>
    <row r="284" spans="3:10" x14ac:dyDescent="0.25">
      <c r="C284" s="4"/>
      <c r="E284" s="4"/>
      <c r="H284" s="31" t="str">
        <f t="shared" si="8"/>
        <v/>
      </c>
      <c r="J284" t="b">
        <f t="shared" si="9"/>
        <v>0</v>
      </c>
    </row>
    <row r="285" spans="3:10" x14ac:dyDescent="0.25">
      <c r="C285" s="4"/>
      <c r="E285" s="4"/>
      <c r="H285" s="31" t="str">
        <f t="shared" si="8"/>
        <v/>
      </c>
      <c r="J285" t="b">
        <f t="shared" si="9"/>
        <v>0</v>
      </c>
    </row>
    <row r="286" spans="3:10" x14ac:dyDescent="0.25">
      <c r="C286" s="4"/>
      <c r="E286" s="4"/>
      <c r="H286" s="31" t="str">
        <f t="shared" si="8"/>
        <v/>
      </c>
      <c r="J286" t="b">
        <f t="shared" si="9"/>
        <v>0</v>
      </c>
    </row>
    <row r="287" spans="3:10" x14ac:dyDescent="0.25">
      <c r="C287" s="4"/>
      <c r="E287" s="4"/>
      <c r="H287" s="31" t="str">
        <f t="shared" si="8"/>
        <v/>
      </c>
      <c r="J287" t="b">
        <f t="shared" si="9"/>
        <v>0</v>
      </c>
    </row>
    <row r="288" spans="3:10" x14ac:dyDescent="0.25">
      <c r="C288" s="4"/>
      <c r="E288" s="4"/>
      <c r="H288" s="31" t="str">
        <f t="shared" si="8"/>
        <v/>
      </c>
      <c r="J288" t="b">
        <f t="shared" si="9"/>
        <v>0</v>
      </c>
    </row>
    <row r="289" spans="3:10" x14ac:dyDescent="0.25">
      <c r="C289" s="4"/>
      <c r="E289" s="4"/>
      <c r="H289" s="31" t="str">
        <f t="shared" si="8"/>
        <v/>
      </c>
      <c r="J289" t="b">
        <f t="shared" si="9"/>
        <v>0</v>
      </c>
    </row>
    <row r="290" spans="3:10" x14ac:dyDescent="0.25">
      <c r="C290" s="4"/>
      <c r="E290" s="4"/>
      <c r="H290" s="31" t="str">
        <f t="shared" si="8"/>
        <v/>
      </c>
      <c r="J290" t="b">
        <f t="shared" si="9"/>
        <v>0</v>
      </c>
    </row>
    <row r="291" spans="3:10" x14ac:dyDescent="0.25">
      <c r="C291" s="4"/>
      <c r="E291" s="4"/>
      <c r="H291" s="31" t="str">
        <f t="shared" si="8"/>
        <v/>
      </c>
      <c r="J291" t="b">
        <f t="shared" si="9"/>
        <v>0</v>
      </c>
    </row>
    <row r="292" spans="3:10" x14ac:dyDescent="0.25">
      <c r="C292" s="4"/>
      <c r="E292" s="4"/>
      <c r="H292" s="31" t="str">
        <f t="shared" si="8"/>
        <v/>
      </c>
      <c r="J292" t="b">
        <f t="shared" si="9"/>
        <v>0</v>
      </c>
    </row>
    <row r="293" spans="3:10" x14ac:dyDescent="0.25">
      <c r="C293" s="4"/>
      <c r="E293" s="4"/>
      <c r="H293" s="31" t="str">
        <f t="shared" si="8"/>
        <v/>
      </c>
      <c r="J293" t="b">
        <f t="shared" si="9"/>
        <v>0</v>
      </c>
    </row>
    <row r="294" spans="3:10" x14ac:dyDescent="0.25">
      <c r="C294" s="4"/>
      <c r="E294" s="4"/>
      <c r="H294" s="31" t="str">
        <f t="shared" si="8"/>
        <v/>
      </c>
      <c r="J294" t="b">
        <f t="shared" si="9"/>
        <v>0</v>
      </c>
    </row>
    <row r="295" spans="3:10" x14ac:dyDescent="0.25">
      <c r="C295" s="4"/>
      <c r="E295" s="4"/>
      <c r="H295" s="31" t="str">
        <f t="shared" si="8"/>
        <v/>
      </c>
      <c r="J295" t="b">
        <f t="shared" si="9"/>
        <v>0</v>
      </c>
    </row>
    <row r="296" spans="3:10" x14ac:dyDescent="0.25">
      <c r="C296" s="4"/>
      <c r="E296" s="4"/>
      <c r="H296" s="31" t="str">
        <f t="shared" si="8"/>
        <v/>
      </c>
      <c r="J296" t="b">
        <f t="shared" si="9"/>
        <v>0</v>
      </c>
    </row>
    <row r="297" spans="3:10" x14ac:dyDescent="0.25">
      <c r="C297" s="4"/>
      <c r="E297" s="4"/>
      <c r="H297" s="31" t="str">
        <f t="shared" si="8"/>
        <v/>
      </c>
      <c r="J297" t="b">
        <f t="shared" si="9"/>
        <v>0</v>
      </c>
    </row>
    <row r="298" spans="3:10" x14ac:dyDescent="0.25">
      <c r="C298" s="4"/>
      <c r="E298" s="4"/>
      <c r="H298" s="31" t="str">
        <f t="shared" si="8"/>
        <v/>
      </c>
      <c r="J298" t="b">
        <f t="shared" si="9"/>
        <v>0</v>
      </c>
    </row>
    <row r="299" spans="3:10" x14ac:dyDescent="0.25">
      <c r="C299" s="4"/>
      <c r="E299" s="4"/>
      <c r="H299" s="31" t="str">
        <f t="shared" si="8"/>
        <v/>
      </c>
      <c r="J299" t="b">
        <f t="shared" si="9"/>
        <v>0</v>
      </c>
    </row>
    <row r="300" spans="3:10" x14ac:dyDescent="0.25">
      <c r="C300" s="4"/>
      <c r="E300" s="4"/>
      <c r="H300" s="31" t="str">
        <f t="shared" si="8"/>
        <v/>
      </c>
      <c r="J300" t="b">
        <f t="shared" si="9"/>
        <v>0</v>
      </c>
    </row>
    <row r="301" spans="3:10" x14ac:dyDescent="0.25">
      <c r="C301" s="4"/>
      <c r="E301" s="4"/>
      <c r="H301" s="31" t="str">
        <f t="shared" si="8"/>
        <v/>
      </c>
      <c r="J301" t="b">
        <f t="shared" si="9"/>
        <v>0</v>
      </c>
    </row>
    <row r="302" spans="3:10" x14ac:dyDescent="0.25">
      <c r="C302" s="4"/>
      <c r="E302" s="4"/>
      <c r="H302" s="31" t="str">
        <f t="shared" si="8"/>
        <v/>
      </c>
      <c r="J302" t="b">
        <f t="shared" si="9"/>
        <v>0</v>
      </c>
    </row>
    <row r="303" spans="3:10" x14ac:dyDescent="0.25">
      <c r="C303" s="4"/>
      <c r="E303" s="4"/>
      <c r="H303" s="31" t="str">
        <f t="shared" si="8"/>
        <v/>
      </c>
      <c r="J303" t="b">
        <f t="shared" si="9"/>
        <v>0</v>
      </c>
    </row>
    <row r="304" spans="3:10" x14ac:dyDescent="0.25">
      <c r="C304" s="4"/>
      <c r="E304" s="4"/>
      <c r="H304" s="31" t="str">
        <f t="shared" si="8"/>
        <v/>
      </c>
      <c r="J304" t="b">
        <f t="shared" si="9"/>
        <v>0</v>
      </c>
    </row>
    <row r="305" spans="3:10" x14ac:dyDescent="0.25">
      <c r="C305" s="4"/>
      <c r="E305" s="4"/>
      <c r="H305" s="31" t="str">
        <f t="shared" si="8"/>
        <v/>
      </c>
      <c r="J305" t="b">
        <f t="shared" si="9"/>
        <v>0</v>
      </c>
    </row>
    <row r="306" spans="3:10" x14ac:dyDescent="0.25">
      <c r="C306" s="4"/>
      <c r="E306" s="4"/>
      <c r="H306" s="31" t="str">
        <f t="shared" si="8"/>
        <v/>
      </c>
      <c r="J306" t="b">
        <f t="shared" si="9"/>
        <v>0</v>
      </c>
    </row>
    <row r="307" spans="3:10" x14ac:dyDescent="0.25">
      <c r="C307" s="4"/>
      <c r="E307" s="4"/>
      <c r="H307" s="31" t="str">
        <f t="shared" si="8"/>
        <v/>
      </c>
      <c r="J307" t="b">
        <f t="shared" si="9"/>
        <v>0</v>
      </c>
    </row>
    <row r="308" spans="3:10" x14ac:dyDescent="0.25">
      <c r="C308" s="4"/>
      <c r="E308" s="4"/>
      <c r="H308" s="31" t="str">
        <f t="shared" si="8"/>
        <v/>
      </c>
      <c r="J308" t="b">
        <f t="shared" si="9"/>
        <v>0</v>
      </c>
    </row>
    <row r="309" spans="3:10" x14ac:dyDescent="0.25">
      <c r="C309" s="4"/>
      <c r="E309" s="4"/>
      <c r="H309" s="31" t="str">
        <f t="shared" si="8"/>
        <v/>
      </c>
      <c r="J309" t="b">
        <f t="shared" si="9"/>
        <v>0</v>
      </c>
    </row>
    <row r="310" spans="3:10" x14ac:dyDescent="0.25">
      <c r="C310" s="4"/>
      <c r="E310" s="4"/>
      <c r="H310" s="31" t="str">
        <f t="shared" si="8"/>
        <v/>
      </c>
      <c r="J310" t="b">
        <f t="shared" si="9"/>
        <v>0</v>
      </c>
    </row>
    <row r="311" spans="3:10" x14ac:dyDescent="0.25">
      <c r="C311" s="4"/>
      <c r="E311" s="4"/>
      <c r="H311" s="31" t="str">
        <f t="shared" si="8"/>
        <v/>
      </c>
      <c r="J311" t="b">
        <f t="shared" si="9"/>
        <v>0</v>
      </c>
    </row>
    <row r="312" spans="3:10" x14ac:dyDescent="0.25">
      <c r="C312" s="4"/>
      <c r="E312" s="4"/>
      <c r="H312" s="31" t="str">
        <f t="shared" si="8"/>
        <v/>
      </c>
      <c r="J312" t="b">
        <f t="shared" si="9"/>
        <v>0</v>
      </c>
    </row>
    <row r="313" spans="3:10" x14ac:dyDescent="0.25">
      <c r="C313" s="4"/>
      <c r="E313" s="4"/>
      <c r="H313" s="31" t="str">
        <f t="shared" si="8"/>
        <v/>
      </c>
      <c r="J313" t="b">
        <f t="shared" si="9"/>
        <v>0</v>
      </c>
    </row>
    <row r="314" spans="3:10" x14ac:dyDescent="0.25">
      <c r="C314" s="4"/>
      <c r="E314" s="4"/>
      <c r="H314" s="31" t="str">
        <f t="shared" si="8"/>
        <v/>
      </c>
      <c r="J314" t="b">
        <f t="shared" si="9"/>
        <v>0</v>
      </c>
    </row>
    <row r="315" spans="3:10" x14ac:dyDescent="0.25">
      <c r="C315" s="4"/>
      <c r="E315" s="4"/>
      <c r="H315" s="31" t="str">
        <f t="shared" si="8"/>
        <v/>
      </c>
      <c r="J315" t="b">
        <f t="shared" si="9"/>
        <v>0</v>
      </c>
    </row>
    <row r="316" spans="3:10" x14ac:dyDescent="0.25">
      <c r="C316" s="4"/>
      <c r="E316" s="4"/>
      <c r="H316" s="31" t="str">
        <f t="shared" si="8"/>
        <v/>
      </c>
      <c r="J316" t="b">
        <f t="shared" si="9"/>
        <v>0</v>
      </c>
    </row>
    <row r="317" spans="3:10" x14ac:dyDescent="0.25">
      <c r="C317" s="4"/>
      <c r="E317" s="4"/>
      <c r="H317" s="31" t="str">
        <f t="shared" si="8"/>
        <v/>
      </c>
      <c r="J317" t="b">
        <f t="shared" si="9"/>
        <v>0</v>
      </c>
    </row>
    <row r="318" spans="3:10" x14ac:dyDescent="0.25">
      <c r="C318" s="4"/>
      <c r="E318" s="4"/>
      <c r="H318" s="31" t="str">
        <f t="shared" si="8"/>
        <v/>
      </c>
      <c r="J318" t="b">
        <f t="shared" si="9"/>
        <v>0</v>
      </c>
    </row>
    <row r="319" spans="3:10" x14ac:dyDescent="0.25">
      <c r="C319" s="4"/>
      <c r="E319" s="4"/>
      <c r="H319" s="31" t="str">
        <f t="shared" si="8"/>
        <v/>
      </c>
      <c r="J319" t="b">
        <f t="shared" si="9"/>
        <v>0</v>
      </c>
    </row>
    <row r="320" spans="3:10" x14ac:dyDescent="0.25">
      <c r="C320" s="4"/>
      <c r="E320" s="4"/>
      <c r="H320" s="31" t="str">
        <f t="shared" si="8"/>
        <v/>
      </c>
      <c r="J320" t="b">
        <f t="shared" si="9"/>
        <v>0</v>
      </c>
    </row>
    <row r="321" spans="3:10" x14ac:dyDescent="0.25">
      <c r="C321" s="4"/>
      <c r="E321" s="4"/>
      <c r="H321" s="31" t="str">
        <f t="shared" si="8"/>
        <v/>
      </c>
      <c r="J321" t="b">
        <f t="shared" si="9"/>
        <v>0</v>
      </c>
    </row>
    <row r="322" spans="3:10" x14ac:dyDescent="0.25">
      <c r="C322" s="4"/>
      <c r="E322" s="4"/>
      <c r="H322" s="31" t="str">
        <f t="shared" si="8"/>
        <v/>
      </c>
      <c r="J322" t="b">
        <f t="shared" si="9"/>
        <v>0</v>
      </c>
    </row>
    <row r="323" spans="3:10" x14ac:dyDescent="0.25">
      <c r="C323" s="4"/>
      <c r="E323" s="4"/>
      <c r="H323" s="31" t="str">
        <f t="shared" si="8"/>
        <v/>
      </c>
      <c r="J323" t="b">
        <f t="shared" si="9"/>
        <v>0</v>
      </c>
    </row>
    <row r="324" spans="3:10" x14ac:dyDescent="0.25">
      <c r="C324" s="4"/>
      <c r="E324" s="4"/>
      <c r="H324" s="31" t="str">
        <f t="shared" ref="H324:H387" si="10">IF($J324=TRUE,"Il ne peut y avoir des valeurs dans les 2 méthodes",IF($D324="kg/l",$C324,IF($D324="g/l",$C324/1000,IF($D324="lb/gal US",$C324*0.454/3.785,IF($G324="kg/l",($E324/100)*$F324,IF($G324="g/l",($E324/100)*$F324/1000,IF($G324="lb/gal US",($E324/100)*$F324*0.454/3.785,"")))))))</f>
        <v/>
      </c>
      <c r="J324" t="b">
        <f t="shared" ref="J324:J387" si="11">IF(AND(OR($C324&lt;&gt;"",$D324&lt;&gt;""),OR($E324&lt;&gt;"",F324&lt;&gt;"",G324&lt;&gt;"")),TRUE,FALSE)</f>
        <v>0</v>
      </c>
    </row>
    <row r="325" spans="3:10" x14ac:dyDescent="0.25">
      <c r="C325" s="4"/>
      <c r="E325" s="4"/>
      <c r="H325" s="31" t="str">
        <f t="shared" si="10"/>
        <v/>
      </c>
      <c r="J325" t="b">
        <f t="shared" si="11"/>
        <v>0</v>
      </c>
    </row>
    <row r="326" spans="3:10" x14ac:dyDescent="0.25">
      <c r="C326" s="4"/>
      <c r="E326" s="4"/>
      <c r="H326" s="31" t="str">
        <f t="shared" si="10"/>
        <v/>
      </c>
      <c r="J326" t="b">
        <f t="shared" si="11"/>
        <v>0</v>
      </c>
    </row>
    <row r="327" spans="3:10" x14ac:dyDescent="0.25">
      <c r="C327" s="4"/>
      <c r="E327" s="4"/>
      <c r="H327" s="31" t="str">
        <f t="shared" si="10"/>
        <v/>
      </c>
      <c r="J327" t="b">
        <f t="shared" si="11"/>
        <v>0</v>
      </c>
    </row>
    <row r="328" spans="3:10" x14ac:dyDescent="0.25">
      <c r="C328" s="4"/>
      <c r="E328" s="4"/>
      <c r="H328" s="31" t="str">
        <f t="shared" si="10"/>
        <v/>
      </c>
      <c r="J328" t="b">
        <f t="shared" si="11"/>
        <v>0</v>
      </c>
    </row>
    <row r="329" spans="3:10" x14ac:dyDescent="0.25">
      <c r="C329" s="4"/>
      <c r="E329" s="4"/>
      <c r="H329" s="31" t="str">
        <f t="shared" si="10"/>
        <v/>
      </c>
      <c r="J329" t="b">
        <f t="shared" si="11"/>
        <v>0</v>
      </c>
    </row>
    <row r="330" spans="3:10" x14ac:dyDescent="0.25">
      <c r="C330" s="4"/>
      <c r="E330" s="4"/>
      <c r="H330" s="31" t="str">
        <f t="shared" si="10"/>
        <v/>
      </c>
      <c r="J330" t="b">
        <f t="shared" si="11"/>
        <v>0</v>
      </c>
    </row>
    <row r="331" spans="3:10" x14ac:dyDescent="0.25">
      <c r="C331" s="4"/>
      <c r="E331" s="4"/>
      <c r="H331" s="31" t="str">
        <f t="shared" si="10"/>
        <v/>
      </c>
      <c r="J331" t="b">
        <f t="shared" si="11"/>
        <v>0</v>
      </c>
    </row>
    <row r="332" spans="3:10" x14ac:dyDescent="0.25">
      <c r="C332" s="4"/>
      <c r="E332" s="4"/>
      <c r="H332" s="31" t="str">
        <f t="shared" si="10"/>
        <v/>
      </c>
      <c r="J332" t="b">
        <f t="shared" si="11"/>
        <v>0</v>
      </c>
    </row>
    <row r="333" spans="3:10" x14ac:dyDescent="0.25">
      <c r="C333" s="4"/>
      <c r="E333" s="4"/>
      <c r="H333" s="31" t="str">
        <f t="shared" si="10"/>
        <v/>
      </c>
      <c r="J333" t="b">
        <f t="shared" si="11"/>
        <v>0</v>
      </c>
    </row>
    <row r="334" spans="3:10" x14ac:dyDescent="0.25">
      <c r="C334" s="4"/>
      <c r="E334" s="4"/>
      <c r="H334" s="31" t="str">
        <f t="shared" si="10"/>
        <v/>
      </c>
      <c r="J334" t="b">
        <f t="shared" si="11"/>
        <v>0</v>
      </c>
    </row>
    <row r="335" spans="3:10" x14ac:dyDescent="0.25">
      <c r="C335" s="4"/>
      <c r="E335" s="4"/>
      <c r="H335" s="31" t="str">
        <f t="shared" si="10"/>
        <v/>
      </c>
      <c r="J335" t="b">
        <f t="shared" si="11"/>
        <v>0</v>
      </c>
    </row>
    <row r="336" spans="3:10" x14ac:dyDescent="0.25">
      <c r="C336" s="4"/>
      <c r="E336" s="4"/>
      <c r="H336" s="31" t="str">
        <f t="shared" si="10"/>
        <v/>
      </c>
      <c r="J336" t="b">
        <f t="shared" si="11"/>
        <v>0</v>
      </c>
    </row>
    <row r="337" spans="3:10" x14ac:dyDescent="0.25">
      <c r="C337" s="4"/>
      <c r="E337" s="4"/>
      <c r="H337" s="31" t="str">
        <f t="shared" si="10"/>
        <v/>
      </c>
      <c r="J337" t="b">
        <f t="shared" si="11"/>
        <v>0</v>
      </c>
    </row>
    <row r="338" spans="3:10" x14ac:dyDescent="0.25">
      <c r="C338" s="4"/>
      <c r="E338" s="4"/>
      <c r="H338" s="31" t="str">
        <f t="shared" si="10"/>
        <v/>
      </c>
      <c r="J338" t="b">
        <f t="shared" si="11"/>
        <v>0</v>
      </c>
    </row>
    <row r="339" spans="3:10" x14ac:dyDescent="0.25">
      <c r="C339" s="4"/>
      <c r="E339" s="4"/>
      <c r="H339" s="31" t="str">
        <f t="shared" si="10"/>
        <v/>
      </c>
      <c r="J339" t="b">
        <f t="shared" si="11"/>
        <v>0</v>
      </c>
    </row>
    <row r="340" spans="3:10" x14ac:dyDescent="0.25">
      <c r="C340" s="4"/>
      <c r="E340" s="4"/>
      <c r="H340" s="31" t="str">
        <f t="shared" si="10"/>
        <v/>
      </c>
      <c r="J340" t="b">
        <f t="shared" si="11"/>
        <v>0</v>
      </c>
    </row>
    <row r="341" spans="3:10" x14ac:dyDescent="0.25">
      <c r="C341" s="4"/>
      <c r="E341" s="4"/>
      <c r="H341" s="31" t="str">
        <f t="shared" si="10"/>
        <v/>
      </c>
      <c r="J341" t="b">
        <f t="shared" si="11"/>
        <v>0</v>
      </c>
    </row>
    <row r="342" spans="3:10" x14ac:dyDescent="0.25">
      <c r="C342" s="4"/>
      <c r="E342" s="4"/>
      <c r="H342" s="31" t="str">
        <f t="shared" si="10"/>
        <v/>
      </c>
      <c r="J342" t="b">
        <f t="shared" si="11"/>
        <v>0</v>
      </c>
    </row>
    <row r="343" spans="3:10" x14ac:dyDescent="0.25">
      <c r="C343" s="4"/>
      <c r="E343" s="4"/>
      <c r="H343" s="31" t="str">
        <f t="shared" si="10"/>
        <v/>
      </c>
      <c r="J343" t="b">
        <f t="shared" si="11"/>
        <v>0</v>
      </c>
    </row>
    <row r="344" spans="3:10" x14ac:dyDescent="0.25">
      <c r="C344" s="4"/>
      <c r="E344" s="4"/>
      <c r="H344" s="31" t="str">
        <f t="shared" si="10"/>
        <v/>
      </c>
      <c r="J344" t="b">
        <f t="shared" si="11"/>
        <v>0</v>
      </c>
    </row>
    <row r="345" spans="3:10" x14ac:dyDescent="0.25">
      <c r="C345" s="4"/>
      <c r="E345" s="4"/>
      <c r="H345" s="31" t="str">
        <f t="shared" si="10"/>
        <v/>
      </c>
      <c r="J345" t="b">
        <f t="shared" si="11"/>
        <v>0</v>
      </c>
    </row>
    <row r="346" spans="3:10" x14ac:dyDescent="0.25">
      <c r="C346" s="4"/>
      <c r="E346" s="4"/>
      <c r="H346" s="31" t="str">
        <f t="shared" si="10"/>
        <v/>
      </c>
      <c r="J346" t="b">
        <f t="shared" si="11"/>
        <v>0</v>
      </c>
    </row>
    <row r="347" spans="3:10" x14ac:dyDescent="0.25">
      <c r="C347" s="4"/>
      <c r="E347" s="4"/>
      <c r="H347" s="31" t="str">
        <f t="shared" si="10"/>
        <v/>
      </c>
      <c r="J347" t="b">
        <f t="shared" si="11"/>
        <v>0</v>
      </c>
    </row>
    <row r="348" spans="3:10" x14ac:dyDescent="0.25">
      <c r="C348" s="4"/>
      <c r="E348" s="4"/>
      <c r="H348" s="31" t="str">
        <f t="shared" si="10"/>
        <v/>
      </c>
      <c r="J348" t="b">
        <f t="shared" si="11"/>
        <v>0</v>
      </c>
    </row>
    <row r="349" spans="3:10" x14ac:dyDescent="0.25">
      <c r="C349" s="4"/>
      <c r="E349" s="4"/>
      <c r="H349" s="31" t="str">
        <f t="shared" si="10"/>
        <v/>
      </c>
      <c r="J349" t="b">
        <f t="shared" si="11"/>
        <v>0</v>
      </c>
    </row>
    <row r="350" spans="3:10" x14ac:dyDescent="0.25">
      <c r="C350" s="4"/>
      <c r="E350" s="4"/>
      <c r="H350" s="31" t="str">
        <f t="shared" si="10"/>
        <v/>
      </c>
      <c r="J350" t="b">
        <f t="shared" si="11"/>
        <v>0</v>
      </c>
    </row>
    <row r="351" spans="3:10" x14ac:dyDescent="0.25">
      <c r="C351" s="4"/>
      <c r="E351" s="4"/>
      <c r="H351" s="31" t="str">
        <f t="shared" si="10"/>
        <v/>
      </c>
      <c r="J351" t="b">
        <f t="shared" si="11"/>
        <v>0</v>
      </c>
    </row>
    <row r="352" spans="3:10" x14ac:dyDescent="0.25">
      <c r="C352" s="4"/>
      <c r="E352" s="4"/>
      <c r="H352" s="31" t="str">
        <f t="shared" si="10"/>
        <v/>
      </c>
      <c r="J352" t="b">
        <f t="shared" si="11"/>
        <v>0</v>
      </c>
    </row>
    <row r="353" spans="3:10" x14ac:dyDescent="0.25">
      <c r="C353" s="4"/>
      <c r="E353" s="4"/>
      <c r="H353" s="31" t="str">
        <f t="shared" si="10"/>
        <v/>
      </c>
      <c r="J353" t="b">
        <f t="shared" si="11"/>
        <v>0</v>
      </c>
    </row>
    <row r="354" spans="3:10" x14ac:dyDescent="0.25">
      <c r="C354" s="4"/>
      <c r="E354" s="4"/>
      <c r="H354" s="31" t="str">
        <f t="shared" si="10"/>
        <v/>
      </c>
      <c r="J354" t="b">
        <f t="shared" si="11"/>
        <v>0</v>
      </c>
    </row>
    <row r="355" spans="3:10" x14ac:dyDescent="0.25">
      <c r="C355" s="4"/>
      <c r="E355" s="4"/>
      <c r="H355" s="31" t="str">
        <f t="shared" si="10"/>
        <v/>
      </c>
      <c r="J355" t="b">
        <f t="shared" si="11"/>
        <v>0</v>
      </c>
    </row>
    <row r="356" spans="3:10" x14ac:dyDescent="0.25">
      <c r="C356" s="4"/>
      <c r="E356" s="4"/>
      <c r="H356" s="31" t="str">
        <f t="shared" si="10"/>
        <v/>
      </c>
      <c r="J356" t="b">
        <f t="shared" si="11"/>
        <v>0</v>
      </c>
    </row>
    <row r="357" spans="3:10" x14ac:dyDescent="0.25">
      <c r="C357" s="4"/>
      <c r="E357" s="4"/>
      <c r="H357" s="31" t="str">
        <f t="shared" si="10"/>
        <v/>
      </c>
      <c r="J357" t="b">
        <f t="shared" si="11"/>
        <v>0</v>
      </c>
    </row>
    <row r="358" spans="3:10" x14ac:dyDescent="0.25">
      <c r="C358" s="4"/>
      <c r="E358" s="4"/>
      <c r="H358" s="31" t="str">
        <f t="shared" si="10"/>
        <v/>
      </c>
      <c r="J358" t="b">
        <f t="shared" si="11"/>
        <v>0</v>
      </c>
    </row>
    <row r="359" spans="3:10" x14ac:dyDescent="0.25">
      <c r="C359" s="4"/>
      <c r="E359" s="4"/>
      <c r="H359" s="31" t="str">
        <f t="shared" si="10"/>
        <v/>
      </c>
      <c r="J359" t="b">
        <f t="shared" si="11"/>
        <v>0</v>
      </c>
    </row>
    <row r="360" spans="3:10" x14ac:dyDescent="0.25">
      <c r="C360" s="4"/>
      <c r="E360" s="4"/>
      <c r="H360" s="31" t="str">
        <f t="shared" si="10"/>
        <v/>
      </c>
      <c r="J360" t="b">
        <f t="shared" si="11"/>
        <v>0</v>
      </c>
    </row>
    <row r="361" spans="3:10" x14ac:dyDescent="0.25">
      <c r="C361" s="4"/>
      <c r="E361" s="4"/>
      <c r="H361" s="31" t="str">
        <f t="shared" si="10"/>
        <v/>
      </c>
      <c r="J361" t="b">
        <f t="shared" si="11"/>
        <v>0</v>
      </c>
    </row>
    <row r="362" spans="3:10" x14ac:dyDescent="0.25">
      <c r="C362" s="4"/>
      <c r="E362" s="4"/>
      <c r="H362" s="31" t="str">
        <f t="shared" si="10"/>
        <v/>
      </c>
      <c r="J362" t="b">
        <f t="shared" si="11"/>
        <v>0</v>
      </c>
    </row>
    <row r="363" spans="3:10" x14ac:dyDescent="0.25">
      <c r="C363" s="4"/>
      <c r="E363" s="4"/>
      <c r="H363" s="31" t="str">
        <f t="shared" si="10"/>
        <v/>
      </c>
      <c r="J363" t="b">
        <f t="shared" si="11"/>
        <v>0</v>
      </c>
    </row>
    <row r="364" spans="3:10" x14ac:dyDescent="0.25">
      <c r="C364" s="4"/>
      <c r="E364" s="4"/>
      <c r="H364" s="31" t="str">
        <f t="shared" si="10"/>
        <v/>
      </c>
      <c r="J364" t="b">
        <f t="shared" si="11"/>
        <v>0</v>
      </c>
    </row>
    <row r="365" spans="3:10" x14ac:dyDescent="0.25">
      <c r="C365" s="4"/>
      <c r="E365" s="4"/>
      <c r="H365" s="31" t="str">
        <f t="shared" si="10"/>
        <v/>
      </c>
      <c r="J365" t="b">
        <f t="shared" si="11"/>
        <v>0</v>
      </c>
    </row>
    <row r="366" spans="3:10" x14ac:dyDescent="0.25">
      <c r="C366" s="4"/>
      <c r="E366" s="4"/>
      <c r="H366" s="31" t="str">
        <f t="shared" si="10"/>
        <v/>
      </c>
      <c r="J366" t="b">
        <f t="shared" si="11"/>
        <v>0</v>
      </c>
    </row>
    <row r="367" spans="3:10" x14ac:dyDescent="0.25">
      <c r="C367" s="4"/>
      <c r="E367" s="4"/>
      <c r="H367" s="31" t="str">
        <f t="shared" si="10"/>
        <v/>
      </c>
      <c r="J367" t="b">
        <f t="shared" si="11"/>
        <v>0</v>
      </c>
    </row>
    <row r="368" spans="3:10" x14ac:dyDescent="0.25">
      <c r="C368" s="4"/>
      <c r="E368" s="4"/>
      <c r="H368" s="31" t="str">
        <f t="shared" si="10"/>
        <v/>
      </c>
      <c r="J368" t="b">
        <f t="shared" si="11"/>
        <v>0</v>
      </c>
    </row>
    <row r="369" spans="3:10" x14ac:dyDescent="0.25">
      <c r="C369" s="4"/>
      <c r="E369" s="4"/>
      <c r="H369" s="31" t="str">
        <f t="shared" si="10"/>
        <v/>
      </c>
      <c r="J369" t="b">
        <f t="shared" si="11"/>
        <v>0</v>
      </c>
    </row>
    <row r="370" spans="3:10" x14ac:dyDescent="0.25">
      <c r="C370" s="4"/>
      <c r="E370" s="4"/>
      <c r="H370" s="31" t="str">
        <f t="shared" si="10"/>
        <v/>
      </c>
      <c r="J370" t="b">
        <f t="shared" si="11"/>
        <v>0</v>
      </c>
    </row>
    <row r="371" spans="3:10" x14ac:dyDescent="0.25">
      <c r="C371" s="4"/>
      <c r="E371" s="4"/>
      <c r="H371" s="31" t="str">
        <f t="shared" si="10"/>
        <v/>
      </c>
      <c r="J371" t="b">
        <f t="shared" si="11"/>
        <v>0</v>
      </c>
    </row>
    <row r="372" spans="3:10" x14ac:dyDescent="0.25">
      <c r="C372" s="4"/>
      <c r="E372" s="4"/>
      <c r="H372" s="31" t="str">
        <f t="shared" si="10"/>
        <v/>
      </c>
      <c r="J372" t="b">
        <f t="shared" si="11"/>
        <v>0</v>
      </c>
    </row>
    <row r="373" spans="3:10" x14ac:dyDescent="0.25">
      <c r="C373" s="4"/>
      <c r="E373" s="4"/>
      <c r="H373" s="31" t="str">
        <f t="shared" si="10"/>
        <v/>
      </c>
      <c r="J373" t="b">
        <f t="shared" si="11"/>
        <v>0</v>
      </c>
    </row>
    <row r="374" spans="3:10" x14ac:dyDescent="0.25">
      <c r="C374" s="4"/>
      <c r="E374" s="4"/>
      <c r="H374" s="31" t="str">
        <f t="shared" si="10"/>
        <v/>
      </c>
      <c r="J374" t="b">
        <f t="shared" si="11"/>
        <v>0</v>
      </c>
    </row>
    <row r="375" spans="3:10" x14ac:dyDescent="0.25">
      <c r="C375" s="4"/>
      <c r="E375" s="4"/>
      <c r="H375" s="31" t="str">
        <f t="shared" si="10"/>
        <v/>
      </c>
      <c r="J375" t="b">
        <f t="shared" si="11"/>
        <v>0</v>
      </c>
    </row>
    <row r="376" spans="3:10" x14ac:dyDescent="0.25">
      <c r="C376" s="4"/>
      <c r="E376" s="4"/>
      <c r="H376" s="31" t="str">
        <f t="shared" si="10"/>
        <v/>
      </c>
      <c r="J376" t="b">
        <f t="shared" si="11"/>
        <v>0</v>
      </c>
    </row>
    <row r="377" spans="3:10" x14ac:dyDescent="0.25">
      <c r="C377" s="4"/>
      <c r="E377" s="4"/>
      <c r="H377" s="31" t="str">
        <f t="shared" si="10"/>
        <v/>
      </c>
      <c r="J377" t="b">
        <f t="shared" si="11"/>
        <v>0</v>
      </c>
    </row>
    <row r="378" spans="3:10" x14ac:dyDescent="0.25">
      <c r="C378" s="4"/>
      <c r="E378" s="4"/>
      <c r="H378" s="31" t="str">
        <f t="shared" si="10"/>
        <v/>
      </c>
      <c r="J378" t="b">
        <f t="shared" si="11"/>
        <v>0</v>
      </c>
    </row>
    <row r="379" spans="3:10" x14ac:dyDescent="0.25">
      <c r="C379" s="4"/>
      <c r="E379" s="4"/>
      <c r="H379" s="31" t="str">
        <f t="shared" si="10"/>
        <v/>
      </c>
      <c r="J379" t="b">
        <f t="shared" si="11"/>
        <v>0</v>
      </c>
    </row>
    <row r="380" spans="3:10" x14ac:dyDescent="0.25">
      <c r="C380" s="4"/>
      <c r="E380" s="4"/>
      <c r="H380" s="31" t="str">
        <f t="shared" si="10"/>
        <v/>
      </c>
      <c r="J380" t="b">
        <f t="shared" si="11"/>
        <v>0</v>
      </c>
    </row>
    <row r="381" spans="3:10" x14ac:dyDescent="0.25">
      <c r="C381" s="4"/>
      <c r="E381" s="4"/>
      <c r="H381" s="31" t="str">
        <f t="shared" si="10"/>
        <v/>
      </c>
      <c r="J381" t="b">
        <f t="shared" si="11"/>
        <v>0</v>
      </c>
    </row>
    <row r="382" spans="3:10" x14ac:dyDescent="0.25">
      <c r="C382" s="4"/>
      <c r="E382" s="4"/>
      <c r="H382" s="31" t="str">
        <f t="shared" si="10"/>
        <v/>
      </c>
      <c r="J382" t="b">
        <f t="shared" si="11"/>
        <v>0</v>
      </c>
    </row>
    <row r="383" spans="3:10" x14ac:dyDescent="0.25">
      <c r="C383" s="4"/>
      <c r="E383" s="4"/>
      <c r="H383" s="31" t="str">
        <f t="shared" si="10"/>
        <v/>
      </c>
      <c r="J383" t="b">
        <f t="shared" si="11"/>
        <v>0</v>
      </c>
    </row>
    <row r="384" spans="3:10" x14ac:dyDescent="0.25">
      <c r="C384" s="4"/>
      <c r="E384" s="4"/>
      <c r="H384" s="31" t="str">
        <f t="shared" si="10"/>
        <v/>
      </c>
      <c r="J384" t="b">
        <f t="shared" si="11"/>
        <v>0</v>
      </c>
    </row>
    <row r="385" spans="3:10" x14ac:dyDescent="0.25">
      <c r="C385" s="4"/>
      <c r="E385" s="4"/>
      <c r="H385" s="31" t="str">
        <f t="shared" si="10"/>
        <v/>
      </c>
      <c r="J385" t="b">
        <f t="shared" si="11"/>
        <v>0</v>
      </c>
    </row>
    <row r="386" spans="3:10" x14ac:dyDescent="0.25">
      <c r="C386" s="4"/>
      <c r="E386" s="4"/>
      <c r="H386" s="31" t="str">
        <f t="shared" si="10"/>
        <v/>
      </c>
      <c r="J386" t="b">
        <f t="shared" si="11"/>
        <v>0</v>
      </c>
    </row>
    <row r="387" spans="3:10" x14ac:dyDescent="0.25">
      <c r="C387" s="4"/>
      <c r="E387" s="4"/>
      <c r="H387" s="31" t="str">
        <f t="shared" si="10"/>
        <v/>
      </c>
      <c r="J387" t="b">
        <f t="shared" si="11"/>
        <v>0</v>
      </c>
    </row>
    <row r="388" spans="3:10" x14ac:dyDescent="0.25">
      <c r="C388" s="4"/>
      <c r="E388" s="4"/>
      <c r="H388" s="31" t="str">
        <f t="shared" ref="H388:H451" si="12">IF($J388=TRUE,"Il ne peut y avoir des valeurs dans les 2 méthodes",IF($D388="kg/l",$C388,IF($D388="g/l",$C388/1000,IF($D388="lb/gal US",$C388*0.454/3.785,IF($G388="kg/l",($E388/100)*$F388,IF($G388="g/l",($E388/100)*$F388/1000,IF($G388="lb/gal US",($E388/100)*$F388*0.454/3.785,"")))))))</f>
        <v/>
      </c>
      <c r="J388" t="b">
        <f t="shared" ref="J388:J451" si="13">IF(AND(OR($C388&lt;&gt;"",$D388&lt;&gt;""),OR($E388&lt;&gt;"",F388&lt;&gt;"",G388&lt;&gt;"")),TRUE,FALSE)</f>
        <v>0</v>
      </c>
    </row>
    <row r="389" spans="3:10" x14ac:dyDescent="0.25">
      <c r="C389" s="4"/>
      <c r="E389" s="4"/>
      <c r="H389" s="31" t="str">
        <f t="shared" si="12"/>
        <v/>
      </c>
      <c r="J389" t="b">
        <f t="shared" si="13"/>
        <v>0</v>
      </c>
    </row>
    <row r="390" spans="3:10" x14ac:dyDescent="0.25">
      <c r="C390" s="4"/>
      <c r="E390" s="4"/>
      <c r="H390" s="31" t="str">
        <f t="shared" si="12"/>
        <v/>
      </c>
      <c r="J390" t="b">
        <f t="shared" si="13"/>
        <v>0</v>
      </c>
    </row>
    <row r="391" spans="3:10" x14ac:dyDescent="0.25">
      <c r="C391" s="4"/>
      <c r="E391" s="4"/>
      <c r="H391" s="31" t="str">
        <f t="shared" si="12"/>
        <v/>
      </c>
      <c r="J391" t="b">
        <f t="shared" si="13"/>
        <v>0</v>
      </c>
    </row>
    <row r="392" spans="3:10" x14ac:dyDescent="0.25">
      <c r="C392" s="4"/>
      <c r="E392" s="4"/>
      <c r="H392" s="31" t="str">
        <f t="shared" si="12"/>
        <v/>
      </c>
      <c r="J392" t="b">
        <f t="shared" si="13"/>
        <v>0</v>
      </c>
    </row>
    <row r="393" spans="3:10" x14ac:dyDescent="0.25">
      <c r="C393" s="4"/>
      <c r="E393" s="4"/>
      <c r="H393" s="31" t="str">
        <f t="shared" si="12"/>
        <v/>
      </c>
      <c r="J393" t="b">
        <f t="shared" si="13"/>
        <v>0</v>
      </c>
    </row>
    <row r="394" spans="3:10" x14ac:dyDescent="0.25">
      <c r="C394" s="4"/>
      <c r="E394" s="4"/>
      <c r="H394" s="31" t="str">
        <f t="shared" si="12"/>
        <v/>
      </c>
      <c r="J394" t="b">
        <f t="shared" si="13"/>
        <v>0</v>
      </c>
    </row>
    <row r="395" spans="3:10" x14ac:dyDescent="0.25">
      <c r="C395" s="4"/>
      <c r="E395" s="4"/>
      <c r="H395" s="31" t="str">
        <f t="shared" si="12"/>
        <v/>
      </c>
      <c r="J395" t="b">
        <f t="shared" si="13"/>
        <v>0</v>
      </c>
    </row>
    <row r="396" spans="3:10" x14ac:dyDescent="0.25">
      <c r="C396" s="4"/>
      <c r="E396" s="4"/>
      <c r="H396" s="31" t="str">
        <f t="shared" si="12"/>
        <v/>
      </c>
      <c r="J396" t="b">
        <f t="shared" si="13"/>
        <v>0</v>
      </c>
    </row>
    <row r="397" spans="3:10" x14ac:dyDescent="0.25">
      <c r="C397" s="4"/>
      <c r="E397" s="4"/>
      <c r="H397" s="31" t="str">
        <f t="shared" si="12"/>
        <v/>
      </c>
      <c r="J397" t="b">
        <f t="shared" si="13"/>
        <v>0</v>
      </c>
    </row>
    <row r="398" spans="3:10" x14ac:dyDescent="0.25">
      <c r="C398" s="4"/>
      <c r="E398" s="4"/>
      <c r="H398" s="31" t="str">
        <f t="shared" si="12"/>
        <v/>
      </c>
      <c r="J398" t="b">
        <f t="shared" si="13"/>
        <v>0</v>
      </c>
    </row>
    <row r="399" spans="3:10" x14ac:dyDescent="0.25">
      <c r="C399" s="4"/>
      <c r="E399" s="4"/>
      <c r="H399" s="31" t="str">
        <f t="shared" si="12"/>
        <v/>
      </c>
      <c r="J399" t="b">
        <f t="shared" si="13"/>
        <v>0</v>
      </c>
    </row>
    <row r="400" spans="3:10" x14ac:dyDescent="0.25">
      <c r="C400" s="4"/>
      <c r="E400" s="4"/>
      <c r="H400" s="31" t="str">
        <f t="shared" si="12"/>
        <v/>
      </c>
      <c r="J400" t="b">
        <f t="shared" si="13"/>
        <v>0</v>
      </c>
    </row>
    <row r="401" spans="3:10" x14ac:dyDescent="0.25">
      <c r="C401" s="4"/>
      <c r="E401" s="4"/>
      <c r="H401" s="31" t="str">
        <f t="shared" si="12"/>
        <v/>
      </c>
      <c r="J401" t="b">
        <f t="shared" si="13"/>
        <v>0</v>
      </c>
    </row>
    <row r="402" spans="3:10" x14ac:dyDescent="0.25">
      <c r="C402" s="4"/>
      <c r="E402" s="4"/>
      <c r="H402" s="31" t="str">
        <f t="shared" si="12"/>
        <v/>
      </c>
      <c r="J402" t="b">
        <f t="shared" si="13"/>
        <v>0</v>
      </c>
    </row>
    <row r="403" spans="3:10" x14ac:dyDescent="0.25">
      <c r="C403" s="4"/>
      <c r="E403" s="4"/>
      <c r="H403" s="31" t="str">
        <f t="shared" si="12"/>
        <v/>
      </c>
      <c r="J403" t="b">
        <f t="shared" si="13"/>
        <v>0</v>
      </c>
    </row>
    <row r="404" spans="3:10" x14ac:dyDescent="0.25">
      <c r="C404" s="4"/>
      <c r="E404" s="4"/>
      <c r="H404" s="31" t="str">
        <f t="shared" si="12"/>
        <v/>
      </c>
      <c r="J404" t="b">
        <f t="shared" si="13"/>
        <v>0</v>
      </c>
    </row>
    <row r="405" spans="3:10" x14ac:dyDescent="0.25">
      <c r="C405" s="4"/>
      <c r="E405" s="4"/>
      <c r="H405" s="31" t="str">
        <f t="shared" si="12"/>
        <v/>
      </c>
      <c r="J405" t="b">
        <f t="shared" si="13"/>
        <v>0</v>
      </c>
    </row>
    <row r="406" spans="3:10" x14ac:dyDescent="0.25">
      <c r="C406" s="4"/>
      <c r="E406" s="4"/>
      <c r="H406" s="31" t="str">
        <f t="shared" si="12"/>
        <v/>
      </c>
      <c r="J406" t="b">
        <f t="shared" si="13"/>
        <v>0</v>
      </c>
    </row>
    <row r="407" spans="3:10" x14ac:dyDescent="0.25">
      <c r="C407" s="4"/>
      <c r="E407" s="4"/>
      <c r="H407" s="31" t="str">
        <f t="shared" si="12"/>
        <v/>
      </c>
      <c r="J407" t="b">
        <f t="shared" si="13"/>
        <v>0</v>
      </c>
    </row>
    <row r="408" spans="3:10" x14ac:dyDescent="0.25">
      <c r="C408" s="4"/>
      <c r="E408" s="4"/>
      <c r="H408" s="31" t="str">
        <f t="shared" si="12"/>
        <v/>
      </c>
      <c r="J408" t="b">
        <f t="shared" si="13"/>
        <v>0</v>
      </c>
    </row>
    <row r="409" spans="3:10" x14ac:dyDescent="0.25">
      <c r="C409" s="4"/>
      <c r="E409" s="4"/>
      <c r="H409" s="31" t="str">
        <f t="shared" si="12"/>
        <v/>
      </c>
      <c r="J409" t="b">
        <f t="shared" si="13"/>
        <v>0</v>
      </c>
    </row>
    <row r="410" spans="3:10" x14ac:dyDescent="0.25">
      <c r="C410" s="4"/>
      <c r="E410" s="4"/>
      <c r="H410" s="31" t="str">
        <f t="shared" si="12"/>
        <v/>
      </c>
      <c r="J410" t="b">
        <f t="shared" si="13"/>
        <v>0</v>
      </c>
    </row>
    <row r="411" spans="3:10" x14ac:dyDescent="0.25">
      <c r="C411" s="4"/>
      <c r="E411" s="4"/>
      <c r="H411" s="31" t="str">
        <f t="shared" si="12"/>
        <v/>
      </c>
      <c r="J411" t="b">
        <f t="shared" si="13"/>
        <v>0</v>
      </c>
    </row>
    <row r="412" spans="3:10" x14ac:dyDescent="0.25">
      <c r="C412" s="4"/>
      <c r="E412" s="4"/>
      <c r="H412" s="31" t="str">
        <f t="shared" si="12"/>
        <v/>
      </c>
      <c r="J412" t="b">
        <f t="shared" si="13"/>
        <v>0</v>
      </c>
    </row>
    <row r="413" spans="3:10" x14ac:dyDescent="0.25">
      <c r="C413" s="4"/>
      <c r="E413" s="4"/>
      <c r="H413" s="31" t="str">
        <f t="shared" si="12"/>
        <v/>
      </c>
      <c r="J413" t="b">
        <f t="shared" si="13"/>
        <v>0</v>
      </c>
    </row>
    <row r="414" spans="3:10" x14ac:dyDescent="0.25">
      <c r="C414" s="4"/>
      <c r="E414" s="4"/>
      <c r="H414" s="31" t="str">
        <f t="shared" si="12"/>
        <v/>
      </c>
      <c r="J414" t="b">
        <f t="shared" si="13"/>
        <v>0</v>
      </c>
    </row>
    <row r="415" spans="3:10" x14ac:dyDescent="0.25">
      <c r="C415" s="4"/>
      <c r="E415" s="4"/>
      <c r="H415" s="31" t="str">
        <f t="shared" si="12"/>
        <v/>
      </c>
      <c r="J415" t="b">
        <f t="shared" si="13"/>
        <v>0</v>
      </c>
    </row>
    <row r="416" spans="3:10" x14ac:dyDescent="0.25">
      <c r="C416" s="4"/>
      <c r="E416" s="4"/>
      <c r="H416" s="31" t="str">
        <f t="shared" si="12"/>
        <v/>
      </c>
      <c r="J416" t="b">
        <f t="shared" si="13"/>
        <v>0</v>
      </c>
    </row>
    <row r="417" spans="3:10" x14ac:dyDescent="0.25">
      <c r="C417" s="4"/>
      <c r="E417" s="4"/>
      <c r="H417" s="31" t="str">
        <f t="shared" si="12"/>
        <v/>
      </c>
      <c r="J417" t="b">
        <f t="shared" si="13"/>
        <v>0</v>
      </c>
    </row>
    <row r="418" spans="3:10" x14ac:dyDescent="0.25">
      <c r="C418" s="4"/>
      <c r="E418" s="4"/>
      <c r="H418" s="31" t="str">
        <f t="shared" si="12"/>
        <v/>
      </c>
      <c r="J418" t="b">
        <f t="shared" si="13"/>
        <v>0</v>
      </c>
    </row>
    <row r="419" spans="3:10" x14ac:dyDescent="0.25">
      <c r="C419" s="4"/>
      <c r="E419" s="4"/>
      <c r="H419" s="31" t="str">
        <f t="shared" si="12"/>
        <v/>
      </c>
      <c r="J419" t="b">
        <f t="shared" si="13"/>
        <v>0</v>
      </c>
    </row>
    <row r="420" spans="3:10" x14ac:dyDescent="0.25">
      <c r="C420" s="4"/>
      <c r="E420" s="4"/>
      <c r="H420" s="31" t="str">
        <f t="shared" si="12"/>
        <v/>
      </c>
      <c r="J420" t="b">
        <f t="shared" si="13"/>
        <v>0</v>
      </c>
    </row>
    <row r="421" spans="3:10" x14ac:dyDescent="0.25">
      <c r="C421" s="4"/>
      <c r="E421" s="4"/>
      <c r="H421" s="31" t="str">
        <f t="shared" si="12"/>
        <v/>
      </c>
      <c r="J421" t="b">
        <f t="shared" si="13"/>
        <v>0</v>
      </c>
    </row>
    <row r="422" spans="3:10" x14ac:dyDescent="0.25">
      <c r="C422" s="4"/>
      <c r="E422" s="4"/>
      <c r="H422" s="31" t="str">
        <f t="shared" si="12"/>
        <v/>
      </c>
      <c r="J422" t="b">
        <f t="shared" si="13"/>
        <v>0</v>
      </c>
    </row>
    <row r="423" spans="3:10" x14ac:dyDescent="0.25">
      <c r="C423" s="4"/>
      <c r="E423" s="4"/>
      <c r="H423" s="31" t="str">
        <f t="shared" si="12"/>
        <v/>
      </c>
      <c r="J423" t="b">
        <f t="shared" si="13"/>
        <v>0</v>
      </c>
    </row>
    <row r="424" spans="3:10" x14ac:dyDescent="0.25">
      <c r="C424" s="4"/>
      <c r="E424" s="4"/>
      <c r="H424" s="31" t="str">
        <f t="shared" si="12"/>
        <v/>
      </c>
      <c r="J424" t="b">
        <f t="shared" si="13"/>
        <v>0</v>
      </c>
    </row>
    <row r="425" spans="3:10" x14ac:dyDescent="0.25">
      <c r="C425" s="4"/>
      <c r="E425" s="4"/>
      <c r="H425" s="31" t="str">
        <f t="shared" si="12"/>
        <v/>
      </c>
      <c r="J425" t="b">
        <f t="shared" si="13"/>
        <v>0</v>
      </c>
    </row>
    <row r="426" spans="3:10" x14ac:dyDescent="0.25">
      <c r="C426" s="4"/>
      <c r="E426" s="4"/>
      <c r="H426" s="31" t="str">
        <f t="shared" si="12"/>
        <v/>
      </c>
      <c r="J426" t="b">
        <f t="shared" si="13"/>
        <v>0</v>
      </c>
    </row>
    <row r="427" spans="3:10" x14ac:dyDescent="0.25">
      <c r="C427" s="4"/>
      <c r="E427" s="4"/>
      <c r="H427" s="31" t="str">
        <f t="shared" si="12"/>
        <v/>
      </c>
      <c r="J427" t="b">
        <f t="shared" si="13"/>
        <v>0</v>
      </c>
    </row>
    <row r="428" spans="3:10" x14ac:dyDescent="0.25">
      <c r="C428" s="4"/>
      <c r="E428" s="4"/>
      <c r="H428" s="31" t="str">
        <f t="shared" si="12"/>
        <v/>
      </c>
      <c r="J428" t="b">
        <f t="shared" si="13"/>
        <v>0</v>
      </c>
    </row>
    <row r="429" spans="3:10" x14ac:dyDescent="0.25">
      <c r="C429" s="4"/>
      <c r="E429" s="4"/>
      <c r="H429" s="31" t="str">
        <f t="shared" si="12"/>
        <v/>
      </c>
      <c r="J429" t="b">
        <f t="shared" si="13"/>
        <v>0</v>
      </c>
    </row>
    <row r="430" spans="3:10" x14ac:dyDescent="0.25">
      <c r="C430" s="4"/>
      <c r="E430" s="4"/>
      <c r="H430" s="31" t="str">
        <f t="shared" si="12"/>
        <v/>
      </c>
      <c r="J430" t="b">
        <f t="shared" si="13"/>
        <v>0</v>
      </c>
    </row>
    <row r="431" spans="3:10" x14ac:dyDescent="0.25">
      <c r="C431" s="4"/>
      <c r="E431" s="4"/>
      <c r="H431" s="31" t="str">
        <f t="shared" si="12"/>
        <v/>
      </c>
      <c r="J431" t="b">
        <f t="shared" si="13"/>
        <v>0</v>
      </c>
    </row>
    <row r="432" spans="3:10" x14ac:dyDescent="0.25">
      <c r="C432" s="4"/>
      <c r="E432" s="4"/>
      <c r="H432" s="31" t="str">
        <f t="shared" si="12"/>
        <v/>
      </c>
      <c r="J432" t="b">
        <f t="shared" si="13"/>
        <v>0</v>
      </c>
    </row>
    <row r="433" spans="3:10" x14ac:dyDescent="0.25">
      <c r="C433" s="4"/>
      <c r="E433" s="4"/>
      <c r="H433" s="31" t="str">
        <f t="shared" si="12"/>
        <v/>
      </c>
      <c r="J433" t="b">
        <f t="shared" si="13"/>
        <v>0</v>
      </c>
    </row>
    <row r="434" spans="3:10" x14ac:dyDescent="0.25">
      <c r="C434" s="4"/>
      <c r="E434" s="4"/>
      <c r="H434" s="31" t="str">
        <f t="shared" si="12"/>
        <v/>
      </c>
      <c r="J434" t="b">
        <f t="shared" si="13"/>
        <v>0</v>
      </c>
    </row>
    <row r="435" spans="3:10" x14ac:dyDescent="0.25">
      <c r="C435" s="4"/>
      <c r="E435" s="4"/>
      <c r="H435" s="31" t="str">
        <f t="shared" si="12"/>
        <v/>
      </c>
      <c r="J435" t="b">
        <f t="shared" si="13"/>
        <v>0</v>
      </c>
    </row>
    <row r="436" spans="3:10" x14ac:dyDescent="0.25">
      <c r="C436" s="4"/>
      <c r="E436" s="4"/>
      <c r="H436" s="31" t="str">
        <f t="shared" si="12"/>
        <v/>
      </c>
      <c r="J436" t="b">
        <f t="shared" si="13"/>
        <v>0</v>
      </c>
    </row>
    <row r="437" spans="3:10" x14ac:dyDescent="0.25">
      <c r="C437" s="4"/>
      <c r="E437" s="4"/>
      <c r="H437" s="31" t="str">
        <f t="shared" si="12"/>
        <v/>
      </c>
      <c r="J437" t="b">
        <f t="shared" si="13"/>
        <v>0</v>
      </c>
    </row>
    <row r="438" spans="3:10" x14ac:dyDescent="0.25">
      <c r="C438" s="4"/>
      <c r="E438" s="4"/>
      <c r="H438" s="31" t="str">
        <f t="shared" si="12"/>
        <v/>
      </c>
      <c r="J438" t="b">
        <f t="shared" si="13"/>
        <v>0</v>
      </c>
    </row>
    <row r="439" spans="3:10" x14ac:dyDescent="0.25">
      <c r="C439" s="4"/>
      <c r="E439" s="4"/>
      <c r="H439" s="31" t="str">
        <f t="shared" si="12"/>
        <v/>
      </c>
      <c r="J439" t="b">
        <f t="shared" si="13"/>
        <v>0</v>
      </c>
    </row>
    <row r="440" spans="3:10" x14ac:dyDescent="0.25">
      <c r="C440" s="4"/>
      <c r="E440" s="4"/>
      <c r="H440" s="31" t="str">
        <f t="shared" si="12"/>
        <v/>
      </c>
      <c r="J440" t="b">
        <f t="shared" si="13"/>
        <v>0</v>
      </c>
    </row>
    <row r="441" spans="3:10" x14ac:dyDescent="0.25">
      <c r="C441" s="4"/>
      <c r="E441" s="4"/>
      <c r="H441" s="31" t="str">
        <f t="shared" si="12"/>
        <v/>
      </c>
      <c r="J441" t="b">
        <f t="shared" si="13"/>
        <v>0</v>
      </c>
    </row>
    <row r="442" spans="3:10" x14ac:dyDescent="0.25">
      <c r="C442" s="4"/>
      <c r="E442" s="4"/>
      <c r="H442" s="31" t="str">
        <f t="shared" si="12"/>
        <v/>
      </c>
      <c r="J442" t="b">
        <f t="shared" si="13"/>
        <v>0</v>
      </c>
    </row>
    <row r="443" spans="3:10" x14ac:dyDescent="0.25">
      <c r="C443" s="4"/>
      <c r="E443" s="4"/>
      <c r="H443" s="31" t="str">
        <f t="shared" si="12"/>
        <v/>
      </c>
      <c r="J443" t="b">
        <f t="shared" si="13"/>
        <v>0</v>
      </c>
    </row>
    <row r="444" spans="3:10" x14ac:dyDescent="0.25">
      <c r="C444" s="4"/>
      <c r="E444" s="4"/>
      <c r="H444" s="31" t="str">
        <f t="shared" si="12"/>
        <v/>
      </c>
      <c r="J444" t="b">
        <f t="shared" si="13"/>
        <v>0</v>
      </c>
    </row>
    <row r="445" spans="3:10" x14ac:dyDescent="0.25">
      <c r="C445" s="4"/>
      <c r="E445" s="4"/>
      <c r="H445" s="31" t="str">
        <f t="shared" si="12"/>
        <v/>
      </c>
      <c r="J445" t="b">
        <f t="shared" si="13"/>
        <v>0</v>
      </c>
    </row>
    <row r="446" spans="3:10" x14ac:dyDescent="0.25">
      <c r="C446" s="4"/>
      <c r="E446" s="4"/>
      <c r="H446" s="31" t="str">
        <f t="shared" si="12"/>
        <v/>
      </c>
      <c r="J446" t="b">
        <f t="shared" si="13"/>
        <v>0</v>
      </c>
    </row>
    <row r="447" spans="3:10" x14ac:dyDescent="0.25">
      <c r="C447" s="4"/>
      <c r="E447" s="4"/>
      <c r="H447" s="31" t="str">
        <f t="shared" si="12"/>
        <v/>
      </c>
      <c r="J447" t="b">
        <f t="shared" si="13"/>
        <v>0</v>
      </c>
    </row>
    <row r="448" spans="3:10" x14ac:dyDescent="0.25">
      <c r="C448" s="4"/>
      <c r="E448" s="4"/>
      <c r="H448" s="31" t="str">
        <f t="shared" si="12"/>
        <v/>
      </c>
      <c r="J448" t="b">
        <f t="shared" si="13"/>
        <v>0</v>
      </c>
    </row>
    <row r="449" spans="3:10" x14ac:dyDescent="0.25">
      <c r="C449" s="4"/>
      <c r="E449" s="4"/>
      <c r="H449" s="31" t="str">
        <f t="shared" si="12"/>
        <v/>
      </c>
      <c r="J449" t="b">
        <f t="shared" si="13"/>
        <v>0</v>
      </c>
    </row>
    <row r="450" spans="3:10" x14ac:dyDescent="0.25">
      <c r="C450" s="4"/>
      <c r="E450" s="4"/>
      <c r="H450" s="31" t="str">
        <f t="shared" si="12"/>
        <v/>
      </c>
      <c r="J450" t="b">
        <f t="shared" si="13"/>
        <v>0</v>
      </c>
    </row>
    <row r="451" spans="3:10" x14ac:dyDescent="0.25">
      <c r="C451" s="4"/>
      <c r="E451" s="4"/>
      <c r="H451" s="31" t="str">
        <f t="shared" si="12"/>
        <v/>
      </c>
      <c r="J451" t="b">
        <f t="shared" si="13"/>
        <v>0</v>
      </c>
    </row>
    <row r="452" spans="3:10" x14ac:dyDescent="0.25">
      <c r="C452" s="4"/>
      <c r="E452" s="4"/>
      <c r="H452" s="31" t="str">
        <f t="shared" ref="H452:H515" si="14">IF($J452=TRUE,"Il ne peut y avoir des valeurs dans les 2 méthodes",IF($D452="kg/l",$C452,IF($D452="g/l",$C452/1000,IF($D452="lb/gal US",$C452*0.454/3.785,IF($G452="kg/l",($E452/100)*$F452,IF($G452="g/l",($E452/100)*$F452/1000,IF($G452="lb/gal US",($E452/100)*$F452*0.454/3.785,"")))))))</f>
        <v/>
      </c>
      <c r="J452" t="b">
        <f t="shared" ref="J452:J515" si="15">IF(AND(OR($C452&lt;&gt;"",$D452&lt;&gt;""),OR($E452&lt;&gt;"",F452&lt;&gt;"",G452&lt;&gt;"")),TRUE,FALSE)</f>
        <v>0</v>
      </c>
    </row>
    <row r="453" spans="3:10" x14ac:dyDescent="0.25">
      <c r="C453" s="4"/>
      <c r="E453" s="4"/>
      <c r="H453" s="31" t="str">
        <f t="shared" si="14"/>
        <v/>
      </c>
      <c r="J453" t="b">
        <f t="shared" si="15"/>
        <v>0</v>
      </c>
    </row>
    <row r="454" spans="3:10" x14ac:dyDescent="0.25">
      <c r="C454" s="4"/>
      <c r="E454" s="4"/>
      <c r="H454" s="31" t="str">
        <f t="shared" si="14"/>
        <v/>
      </c>
      <c r="J454" t="b">
        <f t="shared" si="15"/>
        <v>0</v>
      </c>
    </row>
    <row r="455" spans="3:10" x14ac:dyDescent="0.25">
      <c r="C455" s="4"/>
      <c r="E455" s="4"/>
      <c r="H455" s="31" t="str">
        <f t="shared" si="14"/>
        <v/>
      </c>
      <c r="J455" t="b">
        <f t="shared" si="15"/>
        <v>0</v>
      </c>
    </row>
    <row r="456" spans="3:10" x14ac:dyDescent="0.25">
      <c r="C456" s="4"/>
      <c r="E456" s="4"/>
      <c r="H456" s="31" t="str">
        <f t="shared" si="14"/>
        <v/>
      </c>
      <c r="J456" t="b">
        <f t="shared" si="15"/>
        <v>0</v>
      </c>
    </row>
    <row r="457" spans="3:10" x14ac:dyDescent="0.25">
      <c r="C457" s="4"/>
      <c r="E457" s="4"/>
      <c r="H457" s="31" t="str">
        <f t="shared" si="14"/>
        <v/>
      </c>
      <c r="J457" t="b">
        <f t="shared" si="15"/>
        <v>0</v>
      </c>
    </row>
    <row r="458" spans="3:10" x14ac:dyDescent="0.25">
      <c r="C458" s="4"/>
      <c r="E458" s="4"/>
      <c r="H458" s="31" t="str">
        <f t="shared" si="14"/>
        <v/>
      </c>
      <c r="J458" t="b">
        <f t="shared" si="15"/>
        <v>0</v>
      </c>
    </row>
    <row r="459" spans="3:10" x14ac:dyDescent="0.25">
      <c r="C459" s="4"/>
      <c r="E459" s="4"/>
      <c r="H459" s="31" t="str">
        <f t="shared" si="14"/>
        <v/>
      </c>
      <c r="J459" t="b">
        <f t="shared" si="15"/>
        <v>0</v>
      </c>
    </row>
    <row r="460" spans="3:10" x14ac:dyDescent="0.25">
      <c r="C460" s="4"/>
      <c r="E460" s="4"/>
      <c r="H460" s="31" t="str">
        <f t="shared" si="14"/>
        <v/>
      </c>
      <c r="J460" t="b">
        <f t="shared" si="15"/>
        <v>0</v>
      </c>
    </row>
    <row r="461" spans="3:10" x14ac:dyDescent="0.25">
      <c r="C461" s="4"/>
      <c r="E461" s="4"/>
      <c r="H461" s="31" t="str">
        <f t="shared" si="14"/>
        <v/>
      </c>
      <c r="J461" t="b">
        <f t="shared" si="15"/>
        <v>0</v>
      </c>
    </row>
    <row r="462" spans="3:10" x14ac:dyDescent="0.25">
      <c r="C462" s="4"/>
      <c r="E462" s="4"/>
      <c r="H462" s="31" t="str">
        <f t="shared" si="14"/>
        <v/>
      </c>
      <c r="J462" t="b">
        <f t="shared" si="15"/>
        <v>0</v>
      </c>
    </row>
    <row r="463" spans="3:10" x14ac:dyDescent="0.25">
      <c r="C463" s="4"/>
      <c r="E463" s="4"/>
      <c r="H463" s="31" t="str">
        <f t="shared" si="14"/>
        <v/>
      </c>
      <c r="J463" t="b">
        <f t="shared" si="15"/>
        <v>0</v>
      </c>
    </row>
    <row r="464" spans="3:10" x14ac:dyDescent="0.25">
      <c r="C464" s="4"/>
      <c r="E464" s="4"/>
      <c r="H464" s="31" t="str">
        <f t="shared" si="14"/>
        <v/>
      </c>
      <c r="J464" t="b">
        <f t="shared" si="15"/>
        <v>0</v>
      </c>
    </row>
    <row r="465" spans="3:10" x14ac:dyDescent="0.25">
      <c r="C465" s="4"/>
      <c r="E465" s="4"/>
      <c r="H465" s="31" t="str">
        <f t="shared" si="14"/>
        <v/>
      </c>
      <c r="J465" t="b">
        <f t="shared" si="15"/>
        <v>0</v>
      </c>
    </row>
    <row r="466" spans="3:10" x14ac:dyDescent="0.25">
      <c r="C466" s="4"/>
      <c r="E466" s="4"/>
      <c r="H466" s="31" t="str">
        <f t="shared" si="14"/>
        <v/>
      </c>
      <c r="J466" t="b">
        <f t="shared" si="15"/>
        <v>0</v>
      </c>
    </row>
    <row r="467" spans="3:10" x14ac:dyDescent="0.25">
      <c r="C467" s="4"/>
      <c r="E467" s="4"/>
      <c r="H467" s="31" t="str">
        <f t="shared" si="14"/>
        <v/>
      </c>
      <c r="J467" t="b">
        <f t="shared" si="15"/>
        <v>0</v>
      </c>
    </row>
    <row r="468" spans="3:10" x14ac:dyDescent="0.25">
      <c r="C468" s="4"/>
      <c r="E468" s="4"/>
      <c r="H468" s="31" t="str">
        <f t="shared" si="14"/>
        <v/>
      </c>
      <c r="J468" t="b">
        <f t="shared" si="15"/>
        <v>0</v>
      </c>
    </row>
    <row r="469" spans="3:10" x14ac:dyDescent="0.25">
      <c r="C469" s="4"/>
      <c r="E469" s="4"/>
      <c r="H469" s="31" t="str">
        <f t="shared" si="14"/>
        <v/>
      </c>
      <c r="J469" t="b">
        <f t="shared" si="15"/>
        <v>0</v>
      </c>
    </row>
    <row r="470" spans="3:10" x14ac:dyDescent="0.25">
      <c r="C470" s="4"/>
      <c r="E470" s="4"/>
      <c r="H470" s="31" t="str">
        <f t="shared" si="14"/>
        <v/>
      </c>
      <c r="J470" t="b">
        <f t="shared" si="15"/>
        <v>0</v>
      </c>
    </row>
    <row r="471" spans="3:10" x14ac:dyDescent="0.25">
      <c r="C471" s="4"/>
      <c r="E471" s="4"/>
      <c r="H471" s="31" t="str">
        <f t="shared" si="14"/>
        <v/>
      </c>
      <c r="J471" t="b">
        <f t="shared" si="15"/>
        <v>0</v>
      </c>
    </row>
    <row r="472" spans="3:10" x14ac:dyDescent="0.25">
      <c r="C472" s="4"/>
      <c r="E472" s="4"/>
      <c r="H472" s="31" t="str">
        <f t="shared" si="14"/>
        <v/>
      </c>
      <c r="J472" t="b">
        <f t="shared" si="15"/>
        <v>0</v>
      </c>
    </row>
    <row r="473" spans="3:10" x14ac:dyDescent="0.25">
      <c r="C473" s="4"/>
      <c r="E473" s="4"/>
      <c r="H473" s="31" t="str">
        <f t="shared" si="14"/>
        <v/>
      </c>
      <c r="J473" t="b">
        <f t="shared" si="15"/>
        <v>0</v>
      </c>
    </row>
    <row r="474" spans="3:10" x14ac:dyDescent="0.25">
      <c r="C474" s="4"/>
      <c r="E474" s="4"/>
      <c r="H474" s="31" t="str">
        <f t="shared" si="14"/>
        <v/>
      </c>
      <c r="J474" t="b">
        <f t="shared" si="15"/>
        <v>0</v>
      </c>
    </row>
    <row r="475" spans="3:10" x14ac:dyDescent="0.25">
      <c r="C475" s="4"/>
      <c r="E475" s="4"/>
      <c r="H475" s="31" t="str">
        <f t="shared" si="14"/>
        <v/>
      </c>
      <c r="J475" t="b">
        <f t="shared" si="15"/>
        <v>0</v>
      </c>
    </row>
    <row r="476" spans="3:10" x14ac:dyDescent="0.25">
      <c r="C476" s="4"/>
      <c r="E476" s="4"/>
      <c r="H476" s="31" t="str">
        <f t="shared" si="14"/>
        <v/>
      </c>
      <c r="J476" t="b">
        <f t="shared" si="15"/>
        <v>0</v>
      </c>
    </row>
    <row r="477" spans="3:10" x14ac:dyDescent="0.25">
      <c r="C477" s="4"/>
      <c r="E477" s="4"/>
      <c r="H477" s="31" t="str">
        <f t="shared" si="14"/>
        <v/>
      </c>
      <c r="J477" t="b">
        <f t="shared" si="15"/>
        <v>0</v>
      </c>
    </row>
    <row r="478" spans="3:10" x14ac:dyDescent="0.25">
      <c r="C478" s="4"/>
      <c r="E478" s="4"/>
      <c r="H478" s="31" t="str">
        <f t="shared" si="14"/>
        <v/>
      </c>
      <c r="J478" t="b">
        <f t="shared" si="15"/>
        <v>0</v>
      </c>
    </row>
    <row r="479" spans="3:10" x14ac:dyDescent="0.25">
      <c r="C479" s="4"/>
      <c r="E479" s="4"/>
      <c r="H479" s="31" t="str">
        <f t="shared" si="14"/>
        <v/>
      </c>
      <c r="J479" t="b">
        <f t="shared" si="15"/>
        <v>0</v>
      </c>
    </row>
    <row r="480" spans="3:10" x14ac:dyDescent="0.25">
      <c r="C480" s="4"/>
      <c r="E480" s="4"/>
      <c r="H480" s="31" t="str">
        <f t="shared" si="14"/>
        <v/>
      </c>
      <c r="J480" t="b">
        <f t="shared" si="15"/>
        <v>0</v>
      </c>
    </row>
    <row r="481" spans="3:10" x14ac:dyDescent="0.25">
      <c r="C481" s="4"/>
      <c r="E481" s="4"/>
      <c r="H481" s="31" t="str">
        <f t="shared" si="14"/>
        <v/>
      </c>
      <c r="J481" t="b">
        <f t="shared" si="15"/>
        <v>0</v>
      </c>
    </row>
    <row r="482" spans="3:10" x14ac:dyDescent="0.25">
      <c r="C482" s="4"/>
      <c r="E482" s="4"/>
      <c r="H482" s="31" t="str">
        <f t="shared" si="14"/>
        <v/>
      </c>
      <c r="J482" t="b">
        <f t="shared" si="15"/>
        <v>0</v>
      </c>
    </row>
    <row r="483" spans="3:10" x14ac:dyDescent="0.25">
      <c r="C483" s="4"/>
      <c r="E483" s="4"/>
      <c r="H483" s="31" t="str">
        <f t="shared" si="14"/>
        <v/>
      </c>
      <c r="J483" t="b">
        <f t="shared" si="15"/>
        <v>0</v>
      </c>
    </row>
    <row r="484" spans="3:10" x14ac:dyDescent="0.25">
      <c r="C484" s="4"/>
      <c r="E484" s="4"/>
      <c r="H484" s="31" t="str">
        <f t="shared" si="14"/>
        <v/>
      </c>
      <c r="J484" t="b">
        <f t="shared" si="15"/>
        <v>0</v>
      </c>
    </row>
    <row r="485" spans="3:10" x14ac:dyDescent="0.25">
      <c r="C485" s="4"/>
      <c r="E485" s="4"/>
      <c r="H485" s="31" t="str">
        <f t="shared" si="14"/>
        <v/>
      </c>
      <c r="J485" t="b">
        <f t="shared" si="15"/>
        <v>0</v>
      </c>
    </row>
    <row r="486" spans="3:10" x14ac:dyDescent="0.25">
      <c r="C486" s="4"/>
      <c r="E486" s="4"/>
      <c r="H486" s="31" t="str">
        <f t="shared" si="14"/>
        <v/>
      </c>
      <c r="J486" t="b">
        <f t="shared" si="15"/>
        <v>0</v>
      </c>
    </row>
    <row r="487" spans="3:10" x14ac:dyDescent="0.25">
      <c r="C487" s="4"/>
      <c r="E487" s="4"/>
      <c r="H487" s="31" t="str">
        <f t="shared" si="14"/>
        <v/>
      </c>
      <c r="J487" t="b">
        <f t="shared" si="15"/>
        <v>0</v>
      </c>
    </row>
    <row r="488" spans="3:10" x14ac:dyDescent="0.25">
      <c r="C488" s="4"/>
      <c r="E488" s="4"/>
      <c r="H488" s="31" t="str">
        <f t="shared" si="14"/>
        <v/>
      </c>
      <c r="J488" t="b">
        <f t="shared" si="15"/>
        <v>0</v>
      </c>
    </row>
    <row r="489" spans="3:10" x14ac:dyDescent="0.25">
      <c r="C489" s="4"/>
      <c r="E489" s="4"/>
      <c r="H489" s="31" t="str">
        <f t="shared" si="14"/>
        <v/>
      </c>
      <c r="J489" t="b">
        <f t="shared" si="15"/>
        <v>0</v>
      </c>
    </row>
    <row r="490" spans="3:10" x14ac:dyDescent="0.25">
      <c r="C490" s="4"/>
      <c r="E490" s="4"/>
      <c r="H490" s="31" t="str">
        <f t="shared" si="14"/>
        <v/>
      </c>
      <c r="J490" t="b">
        <f t="shared" si="15"/>
        <v>0</v>
      </c>
    </row>
    <row r="491" spans="3:10" x14ac:dyDescent="0.25">
      <c r="C491" s="4"/>
      <c r="E491" s="4"/>
      <c r="H491" s="31" t="str">
        <f t="shared" si="14"/>
        <v/>
      </c>
      <c r="J491" t="b">
        <f t="shared" si="15"/>
        <v>0</v>
      </c>
    </row>
    <row r="492" spans="3:10" x14ac:dyDescent="0.25">
      <c r="C492" s="4"/>
      <c r="E492" s="4"/>
      <c r="H492" s="31" t="str">
        <f t="shared" si="14"/>
        <v/>
      </c>
      <c r="J492" t="b">
        <f t="shared" si="15"/>
        <v>0</v>
      </c>
    </row>
    <row r="493" spans="3:10" x14ac:dyDescent="0.25">
      <c r="C493" s="4"/>
      <c r="E493" s="4"/>
      <c r="H493" s="31" t="str">
        <f t="shared" si="14"/>
        <v/>
      </c>
      <c r="J493" t="b">
        <f t="shared" si="15"/>
        <v>0</v>
      </c>
    </row>
    <row r="494" spans="3:10" x14ac:dyDescent="0.25">
      <c r="C494" s="4"/>
      <c r="E494" s="4"/>
      <c r="H494" s="31" t="str">
        <f t="shared" si="14"/>
        <v/>
      </c>
      <c r="J494" t="b">
        <f t="shared" si="15"/>
        <v>0</v>
      </c>
    </row>
    <row r="495" spans="3:10" x14ac:dyDescent="0.25">
      <c r="C495" s="4"/>
      <c r="E495" s="4"/>
      <c r="H495" s="31" t="str">
        <f t="shared" si="14"/>
        <v/>
      </c>
      <c r="J495" t="b">
        <f t="shared" si="15"/>
        <v>0</v>
      </c>
    </row>
    <row r="496" spans="3:10" x14ac:dyDescent="0.25">
      <c r="C496" s="4"/>
      <c r="E496" s="4"/>
      <c r="H496" s="31" t="str">
        <f t="shared" si="14"/>
        <v/>
      </c>
      <c r="J496" t="b">
        <f t="shared" si="15"/>
        <v>0</v>
      </c>
    </row>
    <row r="497" spans="3:10" x14ac:dyDescent="0.25">
      <c r="C497" s="4"/>
      <c r="E497" s="4"/>
      <c r="H497" s="31" t="str">
        <f t="shared" si="14"/>
        <v/>
      </c>
      <c r="J497" t="b">
        <f t="shared" si="15"/>
        <v>0</v>
      </c>
    </row>
    <row r="498" spans="3:10" x14ac:dyDescent="0.25">
      <c r="C498" s="4"/>
      <c r="E498" s="4"/>
      <c r="H498" s="31" t="str">
        <f t="shared" si="14"/>
        <v/>
      </c>
      <c r="J498" t="b">
        <f t="shared" si="15"/>
        <v>0</v>
      </c>
    </row>
    <row r="499" spans="3:10" x14ac:dyDescent="0.25">
      <c r="C499" s="4"/>
      <c r="E499" s="4"/>
      <c r="H499" s="31" t="str">
        <f t="shared" si="14"/>
        <v/>
      </c>
      <c r="J499" t="b">
        <f t="shared" si="15"/>
        <v>0</v>
      </c>
    </row>
    <row r="500" spans="3:10" x14ac:dyDescent="0.25">
      <c r="C500" s="4"/>
      <c r="E500" s="4"/>
      <c r="H500" s="31" t="str">
        <f t="shared" si="14"/>
        <v/>
      </c>
      <c r="J500" t="b">
        <f t="shared" si="15"/>
        <v>0</v>
      </c>
    </row>
    <row r="501" spans="3:10" x14ac:dyDescent="0.25">
      <c r="C501" s="4"/>
      <c r="E501" s="4"/>
      <c r="H501" s="31" t="str">
        <f t="shared" si="14"/>
        <v/>
      </c>
      <c r="J501" t="b">
        <f t="shared" si="15"/>
        <v>0</v>
      </c>
    </row>
    <row r="502" spans="3:10" x14ac:dyDescent="0.25">
      <c r="C502" s="4"/>
      <c r="E502" s="4"/>
      <c r="H502" s="31" t="str">
        <f t="shared" si="14"/>
        <v/>
      </c>
      <c r="J502" t="b">
        <f t="shared" si="15"/>
        <v>0</v>
      </c>
    </row>
    <row r="503" spans="3:10" x14ac:dyDescent="0.25">
      <c r="C503" s="4"/>
      <c r="E503" s="4"/>
      <c r="H503" s="31" t="str">
        <f t="shared" si="14"/>
        <v/>
      </c>
      <c r="J503" t="b">
        <f t="shared" si="15"/>
        <v>0</v>
      </c>
    </row>
    <row r="504" spans="3:10" x14ac:dyDescent="0.25">
      <c r="C504" s="4"/>
      <c r="E504" s="4"/>
      <c r="H504" s="31" t="str">
        <f t="shared" si="14"/>
        <v/>
      </c>
      <c r="J504" t="b">
        <f t="shared" si="15"/>
        <v>0</v>
      </c>
    </row>
    <row r="505" spans="3:10" x14ac:dyDescent="0.25">
      <c r="C505" s="4"/>
      <c r="E505" s="4"/>
      <c r="H505" s="31" t="str">
        <f t="shared" si="14"/>
        <v/>
      </c>
      <c r="J505" t="b">
        <f t="shared" si="15"/>
        <v>0</v>
      </c>
    </row>
    <row r="506" spans="3:10" x14ac:dyDescent="0.25">
      <c r="C506" s="4"/>
      <c r="E506" s="4"/>
      <c r="H506" s="31" t="str">
        <f t="shared" si="14"/>
        <v/>
      </c>
      <c r="J506" t="b">
        <f t="shared" si="15"/>
        <v>0</v>
      </c>
    </row>
    <row r="507" spans="3:10" x14ac:dyDescent="0.25">
      <c r="C507" s="4"/>
      <c r="E507" s="4"/>
      <c r="H507" s="31" t="str">
        <f t="shared" si="14"/>
        <v/>
      </c>
      <c r="J507" t="b">
        <f t="shared" si="15"/>
        <v>0</v>
      </c>
    </row>
    <row r="508" spans="3:10" x14ac:dyDescent="0.25">
      <c r="C508" s="4"/>
      <c r="E508" s="4"/>
      <c r="H508" s="31" t="str">
        <f t="shared" si="14"/>
        <v/>
      </c>
      <c r="J508" t="b">
        <f t="shared" si="15"/>
        <v>0</v>
      </c>
    </row>
    <row r="509" spans="3:10" x14ac:dyDescent="0.25">
      <c r="C509" s="4"/>
      <c r="E509" s="4"/>
      <c r="H509" s="31" t="str">
        <f t="shared" si="14"/>
        <v/>
      </c>
      <c r="J509" t="b">
        <f t="shared" si="15"/>
        <v>0</v>
      </c>
    </row>
    <row r="510" spans="3:10" x14ac:dyDescent="0.25">
      <c r="C510" s="4"/>
      <c r="E510" s="4"/>
      <c r="H510" s="31" t="str">
        <f t="shared" si="14"/>
        <v/>
      </c>
      <c r="J510" t="b">
        <f t="shared" si="15"/>
        <v>0</v>
      </c>
    </row>
    <row r="511" spans="3:10" x14ac:dyDescent="0.25">
      <c r="C511" s="4"/>
      <c r="E511" s="4"/>
      <c r="H511" s="31" t="str">
        <f t="shared" si="14"/>
        <v/>
      </c>
      <c r="J511" t="b">
        <f t="shared" si="15"/>
        <v>0</v>
      </c>
    </row>
    <row r="512" spans="3:10" x14ac:dyDescent="0.25">
      <c r="C512" s="4"/>
      <c r="E512" s="4"/>
      <c r="H512" s="31" t="str">
        <f t="shared" si="14"/>
        <v/>
      </c>
      <c r="J512" t="b">
        <f t="shared" si="15"/>
        <v>0</v>
      </c>
    </row>
    <row r="513" spans="3:10" x14ac:dyDescent="0.25">
      <c r="C513" s="4"/>
      <c r="E513" s="4"/>
      <c r="H513" s="31" t="str">
        <f t="shared" si="14"/>
        <v/>
      </c>
      <c r="J513" t="b">
        <f t="shared" si="15"/>
        <v>0</v>
      </c>
    </row>
    <row r="514" spans="3:10" x14ac:dyDescent="0.25">
      <c r="C514" s="4"/>
      <c r="E514" s="4"/>
      <c r="H514" s="31" t="str">
        <f t="shared" si="14"/>
        <v/>
      </c>
      <c r="J514" t="b">
        <f t="shared" si="15"/>
        <v>0</v>
      </c>
    </row>
    <row r="515" spans="3:10" x14ac:dyDescent="0.25">
      <c r="C515" s="4"/>
      <c r="E515" s="4"/>
      <c r="H515" s="31" t="str">
        <f t="shared" si="14"/>
        <v/>
      </c>
      <c r="J515" t="b">
        <f t="shared" si="15"/>
        <v>0</v>
      </c>
    </row>
    <row r="516" spans="3:10" x14ac:dyDescent="0.25">
      <c r="C516" s="4"/>
      <c r="E516" s="4"/>
      <c r="H516" s="31" t="str">
        <f t="shared" ref="H516:H579" si="16">IF($J516=TRUE,"Il ne peut y avoir des valeurs dans les 2 méthodes",IF($D516="kg/l",$C516,IF($D516="g/l",$C516/1000,IF($D516="lb/gal US",$C516*0.454/3.785,IF($G516="kg/l",($E516/100)*$F516,IF($G516="g/l",($E516/100)*$F516/1000,IF($G516="lb/gal US",($E516/100)*$F516*0.454/3.785,"")))))))</f>
        <v/>
      </c>
      <c r="J516" t="b">
        <f t="shared" ref="J516:J579" si="17">IF(AND(OR($C516&lt;&gt;"",$D516&lt;&gt;""),OR($E516&lt;&gt;"",F516&lt;&gt;"",G516&lt;&gt;"")),TRUE,FALSE)</f>
        <v>0</v>
      </c>
    </row>
    <row r="517" spans="3:10" x14ac:dyDescent="0.25">
      <c r="C517" s="4"/>
      <c r="E517" s="4"/>
      <c r="H517" s="31" t="str">
        <f t="shared" si="16"/>
        <v/>
      </c>
      <c r="J517" t="b">
        <f t="shared" si="17"/>
        <v>0</v>
      </c>
    </row>
    <row r="518" spans="3:10" x14ac:dyDescent="0.25">
      <c r="C518" s="4"/>
      <c r="E518" s="4"/>
      <c r="H518" s="31" t="str">
        <f t="shared" si="16"/>
        <v/>
      </c>
      <c r="J518" t="b">
        <f t="shared" si="17"/>
        <v>0</v>
      </c>
    </row>
    <row r="519" spans="3:10" x14ac:dyDescent="0.25">
      <c r="C519" s="4"/>
      <c r="E519" s="4"/>
      <c r="H519" s="31" t="str">
        <f t="shared" si="16"/>
        <v/>
      </c>
      <c r="J519" t="b">
        <f t="shared" si="17"/>
        <v>0</v>
      </c>
    </row>
    <row r="520" spans="3:10" x14ac:dyDescent="0.25">
      <c r="C520" s="4"/>
      <c r="E520" s="4"/>
      <c r="H520" s="31" t="str">
        <f t="shared" si="16"/>
        <v/>
      </c>
      <c r="J520" t="b">
        <f t="shared" si="17"/>
        <v>0</v>
      </c>
    </row>
    <row r="521" spans="3:10" x14ac:dyDescent="0.25">
      <c r="C521" s="4"/>
      <c r="E521" s="4"/>
      <c r="H521" s="31" t="str">
        <f t="shared" si="16"/>
        <v/>
      </c>
      <c r="J521" t="b">
        <f t="shared" si="17"/>
        <v>0</v>
      </c>
    </row>
    <row r="522" spans="3:10" x14ac:dyDescent="0.25">
      <c r="C522" s="4"/>
      <c r="E522" s="4"/>
      <c r="H522" s="31" t="str">
        <f t="shared" si="16"/>
        <v/>
      </c>
      <c r="J522" t="b">
        <f t="shared" si="17"/>
        <v>0</v>
      </c>
    </row>
    <row r="523" spans="3:10" x14ac:dyDescent="0.25">
      <c r="C523" s="4"/>
      <c r="E523" s="4"/>
      <c r="H523" s="31" t="str">
        <f t="shared" si="16"/>
        <v/>
      </c>
      <c r="J523" t="b">
        <f t="shared" si="17"/>
        <v>0</v>
      </c>
    </row>
    <row r="524" spans="3:10" x14ac:dyDescent="0.25">
      <c r="C524" s="4"/>
      <c r="E524" s="4"/>
      <c r="H524" s="31" t="str">
        <f t="shared" si="16"/>
        <v/>
      </c>
      <c r="J524" t="b">
        <f t="shared" si="17"/>
        <v>0</v>
      </c>
    </row>
    <row r="525" spans="3:10" x14ac:dyDescent="0.25">
      <c r="C525" s="4"/>
      <c r="E525" s="4"/>
      <c r="H525" s="31" t="str">
        <f t="shared" si="16"/>
        <v/>
      </c>
      <c r="J525" t="b">
        <f t="shared" si="17"/>
        <v>0</v>
      </c>
    </row>
    <row r="526" spans="3:10" x14ac:dyDescent="0.25">
      <c r="C526" s="4"/>
      <c r="E526" s="4"/>
      <c r="H526" s="31" t="str">
        <f t="shared" si="16"/>
        <v/>
      </c>
      <c r="J526" t="b">
        <f t="shared" si="17"/>
        <v>0</v>
      </c>
    </row>
    <row r="527" spans="3:10" x14ac:dyDescent="0.25">
      <c r="C527" s="4"/>
      <c r="E527" s="4"/>
      <c r="H527" s="31" t="str">
        <f t="shared" si="16"/>
        <v/>
      </c>
      <c r="J527" t="b">
        <f t="shared" si="17"/>
        <v>0</v>
      </c>
    </row>
    <row r="528" spans="3:10" x14ac:dyDescent="0.25">
      <c r="C528" s="4"/>
      <c r="E528" s="4"/>
      <c r="H528" s="31" t="str">
        <f t="shared" si="16"/>
        <v/>
      </c>
      <c r="J528" t="b">
        <f t="shared" si="17"/>
        <v>0</v>
      </c>
    </row>
    <row r="529" spans="3:10" x14ac:dyDescent="0.25">
      <c r="C529" s="4"/>
      <c r="E529" s="4"/>
      <c r="H529" s="31" t="str">
        <f t="shared" si="16"/>
        <v/>
      </c>
      <c r="J529" t="b">
        <f t="shared" si="17"/>
        <v>0</v>
      </c>
    </row>
    <row r="530" spans="3:10" x14ac:dyDescent="0.25">
      <c r="C530" s="4"/>
      <c r="E530" s="4"/>
      <c r="H530" s="31" t="str">
        <f t="shared" si="16"/>
        <v/>
      </c>
      <c r="J530" t="b">
        <f t="shared" si="17"/>
        <v>0</v>
      </c>
    </row>
    <row r="531" spans="3:10" x14ac:dyDescent="0.25">
      <c r="C531" s="4"/>
      <c r="E531" s="4"/>
      <c r="H531" s="31" t="str">
        <f t="shared" si="16"/>
        <v/>
      </c>
      <c r="J531" t="b">
        <f t="shared" si="17"/>
        <v>0</v>
      </c>
    </row>
    <row r="532" spans="3:10" x14ac:dyDescent="0.25">
      <c r="C532" s="4"/>
      <c r="E532" s="4"/>
      <c r="H532" s="31" t="str">
        <f t="shared" si="16"/>
        <v/>
      </c>
      <c r="J532" t="b">
        <f t="shared" si="17"/>
        <v>0</v>
      </c>
    </row>
    <row r="533" spans="3:10" x14ac:dyDescent="0.25">
      <c r="C533" s="4"/>
      <c r="E533" s="4"/>
      <c r="H533" s="31" t="str">
        <f t="shared" si="16"/>
        <v/>
      </c>
      <c r="J533" t="b">
        <f t="shared" si="17"/>
        <v>0</v>
      </c>
    </row>
    <row r="534" spans="3:10" x14ac:dyDescent="0.25">
      <c r="C534" s="4"/>
      <c r="E534" s="4"/>
      <c r="H534" s="31" t="str">
        <f t="shared" si="16"/>
        <v/>
      </c>
      <c r="J534" t="b">
        <f t="shared" si="17"/>
        <v>0</v>
      </c>
    </row>
    <row r="535" spans="3:10" x14ac:dyDescent="0.25">
      <c r="C535" s="4"/>
      <c r="E535" s="4"/>
      <c r="H535" s="31" t="str">
        <f t="shared" si="16"/>
        <v/>
      </c>
      <c r="J535" t="b">
        <f t="shared" si="17"/>
        <v>0</v>
      </c>
    </row>
    <row r="536" spans="3:10" x14ac:dyDescent="0.25">
      <c r="C536" s="4"/>
      <c r="E536" s="4"/>
      <c r="H536" s="31" t="str">
        <f t="shared" si="16"/>
        <v/>
      </c>
      <c r="J536" t="b">
        <f t="shared" si="17"/>
        <v>0</v>
      </c>
    </row>
    <row r="537" spans="3:10" x14ac:dyDescent="0.25">
      <c r="C537" s="4"/>
      <c r="E537" s="4"/>
      <c r="H537" s="31" t="str">
        <f t="shared" si="16"/>
        <v/>
      </c>
      <c r="J537" t="b">
        <f t="shared" si="17"/>
        <v>0</v>
      </c>
    </row>
    <row r="538" spans="3:10" x14ac:dyDescent="0.25">
      <c r="C538" s="4"/>
      <c r="E538" s="4"/>
      <c r="H538" s="31" t="str">
        <f t="shared" si="16"/>
        <v/>
      </c>
      <c r="J538" t="b">
        <f t="shared" si="17"/>
        <v>0</v>
      </c>
    </row>
    <row r="539" spans="3:10" x14ac:dyDescent="0.25">
      <c r="C539" s="4"/>
      <c r="E539" s="4"/>
      <c r="H539" s="31" t="str">
        <f t="shared" si="16"/>
        <v/>
      </c>
      <c r="J539" t="b">
        <f t="shared" si="17"/>
        <v>0</v>
      </c>
    </row>
    <row r="540" spans="3:10" x14ac:dyDescent="0.25">
      <c r="C540" s="4"/>
      <c r="E540" s="4"/>
      <c r="H540" s="31" t="str">
        <f t="shared" si="16"/>
        <v/>
      </c>
      <c r="J540" t="b">
        <f t="shared" si="17"/>
        <v>0</v>
      </c>
    </row>
    <row r="541" spans="3:10" x14ac:dyDescent="0.25">
      <c r="C541" s="4"/>
      <c r="E541" s="4"/>
      <c r="H541" s="31" t="str">
        <f t="shared" si="16"/>
        <v/>
      </c>
      <c r="J541" t="b">
        <f t="shared" si="17"/>
        <v>0</v>
      </c>
    </row>
    <row r="542" spans="3:10" x14ac:dyDescent="0.25">
      <c r="C542" s="4"/>
      <c r="E542" s="4"/>
      <c r="H542" s="31" t="str">
        <f t="shared" si="16"/>
        <v/>
      </c>
      <c r="J542" t="b">
        <f t="shared" si="17"/>
        <v>0</v>
      </c>
    </row>
    <row r="543" spans="3:10" x14ac:dyDescent="0.25">
      <c r="C543" s="4"/>
      <c r="E543" s="4"/>
      <c r="H543" s="31" t="str">
        <f t="shared" si="16"/>
        <v/>
      </c>
      <c r="J543" t="b">
        <f t="shared" si="17"/>
        <v>0</v>
      </c>
    </row>
    <row r="544" spans="3:10" x14ac:dyDescent="0.25">
      <c r="C544" s="4"/>
      <c r="E544" s="4"/>
      <c r="H544" s="31" t="str">
        <f t="shared" si="16"/>
        <v/>
      </c>
      <c r="J544" t="b">
        <f t="shared" si="17"/>
        <v>0</v>
      </c>
    </row>
    <row r="545" spans="3:10" x14ac:dyDescent="0.25">
      <c r="C545" s="4"/>
      <c r="E545" s="4"/>
      <c r="H545" s="31" t="str">
        <f t="shared" si="16"/>
        <v/>
      </c>
      <c r="J545" t="b">
        <f t="shared" si="17"/>
        <v>0</v>
      </c>
    </row>
    <row r="546" spans="3:10" x14ac:dyDescent="0.25">
      <c r="C546" s="4"/>
      <c r="E546" s="4"/>
      <c r="H546" s="31" t="str">
        <f t="shared" si="16"/>
        <v/>
      </c>
      <c r="J546" t="b">
        <f t="shared" si="17"/>
        <v>0</v>
      </c>
    </row>
    <row r="547" spans="3:10" x14ac:dyDescent="0.25">
      <c r="C547" s="4"/>
      <c r="E547" s="4"/>
      <c r="H547" s="31" t="str">
        <f t="shared" si="16"/>
        <v/>
      </c>
      <c r="J547" t="b">
        <f t="shared" si="17"/>
        <v>0</v>
      </c>
    </row>
    <row r="548" spans="3:10" x14ac:dyDescent="0.25">
      <c r="C548" s="4"/>
      <c r="E548" s="4"/>
      <c r="H548" s="31" t="str">
        <f t="shared" si="16"/>
        <v/>
      </c>
      <c r="J548" t="b">
        <f t="shared" si="17"/>
        <v>0</v>
      </c>
    </row>
    <row r="549" spans="3:10" x14ac:dyDescent="0.25">
      <c r="C549" s="4"/>
      <c r="E549" s="4"/>
      <c r="H549" s="31" t="str">
        <f t="shared" si="16"/>
        <v/>
      </c>
      <c r="J549" t="b">
        <f t="shared" si="17"/>
        <v>0</v>
      </c>
    </row>
    <row r="550" spans="3:10" x14ac:dyDescent="0.25">
      <c r="C550" s="4"/>
      <c r="E550" s="4"/>
      <c r="H550" s="31" t="str">
        <f t="shared" si="16"/>
        <v/>
      </c>
      <c r="J550" t="b">
        <f t="shared" si="17"/>
        <v>0</v>
      </c>
    </row>
    <row r="551" spans="3:10" x14ac:dyDescent="0.25">
      <c r="C551" s="4"/>
      <c r="E551" s="4"/>
      <c r="H551" s="31" t="str">
        <f t="shared" si="16"/>
        <v/>
      </c>
      <c r="J551" t="b">
        <f t="shared" si="17"/>
        <v>0</v>
      </c>
    </row>
    <row r="552" spans="3:10" x14ac:dyDescent="0.25">
      <c r="C552" s="4"/>
      <c r="E552" s="4"/>
      <c r="H552" s="31" t="str">
        <f t="shared" si="16"/>
        <v/>
      </c>
      <c r="J552" t="b">
        <f t="shared" si="17"/>
        <v>0</v>
      </c>
    </row>
    <row r="553" spans="3:10" x14ac:dyDescent="0.25">
      <c r="C553" s="4"/>
      <c r="E553" s="4"/>
      <c r="H553" s="31" t="str">
        <f t="shared" si="16"/>
        <v/>
      </c>
      <c r="J553" t="b">
        <f t="shared" si="17"/>
        <v>0</v>
      </c>
    </row>
    <row r="554" spans="3:10" x14ac:dyDescent="0.25">
      <c r="C554" s="4"/>
      <c r="E554" s="4"/>
      <c r="H554" s="31" t="str">
        <f t="shared" si="16"/>
        <v/>
      </c>
      <c r="J554" t="b">
        <f t="shared" si="17"/>
        <v>0</v>
      </c>
    </row>
    <row r="555" spans="3:10" x14ac:dyDescent="0.25">
      <c r="C555" s="4"/>
      <c r="E555" s="4"/>
      <c r="H555" s="31" t="str">
        <f t="shared" si="16"/>
        <v/>
      </c>
      <c r="J555" t="b">
        <f t="shared" si="17"/>
        <v>0</v>
      </c>
    </row>
    <row r="556" spans="3:10" x14ac:dyDescent="0.25">
      <c r="C556" s="4"/>
      <c r="E556" s="4"/>
      <c r="H556" s="31" t="str">
        <f t="shared" si="16"/>
        <v/>
      </c>
      <c r="J556" t="b">
        <f t="shared" si="17"/>
        <v>0</v>
      </c>
    </row>
    <row r="557" spans="3:10" x14ac:dyDescent="0.25">
      <c r="C557" s="4"/>
      <c r="E557" s="4"/>
      <c r="H557" s="31" t="str">
        <f t="shared" si="16"/>
        <v/>
      </c>
      <c r="J557" t="b">
        <f t="shared" si="17"/>
        <v>0</v>
      </c>
    </row>
    <row r="558" spans="3:10" x14ac:dyDescent="0.25">
      <c r="C558" s="4"/>
      <c r="E558" s="4"/>
      <c r="H558" s="31" t="str">
        <f t="shared" si="16"/>
        <v/>
      </c>
      <c r="J558" t="b">
        <f t="shared" si="17"/>
        <v>0</v>
      </c>
    </row>
    <row r="559" spans="3:10" x14ac:dyDescent="0.25">
      <c r="C559" s="4"/>
      <c r="E559" s="4"/>
      <c r="H559" s="31" t="str">
        <f t="shared" si="16"/>
        <v/>
      </c>
      <c r="J559" t="b">
        <f t="shared" si="17"/>
        <v>0</v>
      </c>
    </row>
    <row r="560" spans="3:10" x14ac:dyDescent="0.25">
      <c r="C560" s="4"/>
      <c r="E560" s="4"/>
      <c r="H560" s="31" t="str">
        <f t="shared" si="16"/>
        <v/>
      </c>
      <c r="J560" t="b">
        <f t="shared" si="17"/>
        <v>0</v>
      </c>
    </row>
    <row r="561" spans="3:10" x14ac:dyDescent="0.25">
      <c r="C561" s="4"/>
      <c r="E561" s="4"/>
      <c r="H561" s="31" t="str">
        <f t="shared" si="16"/>
        <v/>
      </c>
      <c r="J561" t="b">
        <f t="shared" si="17"/>
        <v>0</v>
      </c>
    </row>
    <row r="562" spans="3:10" x14ac:dyDescent="0.25">
      <c r="C562" s="4"/>
      <c r="E562" s="4"/>
      <c r="H562" s="31" t="str">
        <f t="shared" si="16"/>
        <v/>
      </c>
      <c r="J562" t="b">
        <f t="shared" si="17"/>
        <v>0</v>
      </c>
    </row>
    <row r="563" spans="3:10" x14ac:dyDescent="0.25">
      <c r="C563" s="4"/>
      <c r="E563" s="4"/>
      <c r="H563" s="31" t="str">
        <f t="shared" si="16"/>
        <v/>
      </c>
      <c r="J563" t="b">
        <f t="shared" si="17"/>
        <v>0</v>
      </c>
    </row>
    <row r="564" spans="3:10" x14ac:dyDescent="0.25">
      <c r="C564" s="4"/>
      <c r="E564" s="4"/>
      <c r="H564" s="31" t="str">
        <f t="shared" si="16"/>
        <v/>
      </c>
      <c r="J564" t="b">
        <f t="shared" si="17"/>
        <v>0</v>
      </c>
    </row>
    <row r="565" spans="3:10" x14ac:dyDescent="0.25">
      <c r="C565" s="4"/>
      <c r="E565" s="4"/>
      <c r="H565" s="31" t="str">
        <f t="shared" si="16"/>
        <v/>
      </c>
      <c r="J565" t="b">
        <f t="shared" si="17"/>
        <v>0</v>
      </c>
    </row>
    <row r="566" spans="3:10" x14ac:dyDescent="0.25">
      <c r="C566" s="4"/>
      <c r="E566" s="4"/>
      <c r="H566" s="31" t="str">
        <f t="shared" si="16"/>
        <v/>
      </c>
      <c r="J566" t="b">
        <f t="shared" si="17"/>
        <v>0</v>
      </c>
    </row>
    <row r="567" spans="3:10" x14ac:dyDescent="0.25">
      <c r="C567" s="4"/>
      <c r="E567" s="4"/>
      <c r="H567" s="31" t="str">
        <f t="shared" si="16"/>
        <v/>
      </c>
      <c r="J567" t="b">
        <f t="shared" si="17"/>
        <v>0</v>
      </c>
    </row>
    <row r="568" spans="3:10" x14ac:dyDescent="0.25">
      <c r="C568" s="4"/>
      <c r="E568" s="4"/>
      <c r="H568" s="31" t="str">
        <f t="shared" si="16"/>
        <v/>
      </c>
      <c r="J568" t="b">
        <f t="shared" si="17"/>
        <v>0</v>
      </c>
    </row>
    <row r="569" spans="3:10" x14ac:dyDescent="0.25">
      <c r="C569" s="4"/>
      <c r="E569" s="4"/>
      <c r="H569" s="31" t="str">
        <f t="shared" si="16"/>
        <v/>
      </c>
      <c r="J569" t="b">
        <f t="shared" si="17"/>
        <v>0</v>
      </c>
    </row>
    <row r="570" spans="3:10" x14ac:dyDescent="0.25">
      <c r="C570" s="4"/>
      <c r="E570" s="4"/>
      <c r="H570" s="31" t="str">
        <f t="shared" si="16"/>
        <v/>
      </c>
      <c r="J570" t="b">
        <f t="shared" si="17"/>
        <v>0</v>
      </c>
    </row>
    <row r="571" spans="3:10" x14ac:dyDescent="0.25">
      <c r="C571" s="4"/>
      <c r="E571" s="4"/>
      <c r="H571" s="31" t="str">
        <f t="shared" si="16"/>
        <v/>
      </c>
      <c r="J571" t="b">
        <f t="shared" si="17"/>
        <v>0</v>
      </c>
    </row>
    <row r="572" spans="3:10" x14ac:dyDescent="0.25">
      <c r="C572" s="4"/>
      <c r="E572" s="4"/>
      <c r="H572" s="31" t="str">
        <f t="shared" si="16"/>
        <v/>
      </c>
      <c r="J572" t="b">
        <f t="shared" si="17"/>
        <v>0</v>
      </c>
    </row>
    <row r="573" spans="3:10" x14ac:dyDescent="0.25">
      <c r="C573" s="4"/>
      <c r="E573" s="4"/>
      <c r="H573" s="31" t="str">
        <f t="shared" si="16"/>
        <v/>
      </c>
      <c r="J573" t="b">
        <f t="shared" si="17"/>
        <v>0</v>
      </c>
    </row>
    <row r="574" spans="3:10" x14ac:dyDescent="0.25">
      <c r="C574" s="4"/>
      <c r="E574" s="4"/>
      <c r="H574" s="31" t="str">
        <f t="shared" si="16"/>
        <v/>
      </c>
      <c r="J574" t="b">
        <f t="shared" si="17"/>
        <v>0</v>
      </c>
    </row>
    <row r="575" spans="3:10" x14ac:dyDescent="0.25">
      <c r="C575" s="4"/>
      <c r="E575" s="4"/>
      <c r="H575" s="31" t="str">
        <f t="shared" si="16"/>
        <v/>
      </c>
      <c r="J575" t="b">
        <f t="shared" si="17"/>
        <v>0</v>
      </c>
    </row>
    <row r="576" spans="3:10" x14ac:dyDescent="0.25">
      <c r="C576" s="4"/>
      <c r="E576" s="4"/>
      <c r="H576" s="31" t="str">
        <f t="shared" si="16"/>
        <v/>
      </c>
      <c r="J576" t="b">
        <f t="shared" si="17"/>
        <v>0</v>
      </c>
    </row>
    <row r="577" spans="3:10" x14ac:dyDescent="0.25">
      <c r="C577" s="4"/>
      <c r="E577" s="4"/>
      <c r="H577" s="31" t="str">
        <f t="shared" si="16"/>
        <v/>
      </c>
      <c r="J577" t="b">
        <f t="shared" si="17"/>
        <v>0</v>
      </c>
    </row>
    <row r="578" spans="3:10" x14ac:dyDescent="0.25">
      <c r="C578" s="4"/>
      <c r="E578" s="4"/>
      <c r="H578" s="31" t="str">
        <f t="shared" si="16"/>
        <v/>
      </c>
      <c r="J578" t="b">
        <f t="shared" si="17"/>
        <v>0</v>
      </c>
    </row>
    <row r="579" spans="3:10" x14ac:dyDescent="0.25">
      <c r="C579" s="4"/>
      <c r="E579" s="4"/>
      <c r="H579" s="31" t="str">
        <f t="shared" si="16"/>
        <v/>
      </c>
      <c r="J579" t="b">
        <f t="shared" si="17"/>
        <v>0</v>
      </c>
    </row>
    <row r="580" spans="3:10" x14ac:dyDescent="0.25">
      <c r="C580" s="4"/>
      <c r="E580" s="4"/>
      <c r="H580" s="31" t="str">
        <f t="shared" ref="H580:H643" si="18">IF($J580=TRUE,"Il ne peut y avoir des valeurs dans les 2 méthodes",IF($D580="kg/l",$C580,IF($D580="g/l",$C580/1000,IF($D580="lb/gal US",$C580*0.454/3.785,IF($G580="kg/l",($E580/100)*$F580,IF($G580="g/l",($E580/100)*$F580/1000,IF($G580="lb/gal US",($E580/100)*$F580*0.454/3.785,"")))))))</f>
        <v/>
      </c>
      <c r="J580" t="b">
        <f t="shared" ref="J580:J643" si="19">IF(AND(OR($C580&lt;&gt;"",$D580&lt;&gt;""),OR($E580&lt;&gt;"",F580&lt;&gt;"",G580&lt;&gt;"")),TRUE,FALSE)</f>
        <v>0</v>
      </c>
    </row>
    <row r="581" spans="3:10" x14ac:dyDescent="0.25">
      <c r="C581" s="4"/>
      <c r="E581" s="4"/>
      <c r="H581" s="31" t="str">
        <f t="shared" si="18"/>
        <v/>
      </c>
      <c r="J581" t="b">
        <f t="shared" si="19"/>
        <v>0</v>
      </c>
    </row>
    <row r="582" spans="3:10" x14ac:dyDescent="0.25">
      <c r="C582" s="4"/>
      <c r="E582" s="4"/>
      <c r="H582" s="31" t="str">
        <f t="shared" si="18"/>
        <v/>
      </c>
      <c r="J582" t="b">
        <f t="shared" si="19"/>
        <v>0</v>
      </c>
    </row>
    <row r="583" spans="3:10" x14ac:dyDescent="0.25">
      <c r="C583" s="4"/>
      <c r="E583" s="4"/>
      <c r="H583" s="31" t="str">
        <f t="shared" si="18"/>
        <v/>
      </c>
      <c r="J583" t="b">
        <f t="shared" si="19"/>
        <v>0</v>
      </c>
    </row>
    <row r="584" spans="3:10" x14ac:dyDescent="0.25">
      <c r="C584" s="4"/>
      <c r="E584" s="4"/>
      <c r="H584" s="31" t="str">
        <f t="shared" si="18"/>
        <v/>
      </c>
      <c r="J584" t="b">
        <f t="shared" si="19"/>
        <v>0</v>
      </c>
    </row>
    <row r="585" spans="3:10" x14ac:dyDescent="0.25">
      <c r="C585" s="4"/>
      <c r="E585" s="4"/>
      <c r="H585" s="31" t="str">
        <f t="shared" si="18"/>
        <v/>
      </c>
      <c r="J585" t="b">
        <f t="shared" si="19"/>
        <v>0</v>
      </c>
    </row>
    <row r="586" spans="3:10" x14ac:dyDescent="0.25">
      <c r="C586" s="4"/>
      <c r="E586" s="4"/>
      <c r="H586" s="31" t="str">
        <f t="shared" si="18"/>
        <v/>
      </c>
      <c r="J586" t="b">
        <f t="shared" si="19"/>
        <v>0</v>
      </c>
    </row>
    <row r="587" spans="3:10" x14ac:dyDescent="0.25">
      <c r="C587" s="4"/>
      <c r="E587" s="4"/>
      <c r="H587" s="31" t="str">
        <f t="shared" si="18"/>
        <v/>
      </c>
      <c r="J587" t="b">
        <f t="shared" si="19"/>
        <v>0</v>
      </c>
    </row>
    <row r="588" spans="3:10" x14ac:dyDescent="0.25">
      <c r="C588" s="4"/>
      <c r="E588" s="4"/>
      <c r="H588" s="31" t="str">
        <f t="shared" si="18"/>
        <v/>
      </c>
      <c r="J588" t="b">
        <f t="shared" si="19"/>
        <v>0</v>
      </c>
    </row>
    <row r="589" spans="3:10" x14ac:dyDescent="0.25">
      <c r="C589" s="4"/>
      <c r="E589" s="4"/>
      <c r="H589" s="31" t="str">
        <f t="shared" si="18"/>
        <v/>
      </c>
      <c r="J589" t="b">
        <f t="shared" si="19"/>
        <v>0</v>
      </c>
    </row>
    <row r="590" spans="3:10" x14ac:dyDescent="0.25">
      <c r="C590" s="4"/>
      <c r="E590" s="4"/>
      <c r="H590" s="31" t="str">
        <f t="shared" si="18"/>
        <v/>
      </c>
      <c r="J590" t="b">
        <f t="shared" si="19"/>
        <v>0</v>
      </c>
    </row>
    <row r="591" spans="3:10" x14ac:dyDescent="0.25">
      <c r="C591" s="4"/>
      <c r="E591" s="4"/>
      <c r="H591" s="31" t="str">
        <f t="shared" si="18"/>
        <v/>
      </c>
      <c r="J591" t="b">
        <f t="shared" si="19"/>
        <v>0</v>
      </c>
    </row>
    <row r="592" spans="3:10" x14ac:dyDescent="0.25">
      <c r="C592" s="4"/>
      <c r="E592" s="4"/>
      <c r="H592" s="31" t="str">
        <f t="shared" si="18"/>
        <v/>
      </c>
      <c r="J592" t="b">
        <f t="shared" si="19"/>
        <v>0</v>
      </c>
    </row>
    <row r="593" spans="3:10" x14ac:dyDescent="0.25">
      <c r="C593" s="4"/>
      <c r="E593" s="4"/>
      <c r="H593" s="31" t="str">
        <f t="shared" si="18"/>
        <v/>
      </c>
      <c r="J593" t="b">
        <f t="shared" si="19"/>
        <v>0</v>
      </c>
    </row>
    <row r="594" spans="3:10" x14ac:dyDescent="0.25">
      <c r="C594" s="4"/>
      <c r="E594" s="4"/>
      <c r="H594" s="31" t="str">
        <f t="shared" si="18"/>
        <v/>
      </c>
      <c r="J594" t="b">
        <f t="shared" si="19"/>
        <v>0</v>
      </c>
    </row>
    <row r="595" spans="3:10" x14ac:dyDescent="0.25">
      <c r="C595" s="4"/>
      <c r="E595" s="4"/>
      <c r="H595" s="31" t="str">
        <f t="shared" si="18"/>
        <v/>
      </c>
      <c r="J595" t="b">
        <f t="shared" si="19"/>
        <v>0</v>
      </c>
    </row>
    <row r="596" spans="3:10" x14ac:dyDescent="0.25">
      <c r="C596" s="4"/>
      <c r="E596" s="4"/>
      <c r="H596" s="31" t="str">
        <f t="shared" si="18"/>
        <v/>
      </c>
      <c r="J596" t="b">
        <f t="shared" si="19"/>
        <v>0</v>
      </c>
    </row>
    <row r="597" spans="3:10" x14ac:dyDescent="0.25">
      <c r="C597" s="4"/>
      <c r="E597" s="4"/>
      <c r="H597" s="31" t="str">
        <f t="shared" si="18"/>
        <v/>
      </c>
      <c r="J597" t="b">
        <f t="shared" si="19"/>
        <v>0</v>
      </c>
    </row>
    <row r="598" spans="3:10" x14ac:dyDescent="0.25">
      <c r="C598" s="4"/>
      <c r="E598" s="4"/>
      <c r="H598" s="31" t="str">
        <f t="shared" si="18"/>
        <v/>
      </c>
      <c r="J598" t="b">
        <f t="shared" si="19"/>
        <v>0</v>
      </c>
    </row>
    <row r="599" spans="3:10" x14ac:dyDescent="0.25">
      <c r="C599" s="4"/>
      <c r="E599" s="4"/>
      <c r="H599" s="31" t="str">
        <f t="shared" si="18"/>
        <v/>
      </c>
      <c r="J599" t="b">
        <f t="shared" si="19"/>
        <v>0</v>
      </c>
    </row>
    <row r="600" spans="3:10" x14ac:dyDescent="0.25">
      <c r="C600" s="4"/>
      <c r="E600" s="4"/>
      <c r="H600" s="31" t="str">
        <f t="shared" si="18"/>
        <v/>
      </c>
      <c r="J600" t="b">
        <f t="shared" si="19"/>
        <v>0</v>
      </c>
    </row>
    <row r="601" spans="3:10" x14ac:dyDescent="0.25">
      <c r="C601" s="4"/>
      <c r="E601" s="4"/>
      <c r="H601" s="31" t="str">
        <f t="shared" si="18"/>
        <v/>
      </c>
      <c r="J601" t="b">
        <f t="shared" si="19"/>
        <v>0</v>
      </c>
    </row>
    <row r="602" spans="3:10" x14ac:dyDescent="0.25">
      <c r="C602" s="4"/>
      <c r="E602" s="4"/>
      <c r="H602" s="31" t="str">
        <f t="shared" si="18"/>
        <v/>
      </c>
      <c r="J602" t="b">
        <f t="shared" si="19"/>
        <v>0</v>
      </c>
    </row>
    <row r="603" spans="3:10" x14ac:dyDescent="0.25">
      <c r="C603" s="4"/>
      <c r="E603" s="4"/>
      <c r="H603" s="31" t="str">
        <f t="shared" si="18"/>
        <v/>
      </c>
      <c r="J603" t="b">
        <f t="shared" si="19"/>
        <v>0</v>
      </c>
    </row>
    <row r="604" spans="3:10" x14ac:dyDescent="0.25">
      <c r="C604" s="4"/>
      <c r="E604" s="4"/>
      <c r="H604" s="31" t="str">
        <f t="shared" si="18"/>
        <v/>
      </c>
      <c r="J604" t="b">
        <f t="shared" si="19"/>
        <v>0</v>
      </c>
    </row>
    <row r="605" spans="3:10" x14ac:dyDescent="0.25">
      <c r="C605" s="4"/>
      <c r="E605" s="4"/>
      <c r="H605" s="31" t="str">
        <f t="shared" si="18"/>
        <v/>
      </c>
      <c r="J605" t="b">
        <f t="shared" si="19"/>
        <v>0</v>
      </c>
    </row>
    <row r="606" spans="3:10" x14ac:dyDescent="0.25">
      <c r="C606" s="4"/>
      <c r="E606" s="4"/>
      <c r="H606" s="31" t="str">
        <f t="shared" si="18"/>
        <v/>
      </c>
      <c r="J606" t="b">
        <f t="shared" si="19"/>
        <v>0</v>
      </c>
    </row>
    <row r="607" spans="3:10" x14ac:dyDescent="0.25">
      <c r="C607" s="4"/>
      <c r="E607" s="4"/>
      <c r="H607" s="31" t="str">
        <f t="shared" si="18"/>
        <v/>
      </c>
      <c r="J607" t="b">
        <f t="shared" si="19"/>
        <v>0</v>
      </c>
    </row>
    <row r="608" spans="3:10" x14ac:dyDescent="0.25">
      <c r="C608" s="4"/>
      <c r="E608" s="4"/>
      <c r="H608" s="31" t="str">
        <f t="shared" si="18"/>
        <v/>
      </c>
      <c r="J608" t="b">
        <f t="shared" si="19"/>
        <v>0</v>
      </c>
    </row>
    <row r="609" spans="3:10" x14ac:dyDescent="0.25">
      <c r="C609" s="4"/>
      <c r="E609" s="4"/>
      <c r="H609" s="31" t="str">
        <f t="shared" si="18"/>
        <v/>
      </c>
      <c r="J609" t="b">
        <f t="shared" si="19"/>
        <v>0</v>
      </c>
    </row>
    <row r="610" spans="3:10" x14ac:dyDescent="0.25">
      <c r="C610" s="4"/>
      <c r="E610" s="4"/>
      <c r="H610" s="31" t="str">
        <f t="shared" si="18"/>
        <v/>
      </c>
      <c r="J610" t="b">
        <f t="shared" si="19"/>
        <v>0</v>
      </c>
    </row>
    <row r="611" spans="3:10" x14ac:dyDescent="0.25">
      <c r="C611" s="4"/>
      <c r="E611" s="4"/>
      <c r="H611" s="31" t="str">
        <f t="shared" si="18"/>
        <v/>
      </c>
      <c r="J611" t="b">
        <f t="shared" si="19"/>
        <v>0</v>
      </c>
    </row>
    <row r="612" spans="3:10" x14ac:dyDescent="0.25">
      <c r="C612" s="4"/>
      <c r="E612" s="4"/>
      <c r="H612" s="31" t="str">
        <f t="shared" si="18"/>
        <v/>
      </c>
      <c r="J612" t="b">
        <f t="shared" si="19"/>
        <v>0</v>
      </c>
    </row>
    <row r="613" spans="3:10" x14ac:dyDescent="0.25">
      <c r="C613" s="4"/>
      <c r="E613" s="4"/>
      <c r="H613" s="31" t="str">
        <f t="shared" si="18"/>
        <v/>
      </c>
      <c r="J613" t="b">
        <f t="shared" si="19"/>
        <v>0</v>
      </c>
    </row>
    <row r="614" spans="3:10" x14ac:dyDescent="0.25">
      <c r="C614" s="4"/>
      <c r="E614" s="4"/>
      <c r="H614" s="31" t="str">
        <f t="shared" si="18"/>
        <v/>
      </c>
      <c r="J614" t="b">
        <f t="shared" si="19"/>
        <v>0</v>
      </c>
    </row>
    <row r="615" spans="3:10" x14ac:dyDescent="0.25">
      <c r="C615" s="4"/>
      <c r="E615" s="4"/>
      <c r="H615" s="31" t="str">
        <f t="shared" si="18"/>
        <v/>
      </c>
      <c r="J615" t="b">
        <f t="shared" si="19"/>
        <v>0</v>
      </c>
    </row>
    <row r="616" spans="3:10" x14ac:dyDescent="0.25">
      <c r="C616" s="4"/>
      <c r="E616" s="4"/>
      <c r="H616" s="31" t="str">
        <f t="shared" si="18"/>
        <v/>
      </c>
      <c r="J616" t="b">
        <f t="shared" si="19"/>
        <v>0</v>
      </c>
    </row>
    <row r="617" spans="3:10" x14ac:dyDescent="0.25">
      <c r="C617" s="4"/>
      <c r="E617" s="4"/>
      <c r="H617" s="31" t="str">
        <f t="shared" si="18"/>
        <v/>
      </c>
      <c r="J617" t="b">
        <f t="shared" si="19"/>
        <v>0</v>
      </c>
    </row>
    <row r="618" spans="3:10" x14ac:dyDescent="0.25">
      <c r="C618" s="4"/>
      <c r="E618" s="4"/>
      <c r="H618" s="31" t="str">
        <f t="shared" si="18"/>
        <v/>
      </c>
      <c r="J618" t="b">
        <f t="shared" si="19"/>
        <v>0</v>
      </c>
    </row>
    <row r="619" spans="3:10" x14ac:dyDescent="0.25">
      <c r="C619" s="4"/>
      <c r="E619" s="4"/>
      <c r="H619" s="31" t="str">
        <f t="shared" si="18"/>
        <v/>
      </c>
      <c r="J619" t="b">
        <f t="shared" si="19"/>
        <v>0</v>
      </c>
    </row>
    <row r="620" spans="3:10" x14ac:dyDescent="0.25">
      <c r="C620" s="4"/>
      <c r="E620" s="4"/>
      <c r="H620" s="31" t="str">
        <f t="shared" si="18"/>
        <v/>
      </c>
      <c r="J620" t="b">
        <f t="shared" si="19"/>
        <v>0</v>
      </c>
    </row>
    <row r="621" spans="3:10" x14ac:dyDescent="0.25">
      <c r="C621" s="4"/>
      <c r="E621" s="4"/>
      <c r="H621" s="31" t="str">
        <f t="shared" si="18"/>
        <v/>
      </c>
      <c r="J621" t="b">
        <f t="shared" si="19"/>
        <v>0</v>
      </c>
    </row>
    <row r="622" spans="3:10" x14ac:dyDescent="0.25">
      <c r="C622" s="4"/>
      <c r="E622" s="4"/>
      <c r="H622" s="31" t="str">
        <f t="shared" si="18"/>
        <v/>
      </c>
      <c r="J622" t="b">
        <f t="shared" si="19"/>
        <v>0</v>
      </c>
    </row>
    <row r="623" spans="3:10" x14ac:dyDescent="0.25">
      <c r="C623" s="4"/>
      <c r="E623" s="4"/>
      <c r="H623" s="31" t="str">
        <f t="shared" si="18"/>
        <v/>
      </c>
      <c r="J623" t="b">
        <f t="shared" si="19"/>
        <v>0</v>
      </c>
    </row>
    <row r="624" spans="3:10" x14ac:dyDescent="0.25">
      <c r="C624" s="4"/>
      <c r="E624" s="4"/>
      <c r="H624" s="31" t="str">
        <f t="shared" si="18"/>
        <v/>
      </c>
      <c r="J624" t="b">
        <f t="shared" si="19"/>
        <v>0</v>
      </c>
    </row>
    <row r="625" spans="3:10" x14ac:dyDescent="0.25">
      <c r="C625" s="4"/>
      <c r="E625" s="4"/>
      <c r="H625" s="31" t="str">
        <f t="shared" si="18"/>
        <v/>
      </c>
      <c r="J625" t="b">
        <f t="shared" si="19"/>
        <v>0</v>
      </c>
    </row>
    <row r="626" spans="3:10" x14ac:dyDescent="0.25">
      <c r="C626" s="4"/>
      <c r="E626" s="4"/>
      <c r="H626" s="31" t="str">
        <f t="shared" si="18"/>
        <v/>
      </c>
      <c r="J626" t="b">
        <f t="shared" si="19"/>
        <v>0</v>
      </c>
    </row>
    <row r="627" spans="3:10" x14ac:dyDescent="0.25">
      <c r="C627" s="4"/>
      <c r="E627" s="4"/>
      <c r="H627" s="31" t="str">
        <f t="shared" si="18"/>
        <v/>
      </c>
      <c r="J627" t="b">
        <f t="shared" si="19"/>
        <v>0</v>
      </c>
    </row>
    <row r="628" spans="3:10" x14ac:dyDescent="0.25">
      <c r="C628" s="4"/>
      <c r="E628" s="4"/>
      <c r="H628" s="31" t="str">
        <f t="shared" si="18"/>
        <v/>
      </c>
      <c r="J628" t="b">
        <f t="shared" si="19"/>
        <v>0</v>
      </c>
    </row>
    <row r="629" spans="3:10" x14ac:dyDescent="0.25">
      <c r="C629" s="4"/>
      <c r="E629" s="4"/>
      <c r="H629" s="31" t="str">
        <f t="shared" si="18"/>
        <v/>
      </c>
      <c r="J629" t="b">
        <f t="shared" si="19"/>
        <v>0</v>
      </c>
    </row>
    <row r="630" spans="3:10" x14ac:dyDescent="0.25">
      <c r="C630" s="4"/>
      <c r="E630" s="4"/>
      <c r="H630" s="31" t="str">
        <f t="shared" si="18"/>
        <v/>
      </c>
      <c r="J630" t="b">
        <f t="shared" si="19"/>
        <v>0</v>
      </c>
    </row>
    <row r="631" spans="3:10" x14ac:dyDescent="0.25">
      <c r="C631" s="4"/>
      <c r="E631" s="4"/>
      <c r="H631" s="31" t="str">
        <f t="shared" si="18"/>
        <v/>
      </c>
      <c r="J631" t="b">
        <f t="shared" si="19"/>
        <v>0</v>
      </c>
    </row>
    <row r="632" spans="3:10" x14ac:dyDescent="0.25">
      <c r="C632" s="4"/>
      <c r="E632" s="4"/>
      <c r="H632" s="31" t="str">
        <f t="shared" si="18"/>
        <v/>
      </c>
      <c r="J632" t="b">
        <f t="shared" si="19"/>
        <v>0</v>
      </c>
    </row>
    <row r="633" spans="3:10" x14ac:dyDescent="0.25">
      <c r="C633" s="4"/>
      <c r="E633" s="4"/>
      <c r="H633" s="31" t="str">
        <f t="shared" si="18"/>
        <v/>
      </c>
      <c r="J633" t="b">
        <f t="shared" si="19"/>
        <v>0</v>
      </c>
    </row>
    <row r="634" spans="3:10" x14ac:dyDescent="0.25">
      <c r="C634" s="4"/>
      <c r="E634" s="4"/>
      <c r="H634" s="31" t="str">
        <f t="shared" si="18"/>
        <v/>
      </c>
      <c r="J634" t="b">
        <f t="shared" si="19"/>
        <v>0</v>
      </c>
    </row>
    <row r="635" spans="3:10" x14ac:dyDescent="0.25">
      <c r="C635" s="4"/>
      <c r="E635" s="4"/>
      <c r="H635" s="31" t="str">
        <f t="shared" si="18"/>
        <v/>
      </c>
      <c r="J635" t="b">
        <f t="shared" si="19"/>
        <v>0</v>
      </c>
    </row>
    <row r="636" spans="3:10" x14ac:dyDescent="0.25">
      <c r="C636" s="4"/>
      <c r="E636" s="4"/>
      <c r="H636" s="31" t="str">
        <f t="shared" si="18"/>
        <v/>
      </c>
      <c r="J636" t="b">
        <f t="shared" si="19"/>
        <v>0</v>
      </c>
    </row>
    <row r="637" spans="3:10" x14ac:dyDescent="0.25">
      <c r="C637" s="4"/>
      <c r="E637" s="4"/>
      <c r="H637" s="31" t="str">
        <f t="shared" si="18"/>
        <v/>
      </c>
      <c r="J637" t="b">
        <f t="shared" si="19"/>
        <v>0</v>
      </c>
    </row>
    <row r="638" spans="3:10" x14ac:dyDescent="0.25">
      <c r="C638" s="4"/>
      <c r="E638" s="4"/>
      <c r="H638" s="31" t="str">
        <f t="shared" si="18"/>
        <v/>
      </c>
      <c r="J638" t="b">
        <f t="shared" si="19"/>
        <v>0</v>
      </c>
    </row>
    <row r="639" spans="3:10" x14ac:dyDescent="0.25">
      <c r="C639" s="4"/>
      <c r="E639" s="4"/>
      <c r="H639" s="31" t="str">
        <f t="shared" si="18"/>
        <v/>
      </c>
      <c r="J639" t="b">
        <f t="shared" si="19"/>
        <v>0</v>
      </c>
    </row>
    <row r="640" spans="3:10" x14ac:dyDescent="0.25">
      <c r="C640" s="4"/>
      <c r="E640" s="4"/>
      <c r="H640" s="31" t="str">
        <f t="shared" si="18"/>
        <v/>
      </c>
      <c r="J640" t="b">
        <f t="shared" si="19"/>
        <v>0</v>
      </c>
    </row>
    <row r="641" spans="3:10" x14ac:dyDescent="0.25">
      <c r="C641" s="4"/>
      <c r="E641" s="4"/>
      <c r="H641" s="31" t="str">
        <f t="shared" si="18"/>
        <v/>
      </c>
      <c r="J641" t="b">
        <f t="shared" si="19"/>
        <v>0</v>
      </c>
    </row>
    <row r="642" spans="3:10" x14ac:dyDescent="0.25">
      <c r="C642" s="4"/>
      <c r="E642" s="4"/>
      <c r="H642" s="31" t="str">
        <f t="shared" si="18"/>
        <v/>
      </c>
      <c r="J642" t="b">
        <f t="shared" si="19"/>
        <v>0</v>
      </c>
    </row>
    <row r="643" spans="3:10" x14ac:dyDescent="0.25">
      <c r="C643" s="4"/>
      <c r="E643" s="4"/>
      <c r="H643" s="31" t="str">
        <f t="shared" si="18"/>
        <v/>
      </c>
      <c r="J643" t="b">
        <f t="shared" si="19"/>
        <v>0</v>
      </c>
    </row>
    <row r="644" spans="3:10" x14ac:dyDescent="0.25">
      <c r="C644" s="4"/>
      <c r="E644" s="4"/>
      <c r="H644" s="31" t="str">
        <f t="shared" ref="H644:H707" si="20">IF($J644=TRUE,"Il ne peut y avoir des valeurs dans les 2 méthodes",IF($D644="kg/l",$C644,IF($D644="g/l",$C644/1000,IF($D644="lb/gal US",$C644*0.454/3.785,IF($G644="kg/l",($E644/100)*$F644,IF($G644="g/l",($E644/100)*$F644/1000,IF($G644="lb/gal US",($E644/100)*$F644*0.454/3.785,"")))))))</f>
        <v/>
      </c>
      <c r="J644" t="b">
        <f t="shared" ref="J644:J707" si="21">IF(AND(OR($C644&lt;&gt;"",$D644&lt;&gt;""),OR($E644&lt;&gt;"",F644&lt;&gt;"",G644&lt;&gt;"")),TRUE,FALSE)</f>
        <v>0</v>
      </c>
    </row>
    <row r="645" spans="3:10" x14ac:dyDescent="0.25">
      <c r="C645" s="4"/>
      <c r="E645" s="4"/>
      <c r="H645" s="31" t="str">
        <f t="shared" si="20"/>
        <v/>
      </c>
      <c r="J645" t="b">
        <f t="shared" si="21"/>
        <v>0</v>
      </c>
    </row>
    <row r="646" spans="3:10" x14ac:dyDescent="0.25">
      <c r="C646" s="4"/>
      <c r="E646" s="4"/>
      <c r="H646" s="31" t="str">
        <f t="shared" si="20"/>
        <v/>
      </c>
      <c r="J646" t="b">
        <f t="shared" si="21"/>
        <v>0</v>
      </c>
    </row>
    <row r="647" spans="3:10" x14ac:dyDescent="0.25">
      <c r="C647" s="4"/>
      <c r="E647" s="4"/>
      <c r="H647" s="31" t="str">
        <f t="shared" si="20"/>
        <v/>
      </c>
      <c r="J647" t="b">
        <f t="shared" si="21"/>
        <v>0</v>
      </c>
    </row>
    <row r="648" spans="3:10" x14ac:dyDescent="0.25">
      <c r="C648" s="4"/>
      <c r="E648" s="4"/>
      <c r="H648" s="31" t="str">
        <f t="shared" si="20"/>
        <v/>
      </c>
      <c r="J648" t="b">
        <f t="shared" si="21"/>
        <v>0</v>
      </c>
    </row>
    <row r="649" spans="3:10" x14ac:dyDescent="0.25">
      <c r="C649" s="4"/>
      <c r="E649" s="4"/>
      <c r="H649" s="31" t="str">
        <f t="shared" si="20"/>
        <v/>
      </c>
      <c r="J649" t="b">
        <f t="shared" si="21"/>
        <v>0</v>
      </c>
    </row>
    <row r="650" spans="3:10" x14ac:dyDescent="0.25">
      <c r="C650" s="4"/>
      <c r="E650" s="4"/>
      <c r="H650" s="31" t="str">
        <f t="shared" si="20"/>
        <v/>
      </c>
      <c r="J650" t="b">
        <f t="shared" si="21"/>
        <v>0</v>
      </c>
    </row>
    <row r="651" spans="3:10" x14ac:dyDescent="0.25">
      <c r="C651" s="4"/>
      <c r="E651" s="4"/>
      <c r="H651" s="31" t="str">
        <f t="shared" si="20"/>
        <v/>
      </c>
      <c r="J651" t="b">
        <f t="shared" si="21"/>
        <v>0</v>
      </c>
    </row>
    <row r="652" spans="3:10" x14ac:dyDescent="0.25">
      <c r="C652" s="4"/>
      <c r="E652" s="4"/>
      <c r="H652" s="31" t="str">
        <f t="shared" si="20"/>
        <v/>
      </c>
      <c r="J652" t="b">
        <f t="shared" si="21"/>
        <v>0</v>
      </c>
    </row>
    <row r="653" spans="3:10" x14ac:dyDescent="0.25">
      <c r="C653" s="4"/>
      <c r="E653" s="4"/>
      <c r="H653" s="31" t="str">
        <f t="shared" si="20"/>
        <v/>
      </c>
      <c r="J653" t="b">
        <f t="shared" si="21"/>
        <v>0</v>
      </c>
    </row>
    <row r="654" spans="3:10" x14ac:dyDescent="0.25">
      <c r="C654" s="4"/>
      <c r="E654" s="4"/>
      <c r="H654" s="31" t="str">
        <f t="shared" si="20"/>
        <v/>
      </c>
      <c r="J654" t="b">
        <f t="shared" si="21"/>
        <v>0</v>
      </c>
    </row>
    <row r="655" spans="3:10" x14ac:dyDescent="0.25">
      <c r="C655" s="4"/>
      <c r="E655" s="4"/>
      <c r="H655" s="31" t="str">
        <f t="shared" si="20"/>
        <v/>
      </c>
      <c r="J655" t="b">
        <f t="shared" si="21"/>
        <v>0</v>
      </c>
    </row>
    <row r="656" spans="3:10" x14ac:dyDescent="0.25">
      <c r="C656" s="4"/>
      <c r="E656" s="4"/>
      <c r="H656" s="31" t="str">
        <f t="shared" si="20"/>
        <v/>
      </c>
      <c r="J656" t="b">
        <f t="shared" si="21"/>
        <v>0</v>
      </c>
    </row>
    <row r="657" spans="3:10" x14ac:dyDescent="0.25">
      <c r="C657" s="4"/>
      <c r="E657" s="4"/>
      <c r="H657" s="31" t="str">
        <f t="shared" si="20"/>
        <v/>
      </c>
      <c r="J657" t="b">
        <f t="shared" si="21"/>
        <v>0</v>
      </c>
    </row>
    <row r="658" spans="3:10" x14ac:dyDescent="0.25">
      <c r="C658" s="4"/>
      <c r="E658" s="4"/>
      <c r="H658" s="31" t="str">
        <f t="shared" si="20"/>
        <v/>
      </c>
      <c r="J658" t="b">
        <f t="shared" si="21"/>
        <v>0</v>
      </c>
    </row>
    <row r="659" spans="3:10" x14ac:dyDescent="0.25">
      <c r="C659" s="4"/>
      <c r="E659" s="4"/>
      <c r="H659" s="31" t="str">
        <f t="shared" si="20"/>
        <v/>
      </c>
      <c r="J659" t="b">
        <f t="shared" si="21"/>
        <v>0</v>
      </c>
    </row>
    <row r="660" spans="3:10" x14ac:dyDescent="0.25">
      <c r="C660" s="4"/>
      <c r="E660" s="4"/>
      <c r="H660" s="31" t="str">
        <f t="shared" si="20"/>
        <v/>
      </c>
      <c r="J660" t="b">
        <f t="shared" si="21"/>
        <v>0</v>
      </c>
    </row>
    <row r="661" spans="3:10" x14ac:dyDescent="0.25">
      <c r="C661" s="4"/>
      <c r="E661" s="4"/>
      <c r="H661" s="31" t="str">
        <f t="shared" si="20"/>
        <v/>
      </c>
      <c r="J661" t="b">
        <f t="shared" si="21"/>
        <v>0</v>
      </c>
    </row>
    <row r="662" spans="3:10" x14ac:dyDescent="0.25">
      <c r="C662" s="4"/>
      <c r="E662" s="4"/>
      <c r="H662" s="31" t="str">
        <f t="shared" si="20"/>
        <v/>
      </c>
      <c r="J662" t="b">
        <f t="shared" si="21"/>
        <v>0</v>
      </c>
    </row>
    <row r="663" spans="3:10" x14ac:dyDescent="0.25">
      <c r="C663" s="4"/>
      <c r="E663" s="4"/>
      <c r="H663" s="31" t="str">
        <f t="shared" si="20"/>
        <v/>
      </c>
      <c r="J663" t="b">
        <f t="shared" si="21"/>
        <v>0</v>
      </c>
    </row>
    <row r="664" spans="3:10" x14ac:dyDescent="0.25">
      <c r="C664" s="4"/>
      <c r="E664" s="4"/>
      <c r="H664" s="31" t="str">
        <f t="shared" si="20"/>
        <v/>
      </c>
      <c r="J664" t="b">
        <f t="shared" si="21"/>
        <v>0</v>
      </c>
    </row>
    <row r="665" spans="3:10" x14ac:dyDescent="0.25">
      <c r="C665" s="4"/>
      <c r="E665" s="4"/>
      <c r="H665" s="31" t="str">
        <f t="shared" si="20"/>
        <v/>
      </c>
      <c r="J665" t="b">
        <f t="shared" si="21"/>
        <v>0</v>
      </c>
    </row>
    <row r="666" spans="3:10" x14ac:dyDescent="0.25">
      <c r="C666" s="4"/>
      <c r="E666" s="4"/>
      <c r="H666" s="31" t="str">
        <f t="shared" si="20"/>
        <v/>
      </c>
      <c r="J666" t="b">
        <f t="shared" si="21"/>
        <v>0</v>
      </c>
    </row>
    <row r="667" spans="3:10" x14ac:dyDescent="0.25">
      <c r="C667" s="4"/>
      <c r="E667" s="4"/>
      <c r="H667" s="31" t="str">
        <f t="shared" si="20"/>
        <v/>
      </c>
      <c r="J667" t="b">
        <f t="shared" si="21"/>
        <v>0</v>
      </c>
    </row>
    <row r="668" spans="3:10" x14ac:dyDescent="0.25">
      <c r="C668" s="4"/>
      <c r="E668" s="4"/>
      <c r="H668" s="31" t="str">
        <f t="shared" si="20"/>
        <v/>
      </c>
      <c r="J668" t="b">
        <f t="shared" si="21"/>
        <v>0</v>
      </c>
    </row>
    <row r="669" spans="3:10" x14ac:dyDescent="0.25">
      <c r="C669" s="4"/>
      <c r="E669" s="4"/>
      <c r="H669" s="31" t="str">
        <f t="shared" si="20"/>
        <v/>
      </c>
      <c r="J669" t="b">
        <f t="shared" si="21"/>
        <v>0</v>
      </c>
    </row>
    <row r="670" spans="3:10" x14ac:dyDescent="0.25">
      <c r="C670" s="4"/>
      <c r="E670" s="4"/>
      <c r="H670" s="31" t="str">
        <f t="shared" si="20"/>
        <v/>
      </c>
      <c r="J670" t="b">
        <f t="shared" si="21"/>
        <v>0</v>
      </c>
    </row>
    <row r="671" spans="3:10" x14ac:dyDescent="0.25">
      <c r="C671" s="4"/>
      <c r="E671" s="4"/>
      <c r="H671" s="31" t="str">
        <f t="shared" si="20"/>
        <v/>
      </c>
      <c r="J671" t="b">
        <f t="shared" si="21"/>
        <v>0</v>
      </c>
    </row>
    <row r="672" spans="3:10" x14ac:dyDescent="0.25">
      <c r="C672" s="4"/>
      <c r="E672" s="4"/>
      <c r="H672" s="31" t="str">
        <f t="shared" si="20"/>
        <v/>
      </c>
      <c r="J672" t="b">
        <f t="shared" si="21"/>
        <v>0</v>
      </c>
    </row>
    <row r="673" spans="3:10" x14ac:dyDescent="0.25">
      <c r="C673" s="4"/>
      <c r="E673" s="4"/>
      <c r="H673" s="31" t="str">
        <f t="shared" si="20"/>
        <v/>
      </c>
      <c r="J673" t="b">
        <f t="shared" si="21"/>
        <v>0</v>
      </c>
    </row>
    <row r="674" spans="3:10" x14ac:dyDescent="0.25">
      <c r="C674" s="4"/>
      <c r="E674" s="4"/>
      <c r="H674" s="31" t="str">
        <f t="shared" si="20"/>
        <v/>
      </c>
      <c r="J674" t="b">
        <f t="shared" si="21"/>
        <v>0</v>
      </c>
    </row>
    <row r="675" spans="3:10" x14ac:dyDescent="0.25">
      <c r="C675" s="4"/>
      <c r="E675" s="4"/>
      <c r="H675" s="31" t="str">
        <f t="shared" si="20"/>
        <v/>
      </c>
      <c r="J675" t="b">
        <f t="shared" si="21"/>
        <v>0</v>
      </c>
    </row>
    <row r="676" spans="3:10" x14ac:dyDescent="0.25">
      <c r="C676" s="4"/>
      <c r="E676" s="4"/>
      <c r="H676" s="31" t="str">
        <f t="shared" si="20"/>
        <v/>
      </c>
      <c r="J676" t="b">
        <f t="shared" si="21"/>
        <v>0</v>
      </c>
    </row>
    <row r="677" spans="3:10" x14ac:dyDescent="0.25">
      <c r="C677" s="4"/>
      <c r="E677" s="4"/>
      <c r="H677" s="31" t="str">
        <f t="shared" si="20"/>
        <v/>
      </c>
      <c r="J677" t="b">
        <f t="shared" si="21"/>
        <v>0</v>
      </c>
    </row>
    <row r="678" spans="3:10" x14ac:dyDescent="0.25">
      <c r="C678" s="4"/>
      <c r="E678" s="4"/>
      <c r="H678" s="31" t="str">
        <f t="shared" si="20"/>
        <v/>
      </c>
      <c r="J678" t="b">
        <f t="shared" si="21"/>
        <v>0</v>
      </c>
    </row>
    <row r="679" spans="3:10" x14ac:dyDescent="0.25">
      <c r="C679" s="4"/>
      <c r="E679" s="4"/>
      <c r="H679" s="31" t="str">
        <f t="shared" si="20"/>
        <v/>
      </c>
      <c r="J679" t="b">
        <f t="shared" si="21"/>
        <v>0</v>
      </c>
    </row>
    <row r="680" spans="3:10" x14ac:dyDescent="0.25">
      <c r="C680" s="4"/>
      <c r="E680" s="4"/>
      <c r="H680" s="31" t="str">
        <f t="shared" si="20"/>
        <v/>
      </c>
      <c r="J680" t="b">
        <f t="shared" si="21"/>
        <v>0</v>
      </c>
    </row>
    <row r="681" spans="3:10" x14ac:dyDescent="0.25">
      <c r="C681" s="4"/>
      <c r="E681" s="4"/>
      <c r="H681" s="31" t="str">
        <f t="shared" si="20"/>
        <v/>
      </c>
      <c r="J681" t="b">
        <f t="shared" si="21"/>
        <v>0</v>
      </c>
    </row>
    <row r="682" spans="3:10" x14ac:dyDescent="0.25">
      <c r="C682" s="4"/>
      <c r="E682" s="4"/>
      <c r="H682" s="31" t="str">
        <f t="shared" si="20"/>
        <v/>
      </c>
      <c r="J682" t="b">
        <f t="shared" si="21"/>
        <v>0</v>
      </c>
    </row>
    <row r="683" spans="3:10" x14ac:dyDescent="0.25">
      <c r="C683" s="4"/>
      <c r="E683" s="4"/>
      <c r="H683" s="31" t="str">
        <f t="shared" si="20"/>
        <v/>
      </c>
      <c r="J683" t="b">
        <f t="shared" si="21"/>
        <v>0</v>
      </c>
    </row>
    <row r="684" spans="3:10" x14ac:dyDescent="0.25">
      <c r="C684" s="4"/>
      <c r="E684" s="4"/>
      <c r="H684" s="31" t="str">
        <f t="shared" si="20"/>
        <v/>
      </c>
      <c r="J684" t="b">
        <f t="shared" si="21"/>
        <v>0</v>
      </c>
    </row>
    <row r="685" spans="3:10" x14ac:dyDescent="0.25">
      <c r="C685" s="4"/>
      <c r="E685" s="4"/>
      <c r="H685" s="31" t="str">
        <f t="shared" si="20"/>
        <v/>
      </c>
      <c r="J685" t="b">
        <f t="shared" si="21"/>
        <v>0</v>
      </c>
    </row>
    <row r="686" spans="3:10" x14ac:dyDescent="0.25">
      <c r="C686" s="4"/>
      <c r="E686" s="4"/>
      <c r="H686" s="31" t="str">
        <f t="shared" si="20"/>
        <v/>
      </c>
      <c r="J686" t="b">
        <f t="shared" si="21"/>
        <v>0</v>
      </c>
    </row>
    <row r="687" spans="3:10" x14ac:dyDescent="0.25">
      <c r="C687" s="4"/>
      <c r="E687" s="4"/>
      <c r="H687" s="31" t="str">
        <f t="shared" si="20"/>
        <v/>
      </c>
      <c r="J687" t="b">
        <f t="shared" si="21"/>
        <v>0</v>
      </c>
    </row>
    <row r="688" spans="3:10" x14ac:dyDescent="0.25">
      <c r="C688" s="4"/>
      <c r="E688" s="4"/>
      <c r="H688" s="31" t="str">
        <f t="shared" si="20"/>
        <v/>
      </c>
      <c r="J688" t="b">
        <f t="shared" si="21"/>
        <v>0</v>
      </c>
    </row>
    <row r="689" spans="3:10" x14ac:dyDescent="0.25">
      <c r="C689" s="4"/>
      <c r="E689" s="4"/>
      <c r="H689" s="31" t="str">
        <f t="shared" si="20"/>
        <v/>
      </c>
      <c r="J689" t="b">
        <f t="shared" si="21"/>
        <v>0</v>
      </c>
    </row>
    <row r="690" spans="3:10" x14ac:dyDescent="0.25">
      <c r="C690" s="4"/>
      <c r="E690" s="4"/>
      <c r="H690" s="31" t="str">
        <f t="shared" si="20"/>
        <v/>
      </c>
      <c r="J690" t="b">
        <f t="shared" si="21"/>
        <v>0</v>
      </c>
    </row>
    <row r="691" spans="3:10" x14ac:dyDescent="0.25">
      <c r="C691" s="4"/>
      <c r="E691" s="4"/>
      <c r="H691" s="31" t="str">
        <f t="shared" si="20"/>
        <v/>
      </c>
      <c r="J691" t="b">
        <f t="shared" si="21"/>
        <v>0</v>
      </c>
    </row>
    <row r="692" spans="3:10" x14ac:dyDescent="0.25">
      <c r="C692" s="4"/>
      <c r="E692" s="4"/>
      <c r="H692" s="31" t="str">
        <f t="shared" si="20"/>
        <v/>
      </c>
      <c r="J692" t="b">
        <f t="shared" si="21"/>
        <v>0</v>
      </c>
    </row>
    <row r="693" spans="3:10" x14ac:dyDescent="0.25">
      <c r="C693" s="4"/>
      <c r="E693" s="4"/>
      <c r="H693" s="31" t="str">
        <f t="shared" si="20"/>
        <v/>
      </c>
      <c r="J693" t="b">
        <f t="shared" si="21"/>
        <v>0</v>
      </c>
    </row>
    <row r="694" spans="3:10" x14ac:dyDescent="0.25">
      <c r="C694" s="4"/>
      <c r="E694" s="4"/>
      <c r="H694" s="31" t="str">
        <f t="shared" si="20"/>
        <v/>
      </c>
      <c r="J694" t="b">
        <f t="shared" si="21"/>
        <v>0</v>
      </c>
    </row>
    <row r="695" spans="3:10" x14ac:dyDescent="0.25">
      <c r="C695" s="4"/>
      <c r="E695" s="4"/>
      <c r="H695" s="31" t="str">
        <f t="shared" si="20"/>
        <v/>
      </c>
      <c r="J695" t="b">
        <f t="shared" si="21"/>
        <v>0</v>
      </c>
    </row>
    <row r="696" spans="3:10" x14ac:dyDescent="0.25">
      <c r="C696" s="4"/>
      <c r="E696" s="4"/>
      <c r="H696" s="31" t="str">
        <f t="shared" si="20"/>
        <v/>
      </c>
      <c r="J696" t="b">
        <f t="shared" si="21"/>
        <v>0</v>
      </c>
    </row>
    <row r="697" spans="3:10" x14ac:dyDescent="0.25">
      <c r="C697" s="4"/>
      <c r="E697" s="4"/>
      <c r="H697" s="31" t="str">
        <f t="shared" si="20"/>
        <v/>
      </c>
      <c r="J697" t="b">
        <f t="shared" si="21"/>
        <v>0</v>
      </c>
    </row>
    <row r="698" spans="3:10" x14ac:dyDescent="0.25">
      <c r="C698" s="4"/>
      <c r="E698" s="4"/>
      <c r="H698" s="31" t="str">
        <f t="shared" si="20"/>
        <v/>
      </c>
      <c r="J698" t="b">
        <f t="shared" si="21"/>
        <v>0</v>
      </c>
    </row>
    <row r="699" spans="3:10" x14ac:dyDescent="0.25">
      <c r="C699" s="4"/>
      <c r="E699" s="4"/>
      <c r="H699" s="31" t="str">
        <f t="shared" si="20"/>
        <v/>
      </c>
      <c r="J699" t="b">
        <f t="shared" si="21"/>
        <v>0</v>
      </c>
    </row>
    <row r="700" spans="3:10" x14ac:dyDescent="0.25">
      <c r="C700" s="4"/>
      <c r="E700" s="4"/>
      <c r="H700" s="31" t="str">
        <f t="shared" si="20"/>
        <v/>
      </c>
      <c r="J700" t="b">
        <f t="shared" si="21"/>
        <v>0</v>
      </c>
    </row>
    <row r="701" spans="3:10" x14ac:dyDescent="0.25">
      <c r="C701" s="4"/>
      <c r="E701" s="4"/>
      <c r="H701" s="31" t="str">
        <f t="shared" si="20"/>
        <v/>
      </c>
      <c r="J701" t="b">
        <f t="shared" si="21"/>
        <v>0</v>
      </c>
    </row>
    <row r="702" spans="3:10" x14ac:dyDescent="0.25">
      <c r="C702" s="4"/>
      <c r="E702" s="4"/>
      <c r="H702" s="31" t="str">
        <f t="shared" si="20"/>
        <v/>
      </c>
      <c r="J702" t="b">
        <f t="shared" si="21"/>
        <v>0</v>
      </c>
    </row>
    <row r="703" spans="3:10" x14ac:dyDescent="0.25">
      <c r="C703" s="4"/>
      <c r="E703" s="4"/>
      <c r="H703" s="31" t="str">
        <f t="shared" si="20"/>
        <v/>
      </c>
      <c r="J703" t="b">
        <f t="shared" si="21"/>
        <v>0</v>
      </c>
    </row>
    <row r="704" spans="3:10" x14ac:dyDescent="0.25">
      <c r="C704" s="4"/>
      <c r="E704" s="4"/>
      <c r="H704" s="31" t="str">
        <f t="shared" si="20"/>
        <v/>
      </c>
      <c r="J704" t="b">
        <f t="shared" si="21"/>
        <v>0</v>
      </c>
    </row>
    <row r="705" spans="3:10" x14ac:dyDescent="0.25">
      <c r="C705" s="4"/>
      <c r="E705" s="4"/>
      <c r="H705" s="31" t="str">
        <f t="shared" si="20"/>
        <v/>
      </c>
      <c r="J705" t="b">
        <f t="shared" si="21"/>
        <v>0</v>
      </c>
    </row>
    <row r="706" spans="3:10" x14ac:dyDescent="0.25">
      <c r="C706" s="4"/>
      <c r="E706" s="4"/>
      <c r="H706" s="31" t="str">
        <f t="shared" si="20"/>
        <v/>
      </c>
      <c r="J706" t="b">
        <f t="shared" si="21"/>
        <v>0</v>
      </c>
    </row>
    <row r="707" spans="3:10" x14ac:dyDescent="0.25">
      <c r="C707" s="4"/>
      <c r="E707" s="4"/>
      <c r="H707" s="31" t="str">
        <f t="shared" si="20"/>
        <v/>
      </c>
      <c r="J707" t="b">
        <f t="shared" si="21"/>
        <v>0</v>
      </c>
    </row>
    <row r="708" spans="3:10" x14ac:dyDescent="0.25">
      <c r="C708" s="4"/>
      <c r="E708" s="4"/>
      <c r="H708" s="31" t="str">
        <f t="shared" ref="H708:H771" si="22">IF($J708=TRUE,"Il ne peut y avoir des valeurs dans les 2 méthodes",IF($D708="kg/l",$C708,IF($D708="g/l",$C708/1000,IF($D708="lb/gal US",$C708*0.454/3.785,IF($G708="kg/l",($E708/100)*$F708,IF($G708="g/l",($E708/100)*$F708/1000,IF($G708="lb/gal US",($E708/100)*$F708*0.454/3.785,"")))))))</f>
        <v/>
      </c>
      <c r="J708" t="b">
        <f t="shared" ref="J708:J771" si="23">IF(AND(OR($C708&lt;&gt;"",$D708&lt;&gt;""),OR($E708&lt;&gt;"",F708&lt;&gt;"",G708&lt;&gt;"")),TRUE,FALSE)</f>
        <v>0</v>
      </c>
    </row>
    <row r="709" spans="3:10" x14ac:dyDescent="0.25">
      <c r="C709" s="4"/>
      <c r="E709" s="4"/>
      <c r="H709" s="31" t="str">
        <f t="shared" si="22"/>
        <v/>
      </c>
      <c r="J709" t="b">
        <f t="shared" si="23"/>
        <v>0</v>
      </c>
    </row>
    <row r="710" spans="3:10" x14ac:dyDescent="0.25">
      <c r="C710" s="4"/>
      <c r="E710" s="4"/>
      <c r="H710" s="31" t="str">
        <f t="shared" si="22"/>
        <v/>
      </c>
      <c r="J710" t="b">
        <f t="shared" si="23"/>
        <v>0</v>
      </c>
    </row>
    <row r="711" spans="3:10" x14ac:dyDescent="0.25">
      <c r="C711" s="4"/>
      <c r="E711" s="4"/>
      <c r="H711" s="31" t="str">
        <f t="shared" si="22"/>
        <v/>
      </c>
      <c r="J711" t="b">
        <f t="shared" si="23"/>
        <v>0</v>
      </c>
    </row>
    <row r="712" spans="3:10" x14ac:dyDescent="0.25">
      <c r="C712" s="4"/>
      <c r="E712" s="4"/>
      <c r="H712" s="31" t="str">
        <f t="shared" si="22"/>
        <v/>
      </c>
      <c r="J712" t="b">
        <f t="shared" si="23"/>
        <v>0</v>
      </c>
    </row>
    <row r="713" spans="3:10" x14ac:dyDescent="0.25">
      <c r="C713" s="4"/>
      <c r="E713" s="4"/>
      <c r="H713" s="31" t="str">
        <f t="shared" si="22"/>
        <v/>
      </c>
      <c r="J713" t="b">
        <f t="shared" si="23"/>
        <v>0</v>
      </c>
    </row>
    <row r="714" spans="3:10" x14ac:dyDescent="0.25">
      <c r="C714" s="4"/>
      <c r="E714" s="4"/>
      <c r="H714" s="31" t="str">
        <f t="shared" si="22"/>
        <v/>
      </c>
      <c r="J714" t="b">
        <f t="shared" si="23"/>
        <v>0</v>
      </c>
    </row>
    <row r="715" spans="3:10" x14ac:dyDescent="0.25">
      <c r="C715" s="4"/>
      <c r="E715" s="4"/>
      <c r="H715" s="31" t="str">
        <f t="shared" si="22"/>
        <v/>
      </c>
      <c r="J715" t="b">
        <f t="shared" si="23"/>
        <v>0</v>
      </c>
    </row>
    <row r="716" spans="3:10" x14ac:dyDescent="0.25">
      <c r="C716" s="4"/>
      <c r="E716" s="4"/>
      <c r="H716" s="31" t="str">
        <f t="shared" si="22"/>
        <v/>
      </c>
      <c r="J716" t="b">
        <f t="shared" si="23"/>
        <v>0</v>
      </c>
    </row>
    <row r="717" spans="3:10" x14ac:dyDescent="0.25">
      <c r="C717" s="4"/>
      <c r="E717" s="4"/>
      <c r="H717" s="31" t="str">
        <f t="shared" si="22"/>
        <v/>
      </c>
      <c r="J717" t="b">
        <f t="shared" si="23"/>
        <v>0</v>
      </c>
    </row>
    <row r="718" spans="3:10" x14ac:dyDescent="0.25">
      <c r="C718" s="4"/>
      <c r="E718" s="4"/>
      <c r="H718" s="31" t="str">
        <f t="shared" si="22"/>
        <v/>
      </c>
      <c r="J718" t="b">
        <f t="shared" si="23"/>
        <v>0</v>
      </c>
    </row>
    <row r="719" spans="3:10" x14ac:dyDescent="0.25">
      <c r="C719" s="4"/>
      <c r="E719" s="4"/>
      <c r="H719" s="31" t="str">
        <f t="shared" si="22"/>
        <v/>
      </c>
      <c r="J719" t="b">
        <f t="shared" si="23"/>
        <v>0</v>
      </c>
    </row>
    <row r="720" spans="3:10" x14ac:dyDescent="0.25">
      <c r="C720" s="4"/>
      <c r="E720" s="4"/>
      <c r="H720" s="31" t="str">
        <f t="shared" si="22"/>
        <v/>
      </c>
      <c r="J720" t="b">
        <f t="shared" si="23"/>
        <v>0</v>
      </c>
    </row>
    <row r="721" spans="3:10" x14ac:dyDescent="0.25">
      <c r="C721" s="4"/>
      <c r="E721" s="4"/>
      <c r="H721" s="31" t="str">
        <f t="shared" si="22"/>
        <v/>
      </c>
      <c r="J721" t="b">
        <f t="shared" si="23"/>
        <v>0</v>
      </c>
    </row>
    <row r="722" spans="3:10" x14ac:dyDescent="0.25">
      <c r="C722" s="4"/>
      <c r="E722" s="4"/>
      <c r="H722" s="31" t="str">
        <f t="shared" si="22"/>
        <v/>
      </c>
      <c r="J722" t="b">
        <f t="shared" si="23"/>
        <v>0</v>
      </c>
    </row>
    <row r="723" spans="3:10" x14ac:dyDescent="0.25">
      <c r="C723" s="4"/>
      <c r="E723" s="4"/>
      <c r="H723" s="31" t="str">
        <f t="shared" si="22"/>
        <v/>
      </c>
      <c r="J723" t="b">
        <f t="shared" si="23"/>
        <v>0</v>
      </c>
    </row>
    <row r="724" spans="3:10" x14ac:dyDescent="0.25">
      <c r="C724" s="4"/>
      <c r="E724" s="4"/>
      <c r="H724" s="31" t="str">
        <f t="shared" si="22"/>
        <v/>
      </c>
      <c r="J724" t="b">
        <f t="shared" si="23"/>
        <v>0</v>
      </c>
    </row>
    <row r="725" spans="3:10" x14ac:dyDescent="0.25">
      <c r="C725" s="4"/>
      <c r="E725" s="4"/>
      <c r="H725" s="31" t="str">
        <f t="shared" si="22"/>
        <v/>
      </c>
      <c r="J725" t="b">
        <f t="shared" si="23"/>
        <v>0</v>
      </c>
    </row>
    <row r="726" spans="3:10" x14ac:dyDescent="0.25">
      <c r="C726" s="4"/>
      <c r="E726" s="4"/>
      <c r="H726" s="31" t="str">
        <f t="shared" si="22"/>
        <v/>
      </c>
      <c r="J726" t="b">
        <f t="shared" si="23"/>
        <v>0</v>
      </c>
    </row>
    <row r="727" spans="3:10" x14ac:dyDescent="0.25">
      <c r="C727" s="4"/>
      <c r="E727" s="4"/>
      <c r="H727" s="31" t="str">
        <f t="shared" si="22"/>
        <v/>
      </c>
      <c r="J727" t="b">
        <f t="shared" si="23"/>
        <v>0</v>
      </c>
    </row>
    <row r="728" spans="3:10" x14ac:dyDescent="0.25">
      <c r="C728" s="4"/>
      <c r="E728" s="4"/>
      <c r="H728" s="31" t="str">
        <f t="shared" si="22"/>
        <v/>
      </c>
      <c r="J728" t="b">
        <f t="shared" si="23"/>
        <v>0</v>
      </c>
    </row>
    <row r="729" spans="3:10" x14ac:dyDescent="0.25">
      <c r="C729" s="4"/>
      <c r="E729" s="4"/>
      <c r="H729" s="31" t="str">
        <f t="shared" si="22"/>
        <v/>
      </c>
      <c r="J729" t="b">
        <f t="shared" si="23"/>
        <v>0</v>
      </c>
    </row>
    <row r="730" spans="3:10" x14ac:dyDescent="0.25">
      <c r="C730" s="4"/>
      <c r="E730" s="4"/>
      <c r="H730" s="31" t="str">
        <f t="shared" si="22"/>
        <v/>
      </c>
      <c r="J730" t="b">
        <f t="shared" si="23"/>
        <v>0</v>
      </c>
    </row>
    <row r="731" spans="3:10" x14ac:dyDescent="0.25">
      <c r="C731" s="4"/>
      <c r="E731" s="4"/>
      <c r="H731" s="31" t="str">
        <f t="shared" si="22"/>
        <v/>
      </c>
      <c r="J731" t="b">
        <f t="shared" si="23"/>
        <v>0</v>
      </c>
    </row>
    <row r="732" spans="3:10" x14ac:dyDescent="0.25">
      <c r="C732" s="4"/>
      <c r="E732" s="4"/>
      <c r="H732" s="31" t="str">
        <f t="shared" si="22"/>
        <v/>
      </c>
      <c r="J732" t="b">
        <f t="shared" si="23"/>
        <v>0</v>
      </c>
    </row>
    <row r="733" spans="3:10" x14ac:dyDescent="0.25">
      <c r="C733" s="4"/>
      <c r="E733" s="4"/>
      <c r="H733" s="31" t="str">
        <f t="shared" si="22"/>
        <v/>
      </c>
      <c r="J733" t="b">
        <f t="shared" si="23"/>
        <v>0</v>
      </c>
    </row>
    <row r="734" spans="3:10" x14ac:dyDescent="0.25">
      <c r="C734" s="4"/>
      <c r="E734" s="4"/>
      <c r="H734" s="31" t="str">
        <f t="shared" si="22"/>
        <v/>
      </c>
      <c r="J734" t="b">
        <f t="shared" si="23"/>
        <v>0</v>
      </c>
    </row>
    <row r="735" spans="3:10" x14ac:dyDescent="0.25">
      <c r="C735" s="4"/>
      <c r="E735" s="4"/>
      <c r="H735" s="31" t="str">
        <f t="shared" si="22"/>
        <v/>
      </c>
      <c r="J735" t="b">
        <f t="shared" si="23"/>
        <v>0</v>
      </c>
    </row>
    <row r="736" spans="3:10" x14ac:dyDescent="0.25">
      <c r="C736" s="4"/>
      <c r="E736" s="4"/>
      <c r="H736" s="31" t="str">
        <f t="shared" si="22"/>
        <v/>
      </c>
      <c r="J736" t="b">
        <f t="shared" si="23"/>
        <v>0</v>
      </c>
    </row>
    <row r="737" spans="3:10" x14ac:dyDescent="0.25">
      <c r="C737" s="4"/>
      <c r="E737" s="4"/>
      <c r="H737" s="31" t="str">
        <f t="shared" si="22"/>
        <v/>
      </c>
      <c r="J737" t="b">
        <f t="shared" si="23"/>
        <v>0</v>
      </c>
    </row>
    <row r="738" spans="3:10" x14ac:dyDescent="0.25">
      <c r="C738" s="4"/>
      <c r="E738" s="4"/>
      <c r="H738" s="31" t="str">
        <f t="shared" si="22"/>
        <v/>
      </c>
      <c r="J738" t="b">
        <f t="shared" si="23"/>
        <v>0</v>
      </c>
    </row>
    <row r="739" spans="3:10" x14ac:dyDescent="0.25">
      <c r="C739" s="4"/>
      <c r="E739" s="4"/>
      <c r="H739" s="31" t="str">
        <f t="shared" si="22"/>
        <v/>
      </c>
      <c r="J739" t="b">
        <f t="shared" si="23"/>
        <v>0</v>
      </c>
    </row>
    <row r="740" spans="3:10" x14ac:dyDescent="0.25">
      <c r="C740" s="4"/>
      <c r="E740" s="4"/>
      <c r="H740" s="31" t="str">
        <f t="shared" si="22"/>
        <v/>
      </c>
      <c r="J740" t="b">
        <f t="shared" si="23"/>
        <v>0</v>
      </c>
    </row>
    <row r="741" spans="3:10" x14ac:dyDescent="0.25">
      <c r="C741" s="4"/>
      <c r="E741" s="4"/>
      <c r="H741" s="31" t="str">
        <f t="shared" si="22"/>
        <v/>
      </c>
      <c r="J741" t="b">
        <f t="shared" si="23"/>
        <v>0</v>
      </c>
    </row>
    <row r="742" spans="3:10" x14ac:dyDescent="0.25">
      <c r="C742" s="4"/>
      <c r="E742" s="4"/>
      <c r="H742" s="31" t="str">
        <f t="shared" si="22"/>
        <v/>
      </c>
      <c r="J742" t="b">
        <f t="shared" si="23"/>
        <v>0</v>
      </c>
    </row>
    <row r="743" spans="3:10" x14ac:dyDescent="0.25">
      <c r="C743" s="4"/>
      <c r="E743" s="4"/>
      <c r="H743" s="31" t="str">
        <f t="shared" si="22"/>
        <v/>
      </c>
      <c r="J743" t="b">
        <f t="shared" si="23"/>
        <v>0</v>
      </c>
    </row>
    <row r="744" spans="3:10" x14ac:dyDescent="0.25">
      <c r="C744" s="4"/>
      <c r="E744" s="4"/>
      <c r="H744" s="31" t="str">
        <f t="shared" si="22"/>
        <v/>
      </c>
      <c r="J744" t="b">
        <f t="shared" si="23"/>
        <v>0</v>
      </c>
    </row>
    <row r="745" spans="3:10" x14ac:dyDescent="0.25">
      <c r="C745" s="4"/>
      <c r="E745" s="4"/>
      <c r="H745" s="31" t="str">
        <f t="shared" si="22"/>
        <v/>
      </c>
      <c r="J745" t="b">
        <f t="shared" si="23"/>
        <v>0</v>
      </c>
    </row>
    <row r="746" spans="3:10" x14ac:dyDescent="0.25">
      <c r="C746" s="4"/>
      <c r="E746" s="4"/>
      <c r="H746" s="31" t="str">
        <f t="shared" si="22"/>
        <v/>
      </c>
      <c r="J746" t="b">
        <f t="shared" si="23"/>
        <v>0</v>
      </c>
    </row>
    <row r="747" spans="3:10" x14ac:dyDescent="0.25">
      <c r="C747" s="4"/>
      <c r="E747" s="4"/>
      <c r="H747" s="31" t="str">
        <f t="shared" si="22"/>
        <v/>
      </c>
      <c r="J747" t="b">
        <f t="shared" si="23"/>
        <v>0</v>
      </c>
    </row>
    <row r="748" spans="3:10" x14ac:dyDescent="0.25">
      <c r="C748" s="4"/>
      <c r="E748" s="4"/>
      <c r="H748" s="31" t="str">
        <f t="shared" si="22"/>
        <v/>
      </c>
      <c r="J748" t="b">
        <f t="shared" si="23"/>
        <v>0</v>
      </c>
    </row>
    <row r="749" spans="3:10" x14ac:dyDescent="0.25">
      <c r="C749" s="4"/>
      <c r="E749" s="4"/>
      <c r="H749" s="31" t="str">
        <f t="shared" si="22"/>
        <v/>
      </c>
      <c r="J749" t="b">
        <f t="shared" si="23"/>
        <v>0</v>
      </c>
    </row>
    <row r="750" spans="3:10" x14ac:dyDescent="0.25">
      <c r="C750" s="4"/>
      <c r="E750" s="4"/>
      <c r="H750" s="31" t="str">
        <f t="shared" si="22"/>
        <v/>
      </c>
      <c r="J750" t="b">
        <f t="shared" si="23"/>
        <v>0</v>
      </c>
    </row>
    <row r="751" spans="3:10" x14ac:dyDescent="0.25">
      <c r="C751" s="4"/>
      <c r="E751" s="4"/>
      <c r="H751" s="31" t="str">
        <f t="shared" si="22"/>
        <v/>
      </c>
      <c r="J751" t="b">
        <f t="shared" si="23"/>
        <v>0</v>
      </c>
    </row>
    <row r="752" spans="3:10" x14ac:dyDescent="0.25">
      <c r="C752" s="4"/>
      <c r="E752" s="4"/>
      <c r="H752" s="31" t="str">
        <f t="shared" si="22"/>
        <v/>
      </c>
      <c r="J752" t="b">
        <f t="shared" si="23"/>
        <v>0</v>
      </c>
    </row>
    <row r="753" spans="3:10" x14ac:dyDescent="0.25">
      <c r="C753" s="4"/>
      <c r="E753" s="4"/>
      <c r="H753" s="31" t="str">
        <f t="shared" si="22"/>
        <v/>
      </c>
      <c r="J753" t="b">
        <f t="shared" si="23"/>
        <v>0</v>
      </c>
    </row>
    <row r="754" spans="3:10" x14ac:dyDescent="0.25">
      <c r="C754" s="4"/>
      <c r="E754" s="4"/>
      <c r="H754" s="31" t="str">
        <f t="shared" si="22"/>
        <v/>
      </c>
      <c r="J754" t="b">
        <f t="shared" si="23"/>
        <v>0</v>
      </c>
    </row>
    <row r="755" spans="3:10" x14ac:dyDescent="0.25">
      <c r="C755" s="4"/>
      <c r="E755" s="4"/>
      <c r="H755" s="31" t="str">
        <f t="shared" si="22"/>
        <v/>
      </c>
      <c r="J755" t="b">
        <f t="shared" si="23"/>
        <v>0</v>
      </c>
    </row>
    <row r="756" spans="3:10" x14ac:dyDescent="0.25">
      <c r="C756" s="4"/>
      <c r="E756" s="4"/>
      <c r="H756" s="31" t="str">
        <f t="shared" si="22"/>
        <v/>
      </c>
      <c r="J756" t="b">
        <f t="shared" si="23"/>
        <v>0</v>
      </c>
    </row>
    <row r="757" spans="3:10" x14ac:dyDescent="0.25">
      <c r="C757" s="4"/>
      <c r="E757" s="4"/>
      <c r="H757" s="31" t="str">
        <f t="shared" si="22"/>
        <v/>
      </c>
      <c r="J757" t="b">
        <f t="shared" si="23"/>
        <v>0</v>
      </c>
    </row>
    <row r="758" spans="3:10" x14ac:dyDescent="0.25">
      <c r="C758" s="4"/>
      <c r="E758" s="4"/>
      <c r="H758" s="31" t="str">
        <f t="shared" si="22"/>
        <v/>
      </c>
      <c r="J758" t="b">
        <f t="shared" si="23"/>
        <v>0</v>
      </c>
    </row>
    <row r="759" spans="3:10" x14ac:dyDescent="0.25">
      <c r="C759" s="4"/>
      <c r="E759" s="4"/>
      <c r="H759" s="31" t="str">
        <f t="shared" si="22"/>
        <v/>
      </c>
      <c r="J759" t="b">
        <f t="shared" si="23"/>
        <v>0</v>
      </c>
    </row>
    <row r="760" spans="3:10" x14ac:dyDescent="0.25">
      <c r="C760" s="4"/>
      <c r="E760" s="4"/>
      <c r="H760" s="31" t="str">
        <f t="shared" si="22"/>
        <v/>
      </c>
      <c r="J760" t="b">
        <f t="shared" si="23"/>
        <v>0</v>
      </c>
    </row>
    <row r="761" spans="3:10" x14ac:dyDescent="0.25">
      <c r="C761" s="4"/>
      <c r="E761" s="4"/>
      <c r="H761" s="31" t="str">
        <f t="shared" si="22"/>
        <v/>
      </c>
      <c r="J761" t="b">
        <f t="shared" si="23"/>
        <v>0</v>
      </c>
    </row>
    <row r="762" spans="3:10" x14ac:dyDescent="0.25">
      <c r="C762" s="4"/>
      <c r="E762" s="4"/>
      <c r="H762" s="31" t="str">
        <f t="shared" si="22"/>
        <v/>
      </c>
      <c r="J762" t="b">
        <f t="shared" si="23"/>
        <v>0</v>
      </c>
    </row>
    <row r="763" spans="3:10" x14ac:dyDescent="0.25">
      <c r="C763" s="4"/>
      <c r="E763" s="4"/>
      <c r="H763" s="31" t="str">
        <f t="shared" si="22"/>
        <v/>
      </c>
      <c r="J763" t="b">
        <f t="shared" si="23"/>
        <v>0</v>
      </c>
    </row>
    <row r="764" spans="3:10" x14ac:dyDescent="0.25">
      <c r="C764" s="4"/>
      <c r="E764" s="4"/>
      <c r="H764" s="31" t="str">
        <f t="shared" si="22"/>
        <v/>
      </c>
      <c r="J764" t="b">
        <f t="shared" si="23"/>
        <v>0</v>
      </c>
    </row>
    <row r="765" spans="3:10" x14ac:dyDescent="0.25">
      <c r="C765" s="4"/>
      <c r="E765" s="4"/>
      <c r="H765" s="31" t="str">
        <f t="shared" si="22"/>
        <v/>
      </c>
      <c r="J765" t="b">
        <f t="shared" si="23"/>
        <v>0</v>
      </c>
    </row>
    <row r="766" spans="3:10" x14ac:dyDescent="0.25">
      <c r="C766" s="4"/>
      <c r="E766" s="4"/>
      <c r="H766" s="31" t="str">
        <f t="shared" si="22"/>
        <v/>
      </c>
      <c r="J766" t="b">
        <f t="shared" si="23"/>
        <v>0</v>
      </c>
    </row>
    <row r="767" spans="3:10" x14ac:dyDescent="0.25">
      <c r="C767" s="4"/>
      <c r="E767" s="4"/>
      <c r="H767" s="31" t="str">
        <f t="shared" si="22"/>
        <v/>
      </c>
      <c r="J767" t="b">
        <f t="shared" si="23"/>
        <v>0</v>
      </c>
    </row>
    <row r="768" spans="3:10" x14ac:dyDescent="0.25">
      <c r="C768" s="4"/>
      <c r="E768" s="4"/>
      <c r="H768" s="31" t="str">
        <f t="shared" si="22"/>
        <v/>
      </c>
      <c r="J768" t="b">
        <f t="shared" si="23"/>
        <v>0</v>
      </c>
    </row>
    <row r="769" spans="3:10" x14ac:dyDescent="0.25">
      <c r="C769" s="4"/>
      <c r="E769" s="4"/>
      <c r="H769" s="31" t="str">
        <f t="shared" si="22"/>
        <v/>
      </c>
      <c r="J769" t="b">
        <f t="shared" si="23"/>
        <v>0</v>
      </c>
    </row>
    <row r="770" spans="3:10" x14ac:dyDescent="0.25">
      <c r="C770" s="4"/>
      <c r="E770" s="4"/>
      <c r="H770" s="31" t="str">
        <f t="shared" si="22"/>
        <v/>
      </c>
      <c r="J770" t="b">
        <f t="shared" si="23"/>
        <v>0</v>
      </c>
    </row>
    <row r="771" spans="3:10" x14ac:dyDescent="0.25">
      <c r="C771" s="4"/>
      <c r="E771" s="4"/>
      <c r="H771" s="31" t="str">
        <f t="shared" si="22"/>
        <v/>
      </c>
      <c r="J771" t="b">
        <f t="shared" si="23"/>
        <v>0</v>
      </c>
    </row>
    <row r="772" spans="3:10" x14ac:dyDescent="0.25">
      <c r="C772" s="4"/>
      <c r="E772" s="4"/>
      <c r="H772" s="31" t="str">
        <f t="shared" ref="H772:H835" si="24">IF($J772=TRUE,"Il ne peut y avoir des valeurs dans les 2 méthodes",IF($D772="kg/l",$C772,IF($D772="g/l",$C772/1000,IF($D772="lb/gal US",$C772*0.454/3.785,IF($G772="kg/l",($E772/100)*$F772,IF($G772="g/l",($E772/100)*$F772/1000,IF($G772="lb/gal US",($E772/100)*$F772*0.454/3.785,"")))))))</f>
        <v/>
      </c>
      <c r="J772" t="b">
        <f t="shared" ref="J772:J835" si="25">IF(AND(OR($C772&lt;&gt;"",$D772&lt;&gt;""),OR($E772&lt;&gt;"",F772&lt;&gt;"",G772&lt;&gt;"")),TRUE,FALSE)</f>
        <v>0</v>
      </c>
    </row>
    <row r="773" spans="3:10" x14ac:dyDescent="0.25">
      <c r="C773" s="4"/>
      <c r="E773" s="4"/>
      <c r="H773" s="31" t="str">
        <f t="shared" si="24"/>
        <v/>
      </c>
      <c r="J773" t="b">
        <f t="shared" si="25"/>
        <v>0</v>
      </c>
    </row>
    <row r="774" spans="3:10" x14ac:dyDescent="0.25">
      <c r="C774" s="4"/>
      <c r="E774" s="4"/>
      <c r="H774" s="31" t="str">
        <f t="shared" si="24"/>
        <v/>
      </c>
      <c r="J774" t="b">
        <f t="shared" si="25"/>
        <v>0</v>
      </c>
    </row>
    <row r="775" spans="3:10" x14ac:dyDescent="0.25">
      <c r="C775" s="4"/>
      <c r="E775" s="4"/>
      <c r="H775" s="31" t="str">
        <f t="shared" si="24"/>
        <v/>
      </c>
      <c r="J775" t="b">
        <f t="shared" si="25"/>
        <v>0</v>
      </c>
    </row>
    <row r="776" spans="3:10" x14ac:dyDescent="0.25">
      <c r="C776" s="4"/>
      <c r="E776" s="4"/>
      <c r="H776" s="31" t="str">
        <f t="shared" si="24"/>
        <v/>
      </c>
      <c r="J776" t="b">
        <f t="shared" si="25"/>
        <v>0</v>
      </c>
    </row>
    <row r="777" spans="3:10" x14ac:dyDescent="0.25">
      <c r="C777" s="4"/>
      <c r="E777" s="4"/>
      <c r="H777" s="31" t="str">
        <f t="shared" si="24"/>
        <v/>
      </c>
      <c r="J777" t="b">
        <f t="shared" si="25"/>
        <v>0</v>
      </c>
    </row>
    <row r="778" spans="3:10" x14ac:dyDescent="0.25">
      <c r="C778" s="4"/>
      <c r="E778" s="4"/>
      <c r="H778" s="31" t="str">
        <f t="shared" si="24"/>
        <v/>
      </c>
      <c r="J778" t="b">
        <f t="shared" si="25"/>
        <v>0</v>
      </c>
    </row>
    <row r="779" spans="3:10" x14ac:dyDescent="0.25">
      <c r="C779" s="4"/>
      <c r="E779" s="4"/>
      <c r="H779" s="31" t="str">
        <f t="shared" si="24"/>
        <v/>
      </c>
      <c r="J779" t="b">
        <f t="shared" si="25"/>
        <v>0</v>
      </c>
    </row>
    <row r="780" spans="3:10" x14ac:dyDescent="0.25">
      <c r="C780" s="4"/>
      <c r="E780" s="4"/>
      <c r="H780" s="31" t="str">
        <f t="shared" si="24"/>
        <v/>
      </c>
      <c r="J780" t="b">
        <f t="shared" si="25"/>
        <v>0</v>
      </c>
    </row>
    <row r="781" spans="3:10" x14ac:dyDescent="0.25">
      <c r="C781" s="4"/>
      <c r="E781" s="4"/>
      <c r="H781" s="31" t="str">
        <f t="shared" si="24"/>
        <v/>
      </c>
      <c r="J781" t="b">
        <f t="shared" si="25"/>
        <v>0</v>
      </c>
    </row>
    <row r="782" spans="3:10" x14ac:dyDescent="0.25">
      <c r="C782" s="4"/>
      <c r="E782" s="4"/>
      <c r="H782" s="31" t="str">
        <f t="shared" si="24"/>
        <v/>
      </c>
      <c r="J782" t="b">
        <f t="shared" si="25"/>
        <v>0</v>
      </c>
    </row>
    <row r="783" spans="3:10" x14ac:dyDescent="0.25">
      <c r="C783" s="4"/>
      <c r="E783" s="4"/>
      <c r="H783" s="31" t="str">
        <f t="shared" si="24"/>
        <v/>
      </c>
      <c r="J783" t="b">
        <f t="shared" si="25"/>
        <v>0</v>
      </c>
    </row>
    <row r="784" spans="3:10" x14ac:dyDescent="0.25">
      <c r="C784" s="4"/>
      <c r="E784" s="4"/>
      <c r="H784" s="31" t="str">
        <f t="shared" si="24"/>
        <v/>
      </c>
      <c r="J784" t="b">
        <f t="shared" si="25"/>
        <v>0</v>
      </c>
    </row>
    <row r="785" spans="3:10" x14ac:dyDescent="0.25">
      <c r="C785" s="4"/>
      <c r="E785" s="4"/>
      <c r="H785" s="31" t="str">
        <f t="shared" si="24"/>
        <v/>
      </c>
      <c r="J785" t="b">
        <f t="shared" si="25"/>
        <v>0</v>
      </c>
    </row>
    <row r="786" spans="3:10" x14ac:dyDescent="0.25">
      <c r="C786" s="4"/>
      <c r="E786" s="4"/>
      <c r="H786" s="31" t="str">
        <f t="shared" si="24"/>
        <v/>
      </c>
      <c r="J786" t="b">
        <f t="shared" si="25"/>
        <v>0</v>
      </c>
    </row>
    <row r="787" spans="3:10" x14ac:dyDescent="0.25">
      <c r="C787" s="4"/>
      <c r="E787" s="4"/>
      <c r="H787" s="31" t="str">
        <f t="shared" si="24"/>
        <v/>
      </c>
      <c r="J787" t="b">
        <f t="shared" si="25"/>
        <v>0</v>
      </c>
    </row>
    <row r="788" spans="3:10" x14ac:dyDescent="0.25">
      <c r="C788" s="4"/>
      <c r="E788" s="4"/>
      <c r="H788" s="31" t="str">
        <f t="shared" si="24"/>
        <v/>
      </c>
      <c r="J788" t="b">
        <f t="shared" si="25"/>
        <v>0</v>
      </c>
    </row>
    <row r="789" spans="3:10" x14ac:dyDescent="0.25">
      <c r="C789" s="4"/>
      <c r="E789" s="4"/>
      <c r="H789" s="31" t="str">
        <f t="shared" si="24"/>
        <v/>
      </c>
      <c r="J789" t="b">
        <f t="shared" si="25"/>
        <v>0</v>
      </c>
    </row>
    <row r="790" spans="3:10" x14ac:dyDescent="0.25">
      <c r="C790" s="4"/>
      <c r="E790" s="4"/>
      <c r="H790" s="31" t="str">
        <f t="shared" si="24"/>
        <v/>
      </c>
      <c r="J790" t="b">
        <f t="shared" si="25"/>
        <v>0</v>
      </c>
    </row>
    <row r="791" spans="3:10" x14ac:dyDescent="0.25">
      <c r="C791" s="4"/>
      <c r="E791" s="4"/>
      <c r="H791" s="31" t="str">
        <f t="shared" si="24"/>
        <v/>
      </c>
      <c r="J791" t="b">
        <f t="shared" si="25"/>
        <v>0</v>
      </c>
    </row>
    <row r="792" spans="3:10" x14ac:dyDescent="0.25">
      <c r="C792" s="4"/>
      <c r="E792" s="4"/>
      <c r="H792" s="31" t="str">
        <f t="shared" si="24"/>
        <v/>
      </c>
      <c r="J792" t="b">
        <f t="shared" si="25"/>
        <v>0</v>
      </c>
    </row>
    <row r="793" spans="3:10" x14ac:dyDescent="0.25">
      <c r="C793" s="4"/>
      <c r="E793" s="4"/>
      <c r="H793" s="31" t="str">
        <f t="shared" si="24"/>
        <v/>
      </c>
      <c r="J793" t="b">
        <f t="shared" si="25"/>
        <v>0</v>
      </c>
    </row>
    <row r="794" spans="3:10" x14ac:dyDescent="0.25">
      <c r="C794" s="4"/>
      <c r="E794" s="4"/>
      <c r="H794" s="31" t="str">
        <f t="shared" si="24"/>
        <v/>
      </c>
      <c r="J794" t="b">
        <f t="shared" si="25"/>
        <v>0</v>
      </c>
    </row>
    <row r="795" spans="3:10" x14ac:dyDescent="0.25">
      <c r="C795" s="4"/>
      <c r="E795" s="4"/>
      <c r="H795" s="31" t="str">
        <f t="shared" si="24"/>
        <v/>
      </c>
      <c r="J795" t="b">
        <f t="shared" si="25"/>
        <v>0</v>
      </c>
    </row>
    <row r="796" spans="3:10" x14ac:dyDescent="0.25">
      <c r="C796" s="4"/>
      <c r="E796" s="4"/>
      <c r="H796" s="31" t="str">
        <f t="shared" si="24"/>
        <v/>
      </c>
      <c r="J796" t="b">
        <f t="shared" si="25"/>
        <v>0</v>
      </c>
    </row>
    <row r="797" spans="3:10" x14ac:dyDescent="0.25">
      <c r="C797" s="4"/>
      <c r="E797" s="4"/>
      <c r="H797" s="31" t="str">
        <f t="shared" si="24"/>
        <v/>
      </c>
      <c r="J797" t="b">
        <f t="shared" si="25"/>
        <v>0</v>
      </c>
    </row>
    <row r="798" spans="3:10" x14ac:dyDescent="0.25">
      <c r="C798" s="4"/>
      <c r="E798" s="4"/>
      <c r="H798" s="31" t="str">
        <f t="shared" si="24"/>
        <v/>
      </c>
      <c r="J798" t="b">
        <f t="shared" si="25"/>
        <v>0</v>
      </c>
    </row>
    <row r="799" spans="3:10" x14ac:dyDescent="0.25">
      <c r="C799" s="4"/>
      <c r="E799" s="4"/>
      <c r="H799" s="31" t="str">
        <f t="shared" si="24"/>
        <v/>
      </c>
      <c r="J799" t="b">
        <f t="shared" si="25"/>
        <v>0</v>
      </c>
    </row>
    <row r="800" spans="3:10" x14ac:dyDescent="0.25">
      <c r="C800" s="4"/>
      <c r="E800" s="4"/>
      <c r="H800" s="31" t="str">
        <f t="shared" si="24"/>
        <v/>
      </c>
      <c r="J800" t="b">
        <f t="shared" si="25"/>
        <v>0</v>
      </c>
    </row>
    <row r="801" spans="3:10" x14ac:dyDescent="0.25">
      <c r="C801" s="4"/>
      <c r="E801" s="4"/>
      <c r="H801" s="31" t="str">
        <f t="shared" si="24"/>
        <v/>
      </c>
      <c r="J801" t="b">
        <f t="shared" si="25"/>
        <v>0</v>
      </c>
    </row>
    <row r="802" spans="3:10" x14ac:dyDescent="0.25">
      <c r="C802" s="4"/>
      <c r="E802" s="4"/>
      <c r="H802" s="31" t="str">
        <f t="shared" si="24"/>
        <v/>
      </c>
      <c r="J802" t="b">
        <f t="shared" si="25"/>
        <v>0</v>
      </c>
    </row>
    <row r="803" spans="3:10" x14ac:dyDescent="0.25">
      <c r="C803" s="4"/>
      <c r="E803" s="4"/>
      <c r="H803" s="31" t="str">
        <f t="shared" si="24"/>
        <v/>
      </c>
      <c r="J803" t="b">
        <f t="shared" si="25"/>
        <v>0</v>
      </c>
    </row>
    <row r="804" spans="3:10" x14ac:dyDescent="0.25">
      <c r="C804" s="4"/>
      <c r="E804" s="4"/>
      <c r="H804" s="31" t="str">
        <f t="shared" si="24"/>
        <v/>
      </c>
      <c r="J804" t="b">
        <f t="shared" si="25"/>
        <v>0</v>
      </c>
    </row>
    <row r="805" spans="3:10" x14ac:dyDescent="0.25">
      <c r="C805" s="4"/>
      <c r="E805" s="4"/>
      <c r="H805" s="31" t="str">
        <f t="shared" si="24"/>
        <v/>
      </c>
      <c r="J805" t="b">
        <f t="shared" si="25"/>
        <v>0</v>
      </c>
    </row>
    <row r="806" spans="3:10" x14ac:dyDescent="0.25">
      <c r="C806" s="4"/>
      <c r="E806" s="4"/>
      <c r="H806" s="31" t="str">
        <f t="shared" si="24"/>
        <v/>
      </c>
      <c r="J806" t="b">
        <f t="shared" si="25"/>
        <v>0</v>
      </c>
    </row>
    <row r="807" spans="3:10" x14ac:dyDescent="0.25">
      <c r="C807" s="4"/>
      <c r="E807" s="4"/>
      <c r="H807" s="31" t="str">
        <f t="shared" si="24"/>
        <v/>
      </c>
      <c r="J807" t="b">
        <f t="shared" si="25"/>
        <v>0</v>
      </c>
    </row>
    <row r="808" spans="3:10" x14ac:dyDescent="0.25">
      <c r="C808" s="4"/>
      <c r="E808" s="4"/>
      <c r="H808" s="31" t="str">
        <f t="shared" si="24"/>
        <v/>
      </c>
      <c r="J808" t="b">
        <f t="shared" si="25"/>
        <v>0</v>
      </c>
    </row>
    <row r="809" spans="3:10" x14ac:dyDescent="0.25">
      <c r="C809" s="4"/>
      <c r="E809" s="4"/>
      <c r="H809" s="31" t="str">
        <f t="shared" si="24"/>
        <v/>
      </c>
      <c r="J809" t="b">
        <f t="shared" si="25"/>
        <v>0</v>
      </c>
    </row>
    <row r="810" spans="3:10" x14ac:dyDescent="0.25">
      <c r="C810" s="4"/>
      <c r="E810" s="4"/>
      <c r="H810" s="31" t="str">
        <f t="shared" si="24"/>
        <v/>
      </c>
      <c r="J810" t="b">
        <f t="shared" si="25"/>
        <v>0</v>
      </c>
    </row>
    <row r="811" spans="3:10" x14ac:dyDescent="0.25">
      <c r="C811" s="4"/>
      <c r="E811" s="4"/>
      <c r="H811" s="31" t="str">
        <f t="shared" si="24"/>
        <v/>
      </c>
      <c r="J811" t="b">
        <f t="shared" si="25"/>
        <v>0</v>
      </c>
    </row>
    <row r="812" spans="3:10" x14ac:dyDescent="0.25">
      <c r="C812" s="4"/>
      <c r="E812" s="4"/>
      <c r="H812" s="31" t="str">
        <f t="shared" si="24"/>
        <v/>
      </c>
      <c r="J812" t="b">
        <f t="shared" si="25"/>
        <v>0</v>
      </c>
    </row>
    <row r="813" spans="3:10" x14ac:dyDescent="0.25">
      <c r="C813" s="4"/>
      <c r="E813" s="4"/>
      <c r="H813" s="31" t="str">
        <f t="shared" si="24"/>
        <v/>
      </c>
      <c r="J813" t="b">
        <f t="shared" si="25"/>
        <v>0</v>
      </c>
    </row>
    <row r="814" spans="3:10" x14ac:dyDescent="0.25">
      <c r="C814" s="4"/>
      <c r="E814" s="4"/>
      <c r="H814" s="31" t="str">
        <f t="shared" si="24"/>
        <v/>
      </c>
      <c r="J814" t="b">
        <f t="shared" si="25"/>
        <v>0</v>
      </c>
    </row>
    <row r="815" spans="3:10" x14ac:dyDescent="0.25">
      <c r="C815" s="4"/>
      <c r="E815" s="4"/>
      <c r="H815" s="31" t="str">
        <f t="shared" si="24"/>
        <v/>
      </c>
      <c r="J815" t="b">
        <f t="shared" si="25"/>
        <v>0</v>
      </c>
    </row>
    <row r="816" spans="3:10" x14ac:dyDescent="0.25">
      <c r="C816" s="4"/>
      <c r="E816" s="4"/>
      <c r="H816" s="31" t="str">
        <f t="shared" si="24"/>
        <v/>
      </c>
      <c r="J816" t="b">
        <f t="shared" si="25"/>
        <v>0</v>
      </c>
    </row>
    <row r="817" spans="3:10" x14ac:dyDescent="0.25">
      <c r="C817" s="4"/>
      <c r="E817" s="4"/>
      <c r="H817" s="31" t="str">
        <f t="shared" si="24"/>
        <v/>
      </c>
      <c r="J817" t="b">
        <f t="shared" si="25"/>
        <v>0</v>
      </c>
    </row>
    <row r="818" spans="3:10" x14ac:dyDescent="0.25">
      <c r="C818" s="4"/>
      <c r="E818" s="4"/>
      <c r="H818" s="31" t="str">
        <f t="shared" si="24"/>
        <v/>
      </c>
      <c r="J818" t="b">
        <f t="shared" si="25"/>
        <v>0</v>
      </c>
    </row>
    <row r="819" spans="3:10" x14ac:dyDescent="0.25">
      <c r="C819" s="4"/>
      <c r="E819" s="4"/>
      <c r="H819" s="31" t="str">
        <f t="shared" si="24"/>
        <v/>
      </c>
      <c r="J819" t="b">
        <f t="shared" si="25"/>
        <v>0</v>
      </c>
    </row>
    <row r="820" spans="3:10" x14ac:dyDescent="0.25">
      <c r="C820" s="4"/>
      <c r="E820" s="4"/>
      <c r="H820" s="31" t="str">
        <f t="shared" si="24"/>
        <v/>
      </c>
      <c r="J820" t="b">
        <f t="shared" si="25"/>
        <v>0</v>
      </c>
    </row>
    <row r="821" spans="3:10" x14ac:dyDescent="0.25">
      <c r="C821" s="4"/>
      <c r="E821" s="4"/>
      <c r="H821" s="31" t="str">
        <f t="shared" si="24"/>
        <v/>
      </c>
      <c r="J821" t="b">
        <f t="shared" si="25"/>
        <v>0</v>
      </c>
    </row>
    <row r="822" spans="3:10" x14ac:dyDescent="0.25">
      <c r="C822" s="4"/>
      <c r="E822" s="4"/>
      <c r="H822" s="31" t="str">
        <f t="shared" si="24"/>
        <v/>
      </c>
      <c r="J822" t="b">
        <f t="shared" si="25"/>
        <v>0</v>
      </c>
    </row>
    <row r="823" spans="3:10" x14ac:dyDescent="0.25">
      <c r="C823" s="4"/>
      <c r="E823" s="4"/>
      <c r="H823" s="31" t="str">
        <f t="shared" si="24"/>
        <v/>
      </c>
      <c r="J823" t="b">
        <f t="shared" si="25"/>
        <v>0</v>
      </c>
    </row>
    <row r="824" spans="3:10" x14ac:dyDescent="0.25">
      <c r="C824" s="4"/>
      <c r="E824" s="4"/>
      <c r="H824" s="31" t="str">
        <f t="shared" si="24"/>
        <v/>
      </c>
      <c r="J824" t="b">
        <f t="shared" si="25"/>
        <v>0</v>
      </c>
    </row>
    <row r="825" spans="3:10" x14ac:dyDescent="0.25">
      <c r="C825" s="4"/>
      <c r="E825" s="4"/>
      <c r="H825" s="31" t="str">
        <f t="shared" si="24"/>
        <v/>
      </c>
      <c r="J825" t="b">
        <f t="shared" si="25"/>
        <v>0</v>
      </c>
    </row>
    <row r="826" spans="3:10" x14ac:dyDescent="0.25">
      <c r="C826" s="4"/>
      <c r="E826" s="4"/>
      <c r="H826" s="31" t="str">
        <f t="shared" si="24"/>
        <v/>
      </c>
      <c r="J826" t="b">
        <f t="shared" si="25"/>
        <v>0</v>
      </c>
    </row>
    <row r="827" spans="3:10" x14ac:dyDescent="0.25">
      <c r="C827" s="4"/>
      <c r="E827" s="4"/>
      <c r="H827" s="31" t="str">
        <f t="shared" si="24"/>
        <v/>
      </c>
      <c r="J827" t="b">
        <f t="shared" si="25"/>
        <v>0</v>
      </c>
    </row>
    <row r="828" spans="3:10" x14ac:dyDescent="0.25">
      <c r="C828" s="4"/>
      <c r="E828" s="4"/>
      <c r="H828" s="31" t="str">
        <f t="shared" si="24"/>
        <v/>
      </c>
      <c r="J828" t="b">
        <f t="shared" si="25"/>
        <v>0</v>
      </c>
    </row>
    <row r="829" spans="3:10" x14ac:dyDescent="0.25">
      <c r="C829" s="4"/>
      <c r="E829" s="4"/>
      <c r="H829" s="31" t="str">
        <f t="shared" si="24"/>
        <v/>
      </c>
      <c r="J829" t="b">
        <f t="shared" si="25"/>
        <v>0</v>
      </c>
    </row>
    <row r="830" spans="3:10" x14ac:dyDescent="0.25">
      <c r="C830" s="4"/>
      <c r="E830" s="4"/>
      <c r="H830" s="31" t="str">
        <f t="shared" si="24"/>
        <v/>
      </c>
      <c r="J830" t="b">
        <f t="shared" si="25"/>
        <v>0</v>
      </c>
    </row>
    <row r="831" spans="3:10" x14ac:dyDescent="0.25">
      <c r="C831" s="4"/>
      <c r="E831" s="4"/>
      <c r="H831" s="31" t="str">
        <f t="shared" si="24"/>
        <v/>
      </c>
      <c r="J831" t="b">
        <f t="shared" si="25"/>
        <v>0</v>
      </c>
    </row>
    <row r="832" spans="3:10" x14ac:dyDescent="0.25">
      <c r="C832" s="4"/>
      <c r="E832" s="4"/>
      <c r="H832" s="31" t="str">
        <f t="shared" si="24"/>
        <v/>
      </c>
      <c r="J832" t="b">
        <f t="shared" si="25"/>
        <v>0</v>
      </c>
    </row>
    <row r="833" spans="3:10" x14ac:dyDescent="0.25">
      <c r="C833" s="4"/>
      <c r="E833" s="4"/>
      <c r="H833" s="31" t="str">
        <f t="shared" si="24"/>
        <v/>
      </c>
      <c r="J833" t="b">
        <f t="shared" si="25"/>
        <v>0</v>
      </c>
    </row>
    <row r="834" spans="3:10" x14ac:dyDescent="0.25">
      <c r="C834" s="4"/>
      <c r="E834" s="4"/>
      <c r="H834" s="31" t="str">
        <f t="shared" si="24"/>
        <v/>
      </c>
      <c r="J834" t="b">
        <f t="shared" si="25"/>
        <v>0</v>
      </c>
    </row>
    <row r="835" spans="3:10" x14ac:dyDescent="0.25">
      <c r="C835" s="4"/>
      <c r="E835" s="4"/>
      <c r="H835" s="31" t="str">
        <f t="shared" si="24"/>
        <v/>
      </c>
      <c r="J835" t="b">
        <f t="shared" si="25"/>
        <v>0</v>
      </c>
    </row>
    <row r="836" spans="3:10" x14ac:dyDescent="0.25">
      <c r="C836" s="4"/>
      <c r="E836" s="4"/>
      <c r="H836" s="31" t="str">
        <f t="shared" ref="H836:H899" si="26">IF($J836=TRUE,"Il ne peut y avoir des valeurs dans les 2 méthodes",IF($D836="kg/l",$C836,IF($D836="g/l",$C836/1000,IF($D836="lb/gal US",$C836*0.454/3.785,IF($G836="kg/l",($E836/100)*$F836,IF($G836="g/l",($E836/100)*$F836/1000,IF($G836="lb/gal US",($E836/100)*$F836*0.454/3.785,"")))))))</f>
        <v/>
      </c>
      <c r="J836" t="b">
        <f t="shared" ref="J836:J899" si="27">IF(AND(OR($C836&lt;&gt;"",$D836&lt;&gt;""),OR($E836&lt;&gt;"",F836&lt;&gt;"",G836&lt;&gt;"")),TRUE,FALSE)</f>
        <v>0</v>
      </c>
    </row>
    <row r="837" spans="3:10" x14ac:dyDescent="0.25">
      <c r="C837" s="4"/>
      <c r="E837" s="4"/>
      <c r="H837" s="31" t="str">
        <f t="shared" si="26"/>
        <v/>
      </c>
      <c r="J837" t="b">
        <f t="shared" si="27"/>
        <v>0</v>
      </c>
    </row>
    <row r="838" spans="3:10" x14ac:dyDescent="0.25">
      <c r="C838" s="4"/>
      <c r="E838" s="4"/>
      <c r="H838" s="31" t="str">
        <f t="shared" si="26"/>
        <v/>
      </c>
      <c r="J838" t="b">
        <f t="shared" si="27"/>
        <v>0</v>
      </c>
    </row>
    <row r="839" spans="3:10" x14ac:dyDescent="0.25">
      <c r="C839" s="4"/>
      <c r="E839" s="4"/>
      <c r="H839" s="31" t="str">
        <f t="shared" si="26"/>
        <v/>
      </c>
      <c r="J839" t="b">
        <f t="shared" si="27"/>
        <v>0</v>
      </c>
    </row>
    <row r="840" spans="3:10" x14ac:dyDescent="0.25">
      <c r="C840" s="4"/>
      <c r="E840" s="4"/>
      <c r="H840" s="31" t="str">
        <f t="shared" si="26"/>
        <v/>
      </c>
      <c r="J840" t="b">
        <f t="shared" si="27"/>
        <v>0</v>
      </c>
    </row>
    <row r="841" spans="3:10" x14ac:dyDescent="0.25">
      <c r="C841" s="4"/>
      <c r="E841" s="4"/>
      <c r="H841" s="31" t="str">
        <f t="shared" si="26"/>
        <v/>
      </c>
      <c r="J841" t="b">
        <f t="shared" si="27"/>
        <v>0</v>
      </c>
    </row>
    <row r="842" spans="3:10" x14ac:dyDescent="0.25">
      <c r="C842" s="4"/>
      <c r="E842" s="4"/>
      <c r="H842" s="31" t="str">
        <f t="shared" si="26"/>
        <v/>
      </c>
      <c r="J842" t="b">
        <f t="shared" si="27"/>
        <v>0</v>
      </c>
    </row>
    <row r="843" spans="3:10" x14ac:dyDescent="0.25">
      <c r="C843" s="4"/>
      <c r="E843" s="4"/>
      <c r="H843" s="31" t="str">
        <f t="shared" si="26"/>
        <v/>
      </c>
      <c r="J843" t="b">
        <f t="shared" si="27"/>
        <v>0</v>
      </c>
    </row>
    <row r="844" spans="3:10" x14ac:dyDescent="0.25">
      <c r="C844" s="4"/>
      <c r="E844" s="4"/>
      <c r="H844" s="31" t="str">
        <f t="shared" si="26"/>
        <v/>
      </c>
      <c r="J844" t="b">
        <f t="shared" si="27"/>
        <v>0</v>
      </c>
    </row>
    <row r="845" spans="3:10" x14ac:dyDescent="0.25">
      <c r="C845" s="4"/>
      <c r="E845" s="4"/>
      <c r="H845" s="31" t="str">
        <f t="shared" si="26"/>
        <v/>
      </c>
      <c r="J845" t="b">
        <f t="shared" si="27"/>
        <v>0</v>
      </c>
    </row>
    <row r="846" spans="3:10" x14ac:dyDescent="0.25">
      <c r="C846" s="4"/>
      <c r="E846" s="4"/>
      <c r="H846" s="31" t="str">
        <f t="shared" si="26"/>
        <v/>
      </c>
      <c r="J846" t="b">
        <f t="shared" si="27"/>
        <v>0</v>
      </c>
    </row>
    <row r="847" spans="3:10" x14ac:dyDescent="0.25">
      <c r="C847" s="4"/>
      <c r="E847" s="4"/>
      <c r="H847" s="31" t="str">
        <f t="shared" si="26"/>
        <v/>
      </c>
      <c r="J847" t="b">
        <f t="shared" si="27"/>
        <v>0</v>
      </c>
    </row>
    <row r="848" spans="3:10" x14ac:dyDescent="0.25">
      <c r="C848" s="4"/>
      <c r="E848" s="4"/>
      <c r="H848" s="31" t="str">
        <f t="shared" si="26"/>
        <v/>
      </c>
      <c r="J848" t="b">
        <f t="shared" si="27"/>
        <v>0</v>
      </c>
    </row>
    <row r="849" spans="3:10" x14ac:dyDescent="0.25">
      <c r="C849" s="4"/>
      <c r="E849" s="4"/>
      <c r="H849" s="31" t="str">
        <f t="shared" si="26"/>
        <v/>
      </c>
      <c r="J849" t="b">
        <f t="shared" si="27"/>
        <v>0</v>
      </c>
    </row>
    <row r="850" spans="3:10" x14ac:dyDescent="0.25">
      <c r="C850" s="4"/>
      <c r="E850" s="4"/>
      <c r="H850" s="31" t="str">
        <f t="shared" si="26"/>
        <v/>
      </c>
      <c r="J850" t="b">
        <f t="shared" si="27"/>
        <v>0</v>
      </c>
    </row>
    <row r="851" spans="3:10" x14ac:dyDescent="0.25">
      <c r="C851" s="4"/>
      <c r="E851" s="4"/>
      <c r="H851" s="31" t="str">
        <f t="shared" si="26"/>
        <v/>
      </c>
      <c r="J851" t="b">
        <f t="shared" si="27"/>
        <v>0</v>
      </c>
    </row>
    <row r="852" spans="3:10" x14ac:dyDescent="0.25">
      <c r="C852" s="4"/>
      <c r="E852" s="4"/>
      <c r="H852" s="31" t="str">
        <f t="shared" si="26"/>
        <v/>
      </c>
      <c r="J852" t="b">
        <f t="shared" si="27"/>
        <v>0</v>
      </c>
    </row>
    <row r="853" spans="3:10" x14ac:dyDescent="0.25">
      <c r="C853" s="4"/>
      <c r="E853" s="4"/>
      <c r="H853" s="31" t="str">
        <f t="shared" si="26"/>
        <v/>
      </c>
      <c r="J853" t="b">
        <f t="shared" si="27"/>
        <v>0</v>
      </c>
    </row>
    <row r="854" spans="3:10" x14ac:dyDescent="0.25">
      <c r="C854" s="4"/>
      <c r="E854" s="4"/>
      <c r="H854" s="31" t="str">
        <f t="shared" si="26"/>
        <v/>
      </c>
      <c r="J854" t="b">
        <f t="shared" si="27"/>
        <v>0</v>
      </c>
    </row>
    <row r="855" spans="3:10" x14ac:dyDescent="0.25">
      <c r="C855" s="4"/>
      <c r="E855" s="4"/>
      <c r="H855" s="31" t="str">
        <f t="shared" si="26"/>
        <v/>
      </c>
      <c r="J855" t="b">
        <f t="shared" si="27"/>
        <v>0</v>
      </c>
    </row>
    <row r="856" spans="3:10" x14ac:dyDescent="0.25">
      <c r="C856" s="4"/>
      <c r="E856" s="4"/>
      <c r="H856" s="31" t="str">
        <f t="shared" si="26"/>
        <v/>
      </c>
      <c r="J856" t="b">
        <f t="shared" si="27"/>
        <v>0</v>
      </c>
    </row>
    <row r="857" spans="3:10" x14ac:dyDescent="0.25">
      <c r="C857" s="4"/>
      <c r="E857" s="4"/>
      <c r="H857" s="31" t="str">
        <f t="shared" si="26"/>
        <v/>
      </c>
      <c r="J857" t="b">
        <f t="shared" si="27"/>
        <v>0</v>
      </c>
    </row>
    <row r="858" spans="3:10" x14ac:dyDescent="0.25">
      <c r="C858" s="4"/>
      <c r="E858" s="4"/>
      <c r="H858" s="31" t="str">
        <f t="shared" si="26"/>
        <v/>
      </c>
      <c r="J858" t="b">
        <f t="shared" si="27"/>
        <v>0</v>
      </c>
    </row>
    <row r="859" spans="3:10" x14ac:dyDescent="0.25">
      <c r="C859" s="4"/>
      <c r="E859" s="4"/>
      <c r="H859" s="31" t="str">
        <f t="shared" si="26"/>
        <v/>
      </c>
      <c r="J859" t="b">
        <f t="shared" si="27"/>
        <v>0</v>
      </c>
    </row>
    <row r="860" spans="3:10" x14ac:dyDescent="0.25">
      <c r="C860" s="4"/>
      <c r="E860" s="4"/>
      <c r="H860" s="31" t="str">
        <f t="shared" si="26"/>
        <v/>
      </c>
      <c r="J860" t="b">
        <f t="shared" si="27"/>
        <v>0</v>
      </c>
    </row>
    <row r="861" spans="3:10" x14ac:dyDescent="0.25">
      <c r="C861" s="4"/>
      <c r="E861" s="4"/>
      <c r="H861" s="31" t="str">
        <f t="shared" si="26"/>
        <v/>
      </c>
      <c r="J861" t="b">
        <f t="shared" si="27"/>
        <v>0</v>
      </c>
    </row>
    <row r="862" spans="3:10" x14ac:dyDescent="0.25">
      <c r="C862" s="4"/>
      <c r="E862" s="4"/>
      <c r="H862" s="31" t="str">
        <f t="shared" si="26"/>
        <v/>
      </c>
      <c r="J862" t="b">
        <f t="shared" si="27"/>
        <v>0</v>
      </c>
    </row>
    <row r="863" spans="3:10" x14ac:dyDescent="0.25">
      <c r="C863" s="4"/>
      <c r="E863" s="4"/>
      <c r="H863" s="31" t="str">
        <f t="shared" si="26"/>
        <v/>
      </c>
      <c r="J863" t="b">
        <f t="shared" si="27"/>
        <v>0</v>
      </c>
    </row>
    <row r="864" spans="3:10" x14ac:dyDescent="0.25">
      <c r="C864" s="4"/>
      <c r="E864" s="4"/>
      <c r="H864" s="31" t="str">
        <f t="shared" si="26"/>
        <v/>
      </c>
      <c r="J864" t="b">
        <f t="shared" si="27"/>
        <v>0</v>
      </c>
    </row>
    <row r="865" spans="3:10" x14ac:dyDescent="0.25">
      <c r="C865" s="4"/>
      <c r="E865" s="4"/>
      <c r="H865" s="31" t="str">
        <f t="shared" si="26"/>
        <v/>
      </c>
      <c r="J865" t="b">
        <f t="shared" si="27"/>
        <v>0</v>
      </c>
    </row>
    <row r="866" spans="3:10" x14ac:dyDescent="0.25">
      <c r="C866" s="4"/>
      <c r="E866" s="4"/>
      <c r="H866" s="31" t="str">
        <f t="shared" si="26"/>
        <v/>
      </c>
      <c r="J866" t="b">
        <f t="shared" si="27"/>
        <v>0</v>
      </c>
    </row>
    <row r="867" spans="3:10" x14ac:dyDescent="0.25">
      <c r="C867" s="4"/>
      <c r="E867" s="4"/>
      <c r="H867" s="31" t="str">
        <f t="shared" si="26"/>
        <v/>
      </c>
      <c r="J867" t="b">
        <f t="shared" si="27"/>
        <v>0</v>
      </c>
    </row>
    <row r="868" spans="3:10" x14ac:dyDescent="0.25">
      <c r="C868" s="4"/>
      <c r="E868" s="4"/>
      <c r="H868" s="31" t="str">
        <f t="shared" si="26"/>
        <v/>
      </c>
      <c r="J868" t="b">
        <f t="shared" si="27"/>
        <v>0</v>
      </c>
    </row>
    <row r="869" spans="3:10" x14ac:dyDescent="0.25">
      <c r="C869" s="4"/>
      <c r="E869" s="4"/>
      <c r="H869" s="31" t="str">
        <f t="shared" si="26"/>
        <v/>
      </c>
      <c r="J869" t="b">
        <f t="shared" si="27"/>
        <v>0</v>
      </c>
    </row>
    <row r="870" spans="3:10" x14ac:dyDescent="0.25">
      <c r="C870" s="4"/>
      <c r="E870" s="4"/>
      <c r="H870" s="31" t="str">
        <f t="shared" si="26"/>
        <v/>
      </c>
      <c r="J870" t="b">
        <f t="shared" si="27"/>
        <v>0</v>
      </c>
    </row>
    <row r="871" spans="3:10" x14ac:dyDescent="0.25">
      <c r="C871" s="4"/>
      <c r="E871" s="4"/>
      <c r="H871" s="31" t="str">
        <f t="shared" si="26"/>
        <v/>
      </c>
      <c r="J871" t="b">
        <f t="shared" si="27"/>
        <v>0</v>
      </c>
    </row>
    <row r="872" spans="3:10" x14ac:dyDescent="0.25">
      <c r="C872" s="4"/>
      <c r="E872" s="4"/>
      <c r="H872" s="31" t="str">
        <f t="shared" si="26"/>
        <v/>
      </c>
      <c r="J872" t="b">
        <f t="shared" si="27"/>
        <v>0</v>
      </c>
    </row>
    <row r="873" spans="3:10" x14ac:dyDescent="0.25">
      <c r="C873" s="4"/>
      <c r="E873" s="4"/>
      <c r="H873" s="31" t="str">
        <f t="shared" si="26"/>
        <v/>
      </c>
      <c r="J873" t="b">
        <f t="shared" si="27"/>
        <v>0</v>
      </c>
    </row>
    <row r="874" spans="3:10" x14ac:dyDescent="0.25">
      <c r="C874" s="4"/>
      <c r="E874" s="4"/>
      <c r="H874" s="31" t="str">
        <f t="shared" si="26"/>
        <v/>
      </c>
      <c r="J874" t="b">
        <f t="shared" si="27"/>
        <v>0</v>
      </c>
    </row>
    <row r="875" spans="3:10" x14ac:dyDescent="0.25">
      <c r="C875" s="4"/>
      <c r="E875" s="4"/>
      <c r="H875" s="31" t="str">
        <f t="shared" si="26"/>
        <v/>
      </c>
      <c r="J875" t="b">
        <f t="shared" si="27"/>
        <v>0</v>
      </c>
    </row>
    <row r="876" spans="3:10" x14ac:dyDescent="0.25">
      <c r="C876" s="4"/>
      <c r="E876" s="4"/>
      <c r="H876" s="31" t="str">
        <f t="shared" si="26"/>
        <v/>
      </c>
      <c r="J876" t="b">
        <f t="shared" si="27"/>
        <v>0</v>
      </c>
    </row>
    <row r="877" spans="3:10" x14ac:dyDescent="0.25">
      <c r="C877" s="4"/>
      <c r="E877" s="4"/>
      <c r="H877" s="31" t="str">
        <f t="shared" si="26"/>
        <v/>
      </c>
      <c r="J877" t="b">
        <f t="shared" si="27"/>
        <v>0</v>
      </c>
    </row>
    <row r="878" spans="3:10" x14ac:dyDescent="0.25">
      <c r="C878" s="4"/>
      <c r="E878" s="4"/>
      <c r="H878" s="31" t="str">
        <f t="shared" si="26"/>
        <v/>
      </c>
      <c r="J878" t="b">
        <f t="shared" si="27"/>
        <v>0</v>
      </c>
    </row>
    <row r="879" spans="3:10" x14ac:dyDescent="0.25">
      <c r="C879" s="4"/>
      <c r="E879" s="4"/>
      <c r="H879" s="31" t="str">
        <f t="shared" si="26"/>
        <v/>
      </c>
      <c r="J879" t="b">
        <f t="shared" si="27"/>
        <v>0</v>
      </c>
    </row>
    <row r="880" spans="3:10" x14ac:dyDescent="0.25">
      <c r="C880" s="4"/>
      <c r="E880" s="4"/>
      <c r="H880" s="31" t="str">
        <f t="shared" si="26"/>
        <v/>
      </c>
      <c r="J880" t="b">
        <f t="shared" si="27"/>
        <v>0</v>
      </c>
    </row>
    <row r="881" spans="3:10" x14ac:dyDescent="0.25">
      <c r="C881" s="4"/>
      <c r="E881" s="4"/>
      <c r="H881" s="31" t="str">
        <f t="shared" si="26"/>
        <v/>
      </c>
      <c r="J881" t="b">
        <f t="shared" si="27"/>
        <v>0</v>
      </c>
    </row>
    <row r="882" spans="3:10" x14ac:dyDescent="0.25">
      <c r="C882" s="4"/>
      <c r="E882" s="4"/>
      <c r="H882" s="31" t="str">
        <f t="shared" si="26"/>
        <v/>
      </c>
      <c r="J882" t="b">
        <f t="shared" si="27"/>
        <v>0</v>
      </c>
    </row>
    <row r="883" spans="3:10" x14ac:dyDescent="0.25">
      <c r="C883" s="4"/>
      <c r="E883" s="4"/>
      <c r="H883" s="31" t="str">
        <f t="shared" si="26"/>
        <v/>
      </c>
      <c r="J883" t="b">
        <f t="shared" si="27"/>
        <v>0</v>
      </c>
    </row>
    <row r="884" spans="3:10" x14ac:dyDescent="0.25">
      <c r="C884" s="4"/>
      <c r="E884" s="4"/>
      <c r="H884" s="31" t="str">
        <f t="shared" si="26"/>
        <v/>
      </c>
      <c r="J884" t="b">
        <f t="shared" si="27"/>
        <v>0</v>
      </c>
    </row>
    <row r="885" spans="3:10" x14ac:dyDescent="0.25">
      <c r="C885" s="4"/>
      <c r="E885" s="4"/>
      <c r="H885" s="31" t="str">
        <f t="shared" si="26"/>
        <v/>
      </c>
      <c r="J885" t="b">
        <f t="shared" si="27"/>
        <v>0</v>
      </c>
    </row>
    <row r="886" spans="3:10" x14ac:dyDescent="0.25">
      <c r="C886" s="4"/>
      <c r="E886" s="4"/>
      <c r="H886" s="31" t="str">
        <f t="shared" si="26"/>
        <v/>
      </c>
      <c r="J886" t="b">
        <f t="shared" si="27"/>
        <v>0</v>
      </c>
    </row>
    <row r="887" spans="3:10" x14ac:dyDescent="0.25">
      <c r="C887" s="4"/>
      <c r="E887" s="4"/>
      <c r="H887" s="31" t="str">
        <f t="shared" si="26"/>
        <v/>
      </c>
      <c r="J887" t="b">
        <f t="shared" si="27"/>
        <v>0</v>
      </c>
    </row>
    <row r="888" spans="3:10" x14ac:dyDescent="0.25">
      <c r="C888" s="4"/>
      <c r="E888" s="4"/>
      <c r="H888" s="31" t="str">
        <f t="shared" si="26"/>
        <v/>
      </c>
      <c r="J888" t="b">
        <f t="shared" si="27"/>
        <v>0</v>
      </c>
    </row>
    <row r="889" spans="3:10" x14ac:dyDescent="0.25">
      <c r="C889" s="4"/>
      <c r="E889" s="4"/>
      <c r="H889" s="31" t="str">
        <f t="shared" si="26"/>
        <v/>
      </c>
      <c r="J889" t="b">
        <f t="shared" si="27"/>
        <v>0</v>
      </c>
    </row>
    <row r="890" spans="3:10" x14ac:dyDescent="0.25">
      <c r="C890" s="4"/>
      <c r="E890" s="4"/>
      <c r="H890" s="31" t="str">
        <f t="shared" si="26"/>
        <v/>
      </c>
      <c r="J890" t="b">
        <f t="shared" si="27"/>
        <v>0</v>
      </c>
    </row>
    <row r="891" spans="3:10" x14ac:dyDescent="0.25">
      <c r="C891" s="4"/>
      <c r="E891" s="4"/>
      <c r="H891" s="31" t="str">
        <f t="shared" si="26"/>
        <v/>
      </c>
      <c r="J891" t="b">
        <f t="shared" si="27"/>
        <v>0</v>
      </c>
    </row>
    <row r="892" spans="3:10" x14ac:dyDescent="0.25">
      <c r="C892" s="4"/>
      <c r="E892" s="4"/>
      <c r="H892" s="31" t="str">
        <f t="shared" si="26"/>
        <v/>
      </c>
      <c r="J892" t="b">
        <f t="shared" si="27"/>
        <v>0</v>
      </c>
    </row>
    <row r="893" spans="3:10" x14ac:dyDescent="0.25">
      <c r="C893" s="4"/>
      <c r="E893" s="4"/>
      <c r="H893" s="31" t="str">
        <f t="shared" si="26"/>
        <v/>
      </c>
      <c r="J893" t="b">
        <f t="shared" si="27"/>
        <v>0</v>
      </c>
    </row>
    <row r="894" spans="3:10" x14ac:dyDescent="0.25">
      <c r="C894" s="4"/>
      <c r="E894" s="4"/>
      <c r="H894" s="31" t="str">
        <f t="shared" si="26"/>
        <v/>
      </c>
      <c r="J894" t="b">
        <f t="shared" si="27"/>
        <v>0</v>
      </c>
    </row>
    <row r="895" spans="3:10" x14ac:dyDescent="0.25">
      <c r="C895" s="4"/>
      <c r="E895" s="4"/>
      <c r="H895" s="31" t="str">
        <f t="shared" si="26"/>
        <v/>
      </c>
      <c r="J895" t="b">
        <f t="shared" si="27"/>
        <v>0</v>
      </c>
    </row>
    <row r="896" spans="3:10" x14ac:dyDescent="0.25">
      <c r="C896" s="4"/>
      <c r="E896" s="4"/>
      <c r="H896" s="31" t="str">
        <f t="shared" si="26"/>
        <v/>
      </c>
      <c r="J896" t="b">
        <f t="shared" si="27"/>
        <v>0</v>
      </c>
    </row>
    <row r="897" spans="3:10" x14ac:dyDescent="0.25">
      <c r="C897" s="4"/>
      <c r="E897" s="4"/>
      <c r="H897" s="31" t="str">
        <f t="shared" si="26"/>
        <v/>
      </c>
      <c r="J897" t="b">
        <f t="shared" si="27"/>
        <v>0</v>
      </c>
    </row>
    <row r="898" spans="3:10" x14ac:dyDescent="0.25">
      <c r="C898" s="4"/>
      <c r="E898" s="4"/>
      <c r="H898" s="31" t="str">
        <f t="shared" si="26"/>
        <v/>
      </c>
      <c r="J898" t="b">
        <f t="shared" si="27"/>
        <v>0</v>
      </c>
    </row>
    <row r="899" spans="3:10" x14ac:dyDescent="0.25">
      <c r="C899" s="4"/>
      <c r="E899" s="4"/>
      <c r="H899" s="31" t="str">
        <f t="shared" si="26"/>
        <v/>
      </c>
      <c r="J899" t="b">
        <f t="shared" si="27"/>
        <v>0</v>
      </c>
    </row>
    <row r="900" spans="3:10" x14ac:dyDescent="0.25">
      <c r="C900" s="4"/>
      <c r="E900" s="4"/>
      <c r="H900" s="31" t="str">
        <f t="shared" ref="H900:H963" si="28">IF($J900=TRUE,"Il ne peut y avoir des valeurs dans les 2 méthodes",IF($D900="kg/l",$C900,IF($D900="g/l",$C900/1000,IF($D900="lb/gal US",$C900*0.454/3.785,IF($G900="kg/l",($E900/100)*$F900,IF($G900="g/l",($E900/100)*$F900/1000,IF($G900="lb/gal US",($E900/100)*$F900*0.454/3.785,"")))))))</f>
        <v/>
      </c>
      <c r="J900" t="b">
        <f t="shared" ref="J900:J963" si="29">IF(AND(OR($C900&lt;&gt;"",$D900&lt;&gt;""),OR($E900&lt;&gt;"",F900&lt;&gt;"",G900&lt;&gt;"")),TRUE,FALSE)</f>
        <v>0</v>
      </c>
    </row>
    <row r="901" spans="3:10" x14ac:dyDescent="0.25">
      <c r="C901" s="4"/>
      <c r="E901" s="4"/>
      <c r="H901" s="31" t="str">
        <f t="shared" si="28"/>
        <v/>
      </c>
      <c r="J901" t="b">
        <f t="shared" si="29"/>
        <v>0</v>
      </c>
    </row>
    <row r="902" spans="3:10" x14ac:dyDescent="0.25">
      <c r="C902" s="4"/>
      <c r="E902" s="4"/>
      <c r="H902" s="31" t="str">
        <f t="shared" si="28"/>
        <v/>
      </c>
      <c r="J902" t="b">
        <f t="shared" si="29"/>
        <v>0</v>
      </c>
    </row>
    <row r="903" spans="3:10" x14ac:dyDescent="0.25">
      <c r="C903" s="4"/>
      <c r="E903" s="4"/>
      <c r="H903" s="31" t="str">
        <f t="shared" si="28"/>
        <v/>
      </c>
      <c r="J903" t="b">
        <f t="shared" si="29"/>
        <v>0</v>
      </c>
    </row>
    <row r="904" spans="3:10" x14ac:dyDescent="0.25">
      <c r="C904" s="4"/>
      <c r="E904" s="4"/>
      <c r="H904" s="31" t="str">
        <f t="shared" si="28"/>
        <v/>
      </c>
      <c r="J904" t="b">
        <f t="shared" si="29"/>
        <v>0</v>
      </c>
    </row>
    <row r="905" spans="3:10" x14ac:dyDescent="0.25">
      <c r="C905" s="4"/>
      <c r="E905" s="4"/>
      <c r="H905" s="31" t="str">
        <f t="shared" si="28"/>
        <v/>
      </c>
      <c r="J905" t="b">
        <f t="shared" si="29"/>
        <v>0</v>
      </c>
    </row>
    <row r="906" spans="3:10" x14ac:dyDescent="0.25">
      <c r="C906" s="4"/>
      <c r="E906" s="4"/>
      <c r="H906" s="31" t="str">
        <f t="shared" si="28"/>
        <v/>
      </c>
      <c r="J906" t="b">
        <f t="shared" si="29"/>
        <v>0</v>
      </c>
    </row>
    <row r="907" spans="3:10" x14ac:dyDescent="0.25">
      <c r="C907" s="4"/>
      <c r="E907" s="4"/>
      <c r="H907" s="31" t="str">
        <f t="shared" si="28"/>
        <v/>
      </c>
      <c r="J907" t="b">
        <f t="shared" si="29"/>
        <v>0</v>
      </c>
    </row>
    <row r="908" spans="3:10" x14ac:dyDescent="0.25">
      <c r="C908" s="4"/>
      <c r="E908" s="4"/>
      <c r="H908" s="31" t="str">
        <f t="shared" si="28"/>
        <v/>
      </c>
      <c r="J908" t="b">
        <f t="shared" si="29"/>
        <v>0</v>
      </c>
    </row>
    <row r="909" spans="3:10" x14ac:dyDescent="0.25">
      <c r="C909" s="4"/>
      <c r="E909" s="4"/>
      <c r="H909" s="31" t="str">
        <f t="shared" si="28"/>
        <v/>
      </c>
      <c r="J909" t="b">
        <f t="shared" si="29"/>
        <v>0</v>
      </c>
    </row>
    <row r="910" spans="3:10" x14ac:dyDescent="0.25">
      <c r="C910" s="4"/>
      <c r="E910" s="4"/>
      <c r="H910" s="31" t="str">
        <f t="shared" si="28"/>
        <v/>
      </c>
      <c r="J910" t="b">
        <f t="shared" si="29"/>
        <v>0</v>
      </c>
    </row>
    <row r="911" spans="3:10" x14ac:dyDescent="0.25">
      <c r="C911" s="4"/>
      <c r="E911" s="4"/>
      <c r="H911" s="31" t="str">
        <f t="shared" si="28"/>
        <v/>
      </c>
      <c r="J911" t="b">
        <f t="shared" si="29"/>
        <v>0</v>
      </c>
    </row>
    <row r="912" spans="3:10" x14ac:dyDescent="0.25">
      <c r="C912" s="4"/>
      <c r="E912" s="4"/>
      <c r="H912" s="31" t="str">
        <f t="shared" si="28"/>
        <v/>
      </c>
      <c r="J912" t="b">
        <f t="shared" si="29"/>
        <v>0</v>
      </c>
    </row>
    <row r="913" spans="3:10" x14ac:dyDescent="0.25">
      <c r="C913" s="4"/>
      <c r="E913" s="4"/>
      <c r="H913" s="31" t="str">
        <f t="shared" si="28"/>
        <v/>
      </c>
      <c r="J913" t="b">
        <f t="shared" si="29"/>
        <v>0</v>
      </c>
    </row>
    <row r="914" spans="3:10" x14ac:dyDescent="0.25">
      <c r="C914" s="4"/>
      <c r="E914" s="4"/>
      <c r="H914" s="31" t="str">
        <f t="shared" si="28"/>
        <v/>
      </c>
      <c r="J914" t="b">
        <f t="shared" si="29"/>
        <v>0</v>
      </c>
    </row>
    <row r="915" spans="3:10" x14ac:dyDescent="0.25">
      <c r="C915" s="4"/>
      <c r="E915" s="4"/>
      <c r="H915" s="31" t="str">
        <f t="shared" si="28"/>
        <v/>
      </c>
      <c r="J915" t="b">
        <f t="shared" si="29"/>
        <v>0</v>
      </c>
    </row>
    <row r="916" spans="3:10" x14ac:dyDescent="0.25">
      <c r="C916" s="4"/>
      <c r="E916" s="4"/>
      <c r="H916" s="31" t="str">
        <f t="shared" si="28"/>
        <v/>
      </c>
      <c r="J916" t="b">
        <f t="shared" si="29"/>
        <v>0</v>
      </c>
    </row>
    <row r="917" spans="3:10" x14ac:dyDescent="0.25">
      <c r="C917" s="4"/>
      <c r="E917" s="4"/>
      <c r="H917" s="31" t="str">
        <f t="shared" si="28"/>
        <v/>
      </c>
      <c r="J917" t="b">
        <f t="shared" si="29"/>
        <v>0</v>
      </c>
    </row>
    <row r="918" spans="3:10" x14ac:dyDescent="0.25">
      <c r="C918" s="4"/>
      <c r="E918" s="4"/>
      <c r="H918" s="31" t="str">
        <f t="shared" si="28"/>
        <v/>
      </c>
      <c r="J918" t="b">
        <f t="shared" si="29"/>
        <v>0</v>
      </c>
    </row>
    <row r="919" spans="3:10" x14ac:dyDescent="0.25">
      <c r="C919" s="4"/>
      <c r="E919" s="4"/>
      <c r="H919" s="31" t="str">
        <f t="shared" si="28"/>
        <v/>
      </c>
      <c r="J919" t="b">
        <f t="shared" si="29"/>
        <v>0</v>
      </c>
    </row>
    <row r="920" spans="3:10" x14ac:dyDescent="0.25">
      <c r="C920" s="4"/>
      <c r="E920" s="4"/>
      <c r="H920" s="31" t="str">
        <f t="shared" si="28"/>
        <v/>
      </c>
      <c r="J920" t="b">
        <f t="shared" si="29"/>
        <v>0</v>
      </c>
    </row>
    <row r="921" spans="3:10" x14ac:dyDescent="0.25">
      <c r="C921" s="4"/>
      <c r="E921" s="4"/>
      <c r="H921" s="31" t="str">
        <f t="shared" si="28"/>
        <v/>
      </c>
      <c r="J921" t="b">
        <f t="shared" si="29"/>
        <v>0</v>
      </c>
    </row>
    <row r="922" spans="3:10" x14ac:dyDescent="0.25">
      <c r="C922" s="4"/>
      <c r="E922" s="4"/>
      <c r="H922" s="31" t="str">
        <f t="shared" si="28"/>
        <v/>
      </c>
      <c r="J922" t="b">
        <f t="shared" si="29"/>
        <v>0</v>
      </c>
    </row>
    <row r="923" spans="3:10" x14ac:dyDescent="0.25">
      <c r="C923" s="4"/>
      <c r="E923" s="4"/>
      <c r="H923" s="31" t="str">
        <f t="shared" si="28"/>
        <v/>
      </c>
      <c r="J923" t="b">
        <f t="shared" si="29"/>
        <v>0</v>
      </c>
    </row>
    <row r="924" spans="3:10" x14ac:dyDescent="0.25">
      <c r="C924" s="4"/>
      <c r="E924" s="4"/>
      <c r="H924" s="31" t="str">
        <f t="shared" si="28"/>
        <v/>
      </c>
      <c r="J924" t="b">
        <f t="shared" si="29"/>
        <v>0</v>
      </c>
    </row>
    <row r="925" spans="3:10" x14ac:dyDescent="0.25">
      <c r="C925" s="4"/>
      <c r="E925" s="4"/>
      <c r="H925" s="31" t="str">
        <f t="shared" si="28"/>
        <v/>
      </c>
      <c r="J925" t="b">
        <f t="shared" si="29"/>
        <v>0</v>
      </c>
    </row>
    <row r="926" spans="3:10" x14ac:dyDescent="0.25">
      <c r="C926" s="4"/>
      <c r="E926" s="4"/>
      <c r="H926" s="31" t="str">
        <f t="shared" si="28"/>
        <v/>
      </c>
      <c r="J926" t="b">
        <f t="shared" si="29"/>
        <v>0</v>
      </c>
    </row>
    <row r="927" spans="3:10" x14ac:dyDescent="0.25">
      <c r="C927" s="4"/>
      <c r="E927" s="4"/>
      <c r="H927" s="31" t="str">
        <f t="shared" si="28"/>
        <v/>
      </c>
      <c r="J927" t="b">
        <f t="shared" si="29"/>
        <v>0</v>
      </c>
    </row>
    <row r="928" spans="3:10" x14ac:dyDescent="0.25">
      <c r="C928" s="4"/>
      <c r="E928" s="4"/>
      <c r="H928" s="31" t="str">
        <f t="shared" si="28"/>
        <v/>
      </c>
      <c r="J928" t="b">
        <f t="shared" si="29"/>
        <v>0</v>
      </c>
    </row>
    <row r="929" spans="3:10" x14ac:dyDescent="0.25">
      <c r="C929" s="4"/>
      <c r="E929" s="4"/>
      <c r="H929" s="31" t="str">
        <f t="shared" si="28"/>
        <v/>
      </c>
      <c r="J929" t="b">
        <f t="shared" si="29"/>
        <v>0</v>
      </c>
    </row>
    <row r="930" spans="3:10" x14ac:dyDescent="0.25">
      <c r="C930" s="4"/>
      <c r="E930" s="4"/>
      <c r="H930" s="31" t="str">
        <f t="shared" si="28"/>
        <v/>
      </c>
      <c r="J930" t="b">
        <f t="shared" si="29"/>
        <v>0</v>
      </c>
    </row>
    <row r="931" spans="3:10" x14ac:dyDescent="0.25">
      <c r="C931" s="4"/>
      <c r="E931" s="4"/>
      <c r="H931" s="31" t="str">
        <f t="shared" si="28"/>
        <v/>
      </c>
      <c r="J931" t="b">
        <f t="shared" si="29"/>
        <v>0</v>
      </c>
    </row>
    <row r="932" spans="3:10" x14ac:dyDescent="0.25">
      <c r="C932" s="4"/>
      <c r="E932" s="4"/>
      <c r="H932" s="31" t="str">
        <f t="shared" si="28"/>
        <v/>
      </c>
      <c r="J932" t="b">
        <f t="shared" si="29"/>
        <v>0</v>
      </c>
    </row>
    <row r="933" spans="3:10" x14ac:dyDescent="0.25">
      <c r="C933" s="4"/>
      <c r="E933" s="4"/>
      <c r="H933" s="31" t="str">
        <f t="shared" si="28"/>
        <v/>
      </c>
      <c r="J933" t="b">
        <f t="shared" si="29"/>
        <v>0</v>
      </c>
    </row>
    <row r="934" spans="3:10" x14ac:dyDescent="0.25">
      <c r="C934" s="4"/>
      <c r="E934" s="4"/>
      <c r="H934" s="31" t="str">
        <f t="shared" si="28"/>
        <v/>
      </c>
      <c r="J934" t="b">
        <f t="shared" si="29"/>
        <v>0</v>
      </c>
    </row>
    <row r="935" spans="3:10" x14ac:dyDescent="0.25">
      <c r="C935" s="4"/>
      <c r="E935" s="4"/>
      <c r="H935" s="31" t="str">
        <f t="shared" si="28"/>
        <v/>
      </c>
      <c r="J935" t="b">
        <f t="shared" si="29"/>
        <v>0</v>
      </c>
    </row>
    <row r="936" spans="3:10" x14ac:dyDescent="0.25">
      <c r="C936" s="4"/>
      <c r="E936" s="4"/>
      <c r="H936" s="31" t="str">
        <f t="shared" si="28"/>
        <v/>
      </c>
      <c r="J936" t="b">
        <f t="shared" si="29"/>
        <v>0</v>
      </c>
    </row>
    <row r="937" spans="3:10" x14ac:dyDescent="0.25">
      <c r="C937" s="4"/>
      <c r="E937" s="4"/>
      <c r="H937" s="31" t="str">
        <f t="shared" si="28"/>
        <v/>
      </c>
      <c r="J937" t="b">
        <f t="shared" si="29"/>
        <v>0</v>
      </c>
    </row>
    <row r="938" spans="3:10" x14ac:dyDescent="0.25">
      <c r="C938" s="4"/>
      <c r="E938" s="4"/>
      <c r="H938" s="31" t="str">
        <f t="shared" si="28"/>
        <v/>
      </c>
      <c r="J938" t="b">
        <f t="shared" si="29"/>
        <v>0</v>
      </c>
    </row>
    <row r="939" spans="3:10" x14ac:dyDescent="0.25">
      <c r="C939" s="4"/>
      <c r="E939" s="4"/>
      <c r="H939" s="31" t="str">
        <f t="shared" si="28"/>
        <v/>
      </c>
      <c r="J939" t="b">
        <f t="shared" si="29"/>
        <v>0</v>
      </c>
    </row>
    <row r="940" spans="3:10" x14ac:dyDescent="0.25">
      <c r="C940" s="4"/>
      <c r="E940" s="4"/>
      <c r="H940" s="31" t="str">
        <f t="shared" si="28"/>
        <v/>
      </c>
      <c r="J940" t="b">
        <f t="shared" si="29"/>
        <v>0</v>
      </c>
    </row>
    <row r="941" spans="3:10" x14ac:dyDescent="0.25">
      <c r="C941" s="4"/>
      <c r="E941" s="4"/>
      <c r="H941" s="31" t="str">
        <f t="shared" si="28"/>
        <v/>
      </c>
      <c r="J941" t="b">
        <f t="shared" si="29"/>
        <v>0</v>
      </c>
    </row>
    <row r="942" spans="3:10" x14ac:dyDescent="0.25">
      <c r="C942" s="4"/>
      <c r="E942" s="4"/>
      <c r="H942" s="31" t="str">
        <f t="shared" si="28"/>
        <v/>
      </c>
      <c r="J942" t="b">
        <f t="shared" si="29"/>
        <v>0</v>
      </c>
    </row>
    <row r="943" spans="3:10" x14ac:dyDescent="0.25">
      <c r="C943" s="4"/>
      <c r="E943" s="4"/>
      <c r="H943" s="31" t="str">
        <f t="shared" si="28"/>
        <v/>
      </c>
      <c r="J943" t="b">
        <f t="shared" si="29"/>
        <v>0</v>
      </c>
    </row>
    <row r="944" spans="3:10" x14ac:dyDescent="0.25">
      <c r="C944" s="4"/>
      <c r="E944" s="4"/>
      <c r="H944" s="31" t="str">
        <f t="shared" si="28"/>
        <v/>
      </c>
      <c r="J944" t="b">
        <f t="shared" si="29"/>
        <v>0</v>
      </c>
    </row>
    <row r="945" spans="3:10" x14ac:dyDescent="0.25">
      <c r="C945" s="4"/>
      <c r="E945" s="4"/>
      <c r="H945" s="31" t="str">
        <f t="shared" si="28"/>
        <v/>
      </c>
      <c r="J945" t="b">
        <f t="shared" si="29"/>
        <v>0</v>
      </c>
    </row>
    <row r="946" spans="3:10" x14ac:dyDescent="0.25">
      <c r="C946" s="4"/>
      <c r="E946" s="4"/>
      <c r="H946" s="31" t="str">
        <f t="shared" si="28"/>
        <v/>
      </c>
      <c r="J946" t="b">
        <f t="shared" si="29"/>
        <v>0</v>
      </c>
    </row>
    <row r="947" spans="3:10" x14ac:dyDescent="0.25">
      <c r="C947" s="4"/>
      <c r="E947" s="4"/>
      <c r="H947" s="31" t="str">
        <f t="shared" si="28"/>
        <v/>
      </c>
      <c r="J947" t="b">
        <f t="shared" si="29"/>
        <v>0</v>
      </c>
    </row>
    <row r="948" spans="3:10" x14ac:dyDescent="0.25">
      <c r="C948" s="4"/>
      <c r="E948" s="4"/>
      <c r="H948" s="31" t="str">
        <f t="shared" si="28"/>
        <v/>
      </c>
      <c r="J948" t="b">
        <f t="shared" si="29"/>
        <v>0</v>
      </c>
    </row>
    <row r="949" spans="3:10" x14ac:dyDescent="0.25">
      <c r="C949" s="4"/>
      <c r="E949" s="4"/>
      <c r="H949" s="31" t="str">
        <f t="shared" si="28"/>
        <v/>
      </c>
      <c r="J949" t="b">
        <f t="shared" si="29"/>
        <v>0</v>
      </c>
    </row>
    <row r="950" spans="3:10" x14ac:dyDescent="0.25">
      <c r="C950" s="4"/>
      <c r="E950" s="4"/>
      <c r="H950" s="31" t="str">
        <f t="shared" si="28"/>
        <v/>
      </c>
      <c r="J950" t="b">
        <f t="shared" si="29"/>
        <v>0</v>
      </c>
    </row>
    <row r="951" spans="3:10" x14ac:dyDescent="0.25">
      <c r="C951" s="4"/>
      <c r="E951" s="4"/>
      <c r="H951" s="31" t="str">
        <f t="shared" si="28"/>
        <v/>
      </c>
      <c r="J951" t="b">
        <f t="shared" si="29"/>
        <v>0</v>
      </c>
    </row>
    <row r="952" spans="3:10" x14ac:dyDescent="0.25">
      <c r="C952" s="4"/>
      <c r="E952" s="4"/>
      <c r="H952" s="31" t="str">
        <f t="shared" si="28"/>
        <v/>
      </c>
      <c r="J952" t="b">
        <f t="shared" si="29"/>
        <v>0</v>
      </c>
    </row>
    <row r="953" spans="3:10" x14ac:dyDescent="0.25">
      <c r="C953" s="4"/>
      <c r="E953" s="4"/>
      <c r="H953" s="31" t="str">
        <f t="shared" si="28"/>
        <v/>
      </c>
      <c r="J953" t="b">
        <f t="shared" si="29"/>
        <v>0</v>
      </c>
    </row>
    <row r="954" spans="3:10" x14ac:dyDescent="0.25">
      <c r="C954" s="4"/>
      <c r="E954" s="4"/>
      <c r="H954" s="31" t="str">
        <f t="shared" si="28"/>
        <v/>
      </c>
      <c r="J954" t="b">
        <f t="shared" si="29"/>
        <v>0</v>
      </c>
    </row>
    <row r="955" spans="3:10" x14ac:dyDescent="0.25">
      <c r="C955" s="4"/>
      <c r="E955" s="4"/>
      <c r="H955" s="31" t="str">
        <f t="shared" si="28"/>
        <v/>
      </c>
      <c r="J955" t="b">
        <f t="shared" si="29"/>
        <v>0</v>
      </c>
    </row>
    <row r="956" spans="3:10" x14ac:dyDescent="0.25">
      <c r="C956" s="4"/>
      <c r="E956" s="4"/>
      <c r="H956" s="31" t="str">
        <f t="shared" si="28"/>
        <v/>
      </c>
      <c r="J956" t="b">
        <f t="shared" si="29"/>
        <v>0</v>
      </c>
    </row>
    <row r="957" spans="3:10" x14ac:dyDescent="0.25">
      <c r="C957" s="4"/>
      <c r="E957" s="4"/>
      <c r="H957" s="31" t="str">
        <f t="shared" si="28"/>
        <v/>
      </c>
      <c r="J957" t="b">
        <f t="shared" si="29"/>
        <v>0</v>
      </c>
    </row>
    <row r="958" spans="3:10" x14ac:dyDescent="0.25">
      <c r="C958" s="4"/>
      <c r="E958" s="4"/>
      <c r="H958" s="31" t="str">
        <f t="shared" si="28"/>
        <v/>
      </c>
      <c r="J958" t="b">
        <f t="shared" si="29"/>
        <v>0</v>
      </c>
    </row>
    <row r="959" spans="3:10" x14ac:dyDescent="0.25">
      <c r="C959" s="4"/>
      <c r="E959" s="4"/>
      <c r="H959" s="31" t="str">
        <f t="shared" si="28"/>
        <v/>
      </c>
      <c r="J959" t="b">
        <f t="shared" si="29"/>
        <v>0</v>
      </c>
    </row>
    <row r="960" spans="3:10" x14ac:dyDescent="0.25">
      <c r="C960" s="4"/>
      <c r="E960" s="4"/>
      <c r="H960" s="31" t="str">
        <f t="shared" si="28"/>
        <v/>
      </c>
      <c r="J960" t="b">
        <f t="shared" si="29"/>
        <v>0</v>
      </c>
    </row>
    <row r="961" spans="3:10" x14ac:dyDescent="0.25">
      <c r="C961" s="4"/>
      <c r="E961" s="4"/>
      <c r="H961" s="31" t="str">
        <f t="shared" si="28"/>
        <v/>
      </c>
      <c r="J961" t="b">
        <f t="shared" si="29"/>
        <v>0</v>
      </c>
    </row>
    <row r="962" spans="3:10" x14ac:dyDescent="0.25">
      <c r="C962" s="4"/>
      <c r="E962" s="4"/>
      <c r="H962" s="31" t="str">
        <f t="shared" si="28"/>
        <v/>
      </c>
      <c r="J962" t="b">
        <f t="shared" si="29"/>
        <v>0</v>
      </c>
    </row>
    <row r="963" spans="3:10" x14ac:dyDescent="0.25">
      <c r="C963" s="4"/>
      <c r="E963" s="4"/>
      <c r="H963" s="31" t="str">
        <f t="shared" si="28"/>
        <v/>
      </c>
      <c r="J963" t="b">
        <f t="shared" si="29"/>
        <v>0</v>
      </c>
    </row>
    <row r="964" spans="3:10" x14ac:dyDescent="0.25">
      <c r="C964" s="4"/>
      <c r="E964" s="4"/>
      <c r="H964" s="31" t="str">
        <f t="shared" ref="H964:H1027" si="30">IF($J964=TRUE,"Il ne peut y avoir des valeurs dans les 2 méthodes",IF($D964="kg/l",$C964,IF($D964="g/l",$C964/1000,IF($D964="lb/gal US",$C964*0.454/3.785,IF($G964="kg/l",($E964/100)*$F964,IF($G964="g/l",($E964/100)*$F964/1000,IF($G964="lb/gal US",($E964/100)*$F964*0.454/3.785,"")))))))</f>
        <v/>
      </c>
      <c r="J964" t="b">
        <f t="shared" ref="J964:J1027" si="31">IF(AND(OR($C964&lt;&gt;"",$D964&lt;&gt;""),OR($E964&lt;&gt;"",F964&lt;&gt;"",G964&lt;&gt;"")),TRUE,FALSE)</f>
        <v>0</v>
      </c>
    </row>
    <row r="965" spans="3:10" x14ac:dyDescent="0.25">
      <c r="C965" s="4"/>
      <c r="E965" s="4"/>
      <c r="H965" s="31" t="str">
        <f t="shared" si="30"/>
        <v/>
      </c>
      <c r="J965" t="b">
        <f t="shared" si="31"/>
        <v>0</v>
      </c>
    </row>
    <row r="966" spans="3:10" x14ac:dyDescent="0.25">
      <c r="C966" s="4"/>
      <c r="E966" s="4"/>
      <c r="H966" s="31" t="str">
        <f t="shared" si="30"/>
        <v/>
      </c>
      <c r="J966" t="b">
        <f t="shared" si="31"/>
        <v>0</v>
      </c>
    </row>
    <row r="967" spans="3:10" x14ac:dyDescent="0.25">
      <c r="C967" s="4"/>
      <c r="E967" s="4"/>
      <c r="H967" s="31" t="str">
        <f t="shared" si="30"/>
        <v/>
      </c>
      <c r="J967" t="b">
        <f t="shared" si="31"/>
        <v>0</v>
      </c>
    </row>
    <row r="968" spans="3:10" x14ac:dyDescent="0.25">
      <c r="C968" s="4"/>
      <c r="E968" s="4"/>
      <c r="H968" s="31" t="str">
        <f t="shared" si="30"/>
        <v/>
      </c>
      <c r="J968" t="b">
        <f t="shared" si="31"/>
        <v>0</v>
      </c>
    </row>
    <row r="969" spans="3:10" x14ac:dyDescent="0.25">
      <c r="C969" s="4"/>
      <c r="E969" s="4"/>
      <c r="H969" s="31" t="str">
        <f t="shared" si="30"/>
        <v/>
      </c>
      <c r="J969" t="b">
        <f t="shared" si="31"/>
        <v>0</v>
      </c>
    </row>
    <row r="970" spans="3:10" x14ac:dyDescent="0.25">
      <c r="C970" s="4"/>
      <c r="E970" s="4"/>
      <c r="H970" s="31" t="str">
        <f t="shared" si="30"/>
        <v/>
      </c>
      <c r="J970" t="b">
        <f t="shared" si="31"/>
        <v>0</v>
      </c>
    </row>
    <row r="971" spans="3:10" x14ac:dyDescent="0.25">
      <c r="C971" s="4"/>
      <c r="E971" s="4"/>
      <c r="H971" s="31" t="str">
        <f t="shared" si="30"/>
        <v/>
      </c>
      <c r="J971" t="b">
        <f t="shared" si="31"/>
        <v>0</v>
      </c>
    </row>
    <row r="972" spans="3:10" x14ac:dyDescent="0.25">
      <c r="C972" s="4"/>
      <c r="E972" s="4"/>
      <c r="H972" s="31" t="str">
        <f t="shared" si="30"/>
        <v/>
      </c>
      <c r="J972" t="b">
        <f t="shared" si="31"/>
        <v>0</v>
      </c>
    </row>
    <row r="973" spans="3:10" x14ac:dyDescent="0.25">
      <c r="C973" s="4"/>
      <c r="E973" s="4"/>
      <c r="H973" s="31" t="str">
        <f t="shared" si="30"/>
        <v/>
      </c>
      <c r="J973" t="b">
        <f t="shared" si="31"/>
        <v>0</v>
      </c>
    </row>
    <row r="974" spans="3:10" x14ac:dyDescent="0.25">
      <c r="C974" s="4"/>
      <c r="E974" s="4"/>
      <c r="H974" s="31" t="str">
        <f t="shared" si="30"/>
        <v/>
      </c>
      <c r="J974" t="b">
        <f t="shared" si="31"/>
        <v>0</v>
      </c>
    </row>
    <row r="975" spans="3:10" x14ac:dyDescent="0.25">
      <c r="C975" s="4"/>
      <c r="E975" s="4"/>
      <c r="H975" s="31" t="str">
        <f t="shared" si="30"/>
        <v/>
      </c>
      <c r="J975" t="b">
        <f t="shared" si="31"/>
        <v>0</v>
      </c>
    </row>
    <row r="976" spans="3:10" x14ac:dyDescent="0.25">
      <c r="C976" s="4"/>
      <c r="E976" s="4"/>
      <c r="H976" s="31" t="str">
        <f t="shared" si="30"/>
        <v/>
      </c>
      <c r="J976" t="b">
        <f t="shared" si="31"/>
        <v>0</v>
      </c>
    </row>
    <row r="977" spans="3:10" x14ac:dyDescent="0.25">
      <c r="C977" s="4"/>
      <c r="E977" s="4"/>
      <c r="H977" s="31" t="str">
        <f t="shared" si="30"/>
        <v/>
      </c>
      <c r="J977" t="b">
        <f t="shared" si="31"/>
        <v>0</v>
      </c>
    </row>
    <row r="978" spans="3:10" x14ac:dyDescent="0.25">
      <c r="C978" s="4"/>
      <c r="E978" s="4"/>
      <c r="H978" s="31" t="str">
        <f t="shared" si="30"/>
        <v/>
      </c>
      <c r="J978" t="b">
        <f t="shared" si="31"/>
        <v>0</v>
      </c>
    </row>
    <row r="979" spans="3:10" x14ac:dyDescent="0.25">
      <c r="C979" s="4"/>
      <c r="E979" s="4"/>
      <c r="H979" s="31" t="str">
        <f t="shared" si="30"/>
        <v/>
      </c>
      <c r="J979" t="b">
        <f t="shared" si="31"/>
        <v>0</v>
      </c>
    </row>
    <row r="980" spans="3:10" x14ac:dyDescent="0.25">
      <c r="C980" s="4"/>
      <c r="E980" s="4"/>
      <c r="H980" s="31" t="str">
        <f t="shared" si="30"/>
        <v/>
      </c>
      <c r="J980" t="b">
        <f t="shared" si="31"/>
        <v>0</v>
      </c>
    </row>
    <row r="981" spans="3:10" x14ac:dyDescent="0.25">
      <c r="C981" s="4"/>
      <c r="E981" s="4"/>
      <c r="H981" s="31" t="str">
        <f t="shared" si="30"/>
        <v/>
      </c>
      <c r="J981" t="b">
        <f t="shared" si="31"/>
        <v>0</v>
      </c>
    </row>
    <row r="982" spans="3:10" x14ac:dyDescent="0.25">
      <c r="C982" s="4"/>
      <c r="E982" s="4"/>
      <c r="H982" s="31" t="str">
        <f t="shared" si="30"/>
        <v/>
      </c>
      <c r="J982" t="b">
        <f t="shared" si="31"/>
        <v>0</v>
      </c>
    </row>
    <row r="983" spans="3:10" x14ac:dyDescent="0.25">
      <c r="C983" s="4"/>
      <c r="E983" s="4"/>
      <c r="H983" s="31" t="str">
        <f t="shared" si="30"/>
        <v/>
      </c>
      <c r="J983" t="b">
        <f t="shared" si="31"/>
        <v>0</v>
      </c>
    </row>
    <row r="984" spans="3:10" x14ac:dyDescent="0.25">
      <c r="C984" s="4"/>
      <c r="E984" s="4"/>
      <c r="H984" s="31" t="str">
        <f t="shared" si="30"/>
        <v/>
      </c>
      <c r="J984" t="b">
        <f t="shared" si="31"/>
        <v>0</v>
      </c>
    </row>
    <row r="985" spans="3:10" x14ac:dyDescent="0.25">
      <c r="C985" s="4"/>
      <c r="E985" s="4"/>
      <c r="H985" s="31" t="str">
        <f t="shared" si="30"/>
        <v/>
      </c>
      <c r="J985" t="b">
        <f t="shared" si="31"/>
        <v>0</v>
      </c>
    </row>
    <row r="986" spans="3:10" x14ac:dyDescent="0.25">
      <c r="C986" s="4"/>
      <c r="E986" s="4"/>
      <c r="H986" s="31" t="str">
        <f t="shared" si="30"/>
        <v/>
      </c>
      <c r="J986" t="b">
        <f t="shared" si="31"/>
        <v>0</v>
      </c>
    </row>
    <row r="987" spans="3:10" x14ac:dyDescent="0.25">
      <c r="C987" s="4"/>
      <c r="E987" s="4"/>
      <c r="H987" s="31" t="str">
        <f t="shared" si="30"/>
        <v/>
      </c>
      <c r="J987" t="b">
        <f t="shared" si="31"/>
        <v>0</v>
      </c>
    </row>
    <row r="988" spans="3:10" x14ac:dyDescent="0.25">
      <c r="C988" s="4"/>
      <c r="E988" s="4"/>
      <c r="H988" s="31" t="str">
        <f t="shared" si="30"/>
        <v/>
      </c>
      <c r="J988" t="b">
        <f t="shared" si="31"/>
        <v>0</v>
      </c>
    </row>
    <row r="989" spans="3:10" x14ac:dyDescent="0.25">
      <c r="C989" s="4"/>
      <c r="E989" s="4"/>
      <c r="H989" s="31" t="str">
        <f t="shared" si="30"/>
        <v/>
      </c>
      <c r="J989" t="b">
        <f t="shared" si="31"/>
        <v>0</v>
      </c>
    </row>
    <row r="990" spans="3:10" x14ac:dyDescent="0.25">
      <c r="C990" s="4"/>
      <c r="E990" s="4"/>
      <c r="H990" s="31" t="str">
        <f t="shared" si="30"/>
        <v/>
      </c>
      <c r="J990" t="b">
        <f t="shared" si="31"/>
        <v>0</v>
      </c>
    </row>
    <row r="991" spans="3:10" x14ac:dyDescent="0.25">
      <c r="C991" s="4"/>
      <c r="E991" s="4"/>
      <c r="H991" s="31" t="str">
        <f t="shared" si="30"/>
        <v/>
      </c>
      <c r="J991" t="b">
        <f t="shared" si="31"/>
        <v>0</v>
      </c>
    </row>
    <row r="992" spans="3:10" x14ac:dyDescent="0.25">
      <c r="C992" s="4"/>
      <c r="E992" s="4"/>
      <c r="H992" s="31" t="str">
        <f t="shared" si="30"/>
        <v/>
      </c>
      <c r="J992" t="b">
        <f t="shared" si="31"/>
        <v>0</v>
      </c>
    </row>
    <row r="993" spans="3:10" x14ac:dyDescent="0.25">
      <c r="C993" s="4"/>
      <c r="E993" s="4"/>
      <c r="H993" s="31" t="str">
        <f t="shared" si="30"/>
        <v/>
      </c>
      <c r="J993" t="b">
        <f t="shared" si="31"/>
        <v>0</v>
      </c>
    </row>
    <row r="994" spans="3:10" x14ac:dyDescent="0.25">
      <c r="C994" s="4"/>
      <c r="E994" s="4"/>
      <c r="H994" s="31" t="str">
        <f t="shared" si="30"/>
        <v/>
      </c>
      <c r="J994" t="b">
        <f t="shared" si="31"/>
        <v>0</v>
      </c>
    </row>
    <row r="995" spans="3:10" x14ac:dyDescent="0.25">
      <c r="C995" s="4"/>
      <c r="E995" s="4"/>
      <c r="H995" s="31" t="str">
        <f t="shared" si="30"/>
        <v/>
      </c>
      <c r="J995" t="b">
        <f t="shared" si="31"/>
        <v>0</v>
      </c>
    </row>
    <row r="996" spans="3:10" x14ac:dyDescent="0.25">
      <c r="C996" s="4"/>
      <c r="E996" s="4"/>
      <c r="H996" s="31" t="str">
        <f t="shared" si="30"/>
        <v/>
      </c>
      <c r="J996" t="b">
        <f t="shared" si="31"/>
        <v>0</v>
      </c>
    </row>
    <row r="997" spans="3:10" x14ac:dyDescent="0.25">
      <c r="C997" s="4"/>
      <c r="E997" s="4"/>
      <c r="H997" s="31" t="str">
        <f t="shared" si="30"/>
        <v/>
      </c>
      <c r="J997" t="b">
        <f t="shared" si="31"/>
        <v>0</v>
      </c>
    </row>
    <row r="998" spans="3:10" x14ac:dyDescent="0.25">
      <c r="C998" s="4"/>
      <c r="E998" s="4"/>
      <c r="H998" s="31" t="str">
        <f t="shared" si="30"/>
        <v/>
      </c>
      <c r="J998" t="b">
        <f t="shared" si="31"/>
        <v>0</v>
      </c>
    </row>
    <row r="999" spans="3:10" x14ac:dyDescent="0.25">
      <c r="C999" s="4"/>
      <c r="E999" s="4"/>
      <c r="H999" s="31" t="str">
        <f t="shared" si="30"/>
        <v/>
      </c>
      <c r="J999" t="b">
        <f t="shared" si="31"/>
        <v>0</v>
      </c>
    </row>
    <row r="1000" spans="3:10" x14ac:dyDescent="0.25">
      <c r="C1000" s="4"/>
      <c r="E1000" s="4"/>
      <c r="H1000" s="31" t="str">
        <f t="shared" si="30"/>
        <v/>
      </c>
      <c r="J1000" t="b">
        <f t="shared" si="31"/>
        <v>0</v>
      </c>
    </row>
    <row r="1001" spans="3:10" x14ac:dyDescent="0.25">
      <c r="C1001" s="4"/>
      <c r="E1001" s="4"/>
      <c r="H1001" s="31" t="str">
        <f t="shared" si="30"/>
        <v/>
      </c>
      <c r="J1001" t="b">
        <f t="shared" si="31"/>
        <v>0</v>
      </c>
    </row>
    <row r="1002" spans="3:10" x14ac:dyDescent="0.25">
      <c r="C1002" s="4"/>
      <c r="E1002" s="4"/>
      <c r="H1002" s="31" t="str">
        <f t="shared" si="30"/>
        <v/>
      </c>
      <c r="J1002" t="b">
        <f t="shared" si="31"/>
        <v>0</v>
      </c>
    </row>
    <row r="1003" spans="3:10" x14ac:dyDescent="0.25">
      <c r="C1003" s="4"/>
      <c r="E1003" s="4"/>
      <c r="H1003" s="31" t="str">
        <f t="shared" si="30"/>
        <v/>
      </c>
      <c r="J1003" t="b">
        <f t="shared" si="31"/>
        <v>0</v>
      </c>
    </row>
    <row r="1004" spans="3:10" x14ac:dyDescent="0.25">
      <c r="C1004" s="4"/>
      <c r="E1004" s="4"/>
      <c r="H1004" s="31" t="str">
        <f t="shared" si="30"/>
        <v/>
      </c>
      <c r="J1004" t="b">
        <f t="shared" si="31"/>
        <v>0</v>
      </c>
    </row>
    <row r="1005" spans="3:10" x14ac:dyDescent="0.25">
      <c r="C1005" s="4"/>
      <c r="E1005" s="4"/>
      <c r="H1005" s="31" t="str">
        <f t="shared" si="30"/>
        <v/>
      </c>
      <c r="J1005" t="b">
        <f t="shared" si="31"/>
        <v>0</v>
      </c>
    </row>
    <row r="1006" spans="3:10" x14ac:dyDescent="0.25">
      <c r="C1006" s="4"/>
      <c r="E1006" s="4"/>
      <c r="H1006" s="31" t="str">
        <f t="shared" si="30"/>
        <v/>
      </c>
      <c r="J1006" t="b">
        <f t="shared" si="31"/>
        <v>0</v>
      </c>
    </row>
    <row r="1007" spans="3:10" x14ac:dyDescent="0.25">
      <c r="C1007" s="4"/>
      <c r="E1007" s="4"/>
      <c r="H1007" s="31" t="str">
        <f t="shared" si="30"/>
        <v/>
      </c>
      <c r="J1007" t="b">
        <f t="shared" si="31"/>
        <v>0</v>
      </c>
    </row>
    <row r="1008" spans="3:10" x14ac:dyDescent="0.25">
      <c r="C1008" s="4"/>
      <c r="E1008" s="4"/>
      <c r="H1008" s="31" t="str">
        <f t="shared" si="30"/>
        <v/>
      </c>
      <c r="J1008" t="b">
        <f t="shared" si="31"/>
        <v>0</v>
      </c>
    </row>
    <row r="1009" spans="3:10" x14ac:dyDescent="0.25">
      <c r="C1009" s="4"/>
      <c r="E1009" s="4"/>
      <c r="H1009" s="31" t="str">
        <f t="shared" si="30"/>
        <v/>
      </c>
      <c r="J1009" t="b">
        <f t="shared" si="31"/>
        <v>0</v>
      </c>
    </row>
    <row r="1010" spans="3:10" x14ac:dyDescent="0.25">
      <c r="C1010" s="4"/>
      <c r="E1010" s="4"/>
      <c r="H1010" s="31" t="str">
        <f t="shared" si="30"/>
        <v/>
      </c>
      <c r="J1010" t="b">
        <f t="shared" si="31"/>
        <v>0</v>
      </c>
    </row>
    <row r="1011" spans="3:10" x14ac:dyDescent="0.25">
      <c r="C1011" s="4"/>
      <c r="E1011" s="4"/>
      <c r="H1011" s="31" t="str">
        <f t="shared" si="30"/>
        <v/>
      </c>
      <c r="J1011" t="b">
        <f t="shared" si="31"/>
        <v>0</v>
      </c>
    </row>
    <row r="1012" spans="3:10" x14ac:dyDescent="0.25">
      <c r="C1012" s="4"/>
      <c r="E1012" s="4"/>
      <c r="H1012" s="31" t="str">
        <f t="shared" si="30"/>
        <v/>
      </c>
      <c r="J1012" t="b">
        <f t="shared" si="31"/>
        <v>0</v>
      </c>
    </row>
    <row r="1013" spans="3:10" x14ac:dyDescent="0.25">
      <c r="C1013" s="4"/>
      <c r="E1013" s="4"/>
      <c r="H1013" s="31" t="str">
        <f t="shared" si="30"/>
        <v/>
      </c>
      <c r="J1013" t="b">
        <f t="shared" si="31"/>
        <v>0</v>
      </c>
    </row>
    <row r="1014" spans="3:10" x14ac:dyDescent="0.25">
      <c r="C1014" s="4"/>
      <c r="E1014" s="4"/>
      <c r="H1014" s="31" t="str">
        <f t="shared" si="30"/>
        <v/>
      </c>
      <c r="J1014" t="b">
        <f t="shared" si="31"/>
        <v>0</v>
      </c>
    </row>
    <row r="1015" spans="3:10" x14ac:dyDescent="0.25">
      <c r="C1015" s="4"/>
      <c r="E1015" s="4"/>
      <c r="H1015" s="31" t="str">
        <f t="shared" si="30"/>
        <v/>
      </c>
      <c r="J1015" t="b">
        <f t="shared" si="31"/>
        <v>0</v>
      </c>
    </row>
    <row r="1016" spans="3:10" x14ac:dyDescent="0.25">
      <c r="C1016" s="4"/>
      <c r="E1016" s="4"/>
      <c r="H1016" s="31" t="str">
        <f t="shared" si="30"/>
        <v/>
      </c>
      <c r="J1016" t="b">
        <f t="shared" si="31"/>
        <v>0</v>
      </c>
    </row>
    <row r="1017" spans="3:10" x14ac:dyDescent="0.25">
      <c r="C1017" s="4"/>
      <c r="E1017" s="4"/>
      <c r="H1017" s="31" t="str">
        <f t="shared" si="30"/>
        <v/>
      </c>
      <c r="J1017" t="b">
        <f t="shared" si="31"/>
        <v>0</v>
      </c>
    </row>
    <row r="1018" spans="3:10" x14ac:dyDescent="0.25">
      <c r="C1018" s="4"/>
      <c r="E1018" s="4"/>
      <c r="H1018" s="31" t="str">
        <f t="shared" si="30"/>
        <v/>
      </c>
      <c r="J1018" t="b">
        <f t="shared" si="31"/>
        <v>0</v>
      </c>
    </row>
    <row r="1019" spans="3:10" x14ac:dyDescent="0.25">
      <c r="C1019" s="4"/>
      <c r="E1019" s="4"/>
      <c r="H1019" s="31" t="str">
        <f t="shared" si="30"/>
        <v/>
      </c>
      <c r="J1019" t="b">
        <f t="shared" si="31"/>
        <v>0</v>
      </c>
    </row>
    <row r="1020" spans="3:10" x14ac:dyDescent="0.25">
      <c r="C1020" s="4"/>
      <c r="E1020" s="4"/>
      <c r="H1020" s="31" t="str">
        <f t="shared" si="30"/>
        <v/>
      </c>
      <c r="J1020" t="b">
        <f t="shared" si="31"/>
        <v>0</v>
      </c>
    </row>
    <row r="1021" spans="3:10" x14ac:dyDescent="0.25">
      <c r="C1021" s="4"/>
      <c r="E1021" s="4"/>
      <c r="H1021" s="31" t="str">
        <f t="shared" si="30"/>
        <v/>
      </c>
      <c r="J1021" t="b">
        <f t="shared" si="31"/>
        <v>0</v>
      </c>
    </row>
    <row r="1022" spans="3:10" x14ac:dyDescent="0.25">
      <c r="C1022" s="4"/>
      <c r="E1022" s="4"/>
      <c r="H1022" s="31" t="str">
        <f t="shared" si="30"/>
        <v/>
      </c>
      <c r="J1022" t="b">
        <f t="shared" si="31"/>
        <v>0</v>
      </c>
    </row>
    <row r="1023" spans="3:10" x14ac:dyDescent="0.25">
      <c r="C1023" s="4"/>
      <c r="E1023" s="4"/>
      <c r="H1023" s="31" t="str">
        <f t="shared" si="30"/>
        <v/>
      </c>
      <c r="J1023" t="b">
        <f t="shared" si="31"/>
        <v>0</v>
      </c>
    </row>
    <row r="1024" spans="3:10" x14ac:dyDescent="0.25">
      <c r="C1024" s="4"/>
      <c r="E1024" s="4"/>
      <c r="H1024" s="31" t="str">
        <f t="shared" si="30"/>
        <v/>
      </c>
      <c r="J1024" t="b">
        <f t="shared" si="31"/>
        <v>0</v>
      </c>
    </row>
    <row r="1025" spans="3:10" x14ac:dyDescent="0.25">
      <c r="C1025" s="4"/>
      <c r="E1025" s="4"/>
      <c r="H1025" s="31" t="str">
        <f t="shared" si="30"/>
        <v/>
      </c>
      <c r="J1025" t="b">
        <f t="shared" si="31"/>
        <v>0</v>
      </c>
    </row>
    <row r="1026" spans="3:10" x14ac:dyDescent="0.25">
      <c r="C1026" s="4"/>
      <c r="E1026" s="4"/>
      <c r="H1026" s="31" t="str">
        <f t="shared" si="30"/>
        <v/>
      </c>
      <c r="J1026" t="b">
        <f t="shared" si="31"/>
        <v>0</v>
      </c>
    </row>
    <row r="1027" spans="3:10" x14ac:dyDescent="0.25">
      <c r="C1027" s="4"/>
      <c r="E1027" s="4"/>
      <c r="H1027" s="31" t="str">
        <f t="shared" si="30"/>
        <v/>
      </c>
      <c r="J1027" t="b">
        <f t="shared" si="31"/>
        <v>0</v>
      </c>
    </row>
    <row r="1028" spans="3:10" x14ac:dyDescent="0.25">
      <c r="C1028" s="4"/>
      <c r="E1028" s="4"/>
      <c r="H1028" s="31" t="str">
        <f t="shared" ref="H1028:H1091" si="32">IF($J1028=TRUE,"Il ne peut y avoir des valeurs dans les 2 méthodes",IF($D1028="kg/l",$C1028,IF($D1028="g/l",$C1028/1000,IF($D1028="lb/gal US",$C1028*0.454/3.785,IF($G1028="kg/l",($E1028/100)*$F1028,IF($G1028="g/l",($E1028/100)*$F1028/1000,IF($G1028="lb/gal US",($E1028/100)*$F1028*0.454/3.785,"")))))))</f>
        <v/>
      </c>
      <c r="J1028" t="b">
        <f t="shared" ref="J1028:J1091" si="33">IF(AND(OR($C1028&lt;&gt;"",$D1028&lt;&gt;""),OR($E1028&lt;&gt;"",F1028&lt;&gt;"",G1028&lt;&gt;"")),TRUE,FALSE)</f>
        <v>0</v>
      </c>
    </row>
    <row r="1029" spans="3:10" x14ac:dyDescent="0.25">
      <c r="C1029" s="4"/>
      <c r="E1029" s="4"/>
      <c r="H1029" s="31" t="str">
        <f t="shared" si="32"/>
        <v/>
      </c>
      <c r="J1029" t="b">
        <f t="shared" si="33"/>
        <v>0</v>
      </c>
    </row>
    <row r="1030" spans="3:10" x14ac:dyDescent="0.25">
      <c r="C1030" s="4"/>
      <c r="E1030" s="4"/>
      <c r="H1030" s="31" t="str">
        <f t="shared" si="32"/>
        <v/>
      </c>
      <c r="J1030" t="b">
        <f t="shared" si="33"/>
        <v>0</v>
      </c>
    </row>
    <row r="1031" spans="3:10" x14ac:dyDescent="0.25">
      <c r="C1031" s="4"/>
      <c r="E1031" s="4"/>
      <c r="H1031" s="31" t="str">
        <f t="shared" si="32"/>
        <v/>
      </c>
      <c r="J1031" t="b">
        <f t="shared" si="33"/>
        <v>0</v>
      </c>
    </row>
    <row r="1032" spans="3:10" x14ac:dyDescent="0.25">
      <c r="C1032" s="4"/>
      <c r="E1032" s="4"/>
      <c r="H1032" s="31" t="str">
        <f t="shared" si="32"/>
        <v/>
      </c>
      <c r="J1032" t="b">
        <f t="shared" si="33"/>
        <v>0</v>
      </c>
    </row>
    <row r="1033" spans="3:10" x14ac:dyDescent="0.25">
      <c r="C1033" s="4"/>
      <c r="E1033" s="4"/>
      <c r="H1033" s="31" t="str">
        <f t="shared" si="32"/>
        <v/>
      </c>
      <c r="J1033" t="b">
        <f t="shared" si="33"/>
        <v>0</v>
      </c>
    </row>
    <row r="1034" spans="3:10" x14ac:dyDescent="0.25">
      <c r="C1034" s="4"/>
      <c r="E1034" s="4"/>
      <c r="H1034" s="31" t="str">
        <f t="shared" si="32"/>
        <v/>
      </c>
      <c r="J1034" t="b">
        <f t="shared" si="33"/>
        <v>0</v>
      </c>
    </row>
    <row r="1035" spans="3:10" x14ac:dyDescent="0.25">
      <c r="C1035" s="4"/>
      <c r="E1035" s="4"/>
      <c r="H1035" s="31" t="str">
        <f t="shared" si="32"/>
        <v/>
      </c>
      <c r="J1035" t="b">
        <f t="shared" si="33"/>
        <v>0</v>
      </c>
    </row>
    <row r="1036" spans="3:10" x14ac:dyDescent="0.25">
      <c r="C1036" s="4"/>
      <c r="E1036" s="4"/>
      <c r="H1036" s="31" t="str">
        <f t="shared" si="32"/>
        <v/>
      </c>
      <c r="J1036" t="b">
        <f t="shared" si="33"/>
        <v>0</v>
      </c>
    </row>
    <row r="1037" spans="3:10" x14ac:dyDescent="0.25">
      <c r="C1037" s="4"/>
      <c r="E1037" s="4"/>
      <c r="H1037" s="31" t="str">
        <f t="shared" si="32"/>
        <v/>
      </c>
      <c r="J1037" t="b">
        <f t="shared" si="33"/>
        <v>0</v>
      </c>
    </row>
    <row r="1038" spans="3:10" x14ac:dyDescent="0.25">
      <c r="C1038" s="4"/>
      <c r="E1038" s="4"/>
      <c r="H1038" s="31" t="str">
        <f t="shared" si="32"/>
        <v/>
      </c>
      <c r="J1038" t="b">
        <f t="shared" si="33"/>
        <v>0</v>
      </c>
    </row>
    <row r="1039" spans="3:10" x14ac:dyDescent="0.25">
      <c r="C1039" s="4"/>
      <c r="E1039" s="4"/>
      <c r="H1039" s="31" t="str">
        <f t="shared" si="32"/>
        <v/>
      </c>
      <c r="J1039" t="b">
        <f t="shared" si="33"/>
        <v>0</v>
      </c>
    </row>
    <row r="1040" spans="3:10" x14ac:dyDescent="0.25">
      <c r="C1040" s="4"/>
      <c r="E1040" s="4"/>
      <c r="H1040" s="31" t="str">
        <f t="shared" si="32"/>
        <v/>
      </c>
      <c r="J1040" t="b">
        <f t="shared" si="33"/>
        <v>0</v>
      </c>
    </row>
    <row r="1041" spans="3:10" x14ac:dyDescent="0.25">
      <c r="C1041" s="4"/>
      <c r="E1041" s="4"/>
      <c r="H1041" s="31" t="str">
        <f t="shared" si="32"/>
        <v/>
      </c>
      <c r="J1041" t="b">
        <f t="shared" si="33"/>
        <v>0</v>
      </c>
    </row>
    <row r="1042" spans="3:10" x14ac:dyDescent="0.25">
      <c r="C1042" s="4"/>
      <c r="E1042" s="4"/>
      <c r="H1042" s="31" t="str">
        <f t="shared" si="32"/>
        <v/>
      </c>
      <c r="J1042" t="b">
        <f t="shared" si="33"/>
        <v>0</v>
      </c>
    </row>
    <row r="1043" spans="3:10" x14ac:dyDescent="0.25">
      <c r="C1043" s="4"/>
      <c r="E1043" s="4"/>
      <c r="H1043" s="31" t="str">
        <f t="shared" si="32"/>
        <v/>
      </c>
      <c r="J1043" t="b">
        <f t="shared" si="33"/>
        <v>0</v>
      </c>
    </row>
    <row r="1044" spans="3:10" x14ac:dyDescent="0.25">
      <c r="C1044" s="4"/>
      <c r="E1044" s="4"/>
      <c r="H1044" s="31" t="str">
        <f t="shared" si="32"/>
        <v/>
      </c>
      <c r="J1044" t="b">
        <f t="shared" si="33"/>
        <v>0</v>
      </c>
    </row>
    <row r="1045" spans="3:10" x14ac:dyDescent="0.25">
      <c r="C1045" s="4"/>
      <c r="E1045" s="4"/>
      <c r="H1045" s="31" t="str">
        <f t="shared" si="32"/>
        <v/>
      </c>
      <c r="J1045" t="b">
        <f t="shared" si="33"/>
        <v>0</v>
      </c>
    </row>
    <row r="1046" spans="3:10" x14ac:dyDescent="0.25">
      <c r="C1046" s="4"/>
      <c r="E1046" s="4"/>
      <c r="H1046" s="31" t="str">
        <f t="shared" si="32"/>
        <v/>
      </c>
      <c r="J1046" t="b">
        <f t="shared" si="33"/>
        <v>0</v>
      </c>
    </row>
    <row r="1047" spans="3:10" x14ac:dyDescent="0.25">
      <c r="C1047" s="4"/>
      <c r="E1047" s="4"/>
      <c r="H1047" s="31" t="str">
        <f t="shared" si="32"/>
        <v/>
      </c>
      <c r="J1047" t="b">
        <f t="shared" si="33"/>
        <v>0</v>
      </c>
    </row>
    <row r="1048" spans="3:10" x14ac:dyDescent="0.25">
      <c r="C1048" s="4"/>
      <c r="E1048" s="4"/>
      <c r="H1048" s="31" t="str">
        <f t="shared" si="32"/>
        <v/>
      </c>
      <c r="J1048" t="b">
        <f t="shared" si="33"/>
        <v>0</v>
      </c>
    </row>
    <row r="1049" spans="3:10" x14ac:dyDescent="0.25">
      <c r="C1049" s="4"/>
      <c r="E1049" s="4"/>
      <c r="H1049" s="31" t="str">
        <f t="shared" si="32"/>
        <v/>
      </c>
      <c r="J1049" t="b">
        <f t="shared" si="33"/>
        <v>0</v>
      </c>
    </row>
    <row r="1050" spans="3:10" x14ac:dyDescent="0.25">
      <c r="C1050" s="4"/>
      <c r="E1050" s="4"/>
      <c r="H1050" s="31" t="str">
        <f t="shared" si="32"/>
        <v/>
      </c>
      <c r="J1050" t="b">
        <f t="shared" si="33"/>
        <v>0</v>
      </c>
    </row>
    <row r="1051" spans="3:10" x14ac:dyDescent="0.25">
      <c r="C1051" s="4"/>
      <c r="E1051" s="4"/>
      <c r="H1051" s="31" t="str">
        <f t="shared" si="32"/>
        <v/>
      </c>
      <c r="J1051" t="b">
        <f t="shared" si="33"/>
        <v>0</v>
      </c>
    </row>
    <row r="1052" spans="3:10" x14ac:dyDescent="0.25">
      <c r="C1052" s="4"/>
      <c r="E1052" s="4"/>
      <c r="H1052" s="31" t="str">
        <f t="shared" si="32"/>
        <v/>
      </c>
      <c r="J1052" t="b">
        <f t="shared" si="33"/>
        <v>0</v>
      </c>
    </row>
    <row r="1053" spans="3:10" x14ac:dyDescent="0.25">
      <c r="C1053" s="4"/>
      <c r="E1053" s="4"/>
      <c r="H1053" s="31" t="str">
        <f t="shared" si="32"/>
        <v/>
      </c>
      <c r="J1053" t="b">
        <f t="shared" si="33"/>
        <v>0</v>
      </c>
    </row>
    <row r="1054" spans="3:10" x14ac:dyDescent="0.25">
      <c r="C1054" s="4"/>
      <c r="E1054" s="4"/>
      <c r="H1054" s="31" t="str">
        <f t="shared" si="32"/>
        <v/>
      </c>
      <c r="J1054" t="b">
        <f t="shared" si="33"/>
        <v>0</v>
      </c>
    </row>
    <row r="1055" spans="3:10" x14ac:dyDescent="0.25">
      <c r="C1055" s="4"/>
      <c r="E1055" s="4"/>
      <c r="H1055" s="31" t="str">
        <f t="shared" si="32"/>
        <v/>
      </c>
      <c r="J1055" t="b">
        <f t="shared" si="33"/>
        <v>0</v>
      </c>
    </row>
    <row r="1056" spans="3:10" x14ac:dyDescent="0.25">
      <c r="C1056" s="4"/>
      <c r="E1056" s="4"/>
      <c r="H1056" s="31" t="str">
        <f t="shared" si="32"/>
        <v/>
      </c>
      <c r="J1056" t="b">
        <f t="shared" si="33"/>
        <v>0</v>
      </c>
    </row>
    <row r="1057" spans="3:10" x14ac:dyDescent="0.25">
      <c r="C1057" s="4"/>
      <c r="E1057" s="4"/>
      <c r="H1057" s="31" t="str">
        <f t="shared" si="32"/>
        <v/>
      </c>
      <c r="J1057" t="b">
        <f t="shared" si="33"/>
        <v>0</v>
      </c>
    </row>
    <row r="1058" spans="3:10" x14ac:dyDescent="0.25">
      <c r="C1058" s="4"/>
      <c r="E1058" s="4"/>
      <c r="H1058" s="31" t="str">
        <f t="shared" si="32"/>
        <v/>
      </c>
      <c r="J1058" t="b">
        <f t="shared" si="33"/>
        <v>0</v>
      </c>
    </row>
    <row r="1059" spans="3:10" x14ac:dyDescent="0.25">
      <c r="C1059" s="4"/>
      <c r="E1059" s="4"/>
      <c r="H1059" s="31" t="str">
        <f t="shared" si="32"/>
        <v/>
      </c>
      <c r="J1059" t="b">
        <f t="shared" si="33"/>
        <v>0</v>
      </c>
    </row>
    <row r="1060" spans="3:10" x14ac:dyDescent="0.25">
      <c r="C1060" s="4"/>
      <c r="E1060" s="4"/>
      <c r="H1060" s="31" t="str">
        <f t="shared" si="32"/>
        <v/>
      </c>
      <c r="J1060" t="b">
        <f t="shared" si="33"/>
        <v>0</v>
      </c>
    </row>
    <row r="1061" spans="3:10" x14ac:dyDescent="0.25">
      <c r="C1061" s="4"/>
      <c r="E1061" s="4"/>
      <c r="H1061" s="31" t="str">
        <f t="shared" si="32"/>
        <v/>
      </c>
      <c r="J1061" t="b">
        <f t="shared" si="33"/>
        <v>0</v>
      </c>
    </row>
    <row r="1062" spans="3:10" x14ac:dyDescent="0.25">
      <c r="C1062" s="4"/>
      <c r="E1062" s="4"/>
      <c r="H1062" s="31" t="str">
        <f t="shared" si="32"/>
        <v/>
      </c>
      <c r="J1062" t="b">
        <f t="shared" si="33"/>
        <v>0</v>
      </c>
    </row>
    <row r="1063" spans="3:10" x14ac:dyDescent="0.25">
      <c r="C1063" s="4"/>
      <c r="E1063" s="4"/>
      <c r="H1063" s="31" t="str">
        <f t="shared" si="32"/>
        <v/>
      </c>
      <c r="J1063" t="b">
        <f t="shared" si="33"/>
        <v>0</v>
      </c>
    </row>
    <row r="1064" spans="3:10" x14ac:dyDescent="0.25">
      <c r="C1064" s="4"/>
      <c r="E1064" s="4"/>
      <c r="H1064" s="31" t="str">
        <f t="shared" si="32"/>
        <v/>
      </c>
      <c r="J1064" t="b">
        <f t="shared" si="33"/>
        <v>0</v>
      </c>
    </row>
    <row r="1065" spans="3:10" x14ac:dyDescent="0.25">
      <c r="C1065" s="4"/>
      <c r="E1065" s="4"/>
      <c r="H1065" s="31" t="str">
        <f t="shared" si="32"/>
        <v/>
      </c>
      <c r="J1065" t="b">
        <f t="shared" si="33"/>
        <v>0</v>
      </c>
    </row>
    <row r="1066" spans="3:10" x14ac:dyDescent="0.25">
      <c r="C1066" s="4"/>
      <c r="E1066" s="4"/>
      <c r="H1066" s="31" t="str">
        <f t="shared" si="32"/>
        <v/>
      </c>
      <c r="J1066" t="b">
        <f t="shared" si="33"/>
        <v>0</v>
      </c>
    </row>
    <row r="1067" spans="3:10" x14ac:dyDescent="0.25">
      <c r="C1067" s="4"/>
      <c r="E1067" s="4"/>
      <c r="H1067" s="31" t="str">
        <f t="shared" si="32"/>
        <v/>
      </c>
      <c r="J1067" t="b">
        <f t="shared" si="33"/>
        <v>0</v>
      </c>
    </row>
    <row r="1068" spans="3:10" x14ac:dyDescent="0.25">
      <c r="C1068" s="4"/>
      <c r="E1068" s="4"/>
      <c r="H1068" s="31" t="str">
        <f t="shared" si="32"/>
        <v/>
      </c>
      <c r="J1068" t="b">
        <f t="shared" si="33"/>
        <v>0</v>
      </c>
    </row>
    <row r="1069" spans="3:10" x14ac:dyDescent="0.25">
      <c r="C1069" s="4"/>
      <c r="E1069" s="4"/>
      <c r="H1069" s="31" t="str">
        <f t="shared" si="32"/>
        <v/>
      </c>
      <c r="J1069" t="b">
        <f t="shared" si="33"/>
        <v>0</v>
      </c>
    </row>
    <row r="1070" spans="3:10" x14ac:dyDescent="0.25">
      <c r="C1070" s="4"/>
      <c r="E1070" s="4"/>
      <c r="H1070" s="31" t="str">
        <f t="shared" si="32"/>
        <v/>
      </c>
      <c r="J1070" t="b">
        <f t="shared" si="33"/>
        <v>0</v>
      </c>
    </row>
    <row r="1071" spans="3:10" x14ac:dyDescent="0.25">
      <c r="C1071" s="4"/>
      <c r="E1071" s="4"/>
      <c r="H1071" s="31" t="str">
        <f t="shared" si="32"/>
        <v/>
      </c>
      <c r="J1071" t="b">
        <f t="shared" si="33"/>
        <v>0</v>
      </c>
    </row>
    <row r="1072" spans="3:10" x14ac:dyDescent="0.25">
      <c r="C1072" s="4"/>
      <c r="E1072" s="4"/>
      <c r="H1072" s="31" t="str">
        <f t="shared" si="32"/>
        <v/>
      </c>
      <c r="J1072" t="b">
        <f t="shared" si="33"/>
        <v>0</v>
      </c>
    </row>
    <row r="1073" spans="3:10" x14ac:dyDescent="0.25">
      <c r="C1073" s="4"/>
      <c r="E1073" s="4"/>
      <c r="H1073" s="31" t="str">
        <f t="shared" si="32"/>
        <v/>
      </c>
      <c r="J1073" t="b">
        <f t="shared" si="33"/>
        <v>0</v>
      </c>
    </row>
    <row r="1074" spans="3:10" x14ac:dyDescent="0.25">
      <c r="C1074" s="4"/>
      <c r="E1074" s="4"/>
      <c r="H1074" s="31" t="str">
        <f t="shared" si="32"/>
        <v/>
      </c>
      <c r="J1074" t="b">
        <f t="shared" si="33"/>
        <v>0</v>
      </c>
    </row>
    <row r="1075" spans="3:10" x14ac:dyDescent="0.25">
      <c r="C1075" s="4"/>
      <c r="E1075" s="4"/>
      <c r="H1075" s="31" t="str">
        <f t="shared" si="32"/>
        <v/>
      </c>
      <c r="J1075" t="b">
        <f t="shared" si="33"/>
        <v>0</v>
      </c>
    </row>
    <row r="1076" spans="3:10" x14ac:dyDescent="0.25">
      <c r="C1076" s="4"/>
      <c r="E1076" s="4"/>
      <c r="H1076" s="31" t="str">
        <f t="shared" si="32"/>
        <v/>
      </c>
      <c r="J1076" t="b">
        <f t="shared" si="33"/>
        <v>0</v>
      </c>
    </row>
    <row r="1077" spans="3:10" x14ac:dyDescent="0.25">
      <c r="C1077" s="4"/>
      <c r="E1077" s="4"/>
      <c r="H1077" s="31" t="str">
        <f t="shared" si="32"/>
        <v/>
      </c>
      <c r="J1077" t="b">
        <f t="shared" si="33"/>
        <v>0</v>
      </c>
    </row>
    <row r="1078" spans="3:10" x14ac:dyDescent="0.25">
      <c r="C1078" s="4"/>
      <c r="E1078" s="4"/>
      <c r="H1078" s="31" t="str">
        <f t="shared" si="32"/>
        <v/>
      </c>
      <c r="J1078" t="b">
        <f t="shared" si="33"/>
        <v>0</v>
      </c>
    </row>
    <row r="1079" spans="3:10" x14ac:dyDescent="0.25">
      <c r="C1079" s="4"/>
      <c r="E1079" s="4"/>
      <c r="H1079" s="31" t="str">
        <f t="shared" si="32"/>
        <v/>
      </c>
      <c r="J1079" t="b">
        <f t="shared" si="33"/>
        <v>0</v>
      </c>
    </row>
    <row r="1080" spans="3:10" x14ac:dyDescent="0.25">
      <c r="C1080" s="4"/>
      <c r="E1080" s="4"/>
      <c r="H1080" s="31" t="str">
        <f t="shared" si="32"/>
        <v/>
      </c>
      <c r="J1080" t="b">
        <f t="shared" si="33"/>
        <v>0</v>
      </c>
    </row>
    <row r="1081" spans="3:10" x14ac:dyDescent="0.25">
      <c r="C1081" s="4"/>
      <c r="E1081" s="4"/>
      <c r="H1081" s="31" t="str">
        <f t="shared" si="32"/>
        <v/>
      </c>
      <c r="J1081" t="b">
        <f t="shared" si="33"/>
        <v>0</v>
      </c>
    </row>
    <row r="1082" spans="3:10" x14ac:dyDescent="0.25">
      <c r="C1082" s="4"/>
      <c r="E1082" s="4"/>
      <c r="H1082" s="31" t="str">
        <f t="shared" si="32"/>
        <v/>
      </c>
      <c r="J1082" t="b">
        <f t="shared" si="33"/>
        <v>0</v>
      </c>
    </row>
    <row r="1083" spans="3:10" x14ac:dyDescent="0.25">
      <c r="C1083" s="4"/>
      <c r="E1083" s="4"/>
      <c r="H1083" s="31" t="str">
        <f t="shared" si="32"/>
        <v/>
      </c>
      <c r="J1083" t="b">
        <f t="shared" si="33"/>
        <v>0</v>
      </c>
    </row>
    <row r="1084" spans="3:10" x14ac:dyDescent="0.25">
      <c r="C1084" s="4"/>
      <c r="E1084" s="4"/>
      <c r="H1084" s="31" t="str">
        <f t="shared" si="32"/>
        <v/>
      </c>
      <c r="J1084" t="b">
        <f t="shared" si="33"/>
        <v>0</v>
      </c>
    </row>
    <row r="1085" spans="3:10" x14ac:dyDescent="0.25">
      <c r="C1085" s="4"/>
      <c r="E1085" s="4"/>
      <c r="H1085" s="31" t="str">
        <f t="shared" si="32"/>
        <v/>
      </c>
      <c r="J1085" t="b">
        <f t="shared" si="33"/>
        <v>0</v>
      </c>
    </row>
    <row r="1086" spans="3:10" x14ac:dyDescent="0.25">
      <c r="C1086" s="4"/>
      <c r="E1086" s="4"/>
      <c r="H1086" s="31" t="str">
        <f t="shared" si="32"/>
        <v/>
      </c>
      <c r="J1086" t="b">
        <f t="shared" si="33"/>
        <v>0</v>
      </c>
    </row>
    <row r="1087" spans="3:10" x14ac:dyDescent="0.25">
      <c r="C1087" s="4"/>
      <c r="E1087" s="4"/>
      <c r="H1087" s="31" t="str">
        <f t="shared" si="32"/>
        <v/>
      </c>
      <c r="J1087" t="b">
        <f t="shared" si="33"/>
        <v>0</v>
      </c>
    </row>
    <row r="1088" spans="3:10" x14ac:dyDescent="0.25">
      <c r="C1088" s="4"/>
      <c r="E1088" s="4"/>
      <c r="H1088" s="31" t="str">
        <f t="shared" si="32"/>
        <v/>
      </c>
      <c r="J1088" t="b">
        <f t="shared" si="33"/>
        <v>0</v>
      </c>
    </row>
    <row r="1089" spans="3:10" x14ac:dyDescent="0.25">
      <c r="C1089" s="4"/>
      <c r="E1089" s="4"/>
      <c r="H1089" s="31" t="str">
        <f t="shared" si="32"/>
        <v/>
      </c>
      <c r="J1089" t="b">
        <f t="shared" si="33"/>
        <v>0</v>
      </c>
    </row>
    <row r="1090" spans="3:10" x14ac:dyDescent="0.25">
      <c r="C1090" s="4"/>
      <c r="E1090" s="4"/>
      <c r="H1090" s="31" t="str">
        <f t="shared" si="32"/>
        <v/>
      </c>
      <c r="J1090" t="b">
        <f t="shared" si="33"/>
        <v>0</v>
      </c>
    </row>
    <row r="1091" spans="3:10" x14ac:dyDescent="0.25">
      <c r="C1091" s="4"/>
      <c r="E1091" s="4"/>
      <c r="H1091" s="31" t="str">
        <f t="shared" si="32"/>
        <v/>
      </c>
      <c r="J1091" t="b">
        <f t="shared" si="33"/>
        <v>0</v>
      </c>
    </row>
    <row r="1092" spans="3:10" x14ac:dyDescent="0.25">
      <c r="C1092" s="4"/>
      <c r="E1092" s="4"/>
      <c r="H1092" s="31" t="str">
        <f t="shared" ref="H1092:H1155" si="34">IF($J1092=TRUE,"Il ne peut y avoir des valeurs dans les 2 méthodes",IF($D1092="kg/l",$C1092,IF($D1092="g/l",$C1092/1000,IF($D1092="lb/gal US",$C1092*0.454/3.785,IF($G1092="kg/l",($E1092/100)*$F1092,IF($G1092="g/l",($E1092/100)*$F1092/1000,IF($G1092="lb/gal US",($E1092/100)*$F1092*0.454/3.785,"")))))))</f>
        <v/>
      </c>
      <c r="J1092" t="b">
        <f t="shared" ref="J1092:J1155" si="35">IF(AND(OR($C1092&lt;&gt;"",$D1092&lt;&gt;""),OR($E1092&lt;&gt;"",F1092&lt;&gt;"",G1092&lt;&gt;"")),TRUE,FALSE)</f>
        <v>0</v>
      </c>
    </row>
    <row r="1093" spans="3:10" x14ac:dyDescent="0.25">
      <c r="C1093" s="4"/>
      <c r="E1093" s="4"/>
      <c r="H1093" s="31" t="str">
        <f t="shared" si="34"/>
        <v/>
      </c>
      <c r="J1093" t="b">
        <f t="shared" si="35"/>
        <v>0</v>
      </c>
    </row>
    <row r="1094" spans="3:10" x14ac:dyDescent="0.25">
      <c r="C1094" s="4"/>
      <c r="E1094" s="4"/>
      <c r="H1094" s="31" t="str">
        <f t="shared" si="34"/>
        <v/>
      </c>
      <c r="J1094" t="b">
        <f t="shared" si="35"/>
        <v>0</v>
      </c>
    </row>
    <row r="1095" spans="3:10" x14ac:dyDescent="0.25">
      <c r="C1095" s="4"/>
      <c r="E1095" s="4"/>
      <c r="H1095" s="31" t="str">
        <f t="shared" si="34"/>
        <v/>
      </c>
      <c r="J1095" t="b">
        <f t="shared" si="35"/>
        <v>0</v>
      </c>
    </row>
    <row r="1096" spans="3:10" x14ac:dyDescent="0.25">
      <c r="C1096" s="4"/>
      <c r="E1096" s="4"/>
      <c r="H1096" s="31" t="str">
        <f t="shared" si="34"/>
        <v/>
      </c>
      <c r="J1096" t="b">
        <f t="shared" si="35"/>
        <v>0</v>
      </c>
    </row>
    <row r="1097" spans="3:10" x14ac:dyDescent="0.25">
      <c r="C1097" s="4"/>
      <c r="E1097" s="4"/>
      <c r="H1097" s="31" t="str">
        <f t="shared" si="34"/>
        <v/>
      </c>
      <c r="J1097" t="b">
        <f t="shared" si="35"/>
        <v>0</v>
      </c>
    </row>
    <row r="1098" spans="3:10" x14ac:dyDescent="0.25">
      <c r="C1098" s="4"/>
      <c r="E1098" s="4"/>
      <c r="H1098" s="31" t="str">
        <f t="shared" si="34"/>
        <v/>
      </c>
      <c r="J1098" t="b">
        <f t="shared" si="35"/>
        <v>0</v>
      </c>
    </row>
    <row r="1099" spans="3:10" x14ac:dyDescent="0.25">
      <c r="C1099" s="4"/>
      <c r="E1099" s="4"/>
      <c r="H1099" s="31" t="str">
        <f t="shared" si="34"/>
        <v/>
      </c>
      <c r="J1099" t="b">
        <f t="shared" si="35"/>
        <v>0</v>
      </c>
    </row>
    <row r="1100" spans="3:10" x14ac:dyDescent="0.25">
      <c r="C1100" s="4"/>
      <c r="E1100" s="4"/>
      <c r="H1100" s="31" t="str">
        <f t="shared" si="34"/>
        <v/>
      </c>
      <c r="J1100" t="b">
        <f t="shared" si="35"/>
        <v>0</v>
      </c>
    </row>
    <row r="1101" spans="3:10" x14ac:dyDescent="0.25">
      <c r="C1101" s="4"/>
      <c r="E1101" s="4"/>
      <c r="H1101" s="31" t="str">
        <f t="shared" si="34"/>
        <v/>
      </c>
      <c r="J1101" t="b">
        <f t="shared" si="35"/>
        <v>0</v>
      </c>
    </row>
    <row r="1102" spans="3:10" x14ac:dyDescent="0.25">
      <c r="C1102" s="4"/>
      <c r="E1102" s="4"/>
      <c r="H1102" s="31" t="str">
        <f t="shared" si="34"/>
        <v/>
      </c>
      <c r="J1102" t="b">
        <f t="shared" si="35"/>
        <v>0</v>
      </c>
    </row>
    <row r="1103" spans="3:10" x14ac:dyDescent="0.25">
      <c r="C1103" s="4"/>
      <c r="E1103" s="4"/>
      <c r="H1103" s="31" t="str">
        <f t="shared" si="34"/>
        <v/>
      </c>
      <c r="J1103" t="b">
        <f t="shared" si="35"/>
        <v>0</v>
      </c>
    </row>
    <row r="1104" spans="3:10" x14ac:dyDescent="0.25">
      <c r="C1104" s="4"/>
      <c r="E1104" s="4"/>
      <c r="H1104" s="31" t="str">
        <f t="shared" si="34"/>
        <v/>
      </c>
      <c r="J1104" t="b">
        <f t="shared" si="35"/>
        <v>0</v>
      </c>
    </row>
    <row r="1105" spans="3:10" x14ac:dyDescent="0.25">
      <c r="C1105" s="4"/>
      <c r="E1105" s="4"/>
      <c r="H1105" s="31" t="str">
        <f t="shared" si="34"/>
        <v/>
      </c>
      <c r="J1105" t="b">
        <f t="shared" si="35"/>
        <v>0</v>
      </c>
    </row>
    <row r="1106" spans="3:10" x14ac:dyDescent="0.25">
      <c r="C1106" s="4"/>
      <c r="E1106" s="4"/>
      <c r="H1106" s="31" t="str">
        <f t="shared" si="34"/>
        <v/>
      </c>
      <c r="J1106" t="b">
        <f t="shared" si="35"/>
        <v>0</v>
      </c>
    </row>
    <row r="1107" spans="3:10" x14ac:dyDescent="0.25">
      <c r="C1107" s="4"/>
      <c r="E1107" s="4"/>
      <c r="H1107" s="31" t="str">
        <f t="shared" si="34"/>
        <v/>
      </c>
      <c r="J1107" t="b">
        <f t="shared" si="35"/>
        <v>0</v>
      </c>
    </row>
    <row r="1108" spans="3:10" x14ac:dyDescent="0.25">
      <c r="C1108" s="4"/>
      <c r="E1108" s="4"/>
      <c r="H1108" s="31" t="str">
        <f t="shared" si="34"/>
        <v/>
      </c>
      <c r="J1108" t="b">
        <f t="shared" si="35"/>
        <v>0</v>
      </c>
    </row>
    <row r="1109" spans="3:10" x14ac:dyDescent="0.25">
      <c r="C1109" s="4"/>
      <c r="E1109" s="4"/>
      <c r="H1109" s="31" t="str">
        <f t="shared" si="34"/>
        <v/>
      </c>
      <c r="J1109" t="b">
        <f t="shared" si="35"/>
        <v>0</v>
      </c>
    </row>
    <row r="1110" spans="3:10" x14ac:dyDescent="0.25">
      <c r="C1110" s="4"/>
      <c r="E1110" s="4"/>
      <c r="H1110" s="31" t="str">
        <f t="shared" si="34"/>
        <v/>
      </c>
      <c r="J1110" t="b">
        <f t="shared" si="35"/>
        <v>0</v>
      </c>
    </row>
    <row r="1111" spans="3:10" x14ac:dyDescent="0.25">
      <c r="C1111" s="4"/>
      <c r="E1111" s="4"/>
      <c r="H1111" s="31" t="str">
        <f t="shared" si="34"/>
        <v/>
      </c>
      <c r="J1111" t="b">
        <f t="shared" si="35"/>
        <v>0</v>
      </c>
    </row>
    <row r="1112" spans="3:10" x14ac:dyDescent="0.25">
      <c r="C1112" s="4"/>
      <c r="E1112" s="4"/>
      <c r="H1112" s="31" t="str">
        <f t="shared" si="34"/>
        <v/>
      </c>
      <c r="J1112" t="b">
        <f t="shared" si="35"/>
        <v>0</v>
      </c>
    </row>
    <row r="1113" spans="3:10" x14ac:dyDescent="0.25">
      <c r="C1113" s="4"/>
      <c r="E1113" s="4"/>
      <c r="H1113" s="31" t="str">
        <f t="shared" si="34"/>
        <v/>
      </c>
      <c r="J1113" t="b">
        <f t="shared" si="35"/>
        <v>0</v>
      </c>
    </row>
    <row r="1114" spans="3:10" x14ac:dyDescent="0.25">
      <c r="C1114" s="4"/>
      <c r="E1114" s="4"/>
      <c r="H1114" s="31" t="str">
        <f t="shared" si="34"/>
        <v/>
      </c>
      <c r="J1114" t="b">
        <f t="shared" si="35"/>
        <v>0</v>
      </c>
    </row>
    <row r="1115" spans="3:10" x14ac:dyDescent="0.25">
      <c r="C1115" s="4"/>
      <c r="E1115" s="4"/>
      <c r="H1115" s="31" t="str">
        <f t="shared" si="34"/>
        <v/>
      </c>
      <c r="J1115" t="b">
        <f t="shared" si="35"/>
        <v>0</v>
      </c>
    </row>
    <row r="1116" spans="3:10" x14ac:dyDescent="0.25">
      <c r="C1116" s="4"/>
      <c r="E1116" s="4"/>
      <c r="H1116" s="31" t="str">
        <f t="shared" si="34"/>
        <v/>
      </c>
      <c r="J1116" t="b">
        <f t="shared" si="35"/>
        <v>0</v>
      </c>
    </row>
    <row r="1117" spans="3:10" x14ac:dyDescent="0.25">
      <c r="C1117" s="4"/>
      <c r="E1117" s="4"/>
      <c r="H1117" s="31" t="str">
        <f t="shared" si="34"/>
        <v/>
      </c>
      <c r="J1117" t="b">
        <f t="shared" si="35"/>
        <v>0</v>
      </c>
    </row>
    <row r="1118" spans="3:10" x14ac:dyDescent="0.25">
      <c r="C1118" s="4"/>
      <c r="E1118" s="4"/>
      <c r="H1118" s="31" t="str">
        <f t="shared" si="34"/>
        <v/>
      </c>
      <c r="J1118" t="b">
        <f t="shared" si="35"/>
        <v>0</v>
      </c>
    </row>
    <row r="1119" spans="3:10" x14ac:dyDescent="0.25">
      <c r="C1119" s="4"/>
      <c r="E1119" s="4"/>
      <c r="H1119" s="31" t="str">
        <f t="shared" si="34"/>
        <v/>
      </c>
      <c r="J1119" t="b">
        <f t="shared" si="35"/>
        <v>0</v>
      </c>
    </row>
    <row r="1120" spans="3:10" x14ac:dyDescent="0.25">
      <c r="C1120" s="4"/>
      <c r="E1120" s="4"/>
      <c r="H1120" s="31" t="str">
        <f t="shared" si="34"/>
        <v/>
      </c>
      <c r="J1120" t="b">
        <f t="shared" si="35"/>
        <v>0</v>
      </c>
    </row>
    <row r="1121" spans="3:10" x14ac:dyDescent="0.25">
      <c r="C1121" s="4"/>
      <c r="E1121" s="4"/>
      <c r="H1121" s="31" t="str">
        <f t="shared" si="34"/>
        <v/>
      </c>
      <c r="J1121" t="b">
        <f t="shared" si="35"/>
        <v>0</v>
      </c>
    </row>
    <row r="1122" spans="3:10" x14ac:dyDescent="0.25">
      <c r="C1122" s="4"/>
      <c r="E1122" s="4"/>
      <c r="H1122" s="31" t="str">
        <f t="shared" si="34"/>
        <v/>
      </c>
      <c r="J1122" t="b">
        <f t="shared" si="35"/>
        <v>0</v>
      </c>
    </row>
    <row r="1123" spans="3:10" x14ac:dyDescent="0.25">
      <c r="C1123" s="4"/>
      <c r="E1123" s="4"/>
      <c r="H1123" s="31" t="str">
        <f t="shared" si="34"/>
        <v/>
      </c>
      <c r="J1123" t="b">
        <f t="shared" si="35"/>
        <v>0</v>
      </c>
    </row>
    <row r="1124" spans="3:10" x14ac:dyDescent="0.25">
      <c r="C1124" s="4"/>
      <c r="E1124" s="4"/>
      <c r="H1124" s="31" t="str">
        <f t="shared" si="34"/>
        <v/>
      </c>
      <c r="J1124" t="b">
        <f t="shared" si="35"/>
        <v>0</v>
      </c>
    </row>
    <row r="1125" spans="3:10" x14ac:dyDescent="0.25">
      <c r="C1125" s="4"/>
      <c r="E1125" s="4"/>
      <c r="H1125" s="31" t="str">
        <f t="shared" si="34"/>
        <v/>
      </c>
      <c r="J1125" t="b">
        <f t="shared" si="35"/>
        <v>0</v>
      </c>
    </row>
    <row r="1126" spans="3:10" x14ac:dyDescent="0.25">
      <c r="C1126" s="4"/>
      <c r="E1126" s="4"/>
      <c r="H1126" s="31" t="str">
        <f t="shared" si="34"/>
        <v/>
      </c>
      <c r="J1126" t="b">
        <f t="shared" si="35"/>
        <v>0</v>
      </c>
    </row>
    <row r="1127" spans="3:10" x14ac:dyDescent="0.25">
      <c r="C1127" s="4"/>
      <c r="E1127" s="4"/>
      <c r="H1127" s="31" t="str">
        <f t="shared" si="34"/>
        <v/>
      </c>
      <c r="J1127" t="b">
        <f t="shared" si="35"/>
        <v>0</v>
      </c>
    </row>
    <row r="1128" spans="3:10" x14ac:dyDescent="0.25">
      <c r="C1128" s="4"/>
      <c r="E1128" s="4"/>
      <c r="H1128" s="31" t="str">
        <f t="shared" si="34"/>
        <v/>
      </c>
      <c r="J1128" t="b">
        <f t="shared" si="35"/>
        <v>0</v>
      </c>
    </row>
    <row r="1129" spans="3:10" x14ac:dyDescent="0.25">
      <c r="C1129" s="4"/>
      <c r="E1129" s="4"/>
      <c r="H1129" s="31" t="str">
        <f t="shared" si="34"/>
        <v/>
      </c>
      <c r="J1129" t="b">
        <f t="shared" si="35"/>
        <v>0</v>
      </c>
    </row>
    <row r="1130" spans="3:10" x14ac:dyDescent="0.25">
      <c r="C1130" s="4"/>
      <c r="E1130" s="4"/>
      <c r="H1130" s="31" t="str">
        <f t="shared" si="34"/>
        <v/>
      </c>
      <c r="J1130" t="b">
        <f t="shared" si="35"/>
        <v>0</v>
      </c>
    </row>
    <row r="1131" spans="3:10" x14ac:dyDescent="0.25">
      <c r="C1131" s="4"/>
      <c r="E1131" s="4"/>
      <c r="H1131" s="31" t="str">
        <f t="shared" si="34"/>
        <v/>
      </c>
      <c r="J1131" t="b">
        <f t="shared" si="35"/>
        <v>0</v>
      </c>
    </row>
    <row r="1132" spans="3:10" x14ac:dyDescent="0.25">
      <c r="C1132" s="4"/>
      <c r="E1132" s="4"/>
      <c r="H1132" s="31" t="str">
        <f t="shared" si="34"/>
        <v/>
      </c>
      <c r="J1132" t="b">
        <f t="shared" si="35"/>
        <v>0</v>
      </c>
    </row>
    <row r="1133" spans="3:10" x14ac:dyDescent="0.25">
      <c r="C1133" s="4"/>
      <c r="E1133" s="4"/>
      <c r="H1133" s="31" t="str">
        <f t="shared" si="34"/>
        <v/>
      </c>
      <c r="J1133" t="b">
        <f t="shared" si="35"/>
        <v>0</v>
      </c>
    </row>
    <row r="1134" spans="3:10" x14ac:dyDescent="0.25">
      <c r="C1134" s="4"/>
      <c r="E1134" s="4"/>
      <c r="H1134" s="31" t="str">
        <f t="shared" si="34"/>
        <v/>
      </c>
      <c r="J1134" t="b">
        <f t="shared" si="35"/>
        <v>0</v>
      </c>
    </row>
    <row r="1135" spans="3:10" x14ac:dyDescent="0.25">
      <c r="C1135" s="4"/>
      <c r="E1135" s="4"/>
      <c r="H1135" s="31" t="str">
        <f t="shared" si="34"/>
        <v/>
      </c>
      <c r="J1135" t="b">
        <f t="shared" si="35"/>
        <v>0</v>
      </c>
    </row>
    <row r="1136" spans="3:10" x14ac:dyDescent="0.25">
      <c r="C1136" s="4"/>
      <c r="E1136" s="4"/>
      <c r="H1136" s="31" t="str">
        <f t="shared" si="34"/>
        <v/>
      </c>
      <c r="J1136" t="b">
        <f t="shared" si="35"/>
        <v>0</v>
      </c>
    </row>
    <row r="1137" spans="3:10" x14ac:dyDescent="0.25">
      <c r="C1137" s="4"/>
      <c r="E1137" s="4"/>
      <c r="H1137" s="31" t="str">
        <f t="shared" si="34"/>
        <v/>
      </c>
      <c r="J1137" t="b">
        <f t="shared" si="35"/>
        <v>0</v>
      </c>
    </row>
    <row r="1138" spans="3:10" x14ac:dyDescent="0.25">
      <c r="C1138" s="4"/>
      <c r="E1138" s="4"/>
      <c r="H1138" s="31" t="str">
        <f t="shared" si="34"/>
        <v/>
      </c>
      <c r="J1138" t="b">
        <f t="shared" si="35"/>
        <v>0</v>
      </c>
    </row>
    <row r="1139" spans="3:10" x14ac:dyDescent="0.25">
      <c r="C1139" s="4"/>
      <c r="E1139" s="4"/>
      <c r="H1139" s="31" t="str">
        <f t="shared" si="34"/>
        <v/>
      </c>
      <c r="J1139" t="b">
        <f t="shared" si="35"/>
        <v>0</v>
      </c>
    </row>
    <row r="1140" spans="3:10" x14ac:dyDescent="0.25">
      <c r="C1140" s="4"/>
      <c r="E1140" s="4"/>
      <c r="H1140" s="31" t="str">
        <f t="shared" si="34"/>
        <v/>
      </c>
      <c r="J1140" t="b">
        <f t="shared" si="35"/>
        <v>0</v>
      </c>
    </row>
    <row r="1141" spans="3:10" x14ac:dyDescent="0.25">
      <c r="C1141" s="4"/>
      <c r="E1141" s="4"/>
      <c r="H1141" s="31" t="str">
        <f t="shared" si="34"/>
        <v/>
      </c>
      <c r="J1141" t="b">
        <f t="shared" si="35"/>
        <v>0</v>
      </c>
    </row>
    <row r="1142" spans="3:10" x14ac:dyDescent="0.25">
      <c r="C1142" s="4"/>
      <c r="E1142" s="4"/>
      <c r="H1142" s="31" t="str">
        <f t="shared" si="34"/>
        <v/>
      </c>
      <c r="J1142" t="b">
        <f t="shared" si="35"/>
        <v>0</v>
      </c>
    </row>
    <row r="1143" spans="3:10" x14ac:dyDescent="0.25">
      <c r="C1143" s="4"/>
      <c r="E1143" s="4"/>
      <c r="H1143" s="31" t="str">
        <f t="shared" si="34"/>
        <v/>
      </c>
      <c r="J1143" t="b">
        <f t="shared" si="35"/>
        <v>0</v>
      </c>
    </row>
    <row r="1144" spans="3:10" x14ac:dyDescent="0.25">
      <c r="C1144" s="4"/>
      <c r="E1144" s="4"/>
      <c r="H1144" s="31" t="str">
        <f t="shared" si="34"/>
        <v/>
      </c>
      <c r="J1144" t="b">
        <f t="shared" si="35"/>
        <v>0</v>
      </c>
    </row>
    <row r="1145" spans="3:10" x14ac:dyDescent="0.25">
      <c r="C1145" s="4"/>
      <c r="E1145" s="4"/>
      <c r="H1145" s="31" t="str">
        <f t="shared" si="34"/>
        <v/>
      </c>
      <c r="J1145" t="b">
        <f t="shared" si="35"/>
        <v>0</v>
      </c>
    </row>
    <row r="1146" spans="3:10" x14ac:dyDescent="0.25">
      <c r="C1146" s="4"/>
      <c r="E1146" s="4"/>
      <c r="H1146" s="31" t="str">
        <f t="shared" si="34"/>
        <v/>
      </c>
      <c r="J1146" t="b">
        <f t="shared" si="35"/>
        <v>0</v>
      </c>
    </row>
    <row r="1147" spans="3:10" x14ac:dyDescent="0.25">
      <c r="C1147" s="4"/>
      <c r="E1147" s="4"/>
      <c r="H1147" s="31" t="str">
        <f t="shared" si="34"/>
        <v/>
      </c>
      <c r="J1147" t="b">
        <f t="shared" si="35"/>
        <v>0</v>
      </c>
    </row>
    <row r="1148" spans="3:10" x14ac:dyDescent="0.25">
      <c r="C1148" s="4"/>
      <c r="E1148" s="4"/>
      <c r="H1148" s="31" t="str">
        <f t="shared" si="34"/>
        <v/>
      </c>
      <c r="J1148" t="b">
        <f t="shared" si="35"/>
        <v>0</v>
      </c>
    </row>
    <row r="1149" spans="3:10" x14ac:dyDescent="0.25">
      <c r="C1149" s="4"/>
      <c r="E1149" s="4"/>
      <c r="H1149" s="31" t="str">
        <f t="shared" si="34"/>
        <v/>
      </c>
      <c r="J1149" t="b">
        <f t="shared" si="35"/>
        <v>0</v>
      </c>
    </row>
    <row r="1150" spans="3:10" x14ac:dyDescent="0.25">
      <c r="C1150" s="4"/>
      <c r="E1150" s="4"/>
      <c r="H1150" s="31" t="str">
        <f t="shared" si="34"/>
        <v/>
      </c>
      <c r="J1150" t="b">
        <f t="shared" si="35"/>
        <v>0</v>
      </c>
    </row>
    <row r="1151" spans="3:10" x14ac:dyDescent="0.25">
      <c r="C1151" s="4"/>
      <c r="E1151" s="4"/>
      <c r="H1151" s="31" t="str">
        <f t="shared" si="34"/>
        <v/>
      </c>
      <c r="J1151" t="b">
        <f t="shared" si="35"/>
        <v>0</v>
      </c>
    </row>
    <row r="1152" spans="3:10" x14ac:dyDescent="0.25">
      <c r="C1152" s="4"/>
      <c r="E1152" s="4"/>
      <c r="H1152" s="31" t="str">
        <f t="shared" si="34"/>
        <v/>
      </c>
      <c r="J1152" t="b">
        <f t="shared" si="35"/>
        <v>0</v>
      </c>
    </row>
    <row r="1153" spans="3:10" x14ac:dyDescent="0.25">
      <c r="C1153" s="4"/>
      <c r="E1153" s="4"/>
      <c r="H1153" s="31" t="str">
        <f t="shared" si="34"/>
        <v/>
      </c>
      <c r="J1153" t="b">
        <f t="shared" si="35"/>
        <v>0</v>
      </c>
    </row>
    <row r="1154" spans="3:10" x14ac:dyDescent="0.25">
      <c r="C1154" s="4"/>
      <c r="E1154" s="4"/>
      <c r="H1154" s="31" t="str">
        <f t="shared" si="34"/>
        <v/>
      </c>
      <c r="J1154" t="b">
        <f t="shared" si="35"/>
        <v>0</v>
      </c>
    </row>
    <row r="1155" spans="3:10" x14ac:dyDescent="0.25">
      <c r="C1155" s="4"/>
      <c r="E1155" s="4"/>
      <c r="H1155" s="31" t="str">
        <f t="shared" si="34"/>
        <v/>
      </c>
      <c r="J1155" t="b">
        <f t="shared" si="35"/>
        <v>0</v>
      </c>
    </row>
    <row r="1156" spans="3:10" x14ac:dyDescent="0.25">
      <c r="C1156" s="4"/>
      <c r="E1156" s="4"/>
      <c r="H1156" s="31" t="str">
        <f t="shared" ref="H1156:H1219" si="36">IF($J1156=TRUE,"Il ne peut y avoir des valeurs dans les 2 méthodes",IF($D1156="kg/l",$C1156,IF($D1156="g/l",$C1156/1000,IF($D1156="lb/gal US",$C1156*0.454/3.785,IF($G1156="kg/l",($E1156/100)*$F1156,IF($G1156="g/l",($E1156/100)*$F1156/1000,IF($G1156="lb/gal US",($E1156/100)*$F1156*0.454/3.785,"")))))))</f>
        <v/>
      </c>
      <c r="J1156" t="b">
        <f t="shared" ref="J1156:J1219" si="37">IF(AND(OR($C1156&lt;&gt;"",$D1156&lt;&gt;""),OR($E1156&lt;&gt;"",F1156&lt;&gt;"",G1156&lt;&gt;"")),TRUE,FALSE)</f>
        <v>0</v>
      </c>
    </row>
    <row r="1157" spans="3:10" x14ac:dyDescent="0.25">
      <c r="C1157" s="4"/>
      <c r="E1157" s="4"/>
      <c r="H1157" s="31" t="str">
        <f t="shared" si="36"/>
        <v/>
      </c>
      <c r="J1157" t="b">
        <f t="shared" si="37"/>
        <v>0</v>
      </c>
    </row>
    <row r="1158" spans="3:10" x14ac:dyDescent="0.25">
      <c r="C1158" s="4"/>
      <c r="E1158" s="4"/>
      <c r="H1158" s="31" t="str">
        <f t="shared" si="36"/>
        <v/>
      </c>
      <c r="J1158" t="b">
        <f t="shared" si="37"/>
        <v>0</v>
      </c>
    </row>
    <row r="1159" spans="3:10" x14ac:dyDescent="0.25">
      <c r="C1159" s="4"/>
      <c r="E1159" s="4"/>
      <c r="H1159" s="31" t="str">
        <f t="shared" si="36"/>
        <v/>
      </c>
      <c r="J1159" t="b">
        <f t="shared" si="37"/>
        <v>0</v>
      </c>
    </row>
    <row r="1160" spans="3:10" x14ac:dyDescent="0.25">
      <c r="C1160" s="4"/>
      <c r="E1160" s="4"/>
      <c r="H1160" s="31" t="str">
        <f t="shared" si="36"/>
        <v/>
      </c>
      <c r="J1160" t="b">
        <f t="shared" si="37"/>
        <v>0</v>
      </c>
    </row>
    <row r="1161" spans="3:10" x14ac:dyDescent="0.25">
      <c r="C1161" s="4"/>
      <c r="E1161" s="4"/>
      <c r="H1161" s="31" t="str">
        <f t="shared" si="36"/>
        <v/>
      </c>
      <c r="J1161" t="b">
        <f t="shared" si="37"/>
        <v>0</v>
      </c>
    </row>
    <row r="1162" spans="3:10" x14ac:dyDescent="0.25">
      <c r="C1162" s="4"/>
      <c r="E1162" s="4"/>
      <c r="H1162" s="31" t="str">
        <f t="shared" si="36"/>
        <v/>
      </c>
      <c r="J1162" t="b">
        <f t="shared" si="37"/>
        <v>0</v>
      </c>
    </row>
    <row r="1163" spans="3:10" x14ac:dyDescent="0.25">
      <c r="C1163" s="4"/>
      <c r="E1163" s="4"/>
      <c r="H1163" s="31" t="str">
        <f t="shared" si="36"/>
        <v/>
      </c>
      <c r="J1163" t="b">
        <f t="shared" si="37"/>
        <v>0</v>
      </c>
    </row>
    <row r="1164" spans="3:10" x14ac:dyDescent="0.25">
      <c r="C1164" s="4"/>
      <c r="E1164" s="4"/>
      <c r="H1164" s="31" t="str">
        <f t="shared" si="36"/>
        <v/>
      </c>
      <c r="J1164" t="b">
        <f t="shared" si="37"/>
        <v>0</v>
      </c>
    </row>
    <row r="1165" spans="3:10" x14ac:dyDescent="0.25">
      <c r="C1165" s="4"/>
      <c r="E1165" s="4"/>
      <c r="H1165" s="31" t="str">
        <f t="shared" si="36"/>
        <v/>
      </c>
      <c r="J1165" t="b">
        <f t="shared" si="37"/>
        <v>0</v>
      </c>
    </row>
    <row r="1166" spans="3:10" x14ac:dyDescent="0.25">
      <c r="C1166" s="4"/>
      <c r="E1166" s="4"/>
      <c r="H1166" s="31" t="str">
        <f t="shared" si="36"/>
        <v/>
      </c>
      <c r="J1166" t="b">
        <f t="shared" si="37"/>
        <v>0</v>
      </c>
    </row>
    <row r="1167" spans="3:10" x14ac:dyDescent="0.25">
      <c r="C1167" s="4"/>
      <c r="E1167" s="4"/>
      <c r="H1167" s="31" t="str">
        <f t="shared" si="36"/>
        <v/>
      </c>
      <c r="J1167" t="b">
        <f t="shared" si="37"/>
        <v>0</v>
      </c>
    </row>
    <row r="1168" spans="3:10" x14ac:dyDescent="0.25">
      <c r="C1168" s="4"/>
      <c r="E1168" s="4"/>
      <c r="H1168" s="31" t="str">
        <f t="shared" si="36"/>
        <v/>
      </c>
      <c r="J1168" t="b">
        <f t="shared" si="37"/>
        <v>0</v>
      </c>
    </row>
    <row r="1169" spans="3:10" x14ac:dyDescent="0.25">
      <c r="C1169" s="4"/>
      <c r="E1169" s="4"/>
      <c r="H1169" s="31" t="str">
        <f t="shared" si="36"/>
        <v/>
      </c>
      <c r="J1169" t="b">
        <f t="shared" si="37"/>
        <v>0</v>
      </c>
    </row>
    <row r="1170" spans="3:10" x14ac:dyDescent="0.25">
      <c r="C1170" s="4"/>
      <c r="E1170" s="4"/>
      <c r="H1170" s="31" t="str">
        <f t="shared" si="36"/>
        <v/>
      </c>
      <c r="J1170" t="b">
        <f t="shared" si="37"/>
        <v>0</v>
      </c>
    </row>
    <row r="1171" spans="3:10" x14ac:dyDescent="0.25">
      <c r="C1171" s="4"/>
      <c r="E1171" s="4"/>
      <c r="H1171" s="31" t="str">
        <f t="shared" si="36"/>
        <v/>
      </c>
      <c r="J1171" t="b">
        <f t="shared" si="37"/>
        <v>0</v>
      </c>
    </row>
    <row r="1172" spans="3:10" x14ac:dyDescent="0.25">
      <c r="C1172" s="4"/>
      <c r="E1172" s="4"/>
      <c r="H1172" s="31" t="str">
        <f t="shared" si="36"/>
        <v/>
      </c>
      <c r="J1172" t="b">
        <f t="shared" si="37"/>
        <v>0</v>
      </c>
    </row>
    <row r="1173" spans="3:10" x14ac:dyDescent="0.25">
      <c r="C1173" s="4"/>
      <c r="E1173" s="4"/>
      <c r="H1173" s="31" t="str">
        <f t="shared" si="36"/>
        <v/>
      </c>
      <c r="J1173" t="b">
        <f t="shared" si="37"/>
        <v>0</v>
      </c>
    </row>
    <row r="1174" spans="3:10" x14ac:dyDescent="0.25">
      <c r="C1174" s="4"/>
      <c r="E1174" s="4"/>
      <c r="H1174" s="31" t="str">
        <f t="shared" si="36"/>
        <v/>
      </c>
      <c r="J1174" t="b">
        <f t="shared" si="37"/>
        <v>0</v>
      </c>
    </row>
    <row r="1175" spans="3:10" x14ac:dyDescent="0.25">
      <c r="C1175" s="4"/>
      <c r="E1175" s="4"/>
      <c r="H1175" s="31" t="str">
        <f t="shared" si="36"/>
        <v/>
      </c>
      <c r="J1175" t="b">
        <f t="shared" si="37"/>
        <v>0</v>
      </c>
    </row>
    <row r="1176" spans="3:10" x14ac:dyDescent="0.25">
      <c r="C1176" s="4"/>
      <c r="E1176" s="4"/>
      <c r="H1176" s="31" t="str">
        <f t="shared" si="36"/>
        <v/>
      </c>
      <c r="J1176" t="b">
        <f t="shared" si="37"/>
        <v>0</v>
      </c>
    </row>
    <row r="1177" spans="3:10" x14ac:dyDescent="0.25">
      <c r="C1177" s="4"/>
      <c r="E1177" s="4"/>
      <c r="H1177" s="31" t="str">
        <f t="shared" si="36"/>
        <v/>
      </c>
      <c r="J1177" t="b">
        <f t="shared" si="37"/>
        <v>0</v>
      </c>
    </row>
    <row r="1178" spans="3:10" x14ac:dyDescent="0.25">
      <c r="C1178" s="4"/>
      <c r="E1178" s="4"/>
      <c r="H1178" s="31" t="str">
        <f t="shared" si="36"/>
        <v/>
      </c>
      <c r="J1178" t="b">
        <f t="shared" si="37"/>
        <v>0</v>
      </c>
    </row>
    <row r="1179" spans="3:10" x14ac:dyDescent="0.25">
      <c r="C1179" s="4"/>
      <c r="E1179" s="4"/>
      <c r="H1179" s="31" t="str">
        <f t="shared" si="36"/>
        <v/>
      </c>
      <c r="J1179" t="b">
        <f t="shared" si="37"/>
        <v>0</v>
      </c>
    </row>
    <row r="1180" spans="3:10" x14ac:dyDescent="0.25">
      <c r="C1180" s="4"/>
      <c r="E1180" s="4"/>
      <c r="H1180" s="31" t="str">
        <f t="shared" si="36"/>
        <v/>
      </c>
      <c r="J1180" t="b">
        <f t="shared" si="37"/>
        <v>0</v>
      </c>
    </row>
    <row r="1181" spans="3:10" x14ac:dyDescent="0.25">
      <c r="C1181" s="4"/>
      <c r="E1181" s="4"/>
      <c r="H1181" s="31" t="str">
        <f t="shared" si="36"/>
        <v/>
      </c>
      <c r="J1181" t="b">
        <f t="shared" si="37"/>
        <v>0</v>
      </c>
    </row>
    <row r="1182" spans="3:10" x14ac:dyDescent="0.25">
      <c r="C1182" s="4"/>
      <c r="E1182" s="4"/>
      <c r="H1182" s="31" t="str">
        <f t="shared" si="36"/>
        <v/>
      </c>
      <c r="J1182" t="b">
        <f t="shared" si="37"/>
        <v>0</v>
      </c>
    </row>
    <row r="1183" spans="3:10" x14ac:dyDescent="0.25">
      <c r="C1183" s="4"/>
      <c r="E1183" s="4"/>
      <c r="H1183" s="31" t="str">
        <f t="shared" si="36"/>
        <v/>
      </c>
      <c r="J1183" t="b">
        <f t="shared" si="37"/>
        <v>0</v>
      </c>
    </row>
    <row r="1184" spans="3:10" x14ac:dyDescent="0.25">
      <c r="C1184" s="4"/>
      <c r="E1184" s="4"/>
      <c r="H1184" s="31" t="str">
        <f t="shared" si="36"/>
        <v/>
      </c>
      <c r="J1184" t="b">
        <f t="shared" si="37"/>
        <v>0</v>
      </c>
    </row>
    <row r="1185" spans="3:10" x14ac:dyDescent="0.25">
      <c r="C1185" s="4"/>
      <c r="E1185" s="4"/>
      <c r="H1185" s="31" t="str">
        <f t="shared" si="36"/>
        <v/>
      </c>
      <c r="J1185" t="b">
        <f t="shared" si="37"/>
        <v>0</v>
      </c>
    </row>
    <row r="1186" spans="3:10" x14ac:dyDescent="0.25">
      <c r="C1186" s="4"/>
      <c r="E1186" s="4"/>
      <c r="H1186" s="31" t="str">
        <f t="shared" si="36"/>
        <v/>
      </c>
      <c r="J1186" t="b">
        <f t="shared" si="37"/>
        <v>0</v>
      </c>
    </row>
    <row r="1187" spans="3:10" x14ac:dyDescent="0.25">
      <c r="C1187" s="4"/>
      <c r="E1187" s="4"/>
      <c r="H1187" s="31" t="str">
        <f t="shared" si="36"/>
        <v/>
      </c>
      <c r="J1187" t="b">
        <f t="shared" si="37"/>
        <v>0</v>
      </c>
    </row>
    <row r="1188" spans="3:10" x14ac:dyDescent="0.25">
      <c r="C1188" s="4"/>
      <c r="E1188" s="4"/>
      <c r="H1188" s="31" t="str">
        <f t="shared" si="36"/>
        <v/>
      </c>
      <c r="J1188" t="b">
        <f t="shared" si="37"/>
        <v>0</v>
      </c>
    </row>
    <row r="1189" spans="3:10" x14ac:dyDescent="0.25">
      <c r="C1189" s="4"/>
      <c r="E1189" s="4"/>
      <c r="H1189" s="31" t="str">
        <f t="shared" si="36"/>
        <v/>
      </c>
      <c r="J1189" t="b">
        <f t="shared" si="37"/>
        <v>0</v>
      </c>
    </row>
    <row r="1190" spans="3:10" x14ac:dyDescent="0.25">
      <c r="C1190" s="4"/>
      <c r="E1190" s="4"/>
      <c r="H1190" s="31" t="str">
        <f t="shared" si="36"/>
        <v/>
      </c>
      <c r="J1190" t="b">
        <f t="shared" si="37"/>
        <v>0</v>
      </c>
    </row>
    <row r="1191" spans="3:10" x14ac:dyDescent="0.25">
      <c r="C1191" s="4"/>
      <c r="E1191" s="4"/>
      <c r="H1191" s="31" t="str">
        <f t="shared" si="36"/>
        <v/>
      </c>
      <c r="J1191" t="b">
        <f t="shared" si="37"/>
        <v>0</v>
      </c>
    </row>
    <row r="1192" spans="3:10" x14ac:dyDescent="0.25">
      <c r="C1192" s="4"/>
      <c r="E1192" s="4"/>
      <c r="H1192" s="31" t="str">
        <f t="shared" si="36"/>
        <v/>
      </c>
      <c r="J1192" t="b">
        <f t="shared" si="37"/>
        <v>0</v>
      </c>
    </row>
    <row r="1193" spans="3:10" x14ac:dyDescent="0.25">
      <c r="C1193" s="4"/>
      <c r="E1193" s="4"/>
      <c r="H1193" s="31" t="str">
        <f t="shared" si="36"/>
        <v/>
      </c>
      <c r="J1193" t="b">
        <f t="shared" si="37"/>
        <v>0</v>
      </c>
    </row>
    <row r="1194" spans="3:10" x14ac:dyDescent="0.25">
      <c r="C1194" s="4"/>
      <c r="E1194" s="4"/>
      <c r="H1194" s="31" t="str">
        <f t="shared" si="36"/>
        <v/>
      </c>
      <c r="J1194" t="b">
        <f t="shared" si="37"/>
        <v>0</v>
      </c>
    </row>
    <row r="1195" spans="3:10" x14ac:dyDescent="0.25">
      <c r="C1195" s="4"/>
      <c r="E1195" s="4"/>
      <c r="H1195" s="31" t="str">
        <f t="shared" si="36"/>
        <v/>
      </c>
      <c r="J1195" t="b">
        <f t="shared" si="37"/>
        <v>0</v>
      </c>
    </row>
    <row r="1196" spans="3:10" x14ac:dyDescent="0.25">
      <c r="C1196" s="4"/>
      <c r="E1196" s="4"/>
      <c r="H1196" s="31" t="str">
        <f t="shared" si="36"/>
        <v/>
      </c>
      <c r="J1196" t="b">
        <f t="shared" si="37"/>
        <v>0</v>
      </c>
    </row>
    <row r="1197" spans="3:10" x14ac:dyDescent="0.25">
      <c r="C1197" s="4"/>
      <c r="E1197" s="4"/>
      <c r="H1197" s="31" t="str">
        <f t="shared" si="36"/>
        <v/>
      </c>
      <c r="J1197" t="b">
        <f t="shared" si="37"/>
        <v>0</v>
      </c>
    </row>
    <row r="1198" spans="3:10" x14ac:dyDescent="0.25">
      <c r="C1198" s="4"/>
      <c r="E1198" s="4"/>
      <c r="H1198" s="31" t="str">
        <f t="shared" si="36"/>
        <v/>
      </c>
      <c r="J1198" t="b">
        <f t="shared" si="37"/>
        <v>0</v>
      </c>
    </row>
    <row r="1199" spans="3:10" x14ac:dyDescent="0.25">
      <c r="C1199" s="4"/>
      <c r="E1199" s="4"/>
      <c r="H1199" s="31" t="str">
        <f t="shared" si="36"/>
        <v/>
      </c>
      <c r="J1199" t="b">
        <f t="shared" si="37"/>
        <v>0</v>
      </c>
    </row>
    <row r="1200" spans="3:10" x14ac:dyDescent="0.25">
      <c r="C1200" s="4"/>
      <c r="E1200" s="4"/>
      <c r="H1200" s="31" t="str">
        <f t="shared" si="36"/>
        <v/>
      </c>
      <c r="J1200" t="b">
        <f t="shared" si="37"/>
        <v>0</v>
      </c>
    </row>
    <row r="1201" spans="3:10" x14ac:dyDescent="0.25">
      <c r="C1201" s="4"/>
      <c r="E1201" s="4"/>
      <c r="H1201" s="31" t="str">
        <f t="shared" si="36"/>
        <v/>
      </c>
      <c r="J1201" t="b">
        <f t="shared" si="37"/>
        <v>0</v>
      </c>
    </row>
    <row r="1202" spans="3:10" x14ac:dyDescent="0.25">
      <c r="C1202" s="4"/>
      <c r="E1202" s="4"/>
      <c r="H1202" s="31" t="str">
        <f t="shared" si="36"/>
        <v/>
      </c>
      <c r="J1202" t="b">
        <f t="shared" si="37"/>
        <v>0</v>
      </c>
    </row>
    <row r="1203" spans="3:10" x14ac:dyDescent="0.25">
      <c r="C1203" s="4"/>
      <c r="E1203" s="4"/>
      <c r="H1203" s="31" t="str">
        <f t="shared" si="36"/>
        <v/>
      </c>
      <c r="J1203" t="b">
        <f t="shared" si="37"/>
        <v>0</v>
      </c>
    </row>
    <row r="1204" spans="3:10" x14ac:dyDescent="0.25">
      <c r="C1204" s="4"/>
      <c r="E1204" s="4"/>
      <c r="H1204" s="31" t="str">
        <f t="shared" si="36"/>
        <v/>
      </c>
      <c r="J1204" t="b">
        <f t="shared" si="37"/>
        <v>0</v>
      </c>
    </row>
    <row r="1205" spans="3:10" x14ac:dyDescent="0.25">
      <c r="C1205" s="4"/>
      <c r="E1205" s="4"/>
      <c r="H1205" s="31" t="str">
        <f t="shared" si="36"/>
        <v/>
      </c>
      <c r="J1205" t="b">
        <f t="shared" si="37"/>
        <v>0</v>
      </c>
    </row>
    <row r="1206" spans="3:10" x14ac:dyDescent="0.25">
      <c r="C1206" s="4"/>
      <c r="E1206" s="4"/>
      <c r="H1206" s="31" t="str">
        <f t="shared" si="36"/>
        <v/>
      </c>
      <c r="J1206" t="b">
        <f t="shared" si="37"/>
        <v>0</v>
      </c>
    </row>
    <row r="1207" spans="3:10" x14ac:dyDescent="0.25">
      <c r="C1207" s="4"/>
      <c r="E1207" s="4"/>
      <c r="H1207" s="31" t="str">
        <f t="shared" si="36"/>
        <v/>
      </c>
      <c r="J1207" t="b">
        <f t="shared" si="37"/>
        <v>0</v>
      </c>
    </row>
    <row r="1208" spans="3:10" x14ac:dyDescent="0.25">
      <c r="C1208" s="4"/>
      <c r="E1208" s="4"/>
      <c r="H1208" s="31" t="str">
        <f t="shared" si="36"/>
        <v/>
      </c>
      <c r="J1208" t="b">
        <f t="shared" si="37"/>
        <v>0</v>
      </c>
    </row>
    <row r="1209" spans="3:10" x14ac:dyDescent="0.25">
      <c r="C1209" s="4"/>
      <c r="E1209" s="4"/>
      <c r="H1209" s="31" t="str">
        <f t="shared" si="36"/>
        <v/>
      </c>
      <c r="J1209" t="b">
        <f t="shared" si="37"/>
        <v>0</v>
      </c>
    </row>
    <row r="1210" spans="3:10" x14ac:dyDescent="0.25">
      <c r="C1210" s="4"/>
      <c r="E1210" s="4"/>
      <c r="H1210" s="31" t="str">
        <f t="shared" si="36"/>
        <v/>
      </c>
      <c r="J1210" t="b">
        <f t="shared" si="37"/>
        <v>0</v>
      </c>
    </row>
    <row r="1211" spans="3:10" x14ac:dyDescent="0.25">
      <c r="C1211" s="4"/>
      <c r="E1211" s="4"/>
      <c r="H1211" s="31" t="str">
        <f t="shared" si="36"/>
        <v/>
      </c>
      <c r="J1211" t="b">
        <f t="shared" si="37"/>
        <v>0</v>
      </c>
    </row>
    <row r="1212" spans="3:10" x14ac:dyDescent="0.25">
      <c r="C1212" s="4"/>
      <c r="E1212" s="4"/>
      <c r="H1212" s="31" t="str">
        <f t="shared" si="36"/>
        <v/>
      </c>
      <c r="J1212" t="b">
        <f t="shared" si="37"/>
        <v>0</v>
      </c>
    </row>
    <row r="1213" spans="3:10" x14ac:dyDescent="0.25">
      <c r="C1213" s="4"/>
      <c r="E1213" s="4"/>
      <c r="H1213" s="31" t="str">
        <f t="shared" si="36"/>
        <v/>
      </c>
      <c r="J1213" t="b">
        <f t="shared" si="37"/>
        <v>0</v>
      </c>
    </row>
    <row r="1214" spans="3:10" x14ac:dyDescent="0.25">
      <c r="C1214" s="4"/>
      <c r="E1214" s="4"/>
      <c r="H1214" s="31" t="str">
        <f t="shared" si="36"/>
        <v/>
      </c>
      <c r="J1214" t="b">
        <f t="shared" si="37"/>
        <v>0</v>
      </c>
    </row>
    <row r="1215" spans="3:10" x14ac:dyDescent="0.25">
      <c r="C1215" s="4"/>
      <c r="E1215" s="4"/>
      <c r="H1215" s="31" t="str">
        <f t="shared" si="36"/>
        <v/>
      </c>
      <c r="J1215" t="b">
        <f t="shared" si="37"/>
        <v>0</v>
      </c>
    </row>
    <row r="1216" spans="3:10" x14ac:dyDescent="0.25">
      <c r="C1216" s="4"/>
      <c r="E1216" s="4"/>
      <c r="H1216" s="31" t="str">
        <f t="shared" si="36"/>
        <v/>
      </c>
      <c r="J1216" t="b">
        <f t="shared" si="37"/>
        <v>0</v>
      </c>
    </row>
    <row r="1217" spans="3:10" x14ac:dyDescent="0.25">
      <c r="C1217" s="4"/>
      <c r="E1217" s="4"/>
      <c r="H1217" s="31" t="str">
        <f t="shared" si="36"/>
        <v/>
      </c>
      <c r="J1217" t="b">
        <f t="shared" si="37"/>
        <v>0</v>
      </c>
    </row>
    <row r="1218" spans="3:10" x14ac:dyDescent="0.25">
      <c r="C1218" s="4"/>
      <c r="E1218" s="4"/>
      <c r="H1218" s="31" t="str">
        <f t="shared" si="36"/>
        <v/>
      </c>
      <c r="J1218" t="b">
        <f t="shared" si="37"/>
        <v>0</v>
      </c>
    </row>
    <row r="1219" spans="3:10" x14ac:dyDescent="0.25">
      <c r="C1219" s="4"/>
      <c r="E1219" s="4"/>
      <c r="H1219" s="31" t="str">
        <f t="shared" si="36"/>
        <v/>
      </c>
      <c r="J1219" t="b">
        <f t="shared" si="37"/>
        <v>0</v>
      </c>
    </row>
    <row r="1220" spans="3:10" x14ac:dyDescent="0.25">
      <c r="C1220" s="4"/>
      <c r="E1220" s="4"/>
      <c r="H1220" s="31" t="str">
        <f t="shared" ref="H1220:H1283" si="38">IF($J1220=TRUE,"Il ne peut y avoir des valeurs dans les 2 méthodes",IF($D1220="kg/l",$C1220,IF($D1220="g/l",$C1220/1000,IF($D1220="lb/gal US",$C1220*0.454/3.785,IF($G1220="kg/l",($E1220/100)*$F1220,IF($G1220="g/l",($E1220/100)*$F1220/1000,IF($G1220="lb/gal US",($E1220/100)*$F1220*0.454/3.785,"")))))))</f>
        <v/>
      </c>
      <c r="J1220" t="b">
        <f t="shared" ref="J1220:J1283" si="39">IF(AND(OR($C1220&lt;&gt;"",$D1220&lt;&gt;""),OR($E1220&lt;&gt;"",F1220&lt;&gt;"",G1220&lt;&gt;"")),TRUE,FALSE)</f>
        <v>0</v>
      </c>
    </row>
    <row r="1221" spans="3:10" x14ac:dyDescent="0.25">
      <c r="C1221" s="4"/>
      <c r="E1221" s="4"/>
      <c r="H1221" s="31" t="str">
        <f t="shared" si="38"/>
        <v/>
      </c>
      <c r="J1221" t="b">
        <f t="shared" si="39"/>
        <v>0</v>
      </c>
    </row>
    <row r="1222" spans="3:10" x14ac:dyDescent="0.25">
      <c r="C1222" s="4"/>
      <c r="E1222" s="4"/>
      <c r="H1222" s="31" t="str">
        <f t="shared" si="38"/>
        <v/>
      </c>
      <c r="J1222" t="b">
        <f t="shared" si="39"/>
        <v>0</v>
      </c>
    </row>
    <row r="1223" spans="3:10" x14ac:dyDescent="0.25">
      <c r="C1223" s="4"/>
      <c r="E1223" s="4"/>
      <c r="H1223" s="31" t="str">
        <f t="shared" si="38"/>
        <v/>
      </c>
      <c r="J1223" t="b">
        <f t="shared" si="39"/>
        <v>0</v>
      </c>
    </row>
    <row r="1224" spans="3:10" x14ac:dyDescent="0.25">
      <c r="C1224" s="4"/>
      <c r="E1224" s="4"/>
      <c r="H1224" s="31" t="str">
        <f t="shared" si="38"/>
        <v/>
      </c>
      <c r="J1224" t="b">
        <f t="shared" si="39"/>
        <v>0</v>
      </c>
    </row>
    <row r="1225" spans="3:10" x14ac:dyDescent="0.25">
      <c r="C1225" s="4"/>
      <c r="E1225" s="4"/>
      <c r="H1225" s="31" t="str">
        <f t="shared" si="38"/>
        <v/>
      </c>
      <c r="J1225" t="b">
        <f t="shared" si="39"/>
        <v>0</v>
      </c>
    </row>
    <row r="1226" spans="3:10" x14ac:dyDescent="0.25">
      <c r="C1226" s="4"/>
      <c r="E1226" s="4"/>
      <c r="H1226" s="31" t="str">
        <f t="shared" si="38"/>
        <v/>
      </c>
      <c r="J1226" t="b">
        <f t="shared" si="39"/>
        <v>0</v>
      </c>
    </row>
    <row r="1227" spans="3:10" x14ac:dyDescent="0.25">
      <c r="C1227" s="4"/>
      <c r="E1227" s="4"/>
      <c r="H1227" s="31" t="str">
        <f t="shared" si="38"/>
        <v/>
      </c>
      <c r="J1227" t="b">
        <f t="shared" si="39"/>
        <v>0</v>
      </c>
    </row>
    <row r="1228" spans="3:10" x14ac:dyDescent="0.25">
      <c r="C1228" s="4"/>
      <c r="E1228" s="4"/>
      <c r="H1228" s="31" t="str">
        <f t="shared" si="38"/>
        <v/>
      </c>
      <c r="J1228" t="b">
        <f t="shared" si="39"/>
        <v>0</v>
      </c>
    </row>
    <row r="1229" spans="3:10" x14ac:dyDescent="0.25">
      <c r="C1229" s="4"/>
      <c r="E1229" s="4"/>
      <c r="H1229" s="31" t="str">
        <f t="shared" si="38"/>
        <v/>
      </c>
      <c r="J1229" t="b">
        <f t="shared" si="39"/>
        <v>0</v>
      </c>
    </row>
    <row r="1230" spans="3:10" x14ac:dyDescent="0.25">
      <c r="C1230" s="4"/>
      <c r="E1230" s="4"/>
      <c r="H1230" s="31" t="str">
        <f t="shared" si="38"/>
        <v/>
      </c>
      <c r="J1230" t="b">
        <f t="shared" si="39"/>
        <v>0</v>
      </c>
    </row>
    <row r="1231" spans="3:10" x14ac:dyDescent="0.25">
      <c r="C1231" s="4"/>
      <c r="E1231" s="4"/>
      <c r="H1231" s="31" t="str">
        <f t="shared" si="38"/>
        <v/>
      </c>
      <c r="J1231" t="b">
        <f t="shared" si="39"/>
        <v>0</v>
      </c>
    </row>
    <row r="1232" spans="3:10" x14ac:dyDescent="0.25">
      <c r="C1232" s="4"/>
      <c r="E1232" s="4"/>
      <c r="H1232" s="31" t="str">
        <f t="shared" si="38"/>
        <v/>
      </c>
      <c r="J1232" t="b">
        <f t="shared" si="39"/>
        <v>0</v>
      </c>
    </row>
    <row r="1233" spans="3:10" x14ac:dyDescent="0.25">
      <c r="C1233" s="4"/>
      <c r="E1233" s="4"/>
      <c r="H1233" s="31" t="str">
        <f t="shared" si="38"/>
        <v/>
      </c>
      <c r="J1233" t="b">
        <f t="shared" si="39"/>
        <v>0</v>
      </c>
    </row>
    <row r="1234" spans="3:10" x14ac:dyDescent="0.25">
      <c r="C1234" s="4"/>
      <c r="E1234" s="4"/>
      <c r="H1234" s="31" t="str">
        <f t="shared" si="38"/>
        <v/>
      </c>
      <c r="J1234" t="b">
        <f t="shared" si="39"/>
        <v>0</v>
      </c>
    </row>
    <row r="1235" spans="3:10" x14ac:dyDescent="0.25">
      <c r="C1235" s="4"/>
      <c r="E1235" s="4"/>
      <c r="H1235" s="31" t="str">
        <f t="shared" si="38"/>
        <v/>
      </c>
      <c r="J1235" t="b">
        <f t="shared" si="39"/>
        <v>0</v>
      </c>
    </row>
    <row r="1236" spans="3:10" x14ac:dyDescent="0.25">
      <c r="C1236" s="4"/>
      <c r="E1236" s="4"/>
      <c r="H1236" s="31" t="str">
        <f t="shared" si="38"/>
        <v/>
      </c>
      <c r="J1236" t="b">
        <f t="shared" si="39"/>
        <v>0</v>
      </c>
    </row>
    <row r="1237" spans="3:10" x14ac:dyDescent="0.25">
      <c r="C1237" s="4"/>
      <c r="E1237" s="4"/>
      <c r="H1237" s="31" t="str">
        <f t="shared" si="38"/>
        <v/>
      </c>
      <c r="J1237" t="b">
        <f t="shared" si="39"/>
        <v>0</v>
      </c>
    </row>
    <row r="1238" spans="3:10" x14ac:dyDescent="0.25">
      <c r="C1238" s="4"/>
      <c r="E1238" s="4"/>
      <c r="H1238" s="31" t="str">
        <f t="shared" si="38"/>
        <v/>
      </c>
      <c r="J1238" t="b">
        <f t="shared" si="39"/>
        <v>0</v>
      </c>
    </row>
    <row r="1239" spans="3:10" x14ac:dyDescent="0.25">
      <c r="C1239" s="4"/>
      <c r="E1239" s="4"/>
      <c r="H1239" s="31" t="str">
        <f t="shared" si="38"/>
        <v/>
      </c>
      <c r="J1239" t="b">
        <f t="shared" si="39"/>
        <v>0</v>
      </c>
    </row>
    <row r="1240" spans="3:10" x14ac:dyDescent="0.25">
      <c r="C1240" s="4"/>
      <c r="E1240" s="4"/>
      <c r="H1240" s="31" t="str">
        <f t="shared" si="38"/>
        <v/>
      </c>
      <c r="J1240" t="b">
        <f t="shared" si="39"/>
        <v>0</v>
      </c>
    </row>
    <row r="1241" spans="3:10" x14ac:dyDescent="0.25">
      <c r="C1241" s="4"/>
      <c r="E1241" s="4"/>
      <c r="H1241" s="31" t="str">
        <f t="shared" si="38"/>
        <v/>
      </c>
      <c r="J1241" t="b">
        <f t="shared" si="39"/>
        <v>0</v>
      </c>
    </row>
    <row r="1242" spans="3:10" x14ac:dyDescent="0.25">
      <c r="C1242" s="4"/>
      <c r="E1242" s="4"/>
      <c r="H1242" s="31" t="str">
        <f t="shared" si="38"/>
        <v/>
      </c>
      <c r="J1242" t="b">
        <f t="shared" si="39"/>
        <v>0</v>
      </c>
    </row>
    <row r="1243" spans="3:10" x14ac:dyDescent="0.25">
      <c r="C1243" s="4"/>
      <c r="E1243" s="4"/>
      <c r="H1243" s="31" t="str">
        <f t="shared" si="38"/>
        <v/>
      </c>
      <c r="J1243" t="b">
        <f t="shared" si="39"/>
        <v>0</v>
      </c>
    </row>
    <row r="1244" spans="3:10" x14ac:dyDescent="0.25">
      <c r="C1244" s="4"/>
      <c r="E1244" s="4"/>
      <c r="H1244" s="31" t="str">
        <f t="shared" si="38"/>
        <v/>
      </c>
      <c r="J1244" t="b">
        <f t="shared" si="39"/>
        <v>0</v>
      </c>
    </row>
    <row r="1245" spans="3:10" x14ac:dyDescent="0.25">
      <c r="C1245" s="4"/>
      <c r="E1245" s="4"/>
      <c r="H1245" s="31" t="str">
        <f t="shared" si="38"/>
        <v/>
      </c>
      <c r="J1245" t="b">
        <f t="shared" si="39"/>
        <v>0</v>
      </c>
    </row>
    <row r="1246" spans="3:10" x14ac:dyDescent="0.25">
      <c r="C1246" s="4"/>
      <c r="E1246" s="4"/>
      <c r="H1246" s="31" t="str">
        <f t="shared" si="38"/>
        <v/>
      </c>
      <c r="J1246" t="b">
        <f t="shared" si="39"/>
        <v>0</v>
      </c>
    </row>
    <row r="1247" spans="3:10" x14ac:dyDescent="0.25">
      <c r="C1247" s="4"/>
      <c r="E1247" s="4"/>
      <c r="H1247" s="31" t="str">
        <f t="shared" si="38"/>
        <v/>
      </c>
      <c r="J1247" t="b">
        <f t="shared" si="39"/>
        <v>0</v>
      </c>
    </row>
    <row r="1248" spans="3:10" x14ac:dyDescent="0.25">
      <c r="C1248" s="4"/>
      <c r="E1248" s="4"/>
      <c r="H1248" s="31" t="str">
        <f t="shared" si="38"/>
        <v/>
      </c>
      <c r="J1248" t="b">
        <f t="shared" si="39"/>
        <v>0</v>
      </c>
    </row>
    <row r="1249" spans="3:10" x14ac:dyDescent="0.25">
      <c r="C1249" s="4"/>
      <c r="E1249" s="4"/>
      <c r="H1249" s="31" t="str">
        <f t="shared" si="38"/>
        <v/>
      </c>
      <c r="J1249" t="b">
        <f t="shared" si="39"/>
        <v>0</v>
      </c>
    </row>
    <row r="1250" spans="3:10" x14ac:dyDescent="0.25">
      <c r="C1250" s="4"/>
      <c r="E1250" s="4"/>
      <c r="H1250" s="31" t="str">
        <f t="shared" si="38"/>
        <v/>
      </c>
      <c r="J1250" t="b">
        <f t="shared" si="39"/>
        <v>0</v>
      </c>
    </row>
    <row r="1251" spans="3:10" x14ac:dyDescent="0.25">
      <c r="C1251" s="4"/>
      <c r="E1251" s="4"/>
      <c r="H1251" s="31" t="str">
        <f t="shared" si="38"/>
        <v/>
      </c>
      <c r="J1251" t="b">
        <f t="shared" si="39"/>
        <v>0</v>
      </c>
    </row>
    <row r="1252" spans="3:10" x14ac:dyDescent="0.25">
      <c r="C1252" s="4"/>
      <c r="E1252" s="4"/>
      <c r="H1252" s="31" t="str">
        <f t="shared" si="38"/>
        <v/>
      </c>
      <c r="J1252" t="b">
        <f t="shared" si="39"/>
        <v>0</v>
      </c>
    </row>
    <row r="1253" spans="3:10" x14ac:dyDescent="0.25">
      <c r="C1253" s="4"/>
      <c r="E1253" s="4"/>
      <c r="H1253" s="31" t="str">
        <f t="shared" si="38"/>
        <v/>
      </c>
      <c r="J1253" t="b">
        <f t="shared" si="39"/>
        <v>0</v>
      </c>
    </row>
    <row r="1254" spans="3:10" x14ac:dyDescent="0.25">
      <c r="C1254" s="4"/>
      <c r="E1254" s="4"/>
      <c r="H1254" s="31" t="str">
        <f t="shared" si="38"/>
        <v/>
      </c>
      <c r="J1254" t="b">
        <f t="shared" si="39"/>
        <v>0</v>
      </c>
    </row>
    <row r="1255" spans="3:10" x14ac:dyDescent="0.25">
      <c r="C1255" s="4"/>
      <c r="E1255" s="4"/>
      <c r="H1255" s="31" t="str">
        <f t="shared" si="38"/>
        <v/>
      </c>
      <c r="J1255" t="b">
        <f t="shared" si="39"/>
        <v>0</v>
      </c>
    </row>
    <row r="1256" spans="3:10" x14ac:dyDescent="0.25">
      <c r="C1256" s="4"/>
      <c r="E1256" s="4"/>
      <c r="H1256" s="31" t="str">
        <f t="shared" si="38"/>
        <v/>
      </c>
      <c r="J1256" t="b">
        <f t="shared" si="39"/>
        <v>0</v>
      </c>
    </row>
    <row r="1257" spans="3:10" x14ac:dyDescent="0.25">
      <c r="C1257" s="4"/>
      <c r="E1257" s="4"/>
      <c r="H1257" s="31" t="str">
        <f t="shared" si="38"/>
        <v/>
      </c>
      <c r="J1257" t="b">
        <f t="shared" si="39"/>
        <v>0</v>
      </c>
    </row>
    <row r="1258" spans="3:10" x14ac:dyDescent="0.25">
      <c r="C1258" s="4"/>
      <c r="E1258" s="4"/>
      <c r="H1258" s="31" t="str">
        <f t="shared" si="38"/>
        <v/>
      </c>
      <c r="J1258" t="b">
        <f t="shared" si="39"/>
        <v>0</v>
      </c>
    </row>
    <row r="1259" spans="3:10" x14ac:dyDescent="0.25">
      <c r="C1259" s="4"/>
      <c r="E1259" s="4"/>
      <c r="H1259" s="31" t="str">
        <f t="shared" si="38"/>
        <v/>
      </c>
      <c r="J1259" t="b">
        <f t="shared" si="39"/>
        <v>0</v>
      </c>
    </row>
    <row r="1260" spans="3:10" x14ac:dyDescent="0.25">
      <c r="C1260" s="4"/>
      <c r="E1260" s="4"/>
      <c r="H1260" s="31" t="str">
        <f t="shared" si="38"/>
        <v/>
      </c>
      <c r="J1260" t="b">
        <f t="shared" si="39"/>
        <v>0</v>
      </c>
    </row>
    <row r="1261" spans="3:10" x14ac:dyDescent="0.25">
      <c r="C1261" s="4"/>
      <c r="E1261" s="4"/>
      <c r="H1261" s="31" t="str">
        <f t="shared" si="38"/>
        <v/>
      </c>
      <c r="J1261" t="b">
        <f t="shared" si="39"/>
        <v>0</v>
      </c>
    </row>
    <row r="1262" spans="3:10" x14ac:dyDescent="0.25">
      <c r="C1262" s="4"/>
      <c r="E1262" s="4"/>
      <c r="H1262" s="31" t="str">
        <f t="shared" si="38"/>
        <v/>
      </c>
      <c r="J1262" t="b">
        <f t="shared" si="39"/>
        <v>0</v>
      </c>
    </row>
    <row r="1263" spans="3:10" x14ac:dyDescent="0.25">
      <c r="C1263" s="4"/>
      <c r="E1263" s="4"/>
      <c r="H1263" s="31" t="str">
        <f t="shared" si="38"/>
        <v/>
      </c>
      <c r="J1263" t="b">
        <f t="shared" si="39"/>
        <v>0</v>
      </c>
    </row>
    <row r="1264" spans="3:10" x14ac:dyDescent="0.25">
      <c r="C1264" s="4"/>
      <c r="E1264" s="4"/>
      <c r="H1264" s="31" t="str">
        <f t="shared" si="38"/>
        <v/>
      </c>
      <c r="J1264" t="b">
        <f t="shared" si="39"/>
        <v>0</v>
      </c>
    </row>
    <row r="1265" spans="3:10" x14ac:dyDescent="0.25">
      <c r="C1265" s="4"/>
      <c r="E1265" s="4"/>
      <c r="H1265" s="31" t="str">
        <f t="shared" si="38"/>
        <v/>
      </c>
      <c r="J1265" t="b">
        <f t="shared" si="39"/>
        <v>0</v>
      </c>
    </row>
    <row r="1266" spans="3:10" x14ac:dyDescent="0.25">
      <c r="C1266" s="4"/>
      <c r="E1266" s="4"/>
      <c r="H1266" s="31" t="str">
        <f t="shared" si="38"/>
        <v/>
      </c>
      <c r="J1266" t="b">
        <f t="shared" si="39"/>
        <v>0</v>
      </c>
    </row>
    <row r="1267" spans="3:10" x14ac:dyDescent="0.25">
      <c r="C1267" s="4"/>
      <c r="E1267" s="4"/>
      <c r="H1267" s="31" t="str">
        <f t="shared" si="38"/>
        <v/>
      </c>
      <c r="J1267" t="b">
        <f t="shared" si="39"/>
        <v>0</v>
      </c>
    </row>
    <row r="1268" spans="3:10" x14ac:dyDescent="0.25">
      <c r="C1268" s="4"/>
      <c r="E1268" s="4"/>
      <c r="H1268" s="31" t="str">
        <f t="shared" si="38"/>
        <v/>
      </c>
      <c r="J1268" t="b">
        <f t="shared" si="39"/>
        <v>0</v>
      </c>
    </row>
    <row r="1269" spans="3:10" x14ac:dyDescent="0.25">
      <c r="C1269" s="4"/>
      <c r="E1269" s="4"/>
      <c r="H1269" s="31" t="str">
        <f t="shared" si="38"/>
        <v/>
      </c>
      <c r="J1269" t="b">
        <f t="shared" si="39"/>
        <v>0</v>
      </c>
    </row>
    <row r="1270" spans="3:10" x14ac:dyDescent="0.25">
      <c r="C1270" s="4"/>
      <c r="E1270" s="4"/>
      <c r="H1270" s="31" t="str">
        <f t="shared" si="38"/>
        <v/>
      </c>
      <c r="J1270" t="b">
        <f t="shared" si="39"/>
        <v>0</v>
      </c>
    </row>
    <row r="1271" spans="3:10" x14ac:dyDescent="0.25">
      <c r="C1271" s="4"/>
      <c r="E1271" s="4"/>
      <c r="H1271" s="31" t="str">
        <f t="shared" si="38"/>
        <v/>
      </c>
      <c r="J1271" t="b">
        <f t="shared" si="39"/>
        <v>0</v>
      </c>
    </row>
    <row r="1272" spans="3:10" x14ac:dyDescent="0.25">
      <c r="C1272" s="4"/>
      <c r="E1272" s="4"/>
      <c r="H1272" s="31" t="str">
        <f t="shared" si="38"/>
        <v/>
      </c>
      <c r="J1272" t="b">
        <f t="shared" si="39"/>
        <v>0</v>
      </c>
    </row>
    <row r="1273" spans="3:10" x14ac:dyDescent="0.25">
      <c r="C1273" s="4"/>
      <c r="E1273" s="4"/>
      <c r="H1273" s="31" t="str">
        <f t="shared" si="38"/>
        <v/>
      </c>
      <c r="J1273" t="b">
        <f t="shared" si="39"/>
        <v>0</v>
      </c>
    </row>
    <row r="1274" spans="3:10" x14ac:dyDescent="0.25">
      <c r="C1274" s="4"/>
      <c r="E1274" s="4"/>
      <c r="H1274" s="31" t="str">
        <f t="shared" si="38"/>
        <v/>
      </c>
      <c r="J1274" t="b">
        <f t="shared" si="39"/>
        <v>0</v>
      </c>
    </row>
    <row r="1275" spans="3:10" x14ac:dyDescent="0.25">
      <c r="C1275" s="4"/>
      <c r="E1275" s="4"/>
      <c r="H1275" s="31" t="str">
        <f t="shared" si="38"/>
        <v/>
      </c>
      <c r="J1275" t="b">
        <f t="shared" si="39"/>
        <v>0</v>
      </c>
    </row>
    <row r="1276" spans="3:10" x14ac:dyDescent="0.25">
      <c r="C1276" s="4"/>
      <c r="E1276" s="4"/>
      <c r="H1276" s="31" t="str">
        <f t="shared" si="38"/>
        <v/>
      </c>
      <c r="J1276" t="b">
        <f t="shared" si="39"/>
        <v>0</v>
      </c>
    </row>
    <row r="1277" spans="3:10" x14ac:dyDescent="0.25">
      <c r="C1277" s="4"/>
      <c r="E1277" s="4"/>
      <c r="H1277" s="31" t="str">
        <f t="shared" si="38"/>
        <v/>
      </c>
      <c r="J1277" t="b">
        <f t="shared" si="39"/>
        <v>0</v>
      </c>
    </row>
    <row r="1278" spans="3:10" x14ac:dyDescent="0.25">
      <c r="C1278" s="4"/>
      <c r="E1278" s="4"/>
      <c r="H1278" s="31" t="str">
        <f t="shared" si="38"/>
        <v/>
      </c>
      <c r="J1278" t="b">
        <f t="shared" si="39"/>
        <v>0</v>
      </c>
    </row>
    <row r="1279" spans="3:10" x14ac:dyDescent="0.25">
      <c r="C1279" s="4"/>
      <c r="E1279" s="4"/>
      <c r="H1279" s="31" t="str">
        <f t="shared" si="38"/>
        <v/>
      </c>
      <c r="J1279" t="b">
        <f t="shared" si="39"/>
        <v>0</v>
      </c>
    </row>
    <row r="1280" spans="3:10" x14ac:dyDescent="0.25">
      <c r="C1280" s="4"/>
      <c r="E1280" s="4"/>
      <c r="H1280" s="31" t="str">
        <f t="shared" si="38"/>
        <v/>
      </c>
      <c r="J1280" t="b">
        <f t="shared" si="39"/>
        <v>0</v>
      </c>
    </row>
    <row r="1281" spans="3:10" x14ac:dyDescent="0.25">
      <c r="C1281" s="4"/>
      <c r="E1281" s="4"/>
      <c r="H1281" s="31" t="str">
        <f t="shared" si="38"/>
        <v/>
      </c>
      <c r="J1281" t="b">
        <f t="shared" si="39"/>
        <v>0</v>
      </c>
    </row>
    <row r="1282" spans="3:10" x14ac:dyDescent="0.25">
      <c r="C1282" s="4"/>
      <c r="E1282" s="4"/>
      <c r="H1282" s="31" t="str">
        <f t="shared" si="38"/>
        <v/>
      </c>
      <c r="J1282" t="b">
        <f t="shared" si="39"/>
        <v>0</v>
      </c>
    </row>
    <row r="1283" spans="3:10" x14ac:dyDescent="0.25">
      <c r="C1283" s="4"/>
      <c r="E1283" s="4"/>
      <c r="H1283" s="31" t="str">
        <f t="shared" si="38"/>
        <v/>
      </c>
      <c r="J1283" t="b">
        <f t="shared" si="39"/>
        <v>0</v>
      </c>
    </row>
    <row r="1284" spans="3:10" x14ac:dyDescent="0.25">
      <c r="C1284" s="4"/>
      <c r="E1284" s="4"/>
      <c r="H1284" s="31" t="str">
        <f t="shared" ref="H1284:H1347" si="40">IF($J1284=TRUE,"Il ne peut y avoir des valeurs dans les 2 méthodes",IF($D1284="kg/l",$C1284,IF($D1284="g/l",$C1284/1000,IF($D1284="lb/gal US",$C1284*0.454/3.785,IF($G1284="kg/l",($E1284/100)*$F1284,IF($G1284="g/l",($E1284/100)*$F1284/1000,IF($G1284="lb/gal US",($E1284/100)*$F1284*0.454/3.785,"")))))))</f>
        <v/>
      </c>
      <c r="J1284" t="b">
        <f t="shared" ref="J1284:J1347" si="41">IF(AND(OR($C1284&lt;&gt;"",$D1284&lt;&gt;""),OR($E1284&lt;&gt;"",F1284&lt;&gt;"",G1284&lt;&gt;"")),TRUE,FALSE)</f>
        <v>0</v>
      </c>
    </row>
    <row r="1285" spans="3:10" x14ac:dyDescent="0.25">
      <c r="C1285" s="4"/>
      <c r="E1285" s="4"/>
      <c r="H1285" s="31" t="str">
        <f t="shared" si="40"/>
        <v/>
      </c>
      <c r="J1285" t="b">
        <f t="shared" si="41"/>
        <v>0</v>
      </c>
    </row>
    <row r="1286" spans="3:10" x14ac:dyDescent="0.25">
      <c r="C1286" s="4"/>
      <c r="E1286" s="4"/>
      <c r="H1286" s="31" t="str">
        <f t="shared" si="40"/>
        <v/>
      </c>
      <c r="J1286" t="b">
        <f t="shared" si="41"/>
        <v>0</v>
      </c>
    </row>
    <row r="1287" spans="3:10" x14ac:dyDescent="0.25">
      <c r="C1287" s="4"/>
      <c r="E1287" s="4"/>
      <c r="H1287" s="31" t="str">
        <f t="shared" si="40"/>
        <v/>
      </c>
      <c r="J1287" t="b">
        <f t="shared" si="41"/>
        <v>0</v>
      </c>
    </row>
    <row r="1288" spans="3:10" x14ac:dyDescent="0.25">
      <c r="C1288" s="4"/>
      <c r="E1288" s="4"/>
      <c r="H1288" s="31" t="str">
        <f t="shared" si="40"/>
        <v/>
      </c>
      <c r="J1288" t="b">
        <f t="shared" si="41"/>
        <v>0</v>
      </c>
    </row>
    <row r="1289" spans="3:10" x14ac:dyDescent="0.25">
      <c r="C1289" s="4"/>
      <c r="E1289" s="4"/>
      <c r="H1289" s="31" t="str">
        <f t="shared" si="40"/>
        <v/>
      </c>
      <c r="J1289" t="b">
        <f t="shared" si="41"/>
        <v>0</v>
      </c>
    </row>
    <row r="1290" spans="3:10" x14ac:dyDescent="0.25">
      <c r="C1290" s="4"/>
      <c r="E1290" s="4"/>
      <c r="H1290" s="31" t="str">
        <f t="shared" si="40"/>
        <v/>
      </c>
      <c r="J1290" t="b">
        <f t="shared" si="41"/>
        <v>0</v>
      </c>
    </row>
    <row r="1291" spans="3:10" x14ac:dyDescent="0.25">
      <c r="C1291" s="4"/>
      <c r="E1291" s="4"/>
      <c r="H1291" s="31" t="str">
        <f t="shared" si="40"/>
        <v/>
      </c>
      <c r="J1291" t="b">
        <f t="shared" si="41"/>
        <v>0</v>
      </c>
    </row>
    <row r="1292" spans="3:10" x14ac:dyDescent="0.25">
      <c r="C1292" s="4"/>
      <c r="E1292" s="4"/>
      <c r="H1292" s="31" t="str">
        <f t="shared" si="40"/>
        <v/>
      </c>
      <c r="J1292" t="b">
        <f t="shared" si="41"/>
        <v>0</v>
      </c>
    </row>
    <row r="1293" spans="3:10" x14ac:dyDescent="0.25">
      <c r="C1293" s="4"/>
      <c r="E1293" s="4"/>
      <c r="H1293" s="31" t="str">
        <f t="shared" si="40"/>
        <v/>
      </c>
      <c r="J1293" t="b">
        <f t="shared" si="41"/>
        <v>0</v>
      </c>
    </row>
    <row r="1294" spans="3:10" x14ac:dyDescent="0.25">
      <c r="C1294" s="4"/>
      <c r="E1294" s="4"/>
      <c r="H1294" s="31" t="str">
        <f t="shared" si="40"/>
        <v/>
      </c>
      <c r="J1294" t="b">
        <f t="shared" si="41"/>
        <v>0</v>
      </c>
    </row>
    <row r="1295" spans="3:10" x14ac:dyDescent="0.25">
      <c r="C1295" s="4"/>
      <c r="E1295" s="4"/>
      <c r="H1295" s="31" t="str">
        <f t="shared" si="40"/>
        <v/>
      </c>
      <c r="J1295" t="b">
        <f t="shared" si="41"/>
        <v>0</v>
      </c>
    </row>
    <row r="1296" spans="3:10" x14ac:dyDescent="0.25">
      <c r="C1296" s="4"/>
      <c r="E1296" s="4"/>
      <c r="H1296" s="31" t="str">
        <f t="shared" si="40"/>
        <v/>
      </c>
      <c r="J1296" t="b">
        <f t="shared" si="41"/>
        <v>0</v>
      </c>
    </row>
    <row r="1297" spans="3:10" x14ac:dyDescent="0.25">
      <c r="C1297" s="4"/>
      <c r="E1297" s="4"/>
      <c r="H1297" s="31" t="str">
        <f t="shared" si="40"/>
        <v/>
      </c>
      <c r="J1297" t="b">
        <f t="shared" si="41"/>
        <v>0</v>
      </c>
    </row>
    <row r="1298" spans="3:10" x14ac:dyDescent="0.25">
      <c r="C1298" s="4"/>
      <c r="E1298" s="4"/>
      <c r="H1298" s="31" t="str">
        <f t="shared" si="40"/>
        <v/>
      </c>
      <c r="J1298" t="b">
        <f t="shared" si="41"/>
        <v>0</v>
      </c>
    </row>
    <row r="1299" spans="3:10" x14ac:dyDescent="0.25">
      <c r="C1299" s="4"/>
      <c r="E1299" s="4"/>
      <c r="H1299" s="31" t="str">
        <f t="shared" si="40"/>
        <v/>
      </c>
      <c r="J1299" t="b">
        <f t="shared" si="41"/>
        <v>0</v>
      </c>
    </row>
    <row r="1300" spans="3:10" x14ac:dyDescent="0.25">
      <c r="C1300" s="4"/>
      <c r="E1300" s="4"/>
      <c r="H1300" s="31" t="str">
        <f t="shared" si="40"/>
        <v/>
      </c>
      <c r="J1300" t="b">
        <f t="shared" si="41"/>
        <v>0</v>
      </c>
    </row>
    <row r="1301" spans="3:10" x14ac:dyDescent="0.25">
      <c r="C1301" s="4"/>
      <c r="E1301" s="4"/>
      <c r="H1301" s="31" t="str">
        <f t="shared" si="40"/>
        <v/>
      </c>
      <c r="J1301" t="b">
        <f t="shared" si="41"/>
        <v>0</v>
      </c>
    </row>
    <row r="1302" spans="3:10" x14ac:dyDescent="0.25">
      <c r="C1302" s="4"/>
      <c r="E1302" s="4"/>
      <c r="H1302" s="31" t="str">
        <f t="shared" si="40"/>
        <v/>
      </c>
      <c r="J1302" t="b">
        <f t="shared" si="41"/>
        <v>0</v>
      </c>
    </row>
    <row r="1303" spans="3:10" x14ac:dyDescent="0.25">
      <c r="C1303" s="4"/>
      <c r="E1303" s="4"/>
      <c r="H1303" s="31" t="str">
        <f t="shared" si="40"/>
        <v/>
      </c>
      <c r="J1303" t="b">
        <f t="shared" si="41"/>
        <v>0</v>
      </c>
    </row>
    <row r="1304" spans="3:10" x14ac:dyDescent="0.25">
      <c r="C1304" s="4"/>
      <c r="E1304" s="4"/>
      <c r="H1304" s="31" t="str">
        <f t="shared" si="40"/>
        <v/>
      </c>
      <c r="J1304" t="b">
        <f t="shared" si="41"/>
        <v>0</v>
      </c>
    </row>
    <row r="1305" spans="3:10" x14ac:dyDescent="0.25">
      <c r="C1305" s="4"/>
      <c r="E1305" s="4"/>
      <c r="H1305" s="31" t="str">
        <f t="shared" si="40"/>
        <v/>
      </c>
      <c r="J1305" t="b">
        <f t="shared" si="41"/>
        <v>0</v>
      </c>
    </row>
    <row r="1306" spans="3:10" x14ac:dyDescent="0.25">
      <c r="C1306" s="4"/>
      <c r="E1306" s="4"/>
      <c r="H1306" s="31" t="str">
        <f t="shared" si="40"/>
        <v/>
      </c>
      <c r="J1306" t="b">
        <f t="shared" si="41"/>
        <v>0</v>
      </c>
    </row>
    <row r="1307" spans="3:10" x14ac:dyDescent="0.25">
      <c r="C1307" s="4"/>
      <c r="E1307" s="4"/>
      <c r="H1307" s="31" t="str">
        <f t="shared" si="40"/>
        <v/>
      </c>
      <c r="J1307" t="b">
        <f t="shared" si="41"/>
        <v>0</v>
      </c>
    </row>
    <row r="1308" spans="3:10" x14ac:dyDescent="0.25">
      <c r="C1308" s="4"/>
      <c r="E1308" s="4"/>
      <c r="H1308" s="31" t="str">
        <f t="shared" si="40"/>
        <v/>
      </c>
      <c r="J1308" t="b">
        <f t="shared" si="41"/>
        <v>0</v>
      </c>
    </row>
    <row r="1309" spans="3:10" x14ac:dyDescent="0.25">
      <c r="C1309" s="4"/>
      <c r="E1309" s="4"/>
      <c r="H1309" s="31" t="str">
        <f t="shared" si="40"/>
        <v/>
      </c>
      <c r="J1309" t="b">
        <f t="shared" si="41"/>
        <v>0</v>
      </c>
    </row>
    <row r="1310" spans="3:10" x14ac:dyDescent="0.25">
      <c r="C1310" s="4"/>
      <c r="E1310" s="4"/>
      <c r="H1310" s="31" t="str">
        <f t="shared" si="40"/>
        <v/>
      </c>
      <c r="J1310" t="b">
        <f t="shared" si="41"/>
        <v>0</v>
      </c>
    </row>
    <row r="1311" spans="3:10" x14ac:dyDescent="0.25">
      <c r="C1311" s="4"/>
      <c r="E1311" s="4"/>
      <c r="H1311" s="31" t="str">
        <f t="shared" si="40"/>
        <v/>
      </c>
      <c r="J1311" t="b">
        <f t="shared" si="41"/>
        <v>0</v>
      </c>
    </row>
    <row r="1312" spans="3:10" x14ac:dyDescent="0.25">
      <c r="C1312" s="4"/>
      <c r="E1312" s="4"/>
      <c r="H1312" s="31" t="str">
        <f t="shared" si="40"/>
        <v/>
      </c>
      <c r="J1312" t="b">
        <f t="shared" si="41"/>
        <v>0</v>
      </c>
    </row>
    <row r="1313" spans="3:10" x14ac:dyDescent="0.25">
      <c r="C1313" s="4"/>
      <c r="E1313" s="4"/>
      <c r="H1313" s="31" t="str">
        <f t="shared" si="40"/>
        <v/>
      </c>
      <c r="J1313" t="b">
        <f t="shared" si="41"/>
        <v>0</v>
      </c>
    </row>
    <row r="1314" spans="3:10" x14ac:dyDescent="0.25">
      <c r="C1314" s="4"/>
      <c r="E1314" s="4"/>
      <c r="H1314" s="31" t="str">
        <f t="shared" si="40"/>
        <v/>
      </c>
      <c r="J1314" t="b">
        <f t="shared" si="41"/>
        <v>0</v>
      </c>
    </row>
    <row r="1315" spans="3:10" x14ac:dyDescent="0.25">
      <c r="C1315" s="4"/>
      <c r="E1315" s="4"/>
      <c r="H1315" s="31" t="str">
        <f t="shared" si="40"/>
        <v/>
      </c>
      <c r="J1315" t="b">
        <f t="shared" si="41"/>
        <v>0</v>
      </c>
    </row>
    <row r="1316" spans="3:10" x14ac:dyDescent="0.25">
      <c r="C1316" s="4"/>
      <c r="E1316" s="4"/>
      <c r="H1316" s="31" t="str">
        <f t="shared" si="40"/>
        <v/>
      </c>
      <c r="J1316" t="b">
        <f t="shared" si="41"/>
        <v>0</v>
      </c>
    </row>
    <row r="1317" spans="3:10" x14ac:dyDescent="0.25">
      <c r="C1317" s="4"/>
      <c r="E1317" s="4"/>
      <c r="H1317" s="31" t="str">
        <f t="shared" si="40"/>
        <v/>
      </c>
      <c r="J1317" t="b">
        <f t="shared" si="41"/>
        <v>0</v>
      </c>
    </row>
    <row r="1318" spans="3:10" x14ac:dyDescent="0.25">
      <c r="C1318" s="4"/>
      <c r="E1318" s="4"/>
      <c r="H1318" s="31" t="str">
        <f t="shared" si="40"/>
        <v/>
      </c>
      <c r="J1318" t="b">
        <f t="shared" si="41"/>
        <v>0</v>
      </c>
    </row>
    <row r="1319" spans="3:10" x14ac:dyDescent="0.25">
      <c r="C1319" s="4"/>
      <c r="E1319" s="4"/>
      <c r="H1319" s="31" t="str">
        <f t="shared" si="40"/>
        <v/>
      </c>
      <c r="J1319" t="b">
        <f t="shared" si="41"/>
        <v>0</v>
      </c>
    </row>
    <row r="1320" spans="3:10" x14ac:dyDescent="0.25">
      <c r="C1320" s="4"/>
      <c r="E1320" s="4"/>
      <c r="H1320" s="31" t="str">
        <f t="shared" si="40"/>
        <v/>
      </c>
      <c r="J1320" t="b">
        <f t="shared" si="41"/>
        <v>0</v>
      </c>
    </row>
    <row r="1321" spans="3:10" x14ac:dyDescent="0.25">
      <c r="C1321" s="4"/>
      <c r="E1321" s="4"/>
      <c r="H1321" s="31" t="str">
        <f t="shared" si="40"/>
        <v/>
      </c>
      <c r="J1321" t="b">
        <f t="shared" si="41"/>
        <v>0</v>
      </c>
    </row>
    <row r="1322" spans="3:10" x14ac:dyDescent="0.25">
      <c r="C1322" s="4"/>
      <c r="E1322" s="4"/>
      <c r="H1322" s="31" t="str">
        <f t="shared" si="40"/>
        <v/>
      </c>
      <c r="J1322" t="b">
        <f t="shared" si="41"/>
        <v>0</v>
      </c>
    </row>
    <row r="1323" spans="3:10" x14ac:dyDescent="0.25">
      <c r="C1323" s="4"/>
      <c r="E1323" s="4"/>
      <c r="H1323" s="31" t="str">
        <f t="shared" si="40"/>
        <v/>
      </c>
      <c r="J1323" t="b">
        <f t="shared" si="41"/>
        <v>0</v>
      </c>
    </row>
    <row r="1324" spans="3:10" x14ac:dyDescent="0.25">
      <c r="C1324" s="4"/>
      <c r="E1324" s="4"/>
      <c r="H1324" s="31" t="str">
        <f t="shared" si="40"/>
        <v/>
      </c>
      <c r="J1324" t="b">
        <f t="shared" si="41"/>
        <v>0</v>
      </c>
    </row>
    <row r="1325" spans="3:10" x14ac:dyDescent="0.25">
      <c r="C1325" s="4"/>
      <c r="E1325" s="4"/>
      <c r="H1325" s="31" t="str">
        <f t="shared" si="40"/>
        <v/>
      </c>
      <c r="J1325" t="b">
        <f t="shared" si="41"/>
        <v>0</v>
      </c>
    </row>
    <row r="1326" spans="3:10" x14ac:dyDescent="0.25">
      <c r="C1326" s="4"/>
      <c r="E1326" s="4"/>
      <c r="H1326" s="31" t="str">
        <f t="shared" si="40"/>
        <v/>
      </c>
      <c r="J1326" t="b">
        <f t="shared" si="41"/>
        <v>0</v>
      </c>
    </row>
    <row r="1327" spans="3:10" x14ac:dyDescent="0.25">
      <c r="C1327" s="4"/>
      <c r="E1327" s="4"/>
      <c r="H1327" s="31" t="str">
        <f t="shared" si="40"/>
        <v/>
      </c>
      <c r="J1327" t="b">
        <f t="shared" si="41"/>
        <v>0</v>
      </c>
    </row>
    <row r="1328" spans="3:10" x14ac:dyDescent="0.25">
      <c r="C1328" s="4"/>
      <c r="E1328" s="4"/>
      <c r="H1328" s="31" t="str">
        <f t="shared" si="40"/>
        <v/>
      </c>
      <c r="J1328" t="b">
        <f t="shared" si="41"/>
        <v>0</v>
      </c>
    </row>
    <row r="1329" spans="3:10" x14ac:dyDescent="0.25">
      <c r="C1329" s="4"/>
      <c r="E1329" s="4"/>
      <c r="H1329" s="31" t="str">
        <f t="shared" si="40"/>
        <v/>
      </c>
      <c r="J1329" t="b">
        <f t="shared" si="41"/>
        <v>0</v>
      </c>
    </row>
    <row r="1330" spans="3:10" x14ac:dyDescent="0.25">
      <c r="C1330" s="4"/>
      <c r="E1330" s="4"/>
      <c r="H1330" s="31" t="str">
        <f t="shared" si="40"/>
        <v/>
      </c>
      <c r="J1330" t="b">
        <f t="shared" si="41"/>
        <v>0</v>
      </c>
    </row>
    <row r="1331" spans="3:10" x14ac:dyDescent="0.25">
      <c r="C1331" s="4"/>
      <c r="E1331" s="4"/>
      <c r="H1331" s="31" t="str">
        <f t="shared" si="40"/>
        <v/>
      </c>
      <c r="J1331" t="b">
        <f t="shared" si="41"/>
        <v>0</v>
      </c>
    </row>
    <row r="1332" spans="3:10" x14ac:dyDescent="0.25">
      <c r="C1332" s="4"/>
      <c r="E1332" s="4"/>
      <c r="H1332" s="31" t="str">
        <f t="shared" si="40"/>
        <v/>
      </c>
      <c r="J1332" t="b">
        <f t="shared" si="41"/>
        <v>0</v>
      </c>
    </row>
    <row r="1333" spans="3:10" x14ac:dyDescent="0.25">
      <c r="C1333" s="4"/>
      <c r="E1333" s="4"/>
      <c r="H1333" s="31" t="str">
        <f t="shared" si="40"/>
        <v/>
      </c>
      <c r="J1333" t="b">
        <f t="shared" si="41"/>
        <v>0</v>
      </c>
    </row>
    <row r="1334" spans="3:10" x14ac:dyDescent="0.25">
      <c r="C1334" s="4"/>
      <c r="E1334" s="4"/>
      <c r="H1334" s="31" t="str">
        <f t="shared" si="40"/>
        <v/>
      </c>
      <c r="J1334" t="b">
        <f t="shared" si="41"/>
        <v>0</v>
      </c>
    </row>
    <row r="1335" spans="3:10" x14ac:dyDescent="0.25">
      <c r="C1335" s="4"/>
      <c r="E1335" s="4"/>
      <c r="H1335" s="31" t="str">
        <f t="shared" si="40"/>
        <v/>
      </c>
      <c r="J1335" t="b">
        <f t="shared" si="41"/>
        <v>0</v>
      </c>
    </row>
    <row r="1336" spans="3:10" x14ac:dyDescent="0.25">
      <c r="C1336" s="4"/>
      <c r="E1336" s="4"/>
      <c r="H1336" s="31" t="str">
        <f t="shared" si="40"/>
        <v/>
      </c>
      <c r="J1336" t="b">
        <f t="shared" si="41"/>
        <v>0</v>
      </c>
    </row>
    <row r="1337" spans="3:10" x14ac:dyDescent="0.25">
      <c r="C1337" s="4"/>
      <c r="E1337" s="4"/>
      <c r="H1337" s="31" t="str">
        <f t="shared" si="40"/>
        <v/>
      </c>
      <c r="J1337" t="b">
        <f t="shared" si="41"/>
        <v>0</v>
      </c>
    </row>
    <row r="1338" spans="3:10" x14ac:dyDescent="0.25">
      <c r="C1338" s="4"/>
      <c r="E1338" s="4"/>
      <c r="H1338" s="31" t="str">
        <f t="shared" si="40"/>
        <v/>
      </c>
      <c r="J1338" t="b">
        <f t="shared" si="41"/>
        <v>0</v>
      </c>
    </row>
    <row r="1339" spans="3:10" x14ac:dyDescent="0.25">
      <c r="C1339" s="4"/>
      <c r="E1339" s="4"/>
      <c r="H1339" s="31" t="str">
        <f t="shared" si="40"/>
        <v/>
      </c>
      <c r="J1339" t="b">
        <f t="shared" si="41"/>
        <v>0</v>
      </c>
    </row>
    <row r="1340" spans="3:10" x14ac:dyDescent="0.25">
      <c r="C1340" s="4"/>
      <c r="E1340" s="4"/>
      <c r="H1340" s="31" t="str">
        <f t="shared" si="40"/>
        <v/>
      </c>
      <c r="J1340" t="b">
        <f t="shared" si="41"/>
        <v>0</v>
      </c>
    </row>
    <row r="1341" spans="3:10" x14ac:dyDescent="0.25">
      <c r="C1341" s="4"/>
      <c r="E1341" s="4"/>
      <c r="H1341" s="31" t="str">
        <f t="shared" si="40"/>
        <v/>
      </c>
      <c r="J1341" t="b">
        <f t="shared" si="41"/>
        <v>0</v>
      </c>
    </row>
    <row r="1342" spans="3:10" x14ac:dyDescent="0.25">
      <c r="C1342" s="4"/>
      <c r="E1342" s="4"/>
      <c r="H1342" s="31" t="str">
        <f t="shared" si="40"/>
        <v/>
      </c>
      <c r="J1342" t="b">
        <f t="shared" si="41"/>
        <v>0</v>
      </c>
    </row>
    <row r="1343" spans="3:10" x14ac:dyDescent="0.25">
      <c r="C1343" s="4"/>
      <c r="E1343" s="4"/>
      <c r="H1343" s="31" t="str">
        <f t="shared" si="40"/>
        <v/>
      </c>
      <c r="J1343" t="b">
        <f t="shared" si="41"/>
        <v>0</v>
      </c>
    </row>
    <row r="1344" spans="3:10" x14ac:dyDescent="0.25">
      <c r="C1344" s="4"/>
      <c r="E1344" s="4"/>
      <c r="H1344" s="31" t="str">
        <f t="shared" si="40"/>
        <v/>
      </c>
      <c r="J1344" t="b">
        <f t="shared" si="41"/>
        <v>0</v>
      </c>
    </row>
    <row r="1345" spans="3:10" x14ac:dyDescent="0.25">
      <c r="C1345" s="4"/>
      <c r="E1345" s="4"/>
      <c r="H1345" s="31" t="str">
        <f t="shared" si="40"/>
        <v/>
      </c>
      <c r="J1345" t="b">
        <f t="shared" si="41"/>
        <v>0</v>
      </c>
    </row>
    <row r="1346" spans="3:10" x14ac:dyDescent="0.25">
      <c r="C1346" s="4"/>
      <c r="E1346" s="4"/>
      <c r="H1346" s="31" t="str">
        <f t="shared" si="40"/>
        <v/>
      </c>
      <c r="J1346" t="b">
        <f t="shared" si="41"/>
        <v>0</v>
      </c>
    </row>
    <row r="1347" spans="3:10" x14ac:dyDescent="0.25">
      <c r="C1347" s="4"/>
      <c r="E1347" s="4"/>
      <c r="H1347" s="31" t="str">
        <f t="shared" si="40"/>
        <v/>
      </c>
      <c r="J1347" t="b">
        <f t="shared" si="41"/>
        <v>0</v>
      </c>
    </row>
    <row r="1348" spans="3:10" x14ac:dyDescent="0.25">
      <c r="C1348" s="4"/>
      <c r="E1348" s="4"/>
      <c r="H1348" s="31" t="str">
        <f t="shared" ref="H1348:H1411" si="42">IF($J1348=TRUE,"Il ne peut y avoir des valeurs dans les 2 méthodes",IF($D1348="kg/l",$C1348,IF($D1348="g/l",$C1348/1000,IF($D1348="lb/gal US",$C1348*0.454/3.785,IF($G1348="kg/l",($E1348/100)*$F1348,IF($G1348="g/l",($E1348/100)*$F1348/1000,IF($G1348="lb/gal US",($E1348/100)*$F1348*0.454/3.785,"")))))))</f>
        <v/>
      </c>
      <c r="J1348" t="b">
        <f t="shared" ref="J1348:J1411" si="43">IF(AND(OR($C1348&lt;&gt;"",$D1348&lt;&gt;""),OR($E1348&lt;&gt;"",F1348&lt;&gt;"",G1348&lt;&gt;"")),TRUE,FALSE)</f>
        <v>0</v>
      </c>
    </row>
    <row r="1349" spans="3:10" x14ac:dyDescent="0.25">
      <c r="C1349" s="4"/>
      <c r="E1349" s="4"/>
      <c r="H1349" s="31" t="str">
        <f t="shared" si="42"/>
        <v/>
      </c>
      <c r="J1349" t="b">
        <f t="shared" si="43"/>
        <v>0</v>
      </c>
    </row>
    <row r="1350" spans="3:10" x14ac:dyDescent="0.25">
      <c r="C1350" s="4"/>
      <c r="E1350" s="4"/>
      <c r="H1350" s="31" t="str">
        <f t="shared" si="42"/>
        <v/>
      </c>
      <c r="J1350" t="b">
        <f t="shared" si="43"/>
        <v>0</v>
      </c>
    </row>
    <row r="1351" spans="3:10" x14ac:dyDescent="0.25">
      <c r="C1351" s="4"/>
      <c r="E1351" s="4"/>
      <c r="H1351" s="31" t="str">
        <f t="shared" si="42"/>
        <v/>
      </c>
      <c r="J1351" t="b">
        <f t="shared" si="43"/>
        <v>0</v>
      </c>
    </row>
    <row r="1352" spans="3:10" x14ac:dyDescent="0.25">
      <c r="C1352" s="4"/>
      <c r="E1352" s="4"/>
      <c r="H1352" s="31" t="str">
        <f t="shared" si="42"/>
        <v/>
      </c>
      <c r="J1352" t="b">
        <f t="shared" si="43"/>
        <v>0</v>
      </c>
    </row>
    <row r="1353" spans="3:10" x14ac:dyDescent="0.25">
      <c r="C1353" s="4"/>
      <c r="E1353" s="4"/>
      <c r="H1353" s="31" t="str">
        <f t="shared" si="42"/>
        <v/>
      </c>
      <c r="J1353" t="b">
        <f t="shared" si="43"/>
        <v>0</v>
      </c>
    </row>
    <row r="1354" spans="3:10" x14ac:dyDescent="0.25">
      <c r="C1354" s="4"/>
      <c r="E1354" s="4"/>
      <c r="H1354" s="31" t="str">
        <f t="shared" si="42"/>
        <v/>
      </c>
      <c r="J1354" t="b">
        <f t="shared" si="43"/>
        <v>0</v>
      </c>
    </row>
    <row r="1355" spans="3:10" x14ac:dyDescent="0.25">
      <c r="C1355" s="4"/>
      <c r="E1355" s="4"/>
      <c r="H1355" s="31" t="str">
        <f t="shared" si="42"/>
        <v/>
      </c>
      <c r="J1355" t="b">
        <f t="shared" si="43"/>
        <v>0</v>
      </c>
    </row>
    <row r="1356" spans="3:10" x14ac:dyDescent="0.25">
      <c r="C1356" s="4"/>
      <c r="E1356" s="4"/>
      <c r="H1356" s="31" t="str">
        <f t="shared" si="42"/>
        <v/>
      </c>
      <c r="J1356" t="b">
        <f t="shared" si="43"/>
        <v>0</v>
      </c>
    </row>
    <row r="1357" spans="3:10" x14ac:dyDescent="0.25">
      <c r="C1357" s="4"/>
      <c r="E1357" s="4"/>
      <c r="H1357" s="31" t="str">
        <f t="shared" si="42"/>
        <v/>
      </c>
      <c r="J1357" t="b">
        <f t="shared" si="43"/>
        <v>0</v>
      </c>
    </row>
    <row r="1358" spans="3:10" x14ac:dyDescent="0.25">
      <c r="C1358" s="4"/>
      <c r="E1358" s="4"/>
      <c r="H1358" s="31" t="str">
        <f t="shared" si="42"/>
        <v/>
      </c>
      <c r="J1358" t="b">
        <f t="shared" si="43"/>
        <v>0</v>
      </c>
    </row>
    <row r="1359" spans="3:10" x14ac:dyDescent="0.25">
      <c r="C1359" s="4"/>
      <c r="E1359" s="4"/>
      <c r="H1359" s="31" t="str">
        <f t="shared" si="42"/>
        <v/>
      </c>
      <c r="J1359" t="b">
        <f t="shared" si="43"/>
        <v>0</v>
      </c>
    </row>
    <row r="1360" spans="3:10" x14ac:dyDescent="0.25">
      <c r="C1360" s="4"/>
      <c r="E1360" s="4"/>
      <c r="H1360" s="31" t="str">
        <f t="shared" si="42"/>
        <v/>
      </c>
      <c r="J1360" t="b">
        <f t="shared" si="43"/>
        <v>0</v>
      </c>
    </row>
    <row r="1361" spans="3:10" x14ac:dyDescent="0.25">
      <c r="C1361" s="4"/>
      <c r="E1361" s="4"/>
      <c r="H1361" s="31" t="str">
        <f t="shared" si="42"/>
        <v/>
      </c>
      <c r="J1361" t="b">
        <f t="shared" si="43"/>
        <v>0</v>
      </c>
    </row>
    <row r="1362" spans="3:10" x14ac:dyDescent="0.25">
      <c r="C1362" s="4"/>
      <c r="E1362" s="4"/>
      <c r="H1362" s="31" t="str">
        <f t="shared" si="42"/>
        <v/>
      </c>
      <c r="J1362" t="b">
        <f t="shared" si="43"/>
        <v>0</v>
      </c>
    </row>
    <row r="1363" spans="3:10" x14ac:dyDescent="0.25">
      <c r="C1363" s="4"/>
      <c r="E1363" s="4"/>
      <c r="H1363" s="31" t="str">
        <f t="shared" si="42"/>
        <v/>
      </c>
      <c r="J1363" t="b">
        <f t="shared" si="43"/>
        <v>0</v>
      </c>
    </row>
    <row r="1364" spans="3:10" x14ac:dyDescent="0.25">
      <c r="C1364" s="4"/>
      <c r="E1364" s="4"/>
      <c r="H1364" s="31" t="str">
        <f t="shared" si="42"/>
        <v/>
      </c>
      <c r="J1364" t="b">
        <f t="shared" si="43"/>
        <v>0</v>
      </c>
    </row>
    <row r="1365" spans="3:10" x14ac:dyDescent="0.25">
      <c r="C1365" s="4"/>
      <c r="E1365" s="4"/>
      <c r="H1365" s="31" t="str">
        <f t="shared" si="42"/>
        <v/>
      </c>
      <c r="J1365" t="b">
        <f t="shared" si="43"/>
        <v>0</v>
      </c>
    </row>
    <row r="1366" spans="3:10" x14ac:dyDescent="0.25">
      <c r="C1366" s="4"/>
      <c r="E1366" s="4"/>
      <c r="H1366" s="31" t="str">
        <f t="shared" si="42"/>
        <v/>
      </c>
      <c r="J1366" t="b">
        <f t="shared" si="43"/>
        <v>0</v>
      </c>
    </row>
    <row r="1367" spans="3:10" x14ac:dyDescent="0.25">
      <c r="C1367" s="4"/>
      <c r="E1367" s="4"/>
      <c r="H1367" s="31" t="str">
        <f t="shared" si="42"/>
        <v/>
      </c>
      <c r="J1367" t="b">
        <f t="shared" si="43"/>
        <v>0</v>
      </c>
    </row>
    <row r="1368" spans="3:10" x14ac:dyDescent="0.25">
      <c r="C1368" s="4"/>
      <c r="E1368" s="4"/>
      <c r="H1368" s="31" t="str">
        <f t="shared" si="42"/>
        <v/>
      </c>
      <c r="J1368" t="b">
        <f t="shared" si="43"/>
        <v>0</v>
      </c>
    </row>
    <row r="1369" spans="3:10" x14ac:dyDescent="0.25">
      <c r="C1369" s="4"/>
      <c r="E1369" s="4"/>
      <c r="H1369" s="31" t="str">
        <f t="shared" si="42"/>
        <v/>
      </c>
      <c r="J1369" t="b">
        <f t="shared" si="43"/>
        <v>0</v>
      </c>
    </row>
    <row r="1370" spans="3:10" x14ac:dyDescent="0.25">
      <c r="C1370" s="4"/>
      <c r="E1370" s="4"/>
      <c r="H1370" s="31" t="str">
        <f t="shared" si="42"/>
        <v/>
      </c>
      <c r="J1370" t="b">
        <f t="shared" si="43"/>
        <v>0</v>
      </c>
    </row>
    <row r="1371" spans="3:10" x14ac:dyDescent="0.25">
      <c r="C1371" s="4"/>
      <c r="E1371" s="4"/>
      <c r="H1371" s="31" t="str">
        <f t="shared" si="42"/>
        <v/>
      </c>
      <c r="J1371" t="b">
        <f t="shared" si="43"/>
        <v>0</v>
      </c>
    </row>
    <row r="1372" spans="3:10" x14ac:dyDescent="0.25">
      <c r="C1372" s="4"/>
      <c r="E1372" s="4"/>
      <c r="H1372" s="31" t="str">
        <f t="shared" si="42"/>
        <v/>
      </c>
      <c r="J1372" t="b">
        <f t="shared" si="43"/>
        <v>0</v>
      </c>
    </row>
    <row r="1373" spans="3:10" x14ac:dyDescent="0.25">
      <c r="C1373" s="4"/>
      <c r="E1373" s="4"/>
      <c r="H1373" s="31" t="str">
        <f t="shared" si="42"/>
        <v/>
      </c>
      <c r="J1373" t="b">
        <f t="shared" si="43"/>
        <v>0</v>
      </c>
    </row>
    <row r="1374" spans="3:10" x14ac:dyDescent="0.25">
      <c r="C1374" s="4"/>
      <c r="E1374" s="4"/>
      <c r="H1374" s="31" t="str">
        <f t="shared" si="42"/>
        <v/>
      </c>
      <c r="J1374" t="b">
        <f t="shared" si="43"/>
        <v>0</v>
      </c>
    </row>
    <row r="1375" spans="3:10" x14ac:dyDescent="0.25">
      <c r="C1375" s="4"/>
      <c r="E1375" s="4"/>
      <c r="H1375" s="31" t="str">
        <f t="shared" si="42"/>
        <v/>
      </c>
      <c r="J1375" t="b">
        <f t="shared" si="43"/>
        <v>0</v>
      </c>
    </row>
    <row r="1376" spans="3:10" x14ac:dyDescent="0.25">
      <c r="C1376" s="4"/>
      <c r="E1376" s="4"/>
      <c r="H1376" s="31" t="str">
        <f t="shared" si="42"/>
        <v/>
      </c>
      <c r="J1376" t="b">
        <f t="shared" si="43"/>
        <v>0</v>
      </c>
    </row>
    <row r="1377" spans="3:10" x14ac:dyDescent="0.25">
      <c r="C1377" s="4"/>
      <c r="E1377" s="4"/>
      <c r="H1377" s="31" t="str">
        <f t="shared" si="42"/>
        <v/>
      </c>
      <c r="J1377" t="b">
        <f t="shared" si="43"/>
        <v>0</v>
      </c>
    </row>
    <row r="1378" spans="3:10" x14ac:dyDescent="0.25">
      <c r="C1378" s="4"/>
      <c r="E1378" s="4"/>
      <c r="H1378" s="31" t="str">
        <f t="shared" si="42"/>
        <v/>
      </c>
      <c r="J1378" t="b">
        <f t="shared" si="43"/>
        <v>0</v>
      </c>
    </row>
    <row r="1379" spans="3:10" x14ac:dyDescent="0.25">
      <c r="C1379" s="4"/>
      <c r="E1379" s="4"/>
      <c r="H1379" s="31" t="str">
        <f t="shared" si="42"/>
        <v/>
      </c>
      <c r="J1379" t="b">
        <f t="shared" si="43"/>
        <v>0</v>
      </c>
    </row>
    <row r="1380" spans="3:10" x14ac:dyDescent="0.25">
      <c r="C1380" s="4"/>
      <c r="E1380" s="4"/>
      <c r="H1380" s="31" t="str">
        <f t="shared" si="42"/>
        <v/>
      </c>
      <c r="J1380" t="b">
        <f t="shared" si="43"/>
        <v>0</v>
      </c>
    </row>
    <row r="1381" spans="3:10" x14ac:dyDescent="0.25">
      <c r="C1381" s="4"/>
      <c r="E1381" s="4"/>
      <c r="H1381" s="31" t="str">
        <f t="shared" si="42"/>
        <v/>
      </c>
      <c r="J1381" t="b">
        <f t="shared" si="43"/>
        <v>0</v>
      </c>
    </row>
    <row r="1382" spans="3:10" x14ac:dyDescent="0.25">
      <c r="C1382" s="4"/>
      <c r="E1382" s="4"/>
      <c r="H1382" s="31" t="str">
        <f t="shared" si="42"/>
        <v/>
      </c>
      <c r="J1382" t="b">
        <f t="shared" si="43"/>
        <v>0</v>
      </c>
    </row>
    <row r="1383" spans="3:10" x14ac:dyDescent="0.25">
      <c r="C1383" s="4"/>
      <c r="E1383" s="4"/>
      <c r="H1383" s="31" t="str">
        <f t="shared" si="42"/>
        <v/>
      </c>
      <c r="J1383" t="b">
        <f t="shared" si="43"/>
        <v>0</v>
      </c>
    </row>
    <row r="1384" spans="3:10" x14ac:dyDescent="0.25">
      <c r="C1384" s="4"/>
      <c r="E1384" s="4"/>
      <c r="H1384" s="31" t="str">
        <f t="shared" si="42"/>
        <v/>
      </c>
      <c r="J1384" t="b">
        <f t="shared" si="43"/>
        <v>0</v>
      </c>
    </row>
    <row r="1385" spans="3:10" x14ac:dyDescent="0.25">
      <c r="C1385" s="4"/>
      <c r="E1385" s="4"/>
      <c r="H1385" s="31" t="str">
        <f t="shared" si="42"/>
        <v/>
      </c>
      <c r="J1385" t="b">
        <f t="shared" si="43"/>
        <v>0</v>
      </c>
    </row>
    <row r="1386" spans="3:10" x14ac:dyDescent="0.25">
      <c r="C1386" s="4"/>
      <c r="E1386" s="4"/>
      <c r="H1386" s="31" t="str">
        <f t="shared" si="42"/>
        <v/>
      </c>
      <c r="J1386" t="b">
        <f t="shared" si="43"/>
        <v>0</v>
      </c>
    </row>
    <row r="1387" spans="3:10" x14ac:dyDescent="0.25">
      <c r="C1387" s="4"/>
      <c r="E1387" s="4"/>
      <c r="H1387" s="31" t="str">
        <f t="shared" si="42"/>
        <v/>
      </c>
      <c r="J1387" t="b">
        <f t="shared" si="43"/>
        <v>0</v>
      </c>
    </row>
    <row r="1388" spans="3:10" x14ac:dyDescent="0.25">
      <c r="C1388" s="4"/>
      <c r="E1388" s="4"/>
      <c r="H1388" s="31" t="str">
        <f t="shared" si="42"/>
        <v/>
      </c>
      <c r="J1388" t="b">
        <f t="shared" si="43"/>
        <v>0</v>
      </c>
    </row>
    <row r="1389" spans="3:10" x14ac:dyDescent="0.25">
      <c r="C1389" s="4"/>
      <c r="E1389" s="4"/>
      <c r="H1389" s="31" t="str">
        <f t="shared" si="42"/>
        <v/>
      </c>
      <c r="J1389" t="b">
        <f t="shared" si="43"/>
        <v>0</v>
      </c>
    </row>
    <row r="1390" spans="3:10" x14ac:dyDescent="0.25">
      <c r="C1390" s="4"/>
      <c r="E1390" s="4"/>
      <c r="H1390" s="31" t="str">
        <f t="shared" si="42"/>
        <v/>
      </c>
      <c r="J1390" t="b">
        <f t="shared" si="43"/>
        <v>0</v>
      </c>
    </row>
    <row r="1391" spans="3:10" x14ac:dyDescent="0.25">
      <c r="C1391" s="4"/>
      <c r="E1391" s="4"/>
      <c r="H1391" s="31" t="str">
        <f t="shared" si="42"/>
        <v/>
      </c>
      <c r="J1391" t="b">
        <f t="shared" si="43"/>
        <v>0</v>
      </c>
    </row>
    <row r="1392" spans="3:10" x14ac:dyDescent="0.25">
      <c r="C1392" s="4"/>
      <c r="E1392" s="4"/>
      <c r="H1392" s="31" t="str">
        <f t="shared" si="42"/>
        <v/>
      </c>
      <c r="J1392" t="b">
        <f t="shared" si="43"/>
        <v>0</v>
      </c>
    </row>
    <row r="1393" spans="3:10" x14ac:dyDescent="0.25">
      <c r="C1393" s="4"/>
      <c r="E1393" s="4"/>
      <c r="H1393" s="31" t="str">
        <f t="shared" si="42"/>
        <v/>
      </c>
      <c r="J1393" t="b">
        <f t="shared" si="43"/>
        <v>0</v>
      </c>
    </row>
    <row r="1394" spans="3:10" x14ac:dyDescent="0.25">
      <c r="C1394" s="4"/>
      <c r="E1394" s="4"/>
      <c r="H1394" s="31" t="str">
        <f t="shared" si="42"/>
        <v/>
      </c>
      <c r="J1394" t="b">
        <f t="shared" si="43"/>
        <v>0</v>
      </c>
    </row>
    <row r="1395" spans="3:10" x14ac:dyDescent="0.25">
      <c r="C1395" s="4"/>
      <c r="E1395" s="4"/>
      <c r="H1395" s="31" t="str">
        <f t="shared" si="42"/>
        <v/>
      </c>
      <c r="J1395" t="b">
        <f t="shared" si="43"/>
        <v>0</v>
      </c>
    </row>
    <row r="1396" spans="3:10" x14ac:dyDescent="0.25">
      <c r="C1396" s="4"/>
      <c r="E1396" s="4"/>
      <c r="H1396" s="31" t="str">
        <f t="shared" si="42"/>
        <v/>
      </c>
      <c r="J1396" t="b">
        <f t="shared" si="43"/>
        <v>0</v>
      </c>
    </row>
    <row r="1397" spans="3:10" x14ac:dyDescent="0.25">
      <c r="C1397" s="4"/>
      <c r="E1397" s="4"/>
      <c r="H1397" s="31" t="str">
        <f t="shared" si="42"/>
        <v/>
      </c>
      <c r="J1397" t="b">
        <f t="shared" si="43"/>
        <v>0</v>
      </c>
    </row>
    <row r="1398" spans="3:10" x14ac:dyDescent="0.25">
      <c r="C1398" s="4"/>
      <c r="E1398" s="4"/>
      <c r="H1398" s="31" t="str">
        <f t="shared" si="42"/>
        <v/>
      </c>
      <c r="J1398" t="b">
        <f t="shared" si="43"/>
        <v>0</v>
      </c>
    </row>
    <row r="1399" spans="3:10" x14ac:dyDescent="0.25">
      <c r="C1399" s="4"/>
      <c r="E1399" s="4"/>
      <c r="H1399" s="31" t="str">
        <f t="shared" si="42"/>
        <v/>
      </c>
      <c r="J1399" t="b">
        <f t="shared" si="43"/>
        <v>0</v>
      </c>
    </row>
    <row r="1400" spans="3:10" x14ac:dyDescent="0.25">
      <c r="C1400" s="4"/>
      <c r="E1400" s="4"/>
      <c r="H1400" s="31" t="str">
        <f t="shared" si="42"/>
        <v/>
      </c>
      <c r="J1400" t="b">
        <f t="shared" si="43"/>
        <v>0</v>
      </c>
    </row>
    <row r="1401" spans="3:10" x14ac:dyDescent="0.25">
      <c r="C1401" s="4"/>
      <c r="E1401" s="4"/>
      <c r="H1401" s="31" t="str">
        <f t="shared" si="42"/>
        <v/>
      </c>
      <c r="J1401" t="b">
        <f t="shared" si="43"/>
        <v>0</v>
      </c>
    </row>
    <row r="1402" spans="3:10" x14ac:dyDescent="0.25">
      <c r="C1402" s="4"/>
      <c r="E1402" s="4"/>
      <c r="H1402" s="31" t="str">
        <f t="shared" si="42"/>
        <v/>
      </c>
      <c r="J1402" t="b">
        <f t="shared" si="43"/>
        <v>0</v>
      </c>
    </row>
    <row r="1403" spans="3:10" x14ac:dyDescent="0.25">
      <c r="C1403" s="4"/>
      <c r="E1403" s="4"/>
      <c r="H1403" s="31" t="str">
        <f t="shared" si="42"/>
        <v/>
      </c>
      <c r="J1403" t="b">
        <f t="shared" si="43"/>
        <v>0</v>
      </c>
    </row>
    <row r="1404" spans="3:10" x14ac:dyDescent="0.25">
      <c r="C1404" s="4"/>
      <c r="E1404" s="4"/>
      <c r="H1404" s="31" t="str">
        <f t="shared" si="42"/>
        <v/>
      </c>
      <c r="J1404" t="b">
        <f t="shared" si="43"/>
        <v>0</v>
      </c>
    </row>
    <row r="1405" spans="3:10" x14ac:dyDescent="0.25">
      <c r="C1405" s="4"/>
      <c r="E1405" s="4"/>
      <c r="H1405" s="31" t="str">
        <f t="shared" si="42"/>
        <v/>
      </c>
      <c r="J1405" t="b">
        <f t="shared" si="43"/>
        <v>0</v>
      </c>
    </row>
    <row r="1406" spans="3:10" x14ac:dyDescent="0.25">
      <c r="C1406" s="4"/>
      <c r="E1406" s="4"/>
      <c r="H1406" s="31" t="str">
        <f t="shared" si="42"/>
        <v/>
      </c>
      <c r="J1406" t="b">
        <f t="shared" si="43"/>
        <v>0</v>
      </c>
    </row>
    <row r="1407" spans="3:10" x14ac:dyDescent="0.25">
      <c r="C1407" s="4"/>
      <c r="E1407" s="4"/>
      <c r="H1407" s="31" t="str">
        <f t="shared" si="42"/>
        <v/>
      </c>
      <c r="J1407" t="b">
        <f t="shared" si="43"/>
        <v>0</v>
      </c>
    </row>
    <row r="1408" spans="3:10" x14ac:dyDescent="0.25">
      <c r="C1408" s="4"/>
      <c r="E1408" s="4"/>
      <c r="H1408" s="31" t="str">
        <f t="shared" si="42"/>
        <v/>
      </c>
      <c r="J1408" t="b">
        <f t="shared" si="43"/>
        <v>0</v>
      </c>
    </row>
    <row r="1409" spans="3:10" x14ac:dyDescent="0.25">
      <c r="C1409" s="4"/>
      <c r="E1409" s="4"/>
      <c r="H1409" s="31" t="str">
        <f t="shared" si="42"/>
        <v/>
      </c>
      <c r="J1409" t="b">
        <f t="shared" si="43"/>
        <v>0</v>
      </c>
    </row>
    <row r="1410" spans="3:10" x14ac:dyDescent="0.25">
      <c r="C1410" s="4"/>
      <c r="E1410" s="4"/>
      <c r="H1410" s="31" t="str">
        <f t="shared" si="42"/>
        <v/>
      </c>
      <c r="J1410" t="b">
        <f t="shared" si="43"/>
        <v>0</v>
      </c>
    </row>
    <row r="1411" spans="3:10" x14ac:dyDescent="0.25">
      <c r="C1411" s="4"/>
      <c r="E1411" s="4"/>
      <c r="H1411" s="31" t="str">
        <f t="shared" si="42"/>
        <v/>
      </c>
      <c r="J1411" t="b">
        <f t="shared" si="43"/>
        <v>0</v>
      </c>
    </row>
    <row r="1412" spans="3:10" x14ac:dyDescent="0.25">
      <c r="C1412" s="4"/>
      <c r="E1412" s="4"/>
      <c r="H1412" s="31" t="str">
        <f t="shared" ref="H1412:H1475" si="44">IF($J1412=TRUE,"Il ne peut y avoir des valeurs dans les 2 méthodes",IF($D1412="kg/l",$C1412,IF($D1412="g/l",$C1412/1000,IF($D1412="lb/gal US",$C1412*0.454/3.785,IF($G1412="kg/l",($E1412/100)*$F1412,IF($G1412="g/l",($E1412/100)*$F1412/1000,IF($G1412="lb/gal US",($E1412/100)*$F1412*0.454/3.785,"")))))))</f>
        <v/>
      </c>
      <c r="J1412" t="b">
        <f t="shared" ref="J1412:J1475" si="45">IF(AND(OR($C1412&lt;&gt;"",$D1412&lt;&gt;""),OR($E1412&lt;&gt;"",F1412&lt;&gt;"",G1412&lt;&gt;"")),TRUE,FALSE)</f>
        <v>0</v>
      </c>
    </row>
    <row r="1413" spans="3:10" x14ac:dyDescent="0.25">
      <c r="C1413" s="4"/>
      <c r="E1413" s="4"/>
      <c r="H1413" s="31" t="str">
        <f t="shared" si="44"/>
        <v/>
      </c>
      <c r="J1413" t="b">
        <f t="shared" si="45"/>
        <v>0</v>
      </c>
    </row>
    <row r="1414" spans="3:10" x14ac:dyDescent="0.25">
      <c r="C1414" s="4"/>
      <c r="E1414" s="4"/>
      <c r="H1414" s="31" t="str">
        <f t="shared" si="44"/>
        <v/>
      </c>
      <c r="J1414" t="b">
        <f t="shared" si="45"/>
        <v>0</v>
      </c>
    </row>
    <row r="1415" spans="3:10" x14ac:dyDescent="0.25">
      <c r="C1415" s="4"/>
      <c r="E1415" s="4"/>
      <c r="H1415" s="31" t="str">
        <f t="shared" si="44"/>
        <v/>
      </c>
      <c r="J1415" t="b">
        <f t="shared" si="45"/>
        <v>0</v>
      </c>
    </row>
    <row r="1416" spans="3:10" x14ac:dyDescent="0.25">
      <c r="C1416" s="4"/>
      <c r="E1416" s="4"/>
      <c r="H1416" s="31" t="str">
        <f t="shared" si="44"/>
        <v/>
      </c>
      <c r="J1416" t="b">
        <f t="shared" si="45"/>
        <v>0</v>
      </c>
    </row>
    <row r="1417" spans="3:10" x14ac:dyDescent="0.25">
      <c r="C1417" s="4"/>
      <c r="E1417" s="4"/>
      <c r="H1417" s="31" t="str">
        <f t="shared" si="44"/>
        <v/>
      </c>
      <c r="J1417" t="b">
        <f t="shared" si="45"/>
        <v>0</v>
      </c>
    </row>
    <row r="1418" spans="3:10" x14ac:dyDescent="0.25">
      <c r="C1418" s="4"/>
      <c r="E1418" s="4"/>
      <c r="H1418" s="31" t="str">
        <f t="shared" si="44"/>
        <v/>
      </c>
      <c r="J1418" t="b">
        <f t="shared" si="45"/>
        <v>0</v>
      </c>
    </row>
    <row r="1419" spans="3:10" x14ac:dyDescent="0.25">
      <c r="C1419" s="4"/>
      <c r="E1419" s="4"/>
      <c r="H1419" s="31" t="str">
        <f t="shared" si="44"/>
        <v/>
      </c>
      <c r="J1419" t="b">
        <f t="shared" si="45"/>
        <v>0</v>
      </c>
    </row>
    <row r="1420" spans="3:10" x14ac:dyDescent="0.25">
      <c r="C1420" s="4"/>
      <c r="E1420" s="4"/>
      <c r="H1420" s="31" t="str">
        <f t="shared" si="44"/>
        <v/>
      </c>
      <c r="J1420" t="b">
        <f t="shared" si="45"/>
        <v>0</v>
      </c>
    </row>
    <row r="1421" spans="3:10" x14ac:dyDescent="0.25">
      <c r="C1421" s="4"/>
      <c r="E1421" s="4"/>
      <c r="H1421" s="31" t="str">
        <f t="shared" si="44"/>
        <v/>
      </c>
      <c r="J1421" t="b">
        <f t="shared" si="45"/>
        <v>0</v>
      </c>
    </row>
    <row r="1422" spans="3:10" x14ac:dyDescent="0.25">
      <c r="C1422" s="4"/>
      <c r="E1422" s="4"/>
      <c r="H1422" s="31" t="str">
        <f t="shared" si="44"/>
        <v/>
      </c>
      <c r="J1422" t="b">
        <f t="shared" si="45"/>
        <v>0</v>
      </c>
    </row>
    <row r="1423" spans="3:10" x14ac:dyDescent="0.25">
      <c r="C1423" s="4"/>
      <c r="E1423" s="4"/>
      <c r="H1423" s="31" t="str">
        <f t="shared" si="44"/>
        <v/>
      </c>
      <c r="J1423" t="b">
        <f t="shared" si="45"/>
        <v>0</v>
      </c>
    </row>
    <row r="1424" spans="3:10" x14ac:dyDescent="0.25">
      <c r="C1424" s="4"/>
      <c r="E1424" s="4"/>
      <c r="H1424" s="31" t="str">
        <f t="shared" si="44"/>
        <v/>
      </c>
      <c r="J1424" t="b">
        <f t="shared" si="45"/>
        <v>0</v>
      </c>
    </row>
    <row r="1425" spans="3:10" x14ac:dyDescent="0.25">
      <c r="C1425" s="4"/>
      <c r="E1425" s="4"/>
      <c r="H1425" s="31" t="str">
        <f t="shared" si="44"/>
        <v/>
      </c>
      <c r="J1425" t="b">
        <f t="shared" si="45"/>
        <v>0</v>
      </c>
    </row>
    <row r="1426" spans="3:10" x14ac:dyDescent="0.25">
      <c r="C1426" s="4"/>
      <c r="E1426" s="4"/>
      <c r="H1426" s="31" t="str">
        <f t="shared" si="44"/>
        <v/>
      </c>
      <c r="J1426" t="b">
        <f t="shared" si="45"/>
        <v>0</v>
      </c>
    </row>
    <row r="1427" spans="3:10" x14ac:dyDescent="0.25">
      <c r="C1427" s="4"/>
      <c r="E1427" s="4"/>
      <c r="H1427" s="31" t="str">
        <f t="shared" si="44"/>
        <v/>
      </c>
      <c r="J1427" t="b">
        <f t="shared" si="45"/>
        <v>0</v>
      </c>
    </row>
    <row r="1428" spans="3:10" x14ac:dyDescent="0.25">
      <c r="C1428" s="4"/>
      <c r="E1428" s="4"/>
      <c r="H1428" s="31" t="str">
        <f t="shared" si="44"/>
        <v/>
      </c>
      <c r="J1428" t="b">
        <f t="shared" si="45"/>
        <v>0</v>
      </c>
    </row>
    <row r="1429" spans="3:10" x14ac:dyDescent="0.25">
      <c r="C1429" s="4"/>
      <c r="E1429" s="4"/>
      <c r="H1429" s="31" t="str">
        <f t="shared" si="44"/>
        <v/>
      </c>
      <c r="J1429" t="b">
        <f t="shared" si="45"/>
        <v>0</v>
      </c>
    </row>
    <row r="1430" spans="3:10" x14ac:dyDescent="0.25">
      <c r="C1430" s="4"/>
      <c r="E1430" s="4"/>
      <c r="H1430" s="31" t="str">
        <f t="shared" si="44"/>
        <v/>
      </c>
      <c r="J1430" t="b">
        <f t="shared" si="45"/>
        <v>0</v>
      </c>
    </row>
    <row r="1431" spans="3:10" x14ac:dyDescent="0.25">
      <c r="C1431" s="4"/>
      <c r="E1431" s="4"/>
      <c r="H1431" s="31" t="str">
        <f t="shared" si="44"/>
        <v/>
      </c>
      <c r="J1431" t="b">
        <f t="shared" si="45"/>
        <v>0</v>
      </c>
    </row>
    <row r="1432" spans="3:10" x14ac:dyDescent="0.25">
      <c r="C1432" s="4"/>
      <c r="E1432" s="4"/>
      <c r="H1432" s="31" t="str">
        <f t="shared" si="44"/>
        <v/>
      </c>
      <c r="J1432" t="b">
        <f t="shared" si="45"/>
        <v>0</v>
      </c>
    </row>
    <row r="1433" spans="3:10" x14ac:dyDescent="0.25">
      <c r="C1433" s="4"/>
      <c r="E1433" s="4"/>
      <c r="H1433" s="31" t="str">
        <f t="shared" si="44"/>
        <v/>
      </c>
      <c r="J1433" t="b">
        <f t="shared" si="45"/>
        <v>0</v>
      </c>
    </row>
    <row r="1434" spans="3:10" x14ac:dyDescent="0.25">
      <c r="C1434" s="4"/>
      <c r="E1434" s="4"/>
      <c r="H1434" s="31" t="str">
        <f t="shared" si="44"/>
        <v/>
      </c>
      <c r="J1434" t="b">
        <f t="shared" si="45"/>
        <v>0</v>
      </c>
    </row>
    <row r="1435" spans="3:10" x14ac:dyDescent="0.25">
      <c r="C1435" s="4"/>
      <c r="E1435" s="4"/>
      <c r="H1435" s="31" t="str">
        <f t="shared" si="44"/>
        <v/>
      </c>
      <c r="J1435" t="b">
        <f t="shared" si="45"/>
        <v>0</v>
      </c>
    </row>
    <row r="1436" spans="3:10" x14ac:dyDescent="0.25">
      <c r="C1436" s="4"/>
      <c r="E1436" s="4"/>
      <c r="H1436" s="31" t="str">
        <f t="shared" si="44"/>
        <v/>
      </c>
      <c r="J1436" t="b">
        <f t="shared" si="45"/>
        <v>0</v>
      </c>
    </row>
    <row r="1437" spans="3:10" x14ac:dyDescent="0.25">
      <c r="C1437" s="4"/>
      <c r="E1437" s="4"/>
      <c r="H1437" s="31" t="str">
        <f t="shared" si="44"/>
        <v/>
      </c>
      <c r="J1437" t="b">
        <f t="shared" si="45"/>
        <v>0</v>
      </c>
    </row>
    <row r="1438" spans="3:10" x14ac:dyDescent="0.25">
      <c r="C1438" s="4"/>
      <c r="E1438" s="4"/>
      <c r="H1438" s="31" t="str">
        <f t="shared" si="44"/>
        <v/>
      </c>
      <c r="J1438" t="b">
        <f t="shared" si="45"/>
        <v>0</v>
      </c>
    </row>
    <row r="1439" spans="3:10" x14ac:dyDescent="0.25">
      <c r="C1439" s="4"/>
      <c r="E1439" s="4"/>
      <c r="H1439" s="31" t="str">
        <f t="shared" si="44"/>
        <v/>
      </c>
      <c r="J1439" t="b">
        <f t="shared" si="45"/>
        <v>0</v>
      </c>
    </row>
    <row r="1440" spans="3:10" x14ac:dyDescent="0.25">
      <c r="C1440" s="4"/>
      <c r="E1440" s="4"/>
      <c r="H1440" s="31" t="str">
        <f t="shared" si="44"/>
        <v/>
      </c>
      <c r="J1440" t="b">
        <f t="shared" si="45"/>
        <v>0</v>
      </c>
    </row>
    <row r="1441" spans="3:10" x14ac:dyDescent="0.25">
      <c r="C1441" s="4"/>
      <c r="E1441" s="4"/>
      <c r="H1441" s="31" t="str">
        <f t="shared" si="44"/>
        <v/>
      </c>
      <c r="J1441" t="b">
        <f t="shared" si="45"/>
        <v>0</v>
      </c>
    </row>
    <row r="1442" spans="3:10" x14ac:dyDescent="0.25">
      <c r="C1442" s="4"/>
      <c r="E1442" s="4"/>
      <c r="H1442" s="31" t="str">
        <f t="shared" si="44"/>
        <v/>
      </c>
      <c r="J1442" t="b">
        <f t="shared" si="45"/>
        <v>0</v>
      </c>
    </row>
    <row r="1443" spans="3:10" x14ac:dyDescent="0.25">
      <c r="C1443" s="4"/>
      <c r="E1443" s="4"/>
      <c r="H1443" s="31" t="str">
        <f t="shared" si="44"/>
        <v/>
      </c>
      <c r="J1443" t="b">
        <f t="shared" si="45"/>
        <v>0</v>
      </c>
    </row>
    <row r="1444" spans="3:10" x14ac:dyDescent="0.25">
      <c r="C1444" s="4"/>
      <c r="E1444" s="4"/>
      <c r="H1444" s="31" t="str">
        <f t="shared" si="44"/>
        <v/>
      </c>
      <c r="J1444" t="b">
        <f t="shared" si="45"/>
        <v>0</v>
      </c>
    </row>
    <row r="1445" spans="3:10" x14ac:dyDescent="0.25">
      <c r="C1445" s="4"/>
      <c r="E1445" s="4"/>
      <c r="H1445" s="31" t="str">
        <f t="shared" si="44"/>
        <v/>
      </c>
      <c r="J1445" t="b">
        <f t="shared" si="45"/>
        <v>0</v>
      </c>
    </row>
    <row r="1446" spans="3:10" x14ac:dyDescent="0.25">
      <c r="C1446" s="4"/>
      <c r="E1446" s="4"/>
      <c r="H1446" s="31" t="str">
        <f t="shared" si="44"/>
        <v/>
      </c>
      <c r="J1446" t="b">
        <f t="shared" si="45"/>
        <v>0</v>
      </c>
    </row>
    <row r="1447" spans="3:10" x14ac:dyDescent="0.25">
      <c r="C1447" s="4"/>
      <c r="E1447" s="4"/>
      <c r="H1447" s="31" t="str">
        <f t="shared" si="44"/>
        <v/>
      </c>
      <c r="J1447" t="b">
        <f t="shared" si="45"/>
        <v>0</v>
      </c>
    </row>
    <row r="1448" spans="3:10" x14ac:dyDescent="0.25">
      <c r="C1448" s="4"/>
      <c r="E1448" s="4"/>
      <c r="H1448" s="31" t="str">
        <f t="shared" si="44"/>
        <v/>
      </c>
      <c r="J1448" t="b">
        <f t="shared" si="45"/>
        <v>0</v>
      </c>
    </row>
    <row r="1449" spans="3:10" x14ac:dyDescent="0.25">
      <c r="C1449" s="4"/>
      <c r="E1449" s="4"/>
      <c r="H1449" s="31" t="str">
        <f t="shared" si="44"/>
        <v/>
      </c>
      <c r="J1449" t="b">
        <f t="shared" si="45"/>
        <v>0</v>
      </c>
    </row>
    <row r="1450" spans="3:10" x14ac:dyDescent="0.25">
      <c r="C1450" s="4"/>
      <c r="E1450" s="4"/>
      <c r="H1450" s="31" t="str">
        <f t="shared" si="44"/>
        <v/>
      </c>
      <c r="J1450" t="b">
        <f t="shared" si="45"/>
        <v>0</v>
      </c>
    </row>
    <row r="1451" spans="3:10" x14ac:dyDescent="0.25">
      <c r="C1451" s="4"/>
      <c r="E1451" s="4"/>
      <c r="H1451" s="31" t="str">
        <f t="shared" si="44"/>
        <v/>
      </c>
      <c r="J1451" t="b">
        <f t="shared" si="45"/>
        <v>0</v>
      </c>
    </row>
    <row r="1452" spans="3:10" x14ac:dyDescent="0.25">
      <c r="C1452" s="4"/>
      <c r="E1452" s="4"/>
      <c r="H1452" s="31" t="str">
        <f t="shared" si="44"/>
        <v/>
      </c>
      <c r="J1452" t="b">
        <f t="shared" si="45"/>
        <v>0</v>
      </c>
    </row>
    <row r="1453" spans="3:10" x14ac:dyDescent="0.25">
      <c r="C1453" s="4"/>
      <c r="E1453" s="4"/>
      <c r="H1453" s="31" t="str">
        <f t="shared" si="44"/>
        <v/>
      </c>
      <c r="J1453" t="b">
        <f t="shared" si="45"/>
        <v>0</v>
      </c>
    </row>
    <row r="1454" spans="3:10" x14ac:dyDescent="0.25">
      <c r="C1454" s="4"/>
      <c r="E1454" s="4"/>
      <c r="H1454" s="31" t="str">
        <f t="shared" si="44"/>
        <v/>
      </c>
      <c r="J1454" t="b">
        <f t="shared" si="45"/>
        <v>0</v>
      </c>
    </row>
    <row r="1455" spans="3:10" x14ac:dyDescent="0.25">
      <c r="C1455" s="4"/>
      <c r="E1455" s="4"/>
      <c r="H1455" s="31" t="str">
        <f t="shared" si="44"/>
        <v/>
      </c>
      <c r="J1455" t="b">
        <f t="shared" si="45"/>
        <v>0</v>
      </c>
    </row>
    <row r="1456" spans="3:10" x14ac:dyDescent="0.25">
      <c r="C1456" s="4"/>
      <c r="E1456" s="4"/>
      <c r="H1456" s="31" t="str">
        <f t="shared" si="44"/>
        <v/>
      </c>
      <c r="J1456" t="b">
        <f t="shared" si="45"/>
        <v>0</v>
      </c>
    </row>
    <row r="1457" spans="3:10" x14ac:dyDescent="0.25">
      <c r="C1457" s="4"/>
      <c r="E1457" s="4"/>
      <c r="H1457" s="31" t="str">
        <f t="shared" si="44"/>
        <v/>
      </c>
      <c r="J1457" t="b">
        <f t="shared" si="45"/>
        <v>0</v>
      </c>
    </row>
    <row r="1458" spans="3:10" x14ac:dyDescent="0.25">
      <c r="C1458" s="4"/>
      <c r="E1458" s="4"/>
      <c r="H1458" s="31" t="str">
        <f t="shared" si="44"/>
        <v/>
      </c>
      <c r="J1458" t="b">
        <f t="shared" si="45"/>
        <v>0</v>
      </c>
    </row>
    <row r="1459" spans="3:10" x14ac:dyDescent="0.25">
      <c r="C1459" s="4"/>
      <c r="E1459" s="4"/>
      <c r="H1459" s="31" t="str">
        <f t="shared" si="44"/>
        <v/>
      </c>
      <c r="J1459" t="b">
        <f t="shared" si="45"/>
        <v>0</v>
      </c>
    </row>
    <row r="1460" spans="3:10" x14ac:dyDescent="0.25">
      <c r="C1460" s="4"/>
      <c r="E1460" s="4"/>
      <c r="H1460" s="31" t="str">
        <f t="shared" si="44"/>
        <v/>
      </c>
      <c r="J1460" t="b">
        <f t="shared" si="45"/>
        <v>0</v>
      </c>
    </row>
    <row r="1461" spans="3:10" x14ac:dyDescent="0.25">
      <c r="C1461" s="4"/>
      <c r="E1461" s="4"/>
      <c r="H1461" s="31" t="str">
        <f t="shared" si="44"/>
        <v/>
      </c>
      <c r="J1461" t="b">
        <f t="shared" si="45"/>
        <v>0</v>
      </c>
    </row>
    <row r="1462" spans="3:10" x14ac:dyDescent="0.25">
      <c r="C1462" s="4"/>
      <c r="E1462" s="4"/>
      <c r="H1462" s="31" t="str">
        <f t="shared" si="44"/>
        <v/>
      </c>
      <c r="J1462" t="b">
        <f t="shared" si="45"/>
        <v>0</v>
      </c>
    </row>
    <row r="1463" spans="3:10" x14ac:dyDescent="0.25">
      <c r="C1463" s="4"/>
      <c r="E1463" s="4"/>
      <c r="H1463" s="31" t="str">
        <f t="shared" si="44"/>
        <v/>
      </c>
      <c r="J1463" t="b">
        <f t="shared" si="45"/>
        <v>0</v>
      </c>
    </row>
    <row r="1464" spans="3:10" x14ac:dyDescent="0.25">
      <c r="C1464" s="4"/>
      <c r="E1464" s="4"/>
      <c r="H1464" s="31" t="str">
        <f t="shared" si="44"/>
        <v/>
      </c>
      <c r="J1464" t="b">
        <f t="shared" si="45"/>
        <v>0</v>
      </c>
    </row>
    <row r="1465" spans="3:10" x14ac:dyDescent="0.25">
      <c r="C1465" s="4"/>
      <c r="E1465" s="4"/>
      <c r="H1465" s="31" t="str">
        <f t="shared" si="44"/>
        <v/>
      </c>
      <c r="J1465" t="b">
        <f t="shared" si="45"/>
        <v>0</v>
      </c>
    </row>
    <row r="1466" spans="3:10" x14ac:dyDescent="0.25">
      <c r="C1466" s="4"/>
      <c r="E1466" s="4"/>
      <c r="H1466" s="31" t="str">
        <f t="shared" si="44"/>
        <v/>
      </c>
      <c r="J1466" t="b">
        <f t="shared" si="45"/>
        <v>0</v>
      </c>
    </row>
    <row r="1467" spans="3:10" x14ac:dyDescent="0.25">
      <c r="C1467" s="4"/>
      <c r="E1467" s="4"/>
      <c r="H1467" s="31" t="str">
        <f t="shared" si="44"/>
        <v/>
      </c>
      <c r="J1467" t="b">
        <f t="shared" si="45"/>
        <v>0</v>
      </c>
    </row>
    <row r="1468" spans="3:10" x14ac:dyDescent="0.25">
      <c r="C1468" s="4"/>
      <c r="E1468" s="4"/>
      <c r="H1468" s="31" t="str">
        <f t="shared" si="44"/>
        <v/>
      </c>
      <c r="J1468" t="b">
        <f t="shared" si="45"/>
        <v>0</v>
      </c>
    </row>
    <row r="1469" spans="3:10" x14ac:dyDescent="0.25">
      <c r="C1469" s="4"/>
      <c r="E1469" s="4"/>
      <c r="H1469" s="31" t="str">
        <f t="shared" si="44"/>
        <v/>
      </c>
      <c r="J1469" t="b">
        <f t="shared" si="45"/>
        <v>0</v>
      </c>
    </row>
    <row r="1470" spans="3:10" x14ac:dyDescent="0.25">
      <c r="C1470" s="4"/>
      <c r="E1470" s="4"/>
      <c r="H1470" s="31" t="str">
        <f t="shared" si="44"/>
        <v/>
      </c>
      <c r="J1470" t="b">
        <f t="shared" si="45"/>
        <v>0</v>
      </c>
    </row>
    <row r="1471" spans="3:10" x14ac:dyDescent="0.25">
      <c r="C1471" s="4"/>
      <c r="E1471" s="4"/>
      <c r="H1471" s="31" t="str">
        <f t="shared" si="44"/>
        <v/>
      </c>
      <c r="J1471" t="b">
        <f t="shared" si="45"/>
        <v>0</v>
      </c>
    </row>
    <row r="1472" spans="3:10" x14ac:dyDescent="0.25">
      <c r="C1472" s="4"/>
      <c r="E1472" s="4"/>
      <c r="H1472" s="31" t="str">
        <f t="shared" si="44"/>
        <v/>
      </c>
      <c r="J1472" t="b">
        <f t="shared" si="45"/>
        <v>0</v>
      </c>
    </row>
    <row r="1473" spans="3:10" x14ac:dyDescent="0.25">
      <c r="C1473" s="4"/>
      <c r="E1473" s="4"/>
      <c r="H1473" s="31" t="str">
        <f t="shared" si="44"/>
        <v/>
      </c>
      <c r="J1473" t="b">
        <f t="shared" si="45"/>
        <v>0</v>
      </c>
    </row>
    <row r="1474" spans="3:10" x14ac:dyDescent="0.25">
      <c r="C1474" s="4"/>
      <c r="E1474" s="4"/>
      <c r="H1474" s="31" t="str">
        <f t="shared" si="44"/>
        <v/>
      </c>
      <c r="J1474" t="b">
        <f t="shared" si="45"/>
        <v>0</v>
      </c>
    </row>
    <row r="1475" spans="3:10" x14ac:dyDescent="0.25">
      <c r="C1475" s="4"/>
      <c r="E1475" s="4"/>
      <c r="H1475" s="31" t="str">
        <f t="shared" si="44"/>
        <v/>
      </c>
      <c r="J1475" t="b">
        <f t="shared" si="45"/>
        <v>0</v>
      </c>
    </row>
    <row r="1476" spans="3:10" x14ac:dyDescent="0.25">
      <c r="C1476" s="4"/>
      <c r="E1476" s="4"/>
      <c r="H1476" s="31" t="str">
        <f t="shared" ref="H1476:H1539" si="46">IF($J1476=TRUE,"Il ne peut y avoir des valeurs dans les 2 méthodes",IF($D1476="kg/l",$C1476,IF($D1476="g/l",$C1476/1000,IF($D1476="lb/gal US",$C1476*0.454/3.785,IF($G1476="kg/l",($E1476/100)*$F1476,IF($G1476="g/l",($E1476/100)*$F1476/1000,IF($G1476="lb/gal US",($E1476/100)*$F1476*0.454/3.785,"")))))))</f>
        <v/>
      </c>
      <c r="J1476" t="b">
        <f t="shared" ref="J1476:J1539" si="47">IF(AND(OR($C1476&lt;&gt;"",$D1476&lt;&gt;""),OR($E1476&lt;&gt;"",F1476&lt;&gt;"",G1476&lt;&gt;"")),TRUE,FALSE)</f>
        <v>0</v>
      </c>
    </row>
    <row r="1477" spans="3:10" x14ac:dyDescent="0.25">
      <c r="C1477" s="4"/>
      <c r="E1477" s="4"/>
      <c r="H1477" s="31" t="str">
        <f t="shared" si="46"/>
        <v/>
      </c>
      <c r="J1477" t="b">
        <f t="shared" si="47"/>
        <v>0</v>
      </c>
    </row>
    <row r="1478" spans="3:10" x14ac:dyDescent="0.25">
      <c r="C1478" s="4"/>
      <c r="E1478" s="4"/>
      <c r="H1478" s="31" t="str">
        <f t="shared" si="46"/>
        <v/>
      </c>
      <c r="J1478" t="b">
        <f t="shared" si="47"/>
        <v>0</v>
      </c>
    </row>
    <row r="1479" spans="3:10" x14ac:dyDescent="0.25">
      <c r="C1479" s="4"/>
      <c r="E1479" s="4"/>
      <c r="H1479" s="31" t="str">
        <f t="shared" si="46"/>
        <v/>
      </c>
      <c r="J1479" t="b">
        <f t="shared" si="47"/>
        <v>0</v>
      </c>
    </row>
    <row r="1480" spans="3:10" x14ac:dyDescent="0.25">
      <c r="C1480" s="4"/>
      <c r="E1480" s="4"/>
      <c r="H1480" s="31" t="str">
        <f t="shared" si="46"/>
        <v/>
      </c>
      <c r="J1480" t="b">
        <f t="shared" si="47"/>
        <v>0</v>
      </c>
    </row>
    <row r="1481" spans="3:10" x14ac:dyDescent="0.25">
      <c r="C1481" s="4"/>
      <c r="E1481" s="4"/>
      <c r="H1481" s="31" t="str">
        <f t="shared" si="46"/>
        <v/>
      </c>
      <c r="J1481" t="b">
        <f t="shared" si="47"/>
        <v>0</v>
      </c>
    </row>
    <row r="1482" spans="3:10" x14ac:dyDescent="0.25">
      <c r="C1482" s="4"/>
      <c r="E1482" s="4"/>
      <c r="H1482" s="31" t="str">
        <f t="shared" si="46"/>
        <v/>
      </c>
      <c r="J1482" t="b">
        <f t="shared" si="47"/>
        <v>0</v>
      </c>
    </row>
    <row r="1483" spans="3:10" x14ac:dyDescent="0.25">
      <c r="C1483" s="4"/>
      <c r="E1483" s="4"/>
      <c r="H1483" s="31" t="str">
        <f t="shared" si="46"/>
        <v/>
      </c>
      <c r="J1483" t="b">
        <f t="shared" si="47"/>
        <v>0</v>
      </c>
    </row>
    <row r="1484" spans="3:10" x14ac:dyDescent="0.25">
      <c r="C1484" s="4"/>
      <c r="E1484" s="4"/>
      <c r="H1484" s="31" t="str">
        <f t="shared" si="46"/>
        <v/>
      </c>
      <c r="J1484" t="b">
        <f t="shared" si="47"/>
        <v>0</v>
      </c>
    </row>
    <row r="1485" spans="3:10" x14ac:dyDescent="0.25">
      <c r="C1485" s="4"/>
      <c r="E1485" s="4"/>
      <c r="H1485" s="31" t="str">
        <f t="shared" si="46"/>
        <v/>
      </c>
      <c r="J1485" t="b">
        <f t="shared" si="47"/>
        <v>0</v>
      </c>
    </row>
    <row r="1486" spans="3:10" x14ac:dyDescent="0.25">
      <c r="C1486" s="4"/>
      <c r="E1486" s="4"/>
      <c r="H1486" s="31" t="str">
        <f t="shared" si="46"/>
        <v/>
      </c>
      <c r="J1486" t="b">
        <f t="shared" si="47"/>
        <v>0</v>
      </c>
    </row>
    <row r="1487" spans="3:10" x14ac:dyDescent="0.25">
      <c r="C1487" s="4"/>
      <c r="E1487" s="4"/>
      <c r="H1487" s="31" t="str">
        <f t="shared" si="46"/>
        <v/>
      </c>
      <c r="J1487" t="b">
        <f t="shared" si="47"/>
        <v>0</v>
      </c>
    </row>
    <row r="1488" spans="3:10" x14ac:dyDescent="0.25">
      <c r="C1488" s="4"/>
      <c r="E1488" s="4"/>
      <c r="H1488" s="31" t="str">
        <f t="shared" si="46"/>
        <v/>
      </c>
      <c r="J1488" t="b">
        <f t="shared" si="47"/>
        <v>0</v>
      </c>
    </row>
    <row r="1489" spans="3:10" x14ac:dyDescent="0.25">
      <c r="C1489" s="4"/>
      <c r="E1489" s="4"/>
      <c r="H1489" s="31" t="str">
        <f t="shared" si="46"/>
        <v/>
      </c>
      <c r="J1489" t="b">
        <f t="shared" si="47"/>
        <v>0</v>
      </c>
    </row>
    <row r="1490" spans="3:10" x14ac:dyDescent="0.25">
      <c r="C1490" s="4"/>
      <c r="E1490" s="4"/>
      <c r="H1490" s="31" t="str">
        <f t="shared" si="46"/>
        <v/>
      </c>
      <c r="J1490" t="b">
        <f t="shared" si="47"/>
        <v>0</v>
      </c>
    </row>
    <row r="1491" spans="3:10" x14ac:dyDescent="0.25">
      <c r="C1491" s="4"/>
      <c r="E1491" s="4"/>
      <c r="H1491" s="31" t="str">
        <f t="shared" si="46"/>
        <v/>
      </c>
      <c r="J1491" t="b">
        <f t="shared" si="47"/>
        <v>0</v>
      </c>
    </row>
    <row r="1492" spans="3:10" x14ac:dyDescent="0.25">
      <c r="C1492" s="4"/>
      <c r="E1492" s="4"/>
      <c r="H1492" s="31" t="str">
        <f t="shared" si="46"/>
        <v/>
      </c>
      <c r="J1492" t="b">
        <f t="shared" si="47"/>
        <v>0</v>
      </c>
    </row>
    <row r="1493" spans="3:10" x14ac:dyDescent="0.25">
      <c r="C1493" s="4"/>
      <c r="E1493" s="4"/>
      <c r="H1493" s="31" t="str">
        <f t="shared" si="46"/>
        <v/>
      </c>
      <c r="J1493" t="b">
        <f t="shared" si="47"/>
        <v>0</v>
      </c>
    </row>
    <row r="1494" spans="3:10" x14ac:dyDescent="0.25">
      <c r="C1494" s="4"/>
      <c r="E1494" s="4"/>
      <c r="H1494" s="31" t="str">
        <f t="shared" si="46"/>
        <v/>
      </c>
      <c r="J1494" t="b">
        <f t="shared" si="47"/>
        <v>0</v>
      </c>
    </row>
    <row r="1495" spans="3:10" x14ac:dyDescent="0.25">
      <c r="C1495" s="4"/>
      <c r="E1495" s="4"/>
      <c r="H1495" s="31" t="str">
        <f t="shared" si="46"/>
        <v/>
      </c>
      <c r="J1495" t="b">
        <f t="shared" si="47"/>
        <v>0</v>
      </c>
    </row>
    <row r="1496" spans="3:10" x14ac:dyDescent="0.25">
      <c r="C1496" s="4"/>
      <c r="E1496" s="4"/>
      <c r="H1496" s="31" t="str">
        <f t="shared" si="46"/>
        <v/>
      </c>
      <c r="J1496" t="b">
        <f t="shared" si="47"/>
        <v>0</v>
      </c>
    </row>
    <row r="1497" spans="3:10" x14ac:dyDescent="0.25">
      <c r="C1497" s="4"/>
      <c r="E1497" s="4"/>
      <c r="H1497" s="31" t="str">
        <f t="shared" si="46"/>
        <v/>
      </c>
      <c r="J1497" t="b">
        <f t="shared" si="47"/>
        <v>0</v>
      </c>
    </row>
    <row r="1498" spans="3:10" x14ac:dyDescent="0.25">
      <c r="C1498" s="4"/>
      <c r="E1498" s="4"/>
      <c r="H1498" s="31" t="str">
        <f t="shared" si="46"/>
        <v/>
      </c>
      <c r="J1498" t="b">
        <f t="shared" si="47"/>
        <v>0</v>
      </c>
    </row>
    <row r="1499" spans="3:10" x14ac:dyDescent="0.25">
      <c r="C1499" s="4"/>
      <c r="E1499" s="4"/>
      <c r="H1499" s="31" t="str">
        <f t="shared" si="46"/>
        <v/>
      </c>
      <c r="J1499" t="b">
        <f t="shared" si="47"/>
        <v>0</v>
      </c>
    </row>
    <row r="1500" spans="3:10" x14ac:dyDescent="0.25">
      <c r="C1500" s="4"/>
      <c r="E1500" s="4"/>
      <c r="H1500" s="31" t="str">
        <f t="shared" si="46"/>
        <v/>
      </c>
      <c r="J1500" t="b">
        <f t="shared" si="47"/>
        <v>0</v>
      </c>
    </row>
    <row r="1501" spans="3:10" x14ac:dyDescent="0.25">
      <c r="C1501" s="4"/>
      <c r="E1501" s="4"/>
      <c r="H1501" s="31" t="str">
        <f t="shared" si="46"/>
        <v/>
      </c>
      <c r="J1501" t="b">
        <f t="shared" si="47"/>
        <v>0</v>
      </c>
    </row>
    <row r="1502" spans="3:10" x14ac:dyDescent="0.25">
      <c r="C1502" s="4"/>
      <c r="E1502" s="4"/>
      <c r="H1502" s="31" t="str">
        <f t="shared" si="46"/>
        <v/>
      </c>
      <c r="J1502" t="b">
        <f t="shared" si="47"/>
        <v>0</v>
      </c>
    </row>
    <row r="1503" spans="3:10" x14ac:dyDescent="0.25">
      <c r="C1503" s="4"/>
      <c r="E1503" s="4"/>
      <c r="H1503" s="31" t="str">
        <f t="shared" si="46"/>
        <v/>
      </c>
      <c r="J1503" t="b">
        <f t="shared" si="47"/>
        <v>0</v>
      </c>
    </row>
    <row r="1504" spans="3:10" x14ac:dyDescent="0.25">
      <c r="C1504" s="4"/>
      <c r="E1504" s="4"/>
      <c r="H1504" s="31" t="str">
        <f t="shared" si="46"/>
        <v/>
      </c>
      <c r="J1504" t="b">
        <f t="shared" si="47"/>
        <v>0</v>
      </c>
    </row>
    <row r="1505" spans="3:10" x14ac:dyDescent="0.25">
      <c r="C1505" s="4"/>
      <c r="E1505" s="4"/>
      <c r="H1505" s="31" t="str">
        <f t="shared" si="46"/>
        <v/>
      </c>
      <c r="J1505" t="b">
        <f t="shared" si="47"/>
        <v>0</v>
      </c>
    </row>
    <row r="1506" spans="3:10" x14ac:dyDescent="0.25">
      <c r="C1506" s="4"/>
      <c r="E1506" s="4"/>
      <c r="H1506" s="31" t="str">
        <f t="shared" si="46"/>
        <v/>
      </c>
      <c r="J1506" t="b">
        <f t="shared" si="47"/>
        <v>0</v>
      </c>
    </row>
    <row r="1507" spans="3:10" x14ac:dyDescent="0.25">
      <c r="C1507" s="4"/>
      <c r="E1507" s="4"/>
      <c r="H1507" s="31" t="str">
        <f t="shared" si="46"/>
        <v/>
      </c>
      <c r="J1507" t="b">
        <f t="shared" si="47"/>
        <v>0</v>
      </c>
    </row>
    <row r="1508" spans="3:10" x14ac:dyDescent="0.25">
      <c r="C1508" s="4"/>
      <c r="E1508" s="4"/>
      <c r="H1508" s="31" t="str">
        <f t="shared" si="46"/>
        <v/>
      </c>
      <c r="J1508" t="b">
        <f t="shared" si="47"/>
        <v>0</v>
      </c>
    </row>
    <row r="1509" spans="3:10" x14ac:dyDescent="0.25">
      <c r="C1509" s="4"/>
      <c r="E1509" s="4"/>
      <c r="H1509" s="31" t="str">
        <f t="shared" si="46"/>
        <v/>
      </c>
      <c r="J1509" t="b">
        <f t="shared" si="47"/>
        <v>0</v>
      </c>
    </row>
    <row r="1510" spans="3:10" x14ac:dyDescent="0.25">
      <c r="C1510" s="4"/>
      <c r="E1510" s="4"/>
      <c r="H1510" s="31" t="str">
        <f t="shared" si="46"/>
        <v/>
      </c>
      <c r="J1510" t="b">
        <f t="shared" si="47"/>
        <v>0</v>
      </c>
    </row>
    <row r="1511" spans="3:10" x14ac:dyDescent="0.25">
      <c r="C1511" s="4"/>
      <c r="E1511" s="4"/>
      <c r="H1511" s="31" t="str">
        <f t="shared" si="46"/>
        <v/>
      </c>
      <c r="J1511" t="b">
        <f t="shared" si="47"/>
        <v>0</v>
      </c>
    </row>
    <row r="1512" spans="3:10" x14ac:dyDescent="0.25">
      <c r="C1512" s="4"/>
      <c r="E1512" s="4"/>
      <c r="H1512" s="31" t="str">
        <f t="shared" si="46"/>
        <v/>
      </c>
      <c r="J1512" t="b">
        <f t="shared" si="47"/>
        <v>0</v>
      </c>
    </row>
    <row r="1513" spans="3:10" x14ac:dyDescent="0.25">
      <c r="C1513" s="4"/>
      <c r="E1513" s="4"/>
      <c r="H1513" s="31" t="str">
        <f t="shared" si="46"/>
        <v/>
      </c>
      <c r="J1513" t="b">
        <f t="shared" si="47"/>
        <v>0</v>
      </c>
    </row>
    <row r="1514" spans="3:10" x14ac:dyDescent="0.25">
      <c r="C1514" s="4"/>
      <c r="E1514" s="4"/>
      <c r="H1514" s="31" t="str">
        <f t="shared" si="46"/>
        <v/>
      </c>
      <c r="J1514" t="b">
        <f t="shared" si="47"/>
        <v>0</v>
      </c>
    </row>
    <row r="1515" spans="3:10" x14ac:dyDescent="0.25">
      <c r="C1515" s="4"/>
      <c r="E1515" s="4"/>
      <c r="H1515" s="31" t="str">
        <f t="shared" si="46"/>
        <v/>
      </c>
      <c r="J1515" t="b">
        <f t="shared" si="47"/>
        <v>0</v>
      </c>
    </row>
    <row r="1516" spans="3:10" x14ac:dyDescent="0.25">
      <c r="C1516" s="4"/>
      <c r="E1516" s="4"/>
      <c r="H1516" s="31" t="str">
        <f t="shared" si="46"/>
        <v/>
      </c>
      <c r="J1516" t="b">
        <f t="shared" si="47"/>
        <v>0</v>
      </c>
    </row>
    <row r="1517" spans="3:10" x14ac:dyDescent="0.25">
      <c r="C1517" s="4"/>
      <c r="E1517" s="4"/>
      <c r="H1517" s="31" t="str">
        <f t="shared" si="46"/>
        <v/>
      </c>
      <c r="J1517" t="b">
        <f t="shared" si="47"/>
        <v>0</v>
      </c>
    </row>
    <row r="1518" spans="3:10" x14ac:dyDescent="0.25">
      <c r="C1518" s="4"/>
      <c r="E1518" s="4"/>
      <c r="H1518" s="31" t="str">
        <f t="shared" si="46"/>
        <v/>
      </c>
      <c r="J1518" t="b">
        <f t="shared" si="47"/>
        <v>0</v>
      </c>
    </row>
    <row r="1519" spans="3:10" x14ac:dyDescent="0.25">
      <c r="C1519" s="4"/>
      <c r="E1519" s="4"/>
      <c r="H1519" s="31" t="str">
        <f t="shared" si="46"/>
        <v/>
      </c>
      <c r="J1519" t="b">
        <f t="shared" si="47"/>
        <v>0</v>
      </c>
    </row>
    <row r="1520" spans="3:10" x14ac:dyDescent="0.25">
      <c r="C1520" s="4"/>
      <c r="E1520" s="4"/>
      <c r="H1520" s="31" t="str">
        <f t="shared" si="46"/>
        <v/>
      </c>
      <c r="J1520" t="b">
        <f t="shared" si="47"/>
        <v>0</v>
      </c>
    </row>
    <row r="1521" spans="3:10" x14ac:dyDescent="0.25">
      <c r="C1521" s="4"/>
      <c r="E1521" s="4"/>
      <c r="H1521" s="31" t="str">
        <f t="shared" si="46"/>
        <v/>
      </c>
      <c r="J1521" t="b">
        <f t="shared" si="47"/>
        <v>0</v>
      </c>
    </row>
    <row r="1522" spans="3:10" x14ac:dyDescent="0.25">
      <c r="C1522" s="4"/>
      <c r="E1522" s="4"/>
      <c r="H1522" s="31" t="str">
        <f t="shared" si="46"/>
        <v/>
      </c>
      <c r="J1522" t="b">
        <f t="shared" si="47"/>
        <v>0</v>
      </c>
    </row>
    <row r="1523" spans="3:10" x14ac:dyDescent="0.25">
      <c r="C1523" s="4"/>
      <c r="E1523" s="4"/>
      <c r="H1523" s="31" t="str">
        <f t="shared" si="46"/>
        <v/>
      </c>
      <c r="J1523" t="b">
        <f t="shared" si="47"/>
        <v>0</v>
      </c>
    </row>
    <row r="1524" spans="3:10" x14ac:dyDescent="0.25">
      <c r="C1524" s="4"/>
      <c r="E1524" s="4"/>
      <c r="H1524" s="31" t="str">
        <f t="shared" si="46"/>
        <v/>
      </c>
      <c r="J1524" t="b">
        <f t="shared" si="47"/>
        <v>0</v>
      </c>
    </row>
    <row r="1525" spans="3:10" x14ac:dyDescent="0.25">
      <c r="C1525" s="4"/>
      <c r="E1525" s="4"/>
      <c r="H1525" s="31" t="str">
        <f t="shared" si="46"/>
        <v/>
      </c>
      <c r="J1525" t="b">
        <f t="shared" si="47"/>
        <v>0</v>
      </c>
    </row>
    <row r="1526" spans="3:10" x14ac:dyDescent="0.25">
      <c r="C1526" s="4"/>
      <c r="E1526" s="4"/>
      <c r="H1526" s="31" t="str">
        <f t="shared" si="46"/>
        <v/>
      </c>
      <c r="J1526" t="b">
        <f t="shared" si="47"/>
        <v>0</v>
      </c>
    </row>
    <row r="1527" spans="3:10" x14ac:dyDescent="0.25">
      <c r="C1527" s="4"/>
      <c r="E1527" s="4"/>
      <c r="H1527" s="31" t="str">
        <f t="shared" si="46"/>
        <v/>
      </c>
      <c r="J1527" t="b">
        <f t="shared" si="47"/>
        <v>0</v>
      </c>
    </row>
    <row r="1528" spans="3:10" x14ac:dyDescent="0.25">
      <c r="C1528" s="4"/>
      <c r="E1528" s="4"/>
      <c r="H1528" s="31" t="str">
        <f t="shared" si="46"/>
        <v/>
      </c>
      <c r="J1528" t="b">
        <f t="shared" si="47"/>
        <v>0</v>
      </c>
    </row>
    <row r="1529" spans="3:10" x14ac:dyDescent="0.25">
      <c r="C1529" s="4"/>
      <c r="E1529" s="4"/>
      <c r="H1529" s="31" t="str">
        <f t="shared" si="46"/>
        <v/>
      </c>
      <c r="J1529" t="b">
        <f t="shared" si="47"/>
        <v>0</v>
      </c>
    </row>
    <row r="1530" spans="3:10" x14ac:dyDescent="0.25">
      <c r="C1530" s="4"/>
      <c r="E1530" s="4"/>
      <c r="H1530" s="31" t="str">
        <f t="shared" si="46"/>
        <v/>
      </c>
      <c r="J1530" t="b">
        <f t="shared" si="47"/>
        <v>0</v>
      </c>
    </row>
    <row r="1531" spans="3:10" x14ac:dyDescent="0.25">
      <c r="C1531" s="4"/>
      <c r="E1531" s="4"/>
      <c r="H1531" s="31" t="str">
        <f t="shared" si="46"/>
        <v/>
      </c>
      <c r="J1531" t="b">
        <f t="shared" si="47"/>
        <v>0</v>
      </c>
    </row>
    <row r="1532" spans="3:10" x14ac:dyDescent="0.25">
      <c r="C1532" s="4"/>
      <c r="E1532" s="4"/>
      <c r="H1532" s="31" t="str">
        <f t="shared" si="46"/>
        <v/>
      </c>
      <c r="J1532" t="b">
        <f t="shared" si="47"/>
        <v>0</v>
      </c>
    </row>
    <row r="1533" spans="3:10" x14ac:dyDescent="0.25">
      <c r="C1533" s="4"/>
      <c r="E1533" s="4"/>
      <c r="H1533" s="31" t="str">
        <f t="shared" si="46"/>
        <v/>
      </c>
      <c r="J1533" t="b">
        <f t="shared" si="47"/>
        <v>0</v>
      </c>
    </row>
    <row r="1534" spans="3:10" x14ac:dyDescent="0.25">
      <c r="C1534" s="4"/>
      <c r="E1534" s="4"/>
      <c r="H1534" s="31" t="str">
        <f t="shared" si="46"/>
        <v/>
      </c>
      <c r="J1534" t="b">
        <f t="shared" si="47"/>
        <v>0</v>
      </c>
    </row>
    <row r="1535" spans="3:10" x14ac:dyDescent="0.25">
      <c r="C1535" s="4"/>
      <c r="E1535" s="4"/>
      <c r="H1535" s="31" t="str">
        <f t="shared" si="46"/>
        <v/>
      </c>
      <c r="J1535" t="b">
        <f t="shared" si="47"/>
        <v>0</v>
      </c>
    </row>
    <row r="1536" spans="3:10" x14ac:dyDescent="0.25">
      <c r="C1536" s="4"/>
      <c r="E1536" s="4"/>
      <c r="H1536" s="31" t="str">
        <f t="shared" si="46"/>
        <v/>
      </c>
      <c r="J1536" t="b">
        <f t="shared" si="47"/>
        <v>0</v>
      </c>
    </row>
    <row r="1537" spans="3:10" x14ac:dyDescent="0.25">
      <c r="C1537" s="4"/>
      <c r="E1537" s="4"/>
      <c r="H1537" s="31" t="str">
        <f t="shared" si="46"/>
        <v/>
      </c>
      <c r="J1537" t="b">
        <f t="shared" si="47"/>
        <v>0</v>
      </c>
    </row>
    <row r="1538" spans="3:10" x14ac:dyDescent="0.25">
      <c r="C1538" s="4"/>
      <c r="E1538" s="4"/>
      <c r="H1538" s="31" t="str">
        <f t="shared" si="46"/>
        <v/>
      </c>
      <c r="J1538" t="b">
        <f t="shared" si="47"/>
        <v>0</v>
      </c>
    </row>
    <row r="1539" spans="3:10" x14ac:dyDescent="0.25">
      <c r="C1539" s="4"/>
      <c r="E1539" s="4"/>
      <c r="H1539" s="31" t="str">
        <f t="shared" si="46"/>
        <v/>
      </c>
      <c r="J1539" t="b">
        <f t="shared" si="47"/>
        <v>0</v>
      </c>
    </row>
    <row r="1540" spans="3:10" x14ac:dyDescent="0.25">
      <c r="C1540" s="4"/>
      <c r="E1540" s="4"/>
      <c r="H1540" s="31" t="str">
        <f t="shared" ref="H1540:H1603" si="48">IF($J1540=TRUE,"Il ne peut y avoir des valeurs dans les 2 méthodes",IF($D1540="kg/l",$C1540,IF($D1540="g/l",$C1540/1000,IF($D1540="lb/gal US",$C1540*0.454/3.785,IF($G1540="kg/l",($E1540/100)*$F1540,IF($G1540="g/l",($E1540/100)*$F1540/1000,IF($G1540="lb/gal US",($E1540/100)*$F1540*0.454/3.785,"")))))))</f>
        <v/>
      </c>
      <c r="J1540" t="b">
        <f t="shared" ref="J1540:J1603" si="49">IF(AND(OR($C1540&lt;&gt;"",$D1540&lt;&gt;""),OR($E1540&lt;&gt;"",F1540&lt;&gt;"",G1540&lt;&gt;"")),TRUE,FALSE)</f>
        <v>0</v>
      </c>
    </row>
    <row r="1541" spans="3:10" x14ac:dyDescent="0.25">
      <c r="C1541" s="4"/>
      <c r="E1541" s="4"/>
      <c r="H1541" s="31" t="str">
        <f t="shared" si="48"/>
        <v/>
      </c>
      <c r="J1541" t="b">
        <f t="shared" si="49"/>
        <v>0</v>
      </c>
    </row>
    <row r="1542" spans="3:10" x14ac:dyDescent="0.25">
      <c r="C1542" s="4"/>
      <c r="E1542" s="4"/>
      <c r="H1542" s="31" t="str">
        <f t="shared" si="48"/>
        <v/>
      </c>
      <c r="J1542" t="b">
        <f t="shared" si="49"/>
        <v>0</v>
      </c>
    </row>
    <row r="1543" spans="3:10" x14ac:dyDescent="0.25">
      <c r="C1543" s="4"/>
      <c r="E1543" s="4"/>
      <c r="H1543" s="31" t="str">
        <f t="shared" si="48"/>
        <v/>
      </c>
      <c r="J1543" t="b">
        <f t="shared" si="49"/>
        <v>0</v>
      </c>
    </row>
    <row r="1544" spans="3:10" x14ac:dyDescent="0.25">
      <c r="C1544" s="4"/>
      <c r="E1544" s="4"/>
      <c r="H1544" s="31" t="str">
        <f t="shared" si="48"/>
        <v/>
      </c>
      <c r="J1544" t="b">
        <f t="shared" si="49"/>
        <v>0</v>
      </c>
    </row>
    <row r="1545" spans="3:10" x14ac:dyDescent="0.25">
      <c r="C1545" s="4"/>
      <c r="E1545" s="4"/>
      <c r="H1545" s="31" t="str">
        <f t="shared" si="48"/>
        <v/>
      </c>
      <c r="J1545" t="b">
        <f t="shared" si="49"/>
        <v>0</v>
      </c>
    </row>
    <row r="1546" spans="3:10" x14ac:dyDescent="0.25">
      <c r="C1546" s="4"/>
      <c r="E1546" s="4"/>
      <c r="H1546" s="31" t="str">
        <f t="shared" si="48"/>
        <v/>
      </c>
      <c r="J1546" t="b">
        <f t="shared" si="49"/>
        <v>0</v>
      </c>
    </row>
    <row r="1547" spans="3:10" x14ac:dyDescent="0.25">
      <c r="C1547" s="4"/>
      <c r="E1547" s="4"/>
      <c r="H1547" s="31" t="str">
        <f t="shared" si="48"/>
        <v/>
      </c>
      <c r="J1547" t="b">
        <f t="shared" si="49"/>
        <v>0</v>
      </c>
    </row>
    <row r="1548" spans="3:10" x14ac:dyDescent="0.25">
      <c r="C1548" s="4"/>
      <c r="E1548" s="4"/>
      <c r="H1548" s="31" t="str">
        <f t="shared" si="48"/>
        <v/>
      </c>
      <c r="J1548" t="b">
        <f t="shared" si="49"/>
        <v>0</v>
      </c>
    </row>
    <row r="1549" spans="3:10" x14ac:dyDescent="0.25">
      <c r="C1549" s="4"/>
      <c r="E1549" s="4"/>
      <c r="H1549" s="31" t="str">
        <f t="shared" si="48"/>
        <v/>
      </c>
      <c r="J1549" t="b">
        <f t="shared" si="49"/>
        <v>0</v>
      </c>
    </row>
    <row r="1550" spans="3:10" x14ac:dyDescent="0.25">
      <c r="C1550" s="4"/>
      <c r="E1550" s="4"/>
      <c r="H1550" s="31" t="str">
        <f t="shared" si="48"/>
        <v/>
      </c>
      <c r="J1550" t="b">
        <f t="shared" si="49"/>
        <v>0</v>
      </c>
    </row>
    <row r="1551" spans="3:10" x14ac:dyDescent="0.25">
      <c r="C1551" s="4"/>
      <c r="E1551" s="4"/>
      <c r="H1551" s="31" t="str">
        <f t="shared" si="48"/>
        <v/>
      </c>
      <c r="J1551" t="b">
        <f t="shared" si="49"/>
        <v>0</v>
      </c>
    </row>
    <row r="1552" spans="3:10" x14ac:dyDescent="0.25">
      <c r="C1552" s="4"/>
      <c r="E1552" s="4"/>
      <c r="H1552" s="31" t="str">
        <f t="shared" si="48"/>
        <v/>
      </c>
      <c r="J1552" t="b">
        <f t="shared" si="49"/>
        <v>0</v>
      </c>
    </row>
    <row r="1553" spans="3:10" x14ac:dyDescent="0.25">
      <c r="C1553" s="4"/>
      <c r="E1553" s="4"/>
      <c r="H1553" s="31" t="str">
        <f t="shared" si="48"/>
        <v/>
      </c>
      <c r="J1553" t="b">
        <f t="shared" si="49"/>
        <v>0</v>
      </c>
    </row>
    <row r="1554" spans="3:10" x14ac:dyDescent="0.25">
      <c r="C1554" s="4"/>
      <c r="E1554" s="4"/>
      <c r="H1554" s="31" t="str">
        <f t="shared" si="48"/>
        <v/>
      </c>
      <c r="J1554" t="b">
        <f t="shared" si="49"/>
        <v>0</v>
      </c>
    </row>
    <row r="1555" spans="3:10" x14ac:dyDescent="0.25">
      <c r="C1555" s="4"/>
      <c r="E1555" s="4"/>
      <c r="H1555" s="31" t="str">
        <f t="shared" si="48"/>
        <v/>
      </c>
      <c r="J1555" t="b">
        <f t="shared" si="49"/>
        <v>0</v>
      </c>
    </row>
    <row r="1556" spans="3:10" x14ac:dyDescent="0.25">
      <c r="C1556" s="4"/>
      <c r="E1556" s="4"/>
      <c r="H1556" s="31" t="str">
        <f t="shared" si="48"/>
        <v/>
      </c>
      <c r="J1556" t="b">
        <f t="shared" si="49"/>
        <v>0</v>
      </c>
    </row>
    <row r="1557" spans="3:10" x14ac:dyDescent="0.25">
      <c r="C1557" s="4"/>
      <c r="E1557" s="4"/>
      <c r="H1557" s="31" t="str">
        <f t="shared" si="48"/>
        <v/>
      </c>
      <c r="J1557" t="b">
        <f t="shared" si="49"/>
        <v>0</v>
      </c>
    </row>
    <row r="1558" spans="3:10" x14ac:dyDescent="0.25">
      <c r="C1558" s="4"/>
      <c r="E1558" s="4"/>
      <c r="H1558" s="31" t="str">
        <f t="shared" si="48"/>
        <v/>
      </c>
      <c r="J1558" t="b">
        <f t="shared" si="49"/>
        <v>0</v>
      </c>
    </row>
    <row r="1559" spans="3:10" x14ac:dyDescent="0.25">
      <c r="C1559" s="4"/>
      <c r="E1559" s="4"/>
      <c r="H1559" s="31" t="str">
        <f t="shared" si="48"/>
        <v/>
      </c>
      <c r="J1559" t="b">
        <f t="shared" si="49"/>
        <v>0</v>
      </c>
    </row>
    <row r="1560" spans="3:10" x14ac:dyDescent="0.25">
      <c r="C1560" s="4"/>
      <c r="E1560" s="4"/>
      <c r="H1560" s="31" t="str">
        <f t="shared" si="48"/>
        <v/>
      </c>
      <c r="J1560" t="b">
        <f t="shared" si="49"/>
        <v>0</v>
      </c>
    </row>
    <row r="1561" spans="3:10" x14ac:dyDescent="0.25">
      <c r="C1561" s="4"/>
      <c r="E1561" s="4"/>
      <c r="H1561" s="31" t="str">
        <f t="shared" si="48"/>
        <v/>
      </c>
      <c r="J1561" t="b">
        <f t="shared" si="49"/>
        <v>0</v>
      </c>
    </row>
    <row r="1562" spans="3:10" x14ac:dyDescent="0.25">
      <c r="C1562" s="4"/>
      <c r="E1562" s="4"/>
      <c r="H1562" s="31" t="str">
        <f t="shared" si="48"/>
        <v/>
      </c>
      <c r="J1562" t="b">
        <f t="shared" si="49"/>
        <v>0</v>
      </c>
    </row>
    <row r="1563" spans="3:10" x14ac:dyDescent="0.25">
      <c r="C1563" s="4"/>
      <c r="E1563" s="4"/>
      <c r="H1563" s="31" t="str">
        <f t="shared" si="48"/>
        <v/>
      </c>
      <c r="J1563" t="b">
        <f t="shared" si="49"/>
        <v>0</v>
      </c>
    </row>
    <row r="1564" spans="3:10" x14ac:dyDescent="0.25">
      <c r="C1564" s="4"/>
      <c r="E1564" s="4"/>
      <c r="H1564" s="31" t="str">
        <f t="shared" si="48"/>
        <v/>
      </c>
      <c r="J1564" t="b">
        <f t="shared" si="49"/>
        <v>0</v>
      </c>
    </row>
    <row r="1565" spans="3:10" x14ac:dyDescent="0.25">
      <c r="C1565" s="4"/>
      <c r="E1565" s="4"/>
      <c r="H1565" s="31" t="str">
        <f t="shared" si="48"/>
        <v/>
      </c>
      <c r="J1565" t="b">
        <f t="shared" si="49"/>
        <v>0</v>
      </c>
    </row>
    <row r="1566" spans="3:10" x14ac:dyDescent="0.25">
      <c r="C1566" s="4"/>
      <c r="E1566" s="4"/>
      <c r="H1566" s="31" t="str">
        <f t="shared" si="48"/>
        <v/>
      </c>
      <c r="J1566" t="b">
        <f t="shared" si="49"/>
        <v>0</v>
      </c>
    </row>
    <row r="1567" spans="3:10" x14ac:dyDescent="0.25">
      <c r="C1567" s="4"/>
      <c r="E1567" s="4"/>
      <c r="H1567" s="31" t="str">
        <f t="shared" si="48"/>
        <v/>
      </c>
      <c r="J1567" t="b">
        <f t="shared" si="49"/>
        <v>0</v>
      </c>
    </row>
    <row r="1568" spans="3:10" x14ac:dyDescent="0.25">
      <c r="C1568" s="4"/>
      <c r="E1568" s="4"/>
      <c r="H1568" s="31" t="str">
        <f t="shared" si="48"/>
        <v/>
      </c>
      <c r="J1568" t="b">
        <f t="shared" si="49"/>
        <v>0</v>
      </c>
    </row>
    <row r="1569" spans="3:10" x14ac:dyDescent="0.25">
      <c r="C1569" s="4"/>
      <c r="E1569" s="4"/>
      <c r="H1569" s="31" t="str">
        <f t="shared" si="48"/>
        <v/>
      </c>
      <c r="J1569" t="b">
        <f t="shared" si="49"/>
        <v>0</v>
      </c>
    </row>
    <row r="1570" spans="3:10" x14ac:dyDescent="0.25">
      <c r="C1570" s="4"/>
      <c r="E1570" s="4"/>
      <c r="H1570" s="31" t="str">
        <f t="shared" si="48"/>
        <v/>
      </c>
      <c r="J1570" t="b">
        <f t="shared" si="49"/>
        <v>0</v>
      </c>
    </row>
    <row r="1571" spans="3:10" x14ac:dyDescent="0.25">
      <c r="C1571" s="4"/>
      <c r="E1571" s="4"/>
      <c r="H1571" s="31" t="str">
        <f t="shared" si="48"/>
        <v/>
      </c>
      <c r="J1571" t="b">
        <f t="shared" si="49"/>
        <v>0</v>
      </c>
    </row>
    <row r="1572" spans="3:10" x14ac:dyDescent="0.25">
      <c r="C1572" s="4"/>
      <c r="E1572" s="4"/>
      <c r="H1572" s="31" t="str">
        <f t="shared" si="48"/>
        <v/>
      </c>
      <c r="J1572" t="b">
        <f t="shared" si="49"/>
        <v>0</v>
      </c>
    </row>
    <row r="1573" spans="3:10" x14ac:dyDescent="0.25">
      <c r="C1573" s="4"/>
      <c r="E1573" s="4"/>
      <c r="H1573" s="31" t="str">
        <f t="shared" si="48"/>
        <v/>
      </c>
      <c r="J1573" t="b">
        <f t="shared" si="49"/>
        <v>0</v>
      </c>
    </row>
    <row r="1574" spans="3:10" x14ac:dyDescent="0.25">
      <c r="C1574" s="4"/>
      <c r="E1574" s="4"/>
      <c r="H1574" s="31" t="str">
        <f t="shared" si="48"/>
        <v/>
      </c>
      <c r="J1574" t="b">
        <f t="shared" si="49"/>
        <v>0</v>
      </c>
    </row>
    <row r="1575" spans="3:10" x14ac:dyDescent="0.25">
      <c r="C1575" s="4"/>
      <c r="E1575" s="4"/>
      <c r="H1575" s="31" t="str">
        <f t="shared" si="48"/>
        <v/>
      </c>
      <c r="J1575" t="b">
        <f t="shared" si="49"/>
        <v>0</v>
      </c>
    </row>
    <row r="1576" spans="3:10" x14ac:dyDescent="0.25">
      <c r="C1576" s="4"/>
      <c r="E1576" s="4"/>
      <c r="H1576" s="31" t="str">
        <f t="shared" si="48"/>
        <v/>
      </c>
      <c r="J1576" t="b">
        <f t="shared" si="49"/>
        <v>0</v>
      </c>
    </row>
    <row r="1577" spans="3:10" x14ac:dyDescent="0.25">
      <c r="C1577" s="4"/>
      <c r="E1577" s="4"/>
      <c r="H1577" s="31" t="str">
        <f t="shared" si="48"/>
        <v/>
      </c>
      <c r="J1577" t="b">
        <f t="shared" si="49"/>
        <v>0</v>
      </c>
    </row>
    <row r="1578" spans="3:10" x14ac:dyDescent="0.25">
      <c r="C1578" s="4"/>
      <c r="E1578" s="4"/>
      <c r="H1578" s="31" t="str">
        <f t="shared" si="48"/>
        <v/>
      </c>
      <c r="J1578" t="b">
        <f t="shared" si="49"/>
        <v>0</v>
      </c>
    </row>
    <row r="1579" spans="3:10" x14ac:dyDescent="0.25">
      <c r="C1579" s="4"/>
      <c r="E1579" s="4"/>
      <c r="H1579" s="31" t="str">
        <f t="shared" si="48"/>
        <v/>
      </c>
      <c r="J1579" t="b">
        <f t="shared" si="49"/>
        <v>0</v>
      </c>
    </row>
    <row r="1580" spans="3:10" x14ac:dyDescent="0.25">
      <c r="C1580" s="4"/>
      <c r="E1580" s="4"/>
      <c r="H1580" s="31" t="str">
        <f t="shared" si="48"/>
        <v/>
      </c>
      <c r="J1580" t="b">
        <f t="shared" si="49"/>
        <v>0</v>
      </c>
    </row>
    <row r="1581" spans="3:10" x14ac:dyDescent="0.25">
      <c r="C1581" s="4"/>
      <c r="E1581" s="4"/>
      <c r="H1581" s="31" t="str">
        <f t="shared" si="48"/>
        <v/>
      </c>
      <c r="J1581" t="b">
        <f t="shared" si="49"/>
        <v>0</v>
      </c>
    </row>
    <row r="1582" spans="3:10" x14ac:dyDescent="0.25">
      <c r="C1582" s="4"/>
      <c r="E1582" s="4"/>
      <c r="H1582" s="31" t="str">
        <f t="shared" si="48"/>
        <v/>
      </c>
      <c r="J1582" t="b">
        <f t="shared" si="49"/>
        <v>0</v>
      </c>
    </row>
    <row r="1583" spans="3:10" x14ac:dyDescent="0.25">
      <c r="C1583" s="4"/>
      <c r="E1583" s="4"/>
      <c r="H1583" s="31" t="str">
        <f t="shared" si="48"/>
        <v/>
      </c>
      <c r="J1583" t="b">
        <f t="shared" si="49"/>
        <v>0</v>
      </c>
    </row>
    <row r="1584" spans="3:10" x14ac:dyDescent="0.25">
      <c r="C1584" s="4"/>
      <c r="E1584" s="4"/>
      <c r="H1584" s="31" t="str">
        <f t="shared" si="48"/>
        <v/>
      </c>
      <c r="J1584" t="b">
        <f t="shared" si="49"/>
        <v>0</v>
      </c>
    </row>
    <row r="1585" spans="3:10" x14ac:dyDescent="0.25">
      <c r="C1585" s="4"/>
      <c r="E1585" s="4"/>
      <c r="H1585" s="31" t="str">
        <f t="shared" si="48"/>
        <v/>
      </c>
      <c r="J1585" t="b">
        <f t="shared" si="49"/>
        <v>0</v>
      </c>
    </row>
    <row r="1586" spans="3:10" x14ac:dyDescent="0.25">
      <c r="C1586" s="4"/>
      <c r="E1586" s="4"/>
      <c r="H1586" s="31" t="str">
        <f t="shared" si="48"/>
        <v/>
      </c>
      <c r="J1586" t="b">
        <f t="shared" si="49"/>
        <v>0</v>
      </c>
    </row>
    <row r="1587" spans="3:10" x14ac:dyDescent="0.25">
      <c r="C1587" s="4"/>
      <c r="E1587" s="4"/>
      <c r="H1587" s="31" t="str">
        <f t="shared" si="48"/>
        <v/>
      </c>
      <c r="J1587" t="b">
        <f t="shared" si="49"/>
        <v>0</v>
      </c>
    </row>
    <row r="1588" spans="3:10" x14ac:dyDescent="0.25">
      <c r="C1588" s="4"/>
      <c r="E1588" s="4"/>
      <c r="H1588" s="31" t="str">
        <f t="shared" si="48"/>
        <v/>
      </c>
      <c r="J1588" t="b">
        <f t="shared" si="49"/>
        <v>0</v>
      </c>
    </row>
    <row r="1589" spans="3:10" x14ac:dyDescent="0.25">
      <c r="C1589" s="4"/>
      <c r="E1589" s="4"/>
      <c r="H1589" s="31" t="str">
        <f t="shared" si="48"/>
        <v/>
      </c>
      <c r="J1589" t="b">
        <f t="shared" si="49"/>
        <v>0</v>
      </c>
    </row>
    <row r="1590" spans="3:10" x14ac:dyDescent="0.25">
      <c r="C1590" s="4"/>
      <c r="E1590" s="4"/>
      <c r="H1590" s="31" t="str">
        <f t="shared" si="48"/>
        <v/>
      </c>
      <c r="J1590" t="b">
        <f t="shared" si="49"/>
        <v>0</v>
      </c>
    </row>
    <row r="1591" spans="3:10" x14ac:dyDescent="0.25">
      <c r="C1591" s="4"/>
      <c r="E1591" s="4"/>
      <c r="H1591" s="31" t="str">
        <f t="shared" si="48"/>
        <v/>
      </c>
      <c r="J1591" t="b">
        <f t="shared" si="49"/>
        <v>0</v>
      </c>
    </row>
    <row r="1592" spans="3:10" x14ac:dyDescent="0.25">
      <c r="C1592" s="4"/>
      <c r="E1592" s="4"/>
      <c r="H1592" s="31" t="str">
        <f t="shared" si="48"/>
        <v/>
      </c>
      <c r="J1592" t="b">
        <f t="shared" si="49"/>
        <v>0</v>
      </c>
    </row>
    <row r="1593" spans="3:10" x14ac:dyDescent="0.25">
      <c r="C1593" s="4"/>
      <c r="E1593" s="4"/>
      <c r="H1593" s="31" t="str">
        <f t="shared" si="48"/>
        <v/>
      </c>
      <c r="J1593" t="b">
        <f t="shared" si="49"/>
        <v>0</v>
      </c>
    </row>
    <row r="1594" spans="3:10" x14ac:dyDescent="0.25">
      <c r="C1594" s="4"/>
      <c r="E1594" s="4"/>
      <c r="H1594" s="31" t="str">
        <f t="shared" si="48"/>
        <v/>
      </c>
      <c r="J1594" t="b">
        <f t="shared" si="49"/>
        <v>0</v>
      </c>
    </row>
    <row r="1595" spans="3:10" x14ac:dyDescent="0.25">
      <c r="C1595" s="4"/>
      <c r="E1595" s="4"/>
      <c r="H1595" s="31" t="str">
        <f t="shared" si="48"/>
        <v/>
      </c>
      <c r="J1595" t="b">
        <f t="shared" si="49"/>
        <v>0</v>
      </c>
    </row>
    <row r="1596" spans="3:10" x14ac:dyDescent="0.25">
      <c r="C1596" s="4"/>
      <c r="E1596" s="4"/>
      <c r="H1596" s="31" t="str">
        <f t="shared" si="48"/>
        <v/>
      </c>
      <c r="J1596" t="b">
        <f t="shared" si="49"/>
        <v>0</v>
      </c>
    </row>
    <row r="1597" spans="3:10" x14ac:dyDescent="0.25">
      <c r="C1597" s="4"/>
      <c r="E1597" s="4"/>
      <c r="H1597" s="31" t="str">
        <f t="shared" si="48"/>
        <v/>
      </c>
      <c r="J1597" t="b">
        <f t="shared" si="49"/>
        <v>0</v>
      </c>
    </row>
    <row r="1598" spans="3:10" x14ac:dyDescent="0.25">
      <c r="C1598" s="4"/>
      <c r="E1598" s="4"/>
      <c r="H1598" s="31" t="str">
        <f t="shared" si="48"/>
        <v/>
      </c>
      <c r="J1598" t="b">
        <f t="shared" si="49"/>
        <v>0</v>
      </c>
    </row>
    <row r="1599" spans="3:10" x14ac:dyDescent="0.25">
      <c r="C1599" s="4"/>
      <c r="E1599" s="4"/>
      <c r="H1599" s="31" t="str">
        <f t="shared" si="48"/>
        <v/>
      </c>
      <c r="J1599" t="b">
        <f t="shared" si="49"/>
        <v>0</v>
      </c>
    </row>
    <row r="1600" spans="3:10" x14ac:dyDescent="0.25">
      <c r="C1600" s="4"/>
      <c r="E1600" s="4"/>
      <c r="H1600" s="31" t="str">
        <f t="shared" si="48"/>
        <v/>
      </c>
      <c r="J1600" t="b">
        <f t="shared" si="49"/>
        <v>0</v>
      </c>
    </row>
    <row r="1601" spans="3:10" x14ac:dyDescent="0.25">
      <c r="C1601" s="4"/>
      <c r="E1601" s="4"/>
      <c r="H1601" s="31" t="str">
        <f t="shared" si="48"/>
        <v/>
      </c>
      <c r="J1601" t="b">
        <f t="shared" si="49"/>
        <v>0</v>
      </c>
    </row>
    <row r="1602" spans="3:10" x14ac:dyDescent="0.25">
      <c r="C1602" s="4"/>
      <c r="E1602" s="4"/>
      <c r="H1602" s="31" t="str">
        <f t="shared" si="48"/>
        <v/>
      </c>
      <c r="J1602" t="b">
        <f t="shared" si="49"/>
        <v>0</v>
      </c>
    </row>
    <row r="1603" spans="3:10" x14ac:dyDescent="0.25">
      <c r="C1603" s="4"/>
      <c r="E1603" s="4"/>
      <c r="H1603" s="31" t="str">
        <f t="shared" si="48"/>
        <v/>
      </c>
      <c r="J1603" t="b">
        <f t="shared" si="49"/>
        <v>0</v>
      </c>
    </row>
    <row r="1604" spans="3:10" x14ac:dyDescent="0.25">
      <c r="C1604" s="4"/>
      <c r="E1604" s="4"/>
      <c r="H1604" s="31" t="str">
        <f t="shared" ref="H1604:H1667" si="50">IF($J1604=TRUE,"Il ne peut y avoir des valeurs dans les 2 méthodes",IF($D1604="kg/l",$C1604,IF($D1604="g/l",$C1604/1000,IF($D1604="lb/gal US",$C1604*0.454/3.785,IF($G1604="kg/l",($E1604/100)*$F1604,IF($G1604="g/l",($E1604/100)*$F1604/1000,IF($G1604="lb/gal US",($E1604/100)*$F1604*0.454/3.785,"")))))))</f>
        <v/>
      </c>
      <c r="J1604" t="b">
        <f t="shared" ref="J1604:J1667" si="51">IF(AND(OR($C1604&lt;&gt;"",$D1604&lt;&gt;""),OR($E1604&lt;&gt;"",F1604&lt;&gt;"",G1604&lt;&gt;"")),TRUE,FALSE)</f>
        <v>0</v>
      </c>
    </row>
    <row r="1605" spans="3:10" x14ac:dyDescent="0.25">
      <c r="C1605" s="4"/>
      <c r="E1605" s="4"/>
      <c r="H1605" s="31" t="str">
        <f t="shared" si="50"/>
        <v/>
      </c>
      <c r="J1605" t="b">
        <f t="shared" si="51"/>
        <v>0</v>
      </c>
    </row>
    <row r="1606" spans="3:10" x14ac:dyDescent="0.25">
      <c r="C1606" s="4"/>
      <c r="E1606" s="4"/>
      <c r="H1606" s="31" t="str">
        <f t="shared" si="50"/>
        <v/>
      </c>
      <c r="J1606" t="b">
        <f t="shared" si="51"/>
        <v>0</v>
      </c>
    </row>
    <row r="1607" spans="3:10" x14ac:dyDescent="0.25">
      <c r="C1607" s="4"/>
      <c r="E1607" s="4"/>
      <c r="H1607" s="31" t="str">
        <f t="shared" si="50"/>
        <v/>
      </c>
      <c r="J1607" t="b">
        <f t="shared" si="51"/>
        <v>0</v>
      </c>
    </row>
    <row r="1608" spans="3:10" x14ac:dyDescent="0.25">
      <c r="C1608" s="4"/>
      <c r="E1608" s="4"/>
      <c r="H1608" s="31" t="str">
        <f t="shared" si="50"/>
        <v/>
      </c>
      <c r="J1608" t="b">
        <f t="shared" si="51"/>
        <v>0</v>
      </c>
    </row>
    <row r="1609" spans="3:10" x14ac:dyDescent="0.25">
      <c r="C1609" s="4"/>
      <c r="E1609" s="4"/>
      <c r="H1609" s="31" t="str">
        <f t="shared" si="50"/>
        <v/>
      </c>
      <c r="J1609" t="b">
        <f t="shared" si="51"/>
        <v>0</v>
      </c>
    </row>
    <row r="1610" spans="3:10" x14ac:dyDescent="0.25">
      <c r="C1610" s="4"/>
      <c r="E1610" s="4"/>
      <c r="H1610" s="31" t="str">
        <f t="shared" si="50"/>
        <v/>
      </c>
      <c r="J1610" t="b">
        <f t="shared" si="51"/>
        <v>0</v>
      </c>
    </row>
    <row r="1611" spans="3:10" x14ac:dyDescent="0.25">
      <c r="C1611" s="4"/>
      <c r="E1611" s="4"/>
      <c r="H1611" s="31" t="str">
        <f t="shared" si="50"/>
        <v/>
      </c>
      <c r="J1611" t="b">
        <f t="shared" si="51"/>
        <v>0</v>
      </c>
    </row>
    <row r="1612" spans="3:10" x14ac:dyDescent="0.25">
      <c r="C1612" s="4"/>
      <c r="E1612" s="4"/>
      <c r="H1612" s="31" t="str">
        <f t="shared" si="50"/>
        <v/>
      </c>
      <c r="J1612" t="b">
        <f t="shared" si="51"/>
        <v>0</v>
      </c>
    </row>
    <row r="1613" spans="3:10" x14ac:dyDescent="0.25">
      <c r="C1613" s="4"/>
      <c r="E1613" s="4"/>
      <c r="H1613" s="31" t="str">
        <f t="shared" si="50"/>
        <v/>
      </c>
      <c r="J1613" t="b">
        <f t="shared" si="51"/>
        <v>0</v>
      </c>
    </row>
    <row r="1614" spans="3:10" x14ac:dyDescent="0.25">
      <c r="C1614" s="4"/>
      <c r="E1614" s="4"/>
      <c r="H1614" s="31" t="str">
        <f t="shared" si="50"/>
        <v/>
      </c>
      <c r="J1614" t="b">
        <f t="shared" si="51"/>
        <v>0</v>
      </c>
    </row>
    <row r="1615" spans="3:10" x14ac:dyDescent="0.25">
      <c r="C1615" s="4"/>
      <c r="E1615" s="4"/>
      <c r="H1615" s="31" t="str">
        <f t="shared" si="50"/>
        <v/>
      </c>
      <c r="J1615" t="b">
        <f t="shared" si="51"/>
        <v>0</v>
      </c>
    </row>
    <row r="1616" spans="3:10" x14ac:dyDescent="0.25">
      <c r="C1616" s="4"/>
      <c r="E1616" s="4"/>
      <c r="H1616" s="31" t="str">
        <f t="shared" si="50"/>
        <v/>
      </c>
      <c r="J1616" t="b">
        <f t="shared" si="51"/>
        <v>0</v>
      </c>
    </row>
    <row r="1617" spans="3:10" x14ac:dyDescent="0.25">
      <c r="C1617" s="4"/>
      <c r="E1617" s="4"/>
      <c r="H1617" s="31" t="str">
        <f t="shared" si="50"/>
        <v/>
      </c>
      <c r="J1617" t="b">
        <f t="shared" si="51"/>
        <v>0</v>
      </c>
    </row>
    <row r="1618" spans="3:10" x14ac:dyDescent="0.25">
      <c r="C1618" s="4"/>
      <c r="E1618" s="4"/>
      <c r="H1618" s="31" t="str">
        <f t="shared" si="50"/>
        <v/>
      </c>
      <c r="J1618" t="b">
        <f t="shared" si="51"/>
        <v>0</v>
      </c>
    </row>
    <row r="1619" spans="3:10" x14ac:dyDescent="0.25">
      <c r="C1619" s="4"/>
      <c r="E1619" s="4"/>
      <c r="H1619" s="31" t="str">
        <f t="shared" si="50"/>
        <v/>
      </c>
      <c r="J1619" t="b">
        <f t="shared" si="51"/>
        <v>0</v>
      </c>
    </row>
    <row r="1620" spans="3:10" x14ac:dyDescent="0.25">
      <c r="C1620" s="4"/>
      <c r="E1620" s="4"/>
      <c r="H1620" s="31" t="str">
        <f t="shared" si="50"/>
        <v/>
      </c>
      <c r="J1620" t="b">
        <f t="shared" si="51"/>
        <v>0</v>
      </c>
    </row>
    <row r="1621" spans="3:10" x14ac:dyDescent="0.25">
      <c r="C1621" s="4"/>
      <c r="E1621" s="4"/>
      <c r="H1621" s="31" t="str">
        <f t="shared" si="50"/>
        <v/>
      </c>
      <c r="J1621" t="b">
        <f t="shared" si="51"/>
        <v>0</v>
      </c>
    </row>
    <row r="1622" spans="3:10" x14ac:dyDescent="0.25">
      <c r="C1622" s="4"/>
      <c r="E1622" s="4"/>
      <c r="H1622" s="31" t="str">
        <f t="shared" si="50"/>
        <v/>
      </c>
      <c r="J1622" t="b">
        <f t="shared" si="51"/>
        <v>0</v>
      </c>
    </row>
    <row r="1623" spans="3:10" x14ac:dyDescent="0.25">
      <c r="C1623" s="4"/>
      <c r="E1623" s="4"/>
      <c r="H1623" s="31" t="str">
        <f t="shared" si="50"/>
        <v/>
      </c>
      <c r="J1623" t="b">
        <f t="shared" si="51"/>
        <v>0</v>
      </c>
    </row>
    <row r="1624" spans="3:10" x14ac:dyDescent="0.25">
      <c r="C1624" s="4"/>
      <c r="E1624" s="4"/>
      <c r="H1624" s="31" t="str">
        <f t="shared" si="50"/>
        <v/>
      </c>
      <c r="J1624" t="b">
        <f t="shared" si="51"/>
        <v>0</v>
      </c>
    </row>
    <row r="1625" spans="3:10" x14ac:dyDescent="0.25">
      <c r="C1625" s="4"/>
      <c r="E1625" s="4"/>
      <c r="H1625" s="31" t="str">
        <f t="shared" si="50"/>
        <v/>
      </c>
      <c r="J1625" t="b">
        <f t="shared" si="51"/>
        <v>0</v>
      </c>
    </row>
    <row r="1626" spans="3:10" x14ac:dyDescent="0.25">
      <c r="C1626" s="4"/>
      <c r="E1626" s="4"/>
      <c r="H1626" s="31" t="str">
        <f t="shared" si="50"/>
        <v/>
      </c>
      <c r="J1626" t="b">
        <f t="shared" si="51"/>
        <v>0</v>
      </c>
    </row>
    <row r="1627" spans="3:10" x14ac:dyDescent="0.25">
      <c r="C1627" s="4"/>
      <c r="E1627" s="4"/>
      <c r="H1627" s="31" t="str">
        <f t="shared" si="50"/>
        <v/>
      </c>
      <c r="J1627" t="b">
        <f t="shared" si="51"/>
        <v>0</v>
      </c>
    </row>
    <row r="1628" spans="3:10" x14ac:dyDescent="0.25">
      <c r="C1628" s="4"/>
      <c r="E1628" s="4"/>
      <c r="H1628" s="31" t="str">
        <f t="shared" si="50"/>
        <v/>
      </c>
      <c r="J1628" t="b">
        <f t="shared" si="51"/>
        <v>0</v>
      </c>
    </row>
    <row r="1629" spans="3:10" x14ac:dyDescent="0.25">
      <c r="C1629" s="4"/>
      <c r="E1629" s="4"/>
      <c r="H1629" s="31" t="str">
        <f t="shared" si="50"/>
        <v/>
      </c>
      <c r="J1629" t="b">
        <f t="shared" si="51"/>
        <v>0</v>
      </c>
    </row>
    <row r="1630" spans="3:10" x14ac:dyDescent="0.25">
      <c r="C1630" s="4"/>
      <c r="E1630" s="4"/>
      <c r="H1630" s="31" t="str">
        <f t="shared" si="50"/>
        <v/>
      </c>
      <c r="J1630" t="b">
        <f t="shared" si="51"/>
        <v>0</v>
      </c>
    </row>
    <row r="1631" spans="3:10" x14ac:dyDescent="0.25">
      <c r="C1631" s="4"/>
      <c r="E1631" s="4"/>
      <c r="H1631" s="31" t="str">
        <f t="shared" si="50"/>
        <v/>
      </c>
      <c r="J1631" t="b">
        <f t="shared" si="51"/>
        <v>0</v>
      </c>
    </row>
    <row r="1632" spans="3:10" x14ac:dyDescent="0.25">
      <c r="C1632" s="4"/>
      <c r="E1632" s="4"/>
      <c r="H1632" s="31" t="str">
        <f t="shared" si="50"/>
        <v/>
      </c>
      <c r="J1632" t="b">
        <f t="shared" si="51"/>
        <v>0</v>
      </c>
    </row>
    <row r="1633" spans="3:10" x14ac:dyDescent="0.25">
      <c r="C1633" s="4"/>
      <c r="E1633" s="4"/>
      <c r="H1633" s="31" t="str">
        <f t="shared" si="50"/>
        <v/>
      </c>
      <c r="J1633" t="b">
        <f t="shared" si="51"/>
        <v>0</v>
      </c>
    </row>
    <row r="1634" spans="3:10" x14ac:dyDescent="0.25">
      <c r="C1634" s="4"/>
      <c r="E1634" s="4"/>
      <c r="H1634" s="31" t="str">
        <f t="shared" si="50"/>
        <v/>
      </c>
      <c r="J1634" t="b">
        <f t="shared" si="51"/>
        <v>0</v>
      </c>
    </row>
    <row r="1635" spans="3:10" x14ac:dyDescent="0.25">
      <c r="C1635" s="4"/>
      <c r="E1635" s="4"/>
      <c r="H1635" s="31" t="str">
        <f t="shared" si="50"/>
        <v/>
      </c>
      <c r="J1635" t="b">
        <f t="shared" si="51"/>
        <v>0</v>
      </c>
    </row>
    <row r="1636" spans="3:10" x14ac:dyDescent="0.25">
      <c r="C1636" s="4"/>
      <c r="E1636" s="4"/>
      <c r="H1636" s="31" t="str">
        <f t="shared" si="50"/>
        <v/>
      </c>
      <c r="J1636" t="b">
        <f t="shared" si="51"/>
        <v>0</v>
      </c>
    </row>
    <row r="1637" spans="3:10" x14ac:dyDescent="0.25">
      <c r="C1637" s="4"/>
      <c r="E1637" s="4"/>
      <c r="H1637" s="31" t="str">
        <f t="shared" si="50"/>
        <v/>
      </c>
      <c r="J1637" t="b">
        <f t="shared" si="51"/>
        <v>0</v>
      </c>
    </row>
    <row r="1638" spans="3:10" x14ac:dyDescent="0.25">
      <c r="C1638" s="4"/>
      <c r="E1638" s="4"/>
      <c r="H1638" s="31" t="str">
        <f t="shared" si="50"/>
        <v/>
      </c>
      <c r="J1638" t="b">
        <f t="shared" si="51"/>
        <v>0</v>
      </c>
    </row>
    <row r="1639" spans="3:10" x14ac:dyDescent="0.25">
      <c r="C1639" s="4"/>
      <c r="E1639" s="4"/>
      <c r="H1639" s="31" t="str">
        <f t="shared" si="50"/>
        <v/>
      </c>
      <c r="J1639" t="b">
        <f t="shared" si="51"/>
        <v>0</v>
      </c>
    </row>
    <row r="1640" spans="3:10" x14ac:dyDescent="0.25">
      <c r="C1640" s="4"/>
      <c r="E1640" s="4"/>
      <c r="H1640" s="31" t="str">
        <f t="shared" si="50"/>
        <v/>
      </c>
      <c r="J1640" t="b">
        <f t="shared" si="51"/>
        <v>0</v>
      </c>
    </row>
    <row r="1641" spans="3:10" x14ac:dyDescent="0.25">
      <c r="C1641" s="4"/>
      <c r="E1641" s="4"/>
      <c r="H1641" s="31" t="str">
        <f t="shared" si="50"/>
        <v/>
      </c>
      <c r="J1641" t="b">
        <f t="shared" si="51"/>
        <v>0</v>
      </c>
    </row>
    <row r="1642" spans="3:10" x14ac:dyDescent="0.25">
      <c r="C1642" s="4"/>
      <c r="E1642" s="4"/>
      <c r="H1642" s="31" t="str">
        <f t="shared" si="50"/>
        <v/>
      </c>
      <c r="J1642" t="b">
        <f t="shared" si="51"/>
        <v>0</v>
      </c>
    </row>
    <row r="1643" spans="3:10" x14ac:dyDescent="0.25">
      <c r="C1643" s="4"/>
      <c r="E1643" s="4"/>
      <c r="H1643" s="31" t="str">
        <f t="shared" si="50"/>
        <v/>
      </c>
      <c r="J1643" t="b">
        <f t="shared" si="51"/>
        <v>0</v>
      </c>
    </row>
    <row r="1644" spans="3:10" x14ac:dyDescent="0.25">
      <c r="C1644" s="4"/>
      <c r="E1644" s="4"/>
      <c r="H1644" s="31" t="str">
        <f t="shared" si="50"/>
        <v/>
      </c>
      <c r="J1644" t="b">
        <f t="shared" si="51"/>
        <v>0</v>
      </c>
    </row>
    <row r="1645" spans="3:10" x14ac:dyDescent="0.25">
      <c r="C1645" s="4"/>
      <c r="E1645" s="4"/>
      <c r="H1645" s="31" t="str">
        <f t="shared" si="50"/>
        <v/>
      </c>
      <c r="J1645" t="b">
        <f t="shared" si="51"/>
        <v>0</v>
      </c>
    </row>
    <row r="1646" spans="3:10" x14ac:dyDescent="0.25">
      <c r="C1646" s="4"/>
      <c r="E1646" s="4"/>
      <c r="H1646" s="31" t="str">
        <f t="shared" si="50"/>
        <v/>
      </c>
      <c r="J1646" t="b">
        <f t="shared" si="51"/>
        <v>0</v>
      </c>
    </row>
    <row r="1647" spans="3:10" x14ac:dyDescent="0.25">
      <c r="C1647" s="4"/>
      <c r="E1647" s="4"/>
      <c r="H1647" s="31" t="str">
        <f t="shared" si="50"/>
        <v/>
      </c>
      <c r="J1647" t="b">
        <f t="shared" si="51"/>
        <v>0</v>
      </c>
    </row>
    <row r="1648" spans="3:10" x14ac:dyDescent="0.25">
      <c r="C1648" s="4"/>
      <c r="E1648" s="4"/>
      <c r="H1648" s="31" t="str">
        <f t="shared" si="50"/>
        <v/>
      </c>
      <c r="J1648" t="b">
        <f t="shared" si="51"/>
        <v>0</v>
      </c>
    </row>
    <row r="1649" spans="3:10" x14ac:dyDescent="0.25">
      <c r="C1649" s="4"/>
      <c r="E1649" s="4"/>
      <c r="H1649" s="31" t="str">
        <f t="shared" si="50"/>
        <v/>
      </c>
      <c r="J1649" t="b">
        <f t="shared" si="51"/>
        <v>0</v>
      </c>
    </row>
    <row r="1650" spans="3:10" x14ac:dyDescent="0.25">
      <c r="C1650" s="4"/>
      <c r="E1650" s="4"/>
      <c r="H1650" s="31" t="str">
        <f t="shared" si="50"/>
        <v/>
      </c>
      <c r="J1650" t="b">
        <f t="shared" si="51"/>
        <v>0</v>
      </c>
    </row>
    <row r="1651" spans="3:10" x14ac:dyDescent="0.25">
      <c r="C1651" s="4"/>
      <c r="E1651" s="4"/>
      <c r="H1651" s="31" t="str">
        <f t="shared" si="50"/>
        <v/>
      </c>
      <c r="J1651" t="b">
        <f t="shared" si="51"/>
        <v>0</v>
      </c>
    </row>
    <row r="1652" spans="3:10" x14ac:dyDescent="0.25">
      <c r="C1652" s="4"/>
      <c r="E1652" s="4"/>
      <c r="H1652" s="31" t="str">
        <f t="shared" si="50"/>
        <v/>
      </c>
      <c r="J1652" t="b">
        <f t="shared" si="51"/>
        <v>0</v>
      </c>
    </row>
    <row r="1653" spans="3:10" x14ac:dyDescent="0.25">
      <c r="C1653" s="4"/>
      <c r="E1653" s="4"/>
      <c r="H1653" s="31" t="str">
        <f t="shared" si="50"/>
        <v/>
      </c>
      <c r="J1653" t="b">
        <f t="shared" si="51"/>
        <v>0</v>
      </c>
    </row>
    <row r="1654" spans="3:10" x14ac:dyDescent="0.25">
      <c r="C1654" s="4"/>
      <c r="E1654" s="4"/>
      <c r="H1654" s="31" t="str">
        <f t="shared" si="50"/>
        <v/>
      </c>
      <c r="J1654" t="b">
        <f t="shared" si="51"/>
        <v>0</v>
      </c>
    </row>
    <row r="1655" spans="3:10" x14ac:dyDescent="0.25">
      <c r="C1655" s="4"/>
      <c r="E1655" s="4"/>
      <c r="H1655" s="31" t="str">
        <f t="shared" si="50"/>
        <v/>
      </c>
      <c r="J1655" t="b">
        <f t="shared" si="51"/>
        <v>0</v>
      </c>
    </row>
    <row r="1656" spans="3:10" x14ac:dyDescent="0.25">
      <c r="C1656" s="4"/>
      <c r="E1656" s="4"/>
      <c r="H1656" s="31" t="str">
        <f t="shared" si="50"/>
        <v/>
      </c>
      <c r="J1656" t="b">
        <f t="shared" si="51"/>
        <v>0</v>
      </c>
    </row>
    <row r="1657" spans="3:10" x14ac:dyDescent="0.25">
      <c r="C1657" s="4"/>
      <c r="E1657" s="4"/>
      <c r="H1657" s="31" t="str">
        <f t="shared" si="50"/>
        <v/>
      </c>
      <c r="J1657" t="b">
        <f t="shared" si="51"/>
        <v>0</v>
      </c>
    </row>
    <row r="1658" spans="3:10" x14ac:dyDescent="0.25">
      <c r="C1658" s="4"/>
      <c r="E1658" s="4"/>
      <c r="H1658" s="31" t="str">
        <f t="shared" si="50"/>
        <v/>
      </c>
      <c r="J1658" t="b">
        <f t="shared" si="51"/>
        <v>0</v>
      </c>
    </row>
    <row r="1659" spans="3:10" x14ac:dyDescent="0.25">
      <c r="C1659" s="4"/>
      <c r="E1659" s="4"/>
      <c r="H1659" s="31" t="str">
        <f t="shared" si="50"/>
        <v/>
      </c>
      <c r="J1659" t="b">
        <f t="shared" si="51"/>
        <v>0</v>
      </c>
    </row>
    <row r="1660" spans="3:10" x14ac:dyDescent="0.25">
      <c r="C1660" s="4"/>
      <c r="E1660" s="4"/>
      <c r="H1660" s="31" t="str">
        <f t="shared" si="50"/>
        <v/>
      </c>
      <c r="J1660" t="b">
        <f t="shared" si="51"/>
        <v>0</v>
      </c>
    </row>
    <row r="1661" spans="3:10" x14ac:dyDescent="0.25">
      <c r="C1661" s="4"/>
      <c r="E1661" s="4"/>
      <c r="H1661" s="31" t="str">
        <f t="shared" si="50"/>
        <v/>
      </c>
      <c r="J1661" t="b">
        <f t="shared" si="51"/>
        <v>0</v>
      </c>
    </row>
    <row r="1662" spans="3:10" x14ac:dyDescent="0.25">
      <c r="C1662" s="4"/>
      <c r="E1662" s="4"/>
      <c r="H1662" s="31" t="str">
        <f t="shared" si="50"/>
        <v/>
      </c>
      <c r="J1662" t="b">
        <f t="shared" si="51"/>
        <v>0</v>
      </c>
    </row>
    <row r="1663" spans="3:10" x14ac:dyDescent="0.25">
      <c r="C1663" s="4"/>
      <c r="E1663" s="4"/>
      <c r="H1663" s="31" t="str">
        <f t="shared" si="50"/>
        <v/>
      </c>
      <c r="J1663" t="b">
        <f t="shared" si="51"/>
        <v>0</v>
      </c>
    </row>
    <row r="1664" spans="3:10" x14ac:dyDescent="0.25">
      <c r="C1664" s="4"/>
      <c r="E1664" s="4"/>
      <c r="H1664" s="31" t="str">
        <f t="shared" si="50"/>
        <v/>
      </c>
      <c r="J1664" t="b">
        <f t="shared" si="51"/>
        <v>0</v>
      </c>
    </row>
    <row r="1665" spans="3:10" x14ac:dyDescent="0.25">
      <c r="C1665" s="4"/>
      <c r="E1665" s="4"/>
      <c r="H1665" s="31" t="str">
        <f t="shared" si="50"/>
        <v/>
      </c>
      <c r="J1665" t="b">
        <f t="shared" si="51"/>
        <v>0</v>
      </c>
    </row>
    <row r="1666" spans="3:10" x14ac:dyDescent="0.25">
      <c r="C1666" s="4"/>
      <c r="E1666" s="4"/>
      <c r="H1666" s="31" t="str">
        <f t="shared" si="50"/>
        <v/>
      </c>
      <c r="J1666" t="b">
        <f t="shared" si="51"/>
        <v>0</v>
      </c>
    </row>
    <row r="1667" spans="3:10" x14ac:dyDescent="0.25">
      <c r="C1667" s="4"/>
      <c r="E1667" s="4"/>
      <c r="H1667" s="31" t="str">
        <f t="shared" si="50"/>
        <v/>
      </c>
      <c r="J1667" t="b">
        <f t="shared" si="51"/>
        <v>0</v>
      </c>
    </row>
    <row r="1668" spans="3:10" x14ac:dyDescent="0.25">
      <c r="C1668" s="4"/>
      <c r="E1668" s="4"/>
      <c r="H1668" s="31" t="str">
        <f t="shared" ref="H1668:H1731" si="52">IF($J1668=TRUE,"Il ne peut y avoir des valeurs dans les 2 méthodes",IF($D1668="kg/l",$C1668,IF($D1668="g/l",$C1668/1000,IF($D1668="lb/gal US",$C1668*0.454/3.785,IF($G1668="kg/l",($E1668/100)*$F1668,IF($G1668="g/l",($E1668/100)*$F1668/1000,IF($G1668="lb/gal US",($E1668/100)*$F1668*0.454/3.785,"")))))))</f>
        <v/>
      </c>
      <c r="J1668" t="b">
        <f t="shared" ref="J1668:J1731" si="53">IF(AND(OR($C1668&lt;&gt;"",$D1668&lt;&gt;""),OR($E1668&lt;&gt;"",F1668&lt;&gt;"",G1668&lt;&gt;"")),TRUE,FALSE)</f>
        <v>0</v>
      </c>
    </row>
    <row r="1669" spans="3:10" x14ac:dyDescent="0.25">
      <c r="C1669" s="4"/>
      <c r="E1669" s="4"/>
      <c r="H1669" s="31" t="str">
        <f t="shared" si="52"/>
        <v/>
      </c>
      <c r="J1669" t="b">
        <f t="shared" si="53"/>
        <v>0</v>
      </c>
    </row>
    <row r="1670" spans="3:10" x14ac:dyDescent="0.25">
      <c r="C1670" s="4"/>
      <c r="E1670" s="4"/>
      <c r="H1670" s="31" t="str">
        <f t="shared" si="52"/>
        <v/>
      </c>
      <c r="J1670" t="b">
        <f t="shared" si="53"/>
        <v>0</v>
      </c>
    </row>
    <row r="1671" spans="3:10" x14ac:dyDescent="0.25">
      <c r="C1671" s="4"/>
      <c r="E1671" s="4"/>
      <c r="H1671" s="31" t="str">
        <f t="shared" si="52"/>
        <v/>
      </c>
      <c r="J1671" t="b">
        <f t="shared" si="53"/>
        <v>0</v>
      </c>
    </row>
    <row r="1672" spans="3:10" x14ac:dyDescent="0.25">
      <c r="C1672" s="4"/>
      <c r="E1672" s="4"/>
      <c r="H1672" s="31" t="str">
        <f t="shared" si="52"/>
        <v/>
      </c>
      <c r="J1672" t="b">
        <f t="shared" si="53"/>
        <v>0</v>
      </c>
    </row>
    <row r="1673" spans="3:10" x14ac:dyDescent="0.25">
      <c r="C1673" s="4"/>
      <c r="E1673" s="4"/>
      <c r="H1673" s="31" t="str">
        <f t="shared" si="52"/>
        <v/>
      </c>
      <c r="J1673" t="b">
        <f t="shared" si="53"/>
        <v>0</v>
      </c>
    </row>
    <row r="1674" spans="3:10" x14ac:dyDescent="0.25">
      <c r="C1674" s="4"/>
      <c r="E1674" s="4"/>
      <c r="H1674" s="31" t="str">
        <f t="shared" si="52"/>
        <v/>
      </c>
      <c r="J1674" t="b">
        <f t="shared" si="53"/>
        <v>0</v>
      </c>
    </row>
    <row r="1675" spans="3:10" x14ac:dyDescent="0.25">
      <c r="C1675" s="4"/>
      <c r="E1675" s="4"/>
      <c r="H1675" s="31" t="str">
        <f t="shared" si="52"/>
        <v/>
      </c>
      <c r="J1675" t="b">
        <f t="shared" si="53"/>
        <v>0</v>
      </c>
    </row>
    <row r="1676" spans="3:10" x14ac:dyDescent="0.25">
      <c r="C1676" s="4"/>
      <c r="E1676" s="4"/>
      <c r="H1676" s="31" t="str">
        <f t="shared" si="52"/>
        <v/>
      </c>
      <c r="J1676" t="b">
        <f t="shared" si="53"/>
        <v>0</v>
      </c>
    </row>
    <row r="1677" spans="3:10" x14ac:dyDescent="0.25">
      <c r="C1677" s="4"/>
      <c r="E1677" s="4"/>
      <c r="H1677" s="31" t="str">
        <f t="shared" si="52"/>
        <v/>
      </c>
      <c r="J1677" t="b">
        <f t="shared" si="53"/>
        <v>0</v>
      </c>
    </row>
    <row r="1678" spans="3:10" x14ac:dyDescent="0.25">
      <c r="C1678" s="4"/>
      <c r="E1678" s="4"/>
      <c r="H1678" s="31" t="str">
        <f t="shared" si="52"/>
        <v/>
      </c>
      <c r="J1678" t="b">
        <f t="shared" si="53"/>
        <v>0</v>
      </c>
    </row>
    <row r="1679" spans="3:10" x14ac:dyDescent="0.25">
      <c r="C1679" s="4"/>
      <c r="E1679" s="4"/>
      <c r="H1679" s="31" t="str">
        <f t="shared" si="52"/>
        <v/>
      </c>
      <c r="J1679" t="b">
        <f t="shared" si="53"/>
        <v>0</v>
      </c>
    </row>
    <row r="1680" spans="3:10" x14ac:dyDescent="0.25">
      <c r="C1680" s="4"/>
      <c r="E1680" s="4"/>
      <c r="H1680" s="31" t="str">
        <f t="shared" si="52"/>
        <v/>
      </c>
      <c r="J1680" t="b">
        <f t="shared" si="53"/>
        <v>0</v>
      </c>
    </row>
    <row r="1681" spans="3:10" x14ac:dyDescent="0.25">
      <c r="C1681" s="4"/>
      <c r="E1681" s="4"/>
      <c r="H1681" s="31" t="str">
        <f t="shared" si="52"/>
        <v/>
      </c>
      <c r="J1681" t="b">
        <f t="shared" si="53"/>
        <v>0</v>
      </c>
    </row>
    <row r="1682" spans="3:10" x14ac:dyDescent="0.25">
      <c r="C1682" s="4"/>
      <c r="E1682" s="4"/>
      <c r="H1682" s="31" t="str">
        <f t="shared" si="52"/>
        <v/>
      </c>
      <c r="J1682" t="b">
        <f t="shared" si="53"/>
        <v>0</v>
      </c>
    </row>
    <row r="1683" spans="3:10" x14ac:dyDescent="0.25">
      <c r="C1683" s="4"/>
      <c r="E1683" s="4"/>
      <c r="H1683" s="31" t="str">
        <f t="shared" si="52"/>
        <v/>
      </c>
      <c r="J1683" t="b">
        <f t="shared" si="53"/>
        <v>0</v>
      </c>
    </row>
    <row r="1684" spans="3:10" x14ac:dyDescent="0.25">
      <c r="C1684" s="4"/>
      <c r="E1684" s="4"/>
      <c r="H1684" s="31" t="str">
        <f t="shared" si="52"/>
        <v/>
      </c>
      <c r="J1684" t="b">
        <f t="shared" si="53"/>
        <v>0</v>
      </c>
    </row>
    <row r="1685" spans="3:10" x14ac:dyDescent="0.25">
      <c r="C1685" s="4"/>
      <c r="E1685" s="4"/>
      <c r="H1685" s="31" t="str">
        <f t="shared" si="52"/>
        <v/>
      </c>
      <c r="J1685" t="b">
        <f t="shared" si="53"/>
        <v>0</v>
      </c>
    </row>
    <row r="1686" spans="3:10" x14ac:dyDescent="0.25">
      <c r="C1686" s="4"/>
      <c r="E1686" s="4"/>
      <c r="H1686" s="31" t="str">
        <f t="shared" si="52"/>
        <v/>
      </c>
      <c r="J1686" t="b">
        <f t="shared" si="53"/>
        <v>0</v>
      </c>
    </row>
    <row r="1687" spans="3:10" x14ac:dyDescent="0.25">
      <c r="C1687" s="4"/>
      <c r="E1687" s="4"/>
      <c r="H1687" s="31" t="str">
        <f t="shared" si="52"/>
        <v/>
      </c>
      <c r="J1687" t="b">
        <f t="shared" si="53"/>
        <v>0</v>
      </c>
    </row>
    <row r="1688" spans="3:10" x14ac:dyDescent="0.25">
      <c r="C1688" s="4"/>
      <c r="E1688" s="4"/>
      <c r="H1688" s="31" t="str">
        <f t="shared" si="52"/>
        <v/>
      </c>
      <c r="J1688" t="b">
        <f t="shared" si="53"/>
        <v>0</v>
      </c>
    </row>
    <row r="1689" spans="3:10" x14ac:dyDescent="0.25">
      <c r="C1689" s="4"/>
      <c r="E1689" s="4"/>
      <c r="H1689" s="31" t="str">
        <f t="shared" si="52"/>
        <v/>
      </c>
      <c r="J1689" t="b">
        <f t="shared" si="53"/>
        <v>0</v>
      </c>
    </row>
    <row r="1690" spans="3:10" x14ac:dyDescent="0.25">
      <c r="C1690" s="4"/>
      <c r="E1690" s="4"/>
      <c r="H1690" s="31" t="str">
        <f t="shared" si="52"/>
        <v/>
      </c>
      <c r="J1690" t="b">
        <f t="shared" si="53"/>
        <v>0</v>
      </c>
    </row>
    <row r="1691" spans="3:10" x14ac:dyDescent="0.25">
      <c r="C1691" s="4"/>
      <c r="E1691" s="4"/>
      <c r="H1691" s="31" t="str">
        <f t="shared" si="52"/>
        <v/>
      </c>
      <c r="J1691" t="b">
        <f t="shared" si="53"/>
        <v>0</v>
      </c>
    </row>
    <row r="1692" spans="3:10" x14ac:dyDescent="0.25">
      <c r="C1692" s="4"/>
      <c r="E1692" s="4"/>
      <c r="H1692" s="31" t="str">
        <f t="shared" si="52"/>
        <v/>
      </c>
      <c r="J1692" t="b">
        <f t="shared" si="53"/>
        <v>0</v>
      </c>
    </row>
    <row r="1693" spans="3:10" x14ac:dyDescent="0.25">
      <c r="C1693" s="4"/>
      <c r="E1693" s="4"/>
      <c r="H1693" s="31" t="str">
        <f t="shared" si="52"/>
        <v/>
      </c>
      <c r="J1693" t="b">
        <f t="shared" si="53"/>
        <v>0</v>
      </c>
    </row>
    <row r="1694" spans="3:10" x14ac:dyDescent="0.25">
      <c r="C1694" s="4"/>
      <c r="E1694" s="4"/>
      <c r="H1694" s="31" t="str">
        <f t="shared" si="52"/>
        <v/>
      </c>
      <c r="J1694" t="b">
        <f t="shared" si="53"/>
        <v>0</v>
      </c>
    </row>
    <row r="1695" spans="3:10" x14ac:dyDescent="0.25">
      <c r="C1695" s="4"/>
      <c r="E1695" s="4"/>
      <c r="H1695" s="31" t="str">
        <f t="shared" si="52"/>
        <v/>
      </c>
      <c r="J1695" t="b">
        <f t="shared" si="53"/>
        <v>0</v>
      </c>
    </row>
    <row r="1696" spans="3:10" x14ac:dyDescent="0.25">
      <c r="C1696" s="4"/>
      <c r="E1696" s="4"/>
      <c r="H1696" s="31" t="str">
        <f t="shared" si="52"/>
        <v/>
      </c>
      <c r="J1696" t="b">
        <f t="shared" si="53"/>
        <v>0</v>
      </c>
    </row>
    <row r="1697" spans="3:10" x14ac:dyDescent="0.25">
      <c r="C1697" s="4"/>
      <c r="E1697" s="4"/>
      <c r="H1697" s="31" t="str">
        <f t="shared" si="52"/>
        <v/>
      </c>
      <c r="J1697" t="b">
        <f t="shared" si="53"/>
        <v>0</v>
      </c>
    </row>
    <row r="1698" spans="3:10" x14ac:dyDescent="0.25">
      <c r="C1698" s="4"/>
      <c r="E1698" s="4"/>
      <c r="H1698" s="31" t="str">
        <f t="shared" si="52"/>
        <v/>
      </c>
      <c r="J1698" t="b">
        <f t="shared" si="53"/>
        <v>0</v>
      </c>
    </row>
    <row r="1699" spans="3:10" x14ac:dyDescent="0.25">
      <c r="C1699" s="4"/>
      <c r="E1699" s="4"/>
      <c r="H1699" s="31" t="str">
        <f t="shared" si="52"/>
        <v/>
      </c>
      <c r="J1699" t="b">
        <f t="shared" si="53"/>
        <v>0</v>
      </c>
    </row>
    <row r="1700" spans="3:10" x14ac:dyDescent="0.25">
      <c r="C1700" s="4"/>
      <c r="E1700" s="4"/>
      <c r="H1700" s="31" t="str">
        <f t="shared" si="52"/>
        <v/>
      </c>
      <c r="J1700" t="b">
        <f t="shared" si="53"/>
        <v>0</v>
      </c>
    </row>
    <row r="1701" spans="3:10" x14ac:dyDescent="0.25">
      <c r="C1701" s="4"/>
      <c r="E1701" s="4"/>
      <c r="H1701" s="31" t="str">
        <f t="shared" si="52"/>
        <v/>
      </c>
      <c r="J1701" t="b">
        <f t="shared" si="53"/>
        <v>0</v>
      </c>
    </row>
    <row r="1702" spans="3:10" x14ac:dyDescent="0.25">
      <c r="C1702" s="4"/>
      <c r="E1702" s="4"/>
      <c r="H1702" s="31" t="str">
        <f t="shared" si="52"/>
        <v/>
      </c>
      <c r="J1702" t="b">
        <f t="shared" si="53"/>
        <v>0</v>
      </c>
    </row>
    <row r="1703" spans="3:10" x14ac:dyDescent="0.25">
      <c r="C1703" s="4"/>
      <c r="E1703" s="4"/>
      <c r="H1703" s="31" t="str">
        <f t="shared" si="52"/>
        <v/>
      </c>
      <c r="J1703" t="b">
        <f t="shared" si="53"/>
        <v>0</v>
      </c>
    </row>
    <row r="1704" spans="3:10" x14ac:dyDescent="0.25">
      <c r="C1704" s="4"/>
      <c r="E1704" s="4"/>
      <c r="H1704" s="31" t="str">
        <f t="shared" si="52"/>
        <v/>
      </c>
      <c r="J1704" t="b">
        <f t="shared" si="53"/>
        <v>0</v>
      </c>
    </row>
    <row r="1705" spans="3:10" x14ac:dyDescent="0.25">
      <c r="C1705" s="4"/>
      <c r="E1705" s="4"/>
      <c r="H1705" s="31" t="str">
        <f t="shared" si="52"/>
        <v/>
      </c>
      <c r="J1705" t="b">
        <f t="shared" si="53"/>
        <v>0</v>
      </c>
    </row>
    <row r="1706" spans="3:10" x14ac:dyDescent="0.25">
      <c r="C1706" s="4"/>
      <c r="E1706" s="4"/>
      <c r="H1706" s="31" t="str">
        <f t="shared" si="52"/>
        <v/>
      </c>
      <c r="J1706" t="b">
        <f t="shared" si="53"/>
        <v>0</v>
      </c>
    </row>
    <row r="1707" spans="3:10" x14ac:dyDescent="0.25">
      <c r="C1707" s="4"/>
      <c r="E1707" s="4"/>
      <c r="H1707" s="31" t="str">
        <f t="shared" si="52"/>
        <v/>
      </c>
      <c r="J1707" t="b">
        <f t="shared" si="53"/>
        <v>0</v>
      </c>
    </row>
    <row r="1708" spans="3:10" x14ac:dyDescent="0.25">
      <c r="C1708" s="4"/>
      <c r="E1708" s="4"/>
      <c r="H1708" s="31" t="str">
        <f t="shared" si="52"/>
        <v/>
      </c>
      <c r="J1708" t="b">
        <f t="shared" si="53"/>
        <v>0</v>
      </c>
    </row>
    <row r="1709" spans="3:10" x14ac:dyDescent="0.25">
      <c r="C1709" s="4"/>
      <c r="E1709" s="4"/>
      <c r="H1709" s="31" t="str">
        <f t="shared" si="52"/>
        <v/>
      </c>
      <c r="J1709" t="b">
        <f t="shared" si="53"/>
        <v>0</v>
      </c>
    </row>
    <row r="1710" spans="3:10" x14ac:dyDescent="0.25">
      <c r="C1710" s="4"/>
      <c r="E1710" s="4"/>
      <c r="H1710" s="31" t="str">
        <f t="shared" si="52"/>
        <v/>
      </c>
      <c r="J1710" t="b">
        <f t="shared" si="53"/>
        <v>0</v>
      </c>
    </row>
    <row r="1711" spans="3:10" x14ac:dyDescent="0.25">
      <c r="C1711" s="4"/>
      <c r="E1711" s="4"/>
      <c r="H1711" s="31" t="str">
        <f t="shared" si="52"/>
        <v/>
      </c>
      <c r="J1711" t="b">
        <f t="shared" si="53"/>
        <v>0</v>
      </c>
    </row>
    <row r="1712" spans="3:10" x14ac:dyDescent="0.25">
      <c r="C1712" s="4"/>
      <c r="E1712" s="4"/>
      <c r="H1712" s="31" t="str">
        <f t="shared" si="52"/>
        <v/>
      </c>
      <c r="J1712" t="b">
        <f t="shared" si="53"/>
        <v>0</v>
      </c>
    </row>
    <row r="1713" spans="3:10" x14ac:dyDescent="0.25">
      <c r="C1713" s="4"/>
      <c r="E1713" s="4"/>
      <c r="H1713" s="31" t="str">
        <f t="shared" si="52"/>
        <v/>
      </c>
      <c r="J1713" t="b">
        <f t="shared" si="53"/>
        <v>0</v>
      </c>
    </row>
    <row r="1714" spans="3:10" x14ac:dyDescent="0.25">
      <c r="C1714" s="4"/>
      <c r="E1714" s="4"/>
      <c r="H1714" s="31" t="str">
        <f t="shared" si="52"/>
        <v/>
      </c>
      <c r="J1714" t="b">
        <f t="shared" si="53"/>
        <v>0</v>
      </c>
    </row>
    <row r="1715" spans="3:10" x14ac:dyDescent="0.25">
      <c r="C1715" s="4"/>
      <c r="E1715" s="4"/>
      <c r="H1715" s="31" t="str">
        <f t="shared" si="52"/>
        <v/>
      </c>
      <c r="J1715" t="b">
        <f t="shared" si="53"/>
        <v>0</v>
      </c>
    </row>
    <row r="1716" spans="3:10" x14ac:dyDescent="0.25">
      <c r="C1716" s="4"/>
      <c r="E1716" s="4"/>
      <c r="H1716" s="31" t="str">
        <f t="shared" si="52"/>
        <v/>
      </c>
      <c r="J1716" t="b">
        <f t="shared" si="53"/>
        <v>0</v>
      </c>
    </row>
    <row r="1717" spans="3:10" x14ac:dyDescent="0.25">
      <c r="C1717" s="4"/>
      <c r="E1717" s="4"/>
      <c r="H1717" s="31" t="str">
        <f t="shared" si="52"/>
        <v/>
      </c>
      <c r="J1717" t="b">
        <f t="shared" si="53"/>
        <v>0</v>
      </c>
    </row>
    <row r="1718" spans="3:10" x14ac:dyDescent="0.25">
      <c r="C1718" s="4"/>
      <c r="E1718" s="4"/>
      <c r="H1718" s="31" t="str">
        <f t="shared" si="52"/>
        <v/>
      </c>
      <c r="J1718" t="b">
        <f t="shared" si="53"/>
        <v>0</v>
      </c>
    </row>
    <row r="1719" spans="3:10" x14ac:dyDescent="0.25">
      <c r="C1719" s="4"/>
      <c r="E1719" s="4"/>
      <c r="H1719" s="31" t="str">
        <f t="shared" si="52"/>
        <v/>
      </c>
      <c r="J1719" t="b">
        <f t="shared" si="53"/>
        <v>0</v>
      </c>
    </row>
    <row r="1720" spans="3:10" x14ac:dyDescent="0.25">
      <c r="C1720" s="4"/>
      <c r="E1720" s="4"/>
      <c r="H1720" s="31" t="str">
        <f t="shared" si="52"/>
        <v/>
      </c>
      <c r="J1720" t="b">
        <f t="shared" si="53"/>
        <v>0</v>
      </c>
    </row>
    <row r="1721" spans="3:10" x14ac:dyDescent="0.25">
      <c r="C1721" s="4"/>
      <c r="E1721" s="4"/>
      <c r="H1721" s="31" t="str">
        <f t="shared" si="52"/>
        <v/>
      </c>
      <c r="J1721" t="b">
        <f t="shared" si="53"/>
        <v>0</v>
      </c>
    </row>
    <row r="1722" spans="3:10" x14ac:dyDescent="0.25">
      <c r="C1722" s="4"/>
      <c r="E1722" s="4"/>
      <c r="H1722" s="31" t="str">
        <f t="shared" si="52"/>
        <v/>
      </c>
      <c r="J1722" t="b">
        <f t="shared" si="53"/>
        <v>0</v>
      </c>
    </row>
    <row r="1723" spans="3:10" x14ac:dyDescent="0.25">
      <c r="C1723" s="4"/>
      <c r="E1723" s="4"/>
      <c r="H1723" s="31" t="str">
        <f t="shared" si="52"/>
        <v/>
      </c>
      <c r="J1723" t="b">
        <f t="shared" si="53"/>
        <v>0</v>
      </c>
    </row>
    <row r="1724" spans="3:10" x14ac:dyDescent="0.25">
      <c r="C1724" s="4"/>
      <c r="E1724" s="4"/>
      <c r="H1724" s="31" t="str">
        <f t="shared" si="52"/>
        <v/>
      </c>
      <c r="J1724" t="b">
        <f t="shared" si="53"/>
        <v>0</v>
      </c>
    </row>
    <row r="1725" spans="3:10" x14ac:dyDescent="0.25">
      <c r="C1725" s="4"/>
      <c r="E1725" s="4"/>
      <c r="H1725" s="31" t="str">
        <f t="shared" si="52"/>
        <v/>
      </c>
      <c r="J1725" t="b">
        <f t="shared" si="53"/>
        <v>0</v>
      </c>
    </row>
    <row r="1726" spans="3:10" x14ac:dyDescent="0.25">
      <c r="C1726" s="4"/>
      <c r="E1726" s="4"/>
      <c r="H1726" s="31" t="str">
        <f t="shared" si="52"/>
        <v/>
      </c>
      <c r="J1726" t="b">
        <f t="shared" si="53"/>
        <v>0</v>
      </c>
    </row>
    <row r="1727" spans="3:10" x14ac:dyDescent="0.25">
      <c r="C1727" s="4"/>
      <c r="E1727" s="4"/>
      <c r="H1727" s="31" t="str">
        <f t="shared" si="52"/>
        <v/>
      </c>
      <c r="J1727" t="b">
        <f t="shared" si="53"/>
        <v>0</v>
      </c>
    </row>
    <row r="1728" spans="3:10" x14ac:dyDescent="0.25">
      <c r="C1728" s="4"/>
      <c r="E1728" s="4"/>
      <c r="H1728" s="31" t="str">
        <f t="shared" si="52"/>
        <v/>
      </c>
      <c r="J1728" t="b">
        <f t="shared" si="53"/>
        <v>0</v>
      </c>
    </row>
    <row r="1729" spans="3:10" x14ac:dyDescent="0.25">
      <c r="C1729" s="4"/>
      <c r="E1729" s="4"/>
      <c r="H1729" s="31" t="str">
        <f t="shared" si="52"/>
        <v/>
      </c>
      <c r="J1729" t="b">
        <f t="shared" si="53"/>
        <v>0</v>
      </c>
    </row>
    <row r="1730" spans="3:10" x14ac:dyDescent="0.25">
      <c r="C1730" s="4"/>
      <c r="E1730" s="4"/>
      <c r="H1730" s="31" t="str">
        <f t="shared" si="52"/>
        <v/>
      </c>
      <c r="J1730" t="b">
        <f t="shared" si="53"/>
        <v>0</v>
      </c>
    </row>
    <row r="1731" spans="3:10" x14ac:dyDescent="0.25">
      <c r="C1731" s="4"/>
      <c r="E1731" s="4"/>
      <c r="H1731" s="31" t="str">
        <f t="shared" si="52"/>
        <v/>
      </c>
      <c r="J1731" t="b">
        <f t="shared" si="53"/>
        <v>0</v>
      </c>
    </row>
    <row r="1732" spans="3:10" x14ac:dyDescent="0.25">
      <c r="C1732" s="4"/>
      <c r="E1732" s="4"/>
      <c r="H1732" s="31" t="str">
        <f t="shared" ref="H1732:H1795" si="54">IF($J1732=TRUE,"Il ne peut y avoir des valeurs dans les 2 méthodes",IF($D1732="kg/l",$C1732,IF($D1732="g/l",$C1732/1000,IF($D1732="lb/gal US",$C1732*0.454/3.785,IF($G1732="kg/l",($E1732/100)*$F1732,IF($G1732="g/l",($E1732/100)*$F1732/1000,IF($G1732="lb/gal US",($E1732/100)*$F1732*0.454/3.785,"")))))))</f>
        <v/>
      </c>
      <c r="J1732" t="b">
        <f t="shared" ref="J1732:J1795" si="55">IF(AND(OR($C1732&lt;&gt;"",$D1732&lt;&gt;""),OR($E1732&lt;&gt;"",F1732&lt;&gt;"",G1732&lt;&gt;"")),TRUE,FALSE)</f>
        <v>0</v>
      </c>
    </row>
    <row r="1733" spans="3:10" x14ac:dyDescent="0.25">
      <c r="C1733" s="4"/>
      <c r="E1733" s="4"/>
      <c r="H1733" s="31" t="str">
        <f t="shared" si="54"/>
        <v/>
      </c>
      <c r="J1733" t="b">
        <f t="shared" si="55"/>
        <v>0</v>
      </c>
    </row>
    <row r="1734" spans="3:10" x14ac:dyDescent="0.25">
      <c r="C1734" s="4"/>
      <c r="E1734" s="4"/>
      <c r="H1734" s="31" t="str">
        <f t="shared" si="54"/>
        <v/>
      </c>
      <c r="J1734" t="b">
        <f t="shared" si="55"/>
        <v>0</v>
      </c>
    </row>
    <row r="1735" spans="3:10" x14ac:dyDescent="0.25">
      <c r="C1735" s="4"/>
      <c r="E1735" s="4"/>
      <c r="H1735" s="31" t="str">
        <f t="shared" si="54"/>
        <v/>
      </c>
      <c r="J1735" t="b">
        <f t="shared" si="55"/>
        <v>0</v>
      </c>
    </row>
    <row r="1736" spans="3:10" x14ac:dyDescent="0.25">
      <c r="C1736" s="4"/>
      <c r="E1736" s="4"/>
      <c r="H1736" s="31" t="str">
        <f t="shared" si="54"/>
        <v/>
      </c>
      <c r="J1736" t="b">
        <f t="shared" si="55"/>
        <v>0</v>
      </c>
    </row>
    <row r="1737" spans="3:10" x14ac:dyDescent="0.25">
      <c r="C1737" s="4"/>
      <c r="E1737" s="4"/>
      <c r="H1737" s="31" t="str">
        <f t="shared" si="54"/>
        <v/>
      </c>
      <c r="J1737" t="b">
        <f t="shared" si="55"/>
        <v>0</v>
      </c>
    </row>
    <row r="1738" spans="3:10" x14ac:dyDescent="0.25">
      <c r="C1738" s="4"/>
      <c r="E1738" s="4"/>
      <c r="H1738" s="31" t="str">
        <f t="shared" si="54"/>
        <v/>
      </c>
      <c r="J1738" t="b">
        <f t="shared" si="55"/>
        <v>0</v>
      </c>
    </row>
    <row r="1739" spans="3:10" x14ac:dyDescent="0.25">
      <c r="C1739" s="4"/>
      <c r="E1739" s="4"/>
      <c r="H1739" s="31" t="str">
        <f t="shared" si="54"/>
        <v/>
      </c>
      <c r="J1739" t="b">
        <f t="shared" si="55"/>
        <v>0</v>
      </c>
    </row>
    <row r="1740" spans="3:10" x14ac:dyDescent="0.25">
      <c r="C1740" s="4"/>
      <c r="E1740" s="4"/>
      <c r="H1740" s="31" t="str">
        <f t="shared" si="54"/>
        <v/>
      </c>
      <c r="J1740" t="b">
        <f t="shared" si="55"/>
        <v>0</v>
      </c>
    </row>
    <row r="1741" spans="3:10" x14ac:dyDescent="0.25">
      <c r="C1741" s="4"/>
      <c r="E1741" s="4"/>
      <c r="H1741" s="31" t="str">
        <f t="shared" si="54"/>
        <v/>
      </c>
      <c r="J1741" t="b">
        <f t="shared" si="55"/>
        <v>0</v>
      </c>
    </row>
    <row r="1742" spans="3:10" x14ac:dyDescent="0.25">
      <c r="C1742" s="4"/>
      <c r="E1742" s="4"/>
      <c r="H1742" s="31" t="str">
        <f t="shared" si="54"/>
        <v/>
      </c>
      <c r="J1742" t="b">
        <f t="shared" si="55"/>
        <v>0</v>
      </c>
    </row>
    <row r="1743" spans="3:10" x14ac:dyDescent="0.25">
      <c r="C1743" s="4"/>
      <c r="E1743" s="4"/>
      <c r="H1743" s="31" t="str">
        <f t="shared" si="54"/>
        <v/>
      </c>
      <c r="J1743" t="b">
        <f t="shared" si="55"/>
        <v>0</v>
      </c>
    </row>
    <row r="1744" spans="3:10" x14ac:dyDescent="0.25">
      <c r="C1744" s="4"/>
      <c r="E1744" s="4"/>
      <c r="H1744" s="31" t="str">
        <f t="shared" si="54"/>
        <v/>
      </c>
      <c r="J1744" t="b">
        <f t="shared" si="55"/>
        <v>0</v>
      </c>
    </row>
    <row r="1745" spans="3:10" x14ac:dyDescent="0.25">
      <c r="C1745" s="4"/>
      <c r="E1745" s="4"/>
      <c r="H1745" s="31" t="str">
        <f t="shared" si="54"/>
        <v/>
      </c>
      <c r="J1745" t="b">
        <f t="shared" si="55"/>
        <v>0</v>
      </c>
    </row>
    <row r="1746" spans="3:10" x14ac:dyDescent="0.25">
      <c r="C1746" s="4"/>
      <c r="E1746" s="4"/>
      <c r="H1746" s="31" t="str">
        <f t="shared" si="54"/>
        <v/>
      </c>
      <c r="J1746" t="b">
        <f t="shared" si="55"/>
        <v>0</v>
      </c>
    </row>
    <row r="1747" spans="3:10" x14ac:dyDescent="0.25">
      <c r="C1747" s="4"/>
      <c r="E1747" s="4"/>
      <c r="H1747" s="31" t="str">
        <f t="shared" si="54"/>
        <v/>
      </c>
      <c r="J1747" t="b">
        <f t="shared" si="55"/>
        <v>0</v>
      </c>
    </row>
    <row r="1748" spans="3:10" x14ac:dyDescent="0.25">
      <c r="C1748" s="4"/>
      <c r="E1748" s="4"/>
      <c r="H1748" s="31" t="str">
        <f t="shared" si="54"/>
        <v/>
      </c>
      <c r="J1748" t="b">
        <f t="shared" si="55"/>
        <v>0</v>
      </c>
    </row>
    <row r="1749" spans="3:10" x14ac:dyDescent="0.25">
      <c r="C1749" s="4"/>
      <c r="E1749" s="4"/>
      <c r="H1749" s="31" t="str">
        <f t="shared" si="54"/>
        <v/>
      </c>
      <c r="J1749" t="b">
        <f t="shared" si="55"/>
        <v>0</v>
      </c>
    </row>
    <row r="1750" spans="3:10" x14ac:dyDescent="0.25">
      <c r="C1750" s="4"/>
      <c r="E1750" s="4"/>
      <c r="H1750" s="31" t="str">
        <f t="shared" si="54"/>
        <v/>
      </c>
      <c r="J1750" t="b">
        <f t="shared" si="55"/>
        <v>0</v>
      </c>
    </row>
    <row r="1751" spans="3:10" x14ac:dyDescent="0.25">
      <c r="C1751" s="4"/>
      <c r="E1751" s="4"/>
      <c r="H1751" s="31" t="str">
        <f t="shared" si="54"/>
        <v/>
      </c>
      <c r="J1751" t="b">
        <f t="shared" si="55"/>
        <v>0</v>
      </c>
    </row>
    <row r="1752" spans="3:10" x14ac:dyDescent="0.25">
      <c r="C1752" s="4"/>
      <c r="E1752" s="4"/>
      <c r="H1752" s="31" t="str">
        <f t="shared" si="54"/>
        <v/>
      </c>
      <c r="J1752" t="b">
        <f t="shared" si="55"/>
        <v>0</v>
      </c>
    </row>
    <row r="1753" spans="3:10" x14ac:dyDescent="0.25">
      <c r="C1753" s="4"/>
      <c r="E1753" s="4"/>
      <c r="H1753" s="31" t="str">
        <f t="shared" si="54"/>
        <v/>
      </c>
      <c r="J1753" t="b">
        <f t="shared" si="55"/>
        <v>0</v>
      </c>
    </row>
    <row r="1754" spans="3:10" x14ac:dyDescent="0.25">
      <c r="C1754" s="4"/>
      <c r="E1754" s="4"/>
      <c r="H1754" s="31" t="str">
        <f t="shared" si="54"/>
        <v/>
      </c>
      <c r="J1754" t="b">
        <f t="shared" si="55"/>
        <v>0</v>
      </c>
    </row>
    <row r="1755" spans="3:10" x14ac:dyDescent="0.25">
      <c r="C1755" s="4"/>
      <c r="E1755" s="4"/>
      <c r="H1755" s="31" t="str">
        <f t="shared" si="54"/>
        <v/>
      </c>
      <c r="J1755" t="b">
        <f t="shared" si="55"/>
        <v>0</v>
      </c>
    </row>
    <row r="1756" spans="3:10" x14ac:dyDescent="0.25">
      <c r="C1756" s="4"/>
      <c r="E1756" s="4"/>
      <c r="H1756" s="31" t="str">
        <f t="shared" si="54"/>
        <v/>
      </c>
      <c r="J1756" t="b">
        <f t="shared" si="55"/>
        <v>0</v>
      </c>
    </row>
    <row r="1757" spans="3:10" x14ac:dyDescent="0.25">
      <c r="C1757" s="4"/>
      <c r="E1757" s="4"/>
      <c r="H1757" s="31" t="str">
        <f t="shared" si="54"/>
        <v/>
      </c>
      <c r="J1757" t="b">
        <f t="shared" si="55"/>
        <v>0</v>
      </c>
    </row>
    <row r="1758" spans="3:10" x14ac:dyDescent="0.25">
      <c r="C1758" s="4"/>
      <c r="E1758" s="4"/>
      <c r="H1758" s="31" t="str">
        <f t="shared" si="54"/>
        <v/>
      </c>
      <c r="J1758" t="b">
        <f t="shared" si="55"/>
        <v>0</v>
      </c>
    </row>
    <row r="1759" spans="3:10" x14ac:dyDescent="0.25">
      <c r="C1759" s="4"/>
      <c r="E1759" s="4"/>
      <c r="H1759" s="31" t="str">
        <f t="shared" si="54"/>
        <v/>
      </c>
      <c r="J1759" t="b">
        <f t="shared" si="55"/>
        <v>0</v>
      </c>
    </row>
    <row r="1760" spans="3:10" x14ac:dyDescent="0.25">
      <c r="C1760" s="4"/>
      <c r="E1760" s="4"/>
      <c r="H1760" s="31" t="str">
        <f t="shared" si="54"/>
        <v/>
      </c>
      <c r="J1760" t="b">
        <f t="shared" si="55"/>
        <v>0</v>
      </c>
    </row>
    <row r="1761" spans="3:10" x14ac:dyDescent="0.25">
      <c r="C1761" s="4"/>
      <c r="E1761" s="4"/>
      <c r="H1761" s="31" t="str">
        <f t="shared" si="54"/>
        <v/>
      </c>
      <c r="J1761" t="b">
        <f t="shared" si="55"/>
        <v>0</v>
      </c>
    </row>
    <row r="1762" spans="3:10" x14ac:dyDescent="0.25">
      <c r="C1762" s="4"/>
      <c r="E1762" s="4"/>
      <c r="H1762" s="31" t="str">
        <f t="shared" si="54"/>
        <v/>
      </c>
      <c r="J1762" t="b">
        <f t="shared" si="55"/>
        <v>0</v>
      </c>
    </row>
    <row r="1763" spans="3:10" x14ac:dyDescent="0.25">
      <c r="C1763" s="4"/>
      <c r="E1763" s="4"/>
      <c r="H1763" s="31" t="str">
        <f t="shared" si="54"/>
        <v/>
      </c>
      <c r="J1763" t="b">
        <f t="shared" si="55"/>
        <v>0</v>
      </c>
    </row>
    <row r="1764" spans="3:10" x14ac:dyDescent="0.25">
      <c r="C1764" s="4"/>
      <c r="E1764" s="4"/>
      <c r="H1764" s="31" t="str">
        <f t="shared" si="54"/>
        <v/>
      </c>
      <c r="J1764" t="b">
        <f t="shared" si="55"/>
        <v>0</v>
      </c>
    </row>
    <row r="1765" spans="3:10" x14ac:dyDescent="0.25">
      <c r="C1765" s="4"/>
      <c r="E1765" s="4"/>
      <c r="H1765" s="31" t="str">
        <f t="shared" si="54"/>
        <v/>
      </c>
      <c r="J1765" t="b">
        <f t="shared" si="55"/>
        <v>0</v>
      </c>
    </row>
    <row r="1766" spans="3:10" x14ac:dyDescent="0.25">
      <c r="C1766" s="4"/>
      <c r="E1766" s="4"/>
      <c r="H1766" s="31" t="str">
        <f t="shared" si="54"/>
        <v/>
      </c>
      <c r="J1766" t="b">
        <f t="shared" si="55"/>
        <v>0</v>
      </c>
    </row>
    <row r="1767" spans="3:10" x14ac:dyDescent="0.25">
      <c r="C1767" s="4"/>
      <c r="E1767" s="4"/>
      <c r="H1767" s="31" t="str">
        <f t="shared" si="54"/>
        <v/>
      </c>
      <c r="J1767" t="b">
        <f t="shared" si="55"/>
        <v>0</v>
      </c>
    </row>
    <row r="1768" spans="3:10" x14ac:dyDescent="0.25">
      <c r="C1768" s="4"/>
      <c r="E1768" s="4"/>
      <c r="H1768" s="31" t="str">
        <f t="shared" si="54"/>
        <v/>
      </c>
      <c r="J1768" t="b">
        <f t="shared" si="55"/>
        <v>0</v>
      </c>
    </row>
    <row r="1769" spans="3:10" x14ac:dyDescent="0.25">
      <c r="C1769" s="4"/>
      <c r="E1769" s="4"/>
      <c r="H1769" s="31" t="str">
        <f t="shared" si="54"/>
        <v/>
      </c>
      <c r="J1769" t="b">
        <f t="shared" si="55"/>
        <v>0</v>
      </c>
    </row>
    <row r="1770" spans="3:10" x14ac:dyDescent="0.25">
      <c r="C1770" s="4"/>
      <c r="E1770" s="4"/>
      <c r="H1770" s="31" t="str">
        <f t="shared" si="54"/>
        <v/>
      </c>
      <c r="J1770" t="b">
        <f t="shared" si="55"/>
        <v>0</v>
      </c>
    </row>
    <row r="1771" spans="3:10" x14ac:dyDescent="0.25">
      <c r="C1771" s="4"/>
      <c r="E1771" s="4"/>
      <c r="H1771" s="31" t="str">
        <f t="shared" si="54"/>
        <v/>
      </c>
      <c r="J1771" t="b">
        <f t="shared" si="55"/>
        <v>0</v>
      </c>
    </row>
    <row r="1772" spans="3:10" x14ac:dyDescent="0.25">
      <c r="C1772" s="4"/>
      <c r="E1772" s="4"/>
      <c r="H1772" s="31" t="str">
        <f t="shared" si="54"/>
        <v/>
      </c>
      <c r="J1772" t="b">
        <f t="shared" si="55"/>
        <v>0</v>
      </c>
    </row>
    <row r="1773" spans="3:10" x14ac:dyDescent="0.25">
      <c r="C1773" s="4"/>
      <c r="E1773" s="4"/>
      <c r="H1773" s="31" t="str">
        <f t="shared" si="54"/>
        <v/>
      </c>
      <c r="J1773" t="b">
        <f t="shared" si="55"/>
        <v>0</v>
      </c>
    </row>
    <row r="1774" spans="3:10" x14ac:dyDescent="0.25">
      <c r="C1774" s="4"/>
      <c r="E1774" s="4"/>
      <c r="H1774" s="31" t="str">
        <f t="shared" si="54"/>
        <v/>
      </c>
      <c r="J1774" t="b">
        <f t="shared" si="55"/>
        <v>0</v>
      </c>
    </row>
    <row r="1775" spans="3:10" x14ac:dyDescent="0.25">
      <c r="C1775" s="4"/>
      <c r="E1775" s="4"/>
      <c r="H1775" s="31" t="str">
        <f t="shared" si="54"/>
        <v/>
      </c>
      <c r="J1775" t="b">
        <f t="shared" si="55"/>
        <v>0</v>
      </c>
    </row>
    <row r="1776" spans="3:10" x14ac:dyDescent="0.25">
      <c r="C1776" s="4"/>
      <c r="E1776" s="4"/>
      <c r="H1776" s="31" t="str">
        <f t="shared" si="54"/>
        <v/>
      </c>
      <c r="J1776" t="b">
        <f t="shared" si="55"/>
        <v>0</v>
      </c>
    </row>
    <row r="1777" spans="3:10" x14ac:dyDescent="0.25">
      <c r="C1777" s="4"/>
      <c r="E1777" s="4"/>
      <c r="H1777" s="31" t="str">
        <f t="shared" si="54"/>
        <v/>
      </c>
      <c r="J1777" t="b">
        <f t="shared" si="55"/>
        <v>0</v>
      </c>
    </row>
    <row r="1778" spans="3:10" x14ac:dyDescent="0.25">
      <c r="C1778" s="4"/>
      <c r="E1778" s="4"/>
      <c r="H1778" s="31" t="str">
        <f t="shared" si="54"/>
        <v/>
      </c>
      <c r="J1778" t="b">
        <f t="shared" si="55"/>
        <v>0</v>
      </c>
    </row>
    <row r="1779" spans="3:10" x14ac:dyDescent="0.25">
      <c r="C1779" s="4"/>
      <c r="E1779" s="4"/>
      <c r="H1779" s="31" t="str">
        <f t="shared" si="54"/>
        <v/>
      </c>
      <c r="J1779" t="b">
        <f t="shared" si="55"/>
        <v>0</v>
      </c>
    </row>
    <row r="1780" spans="3:10" x14ac:dyDescent="0.25">
      <c r="C1780" s="4"/>
      <c r="E1780" s="4"/>
      <c r="H1780" s="31" t="str">
        <f t="shared" si="54"/>
        <v/>
      </c>
      <c r="J1780" t="b">
        <f t="shared" si="55"/>
        <v>0</v>
      </c>
    </row>
    <row r="1781" spans="3:10" x14ac:dyDescent="0.25">
      <c r="C1781" s="4"/>
      <c r="E1781" s="4"/>
      <c r="H1781" s="31" t="str">
        <f t="shared" si="54"/>
        <v/>
      </c>
      <c r="J1781" t="b">
        <f t="shared" si="55"/>
        <v>0</v>
      </c>
    </row>
    <row r="1782" spans="3:10" x14ac:dyDescent="0.25">
      <c r="C1782" s="4"/>
      <c r="E1782" s="4"/>
      <c r="H1782" s="31" t="str">
        <f t="shared" si="54"/>
        <v/>
      </c>
      <c r="J1782" t="b">
        <f t="shared" si="55"/>
        <v>0</v>
      </c>
    </row>
    <row r="1783" spans="3:10" x14ac:dyDescent="0.25">
      <c r="C1783" s="4"/>
      <c r="E1783" s="4"/>
      <c r="H1783" s="31" t="str">
        <f t="shared" si="54"/>
        <v/>
      </c>
      <c r="J1783" t="b">
        <f t="shared" si="55"/>
        <v>0</v>
      </c>
    </row>
    <row r="1784" spans="3:10" x14ac:dyDescent="0.25">
      <c r="C1784" s="4"/>
      <c r="E1784" s="4"/>
      <c r="H1784" s="31" t="str">
        <f t="shared" si="54"/>
        <v/>
      </c>
      <c r="J1784" t="b">
        <f t="shared" si="55"/>
        <v>0</v>
      </c>
    </row>
    <row r="1785" spans="3:10" x14ac:dyDescent="0.25">
      <c r="C1785" s="4"/>
      <c r="E1785" s="4"/>
      <c r="H1785" s="31" t="str">
        <f t="shared" si="54"/>
        <v/>
      </c>
      <c r="J1785" t="b">
        <f t="shared" si="55"/>
        <v>0</v>
      </c>
    </row>
    <row r="1786" spans="3:10" x14ac:dyDescent="0.25">
      <c r="C1786" s="4"/>
      <c r="E1786" s="4"/>
      <c r="H1786" s="31" t="str">
        <f t="shared" si="54"/>
        <v/>
      </c>
      <c r="J1786" t="b">
        <f t="shared" si="55"/>
        <v>0</v>
      </c>
    </row>
    <row r="1787" spans="3:10" x14ac:dyDescent="0.25">
      <c r="C1787" s="4"/>
      <c r="E1787" s="4"/>
      <c r="H1787" s="31" t="str">
        <f t="shared" si="54"/>
        <v/>
      </c>
      <c r="J1787" t="b">
        <f t="shared" si="55"/>
        <v>0</v>
      </c>
    </row>
    <row r="1788" spans="3:10" x14ac:dyDescent="0.25">
      <c r="C1788" s="4"/>
      <c r="E1788" s="4"/>
      <c r="H1788" s="31" t="str">
        <f t="shared" si="54"/>
        <v/>
      </c>
      <c r="J1788" t="b">
        <f t="shared" si="55"/>
        <v>0</v>
      </c>
    </row>
    <row r="1789" spans="3:10" x14ac:dyDescent="0.25">
      <c r="C1789" s="4"/>
      <c r="E1789" s="4"/>
      <c r="H1789" s="31" t="str">
        <f t="shared" si="54"/>
        <v/>
      </c>
      <c r="J1789" t="b">
        <f t="shared" si="55"/>
        <v>0</v>
      </c>
    </row>
    <row r="1790" spans="3:10" x14ac:dyDescent="0.25">
      <c r="C1790" s="4"/>
      <c r="E1790" s="4"/>
      <c r="H1790" s="31" t="str">
        <f t="shared" si="54"/>
        <v/>
      </c>
      <c r="J1790" t="b">
        <f t="shared" si="55"/>
        <v>0</v>
      </c>
    </row>
    <row r="1791" spans="3:10" x14ac:dyDescent="0.25">
      <c r="C1791" s="4"/>
      <c r="E1791" s="4"/>
      <c r="H1791" s="31" t="str">
        <f t="shared" si="54"/>
        <v/>
      </c>
      <c r="J1791" t="b">
        <f t="shared" si="55"/>
        <v>0</v>
      </c>
    </row>
    <row r="1792" spans="3:10" x14ac:dyDescent="0.25">
      <c r="C1792" s="4"/>
      <c r="E1792" s="4"/>
      <c r="H1792" s="31" t="str">
        <f t="shared" si="54"/>
        <v/>
      </c>
      <c r="J1792" t="b">
        <f t="shared" si="55"/>
        <v>0</v>
      </c>
    </row>
    <row r="1793" spans="3:10" x14ac:dyDescent="0.25">
      <c r="C1793" s="4"/>
      <c r="E1793" s="4"/>
      <c r="H1793" s="31" t="str">
        <f t="shared" si="54"/>
        <v/>
      </c>
      <c r="J1793" t="b">
        <f t="shared" si="55"/>
        <v>0</v>
      </c>
    </row>
    <row r="1794" spans="3:10" x14ac:dyDescent="0.25">
      <c r="C1794" s="4"/>
      <c r="E1794" s="4"/>
      <c r="H1794" s="31" t="str">
        <f t="shared" si="54"/>
        <v/>
      </c>
      <c r="J1794" t="b">
        <f t="shared" si="55"/>
        <v>0</v>
      </c>
    </row>
    <row r="1795" spans="3:10" x14ac:dyDescent="0.25">
      <c r="C1795" s="4"/>
      <c r="E1795" s="4"/>
      <c r="H1795" s="31" t="str">
        <f t="shared" si="54"/>
        <v/>
      </c>
      <c r="J1795" t="b">
        <f t="shared" si="55"/>
        <v>0</v>
      </c>
    </row>
    <row r="1796" spans="3:10" x14ac:dyDescent="0.25">
      <c r="C1796" s="4"/>
      <c r="E1796" s="4"/>
      <c r="H1796" s="31" t="str">
        <f t="shared" ref="H1796:H1859" si="56">IF($J1796=TRUE,"Il ne peut y avoir des valeurs dans les 2 méthodes",IF($D1796="kg/l",$C1796,IF($D1796="g/l",$C1796/1000,IF($D1796="lb/gal US",$C1796*0.454/3.785,IF($G1796="kg/l",($E1796/100)*$F1796,IF($G1796="g/l",($E1796/100)*$F1796/1000,IF($G1796="lb/gal US",($E1796/100)*$F1796*0.454/3.785,"")))))))</f>
        <v/>
      </c>
      <c r="J1796" t="b">
        <f t="shared" ref="J1796:J1859" si="57">IF(AND(OR($C1796&lt;&gt;"",$D1796&lt;&gt;""),OR($E1796&lt;&gt;"",F1796&lt;&gt;"",G1796&lt;&gt;"")),TRUE,FALSE)</f>
        <v>0</v>
      </c>
    </row>
    <row r="1797" spans="3:10" x14ac:dyDescent="0.25">
      <c r="C1797" s="4"/>
      <c r="E1797" s="4"/>
      <c r="H1797" s="31" t="str">
        <f t="shared" si="56"/>
        <v/>
      </c>
      <c r="J1797" t="b">
        <f t="shared" si="57"/>
        <v>0</v>
      </c>
    </row>
    <row r="1798" spans="3:10" x14ac:dyDescent="0.25">
      <c r="C1798" s="4"/>
      <c r="E1798" s="4"/>
      <c r="H1798" s="31" t="str">
        <f t="shared" si="56"/>
        <v/>
      </c>
      <c r="J1798" t="b">
        <f t="shared" si="57"/>
        <v>0</v>
      </c>
    </row>
    <row r="1799" spans="3:10" x14ac:dyDescent="0.25">
      <c r="C1799" s="4"/>
      <c r="E1799" s="4"/>
      <c r="H1799" s="31" t="str">
        <f t="shared" si="56"/>
        <v/>
      </c>
      <c r="J1799" t="b">
        <f t="shared" si="57"/>
        <v>0</v>
      </c>
    </row>
    <row r="1800" spans="3:10" x14ac:dyDescent="0.25">
      <c r="C1800" s="4"/>
      <c r="E1800" s="4"/>
      <c r="H1800" s="31" t="str">
        <f t="shared" si="56"/>
        <v/>
      </c>
      <c r="J1800" t="b">
        <f t="shared" si="57"/>
        <v>0</v>
      </c>
    </row>
    <row r="1801" spans="3:10" x14ac:dyDescent="0.25">
      <c r="C1801" s="4"/>
      <c r="E1801" s="4"/>
      <c r="H1801" s="31" t="str">
        <f t="shared" si="56"/>
        <v/>
      </c>
      <c r="J1801" t="b">
        <f t="shared" si="57"/>
        <v>0</v>
      </c>
    </row>
    <row r="1802" spans="3:10" x14ac:dyDescent="0.25">
      <c r="C1802" s="4"/>
      <c r="E1802" s="4"/>
      <c r="H1802" s="31" t="str">
        <f t="shared" si="56"/>
        <v/>
      </c>
      <c r="J1802" t="b">
        <f t="shared" si="57"/>
        <v>0</v>
      </c>
    </row>
    <row r="1803" spans="3:10" x14ac:dyDescent="0.25">
      <c r="C1803" s="4"/>
      <c r="E1803" s="4"/>
      <c r="H1803" s="31" t="str">
        <f t="shared" si="56"/>
        <v/>
      </c>
      <c r="J1803" t="b">
        <f t="shared" si="57"/>
        <v>0</v>
      </c>
    </row>
    <row r="1804" spans="3:10" x14ac:dyDescent="0.25">
      <c r="C1804" s="4"/>
      <c r="E1804" s="4"/>
      <c r="H1804" s="31" t="str">
        <f t="shared" si="56"/>
        <v/>
      </c>
      <c r="J1804" t="b">
        <f t="shared" si="57"/>
        <v>0</v>
      </c>
    </row>
    <row r="1805" spans="3:10" x14ac:dyDescent="0.25">
      <c r="C1805" s="4"/>
      <c r="E1805" s="4"/>
      <c r="H1805" s="31" t="str">
        <f t="shared" si="56"/>
        <v/>
      </c>
      <c r="J1805" t="b">
        <f t="shared" si="57"/>
        <v>0</v>
      </c>
    </row>
    <row r="1806" spans="3:10" x14ac:dyDescent="0.25">
      <c r="C1806" s="4"/>
      <c r="E1806" s="4"/>
      <c r="H1806" s="31" t="str">
        <f t="shared" si="56"/>
        <v/>
      </c>
      <c r="J1806" t="b">
        <f t="shared" si="57"/>
        <v>0</v>
      </c>
    </row>
    <row r="1807" spans="3:10" x14ac:dyDescent="0.25">
      <c r="C1807" s="4"/>
      <c r="E1807" s="4"/>
      <c r="H1807" s="31" t="str">
        <f t="shared" si="56"/>
        <v/>
      </c>
      <c r="J1807" t="b">
        <f t="shared" si="57"/>
        <v>0</v>
      </c>
    </row>
    <row r="1808" spans="3:10" x14ac:dyDescent="0.25">
      <c r="C1808" s="4"/>
      <c r="E1808" s="4"/>
      <c r="H1808" s="31" t="str">
        <f t="shared" si="56"/>
        <v/>
      </c>
      <c r="J1808" t="b">
        <f t="shared" si="57"/>
        <v>0</v>
      </c>
    </row>
    <row r="1809" spans="3:10" x14ac:dyDescent="0.25">
      <c r="C1809" s="4"/>
      <c r="E1809" s="4"/>
      <c r="H1809" s="31" t="str">
        <f t="shared" si="56"/>
        <v/>
      </c>
      <c r="J1809" t="b">
        <f t="shared" si="57"/>
        <v>0</v>
      </c>
    </row>
    <row r="1810" spans="3:10" x14ac:dyDescent="0.25">
      <c r="C1810" s="4"/>
      <c r="E1810" s="4"/>
      <c r="H1810" s="31" t="str">
        <f t="shared" si="56"/>
        <v/>
      </c>
      <c r="J1810" t="b">
        <f t="shared" si="57"/>
        <v>0</v>
      </c>
    </row>
    <row r="1811" spans="3:10" x14ac:dyDescent="0.25">
      <c r="C1811" s="4"/>
      <c r="E1811" s="4"/>
      <c r="H1811" s="31" t="str">
        <f t="shared" si="56"/>
        <v/>
      </c>
      <c r="J1811" t="b">
        <f t="shared" si="57"/>
        <v>0</v>
      </c>
    </row>
    <row r="1812" spans="3:10" x14ac:dyDescent="0.25">
      <c r="C1812" s="4"/>
      <c r="E1812" s="4"/>
      <c r="H1812" s="31" t="str">
        <f t="shared" si="56"/>
        <v/>
      </c>
      <c r="J1812" t="b">
        <f t="shared" si="57"/>
        <v>0</v>
      </c>
    </row>
    <row r="1813" spans="3:10" x14ac:dyDescent="0.25">
      <c r="C1813" s="4"/>
      <c r="E1813" s="4"/>
      <c r="H1813" s="31" t="str">
        <f t="shared" si="56"/>
        <v/>
      </c>
      <c r="J1813" t="b">
        <f t="shared" si="57"/>
        <v>0</v>
      </c>
    </row>
    <row r="1814" spans="3:10" x14ac:dyDescent="0.25">
      <c r="C1814" s="4"/>
      <c r="E1814" s="4"/>
      <c r="H1814" s="31" t="str">
        <f t="shared" si="56"/>
        <v/>
      </c>
      <c r="J1814" t="b">
        <f t="shared" si="57"/>
        <v>0</v>
      </c>
    </row>
    <row r="1815" spans="3:10" x14ac:dyDescent="0.25">
      <c r="C1815" s="4"/>
      <c r="E1815" s="4"/>
      <c r="H1815" s="31" t="str">
        <f t="shared" si="56"/>
        <v/>
      </c>
      <c r="J1815" t="b">
        <f t="shared" si="57"/>
        <v>0</v>
      </c>
    </row>
    <row r="1816" spans="3:10" x14ac:dyDescent="0.25">
      <c r="C1816" s="4"/>
      <c r="E1816" s="4"/>
      <c r="H1816" s="31" t="str">
        <f t="shared" si="56"/>
        <v/>
      </c>
      <c r="J1816" t="b">
        <f t="shared" si="57"/>
        <v>0</v>
      </c>
    </row>
    <row r="1817" spans="3:10" x14ac:dyDescent="0.25">
      <c r="C1817" s="4"/>
      <c r="E1817" s="4"/>
      <c r="H1817" s="31" t="str">
        <f t="shared" si="56"/>
        <v/>
      </c>
      <c r="J1817" t="b">
        <f t="shared" si="57"/>
        <v>0</v>
      </c>
    </row>
    <row r="1818" spans="3:10" x14ac:dyDescent="0.25">
      <c r="C1818" s="4"/>
      <c r="E1818" s="4"/>
      <c r="H1818" s="31" t="str">
        <f t="shared" si="56"/>
        <v/>
      </c>
      <c r="J1818" t="b">
        <f t="shared" si="57"/>
        <v>0</v>
      </c>
    </row>
    <row r="1819" spans="3:10" x14ac:dyDescent="0.25">
      <c r="C1819" s="4"/>
      <c r="E1819" s="4"/>
      <c r="H1819" s="31" t="str">
        <f t="shared" si="56"/>
        <v/>
      </c>
      <c r="J1819" t="b">
        <f t="shared" si="57"/>
        <v>0</v>
      </c>
    </row>
    <row r="1820" spans="3:10" x14ac:dyDescent="0.25">
      <c r="C1820" s="4"/>
      <c r="E1820" s="4"/>
      <c r="H1820" s="31" t="str">
        <f t="shared" si="56"/>
        <v/>
      </c>
      <c r="J1820" t="b">
        <f t="shared" si="57"/>
        <v>0</v>
      </c>
    </row>
    <row r="1821" spans="3:10" x14ac:dyDescent="0.25">
      <c r="C1821" s="4"/>
      <c r="E1821" s="4"/>
      <c r="H1821" s="31" t="str">
        <f t="shared" si="56"/>
        <v/>
      </c>
      <c r="J1821" t="b">
        <f t="shared" si="57"/>
        <v>0</v>
      </c>
    </row>
    <row r="1822" spans="3:10" x14ac:dyDescent="0.25">
      <c r="C1822" s="4"/>
      <c r="E1822" s="4"/>
      <c r="H1822" s="31" t="str">
        <f t="shared" si="56"/>
        <v/>
      </c>
      <c r="J1822" t="b">
        <f t="shared" si="57"/>
        <v>0</v>
      </c>
    </row>
    <row r="1823" spans="3:10" x14ac:dyDescent="0.25">
      <c r="C1823" s="4"/>
      <c r="E1823" s="4"/>
      <c r="H1823" s="31" t="str">
        <f t="shared" si="56"/>
        <v/>
      </c>
      <c r="J1823" t="b">
        <f t="shared" si="57"/>
        <v>0</v>
      </c>
    </row>
    <row r="1824" spans="3:10" x14ac:dyDescent="0.25">
      <c r="C1824" s="4"/>
      <c r="E1824" s="4"/>
      <c r="H1824" s="31" t="str">
        <f t="shared" si="56"/>
        <v/>
      </c>
      <c r="J1824" t="b">
        <f t="shared" si="57"/>
        <v>0</v>
      </c>
    </row>
    <row r="1825" spans="3:10" x14ac:dyDescent="0.25">
      <c r="C1825" s="4"/>
      <c r="E1825" s="4"/>
      <c r="H1825" s="31" t="str">
        <f t="shared" si="56"/>
        <v/>
      </c>
      <c r="J1825" t="b">
        <f t="shared" si="57"/>
        <v>0</v>
      </c>
    </row>
    <row r="1826" spans="3:10" x14ac:dyDescent="0.25">
      <c r="C1826" s="4"/>
      <c r="E1826" s="4"/>
      <c r="H1826" s="31" t="str">
        <f t="shared" si="56"/>
        <v/>
      </c>
      <c r="J1826" t="b">
        <f t="shared" si="57"/>
        <v>0</v>
      </c>
    </row>
    <row r="1827" spans="3:10" x14ac:dyDescent="0.25">
      <c r="C1827" s="4"/>
      <c r="E1827" s="4"/>
      <c r="H1827" s="31" t="str">
        <f t="shared" si="56"/>
        <v/>
      </c>
      <c r="J1827" t="b">
        <f t="shared" si="57"/>
        <v>0</v>
      </c>
    </row>
    <row r="1828" spans="3:10" x14ac:dyDescent="0.25">
      <c r="C1828" s="4"/>
      <c r="E1828" s="4"/>
      <c r="H1828" s="31" t="str">
        <f t="shared" si="56"/>
        <v/>
      </c>
      <c r="J1828" t="b">
        <f t="shared" si="57"/>
        <v>0</v>
      </c>
    </row>
    <row r="1829" spans="3:10" x14ac:dyDescent="0.25">
      <c r="C1829" s="4"/>
      <c r="E1829" s="4"/>
      <c r="H1829" s="31" t="str">
        <f t="shared" si="56"/>
        <v/>
      </c>
      <c r="J1829" t="b">
        <f t="shared" si="57"/>
        <v>0</v>
      </c>
    </row>
    <row r="1830" spans="3:10" x14ac:dyDescent="0.25">
      <c r="C1830" s="4"/>
      <c r="E1830" s="4"/>
      <c r="H1830" s="31" t="str">
        <f t="shared" si="56"/>
        <v/>
      </c>
      <c r="J1830" t="b">
        <f t="shared" si="57"/>
        <v>0</v>
      </c>
    </row>
    <row r="1831" spans="3:10" x14ac:dyDescent="0.25">
      <c r="C1831" s="4"/>
      <c r="E1831" s="4"/>
      <c r="H1831" s="31" t="str">
        <f t="shared" si="56"/>
        <v/>
      </c>
      <c r="J1831" t="b">
        <f t="shared" si="57"/>
        <v>0</v>
      </c>
    </row>
    <row r="1832" spans="3:10" x14ac:dyDescent="0.25">
      <c r="C1832" s="4"/>
      <c r="E1832" s="4"/>
      <c r="H1832" s="31" t="str">
        <f t="shared" si="56"/>
        <v/>
      </c>
      <c r="J1832" t="b">
        <f t="shared" si="57"/>
        <v>0</v>
      </c>
    </row>
    <row r="1833" spans="3:10" x14ac:dyDescent="0.25">
      <c r="C1833" s="4"/>
      <c r="E1833" s="4"/>
      <c r="H1833" s="31" t="str">
        <f t="shared" si="56"/>
        <v/>
      </c>
      <c r="J1833" t="b">
        <f t="shared" si="57"/>
        <v>0</v>
      </c>
    </row>
    <row r="1834" spans="3:10" x14ac:dyDescent="0.25">
      <c r="C1834" s="4"/>
      <c r="E1834" s="4"/>
      <c r="H1834" s="31" t="str">
        <f t="shared" si="56"/>
        <v/>
      </c>
      <c r="J1834" t="b">
        <f t="shared" si="57"/>
        <v>0</v>
      </c>
    </row>
    <row r="1835" spans="3:10" x14ac:dyDescent="0.25">
      <c r="C1835" s="4"/>
      <c r="E1835" s="4"/>
      <c r="H1835" s="31" t="str">
        <f t="shared" si="56"/>
        <v/>
      </c>
      <c r="J1835" t="b">
        <f t="shared" si="57"/>
        <v>0</v>
      </c>
    </row>
    <row r="1836" spans="3:10" x14ac:dyDescent="0.25">
      <c r="C1836" s="4"/>
      <c r="E1836" s="4"/>
      <c r="H1836" s="31" t="str">
        <f t="shared" si="56"/>
        <v/>
      </c>
      <c r="J1836" t="b">
        <f t="shared" si="57"/>
        <v>0</v>
      </c>
    </row>
    <row r="1837" spans="3:10" x14ac:dyDescent="0.25">
      <c r="C1837" s="4"/>
      <c r="E1837" s="4"/>
      <c r="H1837" s="31" t="str">
        <f t="shared" si="56"/>
        <v/>
      </c>
      <c r="J1837" t="b">
        <f t="shared" si="57"/>
        <v>0</v>
      </c>
    </row>
    <row r="1838" spans="3:10" x14ac:dyDescent="0.25">
      <c r="C1838" s="4"/>
      <c r="E1838" s="4"/>
      <c r="H1838" s="31" t="str">
        <f t="shared" si="56"/>
        <v/>
      </c>
      <c r="J1838" t="b">
        <f t="shared" si="57"/>
        <v>0</v>
      </c>
    </row>
    <row r="1839" spans="3:10" x14ac:dyDescent="0.25">
      <c r="C1839" s="4"/>
      <c r="E1839" s="4"/>
      <c r="H1839" s="31" t="str">
        <f t="shared" si="56"/>
        <v/>
      </c>
      <c r="J1839" t="b">
        <f t="shared" si="57"/>
        <v>0</v>
      </c>
    </row>
    <row r="1840" spans="3:10" x14ac:dyDescent="0.25">
      <c r="C1840" s="4"/>
      <c r="E1840" s="4"/>
      <c r="H1840" s="31" t="str">
        <f t="shared" si="56"/>
        <v/>
      </c>
      <c r="J1840" t="b">
        <f t="shared" si="57"/>
        <v>0</v>
      </c>
    </row>
    <row r="1841" spans="3:10" x14ac:dyDescent="0.25">
      <c r="C1841" s="4"/>
      <c r="E1841" s="4"/>
      <c r="H1841" s="31" t="str">
        <f t="shared" si="56"/>
        <v/>
      </c>
      <c r="J1841" t="b">
        <f t="shared" si="57"/>
        <v>0</v>
      </c>
    </row>
    <row r="1842" spans="3:10" x14ac:dyDescent="0.25">
      <c r="C1842" s="4"/>
      <c r="E1842" s="4"/>
      <c r="H1842" s="31" t="str">
        <f t="shared" si="56"/>
        <v/>
      </c>
      <c r="J1842" t="b">
        <f t="shared" si="57"/>
        <v>0</v>
      </c>
    </row>
    <row r="1843" spans="3:10" x14ac:dyDescent="0.25">
      <c r="C1843" s="4"/>
      <c r="E1843" s="4"/>
      <c r="H1843" s="31" t="str">
        <f t="shared" si="56"/>
        <v/>
      </c>
      <c r="J1843" t="b">
        <f t="shared" si="57"/>
        <v>0</v>
      </c>
    </row>
    <row r="1844" spans="3:10" x14ac:dyDescent="0.25">
      <c r="C1844" s="4"/>
      <c r="E1844" s="4"/>
      <c r="H1844" s="31" t="str">
        <f t="shared" si="56"/>
        <v/>
      </c>
      <c r="J1844" t="b">
        <f t="shared" si="57"/>
        <v>0</v>
      </c>
    </row>
    <row r="1845" spans="3:10" x14ac:dyDescent="0.25">
      <c r="C1845" s="4"/>
      <c r="E1845" s="4"/>
      <c r="H1845" s="31" t="str">
        <f t="shared" si="56"/>
        <v/>
      </c>
      <c r="J1845" t="b">
        <f t="shared" si="57"/>
        <v>0</v>
      </c>
    </row>
    <row r="1846" spans="3:10" x14ac:dyDescent="0.25">
      <c r="C1846" s="4"/>
      <c r="E1846" s="4"/>
      <c r="H1846" s="31" t="str">
        <f t="shared" si="56"/>
        <v/>
      </c>
      <c r="J1846" t="b">
        <f t="shared" si="57"/>
        <v>0</v>
      </c>
    </row>
    <row r="1847" spans="3:10" x14ac:dyDescent="0.25">
      <c r="C1847" s="4"/>
      <c r="E1847" s="4"/>
      <c r="H1847" s="31" t="str">
        <f t="shared" si="56"/>
        <v/>
      </c>
      <c r="J1847" t="b">
        <f t="shared" si="57"/>
        <v>0</v>
      </c>
    </row>
    <row r="1848" spans="3:10" x14ac:dyDescent="0.25">
      <c r="C1848" s="4"/>
      <c r="E1848" s="4"/>
      <c r="H1848" s="31" t="str">
        <f t="shared" si="56"/>
        <v/>
      </c>
      <c r="J1848" t="b">
        <f t="shared" si="57"/>
        <v>0</v>
      </c>
    </row>
    <row r="1849" spans="3:10" x14ac:dyDescent="0.25">
      <c r="C1849" s="4"/>
      <c r="E1849" s="4"/>
      <c r="H1849" s="31" t="str">
        <f t="shared" si="56"/>
        <v/>
      </c>
      <c r="J1849" t="b">
        <f t="shared" si="57"/>
        <v>0</v>
      </c>
    </row>
    <row r="1850" spans="3:10" x14ac:dyDescent="0.25">
      <c r="C1850" s="4"/>
      <c r="E1850" s="4"/>
      <c r="H1850" s="31" t="str">
        <f t="shared" si="56"/>
        <v/>
      </c>
      <c r="J1850" t="b">
        <f t="shared" si="57"/>
        <v>0</v>
      </c>
    </row>
    <row r="1851" spans="3:10" x14ac:dyDescent="0.25">
      <c r="C1851" s="4"/>
      <c r="E1851" s="4"/>
      <c r="H1851" s="31" t="str">
        <f t="shared" si="56"/>
        <v/>
      </c>
      <c r="J1851" t="b">
        <f t="shared" si="57"/>
        <v>0</v>
      </c>
    </row>
    <row r="1852" spans="3:10" x14ac:dyDescent="0.25">
      <c r="C1852" s="4"/>
      <c r="E1852" s="4"/>
      <c r="H1852" s="31" t="str">
        <f t="shared" si="56"/>
        <v/>
      </c>
      <c r="J1852" t="b">
        <f t="shared" si="57"/>
        <v>0</v>
      </c>
    </row>
    <row r="1853" spans="3:10" x14ac:dyDescent="0.25">
      <c r="C1853" s="4"/>
      <c r="E1853" s="4"/>
      <c r="H1853" s="31" t="str">
        <f t="shared" si="56"/>
        <v/>
      </c>
      <c r="J1853" t="b">
        <f t="shared" si="57"/>
        <v>0</v>
      </c>
    </row>
    <row r="1854" spans="3:10" x14ac:dyDescent="0.25">
      <c r="C1854" s="4"/>
      <c r="E1854" s="4"/>
      <c r="H1854" s="31" t="str">
        <f t="shared" si="56"/>
        <v/>
      </c>
      <c r="J1854" t="b">
        <f t="shared" si="57"/>
        <v>0</v>
      </c>
    </row>
    <row r="1855" spans="3:10" x14ac:dyDescent="0.25">
      <c r="C1855" s="4"/>
      <c r="E1855" s="4"/>
      <c r="H1855" s="31" t="str">
        <f t="shared" si="56"/>
        <v/>
      </c>
      <c r="J1855" t="b">
        <f t="shared" si="57"/>
        <v>0</v>
      </c>
    </row>
    <row r="1856" spans="3:10" x14ac:dyDescent="0.25">
      <c r="C1856" s="4"/>
      <c r="E1856" s="4"/>
      <c r="H1856" s="31" t="str">
        <f t="shared" si="56"/>
        <v/>
      </c>
      <c r="J1856" t="b">
        <f t="shared" si="57"/>
        <v>0</v>
      </c>
    </row>
    <row r="1857" spans="3:10" x14ac:dyDescent="0.25">
      <c r="C1857" s="4"/>
      <c r="E1857" s="4"/>
      <c r="H1857" s="31" t="str">
        <f t="shared" si="56"/>
        <v/>
      </c>
      <c r="J1857" t="b">
        <f t="shared" si="57"/>
        <v>0</v>
      </c>
    </row>
    <row r="1858" spans="3:10" x14ac:dyDescent="0.25">
      <c r="C1858" s="4"/>
      <c r="E1858" s="4"/>
      <c r="H1858" s="31" t="str">
        <f t="shared" si="56"/>
        <v/>
      </c>
      <c r="J1858" t="b">
        <f t="shared" si="57"/>
        <v>0</v>
      </c>
    </row>
    <row r="1859" spans="3:10" x14ac:dyDescent="0.25">
      <c r="C1859" s="4"/>
      <c r="E1859" s="4"/>
      <c r="H1859" s="31" t="str">
        <f t="shared" si="56"/>
        <v/>
      </c>
      <c r="J1859" t="b">
        <f t="shared" si="57"/>
        <v>0</v>
      </c>
    </row>
    <row r="1860" spans="3:10" x14ac:dyDescent="0.25">
      <c r="C1860" s="4"/>
      <c r="E1860" s="4"/>
      <c r="H1860" s="31" t="str">
        <f t="shared" ref="H1860:H1923" si="58">IF($J1860=TRUE,"Il ne peut y avoir des valeurs dans les 2 méthodes",IF($D1860="kg/l",$C1860,IF($D1860="g/l",$C1860/1000,IF($D1860="lb/gal US",$C1860*0.454/3.785,IF($G1860="kg/l",($E1860/100)*$F1860,IF($G1860="g/l",($E1860/100)*$F1860/1000,IF($G1860="lb/gal US",($E1860/100)*$F1860*0.454/3.785,"")))))))</f>
        <v/>
      </c>
      <c r="J1860" t="b">
        <f t="shared" ref="J1860:J1923" si="59">IF(AND(OR($C1860&lt;&gt;"",$D1860&lt;&gt;""),OR($E1860&lt;&gt;"",F1860&lt;&gt;"",G1860&lt;&gt;"")),TRUE,FALSE)</f>
        <v>0</v>
      </c>
    </row>
    <row r="1861" spans="3:10" x14ac:dyDescent="0.25">
      <c r="C1861" s="4"/>
      <c r="E1861" s="4"/>
      <c r="H1861" s="31" t="str">
        <f t="shared" si="58"/>
        <v/>
      </c>
      <c r="J1861" t="b">
        <f t="shared" si="59"/>
        <v>0</v>
      </c>
    </row>
    <row r="1862" spans="3:10" x14ac:dyDescent="0.25">
      <c r="C1862" s="4"/>
      <c r="E1862" s="4"/>
      <c r="H1862" s="31" t="str">
        <f t="shared" si="58"/>
        <v/>
      </c>
      <c r="J1862" t="b">
        <f t="shared" si="59"/>
        <v>0</v>
      </c>
    </row>
    <row r="1863" spans="3:10" x14ac:dyDescent="0.25">
      <c r="C1863" s="4"/>
      <c r="E1863" s="4"/>
      <c r="H1863" s="31" t="str">
        <f t="shared" si="58"/>
        <v/>
      </c>
      <c r="J1863" t="b">
        <f t="shared" si="59"/>
        <v>0</v>
      </c>
    </row>
    <row r="1864" spans="3:10" x14ac:dyDescent="0.25">
      <c r="C1864" s="4"/>
      <c r="E1864" s="4"/>
      <c r="H1864" s="31" t="str">
        <f t="shared" si="58"/>
        <v/>
      </c>
      <c r="J1864" t="b">
        <f t="shared" si="59"/>
        <v>0</v>
      </c>
    </row>
    <row r="1865" spans="3:10" x14ac:dyDescent="0.25">
      <c r="C1865" s="4"/>
      <c r="E1865" s="4"/>
      <c r="H1865" s="31" t="str">
        <f t="shared" si="58"/>
        <v/>
      </c>
      <c r="J1865" t="b">
        <f t="shared" si="59"/>
        <v>0</v>
      </c>
    </row>
    <row r="1866" spans="3:10" x14ac:dyDescent="0.25">
      <c r="C1866" s="4"/>
      <c r="E1866" s="4"/>
      <c r="H1866" s="31" t="str">
        <f t="shared" si="58"/>
        <v/>
      </c>
      <c r="J1866" t="b">
        <f t="shared" si="59"/>
        <v>0</v>
      </c>
    </row>
    <row r="1867" spans="3:10" x14ac:dyDescent="0.25">
      <c r="C1867" s="4"/>
      <c r="E1867" s="4"/>
      <c r="H1867" s="31" t="str">
        <f t="shared" si="58"/>
        <v/>
      </c>
      <c r="J1867" t="b">
        <f t="shared" si="59"/>
        <v>0</v>
      </c>
    </row>
    <row r="1868" spans="3:10" x14ac:dyDescent="0.25">
      <c r="C1868" s="4"/>
      <c r="E1868" s="4"/>
      <c r="H1868" s="31" t="str">
        <f t="shared" si="58"/>
        <v/>
      </c>
      <c r="J1868" t="b">
        <f t="shared" si="59"/>
        <v>0</v>
      </c>
    </row>
    <row r="1869" spans="3:10" x14ac:dyDescent="0.25">
      <c r="C1869" s="4"/>
      <c r="E1869" s="4"/>
      <c r="H1869" s="31" t="str">
        <f t="shared" si="58"/>
        <v/>
      </c>
      <c r="J1869" t="b">
        <f t="shared" si="59"/>
        <v>0</v>
      </c>
    </row>
    <row r="1870" spans="3:10" x14ac:dyDescent="0.25">
      <c r="C1870" s="4"/>
      <c r="E1870" s="4"/>
      <c r="H1870" s="31" t="str">
        <f t="shared" si="58"/>
        <v/>
      </c>
      <c r="J1870" t="b">
        <f t="shared" si="59"/>
        <v>0</v>
      </c>
    </row>
    <row r="1871" spans="3:10" x14ac:dyDescent="0.25">
      <c r="C1871" s="4"/>
      <c r="E1871" s="4"/>
      <c r="H1871" s="31" t="str">
        <f t="shared" si="58"/>
        <v/>
      </c>
      <c r="J1871" t="b">
        <f t="shared" si="59"/>
        <v>0</v>
      </c>
    </row>
    <row r="1872" spans="3:10" x14ac:dyDescent="0.25">
      <c r="C1872" s="4"/>
      <c r="E1872" s="4"/>
      <c r="H1872" s="31" t="str">
        <f t="shared" si="58"/>
        <v/>
      </c>
      <c r="J1872" t="b">
        <f t="shared" si="59"/>
        <v>0</v>
      </c>
    </row>
    <row r="1873" spans="3:10" x14ac:dyDescent="0.25">
      <c r="C1873" s="4"/>
      <c r="E1873" s="4"/>
      <c r="H1873" s="31" t="str">
        <f t="shared" si="58"/>
        <v/>
      </c>
      <c r="J1873" t="b">
        <f t="shared" si="59"/>
        <v>0</v>
      </c>
    </row>
    <row r="1874" spans="3:10" x14ac:dyDescent="0.25">
      <c r="C1874" s="4"/>
      <c r="E1874" s="4"/>
      <c r="H1874" s="31" t="str">
        <f t="shared" si="58"/>
        <v/>
      </c>
      <c r="J1874" t="b">
        <f t="shared" si="59"/>
        <v>0</v>
      </c>
    </row>
    <row r="1875" spans="3:10" x14ac:dyDescent="0.25">
      <c r="C1875" s="4"/>
      <c r="E1875" s="4"/>
      <c r="H1875" s="31" t="str">
        <f t="shared" si="58"/>
        <v/>
      </c>
      <c r="J1875" t="b">
        <f t="shared" si="59"/>
        <v>0</v>
      </c>
    </row>
    <row r="1876" spans="3:10" x14ac:dyDescent="0.25">
      <c r="C1876" s="4"/>
      <c r="E1876" s="4"/>
      <c r="H1876" s="31" t="str">
        <f t="shared" si="58"/>
        <v/>
      </c>
      <c r="J1876" t="b">
        <f t="shared" si="59"/>
        <v>0</v>
      </c>
    </row>
    <row r="1877" spans="3:10" x14ac:dyDescent="0.25">
      <c r="C1877" s="4"/>
      <c r="E1877" s="4"/>
      <c r="H1877" s="31" t="str">
        <f t="shared" si="58"/>
        <v/>
      </c>
      <c r="J1877" t="b">
        <f t="shared" si="59"/>
        <v>0</v>
      </c>
    </row>
    <row r="1878" spans="3:10" x14ac:dyDescent="0.25">
      <c r="C1878" s="4"/>
      <c r="E1878" s="4"/>
      <c r="H1878" s="31" t="str">
        <f t="shared" si="58"/>
        <v/>
      </c>
      <c r="J1878" t="b">
        <f t="shared" si="59"/>
        <v>0</v>
      </c>
    </row>
    <row r="1879" spans="3:10" x14ac:dyDescent="0.25">
      <c r="C1879" s="4"/>
      <c r="E1879" s="4"/>
      <c r="H1879" s="31" t="str">
        <f t="shared" si="58"/>
        <v/>
      </c>
      <c r="J1879" t="b">
        <f t="shared" si="59"/>
        <v>0</v>
      </c>
    </row>
    <row r="1880" spans="3:10" x14ac:dyDescent="0.25">
      <c r="C1880" s="4"/>
      <c r="E1880" s="4"/>
      <c r="H1880" s="31" t="str">
        <f t="shared" si="58"/>
        <v/>
      </c>
      <c r="J1880" t="b">
        <f t="shared" si="59"/>
        <v>0</v>
      </c>
    </row>
    <row r="1881" spans="3:10" x14ac:dyDescent="0.25">
      <c r="C1881" s="4"/>
      <c r="E1881" s="4"/>
      <c r="H1881" s="31" t="str">
        <f t="shared" si="58"/>
        <v/>
      </c>
      <c r="J1881" t="b">
        <f t="shared" si="59"/>
        <v>0</v>
      </c>
    </row>
    <row r="1882" spans="3:10" x14ac:dyDescent="0.25">
      <c r="C1882" s="4"/>
      <c r="E1882" s="4"/>
      <c r="H1882" s="31" t="str">
        <f t="shared" si="58"/>
        <v/>
      </c>
      <c r="J1882" t="b">
        <f t="shared" si="59"/>
        <v>0</v>
      </c>
    </row>
    <row r="1883" spans="3:10" x14ac:dyDescent="0.25">
      <c r="C1883" s="4"/>
      <c r="E1883" s="4"/>
      <c r="H1883" s="31" t="str">
        <f t="shared" si="58"/>
        <v/>
      </c>
      <c r="J1883" t="b">
        <f t="shared" si="59"/>
        <v>0</v>
      </c>
    </row>
    <row r="1884" spans="3:10" x14ac:dyDescent="0.25">
      <c r="C1884" s="4"/>
      <c r="E1884" s="4"/>
      <c r="H1884" s="31" t="str">
        <f t="shared" si="58"/>
        <v/>
      </c>
      <c r="J1884" t="b">
        <f t="shared" si="59"/>
        <v>0</v>
      </c>
    </row>
    <row r="1885" spans="3:10" x14ac:dyDescent="0.25">
      <c r="C1885" s="4"/>
      <c r="E1885" s="4"/>
      <c r="H1885" s="31" t="str">
        <f t="shared" si="58"/>
        <v/>
      </c>
      <c r="J1885" t="b">
        <f t="shared" si="59"/>
        <v>0</v>
      </c>
    </row>
    <row r="1886" spans="3:10" x14ac:dyDescent="0.25">
      <c r="C1886" s="4"/>
      <c r="E1886" s="4"/>
      <c r="H1886" s="31" t="str">
        <f t="shared" si="58"/>
        <v/>
      </c>
      <c r="J1886" t="b">
        <f t="shared" si="59"/>
        <v>0</v>
      </c>
    </row>
    <row r="1887" spans="3:10" x14ac:dyDescent="0.25">
      <c r="C1887" s="4"/>
      <c r="E1887" s="4"/>
      <c r="H1887" s="31" t="str">
        <f t="shared" si="58"/>
        <v/>
      </c>
      <c r="J1887" t="b">
        <f t="shared" si="59"/>
        <v>0</v>
      </c>
    </row>
    <row r="1888" spans="3:10" x14ac:dyDescent="0.25">
      <c r="C1888" s="4"/>
      <c r="E1888" s="4"/>
      <c r="H1888" s="31" t="str">
        <f t="shared" si="58"/>
        <v/>
      </c>
      <c r="J1888" t="b">
        <f t="shared" si="59"/>
        <v>0</v>
      </c>
    </row>
    <row r="1889" spans="3:10" x14ac:dyDescent="0.25">
      <c r="C1889" s="4"/>
      <c r="E1889" s="4"/>
      <c r="H1889" s="31" t="str">
        <f t="shared" si="58"/>
        <v/>
      </c>
      <c r="J1889" t="b">
        <f t="shared" si="59"/>
        <v>0</v>
      </c>
    </row>
    <row r="1890" spans="3:10" x14ac:dyDescent="0.25">
      <c r="C1890" s="4"/>
      <c r="E1890" s="4"/>
      <c r="H1890" s="31" t="str">
        <f t="shared" si="58"/>
        <v/>
      </c>
      <c r="J1890" t="b">
        <f t="shared" si="59"/>
        <v>0</v>
      </c>
    </row>
    <row r="1891" spans="3:10" x14ac:dyDescent="0.25">
      <c r="C1891" s="4"/>
      <c r="E1891" s="4"/>
      <c r="H1891" s="31" t="str">
        <f t="shared" si="58"/>
        <v/>
      </c>
      <c r="J1891" t="b">
        <f t="shared" si="59"/>
        <v>0</v>
      </c>
    </row>
    <row r="1892" spans="3:10" x14ac:dyDescent="0.25">
      <c r="C1892" s="4"/>
      <c r="E1892" s="4"/>
      <c r="H1892" s="31" t="str">
        <f t="shared" si="58"/>
        <v/>
      </c>
      <c r="J1892" t="b">
        <f t="shared" si="59"/>
        <v>0</v>
      </c>
    </row>
    <row r="1893" spans="3:10" x14ac:dyDescent="0.25">
      <c r="C1893" s="4"/>
      <c r="E1893" s="4"/>
      <c r="H1893" s="31" t="str">
        <f t="shared" si="58"/>
        <v/>
      </c>
      <c r="J1893" t="b">
        <f t="shared" si="59"/>
        <v>0</v>
      </c>
    </row>
    <row r="1894" spans="3:10" x14ac:dyDescent="0.25">
      <c r="C1894" s="4"/>
      <c r="E1894" s="4"/>
      <c r="H1894" s="31" t="str">
        <f t="shared" si="58"/>
        <v/>
      </c>
      <c r="J1894" t="b">
        <f t="shared" si="59"/>
        <v>0</v>
      </c>
    </row>
    <row r="1895" spans="3:10" x14ac:dyDescent="0.25">
      <c r="C1895" s="4"/>
      <c r="E1895" s="4"/>
      <c r="H1895" s="31" t="str">
        <f t="shared" si="58"/>
        <v/>
      </c>
      <c r="J1895" t="b">
        <f t="shared" si="59"/>
        <v>0</v>
      </c>
    </row>
    <row r="1896" spans="3:10" x14ac:dyDescent="0.25">
      <c r="C1896" s="4"/>
      <c r="E1896" s="4"/>
      <c r="H1896" s="31" t="str">
        <f t="shared" si="58"/>
        <v/>
      </c>
      <c r="J1896" t="b">
        <f t="shared" si="59"/>
        <v>0</v>
      </c>
    </row>
    <row r="1897" spans="3:10" x14ac:dyDescent="0.25">
      <c r="C1897" s="4"/>
      <c r="E1897" s="4"/>
      <c r="H1897" s="31" t="str">
        <f t="shared" si="58"/>
        <v/>
      </c>
      <c r="J1897" t="b">
        <f t="shared" si="59"/>
        <v>0</v>
      </c>
    </row>
    <row r="1898" spans="3:10" x14ac:dyDescent="0.25">
      <c r="C1898" s="4"/>
      <c r="E1898" s="4"/>
      <c r="H1898" s="31" t="str">
        <f t="shared" si="58"/>
        <v/>
      </c>
      <c r="J1898" t="b">
        <f t="shared" si="59"/>
        <v>0</v>
      </c>
    </row>
    <row r="1899" spans="3:10" x14ac:dyDescent="0.25">
      <c r="C1899" s="4"/>
      <c r="E1899" s="4"/>
      <c r="H1899" s="31" t="str">
        <f t="shared" si="58"/>
        <v/>
      </c>
      <c r="J1899" t="b">
        <f t="shared" si="59"/>
        <v>0</v>
      </c>
    </row>
    <row r="1900" spans="3:10" x14ac:dyDescent="0.25">
      <c r="C1900" s="4"/>
      <c r="E1900" s="4"/>
      <c r="H1900" s="31" t="str">
        <f t="shared" si="58"/>
        <v/>
      </c>
      <c r="J1900" t="b">
        <f t="shared" si="59"/>
        <v>0</v>
      </c>
    </row>
    <row r="1901" spans="3:10" x14ac:dyDescent="0.25">
      <c r="C1901" s="4"/>
      <c r="E1901" s="4"/>
      <c r="H1901" s="31" t="str">
        <f t="shared" si="58"/>
        <v/>
      </c>
      <c r="J1901" t="b">
        <f t="shared" si="59"/>
        <v>0</v>
      </c>
    </row>
    <row r="1902" spans="3:10" x14ac:dyDescent="0.25">
      <c r="C1902" s="4"/>
      <c r="E1902" s="4"/>
      <c r="H1902" s="31" t="str">
        <f t="shared" si="58"/>
        <v/>
      </c>
      <c r="J1902" t="b">
        <f t="shared" si="59"/>
        <v>0</v>
      </c>
    </row>
    <row r="1903" spans="3:10" x14ac:dyDescent="0.25">
      <c r="C1903" s="4"/>
      <c r="E1903" s="4"/>
      <c r="H1903" s="31" t="str">
        <f t="shared" si="58"/>
        <v/>
      </c>
      <c r="J1903" t="b">
        <f t="shared" si="59"/>
        <v>0</v>
      </c>
    </row>
    <row r="1904" spans="3:10" x14ac:dyDescent="0.25">
      <c r="C1904" s="4"/>
      <c r="E1904" s="4"/>
      <c r="H1904" s="31" t="str">
        <f t="shared" si="58"/>
        <v/>
      </c>
      <c r="J1904" t="b">
        <f t="shared" si="59"/>
        <v>0</v>
      </c>
    </row>
    <row r="1905" spans="3:10" x14ac:dyDescent="0.25">
      <c r="C1905" s="4"/>
      <c r="E1905" s="4"/>
      <c r="H1905" s="31" t="str">
        <f t="shared" si="58"/>
        <v/>
      </c>
      <c r="J1905" t="b">
        <f t="shared" si="59"/>
        <v>0</v>
      </c>
    </row>
    <row r="1906" spans="3:10" x14ac:dyDescent="0.25">
      <c r="C1906" s="4"/>
      <c r="E1906" s="4"/>
      <c r="H1906" s="31" t="str">
        <f t="shared" si="58"/>
        <v/>
      </c>
      <c r="J1906" t="b">
        <f t="shared" si="59"/>
        <v>0</v>
      </c>
    </row>
    <row r="1907" spans="3:10" x14ac:dyDescent="0.25">
      <c r="C1907" s="4"/>
      <c r="E1907" s="4"/>
      <c r="H1907" s="31" t="str">
        <f t="shared" si="58"/>
        <v/>
      </c>
      <c r="J1907" t="b">
        <f t="shared" si="59"/>
        <v>0</v>
      </c>
    </row>
    <row r="1908" spans="3:10" x14ac:dyDescent="0.25">
      <c r="C1908" s="4"/>
      <c r="E1908" s="4"/>
      <c r="H1908" s="31" t="str">
        <f t="shared" si="58"/>
        <v/>
      </c>
      <c r="J1908" t="b">
        <f t="shared" si="59"/>
        <v>0</v>
      </c>
    </row>
    <row r="1909" spans="3:10" x14ac:dyDescent="0.25">
      <c r="C1909" s="4"/>
      <c r="E1909" s="4"/>
      <c r="H1909" s="31" t="str">
        <f t="shared" si="58"/>
        <v/>
      </c>
      <c r="J1909" t="b">
        <f t="shared" si="59"/>
        <v>0</v>
      </c>
    </row>
    <row r="1910" spans="3:10" x14ac:dyDescent="0.25">
      <c r="C1910" s="4"/>
      <c r="E1910" s="4"/>
      <c r="H1910" s="31" t="str">
        <f t="shared" si="58"/>
        <v/>
      </c>
      <c r="J1910" t="b">
        <f t="shared" si="59"/>
        <v>0</v>
      </c>
    </row>
    <row r="1911" spans="3:10" x14ac:dyDescent="0.25">
      <c r="C1911" s="4"/>
      <c r="E1911" s="4"/>
      <c r="H1911" s="31" t="str">
        <f t="shared" si="58"/>
        <v/>
      </c>
      <c r="J1911" t="b">
        <f t="shared" si="59"/>
        <v>0</v>
      </c>
    </row>
    <row r="1912" spans="3:10" x14ac:dyDescent="0.25">
      <c r="C1912" s="4"/>
      <c r="E1912" s="4"/>
      <c r="H1912" s="31" t="str">
        <f t="shared" si="58"/>
        <v/>
      </c>
      <c r="J1912" t="b">
        <f t="shared" si="59"/>
        <v>0</v>
      </c>
    </row>
    <row r="1913" spans="3:10" x14ac:dyDescent="0.25">
      <c r="C1913" s="4"/>
      <c r="E1913" s="4"/>
      <c r="H1913" s="31" t="str">
        <f t="shared" si="58"/>
        <v/>
      </c>
      <c r="J1913" t="b">
        <f t="shared" si="59"/>
        <v>0</v>
      </c>
    </row>
    <row r="1914" spans="3:10" x14ac:dyDescent="0.25">
      <c r="C1914" s="4"/>
      <c r="E1914" s="4"/>
      <c r="H1914" s="31" t="str">
        <f t="shared" si="58"/>
        <v/>
      </c>
      <c r="J1914" t="b">
        <f t="shared" si="59"/>
        <v>0</v>
      </c>
    </row>
    <row r="1915" spans="3:10" x14ac:dyDescent="0.25">
      <c r="C1915" s="4"/>
      <c r="E1915" s="4"/>
      <c r="H1915" s="31" t="str">
        <f t="shared" si="58"/>
        <v/>
      </c>
      <c r="J1915" t="b">
        <f t="shared" si="59"/>
        <v>0</v>
      </c>
    </row>
    <row r="1916" spans="3:10" x14ac:dyDescent="0.25">
      <c r="C1916" s="4"/>
      <c r="E1916" s="4"/>
      <c r="H1916" s="31" t="str">
        <f t="shared" si="58"/>
        <v/>
      </c>
      <c r="J1916" t="b">
        <f t="shared" si="59"/>
        <v>0</v>
      </c>
    </row>
    <row r="1917" spans="3:10" x14ac:dyDescent="0.25">
      <c r="C1917" s="4"/>
      <c r="E1917" s="4"/>
      <c r="H1917" s="31" t="str">
        <f t="shared" si="58"/>
        <v/>
      </c>
      <c r="J1917" t="b">
        <f t="shared" si="59"/>
        <v>0</v>
      </c>
    </row>
    <row r="1918" spans="3:10" x14ac:dyDescent="0.25">
      <c r="C1918" s="4"/>
      <c r="E1918" s="4"/>
      <c r="H1918" s="31" t="str">
        <f t="shared" si="58"/>
        <v/>
      </c>
      <c r="J1918" t="b">
        <f t="shared" si="59"/>
        <v>0</v>
      </c>
    </row>
    <row r="1919" spans="3:10" x14ac:dyDescent="0.25">
      <c r="C1919" s="4"/>
      <c r="E1919" s="4"/>
      <c r="H1919" s="31" t="str">
        <f t="shared" si="58"/>
        <v/>
      </c>
      <c r="J1919" t="b">
        <f t="shared" si="59"/>
        <v>0</v>
      </c>
    </row>
    <row r="1920" spans="3:10" x14ac:dyDescent="0.25">
      <c r="C1920" s="4"/>
      <c r="E1920" s="4"/>
      <c r="H1920" s="31" t="str">
        <f t="shared" si="58"/>
        <v/>
      </c>
      <c r="J1920" t="b">
        <f t="shared" si="59"/>
        <v>0</v>
      </c>
    </row>
    <row r="1921" spans="3:10" x14ac:dyDescent="0.25">
      <c r="C1921" s="4"/>
      <c r="E1921" s="4"/>
      <c r="H1921" s="31" t="str">
        <f t="shared" si="58"/>
        <v/>
      </c>
      <c r="J1921" t="b">
        <f t="shared" si="59"/>
        <v>0</v>
      </c>
    </row>
    <row r="1922" spans="3:10" x14ac:dyDescent="0.25">
      <c r="C1922" s="4"/>
      <c r="E1922" s="4"/>
      <c r="H1922" s="31" t="str">
        <f t="shared" si="58"/>
        <v/>
      </c>
      <c r="J1922" t="b">
        <f t="shared" si="59"/>
        <v>0</v>
      </c>
    </row>
    <row r="1923" spans="3:10" x14ac:dyDescent="0.25">
      <c r="C1923" s="4"/>
      <c r="E1923" s="4"/>
      <c r="H1923" s="31" t="str">
        <f t="shared" si="58"/>
        <v/>
      </c>
      <c r="J1923" t="b">
        <f t="shared" si="59"/>
        <v>0</v>
      </c>
    </row>
    <row r="1924" spans="3:10" x14ac:dyDescent="0.25">
      <c r="C1924" s="4"/>
      <c r="E1924" s="4"/>
      <c r="H1924" s="31" t="str">
        <f t="shared" ref="H1924:H1987" si="60">IF($J1924=TRUE,"Il ne peut y avoir des valeurs dans les 2 méthodes",IF($D1924="kg/l",$C1924,IF($D1924="g/l",$C1924/1000,IF($D1924="lb/gal US",$C1924*0.454/3.785,IF($G1924="kg/l",($E1924/100)*$F1924,IF($G1924="g/l",($E1924/100)*$F1924/1000,IF($G1924="lb/gal US",($E1924/100)*$F1924*0.454/3.785,"")))))))</f>
        <v/>
      </c>
      <c r="J1924" t="b">
        <f t="shared" ref="J1924:J1987" si="61">IF(AND(OR($C1924&lt;&gt;"",$D1924&lt;&gt;""),OR($E1924&lt;&gt;"",F1924&lt;&gt;"",G1924&lt;&gt;"")),TRUE,FALSE)</f>
        <v>0</v>
      </c>
    </row>
    <row r="1925" spans="3:10" x14ac:dyDescent="0.25">
      <c r="C1925" s="4"/>
      <c r="E1925" s="4"/>
      <c r="H1925" s="31" t="str">
        <f t="shared" si="60"/>
        <v/>
      </c>
      <c r="J1925" t="b">
        <f t="shared" si="61"/>
        <v>0</v>
      </c>
    </row>
    <row r="1926" spans="3:10" x14ac:dyDescent="0.25">
      <c r="C1926" s="4"/>
      <c r="E1926" s="4"/>
      <c r="H1926" s="31" t="str">
        <f t="shared" si="60"/>
        <v/>
      </c>
      <c r="J1926" t="b">
        <f t="shared" si="61"/>
        <v>0</v>
      </c>
    </row>
    <row r="1927" spans="3:10" x14ac:dyDescent="0.25">
      <c r="C1927" s="4"/>
      <c r="E1927" s="4"/>
      <c r="H1927" s="31" t="str">
        <f t="shared" si="60"/>
        <v/>
      </c>
      <c r="J1927" t="b">
        <f t="shared" si="61"/>
        <v>0</v>
      </c>
    </row>
    <row r="1928" spans="3:10" x14ac:dyDescent="0.25">
      <c r="C1928" s="4"/>
      <c r="E1928" s="4"/>
      <c r="H1928" s="31" t="str">
        <f t="shared" si="60"/>
        <v/>
      </c>
      <c r="J1928" t="b">
        <f t="shared" si="61"/>
        <v>0</v>
      </c>
    </row>
    <row r="1929" spans="3:10" x14ac:dyDescent="0.25">
      <c r="C1929" s="4"/>
      <c r="E1929" s="4"/>
      <c r="H1929" s="31" t="str">
        <f t="shared" si="60"/>
        <v/>
      </c>
      <c r="J1929" t="b">
        <f t="shared" si="61"/>
        <v>0</v>
      </c>
    </row>
    <row r="1930" spans="3:10" x14ac:dyDescent="0.25">
      <c r="C1930" s="4"/>
      <c r="E1930" s="4"/>
      <c r="H1930" s="31" t="str">
        <f t="shared" si="60"/>
        <v/>
      </c>
      <c r="J1930" t="b">
        <f t="shared" si="61"/>
        <v>0</v>
      </c>
    </row>
    <row r="1931" spans="3:10" x14ac:dyDescent="0.25">
      <c r="C1931" s="4"/>
      <c r="E1931" s="4"/>
      <c r="H1931" s="31" t="str">
        <f t="shared" si="60"/>
        <v/>
      </c>
      <c r="J1931" t="b">
        <f t="shared" si="61"/>
        <v>0</v>
      </c>
    </row>
    <row r="1932" spans="3:10" x14ac:dyDescent="0.25">
      <c r="C1932" s="4"/>
      <c r="E1932" s="4"/>
      <c r="H1932" s="31" t="str">
        <f t="shared" si="60"/>
        <v/>
      </c>
      <c r="J1932" t="b">
        <f t="shared" si="61"/>
        <v>0</v>
      </c>
    </row>
    <row r="1933" spans="3:10" x14ac:dyDescent="0.25">
      <c r="C1933" s="4"/>
      <c r="E1933" s="4"/>
      <c r="H1933" s="31" t="str">
        <f t="shared" si="60"/>
        <v/>
      </c>
      <c r="J1933" t="b">
        <f t="shared" si="61"/>
        <v>0</v>
      </c>
    </row>
    <row r="1934" spans="3:10" x14ac:dyDescent="0.25">
      <c r="C1934" s="4"/>
      <c r="E1934" s="4"/>
      <c r="H1934" s="31" t="str">
        <f t="shared" si="60"/>
        <v/>
      </c>
      <c r="J1934" t="b">
        <f t="shared" si="61"/>
        <v>0</v>
      </c>
    </row>
    <row r="1935" spans="3:10" x14ac:dyDescent="0.25">
      <c r="C1935" s="4"/>
      <c r="E1935" s="4"/>
      <c r="H1935" s="31" t="str">
        <f t="shared" si="60"/>
        <v/>
      </c>
      <c r="J1935" t="b">
        <f t="shared" si="61"/>
        <v>0</v>
      </c>
    </row>
    <row r="1936" spans="3:10" x14ac:dyDescent="0.25">
      <c r="C1936" s="4"/>
      <c r="E1936" s="4"/>
      <c r="H1936" s="31" t="str">
        <f t="shared" si="60"/>
        <v/>
      </c>
      <c r="J1936" t="b">
        <f t="shared" si="61"/>
        <v>0</v>
      </c>
    </row>
    <row r="1937" spans="3:10" x14ac:dyDescent="0.25">
      <c r="C1937" s="4"/>
      <c r="E1937" s="4"/>
      <c r="H1937" s="31" t="str">
        <f t="shared" si="60"/>
        <v/>
      </c>
      <c r="J1937" t="b">
        <f t="shared" si="61"/>
        <v>0</v>
      </c>
    </row>
    <row r="1938" spans="3:10" x14ac:dyDescent="0.25">
      <c r="C1938" s="4"/>
      <c r="E1938" s="4"/>
      <c r="H1938" s="31" t="str">
        <f t="shared" si="60"/>
        <v/>
      </c>
      <c r="J1938" t="b">
        <f t="shared" si="61"/>
        <v>0</v>
      </c>
    </row>
    <row r="1939" spans="3:10" x14ac:dyDescent="0.25">
      <c r="C1939" s="4"/>
      <c r="E1939" s="4"/>
      <c r="H1939" s="31" t="str">
        <f t="shared" si="60"/>
        <v/>
      </c>
      <c r="J1939" t="b">
        <f t="shared" si="61"/>
        <v>0</v>
      </c>
    </row>
    <row r="1940" spans="3:10" x14ac:dyDescent="0.25">
      <c r="C1940" s="4"/>
      <c r="E1940" s="4"/>
      <c r="H1940" s="31" t="str">
        <f t="shared" si="60"/>
        <v/>
      </c>
      <c r="J1940" t="b">
        <f t="shared" si="61"/>
        <v>0</v>
      </c>
    </row>
    <row r="1941" spans="3:10" x14ac:dyDescent="0.25">
      <c r="C1941" s="4"/>
      <c r="E1941" s="4"/>
      <c r="H1941" s="31" t="str">
        <f t="shared" si="60"/>
        <v/>
      </c>
      <c r="J1941" t="b">
        <f t="shared" si="61"/>
        <v>0</v>
      </c>
    </row>
    <row r="1942" spans="3:10" x14ac:dyDescent="0.25">
      <c r="C1942" s="4"/>
      <c r="E1942" s="4"/>
      <c r="H1942" s="31" t="str">
        <f t="shared" si="60"/>
        <v/>
      </c>
      <c r="J1942" t="b">
        <f t="shared" si="61"/>
        <v>0</v>
      </c>
    </row>
    <row r="1943" spans="3:10" x14ac:dyDescent="0.25">
      <c r="C1943" s="4"/>
      <c r="E1943" s="4"/>
      <c r="H1943" s="31" t="str">
        <f t="shared" si="60"/>
        <v/>
      </c>
      <c r="J1943" t="b">
        <f t="shared" si="61"/>
        <v>0</v>
      </c>
    </row>
    <row r="1944" spans="3:10" x14ac:dyDescent="0.25">
      <c r="C1944" s="4"/>
      <c r="E1944" s="4"/>
      <c r="H1944" s="31" t="str">
        <f t="shared" si="60"/>
        <v/>
      </c>
      <c r="J1944" t="b">
        <f t="shared" si="61"/>
        <v>0</v>
      </c>
    </row>
    <row r="1945" spans="3:10" x14ac:dyDescent="0.25">
      <c r="C1945" s="4"/>
      <c r="E1945" s="4"/>
      <c r="H1945" s="31" t="str">
        <f t="shared" si="60"/>
        <v/>
      </c>
      <c r="J1945" t="b">
        <f t="shared" si="61"/>
        <v>0</v>
      </c>
    </row>
    <row r="1946" spans="3:10" x14ac:dyDescent="0.25">
      <c r="C1946" s="4"/>
      <c r="E1946" s="4"/>
      <c r="H1946" s="31" t="str">
        <f t="shared" si="60"/>
        <v/>
      </c>
      <c r="J1946" t="b">
        <f t="shared" si="61"/>
        <v>0</v>
      </c>
    </row>
    <row r="1947" spans="3:10" x14ac:dyDescent="0.25">
      <c r="C1947" s="4"/>
      <c r="E1947" s="4"/>
      <c r="H1947" s="31" t="str">
        <f t="shared" si="60"/>
        <v/>
      </c>
      <c r="J1947" t="b">
        <f t="shared" si="61"/>
        <v>0</v>
      </c>
    </row>
    <row r="1948" spans="3:10" x14ac:dyDescent="0.25">
      <c r="C1948" s="4"/>
      <c r="E1948" s="4"/>
      <c r="H1948" s="31" t="str">
        <f t="shared" si="60"/>
        <v/>
      </c>
      <c r="J1948" t="b">
        <f t="shared" si="61"/>
        <v>0</v>
      </c>
    </row>
    <row r="1949" spans="3:10" x14ac:dyDescent="0.25">
      <c r="C1949" s="4"/>
      <c r="E1949" s="4"/>
      <c r="H1949" s="31" t="str">
        <f t="shared" si="60"/>
        <v/>
      </c>
      <c r="J1949" t="b">
        <f t="shared" si="61"/>
        <v>0</v>
      </c>
    </row>
    <row r="1950" spans="3:10" x14ac:dyDescent="0.25">
      <c r="C1950" s="4"/>
      <c r="E1950" s="4"/>
      <c r="H1950" s="31" t="str">
        <f t="shared" si="60"/>
        <v/>
      </c>
      <c r="J1950" t="b">
        <f t="shared" si="61"/>
        <v>0</v>
      </c>
    </row>
    <row r="1951" spans="3:10" x14ac:dyDescent="0.25">
      <c r="C1951" s="4"/>
      <c r="E1951" s="4"/>
      <c r="H1951" s="31" t="str">
        <f t="shared" si="60"/>
        <v/>
      </c>
      <c r="J1951" t="b">
        <f t="shared" si="61"/>
        <v>0</v>
      </c>
    </row>
    <row r="1952" spans="3:10" x14ac:dyDescent="0.25">
      <c r="C1952" s="4"/>
      <c r="E1952" s="4"/>
      <c r="H1952" s="31" t="str">
        <f t="shared" si="60"/>
        <v/>
      </c>
      <c r="J1952" t="b">
        <f t="shared" si="61"/>
        <v>0</v>
      </c>
    </row>
    <row r="1953" spans="3:10" x14ac:dyDescent="0.25">
      <c r="C1953" s="4"/>
      <c r="E1953" s="4"/>
      <c r="H1953" s="31" t="str">
        <f t="shared" si="60"/>
        <v/>
      </c>
      <c r="J1953" t="b">
        <f t="shared" si="61"/>
        <v>0</v>
      </c>
    </row>
    <row r="1954" spans="3:10" x14ac:dyDescent="0.25">
      <c r="C1954" s="4"/>
      <c r="E1954" s="4"/>
      <c r="H1954" s="31" t="str">
        <f t="shared" si="60"/>
        <v/>
      </c>
      <c r="J1954" t="b">
        <f t="shared" si="61"/>
        <v>0</v>
      </c>
    </row>
    <row r="1955" spans="3:10" x14ac:dyDescent="0.25">
      <c r="C1955" s="4"/>
      <c r="E1955" s="4"/>
      <c r="H1955" s="31" t="str">
        <f t="shared" si="60"/>
        <v/>
      </c>
      <c r="J1955" t="b">
        <f t="shared" si="61"/>
        <v>0</v>
      </c>
    </row>
    <row r="1956" spans="3:10" x14ac:dyDescent="0.25">
      <c r="C1956" s="4"/>
      <c r="E1956" s="4"/>
      <c r="H1956" s="31" t="str">
        <f t="shared" si="60"/>
        <v/>
      </c>
      <c r="J1956" t="b">
        <f t="shared" si="61"/>
        <v>0</v>
      </c>
    </row>
    <row r="1957" spans="3:10" x14ac:dyDescent="0.25">
      <c r="C1957" s="4"/>
      <c r="E1957" s="4"/>
      <c r="H1957" s="31" t="str">
        <f t="shared" si="60"/>
        <v/>
      </c>
      <c r="J1957" t="b">
        <f t="shared" si="61"/>
        <v>0</v>
      </c>
    </row>
    <row r="1958" spans="3:10" x14ac:dyDescent="0.25">
      <c r="C1958" s="4"/>
      <c r="E1958" s="4"/>
      <c r="H1958" s="31" t="str">
        <f t="shared" si="60"/>
        <v/>
      </c>
      <c r="J1958" t="b">
        <f t="shared" si="61"/>
        <v>0</v>
      </c>
    </row>
    <row r="1959" spans="3:10" x14ac:dyDescent="0.25">
      <c r="C1959" s="4"/>
      <c r="E1959" s="4"/>
      <c r="H1959" s="31" t="str">
        <f t="shared" si="60"/>
        <v/>
      </c>
      <c r="J1959" t="b">
        <f t="shared" si="61"/>
        <v>0</v>
      </c>
    </row>
    <row r="1960" spans="3:10" x14ac:dyDescent="0.25">
      <c r="C1960" s="4"/>
      <c r="E1960" s="4"/>
      <c r="H1960" s="31" t="str">
        <f t="shared" si="60"/>
        <v/>
      </c>
      <c r="J1960" t="b">
        <f t="shared" si="61"/>
        <v>0</v>
      </c>
    </row>
    <row r="1961" spans="3:10" x14ac:dyDescent="0.25">
      <c r="C1961" s="4"/>
      <c r="E1961" s="4"/>
      <c r="H1961" s="31" t="str">
        <f t="shared" si="60"/>
        <v/>
      </c>
      <c r="J1961" t="b">
        <f t="shared" si="61"/>
        <v>0</v>
      </c>
    </row>
    <row r="1962" spans="3:10" x14ac:dyDescent="0.25">
      <c r="C1962" s="4"/>
      <c r="E1962" s="4"/>
      <c r="H1962" s="31" t="str">
        <f t="shared" si="60"/>
        <v/>
      </c>
      <c r="J1962" t="b">
        <f t="shared" si="61"/>
        <v>0</v>
      </c>
    </row>
    <row r="1963" spans="3:10" x14ac:dyDescent="0.25">
      <c r="C1963" s="4"/>
      <c r="E1963" s="4"/>
      <c r="H1963" s="31" t="str">
        <f t="shared" si="60"/>
        <v/>
      </c>
      <c r="J1963" t="b">
        <f t="shared" si="61"/>
        <v>0</v>
      </c>
    </row>
    <row r="1964" spans="3:10" x14ac:dyDescent="0.25">
      <c r="C1964" s="4"/>
      <c r="E1964" s="4"/>
      <c r="H1964" s="31" t="str">
        <f t="shared" si="60"/>
        <v/>
      </c>
      <c r="J1964" t="b">
        <f t="shared" si="61"/>
        <v>0</v>
      </c>
    </row>
    <row r="1965" spans="3:10" x14ac:dyDescent="0.25">
      <c r="C1965" s="4"/>
      <c r="E1965" s="4"/>
      <c r="H1965" s="31" t="str">
        <f t="shared" si="60"/>
        <v/>
      </c>
      <c r="J1965" t="b">
        <f t="shared" si="61"/>
        <v>0</v>
      </c>
    </row>
    <row r="1966" spans="3:10" x14ac:dyDescent="0.25">
      <c r="C1966" s="4"/>
      <c r="E1966" s="4"/>
      <c r="H1966" s="31" t="str">
        <f t="shared" si="60"/>
        <v/>
      </c>
      <c r="J1966" t="b">
        <f t="shared" si="61"/>
        <v>0</v>
      </c>
    </row>
    <row r="1967" spans="3:10" x14ac:dyDescent="0.25">
      <c r="C1967" s="4"/>
      <c r="E1967" s="4"/>
      <c r="H1967" s="31" t="str">
        <f t="shared" si="60"/>
        <v/>
      </c>
      <c r="J1967" t="b">
        <f t="shared" si="61"/>
        <v>0</v>
      </c>
    </row>
    <row r="1968" spans="3:10" x14ac:dyDescent="0.25">
      <c r="C1968" s="4"/>
      <c r="E1968" s="4"/>
      <c r="H1968" s="31" t="str">
        <f t="shared" si="60"/>
        <v/>
      </c>
      <c r="J1968" t="b">
        <f t="shared" si="61"/>
        <v>0</v>
      </c>
    </row>
    <row r="1969" spans="3:10" x14ac:dyDescent="0.25">
      <c r="C1969" s="4"/>
      <c r="E1969" s="4"/>
      <c r="H1969" s="31" t="str">
        <f t="shared" si="60"/>
        <v/>
      </c>
      <c r="J1969" t="b">
        <f t="shared" si="61"/>
        <v>0</v>
      </c>
    </row>
    <row r="1970" spans="3:10" x14ac:dyDescent="0.25">
      <c r="C1970" s="4"/>
      <c r="E1970" s="4"/>
      <c r="H1970" s="31" t="str">
        <f t="shared" si="60"/>
        <v/>
      </c>
      <c r="J1970" t="b">
        <f t="shared" si="61"/>
        <v>0</v>
      </c>
    </row>
    <row r="1971" spans="3:10" x14ac:dyDescent="0.25">
      <c r="C1971" s="4"/>
      <c r="E1971" s="4"/>
      <c r="H1971" s="31" t="str">
        <f t="shared" si="60"/>
        <v/>
      </c>
      <c r="J1971" t="b">
        <f t="shared" si="61"/>
        <v>0</v>
      </c>
    </row>
    <row r="1972" spans="3:10" x14ac:dyDescent="0.25">
      <c r="C1972" s="4"/>
      <c r="E1972" s="4"/>
      <c r="H1972" s="31" t="str">
        <f t="shared" si="60"/>
        <v/>
      </c>
      <c r="J1972" t="b">
        <f t="shared" si="61"/>
        <v>0</v>
      </c>
    </row>
    <row r="1973" spans="3:10" x14ac:dyDescent="0.25">
      <c r="C1973" s="4"/>
      <c r="E1973" s="4"/>
      <c r="H1973" s="31" t="str">
        <f t="shared" si="60"/>
        <v/>
      </c>
      <c r="J1973" t="b">
        <f t="shared" si="61"/>
        <v>0</v>
      </c>
    </row>
    <row r="1974" spans="3:10" x14ac:dyDescent="0.25">
      <c r="C1974" s="4"/>
      <c r="E1974" s="4"/>
      <c r="H1974" s="31" t="str">
        <f t="shared" si="60"/>
        <v/>
      </c>
      <c r="J1974" t="b">
        <f t="shared" si="61"/>
        <v>0</v>
      </c>
    </row>
    <row r="1975" spans="3:10" x14ac:dyDescent="0.25">
      <c r="C1975" s="4"/>
      <c r="E1975" s="4"/>
      <c r="H1975" s="31" t="str">
        <f t="shared" si="60"/>
        <v/>
      </c>
      <c r="J1975" t="b">
        <f t="shared" si="61"/>
        <v>0</v>
      </c>
    </row>
    <row r="1976" spans="3:10" x14ac:dyDescent="0.25">
      <c r="C1976" s="4"/>
      <c r="E1976" s="4"/>
      <c r="H1976" s="31" t="str">
        <f t="shared" si="60"/>
        <v/>
      </c>
      <c r="J1976" t="b">
        <f t="shared" si="61"/>
        <v>0</v>
      </c>
    </row>
    <row r="1977" spans="3:10" x14ac:dyDescent="0.25">
      <c r="C1977" s="4"/>
      <c r="E1977" s="4"/>
      <c r="H1977" s="31" t="str">
        <f t="shared" si="60"/>
        <v/>
      </c>
      <c r="J1977" t="b">
        <f t="shared" si="61"/>
        <v>0</v>
      </c>
    </row>
    <row r="1978" spans="3:10" x14ac:dyDescent="0.25">
      <c r="C1978" s="4"/>
      <c r="E1978" s="4"/>
      <c r="H1978" s="31" t="str">
        <f t="shared" si="60"/>
        <v/>
      </c>
      <c r="J1978" t="b">
        <f t="shared" si="61"/>
        <v>0</v>
      </c>
    </row>
    <row r="1979" spans="3:10" x14ac:dyDescent="0.25">
      <c r="C1979" s="4"/>
      <c r="E1979" s="4"/>
      <c r="H1979" s="31" t="str">
        <f t="shared" si="60"/>
        <v/>
      </c>
      <c r="J1979" t="b">
        <f t="shared" si="61"/>
        <v>0</v>
      </c>
    </row>
    <row r="1980" spans="3:10" x14ac:dyDescent="0.25">
      <c r="C1980" s="4"/>
      <c r="E1980" s="4"/>
      <c r="H1980" s="31" t="str">
        <f t="shared" si="60"/>
        <v/>
      </c>
      <c r="J1980" t="b">
        <f t="shared" si="61"/>
        <v>0</v>
      </c>
    </row>
    <row r="1981" spans="3:10" x14ac:dyDescent="0.25">
      <c r="C1981" s="4"/>
      <c r="E1981" s="4"/>
      <c r="H1981" s="31" t="str">
        <f t="shared" si="60"/>
        <v/>
      </c>
      <c r="J1981" t="b">
        <f t="shared" si="61"/>
        <v>0</v>
      </c>
    </row>
    <row r="1982" spans="3:10" x14ac:dyDescent="0.25">
      <c r="C1982" s="4"/>
      <c r="E1982" s="4"/>
      <c r="H1982" s="31" t="str">
        <f t="shared" si="60"/>
        <v/>
      </c>
      <c r="J1982" t="b">
        <f t="shared" si="61"/>
        <v>0</v>
      </c>
    </row>
    <row r="1983" spans="3:10" x14ac:dyDescent="0.25">
      <c r="C1983" s="4"/>
      <c r="E1983" s="4"/>
      <c r="H1983" s="31" t="str">
        <f t="shared" si="60"/>
        <v/>
      </c>
      <c r="J1983" t="b">
        <f t="shared" si="61"/>
        <v>0</v>
      </c>
    </row>
    <row r="1984" spans="3:10" x14ac:dyDescent="0.25">
      <c r="C1984" s="4"/>
      <c r="E1984" s="4"/>
      <c r="H1984" s="31" t="str">
        <f t="shared" si="60"/>
        <v/>
      </c>
      <c r="J1984" t="b">
        <f t="shared" si="61"/>
        <v>0</v>
      </c>
    </row>
    <row r="1985" spans="3:10" x14ac:dyDescent="0.25">
      <c r="C1985" s="4"/>
      <c r="E1985" s="4"/>
      <c r="H1985" s="31" t="str">
        <f t="shared" si="60"/>
        <v/>
      </c>
      <c r="J1985" t="b">
        <f t="shared" si="61"/>
        <v>0</v>
      </c>
    </row>
    <row r="1986" spans="3:10" x14ac:dyDescent="0.25">
      <c r="C1986" s="4"/>
      <c r="E1986" s="4"/>
      <c r="H1986" s="31" t="str">
        <f t="shared" si="60"/>
        <v/>
      </c>
      <c r="J1986" t="b">
        <f t="shared" si="61"/>
        <v>0</v>
      </c>
    </row>
    <row r="1987" spans="3:10" x14ac:dyDescent="0.25">
      <c r="C1987" s="4"/>
      <c r="E1987" s="4"/>
      <c r="H1987" s="31" t="str">
        <f t="shared" si="60"/>
        <v/>
      </c>
      <c r="J1987" t="b">
        <f t="shared" si="61"/>
        <v>0</v>
      </c>
    </row>
    <row r="1988" spans="3:10" x14ac:dyDescent="0.25">
      <c r="C1988" s="4"/>
      <c r="E1988" s="4"/>
      <c r="H1988" s="31" t="str">
        <f t="shared" ref="H1988:H2051" si="62">IF($J1988=TRUE,"Il ne peut y avoir des valeurs dans les 2 méthodes",IF($D1988="kg/l",$C1988,IF($D1988="g/l",$C1988/1000,IF($D1988="lb/gal US",$C1988*0.454/3.785,IF($G1988="kg/l",($E1988/100)*$F1988,IF($G1988="g/l",($E1988/100)*$F1988/1000,IF($G1988="lb/gal US",($E1988/100)*$F1988*0.454/3.785,"")))))))</f>
        <v/>
      </c>
      <c r="J1988" t="b">
        <f t="shared" ref="J1988:J2051" si="63">IF(AND(OR($C1988&lt;&gt;"",$D1988&lt;&gt;""),OR($E1988&lt;&gt;"",F1988&lt;&gt;"",G1988&lt;&gt;"")),TRUE,FALSE)</f>
        <v>0</v>
      </c>
    </row>
    <row r="1989" spans="3:10" x14ac:dyDescent="0.25">
      <c r="C1989" s="4"/>
      <c r="E1989" s="4"/>
      <c r="H1989" s="31" t="str">
        <f t="shared" si="62"/>
        <v/>
      </c>
      <c r="J1989" t="b">
        <f t="shared" si="63"/>
        <v>0</v>
      </c>
    </row>
    <row r="1990" spans="3:10" x14ac:dyDescent="0.25">
      <c r="C1990" s="4"/>
      <c r="E1990" s="4"/>
      <c r="H1990" s="31" t="str">
        <f t="shared" si="62"/>
        <v/>
      </c>
      <c r="J1990" t="b">
        <f t="shared" si="63"/>
        <v>0</v>
      </c>
    </row>
    <row r="1991" spans="3:10" x14ac:dyDescent="0.25">
      <c r="C1991" s="4"/>
      <c r="E1991" s="4"/>
      <c r="H1991" s="31" t="str">
        <f t="shared" si="62"/>
        <v/>
      </c>
      <c r="J1991" t="b">
        <f t="shared" si="63"/>
        <v>0</v>
      </c>
    </row>
    <row r="1992" spans="3:10" x14ac:dyDescent="0.25">
      <c r="C1992" s="4"/>
      <c r="E1992" s="4"/>
      <c r="H1992" s="31" t="str">
        <f t="shared" si="62"/>
        <v/>
      </c>
      <c r="J1992" t="b">
        <f t="shared" si="63"/>
        <v>0</v>
      </c>
    </row>
    <row r="1993" spans="3:10" x14ac:dyDescent="0.25">
      <c r="C1993" s="4"/>
      <c r="E1993" s="4"/>
      <c r="H1993" s="31" t="str">
        <f t="shared" si="62"/>
        <v/>
      </c>
      <c r="J1993" t="b">
        <f t="shared" si="63"/>
        <v>0</v>
      </c>
    </row>
    <row r="1994" spans="3:10" x14ac:dyDescent="0.25">
      <c r="C1994" s="4"/>
      <c r="E1994" s="4"/>
      <c r="H1994" s="31" t="str">
        <f t="shared" si="62"/>
        <v/>
      </c>
      <c r="J1994" t="b">
        <f t="shared" si="63"/>
        <v>0</v>
      </c>
    </row>
    <row r="1995" spans="3:10" x14ac:dyDescent="0.25">
      <c r="C1995" s="4"/>
      <c r="E1995" s="4"/>
      <c r="H1995" s="31" t="str">
        <f t="shared" si="62"/>
        <v/>
      </c>
      <c r="J1995" t="b">
        <f t="shared" si="63"/>
        <v>0</v>
      </c>
    </row>
    <row r="1996" spans="3:10" x14ac:dyDescent="0.25">
      <c r="C1996" s="4"/>
      <c r="E1996" s="4"/>
      <c r="H1996" s="31" t="str">
        <f t="shared" si="62"/>
        <v/>
      </c>
      <c r="J1996" t="b">
        <f t="shared" si="63"/>
        <v>0</v>
      </c>
    </row>
    <row r="1997" spans="3:10" x14ac:dyDescent="0.25">
      <c r="C1997" s="4"/>
      <c r="E1997" s="4"/>
      <c r="H1997" s="31" t="str">
        <f t="shared" si="62"/>
        <v/>
      </c>
      <c r="J1997" t="b">
        <f t="shared" si="63"/>
        <v>0</v>
      </c>
    </row>
    <row r="1998" spans="3:10" x14ac:dyDescent="0.25">
      <c r="C1998" s="4"/>
      <c r="E1998" s="4"/>
      <c r="H1998" s="31" t="str">
        <f t="shared" si="62"/>
        <v/>
      </c>
      <c r="J1998" t="b">
        <f t="shared" si="63"/>
        <v>0</v>
      </c>
    </row>
    <row r="1999" spans="3:10" x14ac:dyDescent="0.25">
      <c r="C1999" s="4"/>
      <c r="E1999" s="4"/>
      <c r="H1999" s="31" t="str">
        <f t="shared" si="62"/>
        <v/>
      </c>
      <c r="J1999" t="b">
        <f t="shared" si="63"/>
        <v>0</v>
      </c>
    </row>
    <row r="2000" spans="3:10" x14ac:dyDescent="0.25">
      <c r="C2000" s="4"/>
      <c r="E2000" s="4"/>
      <c r="H2000" s="31" t="str">
        <f t="shared" si="62"/>
        <v/>
      </c>
      <c r="J2000" t="b">
        <f t="shared" si="63"/>
        <v>0</v>
      </c>
    </row>
    <row r="2001" spans="3:10" x14ac:dyDescent="0.25">
      <c r="C2001" s="4"/>
      <c r="E2001" s="4"/>
      <c r="H2001" s="31" t="str">
        <f t="shared" si="62"/>
        <v/>
      </c>
      <c r="J2001" t="b">
        <f t="shared" si="63"/>
        <v>0</v>
      </c>
    </row>
    <row r="2002" spans="3:10" x14ac:dyDescent="0.25">
      <c r="C2002" s="4"/>
      <c r="E2002" s="4"/>
      <c r="H2002" s="31" t="str">
        <f t="shared" si="62"/>
        <v/>
      </c>
      <c r="J2002" t="b">
        <f t="shared" si="63"/>
        <v>0</v>
      </c>
    </row>
    <row r="2003" spans="3:10" x14ac:dyDescent="0.25">
      <c r="C2003" s="4"/>
      <c r="E2003" s="4"/>
      <c r="H2003" s="31" t="str">
        <f t="shared" si="62"/>
        <v/>
      </c>
      <c r="J2003" t="b">
        <f t="shared" si="63"/>
        <v>0</v>
      </c>
    </row>
    <row r="2004" spans="3:10" x14ac:dyDescent="0.25">
      <c r="C2004" s="4"/>
      <c r="E2004" s="4"/>
      <c r="H2004" s="31" t="str">
        <f t="shared" si="62"/>
        <v/>
      </c>
      <c r="J2004" t="b">
        <f t="shared" si="63"/>
        <v>0</v>
      </c>
    </row>
    <row r="2005" spans="3:10" x14ac:dyDescent="0.25">
      <c r="C2005" s="4"/>
      <c r="E2005" s="4"/>
      <c r="H2005" s="31" t="str">
        <f t="shared" si="62"/>
        <v/>
      </c>
      <c r="J2005" t="b">
        <f t="shared" si="63"/>
        <v>0</v>
      </c>
    </row>
    <row r="2006" spans="3:10" x14ac:dyDescent="0.25">
      <c r="C2006" s="4"/>
      <c r="E2006" s="4"/>
      <c r="H2006" s="31" t="str">
        <f t="shared" si="62"/>
        <v/>
      </c>
      <c r="J2006" t="b">
        <f t="shared" si="63"/>
        <v>0</v>
      </c>
    </row>
    <row r="2007" spans="3:10" x14ac:dyDescent="0.25">
      <c r="C2007" s="4"/>
      <c r="E2007" s="4"/>
      <c r="H2007" s="31" t="str">
        <f t="shared" si="62"/>
        <v/>
      </c>
      <c r="J2007" t="b">
        <f t="shared" si="63"/>
        <v>0</v>
      </c>
    </row>
    <row r="2008" spans="3:10" x14ac:dyDescent="0.25">
      <c r="C2008" s="4"/>
      <c r="E2008" s="4"/>
      <c r="H2008" s="31" t="str">
        <f t="shared" si="62"/>
        <v/>
      </c>
      <c r="J2008" t="b">
        <f t="shared" si="63"/>
        <v>0</v>
      </c>
    </row>
    <row r="2009" spans="3:10" x14ac:dyDescent="0.25">
      <c r="C2009" s="4"/>
      <c r="E2009" s="4"/>
      <c r="H2009" s="31" t="str">
        <f t="shared" si="62"/>
        <v/>
      </c>
      <c r="J2009" t="b">
        <f t="shared" si="63"/>
        <v>0</v>
      </c>
    </row>
    <row r="2010" spans="3:10" x14ac:dyDescent="0.25">
      <c r="C2010" s="4"/>
      <c r="E2010" s="4"/>
      <c r="H2010" s="31" t="str">
        <f t="shared" si="62"/>
        <v/>
      </c>
      <c r="J2010" t="b">
        <f t="shared" si="63"/>
        <v>0</v>
      </c>
    </row>
    <row r="2011" spans="3:10" x14ac:dyDescent="0.25">
      <c r="C2011" s="4"/>
      <c r="E2011" s="4"/>
      <c r="H2011" s="31" t="str">
        <f t="shared" si="62"/>
        <v/>
      </c>
      <c r="J2011" t="b">
        <f t="shared" si="63"/>
        <v>0</v>
      </c>
    </row>
    <row r="2012" spans="3:10" x14ac:dyDescent="0.25">
      <c r="C2012" s="4"/>
      <c r="E2012" s="4"/>
      <c r="H2012" s="31" t="str">
        <f t="shared" si="62"/>
        <v/>
      </c>
      <c r="J2012" t="b">
        <f t="shared" si="63"/>
        <v>0</v>
      </c>
    </row>
    <row r="2013" spans="3:10" x14ac:dyDescent="0.25">
      <c r="C2013" s="4"/>
      <c r="E2013" s="4"/>
      <c r="H2013" s="31" t="str">
        <f t="shared" si="62"/>
        <v/>
      </c>
      <c r="J2013" t="b">
        <f t="shared" si="63"/>
        <v>0</v>
      </c>
    </row>
    <row r="2014" spans="3:10" x14ac:dyDescent="0.25">
      <c r="C2014" s="4"/>
      <c r="E2014" s="4"/>
      <c r="H2014" s="31" t="str">
        <f t="shared" si="62"/>
        <v/>
      </c>
      <c r="J2014" t="b">
        <f t="shared" si="63"/>
        <v>0</v>
      </c>
    </row>
    <row r="2015" spans="3:10" x14ac:dyDescent="0.25">
      <c r="C2015" s="4"/>
      <c r="E2015" s="4"/>
      <c r="H2015" s="31" t="str">
        <f t="shared" si="62"/>
        <v/>
      </c>
      <c r="J2015" t="b">
        <f t="shared" si="63"/>
        <v>0</v>
      </c>
    </row>
    <row r="2016" spans="3:10" x14ac:dyDescent="0.25">
      <c r="C2016" s="4"/>
      <c r="E2016" s="4"/>
      <c r="H2016" s="31" t="str">
        <f t="shared" si="62"/>
        <v/>
      </c>
      <c r="J2016" t="b">
        <f t="shared" si="63"/>
        <v>0</v>
      </c>
    </row>
    <row r="2017" spans="3:10" x14ac:dyDescent="0.25">
      <c r="C2017" s="4"/>
      <c r="E2017" s="4"/>
      <c r="H2017" s="31" t="str">
        <f t="shared" si="62"/>
        <v/>
      </c>
      <c r="J2017" t="b">
        <f t="shared" si="63"/>
        <v>0</v>
      </c>
    </row>
    <row r="2018" spans="3:10" x14ac:dyDescent="0.25">
      <c r="C2018" s="4"/>
      <c r="E2018" s="4"/>
      <c r="H2018" s="31" t="str">
        <f t="shared" si="62"/>
        <v/>
      </c>
      <c r="J2018" t="b">
        <f t="shared" si="63"/>
        <v>0</v>
      </c>
    </row>
    <row r="2019" spans="3:10" x14ac:dyDescent="0.25">
      <c r="C2019" s="4"/>
      <c r="E2019" s="4"/>
      <c r="H2019" s="31" t="str">
        <f t="shared" si="62"/>
        <v/>
      </c>
      <c r="J2019" t="b">
        <f t="shared" si="63"/>
        <v>0</v>
      </c>
    </row>
    <row r="2020" spans="3:10" x14ac:dyDescent="0.25">
      <c r="C2020" s="4"/>
      <c r="E2020" s="4"/>
      <c r="H2020" s="31" t="str">
        <f t="shared" si="62"/>
        <v/>
      </c>
      <c r="J2020" t="b">
        <f t="shared" si="63"/>
        <v>0</v>
      </c>
    </row>
    <row r="2021" spans="3:10" x14ac:dyDescent="0.25">
      <c r="C2021" s="4"/>
      <c r="E2021" s="4"/>
      <c r="H2021" s="31" t="str">
        <f t="shared" si="62"/>
        <v/>
      </c>
      <c r="J2021" t="b">
        <f t="shared" si="63"/>
        <v>0</v>
      </c>
    </row>
    <row r="2022" spans="3:10" x14ac:dyDescent="0.25">
      <c r="C2022" s="4"/>
      <c r="E2022" s="4"/>
      <c r="H2022" s="31" t="str">
        <f t="shared" si="62"/>
        <v/>
      </c>
      <c r="J2022" t="b">
        <f t="shared" si="63"/>
        <v>0</v>
      </c>
    </row>
    <row r="2023" spans="3:10" x14ac:dyDescent="0.25">
      <c r="C2023" s="4"/>
      <c r="E2023" s="4"/>
      <c r="H2023" s="31" t="str">
        <f t="shared" si="62"/>
        <v/>
      </c>
      <c r="J2023" t="b">
        <f t="shared" si="63"/>
        <v>0</v>
      </c>
    </row>
    <row r="2024" spans="3:10" x14ac:dyDescent="0.25">
      <c r="C2024" s="4"/>
      <c r="E2024" s="4"/>
      <c r="H2024" s="31" t="str">
        <f t="shared" si="62"/>
        <v/>
      </c>
      <c r="J2024" t="b">
        <f t="shared" si="63"/>
        <v>0</v>
      </c>
    </row>
    <row r="2025" spans="3:10" x14ac:dyDescent="0.25">
      <c r="C2025" s="4"/>
      <c r="E2025" s="4"/>
      <c r="H2025" s="31" t="str">
        <f t="shared" si="62"/>
        <v/>
      </c>
      <c r="J2025" t="b">
        <f t="shared" si="63"/>
        <v>0</v>
      </c>
    </row>
    <row r="2026" spans="3:10" x14ac:dyDescent="0.25">
      <c r="C2026" s="4"/>
      <c r="E2026" s="4"/>
      <c r="H2026" s="31" t="str">
        <f t="shared" si="62"/>
        <v/>
      </c>
      <c r="J2026" t="b">
        <f t="shared" si="63"/>
        <v>0</v>
      </c>
    </row>
    <row r="2027" spans="3:10" x14ac:dyDescent="0.25">
      <c r="C2027" s="4"/>
      <c r="E2027" s="4"/>
      <c r="H2027" s="31" t="str">
        <f t="shared" si="62"/>
        <v/>
      </c>
      <c r="J2027" t="b">
        <f t="shared" si="63"/>
        <v>0</v>
      </c>
    </row>
    <row r="2028" spans="3:10" x14ac:dyDescent="0.25">
      <c r="C2028" s="4"/>
      <c r="E2028" s="4"/>
      <c r="H2028" s="31" t="str">
        <f t="shared" si="62"/>
        <v/>
      </c>
      <c r="J2028" t="b">
        <f t="shared" si="63"/>
        <v>0</v>
      </c>
    </row>
    <row r="2029" spans="3:10" x14ac:dyDescent="0.25">
      <c r="C2029" s="4"/>
      <c r="E2029" s="4"/>
      <c r="H2029" s="31" t="str">
        <f t="shared" si="62"/>
        <v/>
      </c>
      <c r="J2029" t="b">
        <f t="shared" si="63"/>
        <v>0</v>
      </c>
    </row>
    <row r="2030" spans="3:10" x14ac:dyDescent="0.25">
      <c r="C2030" s="4"/>
      <c r="E2030" s="4"/>
      <c r="H2030" s="31" t="str">
        <f t="shared" si="62"/>
        <v/>
      </c>
      <c r="J2030" t="b">
        <f t="shared" si="63"/>
        <v>0</v>
      </c>
    </row>
    <row r="2031" spans="3:10" x14ac:dyDescent="0.25">
      <c r="C2031" s="4"/>
      <c r="E2031" s="4"/>
      <c r="H2031" s="31" t="str">
        <f t="shared" si="62"/>
        <v/>
      </c>
      <c r="J2031" t="b">
        <f t="shared" si="63"/>
        <v>0</v>
      </c>
    </row>
    <row r="2032" spans="3:10" x14ac:dyDescent="0.25">
      <c r="C2032" s="4"/>
      <c r="E2032" s="4"/>
      <c r="H2032" s="31" t="str">
        <f t="shared" si="62"/>
        <v/>
      </c>
      <c r="J2032" t="b">
        <f t="shared" si="63"/>
        <v>0</v>
      </c>
    </row>
    <row r="2033" spans="3:10" x14ac:dyDescent="0.25">
      <c r="C2033" s="4"/>
      <c r="E2033" s="4"/>
      <c r="H2033" s="31" t="str">
        <f t="shared" si="62"/>
        <v/>
      </c>
      <c r="J2033" t="b">
        <f t="shared" si="63"/>
        <v>0</v>
      </c>
    </row>
    <row r="2034" spans="3:10" x14ac:dyDescent="0.25">
      <c r="C2034" s="4"/>
      <c r="E2034" s="4"/>
      <c r="H2034" s="31" t="str">
        <f t="shared" si="62"/>
        <v/>
      </c>
      <c r="J2034" t="b">
        <f t="shared" si="63"/>
        <v>0</v>
      </c>
    </row>
    <row r="2035" spans="3:10" x14ac:dyDescent="0.25">
      <c r="C2035" s="4"/>
      <c r="E2035" s="4"/>
      <c r="H2035" s="31" t="str">
        <f t="shared" si="62"/>
        <v/>
      </c>
      <c r="J2035" t="b">
        <f t="shared" si="63"/>
        <v>0</v>
      </c>
    </row>
    <row r="2036" spans="3:10" x14ac:dyDescent="0.25">
      <c r="C2036" s="4"/>
      <c r="E2036" s="4"/>
      <c r="H2036" s="31" t="str">
        <f t="shared" si="62"/>
        <v/>
      </c>
      <c r="J2036" t="b">
        <f t="shared" si="63"/>
        <v>0</v>
      </c>
    </row>
    <row r="2037" spans="3:10" x14ac:dyDescent="0.25">
      <c r="C2037" s="4"/>
      <c r="E2037" s="4"/>
      <c r="H2037" s="31" t="str">
        <f t="shared" si="62"/>
        <v/>
      </c>
      <c r="J2037" t="b">
        <f t="shared" si="63"/>
        <v>0</v>
      </c>
    </row>
    <row r="2038" spans="3:10" x14ac:dyDescent="0.25">
      <c r="C2038" s="4"/>
      <c r="E2038" s="4"/>
      <c r="H2038" s="31" t="str">
        <f t="shared" si="62"/>
        <v/>
      </c>
      <c r="J2038" t="b">
        <f t="shared" si="63"/>
        <v>0</v>
      </c>
    </row>
    <row r="2039" spans="3:10" x14ac:dyDescent="0.25">
      <c r="C2039" s="4"/>
      <c r="E2039" s="4"/>
      <c r="H2039" s="31" t="str">
        <f t="shared" si="62"/>
        <v/>
      </c>
      <c r="J2039" t="b">
        <f t="shared" si="63"/>
        <v>0</v>
      </c>
    </row>
    <row r="2040" spans="3:10" x14ac:dyDescent="0.25">
      <c r="C2040" s="4"/>
      <c r="E2040" s="4"/>
      <c r="H2040" s="31" t="str">
        <f t="shared" si="62"/>
        <v/>
      </c>
      <c r="J2040" t="b">
        <f t="shared" si="63"/>
        <v>0</v>
      </c>
    </row>
    <row r="2041" spans="3:10" x14ac:dyDescent="0.25">
      <c r="C2041" s="4"/>
      <c r="E2041" s="4"/>
      <c r="H2041" s="31" t="str">
        <f t="shared" si="62"/>
        <v/>
      </c>
      <c r="J2041" t="b">
        <f t="shared" si="63"/>
        <v>0</v>
      </c>
    </row>
    <row r="2042" spans="3:10" x14ac:dyDescent="0.25">
      <c r="C2042" s="4"/>
      <c r="E2042" s="4"/>
      <c r="H2042" s="31" t="str">
        <f t="shared" si="62"/>
        <v/>
      </c>
      <c r="J2042" t="b">
        <f t="shared" si="63"/>
        <v>0</v>
      </c>
    </row>
    <row r="2043" spans="3:10" x14ac:dyDescent="0.25">
      <c r="C2043" s="4"/>
      <c r="E2043" s="4"/>
      <c r="H2043" s="31" t="str">
        <f t="shared" si="62"/>
        <v/>
      </c>
      <c r="J2043" t="b">
        <f t="shared" si="63"/>
        <v>0</v>
      </c>
    </row>
    <row r="2044" spans="3:10" x14ac:dyDescent="0.25">
      <c r="C2044" s="4"/>
      <c r="E2044" s="4"/>
      <c r="H2044" s="31" t="str">
        <f t="shared" si="62"/>
        <v/>
      </c>
      <c r="J2044" t="b">
        <f t="shared" si="63"/>
        <v>0</v>
      </c>
    </row>
    <row r="2045" spans="3:10" x14ac:dyDescent="0.25">
      <c r="C2045" s="4"/>
      <c r="E2045" s="4"/>
      <c r="H2045" s="31" t="str">
        <f t="shared" si="62"/>
        <v/>
      </c>
      <c r="J2045" t="b">
        <f t="shared" si="63"/>
        <v>0</v>
      </c>
    </row>
    <row r="2046" spans="3:10" x14ac:dyDescent="0.25">
      <c r="C2046" s="4"/>
      <c r="E2046" s="4"/>
      <c r="H2046" s="31" t="str">
        <f t="shared" si="62"/>
        <v/>
      </c>
      <c r="J2046" t="b">
        <f t="shared" si="63"/>
        <v>0</v>
      </c>
    </row>
    <row r="2047" spans="3:10" x14ac:dyDescent="0.25">
      <c r="C2047" s="4"/>
      <c r="E2047" s="4"/>
      <c r="H2047" s="31" t="str">
        <f t="shared" si="62"/>
        <v/>
      </c>
      <c r="J2047" t="b">
        <f t="shared" si="63"/>
        <v>0</v>
      </c>
    </row>
    <row r="2048" spans="3:10" x14ac:dyDescent="0.25">
      <c r="C2048" s="4"/>
      <c r="E2048" s="4"/>
      <c r="H2048" s="31" t="str">
        <f t="shared" si="62"/>
        <v/>
      </c>
      <c r="J2048" t="b">
        <f t="shared" si="63"/>
        <v>0</v>
      </c>
    </row>
    <row r="2049" spans="3:10" x14ac:dyDescent="0.25">
      <c r="C2049" s="4"/>
      <c r="E2049" s="4"/>
      <c r="H2049" s="31" t="str">
        <f t="shared" si="62"/>
        <v/>
      </c>
      <c r="J2049" t="b">
        <f t="shared" si="63"/>
        <v>0</v>
      </c>
    </row>
    <row r="2050" spans="3:10" x14ac:dyDescent="0.25">
      <c r="C2050" s="4"/>
      <c r="E2050" s="4"/>
      <c r="H2050" s="31" t="str">
        <f t="shared" si="62"/>
        <v/>
      </c>
      <c r="J2050" t="b">
        <f t="shared" si="63"/>
        <v>0</v>
      </c>
    </row>
    <row r="2051" spans="3:10" x14ac:dyDescent="0.25">
      <c r="C2051" s="4"/>
      <c r="E2051" s="4"/>
      <c r="H2051" s="31" t="str">
        <f t="shared" si="62"/>
        <v/>
      </c>
      <c r="J2051" t="b">
        <f t="shared" si="63"/>
        <v>0</v>
      </c>
    </row>
    <row r="2052" spans="3:10" x14ac:dyDescent="0.25">
      <c r="C2052" s="4"/>
      <c r="E2052" s="4"/>
      <c r="H2052" s="31" t="str">
        <f t="shared" ref="H2052:H2115" si="64">IF($J2052=TRUE,"Il ne peut y avoir des valeurs dans les 2 méthodes",IF($D2052="kg/l",$C2052,IF($D2052="g/l",$C2052/1000,IF($D2052="lb/gal US",$C2052*0.454/3.785,IF($G2052="kg/l",($E2052/100)*$F2052,IF($G2052="g/l",($E2052/100)*$F2052/1000,IF($G2052="lb/gal US",($E2052/100)*$F2052*0.454/3.785,"")))))))</f>
        <v/>
      </c>
      <c r="J2052" t="b">
        <f t="shared" ref="J2052:J2115" si="65">IF(AND(OR($C2052&lt;&gt;"",$D2052&lt;&gt;""),OR($E2052&lt;&gt;"",F2052&lt;&gt;"",G2052&lt;&gt;"")),TRUE,FALSE)</f>
        <v>0</v>
      </c>
    </row>
    <row r="2053" spans="3:10" x14ac:dyDescent="0.25">
      <c r="C2053" s="4"/>
      <c r="E2053" s="4"/>
      <c r="H2053" s="31" t="str">
        <f t="shared" si="64"/>
        <v/>
      </c>
      <c r="J2053" t="b">
        <f t="shared" si="65"/>
        <v>0</v>
      </c>
    </row>
    <row r="2054" spans="3:10" x14ac:dyDescent="0.25">
      <c r="C2054" s="4"/>
      <c r="E2054" s="4"/>
      <c r="H2054" s="31" t="str">
        <f t="shared" si="64"/>
        <v/>
      </c>
      <c r="J2054" t="b">
        <f t="shared" si="65"/>
        <v>0</v>
      </c>
    </row>
    <row r="2055" spans="3:10" x14ac:dyDescent="0.25">
      <c r="C2055" s="4"/>
      <c r="E2055" s="4"/>
      <c r="H2055" s="31" t="str">
        <f t="shared" si="64"/>
        <v/>
      </c>
      <c r="J2055" t="b">
        <f t="shared" si="65"/>
        <v>0</v>
      </c>
    </row>
    <row r="2056" spans="3:10" x14ac:dyDescent="0.25">
      <c r="C2056" s="4"/>
      <c r="E2056" s="4"/>
      <c r="H2056" s="31" t="str">
        <f t="shared" si="64"/>
        <v/>
      </c>
      <c r="J2056" t="b">
        <f t="shared" si="65"/>
        <v>0</v>
      </c>
    </row>
    <row r="2057" spans="3:10" x14ac:dyDescent="0.25">
      <c r="C2057" s="4"/>
      <c r="E2057" s="4"/>
      <c r="H2057" s="31" t="str">
        <f t="shared" si="64"/>
        <v/>
      </c>
      <c r="J2057" t="b">
        <f t="shared" si="65"/>
        <v>0</v>
      </c>
    </row>
    <row r="2058" spans="3:10" x14ac:dyDescent="0.25">
      <c r="C2058" s="4"/>
      <c r="E2058" s="4"/>
      <c r="H2058" s="31" t="str">
        <f t="shared" si="64"/>
        <v/>
      </c>
      <c r="J2058" t="b">
        <f t="shared" si="65"/>
        <v>0</v>
      </c>
    </row>
    <row r="2059" spans="3:10" x14ac:dyDescent="0.25">
      <c r="C2059" s="4"/>
      <c r="E2059" s="4"/>
      <c r="H2059" s="31" t="str">
        <f t="shared" si="64"/>
        <v/>
      </c>
      <c r="J2059" t="b">
        <f t="shared" si="65"/>
        <v>0</v>
      </c>
    </row>
    <row r="2060" spans="3:10" x14ac:dyDescent="0.25">
      <c r="C2060" s="4"/>
      <c r="E2060" s="4"/>
      <c r="H2060" s="31" t="str">
        <f t="shared" si="64"/>
        <v/>
      </c>
      <c r="J2060" t="b">
        <f t="shared" si="65"/>
        <v>0</v>
      </c>
    </row>
    <row r="2061" spans="3:10" x14ac:dyDescent="0.25">
      <c r="C2061" s="4"/>
      <c r="E2061" s="4"/>
      <c r="H2061" s="31" t="str">
        <f t="shared" si="64"/>
        <v/>
      </c>
      <c r="J2061" t="b">
        <f t="shared" si="65"/>
        <v>0</v>
      </c>
    </row>
    <row r="2062" spans="3:10" x14ac:dyDescent="0.25">
      <c r="C2062" s="4"/>
      <c r="E2062" s="4"/>
      <c r="H2062" s="31" t="str">
        <f t="shared" si="64"/>
        <v/>
      </c>
      <c r="J2062" t="b">
        <f t="shared" si="65"/>
        <v>0</v>
      </c>
    </row>
    <row r="2063" spans="3:10" x14ac:dyDescent="0.25">
      <c r="C2063" s="4"/>
      <c r="E2063" s="4"/>
      <c r="H2063" s="31" t="str">
        <f t="shared" si="64"/>
        <v/>
      </c>
      <c r="J2063" t="b">
        <f t="shared" si="65"/>
        <v>0</v>
      </c>
    </row>
    <row r="2064" spans="3:10" x14ac:dyDescent="0.25">
      <c r="C2064" s="4"/>
      <c r="E2064" s="4"/>
      <c r="H2064" s="31" t="str">
        <f t="shared" si="64"/>
        <v/>
      </c>
      <c r="J2064" t="b">
        <f t="shared" si="65"/>
        <v>0</v>
      </c>
    </row>
    <row r="2065" spans="3:10" x14ac:dyDescent="0.25">
      <c r="C2065" s="4"/>
      <c r="E2065" s="4"/>
      <c r="H2065" s="31" t="str">
        <f t="shared" si="64"/>
        <v/>
      </c>
      <c r="J2065" t="b">
        <f t="shared" si="65"/>
        <v>0</v>
      </c>
    </row>
    <row r="2066" spans="3:10" x14ac:dyDescent="0.25">
      <c r="C2066" s="4"/>
      <c r="E2066" s="4"/>
      <c r="H2066" s="31" t="str">
        <f t="shared" si="64"/>
        <v/>
      </c>
      <c r="J2066" t="b">
        <f t="shared" si="65"/>
        <v>0</v>
      </c>
    </row>
    <row r="2067" spans="3:10" x14ac:dyDescent="0.25">
      <c r="C2067" s="4"/>
      <c r="E2067" s="4"/>
      <c r="H2067" s="31" t="str">
        <f t="shared" si="64"/>
        <v/>
      </c>
      <c r="J2067" t="b">
        <f t="shared" si="65"/>
        <v>0</v>
      </c>
    </row>
    <row r="2068" spans="3:10" x14ac:dyDescent="0.25">
      <c r="C2068" s="4"/>
      <c r="E2068" s="4"/>
      <c r="H2068" s="31" t="str">
        <f t="shared" si="64"/>
        <v/>
      </c>
      <c r="J2068" t="b">
        <f t="shared" si="65"/>
        <v>0</v>
      </c>
    </row>
    <row r="2069" spans="3:10" x14ac:dyDescent="0.25">
      <c r="C2069" s="4"/>
      <c r="E2069" s="4"/>
      <c r="H2069" s="31" t="str">
        <f t="shared" si="64"/>
        <v/>
      </c>
      <c r="J2069" t="b">
        <f t="shared" si="65"/>
        <v>0</v>
      </c>
    </row>
    <row r="2070" spans="3:10" x14ac:dyDescent="0.25">
      <c r="C2070" s="4"/>
      <c r="E2070" s="4"/>
      <c r="H2070" s="31" t="str">
        <f t="shared" si="64"/>
        <v/>
      </c>
      <c r="J2070" t="b">
        <f t="shared" si="65"/>
        <v>0</v>
      </c>
    </row>
    <row r="2071" spans="3:10" x14ac:dyDescent="0.25">
      <c r="C2071" s="4"/>
      <c r="E2071" s="4"/>
      <c r="H2071" s="31" t="str">
        <f t="shared" si="64"/>
        <v/>
      </c>
      <c r="J2071" t="b">
        <f t="shared" si="65"/>
        <v>0</v>
      </c>
    </row>
    <row r="2072" spans="3:10" x14ac:dyDescent="0.25">
      <c r="C2072" s="4"/>
      <c r="E2072" s="4"/>
      <c r="H2072" s="31" t="str">
        <f t="shared" si="64"/>
        <v/>
      </c>
      <c r="J2072" t="b">
        <f t="shared" si="65"/>
        <v>0</v>
      </c>
    </row>
    <row r="2073" spans="3:10" x14ac:dyDescent="0.25">
      <c r="C2073" s="4"/>
      <c r="E2073" s="4"/>
      <c r="H2073" s="31" t="str">
        <f t="shared" si="64"/>
        <v/>
      </c>
      <c r="J2073" t="b">
        <f t="shared" si="65"/>
        <v>0</v>
      </c>
    </row>
    <row r="2074" spans="3:10" x14ac:dyDescent="0.25">
      <c r="C2074" s="4"/>
      <c r="E2074" s="4"/>
      <c r="H2074" s="31" t="str">
        <f t="shared" si="64"/>
        <v/>
      </c>
      <c r="J2074" t="b">
        <f t="shared" si="65"/>
        <v>0</v>
      </c>
    </row>
    <row r="2075" spans="3:10" x14ac:dyDescent="0.25">
      <c r="C2075" s="4"/>
      <c r="E2075" s="4"/>
      <c r="H2075" s="31" t="str">
        <f t="shared" si="64"/>
        <v/>
      </c>
      <c r="J2075" t="b">
        <f t="shared" si="65"/>
        <v>0</v>
      </c>
    </row>
    <row r="2076" spans="3:10" x14ac:dyDescent="0.25">
      <c r="C2076" s="4"/>
      <c r="E2076" s="4"/>
      <c r="H2076" s="31" t="str">
        <f t="shared" si="64"/>
        <v/>
      </c>
      <c r="J2076" t="b">
        <f t="shared" si="65"/>
        <v>0</v>
      </c>
    </row>
    <row r="2077" spans="3:10" x14ac:dyDescent="0.25">
      <c r="C2077" s="4"/>
      <c r="E2077" s="4"/>
      <c r="H2077" s="31" t="str">
        <f t="shared" si="64"/>
        <v/>
      </c>
      <c r="J2077" t="b">
        <f t="shared" si="65"/>
        <v>0</v>
      </c>
    </row>
    <row r="2078" spans="3:10" x14ac:dyDescent="0.25">
      <c r="C2078" s="4"/>
      <c r="E2078" s="4"/>
      <c r="H2078" s="31" t="str">
        <f t="shared" si="64"/>
        <v/>
      </c>
      <c r="J2078" t="b">
        <f t="shared" si="65"/>
        <v>0</v>
      </c>
    </row>
    <row r="2079" spans="3:10" x14ac:dyDescent="0.25">
      <c r="C2079" s="4"/>
      <c r="E2079" s="4"/>
      <c r="H2079" s="31" t="str">
        <f t="shared" si="64"/>
        <v/>
      </c>
      <c r="J2079" t="b">
        <f t="shared" si="65"/>
        <v>0</v>
      </c>
    </row>
    <row r="2080" spans="3:10" x14ac:dyDescent="0.25">
      <c r="C2080" s="4"/>
      <c r="E2080" s="4"/>
      <c r="H2080" s="31" t="str">
        <f t="shared" si="64"/>
        <v/>
      </c>
      <c r="J2080" t="b">
        <f t="shared" si="65"/>
        <v>0</v>
      </c>
    </row>
    <row r="2081" spans="3:10" x14ac:dyDescent="0.25">
      <c r="C2081" s="4"/>
      <c r="E2081" s="4"/>
      <c r="H2081" s="31" t="str">
        <f t="shared" si="64"/>
        <v/>
      </c>
      <c r="J2081" t="b">
        <f t="shared" si="65"/>
        <v>0</v>
      </c>
    </row>
    <row r="2082" spans="3:10" x14ac:dyDescent="0.25">
      <c r="C2082" s="4"/>
      <c r="E2082" s="4"/>
      <c r="H2082" s="31" t="str">
        <f t="shared" si="64"/>
        <v/>
      </c>
      <c r="J2082" t="b">
        <f t="shared" si="65"/>
        <v>0</v>
      </c>
    </row>
    <row r="2083" spans="3:10" x14ac:dyDescent="0.25">
      <c r="C2083" s="4"/>
      <c r="E2083" s="4"/>
      <c r="H2083" s="31" t="str">
        <f t="shared" si="64"/>
        <v/>
      </c>
      <c r="J2083" t="b">
        <f t="shared" si="65"/>
        <v>0</v>
      </c>
    </row>
    <row r="2084" spans="3:10" x14ac:dyDescent="0.25">
      <c r="C2084" s="4"/>
      <c r="E2084" s="4"/>
      <c r="H2084" s="31" t="str">
        <f t="shared" si="64"/>
        <v/>
      </c>
      <c r="J2084" t="b">
        <f t="shared" si="65"/>
        <v>0</v>
      </c>
    </row>
    <row r="2085" spans="3:10" x14ac:dyDescent="0.25">
      <c r="C2085" s="4"/>
      <c r="E2085" s="4"/>
      <c r="H2085" s="31" t="str">
        <f t="shared" si="64"/>
        <v/>
      </c>
      <c r="J2085" t="b">
        <f t="shared" si="65"/>
        <v>0</v>
      </c>
    </row>
    <row r="2086" spans="3:10" x14ac:dyDescent="0.25">
      <c r="C2086" s="4"/>
      <c r="E2086" s="4"/>
      <c r="H2086" s="31" t="str">
        <f t="shared" si="64"/>
        <v/>
      </c>
      <c r="J2086" t="b">
        <f t="shared" si="65"/>
        <v>0</v>
      </c>
    </row>
    <row r="2087" spans="3:10" x14ac:dyDescent="0.25">
      <c r="C2087" s="4"/>
      <c r="E2087" s="4"/>
      <c r="H2087" s="31" t="str">
        <f t="shared" si="64"/>
        <v/>
      </c>
      <c r="J2087" t="b">
        <f t="shared" si="65"/>
        <v>0</v>
      </c>
    </row>
    <row r="2088" spans="3:10" x14ac:dyDescent="0.25">
      <c r="C2088" s="4"/>
      <c r="E2088" s="4"/>
      <c r="H2088" s="31" t="str">
        <f t="shared" si="64"/>
        <v/>
      </c>
      <c r="J2088" t="b">
        <f t="shared" si="65"/>
        <v>0</v>
      </c>
    </row>
    <row r="2089" spans="3:10" x14ac:dyDescent="0.25">
      <c r="C2089" s="4"/>
      <c r="E2089" s="4"/>
      <c r="H2089" s="31" t="str">
        <f t="shared" si="64"/>
        <v/>
      </c>
      <c r="J2089" t="b">
        <f t="shared" si="65"/>
        <v>0</v>
      </c>
    </row>
    <row r="2090" spans="3:10" x14ac:dyDescent="0.25">
      <c r="C2090" s="4"/>
      <c r="E2090" s="4"/>
      <c r="H2090" s="31" t="str">
        <f t="shared" si="64"/>
        <v/>
      </c>
      <c r="J2090" t="b">
        <f t="shared" si="65"/>
        <v>0</v>
      </c>
    </row>
    <row r="2091" spans="3:10" x14ac:dyDescent="0.25">
      <c r="C2091" s="4"/>
      <c r="E2091" s="4"/>
      <c r="H2091" s="31" t="str">
        <f t="shared" si="64"/>
        <v/>
      </c>
      <c r="J2091" t="b">
        <f t="shared" si="65"/>
        <v>0</v>
      </c>
    </row>
    <row r="2092" spans="3:10" x14ac:dyDescent="0.25">
      <c r="C2092" s="4"/>
      <c r="E2092" s="4"/>
      <c r="H2092" s="31" t="str">
        <f t="shared" si="64"/>
        <v/>
      </c>
      <c r="J2092" t="b">
        <f t="shared" si="65"/>
        <v>0</v>
      </c>
    </row>
    <row r="2093" spans="3:10" x14ac:dyDescent="0.25">
      <c r="C2093" s="4"/>
      <c r="E2093" s="4"/>
      <c r="H2093" s="31" t="str">
        <f t="shared" si="64"/>
        <v/>
      </c>
      <c r="J2093" t="b">
        <f t="shared" si="65"/>
        <v>0</v>
      </c>
    </row>
    <row r="2094" spans="3:10" x14ac:dyDescent="0.25">
      <c r="C2094" s="4"/>
      <c r="E2094" s="4"/>
      <c r="H2094" s="31" t="str">
        <f t="shared" si="64"/>
        <v/>
      </c>
      <c r="J2094" t="b">
        <f t="shared" si="65"/>
        <v>0</v>
      </c>
    </row>
    <row r="2095" spans="3:10" x14ac:dyDescent="0.25">
      <c r="C2095" s="4"/>
      <c r="E2095" s="4"/>
      <c r="H2095" s="31" t="str">
        <f t="shared" si="64"/>
        <v/>
      </c>
      <c r="J2095" t="b">
        <f t="shared" si="65"/>
        <v>0</v>
      </c>
    </row>
    <row r="2096" spans="3:10" x14ac:dyDescent="0.25">
      <c r="C2096" s="4"/>
      <c r="E2096" s="4"/>
      <c r="H2096" s="31" t="str">
        <f t="shared" si="64"/>
        <v/>
      </c>
      <c r="J2096" t="b">
        <f t="shared" si="65"/>
        <v>0</v>
      </c>
    </row>
    <row r="2097" spans="3:10" x14ac:dyDescent="0.25">
      <c r="C2097" s="4"/>
      <c r="E2097" s="4"/>
      <c r="H2097" s="31" t="str">
        <f t="shared" si="64"/>
        <v/>
      </c>
      <c r="J2097" t="b">
        <f t="shared" si="65"/>
        <v>0</v>
      </c>
    </row>
    <row r="2098" spans="3:10" x14ac:dyDescent="0.25">
      <c r="C2098" s="4"/>
      <c r="E2098" s="4"/>
      <c r="H2098" s="31" t="str">
        <f t="shared" si="64"/>
        <v/>
      </c>
      <c r="J2098" t="b">
        <f t="shared" si="65"/>
        <v>0</v>
      </c>
    </row>
    <row r="2099" spans="3:10" x14ac:dyDescent="0.25">
      <c r="C2099" s="4"/>
      <c r="E2099" s="4"/>
      <c r="H2099" s="31" t="str">
        <f t="shared" si="64"/>
        <v/>
      </c>
      <c r="J2099" t="b">
        <f t="shared" si="65"/>
        <v>0</v>
      </c>
    </row>
    <row r="2100" spans="3:10" x14ac:dyDescent="0.25">
      <c r="C2100" s="4"/>
      <c r="E2100" s="4"/>
      <c r="H2100" s="31" t="str">
        <f t="shared" si="64"/>
        <v/>
      </c>
      <c r="J2100" t="b">
        <f t="shared" si="65"/>
        <v>0</v>
      </c>
    </row>
    <row r="2101" spans="3:10" x14ac:dyDescent="0.25">
      <c r="C2101" s="4"/>
      <c r="E2101" s="4"/>
      <c r="H2101" s="31" t="str">
        <f t="shared" si="64"/>
        <v/>
      </c>
      <c r="J2101" t="b">
        <f t="shared" si="65"/>
        <v>0</v>
      </c>
    </row>
    <row r="2102" spans="3:10" x14ac:dyDescent="0.25">
      <c r="C2102" s="4"/>
      <c r="E2102" s="4"/>
      <c r="H2102" s="31" t="str">
        <f t="shared" si="64"/>
        <v/>
      </c>
      <c r="J2102" t="b">
        <f t="shared" si="65"/>
        <v>0</v>
      </c>
    </row>
    <row r="2103" spans="3:10" x14ac:dyDescent="0.25">
      <c r="C2103" s="4"/>
      <c r="E2103" s="4"/>
      <c r="H2103" s="31" t="str">
        <f t="shared" si="64"/>
        <v/>
      </c>
      <c r="J2103" t="b">
        <f t="shared" si="65"/>
        <v>0</v>
      </c>
    </row>
    <row r="2104" spans="3:10" x14ac:dyDescent="0.25">
      <c r="C2104" s="4"/>
      <c r="E2104" s="4"/>
      <c r="H2104" s="31" t="str">
        <f t="shared" si="64"/>
        <v/>
      </c>
      <c r="J2104" t="b">
        <f t="shared" si="65"/>
        <v>0</v>
      </c>
    </row>
    <row r="2105" spans="3:10" x14ac:dyDescent="0.25">
      <c r="C2105" s="4"/>
      <c r="E2105" s="4"/>
      <c r="H2105" s="31" t="str">
        <f t="shared" si="64"/>
        <v/>
      </c>
      <c r="J2105" t="b">
        <f t="shared" si="65"/>
        <v>0</v>
      </c>
    </row>
    <row r="2106" spans="3:10" x14ac:dyDescent="0.25">
      <c r="C2106" s="4"/>
      <c r="E2106" s="4"/>
      <c r="H2106" s="31" t="str">
        <f t="shared" si="64"/>
        <v/>
      </c>
      <c r="J2106" t="b">
        <f t="shared" si="65"/>
        <v>0</v>
      </c>
    </row>
    <row r="2107" spans="3:10" x14ac:dyDescent="0.25">
      <c r="C2107" s="4"/>
      <c r="E2107" s="4"/>
      <c r="H2107" s="31" t="str">
        <f t="shared" si="64"/>
        <v/>
      </c>
      <c r="J2107" t="b">
        <f t="shared" si="65"/>
        <v>0</v>
      </c>
    </row>
    <row r="2108" spans="3:10" x14ac:dyDescent="0.25">
      <c r="C2108" s="4"/>
      <c r="E2108" s="4"/>
      <c r="H2108" s="31" t="str">
        <f t="shared" si="64"/>
        <v/>
      </c>
      <c r="J2108" t="b">
        <f t="shared" si="65"/>
        <v>0</v>
      </c>
    </row>
    <row r="2109" spans="3:10" x14ac:dyDescent="0.25">
      <c r="C2109" s="4"/>
      <c r="E2109" s="4"/>
      <c r="H2109" s="31" t="str">
        <f t="shared" si="64"/>
        <v/>
      </c>
      <c r="J2109" t="b">
        <f t="shared" si="65"/>
        <v>0</v>
      </c>
    </row>
    <row r="2110" spans="3:10" x14ac:dyDescent="0.25">
      <c r="C2110" s="4"/>
      <c r="E2110" s="4"/>
      <c r="H2110" s="31" t="str">
        <f t="shared" si="64"/>
        <v/>
      </c>
      <c r="J2110" t="b">
        <f t="shared" si="65"/>
        <v>0</v>
      </c>
    </row>
    <row r="2111" spans="3:10" x14ac:dyDescent="0.25">
      <c r="C2111" s="4"/>
      <c r="E2111" s="4"/>
      <c r="H2111" s="31" t="str">
        <f t="shared" si="64"/>
        <v/>
      </c>
      <c r="J2111" t="b">
        <f t="shared" si="65"/>
        <v>0</v>
      </c>
    </row>
    <row r="2112" spans="3:10" x14ac:dyDescent="0.25">
      <c r="C2112" s="4"/>
      <c r="E2112" s="4"/>
      <c r="H2112" s="31" t="str">
        <f t="shared" si="64"/>
        <v/>
      </c>
      <c r="J2112" t="b">
        <f t="shared" si="65"/>
        <v>0</v>
      </c>
    </row>
    <row r="2113" spans="3:10" x14ac:dyDescent="0.25">
      <c r="C2113" s="4"/>
      <c r="E2113" s="4"/>
      <c r="H2113" s="31" t="str">
        <f t="shared" si="64"/>
        <v/>
      </c>
      <c r="J2113" t="b">
        <f t="shared" si="65"/>
        <v>0</v>
      </c>
    </row>
    <row r="2114" spans="3:10" x14ac:dyDescent="0.25">
      <c r="C2114" s="4"/>
      <c r="E2114" s="4"/>
      <c r="H2114" s="31" t="str">
        <f t="shared" si="64"/>
        <v/>
      </c>
      <c r="J2114" t="b">
        <f t="shared" si="65"/>
        <v>0</v>
      </c>
    </row>
    <row r="2115" spans="3:10" x14ac:dyDescent="0.25">
      <c r="C2115" s="4"/>
      <c r="E2115" s="4"/>
      <c r="H2115" s="31" t="str">
        <f t="shared" si="64"/>
        <v/>
      </c>
      <c r="J2115" t="b">
        <f t="shared" si="65"/>
        <v>0</v>
      </c>
    </row>
    <row r="2116" spans="3:10" x14ac:dyDescent="0.25">
      <c r="C2116" s="4"/>
      <c r="E2116" s="4"/>
      <c r="H2116" s="31" t="str">
        <f t="shared" ref="H2116:H2179" si="66">IF($J2116=TRUE,"Il ne peut y avoir des valeurs dans les 2 méthodes",IF($D2116="kg/l",$C2116,IF($D2116="g/l",$C2116/1000,IF($D2116="lb/gal US",$C2116*0.454/3.785,IF($G2116="kg/l",($E2116/100)*$F2116,IF($G2116="g/l",($E2116/100)*$F2116/1000,IF($G2116="lb/gal US",($E2116/100)*$F2116*0.454/3.785,"")))))))</f>
        <v/>
      </c>
      <c r="J2116" t="b">
        <f t="shared" ref="J2116:J2179" si="67">IF(AND(OR($C2116&lt;&gt;"",$D2116&lt;&gt;""),OR($E2116&lt;&gt;"",F2116&lt;&gt;"",G2116&lt;&gt;"")),TRUE,FALSE)</f>
        <v>0</v>
      </c>
    </row>
    <row r="2117" spans="3:10" x14ac:dyDescent="0.25">
      <c r="C2117" s="4"/>
      <c r="E2117" s="4"/>
      <c r="H2117" s="31" t="str">
        <f t="shared" si="66"/>
        <v/>
      </c>
      <c r="J2117" t="b">
        <f t="shared" si="67"/>
        <v>0</v>
      </c>
    </row>
    <row r="2118" spans="3:10" x14ac:dyDescent="0.25">
      <c r="C2118" s="4"/>
      <c r="E2118" s="4"/>
      <c r="H2118" s="31" t="str">
        <f t="shared" si="66"/>
        <v/>
      </c>
      <c r="J2118" t="b">
        <f t="shared" si="67"/>
        <v>0</v>
      </c>
    </row>
    <row r="2119" spans="3:10" x14ac:dyDescent="0.25">
      <c r="C2119" s="4"/>
      <c r="E2119" s="4"/>
      <c r="H2119" s="31" t="str">
        <f t="shared" si="66"/>
        <v/>
      </c>
      <c r="J2119" t="b">
        <f t="shared" si="67"/>
        <v>0</v>
      </c>
    </row>
    <row r="2120" spans="3:10" x14ac:dyDescent="0.25">
      <c r="C2120" s="4"/>
      <c r="E2120" s="4"/>
      <c r="H2120" s="31" t="str">
        <f t="shared" si="66"/>
        <v/>
      </c>
      <c r="J2120" t="b">
        <f t="shared" si="67"/>
        <v>0</v>
      </c>
    </row>
    <row r="2121" spans="3:10" x14ac:dyDescent="0.25">
      <c r="C2121" s="4"/>
      <c r="E2121" s="4"/>
      <c r="H2121" s="31" t="str">
        <f t="shared" si="66"/>
        <v/>
      </c>
      <c r="J2121" t="b">
        <f t="shared" si="67"/>
        <v>0</v>
      </c>
    </row>
    <row r="2122" spans="3:10" x14ac:dyDescent="0.25">
      <c r="C2122" s="4"/>
      <c r="E2122" s="4"/>
      <c r="H2122" s="31" t="str">
        <f t="shared" si="66"/>
        <v/>
      </c>
      <c r="J2122" t="b">
        <f t="shared" si="67"/>
        <v>0</v>
      </c>
    </row>
    <row r="2123" spans="3:10" x14ac:dyDescent="0.25">
      <c r="C2123" s="4"/>
      <c r="E2123" s="4"/>
      <c r="H2123" s="31" t="str">
        <f t="shared" si="66"/>
        <v/>
      </c>
      <c r="J2123" t="b">
        <f t="shared" si="67"/>
        <v>0</v>
      </c>
    </row>
    <row r="2124" spans="3:10" x14ac:dyDescent="0.25">
      <c r="C2124" s="4"/>
      <c r="E2124" s="4"/>
      <c r="H2124" s="31" t="str">
        <f t="shared" si="66"/>
        <v/>
      </c>
      <c r="J2124" t="b">
        <f t="shared" si="67"/>
        <v>0</v>
      </c>
    </row>
    <row r="2125" spans="3:10" x14ac:dyDescent="0.25">
      <c r="C2125" s="4"/>
      <c r="E2125" s="4"/>
      <c r="H2125" s="31" t="str">
        <f t="shared" si="66"/>
        <v/>
      </c>
      <c r="J2125" t="b">
        <f t="shared" si="67"/>
        <v>0</v>
      </c>
    </row>
    <row r="2126" spans="3:10" x14ac:dyDescent="0.25">
      <c r="C2126" s="4"/>
      <c r="E2126" s="4"/>
      <c r="H2126" s="31" t="str">
        <f t="shared" si="66"/>
        <v/>
      </c>
      <c r="J2126" t="b">
        <f t="shared" si="67"/>
        <v>0</v>
      </c>
    </row>
    <row r="2127" spans="3:10" x14ac:dyDescent="0.25">
      <c r="C2127" s="4"/>
      <c r="E2127" s="4"/>
      <c r="H2127" s="31" t="str">
        <f t="shared" si="66"/>
        <v/>
      </c>
      <c r="J2127" t="b">
        <f t="shared" si="67"/>
        <v>0</v>
      </c>
    </row>
    <row r="2128" spans="3:10" x14ac:dyDescent="0.25">
      <c r="C2128" s="4"/>
      <c r="E2128" s="4"/>
      <c r="H2128" s="31" t="str">
        <f t="shared" si="66"/>
        <v/>
      </c>
      <c r="J2128" t="b">
        <f t="shared" si="67"/>
        <v>0</v>
      </c>
    </row>
    <row r="2129" spans="3:10" x14ac:dyDescent="0.25">
      <c r="C2129" s="4"/>
      <c r="E2129" s="4"/>
      <c r="H2129" s="31" t="str">
        <f t="shared" si="66"/>
        <v/>
      </c>
      <c r="J2129" t="b">
        <f t="shared" si="67"/>
        <v>0</v>
      </c>
    </row>
    <row r="2130" spans="3:10" x14ac:dyDescent="0.25">
      <c r="C2130" s="4"/>
      <c r="E2130" s="4"/>
      <c r="H2130" s="31" t="str">
        <f t="shared" si="66"/>
        <v/>
      </c>
      <c r="J2130" t="b">
        <f t="shared" si="67"/>
        <v>0</v>
      </c>
    </row>
    <row r="2131" spans="3:10" x14ac:dyDescent="0.25">
      <c r="C2131" s="4"/>
      <c r="E2131" s="4"/>
      <c r="H2131" s="31" t="str">
        <f t="shared" si="66"/>
        <v/>
      </c>
      <c r="J2131" t="b">
        <f t="shared" si="67"/>
        <v>0</v>
      </c>
    </row>
    <row r="2132" spans="3:10" x14ac:dyDescent="0.25">
      <c r="C2132" s="4"/>
      <c r="E2132" s="4"/>
      <c r="H2132" s="31" t="str">
        <f t="shared" si="66"/>
        <v/>
      </c>
      <c r="J2132" t="b">
        <f t="shared" si="67"/>
        <v>0</v>
      </c>
    </row>
    <row r="2133" spans="3:10" x14ac:dyDescent="0.25">
      <c r="C2133" s="4"/>
      <c r="E2133" s="4"/>
      <c r="H2133" s="31" t="str">
        <f t="shared" si="66"/>
        <v/>
      </c>
      <c r="J2133" t="b">
        <f t="shared" si="67"/>
        <v>0</v>
      </c>
    </row>
    <row r="2134" spans="3:10" x14ac:dyDescent="0.25">
      <c r="C2134" s="4"/>
      <c r="E2134" s="4"/>
      <c r="H2134" s="31" t="str">
        <f t="shared" si="66"/>
        <v/>
      </c>
      <c r="J2134" t="b">
        <f t="shared" si="67"/>
        <v>0</v>
      </c>
    </row>
    <row r="2135" spans="3:10" x14ac:dyDescent="0.25">
      <c r="C2135" s="4"/>
      <c r="E2135" s="4"/>
      <c r="H2135" s="31" t="str">
        <f t="shared" si="66"/>
        <v/>
      </c>
      <c r="J2135" t="b">
        <f t="shared" si="67"/>
        <v>0</v>
      </c>
    </row>
    <row r="2136" spans="3:10" x14ac:dyDescent="0.25">
      <c r="C2136" s="4"/>
      <c r="E2136" s="4"/>
      <c r="H2136" s="31" t="str">
        <f t="shared" si="66"/>
        <v/>
      </c>
      <c r="J2136" t="b">
        <f t="shared" si="67"/>
        <v>0</v>
      </c>
    </row>
    <row r="2137" spans="3:10" x14ac:dyDescent="0.25">
      <c r="C2137" s="4"/>
      <c r="E2137" s="4"/>
      <c r="H2137" s="31" t="str">
        <f t="shared" si="66"/>
        <v/>
      </c>
      <c r="J2137" t="b">
        <f t="shared" si="67"/>
        <v>0</v>
      </c>
    </row>
    <row r="2138" spans="3:10" x14ac:dyDescent="0.25">
      <c r="C2138" s="4"/>
      <c r="E2138" s="4"/>
      <c r="H2138" s="31" t="str">
        <f t="shared" si="66"/>
        <v/>
      </c>
      <c r="J2138" t="b">
        <f t="shared" si="67"/>
        <v>0</v>
      </c>
    </row>
    <row r="2139" spans="3:10" x14ac:dyDescent="0.25">
      <c r="C2139" s="4"/>
      <c r="E2139" s="4"/>
      <c r="H2139" s="31" t="str">
        <f t="shared" si="66"/>
        <v/>
      </c>
      <c r="J2139" t="b">
        <f t="shared" si="67"/>
        <v>0</v>
      </c>
    </row>
    <row r="2140" spans="3:10" x14ac:dyDescent="0.25">
      <c r="C2140" s="4"/>
      <c r="E2140" s="4"/>
      <c r="H2140" s="31" t="str">
        <f t="shared" si="66"/>
        <v/>
      </c>
      <c r="J2140" t="b">
        <f t="shared" si="67"/>
        <v>0</v>
      </c>
    </row>
    <row r="2141" spans="3:10" x14ac:dyDescent="0.25">
      <c r="C2141" s="4"/>
      <c r="E2141" s="4"/>
      <c r="H2141" s="31" t="str">
        <f t="shared" si="66"/>
        <v/>
      </c>
      <c r="J2141" t="b">
        <f t="shared" si="67"/>
        <v>0</v>
      </c>
    </row>
    <row r="2142" spans="3:10" x14ac:dyDescent="0.25">
      <c r="C2142" s="4"/>
      <c r="E2142" s="4"/>
      <c r="H2142" s="31" t="str">
        <f t="shared" si="66"/>
        <v/>
      </c>
      <c r="J2142" t="b">
        <f t="shared" si="67"/>
        <v>0</v>
      </c>
    </row>
    <row r="2143" spans="3:10" x14ac:dyDescent="0.25">
      <c r="C2143" s="4"/>
      <c r="E2143" s="4"/>
      <c r="H2143" s="31" t="str">
        <f t="shared" si="66"/>
        <v/>
      </c>
      <c r="J2143" t="b">
        <f t="shared" si="67"/>
        <v>0</v>
      </c>
    </row>
    <row r="2144" spans="3:10" x14ac:dyDescent="0.25">
      <c r="C2144" s="4"/>
      <c r="E2144" s="4"/>
      <c r="H2144" s="31" t="str">
        <f t="shared" si="66"/>
        <v/>
      </c>
      <c r="J2144" t="b">
        <f t="shared" si="67"/>
        <v>0</v>
      </c>
    </row>
    <row r="2145" spans="3:10" x14ac:dyDescent="0.25">
      <c r="C2145" s="4"/>
      <c r="E2145" s="4"/>
      <c r="H2145" s="31" t="str">
        <f t="shared" si="66"/>
        <v/>
      </c>
      <c r="J2145" t="b">
        <f t="shared" si="67"/>
        <v>0</v>
      </c>
    </row>
    <row r="2146" spans="3:10" x14ac:dyDescent="0.25">
      <c r="C2146" s="4"/>
      <c r="E2146" s="4"/>
      <c r="H2146" s="31" t="str">
        <f t="shared" si="66"/>
        <v/>
      </c>
      <c r="J2146" t="b">
        <f t="shared" si="67"/>
        <v>0</v>
      </c>
    </row>
    <row r="2147" spans="3:10" x14ac:dyDescent="0.25">
      <c r="C2147" s="4"/>
      <c r="E2147" s="4"/>
      <c r="H2147" s="31" t="str">
        <f t="shared" si="66"/>
        <v/>
      </c>
      <c r="J2147" t="b">
        <f t="shared" si="67"/>
        <v>0</v>
      </c>
    </row>
    <row r="2148" spans="3:10" x14ac:dyDescent="0.25">
      <c r="C2148" s="4"/>
      <c r="E2148" s="4"/>
      <c r="H2148" s="31" t="str">
        <f t="shared" si="66"/>
        <v/>
      </c>
      <c r="J2148" t="b">
        <f t="shared" si="67"/>
        <v>0</v>
      </c>
    </row>
    <row r="2149" spans="3:10" x14ac:dyDescent="0.25">
      <c r="C2149" s="4"/>
      <c r="E2149" s="4"/>
      <c r="H2149" s="31" t="str">
        <f t="shared" si="66"/>
        <v/>
      </c>
      <c r="J2149" t="b">
        <f t="shared" si="67"/>
        <v>0</v>
      </c>
    </row>
    <row r="2150" spans="3:10" x14ac:dyDescent="0.25">
      <c r="C2150" s="4"/>
      <c r="E2150" s="4"/>
      <c r="H2150" s="31" t="str">
        <f t="shared" si="66"/>
        <v/>
      </c>
      <c r="J2150" t="b">
        <f t="shared" si="67"/>
        <v>0</v>
      </c>
    </row>
    <row r="2151" spans="3:10" x14ac:dyDescent="0.25">
      <c r="C2151" s="4"/>
      <c r="E2151" s="4"/>
      <c r="H2151" s="31" t="str">
        <f t="shared" si="66"/>
        <v/>
      </c>
      <c r="J2151" t="b">
        <f t="shared" si="67"/>
        <v>0</v>
      </c>
    </row>
    <row r="2152" spans="3:10" x14ac:dyDescent="0.25">
      <c r="C2152" s="4"/>
      <c r="E2152" s="4"/>
      <c r="H2152" s="31" t="str">
        <f t="shared" si="66"/>
        <v/>
      </c>
      <c r="J2152" t="b">
        <f t="shared" si="67"/>
        <v>0</v>
      </c>
    </row>
    <row r="2153" spans="3:10" x14ac:dyDescent="0.25">
      <c r="C2153" s="4"/>
      <c r="E2153" s="4"/>
      <c r="H2153" s="31" t="str">
        <f t="shared" si="66"/>
        <v/>
      </c>
      <c r="J2153" t="b">
        <f t="shared" si="67"/>
        <v>0</v>
      </c>
    </row>
    <row r="2154" spans="3:10" x14ac:dyDescent="0.25">
      <c r="C2154" s="4"/>
      <c r="E2154" s="4"/>
      <c r="H2154" s="31" t="str">
        <f t="shared" si="66"/>
        <v/>
      </c>
      <c r="J2154" t="b">
        <f t="shared" si="67"/>
        <v>0</v>
      </c>
    </row>
    <row r="2155" spans="3:10" x14ac:dyDescent="0.25">
      <c r="C2155" s="4"/>
      <c r="E2155" s="4"/>
      <c r="H2155" s="31" t="str">
        <f t="shared" si="66"/>
        <v/>
      </c>
      <c r="J2155" t="b">
        <f t="shared" si="67"/>
        <v>0</v>
      </c>
    </row>
    <row r="2156" spans="3:10" x14ac:dyDescent="0.25">
      <c r="C2156" s="4"/>
      <c r="E2156" s="4"/>
      <c r="H2156" s="31" t="str">
        <f t="shared" si="66"/>
        <v/>
      </c>
      <c r="J2156" t="b">
        <f t="shared" si="67"/>
        <v>0</v>
      </c>
    </row>
    <row r="2157" spans="3:10" x14ac:dyDescent="0.25">
      <c r="C2157" s="4"/>
      <c r="E2157" s="4"/>
      <c r="H2157" s="31" t="str">
        <f t="shared" si="66"/>
        <v/>
      </c>
      <c r="J2157" t="b">
        <f t="shared" si="67"/>
        <v>0</v>
      </c>
    </row>
    <row r="2158" spans="3:10" x14ac:dyDescent="0.25">
      <c r="C2158" s="4"/>
      <c r="E2158" s="4"/>
      <c r="H2158" s="31" t="str">
        <f t="shared" si="66"/>
        <v/>
      </c>
      <c r="J2158" t="b">
        <f t="shared" si="67"/>
        <v>0</v>
      </c>
    </row>
    <row r="2159" spans="3:10" x14ac:dyDescent="0.25">
      <c r="C2159" s="4"/>
      <c r="E2159" s="4"/>
      <c r="H2159" s="31" t="str">
        <f t="shared" si="66"/>
        <v/>
      </c>
      <c r="J2159" t="b">
        <f t="shared" si="67"/>
        <v>0</v>
      </c>
    </row>
    <row r="2160" spans="3:10" x14ac:dyDescent="0.25">
      <c r="C2160" s="4"/>
      <c r="E2160" s="4"/>
      <c r="H2160" s="31" t="str">
        <f t="shared" si="66"/>
        <v/>
      </c>
      <c r="J2160" t="b">
        <f t="shared" si="67"/>
        <v>0</v>
      </c>
    </row>
    <row r="2161" spans="3:10" x14ac:dyDescent="0.25">
      <c r="C2161" s="4"/>
      <c r="E2161" s="4"/>
      <c r="H2161" s="31" t="str">
        <f t="shared" si="66"/>
        <v/>
      </c>
      <c r="J2161" t="b">
        <f t="shared" si="67"/>
        <v>0</v>
      </c>
    </row>
    <row r="2162" spans="3:10" x14ac:dyDescent="0.25">
      <c r="C2162" s="4"/>
      <c r="E2162" s="4"/>
      <c r="H2162" s="31" t="str">
        <f t="shared" si="66"/>
        <v/>
      </c>
      <c r="J2162" t="b">
        <f t="shared" si="67"/>
        <v>0</v>
      </c>
    </row>
    <row r="2163" spans="3:10" x14ac:dyDescent="0.25">
      <c r="C2163" s="4"/>
      <c r="E2163" s="4"/>
      <c r="H2163" s="31" t="str">
        <f t="shared" si="66"/>
        <v/>
      </c>
      <c r="J2163" t="b">
        <f t="shared" si="67"/>
        <v>0</v>
      </c>
    </row>
    <row r="2164" spans="3:10" x14ac:dyDescent="0.25">
      <c r="C2164" s="4"/>
      <c r="E2164" s="4"/>
      <c r="H2164" s="31" t="str">
        <f t="shared" si="66"/>
        <v/>
      </c>
      <c r="J2164" t="b">
        <f t="shared" si="67"/>
        <v>0</v>
      </c>
    </row>
    <row r="2165" spans="3:10" x14ac:dyDescent="0.25">
      <c r="C2165" s="4"/>
      <c r="E2165" s="4"/>
      <c r="H2165" s="31" t="str">
        <f t="shared" si="66"/>
        <v/>
      </c>
      <c r="J2165" t="b">
        <f t="shared" si="67"/>
        <v>0</v>
      </c>
    </row>
    <row r="2166" spans="3:10" x14ac:dyDescent="0.25">
      <c r="C2166" s="4"/>
      <c r="E2166" s="4"/>
      <c r="H2166" s="31" t="str">
        <f t="shared" si="66"/>
        <v/>
      </c>
      <c r="J2166" t="b">
        <f t="shared" si="67"/>
        <v>0</v>
      </c>
    </row>
    <row r="2167" spans="3:10" x14ac:dyDescent="0.25">
      <c r="C2167" s="4"/>
      <c r="E2167" s="4"/>
      <c r="H2167" s="31" t="str">
        <f t="shared" si="66"/>
        <v/>
      </c>
      <c r="J2167" t="b">
        <f t="shared" si="67"/>
        <v>0</v>
      </c>
    </row>
    <row r="2168" spans="3:10" x14ac:dyDescent="0.25">
      <c r="C2168" s="4"/>
      <c r="E2168" s="4"/>
      <c r="H2168" s="31" t="str">
        <f t="shared" si="66"/>
        <v/>
      </c>
      <c r="J2168" t="b">
        <f t="shared" si="67"/>
        <v>0</v>
      </c>
    </row>
    <row r="2169" spans="3:10" x14ac:dyDescent="0.25">
      <c r="C2169" s="4"/>
      <c r="E2169" s="4"/>
      <c r="H2169" s="31" t="str">
        <f t="shared" si="66"/>
        <v/>
      </c>
      <c r="J2169" t="b">
        <f t="shared" si="67"/>
        <v>0</v>
      </c>
    </row>
    <row r="2170" spans="3:10" x14ac:dyDescent="0.25">
      <c r="C2170" s="4"/>
      <c r="E2170" s="4"/>
      <c r="H2170" s="31" t="str">
        <f t="shared" si="66"/>
        <v/>
      </c>
      <c r="J2170" t="b">
        <f t="shared" si="67"/>
        <v>0</v>
      </c>
    </row>
    <row r="2171" spans="3:10" x14ac:dyDescent="0.25">
      <c r="C2171" s="4"/>
      <c r="E2171" s="4"/>
      <c r="H2171" s="31" t="str">
        <f t="shared" si="66"/>
        <v/>
      </c>
      <c r="J2171" t="b">
        <f t="shared" si="67"/>
        <v>0</v>
      </c>
    </row>
    <row r="2172" spans="3:10" x14ac:dyDescent="0.25">
      <c r="C2172" s="4"/>
      <c r="E2172" s="4"/>
      <c r="H2172" s="31" t="str">
        <f t="shared" si="66"/>
        <v/>
      </c>
      <c r="J2172" t="b">
        <f t="shared" si="67"/>
        <v>0</v>
      </c>
    </row>
    <row r="2173" spans="3:10" x14ac:dyDescent="0.25">
      <c r="C2173" s="4"/>
      <c r="E2173" s="4"/>
      <c r="H2173" s="31" t="str">
        <f t="shared" si="66"/>
        <v/>
      </c>
      <c r="J2173" t="b">
        <f t="shared" si="67"/>
        <v>0</v>
      </c>
    </row>
    <row r="2174" spans="3:10" x14ac:dyDescent="0.25">
      <c r="C2174" s="4"/>
      <c r="E2174" s="4"/>
      <c r="H2174" s="31" t="str">
        <f t="shared" si="66"/>
        <v/>
      </c>
      <c r="J2174" t="b">
        <f t="shared" si="67"/>
        <v>0</v>
      </c>
    </row>
    <row r="2175" spans="3:10" x14ac:dyDescent="0.25">
      <c r="C2175" s="4"/>
      <c r="E2175" s="4"/>
      <c r="H2175" s="31" t="str">
        <f t="shared" si="66"/>
        <v/>
      </c>
      <c r="J2175" t="b">
        <f t="shared" si="67"/>
        <v>0</v>
      </c>
    </row>
    <row r="2176" spans="3:10" x14ac:dyDescent="0.25">
      <c r="C2176" s="4"/>
      <c r="E2176" s="4"/>
      <c r="H2176" s="31" t="str">
        <f t="shared" si="66"/>
        <v/>
      </c>
      <c r="J2176" t="b">
        <f t="shared" si="67"/>
        <v>0</v>
      </c>
    </row>
    <row r="2177" spans="3:10" x14ac:dyDescent="0.25">
      <c r="C2177" s="4"/>
      <c r="E2177" s="4"/>
      <c r="H2177" s="31" t="str">
        <f t="shared" si="66"/>
        <v/>
      </c>
      <c r="J2177" t="b">
        <f t="shared" si="67"/>
        <v>0</v>
      </c>
    </row>
    <row r="2178" spans="3:10" x14ac:dyDescent="0.25">
      <c r="C2178" s="4"/>
      <c r="E2178" s="4"/>
      <c r="H2178" s="31" t="str">
        <f t="shared" si="66"/>
        <v/>
      </c>
      <c r="J2178" t="b">
        <f t="shared" si="67"/>
        <v>0</v>
      </c>
    </row>
    <row r="2179" spans="3:10" x14ac:dyDescent="0.25">
      <c r="C2179" s="4"/>
      <c r="E2179" s="4"/>
      <c r="H2179" s="31" t="str">
        <f t="shared" si="66"/>
        <v/>
      </c>
      <c r="J2179" t="b">
        <f t="shared" si="67"/>
        <v>0</v>
      </c>
    </row>
    <row r="2180" spans="3:10" x14ac:dyDescent="0.25">
      <c r="C2180" s="4"/>
      <c r="E2180" s="4"/>
      <c r="H2180" s="31" t="str">
        <f t="shared" ref="H2180:H2243" si="68">IF($J2180=TRUE,"Il ne peut y avoir des valeurs dans les 2 méthodes",IF($D2180="kg/l",$C2180,IF($D2180="g/l",$C2180/1000,IF($D2180="lb/gal US",$C2180*0.454/3.785,IF($G2180="kg/l",($E2180/100)*$F2180,IF($G2180="g/l",($E2180/100)*$F2180/1000,IF($G2180="lb/gal US",($E2180/100)*$F2180*0.454/3.785,"")))))))</f>
        <v/>
      </c>
      <c r="J2180" t="b">
        <f t="shared" ref="J2180:J2243" si="69">IF(AND(OR($C2180&lt;&gt;"",$D2180&lt;&gt;""),OR($E2180&lt;&gt;"",F2180&lt;&gt;"",G2180&lt;&gt;"")),TRUE,FALSE)</f>
        <v>0</v>
      </c>
    </row>
    <row r="2181" spans="3:10" x14ac:dyDescent="0.25">
      <c r="C2181" s="4"/>
      <c r="E2181" s="4"/>
      <c r="H2181" s="31" t="str">
        <f t="shared" si="68"/>
        <v/>
      </c>
      <c r="J2181" t="b">
        <f t="shared" si="69"/>
        <v>0</v>
      </c>
    </row>
    <row r="2182" spans="3:10" x14ac:dyDescent="0.25">
      <c r="C2182" s="4"/>
      <c r="E2182" s="4"/>
      <c r="H2182" s="31" t="str">
        <f t="shared" si="68"/>
        <v/>
      </c>
      <c r="J2182" t="b">
        <f t="shared" si="69"/>
        <v>0</v>
      </c>
    </row>
    <row r="2183" spans="3:10" x14ac:dyDescent="0.25">
      <c r="C2183" s="4"/>
      <c r="E2183" s="4"/>
      <c r="H2183" s="31" t="str">
        <f t="shared" si="68"/>
        <v/>
      </c>
      <c r="J2183" t="b">
        <f t="shared" si="69"/>
        <v>0</v>
      </c>
    </row>
    <row r="2184" spans="3:10" x14ac:dyDescent="0.25">
      <c r="C2184" s="4"/>
      <c r="E2184" s="4"/>
      <c r="H2184" s="31" t="str">
        <f t="shared" si="68"/>
        <v/>
      </c>
      <c r="J2184" t="b">
        <f t="shared" si="69"/>
        <v>0</v>
      </c>
    </row>
    <row r="2185" spans="3:10" x14ac:dyDescent="0.25">
      <c r="C2185" s="4"/>
      <c r="E2185" s="4"/>
      <c r="H2185" s="31" t="str">
        <f t="shared" si="68"/>
        <v/>
      </c>
      <c r="J2185" t="b">
        <f t="shared" si="69"/>
        <v>0</v>
      </c>
    </row>
    <row r="2186" spans="3:10" x14ac:dyDescent="0.25">
      <c r="C2186" s="4"/>
      <c r="E2186" s="4"/>
      <c r="H2186" s="31" t="str">
        <f t="shared" si="68"/>
        <v/>
      </c>
      <c r="J2186" t="b">
        <f t="shared" si="69"/>
        <v>0</v>
      </c>
    </row>
    <row r="2187" spans="3:10" x14ac:dyDescent="0.25">
      <c r="C2187" s="4"/>
      <c r="E2187" s="4"/>
      <c r="H2187" s="31" t="str">
        <f t="shared" si="68"/>
        <v/>
      </c>
      <c r="J2187" t="b">
        <f t="shared" si="69"/>
        <v>0</v>
      </c>
    </row>
    <row r="2188" spans="3:10" x14ac:dyDescent="0.25">
      <c r="C2188" s="4"/>
      <c r="E2188" s="4"/>
      <c r="H2188" s="31" t="str">
        <f t="shared" si="68"/>
        <v/>
      </c>
      <c r="J2188" t="b">
        <f t="shared" si="69"/>
        <v>0</v>
      </c>
    </row>
    <row r="2189" spans="3:10" x14ac:dyDescent="0.25">
      <c r="C2189" s="4"/>
      <c r="E2189" s="4"/>
      <c r="H2189" s="31" t="str">
        <f t="shared" si="68"/>
        <v/>
      </c>
      <c r="J2189" t="b">
        <f t="shared" si="69"/>
        <v>0</v>
      </c>
    </row>
    <row r="2190" spans="3:10" x14ac:dyDescent="0.25">
      <c r="C2190" s="4"/>
      <c r="E2190" s="4"/>
      <c r="H2190" s="31" t="str">
        <f t="shared" si="68"/>
        <v/>
      </c>
      <c r="J2190" t="b">
        <f t="shared" si="69"/>
        <v>0</v>
      </c>
    </row>
    <row r="2191" spans="3:10" x14ac:dyDescent="0.25">
      <c r="C2191" s="4"/>
      <c r="E2191" s="4"/>
      <c r="H2191" s="31" t="str">
        <f t="shared" si="68"/>
        <v/>
      </c>
      <c r="J2191" t="b">
        <f t="shared" si="69"/>
        <v>0</v>
      </c>
    </row>
    <row r="2192" spans="3:10" x14ac:dyDescent="0.25">
      <c r="C2192" s="4"/>
      <c r="E2192" s="4"/>
      <c r="H2192" s="31" t="str">
        <f t="shared" si="68"/>
        <v/>
      </c>
      <c r="J2192" t="b">
        <f t="shared" si="69"/>
        <v>0</v>
      </c>
    </row>
    <row r="2193" spans="3:10" x14ac:dyDescent="0.25">
      <c r="C2193" s="4"/>
      <c r="E2193" s="4"/>
      <c r="H2193" s="31" t="str">
        <f t="shared" si="68"/>
        <v/>
      </c>
      <c r="J2193" t="b">
        <f t="shared" si="69"/>
        <v>0</v>
      </c>
    </row>
    <row r="2194" spans="3:10" x14ac:dyDescent="0.25">
      <c r="C2194" s="4"/>
      <c r="E2194" s="4"/>
      <c r="H2194" s="31" t="str">
        <f t="shared" si="68"/>
        <v/>
      </c>
      <c r="J2194" t="b">
        <f t="shared" si="69"/>
        <v>0</v>
      </c>
    </row>
    <row r="2195" spans="3:10" x14ac:dyDescent="0.25">
      <c r="C2195" s="4"/>
      <c r="E2195" s="4"/>
      <c r="H2195" s="31" t="str">
        <f t="shared" si="68"/>
        <v/>
      </c>
      <c r="J2195" t="b">
        <f t="shared" si="69"/>
        <v>0</v>
      </c>
    </row>
    <row r="2196" spans="3:10" x14ac:dyDescent="0.25">
      <c r="C2196" s="4"/>
      <c r="E2196" s="4"/>
      <c r="H2196" s="31" t="str">
        <f t="shared" si="68"/>
        <v/>
      </c>
      <c r="J2196" t="b">
        <f t="shared" si="69"/>
        <v>0</v>
      </c>
    </row>
    <row r="2197" spans="3:10" x14ac:dyDescent="0.25">
      <c r="C2197" s="4"/>
      <c r="E2197" s="4"/>
      <c r="H2197" s="31" t="str">
        <f t="shared" si="68"/>
        <v/>
      </c>
      <c r="J2197" t="b">
        <f t="shared" si="69"/>
        <v>0</v>
      </c>
    </row>
    <row r="2198" spans="3:10" x14ac:dyDescent="0.25">
      <c r="C2198" s="4"/>
      <c r="E2198" s="4"/>
      <c r="H2198" s="31" t="str">
        <f t="shared" si="68"/>
        <v/>
      </c>
      <c r="J2198" t="b">
        <f t="shared" si="69"/>
        <v>0</v>
      </c>
    </row>
    <row r="2199" spans="3:10" x14ac:dyDescent="0.25">
      <c r="C2199" s="4"/>
      <c r="E2199" s="4"/>
      <c r="H2199" s="31" t="str">
        <f t="shared" si="68"/>
        <v/>
      </c>
      <c r="J2199" t="b">
        <f t="shared" si="69"/>
        <v>0</v>
      </c>
    </row>
    <row r="2200" spans="3:10" x14ac:dyDescent="0.25">
      <c r="C2200" s="4"/>
      <c r="E2200" s="4"/>
      <c r="H2200" s="31" t="str">
        <f t="shared" si="68"/>
        <v/>
      </c>
      <c r="J2200" t="b">
        <f t="shared" si="69"/>
        <v>0</v>
      </c>
    </row>
    <row r="2201" spans="3:10" x14ac:dyDescent="0.25">
      <c r="C2201" s="4"/>
      <c r="E2201" s="4"/>
      <c r="H2201" s="31" t="str">
        <f t="shared" si="68"/>
        <v/>
      </c>
      <c r="J2201" t="b">
        <f t="shared" si="69"/>
        <v>0</v>
      </c>
    </row>
    <row r="2202" spans="3:10" x14ac:dyDescent="0.25">
      <c r="C2202" s="4"/>
      <c r="E2202" s="4"/>
      <c r="H2202" s="31" t="str">
        <f t="shared" si="68"/>
        <v/>
      </c>
      <c r="J2202" t="b">
        <f t="shared" si="69"/>
        <v>0</v>
      </c>
    </row>
    <row r="2203" spans="3:10" x14ac:dyDescent="0.25">
      <c r="C2203" s="4"/>
      <c r="E2203" s="4"/>
      <c r="H2203" s="31" t="str">
        <f t="shared" si="68"/>
        <v/>
      </c>
      <c r="J2203" t="b">
        <f t="shared" si="69"/>
        <v>0</v>
      </c>
    </row>
    <row r="2204" spans="3:10" x14ac:dyDescent="0.25">
      <c r="C2204" s="4"/>
      <c r="E2204" s="4"/>
      <c r="H2204" s="31" t="str">
        <f t="shared" si="68"/>
        <v/>
      </c>
      <c r="J2204" t="b">
        <f t="shared" si="69"/>
        <v>0</v>
      </c>
    </row>
    <row r="2205" spans="3:10" x14ac:dyDescent="0.25">
      <c r="C2205" s="4"/>
      <c r="E2205" s="4"/>
      <c r="H2205" s="31" t="str">
        <f t="shared" si="68"/>
        <v/>
      </c>
      <c r="J2205" t="b">
        <f t="shared" si="69"/>
        <v>0</v>
      </c>
    </row>
    <row r="2206" spans="3:10" x14ac:dyDescent="0.25">
      <c r="C2206" s="4"/>
      <c r="E2206" s="4"/>
      <c r="H2206" s="31" t="str">
        <f t="shared" si="68"/>
        <v/>
      </c>
      <c r="J2206" t="b">
        <f t="shared" si="69"/>
        <v>0</v>
      </c>
    </row>
    <row r="2207" spans="3:10" x14ac:dyDescent="0.25">
      <c r="C2207" s="4"/>
      <c r="E2207" s="4"/>
      <c r="H2207" s="31" t="str">
        <f t="shared" si="68"/>
        <v/>
      </c>
      <c r="J2207" t="b">
        <f t="shared" si="69"/>
        <v>0</v>
      </c>
    </row>
    <row r="2208" spans="3:10" x14ac:dyDescent="0.25">
      <c r="C2208" s="4"/>
      <c r="E2208" s="4"/>
      <c r="H2208" s="31" t="str">
        <f t="shared" si="68"/>
        <v/>
      </c>
      <c r="J2208" t="b">
        <f t="shared" si="69"/>
        <v>0</v>
      </c>
    </row>
    <row r="2209" spans="3:10" x14ac:dyDescent="0.25">
      <c r="C2209" s="4"/>
      <c r="E2209" s="4"/>
      <c r="H2209" s="31" t="str">
        <f t="shared" si="68"/>
        <v/>
      </c>
      <c r="J2209" t="b">
        <f t="shared" si="69"/>
        <v>0</v>
      </c>
    </row>
    <row r="2210" spans="3:10" x14ac:dyDescent="0.25">
      <c r="C2210" s="4"/>
      <c r="E2210" s="4"/>
      <c r="H2210" s="31" t="str">
        <f t="shared" si="68"/>
        <v/>
      </c>
      <c r="J2210" t="b">
        <f t="shared" si="69"/>
        <v>0</v>
      </c>
    </row>
    <row r="2211" spans="3:10" x14ac:dyDescent="0.25">
      <c r="C2211" s="4"/>
      <c r="E2211" s="4"/>
      <c r="H2211" s="31" t="str">
        <f t="shared" si="68"/>
        <v/>
      </c>
      <c r="J2211" t="b">
        <f t="shared" si="69"/>
        <v>0</v>
      </c>
    </row>
    <row r="2212" spans="3:10" x14ac:dyDescent="0.25">
      <c r="C2212" s="4"/>
      <c r="E2212" s="4"/>
      <c r="H2212" s="31" t="str">
        <f t="shared" si="68"/>
        <v/>
      </c>
      <c r="J2212" t="b">
        <f t="shared" si="69"/>
        <v>0</v>
      </c>
    </row>
    <row r="2213" spans="3:10" x14ac:dyDescent="0.25">
      <c r="C2213" s="4"/>
      <c r="E2213" s="4"/>
      <c r="H2213" s="31" t="str">
        <f t="shared" si="68"/>
        <v/>
      </c>
      <c r="J2213" t="b">
        <f t="shared" si="69"/>
        <v>0</v>
      </c>
    </row>
    <row r="2214" spans="3:10" x14ac:dyDescent="0.25">
      <c r="C2214" s="4"/>
      <c r="E2214" s="4"/>
      <c r="H2214" s="31" t="str">
        <f t="shared" si="68"/>
        <v/>
      </c>
      <c r="J2214" t="b">
        <f t="shared" si="69"/>
        <v>0</v>
      </c>
    </row>
    <row r="2215" spans="3:10" x14ac:dyDescent="0.25">
      <c r="C2215" s="4"/>
      <c r="E2215" s="4"/>
      <c r="H2215" s="31" t="str">
        <f t="shared" si="68"/>
        <v/>
      </c>
      <c r="J2215" t="b">
        <f t="shared" si="69"/>
        <v>0</v>
      </c>
    </row>
    <row r="2216" spans="3:10" x14ac:dyDescent="0.25">
      <c r="C2216" s="4"/>
      <c r="E2216" s="4"/>
      <c r="H2216" s="31" t="str">
        <f t="shared" si="68"/>
        <v/>
      </c>
      <c r="J2216" t="b">
        <f t="shared" si="69"/>
        <v>0</v>
      </c>
    </row>
    <row r="2217" spans="3:10" x14ac:dyDescent="0.25">
      <c r="C2217" s="4"/>
      <c r="E2217" s="4"/>
      <c r="H2217" s="31" t="str">
        <f t="shared" si="68"/>
        <v/>
      </c>
      <c r="J2217" t="b">
        <f t="shared" si="69"/>
        <v>0</v>
      </c>
    </row>
    <row r="2218" spans="3:10" x14ac:dyDescent="0.25">
      <c r="C2218" s="4"/>
      <c r="E2218" s="4"/>
      <c r="H2218" s="31" t="str">
        <f t="shared" si="68"/>
        <v/>
      </c>
      <c r="J2218" t="b">
        <f t="shared" si="69"/>
        <v>0</v>
      </c>
    </row>
    <row r="2219" spans="3:10" x14ac:dyDescent="0.25">
      <c r="C2219" s="4"/>
      <c r="E2219" s="4"/>
      <c r="H2219" s="31" t="str">
        <f t="shared" si="68"/>
        <v/>
      </c>
      <c r="J2219" t="b">
        <f t="shared" si="69"/>
        <v>0</v>
      </c>
    </row>
    <row r="2220" spans="3:10" x14ac:dyDescent="0.25">
      <c r="C2220" s="4"/>
      <c r="E2220" s="4"/>
      <c r="H2220" s="31" t="str">
        <f t="shared" si="68"/>
        <v/>
      </c>
      <c r="J2220" t="b">
        <f t="shared" si="69"/>
        <v>0</v>
      </c>
    </row>
    <row r="2221" spans="3:10" x14ac:dyDescent="0.25">
      <c r="C2221" s="4"/>
      <c r="E2221" s="4"/>
      <c r="H2221" s="31" t="str">
        <f t="shared" si="68"/>
        <v/>
      </c>
      <c r="J2221" t="b">
        <f t="shared" si="69"/>
        <v>0</v>
      </c>
    </row>
    <row r="2222" spans="3:10" x14ac:dyDescent="0.25">
      <c r="C2222" s="4"/>
      <c r="E2222" s="4"/>
      <c r="H2222" s="31" t="str">
        <f t="shared" si="68"/>
        <v/>
      </c>
      <c r="J2222" t="b">
        <f t="shared" si="69"/>
        <v>0</v>
      </c>
    </row>
    <row r="2223" spans="3:10" x14ac:dyDescent="0.25">
      <c r="C2223" s="4"/>
      <c r="E2223" s="4"/>
      <c r="H2223" s="31" t="str">
        <f t="shared" si="68"/>
        <v/>
      </c>
      <c r="J2223" t="b">
        <f t="shared" si="69"/>
        <v>0</v>
      </c>
    </row>
    <row r="2224" spans="3:10" x14ac:dyDescent="0.25">
      <c r="C2224" s="4"/>
      <c r="E2224" s="4"/>
      <c r="H2224" s="31" t="str">
        <f t="shared" si="68"/>
        <v/>
      </c>
      <c r="J2224" t="b">
        <f t="shared" si="69"/>
        <v>0</v>
      </c>
    </row>
    <row r="2225" spans="3:10" x14ac:dyDescent="0.25">
      <c r="C2225" s="4"/>
      <c r="E2225" s="4"/>
      <c r="H2225" s="31" t="str">
        <f t="shared" si="68"/>
        <v/>
      </c>
      <c r="J2225" t="b">
        <f t="shared" si="69"/>
        <v>0</v>
      </c>
    </row>
    <row r="2226" spans="3:10" x14ac:dyDescent="0.25">
      <c r="C2226" s="4"/>
      <c r="E2226" s="4"/>
      <c r="H2226" s="31" t="str">
        <f t="shared" si="68"/>
        <v/>
      </c>
      <c r="J2226" t="b">
        <f t="shared" si="69"/>
        <v>0</v>
      </c>
    </row>
    <row r="2227" spans="3:10" x14ac:dyDescent="0.25">
      <c r="C2227" s="4"/>
      <c r="E2227" s="4"/>
      <c r="H2227" s="31" t="str">
        <f t="shared" si="68"/>
        <v/>
      </c>
      <c r="J2227" t="b">
        <f t="shared" si="69"/>
        <v>0</v>
      </c>
    </row>
    <row r="2228" spans="3:10" x14ac:dyDescent="0.25">
      <c r="C2228" s="4"/>
      <c r="E2228" s="4"/>
      <c r="H2228" s="31" t="str">
        <f t="shared" si="68"/>
        <v/>
      </c>
      <c r="J2228" t="b">
        <f t="shared" si="69"/>
        <v>0</v>
      </c>
    </row>
    <row r="2229" spans="3:10" x14ac:dyDescent="0.25">
      <c r="C2229" s="4"/>
      <c r="E2229" s="4"/>
      <c r="H2229" s="31" t="str">
        <f t="shared" si="68"/>
        <v/>
      </c>
      <c r="J2229" t="b">
        <f t="shared" si="69"/>
        <v>0</v>
      </c>
    </row>
    <row r="2230" spans="3:10" x14ac:dyDescent="0.25">
      <c r="C2230" s="4"/>
      <c r="E2230" s="4"/>
      <c r="H2230" s="31" t="str">
        <f t="shared" si="68"/>
        <v/>
      </c>
      <c r="J2230" t="b">
        <f t="shared" si="69"/>
        <v>0</v>
      </c>
    </row>
    <row r="2231" spans="3:10" x14ac:dyDescent="0.25">
      <c r="C2231" s="4"/>
      <c r="E2231" s="4"/>
      <c r="H2231" s="31" t="str">
        <f t="shared" si="68"/>
        <v/>
      </c>
      <c r="J2231" t="b">
        <f t="shared" si="69"/>
        <v>0</v>
      </c>
    </row>
    <row r="2232" spans="3:10" x14ac:dyDescent="0.25">
      <c r="C2232" s="4"/>
      <c r="E2232" s="4"/>
      <c r="H2232" s="31" t="str">
        <f t="shared" si="68"/>
        <v/>
      </c>
      <c r="J2232" t="b">
        <f t="shared" si="69"/>
        <v>0</v>
      </c>
    </row>
    <row r="2233" spans="3:10" x14ac:dyDescent="0.25">
      <c r="C2233" s="4"/>
      <c r="E2233" s="4"/>
      <c r="H2233" s="31" t="str">
        <f t="shared" si="68"/>
        <v/>
      </c>
      <c r="J2233" t="b">
        <f t="shared" si="69"/>
        <v>0</v>
      </c>
    </row>
    <row r="2234" spans="3:10" x14ac:dyDescent="0.25">
      <c r="C2234" s="4"/>
      <c r="E2234" s="4"/>
      <c r="H2234" s="31" t="str">
        <f t="shared" si="68"/>
        <v/>
      </c>
      <c r="J2234" t="b">
        <f t="shared" si="69"/>
        <v>0</v>
      </c>
    </row>
    <row r="2235" spans="3:10" x14ac:dyDescent="0.25">
      <c r="C2235" s="4"/>
      <c r="E2235" s="4"/>
      <c r="H2235" s="31" t="str">
        <f t="shared" si="68"/>
        <v/>
      </c>
      <c r="J2235" t="b">
        <f t="shared" si="69"/>
        <v>0</v>
      </c>
    </row>
    <row r="2236" spans="3:10" x14ac:dyDescent="0.25">
      <c r="C2236" s="4"/>
      <c r="E2236" s="4"/>
      <c r="H2236" s="31" t="str">
        <f t="shared" si="68"/>
        <v/>
      </c>
      <c r="J2236" t="b">
        <f t="shared" si="69"/>
        <v>0</v>
      </c>
    </row>
    <row r="2237" spans="3:10" x14ac:dyDescent="0.25">
      <c r="C2237" s="4"/>
      <c r="E2237" s="4"/>
      <c r="H2237" s="31" t="str">
        <f t="shared" si="68"/>
        <v/>
      </c>
      <c r="J2237" t="b">
        <f t="shared" si="69"/>
        <v>0</v>
      </c>
    </row>
    <row r="2238" spans="3:10" x14ac:dyDescent="0.25">
      <c r="C2238" s="4"/>
      <c r="E2238" s="4"/>
      <c r="H2238" s="31" t="str">
        <f t="shared" si="68"/>
        <v/>
      </c>
      <c r="J2238" t="b">
        <f t="shared" si="69"/>
        <v>0</v>
      </c>
    </row>
    <row r="2239" spans="3:10" x14ac:dyDescent="0.25">
      <c r="C2239" s="4"/>
      <c r="E2239" s="4"/>
      <c r="H2239" s="31" t="str">
        <f t="shared" si="68"/>
        <v/>
      </c>
      <c r="J2239" t="b">
        <f t="shared" si="69"/>
        <v>0</v>
      </c>
    </row>
    <row r="2240" spans="3:10" x14ac:dyDescent="0.25">
      <c r="C2240" s="4"/>
      <c r="E2240" s="4"/>
      <c r="H2240" s="31" t="str">
        <f t="shared" si="68"/>
        <v/>
      </c>
      <c r="J2240" t="b">
        <f t="shared" si="69"/>
        <v>0</v>
      </c>
    </row>
    <row r="2241" spans="3:10" x14ac:dyDescent="0.25">
      <c r="C2241" s="4"/>
      <c r="E2241" s="4"/>
      <c r="H2241" s="31" t="str">
        <f t="shared" si="68"/>
        <v/>
      </c>
      <c r="J2241" t="b">
        <f t="shared" si="69"/>
        <v>0</v>
      </c>
    </row>
    <row r="2242" spans="3:10" x14ac:dyDescent="0.25">
      <c r="C2242" s="4"/>
      <c r="E2242" s="4"/>
      <c r="H2242" s="31" t="str">
        <f t="shared" si="68"/>
        <v/>
      </c>
      <c r="J2242" t="b">
        <f t="shared" si="69"/>
        <v>0</v>
      </c>
    </row>
    <row r="2243" spans="3:10" x14ac:dyDescent="0.25">
      <c r="C2243" s="4"/>
      <c r="E2243" s="4"/>
      <c r="H2243" s="31" t="str">
        <f t="shared" si="68"/>
        <v/>
      </c>
      <c r="J2243" t="b">
        <f t="shared" si="69"/>
        <v>0</v>
      </c>
    </row>
    <row r="2244" spans="3:10" x14ac:dyDescent="0.25">
      <c r="C2244" s="4"/>
      <c r="E2244" s="4"/>
      <c r="H2244" s="31" t="str">
        <f t="shared" ref="H2244:H2307" si="70">IF($J2244=TRUE,"Il ne peut y avoir des valeurs dans les 2 méthodes",IF($D2244="kg/l",$C2244,IF($D2244="g/l",$C2244/1000,IF($D2244="lb/gal US",$C2244*0.454/3.785,IF($G2244="kg/l",($E2244/100)*$F2244,IF($G2244="g/l",($E2244/100)*$F2244/1000,IF($G2244="lb/gal US",($E2244/100)*$F2244*0.454/3.785,"")))))))</f>
        <v/>
      </c>
      <c r="J2244" t="b">
        <f t="shared" ref="J2244:J2307" si="71">IF(AND(OR($C2244&lt;&gt;"",$D2244&lt;&gt;""),OR($E2244&lt;&gt;"",F2244&lt;&gt;"",G2244&lt;&gt;"")),TRUE,FALSE)</f>
        <v>0</v>
      </c>
    </row>
    <row r="2245" spans="3:10" x14ac:dyDescent="0.25">
      <c r="C2245" s="4"/>
      <c r="E2245" s="4"/>
      <c r="H2245" s="31" t="str">
        <f t="shared" si="70"/>
        <v/>
      </c>
      <c r="J2245" t="b">
        <f t="shared" si="71"/>
        <v>0</v>
      </c>
    </row>
    <row r="2246" spans="3:10" x14ac:dyDescent="0.25">
      <c r="C2246" s="4"/>
      <c r="E2246" s="4"/>
      <c r="H2246" s="31" t="str">
        <f t="shared" si="70"/>
        <v/>
      </c>
      <c r="J2246" t="b">
        <f t="shared" si="71"/>
        <v>0</v>
      </c>
    </row>
    <row r="2247" spans="3:10" x14ac:dyDescent="0.25">
      <c r="C2247" s="4"/>
      <c r="E2247" s="4"/>
      <c r="H2247" s="31" t="str">
        <f t="shared" si="70"/>
        <v/>
      </c>
      <c r="J2247" t="b">
        <f t="shared" si="71"/>
        <v>0</v>
      </c>
    </row>
    <row r="2248" spans="3:10" x14ac:dyDescent="0.25">
      <c r="C2248" s="4"/>
      <c r="E2248" s="4"/>
      <c r="H2248" s="31" t="str">
        <f t="shared" si="70"/>
        <v/>
      </c>
      <c r="J2248" t="b">
        <f t="shared" si="71"/>
        <v>0</v>
      </c>
    </row>
    <row r="2249" spans="3:10" x14ac:dyDescent="0.25">
      <c r="C2249" s="4"/>
      <c r="E2249" s="4"/>
      <c r="H2249" s="31" t="str">
        <f t="shared" si="70"/>
        <v/>
      </c>
      <c r="J2249" t="b">
        <f t="shared" si="71"/>
        <v>0</v>
      </c>
    </row>
    <row r="2250" spans="3:10" x14ac:dyDescent="0.25">
      <c r="C2250" s="4"/>
      <c r="E2250" s="4"/>
      <c r="H2250" s="31" t="str">
        <f t="shared" si="70"/>
        <v/>
      </c>
      <c r="J2250" t="b">
        <f t="shared" si="71"/>
        <v>0</v>
      </c>
    </row>
    <row r="2251" spans="3:10" x14ac:dyDescent="0.25">
      <c r="C2251" s="4"/>
      <c r="E2251" s="4"/>
      <c r="H2251" s="31" t="str">
        <f t="shared" si="70"/>
        <v/>
      </c>
      <c r="J2251" t="b">
        <f t="shared" si="71"/>
        <v>0</v>
      </c>
    </row>
    <row r="2252" spans="3:10" x14ac:dyDescent="0.25">
      <c r="C2252" s="4"/>
      <c r="E2252" s="4"/>
      <c r="H2252" s="31" t="str">
        <f t="shared" si="70"/>
        <v/>
      </c>
      <c r="J2252" t="b">
        <f t="shared" si="71"/>
        <v>0</v>
      </c>
    </row>
    <row r="2253" spans="3:10" x14ac:dyDescent="0.25">
      <c r="C2253" s="4"/>
      <c r="E2253" s="4"/>
      <c r="H2253" s="31" t="str">
        <f t="shared" si="70"/>
        <v/>
      </c>
      <c r="J2253" t="b">
        <f t="shared" si="71"/>
        <v>0</v>
      </c>
    </row>
    <row r="2254" spans="3:10" x14ac:dyDescent="0.25">
      <c r="C2254" s="4"/>
      <c r="E2254" s="4"/>
      <c r="H2254" s="31" t="str">
        <f t="shared" si="70"/>
        <v/>
      </c>
      <c r="J2254" t="b">
        <f t="shared" si="71"/>
        <v>0</v>
      </c>
    </row>
    <row r="2255" spans="3:10" x14ac:dyDescent="0.25">
      <c r="C2255" s="4"/>
      <c r="E2255" s="4"/>
      <c r="H2255" s="31" t="str">
        <f t="shared" si="70"/>
        <v/>
      </c>
      <c r="J2255" t="b">
        <f t="shared" si="71"/>
        <v>0</v>
      </c>
    </row>
    <row r="2256" spans="3:10" x14ac:dyDescent="0.25">
      <c r="C2256" s="4"/>
      <c r="E2256" s="4"/>
      <c r="H2256" s="31" t="str">
        <f t="shared" si="70"/>
        <v/>
      </c>
      <c r="J2256" t="b">
        <f t="shared" si="71"/>
        <v>0</v>
      </c>
    </row>
    <row r="2257" spans="3:10" x14ac:dyDescent="0.25">
      <c r="C2257" s="4"/>
      <c r="E2257" s="4"/>
      <c r="H2257" s="31" t="str">
        <f t="shared" si="70"/>
        <v/>
      </c>
      <c r="J2257" t="b">
        <f t="shared" si="71"/>
        <v>0</v>
      </c>
    </row>
    <row r="2258" spans="3:10" x14ac:dyDescent="0.25">
      <c r="C2258" s="4"/>
      <c r="E2258" s="4"/>
      <c r="H2258" s="31" t="str">
        <f t="shared" si="70"/>
        <v/>
      </c>
      <c r="J2258" t="b">
        <f t="shared" si="71"/>
        <v>0</v>
      </c>
    </row>
    <row r="2259" spans="3:10" x14ac:dyDescent="0.25">
      <c r="C2259" s="4"/>
      <c r="E2259" s="4"/>
      <c r="H2259" s="31" t="str">
        <f t="shared" si="70"/>
        <v/>
      </c>
      <c r="J2259" t="b">
        <f t="shared" si="71"/>
        <v>0</v>
      </c>
    </row>
    <row r="2260" spans="3:10" x14ac:dyDescent="0.25">
      <c r="C2260" s="4"/>
      <c r="E2260" s="4"/>
      <c r="H2260" s="31" t="str">
        <f t="shared" si="70"/>
        <v/>
      </c>
      <c r="J2260" t="b">
        <f t="shared" si="71"/>
        <v>0</v>
      </c>
    </row>
    <row r="2261" spans="3:10" x14ac:dyDescent="0.25">
      <c r="C2261" s="4"/>
      <c r="E2261" s="4"/>
      <c r="H2261" s="31" t="str">
        <f t="shared" si="70"/>
        <v/>
      </c>
      <c r="J2261" t="b">
        <f t="shared" si="71"/>
        <v>0</v>
      </c>
    </row>
    <row r="2262" spans="3:10" x14ac:dyDescent="0.25">
      <c r="C2262" s="4"/>
      <c r="E2262" s="4"/>
      <c r="H2262" s="31" t="str">
        <f t="shared" si="70"/>
        <v/>
      </c>
      <c r="J2262" t="b">
        <f t="shared" si="71"/>
        <v>0</v>
      </c>
    </row>
    <row r="2263" spans="3:10" x14ac:dyDescent="0.25">
      <c r="C2263" s="4"/>
      <c r="E2263" s="4"/>
      <c r="H2263" s="31" t="str">
        <f t="shared" si="70"/>
        <v/>
      </c>
      <c r="J2263" t="b">
        <f t="shared" si="71"/>
        <v>0</v>
      </c>
    </row>
    <row r="2264" spans="3:10" x14ac:dyDescent="0.25">
      <c r="C2264" s="4"/>
      <c r="E2264" s="4"/>
      <c r="H2264" s="31" t="str">
        <f t="shared" si="70"/>
        <v/>
      </c>
      <c r="J2264" t="b">
        <f t="shared" si="71"/>
        <v>0</v>
      </c>
    </row>
    <row r="2265" spans="3:10" x14ac:dyDescent="0.25">
      <c r="C2265" s="4"/>
      <c r="E2265" s="4"/>
      <c r="H2265" s="31" t="str">
        <f t="shared" si="70"/>
        <v/>
      </c>
      <c r="J2265" t="b">
        <f t="shared" si="71"/>
        <v>0</v>
      </c>
    </row>
    <row r="2266" spans="3:10" x14ac:dyDescent="0.25">
      <c r="C2266" s="4"/>
      <c r="E2266" s="4"/>
      <c r="H2266" s="31" t="str">
        <f t="shared" si="70"/>
        <v/>
      </c>
      <c r="J2266" t="b">
        <f t="shared" si="71"/>
        <v>0</v>
      </c>
    </row>
    <row r="2267" spans="3:10" x14ac:dyDescent="0.25">
      <c r="C2267" s="4"/>
      <c r="E2267" s="4"/>
      <c r="H2267" s="31" t="str">
        <f t="shared" si="70"/>
        <v/>
      </c>
      <c r="J2267" t="b">
        <f t="shared" si="71"/>
        <v>0</v>
      </c>
    </row>
    <row r="2268" spans="3:10" x14ac:dyDescent="0.25">
      <c r="C2268" s="4"/>
      <c r="E2268" s="4"/>
      <c r="H2268" s="31" t="str">
        <f t="shared" si="70"/>
        <v/>
      </c>
      <c r="J2268" t="b">
        <f t="shared" si="71"/>
        <v>0</v>
      </c>
    </row>
    <row r="2269" spans="3:10" x14ac:dyDescent="0.25">
      <c r="C2269" s="4"/>
      <c r="E2269" s="4"/>
      <c r="H2269" s="31" t="str">
        <f t="shared" si="70"/>
        <v/>
      </c>
      <c r="J2269" t="b">
        <f t="shared" si="71"/>
        <v>0</v>
      </c>
    </row>
    <row r="2270" spans="3:10" x14ac:dyDescent="0.25">
      <c r="C2270" s="4"/>
      <c r="E2270" s="4"/>
      <c r="H2270" s="31" t="str">
        <f t="shared" si="70"/>
        <v/>
      </c>
      <c r="J2270" t="b">
        <f t="shared" si="71"/>
        <v>0</v>
      </c>
    </row>
    <row r="2271" spans="3:10" x14ac:dyDescent="0.25">
      <c r="C2271" s="4"/>
      <c r="E2271" s="4"/>
      <c r="H2271" s="31" t="str">
        <f t="shared" si="70"/>
        <v/>
      </c>
      <c r="J2271" t="b">
        <f t="shared" si="71"/>
        <v>0</v>
      </c>
    </row>
    <row r="2272" spans="3:10" x14ac:dyDescent="0.25">
      <c r="C2272" s="4"/>
      <c r="E2272" s="4"/>
      <c r="H2272" s="31" t="str">
        <f t="shared" si="70"/>
        <v/>
      </c>
      <c r="J2272" t="b">
        <f t="shared" si="71"/>
        <v>0</v>
      </c>
    </row>
    <row r="2273" spans="3:10" x14ac:dyDescent="0.25">
      <c r="C2273" s="4"/>
      <c r="E2273" s="4"/>
      <c r="H2273" s="31" t="str">
        <f t="shared" si="70"/>
        <v/>
      </c>
      <c r="J2273" t="b">
        <f t="shared" si="71"/>
        <v>0</v>
      </c>
    </row>
    <row r="2274" spans="3:10" x14ac:dyDescent="0.25">
      <c r="C2274" s="4"/>
      <c r="E2274" s="4"/>
      <c r="H2274" s="31" t="str">
        <f t="shared" si="70"/>
        <v/>
      </c>
      <c r="J2274" t="b">
        <f t="shared" si="71"/>
        <v>0</v>
      </c>
    </row>
    <row r="2275" spans="3:10" x14ac:dyDescent="0.25">
      <c r="C2275" s="4"/>
      <c r="E2275" s="4"/>
      <c r="H2275" s="31" t="str">
        <f t="shared" si="70"/>
        <v/>
      </c>
      <c r="J2275" t="b">
        <f t="shared" si="71"/>
        <v>0</v>
      </c>
    </row>
    <row r="2276" spans="3:10" x14ac:dyDescent="0.25">
      <c r="C2276" s="4"/>
      <c r="E2276" s="4"/>
      <c r="H2276" s="31" t="str">
        <f t="shared" si="70"/>
        <v/>
      </c>
      <c r="J2276" t="b">
        <f t="shared" si="71"/>
        <v>0</v>
      </c>
    </row>
    <row r="2277" spans="3:10" x14ac:dyDescent="0.25">
      <c r="C2277" s="4"/>
      <c r="E2277" s="4"/>
      <c r="H2277" s="31" t="str">
        <f t="shared" si="70"/>
        <v/>
      </c>
      <c r="J2277" t="b">
        <f t="shared" si="71"/>
        <v>0</v>
      </c>
    </row>
    <row r="2278" spans="3:10" x14ac:dyDescent="0.25">
      <c r="C2278" s="4"/>
      <c r="E2278" s="4"/>
      <c r="H2278" s="31" t="str">
        <f t="shared" si="70"/>
        <v/>
      </c>
      <c r="J2278" t="b">
        <f t="shared" si="71"/>
        <v>0</v>
      </c>
    </row>
    <row r="2279" spans="3:10" x14ac:dyDescent="0.25">
      <c r="C2279" s="4"/>
      <c r="E2279" s="4"/>
      <c r="H2279" s="31" t="str">
        <f t="shared" si="70"/>
        <v/>
      </c>
      <c r="J2279" t="b">
        <f t="shared" si="71"/>
        <v>0</v>
      </c>
    </row>
    <row r="2280" spans="3:10" x14ac:dyDescent="0.25">
      <c r="C2280" s="4"/>
      <c r="E2280" s="4"/>
      <c r="H2280" s="31" t="str">
        <f t="shared" si="70"/>
        <v/>
      </c>
      <c r="J2280" t="b">
        <f t="shared" si="71"/>
        <v>0</v>
      </c>
    </row>
    <row r="2281" spans="3:10" x14ac:dyDescent="0.25">
      <c r="C2281" s="4"/>
      <c r="E2281" s="4"/>
      <c r="H2281" s="31" t="str">
        <f t="shared" si="70"/>
        <v/>
      </c>
      <c r="J2281" t="b">
        <f t="shared" si="71"/>
        <v>0</v>
      </c>
    </row>
    <row r="2282" spans="3:10" x14ac:dyDescent="0.25">
      <c r="C2282" s="4"/>
      <c r="E2282" s="4"/>
      <c r="H2282" s="31" t="str">
        <f t="shared" si="70"/>
        <v/>
      </c>
      <c r="J2282" t="b">
        <f t="shared" si="71"/>
        <v>0</v>
      </c>
    </row>
    <row r="2283" spans="3:10" x14ac:dyDescent="0.25">
      <c r="C2283" s="4"/>
      <c r="E2283" s="4"/>
      <c r="H2283" s="31" t="str">
        <f t="shared" si="70"/>
        <v/>
      </c>
      <c r="J2283" t="b">
        <f t="shared" si="71"/>
        <v>0</v>
      </c>
    </row>
    <row r="2284" spans="3:10" x14ac:dyDescent="0.25">
      <c r="C2284" s="4"/>
      <c r="E2284" s="4"/>
      <c r="H2284" s="31" t="str">
        <f t="shared" si="70"/>
        <v/>
      </c>
      <c r="J2284" t="b">
        <f t="shared" si="71"/>
        <v>0</v>
      </c>
    </row>
    <row r="2285" spans="3:10" x14ac:dyDescent="0.25">
      <c r="C2285" s="4"/>
      <c r="E2285" s="4"/>
      <c r="H2285" s="31" t="str">
        <f t="shared" si="70"/>
        <v/>
      </c>
      <c r="J2285" t="b">
        <f t="shared" si="71"/>
        <v>0</v>
      </c>
    </row>
    <row r="2286" spans="3:10" x14ac:dyDescent="0.25">
      <c r="C2286" s="4"/>
      <c r="E2286" s="4"/>
      <c r="H2286" s="31" t="str">
        <f t="shared" si="70"/>
        <v/>
      </c>
      <c r="J2286" t="b">
        <f t="shared" si="71"/>
        <v>0</v>
      </c>
    </row>
    <row r="2287" spans="3:10" x14ac:dyDescent="0.25">
      <c r="C2287" s="4"/>
      <c r="E2287" s="4"/>
      <c r="H2287" s="31" t="str">
        <f t="shared" si="70"/>
        <v/>
      </c>
      <c r="J2287" t="b">
        <f t="shared" si="71"/>
        <v>0</v>
      </c>
    </row>
    <row r="2288" spans="3:10" x14ac:dyDescent="0.25">
      <c r="C2288" s="4"/>
      <c r="E2288" s="4"/>
      <c r="H2288" s="31" t="str">
        <f t="shared" si="70"/>
        <v/>
      </c>
      <c r="J2288" t="b">
        <f t="shared" si="71"/>
        <v>0</v>
      </c>
    </row>
    <row r="2289" spans="3:10" x14ac:dyDescent="0.25">
      <c r="C2289" s="4"/>
      <c r="E2289" s="4"/>
      <c r="H2289" s="31" t="str">
        <f t="shared" si="70"/>
        <v/>
      </c>
      <c r="J2289" t="b">
        <f t="shared" si="71"/>
        <v>0</v>
      </c>
    </row>
    <row r="2290" spans="3:10" x14ac:dyDescent="0.25">
      <c r="C2290" s="4"/>
      <c r="E2290" s="4"/>
      <c r="H2290" s="31" t="str">
        <f t="shared" si="70"/>
        <v/>
      </c>
      <c r="J2290" t="b">
        <f t="shared" si="71"/>
        <v>0</v>
      </c>
    </row>
    <row r="2291" spans="3:10" x14ac:dyDescent="0.25">
      <c r="C2291" s="4"/>
      <c r="E2291" s="4"/>
      <c r="H2291" s="31" t="str">
        <f t="shared" si="70"/>
        <v/>
      </c>
      <c r="J2291" t="b">
        <f t="shared" si="71"/>
        <v>0</v>
      </c>
    </row>
    <row r="2292" spans="3:10" x14ac:dyDescent="0.25">
      <c r="C2292" s="4"/>
      <c r="E2292" s="4"/>
      <c r="H2292" s="31" t="str">
        <f t="shared" si="70"/>
        <v/>
      </c>
      <c r="J2292" t="b">
        <f t="shared" si="71"/>
        <v>0</v>
      </c>
    </row>
    <row r="2293" spans="3:10" x14ac:dyDescent="0.25">
      <c r="C2293" s="4"/>
      <c r="E2293" s="4"/>
      <c r="H2293" s="31" t="str">
        <f t="shared" si="70"/>
        <v/>
      </c>
      <c r="J2293" t="b">
        <f t="shared" si="71"/>
        <v>0</v>
      </c>
    </row>
    <row r="2294" spans="3:10" x14ac:dyDescent="0.25">
      <c r="C2294" s="4"/>
      <c r="E2294" s="4"/>
      <c r="H2294" s="31" t="str">
        <f t="shared" si="70"/>
        <v/>
      </c>
      <c r="J2294" t="b">
        <f t="shared" si="71"/>
        <v>0</v>
      </c>
    </row>
    <row r="2295" spans="3:10" x14ac:dyDescent="0.25">
      <c r="C2295" s="4"/>
      <c r="E2295" s="4"/>
      <c r="H2295" s="31" t="str">
        <f t="shared" si="70"/>
        <v/>
      </c>
      <c r="J2295" t="b">
        <f t="shared" si="71"/>
        <v>0</v>
      </c>
    </row>
    <row r="2296" spans="3:10" x14ac:dyDescent="0.25">
      <c r="C2296" s="4"/>
      <c r="E2296" s="4"/>
      <c r="H2296" s="31" t="str">
        <f t="shared" si="70"/>
        <v/>
      </c>
      <c r="J2296" t="b">
        <f t="shared" si="71"/>
        <v>0</v>
      </c>
    </row>
    <row r="2297" spans="3:10" x14ac:dyDescent="0.25">
      <c r="C2297" s="4"/>
      <c r="E2297" s="4"/>
      <c r="H2297" s="31" t="str">
        <f t="shared" si="70"/>
        <v/>
      </c>
      <c r="J2297" t="b">
        <f t="shared" si="71"/>
        <v>0</v>
      </c>
    </row>
    <row r="2298" spans="3:10" x14ac:dyDescent="0.25">
      <c r="C2298" s="4"/>
      <c r="E2298" s="4"/>
      <c r="H2298" s="31" t="str">
        <f t="shared" si="70"/>
        <v/>
      </c>
      <c r="J2298" t="b">
        <f t="shared" si="71"/>
        <v>0</v>
      </c>
    </row>
    <row r="2299" spans="3:10" x14ac:dyDescent="0.25">
      <c r="C2299" s="4"/>
      <c r="E2299" s="4"/>
      <c r="H2299" s="31" t="str">
        <f t="shared" si="70"/>
        <v/>
      </c>
      <c r="J2299" t="b">
        <f t="shared" si="71"/>
        <v>0</v>
      </c>
    </row>
    <row r="2300" spans="3:10" x14ac:dyDescent="0.25">
      <c r="C2300" s="4"/>
      <c r="E2300" s="4"/>
      <c r="H2300" s="31" t="str">
        <f t="shared" si="70"/>
        <v/>
      </c>
      <c r="J2300" t="b">
        <f t="shared" si="71"/>
        <v>0</v>
      </c>
    </row>
    <row r="2301" spans="3:10" x14ac:dyDescent="0.25">
      <c r="C2301" s="4"/>
      <c r="E2301" s="4"/>
      <c r="H2301" s="31" t="str">
        <f t="shared" si="70"/>
        <v/>
      </c>
      <c r="J2301" t="b">
        <f t="shared" si="71"/>
        <v>0</v>
      </c>
    </row>
    <row r="2302" spans="3:10" x14ac:dyDescent="0.25">
      <c r="C2302" s="4"/>
      <c r="E2302" s="4"/>
      <c r="H2302" s="31" t="str">
        <f t="shared" si="70"/>
        <v/>
      </c>
      <c r="J2302" t="b">
        <f t="shared" si="71"/>
        <v>0</v>
      </c>
    </row>
    <row r="2303" spans="3:10" x14ac:dyDescent="0.25">
      <c r="C2303" s="4"/>
      <c r="E2303" s="4"/>
      <c r="H2303" s="31" t="str">
        <f t="shared" si="70"/>
        <v/>
      </c>
      <c r="J2303" t="b">
        <f t="shared" si="71"/>
        <v>0</v>
      </c>
    </row>
    <row r="2304" spans="3:10" x14ac:dyDescent="0.25">
      <c r="C2304" s="4"/>
      <c r="E2304" s="4"/>
      <c r="H2304" s="31" t="str">
        <f t="shared" si="70"/>
        <v/>
      </c>
      <c r="J2304" t="b">
        <f t="shared" si="71"/>
        <v>0</v>
      </c>
    </row>
    <row r="2305" spans="3:10" x14ac:dyDescent="0.25">
      <c r="C2305" s="4"/>
      <c r="E2305" s="4"/>
      <c r="H2305" s="31" t="str">
        <f t="shared" si="70"/>
        <v/>
      </c>
      <c r="J2305" t="b">
        <f t="shared" si="71"/>
        <v>0</v>
      </c>
    </row>
    <row r="2306" spans="3:10" x14ac:dyDescent="0.25">
      <c r="C2306" s="4"/>
      <c r="E2306" s="4"/>
      <c r="H2306" s="31" t="str">
        <f t="shared" si="70"/>
        <v/>
      </c>
      <c r="J2306" t="b">
        <f t="shared" si="71"/>
        <v>0</v>
      </c>
    </row>
    <row r="2307" spans="3:10" x14ac:dyDescent="0.25">
      <c r="C2307" s="4"/>
      <c r="E2307" s="4"/>
      <c r="H2307" s="31" t="str">
        <f t="shared" si="70"/>
        <v/>
      </c>
      <c r="J2307" t="b">
        <f t="shared" si="71"/>
        <v>0</v>
      </c>
    </row>
    <row r="2308" spans="3:10" x14ac:dyDescent="0.25">
      <c r="C2308" s="4"/>
      <c r="E2308" s="4"/>
      <c r="H2308" s="31" t="str">
        <f t="shared" ref="H2308:H2371" si="72">IF($J2308=TRUE,"Il ne peut y avoir des valeurs dans les 2 méthodes",IF($D2308="kg/l",$C2308,IF($D2308="g/l",$C2308/1000,IF($D2308="lb/gal US",$C2308*0.454/3.785,IF($G2308="kg/l",($E2308/100)*$F2308,IF($G2308="g/l",($E2308/100)*$F2308/1000,IF($G2308="lb/gal US",($E2308/100)*$F2308*0.454/3.785,"")))))))</f>
        <v/>
      </c>
      <c r="J2308" t="b">
        <f t="shared" ref="J2308:J2371" si="73">IF(AND(OR($C2308&lt;&gt;"",$D2308&lt;&gt;""),OR($E2308&lt;&gt;"",F2308&lt;&gt;"",G2308&lt;&gt;"")),TRUE,FALSE)</f>
        <v>0</v>
      </c>
    </row>
    <row r="2309" spans="3:10" x14ac:dyDescent="0.25">
      <c r="C2309" s="4"/>
      <c r="E2309" s="4"/>
      <c r="H2309" s="31" t="str">
        <f t="shared" si="72"/>
        <v/>
      </c>
      <c r="J2309" t="b">
        <f t="shared" si="73"/>
        <v>0</v>
      </c>
    </row>
    <row r="2310" spans="3:10" x14ac:dyDescent="0.25">
      <c r="C2310" s="4"/>
      <c r="E2310" s="4"/>
      <c r="H2310" s="31" t="str">
        <f t="shared" si="72"/>
        <v/>
      </c>
      <c r="J2310" t="b">
        <f t="shared" si="73"/>
        <v>0</v>
      </c>
    </row>
    <row r="2311" spans="3:10" x14ac:dyDescent="0.25">
      <c r="C2311" s="4"/>
      <c r="E2311" s="4"/>
      <c r="H2311" s="31" t="str">
        <f t="shared" si="72"/>
        <v/>
      </c>
      <c r="J2311" t="b">
        <f t="shared" si="73"/>
        <v>0</v>
      </c>
    </row>
    <row r="2312" spans="3:10" x14ac:dyDescent="0.25">
      <c r="C2312" s="4"/>
      <c r="E2312" s="4"/>
      <c r="H2312" s="31" t="str">
        <f t="shared" si="72"/>
        <v/>
      </c>
      <c r="J2312" t="b">
        <f t="shared" si="73"/>
        <v>0</v>
      </c>
    </row>
    <row r="2313" spans="3:10" x14ac:dyDescent="0.25">
      <c r="C2313" s="4"/>
      <c r="E2313" s="4"/>
      <c r="H2313" s="31" t="str">
        <f t="shared" si="72"/>
        <v/>
      </c>
      <c r="J2313" t="b">
        <f t="shared" si="73"/>
        <v>0</v>
      </c>
    </row>
    <row r="2314" spans="3:10" x14ac:dyDescent="0.25">
      <c r="C2314" s="4"/>
      <c r="E2314" s="4"/>
      <c r="H2314" s="31" t="str">
        <f t="shared" si="72"/>
        <v/>
      </c>
      <c r="J2314" t="b">
        <f t="shared" si="73"/>
        <v>0</v>
      </c>
    </row>
    <row r="2315" spans="3:10" x14ac:dyDescent="0.25">
      <c r="C2315" s="4"/>
      <c r="E2315" s="4"/>
      <c r="H2315" s="31" t="str">
        <f t="shared" si="72"/>
        <v/>
      </c>
      <c r="J2315" t="b">
        <f t="shared" si="73"/>
        <v>0</v>
      </c>
    </row>
    <row r="2316" spans="3:10" x14ac:dyDescent="0.25">
      <c r="C2316" s="4"/>
      <c r="E2316" s="4"/>
      <c r="H2316" s="31" t="str">
        <f t="shared" si="72"/>
        <v/>
      </c>
      <c r="J2316" t="b">
        <f t="shared" si="73"/>
        <v>0</v>
      </c>
    </row>
    <row r="2317" spans="3:10" x14ac:dyDescent="0.25">
      <c r="C2317" s="4"/>
      <c r="E2317" s="4"/>
      <c r="H2317" s="31" t="str">
        <f t="shared" si="72"/>
        <v/>
      </c>
      <c r="J2317" t="b">
        <f t="shared" si="73"/>
        <v>0</v>
      </c>
    </row>
    <row r="2318" spans="3:10" x14ac:dyDescent="0.25">
      <c r="C2318" s="4"/>
      <c r="E2318" s="4"/>
      <c r="H2318" s="31" t="str">
        <f t="shared" si="72"/>
        <v/>
      </c>
      <c r="J2318" t="b">
        <f t="shared" si="73"/>
        <v>0</v>
      </c>
    </row>
    <row r="2319" spans="3:10" x14ac:dyDescent="0.25">
      <c r="C2319" s="4"/>
      <c r="E2319" s="4"/>
      <c r="H2319" s="31" t="str">
        <f t="shared" si="72"/>
        <v/>
      </c>
      <c r="J2319" t="b">
        <f t="shared" si="73"/>
        <v>0</v>
      </c>
    </row>
    <row r="2320" spans="3:10" x14ac:dyDescent="0.25">
      <c r="C2320" s="4"/>
      <c r="E2320" s="4"/>
      <c r="H2320" s="31" t="str">
        <f t="shared" si="72"/>
        <v/>
      </c>
      <c r="J2320" t="b">
        <f t="shared" si="73"/>
        <v>0</v>
      </c>
    </row>
    <row r="2321" spans="3:10" x14ac:dyDescent="0.25">
      <c r="C2321" s="4"/>
      <c r="E2321" s="4"/>
      <c r="H2321" s="31" t="str">
        <f t="shared" si="72"/>
        <v/>
      </c>
      <c r="J2321" t="b">
        <f t="shared" si="73"/>
        <v>0</v>
      </c>
    </row>
    <row r="2322" spans="3:10" x14ac:dyDescent="0.25">
      <c r="C2322" s="4"/>
      <c r="E2322" s="4"/>
      <c r="H2322" s="31" t="str">
        <f t="shared" si="72"/>
        <v/>
      </c>
      <c r="J2322" t="b">
        <f t="shared" si="73"/>
        <v>0</v>
      </c>
    </row>
    <row r="2323" spans="3:10" x14ac:dyDescent="0.25">
      <c r="C2323" s="4"/>
      <c r="E2323" s="4"/>
      <c r="H2323" s="31" t="str">
        <f t="shared" si="72"/>
        <v/>
      </c>
      <c r="J2323" t="b">
        <f t="shared" si="73"/>
        <v>0</v>
      </c>
    </row>
    <row r="2324" spans="3:10" x14ac:dyDescent="0.25">
      <c r="C2324" s="4"/>
      <c r="E2324" s="4"/>
      <c r="H2324" s="31" t="str">
        <f t="shared" si="72"/>
        <v/>
      </c>
      <c r="J2324" t="b">
        <f t="shared" si="73"/>
        <v>0</v>
      </c>
    </row>
    <row r="2325" spans="3:10" x14ac:dyDescent="0.25">
      <c r="C2325" s="4"/>
      <c r="E2325" s="4"/>
      <c r="H2325" s="31" t="str">
        <f t="shared" si="72"/>
        <v/>
      </c>
      <c r="J2325" t="b">
        <f t="shared" si="73"/>
        <v>0</v>
      </c>
    </row>
    <row r="2326" spans="3:10" x14ac:dyDescent="0.25">
      <c r="C2326" s="4"/>
      <c r="E2326" s="4"/>
      <c r="H2326" s="31" t="str">
        <f t="shared" si="72"/>
        <v/>
      </c>
      <c r="J2326" t="b">
        <f t="shared" si="73"/>
        <v>0</v>
      </c>
    </row>
    <row r="2327" spans="3:10" x14ac:dyDescent="0.25">
      <c r="C2327" s="4"/>
      <c r="E2327" s="4"/>
      <c r="H2327" s="31" t="str">
        <f t="shared" si="72"/>
        <v/>
      </c>
      <c r="J2327" t="b">
        <f t="shared" si="73"/>
        <v>0</v>
      </c>
    </row>
    <row r="2328" spans="3:10" x14ac:dyDescent="0.25">
      <c r="C2328" s="4"/>
      <c r="E2328" s="4"/>
      <c r="H2328" s="31" t="str">
        <f t="shared" si="72"/>
        <v/>
      </c>
      <c r="J2328" t="b">
        <f t="shared" si="73"/>
        <v>0</v>
      </c>
    </row>
    <row r="2329" spans="3:10" x14ac:dyDescent="0.25">
      <c r="C2329" s="4"/>
      <c r="E2329" s="4"/>
      <c r="H2329" s="31" t="str">
        <f t="shared" si="72"/>
        <v/>
      </c>
      <c r="J2329" t="b">
        <f t="shared" si="73"/>
        <v>0</v>
      </c>
    </row>
    <row r="2330" spans="3:10" x14ac:dyDescent="0.25">
      <c r="C2330" s="4"/>
      <c r="E2330" s="4"/>
      <c r="H2330" s="31" t="str">
        <f t="shared" si="72"/>
        <v/>
      </c>
      <c r="J2330" t="b">
        <f t="shared" si="73"/>
        <v>0</v>
      </c>
    </row>
    <row r="2331" spans="3:10" x14ac:dyDescent="0.25">
      <c r="C2331" s="4"/>
      <c r="E2331" s="4"/>
      <c r="H2331" s="31" t="str">
        <f t="shared" si="72"/>
        <v/>
      </c>
      <c r="J2331" t="b">
        <f t="shared" si="73"/>
        <v>0</v>
      </c>
    </row>
    <row r="2332" spans="3:10" x14ac:dyDescent="0.25">
      <c r="C2332" s="4"/>
      <c r="E2332" s="4"/>
      <c r="H2332" s="31" t="str">
        <f t="shared" si="72"/>
        <v/>
      </c>
      <c r="J2332" t="b">
        <f t="shared" si="73"/>
        <v>0</v>
      </c>
    </row>
    <row r="2333" spans="3:10" x14ac:dyDescent="0.25">
      <c r="C2333" s="4"/>
      <c r="E2333" s="4"/>
      <c r="H2333" s="31" t="str">
        <f t="shared" si="72"/>
        <v/>
      </c>
      <c r="J2333" t="b">
        <f t="shared" si="73"/>
        <v>0</v>
      </c>
    </row>
    <row r="2334" spans="3:10" x14ac:dyDescent="0.25">
      <c r="C2334" s="4"/>
      <c r="E2334" s="4"/>
      <c r="H2334" s="31" t="str">
        <f t="shared" si="72"/>
        <v/>
      </c>
      <c r="J2334" t="b">
        <f t="shared" si="73"/>
        <v>0</v>
      </c>
    </row>
    <row r="2335" spans="3:10" x14ac:dyDescent="0.25">
      <c r="C2335" s="4"/>
      <c r="E2335" s="4"/>
      <c r="H2335" s="31" t="str">
        <f t="shared" si="72"/>
        <v/>
      </c>
      <c r="J2335" t="b">
        <f t="shared" si="73"/>
        <v>0</v>
      </c>
    </row>
    <row r="2336" spans="3:10" x14ac:dyDescent="0.25">
      <c r="C2336" s="4"/>
      <c r="E2336" s="4"/>
      <c r="H2336" s="31" t="str">
        <f t="shared" si="72"/>
        <v/>
      </c>
      <c r="J2336" t="b">
        <f t="shared" si="73"/>
        <v>0</v>
      </c>
    </row>
    <row r="2337" spans="3:10" x14ac:dyDescent="0.25">
      <c r="C2337" s="4"/>
      <c r="E2337" s="4"/>
      <c r="H2337" s="31" t="str">
        <f t="shared" si="72"/>
        <v/>
      </c>
      <c r="J2337" t="b">
        <f t="shared" si="73"/>
        <v>0</v>
      </c>
    </row>
    <row r="2338" spans="3:10" x14ac:dyDescent="0.25">
      <c r="C2338" s="4"/>
      <c r="E2338" s="4"/>
      <c r="H2338" s="31" t="str">
        <f t="shared" si="72"/>
        <v/>
      </c>
      <c r="J2338" t="b">
        <f t="shared" si="73"/>
        <v>0</v>
      </c>
    </row>
    <row r="2339" spans="3:10" x14ac:dyDescent="0.25">
      <c r="C2339" s="4"/>
      <c r="E2339" s="4"/>
      <c r="H2339" s="31" t="str">
        <f t="shared" si="72"/>
        <v/>
      </c>
      <c r="J2339" t="b">
        <f t="shared" si="73"/>
        <v>0</v>
      </c>
    </row>
    <row r="2340" spans="3:10" x14ac:dyDescent="0.25">
      <c r="C2340" s="4"/>
      <c r="E2340" s="4"/>
      <c r="H2340" s="31" t="str">
        <f t="shared" si="72"/>
        <v/>
      </c>
      <c r="J2340" t="b">
        <f t="shared" si="73"/>
        <v>0</v>
      </c>
    </row>
    <row r="2341" spans="3:10" x14ac:dyDescent="0.25">
      <c r="C2341" s="4"/>
      <c r="E2341" s="4"/>
      <c r="H2341" s="31" t="str">
        <f t="shared" si="72"/>
        <v/>
      </c>
      <c r="J2341" t="b">
        <f t="shared" si="73"/>
        <v>0</v>
      </c>
    </row>
    <row r="2342" spans="3:10" x14ac:dyDescent="0.25">
      <c r="C2342" s="4"/>
      <c r="E2342" s="4"/>
      <c r="H2342" s="31" t="str">
        <f t="shared" si="72"/>
        <v/>
      </c>
      <c r="J2342" t="b">
        <f t="shared" si="73"/>
        <v>0</v>
      </c>
    </row>
    <row r="2343" spans="3:10" x14ac:dyDescent="0.25">
      <c r="C2343" s="4"/>
      <c r="E2343" s="4"/>
      <c r="H2343" s="31" t="str">
        <f t="shared" si="72"/>
        <v/>
      </c>
      <c r="J2343" t="b">
        <f t="shared" si="73"/>
        <v>0</v>
      </c>
    </row>
    <row r="2344" spans="3:10" x14ac:dyDescent="0.25">
      <c r="C2344" s="4"/>
      <c r="E2344" s="4"/>
      <c r="H2344" s="31" t="str">
        <f t="shared" si="72"/>
        <v/>
      </c>
      <c r="J2344" t="b">
        <f t="shared" si="73"/>
        <v>0</v>
      </c>
    </row>
    <row r="2345" spans="3:10" x14ac:dyDescent="0.25">
      <c r="C2345" s="4"/>
      <c r="E2345" s="4"/>
      <c r="H2345" s="31" t="str">
        <f t="shared" si="72"/>
        <v/>
      </c>
      <c r="J2345" t="b">
        <f t="shared" si="73"/>
        <v>0</v>
      </c>
    </row>
    <row r="2346" spans="3:10" x14ac:dyDescent="0.25">
      <c r="C2346" s="4"/>
      <c r="E2346" s="4"/>
      <c r="H2346" s="31" t="str">
        <f t="shared" si="72"/>
        <v/>
      </c>
      <c r="J2346" t="b">
        <f t="shared" si="73"/>
        <v>0</v>
      </c>
    </row>
    <row r="2347" spans="3:10" x14ac:dyDescent="0.25">
      <c r="C2347" s="4"/>
      <c r="E2347" s="4"/>
      <c r="H2347" s="31" t="str">
        <f t="shared" si="72"/>
        <v/>
      </c>
      <c r="J2347" t="b">
        <f t="shared" si="73"/>
        <v>0</v>
      </c>
    </row>
    <row r="2348" spans="3:10" x14ac:dyDescent="0.25">
      <c r="C2348" s="4"/>
      <c r="E2348" s="4"/>
      <c r="H2348" s="31" t="str">
        <f t="shared" si="72"/>
        <v/>
      </c>
      <c r="J2348" t="b">
        <f t="shared" si="73"/>
        <v>0</v>
      </c>
    </row>
    <row r="2349" spans="3:10" x14ac:dyDescent="0.25">
      <c r="C2349" s="4"/>
      <c r="E2349" s="4"/>
      <c r="H2349" s="31" t="str">
        <f t="shared" si="72"/>
        <v/>
      </c>
      <c r="J2349" t="b">
        <f t="shared" si="73"/>
        <v>0</v>
      </c>
    </row>
    <row r="2350" spans="3:10" x14ac:dyDescent="0.25">
      <c r="C2350" s="4"/>
      <c r="E2350" s="4"/>
      <c r="H2350" s="31" t="str">
        <f t="shared" si="72"/>
        <v/>
      </c>
      <c r="J2350" t="b">
        <f t="shared" si="73"/>
        <v>0</v>
      </c>
    </row>
    <row r="2351" spans="3:10" x14ac:dyDescent="0.25">
      <c r="C2351" s="4"/>
      <c r="E2351" s="4"/>
      <c r="H2351" s="31" t="str">
        <f t="shared" si="72"/>
        <v/>
      </c>
      <c r="J2351" t="b">
        <f t="shared" si="73"/>
        <v>0</v>
      </c>
    </row>
    <row r="2352" spans="3:10" x14ac:dyDescent="0.25">
      <c r="C2352" s="4"/>
      <c r="E2352" s="4"/>
      <c r="H2352" s="31" t="str">
        <f t="shared" si="72"/>
        <v/>
      </c>
      <c r="J2352" t="b">
        <f t="shared" si="73"/>
        <v>0</v>
      </c>
    </row>
    <row r="2353" spans="3:10" x14ac:dyDescent="0.25">
      <c r="C2353" s="4"/>
      <c r="E2353" s="4"/>
      <c r="H2353" s="31" t="str">
        <f t="shared" si="72"/>
        <v/>
      </c>
      <c r="J2353" t="b">
        <f t="shared" si="73"/>
        <v>0</v>
      </c>
    </row>
    <row r="2354" spans="3:10" x14ac:dyDescent="0.25">
      <c r="C2354" s="4"/>
      <c r="E2354" s="4"/>
      <c r="H2354" s="31" t="str">
        <f t="shared" si="72"/>
        <v/>
      </c>
      <c r="J2354" t="b">
        <f t="shared" si="73"/>
        <v>0</v>
      </c>
    </row>
    <row r="2355" spans="3:10" x14ac:dyDescent="0.25">
      <c r="C2355" s="4"/>
      <c r="E2355" s="4"/>
      <c r="H2355" s="31" t="str">
        <f t="shared" si="72"/>
        <v/>
      </c>
      <c r="J2355" t="b">
        <f t="shared" si="73"/>
        <v>0</v>
      </c>
    </row>
    <row r="2356" spans="3:10" x14ac:dyDescent="0.25">
      <c r="C2356" s="4"/>
      <c r="E2356" s="4"/>
      <c r="H2356" s="31" t="str">
        <f t="shared" si="72"/>
        <v/>
      </c>
      <c r="J2356" t="b">
        <f t="shared" si="73"/>
        <v>0</v>
      </c>
    </row>
    <row r="2357" spans="3:10" x14ac:dyDescent="0.25">
      <c r="C2357" s="4"/>
      <c r="E2357" s="4"/>
      <c r="H2357" s="31" t="str">
        <f t="shared" si="72"/>
        <v/>
      </c>
      <c r="J2357" t="b">
        <f t="shared" si="73"/>
        <v>0</v>
      </c>
    </row>
    <row r="2358" spans="3:10" x14ac:dyDescent="0.25">
      <c r="C2358" s="4"/>
      <c r="E2358" s="4"/>
      <c r="H2358" s="31" t="str">
        <f t="shared" si="72"/>
        <v/>
      </c>
      <c r="J2358" t="b">
        <f t="shared" si="73"/>
        <v>0</v>
      </c>
    </row>
    <row r="2359" spans="3:10" x14ac:dyDescent="0.25">
      <c r="C2359" s="4"/>
      <c r="E2359" s="4"/>
      <c r="H2359" s="31" t="str">
        <f t="shared" si="72"/>
        <v/>
      </c>
      <c r="J2359" t="b">
        <f t="shared" si="73"/>
        <v>0</v>
      </c>
    </row>
    <row r="2360" spans="3:10" x14ac:dyDescent="0.25">
      <c r="C2360" s="4"/>
      <c r="E2360" s="4"/>
      <c r="H2360" s="31" t="str">
        <f t="shared" si="72"/>
        <v/>
      </c>
      <c r="J2360" t="b">
        <f t="shared" si="73"/>
        <v>0</v>
      </c>
    </row>
    <row r="2361" spans="3:10" x14ac:dyDescent="0.25">
      <c r="C2361" s="4"/>
      <c r="E2361" s="4"/>
      <c r="H2361" s="31" t="str">
        <f t="shared" si="72"/>
        <v/>
      </c>
      <c r="J2361" t="b">
        <f t="shared" si="73"/>
        <v>0</v>
      </c>
    </row>
    <row r="2362" spans="3:10" x14ac:dyDescent="0.25">
      <c r="C2362" s="4"/>
      <c r="E2362" s="4"/>
      <c r="H2362" s="31" t="str">
        <f t="shared" si="72"/>
        <v/>
      </c>
      <c r="J2362" t="b">
        <f t="shared" si="73"/>
        <v>0</v>
      </c>
    </row>
    <row r="2363" spans="3:10" x14ac:dyDescent="0.25">
      <c r="C2363" s="4"/>
      <c r="E2363" s="4"/>
      <c r="H2363" s="31" t="str">
        <f t="shared" si="72"/>
        <v/>
      </c>
      <c r="J2363" t="b">
        <f t="shared" si="73"/>
        <v>0</v>
      </c>
    </row>
    <row r="2364" spans="3:10" x14ac:dyDescent="0.25">
      <c r="C2364" s="4"/>
      <c r="E2364" s="4"/>
      <c r="H2364" s="31" t="str">
        <f t="shared" si="72"/>
        <v/>
      </c>
      <c r="J2364" t="b">
        <f t="shared" si="73"/>
        <v>0</v>
      </c>
    </row>
    <row r="2365" spans="3:10" x14ac:dyDescent="0.25">
      <c r="C2365" s="4"/>
      <c r="E2365" s="4"/>
      <c r="H2365" s="31" t="str">
        <f t="shared" si="72"/>
        <v/>
      </c>
      <c r="J2365" t="b">
        <f t="shared" si="73"/>
        <v>0</v>
      </c>
    </row>
    <row r="2366" spans="3:10" x14ac:dyDescent="0.25">
      <c r="C2366" s="4"/>
      <c r="E2366" s="4"/>
      <c r="H2366" s="31" t="str">
        <f t="shared" si="72"/>
        <v/>
      </c>
      <c r="J2366" t="b">
        <f t="shared" si="73"/>
        <v>0</v>
      </c>
    </row>
    <row r="2367" spans="3:10" x14ac:dyDescent="0.25">
      <c r="C2367" s="4"/>
      <c r="E2367" s="4"/>
      <c r="H2367" s="31" t="str">
        <f t="shared" si="72"/>
        <v/>
      </c>
      <c r="J2367" t="b">
        <f t="shared" si="73"/>
        <v>0</v>
      </c>
    </row>
    <row r="2368" spans="3:10" x14ac:dyDescent="0.25">
      <c r="C2368" s="4"/>
      <c r="E2368" s="4"/>
      <c r="H2368" s="31" t="str">
        <f t="shared" si="72"/>
        <v/>
      </c>
      <c r="J2368" t="b">
        <f t="shared" si="73"/>
        <v>0</v>
      </c>
    </row>
    <row r="2369" spans="3:10" x14ac:dyDescent="0.25">
      <c r="C2369" s="4"/>
      <c r="E2369" s="4"/>
      <c r="H2369" s="31" t="str">
        <f t="shared" si="72"/>
        <v/>
      </c>
      <c r="J2369" t="b">
        <f t="shared" si="73"/>
        <v>0</v>
      </c>
    </row>
    <row r="2370" spans="3:10" x14ac:dyDescent="0.25">
      <c r="C2370" s="4"/>
      <c r="E2370" s="4"/>
      <c r="H2370" s="31" t="str">
        <f t="shared" si="72"/>
        <v/>
      </c>
      <c r="J2370" t="b">
        <f t="shared" si="73"/>
        <v>0</v>
      </c>
    </row>
    <row r="2371" spans="3:10" x14ac:dyDescent="0.25">
      <c r="C2371" s="4"/>
      <c r="E2371" s="4"/>
      <c r="H2371" s="31" t="str">
        <f t="shared" si="72"/>
        <v/>
      </c>
      <c r="J2371" t="b">
        <f t="shared" si="73"/>
        <v>0</v>
      </c>
    </row>
    <row r="2372" spans="3:10" x14ac:dyDescent="0.25">
      <c r="C2372" s="4"/>
      <c r="E2372" s="4"/>
      <c r="H2372" s="31" t="str">
        <f t="shared" ref="H2372:H2435" si="74">IF($J2372=TRUE,"Il ne peut y avoir des valeurs dans les 2 méthodes",IF($D2372="kg/l",$C2372,IF($D2372="g/l",$C2372/1000,IF($D2372="lb/gal US",$C2372*0.454/3.785,IF($G2372="kg/l",($E2372/100)*$F2372,IF($G2372="g/l",($E2372/100)*$F2372/1000,IF($G2372="lb/gal US",($E2372/100)*$F2372*0.454/3.785,"")))))))</f>
        <v/>
      </c>
      <c r="J2372" t="b">
        <f t="shared" ref="J2372:J2435" si="75">IF(AND(OR($C2372&lt;&gt;"",$D2372&lt;&gt;""),OR($E2372&lt;&gt;"",F2372&lt;&gt;"",G2372&lt;&gt;"")),TRUE,FALSE)</f>
        <v>0</v>
      </c>
    </row>
    <row r="2373" spans="3:10" x14ac:dyDescent="0.25">
      <c r="C2373" s="4"/>
      <c r="E2373" s="4"/>
      <c r="H2373" s="31" t="str">
        <f t="shared" si="74"/>
        <v/>
      </c>
      <c r="J2373" t="b">
        <f t="shared" si="75"/>
        <v>0</v>
      </c>
    </row>
    <row r="2374" spans="3:10" x14ac:dyDescent="0.25">
      <c r="C2374" s="4"/>
      <c r="E2374" s="4"/>
      <c r="H2374" s="31" t="str">
        <f t="shared" si="74"/>
        <v/>
      </c>
      <c r="J2374" t="b">
        <f t="shared" si="75"/>
        <v>0</v>
      </c>
    </row>
    <row r="2375" spans="3:10" x14ac:dyDescent="0.25">
      <c r="C2375" s="4"/>
      <c r="E2375" s="4"/>
      <c r="H2375" s="31" t="str">
        <f t="shared" si="74"/>
        <v/>
      </c>
      <c r="J2375" t="b">
        <f t="shared" si="75"/>
        <v>0</v>
      </c>
    </row>
    <row r="2376" spans="3:10" x14ac:dyDescent="0.25">
      <c r="C2376" s="4"/>
      <c r="E2376" s="4"/>
      <c r="H2376" s="31" t="str">
        <f t="shared" si="74"/>
        <v/>
      </c>
      <c r="J2376" t="b">
        <f t="shared" si="75"/>
        <v>0</v>
      </c>
    </row>
    <row r="2377" spans="3:10" x14ac:dyDescent="0.25">
      <c r="C2377" s="4"/>
      <c r="E2377" s="4"/>
      <c r="H2377" s="31" t="str">
        <f t="shared" si="74"/>
        <v/>
      </c>
      <c r="J2377" t="b">
        <f t="shared" si="75"/>
        <v>0</v>
      </c>
    </row>
    <row r="2378" spans="3:10" x14ac:dyDescent="0.25">
      <c r="C2378" s="4"/>
      <c r="E2378" s="4"/>
      <c r="H2378" s="31" t="str">
        <f t="shared" si="74"/>
        <v/>
      </c>
      <c r="J2378" t="b">
        <f t="shared" si="75"/>
        <v>0</v>
      </c>
    </row>
    <row r="2379" spans="3:10" x14ac:dyDescent="0.25">
      <c r="C2379" s="4"/>
      <c r="E2379" s="4"/>
      <c r="H2379" s="31" t="str">
        <f t="shared" si="74"/>
        <v/>
      </c>
      <c r="J2379" t="b">
        <f t="shared" si="75"/>
        <v>0</v>
      </c>
    </row>
    <row r="2380" spans="3:10" x14ac:dyDescent="0.25">
      <c r="C2380" s="4"/>
      <c r="E2380" s="4"/>
      <c r="H2380" s="31" t="str">
        <f t="shared" si="74"/>
        <v/>
      </c>
      <c r="J2380" t="b">
        <f t="shared" si="75"/>
        <v>0</v>
      </c>
    </row>
    <row r="2381" spans="3:10" x14ac:dyDescent="0.25">
      <c r="C2381" s="4"/>
      <c r="E2381" s="4"/>
      <c r="H2381" s="31" t="str">
        <f t="shared" si="74"/>
        <v/>
      </c>
      <c r="J2381" t="b">
        <f t="shared" si="75"/>
        <v>0</v>
      </c>
    </row>
    <row r="2382" spans="3:10" x14ac:dyDescent="0.25">
      <c r="C2382" s="4"/>
      <c r="E2382" s="4"/>
      <c r="H2382" s="31" t="str">
        <f t="shared" si="74"/>
        <v/>
      </c>
      <c r="J2382" t="b">
        <f t="shared" si="75"/>
        <v>0</v>
      </c>
    </row>
    <row r="2383" spans="3:10" x14ac:dyDescent="0.25">
      <c r="C2383" s="4"/>
      <c r="E2383" s="4"/>
      <c r="H2383" s="31" t="str">
        <f t="shared" si="74"/>
        <v/>
      </c>
      <c r="J2383" t="b">
        <f t="shared" si="75"/>
        <v>0</v>
      </c>
    </row>
    <row r="2384" spans="3:10" x14ac:dyDescent="0.25">
      <c r="C2384" s="4"/>
      <c r="E2384" s="4"/>
      <c r="H2384" s="31" t="str">
        <f t="shared" si="74"/>
        <v/>
      </c>
      <c r="J2384" t="b">
        <f t="shared" si="75"/>
        <v>0</v>
      </c>
    </row>
    <row r="2385" spans="3:10" x14ac:dyDescent="0.25">
      <c r="C2385" s="4"/>
      <c r="E2385" s="4"/>
      <c r="H2385" s="31" t="str">
        <f t="shared" si="74"/>
        <v/>
      </c>
      <c r="J2385" t="b">
        <f t="shared" si="75"/>
        <v>0</v>
      </c>
    </row>
    <row r="2386" spans="3:10" x14ac:dyDescent="0.25">
      <c r="C2386" s="4"/>
      <c r="E2386" s="4"/>
      <c r="H2386" s="31" t="str">
        <f t="shared" si="74"/>
        <v/>
      </c>
      <c r="J2386" t="b">
        <f t="shared" si="75"/>
        <v>0</v>
      </c>
    </row>
    <row r="2387" spans="3:10" x14ac:dyDescent="0.25">
      <c r="C2387" s="4"/>
      <c r="E2387" s="4"/>
      <c r="H2387" s="31" t="str">
        <f t="shared" si="74"/>
        <v/>
      </c>
      <c r="J2387" t="b">
        <f t="shared" si="75"/>
        <v>0</v>
      </c>
    </row>
    <row r="2388" spans="3:10" x14ac:dyDescent="0.25">
      <c r="C2388" s="4"/>
      <c r="E2388" s="4"/>
      <c r="H2388" s="31" t="str">
        <f t="shared" si="74"/>
        <v/>
      </c>
      <c r="J2388" t="b">
        <f t="shared" si="75"/>
        <v>0</v>
      </c>
    </row>
    <row r="2389" spans="3:10" x14ac:dyDescent="0.25">
      <c r="C2389" s="4"/>
      <c r="E2389" s="4"/>
      <c r="H2389" s="31" t="str">
        <f t="shared" si="74"/>
        <v/>
      </c>
      <c r="J2389" t="b">
        <f t="shared" si="75"/>
        <v>0</v>
      </c>
    </row>
    <row r="2390" spans="3:10" x14ac:dyDescent="0.25">
      <c r="C2390" s="4"/>
      <c r="E2390" s="4"/>
      <c r="H2390" s="31" t="str">
        <f t="shared" si="74"/>
        <v/>
      </c>
      <c r="J2390" t="b">
        <f t="shared" si="75"/>
        <v>0</v>
      </c>
    </row>
    <row r="2391" spans="3:10" x14ac:dyDescent="0.25">
      <c r="C2391" s="4"/>
      <c r="E2391" s="4"/>
      <c r="H2391" s="31" t="str">
        <f t="shared" si="74"/>
        <v/>
      </c>
      <c r="J2391" t="b">
        <f t="shared" si="75"/>
        <v>0</v>
      </c>
    </row>
    <row r="2392" spans="3:10" x14ac:dyDescent="0.25">
      <c r="C2392" s="4"/>
      <c r="E2392" s="4"/>
      <c r="H2392" s="31" t="str">
        <f t="shared" si="74"/>
        <v/>
      </c>
      <c r="J2392" t="b">
        <f t="shared" si="75"/>
        <v>0</v>
      </c>
    </row>
    <row r="2393" spans="3:10" x14ac:dyDescent="0.25">
      <c r="C2393" s="4"/>
      <c r="E2393" s="4"/>
      <c r="H2393" s="31" t="str">
        <f t="shared" si="74"/>
        <v/>
      </c>
      <c r="J2393" t="b">
        <f t="shared" si="75"/>
        <v>0</v>
      </c>
    </row>
    <row r="2394" spans="3:10" x14ac:dyDescent="0.25">
      <c r="C2394" s="4"/>
      <c r="E2394" s="4"/>
      <c r="H2394" s="31" t="str">
        <f t="shared" si="74"/>
        <v/>
      </c>
      <c r="J2394" t="b">
        <f t="shared" si="75"/>
        <v>0</v>
      </c>
    </row>
    <row r="2395" spans="3:10" x14ac:dyDescent="0.25">
      <c r="C2395" s="4"/>
      <c r="E2395" s="4"/>
      <c r="H2395" s="31" t="str">
        <f t="shared" si="74"/>
        <v/>
      </c>
      <c r="J2395" t="b">
        <f t="shared" si="75"/>
        <v>0</v>
      </c>
    </row>
    <row r="2396" spans="3:10" x14ac:dyDescent="0.25">
      <c r="C2396" s="4"/>
      <c r="E2396" s="4"/>
      <c r="H2396" s="31" t="str">
        <f t="shared" si="74"/>
        <v/>
      </c>
      <c r="J2396" t="b">
        <f t="shared" si="75"/>
        <v>0</v>
      </c>
    </row>
    <row r="2397" spans="3:10" x14ac:dyDescent="0.25">
      <c r="C2397" s="4"/>
      <c r="E2397" s="4"/>
      <c r="H2397" s="31" t="str">
        <f t="shared" si="74"/>
        <v/>
      </c>
      <c r="J2397" t="b">
        <f t="shared" si="75"/>
        <v>0</v>
      </c>
    </row>
    <row r="2398" spans="3:10" x14ac:dyDescent="0.25">
      <c r="C2398" s="4"/>
      <c r="E2398" s="4"/>
      <c r="H2398" s="31" t="str">
        <f t="shared" si="74"/>
        <v/>
      </c>
      <c r="J2398" t="b">
        <f t="shared" si="75"/>
        <v>0</v>
      </c>
    </row>
    <row r="2399" spans="3:10" x14ac:dyDescent="0.25">
      <c r="C2399" s="4"/>
      <c r="E2399" s="4"/>
      <c r="H2399" s="31" t="str">
        <f t="shared" si="74"/>
        <v/>
      </c>
      <c r="J2399" t="b">
        <f t="shared" si="75"/>
        <v>0</v>
      </c>
    </row>
    <row r="2400" spans="3:10" x14ac:dyDescent="0.25">
      <c r="C2400" s="4"/>
      <c r="E2400" s="4"/>
      <c r="H2400" s="31" t="str">
        <f t="shared" si="74"/>
        <v/>
      </c>
      <c r="J2400" t="b">
        <f t="shared" si="75"/>
        <v>0</v>
      </c>
    </row>
    <row r="2401" spans="3:10" x14ac:dyDescent="0.25">
      <c r="C2401" s="4"/>
      <c r="E2401" s="4"/>
      <c r="H2401" s="31" t="str">
        <f t="shared" si="74"/>
        <v/>
      </c>
      <c r="J2401" t="b">
        <f t="shared" si="75"/>
        <v>0</v>
      </c>
    </row>
    <row r="2402" spans="3:10" x14ac:dyDescent="0.25">
      <c r="C2402" s="4"/>
      <c r="E2402" s="4"/>
      <c r="H2402" s="31" t="str">
        <f t="shared" si="74"/>
        <v/>
      </c>
      <c r="J2402" t="b">
        <f t="shared" si="75"/>
        <v>0</v>
      </c>
    </row>
    <row r="2403" spans="3:10" x14ac:dyDescent="0.25">
      <c r="C2403" s="4"/>
      <c r="E2403" s="4"/>
      <c r="H2403" s="31" t="str">
        <f t="shared" si="74"/>
        <v/>
      </c>
      <c r="J2403" t="b">
        <f t="shared" si="75"/>
        <v>0</v>
      </c>
    </row>
    <row r="2404" spans="3:10" x14ac:dyDescent="0.25">
      <c r="C2404" s="4"/>
      <c r="E2404" s="4"/>
      <c r="H2404" s="31" t="str">
        <f t="shared" si="74"/>
        <v/>
      </c>
      <c r="J2404" t="b">
        <f t="shared" si="75"/>
        <v>0</v>
      </c>
    </row>
    <row r="2405" spans="3:10" x14ac:dyDescent="0.25">
      <c r="C2405" s="4"/>
      <c r="E2405" s="4"/>
      <c r="H2405" s="31" t="str">
        <f t="shared" si="74"/>
        <v/>
      </c>
      <c r="J2405" t="b">
        <f t="shared" si="75"/>
        <v>0</v>
      </c>
    </row>
    <row r="2406" spans="3:10" x14ac:dyDescent="0.25">
      <c r="C2406" s="4"/>
      <c r="E2406" s="4"/>
      <c r="H2406" s="31" t="str">
        <f t="shared" si="74"/>
        <v/>
      </c>
      <c r="J2406" t="b">
        <f t="shared" si="75"/>
        <v>0</v>
      </c>
    </row>
    <row r="2407" spans="3:10" x14ac:dyDescent="0.25">
      <c r="C2407" s="4"/>
      <c r="E2407" s="4"/>
      <c r="H2407" s="31" t="str">
        <f t="shared" si="74"/>
        <v/>
      </c>
      <c r="J2407" t="b">
        <f t="shared" si="75"/>
        <v>0</v>
      </c>
    </row>
    <row r="2408" spans="3:10" x14ac:dyDescent="0.25">
      <c r="C2408" s="4"/>
      <c r="E2408" s="4"/>
      <c r="H2408" s="31" t="str">
        <f t="shared" si="74"/>
        <v/>
      </c>
      <c r="J2408" t="b">
        <f t="shared" si="75"/>
        <v>0</v>
      </c>
    </row>
    <row r="2409" spans="3:10" x14ac:dyDescent="0.25">
      <c r="C2409" s="4"/>
      <c r="E2409" s="4"/>
      <c r="H2409" s="31" t="str">
        <f t="shared" si="74"/>
        <v/>
      </c>
      <c r="J2409" t="b">
        <f t="shared" si="75"/>
        <v>0</v>
      </c>
    </row>
    <row r="2410" spans="3:10" x14ac:dyDescent="0.25">
      <c r="C2410" s="4"/>
      <c r="E2410" s="4"/>
      <c r="H2410" s="31" t="str">
        <f t="shared" si="74"/>
        <v/>
      </c>
      <c r="J2410" t="b">
        <f t="shared" si="75"/>
        <v>0</v>
      </c>
    </row>
    <row r="2411" spans="3:10" x14ac:dyDescent="0.25">
      <c r="C2411" s="4"/>
      <c r="E2411" s="4"/>
      <c r="H2411" s="31" t="str">
        <f t="shared" si="74"/>
        <v/>
      </c>
      <c r="J2411" t="b">
        <f t="shared" si="75"/>
        <v>0</v>
      </c>
    </row>
    <row r="2412" spans="3:10" x14ac:dyDescent="0.25">
      <c r="C2412" s="4"/>
      <c r="E2412" s="4"/>
      <c r="H2412" s="31" t="str">
        <f t="shared" si="74"/>
        <v/>
      </c>
      <c r="J2412" t="b">
        <f t="shared" si="75"/>
        <v>0</v>
      </c>
    </row>
    <row r="2413" spans="3:10" x14ac:dyDescent="0.25">
      <c r="C2413" s="4"/>
      <c r="E2413" s="4"/>
      <c r="H2413" s="31" t="str">
        <f t="shared" si="74"/>
        <v/>
      </c>
      <c r="J2413" t="b">
        <f t="shared" si="75"/>
        <v>0</v>
      </c>
    </row>
    <row r="2414" spans="3:10" x14ac:dyDescent="0.25">
      <c r="C2414" s="4"/>
      <c r="E2414" s="4"/>
      <c r="H2414" s="31" t="str">
        <f t="shared" si="74"/>
        <v/>
      </c>
      <c r="J2414" t="b">
        <f t="shared" si="75"/>
        <v>0</v>
      </c>
    </row>
    <row r="2415" spans="3:10" x14ac:dyDescent="0.25">
      <c r="C2415" s="4"/>
      <c r="E2415" s="4"/>
      <c r="H2415" s="31" t="str">
        <f t="shared" si="74"/>
        <v/>
      </c>
      <c r="J2415" t="b">
        <f t="shared" si="75"/>
        <v>0</v>
      </c>
    </row>
    <row r="2416" spans="3:10" x14ac:dyDescent="0.25">
      <c r="C2416" s="4"/>
      <c r="E2416" s="4"/>
      <c r="H2416" s="31" t="str">
        <f t="shared" si="74"/>
        <v/>
      </c>
      <c r="J2416" t="b">
        <f t="shared" si="75"/>
        <v>0</v>
      </c>
    </row>
    <row r="2417" spans="3:10" x14ac:dyDescent="0.25">
      <c r="C2417" s="4"/>
      <c r="E2417" s="4"/>
      <c r="H2417" s="31" t="str">
        <f t="shared" si="74"/>
        <v/>
      </c>
      <c r="J2417" t="b">
        <f t="shared" si="75"/>
        <v>0</v>
      </c>
    </row>
    <row r="2418" spans="3:10" x14ac:dyDescent="0.25">
      <c r="C2418" s="4"/>
      <c r="E2418" s="4"/>
      <c r="H2418" s="31" t="str">
        <f t="shared" si="74"/>
        <v/>
      </c>
      <c r="J2418" t="b">
        <f t="shared" si="75"/>
        <v>0</v>
      </c>
    </row>
    <row r="2419" spans="3:10" x14ac:dyDescent="0.25">
      <c r="C2419" s="4"/>
      <c r="E2419" s="4"/>
      <c r="H2419" s="31" t="str">
        <f t="shared" si="74"/>
        <v/>
      </c>
      <c r="J2419" t="b">
        <f t="shared" si="75"/>
        <v>0</v>
      </c>
    </row>
    <row r="2420" spans="3:10" x14ac:dyDescent="0.25">
      <c r="C2420" s="4"/>
      <c r="E2420" s="4"/>
      <c r="H2420" s="31" t="str">
        <f t="shared" si="74"/>
        <v/>
      </c>
      <c r="J2420" t="b">
        <f t="shared" si="75"/>
        <v>0</v>
      </c>
    </row>
    <row r="2421" spans="3:10" x14ac:dyDescent="0.25">
      <c r="C2421" s="4"/>
      <c r="E2421" s="4"/>
      <c r="H2421" s="31" t="str">
        <f t="shared" si="74"/>
        <v/>
      </c>
      <c r="J2421" t="b">
        <f t="shared" si="75"/>
        <v>0</v>
      </c>
    </row>
    <row r="2422" spans="3:10" x14ac:dyDescent="0.25">
      <c r="C2422" s="4"/>
      <c r="E2422" s="4"/>
      <c r="H2422" s="31" t="str">
        <f t="shared" si="74"/>
        <v/>
      </c>
      <c r="J2422" t="b">
        <f t="shared" si="75"/>
        <v>0</v>
      </c>
    </row>
    <row r="2423" spans="3:10" x14ac:dyDescent="0.25">
      <c r="C2423" s="4"/>
      <c r="E2423" s="4"/>
      <c r="H2423" s="31" t="str">
        <f t="shared" si="74"/>
        <v/>
      </c>
      <c r="J2423" t="b">
        <f t="shared" si="75"/>
        <v>0</v>
      </c>
    </row>
    <row r="2424" spans="3:10" x14ac:dyDescent="0.25">
      <c r="C2424" s="4"/>
      <c r="E2424" s="4"/>
      <c r="H2424" s="31" t="str">
        <f t="shared" si="74"/>
        <v/>
      </c>
      <c r="J2424" t="b">
        <f t="shared" si="75"/>
        <v>0</v>
      </c>
    </row>
    <row r="2425" spans="3:10" x14ac:dyDescent="0.25">
      <c r="C2425" s="4"/>
      <c r="E2425" s="4"/>
      <c r="H2425" s="31" t="str">
        <f t="shared" si="74"/>
        <v/>
      </c>
      <c r="J2425" t="b">
        <f t="shared" si="75"/>
        <v>0</v>
      </c>
    </row>
    <row r="2426" spans="3:10" x14ac:dyDescent="0.25">
      <c r="C2426" s="4"/>
      <c r="E2426" s="4"/>
      <c r="H2426" s="31" t="str">
        <f t="shared" si="74"/>
        <v/>
      </c>
      <c r="J2426" t="b">
        <f t="shared" si="75"/>
        <v>0</v>
      </c>
    </row>
    <row r="2427" spans="3:10" x14ac:dyDescent="0.25">
      <c r="C2427" s="4"/>
      <c r="E2427" s="4"/>
      <c r="H2427" s="31" t="str">
        <f t="shared" si="74"/>
        <v/>
      </c>
      <c r="J2427" t="b">
        <f t="shared" si="75"/>
        <v>0</v>
      </c>
    </row>
    <row r="2428" spans="3:10" x14ac:dyDescent="0.25">
      <c r="C2428" s="4"/>
      <c r="E2428" s="4"/>
      <c r="H2428" s="31" t="str">
        <f t="shared" si="74"/>
        <v/>
      </c>
      <c r="J2428" t="b">
        <f t="shared" si="75"/>
        <v>0</v>
      </c>
    </row>
    <row r="2429" spans="3:10" x14ac:dyDescent="0.25">
      <c r="C2429" s="4"/>
      <c r="E2429" s="4"/>
      <c r="H2429" s="31" t="str">
        <f t="shared" si="74"/>
        <v/>
      </c>
      <c r="J2429" t="b">
        <f t="shared" si="75"/>
        <v>0</v>
      </c>
    </row>
    <row r="2430" spans="3:10" x14ac:dyDescent="0.25">
      <c r="C2430" s="4"/>
      <c r="E2430" s="4"/>
      <c r="H2430" s="31" t="str">
        <f t="shared" si="74"/>
        <v/>
      </c>
      <c r="J2430" t="b">
        <f t="shared" si="75"/>
        <v>0</v>
      </c>
    </row>
    <row r="2431" spans="3:10" x14ac:dyDescent="0.25">
      <c r="C2431" s="4"/>
      <c r="E2431" s="4"/>
      <c r="H2431" s="31" t="str">
        <f t="shared" si="74"/>
        <v/>
      </c>
      <c r="J2431" t="b">
        <f t="shared" si="75"/>
        <v>0</v>
      </c>
    </row>
    <row r="2432" spans="3:10" x14ac:dyDescent="0.25">
      <c r="C2432" s="4"/>
      <c r="E2432" s="4"/>
      <c r="H2432" s="31" t="str">
        <f t="shared" si="74"/>
        <v/>
      </c>
      <c r="J2432" t="b">
        <f t="shared" si="75"/>
        <v>0</v>
      </c>
    </row>
    <row r="2433" spans="3:10" x14ac:dyDescent="0.25">
      <c r="C2433" s="4"/>
      <c r="E2433" s="4"/>
      <c r="H2433" s="31" t="str">
        <f t="shared" si="74"/>
        <v/>
      </c>
      <c r="J2433" t="b">
        <f t="shared" si="75"/>
        <v>0</v>
      </c>
    </row>
    <row r="2434" spans="3:10" x14ac:dyDescent="0.25">
      <c r="C2434" s="4"/>
      <c r="E2434" s="4"/>
      <c r="H2434" s="31" t="str">
        <f t="shared" si="74"/>
        <v/>
      </c>
      <c r="J2434" t="b">
        <f t="shared" si="75"/>
        <v>0</v>
      </c>
    </row>
    <row r="2435" spans="3:10" x14ac:dyDescent="0.25">
      <c r="C2435" s="4"/>
      <c r="E2435" s="4"/>
      <c r="H2435" s="31" t="str">
        <f t="shared" si="74"/>
        <v/>
      </c>
      <c r="J2435" t="b">
        <f t="shared" si="75"/>
        <v>0</v>
      </c>
    </row>
    <row r="2436" spans="3:10" x14ac:dyDescent="0.25">
      <c r="C2436" s="4"/>
      <c r="E2436" s="4"/>
      <c r="H2436" s="31" t="str">
        <f t="shared" ref="H2436:H2499" si="76">IF($J2436=TRUE,"Il ne peut y avoir des valeurs dans les 2 méthodes",IF($D2436="kg/l",$C2436,IF($D2436="g/l",$C2436/1000,IF($D2436="lb/gal US",$C2436*0.454/3.785,IF($G2436="kg/l",($E2436/100)*$F2436,IF($G2436="g/l",($E2436/100)*$F2436/1000,IF($G2436="lb/gal US",($E2436/100)*$F2436*0.454/3.785,"")))))))</f>
        <v/>
      </c>
      <c r="J2436" t="b">
        <f t="shared" ref="J2436:J2499" si="77">IF(AND(OR($C2436&lt;&gt;"",$D2436&lt;&gt;""),OR($E2436&lt;&gt;"",F2436&lt;&gt;"",G2436&lt;&gt;"")),TRUE,FALSE)</f>
        <v>0</v>
      </c>
    </row>
    <row r="2437" spans="3:10" x14ac:dyDescent="0.25">
      <c r="C2437" s="4"/>
      <c r="E2437" s="4"/>
      <c r="H2437" s="31" t="str">
        <f t="shared" si="76"/>
        <v/>
      </c>
      <c r="J2437" t="b">
        <f t="shared" si="77"/>
        <v>0</v>
      </c>
    </row>
    <row r="2438" spans="3:10" x14ac:dyDescent="0.25">
      <c r="C2438" s="4"/>
      <c r="E2438" s="4"/>
      <c r="H2438" s="31" t="str">
        <f t="shared" si="76"/>
        <v/>
      </c>
      <c r="J2438" t="b">
        <f t="shared" si="77"/>
        <v>0</v>
      </c>
    </row>
    <row r="2439" spans="3:10" x14ac:dyDescent="0.25">
      <c r="C2439" s="4"/>
      <c r="E2439" s="4"/>
      <c r="H2439" s="31" t="str">
        <f t="shared" si="76"/>
        <v/>
      </c>
      <c r="J2439" t="b">
        <f t="shared" si="77"/>
        <v>0</v>
      </c>
    </row>
    <row r="2440" spans="3:10" x14ac:dyDescent="0.25">
      <c r="C2440" s="4"/>
      <c r="E2440" s="4"/>
      <c r="H2440" s="31" t="str">
        <f t="shared" si="76"/>
        <v/>
      </c>
      <c r="J2440" t="b">
        <f t="shared" si="77"/>
        <v>0</v>
      </c>
    </row>
    <row r="2441" spans="3:10" x14ac:dyDescent="0.25">
      <c r="C2441" s="4"/>
      <c r="E2441" s="4"/>
      <c r="H2441" s="31" t="str">
        <f t="shared" si="76"/>
        <v/>
      </c>
      <c r="J2441" t="b">
        <f t="shared" si="77"/>
        <v>0</v>
      </c>
    </row>
    <row r="2442" spans="3:10" x14ac:dyDescent="0.25">
      <c r="C2442" s="4"/>
      <c r="E2442" s="4"/>
      <c r="H2442" s="31" t="str">
        <f t="shared" si="76"/>
        <v/>
      </c>
      <c r="J2442" t="b">
        <f t="shared" si="77"/>
        <v>0</v>
      </c>
    </row>
    <row r="2443" spans="3:10" x14ac:dyDescent="0.25">
      <c r="C2443" s="4"/>
      <c r="E2443" s="4"/>
      <c r="H2443" s="31" t="str">
        <f t="shared" si="76"/>
        <v/>
      </c>
      <c r="J2443" t="b">
        <f t="shared" si="77"/>
        <v>0</v>
      </c>
    </row>
    <row r="2444" spans="3:10" x14ac:dyDescent="0.25">
      <c r="C2444" s="4"/>
      <c r="E2444" s="4"/>
      <c r="H2444" s="31" t="str">
        <f t="shared" si="76"/>
        <v/>
      </c>
      <c r="J2444" t="b">
        <f t="shared" si="77"/>
        <v>0</v>
      </c>
    </row>
    <row r="2445" spans="3:10" x14ac:dyDescent="0.25">
      <c r="C2445" s="4"/>
      <c r="E2445" s="4"/>
      <c r="H2445" s="31" t="str">
        <f t="shared" si="76"/>
        <v/>
      </c>
      <c r="J2445" t="b">
        <f t="shared" si="77"/>
        <v>0</v>
      </c>
    </row>
    <row r="2446" spans="3:10" x14ac:dyDescent="0.25">
      <c r="C2446" s="4"/>
      <c r="E2446" s="4"/>
      <c r="H2446" s="31" t="str">
        <f t="shared" si="76"/>
        <v/>
      </c>
      <c r="J2446" t="b">
        <f t="shared" si="77"/>
        <v>0</v>
      </c>
    </row>
    <row r="2447" spans="3:10" x14ac:dyDescent="0.25">
      <c r="C2447" s="4"/>
      <c r="E2447" s="4"/>
      <c r="H2447" s="31" t="str">
        <f t="shared" si="76"/>
        <v/>
      </c>
      <c r="J2447" t="b">
        <f t="shared" si="77"/>
        <v>0</v>
      </c>
    </row>
    <row r="2448" spans="3:10" x14ac:dyDescent="0.25">
      <c r="C2448" s="4"/>
      <c r="E2448" s="4"/>
      <c r="H2448" s="31" t="str">
        <f t="shared" si="76"/>
        <v/>
      </c>
      <c r="J2448" t="b">
        <f t="shared" si="77"/>
        <v>0</v>
      </c>
    </row>
    <row r="2449" spans="3:10" x14ac:dyDescent="0.25">
      <c r="C2449" s="4"/>
      <c r="E2449" s="4"/>
      <c r="H2449" s="31" t="str">
        <f t="shared" si="76"/>
        <v/>
      </c>
      <c r="J2449" t="b">
        <f t="shared" si="77"/>
        <v>0</v>
      </c>
    </row>
    <row r="2450" spans="3:10" x14ac:dyDescent="0.25">
      <c r="C2450" s="4"/>
      <c r="E2450" s="4"/>
      <c r="H2450" s="31" t="str">
        <f t="shared" si="76"/>
        <v/>
      </c>
      <c r="J2450" t="b">
        <f t="shared" si="77"/>
        <v>0</v>
      </c>
    </row>
    <row r="2451" spans="3:10" x14ac:dyDescent="0.25">
      <c r="C2451" s="4"/>
      <c r="E2451" s="4"/>
      <c r="H2451" s="31" t="str">
        <f t="shared" si="76"/>
        <v/>
      </c>
      <c r="J2451" t="b">
        <f t="shared" si="77"/>
        <v>0</v>
      </c>
    </row>
    <row r="2452" spans="3:10" x14ac:dyDescent="0.25">
      <c r="C2452" s="4"/>
      <c r="E2452" s="4"/>
      <c r="H2452" s="31" t="str">
        <f t="shared" si="76"/>
        <v/>
      </c>
      <c r="J2452" t="b">
        <f t="shared" si="77"/>
        <v>0</v>
      </c>
    </row>
    <row r="2453" spans="3:10" x14ac:dyDescent="0.25">
      <c r="C2453" s="4"/>
      <c r="E2453" s="4"/>
      <c r="H2453" s="31" t="str">
        <f t="shared" si="76"/>
        <v/>
      </c>
      <c r="J2453" t="b">
        <f t="shared" si="77"/>
        <v>0</v>
      </c>
    </row>
    <row r="2454" spans="3:10" x14ac:dyDescent="0.25">
      <c r="C2454" s="4"/>
      <c r="E2454" s="4"/>
      <c r="H2454" s="31" t="str">
        <f t="shared" si="76"/>
        <v/>
      </c>
      <c r="J2454" t="b">
        <f t="shared" si="77"/>
        <v>0</v>
      </c>
    </row>
    <row r="2455" spans="3:10" x14ac:dyDescent="0.25">
      <c r="C2455" s="4"/>
      <c r="E2455" s="4"/>
      <c r="H2455" s="31" t="str">
        <f t="shared" si="76"/>
        <v/>
      </c>
      <c r="J2455" t="b">
        <f t="shared" si="77"/>
        <v>0</v>
      </c>
    </row>
    <row r="2456" spans="3:10" x14ac:dyDescent="0.25">
      <c r="C2456" s="4"/>
      <c r="E2456" s="4"/>
      <c r="H2456" s="31" t="str">
        <f t="shared" si="76"/>
        <v/>
      </c>
      <c r="J2456" t="b">
        <f t="shared" si="77"/>
        <v>0</v>
      </c>
    </row>
    <row r="2457" spans="3:10" x14ac:dyDescent="0.25">
      <c r="C2457" s="4"/>
      <c r="E2457" s="4"/>
      <c r="H2457" s="31" t="str">
        <f t="shared" si="76"/>
        <v/>
      </c>
      <c r="J2457" t="b">
        <f t="shared" si="77"/>
        <v>0</v>
      </c>
    </row>
    <row r="2458" spans="3:10" x14ac:dyDescent="0.25">
      <c r="C2458" s="4"/>
      <c r="E2458" s="4"/>
      <c r="H2458" s="31" t="str">
        <f t="shared" si="76"/>
        <v/>
      </c>
      <c r="J2458" t="b">
        <f t="shared" si="77"/>
        <v>0</v>
      </c>
    </row>
    <row r="2459" spans="3:10" x14ac:dyDescent="0.25">
      <c r="C2459" s="4"/>
      <c r="E2459" s="4"/>
      <c r="H2459" s="31" t="str">
        <f t="shared" si="76"/>
        <v/>
      </c>
      <c r="J2459" t="b">
        <f t="shared" si="77"/>
        <v>0</v>
      </c>
    </row>
    <row r="2460" spans="3:10" x14ac:dyDescent="0.25">
      <c r="C2460" s="4"/>
      <c r="E2460" s="4"/>
      <c r="H2460" s="31" t="str">
        <f t="shared" si="76"/>
        <v/>
      </c>
      <c r="J2460" t="b">
        <f t="shared" si="77"/>
        <v>0</v>
      </c>
    </row>
    <row r="2461" spans="3:10" x14ac:dyDescent="0.25">
      <c r="C2461" s="4"/>
      <c r="E2461" s="4"/>
      <c r="H2461" s="31" t="str">
        <f t="shared" si="76"/>
        <v/>
      </c>
      <c r="J2461" t="b">
        <f t="shared" si="77"/>
        <v>0</v>
      </c>
    </row>
    <row r="2462" spans="3:10" x14ac:dyDescent="0.25">
      <c r="C2462" s="4"/>
      <c r="E2462" s="4"/>
      <c r="H2462" s="31" t="str">
        <f t="shared" si="76"/>
        <v/>
      </c>
      <c r="J2462" t="b">
        <f t="shared" si="77"/>
        <v>0</v>
      </c>
    </row>
    <row r="2463" spans="3:10" x14ac:dyDescent="0.25">
      <c r="C2463" s="4"/>
      <c r="E2463" s="4"/>
      <c r="H2463" s="31" t="str">
        <f t="shared" si="76"/>
        <v/>
      </c>
      <c r="J2463" t="b">
        <f t="shared" si="77"/>
        <v>0</v>
      </c>
    </row>
    <row r="2464" spans="3:10" x14ac:dyDescent="0.25">
      <c r="C2464" s="4"/>
      <c r="E2464" s="4"/>
      <c r="H2464" s="31" t="str">
        <f t="shared" si="76"/>
        <v/>
      </c>
      <c r="J2464" t="b">
        <f t="shared" si="77"/>
        <v>0</v>
      </c>
    </row>
    <row r="2465" spans="3:10" x14ac:dyDescent="0.25">
      <c r="C2465" s="4"/>
      <c r="E2465" s="4"/>
      <c r="H2465" s="31" t="str">
        <f t="shared" si="76"/>
        <v/>
      </c>
      <c r="J2465" t="b">
        <f t="shared" si="77"/>
        <v>0</v>
      </c>
    </row>
    <row r="2466" spans="3:10" x14ac:dyDescent="0.25">
      <c r="C2466" s="4"/>
      <c r="E2466" s="4"/>
      <c r="H2466" s="31" t="str">
        <f t="shared" si="76"/>
        <v/>
      </c>
      <c r="J2466" t="b">
        <f t="shared" si="77"/>
        <v>0</v>
      </c>
    </row>
    <row r="2467" spans="3:10" x14ac:dyDescent="0.25">
      <c r="C2467" s="4"/>
      <c r="E2467" s="4"/>
      <c r="H2467" s="31" t="str">
        <f t="shared" si="76"/>
        <v/>
      </c>
      <c r="J2467" t="b">
        <f t="shared" si="77"/>
        <v>0</v>
      </c>
    </row>
    <row r="2468" spans="3:10" x14ac:dyDescent="0.25">
      <c r="C2468" s="4"/>
      <c r="E2468" s="4"/>
      <c r="H2468" s="31" t="str">
        <f t="shared" si="76"/>
        <v/>
      </c>
      <c r="J2468" t="b">
        <f t="shared" si="77"/>
        <v>0</v>
      </c>
    </row>
    <row r="2469" spans="3:10" x14ac:dyDescent="0.25">
      <c r="C2469" s="4"/>
      <c r="E2469" s="4"/>
      <c r="H2469" s="31" t="str">
        <f t="shared" si="76"/>
        <v/>
      </c>
      <c r="J2469" t="b">
        <f t="shared" si="77"/>
        <v>0</v>
      </c>
    </row>
    <row r="2470" spans="3:10" x14ac:dyDescent="0.25">
      <c r="C2470" s="4"/>
      <c r="E2470" s="4"/>
      <c r="H2470" s="31" t="str">
        <f t="shared" si="76"/>
        <v/>
      </c>
      <c r="J2470" t="b">
        <f t="shared" si="77"/>
        <v>0</v>
      </c>
    </row>
    <row r="2471" spans="3:10" x14ac:dyDescent="0.25">
      <c r="C2471" s="4"/>
      <c r="E2471" s="4"/>
      <c r="H2471" s="31" t="str">
        <f t="shared" si="76"/>
        <v/>
      </c>
      <c r="J2471" t="b">
        <f t="shared" si="77"/>
        <v>0</v>
      </c>
    </row>
    <row r="2472" spans="3:10" x14ac:dyDescent="0.25">
      <c r="C2472" s="4"/>
      <c r="E2472" s="4"/>
      <c r="H2472" s="31" t="str">
        <f t="shared" si="76"/>
        <v/>
      </c>
      <c r="J2472" t="b">
        <f t="shared" si="77"/>
        <v>0</v>
      </c>
    </row>
    <row r="2473" spans="3:10" x14ac:dyDescent="0.25">
      <c r="C2473" s="4"/>
      <c r="E2473" s="4"/>
      <c r="H2473" s="31" t="str">
        <f t="shared" si="76"/>
        <v/>
      </c>
      <c r="J2473" t="b">
        <f t="shared" si="77"/>
        <v>0</v>
      </c>
    </row>
    <row r="2474" spans="3:10" x14ac:dyDescent="0.25">
      <c r="C2474" s="4"/>
      <c r="E2474" s="4"/>
      <c r="H2474" s="31" t="str">
        <f t="shared" si="76"/>
        <v/>
      </c>
      <c r="J2474" t="b">
        <f t="shared" si="77"/>
        <v>0</v>
      </c>
    </row>
    <row r="2475" spans="3:10" x14ac:dyDescent="0.25">
      <c r="C2475" s="4"/>
      <c r="E2475" s="4"/>
      <c r="H2475" s="31" t="str">
        <f t="shared" si="76"/>
        <v/>
      </c>
      <c r="J2475" t="b">
        <f t="shared" si="77"/>
        <v>0</v>
      </c>
    </row>
    <row r="2476" spans="3:10" x14ac:dyDescent="0.25">
      <c r="C2476" s="4"/>
      <c r="E2476" s="4"/>
      <c r="H2476" s="31" t="str">
        <f t="shared" si="76"/>
        <v/>
      </c>
      <c r="J2476" t="b">
        <f t="shared" si="77"/>
        <v>0</v>
      </c>
    </row>
    <row r="2477" spans="3:10" x14ac:dyDescent="0.25">
      <c r="C2477" s="4"/>
      <c r="E2477" s="4"/>
      <c r="H2477" s="31" t="str">
        <f t="shared" si="76"/>
        <v/>
      </c>
      <c r="J2477" t="b">
        <f t="shared" si="77"/>
        <v>0</v>
      </c>
    </row>
    <row r="2478" spans="3:10" x14ac:dyDescent="0.25">
      <c r="C2478" s="4"/>
      <c r="E2478" s="4"/>
      <c r="H2478" s="31" t="str">
        <f t="shared" si="76"/>
        <v/>
      </c>
      <c r="J2478" t="b">
        <f t="shared" si="77"/>
        <v>0</v>
      </c>
    </row>
    <row r="2479" spans="3:10" x14ac:dyDescent="0.25">
      <c r="C2479" s="4"/>
      <c r="E2479" s="4"/>
      <c r="H2479" s="31" t="str">
        <f t="shared" si="76"/>
        <v/>
      </c>
      <c r="J2479" t="b">
        <f t="shared" si="77"/>
        <v>0</v>
      </c>
    </row>
    <row r="2480" spans="3:10" x14ac:dyDescent="0.25">
      <c r="C2480" s="4"/>
      <c r="E2480" s="4"/>
      <c r="H2480" s="31" t="str">
        <f t="shared" si="76"/>
        <v/>
      </c>
      <c r="J2480" t="b">
        <f t="shared" si="77"/>
        <v>0</v>
      </c>
    </row>
    <row r="2481" spans="3:10" x14ac:dyDescent="0.25">
      <c r="C2481" s="4"/>
      <c r="E2481" s="4"/>
      <c r="H2481" s="31" t="str">
        <f t="shared" si="76"/>
        <v/>
      </c>
      <c r="J2481" t="b">
        <f t="shared" si="77"/>
        <v>0</v>
      </c>
    </row>
    <row r="2482" spans="3:10" x14ac:dyDescent="0.25">
      <c r="C2482" s="4"/>
      <c r="E2482" s="4"/>
      <c r="H2482" s="31" t="str">
        <f t="shared" si="76"/>
        <v/>
      </c>
      <c r="J2482" t="b">
        <f t="shared" si="77"/>
        <v>0</v>
      </c>
    </row>
    <row r="2483" spans="3:10" x14ac:dyDescent="0.25">
      <c r="C2483" s="4"/>
      <c r="E2483" s="4"/>
      <c r="H2483" s="31" t="str">
        <f t="shared" si="76"/>
        <v/>
      </c>
      <c r="J2483" t="b">
        <f t="shared" si="77"/>
        <v>0</v>
      </c>
    </row>
    <row r="2484" spans="3:10" x14ac:dyDescent="0.25">
      <c r="C2484" s="4"/>
      <c r="E2484" s="4"/>
      <c r="H2484" s="31" t="str">
        <f t="shared" si="76"/>
        <v/>
      </c>
      <c r="J2484" t="b">
        <f t="shared" si="77"/>
        <v>0</v>
      </c>
    </row>
    <row r="2485" spans="3:10" x14ac:dyDescent="0.25">
      <c r="C2485" s="4"/>
      <c r="E2485" s="4"/>
      <c r="H2485" s="31" t="str">
        <f t="shared" si="76"/>
        <v/>
      </c>
      <c r="J2485" t="b">
        <f t="shared" si="77"/>
        <v>0</v>
      </c>
    </row>
    <row r="2486" spans="3:10" x14ac:dyDescent="0.25">
      <c r="C2486" s="4"/>
      <c r="E2486" s="4"/>
      <c r="H2486" s="31" t="str">
        <f t="shared" si="76"/>
        <v/>
      </c>
      <c r="J2486" t="b">
        <f t="shared" si="77"/>
        <v>0</v>
      </c>
    </row>
    <row r="2487" spans="3:10" x14ac:dyDescent="0.25">
      <c r="C2487" s="4"/>
      <c r="E2487" s="4"/>
      <c r="H2487" s="31" t="str">
        <f t="shared" si="76"/>
        <v/>
      </c>
      <c r="J2487" t="b">
        <f t="shared" si="77"/>
        <v>0</v>
      </c>
    </row>
    <row r="2488" spans="3:10" x14ac:dyDescent="0.25">
      <c r="C2488" s="4"/>
      <c r="E2488" s="4"/>
      <c r="H2488" s="31" t="str">
        <f t="shared" si="76"/>
        <v/>
      </c>
      <c r="J2488" t="b">
        <f t="shared" si="77"/>
        <v>0</v>
      </c>
    </row>
    <row r="2489" spans="3:10" x14ac:dyDescent="0.25">
      <c r="C2489" s="4"/>
      <c r="E2489" s="4"/>
      <c r="H2489" s="31" t="str">
        <f t="shared" si="76"/>
        <v/>
      </c>
      <c r="J2489" t="b">
        <f t="shared" si="77"/>
        <v>0</v>
      </c>
    </row>
    <row r="2490" spans="3:10" x14ac:dyDescent="0.25">
      <c r="C2490" s="4"/>
      <c r="E2490" s="4"/>
      <c r="H2490" s="31" t="str">
        <f t="shared" si="76"/>
        <v/>
      </c>
      <c r="J2490" t="b">
        <f t="shared" si="77"/>
        <v>0</v>
      </c>
    </row>
    <row r="2491" spans="3:10" x14ac:dyDescent="0.25">
      <c r="C2491" s="4"/>
      <c r="E2491" s="4"/>
      <c r="H2491" s="31" t="str">
        <f t="shared" si="76"/>
        <v/>
      </c>
      <c r="J2491" t="b">
        <f t="shared" si="77"/>
        <v>0</v>
      </c>
    </row>
    <row r="2492" spans="3:10" x14ac:dyDescent="0.25">
      <c r="C2492" s="4"/>
      <c r="E2492" s="4"/>
      <c r="H2492" s="31" t="str">
        <f t="shared" si="76"/>
        <v/>
      </c>
      <c r="J2492" t="b">
        <f t="shared" si="77"/>
        <v>0</v>
      </c>
    </row>
    <row r="2493" spans="3:10" x14ac:dyDescent="0.25">
      <c r="C2493" s="4"/>
      <c r="E2493" s="4"/>
      <c r="H2493" s="31" t="str">
        <f t="shared" si="76"/>
        <v/>
      </c>
      <c r="J2493" t="b">
        <f t="shared" si="77"/>
        <v>0</v>
      </c>
    </row>
    <row r="2494" spans="3:10" x14ac:dyDescent="0.25">
      <c r="C2494" s="4"/>
      <c r="E2494" s="4"/>
      <c r="H2494" s="31" t="str">
        <f t="shared" si="76"/>
        <v/>
      </c>
      <c r="J2494" t="b">
        <f t="shared" si="77"/>
        <v>0</v>
      </c>
    </row>
    <row r="2495" spans="3:10" x14ac:dyDescent="0.25">
      <c r="C2495" s="4"/>
      <c r="E2495" s="4"/>
      <c r="H2495" s="31" t="str">
        <f t="shared" si="76"/>
        <v/>
      </c>
      <c r="J2495" t="b">
        <f t="shared" si="77"/>
        <v>0</v>
      </c>
    </row>
    <row r="2496" spans="3:10" x14ac:dyDescent="0.25">
      <c r="C2496" s="4"/>
      <c r="E2496" s="4"/>
      <c r="H2496" s="31" t="str">
        <f t="shared" si="76"/>
        <v/>
      </c>
      <c r="J2496" t="b">
        <f t="shared" si="77"/>
        <v>0</v>
      </c>
    </row>
    <row r="2497" spans="3:10" x14ac:dyDescent="0.25">
      <c r="C2497" s="4"/>
      <c r="E2497" s="4"/>
      <c r="H2497" s="31" t="str">
        <f t="shared" si="76"/>
        <v/>
      </c>
      <c r="J2497" t="b">
        <f t="shared" si="77"/>
        <v>0</v>
      </c>
    </row>
    <row r="2498" spans="3:10" x14ac:dyDescent="0.25">
      <c r="C2498" s="4"/>
      <c r="E2498" s="4"/>
      <c r="H2498" s="31" t="str">
        <f t="shared" si="76"/>
        <v/>
      </c>
      <c r="J2498" t="b">
        <f t="shared" si="77"/>
        <v>0</v>
      </c>
    </row>
    <row r="2499" spans="3:10" x14ac:dyDescent="0.25">
      <c r="C2499" s="4"/>
      <c r="E2499" s="4"/>
      <c r="H2499" s="31" t="str">
        <f t="shared" si="76"/>
        <v/>
      </c>
      <c r="J2499" t="b">
        <f t="shared" si="77"/>
        <v>0</v>
      </c>
    </row>
    <row r="2500" spans="3:10" x14ac:dyDescent="0.25">
      <c r="C2500" s="4"/>
      <c r="E2500" s="4"/>
      <c r="H2500" s="31" t="str">
        <f t="shared" ref="H2500:H2563" si="78">IF($J2500=TRUE,"Il ne peut y avoir des valeurs dans les 2 méthodes",IF($D2500="kg/l",$C2500,IF($D2500="g/l",$C2500/1000,IF($D2500="lb/gal US",$C2500*0.454/3.785,IF($G2500="kg/l",($E2500/100)*$F2500,IF($G2500="g/l",($E2500/100)*$F2500/1000,IF($G2500="lb/gal US",($E2500/100)*$F2500*0.454/3.785,"")))))))</f>
        <v/>
      </c>
      <c r="J2500" t="b">
        <f t="shared" ref="J2500:J2563" si="79">IF(AND(OR($C2500&lt;&gt;"",$D2500&lt;&gt;""),OR($E2500&lt;&gt;"",F2500&lt;&gt;"",G2500&lt;&gt;"")),TRUE,FALSE)</f>
        <v>0</v>
      </c>
    </row>
    <row r="2501" spans="3:10" x14ac:dyDescent="0.25">
      <c r="C2501" s="4"/>
      <c r="E2501" s="4"/>
      <c r="H2501" s="31" t="str">
        <f t="shared" si="78"/>
        <v/>
      </c>
      <c r="J2501" t="b">
        <f t="shared" si="79"/>
        <v>0</v>
      </c>
    </row>
    <row r="2502" spans="3:10" x14ac:dyDescent="0.25">
      <c r="C2502" s="4"/>
      <c r="E2502" s="4"/>
      <c r="H2502" s="31" t="str">
        <f t="shared" si="78"/>
        <v/>
      </c>
      <c r="J2502" t="b">
        <f t="shared" si="79"/>
        <v>0</v>
      </c>
    </row>
    <row r="2503" spans="3:10" x14ac:dyDescent="0.25">
      <c r="C2503" s="4"/>
      <c r="E2503" s="4"/>
      <c r="H2503" s="31" t="str">
        <f t="shared" si="78"/>
        <v/>
      </c>
      <c r="J2503" t="b">
        <f t="shared" si="79"/>
        <v>0</v>
      </c>
    </row>
    <row r="2504" spans="3:10" x14ac:dyDescent="0.25">
      <c r="C2504" s="4"/>
      <c r="E2504" s="4"/>
      <c r="H2504" s="31" t="str">
        <f t="shared" si="78"/>
        <v/>
      </c>
      <c r="J2504" t="b">
        <f t="shared" si="79"/>
        <v>0</v>
      </c>
    </row>
    <row r="2505" spans="3:10" x14ac:dyDescent="0.25">
      <c r="C2505" s="4"/>
      <c r="E2505" s="4"/>
      <c r="H2505" s="31" t="str">
        <f t="shared" si="78"/>
        <v/>
      </c>
      <c r="J2505" t="b">
        <f t="shared" si="79"/>
        <v>0</v>
      </c>
    </row>
    <row r="2506" spans="3:10" x14ac:dyDescent="0.25">
      <c r="C2506" s="4"/>
      <c r="E2506" s="4"/>
      <c r="H2506" s="31" t="str">
        <f t="shared" si="78"/>
        <v/>
      </c>
      <c r="J2506" t="b">
        <f t="shared" si="79"/>
        <v>0</v>
      </c>
    </row>
    <row r="2507" spans="3:10" x14ac:dyDescent="0.25">
      <c r="C2507" s="4"/>
      <c r="E2507" s="4"/>
      <c r="H2507" s="31" t="str">
        <f t="shared" si="78"/>
        <v/>
      </c>
      <c r="J2507" t="b">
        <f t="shared" si="79"/>
        <v>0</v>
      </c>
    </row>
    <row r="2508" spans="3:10" x14ac:dyDescent="0.25">
      <c r="C2508" s="4"/>
      <c r="E2508" s="4"/>
      <c r="H2508" s="31" t="str">
        <f t="shared" si="78"/>
        <v/>
      </c>
      <c r="J2508" t="b">
        <f t="shared" si="79"/>
        <v>0</v>
      </c>
    </row>
    <row r="2509" spans="3:10" x14ac:dyDescent="0.25">
      <c r="C2509" s="4"/>
      <c r="E2509" s="4"/>
      <c r="H2509" s="31" t="str">
        <f t="shared" si="78"/>
        <v/>
      </c>
      <c r="J2509" t="b">
        <f t="shared" si="79"/>
        <v>0</v>
      </c>
    </row>
    <row r="2510" spans="3:10" x14ac:dyDescent="0.25">
      <c r="C2510" s="4"/>
      <c r="E2510" s="4"/>
      <c r="H2510" s="31" t="str">
        <f t="shared" si="78"/>
        <v/>
      </c>
      <c r="J2510" t="b">
        <f t="shared" si="79"/>
        <v>0</v>
      </c>
    </row>
    <row r="2511" spans="3:10" x14ac:dyDescent="0.25">
      <c r="C2511" s="4"/>
      <c r="E2511" s="4"/>
      <c r="H2511" s="31" t="str">
        <f t="shared" si="78"/>
        <v/>
      </c>
      <c r="J2511" t="b">
        <f t="shared" si="79"/>
        <v>0</v>
      </c>
    </row>
    <row r="2512" spans="3:10" x14ac:dyDescent="0.25">
      <c r="C2512" s="4"/>
      <c r="E2512" s="4"/>
      <c r="H2512" s="31" t="str">
        <f t="shared" si="78"/>
        <v/>
      </c>
      <c r="J2512" t="b">
        <f t="shared" si="79"/>
        <v>0</v>
      </c>
    </row>
    <row r="2513" spans="3:10" x14ac:dyDescent="0.25">
      <c r="C2513" s="4"/>
      <c r="E2513" s="4"/>
      <c r="H2513" s="31" t="str">
        <f t="shared" si="78"/>
        <v/>
      </c>
      <c r="J2513" t="b">
        <f t="shared" si="79"/>
        <v>0</v>
      </c>
    </row>
    <row r="2514" spans="3:10" x14ac:dyDescent="0.25">
      <c r="C2514" s="4"/>
      <c r="E2514" s="4"/>
      <c r="H2514" s="31" t="str">
        <f t="shared" si="78"/>
        <v/>
      </c>
      <c r="J2514" t="b">
        <f t="shared" si="79"/>
        <v>0</v>
      </c>
    </row>
    <row r="2515" spans="3:10" x14ac:dyDescent="0.25">
      <c r="C2515" s="4"/>
      <c r="E2515" s="4"/>
      <c r="H2515" s="31" t="str">
        <f t="shared" si="78"/>
        <v/>
      </c>
      <c r="J2515" t="b">
        <f t="shared" si="79"/>
        <v>0</v>
      </c>
    </row>
    <row r="2516" spans="3:10" x14ac:dyDescent="0.25">
      <c r="C2516" s="4"/>
      <c r="E2516" s="4"/>
      <c r="H2516" s="31" t="str">
        <f t="shared" si="78"/>
        <v/>
      </c>
      <c r="J2516" t="b">
        <f t="shared" si="79"/>
        <v>0</v>
      </c>
    </row>
    <row r="2517" spans="3:10" x14ac:dyDescent="0.25">
      <c r="C2517" s="4"/>
      <c r="E2517" s="4"/>
      <c r="H2517" s="31" t="str">
        <f t="shared" si="78"/>
        <v/>
      </c>
      <c r="J2517" t="b">
        <f t="shared" si="79"/>
        <v>0</v>
      </c>
    </row>
    <row r="2518" spans="3:10" x14ac:dyDescent="0.25">
      <c r="C2518" s="4"/>
      <c r="E2518" s="4"/>
      <c r="H2518" s="31" t="str">
        <f t="shared" si="78"/>
        <v/>
      </c>
      <c r="J2518" t="b">
        <f t="shared" si="79"/>
        <v>0</v>
      </c>
    </row>
    <row r="2519" spans="3:10" x14ac:dyDescent="0.25">
      <c r="C2519" s="4"/>
      <c r="E2519" s="4"/>
      <c r="H2519" s="31" t="str">
        <f t="shared" si="78"/>
        <v/>
      </c>
      <c r="J2519" t="b">
        <f t="shared" si="79"/>
        <v>0</v>
      </c>
    </row>
    <row r="2520" spans="3:10" x14ac:dyDescent="0.25">
      <c r="C2520" s="4"/>
      <c r="E2520" s="4"/>
      <c r="H2520" s="31" t="str">
        <f t="shared" si="78"/>
        <v/>
      </c>
      <c r="J2520" t="b">
        <f t="shared" si="79"/>
        <v>0</v>
      </c>
    </row>
    <row r="2521" spans="3:10" x14ac:dyDescent="0.25">
      <c r="C2521" s="4"/>
      <c r="E2521" s="4"/>
      <c r="H2521" s="31" t="str">
        <f t="shared" si="78"/>
        <v/>
      </c>
      <c r="J2521" t="b">
        <f t="shared" si="79"/>
        <v>0</v>
      </c>
    </row>
    <row r="2522" spans="3:10" x14ac:dyDescent="0.25">
      <c r="C2522" s="4"/>
      <c r="E2522" s="4"/>
      <c r="H2522" s="31" t="str">
        <f t="shared" si="78"/>
        <v/>
      </c>
      <c r="J2522" t="b">
        <f t="shared" si="79"/>
        <v>0</v>
      </c>
    </row>
    <row r="2523" spans="3:10" x14ac:dyDescent="0.25">
      <c r="C2523" s="4"/>
      <c r="E2523" s="4"/>
      <c r="H2523" s="31" t="str">
        <f t="shared" si="78"/>
        <v/>
      </c>
      <c r="J2523" t="b">
        <f t="shared" si="79"/>
        <v>0</v>
      </c>
    </row>
    <row r="2524" spans="3:10" x14ac:dyDescent="0.25">
      <c r="C2524" s="4"/>
      <c r="E2524" s="4"/>
      <c r="H2524" s="31" t="str">
        <f t="shared" si="78"/>
        <v/>
      </c>
      <c r="J2524" t="b">
        <f t="shared" si="79"/>
        <v>0</v>
      </c>
    </row>
    <row r="2525" spans="3:10" x14ac:dyDescent="0.25">
      <c r="C2525" s="4"/>
      <c r="E2525" s="4"/>
      <c r="H2525" s="31" t="str">
        <f t="shared" si="78"/>
        <v/>
      </c>
      <c r="J2525" t="b">
        <f t="shared" si="79"/>
        <v>0</v>
      </c>
    </row>
    <row r="2526" spans="3:10" x14ac:dyDescent="0.25">
      <c r="C2526" s="4"/>
      <c r="E2526" s="4"/>
      <c r="H2526" s="31" t="str">
        <f t="shared" si="78"/>
        <v/>
      </c>
      <c r="J2526" t="b">
        <f t="shared" si="79"/>
        <v>0</v>
      </c>
    </row>
    <row r="2527" spans="3:10" x14ac:dyDescent="0.25">
      <c r="C2527" s="4"/>
      <c r="E2527" s="4"/>
      <c r="H2527" s="31" t="str">
        <f t="shared" si="78"/>
        <v/>
      </c>
      <c r="J2527" t="b">
        <f t="shared" si="79"/>
        <v>0</v>
      </c>
    </row>
    <row r="2528" spans="3:10" x14ac:dyDescent="0.25">
      <c r="C2528" s="4"/>
      <c r="E2528" s="4"/>
      <c r="H2528" s="31" t="str">
        <f t="shared" si="78"/>
        <v/>
      </c>
      <c r="J2528" t="b">
        <f t="shared" si="79"/>
        <v>0</v>
      </c>
    </row>
    <row r="2529" spans="3:10" x14ac:dyDescent="0.25">
      <c r="C2529" s="4"/>
      <c r="E2529" s="4"/>
      <c r="H2529" s="31" t="str">
        <f t="shared" si="78"/>
        <v/>
      </c>
      <c r="J2529" t="b">
        <f t="shared" si="79"/>
        <v>0</v>
      </c>
    </row>
    <row r="2530" spans="3:10" x14ac:dyDescent="0.25">
      <c r="C2530" s="4"/>
      <c r="E2530" s="4"/>
      <c r="H2530" s="31" t="str">
        <f t="shared" si="78"/>
        <v/>
      </c>
      <c r="J2530" t="b">
        <f t="shared" si="79"/>
        <v>0</v>
      </c>
    </row>
    <row r="2531" spans="3:10" x14ac:dyDescent="0.25">
      <c r="C2531" s="4"/>
      <c r="E2531" s="4"/>
      <c r="H2531" s="31" t="str">
        <f t="shared" si="78"/>
        <v/>
      </c>
      <c r="J2531" t="b">
        <f t="shared" si="79"/>
        <v>0</v>
      </c>
    </row>
    <row r="2532" spans="3:10" x14ac:dyDescent="0.25">
      <c r="C2532" s="4"/>
      <c r="E2532" s="4"/>
      <c r="H2532" s="31" t="str">
        <f t="shared" si="78"/>
        <v/>
      </c>
      <c r="J2532" t="b">
        <f t="shared" si="79"/>
        <v>0</v>
      </c>
    </row>
    <row r="2533" spans="3:10" x14ac:dyDescent="0.25">
      <c r="C2533" s="4"/>
      <c r="E2533" s="4"/>
      <c r="H2533" s="31" t="str">
        <f t="shared" si="78"/>
        <v/>
      </c>
      <c r="J2533" t="b">
        <f t="shared" si="79"/>
        <v>0</v>
      </c>
    </row>
    <row r="2534" spans="3:10" x14ac:dyDescent="0.25">
      <c r="C2534" s="4"/>
      <c r="E2534" s="4"/>
      <c r="H2534" s="31" t="str">
        <f t="shared" si="78"/>
        <v/>
      </c>
      <c r="J2534" t="b">
        <f t="shared" si="79"/>
        <v>0</v>
      </c>
    </row>
    <row r="2535" spans="3:10" x14ac:dyDescent="0.25">
      <c r="C2535" s="4"/>
      <c r="E2535" s="4"/>
      <c r="H2535" s="31" t="str">
        <f t="shared" si="78"/>
        <v/>
      </c>
      <c r="J2535" t="b">
        <f t="shared" si="79"/>
        <v>0</v>
      </c>
    </row>
    <row r="2536" spans="3:10" x14ac:dyDescent="0.25">
      <c r="C2536" s="4"/>
      <c r="E2536" s="4"/>
      <c r="H2536" s="31" t="str">
        <f t="shared" si="78"/>
        <v/>
      </c>
      <c r="J2536" t="b">
        <f t="shared" si="79"/>
        <v>0</v>
      </c>
    </row>
    <row r="2537" spans="3:10" x14ac:dyDescent="0.25">
      <c r="C2537" s="4"/>
      <c r="E2537" s="4"/>
      <c r="H2537" s="31" t="str">
        <f t="shared" si="78"/>
        <v/>
      </c>
      <c r="J2537" t="b">
        <f t="shared" si="79"/>
        <v>0</v>
      </c>
    </row>
    <row r="2538" spans="3:10" x14ac:dyDescent="0.25">
      <c r="C2538" s="4"/>
      <c r="E2538" s="4"/>
      <c r="H2538" s="31" t="str">
        <f t="shared" si="78"/>
        <v/>
      </c>
      <c r="J2538" t="b">
        <f t="shared" si="79"/>
        <v>0</v>
      </c>
    </row>
    <row r="2539" spans="3:10" x14ac:dyDescent="0.25">
      <c r="C2539" s="4"/>
      <c r="E2539" s="4"/>
      <c r="H2539" s="31" t="str">
        <f t="shared" si="78"/>
        <v/>
      </c>
      <c r="J2539" t="b">
        <f t="shared" si="79"/>
        <v>0</v>
      </c>
    </row>
    <row r="2540" spans="3:10" x14ac:dyDescent="0.25">
      <c r="C2540" s="4"/>
      <c r="E2540" s="4"/>
      <c r="H2540" s="31" t="str">
        <f t="shared" si="78"/>
        <v/>
      </c>
      <c r="J2540" t="b">
        <f t="shared" si="79"/>
        <v>0</v>
      </c>
    </row>
    <row r="2541" spans="3:10" x14ac:dyDescent="0.25">
      <c r="C2541" s="4"/>
      <c r="E2541" s="4"/>
      <c r="H2541" s="31" t="str">
        <f t="shared" si="78"/>
        <v/>
      </c>
      <c r="J2541" t="b">
        <f t="shared" si="79"/>
        <v>0</v>
      </c>
    </row>
    <row r="2542" spans="3:10" x14ac:dyDescent="0.25">
      <c r="C2542" s="4"/>
      <c r="E2542" s="4"/>
      <c r="H2542" s="31" t="str">
        <f t="shared" si="78"/>
        <v/>
      </c>
      <c r="J2542" t="b">
        <f t="shared" si="79"/>
        <v>0</v>
      </c>
    </row>
    <row r="2543" spans="3:10" x14ac:dyDescent="0.25">
      <c r="C2543" s="4"/>
      <c r="E2543" s="4"/>
      <c r="H2543" s="31" t="str">
        <f t="shared" si="78"/>
        <v/>
      </c>
      <c r="J2543" t="b">
        <f t="shared" si="79"/>
        <v>0</v>
      </c>
    </row>
    <row r="2544" spans="3:10" x14ac:dyDescent="0.25">
      <c r="C2544" s="4"/>
      <c r="E2544" s="4"/>
      <c r="H2544" s="31" t="str">
        <f t="shared" si="78"/>
        <v/>
      </c>
      <c r="J2544" t="b">
        <f t="shared" si="79"/>
        <v>0</v>
      </c>
    </row>
    <row r="2545" spans="3:10" x14ac:dyDescent="0.25">
      <c r="C2545" s="4"/>
      <c r="E2545" s="4"/>
      <c r="H2545" s="31" t="str">
        <f t="shared" si="78"/>
        <v/>
      </c>
      <c r="J2545" t="b">
        <f t="shared" si="79"/>
        <v>0</v>
      </c>
    </row>
    <row r="2546" spans="3:10" x14ac:dyDescent="0.25">
      <c r="C2546" s="4"/>
      <c r="E2546" s="4"/>
      <c r="H2546" s="31" t="str">
        <f t="shared" si="78"/>
        <v/>
      </c>
      <c r="J2546" t="b">
        <f t="shared" si="79"/>
        <v>0</v>
      </c>
    </row>
    <row r="2547" spans="3:10" x14ac:dyDescent="0.25">
      <c r="C2547" s="4"/>
      <c r="E2547" s="4"/>
      <c r="H2547" s="31" t="str">
        <f t="shared" si="78"/>
        <v/>
      </c>
      <c r="J2547" t="b">
        <f t="shared" si="79"/>
        <v>0</v>
      </c>
    </row>
    <row r="2548" spans="3:10" x14ac:dyDescent="0.25">
      <c r="C2548" s="4"/>
      <c r="E2548" s="4"/>
      <c r="H2548" s="31" t="str">
        <f t="shared" si="78"/>
        <v/>
      </c>
      <c r="J2548" t="b">
        <f t="shared" si="79"/>
        <v>0</v>
      </c>
    </row>
    <row r="2549" spans="3:10" x14ac:dyDescent="0.25">
      <c r="C2549" s="4"/>
      <c r="E2549" s="4"/>
      <c r="H2549" s="31" t="str">
        <f t="shared" si="78"/>
        <v/>
      </c>
      <c r="J2549" t="b">
        <f t="shared" si="79"/>
        <v>0</v>
      </c>
    </row>
    <row r="2550" spans="3:10" x14ac:dyDescent="0.25">
      <c r="C2550" s="4"/>
      <c r="E2550" s="4"/>
      <c r="H2550" s="31" t="str">
        <f t="shared" si="78"/>
        <v/>
      </c>
      <c r="J2550" t="b">
        <f t="shared" si="79"/>
        <v>0</v>
      </c>
    </row>
    <row r="2551" spans="3:10" x14ac:dyDescent="0.25">
      <c r="C2551" s="4"/>
      <c r="E2551" s="4"/>
      <c r="H2551" s="31" t="str">
        <f t="shared" si="78"/>
        <v/>
      </c>
      <c r="J2551" t="b">
        <f t="shared" si="79"/>
        <v>0</v>
      </c>
    </row>
    <row r="2552" spans="3:10" x14ac:dyDescent="0.25">
      <c r="C2552" s="4"/>
      <c r="E2552" s="4"/>
      <c r="H2552" s="31" t="str">
        <f t="shared" si="78"/>
        <v/>
      </c>
      <c r="J2552" t="b">
        <f t="shared" si="79"/>
        <v>0</v>
      </c>
    </row>
    <row r="2553" spans="3:10" x14ac:dyDescent="0.25">
      <c r="C2553" s="4"/>
      <c r="E2553" s="4"/>
      <c r="H2553" s="31" t="str">
        <f t="shared" si="78"/>
        <v/>
      </c>
      <c r="J2553" t="b">
        <f t="shared" si="79"/>
        <v>0</v>
      </c>
    </row>
    <row r="2554" spans="3:10" x14ac:dyDescent="0.25">
      <c r="C2554" s="4"/>
      <c r="E2554" s="4"/>
      <c r="H2554" s="31" t="str">
        <f t="shared" si="78"/>
        <v/>
      </c>
      <c r="J2554" t="b">
        <f t="shared" si="79"/>
        <v>0</v>
      </c>
    </row>
    <row r="2555" spans="3:10" x14ac:dyDescent="0.25">
      <c r="C2555" s="4"/>
      <c r="E2555" s="4"/>
      <c r="H2555" s="31" t="str">
        <f t="shared" si="78"/>
        <v/>
      </c>
      <c r="J2555" t="b">
        <f t="shared" si="79"/>
        <v>0</v>
      </c>
    </row>
    <row r="2556" spans="3:10" x14ac:dyDescent="0.25">
      <c r="C2556" s="4"/>
      <c r="E2556" s="4"/>
      <c r="H2556" s="31" t="str">
        <f t="shared" si="78"/>
        <v/>
      </c>
      <c r="J2556" t="b">
        <f t="shared" si="79"/>
        <v>0</v>
      </c>
    </row>
    <row r="2557" spans="3:10" x14ac:dyDescent="0.25">
      <c r="C2557" s="4"/>
      <c r="E2557" s="4"/>
      <c r="H2557" s="31" t="str">
        <f t="shared" si="78"/>
        <v/>
      </c>
      <c r="J2557" t="b">
        <f t="shared" si="79"/>
        <v>0</v>
      </c>
    </row>
    <row r="2558" spans="3:10" x14ac:dyDescent="0.25">
      <c r="C2558" s="4"/>
      <c r="E2558" s="4"/>
      <c r="H2558" s="31" t="str">
        <f t="shared" si="78"/>
        <v/>
      </c>
      <c r="J2558" t="b">
        <f t="shared" si="79"/>
        <v>0</v>
      </c>
    </row>
    <row r="2559" spans="3:10" x14ac:dyDescent="0.25">
      <c r="C2559" s="4"/>
      <c r="E2559" s="4"/>
      <c r="H2559" s="31" t="str">
        <f t="shared" si="78"/>
        <v/>
      </c>
      <c r="J2559" t="b">
        <f t="shared" si="79"/>
        <v>0</v>
      </c>
    </row>
    <row r="2560" spans="3:10" x14ac:dyDescent="0.25">
      <c r="C2560" s="4"/>
      <c r="E2560" s="4"/>
      <c r="H2560" s="31" t="str">
        <f t="shared" si="78"/>
        <v/>
      </c>
      <c r="J2560" t="b">
        <f t="shared" si="79"/>
        <v>0</v>
      </c>
    </row>
    <row r="2561" spans="3:10" x14ac:dyDescent="0.25">
      <c r="C2561" s="4"/>
      <c r="E2561" s="4"/>
      <c r="H2561" s="31" t="str">
        <f t="shared" si="78"/>
        <v/>
      </c>
      <c r="J2561" t="b">
        <f t="shared" si="79"/>
        <v>0</v>
      </c>
    </row>
    <row r="2562" spans="3:10" x14ac:dyDescent="0.25">
      <c r="C2562" s="4"/>
      <c r="E2562" s="4"/>
      <c r="H2562" s="31" t="str">
        <f t="shared" si="78"/>
        <v/>
      </c>
      <c r="J2562" t="b">
        <f t="shared" si="79"/>
        <v>0</v>
      </c>
    </row>
    <row r="2563" spans="3:10" x14ac:dyDescent="0.25">
      <c r="C2563" s="4"/>
      <c r="E2563" s="4"/>
      <c r="H2563" s="31" t="str">
        <f t="shared" si="78"/>
        <v/>
      </c>
      <c r="J2563" t="b">
        <f t="shared" si="79"/>
        <v>0</v>
      </c>
    </row>
    <row r="2564" spans="3:10" x14ac:dyDescent="0.25">
      <c r="C2564" s="4"/>
      <c r="E2564" s="4"/>
      <c r="H2564" s="31" t="str">
        <f t="shared" ref="H2564:H2627" si="80">IF($J2564=TRUE,"Il ne peut y avoir des valeurs dans les 2 méthodes",IF($D2564="kg/l",$C2564,IF($D2564="g/l",$C2564/1000,IF($D2564="lb/gal US",$C2564*0.454/3.785,IF($G2564="kg/l",($E2564/100)*$F2564,IF($G2564="g/l",($E2564/100)*$F2564/1000,IF($G2564="lb/gal US",($E2564/100)*$F2564*0.454/3.785,"")))))))</f>
        <v/>
      </c>
      <c r="J2564" t="b">
        <f t="shared" ref="J2564:J2627" si="81">IF(AND(OR($C2564&lt;&gt;"",$D2564&lt;&gt;""),OR($E2564&lt;&gt;"",F2564&lt;&gt;"",G2564&lt;&gt;"")),TRUE,FALSE)</f>
        <v>0</v>
      </c>
    </row>
    <row r="2565" spans="3:10" x14ac:dyDescent="0.25">
      <c r="C2565" s="4"/>
      <c r="E2565" s="4"/>
      <c r="H2565" s="31" t="str">
        <f t="shared" si="80"/>
        <v/>
      </c>
      <c r="J2565" t="b">
        <f t="shared" si="81"/>
        <v>0</v>
      </c>
    </row>
    <row r="2566" spans="3:10" x14ac:dyDescent="0.25">
      <c r="C2566" s="4"/>
      <c r="E2566" s="4"/>
      <c r="H2566" s="31" t="str">
        <f t="shared" si="80"/>
        <v/>
      </c>
      <c r="J2566" t="b">
        <f t="shared" si="81"/>
        <v>0</v>
      </c>
    </row>
    <row r="2567" spans="3:10" x14ac:dyDescent="0.25">
      <c r="C2567" s="4"/>
      <c r="E2567" s="4"/>
      <c r="H2567" s="31" t="str">
        <f t="shared" si="80"/>
        <v/>
      </c>
      <c r="J2567" t="b">
        <f t="shared" si="81"/>
        <v>0</v>
      </c>
    </row>
    <row r="2568" spans="3:10" x14ac:dyDescent="0.25">
      <c r="C2568" s="4"/>
      <c r="E2568" s="4"/>
      <c r="H2568" s="31" t="str">
        <f t="shared" si="80"/>
        <v/>
      </c>
      <c r="J2568" t="b">
        <f t="shared" si="81"/>
        <v>0</v>
      </c>
    </row>
    <row r="2569" spans="3:10" x14ac:dyDescent="0.25">
      <c r="C2569" s="4"/>
      <c r="E2569" s="4"/>
      <c r="H2569" s="31" t="str">
        <f t="shared" si="80"/>
        <v/>
      </c>
      <c r="J2569" t="b">
        <f t="shared" si="81"/>
        <v>0</v>
      </c>
    </row>
    <row r="2570" spans="3:10" x14ac:dyDescent="0.25">
      <c r="C2570" s="4"/>
      <c r="E2570" s="4"/>
      <c r="H2570" s="31" t="str">
        <f t="shared" si="80"/>
        <v/>
      </c>
      <c r="J2570" t="b">
        <f t="shared" si="81"/>
        <v>0</v>
      </c>
    </row>
    <row r="2571" spans="3:10" x14ac:dyDescent="0.25">
      <c r="C2571" s="4"/>
      <c r="E2571" s="4"/>
      <c r="H2571" s="31" t="str">
        <f t="shared" si="80"/>
        <v/>
      </c>
      <c r="J2571" t="b">
        <f t="shared" si="81"/>
        <v>0</v>
      </c>
    </row>
    <row r="2572" spans="3:10" x14ac:dyDescent="0.25">
      <c r="C2572" s="4"/>
      <c r="E2572" s="4"/>
      <c r="H2572" s="31" t="str">
        <f t="shared" si="80"/>
        <v/>
      </c>
      <c r="J2572" t="b">
        <f t="shared" si="81"/>
        <v>0</v>
      </c>
    </row>
    <row r="2573" spans="3:10" x14ac:dyDescent="0.25">
      <c r="C2573" s="4"/>
      <c r="E2573" s="4"/>
      <c r="H2573" s="31" t="str">
        <f t="shared" si="80"/>
        <v/>
      </c>
      <c r="J2573" t="b">
        <f t="shared" si="81"/>
        <v>0</v>
      </c>
    </row>
    <row r="2574" spans="3:10" x14ac:dyDescent="0.25">
      <c r="C2574" s="4"/>
      <c r="E2574" s="4"/>
      <c r="H2574" s="31" t="str">
        <f t="shared" si="80"/>
        <v/>
      </c>
      <c r="J2574" t="b">
        <f t="shared" si="81"/>
        <v>0</v>
      </c>
    </row>
    <row r="2575" spans="3:10" x14ac:dyDescent="0.25">
      <c r="C2575" s="4"/>
      <c r="E2575" s="4"/>
      <c r="H2575" s="31" t="str">
        <f t="shared" si="80"/>
        <v/>
      </c>
      <c r="J2575" t="b">
        <f t="shared" si="81"/>
        <v>0</v>
      </c>
    </row>
    <row r="2576" spans="3:10" x14ac:dyDescent="0.25">
      <c r="C2576" s="4"/>
      <c r="E2576" s="4"/>
      <c r="H2576" s="31" t="str">
        <f t="shared" si="80"/>
        <v/>
      </c>
      <c r="J2576" t="b">
        <f t="shared" si="81"/>
        <v>0</v>
      </c>
    </row>
    <row r="2577" spans="3:10" x14ac:dyDescent="0.25">
      <c r="C2577" s="4"/>
      <c r="E2577" s="4"/>
      <c r="H2577" s="31" t="str">
        <f t="shared" si="80"/>
        <v/>
      </c>
      <c r="J2577" t="b">
        <f t="shared" si="81"/>
        <v>0</v>
      </c>
    </row>
    <row r="2578" spans="3:10" x14ac:dyDescent="0.25">
      <c r="C2578" s="4"/>
      <c r="E2578" s="4"/>
      <c r="H2578" s="31" t="str">
        <f t="shared" si="80"/>
        <v/>
      </c>
      <c r="J2578" t="b">
        <f t="shared" si="81"/>
        <v>0</v>
      </c>
    </row>
    <row r="2579" spans="3:10" x14ac:dyDescent="0.25">
      <c r="C2579" s="4"/>
      <c r="E2579" s="4"/>
      <c r="H2579" s="31" t="str">
        <f t="shared" si="80"/>
        <v/>
      </c>
      <c r="J2579" t="b">
        <f t="shared" si="81"/>
        <v>0</v>
      </c>
    </row>
    <row r="2580" spans="3:10" x14ac:dyDescent="0.25">
      <c r="C2580" s="4"/>
      <c r="E2580" s="4"/>
      <c r="H2580" s="31" t="str">
        <f t="shared" si="80"/>
        <v/>
      </c>
      <c r="J2580" t="b">
        <f t="shared" si="81"/>
        <v>0</v>
      </c>
    </row>
    <row r="2581" spans="3:10" x14ac:dyDescent="0.25">
      <c r="C2581" s="4"/>
      <c r="E2581" s="4"/>
      <c r="H2581" s="31" t="str">
        <f t="shared" si="80"/>
        <v/>
      </c>
      <c r="J2581" t="b">
        <f t="shared" si="81"/>
        <v>0</v>
      </c>
    </row>
    <row r="2582" spans="3:10" x14ac:dyDescent="0.25">
      <c r="C2582" s="4"/>
      <c r="E2582" s="4"/>
      <c r="H2582" s="31" t="str">
        <f t="shared" si="80"/>
        <v/>
      </c>
      <c r="J2582" t="b">
        <f t="shared" si="81"/>
        <v>0</v>
      </c>
    </row>
    <row r="2583" spans="3:10" x14ac:dyDescent="0.25">
      <c r="C2583" s="4"/>
      <c r="E2583" s="4"/>
      <c r="H2583" s="31" t="str">
        <f t="shared" si="80"/>
        <v/>
      </c>
      <c r="J2583" t="b">
        <f t="shared" si="81"/>
        <v>0</v>
      </c>
    </row>
    <row r="2584" spans="3:10" x14ac:dyDescent="0.25">
      <c r="C2584" s="4"/>
      <c r="E2584" s="4"/>
      <c r="H2584" s="31" t="str">
        <f t="shared" si="80"/>
        <v/>
      </c>
      <c r="J2584" t="b">
        <f t="shared" si="81"/>
        <v>0</v>
      </c>
    </row>
    <row r="2585" spans="3:10" x14ac:dyDescent="0.25">
      <c r="C2585" s="4"/>
      <c r="E2585" s="4"/>
      <c r="H2585" s="31" t="str">
        <f t="shared" si="80"/>
        <v/>
      </c>
      <c r="J2585" t="b">
        <f t="shared" si="81"/>
        <v>0</v>
      </c>
    </row>
    <row r="2586" spans="3:10" x14ac:dyDescent="0.25">
      <c r="C2586" s="4"/>
      <c r="E2586" s="4"/>
      <c r="H2586" s="31" t="str">
        <f t="shared" si="80"/>
        <v/>
      </c>
      <c r="J2586" t="b">
        <f t="shared" si="81"/>
        <v>0</v>
      </c>
    </row>
    <row r="2587" spans="3:10" x14ac:dyDescent="0.25">
      <c r="C2587" s="4"/>
      <c r="E2587" s="4"/>
      <c r="H2587" s="31" t="str">
        <f t="shared" si="80"/>
        <v/>
      </c>
      <c r="J2587" t="b">
        <f t="shared" si="81"/>
        <v>0</v>
      </c>
    </row>
    <row r="2588" spans="3:10" x14ac:dyDescent="0.25">
      <c r="C2588" s="4"/>
      <c r="E2588" s="4"/>
      <c r="H2588" s="31" t="str">
        <f t="shared" si="80"/>
        <v/>
      </c>
      <c r="J2588" t="b">
        <f t="shared" si="81"/>
        <v>0</v>
      </c>
    </row>
    <row r="2589" spans="3:10" x14ac:dyDescent="0.25">
      <c r="C2589" s="4"/>
      <c r="E2589" s="4"/>
      <c r="H2589" s="31" t="str">
        <f t="shared" si="80"/>
        <v/>
      </c>
      <c r="J2589" t="b">
        <f t="shared" si="81"/>
        <v>0</v>
      </c>
    </row>
    <row r="2590" spans="3:10" x14ac:dyDescent="0.25">
      <c r="C2590" s="4"/>
      <c r="E2590" s="4"/>
      <c r="H2590" s="31" t="str">
        <f t="shared" si="80"/>
        <v/>
      </c>
      <c r="J2590" t="b">
        <f t="shared" si="81"/>
        <v>0</v>
      </c>
    </row>
    <row r="2591" spans="3:10" x14ac:dyDescent="0.25">
      <c r="C2591" s="4"/>
      <c r="E2591" s="4"/>
      <c r="H2591" s="31" t="str">
        <f t="shared" si="80"/>
        <v/>
      </c>
      <c r="J2591" t="b">
        <f t="shared" si="81"/>
        <v>0</v>
      </c>
    </row>
    <row r="2592" spans="3:10" x14ac:dyDescent="0.25">
      <c r="C2592" s="4"/>
      <c r="E2592" s="4"/>
      <c r="H2592" s="31" t="str">
        <f t="shared" si="80"/>
        <v/>
      </c>
      <c r="J2592" t="b">
        <f t="shared" si="81"/>
        <v>0</v>
      </c>
    </row>
    <row r="2593" spans="3:10" x14ac:dyDescent="0.25">
      <c r="C2593" s="4"/>
      <c r="E2593" s="4"/>
      <c r="H2593" s="31" t="str">
        <f t="shared" si="80"/>
        <v/>
      </c>
      <c r="J2593" t="b">
        <f t="shared" si="81"/>
        <v>0</v>
      </c>
    </row>
    <row r="2594" spans="3:10" x14ac:dyDescent="0.25">
      <c r="C2594" s="4"/>
      <c r="E2594" s="4"/>
      <c r="H2594" s="31" t="str">
        <f t="shared" si="80"/>
        <v/>
      </c>
      <c r="J2594" t="b">
        <f t="shared" si="81"/>
        <v>0</v>
      </c>
    </row>
    <row r="2595" spans="3:10" x14ac:dyDescent="0.25">
      <c r="C2595" s="4"/>
      <c r="E2595" s="4"/>
      <c r="H2595" s="31" t="str">
        <f t="shared" si="80"/>
        <v/>
      </c>
      <c r="J2595" t="b">
        <f t="shared" si="81"/>
        <v>0</v>
      </c>
    </row>
    <row r="2596" spans="3:10" x14ac:dyDescent="0.25">
      <c r="C2596" s="4"/>
      <c r="E2596" s="4"/>
      <c r="H2596" s="31" t="str">
        <f t="shared" si="80"/>
        <v/>
      </c>
      <c r="J2596" t="b">
        <f t="shared" si="81"/>
        <v>0</v>
      </c>
    </row>
    <row r="2597" spans="3:10" x14ac:dyDescent="0.25">
      <c r="C2597" s="4"/>
      <c r="E2597" s="4"/>
      <c r="H2597" s="31" t="str">
        <f t="shared" si="80"/>
        <v/>
      </c>
      <c r="J2597" t="b">
        <f t="shared" si="81"/>
        <v>0</v>
      </c>
    </row>
    <row r="2598" spans="3:10" x14ac:dyDescent="0.25">
      <c r="C2598" s="4"/>
      <c r="E2598" s="4"/>
      <c r="H2598" s="31" t="str">
        <f t="shared" si="80"/>
        <v/>
      </c>
      <c r="J2598" t="b">
        <f t="shared" si="81"/>
        <v>0</v>
      </c>
    </row>
    <row r="2599" spans="3:10" x14ac:dyDescent="0.25">
      <c r="C2599" s="4"/>
      <c r="E2599" s="4"/>
      <c r="H2599" s="31" t="str">
        <f t="shared" si="80"/>
        <v/>
      </c>
      <c r="J2599" t="b">
        <f t="shared" si="81"/>
        <v>0</v>
      </c>
    </row>
    <row r="2600" spans="3:10" x14ac:dyDescent="0.25">
      <c r="C2600" s="4"/>
      <c r="E2600" s="4"/>
      <c r="H2600" s="31" t="str">
        <f t="shared" si="80"/>
        <v/>
      </c>
      <c r="J2600" t="b">
        <f t="shared" si="81"/>
        <v>0</v>
      </c>
    </row>
    <row r="2601" spans="3:10" x14ac:dyDescent="0.25">
      <c r="C2601" s="4"/>
      <c r="E2601" s="4"/>
      <c r="H2601" s="31" t="str">
        <f t="shared" si="80"/>
        <v/>
      </c>
      <c r="J2601" t="b">
        <f t="shared" si="81"/>
        <v>0</v>
      </c>
    </row>
    <row r="2602" spans="3:10" x14ac:dyDescent="0.25">
      <c r="C2602" s="4"/>
      <c r="E2602" s="4"/>
      <c r="H2602" s="31" t="str">
        <f t="shared" si="80"/>
        <v/>
      </c>
      <c r="J2602" t="b">
        <f t="shared" si="81"/>
        <v>0</v>
      </c>
    </row>
    <row r="2603" spans="3:10" x14ac:dyDescent="0.25">
      <c r="C2603" s="4"/>
      <c r="E2603" s="4"/>
      <c r="H2603" s="31" t="str">
        <f t="shared" si="80"/>
        <v/>
      </c>
      <c r="J2603" t="b">
        <f t="shared" si="81"/>
        <v>0</v>
      </c>
    </row>
    <row r="2604" spans="3:10" x14ac:dyDescent="0.25">
      <c r="C2604" s="4"/>
      <c r="E2604" s="4"/>
      <c r="H2604" s="31" t="str">
        <f t="shared" si="80"/>
        <v/>
      </c>
      <c r="J2604" t="b">
        <f t="shared" si="81"/>
        <v>0</v>
      </c>
    </row>
    <row r="2605" spans="3:10" x14ac:dyDescent="0.25">
      <c r="C2605" s="4"/>
      <c r="E2605" s="4"/>
      <c r="H2605" s="31" t="str">
        <f t="shared" si="80"/>
        <v/>
      </c>
      <c r="J2605" t="b">
        <f t="shared" si="81"/>
        <v>0</v>
      </c>
    </row>
    <row r="2606" spans="3:10" x14ac:dyDescent="0.25">
      <c r="C2606" s="4"/>
      <c r="E2606" s="4"/>
      <c r="H2606" s="31" t="str">
        <f t="shared" si="80"/>
        <v/>
      </c>
      <c r="J2606" t="b">
        <f t="shared" si="81"/>
        <v>0</v>
      </c>
    </row>
    <row r="2607" spans="3:10" x14ac:dyDescent="0.25">
      <c r="C2607" s="4"/>
      <c r="E2607" s="4"/>
      <c r="H2607" s="31" t="str">
        <f t="shared" si="80"/>
        <v/>
      </c>
      <c r="J2607" t="b">
        <f t="shared" si="81"/>
        <v>0</v>
      </c>
    </row>
    <row r="2608" spans="3:10" x14ac:dyDescent="0.25">
      <c r="C2608" s="4"/>
      <c r="E2608" s="4"/>
      <c r="H2608" s="31" t="str">
        <f t="shared" si="80"/>
        <v/>
      </c>
      <c r="J2608" t="b">
        <f t="shared" si="81"/>
        <v>0</v>
      </c>
    </row>
    <row r="2609" spans="3:10" x14ac:dyDescent="0.25">
      <c r="C2609" s="4"/>
      <c r="E2609" s="4"/>
      <c r="H2609" s="31" t="str">
        <f t="shared" si="80"/>
        <v/>
      </c>
      <c r="J2609" t="b">
        <f t="shared" si="81"/>
        <v>0</v>
      </c>
    </row>
    <row r="2610" spans="3:10" x14ac:dyDescent="0.25">
      <c r="C2610" s="4"/>
      <c r="E2610" s="4"/>
      <c r="H2610" s="31" t="str">
        <f t="shared" si="80"/>
        <v/>
      </c>
      <c r="J2610" t="b">
        <f t="shared" si="81"/>
        <v>0</v>
      </c>
    </row>
    <row r="2611" spans="3:10" x14ac:dyDescent="0.25">
      <c r="C2611" s="4"/>
      <c r="E2611" s="4"/>
      <c r="H2611" s="31" t="str">
        <f t="shared" si="80"/>
        <v/>
      </c>
      <c r="J2611" t="b">
        <f t="shared" si="81"/>
        <v>0</v>
      </c>
    </row>
    <row r="2612" spans="3:10" x14ac:dyDescent="0.25">
      <c r="C2612" s="4"/>
      <c r="E2612" s="4"/>
      <c r="H2612" s="31" t="str">
        <f t="shared" si="80"/>
        <v/>
      </c>
      <c r="J2612" t="b">
        <f t="shared" si="81"/>
        <v>0</v>
      </c>
    </row>
    <row r="2613" spans="3:10" x14ac:dyDescent="0.25">
      <c r="C2613" s="4"/>
      <c r="E2613" s="4"/>
      <c r="H2613" s="31" t="str">
        <f t="shared" si="80"/>
        <v/>
      </c>
      <c r="J2613" t="b">
        <f t="shared" si="81"/>
        <v>0</v>
      </c>
    </row>
    <row r="2614" spans="3:10" x14ac:dyDescent="0.25">
      <c r="C2614" s="4"/>
      <c r="E2614" s="4"/>
      <c r="H2614" s="31" t="str">
        <f t="shared" si="80"/>
        <v/>
      </c>
      <c r="J2614" t="b">
        <f t="shared" si="81"/>
        <v>0</v>
      </c>
    </row>
    <row r="2615" spans="3:10" x14ac:dyDescent="0.25">
      <c r="C2615" s="4"/>
      <c r="E2615" s="4"/>
      <c r="H2615" s="31" t="str">
        <f t="shared" si="80"/>
        <v/>
      </c>
      <c r="J2615" t="b">
        <f t="shared" si="81"/>
        <v>0</v>
      </c>
    </row>
    <row r="2616" spans="3:10" x14ac:dyDescent="0.25">
      <c r="C2616" s="4"/>
      <c r="E2616" s="4"/>
      <c r="H2616" s="31" t="str">
        <f t="shared" si="80"/>
        <v/>
      </c>
      <c r="J2616" t="b">
        <f t="shared" si="81"/>
        <v>0</v>
      </c>
    </row>
    <row r="2617" spans="3:10" x14ac:dyDescent="0.25">
      <c r="C2617" s="4"/>
      <c r="E2617" s="4"/>
      <c r="H2617" s="31" t="str">
        <f t="shared" si="80"/>
        <v/>
      </c>
      <c r="J2617" t="b">
        <f t="shared" si="81"/>
        <v>0</v>
      </c>
    </row>
    <row r="2618" spans="3:10" x14ac:dyDescent="0.25">
      <c r="C2618" s="4"/>
      <c r="E2618" s="4"/>
      <c r="H2618" s="31" t="str">
        <f t="shared" si="80"/>
        <v/>
      </c>
      <c r="J2618" t="b">
        <f t="shared" si="81"/>
        <v>0</v>
      </c>
    </row>
    <row r="2619" spans="3:10" x14ac:dyDescent="0.25">
      <c r="C2619" s="4"/>
      <c r="E2619" s="4"/>
      <c r="H2619" s="31" t="str">
        <f t="shared" si="80"/>
        <v/>
      </c>
      <c r="J2619" t="b">
        <f t="shared" si="81"/>
        <v>0</v>
      </c>
    </row>
    <row r="2620" spans="3:10" x14ac:dyDescent="0.25">
      <c r="C2620" s="4"/>
      <c r="E2620" s="4"/>
      <c r="H2620" s="31" t="str">
        <f t="shared" si="80"/>
        <v/>
      </c>
      <c r="J2620" t="b">
        <f t="shared" si="81"/>
        <v>0</v>
      </c>
    </row>
    <row r="2621" spans="3:10" x14ac:dyDescent="0.25">
      <c r="C2621" s="4"/>
      <c r="E2621" s="4"/>
      <c r="H2621" s="31" t="str">
        <f t="shared" si="80"/>
        <v/>
      </c>
      <c r="J2621" t="b">
        <f t="shared" si="81"/>
        <v>0</v>
      </c>
    </row>
    <row r="2622" spans="3:10" x14ac:dyDescent="0.25">
      <c r="C2622" s="4"/>
      <c r="E2622" s="4"/>
      <c r="H2622" s="31" t="str">
        <f t="shared" si="80"/>
        <v/>
      </c>
      <c r="J2622" t="b">
        <f t="shared" si="81"/>
        <v>0</v>
      </c>
    </row>
    <row r="2623" spans="3:10" x14ac:dyDescent="0.25">
      <c r="C2623" s="4"/>
      <c r="E2623" s="4"/>
      <c r="H2623" s="31" t="str">
        <f t="shared" si="80"/>
        <v/>
      </c>
      <c r="J2623" t="b">
        <f t="shared" si="81"/>
        <v>0</v>
      </c>
    </row>
    <row r="2624" spans="3:10" x14ac:dyDescent="0.25">
      <c r="C2624" s="4"/>
      <c r="E2624" s="4"/>
      <c r="H2624" s="31" t="str">
        <f t="shared" si="80"/>
        <v/>
      </c>
      <c r="J2624" t="b">
        <f t="shared" si="81"/>
        <v>0</v>
      </c>
    </row>
    <row r="2625" spans="3:10" x14ac:dyDescent="0.25">
      <c r="C2625" s="4"/>
      <c r="E2625" s="4"/>
      <c r="H2625" s="31" t="str">
        <f t="shared" si="80"/>
        <v/>
      </c>
      <c r="J2625" t="b">
        <f t="shared" si="81"/>
        <v>0</v>
      </c>
    </row>
    <row r="2626" spans="3:10" x14ac:dyDescent="0.25">
      <c r="C2626" s="4"/>
      <c r="E2626" s="4"/>
      <c r="H2626" s="31" t="str">
        <f t="shared" si="80"/>
        <v/>
      </c>
      <c r="J2626" t="b">
        <f t="shared" si="81"/>
        <v>0</v>
      </c>
    </row>
    <row r="2627" spans="3:10" x14ac:dyDescent="0.25">
      <c r="C2627" s="4"/>
      <c r="E2627" s="4"/>
      <c r="H2627" s="31" t="str">
        <f t="shared" si="80"/>
        <v/>
      </c>
      <c r="J2627" t="b">
        <f t="shared" si="81"/>
        <v>0</v>
      </c>
    </row>
    <row r="2628" spans="3:10" x14ac:dyDescent="0.25">
      <c r="C2628" s="4"/>
      <c r="E2628" s="4"/>
      <c r="H2628" s="31" t="str">
        <f t="shared" ref="H2628:H2691" si="82">IF($J2628=TRUE,"Il ne peut y avoir des valeurs dans les 2 méthodes",IF($D2628="kg/l",$C2628,IF($D2628="g/l",$C2628/1000,IF($D2628="lb/gal US",$C2628*0.454/3.785,IF($G2628="kg/l",($E2628/100)*$F2628,IF($G2628="g/l",($E2628/100)*$F2628/1000,IF($G2628="lb/gal US",($E2628/100)*$F2628*0.454/3.785,"")))))))</f>
        <v/>
      </c>
      <c r="J2628" t="b">
        <f t="shared" ref="J2628:J2691" si="83">IF(AND(OR($C2628&lt;&gt;"",$D2628&lt;&gt;""),OR($E2628&lt;&gt;"",F2628&lt;&gt;"",G2628&lt;&gt;"")),TRUE,FALSE)</f>
        <v>0</v>
      </c>
    </row>
    <row r="2629" spans="3:10" x14ac:dyDescent="0.25">
      <c r="C2629" s="4"/>
      <c r="E2629" s="4"/>
      <c r="H2629" s="31" t="str">
        <f t="shared" si="82"/>
        <v/>
      </c>
      <c r="J2629" t="b">
        <f t="shared" si="83"/>
        <v>0</v>
      </c>
    </row>
    <row r="2630" spans="3:10" x14ac:dyDescent="0.25">
      <c r="C2630" s="4"/>
      <c r="E2630" s="4"/>
      <c r="H2630" s="31" t="str">
        <f t="shared" si="82"/>
        <v/>
      </c>
      <c r="J2630" t="b">
        <f t="shared" si="83"/>
        <v>0</v>
      </c>
    </row>
    <row r="2631" spans="3:10" x14ac:dyDescent="0.25">
      <c r="C2631" s="4"/>
      <c r="E2631" s="4"/>
      <c r="H2631" s="31" t="str">
        <f t="shared" si="82"/>
        <v/>
      </c>
      <c r="J2631" t="b">
        <f t="shared" si="83"/>
        <v>0</v>
      </c>
    </row>
    <row r="2632" spans="3:10" x14ac:dyDescent="0.25">
      <c r="C2632" s="4"/>
      <c r="E2632" s="4"/>
      <c r="H2632" s="31" t="str">
        <f t="shared" si="82"/>
        <v/>
      </c>
      <c r="J2632" t="b">
        <f t="shared" si="83"/>
        <v>0</v>
      </c>
    </row>
    <row r="2633" spans="3:10" x14ac:dyDescent="0.25">
      <c r="C2633" s="4"/>
      <c r="E2633" s="4"/>
      <c r="H2633" s="31" t="str">
        <f t="shared" si="82"/>
        <v/>
      </c>
      <c r="J2633" t="b">
        <f t="shared" si="83"/>
        <v>0</v>
      </c>
    </row>
    <row r="2634" spans="3:10" x14ac:dyDescent="0.25">
      <c r="C2634" s="4"/>
      <c r="E2634" s="4"/>
      <c r="H2634" s="31" t="str">
        <f t="shared" si="82"/>
        <v/>
      </c>
      <c r="J2634" t="b">
        <f t="shared" si="83"/>
        <v>0</v>
      </c>
    </row>
    <row r="2635" spans="3:10" x14ac:dyDescent="0.25">
      <c r="C2635" s="4"/>
      <c r="E2635" s="4"/>
      <c r="H2635" s="31" t="str">
        <f t="shared" si="82"/>
        <v/>
      </c>
      <c r="J2635" t="b">
        <f t="shared" si="83"/>
        <v>0</v>
      </c>
    </row>
    <row r="2636" spans="3:10" x14ac:dyDescent="0.25">
      <c r="C2636" s="4"/>
      <c r="E2636" s="4"/>
      <c r="H2636" s="31" t="str">
        <f t="shared" si="82"/>
        <v/>
      </c>
      <c r="J2636" t="b">
        <f t="shared" si="83"/>
        <v>0</v>
      </c>
    </row>
    <row r="2637" spans="3:10" x14ac:dyDescent="0.25">
      <c r="C2637" s="4"/>
      <c r="E2637" s="4"/>
      <c r="H2637" s="31" t="str">
        <f t="shared" si="82"/>
        <v/>
      </c>
      <c r="J2637" t="b">
        <f t="shared" si="83"/>
        <v>0</v>
      </c>
    </row>
    <row r="2638" spans="3:10" x14ac:dyDescent="0.25">
      <c r="C2638" s="4"/>
      <c r="E2638" s="4"/>
      <c r="H2638" s="31" t="str">
        <f t="shared" si="82"/>
        <v/>
      </c>
      <c r="J2638" t="b">
        <f t="shared" si="83"/>
        <v>0</v>
      </c>
    </row>
    <row r="2639" spans="3:10" x14ac:dyDescent="0.25">
      <c r="C2639" s="4"/>
      <c r="E2639" s="4"/>
      <c r="H2639" s="31" t="str">
        <f t="shared" si="82"/>
        <v/>
      </c>
      <c r="J2639" t="b">
        <f t="shared" si="83"/>
        <v>0</v>
      </c>
    </row>
    <row r="2640" spans="3:10" x14ac:dyDescent="0.25">
      <c r="C2640" s="4"/>
      <c r="E2640" s="4"/>
      <c r="H2640" s="31" t="str">
        <f t="shared" si="82"/>
        <v/>
      </c>
      <c r="J2640" t="b">
        <f t="shared" si="83"/>
        <v>0</v>
      </c>
    </row>
    <row r="2641" spans="3:10" x14ac:dyDescent="0.25">
      <c r="C2641" s="4"/>
      <c r="E2641" s="4"/>
      <c r="H2641" s="31" t="str">
        <f t="shared" si="82"/>
        <v/>
      </c>
      <c r="J2641" t="b">
        <f t="shared" si="83"/>
        <v>0</v>
      </c>
    </row>
    <row r="2642" spans="3:10" x14ac:dyDescent="0.25">
      <c r="C2642" s="4"/>
      <c r="E2642" s="4"/>
      <c r="H2642" s="31" t="str">
        <f t="shared" si="82"/>
        <v/>
      </c>
      <c r="J2642" t="b">
        <f t="shared" si="83"/>
        <v>0</v>
      </c>
    </row>
    <row r="2643" spans="3:10" x14ac:dyDescent="0.25">
      <c r="C2643" s="4"/>
      <c r="E2643" s="4"/>
      <c r="H2643" s="31" t="str">
        <f t="shared" si="82"/>
        <v/>
      </c>
      <c r="J2643" t="b">
        <f t="shared" si="83"/>
        <v>0</v>
      </c>
    </row>
    <row r="2644" spans="3:10" x14ac:dyDescent="0.25">
      <c r="C2644" s="4"/>
      <c r="E2644" s="4"/>
      <c r="H2644" s="31" t="str">
        <f t="shared" si="82"/>
        <v/>
      </c>
      <c r="J2644" t="b">
        <f t="shared" si="83"/>
        <v>0</v>
      </c>
    </row>
    <row r="2645" spans="3:10" x14ac:dyDescent="0.25">
      <c r="C2645" s="4"/>
      <c r="E2645" s="4"/>
      <c r="H2645" s="31" t="str">
        <f t="shared" si="82"/>
        <v/>
      </c>
      <c r="J2645" t="b">
        <f t="shared" si="83"/>
        <v>0</v>
      </c>
    </row>
    <row r="2646" spans="3:10" x14ac:dyDescent="0.25">
      <c r="C2646" s="4"/>
      <c r="E2646" s="4"/>
      <c r="H2646" s="31" t="str">
        <f t="shared" si="82"/>
        <v/>
      </c>
      <c r="J2646" t="b">
        <f t="shared" si="83"/>
        <v>0</v>
      </c>
    </row>
    <row r="2647" spans="3:10" x14ac:dyDescent="0.25">
      <c r="C2647" s="4"/>
      <c r="E2647" s="4"/>
      <c r="H2647" s="31" t="str">
        <f t="shared" si="82"/>
        <v/>
      </c>
      <c r="J2647" t="b">
        <f t="shared" si="83"/>
        <v>0</v>
      </c>
    </row>
    <row r="2648" spans="3:10" x14ac:dyDescent="0.25">
      <c r="C2648" s="4"/>
      <c r="E2648" s="4"/>
      <c r="H2648" s="31" t="str">
        <f t="shared" si="82"/>
        <v/>
      </c>
      <c r="J2648" t="b">
        <f t="shared" si="83"/>
        <v>0</v>
      </c>
    </row>
    <row r="2649" spans="3:10" x14ac:dyDescent="0.25">
      <c r="C2649" s="4"/>
      <c r="E2649" s="4"/>
      <c r="H2649" s="31" t="str">
        <f t="shared" si="82"/>
        <v/>
      </c>
      <c r="J2649" t="b">
        <f t="shared" si="83"/>
        <v>0</v>
      </c>
    </row>
    <row r="2650" spans="3:10" x14ac:dyDescent="0.25">
      <c r="C2650" s="4"/>
      <c r="E2650" s="4"/>
      <c r="H2650" s="31" t="str">
        <f t="shared" si="82"/>
        <v/>
      </c>
      <c r="J2650" t="b">
        <f t="shared" si="83"/>
        <v>0</v>
      </c>
    </row>
    <row r="2651" spans="3:10" x14ac:dyDescent="0.25">
      <c r="C2651" s="4"/>
      <c r="E2651" s="4"/>
      <c r="H2651" s="31" t="str">
        <f t="shared" si="82"/>
        <v/>
      </c>
      <c r="J2651" t="b">
        <f t="shared" si="83"/>
        <v>0</v>
      </c>
    </row>
    <row r="2652" spans="3:10" x14ac:dyDescent="0.25">
      <c r="C2652" s="4"/>
      <c r="E2652" s="4"/>
      <c r="H2652" s="31" t="str">
        <f t="shared" si="82"/>
        <v/>
      </c>
      <c r="J2652" t="b">
        <f t="shared" si="83"/>
        <v>0</v>
      </c>
    </row>
    <row r="2653" spans="3:10" x14ac:dyDescent="0.25">
      <c r="C2653" s="4"/>
      <c r="E2653" s="4"/>
      <c r="H2653" s="31" t="str">
        <f t="shared" si="82"/>
        <v/>
      </c>
      <c r="J2653" t="b">
        <f t="shared" si="83"/>
        <v>0</v>
      </c>
    </row>
    <row r="2654" spans="3:10" x14ac:dyDescent="0.25">
      <c r="C2654" s="4"/>
      <c r="E2654" s="4"/>
      <c r="H2654" s="31" t="str">
        <f t="shared" si="82"/>
        <v/>
      </c>
      <c r="J2654" t="b">
        <f t="shared" si="83"/>
        <v>0</v>
      </c>
    </row>
    <row r="2655" spans="3:10" x14ac:dyDescent="0.25">
      <c r="C2655" s="4"/>
      <c r="E2655" s="4"/>
      <c r="H2655" s="31" t="str">
        <f t="shared" si="82"/>
        <v/>
      </c>
      <c r="J2655" t="b">
        <f t="shared" si="83"/>
        <v>0</v>
      </c>
    </row>
    <row r="2656" spans="3:10" x14ac:dyDescent="0.25">
      <c r="C2656" s="4"/>
      <c r="E2656" s="4"/>
      <c r="H2656" s="31" t="str">
        <f t="shared" si="82"/>
        <v/>
      </c>
      <c r="J2656" t="b">
        <f t="shared" si="83"/>
        <v>0</v>
      </c>
    </row>
    <row r="2657" spans="3:10" x14ac:dyDescent="0.25">
      <c r="C2657" s="4"/>
      <c r="E2657" s="4"/>
      <c r="H2657" s="31" t="str">
        <f t="shared" si="82"/>
        <v/>
      </c>
      <c r="J2657" t="b">
        <f t="shared" si="83"/>
        <v>0</v>
      </c>
    </row>
    <row r="2658" spans="3:10" x14ac:dyDescent="0.25">
      <c r="C2658" s="4"/>
      <c r="E2658" s="4"/>
      <c r="H2658" s="31" t="str">
        <f t="shared" si="82"/>
        <v/>
      </c>
      <c r="J2658" t="b">
        <f t="shared" si="83"/>
        <v>0</v>
      </c>
    </row>
    <row r="2659" spans="3:10" x14ac:dyDescent="0.25">
      <c r="C2659" s="4"/>
      <c r="E2659" s="4"/>
      <c r="H2659" s="31" t="str">
        <f t="shared" si="82"/>
        <v/>
      </c>
      <c r="J2659" t="b">
        <f t="shared" si="83"/>
        <v>0</v>
      </c>
    </row>
    <row r="2660" spans="3:10" x14ac:dyDescent="0.25">
      <c r="C2660" s="4"/>
      <c r="E2660" s="4"/>
      <c r="H2660" s="31" t="str">
        <f t="shared" si="82"/>
        <v/>
      </c>
      <c r="J2660" t="b">
        <f t="shared" si="83"/>
        <v>0</v>
      </c>
    </row>
    <row r="2661" spans="3:10" x14ac:dyDescent="0.25">
      <c r="C2661" s="4"/>
      <c r="E2661" s="4"/>
      <c r="H2661" s="31" t="str">
        <f t="shared" si="82"/>
        <v/>
      </c>
      <c r="J2661" t="b">
        <f t="shared" si="83"/>
        <v>0</v>
      </c>
    </row>
    <row r="2662" spans="3:10" x14ac:dyDescent="0.25">
      <c r="C2662" s="4"/>
      <c r="E2662" s="4"/>
      <c r="H2662" s="31" t="str">
        <f t="shared" si="82"/>
        <v/>
      </c>
      <c r="J2662" t="b">
        <f t="shared" si="83"/>
        <v>0</v>
      </c>
    </row>
    <row r="2663" spans="3:10" x14ac:dyDescent="0.25">
      <c r="C2663" s="4"/>
      <c r="E2663" s="4"/>
      <c r="H2663" s="31" t="str">
        <f t="shared" si="82"/>
        <v/>
      </c>
      <c r="J2663" t="b">
        <f t="shared" si="83"/>
        <v>0</v>
      </c>
    </row>
    <row r="2664" spans="3:10" x14ac:dyDescent="0.25">
      <c r="C2664" s="4"/>
      <c r="E2664" s="4"/>
      <c r="H2664" s="31" t="str">
        <f t="shared" si="82"/>
        <v/>
      </c>
      <c r="J2664" t="b">
        <f t="shared" si="83"/>
        <v>0</v>
      </c>
    </row>
    <row r="2665" spans="3:10" x14ac:dyDescent="0.25">
      <c r="C2665" s="4"/>
      <c r="E2665" s="4"/>
      <c r="H2665" s="31" t="str">
        <f t="shared" si="82"/>
        <v/>
      </c>
      <c r="J2665" t="b">
        <f t="shared" si="83"/>
        <v>0</v>
      </c>
    </row>
    <row r="2666" spans="3:10" x14ac:dyDescent="0.25">
      <c r="C2666" s="4"/>
      <c r="E2666" s="4"/>
      <c r="H2666" s="31" t="str">
        <f t="shared" si="82"/>
        <v/>
      </c>
      <c r="J2666" t="b">
        <f t="shared" si="83"/>
        <v>0</v>
      </c>
    </row>
    <row r="2667" spans="3:10" x14ac:dyDescent="0.25">
      <c r="C2667" s="4"/>
      <c r="E2667" s="4"/>
      <c r="H2667" s="31" t="str">
        <f t="shared" si="82"/>
        <v/>
      </c>
      <c r="J2667" t="b">
        <f t="shared" si="83"/>
        <v>0</v>
      </c>
    </row>
    <row r="2668" spans="3:10" x14ac:dyDescent="0.25">
      <c r="C2668" s="4"/>
      <c r="E2668" s="4"/>
      <c r="H2668" s="31" t="str">
        <f t="shared" si="82"/>
        <v/>
      </c>
      <c r="J2668" t="b">
        <f t="shared" si="83"/>
        <v>0</v>
      </c>
    </row>
    <row r="2669" spans="3:10" x14ac:dyDescent="0.25">
      <c r="C2669" s="4"/>
      <c r="E2669" s="4"/>
      <c r="H2669" s="31" t="str">
        <f t="shared" si="82"/>
        <v/>
      </c>
      <c r="J2669" t="b">
        <f t="shared" si="83"/>
        <v>0</v>
      </c>
    </row>
    <row r="2670" spans="3:10" x14ac:dyDescent="0.25">
      <c r="C2670" s="4"/>
      <c r="E2670" s="4"/>
      <c r="H2670" s="31" t="str">
        <f t="shared" si="82"/>
        <v/>
      </c>
      <c r="J2670" t="b">
        <f t="shared" si="83"/>
        <v>0</v>
      </c>
    </row>
    <row r="2671" spans="3:10" x14ac:dyDescent="0.25">
      <c r="C2671" s="4"/>
      <c r="E2671" s="4"/>
      <c r="H2671" s="31" t="str">
        <f t="shared" si="82"/>
        <v/>
      </c>
      <c r="J2671" t="b">
        <f t="shared" si="83"/>
        <v>0</v>
      </c>
    </row>
    <row r="2672" spans="3:10" x14ac:dyDescent="0.25">
      <c r="C2672" s="4"/>
      <c r="E2672" s="4"/>
      <c r="H2672" s="31" t="str">
        <f t="shared" si="82"/>
        <v/>
      </c>
      <c r="J2672" t="b">
        <f t="shared" si="83"/>
        <v>0</v>
      </c>
    </row>
    <row r="2673" spans="3:10" x14ac:dyDescent="0.25">
      <c r="C2673" s="4"/>
      <c r="E2673" s="4"/>
      <c r="H2673" s="31" t="str">
        <f t="shared" si="82"/>
        <v/>
      </c>
      <c r="J2673" t="b">
        <f t="shared" si="83"/>
        <v>0</v>
      </c>
    </row>
    <row r="2674" spans="3:10" x14ac:dyDescent="0.25">
      <c r="C2674" s="4"/>
      <c r="E2674" s="4"/>
      <c r="H2674" s="31" t="str">
        <f t="shared" si="82"/>
        <v/>
      </c>
      <c r="J2674" t="b">
        <f t="shared" si="83"/>
        <v>0</v>
      </c>
    </row>
    <row r="2675" spans="3:10" x14ac:dyDescent="0.25">
      <c r="C2675" s="4"/>
      <c r="E2675" s="4"/>
      <c r="H2675" s="31" t="str">
        <f t="shared" si="82"/>
        <v/>
      </c>
      <c r="J2675" t="b">
        <f t="shared" si="83"/>
        <v>0</v>
      </c>
    </row>
    <row r="2676" spans="3:10" x14ac:dyDescent="0.25">
      <c r="C2676" s="4"/>
      <c r="E2676" s="4"/>
      <c r="H2676" s="31" t="str">
        <f t="shared" si="82"/>
        <v/>
      </c>
      <c r="J2676" t="b">
        <f t="shared" si="83"/>
        <v>0</v>
      </c>
    </row>
    <row r="2677" spans="3:10" x14ac:dyDescent="0.25">
      <c r="C2677" s="4"/>
      <c r="E2677" s="4"/>
      <c r="H2677" s="31" t="str">
        <f t="shared" si="82"/>
        <v/>
      </c>
      <c r="J2677" t="b">
        <f t="shared" si="83"/>
        <v>0</v>
      </c>
    </row>
    <row r="2678" spans="3:10" x14ac:dyDescent="0.25">
      <c r="C2678" s="4"/>
      <c r="E2678" s="4"/>
      <c r="H2678" s="31" t="str">
        <f t="shared" si="82"/>
        <v/>
      </c>
      <c r="J2678" t="b">
        <f t="shared" si="83"/>
        <v>0</v>
      </c>
    </row>
    <row r="2679" spans="3:10" x14ac:dyDescent="0.25">
      <c r="C2679" s="4"/>
      <c r="E2679" s="4"/>
      <c r="H2679" s="31" t="str">
        <f t="shared" si="82"/>
        <v/>
      </c>
      <c r="J2679" t="b">
        <f t="shared" si="83"/>
        <v>0</v>
      </c>
    </row>
    <row r="2680" spans="3:10" x14ac:dyDescent="0.25">
      <c r="C2680" s="4"/>
      <c r="E2680" s="4"/>
      <c r="H2680" s="31" t="str">
        <f t="shared" si="82"/>
        <v/>
      </c>
      <c r="J2680" t="b">
        <f t="shared" si="83"/>
        <v>0</v>
      </c>
    </row>
    <row r="2681" spans="3:10" x14ac:dyDescent="0.25">
      <c r="C2681" s="4"/>
      <c r="E2681" s="4"/>
      <c r="H2681" s="31" t="str">
        <f t="shared" si="82"/>
        <v/>
      </c>
      <c r="J2681" t="b">
        <f t="shared" si="83"/>
        <v>0</v>
      </c>
    </row>
    <row r="2682" spans="3:10" x14ac:dyDescent="0.25">
      <c r="C2682" s="4"/>
      <c r="E2682" s="4"/>
      <c r="H2682" s="31" t="str">
        <f t="shared" si="82"/>
        <v/>
      </c>
      <c r="J2682" t="b">
        <f t="shared" si="83"/>
        <v>0</v>
      </c>
    </row>
    <row r="2683" spans="3:10" x14ac:dyDescent="0.25">
      <c r="C2683" s="4"/>
      <c r="E2683" s="4"/>
      <c r="H2683" s="31" t="str">
        <f t="shared" si="82"/>
        <v/>
      </c>
      <c r="J2683" t="b">
        <f t="shared" si="83"/>
        <v>0</v>
      </c>
    </row>
    <row r="2684" spans="3:10" x14ac:dyDescent="0.25">
      <c r="C2684" s="4"/>
      <c r="E2684" s="4"/>
      <c r="H2684" s="31" t="str">
        <f t="shared" si="82"/>
        <v/>
      </c>
      <c r="J2684" t="b">
        <f t="shared" si="83"/>
        <v>0</v>
      </c>
    </row>
    <row r="2685" spans="3:10" x14ac:dyDescent="0.25">
      <c r="C2685" s="4"/>
      <c r="E2685" s="4"/>
      <c r="H2685" s="31" t="str">
        <f t="shared" si="82"/>
        <v/>
      </c>
      <c r="J2685" t="b">
        <f t="shared" si="83"/>
        <v>0</v>
      </c>
    </row>
    <row r="2686" spans="3:10" x14ac:dyDescent="0.25">
      <c r="C2686" s="4"/>
      <c r="E2686" s="4"/>
      <c r="H2686" s="31" t="str">
        <f t="shared" si="82"/>
        <v/>
      </c>
      <c r="J2686" t="b">
        <f t="shared" si="83"/>
        <v>0</v>
      </c>
    </row>
    <row r="2687" spans="3:10" x14ac:dyDescent="0.25">
      <c r="C2687" s="4"/>
      <c r="E2687" s="4"/>
      <c r="H2687" s="31" t="str">
        <f t="shared" si="82"/>
        <v/>
      </c>
      <c r="J2687" t="b">
        <f t="shared" si="83"/>
        <v>0</v>
      </c>
    </row>
    <row r="2688" spans="3:10" x14ac:dyDescent="0.25">
      <c r="C2688" s="4"/>
      <c r="E2688" s="4"/>
      <c r="H2688" s="31" t="str">
        <f t="shared" si="82"/>
        <v/>
      </c>
      <c r="J2688" t="b">
        <f t="shared" si="83"/>
        <v>0</v>
      </c>
    </row>
    <row r="2689" spans="3:10" x14ac:dyDescent="0.25">
      <c r="C2689" s="4"/>
      <c r="E2689" s="4"/>
      <c r="H2689" s="31" t="str">
        <f t="shared" si="82"/>
        <v/>
      </c>
      <c r="J2689" t="b">
        <f t="shared" si="83"/>
        <v>0</v>
      </c>
    </row>
    <row r="2690" spans="3:10" x14ac:dyDescent="0.25">
      <c r="C2690" s="4"/>
      <c r="E2690" s="4"/>
      <c r="H2690" s="31" t="str">
        <f t="shared" si="82"/>
        <v/>
      </c>
      <c r="J2690" t="b">
        <f t="shared" si="83"/>
        <v>0</v>
      </c>
    </row>
    <row r="2691" spans="3:10" x14ac:dyDescent="0.25">
      <c r="C2691" s="4"/>
      <c r="E2691" s="4"/>
      <c r="H2691" s="31" t="str">
        <f t="shared" si="82"/>
        <v/>
      </c>
      <c r="J2691" t="b">
        <f t="shared" si="83"/>
        <v>0</v>
      </c>
    </row>
    <row r="2692" spans="3:10" x14ac:dyDescent="0.25">
      <c r="C2692" s="4"/>
      <c r="E2692" s="4"/>
      <c r="H2692" s="31" t="str">
        <f t="shared" ref="H2692:H2755" si="84">IF($J2692=TRUE,"Il ne peut y avoir des valeurs dans les 2 méthodes",IF($D2692="kg/l",$C2692,IF($D2692="g/l",$C2692/1000,IF($D2692="lb/gal US",$C2692*0.454/3.785,IF($G2692="kg/l",($E2692/100)*$F2692,IF($G2692="g/l",($E2692/100)*$F2692/1000,IF($G2692="lb/gal US",($E2692/100)*$F2692*0.454/3.785,"")))))))</f>
        <v/>
      </c>
      <c r="J2692" t="b">
        <f t="shared" ref="J2692:J2755" si="85">IF(AND(OR($C2692&lt;&gt;"",$D2692&lt;&gt;""),OR($E2692&lt;&gt;"",F2692&lt;&gt;"",G2692&lt;&gt;"")),TRUE,FALSE)</f>
        <v>0</v>
      </c>
    </row>
    <row r="2693" spans="3:10" x14ac:dyDescent="0.25">
      <c r="C2693" s="4"/>
      <c r="E2693" s="4"/>
      <c r="H2693" s="31" t="str">
        <f t="shared" si="84"/>
        <v/>
      </c>
      <c r="J2693" t="b">
        <f t="shared" si="85"/>
        <v>0</v>
      </c>
    </row>
    <row r="2694" spans="3:10" x14ac:dyDescent="0.25">
      <c r="C2694" s="4"/>
      <c r="E2694" s="4"/>
      <c r="H2694" s="31" t="str">
        <f t="shared" si="84"/>
        <v/>
      </c>
      <c r="J2694" t="b">
        <f t="shared" si="85"/>
        <v>0</v>
      </c>
    </row>
    <row r="2695" spans="3:10" x14ac:dyDescent="0.25">
      <c r="C2695" s="4"/>
      <c r="E2695" s="4"/>
      <c r="H2695" s="31" t="str">
        <f t="shared" si="84"/>
        <v/>
      </c>
      <c r="J2695" t="b">
        <f t="shared" si="85"/>
        <v>0</v>
      </c>
    </row>
    <row r="2696" spans="3:10" x14ac:dyDescent="0.25">
      <c r="C2696" s="4"/>
      <c r="E2696" s="4"/>
      <c r="H2696" s="31" t="str">
        <f t="shared" si="84"/>
        <v/>
      </c>
      <c r="J2696" t="b">
        <f t="shared" si="85"/>
        <v>0</v>
      </c>
    </row>
    <row r="2697" spans="3:10" x14ac:dyDescent="0.25">
      <c r="C2697" s="4"/>
      <c r="E2697" s="4"/>
      <c r="H2697" s="31" t="str">
        <f t="shared" si="84"/>
        <v/>
      </c>
      <c r="J2697" t="b">
        <f t="shared" si="85"/>
        <v>0</v>
      </c>
    </row>
    <row r="2698" spans="3:10" x14ac:dyDescent="0.25">
      <c r="C2698" s="4"/>
      <c r="E2698" s="4"/>
      <c r="H2698" s="31" t="str">
        <f t="shared" si="84"/>
        <v/>
      </c>
      <c r="J2698" t="b">
        <f t="shared" si="85"/>
        <v>0</v>
      </c>
    </row>
    <row r="2699" spans="3:10" x14ac:dyDescent="0.25">
      <c r="C2699" s="4"/>
      <c r="E2699" s="4"/>
      <c r="H2699" s="31" t="str">
        <f t="shared" si="84"/>
        <v/>
      </c>
      <c r="J2699" t="b">
        <f t="shared" si="85"/>
        <v>0</v>
      </c>
    </row>
    <row r="2700" spans="3:10" x14ac:dyDescent="0.25">
      <c r="C2700" s="4"/>
      <c r="E2700" s="4"/>
      <c r="H2700" s="31" t="str">
        <f t="shared" si="84"/>
        <v/>
      </c>
      <c r="J2700" t="b">
        <f t="shared" si="85"/>
        <v>0</v>
      </c>
    </row>
    <row r="2701" spans="3:10" x14ac:dyDescent="0.25">
      <c r="C2701" s="4"/>
      <c r="E2701" s="4"/>
      <c r="H2701" s="31" t="str">
        <f t="shared" si="84"/>
        <v/>
      </c>
      <c r="J2701" t="b">
        <f t="shared" si="85"/>
        <v>0</v>
      </c>
    </row>
    <row r="2702" spans="3:10" x14ac:dyDescent="0.25">
      <c r="C2702" s="4"/>
      <c r="E2702" s="4"/>
      <c r="H2702" s="31" t="str">
        <f t="shared" si="84"/>
        <v/>
      </c>
      <c r="J2702" t="b">
        <f t="shared" si="85"/>
        <v>0</v>
      </c>
    </row>
    <row r="2703" spans="3:10" x14ac:dyDescent="0.25">
      <c r="C2703" s="4"/>
      <c r="E2703" s="4"/>
      <c r="H2703" s="31" t="str">
        <f t="shared" si="84"/>
        <v/>
      </c>
      <c r="J2703" t="b">
        <f t="shared" si="85"/>
        <v>0</v>
      </c>
    </row>
    <row r="2704" spans="3:10" x14ac:dyDescent="0.25">
      <c r="C2704" s="4"/>
      <c r="E2704" s="4"/>
      <c r="H2704" s="31" t="str">
        <f t="shared" si="84"/>
        <v/>
      </c>
      <c r="J2704" t="b">
        <f t="shared" si="85"/>
        <v>0</v>
      </c>
    </row>
    <row r="2705" spans="3:10" x14ac:dyDescent="0.25">
      <c r="C2705" s="4"/>
      <c r="E2705" s="4"/>
      <c r="H2705" s="31" t="str">
        <f t="shared" si="84"/>
        <v/>
      </c>
      <c r="J2705" t="b">
        <f t="shared" si="85"/>
        <v>0</v>
      </c>
    </row>
    <row r="2706" spans="3:10" x14ac:dyDescent="0.25">
      <c r="C2706" s="4"/>
      <c r="E2706" s="4"/>
      <c r="H2706" s="31" t="str">
        <f t="shared" si="84"/>
        <v/>
      </c>
      <c r="J2706" t="b">
        <f t="shared" si="85"/>
        <v>0</v>
      </c>
    </row>
    <row r="2707" spans="3:10" x14ac:dyDescent="0.25">
      <c r="C2707" s="4"/>
      <c r="E2707" s="4"/>
      <c r="H2707" s="31" t="str">
        <f t="shared" si="84"/>
        <v/>
      </c>
      <c r="J2707" t="b">
        <f t="shared" si="85"/>
        <v>0</v>
      </c>
    </row>
    <row r="2708" spans="3:10" x14ac:dyDescent="0.25">
      <c r="C2708" s="4"/>
      <c r="E2708" s="4"/>
      <c r="H2708" s="31" t="str">
        <f t="shared" si="84"/>
        <v/>
      </c>
      <c r="J2708" t="b">
        <f t="shared" si="85"/>
        <v>0</v>
      </c>
    </row>
    <row r="2709" spans="3:10" x14ac:dyDescent="0.25">
      <c r="C2709" s="4"/>
      <c r="E2709" s="4"/>
      <c r="H2709" s="31" t="str">
        <f t="shared" si="84"/>
        <v/>
      </c>
      <c r="J2709" t="b">
        <f t="shared" si="85"/>
        <v>0</v>
      </c>
    </row>
    <row r="2710" spans="3:10" x14ac:dyDescent="0.25">
      <c r="C2710" s="4"/>
      <c r="E2710" s="4"/>
      <c r="H2710" s="31" t="str">
        <f t="shared" si="84"/>
        <v/>
      </c>
      <c r="J2710" t="b">
        <f t="shared" si="85"/>
        <v>0</v>
      </c>
    </row>
    <row r="2711" spans="3:10" x14ac:dyDescent="0.25">
      <c r="C2711" s="4"/>
      <c r="E2711" s="4"/>
      <c r="H2711" s="31" t="str">
        <f t="shared" si="84"/>
        <v/>
      </c>
      <c r="J2711" t="b">
        <f t="shared" si="85"/>
        <v>0</v>
      </c>
    </row>
    <row r="2712" spans="3:10" x14ac:dyDescent="0.25">
      <c r="C2712" s="4"/>
      <c r="E2712" s="4"/>
      <c r="H2712" s="31" t="str">
        <f t="shared" si="84"/>
        <v/>
      </c>
      <c r="J2712" t="b">
        <f t="shared" si="85"/>
        <v>0</v>
      </c>
    </row>
    <row r="2713" spans="3:10" x14ac:dyDescent="0.25">
      <c r="C2713" s="4"/>
      <c r="E2713" s="4"/>
      <c r="H2713" s="31" t="str">
        <f t="shared" si="84"/>
        <v/>
      </c>
      <c r="J2713" t="b">
        <f t="shared" si="85"/>
        <v>0</v>
      </c>
    </row>
    <row r="2714" spans="3:10" x14ac:dyDescent="0.25">
      <c r="C2714" s="4"/>
      <c r="E2714" s="4"/>
      <c r="H2714" s="31" t="str">
        <f t="shared" si="84"/>
        <v/>
      </c>
      <c r="J2714" t="b">
        <f t="shared" si="85"/>
        <v>0</v>
      </c>
    </row>
    <row r="2715" spans="3:10" x14ac:dyDescent="0.25">
      <c r="C2715" s="4"/>
      <c r="E2715" s="4"/>
      <c r="H2715" s="31" t="str">
        <f t="shared" si="84"/>
        <v/>
      </c>
      <c r="J2715" t="b">
        <f t="shared" si="85"/>
        <v>0</v>
      </c>
    </row>
    <row r="2716" spans="3:10" x14ac:dyDescent="0.25">
      <c r="C2716" s="4"/>
      <c r="E2716" s="4"/>
      <c r="H2716" s="31" t="str">
        <f t="shared" si="84"/>
        <v/>
      </c>
      <c r="J2716" t="b">
        <f t="shared" si="85"/>
        <v>0</v>
      </c>
    </row>
    <row r="2717" spans="3:10" x14ac:dyDescent="0.25">
      <c r="C2717" s="4"/>
      <c r="E2717" s="4"/>
      <c r="H2717" s="31" t="str">
        <f t="shared" si="84"/>
        <v/>
      </c>
      <c r="J2717" t="b">
        <f t="shared" si="85"/>
        <v>0</v>
      </c>
    </row>
    <row r="2718" spans="3:10" x14ac:dyDescent="0.25">
      <c r="C2718" s="4"/>
      <c r="E2718" s="4"/>
      <c r="H2718" s="31" t="str">
        <f t="shared" si="84"/>
        <v/>
      </c>
      <c r="J2718" t="b">
        <f t="shared" si="85"/>
        <v>0</v>
      </c>
    </row>
    <row r="2719" spans="3:10" x14ac:dyDescent="0.25">
      <c r="C2719" s="4"/>
      <c r="E2719" s="4"/>
      <c r="H2719" s="31" t="str">
        <f t="shared" si="84"/>
        <v/>
      </c>
      <c r="J2719" t="b">
        <f t="shared" si="85"/>
        <v>0</v>
      </c>
    </row>
    <row r="2720" spans="3:10" x14ac:dyDescent="0.25">
      <c r="C2720" s="4"/>
      <c r="E2720" s="4"/>
      <c r="H2720" s="31" t="str">
        <f t="shared" si="84"/>
        <v/>
      </c>
      <c r="J2720" t="b">
        <f t="shared" si="85"/>
        <v>0</v>
      </c>
    </row>
    <row r="2721" spans="3:10" x14ac:dyDescent="0.25">
      <c r="C2721" s="4"/>
      <c r="E2721" s="4"/>
      <c r="H2721" s="31" t="str">
        <f t="shared" si="84"/>
        <v/>
      </c>
      <c r="J2721" t="b">
        <f t="shared" si="85"/>
        <v>0</v>
      </c>
    </row>
    <row r="2722" spans="3:10" x14ac:dyDescent="0.25">
      <c r="C2722" s="4"/>
      <c r="E2722" s="4"/>
      <c r="H2722" s="31" t="str">
        <f t="shared" si="84"/>
        <v/>
      </c>
      <c r="J2722" t="b">
        <f t="shared" si="85"/>
        <v>0</v>
      </c>
    </row>
    <row r="2723" spans="3:10" x14ac:dyDescent="0.25">
      <c r="C2723" s="4"/>
      <c r="E2723" s="4"/>
      <c r="H2723" s="31" t="str">
        <f t="shared" si="84"/>
        <v/>
      </c>
      <c r="J2723" t="b">
        <f t="shared" si="85"/>
        <v>0</v>
      </c>
    </row>
    <row r="2724" spans="3:10" x14ac:dyDescent="0.25">
      <c r="C2724" s="4"/>
      <c r="E2724" s="4"/>
      <c r="H2724" s="31" t="str">
        <f t="shared" si="84"/>
        <v/>
      </c>
      <c r="J2724" t="b">
        <f t="shared" si="85"/>
        <v>0</v>
      </c>
    </row>
    <row r="2725" spans="3:10" x14ac:dyDescent="0.25">
      <c r="C2725" s="4"/>
      <c r="E2725" s="4"/>
      <c r="H2725" s="31" t="str">
        <f t="shared" si="84"/>
        <v/>
      </c>
      <c r="J2725" t="b">
        <f t="shared" si="85"/>
        <v>0</v>
      </c>
    </row>
    <row r="2726" spans="3:10" x14ac:dyDescent="0.25">
      <c r="C2726" s="4"/>
      <c r="E2726" s="4"/>
      <c r="H2726" s="31" t="str">
        <f t="shared" si="84"/>
        <v/>
      </c>
      <c r="J2726" t="b">
        <f t="shared" si="85"/>
        <v>0</v>
      </c>
    </row>
    <row r="2727" spans="3:10" x14ac:dyDescent="0.25">
      <c r="C2727" s="4"/>
      <c r="E2727" s="4"/>
      <c r="H2727" s="31" t="str">
        <f t="shared" si="84"/>
        <v/>
      </c>
      <c r="J2727" t="b">
        <f t="shared" si="85"/>
        <v>0</v>
      </c>
    </row>
    <row r="2728" spans="3:10" x14ac:dyDescent="0.25">
      <c r="C2728" s="4"/>
      <c r="E2728" s="4"/>
      <c r="H2728" s="31" t="str">
        <f t="shared" si="84"/>
        <v/>
      </c>
      <c r="J2728" t="b">
        <f t="shared" si="85"/>
        <v>0</v>
      </c>
    </row>
    <row r="2729" spans="3:10" x14ac:dyDescent="0.25">
      <c r="C2729" s="4"/>
      <c r="E2729" s="4"/>
      <c r="H2729" s="31" t="str">
        <f t="shared" si="84"/>
        <v/>
      </c>
      <c r="J2729" t="b">
        <f t="shared" si="85"/>
        <v>0</v>
      </c>
    </row>
    <row r="2730" spans="3:10" x14ac:dyDescent="0.25">
      <c r="C2730" s="4"/>
      <c r="E2730" s="4"/>
      <c r="H2730" s="31" t="str">
        <f t="shared" si="84"/>
        <v/>
      </c>
      <c r="J2730" t="b">
        <f t="shared" si="85"/>
        <v>0</v>
      </c>
    </row>
    <row r="2731" spans="3:10" x14ac:dyDescent="0.25">
      <c r="C2731" s="4"/>
      <c r="E2731" s="4"/>
      <c r="H2731" s="31" t="str">
        <f t="shared" si="84"/>
        <v/>
      </c>
      <c r="J2731" t="b">
        <f t="shared" si="85"/>
        <v>0</v>
      </c>
    </row>
    <row r="2732" spans="3:10" x14ac:dyDescent="0.25">
      <c r="C2732" s="4"/>
      <c r="E2732" s="4"/>
      <c r="H2732" s="31" t="str">
        <f t="shared" si="84"/>
        <v/>
      </c>
      <c r="J2732" t="b">
        <f t="shared" si="85"/>
        <v>0</v>
      </c>
    </row>
    <row r="2733" spans="3:10" x14ac:dyDescent="0.25">
      <c r="C2733" s="4"/>
      <c r="E2733" s="4"/>
      <c r="H2733" s="31" t="str">
        <f t="shared" si="84"/>
        <v/>
      </c>
      <c r="J2733" t="b">
        <f t="shared" si="85"/>
        <v>0</v>
      </c>
    </row>
    <row r="2734" spans="3:10" x14ac:dyDescent="0.25">
      <c r="C2734" s="4"/>
      <c r="E2734" s="4"/>
      <c r="H2734" s="31" t="str">
        <f t="shared" si="84"/>
        <v/>
      </c>
      <c r="J2734" t="b">
        <f t="shared" si="85"/>
        <v>0</v>
      </c>
    </row>
    <row r="2735" spans="3:10" x14ac:dyDescent="0.25">
      <c r="C2735" s="4"/>
      <c r="E2735" s="4"/>
      <c r="H2735" s="31" t="str">
        <f t="shared" si="84"/>
        <v/>
      </c>
      <c r="J2735" t="b">
        <f t="shared" si="85"/>
        <v>0</v>
      </c>
    </row>
    <row r="2736" spans="3:10" x14ac:dyDescent="0.25">
      <c r="C2736" s="4"/>
      <c r="E2736" s="4"/>
      <c r="H2736" s="31" t="str">
        <f t="shared" si="84"/>
        <v/>
      </c>
      <c r="J2736" t="b">
        <f t="shared" si="85"/>
        <v>0</v>
      </c>
    </row>
    <row r="2737" spans="3:10" x14ac:dyDescent="0.25">
      <c r="C2737" s="4"/>
      <c r="E2737" s="4"/>
      <c r="H2737" s="31" t="str">
        <f t="shared" si="84"/>
        <v/>
      </c>
      <c r="J2737" t="b">
        <f t="shared" si="85"/>
        <v>0</v>
      </c>
    </row>
    <row r="2738" spans="3:10" x14ac:dyDescent="0.25">
      <c r="C2738" s="4"/>
      <c r="E2738" s="4"/>
      <c r="H2738" s="31" t="str">
        <f t="shared" si="84"/>
        <v/>
      </c>
      <c r="J2738" t="b">
        <f t="shared" si="85"/>
        <v>0</v>
      </c>
    </row>
    <row r="2739" spans="3:10" x14ac:dyDescent="0.25">
      <c r="C2739" s="4"/>
      <c r="E2739" s="4"/>
      <c r="H2739" s="31" t="str">
        <f t="shared" si="84"/>
        <v/>
      </c>
      <c r="J2739" t="b">
        <f t="shared" si="85"/>
        <v>0</v>
      </c>
    </row>
    <row r="2740" spans="3:10" x14ac:dyDescent="0.25">
      <c r="C2740" s="4"/>
      <c r="E2740" s="4"/>
      <c r="H2740" s="31" t="str">
        <f t="shared" si="84"/>
        <v/>
      </c>
      <c r="J2740" t="b">
        <f t="shared" si="85"/>
        <v>0</v>
      </c>
    </row>
    <row r="2741" spans="3:10" x14ac:dyDescent="0.25">
      <c r="C2741" s="4"/>
      <c r="E2741" s="4"/>
      <c r="H2741" s="31" t="str">
        <f t="shared" si="84"/>
        <v/>
      </c>
      <c r="J2741" t="b">
        <f t="shared" si="85"/>
        <v>0</v>
      </c>
    </row>
    <row r="2742" spans="3:10" x14ac:dyDescent="0.25">
      <c r="C2742" s="4"/>
      <c r="E2742" s="4"/>
      <c r="H2742" s="31" t="str">
        <f t="shared" si="84"/>
        <v/>
      </c>
      <c r="J2742" t="b">
        <f t="shared" si="85"/>
        <v>0</v>
      </c>
    </row>
    <row r="2743" spans="3:10" x14ac:dyDescent="0.25">
      <c r="C2743" s="4"/>
      <c r="E2743" s="4"/>
      <c r="H2743" s="31" t="str">
        <f t="shared" si="84"/>
        <v/>
      </c>
      <c r="J2743" t="b">
        <f t="shared" si="85"/>
        <v>0</v>
      </c>
    </row>
    <row r="2744" spans="3:10" x14ac:dyDescent="0.25">
      <c r="C2744" s="4"/>
      <c r="E2744" s="4"/>
      <c r="H2744" s="31" t="str">
        <f t="shared" si="84"/>
        <v/>
      </c>
      <c r="J2744" t="b">
        <f t="shared" si="85"/>
        <v>0</v>
      </c>
    </row>
    <row r="2745" spans="3:10" x14ac:dyDescent="0.25">
      <c r="C2745" s="4"/>
      <c r="E2745" s="4"/>
      <c r="H2745" s="31" t="str">
        <f t="shared" si="84"/>
        <v/>
      </c>
      <c r="J2745" t="b">
        <f t="shared" si="85"/>
        <v>0</v>
      </c>
    </row>
    <row r="2746" spans="3:10" x14ac:dyDescent="0.25">
      <c r="C2746" s="4"/>
      <c r="E2746" s="4"/>
      <c r="H2746" s="31" t="str">
        <f t="shared" si="84"/>
        <v/>
      </c>
      <c r="J2746" t="b">
        <f t="shared" si="85"/>
        <v>0</v>
      </c>
    </row>
    <row r="2747" spans="3:10" x14ac:dyDescent="0.25">
      <c r="C2747" s="4"/>
      <c r="E2747" s="4"/>
      <c r="H2747" s="31" t="str">
        <f t="shared" si="84"/>
        <v/>
      </c>
      <c r="J2747" t="b">
        <f t="shared" si="85"/>
        <v>0</v>
      </c>
    </row>
    <row r="2748" spans="3:10" x14ac:dyDescent="0.25">
      <c r="C2748" s="4"/>
      <c r="E2748" s="4"/>
      <c r="H2748" s="31" t="str">
        <f t="shared" si="84"/>
        <v/>
      </c>
      <c r="J2748" t="b">
        <f t="shared" si="85"/>
        <v>0</v>
      </c>
    </row>
    <row r="2749" spans="3:10" x14ac:dyDescent="0.25">
      <c r="C2749" s="4"/>
      <c r="E2749" s="4"/>
      <c r="H2749" s="31" t="str">
        <f t="shared" si="84"/>
        <v/>
      </c>
      <c r="J2749" t="b">
        <f t="shared" si="85"/>
        <v>0</v>
      </c>
    </row>
    <row r="2750" spans="3:10" x14ac:dyDescent="0.25">
      <c r="C2750" s="4"/>
      <c r="E2750" s="4"/>
      <c r="H2750" s="31" t="str">
        <f t="shared" si="84"/>
        <v/>
      </c>
      <c r="J2750" t="b">
        <f t="shared" si="85"/>
        <v>0</v>
      </c>
    </row>
    <row r="2751" spans="3:10" x14ac:dyDescent="0.25">
      <c r="C2751" s="4"/>
      <c r="E2751" s="4"/>
      <c r="H2751" s="31" t="str">
        <f t="shared" si="84"/>
        <v/>
      </c>
      <c r="J2751" t="b">
        <f t="shared" si="85"/>
        <v>0</v>
      </c>
    </row>
    <row r="2752" spans="3:10" x14ac:dyDescent="0.25">
      <c r="C2752" s="4"/>
      <c r="E2752" s="4"/>
      <c r="H2752" s="31" t="str">
        <f t="shared" si="84"/>
        <v/>
      </c>
      <c r="J2752" t="b">
        <f t="shared" si="85"/>
        <v>0</v>
      </c>
    </row>
    <row r="2753" spans="3:10" x14ac:dyDescent="0.25">
      <c r="C2753" s="4"/>
      <c r="E2753" s="4"/>
      <c r="H2753" s="31" t="str">
        <f t="shared" si="84"/>
        <v/>
      </c>
      <c r="J2753" t="b">
        <f t="shared" si="85"/>
        <v>0</v>
      </c>
    </row>
    <row r="2754" spans="3:10" x14ac:dyDescent="0.25">
      <c r="C2754" s="4"/>
      <c r="E2754" s="4"/>
      <c r="H2754" s="31" t="str">
        <f t="shared" si="84"/>
        <v/>
      </c>
      <c r="J2754" t="b">
        <f t="shared" si="85"/>
        <v>0</v>
      </c>
    </row>
    <row r="2755" spans="3:10" x14ac:dyDescent="0.25">
      <c r="C2755" s="4"/>
      <c r="E2755" s="4"/>
      <c r="H2755" s="31" t="str">
        <f t="shared" si="84"/>
        <v/>
      </c>
      <c r="J2755" t="b">
        <f t="shared" si="85"/>
        <v>0</v>
      </c>
    </row>
    <row r="2756" spans="3:10" x14ac:dyDescent="0.25">
      <c r="C2756" s="4"/>
      <c r="E2756" s="4"/>
      <c r="H2756" s="31" t="str">
        <f t="shared" ref="H2756:H2819" si="86">IF($J2756=TRUE,"Il ne peut y avoir des valeurs dans les 2 méthodes",IF($D2756="kg/l",$C2756,IF($D2756="g/l",$C2756/1000,IF($D2756="lb/gal US",$C2756*0.454/3.785,IF($G2756="kg/l",($E2756/100)*$F2756,IF($G2756="g/l",($E2756/100)*$F2756/1000,IF($G2756="lb/gal US",($E2756/100)*$F2756*0.454/3.785,"")))))))</f>
        <v/>
      </c>
      <c r="J2756" t="b">
        <f t="shared" ref="J2756:J2819" si="87">IF(AND(OR($C2756&lt;&gt;"",$D2756&lt;&gt;""),OR($E2756&lt;&gt;"",F2756&lt;&gt;"",G2756&lt;&gt;"")),TRUE,FALSE)</f>
        <v>0</v>
      </c>
    </row>
    <row r="2757" spans="3:10" x14ac:dyDescent="0.25">
      <c r="C2757" s="4"/>
      <c r="E2757" s="4"/>
      <c r="H2757" s="31" t="str">
        <f t="shared" si="86"/>
        <v/>
      </c>
      <c r="J2757" t="b">
        <f t="shared" si="87"/>
        <v>0</v>
      </c>
    </row>
    <row r="2758" spans="3:10" x14ac:dyDescent="0.25">
      <c r="C2758" s="4"/>
      <c r="E2758" s="4"/>
      <c r="H2758" s="31" t="str">
        <f t="shared" si="86"/>
        <v/>
      </c>
      <c r="J2758" t="b">
        <f t="shared" si="87"/>
        <v>0</v>
      </c>
    </row>
    <row r="2759" spans="3:10" x14ac:dyDescent="0.25">
      <c r="C2759" s="4"/>
      <c r="E2759" s="4"/>
      <c r="H2759" s="31" t="str">
        <f t="shared" si="86"/>
        <v/>
      </c>
      <c r="J2759" t="b">
        <f t="shared" si="87"/>
        <v>0</v>
      </c>
    </row>
    <row r="2760" spans="3:10" x14ac:dyDescent="0.25">
      <c r="C2760" s="4"/>
      <c r="E2760" s="4"/>
      <c r="H2760" s="31" t="str">
        <f t="shared" si="86"/>
        <v/>
      </c>
      <c r="J2760" t="b">
        <f t="shared" si="87"/>
        <v>0</v>
      </c>
    </row>
    <row r="2761" spans="3:10" x14ac:dyDescent="0.25">
      <c r="C2761" s="4"/>
      <c r="E2761" s="4"/>
      <c r="H2761" s="31" t="str">
        <f t="shared" si="86"/>
        <v/>
      </c>
      <c r="J2761" t="b">
        <f t="shared" si="87"/>
        <v>0</v>
      </c>
    </row>
    <row r="2762" spans="3:10" x14ac:dyDescent="0.25">
      <c r="C2762" s="4"/>
      <c r="E2762" s="4"/>
      <c r="H2762" s="31" t="str">
        <f t="shared" si="86"/>
        <v/>
      </c>
      <c r="J2762" t="b">
        <f t="shared" si="87"/>
        <v>0</v>
      </c>
    </row>
    <row r="2763" spans="3:10" x14ac:dyDescent="0.25">
      <c r="C2763" s="4"/>
      <c r="E2763" s="4"/>
      <c r="H2763" s="31" t="str">
        <f t="shared" si="86"/>
        <v/>
      </c>
      <c r="J2763" t="b">
        <f t="shared" si="87"/>
        <v>0</v>
      </c>
    </row>
    <row r="2764" spans="3:10" x14ac:dyDescent="0.25">
      <c r="C2764" s="4"/>
      <c r="E2764" s="4"/>
      <c r="H2764" s="31" t="str">
        <f t="shared" si="86"/>
        <v/>
      </c>
      <c r="J2764" t="b">
        <f t="shared" si="87"/>
        <v>0</v>
      </c>
    </row>
    <row r="2765" spans="3:10" x14ac:dyDescent="0.25">
      <c r="C2765" s="4"/>
      <c r="E2765" s="4"/>
      <c r="H2765" s="31" t="str">
        <f t="shared" si="86"/>
        <v/>
      </c>
      <c r="J2765" t="b">
        <f t="shared" si="87"/>
        <v>0</v>
      </c>
    </row>
    <row r="2766" spans="3:10" x14ac:dyDescent="0.25">
      <c r="C2766" s="4"/>
      <c r="E2766" s="4"/>
      <c r="H2766" s="31" t="str">
        <f t="shared" si="86"/>
        <v/>
      </c>
      <c r="J2766" t="b">
        <f t="shared" si="87"/>
        <v>0</v>
      </c>
    </row>
    <row r="2767" spans="3:10" x14ac:dyDescent="0.25">
      <c r="C2767" s="4"/>
      <c r="E2767" s="4"/>
      <c r="H2767" s="31" t="str">
        <f t="shared" si="86"/>
        <v/>
      </c>
      <c r="J2767" t="b">
        <f t="shared" si="87"/>
        <v>0</v>
      </c>
    </row>
    <row r="2768" spans="3:10" x14ac:dyDescent="0.25">
      <c r="C2768" s="4"/>
      <c r="E2768" s="4"/>
      <c r="H2768" s="31" t="str">
        <f t="shared" si="86"/>
        <v/>
      </c>
      <c r="J2768" t="b">
        <f t="shared" si="87"/>
        <v>0</v>
      </c>
    </row>
    <row r="2769" spans="3:10" x14ac:dyDescent="0.25">
      <c r="C2769" s="4"/>
      <c r="E2769" s="4"/>
      <c r="H2769" s="31" t="str">
        <f t="shared" si="86"/>
        <v/>
      </c>
      <c r="J2769" t="b">
        <f t="shared" si="87"/>
        <v>0</v>
      </c>
    </row>
    <row r="2770" spans="3:10" x14ac:dyDescent="0.25">
      <c r="C2770" s="4"/>
      <c r="E2770" s="4"/>
      <c r="H2770" s="31" t="str">
        <f t="shared" si="86"/>
        <v/>
      </c>
      <c r="J2770" t="b">
        <f t="shared" si="87"/>
        <v>0</v>
      </c>
    </row>
    <row r="2771" spans="3:10" x14ac:dyDescent="0.25">
      <c r="C2771" s="4"/>
      <c r="E2771" s="4"/>
      <c r="H2771" s="31" t="str">
        <f t="shared" si="86"/>
        <v/>
      </c>
      <c r="J2771" t="b">
        <f t="shared" si="87"/>
        <v>0</v>
      </c>
    </row>
    <row r="2772" spans="3:10" x14ac:dyDescent="0.25">
      <c r="C2772" s="4"/>
      <c r="E2772" s="4"/>
      <c r="H2772" s="31" t="str">
        <f t="shared" si="86"/>
        <v/>
      </c>
      <c r="J2772" t="b">
        <f t="shared" si="87"/>
        <v>0</v>
      </c>
    </row>
    <row r="2773" spans="3:10" x14ac:dyDescent="0.25">
      <c r="C2773" s="4"/>
      <c r="E2773" s="4"/>
      <c r="H2773" s="31" t="str">
        <f t="shared" si="86"/>
        <v/>
      </c>
      <c r="J2773" t="b">
        <f t="shared" si="87"/>
        <v>0</v>
      </c>
    </row>
    <row r="2774" spans="3:10" x14ac:dyDescent="0.25">
      <c r="C2774" s="4"/>
      <c r="E2774" s="4"/>
      <c r="H2774" s="31" t="str">
        <f t="shared" si="86"/>
        <v/>
      </c>
      <c r="J2774" t="b">
        <f t="shared" si="87"/>
        <v>0</v>
      </c>
    </row>
    <row r="2775" spans="3:10" x14ac:dyDescent="0.25">
      <c r="C2775" s="4"/>
      <c r="E2775" s="4"/>
      <c r="H2775" s="31" t="str">
        <f t="shared" si="86"/>
        <v/>
      </c>
      <c r="J2775" t="b">
        <f t="shared" si="87"/>
        <v>0</v>
      </c>
    </row>
    <row r="2776" spans="3:10" x14ac:dyDescent="0.25">
      <c r="C2776" s="4"/>
      <c r="E2776" s="4"/>
      <c r="H2776" s="31" t="str">
        <f t="shared" si="86"/>
        <v/>
      </c>
      <c r="J2776" t="b">
        <f t="shared" si="87"/>
        <v>0</v>
      </c>
    </row>
    <row r="2777" spans="3:10" x14ac:dyDescent="0.25">
      <c r="C2777" s="4"/>
      <c r="E2777" s="4"/>
      <c r="H2777" s="31" t="str">
        <f t="shared" si="86"/>
        <v/>
      </c>
      <c r="J2777" t="b">
        <f t="shared" si="87"/>
        <v>0</v>
      </c>
    </row>
    <row r="2778" spans="3:10" x14ac:dyDescent="0.25">
      <c r="C2778" s="4"/>
      <c r="E2778" s="4"/>
      <c r="H2778" s="31" t="str">
        <f t="shared" si="86"/>
        <v/>
      </c>
      <c r="J2778" t="b">
        <f t="shared" si="87"/>
        <v>0</v>
      </c>
    </row>
    <row r="2779" spans="3:10" x14ac:dyDescent="0.25">
      <c r="C2779" s="4"/>
      <c r="E2779" s="4"/>
      <c r="H2779" s="31" t="str">
        <f t="shared" si="86"/>
        <v/>
      </c>
      <c r="J2779" t="b">
        <f t="shared" si="87"/>
        <v>0</v>
      </c>
    </row>
    <row r="2780" spans="3:10" x14ac:dyDescent="0.25">
      <c r="C2780" s="4"/>
      <c r="E2780" s="4"/>
      <c r="H2780" s="31" t="str">
        <f t="shared" si="86"/>
        <v/>
      </c>
      <c r="J2780" t="b">
        <f t="shared" si="87"/>
        <v>0</v>
      </c>
    </row>
    <row r="2781" spans="3:10" x14ac:dyDescent="0.25">
      <c r="C2781" s="4"/>
      <c r="E2781" s="4"/>
      <c r="H2781" s="31" t="str">
        <f t="shared" si="86"/>
        <v/>
      </c>
      <c r="J2781" t="b">
        <f t="shared" si="87"/>
        <v>0</v>
      </c>
    </row>
    <row r="2782" spans="3:10" x14ac:dyDescent="0.25">
      <c r="C2782" s="4"/>
      <c r="E2782" s="4"/>
      <c r="H2782" s="31" t="str">
        <f t="shared" si="86"/>
        <v/>
      </c>
      <c r="J2782" t="b">
        <f t="shared" si="87"/>
        <v>0</v>
      </c>
    </row>
    <row r="2783" spans="3:10" x14ac:dyDescent="0.25">
      <c r="C2783" s="4"/>
      <c r="E2783" s="4"/>
      <c r="H2783" s="31" t="str">
        <f t="shared" si="86"/>
        <v/>
      </c>
      <c r="J2783" t="b">
        <f t="shared" si="87"/>
        <v>0</v>
      </c>
    </row>
    <row r="2784" spans="3:10" x14ac:dyDescent="0.25">
      <c r="C2784" s="4"/>
      <c r="E2784" s="4"/>
      <c r="H2784" s="31" t="str">
        <f t="shared" si="86"/>
        <v/>
      </c>
      <c r="J2784" t="b">
        <f t="shared" si="87"/>
        <v>0</v>
      </c>
    </row>
    <row r="2785" spans="3:10" x14ac:dyDescent="0.25">
      <c r="C2785" s="4"/>
      <c r="E2785" s="4"/>
      <c r="H2785" s="31" t="str">
        <f t="shared" si="86"/>
        <v/>
      </c>
      <c r="J2785" t="b">
        <f t="shared" si="87"/>
        <v>0</v>
      </c>
    </row>
    <row r="2786" spans="3:10" x14ac:dyDescent="0.25">
      <c r="C2786" s="4"/>
      <c r="E2786" s="4"/>
      <c r="H2786" s="31" t="str">
        <f t="shared" si="86"/>
        <v/>
      </c>
      <c r="J2786" t="b">
        <f t="shared" si="87"/>
        <v>0</v>
      </c>
    </row>
    <row r="2787" spans="3:10" x14ac:dyDescent="0.25">
      <c r="C2787" s="4"/>
      <c r="E2787" s="4"/>
      <c r="H2787" s="31" t="str">
        <f t="shared" si="86"/>
        <v/>
      </c>
      <c r="J2787" t="b">
        <f t="shared" si="87"/>
        <v>0</v>
      </c>
    </row>
    <row r="2788" spans="3:10" x14ac:dyDescent="0.25">
      <c r="C2788" s="4"/>
      <c r="E2788" s="4"/>
      <c r="H2788" s="31" t="str">
        <f t="shared" si="86"/>
        <v/>
      </c>
      <c r="J2788" t="b">
        <f t="shared" si="87"/>
        <v>0</v>
      </c>
    </row>
    <row r="2789" spans="3:10" x14ac:dyDescent="0.25">
      <c r="C2789" s="4"/>
      <c r="E2789" s="4"/>
      <c r="H2789" s="31" t="str">
        <f t="shared" si="86"/>
        <v/>
      </c>
      <c r="J2789" t="b">
        <f t="shared" si="87"/>
        <v>0</v>
      </c>
    </row>
    <row r="2790" spans="3:10" x14ac:dyDescent="0.25">
      <c r="C2790" s="4"/>
      <c r="E2790" s="4"/>
      <c r="H2790" s="31" t="str">
        <f t="shared" si="86"/>
        <v/>
      </c>
      <c r="J2790" t="b">
        <f t="shared" si="87"/>
        <v>0</v>
      </c>
    </row>
    <row r="2791" spans="3:10" x14ac:dyDescent="0.25">
      <c r="C2791" s="4"/>
      <c r="E2791" s="4"/>
      <c r="H2791" s="31" t="str">
        <f t="shared" si="86"/>
        <v/>
      </c>
      <c r="J2791" t="b">
        <f t="shared" si="87"/>
        <v>0</v>
      </c>
    </row>
    <row r="2792" spans="3:10" x14ac:dyDescent="0.25">
      <c r="C2792" s="4"/>
      <c r="E2792" s="4"/>
      <c r="H2792" s="31" t="str">
        <f t="shared" si="86"/>
        <v/>
      </c>
      <c r="J2792" t="b">
        <f t="shared" si="87"/>
        <v>0</v>
      </c>
    </row>
    <row r="2793" spans="3:10" x14ac:dyDescent="0.25">
      <c r="C2793" s="4"/>
      <c r="E2793" s="4"/>
      <c r="H2793" s="31" t="str">
        <f t="shared" si="86"/>
        <v/>
      </c>
      <c r="J2793" t="b">
        <f t="shared" si="87"/>
        <v>0</v>
      </c>
    </row>
    <row r="2794" spans="3:10" x14ac:dyDescent="0.25">
      <c r="C2794" s="4"/>
      <c r="E2794" s="4"/>
      <c r="H2794" s="31" t="str">
        <f t="shared" si="86"/>
        <v/>
      </c>
      <c r="J2794" t="b">
        <f t="shared" si="87"/>
        <v>0</v>
      </c>
    </row>
    <row r="2795" spans="3:10" x14ac:dyDescent="0.25">
      <c r="C2795" s="4"/>
      <c r="E2795" s="4"/>
      <c r="H2795" s="31" t="str">
        <f t="shared" si="86"/>
        <v/>
      </c>
      <c r="J2795" t="b">
        <f t="shared" si="87"/>
        <v>0</v>
      </c>
    </row>
    <row r="2796" spans="3:10" x14ac:dyDescent="0.25">
      <c r="C2796" s="4"/>
      <c r="E2796" s="4"/>
      <c r="H2796" s="31" t="str">
        <f t="shared" si="86"/>
        <v/>
      </c>
      <c r="J2796" t="b">
        <f t="shared" si="87"/>
        <v>0</v>
      </c>
    </row>
    <row r="2797" spans="3:10" x14ac:dyDescent="0.25">
      <c r="C2797" s="4"/>
      <c r="E2797" s="4"/>
      <c r="H2797" s="31" t="str">
        <f t="shared" si="86"/>
        <v/>
      </c>
      <c r="J2797" t="b">
        <f t="shared" si="87"/>
        <v>0</v>
      </c>
    </row>
    <row r="2798" spans="3:10" x14ac:dyDescent="0.25">
      <c r="C2798" s="4"/>
      <c r="E2798" s="4"/>
      <c r="H2798" s="31" t="str">
        <f t="shared" si="86"/>
        <v/>
      </c>
      <c r="J2798" t="b">
        <f t="shared" si="87"/>
        <v>0</v>
      </c>
    </row>
    <row r="2799" spans="3:10" x14ac:dyDescent="0.25">
      <c r="C2799" s="4"/>
      <c r="E2799" s="4"/>
      <c r="H2799" s="31" t="str">
        <f t="shared" si="86"/>
        <v/>
      </c>
      <c r="J2799" t="b">
        <f t="shared" si="87"/>
        <v>0</v>
      </c>
    </row>
    <row r="2800" spans="3:10" x14ac:dyDescent="0.25">
      <c r="C2800" s="4"/>
      <c r="E2800" s="4"/>
      <c r="H2800" s="31" t="str">
        <f t="shared" si="86"/>
        <v/>
      </c>
      <c r="J2800" t="b">
        <f t="shared" si="87"/>
        <v>0</v>
      </c>
    </row>
    <row r="2801" spans="3:10" x14ac:dyDescent="0.25">
      <c r="C2801" s="4"/>
      <c r="E2801" s="4"/>
      <c r="H2801" s="31" t="str">
        <f t="shared" si="86"/>
        <v/>
      </c>
      <c r="J2801" t="b">
        <f t="shared" si="87"/>
        <v>0</v>
      </c>
    </row>
    <row r="2802" spans="3:10" x14ac:dyDescent="0.25">
      <c r="C2802" s="4"/>
      <c r="E2802" s="4"/>
      <c r="H2802" s="31" t="str">
        <f t="shared" si="86"/>
        <v/>
      </c>
      <c r="J2802" t="b">
        <f t="shared" si="87"/>
        <v>0</v>
      </c>
    </row>
    <row r="2803" spans="3:10" x14ac:dyDescent="0.25">
      <c r="C2803" s="4"/>
      <c r="E2803" s="4"/>
      <c r="H2803" s="31" t="str">
        <f t="shared" si="86"/>
        <v/>
      </c>
      <c r="J2803" t="b">
        <f t="shared" si="87"/>
        <v>0</v>
      </c>
    </row>
    <row r="2804" spans="3:10" x14ac:dyDescent="0.25">
      <c r="C2804" s="4"/>
      <c r="E2804" s="4"/>
      <c r="H2804" s="31" t="str">
        <f t="shared" si="86"/>
        <v/>
      </c>
      <c r="J2804" t="b">
        <f t="shared" si="87"/>
        <v>0</v>
      </c>
    </row>
    <row r="2805" spans="3:10" x14ac:dyDescent="0.25">
      <c r="C2805" s="4"/>
      <c r="E2805" s="4"/>
      <c r="H2805" s="31" t="str">
        <f t="shared" si="86"/>
        <v/>
      </c>
      <c r="J2805" t="b">
        <f t="shared" si="87"/>
        <v>0</v>
      </c>
    </row>
    <row r="2806" spans="3:10" x14ac:dyDescent="0.25">
      <c r="C2806" s="4"/>
      <c r="E2806" s="4"/>
      <c r="H2806" s="31" t="str">
        <f t="shared" si="86"/>
        <v/>
      </c>
      <c r="J2806" t="b">
        <f t="shared" si="87"/>
        <v>0</v>
      </c>
    </row>
    <row r="2807" spans="3:10" x14ac:dyDescent="0.25">
      <c r="C2807" s="4"/>
      <c r="E2807" s="4"/>
      <c r="H2807" s="31" t="str">
        <f t="shared" si="86"/>
        <v/>
      </c>
      <c r="J2807" t="b">
        <f t="shared" si="87"/>
        <v>0</v>
      </c>
    </row>
    <row r="2808" spans="3:10" x14ac:dyDescent="0.25">
      <c r="C2808" s="4"/>
      <c r="E2808" s="4"/>
      <c r="H2808" s="31" t="str">
        <f t="shared" si="86"/>
        <v/>
      </c>
      <c r="J2808" t="b">
        <f t="shared" si="87"/>
        <v>0</v>
      </c>
    </row>
    <row r="2809" spans="3:10" x14ac:dyDescent="0.25">
      <c r="C2809" s="4"/>
      <c r="E2809" s="4"/>
      <c r="H2809" s="31" t="str">
        <f t="shared" si="86"/>
        <v/>
      </c>
      <c r="J2809" t="b">
        <f t="shared" si="87"/>
        <v>0</v>
      </c>
    </row>
    <row r="2810" spans="3:10" x14ac:dyDescent="0.25">
      <c r="C2810" s="4"/>
      <c r="E2810" s="4"/>
      <c r="H2810" s="31" t="str">
        <f t="shared" si="86"/>
        <v/>
      </c>
      <c r="J2810" t="b">
        <f t="shared" si="87"/>
        <v>0</v>
      </c>
    </row>
    <row r="2811" spans="3:10" x14ac:dyDescent="0.25">
      <c r="C2811" s="4"/>
      <c r="E2811" s="4"/>
      <c r="H2811" s="31" t="str">
        <f t="shared" si="86"/>
        <v/>
      </c>
      <c r="J2811" t="b">
        <f t="shared" si="87"/>
        <v>0</v>
      </c>
    </row>
    <row r="2812" spans="3:10" x14ac:dyDescent="0.25">
      <c r="C2812" s="4"/>
      <c r="E2812" s="4"/>
      <c r="H2812" s="31" t="str">
        <f t="shared" si="86"/>
        <v/>
      </c>
      <c r="J2812" t="b">
        <f t="shared" si="87"/>
        <v>0</v>
      </c>
    </row>
    <row r="2813" spans="3:10" x14ac:dyDescent="0.25">
      <c r="C2813" s="4"/>
      <c r="E2813" s="4"/>
      <c r="H2813" s="31" t="str">
        <f t="shared" si="86"/>
        <v/>
      </c>
      <c r="J2813" t="b">
        <f t="shared" si="87"/>
        <v>0</v>
      </c>
    </row>
    <row r="2814" spans="3:10" x14ac:dyDescent="0.25">
      <c r="C2814" s="4"/>
      <c r="E2814" s="4"/>
      <c r="H2814" s="31" t="str">
        <f t="shared" si="86"/>
        <v/>
      </c>
      <c r="J2814" t="b">
        <f t="shared" si="87"/>
        <v>0</v>
      </c>
    </row>
    <row r="2815" spans="3:10" x14ac:dyDescent="0.25">
      <c r="C2815" s="4"/>
      <c r="E2815" s="4"/>
      <c r="H2815" s="31" t="str">
        <f t="shared" si="86"/>
        <v/>
      </c>
      <c r="J2815" t="b">
        <f t="shared" si="87"/>
        <v>0</v>
      </c>
    </row>
    <row r="2816" spans="3:10" x14ac:dyDescent="0.25">
      <c r="C2816" s="4"/>
      <c r="E2816" s="4"/>
      <c r="H2816" s="31" t="str">
        <f t="shared" si="86"/>
        <v/>
      </c>
      <c r="J2816" t="b">
        <f t="shared" si="87"/>
        <v>0</v>
      </c>
    </row>
    <row r="2817" spans="3:10" x14ac:dyDescent="0.25">
      <c r="C2817" s="4"/>
      <c r="E2817" s="4"/>
      <c r="H2817" s="31" t="str">
        <f t="shared" si="86"/>
        <v/>
      </c>
      <c r="J2817" t="b">
        <f t="shared" si="87"/>
        <v>0</v>
      </c>
    </row>
    <row r="2818" spans="3:10" x14ac:dyDescent="0.25">
      <c r="C2818" s="4"/>
      <c r="E2818" s="4"/>
      <c r="H2818" s="31" t="str">
        <f t="shared" si="86"/>
        <v/>
      </c>
      <c r="J2818" t="b">
        <f t="shared" si="87"/>
        <v>0</v>
      </c>
    </row>
    <row r="2819" spans="3:10" x14ac:dyDescent="0.25">
      <c r="C2819" s="4"/>
      <c r="E2819" s="4"/>
      <c r="H2819" s="31" t="str">
        <f t="shared" si="86"/>
        <v/>
      </c>
      <c r="J2819" t="b">
        <f t="shared" si="87"/>
        <v>0</v>
      </c>
    </row>
    <row r="2820" spans="3:10" x14ac:dyDescent="0.25">
      <c r="C2820" s="4"/>
      <c r="E2820" s="4"/>
      <c r="H2820" s="31" t="str">
        <f t="shared" ref="H2820:H2883" si="88">IF($J2820=TRUE,"Il ne peut y avoir des valeurs dans les 2 méthodes",IF($D2820="kg/l",$C2820,IF($D2820="g/l",$C2820/1000,IF($D2820="lb/gal US",$C2820*0.454/3.785,IF($G2820="kg/l",($E2820/100)*$F2820,IF($G2820="g/l",($E2820/100)*$F2820/1000,IF($G2820="lb/gal US",($E2820/100)*$F2820*0.454/3.785,"")))))))</f>
        <v/>
      </c>
      <c r="J2820" t="b">
        <f t="shared" ref="J2820:J2883" si="89">IF(AND(OR($C2820&lt;&gt;"",$D2820&lt;&gt;""),OR($E2820&lt;&gt;"",F2820&lt;&gt;"",G2820&lt;&gt;"")),TRUE,FALSE)</f>
        <v>0</v>
      </c>
    </row>
    <row r="2821" spans="3:10" x14ac:dyDescent="0.25">
      <c r="C2821" s="4"/>
      <c r="E2821" s="4"/>
      <c r="H2821" s="31" t="str">
        <f t="shared" si="88"/>
        <v/>
      </c>
      <c r="J2821" t="b">
        <f t="shared" si="89"/>
        <v>0</v>
      </c>
    </row>
    <row r="2822" spans="3:10" x14ac:dyDescent="0.25">
      <c r="C2822" s="4"/>
      <c r="E2822" s="4"/>
      <c r="H2822" s="31" t="str">
        <f t="shared" si="88"/>
        <v/>
      </c>
      <c r="J2822" t="b">
        <f t="shared" si="89"/>
        <v>0</v>
      </c>
    </row>
    <row r="2823" spans="3:10" x14ac:dyDescent="0.25">
      <c r="C2823" s="4"/>
      <c r="E2823" s="4"/>
      <c r="H2823" s="31" t="str">
        <f t="shared" si="88"/>
        <v/>
      </c>
      <c r="J2823" t="b">
        <f t="shared" si="89"/>
        <v>0</v>
      </c>
    </row>
    <row r="2824" spans="3:10" x14ac:dyDescent="0.25">
      <c r="C2824" s="4"/>
      <c r="E2824" s="4"/>
      <c r="H2824" s="31" t="str">
        <f t="shared" si="88"/>
        <v/>
      </c>
      <c r="J2824" t="b">
        <f t="shared" si="89"/>
        <v>0</v>
      </c>
    </row>
    <row r="2825" spans="3:10" x14ac:dyDescent="0.25">
      <c r="C2825" s="4"/>
      <c r="E2825" s="4"/>
      <c r="H2825" s="31" t="str">
        <f t="shared" si="88"/>
        <v/>
      </c>
      <c r="J2825" t="b">
        <f t="shared" si="89"/>
        <v>0</v>
      </c>
    </row>
    <row r="2826" spans="3:10" x14ac:dyDescent="0.25">
      <c r="C2826" s="4"/>
      <c r="E2826" s="4"/>
      <c r="H2826" s="31" t="str">
        <f t="shared" si="88"/>
        <v/>
      </c>
      <c r="J2826" t="b">
        <f t="shared" si="89"/>
        <v>0</v>
      </c>
    </row>
    <row r="2827" spans="3:10" x14ac:dyDescent="0.25">
      <c r="C2827" s="4"/>
      <c r="E2827" s="4"/>
      <c r="H2827" s="31" t="str">
        <f t="shared" si="88"/>
        <v/>
      </c>
      <c r="J2827" t="b">
        <f t="shared" si="89"/>
        <v>0</v>
      </c>
    </row>
    <row r="2828" spans="3:10" x14ac:dyDescent="0.25">
      <c r="C2828" s="4"/>
      <c r="E2828" s="4"/>
      <c r="H2828" s="31" t="str">
        <f t="shared" si="88"/>
        <v/>
      </c>
      <c r="J2828" t="b">
        <f t="shared" si="89"/>
        <v>0</v>
      </c>
    </row>
    <row r="2829" spans="3:10" x14ac:dyDescent="0.25">
      <c r="C2829" s="4"/>
      <c r="E2829" s="4"/>
      <c r="H2829" s="31" t="str">
        <f t="shared" si="88"/>
        <v/>
      </c>
      <c r="J2829" t="b">
        <f t="shared" si="89"/>
        <v>0</v>
      </c>
    </row>
    <row r="2830" spans="3:10" x14ac:dyDescent="0.25">
      <c r="C2830" s="4"/>
      <c r="E2830" s="4"/>
      <c r="H2830" s="31" t="str">
        <f t="shared" si="88"/>
        <v/>
      </c>
      <c r="J2830" t="b">
        <f t="shared" si="89"/>
        <v>0</v>
      </c>
    </row>
    <row r="2831" spans="3:10" x14ac:dyDescent="0.25">
      <c r="C2831" s="4"/>
      <c r="E2831" s="4"/>
      <c r="H2831" s="31" t="str">
        <f t="shared" si="88"/>
        <v/>
      </c>
      <c r="J2831" t="b">
        <f t="shared" si="89"/>
        <v>0</v>
      </c>
    </row>
    <row r="2832" spans="3:10" x14ac:dyDescent="0.25">
      <c r="C2832" s="4"/>
      <c r="E2832" s="4"/>
      <c r="H2832" s="31" t="str">
        <f t="shared" si="88"/>
        <v/>
      </c>
      <c r="J2832" t="b">
        <f t="shared" si="89"/>
        <v>0</v>
      </c>
    </row>
    <row r="2833" spans="3:10" x14ac:dyDescent="0.25">
      <c r="C2833" s="4"/>
      <c r="E2833" s="4"/>
      <c r="H2833" s="31" t="str">
        <f t="shared" si="88"/>
        <v/>
      </c>
      <c r="J2833" t="b">
        <f t="shared" si="89"/>
        <v>0</v>
      </c>
    </row>
    <row r="2834" spans="3:10" x14ac:dyDescent="0.25">
      <c r="C2834" s="4"/>
      <c r="E2834" s="4"/>
      <c r="H2834" s="31" t="str">
        <f t="shared" si="88"/>
        <v/>
      </c>
      <c r="J2834" t="b">
        <f t="shared" si="89"/>
        <v>0</v>
      </c>
    </row>
    <row r="2835" spans="3:10" x14ac:dyDescent="0.25">
      <c r="C2835" s="4"/>
      <c r="E2835" s="4"/>
      <c r="H2835" s="31" t="str">
        <f t="shared" si="88"/>
        <v/>
      </c>
      <c r="J2835" t="b">
        <f t="shared" si="89"/>
        <v>0</v>
      </c>
    </row>
    <row r="2836" spans="3:10" x14ac:dyDescent="0.25">
      <c r="C2836" s="4"/>
      <c r="E2836" s="4"/>
      <c r="H2836" s="31" t="str">
        <f t="shared" si="88"/>
        <v/>
      </c>
      <c r="J2836" t="b">
        <f t="shared" si="89"/>
        <v>0</v>
      </c>
    </row>
    <row r="2837" spans="3:10" x14ac:dyDescent="0.25">
      <c r="C2837" s="4"/>
      <c r="E2837" s="4"/>
      <c r="H2837" s="31" t="str">
        <f t="shared" si="88"/>
        <v/>
      </c>
      <c r="J2837" t="b">
        <f t="shared" si="89"/>
        <v>0</v>
      </c>
    </row>
    <row r="2838" spans="3:10" x14ac:dyDescent="0.25">
      <c r="C2838" s="4"/>
      <c r="E2838" s="4"/>
      <c r="H2838" s="31" t="str">
        <f t="shared" si="88"/>
        <v/>
      </c>
      <c r="J2838" t="b">
        <f t="shared" si="89"/>
        <v>0</v>
      </c>
    </row>
    <row r="2839" spans="3:10" x14ac:dyDescent="0.25">
      <c r="C2839" s="4"/>
      <c r="E2839" s="4"/>
      <c r="H2839" s="31" t="str">
        <f t="shared" si="88"/>
        <v/>
      </c>
      <c r="J2839" t="b">
        <f t="shared" si="89"/>
        <v>0</v>
      </c>
    </row>
    <row r="2840" spans="3:10" x14ac:dyDescent="0.25">
      <c r="C2840" s="4"/>
      <c r="E2840" s="4"/>
      <c r="H2840" s="31" t="str">
        <f t="shared" si="88"/>
        <v/>
      </c>
      <c r="J2840" t="b">
        <f t="shared" si="89"/>
        <v>0</v>
      </c>
    </row>
    <row r="2841" spans="3:10" x14ac:dyDescent="0.25">
      <c r="C2841" s="4"/>
      <c r="E2841" s="4"/>
      <c r="H2841" s="31" t="str">
        <f t="shared" si="88"/>
        <v/>
      </c>
      <c r="J2841" t="b">
        <f t="shared" si="89"/>
        <v>0</v>
      </c>
    </row>
    <row r="2842" spans="3:10" x14ac:dyDescent="0.25">
      <c r="C2842" s="4"/>
      <c r="E2842" s="4"/>
      <c r="H2842" s="31" t="str">
        <f t="shared" si="88"/>
        <v/>
      </c>
      <c r="J2842" t="b">
        <f t="shared" si="89"/>
        <v>0</v>
      </c>
    </row>
    <row r="2843" spans="3:10" x14ac:dyDescent="0.25">
      <c r="C2843" s="4"/>
      <c r="E2843" s="4"/>
      <c r="H2843" s="31" t="str">
        <f t="shared" si="88"/>
        <v/>
      </c>
      <c r="J2843" t="b">
        <f t="shared" si="89"/>
        <v>0</v>
      </c>
    </row>
    <row r="2844" spans="3:10" x14ac:dyDescent="0.25">
      <c r="C2844" s="4"/>
      <c r="E2844" s="4"/>
      <c r="H2844" s="31" t="str">
        <f t="shared" si="88"/>
        <v/>
      </c>
      <c r="J2844" t="b">
        <f t="shared" si="89"/>
        <v>0</v>
      </c>
    </row>
    <row r="2845" spans="3:10" x14ac:dyDescent="0.25">
      <c r="C2845" s="4"/>
      <c r="E2845" s="4"/>
      <c r="H2845" s="31" t="str">
        <f t="shared" si="88"/>
        <v/>
      </c>
      <c r="J2845" t="b">
        <f t="shared" si="89"/>
        <v>0</v>
      </c>
    </row>
    <row r="2846" spans="3:10" x14ac:dyDescent="0.25">
      <c r="C2846" s="4"/>
      <c r="E2846" s="4"/>
      <c r="H2846" s="31" t="str">
        <f t="shared" si="88"/>
        <v/>
      </c>
      <c r="J2846" t="b">
        <f t="shared" si="89"/>
        <v>0</v>
      </c>
    </row>
    <row r="2847" spans="3:10" x14ac:dyDescent="0.25">
      <c r="C2847" s="4"/>
      <c r="E2847" s="4"/>
      <c r="H2847" s="31" t="str">
        <f t="shared" si="88"/>
        <v/>
      </c>
      <c r="J2847" t="b">
        <f t="shared" si="89"/>
        <v>0</v>
      </c>
    </row>
    <row r="2848" spans="3:10" x14ac:dyDescent="0.25">
      <c r="C2848" s="4"/>
      <c r="E2848" s="4"/>
      <c r="H2848" s="31" t="str">
        <f t="shared" si="88"/>
        <v/>
      </c>
      <c r="J2848" t="b">
        <f t="shared" si="89"/>
        <v>0</v>
      </c>
    </row>
    <row r="2849" spans="3:10" x14ac:dyDescent="0.25">
      <c r="C2849" s="4"/>
      <c r="E2849" s="4"/>
      <c r="H2849" s="31" t="str">
        <f t="shared" si="88"/>
        <v/>
      </c>
      <c r="J2849" t="b">
        <f t="shared" si="89"/>
        <v>0</v>
      </c>
    </row>
    <row r="2850" spans="3:10" x14ac:dyDescent="0.25">
      <c r="C2850" s="4"/>
      <c r="E2850" s="4"/>
      <c r="H2850" s="31" t="str">
        <f t="shared" si="88"/>
        <v/>
      </c>
      <c r="J2850" t="b">
        <f t="shared" si="89"/>
        <v>0</v>
      </c>
    </row>
    <row r="2851" spans="3:10" x14ac:dyDescent="0.25">
      <c r="C2851" s="4"/>
      <c r="E2851" s="4"/>
      <c r="H2851" s="31" t="str">
        <f t="shared" si="88"/>
        <v/>
      </c>
      <c r="J2851" t="b">
        <f t="shared" si="89"/>
        <v>0</v>
      </c>
    </row>
    <row r="2852" spans="3:10" x14ac:dyDescent="0.25">
      <c r="C2852" s="4"/>
      <c r="E2852" s="4"/>
      <c r="H2852" s="31" t="str">
        <f t="shared" si="88"/>
        <v/>
      </c>
      <c r="J2852" t="b">
        <f t="shared" si="89"/>
        <v>0</v>
      </c>
    </row>
    <row r="2853" spans="3:10" x14ac:dyDescent="0.25">
      <c r="C2853" s="4"/>
      <c r="E2853" s="4"/>
      <c r="H2853" s="31" t="str">
        <f t="shared" si="88"/>
        <v/>
      </c>
      <c r="J2853" t="b">
        <f t="shared" si="89"/>
        <v>0</v>
      </c>
    </row>
    <row r="2854" spans="3:10" x14ac:dyDescent="0.25">
      <c r="C2854" s="4"/>
      <c r="E2854" s="4"/>
      <c r="H2854" s="31" t="str">
        <f t="shared" si="88"/>
        <v/>
      </c>
      <c r="J2854" t="b">
        <f t="shared" si="89"/>
        <v>0</v>
      </c>
    </row>
    <row r="2855" spans="3:10" x14ac:dyDescent="0.25">
      <c r="C2855" s="4"/>
      <c r="E2855" s="4"/>
      <c r="H2855" s="31" t="str">
        <f t="shared" si="88"/>
        <v/>
      </c>
      <c r="J2855" t="b">
        <f t="shared" si="89"/>
        <v>0</v>
      </c>
    </row>
    <row r="2856" spans="3:10" x14ac:dyDescent="0.25">
      <c r="C2856" s="4"/>
      <c r="E2856" s="4"/>
      <c r="H2856" s="31" t="str">
        <f t="shared" si="88"/>
        <v/>
      </c>
      <c r="J2856" t="b">
        <f t="shared" si="89"/>
        <v>0</v>
      </c>
    </row>
    <row r="2857" spans="3:10" x14ac:dyDescent="0.25">
      <c r="C2857" s="4"/>
      <c r="E2857" s="4"/>
      <c r="H2857" s="31" t="str">
        <f t="shared" si="88"/>
        <v/>
      </c>
      <c r="J2857" t="b">
        <f t="shared" si="89"/>
        <v>0</v>
      </c>
    </row>
    <row r="2858" spans="3:10" x14ac:dyDescent="0.25">
      <c r="C2858" s="4"/>
      <c r="E2858" s="4"/>
      <c r="H2858" s="31" t="str">
        <f t="shared" si="88"/>
        <v/>
      </c>
      <c r="J2858" t="b">
        <f t="shared" si="89"/>
        <v>0</v>
      </c>
    </row>
    <row r="2859" spans="3:10" x14ac:dyDescent="0.25">
      <c r="C2859" s="4"/>
      <c r="E2859" s="4"/>
      <c r="H2859" s="31" t="str">
        <f t="shared" si="88"/>
        <v/>
      </c>
      <c r="J2859" t="b">
        <f t="shared" si="89"/>
        <v>0</v>
      </c>
    </row>
    <row r="2860" spans="3:10" x14ac:dyDescent="0.25">
      <c r="C2860" s="4"/>
      <c r="E2860" s="4"/>
      <c r="H2860" s="31" t="str">
        <f t="shared" si="88"/>
        <v/>
      </c>
      <c r="J2860" t="b">
        <f t="shared" si="89"/>
        <v>0</v>
      </c>
    </row>
    <row r="2861" spans="3:10" x14ac:dyDescent="0.25">
      <c r="C2861" s="4"/>
      <c r="E2861" s="4"/>
      <c r="H2861" s="31" t="str">
        <f t="shared" si="88"/>
        <v/>
      </c>
      <c r="J2861" t="b">
        <f t="shared" si="89"/>
        <v>0</v>
      </c>
    </row>
    <row r="2862" spans="3:10" x14ac:dyDescent="0.25">
      <c r="C2862" s="4"/>
      <c r="E2862" s="4"/>
      <c r="H2862" s="31" t="str">
        <f t="shared" si="88"/>
        <v/>
      </c>
      <c r="J2862" t="b">
        <f t="shared" si="89"/>
        <v>0</v>
      </c>
    </row>
    <row r="2863" spans="3:10" x14ac:dyDescent="0.25">
      <c r="C2863" s="4"/>
      <c r="E2863" s="4"/>
      <c r="H2863" s="31" t="str">
        <f t="shared" si="88"/>
        <v/>
      </c>
      <c r="J2863" t="b">
        <f t="shared" si="89"/>
        <v>0</v>
      </c>
    </row>
    <row r="2864" spans="3:10" x14ac:dyDescent="0.25">
      <c r="C2864" s="4"/>
      <c r="E2864" s="4"/>
      <c r="H2864" s="31" t="str">
        <f t="shared" si="88"/>
        <v/>
      </c>
      <c r="J2864" t="b">
        <f t="shared" si="89"/>
        <v>0</v>
      </c>
    </row>
    <row r="2865" spans="3:10" x14ac:dyDescent="0.25">
      <c r="C2865" s="4"/>
      <c r="E2865" s="4"/>
      <c r="H2865" s="31" t="str">
        <f t="shared" si="88"/>
        <v/>
      </c>
      <c r="J2865" t="b">
        <f t="shared" si="89"/>
        <v>0</v>
      </c>
    </row>
    <row r="2866" spans="3:10" x14ac:dyDescent="0.25">
      <c r="C2866" s="4"/>
      <c r="E2866" s="4"/>
      <c r="H2866" s="31" t="str">
        <f t="shared" si="88"/>
        <v/>
      </c>
      <c r="J2866" t="b">
        <f t="shared" si="89"/>
        <v>0</v>
      </c>
    </row>
    <row r="2867" spans="3:10" x14ac:dyDescent="0.25">
      <c r="C2867" s="4"/>
      <c r="E2867" s="4"/>
      <c r="H2867" s="31" t="str">
        <f t="shared" si="88"/>
        <v/>
      </c>
      <c r="J2867" t="b">
        <f t="shared" si="89"/>
        <v>0</v>
      </c>
    </row>
    <row r="2868" spans="3:10" x14ac:dyDescent="0.25">
      <c r="C2868" s="4"/>
      <c r="E2868" s="4"/>
      <c r="H2868" s="31" t="str">
        <f t="shared" si="88"/>
        <v/>
      </c>
      <c r="J2868" t="b">
        <f t="shared" si="89"/>
        <v>0</v>
      </c>
    </row>
    <row r="2869" spans="3:10" x14ac:dyDescent="0.25">
      <c r="C2869" s="4"/>
      <c r="E2869" s="4"/>
      <c r="H2869" s="31" t="str">
        <f t="shared" si="88"/>
        <v/>
      </c>
      <c r="J2869" t="b">
        <f t="shared" si="89"/>
        <v>0</v>
      </c>
    </row>
    <row r="2870" spans="3:10" x14ac:dyDescent="0.25">
      <c r="C2870" s="4"/>
      <c r="E2870" s="4"/>
      <c r="H2870" s="31" t="str">
        <f t="shared" si="88"/>
        <v/>
      </c>
      <c r="J2870" t="b">
        <f t="shared" si="89"/>
        <v>0</v>
      </c>
    </row>
    <row r="2871" spans="3:10" x14ac:dyDescent="0.25">
      <c r="C2871" s="4"/>
      <c r="E2871" s="4"/>
      <c r="H2871" s="31" t="str">
        <f t="shared" si="88"/>
        <v/>
      </c>
      <c r="J2871" t="b">
        <f t="shared" si="89"/>
        <v>0</v>
      </c>
    </row>
    <row r="2872" spans="3:10" x14ac:dyDescent="0.25">
      <c r="C2872" s="4"/>
      <c r="E2872" s="4"/>
      <c r="H2872" s="31" t="str">
        <f t="shared" si="88"/>
        <v/>
      </c>
      <c r="J2872" t="b">
        <f t="shared" si="89"/>
        <v>0</v>
      </c>
    </row>
    <row r="2873" spans="3:10" x14ac:dyDescent="0.25">
      <c r="C2873" s="4"/>
      <c r="E2873" s="4"/>
      <c r="H2873" s="31" t="str">
        <f t="shared" si="88"/>
        <v/>
      </c>
      <c r="J2873" t="b">
        <f t="shared" si="89"/>
        <v>0</v>
      </c>
    </row>
    <row r="2874" spans="3:10" x14ac:dyDescent="0.25">
      <c r="C2874" s="4"/>
      <c r="E2874" s="4"/>
      <c r="H2874" s="31" t="str">
        <f t="shared" si="88"/>
        <v/>
      </c>
      <c r="J2874" t="b">
        <f t="shared" si="89"/>
        <v>0</v>
      </c>
    </row>
    <row r="2875" spans="3:10" x14ac:dyDescent="0.25">
      <c r="C2875" s="4"/>
      <c r="E2875" s="4"/>
      <c r="H2875" s="31" t="str">
        <f t="shared" si="88"/>
        <v/>
      </c>
      <c r="J2875" t="b">
        <f t="shared" si="89"/>
        <v>0</v>
      </c>
    </row>
    <row r="2876" spans="3:10" x14ac:dyDescent="0.25">
      <c r="C2876" s="4"/>
      <c r="E2876" s="4"/>
      <c r="H2876" s="31" t="str">
        <f t="shared" si="88"/>
        <v/>
      </c>
      <c r="J2876" t="b">
        <f t="shared" si="89"/>
        <v>0</v>
      </c>
    </row>
    <row r="2877" spans="3:10" x14ac:dyDescent="0.25">
      <c r="C2877" s="4"/>
      <c r="E2877" s="4"/>
      <c r="H2877" s="31" t="str">
        <f t="shared" si="88"/>
        <v/>
      </c>
      <c r="J2877" t="b">
        <f t="shared" si="89"/>
        <v>0</v>
      </c>
    </row>
    <row r="2878" spans="3:10" x14ac:dyDescent="0.25">
      <c r="C2878" s="4"/>
      <c r="E2878" s="4"/>
      <c r="H2878" s="31" t="str">
        <f t="shared" si="88"/>
        <v/>
      </c>
      <c r="J2878" t="b">
        <f t="shared" si="89"/>
        <v>0</v>
      </c>
    </row>
    <row r="2879" spans="3:10" x14ac:dyDescent="0.25">
      <c r="C2879" s="4"/>
      <c r="E2879" s="4"/>
      <c r="H2879" s="31" t="str">
        <f t="shared" si="88"/>
        <v/>
      </c>
      <c r="J2879" t="b">
        <f t="shared" si="89"/>
        <v>0</v>
      </c>
    </row>
    <row r="2880" spans="3:10" x14ac:dyDescent="0.25">
      <c r="C2880" s="4"/>
      <c r="E2880" s="4"/>
      <c r="H2880" s="31" t="str">
        <f t="shared" si="88"/>
        <v/>
      </c>
      <c r="J2880" t="b">
        <f t="shared" si="89"/>
        <v>0</v>
      </c>
    </row>
    <row r="2881" spans="3:10" x14ac:dyDescent="0.25">
      <c r="C2881" s="4"/>
      <c r="E2881" s="4"/>
      <c r="H2881" s="31" t="str">
        <f t="shared" si="88"/>
        <v/>
      </c>
      <c r="J2881" t="b">
        <f t="shared" si="89"/>
        <v>0</v>
      </c>
    </row>
    <row r="2882" spans="3:10" x14ac:dyDescent="0.25">
      <c r="C2882" s="4"/>
      <c r="E2882" s="4"/>
      <c r="H2882" s="31" t="str">
        <f t="shared" si="88"/>
        <v/>
      </c>
      <c r="J2882" t="b">
        <f t="shared" si="89"/>
        <v>0</v>
      </c>
    </row>
    <row r="2883" spans="3:10" x14ac:dyDescent="0.25">
      <c r="C2883" s="4"/>
      <c r="E2883" s="4"/>
      <c r="H2883" s="31" t="str">
        <f t="shared" si="88"/>
        <v/>
      </c>
      <c r="J2883" t="b">
        <f t="shared" si="89"/>
        <v>0</v>
      </c>
    </row>
    <row r="2884" spans="3:10" x14ac:dyDescent="0.25">
      <c r="C2884" s="4"/>
      <c r="E2884" s="4"/>
      <c r="H2884" s="31" t="str">
        <f t="shared" ref="H2884:H2947" si="90">IF($J2884=TRUE,"Il ne peut y avoir des valeurs dans les 2 méthodes",IF($D2884="kg/l",$C2884,IF($D2884="g/l",$C2884/1000,IF($D2884="lb/gal US",$C2884*0.454/3.785,IF($G2884="kg/l",($E2884/100)*$F2884,IF($G2884="g/l",($E2884/100)*$F2884/1000,IF($G2884="lb/gal US",($E2884/100)*$F2884*0.454/3.785,"")))))))</f>
        <v/>
      </c>
      <c r="J2884" t="b">
        <f t="shared" ref="J2884:J2947" si="91">IF(AND(OR($C2884&lt;&gt;"",$D2884&lt;&gt;""),OR($E2884&lt;&gt;"",F2884&lt;&gt;"",G2884&lt;&gt;"")),TRUE,FALSE)</f>
        <v>0</v>
      </c>
    </row>
    <row r="2885" spans="3:10" x14ac:dyDescent="0.25">
      <c r="C2885" s="4"/>
      <c r="E2885" s="4"/>
      <c r="H2885" s="31" t="str">
        <f t="shared" si="90"/>
        <v/>
      </c>
      <c r="J2885" t="b">
        <f t="shared" si="91"/>
        <v>0</v>
      </c>
    </row>
    <row r="2886" spans="3:10" x14ac:dyDescent="0.25">
      <c r="C2886" s="4"/>
      <c r="E2886" s="4"/>
      <c r="H2886" s="31" t="str">
        <f t="shared" si="90"/>
        <v/>
      </c>
      <c r="J2886" t="b">
        <f t="shared" si="91"/>
        <v>0</v>
      </c>
    </row>
    <row r="2887" spans="3:10" x14ac:dyDescent="0.25">
      <c r="C2887" s="4"/>
      <c r="E2887" s="4"/>
      <c r="H2887" s="31" t="str">
        <f t="shared" si="90"/>
        <v/>
      </c>
      <c r="J2887" t="b">
        <f t="shared" si="91"/>
        <v>0</v>
      </c>
    </row>
    <row r="2888" spans="3:10" x14ac:dyDescent="0.25">
      <c r="C2888" s="4"/>
      <c r="E2888" s="4"/>
      <c r="H2888" s="31" t="str">
        <f t="shared" si="90"/>
        <v/>
      </c>
      <c r="J2888" t="b">
        <f t="shared" si="91"/>
        <v>0</v>
      </c>
    </row>
    <row r="2889" spans="3:10" x14ac:dyDescent="0.25">
      <c r="C2889" s="4"/>
      <c r="E2889" s="4"/>
      <c r="H2889" s="31" t="str">
        <f t="shared" si="90"/>
        <v/>
      </c>
      <c r="J2889" t="b">
        <f t="shared" si="91"/>
        <v>0</v>
      </c>
    </row>
    <row r="2890" spans="3:10" x14ac:dyDescent="0.25">
      <c r="C2890" s="4"/>
      <c r="E2890" s="4"/>
      <c r="H2890" s="31" t="str">
        <f t="shared" si="90"/>
        <v/>
      </c>
      <c r="J2890" t="b">
        <f t="shared" si="91"/>
        <v>0</v>
      </c>
    </row>
    <row r="2891" spans="3:10" x14ac:dyDescent="0.25">
      <c r="C2891" s="4"/>
      <c r="E2891" s="4"/>
      <c r="H2891" s="31" t="str">
        <f t="shared" si="90"/>
        <v/>
      </c>
      <c r="J2891" t="b">
        <f t="shared" si="91"/>
        <v>0</v>
      </c>
    </row>
    <row r="2892" spans="3:10" x14ac:dyDescent="0.25">
      <c r="C2892" s="4"/>
      <c r="E2892" s="4"/>
      <c r="H2892" s="31" t="str">
        <f t="shared" si="90"/>
        <v/>
      </c>
      <c r="J2892" t="b">
        <f t="shared" si="91"/>
        <v>0</v>
      </c>
    </row>
    <row r="2893" spans="3:10" x14ac:dyDescent="0.25">
      <c r="C2893" s="4"/>
      <c r="E2893" s="4"/>
      <c r="H2893" s="31" t="str">
        <f t="shared" si="90"/>
        <v/>
      </c>
      <c r="J2893" t="b">
        <f t="shared" si="91"/>
        <v>0</v>
      </c>
    </row>
    <row r="2894" spans="3:10" x14ac:dyDescent="0.25">
      <c r="C2894" s="4"/>
      <c r="E2894" s="4"/>
      <c r="H2894" s="31" t="str">
        <f t="shared" si="90"/>
        <v/>
      </c>
      <c r="J2894" t="b">
        <f t="shared" si="91"/>
        <v>0</v>
      </c>
    </row>
    <row r="2895" spans="3:10" x14ac:dyDescent="0.25">
      <c r="C2895" s="4"/>
      <c r="E2895" s="4"/>
      <c r="H2895" s="31" t="str">
        <f t="shared" si="90"/>
        <v/>
      </c>
      <c r="J2895" t="b">
        <f t="shared" si="91"/>
        <v>0</v>
      </c>
    </row>
    <row r="2896" spans="3:10" x14ac:dyDescent="0.25">
      <c r="C2896" s="4"/>
      <c r="E2896" s="4"/>
      <c r="H2896" s="31" t="str">
        <f t="shared" si="90"/>
        <v/>
      </c>
      <c r="J2896" t="b">
        <f t="shared" si="91"/>
        <v>0</v>
      </c>
    </row>
    <row r="2897" spans="3:10" x14ac:dyDescent="0.25">
      <c r="C2897" s="4"/>
      <c r="E2897" s="4"/>
      <c r="H2897" s="31" t="str">
        <f t="shared" si="90"/>
        <v/>
      </c>
      <c r="J2897" t="b">
        <f t="shared" si="91"/>
        <v>0</v>
      </c>
    </row>
    <row r="2898" spans="3:10" x14ac:dyDescent="0.25">
      <c r="C2898" s="4"/>
      <c r="E2898" s="4"/>
      <c r="H2898" s="31" t="str">
        <f t="shared" si="90"/>
        <v/>
      </c>
      <c r="J2898" t="b">
        <f t="shared" si="91"/>
        <v>0</v>
      </c>
    </row>
    <row r="2899" spans="3:10" x14ac:dyDescent="0.25">
      <c r="C2899" s="4"/>
      <c r="E2899" s="4"/>
      <c r="H2899" s="31" t="str">
        <f t="shared" si="90"/>
        <v/>
      </c>
      <c r="J2899" t="b">
        <f t="shared" si="91"/>
        <v>0</v>
      </c>
    </row>
    <row r="2900" spans="3:10" x14ac:dyDescent="0.25">
      <c r="C2900" s="4"/>
      <c r="E2900" s="4"/>
      <c r="H2900" s="31" t="str">
        <f t="shared" si="90"/>
        <v/>
      </c>
      <c r="J2900" t="b">
        <f t="shared" si="91"/>
        <v>0</v>
      </c>
    </row>
    <row r="2901" spans="3:10" x14ac:dyDescent="0.25">
      <c r="C2901" s="4"/>
      <c r="E2901" s="4"/>
      <c r="H2901" s="31" t="str">
        <f t="shared" si="90"/>
        <v/>
      </c>
      <c r="J2901" t="b">
        <f t="shared" si="91"/>
        <v>0</v>
      </c>
    </row>
    <row r="2902" spans="3:10" x14ac:dyDescent="0.25">
      <c r="C2902" s="4"/>
      <c r="E2902" s="4"/>
      <c r="H2902" s="31" t="str">
        <f t="shared" si="90"/>
        <v/>
      </c>
      <c r="J2902" t="b">
        <f t="shared" si="91"/>
        <v>0</v>
      </c>
    </row>
    <row r="2903" spans="3:10" x14ac:dyDescent="0.25">
      <c r="C2903" s="4"/>
      <c r="E2903" s="4"/>
      <c r="H2903" s="31" t="str">
        <f t="shared" si="90"/>
        <v/>
      </c>
      <c r="J2903" t="b">
        <f t="shared" si="91"/>
        <v>0</v>
      </c>
    </row>
    <row r="2904" spans="3:10" x14ac:dyDescent="0.25">
      <c r="C2904" s="4"/>
      <c r="E2904" s="4"/>
      <c r="H2904" s="31" t="str">
        <f t="shared" si="90"/>
        <v/>
      </c>
      <c r="J2904" t="b">
        <f t="shared" si="91"/>
        <v>0</v>
      </c>
    </row>
    <row r="2905" spans="3:10" x14ac:dyDescent="0.25">
      <c r="C2905" s="4"/>
      <c r="E2905" s="4"/>
      <c r="H2905" s="31" t="str">
        <f t="shared" si="90"/>
        <v/>
      </c>
      <c r="J2905" t="b">
        <f t="shared" si="91"/>
        <v>0</v>
      </c>
    </row>
    <row r="2906" spans="3:10" x14ac:dyDescent="0.25">
      <c r="C2906" s="4"/>
      <c r="E2906" s="4"/>
      <c r="H2906" s="31" t="str">
        <f t="shared" si="90"/>
        <v/>
      </c>
      <c r="J2906" t="b">
        <f t="shared" si="91"/>
        <v>0</v>
      </c>
    </row>
    <row r="2907" spans="3:10" x14ac:dyDescent="0.25">
      <c r="C2907" s="4"/>
      <c r="E2907" s="4"/>
      <c r="H2907" s="31" t="str">
        <f t="shared" si="90"/>
        <v/>
      </c>
      <c r="J2907" t="b">
        <f t="shared" si="91"/>
        <v>0</v>
      </c>
    </row>
    <row r="2908" spans="3:10" x14ac:dyDescent="0.25">
      <c r="C2908" s="4"/>
      <c r="E2908" s="4"/>
      <c r="H2908" s="31" t="str">
        <f t="shared" si="90"/>
        <v/>
      </c>
      <c r="J2908" t="b">
        <f t="shared" si="91"/>
        <v>0</v>
      </c>
    </row>
    <row r="2909" spans="3:10" x14ac:dyDescent="0.25">
      <c r="C2909" s="4"/>
      <c r="E2909" s="4"/>
      <c r="H2909" s="31" t="str">
        <f t="shared" si="90"/>
        <v/>
      </c>
      <c r="J2909" t="b">
        <f t="shared" si="91"/>
        <v>0</v>
      </c>
    </row>
    <row r="2910" spans="3:10" x14ac:dyDescent="0.25">
      <c r="C2910" s="4"/>
      <c r="E2910" s="4"/>
      <c r="H2910" s="31" t="str">
        <f t="shared" si="90"/>
        <v/>
      </c>
      <c r="J2910" t="b">
        <f t="shared" si="91"/>
        <v>0</v>
      </c>
    </row>
    <row r="2911" spans="3:10" x14ac:dyDescent="0.25">
      <c r="C2911" s="4"/>
      <c r="E2911" s="4"/>
      <c r="H2911" s="31" t="str">
        <f t="shared" si="90"/>
        <v/>
      </c>
      <c r="J2911" t="b">
        <f t="shared" si="91"/>
        <v>0</v>
      </c>
    </row>
    <row r="2912" spans="3:10" x14ac:dyDescent="0.25">
      <c r="C2912" s="4"/>
      <c r="E2912" s="4"/>
      <c r="H2912" s="31" t="str">
        <f t="shared" si="90"/>
        <v/>
      </c>
      <c r="J2912" t="b">
        <f t="shared" si="91"/>
        <v>0</v>
      </c>
    </row>
    <row r="2913" spans="3:10" x14ac:dyDescent="0.25">
      <c r="C2913" s="4"/>
      <c r="E2913" s="4"/>
      <c r="H2913" s="31" t="str">
        <f t="shared" si="90"/>
        <v/>
      </c>
      <c r="J2913" t="b">
        <f t="shared" si="91"/>
        <v>0</v>
      </c>
    </row>
    <row r="2914" spans="3:10" x14ac:dyDescent="0.25">
      <c r="C2914" s="4"/>
      <c r="E2914" s="4"/>
      <c r="H2914" s="31" t="str">
        <f t="shared" si="90"/>
        <v/>
      </c>
      <c r="J2914" t="b">
        <f t="shared" si="91"/>
        <v>0</v>
      </c>
    </row>
    <row r="2915" spans="3:10" x14ac:dyDescent="0.25">
      <c r="C2915" s="4"/>
      <c r="E2915" s="4"/>
      <c r="H2915" s="31" t="str">
        <f t="shared" si="90"/>
        <v/>
      </c>
      <c r="J2915" t="b">
        <f t="shared" si="91"/>
        <v>0</v>
      </c>
    </row>
    <row r="2916" spans="3:10" x14ac:dyDescent="0.25">
      <c r="C2916" s="4"/>
      <c r="E2916" s="4"/>
      <c r="H2916" s="31" t="str">
        <f t="shared" si="90"/>
        <v/>
      </c>
      <c r="J2916" t="b">
        <f t="shared" si="91"/>
        <v>0</v>
      </c>
    </row>
    <row r="2917" spans="3:10" x14ac:dyDescent="0.25">
      <c r="C2917" s="4"/>
      <c r="E2917" s="4"/>
      <c r="H2917" s="31" t="str">
        <f t="shared" si="90"/>
        <v/>
      </c>
      <c r="J2917" t="b">
        <f t="shared" si="91"/>
        <v>0</v>
      </c>
    </row>
    <row r="2918" spans="3:10" x14ac:dyDescent="0.25">
      <c r="C2918" s="4"/>
      <c r="E2918" s="4"/>
      <c r="H2918" s="31" t="str">
        <f t="shared" si="90"/>
        <v/>
      </c>
      <c r="J2918" t="b">
        <f t="shared" si="91"/>
        <v>0</v>
      </c>
    </row>
    <row r="2919" spans="3:10" x14ac:dyDescent="0.25">
      <c r="C2919" s="4"/>
      <c r="E2919" s="4"/>
      <c r="H2919" s="31" t="str">
        <f t="shared" si="90"/>
        <v/>
      </c>
      <c r="J2919" t="b">
        <f t="shared" si="91"/>
        <v>0</v>
      </c>
    </row>
    <row r="2920" spans="3:10" x14ac:dyDescent="0.25">
      <c r="C2920" s="4"/>
      <c r="E2920" s="4"/>
      <c r="H2920" s="31" t="str">
        <f t="shared" si="90"/>
        <v/>
      </c>
      <c r="J2920" t="b">
        <f t="shared" si="91"/>
        <v>0</v>
      </c>
    </row>
    <row r="2921" spans="3:10" x14ac:dyDescent="0.25">
      <c r="C2921" s="4"/>
      <c r="E2921" s="4"/>
      <c r="H2921" s="31" t="str">
        <f t="shared" si="90"/>
        <v/>
      </c>
      <c r="J2921" t="b">
        <f t="shared" si="91"/>
        <v>0</v>
      </c>
    </row>
    <row r="2922" spans="3:10" x14ac:dyDescent="0.25">
      <c r="C2922" s="4"/>
      <c r="E2922" s="4"/>
      <c r="H2922" s="31" t="str">
        <f t="shared" si="90"/>
        <v/>
      </c>
      <c r="J2922" t="b">
        <f t="shared" si="91"/>
        <v>0</v>
      </c>
    </row>
    <row r="2923" spans="3:10" x14ac:dyDescent="0.25">
      <c r="C2923" s="4"/>
      <c r="E2923" s="4"/>
      <c r="H2923" s="31" t="str">
        <f t="shared" si="90"/>
        <v/>
      </c>
      <c r="J2923" t="b">
        <f t="shared" si="91"/>
        <v>0</v>
      </c>
    </row>
    <row r="2924" spans="3:10" x14ac:dyDescent="0.25">
      <c r="C2924" s="4"/>
      <c r="E2924" s="4"/>
      <c r="H2924" s="31" t="str">
        <f t="shared" si="90"/>
        <v/>
      </c>
      <c r="J2924" t="b">
        <f t="shared" si="91"/>
        <v>0</v>
      </c>
    </row>
    <row r="2925" spans="3:10" x14ac:dyDescent="0.25">
      <c r="C2925" s="4"/>
      <c r="E2925" s="4"/>
      <c r="H2925" s="31" t="str">
        <f t="shared" si="90"/>
        <v/>
      </c>
      <c r="J2925" t="b">
        <f t="shared" si="91"/>
        <v>0</v>
      </c>
    </row>
    <row r="2926" spans="3:10" x14ac:dyDescent="0.25">
      <c r="C2926" s="4"/>
      <c r="E2926" s="4"/>
      <c r="H2926" s="31" t="str">
        <f t="shared" si="90"/>
        <v/>
      </c>
      <c r="J2926" t="b">
        <f t="shared" si="91"/>
        <v>0</v>
      </c>
    </row>
    <row r="2927" spans="3:10" x14ac:dyDescent="0.25">
      <c r="C2927" s="4"/>
      <c r="E2927" s="4"/>
      <c r="H2927" s="31" t="str">
        <f t="shared" si="90"/>
        <v/>
      </c>
      <c r="J2927" t="b">
        <f t="shared" si="91"/>
        <v>0</v>
      </c>
    </row>
    <row r="2928" spans="3:10" x14ac:dyDescent="0.25">
      <c r="C2928" s="4"/>
      <c r="E2928" s="4"/>
      <c r="H2928" s="31" t="str">
        <f t="shared" si="90"/>
        <v/>
      </c>
      <c r="J2928" t="b">
        <f t="shared" si="91"/>
        <v>0</v>
      </c>
    </row>
    <row r="2929" spans="3:10" x14ac:dyDescent="0.25">
      <c r="C2929" s="4"/>
      <c r="E2929" s="4"/>
      <c r="H2929" s="31" t="str">
        <f t="shared" si="90"/>
        <v/>
      </c>
      <c r="J2929" t="b">
        <f t="shared" si="91"/>
        <v>0</v>
      </c>
    </row>
    <row r="2930" spans="3:10" x14ac:dyDescent="0.25">
      <c r="C2930" s="4"/>
      <c r="E2930" s="4"/>
      <c r="H2930" s="31" t="str">
        <f t="shared" si="90"/>
        <v/>
      </c>
      <c r="J2930" t="b">
        <f t="shared" si="91"/>
        <v>0</v>
      </c>
    </row>
    <row r="2931" spans="3:10" x14ac:dyDescent="0.25">
      <c r="C2931" s="4"/>
      <c r="E2931" s="4"/>
      <c r="H2931" s="31" t="str">
        <f t="shared" si="90"/>
        <v/>
      </c>
      <c r="J2931" t="b">
        <f t="shared" si="91"/>
        <v>0</v>
      </c>
    </row>
    <row r="2932" spans="3:10" x14ac:dyDescent="0.25">
      <c r="C2932" s="4"/>
      <c r="E2932" s="4"/>
      <c r="H2932" s="31" t="str">
        <f t="shared" si="90"/>
        <v/>
      </c>
      <c r="J2932" t="b">
        <f t="shared" si="91"/>
        <v>0</v>
      </c>
    </row>
    <row r="2933" spans="3:10" x14ac:dyDescent="0.25">
      <c r="C2933" s="4"/>
      <c r="E2933" s="4"/>
      <c r="H2933" s="31" t="str">
        <f t="shared" si="90"/>
        <v/>
      </c>
      <c r="J2933" t="b">
        <f t="shared" si="91"/>
        <v>0</v>
      </c>
    </row>
    <row r="2934" spans="3:10" x14ac:dyDescent="0.25">
      <c r="C2934" s="4"/>
      <c r="E2934" s="4"/>
      <c r="H2934" s="31" t="str">
        <f t="shared" si="90"/>
        <v/>
      </c>
      <c r="J2934" t="b">
        <f t="shared" si="91"/>
        <v>0</v>
      </c>
    </row>
    <row r="2935" spans="3:10" x14ac:dyDescent="0.25">
      <c r="C2935" s="4"/>
      <c r="E2935" s="4"/>
      <c r="H2935" s="31" t="str">
        <f t="shared" si="90"/>
        <v/>
      </c>
      <c r="J2935" t="b">
        <f t="shared" si="91"/>
        <v>0</v>
      </c>
    </row>
    <row r="2936" spans="3:10" x14ac:dyDescent="0.25">
      <c r="C2936" s="4"/>
      <c r="E2936" s="4"/>
      <c r="H2936" s="31" t="str">
        <f t="shared" si="90"/>
        <v/>
      </c>
      <c r="J2936" t="b">
        <f t="shared" si="91"/>
        <v>0</v>
      </c>
    </row>
    <row r="2937" spans="3:10" x14ac:dyDescent="0.25">
      <c r="C2937" s="4"/>
      <c r="E2937" s="4"/>
      <c r="H2937" s="31" t="str">
        <f t="shared" si="90"/>
        <v/>
      </c>
      <c r="J2937" t="b">
        <f t="shared" si="91"/>
        <v>0</v>
      </c>
    </row>
    <row r="2938" spans="3:10" x14ac:dyDescent="0.25">
      <c r="C2938" s="4"/>
      <c r="E2938" s="4"/>
      <c r="H2938" s="31" t="str">
        <f t="shared" si="90"/>
        <v/>
      </c>
      <c r="J2938" t="b">
        <f t="shared" si="91"/>
        <v>0</v>
      </c>
    </row>
    <row r="2939" spans="3:10" x14ac:dyDescent="0.25">
      <c r="C2939" s="4"/>
      <c r="E2939" s="4"/>
      <c r="H2939" s="31" t="str">
        <f t="shared" si="90"/>
        <v/>
      </c>
      <c r="J2939" t="b">
        <f t="shared" si="91"/>
        <v>0</v>
      </c>
    </row>
    <row r="2940" spans="3:10" x14ac:dyDescent="0.25">
      <c r="C2940" s="4"/>
      <c r="E2940" s="4"/>
      <c r="H2940" s="31" t="str">
        <f t="shared" si="90"/>
        <v/>
      </c>
      <c r="J2940" t="b">
        <f t="shared" si="91"/>
        <v>0</v>
      </c>
    </row>
    <row r="2941" spans="3:10" x14ac:dyDescent="0.25">
      <c r="C2941" s="4"/>
      <c r="E2941" s="4"/>
      <c r="H2941" s="31" t="str">
        <f t="shared" si="90"/>
        <v/>
      </c>
      <c r="J2941" t="b">
        <f t="shared" si="91"/>
        <v>0</v>
      </c>
    </row>
    <row r="2942" spans="3:10" x14ac:dyDescent="0.25">
      <c r="C2942" s="4"/>
      <c r="E2942" s="4"/>
      <c r="H2942" s="31" t="str">
        <f t="shared" si="90"/>
        <v/>
      </c>
      <c r="J2942" t="b">
        <f t="shared" si="91"/>
        <v>0</v>
      </c>
    </row>
    <row r="2943" spans="3:10" x14ac:dyDescent="0.25">
      <c r="C2943" s="4"/>
      <c r="E2943" s="4"/>
      <c r="H2943" s="31" t="str">
        <f t="shared" si="90"/>
        <v/>
      </c>
      <c r="J2943" t="b">
        <f t="shared" si="91"/>
        <v>0</v>
      </c>
    </row>
    <row r="2944" spans="3:10" x14ac:dyDescent="0.25">
      <c r="C2944" s="4"/>
      <c r="E2944" s="4"/>
      <c r="H2944" s="31" t="str">
        <f t="shared" si="90"/>
        <v/>
      </c>
      <c r="J2944" t="b">
        <f t="shared" si="91"/>
        <v>0</v>
      </c>
    </row>
    <row r="2945" spans="3:10" x14ac:dyDescent="0.25">
      <c r="C2945" s="4"/>
      <c r="E2945" s="4"/>
      <c r="H2945" s="31" t="str">
        <f t="shared" si="90"/>
        <v/>
      </c>
      <c r="J2945" t="b">
        <f t="shared" si="91"/>
        <v>0</v>
      </c>
    </row>
    <row r="2946" spans="3:10" x14ac:dyDescent="0.25">
      <c r="C2946" s="4"/>
      <c r="E2946" s="4"/>
      <c r="H2946" s="31" t="str">
        <f t="shared" si="90"/>
        <v/>
      </c>
      <c r="J2946" t="b">
        <f t="shared" si="91"/>
        <v>0</v>
      </c>
    </row>
    <row r="2947" spans="3:10" x14ac:dyDescent="0.25">
      <c r="C2947" s="4"/>
      <c r="E2947" s="4"/>
      <c r="H2947" s="31" t="str">
        <f t="shared" si="90"/>
        <v/>
      </c>
      <c r="J2947" t="b">
        <f t="shared" si="91"/>
        <v>0</v>
      </c>
    </row>
    <row r="2948" spans="3:10" x14ac:dyDescent="0.25">
      <c r="C2948" s="4"/>
      <c r="E2948" s="4"/>
      <c r="H2948" s="31" t="str">
        <f t="shared" ref="H2948:H3011" si="92">IF($J2948=TRUE,"Il ne peut y avoir des valeurs dans les 2 méthodes",IF($D2948="kg/l",$C2948,IF($D2948="g/l",$C2948/1000,IF($D2948="lb/gal US",$C2948*0.454/3.785,IF($G2948="kg/l",($E2948/100)*$F2948,IF($G2948="g/l",($E2948/100)*$F2948/1000,IF($G2948="lb/gal US",($E2948/100)*$F2948*0.454/3.785,"")))))))</f>
        <v/>
      </c>
      <c r="J2948" t="b">
        <f t="shared" ref="J2948:J3011" si="93">IF(AND(OR($C2948&lt;&gt;"",$D2948&lt;&gt;""),OR($E2948&lt;&gt;"",F2948&lt;&gt;"",G2948&lt;&gt;"")),TRUE,FALSE)</f>
        <v>0</v>
      </c>
    </row>
    <row r="2949" spans="3:10" x14ac:dyDescent="0.25">
      <c r="C2949" s="4"/>
      <c r="E2949" s="4"/>
      <c r="H2949" s="31" t="str">
        <f t="shared" si="92"/>
        <v/>
      </c>
      <c r="J2949" t="b">
        <f t="shared" si="93"/>
        <v>0</v>
      </c>
    </row>
    <row r="2950" spans="3:10" x14ac:dyDescent="0.25">
      <c r="C2950" s="4"/>
      <c r="E2950" s="4"/>
      <c r="H2950" s="31" t="str">
        <f t="shared" si="92"/>
        <v/>
      </c>
      <c r="J2950" t="b">
        <f t="shared" si="93"/>
        <v>0</v>
      </c>
    </row>
    <row r="2951" spans="3:10" x14ac:dyDescent="0.25">
      <c r="C2951" s="4"/>
      <c r="E2951" s="4"/>
      <c r="H2951" s="31" t="str">
        <f t="shared" si="92"/>
        <v/>
      </c>
      <c r="J2951" t="b">
        <f t="shared" si="93"/>
        <v>0</v>
      </c>
    </row>
    <row r="2952" spans="3:10" x14ac:dyDescent="0.25">
      <c r="C2952" s="4"/>
      <c r="E2952" s="4"/>
      <c r="H2952" s="31" t="str">
        <f t="shared" si="92"/>
        <v/>
      </c>
      <c r="J2952" t="b">
        <f t="shared" si="93"/>
        <v>0</v>
      </c>
    </row>
    <row r="2953" spans="3:10" x14ac:dyDescent="0.25">
      <c r="C2953" s="4"/>
      <c r="E2953" s="4"/>
      <c r="H2953" s="31" t="str">
        <f t="shared" si="92"/>
        <v/>
      </c>
      <c r="J2953" t="b">
        <f t="shared" si="93"/>
        <v>0</v>
      </c>
    </row>
    <row r="2954" spans="3:10" x14ac:dyDescent="0.25">
      <c r="C2954" s="4"/>
      <c r="E2954" s="4"/>
      <c r="H2954" s="31" t="str">
        <f t="shared" si="92"/>
        <v/>
      </c>
      <c r="J2954" t="b">
        <f t="shared" si="93"/>
        <v>0</v>
      </c>
    </row>
    <row r="2955" spans="3:10" x14ac:dyDescent="0.25">
      <c r="C2955" s="4"/>
      <c r="E2955" s="4"/>
      <c r="H2955" s="31" t="str">
        <f t="shared" si="92"/>
        <v/>
      </c>
      <c r="J2955" t="b">
        <f t="shared" si="93"/>
        <v>0</v>
      </c>
    </row>
    <row r="2956" spans="3:10" x14ac:dyDescent="0.25">
      <c r="C2956" s="4"/>
      <c r="E2956" s="4"/>
      <c r="H2956" s="31" t="str">
        <f t="shared" si="92"/>
        <v/>
      </c>
      <c r="J2956" t="b">
        <f t="shared" si="93"/>
        <v>0</v>
      </c>
    </row>
    <row r="2957" spans="3:10" x14ac:dyDescent="0.25">
      <c r="C2957" s="4"/>
      <c r="E2957" s="4"/>
      <c r="H2957" s="31" t="str">
        <f t="shared" si="92"/>
        <v/>
      </c>
      <c r="J2957" t="b">
        <f t="shared" si="93"/>
        <v>0</v>
      </c>
    </row>
    <row r="2958" spans="3:10" x14ac:dyDescent="0.25">
      <c r="C2958" s="4"/>
      <c r="E2958" s="4"/>
      <c r="H2958" s="31" t="str">
        <f t="shared" si="92"/>
        <v/>
      </c>
      <c r="J2958" t="b">
        <f t="shared" si="93"/>
        <v>0</v>
      </c>
    </row>
    <row r="2959" spans="3:10" x14ac:dyDescent="0.25">
      <c r="C2959" s="4"/>
      <c r="E2959" s="4"/>
      <c r="H2959" s="31" t="str">
        <f t="shared" si="92"/>
        <v/>
      </c>
      <c r="J2959" t="b">
        <f t="shared" si="93"/>
        <v>0</v>
      </c>
    </row>
    <row r="2960" spans="3:10" x14ac:dyDescent="0.25">
      <c r="C2960" s="4"/>
      <c r="E2960" s="4"/>
      <c r="H2960" s="31" t="str">
        <f t="shared" si="92"/>
        <v/>
      </c>
      <c r="J2960" t="b">
        <f t="shared" si="93"/>
        <v>0</v>
      </c>
    </row>
    <row r="2961" spans="3:10" x14ac:dyDescent="0.25">
      <c r="C2961" s="4"/>
      <c r="E2961" s="4"/>
      <c r="H2961" s="31" t="str">
        <f t="shared" si="92"/>
        <v/>
      </c>
      <c r="J2961" t="b">
        <f t="shared" si="93"/>
        <v>0</v>
      </c>
    </row>
    <row r="2962" spans="3:10" x14ac:dyDescent="0.25">
      <c r="C2962" s="4"/>
      <c r="E2962" s="4"/>
      <c r="H2962" s="31" t="str">
        <f t="shared" si="92"/>
        <v/>
      </c>
      <c r="J2962" t="b">
        <f t="shared" si="93"/>
        <v>0</v>
      </c>
    </row>
    <row r="2963" spans="3:10" x14ac:dyDescent="0.25">
      <c r="C2963" s="4"/>
      <c r="E2963" s="4"/>
      <c r="H2963" s="31" t="str">
        <f t="shared" si="92"/>
        <v/>
      </c>
      <c r="J2963" t="b">
        <f t="shared" si="93"/>
        <v>0</v>
      </c>
    </row>
    <row r="2964" spans="3:10" x14ac:dyDescent="0.25">
      <c r="C2964" s="4"/>
      <c r="E2964" s="4"/>
      <c r="H2964" s="31" t="str">
        <f t="shared" si="92"/>
        <v/>
      </c>
      <c r="J2964" t="b">
        <f t="shared" si="93"/>
        <v>0</v>
      </c>
    </row>
    <row r="2965" spans="3:10" x14ac:dyDescent="0.25">
      <c r="C2965" s="4"/>
      <c r="E2965" s="4"/>
      <c r="H2965" s="31" t="str">
        <f t="shared" si="92"/>
        <v/>
      </c>
      <c r="J2965" t="b">
        <f t="shared" si="93"/>
        <v>0</v>
      </c>
    </row>
    <row r="2966" spans="3:10" x14ac:dyDescent="0.25">
      <c r="C2966" s="4"/>
      <c r="E2966" s="4"/>
      <c r="H2966" s="31" t="str">
        <f t="shared" si="92"/>
        <v/>
      </c>
      <c r="J2966" t="b">
        <f t="shared" si="93"/>
        <v>0</v>
      </c>
    </row>
    <row r="2967" spans="3:10" x14ac:dyDescent="0.25">
      <c r="C2967" s="4"/>
      <c r="E2967" s="4"/>
      <c r="H2967" s="31" t="str">
        <f t="shared" si="92"/>
        <v/>
      </c>
      <c r="J2967" t="b">
        <f t="shared" si="93"/>
        <v>0</v>
      </c>
    </row>
    <row r="2968" spans="3:10" x14ac:dyDescent="0.25">
      <c r="C2968" s="4"/>
      <c r="E2968" s="4"/>
      <c r="H2968" s="31" t="str">
        <f t="shared" si="92"/>
        <v/>
      </c>
      <c r="J2968" t="b">
        <f t="shared" si="93"/>
        <v>0</v>
      </c>
    </row>
    <row r="2969" spans="3:10" x14ac:dyDescent="0.25">
      <c r="C2969" s="4"/>
      <c r="E2969" s="4"/>
      <c r="H2969" s="31" t="str">
        <f t="shared" si="92"/>
        <v/>
      </c>
      <c r="J2969" t="b">
        <f t="shared" si="93"/>
        <v>0</v>
      </c>
    </row>
    <row r="2970" spans="3:10" x14ac:dyDescent="0.25">
      <c r="C2970" s="4"/>
      <c r="E2970" s="4"/>
      <c r="H2970" s="31" t="str">
        <f t="shared" si="92"/>
        <v/>
      </c>
      <c r="J2970" t="b">
        <f t="shared" si="93"/>
        <v>0</v>
      </c>
    </row>
    <row r="2971" spans="3:10" x14ac:dyDescent="0.25">
      <c r="C2971" s="4"/>
      <c r="E2971" s="4"/>
      <c r="H2971" s="31" t="str">
        <f t="shared" si="92"/>
        <v/>
      </c>
      <c r="J2971" t="b">
        <f t="shared" si="93"/>
        <v>0</v>
      </c>
    </row>
    <row r="2972" spans="3:10" x14ac:dyDescent="0.25">
      <c r="C2972" s="4"/>
      <c r="E2972" s="4"/>
      <c r="H2972" s="31" t="str">
        <f t="shared" si="92"/>
        <v/>
      </c>
      <c r="J2972" t="b">
        <f t="shared" si="93"/>
        <v>0</v>
      </c>
    </row>
    <row r="2973" spans="3:10" x14ac:dyDescent="0.25">
      <c r="C2973" s="4"/>
      <c r="E2973" s="4"/>
      <c r="H2973" s="31" t="str">
        <f t="shared" si="92"/>
        <v/>
      </c>
      <c r="J2973" t="b">
        <f t="shared" si="93"/>
        <v>0</v>
      </c>
    </row>
    <row r="2974" spans="3:10" x14ac:dyDescent="0.25">
      <c r="C2974" s="4"/>
      <c r="E2974" s="4"/>
      <c r="H2974" s="31" t="str">
        <f t="shared" si="92"/>
        <v/>
      </c>
      <c r="J2974" t="b">
        <f t="shared" si="93"/>
        <v>0</v>
      </c>
    </row>
    <row r="2975" spans="3:10" x14ac:dyDescent="0.25">
      <c r="C2975" s="4"/>
      <c r="E2975" s="4"/>
      <c r="H2975" s="31" t="str">
        <f t="shared" si="92"/>
        <v/>
      </c>
      <c r="J2975" t="b">
        <f t="shared" si="93"/>
        <v>0</v>
      </c>
    </row>
    <row r="2976" spans="3:10" x14ac:dyDescent="0.25">
      <c r="C2976" s="4"/>
      <c r="E2976" s="4"/>
      <c r="H2976" s="31" t="str">
        <f t="shared" si="92"/>
        <v/>
      </c>
      <c r="J2976" t="b">
        <f t="shared" si="93"/>
        <v>0</v>
      </c>
    </row>
    <row r="2977" spans="3:10" x14ac:dyDescent="0.25">
      <c r="C2977" s="4"/>
      <c r="E2977" s="4"/>
      <c r="H2977" s="31" t="str">
        <f t="shared" si="92"/>
        <v/>
      </c>
      <c r="J2977" t="b">
        <f t="shared" si="93"/>
        <v>0</v>
      </c>
    </row>
    <row r="2978" spans="3:10" x14ac:dyDescent="0.25">
      <c r="C2978" s="4"/>
      <c r="E2978" s="4"/>
      <c r="H2978" s="31" t="str">
        <f t="shared" si="92"/>
        <v/>
      </c>
      <c r="J2978" t="b">
        <f t="shared" si="93"/>
        <v>0</v>
      </c>
    </row>
    <row r="2979" spans="3:10" x14ac:dyDescent="0.25">
      <c r="C2979" s="4"/>
      <c r="E2979" s="4"/>
      <c r="H2979" s="31" t="str">
        <f t="shared" si="92"/>
        <v/>
      </c>
      <c r="J2979" t="b">
        <f t="shared" si="93"/>
        <v>0</v>
      </c>
    </row>
    <row r="2980" spans="3:10" x14ac:dyDescent="0.25">
      <c r="C2980" s="4"/>
      <c r="E2980" s="4"/>
      <c r="H2980" s="31" t="str">
        <f t="shared" si="92"/>
        <v/>
      </c>
      <c r="J2980" t="b">
        <f t="shared" si="93"/>
        <v>0</v>
      </c>
    </row>
    <row r="2981" spans="3:10" x14ac:dyDescent="0.25">
      <c r="C2981" s="4"/>
      <c r="E2981" s="4"/>
      <c r="H2981" s="31" t="str">
        <f t="shared" si="92"/>
        <v/>
      </c>
      <c r="J2981" t="b">
        <f t="shared" si="93"/>
        <v>0</v>
      </c>
    </row>
    <row r="2982" spans="3:10" x14ac:dyDescent="0.25">
      <c r="C2982" s="4"/>
      <c r="E2982" s="4"/>
      <c r="H2982" s="31" t="str">
        <f t="shared" si="92"/>
        <v/>
      </c>
      <c r="J2982" t="b">
        <f t="shared" si="93"/>
        <v>0</v>
      </c>
    </row>
    <row r="2983" spans="3:10" x14ac:dyDescent="0.25">
      <c r="C2983" s="4"/>
      <c r="E2983" s="4"/>
      <c r="H2983" s="31" t="str">
        <f t="shared" si="92"/>
        <v/>
      </c>
      <c r="J2983" t="b">
        <f t="shared" si="93"/>
        <v>0</v>
      </c>
    </row>
    <row r="2984" spans="3:10" x14ac:dyDescent="0.25">
      <c r="C2984" s="4"/>
      <c r="E2984" s="4"/>
      <c r="H2984" s="31" t="str">
        <f t="shared" si="92"/>
        <v/>
      </c>
      <c r="J2984" t="b">
        <f t="shared" si="93"/>
        <v>0</v>
      </c>
    </row>
    <row r="2985" spans="3:10" x14ac:dyDescent="0.25">
      <c r="C2985" s="4"/>
      <c r="E2985" s="4"/>
      <c r="H2985" s="31" t="str">
        <f t="shared" si="92"/>
        <v/>
      </c>
      <c r="J2985" t="b">
        <f t="shared" si="93"/>
        <v>0</v>
      </c>
    </row>
    <row r="2986" spans="3:10" x14ac:dyDescent="0.25">
      <c r="C2986" s="4"/>
      <c r="E2986" s="4"/>
      <c r="H2986" s="31" t="str">
        <f t="shared" si="92"/>
        <v/>
      </c>
      <c r="J2986" t="b">
        <f t="shared" si="93"/>
        <v>0</v>
      </c>
    </row>
    <row r="2987" spans="3:10" x14ac:dyDescent="0.25">
      <c r="C2987" s="4"/>
      <c r="E2987" s="4"/>
      <c r="H2987" s="31" t="str">
        <f t="shared" si="92"/>
        <v/>
      </c>
      <c r="J2987" t="b">
        <f t="shared" si="93"/>
        <v>0</v>
      </c>
    </row>
    <row r="2988" spans="3:10" x14ac:dyDescent="0.25">
      <c r="C2988" s="4"/>
      <c r="E2988" s="4"/>
      <c r="H2988" s="31" t="str">
        <f t="shared" si="92"/>
        <v/>
      </c>
      <c r="J2988" t="b">
        <f t="shared" si="93"/>
        <v>0</v>
      </c>
    </row>
    <row r="2989" spans="3:10" x14ac:dyDescent="0.25">
      <c r="C2989" s="4"/>
      <c r="E2989" s="4"/>
      <c r="H2989" s="31" t="str">
        <f t="shared" si="92"/>
        <v/>
      </c>
      <c r="J2989" t="b">
        <f t="shared" si="93"/>
        <v>0</v>
      </c>
    </row>
    <row r="2990" spans="3:10" x14ac:dyDescent="0.25">
      <c r="C2990" s="4"/>
      <c r="E2990" s="4"/>
      <c r="H2990" s="31" t="str">
        <f t="shared" si="92"/>
        <v/>
      </c>
      <c r="J2990" t="b">
        <f t="shared" si="93"/>
        <v>0</v>
      </c>
    </row>
    <row r="2991" spans="3:10" x14ac:dyDescent="0.25">
      <c r="C2991" s="4"/>
      <c r="E2991" s="4"/>
      <c r="H2991" s="31" t="str">
        <f t="shared" si="92"/>
        <v/>
      </c>
      <c r="J2991" t="b">
        <f t="shared" si="93"/>
        <v>0</v>
      </c>
    </row>
    <row r="2992" spans="3:10" x14ac:dyDescent="0.25">
      <c r="C2992" s="4"/>
      <c r="E2992" s="4"/>
      <c r="H2992" s="31" t="str">
        <f t="shared" si="92"/>
        <v/>
      </c>
      <c r="J2992" t="b">
        <f t="shared" si="93"/>
        <v>0</v>
      </c>
    </row>
    <row r="2993" spans="3:10" x14ac:dyDescent="0.25">
      <c r="C2993" s="4"/>
      <c r="E2993" s="4"/>
      <c r="H2993" s="31" t="str">
        <f t="shared" si="92"/>
        <v/>
      </c>
      <c r="J2993" t="b">
        <f t="shared" si="93"/>
        <v>0</v>
      </c>
    </row>
    <row r="2994" spans="3:10" x14ac:dyDescent="0.25">
      <c r="C2994" s="4"/>
      <c r="E2994" s="4"/>
      <c r="H2994" s="31" t="str">
        <f t="shared" si="92"/>
        <v/>
      </c>
      <c r="J2994" t="b">
        <f t="shared" si="93"/>
        <v>0</v>
      </c>
    </row>
    <row r="2995" spans="3:10" x14ac:dyDescent="0.25">
      <c r="C2995" s="4"/>
      <c r="E2995" s="4"/>
      <c r="H2995" s="31" t="str">
        <f t="shared" si="92"/>
        <v/>
      </c>
      <c r="J2995" t="b">
        <f t="shared" si="93"/>
        <v>0</v>
      </c>
    </row>
    <row r="2996" spans="3:10" x14ac:dyDescent="0.25">
      <c r="C2996" s="4"/>
      <c r="E2996" s="4"/>
      <c r="H2996" s="31" t="str">
        <f t="shared" si="92"/>
        <v/>
      </c>
      <c r="J2996" t="b">
        <f t="shared" si="93"/>
        <v>0</v>
      </c>
    </row>
    <row r="2997" spans="3:10" x14ac:dyDescent="0.25">
      <c r="C2997" s="4"/>
      <c r="E2997" s="4"/>
      <c r="H2997" s="31" t="str">
        <f t="shared" si="92"/>
        <v/>
      </c>
      <c r="J2997" t="b">
        <f t="shared" si="93"/>
        <v>0</v>
      </c>
    </row>
    <row r="2998" spans="3:10" x14ac:dyDescent="0.25">
      <c r="C2998" s="4"/>
      <c r="E2998" s="4"/>
      <c r="H2998" s="31" t="str">
        <f t="shared" si="92"/>
        <v/>
      </c>
      <c r="J2998" t="b">
        <f t="shared" si="93"/>
        <v>0</v>
      </c>
    </row>
    <row r="2999" spans="3:10" x14ac:dyDescent="0.25">
      <c r="C2999" s="4"/>
      <c r="E2999" s="4"/>
      <c r="H2999" s="31" t="str">
        <f t="shared" si="92"/>
        <v/>
      </c>
      <c r="J2999" t="b">
        <f t="shared" si="93"/>
        <v>0</v>
      </c>
    </row>
    <row r="3000" spans="3:10" x14ac:dyDescent="0.25">
      <c r="C3000" s="4"/>
      <c r="E3000" s="4"/>
      <c r="H3000" s="31" t="str">
        <f t="shared" si="92"/>
        <v/>
      </c>
      <c r="J3000" t="b">
        <f t="shared" si="93"/>
        <v>0</v>
      </c>
    </row>
    <row r="3001" spans="3:10" x14ac:dyDescent="0.25">
      <c r="C3001" s="4"/>
      <c r="E3001" s="4"/>
      <c r="H3001" s="31" t="str">
        <f t="shared" si="92"/>
        <v/>
      </c>
      <c r="J3001" t="b">
        <f t="shared" si="93"/>
        <v>0</v>
      </c>
    </row>
    <row r="3002" spans="3:10" x14ac:dyDescent="0.25">
      <c r="C3002" s="4"/>
      <c r="E3002" s="4"/>
      <c r="H3002" s="31" t="str">
        <f t="shared" si="92"/>
        <v/>
      </c>
      <c r="J3002" t="b">
        <f t="shared" si="93"/>
        <v>0</v>
      </c>
    </row>
    <row r="3003" spans="3:10" x14ac:dyDescent="0.25">
      <c r="C3003" s="4"/>
      <c r="E3003" s="4"/>
      <c r="H3003" s="31" t="str">
        <f t="shared" si="92"/>
        <v/>
      </c>
      <c r="J3003" t="b">
        <f t="shared" si="93"/>
        <v>0</v>
      </c>
    </row>
    <row r="3004" spans="3:10" x14ac:dyDescent="0.25">
      <c r="C3004" s="4"/>
      <c r="E3004" s="4"/>
      <c r="H3004" s="31" t="str">
        <f t="shared" si="92"/>
        <v/>
      </c>
      <c r="J3004" t="b">
        <f t="shared" si="93"/>
        <v>0</v>
      </c>
    </row>
    <row r="3005" spans="3:10" x14ac:dyDescent="0.25">
      <c r="C3005" s="4"/>
      <c r="E3005" s="4"/>
      <c r="H3005" s="31" t="str">
        <f t="shared" si="92"/>
        <v/>
      </c>
      <c r="J3005" t="b">
        <f t="shared" si="93"/>
        <v>0</v>
      </c>
    </row>
    <row r="3006" spans="3:10" x14ac:dyDescent="0.25">
      <c r="C3006" s="4"/>
      <c r="E3006" s="4"/>
      <c r="H3006" s="31" t="str">
        <f t="shared" si="92"/>
        <v/>
      </c>
      <c r="J3006" t="b">
        <f t="shared" si="93"/>
        <v>0</v>
      </c>
    </row>
    <row r="3007" spans="3:10" x14ac:dyDescent="0.25">
      <c r="C3007" s="4"/>
      <c r="E3007" s="4"/>
      <c r="H3007" s="31" t="str">
        <f t="shared" si="92"/>
        <v/>
      </c>
      <c r="J3007" t="b">
        <f t="shared" si="93"/>
        <v>0</v>
      </c>
    </row>
    <row r="3008" spans="3:10" x14ac:dyDescent="0.25">
      <c r="C3008" s="4"/>
      <c r="E3008" s="4"/>
      <c r="H3008" s="31" t="str">
        <f t="shared" si="92"/>
        <v/>
      </c>
      <c r="J3008" t="b">
        <f t="shared" si="93"/>
        <v>0</v>
      </c>
    </row>
    <row r="3009" spans="3:10" x14ac:dyDescent="0.25">
      <c r="C3009" s="4"/>
      <c r="E3009" s="4"/>
      <c r="H3009" s="31" t="str">
        <f t="shared" si="92"/>
        <v/>
      </c>
      <c r="J3009" t="b">
        <f t="shared" si="93"/>
        <v>0</v>
      </c>
    </row>
    <row r="3010" spans="3:10" x14ac:dyDescent="0.25">
      <c r="C3010" s="4"/>
      <c r="E3010" s="4"/>
      <c r="H3010" s="31" t="str">
        <f t="shared" si="92"/>
        <v/>
      </c>
      <c r="J3010" t="b">
        <f t="shared" si="93"/>
        <v>0</v>
      </c>
    </row>
    <row r="3011" spans="3:10" x14ac:dyDescent="0.25">
      <c r="C3011" s="4"/>
      <c r="E3011" s="4"/>
      <c r="H3011" s="31" t="str">
        <f t="shared" si="92"/>
        <v/>
      </c>
      <c r="J3011" t="b">
        <f t="shared" si="93"/>
        <v>0</v>
      </c>
    </row>
    <row r="3012" spans="3:10" x14ac:dyDescent="0.25">
      <c r="C3012" s="4"/>
      <c r="E3012" s="4"/>
      <c r="H3012" s="31" t="str">
        <f t="shared" ref="H3012:H3075" si="94">IF($J3012=TRUE,"Il ne peut y avoir des valeurs dans les 2 méthodes",IF($D3012="kg/l",$C3012,IF($D3012="g/l",$C3012/1000,IF($D3012="lb/gal US",$C3012*0.454/3.785,IF($G3012="kg/l",($E3012/100)*$F3012,IF($G3012="g/l",($E3012/100)*$F3012/1000,IF($G3012="lb/gal US",($E3012/100)*$F3012*0.454/3.785,"")))))))</f>
        <v/>
      </c>
      <c r="J3012" t="b">
        <f t="shared" ref="J3012:J3075" si="95">IF(AND(OR($C3012&lt;&gt;"",$D3012&lt;&gt;""),OR($E3012&lt;&gt;"",F3012&lt;&gt;"",G3012&lt;&gt;"")),TRUE,FALSE)</f>
        <v>0</v>
      </c>
    </row>
    <row r="3013" spans="3:10" x14ac:dyDescent="0.25">
      <c r="C3013" s="4"/>
      <c r="E3013" s="4"/>
      <c r="H3013" s="31" t="str">
        <f t="shared" si="94"/>
        <v/>
      </c>
      <c r="J3013" t="b">
        <f t="shared" si="95"/>
        <v>0</v>
      </c>
    </row>
    <row r="3014" spans="3:10" x14ac:dyDescent="0.25">
      <c r="C3014" s="4"/>
      <c r="E3014" s="4"/>
      <c r="H3014" s="31" t="str">
        <f t="shared" si="94"/>
        <v/>
      </c>
      <c r="J3014" t="b">
        <f t="shared" si="95"/>
        <v>0</v>
      </c>
    </row>
    <row r="3015" spans="3:10" x14ac:dyDescent="0.25">
      <c r="C3015" s="4"/>
      <c r="E3015" s="4"/>
      <c r="H3015" s="31" t="str">
        <f t="shared" si="94"/>
        <v/>
      </c>
      <c r="J3015" t="b">
        <f t="shared" si="95"/>
        <v>0</v>
      </c>
    </row>
    <row r="3016" spans="3:10" x14ac:dyDescent="0.25">
      <c r="C3016" s="4"/>
      <c r="E3016" s="4"/>
      <c r="H3016" s="31" t="str">
        <f t="shared" si="94"/>
        <v/>
      </c>
      <c r="J3016" t="b">
        <f t="shared" si="95"/>
        <v>0</v>
      </c>
    </row>
    <row r="3017" spans="3:10" x14ac:dyDescent="0.25">
      <c r="C3017" s="4"/>
      <c r="E3017" s="4"/>
      <c r="H3017" s="31" t="str">
        <f t="shared" si="94"/>
        <v/>
      </c>
      <c r="J3017" t="b">
        <f t="shared" si="95"/>
        <v>0</v>
      </c>
    </row>
    <row r="3018" spans="3:10" x14ac:dyDescent="0.25">
      <c r="C3018" s="4"/>
      <c r="E3018" s="4"/>
      <c r="H3018" s="31" t="str">
        <f t="shared" si="94"/>
        <v/>
      </c>
      <c r="J3018" t="b">
        <f t="shared" si="95"/>
        <v>0</v>
      </c>
    </row>
    <row r="3019" spans="3:10" x14ac:dyDescent="0.25">
      <c r="C3019" s="4"/>
      <c r="E3019" s="4"/>
      <c r="H3019" s="31" t="str">
        <f t="shared" si="94"/>
        <v/>
      </c>
      <c r="J3019" t="b">
        <f t="shared" si="95"/>
        <v>0</v>
      </c>
    </row>
    <row r="3020" spans="3:10" x14ac:dyDescent="0.25">
      <c r="C3020" s="4"/>
      <c r="E3020" s="4"/>
      <c r="H3020" s="31" t="str">
        <f t="shared" si="94"/>
        <v/>
      </c>
      <c r="J3020" t="b">
        <f t="shared" si="95"/>
        <v>0</v>
      </c>
    </row>
    <row r="3021" spans="3:10" x14ac:dyDescent="0.25">
      <c r="C3021" s="4"/>
      <c r="E3021" s="4"/>
      <c r="H3021" s="31" t="str">
        <f t="shared" si="94"/>
        <v/>
      </c>
      <c r="J3021" t="b">
        <f t="shared" si="95"/>
        <v>0</v>
      </c>
    </row>
    <row r="3022" spans="3:10" x14ac:dyDescent="0.25">
      <c r="C3022" s="4"/>
      <c r="E3022" s="4"/>
      <c r="H3022" s="31" t="str">
        <f t="shared" si="94"/>
        <v/>
      </c>
      <c r="J3022" t="b">
        <f t="shared" si="95"/>
        <v>0</v>
      </c>
    </row>
    <row r="3023" spans="3:10" x14ac:dyDescent="0.25">
      <c r="C3023" s="4"/>
      <c r="E3023" s="4"/>
      <c r="H3023" s="31" t="str">
        <f t="shared" si="94"/>
        <v/>
      </c>
      <c r="J3023" t="b">
        <f t="shared" si="95"/>
        <v>0</v>
      </c>
    </row>
    <row r="3024" spans="3:10" x14ac:dyDescent="0.25">
      <c r="C3024" s="4"/>
      <c r="E3024" s="4"/>
      <c r="H3024" s="31" t="str">
        <f t="shared" si="94"/>
        <v/>
      </c>
      <c r="J3024" t="b">
        <f t="shared" si="95"/>
        <v>0</v>
      </c>
    </row>
    <row r="3025" spans="3:10" x14ac:dyDescent="0.25">
      <c r="C3025" s="4"/>
      <c r="E3025" s="4"/>
      <c r="H3025" s="31" t="str">
        <f t="shared" si="94"/>
        <v/>
      </c>
      <c r="J3025" t="b">
        <f t="shared" si="95"/>
        <v>0</v>
      </c>
    </row>
    <row r="3026" spans="3:10" x14ac:dyDescent="0.25">
      <c r="C3026" s="4"/>
      <c r="E3026" s="4"/>
      <c r="H3026" s="31" t="str">
        <f t="shared" si="94"/>
        <v/>
      </c>
      <c r="J3026" t="b">
        <f t="shared" si="95"/>
        <v>0</v>
      </c>
    </row>
    <row r="3027" spans="3:10" x14ac:dyDescent="0.25">
      <c r="C3027" s="4"/>
      <c r="E3027" s="4"/>
      <c r="H3027" s="31" t="str">
        <f t="shared" si="94"/>
        <v/>
      </c>
      <c r="J3027" t="b">
        <f t="shared" si="95"/>
        <v>0</v>
      </c>
    </row>
    <row r="3028" spans="3:10" x14ac:dyDescent="0.25">
      <c r="C3028" s="4"/>
      <c r="E3028" s="4"/>
      <c r="H3028" s="31" t="str">
        <f t="shared" si="94"/>
        <v/>
      </c>
      <c r="J3028" t="b">
        <f t="shared" si="95"/>
        <v>0</v>
      </c>
    </row>
    <row r="3029" spans="3:10" x14ac:dyDescent="0.25">
      <c r="C3029" s="4"/>
      <c r="E3029" s="4"/>
      <c r="H3029" s="31" t="str">
        <f t="shared" si="94"/>
        <v/>
      </c>
      <c r="J3029" t="b">
        <f t="shared" si="95"/>
        <v>0</v>
      </c>
    </row>
    <row r="3030" spans="3:10" x14ac:dyDescent="0.25">
      <c r="C3030" s="4"/>
      <c r="E3030" s="4"/>
      <c r="H3030" s="31" t="str">
        <f t="shared" si="94"/>
        <v/>
      </c>
      <c r="J3030" t="b">
        <f t="shared" si="95"/>
        <v>0</v>
      </c>
    </row>
    <row r="3031" spans="3:10" x14ac:dyDescent="0.25">
      <c r="C3031" s="4"/>
      <c r="E3031" s="4"/>
      <c r="H3031" s="31" t="str">
        <f t="shared" si="94"/>
        <v/>
      </c>
      <c r="J3031" t="b">
        <f t="shared" si="95"/>
        <v>0</v>
      </c>
    </row>
    <row r="3032" spans="3:10" x14ac:dyDescent="0.25">
      <c r="C3032" s="4"/>
      <c r="E3032" s="4"/>
      <c r="H3032" s="31" t="str">
        <f t="shared" si="94"/>
        <v/>
      </c>
      <c r="J3032" t="b">
        <f t="shared" si="95"/>
        <v>0</v>
      </c>
    </row>
    <row r="3033" spans="3:10" x14ac:dyDescent="0.25">
      <c r="C3033" s="4"/>
      <c r="E3033" s="4"/>
      <c r="H3033" s="31" t="str">
        <f t="shared" si="94"/>
        <v/>
      </c>
      <c r="J3033" t="b">
        <f t="shared" si="95"/>
        <v>0</v>
      </c>
    </row>
    <row r="3034" spans="3:10" x14ac:dyDescent="0.25">
      <c r="C3034" s="4"/>
      <c r="E3034" s="4"/>
      <c r="H3034" s="31" t="str">
        <f t="shared" si="94"/>
        <v/>
      </c>
      <c r="J3034" t="b">
        <f t="shared" si="95"/>
        <v>0</v>
      </c>
    </row>
    <row r="3035" spans="3:10" x14ac:dyDescent="0.25">
      <c r="C3035" s="4"/>
      <c r="E3035" s="4"/>
      <c r="H3035" s="31" t="str">
        <f t="shared" si="94"/>
        <v/>
      </c>
      <c r="J3035" t="b">
        <f t="shared" si="95"/>
        <v>0</v>
      </c>
    </row>
    <row r="3036" spans="3:10" x14ac:dyDescent="0.25">
      <c r="C3036" s="4"/>
      <c r="E3036" s="4"/>
      <c r="H3036" s="31" t="str">
        <f t="shared" si="94"/>
        <v/>
      </c>
      <c r="J3036" t="b">
        <f t="shared" si="95"/>
        <v>0</v>
      </c>
    </row>
    <row r="3037" spans="3:10" x14ac:dyDescent="0.25">
      <c r="C3037" s="4"/>
      <c r="E3037" s="4"/>
      <c r="H3037" s="31" t="str">
        <f t="shared" si="94"/>
        <v/>
      </c>
      <c r="J3037" t="b">
        <f t="shared" si="95"/>
        <v>0</v>
      </c>
    </row>
    <row r="3038" spans="3:10" x14ac:dyDescent="0.25">
      <c r="C3038" s="4"/>
      <c r="E3038" s="4"/>
      <c r="H3038" s="31" t="str">
        <f t="shared" si="94"/>
        <v/>
      </c>
      <c r="J3038" t="b">
        <f t="shared" si="95"/>
        <v>0</v>
      </c>
    </row>
    <row r="3039" spans="3:10" x14ac:dyDescent="0.25">
      <c r="C3039" s="4"/>
      <c r="E3039" s="4"/>
      <c r="H3039" s="31" t="str">
        <f t="shared" si="94"/>
        <v/>
      </c>
      <c r="J3039" t="b">
        <f t="shared" si="95"/>
        <v>0</v>
      </c>
    </row>
    <row r="3040" spans="3:10" x14ac:dyDescent="0.25">
      <c r="C3040" s="4"/>
      <c r="E3040" s="4"/>
      <c r="H3040" s="31" t="str">
        <f t="shared" si="94"/>
        <v/>
      </c>
      <c r="J3040" t="b">
        <f t="shared" si="95"/>
        <v>0</v>
      </c>
    </row>
    <row r="3041" spans="3:10" x14ac:dyDescent="0.25">
      <c r="C3041" s="4"/>
      <c r="E3041" s="4"/>
      <c r="H3041" s="31" t="str">
        <f t="shared" si="94"/>
        <v/>
      </c>
      <c r="J3041" t="b">
        <f t="shared" si="95"/>
        <v>0</v>
      </c>
    </row>
    <row r="3042" spans="3:10" x14ac:dyDescent="0.25">
      <c r="C3042" s="4"/>
      <c r="E3042" s="4"/>
      <c r="H3042" s="31" t="str">
        <f t="shared" si="94"/>
        <v/>
      </c>
      <c r="J3042" t="b">
        <f t="shared" si="95"/>
        <v>0</v>
      </c>
    </row>
    <row r="3043" spans="3:10" x14ac:dyDescent="0.25">
      <c r="C3043" s="4"/>
      <c r="E3043" s="4"/>
      <c r="H3043" s="31" t="str">
        <f t="shared" si="94"/>
        <v/>
      </c>
      <c r="J3043" t="b">
        <f t="shared" si="95"/>
        <v>0</v>
      </c>
    </row>
    <row r="3044" spans="3:10" x14ac:dyDescent="0.25">
      <c r="C3044" s="4"/>
      <c r="E3044" s="4"/>
      <c r="H3044" s="31" t="str">
        <f t="shared" si="94"/>
        <v/>
      </c>
      <c r="J3044" t="b">
        <f t="shared" si="95"/>
        <v>0</v>
      </c>
    </row>
    <row r="3045" spans="3:10" x14ac:dyDescent="0.25">
      <c r="C3045" s="4"/>
      <c r="E3045" s="4"/>
      <c r="H3045" s="31" t="str">
        <f t="shared" si="94"/>
        <v/>
      </c>
      <c r="J3045" t="b">
        <f t="shared" si="95"/>
        <v>0</v>
      </c>
    </row>
    <row r="3046" spans="3:10" x14ac:dyDescent="0.25">
      <c r="C3046" s="4"/>
      <c r="E3046" s="4"/>
      <c r="H3046" s="31" t="str">
        <f t="shared" si="94"/>
        <v/>
      </c>
      <c r="J3046" t="b">
        <f t="shared" si="95"/>
        <v>0</v>
      </c>
    </row>
    <row r="3047" spans="3:10" x14ac:dyDescent="0.25">
      <c r="C3047" s="4"/>
      <c r="E3047" s="4"/>
      <c r="H3047" s="31" t="str">
        <f t="shared" si="94"/>
        <v/>
      </c>
      <c r="J3047" t="b">
        <f t="shared" si="95"/>
        <v>0</v>
      </c>
    </row>
    <row r="3048" spans="3:10" x14ac:dyDescent="0.25">
      <c r="C3048" s="4"/>
      <c r="E3048" s="4"/>
      <c r="H3048" s="31" t="str">
        <f t="shared" si="94"/>
        <v/>
      </c>
      <c r="J3048" t="b">
        <f t="shared" si="95"/>
        <v>0</v>
      </c>
    </row>
    <row r="3049" spans="3:10" x14ac:dyDescent="0.25">
      <c r="C3049" s="4"/>
      <c r="E3049" s="4"/>
      <c r="H3049" s="31" t="str">
        <f t="shared" si="94"/>
        <v/>
      </c>
      <c r="J3049" t="b">
        <f t="shared" si="95"/>
        <v>0</v>
      </c>
    </row>
    <row r="3050" spans="3:10" x14ac:dyDescent="0.25">
      <c r="C3050" s="4"/>
      <c r="E3050" s="4"/>
      <c r="H3050" s="31" t="str">
        <f t="shared" si="94"/>
        <v/>
      </c>
      <c r="J3050" t="b">
        <f t="shared" si="95"/>
        <v>0</v>
      </c>
    </row>
    <row r="3051" spans="3:10" x14ac:dyDescent="0.25">
      <c r="C3051" s="4"/>
      <c r="E3051" s="4"/>
      <c r="H3051" s="31" t="str">
        <f t="shared" si="94"/>
        <v/>
      </c>
      <c r="J3051" t="b">
        <f t="shared" si="95"/>
        <v>0</v>
      </c>
    </row>
    <row r="3052" spans="3:10" x14ac:dyDescent="0.25">
      <c r="C3052" s="4"/>
      <c r="E3052" s="4"/>
      <c r="H3052" s="31" t="str">
        <f t="shared" si="94"/>
        <v/>
      </c>
      <c r="J3052" t="b">
        <f t="shared" si="95"/>
        <v>0</v>
      </c>
    </row>
    <row r="3053" spans="3:10" x14ac:dyDescent="0.25">
      <c r="C3053" s="4"/>
      <c r="E3053" s="4"/>
      <c r="H3053" s="31" t="str">
        <f t="shared" si="94"/>
        <v/>
      </c>
      <c r="J3053" t="b">
        <f t="shared" si="95"/>
        <v>0</v>
      </c>
    </row>
    <row r="3054" spans="3:10" x14ac:dyDescent="0.25">
      <c r="C3054" s="4"/>
      <c r="E3054" s="4"/>
      <c r="H3054" s="31" t="str">
        <f t="shared" si="94"/>
        <v/>
      </c>
      <c r="J3054" t="b">
        <f t="shared" si="95"/>
        <v>0</v>
      </c>
    </row>
    <row r="3055" spans="3:10" x14ac:dyDescent="0.25">
      <c r="C3055" s="4"/>
      <c r="E3055" s="4"/>
      <c r="H3055" s="31" t="str">
        <f t="shared" si="94"/>
        <v/>
      </c>
      <c r="J3055" t="b">
        <f t="shared" si="95"/>
        <v>0</v>
      </c>
    </row>
    <row r="3056" spans="3:10" x14ac:dyDescent="0.25">
      <c r="C3056" s="4"/>
      <c r="E3056" s="4"/>
      <c r="H3056" s="31" t="str">
        <f t="shared" si="94"/>
        <v/>
      </c>
      <c r="J3056" t="b">
        <f t="shared" si="95"/>
        <v>0</v>
      </c>
    </row>
    <row r="3057" spans="3:10" x14ac:dyDescent="0.25">
      <c r="C3057" s="4"/>
      <c r="E3057" s="4"/>
      <c r="H3057" s="31" t="str">
        <f t="shared" si="94"/>
        <v/>
      </c>
      <c r="J3057" t="b">
        <f t="shared" si="95"/>
        <v>0</v>
      </c>
    </row>
    <row r="3058" spans="3:10" x14ac:dyDescent="0.25">
      <c r="C3058" s="4"/>
      <c r="E3058" s="4"/>
      <c r="H3058" s="31" t="str">
        <f t="shared" si="94"/>
        <v/>
      </c>
      <c r="J3058" t="b">
        <f t="shared" si="95"/>
        <v>0</v>
      </c>
    </row>
    <row r="3059" spans="3:10" x14ac:dyDescent="0.25">
      <c r="C3059" s="4"/>
      <c r="E3059" s="4"/>
      <c r="H3059" s="31" t="str">
        <f t="shared" si="94"/>
        <v/>
      </c>
      <c r="J3059" t="b">
        <f t="shared" si="95"/>
        <v>0</v>
      </c>
    </row>
    <row r="3060" spans="3:10" x14ac:dyDescent="0.25">
      <c r="C3060" s="4"/>
      <c r="E3060" s="4"/>
      <c r="H3060" s="31" t="str">
        <f t="shared" si="94"/>
        <v/>
      </c>
      <c r="J3060" t="b">
        <f t="shared" si="95"/>
        <v>0</v>
      </c>
    </row>
    <row r="3061" spans="3:10" x14ac:dyDescent="0.25">
      <c r="C3061" s="4"/>
      <c r="E3061" s="4"/>
      <c r="H3061" s="31" t="str">
        <f t="shared" si="94"/>
        <v/>
      </c>
      <c r="J3061" t="b">
        <f t="shared" si="95"/>
        <v>0</v>
      </c>
    </row>
    <row r="3062" spans="3:10" x14ac:dyDescent="0.25">
      <c r="C3062" s="4"/>
      <c r="E3062" s="4"/>
      <c r="H3062" s="31" t="str">
        <f t="shared" si="94"/>
        <v/>
      </c>
      <c r="J3062" t="b">
        <f t="shared" si="95"/>
        <v>0</v>
      </c>
    </row>
    <row r="3063" spans="3:10" x14ac:dyDescent="0.25">
      <c r="C3063" s="4"/>
      <c r="E3063" s="4"/>
      <c r="H3063" s="31" t="str">
        <f t="shared" si="94"/>
        <v/>
      </c>
      <c r="J3063" t="b">
        <f t="shared" si="95"/>
        <v>0</v>
      </c>
    </row>
    <row r="3064" spans="3:10" x14ac:dyDescent="0.25">
      <c r="C3064" s="4"/>
      <c r="E3064" s="4"/>
      <c r="H3064" s="31" t="str">
        <f t="shared" si="94"/>
        <v/>
      </c>
      <c r="J3064" t="b">
        <f t="shared" si="95"/>
        <v>0</v>
      </c>
    </row>
    <row r="3065" spans="3:10" x14ac:dyDescent="0.25">
      <c r="C3065" s="4"/>
      <c r="E3065" s="4"/>
      <c r="H3065" s="31" t="str">
        <f t="shared" si="94"/>
        <v/>
      </c>
      <c r="J3065" t="b">
        <f t="shared" si="95"/>
        <v>0</v>
      </c>
    </row>
    <row r="3066" spans="3:10" x14ac:dyDescent="0.25">
      <c r="C3066" s="4"/>
      <c r="E3066" s="4"/>
      <c r="H3066" s="31" t="str">
        <f t="shared" si="94"/>
        <v/>
      </c>
      <c r="J3066" t="b">
        <f t="shared" si="95"/>
        <v>0</v>
      </c>
    </row>
    <row r="3067" spans="3:10" x14ac:dyDescent="0.25">
      <c r="C3067" s="4"/>
      <c r="E3067" s="4"/>
      <c r="H3067" s="31" t="str">
        <f t="shared" si="94"/>
        <v/>
      </c>
      <c r="J3067" t="b">
        <f t="shared" si="95"/>
        <v>0</v>
      </c>
    </row>
    <row r="3068" spans="3:10" x14ac:dyDescent="0.25">
      <c r="C3068" s="4"/>
      <c r="E3068" s="4"/>
      <c r="H3068" s="31" t="str">
        <f t="shared" si="94"/>
        <v/>
      </c>
      <c r="J3068" t="b">
        <f t="shared" si="95"/>
        <v>0</v>
      </c>
    </row>
    <row r="3069" spans="3:10" x14ac:dyDescent="0.25">
      <c r="C3069" s="4"/>
      <c r="E3069" s="4"/>
      <c r="H3069" s="31" t="str">
        <f t="shared" si="94"/>
        <v/>
      </c>
      <c r="J3069" t="b">
        <f t="shared" si="95"/>
        <v>0</v>
      </c>
    </row>
    <row r="3070" spans="3:10" x14ac:dyDescent="0.25">
      <c r="C3070" s="4"/>
      <c r="E3070" s="4"/>
      <c r="H3070" s="31" t="str">
        <f t="shared" si="94"/>
        <v/>
      </c>
      <c r="J3070" t="b">
        <f t="shared" si="95"/>
        <v>0</v>
      </c>
    </row>
    <row r="3071" spans="3:10" x14ac:dyDescent="0.25">
      <c r="C3071" s="4"/>
      <c r="E3071" s="4"/>
      <c r="H3071" s="31" t="str">
        <f t="shared" si="94"/>
        <v/>
      </c>
      <c r="J3071" t="b">
        <f t="shared" si="95"/>
        <v>0</v>
      </c>
    </row>
    <row r="3072" spans="3:10" x14ac:dyDescent="0.25">
      <c r="C3072" s="4"/>
      <c r="E3072" s="4"/>
      <c r="H3072" s="31" t="str">
        <f t="shared" si="94"/>
        <v/>
      </c>
      <c r="J3072" t="b">
        <f t="shared" si="95"/>
        <v>0</v>
      </c>
    </row>
    <row r="3073" spans="3:10" x14ac:dyDescent="0.25">
      <c r="C3073" s="4"/>
      <c r="E3073" s="4"/>
      <c r="H3073" s="31" t="str">
        <f t="shared" si="94"/>
        <v/>
      </c>
      <c r="J3073" t="b">
        <f t="shared" si="95"/>
        <v>0</v>
      </c>
    </row>
    <row r="3074" spans="3:10" x14ac:dyDescent="0.25">
      <c r="C3074" s="4"/>
      <c r="E3074" s="4"/>
      <c r="H3074" s="31" t="str">
        <f t="shared" si="94"/>
        <v/>
      </c>
      <c r="J3074" t="b">
        <f t="shared" si="95"/>
        <v>0</v>
      </c>
    </row>
    <row r="3075" spans="3:10" x14ac:dyDescent="0.25">
      <c r="C3075" s="4"/>
      <c r="E3075" s="4"/>
      <c r="H3075" s="31" t="str">
        <f t="shared" si="94"/>
        <v/>
      </c>
      <c r="J3075" t="b">
        <f t="shared" si="95"/>
        <v>0</v>
      </c>
    </row>
    <row r="3076" spans="3:10" x14ac:dyDescent="0.25">
      <c r="C3076" s="4"/>
      <c r="E3076" s="4"/>
      <c r="H3076" s="31" t="str">
        <f t="shared" ref="H3076:H3139" si="96">IF($J3076=TRUE,"Il ne peut y avoir des valeurs dans les 2 méthodes",IF($D3076="kg/l",$C3076,IF($D3076="g/l",$C3076/1000,IF($D3076="lb/gal US",$C3076*0.454/3.785,IF($G3076="kg/l",($E3076/100)*$F3076,IF($G3076="g/l",($E3076/100)*$F3076/1000,IF($G3076="lb/gal US",($E3076/100)*$F3076*0.454/3.785,"")))))))</f>
        <v/>
      </c>
      <c r="J3076" t="b">
        <f t="shared" ref="J3076:J3139" si="97">IF(AND(OR($C3076&lt;&gt;"",$D3076&lt;&gt;""),OR($E3076&lt;&gt;"",F3076&lt;&gt;"",G3076&lt;&gt;"")),TRUE,FALSE)</f>
        <v>0</v>
      </c>
    </row>
    <row r="3077" spans="3:10" x14ac:dyDescent="0.25">
      <c r="C3077" s="4"/>
      <c r="E3077" s="4"/>
      <c r="H3077" s="31" t="str">
        <f t="shared" si="96"/>
        <v/>
      </c>
      <c r="J3077" t="b">
        <f t="shared" si="97"/>
        <v>0</v>
      </c>
    </row>
    <row r="3078" spans="3:10" x14ac:dyDescent="0.25">
      <c r="C3078" s="4"/>
      <c r="E3078" s="4"/>
      <c r="H3078" s="31" t="str">
        <f t="shared" si="96"/>
        <v/>
      </c>
      <c r="J3078" t="b">
        <f t="shared" si="97"/>
        <v>0</v>
      </c>
    </row>
    <row r="3079" spans="3:10" x14ac:dyDescent="0.25">
      <c r="C3079" s="4"/>
      <c r="E3079" s="4"/>
      <c r="H3079" s="31" t="str">
        <f t="shared" si="96"/>
        <v/>
      </c>
      <c r="J3079" t="b">
        <f t="shared" si="97"/>
        <v>0</v>
      </c>
    </row>
    <row r="3080" spans="3:10" x14ac:dyDescent="0.25">
      <c r="C3080" s="4"/>
      <c r="E3080" s="4"/>
      <c r="H3080" s="31" t="str">
        <f t="shared" si="96"/>
        <v/>
      </c>
      <c r="J3080" t="b">
        <f t="shared" si="97"/>
        <v>0</v>
      </c>
    </row>
    <row r="3081" spans="3:10" x14ac:dyDescent="0.25">
      <c r="C3081" s="4"/>
      <c r="E3081" s="4"/>
      <c r="H3081" s="31" t="str">
        <f t="shared" si="96"/>
        <v/>
      </c>
      <c r="J3081" t="b">
        <f t="shared" si="97"/>
        <v>0</v>
      </c>
    </row>
    <row r="3082" spans="3:10" x14ac:dyDescent="0.25">
      <c r="C3082" s="4"/>
      <c r="E3082" s="4"/>
      <c r="H3082" s="31" t="str">
        <f t="shared" si="96"/>
        <v/>
      </c>
      <c r="J3082" t="b">
        <f t="shared" si="97"/>
        <v>0</v>
      </c>
    </row>
    <row r="3083" spans="3:10" x14ac:dyDescent="0.25">
      <c r="C3083" s="4"/>
      <c r="E3083" s="4"/>
      <c r="H3083" s="31" t="str">
        <f t="shared" si="96"/>
        <v/>
      </c>
      <c r="J3083" t="b">
        <f t="shared" si="97"/>
        <v>0</v>
      </c>
    </row>
    <row r="3084" spans="3:10" x14ac:dyDescent="0.25">
      <c r="C3084" s="4"/>
      <c r="E3084" s="4"/>
      <c r="H3084" s="31" t="str">
        <f t="shared" si="96"/>
        <v/>
      </c>
      <c r="J3084" t="b">
        <f t="shared" si="97"/>
        <v>0</v>
      </c>
    </row>
    <row r="3085" spans="3:10" x14ac:dyDescent="0.25">
      <c r="C3085" s="4"/>
      <c r="E3085" s="4"/>
      <c r="H3085" s="31" t="str">
        <f t="shared" si="96"/>
        <v/>
      </c>
      <c r="J3085" t="b">
        <f t="shared" si="97"/>
        <v>0</v>
      </c>
    </row>
    <row r="3086" spans="3:10" x14ac:dyDescent="0.25">
      <c r="C3086" s="4"/>
      <c r="E3086" s="4"/>
      <c r="H3086" s="31" t="str">
        <f t="shared" si="96"/>
        <v/>
      </c>
      <c r="J3086" t="b">
        <f t="shared" si="97"/>
        <v>0</v>
      </c>
    </row>
    <row r="3087" spans="3:10" x14ac:dyDescent="0.25">
      <c r="C3087" s="4"/>
      <c r="E3087" s="4"/>
      <c r="H3087" s="31" t="str">
        <f t="shared" si="96"/>
        <v/>
      </c>
      <c r="J3087" t="b">
        <f t="shared" si="97"/>
        <v>0</v>
      </c>
    </row>
    <row r="3088" spans="3:10" x14ac:dyDescent="0.25">
      <c r="C3088" s="4"/>
      <c r="E3088" s="4"/>
      <c r="H3088" s="31" t="str">
        <f t="shared" si="96"/>
        <v/>
      </c>
      <c r="J3088" t="b">
        <f t="shared" si="97"/>
        <v>0</v>
      </c>
    </row>
    <row r="3089" spans="3:10" x14ac:dyDescent="0.25">
      <c r="C3089" s="4"/>
      <c r="E3089" s="4"/>
      <c r="H3089" s="31" t="str">
        <f t="shared" si="96"/>
        <v/>
      </c>
      <c r="J3089" t="b">
        <f t="shared" si="97"/>
        <v>0</v>
      </c>
    </row>
    <row r="3090" spans="3:10" x14ac:dyDescent="0.25">
      <c r="C3090" s="4"/>
      <c r="E3090" s="4"/>
      <c r="H3090" s="31" t="str">
        <f t="shared" si="96"/>
        <v/>
      </c>
      <c r="J3090" t="b">
        <f t="shared" si="97"/>
        <v>0</v>
      </c>
    </row>
    <row r="3091" spans="3:10" x14ac:dyDescent="0.25">
      <c r="C3091" s="4"/>
      <c r="E3091" s="4"/>
      <c r="H3091" s="31" t="str">
        <f t="shared" si="96"/>
        <v/>
      </c>
      <c r="J3091" t="b">
        <f t="shared" si="97"/>
        <v>0</v>
      </c>
    </row>
    <row r="3092" spans="3:10" x14ac:dyDescent="0.25">
      <c r="C3092" s="4"/>
      <c r="E3092" s="4"/>
      <c r="H3092" s="31" t="str">
        <f t="shared" si="96"/>
        <v/>
      </c>
      <c r="J3092" t="b">
        <f t="shared" si="97"/>
        <v>0</v>
      </c>
    </row>
    <row r="3093" spans="3:10" x14ac:dyDescent="0.25">
      <c r="C3093" s="4"/>
      <c r="E3093" s="4"/>
      <c r="H3093" s="31" t="str">
        <f t="shared" si="96"/>
        <v/>
      </c>
      <c r="J3093" t="b">
        <f t="shared" si="97"/>
        <v>0</v>
      </c>
    </row>
    <row r="3094" spans="3:10" x14ac:dyDescent="0.25">
      <c r="C3094" s="4"/>
      <c r="E3094" s="4"/>
      <c r="H3094" s="31" t="str">
        <f t="shared" si="96"/>
        <v/>
      </c>
      <c r="J3094" t="b">
        <f t="shared" si="97"/>
        <v>0</v>
      </c>
    </row>
    <row r="3095" spans="3:10" x14ac:dyDescent="0.25">
      <c r="C3095" s="4"/>
      <c r="E3095" s="4"/>
      <c r="H3095" s="31" t="str">
        <f t="shared" si="96"/>
        <v/>
      </c>
      <c r="J3095" t="b">
        <f t="shared" si="97"/>
        <v>0</v>
      </c>
    </row>
    <row r="3096" spans="3:10" x14ac:dyDescent="0.25">
      <c r="C3096" s="4"/>
      <c r="E3096" s="4"/>
      <c r="H3096" s="31" t="str">
        <f t="shared" si="96"/>
        <v/>
      </c>
      <c r="J3096" t="b">
        <f t="shared" si="97"/>
        <v>0</v>
      </c>
    </row>
    <row r="3097" spans="3:10" x14ac:dyDescent="0.25">
      <c r="C3097" s="4"/>
      <c r="E3097" s="4"/>
      <c r="H3097" s="31" t="str">
        <f t="shared" si="96"/>
        <v/>
      </c>
      <c r="J3097" t="b">
        <f t="shared" si="97"/>
        <v>0</v>
      </c>
    </row>
    <row r="3098" spans="3:10" x14ac:dyDescent="0.25">
      <c r="C3098" s="4"/>
      <c r="E3098" s="4"/>
      <c r="H3098" s="31" t="str">
        <f t="shared" si="96"/>
        <v/>
      </c>
      <c r="J3098" t="b">
        <f t="shared" si="97"/>
        <v>0</v>
      </c>
    </row>
    <row r="3099" spans="3:10" x14ac:dyDescent="0.25">
      <c r="C3099" s="4"/>
      <c r="E3099" s="4"/>
      <c r="H3099" s="31" t="str">
        <f t="shared" si="96"/>
        <v/>
      </c>
      <c r="J3099" t="b">
        <f t="shared" si="97"/>
        <v>0</v>
      </c>
    </row>
    <row r="3100" spans="3:10" x14ac:dyDescent="0.25">
      <c r="C3100" s="4"/>
      <c r="E3100" s="4"/>
      <c r="H3100" s="31" t="str">
        <f t="shared" si="96"/>
        <v/>
      </c>
      <c r="J3100" t="b">
        <f t="shared" si="97"/>
        <v>0</v>
      </c>
    </row>
    <row r="3101" spans="3:10" x14ac:dyDescent="0.25">
      <c r="C3101" s="4"/>
      <c r="E3101" s="4"/>
      <c r="H3101" s="31" t="str">
        <f t="shared" si="96"/>
        <v/>
      </c>
      <c r="J3101" t="b">
        <f t="shared" si="97"/>
        <v>0</v>
      </c>
    </row>
    <row r="3102" spans="3:10" x14ac:dyDescent="0.25">
      <c r="C3102" s="4"/>
      <c r="E3102" s="4"/>
      <c r="H3102" s="31" t="str">
        <f t="shared" si="96"/>
        <v/>
      </c>
      <c r="J3102" t="b">
        <f t="shared" si="97"/>
        <v>0</v>
      </c>
    </row>
    <row r="3103" spans="3:10" x14ac:dyDescent="0.25">
      <c r="C3103" s="4"/>
      <c r="E3103" s="4"/>
      <c r="H3103" s="31" t="str">
        <f t="shared" si="96"/>
        <v/>
      </c>
      <c r="J3103" t="b">
        <f t="shared" si="97"/>
        <v>0</v>
      </c>
    </row>
    <row r="3104" spans="3:10" x14ac:dyDescent="0.25">
      <c r="C3104" s="4"/>
      <c r="E3104" s="4"/>
      <c r="H3104" s="31" t="str">
        <f t="shared" si="96"/>
        <v/>
      </c>
      <c r="J3104" t="b">
        <f t="shared" si="97"/>
        <v>0</v>
      </c>
    </row>
    <row r="3105" spans="3:10" x14ac:dyDescent="0.25">
      <c r="C3105" s="4"/>
      <c r="E3105" s="4"/>
      <c r="H3105" s="31" t="str">
        <f t="shared" si="96"/>
        <v/>
      </c>
      <c r="J3105" t="b">
        <f t="shared" si="97"/>
        <v>0</v>
      </c>
    </row>
    <row r="3106" spans="3:10" x14ac:dyDescent="0.25">
      <c r="C3106" s="4"/>
      <c r="E3106" s="4"/>
      <c r="H3106" s="31" t="str">
        <f t="shared" si="96"/>
        <v/>
      </c>
      <c r="J3106" t="b">
        <f t="shared" si="97"/>
        <v>0</v>
      </c>
    </row>
    <row r="3107" spans="3:10" x14ac:dyDescent="0.25">
      <c r="C3107" s="4"/>
      <c r="E3107" s="4"/>
      <c r="H3107" s="31" t="str">
        <f t="shared" si="96"/>
        <v/>
      </c>
      <c r="J3107" t="b">
        <f t="shared" si="97"/>
        <v>0</v>
      </c>
    </row>
    <row r="3108" spans="3:10" x14ac:dyDescent="0.25">
      <c r="C3108" s="4"/>
      <c r="E3108" s="4"/>
      <c r="H3108" s="31" t="str">
        <f t="shared" si="96"/>
        <v/>
      </c>
      <c r="J3108" t="b">
        <f t="shared" si="97"/>
        <v>0</v>
      </c>
    </row>
    <row r="3109" spans="3:10" x14ac:dyDescent="0.25">
      <c r="C3109" s="4"/>
      <c r="E3109" s="4"/>
      <c r="H3109" s="31" t="str">
        <f t="shared" si="96"/>
        <v/>
      </c>
      <c r="J3109" t="b">
        <f t="shared" si="97"/>
        <v>0</v>
      </c>
    </row>
    <row r="3110" spans="3:10" x14ac:dyDescent="0.25">
      <c r="C3110" s="4"/>
      <c r="E3110" s="4"/>
      <c r="H3110" s="31" t="str">
        <f t="shared" si="96"/>
        <v/>
      </c>
      <c r="J3110" t="b">
        <f t="shared" si="97"/>
        <v>0</v>
      </c>
    </row>
    <row r="3111" spans="3:10" x14ac:dyDescent="0.25">
      <c r="C3111" s="4"/>
      <c r="E3111" s="4"/>
      <c r="H3111" s="31" t="str">
        <f t="shared" si="96"/>
        <v/>
      </c>
      <c r="J3111" t="b">
        <f t="shared" si="97"/>
        <v>0</v>
      </c>
    </row>
    <row r="3112" spans="3:10" x14ac:dyDescent="0.25">
      <c r="C3112" s="4"/>
      <c r="E3112" s="4"/>
      <c r="H3112" s="31" t="str">
        <f t="shared" si="96"/>
        <v/>
      </c>
      <c r="J3112" t="b">
        <f t="shared" si="97"/>
        <v>0</v>
      </c>
    </row>
    <row r="3113" spans="3:10" x14ac:dyDescent="0.25">
      <c r="C3113" s="4"/>
      <c r="E3113" s="4"/>
      <c r="H3113" s="31" t="str">
        <f t="shared" si="96"/>
        <v/>
      </c>
      <c r="J3113" t="b">
        <f t="shared" si="97"/>
        <v>0</v>
      </c>
    </row>
    <row r="3114" spans="3:10" x14ac:dyDescent="0.25">
      <c r="C3114" s="4"/>
      <c r="E3114" s="4"/>
      <c r="H3114" s="31" t="str">
        <f t="shared" si="96"/>
        <v/>
      </c>
      <c r="J3114" t="b">
        <f t="shared" si="97"/>
        <v>0</v>
      </c>
    </row>
    <row r="3115" spans="3:10" x14ac:dyDescent="0.25">
      <c r="C3115" s="4"/>
      <c r="E3115" s="4"/>
      <c r="H3115" s="31" t="str">
        <f t="shared" si="96"/>
        <v/>
      </c>
      <c r="J3115" t="b">
        <f t="shared" si="97"/>
        <v>0</v>
      </c>
    </row>
    <row r="3116" spans="3:10" x14ac:dyDescent="0.25">
      <c r="C3116" s="4"/>
      <c r="E3116" s="4"/>
      <c r="H3116" s="31" t="str">
        <f t="shared" si="96"/>
        <v/>
      </c>
      <c r="J3116" t="b">
        <f t="shared" si="97"/>
        <v>0</v>
      </c>
    </row>
    <row r="3117" spans="3:10" x14ac:dyDescent="0.25">
      <c r="C3117" s="4"/>
      <c r="E3117" s="4"/>
      <c r="H3117" s="31" t="str">
        <f t="shared" si="96"/>
        <v/>
      </c>
      <c r="J3117" t="b">
        <f t="shared" si="97"/>
        <v>0</v>
      </c>
    </row>
    <row r="3118" spans="3:10" x14ac:dyDescent="0.25">
      <c r="C3118" s="4"/>
      <c r="E3118" s="4"/>
      <c r="H3118" s="31" t="str">
        <f t="shared" si="96"/>
        <v/>
      </c>
      <c r="J3118" t="b">
        <f t="shared" si="97"/>
        <v>0</v>
      </c>
    </row>
    <row r="3119" spans="3:10" x14ac:dyDescent="0.25">
      <c r="C3119" s="4"/>
      <c r="E3119" s="4"/>
      <c r="H3119" s="31" t="str">
        <f t="shared" si="96"/>
        <v/>
      </c>
      <c r="J3119" t="b">
        <f t="shared" si="97"/>
        <v>0</v>
      </c>
    </row>
    <row r="3120" spans="3:10" x14ac:dyDescent="0.25">
      <c r="C3120" s="4"/>
      <c r="E3120" s="4"/>
      <c r="H3120" s="31" t="str">
        <f t="shared" si="96"/>
        <v/>
      </c>
      <c r="J3120" t="b">
        <f t="shared" si="97"/>
        <v>0</v>
      </c>
    </row>
    <row r="3121" spans="3:10" x14ac:dyDescent="0.25">
      <c r="C3121" s="4"/>
      <c r="E3121" s="4"/>
      <c r="H3121" s="31" t="str">
        <f t="shared" si="96"/>
        <v/>
      </c>
      <c r="J3121" t="b">
        <f t="shared" si="97"/>
        <v>0</v>
      </c>
    </row>
    <row r="3122" spans="3:10" x14ac:dyDescent="0.25">
      <c r="C3122" s="4"/>
      <c r="E3122" s="4"/>
      <c r="H3122" s="31" t="str">
        <f t="shared" si="96"/>
        <v/>
      </c>
      <c r="J3122" t="b">
        <f t="shared" si="97"/>
        <v>0</v>
      </c>
    </row>
    <row r="3123" spans="3:10" x14ac:dyDescent="0.25">
      <c r="C3123" s="4"/>
      <c r="E3123" s="4"/>
      <c r="H3123" s="31" t="str">
        <f t="shared" si="96"/>
        <v/>
      </c>
      <c r="J3123" t="b">
        <f t="shared" si="97"/>
        <v>0</v>
      </c>
    </row>
    <row r="3124" spans="3:10" x14ac:dyDescent="0.25">
      <c r="C3124" s="4"/>
      <c r="E3124" s="4"/>
      <c r="H3124" s="31" t="str">
        <f t="shared" si="96"/>
        <v/>
      </c>
      <c r="J3124" t="b">
        <f t="shared" si="97"/>
        <v>0</v>
      </c>
    </row>
    <row r="3125" spans="3:10" x14ac:dyDescent="0.25">
      <c r="C3125" s="4"/>
      <c r="E3125" s="4"/>
      <c r="H3125" s="31" t="str">
        <f t="shared" si="96"/>
        <v/>
      </c>
      <c r="J3125" t="b">
        <f t="shared" si="97"/>
        <v>0</v>
      </c>
    </row>
    <row r="3126" spans="3:10" x14ac:dyDescent="0.25">
      <c r="C3126" s="4"/>
      <c r="E3126" s="4"/>
      <c r="H3126" s="31" t="str">
        <f t="shared" si="96"/>
        <v/>
      </c>
      <c r="J3126" t="b">
        <f t="shared" si="97"/>
        <v>0</v>
      </c>
    </row>
    <row r="3127" spans="3:10" x14ac:dyDescent="0.25">
      <c r="C3127" s="4"/>
      <c r="E3127" s="4"/>
      <c r="H3127" s="31" t="str">
        <f t="shared" si="96"/>
        <v/>
      </c>
      <c r="J3127" t="b">
        <f t="shared" si="97"/>
        <v>0</v>
      </c>
    </row>
    <row r="3128" spans="3:10" x14ac:dyDescent="0.25">
      <c r="C3128" s="4"/>
      <c r="E3128" s="4"/>
      <c r="H3128" s="31" t="str">
        <f t="shared" si="96"/>
        <v/>
      </c>
      <c r="J3128" t="b">
        <f t="shared" si="97"/>
        <v>0</v>
      </c>
    </row>
    <row r="3129" spans="3:10" x14ac:dyDescent="0.25">
      <c r="C3129" s="4"/>
      <c r="E3129" s="4"/>
      <c r="H3129" s="31" t="str">
        <f t="shared" si="96"/>
        <v/>
      </c>
      <c r="J3129" t="b">
        <f t="shared" si="97"/>
        <v>0</v>
      </c>
    </row>
    <row r="3130" spans="3:10" x14ac:dyDescent="0.25">
      <c r="C3130" s="4"/>
      <c r="E3130" s="4"/>
      <c r="H3130" s="31" t="str">
        <f t="shared" si="96"/>
        <v/>
      </c>
      <c r="J3130" t="b">
        <f t="shared" si="97"/>
        <v>0</v>
      </c>
    </row>
    <row r="3131" spans="3:10" x14ac:dyDescent="0.25">
      <c r="C3131" s="4"/>
      <c r="E3131" s="4"/>
      <c r="H3131" s="31" t="str">
        <f t="shared" si="96"/>
        <v/>
      </c>
      <c r="J3131" t="b">
        <f t="shared" si="97"/>
        <v>0</v>
      </c>
    </row>
    <row r="3132" spans="3:10" x14ac:dyDescent="0.25">
      <c r="C3132" s="4"/>
      <c r="E3132" s="4"/>
      <c r="H3132" s="31" t="str">
        <f t="shared" si="96"/>
        <v/>
      </c>
      <c r="J3132" t="b">
        <f t="shared" si="97"/>
        <v>0</v>
      </c>
    </row>
    <row r="3133" spans="3:10" x14ac:dyDescent="0.25">
      <c r="C3133" s="4"/>
      <c r="E3133" s="4"/>
      <c r="H3133" s="31" t="str">
        <f t="shared" si="96"/>
        <v/>
      </c>
      <c r="J3133" t="b">
        <f t="shared" si="97"/>
        <v>0</v>
      </c>
    </row>
    <row r="3134" spans="3:10" x14ac:dyDescent="0.25">
      <c r="C3134" s="4"/>
      <c r="E3134" s="4"/>
      <c r="H3134" s="31" t="str">
        <f t="shared" si="96"/>
        <v/>
      </c>
      <c r="J3134" t="b">
        <f t="shared" si="97"/>
        <v>0</v>
      </c>
    </row>
    <row r="3135" spans="3:10" x14ac:dyDescent="0.25">
      <c r="C3135" s="4"/>
      <c r="E3135" s="4"/>
      <c r="H3135" s="31" t="str">
        <f t="shared" si="96"/>
        <v/>
      </c>
      <c r="J3135" t="b">
        <f t="shared" si="97"/>
        <v>0</v>
      </c>
    </row>
    <row r="3136" spans="3:10" x14ac:dyDescent="0.25">
      <c r="C3136" s="4"/>
      <c r="E3136" s="4"/>
      <c r="H3136" s="31" t="str">
        <f t="shared" si="96"/>
        <v/>
      </c>
      <c r="J3136" t="b">
        <f t="shared" si="97"/>
        <v>0</v>
      </c>
    </row>
    <row r="3137" spans="3:10" x14ac:dyDescent="0.25">
      <c r="C3137" s="4"/>
      <c r="E3137" s="4"/>
      <c r="H3137" s="31" t="str">
        <f t="shared" si="96"/>
        <v/>
      </c>
      <c r="J3137" t="b">
        <f t="shared" si="97"/>
        <v>0</v>
      </c>
    </row>
    <row r="3138" spans="3:10" x14ac:dyDescent="0.25">
      <c r="C3138" s="4"/>
      <c r="E3138" s="4"/>
      <c r="H3138" s="31" t="str">
        <f t="shared" si="96"/>
        <v/>
      </c>
      <c r="J3138" t="b">
        <f t="shared" si="97"/>
        <v>0</v>
      </c>
    </row>
    <row r="3139" spans="3:10" x14ac:dyDescent="0.25">
      <c r="C3139" s="4"/>
      <c r="E3139" s="4"/>
      <c r="H3139" s="31" t="str">
        <f t="shared" si="96"/>
        <v/>
      </c>
      <c r="J3139" t="b">
        <f t="shared" si="97"/>
        <v>0</v>
      </c>
    </row>
    <row r="3140" spans="3:10" x14ac:dyDescent="0.25">
      <c r="C3140" s="4"/>
      <c r="E3140" s="4"/>
      <c r="H3140" s="31" t="str">
        <f t="shared" ref="H3140:H3203" si="98">IF($J3140=TRUE,"Il ne peut y avoir des valeurs dans les 2 méthodes",IF($D3140="kg/l",$C3140,IF($D3140="g/l",$C3140/1000,IF($D3140="lb/gal US",$C3140*0.454/3.785,IF($G3140="kg/l",($E3140/100)*$F3140,IF($G3140="g/l",($E3140/100)*$F3140/1000,IF($G3140="lb/gal US",($E3140/100)*$F3140*0.454/3.785,"")))))))</f>
        <v/>
      </c>
      <c r="J3140" t="b">
        <f t="shared" ref="J3140:J3203" si="99">IF(AND(OR($C3140&lt;&gt;"",$D3140&lt;&gt;""),OR($E3140&lt;&gt;"",F3140&lt;&gt;"",G3140&lt;&gt;"")),TRUE,FALSE)</f>
        <v>0</v>
      </c>
    </row>
    <row r="3141" spans="3:10" x14ac:dyDescent="0.25">
      <c r="C3141" s="4"/>
      <c r="E3141" s="4"/>
      <c r="H3141" s="31" t="str">
        <f t="shared" si="98"/>
        <v/>
      </c>
      <c r="J3141" t="b">
        <f t="shared" si="99"/>
        <v>0</v>
      </c>
    </row>
    <row r="3142" spans="3:10" x14ac:dyDescent="0.25">
      <c r="C3142" s="4"/>
      <c r="E3142" s="4"/>
      <c r="H3142" s="31" t="str">
        <f t="shared" si="98"/>
        <v/>
      </c>
      <c r="J3142" t="b">
        <f t="shared" si="99"/>
        <v>0</v>
      </c>
    </row>
    <row r="3143" spans="3:10" x14ac:dyDescent="0.25">
      <c r="C3143" s="4"/>
      <c r="E3143" s="4"/>
      <c r="H3143" s="31" t="str">
        <f t="shared" si="98"/>
        <v/>
      </c>
      <c r="J3143" t="b">
        <f t="shared" si="99"/>
        <v>0</v>
      </c>
    </row>
    <row r="3144" spans="3:10" x14ac:dyDescent="0.25">
      <c r="C3144" s="4"/>
      <c r="E3144" s="4"/>
      <c r="H3144" s="31" t="str">
        <f t="shared" si="98"/>
        <v/>
      </c>
      <c r="J3144" t="b">
        <f t="shared" si="99"/>
        <v>0</v>
      </c>
    </row>
    <row r="3145" spans="3:10" x14ac:dyDescent="0.25">
      <c r="C3145" s="4"/>
      <c r="E3145" s="4"/>
      <c r="H3145" s="31" t="str">
        <f t="shared" si="98"/>
        <v/>
      </c>
      <c r="J3145" t="b">
        <f t="shared" si="99"/>
        <v>0</v>
      </c>
    </row>
    <row r="3146" spans="3:10" x14ac:dyDescent="0.25">
      <c r="C3146" s="4"/>
      <c r="E3146" s="4"/>
      <c r="H3146" s="31" t="str">
        <f t="shared" si="98"/>
        <v/>
      </c>
      <c r="J3146" t="b">
        <f t="shared" si="99"/>
        <v>0</v>
      </c>
    </row>
    <row r="3147" spans="3:10" x14ac:dyDescent="0.25">
      <c r="C3147" s="4"/>
      <c r="E3147" s="4"/>
      <c r="H3147" s="31" t="str">
        <f t="shared" si="98"/>
        <v/>
      </c>
      <c r="J3147" t="b">
        <f t="shared" si="99"/>
        <v>0</v>
      </c>
    </row>
    <row r="3148" spans="3:10" x14ac:dyDescent="0.25">
      <c r="C3148" s="4"/>
      <c r="E3148" s="4"/>
      <c r="H3148" s="31" t="str">
        <f t="shared" si="98"/>
        <v/>
      </c>
      <c r="J3148" t="b">
        <f t="shared" si="99"/>
        <v>0</v>
      </c>
    </row>
    <row r="3149" spans="3:10" x14ac:dyDescent="0.25">
      <c r="C3149" s="4"/>
      <c r="E3149" s="4"/>
      <c r="H3149" s="31" t="str">
        <f t="shared" si="98"/>
        <v/>
      </c>
      <c r="J3149" t="b">
        <f t="shared" si="99"/>
        <v>0</v>
      </c>
    </row>
    <row r="3150" spans="3:10" x14ac:dyDescent="0.25">
      <c r="C3150" s="4"/>
      <c r="E3150" s="4"/>
      <c r="H3150" s="31" t="str">
        <f t="shared" si="98"/>
        <v/>
      </c>
      <c r="J3150" t="b">
        <f t="shared" si="99"/>
        <v>0</v>
      </c>
    </row>
    <row r="3151" spans="3:10" x14ac:dyDescent="0.25">
      <c r="C3151" s="4"/>
      <c r="E3151" s="4"/>
      <c r="H3151" s="31" t="str">
        <f t="shared" si="98"/>
        <v/>
      </c>
      <c r="J3151" t="b">
        <f t="shared" si="99"/>
        <v>0</v>
      </c>
    </row>
    <row r="3152" spans="3:10" x14ac:dyDescent="0.25">
      <c r="C3152" s="4"/>
      <c r="E3152" s="4"/>
      <c r="H3152" s="31" t="str">
        <f t="shared" si="98"/>
        <v/>
      </c>
      <c r="J3152" t="b">
        <f t="shared" si="99"/>
        <v>0</v>
      </c>
    </row>
    <row r="3153" spans="3:10" x14ac:dyDescent="0.25">
      <c r="C3153" s="4"/>
      <c r="E3153" s="4"/>
      <c r="H3153" s="31" t="str">
        <f t="shared" si="98"/>
        <v/>
      </c>
      <c r="J3153" t="b">
        <f t="shared" si="99"/>
        <v>0</v>
      </c>
    </row>
    <row r="3154" spans="3:10" x14ac:dyDescent="0.25">
      <c r="C3154" s="4"/>
      <c r="E3154" s="4"/>
      <c r="H3154" s="31" t="str">
        <f t="shared" si="98"/>
        <v/>
      </c>
      <c r="J3154" t="b">
        <f t="shared" si="99"/>
        <v>0</v>
      </c>
    </row>
    <row r="3155" spans="3:10" x14ac:dyDescent="0.25">
      <c r="C3155" s="4"/>
      <c r="E3155" s="4"/>
      <c r="H3155" s="31" t="str">
        <f t="shared" si="98"/>
        <v/>
      </c>
      <c r="J3155" t="b">
        <f t="shared" si="99"/>
        <v>0</v>
      </c>
    </row>
    <row r="3156" spans="3:10" x14ac:dyDescent="0.25">
      <c r="C3156" s="4"/>
      <c r="E3156" s="4"/>
      <c r="H3156" s="31" t="str">
        <f t="shared" si="98"/>
        <v/>
      </c>
      <c r="J3156" t="b">
        <f t="shared" si="99"/>
        <v>0</v>
      </c>
    </row>
    <row r="3157" spans="3:10" x14ac:dyDescent="0.25">
      <c r="C3157" s="4"/>
      <c r="E3157" s="4"/>
      <c r="H3157" s="31" t="str">
        <f t="shared" si="98"/>
        <v/>
      </c>
      <c r="J3157" t="b">
        <f t="shared" si="99"/>
        <v>0</v>
      </c>
    </row>
    <row r="3158" spans="3:10" x14ac:dyDescent="0.25">
      <c r="C3158" s="4"/>
      <c r="E3158" s="4"/>
      <c r="H3158" s="31" t="str">
        <f t="shared" si="98"/>
        <v/>
      </c>
      <c r="J3158" t="b">
        <f t="shared" si="99"/>
        <v>0</v>
      </c>
    </row>
    <row r="3159" spans="3:10" x14ac:dyDescent="0.25">
      <c r="C3159" s="4"/>
      <c r="E3159" s="4"/>
      <c r="H3159" s="31" t="str">
        <f t="shared" si="98"/>
        <v/>
      </c>
      <c r="J3159" t="b">
        <f t="shared" si="99"/>
        <v>0</v>
      </c>
    </row>
    <row r="3160" spans="3:10" x14ac:dyDescent="0.25">
      <c r="C3160" s="4"/>
      <c r="E3160" s="4"/>
      <c r="H3160" s="31" t="str">
        <f t="shared" si="98"/>
        <v/>
      </c>
      <c r="J3160" t="b">
        <f t="shared" si="99"/>
        <v>0</v>
      </c>
    </row>
    <row r="3161" spans="3:10" x14ac:dyDescent="0.25">
      <c r="C3161" s="4"/>
      <c r="E3161" s="4"/>
      <c r="H3161" s="31" t="str">
        <f t="shared" si="98"/>
        <v/>
      </c>
      <c r="J3161" t="b">
        <f t="shared" si="99"/>
        <v>0</v>
      </c>
    </row>
    <row r="3162" spans="3:10" x14ac:dyDescent="0.25">
      <c r="C3162" s="4"/>
      <c r="E3162" s="4"/>
      <c r="H3162" s="31" t="str">
        <f t="shared" si="98"/>
        <v/>
      </c>
      <c r="J3162" t="b">
        <f t="shared" si="99"/>
        <v>0</v>
      </c>
    </row>
    <row r="3163" spans="3:10" x14ac:dyDescent="0.25">
      <c r="C3163" s="4"/>
      <c r="E3163" s="4"/>
      <c r="H3163" s="31" t="str">
        <f t="shared" si="98"/>
        <v/>
      </c>
      <c r="J3163" t="b">
        <f t="shared" si="99"/>
        <v>0</v>
      </c>
    </row>
    <row r="3164" spans="3:10" x14ac:dyDescent="0.25">
      <c r="C3164" s="4"/>
      <c r="E3164" s="4"/>
      <c r="H3164" s="31" t="str">
        <f t="shared" si="98"/>
        <v/>
      </c>
      <c r="J3164" t="b">
        <f t="shared" si="99"/>
        <v>0</v>
      </c>
    </row>
    <row r="3165" spans="3:10" x14ac:dyDescent="0.25">
      <c r="C3165" s="4"/>
      <c r="E3165" s="4"/>
      <c r="H3165" s="31" t="str">
        <f t="shared" si="98"/>
        <v/>
      </c>
      <c r="J3165" t="b">
        <f t="shared" si="99"/>
        <v>0</v>
      </c>
    </row>
    <row r="3166" spans="3:10" x14ac:dyDescent="0.25">
      <c r="C3166" s="4"/>
      <c r="E3166" s="4"/>
      <c r="H3166" s="31" t="str">
        <f t="shared" si="98"/>
        <v/>
      </c>
      <c r="J3166" t="b">
        <f t="shared" si="99"/>
        <v>0</v>
      </c>
    </row>
    <row r="3167" spans="3:10" x14ac:dyDescent="0.25">
      <c r="C3167" s="4"/>
      <c r="E3167" s="4"/>
      <c r="H3167" s="31" t="str">
        <f t="shared" si="98"/>
        <v/>
      </c>
      <c r="J3167" t="b">
        <f t="shared" si="99"/>
        <v>0</v>
      </c>
    </row>
    <row r="3168" spans="3:10" x14ac:dyDescent="0.25">
      <c r="C3168" s="4"/>
      <c r="E3168" s="4"/>
      <c r="H3168" s="31" t="str">
        <f t="shared" si="98"/>
        <v/>
      </c>
      <c r="J3168" t="b">
        <f t="shared" si="99"/>
        <v>0</v>
      </c>
    </row>
    <row r="3169" spans="3:10" x14ac:dyDescent="0.25">
      <c r="C3169" s="4"/>
      <c r="E3169" s="4"/>
      <c r="H3169" s="31" t="str">
        <f t="shared" si="98"/>
        <v/>
      </c>
      <c r="J3169" t="b">
        <f t="shared" si="99"/>
        <v>0</v>
      </c>
    </row>
    <row r="3170" spans="3:10" x14ac:dyDescent="0.25">
      <c r="C3170" s="4"/>
      <c r="E3170" s="4"/>
      <c r="H3170" s="31" t="str">
        <f t="shared" si="98"/>
        <v/>
      </c>
      <c r="J3170" t="b">
        <f t="shared" si="99"/>
        <v>0</v>
      </c>
    </row>
    <row r="3171" spans="3:10" x14ac:dyDescent="0.25">
      <c r="C3171" s="4"/>
      <c r="E3171" s="4"/>
      <c r="H3171" s="31" t="str">
        <f t="shared" si="98"/>
        <v/>
      </c>
      <c r="J3171" t="b">
        <f t="shared" si="99"/>
        <v>0</v>
      </c>
    </row>
    <row r="3172" spans="3:10" x14ac:dyDescent="0.25">
      <c r="C3172" s="4"/>
      <c r="E3172" s="4"/>
      <c r="H3172" s="31" t="str">
        <f t="shared" si="98"/>
        <v/>
      </c>
      <c r="J3172" t="b">
        <f t="shared" si="99"/>
        <v>0</v>
      </c>
    </row>
    <row r="3173" spans="3:10" x14ac:dyDescent="0.25">
      <c r="C3173" s="4"/>
      <c r="E3173" s="4"/>
      <c r="H3173" s="31" t="str">
        <f t="shared" si="98"/>
        <v/>
      </c>
      <c r="J3173" t="b">
        <f t="shared" si="99"/>
        <v>0</v>
      </c>
    </row>
    <row r="3174" spans="3:10" x14ac:dyDescent="0.25">
      <c r="C3174" s="4"/>
      <c r="E3174" s="4"/>
      <c r="H3174" s="31" t="str">
        <f t="shared" si="98"/>
        <v/>
      </c>
      <c r="J3174" t="b">
        <f t="shared" si="99"/>
        <v>0</v>
      </c>
    </row>
    <row r="3175" spans="3:10" x14ac:dyDescent="0.25">
      <c r="C3175" s="4"/>
      <c r="E3175" s="4"/>
      <c r="H3175" s="31" t="str">
        <f t="shared" si="98"/>
        <v/>
      </c>
      <c r="J3175" t="b">
        <f t="shared" si="99"/>
        <v>0</v>
      </c>
    </row>
    <row r="3176" spans="3:10" x14ac:dyDescent="0.25">
      <c r="C3176" s="4"/>
      <c r="E3176" s="4"/>
      <c r="H3176" s="31" t="str">
        <f t="shared" si="98"/>
        <v/>
      </c>
      <c r="J3176" t="b">
        <f t="shared" si="99"/>
        <v>0</v>
      </c>
    </row>
    <row r="3177" spans="3:10" x14ac:dyDescent="0.25">
      <c r="C3177" s="4"/>
      <c r="E3177" s="4"/>
      <c r="H3177" s="31" t="str">
        <f t="shared" si="98"/>
        <v/>
      </c>
      <c r="J3177" t="b">
        <f t="shared" si="99"/>
        <v>0</v>
      </c>
    </row>
    <row r="3178" spans="3:10" x14ac:dyDescent="0.25">
      <c r="C3178" s="4"/>
      <c r="E3178" s="4"/>
      <c r="H3178" s="31" t="str">
        <f t="shared" si="98"/>
        <v/>
      </c>
      <c r="J3178" t="b">
        <f t="shared" si="99"/>
        <v>0</v>
      </c>
    </row>
    <row r="3179" spans="3:10" x14ac:dyDescent="0.25">
      <c r="C3179" s="4"/>
      <c r="E3179" s="4"/>
      <c r="H3179" s="31" t="str">
        <f t="shared" si="98"/>
        <v/>
      </c>
      <c r="J3179" t="b">
        <f t="shared" si="99"/>
        <v>0</v>
      </c>
    </row>
    <row r="3180" spans="3:10" x14ac:dyDescent="0.25">
      <c r="C3180" s="4"/>
      <c r="E3180" s="4"/>
      <c r="H3180" s="31" t="str">
        <f t="shared" si="98"/>
        <v/>
      </c>
      <c r="J3180" t="b">
        <f t="shared" si="99"/>
        <v>0</v>
      </c>
    </row>
    <row r="3181" spans="3:10" x14ac:dyDescent="0.25">
      <c r="C3181" s="4"/>
      <c r="E3181" s="4"/>
      <c r="H3181" s="31" t="str">
        <f t="shared" si="98"/>
        <v/>
      </c>
      <c r="J3181" t="b">
        <f t="shared" si="99"/>
        <v>0</v>
      </c>
    </row>
    <row r="3182" spans="3:10" x14ac:dyDescent="0.25">
      <c r="C3182" s="4"/>
      <c r="E3182" s="4"/>
      <c r="H3182" s="31" t="str">
        <f t="shared" si="98"/>
        <v/>
      </c>
      <c r="J3182" t="b">
        <f t="shared" si="99"/>
        <v>0</v>
      </c>
    </row>
    <row r="3183" spans="3:10" x14ac:dyDescent="0.25">
      <c r="C3183" s="4"/>
      <c r="E3183" s="4"/>
      <c r="H3183" s="31" t="str">
        <f t="shared" si="98"/>
        <v/>
      </c>
      <c r="J3183" t="b">
        <f t="shared" si="99"/>
        <v>0</v>
      </c>
    </row>
    <row r="3184" spans="3:10" x14ac:dyDescent="0.25">
      <c r="C3184" s="4"/>
      <c r="E3184" s="4"/>
      <c r="H3184" s="31" t="str">
        <f t="shared" si="98"/>
        <v/>
      </c>
      <c r="J3184" t="b">
        <f t="shared" si="99"/>
        <v>0</v>
      </c>
    </row>
    <row r="3185" spans="3:10" x14ac:dyDescent="0.25">
      <c r="C3185" s="4"/>
      <c r="E3185" s="4"/>
      <c r="H3185" s="31" t="str">
        <f t="shared" si="98"/>
        <v/>
      </c>
      <c r="J3185" t="b">
        <f t="shared" si="99"/>
        <v>0</v>
      </c>
    </row>
    <row r="3186" spans="3:10" x14ac:dyDescent="0.25">
      <c r="C3186" s="4"/>
      <c r="E3186" s="4"/>
      <c r="H3186" s="31" t="str">
        <f t="shared" si="98"/>
        <v/>
      </c>
      <c r="J3186" t="b">
        <f t="shared" si="99"/>
        <v>0</v>
      </c>
    </row>
    <row r="3187" spans="3:10" x14ac:dyDescent="0.25">
      <c r="C3187" s="4"/>
      <c r="E3187" s="4"/>
      <c r="H3187" s="31" t="str">
        <f t="shared" si="98"/>
        <v/>
      </c>
      <c r="J3187" t="b">
        <f t="shared" si="99"/>
        <v>0</v>
      </c>
    </row>
    <row r="3188" spans="3:10" x14ac:dyDescent="0.25">
      <c r="C3188" s="4"/>
      <c r="E3188" s="4"/>
      <c r="H3188" s="31" t="str">
        <f t="shared" si="98"/>
        <v/>
      </c>
      <c r="J3188" t="b">
        <f t="shared" si="99"/>
        <v>0</v>
      </c>
    </row>
    <row r="3189" spans="3:10" x14ac:dyDescent="0.25">
      <c r="C3189" s="4"/>
      <c r="E3189" s="4"/>
      <c r="H3189" s="31" t="str">
        <f t="shared" si="98"/>
        <v/>
      </c>
      <c r="J3189" t="b">
        <f t="shared" si="99"/>
        <v>0</v>
      </c>
    </row>
    <row r="3190" spans="3:10" x14ac:dyDescent="0.25">
      <c r="C3190" s="4"/>
      <c r="E3190" s="4"/>
      <c r="H3190" s="31" t="str">
        <f t="shared" si="98"/>
        <v/>
      </c>
      <c r="J3190" t="b">
        <f t="shared" si="99"/>
        <v>0</v>
      </c>
    </row>
    <row r="3191" spans="3:10" x14ac:dyDescent="0.25">
      <c r="C3191" s="4"/>
      <c r="E3191" s="4"/>
      <c r="H3191" s="31" t="str">
        <f t="shared" si="98"/>
        <v/>
      </c>
      <c r="J3191" t="b">
        <f t="shared" si="99"/>
        <v>0</v>
      </c>
    </row>
    <row r="3192" spans="3:10" x14ac:dyDescent="0.25">
      <c r="C3192" s="4"/>
      <c r="E3192" s="4"/>
      <c r="H3192" s="31" t="str">
        <f t="shared" si="98"/>
        <v/>
      </c>
      <c r="J3192" t="b">
        <f t="shared" si="99"/>
        <v>0</v>
      </c>
    </row>
    <row r="3193" spans="3:10" x14ac:dyDescent="0.25">
      <c r="C3193" s="4"/>
      <c r="E3193" s="4"/>
      <c r="H3193" s="31" t="str">
        <f t="shared" si="98"/>
        <v/>
      </c>
      <c r="J3193" t="b">
        <f t="shared" si="99"/>
        <v>0</v>
      </c>
    </row>
    <row r="3194" spans="3:10" x14ac:dyDescent="0.25">
      <c r="C3194" s="4"/>
      <c r="E3194" s="4"/>
      <c r="H3194" s="31" t="str">
        <f t="shared" si="98"/>
        <v/>
      </c>
      <c r="J3194" t="b">
        <f t="shared" si="99"/>
        <v>0</v>
      </c>
    </row>
    <row r="3195" spans="3:10" x14ac:dyDescent="0.25">
      <c r="C3195" s="4"/>
      <c r="E3195" s="4"/>
      <c r="H3195" s="31" t="str">
        <f t="shared" si="98"/>
        <v/>
      </c>
      <c r="J3195" t="b">
        <f t="shared" si="99"/>
        <v>0</v>
      </c>
    </row>
    <row r="3196" spans="3:10" x14ac:dyDescent="0.25">
      <c r="C3196" s="4"/>
      <c r="E3196" s="4"/>
      <c r="H3196" s="31" t="str">
        <f t="shared" si="98"/>
        <v/>
      </c>
      <c r="J3196" t="b">
        <f t="shared" si="99"/>
        <v>0</v>
      </c>
    </row>
    <row r="3197" spans="3:10" x14ac:dyDescent="0.25">
      <c r="C3197" s="4"/>
      <c r="E3197" s="4"/>
      <c r="H3197" s="31" t="str">
        <f t="shared" si="98"/>
        <v/>
      </c>
      <c r="J3197" t="b">
        <f t="shared" si="99"/>
        <v>0</v>
      </c>
    </row>
    <row r="3198" spans="3:10" x14ac:dyDescent="0.25">
      <c r="C3198" s="4"/>
      <c r="E3198" s="4"/>
      <c r="H3198" s="31" t="str">
        <f t="shared" si="98"/>
        <v/>
      </c>
      <c r="J3198" t="b">
        <f t="shared" si="99"/>
        <v>0</v>
      </c>
    </row>
    <row r="3199" spans="3:10" x14ac:dyDescent="0.25">
      <c r="C3199" s="4"/>
      <c r="E3199" s="4"/>
      <c r="H3199" s="31" t="str">
        <f t="shared" si="98"/>
        <v/>
      </c>
      <c r="J3199" t="b">
        <f t="shared" si="99"/>
        <v>0</v>
      </c>
    </row>
    <row r="3200" spans="3:10" x14ac:dyDescent="0.25">
      <c r="C3200" s="4"/>
      <c r="E3200" s="4"/>
      <c r="H3200" s="31" t="str">
        <f t="shared" si="98"/>
        <v/>
      </c>
      <c r="J3200" t="b">
        <f t="shared" si="99"/>
        <v>0</v>
      </c>
    </row>
    <row r="3201" spans="3:10" x14ac:dyDescent="0.25">
      <c r="C3201" s="4"/>
      <c r="E3201" s="4"/>
      <c r="H3201" s="31" t="str">
        <f t="shared" si="98"/>
        <v/>
      </c>
      <c r="J3201" t="b">
        <f t="shared" si="99"/>
        <v>0</v>
      </c>
    </row>
    <row r="3202" spans="3:10" x14ac:dyDescent="0.25">
      <c r="C3202" s="4"/>
      <c r="E3202" s="4"/>
      <c r="H3202" s="31" t="str">
        <f t="shared" si="98"/>
        <v/>
      </c>
      <c r="J3202" t="b">
        <f t="shared" si="99"/>
        <v>0</v>
      </c>
    </row>
    <row r="3203" spans="3:10" x14ac:dyDescent="0.25">
      <c r="C3203" s="4"/>
      <c r="E3203" s="4"/>
      <c r="H3203" s="31" t="str">
        <f t="shared" si="98"/>
        <v/>
      </c>
      <c r="J3203" t="b">
        <f t="shared" si="99"/>
        <v>0</v>
      </c>
    </row>
    <row r="3204" spans="3:10" x14ac:dyDescent="0.25">
      <c r="C3204" s="4"/>
      <c r="E3204" s="4"/>
      <c r="H3204" s="31" t="str">
        <f t="shared" ref="H3204:H3267" si="100">IF($J3204=TRUE,"Il ne peut y avoir des valeurs dans les 2 méthodes",IF($D3204="kg/l",$C3204,IF($D3204="g/l",$C3204/1000,IF($D3204="lb/gal US",$C3204*0.454/3.785,IF($G3204="kg/l",($E3204/100)*$F3204,IF($G3204="g/l",($E3204/100)*$F3204/1000,IF($G3204="lb/gal US",($E3204/100)*$F3204*0.454/3.785,"")))))))</f>
        <v/>
      </c>
      <c r="J3204" t="b">
        <f t="shared" ref="J3204:J3267" si="101">IF(AND(OR($C3204&lt;&gt;"",$D3204&lt;&gt;""),OR($E3204&lt;&gt;"",F3204&lt;&gt;"",G3204&lt;&gt;"")),TRUE,FALSE)</f>
        <v>0</v>
      </c>
    </row>
    <row r="3205" spans="3:10" x14ac:dyDescent="0.25">
      <c r="C3205" s="4"/>
      <c r="E3205" s="4"/>
      <c r="H3205" s="31" t="str">
        <f t="shared" si="100"/>
        <v/>
      </c>
      <c r="J3205" t="b">
        <f t="shared" si="101"/>
        <v>0</v>
      </c>
    </row>
    <row r="3206" spans="3:10" x14ac:dyDescent="0.25">
      <c r="C3206" s="4"/>
      <c r="E3206" s="4"/>
      <c r="H3206" s="31" t="str">
        <f t="shared" si="100"/>
        <v/>
      </c>
      <c r="J3206" t="b">
        <f t="shared" si="101"/>
        <v>0</v>
      </c>
    </row>
    <row r="3207" spans="3:10" x14ac:dyDescent="0.25">
      <c r="C3207" s="4"/>
      <c r="E3207" s="4"/>
      <c r="H3207" s="31" t="str">
        <f t="shared" si="100"/>
        <v/>
      </c>
      <c r="J3207" t="b">
        <f t="shared" si="101"/>
        <v>0</v>
      </c>
    </row>
    <row r="3208" spans="3:10" x14ac:dyDescent="0.25">
      <c r="C3208" s="4"/>
      <c r="E3208" s="4"/>
      <c r="H3208" s="31" t="str">
        <f t="shared" si="100"/>
        <v/>
      </c>
      <c r="J3208" t="b">
        <f t="shared" si="101"/>
        <v>0</v>
      </c>
    </row>
    <row r="3209" spans="3:10" x14ac:dyDescent="0.25">
      <c r="C3209" s="4"/>
      <c r="E3209" s="4"/>
      <c r="H3209" s="31" t="str">
        <f t="shared" si="100"/>
        <v/>
      </c>
      <c r="J3209" t="b">
        <f t="shared" si="101"/>
        <v>0</v>
      </c>
    </row>
    <row r="3210" spans="3:10" x14ac:dyDescent="0.25">
      <c r="C3210" s="4"/>
      <c r="E3210" s="4"/>
      <c r="H3210" s="31" t="str">
        <f t="shared" si="100"/>
        <v/>
      </c>
      <c r="J3210" t="b">
        <f t="shared" si="101"/>
        <v>0</v>
      </c>
    </row>
    <row r="3211" spans="3:10" x14ac:dyDescent="0.25">
      <c r="C3211" s="4"/>
      <c r="E3211" s="4"/>
      <c r="H3211" s="31" t="str">
        <f t="shared" si="100"/>
        <v/>
      </c>
      <c r="J3211" t="b">
        <f t="shared" si="101"/>
        <v>0</v>
      </c>
    </row>
    <row r="3212" spans="3:10" x14ac:dyDescent="0.25">
      <c r="C3212" s="4"/>
      <c r="E3212" s="4"/>
      <c r="H3212" s="31" t="str">
        <f t="shared" si="100"/>
        <v/>
      </c>
      <c r="J3212" t="b">
        <f t="shared" si="101"/>
        <v>0</v>
      </c>
    </row>
    <row r="3213" spans="3:10" x14ac:dyDescent="0.25">
      <c r="C3213" s="4"/>
      <c r="E3213" s="4"/>
      <c r="H3213" s="31" t="str">
        <f t="shared" si="100"/>
        <v/>
      </c>
      <c r="J3213" t="b">
        <f t="shared" si="101"/>
        <v>0</v>
      </c>
    </row>
    <row r="3214" spans="3:10" x14ac:dyDescent="0.25">
      <c r="C3214" s="4"/>
      <c r="E3214" s="4"/>
      <c r="H3214" s="31" t="str">
        <f t="shared" si="100"/>
        <v/>
      </c>
      <c r="J3214" t="b">
        <f t="shared" si="101"/>
        <v>0</v>
      </c>
    </row>
    <row r="3215" spans="3:10" x14ac:dyDescent="0.25">
      <c r="C3215" s="4"/>
      <c r="E3215" s="4"/>
      <c r="H3215" s="31" t="str">
        <f t="shared" si="100"/>
        <v/>
      </c>
      <c r="J3215" t="b">
        <f t="shared" si="101"/>
        <v>0</v>
      </c>
    </row>
    <row r="3216" spans="3:10" x14ac:dyDescent="0.25">
      <c r="C3216" s="4"/>
      <c r="E3216" s="4"/>
      <c r="H3216" s="31" t="str">
        <f t="shared" si="100"/>
        <v/>
      </c>
      <c r="J3216" t="b">
        <f t="shared" si="101"/>
        <v>0</v>
      </c>
    </row>
    <row r="3217" spans="3:10" x14ac:dyDescent="0.25">
      <c r="C3217" s="4"/>
      <c r="E3217" s="4"/>
      <c r="H3217" s="31" t="str">
        <f t="shared" si="100"/>
        <v/>
      </c>
      <c r="J3217" t="b">
        <f t="shared" si="101"/>
        <v>0</v>
      </c>
    </row>
    <row r="3218" spans="3:10" x14ac:dyDescent="0.25">
      <c r="C3218" s="4"/>
      <c r="E3218" s="4"/>
      <c r="H3218" s="31" t="str">
        <f t="shared" si="100"/>
        <v/>
      </c>
      <c r="J3218" t="b">
        <f t="shared" si="101"/>
        <v>0</v>
      </c>
    </row>
    <row r="3219" spans="3:10" x14ac:dyDescent="0.25">
      <c r="C3219" s="4"/>
      <c r="E3219" s="4"/>
      <c r="H3219" s="31" t="str">
        <f t="shared" si="100"/>
        <v/>
      </c>
      <c r="J3219" t="b">
        <f t="shared" si="101"/>
        <v>0</v>
      </c>
    </row>
    <row r="3220" spans="3:10" x14ac:dyDescent="0.25">
      <c r="C3220" s="4"/>
      <c r="E3220" s="4"/>
      <c r="H3220" s="31" t="str">
        <f t="shared" si="100"/>
        <v/>
      </c>
      <c r="J3220" t="b">
        <f t="shared" si="101"/>
        <v>0</v>
      </c>
    </row>
    <row r="3221" spans="3:10" x14ac:dyDescent="0.25">
      <c r="C3221" s="4"/>
      <c r="E3221" s="4"/>
      <c r="H3221" s="31" t="str">
        <f t="shared" si="100"/>
        <v/>
      </c>
      <c r="J3221" t="b">
        <f t="shared" si="101"/>
        <v>0</v>
      </c>
    </row>
    <row r="3222" spans="3:10" x14ac:dyDescent="0.25">
      <c r="C3222" s="4"/>
      <c r="E3222" s="4"/>
      <c r="H3222" s="31" t="str">
        <f t="shared" si="100"/>
        <v/>
      </c>
      <c r="J3222" t="b">
        <f t="shared" si="101"/>
        <v>0</v>
      </c>
    </row>
    <row r="3223" spans="3:10" x14ac:dyDescent="0.25">
      <c r="C3223" s="4"/>
      <c r="E3223" s="4"/>
      <c r="H3223" s="31" t="str">
        <f t="shared" si="100"/>
        <v/>
      </c>
      <c r="J3223" t="b">
        <f t="shared" si="101"/>
        <v>0</v>
      </c>
    </row>
    <row r="3224" spans="3:10" x14ac:dyDescent="0.25">
      <c r="C3224" s="4"/>
      <c r="E3224" s="4"/>
      <c r="H3224" s="31" t="str">
        <f t="shared" si="100"/>
        <v/>
      </c>
      <c r="J3224" t="b">
        <f t="shared" si="101"/>
        <v>0</v>
      </c>
    </row>
    <row r="3225" spans="3:10" x14ac:dyDescent="0.25">
      <c r="C3225" s="4"/>
      <c r="E3225" s="4"/>
      <c r="H3225" s="31" t="str">
        <f t="shared" si="100"/>
        <v/>
      </c>
      <c r="J3225" t="b">
        <f t="shared" si="101"/>
        <v>0</v>
      </c>
    </row>
    <row r="3226" spans="3:10" x14ac:dyDescent="0.25">
      <c r="C3226" s="4"/>
      <c r="E3226" s="4"/>
      <c r="H3226" s="31" t="str">
        <f t="shared" si="100"/>
        <v/>
      </c>
      <c r="J3226" t="b">
        <f t="shared" si="101"/>
        <v>0</v>
      </c>
    </row>
    <row r="3227" spans="3:10" x14ac:dyDescent="0.25">
      <c r="C3227" s="4"/>
      <c r="E3227" s="4"/>
      <c r="H3227" s="31" t="str">
        <f t="shared" si="100"/>
        <v/>
      </c>
      <c r="J3227" t="b">
        <f t="shared" si="101"/>
        <v>0</v>
      </c>
    </row>
    <row r="3228" spans="3:10" x14ac:dyDescent="0.25">
      <c r="C3228" s="4"/>
      <c r="E3228" s="4"/>
      <c r="H3228" s="31" t="str">
        <f t="shared" si="100"/>
        <v/>
      </c>
      <c r="J3228" t="b">
        <f t="shared" si="101"/>
        <v>0</v>
      </c>
    </row>
    <row r="3229" spans="3:10" x14ac:dyDescent="0.25">
      <c r="C3229" s="4"/>
      <c r="E3229" s="4"/>
      <c r="H3229" s="31" t="str">
        <f t="shared" si="100"/>
        <v/>
      </c>
      <c r="J3229" t="b">
        <f t="shared" si="101"/>
        <v>0</v>
      </c>
    </row>
    <row r="3230" spans="3:10" x14ac:dyDescent="0.25">
      <c r="C3230" s="4"/>
      <c r="E3230" s="4"/>
      <c r="H3230" s="31" t="str">
        <f t="shared" si="100"/>
        <v/>
      </c>
      <c r="J3230" t="b">
        <f t="shared" si="101"/>
        <v>0</v>
      </c>
    </row>
    <row r="3231" spans="3:10" x14ac:dyDescent="0.25">
      <c r="C3231" s="4"/>
      <c r="E3231" s="4"/>
      <c r="H3231" s="31" t="str">
        <f t="shared" si="100"/>
        <v/>
      </c>
      <c r="J3231" t="b">
        <f t="shared" si="101"/>
        <v>0</v>
      </c>
    </row>
    <row r="3232" spans="3:10" x14ac:dyDescent="0.25">
      <c r="C3232" s="4"/>
      <c r="E3232" s="4"/>
      <c r="H3232" s="31" t="str">
        <f t="shared" si="100"/>
        <v/>
      </c>
      <c r="J3232" t="b">
        <f t="shared" si="101"/>
        <v>0</v>
      </c>
    </row>
    <row r="3233" spans="3:10" x14ac:dyDescent="0.25">
      <c r="C3233" s="4"/>
      <c r="E3233" s="4"/>
      <c r="H3233" s="31" t="str">
        <f t="shared" si="100"/>
        <v/>
      </c>
      <c r="J3233" t="b">
        <f t="shared" si="101"/>
        <v>0</v>
      </c>
    </row>
    <row r="3234" spans="3:10" x14ac:dyDescent="0.25">
      <c r="C3234" s="4"/>
      <c r="E3234" s="4"/>
      <c r="H3234" s="31" t="str">
        <f t="shared" si="100"/>
        <v/>
      </c>
      <c r="J3234" t="b">
        <f t="shared" si="101"/>
        <v>0</v>
      </c>
    </row>
    <row r="3235" spans="3:10" x14ac:dyDescent="0.25">
      <c r="C3235" s="4"/>
      <c r="E3235" s="4"/>
      <c r="H3235" s="31" t="str">
        <f t="shared" si="100"/>
        <v/>
      </c>
      <c r="J3235" t="b">
        <f t="shared" si="101"/>
        <v>0</v>
      </c>
    </row>
    <row r="3236" spans="3:10" x14ac:dyDescent="0.25">
      <c r="C3236" s="4"/>
      <c r="E3236" s="4"/>
      <c r="H3236" s="31" t="str">
        <f t="shared" si="100"/>
        <v/>
      </c>
      <c r="J3236" t="b">
        <f t="shared" si="101"/>
        <v>0</v>
      </c>
    </row>
    <row r="3237" spans="3:10" x14ac:dyDescent="0.25">
      <c r="C3237" s="4"/>
      <c r="E3237" s="4"/>
      <c r="H3237" s="31" t="str">
        <f t="shared" si="100"/>
        <v/>
      </c>
      <c r="J3237" t="b">
        <f t="shared" si="101"/>
        <v>0</v>
      </c>
    </row>
    <row r="3238" spans="3:10" x14ac:dyDescent="0.25">
      <c r="C3238" s="4"/>
      <c r="E3238" s="4"/>
      <c r="H3238" s="31" t="str">
        <f t="shared" si="100"/>
        <v/>
      </c>
      <c r="J3238" t="b">
        <f t="shared" si="101"/>
        <v>0</v>
      </c>
    </row>
    <row r="3239" spans="3:10" x14ac:dyDescent="0.25">
      <c r="C3239" s="4"/>
      <c r="E3239" s="4"/>
      <c r="H3239" s="31" t="str">
        <f t="shared" si="100"/>
        <v/>
      </c>
      <c r="J3239" t="b">
        <f t="shared" si="101"/>
        <v>0</v>
      </c>
    </row>
    <row r="3240" spans="3:10" x14ac:dyDescent="0.25">
      <c r="C3240" s="4"/>
      <c r="E3240" s="4"/>
      <c r="H3240" s="31" t="str">
        <f t="shared" si="100"/>
        <v/>
      </c>
      <c r="J3240" t="b">
        <f t="shared" si="101"/>
        <v>0</v>
      </c>
    </row>
    <row r="3241" spans="3:10" x14ac:dyDescent="0.25">
      <c r="C3241" s="4"/>
      <c r="E3241" s="4"/>
      <c r="H3241" s="31" t="str">
        <f t="shared" si="100"/>
        <v/>
      </c>
      <c r="J3241" t="b">
        <f t="shared" si="101"/>
        <v>0</v>
      </c>
    </row>
    <row r="3242" spans="3:10" x14ac:dyDescent="0.25">
      <c r="C3242" s="4"/>
      <c r="E3242" s="4"/>
      <c r="H3242" s="31" t="str">
        <f t="shared" si="100"/>
        <v/>
      </c>
      <c r="J3242" t="b">
        <f t="shared" si="101"/>
        <v>0</v>
      </c>
    </row>
    <row r="3243" spans="3:10" x14ac:dyDescent="0.25">
      <c r="C3243" s="4"/>
      <c r="E3243" s="4"/>
      <c r="H3243" s="31" t="str">
        <f t="shared" si="100"/>
        <v/>
      </c>
      <c r="J3243" t="b">
        <f t="shared" si="101"/>
        <v>0</v>
      </c>
    </row>
    <row r="3244" spans="3:10" x14ac:dyDescent="0.25">
      <c r="C3244" s="4"/>
      <c r="E3244" s="4"/>
      <c r="H3244" s="31" t="str">
        <f t="shared" si="100"/>
        <v/>
      </c>
      <c r="J3244" t="b">
        <f t="shared" si="101"/>
        <v>0</v>
      </c>
    </row>
    <row r="3245" spans="3:10" x14ac:dyDescent="0.25">
      <c r="C3245" s="4"/>
      <c r="E3245" s="4"/>
      <c r="H3245" s="31" t="str">
        <f t="shared" si="100"/>
        <v/>
      </c>
      <c r="J3245" t="b">
        <f t="shared" si="101"/>
        <v>0</v>
      </c>
    </row>
    <row r="3246" spans="3:10" x14ac:dyDescent="0.25">
      <c r="C3246" s="4"/>
      <c r="E3246" s="4"/>
      <c r="H3246" s="31" t="str">
        <f t="shared" si="100"/>
        <v/>
      </c>
      <c r="J3246" t="b">
        <f t="shared" si="101"/>
        <v>0</v>
      </c>
    </row>
    <row r="3247" spans="3:10" x14ac:dyDescent="0.25">
      <c r="C3247" s="4"/>
      <c r="E3247" s="4"/>
      <c r="H3247" s="31" t="str">
        <f t="shared" si="100"/>
        <v/>
      </c>
      <c r="J3247" t="b">
        <f t="shared" si="101"/>
        <v>0</v>
      </c>
    </row>
    <row r="3248" spans="3:10" x14ac:dyDescent="0.25">
      <c r="C3248" s="4"/>
      <c r="E3248" s="4"/>
      <c r="H3248" s="31" t="str">
        <f t="shared" si="100"/>
        <v/>
      </c>
      <c r="J3248" t="b">
        <f t="shared" si="101"/>
        <v>0</v>
      </c>
    </row>
    <row r="3249" spans="3:10" x14ac:dyDescent="0.25">
      <c r="C3249" s="4"/>
      <c r="E3249" s="4"/>
      <c r="H3249" s="31" t="str">
        <f t="shared" si="100"/>
        <v/>
      </c>
      <c r="J3249" t="b">
        <f t="shared" si="101"/>
        <v>0</v>
      </c>
    </row>
    <row r="3250" spans="3:10" x14ac:dyDescent="0.25">
      <c r="C3250" s="4"/>
      <c r="E3250" s="4"/>
      <c r="H3250" s="31" t="str">
        <f t="shared" si="100"/>
        <v/>
      </c>
      <c r="J3250" t="b">
        <f t="shared" si="101"/>
        <v>0</v>
      </c>
    </row>
    <row r="3251" spans="3:10" x14ac:dyDescent="0.25">
      <c r="C3251" s="4"/>
      <c r="E3251" s="4"/>
      <c r="H3251" s="31" t="str">
        <f t="shared" si="100"/>
        <v/>
      </c>
      <c r="J3251" t="b">
        <f t="shared" si="101"/>
        <v>0</v>
      </c>
    </row>
    <row r="3252" spans="3:10" x14ac:dyDescent="0.25">
      <c r="C3252" s="4"/>
      <c r="E3252" s="4"/>
      <c r="H3252" s="31" t="str">
        <f t="shared" si="100"/>
        <v/>
      </c>
      <c r="J3252" t="b">
        <f t="shared" si="101"/>
        <v>0</v>
      </c>
    </row>
    <row r="3253" spans="3:10" x14ac:dyDescent="0.25">
      <c r="C3253" s="4"/>
      <c r="E3253" s="4"/>
      <c r="H3253" s="31" t="str">
        <f t="shared" si="100"/>
        <v/>
      </c>
      <c r="J3253" t="b">
        <f t="shared" si="101"/>
        <v>0</v>
      </c>
    </row>
    <row r="3254" spans="3:10" x14ac:dyDescent="0.25">
      <c r="C3254" s="4"/>
      <c r="E3254" s="4"/>
      <c r="H3254" s="31" t="str">
        <f t="shared" si="100"/>
        <v/>
      </c>
      <c r="J3254" t="b">
        <f t="shared" si="101"/>
        <v>0</v>
      </c>
    </row>
    <row r="3255" spans="3:10" x14ac:dyDescent="0.25">
      <c r="C3255" s="4"/>
      <c r="E3255" s="4"/>
      <c r="H3255" s="31" t="str">
        <f t="shared" si="100"/>
        <v/>
      </c>
      <c r="J3255" t="b">
        <f t="shared" si="101"/>
        <v>0</v>
      </c>
    </row>
    <row r="3256" spans="3:10" x14ac:dyDescent="0.25">
      <c r="C3256" s="4"/>
      <c r="E3256" s="4"/>
      <c r="H3256" s="31" t="str">
        <f t="shared" si="100"/>
        <v/>
      </c>
      <c r="J3256" t="b">
        <f t="shared" si="101"/>
        <v>0</v>
      </c>
    </row>
    <row r="3257" spans="3:10" x14ac:dyDescent="0.25">
      <c r="C3257" s="4"/>
      <c r="E3257" s="4"/>
      <c r="H3257" s="31" t="str">
        <f t="shared" si="100"/>
        <v/>
      </c>
      <c r="J3257" t="b">
        <f t="shared" si="101"/>
        <v>0</v>
      </c>
    </row>
    <row r="3258" spans="3:10" x14ac:dyDescent="0.25">
      <c r="C3258" s="4"/>
      <c r="E3258" s="4"/>
      <c r="H3258" s="31" t="str">
        <f t="shared" si="100"/>
        <v/>
      </c>
      <c r="J3258" t="b">
        <f t="shared" si="101"/>
        <v>0</v>
      </c>
    </row>
    <row r="3259" spans="3:10" x14ac:dyDescent="0.25">
      <c r="C3259" s="4"/>
      <c r="E3259" s="4"/>
      <c r="H3259" s="31" t="str">
        <f t="shared" si="100"/>
        <v/>
      </c>
      <c r="J3259" t="b">
        <f t="shared" si="101"/>
        <v>0</v>
      </c>
    </row>
    <row r="3260" spans="3:10" x14ac:dyDescent="0.25">
      <c r="C3260" s="4"/>
      <c r="E3260" s="4"/>
      <c r="H3260" s="31" t="str">
        <f t="shared" si="100"/>
        <v/>
      </c>
      <c r="J3260" t="b">
        <f t="shared" si="101"/>
        <v>0</v>
      </c>
    </row>
    <row r="3261" spans="3:10" x14ac:dyDescent="0.25">
      <c r="C3261" s="4"/>
      <c r="E3261" s="4"/>
      <c r="H3261" s="31" t="str">
        <f t="shared" si="100"/>
        <v/>
      </c>
      <c r="J3261" t="b">
        <f t="shared" si="101"/>
        <v>0</v>
      </c>
    </row>
    <row r="3262" spans="3:10" x14ac:dyDescent="0.25">
      <c r="C3262" s="4"/>
      <c r="E3262" s="4"/>
      <c r="H3262" s="31" t="str">
        <f t="shared" si="100"/>
        <v/>
      </c>
      <c r="J3262" t="b">
        <f t="shared" si="101"/>
        <v>0</v>
      </c>
    </row>
    <row r="3263" spans="3:10" x14ac:dyDescent="0.25">
      <c r="C3263" s="4"/>
      <c r="E3263" s="4"/>
      <c r="H3263" s="31" t="str">
        <f t="shared" si="100"/>
        <v/>
      </c>
      <c r="J3263" t="b">
        <f t="shared" si="101"/>
        <v>0</v>
      </c>
    </row>
    <row r="3264" spans="3:10" x14ac:dyDescent="0.25">
      <c r="C3264" s="4"/>
      <c r="E3264" s="4"/>
      <c r="H3264" s="31" t="str">
        <f t="shared" si="100"/>
        <v/>
      </c>
      <c r="J3264" t="b">
        <f t="shared" si="101"/>
        <v>0</v>
      </c>
    </row>
    <row r="3265" spans="3:10" x14ac:dyDescent="0.25">
      <c r="C3265" s="4"/>
      <c r="E3265" s="4"/>
      <c r="H3265" s="31" t="str">
        <f t="shared" si="100"/>
        <v/>
      </c>
      <c r="J3265" t="b">
        <f t="shared" si="101"/>
        <v>0</v>
      </c>
    </row>
    <row r="3266" spans="3:10" x14ac:dyDescent="0.25">
      <c r="C3266" s="4"/>
      <c r="E3266" s="4"/>
      <c r="H3266" s="31" t="str">
        <f t="shared" si="100"/>
        <v/>
      </c>
      <c r="J3266" t="b">
        <f t="shared" si="101"/>
        <v>0</v>
      </c>
    </row>
    <row r="3267" spans="3:10" x14ac:dyDescent="0.25">
      <c r="C3267" s="4"/>
      <c r="E3267" s="4"/>
      <c r="H3267" s="31" t="str">
        <f t="shared" si="100"/>
        <v/>
      </c>
      <c r="J3267" t="b">
        <f t="shared" si="101"/>
        <v>0</v>
      </c>
    </row>
    <row r="3268" spans="3:10" x14ac:dyDescent="0.25">
      <c r="C3268" s="4"/>
      <c r="E3268" s="4"/>
      <c r="H3268" s="31" t="str">
        <f t="shared" ref="H3268:H3331" si="102">IF($J3268=TRUE,"Il ne peut y avoir des valeurs dans les 2 méthodes",IF($D3268="kg/l",$C3268,IF($D3268="g/l",$C3268/1000,IF($D3268="lb/gal US",$C3268*0.454/3.785,IF($G3268="kg/l",($E3268/100)*$F3268,IF($G3268="g/l",($E3268/100)*$F3268/1000,IF($G3268="lb/gal US",($E3268/100)*$F3268*0.454/3.785,"")))))))</f>
        <v/>
      </c>
      <c r="J3268" t="b">
        <f t="shared" ref="J3268:J3331" si="103">IF(AND(OR($C3268&lt;&gt;"",$D3268&lt;&gt;""),OR($E3268&lt;&gt;"",F3268&lt;&gt;"",G3268&lt;&gt;"")),TRUE,FALSE)</f>
        <v>0</v>
      </c>
    </row>
    <row r="3269" spans="3:10" x14ac:dyDescent="0.25">
      <c r="C3269" s="4"/>
      <c r="E3269" s="4"/>
      <c r="H3269" s="31" t="str">
        <f t="shared" si="102"/>
        <v/>
      </c>
      <c r="J3269" t="b">
        <f t="shared" si="103"/>
        <v>0</v>
      </c>
    </row>
    <row r="3270" spans="3:10" x14ac:dyDescent="0.25">
      <c r="C3270" s="4"/>
      <c r="E3270" s="4"/>
      <c r="H3270" s="31" t="str">
        <f t="shared" si="102"/>
        <v/>
      </c>
      <c r="J3270" t="b">
        <f t="shared" si="103"/>
        <v>0</v>
      </c>
    </row>
    <row r="3271" spans="3:10" x14ac:dyDescent="0.25">
      <c r="C3271" s="4"/>
      <c r="E3271" s="4"/>
      <c r="H3271" s="31" t="str">
        <f t="shared" si="102"/>
        <v/>
      </c>
      <c r="J3271" t="b">
        <f t="shared" si="103"/>
        <v>0</v>
      </c>
    </row>
    <row r="3272" spans="3:10" x14ac:dyDescent="0.25">
      <c r="C3272" s="4"/>
      <c r="E3272" s="4"/>
      <c r="H3272" s="31" t="str">
        <f t="shared" si="102"/>
        <v/>
      </c>
      <c r="J3272" t="b">
        <f t="shared" si="103"/>
        <v>0</v>
      </c>
    </row>
    <row r="3273" spans="3:10" x14ac:dyDescent="0.25">
      <c r="C3273" s="4"/>
      <c r="E3273" s="4"/>
      <c r="H3273" s="31" t="str">
        <f t="shared" si="102"/>
        <v/>
      </c>
      <c r="J3273" t="b">
        <f t="shared" si="103"/>
        <v>0</v>
      </c>
    </row>
    <row r="3274" spans="3:10" x14ac:dyDescent="0.25">
      <c r="C3274" s="4"/>
      <c r="E3274" s="4"/>
      <c r="H3274" s="31" t="str">
        <f t="shared" si="102"/>
        <v/>
      </c>
      <c r="J3274" t="b">
        <f t="shared" si="103"/>
        <v>0</v>
      </c>
    </row>
    <row r="3275" spans="3:10" x14ac:dyDescent="0.25">
      <c r="C3275" s="4"/>
      <c r="E3275" s="4"/>
      <c r="H3275" s="31" t="str">
        <f t="shared" si="102"/>
        <v/>
      </c>
      <c r="J3275" t="b">
        <f t="shared" si="103"/>
        <v>0</v>
      </c>
    </row>
    <row r="3276" spans="3:10" x14ac:dyDescent="0.25">
      <c r="C3276" s="4"/>
      <c r="E3276" s="4"/>
      <c r="H3276" s="31" t="str">
        <f t="shared" si="102"/>
        <v/>
      </c>
      <c r="J3276" t="b">
        <f t="shared" si="103"/>
        <v>0</v>
      </c>
    </row>
    <row r="3277" spans="3:10" x14ac:dyDescent="0.25">
      <c r="C3277" s="4"/>
      <c r="E3277" s="4"/>
      <c r="H3277" s="31" t="str">
        <f t="shared" si="102"/>
        <v/>
      </c>
      <c r="J3277" t="b">
        <f t="shared" si="103"/>
        <v>0</v>
      </c>
    </row>
    <row r="3278" spans="3:10" x14ac:dyDescent="0.25">
      <c r="C3278" s="4"/>
      <c r="E3278" s="4"/>
      <c r="H3278" s="31" t="str">
        <f t="shared" si="102"/>
        <v/>
      </c>
      <c r="J3278" t="b">
        <f t="shared" si="103"/>
        <v>0</v>
      </c>
    </row>
    <row r="3279" spans="3:10" x14ac:dyDescent="0.25">
      <c r="C3279" s="4"/>
      <c r="E3279" s="4"/>
      <c r="H3279" s="31" t="str">
        <f t="shared" si="102"/>
        <v/>
      </c>
      <c r="J3279" t="b">
        <f t="shared" si="103"/>
        <v>0</v>
      </c>
    </row>
    <row r="3280" spans="3:10" x14ac:dyDescent="0.25">
      <c r="C3280" s="4"/>
      <c r="E3280" s="4"/>
      <c r="H3280" s="31" t="str">
        <f t="shared" si="102"/>
        <v/>
      </c>
      <c r="J3280" t="b">
        <f t="shared" si="103"/>
        <v>0</v>
      </c>
    </row>
    <row r="3281" spans="3:10" x14ac:dyDescent="0.25">
      <c r="C3281" s="4"/>
      <c r="E3281" s="4"/>
      <c r="H3281" s="31" t="str">
        <f t="shared" si="102"/>
        <v/>
      </c>
      <c r="J3281" t="b">
        <f t="shared" si="103"/>
        <v>0</v>
      </c>
    </row>
    <row r="3282" spans="3:10" x14ac:dyDescent="0.25">
      <c r="C3282" s="4"/>
      <c r="E3282" s="4"/>
      <c r="H3282" s="31" t="str">
        <f t="shared" si="102"/>
        <v/>
      </c>
      <c r="J3282" t="b">
        <f t="shared" si="103"/>
        <v>0</v>
      </c>
    </row>
    <row r="3283" spans="3:10" x14ac:dyDescent="0.25">
      <c r="C3283" s="4"/>
      <c r="E3283" s="4"/>
      <c r="H3283" s="31" t="str">
        <f t="shared" si="102"/>
        <v/>
      </c>
      <c r="J3283" t="b">
        <f t="shared" si="103"/>
        <v>0</v>
      </c>
    </row>
    <row r="3284" spans="3:10" x14ac:dyDescent="0.25">
      <c r="C3284" s="4"/>
      <c r="E3284" s="4"/>
      <c r="H3284" s="31" t="str">
        <f t="shared" si="102"/>
        <v/>
      </c>
      <c r="J3284" t="b">
        <f t="shared" si="103"/>
        <v>0</v>
      </c>
    </row>
    <row r="3285" spans="3:10" x14ac:dyDescent="0.25">
      <c r="C3285" s="4"/>
      <c r="E3285" s="4"/>
      <c r="H3285" s="31" t="str">
        <f t="shared" si="102"/>
        <v/>
      </c>
      <c r="J3285" t="b">
        <f t="shared" si="103"/>
        <v>0</v>
      </c>
    </row>
    <row r="3286" spans="3:10" x14ac:dyDescent="0.25">
      <c r="C3286" s="4"/>
      <c r="E3286" s="4"/>
      <c r="H3286" s="31" t="str">
        <f t="shared" si="102"/>
        <v/>
      </c>
      <c r="J3286" t="b">
        <f t="shared" si="103"/>
        <v>0</v>
      </c>
    </row>
    <row r="3287" spans="3:10" x14ac:dyDescent="0.25">
      <c r="C3287" s="4"/>
      <c r="E3287" s="4"/>
      <c r="H3287" s="31" t="str">
        <f t="shared" si="102"/>
        <v/>
      </c>
      <c r="J3287" t="b">
        <f t="shared" si="103"/>
        <v>0</v>
      </c>
    </row>
    <row r="3288" spans="3:10" x14ac:dyDescent="0.25">
      <c r="C3288" s="4"/>
      <c r="E3288" s="4"/>
      <c r="H3288" s="31" t="str">
        <f t="shared" si="102"/>
        <v/>
      </c>
      <c r="J3288" t="b">
        <f t="shared" si="103"/>
        <v>0</v>
      </c>
    </row>
    <row r="3289" spans="3:10" x14ac:dyDescent="0.25">
      <c r="C3289" s="4"/>
      <c r="E3289" s="4"/>
      <c r="H3289" s="31" t="str">
        <f t="shared" si="102"/>
        <v/>
      </c>
      <c r="J3289" t="b">
        <f t="shared" si="103"/>
        <v>0</v>
      </c>
    </row>
    <row r="3290" spans="3:10" x14ac:dyDescent="0.25">
      <c r="C3290" s="4"/>
      <c r="E3290" s="4"/>
      <c r="H3290" s="31" t="str">
        <f t="shared" si="102"/>
        <v/>
      </c>
      <c r="J3290" t="b">
        <f t="shared" si="103"/>
        <v>0</v>
      </c>
    </row>
    <row r="3291" spans="3:10" x14ac:dyDescent="0.25">
      <c r="C3291" s="4"/>
      <c r="E3291" s="4"/>
      <c r="H3291" s="31" t="str">
        <f t="shared" si="102"/>
        <v/>
      </c>
      <c r="J3291" t="b">
        <f t="shared" si="103"/>
        <v>0</v>
      </c>
    </row>
    <row r="3292" spans="3:10" x14ac:dyDescent="0.25">
      <c r="C3292" s="4"/>
      <c r="E3292" s="4"/>
      <c r="H3292" s="31" t="str">
        <f t="shared" si="102"/>
        <v/>
      </c>
      <c r="J3292" t="b">
        <f t="shared" si="103"/>
        <v>0</v>
      </c>
    </row>
    <row r="3293" spans="3:10" x14ac:dyDescent="0.25">
      <c r="C3293" s="4"/>
      <c r="E3293" s="4"/>
      <c r="H3293" s="31" t="str">
        <f t="shared" si="102"/>
        <v/>
      </c>
      <c r="J3293" t="b">
        <f t="shared" si="103"/>
        <v>0</v>
      </c>
    </row>
    <row r="3294" spans="3:10" x14ac:dyDescent="0.25">
      <c r="C3294" s="4"/>
      <c r="E3294" s="4"/>
      <c r="H3294" s="31" t="str">
        <f t="shared" si="102"/>
        <v/>
      </c>
      <c r="J3294" t="b">
        <f t="shared" si="103"/>
        <v>0</v>
      </c>
    </row>
    <row r="3295" spans="3:10" x14ac:dyDescent="0.25">
      <c r="C3295" s="4"/>
      <c r="E3295" s="4"/>
      <c r="H3295" s="31" t="str">
        <f t="shared" si="102"/>
        <v/>
      </c>
      <c r="J3295" t="b">
        <f t="shared" si="103"/>
        <v>0</v>
      </c>
    </row>
    <row r="3296" spans="3:10" x14ac:dyDescent="0.25">
      <c r="C3296" s="4"/>
      <c r="E3296" s="4"/>
      <c r="H3296" s="31" t="str">
        <f t="shared" si="102"/>
        <v/>
      </c>
      <c r="J3296" t="b">
        <f t="shared" si="103"/>
        <v>0</v>
      </c>
    </row>
    <row r="3297" spans="3:10" x14ac:dyDescent="0.25">
      <c r="C3297" s="4"/>
      <c r="E3297" s="4"/>
      <c r="H3297" s="31" t="str">
        <f t="shared" si="102"/>
        <v/>
      </c>
      <c r="J3297" t="b">
        <f t="shared" si="103"/>
        <v>0</v>
      </c>
    </row>
    <row r="3298" spans="3:10" x14ac:dyDescent="0.25">
      <c r="C3298" s="4"/>
      <c r="E3298" s="4"/>
      <c r="H3298" s="31" t="str">
        <f t="shared" si="102"/>
        <v/>
      </c>
      <c r="J3298" t="b">
        <f t="shared" si="103"/>
        <v>0</v>
      </c>
    </row>
    <row r="3299" spans="3:10" x14ac:dyDescent="0.25">
      <c r="C3299" s="4"/>
      <c r="E3299" s="4"/>
      <c r="H3299" s="31" t="str">
        <f t="shared" si="102"/>
        <v/>
      </c>
      <c r="J3299" t="b">
        <f t="shared" si="103"/>
        <v>0</v>
      </c>
    </row>
    <row r="3300" spans="3:10" x14ac:dyDescent="0.25">
      <c r="C3300" s="4"/>
      <c r="E3300" s="4"/>
      <c r="H3300" s="31" t="str">
        <f t="shared" si="102"/>
        <v/>
      </c>
      <c r="J3300" t="b">
        <f t="shared" si="103"/>
        <v>0</v>
      </c>
    </row>
    <row r="3301" spans="3:10" x14ac:dyDescent="0.25">
      <c r="C3301" s="4"/>
      <c r="E3301" s="4"/>
      <c r="H3301" s="31" t="str">
        <f t="shared" si="102"/>
        <v/>
      </c>
      <c r="J3301" t="b">
        <f t="shared" si="103"/>
        <v>0</v>
      </c>
    </row>
    <row r="3302" spans="3:10" x14ac:dyDescent="0.25">
      <c r="C3302" s="4"/>
      <c r="E3302" s="4"/>
      <c r="H3302" s="31" t="str">
        <f t="shared" si="102"/>
        <v/>
      </c>
      <c r="J3302" t="b">
        <f t="shared" si="103"/>
        <v>0</v>
      </c>
    </row>
    <row r="3303" spans="3:10" x14ac:dyDescent="0.25">
      <c r="C3303" s="4"/>
      <c r="E3303" s="4"/>
      <c r="H3303" s="31" t="str">
        <f t="shared" si="102"/>
        <v/>
      </c>
      <c r="J3303" t="b">
        <f t="shared" si="103"/>
        <v>0</v>
      </c>
    </row>
    <row r="3304" spans="3:10" x14ac:dyDescent="0.25">
      <c r="C3304" s="4"/>
      <c r="E3304" s="4"/>
      <c r="H3304" s="31" t="str">
        <f t="shared" si="102"/>
        <v/>
      </c>
      <c r="J3304" t="b">
        <f t="shared" si="103"/>
        <v>0</v>
      </c>
    </row>
    <row r="3305" spans="3:10" x14ac:dyDescent="0.25">
      <c r="C3305" s="4"/>
      <c r="E3305" s="4"/>
      <c r="H3305" s="31" t="str">
        <f t="shared" si="102"/>
        <v/>
      </c>
      <c r="J3305" t="b">
        <f t="shared" si="103"/>
        <v>0</v>
      </c>
    </row>
    <row r="3306" spans="3:10" x14ac:dyDescent="0.25">
      <c r="C3306" s="4"/>
      <c r="E3306" s="4"/>
      <c r="H3306" s="31" t="str">
        <f t="shared" si="102"/>
        <v/>
      </c>
      <c r="J3306" t="b">
        <f t="shared" si="103"/>
        <v>0</v>
      </c>
    </row>
    <row r="3307" spans="3:10" x14ac:dyDescent="0.25">
      <c r="C3307" s="4"/>
      <c r="E3307" s="4"/>
      <c r="H3307" s="31" t="str">
        <f t="shared" si="102"/>
        <v/>
      </c>
      <c r="J3307" t="b">
        <f t="shared" si="103"/>
        <v>0</v>
      </c>
    </row>
    <row r="3308" spans="3:10" x14ac:dyDescent="0.25">
      <c r="C3308" s="4"/>
      <c r="E3308" s="4"/>
      <c r="H3308" s="31" t="str">
        <f t="shared" si="102"/>
        <v/>
      </c>
      <c r="J3308" t="b">
        <f t="shared" si="103"/>
        <v>0</v>
      </c>
    </row>
    <row r="3309" spans="3:10" x14ac:dyDescent="0.25">
      <c r="C3309" s="4"/>
      <c r="E3309" s="4"/>
      <c r="H3309" s="31" t="str">
        <f t="shared" si="102"/>
        <v/>
      </c>
      <c r="J3309" t="b">
        <f t="shared" si="103"/>
        <v>0</v>
      </c>
    </row>
    <row r="3310" spans="3:10" x14ac:dyDescent="0.25">
      <c r="C3310" s="4"/>
      <c r="E3310" s="4"/>
      <c r="H3310" s="31" t="str">
        <f t="shared" si="102"/>
        <v/>
      </c>
      <c r="J3310" t="b">
        <f t="shared" si="103"/>
        <v>0</v>
      </c>
    </row>
    <row r="3311" spans="3:10" x14ac:dyDescent="0.25">
      <c r="C3311" s="4"/>
      <c r="E3311" s="4"/>
      <c r="H3311" s="31" t="str">
        <f t="shared" si="102"/>
        <v/>
      </c>
      <c r="J3311" t="b">
        <f t="shared" si="103"/>
        <v>0</v>
      </c>
    </row>
    <row r="3312" spans="3:10" x14ac:dyDescent="0.25">
      <c r="C3312" s="4"/>
      <c r="E3312" s="4"/>
      <c r="H3312" s="31" t="str">
        <f t="shared" si="102"/>
        <v/>
      </c>
      <c r="J3312" t="b">
        <f t="shared" si="103"/>
        <v>0</v>
      </c>
    </row>
    <row r="3313" spans="3:10" x14ac:dyDescent="0.25">
      <c r="C3313" s="4"/>
      <c r="E3313" s="4"/>
      <c r="H3313" s="31" t="str">
        <f t="shared" si="102"/>
        <v/>
      </c>
      <c r="J3313" t="b">
        <f t="shared" si="103"/>
        <v>0</v>
      </c>
    </row>
    <row r="3314" spans="3:10" x14ac:dyDescent="0.25">
      <c r="C3314" s="4"/>
      <c r="E3314" s="4"/>
      <c r="H3314" s="31" t="str">
        <f t="shared" si="102"/>
        <v/>
      </c>
      <c r="J3314" t="b">
        <f t="shared" si="103"/>
        <v>0</v>
      </c>
    </row>
    <row r="3315" spans="3:10" x14ac:dyDescent="0.25">
      <c r="C3315" s="4"/>
      <c r="E3315" s="4"/>
      <c r="H3315" s="31" t="str">
        <f t="shared" si="102"/>
        <v/>
      </c>
      <c r="J3315" t="b">
        <f t="shared" si="103"/>
        <v>0</v>
      </c>
    </row>
    <row r="3316" spans="3:10" x14ac:dyDescent="0.25">
      <c r="C3316" s="4"/>
      <c r="E3316" s="4"/>
      <c r="H3316" s="31" t="str">
        <f t="shared" si="102"/>
        <v/>
      </c>
      <c r="J3316" t="b">
        <f t="shared" si="103"/>
        <v>0</v>
      </c>
    </row>
    <row r="3317" spans="3:10" x14ac:dyDescent="0.25">
      <c r="C3317" s="4"/>
      <c r="E3317" s="4"/>
      <c r="H3317" s="31" t="str">
        <f t="shared" si="102"/>
        <v/>
      </c>
      <c r="J3317" t="b">
        <f t="shared" si="103"/>
        <v>0</v>
      </c>
    </row>
    <row r="3318" spans="3:10" x14ac:dyDescent="0.25">
      <c r="C3318" s="4"/>
      <c r="E3318" s="4"/>
      <c r="H3318" s="31" t="str">
        <f t="shared" si="102"/>
        <v/>
      </c>
      <c r="J3318" t="b">
        <f t="shared" si="103"/>
        <v>0</v>
      </c>
    </row>
    <row r="3319" spans="3:10" x14ac:dyDescent="0.25">
      <c r="C3319" s="4"/>
      <c r="E3319" s="4"/>
      <c r="H3319" s="31" t="str">
        <f t="shared" si="102"/>
        <v/>
      </c>
      <c r="J3319" t="b">
        <f t="shared" si="103"/>
        <v>0</v>
      </c>
    </row>
    <row r="3320" spans="3:10" x14ac:dyDescent="0.25">
      <c r="C3320" s="4"/>
      <c r="E3320" s="4"/>
      <c r="H3320" s="31" t="str">
        <f t="shared" si="102"/>
        <v/>
      </c>
      <c r="J3320" t="b">
        <f t="shared" si="103"/>
        <v>0</v>
      </c>
    </row>
    <row r="3321" spans="3:10" x14ac:dyDescent="0.25">
      <c r="C3321" s="4"/>
      <c r="E3321" s="4"/>
      <c r="H3321" s="31" t="str">
        <f t="shared" si="102"/>
        <v/>
      </c>
      <c r="J3321" t="b">
        <f t="shared" si="103"/>
        <v>0</v>
      </c>
    </row>
    <row r="3322" spans="3:10" x14ac:dyDescent="0.25">
      <c r="C3322" s="4"/>
      <c r="E3322" s="4"/>
      <c r="H3322" s="31" t="str">
        <f t="shared" si="102"/>
        <v/>
      </c>
      <c r="J3322" t="b">
        <f t="shared" si="103"/>
        <v>0</v>
      </c>
    </row>
    <row r="3323" spans="3:10" x14ac:dyDescent="0.25">
      <c r="C3323" s="4"/>
      <c r="E3323" s="4"/>
      <c r="H3323" s="31" t="str">
        <f t="shared" si="102"/>
        <v/>
      </c>
      <c r="J3323" t="b">
        <f t="shared" si="103"/>
        <v>0</v>
      </c>
    </row>
    <row r="3324" spans="3:10" x14ac:dyDescent="0.25">
      <c r="C3324" s="4"/>
      <c r="E3324" s="4"/>
      <c r="H3324" s="31" t="str">
        <f t="shared" si="102"/>
        <v/>
      </c>
      <c r="J3324" t="b">
        <f t="shared" si="103"/>
        <v>0</v>
      </c>
    </row>
    <row r="3325" spans="3:10" x14ac:dyDescent="0.25">
      <c r="C3325" s="4"/>
      <c r="E3325" s="4"/>
      <c r="H3325" s="31" t="str">
        <f t="shared" si="102"/>
        <v/>
      </c>
      <c r="J3325" t="b">
        <f t="shared" si="103"/>
        <v>0</v>
      </c>
    </row>
    <row r="3326" spans="3:10" x14ac:dyDescent="0.25">
      <c r="C3326" s="4"/>
      <c r="E3326" s="4"/>
      <c r="H3326" s="31" t="str">
        <f t="shared" si="102"/>
        <v/>
      </c>
      <c r="J3326" t="b">
        <f t="shared" si="103"/>
        <v>0</v>
      </c>
    </row>
    <row r="3327" spans="3:10" x14ac:dyDescent="0.25">
      <c r="C3327" s="4"/>
      <c r="E3327" s="4"/>
      <c r="H3327" s="31" t="str">
        <f t="shared" si="102"/>
        <v/>
      </c>
      <c r="J3327" t="b">
        <f t="shared" si="103"/>
        <v>0</v>
      </c>
    </row>
    <row r="3328" spans="3:10" x14ac:dyDescent="0.25">
      <c r="C3328" s="4"/>
      <c r="E3328" s="4"/>
      <c r="H3328" s="31" t="str">
        <f t="shared" si="102"/>
        <v/>
      </c>
      <c r="J3328" t="b">
        <f t="shared" si="103"/>
        <v>0</v>
      </c>
    </row>
    <row r="3329" spans="3:10" x14ac:dyDescent="0.25">
      <c r="C3329" s="4"/>
      <c r="E3329" s="4"/>
      <c r="H3329" s="31" t="str">
        <f t="shared" si="102"/>
        <v/>
      </c>
      <c r="J3329" t="b">
        <f t="shared" si="103"/>
        <v>0</v>
      </c>
    </row>
    <row r="3330" spans="3:10" x14ac:dyDescent="0.25">
      <c r="C3330" s="4"/>
      <c r="E3330" s="4"/>
      <c r="H3330" s="31" t="str">
        <f t="shared" si="102"/>
        <v/>
      </c>
      <c r="J3330" t="b">
        <f t="shared" si="103"/>
        <v>0</v>
      </c>
    </row>
    <row r="3331" spans="3:10" x14ac:dyDescent="0.25">
      <c r="C3331" s="4"/>
      <c r="E3331" s="4"/>
      <c r="H3331" s="31" t="str">
        <f t="shared" si="102"/>
        <v/>
      </c>
      <c r="J3331" t="b">
        <f t="shared" si="103"/>
        <v>0</v>
      </c>
    </row>
    <row r="3332" spans="3:10" x14ac:dyDescent="0.25">
      <c r="C3332" s="4"/>
      <c r="E3332" s="4"/>
      <c r="H3332" s="31" t="str">
        <f t="shared" ref="H3332:H3395" si="104">IF($J3332=TRUE,"Il ne peut y avoir des valeurs dans les 2 méthodes",IF($D3332="kg/l",$C3332,IF($D3332="g/l",$C3332/1000,IF($D3332="lb/gal US",$C3332*0.454/3.785,IF($G3332="kg/l",($E3332/100)*$F3332,IF($G3332="g/l",($E3332/100)*$F3332/1000,IF($G3332="lb/gal US",($E3332/100)*$F3332*0.454/3.785,"")))))))</f>
        <v/>
      </c>
      <c r="J3332" t="b">
        <f t="shared" ref="J3332:J3395" si="105">IF(AND(OR($C3332&lt;&gt;"",$D3332&lt;&gt;""),OR($E3332&lt;&gt;"",F3332&lt;&gt;"",G3332&lt;&gt;"")),TRUE,FALSE)</f>
        <v>0</v>
      </c>
    </row>
    <row r="3333" spans="3:10" x14ac:dyDescent="0.25">
      <c r="C3333" s="4"/>
      <c r="E3333" s="4"/>
      <c r="H3333" s="31" t="str">
        <f t="shared" si="104"/>
        <v/>
      </c>
      <c r="J3333" t="b">
        <f t="shared" si="105"/>
        <v>0</v>
      </c>
    </row>
    <row r="3334" spans="3:10" x14ac:dyDescent="0.25">
      <c r="C3334" s="4"/>
      <c r="E3334" s="4"/>
      <c r="H3334" s="31" t="str">
        <f t="shared" si="104"/>
        <v/>
      </c>
      <c r="J3334" t="b">
        <f t="shared" si="105"/>
        <v>0</v>
      </c>
    </row>
    <row r="3335" spans="3:10" x14ac:dyDescent="0.25">
      <c r="C3335" s="4"/>
      <c r="E3335" s="4"/>
      <c r="H3335" s="31" t="str">
        <f t="shared" si="104"/>
        <v/>
      </c>
      <c r="J3335" t="b">
        <f t="shared" si="105"/>
        <v>0</v>
      </c>
    </row>
    <row r="3336" spans="3:10" x14ac:dyDescent="0.25">
      <c r="C3336" s="4"/>
      <c r="E3336" s="4"/>
      <c r="H3336" s="31" t="str">
        <f t="shared" si="104"/>
        <v/>
      </c>
      <c r="J3336" t="b">
        <f t="shared" si="105"/>
        <v>0</v>
      </c>
    </row>
    <row r="3337" spans="3:10" x14ac:dyDescent="0.25">
      <c r="C3337" s="4"/>
      <c r="E3337" s="4"/>
      <c r="H3337" s="31" t="str">
        <f t="shared" si="104"/>
        <v/>
      </c>
      <c r="J3337" t="b">
        <f t="shared" si="105"/>
        <v>0</v>
      </c>
    </row>
    <row r="3338" spans="3:10" x14ac:dyDescent="0.25">
      <c r="C3338" s="4"/>
      <c r="E3338" s="4"/>
      <c r="H3338" s="31" t="str">
        <f t="shared" si="104"/>
        <v/>
      </c>
      <c r="J3338" t="b">
        <f t="shared" si="105"/>
        <v>0</v>
      </c>
    </row>
    <row r="3339" spans="3:10" x14ac:dyDescent="0.25">
      <c r="C3339" s="4"/>
      <c r="E3339" s="4"/>
      <c r="H3339" s="31" t="str">
        <f t="shared" si="104"/>
        <v/>
      </c>
      <c r="J3339" t="b">
        <f t="shared" si="105"/>
        <v>0</v>
      </c>
    </row>
    <row r="3340" spans="3:10" x14ac:dyDescent="0.25">
      <c r="C3340" s="4"/>
      <c r="E3340" s="4"/>
      <c r="H3340" s="31" t="str">
        <f t="shared" si="104"/>
        <v/>
      </c>
      <c r="J3340" t="b">
        <f t="shared" si="105"/>
        <v>0</v>
      </c>
    </row>
    <row r="3341" spans="3:10" x14ac:dyDescent="0.25">
      <c r="C3341" s="4"/>
      <c r="E3341" s="4"/>
      <c r="H3341" s="31" t="str">
        <f t="shared" si="104"/>
        <v/>
      </c>
      <c r="J3341" t="b">
        <f t="shared" si="105"/>
        <v>0</v>
      </c>
    </row>
    <row r="3342" spans="3:10" x14ac:dyDescent="0.25">
      <c r="C3342" s="4"/>
      <c r="E3342" s="4"/>
      <c r="H3342" s="31" t="str">
        <f t="shared" si="104"/>
        <v/>
      </c>
      <c r="J3342" t="b">
        <f t="shared" si="105"/>
        <v>0</v>
      </c>
    </row>
    <row r="3343" spans="3:10" x14ac:dyDescent="0.25">
      <c r="C3343" s="4"/>
      <c r="E3343" s="4"/>
      <c r="H3343" s="31" t="str">
        <f t="shared" si="104"/>
        <v/>
      </c>
      <c r="J3343" t="b">
        <f t="shared" si="105"/>
        <v>0</v>
      </c>
    </row>
    <row r="3344" spans="3:10" x14ac:dyDescent="0.25">
      <c r="C3344" s="4"/>
      <c r="E3344" s="4"/>
      <c r="H3344" s="31" t="str">
        <f t="shared" si="104"/>
        <v/>
      </c>
      <c r="J3344" t="b">
        <f t="shared" si="105"/>
        <v>0</v>
      </c>
    </row>
    <row r="3345" spans="3:10" x14ac:dyDescent="0.25">
      <c r="C3345" s="4"/>
      <c r="E3345" s="4"/>
      <c r="H3345" s="31" t="str">
        <f t="shared" si="104"/>
        <v/>
      </c>
      <c r="J3345" t="b">
        <f t="shared" si="105"/>
        <v>0</v>
      </c>
    </row>
    <row r="3346" spans="3:10" x14ac:dyDescent="0.25">
      <c r="C3346" s="4"/>
      <c r="E3346" s="4"/>
      <c r="H3346" s="31" t="str">
        <f t="shared" si="104"/>
        <v/>
      </c>
      <c r="J3346" t="b">
        <f t="shared" si="105"/>
        <v>0</v>
      </c>
    </row>
    <row r="3347" spans="3:10" x14ac:dyDescent="0.25">
      <c r="C3347" s="4"/>
      <c r="E3347" s="4"/>
      <c r="H3347" s="31" t="str">
        <f t="shared" si="104"/>
        <v/>
      </c>
      <c r="J3347" t="b">
        <f t="shared" si="105"/>
        <v>0</v>
      </c>
    </row>
    <row r="3348" spans="3:10" x14ac:dyDescent="0.25">
      <c r="C3348" s="4"/>
      <c r="E3348" s="4"/>
      <c r="H3348" s="31" t="str">
        <f t="shared" si="104"/>
        <v/>
      </c>
      <c r="J3348" t="b">
        <f t="shared" si="105"/>
        <v>0</v>
      </c>
    </row>
    <row r="3349" spans="3:10" x14ac:dyDescent="0.25">
      <c r="C3349" s="4"/>
      <c r="E3349" s="4"/>
      <c r="H3349" s="31" t="str">
        <f t="shared" si="104"/>
        <v/>
      </c>
      <c r="J3349" t="b">
        <f t="shared" si="105"/>
        <v>0</v>
      </c>
    </row>
    <row r="3350" spans="3:10" x14ac:dyDescent="0.25">
      <c r="C3350" s="4"/>
      <c r="E3350" s="4"/>
      <c r="H3350" s="31" t="str">
        <f t="shared" si="104"/>
        <v/>
      </c>
      <c r="J3350" t="b">
        <f t="shared" si="105"/>
        <v>0</v>
      </c>
    </row>
    <row r="3351" spans="3:10" x14ac:dyDescent="0.25">
      <c r="C3351" s="4"/>
      <c r="E3351" s="4"/>
      <c r="H3351" s="31" t="str">
        <f t="shared" si="104"/>
        <v/>
      </c>
      <c r="J3351" t="b">
        <f t="shared" si="105"/>
        <v>0</v>
      </c>
    </row>
    <row r="3352" spans="3:10" x14ac:dyDescent="0.25">
      <c r="C3352" s="4"/>
      <c r="E3352" s="4"/>
      <c r="H3352" s="31" t="str">
        <f t="shared" si="104"/>
        <v/>
      </c>
      <c r="J3352" t="b">
        <f t="shared" si="105"/>
        <v>0</v>
      </c>
    </row>
    <row r="3353" spans="3:10" x14ac:dyDescent="0.25">
      <c r="C3353" s="4"/>
      <c r="E3353" s="4"/>
      <c r="H3353" s="31" t="str">
        <f t="shared" si="104"/>
        <v/>
      </c>
      <c r="J3353" t="b">
        <f t="shared" si="105"/>
        <v>0</v>
      </c>
    </row>
    <row r="3354" spans="3:10" x14ac:dyDescent="0.25">
      <c r="C3354" s="4"/>
      <c r="E3354" s="4"/>
      <c r="H3354" s="31" t="str">
        <f t="shared" si="104"/>
        <v/>
      </c>
      <c r="J3354" t="b">
        <f t="shared" si="105"/>
        <v>0</v>
      </c>
    </row>
    <row r="3355" spans="3:10" x14ac:dyDescent="0.25">
      <c r="C3355" s="4"/>
      <c r="E3355" s="4"/>
      <c r="H3355" s="31" t="str">
        <f t="shared" si="104"/>
        <v/>
      </c>
      <c r="J3355" t="b">
        <f t="shared" si="105"/>
        <v>0</v>
      </c>
    </row>
    <row r="3356" spans="3:10" x14ac:dyDescent="0.25">
      <c r="C3356" s="4"/>
      <c r="E3356" s="4"/>
      <c r="H3356" s="31" t="str">
        <f t="shared" si="104"/>
        <v/>
      </c>
      <c r="J3356" t="b">
        <f t="shared" si="105"/>
        <v>0</v>
      </c>
    </row>
    <row r="3357" spans="3:10" x14ac:dyDescent="0.25">
      <c r="C3357" s="4"/>
      <c r="E3357" s="4"/>
      <c r="H3357" s="31" t="str">
        <f t="shared" si="104"/>
        <v/>
      </c>
      <c r="J3357" t="b">
        <f t="shared" si="105"/>
        <v>0</v>
      </c>
    </row>
    <row r="3358" spans="3:10" x14ac:dyDescent="0.25">
      <c r="C3358" s="4"/>
      <c r="E3358" s="4"/>
      <c r="H3358" s="31" t="str">
        <f t="shared" si="104"/>
        <v/>
      </c>
      <c r="J3358" t="b">
        <f t="shared" si="105"/>
        <v>0</v>
      </c>
    </row>
    <row r="3359" spans="3:10" x14ac:dyDescent="0.25">
      <c r="C3359" s="4"/>
      <c r="E3359" s="4"/>
      <c r="H3359" s="31" t="str">
        <f t="shared" si="104"/>
        <v/>
      </c>
      <c r="J3359" t="b">
        <f t="shared" si="105"/>
        <v>0</v>
      </c>
    </row>
    <row r="3360" spans="3:10" x14ac:dyDescent="0.25">
      <c r="C3360" s="4"/>
      <c r="E3360" s="4"/>
      <c r="H3360" s="31" t="str">
        <f t="shared" si="104"/>
        <v/>
      </c>
      <c r="J3360" t="b">
        <f t="shared" si="105"/>
        <v>0</v>
      </c>
    </row>
    <row r="3361" spans="3:10" x14ac:dyDescent="0.25">
      <c r="C3361" s="4"/>
      <c r="E3361" s="4"/>
      <c r="H3361" s="31" t="str">
        <f t="shared" si="104"/>
        <v/>
      </c>
      <c r="J3361" t="b">
        <f t="shared" si="105"/>
        <v>0</v>
      </c>
    </row>
    <row r="3362" spans="3:10" x14ac:dyDescent="0.25">
      <c r="C3362" s="4"/>
      <c r="E3362" s="4"/>
      <c r="H3362" s="31" t="str">
        <f t="shared" si="104"/>
        <v/>
      </c>
      <c r="J3362" t="b">
        <f t="shared" si="105"/>
        <v>0</v>
      </c>
    </row>
    <row r="3363" spans="3:10" x14ac:dyDescent="0.25">
      <c r="C3363" s="4"/>
      <c r="E3363" s="4"/>
      <c r="H3363" s="31" t="str">
        <f t="shared" si="104"/>
        <v/>
      </c>
      <c r="J3363" t="b">
        <f t="shared" si="105"/>
        <v>0</v>
      </c>
    </row>
    <row r="3364" spans="3:10" x14ac:dyDescent="0.25">
      <c r="C3364" s="4"/>
      <c r="E3364" s="4"/>
      <c r="H3364" s="31" t="str">
        <f t="shared" si="104"/>
        <v/>
      </c>
      <c r="J3364" t="b">
        <f t="shared" si="105"/>
        <v>0</v>
      </c>
    </row>
    <row r="3365" spans="3:10" x14ac:dyDescent="0.25">
      <c r="C3365" s="4"/>
      <c r="E3365" s="4"/>
      <c r="H3365" s="31" t="str">
        <f t="shared" si="104"/>
        <v/>
      </c>
      <c r="J3365" t="b">
        <f t="shared" si="105"/>
        <v>0</v>
      </c>
    </row>
    <row r="3366" spans="3:10" x14ac:dyDescent="0.25">
      <c r="C3366" s="4"/>
      <c r="E3366" s="4"/>
      <c r="H3366" s="31" t="str">
        <f t="shared" si="104"/>
        <v/>
      </c>
      <c r="J3366" t="b">
        <f t="shared" si="105"/>
        <v>0</v>
      </c>
    </row>
    <row r="3367" spans="3:10" x14ac:dyDescent="0.25">
      <c r="C3367" s="4"/>
      <c r="E3367" s="4"/>
      <c r="H3367" s="31" t="str">
        <f t="shared" si="104"/>
        <v/>
      </c>
      <c r="J3367" t="b">
        <f t="shared" si="105"/>
        <v>0</v>
      </c>
    </row>
    <row r="3368" spans="3:10" x14ac:dyDescent="0.25">
      <c r="C3368" s="4"/>
      <c r="E3368" s="4"/>
      <c r="H3368" s="31" t="str">
        <f t="shared" si="104"/>
        <v/>
      </c>
      <c r="J3368" t="b">
        <f t="shared" si="105"/>
        <v>0</v>
      </c>
    </row>
    <row r="3369" spans="3:10" x14ac:dyDescent="0.25">
      <c r="C3369" s="4"/>
      <c r="E3369" s="4"/>
      <c r="H3369" s="31" t="str">
        <f t="shared" si="104"/>
        <v/>
      </c>
      <c r="J3369" t="b">
        <f t="shared" si="105"/>
        <v>0</v>
      </c>
    </row>
    <row r="3370" spans="3:10" x14ac:dyDescent="0.25">
      <c r="C3370" s="4"/>
      <c r="E3370" s="4"/>
      <c r="H3370" s="31" t="str">
        <f t="shared" si="104"/>
        <v/>
      </c>
      <c r="J3370" t="b">
        <f t="shared" si="105"/>
        <v>0</v>
      </c>
    </row>
    <row r="3371" spans="3:10" x14ac:dyDescent="0.25">
      <c r="C3371" s="4"/>
      <c r="E3371" s="4"/>
      <c r="H3371" s="31" t="str">
        <f t="shared" si="104"/>
        <v/>
      </c>
      <c r="J3371" t="b">
        <f t="shared" si="105"/>
        <v>0</v>
      </c>
    </row>
    <row r="3372" spans="3:10" x14ac:dyDescent="0.25">
      <c r="C3372" s="4"/>
      <c r="E3372" s="4"/>
      <c r="H3372" s="31" t="str">
        <f t="shared" si="104"/>
        <v/>
      </c>
      <c r="J3372" t="b">
        <f t="shared" si="105"/>
        <v>0</v>
      </c>
    </row>
    <row r="3373" spans="3:10" x14ac:dyDescent="0.25">
      <c r="C3373" s="4"/>
      <c r="E3373" s="4"/>
      <c r="H3373" s="31" t="str">
        <f t="shared" si="104"/>
        <v/>
      </c>
      <c r="J3373" t="b">
        <f t="shared" si="105"/>
        <v>0</v>
      </c>
    </row>
    <row r="3374" spans="3:10" x14ac:dyDescent="0.25">
      <c r="C3374" s="4"/>
      <c r="E3374" s="4"/>
      <c r="H3374" s="31" t="str">
        <f t="shared" si="104"/>
        <v/>
      </c>
      <c r="J3374" t="b">
        <f t="shared" si="105"/>
        <v>0</v>
      </c>
    </row>
    <row r="3375" spans="3:10" x14ac:dyDescent="0.25">
      <c r="C3375" s="4"/>
      <c r="E3375" s="4"/>
      <c r="H3375" s="31" t="str">
        <f t="shared" si="104"/>
        <v/>
      </c>
      <c r="J3375" t="b">
        <f t="shared" si="105"/>
        <v>0</v>
      </c>
    </row>
    <row r="3376" spans="3:10" x14ac:dyDescent="0.25">
      <c r="C3376" s="4"/>
      <c r="E3376" s="4"/>
      <c r="H3376" s="31" t="str">
        <f t="shared" si="104"/>
        <v/>
      </c>
      <c r="J3376" t="b">
        <f t="shared" si="105"/>
        <v>0</v>
      </c>
    </row>
    <row r="3377" spans="3:10" x14ac:dyDescent="0.25">
      <c r="C3377" s="4"/>
      <c r="E3377" s="4"/>
      <c r="H3377" s="31" t="str">
        <f t="shared" si="104"/>
        <v/>
      </c>
      <c r="J3377" t="b">
        <f t="shared" si="105"/>
        <v>0</v>
      </c>
    </row>
    <row r="3378" spans="3:10" x14ac:dyDescent="0.25">
      <c r="C3378" s="4"/>
      <c r="E3378" s="4"/>
      <c r="H3378" s="31" t="str">
        <f t="shared" si="104"/>
        <v/>
      </c>
      <c r="J3378" t="b">
        <f t="shared" si="105"/>
        <v>0</v>
      </c>
    </row>
    <row r="3379" spans="3:10" x14ac:dyDescent="0.25">
      <c r="C3379" s="4"/>
      <c r="E3379" s="4"/>
      <c r="H3379" s="31" t="str">
        <f t="shared" si="104"/>
        <v/>
      </c>
      <c r="J3379" t="b">
        <f t="shared" si="105"/>
        <v>0</v>
      </c>
    </row>
    <row r="3380" spans="3:10" x14ac:dyDescent="0.25">
      <c r="C3380" s="4"/>
      <c r="E3380" s="4"/>
      <c r="H3380" s="31" t="str">
        <f t="shared" si="104"/>
        <v/>
      </c>
      <c r="J3380" t="b">
        <f t="shared" si="105"/>
        <v>0</v>
      </c>
    </row>
    <row r="3381" spans="3:10" x14ac:dyDescent="0.25">
      <c r="C3381" s="4"/>
      <c r="E3381" s="4"/>
      <c r="H3381" s="31" t="str">
        <f t="shared" si="104"/>
        <v/>
      </c>
      <c r="J3381" t="b">
        <f t="shared" si="105"/>
        <v>0</v>
      </c>
    </row>
    <row r="3382" spans="3:10" x14ac:dyDescent="0.25">
      <c r="C3382" s="4"/>
      <c r="E3382" s="4"/>
      <c r="H3382" s="31" t="str">
        <f t="shared" si="104"/>
        <v/>
      </c>
      <c r="J3382" t="b">
        <f t="shared" si="105"/>
        <v>0</v>
      </c>
    </row>
    <row r="3383" spans="3:10" x14ac:dyDescent="0.25">
      <c r="C3383" s="4"/>
      <c r="E3383" s="4"/>
      <c r="H3383" s="31" t="str">
        <f t="shared" si="104"/>
        <v/>
      </c>
      <c r="J3383" t="b">
        <f t="shared" si="105"/>
        <v>0</v>
      </c>
    </row>
    <row r="3384" spans="3:10" x14ac:dyDescent="0.25">
      <c r="C3384" s="4"/>
      <c r="E3384" s="4"/>
      <c r="H3384" s="31" t="str">
        <f t="shared" si="104"/>
        <v/>
      </c>
      <c r="J3384" t="b">
        <f t="shared" si="105"/>
        <v>0</v>
      </c>
    </row>
    <row r="3385" spans="3:10" x14ac:dyDescent="0.25">
      <c r="C3385" s="4"/>
      <c r="E3385" s="4"/>
      <c r="H3385" s="31" t="str">
        <f t="shared" si="104"/>
        <v/>
      </c>
      <c r="J3385" t="b">
        <f t="shared" si="105"/>
        <v>0</v>
      </c>
    </row>
    <row r="3386" spans="3:10" x14ac:dyDescent="0.25">
      <c r="C3386" s="4"/>
      <c r="E3386" s="4"/>
      <c r="H3386" s="31" t="str">
        <f t="shared" si="104"/>
        <v/>
      </c>
      <c r="J3386" t="b">
        <f t="shared" si="105"/>
        <v>0</v>
      </c>
    </row>
    <row r="3387" spans="3:10" x14ac:dyDescent="0.25">
      <c r="C3387" s="4"/>
      <c r="E3387" s="4"/>
      <c r="H3387" s="31" t="str">
        <f t="shared" si="104"/>
        <v/>
      </c>
      <c r="J3387" t="b">
        <f t="shared" si="105"/>
        <v>0</v>
      </c>
    </row>
    <row r="3388" spans="3:10" x14ac:dyDescent="0.25">
      <c r="C3388" s="4"/>
      <c r="E3388" s="4"/>
      <c r="H3388" s="31" t="str">
        <f t="shared" si="104"/>
        <v/>
      </c>
      <c r="J3388" t="b">
        <f t="shared" si="105"/>
        <v>0</v>
      </c>
    </row>
    <row r="3389" spans="3:10" x14ac:dyDescent="0.25">
      <c r="C3389" s="4"/>
      <c r="E3389" s="4"/>
      <c r="H3389" s="31" t="str">
        <f t="shared" si="104"/>
        <v/>
      </c>
      <c r="J3389" t="b">
        <f t="shared" si="105"/>
        <v>0</v>
      </c>
    </row>
    <row r="3390" spans="3:10" x14ac:dyDescent="0.25">
      <c r="C3390" s="4"/>
      <c r="E3390" s="4"/>
      <c r="H3390" s="31" t="str">
        <f t="shared" si="104"/>
        <v/>
      </c>
      <c r="J3390" t="b">
        <f t="shared" si="105"/>
        <v>0</v>
      </c>
    </row>
    <row r="3391" spans="3:10" x14ac:dyDescent="0.25">
      <c r="C3391" s="4"/>
      <c r="E3391" s="4"/>
      <c r="H3391" s="31" t="str">
        <f t="shared" si="104"/>
        <v/>
      </c>
      <c r="J3391" t="b">
        <f t="shared" si="105"/>
        <v>0</v>
      </c>
    </row>
    <row r="3392" spans="3:10" x14ac:dyDescent="0.25">
      <c r="C3392" s="4"/>
      <c r="E3392" s="4"/>
      <c r="H3392" s="31" t="str">
        <f t="shared" si="104"/>
        <v/>
      </c>
      <c r="J3392" t="b">
        <f t="shared" si="105"/>
        <v>0</v>
      </c>
    </row>
    <row r="3393" spans="3:10" x14ac:dyDescent="0.25">
      <c r="C3393" s="4"/>
      <c r="E3393" s="4"/>
      <c r="H3393" s="31" t="str">
        <f t="shared" si="104"/>
        <v/>
      </c>
      <c r="J3393" t="b">
        <f t="shared" si="105"/>
        <v>0</v>
      </c>
    </row>
    <row r="3394" spans="3:10" x14ac:dyDescent="0.25">
      <c r="C3394" s="4"/>
      <c r="E3394" s="4"/>
      <c r="H3394" s="31" t="str">
        <f t="shared" si="104"/>
        <v/>
      </c>
      <c r="J3394" t="b">
        <f t="shared" si="105"/>
        <v>0</v>
      </c>
    </row>
    <row r="3395" spans="3:10" x14ac:dyDescent="0.25">
      <c r="C3395" s="4"/>
      <c r="E3395" s="4"/>
      <c r="H3395" s="31" t="str">
        <f t="shared" si="104"/>
        <v/>
      </c>
      <c r="J3395" t="b">
        <f t="shared" si="105"/>
        <v>0</v>
      </c>
    </row>
    <row r="3396" spans="3:10" x14ac:dyDescent="0.25">
      <c r="C3396" s="4"/>
      <c r="E3396" s="4"/>
      <c r="H3396" s="31" t="str">
        <f t="shared" ref="H3396:H3459" si="106">IF($J3396=TRUE,"Il ne peut y avoir des valeurs dans les 2 méthodes",IF($D3396="kg/l",$C3396,IF($D3396="g/l",$C3396/1000,IF($D3396="lb/gal US",$C3396*0.454/3.785,IF($G3396="kg/l",($E3396/100)*$F3396,IF($G3396="g/l",($E3396/100)*$F3396/1000,IF($G3396="lb/gal US",($E3396/100)*$F3396*0.454/3.785,"")))))))</f>
        <v/>
      </c>
      <c r="J3396" t="b">
        <f t="shared" ref="J3396:J3459" si="107">IF(AND(OR($C3396&lt;&gt;"",$D3396&lt;&gt;""),OR($E3396&lt;&gt;"",F3396&lt;&gt;"",G3396&lt;&gt;"")),TRUE,FALSE)</f>
        <v>0</v>
      </c>
    </row>
    <row r="3397" spans="3:10" x14ac:dyDescent="0.25">
      <c r="C3397" s="4"/>
      <c r="E3397" s="4"/>
      <c r="H3397" s="31" t="str">
        <f t="shared" si="106"/>
        <v/>
      </c>
      <c r="J3397" t="b">
        <f t="shared" si="107"/>
        <v>0</v>
      </c>
    </row>
    <row r="3398" spans="3:10" x14ac:dyDescent="0.25">
      <c r="C3398" s="4"/>
      <c r="E3398" s="4"/>
      <c r="H3398" s="31" t="str">
        <f t="shared" si="106"/>
        <v/>
      </c>
      <c r="J3398" t="b">
        <f t="shared" si="107"/>
        <v>0</v>
      </c>
    </row>
    <row r="3399" spans="3:10" x14ac:dyDescent="0.25">
      <c r="C3399" s="4"/>
      <c r="E3399" s="4"/>
      <c r="H3399" s="31" t="str">
        <f t="shared" si="106"/>
        <v/>
      </c>
      <c r="J3399" t="b">
        <f t="shared" si="107"/>
        <v>0</v>
      </c>
    </row>
    <row r="3400" spans="3:10" x14ac:dyDescent="0.25">
      <c r="C3400" s="4"/>
      <c r="E3400" s="4"/>
      <c r="H3400" s="31" t="str">
        <f t="shared" si="106"/>
        <v/>
      </c>
      <c r="J3400" t="b">
        <f t="shared" si="107"/>
        <v>0</v>
      </c>
    </row>
    <row r="3401" spans="3:10" x14ac:dyDescent="0.25">
      <c r="C3401" s="4"/>
      <c r="E3401" s="4"/>
      <c r="H3401" s="31" t="str">
        <f t="shared" si="106"/>
        <v/>
      </c>
      <c r="J3401" t="b">
        <f t="shared" si="107"/>
        <v>0</v>
      </c>
    </row>
    <row r="3402" spans="3:10" x14ac:dyDescent="0.25">
      <c r="C3402" s="4"/>
      <c r="E3402" s="4"/>
      <c r="H3402" s="31" t="str">
        <f t="shared" si="106"/>
        <v/>
      </c>
      <c r="J3402" t="b">
        <f t="shared" si="107"/>
        <v>0</v>
      </c>
    </row>
    <row r="3403" spans="3:10" x14ac:dyDescent="0.25">
      <c r="C3403" s="4"/>
      <c r="E3403" s="4"/>
      <c r="H3403" s="31" t="str">
        <f t="shared" si="106"/>
        <v/>
      </c>
      <c r="J3403" t="b">
        <f t="shared" si="107"/>
        <v>0</v>
      </c>
    </row>
    <row r="3404" spans="3:10" x14ac:dyDescent="0.25">
      <c r="C3404" s="4"/>
      <c r="E3404" s="4"/>
      <c r="H3404" s="31" t="str">
        <f t="shared" si="106"/>
        <v/>
      </c>
      <c r="J3404" t="b">
        <f t="shared" si="107"/>
        <v>0</v>
      </c>
    </row>
    <row r="3405" spans="3:10" x14ac:dyDescent="0.25">
      <c r="C3405" s="4"/>
      <c r="E3405" s="4"/>
      <c r="H3405" s="31" t="str">
        <f t="shared" si="106"/>
        <v/>
      </c>
      <c r="J3405" t="b">
        <f t="shared" si="107"/>
        <v>0</v>
      </c>
    </row>
    <row r="3406" spans="3:10" x14ac:dyDescent="0.25">
      <c r="C3406" s="4"/>
      <c r="E3406" s="4"/>
      <c r="H3406" s="31" t="str">
        <f t="shared" si="106"/>
        <v/>
      </c>
      <c r="J3406" t="b">
        <f t="shared" si="107"/>
        <v>0</v>
      </c>
    </row>
    <row r="3407" spans="3:10" x14ac:dyDescent="0.25">
      <c r="C3407" s="4"/>
      <c r="E3407" s="4"/>
      <c r="H3407" s="31" t="str">
        <f t="shared" si="106"/>
        <v/>
      </c>
      <c r="J3407" t="b">
        <f t="shared" si="107"/>
        <v>0</v>
      </c>
    </row>
    <row r="3408" spans="3:10" x14ac:dyDescent="0.25">
      <c r="C3408" s="4"/>
      <c r="E3408" s="4"/>
      <c r="H3408" s="31" t="str">
        <f t="shared" si="106"/>
        <v/>
      </c>
      <c r="J3408" t="b">
        <f t="shared" si="107"/>
        <v>0</v>
      </c>
    </row>
    <row r="3409" spans="3:10" x14ac:dyDescent="0.25">
      <c r="C3409" s="4"/>
      <c r="E3409" s="4"/>
      <c r="H3409" s="31" t="str">
        <f t="shared" si="106"/>
        <v/>
      </c>
      <c r="J3409" t="b">
        <f t="shared" si="107"/>
        <v>0</v>
      </c>
    </row>
    <row r="3410" spans="3:10" x14ac:dyDescent="0.25">
      <c r="C3410" s="4"/>
      <c r="E3410" s="4"/>
      <c r="H3410" s="31" t="str">
        <f t="shared" si="106"/>
        <v/>
      </c>
      <c r="J3410" t="b">
        <f t="shared" si="107"/>
        <v>0</v>
      </c>
    </row>
    <row r="3411" spans="3:10" x14ac:dyDescent="0.25">
      <c r="C3411" s="4"/>
      <c r="E3411" s="4"/>
      <c r="H3411" s="31" t="str">
        <f t="shared" si="106"/>
        <v/>
      </c>
      <c r="J3411" t="b">
        <f t="shared" si="107"/>
        <v>0</v>
      </c>
    </row>
    <row r="3412" spans="3:10" x14ac:dyDescent="0.25">
      <c r="C3412" s="4"/>
      <c r="E3412" s="4"/>
      <c r="H3412" s="31" t="str">
        <f t="shared" si="106"/>
        <v/>
      </c>
      <c r="J3412" t="b">
        <f t="shared" si="107"/>
        <v>0</v>
      </c>
    </row>
    <row r="3413" spans="3:10" x14ac:dyDescent="0.25">
      <c r="C3413" s="4"/>
      <c r="E3413" s="4"/>
      <c r="H3413" s="31" t="str">
        <f t="shared" si="106"/>
        <v/>
      </c>
      <c r="J3413" t="b">
        <f t="shared" si="107"/>
        <v>0</v>
      </c>
    </row>
    <row r="3414" spans="3:10" x14ac:dyDescent="0.25">
      <c r="C3414" s="4"/>
      <c r="E3414" s="4"/>
      <c r="H3414" s="31" t="str">
        <f t="shared" si="106"/>
        <v/>
      </c>
      <c r="J3414" t="b">
        <f t="shared" si="107"/>
        <v>0</v>
      </c>
    </row>
    <row r="3415" spans="3:10" x14ac:dyDescent="0.25">
      <c r="C3415" s="4"/>
      <c r="E3415" s="4"/>
      <c r="H3415" s="31" t="str">
        <f t="shared" si="106"/>
        <v/>
      </c>
      <c r="J3415" t="b">
        <f t="shared" si="107"/>
        <v>0</v>
      </c>
    </row>
    <row r="3416" spans="3:10" x14ac:dyDescent="0.25">
      <c r="C3416" s="4"/>
      <c r="E3416" s="4"/>
      <c r="H3416" s="31" t="str">
        <f t="shared" si="106"/>
        <v/>
      </c>
      <c r="J3416" t="b">
        <f t="shared" si="107"/>
        <v>0</v>
      </c>
    </row>
    <row r="3417" spans="3:10" x14ac:dyDescent="0.25">
      <c r="C3417" s="4"/>
      <c r="E3417" s="4"/>
      <c r="H3417" s="31" t="str">
        <f t="shared" si="106"/>
        <v/>
      </c>
      <c r="J3417" t="b">
        <f t="shared" si="107"/>
        <v>0</v>
      </c>
    </row>
    <row r="3418" spans="3:10" x14ac:dyDescent="0.25">
      <c r="C3418" s="4"/>
      <c r="E3418" s="4"/>
      <c r="H3418" s="31" t="str">
        <f t="shared" si="106"/>
        <v/>
      </c>
      <c r="J3418" t="b">
        <f t="shared" si="107"/>
        <v>0</v>
      </c>
    </row>
    <row r="3419" spans="3:10" x14ac:dyDescent="0.25">
      <c r="C3419" s="4"/>
      <c r="E3419" s="4"/>
      <c r="H3419" s="31" t="str">
        <f t="shared" si="106"/>
        <v/>
      </c>
      <c r="J3419" t="b">
        <f t="shared" si="107"/>
        <v>0</v>
      </c>
    </row>
    <row r="3420" spans="3:10" x14ac:dyDescent="0.25">
      <c r="C3420" s="4"/>
      <c r="E3420" s="4"/>
      <c r="H3420" s="31" t="str">
        <f t="shared" si="106"/>
        <v/>
      </c>
      <c r="J3420" t="b">
        <f t="shared" si="107"/>
        <v>0</v>
      </c>
    </row>
    <row r="3421" spans="3:10" x14ac:dyDescent="0.25">
      <c r="C3421" s="4"/>
      <c r="E3421" s="4"/>
      <c r="H3421" s="31" t="str">
        <f t="shared" si="106"/>
        <v/>
      </c>
      <c r="J3421" t="b">
        <f t="shared" si="107"/>
        <v>0</v>
      </c>
    </row>
    <row r="3422" spans="3:10" x14ac:dyDescent="0.25">
      <c r="C3422" s="4"/>
      <c r="E3422" s="4"/>
      <c r="H3422" s="31" t="str">
        <f t="shared" si="106"/>
        <v/>
      </c>
      <c r="J3422" t="b">
        <f t="shared" si="107"/>
        <v>0</v>
      </c>
    </row>
    <row r="3423" spans="3:10" x14ac:dyDescent="0.25">
      <c r="C3423" s="4"/>
      <c r="E3423" s="4"/>
      <c r="H3423" s="31" t="str">
        <f t="shared" si="106"/>
        <v/>
      </c>
      <c r="J3423" t="b">
        <f t="shared" si="107"/>
        <v>0</v>
      </c>
    </row>
    <row r="3424" spans="3:10" x14ac:dyDescent="0.25">
      <c r="C3424" s="4"/>
      <c r="E3424" s="4"/>
      <c r="H3424" s="31" t="str">
        <f t="shared" si="106"/>
        <v/>
      </c>
      <c r="J3424" t="b">
        <f t="shared" si="107"/>
        <v>0</v>
      </c>
    </row>
    <row r="3425" spans="3:10" x14ac:dyDescent="0.25">
      <c r="C3425" s="4"/>
      <c r="E3425" s="4"/>
      <c r="H3425" s="31" t="str">
        <f t="shared" si="106"/>
        <v/>
      </c>
      <c r="J3425" t="b">
        <f t="shared" si="107"/>
        <v>0</v>
      </c>
    </row>
    <row r="3426" spans="3:10" x14ac:dyDescent="0.25">
      <c r="C3426" s="4"/>
      <c r="E3426" s="4"/>
      <c r="H3426" s="31" t="str">
        <f t="shared" si="106"/>
        <v/>
      </c>
      <c r="J3426" t="b">
        <f t="shared" si="107"/>
        <v>0</v>
      </c>
    </row>
    <row r="3427" spans="3:10" x14ac:dyDescent="0.25">
      <c r="C3427" s="4"/>
      <c r="E3427" s="4"/>
      <c r="H3427" s="31" t="str">
        <f t="shared" si="106"/>
        <v/>
      </c>
      <c r="J3427" t="b">
        <f t="shared" si="107"/>
        <v>0</v>
      </c>
    </row>
    <row r="3428" spans="3:10" x14ac:dyDescent="0.25">
      <c r="C3428" s="4"/>
      <c r="E3428" s="4"/>
      <c r="H3428" s="31" t="str">
        <f t="shared" si="106"/>
        <v/>
      </c>
      <c r="J3428" t="b">
        <f t="shared" si="107"/>
        <v>0</v>
      </c>
    </row>
    <row r="3429" spans="3:10" x14ac:dyDescent="0.25">
      <c r="C3429" s="4"/>
      <c r="E3429" s="4"/>
      <c r="H3429" s="31" t="str">
        <f t="shared" si="106"/>
        <v/>
      </c>
      <c r="J3429" t="b">
        <f t="shared" si="107"/>
        <v>0</v>
      </c>
    </row>
    <row r="3430" spans="3:10" x14ac:dyDescent="0.25">
      <c r="C3430" s="4"/>
      <c r="E3430" s="4"/>
      <c r="H3430" s="31" t="str">
        <f t="shared" si="106"/>
        <v/>
      </c>
      <c r="J3430" t="b">
        <f t="shared" si="107"/>
        <v>0</v>
      </c>
    </row>
    <row r="3431" spans="3:10" x14ac:dyDescent="0.25">
      <c r="C3431" s="4"/>
      <c r="E3431" s="4"/>
      <c r="H3431" s="31" t="str">
        <f t="shared" si="106"/>
        <v/>
      </c>
      <c r="J3431" t="b">
        <f t="shared" si="107"/>
        <v>0</v>
      </c>
    </row>
    <row r="3432" spans="3:10" x14ac:dyDescent="0.25">
      <c r="C3432" s="4"/>
      <c r="E3432" s="4"/>
      <c r="H3432" s="31" t="str">
        <f t="shared" si="106"/>
        <v/>
      </c>
      <c r="J3432" t="b">
        <f t="shared" si="107"/>
        <v>0</v>
      </c>
    </row>
    <row r="3433" spans="3:10" x14ac:dyDescent="0.25">
      <c r="C3433" s="4"/>
      <c r="E3433" s="4"/>
      <c r="H3433" s="31" t="str">
        <f t="shared" si="106"/>
        <v/>
      </c>
      <c r="J3433" t="b">
        <f t="shared" si="107"/>
        <v>0</v>
      </c>
    </row>
    <row r="3434" spans="3:10" x14ac:dyDescent="0.25">
      <c r="C3434" s="4"/>
      <c r="E3434" s="4"/>
      <c r="H3434" s="31" t="str">
        <f t="shared" si="106"/>
        <v/>
      </c>
      <c r="J3434" t="b">
        <f t="shared" si="107"/>
        <v>0</v>
      </c>
    </row>
    <row r="3435" spans="3:10" x14ac:dyDescent="0.25">
      <c r="C3435" s="4"/>
      <c r="E3435" s="4"/>
      <c r="H3435" s="31" t="str">
        <f t="shared" si="106"/>
        <v/>
      </c>
      <c r="J3435" t="b">
        <f t="shared" si="107"/>
        <v>0</v>
      </c>
    </row>
    <row r="3436" spans="3:10" x14ac:dyDescent="0.25">
      <c r="C3436" s="4"/>
      <c r="E3436" s="4"/>
      <c r="H3436" s="31" t="str">
        <f t="shared" si="106"/>
        <v/>
      </c>
      <c r="J3436" t="b">
        <f t="shared" si="107"/>
        <v>0</v>
      </c>
    </row>
    <row r="3437" spans="3:10" x14ac:dyDescent="0.25">
      <c r="C3437" s="4"/>
      <c r="E3437" s="4"/>
      <c r="H3437" s="31" t="str">
        <f t="shared" si="106"/>
        <v/>
      </c>
      <c r="J3437" t="b">
        <f t="shared" si="107"/>
        <v>0</v>
      </c>
    </row>
    <row r="3438" spans="3:10" x14ac:dyDescent="0.25">
      <c r="C3438" s="4"/>
      <c r="E3438" s="4"/>
      <c r="H3438" s="31" t="str">
        <f t="shared" si="106"/>
        <v/>
      </c>
      <c r="J3438" t="b">
        <f t="shared" si="107"/>
        <v>0</v>
      </c>
    </row>
    <row r="3439" spans="3:10" x14ac:dyDescent="0.25">
      <c r="C3439" s="4"/>
      <c r="E3439" s="4"/>
      <c r="H3439" s="31" t="str">
        <f t="shared" si="106"/>
        <v/>
      </c>
      <c r="J3439" t="b">
        <f t="shared" si="107"/>
        <v>0</v>
      </c>
    </row>
    <row r="3440" spans="3:10" x14ac:dyDescent="0.25">
      <c r="C3440" s="4"/>
      <c r="E3440" s="4"/>
      <c r="H3440" s="31" t="str">
        <f t="shared" si="106"/>
        <v/>
      </c>
      <c r="J3440" t="b">
        <f t="shared" si="107"/>
        <v>0</v>
      </c>
    </row>
    <row r="3441" spans="3:10" x14ac:dyDescent="0.25">
      <c r="C3441" s="4"/>
      <c r="E3441" s="4"/>
      <c r="H3441" s="31" t="str">
        <f t="shared" si="106"/>
        <v/>
      </c>
      <c r="J3441" t="b">
        <f t="shared" si="107"/>
        <v>0</v>
      </c>
    </row>
    <row r="3442" spans="3:10" x14ac:dyDescent="0.25">
      <c r="C3442" s="4"/>
      <c r="E3442" s="4"/>
      <c r="H3442" s="31" t="str">
        <f t="shared" si="106"/>
        <v/>
      </c>
      <c r="J3442" t="b">
        <f t="shared" si="107"/>
        <v>0</v>
      </c>
    </row>
    <row r="3443" spans="3:10" x14ac:dyDescent="0.25">
      <c r="C3443" s="4"/>
      <c r="E3443" s="4"/>
      <c r="H3443" s="31" t="str">
        <f t="shared" si="106"/>
        <v/>
      </c>
      <c r="J3443" t="b">
        <f t="shared" si="107"/>
        <v>0</v>
      </c>
    </row>
    <row r="3444" spans="3:10" x14ac:dyDescent="0.25">
      <c r="C3444" s="4"/>
      <c r="E3444" s="4"/>
      <c r="H3444" s="31" t="str">
        <f t="shared" si="106"/>
        <v/>
      </c>
      <c r="J3444" t="b">
        <f t="shared" si="107"/>
        <v>0</v>
      </c>
    </row>
    <row r="3445" spans="3:10" x14ac:dyDescent="0.25">
      <c r="C3445" s="4"/>
      <c r="E3445" s="4"/>
      <c r="H3445" s="31" t="str">
        <f t="shared" si="106"/>
        <v/>
      </c>
      <c r="J3445" t="b">
        <f t="shared" si="107"/>
        <v>0</v>
      </c>
    </row>
    <row r="3446" spans="3:10" x14ac:dyDescent="0.25">
      <c r="C3446" s="4"/>
      <c r="E3446" s="4"/>
      <c r="H3446" s="31" t="str">
        <f t="shared" si="106"/>
        <v/>
      </c>
      <c r="J3446" t="b">
        <f t="shared" si="107"/>
        <v>0</v>
      </c>
    </row>
    <row r="3447" spans="3:10" x14ac:dyDescent="0.25">
      <c r="C3447" s="4"/>
      <c r="E3447" s="4"/>
      <c r="H3447" s="31" t="str">
        <f t="shared" si="106"/>
        <v/>
      </c>
      <c r="J3447" t="b">
        <f t="shared" si="107"/>
        <v>0</v>
      </c>
    </row>
    <row r="3448" spans="3:10" x14ac:dyDescent="0.25">
      <c r="C3448" s="4"/>
      <c r="E3448" s="4"/>
      <c r="H3448" s="31" t="str">
        <f t="shared" si="106"/>
        <v/>
      </c>
      <c r="J3448" t="b">
        <f t="shared" si="107"/>
        <v>0</v>
      </c>
    </row>
    <row r="3449" spans="3:10" x14ac:dyDescent="0.25">
      <c r="C3449" s="4"/>
      <c r="E3449" s="4"/>
      <c r="H3449" s="31" t="str">
        <f t="shared" si="106"/>
        <v/>
      </c>
      <c r="J3449" t="b">
        <f t="shared" si="107"/>
        <v>0</v>
      </c>
    </row>
    <row r="3450" spans="3:10" x14ac:dyDescent="0.25">
      <c r="C3450" s="4"/>
      <c r="E3450" s="4"/>
      <c r="H3450" s="31" t="str">
        <f t="shared" si="106"/>
        <v/>
      </c>
      <c r="J3450" t="b">
        <f t="shared" si="107"/>
        <v>0</v>
      </c>
    </row>
    <row r="3451" spans="3:10" x14ac:dyDescent="0.25">
      <c r="C3451" s="4"/>
      <c r="E3451" s="4"/>
      <c r="H3451" s="31" t="str">
        <f t="shared" si="106"/>
        <v/>
      </c>
      <c r="J3451" t="b">
        <f t="shared" si="107"/>
        <v>0</v>
      </c>
    </row>
    <row r="3452" spans="3:10" x14ac:dyDescent="0.25">
      <c r="C3452" s="4"/>
      <c r="E3452" s="4"/>
      <c r="H3452" s="31" t="str">
        <f t="shared" si="106"/>
        <v/>
      </c>
      <c r="J3452" t="b">
        <f t="shared" si="107"/>
        <v>0</v>
      </c>
    </row>
    <row r="3453" spans="3:10" x14ac:dyDescent="0.25">
      <c r="C3453" s="4"/>
      <c r="E3453" s="4"/>
      <c r="H3453" s="31" t="str">
        <f t="shared" si="106"/>
        <v/>
      </c>
      <c r="J3453" t="b">
        <f t="shared" si="107"/>
        <v>0</v>
      </c>
    </row>
    <row r="3454" spans="3:10" x14ac:dyDescent="0.25">
      <c r="C3454" s="4"/>
      <c r="E3454" s="4"/>
      <c r="H3454" s="31" t="str">
        <f t="shared" si="106"/>
        <v/>
      </c>
      <c r="J3454" t="b">
        <f t="shared" si="107"/>
        <v>0</v>
      </c>
    </row>
    <row r="3455" spans="3:10" x14ac:dyDescent="0.25">
      <c r="C3455" s="4"/>
      <c r="E3455" s="4"/>
      <c r="H3455" s="31" t="str">
        <f t="shared" si="106"/>
        <v/>
      </c>
      <c r="J3455" t="b">
        <f t="shared" si="107"/>
        <v>0</v>
      </c>
    </row>
    <row r="3456" spans="3:10" x14ac:dyDescent="0.25">
      <c r="C3456" s="4"/>
      <c r="E3456" s="4"/>
      <c r="H3456" s="31" t="str">
        <f t="shared" si="106"/>
        <v/>
      </c>
      <c r="J3456" t="b">
        <f t="shared" si="107"/>
        <v>0</v>
      </c>
    </row>
    <row r="3457" spans="3:10" x14ac:dyDescent="0.25">
      <c r="C3457" s="4"/>
      <c r="E3457" s="4"/>
      <c r="H3457" s="31" t="str">
        <f t="shared" si="106"/>
        <v/>
      </c>
      <c r="J3457" t="b">
        <f t="shared" si="107"/>
        <v>0</v>
      </c>
    </row>
    <row r="3458" spans="3:10" x14ac:dyDescent="0.25">
      <c r="C3458" s="4"/>
      <c r="E3458" s="4"/>
      <c r="H3458" s="31" t="str">
        <f t="shared" si="106"/>
        <v/>
      </c>
      <c r="J3458" t="b">
        <f t="shared" si="107"/>
        <v>0</v>
      </c>
    </row>
    <row r="3459" spans="3:10" x14ac:dyDescent="0.25">
      <c r="C3459" s="4"/>
      <c r="E3459" s="4"/>
      <c r="H3459" s="31" t="str">
        <f t="shared" si="106"/>
        <v/>
      </c>
      <c r="J3459" t="b">
        <f t="shared" si="107"/>
        <v>0</v>
      </c>
    </row>
    <row r="3460" spans="3:10" x14ac:dyDescent="0.25">
      <c r="C3460" s="4"/>
      <c r="E3460" s="4"/>
      <c r="H3460" s="31" t="str">
        <f t="shared" ref="H3460:H3523" si="108">IF($J3460=TRUE,"Il ne peut y avoir des valeurs dans les 2 méthodes",IF($D3460="kg/l",$C3460,IF($D3460="g/l",$C3460/1000,IF($D3460="lb/gal US",$C3460*0.454/3.785,IF($G3460="kg/l",($E3460/100)*$F3460,IF($G3460="g/l",($E3460/100)*$F3460/1000,IF($G3460="lb/gal US",($E3460/100)*$F3460*0.454/3.785,"")))))))</f>
        <v/>
      </c>
      <c r="J3460" t="b">
        <f t="shared" ref="J3460:J3523" si="109">IF(AND(OR($C3460&lt;&gt;"",$D3460&lt;&gt;""),OR($E3460&lt;&gt;"",F3460&lt;&gt;"",G3460&lt;&gt;"")),TRUE,FALSE)</f>
        <v>0</v>
      </c>
    </row>
    <row r="3461" spans="3:10" x14ac:dyDescent="0.25">
      <c r="C3461" s="4"/>
      <c r="E3461" s="4"/>
      <c r="H3461" s="31" t="str">
        <f t="shared" si="108"/>
        <v/>
      </c>
      <c r="J3461" t="b">
        <f t="shared" si="109"/>
        <v>0</v>
      </c>
    </row>
    <row r="3462" spans="3:10" x14ac:dyDescent="0.25">
      <c r="C3462" s="4"/>
      <c r="E3462" s="4"/>
      <c r="H3462" s="31" t="str">
        <f t="shared" si="108"/>
        <v/>
      </c>
      <c r="J3462" t="b">
        <f t="shared" si="109"/>
        <v>0</v>
      </c>
    </row>
    <row r="3463" spans="3:10" x14ac:dyDescent="0.25">
      <c r="C3463" s="4"/>
      <c r="E3463" s="4"/>
      <c r="H3463" s="31" t="str">
        <f t="shared" si="108"/>
        <v/>
      </c>
      <c r="J3463" t="b">
        <f t="shared" si="109"/>
        <v>0</v>
      </c>
    </row>
    <row r="3464" spans="3:10" x14ac:dyDescent="0.25">
      <c r="C3464" s="4"/>
      <c r="E3464" s="4"/>
      <c r="H3464" s="31" t="str">
        <f t="shared" si="108"/>
        <v/>
      </c>
      <c r="J3464" t="b">
        <f t="shared" si="109"/>
        <v>0</v>
      </c>
    </row>
    <row r="3465" spans="3:10" x14ac:dyDescent="0.25">
      <c r="C3465" s="4"/>
      <c r="E3465" s="4"/>
      <c r="H3465" s="31" t="str">
        <f t="shared" si="108"/>
        <v/>
      </c>
      <c r="J3465" t="b">
        <f t="shared" si="109"/>
        <v>0</v>
      </c>
    </row>
    <row r="3466" spans="3:10" x14ac:dyDescent="0.25">
      <c r="C3466" s="4"/>
      <c r="E3466" s="4"/>
      <c r="H3466" s="31" t="str">
        <f t="shared" si="108"/>
        <v/>
      </c>
      <c r="J3466" t="b">
        <f t="shared" si="109"/>
        <v>0</v>
      </c>
    </row>
    <row r="3467" spans="3:10" x14ac:dyDescent="0.25">
      <c r="C3467" s="4"/>
      <c r="E3467" s="4"/>
      <c r="H3467" s="31" t="str">
        <f t="shared" si="108"/>
        <v/>
      </c>
      <c r="J3467" t="b">
        <f t="shared" si="109"/>
        <v>0</v>
      </c>
    </row>
    <row r="3468" spans="3:10" x14ac:dyDescent="0.25">
      <c r="C3468" s="4"/>
      <c r="E3468" s="4"/>
      <c r="H3468" s="31" t="str">
        <f t="shared" si="108"/>
        <v/>
      </c>
      <c r="J3468" t="b">
        <f t="shared" si="109"/>
        <v>0</v>
      </c>
    </row>
    <row r="3469" spans="3:10" x14ac:dyDescent="0.25">
      <c r="C3469" s="4"/>
      <c r="E3469" s="4"/>
      <c r="H3469" s="31" t="str">
        <f t="shared" si="108"/>
        <v/>
      </c>
      <c r="J3469" t="b">
        <f t="shared" si="109"/>
        <v>0</v>
      </c>
    </row>
    <row r="3470" spans="3:10" x14ac:dyDescent="0.25">
      <c r="C3470" s="4"/>
      <c r="E3470" s="4"/>
      <c r="H3470" s="31" t="str">
        <f t="shared" si="108"/>
        <v/>
      </c>
      <c r="J3470" t="b">
        <f t="shared" si="109"/>
        <v>0</v>
      </c>
    </row>
    <row r="3471" spans="3:10" x14ac:dyDescent="0.25">
      <c r="C3471" s="4"/>
      <c r="E3471" s="4"/>
      <c r="H3471" s="31" t="str">
        <f t="shared" si="108"/>
        <v/>
      </c>
      <c r="J3471" t="b">
        <f t="shared" si="109"/>
        <v>0</v>
      </c>
    </row>
    <row r="3472" spans="3:10" x14ac:dyDescent="0.25">
      <c r="C3472" s="4"/>
      <c r="E3472" s="4"/>
      <c r="H3472" s="31" t="str">
        <f t="shared" si="108"/>
        <v/>
      </c>
      <c r="J3472" t="b">
        <f t="shared" si="109"/>
        <v>0</v>
      </c>
    </row>
    <row r="3473" spans="3:10" x14ac:dyDescent="0.25">
      <c r="C3473" s="4"/>
      <c r="E3473" s="4"/>
      <c r="H3473" s="31" t="str">
        <f t="shared" si="108"/>
        <v/>
      </c>
      <c r="J3473" t="b">
        <f t="shared" si="109"/>
        <v>0</v>
      </c>
    </row>
    <row r="3474" spans="3:10" x14ac:dyDescent="0.25">
      <c r="C3474" s="4"/>
      <c r="E3474" s="4"/>
      <c r="H3474" s="31" t="str">
        <f t="shared" si="108"/>
        <v/>
      </c>
      <c r="J3474" t="b">
        <f t="shared" si="109"/>
        <v>0</v>
      </c>
    </row>
    <row r="3475" spans="3:10" x14ac:dyDescent="0.25">
      <c r="C3475" s="4"/>
      <c r="E3475" s="4"/>
      <c r="H3475" s="31" t="str">
        <f t="shared" si="108"/>
        <v/>
      </c>
      <c r="J3475" t="b">
        <f t="shared" si="109"/>
        <v>0</v>
      </c>
    </row>
    <row r="3476" spans="3:10" x14ac:dyDescent="0.25">
      <c r="C3476" s="4"/>
      <c r="E3476" s="4"/>
      <c r="H3476" s="31" t="str">
        <f t="shared" si="108"/>
        <v/>
      </c>
      <c r="J3476" t="b">
        <f t="shared" si="109"/>
        <v>0</v>
      </c>
    </row>
    <row r="3477" spans="3:10" x14ac:dyDescent="0.25">
      <c r="C3477" s="4"/>
      <c r="E3477" s="4"/>
      <c r="H3477" s="31" t="str">
        <f t="shared" si="108"/>
        <v/>
      </c>
      <c r="J3477" t="b">
        <f t="shared" si="109"/>
        <v>0</v>
      </c>
    </row>
    <row r="3478" spans="3:10" x14ac:dyDescent="0.25">
      <c r="C3478" s="4"/>
      <c r="E3478" s="4"/>
      <c r="H3478" s="31" t="str">
        <f t="shared" si="108"/>
        <v/>
      </c>
      <c r="J3478" t="b">
        <f t="shared" si="109"/>
        <v>0</v>
      </c>
    </row>
    <row r="3479" spans="3:10" x14ac:dyDescent="0.25">
      <c r="C3479" s="4"/>
      <c r="E3479" s="4"/>
      <c r="H3479" s="31" t="str">
        <f t="shared" si="108"/>
        <v/>
      </c>
      <c r="J3479" t="b">
        <f t="shared" si="109"/>
        <v>0</v>
      </c>
    </row>
    <row r="3480" spans="3:10" x14ac:dyDescent="0.25">
      <c r="C3480" s="4"/>
      <c r="E3480" s="4"/>
      <c r="H3480" s="31" t="str">
        <f t="shared" si="108"/>
        <v/>
      </c>
      <c r="J3480" t="b">
        <f t="shared" si="109"/>
        <v>0</v>
      </c>
    </row>
    <row r="3481" spans="3:10" x14ac:dyDescent="0.25">
      <c r="C3481" s="4"/>
      <c r="E3481" s="4"/>
      <c r="H3481" s="31" t="str">
        <f t="shared" si="108"/>
        <v/>
      </c>
      <c r="J3481" t="b">
        <f t="shared" si="109"/>
        <v>0</v>
      </c>
    </row>
    <row r="3482" spans="3:10" x14ac:dyDescent="0.25">
      <c r="C3482" s="4"/>
      <c r="E3482" s="4"/>
      <c r="H3482" s="31" t="str">
        <f t="shared" si="108"/>
        <v/>
      </c>
      <c r="J3482" t="b">
        <f t="shared" si="109"/>
        <v>0</v>
      </c>
    </row>
    <row r="3483" spans="3:10" x14ac:dyDescent="0.25">
      <c r="C3483" s="4"/>
      <c r="E3483" s="4"/>
      <c r="H3483" s="31" t="str">
        <f t="shared" si="108"/>
        <v/>
      </c>
      <c r="J3483" t="b">
        <f t="shared" si="109"/>
        <v>0</v>
      </c>
    </row>
    <row r="3484" spans="3:10" x14ac:dyDescent="0.25">
      <c r="C3484" s="4"/>
      <c r="E3484" s="4"/>
      <c r="H3484" s="31" t="str">
        <f t="shared" si="108"/>
        <v/>
      </c>
      <c r="J3484" t="b">
        <f t="shared" si="109"/>
        <v>0</v>
      </c>
    </row>
    <row r="3485" spans="3:10" x14ac:dyDescent="0.25">
      <c r="C3485" s="4"/>
      <c r="E3485" s="4"/>
      <c r="H3485" s="31" t="str">
        <f t="shared" si="108"/>
        <v/>
      </c>
      <c r="J3485" t="b">
        <f t="shared" si="109"/>
        <v>0</v>
      </c>
    </row>
    <row r="3486" spans="3:10" x14ac:dyDescent="0.25">
      <c r="C3486" s="4"/>
      <c r="E3486" s="4"/>
      <c r="H3486" s="31" t="str">
        <f t="shared" si="108"/>
        <v/>
      </c>
      <c r="J3486" t="b">
        <f t="shared" si="109"/>
        <v>0</v>
      </c>
    </row>
    <row r="3487" spans="3:10" x14ac:dyDescent="0.25">
      <c r="C3487" s="4"/>
      <c r="E3487" s="4"/>
      <c r="H3487" s="31" t="str">
        <f t="shared" si="108"/>
        <v/>
      </c>
      <c r="J3487" t="b">
        <f t="shared" si="109"/>
        <v>0</v>
      </c>
    </row>
    <row r="3488" spans="3:10" x14ac:dyDescent="0.25">
      <c r="C3488" s="4"/>
      <c r="E3488" s="4"/>
      <c r="H3488" s="31" t="str">
        <f t="shared" si="108"/>
        <v/>
      </c>
      <c r="J3488" t="b">
        <f t="shared" si="109"/>
        <v>0</v>
      </c>
    </row>
    <row r="3489" spans="3:10" x14ac:dyDescent="0.25">
      <c r="C3489" s="4"/>
      <c r="E3489" s="4"/>
      <c r="H3489" s="31" t="str">
        <f t="shared" si="108"/>
        <v/>
      </c>
      <c r="J3489" t="b">
        <f t="shared" si="109"/>
        <v>0</v>
      </c>
    </row>
    <row r="3490" spans="3:10" x14ac:dyDescent="0.25">
      <c r="C3490" s="4"/>
      <c r="E3490" s="4"/>
      <c r="H3490" s="31" t="str">
        <f t="shared" si="108"/>
        <v/>
      </c>
      <c r="J3490" t="b">
        <f t="shared" si="109"/>
        <v>0</v>
      </c>
    </row>
    <row r="3491" spans="3:10" x14ac:dyDescent="0.25">
      <c r="C3491" s="4"/>
      <c r="E3491" s="4"/>
      <c r="H3491" s="31" t="str">
        <f t="shared" si="108"/>
        <v/>
      </c>
      <c r="J3491" t="b">
        <f t="shared" si="109"/>
        <v>0</v>
      </c>
    </row>
    <row r="3492" spans="3:10" x14ac:dyDescent="0.25">
      <c r="C3492" s="4"/>
      <c r="E3492" s="4"/>
      <c r="H3492" s="31" t="str">
        <f t="shared" si="108"/>
        <v/>
      </c>
      <c r="J3492" t="b">
        <f t="shared" si="109"/>
        <v>0</v>
      </c>
    </row>
    <row r="3493" spans="3:10" x14ac:dyDescent="0.25">
      <c r="C3493" s="4"/>
      <c r="E3493" s="4"/>
      <c r="H3493" s="31" t="str">
        <f t="shared" si="108"/>
        <v/>
      </c>
      <c r="J3493" t="b">
        <f t="shared" si="109"/>
        <v>0</v>
      </c>
    </row>
    <row r="3494" spans="3:10" x14ac:dyDescent="0.25">
      <c r="C3494" s="4"/>
      <c r="E3494" s="4"/>
      <c r="H3494" s="31" t="str">
        <f t="shared" si="108"/>
        <v/>
      </c>
      <c r="J3494" t="b">
        <f t="shared" si="109"/>
        <v>0</v>
      </c>
    </row>
    <row r="3495" spans="3:10" x14ac:dyDescent="0.25">
      <c r="C3495" s="4"/>
      <c r="E3495" s="4"/>
      <c r="H3495" s="31" t="str">
        <f t="shared" si="108"/>
        <v/>
      </c>
      <c r="J3495" t="b">
        <f t="shared" si="109"/>
        <v>0</v>
      </c>
    </row>
    <row r="3496" spans="3:10" x14ac:dyDescent="0.25">
      <c r="C3496" s="4"/>
      <c r="E3496" s="4"/>
      <c r="H3496" s="31" t="str">
        <f t="shared" si="108"/>
        <v/>
      </c>
      <c r="J3496" t="b">
        <f t="shared" si="109"/>
        <v>0</v>
      </c>
    </row>
    <row r="3497" spans="3:10" x14ac:dyDescent="0.25">
      <c r="C3497" s="4"/>
      <c r="E3497" s="4"/>
      <c r="H3497" s="31" t="str">
        <f t="shared" si="108"/>
        <v/>
      </c>
      <c r="J3497" t="b">
        <f t="shared" si="109"/>
        <v>0</v>
      </c>
    </row>
    <row r="3498" spans="3:10" x14ac:dyDescent="0.25">
      <c r="C3498" s="4"/>
      <c r="E3498" s="4"/>
      <c r="H3498" s="31" t="str">
        <f t="shared" si="108"/>
        <v/>
      </c>
      <c r="J3498" t="b">
        <f t="shared" si="109"/>
        <v>0</v>
      </c>
    </row>
    <row r="3499" spans="3:10" x14ac:dyDescent="0.25">
      <c r="C3499" s="4"/>
      <c r="E3499" s="4"/>
      <c r="H3499" s="31" t="str">
        <f t="shared" si="108"/>
        <v/>
      </c>
      <c r="J3499" t="b">
        <f t="shared" si="109"/>
        <v>0</v>
      </c>
    </row>
    <row r="3500" spans="3:10" x14ac:dyDescent="0.25">
      <c r="C3500" s="4"/>
      <c r="E3500" s="4"/>
      <c r="H3500" s="31" t="str">
        <f t="shared" si="108"/>
        <v/>
      </c>
      <c r="J3500" t="b">
        <f t="shared" si="109"/>
        <v>0</v>
      </c>
    </row>
    <row r="3501" spans="3:10" x14ac:dyDescent="0.25">
      <c r="C3501" s="4"/>
      <c r="E3501" s="4"/>
      <c r="H3501" s="31" t="str">
        <f t="shared" si="108"/>
        <v/>
      </c>
      <c r="J3501" t="b">
        <f t="shared" si="109"/>
        <v>0</v>
      </c>
    </row>
    <row r="3502" spans="3:10" x14ac:dyDescent="0.25">
      <c r="C3502" s="4"/>
      <c r="E3502" s="4"/>
      <c r="H3502" s="31" t="str">
        <f t="shared" si="108"/>
        <v/>
      </c>
      <c r="J3502" t="b">
        <f t="shared" si="109"/>
        <v>0</v>
      </c>
    </row>
    <row r="3503" spans="3:10" x14ac:dyDescent="0.25">
      <c r="C3503" s="4"/>
      <c r="E3503" s="4"/>
      <c r="H3503" s="31" t="str">
        <f t="shared" si="108"/>
        <v/>
      </c>
      <c r="J3503" t="b">
        <f t="shared" si="109"/>
        <v>0</v>
      </c>
    </row>
    <row r="3504" spans="3:10" x14ac:dyDescent="0.25">
      <c r="C3504" s="4"/>
      <c r="E3504" s="4"/>
      <c r="H3504" s="31" t="str">
        <f t="shared" si="108"/>
        <v/>
      </c>
      <c r="J3504" t="b">
        <f t="shared" si="109"/>
        <v>0</v>
      </c>
    </row>
    <row r="3505" spans="3:10" x14ac:dyDescent="0.25">
      <c r="C3505" s="4"/>
      <c r="E3505" s="4"/>
      <c r="H3505" s="31" t="str">
        <f t="shared" si="108"/>
        <v/>
      </c>
      <c r="J3505" t="b">
        <f t="shared" si="109"/>
        <v>0</v>
      </c>
    </row>
    <row r="3506" spans="3:10" x14ac:dyDescent="0.25">
      <c r="C3506" s="4"/>
      <c r="E3506" s="4"/>
      <c r="H3506" s="31" t="str">
        <f t="shared" si="108"/>
        <v/>
      </c>
      <c r="J3506" t="b">
        <f t="shared" si="109"/>
        <v>0</v>
      </c>
    </row>
    <row r="3507" spans="3:10" x14ac:dyDescent="0.25">
      <c r="C3507" s="4"/>
      <c r="E3507" s="4"/>
      <c r="H3507" s="31" t="str">
        <f t="shared" si="108"/>
        <v/>
      </c>
      <c r="J3507" t="b">
        <f t="shared" si="109"/>
        <v>0</v>
      </c>
    </row>
    <row r="3508" spans="3:10" x14ac:dyDescent="0.25">
      <c r="C3508" s="4"/>
      <c r="E3508" s="4"/>
      <c r="H3508" s="31" t="str">
        <f t="shared" si="108"/>
        <v/>
      </c>
      <c r="J3508" t="b">
        <f t="shared" si="109"/>
        <v>0</v>
      </c>
    </row>
    <row r="3509" spans="3:10" x14ac:dyDescent="0.25">
      <c r="C3509" s="4"/>
      <c r="E3509" s="4"/>
      <c r="H3509" s="31" t="str">
        <f t="shared" si="108"/>
        <v/>
      </c>
      <c r="J3509" t="b">
        <f t="shared" si="109"/>
        <v>0</v>
      </c>
    </row>
    <row r="3510" spans="3:10" x14ac:dyDescent="0.25">
      <c r="C3510" s="4"/>
      <c r="E3510" s="4"/>
      <c r="H3510" s="31" t="str">
        <f t="shared" si="108"/>
        <v/>
      </c>
      <c r="J3510" t="b">
        <f t="shared" si="109"/>
        <v>0</v>
      </c>
    </row>
    <row r="3511" spans="3:10" x14ac:dyDescent="0.25">
      <c r="C3511" s="4"/>
      <c r="E3511" s="4"/>
      <c r="H3511" s="31" t="str">
        <f t="shared" si="108"/>
        <v/>
      </c>
      <c r="J3511" t="b">
        <f t="shared" si="109"/>
        <v>0</v>
      </c>
    </row>
    <row r="3512" spans="3:10" x14ac:dyDescent="0.25">
      <c r="C3512" s="4"/>
      <c r="E3512" s="4"/>
      <c r="H3512" s="31" t="str">
        <f t="shared" si="108"/>
        <v/>
      </c>
      <c r="J3512" t="b">
        <f t="shared" si="109"/>
        <v>0</v>
      </c>
    </row>
    <row r="3513" spans="3:10" x14ac:dyDescent="0.25">
      <c r="C3513" s="4"/>
      <c r="E3513" s="4"/>
      <c r="H3513" s="31" t="str">
        <f t="shared" si="108"/>
        <v/>
      </c>
      <c r="J3513" t="b">
        <f t="shared" si="109"/>
        <v>0</v>
      </c>
    </row>
    <row r="3514" spans="3:10" x14ac:dyDescent="0.25">
      <c r="C3514" s="4"/>
      <c r="E3514" s="4"/>
      <c r="H3514" s="31" t="str">
        <f t="shared" si="108"/>
        <v/>
      </c>
      <c r="J3514" t="b">
        <f t="shared" si="109"/>
        <v>0</v>
      </c>
    </row>
    <row r="3515" spans="3:10" x14ac:dyDescent="0.25">
      <c r="C3515" s="4"/>
      <c r="E3515" s="4"/>
      <c r="H3515" s="31" t="str">
        <f t="shared" si="108"/>
        <v/>
      </c>
      <c r="J3515" t="b">
        <f t="shared" si="109"/>
        <v>0</v>
      </c>
    </row>
    <row r="3516" spans="3:10" x14ac:dyDescent="0.25">
      <c r="C3516" s="4"/>
      <c r="E3516" s="4"/>
      <c r="H3516" s="31" t="str">
        <f t="shared" si="108"/>
        <v/>
      </c>
      <c r="J3516" t="b">
        <f t="shared" si="109"/>
        <v>0</v>
      </c>
    </row>
    <row r="3517" spans="3:10" x14ac:dyDescent="0.25">
      <c r="C3517" s="4"/>
      <c r="E3517" s="4"/>
      <c r="H3517" s="31" t="str">
        <f t="shared" si="108"/>
        <v/>
      </c>
      <c r="J3517" t="b">
        <f t="shared" si="109"/>
        <v>0</v>
      </c>
    </row>
    <row r="3518" spans="3:10" x14ac:dyDescent="0.25">
      <c r="C3518" s="4"/>
      <c r="E3518" s="4"/>
      <c r="H3518" s="31" t="str">
        <f t="shared" si="108"/>
        <v/>
      </c>
      <c r="J3518" t="b">
        <f t="shared" si="109"/>
        <v>0</v>
      </c>
    </row>
    <row r="3519" spans="3:10" x14ac:dyDescent="0.25">
      <c r="C3519" s="4"/>
      <c r="E3519" s="4"/>
      <c r="H3519" s="31" t="str">
        <f t="shared" si="108"/>
        <v/>
      </c>
      <c r="J3519" t="b">
        <f t="shared" si="109"/>
        <v>0</v>
      </c>
    </row>
    <row r="3520" spans="3:10" x14ac:dyDescent="0.25">
      <c r="C3520" s="4"/>
      <c r="E3520" s="4"/>
      <c r="H3520" s="31" t="str">
        <f t="shared" si="108"/>
        <v/>
      </c>
      <c r="J3520" t="b">
        <f t="shared" si="109"/>
        <v>0</v>
      </c>
    </row>
    <row r="3521" spans="3:10" x14ac:dyDescent="0.25">
      <c r="C3521" s="4"/>
      <c r="E3521" s="4"/>
      <c r="H3521" s="31" t="str">
        <f t="shared" si="108"/>
        <v/>
      </c>
      <c r="J3521" t="b">
        <f t="shared" si="109"/>
        <v>0</v>
      </c>
    </row>
    <row r="3522" spans="3:10" x14ac:dyDescent="0.25">
      <c r="C3522" s="4"/>
      <c r="E3522" s="4"/>
      <c r="H3522" s="31" t="str">
        <f t="shared" si="108"/>
        <v/>
      </c>
      <c r="J3522" t="b">
        <f t="shared" si="109"/>
        <v>0</v>
      </c>
    </row>
    <row r="3523" spans="3:10" x14ac:dyDescent="0.25">
      <c r="C3523" s="4"/>
      <c r="E3523" s="4"/>
      <c r="H3523" s="31" t="str">
        <f t="shared" si="108"/>
        <v/>
      </c>
      <c r="J3523" t="b">
        <f t="shared" si="109"/>
        <v>0</v>
      </c>
    </row>
    <row r="3524" spans="3:10" x14ac:dyDescent="0.25">
      <c r="C3524" s="4"/>
      <c r="E3524" s="4"/>
      <c r="H3524" s="31" t="str">
        <f t="shared" ref="H3524:H3587" si="110">IF($J3524=TRUE,"Il ne peut y avoir des valeurs dans les 2 méthodes",IF($D3524="kg/l",$C3524,IF($D3524="g/l",$C3524/1000,IF($D3524="lb/gal US",$C3524*0.454/3.785,IF($G3524="kg/l",($E3524/100)*$F3524,IF($G3524="g/l",($E3524/100)*$F3524/1000,IF($G3524="lb/gal US",($E3524/100)*$F3524*0.454/3.785,"")))))))</f>
        <v/>
      </c>
      <c r="J3524" t="b">
        <f t="shared" ref="J3524:J3587" si="111">IF(AND(OR($C3524&lt;&gt;"",$D3524&lt;&gt;""),OR($E3524&lt;&gt;"",F3524&lt;&gt;"",G3524&lt;&gt;"")),TRUE,FALSE)</f>
        <v>0</v>
      </c>
    </row>
    <row r="3525" spans="3:10" x14ac:dyDescent="0.25">
      <c r="C3525" s="4"/>
      <c r="E3525" s="4"/>
      <c r="H3525" s="31" t="str">
        <f t="shared" si="110"/>
        <v/>
      </c>
      <c r="J3525" t="b">
        <f t="shared" si="111"/>
        <v>0</v>
      </c>
    </row>
    <row r="3526" spans="3:10" x14ac:dyDescent="0.25">
      <c r="C3526" s="4"/>
      <c r="E3526" s="4"/>
      <c r="H3526" s="31" t="str">
        <f t="shared" si="110"/>
        <v/>
      </c>
      <c r="J3526" t="b">
        <f t="shared" si="111"/>
        <v>0</v>
      </c>
    </row>
    <row r="3527" spans="3:10" x14ac:dyDescent="0.25">
      <c r="C3527" s="4"/>
      <c r="E3527" s="4"/>
      <c r="H3527" s="31" t="str">
        <f t="shared" si="110"/>
        <v/>
      </c>
      <c r="J3527" t="b">
        <f t="shared" si="111"/>
        <v>0</v>
      </c>
    </row>
    <row r="3528" spans="3:10" x14ac:dyDescent="0.25">
      <c r="C3528" s="4"/>
      <c r="E3528" s="4"/>
      <c r="H3528" s="31" t="str">
        <f t="shared" si="110"/>
        <v/>
      </c>
      <c r="J3528" t="b">
        <f t="shared" si="111"/>
        <v>0</v>
      </c>
    </row>
    <row r="3529" spans="3:10" x14ac:dyDescent="0.25">
      <c r="C3529" s="4"/>
      <c r="E3529" s="4"/>
      <c r="H3529" s="31" t="str">
        <f t="shared" si="110"/>
        <v/>
      </c>
      <c r="J3529" t="b">
        <f t="shared" si="111"/>
        <v>0</v>
      </c>
    </row>
    <row r="3530" spans="3:10" x14ac:dyDescent="0.25">
      <c r="C3530" s="4"/>
      <c r="E3530" s="4"/>
      <c r="H3530" s="31" t="str">
        <f t="shared" si="110"/>
        <v/>
      </c>
      <c r="J3530" t="b">
        <f t="shared" si="111"/>
        <v>0</v>
      </c>
    </row>
    <row r="3531" spans="3:10" x14ac:dyDescent="0.25">
      <c r="C3531" s="4"/>
      <c r="E3531" s="4"/>
      <c r="H3531" s="31" t="str">
        <f t="shared" si="110"/>
        <v/>
      </c>
      <c r="J3531" t="b">
        <f t="shared" si="111"/>
        <v>0</v>
      </c>
    </row>
    <row r="3532" spans="3:10" x14ac:dyDescent="0.25">
      <c r="C3532" s="4"/>
      <c r="E3532" s="4"/>
      <c r="H3532" s="31" t="str">
        <f t="shared" si="110"/>
        <v/>
      </c>
      <c r="J3532" t="b">
        <f t="shared" si="111"/>
        <v>0</v>
      </c>
    </row>
    <row r="3533" spans="3:10" x14ac:dyDescent="0.25">
      <c r="C3533" s="4"/>
      <c r="E3533" s="4"/>
      <c r="H3533" s="31" t="str">
        <f t="shared" si="110"/>
        <v/>
      </c>
      <c r="J3533" t="b">
        <f t="shared" si="111"/>
        <v>0</v>
      </c>
    </row>
    <row r="3534" spans="3:10" x14ac:dyDescent="0.25">
      <c r="C3534" s="4"/>
      <c r="E3534" s="4"/>
      <c r="H3534" s="31" t="str">
        <f t="shared" si="110"/>
        <v/>
      </c>
      <c r="J3534" t="b">
        <f t="shared" si="111"/>
        <v>0</v>
      </c>
    </row>
    <row r="3535" spans="3:10" x14ac:dyDescent="0.25">
      <c r="C3535" s="4"/>
      <c r="E3535" s="4"/>
      <c r="H3535" s="31" t="str">
        <f t="shared" si="110"/>
        <v/>
      </c>
      <c r="J3535" t="b">
        <f t="shared" si="111"/>
        <v>0</v>
      </c>
    </row>
    <row r="3536" spans="3:10" x14ac:dyDescent="0.25">
      <c r="C3536" s="4"/>
      <c r="E3536" s="4"/>
      <c r="H3536" s="31" t="str">
        <f t="shared" si="110"/>
        <v/>
      </c>
      <c r="J3536" t="b">
        <f t="shared" si="111"/>
        <v>0</v>
      </c>
    </row>
    <row r="3537" spans="3:10" x14ac:dyDescent="0.25">
      <c r="C3537" s="4"/>
      <c r="E3537" s="4"/>
      <c r="H3537" s="31" t="str">
        <f t="shared" si="110"/>
        <v/>
      </c>
      <c r="J3537" t="b">
        <f t="shared" si="111"/>
        <v>0</v>
      </c>
    </row>
    <row r="3538" spans="3:10" x14ac:dyDescent="0.25">
      <c r="C3538" s="4"/>
      <c r="E3538" s="4"/>
      <c r="H3538" s="31" t="str">
        <f t="shared" si="110"/>
        <v/>
      </c>
      <c r="J3538" t="b">
        <f t="shared" si="111"/>
        <v>0</v>
      </c>
    </row>
    <row r="3539" spans="3:10" x14ac:dyDescent="0.25">
      <c r="C3539" s="4"/>
      <c r="E3539" s="4"/>
      <c r="H3539" s="31" t="str">
        <f t="shared" si="110"/>
        <v/>
      </c>
      <c r="J3539" t="b">
        <f t="shared" si="111"/>
        <v>0</v>
      </c>
    </row>
    <row r="3540" spans="3:10" x14ac:dyDescent="0.25">
      <c r="C3540" s="4"/>
      <c r="E3540" s="4"/>
      <c r="H3540" s="31" t="str">
        <f t="shared" si="110"/>
        <v/>
      </c>
      <c r="J3540" t="b">
        <f t="shared" si="111"/>
        <v>0</v>
      </c>
    </row>
    <row r="3541" spans="3:10" x14ac:dyDescent="0.25">
      <c r="C3541" s="4"/>
      <c r="E3541" s="4"/>
      <c r="H3541" s="31" t="str">
        <f t="shared" si="110"/>
        <v/>
      </c>
      <c r="J3541" t="b">
        <f t="shared" si="111"/>
        <v>0</v>
      </c>
    </row>
    <row r="3542" spans="3:10" x14ac:dyDescent="0.25">
      <c r="C3542" s="4"/>
      <c r="E3542" s="4"/>
      <c r="H3542" s="31" t="str">
        <f t="shared" si="110"/>
        <v/>
      </c>
      <c r="J3542" t="b">
        <f t="shared" si="111"/>
        <v>0</v>
      </c>
    </row>
    <row r="3543" spans="3:10" x14ac:dyDescent="0.25">
      <c r="C3543" s="4"/>
      <c r="E3543" s="4"/>
      <c r="H3543" s="31" t="str">
        <f t="shared" si="110"/>
        <v/>
      </c>
      <c r="J3543" t="b">
        <f t="shared" si="111"/>
        <v>0</v>
      </c>
    </row>
    <row r="3544" spans="3:10" x14ac:dyDescent="0.25">
      <c r="C3544" s="4"/>
      <c r="E3544" s="4"/>
      <c r="H3544" s="31" t="str">
        <f t="shared" si="110"/>
        <v/>
      </c>
      <c r="J3544" t="b">
        <f t="shared" si="111"/>
        <v>0</v>
      </c>
    </row>
    <row r="3545" spans="3:10" x14ac:dyDescent="0.25">
      <c r="C3545" s="4"/>
      <c r="E3545" s="4"/>
      <c r="H3545" s="31" t="str">
        <f t="shared" si="110"/>
        <v/>
      </c>
      <c r="J3545" t="b">
        <f t="shared" si="111"/>
        <v>0</v>
      </c>
    </row>
    <row r="3546" spans="3:10" x14ac:dyDescent="0.25">
      <c r="C3546" s="4"/>
      <c r="E3546" s="4"/>
      <c r="H3546" s="31" t="str">
        <f t="shared" si="110"/>
        <v/>
      </c>
      <c r="J3546" t="b">
        <f t="shared" si="111"/>
        <v>0</v>
      </c>
    </row>
    <row r="3547" spans="3:10" x14ac:dyDescent="0.25">
      <c r="C3547" s="4"/>
      <c r="E3547" s="4"/>
      <c r="H3547" s="31" t="str">
        <f t="shared" si="110"/>
        <v/>
      </c>
      <c r="J3547" t="b">
        <f t="shared" si="111"/>
        <v>0</v>
      </c>
    </row>
    <row r="3548" spans="3:10" x14ac:dyDescent="0.25">
      <c r="C3548" s="4"/>
      <c r="E3548" s="4"/>
      <c r="H3548" s="31" t="str">
        <f t="shared" si="110"/>
        <v/>
      </c>
      <c r="J3548" t="b">
        <f t="shared" si="111"/>
        <v>0</v>
      </c>
    </row>
    <row r="3549" spans="3:10" x14ac:dyDescent="0.25">
      <c r="C3549" s="4"/>
      <c r="E3549" s="4"/>
      <c r="H3549" s="31" t="str">
        <f t="shared" si="110"/>
        <v/>
      </c>
      <c r="J3549" t="b">
        <f t="shared" si="111"/>
        <v>0</v>
      </c>
    </row>
    <row r="3550" spans="3:10" x14ac:dyDescent="0.25">
      <c r="C3550" s="4"/>
      <c r="E3550" s="4"/>
      <c r="H3550" s="31" t="str">
        <f t="shared" si="110"/>
        <v/>
      </c>
      <c r="J3550" t="b">
        <f t="shared" si="111"/>
        <v>0</v>
      </c>
    </row>
    <row r="3551" spans="3:10" x14ac:dyDescent="0.25">
      <c r="C3551" s="4"/>
      <c r="E3551" s="4"/>
      <c r="H3551" s="31" t="str">
        <f t="shared" si="110"/>
        <v/>
      </c>
      <c r="J3551" t="b">
        <f t="shared" si="111"/>
        <v>0</v>
      </c>
    </row>
    <row r="3552" spans="3:10" x14ac:dyDescent="0.25">
      <c r="C3552" s="4"/>
      <c r="E3552" s="4"/>
      <c r="H3552" s="31" t="str">
        <f t="shared" si="110"/>
        <v/>
      </c>
      <c r="J3552" t="b">
        <f t="shared" si="111"/>
        <v>0</v>
      </c>
    </row>
    <row r="3553" spans="3:10" x14ac:dyDescent="0.25">
      <c r="C3553" s="4"/>
      <c r="E3553" s="4"/>
      <c r="H3553" s="31" t="str">
        <f t="shared" si="110"/>
        <v/>
      </c>
      <c r="J3553" t="b">
        <f t="shared" si="111"/>
        <v>0</v>
      </c>
    </row>
    <row r="3554" spans="3:10" x14ac:dyDescent="0.25">
      <c r="C3554" s="4"/>
      <c r="E3554" s="4"/>
      <c r="H3554" s="31" t="str">
        <f t="shared" si="110"/>
        <v/>
      </c>
      <c r="J3554" t="b">
        <f t="shared" si="111"/>
        <v>0</v>
      </c>
    </row>
    <row r="3555" spans="3:10" x14ac:dyDescent="0.25">
      <c r="C3555" s="4"/>
      <c r="E3555" s="4"/>
      <c r="H3555" s="31" t="str">
        <f t="shared" si="110"/>
        <v/>
      </c>
      <c r="J3555" t="b">
        <f t="shared" si="111"/>
        <v>0</v>
      </c>
    </row>
    <row r="3556" spans="3:10" x14ac:dyDescent="0.25">
      <c r="C3556" s="4"/>
      <c r="E3556" s="4"/>
      <c r="H3556" s="31" t="str">
        <f t="shared" si="110"/>
        <v/>
      </c>
      <c r="J3556" t="b">
        <f t="shared" si="111"/>
        <v>0</v>
      </c>
    </row>
    <row r="3557" spans="3:10" x14ac:dyDescent="0.25">
      <c r="C3557" s="4"/>
      <c r="E3557" s="4"/>
      <c r="H3557" s="31" t="str">
        <f t="shared" si="110"/>
        <v/>
      </c>
      <c r="J3557" t="b">
        <f t="shared" si="111"/>
        <v>0</v>
      </c>
    </row>
    <row r="3558" spans="3:10" x14ac:dyDescent="0.25">
      <c r="C3558" s="4"/>
      <c r="E3558" s="4"/>
      <c r="H3558" s="31" t="str">
        <f t="shared" si="110"/>
        <v/>
      </c>
      <c r="J3558" t="b">
        <f t="shared" si="111"/>
        <v>0</v>
      </c>
    </row>
    <row r="3559" spans="3:10" x14ac:dyDescent="0.25">
      <c r="C3559" s="4"/>
      <c r="E3559" s="4"/>
      <c r="H3559" s="31" t="str">
        <f t="shared" si="110"/>
        <v/>
      </c>
      <c r="J3559" t="b">
        <f t="shared" si="111"/>
        <v>0</v>
      </c>
    </row>
    <row r="3560" spans="3:10" x14ac:dyDescent="0.25">
      <c r="C3560" s="4"/>
      <c r="E3560" s="4"/>
      <c r="H3560" s="31" t="str">
        <f t="shared" si="110"/>
        <v/>
      </c>
      <c r="J3560" t="b">
        <f t="shared" si="111"/>
        <v>0</v>
      </c>
    </row>
    <row r="3561" spans="3:10" x14ac:dyDescent="0.25">
      <c r="C3561" s="4"/>
      <c r="E3561" s="4"/>
      <c r="H3561" s="31" t="str">
        <f t="shared" si="110"/>
        <v/>
      </c>
      <c r="J3561" t="b">
        <f t="shared" si="111"/>
        <v>0</v>
      </c>
    </row>
    <row r="3562" spans="3:10" x14ac:dyDescent="0.25">
      <c r="C3562" s="4"/>
      <c r="E3562" s="4"/>
      <c r="H3562" s="31" t="str">
        <f t="shared" si="110"/>
        <v/>
      </c>
      <c r="J3562" t="b">
        <f t="shared" si="111"/>
        <v>0</v>
      </c>
    </row>
    <row r="3563" spans="3:10" x14ac:dyDescent="0.25">
      <c r="C3563" s="4"/>
      <c r="E3563" s="4"/>
      <c r="H3563" s="31" t="str">
        <f t="shared" si="110"/>
        <v/>
      </c>
      <c r="J3563" t="b">
        <f t="shared" si="111"/>
        <v>0</v>
      </c>
    </row>
    <row r="3564" spans="3:10" x14ac:dyDescent="0.25">
      <c r="C3564" s="4"/>
      <c r="E3564" s="4"/>
      <c r="H3564" s="31" t="str">
        <f t="shared" si="110"/>
        <v/>
      </c>
      <c r="J3564" t="b">
        <f t="shared" si="111"/>
        <v>0</v>
      </c>
    </row>
    <row r="3565" spans="3:10" x14ac:dyDescent="0.25">
      <c r="C3565" s="4"/>
      <c r="E3565" s="4"/>
      <c r="H3565" s="31" t="str">
        <f t="shared" si="110"/>
        <v/>
      </c>
      <c r="J3565" t="b">
        <f t="shared" si="111"/>
        <v>0</v>
      </c>
    </row>
    <row r="3566" spans="3:10" x14ac:dyDescent="0.25">
      <c r="C3566" s="4"/>
      <c r="E3566" s="4"/>
      <c r="H3566" s="31" t="str">
        <f t="shared" si="110"/>
        <v/>
      </c>
      <c r="J3566" t="b">
        <f t="shared" si="111"/>
        <v>0</v>
      </c>
    </row>
    <row r="3567" spans="3:10" x14ac:dyDescent="0.25">
      <c r="C3567" s="4"/>
      <c r="E3567" s="4"/>
      <c r="H3567" s="31" t="str">
        <f t="shared" si="110"/>
        <v/>
      </c>
      <c r="J3567" t="b">
        <f t="shared" si="111"/>
        <v>0</v>
      </c>
    </row>
    <row r="3568" spans="3:10" x14ac:dyDescent="0.25">
      <c r="C3568" s="4"/>
      <c r="E3568" s="4"/>
      <c r="H3568" s="31" t="str">
        <f t="shared" si="110"/>
        <v/>
      </c>
      <c r="J3568" t="b">
        <f t="shared" si="111"/>
        <v>0</v>
      </c>
    </row>
    <row r="3569" spans="3:10" x14ac:dyDescent="0.25">
      <c r="C3569" s="4"/>
      <c r="E3569" s="4"/>
      <c r="H3569" s="31" t="str">
        <f t="shared" si="110"/>
        <v/>
      </c>
      <c r="J3569" t="b">
        <f t="shared" si="111"/>
        <v>0</v>
      </c>
    </row>
    <row r="3570" spans="3:10" x14ac:dyDescent="0.25">
      <c r="C3570" s="4"/>
      <c r="E3570" s="4"/>
      <c r="H3570" s="31" t="str">
        <f t="shared" si="110"/>
        <v/>
      </c>
      <c r="J3570" t="b">
        <f t="shared" si="111"/>
        <v>0</v>
      </c>
    </row>
    <row r="3571" spans="3:10" x14ac:dyDescent="0.25">
      <c r="C3571" s="4"/>
      <c r="E3571" s="4"/>
      <c r="H3571" s="31" t="str">
        <f t="shared" si="110"/>
        <v/>
      </c>
      <c r="J3571" t="b">
        <f t="shared" si="111"/>
        <v>0</v>
      </c>
    </row>
    <row r="3572" spans="3:10" x14ac:dyDescent="0.25">
      <c r="C3572" s="4"/>
      <c r="E3572" s="4"/>
      <c r="H3572" s="31" t="str">
        <f t="shared" si="110"/>
        <v/>
      </c>
      <c r="J3572" t="b">
        <f t="shared" si="111"/>
        <v>0</v>
      </c>
    </row>
    <row r="3573" spans="3:10" x14ac:dyDescent="0.25">
      <c r="C3573" s="4"/>
      <c r="E3573" s="4"/>
      <c r="H3573" s="31" t="str">
        <f t="shared" si="110"/>
        <v/>
      </c>
      <c r="J3573" t="b">
        <f t="shared" si="111"/>
        <v>0</v>
      </c>
    </row>
    <row r="3574" spans="3:10" x14ac:dyDescent="0.25">
      <c r="C3574" s="4"/>
      <c r="E3574" s="4"/>
      <c r="H3574" s="31" t="str">
        <f t="shared" si="110"/>
        <v/>
      </c>
      <c r="J3574" t="b">
        <f t="shared" si="111"/>
        <v>0</v>
      </c>
    </row>
    <row r="3575" spans="3:10" x14ac:dyDescent="0.25">
      <c r="C3575" s="4"/>
      <c r="E3575" s="4"/>
      <c r="H3575" s="31" t="str">
        <f t="shared" si="110"/>
        <v/>
      </c>
      <c r="J3575" t="b">
        <f t="shared" si="111"/>
        <v>0</v>
      </c>
    </row>
    <row r="3576" spans="3:10" x14ac:dyDescent="0.25">
      <c r="C3576" s="4"/>
      <c r="E3576" s="4"/>
      <c r="H3576" s="31" t="str">
        <f t="shared" si="110"/>
        <v/>
      </c>
      <c r="J3576" t="b">
        <f t="shared" si="111"/>
        <v>0</v>
      </c>
    </row>
    <row r="3577" spans="3:10" x14ac:dyDescent="0.25">
      <c r="C3577" s="4"/>
      <c r="E3577" s="4"/>
      <c r="H3577" s="31" t="str">
        <f t="shared" si="110"/>
        <v/>
      </c>
      <c r="J3577" t="b">
        <f t="shared" si="111"/>
        <v>0</v>
      </c>
    </row>
    <row r="3578" spans="3:10" x14ac:dyDescent="0.25">
      <c r="C3578" s="4"/>
      <c r="E3578" s="4"/>
      <c r="H3578" s="31" t="str">
        <f t="shared" si="110"/>
        <v/>
      </c>
      <c r="J3578" t="b">
        <f t="shared" si="111"/>
        <v>0</v>
      </c>
    </row>
    <row r="3579" spans="3:10" x14ac:dyDescent="0.25">
      <c r="C3579" s="4"/>
      <c r="E3579" s="4"/>
      <c r="H3579" s="31" t="str">
        <f t="shared" si="110"/>
        <v/>
      </c>
      <c r="J3579" t="b">
        <f t="shared" si="111"/>
        <v>0</v>
      </c>
    </row>
    <row r="3580" spans="3:10" x14ac:dyDescent="0.25">
      <c r="C3580" s="4"/>
      <c r="E3580" s="4"/>
      <c r="H3580" s="31" t="str">
        <f t="shared" si="110"/>
        <v/>
      </c>
      <c r="J3580" t="b">
        <f t="shared" si="111"/>
        <v>0</v>
      </c>
    </row>
    <row r="3581" spans="3:10" x14ac:dyDescent="0.25">
      <c r="C3581" s="4"/>
      <c r="E3581" s="4"/>
      <c r="H3581" s="31" t="str">
        <f t="shared" si="110"/>
        <v/>
      </c>
      <c r="J3581" t="b">
        <f t="shared" si="111"/>
        <v>0</v>
      </c>
    </row>
    <row r="3582" spans="3:10" x14ac:dyDescent="0.25">
      <c r="C3582" s="4"/>
      <c r="E3582" s="4"/>
      <c r="H3582" s="31" t="str">
        <f t="shared" si="110"/>
        <v/>
      </c>
      <c r="J3582" t="b">
        <f t="shared" si="111"/>
        <v>0</v>
      </c>
    </row>
    <row r="3583" spans="3:10" x14ac:dyDescent="0.25">
      <c r="C3583" s="4"/>
      <c r="E3583" s="4"/>
      <c r="H3583" s="31" t="str">
        <f t="shared" si="110"/>
        <v/>
      </c>
      <c r="J3583" t="b">
        <f t="shared" si="111"/>
        <v>0</v>
      </c>
    </row>
    <row r="3584" spans="3:10" x14ac:dyDescent="0.25">
      <c r="C3584" s="4"/>
      <c r="E3584" s="4"/>
      <c r="H3584" s="31" t="str">
        <f t="shared" si="110"/>
        <v/>
      </c>
      <c r="J3584" t="b">
        <f t="shared" si="111"/>
        <v>0</v>
      </c>
    </row>
    <row r="3585" spans="3:10" x14ac:dyDescent="0.25">
      <c r="C3585" s="4"/>
      <c r="E3585" s="4"/>
      <c r="H3585" s="31" t="str">
        <f t="shared" si="110"/>
        <v/>
      </c>
      <c r="J3585" t="b">
        <f t="shared" si="111"/>
        <v>0</v>
      </c>
    </row>
    <row r="3586" spans="3:10" x14ac:dyDescent="0.25">
      <c r="C3586" s="4"/>
      <c r="E3586" s="4"/>
      <c r="H3586" s="31" t="str">
        <f t="shared" si="110"/>
        <v/>
      </c>
      <c r="J3586" t="b">
        <f t="shared" si="111"/>
        <v>0</v>
      </c>
    </row>
    <row r="3587" spans="3:10" x14ac:dyDescent="0.25">
      <c r="C3587" s="4"/>
      <c r="E3587" s="4"/>
      <c r="H3587" s="31" t="str">
        <f t="shared" si="110"/>
        <v/>
      </c>
      <c r="J3587" t="b">
        <f t="shared" si="111"/>
        <v>0</v>
      </c>
    </row>
    <row r="3588" spans="3:10" x14ac:dyDescent="0.25">
      <c r="C3588" s="4"/>
      <c r="E3588" s="4"/>
      <c r="H3588" s="31" t="str">
        <f t="shared" ref="H3588:H3651" si="112">IF($J3588=TRUE,"Il ne peut y avoir des valeurs dans les 2 méthodes",IF($D3588="kg/l",$C3588,IF($D3588="g/l",$C3588/1000,IF($D3588="lb/gal US",$C3588*0.454/3.785,IF($G3588="kg/l",($E3588/100)*$F3588,IF($G3588="g/l",($E3588/100)*$F3588/1000,IF($G3588="lb/gal US",($E3588/100)*$F3588*0.454/3.785,"")))))))</f>
        <v/>
      </c>
      <c r="J3588" t="b">
        <f t="shared" ref="J3588:J3651" si="113">IF(AND(OR($C3588&lt;&gt;"",$D3588&lt;&gt;""),OR($E3588&lt;&gt;"",F3588&lt;&gt;"",G3588&lt;&gt;"")),TRUE,FALSE)</f>
        <v>0</v>
      </c>
    </row>
    <row r="3589" spans="3:10" x14ac:dyDescent="0.25">
      <c r="C3589" s="4"/>
      <c r="E3589" s="4"/>
      <c r="H3589" s="31" t="str">
        <f t="shared" si="112"/>
        <v/>
      </c>
      <c r="J3589" t="b">
        <f t="shared" si="113"/>
        <v>0</v>
      </c>
    </row>
    <row r="3590" spans="3:10" x14ac:dyDescent="0.25">
      <c r="C3590" s="4"/>
      <c r="E3590" s="4"/>
      <c r="H3590" s="31" t="str">
        <f t="shared" si="112"/>
        <v/>
      </c>
      <c r="J3590" t="b">
        <f t="shared" si="113"/>
        <v>0</v>
      </c>
    </row>
    <row r="3591" spans="3:10" x14ac:dyDescent="0.25">
      <c r="C3591" s="4"/>
      <c r="E3591" s="4"/>
      <c r="H3591" s="31" t="str">
        <f t="shared" si="112"/>
        <v/>
      </c>
      <c r="J3591" t="b">
        <f t="shared" si="113"/>
        <v>0</v>
      </c>
    </row>
    <row r="3592" spans="3:10" x14ac:dyDescent="0.25">
      <c r="C3592" s="4"/>
      <c r="E3592" s="4"/>
      <c r="H3592" s="31" t="str">
        <f t="shared" si="112"/>
        <v/>
      </c>
      <c r="J3592" t="b">
        <f t="shared" si="113"/>
        <v>0</v>
      </c>
    </row>
    <row r="3593" spans="3:10" x14ac:dyDescent="0.25">
      <c r="C3593" s="4"/>
      <c r="E3593" s="4"/>
      <c r="H3593" s="31" t="str">
        <f t="shared" si="112"/>
        <v/>
      </c>
      <c r="J3593" t="b">
        <f t="shared" si="113"/>
        <v>0</v>
      </c>
    </row>
    <row r="3594" spans="3:10" x14ac:dyDescent="0.25">
      <c r="C3594" s="4"/>
      <c r="E3594" s="4"/>
      <c r="H3594" s="31" t="str">
        <f t="shared" si="112"/>
        <v/>
      </c>
      <c r="J3594" t="b">
        <f t="shared" si="113"/>
        <v>0</v>
      </c>
    </row>
    <row r="3595" spans="3:10" x14ac:dyDescent="0.25">
      <c r="C3595" s="4"/>
      <c r="E3595" s="4"/>
      <c r="H3595" s="31" t="str">
        <f t="shared" si="112"/>
        <v/>
      </c>
      <c r="J3595" t="b">
        <f t="shared" si="113"/>
        <v>0</v>
      </c>
    </row>
    <row r="3596" spans="3:10" x14ac:dyDescent="0.25">
      <c r="C3596" s="4"/>
      <c r="E3596" s="4"/>
      <c r="H3596" s="31" t="str">
        <f t="shared" si="112"/>
        <v/>
      </c>
      <c r="J3596" t="b">
        <f t="shared" si="113"/>
        <v>0</v>
      </c>
    </row>
    <row r="3597" spans="3:10" x14ac:dyDescent="0.25">
      <c r="C3597" s="4"/>
      <c r="E3597" s="4"/>
      <c r="H3597" s="31" t="str">
        <f t="shared" si="112"/>
        <v/>
      </c>
      <c r="J3597" t="b">
        <f t="shared" si="113"/>
        <v>0</v>
      </c>
    </row>
    <row r="3598" spans="3:10" x14ac:dyDescent="0.25">
      <c r="C3598" s="4"/>
      <c r="E3598" s="4"/>
      <c r="H3598" s="31" t="str">
        <f t="shared" si="112"/>
        <v/>
      </c>
      <c r="J3598" t="b">
        <f t="shared" si="113"/>
        <v>0</v>
      </c>
    </row>
    <row r="3599" spans="3:10" x14ac:dyDescent="0.25">
      <c r="C3599" s="4"/>
      <c r="E3599" s="4"/>
      <c r="H3599" s="31" t="str">
        <f t="shared" si="112"/>
        <v/>
      </c>
      <c r="J3599" t="b">
        <f t="shared" si="113"/>
        <v>0</v>
      </c>
    </row>
    <row r="3600" spans="3:10" x14ac:dyDescent="0.25">
      <c r="C3600" s="4"/>
      <c r="E3600" s="4"/>
      <c r="H3600" s="31" t="str">
        <f t="shared" si="112"/>
        <v/>
      </c>
      <c r="J3600" t="b">
        <f t="shared" si="113"/>
        <v>0</v>
      </c>
    </row>
    <row r="3601" spans="3:10" x14ac:dyDescent="0.25">
      <c r="C3601" s="4"/>
      <c r="E3601" s="4"/>
      <c r="H3601" s="31" t="str">
        <f t="shared" si="112"/>
        <v/>
      </c>
      <c r="J3601" t="b">
        <f t="shared" si="113"/>
        <v>0</v>
      </c>
    </row>
    <row r="3602" spans="3:10" x14ac:dyDescent="0.25">
      <c r="C3602" s="4"/>
      <c r="E3602" s="4"/>
      <c r="H3602" s="31" t="str">
        <f t="shared" si="112"/>
        <v/>
      </c>
      <c r="J3602" t="b">
        <f t="shared" si="113"/>
        <v>0</v>
      </c>
    </row>
    <row r="3603" spans="3:10" x14ac:dyDescent="0.25">
      <c r="C3603" s="4"/>
      <c r="E3603" s="4"/>
      <c r="H3603" s="31" t="str">
        <f t="shared" si="112"/>
        <v/>
      </c>
      <c r="J3603" t="b">
        <f t="shared" si="113"/>
        <v>0</v>
      </c>
    </row>
    <row r="3604" spans="3:10" x14ac:dyDescent="0.25">
      <c r="C3604" s="4"/>
      <c r="E3604" s="4"/>
      <c r="H3604" s="31" t="str">
        <f t="shared" si="112"/>
        <v/>
      </c>
      <c r="J3604" t="b">
        <f t="shared" si="113"/>
        <v>0</v>
      </c>
    </row>
    <row r="3605" spans="3:10" x14ac:dyDescent="0.25">
      <c r="C3605" s="4"/>
      <c r="E3605" s="4"/>
      <c r="H3605" s="31" t="str">
        <f t="shared" si="112"/>
        <v/>
      </c>
      <c r="J3605" t="b">
        <f t="shared" si="113"/>
        <v>0</v>
      </c>
    </row>
    <row r="3606" spans="3:10" x14ac:dyDescent="0.25">
      <c r="C3606" s="4"/>
      <c r="E3606" s="4"/>
      <c r="H3606" s="31" t="str">
        <f t="shared" si="112"/>
        <v/>
      </c>
      <c r="J3606" t="b">
        <f t="shared" si="113"/>
        <v>0</v>
      </c>
    </row>
    <row r="3607" spans="3:10" x14ac:dyDescent="0.25">
      <c r="C3607" s="4"/>
      <c r="E3607" s="4"/>
      <c r="H3607" s="31" t="str">
        <f t="shared" si="112"/>
        <v/>
      </c>
      <c r="J3607" t="b">
        <f t="shared" si="113"/>
        <v>0</v>
      </c>
    </row>
    <row r="3608" spans="3:10" x14ac:dyDescent="0.25">
      <c r="C3608" s="4"/>
      <c r="E3608" s="4"/>
      <c r="H3608" s="31" t="str">
        <f t="shared" si="112"/>
        <v/>
      </c>
      <c r="J3608" t="b">
        <f t="shared" si="113"/>
        <v>0</v>
      </c>
    </row>
    <row r="3609" spans="3:10" x14ac:dyDescent="0.25">
      <c r="C3609" s="4"/>
      <c r="E3609" s="4"/>
      <c r="H3609" s="31" t="str">
        <f t="shared" si="112"/>
        <v/>
      </c>
      <c r="J3609" t="b">
        <f t="shared" si="113"/>
        <v>0</v>
      </c>
    </row>
    <row r="3610" spans="3:10" x14ac:dyDescent="0.25">
      <c r="C3610" s="4"/>
      <c r="E3610" s="4"/>
      <c r="H3610" s="31" t="str">
        <f t="shared" si="112"/>
        <v/>
      </c>
      <c r="J3610" t="b">
        <f t="shared" si="113"/>
        <v>0</v>
      </c>
    </row>
    <row r="3611" spans="3:10" x14ac:dyDescent="0.25">
      <c r="C3611" s="4"/>
      <c r="E3611" s="4"/>
      <c r="H3611" s="31" t="str">
        <f t="shared" si="112"/>
        <v/>
      </c>
      <c r="J3611" t="b">
        <f t="shared" si="113"/>
        <v>0</v>
      </c>
    </row>
    <row r="3612" spans="3:10" x14ac:dyDescent="0.25">
      <c r="C3612" s="4"/>
      <c r="E3612" s="4"/>
      <c r="H3612" s="31" t="str">
        <f t="shared" si="112"/>
        <v/>
      </c>
      <c r="J3612" t="b">
        <f t="shared" si="113"/>
        <v>0</v>
      </c>
    </row>
    <row r="3613" spans="3:10" x14ac:dyDescent="0.25">
      <c r="C3613" s="4"/>
      <c r="E3613" s="4"/>
      <c r="H3613" s="31" t="str">
        <f t="shared" si="112"/>
        <v/>
      </c>
      <c r="J3613" t="b">
        <f t="shared" si="113"/>
        <v>0</v>
      </c>
    </row>
    <row r="3614" spans="3:10" x14ac:dyDescent="0.25">
      <c r="C3614" s="4"/>
      <c r="E3614" s="4"/>
      <c r="H3614" s="31" t="str">
        <f t="shared" si="112"/>
        <v/>
      </c>
      <c r="J3614" t="b">
        <f t="shared" si="113"/>
        <v>0</v>
      </c>
    </row>
    <row r="3615" spans="3:10" x14ac:dyDescent="0.25">
      <c r="C3615" s="4"/>
      <c r="E3615" s="4"/>
      <c r="H3615" s="31" t="str">
        <f t="shared" si="112"/>
        <v/>
      </c>
      <c r="J3615" t="b">
        <f t="shared" si="113"/>
        <v>0</v>
      </c>
    </row>
    <row r="3616" spans="3:10" x14ac:dyDescent="0.25">
      <c r="C3616" s="4"/>
      <c r="E3616" s="4"/>
      <c r="H3616" s="31" t="str">
        <f t="shared" si="112"/>
        <v/>
      </c>
      <c r="J3616" t="b">
        <f t="shared" si="113"/>
        <v>0</v>
      </c>
    </row>
    <row r="3617" spans="3:10" x14ac:dyDescent="0.25">
      <c r="C3617" s="4"/>
      <c r="E3617" s="4"/>
      <c r="H3617" s="31" t="str">
        <f t="shared" si="112"/>
        <v/>
      </c>
      <c r="J3617" t="b">
        <f t="shared" si="113"/>
        <v>0</v>
      </c>
    </row>
    <row r="3618" spans="3:10" x14ac:dyDescent="0.25">
      <c r="C3618" s="4"/>
      <c r="E3618" s="4"/>
      <c r="H3618" s="31" t="str">
        <f t="shared" si="112"/>
        <v/>
      </c>
      <c r="J3618" t="b">
        <f t="shared" si="113"/>
        <v>0</v>
      </c>
    </row>
    <row r="3619" spans="3:10" x14ac:dyDescent="0.25">
      <c r="C3619" s="4"/>
      <c r="E3619" s="4"/>
      <c r="H3619" s="31" t="str">
        <f t="shared" si="112"/>
        <v/>
      </c>
      <c r="J3619" t="b">
        <f t="shared" si="113"/>
        <v>0</v>
      </c>
    </row>
    <row r="3620" spans="3:10" x14ac:dyDescent="0.25">
      <c r="C3620" s="4"/>
      <c r="E3620" s="4"/>
      <c r="H3620" s="31" t="str">
        <f t="shared" si="112"/>
        <v/>
      </c>
      <c r="J3620" t="b">
        <f t="shared" si="113"/>
        <v>0</v>
      </c>
    </row>
    <row r="3621" spans="3:10" x14ac:dyDescent="0.25">
      <c r="C3621" s="4"/>
      <c r="E3621" s="4"/>
      <c r="H3621" s="31" t="str">
        <f t="shared" si="112"/>
        <v/>
      </c>
      <c r="J3621" t="b">
        <f t="shared" si="113"/>
        <v>0</v>
      </c>
    </row>
    <row r="3622" spans="3:10" x14ac:dyDescent="0.25">
      <c r="C3622" s="4"/>
      <c r="E3622" s="4"/>
      <c r="H3622" s="31" t="str">
        <f t="shared" si="112"/>
        <v/>
      </c>
      <c r="J3622" t="b">
        <f t="shared" si="113"/>
        <v>0</v>
      </c>
    </row>
    <row r="3623" spans="3:10" x14ac:dyDescent="0.25">
      <c r="C3623" s="4"/>
      <c r="E3623" s="4"/>
      <c r="H3623" s="31" t="str">
        <f t="shared" si="112"/>
        <v/>
      </c>
      <c r="J3623" t="b">
        <f t="shared" si="113"/>
        <v>0</v>
      </c>
    </row>
    <row r="3624" spans="3:10" x14ac:dyDescent="0.25">
      <c r="C3624" s="4"/>
      <c r="E3624" s="4"/>
      <c r="H3624" s="31" t="str">
        <f t="shared" si="112"/>
        <v/>
      </c>
      <c r="J3624" t="b">
        <f t="shared" si="113"/>
        <v>0</v>
      </c>
    </row>
    <row r="3625" spans="3:10" x14ac:dyDescent="0.25">
      <c r="C3625" s="4"/>
      <c r="E3625" s="4"/>
      <c r="H3625" s="31" t="str">
        <f t="shared" si="112"/>
        <v/>
      </c>
      <c r="J3625" t="b">
        <f t="shared" si="113"/>
        <v>0</v>
      </c>
    </row>
    <row r="3626" spans="3:10" x14ac:dyDescent="0.25">
      <c r="C3626" s="4"/>
      <c r="E3626" s="4"/>
      <c r="H3626" s="31" t="str">
        <f t="shared" si="112"/>
        <v/>
      </c>
      <c r="J3626" t="b">
        <f t="shared" si="113"/>
        <v>0</v>
      </c>
    </row>
    <row r="3627" spans="3:10" x14ac:dyDescent="0.25">
      <c r="C3627" s="4"/>
      <c r="E3627" s="4"/>
      <c r="H3627" s="31" t="str">
        <f t="shared" si="112"/>
        <v/>
      </c>
      <c r="J3627" t="b">
        <f t="shared" si="113"/>
        <v>0</v>
      </c>
    </row>
    <row r="3628" spans="3:10" x14ac:dyDescent="0.25">
      <c r="C3628" s="4"/>
      <c r="E3628" s="4"/>
      <c r="H3628" s="31" t="str">
        <f t="shared" si="112"/>
        <v/>
      </c>
      <c r="J3628" t="b">
        <f t="shared" si="113"/>
        <v>0</v>
      </c>
    </row>
    <row r="3629" spans="3:10" x14ac:dyDescent="0.25">
      <c r="C3629" s="4"/>
      <c r="E3629" s="4"/>
      <c r="H3629" s="31" t="str">
        <f t="shared" si="112"/>
        <v/>
      </c>
      <c r="J3629" t="b">
        <f t="shared" si="113"/>
        <v>0</v>
      </c>
    </row>
    <row r="3630" spans="3:10" x14ac:dyDescent="0.25">
      <c r="C3630" s="4"/>
      <c r="E3630" s="4"/>
      <c r="H3630" s="31" t="str">
        <f t="shared" si="112"/>
        <v/>
      </c>
      <c r="J3630" t="b">
        <f t="shared" si="113"/>
        <v>0</v>
      </c>
    </row>
    <row r="3631" spans="3:10" x14ac:dyDescent="0.25">
      <c r="C3631" s="4"/>
      <c r="E3631" s="4"/>
      <c r="H3631" s="31" t="str">
        <f t="shared" si="112"/>
        <v/>
      </c>
      <c r="J3631" t="b">
        <f t="shared" si="113"/>
        <v>0</v>
      </c>
    </row>
    <row r="3632" spans="3:10" x14ac:dyDescent="0.25">
      <c r="C3632" s="4"/>
      <c r="E3632" s="4"/>
      <c r="H3632" s="31" t="str">
        <f t="shared" si="112"/>
        <v/>
      </c>
      <c r="J3632" t="b">
        <f t="shared" si="113"/>
        <v>0</v>
      </c>
    </row>
    <row r="3633" spans="3:10" x14ac:dyDescent="0.25">
      <c r="C3633" s="4"/>
      <c r="E3633" s="4"/>
      <c r="H3633" s="31" t="str">
        <f t="shared" si="112"/>
        <v/>
      </c>
      <c r="J3633" t="b">
        <f t="shared" si="113"/>
        <v>0</v>
      </c>
    </row>
    <row r="3634" spans="3:10" x14ac:dyDescent="0.25">
      <c r="C3634" s="4"/>
      <c r="E3634" s="4"/>
      <c r="H3634" s="31" t="str">
        <f t="shared" si="112"/>
        <v/>
      </c>
      <c r="J3634" t="b">
        <f t="shared" si="113"/>
        <v>0</v>
      </c>
    </row>
    <row r="3635" spans="3:10" x14ac:dyDescent="0.25">
      <c r="C3635" s="4"/>
      <c r="E3635" s="4"/>
      <c r="H3635" s="31" t="str">
        <f t="shared" si="112"/>
        <v/>
      </c>
      <c r="J3635" t="b">
        <f t="shared" si="113"/>
        <v>0</v>
      </c>
    </row>
    <row r="3636" spans="3:10" x14ac:dyDescent="0.25">
      <c r="C3636" s="4"/>
      <c r="E3636" s="4"/>
      <c r="H3636" s="31" t="str">
        <f t="shared" si="112"/>
        <v/>
      </c>
      <c r="J3636" t="b">
        <f t="shared" si="113"/>
        <v>0</v>
      </c>
    </row>
    <row r="3637" spans="3:10" x14ac:dyDescent="0.25">
      <c r="C3637" s="4"/>
      <c r="E3637" s="4"/>
      <c r="H3637" s="31" t="str">
        <f t="shared" si="112"/>
        <v/>
      </c>
      <c r="J3637" t="b">
        <f t="shared" si="113"/>
        <v>0</v>
      </c>
    </row>
    <row r="3638" spans="3:10" x14ac:dyDescent="0.25">
      <c r="C3638" s="4"/>
      <c r="E3638" s="4"/>
      <c r="H3638" s="31" t="str">
        <f t="shared" si="112"/>
        <v/>
      </c>
      <c r="J3638" t="b">
        <f t="shared" si="113"/>
        <v>0</v>
      </c>
    </row>
    <row r="3639" spans="3:10" x14ac:dyDescent="0.25">
      <c r="C3639" s="4"/>
      <c r="E3639" s="4"/>
      <c r="H3639" s="31" t="str">
        <f t="shared" si="112"/>
        <v/>
      </c>
      <c r="J3639" t="b">
        <f t="shared" si="113"/>
        <v>0</v>
      </c>
    </row>
    <row r="3640" spans="3:10" x14ac:dyDescent="0.25">
      <c r="C3640" s="4"/>
      <c r="E3640" s="4"/>
      <c r="H3640" s="31" t="str">
        <f t="shared" si="112"/>
        <v/>
      </c>
      <c r="J3640" t="b">
        <f t="shared" si="113"/>
        <v>0</v>
      </c>
    </row>
    <row r="3641" spans="3:10" x14ac:dyDescent="0.25">
      <c r="C3641" s="4"/>
      <c r="E3641" s="4"/>
      <c r="H3641" s="31" t="str">
        <f t="shared" si="112"/>
        <v/>
      </c>
      <c r="J3641" t="b">
        <f t="shared" si="113"/>
        <v>0</v>
      </c>
    </row>
    <row r="3642" spans="3:10" x14ac:dyDescent="0.25">
      <c r="C3642" s="4"/>
      <c r="E3642" s="4"/>
      <c r="H3642" s="31" t="str">
        <f t="shared" si="112"/>
        <v/>
      </c>
      <c r="J3642" t="b">
        <f t="shared" si="113"/>
        <v>0</v>
      </c>
    </row>
    <row r="3643" spans="3:10" x14ac:dyDescent="0.25">
      <c r="C3643" s="4"/>
      <c r="E3643" s="4"/>
      <c r="H3643" s="31" t="str">
        <f t="shared" si="112"/>
        <v/>
      </c>
      <c r="J3643" t="b">
        <f t="shared" si="113"/>
        <v>0</v>
      </c>
    </row>
    <row r="3644" spans="3:10" x14ac:dyDescent="0.25">
      <c r="C3644" s="4"/>
      <c r="E3644" s="4"/>
      <c r="H3644" s="31" t="str">
        <f t="shared" si="112"/>
        <v/>
      </c>
      <c r="J3644" t="b">
        <f t="shared" si="113"/>
        <v>0</v>
      </c>
    </row>
    <row r="3645" spans="3:10" x14ac:dyDescent="0.25">
      <c r="C3645" s="4"/>
      <c r="E3645" s="4"/>
      <c r="H3645" s="31" t="str">
        <f t="shared" si="112"/>
        <v/>
      </c>
      <c r="J3645" t="b">
        <f t="shared" si="113"/>
        <v>0</v>
      </c>
    </row>
    <row r="3646" spans="3:10" x14ac:dyDescent="0.25">
      <c r="C3646" s="4"/>
      <c r="E3646" s="4"/>
      <c r="H3646" s="31" t="str">
        <f t="shared" si="112"/>
        <v/>
      </c>
      <c r="J3646" t="b">
        <f t="shared" si="113"/>
        <v>0</v>
      </c>
    </row>
    <row r="3647" spans="3:10" x14ac:dyDescent="0.25">
      <c r="C3647" s="4"/>
      <c r="E3647" s="4"/>
      <c r="H3647" s="31" t="str">
        <f t="shared" si="112"/>
        <v/>
      </c>
      <c r="J3647" t="b">
        <f t="shared" si="113"/>
        <v>0</v>
      </c>
    </row>
    <row r="3648" spans="3:10" x14ac:dyDescent="0.25">
      <c r="C3648" s="4"/>
      <c r="E3648" s="4"/>
      <c r="H3648" s="31" t="str">
        <f t="shared" si="112"/>
        <v/>
      </c>
      <c r="J3648" t="b">
        <f t="shared" si="113"/>
        <v>0</v>
      </c>
    </row>
    <row r="3649" spans="3:10" x14ac:dyDescent="0.25">
      <c r="C3649" s="4"/>
      <c r="E3649" s="4"/>
      <c r="H3649" s="31" t="str">
        <f t="shared" si="112"/>
        <v/>
      </c>
      <c r="J3649" t="b">
        <f t="shared" si="113"/>
        <v>0</v>
      </c>
    </row>
    <row r="3650" spans="3:10" x14ac:dyDescent="0.25">
      <c r="C3650" s="4"/>
      <c r="E3650" s="4"/>
      <c r="H3650" s="31" t="str">
        <f t="shared" si="112"/>
        <v/>
      </c>
      <c r="J3650" t="b">
        <f t="shared" si="113"/>
        <v>0</v>
      </c>
    </row>
    <row r="3651" spans="3:10" x14ac:dyDescent="0.25">
      <c r="C3651" s="4"/>
      <c r="E3651" s="4"/>
      <c r="H3651" s="31" t="str">
        <f t="shared" si="112"/>
        <v/>
      </c>
      <c r="J3651" t="b">
        <f t="shared" si="113"/>
        <v>0</v>
      </c>
    </row>
    <row r="3652" spans="3:10" x14ac:dyDescent="0.25">
      <c r="C3652" s="4"/>
      <c r="E3652" s="4"/>
      <c r="H3652" s="31" t="str">
        <f t="shared" ref="H3652:H3715" si="114">IF($J3652=TRUE,"Il ne peut y avoir des valeurs dans les 2 méthodes",IF($D3652="kg/l",$C3652,IF($D3652="g/l",$C3652/1000,IF($D3652="lb/gal US",$C3652*0.454/3.785,IF($G3652="kg/l",($E3652/100)*$F3652,IF($G3652="g/l",($E3652/100)*$F3652/1000,IF($G3652="lb/gal US",($E3652/100)*$F3652*0.454/3.785,"")))))))</f>
        <v/>
      </c>
      <c r="J3652" t="b">
        <f t="shared" ref="J3652:J3715" si="115">IF(AND(OR($C3652&lt;&gt;"",$D3652&lt;&gt;""),OR($E3652&lt;&gt;"",F3652&lt;&gt;"",G3652&lt;&gt;"")),TRUE,FALSE)</f>
        <v>0</v>
      </c>
    </row>
    <row r="3653" spans="3:10" x14ac:dyDescent="0.25">
      <c r="C3653" s="4"/>
      <c r="E3653" s="4"/>
      <c r="H3653" s="31" t="str">
        <f t="shared" si="114"/>
        <v/>
      </c>
      <c r="J3653" t="b">
        <f t="shared" si="115"/>
        <v>0</v>
      </c>
    </row>
    <row r="3654" spans="3:10" x14ac:dyDescent="0.25">
      <c r="C3654" s="4"/>
      <c r="E3654" s="4"/>
      <c r="H3654" s="31" t="str">
        <f t="shared" si="114"/>
        <v/>
      </c>
      <c r="J3654" t="b">
        <f t="shared" si="115"/>
        <v>0</v>
      </c>
    </row>
    <row r="3655" spans="3:10" x14ac:dyDescent="0.25">
      <c r="C3655" s="4"/>
      <c r="E3655" s="4"/>
      <c r="H3655" s="31" t="str">
        <f t="shared" si="114"/>
        <v/>
      </c>
      <c r="J3655" t="b">
        <f t="shared" si="115"/>
        <v>0</v>
      </c>
    </row>
    <row r="3656" spans="3:10" x14ac:dyDescent="0.25">
      <c r="C3656" s="4"/>
      <c r="E3656" s="4"/>
      <c r="H3656" s="31" t="str">
        <f t="shared" si="114"/>
        <v/>
      </c>
      <c r="J3656" t="b">
        <f t="shared" si="115"/>
        <v>0</v>
      </c>
    </row>
    <row r="3657" spans="3:10" x14ac:dyDescent="0.25">
      <c r="C3657" s="4"/>
      <c r="E3657" s="4"/>
      <c r="H3657" s="31" t="str">
        <f t="shared" si="114"/>
        <v/>
      </c>
      <c r="J3657" t="b">
        <f t="shared" si="115"/>
        <v>0</v>
      </c>
    </row>
    <row r="3658" spans="3:10" x14ac:dyDescent="0.25">
      <c r="C3658" s="4"/>
      <c r="E3658" s="4"/>
      <c r="H3658" s="31" t="str">
        <f t="shared" si="114"/>
        <v/>
      </c>
      <c r="J3658" t="b">
        <f t="shared" si="115"/>
        <v>0</v>
      </c>
    </row>
    <row r="3659" spans="3:10" x14ac:dyDescent="0.25">
      <c r="C3659" s="4"/>
      <c r="E3659" s="4"/>
      <c r="H3659" s="31" t="str">
        <f t="shared" si="114"/>
        <v/>
      </c>
      <c r="J3659" t="b">
        <f t="shared" si="115"/>
        <v>0</v>
      </c>
    </row>
    <row r="3660" spans="3:10" x14ac:dyDescent="0.25">
      <c r="C3660" s="4"/>
      <c r="E3660" s="4"/>
      <c r="H3660" s="31" t="str">
        <f t="shared" si="114"/>
        <v/>
      </c>
      <c r="J3660" t="b">
        <f t="shared" si="115"/>
        <v>0</v>
      </c>
    </row>
    <row r="3661" spans="3:10" x14ac:dyDescent="0.25">
      <c r="C3661" s="4"/>
      <c r="E3661" s="4"/>
      <c r="H3661" s="31" t="str">
        <f t="shared" si="114"/>
        <v/>
      </c>
      <c r="J3661" t="b">
        <f t="shared" si="115"/>
        <v>0</v>
      </c>
    </row>
    <row r="3662" spans="3:10" x14ac:dyDescent="0.25">
      <c r="C3662" s="4"/>
      <c r="E3662" s="4"/>
      <c r="H3662" s="31" t="str">
        <f t="shared" si="114"/>
        <v/>
      </c>
      <c r="J3662" t="b">
        <f t="shared" si="115"/>
        <v>0</v>
      </c>
    </row>
    <row r="3663" spans="3:10" x14ac:dyDescent="0.25">
      <c r="C3663" s="4"/>
      <c r="E3663" s="4"/>
      <c r="H3663" s="31" t="str">
        <f t="shared" si="114"/>
        <v/>
      </c>
      <c r="J3663" t="b">
        <f t="shared" si="115"/>
        <v>0</v>
      </c>
    </row>
    <row r="3664" spans="3:10" x14ac:dyDescent="0.25">
      <c r="C3664" s="4"/>
      <c r="E3664" s="4"/>
      <c r="H3664" s="31" t="str">
        <f t="shared" si="114"/>
        <v/>
      </c>
      <c r="J3664" t="b">
        <f t="shared" si="115"/>
        <v>0</v>
      </c>
    </row>
    <row r="3665" spans="3:10" x14ac:dyDescent="0.25">
      <c r="C3665" s="4"/>
      <c r="E3665" s="4"/>
      <c r="H3665" s="31" t="str">
        <f t="shared" si="114"/>
        <v/>
      </c>
      <c r="J3665" t="b">
        <f t="shared" si="115"/>
        <v>0</v>
      </c>
    </row>
    <row r="3666" spans="3:10" x14ac:dyDescent="0.25">
      <c r="C3666" s="4"/>
      <c r="E3666" s="4"/>
      <c r="H3666" s="31" t="str">
        <f t="shared" si="114"/>
        <v/>
      </c>
      <c r="J3666" t="b">
        <f t="shared" si="115"/>
        <v>0</v>
      </c>
    </row>
    <row r="3667" spans="3:10" x14ac:dyDescent="0.25">
      <c r="C3667" s="4"/>
      <c r="E3667" s="4"/>
      <c r="H3667" s="31" t="str">
        <f t="shared" si="114"/>
        <v/>
      </c>
      <c r="J3667" t="b">
        <f t="shared" si="115"/>
        <v>0</v>
      </c>
    </row>
    <row r="3668" spans="3:10" x14ac:dyDescent="0.25">
      <c r="C3668" s="4"/>
      <c r="E3668" s="4"/>
      <c r="H3668" s="31" t="str">
        <f t="shared" si="114"/>
        <v/>
      </c>
      <c r="J3668" t="b">
        <f t="shared" si="115"/>
        <v>0</v>
      </c>
    </row>
    <row r="3669" spans="3:10" x14ac:dyDescent="0.25">
      <c r="C3669" s="4"/>
      <c r="E3669" s="4"/>
      <c r="H3669" s="31" t="str">
        <f t="shared" si="114"/>
        <v/>
      </c>
      <c r="J3669" t="b">
        <f t="shared" si="115"/>
        <v>0</v>
      </c>
    </row>
    <row r="3670" spans="3:10" x14ac:dyDescent="0.25">
      <c r="C3670" s="4"/>
      <c r="E3670" s="4"/>
      <c r="H3670" s="31" t="str">
        <f t="shared" si="114"/>
        <v/>
      </c>
      <c r="J3670" t="b">
        <f t="shared" si="115"/>
        <v>0</v>
      </c>
    </row>
    <row r="3671" spans="3:10" x14ac:dyDescent="0.25">
      <c r="C3671" s="4"/>
      <c r="E3671" s="4"/>
      <c r="H3671" s="31" t="str">
        <f t="shared" si="114"/>
        <v/>
      </c>
      <c r="J3671" t="b">
        <f t="shared" si="115"/>
        <v>0</v>
      </c>
    </row>
    <row r="3672" spans="3:10" x14ac:dyDescent="0.25">
      <c r="C3672" s="4"/>
      <c r="E3672" s="4"/>
      <c r="H3672" s="31" t="str">
        <f t="shared" si="114"/>
        <v/>
      </c>
      <c r="J3672" t="b">
        <f t="shared" si="115"/>
        <v>0</v>
      </c>
    </row>
    <row r="3673" spans="3:10" x14ac:dyDescent="0.25">
      <c r="C3673" s="4"/>
      <c r="E3673" s="4"/>
      <c r="H3673" s="31" t="str">
        <f t="shared" si="114"/>
        <v/>
      </c>
      <c r="J3673" t="b">
        <f t="shared" si="115"/>
        <v>0</v>
      </c>
    </row>
    <row r="3674" spans="3:10" x14ac:dyDescent="0.25">
      <c r="C3674" s="4"/>
      <c r="E3674" s="4"/>
      <c r="H3674" s="31" t="str">
        <f t="shared" si="114"/>
        <v/>
      </c>
      <c r="J3674" t="b">
        <f t="shared" si="115"/>
        <v>0</v>
      </c>
    </row>
    <row r="3675" spans="3:10" x14ac:dyDescent="0.25">
      <c r="C3675" s="4"/>
      <c r="E3675" s="4"/>
      <c r="H3675" s="31" t="str">
        <f t="shared" si="114"/>
        <v/>
      </c>
      <c r="J3675" t="b">
        <f t="shared" si="115"/>
        <v>0</v>
      </c>
    </row>
    <row r="3676" spans="3:10" x14ac:dyDescent="0.25">
      <c r="C3676" s="4"/>
      <c r="E3676" s="4"/>
      <c r="H3676" s="31" t="str">
        <f t="shared" si="114"/>
        <v/>
      </c>
      <c r="J3676" t="b">
        <f t="shared" si="115"/>
        <v>0</v>
      </c>
    </row>
    <row r="3677" spans="3:10" x14ac:dyDescent="0.25">
      <c r="C3677" s="4"/>
      <c r="E3677" s="4"/>
      <c r="H3677" s="31" t="str">
        <f t="shared" si="114"/>
        <v/>
      </c>
      <c r="J3677" t="b">
        <f t="shared" si="115"/>
        <v>0</v>
      </c>
    </row>
    <row r="3678" spans="3:10" x14ac:dyDescent="0.25">
      <c r="C3678" s="4"/>
      <c r="E3678" s="4"/>
      <c r="H3678" s="31" t="str">
        <f t="shared" si="114"/>
        <v/>
      </c>
      <c r="J3678" t="b">
        <f t="shared" si="115"/>
        <v>0</v>
      </c>
    </row>
    <row r="3679" spans="3:10" x14ac:dyDescent="0.25">
      <c r="C3679" s="4"/>
      <c r="E3679" s="4"/>
      <c r="H3679" s="31" t="str">
        <f t="shared" si="114"/>
        <v/>
      </c>
      <c r="J3679" t="b">
        <f t="shared" si="115"/>
        <v>0</v>
      </c>
    </row>
    <row r="3680" spans="3:10" x14ac:dyDescent="0.25">
      <c r="C3680" s="4"/>
      <c r="E3680" s="4"/>
      <c r="H3680" s="31" t="str">
        <f t="shared" si="114"/>
        <v/>
      </c>
      <c r="J3680" t="b">
        <f t="shared" si="115"/>
        <v>0</v>
      </c>
    </row>
    <row r="3681" spans="3:10" x14ac:dyDescent="0.25">
      <c r="C3681" s="4"/>
      <c r="E3681" s="4"/>
      <c r="H3681" s="31" t="str">
        <f t="shared" si="114"/>
        <v/>
      </c>
      <c r="J3681" t="b">
        <f t="shared" si="115"/>
        <v>0</v>
      </c>
    </row>
    <row r="3682" spans="3:10" x14ac:dyDescent="0.25">
      <c r="C3682" s="4"/>
      <c r="E3682" s="4"/>
      <c r="H3682" s="31" t="str">
        <f t="shared" si="114"/>
        <v/>
      </c>
      <c r="J3682" t="b">
        <f t="shared" si="115"/>
        <v>0</v>
      </c>
    </row>
    <row r="3683" spans="3:10" x14ac:dyDescent="0.25">
      <c r="C3683" s="4"/>
      <c r="E3683" s="4"/>
      <c r="H3683" s="31" t="str">
        <f t="shared" si="114"/>
        <v/>
      </c>
      <c r="J3683" t="b">
        <f t="shared" si="115"/>
        <v>0</v>
      </c>
    </row>
    <row r="3684" spans="3:10" x14ac:dyDescent="0.25">
      <c r="C3684" s="4"/>
      <c r="E3684" s="4"/>
      <c r="H3684" s="31" t="str">
        <f t="shared" si="114"/>
        <v/>
      </c>
      <c r="J3684" t="b">
        <f t="shared" si="115"/>
        <v>0</v>
      </c>
    </row>
    <row r="3685" spans="3:10" x14ac:dyDescent="0.25">
      <c r="C3685" s="4"/>
      <c r="E3685" s="4"/>
      <c r="H3685" s="31" t="str">
        <f t="shared" si="114"/>
        <v/>
      </c>
      <c r="J3685" t="b">
        <f t="shared" si="115"/>
        <v>0</v>
      </c>
    </row>
    <row r="3686" spans="3:10" x14ac:dyDescent="0.25">
      <c r="C3686" s="4"/>
      <c r="E3686" s="4"/>
      <c r="H3686" s="31" t="str">
        <f t="shared" si="114"/>
        <v/>
      </c>
      <c r="J3686" t="b">
        <f t="shared" si="115"/>
        <v>0</v>
      </c>
    </row>
    <row r="3687" spans="3:10" x14ac:dyDescent="0.25">
      <c r="C3687" s="4"/>
      <c r="E3687" s="4"/>
      <c r="H3687" s="31" t="str">
        <f t="shared" si="114"/>
        <v/>
      </c>
      <c r="J3687" t="b">
        <f t="shared" si="115"/>
        <v>0</v>
      </c>
    </row>
    <row r="3688" spans="3:10" x14ac:dyDescent="0.25">
      <c r="C3688" s="4"/>
      <c r="E3688" s="4"/>
      <c r="H3688" s="31" t="str">
        <f t="shared" si="114"/>
        <v/>
      </c>
      <c r="J3688" t="b">
        <f t="shared" si="115"/>
        <v>0</v>
      </c>
    </row>
    <row r="3689" spans="3:10" x14ac:dyDescent="0.25">
      <c r="C3689" s="4"/>
      <c r="E3689" s="4"/>
      <c r="H3689" s="31" t="str">
        <f t="shared" si="114"/>
        <v/>
      </c>
      <c r="J3689" t="b">
        <f t="shared" si="115"/>
        <v>0</v>
      </c>
    </row>
    <row r="3690" spans="3:10" x14ac:dyDescent="0.25">
      <c r="C3690" s="4"/>
      <c r="E3690" s="4"/>
      <c r="H3690" s="31" t="str">
        <f t="shared" si="114"/>
        <v/>
      </c>
      <c r="J3690" t="b">
        <f t="shared" si="115"/>
        <v>0</v>
      </c>
    </row>
    <row r="3691" spans="3:10" x14ac:dyDescent="0.25">
      <c r="C3691" s="4"/>
      <c r="E3691" s="4"/>
      <c r="H3691" s="31" t="str">
        <f t="shared" si="114"/>
        <v/>
      </c>
      <c r="J3691" t="b">
        <f t="shared" si="115"/>
        <v>0</v>
      </c>
    </row>
    <row r="3692" spans="3:10" x14ac:dyDescent="0.25">
      <c r="C3692" s="4"/>
      <c r="E3692" s="4"/>
      <c r="H3692" s="31" t="str">
        <f t="shared" si="114"/>
        <v/>
      </c>
      <c r="J3692" t="b">
        <f t="shared" si="115"/>
        <v>0</v>
      </c>
    </row>
    <row r="3693" spans="3:10" x14ac:dyDescent="0.25">
      <c r="C3693" s="4"/>
      <c r="E3693" s="4"/>
      <c r="H3693" s="31" t="str">
        <f t="shared" si="114"/>
        <v/>
      </c>
      <c r="J3693" t="b">
        <f t="shared" si="115"/>
        <v>0</v>
      </c>
    </row>
    <row r="3694" spans="3:10" x14ac:dyDescent="0.25">
      <c r="C3694" s="4"/>
      <c r="E3694" s="4"/>
      <c r="H3694" s="31" t="str">
        <f t="shared" si="114"/>
        <v/>
      </c>
      <c r="J3694" t="b">
        <f t="shared" si="115"/>
        <v>0</v>
      </c>
    </row>
    <row r="3695" spans="3:10" x14ac:dyDescent="0.25">
      <c r="C3695" s="4"/>
      <c r="E3695" s="4"/>
      <c r="H3695" s="31" t="str">
        <f t="shared" si="114"/>
        <v/>
      </c>
      <c r="J3695" t="b">
        <f t="shared" si="115"/>
        <v>0</v>
      </c>
    </row>
    <row r="3696" spans="3:10" x14ac:dyDescent="0.25">
      <c r="C3696" s="4"/>
      <c r="E3696" s="4"/>
      <c r="H3696" s="31" t="str">
        <f t="shared" si="114"/>
        <v/>
      </c>
      <c r="J3696" t="b">
        <f t="shared" si="115"/>
        <v>0</v>
      </c>
    </row>
    <row r="3697" spans="3:10" x14ac:dyDescent="0.25">
      <c r="C3697" s="4"/>
      <c r="E3697" s="4"/>
      <c r="H3697" s="31" t="str">
        <f t="shared" si="114"/>
        <v/>
      </c>
      <c r="J3697" t="b">
        <f t="shared" si="115"/>
        <v>0</v>
      </c>
    </row>
    <row r="3698" spans="3:10" x14ac:dyDescent="0.25">
      <c r="C3698" s="4"/>
      <c r="E3698" s="4"/>
      <c r="H3698" s="31" t="str">
        <f t="shared" si="114"/>
        <v/>
      </c>
      <c r="J3698" t="b">
        <f t="shared" si="115"/>
        <v>0</v>
      </c>
    </row>
    <row r="3699" spans="3:10" x14ac:dyDescent="0.25">
      <c r="C3699" s="4"/>
      <c r="E3699" s="4"/>
      <c r="H3699" s="31" t="str">
        <f t="shared" si="114"/>
        <v/>
      </c>
      <c r="J3699" t="b">
        <f t="shared" si="115"/>
        <v>0</v>
      </c>
    </row>
    <row r="3700" spans="3:10" x14ac:dyDescent="0.25">
      <c r="C3700" s="4"/>
      <c r="E3700" s="4"/>
      <c r="H3700" s="31" t="str">
        <f t="shared" si="114"/>
        <v/>
      </c>
      <c r="J3700" t="b">
        <f t="shared" si="115"/>
        <v>0</v>
      </c>
    </row>
    <row r="3701" spans="3:10" x14ac:dyDescent="0.25">
      <c r="C3701" s="4"/>
      <c r="E3701" s="4"/>
      <c r="H3701" s="31" t="str">
        <f t="shared" si="114"/>
        <v/>
      </c>
      <c r="J3701" t="b">
        <f t="shared" si="115"/>
        <v>0</v>
      </c>
    </row>
    <row r="3702" spans="3:10" x14ac:dyDescent="0.25">
      <c r="C3702" s="4"/>
      <c r="E3702" s="4"/>
      <c r="H3702" s="31" t="str">
        <f t="shared" si="114"/>
        <v/>
      </c>
      <c r="J3702" t="b">
        <f t="shared" si="115"/>
        <v>0</v>
      </c>
    </row>
    <row r="3703" spans="3:10" x14ac:dyDescent="0.25">
      <c r="C3703" s="4"/>
      <c r="E3703" s="4"/>
      <c r="H3703" s="31" t="str">
        <f t="shared" si="114"/>
        <v/>
      </c>
      <c r="J3703" t="b">
        <f t="shared" si="115"/>
        <v>0</v>
      </c>
    </row>
    <row r="3704" spans="3:10" x14ac:dyDescent="0.25">
      <c r="C3704" s="4"/>
      <c r="E3704" s="4"/>
      <c r="H3704" s="31" t="str">
        <f t="shared" si="114"/>
        <v/>
      </c>
      <c r="J3704" t="b">
        <f t="shared" si="115"/>
        <v>0</v>
      </c>
    </row>
    <row r="3705" spans="3:10" x14ac:dyDescent="0.25">
      <c r="C3705" s="4"/>
      <c r="E3705" s="4"/>
      <c r="H3705" s="31" t="str">
        <f t="shared" si="114"/>
        <v/>
      </c>
      <c r="J3705" t="b">
        <f t="shared" si="115"/>
        <v>0</v>
      </c>
    </row>
    <row r="3706" spans="3:10" x14ac:dyDescent="0.25">
      <c r="C3706" s="4"/>
      <c r="E3706" s="4"/>
      <c r="H3706" s="31" t="str">
        <f t="shared" si="114"/>
        <v/>
      </c>
      <c r="J3706" t="b">
        <f t="shared" si="115"/>
        <v>0</v>
      </c>
    </row>
    <row r="3707" spans="3:10" x14ac:dyDescent="0.25">
      <c r="C3707" s="4"/>
      <c r="E3707" s="4"/>
      <c r="H3707" s="31" t="str">
        <f t="shared" si="114"/>
        <v/>
      </c>
      <c r="J3707" t="b">
        <f t="shared" si="115"/>
        <v>0</v>
      </c>
    </row>
    <row r="3708" spans="3:10" x14ac:dyDescent="0.25">
      <c r="C3708" s="4"/>
      <c r="E3708" s="4"/>
      <c r="H3708" s="31" t="str">
        <f t="shared" si="114"/>
        <v/>
      </c>
      <c r="J3708" t="b">
        <f t="shared" si="115"/>
        <v>0</v>
      </c>
    </row>
    <row r="3709" spans="3:10" x14ac:dyDescent="0.25">
      <c r="C3709" s="4"/>
      <c r="E3709" s="4"/>
      <c r="H3709" s="31" t="str">
        <f t="shared" si="114"/>
        <v/>
      </c>
      <c r="J3709" t="b">
        <f t="shared" si="115"/>
        <v>0</v>
      </c>
    </row>
    <row r="3710" spans="3:10" x14ac:dyDescent="0.25">
      <c r="C3710" s="4"/>
      <c r="E3710" s="4"/>
      <c r="H3710" s="31" t="str">
        <f t="shared" si="114"/>
        <v/>
      </c>
      <c r="J3710" t="b">
        <f t="shared" si="115"/>
        <v>0</v>
      </c>
    </row>
    <row r="3711" spans="3:10" x14ac:dyDescent="0.25">
      <c r="C3711" s="4"/>
      <c r="E3711" s="4"/>
      <c r="H3711" s="31" t="str">
        <f t="shared" si="114"/>
        <v/>
      </c>
      <c r="J3711" t="b">
        <f t="shared" si="115"/>
        <v>0</v>
      </c>
    </row>
    <row r="3712" spans="3:10" x14ac:dyDescent="0.25">
      <c r="C3712" s="4"/>
      <c r="E3712" s="4"/>
      <c r="H3712" s="31" t="str">
        <f t="shared" si="114"/>
        <v/>
      </c>
      <c r="J3712" t="b">
        <f t="shared" si="115"/>
        <v>0</v>
      </c>
    </row>
    <row r="3713" spans="3:10" x14ac:dyDescent="0.25">
      <c r="C3713" s="4"/>
      <c r="E3713" s="4"/>
      <c r="H3713" s="31" t="str">
        <f t="shared" si="114"/>
        <v/>
      </c>
      <c r="J3713" t="b">
        <f t="shared" si="115"/>
        <v>0</v>
      </c>
    </row>
    <row r="3714" spans="3:10" x14ac:dyDescent="0.25">
      <c r="C3714" s="4"/>
      <c r="E3714" s="4"/>
      <c r="H3714" s="31" t="str">
        <f t="shared" si="114"/>
        <v/>
      </c>
      <c r="J3714" t="b">
        <f t="shared" si="115"/>
        <v>0</v>
      </c>
    </row>
    <row r="3715" spans="3:10" x14ac:dyDescent="0.25">
      <c r="C3715" s="4"/>
      <c r="E3715" s="4"/>
      <c r="H3715" s="31" t="str">
        <f t="shared" si="114"/>
        <v/>
      </c>
      <c r="J3715" t="b">
        <f t="shared" si="115"/>
        <v>0</v>
      </c>
    </row>
    <row r="3716" spans="3:10" x14ac:dyDescent="0.25">
      <c r="C3716" s="4"/>
      <c r="E3716" s="4"/>
      <c r="H3716" s="31" t="str">
        <f t="shared" ref="H3716:H3779" si="116">IF($J3716=TRUE,"Il ne peut y avoir des valeurs dans les 2 méthodes",IF($D3716="kg/l",$C3716,IF($D3716="g/l",$C3716/1000,IF($D3716="lb/gal US",$C3716*0.454/3.785,IF($G3716="kg/l",($E3716/100)*$F3716,IF($G3716="g/l",($E3716/100)*$F3716/1000,IF($G3716="lb/gal US",($E3716/100)*$F3716*0.454/3.785,"")))))))</f>
        <v/>
      </c>
      <c r="J3716" t="b">
        <f t="shared" ref="J3716:J3779" si="117">IF(AND(OR($C3716&lt;&gt;"",$D3716&lt;&gt;""),OR($E3716&lt;&gt;"",F3716&lt;&gt;"",G3716&lt;&gt;"")),TRUE,FALSE)</f>
        <v>0</v>
      </c>
    </row>
    <row r="3717" spans="3:10" x14ac:dyDescent="0.25">
      <c r="C3717" s="4"/>
      <c r="E3717" s="4"/>
      <c r="H3717" s="31" t="str">
        <f t="shared" si="116"/>
        <v/>
      </c>
      <c r="J3717" t="b">
        <f t="shared" si="117"/>
        <v>0</v>
      </c>
    </row>
    <row r="3718" spans="3:10" x14ac:dyDescent="0.25">
      <c r="C3718" s="4"/>
      <c r="E3718" s="4"/>
      <c r="H3718" s="31" t="str">
        <f t="shared" si="116"/>
        <v/>
      </c>
      <c r="J3718" t="b">
        <f t="shared" si="117"/>
        <v>0</v>
      </c>
    </row>
    <row r="3719" spans="3:10" x14ac:dyDescent="0.25">
      <c r="C3719" s="4"/>
      <c r="E3719" s="4"/>
      <c r="H3719" s="31" t="str">
        <f t="shared" si="116"/>
        <v/>
      </c>
      <c r="J3719" t="b">
        <f t="shared" si="117"/>
        <v>0</v>
      </c>
    </row>
    <row r="3720" spans="3:10" x14ac:dyDescent="0.25">
      <c r="C3720" s="4"/>
      <c r="E3720" s="4"/>
      <c r="H3720" s="31" t="str">
        <f t="shared" si="116"/>
        <v/>
      </c>
      <c r="J3720" t="b">
        <f t="shared" si="117"/>
        <v>0</v>
      </c>
    </row>
    <row r="3721" spans="3:10" x14ac:dyDescent="0.25">
      <c r="C3721" s="4"/>
      <c r="E3721" s="4"/>
      <c r="H3721" s="31" t="str">
        <f t="shared" si="116"/>
        <v/>
      </c>
      <c r="J3721" t="b">
        <f t="shared" si="117"/>
        <v>0</v>
      </c>
    </row>
    <row r="3722" spans="3:10" x14ac:dyDescent="0.25">
      <c r="C3722" s="4"/>
      <c r="E3722" s="4"/>
      <c r="H3722" s="31" t="str">
        <f t="shared" si="116"/>
        <v/>
      </c>
      <c r="J3722" t="b">
        <f t="shared" si="117"/>
        <v>0</v>
      </c>
    </row>
    <row r="3723" spans="3:10" x14ac:dyDescent="0.25">
      <c r="C3723" s="4"/>
      <c r="E3723" s="4"/>
      <c r="H3723" s="31" t="str">
        <f t="shared" si="116"/>
        <v/>
      </c>
      <c r="J3723" t="b">
        <f t="shared" si="117"/>
        <v>0</v>
      </c>
    </row>
    <row r="3724" spans="3:10" x14ac:dyDescent="0.25">
      <c r="C3724" s="4"/>
      <c r="E3724" s="4"/>
      <c r="H3724" s="31" t="str">
        <f t="shared" si="116"/>
        <v/>
      </c>
      <c r="J3724" t="b">
        <f t="shared" si="117"/>
        <v>0</v>
      </c>
    </row>
    <row r="3725" spans="3:10" x14ac:dyDescent="0.25">
      <c r="C3725" s="4"/>
      <c r="E3725" s="4"/>
      <c r="H3725" s="31" t="str">
        <f t="shared" si="116"/>
        <v/>
      </c>
      <c r="J3725" t="b">
        <f t="shared" si="117"/>
        <v>0</v>
      </c>
    </row>
    <row r="3726" spans="3:10" x14ac:dyDescent="0.25">
      <c r="C3726" s="4"/>
      <c r="E3726" s="4"/>
      <c r="H3726" s="31" t="str">
        <f t="shared" si="116"/>
        <v/>
      </c>
      <c r="J3726" t="b">
        <f t="shared" si="117"/>
        <v>0</v>
      </c>
    </row>
    <row r="3727" spans="3:10" x14ac:dyDescent="0.25">
      <c r="C3727" s="4"/>
      <c r="E3727" s="4"/>
      <c r="H3727" s="31" t="str">
        <f t="shared" si="116"/>
        <v/>
      </c>
      <c r="J3727" t="b">
        <f t="shared" si="117"/>
        <v>0</v>
      </c>
    </row>
    <row r="3728" spans="3:10" x14ac:dyDescent="0.25">
      <c r="C3728" s="4"/>
      <c r="E3728" s="4"/>
      <c r="H3728" s="31" t="str">
        <f t="shared" si="116"/>
        <v/>
      </c>
      <c r="J3728" t="b">
        <f t="shared" si="117"/>
        <v>0</v>
      </c>
    </row>
    <row r="3729" spans="3:10" x14ac:dyDescent="0.25">
      <c r="C3729" s="4"/>
      <c r="E3729" s="4"/>
      <c r="H3729" s="31" t="str">
        <f t="shared" si="116"/>
        <v/>
      </c>
      <c r="J3729" t="b">
        <f t="shared" si="117"/>
        <v>0</v>
      </c>
    </row>
    <row r="3730" spans="3:10" x14ac:dyDescent="0.25">
      <c r="C3730" s="4"/>
      <c r="E3730" s="4"/>
      <c r="H3730" s="31" t="str">
        <f t="shared" si="116"/>
        <v/>
      </c>
      <c r="J3730" t="b">
        <f t="shared" si="117"/>
        <v>0</v>
      </c>
    </row>
    <row r="3731" spans="3:10" x14ac:dyDescent="0.25">
      <c r="C3731" s="4"/>
      <c r="E3731" s="4"/>
      <c r="H3731" s="31" t="str">
        <f t="shared" si="116"/>
        <v/>
      </c>
      <c r="J3731" t="b">
        <f t="shared" si="117"/>
        <v>0</v>
      </c>
    </row>
    <row r="3732" spans="3:10" x14ac:dyDescent="0.25">
      <c r="C3732" s="4"/>
      <c r="E3732" s="4"/>
      <c r="H3732" s="31" t="str">
        <f t="shared" si="116"/>
        <v/>
      </c>
      <c r="J3732" t="b">
        <f t="shared" si="117"/>
        <v>0</v>
      </c>
    </row>
    <row r="3733" spans="3:10" x14ac:dyDescent="0.25">
      <c r="C3733" s="4"/>
      <c r="E3733" s="4"/>
      <c r="H3733" s="31" t="str">
        <f t="shared" si="116"/>
        <v/>
      </c>
      <c r="J3733" t="b">
        <f t="shared" si="117"/>
        <v>0</v>
      </c>
    </row>
    <row r="3734" spans="3:10" x14ac:dyDescent="0.25">
      <c r="C3734" s="4"/>
      <c r="E3734" s="4"/>
      <c r="H3734" s="31" t="str">
        <f t="shared" si="116"/>
        <v/>
      </c>
      <c r="J3734" t="b">
        <f t="shared" si="117"/>
        <v>0</v>
      </c>
    </row>
    <row r="3735" spans="3:10" x14ac:dyDescent="0.25">
      <c r="C3735" s="4"/>
      <c r="E3735" s="4"/>
      <c r="H3735" s="31" t="str">
        <f t="shared" si="116"/>
        <v/>
      </c>
      <c r="J3735" t="b">
        <f t="shared" si="117"/>
        <v>0</v>
      </c>
    </row>
    <row r="3736" spans="3:10" x14ac:dyDescent="0.25">
      <c r="C3736" s="4"/>
      <c r="E3736" s="4"/>
      <c r="H3736" s="31" t="str">
        <f t="shared" si="116"/>
        <v/>
      </c>
      <c r="J3736" t="b">
        <f t="shared" si="117"/>
        <v>0</v>
      </c>
    </row>
    <row r="3737" spans="3:10" x14ac:dyDescent="0.25">
      <c r="C3737" s="4"/>
      <c r="E3737" s="4"/>
      <c r="H3737" s="31" t="str">
        <f t="shared" si="116"/>
        <v/>
      </c>
      <c r="J3737" t="b">
        <f t="shared" si="117"/>
        <v>0</v>
      </c>
    </row>
    <row r="3738" spans="3:10" x14ac:dyDescent="0.25">
      <c r="C3738" s="4"/>
      <c r="E3738" s="4"/>
      <c r="H3738" s="31" t="str">
        <f t="shared" si="116"/>
        <v/>
      </c>
      <c r="J3738" t="b">
        <f t="shared" si="117"/>
        <v>0</v>
      </c>
    </row>
    <row r="3739" spans="3:10" x14ac:dyDescent="0.25">
      <c r="C3739" s="4"/>
      <c r="E3739" s="4"/>
      <c r="H3739" s="31" t="str">
        <f t="shared" si="116"/>
        <v/>
      </c>
      <c r="J3739" t="b">
        <f t="shared" si="117"/>
        <v>0</v>
      </c>
    </row>
    <row r="3740" spans="3:10" x14ac:dyDescent="0.25">
      <c r="C3740" s="4"/>
      <c r="E3740" s="4"/>
      <c r="H3740" s="31" t="str">
        <f t="shared" si="116"/>
        <v/>
      </c>
      <c r="J3740" t="b">
        <f t="shared" si="117"/>
        <v>0</v>
      </c>
    </row>
    <row r="3741" spans="3:10" x14ac:dyDescent="0.25">
      <c r="C3741" s="4"/>
      <c r="E3741" s="4"/>
      <c r="H3741" s="31" t="str">
        <f t="shared" si="116"/>
        <v/>
      </c>
      <c r="J3741" t="b">
        <f t="shared" si="117"/>
        <v>0</v>
      </c>
    </row>
    <row r="3742" spans="3:10" x14ac:dyDescent="0.25">
      <c r="C3742" s="4"/>
      <c r="E3742" s="4"/>
      <c r="H3742" s="31" t="str">
        <f t="shared" si="116"/>
        <v/>
      </c>
      <c r="J3742" t="b">
        <f t="shared" si="117"/>
        <v>0</v>
      </c>
    </row>
    <row r="3743" spans="3:10" x14ac:dyDescent="0.25">
      <c r="C3743" s="4"/>
      <c r="E3743" s="4"/>
      <c r="H3743" s="31" t="str">
        <f t="shared" si="116"/>
        <v/>
      </c>
      <c r="J3743" t="b">
        <f t="shared" si="117"/>
        <v>0</v>
      </c>
    </row>
    <row r="3744" spans="3:10" x14ac:dyDescent="0.25">
      <c r="C3744" s="4"/>
      <c r="E3744" s="4"/>
      <c r="H3744" s="31" t="str">
        <f t="shared" si="116"/>
        <v/>
      </c>
      <c r="J3744" t="b">
        <f t="shared" si="117"/>
        <v>0</v>
      </c>
    </row>
    <row r="3745" spans="3:10" x14ac:dyDescent="0.25">
      <c r="C3745" s="4"/>
      <c r="E3745" s="4"/>
      <c r="H3745" s="31" t="str">
        <f t="shared" si="116"/>
        <v/>
      </c>
      <c r="J3745" t="b">
        <f t="shared" si="117"/>
        <v>0</v>
      </c>
    </row>
    <row r="3746" spans="3:10" x14ac:dyDescent="0.25">
      <c r="C3746" s="4"/>
      <c r="E3746" s="4"/>
      <c r="H3746" s="31" t="str">
        <f t="shared" si="116"/>
        <v/>
      </c>
      <c r="J3746" t="b">
        <f t="shared" si="117"/>
        <v>0</v>
      </c>
    </row>
    <row r="3747" spans="3:10" x14ac:dyDescent="0.25">
      <c r="C3747" s="4"/>
      <c r="E3747" s="4"/>
      <c r="H3747" s="31" t="str">
        <f t="shared" si="116"/>
        <v/>
      </c>
      <c r="J3747" t="b">
        <f t="shared" si="117"/>
        <v>0</v>
      </c>
    </row>
    <row r="3748" spans="3:10" x14ac:dyDescent="0.25">
      <c r="C3748" s="4"/>
      <c r="E3748" s="4"/>
      <c r="H3748" s="31" t="str">
        <f t="shared" si="116"/>
        <v/>
      </c>
      <c r="J3748" t="b">
        <f t="shared" si="117"/>
        <v>0</v>
      </c>
    </row>
    <row r="3749" spans="3:10" x14ac:dyDescent="0.25">
      <c r="C3749" s="4"/>
      <c r="E3749" s="4"/>
      <c r="H3749" s="31" t="str">
        <f t="shared" si="116"/>
        <v/>
      </c>
      <c r="J3749" t="b">
        <f t="shared" si="117"/>
        <v>0</v>
      </c>
    </row>
    <row r="3750" spans="3:10" x14ac:dyDescent="0.25">
      <c r="C3750" s="4"/>
      <c r="E3750" s="4"/>
      <c r="H3750" s="31" t="str">
        <f t="shared" si="116"/>
        <v/>
      </c>
      <c r="J3750" t="b">
        <f t="shared" si="117"/>
        <v>0</v>
      </c>
    </row>
    <row r="3751" spans="3:10" x14ac:dyDescent="0.25">
      <c r="C3751" s="4"/>
      <c r="E3751" s="4"/>
      <c r="H3751" s="31" t="str">
        <f t="shared" si="116"/>
        <v/>
      </c>
      <c r="J3751" t="b">
        <f t="shared" si="117"/>
        <v>0</v>
      </c>
    </row>
    <row r="3752" spans="3:10" x14ac:dyDescent="0.25">
      <c r="C3752" s="4"/>
      <c r="E3752" s="4"/>
      <c r="H3752" s="31" t="str">
        <f t="shared" si="116"/>
        <v/>
      </c>
      <c r="J3752" t="b">
        <f t="shared" si="117"/>
        <v>0</v>
      </c>
    </row>
    <row r="3753" spans="3:10" x14ac:dyDescent="0.25">
      <c r="C3753" s="4"/>
      <c r="E3753" s="4"/>
      <c r="H3753" s="31" t="str">
        <f t="shared" si="116"/>
        <v/>
      </c>
      <c r="J3753" t="b">
        <f t="shared" si="117"/>
        <v>0</v>
      </c>
    </row>
    <row r="3754" spans="3:10" x14ac:dyDescent="0.25">
      <c r="C3754" s="4"/>
      <c r="E3754" s="4"/>
      <c r="H3754" s="31" t="str">
        <f t="shared" si="116"/>
        <v/>
      </c>
      <c r="J3754" t="b">
        <f t="shared" si="117"/>
        <v>0</v>
      </c>
    </row>
    <row r="3755" spans="3:10" x14ac:dyDescent="0.25">
      <c r="C3755" s="4"/>
      <c r="E3755" s="4"/>
      <c r="H3755" s="31" t="str">
        <f t="shared" si="116"/>
        <v/>
      </c>
      <c r="J3755" t="b">
        <f t="shared" si="117"/>
        <v>0</v>
      </c>
    </row>
    <row r="3756" spans="3:10" x14ac:dyDescent="0.25">
      <c r="C3756" s="4"/>
      <c r="E3756" s="4"/>
      <c r="H3756" s="31" t="str">
        <f t="shared" si="116"/>
        <v/>
      </c>
      <c r="J3756" t="b">
        <f t="shared" si="117"/>
        <v>0</v>
      </c>
    </row>
    <row r="3757" spans="3:10" x14ac:dyDescent="0.25">
      <c r="C3757" s="4"/>
      <c r="E3757" s="4"/>
      <c r="H3757" s="31" t="str">
        <f t="shared" si="116"/>
        <v/>
      </c>
      <c r="J3757" t="b">
        <f t="shared" si="117"/>
        <v>0</v>
      </c>
    </row>
    <row r="3758" spans="3:10" x14ac:dyDescent="0.25">
      <c r="C3758" s="4"/>
      <c r="E3758" s="4"/>
      <c r="H3758" s="31" t="str">
        <f t="shared" si="116"/>
        <v/>
      </c>
      <c r="J3758" t="b">
        <f t="shared" si="117"/>
        <v>0</v>
      </c>
    </row>
    <row r="3759" spans="3:10" x14ac:dyDescent="0.25">
      <c r="C3759" s="4"/>
      <c r="E3759" s="4"/>
      <c r="H3759" s="31" t="str">
        <f t="shared" si="116"/>
        <v/>
      </c>
      <c r="J3759" t="b">
        <f t="shared" si="117"/>
        <v>0</v>
      </c>
    </row>
    <row r="3760" spans="3:10" x14ac:dyDescent="0.25">
      <c r="C3760" s="4"/>
      <c r="E3760" s="4"/>
      <c r="H3760" s="31" t="str">
        <f t="shared" si="116"/>
        <v/>
      </c>
      <c r="J3760" t="b">
        <f t="shared" si="117"/>
        <v>0</v>
      </c>
    </row>
    <row r="3761" spans="3:10" x14ac:dyDescent="0.25">
      <c r="C3761" s="4"/>
      <c r="E3761" s="4"/>
      <c r="H3761" s="31" t="str">
        <f t="shared" si="116"/>
        <v/>
      </c>
      <c r="J3761" t="b">
        <f t="shared" si="117"/>
        <v>0</v>
      </c>
    </row>
    <row r="3762" spans="3:10" x14ac:dyDescent="0.25">
      <c r="C3762" s="4"/>
      <c r="E3762" s="4"/>
      <c r="H3762" s="31" t="str">
        <f t="shared" si="116"/>
        <v/>
      </c>
      <c r="J3762" t="b">
        <f t="shared" si="117"/>
        <v>0</v>
      </c>
    </row>
    <row r="3763" spans="3:10" x14ac:dyDescent="0.25">
      <c r="C3763" s="4"/>
      <c r="E3763" s="4"/>
      <c r="H3763" s="31" t="str">
        <f t="shared" si="116"/>
        <v/>
      </c>
      <c r="J3763" t="b">
        <f t="shared" si="117"/>
        <v>0</v>
      </c>
    </row>
    <row r="3764" spans="3:10" x14ac:dyDescent="0.25">
      <c r="C3764" s="4"/>
      <c r="E3764" s="4"/>
      <c r="H3764" s="31" t="str">
        <f t="shared" si="116"/>
        <v/>
      </c>
      <c r="J3764" t="b">
        <f t="shared" si="117"/>
        <v>0</v>
      </c>
    </row>
    <row r="3765" spans="3:10" x14ac:dyDescent="0.25">
      <c r="C3765" s="4"/>
      <c r="E3765" s="4"/>
      <c r="H3765" s="31" t="str">
        <f t="shared" si="116"/>
        <v/>
      </c>
      <c r="J3765" t="b">
        <f t="shared" si="117"/>
        <v>0</v>
      </c>
    </row>
    <row r="3766" spans="3:10" x14ac:dyDescent="0.25">
      <c r="C3766" s="4"/>
      <c r="E3766" s="4"/>
      <c r="H3766" s="31" t="str">
        <f t="shared" si="116"/>
        <v/>
      </c>
      <c r="J3766" t="b">
        <f t="shared" si="117"/>
        <v>0</v>
      </c>
    </row>
    <row r="3767" spans="3:10" x14ac:dyDescent="0.25">
      <c r="C3767" s="4"/>
      <c r="E3767" s="4"/>
      <c r="H3767" s="31" t="str">
        <f t="shared" si="116"/>
        <v/>
      </c>
      <c r="J3767" t="b">
        <f t="shared" si="117"/>
        <v>0</v>
      </c>
    </row>
    <row r="3768" spans="3:10" x14ac:dyDescent="0.25">
      <c r="C3768" s="4"/>
      <c r="E3768" s="4"/>
      <c r="H3768" s="31" t="str">
        <f t="shared" si="116"/>
        <v/>
      </c>
      <c r="J3768" t="b">
        <f t="shared" si="117"/>
        <v>0</v>
      </c>
    </row>
    <row r="3769" spans="3:10" x14ac:dyDescent="0.25">
      <c r="C3769" s="4"/>
      <c r="E3769" s="4"/>
      <c r="H3769" s="31" t="str">
        <f t="shared" si="116"/>
        <v/>
      </c>
      <c r="J3769" t="b">
        <f t="shared" si="117"/>
        <v>0</v>
      </c>
    </row>
    <row r="3770" spans="3:10" x14ac:dyDescent="0.25">
      <c r="C3770" s="4"/>
      <c r="E3770" s="4"/>
      <c r="H3770" s="31" t="str">
        <f t="shared" si="116"/>
        <v/>
      </c>
      <c r="J3770" t="b">
        <f t="shared" si="117"/>
        <v>0</v>
      </c>
    </row>
    <row r="3771" spans="3:10" x14ac:dyDescent="0.25">
      <c r="C3771" s="4"/>
      <c r="E3771" s="4"/>
      <c r="H3771" s="31" t="str">
        <f t="shared" si="116"/>
        <v/>
      </c>
      <c r="J3771" t="b">
        <f t="shared" si="117"/>
        <v>0</v>
      </c>
    </row>
    <row r="3772" spans="3:10" x14ac:dyDescent="0.25">
      <c r="C3772" s="4"/>
      <c r="E3772" s="4"/>
      <c r="H3772" s="31" t="str">
        <f t="shared" si="116"/>
        <v/>
      </c>
      <c r="J3772" t="b">
        <f t="shared" si="117"/>
        <v>0</v>
      </c>
    </row>
    <row r="3773" spans="3:10" x14ac:dyDescent="0.25">
      <c r="C3773" s="4"/>
      <c r="E3773" s="4"/>
      <c r="H3773" s="31" t="str">
        <f t="shared" si="116"/>
        <v/>
      </c>
      <c r="J3773" t="b">
        <f t="shared" si="117"/>
        <v>0</v>
      </c>
    </row>
    <row r="3774" spans="3:10" x14ac:dyDescent="0.25">
      <c r="C3774" s="4"/>
      <c r="E3774" s="4"/>
      <c r="H3774" s="31" t="str">
        <f t="shared" si="116"/>
        <v/>
      </c>
      <c r="J3774" t="b">
        <f t="shared" si="117"/>
        <v>0</v>
      </c>
    </row>
    <row r="3775" spans="3:10" x14ac:dyDescent="0.25">
      <c r="C3775" s="4"/>
      <c r="E3775" s="4"/>
      <c r="H3775" s="31" t="str">
        <f t="shared" si="116"/>
        <v/>
      </c>
      <c r="J3775" t="b">
        <f t="shared" si="117"/>
        <v>0</v>
      </c>
    </row>
    <row r="3776" spans="3:10" x14ac:dyDescent="0.25">
      <c r="C3776" s="4"/>
      <c r="E3776" s="4"/>
      <c r="H3776" s="31" t="str">
        <f t="shared" si="116"/>
        <v/>
      </c>
      <c r="J3776" t="b">
        <f t="shared" si="117"/>
        <v>0</v>
      </c>
    </row>
    <row r="3777" spans="3:10" x14ac:dyDescent="0.25">
      <c r="C3777" s="4"/>
      <c r="E3777" s="4"/>
      <c r="H3777" s="31" t="str">
        <f t="shared" si="116"/>
        <v/>
      </c>
      <c r="J3777" t="b">
        <f t="shared" si="117"/>
        <v>0</v>
      </c>
    </row>
    <row r="3778" spans="3:10" x14ac:dyDescent="0.25">
      <c r="C3778" s="4"/>
      <c r="E3778" s="4"/>
      <c r="H3778" s="31" t="str">
        <f t="shared" si="116"/>
        <v/>
      </c>
      <c r="J3778" t="b">
        <f t="shared" si="117"/>
        <v>0</v>
      </c>
    </row>
    <row r="3779" spans="3:10" x14ac:dyDescent="0.25">
      <c r="C3779" s="4"/>
      <c r="E3779" s="4"/>
      <c r="H3779" s="31" t="str">
        <f t="shared" si="116"/>
        <v/>
      </c>
      <c r="J3779" t="b">
        <f t="shared" si="117"/>
        <v>0</v>
      </c>
    </row>
    <row r="3780" spans="3:10" x14ac:dyDescent="0.25">
      <c r="C3780" s="4"/>
      <c r="E3780" s="4"/>
      <c r="H3780" s="31" t="str">
        <f t="shared" ref="H3780:H3843" si="118">IF($J3780=TRUE,"Il ne peut y avoir des valeurs dans les 2 méthodes",IF($D3780="kg/l",$C3780,IF($D3780="g/l",$C3780/1000,IF($D3780="lb/gal US",$C3780*0.454/3.785,IF($G3780="kg/l",($E3780/100)*$F3780,IF($G3780="g/l",($E3780/100)*$F3780/1000,IF($G3780="lb/gal US",($E3780/100)*$F3780*0.454/3.785,"")))))))</f>
        <v/>
      </c>
      <c r="J3780" t="b">
        <f t="shared" ref="J3780:J3843" si="119">IF(AND(OR($C3780&lt;&gt;"",$D3780&lt;&gt;""),OR($E3780&lt;&gt;"",F3780&lt;&gt;"",G3780&lt;&gt;"")),TRUE,FALSE)</f>
        <v>0</v>
      </c>
    </row>
    <row r="3781" spans="3:10" x14ac:dyDescent="0.25">
      <c r="C3781" s="4"/>
      <c r="E3781" s="4"/>
      <c r="H3781" s="31" t="str">
        <f t="shared" si="118"/>
        <v/>
      </c>
      <c r="J3781" t="b">
        <f t="shared" si="119"/>
        <v>0</v>
      </c>
    </row>
    <row r="3782" spans="3:10" x14ac:dyDescent="0.25">
      <c r="C3782" s="4"/>
      <c r="E3782" s="4"/>
      <c r="H3782" s="31" t="str">
        <f t="shared" si="118"/>
        <v/>
      </c>
      <c r="J3782" t="b">
        <f t="shared" si="119"/>
        <v>0</v>
      </c>
    </row>
    <row r="3783" spans="3:10" x14ac:dyDescent="0.25">
      <c r="C3783" s="4"/>
      <c r="E3783" s="4"/>
      <c r="H3783" s="31" t="str">
        <f t="shared" si="118"/>
        <v/>
      </c>
      <c r="J3783" t="b">
        <f t="shared" si="119"/>
        <v>0</v>
      </c>
    </row>
    <row r="3784" spans="3:10" x14ac:dyDescent="0.25">
      <c r="C3784" s="4"/>
      <c r="E3784" s="4"/>
      <c r="H3784" s="31" t="str">
        <f t="shared" si="118"/>
        <v/>
      </c>
      <c r="J3784" t="b">
        <f t="shared" si="119"/>
        <v>0</v>
      </c>
    </row>
    <row r="3785" spans="3:10" x14ac:dyDescent="0.25">
      <c r="C3785" s="4"/>
      <c r="E3785" s="4"/>
      <c r="H3785" s="31" t="str">
        <f t="shared" si="118"/>
        <v/>
      </c>
      <c r="J3785" t="b">
        <f t="shared" si="119"/>
        <v>0</v>
      </c>
    </row>
    <row r="3786" spans="3:10" x14ac:dyDescent="0.25">
      <c r="C3786" s="4"/>
      <c r="E3786" s="4"/>
      <c r="H3786" s="31" t="str">
        <f t="shared" si="118"/>
        <v/>
      </c>
      <c r="J3786" t="b">
        <f t="shared" si="119"/>
        <v>0</v>
      </c>
    </row>
    <row r="3787" spans="3:10" x14ac:dyDescent="0.25">
      <c r="C3787" s="4"/>
      <c r="E3787" s="4"/>
      <c r="H3787" s="31" t="str">
        <f t="shared" si="118"/>
        <v/>
      </c>
      <c r="J3787" t="b">
        <f t="shared" si="119"/>
        <v>0</v>
      </c>
    </row>
    <row r="3788" spans="3:10" x14ac:dyDescent="0.25">
      <c r="C3788" s="4"/>
      <c r="E3788" s="4"/>
      <c r="H3788" s="31" t="str">
        <f t="shared" si="118"/>
        <v/>
      </c>
      <c r="J3788" t="b">
        <f t="shared" si="119"/>
        <v>0</v>
      </c>
    </row>
    <row r="3789" spans="3:10" x14ac:dyDescent="0.25">
      <c r="C3789" s="4"/>
      <c r="E3789" s="4"/>
      <c r="H3789" s="31" t="str">
        <f t="shared" si="118"/>
        <v/>
      </c>
      <c r="J3789" t="b">
        <f t="shared" si="119"/>
        <v>0</v>
      </c>
    </row>
    <row r="3790" spans="3:10" x14ac:dyDescent="0.25">
      <c r="C3790" s="4"/>
      <c r="E3790" s="4"/>
      <c r="H3790" s="31" t="str">
        <f t="shared" si="118"/>
        <v/>
      </c>
      <c r="J3790" t="b">
        <f t="shared" si="119"/>
        <v>0</v>
      </c>
    </row>
    <row r="3791" spans="3:10" x14ac:dyDescent="0.25">
      <c r="C3791" s="4"/>
      <c r="E3791" s="4"/>
      <c r="H3791" s="31" t="str">
        <f t="shared" si="118"/>
        <v/>
      </c>
      <c r="J3791" t="b">
        <f t="shared" si="119"/>
        <v>0</v>
      </c>
    </row>
    <row r="3792" spans="3:10" x14ac:dyDescent="0.25">
      <c r="C3792" s="4"/>
      <c r="E3792" s="4"/>
      <c r="H3792" s="31" t="str">
        <f t="shared" si="118"/>
        <v/>
      </c>
      <c r="J3792" t="b">
        <f t="shared" si="119"/>
        <v>0</v>
      </c>
    </row>
    <row r="3793" spans="3:10" x14ac:dyDescent="0.25">
      <c r="C3793" s="4"/>
      <c r="E3793" s="4"/>
      <c r="H3793" s="31" t="str">
        <f t="shared" si="118"/>
        <v/>
      </c>
      <c r="J3793" t="b">
        <f t="shared" si="119"/>
        <v>0</v>
      </c>
    </row>
    <row r="3794" spans="3:10" x14ac:dyDescent="0.25">
      <c r="C3794" s="4"/>
      <c r="E3794" s="4"/>
      <c r="H3794" s="31" t="str">
        <f t="shared" si="118"/>
        <v/>
      </c>
      <c r="J3794" t="b">
        <f t="shared" si="119"/>
        <v>0</v>
      </c>
    </row>
    <row r="3795" spans="3:10" x14ac:dyDescent="0.25">
      <c r="C3795" s="4"/>
      <c r="E3795" s="4"/>
      <c r="H3795" s="31" t="str">
        <f t="shared" si="118"/>
        <v/>
      </c>
      <c r="J3795" t="b">
        <f t="shared" si="119"/>
        <v>0</v>
      </c>
    </row>
    <row r="3796" spans="3:10" x14ac:dyDescent="0.25">
      <c r="C3796" s="4"/>
      <c r="E3796" s="4"/>
      <c r="H3796" s="31" t="str">
        <f t="shared" si="118"/>
        <v/>
      </c>
      <c r="J3796" t="b">
        <f t="shared" si="119"/>
        <v>0</v>
      </c>
    </row>
    <row r="3797" spans="3:10" x14ac:dyDescent="0.25">
      <c r="C3797" s="4"/>
      <c r="E3797" s="4"/>
      <c r="H3797" s="31" t="str">
        <f t="shared" si="118"/>
        <v/>
      </c>
      <c r="J3797" t="b">
        <f t="shared" si="119"/>
        <v>0</v>
      </c>
    </row>
    <row r="3798" spans="3:10" x14ac:dyDescent="0.25">
      <c r="C3798" s="4"/>
      <c r="E3798" s="4"/>
      <c r="H3798" s="31" t="str">
        <f t="shared" si="118"/>
        <v/>
      </c>
      <c r="J3798" t="b">
        <f t="shared" si="119"/>
        <v>0</v>
      </c>
    </row>
    <row r="3799" spans="3:10" x14ac:dyDescent="0.25">
      <c r="C3799" s="4"/>
      <c r="E3799" s="4"/>
      <c r="H3799" s="31" t="str">
        <f t="shared" si="118"/>
        <v/>
      </c>
      <c r="J3799" t="b">
        <f t="shared" si="119"/>
        <v>0</v>
      </c>
    </row>
    <row r="3800" spans="3:10" x14ac:dyDescent="0.25">
      <c r="C3800" s="4"/>
      <c r="E3800" s="4"/>
      <c r="H3800" s="31" t="str">
        <f t="shared" si="118"/>
        <v/>
      </c>
      <c r="J3800" t="b">
        <f t="shared" si="119"/>
        <v>0</v>
      </c>
    </row>
    <row r="3801" spans="3:10" x14ac:dyDescent="0.25">
      <c r="C3801" s="4"/>
      <c r="E3801" s="4"/>
      <c r="H3801" s="31" t="str">
        <f t="shared" si="118"/>
        <v/>
      </c>
      <c r="J3801" t="b">
        <f t="shared" si="119"/>
        <v>0</v>
      </c>
    </row>
    <row r="3802" spans="3:10" x14ac:dyDescent="0.25">
      <c r="C3802" s="4"/>
      <c r="E3802" s="4"/>
      <c r="H3802" s="31" t="str">
        <f t="shared" si="118"/>
        <v/>
      </c>
      <c r="J3802" t="b">
        <f t="shared" si="119"/>
        <v>0</v>
      </c>
    </row>
    <row r="3803" spans="3:10" x14ac:dyDescent="0.25">
      <c r="C3803" s="4"/>
      <c r="E3803" s="4"/>
      <c r="H3803" s="31" t="str">
        <f t="shared" si="118"/>
        <v/>
      </c>
      <c r="J3803" t="b">
        <f t="shared" si="119"/>
        <v>0</v>
      </c>
    </row>
    <row r="3804" spans="3:10" x14ac:dyDescent="0.25">
      <c r="C3804" s="4"/>
      <c r="E3804" s="4"/>
      <c r="H3804" s="31" t="str">
        <f t="shared" si="118"/>
        <v/>
      </c>
      <c r="J3804" t="b">
        <f t="shared" si="119"/>
        <v>0</v>
      </c>
    </row>
    <row r="3805" spans="3:10" x14ac:dyDescent="0.25">
      <c r="C3805" s="4"/>
      <c r="E3805" s="4"/>
      <c r="H3805" s="31" t="str">
        <f t="shared" si="118"/>
        <v/>
      </c>
      <c r="J3805" t="b">
        <f t="shared" si="119"/>
        <v>0</v>
      </c>
    </row>
    <row r="3806" spans="3:10" x14ac:dyDescent="0.25">
      <c r="C3806" s="4"/>
      <c r="E3806" s="4"/>
      <c r="H3806" s="31" t="str">
        <f t="shared" si="118"/>
        <v/>
      </c>
      <c r="J3806" t="b">
        <f t="shared" si="119"/>
        <v>0</v>
      </c>
    </row>
    <row r="3807" spans="3:10" x14ac:dyDescent="0.25">
      <c r="C3807" s="4"/>
      <c r="E3807" s="4"/>
      <c r="H3807" s="31" t="str">
        <f t="shared" si="118"/>
        <v/>
      </c>
      <c r="J3807" t="b">
        <f t="shared" si="119"/>
        <v>0</v>
      </c>
    </row>
    <row r="3808" spans="3:10" x14ac:dyDescent="0.25">
      <c r="C3808" s="4"/>
      <c r="E3808" s="4"/>
      <c r="H3808" s="31" t="str">
        <f t="shared" si="118"/>
        <v/>
      </c>
      <c r="J3808" t="b">
        <f t="shared" si="119"/>
        <v>0</v>
      </c>
    </row>
    <row r="3809" spans="3:10" x14ac:dyDescent="0.25">
      <c r="C3809" s="4"/>
      <c r="E3809" s="4"/>
      <c r="H3809" s="31" t="str">
        <f t="shared" si="118"/>
        <v/>
      </c>
      <c r="J3809" t="b">
        <f t="shared" si="119"/>
        <v>0</v>
      </c>
    </row>
    <row r="3810" spans="3:10" x14ac:dyDescent="0.25">
      <c r="C3810" s="4"/>
      <c r="E3810" s="4"/>
      <c r="H3810" s="31" t="str">
        <f t="shared" si="118"/>
        <v/>
      </c>
      <c r="J3810" t="b">
        <f t="shared" si="119"/>
        <v>0</v>
      </c>
    </row>
    <row r="3811" spans="3:10" x14ac:dyDescent="0.25">
      <c r="C3811" s="4"/>
      <c r="E3811" s="4"/>
      <c r="H3811" s="31" t="str">
        <f t="shared" si="118"/>
        <v/>
      </c>
      <c r="J3811" t="b">
        <f t="shared" si="119"/>
        <v>0</v>
      </c>
    </row>
    <row r="3812" spans="3:10" x14ac:dyDescent="0.25">
      <c r="C3812" s="4"/>
      <c r="E3812" s="4"/>
      <c r="H3812" s="31" t="str">
        <f t="shared" si="118"/>
        <v/>
      </c>
      <c r="J3812" t="b">
        <f t="shared" si="119"/>
        <v>0</v>
      </c>
    </row>
    <row r="3813" spans="3:10" x14ac:dyDescent="0.25">
      <c r="C3813" s="4"/>
      <c r="E3813" s="4"/>
      <c r="H3813" s="31" t="str">
        <f t="shared" si="118"/>
        <v/>
      </c>
      <c r="J3813" t="b">
        <f t="shared" si="119"/>
        <v>0</v>
      </c>
    </row>
    <row r="3814" spans="3:10" x14ac:dyDescent="0.25">
      <c r="C3814" s="4"/>
      <c r="E3814" s="4"/>
      <c r="H3814" s="31" t="str">
        <f t="shared" si="118"/>
        <v/>
      </c>
      <c r="J3814" t="b">
        <f t="shared" si="119"/>
        <v>0</v>
      </c>
    </row>
    <row r="3815" spans="3:10" x14ac:dyDescent="0.25">
      <c r="C3815" s="4"/>
      <c r="E3815" s="4"/>
      <c r="H3815" s="31" t="str">
        <f t="shared" si="118"/>
        <v/>
      </c>
      <c r="J3815" t="b">
        <f t="shared" si="119"/>
        <v>0</v>
      </c>
    </row>
    <row r="3816" spans="3:10" x14ac:dyDescent="0.25">
      <c r="C3816" s="4"/>
      <c r="E3816" s="4"/>
      <c r="H3816" s="31" t="str">
        <f t="shared" si="118"/>
        <v/>
      </c>
      <c r="J3816" t="b">
        <f t="shared" si="119"/>
        <v>0</v>
      </c>
    </row>
    <row r="3817" spans="3:10" x14ac:dyDescent="0.25">
      <c r="C3817" s="4"/>
      <c r="E3817" s="4"/>
      <c r="H3817" s="31" t="str">
        <f t="shared" si="118"/>
        <v/>
      </c>
      <c r="J3817" t="b">
        <f t="shared" si="119"/>
        <v>0</v>
      </c>
    </row>
    <row r="3818" spans="3:10" x14ac:dyDescent="0.25">
      <c r="C3818" s="4"/>
      <c r="E3818" s="4"/>
      <c r="H3818" s="31" t="str">
        <f t="shared" si="118"/>
        <v/>
      </c>
      <c r="J3818" t="b">
        <f t="shared" si="119"/>
        <v>0</v>
      </c>
    </row>
    <row r="3819" spans="3:10" x14ac:dyDescent="0.25">
      <c r="C3819" s="4"/>
      <c r="E3819" s="4"/>
      <c r="H3819" s="31" t="str">
        <f t="shared" si="118"/>
        <v/>
      </c>
      <c r="J3819" t="b">
        <f t="shared" si="119"/>
        <v>0</v>
      </c>
    </row>
    <row r="3820" spans="3:10" x14ac:dyDescent="0.25">
      <c r="C3820" s="4"/>
      <c r="E3820" s="4"/>
      <c r="H3820" s="31" t="str">
        <f t="shared" si="118"/>
        <v/>
      </c>
      <c r="J3820" t="b">
        <f t="shared" si="119"/>
        <v>0</v>
      </c>
    </row>
    <row r="3821" spans="3:10" x14ac:dyDescent="0.25">
      <c r="C3821" s="4"/>
      <c r="E3821" s="4"/>
      <c r="H3821" s="31" t="str">
        <f t="shared" si="118"/>
        <v/>
      </c>
      <c r="J3821" t="b">
        <f t="shared" si="119"/>
        <v>0</v>
      </c>
    </row>
    <row r="3822" spans="3:10" x14ac:dyDescent="0.25">
      <c r="C3822" s="4"/>
      <c r="E3822" s="4"/>
      <c r="H3822" s="31" t="str">
        <f t="shared" si="118"/>
        <v/>
      </c>
      <c r="J3822" t="b">
        <f t="shared" si="119"/>
        <v>0</v>
      </c>
    </row>
    <row r="3823" spans="3:10" x14ac:dyDescent="0.25">
      <c r="C3823" s="4"/>
      <c r="E3823" s="4"/>
      <c r="H3823" s="31" t="str">
        <f t="shared" si="118"/>
        <v/>
      </c>
      <c r="J3823" t="b">
        <f t="shared" si="119"/>
        <v>0</v>
      </c>
    </row>
    <row r="3824" spans="3:10" x14ac:dyDescent="0.25">
      <c r="C3824" s="4"/>
      <c r="E3824" s="4"/>
      <c r="H3824" s="31" t="str">
        <f t="shared" si="118"/>
        <v/>
      </c>
      <c r="J3824" t="b">
        <f t="shared" si="119"/>
        <v>0</v>
      </c>
    </row>
    <row r="3825" spans="3:10" x14ac:dyDescent="0.25">
      <c r="C3825" s="4"/>
      <c r="E3825" s="4"/>
      <c r="H3825" s="31" t="str">
        <f t="shared" si="118"/>
        <v/>
      </c>
      <c r="J3825" t="b">
        <f t="shared" si="119"/>
        <v>0</v>
      </c>
    </row>
    <row r="3826" spans="3:10" x14ac:dyDescent="0.25">
      <c r="C3826" s="4"/>
      <c r="E3826" s="4"/>
      <c r="H3826" s="31" t="str">
        <f t="shared" si="118"/>
        <v/>
      </c>
      <c r="J3826" t="b">
        <f t="shared" si="119"/>
        <v>0</v>
      </c>
    </row>
    <row r="3827" spans="3:10" x14ac:dyDescent="0.25">
      <c r="C3827" s="4"/>
      <c r="E3827" s="4"/>
      <c r="H3827" s="31" t="str">
        <f t="shared" si="118"/>
        <v/>
      </c>
      <c r="J3827" t="b">
        <f t="shared" si="119"/>
        <v>0</v>
      </c>
    </row>
    <row r="3828" spans="3:10" x14ac:dyDescent="0.25">
      <c r="C3828" s="4"/>
      <c r="E3828" s="4"/>
      <c r="H3828" s="31" t="str">
        <f t="shared" si="118"/>
        <v/>
      </c>
      <c r="J3828" t="b">
        <f t="shared" si="119"/>
        <v>0</v>
      </c>
    </row>
    <row r="3829" spans="3:10" x14ac:dyDescent="0.25">
      <c r="C3829" s="4"/>
      <c r="E3829" s="4"/>
      <c r="H3829" s="31" t="str">
        <f t="shared" si="118"/>
        <v/>
      </c>
      <c r="J3829" t="b">
        <f t="shared" si="119"/>
        <v>0</v>
      </c>
    </row>
    <row r="3830" spans="3:10" x14ac:dyDescent="0.25">
      <c r="C3830" s="4"/>
      <c r="E3830" s="4"/>
      <c r="H3830" s="31" t="str">
        <f t="shared" si="118"/>
        <v/>
      </c>
      <c r="J3830" t="b">
        <f t="shared" si="119"/>
        <v>0</v>
      </c>
    </row>
    <row r="3831" spans="3:10" x14ac:dyDescent="0.25">
      <c r="C3831" s="4"/>
      <c r="E3831" s="4"/>
      <c r="H3831" s="31" t="str">
        <f t="shared" si="118"/>
        <v/>
      </c>
      <c r="J3831" t="b">
        <f t="shared" si="119"/>
        <v>0</v>
      </c>
    </row>
    <row r="3832" spans="3:10" x14ac:dyDescent="0.25">
      <c r="C3832" s="4"/>
      <c r="E3832" s="4"/>
      <c r="H3832" s="31" t="str">
        <f t="shared" si="118"/>
        <v/>
      </c>
      <c r="J3832" t="b">
        <f t="shared" si="119"/>
        <v>0</v>
      </c>
    </row>
    <row r="3833" spans="3:10" x14ac:dyDescent="0.25">
      <c r="C3833" s="4"/>
      <c r="E3833" s="4"/>
      <c r="H3833" s="31" t="str">
        <f t="shared" si="118"/>
        <v/>
      </c>
      <c r="J3833" t="b">
        <f t="shared" si="119"/>
        <v>0</v>
      </c>
    </row>
    <row r="3834" spans="3:10" x14ac:dyDescent="0.25">
      <c r="C3834" s="4"/>
      <c r="E3834" s="4"/>
      <c r="H3834" s="31" t="str">
        <f t="shared" si="118"/>
        <v/>
      </c>
      <c r="J3834" t="b">
        <f t="shared" si="119"/>
        <v>0</v>
      </c>
    </row>
    <row r="3835" spans="3:10" x14ac:dyDescent="0.25">
      <c r="C3835" s="4"/>
      <c r="E3835" s="4"/>
      <c r="H3835" s="31" t="str">
        <f t="shared" si="118"/>
        <v/>
      </c>
      <c r="J3835" t="b">
        <f t="shared" si="119"/>
        <v>0</v>
      </c>
    </row>
    <row r="3836" spans="3:10" x14ac:dyDescent="0.25">
      <c r="C3836" s="4"/>
      <c r="E3836" s="4"/>
      <c r="H3836" s="31" t="str">
        <f t="shared" si="118"/>
        <v/>
      </c>
      <c r="J3836" t="b">
        <f t="shared" si="119"/>
        <v>0</v>
      </c>
    </row>
    <row r="3837" spans="3:10" x14ac:dyDescent="0.25">
      <c r="C3837" s="4"/>
      <c r="E3837" s="4"/>
      <c r="H3837" s="31" t="str">
        <f t="shared" si="118"/>
        <v/>
      </c>
      <c r="J3837" t="b">
        <f t="shared" si="119"/>
        <v>0</v>
      </c>
    </row>
    <row r="3838" spans="3:10" x14ac:dyDescent="0.25">
      <c r="C3838" s="4"/>
      <c r="E3838" s="4"/>
      <c r="H3838" s="31" t="str">
        <f t="shared" si="118"/>
        <v/>
      </c>
      <c r="J3838" t="b">
        <f t="shared" si="119"/>
        <v>0</v>
      </c>
    </row>
    <row r="3839" spans="3:10" x14ac:dyDescent="0.25">
      <c r="C3839" s="4"/>
      <c r="E3839" s="4"/>
      <c r="H3839" s="31" t="str">
        <f t="shared" si="118"/>
        <v/>
      </c>
      <c r="J3839" t="b">
        <f t="shared" si="119"/>
        <v>0</v>
      </c>
    </row>
    <row r="3840" spans="3:10" x14ac:dyDescent="0.25">
      <c r="C3840" s="4"/>
      <c r="E3840" s="4"/>
      <c r="H3840" s="31" t="str">
        <f t="shared" si="118"/>
        <v/>
      </c>
      <c r="J3840" t="b">
        <f t="shared" si="119"/>
        <v>0</v>
      </c>
    </row>
    <row r="3841" spans="3:10" x14ac:dyDescent="0.25">
      <c r="C3841" s="4"/>
      <c r="E3841" s="4"/>
      <c r="H3841" s="31" t="str">
        <f t="shared" si="118"/>
        <v/>
      </c>
      <c r="J3841" t="b">
        <f t="shared" si="119"/>
        <v>0</v>
      </c>
    </row>
    <row r="3842" spans="3:10" x14ac:dyDescent="0.25">
      <c r="C3842" s="4"/>
      <c r="E3842" s="4"/>
      <c r="H3842" s="31" t="str">
        <f t="shared" si="118"/>
        <v/>
      </c>
      <c r="J3842" t="b">
        <f t="shared" si="119"/>
        <v>0</v>
      </c>
    </row>
    <row r="3843" spans="3:10" x14ac:dyDescent="0.25">
      <c r="C3843" s="4"/>
      <c r="E3843" s="4"/>
      <c r="H3843" s="31" t="str">
        <f t="shared" si="118"/>
        <v/>
      </c>
      <c r="J3843" t="b">
        <f t="shared" si="119"/>
        <v>0</v>
      </c>
    </row>
    <row r="3844" spans="3:10" x14ac:dyDescent="0.25">
      <c r="C3844" s="4"/>
      <c r="E3844" s="4"/>
      <c r="H3844" s="31" t="str">
        <f t="shared" ref="H3844:H3907" si="120">IF($J3844=TRUE,"Il ne peut y avoir des valeurs dans les 2 méthodes",IF($D3844="kg/l",$C3844,IF($D3844="g/l",$C3844/1000,IF($D3844="lb/gal US",$C3844*0.454/3.785,IF($G3844="kg/l",($E3844/100)*$F3844,IF($G3844="g/l",($E3844/100)*$F3844/1000,IF($G3844="lb/gal US",($E3844/100)*$F3844*0.454/3.785,"")))))))</f>
        <v/>
      </c>
      <c r="J3844" t="b">
        <f t="shared" ref="J3844:J3907" si="121">IF(AND(OR($C3844&lt;&gt;"",$D3844&lt;&gt;""),OR($E3844&lt;&gt;"",F3844&lt;&gt;"",G3844&lt;&gt;"")),TRUE,FALSE)</f>
        <v>0</v>
      </c>
    </row>
    <row r="3845" spans="3:10" x14ac:dyDescent="0.25">
      <c r="C3845" s="4"/>
      <c r="E3845" s="4"/>
      <c r="H3845" s="31" t="str">
        <f t="shared" si="120"/>
        <v/>
      </c>
      <c r="J3845" t="b">
        <f t="shared" si="121"/>
        <v>0</v>
      </c>
    </row>
    <row r="3846" spans="3:10" x14ac:dyDescent="0.25">
      <c r="C3846" s="4"/>
      <c r="E3846" s="4"/>
      <c r="H3846" s="31" t="str">
        <f t="shared" si="120"/>
        <v/>
      </c>
      <c r="J3846" t="b">
        <f t="shared" si="121"/>
        <v>0</v>
      </c>
    </row>
    <row r="3847" spans="3:10" x14ac:dyDescent="0.25">
      <c r="C3847" s="4"/>
      <c r="E3847" s="4"/>
      <c r="H3847" s="31" t="str">
        <f t="shared" si="120"/>
        <v/>
      </c>
      <c r="J3847" t="b">
        <f t="shared" si="121"/>
        <v>0</v>
      </c>
    </row>
    <row r="3848" spans="3:10" x14ac:dyDescent="0.25">
      <c r="C3848" s="4"/>
      <c r="E3848" s="4"/>
      <c r="H3848" s="31" t="str">
        <f t="shared" si="120"/>
        <v/>
      </c>
      <c r="J3848" t="b">
        <f t="shared" si="121"/>
        <v>0</v>
      </c>
    </row>
    <row r="3849" spans="3:10" x14ac:dyDescent="0.25">
      <c r="C3849" s="4"/>
      <c r="E3849" s="4"/>
      <c r="H3849" s="31" t="str">
        <f t="shared" si="120"/>
        <v/>
      </c>
      <c r="J3849" t="b">
        <f t="shared" si="121"/>
        <v>0</v>
      </c>
    </row>
    <row r="3850" spans="3:10" x14ac:dyDescent="0.25">
      <c r="C3850" s="4"/>
      <c r="E3850" s="4"/>
      <c r="H3850" s="31" t="str">
        <f t="shared" si="120"/>
        <v/>
      </c>
      <c r="J3850" t="b">
        <f t="shared" si="121"/>
        <v>0</v>
      </c>
    </row>
    <row r="3851" spans="3:10" x14ac:dyDescent="0.25">
      <c r="C3851" s="4"/>
      <c r="E3851" s="4"/>
      <c r="H3851" s="31" t="str">
        <f t="shared" si="120"/>
        <v/>
      </c>
      <c r="J3851" t="b">
        <f t="shared" si="121"/>
        <v>0</v>
      </c>
    </row>
    <row r="3852" spans="3:10" x14ac:dyDescent="0.25">
      <c r="C3852" s="4"/>
      <c r="E3852" s="4"/>
      <c r="H3852" s="31" t="str">
        <f t="shared" si="120"/>
        <v/>
      </c>
      <c r="J3852" t="b">
        <f t="shared" si="121"/>
        <v>0</v>
      </c>
    </row>
    <row r="3853" spans="3:10" x14ac:dyDescent="0.25">
      <c r="C3853" s="4"/>
      <c r="E3853" s="4"/>
      <c r="H3853" s="31" t="str">
        <f t="shared" si="120"/>
        <v/>
      </c>
      <c r="J3853" t="b">
        <f t="shared" si="121"/>
        <v>0</v>
      </c>
    </row>
    <row r="3854" spans="3:10" x14ac:dyDescent="0.25">
      <c r="C3854" s="4"/>
      <c r="E3854" s="4"/>
      <c r="H3854" s="31" t="str">
        <f t="shared" si="120"/>
        <v/>
      </c>
      <c r="J3854" t="b">
        <f t="shared" si="121"/>
        <v>0</v>
      </c>
    </row>
    <row r="3855" spans="3:10" x14ac:dyDescent="0.25">
      <c r="C3855" s="4"/>
      <c r="E3855" s="4"/>
      <c r="H3855" s="31" t="str">
        <f t="shared" si="120"/>
        <v/>
      </c>
      <c r="J3855" t="b">
        <f t="shared" si="121"/>
        <v>0</v>
      </c>
    </row>
    <row r="3856" spans="3:10" x14ac:dyDescent="0.25">
      <c r="C3856" s="4"/>
      <c r="E3856" s="4"/>
      <c r="H3856" s="31" t="str">
        <f t="shared" si="120"/>
        <v/>
      </c>
      <c r="J3856" t="b">
        <f t="shared" si="121"/>
        <v>0</v>
      </c>
    </row>
    <row r="3857" spans="3:10" x14ac:dyDescent="0.25">
      <c r="C3857" s="4"/>
      <c r="E3857" s="4"/>
      <c r="H3857" s="31" t="str">
        <f t="shared" si="120"/>
        <v/>
      </c>
      <c r="J3857" t="b">
        <f t="shared" si="121"/>
        <v>0</v>
      </c>
    </row>
    <row r="3858" spans="3:10" x14ac:dyDescent="0.25">
      <c r="C3858" s="4"/>
      <c r="E3858" s="4"/>
      <c r="H3858" s="31" t="str">
        <f t="shared" si="120"/>
        <v/>
      </c>
      <c r="J3858" t="b">
        <f t="shared" si="121"/>
        <v>0</v>
      </c>
    </row>
    <row r="3859" spans="3:10" x14ac:dyDescent="0.25">
      <c r="C3859" s="4"/>
      <c r="E3859" s="4"/>
      <c r="H3859" s="31" t="str">
        <f t="shared" si="120"/>
        <v/>
      </c>
      <c r="J3859" t="b">
        <f t="shared" si="121"/>
        <v>0</v>
      </c>
    </row>
    <row r="3860" spans="3:10" x14ac:dyDescent="0.25">
      <c r="C3860" s="4"/>
      <c r="E3860" s="4"/>
      <c r="H3860" s="31" t="str">
        <f t="shared" si="120"/>
        <v/>
      </c>
      <c r="J3860" t="b">
        <f t="shared" si="121"/>
        <v>0</v>
      </c>
    </row>
    <row r="3861" spans="3:10" x14ac:dyDescent="0.25">
      <c r="C3861" s="4"/>
      <c r="E3861" s="4"/>
      <c r="H3861" s="31" t="str">
        <f t="shared" si="120"/>
        <v/>
      </c>
      <c r="J3861" t="b">
        <f t="shared" si="121"/>
        <v>0</v>
      </c>
    </row>
    <row r="3862" spans="3:10" x14ac:dyDescent="0.25">
      <c r="C3862" s="4"/>
      <c r="E3862" s="4"/>
      <c r="H3862" s="31" t="str">
        <f t="shared" si="120"/>
        <v/>
      </c>
      <c r="J3862" t="b">
        <f t="shared" si="121"/>
        <v>0</v>
      </c>
    </row>
    <row r="3863" spans="3:10" x14ac:dyDescent="0.25">
      <c r="C3863" s="4"/>
      <c r="E3863" s="4"/>
      <c r="H3863" s="31" t="str">
        <f t="shared" si="120"/>
        <v/>
      </c>
      <c r="J3863" t="b">
        <f t="shared" si="121"/>
        <v>0</v>
      </c>
    </row>
    <row r="3864" spans="3:10" x14ac:dyDescent="0.25">
      <c r="C3864" s="4"/>
      <c r="E3864" s="4"/>
      <c r="H3864" s="31" t="str">
        <f t="shared" si="120"/>
        <v/>
      </c>
      <c r="J3864" t="b">
        <f t="shared" si="121"/>
        <v>0</v>
      </c>
    </row>
    <row r="3865" spans="3:10" x14ac:dyDescent="0.25">
      <c r="C3865" s="4"/>
      <c r="E3865" s="4"/>
      <c r="H3865" s="31" t="str">
        <f t="shared" si="120"/>
        <v/>
      </c>
      <c r="J3865" t="b">
        <f t="shared" si="121"/>
        <v>0</v>
      </c>
    </row>
    <row r="3866" spans="3:10" x14ac:dyDescent="0.25">
      <c r="C3866" s="4"/>
      <c r="E3866" s="4"/>
      <c r="H3866" s="31" t="str">
        <f t="shared" si="120"/>
        <v/>
      </c>
      <c r="J3866" t="b">
        <f t="shared" si="121"/>
        <v>0</v>
      </c>
    </row>
    <row r="3867" spans="3:10" x14ac:dyDescent="0.25">
      <c r="C3867" s="4"/>
      <c r="E3867" s="4"/>
      <c r="H3867" s="31" t="str">
        <f t="shared" si="120"/>
        <v/>
      </c>
      <c r="J3867" t="b">
        <f t="shared" si="121"/>
        <v>0</v>
      </c>
    </row>
    <row r="3868" spans="3:10" x14ac:dyDescent="0.25">
      <c r="C3868" s="4"/>
      <c r="E3868" s="4"/>
      <c r="H3868" s="31" t="str">
        <f t="shared" si="120"/>
        <v/>
      </c>
      <c r="J3868" t="b">
        <f t="shared" si="121"/>
        <v>0</v>
      </c>
    </row>
    <row r="3869" spans="3:10" x14ac:dyDescent="0.25">
      <c r="C3869" s="4"/>
      <c r="E3869" s="4"/>
      <c r="H3869" s="31" t="str">
        <f t="shared" si="120"/>
        <v/>
      </c>
      <c r="J3869" t="b">
        <f t="shared" si="121"/>
        <v>0</v>
      </c>
    </row>
    <row r="3870" spans="3:10" x14ac:dyDescent="0.25">
      <c r="C3870" s="4"/>
      <c r="E3870" s="4"/>
      <c r="H3870" s="31" t="str">
        <f t="shared" si="120"/>
        <v/>
      </c>
      <c r="J3870" t="b">
        <f t="shared" si="121"/>
        <v>0</v>
      </c>
    </row>
    <row r="3871" spans="3:10" x14ac:dyDescent="0.25">
      <c r="C3871" s="4"/>
      <c r="E3871" s="4"/>
      <c r="H3871" s="31" t="str">
        <f t="shared" si="120"/>
        <v/>
      </c>
      <c r="J3871" t="b">
        <f t="shared" si="121"/>
        <v>0</v>
      </c>
    </row>
    <row r="3872" spans="3:10" x14ac:dyDescent="0.25">
      <c r="C3872" s="4"/>
      <c r="E3872" s="4"/>
      <c r="H3872" s="31" t="str">
        <f t="shared" si="120"/>
        <v/>
      </c>
      <c r="J3872" t="b">
        <f t="shared" si="121"/>
        <v>0</v>
      </c>
    </row>
    <row r="3873" spans="3:10" x14ac:dyDescent="0.25">
      <c r="C3873" s="4"/>
      <c r="E3873" s="4"/>
      <c r="H3873" s="31" t="str">
        <f t="shared" si="120"/>
        <v/>
      </c>
      <c r="J3873" t="b">
        <f t="shared" si="121"/>
        <v>0</v>
      </c>
    </row>
    <row r="3874" spans="3:10" x14ac:dyDescent="0.25">
      <c r="C3874" s="4"/>
      <c r="E3874" s="4"/>
      <c r="H3874" s="31" t="str">
        <f t="shared" si="120"/>
        <v/>
      </c>
      <c r="J3874" t="b">
        <f t="shared" si="121"/>
        <v>0</v>
      </c>
    </row>
    <row r="3875" spans="3:10" x14ac:dyDescent="0.25">
      <c r="C3875" s="4"/>
      <c r="E3875" s="4"/>
      <c r="H3875" s="31" t="str">
        <f t="shared" si="120"/>
        <v/>
      </c>
      <c r="J3875" t="b">
        <f t="shared" si="121"/>
        <v>0</v>
      </c>
    </row>
    <row r="3876" spans="3:10" x14ac:dyDescent="0.25">
      <c r="C3876" s="4"/>
      <c r="E3876" s="4"/>
      <c r="H3876" s="31" t="str">
        <f t="shared" si="120"/>
        <v/>
      </c>
      <c r="J3876" t="b">
        <f t="shared" si="121"/>
        <v>0</v>
      </c>
    </row>
    <row r="3877" spans="3:10" x14ac:dyDescent="0.25">
      <c r="C3877" s="4"/>
      <c r="E3877" s="4"/>
      <c r="H3877" s="31" t="str">
        <f t="shared" si="120"/>
        <v/>
      </c>
      <c r="J3877" t="b">
        <f t="shared" si="121"/>
        <v>0</v>
      </c>
    </row>
    <row r="3878" spans="3:10" x14ac:dyDescent="0.25">
      <c r="C3878" s="4"/>
      <c r="E3878" s="4"/>
      <c r="H3878" s="31" t="str">
        <f t="shared" si="120"/>
        <v/>
      </c>
      <c r="J3878" t="b">
        <f t="shared" si="121"/>
        <v>0</v>
      </c>
    </row>
    <row r="3879" spans="3:10" x14ac:dyDescent="0.25">
      <c r="C3879" s="4"/>
      <c r="E3879" s="4"/>
      <c r="H3879" s="31" t="str">
        <f t="shared" si="120"/>
        <v/>
      </c>
      <c r="J3879" t="b">
        <f t="shared" si="121"/>
        <v>0</v>
      </c>
    </row>
    <row r="3880" spans="3:10" x14ac:dyDescent="0.25">
      <c r="C3880" s="4"/>
      <c r="E3880" s="4"/>
      <c r="H3880" s="31" t="str">
        <f t="shared" si="120"/>
        <v/>
      </c>
      <c r="J3880" t="b">
        <f t="shared" si="121"/>
        <v>0</v>
      </c>
    </row>
    <row r="3881" spans="3:10" x14ac:dyDescent="0.25">
      <c r="C3881" s="4"/>
      <c r="E3881" s="4"/>
      <c r="H3881" s="31" t="str">
        <f t="shared" si="120"/>
        <v/>
      </c>
      <c r="J3881" t="b">
        <f t="shared" si="121"/>
        <v>0</v>
      </c>
    </row>
    <row r="3882" spans="3:10" x14ac:dyDescent="0.25">
      <c r="C3882" s="4"/>
      <c r="E3882" s="4"/>
      <c r="H3882" s="31" t="str">
        <f t="shared" si="120"/>
        <v/>
      </c>
      <c r="J3882" t="b">
        <f t="shared" si="121"/>
        <v>0</v>
      </c>
    </row>
    <row r="3883" spans="3:10" x14ac:dyDescent="0.25">
      <c r="C3883" s="4"/>
      <c r="E3883" s="4"/>
      <c r="H3883" s="31" t="str">
        <f t="shared" si="120"/>
        <v/>
      </c>
      <c r="J3883" t="b">
        <f t="shared" si="121"/>
        <v>0</v>
      </c>
    </row>
    <row r="3884" spans="3:10" x14ac:dyDescent="0.25">
      <c r="C3884" s="4"/>
      <c r="E3884" s="4"/>
      <c r="H3884" s="31" t="str">
        <f t="shared" si="120"/>
        <v/>
      </c>
      <c r="J3884" t="b">
        <f t="shared" si="121"/>
        <v>0</v>
      </c>
    </row>
    <row r="3885" spans="3:10" x14ac:dyDescent="0.25">
      <c r="C3885" s="4"/>
      <c r="E3885" s="4"/>
      <c r="H3885" s="31" t="str">
        <f t="shared" si="120"/>
        <v/>
      </c>
      <c r="J3885" t="b">
        <f t="shared" si="121"/>
        <v>0</v>
      </c>
    </row>
    <row r="3886" spans="3:10" x14ac:dyDescent="0.25">
      <c r="C3886" s="4"/>
      <c r="E3886" s="4"/>
      <c r="H3886" s="31" t="str">
        <f t="shared" si="120"/>
        <v/>
      </c>
      <c r="J3886" t="b">
        <f t="shared" si="121"/>
        <v>0</v>
      </c>
    </row>
    <row r="3887" spans="3:10" x14ac:dyDescent="0.25">
      <c r="C3887" s="4"/>
      <c r="E3887" s="4"/>
      <c r="H3887" s="31" t="str">
        <f t="shared" si="120"/>
        <v/>
      </c>
      <c r="J3887" t="b">
        <f t="shared" si="121"/>
        <v>0</v>
      </c>
    </row>
    <row r="3888" spans="3:10" x14ac:dyDescent="0.25">
      <c r="C3888" s="4"/>
      <c r="E3888" s="4"/>
      <c r="H3888" s="31" t="str">
        <f t="shared" si="120"/>
        <v/>
      </c>
      <c r="J3888" t="b">
        <f t="shared" si="121"/>
        <v>0</v>
      </c>
    </row>
    <row r="3889" spans="3:10" x14ac:dyDescent="0.25">
      <c r="C3889" s="4"/>
      <c r="E3889" s="4"/>
      <c r="H3889" s="31" t="str">
        <f t="shared" si="120"/>
        <v/>
      </c>
      <c r="J3889" t="b">
        <f t="shared" si="121"/>
        <v>0</v>
      </c>
    </row>
    <row r="3890" spans="3:10" x14ac:dyDescent="0.25">
      <c r="C3890" s="4"/>
      <c r="E3890" s="4"/>
      <c r="H3890" s="31" t="str">
        <f t="shared" si="120"/>
        <v/>
      </c>
      <c r="J3890" t="b">
        <f t="shared" si="121"/>
        <v>0</v>
      </c>
    </row>
    <row r="3891" spans="3:10" x14ac:dyDescent="0.25">
      <c r="C3891" s="4"/>
      <c r="E3891" s="4"/>
      <c r="H3891" s="31" t="str">
        <f t="shared" si="120"/>
        <v/>
      </c>
      <c r="J3891" t="b">
        <f t="shared" si="121"/>
        <v>0</v>
      </c>
    </row>
    <row r="3892" spans="3:10" x14ac:dyDescent="0.25">
      <c r="C3892" s="4"/>
      <c r="E3892" s="4"/>
      <c r="H3892" s="31" t="str">
        <f t="shared" si="120"/>
        <v/>
      </c>
      <c r="J3892" t="b">
        <f t="shared" si="121"/>
        <v>0</v>
      </c>
    </row>
    <row r="3893" spans="3:10" x14ac:dyDescent="0.25">
      <c r="C3893" s="4"/>
      <c r="E3893" s="4"/>
      <c r="H3893" s="31" t="str">
        <f t="shared" si="120"/>
        <v/>
      </c>
      <c r="J3893" t="b">
        <f t="shared" si="121"/>
        <v>0</v>
      </c>
    </row>
    <row r="3894" spans="3:10" x14ac:dyDescent="0.25">
      <c r="C3894" s="4"/>
      <c r="E3894" s="4"/>
      <c r="H3894" s="31" t="str">
        <f t="shared" si="120"/>
        <v/>
      </c>
      <c r="J3894" t="b">
        <f t="shared" si="121"/>
        <v>0</v>
      </c>
    </row>
    <row r="3895" spans="3:10" x14ac:dyDescent="0.25">
      <c r="C3895" s="4"/>
      <c r="E3895" s="4"/>
      <c r="H3895" s="31" t="str">
        <f t="shared" si="120"/>
        <v/>
      </c>
      <c r="J3895" t="b">
        <f t="shared" si="121"/>
        <v>0</v>
      </c>
    </row>
    <row r="3896" spans="3:10" x14ac:dyDescent="0.25">
      <c r="C3896" s="4"/>
      <c r="E3896" s="4"/>
      <c r="H3896" s="31" t="str">
        <f t="shared" si="120"/>
        <v/>
      </c>
      <c r="J3896" t="b">
        <f t="shared" si="121"/>
        <v>0</v>
      </c>
    </row>
    <row r="3897" spans="3:10" x14ac:dyDescent="0.25">
      <c r="C3897" s="4"/>
      <c r="E3897" s="4"/>
      <c r="H3897" s="31" t="str">
        <f t="shared" si="120"/>
        <v/>
      </c>
      <c r="J3897" t="b">
        <f t="shared" si="121"/>
        <v>0</v>
      </c>
    </row>
    <row r="3898" spans="3:10" x14ac:dyDescent="0.25">
      <c r="C3898" s="4"/>
      <c r="E3898" s="4"/>
      <c r="H3898" s="31" t="str">
        <f t="shared" si="120"/>
        <v/>
      </c>
      <c r="J3898" t="b">
        <f t="shared" si="121"/>
        <v>0</v>
      </c>
    </row>
    <row r="3899" spans="3:10" x14ac:dyDescent="0.25">
      <c r="C3899" s="4"/>
      <c r="E3899" s="4"/>
      <c r="H3899" s="31" t="str">
        <f t="shared" si="120"/>
        <v/>
      </c>
      <c r="J3899" t="b">
        <f t="shared" si="121"/>
        <v>0</v>
      </c>
    </row>
    <row r="3900" spans="3:10" x14ac:dyDescent="0.25">
      <c r="C3900" s="4"/>
      <c r="E3900" s="4"/>
      <c r="H3900" s="31" t="str">
        <f t="shared" si="120"/>
        <v/>
      </c>
      <c r="J3900" t="b">
        <f t="shared" si="121"/>
        <v>0</v>
      </c>
    </row>
    <row r="3901" spans="3:10" x14ac:dyDescent="0.25">
      <c r="C3901" s="4"/>
      <c r="E3901" s="4"/>
      <c r="H3901" s="31" t="str">
        <f t="shared" si="120"/>
        <v/>
      </c>
      <c r="J3901" t="b">
        <f t="shared" si="121"/>
        <v>0</v>
      </c>
    </row>
    <row r="3902" spans="3:10" x14ac:dyDescent="0.25">
      <c r="C3902" s="4"/>
      <c r="E3902" s="4"/>
      <c r="H3902" s="31" t="str">
        <f t="shared" si="120"/>
        <v/>
      </c>
      <c r="J3902" t="b">
        <f t="shared" si="121"/>
        <v>0</v>
      </c>
    </row>
    <row r="3903" spans="3:10" x14ac:dyDescent="0.25">
      <c r="C3903" s="4"/>
      <c r="E3903" s="4"/>
      <c r="H3903" s="31" t="str">
        <f t="shared" si="120"/>
        <v/>
      </c>
      <c r="J3903" t="b">
        <f t="shared" si="121"/>
        <v>0</v>
      </c>
    </row>
    <row r="3904" spans="3:10" x14ac:dyDescent="0.25">
      <c r="C3904" s="4"/>
      <c r="E3904" s="4"/>
      <c r="H3904" s="31" t="str">
        <f t="shared" si="120"/>
        <v/>
      </c>
      <c r="J3904" t="b">
        <f t="shared" si="121"/>
        <v>0</v>
      </c>
    </row>
    <row r="3905" spans="3:10" x14ac:dyDescent="0.25">
      <c r="C3905" s="4"/>
      <c r="E3905" s="4"/>
      <c r="H3905" s="31" t="str">
        <f t="shared" si="120"/>
        <v/>
      </c>
      <c r="J3905" t="b">
        <f t="shared" si="121"/>
        <v>0</v>
      </c>
    </row>
    <row r="3906" spans="3:10" x14ac:dyDescent="0.25">
      <c r="C3906" s="4"/>
      <c r="E3906" s="4"/>
      <c r="H3906" s="31" t="str">
        <f t="shared" si="120"/>
        <v/>
      </c>
      <c r="J3906" t="b">
        <f t="shared" si="121"/>
        <v>0</v>
      </c>
    </row>
    <row r="3907" spans="3:10" x14ac:dyDescent="0.25">
      <c r="C3907" s="4"/>
      <c r="E3907" s="4"/>
      <c r="H3907" s="31" t="str">
        <f t="shared" si="120"/>
        <v/>
      </c>
      <c r="J3907" t="b">
        <f t="shared" si="121"/>
        <v>0</v>
      </c>
    </row>
    <row r="3908" spans="3:10" x14ac:dyDescent="0.25">
      <c r="C3908" s="4"/>
      <c r="E3908" s="4"/>
      <c r="H3908" s="31" t="str">
        <f t="shared" ref="H3908:H3971" si="122">IF($J3908=TRUE,"Il ne peut y avoir des valeurs dans les 2 méthodes",IF($D3908="kg/l",$C3908,IF($D3908="g/l",$C3908/1000,IF($D3908="lb/gal US",$C3908*0.454/3.785,IF($G3908="kg/l",($E3908/100)*$F3908,IF($G3908="g/l",($E3908/100)*$F3908/1000,IF($G3908="lb/gal US",($E3908/100)*$F3908*0.454/3.785,"")))))))</f>
        <v/>
      </c>
      <c r="J3908" t="b">
        <f t="shared" ref="J3908:J3971" si="123">IF(AND(OR($C3908&lt;&gt;"",$D3908&lt;&gt;""),OR($E3908&lt;&gt;"",F3908&lt;&gt;"",G3908&lt;&gt;"")),TRUE,FALSE)</f>
        <v>0</v>
      </c>
    </row>
    <row r="3909" spans="3:10" x14ac:dyDescent="0.25">
      <c r="C3909" s="4"/>
      <c r="E3909" s="4"/>
      <c r="H3909" s="31" t="str">
        <f t="shared" si="122"/>
        <v/>
      </c>
      <c r="J3909" t="b">
        <f t="shared" si="123"/>
        <v>0</v>
      </c>
    </row>
    <row r="3910" spans="3:10" x14ac:dyDescent="0.25">
      <c r="C3910" s="4"/>
      <c r="E3910" s="4"/>
      <c r="H3910" s="31" t="str">
        <f t="shared" si="122"/>
        <v/>
      </c>
      <c r="J3910" t="b">
        <f t="shared" si="123"/>
        <v>0</v>
      </c>
    </row>
    <row r="3911" spans="3:10" x14ac:dyDescent="0.25">
      <c r="C3911" s="4"/>
      <c r="E3911" s="4"/>
      <c r="H3911" s="31" t="str">
        <f t="shared" si="122"/>
        <v/>
      </c>
      <c r="J3911" t="b">
        <f t="shared" si="123"/>
        <v>0</v>
      </c>
    </row>
    <row r="3912" spans="3:10" x14ac:dyDescent="0.25">
      <c r="C3912" s="4"/>
      <c r="E3912" s="4"/>
      <c r="H3912" s="31" t="str">
        <f t="shared" si="122"/>
        <v/>
      </c>
      <c r="J3912" t="b">
        <f t="shared" si="123"/>
        <v>0</v>
      </c>
    </row>
    <row r="3913" spans="3:10" x14ac:dyDescent="0.25">
      <c r="C3913" s="4"/>
      <c r="E3913" s="4"/>
      <c r="H3913" s="31" t="str">
        <f t="shared" si="122"/>
        <v/>
      </c>
      <c r="J3913" t="b">
        <f t="shared" si="123"/>
        <v>0</v>
      </c>
    </row>
    <row r="3914" spans="3:10" x14ac:dyDescent="0.25">
      <c r="C3914" s="4"/>
      <c r="E3914" s="4"/>
      <c r="H3914" s="31" t="str">
        <f t="shared" si="122"/>
        <v/>
      </c>
      <c r="J3914" t="b">
        <f t="shared" si="123"/>
        <v>0</v>
      </c>
    </row>
    <row r="3915" spans="3:10" x14ac:dyDescent="0.25">
      <c r="C3915" s="4"/>
      <c r="E3915" s="4"/>
      <c r="H3915" s="31" t="str">
        <f t="shared" si="122"/>
        <v/>
      </c>
      <c r="J3915" t="b">
        <f t="shared" si="123"/>
        <v>0</v>
      </c>
    </row>
    <row r="3916" spans="3:10" x14ac:dyDescent="0.25">
      <c r="C3916" s="4"/>
      <c r="E3916" s="4"/>
      <c r="H3916" s="31" t="str">
        <f t="shared" si="122"/>
        <v/>
      </c>
      <c r="J3916" t="b">
        <f t="shared" si="123"/>
        <v>0</v>
      </c>
    </row>
    <row r="3917" spans="3:10" x14ac:dyDescent="0.25">
      <c r="C3917" s="4"/>
      <c r="E3917" s="4"/>
      <c r="H3917" s="31" t="str">
        <f t="shared" si="122"/>
        <v/>
      </c>
      <c r="J3917" t="b">
        <f t="shared" si="123"/>
        <v>0</v>
      </c>
    </row>
    <row r="3918" spans="3:10" x14ac:dyDescent="0.25">
      <c r="C3918" s="4"/>
      <c r="E3918" s="4"/>
      <c r="H3918" s="31" t="str">
        <f t="shared" si="122"/>
        <v/>
      </c>
      <c r="J3918" t="b">
        <f t="shared" si="123"/>
        <v>0</v>
      </c>
    </row>
    <row r="3919" spans="3:10" x14ac:dyDescent="0.25">
      <c r="C3919" s="4"/>
      <c r="E3919" s="4"/>
      <c r="H3919" s="31" t="str">
        <f t="shared" si="122"/>
        <v/>
      </c>
      <c r="J3919" t="b">
        <f t="shared" si="123"/>
        <v>0</v>
      </c>
    </row>
    <row r="3920" spans="3:10" x14ac:dyDescent="0.25">
      <c r="C3920" s="4"/>
      <c r="E3920" s="4"/>
      <c r="H3920" s="31" t="str">
        <f t="shared" si="122"/>
        <v/>
      </c>
      <c r="J3920" t="b">
        <f t="shared" si="123"/>
        <v>0</v>
      </c>
    </row>
    <row r="3921" spans="3:10" x14ac:dyDescent="0.25">
      <c r="C3921" s="4"/>
      <c r="E3921" s="4"/>
      <c r="H3921" s="31" t="str">
        <f t="shared" si="122"/>
        <v/>
      </c>
      <c r="J3921" t="b">
        <f t="shared" si="123"/>
        <v>0</v>
      </c>
    </row>
    <row r="3922" spans="3:10" x14ac:dyDescent="0.25">
      <c r="C3922" s="4"/>
      <c r="E3922" s="4"/>
      <c r="H3922" s="31" t="str">
        <f t="shared" si="122"/>
        <v/>
      </c>
      <c r="J3922" t="b">
        <f t="shared" si="123"/>
        <v>0</v>
      </c>
    </row>
    <row r="3923" spans="3:10" x14ac:dyDescent="0.25">
      <c r="C3923" s="4"/>
      <c r="E3923" s="4"/>
      <c r="H3923" s="31" t="str">
        <f t="shared" si="122"/>
        <v/>
      </c>
      <c r="J3923" t="b">
        <f t="shared" si="123"/>
        <v>0</v>
      </c>
    </row>
    <row r="3924" spans="3:10" x14ac:dyDescent="0.25">
      <c r="C3924" s="4"/>
      <c r="E3924" s="4"/>
      <c r="H3924" s="31" t="str">
        <f t="shared" si="122"/>
        <v/>
      </c>
      <c r="J3924" t="b">
        <f t="shared" si="123"/>
        <v>0</v>
      </c>
    </row>
    <row r="3925" spans="3:10" x14ac:dyDescent="0.25">
      <c r="C3925" s="4"/>
      <c r="E3925" s="4"/>
      <c r="H3925" s="31" t="str">
        <f t="shared" si="122"/>
        <v/>
      </c>
      <c r="J3925" t="b">
        <f t="shared" si="123"/>
        <v>0</v>
      </c>
    </row>
    <row r="3926" spans="3:10" x14ac:dyDescent="0.25">
      <c r="C3926" s="4"/>
      <c r="E3926" s="4"/>
      <c r="H3926" s="31" t="str">
        <f t="shared" si="122"/>
        <v/>
      </c>
      <c r="J3926" t="b">
        <f t="shared" si="123"/>
        <v>0</v>
      </c>
    </row>
    <row r="3927" spans="3:10" x14ac:dyDescent="0.25">
      <c r="C3927" s="4"/>
      <c r="E3927" s="4"/>
      <c r="H3927" s="31" t="str">
        <f t="shared" si="122"/>
        <v/>
      </c>
      <c r="J3927" t="b">
        <f t="shared" si="123"/>
        <v>0</v>
      </c>
    </row>
    <row r="3928" spans="3:10" x14ac:dyDescent="0.25">
      <c r="C3928" s="4"/>
      <c r="E3928" s="4"/>
      <c r="H3928" s="31" t="str">
        <f t="shared" si="122"/>
        <v/>
      </c>
      <c r="J3928" t="b">
        <f t="shared" si="123"/>
        <v>0</v>
      </c>
    </row>
    <row r="3929" spans="3:10" x14ac:dyDescent="0.25">
      <c r="C3929" s="4"/>
      <c r="E3929" s="4"/>
      <c r="H3929" s="31" t="str">
        <f t="shared" si="122"/>
        <v/>
      </c>
      <c r="J3929" t="b">
        <f t="shared" si="123"/>
        <v>0</v>
      </c>
    </row>
    <row r="3930" spans="3:10" x14ac:dyDescent="0.25">
      <c r="C3930" s="4"/>
      <c r="E3930" s="4"/>
      <c r="H3930" s="31" t="str">
        <f t="shared" si="122"/>
        <v/>
      </c>
      <c r="J3930" t="b">
        <f t="shared" si="123"/>
        <v>0</v>
      </c>
    </row>
    <row r="3931" spans="3:10" x14ac:dyDescent="0.25">
      <c r="C3931" s="4"/>
      <c r="E3931" s="4"/>
      <c r="H3931" s="31" t="str">
        <f t="shared" si="122"/>
        <v/>
      </c>
      <c r="J3931" t="b">
        <f t="shared" si="123"/>
        <v>0</v>
      </c>
    </row>
    <row r="3932" spans="3:10" x14ac:dyDescent="0.25">
      <c r="C3932" s="4"/>
      <c r="E3932" s="4"/>
      <c r="H3932" s="31" t="str">
        <f t="shared" si="122"/>
        <v/>
      </c>
      <c r="J3932" t="b">
        <f t="shared" si="123"/>
        <v>0</v>
      </c>
    </row>
    <row r="3933" spans="3:10" x14ac:dyDescent="0.25">
      <c r="C3933" s="4"/>
      <c r="E3933" s="4"/>
      <c r="H3933" s="31" t="str">
        <f t="shared" si="122"/>
        <v/>
      </c>
      <c r="J3933" t="b">
        <f t="shared" si="123"/>
        <v>0</v>
      </c>
    </row>
    <row r="3934" spans="3:10" x14ac:dyDescent="0.25">
      <c r="C3934" s="4"/>
      <c r="E3934" s="4"/>
      <c r="H3934" s="31" t="str">
        <f t="shared" si="122"/>
        <v/>
      </c>
      <c r="J3934" t="b">
        <f t="shared" si="123"/>
        <v>0</v>
      </c>
    </row>
    <row r="3935" spans="3:10" x14ac:dyDescent="0.25">
      <c r="C3935" s="4"/>
      <c r="E3935" s="4"/>
      <c r="H3935" s="31" t="str">
        <f t="shared" si="122"/>
        <v/>
      </c>
      <c r="J3935" t="b">
        <f t="shared" si="123"/>
        <v>0</v>
      </c>
    </row>
    <row r="3936" spans="3:10" x14ac:dyDescent="0.25">
      <c r="C3936" s="4"/>
      <c r="E3936" s="4"/>
      <c r="H3936" s="31" t="str">
        <f t="shared" si="122"/>
        <v/>
      </c>
      <c r="J3936" t="b">
        <f t="shared" si="123"/>
        <v>0</v>
      </c>
    </row>
    <row r="3937" spans="3:10" x14ac:dyDescent="0.25">
      <c r="C3937" s="4"/>
      <c r="E3937" s="4"/>
      <c r="H3937" s="31" t="str">
        <f t="shared" si="122"/>
        <v/>
      </c>
      <c r="J3937" t="b">
        <f t="shared" si="123"/>
        <v>0</v>
      </c>
    </row>
    <row r="3938" spans="3:10" x14ac:dyDescent="0.25">
      <c r="C3938" s="4"/>
      <c r="E3938" s="4"/>
      <c r="H3938" s="31" t="str">
        <f t="shared" si="122"/>
        <v/>
      </c>
      <c r="J3938" t="b">
        <f t="shared" si="123"/>
        <v>0</v>
      </c>
    </row>
    <row r="3939" spans="3:10" x14ac:dyDescent="0.25">
      <c r="C3939" s="4"/>
      <c r="E3939" s="4"/>
      <c r="H3939" s="31" t="str">
        <f t="shared" si="122"/>
        <v/>
      </c>
      <c r="J3939" t="b">
        <f t="shared" si="123"/>
        <v>0</v>
      </c>
    </row>
    <row r="3940" spans="3:10" x14ac:dyDescent="0.25">
      <c r="C3940" s="4"/>
      <c r="E3940" s="4"/>
      <c r="H3940" s="31" t="str">
        <f t="shared" si="122"/>
        <v/>
      </c>
      <c r="J3940" t="b">
        <f t="shared" si="123"/>
        <v>0</v>
      </c>
    </row>
    <row r="3941" spans="3:10" x14ac:dyDescent="0.25">
      <c r="C3941" s="4"/>
      <c r="E3941" s="4"/>
      <c r="H3941" s="31" t="str">
        <f t="shared" si="122"/>
        <v/>
      </c>
      <c r="J3941" t="b">
        <f t="shared" si="123"/>
        <v>0</v>
      </c>
    </row>
    <row r="3942" spans="3:10" x14ac:dyDescent="0.25">
      <c r="C3942" s="4"/>
      <c r="E3942" s="4"/>
      <c r="H3942" s="31" t="str">
        <f t="shared" si="122"/>
        <v/>
      </c>
      <c r="J3942" t="b">
        <f t="shared" si="123"/>
        <v>0</v>
      </c>
    </row>
    <row r="3943" spans="3:10" x14ac:dyDescent="0.25">
      <c r="C3943" s="4"/>
      <c r="E3943" s="4"/>
      <c r="H3943" s="31" t="str">
        <f t="shared" si="122"/>
        <v/>
      </c>
      <c r="J3943" t="b">
        <f t="shared" si="123"/>
        <v>0</v>
      </c>
    </row>
    <row r="3944" spans="3:10" x14ac:dyDescent="0.25">
      <c r="C3944" s="4"/>
      <c r="E3944" s="4"/>
      <c r="H3944" s="31" t="str">
        <f t="shared" si="122"/>
        <v/>
      </c>
      <c r="J3944" t="b">
        <f t="shared" si="123"/>
        <v>0</v>
      </c>
    </row>
    <row r="3945" spans="3:10" x14ac:dyDescent="0.25">
      <c r="C3945" s="4"/>
      <c r="E3945" s="4"/>
      <c r="H3945" s="31" t="str">
        <f t="shared" si="122"/>
        <v/>
      </c>
      <c r="J3945" t="b">
        <f t="shared" si="123"/>
        <v>0</v>
      </c>
    </row>
    <row r="3946" spans="3:10" x14ac:dyDescent="0.25">
      <c r="C3946" s="4"/>
      <c r="E3946" s="4"/>
      <c r="H3946" s="31" t="str">
        <f t="shared" si="122"/>
        <v/>
      </c>
      <c r="J3946" t="b">
        <f t="shared" si="123"/>
        <v>0</v>
      </c>
    </row>
    <row r="3947" spans="3:10" x14ac:dyDescent="0.25">
      <c r="C3947" s="4"/>
      <c r="E3947" s="4"/>
      <c r="H3947" s="31" t="str">
        <f t="shared" si="122"/>
        <v/>
      </c>
      <c r="J3947" t="b">
        <f t="shared" si="123"/>
        <v>0</v>
      </c>
    </row>
    <row r="3948" spans="3:10" x14ac:dyDescent="0.25">
      <c r="C3948" s="4"/>
      <c r="E3948" s="4"/>
      <c r="H3948" s="31" t="str">
        <f t="shared" si="122"/>
        <v/>
      </c>
      <c r="J3948" t="b">
        <f t="shared" si="123"/>
        <v>0</v>
      </c>
    </row>
    <row r="3949" spans="3:10" x14ac:dyDescent="0.25">
      <c r="C3949" s="4"/>
      <c r="E3949" s="4"/>
      <c r="H3949" s="31" t="str">
        <f t="shared" si="122"/>
        <v/>
      </c>
      <c r="J3949" t="b">
        <f t="shared" si="123"/>
        <v>0</v>
      </c>
    </row>
    <row r="3950" spans="3:10" x14ac:dyDescent="0.25">
      <c r="C3950" s="4"/>
      <c r="E3950" s="4"/>
      <c r="H3950" s="31" t="str">
        <f t="shared" si="122"/>
        <v/>
      </c>
      <c r="J3950" t="b">
        <f t="shared" si="123"/>
        <v>0</v>
      </c>
    </row>
    <row r="3951" spans="3:10" x14ac:dyDescent="0.25">
      <c r="C3951" s="4"/>
      <c r="E3951" s="4"/>
      <c r="H3951" s="31" t="str">
        <f t="shared" si="122"/>
        <v/>
      </c>
      <c r="J3951" t="b">
        <f t="shared" si="123"/>
        <v>0</v>
      </c>
    </row>
    <row r="3952" spans="3:10" x14ac:dyDescent="0.25">
      <c r="C3952" s="4"/>
      <c r="E3952" s="4"/>
      <c r="H3952" s="31" t="str">
        <f t="shared" si="122"/>
        <v/>
      </c>
      <c r="J3952" t="b">
        <f t="shared" si="123"/>
        <v>0</v>
      </c>
    </row>
    <row r="3953" spans="3:10" x14ac:dyDescent="0.25">
      <c r="C3953" s="4"/>
      <c r="E3953" s="4"/>
      <c r="H3953" s="31" t="str">
        <f t="shared" si="122"/>
        <v/>
      </c>
      <c r="J3953" t="b">
        <f t="shared" si="123"/>
        <v>0</v>
      </c>
    </row>
    <row r="3954" spans="3:10" x14ac:dyDescent="0.25">
      <c r="C3954" s="4"/>
      <c r="E3954" s="4"/>
      <c r="H3954" s="31" t="str">
        <f t="shared" si="122"/>
        <v/>
      </c>
      <c r="J3954" t="b">
        <f t="shared" si="123"/>
        <v>0</v>
      </c>
    </row>
    <row r="3955" spans="3:10" x14ac:dyDescent="0.25">
      <c r="C3955" s="4"/>
      <c r="E3955" s="4"/>
      <c r="H3955" s="31" t="str">
        <f t="shared" si="122"/>
        <v/>
      </c>
      <c r="J3955" t="b">
        <f t="shared" si="123"/>
        <v>0</v>
      </c>
    </row>
    <row r="3956" spans="3:10" x14ac:dyDescent="0.25">
      <c r="C3956" s="4"/>
      <c r="E3956" s="4"/>
      <c r="H3956" s="31" t="str">
        <f t="shared" si="122"/>
        <v/>
      </c>
      <c r="J3956" t="b">
        <f t="shared" si="123"/>
        <v>0</v>
      </c>
    </row>
    <row r="3957" spans="3:10" x14ac:dyDescent="0.25">
      <c r="C3957" s="4"/>
      <c r="E3957" s="4"/>
      <c r="H3957" s="31" t="str">
        <f t="shared" si="122"/>
        <v/>
      </c>
      <c r="J3957" t="b">
        <f t="shared" si="123"/>
        <v>0</v>
      </c>
    </row>
    <row r="3958" spans="3:10" x14ac:dyDescent="0.25">
      <c r="C3958" s="4"/>
      <c r="E3958" s="4"/>
      <c r="H3958" s="31" t="str">
        <f t="shared" si="122"/>
        <v/>
      </c>
      <c r="J3958" t="b">
        <f t="shared" si="123"/>
        <v>0</v>
      </c>
    </row>
    <row r="3959" spans="3:10" x14ac:dyDescent="0.25">
      <c r="C3959" s="4"/>
      <c r="E3959" s="4"/>
      <c r="H3959" s="31" t="str">
        <f t="shared" si="122"/>
        <v/>
      </c>
      <c r="J3959" t="b">
        <f t="shared" si="123"/>
        <v>0</v>
      </c>
    </row>
    <row r="3960" spans="3:10" x14ac:dyDescent="0.25">
      <c r="C3960" s="4"/>
      <c r="E3960" s="4"/>
      <c r="H3960" s="31" t="str">
        <f t="shared" si="122"/>
        <v/>
      </c>
      <c r="J3960" t="b">
        <f t="shared" si="123"/>
        <v>0</v>
      </c>
    </row>
    <row r="3961" spans="3:10" x14ac:dyDescent="0.25">
      <c r="C3961" s="4"/>
      <c r="E3961" s="4"/>
      <c r="H3961" s="31" t="str">
        <f t="shared" si="122"/>
        <v/>
      </c>
      <c r="J3961" t="b">
        <f t="shared" si="123"/>
        <v>0</v>
      </c>
    </row>
    <row r="3962" spans="3:10" x14ac:dyDescent="0.25">
      <c r="C3962" s="4"/>
      <c r="E3962" s="4"/>
      <c r="H3962" s="31" t="str">
        <f t="shared" si="122"/>
        <v/>
      </c>
      <c r="J3962" t="b">
        <f t="shared" si="123"/>
        <v>0</v>
      </c>
    </row>
    <row r="3963" spans="3:10" x14ac:dyDescent="0.25">
      <c r="C3963" s="4"/>
      <c r="E3963" s="4"/>
      <c r="H3963" s="31" t="str">
        <f t="shared" si="122"/>
        <v/>
      </c>
      <c r="J3963" t="b">
        <f t="shared" si="123"/>
        <v>0</v>
      </c>
    </row>
    <row r="3964" spans="3:10" x14ac:dyDescent="0.25">
      <c r="C3964" s="4"/>
      <c r="E3964" s="4"/>
      <c r="H3964" s="31" t="str">
        <f t="shared" si="122"/>
        <v/>
      </c>
      <c r="J3964" t="b">
        <f t="shared" si="123"/>
        <v>0</v>
      </c>
    </row>
    <row r="3965" spans="3:10" x14ac:dyDescent="0.25">
      <c r="C3965" s="4"/>
      <c r="E3965" s="4"/>
      <c r="H3965" s="31" t="str">
        <f t="shared" si="122"/>
        <v/>
      </c>
      <c r="J3965" t="b">
        <f t="shared" si="123"/>
        <v>0</v>
      </c>
    </row>
    <row r="3966" spans="3:10" x14ac:dyDescent="0.25">
      <c r="C3966" s="4"/>
      <c r="E3966" s="4"/>
      <c r="H3966" s="31" t="str">
        <f t="shared" si="122"/>
        <v/>
      </c>
      <c r="J3966" t="b">
        <f t="shared" si="123"/>
        <v>0</v>
      </c>
    </row>
    <row r="3967" spans="3:10" x14ac:dyDescent="0.25">
      <c r="C3967" s="4"/>
      <c r="E3967" s="4"/>
      <c r="H3967" s="31" t="str">
        <f t="shared" si="122"/>
        <v/>
      </c>
      <c r="J3967" t="b">
        <f t="shared" si="123"/>
        <v>0</v>
      </c>
    </row>
    <row r="3968" spans="3:10" x14ac:dyDescent="0.25">
      <c r="C3968" s="4"/>
      <c r="E3968" s="4"/>
      <c r="H3968" s="31" t="str">
        <f t="shared" si="122"/>
        <v/>
      </c>
      <c r="J3968" t="b">
        <f t="shared" si="123"/>
        <v>0</v>
      </c>
    </row>
    <row r="3969" spans="3:10" x14ac:dyDescent="0.25">
      <c r="C3969" s="4"/>
      <c r="E3969" s="4"/>
      <c r="H3969" s="31" t="str">
        <f t="shared" si="122"/>
        <v/>
      </c>
      <c r="J3969" t="b">
        <f t="shared" si="123"/>
        <v>0</v>
      </c>
    </row>
    <row r="3970" spans="3:10" x14ac:dyDescent="0.25">
      <c r="C3970" s="4"/>
      <c r="E3970" s="4"/>
      <c r="H3970" s="31" t="str">
        <f t="shared" si="122"/>
        <v/>
      </c>
      <c r="J3970" t="b">
        <f t="shared" si="123"/>
        <v>0</v>
      </c>
    </row>
    <row r="3971" spans="3:10" x14ac:dyDescent="0.25">
      <c r="C3971" s="4"/>
      <c r="E3971" s="4"/>
      <c r="H3971" s="31" t="str">
        <f t="shared" si="122"/>
        <v/>
      </c>
      <c r="J3971" t="b">
        <f t="shared" si="123"/>
        <v>0</v>
      </c>
    </row>
    <row r="3972" spans="3:10" x14ac:dyDescent="0.25">
      <c r="C3972" s="4"/>
      <c r="E3972" s="4"/>
      <c r="H3972" s="31" t="str">
        <f t="shared" ref="H3972:H4035" si="124">IF($J3972=TRUE,"Il ne peut y avoir des valeurs dans les 2 méthodes",IF($D3972="kg/l",$C3972,IF($D3972="g/l",$C3972/1000,IF($D3972="lb/gal US",$C3972*0.454/3.785,IF($G3972="kg/l",($E3972/100)*$F3972,IF($G3972="g/l",($E3972/100)*$F3972/1000,IF($G3972="lb/gal US",($E3972/100)*$F3972*0.454/3.785,"")))))))</f>
        <v/>
      </c>
      <c r="J3972" t="b">
        <f t="shared" ref="J3972:J4035" si="125">IF(AND(OR($C3972&lt;&gt;"",$D3972&lt;&gt;""),OR($E3972&lt;&gt;"",F3972&lt;&gt;"",G3972&lt;&gt;"")),TRUE,FALSE)</f>
        <v>0</v>
      </c>
    </row>
    <row r="3973" spans="3:10" x14ac:dyDescent="0.25">
      <c r="C3973" s="4"/>
      <c r="E3973" s="4"/>
      <c r="H3973" s="31" t="str">
        <f t="shared" si="124"/>
        <v/>
      </c>
      <c r="J3973" t="b">
        <f t="shared" si="125"/>
        <v>0</v>
      </c>
    </row>
    <row r="3974" spans="3:10" x14ac:dyDescent="0.25">
      <c r="C3974" s="4"/>
      <c r="E3974" s="4"/>
      <c r="H3974" s="31" t="str">
        <f t="shared" si="124"/>
        <v/>
      </c>
      <c r="J3974" t="b">
        <f t="shared" si="125"/>
        <v>0</v>
      </c>
    </row>
    <row r="3975" spans="3:10" x14ac:dyDescent="0.25">
      <c r="C3975" s="4"/>
      <c r="E3975" s="4"/>
      <c r="H3975" s="31" t="str">
        <f t="shared" si="124"/>
        <v/>
      </c>
      <c r="J3975" t="b">
        <f t="shared" si="125"/>
        <v>0</v>
      </c>
    </row>
    <row r="3976" spans="3:10" x14ac:dyDescent="0.25">
      <c r="C3976" s="4"/>
      <c r="E3976" s="4"/>
      <c r="H3976" s="31" t="str">
        <f t="shared" si="124"/>
        <v/>
      </c>
      <c r="J3976" t="b">
        <f t="shared" si="125"/>
        <v>0</v>
      </c>
    </row>
    <row r="3977" spans="3:10" x14ac:dyDescent="0.25">
      <c r="C3977" s="4"/>
      <c r="E3977" s="4"/>
      <c r="H3977" s="31" t="str">
        <f t="shared" si="124"/>
        <v/>
      </c>
      <c r="J3977" t="b">
        <f t="shared" si="125"/>
        <v>0</v>
      </c>
    </row>
    <row r="3978" spans="3:10" x14ac:dyDescent="0.25">
      <c r="C3978" s="4"/>
      <c r="E3978" s="4"/>
      <c r="H3978" s="31" t="str">
        <f t="shared" si="124"/>
        <v/>
      </c>
      <c r="J3978" t="b">
        <f t="shared" si="125"/>
        <v>0</v>
      </c>
    </row>
    <row r="3979" spans="3:10" x14ac:dyDescent="0.25">
      <c r="C3979" s="4"/>
      <c r="E3979" s="4"/>
      <c r="H3979" s="31" t="str">
        <f t="shared" si="124"/>
        <v/>
      </c>
      <c r="J3979" t="b">
        <f t="shared" si="125"/>
        <v>0</v>
      </c>
    </row>
    <row r="3980" spans="3:10" x14ac:dyDescent="0.25">
      <c r="C3980" s="4"/>
      <c r="E3980" s="4"/>
      <c r="H3980" s="31" t="str">
        <f t="shared" si="124"/>
        <v/>
      </c>
      <c r="J3980" t="b">
        <f t="shared" si="125"/>
        <v>0</v>
      </c>
    </row>
    <row r="3981" spans="3:10" x14ac:dyDescent="0.25">
      <c r="C3981" s="4"/>
      <c r="E3981" s="4"/>
      <c r="H3981" s="31" t="str">
        <f t="shared" si="124"/>
        <v/>
      </c>
      <c r="J3981" t="b">
        <f t="shared" si="125"/>
        <v>0</v>
      </c>
    </row>
    <row r="3982" spans="3:10" x14ac:dyDescent="0.25">
      <c r="C3982" s="4"/>
      <c r="E3982" s="4"/>
      <c r="H3982" s="31" t="str">
        <f t="shared" si="124"/>
        <v/>
      </c>
      <c r="J3982" t="b">
        <f t="shared" si="125"/>
        <v>0</v>
      </c>
    </row>
    <row r="3983" spans="3:10" x14ac:dyDescent="0.25">
      <c r="C3983" s="4"/>
      <c r="E3983" s="4"/>
      <c r="H3983" s="31" t="str">
        <f t="shared" si="124"/>
        <v/>
      </c>
      <c r="J3983" t="b">
        <f t="shared" si="125"/>
        <v>0</v>
      </c>
    </row>
    <row r="3984" spans="3:10" x14ac:dyDescent="0.25">
      <c r="C3984" s="4"/>
      <c r="E3984" s="4"/>
      <c r="H3984" s="31" t="str">
        <f t="shared" si="124"/>
        <v/>
      </c>
      <c r="J3984" t="b">
        <f t="shared" si="125"/>
        <v>0</v>
      </c>
    </row>
    <row r="3985" spans="3:10" x14ac:dyDescent="0.25">
      <c r="C3985" s="4"/>
      <c r="E3985" s="4"/>
      <c r="H3985" s="31" t="str">
        <f t="shared" si="124"/>
        <v/>
      </c>
      <c r="J3985" t="b">
        <f t="shared" si="125"/>
        <v>0</v>
      </c>
    </row>
    <row r="3986" spans="3:10" x14ac:dyDescent="0.25">
      <c r="C3986" s="4"/>
      <c r="E3986" s="4"/>
      <c r="H3986" s="31" t="str">
        <f t="shared" si="124"/>
        <v/>
      </c>
      <c r="J3986" t="b">
        <f t="shared" si="125"/>
        <v>0</v>
      </c>
    </row>
    <row r="3987" spans="3:10" x14ac:dyDescent="0.25">
      <c r="C3987" s="4"/>
      <c r="E3987" s="4"/>
      <c r="H3987" s="31" t="str">
        <f t="shared" si="124"/>
        <v/>
      </c>
      <c r="J3987" t="b">
        <f t="shared" si="125"/>
        <v>0</v>
      </c>
    </row>
    <row r="3988" spans="3:10" x14ac:dyDescent="0.25">
      <c r="C3988" s="4"/>
      <c r="E3988" s="4"/>
      <c r="H3988" s="31" t="str">
        <f t="shared" si="124"/>
        <v/>
      </c>
      <c r="J3988" t="b">
        <f t="shared" si="125"/>
        <v>0</v>
      </c>
    </row>
    <row r="3989" spans="3:10" x14ac:dyDescent="0.25">
      <c r="C3989" s="4"/>
      <c r="E3989" s="4"/>
      <c r="H3989" s="31" t="str">
        <f t="shared" si="124"/>
        <v/>
      </c>
      <c r="J3989" t="b">
        <f t="shared" si="125"/>
        <v>0</v>
      </c>
    </row>
    <row r="3990" spans="3:10" x14ac:dyDescent="0.25">
      <c r="C3990" s="4"/>
      <c r="E3990" s="4"/>
      <c r="H3990" s="31" t="str">
        <f t="shared" si="124"/>
        <v/>
      </c>
      <c r="J3990" t="b">
        <f t="shared" si="125"/>
        <v>0</v>
      </c>
    </row>
    <row r="3991" spans="3:10" x14ac:dyDescent="0.25">
      <c r="C3991" s="4"/>
      <c r="E3991" s="4"/>
      <c r="H3991" s="31" t="str">
        <f t="shared" si="124"/>
        <v/>
      </c>
      <c r="J3991" t="b">
        <f t="shared" si="125"/>
        <v>0</v>
      </c>
    </row>
    <row r="3992" spans="3:10" x14ac:dyDescent="0.25">
      <c r="C3992" s="4"/>
      <c r="E3992" s="4"/>
      <c r="H3992" s="31" t="str">
        <f t="shared" si="124"/>
        <v/>
      </c>
      <c r="J3992" t="b">
        <f t="shared" si="125"/>
        <v>0</v>
      </c>
    </row>
    <row r="3993" spans="3:10" x14ac:dyDescent="0.25">
      <c r="C3993" s="4"/>
      <c r="E3993" s="4"/>
      <c r="H3993" s="31" t="str">
        <f t="shared" si="124"/>
        <v/>
      </c>
      <c r="J3993" t="b">
        <f t="shared" si="125"/>
        <v>0</v>
      </c>
    </row>
    <row r="3994" spans="3:10" x14ac:dyDescent="0.25">
      <c r="C3994" s="4"/>
      <c r="E3994" s="4"/>
      <c r="H3994" s="31" t="str">
        <f t="shared" si="124"/>
        <v/>
      </c>
      <c r="J3994" t="b">
        <f t="shared" si="125"/>
        <v>0</v>
      </c>
    </row>
    <row r="3995" spans="3:10" x14ac:dyDescent="0.25">
      <c r="C3995" s="4"/>
      <c r="E3995" s="4"/>
      <c r="H3995" s="31" t="str">
        <f t="shared" si="124"/>
        <v/>
      </c>
      <c r="J3995" t="b">
        <f t="shared" si="125"/>
        <v>0</v>
      </c>
    </row>
    <row r="3996" spans="3:10" x14ac:dyDescent="0.25">
      <c r="C3996" s="4"/>
      <c r="E3996" s="4"/>
      <c r="H3996" s="31" t="str">
        <f t="shared" si="124"/>
        <v/>
      </c>
      <c r="J3996" t="b">
        <f t="shared" si="125"/>
        <v>0</v>
      </c>
    </row>
    <row r="3997" spans="3:10" x14ac:dyDescent="0.25">
      <c r="C3997" s="4"/>
      <c r="E3997" s="4"/>
      <c r="H3997" s="31" t="str">
        <f t="shared" si="124"/>
        <v/>
      </c>
      <c r="J3997" t="b">
        <f t="shared" si="125"/>
        <v>0</v>
      </c>
    </row>
    <row r="3998" spans="3:10" x14ac:dyDescent="0.25">
      <c r="C3998" s="4"/>
      <c r="E3998" s="4"/>
      <c r="H3998" s="31" t="str">
        <f t="shared" si="124"/>
        <v/>
      </c>
      <c r="J3998" t="b">
        <f t="shared" si="125"/>
        <v>0</v>
      </c>
    </row>
    <row r="3999" spans="3:10" x14ac:dyDescent="0.25">
      <c r="C3999" s="4"/>
      <c r="E3999" s="4"/>
      <c r="H3999" s="31" t="str">
        <f t="shared" si="124"/>
        <v/>
      </c>
      <c r="J3999" t="b">
        <f t="shared" si="125"/>
        <v>0</v>
      </c>
    </row>
    <row r="4000" spans="3:10" x14ac:dyDescent="0.25">
      <c r="C4000" s="4"/>
      <c r="E4000" s="4"/>
      <c r="H4000" s="31" t="str">
        <f t="shared" si="124"/>
        <v/>
      </c>
      <c r="J4000" t="b">
        <f t="shared" si="125"/>
        <v>0</v>
      </c>
    </row>
    <row r="4001" spans="3:10" x14ac:dyDescent="0.25">
      <c r="C4001" s="4"/>
      <c r="E4001" s="4"/>
      <c r="H4001" s="31" t="str">
        <f t="shared" si="124"/>
        <v/>
      </c>
      <c r="J4001" t="b">
        <f t="shared" si="125"/>
        <v>0</v>
      </c>
    </row>
    <row r="4002" spans="3:10" x14ac:dyDescent="0.25">
      <c r="C4002" s="4"/>
      <c r="E4002" s="4"/>
      <c r="H4002" s="31" t="str">
        <f t="shared" si="124"/>
        <v/>
      </c>
      <c r="J4002" t="b">
        <f t="shared" si="125"/>
        <v>0</v>
      </c>
    </row>
    <row r="4003" spans="3:10" x14ac:dyDescent="0.25">
      <c r="C4003" s="4"/>
      <c r="E4003" s="4"/>
      <c r="H4003" s="31" t="str">
        <f t="shared" si="124"/>
        <v/>
      </c>
      <c r="J4003" t="b">
        <f t="shared" si="125"/>
        <v>0</v>
      </c>
    </row>
    <row r="4004" spans="3:10" x14ac:dyDescent="0.25">
      <c r="C4004" s="4"/>
      <c r="E4004" s="4"/>
      <c r="H4004" s="31" t="str">
        <f t="shared" si="124"/>
        <v/>
      </c>
      <c r="J4004" t="b">
        <f t="shared" si="125"/>
        <v>0</v>
      </c>
    </row>
    <row r="4005" spans="3:10" x14ac:dyDescent="0.25">
      <c r="C4005" s="4"/>
      <c r="E4005" s="4"/>
      <c r="H4005" s="31" t="str">
        <f t="shared" si="124"/>
        <v/>
      </c>
      <c r="J4005" t="b">
        <f t="shared" si="125"/>
        <v>0</v>
      </c>
    </row>
    <row r="4006" spans="3:10" x14ac:dyDescent="0.25">
      <c r="C4006" s="4"/>
      <c r="E4006" s="4"/>
      <c r="H4006" s="31" t="str">
        <f t="shared" si="124"/>
        <v/>
      </c>
      <c r="J4006" t="b">
        <f t="shared" si="125"/>
        <v>0</v>
      </c>
    </row>
    <row r="4007" spans="3:10" x14ac:dyDescent="0.25">
      <c r="C4007" s="4"/>
      <c r="E4007" s="4"/>
      <c r="H4007" s="31" t="str">
        <f t="shared" si="124"/>
        <v/>
      </c>
      <c r="J4007" t="b">
        <f t="shared" si="125"/>
        <v>0</v>
      </c>
    </row>
    <row r="4008" spans="3:10" x14ac:dyDescent="0.25">
      <c r="C4008" s="4"/>
      <c r="E4008" s="4"/>
      <c r="H4008" s="31" t="str">
        <f t="shared" si="124"/>
        <v/>
      </c>
      <c r="J4008" t="b">
        <f t="shared" si="125"/>
        <v>0</v>
      </c>
    </row>
    <row r="4009" spans="3:10" x14ac:dyDescent="0.25">
      <c r="C4009" s="4"/>
      <c r="E4009" s="4"/>
      <c r="H4009" s="31" t="str">
        <f t="shared" si="124"/>
        <v/>
      </c>
      <c r="J4009" t="b">
        <f t="shared" si="125"/>
        <v>0</v>
      </c>
    </row>
    <row r="4010" spans="3:10" x14ac:dyDescent="0.25">
      <c r="C4010" s="4"/>
      <c r="E4010" s="4"/>
      <c r="H4010" s="31" t="str">
        <f t="shared" si="124"/>
        <v/>
      </c>
      <c r="J4010" t="b">
        <f t="shared" si="125"/>
        <v>0</v>
      </c>
    </row>
    <row r="4011" spans="3:10" x14ac:dyDescent="0.25">
      <c r="C4011" s="4"/>
      <c r="E4011" s="4"/>
      <c r="H4011" s="31" t="str">
        <f t="shared" si="124"/>
        <v/>
      </c>
      <c r="J4011" t="b">
        <f t="shared" si="125"/>
        <v>0</v>
      </c>
    </row>
    <row r="4012" spans="3:10" x14ac:dyDescent="0.25">
      <c r="C4012" s="4"/>
      <c r="E4012" s="4"/>
      <c r="H4012" s="31" t="str">
        <f t="shared" si="124"/>
        <v/>
      </c>
      <c r="J4012" t="b">
        <f t="shared" si="125"/>
        <v>0</v>
      </c>
    </row>
    <row r="4013" spans="3:10" x14ac:dyDescent="0.25">
      <c r="C4013" s="4"/>
      <c r="E4013" s="4"/>
      <c r="H4013" s="31" t="str">
        <f t="shared" si="124"/>
        <v/>
      </c>
      <c r="J4013" t="b">
        <f t="shared" si="125"/>
        <v>0</v>
      </c>
    </row>
    <row r="4014" spans="3:10" x14ac:dyDescent="0.25">
      <c r="C4014" s="4"/>
      <c r="E4014" s="4"/>
      <c r="H4014" s="31" t="str">
        <f t="shared" si="124"/>
        <v/>
      </c>
      <c r="J4014" t="b">
        <f t="shared" si="125"/>
        <v>0</v>
      </c>
    </row>
    <row r="4015" spans="3:10" x14ac:dyDescent="0.25">
      <c r="C4015" s="4"/>
      <c r="E4015" s="4"/>
      <c r="H4015" s="31" t="str">
        <f t="shared" si="124"/>
        <v/>
      </c>
      <c r="J4015" t="b">
        <f t="shared" si="125"/>
        <v>0</v>
      </c>
    </row>
    <row r="4016" spans="3:10" x14ac:dyDescent="0.25">
      <c r="C4016" s="4"/>
      <c r="E4016" s="4"/>
      <c r="H4016" s="31" t="str">
        <f t="shared" si="124"/>
        <v/>
      </c>
      <c r="J4016" t="b">
        <f t="shared" si="125"/>
        <v>0</v>
      </c>
    </row>
    <row r="4017" spans="3:10" x14ac:dyDescent="0.25">
      <c r="C4017" s="4"/>
      <c r="E4017" s="4"/>
      <c r="H4017" s="31" t="str">
        <f t="shared" si="124"/>
        <v/>
      </c>
      <c r="J4017" t="b">
        <f t="shared" si="125"/>
        <v>0</v>
      </c>
    </row>
    <row r="4018" spans="3:10" x14ac:dyDescent="0.25">
      <c r="C4018" s="4"/>
      <c r="E4018" s="4"/>
      <c r="H4018" s="31" t="str">
        <f t="shared" si="124"/>
        <v/>
      </c>
      <c r="J4018" t="b">
        <f t="shared" si="125"/>
        <v>0</v>
      </c>
    </row>
    <row r="4019" spans="3:10" x14ac:dyDescent="0.25">
      <c r="C4019" s="4"/>
      <c r="E4019" s="4"/>
      <c r="H4019" s="31" t="str">
        <f t="shared" si="124"/>
        <v/>
      </c>
      <c r="J4019" t="b">
        <f t="shared" si="125"/>
        <v>0</v>
      </c>
    </row>
    <row r="4020" spans="3:10" x14ac:dyDescent="0.25">
      <c r="C4020" s="4"/>
      <c r="E4020" s="4"/>
      <c r="H4020" s="31" t="str">
        <f t="shared" si="124"/>
        <v/>
      </c>
      <c r="J4020" t="b">
        <f t="shared" si="125"/>
        <v>0</v>
      </c>
    </row>
    <row r="4021" spans="3:10" x14ac:dyDescent="0.25">
      <c r="C4021" s="4"/>
      <c r="E4021" s="4"/>
      <c r="H4021" s="31" t="str">
        <f t="shared" si="124"/>
        <v/>
      </c>
      <c r="J4021" t="b">
        <f t="shared" si="125"/>
        <v>0</v>
      </c>
    </row>
    <row r="4022" spans="3:10" x14ac:dyDescent="0.25">
      <c r="C4022" s="4"/>
      <c r="E4022" s="4"/>
      <c r="H4022" s="31" t="str">
        <f t="shared" si="124"/>
        <v/>
      </c>
      <c r="J4022" t="b">
        <f t="shared" si="125"/>
        <v>0</v>
      </c>
    </row>
    <row r="4023" spans="3:10" x14ac:dyDescent="0.25">
      <c r="C4023" s="4"/>
      <c r="E4023" s="4"/>
      <c r="H4023" s="31" t="str">
        <f t="shared" si="124"/>
        <v/>
      </c>
      <c r="J4023" t="b">
        <f t="shared" si="125"/>
        <v>0</v>
      </c>
    </row>
    <row r="4024" spans="3:10" x14ac:dyDescent="0.25">
      <c r="C4024" s="4"/>
      <c r="E4024" s="4"/>
      <c r="H4024" s="31" t="str">
        <f t="shared" si="124"/>
        <v/>
      </c>
      <c r="J4024" t="b">
        <f t="shared" si="125"/>
        <v>0</v>
      </c>
    </row>
    <row r="4025" spans="3:10" x14ac:dyDescent="0.25">
      <c r="C4025" s="4"/>
      <c r="E4025" s="4"/>
      <c r="H4025" s="31" t="str">
        <f t="shared" si="124"/>
        <v/>
      </c>
      <c r="J4025" t="b">
        <f t="shared" si="125"/>
        <v>0</v>
      </c>
    </row>
    <row r="4026" spans="3:10" x14ac:dyDescent="0.25">
      <c r="C4026" s="4"/>
      <c r="E4026" s="4"/>
      <c r="H4026" s="31" t="str">
        <f t="shared" si="124"/>
        <v/>
      </c>
      <c r="J4026" t="b">
        <f t="shared" si="125"/>
        <v>0</v>
      </c>
    </row>
    <row r="4027" spans="3:10" x14ac:dyDescent="0.25">
      <c r="C4027" s="4"/>
      <c r="E4027" s="4"/>
      <c r="H4027" s="31" t="str">
        <f t="shared" si="124"/>
        <v/>
      </c>
      <c r="J4027" t="b">
        <f t="shared" si="125"/>
        <v>0</v>
      </c>
    </row>
    <row r="4028" spans="3:10" x14ac:dyDescent="0.25">
      <c r="C4028" s="4"/>
      <c r="E4028" s="4"/>
      <c r="H4028" s="31" t="str">
        <f t="shared" si="124"/>
        <v/>
      </c>
      <c r="J4028" t="b">
        <f t="shared" si="125"/>
        <v>0</v>
      </c>
    </row>
    <row r="4029" spans="3:10" x14ac:dyDescent="0.25">
      <c r="C4029" s="4"/>
      <c r="E4029" s="4"/>
      <c r="H4029" s="31" t="str">
        <f t="shared" si="124"/>
        <v/>
      </c>
      <c r="J4029" t="b">
        <f t="shared" si="125"/>
        <v>0</v>
      </c>
    </row>
    <row r="4030" spans="3:10" x14ac:dyDescent="0.25">
      <c r="C4030" s="4"/>
      <c r="E4030" s="4"/>
      <c r="H4030" s="31" t="str">
        <f t="shared" si="124"/>
        <v/>
      </c>
      <c r="J4030" t="b">
        <f t="shared" si="125"/>
        <v>0</v>
      </c>
    </row>
    <row r="4031" spans="3:10" x14ac:dyDescent="0.25">
      <c r="C4031" s="4"/>
      <c r="E4031" s="4"/>
      <c r="H4031" s="31" t="str">
        <f t="shared" si="124"/>
        <v/>
      </c>
      <c r="J4031" t="b">
        <f t="shared" si="125"/>
        <v>0</v>
      </c>
    </row>
    <row r="4032" spans="3:10" x14ac:dyDescent="0.25">
      <c r="C4032" s="4"/>
      <c r="E4032" s="4"/>
      <c r="H4032" s="31" t="str">
        <f t="shared" si="124"/>
        <v/>
      </c>
      <c r="J4032" t="b">
        <f t="shared" si="125"/>
        <v>0</v>
      </c>
    </row>
    <row r="4033" spans="3:10" x14ac:dyDescent="0.25">
      <c r="C4033" s="4"/>
      <c r="E4033" s="4"/>
      <c r="H4033" s="31" t="str">
        <f t="shared" si="124"/>
        <v/>
      </c>
      <c r="J4033" t="b">
        <f t="shared" si="125"/>
        <v>0</v>
      </c>
    </row>
    <row r="4034" spans="3:10" x14ac:dyDescent="0.25">
      <c r="C4034" s="4"/>
      <c r="E4034" s="4"/>
      <c r="H4034" s="31" t="str">
        <f t="shared" si="124"/>
        <v/>
      </c>
      <c r="J4034" t="b">
        <f t="shared" si="125"/>
        <v>0</v>
      </c>
    </row>
    <row r="4035" spans="3:10" x14ac:dyDescent="0.25">
      <c r="C4035" s="4"/>
      <c r="E4035" s="4"/>
      <c r="H4035" s="31" t="str">
        <f t="shared" si="124"/>
        <v/>
      </c>
      <c r="J4035" t="b">
        <f t="shared" si="125"/>
        <v>0</v>
      </c>
    </row>
    <row r="4036" spans="3:10" x14ac:dyDescent="0.25">
      <c r="C4036" s="4"/>
      <c r="E4036" s="4"/>
      <c r="H4036" s="31" t="str">
        <f t="shared" ref="H4036:H4099" si="126">IF($J4036=TRUE,"Il ne peut y avoir des valeurs dans les 2 méthodes",IF($D4036="kg/l",$C4036,IF($D4036="g/l",$C4036/1000,IF($D4036="lb/gal US",$C4036*0.454/3.785,IF($G4036="kg/l",($E4036/100)*$F4036,IF($G4036="g/l",($E4036/100)*$F4036/1000,IF($G4036="lb/gal US",($E4036/100)*$F4036*0.454/3.785,"")))))))</f>
        <v/>
      </c>
      <c r="J4036" t="b">
        <f t="shared" ref="J4036:J4099" si="127">IF(AND(OR($C4036&lt;&gt;"",$D4036&lt;&gt;""),OR($E4036&lt;&gt;"",F4036&lt;&gt;"",G4036&lt;&gt;"")),TRUE,FALSE)</f>
        <v>0</v>
      </c>
    </row>
    <row r="4037" spans="3:10" x14ac:dyDescent="0.25">
      <c r="C4037" s="4"/>
      <c r="E4037" s="4"/>
      <c r="H4037" s="31" t="str">
        <f t="shared" si="126"/>
        <v/>
      </c>
      <c r="J4037" t="b">
        <f t="shared" si="127"/>
        <v>0</v>
      </c>
    </row>
    <row r="4038" spans="3:10" x14ac:dyDescent="0.25">
      <c r="C4038" s="4"/>
      <c r="E4038" s="4"/>
      <c r="H4038" s="31" t="str">
        <f t="shared" si="126"/>
        <v/>
      </c>
      <c r="J4038" t="b">
        <f t="shared" si="127"/>
        <v>0</v>
      </c>
    </row>
    <row r="4039" spans="3:10" x14ac:dyDescent="0.25">
      <c r="C4039" s="4"/>
      <c r="E4039" s="4"/>
      <c r="H4039" s="31" t="str">
        <f t="shared" si="126"/>
        <v/>
      </c>
      <c r="J4039" t="b">
        <f t="shared" si="127"/>
        <v>0</v>
      </c>
    </row>
    <row r="4040" spans="3:10" x14ac:dyDescent="0.25">
      <c r="C4040" s="4"/>
      <c r="E4040" s="4"/>
      <c r="H4040" s="31" t="str">
        <f t="shared" si="126"/>
        <v/>
      </c>
      <c r="J4040" t="b">
        <f t="shared" si="127"/>
        <v>0</v>
      </c>
    </row>
    <row r="4041" spans="3:10" x14ac:dyDescent="0.25">
      <c r="C4041" s="4"/>
      <c r="E4041" s="4"/>
      <c r="H4041" s="31" t="str">
        <f t="shared" si="126"/>
        <v/>
      </c>
      <c r="J4041" t="b">
        <f t="shared" si="127"/>
        <v>0</v>
      </c>
    </row>
    <row r="4042" spans="3:10" x14ac:dyDescent="0.25">
      <c r="C4042" s="4"/>
      <c r="E4042" s="4"/>
      <c r="H4042" s="31" t="str">
        <f t="shared" si="126"/>
        <v/>
      </c>
      <c r="J4042" t="b">
        <f t="shared" si="127"/>
        <v>0</v>
      </c>
    </row>
    <row r="4043" spans="3:10" x14ac:dyDescent="0.25">
      <c r="C4043" s="4"/>
      <c r="E4043" s="4"/>
      <c r="H4043" s="31" t="str">
        <f t="shared" si="126"/>
        <v/>
      </c>
      <c r="J4043" t="b">
        <f t="shared" si="127"/>
        <v>0</v>
      </c>
    </row>
    <row r="4044" spans="3:10" x14ac:dyDescent="0.25">
      <c r="C4044" s="4"/>
      <c r="E4044" s="4"/>
      <c r="H4044" s="31" t="str">
        <f t="shared" si="126"/>
        <v/>
      </c>
      <c r="J4044" t="b">
        <f t="shared" si="127"/>
        <v>0</v>
      </c>
    </row>
    <row r="4045" spans="3:10" x14ac:dyDescent="0.25">
      <c r="C4045" s="4"/>
      <c r="E4045" s="4"/>
      <c r="H4045" s="31" t="str">
        <f t="shared" si="126"/>
        <v/>
      </c>
      <c r="J4045" t="b">
        <f t="shared" si="127"/>
        <v>0</v>
      </c>
    </row>
    <row r="4046" spans="3:10" x14ac:dyDescent="0.25">
      <c r="C4046" s="4"/>
      <c r="E4046" s="4"/>
      <c r="H4046" s="31" t="str">
        <f t="shared" si="126"/>
        <v/>
      </c>
      <c r="J4046" t="b">
        <f t="shared" si="127"/>
        <v>0</v>
      </c>
    </row>
    <row r="4047" spans="3:10" x14ac:dyDescent="0.25">
      <c r="C4047" s="4"/>
      <c r="E4047" s="4"/>
      <c r="H4047" s="31" t="str">
        <f t="shared" si="126"/>
        <v/>
      </c>
      <c r="J4047" t="b">
        <f t="shared" si="127"/>
        <v>0</v>
      </c>
    </row>
    <row r="4048" spans="3:10" x14ac:dyDescent="0.25">
      <c r="C4048" s="4"/>
      <c r="E4048" s="4"/>
      <c r="H4048" s="31" t="str">
        <f t="shared" si="126"/>
        <v/>
      </c>
      <c r="J4048" t="b">
        <f t="shared" si="127"/>
        <v>0</v>
      </c>
    </row>
    <row r="4049" spans="3:10" x14ac:dyDescent="0.25">
      <c r="C4049" s="4"/>
      <c r="E4049" s="4"/>
      <c r="H4049" s="31" t="str">
        <f t="shared" si="126"/>
        <v/>
      </c>
      <c r="J4049" t="b">
        <f t="shared" si="127"/>
        <v>0</v>
      </c>
    </row>
    <row r="4050" spans="3:10" x14ac:dyDescent="0.25">
      <c r="C4050" s="4"/>
      <c r="E4050" s="4"/>
      <c r="H4050" s="31" t="str">
        <f t="shared" si="126"/>
        <v/>
      </c>
      <c r="J4050" t="b">
        <f t="shared" si="127"/>
        <v>0</v>
      </c>
    </row>
    <row r="4051" spans="3:10" x14ac:dyDescent="0.25">
      <c r="C4051" s="4"/>
      <c r="E4051" s="4"/>
      <c r="H4051" s="31" t="str">
        <f t="shared" si="126"/>
        <v/>
      </c>
      <c r="J4051" t="b">
        <f t="shared" si="127"/>
        <v>0</v>
      </c>
    </row>
    <row r="4052" spans="3:10" x14ac:dyDescent="0.25">
      <c r="C4052" s="4"/>
      <c r="E4052" s="4"/>
      <c r="H4052" s="31" t="str">
        <f t="shared" si="126"/>
        <v/>
      </c>
      <c r="J4052" t="b">
        <f t="shared" si="127"/>
        <v>0</v>
      </c>
    </row>
    <row r="4053" spans="3:10" x14ac:dyDescent="0.25">
      <c r="C4053" s="4"/>
      <c r="E4053" s="4"/>
      <c r="H4053" s="31" t="str">
        <f t="shared" si="126"/>
        <v/>
      </c>
      <c r="J4053" t="b">
        <f t="shared" si="127"/>
        <v>0</v>
      </c>
    </row>
    <row r="4054" spans="3:10" x14ac:dyDescent="0.25">
      <c r="C4054" s="4"/>
      <c r="E4054" s="4"/>
      <c r="H4054" s="31" t="str">
        <f t="shared" si="126"/>
        <v/>
      </c>
      <c r="J4054" t="b">
        <f t="shared" si="127"/>
        <v>0</v>
      </c>
    </row>
    <row r="4055" spans="3:10" x14ac:dyDescent="0.25">
      <c r="C4055" s="4"/>
      <c r="E4055" s="4"/>
      <c r="H4055" s="31" t="str">
        <f t="shared" si="126"/>
        <v/>
      </c>
      <c r="J4055" t="b">
        <f t="shared" si="127"/>
        <v>0</v>
      </c>
    </row>
    <row r="4056" spans="3:10" x14ac:dyDescent="0.25">
      <c r="C4056" s="4"/>
      <c r="E4056" s="4"/>
      <c r="H4056" s="31" t="str">
        <f t="shared" si="126"/>
        <v/>
      </c>
      <c r="J4056" t="b">
        <f t="shared" si="127"/>
        <v>0</v>
      </c>
    </row>
    <row r="4057" spans="3:10" x14ac:dyDescent="0.25">
      <c r="C4057" s="4"/>
      <c r="E4057" s="4"/>
      <c r="H4057" s="31" t="str">
        <f t="shared" si="126"/>
        <v/>
      </c>
      <c r="J4057" t="b">
        <f t="shared" si="127"/>
        <v>0</v>
      </c>
    </row>
    <row r="4058" spans="3:10" x14ac:dyDescent="0.25">
      <c r="C4058" s="4"/>
      <c r="E4058" s="4"/>
      <c r="H4058" s="31" t="str">
        <f t="shared" si="126"/>
        <v/>
      </c>
      <c r="J4058" t="b">
        <f t="shared" si="127"/>
        <v>0</v>
      </c>
    </row>
    <row r="4059" spans="3:10" x14ac:dyDescent="0.25">
      <c r="C4059" s="4"/>
      <c r="E4059" s="4"/>
      <c r="H4059" s="31" t="str">
        <f t="shared" si="126"/>
        <v/>
      </c>
      <c r="J4059" t="b">
        <f t="shared" si="127"/>
        <v>0</v>
      </c>
    </row>
    <row r="4060" spans="3:10" x14ac:dyDescent="0.25">
      <c r="C4060" s="4"/>
      <c r="E4060" s="4"/>
      <c r="H4060" s="31" t="str">
        <f t="shared" si="126"/>
        <v/>
      </c>
      <c r="J4060" t="b">
        <f t="shared" si="127"/>
        <v>0</v>
      </c>
    </row>
    <row r="4061" spans="3:10" x14ac:dyDescent="0.25">
      <c r="C4061" s="4"/>
      <c r="E4061" s="4"/>
      <c r="H4061" s="31" t="str">
        <f t="shared" si="126"/>
        <v/>
      </c>
      <c r="J4061" t="b">
        <f t="shared" si="127"/>
        <v>0</v>
      </c>
    </row>
    <row r="4062" spans="3:10" x14ac:dyDescent="0.25">
      <c r="C4062" s="4"/>
      <c r="E4062" s="4"/>
      <c r="H4062" s="31" t="str">
        <f t="shared" si="126"/>
        <v/>
      </c>
      <c r="J4062" t="b">
        <f t="shared" si="127"/>
        <v>0</v>
      </c>
    </row>
    <row r="4063" spans="3:10" x14ac:dyDescent="0.25">
      <c r="C4063" s="4"/>
      <c r="E4063" s="4"/>
      <c r="H4063" s="31" t="str">
        <f t="shared" si="126"/>
        <v/>
      </c>
      <c r="J4063" t="b">
        <f t="shared" si="127"/>
        <v>0</v>
      </c>
    </row>
    <row r="4064" spans="3:10" x14ac:dyDescent="0.25">
      <c r="C4064" s="4"/>
      <c r="E4064" s="4"/>
      <c r="H4064" s="31" t="str">
        <f t="shared" si="126"/>
        <v/>
      </c>
      <c r="J4064" t="b">
        <f t="shared" si="127"/>
        <v>0</v>
      </c>
    </row>
    <row r="4065" spans="3:10" x14ac:dyDescent="0.25">
      <c r="C4065" s="4"/>
      <c r="E4065" s="4"/>
      <c r="H4065" s="31" t="str">
        <f t="shared" si="126"/>
        <v/>
      </c>
      <c r="J4065" t="b">
        <f t="shared" si="127"/>
        <v>0</v>
      </c>
    </row>
    <row r="4066" spans="3:10" x14ac:dyDescent="0.25">
      <c r="C4066" s="4"/>
      <c r="E4066" s="4"/>
      <c r="H4066" s="31" t="str">
        <f t="shared" si="126"/>
        <v/>
      </c>
      <c r="J4066" t="b">
        <f t="shared" si="127"/>
        <v>0</v>
      </c>
    </row>
    <row r="4067" spans="3:10" x14ac:dyDescent="0.25">
      <c r="C4067" s="4"/>
      <c r="E4067" s="4"/>
      <c r="H4067" s="31" t="str">
        <f t="shared" si="126"/>
        <v/>
      </c>
      <c r="J4067" t="b">
        <f t="shared" si="127"/>
        <v>0</v>
      </c>
    </row>
    <row r="4068" spans="3:10" x14ac:dyDescent="0.25">
      <c r="C4068" s="4"/>
      <c r="E4068" s="4"/>
      <c r="H4068" s="31" t="str">
        <f t="shared" si="126"/>
        <v/>
      </c>
      <c r="J4068" t="b">
        <f t="shared" si="127"/>
        <v>0</v>
      </c>
    </row>
    <row r="4069" spans="3:10" x14ac:dyDescent="0.25">
      <c r="C4069" s="4"/>
      <c r="E4069" s="4"/>
      <c r="H4069" s="31" t="str">
        <f t="shared" si="126"/>
        <v/>
      </c>
      <c r="J4069" t="b">
        <f t="shared" si="127"/>
        <v>0</v>
      </c>
    </row>
    <row r="4070" spans="3:10" x14ac:dyDescent="0.25">
      <c r="C4070" s="4"/>
      <c r="E4070" s="4"/>
      <c r="H4070" s="31" t="str">
        <f t="shared" si="126"/>
        <v/>
      </c>
      <c r="J4070" t="b">
        <f t="shared" si="127"/>
        <v>0</v>
      </c>
    </row>
    <row r="4071" spans="3:10" x14ac:dyDescent="0.25">
      <c r="C4071" s="4"/>
      <c r="E4071" s="4"/>
      <c r="H4071" s="31" t="str">
        <f t="shared" si="126"/>
        <v/>
      </c>
      <c r="J4071" t="b">
        <f t="shared" si="127"/>
        <v>0</v>
      </c>
    </row>
    <row r="4072" spans="3:10" x14ac:dyDescent="0.25">
      <c r="C4072" s="4"/>
      <c r="E4072" s="4"/>
      <c r="H4072" s="31" t="str">
        <f t="shared" si="126"/>
        <v/>
      </c>
      <c r="J4072" t="b">
        <f t="shared" si="127"/>
        <v>0</v>
      </c>
    </row>
    <row r="4073" spans="3:10" x14ac:dyDescent="0.25">
      <c r="C4073" s="4"/>
      <c r="E4073" s="4"/>
      <c r="H4073" s="31" t="str">
        <f t="shared" si="126"/>
        <v/>
      </c>
      <c r="J4073" t="b">
        <f t="shared" si="127"/>
        <v>0</v>
      </c>
    </row>
    <row r="4074" spans="3:10" x14ac:dyDescent="0.25">
      <c r="C4074" s="4"/>
      <c r="E4074" s="4"/>
      <c r="H4074" s="31" t="str">
        <f t="shared" si="126"/>
        <v/>
      </c>
      <c r="J4074" t="b">
        <f t="shared" si="127"/>
        <v>0</v>
      </c>
    </row>
    <row r="4075" spans="3:10" x14ac:dyDescent="0.25">
      <c r="C4075" s="4"/>
      <c r="E4075" s="4"/>
      <c r="H4075" s="31" t="str">
        <f t="shared" si="126"/>
        <v/>
      </c>
      <c r="J4075" t="b">
        <f t="shared" si="127"/>
        <v>0</v>
      </c>
    </row>
    <row r="4076" spans="3:10" x14ac:dyDescent="0.25">
      <c r="C4076" s="4"/>
      <c r="E4076" s="4"/>
      <c r="H4076" s="31" t="str">
        <f t="shared" si="126"/>
        <v/>
      </c>
      <c r="J4076" t="b">
        <f t="shared" si="127"/>
        <v>0</v>
      </c>
    </row>
    <row r="4077" spans="3:10" x14ac:dyDescent="0.25">
      <c r="C4077" s="4"/>
      <c r="E4077" s="4"/>
      <c r="H4077" s="31" t="str">
        <f t="shared" si="126"/>
        <v/>
      </c>
      <c r="J4077" t="b">
        <f t="shared" si="127"/>
        <v>0</v>
      </c>
    </row>
    <row r="4078" spans="3:10" x14ac:dyDescent="0.25">
      <c r="C4078" s="4"/>
      <c r="E4078" s="4"/>
      <c r="H4078" s="31" t="str">
        <f t="shared" si="126"/>
        <v/>
      </c>
      <c r="J4078" t="b">
        <f t="shared" si="127"/>
        <v>0</v>
      </c>
    </row>
    <row r="4079" spans="3:10" x14ac:dyDescent="0.25">
      <c r="C4079" s="4"/>
      <c r="E4079" s="4"/>
      <c r="H4079" s="31" t="str">
        <f t="shared" si="126"/>
        <v/>
      </c>
      <c r="J4079" t="b">
        <f t="shared" si="127"/>
        <v>0</v>
      </c>
    </row>
    <row r="4080" spans="3:10" x14ac:dyDescent="0.25">
      <c r="C4080" s="4"/>
      <c r="E4080" s="4"/>
      <c r="H4080" s="31" t="str">
        <f t="shared" si="126"/>
        <v/>
      </c>
      <c r="J4080" t="b">
        <f t="shared" si="127"/>
        <v>0</v>
      </c>
    </row>
    <row r="4081" spans="3:10" x14ac:dyDescent="0.25">
      <c r="C4081" s="4"/>
      <c r="E4081" s="4"/>
      <c r="H4081" s="31" t="str">
        <f t="shared" si="126"/>
        <v/>
      </c>
      <c r="J4081" t="b">
        <f t="shared" si="127"/>
        <v>0</v>
      </c>
    </row>
    <row r="4082" spans="3:10" x14ac:dyDescent="0.25">
      <c r="C4082" s="4"/>
      <c r="E4082" s="4"/>
      <c r="H4082" s="31" t="str">
        <f t="shared" si="126"/>
        <v/>
      </c>
      <c r="J4082" t="b">
        <f t="shared" si="127"/>
        <v>0</v>
      </c>
    </row>
    <row r="4083" spans="3:10" x14ac:dyDescent="0.25">
      <c r="C4083" s="4"/>
      <c r="E4083" s="4"/>
      <c r="H4083" s="31" t="str">
        <f t="shared" si="126"/>
        <v/>
      </c>
      <c r="J4083" t="b">
        <f t="shared" si="127"/>
        <v>0</v>
      </c>
    </row>
    <row r="4084" spans="3:10" x14ac:dyDescent="0.25">
      <c r="C4084" s="4"/>
      <c r="E4084" s="4"/>
      <c r="H4084" s="31" t="str">
        <f t="shared" si="126"/>
        <v/>
      </c>
      <c r="J4084" t="b">
        <f t="shared" si="127"/>
        <v>0</v>
      </c>
    </row>
    <row r="4085" spans="3:10" x14ac:dyDescent="0.25">
      <c r="C4085" s="4"/>
      <c r="E4085" s="4"/>
      <c r="H4085" s="31" t="str">
        <f t="shared" si="126"/>
        <v/>
      </c>
      <c r="J4085" t="b">
        <f t="shared" si="127"/>
        <v>0</v>
      </c>
    </row>
    <row r="4086" spans="3:10" x14ac:dyDescent="0.25">
      <c r="C4086" s="4"/>
      <c r="E4086" s="4"/>
      <c r="H4086" s="31" t="str">
        <f t="shared" si="126"/>
        <v/>
      </c>
      <c r="J4086" t="b">
        <f t="shared" si="127"/>
        <v>0</v>
      </c>
    </row>
    <row r="4087" spans="3:10" x14ac:dyDescent="0.25">
      <c r="C4087" s="4"/>
      <c r="E4087" s="4"/>
      <c r="H4087" s="31" t="str">
        <f t="shared" si="126"/>
        <v/>
      </c>
      <c r="J4087" t="b">
        <f t="shared" si="127"/>
        <v>0</v>
      </c>
    </row>
    <row r="4088" spans="3:10" x14ac:dyDescent="0.25">
      <c r="C4088" s="4"/>
      <c r="E4088" s="4"/>
      <c r="H4088" s="31" t="str">
        <f t="shared" si="126"/>
        <v/>
      </c>
      <c r="J4088" t="b">
        <f t="shared" si="127"/>
        <v>0</v>
      </c>
    </row>
    <row r="4089" spans="3:10" x14ac:dyDescent="0.25">
      <c r="C4089" s="4"/>
      <c r="E4089" s="4"/>
      <c r="H4089" s="31" t="str">
        <f t="shared" si="126"/>
        <v/>
      </c>
      <c r="J4089" t="b">
        <f t="shared" si="127"/>
        <v>0</v>
      </c>
    </row>
    <row r="4090" spans="3:10" x14ac:dyDescent="0.25">
      <c r="C4090" s="4"/>
      <c r="E4090" s="4"/>
      <c r="H4090" s="31" t="str">
        <f t="shared" si="126"/>
        <v/>
      </c>
      <c r="J4090" t="b">
        <f t="shared" si="127"/>
        <v>0</v>
      </c>
    </row>
    <row r="4091" spans="3:10" x14ac:dyDescent="0.25">
      <c r="C4091" s="4"/>
      <c r="E4091" s="4"/>
      <c r="H4091" s="31" t="str">
        <f t="shared" si="126"/>
        <v/>
      </c>
      <c r="J4091" t="b">
        <f t="shared" si="127"/>
        <v>0</v>
      </c>
    </row>
    <row r="4092" spans="3:10" x14ac:dyDescent="0.25">
      <c r="C4092" s="4"/>
      <c r="E4092" s="4"/>
      <c r="H4092" s="31" t="str">
        <f t="shared" si="126"/>
        <v/>
      </c>
      <c r="J4092" t="b">
        <f t="shared" si="127"/>
        <v>0</v>
      </c>
    </row>
    <row r="4093" spans="3:10" x14ac:dyDescent="0.25">
      <c r="C4093" s="4"/>
      <c r="E4093" s="4"/>
      <c r="H4093" s="31" t="str">
        <f t="shared" si="126"/>
        <v/>
      </c>
      <c r="J4093" t="b">
        <f t="shared" si="127"/>
        <v>0</v>
      </c>
    </row>
    <row r="4094" spans="3:10" x14ac:dyDescent="0.25">
      <c r="C4094" s="4"/>
      <c r="E4094" s="4"/>
      <c r="H4094" s="31" t="str">
        <f t="shared" si="126"/>
        <v/>
      </c>
      <c r="J4094" t="b">
        <f t="shared" si="127"/>
        <v>0</v>
      </c>
    </row>
    <row r="4095" spans="3:10" x14ac:dyDescent="0.25">
      <c r="C4095" s="4"/>
      <c r="E4095" s="4"/>
      <c r="H4095" s="31" t="str">
        <f t="shared" si="126"/>
        <v/>
      </c>
      <c r="J4095" t="b">
        <f t="shared" si="127"/>
        <v>0</v>
      </c>
    </row>
    <row r="4096" spans="3:10" x14ac:dyDescent="0.25">
      <c r="C4096" s="4"/>
      <c r="E4096" s="4"/>
      <c r="H4096" s="31" t="str">
        <f t="shared" si="126"/>
        <v/>
      </c>
      <c r="J4096" t="b">
        <f t="shared" si="127"/>
        <v>0</v>
      </c>
    </row>
    <row r="4097" spans="3:10" x14ac:dyDescent="0.25">
      <c r="C4097" s="4"/>
      <c r="E4097" s="4"/>
      <c r="H4097" s="31" t="str">
        <f t="shared" si="126"/>
        <v/>
      </c>
      <c r="J4097" t="b">
        <f t="shared" si="127"/>
        <v>0</v>
      </c>
    </row>
    <row r="4098" spans="3:10" x14ac:dyDescent="0.25">
      <c r="C4098" s="4"/>
      <c r="E4098" s="4"/>
      <c r="H4098" s="31" t="str">
        <f t="shared" si="126"/>
        <v/>
      </c>
      <c r="J4098" t="b">
        <f t="shared" si="127"/>
        <v>0</v>
      </c>
    </row>
    <row r="4099" spans="3:10" x14ac:dyDescent="0.25">
      <c r="C4099" s="4"/>
      <c r="E4099" s="4"/>
      <c r="H4099" s="31" t="str">
        <f t="shared" si="126"/>
        <v/>
      </c>
      <c r="J4099" t="b">
        <f t="shared" si="127"/>
        <v>0</v>
      </c>
    </row>
    <row r="4100" spans="3:10" x14ac:dyDescent="0.25">
      <c r="C4100" s="4"/>
      <c r="E4100" s="4"/>
      <c r="H4100" s="31" t="str">
        <f t="shared" ref="H4100:H4163" si="128">IF($J4100=TRUE,"Il ne peut y avoir des valeurs dans les 2 méthodes",IF($D4100="kg/l",$C4100,IF($D4100="g/l",$C4100/1000,IF($D4100="lb/gal US",$C4100*0.454/3.785,IF($G4100="kg/l",($E4100/100)*$F4100,IF($G4100="g/l",($E4100/100)*$F4100/1000,IF($G4100="lb/gal US",($E4100/100)*$F4100*0.454/3.785,"")))))))</f>
        <v/>
      </c>
      <c r="J4100" t="b">
        <f t="shared" ref="J4100:J4163" si="129">IF(AND(OR($C4100&lt;&gt;"",$D4100&lt;&gt;""),OR($E4100&lt;&gt;"",F4100&lt;&gt;"",G4100&lt;&gt;"")),TRUE,FALSE)</f>
        <v>0</v>
      </c>
    </row>
    <row r="4101" spans="3:10" x14ac:dyDescent="0.25">
      <c r="C4101" s="4"/>
      <c r="E4101" s="4"/>
      <c r="H4101" s="31" t="str">
        <f t="shared" si="128"/>
        <v/>
      </c>
      <c r="J4101" t="b">
        <f t="shared" si="129"/>
        <v>0</v>
      </c>
    </row>
    <row r="4102" spans="3:10" x14ac:dyDescent="0.25">
      <c r="C4102" s="4"/>
      <c r="E4102" s="4"/>
      <c r="H4102" s="31" t="str">
        <f t="shared" si="128"/>
        <v/>
      </c>
      <c r="J4102" t="b">
        <f t="shared" si="129"/>
        <v>0</v>
      </c>
    </row>
    <row r="4103" spans="3:10" x14ac:dyDescent="0.25">
      <c r="C4103" s="4"/>
      <c r="E4103" s="4"/>
      <c r="H4103" s="31" t="str">
        <f t="shared" si="128"/>
        <v/>
      </c>
      <c r="J4103" t="b">
        <f t="shared" si="129"/>
        <v>0</v>
      </c>
    </row>
    <row r="4104" spans="3:10" x14ac:dyDescent="0.25">
      <c r="C4104" s="4"/>
      <c r="E4104" s="4"/>
      <c r="H4104" s="31" t="str">
        <f t="shared" si="128"/>
        <v/>
      </c>
      <c r="J4104" t="b">
        <f t="shared" si="129"/>
        <v>0</v>
      </c>
    </row>
    <row r="4105" spans="3:10" x14ac:dyDescent="0.25">
      <c r="C4105" s="4"/>
      <c r="E4105" s="4"/>
      <c r="H4105" s="31" t="str">
        <f t="shared" si="128"/>
        <v/>
      </c>
      <c r="J4105" t="b">
        <f t="shared" si="129"/>
        <v>0</v>
      </c>
    </row>
    <row r="4106" spans="3:10" x14ac:dyDescent="0.25">
      <c r="C4106" s="4"/>
      <c r="E4106" s="4"/>
      <c r="H4106" s="31" t="str">
        <f t="shared" si="128"/>
        <v/>
      </c>
      <c r="J4106" t="b">
        <f t="shared" si="129"/>
        <v>0</v>
      </c>
    </row>
    <row r="4107" spans="3:10" x14ac:dyDescent="0.25">
      <c r="C4107" s="4"/>
      <c r="E4107" s="4"/>
      <c r="H4107" s="31" t="str">
        <f t="shared" si="128"/>
        <v/>
      </c>
      <c r="J4107" t="b">
        <f t="shared" si="129"/>
        <v>0</v>
      </c>
    </row>
    <row r="4108" spans="3:10" x14ac:dyDescent="0.25">
      <c r="C4108" s="4"/>
      <c r="E4108" s="4"/>
      <c r="H4108" s="31" t="str">
        <f t="shared" si="128"/>
        <v/>
      </c>
      <c r="J4108" t="b">
        <f t="shared" si="129"/>
        <v>0</v>
      </c>
    </row>
    <row r="4109" spans="3:10" x14ac:dyDescent="0.25">
      <c r="C4109" s="4"/>
      <c r="E4109" s="4"/>
      <c r="H4109" s="31" t="str">
        <f t="shared" si="128"/>
        <v/>
      </c>
      <c r="J4109" t="b">
        <f t="shared" si="129"/>
        <v>0</v>
      </c>
    </row>
    <row r="4110" spans="3:10" x14ac:dyDescent="0.25">
      <c r="C4110" s="4"/>
      <c r="E4110" s="4"/>
      <c r="H4110" s="31" t="str">
        <f t="shared" si="128"/>
        <v/>
      </c>
      <c r="J4110" t="b">
        <f t="shared" si="129"/>
        <v>0</v>
      </c>
    </row>
    <row r="4111" spans="3:10" x14ac:dyDescent="0.25">
      <c r="C4111" s="4"/>
      <c r="E4111" s="4"/>
      <c r="H4111" s="31" t="str">
        <f t="shared" si="128"/>
        <v/>
      </c>
      <c r="J4111" t="b">
        <f t="shared" si="129"/>
        <v>0</v>
      </c>
    </row>
    <row r="4112" spans="3:10" x14ac:dyDescent="0.25">
      <c r="C4112" s="4"/>
      <c r="E4112" s="4"/>
      <c r="H4112" s="31" t="str">
        <f t="shared" si="128"/>
        <v/>
      </c>
      <c r="J4112" t="b">
        <f t="shared" si="129"/>
        <v>0</v>
      </c>
    </row>
    <row r="4113" spans="3:10" x14ac:dyDescent="0.25">
      <c r="C4113" s="4"/>
      <c r="E4113" s="4"/>
      <c r="H4113" s="31" t="str">
        <f t="shared" si="128"/>
        <v/>
      </c>
      <c r="J4113" t="b">
        <f t="shared" si="129"/>
        <v>0</v>
      </c>
    </row>
    <row r="4114" spans="3:10" x14ac:dyDescent="0.25">
      <c r="C4114" s="4"/>
      <c r="E4114" s="4"/>
      <c r="H4114" s="31" t="str">
        <f t="shared" si="128"/>
        <v/>
      </c>
      <c r="J4114" t="b">
        <f t="shared" si="129"/>
        <v>0</v>
      </c>
    </row>
    <row r="4115" spans="3:10" x14ac:dyDescent="0.25">
      <c r="C4115" s="4"/>
      <c r="E4115" s="4"/>
      <c r="H4115" s="31" t="str">
        <f t="shared" si="128"/>
        <v/>
      </c>
      <c r="J4115" t="b">
        <f t="shared" si="129"/>
        <v>0</v>
      </c>
    </row>
    <row r="4116" spans="3:10" x14ac:dyDescent="0.25">
      <c r="C4116" s="4"/>
      <c r="E4116" s="4"/>
      <c r="H4116" s="31" t="str">
        <f t="shared" si="128"/>
        <v/>
      </c>
      <c r="J4116" t="b">
        <f t="shared" si="129"/>
        <v>0</v>
      </c>
    </row>
    <row r="4117" spans="3:10" x14ac:dyDescent="0.25">
      <c r="C4117" s="4"/>
      <c r="E4117" s="4"/>
      <c r="H4117" s="31" t="str">
        <f t="shared" si="128"/>
        <v/>
      </c>
      <c r="J4117" t="b">
        <f t="shared" si="129"/>
        <v>0</v>
      </c>
    </row>
    <row r="4118" spans="3:10" x14ac:dyDescent="0.25">
      <c r="C4118" s="4"/>
      <c r="E4118" s="4"/>
      <c r="H4118" s="31" t="str">
        <f t="shared" si="128"/>
        <v/>
      </c>
      <c r="J4118" t="b">
        <f t="shared" si="129"/>
        <v>0</v>
      </c>
    </row>
    <row r="4119" spans="3:10" x14ac:dyDescent="0.25">
      <c r="C4119" s="4"/>
      <c r="E4119" s="4"/>
      <c r="H4119" s="31" t="str">
        <f t="shared" si="128"/>
        <v/>
      </c>
      <c r="J4119" t="b">
        <f t="shared" si="129"/>
        <v>0</v>
      </c>
    </row>
    <row r="4120" spans="3:10" x14ac:dyDescent="0.25">
      <c r="C4120" s="4"/>
      <c r="E4120" s="4"/>
      <c r="H4120" s="31" t="str">
        <f t="shared" si="128"/>
        <v/>
      </c>
      <c r="J4120" t="b">
        <f t="shared" si="129"/>
        <v>0</v>
      </c>
    </row>
    <row r="4121" spans="3:10" x14ac:dyDescent="0.25">
      <c r="C4121" s="4"/>
      <c r="E4121" s="4"/>
      <c r="H4121" s="31" t="str">
        <f t="shared" si="128"/>
        <v/>
      </c>
      <c r="J4121" t="b">
        <f t="shared" si="129"/>
        <v>0</v>
      </c>
    </row>
    <row r="4122" spans="3:10" x14ac:dyDescent="0.25">
      <c r="C4122" s="4"/>
      <c r="E4122" s="4"/>
      <c r="H4122" s="31" t="str">
        <f t="shared" si="128"/>
        <v/>
      </c>
      <c r="J4122" t="b">
        <f t="shared" si="129"/>
        <v>0</v>
      </c>
    </row>
    <row r="4123" spans="3:10" x14ac:dyDescent="0.25">
      <c r="C4123" s="4"/>
      <c r="E4123" s="4"/>
      <c r="H4123" s="31" t="str">
        <f t="shared" si="128"/>
        <v/>
      </c>
      <c r="J4123" t="b">
        <f t="shared" si="129"/>
        <v>0</v>
      </c>
    </row>
    <row r="4124" spans="3:10" x14ac:dyDescent="0.25">
      <c r="C4124" s="4"/>
      <c r="E4124" s="4"/>
      <c r="H4124" s="31" t="str">
        <f t="shared" si="128"/>
        <v/>
      </c>
      <c r="J4124" t="b">
        <f t="shared" si="129"/>
        <v>0</v>
      </c>
    </row>
    <row r="4125" spans="3:10" x14ac:dyDescent="0.25">
      <c r="C4125" s="4"/>
      <c r="E4125" s="4"/>
      <c r="H4125" s="31" t="str">
        <f t="shared" si="128"/>
        <v/>
      </c>
      <c r="J4125" t="b">
        <f t="shared" si="129"/>
        <v>0</v>
      </c>
    </row>
    <row r="4126" spans="3:10" x14ac:dyDescent="0.25">
      <c r="C4126" s="4"/>
      <c r="E4126" s="4"/>
      <c r="H4126" s="31" t="str">
        <f t="shared" si="128"/>
        <v/>
      </c>
      <c r="J4126" t="b">
        <f t="shared" si="129"/>
        <v>0</v>
      </c>
    </row>
    <row r="4127" spans="3:10" x14ac:dyDescent="0.25">
      <c r="C4127" s="4"/>
      <c r="E4127" s="4"/>
      <c r="H4127" s="31" t="str">
        <f t="shared" si="128"/>
        <v/>
      </c>
      <c r="J4127" t="b">
        <f t="shared" si="129"/>
        <v>0</v>
      </c>
    </row>
    <row r="4128" spans="3:10" x14ac:dyDescent="0.25">
      <c r="C4128" s="4"/>
      <c r="E4128" s="4"/>
      <c r="H4128" s="31" t="str">
        <f t="shared" si="128"/>
        <v/>
      </c>
      <c r="J4128" t="b">
        <f t="shared" si="129"/>
        <v>0</v>
      </c>
    </row>
    <row r="4129" spans="3:10" x14ac:dyDescent="0.25">
      <c r="C4129" s="4"/>
      <c r="E4129" s="4"/>
      <c r="H4129" s="31" t="str">
        <f t="shared" si="128"/>
        <v/>
      </c>
      <c r="J4129" t="b">
        <f t="shared" si="129"/>
        <v>0</v>
      </c>
    </row>
    <row r="4130" spans="3:10" x14ac:dyDescent="0.25">
      <c r="C4130" s="4"/>
      <c r="E4130" s="4"/>
      <c r="H4130" s="31" t="str">
        <f t="shared" si="128"/>
        <v/>
      </c>
      <c r="J4130" t="b">
        <f t="shared" si="129"/>
        <v>0</v>
      </c>
    </row>
    <row r="4131" spans="3:10" x14ac:dyDescent="0.25">
      <c r="C4131" s="4"/>
      <c r="E4131" s="4"/>
      <c r="H4131" s="31" t="str">
        <f t="shared" si="128"/>
        <v/>
      </c>
      <c r="J4131" t="b">
        <f t="shared" si="129"/>
        <v>0</v>
      </c>
    </row>
    <row r="4132" spans="3:10" x14ac:dyDescent="0.25">
      <c r="C4132" s="4"/>
      <c r="E4132" s="4"/>
      <c r="H4132" s="31" t="str">
        <f t="shared" si="128"/>
        <v/>
      </c>
      <c r="J4132" t="b">
        <f t="shared" si="129"/>
        <v>0</v>
      </c>
    </row>
    <row r="4133" spans="3:10" x14ac:dyDescent="0.25">
      <c r="C4133" s="4"/>
      <c r="E4133" s="4"/>
      <c r="H4133" s="31" t="str">
        <f t="shared" si="128"/>
        <v/>
      </c>
      <c r="J4133" t="b">
        <f t="shared" si="129"/>
        <v>0</v>
      </c>
    </row>
    <row r="4134" spans="3:10" x14ac:dyDescent="0.25">
      <c r="C4134" s="4"/>
      <c r="E4134" s="4"/>
      <c r="H4134" s="31" t="str">
        <f t="shared" si="128"/>
        <v/>
      </c>
      <c r="J4134" t="b">
        <f t="shared" si="129"/>
        <v>0</v>
      </c>
    </row>
    <row r="4135" spans="3:10" x14ac:dyDescent="0.25">
      <c r="C4135" s="4"/>
      <c r="E4135" s="4"/>
      <c r="H4135" s="31" t="str">
        <f t="shared" si="128"/>
        <v/>
      </c>
      <c r="J4135" t="b">
        <f t="shared" si="129"/>
        <v>0</v>
      </c>
    </row>
    <row r="4136" spans="3:10" x14ac:dyDescent="0.25">
      <c r="C4136" s="4"/>
      <c r="E4136" s="4"/>
      <c r="H4136" s="31" t="str">
        <f t="shared" si="128"/>
        <v/>
      </c>
      <c r="J4136" t="b">
        <f t="shared" si="129"/>
        <v>0</v>
      </c>
    </row>
    <row r="4137" spans="3:10" x14ac:dyDescent="0.25">
      <c r="C4137" s="4"/>
      <c r="E4137" s="4"/>
      <c r="H4137" s="31" t="str">
        <f t="shared" si="128"/>
        <v/>
      </c>
      <c r="J4137" t="b">
        <f t="shared" si="129"/>
        <v>0</v>
      </c>
    </row>
    <row r="4138" spans="3:10" x14ac:dyDescent="0.25">
      <c r="C4138" s="4"/>
      <c r="E4138" s="4"/>
      <c r="H4138" s="31" t="str">
        <f t="shared" si="128"/>
        <v/>
      </c>
      <c r="J4138" t="b">
        <f t="shared" si="129"/>
        <v>0</v>
      </c>
    </row>
    <row r="4139" spans="3:10" x14ac:dyDescent="0.25">
      <c r="C4139" s="4"/>
      <c r="E4139" s="4"/>
      <c r="H4139" s="31" t="str">
        <f t="shared" si="128"/>
        <v/>
      </c>
      <c r="J4139" t="b">
        <f t="shared" si="129"/>
        <v>0</v>
      </c>
    </row>
    <row r="4140" spans="3:10" x14ac:dyDescent="0.25">
      <c r="C4140" s="4"/>
      <c r="E4140" s="4"/>
      <c r="H4140" s="31" t="str">
        <f t="shared" si="128"/>
        <v/>
      </c>
      <c r="J4140" t="b">
        <f t="shared" si="129"/>
        <v>0</v>
      </c>
    </row>
    <row r="4141" spans="3:10" x14ac:dyDescent="0.25">
      <c r="C4141" s="4"/>
      <c r="E4141" s="4"/>
      <c r="H4141" s="31" t="str">
        <f t="shared" si="128"/>
        <v/>
      </c>
      <c r="J4141" t="b">
        <f t="shared" si="129"/>
        <v>0</v>
      </c>
    </row>
    <row r="4142" spans="3:10" x14ac:dyDescent="0.25">
      <c r="C4142" s="4"/>
      <c r="E4142" s="4"/>
      <c r="H4142" s="31" t="str">
        <f t="shared" si="128"/>
        <v/>
      </c>
      <c r="J4142" t="b">
        <f t="shared" si="129"/>
        <v>0</v>
      </c>
    </row>
    <row r="4143" spans="3:10" x14ac:dyDescent="0.25">
      <c r="C4143" s="4"/>
      <c r="E4143" s="4"/>
      <c r="H4143" s="31" t="str">
        <f t="shared" si="128"/>
        <v/>
      </c>
      <c r="J4143" t="b">
        <f t="shared" si="129"/>
        <v>0</v>
      </c>
    </row>
    <row r="4144" spans="3:10" x14ac:dyDescent="0.25">
      <c r="C4144" s="4"/>
      <c r="E4144" s="4"/>
      <c r="H4144" s="31" t="str">
        <f t="shared" si="128"/>
        <v/>
      </c>
      <c r="J4144" t="b">
        <f t="shared" si="129"/>
        <v>0</v>
      </c>
    </row>
    <row r="4145" spans="3:10" x14ac:dyDescent="0.25">
      <c r="C4145" s="4"/>
      <c r="E4145" s="4"/>
      <c r="H4145" s="31" t="str">
        <f t="shared" si="128"/>
        <v/>
      </c>
      <c r="J4145" t="b">
        <f t="shared" si="129"/>
        <v>0</v>
      </c>
    </row>
    <row r="4146" spans="3:10" x14ac:dyDescent="0.25">
      <c r="C4146" s="4"/>
      <c r="E4146" s="4"/>
      <c r="H4146" s="31" t="str">
        <f t="shared" si="128"/>
        <v/>
      </c>
      <c r="J4146" t="b">
        <f t="shared" si="129"/>
        <v>0</v>
      </c>
    </row>
    <row r="4147" spans="3:10" x14ac:dyDescent="0.25">
      <c r="C4147" s="4"/>
      <c r="E4147" s="4"/>
      <c r="H4147" s="31" t="str">
        <f t="shared" si="128"/>
        <v/>
      </c>
      <c r="J4147" t="b">
        <f t="shared" si="129"/>
        <v>0</v>
      </c>
    </row>
    <row r="4148" spans="3:10" x14ac:dyDescent="0.25">
      <c r="C4148" s="4"/>
      <c r="E4148" s="4"/>
      <c r="H4148" s="31" t="str">
        <f t="shared" si="128"/>
        <v/>
      </c>
      <c r="J4148" t="b">
        <f t="shared" si="129"/>
        <v>0</v>
      </c>
    </row>
    <row r="4149" spans="3:10" x14ac:dyDescent="0.25">
      <c r="C4149" s="4"/>
      <c r="E4149" s="4"/>
      <c r="H4149" s="31" t="str">
        <f t="shared" si="128"/>
        <v/>
      </c>
      <c r="J4149" t="b">
        <f t="shared" si="129"/>
        <v>0</v>
      </c>
    </row>
    <row r="4150" spans="3:10" x14ac:dyDescent="0.25">
      <c r="C4150" s="4"/>
      <c r="E4150" s="4"/>
      <c r="H4150" s="31" t="str">
        <f t="shared" si="128"/>
        <v/>
      </c>
      <c r="J4150" t="b">
        <f t="shared" si="129"/>
        <v>0</v>
      </c>
    </row>
    <row r="4151" spans="3:10" x14ac:dyDescent="0.25">
      <c r="C4151" s="4"/>
      <c r="E4151" s="4"/>
      <c r="H4151" s="31" t="str">
        <f t="shared" si="128"/>
        <v/>
      </c>
      <c r="J4151" t="b">
        <f t="shared" si="129"/>
        <v>0</v>
      </c>
    </row>
    <row r="4152" spans="3:10" x14ac:dyDescent="0.25">
      <c r="C4152" s="4"/>
      <c r="E4152" s="4"/>
      <c r="H4152" s="31" t="str">
        <f t="shared" si="128"/>
        <v/>
      </c>
      <c r="J4152" t="b">
        <f t="shared" si="129"/>
        <v>0</v>
      </c>
    </row>
    <row r="4153" spans="3:10" x14ac:dyDescent="0.25">
      <c r="C4153" s="4"/>
      <c r="E4153" s="4"/>
      <c r="H4153" s="31" t="str">
        <f t="shared" si="128"/>
        <v/>
      </c>
      <c r="J4153" t="b">
        <f t="shared" si="129"/>
        <v>0</v>
      </c>
    </row>
    <row r="4154" spans="3:10" x14ac:dyDescent="0.25">
      <c r="C4154" s="4"/>
      <c r="E4154" s="4"/>
      <c r="H4154" s="31" t="str">
        <f t="shared" si="128"/>
        <v/>
      </c>
      <c r="J4154" t="b">
        <f t="shared" si="129"/>
        <v>0</v>
      </c>
    </row>
    <row r="4155" spans="3:10" x14ac:dyDescent="0.25">
      <c r="C4155" s="4"/>
      <c r="E4155" s="4"/>
      <c r="H4155" s="31" t="str">
        <f t="shared" si="128"/>
        <v/>
      </c>
      <c r="J4155" t="b">
        <f t="shared" si="129"/>
        <v>0</v>
      </c>
    </row>
    <row r="4156" spans="3:10" x14ac:dyDescent="0.25">
      <c r="C4156" s="4"/>
      <c r="E4156" s="4"/>
      <c r="H4156" s="31" t="str">
        <f t="shared" si="128"/>
        <v/>
      </c>
      <c r="J4156" t="b">
        <f t="shared" si="129"/>
        <v>0</v>
      </c>
    </row>
    <row r="4157" spans="3:10" x14ac:dyDescent="0.25">
      <c r="C4157" s="4"/>
      <c r="E4157" s="4"/>
      <c r="H4157" s="31" t="str">
        <f t="shared" si="128"/>
        <v/>
      </c>
      <c r="J4157" t="b">
        <f t="shared" si="129"/>
        <v>0</v>
      </c>
    </row>
    <row r="4158" spans="3:10" x14ac:dyDescent="0.25">
      <c r="C4158" s="4"/>
      <c r="E4158" s="4"/>
      <c r="H4158" s="31" t="str">
        <f t="shared" si="128"/>
        <v/>
      </c>
      <c r="J4158" t="b">
        <f t="shared" si="129"/>
        <v>0</v>
      </c>
    </row>
    <row r="4159" spans="3:10" x14ac:dyDescent="0.25">
      <c r="C4159" s="4"/>
      <c r="E4159" s="4"/>
      <c r="H4159" s="31" t="str">
        <f t="shared" si="128"/>
        <v/>
      </c>
      <c r="J4159" t="b">
        <f t="shared" si="129"/>
        <v>0</v>
      </c>
    </row>
    <row r="4160" spans="3:10" x14ac:dyDescent="0.25">
      <c r="C4160" s="4"/>
      <c r="E4160" s="4"/>
      <c r="H4160" s="31" t="str">
        <f t="shared" si="128"/>
        <v/>
      </c>
      <c r="J4160" t="b">
        <f t="shared" si="129"/>
        <v>0</v>
      </c>
    </row>
    <row r="4161" spans="3:10" x14ac:dyDescent="0.25">
      <c r="C4161" s="4"/>
      <c r="E4161" s="4"/>
      <c r="H4161" s="31" t="str">
        <f t="shared" si="128"/>
        <v/>
      </c>
      <c r="J4161" t="b">
        <f t="shared" si="129"/>
        <v>0</v>
      </c>
    </row>
    <row r="4162" spans="3:10" x14ac:dyDescent="0.25">
      <c r="C4162" s="4"/>
      <c r="E4162" s="4"/>
      <c r="H4162" s="31" t="str">
        <f t="shared" si="128"/>
        <v/>
      </c>
      <c r="J4162" t="b">
        <f t="shared" si="129"/>
        <v>0</v>
      </c>
    </row>
    <row r="4163" spans="3:10" x14ac:dyDescent="0.25">
      <c r="C4163" s="4"/>
      <c r="E4163" s="4"/>
      <c r="H4163" s="31" t="str">
        <f t="shared" si="128"/>
        <v/>
      </c>
      <c r="J4163" t="b">
        <f t="shared" si="129"/>
        <v>0</v>
      </c>
    </row>
    <row r="4164" spans="3:10" x14ac:dyDescent="0.25">
      <c r="C4164" s="4"/>
      <c r="E4164" s="4"/>
      <c r="H4164" s="31" t="str">
        <f t="shared" ref="H4164:H4227" si="130">IF($J4164=TRUE,"Il ne peut y avoir des valeurs dans les 2 méthodes",IF($D4164="kg/l",$C4164,IF($D4164="g/l",$C4164/1000,IF($D4164="lb/gal US",$C4164*0.454/3.785,IF($G4164="kg/l",($E4164/100)*$F4164,IF($G4164="g/l",($E4164/100)*$F4164/1000,IF($G4164="lb/gal US",($E4164/100)*$F4164*0.454/3.785,"")))))))</f>
        <v/>
      </c>
      <c r="J4164" t="b">
        <f t="shared" ref="J4164:J4227" si="131">IF(AND(OR($C4164&lt;&gt;"",$D4164&lt;&gt;""),OR($E4164&lt;&gt;"",F4164&lt;&gt;"",G4164&lt;&gt;"")),TRUE,FALSE)</f>
        <v>0</v>
      </c>
    </row>
    <row r="4165" spans="3:10" x14ac:dyDescent="0.25">
      <c r="C4165" s="4"/>
      <c r="E4165" s="4"/>
      <c r="H4165" s="31" t="str">
        <f t="shared" si="130"/>
        <v/>
      </c>
      <c r="J4165" t="b">
        <f t="shared" si="131"/>
        <v>0</v>
      </c>
    </row>
    <row r="4166" spans="3:10" x14ac:dyDescent="0.25">
      <c r="C4166" s="4"/>
      <c r="E4166" s="4"/>
      <c r="H4166" s="31" t="str">
        <f t="shared" si="130"/>
        <v/>
      </c>
      <c r="J4166" t="b">
        <f t="shared" si="131"/>
        <v>0</v>
      </c>
    </row>
    <row r="4167" spans="3:10" x14ac:dyDescent="0.25">
      <c r="C4167" s="4"/>
      <c r="E4167" s="4"/>
      <c r="H4167" s="31" t="str">
        <f t="shared" si="130"/>
        <v/>
      </c>
      <c r="J4167" t="b">
        <f t="shared" si="131"/>
        <v>0</v>
      </c>
    </row>
    <row r="4168" spans="3:10" x14ac:dyDescent="0.25">
      <c r="C4168" s="4"/>
      <c r="E4168" s="4"/>
      <c r="H4168" s="31" t="str">
        <f t="shared" si="130"/>
        <v/>
      </c>
      <c r="J4168" t="b">
        <f t="shared" si="131"/>
        <v>0</v>
      </c>
    </row>
    <row r="4169" spans="3:10" x14ac:dyDescent="0.25">
      <c r="C4169" s="4"/>
      <c r="E4169" s="4"/>
      <c r="H4169" s="31" t="str">
        <f t="shared" si="130"/>
        <v/>
      </c>
      <c r="J4169" t="b">
        <f t="shared" si="131"/>
        <v>0</v>
      </c>
    </row>
    <row r="4170" spans="3:10" x14ac:dyDescent="0.25">
      <c r="C4170" s="4"/>
      <c r="E4170" s="4"/>
      <c r="H4170" s="31" t="str">
        <f t="shared" si="130"/>
        <v/>
      </c>
      <c r="J4170" t="b">
        <f t="shared" si="131"/>
        <v>0</v>
      </c>
    </row>
    <row r="4171" spans="3:10" x14ac:dyDescent="0.25">
      <c r="C4171" s="4"/>
      <c r="E4171" s="4"/>
      <c r="H4171" s="31" t="str">
        <f t="shared" si="130"/>
        <v/>
      </c>
      <c r="J4171" t="b">
        <f t="shared" si="131"/>
        <v>0</v>
      </c>
    </row>
    <row r="4172" spans="3:10" x14ac:dyDescent="0.25">
      <c r="C4172" s="4"/>
      <c r="E4172" s="4"/>
      <c r="H4172" s="31" t="str">
        <f t="shared" si="130"/>
        <v/>
      </c>
      <c r="J4172" t="b">
        <f t="shared" si="131"/>
        <v>0</v>
      </c>
    </row>
    <row r="4173" spans="3:10" x14ac:dyDescent="0.25">
      <c r="C4173" s="4"/>
      <c r="E4173" s="4"/>
      <c r="H4173" s="31" t="str">
        <f t="shared" si="130"/>
        <v/>
      </c>
      <c r="J4173" t="b">
        <f t="shared" si="131"/>
        <v>0</v>
      </c>
    </row>
    <row r="4174" spans="3:10" x14ac:dyDescent="0.25">
      <c r="C4174" s="4"/>
      <c r="E4174" s="4"/>
      <c r="H4174" s="31" t="str">
        <f t="shared" si="130"/>
        <v/>
      </c>
      <c r="J4174" t="b">
        <f t="shared" si="131"/>
        <v>0</v>
      </c>
    </row>
    <row r="4175" spans="3:10" x14ac:dyDescent="0.25">
      <c r="C4175" s="4"/>
      <c r="E4175" s="4"/>
      <c r="H4175" s="31" t="str">
        <f t="shared" si="130"/>
        <v/>
      </c>
      <c r="J4175" t="b">
        <f t="shared" si="131"/>
        <v>0</v>
      </c>
    </row>
    <row r="4176" spans="3:10" x14ac:dyDescent="0.25">
      <c r="C4176" s="4"/>
      <c r="E4176" s="4"/>
      <c r="H4176" s="31" t="str">
        <f t="shared" si="130"/>
        <v/>
      </c>
      <c r="J4176" t="b">
        <f t="shared" si="131"/>
        <v>0</v>
      </c>
    </row>
    <row r="4177" spans="3:10" x14ac:dyDescent="0.25">
      <c r="C4177" s="4"/>
      <c r="E4177" s="4"/>
      <c r="H4177" s="31" t="str">
        <f t="shared" si="130"/>
        <v/>
      </c>
      <c r="J4177" t="b">
        <f t="shared" si="131"/>
        <v>0</v>
      </c>
    </row>
    <row r="4178" spans="3:10" x14ac:dyDescent="0.25">
      <c r="C4178" s="4"/>
      <c r="E4178" s="4"/>
      <c r="H4178" s="31" t="str">
        <f t="shared" si="130"/>
        <v/>
      </c>
      <c r="J4178" t="b">
        <f t="shared" si="131"/>
        <v>0</v>
      </c>
    </row>
    <row r="4179" spans="3:10" x14ac:dyDescent="0.25">
      <c r="C4179" s="4"/>
      <c r="E4179" s="4"/>
      <c r="H4179" s="31" t="str">
        <f t="shared" si="130"/>
        <v/>
      </c>
      <c r="J4179" t="b">
        <f t="shared" si="131"/>
        <v>0</v>
      </c>
    </row>
    <row r="4180" spans="3:10" x14ac:dyDescent="0.25">
      <c r="C4180" s="4"/>
      <c r="E4180" s="4"/>
      <c r="H4180" s="31" t="str">
        <f t="shared" si="130"/>
        <v/>
      </c>
      <c r="J4180" t="b">
        <f t="shared" si="131"/>
        <v>0</v>
      </c>
    </row>
    <row r="4181" spans="3:10" x14ac:dyDescent="0.25">
      <c r="C4181" s="4"/>
      <c r="E4181" s="4"/>
      <c r="H4181" s="31" t="str">
        <f t="shared" si="130"/>
        <v/>
      </c>
      <c r="J4181" t="b">
        <f t="shared" si="131"/>
        <v>0</v>
      </c>
    </row>
    <row r="4182" spans="3:10" x14ac:dyDescent="0.25">
      <c r="C4182" s="4"/>
      <c r="E4182" s="4"/>
      <c r="H4182" s="31" t="str">
        <f t="shared" si="130"/>
        <v/>
      </c>
      <c r="J4182" t="b">
        <f t="shared" si="131"/>
        <v>0</v>
      </c>
    </row>
    <row r="4183" spans="3:10" x14ac:dyDescent="0.25">
      <c r="C4183" s="4"/>
      <c r="E4183" s="4"/>
      <c r="H4183" s="31" t="str">
        <f t="shared" si="130"/>
        <v/>
      </c>
      <c r="J4183" t="b">
        <f t="shared" si="131"/>
        <v>0</v>
      </c>
    </row>
    <row r="4184" spans="3:10" x14ac:dyDescent="0.25">
      <c r="C4184" s="4"/>
      <c r="E4184" s="4"/>
      <c r="H4184" s="31" t="str">
        <f t="shared" si="130"/>
        <v/>
      </c>
      <c r="J4184" t="b">
        <f t="shared" si="131"/>
        <v>0</v>
      </c>
    </row>
    <row r="4185" spans="3:10" x14ac:dyDescent="0.25">
      <c r="C4185" s="4"/>
      <c r="E4185" s="4"/>
      <c r="H4185" s="31" t="str">
        <f t="shared" si="130"/>
        <v/>
      </c>
      <c r="J4185" t="b">
        <f t="shared" si="131"/>
        <v>0</v>
      </c>
    </row>
    <row r="4186" spans="3:10" x14ac:dyDescent="0.25">
      <c r="C4186" s="4"/>
      <c r="E4186" s="4"/>
      <c r="H4186" s="31" t="str">
        <f t="shared" si="130"/>
        <v/>
      </c>
      <c r="J4186" t="b">
        <f t="shared" si="131"/>
        <v>0</v>
      </c>
    </row>
    <row r="4187" spans="3:10" x14ac:dyDescent="0.25">
      <c r="C4187" s="4"/>
      <c r="E4187" s="4"/>
      <c r="H4187" s="31" t="str">
        <f t="shared" si="130"/>
        <v/>
      </c>
      <c r="J4187" t="b">
        <f t="shared" si="131"/>
        <v>0</v>
      </c>
    </row>
    <row r="4188" spans="3:10" x14ac:dyDescent="0.25">
      <c r="C4188" s="4"/>
      <c r="E4188" s="4"/>
      <c r="H4188" s="31" t="str">
        <f t="shared" si="130"/>
        <v/>
      </c>
      <c r="J4188" t="b">
        <f t="shared" si="131"/>
        <v>0</v>
      </c>
    </row>
    <row r="4189" spans="3:10" x14ac:dyDescent="0.25">
      <c r="C4189" s="4"/>
      <c r="E4189" s="4"/>
      <c r="H4189" s="31" t="str">
        <f t="shared" si="130"/>
        <v/>
      </c>
      <c r="J4189" t="b">
        <f t="shared" si="131"/>
        <v>0</v>
      </c>
    </row>
    <row r="4190" spans="3:10" x14ac:dyDescent="0.25">
      <c r="C4190" s="4"/>
      <c r="E4190" s="4"/>
      <c r="H4190" s="31" t="str">
        <f t="shared" si="130"/>
        <v/>
      </c>
      <c r="J4190" t="b">
        <f t="shared" si="131"/>
        <v>0</v>
      </c>
    </row>
    <row r="4191" spans="3:10" x14ac:dyDescent="0.25">
      <c r="C4191" s="4"/>
      <c r="E4191" s="4"/>
      <c r="H4191" s="31" t="str">
        <f t="shared" si="130"/>
        <v/>
      </c>
      <c r="J4191" t="b">
        <f t="shared" si="131"/>
        <v>0</v>
      </c>
    </row>
    <row r="4192" spans="3:10" x14ac:dyDescent="0.25">
      <c r="C4192" s="4"/>
      <c r="E4192" s="4"/>
      <c r="H4192" s="31" t="str">
        <f t="shared" si="130"/>
        <v/>
      </c>
      <c r="J4192" t="b">
        <f t="shared" si="131"/>
        <v>0</v>
      </c>
    </row>
    <row r="4193" spans="3:10" x14ac:dyDescent="0.25">
      <c r="C4193" s="4"/>
      <c r="E4193" s="4"/>
      <c r="H4193" s="31" t="str">
        <f t="shared" si="130"/>
        <v/>
      </c>
      <c r="J4193" t="b">
        <f t="shared" si="131"/>
        <v>0</v>
      </c>
    </row>
    <row r="4194" spans="3:10" x14ac:dyDescent="0.25">
      <c r="C4194" s="4"/>
      <c r="E4194" s="4"/>
      <c r="H4194" s="31" t="str">
        <f t="shared" si="130"/>
        <v/>
      </c>
      <c r="J4194" t="b">
        <f t="shared" si="131"/>
        <v>0</v>
      </c>
    </row>
    <row r="4195" spans="3:10" x14ac:dyDescent="0.25">
      <c r="C4195" s="4"/>
      <c r="E4195" s="4"/>
      <c r="H4195" s="31" t="str">
        <f t="shared" si="130"/>
        <v/>
      </c>
      <c r="J4195" t="b">
        <f t="shared" si="131"/>
        <v>0</v>
      </c>
    </row>
    <row r="4196" spans="3:10" x14ac:dyDescent="0.25">
      <c r="C4196" s="4"/>
      <c r="E4196" s="4"/>
      <c r="H4196" s="31" t="str">
        <f t="shared" si="130"/>
        <v/>
      </c>
      <c r="J4196" t="b">
        <f t="shared" si="131"/>
        <v>0</v>
      </c>
    </row>
    <row r="4197" spans="3:10" x14ac:dyDescent="0.25">
      <c r="C4197" s="4"/>
      <c r="E4197" s="4"/>
      <c r="H4197" s="31" t="str">
        <f t="shared" si="130"/>
        <v/>
      </c>
      <c r="J4197" t="b">
        <f t="shared" si="131"/>
        <v>0</v>
      </c>
    </row>
    <row r="4198" spans="3:10" x14ac:dyDescent="0.25">
      <c r="C4198" s="4"/>
      <c r="E4198" s="4"/>
      <c r="H4198" s="31" t="str">
        <f t="shared" si="130"/>
        <v/>
      </c>
      <c r="J4198" t="b">
        <f t="shared" si="131"/>
        <v>0</v>
      </c>
    </row>
    <row r="4199" spans="3:10" x14ac:dyDescent="0.25">
      <c r="C4199" s="4"/>
      <c r="E4199" s="4"/>
      <c r="H4199" s="31" t="str">
        <f t="shared" si="130"/>
        <v/>
      </c>
      <c r="J4199" t="b">
        <f t="shared" si="131"/>
        <v>0</v>
      </c>
    </row>
    <row r="4200" spans="3:10" x14ac:dyDescent="0.25">
      <c r="C4200" s="4"/>
      <c r="E4200" s="4"/>
      <c r="H4200" s="31" t="str">
        <f t="shared" si="130"/>
        <v/>
      </c>
      <c r="J4200" t="b">
        <f t="shared" si="131"/>
        <v>0</v>
      </c>
    </row>
    <row r="4201" spans="3:10" x14ac:dyDescent="0.25">
      <c r="C4201" s="4"/>
      <c r="E4201" s="4"/>
      <c r="H4201" s="31" t="str">
        <f t="shared" si="130"/>
        <v/>
      </c>
      <c r="J4201" t="b">
        <f t="shared" si="131"/>
        <v>0</v>
      </c>
    </row>
    <row r="4202" spans="3:10" x14ac:dyDescent="0.25">
      <c r="C4202" s="4"/>
      <c r="E4202" s="4"/>
      <c r="H4202" s="31" t="str">
        <f t="shared" si="130"/>
        <v/>
      </c>
      <c r="J4202" t="b">
        <f t="shared" si="131"/>
        <v>0</v>
      </c>
    </row>
    <row r="4203" spans="3:10" x14ac:dyDescent="0.25">
      <c r="C4203" s="4"/>
      <c r="E4203" s="4"/>
      <c r="H4203" s="31" t="str">
        <f t="shared" si="130"/>
        <v/>
      </c>
      <c r="J4203" t="b">
        <f t="shared" si="131"/>
        <v>0</v>
      </c>
    </row>
    <row r="4204" spans="3:10" x14ac:dyDescent="0.25">
      <c r="C4204" s="4"/>
      <c r="E4204" s="4"/>
      <c r="H4204" s="31" t="str">
        <f t="shared" si="130"/>
        <v/>
      </c>
      <c r="J4204" t="b">
        <f t="shared" si="131"/>
        <v>0</v>
      </c>
    </row>
    <row r="4205" spans="3:10" x14ac:dyDescent="0.25">
      <c r="C4205" s="4"/>
      <c r="E4205" s="4"/>
      <c r="H4205" s="31" t="str">
        <f t="shared" si="130"/>
        <v/>
      </c>
      <c r="J4205" t="b">
        <f t="shared" si="131"/>
        <v>0</v>
      </c>
    </row>
    <row r="4206" spans="3:10" x14ac:dyDescent="0.25">
      <c r="C4206" s="4"/>
      <c r="E4206" s="4"/>
      <c r="H4206" s="31" t="str">
        <f t="shared" si="130"/>
        <v/>
      </c>
      <c r="J4206" t="b">
        <f t="shared" si="131"/>
        <v>0</v>
      </c>
    </row>
    <row r="4207" spans="3:10" x14ac:dyDescent="0.25">
      <c r="C4207" s="4"/>
      <c r="E4207" s="4"/>
      <c r="H4207" s="31" t="str">
        <f t="shared" si="130"/>
        <v/>
      </c>
      <c r="J4207" t="b">
        <f t="shared" si="131"/>
        <v>0</v>
      </c>
    </row>
    <row r="4208" spans="3:10" x14ac:dyDescent="0.25">
      <c r="C4208" s="4"/>
      <c r="E4208" s="4"/>
      <c r="H4208" s="31" t="str">
        <f t="shared" si="130"/>
        <v/>
      </c>
      <c r="J4208" t="b">
        <f t="shared" si="131"/>
        <v>0</v>
      </c>
    </row>
    <row r="4209" spans="3:10" x14ac:dyDescent="0.25">
      <c r="C4209" s="4"/>
      <c r="E4209" s="4"/>
      <c r="H4209" s="31" t="str">
        <f t="shared" si="130"/>
        <v/>
      </c>
      <c r="J4209" t="b">
        <f t="shared" si="131"/>
        <v>0</v>
      </c>
    </row>
    <row r="4210" spans="3:10" x14ac:dyDescent="0.25">
      <c r="C4210" s="4"/>
      <c r="E4210" s="4"/>
      <c r="H4210" s="31" t="str">
        <f t="shared" si="130"/>
        <v/>
      </c>
      <c r="J4210" t="b">
        <f t="shared" si="131"/>
        <v>0</v>
      </c>
    </row>
    <row r="4211" spans="3:10" x14ac:dyDescent="0.25">
      <c r="C4211" s="4"/>
      <c r="E4211" s="4"/>
      <c r="H4211" s="31" t="str">
        <f t="shared" si="130"/>
        <v/>
      </c>
      <c r="J4211" t="b">
        <f t="shared" si="131"/>
        <v>0</v>
      </c>
    </row>
    <row r="4212" spans="3:10" x14ac:dyDescent="0.25">
      <c r="C4212" s="4"/>
      <c r="E4212" s="4"/>
      <c r="H4212" s="31" t="str">
        <f t="shared" si="130"/>
        <v/>
      </c>
      <c r="J4212" t="b">
        <f t="shared" si="131"/>
        <v>0</v>
      </c>
    </row>
    <row r="4213" spans="3:10" x14ac:dyDescent="0.25">
      <c r="C4213" s="4"/>
      <c r="E4213" s="4"/>
      <c r="H4213" s="31" t="str">
        <f t="shared" si="130"/>
        <v/>
      </c>
      <c r="J4213" t="b">
        <f t="shared" si="131"/>
        <v>0</v>
      </c>
    </row>
    <row r="4214" spans="3:10" x14ac:dyDescent="0.25">
      <c r="C4214" s="4"/>
      <c r="E4214" s="4"/>
      <c r="H4214" s="31" t="str">
        <f t="shared" si="130"/>
        <v/>
      </c>
      <c r="J4214" t="b">
        <f t="shared" si="131"/>
        <v>0</v>
      </c>
    </row>
    <row r="4215" spans="3:10" x14ac:dyDescent="0.25">
      <c r="C4215" s="4"/>
      <c r="E4215" s="4"/>
      <c r="H4215" s="31" t="str">
        <f t="shared" si="130"/>
        <v/>
      </c>
      <c r="J4215" t="b">
        <f t="shared" si="131"/>
        <v>0</v>
      </c>
    </row>
    <row r="4216" spans="3:10" x14ac:dyDescent="0.25">
      <c r="C4216" s="4"/>
      <c r="E4216" s="4"/>
      <c r="H4216" s="31" t="str">
        <f t="shared" si="130"/>
        <v/>
      </c>
      <c r="J4216" t="b">
        <f t="shared" si="131"/>
        <v>0</v>
      </c>
    </row>
    <row r="4217" spans="3:10" x14ac:dyDescent="0.25">
      <c r="C4217" s="4"/>
      <c r="E4217" s="4"/>
      <c r="H4217" s="31" t="str">
        <f t="shared" si="130"/>
        <v/>
      </c>
      <c r="J4217" t="b">
        <f t="shared" si="131"/>
        <v>0</v>
      </c>
    </row>
    <row r="4218" spans="3:10" x14ac:dyDescent="0.25">
      <c r="C4218" s="4"/>
      <c r="E4218" s="4"/>
      <c r="H4218" s="31" t="str">
        <f t="shared" si="130"/>
        <v/>
      </c>
      <c r="J4218" t="b">
        <f t="shared" si="131"/>
        <v>0</v>
      </c>
    </row>
    <row r="4219" spans="3:10" x14ac:dyDescent="0.25">
      <c r="C4219" s="4"/>
      <c r="E4219" s="4"/>
      <c r="H4219" s="31" t="str">
        <f t="shared" si="130"/>
        <v/>
      </c>
      <c r="J4219" t="b">
        <f t="shared" si="131"/>
        <v>0</v>
      </c>
    </row>
    <row r="4220" spans="3:10" x14ac:dyDescent="0.25">
      <c r="C4220" s="4"/>
      <c r="E4220" s="4"/>
      <c r="H4220" s="31" t="str">
        <f t="shared" si="130"/>
        <v/>
      </c>
      <c r="J4220" t="b">
        <f t="shared" si="131"/>
        <v>0</v>
      </c>
    </row>
    <row r="4221" spans="3:10" x14ac:dyDescent="0.25">
      <c r="C4221" s="4"/>
      <c r="E4221" s="4"/>
      <c r="H4221" s="31" t="str">
        <f t="shared" si="130"/>
        <v/>
      </c>
      <c r="J4221" t="b">
        <f t="shared" si="131"/>
        <v>0</v>
      </c>
    </row>
    <row r="4222" spans="3:10" x14ac:dyDescent="0.25">
      <c r="C4222" s="4"/>
      <c r="E4222" s="4"/>
      <c r="H4222" s="31" t="str">
        <f t="shared" si="130"/>
        <v/>
      </c>
      <c r="J4222" t="b">
        <f t="shared" si="131"/>
        <v>0</v>
      </c>
    </row>
    <row r="4223" spans="3:10" x14ac:dyDescent="0.25">
      <c r="C4223" s="4"/>
      <c r="E4223" s="4"/>
      <c r="H4223" s="31" t="str">
        <f t="shared" si="130"/>
        <v/>
      </c>
      <c r="J4223" t="b">
        <f t="shared" si="131"/>
        <v>0</v>
      </c>
    </row>
    <row r="4224" spans="3:10" x14ac:dyDescent="0.25">
      <c r="C4224" s="4"/>
      <c r="E4224" s="4"/>
      <c r="H4224" s="31" t="str">
        <f t="shared" si="130"/>
        <v/>
      </c>
      <c r="J4224" t="b">
        <f t="shared" si="131"/>
        <v>0</v>
      </c>
    </row>
    <row r="4225" spans="3:10" x14ac:dyDescent="0.25">
      <c r="C4225" s="4"/>
      <c r="E4225" s="4"/>
      <c r="H4225" s="31" t="str">
        <f t="shared" si="130"/>
        <v/>
      </c>
      <c r="J4225" t="b">
        <f t="shared" si="131"/>
        <v>0</v>
      </c>
    </row>
    <row r="4226" spans="3:10" x14ac:dyDescent="0.25">
      <c r="C4226" s="4"/>
      <c r="E4226" s="4"/>
      <c r="H4226" s="31" t="str">
        <f t="shared" si="130"/>
        <v/>
      </c>
      <c r="J4226" t="b">
        <f t="shared" si="131"/>
        <v>0</v>
      </c>
    </row>
    <row r="4227" spans="3:10" x14ac:dyDescent="0.25">
      <c r="C4227" s="4"/>
      <c r="E4227" s="4"/>
      <c r="H4227" s="31" t="str">
        <f t="shared" si="130"/>
        <v/>
      </c>
      <c r="J4227" t="b">
        <f t="shared" si="131"/>
        <v>0</v>
      </c>
    </row>
    <row r="4228" spans="3:10" x14ac:dyDescent="0.25">
      <c r="C4228" s="4"/>
      <c r="E4228" s="4"/>
      <c r="H4228" s="31" t="str">
        <f t="shared" ref="H4228:H4291" si="132">IF($J4228=TRUE,"Il ne peut y avoir des valeurs dans les 2 méthodes",IF($D4228="kg/l",$C4228,IF($D4228="g/l",$C4228/1000,IF($D4228="lb/gal US",$C4228*0.454/3.785,IF($G4228="kg/l",($E4228/100)*$F4228,IF($G4228="g/l",($E4228/100)*$F4228/1000,IF($G4228="lb/gal US",($E4228/100)*$F4228*0.454/3.785,"")))))))</f>
        <v/>
      </c>
      <c r="J4228" t="b">
        <f t="shared" ref="J4228:J4291" si="133">IF(AND(OR($C4228&lt;&gt;"",$D4228&lt;&gt;""),OR($E4228&lt;&gt;"",F4228&lt;&gt;"",G4228&lt;&gt;"")),TRUE,FALSE)</f>
        <v>0</v>
      </c>
    </row>
    <row r="4229" spans="3:10" x14ac:dyDescent="0.25">
      <c r="C4229" s="4"/>
      <c r="E4229" s="4"/>
      <c r="H4229" s="31" t="str">
        <f t="shared" si="132"/>
        <v/>
      </c>
      <c r="J4229" t="b">
        <f t="shared" si="133"/>
        <v>0</v>
      </c>
    </row>
    <row r="4230" spans="3:10" x14ac:dyDescent="0.25">
      <c r="C4230" s="4"/>
      <c r="E4230" s="4"/>
      <c r="H4230" s="31" t="str">
        <f t="shared" si="132"/>
        <v/>
      </c>
      <c r="J4230" t="b">
        <f t="shared" si="133"/>
        <v>0</v>
      </c>
    </row>
    <row r="4231" spans="3:10" x14ac:dyDescent="0.25">
      <c r="C4231" s="4"/>
      <c r="E4231" s="4"/>
      <c r="H4231" s="31" t="str">
        <f t="shared" si="132"/>
        <v/>
      </c>
      <c r="J4231" t="b">
        <f t="shared" si="133"/>
        <v>0</v>
      </c>
    </row>
    <row r="4232" spans="3:10" x14ac:dyDescent="0.25">
      <c r="C4232" s="4"/>
      <c r="E4232" s="4"/>
      <c r="H4232" s="31" t="str">
        <f t="shared" si="132"/>
        <v/>
      </c>
      <c r="J4232" t="b">
        <f t="shared" si="133"/>
        <v>0</v>
      </c>
    </row>
    <row r="4233" spans="3:10" x14ac:dyDescent="0.25">
      <c r="C4233" s="4"/>
      <c r="E4233" s="4"/>
      <c r="H4233" s="31" t="str">
        <f t="shared" si="132"/>
        <v/>
      </c>
      <c r="J4233" t="b">
        <f t="shared" si="133"/>
        <v>0</v>
      </c>
    </row>
    <row r="4234" spans="3:10" x14ac:dyDescent="0.25">
      <c r="C4234" s="4"/>
      <c r="E4234" s="4"/>
      <c r="H4234" s="31" t="str">
        <f t="shared" si="132"/>
        <v/>
      </c>
      <c r="J4234" t="b">
        <f t="shared" si="133"/>
        <v>0</v>
      </c>
    </row>
    <row r="4235" spans="3:10" x14ac:dyDescent="0.25">
      <c r="C4235" s="4"/>
      <c r="E4235" s="4"/>
      <c r="H4235" s="31" t="str">
        <f t="shared" si="132"/>
        <v/>
      </c>
      <c r="J4235" t="b">
        <f t="shared" si="133"/>
        <v>0</v>
      </c>
    </row>
    <row r="4236" spans="3:10" x14ac:dyDescent="0.25">
      <c r="C4236" s="4"/>
      <c r="E4236" s="4"/>
      <c r="H4236" s="31" t="str">
        <f t="shared" si="132"/>
        <v/>
      </c>
      <c r="J4236" t="b">
        <f t="shared" si="133"/>
        <v>0</v>
      </c>
    </row>
    <row r="4237" spans="3:10" x14ac:dyDescent="0.25">
      <c r="C4237" s="4"/>
      <c r="E4237" s="4"/>
      <c r="H4237" s="31" t="str">
        <f t="shared" si="132"/>
        <v/>
      </c>
      <c r="J4237" t="b">
        <f t="shared" si="133"/>
        <v>0</v>
      </c>
    </row>
    <row r="4238" spans="3:10" x14ac:dyDescent="0.25">
      <c r="C4238" s="4"/>
      <c r="E4238" s="4"/>
      <c r="H4238" s="31" t="str">
        <f t="shared" si="132"/>
        <v/>
      </c>
      <c r="J4238" t="b">
        <f t="shared" si="133"/>
        <v>0</v>
      </c>
    </row>
    <row r="4239" spans="3:10" x14ac:dyDescent="0.25">
      <c r="C4239" s="4"/>
      <c r="E4239" s="4"/>
      <c r="H4239" s="31" t="str">
        <f t="shared" si="132"/>
        <v/>
      </c>
      <c r="J4239" t="b">
        <f t="shared" si="133"/>
        <v>0</v>
      </c>
    </row>
    <row r="4240" spans="3:10" x14ac:dyDescent="0.25">
      <c r="C4240" s="4"/>
      <c r="E4240" s="4"/>
      <c r="H4240" s="31" t="str">
        <f t="shared" si="132"/>
        <v/>
      </c>
      <c r="J4240" t="b">
        <f t="shared" si="133"/>
        <v>0</v>
      </c>
    </row>
    <row r="4241" spans="3:10" x14ac:dyDescent="0.25">
      <c r="C4241" s="4"/>
      <c r="E4241" s="4"/>
      <c r="H4241" s="31" t="str">
        <f t="shared" si="132"/>
        <v/>
      </c>
      <c r="J4241" t="b">
        <f t="shared" si="133"/>
        <v>0</v>
      </c>
    </row>
    <row r="4242" spans="3:10" x14ac:dyDescent="0.25">
      <c r="C4242" s="4"/>
      <c r="E4242" s="4"/>
      <c r="H4242" s="31" t="str">
        <f t="shared" si="132"/>
        <v/>
      </c>
      <c r="J4242" t="b">
        <f t="shared" si="133"/>
        <v>0</v>
      </c>
    </row>
    <row r="4243" spans="3:10" x14ac:dyDescent="0.25">
      <c r="C4243" s="4"/>
      <c r="E4243" s="4"/>
      <c r="H4243" s="31" t="str">
        <f t="shared" si="132"/>
        <v/>
      </c>
      <c r="J4243" t="b">
        <f t="shared" si="133"/>
        <v>0</v>
      </c>
    </row>
    <row r="4244" spans="3:10" x14ac:dyDescent="0.25">
      <c r="C4244" s="4"/>
      <c r="E4244" s="4"/>
      <c r="H4244" s="31" t="str">
        <f t="shared" si="132"/>
        <v/>
      </c>
      <c r="J4244" t="b">
        <f t="shared" si="133"/>
        <v>0</v>
      </c>
    </row>
    <row r="4245" spans="3:10" x14ac:dyDescent="0.25">
      <c r="C4245" s="4"/>
      <c r="E4245" s="4"/>
      <c r="H4245" s="31" t="str">
        <f t="shared" si="132"/>
        <v/>
      </c>
      <c r="J4245" t="b">
        <f t="shared" si="133"/>
        <v>0</v>
      </c>
    </row>
    <row r="4246" spans="3:10" x14ac:dyDescent="0.25">
      <c r="C4246" s="4"/>
      <c r="E4246" s="4"/>
      <c r="H4246" s="31" t="str">
        <f t="shared" si="132"/>
        <v/>
      </c>
      <c r="J4246" t="b">
        <f t="shared" si="133"/>
        <v>0</v>
      </c>
    </row>
    <row r="4247" spans="3:10" x14ac:dyDescent="0.25">
      <c r="C4247" s="4"/>
      <c r="E4247" s="4"/>
      <c r="H4247" s="31" t="str">
        <f t="shared" si="132"/>
        <v/>
      </c>
      <c r="J4247" t="b">
        <f t="shared" si="133"/>
        <v>0</v>
      </c>
    </row>
    <row r="4248" spans="3:10" x14ac:dyDescent="0.25">
      <c r="C4248" s="4"/>
      <c r="E4248" s="4"/>
      <c r="H4248" s="31" t="str">
        <f t="shared" si="132"/>
        <v/>
      </c>
      <c r="J4248" t="b">
        <f t="shared" si="133"/>
        <v>0</v>
      </c>
    </row>
    <row r="4249" spans="3:10" x14ac:dyDescent="0.25">
      <c r="C4249" s="4"/>
      <c r="E4249" s="4"/>
      <c r="H4249" s="31" t="str">
        <f t="shared" si="132"/>
        <v/>
      </c>
      <c r="J4249" t="b">
        <f t="shared" si="133"/>
        <v>0</v>
      </c>
    </row>
    <row r="4250" spans="3:10" x14ac:dyDescent="0.25">
      <c r="C4250" s="4"/>
      <c r="E4250" s="4"/>
      <c r="H4250" s="31" t="str">
        <f t="shared" si="132"/>
        <v/>
      </c>
      <c r="J4250" t="b">
        <f t="shared" si="133"/>
        <v>0</v>
      </c>
    </row>
    <row r="4251" spans="3:10" x14ac:dyDescent="0.25">
      <c r="C4251" s="4"/>
      <c r="E4251" s="4"/>
      <c r="H4251" s="31" t="str">
        <f t="shared" si="132"/>
        <v/>
      </c>
      <c r="J4251" t="b">
        <f t="shared" si="133"/>
        <v>0</v>
      </c>
    </row>
    <row r="4252" spans="3:10" x14ac:dyDescent="0.25">
      <c r="C4252" s="4"/>
      <c r="E4252" s="4"/>
      <c r="H4252" s="31" t="str">
        <f t="shared" si="132"/>
        <v/>
      </c>
      <c r="J4252" t="b">
        <f t="shared" si="133"/>
        <v>0</v>
      </c>
    </row>
    <row r="4253" spans="3:10" x14ac:dyDescent="0.25">
      <c r="C4253" s="4"/>
      <c r="E4253" s="4"/>
      <c r="H4253" s="31" t="str">
        <f t="shared" si="132"/>
        <v/>
      </c>
      <c r="J4253" t="b">
        <f t="shared" si="133"/>
        <v>0</v>
      </c>
    </row>
    <row r="4254" spans="3:10" x14ac:dyDescent="0.25">
      <c r="C4254" s="4"/>
      <c r="E4254" s="4"/>
      <c r="H4254" s="31" t="str">
        <f t="shared" si="132"/>
        <v/>
      </c>
      <c r="J4254" t="b">
        <f t="shared" si="133"/>
        <v>0</v>
      </c>
    </row>
    <row r="4255" spans="3:10" x14ac:dyDescent="0.25">
      <c r="C4255" s="4"/>
      <c r="E4255" s="4"/>
      <c r="H4255" s="31" t="str">
        <f t="shared" si="132"/>
        <v/>
      </c>
      <c r="J4255" t="b">
        <f t="shared" si="133"/>
        <v>0</v>
      </c>
    </row>
    <row r="4256" spans="3:10" x14ac:dyDescent="0.25">
      <c r="C4256" s="4"/>
      <c r="E4256" s="4"/>
      <c r="H4256" s="31" t="str">
        <f t="shared" si="132"/>
        <v/>
      </c>
      <c r="J4256" t="b">
        <f t="shared" si="133"/>
        <v>0</v>
      </c>
    </row>
    <row r="4257" spans="3:10" x14ac:dyDescent="0.25">
      <c r="C4257" s="4"/>
      <c r="E4257" s="4"/>
      <c r="H4257" s="31" t="str">
        <f t="shared" si="132"/>
        <v/>
      </c>
      <c r="J4257" t="b">
        <f t="shared" si="133"/>
        <v>0</v>
      </c>
    </row>
    <row r="4258" spans="3:10" x14ac:dyDescent="0.25">
      <c r="C4258" s="4"/>
      <c r="E4258" s="4"/>
      <c r="H4258" s="31" t="str">
        <f t="shared" si="132"/>
        <v/>
      </c>
      <c r="J4258" t="b">
        <f t="shared" si="133"/>
        <v>0</v>
      </c>
    </row>
    <row r="4259" spans="3:10" x14ac:dyDescent="0.25">
      <c r="C4259" s="4"/>
      <c r="E4259" s="4"/>
      <c r="H4259" s="31" t="str">
        <f t="shared" si="132"/>
        <v/>
      </c>
      <c r="J4259" t="b">
        <f t="shared" si="133"/>
        <v>0</v>
      </c>
    </row>
    <row r="4260" spans="3:10" x14ac:dyDescent="0.25">
      <c r="C4260" s="4"/>
      <c r="E4260" s="4"/>
      <c r="H4260" s="31" t="str">
        <f t="shared" si="132"/>
        <v/>
      </c>
      <c r="J4260" t="b">
        <f t="shared" si="133"/>
        <v>0</v>
      </c>
    </row>
    <row r="4261" spans="3:10" x14ac:dyDescent="0.25">
      <c r="C4261" s="4"/>
      <c r="E4261" s="4"/>
      <c r="H4261" s="31" t="str">
        <f t="shared" si="132"/>
        <v/>
      </c>
      <c r="J4261" t="b">
        <f t="shared" si="133"/>
        <v>0</v>
      </c>
    </row>
    <row r="4262" spans="3:10" x14ac:dyDescent="0.25">
      <c r="C4262" s="4"/>
      <c r="E4262" s="4"/>
      <c r="H4262" s="31" t="str">
        <f t="shared" si="132"/>
        <v/>
      </c>
      <c r="J4262" t="b">
        <f t="shared" si="133"/>
        <v>0</v>
      </c>
    </row>
    <row r="4263" spans="3:10" x14ac:dyDescent="0.25">
      <c r="C4263" s="4"/>
      <c r="E4263" s="4"/>
      <c r="H4263" s="31" t="str">
        <f t="shared" si="132"/>
        <v/>
      </c>
      <c r="J4263" t="b">
        <f t="shared" si="133"/>
        <v>0</v>
      </c>
    </row>
    <row r="4264" spans="3:10" x14ac:dyDescent="0.25">
      <c r="C4264" s="4"/>
      <c r="E4264" s="4"/>
      <c r="H4264" s="31" t="str">
        <f t="shared" si="132"/>
        <v/>
      </c>
      <c r="J4264" t="b">
        <f t="shared" si="133"/>
        <v>0</v>
      </c>
    </row>
    <row r="4265" spans="3:10" x14ac:dyDescent="0.25">
      <c r="C4265" s="4"/>
      <c r="E4265" s="4"/>
      <c r="H4265" s="31" t="str">
        <f t="shared" si="132"/>
        <v/>
      </c>
      <c r="J4265" t="b">
        <f t="shared" si="133"/>
        <v>0</v>
      </c>
    </row>
    <row r="4266" spans="3:10" x14ac:dyDescent="0.25">
      <c r="C4266" s="4"/>
      <c r="E4266" s="4"/>
      <c r="H4266" s="31" t="str">
        <f t="shared" si="132"/>
        <v/>
      </c>
      <c r="J4266" t="b">
        <f t="shared" si="133"/>
        <v>0</v>
      </c>
    </row>
    <row r="4267" spans="3:10" x14ac:dyDescent="0.25">
      <c r="C4267" s="4"/>
      <c r="E4267" s="4"/>
      <c r="H4267" s="31" t="str">
        <f t="shared" si="132"/>
        <v/>
      </c>
      <c r="J4267" t="b">
        <f t="shared" si="133"/>
        <v>0</v>
      </c>
    </row>
    <row r="4268" spans="3:10" x14ac:dyDescent="0.25">
      <c r="C4268" s="4"/>
      <c r="E4268" s="4"/>
      <c r="H4268" s="31" t="str">
        <f t="shared" si="132"/>
        <v/>
      </c>
      <c r="J4268" t="b">
        <f t="shared" si="133"/>
        <v>0</v>
      </c>
    </row>
    <row r="4269" spans="3:10" x14ac:dyDescent="0.25">
      <c r="C4269" s="4"/>
      <c r="E4269" s="4"/>
      <c r="H4269" s="31" t="str">
        <f t="shared" si="132"/>
        <v/>
      </c>
      <c r="J4269" t="b">
        <f t="shared" si="133"/>
        <v>0</v>
      </c>
    </row>
    <row r="4270" spans="3:10" x14ac:dyDescent="0.25">
      <c r="C4270" s="4"/>
      <c r="E4270" s="4"/>
      <c r="H4270" s="31" t="str">
        <f t="shared" si="132"/>
        <v/>
      </c>
      <c r="J4270" t="b">
        <f t="shared" si="133"/>
        <v>0</v>
      </c>
    </row>
    <row r="4271" spans="3:10" x14ac:dyDescent="0.25">
      <c r="C4271" s="4"/>
      <c r="E4271" s="4"/>
      <c r="H4271" s="31" t="str">
        <f t="shared" si="132"/>
        <v/>
      </c>
      <c r="J4271" t="b">
        <f t="shared" si="133"/>
        <v>0</v>
      </c>
    </row>
    <row r="4272" spans="3:10" x14ac:dyDescent="0.25">
      <c r="C4272" s="4"/>
      <c r="E4272" s="4"/>
      <c r="H4272" s="31" t="str">
        <f t="shared" si="132"/>
        <v/>
      </c>
      <c r="J4272" t="b">
        <f t="shared" si="133"/>
        <v>0</v>
      </c>
    </row>
    <row r="4273" spans="3:10" x14ac:dyDescent="0.25">
      <c r="C4273" s="4"/>
      <c r="E4273" s="4"/>
      <c r="H4273" s="31" t="str">
        <f t="shared" si="132"/>
        <v/>
      </c>
      <c r="J4273" t="b">
        <f t="shared" si="133"/>
        <v>0</v>
      </c>
    </row>
    <row r="4274" spans="3:10" x14ac:dyDescent="0.25">
      <c r="C4274" s="4"/>
      <c r="E4274" s="4"/>
      <c r="H4274" s="31" t="str">
        <f t="shared" si="132"/>
        <v/>
      </c>
      <c r="J4274" t="b">
        <f t="shared" si="133"/>
        <v>0</v>
      </c>
    </row>
    <row r="4275" spans="3:10" x14ac:dyDescent="0.25">
      <c r="C4275" s="4"/>
      <c r="E4275" s="4"/>
      <c r="H4275" s="31" t="str">
        <f t="shared" si="132"/>
        <v/>
      </c>
      <c r="J4275" t="b">
        <f t="shared" si="133"/>
        <v>0</v>
      </c>
    </row>
    <row r="4276" spans="3:10" x14ac:dyDescent="0.25">
      <c r="C4276" s="4"/>
      <c r="E4276" s="4"/>
      <c r="H4276" s="31" t="str">
        <f t="shared" si="132"/>
        <v/>
      </c>
      <c r="J4276" t="b">
        <f t="shared" si="133"/>
        <v>0</v>
      </c>
    </row>
    <row r="4277" spans="3:10" x14ac:dyDescent="0.25">
      <c r="C4277" s="4"/>
      <c r="E4277" s="4"/>
      <c r="H4277" s="31" t="str">
        <f t="shared" si="132"/>
        <v/>
      </c>
      <c r="J4277" t="b">
        <f t="shared" si="133"/>
        <v>0</v>
      </c>
    </row>
    <row r="4278" spans="3:10" x14ac:dyDescent="0.25">
      <c r="C4278" s="4"/>
      <c r="E4278" s="4"/>
      <c r="H4278" s="31" t="str">
        <f t="shared" si="132"/>
        <v/>
      </c>
      <c r="J4278" t="b">
        <f t="shared" si="133"/>
        <v>0</v>
      </c>
    </row>
    <row r="4279" spans="3:10" x14ac:dyDescent="0.25">
      <c r="C4279" s="4"/>
      <c r="E4279" s="4"/>
      <c r="H4279" s="31" t="str">
        <f t="shared" si="132"/>
        <v/>
      </c>
      <c r="J4279" t="b">
        <f t="shared" si="133"/>
        <v>0</v>
      </c>
    </row>
    <row r="4280" spans="3:10" x14ac:dyDescent="0.25">
      <c r="C4280" s="4"/>
      <c r="E4280" s="4"/>
      <c r="H4280" s="31" t="str">
        <f t="shared" si="132"/>
        <v/>
      </c>
      <c r="J4280" t="b">
        <f t="shared" si="133"/>
        <v>0</v>
      </c>
    </row>
    <row r="4281" spans="3:10" x14ac:dyDescent="0.25">
      <c r="C4281" s="4"/>
      <c r="E4281" s="4"/>
      <c r="H4281" s="31" t="str">
        <f t="shared" si="132"/>
        <v/>
      </c>
      <c r="J4281" t="b">
        <f t="shared" si="133"/>
        <v>0</v>
      </c>
    </row>
    <row r="4282" spans="3:10" x14ac:dyDescent="0.25">
      <c r="C4282" s="4"/>
      <c r="E4282" s="4"/>
      <c r="H4282" s="31" t="str">
        <f t="shared" si="132"/>
        <v/>
      </c>
      <c r="J4282" t="b">
        <f t="shared" si="133"/>
        <v>0</v>
      </c>
    </row>
    <row r="4283" spans="3:10" x14ac:dyDescent="0.25">
      <c r="C4283" s="4"/>
      <c r="E4283" s="4"/>
      <c r="H4283" s="31" t="str">
        <f t="shared" si="132"/>
        <v/>
      </c>
      <c r="J4283" t="b">
        <f t="shared" si="133"/>
        <v>0</v>
      </c>
    </row>
    <row r="4284" spans="3:10" x14ac:dyDescent="0.25">
      <c r="C4284" s="4"/>
      <c r="E4284" s="4"/>
      <c r="H4284" s="31" t="str">
        <f t="shared" si="132"/>
        <v/>
      </c>
      <c r="J4284" t="b">
        <f t="shared" si="133"/>
        <v>0</v>
      </c>
    </row>
    <row r="4285" spans="3:10" x14ac:dyDescent="0.25">
      <c r="C4285" s="4"/>
      <c r="E4285" s="4"/>
      <c r="H4285" s="31" t="str">
        <f t="shared" si="132"/>
        <v/>
      </c>
      <c r="J4285" t="b">
        <f t="shared" si="133"/>
        <v>0</v>
      </c>
    </row>
    <row r="4286" spans="3:10" x14ac:dyDescent="0.25">
      <c r="C4286" s="4"/>
      <c r="E4286" s="4"/>
      <c r="H4286" s="31" t="str">
        <f t="shared" si="132"/>
        <v/>
      </c>
      <c r="J4286" t="b">
        <f t="shared" si="133"/>
        <v>0</v>
      </c>
    </row>
    <row r="4287" spans="3:10" x14ac:dyDescent="0.25">
      <c r="C4287" s="4"/>
      <c r="E4287" s="4"/>
      <c r="H4287" s="31" t="str">
        <f t="shared" si="132"/>
        <v/>
      </c>
      <c r="J4287" t="b">
        <f t="shared" si="133"/>
        <v>0</v>
      </c>
    </row>
    <row r="4288" spans="3:10" x14ac:dyDescent="0.25">
      <c r="C4288" s="4"/>
      <c r="E4288" s="4"/>
      <c r="H4288" s="31" t="str">
        <f t="shared" si="132"/>
        <v/>
      </c>
      <c r="J4288" t="b">
        <f t="shared" si="133"/>
        <v>0</v>
      </c>
    </row>
    <row r="4289" spans="3:10" x14ac:dyDescent="0.25">
      <c r="C4289" s="4"/>
      <c r="E4289" s="4"/>
      <c r="H4289" s="31" t="str">
        <f t="shared" si="132"/>
        <v/>
      </c>
      <c r="J4289" t="b">
        <f t="shared" si="133"/>
        <v>0</v>
      </c>
    </row>
    <row r="4290" spans="3:10" x14ac:dyDescent="0.25">
      <c r="C4290" s="4"/>
      <c r="E4290" s="4"/>
      <c r="H4290" s="31" t="str">
        <f t="shared" si="132"/>
        <v/>
      </c>
      <c r="J4290" t="b">
        <f t="shared" si="133"/>
        <v>0</v>
      </c>
    </row>
    <row r="4291" spans="3:10" x14ac:dyDescent="0.25">
      <c r="C4291" s="4"/>
      <c r="E4291" s="4"/>
      <c r="H4291" s="31" t="str">
        <f t="shared" si="132"/>
        <v/>
      </c>
      <c r="J4291" t="b">
        <f t="shared" si="133"/>
        <v>0</v>
      </c>
    </row>
    <row r="4292" spans="3:10" x14ac:dyDescent="0.25">
      <c r="C4292" s="4"/>
      <c r="E4292" s="4"/>
      <c r="H4292" s="31" t="str">
        <f t="shared" ref="H4292:H4355" si="134">IF($J4292=TRUE,"Il ne peut y avoir des valeurs dans les 2 méthodes",IF($D4292="kg/l",$C4292,IF($D4292="g/l",$C4292/1000,IF($D4292="lb/gal US",$C4292*0.454/3.785,IF($G4292="kg/l",($E4292/100)*$F4292,IF($G4292="g/l",($E4292/100)*$F4292/1000,IF($G4292="lb/gal US",($E4292/100)*$F4292*0.454/3.785,"")))))))</f>
        <v/>
      </c>
      <c r="J4292" t="b">
        <f t="shared" ref="J4292:J4355" si="135">IF(AND(OR($C4292&lt;&gt;"",$D4292&lt;&gt;""),OR($E4292&lt;&gt;"",F4292&lt;&gt;"",G4292&lt;&gt;"")),TRUE,FALSE)</f>
        <v>0</v>
      </c>
    </row>
    <row r="4293" spans="3:10" x14ac:dyDescent="0.25">
      <c r="C4293" s="4"/>
      <c r="E4293" s="4"/>
      <c r="H4293" s="31" t="str">
        <f t="shared" si="134"/>
        <v/>
      </c>
      <c r="J4293" t="b">
        <f t="shared" si="135"/>
        <v>0</v>
      </c>
    </row>
    <row r="4294" spans="3:10" x14ac:dyDescent="0.25">
      <c r="C4294" s="4"/>
      <c r="E4294" s="4"/>
      <c r="H4294" s="31" t="str">
        <f t="shared" si="134"/>
        <v/>
      </c>
      <c r="J4294" t="b">
        <f t="shared" si="135"/>
        <v>0</v>
      </c>
    </row>
    <row r="4295" spans="3:10" x14ac:dyDescent="0.25">
      <c r="C4295" s="4"/>
      <c r="E4295" s="4"/>
      <c r="H4295" s="31" t="str">
        <f t="shared" si="134"/>
        <v/>
      </c>
      <c r="J4295" t="b">
        <f t="shared" si="135"/>
        <v>0</v>
      </c>
    </row>
    <row r="4296" spans="3:10" x14ac:dyDescent="0.25">
      <c r="C4296" s="4"/>
      <c r="E4296" s="4"/>
      <c r="H4296" s="31" t="str">
        <f t="shared" si="134"/>
        <v/>
      </c>
      <c r="J4296" t="b">
        <f t="shared" si="135"/>
        <v>0</v>
      </c>
    </row>
    <row r="4297" spans="3:10" x14ac:dyDescent="0.25">
      <c r="C4297" s="4"/>
      <c r="E4297" s="4"/>
      <c r="H4297" s="31" t="str">
        <f t="shared" si="134"/>
        <v/>
      </c>
      <c r="J4297" t="b">
        <f t="shared" si="135"/>
        <v>0</v>
      </c>
    </row>
    <row r="4298" spans="3:10" x14ac:dyDescent="0.25">
      <c r="C4298" s="4"/>
      <c r="E4298" s="4"/>
      <c r="H4298" s="31" t="str">
        <f t="shared" si="134"/>
        <v/>
      </c>
      <c r="J4298" t="b">
        <f t="shared" si="135"/>
        <v>0</v>
      </c>
    </row>
    <row r="4299" spans="3:10" x14ac:dyDescent="0.25">
      <c r="C4299" s="4"/>
      <c r="E4299" s="4"/>
      <c r="H4299" s="31" t="str">
        <f t="shared" si="134"/>
        <v/>
      </c>
      <c r="J4299" t="b">
        <f t="shared" si="135"/>
        <v>0</v>
      </c>
    </row>
    <row r="4300" spans="3:10" x14ac:dyDescent="0.25">
      <c r="C4300" s="4"/>
      <c r="E4300" s="4"/>
      <c r="H4300" s="31" t="str">
        <f t="shared" si="134"/>
        <v/>
      </c>
      <c r="J4300" t="b">
        <f t="shared" si="135"/>
        <v>0</v>
      </c>
    </row>
    <row r="4301" spans="3:10" x14ac:dyDescent="0.25">
      <c r="C4301" s="4"/>
      <c r="E4301" s="4"/>
      <c r="H4301" s="31" t="str">
        <f t="shared" si="134"/>
        <v/>
      </c>
      <c r="J4301" t="b">
        <f t="shared" si="135"/>
        <v>0</v>
      </c>
    </row>
    <row r="4302" spans="3:10" x14ac:dyDescent="0.25">
      <c r="C4302" s="4"/>
      <c r="E4302" s="4"/>
      <c r="H4302" s="31" t="str">
        <f t="shared" si="134"/>
        <v/>
      </c>
      <c r="J4302" t="b">
        <f t="shared" si="135"/>
        <v>0</v>
      </c>
    </row>
    <row r="4303" spans="3:10" x14ac:dyDescent="0.25">
      <c r="C4303" s="4"/>
      <c r="E4303" s="4"/>
      <c r="H4303" s="31" t="str">
        <f t="shared" si="134"/>
        <v/>
      </c>
      <c r="J4303" t="b">
        <f t="shared" si="135"/>
        <v>0</v>
      </c>
    </row>
    <row r="4304" spans="3:10" x14ac:dyDescent="0.25">
      <c r="C4304" s="4"/>
      <c r="E4304" s="4"/>
      <c r="H4304" s="31" t="str">
        <f t="shared" si="134"/>
        <v/>
      </c>
      <c r="J4304" t="b">
        <f t="shared" si="135"/>
        <v>0</v>
      </c>
    </row>
    <row r="4305" spans="3:10" x14ac:dyDescent="0.25">
      <c r="C4305" s="4"/>
      <c r="E4305" s="4"/>
      <c r="H4305" s="31" t="str">
        <f t="shared" si="134"/>
        <v/>
      </c>
      <c r="J4305" t="b">
        <f t="shared" si="135"/>
        <v>0</v>
      </c>
    </row>
    <row r="4306" spans="3:10" x14ac:dyDescent="0.25">
      <c r="C4306" s="4"/>
      <c r="E4306" s="4"/>
      <c r="H4306" s="31" t="str">
        <f t="shared" si="134"/>
        <v/>
      </c>
      <c r="J4306" t="b">
        <f t="shared" si="135"/>
        <v>0</v>
      </c>
    </row>
    <row r="4307" spans="3:10" x14ac:dyDescent="0.25">
      <c r="C4307" s="4"/>
      <c r="E4307" s="4"/>
      <c r="H4307" s="31" t="str">
        <f t="shared" si="134"/>
        <v/>
      </c>
      <c r="J4307" t="b">
        <f t="shared" si="135"/>
        <v>0</v>
      </c>
    </row>
    <row r="4308" spans="3:10" x14ac:dyDescent="0.25">
      <c r="C4308" s="4"/>
      <c r="E4308" s="4"/>
      <c r="H4308" s="31" t="str">
        <f t="shared" si="134"/>
        <v/>
      </c>
      <c r="J4308" t="b">
        <f t="shared" si="135"/>
        <v>0</v>
      </c>
    </row>
    <row r="4309" spans="3:10" x14ac:dyDescent="0.25">
      <c r="C4309" s="4"/>
      <c r="E4309" s="4"/>
      <c r="H4309" s="31" t="str">
        <f t="shared" si="134"/>
        <v/>
      </c>
      <c r="J4309" t="b">
        <f t="shared" si="135"/>
        <v>0</v>
      </c>
    </row>
    <row r="4310" spans="3:10" x14ac:dyDescent="0.25">
      <c r="C4310" s="4"/>
      <c r="E4310" s="4"/>
      <c r="H4310" s="31" t="str">
        <f t="shared" si="134"/>
        <v/>
      </c>
      <c r="J4310" t="b">
        <f t="shared" si="135"/>
        <v>0</v>
      </c>
    </row>
    <row r="4311" spans="3:10" x14ac:dyDescent="0.25">
      <c r="C4311" s="4"/>
      <c r="E4311" s="4"/>
      <c r="H4311" s="31" t="str">
        <f t="shared" si="134"/>
        <v/>
      </c>
      <c r="J4311" t="b">
        <f t="shared" si="135"/>
        <v>0</v>
      </c>
    </row>
    <row r="4312" spans="3:10" x14ac:dyDescent="0.25">
      <c r="C4312" s="4"/>
      <c r="E4312" s="4"/>
      <c r="H4312" s="31" t="str">
        <f t="shared" si="134"/>
        <v/>
      </c>
      <c r="J4312" t="b">
        <f t="shared" si="135"/>
        <v>0</v>
      </c>
    </row>
    <row r="4313" spans="3:10" x14ac:dyDescent="0.25">
      <c r="C4313" s="4"/>
      <c r="E4313" s="4"/>
      <c r="H4313" s="31" t="str">
        <f t="shared" si="134"/>
        <v/>
      </c>
      <c r="J4313" t="b">
        <f t="shared" si="135"/>
        <v>0</v>
      </c>
    </row>
    <row r="4314" spans="3:10" x14ac:dyDescent="0.25">
      <c r="C4314" s="4"/>
      <c r="E4314" s="4"/>
      <c r="H4314" s="31" t="str">
        <f t="shared" si="134"/>
        <v/>
      </c>
      <c r="J4314" t="b">
        <f t="shared" si="135"/>
        <v>0</v>
      </c>
    </row>
    <row r="4315" spans="3:10" x14ac:dyDescent="0.25">
      <c r="C4315" s="4"/>
      <c r="E4315" s="4"/>
      <c r="H4315" s="31" t="str">
        <f t="shared" si="134"/>
        <v/>
      </c>
      <c r="J4315" t="b">
        <f t="shared" si="135"/>
        <v>0</v>
      </c>
    </row>
    <row r="4316" spans="3:10" x14ac:dyDescent="0.25">
      <c r="C4316" s="4"/>
      <c r="E4316" s="4"/>
      <c r="H4316" s="31" t="str">
        <f t="shared" si="134"/>
        <v/>
      </c>
      <c r="J4316" t="b">
        <f t="shared" si="135"/>
        <v>0</v>
      </c>
    </row>
    <row r="4317" spans="3:10" x14ac:dyDescent="0.25">
      <c r="C4317" s="4"/>
      <c r="E4317" s="4"/>
      <c r="H4317" s="31" t="str">
        <f t="shared" si="134"/>
        <v/>
      </c>
      <c r="J4317" t="b">
        <f t="shared" si="135"/>
        <v>0</v>
      </c>
    </row>
    <row r="4318" spans="3:10" x14ac:dyDescent="0.25">
      <c r="C4318" s="4"/>
      <c r="E4318" s="4"/>
      <c r="H4318" s="31" t="str">
        <f t="shared" si="134"/>
        <v/>
      </c>
      <c r="J4318" t="b">
        <f t="shared" si="135"/>
        <v>0</v>
      </c>
    </row>
    <row r="4319" spans="3:10" x14ac:dyDescent="0.25">
      <c r="C4319" s="4"/>
      <c r="E4319" s="4"/>
      <c r="H4319" s="31" t="str">
        <f t="shared" si="134"/>
        <v/>
      </c>
      <c r="J4319" t="b">
        <f t="shared" si="135"/>
        <v>0</v>
      </c>
    </row>
    <row r="4320" spans="3:10" x14ac:dyDescent="0.25">
      <c r="C4320" s="4"/>
      <c r="E4320" s="4"/>
      <c r="H4320" s="31" t="str">
        <f t="shared" si="134"/>
        <v/>
      </c>
      <c r="J4320" t="b">
        <f t="shared" si="135"/>
        <v>0</v>
      </c>
    </row>
    <row r="4321" spans="3:10" x14ac:dyDescent="0.25">
      <c r="C4321" s="4"/>
      <c r="E4321" s="4"/>
      <c r="H4321" s="31" t="str">
        <f t="shared" si="134"/>
        <v/>
      </c>
      <c r="J4321" t="b">
        <f t="shared" si="135"/>
        <v>0</v>
      </c>
    </row>
    <row r="4322" spans="3:10" x14ac:dyDescent="0.25">
      <c r="C4322" s="4"/>
      <c r="E4322" s="4"/>
      <c r="H4322" s="31" t="str">
        <f t="shared" si="134"/>
        <v/>
      </c>
      <c r="J4322" t="b">
        <f t="shared" si="135"/>
        <v>0</v>
      </c>
    </row>
    <row r="4323" spans="3:10" x14ac:dyDescent="0.25">
      <c r="C4323" s="4"/>
      <c r="E4323" s="4"/>
      <c r="H4323" s="31" t="str">
        <f t="shared" si="134"/>
        <v/>
      </c>
      <c r="J4323" t="b">
        <f t="shared" si="135"/>
        <v>0</v>
      </c>
    </row>
    <row r="4324" spans="3:10" x14ac:dyDescent="0.25">
      <c r="C4324" s="4"/>
      <c r="E4324" s="4"/>
      <c r="H4324" s="31" t="str">
        <f t="shared" si="134"/>
        <v/>
      </c>
      <c r="J4324" t="b">
        <f t="shared" si="135"/>
        <v>0</v>
      </c>
    </row>
    <row r="4325" spans="3:10" x14ac:dyDescent="0.25">
      <c r="C4325" s="4"/>
      <c r="E4325" s="4"/>
      <c r="H4325" s="31" t="str">
        <f t="shared" si="134"/>
        <v/>
      </c>
      <c r="J4325" t="b">
        <f t="shared" si="135"/>
        <v>0</v>
      </c>
    </row>
    <row r="4326" spans="3:10" x14ac:dyDescent="0.25">
      <c r="C4326" s="4"/>
      <c r="E4326" s="4"/>
      <c r="H4326" s="31" t="str">
        <f t="shared" si="134"/>
        <v/>
      </c>
      <c r="J4326" t="b">
        <f t="shared" si="135"/>
        <v>0</v>
      </c>
    </row>
    <row r="4327" spans="3:10" x14ac:dyDescent="0.25">
      <c r="C4327" s="4"/>
      <c r="E4327" s="4"/>
      <c r="H4327" s="31" t="str">
        <f t="shared" si="134"/>
        <v/>
      </c>
      <c r="J4327" t="b">
        <f t="shared" si="135"/>
        <v>0</v>
      </c>
    </row>
    <row r="4328" spans="3:10" x14ac:dyDescent="0.25">
      <c r="C4328" s="4"/>
      <c r="E4328" s="4"/>
      <c r="H4328" s="31" t="str">
        <f t="shared" si="134"/>
        <v/>
      </c>
      <c r="J4328" t="b">
        <f t="shared" si="135"/>
        <v>0</v>
      </c>
    </row>
    <row r="4329" spans="3:10" x14ac:dyDescent="0.25">
      <c r="C4329" s="4"/>
      <c r="E4329" s="4"/>
      <c r="H4329" s="31" t="str">
        <f t="shared" si="134"/>
        <v/>
      </c>
      <c r="J4329" t="b">
        <f t="shared" si="135"/>
        <v>0</v>
      </c>
    </row>
    <row r="4330" spans="3:10" x14ac:dyDescent="0.25">
      <c r="C4330" s="4"/>
      <c r="E4330" s="4"/>
      <c r="H4330" s="31" t="str">
        <f t="shared" si="134"/>
        <v/>
      </c>
      <c r="J4330" t="b">
        <f t="shared" si="135"/>
        <v>0</v>
      </c>
    </row>
    <row r="4331" spans="3:10" x14ac:dyDescent="0.25">
      <c r="C4331" s="4"/>
      <c r="E4331" s="4"/>
      <c r="H4331" s="31" t="str">
        <f t="shared" si="134"/>
        <v/>
      </c>
      <c r="J4331" t="b">
        <f t="shared" si="135"/>
        <v>0</v>
      </c>
    </row>
    <row r="4332" spans="3:10" x14ac:dyDescent="0.25">
      <c r="C4332" s="4"/>
      <c r="E4332" s="4"/>
      <c r="H4332" s="31" t="str">
        <f t="shared" si="134"/>
        <v/>
      </c>
      <c r="J4332" t="b">
        <f t="shared" si="135"/>
        <v>0</v>
      </c>
    </row>
    <row r="4333" spans="3:10" x14ac:dyDescent="0.25">
      <c r="C4333" s="4"/>
      <c r="E4333" s="4"/>
      <c r="H4333" s="31" t="str">
        <f t="shared" si="134"/>
        <v/>
      </c>
      <c r="J4333" t="b">
        <f t="shared" si="135"/>
        <v>0</v>
      </c>
    </row>
    <row r="4334" spans="3:10" x14ac:dyDescent="0.25">
      <c r="C4334" s="4"/>
      <c r="E4334" s="4"/>
      <c r="H4334" s="31" t="str">
        <f t="shared" si="134"/>
        <v/>
      </c>
      <c r="J4334" t="b">
        <f t="shared" si="135"/>
        <v>0</v>
      </c>
    </row>
    <row r="4335" spans="3:10" x14ac:dyDescent="0.25">
      <c r="C4335" s="4"/>
      <c r="E4335" s="4"/>
      <c r="H4335" s="31" t="str">
        <f t="shared" si="134"/>
        <v/>
      </c>
      <c r="J4335" t="b">
        <f t="shared" si="135"/>
        <v>0</v>
      </c>
    </row>
    <row r="4336" spans="3:10" x14ac:dyDescent="0.25">
      <c r="C4336" s="4"/>
      <c r="E4336" s="4"/>
      <c r="H4336" s="31" t="str">
        <f t="shared" si="134"/>
        <v/>
      </c>
      <c r="J4336" t="b">
        <f t="shared" si="135"/>
        <v>0</v>
      </c>
    </row>
    <row r="4337" spans="3:10" x14ac:dyDescent="0.25">
      <c r="C4337" s="4"/>
      <c r="E4337" s="4"/>
      <c r="H4337" s="31" t="str">
        <f t="shared" si="134"/>
        <v/>
      </c>
      <c r="J4337" t="b">
        <f t="shared" si="135"/>
        <v>0</v>
      </c>
    </row>
    <row r="4338" spans="3:10" x14ac:dyDescent="0.25">
      <c r="C4338" s="4"/>
      <c r="E4338" s="4"/>
      <c r="H4338" s="31" t="str">
        <f t="shared" si="134"/>
        <v/>
      </c>
      <c r="J4338" t="b">
        <f t="shared" si="135"/>
        <v>0</v>
      </c>
    </row>
    <row r="4339" spans="3:10" x14ac:dyDescent="0.25">
      <c r="C4339" s="4"/>
      <c r="E4339" s="4"/>
      <c r="H4339" s="31" t="str">
        <f t="shared" si="134"/>
        <v/>
      </c>
      <c r="J4339" t="b">
        <f t="shared" si="135"/>
        <v>0</v>
      </c>
    </row>
    <row r="4340" spans="3:10" x14ac:dyDescent="0.25">
      <c r="C4340" s="4"/>
      <c r="E4340" s="4"/>
      <c r="H4340" s="31" t="str">
        <f t="shared" si="134"/>
        <v/>
      </c>
      <c r="J4340" t="b">
        <f t="shared" si="135"/>
        <v>0</v>
      </c>
    </row>
    <row r="4341" spans="3:10" x14ac:dyDescent="0.25">
      <c r="C4341" s="4"/>
      <c r="E4341" s="4"/>
      <c r="H4341" s="31" t="str">
        <f t="shared" si="134"/>
        <v/>
      </c>
      <c r="J4341" t="b">
        <f t="shared" si="135"/>
        <v>0</v>
      </c>
    </row>
    <row r="4342" spans="3:10" x14ac:dyDescent="0.25">
      <c r="C4342" s="4"/>
      <c r="E4342" s="4"/>
      <c r="H4342" s="31" t="str">
        <f t="shared" si="134"/>
        <v/>
      </c>
      <c r="J4342" t="b">
        <f t="shared" si="135"/>
        <v>0</v>
      </c>
    </row>
    <row r="4343" spans="3:10" x14ac:dyDescent="0.25">
      <c r="C4343" s="4"/>
      <c r="E4343" s="4"/>
      <c r="H4343" s="31" t="str">
        <f t="shared" si="134"/>
        <v/>
      </c>
      <c r="J4343" t="b">
        <f t="shared" si="135"/>
        <v>0</v>
      </c>
    </row>
    <row r="4344" spans="3:10" x14ac:dyDescent="0.25">
      <c r="C4344" s="4"/>
      <c r="E4344" s="4"/>
      <c r="H4344" s="31" t="str">
        <f t="shared" si="134"/>
        <v/>
      </c>
      <c r="J4344" t="b">
        <f t="shared" si="135"/>
        <v>0</v>
      </c>
    </row>
    <row r="4345" spans="3:10" x14ac:dyDescent="0.25">
      <c r="C4345" s="4"/>
      <c r="E4345" s="4"/>
      <c r="H4345" s="31" t="str">
        <f t="shared" si="134"/>
        <v/>
      </c>
      <c r="J4345" t="b">
        <f t="shared" si="135"/>
        <v>0</v>
      </c>
    </row>
    <row r="4346" spans="3:10" x14ac:dyDescent="0.25">
      <c r="C4346" s="4"/>
      <c r="E4346" s="4"/>
      <c r="H4346" s="31" t="str">
        <f t="shared" si="134"/>
        <v/>
      </c>
      <c r="J4346" t="b">
        <f t="shared" si="135"/>
        <v>0</v>
      </c>
    </row>
    <row r="4347" spans="3:10" x14ac:dyDescent="0.25">
      <c r="C4347" s="4"/>
      <c r="E4347" s="4"/>
      <c r="H4347" s="31" t="str">
        <f t="shared" si="134"/>
        <v/>
      </c>
      <c r="J4347" t="b">
        <f t="shared" si="135"/>
        <v>0</v>
      </c>
    </row>
    <row r="4348" spans="3:10" x14ac:dyDescent="0.25">
      <c r="C4348" s="4"/>
      <c r="E4348" s="4"/>
      <c r="H4348" s="31" t="str">
        <f t="shared" si="134"/>
        <v/>
      </c>
      <c r="J4348" t="b">
        <f t="shared" si="135"/>
        <v>0</v>
      </c>
    </row>
    <row r="4349" spans="3:10" x14ac:dyDescent="0.25">
      <c r="C4349" s="4"/>
      <c r="E4349" s="4"/>
      <c r="H4349" s="31" t="str">
        <f t="shared" si="134"/>
        <v/>
      </c>
      <c r="J4349" t="b">
        <f t="shared" si="135"/>
        <v>0</v>
      </c>
    </row>
    <row r="4350" spans="3:10" x14ac:dyDescent="0.25">
      <c r="C4350" s="4"/>
      <c r="E4350" s="4"/>
      <c r="H4350" s="31" t="str">
        <f t="shared" si="134"/>
        <v/>
      </c>
      <c r="J4350" t="b">
        <f t="shared" si="135"/>
        <v>0</v>
      </c>
    </row>
    <row r="4351" spans="3:10" x14ac:dyDescent="0.25">
      <c r="C4351" s="4"/>
      <c r="E4351" s="4"/>
      <c r="H4351" s="31" t="str">
        <f t="shared" si="134"/>
        <v/>
      </c>
      <c r="J4351" t="b">
        <f t="shared" si="135"/>
        <v>0</v>
      </c>
    </row>
    <row r="4352" spans="3:10" x14ac:dyDescent="0.25">
      <c r="C4352" s="4"/>
      <c r="E4352" s="4"/>
      <c r="H4352" s="31" t="str">
        <f t="shared" si="134"/>
        <v/>
      </c>
      <c r="J4352" t="b">
        <f t="shared" si="135"/>
        <v>0</v>
      </c>
    </row>
    <row r="4353" spans="3:10" x14ac:dyDescent="0.25">
      <c r="C4353" s="4"/>
      <c r="E4353" s="4"/>
      <c r="H4353" s="31" t="str">
        <f t="shared" si="134"/>
        <v/>
      </c>
      <c r="J4353" t="b">
        <f t="shared" si="135"/>
        <v>0</v>
      </c>
    </row>
    <row r="4354" spans="3:10" x14ac:dyDescent="0.25">
      <c r="C4354" s="4"/>
      <c r="E4354" s="4"/>
      <c r="H4354" s="31" t="str">
        <f t="shared" si="134"/>
        <v/>
      </c>
      <c r="J4354" t="b">
        <f t="shared" si="135"/>
        <v>0</v>
      </c>
    </row>
    <row r="4355" spans="3:10" x14ac:dyDescent="0.25">
      <c r="C4355" s="4"/>
      <c r="E4355" s="4"/>
      <c r="H4355" s="31" t="str">
        <f t="shared" si="134"/>
        <v/>
      </c>
      <c r="J4355" t="b">
        <f t="shared" si="135"/>
        <v>0</v>
      </c>
    </row>
    <row r="4356" spans="3:10" x14ac:dyDescent="0.25">
      <c r="C4356" s="4"/>
      <c r="E4356" s="4"/>
      <c r="H4356" s="31" t="str">
        <f t="shared" ref="H4356:H4419" si="136">IF($J4356=TRUE,"Il ne peut y avoir des valeurs dans les 2 méthodes",IF($D4356="kg/l",$C4356,IF($D4356="g/l",$C4356/1000,IF($D4356="lb/gal US",$C4356*0.454/3.785,IF($G4356="kg/l",($E4356/100)*$F4356,IF($G4356="g/l",($E4356/100)*$F4356/1000,IF($G4356="lb/gal US",($E4356/100)*$F4356*0.454/3.785,"")))))))</f>
        <v/>
      </c>
      <c r="J4356" t="b">
        <f t="shared" ref="J4356:J4419" si="137">IF(AND(OR($C4356&lt;&gt;"",$D4356&lt;&gt;""),OR($E4356&lt;&gt;"",F4356&lt;&gt;"",G4356&lt;&gt;"")),TRUE,FALSE)</f>
        <v>0</v>
      </c>
    </row>
    <row r="4357" spans="3:10" x14ac:dyDescent="0.25">
      <c r="C4357" s="4"/>
      <c r="E4357" s="4"/>
      <c r="H4357" s="31" t="str">
        <f t="shared" si="136"/>
        <v/>
      </c>
      <c r="J4357" t="b">
        <f t="shared" si="137"/>
        <v>0</v>
      </c>
    </row>
    <row r="4358" spans="3:10" x14ac:dyDescent="0.25">
      <c r="C4358" s="4"/>
      <c r="E4358" s="4"/>
      <c r="H4358" s="31" t="str">
        <f t="shared" si="136"/>
        <v/>
      </c>
      <c r="J4358" t="b">
        <f t="shared" si="137"/>
        <v>0</v>
      </c>
    </row>
    <row r="4359" spans="3:10" x14ac:dyDescent="0.25">
      <c r="C4359" s="4"/>
      <c r="E4359" s="4"/>
      <c r="H4359" s="31" t="str">
        <f t="shared" si="136"/>
        <v/>
      </c>
      <c r="J4359" t="b">
        <f t="shared" si="137"/>
        <v>0</v>
      </c>
    </row>
    <row r="4360" spans="3:10" x14ac:dyDescent="0.25">
      <c r="C4360" s="4"/>
      <c r="E4360" s="4"/>
      <c r="H4360" s="31" t="str">
        <f t="shared" si="136"/>
        <v/>
      </c>
      <c r="J4360" t="b">
        <f t="shared" si="137"/>
        <v>0</v>
      </c>
    </row>
    <row r="4361" spans="3:10" x14ac:dyDescent="0.25">
      <c r="C4361" s="4"/>
      <c r="E4361" s="4"/>
      <c r="H4361" s="31" t="str">
        <f t="shared" si="136"/>
        <v/>
      </c>
      <c r="J4361" t="b">
        <f t="shared" si="137"/>
        <v>0</v>
      </c>
    </row>
    <row r="4362" spans="3:10" x14ac:dyDescent="0.25">
      <c r="C4362" s="4"/>
      <c r="E4362" s="4"/>
      <c r="H4362" s="31" t="str">
        <f t="shared" si="136"/>
        <v/>
      </c>
      <c r="J4362" t="b">
        <f t="shared" si="137"/>
        <v>0</v>
      </c>
    </row>
    <row r="4363" spans="3:10" x14ac:dyDescent="0.25">
      <c r="C4363" s="4"/>
      <c r="E4363" s="4"/>
      <c r="H4363" s="31" t="str">
        <f t="shared" si="136"/>
        <v/>
      </c>
      <c r="J4363" t="b">
        <f t="shared" si="137"/>
        <v>0</v>
      </c>
    </row>
    <row r="4364" spans="3:10" x14ac:dyDescent="0.25">
      <c r="C4364" s="4"/>
      <c r="E4364" s="4"/>
      <c r="H4364" s="31" t="str">
        <f t="shared" si="136"/>
        <v/>
      </c>
      <c r="J4364" t="b">
        <f t="shared" si="137"/>
        <v>0</v>
      </c>
    </row>
    <row r="4365" spans="3:10" x14ac:dyDescent="0.25">
      <c r="C4365" s="4"/>
      <c r="E4365" s="4"/>
      <c r="H4365" s="31" t="str">
        <f t="shared" si="136"/>
        <v/>
      </c>
      <c r="J4365" t="b">
        <f t="shared" si="137"/>
        <v>0</v>
      </c>
    </row>
    <row r="4366" spans="3:10" x14ac:dyDescent="0.25">
      <c r="C4366" s="4"/>
      <c r="E4366" s="4"/>
      <c r="H4366" s="31" t="str">
        <f t="shared" si="136"/>
        <v/>
      </c>
      <c r="J4366" t="b">
        <f t="shared" si="137"/>
        <v>0</v>
      </c>
    </row>
    <row r="4367" spans="3:10" x14ac:dyDescent="0.25">
      <c r="C4367" s="4"/>
      <c r="E4367" s="4"/>
      <c r="H4367" s="31" t="str">
        <f t="shared" si="136"/>
        <v/>
      </c>
      <c r="J4367" t="b">
        <f t="shared" si="137"/>
        <v>0</v>
      </c>
    </row>
    <row r="4368" spans="3:10" x14ac:dyDescent="0.25">
      <c r="C4368" s="4"/>
      <c r="E4368" s="4"/>
      <c r="H4368" s="31" t="str">
        <f t="shared" si="136"/>
        <v/>
      </c>
      <c r="J4368" t="b">
        <f t="shared" si="137"/>
        <v>0</v>
      </c>
    </row>
    <row r="4369" spans="3:10" x14ac:dyDescent="0.25">
      <c r="C4369" s="4"/>
      <c r="E4369" s="4"/>
      <c r="H4369" s="31" t="str">
        <f t="shared" si="136"/>
        <v/>
      </c>
      <c r="J4369" t="b">
        <f t="shared" si="137"/>
        <v>0</v>
      </c>
    </row>
    <row r="4370" spans="3:10" x14ac:dyDescent="0.25">
      <c r="C4370" s="4"/>
      <c r="E4370" s="4"/>
      <c r="H4370" s="31" t="str">
        <f t="shared" si="136"/>
        <v/>
      </c>
      <c r="J4370" t="b">
        <f t="shared" si="137"/>
        <v>0</v>
      </c>
    </row>
    <row r="4371" spans="3:10" x14ac:dyDescent="0.25">
      <c r="C4371" s="4"/>
      <c r="E4371" s="4"/>
      <c r="H4371" s="31" t="str">
        <f t="shared" si="136"/>
        <v/>
      </c>
      <c r="J4371" t="b">
        <f t="shared" si="137"/>
        <v>0</v>
      </c>
    </row>
    <row r="4372" spans="3:10" x14ac:dyDescent="0.25">
      <c r="C4372" s="4"/>
      <c r="E4372" s="4"/>
      <c r="H4372" s="31" t="str">
        <f t="shared" si="136"/>
        <v/>
      </c>
      <c r="J4372" t="b">
        <f t="shared" si="137"/>
        <v>0</v>
      </c>
    </row>
    <row r="4373" spans="3:10" x14ac:dyDescent="0.25">
      <c r="C4373" s="4"/>
      <c r="E4373" s="4"/>
      <c r="H4373" s="31" t="str">
        <f t="shared" si="136"/>
        <v/>
      </c>
      <c r="J4373" t="b">
        <f t="shared" si="137"/>
        <v>0</v>
      </c>
    </row>
    <row r="4374" spans="3:10" x14ac:dyDescent="0.25">
      <c r="C4374" s="4"/>
      <c r="E4374" s="4"/>
      <c r="H4374" s="31" t="str">
        <f t="shared" si="136"/>
        <v/>
      </c>
      <c r="J4374" t="b">
        <f t="shared" si="137"/>
        <v>0</v>
      </c>
    </row>
    <row r="4375" spans="3:10" x14ac:dyDescent="0.25">
      <c r="C4375" s="4"/>
      <c r="E4375" s="4"/>
      <c r="H4375" s="31" t="str">
        <f t="shared" si="136"/>
        <v/>
      </c>
      <c r="J4375" t="b">
        <f t="shared" si="137"/>
        <v>0</v>
      </c>
    </row>
    <row r="4376" spans="3:10" x14ac:dyDescent="0.25">
      <c r="C4376" s="4"/>
      <c r="E4376" s="4"/>
      <c r="H4376" s="31" t="str">
        <f t="shared" si="136"/>
        <v/>
      </c>
      <c r="J4376" t="b">
        <f t="shared" si="137"/>
        <v>0</v>
      </c>
    </row>
    <row r="4377" spans="3:10" x14ac:dyDescent="0.25">
      <c r="C4377" s="4"/>
      <c r="E4377" s="4"/>
      <c r="H4377" s="31" t="str">
        <f t="shared" si="136"/>
        <v/>
      </c>
      <c r="J4377" t="b">
        <f t="shared" si="137"/>
        <v>0</v>
      </c>
    </row>
    <row r="4378" spans="3:10" x14ac:dyDescent="0.25">
      <c r="C4378" s="4"/>
      <c r="E4378" s="4"/>
      <c r="H4378" s="31" t="str">
        <f t="shared" si="136"/>
        <v/>
      </c>
      <c r="J4378" t="b">
        <f t="shared" si="137"/>
        <v>0</v>
      </c>
    </row>
    <row r="4379" spans="3:10" x14ac:dyDescent="0.25">
      <c r="C4379" s="4"/>
      <c r="E4379" s="4"/>
      <c r="H4379" s="31" t="str">
        <f t="shared" si="136"/>
        <v/>
      </c>
      <c r="J4379" t="b">
        <f t="shared" si="137"/>
        <v>0</v>
      </c>
    </row>
    <row r="4380" spans="3:10" x14ac:dyDescent="0.25">
      <c r="C4380" s="4"/>
      <c r="E4380" s="4"/>
      <c r="H4380" s="31" t="str">
        <f t="shared" si="136"/>
        <v/>
      </c>
      <c r="J4380" t="b">
        <f t="shared" si="137"/>
        <v>0</v>
      </c>
    </row>
    <row r="4381" spans="3:10" x14ac:dyDescent="0.25">
      <c r="C4381" s="4"/>
      <c r="E4381" s="4"/>
      <c r="H4381" s="31" t="str">
        <f t="shared" si="136"/>
        <v/>
      </c>
      <c r="J4381" t="b">
        <f t="shared" si="137"/>
        <v>0</v>
      </c>
    </row>
    <row r="4382" spans="3:10" x14ac:dyDescent="0.25">
      <c r="C4382" s="4"/>
      <c r="E4382" s="4"/>
      <c r="H4382" s="31" t="str">
        <f t="shared" si="136"/>
        <v/>
      </c>
      <c r="J4382" t="b">
        <f t="shared" si="137"/>
        <v>0</v>
      </c>
    </row>
    <row r="4383" spans="3:10" x14ac:dyDescent="0.25">
      <c r="C4383" s="4"/>
      <c r="E4383" s="4"/>
      <c r="H4383" s="31" t="str">
        <f t="shared" si="136"/>
        <v/>
      </c>
      <c r="J4383" t="b">
        <f t="shared" si="137"/>
        <v>0</v>
      </c>
    </row>
    <row r="4384" spans="3:10" x14ac:dyDescent="0.25">
      <c r="C4384" s="4"/>
      <c r="E4384" s="4"/>
      <c r="H4384" s="31" t="str">
        <f t="shared" si="136"/>
        <v/>
      </c>
      <c r="J4384" t="b">
        <f t="shared" si="137"/>
        <v>0</v>
      </c>
    </row>
    <row r="4385" spans="3:10" x14ac:dyDescent="0.25">
      <c r="C4385" s="4"/>
      <c r="E4385" s="4"/>
      <c r="H4385" s="31" t="str">
        <f t="shared" si="136"/>
        <v/>
      </c>
      <c r="J4385" t="b">
        <f t="shared" si="137"/>
        <v>0</v>
      </c>
    </row>
    <row r="4386" spans="3:10" x14ac:dyDescent="0.25">
      <c r="C4386" s="4"/>
      <c r="E4386" s="4"/>
      <c r="H4386" s="31" t="str">
        <f t="shared" si="136"/>
        <v/>
      </c>
      <c r="J4386" t="b">
        <f t="shared" si="137"/>
        <v>0</v>
      </c>
    </row>
    <row r="4387" spans="3:10" x14ac:dyDescent="0.25">
      <c r="C4387" s="4"/>
      <c r="E4387" s="4"/>
      <c r="H4387" s="31" t="str">
        <f t="shared" si="136"/>
        <v/>
      </c>
      <c r="J4387" t="b">
        <f t="shared" si="137"/>
        <v>0</v>
      </c>
    </row>
    <row r="4388" spans="3:10" x14ac:dyDescent="0.25">
      <c r="C4388" s="4"/>
      <c r="E4388" s="4"/>
      <c r="H4388" s="31" t="str">
        <f t="shared" si="136"/>
        <v/>
      </c>
      <c r="J4388" t="b">
        <f t="shared" si="137"/>
        <v>0</v>
      </c>
    </row>
    <row r="4389" spans="3:10" x14ac:dyDescent="0.25">
      <c r="C4389" s="4"/>
      <c r="E4389" s="4"/>
      <c r="H4389" s="31" t="str">
        <f t="shared" si="136"/>
        <v/>
      </c>
      <c r="J4389" t="b">
        <f t="shared" si="137"/>
        <v>0</v>
      </c>
    </row>
    <row r="4390" spans="3:10" x14ac:dyDescent="0.25">
      <c r="C4390" s="4"/>
      <c r="E4390" s="4"/>
      <c r="H4390" s="31" t="str">
        <f t="shared" si="136"/>
        <v/>
      </c>
      <c r="J4390" t="b">
        <f t="shared" si="137"/>
        <v>0</v>
      </c>
    </row>
    <row r="4391" spans="3:10" x14ac:dyDescent="0.25">
      <c r="C4391" s="4"/>
      <c r="E4391" s="4"/>
      <c r="H4391" s="31" t="str">
        <f t="shared" si="136"/>
        <v/>
      </c>
      <c r="J4391" t="b">
        <f t="shared" si="137"/>
        <v>0</v>
      </c>
    </row>
    <row r="4392" spans="3:10" x14ac:dyDescent="0.25">
      <c r="C4392" s="4"/>
      <c r="E4392" s="4"/>
      <c r="H4392" s="31" t="str">
        <f t="shared" si="136"/>
        <v/>
      </c>
      <c r="J4392" t="b">
        <f t="shared" si="137"/>
        <v>0</v>
      </c>
    </row>
    <row r="4393" spans="3:10" x14ac:dyDescent="0.25">
      <c r="C4393" s="4"/>
      <c r="E4393" s="4"/>
      <c r="H4393" s="31" t="str">
        <f t="shared" si="136"/>
        <v/>
      </c>
      <c r="J4393" t="b">
        <f t="shared" si="137"/>
        <v>0</v>
      </c>
    </row>
    <row r="4394" spans="3:10" x14ac:dyDescent="0.25">
      <c r="C4394" s="4"/>
      <c r="E4394" s="4"/>
      <c r="H4394" s="31" t="str">
        <f t="shared" si="136"/>
        <v/>
      </c>
      <c r="J4394" t="b">
        <f t="shared" si="137"/>
        <v>0</v>
      </c>
    </row>
    <row r="4395" spans="3:10" x14ac:dyDescent="0.25">
      <c r="C4395" s="4"/>
      <c r="E4395" s="4"/>
      <c r="H4395" s="31" t="str">
        <f t="shared" si="136"/>
        <v/>
      </c>
      <c r="J4395" t="b">
        <f t="shared" si="137"/>
        <v>0</v>
      </c>
    </row>
    <row r="4396" spans="3:10" x14ac:dyDescent="0.25">
      <c r="C4396" s="4"/>
      <c r="E4396" s="4"/>
      <c r="H4396" s="31" t="str">
        <f t="shared" si="136"/>
        <v/>
      </c>
      <c r="J4396" t="b">
        <f t="shared" si="137"/>
        <v>0</v>
      </c>
    </row>
    <row r="4397" spans="3:10" x14ac:dyDescent="0.25">
      <c r="C4397" s="4"/>
      <c r="E4397" s="4"/>
      <c r="H4397" s="31" t="str">
        <f t="shared" si="136"/>
        <v/>
      </c>
      <c r="J4397" t="b">
        <f t="shared" si="137"/>
        <v>0</v>
      </c>
    </row>
    <row r="4398" spans="3:10" x14ac:dyDescent="0.25">
      <c r="C4398" s="4"/>
      <c r="E4398" s="4"/>
      <c r="H4398" s="31" t="str">
        <f t="shared" si="136"/>
        <v/>
      </c>
      <c r="J4398" t="b">
        <f t="shared" si="137"/>
        <v>0</v>
      </c>
    </row>
    <row r="4399" spans="3:10" x14ac:dyDescent="0.25">
      <c r="C4399" s="4"/>
      <c r="E4399" s="4"/>
      <c r="H4399" s="31" t="str">
        <f t="shared" si="136"/>
        <v/>
      </c>
      <c r="J4399" t="b">
        <f t="shared" si="137"/>
        <v>0</v>
      </c>
    </row>
    <row r="4400" spans="3:10" x14ac:dyDescent="0.25">
      <c r="C4400" s="4"/>
      <c r="E4400" s="4"/>
      <c r="H4400" s="31" t="str">
        <f t="shared" si="136"/>
        <v/>
      </c>
      <c r="J4400" t="b">
        <f t="shared" si="137"/>
        <v>0</v>
      </c>
    </row>
    <row r="4401" spans="3:10" x14ac:dyDescent="0.25">
      <c r="C4401" s="4"/>
      <c r="E4401" s="4"/>
      <c r="H4401" s="31" t="str">
        <f t="shared" si="136"/>
        <v/>
      </c>
      <c r="J4401" t="b">
        <f t="shared" si="137"/>
        <v>0</v>
      </c>
    </row>
    <row r="4402" spans="3:10" x14ac:dyDescent="0.25">
      <c r="C4402" s="4"/>
      <c r="E4402" s="4"/>
      <c r="H4402" s="31" t="str">
        <f t="shared" si="136"/>
        <v/>
      </c>
      <c r="J4402" t="b">
        <f t="shared" si="137"/>
        <v>0</v>
      </c>
    </row>
    <row r="4403" spans="3:10" x14ac:dyDescent="0.25">
      <c r="C4403" s="4"/>
      <c r="E4403" s="4"/>
      <c r="H4403" s="31" t="str">
        <f t="shared" si="136"/>
        <v/>
      </c>
      <c r="J4403" t="b">
        <f t="shared" si="137"/>
        <v>0</v>
      </c>
    </row>
    <row r="4404" spans="3:10" x14ac:dyDescent="0.25">
      <c r="C4404" s="4"/>
      <c r="E4404" s="4"/>
      <c r="H4404" s="31" t="str">
        <f t="shared" si="136"/>
        <v/>
      </c>
      <c r="J4404" t="b">
        <f t="shared" si="137"/>
        <v>0</v>
      </c>
    </row>
    <row r="4405" spans="3:10" x14ac:dyDescent="0.25">
      <c r="C4405" s="4"/>
      <c r="E4405" s="4"/>
      <c r="H4405" s="31" t="str">
        <f t="shared" si="136"/>
        <v/>
      </c>
      <c r="J4405" t="b">
        <f t="shared" si="137"/>
        <v>0</v>
      </c>
    </row>
    <row r="4406" spans="3:10" x14ac:dyDescent="0.25">
      <c r="C4406" s="4"/>
      <c r="E4406" s="4"/>
      <c r="H4406" s="31" t="str">
        <f t="shared" si="136"/>
        <v/>
      </c>
      <c r="J4406" t="b">
        <f t="shared" si="137"/>
        <v>0</v>
      </c>
    </row>
    <row r="4407" spans="3:10" x14ac:dyDescent="0.25">
      <c r="C4407" s="4"/>
      <c r="E4407" s="4"/>
      <c r="H4407" s="31" t="str">
        <f t="shared" si="136"/>
        <v/>
      </c>
      <c r="J4407" t="b">
        <f t="shared" si="137"/>
        <v>0</v>
      </c>
    </row>
    <row r="4408" spans="3:10" x14ac:dyDescent="0.25">
      <c r="C4408" s="4"/>
      <c r="E4408" s="4"/>
      <c r="H4408" s="31" t="str">
        <f t="shared" si="136"/>
        <v/>
      </c>
      <c r="J4408" t="b">
        <f t="shared" si="137"/>
        <v>0</v>
      </c>
    </row>
    <row r="4409" spans="3:10" x14ac:dyDescent="0.25">
      <c r="C4409" s="4"/>
      <c r="E4409" s="4"/>
      <c r="H4409" s="31" t="str">
        <f t="shared" si="136"/>
        <v/>
      </c>
      <c r="J4409" t="b">
        <f t="shared" si="137"/>
        <v>0</v>
      </c>
    </row>
    <row r="4410" spans="3:10" x14ac:dyDescent="0.25">
      <c r="C4410" s="4"/>
      <c r="E4410" s="4"/>
      <c r="H4410" s="31" t="str">
        <f t="shared" si="136"/>
        <v/>
      </c>
      <c r="J4410" t="b">
        <f t="shared" si="137"/>
        <v>0</v>
      </c>
    </row>
    <row r="4411" spans="3:10" x14ac:dyDescent="0.25">
      <c r="C4411" s="4"/>
      <c r="E4411" s="4"/>
      <c r="H4411" s="31" t="str">
        <f t="shared" si="136"/>
        <v/>
      </c>
      <c r="J4411" t="b">
        <f t="shared" si="137"/>
        <v>0</v>
      </c>
    </row>
    <row r="4412" spans="3:10" x14ac:dyDescent="0.25">
      <c r="C4412" s="4"/>
      <c r="E4412" s="4"/>
      <c r="H4412" s="31" t="str">
        <f t="shared" si="136"/>
        <v/>
      </c>
      <c r="J4412" t="b">
        <f t="shared" si="137"/>
        <v>0</v>
      </c>
    </row>
    <row r="4413" spans="3:10" x14ac:dyDescent="0.25">
      <c r="C4413" s="4"/>
      <c r="E4413" s="4"/>
      <c r="H4413" s="31" t="str">
        <f t="shared" si="136"/>
        <v/>
      </c>
      <c r="J4413" t="b">
        <f t="shared" si="137"/>
        <v>0</v>
      </c>
    </row>
    <row r="4414" spans="3:10" x14ac:dyDescent="0.25">
      <c r="C4414" s="4"/>
      <c r="E4414" s="4"/>
      <c r="H4414" s="31" t="str">
        <f t="shared" si="136"/>
        <v/>
      </c>
      <c r="J4414" t="b">
        <f t="shared" si="137"/>
        <v>0</v>
      </c>
    </row>
    <row r="4415" spans="3:10" x14ac:dyDescent="0.25">
      <c r="C4415" s="4"/>
      <c r="E4415" s="4"/>
      <c r="H4415" s="31" t="str">
        <f t="shared" si="136"/>
        <v/>
      </c>
      <c r="J4415" t="b">
        <f t="shared" si="137"/>
        <v>0</v>
      </c>
    </row>
    <row r="4416" spans="3:10" x14ac:dyDescent="0.25">
      <c r="C4416" s="4"/>
      <c r="E4416" s="4"/>
      <c r="H4416" s="31" t="str">
        <f t="shared" si="136"/>
        <v/>
      </c>
      <c r="J4416" t="b">
        <f t="shared" si="137"/>
        <v>0</v>
      </c>
    </row>
    <row r="4417" spans="3:10" x14ac:dyDescent="0.25">
      <c r="C4417" s="4"/>
      <c r="E4417" s="4"/>
      <c r="H4417" s="31" t="str">
        <f t="shared" si="136"/>
        <v/>
      </c>
      <c r="J4417" t="b">
        <f t="shared" si="137"/>
        <v>0</v>
      </c>
    </row>
    <row r="4418" spans="3:10" x14ac:dyDescent="0.25">
      <c r="C4418" s="4"/>
      <c r="E4418" s="4"/>
      <c r="H4418" s="31" t="str">
        <f t="shared" si="136"/>
        <v/>
      </c>
      <c r="J4418" t="b">
        <f t="shared" si="137"/>
        <v>0</v>
      </c>
    </row>
    <row r="4419" spans="3:10" x14ac:dyDescent="0.25">
      <c r="C4419" s="4"/>
      <c r="E4419" s="4"/>
      <c r="H4419" s="31" t="str">
        <f t="shared" si="136"/>
        <v/>
      </c>
      <c r="J4419" t="b">
        <f t="shared" si="137"/>
        <v>0</v>
      </c>
    </row>
    <row r="4420" spans="3:10" x14ac:dyDescent="0.25">
      <c r="C4420" s="4"/>
      <c r="E4420" s="4"/>
      <c r="H4420" s="31" t="str">
        <f t="shared" ref="H4420:H4483" si="138">IF($J4420=TRUE,"Il ne peut y avoir des valeurs dans les 2 méthodes",IF($D4420="kg/l",$C4420,IF($D4420="g/l",$C4420/1000,IF($D4420="lb/gal US",$C4420*0.454/3.785,IF($G4420="kg/l",($E4420/100)*$F4420,IF($G4420="g/l",($E4420/100)*$F4420/1000,IF($G4420="lb/gal US",($E4420/100)*$F4420*0.454/3.785,"")))))))</f>
        <v/>
      </c>
      <c r="J4420" t="b">
        <f t="shared" ref="J4420:J4483" si="139">IF(AND(OR($C4420&lt;&gt;"",$D4420&lt;&gt;""),OR($E4420&lt;&gt;"",F4420&lt;&gt;"",G4420&lt;&gt;"")),TRUE,FALSE)</f>
        <v>0</v>
      </c>
    </row>
    <row r="4421" spans="3:10" x14ac:dyDescent="0.25">
      <c r="C4421" s="4"/>
      <c r="E4421" s="4"/>
      <c r="H4421" s="31" t="str">
        <f t="shared" si="138"/>
        <v/>
      </c>
      <c r="J4421" t="b">
        <f t="shared" si="139"/>
        <v>0</v>
      </c>
    </row>
    <row r="4422" spans="3:10" x14ac:dyDescent="0.25">
      <c r="C4422" s="4"/>
      <c r="E4422" s="4"/>
      <c r="H4422" s="31" t="str">
        <f t="shared" si="138"/>
        <v/>
      </c>
      <c r="J4422" t="b">
        <f t="shared" si="139"/>
        <v>0</v>
      </c>
    </row>
    <row r="4423" spans="3:10" x14ac:dyDescent="0.25">
      <c r="C4423" s="4"/>
      <c r="E4423" s="4"/>
      <c r="H4423" s="31" t="str">
        <f t="shared" si="138"/>
        <v/>
      </c>
      <c r="J4423" t="b">
        <f t="shared" si="139"/>
        <v>0</v>
      </c>
    </row>
    <row r="4424" spans="3:10" x14ac:dyDescent="0.25">
      <c r="C4424" s="4"/>
      <c r="E4424" s="4"/>
      <c r="H4424" s="31" t="str">
        <f t="shared" si="138"/>
        <v/>
      </c>
      <c r="J4424" t="b">
        <f t="shared" si="139"/>
        <v>0</v>
      </c>
    </row>
    <row r="4425" spans="3:10" x14ac:dyDescent="0.25">
      <c r="C4425" s="4"/>
      <c r="E4425" s="4"/>
      <c r="H4425" s="31" t="str">
        <f t="shared" si="138"/>
        <v/>
      </c>
      <c r="J4425" t="b">
        <f t="shared" si="139"/>
        <v>0</v>
      </c>
    </row>
    <row r="4426" spans="3:10" x14ac:dyDescent="0.25">
      <c r="C4426" s="4"/>
      <c r="E4426" s="4"/>
      <c r="H4426" s="31" t="str">
        <f t="shared" si="138"/>
        <v/>
      </c>
      <c r="J4426" t="b">
        <f t="shared" si="139"/>
        <v>0</v>
      </c>
    </row>
    <row r="4427" spans="3:10" x14ac:dyDescent="0.25">
      <c r="C4427" s="4"/>
      <c r="E4427" s="4"/>
      <c r="H4427" s="31" t="str">
        <f t="shared" si="138"/>
        <v/>
      </c>
      <c r="J4427" t="b">
        <f t="shared" si="139"/>
        <v>0</v>
      </c>
    </row>
    <row r="4428" spans="3:10" x14ac:dyDescent="0.25">
      <c r="C4428" s="4"/>
      <c r="E4428" s="4"/>
      <c r="H4428" s="31" t="str">
        <f t="shared" si="138"/>
        <v/>
      </c>
      <c r="J4428" t="b">
        <f t="shared" si="139"/>
        <v>0</v>
      </c>
    </row>
    <row r="4429" spans="3:10" x14ac:dyDescent="0.25">
      <c r="C4429" s="4"/>
      <c r="E4429" s="4"/>
      <c r="H4429" s="31" t="str">
        <f t="shared" si="138"/>
        <v/>
      </c>
      <c r="J4429" t="b">
        <f t="shared" si="139"/>
        <v>0</v>
      </c>
    </row>
    <row r="4430" spans="3:10" x14ac:dyDescent="0.25">
      <c r="C4430" s="4"/>
      <c r="E4430" s="4"/>
      <c r="H4430" s="31" t="str">
        <f t="shared" si="138"/>
        <v/>
      </c>
      <c r="J4430" t="b">
        <f t="shared" si="139"/>
        <v>0</v>
      </c>
    </row>
    <row r="4431" spans="3:10" x14ac:dyDescent="0.25">
      <c r="C4431" s="4"/>
      <c r="E4431" s="4"/>
      <c r="H4431" s="31" t="str">
        <f t="shared" si="138"/>
        <v/>
      </c>
      <c r="J4431" t="b">
        <f t="shared" si="139"/>
        <v>0</v>
      </c>
    </row>
    <row r="4432" spans="3:10" x14ac:dyDescent="0.25">
      <c r="C4432" s="4"/>
      <c r="E4432" s="4"/>
      <c r="H4432" s="31" t="str">
        <f t="shared" si="138"/>
        <v/>
      </c>
      <c r="J4432" t="b">
        <f t="shared" si="139"/>
        <v>0</v>
      </c>
    </row>
    <row r="4433" spans="3:10" x14ac:dyDescent="0.25">
      <c r="C4433" s="4"/>
      <c r="E4433" s="4"/>
      <c r="H4433" s="31" t="str">
        <f t="shared" si="138"/>
        <v/>
      </c>
      <c r="J4433" t="b">
        <f t="shared" si="139"/>
        <v>0</v>
      </c>
    </row>
    <row r="4434" spans="3:10" x14ac:dyDescent="0.25">
      <c r="C4434" s="4"/>
      <c r="E4434" s="4"/>
      <c r="H4434" s="31" t="str">
        <f t="shared" si="138"/>
        <v/>
      </c>
      <c r="J4434" t="b">
        <f t="shared" si="139"/>
        <v>0</v>
      </c>
    </row>
    <row r="4435" spans="3:10" x14ac:dyDescent="0.25">
      <c r="C4435" s="4"/>
      <c r="E4435" s="4"/>
      <c r="H4435" s="31" t="str">
        <f t="shared" si="138"/>
        <v/>
      </c>
      <c r="J4435" t="b">
        <f t="shared" si="139"/>
        <v>0</v>
      </c>
    </row>
    <row r="4436" spans="3:10" x14ac:dyDescent="0.25">
      <c r="C4436" s="4"/>
      <c r="E4436" s="4"/>
      <c r="H4436" s="31" t="str">
        <f t="shared" si="138"/>
        <v/>
      </c>
      <c r="J4436" t="b">
        <f t="shared" si="139"/>
        <v>0</v>
      </c>
    </row>
    <row r="4437" spans="3:10" x14ac:dyDescent="0.25">
      <c r="C4437" s="4"/>
      <c r="E4437" s="4"/>
      <c r="H4437" s="31" t="str">
        <f t="shared" si="138"/>
        <v/>
      </c>
      <c r="J4437" t="b">
        <f t="shared" si="139"/>
        <v>0</v>
      </c>
    </row>
    <row r="4438" spans="3:10" x14ac:dyDescent="0.25">
      <c r="C4438" s="4"/>
      <c r="E4438" s="4"/>
      <c r="H4438" s="31" t="str">
        <f t="shared" si="138"/>
        <v/>
      </c>
      <c r="J4438" t="b">
        <f t="shared" si="139"/>
        <v>0</v>
      </c>
    </row>
    <row r="4439" spans="3:10" x14ac:dyDescent="0.25">
      <c r="C4439" s="4"/>
      <c r="E4439" s="4"/>
      <c r="H4439" s="31" t="str">
        <f t="shared" si="138"/>
        <v/>
      </c>
      <c r="J4439" t="b">
        <f t="shared" si="139"/>
        <v>0</v>
      </c>
    </row>
    <row r="4440" spans="3:10" x14ac:dyDescent="0.25">
      <c r="C4440" s="4"/>
      <c r="E4440" s="4"/>
      <c r="H4440" s="31" t="str">
        <f t="shared" si="138"/>
        <v/>
      </c>
      <c r="J4440" t="b">
        <f t="shared" si="139"/>
        <v>0</v>
      </c>
    </row>
    <row r="4441" spans="3:10" x14ac:dyDescent="0.25">
      <c r="C4441" s="4"/>
      <c r="E4441" s="4"/>
      <c r="H4441" s="31" t="str">
        <f t="shared" si="138"/>
        <v/>
      </c>
      <c r="J4441" t="b">
        <f t="shared" si="139"/>
        <v>0</v>
      </c>
    </row>
    <row r="4442" spans="3:10" x14ac:dyDescent="0.25">
      <c r="C4442" s="4"/>
      <c r="E4442" s="4"/>
      <c r="H4442" s="31" t="str">
        <f t="shared" si="138"/>
        <v/>
      </c>
      <c r="J4442" t="b">
        <f t="shared" si="139"/>
        <v>0</v>
      </c>
    </row>
    <row r="4443" spans="3:10" x14ac:dyDescent="0.25">
      <c r="C4443" s="4"/>
      <c r="E4443" s="4"/>
      <c r="H4443" s="31" t="str">
        <f t="shared" si="138"/>
        <v/>
      </c>
      <c r="J4443" t="b">
        <f t="shared" si="139"/>
        <v>0</v>
      </c>
    </row>
    <row r="4444" spans="3:10" x14ac:dyDescent="0.25">
      <c r="C4444" s="4"/>
      <c r="E4444" s="4"/>
      <c r="H4444" s="31" t="str">
        <f t="shared" si="138"/>
        <v/>
      </c>
      <c r="J4444" t="b">
        <f t="shared" si="139"/>
        <v>0</v>
      </c>
    </row>
    <row r="4445" spans="3:10" x14ac:dyDescent="0.25">
      <c r="C4445" s="4"/>
      <c r="E4445" s="4"/>
      <c r="H4445" s="31" t="str">
        <f t="shared" si="138"/>
        <v/>
      </c>
      <c r="J4445" t="b">
        <f t="shared" si="139"/>
        <v>0</v>
      </c>
    </row>
    <row r="4446" spans="3:10" x14ac:dyDescent="0.25">
      <c r="C4446" s="4"/>
      <c r="E4446" s="4"/>
      <c r="H4446" s="31" t="str">
        <f t="shared" si="138"/>
        <v/>
      </c>
      <c r="J4446" t="b">
        <f t="shared" si="139"/>
        <v>0</v>
      </c>
    </row>
    <row r="4447" spans="3:10" x14ac:dyDescent="0.25">
      <c r="C4447" s="4"/>
      <c r="E4447" s="4"/>
      <c r="H4447" s="31" t="str">
        <f t="shared" si="138"/>
        <v/>
      </c>
      <c r="J4447" t="b">
        <f t="shared" si="139"/>
        <v>0</v>
      </c>
    </row>
    <row r="4448" spans="3:10" x14ac:dyDescent="0.25">
      <c r="C4448" s="4"/>
      <c r="E4448" s="4"/>
      <c r="H4448" s="31" t="str">
        <f t="shared" si="138"/>
        <v/>
      </c>
      <c r="J4448" t="b">
        <f t="shared" si="139"/>
        <v>0</v>
      </c>
    </row>
    <row r="4449" spans="3:10" x14ac:dyDescent="0.25">
      <c r="C4449" s="4"/>
      <c r="E4449" s="4"/>
      <c r="H4449" s="31" t="str">
        <f t="shared" si="138"/>
        <v/>
      </c>
      <c r="J4449" t="b">
        <f t="shared" si="139"/>
        <v>0</v>
      </c>
    </row>
    <row r="4450" spans="3:10" x14ac:dyDescent="0.25">
      <c r="C4450" s="4"/>
      <c r="E4450" s="4"/>
      <c r="H4450" s="31" t="str">
        <f t="shared" si="138"/>
        <v/>
      </c>
      <c r="J4450" t="b">
        <f t="shared" si="139"/>
        <v>0</v>
      </c>
    </row>
    <row r="4451" spans="3:10" x14ac:dyDescent="0.25">
      <c r="C4451" s="4"/>
      <c r="E4451" s="4"/>
      <c r="H4451" s="31" t="str">
        <f t="shared" si="138"/>
        <v/>
      </c>
      <c r="J4451" t="b">
        <f t="shared" si="139"/>
        <v>0</v>
      </c>
    </row>
    <row r="4452" spans="3:10" x14ac:dyDescent="0.25">
      <c r="C4452" s="4"/>
      <c r="E4452" s="4"/>
      <c r="H4452" s="31" t="str">
        <f t="shared" si="138"/>
        <v/>
      </c>
      <c r="J4452" t="b">
        <f t="shared" si="139"/>
        <v>0</v>
      </c>
    </row>
    <row r="4453" spans="3:10" x14ac:dyDescent="0.25">
      <c r="C4453" s="4"/>
      <c r="E4453" s="4"/>
      <c r="H4453" s="31" t="str">
        <f t="shared" si="138"/>
        <v/>
      </c>
      <c r="J4453" t="b">
        <f t="shared" si="139"/>
        <v>0</v>
      </c>
    </row>
    <row r="4454" spans="3:10" x14ac:dyDescent="0.25">
      <c r="C4454" s="4"/>
      <c r="E4454" s="4"/>
      <c r="H4454" s="31" t="str">
        <f t="shared" si="138"/>
        <v/>
      </c>
      <c r="J4454" t="b">
        <f t="shared" si="139"/>
        <v>0</v>
      </c>
    </row>
    <row r="4455" spans="3:10" x14ac:dyDescent="0.25">
      <c r="C4455" s="4"/>
      <c r="E4455" s="4"/>
      <c r="H4455" s="31" t="str">
        <f t="shared" si="138"/>
        <v/>
      </c>
      <c r="J4455" t="b">
        <f t="shared" si="139"/>
        <v>0</v>
      </c>
    </row>
    <row r="4456" spans="3:10" x14ac:dyDescent="0.25">
      <c r="C4456" s="4"/>
      <c r="E4456" s="4"/>
      <c r="H4456" s="31" t="str">
        <f t="shared" si="138"/>
        <v/>
      </c>
      <c r="J4456" t="b">
        <f t="shared" si="139"/>
        <v>0</v>
      </c>
    </row>
    <row r="4457" spans="3:10" x14ac:dyDescent="0.25">
      <c r="C4457" s="4"/>
      <c r="E4457" s="4"/>
      <c r="H4457" s="31" t="str">
        <f t="shared" si="138"/>
        <v/>
      </c>
      <c r="J4457" t="b">
        <f t="shared" si="139"/>
        <v>0</v>
      </c>
    </row>
    <row r="4458" spans="3:10" x14ac:dyDescent="0.25">
      <c r="C4458" s="4"/>
      <c r="E4458" s="4"/>
      <c r="H4458" s="31" t="str">
        <f t="shared" si="138"/>
        <v/>
      </c>
      <c r="J4458" t="b">
        <f t="shared" si="139"/>
        <v>0</v>
      </c>
    </row>
    <row r="4459" spans="3:10" x14ac:dyDescent="0.25">
      <c r="C4459" s="4"/>
      <c r="E4459" s="4"/>
      <c r="H4459" s="31" t="str">
        <f t="shared" si="138"/>
        <v/>
      </c>
      <c r="J4459" t="b">
        <f t="shared" si="139"/>
        <v>0</v>
      </c>
    </row>
    <row r="4460" spans="3:10" x14ac:dyDescent="0.25">
      <c r="C4460" s="4"/>
      <c r="E4460" s="4"/>
      <c r="H4460" s="31" t="str">
        <f t="shared" si="138"/>
        <v/>
      </c>
      <c r="J4460" t="b">
        <f t="shared" si="139"/>
        <v>0</v>
      </c>
    </row>
    <row r="4461" spans="3:10" x14ac:dyDescent="0.25">
      <c r="C4461" s="4"/>
      <c r="E4461" s="4"/>
      <c r="H4461" s="31" t="str">
        <f t="shared" si="138"/>
        <v/>
      </c>
      <c r="J4461" t="b">
        <f t="shared" si="139"/>
        <v>0</v>
      </c>
    </row>
    <row r="4462" spans="3:10" x14ac:dyDescent="0.25">
      <c r="C4462" s="4"/>
      <c r="E4462" s="4"/>
      <c r="H4462" s="31" t="str">
        <f t="shared" si="138"/>
        <v/>
      </c>
      <c r="J4462" t="b">
        <f t="shared" si="139"/>
        <v>0</v>
      </c>
    </row>
    <row r="4463" spans="3:10" x14ac:dyDescent="0.25">
      <c r="C4463" s="4"/>
      <c r="E4463" s="4"/>
      <c r="H4463" s="31" t="str">
        <f t="shared" si="138"/>
        <v/>
      </c>
      <c r="J4463" t="b">
        <f t="shared" si="139"/>
        <v>0</v>
      </c>
    </row>
    <row r="4464" spans="3:10" x14ac:dyDescent="0.25">
      <c r="C4464" s="4"/>
      <c r="E4464" s="4"/>
      <c r="H4464" s="31" t="str">
        <f t="shared" si="138"/>
        <v/>
      </c>
      <c r="J4464" t="b">
        <f t="shared" si="139"/>
        <v>0</v>
      </c>
    </row>
    <row r="4465" spans="3:10" x14ac:dyDescent="0.25">
      <c r="C4465" s="4"/>
      <c r="E4465" s="4"/>
      <c r="H4465" s="31" t="str">
        <f t="shared" si="138"/>
        <v/>
      </c>
      <c r="J4465" t="b">
        <f t="shared" si="139"/>
        <v>0</v>
      </c>
    </row>
    <row r="4466" spans="3:10" x14ac:dyDescent="0.25">
      <c r="C4466" s="4"/>
      <c r="E4466" s="4"/>
      <c r="H4466" s="31" t="str">
        <f t="shared" si="138"/>
        <v/>
      </c>
      <c r="J4466" t="b">
        <f t="shared" si="139"/>
        <v>0</v>
      </c>
    </row>
    <row r="4467" spans="3:10" x14ac:dyDescent="0.25">
      <c r="C4467" s="4"/>
      <c r="E4467" s="4"/>
      <c r="H4467" s="31" t="str">
        <f t="shared" si="138"/>
        <v/>
      </c>
      <c r="J4467" t="b">
        <f t="shared" si="139"/>
        <v>0</v>
      </c>
    </row>
    <row r="4468" spans="3:10" x14ac:dyDescent="0.25">
      <c r="C4468" s="4"/>
      <c r="E4468" s="4"/>
      <c r="H4468" s="31" t="str">
        <f t="shared" si="138"/>
        <v/>
      </c>
      <c r="J4468" t="b">
        <f t="shared" si="139"/>
        <v>0</v>
      </c>
    </row>
    <row r="4469" spans="3:10" x14ac:dyDescent="0.25">
      <c r="C4469" s="4"/>
      <c r="E4469" s="4"/>
      <c r="H4469" s="31" t="str">
        <f t="shared" si="138"/>
        <v/>
      </c>
      <c r="J4469" t="b">
        <f t="shared" si="139"/>
        <v>0</v>
      </c>
    </row>
    <row r="4470" spans="3:10" x14ac:dyDescent="0.25">
      <c r="C4470" s="4"/>
      <c r="E4470" s="4"/>
      <c r="H4470" s="31" t="str">
        <f t="shared" si="138"/>
        <v/>
      </c>
      <c r="J4470" t="b">
        <f t="shared" si="139"/>
        <v>0</v>
      </c>
    </row>
    <row r="4471" spans="3:10" x14ac:dyDescent="0.25">
      <c r="C4471" s="4"/>
      <c r="E4471" s="4"/>
      <c r="H4471" s="31" t="str">
        <f t="shared" si="138"/>
        <v/>
      </c>
      <c r="J4471" t="b">
        <f t="shared" si="139"/>
        <v>0</v>
      </c>
    </row>
    <row r="4472" spans="3:10" x14ac:dyDescent="0.25">
      <c r="C4472" s="4"/>
      <c r="E4472" s="4"/>
      <c r="H4472" s="31" t="str">
        <f t="shared" si="138"/>
        <v/>
      </c>
      <c r="J4472" t="b">
        <f t="shared" si="139"/>
        <v>0</v>
      </c>
    </row>
    <row r="4473" spans="3:10" x14ac:dyDescent="0.25">
      <c r="C4473" s="4"/>
      <c r="E4473" s="4"/>
      <c r="H4473" s="31" t="str">
        <f t="shared" si="138"/>
        <v/>
      </c>
      <c r="J4473" t="b">
        <f t="shared" si="139"/>
        <v>0</v>
      </c>
    </row>
    <row r="4474" spans="3:10" x14ac:dyDescent="0.25">
      <c r="C4474" s="4"/>
      <c r="E4474" s="4"/>
      <c r="H4474" s="31" t="str">
        <f t="shared" si="138"/>
        <v/>
      </c>
      <c r="J4474" t="b">
        <f t="shared" si="139"/>
        <v>0</v>
      </c>
    </row>
    <row r="4475" spans="3:10" x14ac:dyDescent="0.25">
      <c r="C4475" s="4"/>
      <c r="E4475" s="4"/>
      <c r="H4475" s="31" t="str">
        <f t="shared" si="138"/>
        <v/>
      </c>
      <c r="J4475" t="b">
        <f t="shared" si="139"/>
        <v>0</v>
      </c>
    </row>
    <row r="4476" spans="3:10" x14ac:dyDescent="0.25">
      <c r="C4476" s="4"/>
      <c r="E4476" s="4"/>
      <c r="H4476" s="31" t="str">
        <f t="shared" si="138"/>
        <v/>
      </c>
      <c r="J4476" t="b">
        <f t="shared" si="139"/>
        <v>0</v>
      </c>
    </row>
    <row r="4477" spans="3:10" x14ac:dyDescent="0.25">
      <c r="C4477" s="4"/>
      <c r="E4477" s="4"/>
      <c r="H4477" s="31" t="str">
        <f t="shared" si="138"/>
        <v/>
      </c>
      <c r="J4477" t="b">
        <f t="shared" si="139"/>
        <v>0</v>
      </c>
    </row>
    <row r="4478" spans="3:10" x14ac:dyDescent="0.25">
      <c r="C4478" s="4"/>
      <c r="E4478" s="4"/>
      <c r="H4478" s="31" t="str">
        <f t="shared" si="138"/>
        <v/>
      </c>
      <c r="J4478" t="b">
        <f t="shared" si="139"/>
        <v>0</v>
      </c>
    </row>
    <row r="4479" spans="3:10" x14ac:dyDescent="0.25">
      <c r="C4479" s="4"/>
      <c r="E4479" s="4"/>
      <c r="H4479" s="31" t="str">
        <f t="shared" si="138"/>
        <v/>
      </c>
      <c r="J4479" t="b">
        <f t="shared" si="139"/>
        <v>0</v>
      </c>
    </row>
    <row r="4480" spans="3:10" x14ac:dyDescent="0.25">
      <c r="C4480" s="4"/>
      <c r="E4480" s="4"/>
      <c r="H4480" s="31" t="str">
        <f t="shared" si="138"/>
        <v/>
      </c>
      <c r="J4480" t="b">
        <f t="shared" si="139"/>
        <v>0</v>
      </c>
    </row>
    <row r="4481" spans="3:10" x14ac:dyDescent="0.25">
      <c r="C4481" s="4"/>
      <c r="E4481" s="4"/>
      <c r="H4481" s="31" t="str">
        <f t="shared" si="138"/>
        <v/>
      </c>
      <c r="J4481" t="b">
        <f t="shared" si="139"/>
        <v>0</v>
      </c>
    </row>
    <row r="4482" spans="3:10" x14ac:dyDescent="0.25">
      <c r="C4482" s="4"/>
      <c r="E4482" s="4"/>
      <c r="H4482" s="31" t="str">
        <f t="shared" si="138"/>
        <v/>
      </c>
      <c r="J4482" t="b">
        <f t="shared" si="139"/>
        <v>0</v>
      </c>
    </row>
    <row r="4483" spans="3:10" x14ac:dyDescent="0.25">
      <c r="C4483" s="4"/>
      <c r="E4483" s="4"/>
      <c r="H4483" s="31" t="str">
        <f t="shared" si="138"/>
        <v/>
      </c>
      <c r="J4483" t="b">
        <f t="shared" si="139"/>
        <v>0</v>
      </c>
    </row>
    <row r="4484" spans="3:10" x14ac:dyDescent="0.25">
      <c r="C4484" s="4"/>
      <c r="E4484" s="4"/>
      <c r="H4484" s="31" t="str">
        <f t="shared" ref="H4484:H4547" si="140">IF($J4484=TRUE,"Il ne peut y avoir des valeurs dans les 2 méthodes",IF($D4484="kg/l",$C4484,IF($D4484="g/l",$C4484/1000,IF($D4484="lb/gal US",$C4484*0.454/3.785,IF($G4484="kg/l",($E4484/100)*$F4484,IF($G4484="g/l",($E4484/100)*$F4484/1000,IF($G4484="lb/gal US",($E4484/100)*$F4484*0.454/3.785,"")))))))</f>
        <v/>
      </c>
      <c r="J4484" t="b">
        <f t="shared" ref="J4484:J4547" si="141">IF(AND(OR($C4484&lt;&gt;"",$D4484&lt;&gt;""),OR($E4484&lt;&gt;"",F4484&lt;&gt;"",G4484&lt;&gt;"")),TRUE,FALSE)</f>
        <v>0</v>
      </c>
    </row>
    <row r="4485" spans="3:10" x14ac:dyDescent="0.25">
      <c r="C4485" s="4"/>
      <c r="E4485" s="4"/>
      <c r="H4485" s="31" t="str">
        <f t="shared" si="140"/>
        <v/>
      </c>
      <c r="J4485" t="b">
        <f t="shared" si="141"/>
        <v>0</v>
      </c>
    </row>
    <row r="4486" spans="3:10" x14ac:dyDescent="0.25">
      <c r="C4486" s="4"/>
      <c r="E4486" s="4"/>
      <c r="H4486" s="31" t="str">
        <f t="shared" si="140"/>
        <v/>
      </c>
      <c r="J4486" t="b">
        <f t="shared" si="141"/>
        <v>0</v>
      </c>
    </row>
    <row r="4487" spans="3:10" x14ac:dyDescent="0.25">
      <c r="C4487" s="4"/>
      <c r="E4487" s="4"/>
      <c r="H4487" s="31" t="str">
        <f t="shared" si="140"/>
        <v/>
      </c>
      <c r="J4487" t="b">
        <f t="shared" si="141"/>
        <v>0</v>
      </c>
    </row>
    <row r="4488" spans="3:10" x14ac:dyDescent="0.25">
      <c r="C4488" s="4"/>
      <c r="E4488" s="4"/>
      <c r="H4488" s="31" t="str">
        <f t="shared" si="140"/>
        <v/>
      </c>
      <c r="J4488" t="b">
        <f t="shared" si="141"/>
        <v>0</v>
      </c>
    </row>
    <row r="4489" spans="3:10" x14ac:dyDescent="0.25">
      <c r="C4489" s="4"/>
      <c r="E4489" s="4"/>
      <c r="H4489" s="31" t="str">
        <f t="shared" si="140"/>
        <v/>
      </c>
      <c r="J4489" t="b">
        <f t="shared" si="141"/>
        <v>0</v>
      </c>
    </row>
    <row r="4490" spans="3:10" x14ac:dyDescent="0.25">
      <c r="C4490" s="4"/>
      <c r="E4490" s="4"/>
      <c r="H4490" s="31" t="str">
        <f t="shared" si="140"/>
        <v/>
      </c>
      <c r="J4490" t="b">
        <f t="shared" si="141"/>
        <v>0</v>
      </c>
    </row>
    <row r="4491" spans="3:10" x14ac:dyDescent="0.25">
      <c r="C4491" s="4"/>
      <c r="E4491" s="4"/>
      <c r="H4491" s="31" t="str">
        <f t="shared" si="140"/>
        <v/>
      </c>
      <c r="J4491" t="b">
        <f t="shared" si="141"/>
        <v>0</v>
      </c>
    </row>
    <row r="4492" spans="3:10" x14ac:dyDescent="0.25">
      <c r="C4492" s="4"/>
      <c r="E4492" s="4"/>
      <c r="H4492" s="31" t="str">
        <f t="shared" si="140"/>
        <v/>
      </c>
      <c r="J4492" t="b">
        <f t="shared" si="141"/>
        <v>0</v>
      </c>
    </row>
    <row r="4493" spans="3:10" x14ac:dyDescent="0.25">
      <c r="C4493" s="4"/>
      <c r="E4493" s="4"/>
      <c r="H4493" s="31" t="str">
        <f t="shared" si="140"/>
        <v/>
      </c>
      <c r="J4493" t="b">
        <f t="shared" si="141"/>
        <v>0</v>
      </c>
    </row>
    <row r="4494" spans="3:10" x14ac:dyDescent="0.25">
      <c r="C4494" s="4"/>
      <c r="E4494" s="4"/>
      <c r="H4494" s="31" t="str">
        <f t="shared" si="140"/>
        <v/>
      </c>
      <c r="J4494" t="b">
        <f t="shared" si="141"/>
        <v>0</v>
      </c>
    </row>
    <row r="4495" spans="3:10" x14ac:dyDescent="0.25">
      <c r="C4495" s="4"/>
      <c r="E4495" s="4"/>
      <c r="H4495" s="31" t="str">
        <f t="shared" si="140"/>
        <v/>
      </c>
      <c r="J4495" t="b">
        <f t="shared" si="141"/>
        <v>0</v>
      </c>
    </row>
    <row r="4496" spans="3:10" x14ac:dyDescent="0.25">
      <c r="C4496" s="4"/>
      <c r="E4496" s="4"/>
      <c r="H4496" s="31" t="str">
        <f t="shared" si="140"/>
        <v/>
      </c>
      <c r="J4496" t="b">
        <f t="shared" si="141"/>
        <v>0</v>
      </c>
    </row>
    <row r="4497" spans="3:10" x14ac:dyDescent="0.25">
      <c r="C4497" s="4"/>
      <c r="E4497" s="4"/>
      <c r="H4497" s="31" t="str">
        <f t="shared" si="140"/>
        <v/>
      </c>
      <c r="J4497" t="b">
        <f t="shared" si="141"/>
        <v>0</v>
      </c>
    </row>
    <row r="4498" spans="3:10" x14ac:dyDescent="0.25">
      <c r="C4498" s="4"/>
      <c r="E4498" s="4"/>
      <c r="H4498" s="31" t="str">
        <f t="shared" si="140"/>
        <v/>
      </c>
      <c r="J4498" t="b">
        <f t="shared" si="141"/>
        <v>0</v>
      </c>
    </row>
    <row r="4499" spans="3:10" x14ac:dyDescent="0.25">
      <c r="C4499" s="4"/>
      <c r="E4499" s="4"/>
      <c r="H4499" s="31" t="str">
        <f t="shared" si="140"/>
        <v/>
      </c>
      <c r="J4499" t="b">
        <f t="shared" si="141"/>
        <v>0</v>
      </c>
    </row>
    <row r="4500" spans="3:10" x14ac:dyDescent="0.25">
      <c r="C4500" s="4"/>
      <c r="E4500" s="4"/>
      <c r="H4500" s="31" t="str">
        <f t="shared" si="140"/>
        <v/>
      </c>
      <c r="J4500" t="b">
        <f t="shared" si="141"/>
        <v>0</v>
      </c>
    </row>
    <row r="4501" spans="3:10" x14ac:dyDescent="0.25">
      <c r="C4501" s="4"/>
      <c r="E4501" s="4"/>
      <c r="H4501" s="31" t="str">
        <f t="shared" si="140"/>
        <v/>
      </c>
      <c r="J4501" t="b">
        <f t="shared" si="141"/>
        <v>0</v>
      </c>
    </row>
    <row r="4502" spans="3:10" x14ac:dyDescent="0.25">
      <c r="C4502" s="4"/>
      <c r="E4502" s="4"/>
      <c r="H4502" s="31" t="str">
        <f t="shared" si="140"/>
        <v/>
      </c>
      <c r="J4502" t="b">
        <f t="shared" si="141"/>
        <v>0</v>
      </c>
    </row>
    <row r="4503" spans="3:10" x14ac:dyDescent="0.25">
      <c r="C4503" s="4"/>
      <c r="E4503" s="4"/>
      <c r="H4503" s="31" t="str">
        <f t="shared" si="140"/>
        <v/>
      </c>
      <c r="J4503" t="b">
        <f t="shared" si="141"/>
        <v>0</v>
      </c>
    </row>
    <row r="4504" spans="3:10" x14ac:dyDescent="0.25">
      <c r="C4504" s="4"/>
      <c r="E4504" s="4"/>
      <c r="H4504" s="31" t="str">
        <f t="shared" si="140"/>
        <v/>
      </c>
      <c r="J4504" t="b">
        <f t="shared" si="141"/>
        <v>0</v>
      </c>
    </row>
    <row r="4505" spans="3:10" x14ac:dyDescent="0.25">
      <c r="C4505" s="4"/>
      <c r="E4505" s="4"/>
      <c r="H4505" s="31" t="str">
        <f t="shared" si="140"/>
        <v/>
      </c>
      <c r="J4505" t="b">
        <f t="shared" si="141"/>
        <v>0</v>
      </c>
    </row>
    <row r="4506" spans="3:10" x14ac:dyDescent="0.25">
      <c r="C4506" s="4"/>
      <c r="E4506" s="4"/>
      <c r="H4506" s="31" t="str">
        <f t="shared" si="140"/>
        <v/>
      </c>
      <c r="J4506" t="b">
        <f t="shared" si="141"/>
        <v>0</v>
      </c>
    </row>
    <row r="4507" spans="3:10" x14ac:dyDescent="0.25">
      <c r="C4507" s="4"/>
      <c r="E4507" s="4"/>
      <c r="H4507" s="31" t="str">
        <f t="shared" si="140"/>
        <v/>
      </c>
      <c r="J4507" t="b">
        <f t="shared" si="141"/>
        <v>0</v>
      </c>
    </row>
    <row r="4508" spans="3:10" x14ac:dyDescent="0.25">
      <c r="C4508" s="4"/>
      <c r="E4508" s="4"/>
      <c r="H4508" s="31" t="str">
        <f t="shared" si="140"/>
        <v/>
      </c>
      <c r="J4508" t="b">
        <f t="shared" si="141"/>
        <v>0</v>
      </c>
    </row>
    <row r="4509" spans="3:10" x14ac:dyDescent="0.25">
      <c r="C4509" s="4"/>
      <c r="E4509" s="4"/>
      <c r="H4509" s="31" t="str">
        <f t="shared" si="140"/>
        <v/>
      </c>
      <c r="J4509" t="b">
        <f t="shared" si="141"/>
        <v>0</v>
      </c>
    </row>
    <row r="4510" spans="3:10" x14ac:dyDescent="0.25">
      <c r="C4510" s="4"/>
      <c r="E4510" s="4"/>
      <c r="H4510" s="31" t="str">
        <f t="shared" si="140"/>
        <v/>
      </c>
      <c r="J4510" t="b">
        <f t="shared" si="141"/>
        <v>0</v>
      </c>
    </row>
    <row r="4511" spans="3:10" x14ac:dyDescent="0.25">
      <c r="C4511" s="4"/>
      <c r="E4511" s="4"/>
      <c r="H4511" s="31" t="str">
        <f t="shared" si="140"/>
        <v/>
      </c>
      <c r="J4511" t="b">
        <f t="shared" si="141"/>
        <v>0</v>
      </c>
    </row>
    <row r="4512" spans="3:10" x14ac:dyDescent="0.25">
      <c r="C4512" s="4"/>
      <c r="E4512" s="4"/>
      <c r="H4512" s="31" t="str">
        <f t="shared" si="140"/>
        <v/>
      </c>
      <c r="J4512" t="b">
        <f t="shared" si="141"/>
        <v>0</v>
      </c>
    </row>
    <row r="4513" spans="3:10" x14ac:dyDescent="0.25">
      <c r="C4513" s="4"/>
      <c r="E4513" s="4"/>
      <c r="H4513" s="31" t="str">
        <f t="shared" si="140"/>
        <v/>
      </c>
      <c r="J4513" t="b">
        <f t="shared" si="141"/>
        <v>0</v>
      </c>
    </row>
    <row r="4514" spans="3:10" x14ac:dyDescent="0.25">
      <c r="C4514" s="4"/>
      <c r="E4514" s="4"/>
      <c r="H4514" s="31" t="str">
        <f t="shared" si="140"/>
        <v/>
      </c>
      <c r="J4514" t="b">
        <f t="shared" si="141"/>
        <v>0</v>
      </c>
    </row>
    <row r="4515" spans="3:10" x14ac:dyDescent="0.25">
      <c r="C4515" s="4"/>
      <c r="E4515" s="4"/>
      <c r="H4515" s="31" t="str">
        <f t="shared" si="140"/>
        <v/>
      </c>
      <c r="J4515" t="b">
        <f t="shared" si="141"/>
        <v>0</v>
      </c>
    </row>
    <row r="4516" spans="3:10" x14ac:dyDescent="0.25">
      <c r="C4516" s="4"/>
      <c r="E4516" s="4"/>
      <c r="H4516" s="31" t="str">
        <f t="shared" si="140"/>
        <v/>
      </c>
      <c r="J4516" t="b">
        <f t="shared" si="141"/>
        <v>0</v>
      </c>
    </row>
    <row r="4517" spans="3:10" x14ac:dyDescent="0.25">
      <c r="C4517" s="4"/>
      <c r="E4517" s="4"/>
      <c r="H4517" s="31" t="str">
        <f t="shared" si="140"/>
        <v/>
      </c>
      <c r="J4517" t="b">
        <f t="shared" si="141"/>
        <v>0</v>
      </c>
    </row>
    <row r="4518" spans="3:10" x14ac:dyDescent="0.25">
      <c r="C4518" s="4"/>
      <c r="E4518" s="4"/>
      <c r="H4518" s="31" t="str">
        <f t="shared" si="140"/>
        <v/>
      </c>
      <c r="J4518" t="b">
        <f t="shared" si="141"/>
        <v>0</v>
      </c>
    </row>
    <row r="4519" spans="3:10" x14ac:dyDescent="0.25">
      <c r="C4519" s="4"/>
      <c r="E4519" s="4"/>
      <c r="H4519" s="31" t="str">
        <f t="shared" si="140"/>
        <v/>
      </c>
      <c r="J4519" t="b">
        <f t="shared" si="141"/>
        <v>0</v>
      </c>
    </row>
    <row r="4520" spans="3:10" x14ac:dyDescent="0.25">
      <c r="C4520" s="4"/>
      <c r="E4520" s="4"/>
      <c r="H4520" s="31" t="str">
        <f t="shared" si="140"/>
        <v/>
      </c>
      <c r="J4520" t="b">
        <f t="shared" si="141"/>
        <v>0</v>
      </c>
    </row>
    <row r="4521" spans="3:10" x14ac:dyDescent="0.25">
      <c r="C4521" s="4"/>
      <c r="E4521" s="4"/>
      <c r="H4521" s="31" t="str">
        <f t="shared" si="140"/>
        <v/>
      </c>
      <c r="J4521" t="b">
        <f t="shared" si="141"/>
        <v>0</v>
      </c>
    </row>
    <row r="4522" spans="3:10" x14ac:dyDescent="0.25">
      <c r="C4522" s="4"/>
      <c r="E4522" s="4"/>
      <c r="H4522" s="31" t="str">
        <f t="shared" si="140"/>
        <v/>
      </c>
      <c r="J4522" t="b">
        <f t="shared" si="141"/>
        <v>0</v>
      </c>
    </row>
    <row r="4523" spans="3:10" x14ac:dyDescent="0.25">
      <c r="C4523" s="4"/>
      <c r="E4523" s="4"/>
      <c r="H4523" s="31" t="str">
        <f t="shared" si="140"/>
        <v/>
      </c>
      <c r="J4523" t="b">
        <f t="shared" si="141"/>
        <v>0</v>
      </c>
    </row>
    <row r="4524" spans="3:10" x14ac:dyDescent="0.25">
      <c r="C4524" s="4"/>
      <c r="E4524" s="4"/>
      <c r="H4524" s="31" t="str">
        <f t="shared" si="140"/>
        <v/>
      </c>
      <c r="J4524" t="b">
        <f t="shared" si="141"/>
        <v>0</v>
      </c>
    </row>
    <row r="4525" spans="3:10" x14ac:dyDescent="0.25">
      <c r="C4525" s="4"/>
      <c r="E4525" s="4"/>
      <c r="H4525" s="31" t="str">
        <f t="shared" si="140"/>
        <v/>
      </c>
      <c r="J4525" t="b">
        <f t="shared" si="141"/>
        <v>0</v>
      </c>
    </row>
    <row r="4526" spans="3:10" x14ac:dyDescent="0.25">
      <c r="C4526" s="4"/>
      <c r="E4526" s="4"/>
      <c r="H4526" s="31" t="str">
        <f t="shared" si="140"/>
        <v/>
      </c>
      <c r="J4526" t="b">
        <f t="shared" si="141"/>
        <v>0</v>
      </c>
    </row>
    <row r="4527" spans="3:10" x14ac:dyDescent="0.25">
      <c r="C4527" s="4"/>
      <c r="E4527" s="4"/>
      <c r="H4527" s="31" t="str">
        <f t="shared" si="140"/>
        <v/>
      </c>
      <c r="J4527" t="b">
        <f t="shared" si="141"/>
        <v>0</v>
      </c>
    </row>
    <row r="4528" spans="3:10" x14ac:dyDescent="0.25">
      <c r="C4528" s="4"/>
      <c r="E4528" s="4"/>
      <c r="H4528" s="31" t="str">
        <f t="shared" si="140"/>
        <v/>
      </c>
      <c r="J4528" t="b">
        <f t="shared" si="141"/>
        <v>0</v>
      </c>
    </row>
    <row r="4529" spans="3:10" x14ac:dyDescent="0.25">
      <c r="C4529" s="4"/>
      <c r="E4529" s="4"/>
      <c r="H4529" s="31" t="str">
        <f t="shared" si="140"/>
        <v/>
      </c>
      <c r="J4529" t="b">
        <f t="shared" si="141"/>
        <v>0</v>
      </c>
    </row>
    <row r="4530" spans="3:10" x14ac:dyDescent="0.25">
      <c r="C4530" s="4"/>
      <c r="E4530" s="4"/>
      <c r="H4530" s="31" t="str">
        <f t="shared" si="140"/>
        <v/>
      </c>
      <c r="J4530" t="b">
        <f t="shared" si="141"/>
        <v>0</v>
      </c>
    </row>
    <row r="4531" spans="3:10" x14ac:dyDescent="0.25">
      <c r="C4531" s="4"/>
      <c r="E4531" s="4"/>
      <c r="H4531" s="31" t="str">
        <f t="shared" si="140"/>
        <v/>
      </c>
      <c r="J4531" t="b">
        <f t="shared" si="141"/>
        <v>0</v>
      </c>
    </row>
    <row r="4532" spans="3:10" x14ac:dyDescent="0.25">
      <c r="C4532" s="4"/>
      <c r="E4532" s="4"/>
      <c r="H4532" s="31" t="str">
        <f t="shared" si="140"/>
        <v/>
      </c>
      <c r="J4532" t="b">
        <f t="shared" si="141"/>
        <v>0</v>
      </c>
    </row>
    <row r="4533" spans="3:10" x14ac:dyDescent="0.25">
      <c r="C4533" s="4"/>
      <c r="E4533" s="4"/>
      <c r="H4533" s="31" t="str">
        <f t="shared" si="140"/>
        <v/>
      </c>
      <c r="J4533" t="b">
        <f t="shared" si="141"/>
        <v>0</v>
      </c>
    </row>
    <row r="4534" spans="3:10" x14ac:dyDescent="0.25">
      <c r="C4534" s="4"/>
      <c r="E4534" s="4"/>
      <c r="H4534" s="31" t="str">
        <f t="shared" si="140"/>
        <v/>
      </c>
      <c r="J4534" t="b">
        <f t="shared" si="141"/>
        <v>0</v>
      </c>
    </row>
    <row r="4535" spans="3:10" x14ac:dyDescent="0.25">
      <c r="C4535" s="4"/>
      <c r="E4535" s="4"/>
      <c r="H4535" s="31" t="str">
        <f t="shared" si="140"/>
        <v/>
      </c>
      <c r="J4535" t="b">
        <f t="shared" si="141"/>
        <v>0</v>
      </c>
    </row>
    <row r="4536" spans="3:10" x14ac:dyDescent="0.25">
      <c r="C4536" s="4"/>
      <c r="E4536" s="4"/>
      <c r="H4536" s="31" t="str">
        <f t="shared" si="140"/>
        <v/>
      </c>
      <c r="J4536" t="b">
        <f t="shared" si="141"/>
        <v>0</v>
      </c>
    </row>
    <row r="4537" spans="3:10" x14ac:dyDescent="0.25">
      <c r="C4537" s="4"/>
      <c r="E4537" s="4"/>
      <c r="H4537" s="31" t="str">
        <f t="shared" si="140"/>
        <v/>
      </c>
      <c r="J4537" t="b">
        <f t="shared" si="141"/>
        <v>0</v>
      </c>
    </row>
    <row r="4538" spans="3:10" x14ac:dyDescent="0.25">
      <c r="C4538" s="4"/>
      <c r="E4538" s="4"/>
      <c r="H4538" s="31" t="str">
        <f t="shared" si="140"/>
        <v/>
      </c>
      <c r="J4538" t="b">
        <f t="shared" si="141"/>
        <v>0</v>
      </c>
    </row>
    <row r="4539" spans="3:10" x14ac:dyDescent="0.25">
      <c r="C4539" s="4"/>
      <c r="E4539" s="4"/>
      <c r="H4539" s="31" t="str">
        <f t="shared" si="140"/>
        <v/>
      </c>
      <c r="J4539" t="b">
        <f t="shared" si="141"/>
        <v>0</v>
      </c>
    </row>
    <row r="4540" spans="3:10" x14ac:dyDescent="0.25">
      <c r="C4540" s="4"/>
      <c r="E4540" s="4"/>
      <c r="H4540" s="31" t="str">
        <f t="shared" si="140"/>
        <v/>
      </c>
      <c r="J4540" t="b">
        <f t="shared" si="141"/>
        <v>0</v>
      </c>
    </row>
    <row r="4541" spans="3:10" x14ac:dyDescent="0.25">
      <c r="C4541" s="4"/>
      <c r="E4541" s="4"/>
      <c r="H4541" s="31" t="str">
        <f t="shared" si="140"/>
        <v/>
      </c>
      <c r="J4541" t="b">
        <f t="shared" si="141"/>
        <v>0</v>
      </c>
    </row>
    <row r="4542" spans="3:10" x14ac:dyDescent="0.25">
      <c r="C4542" s="4"/>
      <c r="E4542" s="4"/>
      <c r="H4542" s="31" t="str">
        <f t="shared" si="140"/>
        <v/>
      </c>
      <c r="J4542" t="b">
        <f t="shared" si="141"/>
        <v>0</v>
      </c>
    </row>
    <row r="4543" spans="3:10" x14ac:dyDescent="0.25">
      <c r="C4543" s="4"/>
      <c r="E4543" s="4"/>
      <c r="H4543" s="31" t="str">
        <f t="shared" si="140"/>
        <v/>
      </c>
      <c r="J4543" t="b">
        <f t="shared" si="141"/>
        <v>0</v>
      </c>
    </row>
    <row r="4544" spans="3:10" x14ac:dyDescent="0.25">
      <c r="C4544" s="4"/>
      <c r="E4544" s="4"/>
      <c r="H4544" s="31" t="str">
        <f t="shared" si="140"/>
        <v/>
      </c>
      <c r="J4544" t="b">
        <f t="shared" si="141"/>
        <v>0</v>
      </c>
    </row>
    <row r="4545" spans="3:10" x14ac:dyDescent="0.25">
      <c r="C4545" s="4"/>
      <c r="E4545" s="4"/>
      <c r="H4545" s="31" t="str">
        <f t="shared" si="140"/>
        <v/>
      </c>
      <c r="J4545" t="b">
        <f t="shared" si="141"/>
        <v>0</v>
      </c>
    </row>
    <row r="4546" spans="3:10" x14ac:dyDescent="0.25">
      <c r="C4546" s="4"/>
      <c r="E4546" s="4"/>
      <c r="H4546" s="31" t="str">
        <f t="shared" si="140"/>
        <v/>
      </c>
      <c r="J4546" t="b">
        <f t="shared" si="141"/>
        <v>0</v>
      </c>
    </row>
    <row r="4547" spans="3:10" x14ac:dyDescent="0.25">
      <c r="C4547" s="4"/>
      <c r="E4547" s="4"/>
      <c r="H4547" s="31" t="str">
        <f t="shared" si="140"/>
        <v/>
      </c>
      <c r="J4547" t="b">
        <f t="shared" si="141"/>
        <v>0</v>
      </c>
    </row>
    <row r="4548" spans="3:10" x14ac:dyDescent="0.25">
      <c r="C4548" s="4"/>
      <c r="E4548" s="4"/>
      <c r="H4548" s="31" t="str">
        <f t="shared" ref="H4548:H4611" si="142">IF($J4548=TRUE,"Il ne peut y avoir des valeurs dans les 2 méthodes",IF($D4548="kg/l",$C4548,IF($D4548="g/l",$C4548/1000,IF($D4548="lb/gal US",$C4548*0.454/3.785,IF($G4548="kg/l",($E4548/100)*$F4548,IF($G4548="g/l",($E4548/100)*$F4548/1000,IF($G4548="lb/gal US",($E4548/100)*$F4548*0.454/3.785,"")))))))</f>
        <v/>
      </c>
      <c r="J4548" t="b">
        <f t="shared" ref="J4548:J4611" si="143">IF(AND(OR($C4548&lt;&gt;"",$D4548&lt;&gt;""),OR($E4548&lt;&gt;"",F4548&lt;&gt;"",G4548&lt;&gt;"")),TRUE,FALSE)</f>
        <v>0</v>
      </c>
    </row>
    <row r="4549" spans="3:10" x14ac:dyDescent="0.25">
      <c r="C4549" s="4"/>
      <c r="E4549" s="4"/>
      <c r="H4549" s="31" t="str">
        <f t="shared" si="142"/>
        <v/>
      </c>
      <c r="J4549" t="b">
        <f t="shared" si="143"/>
        <v>0</v>
      </c>
    </row>
    <row r="4550" spans="3:10" x14ac:dyDescent="0.25">
      <c r="C4550" s="4"/>
      <c r="E4550" s="4"/>
      <c r="H4550" s="31" t="str">
        <f t="shared" si="142"/>
        <v/>
      </c>
      <c r="J4550" t="b">
        <f t="shared" si="143"/>
        <v>0</v>
      </c>
    </row>
    <row r="4551" spans="3:10" x14ac:dyDescent="0.25">
      <c r="C4551" s="4"/>
      <c r="E4551" s="4"/>
      <c r="H4551" s="31" t="str">
        <f t="shared" si="142"/>
        <v/>
      </c>
      <c r="J4551" t="b">
        <f t="shared" si="143"/>
        <v>0</v>
      </c>
    </row>
    <row r="4552" spans="3:10" x14ac:dyDescent="0.25">
      <c r="C4552" s="4"/>
      <c r="E4552" s="4"/>
      <c r="H4552" s="31" t="str">
        <f t="shared" si="142"/>
        <v/>
      </c>
      <c r="J4552" t="b">
        <f t="shared" si="143"/>
        <v>0</v>
      </c>
    </row>
    <row r="4553" spans="3:10" x14ac:dyDescent="0.25">
      <c r="C4553" s="4"/>
      <c r="E4553" s="4"/>
      <c r="H4553" s="31" t="str">
        <f t="shared" si="142"/>
        <v/>
      </c>
      <c r="J4553" t="b">
        <f t="shared" si="143"/>
        <v>0</v>
      </c>
    </row>
    <row r="4554" spans="3:10" x14ac:dyDescent="0.25">
      <c r="C4554" s="4"/>
      <c r="E4554" s="4"/>
      <c r="H4554" s="31" t="str">
        <f t="shared" si="142"/>
        <v/>
      </c>
      <c r="J4554" t="b">
        <f t="shared" si="143"/>
        <v>0</v>
      </c>
    </row>
    <row r="4555" spans="3:10" x14ac:dyDescent="0.25">
      <c r="C4555" s="4"/>
      <c r="E4555" s="4"/>
      <c r="H4555" s="31" t="str">
        <f t="shared" si="142"/>
        <v/>
      </c>
      <c r="J4555" t="b">
        <f t="shared" si="143"/>
        <v>0</v>
      </c>
    </row>
    <row r="4556" spans="3:10" x14ac:dyDescent="0.25">
      <c r="C4556" s="4"/>
      <c r="E4556" s="4"/>
      <c r="H4556" s="31" t="str">
        <f t="shared" si="142"/>
        <v/>
      </c>
      <c r="J4556" t="b">
        <f t="shared" si="143"/>
        <v>0</v>
      </c>
    </row>
    <row r="4557" spans="3:10" x14ac:dyDescent="0.25">
      <c r="C4557" s="4"/>
      <c r="E4557" s="4"/>
      <c r="H4557" s="31" t="str">
        <f t="shared" si="142"/>
        <v/>
      </c>
      <c r="J4557" t="b">
        <f t="shared" si="143"/>
        <v>0</v>
      </c>
    </row>
    <row r="4558" spans="3:10" x14ac:dyDescent="0.25">
      <c r="C4558" s="4"/>
      <c r="E4558" s="4"/>
      <c r="H4558" s="31" t="str">
        <f t="shared" si="142"/>
        <v/>
      </c>
      <c r="J4558" t="b">
        <f t="shared" si="143"/>
        <v>0</v>
      </c>
    </row>
    <row r="4559" spans="3:10" x14ac:dyDescent="0.25">
      <c r="C4559" s="4"/>
      <c r="E4559" s="4"/>
      <c r="H4559" s="31" t="str">
        <f t="shared" si="142"/>
        <v/>
      </c>
      <c r="J4559" t="b">
        <f t="shared" si="143"/>
        <v>0</v>
      </c>
    </row>
    <row r="4560" spans="3:10" x14ac:dyDescent="0.25">
      <c r="C4560" s="4"/>
      <c r="E4560" s="4"/>
      <c r="H4560" s="31" t="str">
        <f t="shared" si="142"/>
        <v/>
      </c>
      <c r="J4560" t="b">
        <f t="shared" si="143"/>
        <v>0</v>
      </c>
    </row>
    <row r="4561" spans="3:10" x14ac:dyDescent="0.25">
      <c r="C4561" s="4"/>
      <c r="E4561" s="4"/>
      <c r="H4561" s="31" t="str">
        <f t="shared" si="142"/>
        <v/>
      </c>
      <c r="J4561" t="b">
        <f t="shared" si="143"/>
        <v>0</v>
      </c>
    </row>
    <row r="4562" spans="3:10" x14ac:dyDescent="0.25">
      <c r="C4562" s="4"/>
      <c r="E4562" s="4"/>
      <c r="H4562" s="31" t="str">
        <f t="shared" si="142"/>
        <v/>
      </c>
      <c r="J4562" t="b">
        <f t="shared" si="143"/>
        <v>0</v>
      </c>
    </row>
    <row r="4563" spans="3:10" x14ac:dyDescent="0.25">
      <c r="C4563" s="4"/>
      <c r="E4563" s="4"/>
      <c r="H4563" s="31" t="str">
        <f t="shared" si="142"/>
        <v/>
      </c>
      <c r="J4563" t="b">
        <f t="shared" si="143"/>
        <v>0</v>
      </c>
    </row>
    <row r="4564" spans="3:10" x14ac:dyDescent="0.25">
      <c r="C4564" s="4"/>
      <c r="E4564" s="4"/>
      <c r="H4564" s="31" t="str">
        <f t="shared" si="142"/>
        <v/>
      </c>
      <c r="J4564" t="b">
        <f t="shared" si="143"/>
        <v>0</v>
      </c>
    </row>
    <row r="4565" spans="3:10" x14ac:dyDescent="0.25">
      <c r="C4565" s="4"/>
      <c r="E4565" s="4"/>
      <c r="H4565" s="31" t="str">
        <f t="shared" si="142"/>
        <v/>
      </c>
      <c r="J4565" t="b">
        <f t="shared" si="143"/>
        <v>0</v>
      </c>
    </row>
    <row r="4566" spans="3:10" x14ac:dyDescent="0.25">
      <c r="C4566" s="4"/>
      <c r="E4566" s="4"/>
      <c r="H4566" s="31" t="str">
        <f t="shared" si="142"/>
        <v/>
      </c>
      <c r="J4566" t="b">
        <f t="shared" si="143"/>
        <v>0</v>
      </c>
    </row>
    <row r="4567" spans="3:10" x14ac:dyDescent="0.25">
      <c r="C4567" s="4"/>
      <c r="E4567" s="4"/>
      <c r="H4567" s="31" t="str">
        <f t="shared" si="142"/>
        <v/>
      </c>
      <c r="J4567" t="b">
        <f t="shared" si="143"/>
        <v>0</v>
      </c>
    </row>
    <row r="4568" spans="3:10" x14ac:dyDescent="0.25">
      <c r="C4568" s="4"/>
      <c r="E4568" s="4"/>
      <c r="H4568" s="31" t="str">
        <f t="shared" si="142"/>
        <v/>
      </c>
      <c r="J4568" t="b">
        <f t="shared" si="143"/>
        <v>0</v>
      </c>
    </row>
    <row r="4569" spans="3:10" x14ac:dyDescent="0.25">
      <c r="C4569" s="4"/>
      <c r="E4569" s="4"/>
      <c r="H4569" s="31" t="str">
        <f t="shared" si="142"/>
        <v/>
      </c>
      <c r="J4569" t="b">
        <f t="shared" si="143"/>
        <v>0</v>
      </c>
    </row>
    <row r="4570" spans="3:10" x14ac:dyDescent="0.25">
      <c r="C4570" s="4"/>
      <c r="E4570" s="4"/>
      <c r="H4570" s="31" t="str">
        <f t="shared" si="142"/>
        <v/>
      </c>
      <c r="J4570" t="b">
        <f t="shared" si="143"/>
        <v>0</v>
      </c>
    </row>
    <row r="4571" spans="3:10" x14ac:dyDescent="0.25">
      <c r="C4571" s="4"/>
      <c r="E4571" s="4"/>
      <c r="H4571" s="31" t="str">
        <f t="shared" si="142"/>
        <v/>
      </c>
      <c r="J4571" t="b">
        <f t="shared" si="143"/>
        <v>0</v>
      </c>
    </row>
    <row r="4572" spans="3:10" x14ac:dyDescent="0.25">
      <c r="C4572" s="4"/>
      <c r="E4572" s="4"/>
      <c r="H4572" s="31" t="str">
        <f t="shared" si="142"/>
        <v/>
      </c>
      <c r="J4572" t="b">
        <f t="shared" si="143"/>
        <v>0</v>
      </c>
    </row>
    <row r="4573" spans="3:10" x14ac:dyDescent="0.25">
      <c r="C4573" s="4"/>
      <c r="E4573" s="4"/>
      <c r="H4573" s="31" t="str">
        <f t="shared" si="142"/>
        <v/>
      </c>
      <c r="J4573" t="b">
        <f t="shared" si="143"/>
        <v>0</v>
      </c>
    </row>
    <row r="4574" spans="3:10" x14ac:dyDescent="0.25">
      <c r="C4574" s="4"/>
      <c r="E4574" s="4"/>
      <c r="H4574" s="31" t="str">
        <f t="shared" si="142"/>
        <v/>
      </c>
      <c r="J4574" t="b">
        <f t="shared" si="143"/>
        <v>0</v>
      </c>
    </row>
    <row r="4575" spans="3:10" x14ac:dyDescent="0.25">
      <c r="C4575" s="4"/>
      <c r="E4575" s="4"/>
      <c r="H4575" s="31" t="str">
        <f t="shared" si="142"/>
        <v/>
      </c>
      <c r="J4575" t="b">
        <f t="shared" si="143"/>
        <v>0</v>
      </c>
    </row>
    <row r="4576" spans="3:10" x14ac:dyDescent="0.25">
      <c r="C4576" s="4"/>
      <c r="E4576" s="4"/>
      <c r="H4576" s="31" t="str">
        <f t="shared" si="142"/>
        <v/>
      </c>
      <c r="J4576" t="b">
        <f t="shared" si="143"/>
        <v>0</v>
      </c>
    </row>
    <row r="4577" spans="3:10" x14ac:dyDescent="0.25">
      <c r="C4577" s="4"/>
      <c r="E4577" s="4"/>
      <c r="H4577" s="31" t="str">
        <f t="shared" si="142"/>
        <v/>
      </c>
      <c r="J4577" t="b">
        <f t="shared" si="143"/>
        <v>0</v>
      </c>
    </row>
    <row r="4578" spans="3:10" x14ac:dyDescent="0.25">
      <c r="C4578" s="4"/>
      <c r="E4578" s="4"/>
      <c r="H4578" s="31" t="str">
        <f t="shared" si="142"/>
        <v/>
      </c>
      <c r="J4578" t="b">
        <f t="shared" si="143"/>
        <v>0</v>
      </c>
    </row>
    <row r="4579" spans="3:10" x14ac:dyDescent="0.25">
      <c r="C4579" s="4"/>
      <c r="E4579" s="4"/>
      <c r="H4579" s="31" t="str">
        <f t="shared" si="142"/>
        <v/>
      </c>
      <c r="J4579" t="b">
        <f t="shared" si="143"/>
        <v>0</v>
      </c>
    </row>
    <row r="4580" spans="3:10" x14ac:dyDescent="0.25">
      <c r="C4580" s="4"/>
      <c r="E4580" s="4"/>
      <c r="H4580" s="31" t="str">
        <f t="shared" si="142"/>
        <v/>
      </c>
      <c r="J4580" t="b">
        <f t="shared" si="143"/>
        <v>0</v>
      </c>
    </row>
    <row r="4581" spans="3:10" x14ac:dyDescent="0.25">
      <c r="C4581" s="4"/>
      <c r="E4581" s="4"/>
      <c r="H4581" s="31" t="str">
        <f t="shared" si="142"/>
        <v/>
      </c>
      <c r="J4581" t="b">
        <f t="shared" si="143"/>
        <v>0</v>
      </c>
    </row>
    <row r="4582" spans="3:10" x14ac:dyDescent="0.25">
      <c r="C4582" s="4"/>
      <c r="E4582" s="4"/>
      <c r="H4582" s="31" t="str">
        <f t="shared" si="142"/>
        <v/>
      </c>
      <c r="J4582" t="b">
        <f t="shared" si="143"/>
        <v>0</v>
      </c>
    </row>
    <row r="4583" spans="3:10" x14ac:dyDescent="0.25">
      <c r="C4583" s="4"/>
      <c r="E4583" s="4"/>
      <c r="H4583" s="31" t="str">
        <f t="shared" si="142"/>
        <v/>
      </c>
      <c r="J4583" t="b">
        <f t="shared" si="143"/>
        <v>0</v>
      </c>
    </row>
    <row r="4584" spans="3:10" x14ac:dyDescent="0.25">
      <c r="C4584" s="4"/>
      <c r="E4584" s="4"/>
      <c r="H4584" s="31" t="str">
        <f t="shared" si="142"/>
        <v/>
      </c>
      <c r="J4584" t="b">
        <f t="shared" si="143"/>
        <v>0</v>
      </c>
    </row>
    <row r="4585" spans="3:10" x14ac:dyDescent="0.25">
      <c r="C4585" s="4"/>
      <c r="E4585" s="4"/>
      <c r="H4585" s="31" t="str">
        <f t="shared" si="142"/>
        <v/>
      </c>
      <c r="J4585" t="b">
        <f t="shared" si="143"/>
        <v>0</v>
      </c>
    </row>
    <row r="4586" spans="3:10" x14ac:dyDescent="0.25">
      <c r="C4586" s="4"/>
      <c r="E4586" s="4"/>
      <c r="H4586" s="31" t="str">
        <f t="shared" si="142"/>
        <v/>
      </c>
      <c r="J4586" t="b">
        <f t="shared" si="143"/>
        <v>0</v>
      </c>
    </row>
    <row r="4587" spans="3:10" x14ac:dyDescent="0.25">
      <c r="C4587" s="4"/>
      <c r="E4587" s="4"/>
      <c r="H4587" s="31" t="str">
        <f t="shared" si="142"/>
        <v/>
      </c>
      <c r="J4587" t="b">
        <f t="shared" si="143"/>
        <v>0</v>
      </c>
    </row>
    <row r="4588" spans="3:10" x14ac:dyDescent="0.25">
      <c r="C4588" s="4"/>
      <c r="E4588" s="4"/>
      <c r="H4588" s="31" t="str">
        <f t="shared" si="142"/>
        <v/>
      </c>
      <c r="J4588" t="b">
        <f t="shared" si="143"/>
        <v>0</v>
      </c>
    </row>
    <row r="4589" spans="3:10" x14ac:dyDescent="0.25">
      <c r="C4589" s="4"/>
      <c r="E4589" s="4"/>
      <c r="H4589" s="31" t="str">
        <f t="shared" si="142"/>
        <v/>
      </c>
      <c r="J4589" t="b">
        <f t="shared" si="143"/>
        <v>0</v>
      </c>
    </row>
    <row r="4590" spans="3:10" x14ac:dyDescent="0.25">
      <c r="C4590" s="4"/>
      <c r="E4590" s="4"/>
      <c r="H4590" s="31" t="str">
        <f t="shared" si="142"/>
        <v/>
      </c>
      <c r="J4590" t="b">
        <f t="shared" si="143"/>
        <v>0</v>
      </c>
    </row>
    <row r="4591" spans="3:10" x14ac:dyDescent="0.25">
      <c r="C4591" s="4"/>
      <c r="E4591" s="4"/>
      <c r="H4591" s="31" t="str">
        <f t="shared" si="142"/>
        <v/>
      </c>
      <c r="J4591" t="b">
        <f t="shared" si="143"/>
        <v>0</v>
      </c>
    </row>
    <row r="4592" spans="3:10" x14ac:dyDescent="0.25">
      <c r="C4592" s="4"/>
      <c r="E4592" s="4"/>
      <c r="H4592" s="31" t="str">
        <f t="shared" si="142"/>
        <v/>
      </c>
      <c r="J4592" t="b">
        <f t="shared" si="143"/>
        <v>0</v>
      </c>
    </row>
    <row r="4593" spans="3:10" x14ac:dyDescent="0.25">
      <c r="C4593" s="4"/>
      <c r="E4593" s="4"/>
      <c r="H4593" s="31" t="str">
        <f t="shared" si="142"/>
        <v/>
      </c>
      <c r="J4593" t="b">
        <f t="shared" si="143"/>
        <v>0</v>
      </c>
    </row>
    <row r="4594" spans="3:10" x14ac:dyDescent="0.25">
      <c r="C4594" s="4"/>
      <c r="E4594" s="4"/>
      <c r="H4594" s="31" t="str">
        <f t="shared" si="142"/>
        <v/>
      </c>
      <c r="J4594" t="b">
        <f t="shared" si="143"/>
        <v>0</v>
      </c>
    </row>
    <row r="4595" spans="3:10" x14ac:dyDescent="0.25">
      <c r="C4595" s="4"/>
      <c r="E4595" s="4"/>
      <c r="H4595" s="31" t="str">
        <f t="shared" si="142"/>
        <v/>
      </c>
      <c r="J4595" t="b">
        <f t="shared" si="143"/>
        <v>0</v>
      </c>
    </row>
    <row r="4596" spans="3:10" x14ac:dyDescent="0.25">
      <c r="C4596" s="4"/>
      <c r="E4596" s="4"/>
      <c r="H4596" s="31" t="str">
        <f t="shared" si="142"/>
        <v/>
      </c>
      <c r="J4596" t="b">
        <f t="shared" si="143"/>
        <v>0</v>
      </c>
    </row>
    <row r="4597" spans="3:10" x14ac:dyDescent="0.25">
      <c r="C4597" s="4"/>
      <c r="E4597" s="4"/>
      <c r="H4597" s="31" t="str">
        <f t="shared" si="142"/>
        <v/>
      </c>
      <c r="J4597" t="b">
        <f t="shared" si="143"/>
        <v>0</v>
      </c>
    </row>
    <row r="4598" spans="3:10" x14ac:dyDescent="0.25">
      <c r="C4598" s="4"/>
      <c r="E4598" s="4"/>
      <c r="H4598" s="31" t="str">
        <f t="shared" si="142"/>
        <v/>
      </c>
      <c r="J4598" t="b">
        <f t="shared" si="143"/>
        <v>0</v>
      </c>
    </row>
    <row r="4599" spans="3:10" x14ac:dyDescent="0.25">
      <c r="C4599" s="4"/>
      <c r="E4599" s="4"/>
      <c r="H4599" s="31" t="str">
        <f t="shared" si="142"/>
        <v/>
      </c>
      <c r="J4599" t="b">
        <f t="shared" si="143"/>
        <v>0</v>
      </c>
    </row>
    <row r="4600" spans="3:10" x14ac:dyDescent="0.25">
      <c r="C4600" s="4"/>
      <c r="E4600" s="4"/>
      <c r="H4600" s="31" t="str">
        <f t="shared" si="142"/>
        <v/>
      </c>
      <c r="J4600" t="b">
        <f t="shared" si="143"/>
        <v>0</v>
      </c>
    </row>
    <row r="4601" spans="3:10" x14ac:dyDescent="0.25">
      <c r="C4601" s="4"/>
      <c r="E4601" s="4"/>
      <c r="H4601" s="31" t="str">
        <f t="shared" si="142"/>
        <v/>
      </c>
      <c r="J4601" t="b">
        <f t="shared" si="143"/>
        <v>0</v>
      </c>
    </row>
    <row r="4602" spans="3:10" x14ac:dyDescent="0.25">
      <c r="C4602" s="4"/>
      <c r="E4602" s="4"/>
      <c r="H4602" s="31" t="str">
        <f t="shared" si="142"/>
        <v/>
      </c>
      <c r="J4602" t="b">
        <f t="shared" si="143"/>
        <v>0</v>
      </c>
    </row>
    <row r="4603" spans="3:10" x14ac:dyDescent="0.25">
      <c r="C4603" s="4"/>
      <c r="E4603" s="4"/>
      <c r="H4603" s="31" t="str">
        <f t="shared" si="142"/>
        <v/>
      </c>
      <c r="J4603" t="b">
        <f t="shared" si="143"/>
        <v>0</v>
      </c>
    </row>
    <row r="4604" spans="3:10" x14ac:dyDescent="0.25">
      <c r="C4604" s="4"/>
      <c r="E4604" s="4"/>
      <c r="H4604" s="31" t="str">
        <f t="shared" si="142"/>
        <v/>
      </c>
      <c r="J4604" t="b">
        <f t="shared" si="143"/>
        <v>0</v>
      </c>
    </row>
    <row r="4605" spans="3:10" x14ac:dyDescent="0.25">
      <c r="C4605" s="4"/>
      <c r="E4605" s="4"/>
      <c r="H4605" s="31" t="str">
        <f t="shared" si="142"/>
        <v/>
      </c>
      <c r="J4605" t="b">
        <f t="shared" si="143"/>
        <v>0</v>
      </c>
    </row>
    <row r="4606" spans="3:10" x14ac:dyDescent="0.25">
      <c r="C4606" s="4"/>
      <c r="E4606" s="4"/>
      <c r="H4606" s="31" t="str">
        <f t="shared" si="142"/>
        <v/>
      </c>
      <c r="J4606" t="b">
        <f t="shared" si="143"/>
        <v>0</v>
      </c>
    </row>
    <row r="4607" spans="3:10" x14ac:dyDescent="0.25">
      <c r="C4607" s="4"/>
      <c r="E4607" s="4"/>
      <c r="H4607" s="31" t="str">
        <f t="shared" si="142"/>
        <v/>
      </c>
      <c r="J4607" t="b">
        <f t="shared" si="143"/>
        <v>0</v>
      </c>
    </row>
    <row r="4608" spans="3:10" x14ac:dyDescent="0.25">
      <c r="C4608" s="4"/>
      <c r="E4608" s="4"/>
      <c r="H4608" s="31" t="str">
        <f t="shared" si="142"/>
        <v/>
      </c>
      <c r="J4608" t="b">
        <f t="shared" si="143"/>
        <v>0</v>
      </c>
    </row>
    <row r="4609" spans="3:10" x14ac:dyDescent="0.25">
      <c r="C4609" s="4"/>
      <c r="E4609" s="4"/>
      <c r="H4609" s="31" t="str">
        <f t="shared" si="142"/>
        <v/>
      </c>
      <c r="J4609" t="b">
        <f t="shared" si="143"/>
        <v>0</v>
      </c>
    </row>
    <row r="4610" spans="3:10" x14ac:dyDescent="0.25">
      <c r="C4610" s="4"/>
      <c r="E4610" s="4"/>
      <c r="H4610" s="31" t="str">
        <f t="shared" si="142"/>
        <v/>
      </c>
      <c r="J4610" t="b">
        <f t="shared" si="143"/>
        <v>0</v>
      </c>
    </row>
    <row r="4611" spans="3:10" x14ac:dyDescent="0.25">
      <c r="C4611" s="4"/>
      <c r="E4611" s="4"/>
      <c r="H4611" s="31" t="str">
        <f t="shared" si="142"/>
        <v/>
      </c>
      <c r="J4611" t="b">
        <f t="shared" si="143"/>
        <v>0</v>
      </c>
    </row>
    <row r="4612" spans="3:10" x14ac:dyDescent="0.25">
      <c r="C4612" s="4"/>
      <c r="E4612" s="4"/>
      <c r="H4612" s="31" t="str">
        <f t="shared" ref="H4612:H4675" si="144">IF($J4612=TRUE,"Il ne peut y avoir des valeurs dans les 2 méthodes",IF($D4612="kg/l",$C4612,IF($D4612="g/l",$C4612/1000,IF($D4612="lb/gal US",$C4612*0.454/3.785,IF($G4612="kg/l",($E4612/100)*$F4612,IF($G4612="g/l",($E4612/100)*$F4612/1000,IF($G4612="lb/gal US",($E4612/100)*$F4612*0.454/3.785,"")))))))</f>
        <v/>
      </c>
      <c r="J4612" t="b">
        <f t="shared" ref="J4612:J4675" si="145">IF(AND(OR($C4612&lt;&gt;"",$D4612&lt;&gt;""),OR($E4612&lt;&gt;"",F4612&lt;&gt;"",G4612&lt;&gt;"")),TRUE,FALSE)</f>
        <v>0</v>
      </c>
    </row>
    <row r="4613" spans="3:10" x14ac:dyDescent="0.25">
      <c r="C4613" s="4"/>
      <c r="E4613" s="4"/>
      <c r="H4613" s="31" t="str">
        <f t="shared" si="144"/>
        <v/>
      </c>
      <c r="J4613" t="b">
        <f t="shared" si="145"/>
        <v>0</v>
      </c>
    </row>
    <row r="4614" spans="3:10" x14ac:dyDescent="0.25">
      <c r="C4614" s="4"/>
      <c r="E4614" s="4"/>
      <c r="H4614" s="31" t="str">
        <f t="shared" si="144"/>
        <v/>
      </c>
      <c r="J4614" t="b">
        <f t="shared" si="145"/>
        <v>0</v>
      </c>
    </row>
    <row r="4615" spans="3:10" x14ac:dyDescent="0.25">
      <c r="C4615" s="4"/>
      <c r="E4615" s="4"/>
      <c r="H4615" s="31" t="str">
        <f t="shared" si="144"/>
        <v/>
      </c>
      <c r="J4615" t="b">
        <f t="shared" si="145"/>
        <v>0</v>
      </c>
    </row>
    <row r="4616" spans="3:10" x14ac:dyDescent="0.25">
      <c r="C4616" s="4"/>
      <c r="E4616" s="4"/>
      <c r="H4616" s="31" t="str">
        <f t="shared" si="144"/>
        <v/>
      </c>
      <c r="J4616" t="b">
        <f t="shared" si="145"/>
        <v>0</v>
      </c>
    </row>
    <row r="4617" spans="3:10" x14ac:dyDescent="0.25">
      <c r="C4617" s="4"/>
      <c r="E4617" s="4"/>
      <c r="H4617" s="31" t="str">
        <f t="shared" si="144"/>
        <v/>
      </c>
      <c r="J4617" t="b">
        <f t="shared" si="145"/>
        <v>0</v>
      </c>
    </row>
    <row r="4618" spans="3:10" x14ac:dyDescent="0.25">
      <c r="C4618" s="4"/>
      <c r="E4618" s="4"/>
      <c r="H4618" s="31" t="str">
        <f t="shared" si="144"/>
        <v/>
      </c>
      <c r="J4618" t="b">
        <f t="shared" si="145"/>
        <v>0</v>
      </c>
    </row>
    <row r="4619" spans="3:10" x14ac:dyDescent="0.25">
      <c r="C4619" s="4"/>
      <c r="E4619" s="4"/>
      <c r="H4619" s="31" t="str">
        <f t="shared" si="144"/>
        <v/>
      </c>
      <c r="J4619" t="b">
        <f t="shared" si="145"/>
        <v>0</v>
      </c>
    </row>
    <row r="4620" spans="3:10" x14ac:dyDescent="0.25">
      <c r="C4620" s="4"/>
      <c r="E4620" s="4"/>
      <c r="H4620" s="31" t="str">
        <f t="shared" si="144"/>
        <v/>
      </c>
      <c r="J4620" t="b">
        <f t="shared" si="145"/>
        <v>0</v>
      </c>
    </row>
    <row r="4621" spans="3:10" x14ac:dyDescent="0.25">
      <c r="C4621" s="4"/>
      <c r="E4621" s="4"/>
      <c r="H4621" s="31" t="str">
        <f t="shared" si="144"/>
        <v/>
      </c>
      <c r="J4621" t="b">
        <f t="shared" si="145"/>
        <v>0</v>
      </c>
    </row>
    <row r="4622" spans="3:10" x14ac:dyDescent="0.25">
      <c r="C4622" s="4"/>
      <c r="E4622" s="4"/>
      <c r="H4622" s="31" t="str">
        <f t="shared" si="144"/>
        <v/>
      </c>
      <c r="J4622" t="b">
        <f t="shared" si="145"/>
        <v>0</v>
      </c>
    </row>
    <row r="4623" spans="3:10" x14ac:dyDescent="0.25">
      <c r="C4623" s="4"/>
      <c r="E4623" s="4"/>
      <c r="H4623" s="31" t="str">
        <f t="shared" si="144"/>
        <v/>
      </c>
      <c r="J4623" t="b">
        <f t="shared" si="145"/>
        <v>0</v>
      </c>
    </row>
    <row r="4624" spans="3:10" x14ac:dyDescent="0.25">
      <c r="C4624" s="4"/>
      <c r="E4624" s="4"/>
      <c r="H4624" s="31" t="str">
        <f t="shared" si="144"/>
        <v/>
      </c>
      <c r="J4624" t="b">
        <f t="shared" si="145"/>
        <v>0</v>
      </c>
    </row>
    <row r="4625" spans="3:10" x14ac:dyDescent="0.25">
      <c r="C4625" s="4"/>
      <c r="E4625" s="4"/>
      <c r="H4625" s="31" t="str">
        <f t="shared" si="144"/>
        <v/>
      </c>
      <c r="J4625" t="b">
        <f t="shared" si="145"/>
        <v>0</v>
      </c>
    </row>
    <row r="4626" spans="3:10" x14ac:dyDescent="0.25">
      <c r="C4626" s="4"/>
      <c r="E4626" s="4"/>
      <c r="H4626" s="31" t="str">
        <f t="shared" si="144"/>
        <v/>
      </c>
      <c r="J4626" t="b">
        <f t="shared" si="145"/>
        <v>0</v>
      </c>
    </row>
    <row r="4627" spans="3:10" x14ac:dyDescent="0.25">
      <c r="C4627" s="4"/>
      <c r="E4627" s="4"/>
      <c r="H4627" s="31" t="str">
        <f t="shared" si="144"/>
        <v/>
      </c>
      <c r="J4627" t="b">
        <f t="shared" si="145"/>
        <v>0</v>
      </c>
    </row>
    <row r="4628" spans="3:10" x14ac:dyDescent="0.25">
      <c r="C4628" s="4"/>
      <c r="E4628" s="4"/>
      <c r="H4628" s="31" t="str">
        <f t="shared" si="144"/>
        <v/>
      </c>
      <c r="J4628" t="b">
        <f t="shared" si="145"/>
        <v>0</v>
      </c>
    </row>
    <row r="4629" spans="3:10" x14ac:dyDescent="0.25">
      <c r="C4629" s="4"/>
      <c r="E4629" s="4"/>
      <c r="H4629" s="31" t="str">
        <f t="shared" si="144"/>
        <v/>
      </c>
      <c r="J4629" t="b">
        <f t="shared" si="145"/>
        <v>0</v>
      </c>
    </row>
    <row r="4630" spans="3:10" x14ac:dyDescent="0.25">
      <c r="C4630" s="4"/>
      <c r="E4630" s="4"/>
      <c r="H4630" s="31" t="str">
        <f t="shared" si="144"/>
        <v/>
      </c>
      <c r="J4630" t="b">
        <f t="shared" si="145"/>
        <v>0</v>
      </c>
    </row>
    <row r="4631" spans="3:10" x14ac:dyDescent="0.25">
      <c r="C4631" s="4"/>
      <c r="E4631" s="4"/>
      <c r="H4631" s="31" t="str">
        <f t="shared" si="144"/>
        <v/>
      </c>
      <c r="J4631" t="b">
        <f t="shared" si="145"/>
        <v>0</v>
      </c>
    </row>
    <row r="4632" spans="3:10" x14ac:dyDescent="0.25">
      <c r="C4632" s="4"/>
      <c r="E4632" s="4"/>
      <c r="H4632" s="31" t="str">
        <f t="shared" si="144"/>
        <v/>
      </c>
      <c r="J4632" t="b">
        <f t="shared" si="145"/>
        <v>0</v>
      </c>
    </row>
    <row r="4633" spans="3:10" x14ac:dyDescent="0.25">
      <c r="C4633" s="4"/>
      <c r="E4633" s="4"/>
      <c r="H4633" s="31" t="str">
        <f t="shared" si="144"/>
        <v/>
      </c>
      <c r="J4633" t="b">
        <f t="shared" si="145"/>
        <v>0</v>
      </c>
    </row>
    <row r="4634" spans="3:10" x14ac:dyDescent="0.25">
      <c r="C4634" s="4"/>
      <c r="E4634" s="4"/>
      <c r="H4634" s="31" t="str">
        <f t="shared" si="144"/>
        <v/>
      </c>
      <c r="J4634" t="b">
        <f t="shared" si="145"/>
        <v>0</v>
      </c>
    </row>
    <row r="4635" spans="3:10" x14ac:dyDescent="0.25">
      <c r="C4635" s="4"/>
      <c r="E4635" s="4"/>
      <c r="H4635" s="31" t="str">
        <f t="shared" si="144"/>
        <v/>
      </c>
      <c r="J4635" t="b">
        <f t="shared" si="145"/>
        <v>0</v>
      </c>
    </row>
    <row r="4636" spans="3:10" x14ac:dyDescent="0.25">
      <c r="C4636" s="4"/>
      <c r="E4636" s="4"/>
      <c r="H4636" s="31" t="str">
        <f t="shared" si="144"/>
        <v/>
      </c>
      <c r="J4636" t="b">
        <f t="shared" si="145"/>
        <v>0</v>
      </c>
    </row>
    <row r="4637" spans="3:10" x14ac:dyDescent="0.25">
      <c r="C4637" s="4"/>
      <c r="E4637" s="4"/>
      <c r="H4637" s="31" t="str">
        <f t="shared" si="144"/>
        <v/>
      </c>
      <c r="J4637" t="b">
        <f t="shared" si="145"/>
        <v>0</v>
      </c>
    </row>
    <row r="4638" spans="3:10" x14ac:dyDescent="0.25">
      <c r="C4638" s="4"/>
      <c r="E4638" s="4"/>
      <c r="H4638" s="31" t="str">
        <f t="shared" si="144"/>
        <v/>
      </c>
      <c r="J4638" t="b">
        <f t="shared" si="145"/>
        <v>0</v>
      </c>
    </row>
    <row r="4639" spans="3:10" x14ac:dyDescent="0.25">
      <c r="C4639" s="4"/>
      <c r="E4639" s="4"/>
      <c r="H4639" s="31" t="str">
        <f t="shared" si="144"/>
        <v/>
      </c>
      <c r="J4639" t="b">
        <f t="shared" si="145"/>
        <v>0</v>
      </c>
    </row>
    <row r="4640" spans="3:10" x14ac:dyDescent="0.25">
      <c r="C4640" s="4"/>
      <c r="E4640" s="4"/>
      <c r="H4640" s="31" t="str">
        <f t="shared" si="144"/>
        <v/>
      </c>
      <c r="J4640" t="b">
        <f t="shared" si="145"/>
        <v>0</v>
      </c>
    </row>
    <row r="4641" spans="3:10" x14ac:dyDescent="0.25">
      <c r="C4641" s="4"/>
      <c r="E4641" s="4"/>
      <c r="H4641" s="31" t="str">
        <f t="shared" si="144"/>
        <v/>
      </c>
      <c r="J4641" t="b">
        <f t="shared" si="145"/>
        <v>0</v>
      </c>
    </row>
    <row r="4642" spans="3:10" x14ac:dyDescent="0.25">
      <c r="C4642" s="4"/>
      <c r="E4642" s="4"/>
      <c r="H4642" s="31" t="str">
        <f t="shared" si="144"/>
        <v/>
      </c>
      <c r="J4642" t="b">
        <f t="shared" si="145"/>
        <v>0</v>
      </c>
    </row>
    <row r="4643" spans="3:10" x14ac:dyDescent="0.25">
      <c r="C4643" s="4"/>
      <c r="E4643" s="4"/>
      <c r="H4643" s="31" t="str">
        <f t="shared" si="144"/>
        <v/>
      </c>
      <c r="J4643" t="b">
        <f t="shared" si="145"/>
        <v>0</v>
      </c>
    </row>
    <row r="4644" spans="3:10" x14ac:dyDescent="0.25">
      <c r="C4644" s="4"/>
      <c r="E4644" s="4"/>
      <c r="H4644" s="31" t="str">
        <f t="shared" si="144"/>
        <v/>
      </c>
      <c r="J4644" t="b">
        <f t="shared" si="145"/>
        <v>0</v>
      </c>
    </row>
    <row r="4645" spans="3:10" x14ac:dyDescent="0.25">
      <c r="C4645" s="4"/>
      <c r="E4645" s="4"/>
      <c r="H4645" s="31" t="str">
        <f t="shared" si="144"/>
        <v/>
      </c>
      <c r="J4645" t="b">
        <f t="shared" si="145"/>
        <v>0</v>
      </c>
    </row>
    <row r="4646" spans="3:10" x14ac:dyDescent="0.25">
      <c r="C4646" s="4"/>
      <c r="E4646" s="4"/>
      <c r="H4646" s="31" t="str">
        <f t="shared" si="144"/>
        <v/>
      </c>
      <c r="J4646" t="b">
        <f t="shared" si="145"/>
        <v>0</v>
      </c>
    </row>
    <row r="4647" spans="3:10" x14ac:dyDescent="0.25">
      <c r="C4647" s="4"/>
      <c r="E4647" s="4"/>
      <c r="H4647" s="31" t="str">
        <f t="shared" si="144"/>
        <v/>
      </c>
      <c r="J4647" t="b">
        <f t="shared" si="145"/>
        <v>0</v>
      </c>
    </row>
    <row r="4648" spans="3:10" x14ac:dyDescent="0.25">
      <c r="C4648" s="4"/>
      <c r="E4648" s="4"/>
      <c r="H4648" s="31" t="str">
        <f t="shared" si="144"/>
        <v/>
      </c>
      <c r="J4648" t="b">
        <f t="shared" si="145"/>
        <v>0</v>
      </c>
    </row>
    <row r="4649" spans="3:10" x14ac:dyDescent="0.25">
      <c r="C4649" s="4"/>
      <c r="E4649" s="4"/>
      <c r="H4649" s="31" t="str">
        <f t="shared" si="144"/>
        <v/>
      </c>
      <c r="J4649" t="b">
        <f t="shared" si="145"/>
        <v>0</v>
      </c>
    </row>
    <row r="4650" spans="3:10" x14ac:dyDescent="0.25">
      <c r="C4650" s="4"/>
      <c r="E4650" s="4"/>
      <c r="H4650" s="31" t="str">
        <f t="shared" si="144"/>
        <v/>
      </c>
      <c r="J4650" t="b">
        <f t="shared" si="145"/>
        <v>0</v>
      </c>
    </row>
    <row r="4651" spans="3:10" x14ac:dyDescent="0.25">
      <c r="C4651" s="4"/>
      <c r="E4651" s="4"/>
      <c r="H4651" s="31" t="str">
        <f t="shared" si="144"/>
        <v/>
      </c>
      <c r="J4651" t="b">
        <f t="shared" si="145"/>
        <v>0</v>
      </c>
    </row>
    <row r="4652" spans="3:10" x14ac:dyDescent="0.25">
      <c r="C4652" s="4"/>
      <c r="E4652" s="4"/>
      <c r="H4652" s="31" t="str">
        <f t="shared" si="144"/>
        <v/>
      </c>
      <c r="J4652" t="b">
        <f t="shared" si="145"/>
        <v>0</v>
      </c>
    </row>
    <row r="4653" spans="3:10" x14ac:dyDescent="0.25">
      <c r="C4653" s="4"/>
      <c r="E4653" s="4"/>
      <c r="H4653" s="31" t="str">
        <f t="shared" si="144"/>
        <v/>
      </c>
      <c r="J4653" t="b">
        <f t="shared" si="145"/>
        <v>0</v>
      </c>
    </row>
    <row r="4654" spans="3:10" x14ac:dyDescent="0.25">
      <c r="C4654" s="4"/>
      <c r="E4654" s="4"/>
      <c r="H4654" s="31" t="str">
        <f t="shared" si="144"/>
        <v/>
      </c>
      <c r="J4654" t="b">
        <f t="shared" si="145"/>
        <v>0</v>
      </c>
    </row>
    <row r="4655" spans="3:10" x14ac:dyDescent="0.25">
      <c r="C4655" s="4"/>
      <c r="E4655" s="4"/>
      <c r="H4655" s="31" t="str">
        <f t="shared" si="144"/>
        <v/>
      </c>
      <c r="J4655" t="b">
        <f t="shared" si="145"/>
        <v>0</v>
      </c>
    </row>
    <row r="4656" spans="3:10" x14ac:dyDescent="0.25">
      <c r="C4656" s="4"/>
      <c r="E4656" s="4"/>
      <c r="H4656" s="31" t="str">
        <f t="shared" si="144"/>
        <v/>
      </c>
      <c r="J4656" t="b">
        <f t="shared" si="145"/>
        <v>0</v>
      </c>
    </row>
    <row r="4657" spans="3:10" x14ac:dyDescent="0.25">
      <c r="C4657" s="4"/>
      <c r="E4657" s="4"/>
      <c r="H4657" s="31" t="str">
        <f t="shared" si="144"/>
        <v/>
      </c>
      <c r="J4657" t="b">
        <f t="shared" si="145"/>
        <v>0</v>
      </c>
    </row>
    <row r="4658" spans="3:10" x14ac:dyDescent="0.25">
      <c r="C4658" s="4"/>
      <c r="E4658" s="4"/>
      <c r="H4658" s="31" t="str">
        <f t="shared" si="144"/>
        <v/>
      </c>
      <c r="J4658" t="b">
        <f t="shared" si="145"/>
        <v>0</v>
      </c>
    </row>
    <row r="4659" spans="3:10" x14ac:dyDescent="0.25">
      <c r="C4659" s="4"/>
      <c r="E4659" s="4"/>
      <c r="H4659" s="31" t="str">
        <f t="shared" si="144"/>
        <v/>
      </c>
      <c r="J4659" t="b">
        <f t="shared" si="145"/>
        <v>0</v>
      </c>
    </row>
    <row r="4660" spans="3:10" x14ac:dyDescent="0.25">
      <c r="C4660" s="4"/>
      <c r="E4660" s="4"/>
      <c r="H4660" s="31" t="str">
        <f t="shared" si="144"/>
        <v/>
      </c>
      <c r="J4660" t="b">
        <f t="shared" si="145"/>
        <v>0</v>
      </c>
    </row>
    <row r="4661" spans="3:10" x14ac:dyDescent="0.25">
      <c r="C4661" s="4"/>
      <c r="E4661" s="4"/>
      <c r="H4661" s="31" t="str">
        <f t="shared" si="144"/>
        <v/>
      </c>
      <c r="J4661" t="b">
        <f t="shared" si="145"/>
        <v>0</v>
      </c>
    </row>
    <row r="4662" spans="3:10" x14ac:dyDescent="0.25">
      <c r="C4662" s="4"/>
      <c r="E4662" s="4"/>
      <c r="H4662" s="31" t="str">
        <f t="shared" si="144"/>
        <v/>
      </c>
      <c r="J4662" t="b">
        <f t="shared" si="145"/>
        <v>0</v>
      </c>
    </row>
    <row r="4663" spans="3:10" x14ac:dyDescent="0.25">
      <c r="C4663" s="4"/>
      <c r="E4663" s="4"/>
      <c r="H4663" s="31" t="str">
        <f t="shared" si="144"/>
        <v/>
      </c>
      <c r="J4663" t="b">
        <f t="shared" si="145"/>
        <v>0</v>
      </c>
    </row>
    <row r="4664" spans="3:10" x14ac:dyDescent="0.25">
      <c r="C4664" s="4"/>
      <c r="E4664" s="4"/>
      <c r="H4664" s="31" t="str">
        <f t="shared" si="144"/>
        <v/>
      </c>
      <c r="J4664" t="b">
        <f t="shared" si="145"/>
        <v>0</v>
      </c>
    </row>
    <row r="4665" spans="3:10" x14ac:dyDescent="0.25">
      <c r="C4665" s="4"/>
      <c r="E4665" s="4"/>
      <c r="H4665" s="31" t="str">
        <f t="shared" si="144"/>
        <v/>
      </c>
      <c r="J4665" t="b">
        <f t="shared" si="145"/>
        <v>0</v>
      </c>
    </row>
    <row r="4666" spans="3:10" x14ac:dyDescent="0.25">
      <c r="C4666" s="4"/>
      <c r="E4666" s="4"/>
      <c r="H4666" s="31" t="str">
        <f t="shared" si="144"/>
        <v/>
      </c>
      <c r="J4666" t="b">
        <f t="shared" si="145"/>
        <v>0</v>
      </c>
    </row>
    <row r="4667" spans="3:10" x14ac:dyDescent="0.25">
      <c r="C4667" s="4"/>
      <c r="E4667" s="4"/>
      <c r="H4667" s="31" t="str">
        <f t="shared" si="144"/>
        <v/>
      </c>
      <c r="J4667" t="b">
        <f t="shared" si="145"/>
        <v>0</v>
      </c>
    </row>
    <row r="4668" spans="3:10" x14ac:dyDescent="0.25">
      <c r="C4668" s="4"/>
      <c r="E4668" s="4"/>
      <c r="H4668" s="31" t="str">
        <f t="shared" si="144"/>
        <v/>
      </c>
      <c r="J4668" t="b">
        <f t="shared" si="145"/>
        <v>0</v>
      </c>
    </row>
    <row r="4669" spans="3:10" x14ac:dyDescent="0.25">
      <c r="C4669" s="4"/>
      <c r="E4669" s="4"/>
      <c r="H4669" s="31" t="str">
        <f t="shared" si="144"/>
        <v/>
      </c>
      <c r="J4669" t="b">
        <f t="shared" si="145"/>
        <v>0</v>
      </c>
    </row>
    <row r="4670" spans="3:10" x14ac:dyDescent="0.25">
      <c r="C4670" s="4"/>
      <c r="E4670" s="4"/>
      <c r="H4670" s="31" t="str">
        <f t="shared" si="144"/>
        <v/>
      </c>
      <c r="J4670" t="b">
        <f t="shared" si="145"/>
        <v>0</v>
      </c>
    </row>
    <row r="4671" spans="3:10" x14ac:dyDescent="0.25">
      <c r="C4671" s="4"/>
      <c r="E4671" s="4"/>
      <c r="H4671" s="31" t="str">
        <f t="shared" si="144"/>
        <v/>
      </c>
      <c r="J4671" t="b">
        <f t="shared" si="145"/>
        <v>0</v>
      </c>
    </row>
    <row r="4672" spans="3:10" x14ac:dyDescent="0.25">
      <c r="C4672" s="4"/>
      <c r="E4672" s="4"/>
      <c r="H4672" s="31" t="str">
        <f t="shared" si="144"/>
        <v/>
      </c>
      <c r="J4672" t="b">
        <f t="shared" si="145"/>
        <v>0</v>
      </c>
    </row>
    <row r="4673" spans="3:10" x14ac:dyDescent="0.25">
      <c r="C4673" s="4"/>
      <c r="E4673" s="4"/>
      <c r="H4673" s="31" t="str">
        <f t="shared" si="144"/>
        <v/>
      </c>
      <c r="J4673" t="b">
        <f t="shared" si="145"/>
        <v>0</v>
      </c>
    </row>
    <row r="4674" spans="3:10" x14ac:dyDescent="0.25">
      <c r="C4674" s="4"/>
      <c r="E4674" s="4"/>
      <c r="H4674" s="31" t="str">
        <f t="shared" si="144"/>
        <v/>
      </c>
      <c r="J4674" t="b">
        <f t="shared" si="145"/>
        <v>0</v>
      </c>
    </row>
    <row r="4675" spans="3:10" x14ac:dyDescent="0.25">
      <c r="C4675" s="4"/>
      <c r="E4675" s="4"/>
      <c r="H4675" s="31" t="str">
        <f t="shared" si="144"/>
        <v/>
      </c>
      <c r="J4675" t="b">
        <f t="shared" si="145"/>
        <v>0</v>
      </c>
    </row>
    <row r="4676" spans="3:10" x14ac:dyDescent="0.25">
      <c r="C4676" s="4"/>
      <c r="E4676" s="4"/>
      <c r="H4676" s="31" t="str">
        <f t="shared" ref="H4676:H4739" si="146">IF($J4676=TRUE,"Il ne peut y avoir des valeurs dans les 2 méthodes",IF($D4676="kg/l",$C4676,IF($D4676="g/l",$C4676/1000,IF($D4676="lb/gal US",$C4676*0.454/3.785,IF($G4676="kg/l",($E4676/100)*$F4676,IF($G4676="g/l",($E4676/100)*$F4676/1000,IF($G4676="lb/gal US",($E4676/100)*$F4676*0.454/3.785,"")))))))</f>
        <v/>
      </c>
      <c r="J4676" t="b">
        <f t="shared" ref="J4676:J4739" si="147">IF(AND(OR($C4676&lt;&gt;"",$D4676&lt;&gt;""),OR($E4676&lt;&gt;"",F4676&lt;&gt;"",G4676&lt;&gt;"")),TRUE,FALSE)</f>
        <v>0</v>
      </c>
    </row>
    <row r="4677" spans="3:10" x14ac:dyDescent="0.25">
      <c r="C4677" s="4"/>
      <c r="E4677" s="4"/>
      <c r="H4677" s="31" t="str">
        <f t="shared" si="146"/>
        <v/>
      </c>
      <c r="J4677" t="b">
        <f t="shared" si="147"/>
        <v>0</v>
      </c>
    </row>
    <row r="4678" spans="3:10" x14ac:dyDescent="0.25">
      <c r="C4678" s="4"/>
      <c r="E4678" s="4"/>
      <c r="H4678" s="31" t="str">
        <f t="shared" si="146"/>
        <v/>
      </c>
      <c r="J4678" t="b">
        <f t="shared" si="147"/>
        <v>0</v>
      </c>
    </row>
    <row r="4679" spans="3:10" x14ac:dyDescent="0.25">
      <c r="C4679" s="4"/>
      <c r="E4679" s="4"/>
      <c r="H4679" s="31" t="str">
        <f t="shared" si="146"/>
        <v/>
      </c>
      <c r="J4679" t="b">
        <f t="shared" si="147"/>
        <v>0</v>
      </c>
    </row>
    <row r="4680" spans="3:10" x14ac:dyDescent="0.25">
      <c r="C4680" s="4"/>
      <c r="E4680" s="4"/>
      <c r="H4680" s="31" t="str">
        <f t="shared" si="146"/>
        <v/>
      </c>
      <c r="J4680" t="b">
        <f t="shared" si="147"/>
        <v>0</v>
      </c>
    </row>
    <row r="4681" spans="3:10" x14ac:dyDescent="0.25">
      <c r="C4681" s="4"/>
      <c r="E4681" s="4"/>
      <c r="H4681" s="31" t="str">
        <f t="shared" si="146"/>
        <v/>
      </c>
      <c r="J4681" t="b">
        <f t="shared" si="147"/>
        <v>0</v>
      </c>
    </row>
    <row r="4682" spans="3:10" x14ac:dyDescent="0.25">
      <c r="C4682" s="4"/>
      <c r="E4682" s="4"/>
      <c r="H4682" s="31" t="str">
        <f t="shared" si="146"/>
        <v/>
      </c>
      <c r="J4682" t="b">
        <f t="shared" si="147"/>
        <v>0</v>
      </c>
    </row>
    <row r="4683" spans="3:10" x14ac:dyDescent="0.25">
      <c r="C4683" s="4"/>
      <c r="E4683" s="4"/>
      <c r="H4683" s="31" t="str">
        <f t="shared" si="146"/>
        <v/>
      </c>
      <c r="J4683" t="b">
        <f t="shared" si="147"/>
        <v>0</v>
      </c>
    </row>
    <row r="4684" spans="3:10" x14ac:dyDescent="0.25">
      <c r="C4684" s="4"/>
      <c r="E4684" s="4"/>
      <c r="H4684" s="31" t="str">
        <f t="shared" si="146"/>
        <v/>
      </c>
      <c r="J4684" t="b">
        <f t="shared" si="147"/>
        <v>0</v>
      </c>
    </row>
    <row r="4685" spans="3:10" x14ac:dyDescent="0.25">
      <c r="C4685" s="4"/>
      <c r="E4685" s="4"/>
      <c r="H4685" s="31" t="str">
        <f t="shared" si="146"/>
        <v/>
      </c>
      <c r="J4685" t="b">
        <f t="shared" si="147"/>
        <v>0</v>
      </c>
    </row>
    <row r="4686" spans="3:10" x14ac:dyDescent="0.25">
      <c r="C4686" s="4"/>
      <c r="E4686" s="4"/>
      <c r="H4686" s="31" t="str">
        <f t="shared" si="146"/>
        <v/>
      </c>
      <c r="J4686" t="b">
        <f t="shared" si="147"/>
        <v>0</v>
      </c>
    </row>
    <row r="4687" spans="3:10" x14ac:dyDescent="0.25">
      <c r="C4687" s="4"/>
      <c r="E4687" s="4"/>
      <c r="H4687" s="31" t="str">
        <f t="shared" si="146"/>
        <v/>
      </c>
      <c r="J4687" t="b">
        <f t="shared" si="147"/>
        <v>0</v>
      </c>
    </row>
    <row r="4688" spans="3:10" x14ac:dyDescent="0.25">
      <c r="C4688" s="4"/>
      <c r="E4688" s="4"/>
      <c r="H4688" s="31" t="str">
        <f t="shared" si="146"/>
        <v/>
      </c>
      <c r="J4688" t="b">
        <f t="shared" si="147"/>
        <v>0</v>
      </c>
    </row>
    <row r="4689" spans="3:10" x14ac:dyDescent="0.25">
      <c r="C4689" s="4"/>
      <c r="E4689" s="4"/>
      <c r="H4689" s="31" t="str">
        <f t="shared" si="146"/>
        <v/>
      </c>
      <c r="J4689" t="b">
        <f t="shared" si="147"/>
        <v>0</v>
      </c>
    </row>
    <row r="4690" spans="3:10" x14ac:dyDescent="0.25">
      <c r="C4690" s="4"/>
      <c r="E4690" s="4"/>
      <c r="H4690" s="31" t="str">
        <f t="shared" si="146"/>
        <v/>
      </c>
      <c r="J4690" t="b">
        <f t="shared" si="147"/>
        <v>0</v>
      </c>
    </row>
    <row r="4691" spans="3:10" x14ac:dyDescent="0.25">
      <c r="C4691" s="4"/>
      <c r="E4691" s="4"/>
      <c r="H4691" s="31" t="str">
        <f t="shared" si="146"/>
        <v/>
      </c>
      <c r="J4691" t="b">
        <f t="shared" si="147"/>
        <v>0</v>
      </c>
    </row>
    <row r="4692" spans="3:10" x14ac:dyDescent="0.25">
      <c r="C4692" s="4"/>
      <c r="E4692" s="4"/>
      <c r="H4692" s="31" t="str">
        <f t="shared" si="146"/>
        <v/>
      </c>
      <c r="J4692" t="b">
        <f t="shared" si="147"/>
        <v>0</v>
      </c>
    </row>
    <row r="4693" spans="3:10" x14ac:dyDescent="0.25">
      <c r="C4693" s="4"/>
      <c r="E4693" s="4"/>
      <c r="H4693" s="31" t="str">
        <f t="shared" si="146"/>
        <v/>
      </c>
      <c r="J4693" t="b">
        <f t="shared" si="147"/>
        <v>0</v>
      </c>
    </row>
    <row r="4694" spans="3:10" x14ac:dyDescent="0.25">
      <c r="C4694" s="4"/>
      <c r="E4694" s="4"/>
      <c r="H4694" s="31" t="str">
        <f t="shared" si="146"/>
        <v/>
      </c>
      <c r="J4694" t="b">
        <f t="shared" si="147"/>
        <v>0</v>
      </c>
    </row>
    <row r="4695" spans="3:10" x14ac:dyDescent="0.25">
      <c r="C4695" s="4"/>
      <c r="E4695" s="4"/>
      <c r="H4695" s="31" t="str">
        <f t="shared" si="146"/>
        <v/>
      </c>
      <c r="J4695" t="b">
        <f t="shared" si="147"/>
        <v>0</v>
      </c>
    </row>
    <row r="4696" spans="3:10" x14ac:dyDescent="0.25">
      <c r="C4696" s="4"/>
      <c r="E4696" s="4"/>
      <c r="H4696" s="31" t="str">
        <f t="shared" si="146"/>
        <v/>
      </c>
      <c r="J4696" t="b">
        <f t="shared" si="147"/>
        <v>0</v>
      </c>
    </row>
    <row r="4697" spans="3:10" x14ac:dyDescent="0.25">
      <c r="C4697" s="4"/>
      <c r="E4697" s="4"/>
      <c r="H4697" s="31" t="str">
        <f t="shared" si="146"/>
        <v/>
      </c>
      <c r="J4697" t="b">
        <f t="shared" si="147"/>
        <v>0</v>
      </c>
    </row>
    <row r="4698" spans="3:10" x14ac:dyDescent="0.25">
      <c r="C4698" s="4"/>
      <c r="E4698" s="4"/>
      <c r="H4698" s="31" t="str">
        <f t="shared" si="146"/>
        <v/>
      </c>
      <c r="J4698" t="b">
        <f t="shared" si="147"/>
        <v>0</v>
      </c>
    </row>
    <row r="4699" spans="3:10" x14ac:dyDescent="0.25">
      <c r="C4699" s="4"/>
      <c r="E4699" s="4"/>
      <c r="H4699" s="31" t="str">
        <f t="shared" si="146"/>
        <v/>
      </c>
      <c r="J4699" t="b">
        <f t="shared" si="147"/>
        <v>0</v>
      </c>
    </row>
    <row r="4700" spans="3:10" x14ac:dyDescent="0.25">
      <c r="C4700" s="4"/>
      <c r="E4700" s="4"/>
      <c r="H4700" s="31" t="str">
        <f t="shared" si="146"/>
        <v/>
      </c>
      <c r="J4700" t="b">
        <f t="shared" si="147"/>
        <v>0</v>
      </c>
    </row>
    <row r="4701" spans="3:10" x14ac:dyDescent="0.25">
      <c r="C4701" s="4"/>
      <c r="E4701" s="4"/>
      <c r="H4701" s="31" t="str">
        <f t="shared" si="146"/>
        <v/>
      </c>
      <c r="J4701" t="b">
        <f t="shared" si="147"/>
        <v>0</v>
      </c>
    </row>
    <row r="4702" spans="3:10" x14ac:dyDescent="0.25">
      <c r="C4702" s="4"/>
      <c r="E4702" s="4"/>
      <c r="H4702" s="31" t="str">
        <f t="shared" si="146"/>
        <v/>
      </c>
      <c r="J4702" t="b">
        <f t="shared" si="147"/>
        <v>0</v>
      </c>
    </row>
    <row r="4703" spans="3:10" x14ac:dyDescent="0.25">
      <c r="C4703" s="4"/>
      <c r="E4703" s="4"/>
      <c r="H4703" s="31" t="str">
        <f t="shared" si="146"/>
        <v/>
      </c>
      <c r="J4703" t="b">
        <f t="shared" si="147"/>
        <v>0</v>
      </c>
    </row>
    <row r="4704" spans="3:10" x14ac:dyDescent="0.25">
      <c r="C4704" s="4"/>
      <c r="E4704" s="4"/>
      <c r="H4704" s="31" t="str">
        <f t="shared" si="146"/>
        <v/>
      </c>
      <c r="J4704" t="b">
        <f t="shared" si="147"/>
        <v>0</v>
      </c>
    </row>
    <row r="4705" spans="3:10" x14ac:dyDescent="0.25">
      <c r="C4705" s="4"/>
      <c r="E4705" s="4"/>
      <c r="H4705" s="31" t="str">
        <f t="shared" si="146"/>
        <v/>
      </c>
      <c r="J4705" t="b">
        <f t="shared" si="147"/>
        <v>0</v>
      </c>
    </row>
    <row r="4706" spans="3:10" x14ac:dyDescent="0.25">
      <c r="C4706" s="4"/>
      <c r="E4706" s="4"/>
      <c r="H4706" s="31" t="str">
        <f t="shared" si="146"/>
        <v/>
      </c>
      <c r="J4706" t="b">
        <f t="shared" si="147"/>
        <v>0</v>
      </c>
    </row>
    <row r="4707" spans="3:10" x14ac:dyDescent="0.25">
      <c r="C4707" s="4"/>
      <c r="E4707" s="4"/>
      <c r="H4707" s="31" t="str">
        <f t="shared" si="146"/>
        <v/>
      </c>
      <c r="J4707" t="b">
        <f t="shared" si="147"/>
        <v>0</v>
      </c>
    </row>
    <row r="4708" spans="3:10" x14ac:dyDescent="0.25">
      <c r="C4708" s="4"/>
      <c r="E4708" s="4"/>
      <c r="H4708" s="31" t="str">
        <f t="shared" si="146"/>
        <v/>
      </c>
      <c r="J4708" t="b">
        <f t="shared" si="147"/>
        <v>0</v>
      </c>
    </row>
    <row r="4709" spans="3:10" x14ac:dyDescent="0.25">
      <c r="C4709" s="4"/>
      <c r="E4709" s="4"/>
      <c r="H4709" s="31" t="str">
        <f t="shared" si="146"/>
        <v/>
      </c>
      <c r="J4709" t="b">
        <f t="shared" si="147"/>
        <v>0</v>
      </c>
    </row>
    <row r="4710" spans="3:10" x14ac:dyDescent="0.25">
      <c r="C4710" s="4"/>
      <c r="E4710" s="4"/>
      <c r="H4710" s="31" t="str">
        <f t="shared" si="146"/>
        <v/>
      </c>
      <c r="J4710" t="b">
        <f t="shared" si="147"/>
        <v>0</v>
      </c>
    </row>
    <row r="4711" spans="3:10" x14ac:dyDescent="0.25">
      <c r="C4711" s="4"/>
      <c r="E4711" s="4"/>
      <c r="H4711" s="31" t="str">
        <f t="shared" si="146"/>
        <v/>
      </c>
      <c r="J4711" t="b">
        <f t="shared" si="147"/>
        <v>0</v>
      </c>
    </row>
    <row r="4712" spans="3:10" x14ac:dyDescent="0.25">
      <c r="C4712" s="4"/>
      <c r="E4712" s="4"/>
      <c r="H4712" s="31" t="str">
        <f t="shared" si="146"/>
        <v/>
      </c>
      <c r="J4712" t="b">
        <f t="shared" si="147"/>
        <v>0</v>
      </c>
    </row>
    <row r="4713" spans="3:10" x14ac:dyDescent="0.25">
      <c r="C4713" s="4"/>
      <c r="E4713" s="4"/>
      <c r="H4713" s="31" t="str">
        <f t="shared" si="146"/>
        <v/>
      </c>
      <c r="J4713" t="b">
        <f t="shared" si="147"/>
        <v>0</v>
      </c>
    </row>
    <row r="4714" spans="3:10" x14ac:dyDescent="0.25">
      <c r="C4714" s="4"/>
      <c r="E4714" s="4"/>
      <c r="H4714" s="31" t="str">
        <f t="shared" si="146"/>
        <v/>
      </c>
      <c r="J4714" t="b">
        <f t="shared" si="147"/>
        <v>0</v>
      </c>
    </row>
    <row r="4715" spans="3:10" x14ac:dyDescent="0.25">
      <c r="C4715" s="4"/>
      <c r="E4715" s="4"/>
      <c r="H4715" s="31" t="str">
        <f t="shared" si="146"/>
        <v/>
      </c>
      <c r="J4715" t="b">
        <f t="shared" si="147"/>
        <v>0</v>
      </c>
    </row>
    <row r="4716" spans="3:10" x14ac:dyDescent="0.25">
      <c r="C4716" s="4"/>
      <c r="E4716" s="4"/>
      <c r="H4716" s="31" t="str">
        <f t="shared" si="146"/>
        <v/>
      </c>
      <c r="J4716" t="b">
        <f t="shared" si="147"/>
        <v>0</v>
      </c>
    </row>
    <row r="4717" spans="3:10" x14ac:dyDescent="0.25">
      <c r="C4717" s="4"/>
      <c r="E4717" s="4"/>
      <c r="H4717" s="31" t="str">
        <f t="shared" si="146"/>
        <v/>
      </c>
      <c r="J4717" t="b">
        <f t="shared" si="147"/>
        <v>0</v>
      </c>
    </row>
    <row r="4718" spans="3:10" x14ac:dyDescent="0.25">
      <c r="C4718" s="4"/>
      <c r="E4718" s="4"/>
      <c r="H4718" s="31" t="str">
        <f t="shared" si="146"/>
        <v/>
      </c>
      <c r="J4718" t="b">
        <f t="shared" si="147"/>
        <v>0</v>
      </c>
    </row>
    <row r="4719" spans="3:10" x14ac:dyDescent="0.25">
      <c r="C4719" s="4"/>
      <c r="E4719" s="4"/>
      <c r="H4719" s="31" t="str">
        <f t="shared" si="146"/>
        <v/>
      </c>
      <c r="J4719" t="b">
        <f t="shared" si="147"/>
        <v>0</v>
      </c>
    </row>
    <row r="4720" spans="3:10" x14ac:dyDescent="0.25">
      <c r="C4720" s="4"/>
      <c r="E4720" s="4"/>
      <c r="H4720" s="31" t="str">
        <f t="shared" si="146"/>
        <v/>
      </c>
      <c r="J4720" t="b">
        <f t="shared" si="147"/>
        <v>0</v>
      </c>
    </row>
    <row r="4721" spans="3:10" x14ac:dyDescent="0.25">
      <c r="C4721" s="4"/>
      <c r="E4721" s="4"/>
      <c r="H4721" s="31" t="str">
        <f t="shared" si="146"/>
        <v/>
      </c>
      <c r="J4721" t="b">
        <f t="shared" si="147"/>
        <v>0</v>
      </c>
    </row>
    <row r="4722" spans="3:10" x14ac:dyDescent="0.25">
      <c r="C4722" s="4"/>
      <c r="E4722" s="4"/>
      <c r="H4722" s="31" t="str">
        <f t="shared" si="146"/>
        <v/>
      </c>
      <c r="J4722" t="b">
        <f t="shared" si="147"/>
        <v>0</v>
      </c>
    </row>
    <row r="4723" spans="3:10" x14ac:dyDescent="0.25">
      <c r="C4723" s="4"/>
      <c r="E4723" s="4"/>
      <c r="H4723" s="31" t="str">
        <f t="shared" si="146"/>
        <v/>
      </c>
      <c r="J4723" t="b">
        <f t="shared" si="147"/>
        <v>0</v>
      </c>
    </row>
    <row r="4724" spans="3:10" x14ac:dyDescent="0.25">
      <c r="C4724" s="4"/>
      <c r="E4724" s="4"/>
      <c r="H4724" s="31" t="str">
        <f t="shared" si="146"/>
        <v/>
      </c>
      <c r="J4724" t="b">
        <f t="shared" si="147"/>
        <v>0</v>
      </c>
    </row>
    <row r="4725" spans="3:10" x14ac:dyDescent="0.25">
      <c r="C4725" s="4"/>
      <c r="E4725" s="4"/>
      <c r="H4725" s="31" t="str">
        <f t="shared" si="146"/>
        <v/>
      </c>
      <c r="J4725" t="b">
        <f t="shared" si="147"/>
        <v>0</v>
      </c>
    </row>
    <row r="4726" spans="3:10" x14ac:dyDescent="0.25">
      <c r="C4726" s="4"/>
      <c r="E4726" s="4"/>
      <c r="H4726" s="31" t="str">
        <f t="shared" si="146"/>
        <v/>
      </c>
      <c r="J4726" t="b">
        <f t="shared" si="147"/>
        <v>0</v>
      </c>
    </row>
    <row r="4727" spans="3:10" x14ac:dyDescent="0.25">
      <c r="C4727" s="4"/>
      <c r="E4727" s="4"/>
      <c r="H4727" s="31" t="str">
        <f t="shared" si="146"/>
        <v/>
      </c>
      <c r="J4727" t="b">
        <f t="shared" si="147"/>
        <v>0</v>
      </c>
    </row>
    <row r="4728" spans="3:10" x14ac:dyDescent="0.25">
      <c r="C4728" s="4"/>
      <c r="E4728" s="4"/>
      <c r="H4728" s="31" t="str">
        <f t="shared" si="146"/>
        <v/>
      </c>
      <c r="J4728" t="b">
        <f t="shared" si="147"/>
        <v>0</v>
      </c>
    </row>
    <row r="4729" spans="3:10" x14ac:dyDescent="0.25">
      <c r="C4729" s="4"/>
      <c r="E4729" s="4"/>
      <c r="H4729" s="31" t="str">
        <f t="shared" si="146"/>
        <v/>
      </c>
      <c r="J4729" t="b">
        <f t="shared" si="147"/>
        <v>0</v>
      </c>
    </row>
    <row r="4730" spans="3:10" x14ac:dyDescent="0.25">
      <c r="C4730" s="4"/>
      <c r="E4730" s="4"/>
      <c r="H4730" s="31" t="str">
        <f t="shared" si="146"/>
        <v/>
      </c>
      <c r="J4730" t="b">
        <f t="shared" si="147"/>
        <v>0</v>
      </c>
    </row>
    <row r="4731" spans="3:10" x14ac:dyDescent="0.25">
      <c r="C4731" s="4"/>
      <c r="E4731" s="4"/>
      <c r="H4731" s="31" t="str">
        <f t="shared" si="146"/>
        <v/>
      </c>
      <c r="J4731" t="b">
        <f t="shared" si="147"/>
        <v>0</v>
      </c>
    </row>
    <row r="4732" spans="3:10" x14ac:dyDescent="0.25">
      <c r="C4732" s="4"/>
      <c r="E4732" s="4"/>
      <c r="H4732" s="31" t="str">
        <f t="shared" si="146"/>
        <v/>
      </c>
      <c r="J4732" t="b">
        <f t="shared" si="147"/>
        <v>0</v>
      </c>
    </row>
    <row r="4733" spans="3:10" x14ac:dyDescent="0.25">
      <c r="C4733" s="4"/>
      <c r="E4733" s="4"/>
      <c r="H4733" s="31" t="str">
        <f t="shared" si="146"/>
        <v/>
      </c>
      <c r="J4733" t="b">
        <f t="shared" si="147"/>
        <v>0</v>
      </c>
    </row>
    <row r="4734" spans="3:10" x14ac:dyDescent="0.25">
      <c r="C4734" s="4"/>
      <c r="E4734" s="4"/>
      <c r="H4734" s="31" t="str">
        <f t="shared" si="146"/>
        <v/>
      </c>
      <c r="J4734" t="b">
        <f t="shared" si="147"/>
        <v>0</v>
      </c>
    </row>
    <row r="4735" spans="3:10" x14ac:dyDescent="0.25">
      <c r="C4735" s="4"/>
      <c r="E4735" s="4"/>
      <c r="H4735" s="31" t="str">
        <f t="shared" si="146"/>
        <v/>
      </c>
      <c r="J4735" t="b">
        <f t="shared" si="147"/>
        <v>0</v>
      </c>
    </row>
    <row r="4736" spans="3:10" x14ac:dyDescent="0.25">
      <c r="C4736" s="4"/>
      <c r="E4736" s="4"/>
      <c r="H4736" s="31" t="str">
        <f t="shared" si="146"/>
        <v/>
      </c>
      <c r="J4736" t="b">
        <f t="shared" si="147"/>
        <v>0</v>
      </c>
    </row>
    <row r="4737" spans="3:10" x14ac:dyDescent="0.25">
      <c r="C4737" s="4"/>
      <c r="E4737" s="4"/>
      <c r="H4737" s="31" t="str">
        <f t="shared" si="146"/>
        <v/>
      </c>
      <c r="J4737" t="b">
        <f t="shared" si="147"/>
        <v>0</v>
      </c>
    </row>
    <row r="4738" spans="3:10" x14ac:dyDescent="0.25">
      <c r="C4738" s="4"/>
      <c r="E4738" s="4"/>
      <c r="H4738" s="31" t="str">
        <f t="shared" si="146"/>
        <v/>
      </c>
      <c r="J4738" t="b">
        <f t="shared" si="147"/>
        <v>0</v>
      </c>
    </row>
    <row r="4739" spans="3:10" x14ac:dyDescent="0.25">
      <c r="C4739" s="4"/>
      <c r="E4739" s="4"/>
      <c r="H4739" s="31" t="str">
        <f t="shared" si="146"/>
        <v/>
      </c>
      <c r="J4739" t="b">
        <f t="shared" si="147"/>
        <v>0</v>
      </c>
    </row>
    <row r="4740" spans="3:10" x14ac:dyDescent="0.25">
      <c r="C4740" s="4"/>
      <c r="E4740" s="4"/>
      <c r="H4740" s="31" t="str">
        <f t="shared" ref="H4740:H4803" si="148">IF($J4740=TRUE,"Il ne peut y avoir des valeurs dans les 2 méthodes",IF($D4740="kg/l",$C4740,IF($D4740="g/l",$C4740/1000,IF($D4740="lb/gal US",$C4740*0.454/3.785,IF($G4740="kg/l",($E4740/100)*$F4740,IF($G4740="g/l",($E4740/100)*$F4740/1000,IF($G4740="lb/gal US",($E4740/100)*$F4740*0.454/3.785,"")))))))</f>
        <v/>
      </c>
      <c r="J4740" t="b">
        <f t="shared" ref="J4740:J4803" si="149">IF(AND(OR($C4740&lt;&gt;"",$D4740&lt;&gt;""),OR($E4740&lt;&gt;"",F4740&lt;&gt;"",G4740&lt;&gt;"")),TRUE,FALSE)</f>
        <v>0</v>
      </c>
    </row>
    <row r="4741" spans="3:10" x14ac:dyDescent="0.25">
      <c r="C4741" s="4"/>
      <c r="E4741" s="4"/>
      <c r="H4741" s="31" t="str">
        <f t="shared" si="148"/>
        <v/>
      </c>
      <c r="J4741" t="b">
        <f t="shared" si="149"/>
        <v>0</v>
      </c>
    </row>
    <row r="4742" spans="3:10" x14ac:dyDescent="0.25">
      <c r="C4742" s="4"/>
      <c r="E4742" s="4"/>
      <c r="H4742" s="31" t="str">
        <f t="shared" si="148"/>
        <v/>
      </c>
      <c r="J4742" t="b">
        <f t="shared" si="149"/>
        <v>0</v>
      </c>
    </row>
    <row r="4743" spans="3:10" x14ac:dyDescent="0.25">
      <c r="C4743" s="4"/>
      <c r="E4743" s="4"/>
      <c r="H4743" s="31" t="str">
        <f t="shared" si="148"/>
        <v/>
      </c>
      <c r="J4743" t="b">
        <f t="shared" si="149"/>
        <v>0</v>
      </c>
    </row>
    <row r="4744" spans="3:10" x14ac:dyDescent="0.25">
      <c r="C4744" s="4"/>
      <c r="E4744" s="4"/>
      <c r="H4744" s="31" t="str">
        <f t="shared" si="148"/>
        <v/>
      </c>
      <c r="J4744" t="b">
        <f t="shared" si="149"/>
        <v>0</v>
      </c>
    </row>
    <row r="4745" spans="3:10" x14ac:dyDescent="0.25">
      <c r="C4745" s="4"/>
      <c r="E4745" s="4"/>
      <c r="H4745" s="31" t="str">
        <f t="shared" si="148"/>
        <v/>
      </c>
      <c r="J4745" t="b">
        <f t="shared" si="149"/>
        <v>0</v>
      </c>
    </row>
    <row r="4746" spans="3:10" x14ac:dyDescent="0.25">
      <c r="C4746" s="4"/>
      <c r="E4746" s="4"/>
      <c r="H4746" s="31" t="str">
        <f t="shared" si="148"/>
        <v/>
      </c>
      <c r="J4746" t="b">
        <f t="shared" si="149"/>
        <v>0</v>
      </c>
    </row>
    <row r="4747" spans="3:10" x14ac:dyDescent="0.25">
      <c r="C4747" s="4"/>
      <c r="E4747" s="4"/>
      <c r="H4747" s="31" t="str">
        <f t="shared" si="148"/>
        <v/>
      </c>
      <c r="J4747" t="b">
        <f t="shared" si="149"/>
        <v>0</v>
      </c>
    </row>
    <row r="4748" spans="3:10" x14ac:dyDescent="0.25">
      <c r="C4748" s="4"/>
      <c r="E4748" s="4"/>
      <c r="H4748" s="31" t="str">
        <f t="shared" si="148"/>
        <v/>
      </c>
      <c r="J4748" t="b">
        <f t="shared" si="149"/>
        <v>0</v>
      </c>
    </row>
    <row r="4749" spans="3:10" x14ac:dyDescent="0.25">
      <c r="C4749" s="4"/>
      <c r="E4749" s="4"/>
      <c r="H4749" s="31" t="str">
        <f t="shared" si="148"/>
        <v/>
      </c>
      <c r="J4749" t="b">
        <f t="shared" si="149"/>
        <v>0</v>
      </c>
    </row>
    <row r="4750" spans="3:10" x14ac:dyDescent="0.25">
      <c r="C4750" s="4"/>
      <c r="E4750" s="4"/>
      <c r="H4750" s="31" t="str">
        <f t="shared" si="148"/>
        <v/>
      </c>
      <c r="J4750" t="b">
        <f t="shared" si="149"/>
        <v>0</v>
      </c>
    </row>
    <row r="4751" spans="3:10" x14ac:dyDescent="0.25">
      <c r="C4751" s="4"/>
      <c r="E4751" s="4"/>
      <c r="H4751" s="31" t="str">
        <f t="shared" si="148"/>
        <v/>
      </c>
      <c r="J4751" t="b">
        <f t="shared" si="149"/>
        <v>0</v>
      </c>
    </row>
    <row r="4752" spans="3:10" x14ac:dyDescent="0.25">
      <c r="C4752" s="4"/>
      <c r="E4752" s="4"/>
      <c r="H4752" s="31" t="str">
        <f t="shared" si="148"/>
        <v/>
      </c>
      <c r="J4752" t="b">
        <f t="shared" si="149"/>
        <v>0</v>
      </c>
    </row>
    <row r="4753" spans="3:10" x14ac:dyDescent="0.25">
      <c r="C4753" s="4"/>
      <c r="E4753" s="4"/>
      <c r="H4753" s="31" t="str">
        <f t="shared" si="148"/>
        <v/>
      </c>
      <c r="J4753" t="b">
        <f t="shared" si="149"/>
        <v>0</v>
      </c>
    </row>
    <row r="4754" spans="3:10" x14ac:dyDescent="0.25">
      <c r="C4754" s="4"/>
      <c r="E4754" s="4"/>
      <c r="H4754" s="31" t="str">
        <f t="shared" si="148"/>
        <v/>
      </c>
      <c r="J4754" t="b">
        <f t="shared" si="149"/>
        <v>0</v>
      </c>
    </row>
    <row r="4755" spans="3:10" x14ac:dyDescent="0.25">
      <c r="C4755" s="4"/>
      <c r="E4755" s="4"/>
      <c r="H4755" s="31" t="str">
        <f t="shared" si="148"/>
        <v/>
      </c>
      <c r="J4755" t="b">
        <f t="shared" si="149"/>
        <v>0</v>
      </c>
    </row>
    <row r="4756" spans="3:10" x14ac:dyDescent="0.25">
      <c r="C4756" s="4"/>
      <c r="E4756" s="4"/>
      <c r="H4756" s="31" t="str">
        <f t="shared" si="148"/>
        <v/>
      </c>
      <c r="J4756" t="b">
        <f t="shared" si="149"/>
        <v>0</v>
      </c>
    </row>
    <row r="4757" spans="3:10" x14ac:dyDescent="0.25">
      <c r="C4757" s="4"/>
      <c r="E4757" s="4"/>
      <c r="H4757" s="31" t="str">
        <f t="shared" si="148"/>
        <v/>
      </c>
      <c r="J4757" t="b">
        <f t="shared" si="149"/>
        <v>0</v>
      </c>
    </row>
    <row r="4758" spans="3:10" x14ac:dyDescent="0.25">
      <c r="C4758" s="4"/>
      <c r="E4758" s="4"/>
      <c r="H4758" s="31" t="str">
        <f t="shared" si="148"/>
        <v/>
      </c>
      <c r="J4758" t="b">
        <f t="shared" si="149"/>
        <v>0</v>
      </c>
    </row>
    <row r="4759" spans="3:10" x14ac:dyDescent="0.25">
      <c r="C4759" s="4"/>
      <c r="E4759" s="4"/>
      <c r="H4759" s="31" t="str">
        <f t="shared" si="148"/>
        <v/>
      </c>
      <c r="J4759" t="b">
        <f t="shared" si="149"/>
        <v>0</v>
      </c>
    </row>
    <row r="4760" spans="3:10" x14ac:dyDescent="0.25">
      <c r="C4760" s="4"/>
      <c r="E4760" s="4"/>
      <c r="H4760" s="31" t="str">
        <f t="shared" si="148"/>
        <v/>
      </c>
      <c r="J4760" t="b">
        <f t="shared" si="149"/>
        <v>0</v>
      </c>
    </row>
    <row r="4761" spans="3:10" x14ac:dyDescent="0.25">
      <c r="C4761" s="4"/>
      <c r="E4761" s="4"/>
      <c r="H4761" s="31" t="str">
        <f t="shared" si="148"/>
        <v/>
      </c>
      <c r="J4761" t="b">
        <f t="shared" si="149"/>
        <v>0</v>
      </c>
    </row>
    <row r="4762" spans="3:10" x14ac:dyDescent="0.25">
      <c r="C4762" s="4"/>
      <c r="E4762" s="4"/>
      <c r="H4762" s="31" t="str">
        <f t="shared" si="148"/>
        <v/>
      </c>
      <c r="J4762" t="b">
        <f t="shared" si="149"/>
        <v>0</v>
      </c>
    </row>
    <row r="4763" spans="3:10" x14ac:dyDescent="0.25">
      <c r="C4763" s="4"/>
      <c r="E4763" s="4"/>
      <c r="H4763" s="31" t="str">
        <f t="shared" si="148"/>
        <v/>
      </c>
      <c r="J4763" t="b">
        <f t="shared" si="149"/>
        <v>0</v>
      </c>
    </row>
    <row r="4764" spans="3:10" x14ac:dyDescent="0.25">
      <c r="C4764" s="4"/>
      <c r="E4764" s="4"/>
      <c r="H4764" s="31" t="str">
        <f t="shared" si="148"/>
        <v/>
      </c>
      <c r="J4764" t="b">
        <f t="shared" si="149"/>
        <v>0</v>
      </c>
    </row>
    <row r="4765" spans="3:10" x14ac:dyDescent="0.25">
      <c r="C4765" s="4"/>
      <c r="E4765" s="4"/>
      <c r="H4765" s="31" t="str">
        <f t="shared" si="148"/>
        <v/>
      </c>
      <c r="J4765" t="b">
        <f t="shared" si="149"/>
        <v>0</v>
      </c>
    </row>
    <row r="4766" spans="3:10" x14ac:dyDescent="0.25">
      <c r="C4766" s="4"/>
      <c r="E4766" s="4"/>
      <c r="H4766" s="31" t="str">
        <f t="shared" si="148"/>
        <v/>
      </c>
      <c r="J4766" t="b">
        <f t="shared" si="149"/>
        <v>0</v>
      </c>
    </row>
    <row r="4767" spans="3:10" x14ac:dyDescent="0.25">
      <c r="C4767" s="4"/>
      <c r="E4767" s="4"/>
      <c r="H4767" s="31" t="str">
        <f t="shared" si="148"/>
        <v/>
      </c>
      <c r="J4767" t="b">
        <f t="shared" si="149"/>
        <v>0</v>
      </c>
    </row>
    <row r="4768" spans="3:10" x14ac:dyDescent="0.25">
      <c r="C4768" s="4"/>
      <c r="E4768" s="4"/>
      <c r="H4768" s="31" t="str">
        <f t="shared" si="148"/>
        <v/>
      </c>
      <c r="J4768" t="b">
        <f t="shared" si="149"/>
        <v>0</v>
      </c>
    </row>
    <row r="4769" spans="3:10" x14ac:dyDescent="0.25">
      <c r="C4769" s="4"/>
      <c r="E4769" s="4"/>
      <c r="H4769" s="31" t="str">
        <f t="shared" si="148"/>
        <v/>
      </c>
      <c r="J4769" t="b">
        <f t="shared" si="149"/>
        <v>0</v>
      </c>
    </row>
    <row r="4770" spans="3:10" x14ac:dyDescent="0.25">
      <c r="C4770" s="4"/>
      <c r="E4770" s="4"/>
      <c r="H4770" s="31" t="str">
        <f t="shared" si="148"/>
        <v/>
      </c>
      <c r="J4770" t="b">
        <f t="shared" si="149"/>
        <v>0</v>
      </c>
    </row>
    <row r="4771" spans="3:10" x14ac:dyDescent="0.25">
      <c r="C4771" s="4"/>
      <c r="E4771" s="4"/>
      <c r="H4771" s="31" t="str">
        <f t="shared" si="148"/>
        <v/>
      </c>
      <c r="J4771" t="b">
        <f t="shared" si="149"/>
        <v>0</v>
      </c>
    </row>
    <row r="4772" spans="3:10" x14ac:dyDescent="0.25">
      <c r="C4772" s="4"/>
      <c r="E4772" s="4"/>
      <c r="H4772" s="31" t="str">
        <f t="shared" si="148"/>
        <v/>
      </c>
      <c r="J4772" t="b">
        <f t="shared" si="149"/>
        <v>0</v>
      </c>
    </row>
    <row r="4773" spans="3:10" x14ac:dyDescent="0.25">
      <c r="C4773" s="4"/>
      <c r="E4773" s="4"/>
      <c r="H4773" s="31" t="str">
        <f t="shared" si="148"/>
        <v/>
      </c>
      <c r="J4773" t="b">
        <f t="shared" si="149"/>
        <v>0</v>
      </c>
    </row>
    <row r="4774" spans="3:10" x14ac:dyDescent="0.25">
      <c r="C4774" s="4"/>
      <c r="E4774" s="4"/>
      <c r="H4774" s="31" t="str">
        <f t="shared" si="148"/>
        <v/>
      </c>
      <c r="J4774" t="b">
        <f t="shared" si="149"/>
        <v>0</v>
      </c>
    </row>
    <row r="4775" spans="3:10" x14ac:dyDescent="0.25">
      <c r="C4775" s="4"/>
      <c r="E4775" s="4"/>
      <c r="H4775" s="31" t="str">
        <f t="shared" si="148"/>
        <v/>
      </c>
      <c r="J4775" t="b">
        <f t="shared" si="149"/>
        <v>0</v>
      </c>
    </row>
    <row r="4776" spans="3:10" x14ac:dyDescent="0.25">
      <c r="C4776" s="4"/>
      <c r="E4776" s="4"/>
      <c r="H4776" s="31" t="str">
        <f t="shared" si="148"/>
        <v/>
      </c>
      <c r="J4776" t="b">
        <f t="shared" si="149"/>
        <v>0</v>
      </c>
    </row>
    <row r="4777" spans="3:10" x14ac:dyDescent="0.25">
      <c r="C4777" s="4"/>
      <c r="E4777" s="4"/>
      <c r="H4777" s="31" t="str">
        <f t="shared" si="148"/>
        <v/>
      </c>
      <c r="J4777" t="b">
        <f t="shared" si="149"/>
        <v>0</v>
      </c>
    </row>
    <row r="4778" spans="3:10" x14ac:dyDescent="0.25">
      <c r="C4778" s="4"/>
      <c r="E4778" s="4"/>
      <c r="H4778" s="31" t="str">
        <f t="shared" si="148"/>
        <v/>
      </c>
      <c r="J4778" t="b">
        <f t="shared" si="149"/>
        <v>0</v>
      </c>
    </row>
    <row r="4779" spans="3:10" x14ac:dyDescent="0.25">
      <c r="C4779" s="4"/>
      <c r="E4779" s="4"/>
      <c r="H4779" s="31" t="str">
        <f t="shared" si="148"/>
        <v/>
      </c>
      <c r="J4779" t="b">
        <f t="shared" si="149"/>
        <v>0</v>
      </c>
    </row>
    <row r="4780" spans="3:10" x14ac:dyDescent="0.25">
      <c r="C4780" s="4"/>
      <c r="E4780" s="4"/>
      <c r="H4780" s="31" t="str">
        <f t="shared" si="148"/>
        <v/>
      </c>
      <c r="J4780" t="b">
        <f t="shared" si="149"/>
        <v>0</v>
      </c>
    </row>
    <row r="4781" spans="3:10" x14ac:dyDescent="0.25">
      <c r="C4781" s="4"/>
      <c r="E4781" s="4"/>
      <c r="H4781" s="31" t="str">
        <f t="shared" si="148"/>
        <v/>
      </c>
      <c r="J4781" t="b">
        <f t="shared" si="149"/>
        <v>0</v>
      </c>
    </row>
    <row r="4782" spans="3:10" x14ac:dyDescent="0.25">
      <c r="C4782" s="4"/>
      <c r="E4782" s="4"/>
      <c r="H4782" s="31" t="str">
        <f t="shared" si="148"/>
        <v/>
      </c>
      <c r="J4782" t="b">
        <f t="shared" si="149"/>
        <v>0</v>
      </c>
    </row>
    <row r="4783" spans="3:10" x14ac:dyDescent="0.25">
      <c r="C4783" s="4"/>
      <c r="E4783" s="4"/>
      <c r="H4783" s="31" t="str">
        <f t="shared" si="148"/>
        <v/>
      </c>
      <c r="J4783" t="b">
        <f t="shared" si="149"/>
        <v>0</v>
      </c>
    </row>
    <row r="4784" spans="3:10" x14ac:dyDescent="0.25">
      <c r="C4784" s="4"/>
      <c r="E4784" s="4"/>
      <c r="H4784" s="31" t="str">
        <f t="shared" si="148"/>
        <v/>
      </c>
      <c r="J4784" t="b">
        <f t="shared" si="149"/>
        <v>0</v>
      </c>
    </row>
    <row r="4785" spans="3:10" x14ac:dyDescent="0.25">
      <c r="C4785" s="4"/>
      <c r="E4785" s="4"/>
      <c r="H4785" s="31" t="str">
        <f t="shared" si="148"/>
        <v/>
      </c>
      <c r="J4785" t="b">
        <f t="shared" si="149"/>
        <v>0</v>
      </c>
    </row>
    <row r="4786" spans="3:10" x14ac:dyDescent="0.25">
      <c r="C4786" s="4"/>
      <c r="E4786" s="4"/>
      <c r="H4786" s="31" t="str">
        <f t="shared" si="148"/>
        <v/>
      </c>
      <c r="J4786" t="b">
        <f t="shared" si="149"/>
        <v>0</v>
      </c>
    </row>
    <row r="4787" spans="3:10" x14ac:dyDescent="0.25">
      <c r="C4787" s="4"/>
      <c r="E4787" s="4"/>
      <c r="H4787" s="31" t="str">
        <f t="shared" si="148"/>
        <v/>
      </c>
      <c r="J4787" t="b">
        <f t="shared" si="149"/>
        <v>0</v>
      </c>
    </row>
    <row r="4788" spans="3:10" x14ac:dyDescent="0.25">
      <c r="C4788" s="4"/>
      <c r="E4788" s="4"/>
      <c r="H4788" s="31" t="str">
        <f t="shared" si="148"/>
        <v/>
      </c>
      <c r="J4788" t="b">
        <f t="shared" si="149"/>
        <v>0</v>
      </c>
    </row>
    <row r="4789" spans="3:10" x14ac:dyDescent="0.25">
      <c r="C4789" s="4"/>
      <c r="E4789" s="4"/>
      <c r="H4789" s="31" t="str">
        <f t="shared" si="148"/>
        <v/>
      </c>
      <c r="J4789" t="b">
        <f t="shared" si="149"/>
        <v>0</v>
      </c>
    </row>
    <row r="4790" spans="3:10" x14ac:dyDescent="0.25">
      <c r="C4790" s="4"/>
      <c r="E4790" s="4"/>
      <c r="H4790" s="31" t="str">
        <f t="shared" si="148"/>
        <v/>
      </c>
      <c r="J4790" t="b">
        <f t="shared" si="149"/>
        <v>0</v>
      </c>
    </row>
    <row r="4791" spans="3:10" x14ac:dyDescent="0.25">
      <c r="C4791" s="4"/>
      <c r="E4791" s="4"/>
      <c r="H4791" s="31" t="str">
        <f t="shared" si="148"/>
        <v/>
      </c>
      <c r="J4791" t="b">
        <f t="shared" si="149"/>
        <v>0</v>
      </c>
    </row>
    <row r="4792" spans="3:10" x14ac:dyDescent="0.25">
      <c r="C4792" s="4"/>
      <c r="E4792" s="4"/>
      <c r="H4792" s="31" t="str">
        <f t="shared" si="148"/>
        <v/>
      </c>
      <c r="J4792" t="b">
        <f t="shared" si="149"/>
        <v>0</v>
      </c>
    </row>
    <row r="4793" spans="3:10" x14ac:dyDescent="0.25">
      <c r="C4793" s="4"/>
      <c r="E4793" s="4"/>
      <c r="H4793" s="31" t="str">
        <f t="shared" si="148"/>
        <v/>
      </c>
      <c r="J4793" t="b">
        <f t="shared" si="149"/>
        <v>0</v>
      </c>
    </row>
    <row r="4794" spans="3:10" x14ac:dyDescent="0.25">
      <c r="C4794" s="4"/>
      <c r="E4794" s="4"/>
      <c r="H4794" s="31" t="str">
        <f t="shared" si="148"/>
        <v/>
      </c>
      <c r="J4794" t="b">
        <f t="shared" si="149"/>
        <v>0</v>
      </c>
    </row>
    <row r="4795" spans="3:10" x14ac:dyDescent="0.25">
      <c r="C4795" s="4"/>
      <c r="E4795" s="4"/>
      <c r="H4795" s="31" t="str">
        <f t="shared" si="148"/>
        <v/>
      </c>
      <c r="J4795" t="b">
        <f t="shared" si="149"/>
        <v>0</v>
      </c>
    </row>
    <row r="4796" spans="3:10" x14ac:dyDescent="0.25">
      <c r="C4796" s="4"/>
      <c r="E4796" s="4"/>
      <c r="H4796" s="31" t="str">
        <f t="shared" si="148"/>
        <v/>
      </c>
      <c r="J4796" t="b">
        <f t="shared" si="149"/>
        <v>0</v>
      </c>
    </row>
    <row r="4797" spans="3:10" x14ac:dyDescent="0.25">
      <c r="C4797" s="4"/>
      <c r="E4797" s="4"/>
      <c r="H4797" s="31" t="str">
        <f t="shared" si="148"/>
        <v/>
      </c>
      <c r="J4797" t="b">
        <f t="shared" si="149"/>
        <v>0</v>
      </c>
    </row>
    <row r="4798" spans="3:10" x14ac:dyDescent="0.25">
      <c r="C4798" s="4"/>
      <c r="E4798" s="4"/>
      <c r="H4798" s="31" t="str">
        <f t="shared" si="148"/>
        <v/>
      </c>
      <c r="J4798" t="b">
        <f t="shared" si="149"/>
        <v>0</v>
      </c>
    </row>
    <row r="4799" spans="3:10" x14ac:dyDescent="0.25">
      <c r="C4799" s="4"/>
      <c r="E4799" s="4"/>
      <c r="H4799" s="31" t="str">
        <f t="shared" si="148"/>
        <v/>
      </c>
      <c r="J4799" t="b">
        <f t="shared" si="149"/>
        <v>0</v>
      </c>
    </row>
    <row r="4800" spans="3:10" x14ac:dyDescent="0.25">
      <c r="C4800" s="4"/>
      <c r="E4800" s="4"/>
      <c r="H4800" s="31" t="str">
        <f t="shared" si="148"/>
        <v/>
      </c>
      <c r="J4800" t="b">
        <f t="shared" si="149"/>
        <v>0</v>
      </c>
    </row>
    <row r="4801" spans="3:10" x14ac:dyDescent="0.25">
      <c r="C4801" s="4"/>
      <c r="E4801" s="4"/>
      <c r="H4801" s="31" t="str">
        <f t="shared" si="148"/>
        <v/>
      </c>
      <c r="J4801" t="b">
        <f t="shared" si="149"/>
        <v>0</v>
      </c>
    </row>
    <row r="4802" spans="3:10" x14ac:dyDescent="0.25">
      <c r="C4802" s="4"/>
      <c r="E4802" s="4"/>
      <c r="H4802" s="31" t="str">
        <f t="shared" si="148"/>
        <v/>
      </c>
      <c r="J4802" t="b">
        <f t="shared" si="149"/>
        <v>0</v>
      </c>
    </row>
    <row r="4803" spans="3:10" x14ac:dyDescent="0.25">
      <c r="C4803" s="4"/>
      <c r="E4803" s="4"/>
      <c r="H4803" s="31" t="str">
        <f t="shared" si="148"/>
        <v/>
      </c>
      <c r="J4803" t="b">
        <f t="shared" si="149"/>
        <v>0</v>
      </c>
    </row>
    <row r="4804" spans="3:10" x14ac:dyDescent="0.25">
      <c r="C4804" s="4"/>
      <c r="E4804" s="4"/>
      <c r="H4804" s="31" t="str">
        <f t="shared" ref="H4804:H4867" si="150">IF($J4804=TRUE,"Il ne peut y avoir des valeurs dans les 2 méthodes",IF($D4804="kg/l",$C4804,IF($D4804="g/l",$C4804/1000,IF($D4804="lb/gal US",$C4804*0.454/3.785,IF($G4804="kg/l",($E4804/100)*$F4804,IF($G4804="g/l",($E4804/100)*$F4804/1000,IF($G4804="lb/gal US",($E4804/100)*$F4804*0.454/3.785,"")))))))</f>
        <v/>
      </c>
      <c r="J4804" t="b">
        <f t="shared" ref="J4804:J4867" si="151">IF(AND(OR($C4804&lt;&gt;"",$D4804&lt;&gt;""),OR($E4804&lt;&gt;"",F4804&lt;&gt;"",G4804&lt;&gt;"")),TRUE,FALSE)</f>
        <v>0</v>
      </c>
    </row>
    <row r="4805" spans="3:10" x14ac:dyDescent="0.25">
      <c r="C4805" s="4"/>
      <c r="E4805" s="4"/>
      <c r="H4805" s="31" t="str">
        <f t="shared" si="150"/>
        <v/>
      </c>
      <c r="J4805" t="b">
        <f t="shared" si="151"/>
        <v>0</v>
      </c>
    </row>
    <row r="4806" spans="3:10" x14ac:dyDescent="0.25">
      <c r="C4806" s="4"/>
      <c r="E4806" s="4"/>
      <c r="H4806" s="31" t="str">
        <f t="shared" si="150"/>
        <v/>
      </c>
      <c r="J4806" t="b">
        <f t="shared" si="151"/>
        <v>0</v>
      </c>
    </row>
    <row r="4807" spans="3:10" x14ac:dyDescent="0.25">
      <c r="C4807" s="4"/>
      <c r="E4807" s="4"/>
      <c r="H4807" s="31" t="str">
        <f t="shared" si="150"/>
        <v/>
      </c>
      <c r="J4807" t="b">
        <f t="shared" si="151"/>
        <v>0</v>
      </c>
    </row>
    <row r="4808" spans="3:10" x14ac:dyDescent="0.25">
      <c r="C4808" s="4"/>
      <c r="E4808" s="4"/>
      <c r="H4808" s="31" t="str">
        <f t="shared" si="150"/>
        <v/>
      </c>
      <c r="J4808" t="b">
        <f t="shared" si="151"/>
        <v>0</v>
      </c>
    </row>
    <row r="4809" spans="3:10" x14ac:dyDescent="0.25">
      <c r="C4809" s="4"/>
      <c r="E4809" s="4"/>
      <c r="H4809" s="31" t="str">
        <f t="shared" si="150"/>
        <v/>
      </c>
      <c r="J4809" t="b">
        <f t="shared" si="151"/>
        <v>0</v>
      </c>
    </row>
    <row r="4810" spans="3:10" x14ac:dyDescent="0.25">
      <c r="C4810" s="4"/>
      <c r="E4810" s="4"/>
      <c r="H4810" s="31" t="str">
        <f t="shared" si="150"/>
        <v/>
      </c>
      <c r="J4810" t="b">
        <f t="shared" si="151"/>
        <v>0</v>
      </c>
    </row>
    <row r="4811" spans="3:10" x14ac:dyDescent="0.25">
      <c r="C4811" s="4"/>
      <c r="E4811" s="4"/>
      <c r="H4811" s="31" t="str">
        <f t="shared" si="150"/>
        <v/>
      </c>
      <c r="J4811" t="b">
        <f t="shared" si="151"/>
        <v>0</v>
      </c>
    </row>
    <row r="4812" spans="3:10" x14ac:dyDescent="0.25">
      <c r="C4812" s="4"/>
      <c r="E4812" s="4"/>
      <c r="H4812" s="31" t="str">
        <f t="shared" si="150"/>
        <v/>
      </c>
      <c r="J4812" t="b">
        <f t="shared" si="151"/>
        <v>0</v>
      </c>
    </row>
    <row r="4813" spans="3:10" x14ac:dyDescent="0.25">
      <c r="C4813" s="4"/>
      <c r="E4813" s="4"/>
      <c r="H4813" s="31" t="str">
        <f t="shared" si="150"/>
        <v/>
      </c>
      <c r="J4813" t="b">
        <f t="shared" si="151"/>
        <v>0</v>
      </c>
    </row>
    <row r="4814" spans="3:10" x14ac:dyDescent="0.25">
      <c r="C4814" s="4"/>
      <c r="E4814" s="4"/>
      <c r="H4814" s="31" t="str">
        <f t="shared" si="150"/>
        <v/>
      </c>
      <c r="J4814" t="b">
        <f t="shared" si="151"/>
        <v>0</v>
      </c>
    </row>
    <row r="4815" spans="3:10" x14ac:dyDescent="0.25">
      <c r="C4815" s="4"/>
      <c r="E4815" s="4"/>
      <c r="H4815" s="31" t="str">
        <f t="shared" si="150"/>
        <v/>
      </c>
      <c r="J4815" t="b">
        <f t="shared" si="151"/>
        <v>0</v>
      </c>
    </row>
    <row r="4816" spans="3:10" x14ac:dyDescent="0.25">
      <c r="C4816" s="4"/>
      <c r="E4816" s="4"/>
      <c r="H4816" s="31" t="str">
        <f t="shared" si="150"/>
        <v/>
      </c>
      <c r="J4816" t="b">
        <f t="shared" si="151"/>
        <v>0</v>
      </c>
    </row>
    <row r="4817" spans="3:10" x14ac:dyDescent="0.25">
      <c r="C4817" s="4"/>
      <c r="E4817" s="4"/>
      <c r="H4817" s="31" t="str">
        <f t="shared" si="150"/>
        <v/>
      </c>
      <c r="J4817" t="b">
        <f t="shared" si="151"/>
        <v>0</v>
      </c>
    </row>
    <row r="4818" spans="3:10" x14ac:dyDescent="0.25">
      <c r="C4818" s="4"/>
      <c r="E4818" s="4"/>
      <c r="H4818" s="31" t="str">
        <f t="shared" si="150"/>
        <v/>
      </c>
      <c r="J4818" t="b">
        <f t="shared" si="151"/>
        <v>0</v>
      </c>
    </row>
    <row r="4819" spans="3:10" x14ac:dyDescent="0.25">
      <c r="C4819" s="4"/>
      <c r="E4819" s="4"/>
      <c r="H4819" s="31" t="str">
        <f t="shared" si="150"/>
        <v/>
      </c>
      <c r="J4819" t="b">
        <f t="shared" si="151"/>
        <v>0</v>
      </c>
    </row>
    <row r="4820" spans="3:10" x14ac:dyDescent="0.25">
      <c r="C4820" s="4"/>
      <c r="E4820" s="4"/>
      <c r="H4820" s="31" t="str">
        <f t="shared" si="150"/>
        <v/>
      </c>
      <c r="J4820" t="b">
        <f t="shared" si="151"/>
        <v>0</v>
      </c>
    </row>
    <row r="4821" spans="3:10" x14ac:dyDescent="0.25">
      <c r="C4821" s="4"/>
      <c r="E4821" s="4"/>
      <c r="H4821" s="31" t="str">
        <f t="shared" si="150"/>
        <v/>
      </c>
      <c r="J4821" t="b">
        <f t="shared" si="151"/>
        <v>0</v>
      </c>
    </row>
    <row r="4822" spans="3:10" x14ac:dyDescent="0.25">
      <c r="C4822" s="4"/>
      <c r="E4822" s="4"/>
      <c r="H4822" s="31" t="str">
        <f t="shared" si="150"/>
        <v/>
      </c>
      <c r="J4822" t="b">
        <f t="shared" si="151"/>
        <v>0</v>
      </c>
    </row>
    <row r="4823" spans="3:10" x14ac:dyDescent="0.25">
      <c r="C4823" s="4"/>
      <c r="E4823" s="4"/>
      <c r="H4823" s="31" t="str">
        <f t="shared" si="150"/>
        <v/>
      </c>
      <c r="J4823" t="b">
        <f t="shared" si="151"/>
        <v>0</v>
      </c>
    </row>
    <row r="4824" spans="3:10" x14ac:dyDescent="0.25">
      <c r="C4824" s="4"/>
      <c r="E4824" s="4"/>
      <c r="H4824" s="31" t="str">
        <f t="shared" si="150"/>
        <v/>
      </c>
      <c r="J4824" t="b">
        <f t="shared" si="151"/>
        <v>0</v>
      </c>
    </row>
    <row r="4825" spans="3:10" x14ac:dyDescent="0.25">
      <c r="C4825" s="4"/>
      <c r="E4825" s="4"/>
      <c r="H4825" s="31" t="str">
        <f t="shared" si="150"/>
        <v/>
      </c>
      <c r="J4825" t="b">
        <f t="shared" si="151"/>
        <v>0</v>
      </c>
    </row>
    <row r="4826" spans="3:10" x14ac:dyDescent="0.25">
      <c r="C4826" s="4"/>
      <c r="E4826" s="4"/>
      <c r="H4826" s="31" t="str">
        <f t="shared" si="150"/>
        <v/>
      </c>
      <c r="J4826" t="b">
        <f t="shared" si="151"/>
        <v>0</v>
      </c>
    </row>
    <row r="4827" spans="3:10" x14ac:dyDescent="0.25">
      <c r="C4827" s="4"/>
      <c r="E4827" s="4"/>
      <c r="H4827" s="31" t="str">
        <f t="shared" si="150"/>
        <v/>
      </c>
      <c r="J4827" t="b">
        <f t="shared" si="151"/>
        <v>0</v>
      </c>
    </row>
    <row r="4828" spans="3:10" x14ac:dyDescent="0.25">
      <c r="C4828" s="4"/>
      <c r="E4828" s="4"/>
      <c r="H4828" s="31" t="str">
        <f t="shared" si="150"/>
        <v/>
      </c>
      <c r="J4828" t="b">
        <f t="shared" si="151"/>
        <v>0</v>
      </c>
    </row>
    <row r="4829" spans="3:10" x14ac:dyDescent="0.25">
      <c r="C4829" s="4"/>
      <c r="E4829" s="4"/>
      <c r="H4829" s="31" t="str">
        <f t="shared" si="150"/>
        <v/>
      </c>
      <c r="J4829" t="b">
        <f t="shared" si="151"/>
        <v>0</v>
      </c>
    </row>
    <row r="4830" spans="3:10" x14ac:dyDescent="0.25">
      <c r="C4830" s="4"/>
      <c r="E4830" s="4"/>
      <c r="H4830" s="31" t="str">
        <f t="shared" si="150"/>
        <v/>
      </c>
      <c r="J4830" t="b">
        <f t="shared" si="151"/>
        <v>0</v>
      </c>
    </row>
    <row r="4831" spans="3:10" x14ac:dyDescent="0.25">
      <c r="C4831" s="4"/>
      <c r="E4831" s="4"/>
      <c r="H4831" s="31" t="str">
        <f t="shared" si="150"/>
        <v/>
      </c>
      <c r="J4831" t="b">
        <f t="shared" si="151"/>
        <v>0</v>
      </c>
    </row>
    <row r="4832" spans="3:10" x14ac:dyDescent="0.25">
      <c r="C4832" s="4"/>
      <c r="E4832" s="4"/>
      <c r="H4832" s="31" t="str">
        <f t="shared" si="150"/>
        <v/>
      </c>
      <c r="J4832" t="b">
        <f t="shared" si="151"/>
        <v>0</v>
      </c>
    </row>
    <row r="4833" spans="3:10" x14ac:dyDescent="0.25">
      <c r="C4833" s="4"/>
      <c r="E4833" s="4"/>
      <c r="H4833" s="31" t="str">
        <f t="shared" si="150"/>
        <v/>
      </c>
      <c r="J4833" t="b">
        <f t="shared" si="151"/>
        <v>0</v>
      </c>
    </row>
    <row r="4834" spans="3:10" x14ac:dyDescent="0.25">
      <c r="C4834" s="4"/>
      <c r="E4834" s="4"/>
      <c r="H4834" s="31" t="str">
        <f t="shared" si="150"/>
        <v/>
      </c>
      <c r="J4834" t="b">
        <f t="shared" si="151"/>
        <v>0</v>
      </c>
    </row>
    <row r="4835" spans="3:10" x14ac:dyDescent="0.25">
      <c r="C4835" s="4"/>
      <c r="E4835" s="4"/>
      <c r="H4835" s="31" t="str">
        <f t="shared" si="150"/>
        <v/>
      </c>
      <c r="J4835" t="b">
        <f t="shared" si="151"/>
        <v>0</v>
      </c>
    </row>
    <row r="4836" spans="3:10" x14ac:dyDescent="0.25">
      <c r="C4836" s="4"/>
      <c r="E4836" s="4"/>
      <c r="H4836" s="31" t="str">
        <f t="shared" si="150"/>
        <v/>
      </c>
      <c r="J4836" t="b">
        <f t="shared" si="151"/>
        <v>0</v>
      </c>
    </row>
    <row r="4837" spans="3:10" x14ac:dyDescent="0.25">
      <c r="C4837" s="4"/>
      <c r="E4837" s="4"/>
      <c r="H4837" s="31" t="str">
        <f t="shared" si="150"/>
        <v/>
      </c>
      <c r="J4837" t="b">
        <f t="shared" si="151"/>
        <v>0</v>
      </c>
    </row>
    <row r="4838" spans="3:10" x14ac:dyDescent="0.25">
      <c r="C4838" s="4"/>
      <c r="E4838" s="4"/>
      <c r="H4838" s="31" t="str">
        <f t="shared" si="150"/>
        <v/>
      </c>
      <c r="J4838" t="b">
        <f t="shared" si="151"/>
        <v>0</v>
      </c>
    </row>
    <row r="4839" spans="3:10" x14ac:dyDescent="0.25">
      <c r="C4839" s="4"/>
      <c r="E4839" s="4"/>
      <c r="H4839" s="31" t="str">
        <f t="shared" si="150"/>
        <v/>
      </c>
      <c r="J4839" t="b">
        <f t="shared" si="151"/>
        <v>0</v>
      </c>
    </row>
    <row r="4840" spans="3:10" x14ac:dyDescent="0.25">
      <c r="C4840" s="4"/>
      <c r="E4840" s="4"/>
      <c r="H4840" s="31" t="str">
        <f t="shared" si="150"/>
        <v/>
      </c>
      <c r="J4840" t="b">
        <f t="shared" si="151"/>
        <v>0</v>
      </c>
    </row>
    <row r="4841" spans="3:10" x14ac:dyDescent="0.25">
      <c r="C4841" s="4"/>
      <c r="E4841" s="4"/>
      <c r="H4841" s="31" t="str">
        <f t="shared" si="150"/>
        <v/>
      </c>
      <c r="J4841" t="b">
        <f t="shared" si="151"/>
        <v>0</v>
      </c>
    </row>
    <row r="4842" spans="3:10" x14ac:dyDescent="0.25">
      <c r="C4842" s="4"/>
      <c r="E4842" s="4"/>
      <c r="H4842" s="31" t="str">
        <f t="shared" si="150"/>
        <v/>
      </c>
      <c r="J4842" t="b">
        <f t="shared" si="151"/>
        <v>0</v>
      </c>
    </row>
    <row r="4843" spans="3:10" x14ac:dyDescent="0.25">
      <c r="C4843" s="4"/>
      <c r="E4843" s="4"/>
      <c r="H4843" s="31" t="str">
        <f t="shared" si="150"/>
        <v/>
      </c>
      <c r="J4843" t="b">
        <f t="shared" si="151"/>
        <v>0</v>
      </c>
    </row>
    <row r="4844" spans="3:10" x14ac:dyDescent="0.25">
      <c r="C4844" s="4"/>
      <c r="E4844" s="4"/>
      <c r="H4844" s="31" t="str">
        <f t="shared" si="150"/>
        <v/>
      </c>
      <c r="J4844" t="b">
        <f t="shared" si="151"/>
        <v>0</v>
      </c>
    </row>
    <row r="4845" spans="3:10" x14ac:dyDescent="0.25">
      <c r="C4845" s="4"/>
      <c r="E4845" s="4"/>
      <c r="H4845" s="31" t="str">
        <f t="shared" si="150"/>
        <v/>
      </c>
      <c r="J4845" t="b">
        <f t="shared" si="151"/>
        <v>0</v>
      </c>
    </row>
    <row r="4846" spans="3:10" x14ac:dyDescent="0.25">
      <c r="C4846" s="4"/>
      <c r="E4846" s="4"/>
      <c r="H4846" s="31" t="str">
        <f t="shared" si="150"/>
        <v/>
      </c>
      <c r="J4846" t="b">
        <f t="shared" si="151"/>
        <v>0</v>
      </c>
    </row>
    <row r="4847" spans="3:10" x14ac:dyDescent="0.25">
      <c r="C4847" s="4"/>
      <c r="E4847" s="4"/>
      <c r="H4847" s="31" t="str">
        <f t="shared" si="150"/>
        <v/>
      </c>
      <c r="J4847" t="b">
        <f t="shared" si="151"/>
        <v>0</v>
      </c>
    </row>
    <row r="4848" spans="3:10" x14ac:dyDescent="0.25">
      <c r="C4848" s="4"/>
      <c r="E4848" s="4"/>
      <c r="H4848" s="31" t="str">
        <f t="shared" si="150"/>
        <v/>
      </c>
      <c r="J4848" t="b">
        <f t="shared" si="151"/>
        <v>0</v>
      </c>
    </row>
    <row r="4849" spans="3:10" x14ac:dyDescent="0.25">
      <c r="C4849" s="4"/>
      <c r="E4849" s="4"/>
      <c r="H4849" s="31" t="str">
        <f t="shared" si="150"/>
        <v/>
      </c>
      <c r="J4849" t="b">
        <f t="shared" si="151"/>
        <v>0</v>
      </c>
    </row>
    <row r="4850" spans="3:10" x14ac:dyDescent="0.25">
      <c r="C4850" s="4"/>
      <c r="E4850" s="4"/>
      <c r="H4850" s="31" t="str">
        <f t="shared" si="150"/>
        <v/>
      </c>
      <c r="J4850" t="b">
        <f t="shared" si="151"/>
        <v>0</v>
      </c>
    </row>
    <row r="4851" spans="3:10" x14ac:dyDescent="0.25">
      <c r="C4851" s="4"/>
      <c r="E4851" s="4"/>
      <c r="H4851" s="31" t="str">
        <f t="shared" si="150"/>
        <v/>
      </c>
      <c r="J4851" t="b">
        <f t="shared" si="151"/>
        <v>0</v>
      </c>
    </row>
    <row r="4852" spans="3:10" x14ac:dyDescent="0.25">
      <c r="C4852" s="4"/>
      <c r="E4852" s="4"/>
      <c r="H4852" s="31" t="str">
        <f t="shared" si="150"/>
        <v/>
      </c>
      <c r="J4852" t="b">
        <f t="shared" si="151"/>
        <v>0</v>
      </c>
    </row>
    <row r="4853" spans="3:10" x14ac:dyDescent="0.25">
      <c r="C4853" s="4"/>
      <c r="E4853" s="4"/>
      <c r="H4853" s="31" t="str">
        <f t="shared" si="150"/>
        <v/>
      </c>
      <c r="J4853" t="b">
        <f t="shared" si="151"/>
        <v>0</v>
      </c>
    </row>
    <row r="4854" spans="3:10" x14ac:dyDescent="0.25">
      <c r="C4854" s="4"/>
      <c r="E4854" s="4"/>
      <c r="H4854" s="31" t="str">
        <f t="shared" si="150"/>
        <v/>
      </c>
      <c r="J4854" t="b">
        <f t="shared" si="151"/>
        <v>0</v>
      </c>
    </row>
    <row r="4855" spans="3:10" x14ac:dyDescent="0.25">
      <c r="C4855" s="4"/>
      <c r="E4855" s="4"/>
      <c r="H4855" s="31" t="str">
        <f t="shared" si="150"/>
        <v/>
      </c>
      <c r="J4855" t="b">
        <f t="shared" si="151"/>
        <v>0</v>
      </c>
    </row>
    <row r="4856" spans="3:10" x14ac:dyDescent="0.25">
      <c r="C4856" s="4"/>
      <c r="E4856" s="4"/>
      <c r="H4856" s="31" t="str">
        <f t="shared" si="150"/>
        <v/>
      </c>
      <c r="J4856" t="b">
        <f t="shared" si="151"/>
        <v>0</v>
      </c>
    </row>
    <row r="4857" spans="3:10" x14ac:dyDescent="0.25">
      <c r="C4857" s="4"/>
      <c r="E4857" s="4"/>
      <c r="H4857" s="31" t="str">
        <f t="shared" si="150"/>
        <v/>
      </c>
      <c r="J4857" t="b">
        <f t="shared" si="151"/>
        <v>0</v>
      </c>
    </row>
    <row r="4858" spans="3:10" x14ac:dyDescent="0.25">
      <c r="C4858" s="4"/>
      <c r="E4858" s="4"/>
      <c r="H4858" s="31" t="str">
        <f t="shared" si="150"/>
        <v/>
      </c>
      <c r="J4858" t="b">
        <f t="shared" si="151"/>
        <v>0</v>
      </c>
    </row>
    <row r="4859" spans="3:10" x14ac:dyDescent="0.25">
      <c r="C4859" s="4"/>
      <c r="E4859" s="4"/>
      <c r="H4859" s="31" t="str">
        <f t="shared" si="150"/>
        <v/>
      </c>
      <c r="J4859" t="b">
        <f t="shared" si="151"/>
        <v>0</v>
      </c>
    </row>
    <row r="4860" spans="3:10" x14ac:dyDescent="0.25">
      <c r="C4860" s="4"/>
      <c r="E4860" s="4"/>
      <c r="H4860" s="31" t="str">
        <f t="shared" si="150"/>
        <v/>
      </c>
      <c r="J4860" t="b">
        <f t="shared" si="151"/>
        <v>0</v>
      </c>
    </row>
    <row r="4861" spans="3:10" x14ac:dyDescent="0.25">
      <c r="C4861" s="4"/>
      <c r="E4861" s="4"/>
      <c r="H4861" s="31" t="str">
        <f t="shared" si="150"/>
        <v/>
      </c>
      <c r="J4861" t="b">
        <f t="shared" si="151"/>
        <v>0</v>
      </c>
    </row>
    <row r="4862" spans="3:10" x14ac:dyDescent="0.25">
      <c r="C4862" s="4"/>
      <c r="E4862" s="4"/>
      <c r="H4862" s="31" t="str">
        <f t="shared" si="150"/>
        <v/>
      </c>
      <c r="J4862" t="b">
        <f t="shared" si="151"/>
        <v>0</v>
      </c>
    </row>
    <row r="4863" spans="3:10" x14ac:dyDescent="0.25">
      <c r="C4863" s="4"/>
      <c r="E4863" s="4"/>
      <c r="H4863" s="31" t="str">
        <f t="shared" si="150"/>
        <v/>
      </c>
      <c r="J4863" t="b">
        <f t="shared" si="151"/>
        <v>0</v>
      </c>
    </row>
    <row r="4864" spans="3:10" x14ac:dyDescent="0.25">
      <c r="C4864" s="4"/>
      <c r="E4864" s="4"/>
      <c r="H4864" s="31" t="str">
        <f t="shared" si="150"/>
        <v/>
      </c>
      <c r="J4864" t="b">
        <f t="shared" si="151"/>
        <v>0</v>
      </c>
    </row>
    <row r="4865" spans="3:10" x14ac:dyDescent="0.25">
      <c r="C4865" s="4"/>
      <c r="E4865" s="4"/>
      <c r="H4865" s="31" t="str">
        <f t="shared" si="150"/>
        <v/>
      </c>
      <c r="J4865" t="b">
        <f t="shared" si="151"/>
        <v>0</v>
      </c>
    </row>
    <row r="4866" spans="3:10" x14ac:dyDescent="0.25">
      <c r="C4866" s="4"/>
      <c r="E4866" s="4"/>
      <c r="H4866" s="31" t="str">
        <f t="shared" si="150"/>
        <v/>
      </c>
      <c r="J4866" t="b">
        <f t="shared" si="151"/>
        <v>0</v>
      </c>
    </row>
    <row r="4867" spans="3:10" x14ac:dyDescent="0.25">
      <c r="C4867" s="4"/>
      <c r="E4867" s="4"/>
      <c r="H4867" s="31" t="str">
        <f t="shared" si="150"/>
        <v/>
      </c>
      <c r="J4867" t="b">
        <f t="shared" si="151"/>
        <v>0</v>
      </c>
    </row>
    <row r="4868" spans="3:10" x14ac:dyDescent="0.25">
      <c r="C4868" s="4"/>
      <c r="E4868" s="4"/>
      <c r="H4868" s="31" t="str">
        <f t="shared" ref="H4868:H4931" si="152">IF($J4868=TRUE,"Il ne peut y avoir des valeurs dans les 2 méthodes",IF($D4868="kg/l",$C4868,IF($D4868="g/l",$C4868/1000,IF($D4868="lb/gal US",$C4868*0.454/3.785,IF($G4868="kg/l",($E4868/100)*$F4868,IF($G4868="g/l",($E4868/100)*$F4868/1000,IF($G4868="lb/gal US",($E4868/100)*$F4868*0.454/3.785,"")))))))</f>
        <v/>
      </c>
      <c r="J4868" t="b">
        <f t="shared" ref="J4868:J4931" si="153">IF(AND(OR($C4868&lt;&gt;"",$D4868&lt;&gt;""),OR($E4868&lt;&gt;"",F4868&lt;&gt;"",G4868&lt;&gt;"")),TRUE,FALSE)</f>
        <v>0</v>
      </c>
    </row>
    <row r="4869" spans="3:10" x14ac:dyDescent="0.25">
      <c r="C4869" s="4"/>
      <c r="E4869" s="4"/>
      <c r="H4869" s="31" t="str">
        <f t="shared" si="152"/>
        <v/>
      </c>
      <c r="J4869" t="b">
        <f t="shared" si="153"/>
        <v>0</v>
      </c>
    </row>
    <row r="4870" spans="3:10" x14ac:dyDescent="0.25">
      <c r="C4870" s="4"/>
      <c r="E4870" s="4"/>
      <c r="H4870" s="31" t="str">
        <f t="shared" si="152"/>
        <v/>
      </c>
      <c r="J4870" t="b">
        <f t="shared" si="153"/>
        <v>0</v>
      </c>
    </row>
    <row r="4871" spans="3:10" x14ac:dyDescent="0.25">
      <c r="C4871" s="4"/>
      <c r="E4871" s="4"/>
      <c r="H4871" s="31" t="str">
        <f t="shared" si="152"/>
        <v/>
      </c>
      <c r="J4871" t="b">
        <f t="shared" si="153"/>
        <v>0</v>
      </c>
    </row>
    <row r="4872" spans="3:10" x14ac:dyDescent="0.25">
      <c r="C4872" s="4"/>
      <c r="E4872" s="4"/>
      <c r="H4872" s="31" t="str">
        <f t="shared" si="152"/>
        <v/>
      </c>
      <c r="J4872" t="b">
        <f t="shared" si="153"/>
        <v>0</v>
      </c>
    </row>
    <row r="4873" spans="3:10" x14ac:dyDescent="0.25">
      <c r="C4873" s="4"/>
      <c r="E4873" s="4"/>
      <c r="H4873" s="31" t="str">
        <f t="shared" si="152"/>
        <v/>
      </c>
      <c r="J4873" t="b">
        <f t="shared" si="153"/>
        <v>0</v>
      </c>
    </row>
    <row r="4874" spans="3:10" x14ac:dyDescent="0.25">
      <c r="C4874" s="4"/>
      <c r="E4874" s="4"/>
      <c r="H4874" s="31" t="str">
        <f t="shared" si="152"/>
        <v/>
      </c>
      <c r="J4874" t="b">
        <f t="shared" si="153"/>
        <v>0</v>
      </c>
    </row>
    <row r="4875" spans="3:10" x14ac:dyDescent="0.25">
      <c r="C4875" s="4"/>
      <c r="E4875" s="4"/>
      <c r="H4875" s="31" t="str">
        <f t="shared" si="152"/>
        <v/>
      </c>
      <c r="J4875" t="b">
        <f t="shared" si="153"/>
        <v>0</v>
      </c>
    </row>
    <row r="4876" spans="3:10" x14ac:dyDescent="0.25">
      <c r="C4876" s="4"/>
      <c r="E4876" s="4"/>
      <c r="H4876" s="31" t="str">
        <f t="shared" si="152"/>
        <v/>
      </c>
      <c r="J4876" t="b">
        <f t="shared" si="153"/>
        <v>0</v>
      </c>
    </row>
    <row r="4877" spans="3:10" x14ac:dyDescent="0.25">
      <c r="C4877" s="4"/>
      <c r="E4877" s="4"/>
      <c r="H4877" s="31" t="str">
        <f t="shared" si="152"/>
        <v/>
      </c>
      <c r="J4877" t="b">
        <f t="shared" si="153"/>
        <v>0</v>
      </c>
    </row>
    <row r="4878" spans="3:10" x14ac:dyDescent="0.25">
      <c r="C4878" s="4"/>
      <c r="E4878" s="4"/>
      <c r="H4878" s="31" t="str">
        <f t="shared" si="152"/>
        <v/>
      </c>
      <c r="J4878" t="b">
        <f t="shared" si="153"/>
        <v>0</v>
      </c>
    </row>
    <row r="4879" spans="3:10" x14ac:dyDescent="0.25">
      <c r="C4879" s="4"/>
      <c r="E4879" s="4"/>
      <c r="H4879" s="31" t="str">
        <f t="shared" si="152"/>
        <v/>
      </c>
      <c r="J4879" t="b">
        <f t="shared" si="153"/>
        <v>0</v>
      </c>
    </row>
    <row r="4880" spans="3:10" x14ac:dyDescent="0.25">
      <c r="C4880" s="4"/>
      <c r="E4880" s="4"/>
      <c r="H4880" s="31" t="str">
        <f t="shared" si="152"/>
        <v/>
      </c>
      <c r="J4880" t="b">
        <f t="shared" si="153"/>
        <v>0</v>
      </c>
    </row>
    <row r="4881" spans="3:10" x14ac:dyDescent="0.25">
      <c r="C4881" s="4"/>
      <c r="E4881" s="4"/>
      <c r="H4881" s="31" t="str">
        <f t="shared" si="152"/>
        <v/>
      </c>
      <c r="J4881" t="b">
        <f t="shared" si="153"/>
        <v>0</v>
      </c>
    </row>
    <row r="4882" spans="3:10" x14ac:dyDescent="0.25">
      <c r="C4882" s="4"/>
      <c r="E4882" s="4"/>
      <c r="H4882" s="31" t="str">
        <f t="shared" si="152"/>
        <v/>
      </c>
      <c r="J4882" t="b">
        <f t="shared" si="153"/>
        <v>0</v>
      </c>
    </row>
    <row r="4883" spans="3:10" x14ac:dyDescent="0.25">
      <c r="C4883" s="4"/>
      <c r="E4883" s="4"/>
      <c r="H4883" s="31" t="str">
        <f t="shared" si="152"/>
        <v/>
      </c>
      <c r="J4883" t="b">
        <f t="shared" si="153"/>
        <v>0</v>
      </c>
    </row>
    <row r="4884" spans="3:10" x14ac:dyDescent="0.25">
      <c r="C4884" s="4"/>
      <c r="E4884" s="4"/>
      <c r="H4884" s="31" t="str">
        <f t="shared" si="152"/>
        <v/>
      </c>
      <c r="J4884" t="b">
        <f t="shared" si="153"/>
        <v>0</v>
      </c>
    </row>
    <row r="4885" spans="3:10" x14ac:dyDescent="0.25">
      <c r="C4885" s="4"/>
      <c r="E4885" s="4"/>
      <c r="H4885" s="31" t="str">
        <f t="shared" si="152"/>
        <v/>
      </c>
      <c r="J4885" t="b">
        <f t="shared" si="153"/>
        <v>0</v>
      </c>
    </row>
    <row r="4886" spans="3:10" x14ac:dyDescent="0.25">
      <c r="C4886" s="4"/>
      <c r="E4886" s="4"/>
      <c r="H4886" s="31" t="str">
        <f t="shared" si="152"/>
        <v/>
      </c>
      <c r="J4886" t="b">
        <f t="shared" si="153"/>
        <v>0</v>
      </c>
    </row>
    <row r="4887" spans="3:10" x14ac:dyDescent="0.25">
      <c r="C4887" s="4"/>
      <c r="E4887" s="4"/>
      <c r="H4887" s="31" t="str">
        <f t="shared" si="152"/>
        <v/>
      </c>
      <c r="J4887" t="b">
        <f t="shared" si="153"/>
        <v>0</v>
      </c>
    </row>
    <row r="4888" spans="3:10" x14ac:dyDescent="0.25">
      <c r="C4888" s="4"/>
      <c r="E4888" s="4"/>
      <c r="H4888" s="31" t="str">
        <f t="shared" si="152"/>
        <v/>
      </c>
      <c r="J4888" t="b">
        <f t="shared" si="153"/>
        <v>0</v>
      </c>
    </row>
    <row r="4889" spans="3:10" x14ac:dyDescent="0.25">
      <c r="C4889" s="4"/>
      <c r="E4889" s="4"/>
      <c r="H4889" s="31" t="str">
        <f t="shared" si="152"/>
        <v/>
      </c>
      <c r="J4889" t="b">
        <f t="shared" si="153"/>
        <v>0</v>
      </c>
    </row>
    <row r="4890" spans="3:10" x14ac:dyDescent="0.25">
      <c r="C4890" s="4"/>
      <c r="E4890" s="4"/>
      <c r="H4890" s="31" t="str">
        <f t="shared" si="152"/>
        <v/>
      </c>
      <c r="J4890" t="b">
        <f t="shared" si="153"/>
        <v>0</v>
      </c>
    </row>
    <row r="4891" spans="3:10" x14ac:dyDescent="0.25">
      <c r="C4891" s="4"/>
      <c r="E4891" s="4"/>
      <c r="H4891" s="31" t="str">
        <f t="shared" si="152"/>
        <v/>
      </c>
      <c r="J4891" t="b">
        <f t="shared" si="153"/>
        <v>0</v>
      </c>
    </row>
    <row r="4892" spans="3:10" x14ac:dyDescent="0.25">
      <c r="C4892" s="4"/>
      <c r="E4892" s="4"/>
      <c r="H4892" s="31" t="str">
        <f t="shared" si="152"/>
        <v/>
      </c>
      <c r="J4892" t="b">
        <f t="shared" si="153"/>
        <v>0</v>
      </c>
    </row>
    <row r="4893" spans="3:10" x14ac:dyDescent="0.25">
      <c r="C4893" s="4"/>
      <c r="E4893" s="4"/>
      <c r="H4893" s="31" t="str">
        <f t="shared" si="152"/>
        <v/>
      </c>
      <c r="J4893" t="b">
        <f t="shared" si="153"/>
        <v>0</v>
      </c>
    </row>
    <row r="4894" spans="3:10" x14ac:dyDescent="0.25">
      <c r="C4894" s="4"/>
      <c r="E4894" s="4"/>
      <c r="H4894" s="31" t="str">
        <f t="shared" si="152"/>
        <v/>
      </c>
      <c r="J4894" t="b">
        <f t="shared" si="153"/>
        <v>0</v>
      </c>
    </row>
    <row r="4895" spans="3:10" x14ac:dyDescent="0.25">
      <c r="C4895" s="4"/>
      <c r="E4895" s="4"/>
      <c r="H4895" s="31" t="str">
        <f t="shared" si="152"/>
        <v/>
      </c>
      <c r="J4895" t="b">
        <f t="shared" si="153"/>
        <v>0</v>
      </c>
    </row>
    <row r="4896" spans="3:10" x14ac:dyDescent="0.25">
      <c r="C4896" s="4"/>
      <c r="E4896" s="4"/>
      <c r="H4896" s="31" t="str">
        <f t="shared" si="152"/>
        <v/>
      </c>
      <c r="J4896" t="b">
        <f t="shared" si="153"/>
        <v>0</v>
      </c>
    </row>
    <row r="4897" spans="3:10" x14ac:dyDescent="0.25">
      <c r="C4897" s="4"/>
      <c r="E4897" s="4"/>
      <c r="H4897" s="31" t="str">
        <f t="shared" si="152"/>
        <v/>
      </c>
      <c r="J4897" t="b">
        <f t="shared" si="153"/>
        <v>0</v>
      </c>
    </row>
    <row r="4898" spans="3:10" x14ac:dyDescent="0.25">
      <c r="C4898" s="4"/>
      <c r="E4898" s="4"/>
      <c r="H4898" s="31" t="str">
        <f t="shared" si="152"/>
        <v/>
      </c>
      <c r="J4898" t="b">
        <f t="shared" si="153"/>
        <v>0</v>
      </c>
    </row>
    <row r="4899" spans="3:10" x14ac:dyDescent="0.25">
      <c r="C4899" s="4"/>
      <c r="E4899" s="4"/>
      <c r="H4899" s="31" t="str">
        <f t="shared" si="152"/>
        <v/>
      </c>
      <c r="J4899" t="b">
        <f t="shared" si="153"/>
        <v>0</v>
      </c>
    </row>
    <row r="4900" spans="3:10" x14ac:dyDescent="0.25">
      <c r="C4900" s="4"/>
      <c r="E4900" s="4"/>
      <c r="H4900" s="31" t="str">
        <f t="shared" si="152"/>
        <v/>
      </c>
      <c r="J4900" t="b">
        <f t="shared" si="153"/>
        <v>0</v>
      </c>
    </row>
    <row r="4901" spans="3:10" x14ac:dyDescent="0.25">
      <c r="C4901" s="4"/>
      <c r="E4901" s="4"/>
      <c r="H4901" s="31" t="str">
        <f t="shared" si="152"/>
        <v/>
      </c>
      <c r="J4901" t="b">
        <f t="shared" si="153"/>
        <v>0</v>
      </c>
    </row>
    <row r="4902" spans="3:10" x14ac:dyDescent="0.25">
      <c r="C4902" s="4"/>
      <c r="E4902" s="4"/>
      <c r="H4902" s="31" t="str">
        <f t="shared" si="152"/>
        <v/>
      </c>
      <c r="J4902" t="b">
        <f t="shared" si="153"/>
        <v>0</v>
      </c>
    </row>
    <row r="4903" spans="3:10" x14ac:dyDescent="0.25">
      <c r="C4903" s="4"/>
      <c r="E4903" s="4"/>
      <c r="H4903" s="31" t="str">
        <f t="shared" si="152"/>
        <v/>
      </c>
      <c r="J4903" t="b">
        <f t="shared" si="153"/>
        <v>0</v>
      </c>
    </row>
    <row r="4904" spans="3:10" x14ac:dyDescent="0.25">
      <c r="C4904" s="4"/>
      <c r="E4904" s="4"/>
      <c r="H4904" s="31" t="str">
        <f t="shared" si="152"/>
        <v/>
      </c>
      <c r="J4904" t="b">
        <f t="shared" si="153"/>
        <v>0</v>
      </c>
    </row>
    <row r="4905" spans="3:10" x14ac:dyDescent="0.25">
      <c r="C4905" s="4"/>
      <c r="E4905" s="4"/>
      <c r="H4905" s="31" t="str">
        <f t="shared" si="152"/>
        <v/>
      </c>
      <c r="J4905" t="b">
        <f t="shared" si="153"/>
        <v>0</v>
      </c>
    </row>
    <row r="4906" spans="3:10" x14ac:dyDescent="0.25">
      <c r="C4906" s="4"/>
      <c r="E4906" s="4"/>
      <c r="H4906" s="31" t="str">
        <f t="shared" si="152"/>
        <v/>
      </c>
      <c r="J4906" t="b">
        <f t="shared" si="153"/>
        <v>0</v>
      </c>
    </row>
    <row r="4907" spans="3:10" x14ac:dyDescent="0.25">
      <c r="C4907" s="4"/>
      <c r="E4907" s="4"/>
      <c r="H4907" s="31" t="str">
        <f t="shared" si="152"/>
        <v/>
      </c>
      <c r="J4907" t="b">
        <f t="shared" si="153"/>
        <v>0</v>
      </c>
    </row>
    <row r="4908" spans="3:10" x14ac:dyDescent="0.25">
      <c r="C4908" s="4"/>
      <c r="E4908" s="4"/>
      <c r="H4908" s="31" t="str">
        <f t="shared" si="152"/>
        <v/>
      </c>
      <c r="J4908" t="b">
        <f t="shared" si="153"/>
        <v>0</v>
      </c>
    </row>
    <row r="4909" spans="3:10" x14ac:dyDescent="0.25">
      <c r="C4909" s="4"/>
      <c r="E4909" s="4"/>
      <c r="H4909" s="31" t="str">
        <f t="shared" si="152"/>
        <v/>
      </c>
      <c r="J4909" t="b">
        <f t="shared" si="153"/>
        <v>0</v>
      </c>
    </row>
    <row r="4910" spans="3:10" x14ac:dyDescent="0.25">
      <c r="C4910" s="4"/>
      <c r="E4910" s="4"/>
      <c r="H4910" s="31" t="str">
        <f t="shared" si="152"/>
        <v/>
      </c>
      <c r="J4910" t="b">
        <f t="shared" si="153"/>
        <v>0</v>
      </c>
    </row>
    <row r="4911" spans="3:10" x14ac:dyDescent="0.25">
      <c r="C4911" s="4"/>
      <c r="E4911" s="4"/>
      <c r="H4911" s="31" t="str">
        <f t="shared" si="152"/>
        <v/>
      </c>
      <c r="J4911" t="b">
        <f t="shared" si="153"/>
        <v>0</v>
      </c>
    </row>
    <row r="4912" spans="3:10" x14ac:dyDescent="0.25">
      <c r="C4912" s="4"/>
      <c r="E4912" s="4"/>
      <c r="H4912" s="31" t="str">
        <f t="shared" si="152"/>
        <v/>
      </c>
      <c r="J4912" t="b">
        <f t="shared" si="153"/>
        <v>0</v>
      </c>
    </row>
    <row r="4913" spans="3:10" x14ac:dyDescent="0.25">
      <c r="C4913" s="4"/>
      <c r="E4913" s="4"/>
      <c r="H4913" s="31" t="str">
        <f t="shared" si="152"/>
        <v/>
      </c>
      <c r="J4913" t="b">
        <f t="shared" si="153"/>
        <v>0</v>
      </c>
    </row>
    <row r="4914" spans="3:10" x14ac:dyDescent="0.25">
      <c r="C4914" s="4"/>
      <c r="E4914" s="4"/>
      <c r="H4914" s="31" t="str">
        <f t="shared" si="152"/>
        <v/>
      </c>
      <c r="J4914" t="b">
        <f t="shared" si="153"/>
        <v>0</v>
      </c>
    </row>
    <row r="4915" spans="3:10" x14ac:dyDescent="0.25">
      <c r="C4915" s="4"/>
      <c r="E4915" s="4"/>
      <c r="H4915" s="31" t="str">
        <f t="shared" si="152"/>
        <v/>
      </c>
      <c r="J4915" t="b">
        <f t="shared" si="153"/>
        <v>0</v>
      </c>
    </row>
    <row r="4916" spans="3:10" x14ac:dyDescent="0.25">
      <c r="C4916" s="4"/>
      <c r="E4916" s="4"/>
      <c r="H4916" s="31" t="str">
        <f t="shared" si="152"/>
        <v/>
      </c>
      <c r="J4916" t="b">
        <f t="shared" si="153"/>
        <v>0</v>
      </c>
    </row>
    <row r="4917" spans="3:10" x14ac:dyDescent="0.25">
      <c r="C4917" s="4"/>
      <c r="E4917" s="4"/>
      <c r="H4917" s="31" t="str">
        <f t="shared" si="152"/>
        <v/>
      </c>
      <c r="J4917" t="b">
        <f t="shared" si="153"/>
        <v>0</v>
      </c>
    </row>
    <row r="4918" spans="3:10" x14ac:dyDescent="0.25">
      <c r="C4918" s="4"/>
      <c r="E4918" s="4"/>
      <c r="H4918" s="31" t="str">
        <f t="shared" si="152"/>
        <v/>
      </c>
      <c r="J4918" t="b">
        <f t="shared" si="153"/>
        <v>0</v>
      </c>
    </row>
    <row r="4919" spans="3:10" x14ac:dyDescent="0.25">
      <c r="C4919" s="4"/>
      <c r="E4919" s="4"/>
      <c r="H4919" s="31" t="str">
        <f t="shared" si="152"/>
        <v/>
      </c>
      <c r="J4919" t="b">
        <f t="shared" si="153"/>
        <v>0</v>
      </c>
    </row>
    <row r="4920" spans="3:10" x14ac:dyDescent="0.25">
      <c r="C4920" s="4"/>
      <c r="E4920" s="4"/>
      <c r="H4920" s="31" t="str">
        <f t="shared" si="152"/>
        <v/>
      </c>
      <c r="J4920" t="b">
        <f t="shared" si="153"/>
        <v>0</v>
      </c>
    </row>
    <row r="4921" spans="3:10" x14ac:dyDescent="0.25">
      <c r="C4921" s="4"/>
      <c r="E4921" s="4"/>
      <c r="H4921" s="31" t="str">
        <f t="shared" si="152"/>
        <v/>
      </c>
      <c r="J4921" t="b">
        <f t="shared" si="153"/>
        <v>0</v>
      </c>
    </row>
    <row r="4922" spans="3:10" x14ac:dyDescent="0.25">
      <c r="C4922" s="4"/>
      <c r="E4922" s="4"/>
      <c r="H4922" s="31" t="str">
        <f t="shared" si="152"/>
        <v/>
      </c>
      <c r="J4922" t="b">
        <f t="shared" si="153"/>
        <v>0</v>
      </c>
    </row>
    <row r="4923" spans="3:10" x14ac:dyDescent="0.25">
      <c r="C4923" s="4"/>
      <c r="E4923" s="4"/>
      <c r="H4923" s="31" t="str">
        <f t="shared" si="152"/>
        <v/>
      </c>
      <c r="J4923" t="b">
        <f t="shared" si="153"/>
        <v>0</v>
      </c>
    </row>
    <row r="4924" spans="3:10" x14ac:dyDescent="0.25">
      <c r="C4924" s="4"/>
      <c r="E4924" s="4"/>
      <c r="H4924" s="31" t="str">
        <f t="shared" si="152"/>
        <v/>
      </c>
      <c r="J4924" t="b">
        <f t="shared" si="153"/>
        <v>0</v>
      </c>
    </row>
    <row r="4925" spans="3:10" x14ac:dyDescent="0.25">
      <c r="C4925" s="4"/>
      <c r="E4925" s="4"/>
      <c r="H4925" s="31" t="str">
        <f t="shared" si="152"/>
        <v/>
      </c>
      <c r="J4925" t="b">
        <f t="shared" si="153"/>
        <v>0</v>
      </c>
    </row>
    <row r="4926" spans="3:10" x14ac:dyDescent="0.25">
      <c r="C4926" s="4"/>
      <c r="E4926" s="4"/>
      <c r="H4926" s="31" t="str">
        <f t="shared" si="152"/>
        <v/>
      </c>
      <c r="J4926" t="b">
        <f t="shared" si="153"/>
        <v>0</v>
      </c>
    </row>
    <row r="4927" spans="3:10" x14ac:dyDescent="0.25">
      <c r="C4927" s="4"/>
      <c r="E4927" s="4"/>
      <c r="H4927" s="31" t="str">
        <f t="shared" si="152"/>
        <v/>
      </c>
      <c r="J4927" t="b">
        <f t="shared" si="153"/>
        <v>0</v>
      </c>
    </row>
    <row r="4928" spans="3:10" x14ac:dyDescent="0.25">
      <c r="C4928" s="4"/>
      <c r="E4928" s="4"/>
      <c r="H4928" s="31" t="str">
        <f t="shared" si="152"/>
        <v/>
      </c>
      <c r="J4928" t="b">
        <f t="shared" si="153"/>
        <v>0</v>
      </c>
    </row>
    <row r="4929" spans="3:10" x14ac:dyDescent="0.25">
      <c r="C4929" s="4"/>
      <c r="E4929" s="4"/>
      <c r="H4929" s="31" t="str">
        <f t="shared" si="152"/>
        <v/>
      </c>
      <c r="J4929" t="b">
        <f t="shared" si="153"/>
        <v>0</v>
      </c>
    </row>
    <row r="4930" spans="3:10" x14ac:dyDescent="0.25">
      <c r="C4930" s="4"/>
      <c r="E4930" s="4"/>
      <c r="H4930" s="31" t="str">
        <f t="shared" si="152"/>
        <v/>
      </c>
      <c r="J4930" t="b">
        <f t="shared" si="153"/>
        <v>0</v>
      </c>
    </row>
    <row r="4931" spans="3:10" x14ac:dyDescent="0.25">
      <c r="C4931" s="4"/>
      <c r="E4931" s="4"/>
      <c r="H4931" s="31" t="str">
        <f t="shared" si="152"/>
        <v/>
      </c>
      <c r="J4931" t="b">
        <f t="shared" si="153"/>
        <v>0</v>
      </c>
    </row>
    <row r="4932" spans="3:10" x14ac:dyDescent="0.25">
      <c r="C4932" s="4"/>
      <c r="E4932" s="4"/>
      <c r="H4932" s="31" t="str">
        <f t="shared" ref="H4932:H4995" si="154">IF($J4932=TRUE,"Il ne peut y avoir des valeurs dans les 2 méthodes",IF($D4932="kg/l",$C4932,IF($D4932="g/l",$C4932/1000,IF($D4932="lb/gal US",$C4932*0.454/3.785,IF($G4932="kg/l",($E4932/100)*$F4932,IF($G4932="g/l",($E4932/100)*$F4932/1000,IF($G4932="lb/gal US",($E4932/100)*$F4932*0.454/3.785,"")))))))</f>
        <v/>
      </c>
      <c r="J4932" t="b">
        <f t="shared" ref="J4932:J4995" si="155">IF(AND(OR($C4932&lt;&gt;"",$D4932&lt;&gt;""),OR($E4932&lt;&gt;"",F4932&lt;&gt;"",G4932&lt;&gt;"")),TRUE,FALSE)</f>
        <v>0</v>
      </c>
    </row>
    <row r="4933" spans="3:10" x14ac:dyDescent="0.25">
      <c r="C4933" s="4"/>
      <c r="E4933" s="4"/>
      <c r="H4933" s="31" t="str">
        <f t="shared" si="154"/>
        <v/>
      </c>
      <c r="J4933" t="b">
        <f t="shared" si="155"/>
        <v>0</v>
      </c>
    </row>
    <row r="4934" spans="3:10" x14ac:dyDescent="0.25">
      <c r="C4934" s="4"/>
      <c r="E4934" s="4"/>
      <c r="H4934" s="31" t="str">
        <f t="shared" si="154"/>
        <v/>
      </c>
      <c r="J4934" t="b">
        <f t="shared" si="155"/>
        <v>0</v>
      </c>
    </row>
    <row r="4935" spans="3:10" x14ac:dyDescent="0.25">
      <c r="C4935" s="4"/>
      <c r="E4935" s="4"/>
      <c r="H4935" s="31" t="str">
        <f t="shared" si="154"/>
        <v/>
      </c>
      <c r="J4935" t="b">
        <f t="shared" si="155"/>
        <v>0</v>
      </c>
    </row>
    <row r="4936" spans="3:10" x14ac:dyDescent="0.25">
      <c r="C4936" s="4"/>
      <c r="E4936" s="4"/>
      <c r="H4936" s="31" t="str">
        <f t="shared" si="154"/>
        <v/>
      </c>
      <c r="J4936" t="b">
        <f t="shared" si="155"/>
        <v>0</v>
      </c>
    </row>
    <row r="4937" spans="3:10" x14ac:dyDescent="0.25">
      <c r="C4937" s="4"/>
      <c r="E4937" s="4"/>
      <c r="H4937" s="31" t="str">
        <f t="shared" si="154"/>
        <v/>
      </c>
      <c r="J4937" t="b">
        <f t="shared" si="155"/>
        <v>0</v>
      </c>
    </row>
    <row r="4938" spans="3:10" x14ac:dyDescent="0.25">
      <c r="C4938" s="4"/>
      <c r="E4938" s="4"/>
      <c r="H4938" s="31" t="str">
        <f t="shared" si="154"/>
        <v/>
      </c>
      <c r="J4938" t="b">
        <f t="shared" si="155"/>
        <v>0</v>
      </c>
    </row>
    <row r="4939" spans="3:10" x14ac:dyDescent="0.25">
      <c r="C4939" s="4"/>
      <c r="E4939" s="4"/>
      <c r="H4939" s="31" t="str">
        <f t="shared" si="154"/>
        <v/>
      </c>
      <c r="J4939" t="b">
        <f t="shared" si="155"/>
        <v>0</v>
      </c>
    </row>
    <row r="4940" spans="3:10" x14ac:dyDescent="0.25">
      <c r="C4940" s="4"/>
      <c r="E4940" s="4"/>
      <c r="H4940" s="31" t="str">
        <f t="shared" si="154"/>
        <v/>
      </c>
      <c r="J4940" t="b">
        <f t="shared" si="155"/>
        <v>0</v>
      </c>
    </row>
    <row r="4941" spans="3:10" x14ac:dyDescent="0.25">
      <c r="C4941" s="4"/>
      <c r="E4941" s="4"/>
      <c r="H4941" s="31" t="str">
        <f t="shared" si="154"/>
        <v/>
      </c>
      <c r="J4941" t="b">
        <f t="shared" si="155"/>
        <v>0</v>
      </c>
    </row>
    <row r="4942" spans="3:10" x14ac:dyDescent="0.25">
      <c r="C4942" s="4"/>
      <c r="E4942" s="4"/>
      <c r="H4942" s="31" t="str">
        <f t="shared" si="154"/>
        <v/>
      </c>
      <c r="J4942" t="b">
        <f t="shared" si="155"/>
        <v>0</v>
      </c>
    </row>
    <row r="4943" spans="3:10" x14ac:dyDescent="0.25">
      <c r="C4943" s="4"/>
      <c r="E4943" s="4"/>
      <c r="H4943" s="31" t="str">
        <f t="shared" si="154"/>
        <v/>
      </c>
      <c r="J4943" t="b">
        <f t="shared" si="155"/>
        <v>0</v>
      </c>
    </row>
    <row r="4944" spans="3:10" x14ac:dyDescent="0.25">
      <c r="C4944" s="4"/>
      <c r="E4944" s="4"/>
      <c r="H4944" s="31" t="str">
        <f t="shared" si="154"/>
        <v/>
      </c>
      <c r="J4944" t="b">
        <f t="shared" si="155"/>
        <v>0</v>
      </c>
    </row>
    <row r="4945" spans="3:10" x14ac:dyDescent="0.25">
      <c r="C4945" s="4"/>
      <c r="E4945" s="4"/>
      <c r="H4945" s="31" t="str">
        <f t="shared" si="154"/>
        <v/>
      </c>
      <c r="J4945" t="b">
        <f t="shared" si="155"/>
        <v>0</v>
      </c>
    </row>
    <row r="4946" spans="3:10" x14ac:dyDescent="0.25">
      <c r="C4946" s="4"/>
      <c r="E4946" s="4"/>
      <c r="H4946" s="31" t="str">
        <f t="shared" si="154"/>
        <v/>
      </c>
      <c r="J4946" t="b">
        <f t="shared" si="155"/>
        <v>0</v>
      </c>
    </row>
    <row r="4947" spans="3:10" x14ac:dyDescent="0.25">
      <c r="C4947" s="4"/>
      <c r="E4947" s="4"/>
      <c r="H4947" s="31" t="str">
        <f t="shared" si="154"/>
        <v/>
      </c>
      <c r="J4947" t="b">
        <f t="shared" si="155"/>
        <v>0</v>
      </c>
    </row>
    <row r="4948" spans="3:10" x14ac:dyDescent="0.25">
      <c r="C4948" s="4"/>
      <c r="E4948" s="4"/>
      <c r="H4948" s="31" t="str">
        <f t="shared" si="154"/>
        <v/>
      </c>
      <c r="J4948" t="b">
        <f t="shared" si="155"/>
        <v>0</v>
      </c>
    </row>
    <row r="4949" spans="3:10" x14ac:dyDescent="0.25">
      <c r="C4949" s="4"/>
      <c r="E4949" s="4"/>
      <c r="H4949" s="31" t="str">
        <f t="shared" si="154"/>
        <v/>
      </c>
      <c r="J4949" t="b">
        <f t="shared" si="155"/>
        <v>0</v>
      </c>
    </row>
    <row r="4950" spans="3:10" x14ac:dyDescent="0.25">
      <c r="C4950" s="4"/>
      <c r="E4950" s="4"/>
      <c r="H4950" s="31" t="str">
        <f t="shared" si="154"/>
        <v/>
      </c>
      <c r="J4950" t="b">
        <f t="shared" si="155"/>
        <v>0</v>
      </c>
    </row>
    <row r="4951" spans="3:10" x14ac:dyDescent="0.25">
      <c r="C4951" s="4"/>
      <c r="E4951" s="4"/>
      <c r="H4951" s="31" t="str">
        <f t="shared" si="154"/>
        <v/>
      </c>
      <c r="J4951" t="b">
        <f t="shared" si="155"/>
        <v>0</v>
      </c>
    </row>
    <row r="4952" spans="3:10" x14ac:dyDescent="0.25">
      <c r="C4952" s="4"/>
      <c r="E4952" s="4"/>
      <c r="H4952" s="31" t="str">
        <f t="shared" si="154"/>
        <v/>
      </c>
      <c r="J4952" t="b">
        <f t="shared" si="155"/>
        <v>0</v>
      </c>
    </row>
    <row r="4953" spans="3:10" x14ac:dyDescent="0.25">
      <c r="C4953" s="4"/>
      <c r="E4953" s="4"/>
      <c r="H4953" s="31" t="str">
        <f t="shared" si="154"/>
        <v/>
      </c>
      <c r="J4953" t="b">
        <f t="shared" si="155"/>
        <v>0</v>
      </c>
    </row>
    <row r="4954" spans="3:10" x14ac:dyDescent="0.25">
      <c r="C4954" s="4"/>
      <c r="E4954" s="4"/>
      <c r="H4954" s="31" t="str">
        <f t="shared" si="154"/>
        <v/>
      </c>
      <c r="J4954" t="b">
        <f t="shared" si="155"/>
        <v>0</v>
      </c>
    </row>
    <row r="4955" spans="3:10" x14ac:dyDescent="0.25">
      <c r="C4955" s="4"/>
      <c r="E4955" s="4"/>
      <c r="H4955" s="31" t="str">
        <f t="shared" si="154"/>
        <v/>
      </c>
      <c r="J4955" t="b">
        <f t="shared" si="155"/>
        <v>0</v>
      </c>
    </row>
    <row r="4956" spans="3:10" x14ac:dyDescent="0.25">
      <c r="C4956" s="4"/>
      <c r="E4956" s="4"/>
      <c r="H4956" s="31" t="str">
        <f t="shared" si="154"/>
        <v/>
      </c>
      <c r="J4956" t="b">
        <f t="shared" si="155"/>
        <v>0</v>
      </c>
    </row>
    <row r="4957" spans="3:10" x14ac:dyDescent="0.25">
      <c r="C4957" s="4"/>
      <c r="E4957" s="4"/>
      <c r="H4957" s="31" t="str">
        <f t="shared" si="154"/>
        <v/>
      </c>
      <c r="J4957" t="b">
        <f t="shared" si="155"/>
        <v>0</v>
      </c>
    </row>
    <row r="4958" spans="3:10" x14ac:dyDescent="0.25">
      <c r="C4958" s="4"/>
      <c r="E4958" s="4"/>
      <c r="H4958" s="31" t="str">
        <f t="shared" si="154"/>
        <v/>
      </c>
      <c r="J4958" t="b">
        <f t="shared" si="155"/>
        <v>0</v>
      </c>
    </row>
    <row r="4959" spans="3:10" x14ac:dyDescent="0.25">
      <c r="C4959" s="4"/>
      <c r="E4959" s="4"/>
      <c r="H4959" s="31" t="str">
        <f t="shared" si="154"/>
        <v/>
      </c>
      <c r="J4959" t="b">
        <f t="shared" si="155"/>
        <v>0</v>
      </c>
    </row>
    <row r="4960" spans="3:10" x14ac:dyDescent="0.25">
      <c r="C4960" s="4"/>
      <c r="E4960" s="4"/>
      <c r="H4960" s="31" t="str">
        <f t="shared" si="154"/>
        <v/>
      </c>
      <c r="J4960" t="b">
        <f t="shared" si="155"/>
        <v>0</v>
      </c>
    </row>
    <row r="4961" spans="3:10" x14ac:dyDescent="0.25">
      <c r="C4961" s="4"/>
      <c r="E4961" s="4"/>
      <c r="H4961" s="31" t="str">
        <f t="shared" si="154"/>
        <v/>
      </c>
      <c r="J4961" t="b">
        <f t="shared" si="155"/>
        <v>0</v>
      </c>
    </row>
    <row r="4962" spans="3:10" x14ac:dyDescent="0.25">
      <c r="C4962" s="4"/>
      <c r="E4962" s="4"/>
      <c r="H4962" s="31" t="str">
        <f t="shared" si="154"/>
        <v/>
      </c>
      <c r="J4962" t="b">
        <f t="shared" si="155"/>
        <v>0</v>
      </c>
    </row>
    <row r="4963" spans="3:10" x14ac:dyDescent="0.25">
      <c r="C4963" s="4"/>
      <c r="E4963" s="4"/>
      <c r="H4963" s="31" t="str">
        <f t="shared" si="154"/>
        <v/>
      </c>
      <c r="J4963" t="b">
        <f t="shared" si="155"/>
        <v>0</v>
      </c>
    </row>
    <row r="4964" spans="3:10" x14ac:dyDescent="0.25">
      <c r="C4964" s="4"/>
      <c r="E4964" s="4"/>
      <c r="H4964" s="31" t="str">
        <f t="shared" si="154"/>
        <v/>
      </c>
      <c r="J4964" t="b">
        <f t="shared" si="155"/>
        <v>0</v>
      </c>
    </row>
    <row r="4965" spans="3:10" x14ac:dyDescent="0.25">
      <c r="C4965" s="4"/>
      <c r="E4965" s="4"/>
      <c r="H4965" s="31" t="str">
        <f t="shared" si="154"/>
        <v/>
      </c>
      <c r="J4965" t="b">
        <f t="shared" si="155"/>
        <v>0</v>
      </c>
    </row>
    <row r="4966" spans="3:10" x14ac:dyDescent="0.25">
      <c r="C4966" s="4"/>
      <c r="E4966" s="4"/>
      <c r="H4966" s="31" t="str">
        <f t="shared" si="154"/>
        <v/>
      </c>
      <c r="J4966" t="b">
        <f t="shared" si="155"/>
        <v>0</v>
      </c>
    </row>
    <row r="4967" spans="3:10" x14ac:dyDescent="0.25">
      <c r="C4967" s="4"/>
      <c r="E4967" s="4"/>
      <c r="H4967" s="31" t="str">
        <f t="shared" si="154"/>
        <v/>
      </c>
      <c r="J4967" t="b">
        <f t="shared" si="155"/>
        <v>0</v>
      </c>
    </row>
    <row r="4968" spans="3:10" x14ac:dyDescent="0.25">
      <c r="C4968" s="4"/>
      <c r="E4968" s="4"/>
      <c r="H4968" s="31" t="str">
        <f t="shared" si="154"/>
        <v/>
      </c>
      <c r="J4968" t="b">
        <f t="shared" si="155"/>
        <v>0</v>
      </c>
    </row>
    <row r="4969" spans="3:10" x14ac:dyDescent="0.25">
      <c r="C4969" s="4"/>
      <c r="E4969" s="4"/>
      <c r="H4969" s="31" t="str">
        <f t="shared" si="154"/>
        <v/>
      </c>
      <c r="J4969" t="b">
        <f t="shared" si="155"/>
        <v>0</v>
      </c>
    </row>
    <row r="4970" spans="3:10" x14ac:dyDescent="0.25">
      <c r="C4970" s="4"/>
      <c r="E4970" s="4"/>
      <c r="H4970" s="31" t="str">
        <f t="shared" si="154"/>
        <v/>
      </c>
      <c r="J4970" t="b">
        <f t="shared" si="155"/>
        <v>0</v>
      </c>
    </row>
    <row r="4971" spans="3:10" x14ac:dyDescent="0.25">
      <c r="C4971" s="4"/>
      <c r="E4971" s="4"/>
      <c r="H4971" s="31" t="str">
        <f t="shared" si="154"/>
        <v/>
      </c>
      <c r="J4971" t="b">
        <f t="shared" si="155"/>
        <v>0</v>
      </c>
    </row>
    <row r="4972" spans="3:10" x14ac:dyDescent="0.25">
      <c r="C4972" s="4"/>
      <c r="E4972" s="4"/>
      <c r="H4972" s="31" t="str">
        <f t="shared" si="154"/>
        <v/>
      </c>
      <c r="J4972" t="b">
        <f t="shared" si="155"/>
        <v>0</v>
      </c>
    </row>
    <row r="4973" spans="3:10" x14ac:dyDescent="0.25">
      <c r="C4973" s="4"/>
      <c r="E4973" s="4"/>
      <c r="H4973" s="31" t="str">
        <f t="shared" si="154"/>
        <v/>
      </c>
      <c r="J4973" t="b">
        <f t="shared" si="155"/>
        <v>0</v>
      </c>
    </row>
    <row r="4974" spans="3:10" x14ac:dyDescent="0.25">
      <c r="C4974" s="4"/>
      <c r="E4974" s="4"/>
      <c r="H4974" s="31" t="str">
        <f t="shared" si="154"/>
        <v/>
      </c>
      <c r="J4974" t="b">
        <f t="shared" si="155"/>
        <v>0</v>
      </c>
    </row>
    <row r="4975" spans="3:10" x14ac:dyDescent="0.25">
      <c r="C4975" s="4"/>
      <c r="E4975" s="4"/>
      <c r="H4975" s="31" t="str">
        <f t="shared" si="154"/>
        <v/>
      </c>
      <c r="J4975" t="b">
        <f t="shared" si="155"/>
        <v>0</v>
      </c>
    </row>
    <row r="4976" spans="3:10" x14ac:dyDescent="0.25">
      <c r="C4976" s="4"/>
      <c r="E4976" s="4"/>
      <c r="H4976" s="31" t="str">
        <f t="shared" si="154"/>
        <v/>
      </c>
      <c r="J4976" t="b">
        <f t="shared" si="155"/>
        <v>0</v>
      </c>
    </row>
    <row r="4977" spans="3:10" x14ac:dyDescent="0.25">
      <c r="C4977" s="4"/>
      <c r="E4977" s="4"/>
      <c r="H4977" s="31" t="str">
        <f t="shared" si="154"/>
        <v/>
      </c>
      <c r="J4977" t="b">
        <f t="shared" si="155"/>
        <v>0</v>
      </c>
    </row>
    <row r="4978" spans="3:10" x14ac:dyDescent="0.25">
      <c r="C4978" s="4"/>
      <c r="E4978" s="4"/>
      <c r="H4978" s="31" t="str">
        <f t="shared" si="154"/>
        <v/>
      </c>
      <c r="J4978" t="b">
        <f t="shared" si="155"/>
        <v>0</v>
      </c>
    </row>
    <row r="4979" spans="3:10" x14ac:dyDescent="0.25">
      <c r="C4979" s="4"/>
      <c r="E4979" s="4"/>
      <c r="H4979" s="31" t="str">
        <f t="shared" si="154"/>
        <v/>
      </c>
      <c r="J4979" t="b">
        <f t="shared" si="155"/>
        <v>0</v>
      </c>
    </row>
    <row r="4980" spans="3:10" x14ac:dyDescent="0.25">
      <c r="C4980" s="4"/>
      <c r="E4980" s="4"/>
      <c r="H4980" s="31" t="str">
        <f t="shared" si="154"/>
        <v/>
      </c>
      <c r="J4980" t="b">
        <f t="shared" si="155"/>
        <v>0</v>
      </c>
    </row>
    <row r="4981" spans="3:10" x14ac:dyDescent="0.25">
      <c r="C4981" s="4"/>
      <c r="E4981" s="4"/>
      <c r="H4981" s="31" t="str">
        <f t="shared" si="154"/>
        <v/>
      </c>
      <c r="J4981" t="b">
        <f t="shared" si="155"/>
        <v>0</v>
      </c>
    </row>
    <row r="4982" spans="3:10" x14ac:dyDescent="0.25">
      <c r="C4982" s="4"/>
      <c r="E4982" s="4"/>
      <c r="H4982" s="31" t="str">
        <f t="shared" si="154"/>
        <v/>
      </c>
      <c r="J4982" t="b">
        <f t="shared" si="155"/>
        <v>0</v>
      </c>
    </row>
    <row r="4983" spans="3:10" x14ac:dyDescent="0.25">
      <c r="C4983" s="4"/>
      <c r="E4983" s="4"/>
      <c r="H4983" s="31" t="str">
        <f t="shared" si="154"/>
        <v/>
      </c>
      <c r="J4983" t="b">
        <f t="shared" si="155"/>
        <v>0</v>
      </c>
    </row>
    <row r="4984" spans="3:10" x14ac:dyDescent="0.25">
      <c r="C4984" s="4"/>
      <c r="E4984" s="4"/>
      <c r="H4984" s="31" t="str">
        <f t="shared" si="154"/>
        <v/>
      </c>
      <c r="J4984" t="b">
        <f t="shared" si="155"/>
        <v>0</v>
      </c>
    </row>
    <row r="4985" spans="3:10" x14ac:dyDescent="0.25">
      <c r="C4985" s="4"/>
      <c r="E4985" s="4"/>
      <c r="H4985" s="31" t="str">
        <f t="shared" si="154"/>
        <v/>
      </c>
      <c r="J4985" t="b">
        <f t="shared" si="155"/>
        <v>0</v>
      </c>
    </row>
    <row r="4986" spans="3:10" x14ac:dyDescent="0.25">
      <c r="C4986" s="4"/>
      <c r="E4986" s="4"/>
      <c r="H4986" s="31" t="str">
        <f t="shared" si="154"/>
        <v/>
      </c>
      <c r="J4986" t="b">
        <f t="shared" si="155"/>
        <v>0</v>
      </c>
    </row>
    <row r="4987" spans="3:10" x14ac:dyDescent="0.25">
      <c r="C4987" s="4"/>
      <c r="E4987" s="4"/>
      <c r="H4987" s="31" t="str">
        <f t="shared" si="154"/>
        <v/>
      </c>
      <c r="J4987" t="b">
        <f t="shared" si="155"/>
        <v>0</v>
      </c>
    </row>
    <row r="4988" spans="3:10" x14ac:dyDescent="0.25">
      <c r="C4988" s="4"/>
      <c r="E4988" s="4"/>
      <c r="H4988" s="31" t="str">
        <f t="shared" si="154"/>
        <v/>
      </c>
      <c r="J4988" t="b">
        <f t="shared" si="155"/>
        <v>0</v>
      </c>
    </row>
    <row r="4989" spans="3:10" x14ac:dyDescent="0.25">
      <c r="C4989" s="4"/>
      <c r="E4989" s="4"/>
      <c r="H4989" s="31" t="str">
        <f t="shared" si="154"/>
        <v/>
      </c>
      <c r="J4989" t="b">
        <f t="shared" si="155"/>
        <v>0</v>
      </c>
    </row>
    <row r="4990" spans="3:10" x14ac:dyDescent="0.25">
      <c r="C4990" s="4"/>
      <c r="E4990" s="4"/>
      <c r="H4990" s="31" t="str">
        <f t="shared" si="154"/>
        <v/>
      </c>
      <c r="J4990" t="b">
        <f t="shared" si="155"/>
        <v>0</v>
      </c>
    </row>
    <row r="4991" spans="3:10" x14ac:dyDescent="0.25">
      <c r="C4991" s="4"/>
      <c r="E4991" s="4"/>
      <c r="H4991" s="31" t="str">
        <f t="shared" si="154"/>
        <v/>
      </c>
      <c r="J4991" t="b">
        <f t="shared" si="155"/>
        <v>0</v>
      </c>
    </row>
    <row r="4992" spans="3:10" x14ac:dyDescent="0.25">
      <c r="C4992" s="4"/>
      <c r="E4992" s="4"/>
      <c r="H4992" s="31" t="str">
        <f t="shared" si="154"/>
        <v/>
      </c>
      <c r="J4992" t="b">
        <f t="shared" si="155"/>
        <v>0</v>
      </c>
    </row>
    <row r="4993" spans="3:10" x14ac:dyDescent="0.25">
      <c r="C4993" s="4"/>
      <c r="E4993" s="4"/>
      <c r="H4993" s="31" t="str">
        <f t="shared" si="154"/>
        <v/>
      </c>
      <c r="J4993" t="b">
        <f t="shared" si="155"/>
        <v>0</v>
      </c>
    </row>
    <row r="4994" spans="3:10" x14ac:dyDescent="0.25">
      <c r="C4994" s="4"/>
      <c r="E4994" s="4"/>
      <c r="H4994" s="31" t="str">
        <f t="shared" si="154"/>
        <v/>
      </c>
      <c r="J4994" t="b">
        <f t="shared" si="155"/>
        <v>0</v>
      </c>
    </row>
    <row r="4995" spans="3:10" x14ac:dyDescent="0.25">
      <c r="C4995" s="4"/>
      <c r="E4995" s="4"/>
      <c r="H4995" s="31" t="str">
        <f t="shared" si="154"/>
        <v/>
      </c>
      <c r="J4995" t="b">
        <f t="shared" si="155"/>
        <v>0</v>
      </c>
    </row>
    <row r="4996" spans="3:10" x14ac:dyDescent="0.25">
      <c r="C4996" s="4"/>
      <c r="E4996" s="4"/>
      <c r="H4996" s="31" t="str">
        <f t="shared" ref="H4996:H5000" si="156">IF($J4996=TRUE,"Il ne peut y avoir des valeurs dans les 2 méthodes",IF($D4996="kg/l",$C4996,IF($D4996="g/l",$C4996/1000,IF($D4996="lb/gal US",$C4996*0.454/3.785,IF($G4996="kg/l",($E4996/100)*$F4996,IF($G4996="g/l",($E4996/100)*$F4996/1000,IF($G4996="lb/gal US",($E4996/100)*$F4996*0.454/3.785,"")))))))</f>
        <v/>
      </c>
      <c r="J4996" t="b">
        <f t="shared" ref="J4996:J5000" si="157">IF(AND(OR($C4996&lt;&gt;"",$D4996&lt;&gt;""),OR($E4996&lt;&gt;"",F4996&lt;&gt;"",G4996&lt;&gt;"")),TRUE,FALSE)</f>
        <v>0</v>
      </c>
    </row>
    <row r="4997" spans="3:10" x14ac:dyDescent="0.25">
      <c r="C4997" s="4"/>
      <c r="E4997" s="4"/>
      <c r="H4997" s="31" t="str">
        <f t="shared" si="156"/>
        <v/>
      </c>
      <c r="J4997" t="b">
        <f t="shared" si="157"/>
        <v>0</v>
      </c>
    </row>
    <row r="4998" spans="3:10" x14ac:dyDescent="0.25">
      <c r="C4998" s="4"/>
      <c r="E4998" s="4"/>
      <c r="H4998" s="31" t="str">
        <f t="shared" si="156"/>
        <v/>
      </c>
      <c r="J4998" t="b">
        <f t="shared" si="157"/>
        <v>0</v>
      </c>
    </row>
    <row r="4999" spans="3:10" x14ac:dyDescent="0.25">
      <c r="C4999" s="4"/>
      <c r="E4999" s="4"/>
      <c r="H4999" s="31" t="str">
        <f t="shared" si="156"/>
        <v/>
      </c>
      <c r="J4999" t="b">
        <f t="shared" si="157"/>
        <v>0</v>
      </c>
    </row>
    <row r="5000" spans="3:10" x14ac:dyDescent="0.25">
      <c r="C5000" s="4"/>
      <c r="E5000" s="4"/>
      <c r="H5000" s="31" t="str">
        <f t="shared" si="156"/>
        <v/>
      </c>
      <c r="J5000" t="b">
        <f t="shared" si="157"/>
        <v>0</v>
      </c>
    </row>
    <row r="5001" spans="3:10" x14ac:dyDescent="0.25">
      <c r="C5001" s="4"/>
      <c r="E5001" s="4"/>
    </row>
    <row r="5002" spans="3:10" x14ac:dyDescent="0.25">
      <c r="C5002" s="4"/>
      <c r="E5002" s="4"/>
    </row>
    <row r="5003" spans="3:10" x14ac:dyDescent="0.25">
      <c r="C5003" s="4"/>
      <c r="E5003" s="4"/>
    </row>
    <row r="5004" spans="3:10" x14ac:dyDescent="0.25">
      <c r="C5004" s="4"/>
      <c r="E5004" s="4"/>
    </row>
    <row r="5005" spans="3:10" x14ac:dyDescent="0.25">
      <c r="C5005" s="4"/>
      <c r="E5005" s="4"/>
    </row>
    <row r="5006" spans="3:10" x14ac:dyDescent="0.25">
      <c r="C5006" s="4"/>
      <c r="E5006" s="4"/>
    </row>
    <row r="5007" spans="3:10" x14ac:dyDescent="0.25">
      <c r="C5007" s="4"/>
      <c r="E5007" s="4"/>
    </row>
    <row r="5008" spans="3:10" x14ac:dyDescent="0.25">
      <c r="C5008" s="4"/>
      <c r="E5008" s="4"/>
    </row>
    <row r="5009" spans="3:5" x14ac:dyDescent="0.25">
      <c r="C5009" s="4"/>
      <c r="E5009" s="4"/>
    </row>
    <row r="5010" spans="3:5" x14ac:dyDescent="0.25">
      <c r="C5010" s="4"/>
      <c r="E5010" s="4"/>
    </row>
    <row r="5011" spans="3:5" x14ac:dyDescent="0.25">
      <c r="C5011" s="4"/>
      <c r="E5011" s="4"/>
    </row>
    <row r="5012" spans="3:5" x14ac:dyDescent="0.25">
      <c r="C5012" s="4"/>
      <c r="E5012" s="4"/>
    </row>
    <row r="5013" spans="3:5" x14ac:dyDescent="0.25">
      <c r="C5013" s="4"/>
      <c r="E5013" s="4"/>
    </row>
    <row r="5014" spans="3:5" x14ac:dyDescent="0.25">
      <c r="C5014" s="4"/>
      <c r="E5014" s="4"/>
    </row>
    <row r="5015" spans="3:5" x14ac:dyDescent="0.25">
      <c r="C5015" s="4"/>
      <c r="E5015" s="4"/>
    </row>
    <row r="5016" spans="3:5" x14ac:dyDescent="0.25">
      <c r="C5016" s="4"/>
      <c r="E5016" s="4"/>
    </row>
    <row r="5017" spans="3:5" x14ac:dyDescent="0.25">
      <c r="C5017" s="4"/>
      <c r="E5017" s="4"/>
    </row>
    <row r="5018" spans="3:5" x14ac:dyDescent="0.25">
      <c r="C5018" s="4"/>
      <c r="E5018" s="4"/>
    </row>
    <row r="5019" spans="3:5" x14ac:dyDescent="0.25">
      <c r="C5019" s="4"/>
      <c r="E5019" s="4"/>
    </row>
    <row r="5020" spans="3:5" x14ac:dyDescent="0.25">
      <c r="C5020" s="4"/>
      <c r="E5020" s="4"/>
    </row>
    <row r="5021" spans="3:5" x14ac:dyDescent="0.25">
      <c r="C5021" s="4"/>
      <c r="E5021" s="4"/>
    </row>
    <row r="5022" spans="3:5" x14ac:dyDescent="0.25">
      <c r="C5022" s="4"/>
      <c r="E5022" s="4"/>
    </row>
    <row r="5023" spans="3:5" x14ac:dyDescent="0.25">
      <c r="C5023" s="4"/>
      <c r="E5023" s="4"/>
    </row>
    <row r="5024" spans="3:5" x14ac:dyDescent="0.25">
      <c r="C5024" s="4"/>
      <c r="E5024" s="4"/>
    </row>
    <row r="5025" spans="3:5" x14ac:dyDescent="0.25">
      <c r="C5025" s="4"/>
      <c r="E5025" s="4"/>
    </row>
    <row r="5026" spans="3:5" x14ac:dyDescent="0.25">
      <c r="C5026" s="4"/>
      <c r="E5026" s="4"/>
    </row>
    <row r="5027" spans="3:5" x14ac:dyDescent="0.25">
      <c r="C5027" s="4"/>
      <c r="E5027" s="4"/>
    </row>
    <row r="5028" spans="3:5" x14ac:dyDescent="0.25">
      <c r="C5028" s="4"/>
      <c r="E5028" s="4"/>
    </row>
    <row r="5029" spans="3:5" x14ac:dyDescent="0.25">
      <c r="C5029" s="4"/>
      <c r="E5029" s="4"/>
    </row>
    <row r="5030" spans="3:5" x14ac:dyDescent="0.25">
      <c r="C5030" s="4"/>
      <c r="E5030" s="4"/>
    </row>
    <row r="5031" spans="3:5" x14ac:dyDescent="0.25">
      <c r="C5031" s="4"/>
      <c r="E5031" s="4"/>
    </row>
    <row r="5032" spans="3:5" x14ac:dyDescent="0.25">
      <c r="C5032" s="4"/>
      <c r="E5032" s="4"/>
    </row>
    <row r="5033" spans="3:5" x14ac:dyDescent="0.25">
      <c r="C5033" s="4"/>
      <c r="E5033" s="4"/>
    </row>
    <row r="5034" spans="3:5" x14ac:dyDescent="0.25">
      <c r="C5034" s="4"/>
      <c r="E5034" s="4"/>
    </row>
    <row r="5035" spans="3:5" x14ac:dyDescent="0.25">
      <c r="C5035" s="4"/>
      <c r="E5035" s="4"/>
    </row>
    <row r="5036" spans="3:5" x14ac:dyDescent="0.25">
      <c r="C5036" s="4"/>
      <c r="E5036" s="4"/>
    </row>
    <row r="5037" spans="3:5" x14ac:dyDescent="0.25">
      <c r="C5037" s="4"/>
      <c r="E5037" s="4"/>
    </row>
    <row r="5038" spans="3:5" x14ac:dyDescent="0.25">
      <c r="C5038" s="4"/>
      <c r="E5038" s="4"/>
    </row>
    <row r="5039" spans="3:5" x14ac:dyDescent="0.25">
      <c r="C5039" s="4"/>
      <c r="E5039" s="4"/>
    </row>
    <row r="5040" spans="3:5" x14ac:dyDescent="0.25">
      <c r="C5040" s="4"/>
      <c r="E5040" s="4"/>
    </row>
    <row r="5041" spans="3:5" x14ac:dyDescent="0.25">
      <c r="C5041" s="4"/>
      <c r="E5041" s="4"/>
    </row>
    <row r="5042" spans="3:5" x14ac:dyDescent="0.25">
      <c r="C5042" s="4"/>
      <c r="E5042" s="4"/>
    </row>
    <row r="5043" spans="3:5" x14ac:dyDescent="0.25">
      <c r="C5043" s="4"/>
      <c r="E5043" s="4"/>
    </row>
    <row r="5044" spans="3:5" x14ac:dyDescent="0.25">
      <c r="C5044" s="4"/>
      <c r="E5044" s="4"/>
    </row>
    <row r="5045" spans="3:5" x14ac:dyDescent="0.25">
      <c r="C5045" s="4"/>
      <c r="E5045" s="4"/>
    </row>
    <row r="5046" spans="3:5" x14ac:dyDescent="0.25">
      <c r="C5046" s="4"/>
      <c r="E5046" s="4"/>
    </row>
    <row r="5047" spans="3:5" x14ac:dyDescent="0.25">
      <c r="C5047" s="4"/>
      <c r="E5047" s="4"/>
    </row>
    <row r="5048" spans="3:5" x14ac:dyDescent="0.25">
      <c r="C5048" s="4"/>
      <c r="E5048" s="4"/>
    </row>
    <row r="5049" spans="3:5" x14ac:dyDescent="0.25">
      <c r="C5049" s="4"/>
      <c r="E5049" s="4"/>
    </row>
    <row r="5050" spans="3:5" x14ac:dyDescent="0.25">
      <c r="C5050" s="4"/>
      <c r="E5050" s="4"/>
    </row>
    <row r="5051" spans="3:5" x14ac:dyDescent="0.25">
      <c r="C5051" s="4"/>
      <c r="E5051" s="4"/>
    </row>
    <row r="5052" spans="3:5" x14ac:dyDescent="0.25">
      <c r="C5052" s="4"/>
      <c r="E5052" s="4"/>
    </row>
    <row r="5053" spans="3:5" x14ac:dyDescent="0.25">
      <c r="C5053" s="4"/>
      <c r="E5053" s="4"/>
    </row>
    <row r="5054" spans="3:5" x14ac:dyDescent="0.25">
      <c r="C5054" s="4"/>
      <c r="E5054" s="4"/>
    </row>
    <row r="5055" spans="3:5" x14ac:dyDescent="0.25">
      <c r="C5055" s="4"/>
      <c r="E5055" s="4"/>
    </row>
    <row r="5056" spans="3:5" x14ac:dyDescent="0.25">
      <c r="C5056" s="4"/>
      <c r="E5056" s="4"/>
    </row>
    <row r="5057" spans="3:5" x14ac:dyDescent="0.25">
      <c r="C5057" s="4"/>
      <c r="E5057" s="4"/>
    </row>
    <row r="5058" spans="3:5" x14ac:dyDescent="0.25">
      <c r="C5058" s="4"/>
      <c r="E5058" s="4"/>
    </row>
    <row r="5059" spans="3:5" x14ac:dyDescent="0.25">
      <c r="C5059" s="4"/>
      <c r="E5059" s="4"/>
    </row>
    <row r="5060" spans="3:5" x14ac:dyDescent="0.25">
      <c r="C5060" s="4"/>
      <c r="E5060" s="4"/>
    </row>
    <row r="5061" spans="3:5" x14ac:dyDescent="0.25">
      <c r="C5061" s="4"/>
      <c r="E5061" s="4"/>
    </row>
    <row r="5062" spans="3:5" x14ac:dyDescent="0.25">
      <c r="C5062" s="4"/>
      <c r="E5062" s="4"/>
    </row>
    <row r="5063" spans="3:5" x14ac:dyDescent="0.25">
      <c r="C5063" s="4"/>
      <c r="E5063" s="4"/>
    </row>
    <row r="5064" spans="3:5" x14ac:dyDescent="0.25">
      <c r="C5064" s="4"/>
      <c r="E5064" s="4"/>
    </row>
    <row r="5065" spans="3:5" x14ac:dyDescent="0.25">
      <c r="C5065" s="4"/>
      <c r="E5065" s="4"/>
    </row>
    <row r="5066" spans="3:5" x14ac:dyDescent="0.25">
      <c r="C5066" s="4"/>
      <c r="E5066" s="4"/>
    </row>
    <row r="5067" spans="3:5" x14ac:dyDescent="0.25">
      <c r="C5067" s="4"/>
      <c r="E5067" s="4"/>
    </row>
    <row r="5068" spans="3:5" x14ac:dyDescent="0.25">
      <c r="C5068" s="4"/>
      <c r="E5068" s="4"/>
    </row>
    <row r="5069" spans="3:5" x14ac:dyDescent="0.25">
      <c r="C5069" s="4"/>
      <c r="E5069" s="4"/>
    </row>
    <row r="5070" spans="3:5" x14ac:dyDescent="0.25">
      <c r="C5070" s="4"/>
      <c r="E5070" s="4"/>
    </row>
    <row r="5071" spans="3:5" x14ac:dyDescent="0.25">
      <c r="C5071" s="4"/>
      <c r="E5071" s="4"/>
    </row>
    <row r="5072" spans="3:5" x14ac:dyDescent="0.25">
      <c r="C5072" s="4"/>
      <c r="E5072" s="4"/>
    </row>
    <row r="5073" spans="3:5" x14ac:dyDescent="0.25">
      <c r="C5073" s="4"/>
      <c r="E5073" s="4"/>
    </row>
    <row r="5074" spans="3:5" x14ac:dyDescent="0.25">
      <c r="C5074" s="4"/>
      <c r="E5074" s="4"/>
    </row>
    <row r="5075" spans="3:5" x14ac:dyDescent="0.25">
      <c r="C5075" s="4"/>
      <c r="E5075" s="4"/>
    </row>
    <row r="5076" spans="3:5" x14ac:dyDescent="0.25">
      <c r="C5076" s="4"/>
      <c r="E5076" s="4"/>
    </row>
    <row r="5077" spans="3:5" x14ac:dyDescent="0.25">
      <c r="C5077" s="4"/>
      <c r="E5077" s="4"/>
    </row>
    <row r="5078" spans="3:5" x14ac:dyDescent="0.25">
      <c r="C5078" s="4"/>
      <c r="E5078" s="4"/>
    </row>
    <row r="5079" spans="3:5" x14ac:dyDescent="0.25">
      <c r="C5079" s="4"/>
      <c r="E5079" s="4"/>
    </row>
    <row r="5080" spans="3:5" x14ac:dyDescent="0.25">
      <c r="C5080" s="4"/>
      <c r="E5080" s="4"/>
    </row>
    <row r="5081" spans="3:5" x14ac:dyDescent="0.25">
      <c r="C5081" s="4"/>
      <c r="E5081" s="4"/>
    </row>
    <row r="5082" spans="3:5" x14ac:dyDescent="0.25">
      <c r="C5082" s="4"/>
      <c r="E5082" s="4"/>
    </row>
    <row r="5083" spans="3:5" x14ac:dyDescent="0.25">
      <c r="C5083" s="4"/>
      <c r="E5083" s="4"/>
    </row>
    <row r="5084" spans="3:5" x14ac:dyDescent="0.25">
      <c r="C5084" s="4"/>
      <c r="E5084" s="4"/>
    </row>
    <row r="5085" spans="3:5" x14ac:dyDescent="0.25">
      <c r="C5085" s="4"/>
      <c r="E5085" s="4"/>
    </row>
    <row r="5086" spans="3:5" x14ac:dyDescent="0.25">
      <c r="C5086" s="4"/>
      <c r="E5086" s="4"/>
    </row>
    <row r="5087" spans="3:5" x14ac:dyDescent="0.25">
      <c r="C5087" s="4"/>
      <c r="E5087" s="4"/>
    </row>
    <row r="5088" spans="3:5" x14ac:dyDescent="0.25">
      <c r="C5088" s="4"/>
      <c r="E5088" s="4"/>
    </row>
    <row r="5089" spans="3:5" x14ac:dyDescent="0.25">
      <c r="C5089" s="4"/>
      <c r="E5089" s="4"/>
    </row>
    <row r="5090" spans="3:5" x14ac:dyDescent="0.25">
      <c r="C5090" s="4"/>
      <c r="E5090" s="4"/>
    </row>
    <row r="5091" spans="3:5" x14ac:dyDescent="0.25">
      <c r="C5091" s="4"/>
      <c r="E5091" s="4"/>
    </row>
    <row r="5092" spans="3:5" x14ac:dyDescent="0.25">
      <c r="C5092" s="4"/>
      <c r="E5092" s="4"/>
    </row>
    <row r="5093" spans="3:5" x14ac:dyDescent="0.25">
      <c r="C5093" s="4"/>
      <c r="E5093" s="4"/>
    </row>
    <row r="5094" spans="3:5" x14ac:dyDescent="0.25">
      <c r="C5094" s="4"/>
      <c r="E5094" s="4"/>
    </row>
    <row r="5095" spans="3:5" x14ac:dyDescent="0.25">
      <c r="C5095" s="4"/>
      <c r="E5095" s="4"/>
    </row>
    <row r="5096" spans="3:5" x14ac:dyDescent="0.25">
      <c r="C5096" s="4"/>
      <c r="E5096" s="4"/>
    </row>
    <row r="5097" spans="3:5" x14ac:dyDescent="0.25">
      <c r="C5097" s="4"/>
      <c r="E5097" s="4"/>
    </row>
    <row r="5098" spans="3:5" x14ac:dyDescent="0.25">
      <c r="C5098" s="4"/>
      <c r="E5098" s="4"/>
    </row>
    <row r="5099" spans="3:5" x14ac:dyDescent="0.25">
      <c r="C5099" s="4"/>
      <c r="E5099" s="4"/>
    </row>
    <row r="5100" spans="3:5" x14ac:dyDescent="0.25">
      <c r="C5100" s="4"/>
      <c r="E5100" s="4"/>
    </row>
    <row r="5101" spans="3:5" x14ac:dyDescent="0.25">
      <c r="C5101" s="4"/>
      <c r="E5101" s="4"/>
    </row>
    <row r="5102" spans="3:5" x14ac:dyDescent="0.25">
      <c r="C5102" s="4"/>
      <c r="E5102" s="4"/>
    </row>
    <row r="5103" spans="3:5" x14ac:dyDescent="0.25">
      <c r="C5103" s="4"/>
      <c r="E5103" s="4"/>
    </row>
    <row r="5104" spans="3:5" x14ac:dyDescent="0.25">
      <c r="C5104" s="4"/>
      <c r="E5104" s="4"/>
    </row>
    <row r="5105" spans="3:5" x14ac:dyDescent="0.25">
      <c r="C5105" s="4"/>
      <c r="E5105" s="4"/>
    </row>
    <row r="5106" spans="3:5" x14ac:dyDescent="0.25">
      <c r="C5106" s="4"/>
      <c r="E5106" s="4"/>
    </row>
    <row r="5107" spans="3:5" x14ac:dyDescent="0.25">
      <c r="C5107" s="4"/>
      <c r="E5107" s="4"/>
    </row>
    <row r="5108" spans="3:5" x14ac:dyDescent="0.25">
      <c r="C5108" s="4"/>
      <c r="E5108" s="4"/>
    </row>
    <row r="5109" spans="3:5" x14ac:dyDescent="0.25">
      <c r="C5109" s="4"/>
      <c r="E5109" s="4"/>
    </row>
    <row r="5110" spans="3:5" x14ac:dyDescent="0.25">
      <c r="C5110" s="4"/>
      <c r="E5110" s="4"/>
    </row>
    <row r="5111" spans="3:5" x14ac:dyDescent="0.25">
      <c r="C5111" s="4"/>
      <c r="E5111" s="4"/>
    </row>
    <row r="5112" spans="3:5" x14ac:dyDescent="0.25">
      <c r="C5112" s="4"/>
      <c r="E5112" s="4"/>
    </row>
    <row r="5113" spans="3:5" x14ac:dyDescent="0.25">
      <c r="C5113" s="4"/>
      <c r="E5113" s="4"/>
    </row>
    <row r="5114" spans="3:5" x14ac:dyDescent="0.25">
      <c r="C5114" s="4"/>
      <c r="E5114" s="4"/>
    </row>
    <row r="5115" spans="3:5" x14ac:dyDescent="0.25">
      <c r="C5115" s="4"/>
      <c r="E5115" s="4"/>
    </row>
    <row r="5116" spans="3:5" x14ac:dyDescent="0.25">
      <c r="C5116" s="4"/>
      <c r="E5116" s="4"/>
    </row>
    <row r="5117" spans="3:5" x14ac:dyDescent="0.25">
      <c r="C5117" s="4"/>
      <c r="E5117" s="4"/>
    </row>
    <row r="5118" spans="3:5" x14ac:dyDescent="0.25">
      <c r="C5118" s="4"/>
      <c r="E5118" s="4"/>
    </row>
    <row r="5119" spans="3:5" x14ac:dyDescent="0.25">
      <c r="C5119" s="4"/>
      <c r="E5119" s="4"/>
    </row>
    <row r="5120" spans="3:5" x14ac:dyDescent="0.25">
      <c r="C5120" s="4"/>
      <c r="E5120" s="4"/>
    </row>
    <row r="5121" spans="3:5" x14ac:dyDescent="0.25">
      <c r="C5121" s="4"/>
      <c r="E5121" s="4"/>
    </row>
    <row r="5122" spans="3:5" x14ac:dyDescent="0.25">
      <c r="C5122" s="4"/>
      <c r="E5122" s="4"/>
    </row>
    <row r="5123" spans="3:5" x14ac:dyDescent="0.25">
      <c r="C5123" s="4"/>
      <c r="E5123" s="4"/>
    </row>
    <row r="5124" spans="3:5" x14ac:dyDescent="0.25">
      <c r="C5124" s="4"/>
      <c r="E5124" s="4"/>
    </row>
    <row r="5125" spans="3:5" x14ac:dyDescent="0.25">
      <c r="C5125" s="4"/>
      <c r="E5125" s="4"/>
    </row>
    <row r="5126" spans="3:5" x14ac:dyDescent="0.25">
      <c r="C5126" s="4"/>
      <c r="E5126" s="4"/>
    </row>
    <row r="5127" spans="3:5" x14ac:dyDescent="0.25">
      <c r="C5127" s="4"/>
      <c r="E5127" s="4"/>
    </row>
    <row r="5128" spans="3:5" x14ac:dyDescent="0.25">
      <c r="C5128" s="4"/>
      <c r="E5128" s="4"/>
    </row>
    <row r="5129" spans="3:5" x14ac:dyDescent="0.25">
      <c r="C5129" s="4"/>
      <c r="E5129" s="4"/>
    </row>
    <row r="5130" spans="3:5" x14ac:dyDescent="0.25">
      <c r="C5130" s="4"/>
      <c r="E5130" s="4"/>
    </row>
    <row r="5131" spans="3:5" x14ac:dyDescent="0.25">
      <c r="C5131" s="4"/>
      <c r="E5131" s="4"/>
    </row>
    <row r="5132" spans="3:5" x14ac:dyDescent="0.25">
      <c r="C5132" s="4"/>
      <c r="E5132" s="4"/>
    </row>
    <row r="5133" spans="3:5" x14ac:dyDescent="0.25">
      <c r="C5133" s="4"/>
      <c r="E5133" s="4"/>
    </row>
    <row r="5134" spans="3:5" x14ac:dyDescent="0.25">
      <c r="C5134" s="4"/>
      <c r="E5134" s="4"/>
    </row>
    <row r="5135" spans="3:5" x14ac:dyDescent="0.25">
      <c r="C5135" s="4"/>
      <c r="E5135" s="4"/>
    </row>
    <row r="5136" spans="3:5" x14ac:dyDescent="0.25">
      <c r="C5136" s="4"/>
      <c r="E5136" s="4"/>
    </row>
    <row r="5137" spans="3:5" x14ac:dyDescent="0.25">
      <c r="C5137" s="4"/>
      <c r="E5137" s="4"/>
    </row>
    <row r="5138" spans="3:5" x14ac:dyDescent="0.25">
      <c r="C5138" s="4"/>
      <c r="E5138" s="4"/>
    </row>
    <row r="5139" spans="3:5" x14ac:dyDescent="0.25">
      <c r="C5139" s="4"/>
      <c r="E5139" s="4"/>
    </row>
    <row r="5140" spans="3:5" x14ac:dyDescent="0.25">
      <c r="C5140" s="4"/>
      <c r="E5140" s="4"/>
    </row>
    <row r="5141" spans="3:5" x14ac:dyDescent="0.25">
      <c r="C5141" s="4"/>
      <c r="E5141" s="4"/>
    </row>
    <row r="5142" spans="3:5" x14ac:dyDescent="0.25">
      <c r="C5142" s="4"/>
      <c r="E5142" s="4"/>
    </row>
    <row r="5143" spans="3:5" x14ac:dyDescent="0.25">
      <c r="C5143" s="4"/>
      <c r="E5143" s="4"/>
    </row>
    <row r="5144" spans="3:5" x14ac:dyDescent="0.25">
      <c r="C5144" s="4"/>
      <c r="E5144" s="4"/>
    </row>
    <row r="5145" spans="3:5" x14ac:dyDescent="0.25">
      <c r="C5145" s="4"/>
      <c r="E5145" s="4"/>
    </row>
    <row r="5146" spans="3:5" x14ac:dyDescent="0.25">
      <c r="C5146" s="4"/>
      <c r="E5146" s="4"/>
    </row>
    <row r="5147" spans="3:5" x14ac:dyDescent="0.25">
      <c r="C5147" s="4"/>
      <c r="E5147" s="4"/>
    </row>
    <row r="5148" spans="3:5" x14ac:dyDescent="0.25">
      <c r="C5148" s="4"/>
      <c r="E5148" s="4"/>
    </row>
    <row r="5149" spans="3:5" x14ac:dyDescent="0.25">
      <c r="C5149" s="4"/>
      <c r="E5149" s="4"/>
    </row>
    <row r="5150" spans="3:5" x14ac:dyDescent="0.25">
      <c r="C5150" s="4"/>
      <c r="E5150" s="4"/>
    </row>
    <row r="5151" spans="3:5" x14ac:dyDescent="0.25">
      <c r="C5151" s="4"/>
      <c r="E5151" s="4"/>
    </row>
    <row r="5152" spans="3:5" x14ac:dyDescent="0.25">
      <c r="C5152" s="4"/>
      <c r="E5152" s="4"/>
    </row>
    <row r="5153" spans="3:5" x14ac:dyDescent="0.25">
      <c r="C5153" s="4"/>
      <c r="E5153" s="4"/>
    </row>
    <row r="5154" spans="3:5" x14ac:dyDescent="0.25">
      <c r="C5154" s="4"/>
      <c r="E5154" s="4"/>
    </row>
    <row r="5155" spans="3:5" x14ac:dyDescent="0.25">
      <c r="C5155" s="4"/>
      <c r="E5155" s="4"/>
    </row>
    <row r="5156" spans="3:5" x14ac:dyDescent="0.25">
      <c r="C5156" s="4"/>
      <c r="E5156" s="4"/>
    </row>
    <row r="5157" spans="3:5" x14ac:dyDescent="0.25">
      <c r="C5157" s="4"/>
      <c r="E5157" s="4"/>
    </row>
    <row r="5158" spans="3:5" x14ac:dyDescent="0.25">
      <c r="C5158" s="4"/>
      <c r="E5158" s="4"/>
    </row>
    <row r="5159" spans="3:5" x14ac:dyDescent="0.25">
      <c r="C5159" s="4"/>
      <c r="E5159" s="4"/>
    </row>
    <row r="5160" spans="3:5" x14ac:dyDescent="0.25">
      <c r="C5160" s="4"/>
      <c r="E5160" s="4"/>
    </row>
    <row r="5161" spans="3:5" x14ac:dyDescent="0.25">
      <c r="C5161" s="4"/>
      <c r="E5161" s="4"/>
    </row>
    <row r="5162" spans="3:5" x14ac:dyDescent="0.25">
      <c r="C5162" s="4"/>
      <c r="E5162" s="4"/>
    </row>
    <row r="5163" spans="3:5" x14ac:dyDescent="0.25">
      <c r="C5163" s="4"/>
      <c r="E5163" s="4"/>
    </row>
    <row r="5164" spans="3:5" x14ac:dyDescent="0.25">
      <c r="C5164" s="4"/>
      <c r="E5164" s="4"/>
    </row>
    <row r="5165" spans="3:5" x14ac:dyDescent="0.25">
      <c r="C5165" s="4"/>
      <c r="E5165" s="4"/>
    </row>
    <row r="5166" spans="3:5" x14ac:dyDescent="0.25">
      <c r="C5166" s="4"/>
      <c r="E5166" s="4"/>
    </row>
    <row r="5167" spans="3:5" x14ac:dyDescent="0.25">
      <c r="C5167" s="4"/>
      <c r="E5167" s="4"/>
    </row>
    <row r="5168" spans="3:5" x14ac:dyDescent="0.25">
      <c r="C5168" s="4"/>
      <c r="E5168" s="4"/>
    </row>
    <row r="5169" spans="3:5" x14ac:dyDescent="0.25">
      <c r="C5169" s="4"/>
      <c r="E5169" s="4"/>
    </row>
    <row r="5170" spans="3:5" x14ac:dyDescent="0.25">
      <c r="C5170" s="4"/>
      <c r="E5170" s="4"/>
    </row>
    <row r="5171" spans="3:5" x14ac:dyDescent="0.25">
      <c r="C5171" s="4"/>
      <c r="E5171" s="4"/>
    </row>
    <row r="5172" spans="3:5" x14ac:dyDescent="0.25">
      <c r="C5172" s="4"/>
      <c r="E5172" s="4"/>
    </row>
    <row r="5173" spans="3:5" x14ac:dyDescent="0.25">
      <c r="C5173" s="4"/>
      <c r="E5173" s="4"/>
    </row>
    <row r="5174" spans="3:5" x14ac:dyDescent="0.25">
      <c r="C5174" s="4"/>
      <c r="E5174" s="4"/>
    </row>
    <row r="5175" spans="3:5" x14ac:dyDescent="0.25">
      <c r="C5175" s="4"/>
      <c r="E5175" s="4"/>
    </row>
    <row r="5176" spans="3:5" x14ac:dyDescent="0.25">
      <c r="C5176" s="4"/>
      <c r="E5176" s="4"/>
    </row>
    <row r="5177" spans="3:5" x14ac:dyDescent="0.25">
      <c r="C5177" s="4"/>
      <c r="E5177" s="4"/>
    </row>
    <row r="5178" spans="3:5" x14ac:dyDescent="0.25">
      <c r="C5178" s="4"/>
      <c r="E5178" s="4"/>
    </row>
    <row r="5179" spans="3:5" x14ac:dyDescent="0.25">
      <c r="C5179" s="4"/>
      <c r="E5179" s="4"/>
    </row>
    <row r="5180" spans="3:5" x14ac:dyDescent="0.25">
      <c r="C5180" s="4"/>
      <c r="E5180" s="4"/>
    </row>
    <row r="5181" spans="3:5" x14ac:dyDescent="0.25">
      <c r="C5181" s="4"/>
      <c r="E5181" s="4"/>
    </row>
    <row r="5182" spans="3:5" x14ac:dyDescent="0.25">
      <c r="C5182" s="4"/>
      <c r="E5182" s="4"/>
    </row>
    <row r="5183" spans="3:5" x14ac:dyDescent="0.25">
      <c r="C5183" s="4"/>
      <c r="E5183" s="4"/>
    </row>
    <row r="5184" spans="3:5" x14ac:dyDescent="0.25">
      <c r="C5184" s="4"/>
      <c r="E5184" s="4"/>
    </row>
    <row r="5185" spans="3:5" x14ac:dyDescent="0.25">
      <c r="C5185" s="4"/>
      <c r="E5185" s="4"/>
    </row>
    <row r="5186" spans="3:5" x14ac:dyDescent="0.25">
      <c r="C5186" s="4"/>
      <c r="E5186" s="4"/>
    </row>
    <row r="5187" spans="3:5" x14ac:dyDescent="0.25">
      <c r="C5187" s="4"/>
      <c r="E5187" s="4"/>
    </row>
    <row r="5188" spans="3:5" x14ac:dyDescent="0.25">
      <c r="C5188" s="4"/>
      <c r="E5188" s="4"/>
    </row>
    <row r="5189" spans="3:5" x14ac:dyDescent="0.25">
      <c r="C5189" s="4"/>
      <c r="E5189" s="4"/>
    </row>
    <row r="5190" spans="3:5" x14ac:dyDescent="0.25">
      <c r="C5190" s="4"/>
      <c r="E5190" s="4"/>
    </row>
    <row r="5191" spans="3:5" x14ac:dyDescent="0.25">
      <c r="C5191" s="4"/>
      <c r="E5191" s="4"/>
    </row>
    <row r="5192" spans="3:5" x14ac:dyDescent="0.25">
      <c r="C5192" s="4"/>
      <c r="E5192" s="4"/>
    </row>
    <row r="5193" spans="3:5" x14ac:dyDescent="0.25">
      <c r="C5193" s="4"/>
      <c r="E5193" s="4"/>
    </row>
    <row r="5194" spans="3:5" x14ac:dyDescent="0.25">
      <c r="C5194" s="4"/>
      <c r="E5194" s="4"/>
    </row>
    <row r="5195" spans="3:5" x14ac:dyDescent="0.25">
      <c r="C5195" s="4"/>
      <c r="E5195" s="4"/>
    </row>
    <row r="5196" spans="3:5" x14ac:dyDescent="0.25">
      <c r="C5196" s="4"/>
      <c r="E5196" s="4"/>
    </row>
    <row r="5197" spans="3:5" x14ac:dyDescent="0.25">
      <c r="C5197" s="4"/>
      <c r="E5197" s="4"/>
    </row>
    <row r="5198" spans="3:5" x14ac:dyDescent="0.25">
      <c r="C5198" s="4"/>
      <c r="E5198" s="4"/>
    </row>
    <row r="5199" spans="3:5" x14ac:dyDescent="0.25">
      <c r="C5199" s="4"/>
      <c r="E5199" s="4"/>
    </row>
    <row r="5200" spans="3:5" x14ac:dyDescent="0.25">
      <c r="C5200" s="4"/>
      <c r="E5200" s="4"/>
    </row>
    <row r="5201" spans="3:5" x14ac:dyDescent="0.25">
      <c r="C5201" s="4"/>
      <c r="E5201" s="4"/>
    </row>
    <row r="5202" spans="3:5" x14ac:dyDescent="0.25">
      <c r="C5202" s="4"/>
      <c r="E5202" s="4"/>
    </row>
    <row r="5203" spans="3:5" x14ac:dyDescent="0.25">
      <c r="C5203" s="4"/>
      <c r="E5203" s="4"/>
    </row>
    <row r="5204" spans="3:5" x14ac:dyDescent="0.25">
      <c r="C5204" s="4"/>
      <c r="E5204" s="4"/>
    </row>
    <row r="5205" spans="3:5" x14ac:dyDescent="0.25">
      <c r="C5205" s="4"/>
      <c r="E5205" s="4"/>
    </row>
    <row r="5206" spans="3:5" x14ac:dyDescent="0.25">
      <c r="C5206" s="4"/>
      <c r="E5206" s="4"/>
    </row>
    <row r="5207" spans="3:5" x14ac:dyDescent="0.25">
      <c r="C5207" s="4"/>
      <c r="E5207" s="4"/>
    </row>
    <row r="5208" spans="3:5" x14ac:dyDescent="0.25">
      <c r="C5208" s="4"/>
      <c r="E5208" s="4"/>
    </row>
    <row r="5209" spans="3:5" x14ac:dyDescent="0.25">
      <c r="C5209" s="4"/>
      <c r="E5209" s="4"/>
    </row>
    <row r="5210" spans="3:5" x14ac:dyDescent="0.25">
      <c r="C5210" s="4"/>
      <c r="E5210" s="4"/>
    </row>
    <row r="5211" spans="3:5" x14ac:dyDescent="0.25">
      <c r="C5211" s="4"/>
      <c r="E5211" s="4"/>
    </row>
    <row r="5212" spans="3:5" x14ac:dyDescent="0.25">
      <c r="C5212" s="4"/>
      <c r="E5212" s="4"/>
    </row>
    <row r="5213" spans="3:5" x14ac:dyDescent="0.25">
      <c r="C5213" s="4"/>
      <c r="E5213" s="4"/>
    </row>
    <row r="5214" spans="3:5" x14ac:dyDescent="0.25">
      <c r="C5214" s="4"/>
      <c r="E5214" s="4"/>
    </row>
    <row r="5215" spans="3:5" x14ac:dyDescent="0.25">
      <c r="C5215" s="4"/>
      <c r="E5215" s="4"/>
    </row>
    <row r="5216" spans="3:5" x14ac:dyDescent="0.25">
      <c r="C5216" s="4"/>
      <c r="E5216" s="4"/>
    </row>
    <row r="5217" spans="3:5" x14ac:dyDescent="0.25">
      <c r="C5217" s="4"/>
      <c r="E5217" s="4"/>
    </row>
    <row r="5218" spans="3:5" x14ac:dyDescent="0.25">
      <c r="C5218" s="4"/>
      <c r="E5218" s="4"/>
    </row>
    <row r="5219" spans="3:5" x14ac:dyDescent="0.25">
      <c r="C5219" s="4"/>
      <c r="E5219" s="4"/>
    </row>
    <row r="5220" spans="3:5" x14ac:dyDescent="0.25">
      <c r="C5220" s="4"/>
      <c r="E5220" s="4"/>
    </row>
    <row r="5221" spans="3:5" x14ac:dyDescent="0.25">
      <c r="C5221" s="4"/>
      <c r="E5221" s="4"/>
    </row>
    <row r="5222" spans="3:5" x14ac:dyDescent="0.25">
      <c r="C5222" s="4"/>
      <c r="E5222" s="4"/>
    </row>
    <row r="5223" spans="3:5" x14ac:dyDescent="0.25">
      <c r="C5223" s="4"/>
      <c r="E5223" s="4"/>
    </row>
    <row r="5224" spans="3:5" x14ac:dyDescent="0.25">
      <c r="C5224" s="4"/>
      <c r="E5224" s="4"/>
    </row>
    <row r="5225" spans="3:5" x14ac:dyDescent="0.25">
      <c r="C5225" s="4"/>
      <c r="E5225" s="4"/>
    </row>
    <row r="5226" spans="3:5" x14ac:dyDescent="0.25">
      <c r="C5226" s="4"/>
      <c r="E5226" s="4"/>
    </row>
    <row r="5227" spans="3:5" x14ac:dyDescent="0.25">
      <c r="C5227" s="4"/>
      <c r="E5227" s="4"/>
    </row>
    <row r="5228" spans="3:5" x14ac:dyDescent="0.25">
      <c r="C5228" s="4"/>
      <c r="E5228" s="4"/>
    </row>
    <row r="5229" spans="3:5" x14ac:dyDescent="0.25">
      <c r="C5229" s="4"/>
      <c r="E5229" s="4"/>
    </row>
    <row r="5230" spans="3:5" x14ac:dyDescent="0.25">
      <c r="C5230" s="4"/>
      <c r="E5230" s="4"/>
    </row>
    <row r="5231" spans="3:5" x14ac:dyDescent="0.25">
      <c r="C5231" s="4"/>
      <c r="E5231" s="4"/>
    </row>
    <row r="5232" spans="3:5" x14ac:dyDescent="0.25">
      <c r="C5232" s="4"/>
      <c r="E5232" s="4"/>
    </row>
    <row r="5233" spans="3:5" x14ac:dyDescent="0.25">
      <c r="C5233" s="4"/>
      <c r="E5233" s="4"/>
    </row>
    <row r="5234" spans="3:5" x14ac:dyDescent="0.25">
      <c r="C5234" s="4"/>
      <c r="E5234" s="4"/>
    </row>
    <row r="5235" spans="3:5" x14ac:dyDescent="0.25">
      <c r="C5235" s="4"/>
      <c r="E5235" s="4"/>
    </row>
    <row r="5236" spans="3:5" x14ac:dyDescent="0.25">
      <c r="C5236" s="4"/>
      <c r="E5236" s="4"/>
    </row>
    <row r="5237" spans="3:5" x14ac:dyDescent="0.25">
      <c r="C5237" s="4"/>
      <c r="E5237" s="4"/>
    </row>
    <row r="5238" spans="3:5" x14ac:dyDescent="0.25">
      <c r="C5238" s="4"/>
      <c r="E5238" s="4"/>
    </row>
    <row r="5239" spans="3:5" x14ac:dyDescent="0.25">
      <c r="C5239" s="4"/>
      <c r="E5239" s="4"/>
    </row>
    <row r="5240" spans="3:5" x14ac:dyDescent="0.25">
      <c r="C5240" s="4"/>
      <c r="E5240" s="4"/>
    </row>
    <row r="5241" spans="3:5" x14ac:dyDescent="0.25">
      <c r="C5241" s="4"/>
      <c r="E5241" s="4"/>
    </row>
    <row r="5242" spans="3:5" x14ac:dyDescent="0.25">
      <c r="C5242" s="4"/>
      <c r="E5242" s="4"/>
    </row>
    <row r="5243" spans="3:5" x14ac:dyDescent="0.25">
      <c r="C5243" s="4"/>
      <c r="E5243" s="4"/>
    </row>
    <row r="5244" spans="3:5" x14ac:dyDescent="0.25">
      <c r="C5244" s="4"/>
      <c r="E5244" s="4"/>
    </row>
    <row r="5245" spans="3:5" x14ac:dyDescent="0.25">
      <c r="C5245" s="4"/>
      <c r="E5245" s="4"/>
    </row>
    <row r="5246" spans="3:5" x14ac:dyDescent="0.25">
      <c r="C5246" s="4"/>
      <c r="E5246" s="4"/>
    </row>
    <row r="5247" spans="3:5" x14ac:dyDescent="0.25">
      <c r="C5247" s="4"/>
      <c r="E5247" s="4"/>
    </row>
    <row r="5248" spans="3:5" x14ac:dyDescent="0.25">
      <c r="C5248" s="4"/>
      <c r="E5248" s="4"/>
    </row>
    <row r="5249" spans="3:5" x14ac:dyDescent="0.25">
      <c r="C5249" s="4"/>
      <c r="E5249" s="4"/>
    </row>
    <row r="5250" spans="3:5" x14ac:dyDescent="0.25">
      <c r="C5250" s="4"/>
      <c r="E5250" s="4"/>
    </row>
    <row r="5251" spans="3:5" x14ac:dyDescent="0.25">
      <c r="C5251" s="4"/>
      <c r="E5251" s="4"/>
    </row>
    <row r="5252" spans="3:5" x14ac:dyDescent="0.25">
      <c r="C5252" s="4"/>
      <c r="E5252" s="4"/>
    </row>
    <row r="5253" spans="3:5" x14ac:dyDescent="0.25">
      <c r="C5253" s="4"/>
      <c r="E5253" s="4"/>
    </row>
    <row r="5254" spans="3:5" x14ac:dyDescent="0.25">
      <c r="C5254" s="4"/>
      <c r="E5254" s="4"/>
    </row>
    <row r="5255" spans="3:5" x14ac:dyDescent="0.25">
      <c r="C5255" s="4"/>
      <c r="E5255" s="4"/>
    </row>
    <row r="5256" spans="3:5" x14ac:dyDescent="0.25">
      <c r="C5256" s="4"/>
      <c r="E5256" s="4"/>
    </row>
    <row r="5257" spans="3:5" x14ac:dyDescent="0.25">
      <c r="C5257" s="4"/>
      <c r="E5257" s="4"/>
    </row>
    <row r="5258" spans="3:5" x14ac:dyDescent="0.25">
      <c r="C5258" s="4"/>
      <c r="E5258" s="4"/>
    </row>
    <row r="5259" spans="3:5" x14ac:dyDescent="0.25">
      <c r="C5259" s="4"/>
      <c r="E5259" s="4"/>
    </row>
    <row r="5260" spans="3:5" x14ac:dyDescent="0.25">
      <c r="C5260" s="4"/>
      <c r="E5260" s="4"/>
    </row>
    <row r="5261" spans="3:5" x14ac:dyDescent="0.25">
      <c r="C5261" s="4"/>
      <c r="E5261" s="4"/>
    </row>
    <row r="5262" spans="3:5" x14ac:dyDescent="0.25">
      <c r="C5262" s="4"/>
      <c r="E5262" s="4"/>
    </row>
    <row r="5263" spans="3:5" x14ac:dyDescent="0.25">
      <c r="C5263" s="4"/>
      <c r="E5263" s="4"/>
    </row>
    <row r="5264" spans="3:5" x14ac:dyDescent="0.25">
      <c r="C5264" s="4"/>
      <c r="E5264" s="4"/>
    </row>
    <row r="5265" spans="3:5" x14ac:dyDescent="0.25">
      <c r="C5265" s="4"/>
      <c r="E5265" s="4"/>
    </row>
    <row r="5266" spans="3:5" x14ac:dyDescent="0.25">
      <c r="C5266" s="4"/>
      <c r="E5266" s="4"/>
    </row>
    <row r="5267" spans="3:5" x14ac:dyDescent="0.25">
      <c r="C5267" s="4"/>
      <c r="E5267" s="4"/>
    </row>
    <row r="5268" spans="3:5" x14ac:dyDescent="0.25">
      <c r="C5268" s="4"/>
      <c r="E5268" s="4"/>
    </row>
    <row r="5269" spans="3:5" x14ac:dyDescent="0.25">
      <c r="C5269" s="4"/>
      <c r="E5269" s="4"/>
    </row>
    <row r="5270" spans="3:5" x14ac:dyDescent="0.25">
      <c r="C5270" s="4"/>
      <c r="E5270" s="4"/>
    </row>
    <row r="5271" spans="3:5" x14ac:dyDescent="0.25">
      <c r="C5271" s="4"/>
      <c r="E5271" s="4"/>
    </row>
    <row r="5272" spans="3:5" x14ac:dyDescent="0.25">
      <c r="C5272" s="4"/>
      <c r="E5272" s="4"/>
    </row>
    <row r="5273" spans="3:5" x14ac:dyDescent="0.25">
      <c r="C5273" s="4"/>
      <c r="E5273" s="4"/>
    </row>
    <row r="5274" spans="3:5" x14ac:dyDescent="0.25">
      <c r="C5274" s="4"/>
      <c r="E5274" s="4"/>
    </row>
    <row r="5275" spans="3:5" x14ac:dyDescent="0.25">
      <c r="C5275" s="4"/>
      <c r="E5275" s="4"/>
    </row>
    <row r="5276" spans="3:5" x14ac:dyDescent="0.25">
      <c r="C5276" s="4"/>
      <c r="E5276" s="4"/>
    </row>
    <row r="5277" spans="3:5" x14ac:dyDescent="0.25">
      <c r="C5277" s="4"/>
      <c r="E5277" s="4"/>
    </row>
    <row r="5278" spans="3:5" x14ac:dyDescent="0.25">
      <c r="C5278" s="4"/>
      <c r="E5278" s="4"/>
    </row>
    <row r="5279" spans="3:5" x14ac:dyDescent="0.25">
      <c r="C5279" s="4"/>
      <c r="E5279" s="4"/>
    </row>
    <row r="5280" spans="3:5" x14ac:dyDescent="0.25">
      <c r="C5280" s="4"/>
      <c r="E5280" s="4"/>
    </row>
    <row r="5281" spans="3:5" x14ac:dyDescent="0.25">
      <c r="C5281" s="4"/>
      <c r="E5281" s="4"/>
    </row>
    <row r="5282" spans="3:5" x14ac:dyDescent="0.25">
      <c r="C5282" s="4"/>
      <c r="E5282" s="4"/>
    </row>
    <row r="5283" spans="3:5" x14ac:dyDescent="0.25">
      <c r="C5283" s="4"/>
      <c r="E5283" s="4"/>
    </row>
    <row r="5284" spans="3:5" x14ac:dyDescent="0.25">
      <c r="C5284" s="4"/>
      <c r="E5284" s="4"/>
    </row>
    <row r="5285" spans="3:5" x14ac:dyDescent="0.25">
      <c r="C5285" s="4"/>
      <c r="E5285" s="4"/>
    </row>
    <row r="5286" spans="3:5" x14ac:dyDescent="0.25">
      <c r="C5286" s="4"/>
      <c r="E5286" s="4"/>
    </row>
    <row r="5287" spans="3:5" x14ac:dyDescent="0.25">
      <c r="C5287" s="4"/>
      <c r="E5287" s="4"/>
    </row>
    <row r="5288" spans="3:5" x14ac:dyDescent="0.25">
      <c r="C5288" s="4"/>
      <c r="E5288" s="4"/>
    </row>
    <row r="5289" spans="3:5" x14ac:dyDescent="0.25">
      <c r="C5289" s="4"/>
      <c r="E5289" s="4"/>
    </row>
    <row r="5290" spans="3:5" x14ac:dyDescent="0.25">
      <c r="C5290" s="4"/>
      <c r="E5290" s="4"/>
    </row>
    <row r="5291" spans="3:5" x14ac:dyDescent="0.25">
      <c r="C5291" s="4"/>
      <c r="E5291" s="4"/>
    </row>
    <row r="5292" spans="3:5" x14ac:dyDescent="0.25">
      <c r="C5292" s="4"/>
      <c r="E5292" s="4"/>
    </row>
    <row r="5293" spans="3:5" x14ac:dyDescent="0.25">
      <c r="C5293" s="4"/>
      <c r="E5293" s="4"/>
    </row>
    <row r="5294" spans="3:5" x14ac:dyDescent="0.25">
      <c r="C5294" s="4"/>
      <c r="E5294" s="4"/>
    </row>
    <row r="5295" spans="3:5" x14ac:dyDescent="0.25">
      <c r="C5295" s="4"/>
      <c r="E5295" s="4"/>
    </row>
    <row r="5296" spans="3:5" x14ac:dyDescent="0.25">
      <c r="C5296" s="4"/>
      <c r="E5296" s="4"/>
    </row>
    <row r="5297" spans="3:5" x14ac:dyDescent="0.25">
      <c r="C5297" s="4"/>
      <c r="E5297" s="4"/>
    </row>
    <row r="5298" spans="3:5" x14ac:dyDescent="0.25">
      <c r="C5298" s="4"/>
      <c r="E5298" s="4"/>
    </row>
    <row r="5299" spans="3:5" x14ac:dyDescent="0.25">
      <c r="C5299" s="4"/>
      <c r="E5299" s="4"/>
    </row>
    <row r="5300" spans="3:5" x14ac:dyDescent="0.25">
      <c r="C5300" s="4"/>
      <c r="E5300" s="4"/>
    </row>
    <row r="5301" spans="3:5" x14ac:dyDescent="0.25">
      <c r="C5301" s="4"/>
      <c r="E5301" s="4"/>
    </row>
    <row r="5302" spans="3:5" x14ac:dyDescent="0.25">
      <c r="C5302" s="4"/>
      <c r="E5302" s="4"/>
    </row>
    <row r="5303" spans="3:5" x14ac:dyDescent="0.25">
      <c r="C5303" s="4"/>
      <c r="E5303" s="4"/>
    </row>
    <row r="5304" spans="3:5" x14ac:dyDescent="0.25">
      <c r="C5304" s="4"/>
      <c r="E5304" s="4"/>
    </row>
    <row r="5305" spans="3:5" x14ac:dyDescent="0.25">
      <c r="C5305" s="4"/>
      <c r="E5305" s="4"/>
    </row>
    <row r="5306" spans="3:5" x14ac:dyDescent="0.25">
      <c r="C5306" s="4"/>
      <c r="E5306" s="4"/>
    </row>
    <row r="5307" spans="3:5" x14ac:dyDescent="0.25">
      <c r="C5307" s="4"/>
      <c r="E5307" s="4"/>
    </row>
    <row r="5308" spans="3:5" x14ac:dyDescent="0.25">
      <c r="C5308" s="4"/>
      <c r="E5308" s="4"/>
    </row>
    <row r="5309" spans="3:5" x14ac:dyDescent="0.25">
      <c r="C5309" s="4"/>
      <c r="E5309" s="4"/>
    </row>
    <row r="5310" spans="3:5" x14ac:dyDescent="0.25">
      <c r="C5310" s="4"/>
      <c r="E5310" s="4"/>
    </row>
    <row r="5311" spans="3:5" x14ac:dyDescent="0.25">
      <c r="C5311" s="4"/>
      <c r="E5311" s="4"/>
    </row>
    <row r="5312" spans="3:5" x14ac:dyDescent="0.25">
      <c r="C5312" s="4"/>
      <c r="E5312" s="4"/>
    </row>
    <row r="5313" spans="3:5" x14ac:dyDescent="0.25">
      <c r="C5313" s="4"/>
      <c r="E5313" s="4"/>
    </row>
    <row r="5314" spans="3:5" x14ac:dyDescent="0.25">
      <c r="C5314" s="4"/>
      <c r="E5314" s="4"/>
    </row>
    <row r="5315" spans="3:5" x14ac:dyDescent="0.25">
      <c r="C5315" s="4"/>
      <c r="E5315" s="4"/>
    </row>
    <row r="5316" spans="3:5" x14ac:dyDescent="0.25">
      <c r="C5316" s="4"/>
      <c r="E5316" s="4"/>
    </row>
    <row r="5317" spans="3:5" x14ac:dyDescent="0.25">
      <c r="C5317" s="4"/>
      <c r="E5317" s="4"/>
    </row>
    <row r="5318" spans="3:5" x14ac:dyDescent="0.25">
      <c r="C5318" s="4"/>
      <c r="E5318" s="4"/>
    </row>
    <row r="5319" spans="3:5" x14ac:dyDescent="0.25">
      <c r="C5319" s="4"/>
      <c r="E5319" s="4"/>
    </row>
    <row r="5320" spans="3:5" x14ac:dyDescent="0.25">
      <c r="C5320" s="4"/>
      <c r="E5320" s="4"/>
    </row>
    <row r="5321" spans="3:5" x14ac:dyDescent="0.25">
      <c r="C5321" s="4"/>
      <c r="E5321" s="4"/>
    </row>
    <row r="5322" spans="3:5" x14ac:dyDescent="0.25">
      <c r="C5322" s="4"/>
      <c r="E5322" s="4"/>
    </row>
    <row r="5323" spans="3:5" x14ac:dyDescent="0.25">
      <c r="C5323" s="4"/>
      <c r="E5323" s="4"/>
    </row>
    <row r="5324" spans="3:5" x14ac:dyDescent="0.25">
      <c r="C5324" s="4"/>
      <c r="E5324" s="4"/>
    </row>
    <row r="5325" spans="3:5" x14ac:dyDescent="0.25">
      <c r="C5325" s="4"/>
      <c r="E5325" s="4"/>
    </row>
    <row r="5326" spans="3:5" x14ac:dyDescent="0.25">
      <c r="C5326" s="4"/>
      <c r="E5326" s="4"/>
    </row>
    <row r="5327" spans="3:5" x14ac:dyDescent="0.25">
      <c r="C5327" s="4"/>
      <c r="E5327" s="4"/>
    </row>
    <row r="5328" spans="3:5" x14ac:dyDescent="0.25">
      <c r="C5328" s="4"/>
      <c r="E5328" s="4"/>
    </row>
    <row r="5329" spans="3:5" x14ac:dyDescent="0.25">
      <c r="C5329" s="4"/>
      <c r="E5329" s="4"/>
    </row>
    <row r="5330" spans="3:5" x14ac:dyDescent="0.25">
      <c r="C5330" s="4"/>
      <c r="E5330" s="4"/>
    </row>
    <row r="5331" spans="3:5" x14ac:dyDescent="0.25">
      <c r="C5331" s="4"/>
      <c r="E5331" s="4"/>
    </row>
    <row r="5332" spans="3:5" x14ac:dyDescent="0.25">
      <c r="C5332" s="4"/>
      <c r="E5332" s="4"/>
    </row>
    <row r="5333" spans="3:5" x14ac:dyDescent="0.25">
      <c r="C5333" s="4"/>
      <c r="E5333" s="4"/>
    </row>
    <row r="5334" spans="3:5" x14ac:dyDescent="0.25">
      <c r="C5334" s="4"/>
      <c r="E5334" s="4"/>
    </row>
    <row r="5335" spans="3:5" x14ac:dyDescent="0.25">
      <c r="C5335" s="4"/>
      <c r="E5335" s="4"/>
    </row>
    <row r="5336" spans="3:5" x14ac:dyDescent="0.25">
      <c r="C5336" s="4"/>
      <c r="E5336" s="4"/>
    </row>
    <row r="5337" spans="3:5" x14ac:dyDescent="0.25">
      <c r="C5337" s="4"/>
      <c r="E5337" s="4"/>
    </row>
    <row r="5338" spans="3:5" x14ac:dyDescent="0.25">
      <c r="C5338" s="4"/>
      <c r="E5338" s="4"/>
    </row>
    <row r="5339" spans="3:5" x14ac:dyDescent="0.25">
      <c r="C5339" s="4"/>
      <c r="E5339" s="4"/>
    </row>
    <row r="5340" spans="3:5" x14ac:dyDescent="0.25">
      <c r="C5340" s="4"/>
      <c r="E5340" s="4"/>
    </row>
    <row r="5341" spans="3:5" x14ac:dyDescent="0.25">
      <c r="C5341" s="4"/>
      <c r="E5341" s="4"/>
    </row>
    <row r="5342" spans="3:5" x14ac:dyDescent="0.25">
      <c r="C5342" s="4"/>
      <c r="E5342" s="4"/>
    </row>
    <row r="5343" spans="3:5" x14ac:dyDescent="0.25">
      <c r="C5343" s="4"/>
      <c r="E5343" s="4"/>
    </row>
    <row r="5344" spans="3:5" x14ac:dyDescent="0.25">
      <c r="C5344" s="4"/>
      <c r="E5344" s="4"/>
    </row>
    <row r="5345" spans="3:5" x14ac:dyDescent="0.25">
      <c r="C5345" s="4"/>
      <c r="E5345" s="4"/>
    </row>
    <row r="5346" spans="3:5" x14ac:dyDescent="0.25">
      <c r="C5346" s="4"/>
      <c r="E5346" s="4"/>
    </row>
    <row r="5347" spans="3:5" x14ac:dyDescent="0.25">
      <c r="C5347" s="4"/>
      <c r="E5347" s="4"/>
    </row>
    <row r="5348" spans="3:5" x14ac:dyDescent="0.25">
      <c r="C5348" s="4"/>
      <c r="E5348" s="4"/>
    </row>
    <row r="5349" spans="3:5" x14ac:dyDescent="0.25">
      <c r="C5349" s="4"/>
      <c r="E5349" s="4"/>
    </row>
    <row r="5350" spans="3:5" x14ac:dyDescent="0.25">
      <c r="C5350" s="4"/>
      <c r="E5350" s="4"/>
    </row>
    <row r="5351" spans="3:5" x14ac:dyDescent="0.25">
      <c r="C5351" s="4"/>
      <c r="E5351" s="4"/>
    </row>
    <row r="5352" spans="3:5" x14ac:dyDescent="0.25">
      <c r="C5352" s="4"/>
      <c r="E5352" s="4"/>
    </row>
    <row r="5353" spans="3:5" x14ac:dyDescent="0.25">
      <c r="C5353" s="4"/>
      <c r="E5353" s="4"/>
    </row>
    <row r="5354" spans="3:5" x14ac:dyDescent="0.25">
      <c r="C5354" s="4"/>
      <c r="E5354" s="4"/>
    </row>
    <row r="5355" spans="3:5" x14ac:dyDescent="0.25">
      <c r="C5355" s="4"/>
      <c r="E5355" s="4"/>
    </row>
    <row r="5356" spans="3:5" x14ac:dyDescent="0.25">
      <c r="C5356" s="4"/>
      <c r="E5356" s="4"/>
    </row>
    <row r="5357" spans="3:5" x14ac:dyDescent="0.25">
      <c r="C5357" s="4"/>
      <c r="E5357" s="4"/>
    </row>
    <row r="5358" spans="3:5" x14ac:dyDescent="0.25">
      <c r="C5358" s="4"/>
      <c r="E5358" s="4"/>
    </row>
    <row r="5359" spans="3:5" x14ac:dyDescent="0.25">
      <c r="C5359" s="4"/>
      <c r="E5359" s="4"/>
    </row>
    <row r="5360" spans="3:5" x14ac:dyDescent="0.25">
      <c r="C5360" s="4"/>
      <c r="E5360" s="4"/>
    </row>
    <row r="5361" spans="3:5" x14ac:dyDescent="0.25">
      <c r="C5361" s="4"/>
      <c r="E5361" s="4"/>
    </row>
    <row r="5362" spans="3:5" x14ac:dyDescent="0.25">
      <c r="C5362" s="4"/>
      <c r="E5362" s="4"/>
    </row>
    <row r="5363" spans="3:5" x14ac:dyDescent="0.25">
      <c r="C5363" s="4"/>
      <c r="E5363" s="4"/>
    </row>
    <row r="5364" spans="3:5" x14ac:dyDescent="0.25">
      <c r="C5364" s="4"/>
      <c r="E5364" s="4"/>
    </row>
    <row r="5365" spans="3:5" x14ac:dyDescent="0.25">
      <c r="C5365" s="4"/>
      <c r="E5365" s="4"/>
    </row>
    <row r="5366" spans="3:5" x14ac:dyDescent="0.25">
      <c r="C5366" s="4"/>
      <c r="E5366" s="4"/>
    </row>
    <row r="5367" spans="3:5" x14ac:dyDescent="0.25">
      <c r="C5367" s="4"/>
      <c r="E5367" s="4"/>
    </row>
    <row r="5368" spans="3:5" x14ac:dyDescent="0.25">
      <c r="C5368" s="4"/>
      <c r="E5368" s="4"/>
    </row>
    <row r="5369" spans="3:5" x14ac:dyDescent="0.25">
      <c r="C5369" s="4"/>
      <c r="E5369" s="4"/>
    </row>
    <row r="5370" spans="3:5" x14ac:dyDescent="0.25">
      <c r="C5370" s="4"/>
      <c r="E5370" s="4"/>
    </row>
    <row r="5371" spans="3:5" x14ac:dyDescent="0.25">
      <c r="C5371" s="4"/>
      <c r="E5371" s="4"/>
    </row>
    <row r="5372" spans="3:5" x14ac:dyDescent="0.25">
      <c r="C5372" s="4"/>
      <c r="E5372" s="4"/>
    </row>
    <row r="5373" spans="3:5" x14ac:dyDescent="0.25">
      <c r="C5373" s="4"/>
      <c r="E5373" s="4"/>
    </row>
    <row r="5374" spans="3:5" x14ac:dyDescent="0.25">
      <c r="C5374" s="4"/>
      <c r="E5374" s="4"/>
    </row>
    <row r="5375" spans="3:5" x14ac:dyDescent="0.25">
      <c r="C5375" s="4"/>
      <c r="E5375" s="4"/>
    </row>
    <row r="5376" spans="3:5" x14ac:dyDescent="0.25">
      <c r="C5376" s="4"/>
      <c r="E5376" s="4"/>
    </row>
    <row r="5377" spans="3:5" x14ac:dyDescent="0.25">
      <c r="C5377" s="4"/>
      <c r="E5377" s="4"/>
    </row>
    <row r="5378" spans="3:5" x14ac:dyDescent="0.25">
      <c r="C5378" s="4"/>
      <c r="E5378" s="4"/>
    </row>
    <row r="5379" spans="3:5" x14ac:dyDescent="0.25">
      <c r="C5379" s="4"/>
      <c r="E5379" s="4"/>
    </row>
    <row r="5380" spans="3:5" x14ac:dyDescent="0.25">
      <c r="C5380" s="4"/>
      <c r="E5380" s="4"/>
    </row>
    <row r="5381" spans="3:5" x14ac:dyDescent="0.25">
      <c r="C5381" s="4"/>
      <c r="E5381" s="4"/>
    </row>
    <row r="5382" spans="3:5" x14ac:dyDescent="0.25">
      <c r="C5382" s="4"/>
      <c r="E5382" s="4"/>
    </row>
    <row r="5383" spans="3:5" x14ac:dyDescent="0.25">
      <c r="C5383" s="4"/>
      <c r="E5383" s="4"/>
    </row>
    <row r="5384" spans="3:5" x14ac:dyDescent="0.25">
      <c r="C5384" s="4"/>
      <c r="E5384" s="4"/>
    </row>
    <row r="5385" spans="3:5" x14ac:dyDescent="0.25">
      <c r="C5385" s="4"/>
      <c r="E5385" s="4"/>
    </row>
    <row r="5386" spans="3:5" x14ac:dyDescent="0.25">
      <c r="C5386" s="4"/>
      <c r="E5386" s="4"/>
    </row>
    <row r="5387" spans="3:5" x14ac:dyDescent="0.25">
      <c r="C5387" s="4"/>
      <c r="E5387" s="4"/>
    </row>
    <row r="5388" spans="3:5" x14ac:dyDescent="0.25">
      <c r="C5388" s="4"/>
      <c r="E5388" s="4"/>
    </row>
    <row r="5389" spans="3:5" x14ac:dyDescent="0.25">
      <c r="C5389" s="4"/>
      <c r="E5389" s="4"/>
    </row>
    <row r="5390" spans="3:5" x14ac:dyDescent="0.25">
      <c r="C5390" s="4"/>
      <c r="E5390" s="4"/>
    </row>
    <row r="5391" spans="3:5" x14ac:dyDescent="0.25">
      <c r="C5391" s="4"/>
      <c r="E5391" s="4"/>
    </row>
    <row r="5392" spans="3:5" x14ac:dyDescent="0.25">
      <c r="C5392" s="4"/>
      <c r="E5392" s="4"/>
    </row>
    <row r="5393" spans="3:5" x14ac:dyDescent="0.25">
      <c r="C5393" s="4"/>
      <c r="E5393" s="4"/>
    </row>
    <row r="5394" spans="3:5" x14ac:dyDescent="0.25">
      <c r="C5394" s="4"/>
      <c r="E5394" s="4"/>
    </row>
    <row r="5395" spans="3:5" x14ac:dyDescent="0.25">
      <c r="C5395" s="4"/>
      <c r="E5395" s="4"/>
    </row>
    <row r="5396" spans="3:5" x14ac:dyDescent="0.25">
      <c r="C5396" s="4"/>
      <c r="E5396" s="4"/>
    </row>
    <row r="5397" spans="3:5" x14ac:dyDescent="0.25">
      <c r="C5397" s="4"/>
      <c r="E5397" s="4"/>
    </row>
    <row r="5398" spans="3:5" x14ac:dyDescent="0.25">
      <c r="C5398" s="4"/>
      <c r="E5398" s="4"/>
    </row>
    <row r="5399" spans="3:5" x14ac:dyDescent="0.25">
      <c r="C5399" s="4"/>
      <c r="E5399" s="4"/>
    </row>
    <row r="5400" spans="3:5" x14ac:dyDescent="0.25">
      <c r="C5400" s="4"/>
      <c r="E5400" s="4"/>
    </row>
    <row r="5401" spans="3:5" x14ac:dyDescent="0.25">
      <c r="C5401" s="4"/>
      <c r="E5401" s="4"/>
    </row>
    <row r="5402" spans="3:5" x14ac:dyDescent="0.25">
      <c r="C5402" s="4"/>
      <c r="E5402" s="4"/>
    </row>
    <row r="5403" spans="3:5" x14ac:dyDescent="0.25">
      <c r="C5403" s="4"/>
      <c r="E5403" s="4"/>
    </row>
    <row r="5404" spans="3:5" x14ac:dyDescent="0.25">
      <c r="C5404" s="4"/>
      <c r="E5404" s="4"/>
    </row>
    <row r="5405" spans="3:5" x14ac:dyDescent="0.25">
      <c r="C5405" s="4"/>
      <c r="E5405" s="4"/>
    </row>
    <row r="5406" spans="3:5" x14ac:dyDescent="0.25">
      <c r="C5406" s="4"/>
      <c r="E5406" s="4"/>
    </row>
    <row r="5407" spans="3:5" x14ac:dyDescent="0.25">
      <c r="C5407" s="4"/>
      <c r="E5407" s="4"/>
    </row>
    <row r="5408" spans="3:5" x14ac:dyDescent="0.25">
      <c r="C5408" s="4"/>
      <c r="E5408" s="4"/>
    </row>
    <row r="5409" spans="3:5" x14ac:dyDescent="0.25">
      <c r="C5409" s="4"/>
      <c r="E5409" s="4"/>
    </row>
    <row r="5410" spans="3:5" x14ac:dyDescent="0.25">
      <c r="C5410" s="4"/>
      <c r="E5410" s="4"/>
    </row>
    <row r="5411" spans="3:5" x14ac:dyDescent="0.25">
      <c r="C5411" s="4"/>
      <c r="E5411" s="4"/>
    </row>
    <row r="5412" spans="3:5" x14ac:dyDescent="0.25">
      <c r="C5412" s="4"/>
      <c r="E5412" s="4"/>
    </row>
    <row r="5413" spans="3:5" x14ac:dyDescent="0.25">
      <c r="C5413" s="4"/>
      <c r="E5413" s="4"/>
    </row>
    <row r="5414" spans="3:5" x14ac:dyDescent="0.25">
      <c r="C5414" s="4"/>
      <c r="E5414" s="4"/>
    </row>
    <row r="5415" spans="3:5" x14ac:dyDescent="0.25">
      <c r="C5415" s="4"/>
      <c r="E5415" s="4"/>
    </row>
    <row r="5416" spans="3:5" x14ac:dyDescent="0.25">
      <c r="C5416" s="4"/>
      <c r="E5416" s="4"/>
    </row>
    <row r="5417" spans="3:5" x14ac:dyDescent="0.25">
      <c r="C5417" s="4"/>
      <c r="E5417" s="4"/>
    </row>
    <row r="5418" spans="3:5" x14ac:dyDescent="0.25">
      <c r="C5418" s="4"/>
      <c r="E5418" s="4"/>
    </row>
    <row r="5419" spans="3:5" x14ac:dyDescent="0.25">
      <c r="C5419" s="4"/>
      <c r="E5419" s="4"/>
    </row>
    <row r="5420" spans="3:5" x14ac:dyDescent="0.25">
      <c r="C5420" s="4"/>
      <c r="E5420" s="4"/>
    </row>
    <row r="5421" spans="3:5" x14ac:dyDescent="0.25">
      <c r="C5421" s="4"/>
      <c r="E5421" s="4"/>
    </row>
    <row r="5422" spans="3:5" x14ac:dyDescent="0.25">
      <c r="C5422" s="4"/>
      <c r="E5422" s="4"/>
    </row>
    <row r="5423" spans="3:5" x14ac:dyDescent="0.25">
      <c r="C5423" s="4"/>
      <c r="E5423" s="4"/>
    </row>
    <row r="5424" spans="3:5" x14ac:dyDescent="0.25">
      <c r="C5424" s="4"/>
      <c r="E5424" s="4"/>
    </row>
    <row r="5425" spans="3:5" x14ac:dyDescent="0.25">
      <c r="C5425" s="4"/>
      <c r="E5425" s="4"/>
    </row>
    <row r="5426" spans="3:5" x14ac:dyDescent="0.25">
      <c r="C5426" s="4"/>
      <c r="E5426" s="4"/>
    </row>
    <row r="5427" spans="3:5" x14ac:dyDescent="0.25">
      <c r="C5427" s="4"/>
      <c r="E5427" s="4"/>
    </row>
    <row r="5428" spans="3:5" x14ac:dyDescent="0.25">
      <c r="C5428" s="4"/>
      <c r="E5428" s="4"/>
    </row>
    <row r="5429" spans="3:5" x14ac:dyDescent="0.25">
      <c r="C5429" s="4"/>
      <c r="E5429" s="4"/>
    </row>
    <row r="5430" spans="3:5" x14ac:dyDescent="0.25">
      <c r="C5430" s="4"/>
      <c r="E5430" s="4"/>
    </row>
    <row r="5431" spans="3:5" x14ac:dyDescent="0.25">
      <c r="C5431" s="4"/>
      <c r="E5431" s="4"/>
    </row>
    <row r="5432" spans="3:5" x14ac:dyDescent="0.25">
      <c r="C5432" s="4"/>
      <c r="E5432" s="4"/>
    </row>
    <row r="5433" spans="3:5" x14ac:dyDescent="0.25">
      <c r="C5433" s="4"/>
      <c r="E5433" s="4"/>
    </row>
    <row r="5434" spans="3:5" x14ac:dyDescent="0.25">
      <c r="C5434" s="4"/>
      <c r="E5434" s="4"/>
    </row>
    <row r="5435" spans="3:5" x14ac:dyDescent="0.25">
      <c r="C5435" s="4"/>
      <c r="E5435" s="4"/>
    </row>
    <row r="5436" spans="3:5" x14ac:dyDescent="0.25">
      <c r="C5436" s="4"/>
      <c r="E5436" s="4"/>
    </row>
    <row r="5437" spans="3:5" x14ac:dyDescent="0.25">
      <c r="C5437" s="4"/>
      <c r="E5437" s="4"/>
    </row>
    <row r="5438" spans="3:5" x14ac:dyDescent="0.25">
      <c r="C5438" s="4"/>
      <c r="E5438" s="4"/>
    </row>
    <row r="5439" spans="3:5" x14ac:dyDescent="0.25">
      <c r="C5439" s="4"/>
      <c r="E5439" s="4"/>
    </row>
    <row r="5440" spans="3:5" x14ac:dyDescent="0.25">
      <c r="C5440" s="4"/>
      <c r="E5440" s="4"/>
    </row>
    <row r="5441" spans="3:5" x14ac:dyDescent="0.25">
      <c r="C5441" s="4"/>
      <c r="E5441" s="4"/>
    </row>
    <row r="5442" spans="3:5" x14ac:dyDescent="0.25">
      <c r="C5442" s="4"/>
      <c r="E5442" s="4"/>
    </row>
    <row r="5443" spans="3:5" x14ac:dyDescent="0.25">
      <c r="C5443" s="4"/>
      <c r="E5443" s="4"/>
    </row>
    <row r="5444" spans="3:5" x14ac:dyDescent="0.25">
      <c r="C5444" s="4"/>
      <c r="E5444" s="4"/>
    </row>
    <row r="5445" spans="3:5" x14ac:dyDescent="0.25">
      <c r="C5445" s="4"/>
      <c r="E5445" s="4"/>
    </row>
    <row r="5446" spans="3:5" x14ac:dyDescent="0.25">
      <c r="C5446" s="4"/>
      <c r="E5446" s="4"/>
    </row>
    <row r="5447" spans="3:5" x14ac:dyDescent="0.25">
      <c r="C5447" s="4"/>
      <c r="E5447" s="4"/>
    </row>
    <row r="5448" spans="3:5" x14ac:dyDescent="0.25">
      <c r="C5448" s="4"/>
      <c r="E5448" s="4"/>
    </row>
    <row r="5449" spans="3:5" x14ac:dyDescent="0.25">
      <c r="C5449" s="4"/>
      <c r="E5449" s="4"/>
    </row>
    <row r="5450" spans="3:5" x14ac:dyDescent="0.25">
      <c r="C5450" s="4"/>
      <c r="E5450" s="4"/>
    </row>
    <row r="5451" spans="3:5" x14ac:dyDescent="0.25">
      <c r="C5451" s="4"/>
      <c r="E5451" s="4"/>
    </row>
    <row r="5452" spans="3:5" x14ac:dyDescent="0.25">
      <c r="C5452" s="4"/>
      <c r="E5452" s="4"/>
    </row>
    <row r="5453" spans="3:5" x14ac:dyDescent="0.25">
      <c r="C5453" s="4"/>
      <c r="E5453" s="4"/>
    </row>
    <row r="5454" spans="3:5" x14ac:dyDescent="0.25">
      <c r="C5454" s="4"/>
      <c r="E5454" s="4"/>
    </row>
    <row r="5455" spans="3:5" x14ac:dyDescent="0.25">
      <c r="C5455" s="4"/>
      <c r="E5455" s="4"/>
    </row>
    <row r="5456" spans="3:5" x14ac:dyDescent="0.25">
      <c r="C5456" s="4"/>
      <c r="E5456" s="4"/>
    </row>
    <row r="5457" spans="3:5" x14ac:dyDescent="0.25">
      <c r="C5457" s="4"/>
      <c r="E5457" s="4"/>
    </row>
    <row r="5458" spans="3:5" x14ac:dyDescent="0.25">
      <c r="C5458" s="4"/>
      <c r="E5458" s="4"/>
    </row>
    <row r="5459" spans="3:5" x14ac:dyDescent="0.25">
      <c r="C5459" s="4"/>
      <c r="E5459" s="4"/>
    </row>
    <row r="5460" spans="3:5" x14ac:dyDescent="0.25">
      <c r="C5460" s="4"/>
      <c r="E5460" s="4"/>
    </row>
    <row r="5461" spans="3:5" x14ac:dyDescent="0.25">
      <c r="C5461" s="4"/>
      <c r="E5461" s="4"/>
    </row>
    <row r="5462" spans="3:5" x14ac:dyDescent="0.25">
      <c r="C5462" s="4"/>
      <c r="E5462" s="4"/>
    </row>
    <row r="5463" spans="3:5" x14ac:dyDescent="0.25">
      <c r="C5463" s="4"/>
      <c r="E5463" s="4"/>
    </row>
    <row r="5464" spans="3:5" x14ac:dyDescent="0.25">
      <c r="C5464" s="4"/>
      <c r="E5464" s="4"/>
    </row>
    <row r="5465" spans="3:5" x14ac:dyDescent="0.25">
      <c r="C5465" s="4"/>
      <c r="E5465" s="4"/>
    </row>
    <row r="5466" spans="3:5" x14ac:dyDescent="0.25">
      <c r="C5466" s="4"/>
      <c r="E5466" s="4"/>
    </row>
    <row r="5467" spans="3:5" x14ac:dyDescent="0.25">
      <c r="C5467" s="4"/>
      <c r="E5467" s="4"/>
    </row>
    <row r="5468" spans="3:5" x14ac:dyDescent="0.25">
      <c r="C5468" s="4"/>
      <c r="E5468" s="4"/>
    </row>
    <row r="5469" spans="3:5" x14ac:dyDescent="0.25">
      <c r="C5469" s="4"/>
      <c r="E5469" s="4"/>
    </row>
    <row r="5470" spans="3:5" x14ac:dyDescent="0.25">
      <c r="C5470" s="4"/>
      <c r="E5470" s="4"/>
    </row>
    <row r="5471" spans="3:5" x14ac:dyDescent="0.25">
      <c r="C5471" s="4"/>
      <c r="E5471" s="4"/>
    </row>
    <row r="5472" spans="3:5" x14ac:dyDescent="0.25">
      <c r="C5472" s="4"/>
      <c r="E5472" s="4"/>
    </row>
    <row r="5473" spans="3:5" x14ac:dyDescent="0.25">
      <c r="C5473" s="4"/>
      <c r="E5473" s="4"/>
    </row>
    <row r="5474" spans="3:5" x14ac:dyDescent="0.25">
      <c r="C5474" s="4"/>
      <c r="E5474" s="4"/>
    </row>
    <row r="5475" spans="3:5" x14ac:dyDescent="0.25">
      <c r="C5475" s="4"/>
      <c r="E5475" s="4"/>
    </row>
    <row r="5476" spans="3:5" x14ac:dyDescent="0.25">
      <c r="C5476" s="4"/>
      <c r="E5476" s="4"/>
    </row>
    <row r="5477" spans="3:5" x14ac:dyDescent="0.25">
      <c r="C5477" s="4"/>
      <c r="E5477" s="4"/>
    </row>
    <row r="5478" spans="3:5" x14ac:dyDescent="0.25">
      <c r="C5478" s="4"/>
      <c r="E5478" s="4"/>
    </row>
    <row r="5479" spans="3:5" x14ac:dyDescent="0.25">
      <c r="C5479" s="4"/>
      <c r="E5479" s="4"/>
    </row>
    <row r="5480" spans="3:5" x14ac:dyDescent="0.25">
      <c r="C5480" s="4"/>
      <c r="E5480" s="4"/>
    </row>
    <row r="5481" spans="3:5" x14ac:dyDescent="0.25">
      <c r="C5481" s="4"/>
      <c r="E5481" s="4"/>
    </row>
    <row r="5482" spans="3:5" x14ac:dyDescent="0.25">
      <c r="C5482" s="4"/>
      <c r="E5482" s="4"/>
    </row>
    <row r="5483" spans="3:5" x14ac:dyDescent="0.25">
      <c r="C5483" s="4"/>
      <c r="E5483" s="4"/>
    </row>
    <row r="5484" spans="3:5" x14ac:dyDescent="0.25">
      <c r="C5484" s="4"/>
      <c r="E5484" s="4"/>
    </row>
    <row r="5485" spans="3:5" x14ac:dyDescent="0.25">
      <c r="C5485" s="4"/>
      <c r="E5485" s="4"/>
    </row>
    <row r="5486" spans="3:5" x14ac:dyDescent="0.25">
      <c r="C5486" s="4"/>
      <c r="E5486" s="4"/>
    </row>
    <row r="5487" spans="3:5" x14ac:dyDescent="0.25">
      <c r="C5487" s="4"/>
      <c r="E5487" s="4"/>
    </row>
    <row r="5488" spans="3:5" x14ac:dyDescent="0.25">
      <c r="C5488" s="4"/>
      <c r="E5488" s="4"/>
    </row>
    <row r="5489" spans="3:5" x14ac:dyDescent="0.25">
      <c r="C5489" s="4"/>
      <c r="E5489" s="4"/>
    </row>
    <row r="5490" spans="3:5" x14ac:dyDescent="0.25">
      <c r="C5490" s="4"/>
      <c r="E5490" s="4"/>
    </row>
    <row r="5491" spans="3:5" x14ac:dyDescent="0.25">
      <c r="C5491" s="4"/>
      <c r="E5491" s="4"/>
    </row>
    <row r="5492" spans="3:5" x14ac:dyDescent="0.25">
      <c r="C5492" s="4"/>
      <c r="E5492" s="4"/>
    </row>
    <row r="5493" spans="3:5" x14ac:dyDescent="0.25">
      <c r="C5493" s="4"/>
      <c r="E5493" s="4"/>
    </row>
    <row r="5494" spans="3:5" x14ac:dyDescent="0.25">
      <c r="C5494" s="4"/>
      <c r="E5494" s="4"/>
    </row>
    <row r="5495" spans="3:5" x14ac:dyDescent="0.25">
      <c r="C5495" s="4"/>
      <c r="E5495" s="4"/>
    </row>
    <row r="5496" spans="3:5" x14ac:dyDescent="0.25">
      <c r="C5496" s="4"/>
      <c r="E5496" s="4"/>
    </row>
    <row r="5497" spans="3:5" x14ac:dyDescent="0.25">
      <c r="C5497" s="4"/>
      <c r="E5497" s="4"/>
    </row>
    <row r="5498" spans="3:5" x14ac:dyDescent="0.25">
      <c r="C5498" s="4"/>
      <c r="E5498" s="4"/>
    </row>
    <row r="5499" spans="3:5" x14ac:dyDescent="0.25">
      <c r="C5499" s="4"/>
      <c r="E5499" s="4"/>
    </row>
    <row r="5500" spans="3:5" x14ac:dyDescent="0.25">
      <c r="C5500" s="4"/>
      <c r="E5500" s="4"/>
    </row>
    <row r="5501" spans="3:5" x14ac:dyDescent="0.25">
      <c r="C5501" s="4"/>
      <c r="E5501" s="4"/>
    </row>
    <row r="5502" spans="3:5" x14ac:dyDescent="0.25">
      <c r="C5502" s="4"/>
      <c r="E5502" s="4"/>
    </row>
    <row r="5503" spans="3:5" x14ac:dyDescent="0.25">
      <c r="C5503" s="4"/>
      <c r="E5503" s="4"/>
    </row>
    <row r="5504" spans="3:5" x14ac:dyDescent="0.25">
      <c r="C5504" s="4"/>
      <c r="E5504" s="4"/>
    </row>
    <row r="5505" spans="3:5" x14ac:dyDescent="0.25">
      <c r="C5505" s="4"/>
      <c r="E5505" s="4"/>
    </row>
    <row r="5506" spans="3:5" x14ac:dyDescent="0.25">
      <c r="C5506" s="4"/>
      <c r="E5506" s="4"/>
    </row>
    <row r="5507" spans="3:5" x14ac:dyDescent="0.25">
      <c r="C5507" s="4"/>
      <c r="E5507" s="4"/>
    </row>
    <row r="5508" spans="3:5" x14ac:dyDescent="0.25">
      <c r="C5508" s="4"/>
      <c r="E5508" s="4"/>
    </row>
    <row r="5509" spans="3:5" x14ac:dyDescent="0.25">
      <c r="C5509" s="4"/>
      <c r="E5509" s="4"/>
    </row>
    <row r="5510" spans="3:5" x14ac:dyDescent="0.25">
      <c r="C5510" s="4"/>
      <c r="E5510" s="4"/>
    </row>
    <row r="5511" spans="3:5" x14ac:dyDescent="0.25">
      <c r="C5511" s="4"/>
      <c r="E5511" s="4"/>
    </row>
    <row r="5512" spans="3:5" x14ac:dyDescent="0.25">
      <c r="C5512" s="4"/>
      <c r="E5512" s="4"/>
    </row>
    <row r="5513" spans="3:5" x14ac:dyDescent="0.25">
      <c r="C5513" s="4"/>
      <c r="E5513" s="4"/>
    </row>
    <row r="5514" spans="3:5" x14ac:dyDescent="0.25">
      <c r="C5514" s="4"/>
      <c r="E5514" s="4"/>
    </row>
    <row r="5515" spans="3:5" x14ac:dyDescent="0.25">
      <c r="C5515" s="4"/>
      <c r="E5515" s="4"/>
    </row>
    <row r="5516" spans="3:5" x14ac:dyDescent="0.25">
      <c r="C5516" s="4"/>
      <c r="E5516" s="4"/>
    </row>
    <row r="5517" spans="3:5" x14ac:dyDescent="0.25">
      <c r="C5517" s="4"/>
      <c r="E5517" s="4"/>
    </row>
    <row r="5518" spans="3:5" x14ac:dyDescent="0.25">
      <c r="C5518" s="4"/>
      <c r="E5518" s="4"/>
    </row>
    <row r="5519" spans="3:5" x14ac:dyDescent="0.25">
      <c r="C5519" s="4"/>
      <c r="E5519" s="4"/>
    </row>
    <row r="5520" spans="3:5" x14ac:dyDescent="0.25">
      <c r="C5520" s="4"/>
      <c r="E5520" s="4"/>
    </row>
    <row r="5521" spans="3:5" x14ac:dyDescent="0.25">
      <c r="C5521" s="4"/>
      <c r="E5521" s="4"/>
    </row>
    <row r="5522" spans="3:5" x14ac:dyDescent="0.25">
      <c r="C5522" s="4"/>
      <c r="E5522" s="4"/>
    </row>
    <row r="5523" spans="3:5" x14ac:dyDescent="0.25">
      <c r="C5523" s="4"/>
      <c r="E5523" s="4"/>
    </row>
    <row r="5524" spans="3:5" x14ac:dyDescent="0.25">
      <c r="C5524" s="4"/>
      <c r="E5524" s="4"/>
    </row>
    <row r="5525" spans="3:5" x14ac:dyDescent="0.25">
      <c r="C5525" s="4"/>
      <c r="E5525" s="4"/>
    </row>
    <row r="5526" spans="3:5" x14ac:dyDescent="0.25">
      <c r="C5526" s="4"/>
      <c r="E5526" s="4"/>
    </row>
    <row r="5527" spans="3:5" x14ac:dyDescent="0.25">
      <c r="C5527" s="4"/>
      <c r="E5527" s="4"/>
    </row>
    <row r="5528" spans="3:5" x14ac:dyDescent="0.25">
      <c r="C5528" s="4"/>
      <c r="E5528" s="4"/>
    </row>
    <row r="5529" spans="3:5" x14ac:dyDescent="0.25">
      <c r="C5529" s="4"/>
      <c r="E5529" s="4"/>
    </row>
    <row r="5530" spans="3:5" x14ac:dyDescent="0.25">
      <c r="C5530" s="4"/>
      <c r="E5530" s="4"/>
    </row>
    <row r="5531" spans="3:5" x14ac:dyDescent="0.25">
      <c r="C5531" s="4"/>
      <c r="E5531" s="4"/>
    </row>
    <row r="5532" spans="3:5" x14ac:dyDescent="0.25">
      <c r="C5532" s="4"/>
      <c r="E5532" s="4"/>
    </row>
    <row r="5533" spans="3:5" x14ac:dyDescent="0.25">
      <c r="C5533" s="4"/>
      <c r="E5533" s="4"/>
    </row>
    <row r="5534" spans="3:5" x14ac:dyDescent="0.25">
      <c r="C5534" s="4"/>
      <c r="E5534" s="4"/>
    </row>
    <row r="5535" spans="3:5" x14ac:dyDescent="0.25">
      <c r="C5535" s="4"/>
      <c r="E5535" s="4"/>
    </row>
    <row r="5536" spans="3:5" x14ac:dyDescent="0.25">
      <c r="C5536" s="4"/>
      <c r="E5536" s="4"/>
    </row>
    <row r="5537" spans="3:5" x14ac:dyDescent="0.25">
      <c r="C5537" s="4"/>
      <c r="E5537" s="4"/>
    </row>
    <row r="5538" spans="3:5" x14ac:dyDescent="0.25">
      <c r="C5538" s="4"/>
      <c r="E5538" s="4"/>
    </row>
    <row r="5539" spans="3:5" x14ac:dyDescent="0.25">
      <c r="C5539" s="4"/>
      <c r="E5539" s="4"/>
    </row>
    <row r="5540" spans="3:5" x14ac:dyDescent="0.25">
      <c r="C5540" s="4"/>
      <c r="E5540" s="4"/>
    </row>
    <row r="5541" spans="3:5" x14ac:dyDescent="0.25">
      <c r="C5541" s="4"/>
      <c r="E5541" s="4"/>
    </row>
    <row r="5542" spans="3:5" x14ac:dyDescent="0.25">
      <c r="C5542" s="4"/>
      <c r="E5542" s="4"/>
    </row>
    <row r="5543" spans="3:5" x14ac:dyDescent="0.25">
      <c r="C5543" s="4"/>
      <c r="E5543" s="4"/>
    </row>
    <row r="5544" spans="3:5" x14ac:dyDescent="0.25">
      <c r="C5544" s="4"/>
      <c r="E5544" s="4"/>
    </row>
    <row r="5545" spans="3:5" x14ac:dyDescent="0.25">
      <c r="C5545" s="4"/>
      <c r="E5545" s="4"/>
    </row>
    <row r="5546" spans="3:5" x14ac:dyDescent="0.25">
      <c r="C5546" s="4"/>
      <c r="E5546" s="4"/>
    </row>
    <row r="5547" spans="3:5" x14ac:dyDescent="0.25">
      <c r="C5547" s="4"/>
      <c r="E5547" s="4"/>
    </row>
    <row r="5548" spans="3:5" x14ac:dyDescent="0.25">
      <c r="C5548" s="4"/>
      <c r="E5548" s="4"/>
    </row>
    <row r="5549" spans="3:5" x14ac:dyDescent="0.25">
      <c r="C5549" s="4"/>
      <c r="E5549" s="4"/>
    </row>
    <row r="5550" spans="3:5" x14ac:dyDescent="0.25">
      <c r="C5550" s="4"/>
      <c r="E5550" s="4"/>
    </row>
    <row r="5551" spans="3:5" x14ac:dyDescent="0.25">
      <c r="C5551" s="4"/>
      <c r="E5551" s="4"/>
    </row>
    <row r="5552" spans="3:5" x14ac:dyDescent="0.25">
      <c r="C5552" s="4"/>
      <c r="E5552" s="4"/>
    </row>
    <row r="5553" spans="3:5" x14ac:dyDescent="0.25">
      <c r="C5553" s="4"/>
      <c r="E5553" s="4"/>
    </row>
    <row r="5554" spans="3:5" x14ac:dyDescent="0.25">
      <c r="C5554" s="4"/>
      <c r="E5554" s="4"/>
    </row>
    <row r="5555" spans="3:5" x14ac:dyDescent="0.25">
      <c r="C5555" s="4"/>
      <c r="E5555" s="4"/>
    </row>
    <row r="5556" spans="3:5" x14ac:dyDescent="0.25">
      <c r="C5556" s="4"/>
      <c r="E5556" s="4"/>
    </row>
    <row r="5557" spans="3:5" x14ac:dyDescent="0.25">
      <c r="C5557" s="4"/>
      <c r="E5557" s="4"/>
    </row>
    <row r="5558" spans="3:5" x14ac:dyDescent="0.25">
      <c r="C5558" s="4"/>
      <c r="E5558" s="4"/>
    </row>
    <row r="5559" spans="3:5" x14ac:dyDescent="0.25">
      <c r="C5559" s="4"/>
      <c r="E5559" s="4"/>
    </row>
    <row r="5560" spans="3:5" x14ac:dyDescent="0.25">
      <c r="C5560" s="4"/>
      <c r="E5560" s="4"/>
    </row>
    <row r="5561" spans="3:5" x14ac:dyDescent="0.25">
      <c r="C5561" s="4"/>
      <c r="E5561" s="4"/>
    </row>
    <row r="5562" spans="3:5" x14ac:dyDescent="0.25">
      <c r="C5562" s="4"/>
      <c r="E5562" s="4"/>
    </row>
    <row r="5563" spans="3:5" x14ac:dyDescent="0.25">
      <c r="C5563" s="4"/>
      <c r="E5563" s="4"/>
    </row>
    <row r="5564" spans="3:5" x14ac:dyDescent="0.25">
      <c r="C5564" s="4"/>
      <c r="E5564" s="4"/>
    </row>
    <row r="5565" spans="3:5" x14ac:dyDescent="0.25">
      <c r="C5565" s="4"/>
      <c r="E5565" s="4"/>
    </row>
    <row r="5566" spans="3:5" x14ac:dyDescent="0.25">
      <c r="C5566" s="4"/>
      <c r="E5566" s="4"/>
    </row>
    <row r="5567" spans="3:5" x14ac:dyDescent="0.25">
      <c r="C5567" s="4"/>
      <c r="E5567" s="4"/>
    </row>
    <row r="5568" spans="3:5" x14ac:dyDescent="0.25">
      <c r="C5568" s="4"/>
      <c r="E5568" s="4"/>
    </row>
    <row r="5569" spans="3:5" x14ac:dyDescent="0.25">
      <c r="C5569" s="4"/>
      <c r="E5569" s="4"/>
    </row>
    <row r="5570" spans="3:5" x14ac:dyDescent="0.25">
      <c r="C5570" s="4"/>
      <c r="E5570" s="4"/>
    </row>
    <row r="5571" spans="3:5" x14ac:dyDescent="0.25">
      <c r="C5571" s="4"/>
      <c r="E5571" s="4"/>
    </row>
    <row r="5572" spans="3:5" x14ac:dyDescent="0.25">
      <c r="C5572" s="4"/>
      <c r="E5572" s="4"/>
    </row>
    <row r="5573" spans="3:5" x14ac:dyDescent="0.25">
      <c r="C5573" s="4"/>
      <c r="E5573" s="4"/>
    </row>
    <row r="5574" spans="3:5" x14ac:dyDescent="0.25">
      <c r="C5574" s="4"/>
      <c r="E5574" s="4"/>
    </row>
    <row r="5575" spans="3:5" x14ac:dyDescent="0.25">
      <c r="C5575" s="4"/>
      <c r="E5575" s="4"/>
    </row>
    <row r="5576" spans="3:5" x14ac:dyDescent="0.25">
      <c r="C5576" s="4"/>
      <c r="E5576" s="4"/>
    </row>
    <row r="5577" spans="3:5" x14ac:dyDescent="0.25">
      <c r="C5577" s="4"/>
      <c r="E5577" s="4"/>
    </row>
    <row r="5578" spans="3:5" x14ac:dyDescent="0.25">
      <c r="C5578" s="4"/>
      <c r="E5578" s="4"/>
    </row>
    <row r="5579" spans="3:5" x14ac:dyDescent="0.25">
      <c r="C5579" s="4"/>
      <c r="E5579" s="4"/>
    </row>
    <row r="5580" spans="3:5" x14ac:dyDescent="0.25">
      <c r="C5580" s="4"/>
      <c r="E5580" s="4"/>
    </row>
    <row r="5581" spans="3:5" x14ac:dyDescent="0.25">
      <c r="C5581" s="4"/>
      <c r="E5581" s="4"/>
    </row>
    <row r="5582" spans="3:5" x14ac:dyDescent="0.25">
      <c r="C5582" s="4"/>
      <c r="E5582" s="4"/>
    </row>
    <row r="5583" spans="3:5" x14ac:dyDescent="0.25">
      <c r="C5583" s="4"/>
      <c r="E5583" s="4"/>
    </row>
    <row r="5584" spans="3:5" x14ac:dyDescent="0.25">
      <c r="C5584" s="4"/>
      <c r="E5584" s="4"/>
    </row>
    <row r="5585" spans="3:5" x14ac:dyDescent="0.25">
      <c r="C5585" s="4"/>
      <c r="E5585" s="4"/>
    </row>
    <row r="5586" spans="3:5" x14ac:dyDescent="0.25">
      <c r="C5586" s="4"/>
      <c r="E5586" s="4"/>
    </row>
    <row r="5587" spans="3:5" x14ac:dyDescent="0.25">
      <c r="C5587" s="4"/>
      <c r="E5587" s="4"/>
    </row>
    <row r="5588" spans="3:5" x14ac:dyDescent="0.25">
      <c r="C5588" s="4"/>
      <c r="E5588" s="4"/>
    </row>
    <row r="5589" spans="3:5" x14ac:dyDescent="0.25">
      <c r="C5589" s="4"/>
      <c r="E5589" s="4"/>
    </row>
    <row r="5590" spans="3:5" x14ac:dyDescent="0.25">
      <c r="C5590" s="4"/>
      <c r="E5590" s="4"/>
    </row>
    <row r="5591" spans="3:5" x14ac:dyDescent="0.25">
      <c r="C5591" s="4"/>
      <c r="E5591" s="4"/>
    </row>
    <row r="5592" spans="3:5" x14ac:dyDescent="0.25">
      <c r="C5592" s="4"/>
      <c r="E5592" s="4"/>
    </row>
    <row r="5593" spans="3:5" x14ac:dyDescent="0.25">
      <c r="C5593" s="4"/>
      <c r="E5593" s="4"/>
    </row>
    <row r="5594" spans="3:5" x14ac:dyDescent="0.25">
      <c r="C5594" s="4"/>
      <c r="E5594" s="4"/>
    </row>
    <row r="5595" spans="3:5" x14ac:dyDescent="0.25">
      <c r="C5595" s="4"/>
      <c r="E5595" s="4"/>
    </row>
    <row r="5596" spans="3:5" x14ac:dyDescent="0.25">
      <c r="C5596" s="4"/>
      <c r="E5596" s="4"/>
    </row>
    <row r="5597" spans="3:5" x14ac:dyDescent="0.25">
      <c r="C5597" s="4"/>
      <c r="E5597" s="4"/>
    </row>
    <row r="5598" spans="3:5" x14ac:dyDescent="0.25">
      <c r="C5598" s="4"/>
      <c r="E5598" s="4"/>
    </row>
    <row r="5599" spans="3:5" x14ac:dyDescent="0.25">
      <c r="C5599" s="4"/>
      <c r="E5599" s="4"/>
    </row>
    <row r="5600" spans="3:5" x14ac:dyDescent="0.25">
      <c r="C5600" s="4"/>
      <c r="E5600" s="4"/>
    </row>
    <row r="5601" spans="3:5" x14ac:dyDescent="0.25">
      <c r="C5601" s="4"/>
      <c r="E5601" s="4"/>
    </row>
    <row r="5602" spans="3:5" x14ac:dyDescent="0.25">
      <c r="C5602" s="4"/>
      <c r="E5602" s="4"/>
    </row>
    <row r="5603" spans="3:5" x14ac:dyDescent="0.25">
      <c r="C5603" s="4"/>
      <c r="E5603" s="4"/>
    </row>
    <row r="5604" spans="3:5" x14ac:dyDescent="0.25">
      <c r="C5604" s="4"/>
      <c r="E5604" s="4"/>
    </row>
    <row r="5605" spans="3:5" x14ac:dyDescent="0.25">
      <c r="C5605" s="4"/>
      <c r="E5605" s="4"/>
    </row>
    <row r="5606" spans="3:5" x14ac:dyDescent="0.25">
      <c r="C5606" s="4"/>
      <c r="E5606" s="4"/>
    </row>
    <row r="5607" spans="3:5" x14ac:dyDescent="0.25">
      <c r="C5607" s="4"/>
      <c r="E5607" s="4"/>
    </row>
    <row r="5608" spans="3:5" x14ac:dyDescent="0.25">
      <c r="C5608" s="4"/>
      <c r="E5608" s="4"/>
    </row>
    <row r="5609" spans="3:5" x14ac:dyDescent="0.25">
      <c r="C5609" s="4"/>
      <c r="E5609" s="4"/>
    </row>
    <row r="5610" spans="3:5" x14ac:dyDescent="0.25">
      <c r="C5610" s="4"/>
      <c r="E5610" s="4"/>
    </row>
    <row r="5611" spans="3:5" x14ac:dyDescent="0.25">
      <c r="C5611" s="4"/>
      <c r="E5611" s="4"/>
    </row>
    <row r="5612" spans="3:5" x14ac:dyDescent="0.25">
      <c r="C5612" s="4"/>
      <c r="E5612" s="4"/>
    </row>
    <row r="5613" spans="3:5" x14ac:dyDescent="0.25">
      <c r="C5613" s="4"/>
      <c r="E5613" s="4"/>
    </row>
    <row r="5614" spans="3:5" x14ac:dyDescent="0.25">
      <c r="C5614" s="4"/>
      <c r="E5614" s="4"/>
    </row>
    <row r="5615" spans="3:5" x14ac:dyDescent="0.25">
      <c r="C5615" s="4"/>
      <c r="E5615" s="4"/>
    </row>
    <row r="5616" spans="3:5" x14ac:dyDescent="0.25">
      <c r="C5616" s="4"/>
      <c r="E5616" s="4"/>
    </row>
    <row r="5617" spans="3:5" x14ac:dyDescent="0.25">
      <c r="C5617" s="4"/>
      <c r="E5617" s="4"/>
    </row>
    <row r="5618" spans="3:5" x14ac:dyDescent="0.25">
      <c r="C5618" s="4"/>
      <c r="E5618" s="4"/>
    </row>
    <row r="5619" spans="3:5" x14ac:dyDescent="0.25">
      <c r="C5619" s="4"/>
      <c r="E5619" s="4"/>
    </row>
    <row r="5620" spans="3:5" x14ac:dyDescent="0.25">
      <c r="C5620" s="4"/>
      <c r="E5620" s="4"/>
    </row>
    <row r="5621" spans="3:5" x14ac:dyDescent="0.25">
      <c r="C5621" s="4"/>
      <c r="E5621" s="4"/>
    </row>
    <row r="5622" spans="3:5" x14ac:dyDescent="0.25">
      <c r="C5622" s="4"/>
      <c r="E5622" s="4"/>
    </row>
    <row r="5623" spans="3:5" x14ac:dyDescent="0.25">
      <c r="C5623" s="4"/>
      <c r="E5623" s="4"/>
    </row>
    <row r="5624" spans="3:5" x14ac:dyDescent="0.25">
      <c r="C5624" s="4"/>
      <c r="E5624" s="4"/>
    </row>
    <row r="5625" spans="3:5" x14ac:dyDescent="0.25">
      <c r="C5625" s="4"/>
      <c r="E5625" s="4"/>
    </row>
    <row r="5626" spans="3:5" x14ac:dyDescent="0.25">
      <c r="C5626" s="4"/>
      <c r="E5626" s="4"/>
    </row>
    <row r="5627" spans="3:5" x14ac:dyDescent="0.25">
      <c r="C5627" s="4"/>
      <c r="E5627" s="4"/>
    </row>
    <row r="5628" spans="3:5" x14ac:dyDescent="0.25">
      <c r="C5628" s="4"/>
      <c r="E5628" s="4"/>
    </row>
    <row r="5629" spans="3:5" x14ac:dyDescent="0.25">
      <c r="C5629" s="4"/>
      <c r="E5629" s="4"/>
    </row>
    <row r="5630" spans="3:5" x14ac:dyDescent="0.25">
      <c r="C5630" s="4"/>
      <c r="E5630" s="4"/>
    </row>
    <row r="5631" spans="3:5" x14ac:dyDescent="0.25">
      <c r="C5631" s="4"/>
      <c r="E5631" s="4"/>
    </row>
    <row r="5632" spans="3:5" x14ac:dyDescent="0.25">
      <c r="C5632" s="4"/>
      <c r="E5632" s="4"/>
    </row>
    <row r="5633" spans="3:5" x14ac:dyDescent="0.25">
      <c r="C5633" s="4"/>
      <c r="E5633" s="4"/>
    </row>
    <row r="5634" spans="3:5" x14ac:dyDescent="0.25">
      <c r="C5634" s="4"/>
      <c r="E5634" s="4"/>
    </row>
    <row r="5635" spans="3:5" x14ac:dyDescent="0.25">
      <c r="C5635" s="4"/>
      <c r="E5635" s="4"/>
    </row>
    <row r="5636" spans="3:5" x14ac:dyDescent="0.25">
      <c r="C5636" s="4"/>
      <c r="E5636" s="4"/>
    </row>
    <row r="5637" spans="3:5" x14ac:dyDescent="0.25">
      <c r="C5637" s="4"/>
      <c r="E5637" s="4"/>
    </row>
    <row r="5638" spans="3:5" x14ac:dyDescent="0.25">
      <c r="C5638" s="4"/>
      <c r="E5638" s="4"/>
    </row>
    <row r="5639" spans="3:5" x14ac:dyDescent="0.25">
      <c r="C5639" s="4"/>
      <c r="E5639" s="4"/>
    </row>
    <row r="5640" spans="3:5" x14ac:dyDescent="0.25">
      <c r="C5640" s="4"/>
      <c r="E5640" s="4"/>
    </row>
    <row r="5641" spans="3:5" x14ac:dyDescent="0.25">
      <c r="C5641" s="4"/>
      <c r="E5641" s="4"/>
    </row>
    <row r="5642" spans="3:5" x14ac:dyDescent="0.25">
      <c r="C5642" s="4"/>
      <c r="E5642" s="4"/>
    </row>
    <row r="5643" spans="3:5" x14ac:dyDescent="0.25">
      <c r="C5643" s="4"/>
      <c r="E5643" s="4"/>
    </row>
    <row r="5644" spans="3:5" x14ac:dyDescent="0.25">
      <c r="C5644" s="4"/>
      <c r="E5644" s="4"/>
    </row>
    <row r="5645" spans="3:5" x14ac:dyDescent="0.25">
      <c r="C5645" s="4"/>
      <c r="E5645" s="4"/>
    </row>
    <row r="5646" spans="3:5" x14ac:dyDescent="0.25">
      <c r="C5646" s="4"/>
      <c r="E5646" s="4"/>
    </row>
    <row r="5647" spans="3:5" x14ac:dyDescent="0.25">
      <c r="C5647" s="4"/>
      <c r="E5647" s="4"/>
    </row>
    <row r="5648" spans="3:5" x14ac:dyDescent="0.25">
      <c r="C5648" s="4"/>
      <c r="E5648" s="4"/>
    </row>
    <row r="5649" spans="3:5" x14ac:dyDescent="0.25">
      <c r="C5649" s="4"/>
      <c r="E5649" s="4"/>
    </row>
    <row r="5650" spans="3:5" x14ac:dyDescent="0.25">
      <c r="C5650" s="4"/>
      <c r="E5650" s="4"/>
    </row>
    <row r="5651" spans="3:5" x14ac:dyDescent="0.25">
      <c r="C5651" s="4"/>
      <c r="E5651" s="4"/>
    </row>
    <row r="5652" spans="3:5" x14ac:dyDescent="0.25">
      <c r="C5652" s="4"/>
      <c r="E5652" s="4"/>
    </row>
    <row r="5653" spans="3:5" x14ac:dyDescent="0.25">
      <c r="C5653" s="4"/>
      <c r="E5653" s="4"/>
    </row>
    <row r="5654" spans="3:5" x14ac:dyDescent="0.25">
      <c r="C5654" s="4"/>
      <c r="E5654" s="4"/>
    </row>
    <row r="5655" spans="3:5" x14ac:dyDescent="0.25">
      <c r="C5655" s="4"/>
      <c r="E5655" s="4"/>
    </row>
    <row r="5656" spans="3:5" x14ac:dyDescent="0.25">
      <c r="C5656" s="4"/>
      <c r="E5656" s="4"/>
    </row>
    <row r="5657" spans="3:5" x14ac:dyDescent="0.25">
      <c r="C5657" s="4"/>
      <c r="E5657" s="4"/>
    </row>
    <row r="5658" spans="3:5" x14ac:dyDescent="0.25">
      <c r="C5658" s="4"/>
      <c r="E5658" s="4"/>
    </row>
    <row r="5659" spans="3:5" x14ac:dyDescent="0.25">
      <c r="C5659" s="4"/>
      <c r="E5659" s="4"/>
    </row>
    <row r="5660" spans="3:5" x14ac:dyDescent="0.25">
      <c r="C5660" s="4"/>
      <c r="E5660" s="4"/>
    </row>
    <row r="5661" spans="3:5" x14ac:dyDescent="0.25">
      <c r="C5661" s="4"/>
      <c r="E5661" s="4"/>
    </row>
    <row r="5662" spans="3:5" x14ac:dyDescent="0.25">
      <c r="C5662" s="4"/>
      <c r="E5662" s="4"/>
    </row>
    <row r="5663" spans="3:5" x14ac:dyDescent="0.25">
      <c r="C5663" s="4"/>
      <c r="E5663" s="4"/>
    </row>
    <row r="5664" spans="3:5" x14ac:dyDescent="0.25">
      <c r="C5664" s="4"/>
      <c r="E5664" s="4"/>
    </row>
    <row r="5665" spans="3:5" x14ac:dyDescent="0.25">
      <c r="C5665" s="4"/>
      <c r="E5665" s="4"/>
    </row>
    <row r="5666" spans="3:5" x14ac:dyDescent="0.25">
      <c r="C5666" s="4"/>
      <c r="E5666" s="4"/>
    </row>
    <row r="5667" spans="3:5" x14ac:dyDescent="0.25">
      <c r="C5667" s="4"/>
      <c r="E5667" s="4"/>
    </row>
    <row r="5668" spans="3:5" x14ac:dyDescent="0.25">
      <c r="C5668" s="4"/>
      <c r="E5668" s="4"/>
    </row>
    <row r="5669" spans="3:5" x14ac:dyDescent="0.25">
      <c r="C5669" s="4"/>
      <c r="E5669" s="4"/>
    </row>
    <row r="5670" spans="3:5" x14ac:dyDescent="0.25">
      <c r="C5670" s="4"/>
      <c r="E5670" s="4"/>
    </row>
    <row r="5671" spans="3:5" x14ac:dyDescent="0.25">
      <c r="C5671" s="4"/>
      <c r="E5671" s="4"/>
    </row>
    <row r="5672" spans="3:5" x14ac:dyDescent="0.25">
      <c r="C5672" s="4"/>
      <c r="E5672" s="4"/>
    </row>
    <row r="5673" spans="3:5" x14ac:dyDescent="0.25">
      <c r="C5673" s="4"/>
      <c r="E5673" s="4"/>
    </row>
    <row r="5674" spans="3:5" x14ac:dyDescent="0.25">
      <c r="C5674" s="4"/>
      <c r="E5674" s="4"/>
    </row>
    <row r="5675" spans="3:5" x14ac:dyDescent="0.25">
      <c r="C5675" s="4"/>
      <c r="E5675" s="4"/>
    </row>
    <row r="5676" spans="3:5" x14ac:dyDescent="0.25">
      <c r="C5676" s="4"/>
      <c r="E5676" s="4"/>
    </row>
    <row r="5677" spans="3:5" x14ac:dyDescent="0.25">
      <c r="C5677" s="4"/>
      <c r="E5677" s="4"/>
    </row>
    <row r="5678" spans="3:5" x14ac:dyDescent="0.25">
      <c r="C5678" s="4"/>
      <c r="E5678" s="4"/>
    </row>
    <row r="5679" spans="3:5" x14ac:dyDescent="0.25">
      <c r="C5679" s="4"/>
      <c r="E5679" s="4"/>
    </row>
    <row r="5680" spans="3:5" x14ac:dyDescent="0.25">
      <c r="C5680" s="4"/>
      <c r="E5680" s="4"/>
    </row>
    <row r="5681" spans="3:5" x14ac:dyDescent="0.25">
      <c r="C5681" s="4"/>
      <c r="E5681" s="4"/>
    </row>
    <row r="5682" spans="3:5" x14ac:dyDescent="0.25">
      <c r="C5682" s="4"/>
      <c r="E5682" s="4"/>
    </row>
    <row r="5683" spans="3:5" x14ac:dyDescent="0.25">
      <c r="C5683" s="4"/>
      <c r="E5683" s="4"/>
    </row>
    <row r="5684" spans="3:5" x14ac:dyDescent="0.25">
      <c r="C5684" s="4"/>
      <c r="E5684" s="4"/>
    </row>
    <row r="5685" spans="3:5" x14ac:dyDescent="0.25">
      <c r="C5685" s="4"/>
      <c r="E5685" s="4"/>
    </row>
    <row r="5686" spans="3:5" x14ac:dyDescent="0.25">
      <c r="C5686" s="4"/>
      <c r="E5686" s="4"/>
    </row>
    <row r="5687" spans="3:5" x14ac:dyDescent="0.25">
      <c r="C5687" s="4"/>
      <c r="E5687" s="4"/>
    </row>
    <row r="5688" spans="3:5" x14ac:dyDescent="0.25">
      <c r="C5688" s="4"/>
      <c r="E5688" s="4"/>
    </row>
    <row r="5689" spans="3:5" x14ac:dyDescent="0.25">
      <c r="C5689" s="4"/>
      <c r="E5689" s="4"/>
    </row>
    <row r="5690" spans="3:5" x14ac:dyDescent="0.25">
      <c r="C5690" s="4"/>
      <c r="E5690" s="4"/>
    </row>
    <row r="5691" spans="3:5" x14ac:dyDescent="0.25">
      <c r="C5691" s="4"/>
      <c r="E5691" s="4"/>
    </row>
    <row r="5692" spans="3:5" x14ac:dyDescent="0.25">
      <c r="C5692" s="4"/>
      <c r="E5692" s="4"/>
    </row>
    <row r="5693" spans="3:5" x14ac:dyDescent="0.25">
      <c r="C5693" s="4"/>
      <c r="E5693" s="4"/>
    </row>
    <row r="5694" spans="3:5" x14ac:dyDescent="0.25">
      <c r="C5694" s="4"/>
      <c r="E5694" s="4"/>
    </row>
    <row r="5695" spans="3:5" x14ac:dyDescent="0.25">
      <c r="C5695" s="4"/>
      <c r="E5695" s="4"/>
    </row>
    <row r="5696" spans="3:5" x14ac:dyDescent="0.25">
      <c r="C5696" s="4"/>
      <c r="E5696" s="4"/>
    </row>
    <row r="5697" spans="3:5" x14ac:dyDescent="0.25">
      <c r="C5697" s="4"/>
      <c r="E5697" s="4"/>
    </row>
    <row r="5698" spans="3:5" x14ac:dyDescent="0.25">
      <c r="C5698" s="4"/>
      <c r="E5698" s="4"/>
    </row>
    <row r="5699" spans="3:5" x14ac:dyDescent="0.25">
      <c r="C5699" s="4"/>
      <c r="E5699" s="4"/>
    </row>
    <row r="5700" spans="3:5" x14ac:dyDescent="0.25">
      <c r="C5700" s="4"/>
      <c r="E5700" s="4"/>
    </row>
    <row r="5701" spans="3:5" x14ac:dyDescent="0.25">
      <c r="C5701" s="4"/>
      <c r="E5701" s="4"/>
    </row>
    <row r="5702" spans="3:5" x14ac:dyDescent="0.25">
      <c r="C5702" s="4"/>
      <c r="E5702" s="4"/>
    </row>
    <row r="5703" spans="3:5" x14ac:dyDescent="0.25">
      <c r="C5703" s="4"/>
      <c r="E5703" s="4"/>
    </row>
    <row r="5704" spans="3:5" x14ac:dyDescent="0.25">
      <c r="C5704" s="4"/>
      <c r="E5704" s="4"/>
    </row>
    <row r="5705" spans="3:5" x14ac:dyDescent="0.25">
      <c r="C5705" s="4"/>
      <c r="E5705" s="4"/>
    </row>
    <row r="5706" spans="3:5" x14ac:dyDescent="0.25">
      <c r="C5706" s="4"/>
      <c r="E5706" s="4"/>
    </row>
    <row r="5707" spans="3:5" x14ac:dyDescent="0.25">
      <c r="C5707" s="4"/>
      <c r="E5707" s="4"/>
    </row>
    <row r="5708" spans="3:5" x14ac:dyDescent="0.25">
      <c r="C5708" s="4"/>
      <c r="E5708" s="4"/>
    </row>
    <row r="5709" spans="3:5" x14ac:dyDescent="0.25">
      <c r="C5709" s="4"/>
      <c r="E5709" s="4"/>
    </row>
    <row r="5710" spans="3:5" x14ac:dyDescent="0.25">
      <c r="C5710" s="4"/>
      <c r="E5710" s="4"/>
    </row>
    <row r="5711" spans="3:5" x14ac:dyDescent="0.25">
      <c r="C5711" s="4"/>
      <c r="E5711" s="4"/>
    </row>
    <row r="5712" spans="3:5" x14ac:dyDescent="0.25">
      <c r="C5712" s="4"/>
      <c r="E5712" s="4"/>
    </row>
    <row r="5713" spans="3:5" x14ac:dyDescent="0.25">
      <c r="C5713" s="4"/>
      <c r="E5713" s="4"/>
    </row>
    <row r="5714" spans="3:5" x14ac:dyDescent="0.25">
      <c r="C5714" s="4"/>
      <c r="E5714" s="4"/>
    </row>
    <row r="5715" spans="3:5" x14ac:dyDescent="0.25">
      <c r="C5715" s="4"/>
      <c r="E5715" s="4"/>
    </row>
    <row r="5716" spans="3:5" x14ac:dyDescent="0.25">
      <c r="C5716" s="4"/>
      <c r="E5716" s="4"/>
    </row>
    <row r="5717" spans="3:5" x14ac:dyDescent="0.25">
      <c r="C5717" s="4"/>
      <c r="E5717" s="4"/>
    </row>
    <row r="5718" spans="3:5" x14ac:dyDescent="0.25">
      <c r="C5718" s="4"/>
      <c r="E5718" s="4"/>
    </row>
    <row r="5719" spans="3:5" x14ac:dyDescent="0.25">
      <c r="C5719" s="4"/>
      <c r="E5719" s="4"/>
    </row>
    <row r="5720" spans="3:5" x14ac:dyDescent="0.25">
      <c r="C5720" s="4"/>
      <c r="E5720" s="4"/>
    </row>
    <row r="5721" spans="3:5" x14ac:dyDescent="0.25">
      <c r="C5721" s="4"/>
      <c r="E5721" s="4"/>
    </row>
    <row r="5722" spans="3:5" x14ac:dyDescent="0.25">
      <c r="C5722" s="4"/>
      <c r="E5722" s="4"/>
    </row>
    <row r="5723" spans="3:5" x14ac:dyDescent="0.25">
      <c r="C5723" s="4"/>
      <c r="E5723" s="4"/>
    </row>
    <row r="5724" spans="3:5" x14ac:dyDescent="0.25">
      <c r="C5724" s="4"/>
      <c r="E5724" s="4"/>
    </row>
    <row r="5725" spans="3:5" x14ac:dyDescent="0.25">
      <c r="C5725" s="4"/>
      <c r="E5725" s="4"/>
    </row>
    <row r="5726" spans="3:5" x14ac:dyDescent="0.25">
      <c r="C5726" s="4"/>
      <c r="E5726" s="4"/>
    </row>
    <row r="5727" spans="3:5" x14ac:dyDescent="0.25">
      <c r="C5727" s="4"/>
      <c r="E5727" s="4"/>
    </row>
    <row r="5728" spans="3:5" x14ac:dyDescent="0.25">
      <c r="C5728" s="4"/>
      <c r="E5728" s="4"/>
    </row>
    <row r="5729" spans="3:5" x14ac:dyDescent="0.25">
      <c r="C5729" s="4"/>
      <c r="E5729" s="4"/>
    </row>
    <row r="5730" spans="3:5" x14ac:dyDescent="0.25">
      <c r="C5730" s="4"/>
      <c r="E5730" s="4"/>
    </row>
    <row r="5731" spans="3:5" x14ac:dyDescent="0.25">
      <c r="C5731" s="4"/>
      <c r="E5731" s="4"/>
    </row>
    <row r="5732" spans="3:5" x14ac:dyDescent="0.25">
      <c r="C5732" s="4"/>
      <c r="E5732" s="4"/>
    </row>
    <row r="5733" spans="3:5" x14ac:dyDescent="0.25">
      <c r="C5733" s="4"/>
      <c r="E5733" s="4"/>
    </row>
    <row r="5734" spans="3:5" x14ac:dyDescent="0.25">
      <c r="C5734" s="4"/>
      <c r="E5734" s="4"/>
    </row>
    <row r="5735" spans="3:5" x14ac:dyDescent="0.25">
      <c r="C5735" s="4"/>
      <c r="E5735" s="4"/>
    </row>
    <row r="5736" spans="3:5" x14ac:dyDescent="0.25">
      <c r="C5736" s="4"/>
      <c r="E5736" s="4"/>
    </row>
    <row r="5737" spans="3:5" x14ac:dyDescent="0.25">
      <c r="C5737" s="4"/>
      <c r="E5737" s="4"/>
    </row>
    <row r="5738" spans="3:5" x14ac:dyDescent="0.25">
      <c r="C5738" s="4"/>
      <c r="E5738" s="4"/>
    </row>
    <row r="5739" spans="3:5" x14ac:dyDescent="0.25">
      <c r="C5739" s="4"/>
      <c r="E5739" s="4"/>
    </row>
    <row r="5740" spans="3:5" x14ac:dyDescent="0.25">
      <c r="C5740" s="4"/>
      <c r="E5740" s="4"/>
    </row>
    <row r="5741" spans="3:5" x14ac:dyDescent="0.25">
      <c r="C5741" s="4"/>
      <c r="E5741" s="4"/>
    </row>
    <row r="5742" spans="3:5" x14ac:dyDescent="0.25">
      <c r="C5742" s="4"/>
      <c r="E5742" s="4"/>
    </row>
    <row r="5743" spans="3:5" x14ac:dyDescent="0.25">
      <c r="C5743" s="4"/>
      <c r="E5743" s="4"/>
    </row>
    <row r="5744" spans="3:5" x14ac:dyDescent="0.25">
      <c r="C5744" s="4"/>
      <c r="E5744" s="4"/>
    </row>
    <row r="5745" spans="3:5" x14ac:dyDescent="0.25">
      <c r="C5745" s="4"/>
      <c r="E5745" s="4"/>
    </row>
    <row r="5746" spans="3:5" x14ac:dyDescent="0.25">
      <c r="C5746" s="4"/>
      <c r="E5746" s="4"/>
    </row>
    <row r="5747" spans="3:5" x14ac:dyDescent="0.25">
      <c r="C5747" s="4"/>
      <c r="E5747" s="4"/>
    </row>
    <row r="5748" spans="3:5" x14ac:dyDescent="0.25">
      <c r="C5748" s="4"/>
      <c r="E5748" s="4"/>
    </row>
    <row r="5749" spans="3:5" x14ac:dyDescent="0.25">
      <c r="C5749" s="4"/>
      <c r="E5749" s="4"/>
    </row>
    <row r="5750" spans="3:5" x14ac:dyDescent="0.25">
      <c r="C5750" s="4"/>
      <c r="E5750" s="4"/>
    </row>
    <row r="5751" spans="3:5" x14ac:dyDescent="0.25">
      <c r="C5751" s="4"/>
      <c r="E5751" s="4"/>
    </row>
    <row r="5752" spans="3:5" x14ac:dyDescent="0.25">
      <c r="C5752" s="4"/>
      <c r="E5752" s="4"/>
    </row>
    <row r="5753" spans="3:5" x14ac:dyDescent="0.25">
      <c r="C5753" s="4"/>
      <c r="E5753" s="4"/>
    </row>
    <row r="5754" spans="3:5" x14ac:dyDescent="0.25">
      <c r="C5754" s="4"/>
      <c r="E5754" s="4"/>
    </row>
    <row r="5755" spans="3:5" x14ac:dyDescent="0.25">
      <c r="C5755" s="4"/>
      <c r="E5755" s="4"/>
    </row>
    <row r="5756" spans="3:5" x14ac:dyDescent="0.25">
      <c r="C5756" s="4"/>
      <c r="E5756" s="4"/>
    </row>
    <row r="5757" spans="3:5" x14ac:dyDescent="0.25">
      <c r="C5757" s="4"/>
      <c r="E5757" s="4"/>
    </row>
    <row r="5758" spans="3:5" x14ac:dyDescent="0.25">
      <c r="C5758" s="4"/>
      <c r="E5758" s="4"/>
    </row>
    <row r="5759" spans="3:5" x14ac:dyDescent="0.25">
      <c r="C5759" s="4"/>
      <c r="E5759" s="4"/>
    </row>
    <row r="5760" spans="3:5" x14ac:dyDescent="0.25">
      <c r="C5760" s="4"/>
      <c r="E5760" s="4"/>
    </row>
    <row r="5761" spans="3:5" x14ac:dyDescent="0.25">
      <c r="C5761" s="4"/>
      <c r="E5761" s="4"/>
    </row>
    <row r="5762" spans="3:5" x14ac:dyDescent="0.25">
      <c r="C5762" s="4"/>
      <c r="E5762" s="4"/>
    </row>
    <row r="5763" spans="3:5" x14ac:dyDescent="0.25">
      <c r="C5763" s="4"/>
      <c r="E5763" s="4"/>
    </row>
    <row r="5764" spans="3:5" x14ac:dyDescent="0.25">
      <c r="C5764" s="4"/>
      <c r="E5764" s="4"/>
    </row>
    <row r="5765" spans="3:5" x14ac:dyDescent="0.25">
      <c r="C5765" s="4"/>
      <c r="E5765" s="4"/>
    </row>
    <row r="5766" spans="3:5" x14ac:dyDescent="0.25">
      <c r="C5766" s="4"/>
      <c r="E5766" s="4"/>
    </row>
    <row r="5767" spans="3:5" x14ac:dyDescent="0.25">
      <c r="C5767" s="4"/>
      <c r="E5767" s="4"/>
    </row>
    <row r="5768" spans="3:5" x14ac:dyDescent="0.25">
      <c r="C5768" s="4"/>
      <c r="E5768" s="4"/>
    </row>
    <row r="5769" spans="3:5" x14ac:dyDescent="0.25">
      <c r="C5769" s="4"/>
      <c r="E5769" s="4"/>
    </row>
    <row r="5770" spans="3:5" x14ac:dyDescent="0.25">
      <c r="C5770" s="4"/>
      <c r="E5770" s="4"/>
    </row>
    <row r="5771" spans="3:5" x14ac:dyDescent="0.25">
      <c r="C5771" s="4"/>
      <c r="E5771" s="4"/>
    </row>
    <row r="5772" spans="3:5" x14ac:dyDescent="0.25">
      <c r="C5772" s="4"/>
      <c r="E5772" s="4"/>
    </row>
    <row r="5773" spans="3:5" x14ac:dyDescent="0.25">
      <c r="C5773" s="4"/>
      <c r="E5773" s="4"/>
    </row>
    <row r="5774" spans="3:5" x14ac:dyDescent="0.25">
      <c r="C5774" s="4"/>
      <c r="E5774" s="4"/>
    </row>
    <row r="5775" spans="3:5" x14ac:dyDescent="0.25">
      <c r="C5775" s="4"/>
      <c r="E5775" s="4"/>
    </row>
    <row r="5776" spans="3:5" x14ac:dyDescent="0.25">
      <c r="C5776" s="4"/>
      <c r="E5776" s="4"/>
    </row>
    <row r="5777" spans="3:5" x14ac:dyDescent="0.25">
      <c r="C5777" s="4"/>
      <c r="E5777" s="4"/>
    </row>
    <row r="5778" spans="3:5" x14ac:dyDescent="0.25">
      <c r="C5778" s="4"/>
      <c r="E5778" s="4"/>
    </row>
    <row r="5779" spans="3:5" x14ac:dyDescent="0.25">
      <c r="C5779" s="4"/>
      <c r="E5779" s="4"/>
    </row>
    <row r="5780" spans="3:5" x14ac:dyDescent="0.25">
      <c r="C5780" s="4"/>
      <c r="E5780" s="4"/>
    </row>
    <row r="5781" spans="3:5" x14ac:dyDescent="0.25">
      <c r="C5781" s="4"/>
      <c r="E5781" s="4"/>
    </row>
    <row r="5782" spans="3:5" x14ac:dyDescent="0.25">
      <c r="C5782" s="4"/>
      <c r="E5782" s="4"/>
    </row>
    <row r="5783" spans="3:5" x14ac:dyDescent="0.25">
      <c r="C5783" s="4"/>
      <c r="E5783" s="4"/>
    </row>
    <row r="5784" spans="3:5" x14ac:dyDescent="0.25">
      <c r="C5784" s="4"/>
      <c r="E5784" s="4"/>
    </row>
    <row r="5785" spans="3:5" x14ac:dyDescent="0.25">
      <c r="C5785" s="4"/>
      <c r="E5785" s="4"/>
    </row>
    <row r="5786" spans="3:5" x14ac:dyDescent="0.25">
      <c r="C5786" s="4"/>
      <c r="E5786" s="4"/>
    </row>
    <row r="5787" spans="3:5" x14ac:dyDescent="0.25">
      <c r="C5787" s="4"/>
      <c r="E5787" s="4"/>
    </row>
    <row r="5788" spans="3:5" x14ac:dyDescent="0.25">
      <c r="C5788" s="4"/>
      <c r="E5788" s="4"/>
    </row>
    <row r="5789" spans="3:5" x14ac:dyDescent="0.25">
      <c r="C5789" s="4"/>
      <c r="E5789" s="4"/>
    </row>
    <row r="5790" spans="3:5" x14ac:dyDescent="0.25">
      <c r="C5790" s="4"/>
      <c r="E5790" s="4"/>
    </row>
    <row r="5791" spans="3:5" x14ac:dyDescent="0.25">
      <c r="C5791" s="4"/>
      <c r="E5791" s="4"/>
    </row>
    <row r="5792" spans="3:5" x14ac:dyDescent="0.25">
      <c r="C5792" s="4"/>
      <c r="E5792" s="4"/>
    </row>
    <row r="5793" spans="3:5" x14ac:dyDescent="0.25">
      <c r="C5793" s="4"/>
      <c r="E5793" s="4"/>
    </row>
    <row r="5794" spans="3:5" x14ac:dyDescent="0.25">
      <c r="C5794" s="4"/>
      <c r="E5794" s="4"/>
    </row>
    <row r="5795" spans="3:5" x14ac:dyDescent="0.25">
      <c r="C5795" s="4"/>
      <c r="E5795" s="4"/>
    </row>
    <row r="5796" spans="3:5" x14ac:dyDescent="0.25">
      <c r="C5796" s="4"/>
      <c r="E5796" s="4"/>
    </row>
    <row r="5797" spans="3:5" x14ac:dyDescent="0.25">
      <c r="C5797" s="4"/>
      <c r="E5797" s="4"/>
    </row>
    <row r="5798" spans="3:5" x14ac:dyDescent="0.25">
      <c r="C5798" s="4"/>
      <c r="E5798" s="4"/>
    </row>
    <row r="5799" spans="3:5" x14ac:dyDescent="0.25">
      <c r="C5799" s="4"/>
      <c r="E5799" s="4"/>
    </row>
    <row r="5800" spans="3:5" x14ac:dyDescent="0.25">
      <c r="C5800" s="4"/>
      <c r="E5800" s="4"/>
    </row>
    <row r="5801" spans="3:5" x14ac:dyDescent="0.25">
      <c r="C5801" s="4"/>
      <c r="E5801" s="4"/>
    </row>
    <row r="5802" spans="3:5" x14ac:dyDescent="0.25">
      <c r="C5802" s="4"/>
      <c r="E5802" s="4"/>
    </row>
    <row r="5803" spans="3:5" x14ac:dyDescent="0.25">
      <c r="C5803" s="4"/>
      <c r="E5803" s="4"/>
    </row>
    <row r="5804" spans="3:5" x14ac:dyDescent="0.25">
      <c r="C5804" s="4"/>
      <c r="E5804" s="4"/>
    </row>
    <row r="5805" spans="3:5" x14ac:dyDescent="0.25">
      <c r="C5805" s="4"/>
      <c r="E5805" s="4"/>
    </row>
    <row r="5806" spans="3:5" x14ac:dyDescent="0.25">
      <c r="C5806" s="4"/>
      <c r="E5806" s="4"/>
    </row>
    <row r="5807" spans="3:5" x14ac:dyDescent="0.25">
      <c r="C5807" s="4"/>
      <c r="E5807" s="4"/>
    </row>
    <row r="5808" spans="3:5" x14ac:dyDescent="0.25">
      <c r="C5808" s="4"/>
      <c r="E5808" s="4"/>
    </row>
    <row r="5809" spans="3:5" x14ac:dyDescent="0.25">
      <c r="C5809" s="4"/>
      <c r="E5809" s="4"/>
    </row>
    <row r="5810" spans="3:5" x14ac:dyDescent="0.25">
      <c r="C5810" s="4"/>
      <c r="E5810" s="4"/>
    </row>
    <row r="5811" spans="3:5" x14ac:dyDescent="0.25">
      <c r="C5811" s="4"/>
      <c r="E5811" s="4"/>
    </row>
    <row r="5812" spans="3:5" x14ac:dyDescent="0.25">
      <c r="C5812" s="4"/>
      <c r="E5812" s="4"/>
    </row>
    <row r="5813" spans="3:5" x14ac:dyDescent="0.25">
      <c r="C5813" s="4"/>
      <c r="E5813" s="4"/>
    </row>
    <row r="5814" spans="3:5" x14ac:dyDescent="0.25">
      <c r="C5814" s="4"/>
      <c r="E5814" s="4"/>
    </row>
    <row r="5815" spans="3:5" x14ac:dyDescent="0.25">
      <c r="C5815" s="4"/>
      <c r="E5815" s="4"/>
    </row>
    <row r="5816" spans="3:5" x14ac:dyDescent="0.25">
      <c r="C5816" s="4"/>
      <c r="E5816" s="4"/>
    </row>
    <row r="5817" spans="3:5" x14ac:dyDescent="0.25">
      <c r="C5817" s="4"/>
      <c r="E5817" s="4"/>
    </row>
    <row r="5818" spans="3:5" x14ac:dyDescent="0.25">
      <c r="C5818" s="4"/>
      <c r="E5818" s="4"/>
    </row>
    <row r="5819" spans="3:5" x14ac:dyDescent="0.25">
      <c r="C5819" s="4"/>
      <c r="E5819" s="4"/>
    </row>
    <row r="5820" spans="3:5" x14ac:dyDescent="0.25">
      <c r="C5820" s="4"/>
      <c r="E5820" s="4"/>
    </row>
    <row r="5821" spans="3:5" x14ac:dyDescent="0.25">
      <c r="C5821" s="4"/>
      <c r="E5821" s="4"/>
    </row>
    <row r="5822" spans="3:5" x14ac:dyDescent="0.25">
      <c r="C5822" s="4"/>
      <c r="E5822" s="4"/>
    </row>
    <row r="5823" spans="3:5" x14ac:dyDescent="0.25">
      <c r="C5823" s="4"/>
      <c r="E5823" s="4"/>
    </row>
    <row r="5824" spans="3:5" x14ac:dyDescent="0.25">
      <c r="C5824" s="4"/>
      <c r="E5824" s="4"/>
    </row>
    <row r="5825" spans="3:5" x14ac:dyDescent="0.25">
      <c r="C5825" s="4"/>
      <c r="E5825" s="4"/>
    </row>
    <row r="5826" spans="3:5" x14ac:dyDescent="0.25">
      <c r="C5826" s="4"/>
      <c r="E5826" s="4"/>
    </row>
    <row r="5827" spans="3:5" x14ac:dyDescent="0.25">
      <c r="C5827" s="4"/>
      <c r="E5827" s="4"/>
    </row>
    <row r="5828" spans="3:5" x14ac:dyDescent="0.25">
      <c r="C5828" s="4"/>
      <c r="E5828" s="4"/>
    </row>
    <row r="5829" spans="3:5" x14ac:dyDescent="0.25">
      <c r="C5829" s="4"/>
      <c r="E5829" s="4"/>
    </row>
    <row r="5830" spans="3:5" x14ac:dyDescent="0.25">
      <c r="C5830" s="4"/>
      <c r="E5830" s="4"/>
    </row>
    <row r="5831" spans="3:5" x14ac:dyDescent="0.25">
      <c r="C5831" s="4"/>
      <c r="E5831" s="4"/>
    </row>
    <row r="5832" spans="3:5" x14ac:dyDescent="0.25">
      <c r="C5832" s="4"/>
      <c r="E5832" s="4"/>
    </row>
    <row r="5833" spans="3:5" x14ac:dyDescent="0.25">
      <c r="C5833" s="4"/>
      <c r="E5833" s="4"/>
    </row>
    <row r="5834" spans="3:5" x14ac:dyDescent="0.25">
      <c r="C5834" s="4"/>
      <c r="E5834" s="4"/>
    </row>
    <row r="5835" spans="3:5" x14ac:dyDescent="0.25">
      <c r="C5835" s="4"/>
      <c r="E5835" s="4"/>
    </row>
    <row r="5836" spans="3:5" x14ac:dyDescent="0.25">
      <c r="C5836" s="4"/>
      <c r="E5836" s="4"/>
    </row>
    <row r="5837" spans="3:5" x14ac:dyDescent="0.25">
      <c r="C5837" s="4"/>
      <c r="E5837" s="4"/>
    </row>
    <row r="5838" spans="3:5" x14ac:dyDescent="0.25">
      <c r="C5838" s="4"/>
      <c r="E5838" s="4"/>
    </row>
    <row r="5839" spans="3:5" x14ac:dyDescent="0.25">
      <c r="C5839" s="4"/>
      <c r="E5839" s="4"/>
    </row>
    <row r="5840" spans="3:5" x14ac:dyDescent="0.25">
      <c r="C5840" s="4"/>
      <c r="E5840" s="4"/>
    </row>
    <row r="5841" spans="3:5" x14ac:dyDescent="0.25">
      <c r="C5841" s="4"/>
      <c r="E5841" s="4"/>
    </row>
    <row r="5842" spans="3:5" x14ac:dyDescent="0.25">
      <c r="C5842" s="4"/>
      <c r="E5842" s="4"/>
    </row>
    <row r="5843" spans="3:5" x14ac:dyDescent="0.25">
      <c r="C5843" s="4"/>
      <c r="E5843" s="4"/>
    </row>
    <row r="5844" spans="3:5" x14ac:dyDescent="0.25">
      <c r="C5844" s="4"/>
      <c r="E5844" s="4"/>
    </row>
    <row r="5845" spans="3:5" x14ac:dyDescent="0.25">
      <c r="C5845" s="4"/>
      <c r="E5845" s="4"/>
    </row>
    <row r="5846" spans="3:5" x14ac:dyDescent="0.25">
      <c r="C5846" s="4"/>
      <c r="E5846" s="4"/>
    </row>
    <row r="5847" spans="3:5" x14ac:dyDescent="0.25">
      <c r="C5847" s="4"/>
      <c r="E5847" s="4"/>
    </row>
    <row r="5848" spans="3:5" x14ac:dyDescent="0.25">
      <c r="C5848" s="4"/>
      <c r="E5848" s="4"/>
    </row>
    <row r="5849" spans="3:5" x14ac:dyDescent="0.25">
      <c r="C5849" s="4"/>
      <c r="E5849" s="4"/>
    </row>
    <row r="5850" spans="3:5" x14ac:dyDescent="0.25">
      <c r="C5850" s="4"/>
      <c r="E5850" s="4"/>
    </row>
    <row r="5851" spans="3:5" x14ac:dyDescent="0.25">
      <c r="C5851" s="4"/>
      <c r="E5851" s="4"/>
    </row>
    <row r="5852" spans="3:5" x14ac:dyDescent="0.25">
      <c r="C5852" s="4"/>
      <c r="E5852" s="4"/>
    </row>
    <row r="5853" spans="3:5" x14ac:dyDescent="0.25">
      <c r="C5853" s="4"/>
      <c r="E5853" s="4"/>
    </row>
    <row r="5854" spans="3:5" x14ac:dyDescent="0.25">
      <c r="C5854" s="4"/>
      <c r="E5854" s="4"/>
    </row>
    <row r="5855" spans="3:5" x14ac:dyDescent="0.25">
      <c r="C5855" s="4"/>
      <c r="E5855" s="4"/>
    </row>
    <row r="5856" spans="3:5" x14ac:dyDescent="0.25">
      <c r="C5856" s="4"/>
      <c r="E5856" s="4"/>
    </row>
    <row r="5857" spans="3:5" x14ac:dyDescent="0.25">
      <c r="C5857" s="4"/>
      <c r="E5857" s="4"/>
    </row>
    <row r="5858" spans="3:5" x14ac:dyDescent="0.25">
      <c r="C5858" s="4"/>
      <c r="E5858" s="4"/>
    </row>
    <row r="5859" spans="3:5" x14ac:dyDescent="0.25">
      <c r="C5859" s="4"/>
      <c r="E5859" s="4"/>
    </row>
    <row r="5860" spans="3:5" x14ac:dyDescent="0.25">
      <c r="C5860" s="4"/>
      <c r="E5860" s="4"/>
    </row>
    <row r="5861" spans="3:5" x14ac:dyDescent="0.25">
      <c r="C5861" s="4"/>
      <c r="E5861" s="4"/>
    </row>
    <row r="5862" spans="3:5" x14ac:dyDescent="0.25">
      <c r="C5862" s="4"/>
      <c r="E5862" s="4"/>
    </row>
    <row r="5863" spans="3:5" x14ac:dyDescent="0.25">
      <c r="C5863" s="4"/>
      <c r="E5863" s="4"/>
    </row>
    <row r="5864" spans="3:5" x14ac:dyDescent="0.25">
      <c r="C5864" s="4"/>
      <c r="E5864" s="4"/>
    </row>
    <row r="5865" spans="3:5" x14ac:dyDescent="0.25">
      <c r="C5865" s="4"/>
      <c r="E5865" s="4"/>
    </row>
    <row r="5866" spans="3:5" x14ac:dyDescent="0.25">
      <c r="C5866" s="4"/>
      <c r="E5866" s="4"/>
    </row>
    <row r="5867" spans="3:5" x14ac:dyDescent="0.25">
      <c r="C5867" s="4"/>
      <c r="E5867" s="4"/>
    </row>
    <row r="5868" spans="3:5" x14ac:dyDescent="0.25">
      <c r="C5868" s="4"/>
      <c r="E5868" s="4"/>
    </row>
    <row r="5869" spans="3:5" x14ac:dyDescent="0.25">
      <c r="C5869" s="4"/>
      <c r="E5869" s="4"/>
    </row>
    <row r="5870" spans="3:5" x14ac:dyDescent="0.25">
      <c r="C5870" s="4"/>
      <c r="E5870" s="4"/>
    </row>
    <row r="5871" spans="3:5" x14ac:dyDescent="0.25">
      <c r="C5871" s="4"/>
      <c r="E5871" s="4"/>
    </row>
    <row r="5872" spans="3:5" x14ac:dyDescent="0.25">
      <c r="C5872" s="4"/>
      <c r="E5872" s="4"/>
    </row>
    <row r="5873" spans="3:5" x14ac:dyDescent="0.25">
      <c r="C5873" s="4"/>
      <c r="E5873" s="4"/>
    </row>
    <row r="5874" spans="3:5" x14ac:dyDescent="0.25">
      <c r="C5874" s="4"/>
      <c r="E5874" s="4"/>
    </row>
    <row r="5875" spans="3:5" x14ac:dyDescent="0.25">
      <c r="C5875" s="4"/>
      <c r="E5875" s="4"/>
    </row>
    <row r="5876" spans="3:5" x14ac:dyDescent="0.25">
      <c r="C5876" s="4"/>
      <c r="E5876" s="4"/>
    </row>
    <row r="5877" spans="3:5" x14ac:dyDescent="0.25">
      <c r="C5877" s="4"/>
      <c r="E5877" s="4"/>
    </row>
    <row r="5878" spans="3:5" x14ac:dyDescent="0.25">
      <c r="C5878" s="4"/>
      <c r="E5878" s="4"/>
    </row>
    <row r="5879" spans="3:5" x14ac:dyDescent="0.25">
      <c r="C5879" s="4"/>
      <c r="E5879" s="4"/>
    </row>
    <row r="5880" spans="3:5" x14ac:dyDescent="0.25">
      <c r="C5880" s="4"/>
      <c r="E5880" s="4"/>
    </row>
    <row r="5881" spans="3:5" x14ac:dyDescent="0.25">
      <c r="C5881" s="4"/>
      <c r="E5881" s="4"/>
    </row>
    <row r="5882" spans="3:5" x14ac:dyDescent="0.25">
      <c r="C5882" s="4"/>
      <c r="E5882" s="4"/>
    </row>
    <row r="5883" spans="3:5" x14ac:dyDescent="0.25">
      <c r="C5883" s="4"/>
      <c r="E5883" s="4"/>
    </row>
    <row r="5884" spans="3:5" x14ac:dyDescent="0.25">
      <c r="C5884" s="4"/>
      <c r="E5884" s="4"/>
    </row>
    <row r="5885" spans="3:5" x14ac:dyDescent="0.25">
      <c r="C5885" s="4"/>
      <c r="E5885" s="4"/>
    </row>
    <row r="5886" spans="3:5" x14ac:dyDescent="0.25">
      <c r="C5886" s="4"/>
      <c r="E5886" s="4"/>
    </row>
    <row r="5887" spans="3:5" x14ac:dyDescent="0.25">
      <c r="C5887" s="4"/>
      <c r="E5887" s="4"/>
    </row>
    <row r="5888" spans="3:5" x14ac:dyDescent="0.25">
      <c r="C5888" s="4"/>
      <c r="E5888" s="4"/>
    </row>
    <row r="5889" spans="3:5" x14ac:dyDescent="0.25">
      <c r="C5889" s="4"/>
      <c r="E5889" s="4"/>
    </row>
    <row r="5890" spans="3:5" x14ac:dyDescent="0.25">
      <c r="C5890" s="4"/>
      <c r="E5890" s="4"/>
    </row>
    <row r="5891" spans="3:5" x14ac:dyDescent="0.25">
      <c r="C5891" s="4"/>
      <c r="E5891" s="4"/>
    </row>
    <row r="5892" spans="3:5" x14ac:dyDescent="0.25">
      <c r="C5892" s="4"/>
      <c r="E5892" s="4"/>
    </row>
    <row r="5893" spans="3:5" x14ac:dyDescent="0.25">
      <c r="C5893" s="4"/>
      <c r="E5893" s="4"/>
    </row>
    <row r="5894" spans="3:5" x14ac:dyDescent="0.25">
      <c r="C5894" s="4"/>
      <c r="E5894" s="4"/>
    </row>
    <row r="5895" spans="3:5" x14ac:dyDescent="0.25">
      <c r="C5895" s="4"/>
      <c r="E5895" s="4"/>
    </row>
    <row r="5896" spans="3:5" x14ac:dyDescent="0.25">
      <c r="C5896" s="4"/>
      <c r="E5896" s="4"/>
    </row>
    <row r="5897" spans="3:5" x14ac:dyDescent="0.25">
      <c r="C5897" s="4"/>
      <c r="E5897" s="4"/>
    </row>
    <row r="5898" spans="3:5" x14ac:dyDescent="0.25">
      <c r="C5898" s="4"/>
      <c r="E5898" s="4"/>
    </row>
    <row r="5899" spans="3:5" x14ac:dyDescent="0.25">
      <c r="C5899" s="4"/>
      <c r="E5899" s="4"/>
    </row>
    <row r="5900" spans="3:5" x14ac:dyDescent="0.25">
      <c r="C5900" s="4"/>
      <c r="E5900" s="4"/>
    </row>
    <row r="5901" spans="3:5" x14ac:dyDescent="0.25">
      <c r="C5901" s="4"/>
      <c r="E5901" s="4"/>
    </row>
    <row r="5902" spans="3:5" x14ac:dyDescent="0.25">
      <c r="C5902" s="4"/>
      <c r="E5902" s="4"/>
    </row>
    <row r="5903" spans="3:5" x14ac:dyDescent="0.25">
      <c r="C5903" s="4"/>
      <c r="E5903" s="4"/>
    </row>
    <row r="5904" spans="3:5" x14ac:dyDescent="0.25">
      <c r="C5904" s="4"/>
      <c r="E5904" s="4"/>
    </row>
    <row r="5905" spans="3:5" x14ac:dyDescent="0.25">
      <c r="C5905" s="4"/>
      <c r="E5905" s="4"/>
    </row>
    <row r="5906" spans="3:5" x14ac:dyDescent="0.25">
      <c r="C5906" s="4"/>
      <c r="E5906" s="4"/>
    </row>
    <row r="5907" spans="3:5" x14ac:dyDescent="0.25">
      <c r="C5907" s="4"/>
      <c r="E5907" s="4"/>
    </row>
    <row r="5908" spans="3:5" x14ac:dyDescent="0.25">
      <c r="C5908" s="4"/>
      <c r="E5908" s="4"/>
    </row>
    <row r="5909" spans="3:5" x14ac:dyDescent="0.25">
      <c r="C5909" s="4"/>
      <c r="E5909" s="4"/>
    </row>
    <row r="5910" spans="3:5" x14ac:dyDescent="0.25">
      <c r="C5910" s="4"/>
      <c r="E5910" s="4"/>
    </row>
    <row r="5911" spans="3:5" x14ac:dyDescent="0.25">
      <c r="C5911" s="4"/>
      <c r="E5911" s="4"/>
    </row>
    <row r="5912" spans="3:5" x14ac:dyDescent="0.25">
      <c r="C5912" s="4"/>
      <c r="E5912" s="4"/>
    </row>
    <row r="5913" spans="3:5" x14ac:dyDescent="0.25">
      <c r="C5913" s="4"/>
      <c r="E5913" s="4"/>
    </row>
    <row r="5914" spans="3:5" x14ac:dyDescent="0.25">
      <c r="C5914" s="4"/>
      <c r="E5914" s="4"/>
    </row>
    <row r="5915" spans="3:5" x14ac:dyDescent="0.25">
      <c r="C5915" s="4"/>
      <c r="E5915" s="4"/>
    </row>
    <row r="5916" spans="3:5" x14ac:dyDescent="0.25">
      <c r="C5916" s="4"/>
      <c r="E5916" s="4"/>
    </row>
    <row r="5917" spans="3:5" x14ac:dyDescent="0.25">
      <c r="C5917" s="4"/>
      <c r="E5917" s="4"/>
    </row>
    <row r="5918" spans="3:5" x14ac:dyDescent="0.25">
      <c r="C5918" s="4"/>
      <c r="E5918" s="4"/>
    </row>
    <row r="5919" spans="3:5" x14ac:dyDescent="0.25">
      <c r="C5919" s="4"/>
      <c r="E5919" s="4"/>
    </row>
    <row r="5920" spans="3:5" x14ac:dyDescent="0.25">
      <c r="C5920" s="4"/>
      <c r="E5920" s="4"/>
    </row>
    <row r="5921" spans="3:5" x14ac:dyDescent="0.25">
      <c r="C5921" s="4"/>
      <c r="E5921" s="4"/>
    </row>
    <row r="5922" spans="3:5" x14ac:dyDescent="0.25">
      <c r="C5922" s="4"/>
      <c r="E5922" s="4"/>
    </row>
    <row r="5923" spans="3:5" x14ac:dyDescent="0.25">
      <c r="C5923" s="4"/>
      <c r="E5923" s="4"/>
    </row>
    <row r="5924" spans="3:5" x14ac:dyDescent="0.25">
      <c r="C5924" s="4"/>
      <c r="E5924" s="4"/>
    </row>
    <row r="5925" spans="3:5" x14ac:dyDescent="0.25">
      <c r="C5925" s="4"/>
      <c r="E5925" s="4"/>
    </row>
    <row r="5926" spans="3:5" x14ac:dyDescent="0.25">
      <c r="C5926" s="4"/>
      <c r="E5926" s="4"/>
    </row>
    <row r="5927" spans="3:5" x14ac:dyDescent="0.25">
      <c r="C5927" s="4"/>
      <c r="E5927" s="4"/>
    </row>
    <row r="5928" spans="3:5" x14ac:dyDescent="0.25">
      <c r="C5928" s="4"/>
      <c r="E5928" s="4"/>
    </row>
    <row r="5929" spans="3:5" x14ac:dyDescent="0.25">
      <c r="C5929" s="4"/>
      <c r="E5929" s="4"/>
    </row>
    <row r="5930" spans="3:5" x14ac:dyDescent="0.25">
      <c r="C5930" s="4"/>
      <c r="E5930" s="4"/>
    </row>
    <row r="5931" spans="3:5" x14ac:dyDescent="0.25">
      <c r="C5931" s="4"/>
      <c r="E5931" s="4"/>
    </row>
    <row r="5932" spans="3:5" x14ac:dyDescent="0.25">
      <c r="C5932" s="4"/>
      <c r="E5932" s="4"/>
    </row>
    <row r="5933" spans="3:5" x14ac:dyDescent="0.25">
      <c r="C5933" s="4"/>
      <c r="E5933" s="4"/>
    </row>
    <row r="5934" spans="3:5" x14ac:dyDescent="0.25">
      <c r="C5934" s="4"/>
      <c r="E5934" s="4"/>
    </row>
    <row r="5935" spans="3:5" x14ac:dyDescent="0.25">
      <c r="C5935" s="4"/>
      <c r="E5935" s="4"/>
    </row>
    <row r="5936" spans="3:5" x14ac:dyDescent="0.25">
      <c r="C5936" s="4"/>
      <c r="E5936" s="4"/>
    </row>
    <row r="5937" spans="3:5" x14ac:dyDescent="0.25">
      <c r="C5937" s="4"/>
      <c r="E5937" s="4"/>
    </row>
    <row r="5938" spans="3:5" x14ac:dyDescent="0.25">
      <c r="C5938" s="4"/>
      <c r="E5938" s="4"/>
    </row>
    <row r="5939" spans="3:5" x14ac:dyDescent="0.25">
      <c r="C5939" s="4"/>
      <c r="E5939" s="4"/>
    </row>
    <row r="5940" spans="3:5" x14ac:dyDescent="0.25">
      <c r="C5940" s="4"/>
      <c r="E5940" s="4"/>
    </row>
    <row r="5941" spans="3:5" x14ac:dyDescent="0.25">
      <c r="C5941" s="4"/>
      <c r="E5941" s="4"/>
    </row>
    <row r="5942" spans="3:5" x14ac:dyDescent="0.25">
      <c r="C5942" s="4"/>
      <c r="E5942" s="4"/>
    </row>
    <row r="5943" spans="3:5" x14ac:dyDescent="0.25">
      <c r="C5943" s="4"/>
      <c r="E5943" s="4"/>
    </row>
    <row r="5944" spans="3:5" x14ac:dyDescent="0.25">
      <c r="C5944" s="4"/>
      <c r="E5944" s="4"/>
    </row>
    <row r="5945" spans="3:5" x14ac:dyDescent="0.25">
      <c r="C5945" s="4"/>
      <c r="E5945" s="4"/>
    </row>
    <row r="5946" spans="3:5" x14ac:dyDescent="0.25">
      <c r="C5946" s="4"/>
      <c r="E5946" s="4"/>
    </row>
    <row r="5947" spans="3:5" x14ac:dyDescent="0.25">
      <c r="C5947" s="4"/>
      <c r="E5947" s="4"/>
    </row>
    <row r="5948" spans="3:5" x14ac:dyDescent="0.25">
      <c r="C5948" s="4"/>
      <c r="E5948" s="4"/>
    </row>
    <row r="5949" spans="3:5" x14ac:dyDescent="0.25">
      <c r="C5949" s="4"/>
      <c r="E5949" s="4"/>
    </row>
    <row r="5950" spans="3:5" x14ac:dyDescent="0.25">
      <c r="C5950" s="4"/>
      <c r="E5950" s="4"/>
    </row>
    <row r="5951" spans="3:5" x14ac:dyDescent="0.25">
      <c r="C5951" s="4"/>
      <c r="E5951" s="4"/>
    </row>
    <row r="5952" spans="3:5" x14ac:dyDescent="0.25">
      <c r="C5952" s="4"/>
      <c r="E5952" s="4"/>
    </row>
    <row r="5953" spans="3:5" x14ac:dyDescent="0.25">
      <c r="C5953" s="4"/>
      <c r="E5953" s="4"/>
    </row>
    <row r="5954" spans="3:5" x14ac:dyDescent="0.25">
      <c r="C5954" s="4"/>
      <c r="E5954" s="4"/>
    </row>
    <row r="5955" spans="3:5" x14ac:dyDescent="0.25">
      <c r="C5955" s="4"/>
      <c r="E5955" s="4"/>
    </row>
    <row r="5956" spans="3:5" x14ac:dyDescent="0.25">
      <c r="C5956" s="4"/>
      <c r="E5956" s="4"/>
    </row>
    <row r="5957" spans="3:5" x14ac:dyDescent="0.25">
      <c r="C5957" s="4"/>
      <c r="E5957" s="4"/>
    </row>
    <row r="5958" spans="3:5" x14ac:dyDescent="0.25">
      <c r="C5958" s="4"/>
      <c r="E5958" s="4"/>
    </row>
    <row r="5959" spans="3:5" x14ac:dyDescent="0.25">
      <c r="C5959" s="4"/>
      <c r="E5959" s="4"/>
    </row>
    <row r="5960" spans="3:5" x14ac:dyDescent="0.25">
      <c r="C5960" s="4"/>
      <c r="E5960" s="4"/>
    </row>
    <row r="5961" spans="3:5" x14ac:dyDescent="0.25">
      <c r="C5961" s="4"/>
      <c r="E5961" s="4"/>
    </row>
    <row r="5962" spans="3:5" x14ac:dyDescent="0.25">
      <c r="C5962" s="4"/>
      <c r="E5962" s="4"/>
    </row>
    <row r="5963" spans="3:5" x14ac:dyDescent="0.25">
      <c r="C5963" s="4"/>
      <c r="E5963" s="4"/>
    </row>
    <row r="5964" spans="3:5" x14ac:dyDescent="0.25">
      <c r="C5964" s="4"/>
      <c r="E5964" s="4"/>
    </row>
    <row r="5965" spans="3:5" x14ac:dyDescent="0.25">
      <c r="C5965" s="4"/>
      <c r="E5965" s="4"/>
    </row>
    <row r="5966" spans="3:5" x14ac:dyDescent="0.25">
      <c r="C5966" s="4"/>
      <c r="E5966" s="4"/>
    </row>
    <row r="5967" spans="3:5" x14ac:dyDescent="0.25">
      <c r="C5967" s="4"/>
      <c r="E5967" s="4"/>
    </row>
    <row r="5968" spans="3:5" x14ac:dyDescent="0.25">
      <c r="C5968" s="4"/>
      <c r="E5968" s="4"/>
    </row>
    <row r="5969" spans="3:5" x14ac:dyDescent="0.25">
      <c r="C5969" s="4"/>
      <c r="E5969" s="4"/>
    </row>
    <row r="5970" spans="3:5" x14ac:dyDescent="0.25">
      <c r="C5970" s="4"/>
      <c r="E5970" s="4"/>
    </row>
    <row r="5971" spans="3:5" x14ac:dyDescent="0.25">
      <c r="C5971" s="4"/>
      <c r="E5971" s="4"/>
    </row>
    <row r="5972" spans="3:5" x14ac:dyDescent="0.25">
      <c r="C5972" s="4"/>
      <c r="E5972" s="4"/>
    </row>
    <row r="5973" spans="3:5" x14ac:dyDescent="0.25">
      <c r="C5973" s="4"/>
      <c r="E5973" s="4"/>
    </row>
    <row r="5974" spans="3:5" x14ac:dyDescent="0.25">
      <c r="C5974" s="4"/>
      <c r="E5974" s="4"/>
    </row>
    <row r="5975" spans="3:5" x14ac:dyDescent="0.25">
      <c r="C5975" s="4"/>
      <c r="E5975" s="4"/>
    </row>
    <row r="5976" spans="3:5" x14ac:dyDescent="0.25">
      <c r="C5976" s="4"/>
      <c r="E5976" s="4"/>
    </row>
    <row r="5977" spans="3:5" x14ac:dyDescent="0.25">
      <c r="C5977" s="4"/>
      <c r="E5977" s="4"/>
    </row>
    <row r="5978" spans="3:5" x14ac:dyDescent="0.25">
      <c r="C5978" s="4"/>
      <c r="E5978" s="4"/>
    </row>
    <row r="5979" spans="3:5" x14ac:dyDescent="0.25">
      <c r="C5979" s="4"/>
      <c r="E5979" s="4"/>
    </row>
    <row r="5980" spans="3:5" x14ac:dyDescent="0.25">
      <c r="C5980" s="4"/>
      <c r="E5980" s="4"/>
    </row>
    <row r="5981" spans="3:5" x14ac:dyDescent="0.25">
      <c r="C5981" s="4"/>
      <c r="E5981" s="4"/>
    </row>
    <row r="5982" spans="3:5" x14ac:dyDescent="0.25">
      <c r="C5982" s="4"/>
      <c r="E5982" s="4"/>
    </row>
    <row r="5983" spans="3:5" x14ac:dyDescent="0.25">
      <c r="C5983" s="4"/>
      <c r="E5983" s="4"/>
    </row>
    <row r="5984" spans="3:5" x14ac:dyDescent="0.25">
      <c r="C5984" s="4"/>
      <c r="E5984" s="4"/>
    </row>
    <row r="5985" spans="3:5" x14ac:dyDescent="0.25">
      <c r="C5985" s="4"/>
      <c r="E5985" s="4"/>
    </row>
    <row r="5986" spans="3:5" x14ac:dyDescent="0.25">
      <c r="C5986" s="4"/>
      <c r="E5986" s="4"/>
    </row>
    <row r="5987" spans="3:5" x14ac:dyDescent="0.25">
      <c r="C5987" s="4"/>
      <c r="E5987" s="4"/>
    </row>
    <row r="5988" spans="3:5" x14ac:dyDescent="0.25">
      <c r="C5988" s="4"/>
      <c r="E5988" s="4"/>
    </row>
    <row r="5989" spans="3:5" x14ac:dyDescent="0.25">
      <c r="C5989" s="4"/>
      <c r="E5989" s="4"/>
    </row>
    <row r="5990" spans="3:5" x14ac:dyDescent="0.25">
      <c r="C5990" s="4"/>
      <c r="E5990" s="4"/>
    </row>
    <row r="5991" spans="3:5" x14ac:dyDescent="0.25">
      <c r="C5991" s="4"/>
      <c r="E5991" s="4"/>
    </row>
    <row r="5992" spans="3:5" x14ac:dyDescent="0.25">
      <c r="C5992" s="4"/>
      <c r="E5992" s="4"/>
    </row>
    <row r="5993" spans="3:5" x14ac:dyDescent="0.25">
      <c r="C5993" s="4"/>
      <c r="E5993" s="4"/>
    </row>
    <row r="5994" spans="3:5" x14ac:dyDescent="0.25">
      <c r="C5994" s="4"/>
      <c r="E5994" s="4"/>
    </row>
    <row r="5995" spans="3:5" x14ac:dyDescent="0.25">
      <c r="C5995" s="4"/>
      <c r="E5995" s="4"/>
    </row>
    <row r="5996" spans="3:5" x14ac:dyDescent="0.25">
      <c r="C5996" s="4"/>
      <c r="E5996" s="4"/>
    </row>
    <row r="5997" spans="3:5" x14ac:dyDescent="0.25">
      <c r="C5997" s="4"/>
      <c r="E5997" s="4"/>
    </row>
    <row r="5998" spans="3:5" x14ac:dyDescent="0.25">
      <c r="C5998" s="4"/>
      <c r="E5998" s="4"/>
    </row>
    <row r="5999" spans="3:5" x14ac:dyDescent="0.25">
      <c r="C5999" s="4"/>
      <c r="E5999" s="4"/>
    </row>
    <row r="6000" spans="3:5" x14ac:dyDescent="0.25">
      <c r="C6000" s="4"/>
      <c r="E6000" s="4"/>
    </row>
    <row r="6001" spans="3:5" x14ac:dyDescent="0.25">
      <c r="C6001" s="4"/>
      <c r="E6001" s="4"/>
    </row>
    <row r="6002" spans="3:5" x14ac:dyDescent="0.25">
      <c r="C6002" s="4"/>
      <c r="E6002" s="4"/>
    </row>
    <row r="6003" spans="3:5" x14ac:dyDescent="0.25">
      <c r="C6003" s="4"/>
      <c r="E6003" s="4"/>
    </row>
    <row r="6004" spans="3:5" x14ac:dyDescent="0.25">
      <c r="C6004" s="4"/>
      <c r="E6004" s="4"/>
    </row>
    <row r="6005" spans="3:5" x14ac:dyDescent="0.25">
      <c r="C6005" s="4"/>
      <c r="E6005" s="4"/>
    </row>
    <row r="6006" spans="3:5" x14ac:dyDescent="0.25">
      <c r="C6006" s="4"/>
      <c r="E6006" s="4"/>
    </row>
    <row r="6007" spans="3:5" x14ac:dyDescent="0.25">
      <c r="C6007" s="4"/>
      <c r="E6007" s="4"/>
    </row>
    <row r="6008" spans="3:5" x14ac:dyDescent="0.25">
      <c r="C6008" s="4"/>
      <c r="E6008" s="4"/>
    </row>
    <row r="6009" spans="3:5" x14ac:dyDescent="0.25">
      <c r="C6009" s="4"/>
      <c r="E6009" s="4"/>
    </row>
    <row r="6010" spans="3:5" x14ac:dyDescent="0.25">
      <c r="C6010" s="4"/>
      <c r="E6010" s="4"/>
    </row>
    <row r="6011" spans="3:5" x14ac:dyDescent="0.25">
      <c r="C6011" s="4"/>
      <c r="E6011" s="4"/>
    </row>
    <row r="6012" spans="3:5" x14ac:dyDescent="0.25">
      <c r="C6012" s="4"/>
      <c r="E6012" s="4"/>
    </row>
    <row r="6013" spans="3:5" x14ac:dyDescent="0.25">
      <c r="C6013" s="4"/>
      <c r="E6013" s="4"/>
    </row>
    <row r="6014" spans="3:5" x14ac:dyDescent="0.25">
      <c r="C6014" s="4"/>
      <c r="E6014" s="4"/>
    </row>
    <row r="6015" spans="3:5" x14ac:dyDescent="0.25">
      <c r="C6015" s="4"/>
      <c r="E6015" s="4"/>
    </row>
    <row r="6016" spans="3:5" x14ac:dyDescent="0.25">
      <c r="C6016" s="4"/>
      <c r="E6016" s="4"/>
    </row>
    <row r="6017" spans="3:5" x14ac:dyDescent="0.25">
      <c r="C6017" s="4"/>
      <c r="E6017" s="4"/>
    </row>
    <row r="6018" spans="3:5" x14ac:dyDescent="0.25">
      <c r="C6018" s="4"/>
      <c r="E6018" s="4"/>
    </row>
    <row r="6019" spans="3:5" x14ac:dyDescent="0.25">
      <c r="C6019" s="4"/>
      <c r="E6019" s="4"/>
    </row>
    <row r="6020" spans="3:5" x14ac:dyDescent="0.25">
      <c r="C6020" s="4"/>
      <c r="E6020" s="4"/>
    </row>
    <row r="6021" spans="3:5" x14ac:dyDescent="0.25">
      <c r="C6021" s="4"/>
      <c r="E6021" s="4"/>
    </row>
    <row r="6022" spans="3:5" x14ac:dyDescent="0.25">
      <c r="C6022" s="4"/>
      <c r="E6022" s="4"/>
    </row>
    <row r="6023" spans="3:5" x14ac:dyDescent="0.25">
      <c r="C6023" s="4"/>
      <c r="E6023" s="4"/>
    </row>
    <row r="6024" spans="3:5" x14ac:dyDescent="0.25">
      <c r="C6024" s="4"/>
      <c r="E6024" s="4"/>
    </row>
    <row r="6025" spans="3:5" x14ac:dyDescent="0.25">
      <c r="C6025" s="4"/>
      <c r="E6025" s="4"/>
    </row>
    <row r="6026" spans="3:5" x14ac:dyDescent="0.25">
      <c r="C6026" s="4"/>
      <c r="E6026" s="4"/>
    </row>
    <row r="6027" spans="3:5" x14ac:dyDescent="0.25">
      <c r="C6027" s="4"/>
      <c r="E6027" s="4"/>
    </row>
    <row r="6028" spans="3:5" x14ac:dyDescent="0.25">
      <c r="C6028" s="4"/>
      <c r="E6028" s="4"/>
    </row>
    <row r="6029" spans="3:5" x14ac:dyDescent="0.25">
      <c r="C6029" s="4"/>
      <c r="E6029" s="4"/>
    </row>
    <row r="6030" spans="3:5" x14ac:dyDescent="0.25">
      <c r="C6030" s="4"/>
      <c r="E6030" s="4"/>
    </row>
    <row r="6031" spans="3:5" x14ac:dyDescent="0.25">
      <c r="C6031" s="4"/>
      <c r="E6031" s="4"/>
    </row>
    <row r="6032" spans="3:5" x14ac:dyDescent="0.25">
      <c r="C6032" s="4"/>
      <c r="E6032" s="4"/>
    </row>
    <row r="6033" spans="3:5" x14ac:dyDescent="0.25">
      <c r="C6033" s="4"/>
      <c r="E6033" s="4"/>
    </row>
    <row r="6034" spans="3:5" x14ac:dyDescent="0.25">
      <c r="C6034" s="4"/>
      <c r="E6034" s="4"/>
    </row>
    <row r="6035" spans="3:5" x14ac:dyDescent="0.25">
      <c r="C6035" s="4"/>
      <c r="E6035" s="4"/>
    </row>
    <row r="6036" spans="3:5" x14ac:dyDescent="0.25">
      <c r="C6036" s="4"/>
      <c r="E6036" s="4"/>
    </row>
    <row r="6037" spans="3:5" x14ac:dyDescent="0.25">
      <c r="C6037" s="4"/>
      <c r="E6037" s="4"/>
    </row>
    <row r="6038" spans="3:5" x14ac:dyDescent="0.25">
      <c r="C6038" s="4"/>
      <c r="E6038" s="4"/>
    </row>
    <row r="6039" spans="3:5" x14ac:dyDescent="0.25">
      <c r="C6039" s="4"/>
      <c r="E6039" s="4"/>
    </row>
    <row r="6040" spans="3:5" x14ac:dyDescent="0.25">
      <c r="C6040" s="4"/>
      <c r="E6040" s="4"/>
    </row>
    <row r="6041" spans="3:5" x14ac:dyDescent="0.25">
      <c r="C6041" s="4"/>
      <c r="E6041" s="4"/>
    </row>
    <row r="6042" spans="3:5" x14ac:dyDescent="0.25">
      <c r="C6042" s="4"/>
      <c r="E6042" s="4"/>
    </row>
    <row r="6043" spans="3:5" x14ac:dyDescent="0.25">
      <c r="C6043" s="4"/>
      <c r="E6043" s="4"/>
    </row>
    <row r="6044" spans="3:5" x14ac:dyDescent="0.25">
      <c r="C6044" s="4"/>
      <c r="E6044" s="4"/>
    </row>
    <row r="6045" spans="3:5" x14ac:dyDescent="0.25">
      <c r="C6045" s="4"/>
      <c r="E6045" s="4"/>
    </row>
    <row r="6046" spans="3:5" x14ac:dyDescent="0.25">
      <c r="C6046" s="4"/>
      <c r="E6046" s="4"/>
    </row>
    <row r="6047" spans="3:5" x14ac:dyDescent="0.25">
      <c r="C6047" s="4"/>
      <c r="E6047" s="4"/>
    </row>
    <row r="6048" spans="3:5" x14ac:dyDescent="0.25">
      <c r="C6048" s="4"/>
      <c r="E6048" s="4"/>
    </row>
    <row r="6049" spans="3:5" x14ac:dyDescent="0.25">
      <c r="C6049" s="4"/>
      <c r="E6049" s="4"/>
    </row>
    <row r="6050" spans="3:5" x14ac:dyDescent="0.25">
      <c r="C6050" s="4"/>
      <c r="E6050" s="4"/>
    </row>
    <row r="6051" spans="3:5" x14ac:dyDescent="0.25">
      <c r="C6051" s="4"/>
      <c r="E6051" s="4"/>
    </row>
    <row r="6052" spans="3:5" x14ac:dyDescent="0.25">
      <c r="C6052" s="4"/>
      <c r="E6052" s="4"/>
    </row>
    <row r="6053" spans="3:5" x14ac:dyDescent="0.25">
      <c r="C6053" s="4"/>
      <c r="E6053" s="4"/>
    </row>
    <row r="6054" spans="3:5" x14ac:dyDescent="0.25">
      <c r="C6054" s="4"/>
      <c r="E6054" s="4"/>
    </row>
    <row r="6055" spans="3:5" x14ac:dyDescent="0.25">
      <c r="C6055" s="4"/>
      <c r="E6055" s="4"/>
    </row>
    <row r="6056" spans="3:5" x14ac:dyDescent="0.25">
      <c r="C6056" s="4"/>
      <c r="E6056" s="4"/>
    </row>
    <row r="6057" spans="3:5" x14ac:dyDescent="0.25">
      <c r="C6057" s="4"/>
      <c r="E6057" s="4"/>
    </row>
    <row r="6058" spans="3:5" x14ac:dyDescent="0.25">
      <c r="C6058" s="4"/>
      <c r="E6058" s="4"/>
    </row>
    <row r="6059" spans="3:5" x14ac:dyDescent="0.25">
      <c r="C6059" s="4"/>
      <c r="E6059" s="4"/>
    </row>
    <row r="6060" spans="3:5" x14ac:dyDescent="0.25">
      <c r="C6060" s="4"/>
      <c r="E6060" s="4"/>
    </row>
    <row r="6061" spans="3:5" x14ac:dyDescent="0.25">
      <c r="C6061" s="4"/>
      <c r="E6061" s="4"/>
    </row>
    <row r="6062" spans="3:5" x14ac:dyDescent="0.25">
      <c r="C6062" s="4"/>
      <c r="E6062" s="4"/>
    </row>
    <row r="6063" spans="3:5" x14ac:dyDescent="0.25">
      <c r="C6063" s="4"/>
      <c r="E6063" s="4"/>
    </row>
    <row r="6064" spans="3:5" x14ac:dyDescent="0.25">
      <c r="C6064" s="4"/>
      <c r="E6064" s="4"/>
    </row>
    <row r="6065" spans="3:5" x14ac:dyDescent="0.25">
      <c r="C6065" s="4"/>
      <c r="E6065" s="4"/>
    </row>
    <row r="6066" spans="3:5" x14ac:dyDescent="0.25">
      <c r="C6066" s="4"/>
      <c r="E6066" s="4"/>
    </row>
    <row r="6067" spans="3:5" x14ac:dyDescent="0.25">
      <c r="C6067" s="4"/>
      <c r="E6067" s="4"/>
    </row>
    <row r="6068" spans="3:5" x14ac:dyDescent="0.25">
      <c r="C6068" s="4"/>
      <c r="E6068" s="4"/>
    </row>
    <row r="6069" spans="3:5" x14ac:dyDescent="0.25">
      <c r="C6069" s="4"/>
      <c r="E6069" s="4"/>
    </row>
    <row r="6070" spans="3:5" x14ac:dyDescent="0.25">
      <c r="C6070" s="4"/>
      <c r="E6070" s="4"/>
    </row>
    <row r="6071" spans="3:5" x14ac:dyDescent="0.25">
      <c r="C6071" s="4"/>
      <c r="E6071" s="4"/>
    </row>
    <row r="6072" spans="3:5" x14ac:dyDescent="0.25">
      <c r="C6072" s="4"/>
      <c r="E6072" s="4"/>
    </row>
    <row r="6073" spans="3:5" x14ac:dyDescent="0.25">
      <c r="C6073" s="4"/>
      <c r="E6073" s="4"/>
    </row>
    <row r="6074" spans="3:5" x14ac:dyDescent="0.25">
      <c r="C6074" s="4"/>
      <c r="E6074" s="4"/>
    </row>
    <row r="6075" spans="3:5" x14ac:dyDescent="0.25">
      <c r="C6075" s="4"/>
      <c r="E6075" s="4"/>
    </row>
    <row r="6076" spans="3:5" x14ac:dyDescent="0.25">
      <c r="C6076" s="4"/>
      <c r="E6076" s="4"/>
    </row>
    <row r="6077" spans="3:5" x14ac:dyDescent="0.25">
      <c r="C6077" s="4"/>
      <c r="E6077" s="4"/>
    </row>
    <row r="6078" spans="3:5" x14ac:dyDescent="0.25">
      <c r="C6078" s="4"/>
      <c r="E6078" s="4"/>
    </row>
    <row r="6079" spans="3:5" x14ac:dyDescent="0.25">
      <c r="C6079" s="4"/>
      <c r="E6079" s="4"/>
    </row>
    <row r="6080" spans="3:5" x14ac:dyDescent="0.25">
      <c r="C6080" s="4"/>
      <c r="E6080" s="4"/>
    </row>
    <row r="6081" spans="3:5" x14ac:dyDescent="0.25">
      <c r="C6081" s="4"/>
      <c r="E6081" s="4"/>
    </row>
    <row r="6082" spans="3:5" x14ac:dyDescent="0.25">
      <c r="C6082" s="4"/>
      <c r="E6082" s="4"/>
    </row>
    <row r="6083" spans="3:5" x14ac:dyDescent="0.25">
      <c r="C6083" s="4"/>
      <c r="E6083" s="4"/>
    </row>
    <row r="6084" spans="3:5" x14ac:dyDescent="0.25">
      <c r="C6084" s="4"/>
      <c r="E6084" s="4"/>
    </row>
    <row r="6085" spans="3:5" x14ac:dyDescent="0.25">
      <c r="C6085" s="4"/>
      <c r="E6085" s="4"/>
    </row>
    <row r="6086" spans="3:5" x14ac:dyDescent="0.25">
      <c r="C6086" s="4"/>
      <c r="E6086" s="4"/>
    </row>
    <row r="6087" spans="3:5" x14ac:dyDescent="0.25">
      <c r="C6087" s="4"/>
      <c r="E6087" s="4"/>
    </row>
    <row r="6088" spans="3:5" x14ac:dyDescent="0.25">
      <c r="C6088" s="4"/>
      <c r="E6088" s="4"/>
    </row>
    <row r="6089" spans="3:5" x14ac:dyDescent="0.25">
      <c r="C6089" s="4"/>
      <c r="E6089" s="4"/>
    </row>
    <row r="6090" spans="3:5" x14ac:dyDescent="0.25">
      <c r="C6090" s="4"/>
      <c r="E6090" s="4"/>
    </row>
    <row r="6091" spans="3:5" x14ac:dyDescent="0.25">
      <c r="C6091" s="4"/>
      <c r="E6091" s="4"/>
    </row>
    <row r="6092" spans="3:5" x14ac:dyDescent="0.25">
      <c r="C6092" s="4"/>
      <c r="E6092" s="4"/>
    </row>
    <row r="6093" spans="3:5" x14ac:dyDescent="0.25">
      <c r="C6093" s="4"/>
      <c r="E6093" s="4"/>
    </row>
    <row r="6094" spans="3:5" x14ac:dyDescent="0.25">
      <c r="C6094" s="4"/>
      <c r="E6094" s="4"/>
    </row>
    <row r="6095" spans="3:5" x14ac:dyDescent="0.25">
      <c r="C6095" s="4"/>
      <c r="E6095" s="4"/>
    </row>
    <row r="6096" spans="3:5" x14ac:dyDescent="0.25">
      <c r="C6096" s="4"/>
      <c r="E6096" s="4"/>
    </row>
    <row r="6097" spans="3:5" x14ac:dyDescent="0.25">
      <c r="C6097" s="4"/>
      <c r="E6097" s="4"/>
    </row>
    <row r="6098" spans="3:5" x14ac:dyDescent="0.25">
      <c r="C6098" s="4"/>
      <c r="E6098" s="4"/>
    </row>
    <row r="6099" spans="3:5" x14ac:dyDescent="0.25">
      <c r="C6099" s="4"/>
      <c r="E6099" s="4"/>
    </row>
    <row r="6100" spans="3:5" x14ac:dyDescent="0.25">
      <c r="C6100" s="4"/>
      <c r="E6100" s="4"/>
    </row>
    <row r="6101" spans="3:5" x14ac:dyDescent="0.25">
      <c r="C6101" s="4"/>
      <c r="E6101" s="4"/>
    </row>
    <row r="6102" spans="3:5" x14ac:dyDescent="0.25">
      <c r="C6102" s="4"/>
      <c r="E6102" s="4"/>
    </row>
    <row r="6103" spans="3:5" x14ac:dyDescent="0.25">
      <c r="C6103" s="4"/>
      <c r="E6103" s="4"/>
    </row>
    <row r="6104" spans="3:5" x14ac:dyDescent="0.25">
      <c r="C6104" s="4"/>
      <c r="E6104" s="4"/>
    </row>
    <row r="6105" spans="3:5" x14ac:dyDescent="0.25">
      <c r="C6105" s="4"/>
      <c r="E6105" s="4"/>
    </row>
    <row r="6106" spans="3:5" x14ac:dyDescent="0.25">
      <c r="C6106" s="4"/>
      <c r="E6106" s="4"/>
    </row>
    <row r="6107" spans="3:5" x14ac:dyDescent="0.25">
      <c r="C6107" s="4"/>
      <c r="E6107" s="4"/>
    </row>
    <row r="6108" spans="3:5" x14ac:dyDescent="0.25">
      <c r="C6108" s="4"/>
      <c r="E6108" s="4"/>
    </row>
    <row r="6109" spans="3:5" x14ac:dyDescent="0.25">
      <c r="C6109" s="4"/>
      <c r="E6109" s="4"/>
    </row>
    <row r="6110" spans="3:5" x14ac:dyDescent="0.25">
      <c r="C6110" s="4"/>
      <c r="E6110" s="4"/>
    </row>
    <row r="6111" spans="3:5" x14ac:dyDescent="0.25">
      <c r="C6111" s="4"/>
      <c r="E6111" s="4"/>
    </row>
    <row r="6112" spans="3:5" x14ac:dyDescent="0.25">
      <c r="C6112" s="4"/>
      <c r="E6112" s="4"/>
    </row>
    <row r="6113" spans="3:5" x14ac:dyDescent="0.25">
      <c r="C6113" s="4"/>
      <c r="E6113" s="4"/>
    </row>
    <row r="6114" spans="3:5" x14ac:dyDescent="0.25">
      <c r="C6114" s="4"/>
      <c r="E6114" s="4"/>
    </row>
    <row r="6115" spans="3:5" x14ac:dyDescent="0.25">
      <c r="C6115" s="4"/>
      <c r="E6115" s="4"/>
    </row>
    <row r="6116" spans="3:5" x14ac:dyDescent="0.25">
      <c r="C6116" s="4"/>
      <c r="E6116" s="4"/>
    </row>
    <row r="6117" spans="3:5" x14ac:dyDescent="0.25">
      <c r="C6117" s="4"/>
      <c r="E6117" s="4"/>
    </row>
    <row r="6118" spans="3:5" x14ac:dyDescent="0.25">
      <c r="C6118" s="4"/>
      <c r="E6118" s="4"/>
    </row>
    <row r="6119" spans="3:5" x14ac:dyDescent="0.25">
      <c r="C6119" s="4"/>
      <c r="E6119" s="4"/>
    </row>
    <row r="6120" spans="3:5" x14ac:dyDescent="0.25">
      <c r="C6120" s="4"/>
      <c r="E6120" s="4"/>
    </row>
    <row r="6121" spans="3:5" x14ac:dyDescent="0.25">
      <c r="C6121" s="4"/>
      <c r="E6121" s="4"/>
    </row>
    <row r="6122" spans="3:5" x14ac:dyDescent="0.25">
      <c r="C6122" s="4"/>
      <c r="E6122" s="4"/>
    </row>
    <row r="6123" spans="3:5" x14ac:dyDescent="0.25">
      <c r="C6123" s="4"/>
      <c r="E6123" s="4"/>
    </row>
    <row r="6124" spans="3:5" x14ac:dyDescent="0.25">
      <c r="C6124" s="4"/>
      <c r="E6124" s="4"/>
    </row>
    <row r="6125" spans="3:5" x14ac:dyDescent="0.25">
      <c r="C6125" s="4"/>
      <c r="E6125" s="4"/>
    </row>
    <row r="6126" spans="3:5" x14ac:dyDescent="0.25">
      <c r="C6126" s="4"/>
      <c r="E6126" s="4"/>
    </row>
    <row r="6127" spans="3:5" x14ac:dyDescent="0.25">
      <c r="C6127" s="4"/>
      <c r="E6127" s="4"/>
    </row>
    <row r="6128" spans="3:5" x14ac:dyDescent="0.25">
      <c r="C6128" s="4"/>
      <c r="E6128" s="4"/>
    </row>
    <row r="6129" spans="3:5" x14ac:dyDescent="0.25">
      <c r="C6129" s="4"/>
      <c r="E6129" s="4"/>
    </row>
    <row r="6130" spans="3:5" x14ac:dyDescent="0.25">
      <c r="C6130" s="4"/>
      <c r="E6130" s="4"/>
    </row>
    <row r="6131" spans="3:5" x14ac:dyDescent="0.25">
      <c r="C6131" s="4"/>
      <c r="E6131" s="4"/>
    </row>
    <row r="6132" spans="3:5" x14ac:dyDescent="0.25">
      <c r="C6132" s="4"/>
      <c r="E6132" s="4"/>
    </row>
    <row r="6133" spans="3:5" x14ac:dyDescent="0.25">
      <c r="C6133" s="4"/>
      <c r="E6133" s="4"/>
    </row>
    <row r="6134" spans="3:5" x14ac:dyDescent="0.25">
      <c r="C6134" s="4"/>
      <c r="E6134" s="4"/>
    </row>
    <row r="6135" spans="3:5" x14ac:dyDescent="0.25">
      <c r="C6135" s="4"/>
      <c r="E6135" s="4"/>
    </row>
    <row r="6136" spans="3:5" x14ac:dyDescent="0.25">
      <c r="C6136" s="4"/>
      <c r="E6136" s="4"/>
    </row>
    <row r="6137" spans="3:5" x14ac:dyDescent="0.25">
      <c r="C6137" s="4"/>
      <c r="E6137" s="4"/>
    </row>
    <row r="6138" spans="3:5" x14ac:dyDescent="0.25">
      <c r="C6138" s="4"/>
      <c r="E6138" s="4"/>
    </row>
    <row r="6139" spans="3:5" x14ac:dyDescent="0.25">
      <c r="C6139" s="4"/>
      <c r="E6139" s="4"/>
    </row>
    <row r="6140" spans="3:5" x14ac:dyDescent="0.25">
      <c r="C6140" s="4"/>
      <c r="E6140" s="4"/>
    </row>
    <row r="6141" spans="3:5" x14ac:dyDescent="0.25">
      <c r="C6141" s="4"/>
      <c r="E6141" s="4"/>
    </row>
    <row r="6142" spans="3:5" x14ac:dyDescent="0.25">
      <c r="C6142" s="4"/>
      <c r="E6142" s="4"/>
    </row>
    <row r="6143" spans="3:5" x14ac:dyDescent="0.25">
      <c r="C6143" s="4"/>
      <c r="E6143" s="4"/>
    </row>
    <row r="6144" spans="3:5" x14ac:dyDescent="0.25">
      <c r="C6144" s="4"/>
      <c r="E6144" s="4"/>
    </row>
    <row r="6145" spans="3:5" x14ac:dyDescent="0.25">
      <c r="C6145" s="4"/>
      <c r="E6145" s="4"/>
    </row>
    <row r="6146" spans="3:5" x14ac:dyDescent="0.25">
      <c r="C6146" s="4"/>
      <c r="E6146" s="4"/>
    </row>
    <row r="6147" spans="3:5" x14ac:dyDescent="0.25">
      <c r="C6147" s="4"/>
      <c r="E6147" s="4"/>
    </row>
    <row r="6148" spans="3:5" x14ac:dyDescent="0.25">
      <c r="C6148" s="4"/>
      <c r="E6148" s="4"/>
    </row>
    <row r="6149" spans="3:5" x14ac:dyDescent="0.25">
      <c r="C6149" s="4"/>
      <c r="E6149" s="4"/>
    </row>
    <row r="6150" spans="3:5" x14ac:dyDescent="0.25">
      <c r="C6150" s="4"/>
      <c r="E6150" s="4"/>
    </row>
    <row r="6151" spans="3:5" x14ac:dyDescent="0.25">
      <c r="C6151" s="4"/>
      <c r="E6151" s="4"/>
    </row>
    <row r="6152" spans="3:5" x14ac:dyDescent="0.25">
      <c r="C6152" s="4"/>
      <c r="E6152" s="4"/>
    </row>
    <row r="6153" spans="3:5" x14ac:dyDescent="0.25">
      <c r="C6153" s="4"/>
      <c r="E6153" s="4"/>
    </row>
    <row r="6154" spans="3:5" x14ac:dyDescent="0.25">
      <c r="C6154" s="4"/>
      <c r="E6154" s="4"/>
    </row>
    <row r="6155" spans="3:5" x14ac:dyDescent="0.25">
      <c r="C6155" s="4"/>
      <c r="E6155" s="4"/>
    </row>
    <row r="6156" spans="3:5" x14ac:dyDescent="0.25">
      <c r="C6156" s="4"/>
      <c r="E6156" s="4"/>
    </row>
    <row r="6157" spans="3:5" x14ac:dyDescent="0.25">
      <c r="C6157" s="4"/>
      <c r="E6157" s="4"/>
    </row>
    <row r="6158" spans="3:5" x14ac:dyDescent="0.25">
      <c r="C6158" s="4"/>
      <c r="E6158" s="4"/>
    </row>
    <row r="6159" spans="3:5" x14ac:dyDescent="0.25">
      <c r="C6159" s="4"/>
      <c r="E6159" s="4"/>
    </row>
    <row r="6160" spans="3:5" x14ac:dyDescent="0.25">
      <c r="C6160" s="4"/>
      <c r="E6160" s="4"/>
    </row>
    <row r="6161" spans="3:5" x14ac:dyDescent="0.25">
      <c r="C6161" s="4"/>
      <c r="E6161" s="4"/>
    </row>
    <row r="6162" spans="3:5" x14ac:dyDescent="0.25">
      <c r="C6162" s="4"/>
      <c r="E6162" s="4"/>
    </row>
    <row r="6163" spans="3:5" x14ac:dyDescent="0.25">
      <c r="C6163" s="4"/>
      <c r="E6163" s="4"/>
    </row>
    <row r="6164" spans="3:5" x14ac:dyDescent="0.25">
      <c r="C6164" s="4"/>
      <c r="E6164" s="4"/>
    </row>
    <row r="6165" spans="3:5" x14ac:dyDescent="0.25">
      <c r="C6165" s="4"/>
      <c r="E6165" s="4"/>
    </row>
    <row r="6166" spans="3:5" x14ac:dyDescent="0.25">
      <c r="C6166" s="4"/>
      <c r="E6166" s="4"/>
    </row>
    <row r="6167" spans="3:5" x14ac:dyDescent="0.25">
      <c r="C6167" s="4"/>
      <c r="E6167" s="4"/>
    </row>
    <row r="6168" spans="3:5" x14ac:dyDescent="0.25">
      <c r="C6168" s="4"/>
      <c r="E6168" s="4"/>
    </row>
    <row r="6169" spans="3:5" x14ac:dyDescent="0.25">
      <c r="C6169" s="4"/>
      <c r="E6169" s="4"/>
    </row>
    <row r="6170" spans="3:5" x14ac:dyDescent="0.25">
      <c r="C6170" s="4"/>
      <c r="E6170" s="4"/>
    </row>
    <row r="6171" spans="3:5" x14ac:dyDescent="0.25">
      <c r="C6171" s="4"/>
      <c r="E6171" s="4"/>
    </row>
    <row r="6172" spans="3:5" x14ac:dyDescent="0.25">
      <c r="C6172" s="4"/>
      <c r="E6172" s="4"/>
    </row>
    <row r="6173" spans="3:5" x14ac:dyDescent="0.25">
      <c r="C6173" s="4"/>
      <c r="E6173" s="4"/>
    </row>
    <row r="6174" spans="3:5" x14ac:dyDescent="0.25">
      <c r="C6174" s="4"/>
      <c r="E6174" s="4"/>
    </row>
    <row r="6175" spans="3:5" x14ac:dyDescent="0.25">
      <c r="C6175" s="4"/>
      <c r="E6175" s="4"/>
    </row>
    <row r="6176" spans="3:5" x14ac:dyDescent="0.25">
      <c r="C6176" s="4"/>
      <c r="E6176" s="4"/>
    </row>
    <row r="6177" spans="3:5" x14ac:dyDescent="0.25">
      <c r="C6177" s="4"/>
      <c r="E6177" s="4"/>
    </row>
    <row r="6178" spans="3:5" x14ac:dyDescent="0.25">
      <c r="C6178" s="4"/>
      <c r="E6178" s="4"/>
    </row>
    <row r="6179" spans="3:5" x14ac:dyDescent="0.25">
      <c r="C6179" s="4"/>
      <c r="E6179" s="4"/>
    </row>
    <row r="6180" spans="3:5" x14ac:dyDescent="0.25">
      <c r="C6180" s="4"/>
      <c r="E6180" s="4"/>
    </row>
    <row r="6181" spans="3:5" x14ac:dyDescent="0.25">
      <c r="C6181" s="4"/>
      <c r="E6181" s="4"/>
    </row>
    <row r="6182" spans="3:5" x14ac:dyDescent="0.25">
      <c r="C6182" s="4"/>
      <c r="E6182" s="4"/>
    </row>
    <row r="6183" spans="3:5" x14ac:dyDescent="0.25">
      <c r="C6183" s="4"/>
      <c r="E6183" s="4"/>
    </row>
    <row r="6184" spans="3:5" x14ac:dyDescent="0.25">
      <c r="C6184" s="4"/>
      <c r="E6184" s="4"/>
    </row>
    <row r="6185" spans="3:5" x14ac:dyDescent="0.25">
      <c r="C6185" s="4"/>
      <c r="E6185" s="4"/>
    </row>
    <row r="6186" spans="3:5" x14ac:dyDescent="0.25">
      <c r="C6186" s="4"/>
      <c r="E6186" s="4"/>
    </row>
    <row r="6187" spans="3:5" x14ac:dyDescent="0.25">
      <c r="C6187" s="4"/>
      <c r="E6187" s="4"/>
    </row>
    <row r="6188" spans="3:5" x14ac:dyDescent="0.25">
      <c r="C6188" s="4"/>
      <c r="E6188" s="4"/>
    </row>
    <row r="6189" spans="3:5" x14ac:dyDescent="0.25">
      <c r="C6189" s="4"/>
      <c r="E6189" s="4"/>
    </row>
    <row r="6190" spans="3:5" x14ac:dyDescent="0.25">
      <c r="C6190" s="4"/>
      <c r="E6190" s="4"/>
    </row>
    <row r="6191" spans="3:5" x14ac:dyDescent="0.25">
      <c r="C6191" s="4"/>
      <c r="E6191" s="4"/>
    </row>
    <row r="6192" spans="3:5" x14ac:dyDescent="0.25">
      <c r="C6192" s="4"/>
      <c r="E6192" s="4"/>
    </row>
    <row r="6193" spans="3:5" x14ac:dyDescent="0.25">
      <c r="C6193" s="4"/>
      <c r="E6193" s="4"/>
    </row>
    <row r="6194" spans="3:5" x14ac:dyDescent="0.25">
      <c r="C6194" s="4"/>
      <c r="E6194" s="4"/>
    </row>
    <row r="6195" spans="3:5" x14ac:dyDescent="0.25">
      <c r="C6195" s="4"/>
      <c r="E6195" s="4"/>
    </row>
    <row r="6196" spans="3:5" x14ac:dyDescent="0.25">
      <c r="C6196" s="4"/>
      <c r="E6196" s="4"/>
    </row>
    <row r="6197" spans="3:5" x14ac:dyDescent="0.25">
      <c r="C6197" s="4"/>
      <c r="E6197" s="4"/>
    </row>
    <row r="6198" spans="3:5" x14ac:dyDescent="0.25">
      <c r="C6198" s="4"/>
      <c r="E6198" s="4"/>
    </row>
    <row r="6199" spans="3:5" x14ac:dyDescent="0.25">
      <c r="C6199" s="4"/>
      <c r="E6199" s="4"/>
    </row>
    <row r="6200" spans="3:5" x14ac:dyDescent="0.25">
      <c r="C6200" s="4"/>
      <c r="E6200" s="4"/>
    </row>
    <row r="6201" spans="3:5" x14ac:dyDescent="0.25">
      <c r="C6201" s="4"/>
      <c r="E6201" s="4"/>
    </row>
    <row r="6202" spans="3:5" x14ac:dyDescent="0.25">
      <c r="C6202" s="4"/>
      <c r="E6202" s="4"/>
    </row>
    <row r="6203" spans="3:5" x14ac:dyDescent="0.25">
      <c r="C6203" s="4"/>
      <c r="E6203" s="4"/>
    </row>
    <row r="6204" spans="3:5" x14ac:dyDescent="0.25">
      <c r="C6204" s="4"/>
      <c r="E6204" s="4"/>
    </row>
    <row r="6205" spans="3:5" x14ac:dyDescent="0.25">
      <c r="C6205" s="4"/>
      <c r="E6205" s="4"/>
    </row>
    <row r="6206" spans="3:5" x14ac:dyDescent="0.25">
      <c r="C6206" s="4"/>
      <c r="E6206" s="4"/>
    </row>
    <row r="6207" spans="3:5" x14ac:dyDescent="0.25">
      <c r="C6207" s="4"/>
      <c r="E6207" s="4"/>
    </row>
    <row r="6208" spans="3:5" x14ac:dyDescent="0.25">
      <c r="C6208" s="4"/>
      <c r="E6208" s="4"/>
    </row>
    <row r="6209" spans="3:5" x14ac:dyDescent="0.25">
      <c r="C6209" s="4"/>
      <c r="E6209" s="4"/>
    </row>
    <row r="6210" spans="3:5" x14ac:dyDescent="0.25">
      <c r="C6210" s="4"/>
      <c r="E6210" s="4"/>
    </row>
    <row r="6211" spans="3:5" x14ac:dyDescent="0.25">
      <c r="C6211" s="4"/>
      <c r="E6211" s="4"/>
    </row>
    <row r="6212" spans="3:5" x14ac:dyDescent="0.25">
      <c r="C6212" s="4"/>
      <c r="E6212" s="4"/>
    </row>
    <row r="6213" spans="3:5" x14ac:dyDescent="0.25">
      <c r="C6213" s="4"/>
      <c r="E6213" s="4"/>
    </row>
    <row r="6214" spans="3:5" x14ac:dyDescent="0.25">
      <c r="C6214" s="4"/>
      <c r="E6214" s="4"/>
    </row>
    <row r="6215" spans="3:5" x14ac:dyDescent="0.25">
      <c r="C6215" s="4"/>
      <c r="E6215" s="4"/>
    </row>
    <row r="6216" spans="3:5" x14ac:dyDescent="0.25">
      <c r="C6216" s="4"/>
      <c r="E6216" s="4"/>
    </row>
    <row r="6217" spans="3:5" x14ac:dyDescent="0.25">
      <c r="C6217" s="4"/>
      <c r="E6217" s="4"/>
    </row>
    <row r="6218" spans="3:5" x14ac:dyDescent="0.25">
      <c r="C6218" s="4"/>
      <c r="E6218" s="4"/>
    </row>
    <row r="6219" spans="3:5" x14ac:dyDescent="0.25">
      <c r="C6219" s="4"/>
      <c r="E6219" s="4"/>
    </row>
    <row r="6220" spans="3:5" x14ac:dyDescent="0.25">
      <c r="C6220" s="4"/>
      <c r="E6220" s="4"/>
    </row>
    <row r="6221" spans="3:5" x14ac:dyDescent="0.25">
      <c r="C6221" s="4"/>
      <c r="E6221" s="4"/>
    </row>
    <row r="6222" spans="3:5" x14ac:dyDescent="0.25">
      <c r="C6222" s="4"/>
      <c r="E6222" s="4"/>
    </row>
    <row r="6223" spans="3:5" x14ac:dyDescent="0.25">
      <c r="C6223" s="4"/>
      <c r="E6223" s="4"/>
    </row>
    <row r="6224" spans="3:5" x14ac:dyDescent="0.25">
      <c r="C6224" s="4"/>
      <c r="E6224" s="4"/>
    </row>
    <row r="6225" spans="3:5" x14ac:dyDescent="0.25">
      <c r="C6225" s="4"/>
      <c r="E6225" s="4"/>
    </row>
    <row r="6226" spans="3:5" x14ac:dyDescent="0.25">
      <c r="C6226" s="4"/>
      <c r="E6226" s="4"/>
    </row>
    <row r="6227" spans="3:5" x14ac:dyDescent="0.25">
      <c r="C6227" s="4"/>
      <c r="E6227" s="4"/>
    </row>
    <row r="6228" spans="3:5" x14ac:dyDescent="0.25">
      <c r="C6228" s="4"/>
      <c r="E6228" s="4"/>
    </row>
    <row r="6229" spans="3:5" x14ac:dyDescent="0.25">
      <c r="C6229" s="4"/>
      <c r="E6229" s="4"/>
    </row>
    <row r="6230" spans="3:5" x14ac:dyDescent="0.25">
      <c r="C6230" s="4"/>
      <c r="E6230" s="4"/>
    </row>
    <row r="6231" spans="3:5" x14ac:dyDescent="0.25">
      <c r="C6231" s="4"/>
      <c r="E6231" s="4"/>
    </row>
    <row r="6232" spans="3:5" x14ac:dyDescent="0.25">
      <c r="C6232" s="4"/>
      <c r="E6232" s="4"/>
    </row>
    <row r="6233" spans="3:5" x14ac:dyDescent="0.25">
      <c r="C6233" s="4"/>
      <c r="E6233" s="4"/>
    </row>
    <row r="6234" spans="3:5" x14ac:dyDescent="0.25">
      <c r="C6234" s="4"/>
      <c r="E6234" s="4"/>
    </row>
    <row r="6235" spans="3:5" x14ac:dyDescent="0.25">
      <c r="C6235" s="4"/>
      <c r="E6235" s="4"/>
    </row>
    <row r="6236" spans="3:5" x14ac:dyDescent="0.25">
      <c r="C6236" s="4"/>
      <c r="E6236" s="4"/>
    </row>
    <row r="6237" spans="3:5" x14ac:dyDescent="0.25">
      <c r="C6237" s="4"/>
      <c r="E6237" s="4"/>
    </row>
    <row r="6238" spans="3:5" x14ac:dyDescent="0.25">
      <c r="C6238" s="4"/>
      <c r="E6238" s="4"/>
    </row>
    <row r="6239" spans="3:5" x14ac:dyDescent="0.25">
      <c r="C6239" s="4"/>
      <c r="E6239" s="4"/>
    </row>
    <row r="6240" spans="3:5" x14ac:dyDescent="0.25">
      <c r="C6240" s="4"/>
      <c r="E6240" s="4"/>
    </row>
    <row r="6241" spans="3:5" x14ac:dyDescent="0.25">
      <c r="C6241" s="4"/>
      <c r="E6241" s="4"/>
    </row>
    <row r="6242" spans="3:5" x14ac:dyDescent="0.25">
      <c r="C6242" s="4"/>
      <c r="E6242" s="4"/>
    </row>
    <row r="6243" spans="3:5" x14ac:dyDescent="0.25">
      <c r="C6243" s="4"/>
      <c r="E6243" s="4"/>
    </row>
    <row r="6244" spans="3:5" x14ac:dyDescent="0.25">
      <c r="C6244" s="4"/>
      <c r="E6244" s="4"/>
    </row>
    <row r="6245" spans="3:5" x14ac:dyDescent="0.25">
      <c r="C6245" s="4"/>
      <c r="E6245" s="4"/>
    </row>
    <row r="6246" spans="3:5" x14ac:dyDescent="0.25">
      <c r="C6246" s="4"/>
      <c r="E6246" s="4"/>
    </row>
    <row r="6247" spans="3:5" x14ac:dyDescent="0.25">
      <c r="C6247" s="4"/>
      <c r="E6247" s="4"/>
    </row>
    <row r="6248" spans="3:5" x14ac:dyDescent="0.25">
      <c r="C6248" s="4"/>
      <c r="E6248" s="4"/>
    </row>
    <row r="6249" spans="3:5" x14ac:dyDescent="0.25">
      <c r="C6249" s="4"/>
      <c r="E6249" s="4"/>
    </row>
    <row r="6250" spans="3:5" x14ac:dyDescent="0.25">
      <c r="C6250" s="4"/>
      <c r="E6250" s="4"/>
    </row>
    <row r="6251" spans="3:5" x14ac:dyDescent="0.25">
      <c r="C6251" s="4"/>
      <c r="E6251" s="4"/>
    </row>
    <row r="6252" spans="3:5" x14ac:dyDescent="0.25">
      <c r="C6252" s="4"/>
      <c r="E6252" s="4"/>
    </row>
    <row r="6253" spans="3:5" x14ac:dyDescent="0.25">
      <c r="C6253" s="4"/>
      <c r="E6253" s="4"/>
    </row>
    <row r="6254" spans="3:5" x14ac:dyDescent="0.25">
      <c r="C6254" s="4"/>
      <c r="E6254" s="4"/>
    </row>
    <row r="6255" spans="3:5" x14ac:dyDescent="0.25">
      <c r="C6255" s="4"/>
      <c r="E6255" s="4"/>
    </row>
    <row r="6256" spans="3:5" x14ac:dyDescent="0.25">
      <c r="C6256" s="4"/>
      <c r="E6256" s="4"/>
    </row>
    <row r="6257" spans="3:5" x14ac:dyDescent="0.25">
      <c r="C6257" s="4"/>
      <c r="E6257" s="4"/>
    </row>
    <row r="6258" spans="3:5" x14ac:dyDescent="0.25">
      <c r="C6258" s="4"/>
      <c r="E6258" s="4"/>
    </row>
    <row r="6259" spans="3:5" x14ac:dyDescent="0.25">
      <c r="C6259" s="4"/>
      <c r="E6259" s="4"/>
    </row>
    <row r="6260" spans="3:5" x14ac:dyDescent="0.25">
      <c r="C6260" s="4"/>
      <c r="E6260" s="4"/>
    </row>
    <row r="6261" spans="3:5" x14ac:dyDescent="0.25">
      <c r="C6261" s="4"/>
      <c r="E6261" s="4"/>
    </row>
    <row r="6262" spans="3:5" x14ac:dyDescent="0.25">
      <c r="C6262" s="4"/>
      <c r="E6262" s="4"/>
    </row>
    <row r="6263" spans="3:5" x14ac:dyDescent="0.25">
      <c r="C6263" s="4"/>
      <c r="E6263" s="4"/>
    </row>
    <row r="6264" spans="3:5" x14ac:dyDescent="0.25">
      <c r="C6264" s="4"/>
      <c r="E6264" s="4"/>
    </row>
    <row r="6265" spans="3:5" x14ac:dyDescent="0.25">
      <c r="C6265" s="4"/>
      <c r="E6265" s="4"/>
    </row>
    <row r="6266" spans="3:5" x14ac:dyDescent="0.25">
      <c r="C6266" s="4"/>
      <c r="E6266" s="4"/>
    </row>
    <row r="6267" spans="3:5" x14ac:dyDescent="0.25">
      <c r="C6267" s="4"/>
      <c r="E6267" s="4"/>
    </row>
    <row r="6268" spans="3:5" x14ac:dyDescent="0.25">
      <c r="C6268" s="4"/>
      <c r="E6268" s="4"/>
    </row>
    <row r="6269" spans="3:5" x14ac:dyDescent="0.25">
      <c r="C6269" s="4"/>
      <c r="E6269" s="4"/>
    </row>
    <row r="6270" spans="3:5" x14ac:dyDescent="0.25">
      <c r="C6270" s="4"/>
      <c r="E6270" s="4"/>
    </row>
    <row r="6271" spans="3:5" x14ac:dyDescent="0.25">
      <c r="C6271" s="4"/>
      <c r="E6271" s="4"/>
    </row>
    <row r="6272" spans="3:5" x14ac:dyDescent="0.25">
      <c r="C6272" s="4"/>
      <c r="E6272" s="4"/>
    </row>
    <row r="6273" spans="3:5" x14ac:dyDescent="0.25">
      <c r="C6273" s="4"/>
      <c r="E6273" s="4"/>
    </row>
    <row r="6274" spans="3:5" x14ac:dyDescent="0.25">
      <c r="C6274" s="4"/>
      <c r="E6274" s="4"/>
    </row>
    <row r="6275" spans="3:5" x14ac:dyDescent="0.25">
      <c r="C6275" s="4"/>
      <c r="E6275" s="4"/>
    </row>
    <row r="6276" spans="3:5" x14ac:dyDescent="0.25">
      <c r="C6276" s="4"/>
      <c r="E6276" s="4"/>
    </row>
    <row r="6277" spans="3:5" x14ac:dyDescent="0.25">
      <c r="C6277" s="4"/>
      <c r="E6277" s="4"/>
    </row>
    <row r="6278" spans="3:5" x14ac:dyDescent="0.25">
      <c r="C6278" s="4"/>
      <c r="E6278" s="4"/>
    </row>
    <row r="6279" spans="3:5" x14ac:dyDescent="0.25">
      <c r="C6279" s="4"/>
      <c r="E6279" s="4"/>
    </row>
    <row r="6280" spans="3:5" x14ac:dyDescent="0.25">
      <c r="C6280" s="4"/>
      <c r="E6280" s="4"/>
    </row>
    <row r="6281" spans="3:5" x14ac:dyDescent="0.25">
      <c r="C6281" s="4"/>
      <c r="E6281" s="4"/>
    </row>
    <row r="6282" spans="3:5" x14ac:dyDescent="0.25">
      <c r="C6282" s="4"/>
      <c r="E6282" s="4"/>
    </row>
    <row r="6283" spans="3:5" x14ac:dyDescent="0.25">
      <c r="C6283" s="4"/>
      <c r="E6283" s="4"/>
    </row>
    <row r="6284" spans="3:5" x14ac:dyDescent="0.25">
      <c r="C6284" s="4"/>
      <c r="E6284" s="4"/>
    </row>
    <row r="6285" spans="3:5" x14ac:dyDescent="0.25">
      <c r="C6285" s="4"/>
      <c r="E6285" s="4"/>
    </row>
    <row r="6286" spans="3:5" x14ac:dyDescent="0.25">
      <c r="C6286" s="4"/>
      <c r="E6286" s="4"/>
    </row>
    <row r="6287" spans="3:5" x14ac:dyDescent="0.25">
      <c r="C6287" s="4"/>
      <c r="E6287" s="4"/>
    </row>
    <row r="6288" spans="3:5" x14ac:dyDescent="0.25">
      <c r="C6288" s="4"/>
      <c r="E6288" s="4"/>
    </row>
    <row r="6289" spans="3:5" x14ac:dyDescent="0.25">
      <c r="C6289" s="4"/>
      <c r="E6289" s="4"/>
    </row>
    <row r="6290" spans="3:5" x14ac:dyDescent="0.25">
      <c r="C6290" s="4"/>
      <c r="E6290" s="4"/>
    </row>
    <row r="6291" spans="3:5" x14ac:dyDescent="0.25">
      <c r="C6291" s="4"/>
      <c r="E6291" s="4"/>
    </row>
    <row r="6292" spans="3:5" x14ac:dyDescent="0.25">
      <c r="C6292" s="4"/>
      <c r="E6292" s="4"/>
    </row>
    <row r="6293" spans="3:5" x14ac:dyDescent="0.25">
      <c r="C6293" s="4"/>
      <c r="E6293" s="4"/>
    </row>
    <row r="6294" spans="3:5" x14ac:dyDescent="0.25">
      <c r="C6294" s="4"/>
      <c r="E6294" s="4"/>
    </row>
    <row r="6295" spans="3:5" x14ac:dyDescent="0.25">
      <c r="C6295" s="4"/>
      <c r="E6295" s="4"/>
    </row>
    <row r="6296" spans="3:5" x14ac:dyDescent="0.25">
      <c r="C6296" s="4"/>
      <c r="E6296" s="4"/>
    </row>
    <row r="6297" spans="3:5" x14ac:dyDescent="0.25">
      <c r="C6297" s="4"/>
      <c r="E6297" s="4"/>
    </row>
    <row r="6298" spans="3:5" x14ac:dyDescent="0.25">
      <c r="C6298" s="4"/>
      <c r="E6298" s="4"/>
    </row>
    <row r="6299" spans="3:5" x14ac:dyDescent="0.25">
      <c r="C6299" s="4"/>
      <c r="E6299" s="4"/>
    </row>
    <row r="6300" spans="3:5" x14ac:dyDescent="0.25">
      <c r="C6300" s="4"/>
      <c r="E6300" s="4"/>
    </row>
    <row r="6301" spans="3:5" x14ac:dyDescent="0.25">
      <c r="C6301" s="4"/>
      <c r="E6301" s="4"/>
    </row>
    <row r="6302" spans="3:5" x14ac:dyDescent="0.25">
      <c r="C6302" s="4"/>
      <c r="E6302" s="4"/>
    </row>
    <row r="6303" spans="3:5" x14ac:dyDescent="0.25">
      <c r="C6303" s="4"/>
      <c r="E6303" s="4"/>
    </row>
    <row r="6304" spans="3:5" x14ac:dyDescent="0.25">
      <c r="C6304" s="4"/>
      <c r="E6304" s="4"/>
    </row>
    <row r="6305" spans="3:5" x14ac:dyDescent="0.25">
      <c r="C6305" s="4"/>
      <c r="E6305" s="4"/>
    </row>
    <row r="6306" spans="3:5" x14ac:dyDescent="0.25">
      <c r="C6306" s="4"/>
      <c r="E6306" s="4"/>
    </row>
    <row r="6307" spans="3:5" x14ac:dyDescent="0.25">
      <c r="C6307" s="4"/>
      <c r="E6307" s="4"/>
    </row>
    <row r="6308" spans="3:5" x14ac:dyDescent="0.25">
      <c r="C6308" s="4"/>
      <c r="E6308" s="4"/>
    </row>
    <row r="6309" spans="3:5" x14ac:dyDescent="0.25">
      <c r="C6309" s="4"/>
      <c r="E6309" s="4"/>
    </row>
    <row r="6310" spans="3:5" x14ac:dyDescent="0.25">
      <c r="C6310" s="4"/>
      <c r="E6310" s="4"/>
    </row>
    <row r="6311" spans="3:5" x14ac:dyDescent="0.25">
      <c r="C6311" s="4"/>
      <c r="E6311" s="4"/>
    </row>
    <row r="6312" spans="3:5" x14ac:dyDescent="0.25">
      <c r="C6312" s="4"/>
      <c r="E6312" s="4"/>
    </row>
    <row r="6313" spans="3:5" x14ac:dyDescent="0.25">
      <c r="C6313" s="4"/>
      <c r="E6313" s="4"/>
    </row>
    <row r="6314" spans="3:5" x14ac:dyDescent="0.25">
      <c r="C6314" s="4"/>
      <c r="E6314" s="4"/>
    </row>
    <row r="6315" spans="3:5" x14ac:dyDescent="0.25">
      <c r="C6315" s="4"/>
      <c r="E6315" s="4"/>
    </row>
    <row r="6316" spans="3:5" x14ac:dyDescent="0.25">
      <c r="C6316" s="4"/>
      <c r="E6316" s="4"/>
    </row>
    <row r="6317" spans="3:5" x14ac:dyDescent="0.25">
      <c r="C6317" s="4"/>
      <c r="E6317" s="4"/>
    </row>
    <row r="6318" spans="3:5" x14ac:dyDescent="0.25">
      <c r="C6318" s="4"/>
      <c r="E6318" s="4"/>
    </row>
    <row r="6319" spans="3:5" x14ac:dyDescent="0.25">
      <c r="C6319" s="4"/>
      <c r="E6319" s="4"/>
    </row>
    <row r="6320" spans="3:5" x14ac:dyDescent="0.25">
      <c r="C6320" s="4"/>
      <c r="E6320" s="4"/>
    </row>
    <row r="6321" spans="3:5" x14ac:dyDescent="0.25">
      <c r="C6321" s="4"/>
      <c r="E6321" s="4"/>
    </row>
    <row r="6322" spans="3:5" x14ac:dyDescent="0.25">
      <c r="C6322" s="4"/>
      <c r="E6322" s="4"/>
    </row>
    <row r="6323" spans="3:5" x14ac:dyDescent="0.25">
      <c r="C6323" s="4"/>
      <c r="E6323" s="4"/>
    </row>
    <row r="6324" spans="3:5" x14ac:dyDescent="0.25">
      <c r="C6324" s="4"/>
      <c r="E6324" s="4"/>
    </row>
    <row r="6325" spans="3:5" x14ac:dyDescent="0.25">
      <c r="C6325" s="4"/>
      <c r="E6325" s="4"/>
    </row>
    <row r="6326" spans="3:5" x14ac:dyDescent="0.25">
      <c r="C6326" s="4"/>
      <c r="E6326" s="4"/>
    </row>
    <row r="6327" spans="3:5" x14ac:dyDescent="0.25">
      <c r="C6327" s="4"/>
      <c r="E6327" s="4"/>
    </row>
    <row r="6328" spans="3:5" x14ac:dyDescent="0.25">
      <c r="C6328" s="4"/>
      <c r="E6328" s="4"/>
    </row>
    <row r="6329" spans="3:5" x14ac:dyDescent="0.25">
      <c r="C6329" s="4"/>
      <c r="E6329" s="4"/>
    </row>
    <row r="6330" spans="3:5" x14ac:dyDescent="0.25">
      <c r="C6330" s="4"/>
      <c r="E6330" s="4"/>
    </row>
    <row r="6331" spans="3:5" x14ac:dyDescent="0.25">
      <c r="C6331" s="4"/>
      <c r="E6331" s="4"/>
    </row>
    <row r="6332" spans="3:5" x14ac:dyDescent="0.25">
      <c r="C6332" s="4"/>
      <c r="E6332" s="4"/>
    </row>
    <row r="6333" spans="3:5" x14ac:dyDescent="0.25">
      <c r="C6333" s="4"/>
      <c r="E6333" s="4"/>
    </row>
    <row r="6334" spans="3:5" x14ac:dyDescent="0.25">
      <c r="C6334" s="4"/>
      <c r="E6334" s="4"/>
    </row>
    <row r="6335" spans="3:5" x14ac:dyDescent="0.25">
      <c r="C6335" s="4"/>
      <c r="E6335" s="4"/>
    </row>
    <row r="6336" spans="3:5" x14ac:dyDescent="0.25">
      <c r="C6336" s="4"/>
      <c r="E6336" s="4"/>
    </row>
    <row r="6337" spans="3:5" x14ac:dyDescent="0.25">
      <c r="C6337" s="4"/>
      <c r="E6337" s="4"/>
    </row>
    <row r="6338" spans="3:5" x14ac:dyDescent="0.25">
      <c r="C6338" s="4"/>
      <c r="E6338" s="4"/>
    </row>
    <row r="6339" spans="3:5" x14ac:dyDescent="0.25">
      <c r="C6339" s="4"/>
      <c r="E6339" s="4"/>
    </row>
    <row r="6340" spans="3:5" x14ac:dyDescent="0.25">
      <c r="C6340" s="4"/>
      <c r="E6340" s="4"/>
    </row>
    <row r="6341" spans="3:5" x14ac:dyDescent="0.25">
      <c r="C6341" s="4"/>
      <c r="E6341" s="4"/>
    </row>
    <row r="6342" spans="3:5" x14ac:dyDescent="0.25">
      <c r="C6342" s="4"/>
      <c r="E6342" s="4"/>
    </row>
    <row r="6343" spans="3:5" x14ac:dyDescent="0.25">
      <c r="C6343" s="4"/>
      <c r="E6343" s="4"/>
    </row>
    <row r="6344" spans="3:5" x14ac:dyDescent="0.25">
      <c r="C6344" s="4"/>
      <c r="E6344" s="4"/>
    </row>
    <row r="6345" spans="3:5" x14ac:dyDescent="0.25">
      <c r="C6345" s="4"/>
      <c r="E6345" s="4"/>
    </row>
    <row r="6346" spans="3:5" x14ac:dyDescent="0.25">
      <c r="C6346" s="4"/>
      <c r="E6346" s="4"/>
    </row>
    <row r="6347" spans="3:5" x14ac:dyDescent="0.25">
      <c r="C6347" s="4"/>
      <c r="E6347" s="4"/>
    </row>
    <row r="6348" spans="3:5" x14ac:dyDescent="0.25">
      <c r="C6348" s="4"/>
      <c r="E6348" s="4"/>
    </row>
    <row r="6349" spans="3:5" x14ac:dyDescent="0.25">
      <c r="C6349" s="4"/>
      <c r="E6349" s="4"/>
    </row>
    <row r="6350" spans="3:5" x14ac:dyDescent="0.25">
      <c r="C6350" s="4"/>
      <c r="E6350" s="4"/>
    </row>
    <row r="6351" spans="3:5" x14ac:dyDescent="0.25">
      <c r="C6351" s="4"/>
      <c r="E6351" s="4"/>
    </row>
    <row r="6352" spans="3:5" x14ac:dyDescent="0.25">
      <c r="C6352" s="4"/>
      <c r="E6352" s="4"/>
    </row>
    <row r="6353" spans="3:5" x14ac:dyDescent="0.25">
      <c r="C6353" s="4"/>
      <c r="E6353" s="4"/>
    </row>
    <row r="6354" spans="3:5" x14ac:dyDescent="0.25">
      <c r="C6354" s="4"/>
      <c r="E6354" s="4"/>
    </row>
    <row r="6355" spans="3:5" x14ac:dyDescent="0.25">
      <c r="C6355" s="4"/>
      <c r="E6355" s="4"/>
    </row>
    <row r="6356" spans="3:5" x14ac:dyDescent="0.25">
      <c r="C6356" s="4"/>
      <c r="E6356" s="4"/>
    </row>
    <row r="6357" spans="3:5" x14ac:dyDescent="0.25">
      <c r="C6357" s="4"/>
      <c r="E6357" s="4"/>
    </row>
    <row r="6358" spans="3:5" x14ac:dyDescent="0.25">
      <c r="C6358" s="4"/>
      <c r="E6358" s="4"/>
    </row>
    <row r="6359" spans="3:5" x14ac:dyDescent="0.25">
      <c r="C6359" s="4"/>
      <c r="E6359" s="4"/>
    </row>
    <row r="6360" spans="3:5" x14ac:dyDescent="0.25">
      <c r="C6360" s="4"/>
      <c r="E6360" s="4"/>
    </row>
    <row r="6361" spans="3:5" x14ac:dyDescent="0.25">
      <c r="C6361" s="4"/>
      <c r="E6361" s="4"/>
    </row>
    <row r="6362" spans="3:5" x14ac:dyDescent="0.25">
      <c r="C6362" s="4"/>
      <c r="E6362" s="4"/>
    </row>
    <row r="6363" spans="3:5" x14ac:dyDescent="0.25">
      <c r="C6363" s="4"/>
      <c r="E6363" s="4"/>
    </row>
    <row r="6364" spans="3:5" x14ac:dyDescent="0.25">
      <c r="C6364" s="4"/>
      <c r="E6364" s="4"/>
    </row>
    <row r="6365" spans="3:5" x14ac:dyDescent="0.25">
      <c r="C6365" s="4"/>
      <c r="E6365" s="4"/>
    </row>
    <row r="6366" spans="3:5" x14ac:dyDescent="0.25">
      <c r="C6366" s="4"/>
      <c r="E6366" s="4"/>
    </row>
    <row r="6367" spans="3:5" x14ac:dyDescent="0.25">
      <c r="C6367" s="4"/>
      <c r="E6367" s="4"/>
    </row>
    <row r="6368" spans="3:5" x14ac:dyDescent="0.25">
      <c r="C6368" s="4"/>
      <c r="E6368" s="4"/>
    </row>
    <row r="6369" spans="3:5" x14ac:dyDescent="0.25">
      <c r="C6369" s="4"/>
      <c r="E6369" s="4"/>
    </row>
    <row r="6370" spans="3:5" x14ac:dyDescent="0.25">
      <c r="C6370" s="4"/>
      <c r="E6370" s="4"/>
    </row>
    <row r="6371" spans="3:5" x14ac:dyDescent="0.25">
      <c r="C6371" s="4"/>
      <c r="E6371" s="4"/>
    </row>
    <row r="6372" spans="3:5" x14ac:dyDescent="0.25">
      <c r="C6372" s="4"/>
      <c r="E6372" s="4"/>
    </row>
    <row r="6373" spans="3:5" x14ac:dyDescent="0.25">
      <c r="C6373" s="4"/>
      <c r="E6373" s="4"/>
    </row>
    <row r="6374" spans="3:5" x14ac:dyDescent="0.25">
      <c r="C6374" s="4"/>
      <c r="E6374" s="4"/>
    </row>
    <row r="6375" spans="3:5" x14ac:dyDescent="0.25">
      <c r="C6375" s="4"/>
      <c r="E6375" s="4"/>
    </row>
    <row r="6376" spans="3:5" x14ac:dyDescent="0.25">
      <c r="C6376" s="4"/>
      <c r="E6376" s="4"/>
    </row>
    <row r="6377" spans="3:5" x14ac:dyDescent="0.25">
      <c r="C6377" s="4"/>
      <c r="E6377" s="4"/>
    </row>
    <row r="6378" spans="3:5" x14ac:dyDescent="0.25">
      <c r="C6378" s="4"/>
      <c r="E6378" s="4"/>
    </row>
    <row r="6379" spans="3:5" x14ac:dyDescent="0.25">
      <c r="C6379" s="4"/>
      <c r="E6379" s="4"/>
    </row>
    <row r="6380" spans="3:5" x14ac:dyDescent="0.25">
      <c r="C6380" s="4"/>
      <c r="E6380" s="4"/>
    </row>
    <row r="6381" spans="3:5" x14ac:dyDescent="0.25">
      <c r="C6381" s="4"/>
      <c r="E6381" s="4"/>
    </row>
    <row r="6382" spans="3:5" x14ac:dyDescent="0.25">
      <c r="C6382" s="4"/>
      <c r="E6382" s="4"/>
    </row>
    <row r="6383" spans="3:5" x14ac:dyDescent="0.25">
      <c r="C6383" s="4"/>
      <c r="E6383" s="4"/>
    </row>
    <row r="6384" spans="3:5" x14ac:dyDescent="0.25">
      <c r="C6384" s="4"/>
      <c r="E6384" s="4"/>
    </row>
    <row r="6385" spans="3:5" x14ac:dyDescent="0.25">
      <c r="C6385" s="4"/>
      <c r="E6385" s="4"/>
    </row>
    <row r="6386" spans="3:5" x14ac:dyDescent="0.25">
      <c r="C6386" s="4"/>
      <c r="E6386" s="4"/>
    </row>
    <row r="6387" spans="3:5" x14ac:dyDescent="0.25">
      <c r="C6387" s="4"/>
      <c r="E6387" s="4"/>
    </row>
    <row r="6388" spans="3:5" x14ac:dyDescent="0.25">
      <c r="C6388" s="4"/>
      <c r="E6388" s="4"/>
    </row>
    <row r="6389" spans="3:5" x14ac:dyDescent="0.25">
      <c r="C6389" s="4"/>
      <c r="E6389" s="4"/>
    </row>
    <row r="6390" spans="3:5" x14ac:dyDescent="0.25">
      <c r="C6390" s="4"/>
      <c r="E6390" s="4"/>
    </row>
    <row r="6391" spans="3:5" x14ac:dyDescent="0.25">
      <c r="C6391" s="4"/>
      <c r="E6391" s="4"/>
    </row>
    <row r="6392" spans="3:5" x14ac:dyDescent="0.25">
      <c r="C6392" s="4"/>
      <c r="E6392" s="4"/>
    </row>
    <row r="6393" spans="3:5" x14ac:dyDescent="0.25">
      <c r="C6393" s="4"/>
      <c r="E6393" s="4"/>
    </row>
    <row r="6394" spans="3:5" x14ac:dyDescent="0.25">
      <c r="C6394" s="4"/>
      <c r="E6394" s="4"/>
    </row>
    <row r="6395" spans="3:5" x14ac:dyDescent="0.25">
      <c r="C6395" s="4"/>
      <c r="E6395" s="4"/>
    </row>
    <row r="6396" spans="3:5" x14ac:dyDescent="0.25">
      <c r="C6396" s="4"/>
      <c r="E6396" s="4"/>
    </row>
    <row r="6397" spans="3:5" x14ac:dyDescent="0.25">
      <c r="C6397" s="4"/>
      <c r="E6397" s="4"/>
    </row>
    <row r="6398" spans="3:5" x14ac:dyDescent="0.25">
      <c r="C6398" s="4"/>
      <c r="E6398" s="4"/>
    </row>
    <row r="6399" spans="3:5" x14ac:dyDescent="0.25">
      <c r="C6399" s="4"/>
      <c r="E6399" s="4"/>
    </row>
    <row r="6400" spans="3:5" x14ac:dyDescent="0.25">
      <c r="C6400" s="4"/>
      <c r="E6400" s="4"/>
    </row>
    <row r="6401" spans="3:5" x14ac:dyDescent="0.25">
      <c r="C6401" s="4"/>
      <c r="E6401" s="4"/>
    </row>
    <row r="6402" spans="3:5" x14ac:dyDescent="0.25">
      <c r="C6402" s="4"/>
      <c r="E6402" s="4"/>
    </row>
    <row r="6403" spans="3:5" x14ac:dyDescent="0.25">
      <c r="C6403" s="4"/>
      <c r="E6403" s="4"/>
    </row>
    <row r="6404" spans="3:5" x14ac:dyDescent="0.25">
      <c r="C6404" s="4"/>
      <c r="E6404" s="4"/>
    </row>
    <row r="6405" spans="3:5" x14ac:dyDescent="0.25">
      <c r="C6405" s="4"/>
      <c r="E6405" s="4"/>
    </row>
    <row r="6406" spans="3:5" x14ac:dyDescent="0.25">
      <c r="C6406" s="4"/>
      <c r="E6406" s="4"/>
    </row>
    <row r="6407" spans="3:5" x14ac:dyDescent="0.25">
      <c r="C6407" s="4"/>
      <c r="E6407" s="4"/>
    </row>
    <row r="6408" spans="3:5" x14ac:dyDescent="0.25">
      <c r="C6408" s="4"/>
      <c r="E6408" s="4"/>
    </row>
    <row r="6409" spans="3:5" x14ac:dyDescent="0.25">
      <c r="C6409" s="4"/>
      <c r="E6409" s="4"/>
    </row>
    <row r="6410" spans="3:5" x14ac:dyDescent="0.25">
      <c r="C6410" s="4"/>
      <c r="E6410" s="4"/>
    </row>
    <row r="6411" spans="3:5" x14ac:dyDescent="0.25">
      <c r="C6411" s="4"/>
      <c r="E6411" s="4"/>
    </row>
    <row r="6412" spans="3:5" x14ac:dyDescent="0.25">
      <c r="C6412" s="4"/>
      <c r="E6412" s="4"/>
    </row>
    <row r="6413" spans="3:5" x14ac:dyDescent="0.25">
      <c r="C6413" s="4"/>
      <c r="E6413" s="4"/>
    </row>
    <row r="6414" spans="3:5" x14ac:dyDescent="0.25">
      <c r="C6414" s="4"/>
      <c r="E6414" s="4"/>
    </row>
    <row r="6415" spans="3:5" x14ac:dyDescent="0.25">
      <c r="C6415" s="4"/>
      <c r="E6415" s="4"/>
    </row>
    <row r="6416" spans="3:5" x14ac:dyDescent="0.25">
      <c r="C6416" s="4"/>
      <c r="E6416" s="4"/>
    </row>
    <row r="6417" spans="3:5" x14ac:dyDescent="0.25">
      <c r="C6417" s="4"/>
      <c r="E6417" s="4"/>
    </row>
    <row r="6418" spans="3:5" x14ac:dyDescent="0.25">
      <c r="C6418" s="4"/>
      <c r="E6418" s="4"/>
    </row>
    <row r="6419" spans="3:5" x14ac:dyDescent="0.25">
      <c r="C6419" s="4"/>
      <c r="E6419" s="4"/>
    </row>
    <row r="6420" spans="3:5" x14ac:dyDescent="0.25">
      <c r="C6420" s="4"/>
      <c r="E6420" s="4"/>
    </row>
    <row r="6421" spans="3:5" x14ac:dyDescent="0.25">
      <c r="C6421" s="4"/>
      <c r="E6421" s="4"/>
    </row>
    <row r="6422" spans="3:5" x14ac:dyDescent="0.25">
      <c r="C6422" s="4"/>
      <c r="E6422" s="4"/>
    </row>
    <row r="6423" spans="3:5" x14ac:dyDescent="0.25">
      <c r="C6423" s="4"/>
      <c r="E6423" s="4"/>
    </row>
    <row r="6424" spans="3:5" x14ac:dyDescent="0.25">
      <c r="C6424" s="4"/>
      <c r="E6424" s="4"/>
    </row>
    <row r="6425" spans="3:5" x14ac:dyDescent="0.25">
      <c r="C6425" s="4"/>
      <c r="E6425" s="4"/>
    </row>
    <row r="6426" spans="3:5" x14ac:dyDescent="0.25">
      <c r="C6426" s="4"/>
      <c r="E6426" s="4"/>
    </row>
    <row r="6427" spans="3:5" x14ac:dyDescent="0.25">
      <c r="C6427" s="4"/>
      <c r="E6427" s="4"/>
    </row>
    <row r="6428" spans="3:5" x14ac:dyDescent="0.25">
      <c r="C6428" s="4"/>
      <c r="E6428" s="4"/>
    </row>
    <row r="6429" spans="3:5" x14ac:dyDescent="0.25">
      <c r="C6429" s="4"/>
      <c r="E6429" s="4"/>
    </row>
    <row r="6430" spans="3:5" x14ac:dyDescent="0.25">
      <c r="C6430" s="4"/>
      <c r="E6430" s="4"/>
    </row>
    <row r="6431" spans="3:5" x14ac:dyDescent="0.25">
      <c r="C6431" s="4"/>
      <c r="E6431" s="4"/>
    </row>
    <row r="6432" spans="3:5" x14ac:dyDescent="0.25">
      <c r="C6432" s="4"/>
      <c r="E6432" s="4"/>
    </row>
    <row r="6433" spans="3:5" x14ac:dyDescent="0.25">
      <c r="C6433" s="4"/>
      <c r="E6433" s="4"/>
    </row>
    <row r="6434" spans="3:5" x14ac:dyDescent="0.25">
      <c r="C6434" s="4"/>
      <c r="E6434" s="4"/>
    </row>
    <row r="6435" spans="3:5" x14ac:dyDescent="0.25">
      <c r="C6435" s="4"/>
      <c r="E6435" s="4"/>
    </row>
    <row r="6436" spans="3:5" x14ac:dyDescent="0.25">
      <c r="C6436" s="4"/>
      <c r="E6436" s="4"/>
    </row>
    <row r="6437" spans="3:5" x14ac:dyDescent="0.25">
      <c r="C6437" s="4"/>
      <c r="E6437" s="4"/>
    </row>
    <row r="6438" spans="3:5" x14ac:dyDescent="0.25">
      <c r="C6438" s="4"/>
      <c r="E6438" s="4"/>
    </row>
    <row r="6439" spans="3:5" x14ac:dyDescent="0.25">
      <c r="C6439" s="4"/>
      <c r="E6439" s="4"/>
    </row>
    <row r="6440" spans="3:5" x14ac:dyDescent="0.25">
      <c r="C6440" s="4"/>
      <c r="E6440" s="4"/>
    </row>
    <row r="6441" spans="3:5" x14ac:dyDescent="0.25">
      <c r="C6441" s="4"/>
      <c r="E6441" s="4"/>
    </row>
    <row r="6442" spans="3:5" x14ac:dyDescent="0.25">
      <c r="C6442" s="4"/>
      <c r="E6442" s="4"/>
    </row>
    <row r="6443" spans="3:5" x14ac:dyDescent="0.25">
      <c r="C6443" s="4"/>
      <c r="E6443" s="4"/>
    </row>
    <row r="6444" spans="3:5" x14ac:dyDescent="0.25">
      <c r="C6444" s="4"/>
      <c r="E6444" s="4"/>
    </row>
    <row r="6445" spans="3:5" x14ac:dyDescent="0.25">
      <c r="C6445" s="4"/>
      <c r="E6445" s="4"/>
    </row>
    <row r="6446" spans="3:5" x14ac:dyDescent="0.25">
      <c r="C6446" s="4"/>
      <c r="E6446" s="4"/>
    </row>
    <row r="6447" spans="3:5" x14ac:dyDescent="0.25">
      <c r="C6447" s="4"/>
      <c r="E6447" s="4"/>
    </row>
    <row r="6448" spans="3:5" x14ac:dyDescent="0.25">
      <c r="C6448" s="4"/>
      <c r="E6448" s="4"/>
    </row>
    <row r="6449" spans="3:5" x14ac:dyDescent="0.25">
      <c r="C6449" s="4"/>
      <c r="E6449" s="4"/>
    </row>
    <row r="6450" spans="3:5" x14ac:dyDescent="0.25">
      <c r="C6450" s="4"/>
      <c r="E6450" s="4"/>
    </row>
    <row r="6451" spans="3:5" x14ac:dyDescent="0.25">
      <c r="C6451" s="4"/>
      <c r="E6451" s="4"/>
    </row>
    <row r="6452" spans="3:5" x14ac:dyDescent="0.25">
      <c r="C6452" s="4"/>
      <c r="E6452" s="4"/>
    </row>
    <row r="6453" spans="3:5" x14ac:dyDescent="0.25">
      <c r="C6453" s="4"/>
      <c r="E6453" s="4"/>
    </row>
    <row r="6454" spans="3:5" x14ac:dyDescent="0.25">
      <c r="C6454" s="4"/>
      <c r="E6454" s="4"/>
    </row>
    <row r="6455" spans="3:5" x14ac:dyDescent="0.25">
      <c r="C6455" s="4"/>
      <c r="E6455" s="4"/>
    </row>
    <row r="6456" spans="3:5" x14ac:dyDescent="0.25">
      <c r="C6456" s="4"/>
      <c r="E6456" s="4"/>
    </row>
    <row r="6457" spans="3:5" x14ac:dyDescent="0.25">
      <c r="C6457" s="4"/>
      <c r="E6457" s="4"/>
    </row>
    <row r="6458" spans="3:5" x14ac:dyDescent="0.25">
      <c r="C6458" s="4"/>
      <c r="E6458" s="4"/>
    </row>
    <row r="6459" spans="3:5" x14ac:dyDescent="0.25">
      <c r="C6459" s="4"/>
      <c r="E6459" s="4"/>
    </row>
    <row r="6460" spans="3:5" x14ac:dyDescent="0.25">
      <c r="C6460" s="4"/>
      <c r="E6460" s="4"/>
    </row>
    <row r="6461" spans="3:5" x14ac:dyDescent="0.25">
      <c r="C6461" s="4"/>
      <c r="E6461" s="4"/>
    </row>
    <row r="6462" spans="3:5" x14ac:dyDescent="0.25">
      <c r="C6462" s="4"/>
      <c r="E6462" s="4"/>
    </row>
    <row r="6463" spans="3:5" x14ac:dyDescent="0.25">
      <c r="C6463" s="4"/>
      <c r="E6463" s="4"/>
    </row>
    <row r="6464" spans="3:5" x14ac:dyDescent="0.25">
      <c r="C6464" s="4"/>
      <c r="E6464" s="4"/>
    </row>
    <row r="6465" spans="3:5" x14ac:dyDescent="0.25">
      <c r="C6465" s="4"/>
      <c r="E6465" s="4"/>
    </row>
    <row r="6466" spans="3:5" x14ac:dyDescent="0.25">
      <c r="C6466" s="4"/>
      <c r="E6466" s="4"/>
    </row>
    <row r="6467" spans="3:5" x14ac:dyDescent="0.25">
      <c r="C6467" s="4"/>
      <c r="E6467" s="4"/>
    </row>
    <row r="6468" spans="3:5" x14ac:dyDescent="0.25">
      <c r="C6468" s="4"/>
      <c r="E6468" s="4"/>
    </row>
    <row r="6469" spans="3:5" x14ac:dyDescent="0.25">
      <c r="C6469" s="4"/>
      <c r="E6469" s="4"/>
    </row>
    <row r="6470" spans="3:5" x14ac:dyDescent="0.25">
      <c r="C6470" s="4"/>
      <c r="E6470" s="4"/>
    </row>
    <row r="6471" spans="3:5" x14ac:dyDescent="0.25">
      <c r="C6471" s="4"/>
      <c r="E6471" s="4"/>
    </row>
    <row r="6472" spans="3:5" x14ac:dyDescent="0.25">
      <c r="C6472" s="4"/>
      <c r="E6472" s="4"/>
    </row>
    <row r="6473" spans="3:5" x14ac:dyDescent="0.25">
      <c r="C6473" s="4"/>
      <c r="E6473" s="4"/>
    </row>
    <row r="6474" spans="3:5" x14ac:dyDescent="0.25">
      <c r="C6474" s="4"/>
      <c r="E6474" s="4"/>
    </row>
    <row r="6475" spans="3:5" x14ac:dyDescent="0.25">
      <c r="C6475" s="4"/>
      <c r="E6475" s="4"/>
    </row>
    <row r="6476" spans="3:5" x14ac:dyDescent="0.25">
      <c r="C6476" s="4"/>
      <c r="E6476" s="4"/>
    </row>
    <row r="6477" spans="3:5" x14ac:dyDescent="0.25">
      <c r="C6477" s="4"/>
      <c r="E6477" s="4"/>
    </row>
    <row r="6478" spans="3:5" x14ac:dyDescent="0.25">
      <c r="C6478" s="4"/>
      <c r="E6478" s="4"/>
    </row>
    <row r="6479" spans="3:5" x14ac:dyDescent="0.25">
      <c r="C6479" s="4"/>
      <c r="E6479" s="4"/>
    </row>
    <row r="6480" spans="3:5" x14ac:dyDescent="0.25">
      <c r="C6480" s="4"/>
      <c r="E6480" s="4"/>
    </row>
    <row r="6481" spans="3:5" x14ac:dyDescent="0.25">
      <c r="C6481" s="4"/>
      <c r="E6481" s="4"/>
    </row>
    <row r="6482" spans="3:5" x14ac:dyDescent="0.25">
      <c r="C6482" s="4"/>
      <c r="E6482" s="4"/>
    </row>
    <row r="6483" spans="3:5" x14ac:dyDescent="0.25">
      <c r="C6483" s="4"/>
      <c r="E6483" s="4"/>
    </row>
    <row r="6484" spans="3:5" x14ac:dyDescent="0.25">
      <c r="C6484" s="4"/>
      <c r="E6484" s="4"/>
    </row>
    <row r="6485" spans="3:5" x14ac:dyDescent="0.25">
      <c r="C6485" s="4"/>
      <c r="E6485" s="4"/>
    </row>
    <row r="6486" spans="3:5" x14ac:dyDescent="0.25">
      <c r="C6486" s="4"/>
      <c r="E6486" s="4"/>
    </row>
    <row r="6487" spans="3:5" x14ac:dyDescent="0.25">
      <c r="C6487" s="4"/>
      <c r="E6487" s="4"/>
    </row>
    <row r="6488" spans="3:5" x14ac:dyDescent="0.25">
      <c r="C6488" s="4"/>
      <c r="E6488" s="4"/>
    </row>
    <row r="6489" spans="3:5" x14ac:dyDescent="0.25">
      <c r="C6489" s="4"/>
      <c r="E6489" s="4"/>
    </row>
    <row r="6490" spans="3:5" x14ac:dyDescent="0.25">
      <c r="C6490" s="4"/>
      <c r="E6490" s="4"/>
    </row>
    <row r="6491" spans="3:5" x14ac:dyDescent="0.25">
      <c r="C6491" s="4"/>
      <c r="E6491" s="4"/>
    </row>
    <row r="6492" spans="3:5" x14ac:dyDescent="0.25">
      <c r="C6492" s="4"/>
      <c r="E6492" s="4"/>
    </row>
    <row r="6493" spans="3:5" x14ac:dyDescent="0.25">
      <c r="C6493" s="4"/>
      <c r="E6493" s="4"/>
    </row>
    <row r="6494" spans="3:5" x14ac:dyDescent="0.25">
      <c r="C6494" s="4"/>
      <c r="E6494" s="4"/>
    </row>
    <row r="6495" spans="3:5" x14ac:dyDescent="0.25">
      <c r="C6495" s="4"/>
      <c r="E6495" s="4"/>
    </row>
    <row r="6496" spans="3:5" x14ac:dyDescent="0.25">
      <c r="C6496" s="4"/>
      <c r="E6496" s="4"/>
    </row>
    <row r="6497" spans="3:5" x14ac:dyDescent="0.25">
      <c r="C6497" s="4"/>
      <c r="E6497" s="4"/>
    </row>
    <row r="6498" spans="3:5" x14ac:dyDescent="0.25">
      <c r="C6498" s="4"/>
      <c r="E6498" s="4"/>
    </row>
    <row r="6499" spans="3:5" x14ac:dyDescent="0.25">
      <c r="C6499" s="4"/>
      <c r="E6499" s="4"/>
    </row>
    <row r="6500" spans="3:5" x14ac:dyDescent="0.25">
      <c r="C6500" s="4"/>
      <c r="E6500" s="4"/>
    </row>
    <row r="6501" spans="3:5" x14ac:dyDescent="0.25">
      <c r="C6501" s="4"/>
      <c r="E6501" s="4"/>
    </row>
    <row r="6502" spans="3:5" x14ac:dyDescent="0.25">
      <c r="C6502" s="4"/>
      <c r="E6502" s="4"/>
    </row>
    <row r="6503" spans="3:5" x14ac:dyDescent="0.25">
      <c r="C6503" s="4"/>
      <c r="E6503" s="4"/>
    </row>
    <row r="6504" spans="3:5" x14ac:dyDescent="0.25">
      <c r="C6504" s="4"/>
      <c r="E6504" s="4"/>
    </row>
    <row r="6505" spans="3:5" x14ac:dyDescent="0.25">
      <c r="C6505" s="4"/>
      <c r="E6505" s="4"/>
    </row>
    <row r="6506" spans="3:5" x14ac:dyDescent="0.25">
      <c r="C6506" s="4"/>
      <c r="E6506" s="4"/>
    </row>
    <row r="6507" spans="3:5" x14ac:dyDescent="0.25">
      <c r="C6507" s="4"/>
      <c r="E6507" s="4"/>
    </row>
    <row r="6508" spans="3:5" x14ac:dyDescent="0.25">
      <c r="C6508" s="4"/>
      <c r="E6508" s="4"/>
    </row>
    <row r="6509" spans="3:5" x14ac:dyDescent="0.25">
      <c r="C6509" s="4"/>
      <c r="E6509" s="4"/>
    </row>
    <row r="6510" spans="3:5" x14ac:dyDescent="0.25">
      <c r="C6510" s="4"/>
      <c r="E6510" s="4"/>
    </row>
    <row r="6511" spans="3:5" x14ac:dyDescent="0.25">
      <c r="C6511" s="4"/>
      <c r="E6511" s="4"/>
    </row>
    <row r="6512" spans="3:5" x14ac:dyDescent="0.25">
      <c r="C6512" s="4"/>
      <c r="E6512" s="4"/>
    </row>
    <row r="6513" spans="3:5" x14ac:dyDescent="0.25">
      <c r="C6513" s="4"/>
      <c r="E6513" s="4"/>
    </row>
    <row r="6514" spans="3:5" x14ac:dyDescent="0.25">
      <c r="C6514" s="4"/>
      <c r="E6514" s="4"/>
    </row>
    <row r="6515" spans="3:5" x14ac:dyDescent="0.25">
      <c r="C6515" s="4"/>
      <c r="E6515" s="4"/>
    </row>
    <row r="6516" spans="3:5" x14ac:dyDescent="0.25">
      <c r="C6516" s="4"/>
      <c r="E6516" s="4"/>
    </row>
    <row r="6517" spans="3:5" x14ac:dyDescent="0.25">
      <c r="C6517" s="4"/>
      <c r="E6517" s="4"/>
    </row>
    <row r="6518" spans="3:5" x14ac:dyDescent="0.25">
      <c r="C6518" s="4"/>
      <c r="E6518" s="4"/>
    </row>
    <row r="6519" spans="3:5" x14ac:dyDescent="0.25">
      <c r="C6519" s="4"/>
      <c r="E6519" s="4"/>
    </row>
    <row r="6520" spans="3:5" x14ac:dyDescent="0.25">
      <c r="C6520" s="4"/>
      <c r="E6520" s="4"/>
    </row>
    <row r="6521" spans="3:5" x14ac:dyDescent="0.25">
      <c r="C6521" s="4"/>
      <c r="E6521" s="4"/>
    </row>
    <row r="6522" spans="3:5" x14ac:dyDescent="0.25">
      <c r="C6522" s="4"/>
      <c r="E6522" s="4"/>
    </row>
    <row r="6523" spans="3:5" x14ac:dyDescent="0.25">
      <c r="C6523" s="4"/>
      <c r="E6523" s="4"/>
    </row>
    <row r="6524" spans="3:5" x14ac:dyDescent="0.25">
      <c r="C6524" s="4"/>
      <c r="E6524" s="4"/>
    </row>
    <row r="6525" spans="3:5" x14ac:dyDescent="0.25">
      <c r="C6525" s="4"/>
      <c r="E6525" s="4"/>
    </row>
    <row r="6526" spans="3:5" x14ac:dyDescent="0.25">
      <c r="C6526" s="4"/>
      <c r="E6526" s="4"/>
    </row>
    <row r="6527" spans="3:5" x14ac:dyDescent="0.25">
      <c r="C6527" s="4"/>
      <c r="E6527" s="4"/>
    </row>
    <row r="6528" spans="3:5" x14ac:dyDescent="0.25">
      <c r="C6528" s="4"/>
      <c r="E6528" s="4"/>
    </row>
    <row r="6529" spans="3:5" x14ac:dyDescent="0.25">
      <c r="C6529" s="4"/>
      <c r="E6529" s="4"/>
    </row>
    <row r="6530" spans="3:5" x14ac:dyDescent="0.25">
      <c r="C6530" s="4"/>
      <c r="E6530" s="4"/>
    </row>
    <row r="6531" spans="3:5" x14ac:dyDescent="0.25">
      <c r="C6531" s="4"/>
      <c r="E6531" s="4"/>
    </row>
    <row r="6532" spans="3:5" x14ac:dyDescent="0.25">
      <c r="C6532" s="4"/>
      <c r="E6532" s="4"/>
    </row>
    <row r="6533" spans="3:5" x14ac:dyDescent="0.25">
      <c r="C6533" s="4"/>
      <c r="E6533" s="4"/>
    </row>
    <row r="6534" spans="3:5" x14ac:dyDescent="0.25">
      <c r="C6534" s="4"/>
      <c r="E6534" s="4"/>
    </row>
    <row r="6535" spans="3:5" x14ac:dyDescent="0.25">
      <c r="C6535" s="4"/>
      <c r="E6535" s="4"/>
    </row>
    <row r="6536" spans="3:5" x14ac:dyDescent="0.25">
      <c r="C6536" s="4"/>
      <c r="E6536" s="4"/>
    </row>
    <row r="6537" spans="3:5" x14ac:dyDescent="0.25">
      <c r="C6537" s="4"/>
      <c r="E6537" s="4"/>
    </row>
    <row r="6538" spans="3:5" x14ac:dyDescent="0.25">
      <c r="C6538" s="4"/>
      <c r="E6538" s="4"/>
    </row>
    <row r="6539" spans="3:5" x14ac:dyDescent="0.25">
      <c r="C6539" s="4"/>
      <c r="E6539" s="4"/>
    </row>
    <row r="6540" spans="3:5" x14ac:dyDescent="0.25">
      <c r="C6540" s="4"/>
      <c r="E6540" s="4"/>
    </row>
    <row r="6541" spans="3:5" x14ac:dyDescent="0.25">
      <c r="C6541" s="4"/>
      <c r="E6541" s="4"/>
    </row>
    <row r="6542" spans="3:5" x14ac:dyDescent="0.25">
      <c r="C6542" s="4"/>
      <c r="E6542" s="4"/>
    </row>
    <row r="6543" spans="3:5" x14ac:dyDescent="0.25">
      <c r="C6543" s="4"/>
      <c r="E6543" s="4"/>
    </row>
    <row r="6544" spans="3:5" x14ac:dyDescent="0.25">
      <c r="C6544" s="4"/>
      <c r="E6544" s="4"/>
    </row>
    <row r="6545" spans="3:5" x14ac:dyDescent="0.25">
      <c r="C6545" s="4"/>
      <c r="E6545" s="4"/>
    </row>
    <row r="6546" spans="3:5" x14ac:dyDescent="0.25">
      <c r="C6546" s="4"/>
      <c r="E6546" s="4"/>
    </row>
    <row r="6547" spans="3:5" x14ac:dyDescent="0.25">
      <c r="C6547" s="4"/>
      <c r="E6547" s="4"/>
    </row>
    <row r="6548" spans="3:5" x14ac:dyDescent="0.25">
      <c r="C6548" s="4"/>
      <c r="E6548" s="4"/>
    </row>
    <row r="6549" spans="3:5" x14ac:dyDescent="0.25">
      <c r="C6549" s="4"/>
      <c r="E6549" s="4"/>
    </row>
    <row r="6550" spans="3:5" x14ac:dyDescent="0.25">
      <c r="C6550" s="4"/>
      <c r="E6550" s="4"/>
    </row>
    <row r="6551" spans="3:5" x14ac:dyDescent="0.25">
      <c r="C6551" s="4"/>
      <c r="E6551" s="4"/>
    </row>
    <row r="6552" spans="3:5" x14ac:dyDescent="0.25">
      <c r="C6552" s="4"/>
      <c r="E6552" s="4"/>
    </row>
    <row r="6553" spans="3:5" x14ac:dyDescent="0.25">
      <c r="C6553" s="4"/>
      <c r="E6553" s="4"/>
    </row>
    <row r="6554" spans="3:5" x14ac:dyDescent="0.25">
      <c r="C6554" s="4"/>
      <c r="E6554" s="4"/>
    </row>
    <row r="6555" spans="3:5" x14ac:dyDescent="0.25">
      <c r="C6555" s="4"/>
      <c r="E6555" s="4"/>
    </row>
    <row r="6556" spans="3:5" x14ac:dyDescent="0.25">
      <c r="C6556" s="4"/>
      <c r="E6556" s="4"/>
    </row>
    <row r="6557" spans="3:5" x14ac:dyDescent="0.25">
      <c r="C6557" s="4"/>
      <c r="E6557" s="4"/>
    </row>
    <row r="6558" spans="3:5" x14ac:dyDescent="0.25">
      <c r="C6558" s="4"/>
      <c r="E6558" s="4"/>
    </row>
    <row r="6559" spans="3:5" x14ac:dyDescent="0.25">
      <c r="C6559" s="4"/>
      <c r="E6559" s="4"/>
    </row>
    <row r="6560" spans="3:5" x14ac:dyDescent="0.25">
      <c r="C6560" s="4"/>
      <c r="E6560" s="4"/>
    </row>
    <row r="6561" spans="3:5" x14ac:dyDescent="0.25">
      <c r="C6561" s="4"/>
      <c r="E6561" s="4"/>
    </row>
    <row r="6562" spans="3:5" x14ac:dyDescent="0.25">
      <c r="C6562" s="4"/>
      <c r="E6562" s="4"/>
    </row>
    <row r="6563" spans="3:5" x14ac:dyDescent="0.25">
      <c r="C6563" s="4"/>
      <c r="E6563" s="4"/>
    </row>
    <row r="6564" spans="3:5" x14ac:dyDescent="0.25">
      <c r="C6564" s="4"/>
      <c r="E6564" s="4"/>
    </row>
    <row r="6565" spans="3:5" x14ac:dyDescent="0.25">
      <c r="C6565" s="4"/>
      <c r="E6565" s="4"/>
    </row>
    <row r="6566" spans="3:5" x14ac:dyDescent="0.25">
      <c r="C6566" s="4"/>
      <c r="E6566" s="4"/>
    </row>
    <row r="6567" spans="3:5" x14ac:dyDescent="0.25">
      <c r="C6567" s="4"/>
      <c r="E6567" s="4"/>
    </row>
    <row r="6568" spans="3:5" x14ac:dyDescent="0.25">
      <c r="C6568" s="4"/>
      <c r="E6568" s="4"/>
    </row>
    <row r="6569" spans="3:5" x14ac:dyDescent="0.25">
      <c r="C6569" s="4"/>
      <c r="E6569" s="4"/>
    </row>
    <row r="6570" spans="3:5" x14ac:dyDescent="0.25">
      <c r="C6570" s="4"/>
      <c r="E6570" s="4"/>
    </row>
    <row r="6571" spans="3:5" x14ac:dyDescent="0.25">
      <c r="C6571" s="4"/>
      <c r="E6571" s="4"/>
    </row>
    <row r="6572" spans="3:5" x14ac:dyDescent="0.25">
      <c r="C6572" s="4"/>
      <c r="E6572" s="4"/>
    </row>
    <row r="6573" spans="3:5" x14ac:dyDescent="0.25">
      <c r="C6573" s="4"/>
      <c r="E6573" s="4"/>
    </row>
    <row r="6574" spans="3:5" x14ac:dyDescent="0.25">
      <c r="C6574" s="4"/>
      <c r="E6574" s="4"/>
    </row>
    <row r="6575" spans="3:5" x14ac:dyDescent="0.25">
      <c r="C6575" s="4"/>
      <c r="E6575" s="4"/>
    </row>
    <row r="6576" spans="3:5" x14ac:dyDescent="0.25">
      <c r="C6576" s="4"/>
      <c r="E6576" s="4"/>
    </row>
    <row r="6577" spans="3:5" x14ac:dyDescent="0.25">
      <c r="C6577" s="4"/>
      <c r="E6577" s="4"/>
    </row>
    <row r="6578" spans="3:5" x14ac:dyDescent="0.25">
      <c r="C6578" s="4"/>
      <c r="E6578" s="4"/>
    </row>
    <row r="6579" spans="3:5" x14ac:dyDescent="0.25">
      <c r="C6579" s="4"/>
      <c r="E6579" s="4"/>
    </row>
    <row r="6580" spans="3:5" x14ac:dyDescent="0.25">
      <c r="C6580" s="4"/>
      <c r="E6580" s="4"/>
    </row>
    <row r="6581" spans="3:5" x14ac:dyDescent="0.25">
      <c r="C6581" s="4"/>
      <c r="E6581" s="4"/>
    </row>
    <row r="6582" spans="3:5" x14ac:dyDescent="0.25">
      <c r="C6582" s="4"/>
      <c r="E6582" s="4"/>
    </row>
    <row r="6583" spans="3:5" x14ac:dyDescent="0.25">
      <c r="C6583" s="4"/>
      <c r="E6583" s="4"/>
    </row>
    <row r="6584" spans="3:5" x14ac:dyDescent="0.25">
      <c r="C6584" s="4"/>
      <c r="E6584" s="4"/>
    </row>
    <row r="6585" spans="3:5" x14ac:dyDescent="0.25">
      <c r="C6585" s="4"/>
      <c r="E6585" s="4"/>
    </row>
    <row r="6586" spans="3:5" x14ac:dyDescent="0.25">
      <c r="C6586" s="4"/>
      <c r="E6586" s="4"/>
    </row>
    <row r="6587" spans="3:5" x14ac:dyDescent="0.25">
      <c r="C6587" s="4"/>
      <c r="E6587" s="4"/>
    </row>
    <row r="6588" spans="3:5" x14ac:dyDescent="0.25">
      <c r="C6588" s="4"/>
      <c r="E6588" s="4"/>
    </row>
    <row r="6589" spans="3:5" x14ac:dyDescent="0.25">
      <c r="C6589" s="4"/>
      <c r="E6589" s="4"/>
    </row>
    <row r="6590" spans="3:5" x14ac:dyDescent="0.25">
      <c r="C6590" s="4"/>
      <c r="E6590" s="4"/>
    </row>
    <row r="6591" spans="3:5" x14ac:dyDescent="0.25">
      <c r="C6591" s="4"/>
      <c r="E6591" s="4"/>
    </row>
    <row r="6592" spans="3:5" x14ac:dyDescent="0.25">
      <c r="C6592" s="4"/>
      <c r="E6592" s="4"/>
    </row>
    <row r="6593" spans="3:5" x14ac:dyDescent="0.25">
      <c r="C6593" s="4"/>
      <c r="E6593" s="4"/>
    </row>
    <row r="6594" spans="3:5" x14ac:dyDescent="0.25">
      <c r="C6594" s="4"/>
      <c r="E6594" s="4"/>
    </row>
    <row r="6595" spans="3:5" x14ac:dyDescent="0.25">
      <c r="C6595" s="4"/>
      <c r="E6595" s="4"/>
    </row>
    <row r="6596" spans="3:5" x14ac:dyDescent="0.25">
      <c r="C6596" s="4"/>
      <c r="E6596" s="4"/>
    </row>
    <row r="6597" spans="3:5" x14ac:dyDescent="0.25">
      <c r="C6597" s="4"/>
      <c r="E6597" s="4"/>
    </row>
    <row r="6598" spans="3:5" x14ac:dyDescent="0.25">
      <c r="C6598" s="4"/>
      <c r="E6598" s="4"/>
    </row>
    <row r="6599" spans="3:5" x14ac:dyDescent="0.25">
      <c r="C6599" s="4"/>
      <c r="E6599" s="4"/>
    </row>
    <row r="6600" spans="3:5" x14ac:dyDescent="0.25">
      <c r="C6600" s="4"/>
      <c r="E6600" s="4"/>
    </row>
    <row r="6601" spans="3:5" x14ac:dyDescent="0.25">
      <c r="C6601" s="4"/>
      <c r="E6601" s="4"/>
    </row>
    <row r="6602" spans="3:5" x14ac:dyDescent="0.25">
      <c r="C6602" s="4"/>
      <c r="E6602" s="4"/>
    </row>
    <row r="6603" spans="3:5" x14ac:dyDescent="0.25">
      <c r="C6603" s="4"/>
      <c r="E6603" s="4"/>
    </row>
    <row r="6604" spans="3:5" x14ac:dyDescent="0.25">
      <c r="C6604" s="4"/>
      <c r="E6604" s="4"/>
    </row>
    <row r="6605" spans="3:5" x14ac:dyDescent="0.25">
      <c r="C6605" s="4"/>
      <c r="E6605" s="4"/>
    </row>
    <row r="6606" spans="3:5" x14ac:dyDescent="0.25">
      <c r="C6606" s="4"/>
      <c r="E6606" s="4"/>
    </row>
    <row r="6607" spans="3:5" x14ac:dyDescent="0.25">
      <c r="C6607" s="4"/>
      <c r="E6607" s="4"/>
    </row>
    <row r="6608" spans="3:5" x14ac:dyDescent="0.25">
      <c r="C6608" s="4"/>
      <c r="E6608" s="4"/>
    </row>
    <row r="6609" spans="3:5" x14ac:dyDescent="0.25">
      <c r="C6609" s="4"/>
      <c r="E6609" s="4"/>
    </row>
    <row r="6610" spans="3:5" x14ac:dyDescent="0.25">
      <c r="C6610" s="4"/>
      <c r="E6610" s="4"/>
    </row>
    <row r="6611" spans="3:5" x14ac:dyDescent="0.25">
      <c r="C6611" s="4"/>
      <c r="E6611" s="4"/>
    </row>
    <row r="6612" spans="3:5" x14ac:dyDescent="0.25">
      <c r="C6612" s="4"/>
      <c r="E6612" s="4"/>
    </row>
    <row r="6613" spans="3:5" x14ac:dyDescent="0.25">
      <c r="C6613" s="4"/>
      <c r="E6613" s="4"/>
    </row>
    <row r="6614" spans="3:5" x14ac:dyDescent="0.25">
      <c r="C6614" s="4"/>
      <c r="E6614" s="4"/>
    </row>
    <row r="6615" spans="3:5" x14ac:dyDescent="0.25">
      <c r="C6615" s="4"/>
      <c r="E6615" s="4"/>
    </row>
    <row r="6616" spans="3:5" x14ac:dyDescent="0.25">
      <c r="C6616" s="4"/>
      <c r="E6616" s="4"/>
    </row>
    <row r="6617" spans="3:5" x14ac:dyDescent="0.25">
      <c r="C6617" s="4"/>
      <c r="E6617" s="4"/>
    </row>
    <row r="6618" spans="3:5" x14ac:dyDescent="0.25">
      <c r="C6618" s="4"/>
      <c r="E6618" s="4"/>
    </row>
    <row r="6619" spans="3:5" x14ac:dyDescent="0.25">
      <c r="C6619" s="4"/>
      <c r="E6619" s="4"/>
    </row>
    <row r="6620" spans="3:5" x14ac:dyDescent="0.25">
      <c r="C6620" s="4"/>
      <c r="E6620" s="4"/>
    </row>
    <row r="6621" spans="3:5" x14ac:dyDescent="0.25">
      <c r="C6621" s="4"/>
      <c r="E6621" s="4"/>
    </row>
    <row r="6622" spans="3:5" x14ac:dyDescent="0.25">
      <c r="C6622" s="4"/>
      <c r="E6622" s="4"/>
    </row>
    <row r="6623" spans="3:5" x14ac:dyDescent="0.25">
      <c r="C6623" s="4"/>
      <c r="E6623" s="4"/>
    </row>
    <row r="6624" spans="3:5" x14ac:dyDescent="0.25">
      <c r="C6624" s="4"/>
      <c r="E6624" s="4"/>
    </row>
    <row r="6625" spans="3:5" x14ac:dyDescent="0.25">
      <c r="C6625" s="4"/>
      <c r="E6625" s="4"/>
    </row>
    <row r="6626" spans="3:5" x14ac:dyDescent="0.25">
      <c r="C6626" s="4"/>
      <c r="E6626" s="4"/>
    </row>
    <row r="6627" spans="3:5" x14ac:dyDescent="0.25">
      <c r="C6627" s="4"/>
      <c r="E6627" s="4"/>
    </row>
    <row r="6628" spans="3:5" x14ac:dyDescent="0.25">
      <c r="C6628" s="4"/>
      <c r="E6628" s="4"/>
    </row>
    <row r="6629" spans="3:5" x14ac:dyDescent="0.25">
      <c r="C6629" s="4"/>
      <c r="E6629" s="4"/>
    </row>
    <row r="6630" spans="3:5" x14ac:dyDescent="0.25">
      <c r="C6630" s="4"/>
      <c r="E6630" s="4"/>
    </row>
    <row r="6631" spans="3:5" x14ac:dyDescent="0.25">
      <c r="C6631" s="4"/>
      <c r="E6631" s="4"/>
    </row>
    <row r="6632" spans="3:5" x14ac:dyDescent="0.25">
      <c r="C6632" s="4"/>
      <c r="E6632" s="4"/>
    </row>
    <row r="6633" spans="3:5" x14ac:dyDescent="0.25">
      <c r="C6633" s="4"/>
      <c r="E6633" s="4"/>
    </row>
    <row r="6634" spans="3:5" x14ac:dyDescent="0.25">
      <c r="C6634" s="4"/>
      <c r="E6634" s="4"/>
    </row>
    <row r="6635" spans="3:5" x14ac:dyDescent="0.25">
      <c r="C6635" s="4"/>
      <c r="E6635" s="4"/>
    </row>
    <row r="6636" spans="3:5" x14ac:dyDescent="0.25">
      <c r="C6636" s="4"/>
      <c r="E6636" s="4"/>
    </row>
    <row r="6637" spans="3:5" x14ac:dyDescent="0.25">
      <c r="C6637" s="4"/>
      <c r="E6637" s="4"/>
    </row>
    <row r="6638" spans="3:5" x14ac:dyDescent="0.25">
      <c r="C6638" s="4"/>
      <c r="E6638" s="4"/>
    </row>
    <row r="6639" spans="3:5" x14ac:dyDescent="0.25">
      <c r="C6639" s="4"/>
      <c r="E6639" s="4"/>
    </row>
    <row r="6640" spans="3:5" x14ac:dyDescent="0.25">
      <c r="C6640" s="4"/>
      <c r="E6640" s="4"/>
    </row>
    <row r="6641" spans="3:5" x14ac:dyDescent="0.25">
      <c r="C6641" s="4"/>
      <c r="E6641" s="4"/>
    </row>
    <row r="6642" spans="3:5" x14ac:dyDescent="0.25">
      <c r="C6642" s="4"/>
      <c r="E6642" s="4"/>
    </row>
    <row r="6643" spans="3:5" x14ac:dyDescent="0.25">
      <c r="C6643" s="4"/>
      <c r="E6643" s="4"/>
    </row>
    <row r="6644" spans="3:5" x14ac:dyDescent="0.25">
      <c r="C6644" s="4"/>
      <c r="E6644" s="4"/>
    </row>
    <row r="6645" spans="3:5" x14ac:dyDescent="0.25">
      <c r="C6645" s="4"/>
      <c r="E6645" s="4"/>
    </row>
    <row r="6646" spans="3:5" x14ac:dyDescent="0.25">
      <c r="C6646" s="4"/>
      <c r="E6646" s="4"/>
    </row>
    <row r="6647" spans="3:5" x14ac:dyDescent="0.25">
      <c r="C6647" s="4"/>
      <c r="E6647" s="4"/>
    </row>
    <row r="6648" spans="3:5" x14ac:dyDescent="0.25">
      <c r="C6648" s="4"/>
      <c r="E6648" s="4"/>
    </row>
    <row r="6649" spans="3:5" x14ac:dyDescent="0.25">
      <c r="C6649" s="4"/>
      <c r="E6649" s="4"/>
    </row>
    <row r="6650" spans="3:5" x14ac:dyDescent="0.25">
      <c r="C6650" s="4"/>
      <c r="E6650" s="4"/>
    </row>
    <row r="6651" spans="3:5" x14ac:dyDescent="0.25">
      <c r="C6651" s="4"/>
      <c r="E6651" s="4"/>
    </row>
    <row r="6652" spans="3:5" x14ac:dyDescent="0.25">
      <c r="C6652" s="4"/>
      <c r="E6652" s="4"/>
    </row>
    <row r="6653" spans="3:5" x14ac:dyDescent="0.25">
      <c r="C6653" s="4"/>
      <c r="E6653" s="4"/>
    </row>
    <row r="6654" spans="3:5" x14ac:dyDescent="0.25">
      <c r="C6654" s="4"/>
      <c r="E6654" s="4"/>
    </row>
    <row r="6655" spans="3:5" x14ac:dyDescent="0.25">
      <c r="C6655" s="4"/>
      <c r="E6655" s="4"/>
    </row>
    <row r="6656" spans="3:5" x14ac:dyDescent="0.25">
      <c r="C6656" s="4"/>
      <c r="E6656" s="4"/>
    </row>
    <row r="6657" spans="3:5" x14ac:dyDescent="0.25">
      <c r="C6657" s="4"/>
      <c r="E6657" s="4"/>
    </row>
    <row r="6658" spans="3:5" x14ac:dyDescent="0.25">
      <c r="C6658" s="4"/>
      <c r="E6658" s="4"/>
    </row>
    <row r="6659" spans="3:5" x14ac:dyDescent="0.25">
      <c r="C6659" s="4"/>
      <c r="E6659" s="4"/>
    </row>
    <row r="6660" spans="3:5" x14ac:dyDescent="0.25">
      <c r="C6660" s="4"/>
      <c r="E6660" s="4"/>
    </row>
    <row r="6661" spans="3:5" x14ac:dyDescent="0.25">
      <c r="C6661" s="4"/>
      <c r="E6661" s="4"/>
    </row>
    <row r="6662" spans="3:5" x14ac:dyDescent="0.25">
      <c r="C6662" s="4"/>
      <c r="E6662" s="4"/>
    </row>
    <row r="6663" spans="3:5" x14ac:dyDescent="0.25">
      <c r="C6663" s="4"/>
      <c r="E6663" s="4"/>
    </row>
    <row r="6664" spans="3:5" x14ac:dyDescent="0.25">
      <c r="C6664" s="4"/>
      <c r="E6664" s="4"/>
    </row>
    <row r="6665" spans="3:5" x14ac:dyDescent="0.25">
      <c r="C6665" s="4"/>
      <c r="E6665" s="4"/>
    </row>
    <row r="6666" spans="3:5" x14ac:dyDescent="0.25">
      <c r="C6666" s="4"/>
      <c r="E6666" s="4"/>
    </row>
    <row r="6667" spans="3:5" x14ac:dyDescent="0.25">
      <c r="C6667" s="4"/>
      <c r="E6667" s="4"/>
    </row>
    <row r="6668" spans="3:5" x14ac:dyDescent="0.25">
      <c r="C6668" s="4"/>
      <c r="E6668" s="4"/>
    </row>
    <row r="6669" spans="3:5" x14ac:dyDescent="0.25">
      <c r="C6669" s="4"/>
      <c r="E6669" s="4"/>
    </row>
    <row r="6670" spans="3:5" x14ac:dyDescent="0.25">
      <c r="C6670" s="4"/>
      <c r="E6670" s="4"/>
    </row>
    <row r="6671" spans="3:5" x14ac:dyDescent="0.25">
      <c r="C6671" s="4"/>
      <c r="E6671" s="4"/>
    </row>
    <row r="6672" spans="3:5" x14ac:dyDescent="0.25">
      <c r="C6672" s="4"/>
      <c r="E6672" s="4"/>
    </row>
    <row r="6673" spans="3:5" x14ac:dyDescent="0.25">
      <c r="C6673" s="4"/>
      <c r="E6673" s="4"/>
    </row>
    <row r="6674" spans="3:5" x14ac:dyDescent="0.25">
      <c r="C6674" s="4"/>
      <c r="E6674" s="4"/>
    </row>
    <row r="6675" spans="3:5" x14ac:dyDescent="0.25">
      <c r="C6675" s="4"/>
      <c r="E6675" s="4"/>
    </row>
    <row r="6676" spans="3:5" x14ac:dyDescent="0.25">
      <c r="C6676" s="4"/>
      <c r="E6676" s="4"/>
    </row>
    <row r="6677" spans="3:5" x14ac:dyDescent="0.25">
      <c r="C6677" s="4"/>
      <c r="E6677" s="4"/>
    </row>
    <row r="6678" spans="3:5" x14ac:dyDescent="0.25">
      <c r="C6678" s="4"/>
      <c r="E6678" s="4"/>
    </row>
    <row r="6679" spans="3:5" x14ac:dyDescent="0.25">
      <c r="C6679" s="4"/>
      <c r="E6679" s="4"/>
    </row>
    <row r="6680" spans="3:5" x14ac:dyDescent="0.25">
      <c r="C6680" s="4"/>
      <c r="E6680" s="4"/>
    </row>
    <row r="6681" spans="3:5" x14ac:dyDescent="0.25">
      <c r="C6681" s="4"/>
      <c r="E6681" s="4"/>
    </row>
    <row r="6682" spans="3:5" x14ac:dyDescent="0.25">
      <c r="C6682" s="4"/>
      <c r="E6682" s="4"/>
    </row>
    <row r="6683" spans="3:5" x14ac:dyDescent="0.25">
      <c r="C6683" s="4"/>
      <c r="E6683" s="4"/>
    </row>
    <row r="6684" spans="3:5" x14ac:dyDescent="0.25">
      <c r="C6684" s="4"/>
      <c r="E6684" s="4"/>
    </row>
    <row r="6685" spans="3:5" x14ac:dyDescent="0.25">
      <c r="C6685" s="4"/>
      <c r="E6685" s="4"/>
    </row>
    <row r="6686" spans="3:5" x14ac:dyDescent="0.25">
      <c r="C6686" s="4"/>
      <c r="E6686" s="4"/>
    </row>
    <row r="6687" spans="3:5" x14ac:dyDescent="0.25">
      <c r="C6687" s="4"/>
      <c r="E6687" s="4"/>
    </row>
    <row r="6688" spans="3:5" x14ac:dyDescent="0.25">
      <c r="C6688" s="4"/>
      <c r="E6688" s="4"/>
    </row>
    <row r="6689" spans="3:5" x14ac:dyDescent="0.25">
      <c r="C6689" s="4"/>
      <c r="E6689" s="4"/>
    </row>
    <row r="6690" spans="3:5" x14ac:dyDescent="0.25">
      <c r="C6690" s="4"/>
      <c r="E6690" s="4"/>
    </row>
    <row r="6691" spans="3:5" x14ac:dyDescent="0.25">
      <c r="C6691" s="4"/>
      <c r="E6691" s="4"/>
    </row>
    <row r="6692" spans="3:5" x14ac:dyDescent="0.25">
      <c r="C6692" s="4"/>
      <c r="E6692" s="4"/>
    </row>
    <row r="6693" spans="3:5" x14ac:dyDescent="0.25">
      <c r="C6693" s="4"/>
      <c r="E6693" s="4"/>
    </row>
    <row r="6694" spans="3:5" x14ac:dyDescent="0.25">
      <c r="C6694" s="4"/>
      <c r="E6694" s="4"/>
    </row>
    <row r="6695" spans="3:5" x14ac:dyDescent="0.25">
      <c r="C6695" s="4"/>
      <c r="E6695" s="4"/>
    </row>
    <row r="6696" spans="3:5" x14ac:dyDescent="0.25">
      <c r="C6696" s="4"/>
      <c r="E6696" s="4"/>
    </row>
    <row r="6697" spans="3:5" x14ac:dyDescent="0.25">
      <c r="C6697" s="4"/>
      <c r="E6697" s="4"/>
    </row>
    <row r="6698" spans="3:5" x14ac:dyDescent="0.25">
      <c r="C6698" s="4"/>
      <c r="E6698" s="4"/>
    </row>
    <row r="6699" spans="3:5" x14ac:dyDescent="0.25">
      <c r="C6699" s="4"/>
      <c r="E6699" s="4"/>
    </row>
    <row r="6700" spans="3:5" x14ac:dyDescent="0.25">
      <c r="C6700" s="4"/>
      <c r="E6700" s="4"/>
    </row>
    <row r="6701" spans="3:5" x14ac:dyDescent="0.25">
      <c r="C6701" s="4"/>
      <c r="E6701" s="4"/>
    </row>
    <row r="6702" spans="3:5" x14ac:dyDescent="0.25">
      <c r="C6702" s="4"/>
      <c r="E6702" s="4"/>
    </row>
    <row r="6703" spans="3:5" x14ac:dyDescent="0.25">
      <c r="C6703" s="4"/>
      <c r="E6703" s="4"/>
    </row>
    <row r="6704" spans="3:5" x14ac:dyDescent="0.25">
      <c r="C6704" s="4"/>
      <c r="E6704" s="4"/>
    </row>
    <row r="6705" spans="3:5" x14ac:dyDescent="0.25">
      <c r="C6705" s="4"/>
      <c r="E6705" s="4"/>
    </row>
    <row r="6706" spans="3:5" x14ac:dyDescent="0.25">
      <c r="C6706" s="4"/>
      <c r="E6706" s="4"/>
    </row>
    <row r="6707" spans="3:5" x14ac:dyDescent="0.25">
      <c r="C6707" s="4"/>
      <c r="E6707" s="4"/>
    </row>
    <row r="6708" spans="3:5" x14ac:dyDescent="0.25">
      <c r="C6708" s="4"/>
      <c r="E6708" s="4"/>
    </row>
    <row r="6709" spans="3:5" x14ac:dyDescent="0.25">
      <c r="C6709" s="4"/>
      <c r="E6709" s="4"/>
    </row>
    <row r="6710" spans="3:5" x14ac:dyDescent="0.25">
      <c r="C6710" s="4"/>
      <c r="E6710" s="4"/>
    </row>
    <row r="6711" spans="3:5" x14ac:dyDescent="0.25">
      <c r="C6711" s="4"/>
      <c r="E6711" s="4"/>
    </row>
    <row r="6712" spans="3:5" x14ac:dyDescent="0.25">
      <c r="C6712" s="4"/>
      <c r="E6712" s="4"/>
    </row>
    <row r="6713" spans="3:5" x14ac:dyDescent="0.25">
      <c r="C6713" s="4"/>
      <c r="E6713" s="4"/>
    </row>
    <row r="6714" spans="3:5" x14ac:dyDescent="0.25">
      <c r="C6714" s="4"/>
      <c r="E6714" s="4"/>
    </row>
    <row r="6715" spans="3:5" x14ac:dyDescent="0.25">
      <c r="C6715" s="4"/>
      <c r="E6715" s="4"/>
    </row>
    <row r="6716" spans="3:5" x14ac:dyDescent="0.25">
      <c r="C6716" s="4"/>
      <c r="E6716" s="4"/>
    </row>
    <row r="6717" spans="3:5" x14ac:dyDescent="0.25">
      <c r="C6717" s="4"/>
      <c r="E6717" s="4"/>
    </row>
    <row r="6718" spans="3:5" x14ac:dyDescent="0.25">
      <c r="C6718" s="4"/>
      <c r="E6718" s="4"/>
    </row>
    <row r="6719" spans="3:5" x14ac:dyDescent="0.25">
      <c r="C6719" s="4"/>
      <c r="E6719" s="4"/>
    </row>
    <row r="6720" spans="3:5" x14ac:dyDescent="0.25">
      <c r="C6720" s="4"/>
      <c r="E6720" s="4"/>
    </row>
    <row r="6721" spans="3:5" x14ac:dyDescent="0.25">
      <c r="C6721" s="4"/>
      <c r="E6721" s="4"/>
    </row>
    <row r="6722" spans="3:5" x14ac:dyDescent="0.25">
      <c r="C6722" s="4"/>
      <c r="E6722" s="4"/>
    </row>
    <row r="6723" spans="3:5" x14ac:dyDescent="0.25">
      <c r="C6723" s="4"/>
      <c r="E6723" s="4"/>
    </row>
    <row r="6724" spans="3:5" x14ac:dyDescent="0.25">
      <c r="C6724" s="4"/>
      <c r="E6724" s="4"/>
    </row>
    <row r="6725" spans="3:5" x14ac:dyDescent="0.25">
      <c r="C6725" s="4"/>
      <c r="E6725" s="4"/>
    </row>
    <row r="6726" spans="3:5" x14ac:dyDescent="0.25">
      <c r="C6726" s="4"/>
      <c r="E6726" s="4"/>
    </row>
    <row r="6727" spans="3:5" x14ac:dyDescent="0.25">
      <c r="C6727" s="4"/>
      <c r="E6727" s="4"/>
    </row>
    <row r="6728" spans="3:5" x14ac:dyDescent="0.25">
      <c r="C6728" s="4"/>
      <c r="E6728" s="4"/>
    </row>
    <row r="6729" spans="3:5" x14ac:dyDescent="0.25">
      <c r="C6729" s="4"/>
      <c r="E6729" s="4"/>
    </row>
    <row r="6730" spans="3:5" x14ac:dyDescent="0.25">
      <c r="C6730" s="4"/>
      <c r="E6730" s="4"/>
    </row>
    <row r="6731" spans="3:5" x14ac:dyDescent="0.25">
      <c r="C6731" s="4"/>
      <c r="E6731" s="4"/>
    </row>
    <row r="6732" spans="3:5" x14ac:dyDescent="0.25">
      <c r="C6732" s="4"/>
      <c r="E6732" s="4"/>
    </row>
    <row r="6733" spans="3:5" x14ac:dyDescent="0.25">
      <c r="C6733" s="4"/>
      <c r="E6733" s="4"/>
    </row>
    <row r="6734" spans="3:5" x14ac:dyDescent="0.25">
      <c r="C6734" s="4"/>
      <c r="E6734" s="4"/>
    </row>
    <row r="6735" spans="3:5" x14ac:dyDescent="0.25">
      <c r="C6735" s="4"/>
      <c r="E6735" s="4"/>
    </row>
    <row r="6736" spans="3:5" x14ac:dyDescent="0.25">
      <c r="C6736" s="4"/>
      <c r="E6736" s="4"/>
    </row>
    <row r="6737" spans="3:5" x14ac:dyDescent="0.25">
      <c r="C6737" s="4"/>
      <c r="E6737" s="4"/>
    </row>
    <row r="6738" spans="3:5" x14ac:dyDescent="0.25">
      <c r="C6738" s="4"/>
      <c r="E6738" s="4"/>
    </row>
    <row r="6739" spans="3:5" x14ac:dyDescent="0.25">
      <c r="C6739" s="4"/>
      <c r="E6739" s="4"/>
    </row>
    <row r="6740" spans="3:5" x14ac:dyDescent="0.25">
      <c r="C6740" s="4"/>
      <c r="E6740" s="4"/>
    </row>
    <row r="6741" spans="3:5" x14ac:dyDescent="0.25">
      <c r="C6741" s="4"/>
      <c r="E6741" s="4"/>
    </row>
    <row r="6742" spans="3:5" x14ac:dyDescent="0.25">
      <c r="C6742" s="4"/>
      <c r="E6742" s="4"/>
    </row>
    <row r="6743" spans="3:5" x14ac:dyDescent="0.25">
      <c r="C6743" s="4"/>
      <c r="E6743" s="4"/>
    </row>
    <row r="6744" spans="3:5" x14ac:dyDescent="0.25">
      <c r="C6744" s="4"/>
      <c r="E6744" s="4"/>
    </row>
    <row r="6745" spans="3:5" x14ac:dyDescent="0.25">
      <c r="C6745" s="4"/>
      <c r="E6745" s="4"/>
    </row>
    <row r="6746" spans="3:5" x14ac:dyDescent="0.25">
      <c r="C6746" s="4"/>
      <c r="E6746" s="4"/>
    </row>
    <row r="6747" spans="3:5" x14ac:dyDescent="0.25">
      <c r="C6747" s="4"/>
      <c r="E6747" s="4"/>
    </row>
    <row r="6748" spans="3:5" x14ac:dyDescent="0.25">
      <c r="C6748" s="4"/>
      <c r="E6748" s="4"/>
    </row>
    <row r="6749" spans="3:5" x14ac:dyDescent="0.25">
      <c r="C6749" s="4"/>
      <c r="E6749" s="4"/>
    </row>
    <row r="6750" spans="3:5" x14ac:dyDescent="0.25">
      <c r="C6750" s="4"/>
      <c r="E6750" s="4"/>
    </row>
    <row r="6751" spans="3:5" x14ac:dyDescent="0.25">
      <c r="C6751" s="4"/>
      <c r="E6751" s="4"/>
    </row>
    <row r="6752" spans="3:5" x14ac:dyDescent="0.25">
      <c r="C6752" s="4"/>
      <c r="E6752" s="4"/>
    </row>
    <row r="6753" spans="3:5" x14ac:dyDescent="0.25">
      <c r="C6753" s="4"/>
      <c r="E6753" s="4"/>
    </row>
    <row r="6754" spans="3:5" x14ac:dyDescent="0.25">
      <c r="C6754" s="4"/>
      <c r="E6754" s="4"/>
    </row>
    <row r="6755" spans="3:5" x14ac:dyDescent="0.25">
      <c r="C6755" s="4"/>
      <c r="E6755" s="4"/>
    </row>
    <row r="6756" spans="3:5" x14ac:dyDescent="0.25">
      <c r="C6756" s="4"/>
      <c r="E6756" s="4"/>
    </row>
    <row r="6757" spans="3:5" x14ac:dyDescent="0.25">
      <c r="C6757" s="4"/>
      <c r="E6757" s="4"/>
    </row>
    <row r="6758" spans="3:5" x14ac:dyDescent="0.25">
      <c r="C6758" s="4"/>
      <c r="E6758" s="4"/>
    </row>
    <row r="6759" spans="3:5" x14ac:dyDescent="0.25">
      <c r="C6759" s="4"/>
      <c r="E6759" s="4"/>
    </row>
    <row r="6760" spans="3:5" x14ac:dyDescent="0.25">
      <c r="C6760" s="4"/>
      <c r="E6760" s="4"/>
    </row>
    <row r="6761" spans="3:5" x14ac:dyDescent="0.25">
      <c r="C6761" s="4"/>
      <c r="E6761" s="4"/>
    </row>
    <row r="6762" spans="3:5" x14ac:dyDescent="0.25">
      <c r="C6762" s="4"/>
      <c r="E6762" s="4"/>
    </row>
    <row r="6763" spans="3:5" x14ac:dyDescent="0.25">
      <c r="C6763" s="4"/>
      <c r="E6763" s="4"/>
    </row>
    <row r="6764" spans="3:5" x14ac:dyDescent="0.25">
      <c r="C6764" s="4"/>
      <c r="E6764" s="4"/>
    </row>
    <row r="6765" spans="3:5" x14ac:dyDescent="0.25">
      <c r="C6765" s="4"/>
      <c r="E6765" s="4"/>
    </row>
    <row r="6766" spans="3:5" x14ac:dyDescent="0.25">
      <c r="C6766" s="4"/>
      <c r="E6766" s="4"/>
    </row>
    <row r="6767" spans="3:5" x14ac:dyDescent="0.25">
      <c r="C6767" s="4"/>
      <c r="E6767" s="4"/>
    </row>
    <row r="6768" spans="3:5" x14ac:dyDescent="0.25">
      <c r="C6768" s="4"/>
      <c r="E6768" s="4"/>
    </row>
    <row r="6769" spans="3:5" x14ac:dyDescent="0.25">
      <c r="C6769" s="4"/>
      <c r="E6769" s="4"/>
    </row>
    <row r="6770" spans="3:5" x14ac:dyDescent="0.25">
      <c r="C6770" s="4"/>
      <c r="E6770" s="4"/>
    </row>
    <row r="6771" spans="3:5" x14ac:dyDescent="0.25">
      <c r="C6771" s="4"/>
      <c r="E6771" s="4"/>
    </row>
    <row r="6772" spans="3:5" x14ac:dyDescent="0.25">
      <c r="C6772" s="4"/>
      <c r="E6772" s="4"/>
    </row>
    <row r="6773" spans="3:5" x14ac:dyDescent="0.25">
      <c r="C6773" s="4"/>
      <c r="E6773" s="4"/>
    </row>
    <row r="6774" spans="3:5" x14ac:dyDescent="0.25">
      <c r="C6774" s="4"/>
      <c r="E6774" s="4"/>
    </row>
    <row r="6775" spans="3:5" x14ac:dyDescent="0.25">
      <c r="C6775" s="4"/>
      <c r="E6775" s="4"/>
    </row>
    <row r="6776" spans="3:5" x14ac:dyDescent="0.25">
      <c r="C6776" s="4"/>
      <c r="E6776" s="4"/>
    </row>
    <row r="6777" spans="3:5" x14ac:dyDescent="0.25">
      <c r="C6777" s="4"/>
      <c r="E6777" s="4"/>
    </row>
    <row r="6778" spans="3:5" x14ac:dyDescent="0.25">
      <c r="C6778" s="4"/>
      <c r="E6778" s="4"/>
    </row>
    <row r="6779" spans="3:5" x14ac:dyDescent="0.25">
      <c r="C6779" s="4"/>
      <c r="E6779" s="4"/>
    </row>
    <row r="6780" spans="3:5" x14ac:dyDescent="0.25">
      <c r="C6780" s="4"/>
      <c r="E6780" s="4"/>
    </row>
    <row r="6781" spans="3:5" x14ac:dyDescent="0.25">
      <c r="C6781" s="4"/>
      <c r="E6781" s="4"/>
    </row>
    <row r="6782" spans="3:5" x14ac:dyDescent="0.25">
      <c r="C6782" s="4"/>
      <c r="E6782" s="4"/>
    </row>
    <row r="6783" spans="3:5" x14ac:dyDescent="0.25">
      <c r="C6783" s="4"/>
      <c r="E6783" s="4"/>
    </row>
    <row r="6784" spans="3:5" x14ac:dyDescent="0.25">
      <c r="C6784" s="4"/>
      <c r="E6784" s="4"/>
    </row>
    <row r="6785" spans="3:5" x14ac:dyDescent="0.25">
      <c r="C6785" s="4"/>
      <c r="E6785" s="4"/>
    </row>
    <row r="6786" spans="3:5" x14ac:dyDescent="0.25">
      <c r="C6786" s="4"/>
      <c r="E6786" s="4"/>
    </row>
    <row r="6787" spans="3:5" x14ac:dyDescent="0.25">
      <c r="C6787" s="4"/>
      <c r="E6787" s="4"/>
    </row>
    <row r="6788" spans="3:5" x14ac:dyDescent="0.25">
      <c r="C6788" s="4"/>
      <c r="E6788" s="4"/>
    </row>
    <row r="6789" spans="3:5" x14ac:dyDescent="0.25">
      <c r="C6789" s="4"/>
      <c r="E6789" s="4"/>
    </row>
    <row r="6790" spans="3:5" x14ac:dyDescent="0.25">
      <c r="C6790" s="4"/>
      <c r="E6790" s="4"/>
    </row>
    <row r="6791" spans="3:5" x14ac:dyDescent="0.25">
      <c r="C6791" s="4"/>
      <c r="E6791" s="4"/>
    </row>
    <row r="6792" spans="3:5" x14ac:dyDescent="0.25">
      <c r="C6792" s="4"/>
      <c r="E6792" s="4"/>
    </row>
    <row r="6793" spans="3:5" x14ac:dyDescent="0.25">
      <c r="C6793" s="4"/>
      <c r="E6793" s="4"/>
    </row>
    <row r="6794" spans="3:5" x14ac:dyDescent="0.25">
      <c r="C6794" s="4"/>
      <c r="E6794" s="4"/>
    </row>
    <row r="6795" spans="3:5" x14ac:dyDescent="0.25">
      <c r="C6795" s="4"/>
      <c r="E6795" s="4"/>
    </row>
    <row r="6796" spans="3:5" x14ac:dyDescent="0.25">
      <c r="C6796" s="4"/>
      <c r="E6796" s="4"/>
    </row>
    <row r="6797" spans="3:5" x14ac:dyDescent="0.25">
      <c r="C6797" s="4"/>
      <c r="E6797" s="4"/>
    </row>
    <row r="6798" spans="3:5" x14ac:dyDescent="0.25">
      <c r="C6798" s="4"/>
      <c r="E6798" s="4"/>
    </row>
    <row r="6799" spans="3:5" x14ac:dyDescent="0.25">
      <c r="C6799" s="4"/>
      <c r="E6799" s="4"/>
    </row>
    <row r="6800" spans="3:5" x14ac:dyDescent="0.25">
      <c r="C6800" s="4"/>
      <c r="E6800" s="4"/>
    </row>
    <row r="6801" spans="3:5" x14ac:dyDescent="0.25">
      <c r="C6801" s="4"/>
      <c r="E6801" s="4"/>
    </row>
    <row r="6802" spans="3:5" x14ac:dyDescent="0.25">
      <c r="C6802" s="4"/>
      <c r="E6802" s="4"/>
    </row>
    <row r="6803" spans="3:5" x14ac:dyDescent="0.25">
      <c r="C6803" s="4"/>
      <c r="E6803" s="4"/>
    </row>
    <row r="6804" spans="3:5" x14ac:dyDescent="0.25">
      <c r="C6804" s="4"/>
      <c r="E6804" s="4"/>
    </row>
    <row r="6805" spans="3:5" x14ac:dyDescent="0.25">
      <c r="C6805" s="4"/>
      <c r="E6805" s="4"/>
    </row>
    <row r="6806" spans="3:5" x14ac:dyDescent="0.25">
      <c r="C6806" s="4"/>
      <c r="E6806" s="4"/>
    </row>
    <row r="6807" spans="3:5" x14ac:dyDescent="0.25">
      <c r="C6807" s="4"/>
      <c r="E6807" s="4"/>
    </row>
    <row r="6808" spans="3:5" x14ac:dyDescent="0.25">
      <c r="C6808" s="4"/>
      <c r="E6808" s="4"/>
    </row>
    <row r="6809" spans="3:5" x14ac:dyDescent="0.25">
      <c r="C6809" s="4"/>
      <c r="E6809" s="4"/>
    </row>
    <row r="6810" spans="3:5" x14ac:dyDescent="0.25">
      <c r="C6810" s="4"/>
      <c r="E6810" s="4"/>
    </row>
    <row r="6811" spans="3:5" x14ac:dyDescent="0.25">
      <c r="C6811" s="4"/>
      <c r="E6811" s="4"/>
    </row>
    <row r="6812" spans="3:5" x14ac:dyDescent="0.25">
      <c r="C6812" s="4"/>
      <c r="E6812" s="4"/>
    </row>
    <row r="6813" spans="3:5" x14ac:dyDescent="0.25">
      <c r="C6813" s="4"/>
      <c r="E6813" s="4"/>
    </row>
    <row r="6814" spans="3:5" x14ac:dyDescent="0.25">
      <c r="C6814" s="4"/>
      <c r="E6814" s="4"/>
    </row>
    <row r="6815" spans="3:5" x14ac:dyDescent="0.25">
      <c r="C6815" s="4"/>
      <c r="E6815" s="4"/>
    </row>
    <row r="6816" spans="3:5" x14ac:dyDescent="0.25">
      <c r="C6816" s="4"/>
      <c r="E6816" s="4"/>
    </row>
    <row r="6817" spans="3:5" x14ac:dyDescent="0.25">
      <c r="C6817" s="4"/>
      <c r="E6817" s="4"/>
    </row>
    <row r="6818" spans="3:5" x14ac:dyDescent="0.25">
      <c r="C6818" s="4"/>
      <c r="E6818" s="4"/>
    </row>
    <row r="6819" spans="3:5" x14ac:dyDescent="0.25">
      <c r="C6819" s="4"/>
      <c r="E6819" s="4"/>
    </row>
    <row r="6820" spans="3:5" x14ac:dyDescent="0.25">
      <c r="C6820" s="4"/>
      <c r="E6820" s="4"/>
    </row>
    <row r="6821" spans="3:5" x14ac:dyDescent="0.25">
      <c r="C6821" s="4"/>
      <c r="E6821" s="4"/>
    </row>
    <row r="6822" spans="3:5" x14ac:dyDescent="0.25">
      <c r="C6822" s="4"/>
      <c r="E6822" s="4"/>
    </row>
    <row r="6823" spans="3:5" x14ac:dyDescent="0.25">
      <c r="C6823" s="4"/>
      <c r="E6823" s="4"/>
    </row>
    <row r="6824" spans="3:5" x14ac:dyDescent="0.25">
      <c r="C6824" s="4"/>
      <c r="E6824" s="4"/>
    </row>
    <row r="6825" spans="3:5" x14ac:dyDescent="0.25">
      <c r="C6825" s="4"/>
      <c r="E6825" s="4"/>
    </row>
    <row r="6826" spans="3:5" x14ac:dyDescent="0.25">
      <c r="C6826" s="4"/>
      <c r="E6826" s="4"/>
    </row>
    <row r="6827" spans="3:5" x14ac:dyDescent="0.25">
      <c r="C6827" s="4"/>
      <c r="E6827" s="4"/>
    </row>
    <row r="6828" spans="3:5" x14ac:dyDescent="0.25">
      <c r="C6828" s="4"/>
      <c r="E6828" s="4"/>
    </row>
    <row r="6829" spans="3:5" x14ac:dyDescent="0.25">
      <c r="C6829" s="4"/>
      <c r="E6829" s="4"/>
    </row>
    <row r="6830" spans="3:5" x14ac:dyDescent="0.25">
      <c r="C6830" s="4"/>
      <c r="E6830" s="4"/>
    </row>
    <row r="6831" spans="3:5" x14ac:dyDescent="0.25">
      <c r="C6831" s="4"/>
      <c r="E6831" s="4"/>
    </row>
    <row r="6832" spans="3:5" x14ac:dyDescent="0.25">
      <c r="C6832" s="4"/>
      <c r="E6832" s="4"/>
    </row>
    <row r="6833" spans="3:5" x14ac:dyDescent="0.25">
      <c r="C6833" s="4"/>
      <c r="E6833" s="4"/>
    </row>
    <row r="6834" spans="3:5" x14ac:dyDescent="0.25">
      <c r="C6834" s="4"/>
      <c r="E6834" s="4"/>
    </row>
    <row r="6835" spans="3:5" x14ac:dyDescent="0.25">
      <c r="C6835" s="4"/>
      <c r="E6835" s="4"/>
    </row>
    <row r="6836" spans="3:5" x14ac:dyDescent="0.25">
      <c r="C6836" s="4"/>
      <c r="E6836" s="4"/>
    </row>
    <row r="6837" spans="3:5" x14ac:dyDescent="0.25">
      <c r="C6837" s="4"/>
      <c r="E6837" s="4"/>
    </row>
    <row r="6838" spans="3:5" x14ac:dyDescent="0.25">
      <c r="C6838" s="4"/>
      <c r="E6838" s="4"/>
    </row>
    <row r="6839" spans="3:5" x14ac:dyDescent="0.25">
      <c r="C6839" s="4"/>
      <c r="E6839" s="4"/>
    </row>
    <row r="6840" spans="3:5" x14ac:dyDescent="0.25">
      <c r="C6840" s="4"/>
      <c r="E6840" s="4"/>
    </row>
    <row r="6841" spans="3:5" x14ac:dyDescent="0.25">
      <c r="C6841" s="4"/>
      <c r="E6841" s="4"/>
    </row>
    <row r="6842" spans="3:5" x14ac:dyDescent="0.25">
      <c r="C6842" s="4"/>
      <c r="E6842" s="4"/>
    </row>
    <row r="6843" spans="3:5" x14ac:dyDescent="0.25">
      <c r="C6843" s="4"/>
      <c r="E6843" s="4"/>
    </row>
    <row r="6844" spans="3:5" x14ac:dyDescent="0.25">
      <c r="C6844" s="4"/>
      <c r="E6844" s="4"/>
    </row>
    <row r="6845" spans="3:5" x14ac:dyDescent="0.25">
      <c r="C6845" s="4"/>
      <c r="E6845" s="4"/>
    </row>
    <row r="6846" spans="3:5" x14ac:dyDescent="0.25">
      <c r="C6846" s="4"/>
      <c r="E6846" s="4"/>
    </row>
    <row r="6847" spans="3:5" x14ac:dyDescent="0.25">
      <c r="C6847" s="4"/>
      <c r="E6847" s="4"/>
    </row>
    <row r="6848" spans="3:5" x14ac:dyDescent="0.25">
      <c r="C6848" s="4"/>
      <c r="E6848" s="4"/>
    </row>
    <row r="6849" spans="3:5" x14ac:dyDescent="0.25">
      <c r="C6849" s="4"/>
      <c r="E6849" s="4"/>
    </row>
    <row r="6850" spans="3:5" x14ac:dyDescent="0.25">
      <c r="C6850" s="4"/>
      <c r="E6850" s="4"/>
    </row>
    <row r="6851" spans="3:5" x14ac:dyDescent="0.25">
      <c r="C6851" s="4"/>
      <c r="E6851" s="4"/>
    </row>
    <row r="6852" spans="3:5" x14ac:dyDescent="0.25">
      <c r="C6852" s="4"/>
      <c r="E6852" s="4"/>
    </row>
    <row r="6853" spans="3:5" x14ac:dyDescent="0.25">
      <c r="C6853" s="4"/>
      <c r="E6853" s="4"/>
    </row>
    <row r="6854" spans="3:5" x14ac:dyDescent="0.25">
      <c r="C6854" s="4"/>
      <c r="E6854" s="4"/>
    </row>
    <row r="6855" spans="3:5" x14ac:dyDescent="0.25">
      <c r="C6855" s="4"/>
      <c r="E6855" s="4"/>
    </row>
    <row r="6856" spans="3:5" x14ac:dyDescent="0.25">
      <c r="C6856" s="4"/>
      <c r="E6856" s="4"/>
    </row>
    <row r="6857" spans="3:5" x14ac:dyDescent="0.25">
      <c r="C6857" s="4"/>
      <c r="E6857" s="4"/>
    </row>
    <row r="6858" spans="3:5" x14ac:dyDescent="0.25">
      <c r="C6858" s="4"/>
      <c r="E6858" s="4"/>
    </row>
    <row r="6859" spans="3:5" x14ac:dyDescent="0.25">
      <c r="C6859" s="4"/>
      <c r="E6859" s="4"/>
    </row>
    <row r="6860" spans="3:5" x14ac:dyDescent="0.25">
      <c r="C6860" s="4"/>
      <c r="E6860" s="4"/>
    </row>
    <row r="6861" spans="3:5" x14ac:dyDescent="0.25">
      <c r="C6861" s="4"/>
      <c r="E6861" s="4"/>
    </row>
    <row r="6862" spans="3:5" x14ac:dyDescent="0.25">
      <c r="C6862" s="4"/>
      <c r="E6862" s="4"/>
    </row>
    <row r="6863" spans="3:5" x14ac:dyDescent="0.25">
      <c r="C6863" s="4"/>
      <c r="E6863" s="4"/>
    </row>
    <row r="6864" spans="3:5" x14ac:dyDescent="0.25">
      <c r="C6864" s="4"/>
      <c r="E6864" s="4"/>
    </row>
    <row r="6865" spans="3:5" x14ac:dyDescent="0.25">
      <c r="C6865" s="4"/>
      <c r="E6865" s="4"/>
    </row>
    <row r="6866" spans="3:5" x14ac:dyDescent="0.25">
      <c r="C6866" s="4"/>
      <c r="E6866" s="4"/>
    </row>
    <row r="6867" spans="3:5" x14ac:dyDescent="0.25">
      <c r="C6867" s="4"/>
      <c r="E6867" s="4"/>
    </row>
    <row r="6868" spans="3:5" x14ac:dyDescent="0.25">
      <c r="C6868" s="4"/>
      <c r="E6868" s="4"/>
    </row>
    <row r="6869" spans="3:5" x14ac:dyDescent="0.25">
      <c r="C6869" s="4"/>
      <c r="E6869" s="4"/>
    </row>
    <row r="6870" spans="3:5" x14ac:dyDescent="0.25">
      <c r="C6870" s="4"/>
      <c r="E6870" s="4"/>
    </row>
    <row r="6871" spans="3:5" x14ac:dyDescent="0.25">
      <c r="C6871" s="4"/>
      <c r="E6871" s="4"/>
    </row>
    <row r="6872" spans="3:5" x14ac:dyDescent="0.25">
      <c r="C6872" s="4"/>
      <c r="E6872" s="4"/>
    </row>
    <row r="6873" spans="3:5" x14ac:dyDescent="0.25">
      <c r="C6873" s="4"/>
      <c r="E6873" s="4"/>
    </row>
    <row r="6874" spans="3:5" x14ac:dyDescent="0.25">
      <c r="C6874" s="4"/>
      <c r="E6874" s="4"/>
    </row>
    <row r="6875" spans="3:5" x14ac:dyDescent="0.25">
      <c r="C6875" s="4"/>
      <c r="E6875" s="4"/>
    </row>
    <row r="6876" spans="3:5" x14ac:dyDescent="0.25">
      <c r="C6876" s="4"/>
      <c r="E6876" s="4"/>
    </row>
    <row r="6877" spans="3:5" x14ac:dyDescent="0.25">
      <c r="C6877" s="4"/>
      <c r="E6877" s="4"/>
    </row>
    <row r="6878" spans="3:5" x14ac:dyDescent="0.25">
      <c r="C6878" s="4"/>
      <c r="E6878" s="4"/>
    </row>
    <row r="6879" spans="3:5" x14ac:dyDescent="0.25">
      <c r="C6879" s="4"/>
      <c r="E6879" s="4"/>
    </row>
    <row r="6880" spans="3:5" x14ac:dyDescent="0.25">
      <c r="C6880" s="4"/>
      <c r="E6880" s="4"/>
    </row>
    <row r="6881" spans="3:5" x14ac:dyDescent="0.25">
      <c r="C6881" s="4"/>
      <c r="E6881" s="4"/>
    </row>
    <row r="6882" spans="3:5" x14ac:dyDescent="0.25">
      <c r="C6882" s="4"/>
      <c r="E6882" s="4"/>
    </row>
    <row r="6883" spans="3:5" x14ac:dyDescent="0.25">
      <c r="C6883" s="4"/>
      <c r="E6883" s="4"/>
    </row>
    <row r="6884" spans="3:5" x14ac:dyDescent="0.25">
      <c r="C6884" s="4"/>
      <c r="E6884" s="4"/>
    </row>
    <row r="6885" spans="3:5" x14ac:dyDescent="0.25">
      <c r="C6885" s="4"/>
      <c r="E6885" s="4"/>
    </row>
    <row r="6886" spans="3:5" x14ac:dyDescent="0.25">
      <c r="C6886" s="4"/>
      <c r="E6886" s="4"/>
    </row>
    <row r="6887" spans="3:5" x14ac:dyDescent="0.25">
      <c r="C6887" s="4"/>
      <c r="E6887" s="4"/>
    </row>
    <row r="6888" spans="3:5" x14ac:dyDescent="0.25">
      <c r="C6888" s="4"/>
      <c r="E6888" s="4"/>
    </row>
    <row r="6889" spans="3:5" x14ac:dyDescent="0.25">
      <c r="C6889" s="4"/>
      <c r="E6889" s="4"/>
    </row>
    <row r="6890" spans="3:5" x14ac:dyDescent="0.25">
      <c r="C6890" s="4"/>
      <c r="E6890" s="4"/>
    </row>
    <row r="6891" spans="3:5" x14ac:dyDescent="0.25">
      <c r="C6891" s="4"/>
      <c r="E6891" s="4"/>
    </row>
    <row r="6892" spans="3:5" x14ac:dyDescent="0.25">
      <c r="C6892" s="4"/>
      <c r="E6892" s="4"/>
    </row>
    <row r="6893" spans="3:5" x14ac:dyDescent="0.25">
      <c r="C6893" s="4"/>
      <c r="E6893" s="4"/>
    </row>
    <row r="6894" spans="3:5" x14ac:dyDescent="0.25">
      <c r="C6894" s="4"/>
      <c r="E6894" s="4"/>
    </row>
    <row r="6895" spans="3:5" x14ac:dyDescent="0.25">
      <c r="C6895" s="4"/>
      <c r="E6895" s="4"/>
    </row>
    <row r="6896" spans="3:5" x14ac:dyDescent="0.25">
      <c r="C6896" s="4"/>
      <c r="E6896" s="4"/>
    </row>
    <row r="6897" spans="3:5" x14ac:dyDescent="0.25">
      <c r="C6897" s="4"/>
      <c r="E6897" s="4"/>
    </row>
    <row r="6898" spans="3:5" x14ac:dyDescent="0.25">
      <c r="C6898" s="4"/>
      <c r="E6898" s="4"/>
    </row>
    <row r="6899" spans="3:5" x14ac:dyDescent="0.25">
      <c r="C6899" s="4"/>
      <c r="E6899" s="4"/>
    </row>
    <row r="6900" spans="3:5" x14ac:dyDescent="0.25">
      <c r="C6900" s="4"/>
      <c r="E6900" s="4"/>
    </row>
    <row r="6901" spans="3:5" x14ac:dyDescent="0.25">
      <c r="C6901" s="4"/>
      <c r="E6901" s="4"/>
    </row>
    <row r="6902" spans="3:5" x14ac:dyDescent="0.25">
      <c r="C6902" s="4"/>
      <c r="E6902" s="4"/>
    </row>
    <row r="6903" spans="3:5" x14ac:dyDescent="0.25">
      <c r="C6903" s="4"/>
      <c r="E6903" s="4"/>
    </row>
    <row r="6904" spans="3:5" x14ac:dyDescent="0.25">
      <c r="C6904" s="4"/>
      <c r="E6904" s="4"/>
    </row>
    <row r="6905" spans="3:5" x14ac:dyDescent="0.25">
      <c r="C6905" s="4"/>
      <c r="E6905" s="4"/>
    </row>
    <row r="6906" spans="3:5" x14ac:dyDescent="0.25">
      <c r="C6906" s="4"/>
      <c r="E6906" s="4"/>
    </row>
    <row r="6907" spans="3:5" x14ac:dyDescent="0.25">
      <c r="C6907" s="4"/>
      <c r="E6907" s="4"/>
    </row>
    <row r="6908" spans="3:5" x14ac:dyDescent="0.25">
      <c r="C6908" s="4"/>
      <c r="E6908" s="4"/>
    </row>
    <row r="6909" spans="3:5" x14ac:dyDescent="0.25">
      <c r="C6909" s="4"/>
      <c r="E6909" s="4"/>
    </row>
    <row r="6910" spans="3:5" x14ac:dyDescent="0.25">
      <c r="C6910" s="4"/>
      <c r="E6910" s="4"/>
    </row>
    <row r="6911" spans="3:5" x14ac:dyDescent="0.25">
      <c r="C6911" s="4"/>
      <c r="E6911" s="4"/>
    </row>
    <row r="6912" spans="3:5" x14ac:dyDescent="0.25">
      <c r="C6912" s="4"/>
      <c r="E6912" s="4"/>
    </row>
    <row r="6913" spans="3:5" x14ac:dyDescent="0.25">
      <c r="C6913" s="4"/>
      <c r="E6913" s="4"/>
    </row>
    <row r="6914" spans="3:5" x14ac:dyDescent="0.25">
      <c r="C6914" s="4"/>
      <c r="E6914" s="4"/>
    </row>
    <row r="6915" spans="3:5" x14ac:dyDescent="0.25">
      <c r="C6915" s="4"/>
      <c r="E6915" s="4"/>
    </row>
    <row r="6916" spans="3:5" x14ac:dyDescent="0.25">
      <c r="C6916" s="4"/>
      <c r="E6916" s="4"/>
    </row>
    <row r="6917" spans="3:5" x14ac:dyDescent="0.25">
      <c r="C6917" s="4"/>
      <c r="E6917" s="4"/>
    </row>
    <row r="6918" spans="3:5" x14ac:dyDescent="0.25">
      <c r="C6918" s="4"/>
      <c r="E6918" s="4"/>
    </row>
    <row r="6919" spans="3:5" x14ac:dyDescent="0.25">
      <c r="C6919" s="4"/>
      <c r="E6919" s="4"/>
    </row>
    <row r="6920" spans="3:5" x14ac:dyDescent="0.25">
      <c r="C6920" s="4"/>
      <c r="E6920" s="4"/>
    </row>
    <row r="6921" spans="3:5" x14ac:dyDescent="0.25">
      <c r="C6921" s="4"/>
      <c r="E6921" s="4"/>
    </row>
    <row r="6922" spans="3:5" x14ac:dyDescent="0.25">
      <c r="C6922" s="4"/>
      <c r="E6922" s="4"/>
    </row>
    <row r="6923" spans="3:5" x14ac:dyDescent="0.25">
      <c r="C6923" s="4"/>
      <c r="E6923" s="4"/>
    </row>
    <row r="6924" spans="3:5" x14ac:dyDescent="0.25">
      <c r="C6924" s="4"/>
      <c r="E6924" s="4"/>
    </row>
    <row r="6925" spans="3:5" x14ac:dyDescent="0.25">
      <c r="C6925" s="4"/>
      <c r="E6925" s="4"/>
    </row>
    <row r="6926" spans="3:5" x14ac:dyDescent="0.25">
      <c r="C6926" s="4"/>
      <c r="E6926" s="4"/>
    </row>
    <row r="6927" spans="3:5" x14ac:dyDescent="0.25">
      <c r="C6927" s="4"/>
      <c r="E6927" s="4"/>
    </row>
    <row r="6928" spans="3:5" x14ac:dyDescent="0.25">
      <c r="C6928" s="4"/>
      <c r="E6928" s="4"/>
    </row>
    <row r="6929" spans="3:5" x14ac:dyDescent="0.25">
      <c r="C6929" s="4"/>
      <c r="E6929" s="4"/>
    </row>
    <row r="6930" spans="3:5" x14ac:dyDescent="0.25">
      <c r="C6930" s="4"/>
      <c r="E6930" s="4"/>
    </row>
    <row r="6931" spans="3:5" x14ac:dyDescent="0.25">
      <c r="C6931" s="4"/>
      <c r="E6931" s="4"/>
    </row>
    <row r="6932" spans="3:5" x14ac:dyDescent="0.25">
      <c r="C6932" s="4"/>
      <c r="E6932" s="4"/>
    </row>
    <row r="6933" spans="3:5" x14ac:dyDescent="0.25">
      <c r="C6933" s="4"/>
      <c r="E6933" s="4"/>
    </row>
    <row r="6934" spans="3:5" x14ac:dyDescent="0.25">
      <c r="C6934" s="4"/>
      <c r="E6934" s="4"/>
    </row>
    <row r="6935" spans="3:5" x14ac:dyDescent="0.25">
      <c r="C6935" s="4"/>
      <c r="E6935" s="4"/>
    </row>
    <row r="6936" spans="3:5" x14ac:dyDescent="0.25">
      <c r="C6936" s="4"/>
      <c r="E6936" s="4"/>
    </row>
    <row r="6937" spans="3:5" x14ac:dyDescent="0.25">
      <c r="C6937" s="4"/>
      <c r="E6937" s="4"/>
    </row>
    <row r="6938" spans="3:5" x14ac:dyDescent="0.25">
      <c r="C6938" s="4"/>
      <c r="E6938" s="4"/>
    </row>
    <row r="6939" spans="3:5" x14ac:dyDescent="0.25">
      <c r="C6939" s="4"/>
      <c r="E6939" s="4"/>
    </row>
    <row r="6940" spans="3:5" x14ac:dyDescent="0.25">
      <c r="C6940" s="4"/>
      <c r="E6940" s="4"/>
    </row>
    <row r="6941" spans="3:5" x14ac:dyDescent="0.25">
      <c r="C6941" s="4"/>
      <c r="E6941" s="4"/>
    </row>
    <row r="6942" spans="3:5" x14ac:dyDescent="0.25">
      <c r="C6942" s="4"/>
      <c r="E6942" s="4"/>
    </row>
    <row r="6943" spans="3:5" x14ac:dyDescent="0.25">
      <c r="C6943" s="4"/>
      <c r="E6943" s="4"/>
    </row>
    <row r="6944" spans="3:5" x14ac:dyDescent="0.25">
      <c r="C6944" s="4"/>
      <c r="E6944" s="4"/>
    </row>
    <row r="6945" spans="3:5" x14ac:dyDescent="0.25">
      <c r="C6945" s="4"/>
      <c r="E6945" s="4"/>
    </row>
    <row r="6946" spans="3:5" x14ac:dyDescent="0.25">
      <c r="C6946" s="4"/>
      <c r="E6946" s="4"/>
    </row>
    <row r="6947" spans="3:5" x14ac:dyDescent="0.25">
      <c r="C6947" s="4"/>
      <c r="E6947" s="4"/>
    </row>
    <row r="6948" spans="3:5" x14ac:dyDescent="0.25">
      <c r="C6948" s="4"/>
      <c r="E6948" s="4"/>
    </row>
    <row r="6949" spans="3:5" x14ac:dyDescent="0.25">
      <c r="C6949" s="4"/>
      <c r="E6949" s="4"/>
    </row>
    <row r="6950" spans="3:5" x14ac:dyDescent="0.25">
      <c r="C6950" s="4"/>
      <c r="E6950" s="4"/>
    </row>
    <row r="6951" spans="3:5" x14ac:dyDescent="0.25">
      <c r="C6951" s="4"/>
      <c r="E6951" s="4"/>
    </row>
    <row r="6952" spans="3:5" x14ac:dyDescent="0.25">
      <c r="C6952" s="4"/>
      <c r="E6952" s="4"/>
    </row>
    <row r="6953" spans="3:5" x14ac:dyDescent="0.25">
      <c r="C6953" s="4"/>
      <c r="E6953" s="4"/>
    </row>
    <row r="6954" spans="3:5" x14ac:dyDescent="0.25">
      <c r="C6954" s="4"/>
      <c r="E6954" s="4"/>
    </row>
    <row r="6955" spans="3:5" x14ac:dyDescent="0.25">
      <c r="C6955" s="4"/>
      <c r="E6955" s="4"/>
    </row>
    <row r="6956" spans="3:5" x14ac:dyDescent="0.25">
      <c r="C6956" s="4"/>
      <c r="E6956" s="4"/>
    </row>
    <row r="6957" spans="3:5" x14ac:dyDescent="0.25">
      <c r="C6957" s="4"/>
      <c r="E6957" s="4"/>
    </row>
    <row r="6958" spans="3:5" x14ac:dyDescent="0.25">
      <c r="C6958" s="4"/>
      <c r="E6958" s="4"/>
    </row>
    <row r="6959" spans="3:5" x14ac:dyDescent="0.25">
      <c r="C6959" s="4"/>
      <c r="E6959" s="4"/>
    </row>
    <row r="6960" spans="3:5" x14ac:dyDescent="0.25">
      <c r="C6960" s="4"/>
      <c r="E6960" s="4"/>
    </row>
    <row r="6961" spans="3:5" x14ac:dyDescent="0.25">
      <c r="C6961" s="4"/>
      <c r="E6961" s="4"/>
    </row>
    <row r="6962" spans="3:5" x14ac:dyDescent="0.25">
      <c r="C6962" s="4"/>
      <c r="E6962" s="4"/>
    </row>
    <row r="6963" spans="3:5" x14ac:dyDescent="0.25">
      <c r="C6963" s="4"/>
      <c r="E6963" s="4"/>
    </row>
    <row r="6964" spans="3:5" x14ac:dyDescent="0.25">
      <c r="C6964" s="4"/>
      <c r="E6964" s="4"/>
    </row>
    <row r="6965" spans="3:5" x14ac:dyDescent="0.25">
      <c r="C6965" s="4"/>
      <c r="E6965" s="4"/>
    </row>
    <row r="6966" spans="3:5" x14ac:dyDescent="0.25">
      <c r="C6966" s="4"/>
      <c r="E6966" s="4"/>
    </row>
    <row r="6967" spans="3:5" x14ac:dyDescent="0.25">
      <c r="C6967" s="4"/>
      <c r="E6967" s="4"/>
    </row>
    <row r="6968" spans="3:5" x14ac:dyDescent="0.25">
      <c r="C6968" s="4"/>
      <c r="E6968" s="4"/>
    </row>
    <row r="6969" spans="3:5" x14ac:dyDescent="0.25">
      <c r="C6969" s="4"/>
      <c r="E6969" s="4"/>
    </row>
    <row r="6970" spans="3:5" x14ac:dyDescent="0.25">
      <c r="C6970" s="4"/>
      <c r="E6970" s="4"/>
    </row>
    <row r="6971" spans="3:5" x14ac:dyDescent="0.25">
      <c r="C6971" s="4"/>
      <c r="E6971" s="4"/>
    </row>
    <row r="6972" spans="3:5" x14ac:dyDescent="0.25">
      <c r="C6972" s="4"/>
      <c r="E6972" s="4"/>
    </row>
    <row r="6973" spans="3:5" x14ac:dyDescent="0.25">
      <c r="C6973" s="4"/>
      <c r="E6973" s="4"/>
    </row>
    <row r="6974" spans="3:5" x14ac:dyDescent="0.25">
      <c r="C6974" s="4"/>
      <c r="E6974" s="4"/>
    </row>
    <row r="6975" spans="3:5" x14ac:dyDescent="0.25">
      <c r="C6975" s="4"/>
      <c r="E6975" s="4"/>
    </row>
    <row r="6976" spans="3:5" x14ac:dyDescent="0.25">
      <c r="C6976" s="4"/>
      <c r="E6976" s="4"/>
    </row>
    <row r="6977" spans="3:5" x14ac:dyDescent="0.25">
      <c r="C6977" s="4"/>
      <c r="E6977" s="4"/>
    </row>
    <row r="6978" spans="3:5" x14ac:dyDescent="0.25">
      <c r="C6978" s="4"/>
      <c r="E6978" s="4"/>
    </row>
    <row r="6979" spans="3:5" x14ac:dyDescent="0.25">
      <c r="C6979" s="4"/>
      <c r="E6979" s="4"/>
    </row>
    <row r="6980" spans="3:5" x14ac:dyDescent="0.25">
      <c r="C6980" s="4"/>
      <c r="E6980" s="4"/>
    </row>
    <row r="6981" spans="3:5" x14ac:dyDescent="0.25">
      <c r="C6981" s="4"/>
      <c r="E6981" s="4"/>
    </row>
    <row r="6982" spans="3:5" x14ac:dyDescent="0.25">
      <c r="C6982" s="4"/>
      <c r="E6982" s="4"/>
    </row>
    <row r="6983" spans="3:5" x14ac:dyDescent="0.25">
      <c r="C6983" s="4"/>
      <c r="E6983" s="4"/>
    </row>
    <row r="6984" spans="3:5" x14ac:dyDescent="0.25">
      <c r="C6984" s="4"/>
      <c r="E6984" s="4"/>
    </row>
    <row r="6985" spans="3:5" x14ac:dyDescent="0.25">
      <c r="C6985" s="4"/>
      <c r="E6985" s="4"/>
    </row>
    <row r="6986" spans="3:5" x14ac:dyDescent="0.25">
      <c r="C6986" s="4"/>
      <c r="E6986" s="4"/>
    </row>
    <row r="6987" spans="3:5" x14ac:dyDescent="0.25">
      <c r="C6987" s="4"/>
      <c r="E6987" s="4"/>
    </row>
    <row r="6988" spans="3:5" x14ac:dyDescent="0.25">
      <c r="C6988" s="4"/>
      <c r="E6988" s="4"/>
    </row>
    <row r="6989" spans="3:5" x14ac:dyDescent="0.25">
      <c r="C6989" s="4"/>
      <c r="E6989" s="4"/>
    </row>
    <row r="6990" spans="3:5" x14ac:dyDescent="0.25">
      <c r="C6990" s="4"/>
      <c r="E6990" s="4"/>
    </row>
    <row r="6991" spans="3:5" x14ac:dyDescent="0.25">
      <c r="C6991" s="4"/>
      <c r="E6991" s="4"/>
    </row>
    <row r="6992" spans="3:5" x14ac:dyDescent="0.25">
      <c r="C6992" s="4"/>
      <c r="E6992" s="4"/>
    </row>
    <row r="6993" spans="3:5" x14ac:dyDescent="0.25">
      <c r="C6993" s="4"/>
      <c r="E6993" s="4"/>
    </row>
    <row r="6994" spans="3:5" x14ac:dyDescent="0.25">
      <c r="C6994" s="4"/>
      <c r="E6994" s="4"/>
    </row>
    <row r="6995" spans="3:5" x14ac:dyDescent="0.25">
      <c r="C6995" s="4"/>
      <c r="E6995" s="4"/>
    </row>
    <row r="6996" spans="3:5" x14ac:dyDescent="0.25">
      <c r="C6996" s="4"/>
      <c r="E6996" s="4"/>
    </row>
    <row r="6997" spans="3:5" x14ac:dyDescent="0.25">
      <c r="C6997" s="4"/>
      <c r="E6997" s="4"/>
    </row>
    <row r="6998" spans="3:5" x14ac:dyDescent="0.25">
      <c r="C6998" s="4"/>
      <c r="E6998" s="4"/>
    </row>
    <row r="6999" spans="3:5" x14ac:dyDescent="0.25">
      <c r="C6999" s="4"/>
      <c r="E6999" s="4"/>
    </row>
    <row r="7000" spans="3:5" x14ac:dyDescent="0.25">
      <c r="C7000" s="4"/>
      <c r="E7000" s="4"/>
    </row>
    <row r="7001" spans="3:5" x14ac:dyDescent="0.25">
      <c r="C7001" s="4"/>
      <c r="E7001" s="4"/>
    </row>
    <row r="7002" spans="3:5" x14ac:dyDescent="0.25">
      <c r="C7002" s="4"/>
      <c r="E7002" s="4"/>
    </row>
    <row r="7003" spans="3:5" x14ac:dyDescent="0.25">
      <c r="C7003" s="4"/>
      <c r="E7003" s="4"/>
    </row>
    <row r="7004" spans="3:5" x14ac:dyDescent="0.25">
      <c r="C7004" s="4"/>
      <c r="E7004" s="4"/>
    </row>
    <row r="7005" spans="3:5" x14ac:dyDescent="0.25">
      <c r="C7005" s="4"/>
      <c r="E7005" s="4"/>
    </row>
    <row r="7006" spans="3:5" x14ac:dyDescent="0.25">
      <c r="C7006" s="4"/>
      <c r="E7006" s="4"/>
    </row>
    <row r="7007" spans="3:5" x14ac:dyDescent="0.25">
      <c r="C7007" s="4"/>
      <c r="E7007" s="4"/>
    </row>
    <row r="7008" spans="3:5" x14ac:dyDescent="0.25">
      <c r="C7008" s="4"/>
      <c r="E7008" s="4"/>
    </row>
    <row r="7009" spans="3:5" x14ac:dyDescent="0.25">
      <c r="C7009" s="4"/>
      <c r="E7009" s="4"/>
    </row>
    <row r="7010" spans="3:5" x14ac:dyDescent="0.25">
      <c r="C7010" s="4"/>
      <c r="E7010" s="4"/>
    </row>
    <row r="7011" spans="3:5" x14ac:dyDescent="0.25">
      <c r="C7011" s="4"/>
      <c r="E7011" s="4"/>
    </row>
    <row r="7012" spans="3:5" x14ac:dyDescent="0.25">
      <c r="C7012" s="4"/>
      <c r="E7012" s="4"/>
    </row>
    <row r="7013" spans="3:5" x14ac:dyDescent="0.25">
      <c r="C7013" s="4"/>
      <c r="E7013" s="4"/>
    </row>
    <row r="7014" spans="3:5" x14ac:dyDescent="0.25">
      <c r="C7014" s="4"/>
      <c r="E7014" s="4"/>
    </row>
    <row r="7015" spans="3:5" x14ac:dyDescent="0.25">
      <c r="C7015" s="4"/>
      <c r="E7015" s="4"/>
    </row>
    <row r="7016" spans="3:5" x14ac:dyDescent="0.25">
      <c r="C7016" s="4"/>
      <c r="E7016" s="4"/>
    </row>
    <row r="7017" spans="3:5" x14ac:dyDescent="0.25">
      <c r="C7017" s="4"/>
      <c r="E7017" s="4"/>
    </row>
    <row r="7018" spans="3:5" x14ac:dyDescent="0.25">
      <c r="C7018" s="4"/>
      <c r="E7018" s="4"/>
    </row>
    <row r="7019" spans="3:5" x14ac:dyDescent="0.25">
      <c r="C7019" s="4"/>
      <c r="E7019" s="4"/>
    </row>
    <row r="7020" spans="3:5" x14ac:dyDescent="0.25">
      <c r="C7020" s="4"/>
      <c r="E7020" s="4"/>
    </row>
    <row r="7021" spans="3:5" x14ac:dyDescent="0.25">
      <c r="C7021" s="4"/>
      <c r="E7021" s="4"/>
    </row>
    <row r="7022" spans="3:5" x14ac:dyDescent="0.25">
      <c r="C7022" s="4"/>
      <c r="E7022" s="4"/>
    </row>
    <row r="7023" spans="3:5" x14ac:dyDescent="0.25">
      <c r="C7023" s="4"/>
      <c r="E7023" s="4"/>
    </row>
    <row r="7024" spans="3:5" x14ac:dyDescent="0.25">
      <c r="C7024" s="4"/>
      <c r="E7024" s="4"/>
    </row>
    <row r="7025" spans="3:5" x14ac:dyDescent="0.25">
      <c r="C7025" s="4"/>
      <c r="E7025" s="4"/>
    </row>
    <row r="7026" spans="3:5" x14ac:dyDescent="0.25">
      <c r="C7026" s="4"/>
      <c r="E7026" s="4"/>
    </row>
    <row r="7027" spans="3:5" x14ac:dyDescent="0.25">
      <c r="C7027" s="4"/>
      <c r="E7027" s="4"/>
    </row>
    <row r="7028" spans="3:5" x14ac:dyDescent="0.25">
      <c r="C7028" s="4"/>
      <c r="E7028" s="4"/>
    </row>
    <row r="7029" spans="3:5" x14ac:dyDescent="0.25">
      <c r="C7029" s="4"/>
      <c r="E7029" s="4"/>
    </row>
    <row r="7030" spans="3:5" x14ac:dyDescent="0.25">
      <c r="C7030" s="4"/>
      <c r="E7030" s="4"/>
    </row>
    <row r="7031" spans="3:5" x14ac:dyDescent="0.25">
      <c r="C7031" s="4"/>
      <c r="E7031" s="4"/>
    </row>
    <row r="7032" spans="3:5" x14ac:dyDescent="0.25">
      <c r="C7032" s="4"/>
      <c r="E7032" s="4"/>
    </row>
    <row r="7033" spans="3:5" x14ac:dyDescent="0.25">
      <c r="C7033" s="4"/>
      <c r="E7033" s="4"/>
    </row>
    <row r="7034" spans="3:5" x14ac:dyDescent="0.25">
      <c r="C7034" s="4"/>
      <c r="E7034" s="4"/>
    </row>
    <row r="7035" spans="3:5" x14ac:dyDescent="0.25">
      <c r="C7035" s="4"/>
      <c r="E7035" s="4"/>
    </row>
    <row r="7036" spans="3:5" x14ac:dyDescent="0.25">
      <c r="C7036" s="4"/>
      <c r="E7036" s="4"/>
    </row>
    <row r="7037" spans="3:5" x14ac:dyDescent="0.25">
      <c r="C7037" s="4"/>
      <c r="E7037" s="4"/>
    </row>
    <row r="7038" spans="3:5" x14ac:dyDescent="0.25">
      <c r="C7038" s="4"/>
      <c r="E7038" s="4"/>
    </row>
    <row r="7039" spans="3:5" x14ac:dyDescent="0.25">
      <c r="C7039" s="4"/>
      <c r="E7039" s="4"/>
    </row>
    <row r="7040" spans="3:5" x14ac:dyDescent="0.25">
      <c r="C7040" s="4"/>
      <c r="E7040" s="4"/>
    </row>
    <row r="7041" spans="3:5" x14ac:dyDescent="0.25">
      <c r="C7041" s="4"/>
      <c r="E7041" s="4"/>
    </row>
    <row r="7042" spans="3:5" x14ac:dyDescent="0.25">
      <c r="C7042" s="4"/>
      <c r="E7042" s="4"/>
    </row>
    <row r="7043" spans="3:5" x14ac:dyDescent="0.25">
      <c r="C7043" s="4"/>
      <c r="E7043" s="4"/>
    </row>
    <row r="7044" spans="3:5" x14ac:dyDescent="0.25">
      <c r="C7044" s="4"/>
      <c r="E7044" s="4"/>
    </row>
    <row r="7045" spans="3:5" x14ac:dyDescent="0.25">
      <c r="C7045" s="4"/>
      <c r="E7045" s="4"/>
    </row>
    <row r="7046" spans="3:5" x14ac:dyDescent="0.25">
      <c r="C7046" s="4"/>
      <c r="E7046" s="4"/>
    </row>
    <row r="7047" spans="3:5" x14ac:dyDescent="0.25">
      <c r="C7047" s="4"/>
      <c r="E7047" s="4"/>
    </row>
    <row r="7048" spans="3:5" x14ac:dyDescent="0.25">
      <c r="C7048" s="4"/>
      <c r="E7048" s="4"/>
    </row>
    <row r="7049" spans="3:5" x14ac:dyDescent="0.25">
      <c r="C7049" s="4"/>
      <c r="E7049" s="4"/>
    </row>
    <row r="7050" spans="3:5" x14ac:dyDescent="0.25">
      <c r="C7050" s="4"/>
      <c r="E7050" s="4"/>
    </row>
    <row r="7051" spans="3:5" x14ac:dyDescent="0.25">
      <c r="C7051" s="4"/>
      <c r="E7051" s="4"/>
    </row>
    <row r="7052" spans="3:5" x14ac:dyDescent="0.25">
      <c r="C7052" s="4"/>
      <c r="E7052" s="4"/>
    </row>
    <row r="7053" spans="3:5" x14ac:dyDescent="0.25">
      <c r="C7053" s="4"/>
      <c r="E7053" s="4"/>
    </row>
    <row r="7054" spans="3:5" x14ac:dyDescent="0.25">
      <c r="C7054" s="4"/>
      <c r="E7054" s="4"/>
    </row>
    <row r="7055" spans="3:5" x14ac:dyDescent="0.25">
      <c r="C7055" s="4"/>
      <c r="E7055" s="4"/>
    </row>
    <row r="7056" spans="3:5" x14ac:dyDescent="0.25">
      <c r="C7056" s="4"/>
      <c r="E7056" s="4"/>
    </row>
    <row r="7057" spans="3:5" x14ac:dyDescent="0.25">
      <c r="C7057" s="4"/>
      <c r="E7057" s="4"/>
    </row>
    <row r="7058" spans="3:5" x14ac:dyDescent="0.25">
      <c r="C7058" s="4"/>
      <c r="E7058" s="4"/>
    </row>
    <row r="7059" spans="3:5" x14ac:dyDescent="0.25">
      <c r="C7059" s="4"/>
      <c r="E7059" s="4"/>
    </row>
    <row r="7060" spans="3:5" x14ac:dyDescent="0.25">
      <c r="C7060" s="4"/>
      <c r="E7060" s="4"/>
    </row>
    <row r="7061" spans="3:5" x14ac:dyDescent="0.25">
      <c r="C7061" s="4"/>
      <c r="E7061" s="4"/>
    </row>
    <row r="7062" spans="3:5" x14ac:dyDescent="0.25">
      <c r="C7062" s="4"/>
      <c r="E7062" s="4"/>
    </row>
    <row r="7063" spans="3:5" x14ac:dyDescent="0.25">
      <c r="C7063" s="4"/>
      <c r="E7063" s="4"/>
    </row>
    <row r="7064" spans="3:5" x14ac:dyDescent="0.25">
      <c r="C7064" s="4"/>
      <c r="E7064" s="4"/>
    </row>
    <row r="7065" spans="3:5" x14ac:dyDescent="0.25">
      <c r="C7065" s="4"/>
      <c r="E7065" s="4"/>
    </row>
    <row r="7066" spans="3:5" x14ac:dyDescent="0.25">
      <c r="C7066" s="4"/>
      <c r="E7066" s="4"/>
    </row>
    <row r="7067" spans="3:5" x14ac:dyDescent="0.25">
      <c r="C7067" s="4"/>
      <c r="E7067" s="4"/>
    </row>
    <row r="7068" spans="3:5" x14ac:dyDescent="0.25">
      <c r="C7068" s="4"/>
      <c r="E7068" s="4"/>
    </row>
    <row r="7069" spans="3:5" x14ac:dyDescent="0.25">
      <c r="C7069" s="4"/>
      <c r="E7069" s="4"/>
    </row>
    <row r="7070" spans="3:5" x14ac:dyDescent="0.25">
      <c r="C7070" s="4"/>
      <c r="E7070" s="4"/>
    </row>
    <row r="7071" spans="3:5" x14ac:dyDescent="0.25">
      <c r="C7071" s="4"/>
      <c r="E7071" s="4"/>
    </row>
    <row r="7072" spans="3:5" x14ac:dyDescent="0.25">
      <c r="C7072" s="4"/>
      <c r="E7072" s="4"/>
    </row>
    <row r="7073" spans="3:5" x14ac:dyDescent="0.25">
      <c r="C7073" s="4"/>
      <c r="E7073" s="4"/>
    </row>
    <row r="7074" spans="3:5" x14ac:dyDescent="0.25">
      <c r="C7074" s="4"/>
      <c r="E7074" s="4"/>
    </row>
    <row r="7075" spans="3:5" x14ac:dyDescent="0.25">
      <c r="C7075" s="4"/>
      <c r="E7075" s="4"/>
    </row>
    <row r="7076" spans="3:5" x14ac:dyDescent="0.25">
      <c r="C7076" s="4"/>
      <c r="E7076" s="4"/>
    </row>
    <row r="7077" spans="3:5" x14ac:dyDescent="0.25">
      <c r="C7077" s="4"/>
      <c r="E7077" s="4"/>
    </row>
    <row r="7078" spans="3:5" x14ac:dyDescent="0.25">
      <c r="C7078" s="4"/>
      <c r="E7078" s="4"/>
    </row>
    <row r="7079" spans="3:5" x14ac:dyDescent="0.25">
      <c r="C7079" s="4"/>
      <c r="E7079" s="4"/>
    </row>
    <row r="7080" spans="3:5" x14ac:dyDescent="0.25">
      <c r="C7080" s="4"/>
      <c r="E7080" s="4"/>
    </row>
    <row r="7081" spans="3:5" x14ac:dyDescent="0.25">
      <c r="C7081" s="4"/>
      <c r="E7081" s="4"/>
    </row>
    <row r="7082" spans="3:5" x14ac:dyDescent="0.25">
      <c r="C7082" s="4"/>
      <c r="E7082" s="4"/>
    </row>
    <row r="7083" spans="3:5" x14ac:dyDescent="0.25">
      <c r="C7083" s="4"/>
      <c r="E7083" s="4"/>
    </row>
    <row r="7084" spans="3:5" x14ac:dyDescent="0.25">
      <c r="C7084" s="4"/>
      <c r="E7084" s="4"/>
    </row>
    <row r="7085" spans="3:5" x14ac:dyDescent="0.25">
      <c r="C7085" s="4"/>
      <c r="E7085" s="4"/>
    </row>
    <row r="7086" spans="3:5" x14ac:dyDescent="0.25">
      <c r="C7086" s="4"/>
      <c r="E7086" s="4"/>
    </row>
    <row r="7087" spans="3:5" x14ac:dyDescent="0.25">
      <c r="C7087" s="4"/>
      <c r="E7087" s="4"/>
    </row>
    <row r="7088" spans="3:5" x14ac:dyDescent="0.25">
      <c r="C7088" s="4"/>
      <c r="E7088" s="4"/>
    </row>
    <row r="7089" spans="3:5" x14ac:dyDescent="0.25">
      <c r="C7089" s="4"/>
      <c r="E7089" s="4"/>
    </row>
    <row r="7090" spans="3:5" x14ac:dyDescent="0.25">
      <c r="C7090" s="4"/>
      <c r="E7090" s="4"/>
    </row>
    <row r="7091" spans="3:5" x14ac:dyDescent="0.25">
      <c r="C7091" s="4"/>
      <c r="E7091" s="4"/>
    </row>
    <row r="7092" spans="3:5" x14ac:dyDescent="0.25">
      <c r="C7092" s="4"/>
      <c r="E7092" s="4"/>
    </row>
    <row r="7093" spans="3:5" x14ac:dyDescent="0.25">
      <c r="C7093" s="4"/>
      <c r="E7093" s="4"/>
    </row>
    <row r="7094" spans="3:5" x14ac:dyDescent="0.25">
      <c r="C7094" s="4"/>
      <c r="E7094" s="4"/>
    </row>
    <row r="7095" spans="3:5" x14ac:dyDescent="0.25">
      <c r="C7095" s="4"/>
      <c r="E7095" s="4"/>
    </row>
    <row r="7096" spans="3:5" x14ac:dyDescent="0.25">
      <c r="C7096" s="4"/>
      <c r="E7096" s="4"/>
    </row>
    <row r="7097" spans="3:5" x14ac:dyDescent="0.25">
      <c r="C7097" s="4"/>
      <c r="E7097" s="4"/>
    </row>
    <row r="7098" spans="3:5" x14ac:dyDescent="0.25">
      <c r="C7098" s="4"/>
      <c r="E7098" s="4"/>
    </row>
    <row r="7099" spans="3:5" x14ac:dyDescent="0.25">
      <c r="C7099" s="4"/>
      <c r="E7099" s="4"/>
    </row>
    <row r="7100" spans="3:5" x14ac:dyDescent="0.25">
      <c r="C7100" s="4"/>
      <c r="E7100" s="4"/>
    </row>
    <row r="7101" spans="3:5" x14ac:dyDescent="0.25">
      <c r="C7101" s="4"/>
      <c r="E7101" s="4"/>
    </row>
    <row r="7102" spans="3:5" x14ac:dyDescent="0.25">
      <c r="C7102" s="4"/>
      <c r="E7102" s="4"/>
    </row>
    <row r="7103" spans="3:5" x14ac:dyDescent="0.25">
      <c r="C7103" s="4"/>
      <c r="E7103" s="4"/>
    </row>
    <row r="7104" spans="3:5" x14ac:dyDescent="0.25">
      <c r="C7104" s="4"/>
      <c r="E7104" s="4"/>
    </row>
    <row r="7105" spans="3:5" x14ac:dyDescent="0.25">
      <c r="C7105" s="4"/>
      <c r="E7105" s="4"/>
    </row>
    <row r="7106" spans="3:5" x14ac:dyDescent="0.25">
      <c r="C7106" s="4"/>
      <c r="E7106" s="4"/>
    </row>
    <row r="7107" spans="3:5" x14ac:dyDescent="0.25">
      <c r="C7107" s="4"/>
      <c r="E7107" s="4"/>
    </row>
    <row r="7108" spans="3:5" x14ac:dyDescent="0.25">
      <c r="C7108" s="4"/>
      <c r="E7108" s="4"/>
    </row>
    <row r="7109" spans="3:5" x14ac:dyDescent="0.25">
      <c r="C7109" s="4"/>
      <c r="E7109" s="4"/>
    </row>
    <row r="7110" spans="3:5" x14ac:dyDescent="0.25">
      <c r="C7110" s="4"/>
      <c r="E7110" s="4"/>
    </row>
    <row r="7111" spans="3:5" x14ac:dyDescent="0.25">
      <c r="C7111" s="4"/>
      <c r="E7111" s="4"/>
    </row>
    <row r="7112" spans="3:5" x14ac:dyDescent="0.25">
      <c r="C7112" s="4"/>
      <c r="E7112" s="4"/>
    </row>
    <row r="7113" spans="3:5" x14ac:dyDescent="0.25">
      <c r="C7113" s="4"/>
      <c r="E7113" s="4"/>
    </row>
    <row r="7114" spans="3:5" x14ac:dyDescent="0.25">
      <c r="C7114" s="4"/>
      <c r="E7114" s="4"/>
    </row>
    <row r="7115" spans="3:5" x14ac:dyDescent="0.25">
      <c r="C7115" s="4"/>
      <c r="E7115" s="4"/>
    </row>
    <row r="7116" spans="3:5" x14ac:dyDescent="0.25">
      <c r="C7116" s="4"/>
      <c r="E7116" s="4"/>
    </row>
    <row r="7117" spans="3:5" x14ac:dyDescent="0.25">
      <c r="C7117" s="4"/>
      <c r="E7117" s="4"/>
    </row>
    <row r="7118" spans="3:5" x14ac:dyDescent="0.25">
      <c r="C7118" s="4"/>
      <c r="E7118" s="4"/>
    </row>
    <row r="7119" spans="3:5" x14ac:dyDescent="0.25">
      <c r="C7119" s="4"/>
      <c r="E7119" s="4"/>
    </row>
    <row r="7120" spans="3:5" x14ac:dyDescent="0.25">
      <c r="C7120" s="4"/>
      <c r="E7120" s="4"/>
    </row>
    <row r="7121" spans="3:5" x14ac:dyDescent="0.25">
      <c r="C7121" s="4"/>
      <c r="E7121" s="4"/>
    </row>
    <row r="7122" spans="3:5" x14ac:dyDescent="0.25">
      <c r="C7122" s="4"/>
      <c r="E7122" s="4"/>
    </row>
    <row r="7123" spans="3:5" x14ac:dyDescent="0.25">
      <c r="C7123" s="4"/>
      <c r="E7123" s="4"/>
    </row>
    <row r="7124" spans="3:5" x14ac:dyDescent="0.25">
      <c r="C7124" s="4"/>
      <c r="E7124" s="4"/>
    </row>
    <row r="7125" spans="3:5" x14ac:dyDescent="0.25">
      <c r="C7125" s="4"/>
      <c r="E7125" s="4"/>
    </row>
    <row r="7126" spans="3:5" x14ac:dyDescent="0.25">
      <c r="C7126" s="4"/>
      <c r="E7126" s="4"/>
    </row>
    <row r="7127" spans="3:5" x14ac:dyDescent="0.25">
      <c r="C7127" s="4"/>
      <c r="E7127" s="4"/>
    </row>
    <row r="7128" spans="3:5" x14ac:dyDescent="0.25">
      <c r="C7128" s="4"/>
      <c r="E7128" s="4"/>
    </row>
    <row r="7129" spans="3:5" x14ac:dyDescent="0.25">
      <c r="C7129" s="4"/>
      <c r="E7129" s="4"/>
    </row>
    <row r="7130" spans="3:5" x14ac:dyDescent="0.25">
      <c r="C7130" s="4"/>
      <c r="E7130" s="4"/>
    </row>
    <row r="7131" spans="3:5" x14ac:dyDescent="0.25">
      <c r="C7131" s="4"/>
      <c r="E7131" s="4"/>
    </row>
    <row r="7132" spans="3:5" x14ac:dyDescent="0.25">
      <c r="C7132" s="4"/>
      <c r="E7132" s="4"/>
    </row>
    <row r="7133" spans="3:5" x14ac:dyDescent="0.25">
      <c r="C7133" s="4"/>
      <c r="E7133" s="4"/>
    </row>
    <row r="7134" spans="3:5" x14ac:dyDescent="0.25">
      <c r="C7134" s="4"/>
      <c r="E7134" s="4"/>
    </row>
    <row r="7135" spans="3:5" x14ac:dyDescent="0.25">
      <c r="C7135" s="4"/>
      <c r="E7135" s="4"/>
    </row>
    <row r="7136" spans="3:5" x14ac:dyDescent="0.25">
      <c r="C7136" s="4"/>
      <c r="E7136" s="4"/>
    </row>
    <row r="7137" spans="3:5" x14ac:dyDescent="0.25">
      <c r="C7137" s="4"/>
      <c r="E7137" s="4"/>
    </row>
    <row r="7138" spans="3:5" x14ac:dyDescent="0.25">
      <c r="C7138" s="4"/>
      <c r="E7138" s="4"/>
    </row>
    <row r="7139" spans="3:5" x14ac:dyDescent="0.25">
      <c r="C7139" s="4"/>
      <c r="E7139" s="4"/>
    </row>
    <row r="7140" spans="3:5" x14ac:dyDescent="0.25">
      <c r="C7140" s="4"/>
      <c r="E7140" s="4"/>
    </row>
    <row r="7141" spans="3:5" x14ac:dyDescent="0.25">
      <c r="C7141" s="4"/>
      <c r="E7141" s="4"/>
    </row>
    <row r="7142" spans="3:5" x14ac:dyDescent="0.25">
      <c r="C7142" s="4"/>
      <c r="E7142" s="4"/>
    </row>
    <row r="7143" spans="3:5" x14ac:dyDescent="0.25">
      <c r="C7143" s="4"/>
      <c r="E7143" s="4"/>
    </row>
    <row r="7144" spans="3:5" x14ac:dyDescent="0.25">
      <c r="C7144" s="4"/>
      <c r="E7144" s="4"/>
    </row>
    <row r="7145" spans="3:5" x14ac:dyDescent="0.25">
      <c r="C7145" s="4"/>
      <c r="E7145" s="4"/>
    </row>
    <row r="7146" spans="3:5" x14ac:dyDescent="0.25">
      <c r="C7146" s="4"/>
      <c r="E7146" s="4"/>
    </row>
    <row r="7147" spans="3:5" x14ac:dyDescent="0.25">
      <c r="C7147" s="4"/>
      <c r="E7147" s="4"/>
    </row>
    <row r="7148" spans="3:5" x14ac:dyDescent="0.25">
      <c r="C7148" s="4"/>
      <c r="E7148" s="4"/>
    </row>
    <row r="7149" spans="3:5" x14ac:dyDescent="0.25">
      <c r="C7149" s="4"/>
      <c r="E7149" s="4"/>
    </row>
    <row r="7150" spans="3:5" x14ac:dyDescent="0.25">
      <c r="C7150" s="4"/>
      <c r="E7150" s="4"/>
    </row>
    <row r="7151" spans="3:5" x14ac:dyDescent="0.25">
      <c r="C7151" s="4"/>
      <c r="E7151" s="4"/>
    </row>
    <row r="7152" spans="3:5" x14ac:dyDescent="0.25">
      <c r="C7152" s="4"/>
      <c r="E7152" s="4"/>
    </row>
    <row r="7153" spans="3:5" x14ac:dyDescent="0.25">
      <c r="C7153" s="4"/>
      <c r="E7153" s="4"/>
    </row>
    <row r="7154" spans="3:5" x14ac:dyDescent="0.25">
      <c r="C7154" s="4"/>
      <c r="E7154" s="4"/>
    </row>
    <row r="7155" spans="3:5" x14ac:dyDescent="0.25">
      <c r="C7155" s="4"/>
      <c r="E7155" s="4"/>
    </row>
    <row r="7156" spans="3:5" x14ac:dyDescent="0.25">
      <c r="C7156" s="4"/>
      <c r="E7156" s="4"/>
    </row>
    <row r="7157" spans="3:5" x14ac:dyDescent="0.25">
      <c r="C7157" s="4"/>
      <c r="E7157" s="4"/>
    </row>
    <row r="7158" spans="3:5" x14ac:dyDescent="0.25">
      <c r="C7158" s="4"/>
      <c r="E7158" s="4"/>
    </row>
    <row r="7159" spans="3:5" x14ac:dyDescent="0.25">
      <c r="C7159" s="4"/>
      <c r="E7159" s="4"/>
    </row>
    <row r="7160" spans="3:5" x14ac:dyDescent="0.25">
      <c r="C7160" s="4"/>
      <c r="E7160" s="4"/>
    </row>
    <row r="7161" spans="3:5" x14ac:dyDescent="0.25">
      <c r="C7161" s="4"/>
      <c r="E7161" s="4"/>
    </row>
    <row r="7162" spans="3:5" x14ac:dyDescent="0.25">
      <c r="C7162" s="4"/>
      <c r="E7162" s="4"/>
    </row>
    <row r="7163" spans="3:5" x14ac:dyDescent="0.25">
      <c r="C7163" s="4"/>
      <c r="E7163" s="4"/>
    </row>
    <row r="7164" spans="3:5" x14ac:dyDescent="0.25">
      <c r="C7164" s="4"/>
      <c r="E7164" s="4"/>
    </row>
    <row r="7165" spans="3:5" x14ac:dyDescent="0.25">
      <c r="C7165" s="4"/>
      <c r="E7165" s="4"/>
    </row>
    <row r="7166" spans="3:5" x14ac:dyDescent="0.25">
      <c r="C7166" s="4"/>
      <c r="E7166" s="4"/>
    </row>
    <row r="7167" spans="3:5" x14ac:dyDescent="0.25">
      <c r="C7167" s="4"/>
      <c r="E7167" s="4"/>
    </row>
    <row r="7168" spans="3:5" x14ac:dyDescent="0.25">
      <c r="C7168" s="4"/>
      <c r="E7168" s="4"/>
    </row>
    <row r="7169" spans="3:5" x14ac:dyDescent="0.25">
      <c r="C7169" s="4"/>
      <c r="E7169" s="4"/>
    </row>
    <row r="7170" spans="3:5" x14ac:dyDescent="0.25">
      <c r="C7170" s="4"/>
      <c r="E7170" s="4"/>
    </row>
    <row r="7171" spans="3:5" x14ac:dyDescent="0.25">
      <c r="C7171" s="4"/>
      <c r="E7171" s="4"/>
    </row>
    <row r="7172" spans="3:5" x14ac:dyDescent="0.25">
      <c r="C7172" s="4"/>
      <c r="E7172" s="4"/>
    </row>
    <row r="7173" spans="3:5" x14ac:dyDescent="0.25">
      <c r="C7173" s="4"/>
      <c r="E7173" s="4"/>
    </row>
    <row r="7174" spans="3:5" x14ac:dyDescent="0.25">
      <c r="C7174" s="4"/>
      <c r="E7174" s="4"/>
    </row>
    <row r="7175" spans="3:5" x14ac:dyDescent="0.25">
      <c r="C7175" s="4"/>
      <c r="E7175" s="4"/>
    </row>
    <row r="7176" spans="3:5" x14ac:dyDescent="0.25">
      <c r="C7176" s="4"/>
      <c r="E7176" s="4"/>
    </row>
    <row r="7177" spans="3:5" x14ac:dyDescent="0.25">
      <c r="C7177" s="4"/>
      <c r="E7177" s="4"/>
    </row>
    <row r="7178" spans="3:5" x14ac:dyDescent="0.25">
      <c r="C7178" s="4"/>
      <c r="E7178" s="4"/>
    </row>
    <row r="7179" spans="3:5" x14ac:dyDescent="0.25">
      <c r="C7179" s="4"/>
      <c r="E7179" s="4"/>
    </row>
    <row r="7180" spans="3:5" x14ac:dyDescent="0.25">
      <c r="C7180" s="4"/>
      <c r="E7180" s="4"/>
    </row>
    <row r="7181" spans="3:5" x14ac:dyDescent="0.25">
      <c r="C7181" s="4"/>
      <c r="E7181" s="4"/>
    </row>
    <row r="7182" spans="3:5" x14ac:dyDescent="0.25">
      <c r="C7182" s="4"/>
      <c r="E7182" s="4"/>
    </row>
    <row r="7183" spans="3:5" x14ac:dyDescent="0.25">
      <c r="C7183" s="4"/>
      <c r="E7183" s="4"/>
    </row>
    <row r="7184" spans="3:5" x14ac:dyDescent="0.25">
      <c r="C7184" s="4"/>
      <c r="E7184" s="4"/>
    </row>
    <row r="7185" spans="3:5" x14ac:dyDescent="0.25">
      <c r="C7185" s="4"/>
      <c r="E7185" s="4"/>
    </row>
    <row r="7186" spans="3:5" x14ac:dyDescent="0.25">
      <c r="C7186" s="4"/>
      <c r="E7186" s="4"/>
    </row>
    <row r="7187" spans="3:5" x14ac:dyDescent="0.25">
      <c r="C7187" s="4"/>
      <c r="E7187" s="4"/>
    </row>
    <row r="7188" spans="3:5" x14ac:dyDescent="0.25">
      <c r="C7188" s="4"/>
      <c r="E7188" s="4"/>
    </row>
    <row r="7189" spans="3:5" x14ac:dyDescent="0.25">
      <c r="C7189" s="4"/>
      <c r="E7189" s="4"/>
    </row>
    <row r="7190" spans="3:5" x14ac:dyDescent="0.25">
      <c r="C7190" s="4"/>
      <c r="E7190" s="4"/>
    </row>
    <row r="7191" spans="3:5" x14ac:dyDescent="0.25">
      <c r="C7191" s="4"/>
      <c r="E7191" s="4"/>
    </row>
    <row r="7192" spans="3:5" x14ac:dyDescent="0.25">
      <c r="C7192" s="4"/>
      <c r="E7192" s="4"/>
    </row>
    <row r="7193" spans="3:5" x14ac:dyDescent="0.25">
      <c r="C7193" s="4"/>
      <c r="E7193" s="4"/>
    </row>
    <row r="7194" spans="3:5" x14ac:dyDescent="0.25">
      <c r="C7194" s="4"/>
      <c r="E7194" s="4"/>
    </row>
    <row r="7195" spans="3:5" x14ac:dyDescent="0.25">
      <c r="C7195" s="4"/>
      <c r="E7195" s="4"/>
    </row>
    <row r="7196" spans="3:5" x14ac:dyDescent="0.25">
      <c r="C7196" s="4"/>
      <c r="E7196" s="4"/>
    </row>
    <row r="7197" spans="3:5" x14ac:dyDescent="0.25">
      <c r="C7197" s="4"/>
      <c r="E7197" s="4"/>
    </row>
    <row r="7198" spans="3:5" x14ac:dyDescent="0.25">
      <c r="C7198" s="4"/>
      <c r="E7198" s="4"/>
    </row>
    <row r="7199" spans="3:5" x14ac:dyDescent="0.25">
      <c r="C7199" s="4"/>
      <c r="E7199" s="4"/>
    </row>
    <row r="7200" spans="3:5" x14ac:dyDescent="0.25">
      <c r="C7200" s="4"/>
      <c r="E7200" s="4"/>
    </row>
    <row r="7201" spans="3:5" x14ac:dyDescent="0.25">
      <c r="C7201" s="4"/>
      <c r="E7201" s="4"/>
    </row>
    <row r="7202" spans="3:5" x14ac:dyDescent="0.25">
      <c r="C7202" s="4"/>
      <c r="E7202" s="4"/>
    </row>
    <row r="7203" spans="3:5" x14ac:dyDescent="0.25">
      <c r="C7203" s="4"/>
      <c r="E7203" s="4"/>
    </row>
    <row r="7204" spans="3:5" x14ac:dyDescent="0.25">
      <c r="C7204" s="4"/>
      <c r="E7204" s="4"/>
    </row>
    <row r="7205" spans="3:5" x14ac:dyDescent="0.25">
      <c r="C7205" s="4"/>
      <c r="E7205" s="4"/>
    </row>
    <row r="7206" spans="3:5" x14ac:dyDescent="0.25">
      <c r="C7206" s="4"/>
      <c r="E7206" s="4"/>
    </row>
    <row r="7207" spans="3:5" x14ac:dyDescent="0.25">
      <c r="C7207" s="4"/>
      <c r="E7207" s="4"/>
    </row>
    <row r="7208" spans="3:5" x14ac:dyDescent="0.25">
      <c r="C7208" s="4"/>
      <c r="E7208" s="4"/>
    </row>
    <row r="7209" spans="3:5" x14ac:dyDescent="0.25">
      <c r="C7209" s="4"/>
      <c r="E7209" s="4"/>
    </row>
    <row r="7210" spans="3:5" x14ac:dyDescent="0.25">
      <c r="C7210" s="4"/>
      <c r="E7210" s="4"/>
    </row>
    <row r="7211" spans="3:5" x14ac:dyDescent="0.25">
      <c r="C7211" s="4"/>
      <c r="E7211" s="4"/>
    </row>
    <row r="7212" spans="3:5" x14ac:dyDescent="0.25">
      <c r="C7212" s="4"/>
      <c r="E7212" s="4"/>
    </row>
    <row r="7213" spans="3:5" x14ac:dyDescent="0.25">
      <c r="C7213" s="4"/>
      <c r="E7213" s="4"/>
    </row>
    <row r="7214" spans="3:5" x14ac:dyDescent="0.25">
      <c r="C7214" s="4"/>
      <c r="E7214" s="4"/>
    </row>
    <row r="7215" spans="3:5" x14ac:dyDescent="0.25">
      <c r="C7215" s="4"/>
      <c r="E7215" s="4"/>
    </row>
    <row r="7216" spans="3:5" x14ac:dyDescent="0.25">
      <c r="C7216" s="4"/>
      <c r="E7216" s="4"/>
    </row>
    <row r="7217" spans="3:5" x14ac:dyDescent="0.25">
      <c r="C7217" s="4"/>
      <c r="E7217" s="4"/>
    </row>
    <row r="7218" spans="3:5" x14ac:dyDescent="0.25">
      <c r="C7218" s="4"/>
      <c r="E7218" s="4"/>
    </row>
    <row r="7219" spans="3:5" x14ac:dyDescent="0.25">
      <c r="C7219" s="4"/>
      <c r="E7219" s="4"/>
    </row>
    <row r="7220" spans="3:5" x14ac:dyDescent="0.25">
      <c r="C7220" s="4"/>
      <c r="E7220" s="4"/>
    </row>
    <row r="7221" spans="3:5" x14ac:dyDescent="0.25">
      <c r="C7221" s="4"/>
      <c r="E7221" s="4"/>
    </row>
    <row r="7222" spans="3:5" x14ac:dyDescent="0.25">
      <c r="C7222" s="4"/>
      <c r="E7222" s="4"/>
    </row>
    <row r="7223" spans="3:5" x14ac:dyDescent="0.25">
      <c r="C7223" s="4"/>
      <c r="E7223" s="4"/>
    </row>
    <row r="7224" spans="3:5" x14ac:dyDescent="0.25">
      <c r="C7224" s="4"/>
      <c r="E7224" s="4"/>
    </row>
    <row r="7225" spans="3:5" x14ac:dyDescent="0.25">
      <c r="C7225" s="4"/>
      <c r="E7225" s="4"/>
    </row>
    <row r="7226" spans="3:5" x14ac:dyDescent="0.25">
      <c r="C7226" s="4"/>
      <c r="E7226" s="4"/>
    </row>
    <row r="7227" spans="3:5" x14ac:dyDescent="0.25">
      <c r="C7227" s="4"/>
      <c r="E7227" s="4"/>
    </row>
    <row r="7228" spans="3:5" x14ac:dyDescent="0.25">
      <c r="C7228" s="4"/>
      <c r="E7228" s="4"/>
    </row>
    <row r="7229" spans="3:5" x14ac:dyDescent="0.25">
      <c r="C7229" s="4"/>
      <c r="E7229" s="4"/>
    </row>
    <row r="7230" spans="3:5" x14ac:dyDescent="0.25">
      <c r="C7230" s="4"/>
      <c r="E7230" s="4"/>
    </row>
    <row r="7231" spans="3:5" x14ac:dyDescent="0.25">
      <c r="C7231" s="4"/>
      <c r="E7231" s="4"/>
    </row>
    <row r="7232" spans="3:5" x14ac:dyDescent="0.25">
      <c r="C7232" s="4"/>
      <c r="E7232" s="4"/>
    </row>
    <row r="7233" spans="3:5" x14ac:dyDescent="0.25">
      <c r="C7233" s="4"/>
      <c r="E7233" s="4"/>
    </row>
    <row r="7234" spans="3:5" x14ac:dyDescent="0.25">
      <c r="C7234" s="4"/>
      <c r="E7234" s="4"/>
    </row>
    <row r="7235" spans="3:5" x14ac:dyDescent="0.25">
      <c r="C7235" s="4"/>
      <c r="E7235" s="4"/>
    </row>
    <row r="7236" spans="3:5" x14ac:dyDescent="0.25">
      <c r="C7236" s="4"/>
      <c r="E7236" s="4"/>
    </row>
    <row r="7237" spans="3:5" x14ac:dyDescent="0.25">
      <c r="C7237" s="4"/>
      <c r="E7237" s="4"/>
    </row>
    <row r="7238" spans="3:5" x14ac:dyDescent="0.25">
      <c r="C7238" s="4"/>
      <c r="E7238" s="4"/>
    </row>
    <row r="7239" spans="3:5" x14ac:dyDescent="0.25">
      <c r="C7239" s="4"/>
      <c r="E7239" s="4"/>
    </row>
    <row r="7240" spans="3:5" x14ac:dyDescent="0.25">
      <c r="C7240" s="4"/>
      <c r="E7240" s="4"/>
    </row>
    <row r="7241" spans="3:5" x14ac:dyDescent="0.25">
      <c r="C7241" s="4"/>
      <c r="E7241" s="4"/>
    </row>
    <row r="7242" spans="3:5" x14ac:dyDescent="0.25">
      <c r="C7242" s="4"/>
      <c r="E7242" s="4"/>
    </row>
    <row r="7243" spans="3:5" x14ac:dyDescent="0.25">
      <c r="C7243" s="4"/>
      <c r="E7243" s="4"/>
    </row>
    <row r="7244" spans="3:5" x14ac:dyDescent="0.25">
      <c r="C7244" s="4"/>
      <c r="E7244" s="4"/>
    </row>
    <row r="7245" spans="3:5" x14ac:dyDescent="0.25">
      <c r="C7245" s="4"/>
      <c r="E7245" s="4"/>
    </row>
    <row r="7246" spans="3:5" x14ac:dyDescent="0.25">
      <c r="C7246" s="4"/>
      <c r="E7246" s="4"/>
    </row>
    <row r="7247" spans="3:5" x14ac:dyDescent="0.25">
      <c r="C7247" s="4"/>
      <c r="E7247" s="4"/>
    </row>
    <row r="7248" spans="3:5" x14ac:dyDescent="0.25">
      <c r="C7248" s="4"/>
      <c r="E7248" s="4"/>
    </row>
    <row r="7249" spans="3:5" x14ac:dyDescent="0.25">
      <c r="C7249" s="4"/>
      <c r="E7249" s="4"/>
    </row>
    <row r="7250" spans="3:5" x14ac:dyDescent="0.25">
      <c r="C7250" s="4"/>
      <c r="E7250" s="4"/>
    </row>
    <row r="7251" spans="3:5" x14ac:dyDescent="0.25">
      <c r="C7251" s="4"/>
      <c r="E7251" s="4"/>
    </row>
    <row r="7252" spans="3:5" x14ac:dyDescent="0.25">
      <c r="C7252" s="4"/>
      <c r="E7252" s="4"/>
    </row>
    <row r="7253" spans="3:5" x14ac:dyDescent="0.25">
      <c r="C7253" s="4"/>
      <c r="E7253" s="4"/>
    </row>
    <row r="7254" spans="3:5" x14ac:dyDescent="0.25">
      <c r="C7254" s="4"/>
      <c r="E7254" s="4"/>
    </row>
    <row r="7255" spans="3:5" x14ac:dyDescent="0.25">
      <c r="C7255" s="4"/>
      <c r="E7255" s="4"/>
    </row>
    <row r="7256" spans="3:5" x14ac:dyDescent="0.25">
      <c r="C7256" s="4"/>
      <c r="E7256" s="4"/>
    </row>
    <row r="7257" spans="3:5" x14ac:dyDescent="0.25">
      <c r="C7257" s="4"/>
      <c r="E7257" s="4"/>
    </row>
    <row r="7258" spans="3:5" x14ac:dyDescent="0.25">
      <c r="C7258" s="4"/>
      <c r="E7258" s="4"/>
    </row>
    <row r="7259" spans="3:5" x14ac:dyDescent="0.25">
      <c r="C7259" s="4"/>
      <c r="E7259" s="4"/>
    </row>
    <row r="7260" spans="3:5" x14ac:dyDescent="0.25">
      <c r="C7260" s="4"/>
      <c r="E7260" s="4"/>
    </row>
    <row r="7261" spans="3:5" x14ac:dyDescent="0.25">
      <c r="C7261" s="4"/>
      <c r="E7261" s="4"/>
    </row>
    <row r="7262" spans="3:5" x14ac:dyDescent="0.25">
      <c r="C7262" s="4"/>
      <c r="E7262" s="4"/>
    </row>
    <row r="7263" spans="3:5" x14ac:dyDescent="0.25">
      <c r="C7263" s="4"/>
      <c r="E7263" s="4"/>
    </row>
    <row r="7264" spans="3:5" x14ac:dyDescent="0.25">
      <c r="C7264" s="4"/>
      <c r="E7264" s="4"/>
    </row>
    <row r="7265" spans="3:5" x14ac:dyDescent="0.25">
      <c r="C7265" s="4"/>
      <c r="E7265" s="4"/>
    </row>
    <row r="7266" spans="3:5" x14ac:dyDescent="0.25">
      <c r="C7266" s="4"/>
      <c r="E7266" s="4"/>
    </row>
    <row r="7267" spans="3:5" x14ac:dyDescent="0.25">
      <c r="C7267" s="4"/>
      <c r="E7267" s="4"/>
    </row>
    <row r="7268" spans="3:5" x14ac:dyDescent="0.25">
      <c r="C7268" s="4"/>
      <c r="E7268" s="4"/>
    </row>
    <row r="7269" spans="3:5" x14ac:dyDescent="0.25">
      <c r="C7269" s="4"/>
      <c r="E7269" s="4"/>
    </row>
    <row r="7270" spans="3:5" x14ac:dyDescent="0.25">
      <c r="C7270" s="4"/>
      <c r="E7270" s="4"/>
    </row>
    <row r="7271" spans="3:5" x14ac:dyDescent="0.25">
      <c r="C7271" s="4"/>
      <c r="E7271" s="4"/>
    </row>
    <row r="7272" spans="3:5" x14ac:dyDescent="0.25">
      <c r="C7272" s="4"/>
      <c r="E7272" s="4"/>
    </row>
    <row r="7273" spans="3:5" x14ac:dyDescent="0.25">
      <c r="C7273" s="4"/>
      <c r="E7273" s="4"/>
    </row>
    <row r="7274" spans="3:5" x14ac:dyDescent="0.25">
      <c r="C7274" s="4"/>
      <c r="E7274" s="4"/>
    </row>
    <row r="7275" spans="3:5" x14ac:dyDescent="0.25">
      <c r="C7275" s="4"/>
      <c r="E7275" s="4"/>
    </row>
    <row r="7276" spans="3:5" x14ac:dyDescent="0.25">
      <c r="C7276" s="4"/>
      <c r="E7276" s="4"/>
    </row>
    <row r="7277" spans="3:5" x14ac:dyDescent="0.25">
      <c r="C7277" s="4"/>
      <c r="E7277" s="4"/>
    </row>
    <row r="7278" spans="3:5" x14ac:dyDescent="0.25">
      <c r="C7278" s="4"/>
      <c r="E7278" s="4"/>
    </row>
    <row r="7279" spans="3:5" x14ac:dyDescent="0.25">
      <c r="C7279" s="4"/>
      <c r="E7279" s="4"/>
    </row>
    <row r="7280" spans="3:5" x14ac:dyDescent="0.25">
      <c r="C7280" s="4"/>
      <c r="E7280" s="4"/>
    </row>
    <row r="7281" spans="3:5" x14ac:dyDescent="0.25">
      <c r="C7281" s="4"/>
      <c r="E7281" s="4"/>
    </row>
    <row r="7282" spans="3:5" x14ac:dyDescent="0.25">
      <c r="C7282" s="4"/>
      <c r="E7282" s="4"/>
    </row>
    <row r="7283" spans="3:5" x14ac:dyDescent="0.25">
      <c r="C7283" s="4"/>
      <c r="E7283" s="4"/>
    </row>
    <row r="7284" spans="3:5" x14ac:dyDescent="0.25">
      <c r="C7284" s="4"/>
      <c r="E7284" s="4"/>
    </row>
    <row r="7285" spans="3:5" x14ac:dyDescent="0.25">
      <c r="C7285" s="4"/>
      <c r="E7285" s="4"/>
    </row>
    <row r="7286" spans="3:5" x14ac:dyDescent="0.25">
      <c r="C7286" s="4"/>
      <c r="E7286" s="4"/>
    </row>
    <row r="7287" spans="3:5" x14ac:dyDescent="0.25">
      <c r="C7287" s="4"/>
      <c r="E7287" s="4"/>
    </row>
    <row r="7288" spans="3:5" x14ac:dyDescent="0.25">
      <c r="C7288" s="4"/>
      <c r="E7288" s="4"/>
    </row>
    <row r="7289" spans="3:5" x14ac:dyDescent="0.25">
      <c r="C7289" s="4"/>
      <c r="E7289" s="4"/>
    </row>
    <row r="7290" spans="3:5" x14ac:dyDescent="0.25">
      <c r="C7290" s="4"/>
      <c r="E7290" s="4"/>
    </row>
    <row r="7291" spans="3:5" x14ac:dyDescent="0.25">
      <c r="C7291" s="4"/>
      <c r="E7291" s="4"/>
    </row>
    <row r="7292" spans="3:5" x14ac:dyDescent="0.25">
      <c r="C7292" s="4"/>
      <c r="E7292" s="4"/>
    </row>
    <row r="7293" spans="3:5" x14ac:dyDescent="0.25">
      <c r="C7293" s="4"/>
      <c r="E7293" s="4"/>
    </row>
    <row r="7294" spans="3:5" x14ac:dyDescent="0.25">
      <c r="C7294" s="4"/>
      <c r="E7294" s="4"/>
    </row>
    <row r="7295" spans="3:5" x14ac:dyDescent="0.25">
      <c r="C7295" s="4"/>
      <c r="E7295" s="4"/>
    </row>
    <row r="7296" spans="3:5" x14ac:dyDescent="0.25">
      <c r="C7296" s="4"/>
      <c r="E7296" s="4"/>
    </row>
    <row r="7297" spans="3:5" x14ac:dyDescent="0.25">
      <c r="C7297" s="4"/>
      <c r="E7297" s="4"/>
    </row>
    <row r="7298" spans="3:5" x14ac:dyDescent="0.25">
      <c r="C7298" s="4"/>
      <c r="E7298" s="4"/>
    </row>
    <row r="7299" spans="3:5" x14ac:dyDescent="0.25">
      <c r="C7299" s="4"/>
      <c r="E7299" s="4"/>
    </row>
    <row r="7300" spans="3:5" x14ac:dyDescent="0.25">
      <c r="C7300" s="4"/>
      <c r="E7300" s="4"/>
    </row>
    <row r="7301" spans="3:5" x14ac:dyDescent="0.25">
      <c r="C7301" s="4"/>
      <c r="E7301" s="4"/>
    </row>
    <row r="7302" spans="3:5" x14ac:dyDescent="0.25">
      <c r="C7302" s="4"/>
      <c r="E7302" s="4"/>
    </row>
    <row r="7303" spans="3:5" x14ac:dyDescent="0.25">
      <c r="C7303" s="4"/>
      <c r="E7303" s="4"/>
    </row>
    <row r="7304" spans="3:5" x14ac:dyDescent="0.25">
      <c r="C7304" s="4"/>
      <c r="E7304" s="4"/>
    </row>
    <row r="7305" spans="3:5" x14ac:dyDescent="0.25">
      <c r="C7305" s="4"/>
      <c r="E7305" s="4"/>
    </row>
    <row r="7306" spans="3:5" x14ac:dyDescent="0.25">
      <c r="C7306" s="4"/>
      <c r="E7306" s="4"/>
    </row>
    <row r="7307" spans="3:5" x14ac:dyDescent="0.25">
      <c r="C7307" s="4"/>
      <c r="E7307" s="4"/>
    </row>
    <row r="7308" spans="3:5" x14ac:dyDescent="0.25">
      <c r="C7308" s="4"/>
      <c r="E7308" s="4"/>
    </row>
    <row r="7309" spans="3:5" x14ac:dyDescent="0.25">
      <c r="C7309" s="4"/>
      <c r="E7309" s="4"/>
    </row>
    <row r="7310" spans="3:5" x14ac:dyDescent="0.25">
      <c r="C7310" s="4"/>
      <c r="E7310" s="4"/>
    </row>
    <row r="7311" spans="3:5" x14ac:dyDescent="0.25">
      <c r="C7311" s="4"/>
      <c r="E7311" s="4"/>
    </row>
    <row r="7312" spans="3:5" x14ac:dyDescent="0.25">
      <c r="C7312" s="4"/>
      <c r="E7312" s="4"/>
    </row>
    <row r="7313" spans="3:5" x14ac:dyDescent="0.25">
      <c r="C7313" s="4"/>
      <c r="E7313" s="4"/>
    </row>
    <row r="7314" spans="3:5" x14ac:dyDescent="0.25">
      <c r="C7314" s="4"/>
      <c r="E7314" s="4"/>
    </row>
    <row r="7315" spans="3:5" x14ac:dyDescent="0.25">
      <c r="C7315" s="4"/>
      <c r="E7315" s="4"/>
    </row>
    <row r="7316" spans="3:5" x14ac:dyDescent="0.25">
      <c r="C7316" s="4"/>
      <c r="E7316" s="4"/>
    </row>
    <row r="7317" spans="3:5" x14ac:dyDescent="0.25">
      <c r="C7317" s="4"/>
      <c r="E7317" s="4"/>
    </row>
    <row r="7318" spans="3:5" x14ac:dyDescent="0.25">
      <c r="C7318" s="4"/>
      <c r="E7318" s="4"/>
    </row>
    <row r="7319" spans="3:5" x14ac:dyDescent="0.25">
      <c r="C7319" s="4"/>
      <c r="E7319" s="4"/>
    </row>
    <row r="7320" spans="3:5" x14ac:dyDescent="0.25">
      <c r="C7320" s="4"/>
      <c r="E7320" s="4"/>
    </row>
    <row r="7321" spans="3:5" x14ac:dyDescent="0.25">
      <c r="C7321" s="4"/>
      <c r="E7321" s="4"/>
    </row>
    <row r="7322" spans="3:5" x14ac:dyDescent="0.25">
      <c r="C7322" s="4"/>
      <c r="E7322" s="4"/>
    </row>
    <row r="7323" spans="3:5" x14ac:dyDescent="0.25">
      <c r="C7323" s="4"/>
      <c r="E7323" s="4"/>
    </row>
    <row r="7324" spans="3:5" x14ac:dyDescent="0.25">
      <c r="C7324" s="4"/>
      <c r="E7324" s="4"/>
    </row>
    <row r="7325" spans="3:5" x14ac:dyDescent="0.25">
      <c r="C7325" s="4"/>
      <c r="E7325" s="4"/>
    </row>
    <row r="7326" spans="3:5" x14ac:dyDescent="0.25">
      <c r="C7326" s="4"/>
      <c r="E7326" s="4"/>
    </row>
    <row r="7327" spans="3:5" x14ac:dyDescent="0.25">
      <c r="C7327" s="4"/>
      <c r="E7327" s="4"/>
    </row>
    <row r="7328" spans="3:5" x14ac:dyDescent="0.25">
      <c r="C7328" s="4"/>
      <c r="E7328" s="4"/>
    </row>
    <row r="7329" spans="3:5" x14ac:dyDescent="0.25">
      <c r="C7329" s="4"/>
      <c r="E7329" s="4"/>
    </row>
    <row r="7330" spans="3:5" x14ac:dyDescent="0.25">
      <c r="C7330" s="4"/>
      <c r="E7330" s="4"/>
    </row>
    <row r="7331" spans="3:5" x14ac:dyDescent="0.25">
      <c r="C7331" s="4"/>
      <c r="E7331" s="4"/>
    </row>
    <row r="7332" spans="3:5" x14ac:dyDescent="0.25">
      <c r="C7332" s="4"/>
      <c r="E7332" s="4"/>
    </row>
    <row r="7333" spans="3:5" x14ac:dyDescent="0.25">
      <c r="C7333" s="4"/>
      <c r="E7333" s="4"/>
    </row>
    <row r="7334" spans="3:5" x14ac:dyDescent="0.25">
      <c r="C7334" s="4"/>
      <c r="E7334" s="4"/>
    </row>
    <row r="7335" spans="3:5" x14ac:dyDescent="0.25">
      <c r="C7335" s="4"/>
      <c r="E7335" s="4"/>
    </row>
    <row r="7336" spans="3:5" x14ac:dyDescent="0.25">
      <c r="C7336" s="4"/>
      <c r="E7336" s="4"/>
    </row>
    <row r="7337" spans="3:5" x14ac:dyDescent="0.25">
      <c r="C7337" s="4"/>
      <c r="E7337" s="4"/>
    </row>
    <row r="7338" spans="3:5" x14ac:dyDescent="0.25">
      <c r="C7338" s="4"/>
      <c r="E7338" s="4"/>
    </row>
    <row r="7339" spans="3:5" x14ac:dyDescent="0.25">
      <c r="C7339" s="4"/>
      <c r="E7339" s="4"/>
    </row>
    <row r="7340" spans="3:5" x14ac:dyDescent="0.25">
      <c r="C7340" s="4"/>
      <c r="E7340" s="4"/>
    </row>
    <row r="7341" spans="3:5" x14ac:dyDescent="0.25">
      <c r="C7341" s="4"/>
      <c r="E7341" s="4"/>
    </row>
    <row r="7342" spans="3:5" x14ac:dyDescent="0.25">
      <c r="C7342" s="4"/>
      <c r="E7342" s="4"/>
    </row>
    <row r="7343" spans="3:5" x14ac:dyDescent="0.25">
      <c r="C7343" s="4"/>
      <c r="E7343" s="4"/>
    </row>
    <row r="7344" spans="3:5" x14ac:dyDescent="0.25">
      <c r="C7344" s="4"/>
      <c r="E7344" s="4"/>
    </row>
    <row r="7345" spans="3:5" x14ac:dyDescent="0.25">
      <c r="C7345" s="4"/>
      <c r="E7345" s="4"/>
    </row>
    <row r="7346" spans="3:5" x14ac:dyDescent="0.25">
      <c r="C7346" s="4"/>
      <c r="E7346" s="4"/>
    </row>
    <row r="7347" spans="3:5" x14ac:dyDescent="0.25">
      <c r="C7347" s="4"/>
      <c r="E7347" s="4"/>
    </row>
    <row r="7348" spans="3:5" x14ac:dyDescent="0.25">
      <c r="C7348" s="4"/>
      <c r="E7348" s="4"/>
    </row>
    <row r="7349" spans="3:5" x14ac:dyDescent="0.25">
      <c r="C7349" s="4"/>
      <c r="E7349" s="4"/>
    </row>
    <row r="7350" spans="3:5" x14ac:dyDescent="0.25">
      <c r="C7350" s="4"/>
      <c r="E7350" s="4"/>
    </row>
    <row r="7351" spans="3:5" x14ac:dyDescent="0.25">
      <c r="C7351" s="4"/>
      <c r="E7351" s="4"/>
    </row>
    <row r="7352" spans="3:5" x14ac:dyDescent="0.25">
      <c r="C7352" s="4"/>
      <c r="E7352" s="4"/>
    </row>
    <row r="7353" spans="3:5" x14ac:dyDescent="0.25">
      <c r="C7353" s="4"/>
      <c r="E7353" s="4"/>
    </row>
    <row r="7354" spans="3:5" x14ac:dyDescent="0.25">
      <c r="C7354" s="4"/>
      <c r="E7354" s="4"/>
    </row>
    <row r="7355" spans="3:5" x14ac:dyDescent="0.25">
      <c r="C7355" s="4"/>
      <c r="E7355" s="4"/>
    </row>
    <row r="7356" spans="3:5" x14ac:dyDescent="0.25">
      <c r="C7356" s="4"/>
      <c r="E7356" s="4"/>
    </row>
    <row r="7357" spans="3:5" x14ac:dyDescent="0.25">
      <c r="C7357" s="4"/>
      <c r="E7357" s="4"/>
    </row>
    <row r="7358" spans="3:5" x14ac:dyDescent="0.25">
      <c r="C7358" s="4"/>
      <c r="E7358" s="4"/>
    </row>
    <row r="7359" spans="3:5" x14ac:dyDescent="0.25">
      <c r="C7359" s="4"/>
      <c r="E7359" s="4"/>
    </row>
    <row r="7360" spans="3:5" x14ac:dyDescent="0.25">
      <c r="C7360" s="4"/>
      <c r="E7360" s="4"/>
    </row>
    <row r="7361" spans="3:5" x14ac:dyDescent="0.25">
      <c r="C7361" s="4"/>
      <c r="E7361" s="4"/>
    </row>
    <row r="7362" spans="3:5" x14ac:dyDescent="0.25">
      <c r="C7362" s="4"/>
      <c r="E7362" s="4"/>
    </row>
    <row r="7363" spans="3:5" x14ac:dyDescent="0.25">
      <c r="C7363" s="4"/>
      <c r="E7363" s="4"/>
    </row>
    <row r="7364" spans="3:5" x14ac:dyDescent="0.25">
      <c r="C7364" s="4"/>
      <c r="E7364" s="4"/>
    </row>
    <row r="7365" spans="3:5" x14ac:dyDescent="0.25">
      <c r="C7365" s="4"/>
      <c r="E7365" s="4"/>
    </row>
    <row r="7366" spans="3:5" x14ac:dyDescent="0.25">
      <c r="C7366" s="4"/>
      <c r="E7366" s="4"/>
    </row>
    <row r="7367" spans="3:5" x14ac:dyDescent="0.25">
      <c r="C7367" s="4"/>
      <c r="E7367" s="4"/>
    </row>
    <row r="7368" spans="3:5" x14ac:dyDescent="0.25">
      <c r="C7368" s="4"/>
      <c r="E7368" s="4"/>
    </row>
    <row r="7369" spans="3:5" x14ac:dyDescent="0.25">
      <c r="C7369" s="4"/>
      <c r="E7369" s="4"/>
    </row>
    <row r="7370" spans="3:5" x14ac:dyDescent="0.25">
      <c r="C7370" s="4"/>
      <c r="E7370" s="4"/>
    </row>
    <row r="7371" spans="3:5" x14ac:dyDescent="0.25">
      <c r="C7371" s="4"/>
      <c r="E7371" s="4"/>
    </row>
    <row r="7372" spans="3:5" x14ac:dyDescent="0.25">
      <c r="C7372" s="4"/>
      <c r="E7372" s="4"/>
    </row>
    <row r="7373" spans="3:5" x14ac:dyDescent="0.25">
      <c r="C7373" s="4"/>
      <c r="E7373" s="4"/>
    </row>
    <row r="7374" spans="3:5" x14ac:dyDescent="0.25">
      <c r="C7374" s="4"/>
      <c r="E7374" s="4"/>
    </row>
    <row r="7375" spans="3:5" x14ac:dyDescent="0.25">
      <c r="C7375" s="4"/>
      <c r="E7375" s="4"/>
    </row>
    <row r="7376" spans="3:5" x14ac:dyDescent="0.25">
      <c r="C7376" s="4"/>
      <c r="E7376" s="4"/>
    </row>
    <row r="7377" spans="3:5" x14ac:dyDescent="0.25">
      <c r="C7377" s="4"/>
      <c r="E7377" s="4"/>
    </row>
    <row r="7378" spans="3:5" x14ac:dyDescent="0.25">
      <c r="C7378" s="4"/>
      <c r="E7378" s="4"/>
    </row>
    <row r="7379" spans="3:5" x14ac:dyDescent="0.25">
      <c r="C7379" s="4"/>
      <c r="E7379" s="4"/>
    </row>
    <row r="7380" spans="3:5" x14ac:dyDescent="0.25">
      <c r="C7380" s="4"/>
      <c r="E7380" s="4"/>
    </row>
    <row r="7381" spans="3:5" x14ac:dyDescent="0.25">
      <c r="C7381" s="4"/>
      <c r="E7381" s="4"/>
    </row>
    <row r="7382" spans="3:5" x14ac:dyDescent="0.25">
      <c r="C7382" s="4"/>
      <c r="E7382" s="4"/>
    </row>
    <row r="7383" spans="3:5" x14ac:dyDescent="0.25">
      <c r="C7383" s="4"/>
      <c r="E7383" s="4"/>
    </row>
    <row r="7384" spans="3:5" x14ac:dyDescent="0.25">
      <c r="C7384" s="4"/>
      <c r="E7384" s="4"/>
    </row>
    <row r="7385" spans="3:5" x14ac:dyDescent="0.25">
      <c r="C7385" s="4"/>
      <c r="E7385" s="4"/>
    </row>
    <row r="7386" spans="3:5" x14ac:dyDescent="0.25">
      <c r="C7386" s="4"/>
      <c r="E7386" s="4"/>
    </row>
    <row r="7387" spans="3:5" x14ac:dyDescent="0.25">
      <c r="C7387" s="4"/>
      <c r="E7387" s="4"/>
    </row>
    <row r="7388" spans="3:5" x14ac:dyDescent="0.25">
      <c r="C7388" s="4"/>
      <c r="E7388" s="4"/>
    </row>
    <row r="7389" spans="3:5" x14ac:dyDescent="0.25">
      <c r="C7389" s="4"/>
      <c r="E7389" s="4"/>
    </row>
    <row r="7390" spans="3:5" x14ac:dyDescent="0.25">
      <c r="C7390" s="4"/>
      <c r="E7390" s="4"/>
    </row>
    <row r="7391" spans="3:5" x14ac:dyDescent="0.25">
      <c r="C7391" s="4"/>
      <c r="E7391" s="4"/>
    </row>
    <row r="7392" spans="3:5" x14ac:dyDescent="0.25">
      <c r="C7392" s="4"/>
      <c r="E7392" s="4"/>
    </row>
    <row r="7393" spans="3:5" x14ac:dyDescent="0.25">
      <c r="C7393" s="4"/>
      <c r="E7393" s="4"/>
    </row>
    <row r="7394" spans="3:5" x14ac:dyDescent="0.25">
      <c r="C7394" s="4"/>
      <c r="E7394" s="4"/>
    </row>
    <row r="7395" spans="3:5" x14ac:dyDescent="0.25">
      <c r="C7395" s="4"/>
      <c r="E7395" s="4"/>
    </row>
    <row r="7396" spans="3:5" x14ac:dyDescent="0.25">
      <c r="C7396" s="4"/>
      <c r="E7396" s="4"/>
    </row>
    <row r="7397" spans="3:5" x14ac:dyDescent="0.25">
      <c r="C7397" s="4"/>
      <c r="E7397" s="4"/>
    </row>
    <row r="7398" spans="3:5" x14ac:dyDescent="0.25">
      <c r="C7398" s="4"/>
      <c r="E7398" s="4"/>
    </row>
    <row r="7399" spans="3:5" x14ac:dyDescent="0.25">
      <c r="C7399" s="4"/>
      <c r="E7399" s="4"/>
    </row>
    <row r="7400" spans="3:5" x14ac:dyDescent="0.25">
      <c r="C7400" s="4"/>
      <c r="E7400" s="4"/>
    </row>
    <row r="7401" spans="3:5" x14ac:dyDescent="0.25">
      <c r="C7401" s="4"/>
      <c r="E7401" s="4"/>
    </row>
    <row r="7402" spans="3:5" x14ac:dyDescent="0.25">
      <c r="C7402" s="4"/>
      <c r="E7402" s="4"/>
    </row>
    <row r="7403" spans="3:5" x14ac:dyDescent="0.25">
      <c r="C7403" s="4"/>
      <c r="E7403" s="4"/>
    </row>
    <row r="7404" spans="3:5" x14ac:dyDescent="0.25">
      <c r="C7404" s="4"/>
      <c r="E7404" s="4"/>
    </row>
    <row r="7405" spans="3:5" x14ac:dyDescent="0.25">
      <c r="C7405" s="4"/>
      <c r="E7405" s="4"/>
    </row>
    <row r="7406" spans="3:5" x14ac:dyDescent="0.25">
      <c r="C7406" s="4"/>
      <c r="E7406" s="4"/>
    </row>
    <row r="7407" spans="3:5" x14ac:dyDescent="0.25">
      <c r="C7407" s="4"/>
      <c r="E7407" s="4"/>
    </row>
    <row r="7408" spans="3:5" x14ac:dyDescent="0.25">
      <c r="C7408" s="4"/>
      <c r="E7408" s="4"/>
    </row>
    <row r="7409" spans="3:5" x14ac:dyDescent="0.25">
      <c r="C7409" s="4"/>
      <c r="E7409" s="4"/>
    </row>
    <row r="7410" spans="3:5" x14ac:dyDescent="0.25">
      <c r="C7410" s="4"/>
      <c r="E7410" s="4"/>
    </row>
    <row r="7411" spans="3:5" x14ac:dyDescent="0.25">
      <c r="C7411" s="4"/>
      <c r="E7411" s="4"/>
    </row>
    <row r="7412" spans="3:5" x14ac:dyDescent="0.25">
      <c r="C7412" s="4"/>
      <c r="E7412" s="4"/>
    </row>
    <row r="7413" spans="3:5" x14ac:dyDescent="0.25">
      <c r="C7413" s="4"/>
      <c r="E7413" s="4"/>
    </row>
    <row r="7414" spans="3:5" x14ac:dyDescent="0.25">
      <c r="C7414" s="4"/>
      <c r="E7414" s="4"/>
    </row>
    <row r="7415" spans="3:5" x14ac:dyDescent="0.25">
      <c r="C7415" s="4"/>
      <c r="E7415" s="4"/>
    </row>
    <row r="7416" spans="3:5" x14ac:dyDescent="0.25">
      <c r="C7416" s="4"/>
      <c r="E7416" s="4"/>
    </row>
    <row r="7417" spans="3:5" x14ac:dyDescent="0.25">
      <c r="C7417" s="4"/>
      <c r="E7417" s="4"/>
    </row>
    <row r="7418" spans="3:5" x14ac:dyDescent="0.25">
      <c r="C7418" s="4"/>
      <c r="E7418" s="4"/>
    </row>
    <row r="7419" spans="3:5" x14ac:dyDescent="0.25">
      <c r="C7419" s="4"/>
      <c r="E7419" s="4"/>
    </row>
    <row r="7420" spans="3:5" x14ac:dyDescent="0.25">
      <c r="C7420" s="4"/>
      <c r="E7420" s="4"/>
    </row>
    <row r="7421" spans="3:5" x14ac:dyDescent="0.25">
      <c r="C7421" s="4"/>
      <c r="E7421" s="4"/>
    </row>
    <row r="7422" spans="3:5" x14ac:dyDescent="0.25">
      <c r="C7422" s="4"/>
      <c r="E7422" s="4"/>
    </row>
    <row r="7423" spans="3:5" x14ac:dyDescent="0.25">
      <c r="C7423" s="4"/>
      <c r="E7423" s="4"/>
    </row>
    <row r="7424" spans="3:5" x14ac:dyDescent="0.25">
      <c r="C7424" s="4"/>
      <c r="E7424" s="4"/>
    </row>
    <row r="7425" spans="3:5" x14ac:dyDescent="0.25">
      <c r="C7425" s="4"/>
      <c r="E7425" s="4"/>
    </row>
    <row r="7426" spans="3:5" x14ac:dyDescent="0.25">
      <c r="C7426" s="4"/>
      <c r="E7426" s="4"/>
    </row>
    <row r="7427" spans="3:5" x14ac:dyDescent="0.25">
      <c r="C7427" s="4"/>
      <c r="E7427" s="4"/>
    </row>
    <row r="7428" spans="3:5" x14ac:dyDescent="0.25">
      <c r="C7428" s="4"/>
      <c r="E7428" s="4"/>
    </row>
    <row r="7429" spans="3:5" x14ac:dyDescent="0.25">
      <c r="C7429" s="4"/>
      <c r="E7429" s="4"/>
    </row>
    <row r="7430" spans="3:5" x14ac:dyDescent="0.25">
      <c r="C7430" s="4"/>
      <c r="E7430" s="4"/>
    </row>
    <row r="7431" spans="3:5" x14ac:dyDescent="0.25">
      <c r="C7431" s="4"/>
      <c r="E7431" s="4"/>
    </row>
    <row r="7432" spans="3:5" x14ac:dyDescent="0.25">
      <c r="C7432" s="4"/>
      <c r="E7432" s="4"/>
    </row>
    <row r="7433" spans="3:5" x14ac:dyDescent="0.25">
      <c r="C7433" s="4"/>
      <c r="E7433" s="4"/>
    </row>
    <row r="7434" spans="3:5" x14ac:dyDescent="0.25">
      <c r="C7434" s="4"/>
      <c r="E7434" s="4"/>
    </row>
    <row r="7435" spans="3:5" x14ac:dyDescent="0.25">
      <c r="C7435" s="4"/>
      <c r="E7435" s="4"/>
    </row>
    <row r="7436" spans="3:5" x14ac:dyDescent="0.25">
      <c r="C7436" s="4"/>
      <c r="E7436" s="4"/>
    </row>
    <row r="7437" spans="3:5" x14ac:dyDescent="0.25">
      <c r="C7437" s="4"/>
      <c r="E7437" s="4"/>
    </row>
    <row r="7438" spans="3:5" x14ac:dyDescent="0.25">
      <c r="C7438" s="4"/>
      <c r="E7438" s="4"/>
    </row>
    <row r="7439" spans="3:5" x14ac:dyDescent="0.25">
      <c r="C7439" s="4"/>
      <c r="E7439" s="4"/>
    </row>
    <row r="7440" spans="3:5" x14ac:dyDescent="0.25">
      <c r="C7440" s="4"/>
      <c r="E7440" s="4"/>
    </row>
    <row r="7441" spans="3:5" x14ac:dyDescent="0.25">
      <c r="C7441" s="4"/>
      <c r="E7441" s="4"/>
    </row>
    <row r="7442" spans="3:5" x14ac:dyDescent="0.25">
      <c r="C7442" s="4"/>
      <c r="E7442" s="4"/>
    </row>
    <row r="7443" spans="3:5" x14ac:dyDescent="0.25">
      <c r="C7443" s="4"/>
      <c r="E7443" s="4"/>
    </row>
    <row r="7444" spans="3:5" x14ac:dyDescent="0.25">
      <c r="C7444" s="4"/>
      <c r="E7444" s="4"/>
    </row>
    <row r="7445" spans="3:5" x14ac:dyDescent="0.25">
      <c r="C7445" s="4"/>
      <c r="E7445" s="4"/>
    </row>
    <row r="7446" spans="3:5" x14ac:dyDescent="0.25">
      <c r="C7446" s="4"/>
      <c r="E7446" s="4"/>
    </row>
    <row r="7447" spans="3:5" x14ac:dyDescent="0.25">
      <c r="C7447" s="4"/>
      <c r="E7447" s="4"/>
    </row>
    <row r="7448" spans="3:5" x14ac:dyDescent="0.25">
      <c r="C7448" s="4"/>
      <c r="E7448" s="4"/>
    </row>
    <row r="7449" spans="3:5" x14ac:dyDescent="0.25">
      <c r="C7449" s="4"/>
      <c r="E7449" s="4"/>
    </row>
    <row r="7450" spans="3:5" x14ac:dyDescent="0.25">
      <c r="C7450" s="4"/>
      <c r="E7450" s="4"/>
    </row>
    <row r="7451" spans="3:5" x14ac:dyDescent="0.25">
      <c r="C7451" s="4"/>
      <c r="E7451" s="4"/>
    </row>
    <row r="7452" spans="3:5" x14ac:dyDescent="0.25">
      <c r="C7452" s="4"/>
      <c r="E7452" s="4"/>
    </row>
    <row r="7453" spans="3:5" x14ac:dyDescent="0.25">
      <c r="C7453" s="4"/>
      <c r="E7453" s="4"/>
    </row>
    <row r="7454" spans="3:5" x14ac:dyDescent="0.25">
      <c r="C7454" s="4"/>
      <c r="E7454" s="4"/>
    </row>
    <row r="7455" spans="3:5" x14ac:dyDescent="0.25">
      <c r="C7455" s="4"/>
      <c r="E7455" s="4"/>
    </row>
    <row r="7456" spans="3:5" x14ac:dyDescent="0.25">
      <c r="C7456" s="4"/>
      <c r="E7456" s="4"/>
    </row>
    <row r="7457" spans="3:5" x14ac:dyDescent="0.25">
      <c r="C7457" s="4"/>
      <c r="E7457" s="4"/>
    </row>
    <row r="7458" spans="3:5" x14ac:dyDescent="0.25">
      <c r="C7458" s="4"/>
      <c r="E7458" s="4"/>
    </row>
    <row r="7459" spans="3:5" x14ac:dyDescent="0.25">
      <c r="C7459" s="4"/>
      <c r="E7459" s="4"/>
    </row>
    <row r="7460" spans="3:5" x14ac:dyDescent="0.25">
      <c r="C7460" s="4"/>
      <c r="E7460" s="4"/>
    </row>
    <row r="7461" spans="3:5" x14ac:dyDescent="0.25">
      <c r="C7461" s="4"/>
      <c r="E7461" s="4"/>
    </row>
    <row r="7462" spans="3:5" x14ac:dyDescent="0.25">
      <c r="C7462" s="4"/>
      <c r="E7462" s="4"/>
    </row>
    <row r="7463" spans="3:5" x14ac:dyDescent="0.25">
      <c r="C7463" s="4"/>
      <c r="E7463" s="4"/>
    </row>
    <row r="7464" spans="3:5" x14ac:dyDescent="0.25">
      <c r="C7464" s="4"/>
      <c r="E7464" s="4"/>
    </row>
    <row r="7465" spans="3:5" x14ac:dyDescent="0.25">
      <c r="C7465" s="4"/>
      <c r="E7465" s="4"/>
    </row>
    <row r="7466" spans="3:5" x14ac:dyDescent="0.25">
      <c r="C7466" s="4"/>
      <c r="E7466" s="4"/>
    </row>
    <row r="7467" spans="3:5" x14ac:dyDescent="0.25">
      <c r="C7467" s="4"/>
      <c r="E7467" s="4"/>
    </row>
    <row r="7468" spans="3:5" x14ac:dyDescent="0.25">
      <c r="C7468" s="4"/>
      <c r="E7468" s="4"/>
    </row>
    <row r="7469" spans="3:5" x14ac:dyDescent="0.25">
      <c r="C7469" s="4"/>
      <c r="E7469" s="4"/>
    </row>
    <row r="7470" spans="3:5" x14ac:dyDescent="0.25">
      <c r="C7470" s="4"/>
      <c r="E7470" s="4"/>
    </row>
    <row r="7471" spans="3:5" x14ac:dyDescent="0.25">
      <c r="C7471" s="4"/>
      <c r="E7471" s="4"/>
    </row>
    <row r="7472" spans="3:5" x14ac:dyDescent="0.25">
      <c r="C7472" s="4"/>
      <c r="E7472" s="4"/>
    </row>
    <row r="7473" spans="3:5" x14ac:dyDescent="0.25">
      <c r="C7473" s="4"/>
      <c r="E7473" s="4"/>
    </row>
    <row r="7474" spans="3:5" x14ac:dyDescent="0.25">
      <c r="C7474" s="4"/>
      <c r="E7474" s="4"/>
    </row>
    <row r="7475" spans="3:5" x14ac:dyDescent="0.25">
      <c r="C7475" s="4"/>
      <c r="E7475" s="4"/>
    </row>
    <row r="7476" spans="3:5" x14ac:dyDescent="0.25">
      <c r="C7476" s="4"/>
      <c r="E7476" s="4"/>
    </row>
    <row r="7477" spans="3:5" x14ac:dyDescent="0.25">
      <c r="C7477" s="4"/>
      <c r="E7477" s="4"/>
    </row>
    <row r="7478" spans="3:5" x14ac:dyDescent="0.25">
      <c r="C7478" s="4"/>
      <c r="E7478" s="4"/>
    </row>
    <row r="7479" spans="3:5" x14ac:dyDescent="0.25">
      <c r="C7479" s="4"/>
      <c r="E7479" s="4"/>
    </row>
    <row r="7480" spans="3:5" x14ac:dyDescent="0.25">
      <c r="C7480" s="4"/>
      <c r="E7480" s="4"/>
    </row>
    <row r="7481" spans="3:5" x14ac:dyDescent="0.25">
      <c r="C7481" s="4"/>
      <c r="E7481" s="4"/>
    </row>
    <row r="7482" spans="3:5" x14ac:dyDescent="0.25">
      <c r="C7482" s="4"/>
      <c r="E7482" s="4"/>
    </row>
    <row r="7483" spans="3:5" x14ac:dyDescent="0.25">
      <c r="C7483" s="4"/>
      <c r="E7483" s="4"/>
    </row>
    <row r="7484" spans="3:5" x14ac:dyDescent="0.25">
      <c r="C7484" s="4"/>
      <c r="E7484" s="4"/>
    </row>
    <row r="7485" spans="3:5" x14ac:dyDescent="0.25">
      <c r="C7485" s="4"/>
      <c r="E7485" s="4"/>
    </row>
    <row r="7486" spans="3:5" x14ac:dyDescent="0.25">
      <c r="C7486" s="4"/>
      <c r="E7486" s="4"/>
    </row>
    <row r="7487" spans="3:5" x14ac:dyDescent="0.25">
      <c r="C7487" s="4"/>
      <c r="E7487" s="4"/>
    </row>
    <row r="7488" spans="3:5" x14ac:dyDescent="0.25">
      <c r="C7488" s="4"/>
      <c r="E7488" s="4"/>
    </row>
    <row r="7489" spans="3:5" x14ac:dyDescent="0.25">
      <c r="C7489" s="4"/>
      <c r="E7489" s="4"/>
    </row>
    <row r="7490" spans="3:5" x14ac:dyDescent="0.25">
      <c r="C7490" s="4"/>
      <c r="E7490" s="4"/>
    </row>
    <row r="7491" spans="3:5" x14ac:dyDescent="0.25">
      <c r="C7491" s="4"/>
      <c r="E7491" s="4"/>
    </row>
    <row r="7492" spans="3:5" x14ac:dyDescent="0.25">
      <c r="C7492" s="4"/>
      <c r="E7492" s="4"/>
    </row>
    <row r="7493" spans="3:5" x14ac:dyDescent="0.25">
      <c r="C7493" s="4"/>
      <c r="E7493" s="4"/>
    </row>
    <row r="7494" spans="3:5" x14ac:dyDescent="0.25">
      <c r="C7494" s="4"/>
      <c r="E7494" s="4"/>
    </row>
    <row r="7495" spans="3:5" x14ac:dyDescent="0.25">
      <c r="C7495" s="4"/>
      <c r="E7495" s="4"/>
    </row>
    <row r="7496" spans="3:5" x14ac:dyDescent="0.25">
      <c r="C7496" s="4"/>
      <c r="E7496" s="4"/>
    </row>
    <row r="7497" spans="3:5" x14ac:dyDescent="0.25">
      <c r="C7497" s="4"/>
      <c r="E7497" s="4"/>
    </row>
    <row r="7498" spans="3:5" x14ac:dyDescent="0.25">
      <c r="C7498" s="4"/>
      <c r="E7498" s="4"/>
    </row>
    <row r="7499" spans="3:5" x14ac:dyDescent="0.25">
      <c r="C7499" s="4"/>
      <c r="E7499" s="4"/>
    </row>
    <row r="7500" spans="3:5" x14ac:dyDescent="0.25">
      <c r="C7500" s="4"/>
      <c r="E7500" s="4"/>
    </row>
    <row r="7501" spans="3:5" x14ac:dyDescent="0.25">
      <c r="C7501" s="4"/>
      <c r="E7501" s="4"/>
    </row>
    <row r="7502" spans="3:5" x14ac:dyDescent="0.25">
      <c r="C7502" s="4"/>
      <c r="E7502" s="4"/>
    </row>
    <row r="7503" spans="3:5" x14ac:dyDescent="0.25">
      <c r="C7503" s="4"/>
      <c r="E7503" s="4"/>
    </row>
    <row r="7504" spans="3:5" x14ac:dyDescent="0.25">
      <c r="C7504" s="4"/>
      <c r="E7504" s="4"/>
    </row>
    <row r="7505" spans="3:5" x14ac:dyDescent="0.25">
      <c r="C7505" s="4"/>
      <c r="E7505" s="4"/>
    </row>
    <row r="7506" spans="3:5" x14ac:dyDescent="0.25">
      <c r="C7506" s="4"/>
      <c r="E7506" s="4"/>
    </row>
    <row r="7507" spans="3:5" x14ac:dyDescent="0.25">
      <c r="C7507" s="4"/>
      <c r="E7507" s="4"/>
    </row>
    <row r="7508" spans="3:5" x14ac:dyDescent="0.25">
      <c r="C7508" s="4"/>
      <c r="E7508" s="4"/>
    </row>
    <row r="7509" spans="3:5" x14ac:dyDescent="0.25">
      <c r="C7509" s="4"/>
      <c r="E7509" s="4"/>
    </row>
    <row r="7510" spans="3:5" x14ac:dyDescent="0.25">
      <c r="C7510" s="4"/>
      <c r="E7510" s="4"/>
    </row>
    <row r="7511" spans="3:5" x14ac:dyDescent="0.25">
      <c r="C7511" s="4"/>
      <c r="E7511" s="4"/>
    </row>
    <row r="7512" spans="3:5" x14ac:dyDescent="0.25">
      <c r="C7512" s="4"/>
      <c r="E7512" s="4"/>
    </row>
    <row r="7513" spans="3:5" x14ac:dyDescent="0.25">
      <c r="C7513" s="4"/>
      <c r="E7513" s="4"/>
    </row>
    <row r="7514" spans="3:5" x14ac:dyDescent="0.25">
      <c r="C7514" s="4"/>
      <c r="E7514" s="4"/>
    </row>
    <row r="7515" spans="3:5" x14ac:dyDescent="0.25">
      <c r="C7515" s="4"/>
      <c r="E7515" s="4"/>
    </row>
    <row r="7516" spans="3:5" x14ac:dyDescent="0.25">
      <c r="C7516" s="4"/>
      <c r="E7516" s="4"/>
    </row>
    <row r="7517" spans="3:5" x14ac:dyDescent="0.25">
      <c r="C7517" s="4"/>
      <c r="E7517" s="4"/>
    </row>
    <row r="7518" spans="3:5" x14ac:dyDescent="0.25">
      <c r="C7518" s="4"/>
      <c r="E7518" s="4"/>
    </row>
    <row r="7519" spans="3:5" x14ac:dyDescent="0.25">
      <c r="C7519" s="4"/>
      <c r="E7519" s="4"/>
    </row>
    <row r="7520" spans="3:5" x14ac:dyDescent="0.25">
      <c r="C7520" s="4"/>
      <c r="E7520" s="4"/>
    </row>
    <row r="7521" spans="3:5" x14ac:dyDescent="0.25">
      <c r="C7521" s="4"/>
      <c r="E7521" s="4"/>
    </row>
    <row r="7522" spans="3:5" x14ac:dyDescent="0.25">
      <c r="C7522" s="4"/>
      <c r="E7522" s="4"/>
    </row>
    <row r="7523" spans="3:5" x14ac:dyDescent="0.25">
      <c r="C7523" s="4"/>
      <c r="E7523" s="4"/>
    </row>
    <row r="7524" spans="3:5" x14ac:dyDescent="0.25">
      <c r="C7524" s="4"/>
      <c r="E7524" s="4"/>
    </row>
    <row r="7525" spans="3:5" x14ac:dyDescent="0.25">
      <c r="C7525" s="4"/>
      <c r="E7525" s="4"/>
    </row>
    <row r="7526" spans="3:5" x14ac:dyDescent="0.25">
      <c r="C7526" s="4"/>
      <c r="E7526" s="4"/>
    </row>
    <row r="7527" spans="3:5" x14ac:dyDescent="0.25">
      <c r="C7527" s="4"/>
      <c r="E7527" s="4"/>
    </row>
    <row r="7528" spans="3:5" x14ac:dyDescent="0.25">
      <c r="C7528" s="4"/>
      <c r="E7528" s="4"/>
    </row>
    <row r="7529" spans="3:5" x14ac:dyDescent="0.25">
      <c r="C7529" s="4"/>
      <c r="E7529" s="4"/>
    </row>
    <row r="7530" spans="3:5" x14ac:dyDescent="0.25">
      <c r="C7530" s="4"/>
      <c r="E7530" s="4"/>
    </row>
    <row r="7531" spans="3:5" x14ac:dyDescent="0.25">
      <c r="C7531" s="4"/>
      <c r="E7531" s="4"/>
    </row>
    <row r="7532" spans="3:5" x14ac:dyDescent="0.25">
      <c r="C7532" s="4"/>
      <c r="E7532" s="4"/>
    </row>
    <row r="7533" spans="3:5" x14ac:dyDescent="0.25">
      <c r="C7533" s="4"/>
      <c r="E7533" s="4"/>
    </row>
    <row r="7534" spans="3:5" x14ac:dyDescent="0.25">
      <c r="C7534" s="4"/>
      <c r="E7534" s="4"/>
    </row>
    <row r="7535" spans="3:5" x14ac:dyDescent="0.25">
      <c r="C7535" s="4"/>
      <c r="E7535" s="4"/>
    </row>
    <row r="7536" spans="3:5" x14ac:dyDescent="0.25">
      <c r="C7536" s="4"/>
      <c r="E7536" s="4"/>
    </row>
    <row r="7537" spans="3:5" x14ac:dyDescent="0.25">
      <c r="C7537" s="4"/>
      <c r="E7537" s="4"/>
    </row>
    <row r="7538" spans="3:5" x14ac:dyDescent="0.25">
      <c r="C7538" s="4"/>
      <c r="E7538" s="4"/>
    </row>
    <row r="7539" spans="3:5" x14ac:dyDescent="0.25">
      <c r="C7539" s="4"/>
      <c r="E7539" s="4"/>
    </row>
    <row r="7540" spans="3:5" x14ac:dyDescent="0.25">
      <c r="C7540" s="4"/>
      <c r="E7540" s="4"/>
    </row>
    <row r="7541" spans="3:5" x14ac:dyDescent="0.25">
      <c r="C7541" s="4"/>
      <c r="E7541" s="4"/>
    </row>
    <row r="7542" spans="3:5" x14ac:dyDescent="0.25">
      <c r="C7542" s="4"/>
      <c r="E7542" s="4"/>
    </row>
    <row r="7543" spans="3:5" x14ac:dyDescent="0.25">
      <c r="C7543" s="4"/>
      <c r="E7543" s="4"/>
    </row>
    <row r="7544" spans="3:5" x14ac:dyDescent="0.25">
      <c r="C7544" s="4"/>
      <c r="E7544" s="4"/>
    </row>
    <row r="7545" spans="3:5" x14ac:dyDescent="0.25">
      <c r="C7545" s="4"/>
      <c r="E7545" s="4"/>
    </row>
    <row r="7546" spans="3:5" x14ac:dyDescent="0.25">
      <c r="C7546" s="4"/>
      <c r="E7546" s="4"/>
    </row>
    <row r="7547" spans="3:5" x14ac:dyDescent="0.25">
      <c r="C7547" s="4"/>
      <c r="E7547" s="4"/>
    </row>
    <row r="7548" spans="3:5" x14ac:dyDescent="0.25">
      <c r="C7548" s="4"/>
      <c r="E7548" s="4"/>
    </row>
    <row r="7549" spans="3:5" x14ac:dyDescent="0.25">
      <c r="C7549" s="4"/>
      <c r="E7549" s="4"/>
    </row>
    <row r="7550" spans="3:5" x14ac:dyDescent="0.25">
      <c r="C7550" s="4"/>
      <c r="E7550" s="4"/>
    </row>
    <row r="7551" spans="3:5" x14ac:dyDescent="0.25">
      <c r="C7551" s="4"/>
      <c r="E7551" s="4"/>
    </row>
    <row r="7552" spans="3:5" x14ac:dyDescent="0.25">
      <c r="C7552" s="4"/>
      <c r="E7552" s="4"/>
    </row>
    <row r="7553" spans="3:5" x14ac:dyDescent="0.25">
      <c r="C7553" s="4"/>
      <c r="E7553" s="4"/>
    </row>
    <row r="7554" spans="3:5" x14ac:dyDescent="0.25">
      <c r="C7554" s="4"/>
      <c r="E7554" s="4"/>
    </row>
    <row r="7555" spans="3:5" x14ac:dyDescent="0.25">
      <c r="C7555" s="4"/>
      <c r="E7555" s="4"/>
    </row>
    <row r="7556" spans="3:5" x14ac:dyDescent="0.25">
      <c r="C7556" s="4"/>
      <c r="E7556" s="4"/>
    </row>
    <row r="7557" spans="3:5" x14ac:dyDescent="0.25">
      <c r="C7557" s="4"/>
      <c r="E7557" s="4"/>
    </row>
    <row r="7558" spans="3:5" x14ac:dyDescent="0.25">
      <c r="C7558" s="4"/>
      <c r="E7558" s="4"/>
    </row>
    <row r="7559" spans="3:5" x14ac:dyDescent="0.25">
      <c r="C7559" s="4"/>
      <c r="E7559" s="4"/>
    </row>
    <row r="7560" spans="3:5" x14ac:dyDescent="0.25">
      <c r="C7560" s="4"/>
      <c r="E7560" s="4"/>
    </row>
    <row r="7561" spans="3:5" x14ac:dyDescent="0.25">
      <c r="C7561" s="4"/>
      <c r="E7561" s="4"/>
    </row>
    <row r="7562" spans="3:5" x14ac:dyDescent="0.25">
      <c r="C7562" s="4"/>
      <c r="E7562" s="4"/>
    </row>
    <row r="7563" spans="3:5" x14ac:dyDescent="0.25">
      <c r="C7563" s="4"/>
      <c r="E7563" s="4"/>
    </row>
    <row r="7564" spans="3:5" x14ac:dyDescent="0.25">
      <c r="C7564" s="4"/>
      <c r="E7564" s="4"/>
    </row>
    <row r="7565" spans="3:5" x14ac:dyDescent="0.25">
      <c r="C7565" s="4"/>
      <c r="E7565" s="4"/>
    </row>
    <row r="7566" spans="3:5" x14ac:dyDescent="0.25">
      <c r="C7566" s="4"/>
      <c r="E7566" s="4"/>
    </row>
    <row r="7567" spans="3:5" x14ac:dyDescent="0.25">
      <c r="C7567" s="4"/>
      <c r="E7567" s="4"/>
    </row>
    <row r="7568" spans="3:5" x14ac:dyDescent="0.25">
      <c r="C7568" s="4"/>
      <c r="E7568" s="4"/>
    </row>
    <row r="7569" spans="3:5" x14ac:dyDescent="0.25">
      <c r="C7569" s="4"/>
      <c r="E7569" s="4"/>
    </row>
    <row r="7570" spans="3:5" x14ac:dyDescent="0.25">
      <c r="C7570" s="4"/>
      <c r="E7570" s="4"/>
    </row>
    <row r="7571" spans="3:5" x14ac:dyDescent="0.25">
      <c r="C7571" s="4"/>
      <c r="E7571" s="4"/>
    </row>
    <row r="7572" spans="3:5" x14ac:dyDescent="0.25">
      <c r="C7572" s="4"/>
      <c r="E7572" s="4"/>
    </row>
    <row r="7573" spans="3:5" x14ac:dyDescent="0.25">
      <c r="C7573" s="4"/>
      <c r="E7573" s="4"/>
    </row>
    <row r="7574" spans="3:5" x14ac:dyDescent="0.25">
      <c r="C7574" s="4"/>
      <c r="E7574" s="4"/>
    </row>
    <row r="7575" spans="3:5" x14ac:dyDescent="0.25">
      <c r="C7575" s="4"/>
      <c r="E7575" s="4"/>
    </row>
    <row r="7576" spans="3:5" x14ac:dyDescent="0.25">
      <c r="C7576" s="4"/>
      <c r="E7576" s="4"/>
    </row>
    <row r="7577" spans="3:5" x14ac:dyDescent="0.25">
      <c r="C7577" s="4"/>
      <c r="E7577" s="4"/>
    </row>
    <row r="7578" spans="3:5" x14ac:dyDescent="0.25">
      <c r="C7578" s="4"/>
      <c r="E7578" s="4"/>
    </row>
    <row r="7579" spans="3:5" x14ac:dyDescent="0.25">
      <c r="C7579" s="4"/>
      <c r="E7579" s="4"/>
    </row>
    <row r="7580" spans="3:5" x14ac:dyDescent="0.25">
      <c r="C7580" s="4"/>
      <c r="E7580" s="4"/>
    </row>
    <row r="7581" spans="3:5" x14ac:dyDescent="0.25">
      <c r="C7581" s="4"/>
      <c r="E7581" s="4"/>
    </row>
    <row r="7582" spans="3:5" x14ac:dyDescent="0.25">
      <c r="C7582" s="4"/>
      <c r="E7582" s="4"/>
    </row>
    <row r="7583" spans="3:5" x14ac:dyDescent="0.25">
      <c r="C7583" s="4"/>
      <c r="E7583" s="4"/>
    </row>
    <row r="7584" spans="3:5" x14ac:dyDescent="0.25">
      <c r="C7584" s="4"/>
      <c r="E7584" s="4"/>
    </row>
    <row r="7585" spans="3:5" x14ac:dyDescent="0.25">
      <c r="C7585" s="4"/>
      <c r="E7585" s="4"/>
    </row>
    <row r="7586" spans="3:5" x14ac:dyDescent="0.25">
      <c r="C7586" s="4"/>
      <c r="E7586" s="4"/>
    </row>
    <row r="7587" spans="3:5" x14ac:dyDescent="0.25">
      <c r="C7587" s="4"/>
      <c r="E7587" s="4"/>
    </row>
    <row r="7588" spans="3:5" x14ac:dyDescent="0.25">
      <c r="C7588" s="4"/>
      <c r="E7588" s="4"/>
    </row>
    <row r="7589" spans="3:5" x14ac:dyDescent="0.25">
      <c r="C7589" s="4"/>
      <c r="E7589" s="4"/>
    </row>
    <row r="7590" spans="3:5" x14ac:dyDescent="0.25">
      <c r="C7590" s="4"/>
      <c r="E7590" s="4"/>
    </row>
    <row r="7591" spans="3:5" x14ac:dyDescent="0.25">
      <c r="C7591" s="4"/>
      <c r="E7591" s="4"/>
    </row>
    <row r="7592" spans="3:5" x14ac:dyDescent="0.25">
      <c r="C7592" s="4"/>
      <c r="E7592" s="4"/>
    </row>
    <row r="7593" spans="3:5" x14ac:dyDescent="0.25">
      <c r="C7593" s="4"/>
      <c r="E7593" s="4"/>
    </row>
    <row r="7594" spans="3:5" x14ac:dyDescent="0.25">
      <c r="C7594" s="4"/>
      <c r="E7594" s="4"/>
    </row>
    <row r="7595" spans="3:5" x14ac:dyDescent="0.25">
      <c r="C7595" s="4"/>
      <c r="E7595" s="4"/>
    </row>
    <row r="7596" spans="3:5" x14ac:dyDescent="0.25">
      <c r="C7596" s="4"/>
      <c r="E7596" s="4"/>
    </row>
    <row r="7597" spans="3:5" x14ac:dyDescent="0.25">
      <c r="C7597" s="4"/>
      <c r="E7597" s="4"/>
    </row>
    <row r="7598" spans="3:5" x14ac:dyDescent="0.25">
      <c r="C7598" s="4"/>
      <c r="E7598" s="4"/>
    </row>
    <row r="7599" spans="3:5" x14ac:dyDescent="0.25">
      <c r="C7599" s="4"/>
      <c r="E7599" s="4"/>
    </row>
    <row r="7600" spans="3:5" x14ac:dyDescent="0.25">
      <c r="C7600" s="4"/>
      <c r="E7600" s="4"/>
    </row>
    <row r="7601" spans="3:5" x14ac:dyDescent="0.25">
      <c r="C7601" s="4"/>
      <c r="E7601" s="4"/>
    </row>
    <row r="7602" spans="3:5" x14ac:dyDescent="0.25">
      <c r="C7602" s="4"/>
      <c r="E7602" s="4"/>
    </row>
    <row r="7603" spans="3:5" x14ac:dyDescent="0.25">
      <c r="C7603" s="4"/>
      <c r="E7603" s="4"/>
    </row>
    <row r="7604" spans="3:5" x14ac:dyDescent="0.25">
      <c r="C7604" s="4"/>
      <c r="E7604" s="4"/>
    </row>
    <row r="7605" spans="3:5" x14ac:dyDescent="0.25">
      <c r="C7605" s="4"/>
      <c r="E7605" s="4"/>
    </row>
    <row r="7606" spans="3:5" x14ac:dyDescent="0.25">
      <c r="C7606" s="4"/>
      <c r="E7606" s="4"/>
    </row>
    <row r="7607" spans="3:5" x14ac:dyDescent="0.25">
      <c r="C7607" s="4"/>
      <c r="E7607" s="4"/>
    </row>
    <row r="7608" spans="3:5" x14ac:dyDescent="0.25">
      <c r="C7608" s="4"/>
      <c r="E7608" s="4"/>
    </row>
    <row r="7609" spans="3:5" x14ac:dyDescent="0.25">
      <c r="C7609" s="4"/>
      <c r="E7609" s="4"/>
    </row>
    <row r="7610" spans="3:5" x14ac:dyDescent="0.25">
      <c r="C7610" s="4"/>
      <c r="E7610" s="4"/>
    </row>
    <row r="7611" spans="3:5" x14ac:dyDescent="0.25">
      <c r="C7611" s="4"/>
      <c r="E7611" s="4"/>
    </row>
    <row r="7612" spans="3:5" x14ac:dyDescent="0.25">
      <c r="C7612" s="4"/>
      <c r="E7612" s="4"/>
    </row>
    <row r="7613" spans="3:5" x14ac:dyDescent="0.25">
      <c r="C7613" s="4"/>
      <c r="E7613" s="4"/>
    </row>
    <row r="7614" spans="3:5" x14ac:dyDescent="0.25">
      <c r="C7614" s="4"/>
      <c r="E7614" s="4"/>
    </row>
    <row r="7615" spans="3:5" x14ac:dyDescent="0.25">
      <c r="C7615" s="4"/>
      <c r="E7615" s="4"/>
    </row>
    <row r="7616" spans="3:5" x14ac:dyDescent="0.25">
      <c r="C7616" s="4"/>
      <c r="E7616" s="4"/>
    </row>
    <row r="7617" spans="3:5" x14ac:dyDescent="0.25">
      <c r="C7617" s="4"/>
      <c r="E7617" s="4"/>
    </row>
    <row r="7618" spans="3:5" x14ac:dyDescent="0.25">
      <c r="C7618" s="4"/>
      <c r="E7618" s="4"/>
    </row>
    <row r="7619" spans="3:5" x14ac:dyDescent="0.25">
      <c r="C7619" s="4"/>
      <c r="E7619" s="4"/>
    </row>
    <row r="7620" spans="3:5" x14ac:dyDescent="0.25">
      <c r="C7620" s="4"/>
      <c r="E7620" s="4"/>
    </row>
    <row r="7621" spans="3:5" x14ac:dyDescent="0.25">
      <c r="C7621" s="4"/>
      <c r="E7621" s="4"/>
    </row>
    <row r="7622" spans="3:5" x14ac:dyDescent="0.25">
      <c r="C7622" s="4"/>
      <c r="E7622" s="4"/>
    </row>
    <row r="7623" spans="3:5" x14ac:dyDescent="0.25">
      <c r="C7623" s="4"/>
      <c r="E7623" s="4"/>
    </row>
    <row r="7624" spans="3:5" x14ac:dyDescent="0.25">
      <c r="C7624" s="4"/>
      <c r="E7624" s="4"/>
    </row>
    <row r="7625" spans="3:5" x14ac:dyDescent="0.25">
      <c r="C7625" s="4"/>
      <c r="E7625" s="4"/>
    </row>
    <row r="7626" spans="3:5" x14ac:dyDescent="0.25">
      <c r="C7626" s="4"/>
      <c r="E7626" s="4"/>
    </row>
    <row r="7627" spans="3:5" x14ac:dyDescent="0.25">
      <c r="C7627" s="4"/>
      <c r="E7627" s="4"/>
    </row>
    <row r="7628" spans="3:5" x14ac:dyDescent="0.25">
      <c r="C7628" s="4"/>
      <c r="E7628" s="4"/>
    </row>
    <row r="7629" spans="3:5" x14ac:dyDescent="0.25">
      <c r="C7629" s="4"/>
      <c r="E7629" s="4"/>
    </row>
    <row r="7630" spans="3:5" x14ac:dyDescent="0.25">
      <c r="C7630" s="4"/>
      <c r="E7630" s="4"/>
    </row>
    <row r="7631" spans="3:5" x14ac:dyDescent="0.25">
      <c r="C7631" s="4"/>
      <c r="E7631" s="4"/>
    </row>
    <row r="7632" spans="3:5" x14ac:dyDescent="0.25">
      <c r="C7632" s="4"/>
      <c r="E7632" s="4"/>
    </row>
    <row r="7633" spans="3:5" x14ac:dyDescent="0.25">
      <c r="C7633" s="4"/>
      <c r="E7633" s="4"/>
    </row>
    <row r="7634" spans="3:5" x14ac:dyDescent="0.25">
      <c r="C7634" s="4"/>
      <c r="E7634" s="4"/>
    </row>
    <row r="7635" spans="3:5" x14ac:dyDescent="0.25">
      <c r="C7635" s="4"/>
      <c r="E7635" s="4"/>
    </row>
    <row r="7636" spans="3:5" x14ac:dyDescent="0.25">
      <c r="C7636" s="4"/>
      <c r="E7636" s="4"/>
    </row>
    <row r="7637" spans="3:5" x14ac:dyDescent="0.25">
      <c r="C7637" s="4"/>
      <c r="E7637" s="4"/>
    </row>
    <row r="7638" spans="3:5" x14ac:dyDescent="0.25">
      <c r="C7638" s="4"/>
      <c r="E7638" s="4"/>
    </row>
    <row r="7639" spans="3:5" x14ac:dyDescent="0.25">
      <c r="C7639" s="4"/>
      <c r="E7639" s="4"/>
    </row>
    <row r="7640" spans="3:5" x14ac:dyDescent="0.25">
      <c r="C7640" s="4"/>
      <c r="E7640" s="4"/>
    </row>
    <row r="7641" spans="3:5" x14ac:dyDescent="0.25">
      <c r="C7641" s="4"/>
      <c r="E7641" s="4"/>
    </row>
    <row r="7642" spans="3:5" x14ac:dyDescent="0.25">
      <c r="C7642" s="4"/>
      <c r="E7642" s="4"/>
    </row>
    <row r="7643" spans="3:5" x14ac:dyDescent="0.25">
      <c r="C7643" s="4"/>
      <c r="E7643" s="4"/>
    </row>
    <row r="7644" spans="3:5" x14ac:dyDescent="0.25">
      <c r="C7644" s="4"/>
      <c r="E7644" s="4"/>
    </row>
    <row r="7645" spans="3:5" x14ac:dyDescent="0.25">
      <c r="C7645" s="4"/>
      <c r="E7645" s="4"/>
    </row>
    <row r="7646" spans="3:5" x14ac:dyDescent="0.25">
      <c r="C7646" s="4"/>
      <c r="E7646" s="4"/>
    </row>
    <row r="7647" spans="3:5" x14ac:dyDescent="0.25">
      <c r="C7647" s="4"/>
      <c r="E7647" s="4"/>
    </row>
    <row r="7648" spans="3:5" x14ac:dyDescent="0.25">
      <c r="C7648" s="4"/>
      <c r="E7648" s="4"/>
    </row>
    <row r="7649" spans="3:5" x14ac:dyDescent="0.25">
      <c r="C7649" s="4"/>
      <c r="E7649" s="4"/>
    </row>
    <row r="7650" spans="3:5" x14ac:dyDescent="0.25">
      <c r="C7650" s="4"/>
      <c r="E7650" s="4"/>
    </row>
    <row r="7651" spans="3:5" x14ac:dyDescent="0.25">
      <c r="C7651" s="4"/>
      <c r="E7651" s="4"/>
    </row>
    <row r="7652" spans="3:5" x14ac:dyDescent="0.25">
      <c r="C7652" s="4"/>
      <c r="E7652" s="4"/>
    </row>
    <row r="7653" spans="3:5" x14ac:dyDescent="0.25">
      <c r="C7653" s="4"/>
      <c r="E7653" s="4"/>
    </row>
    <row r="7654" spans="3:5" x14ac:dyDescent="0.25">
      <c r="C7654" s="4"/>
      <c r="E7654" s="4"/>
    </row>
    <row r="7655" spans="3:5" x14ac:dyDescent="0.25">
      <c r="C7655" s="4"/>
      <c r="E7655" s="4"/>
    </row>
    <row r="7656" spans="3:5" x14ac:dyDescent="0.25">
      <c r="C7656" s="4"/>
      <c r="E7656" s="4"/>
    </row>
    <row r="7657" spans="3:5" x14ac:dyDescent="0.25">
      <c r="C7657" s="4"/>
      <c r="E7657" s="4"/>
    </row>
    <row r="7658" spans="3:5" x14ac:dyDescent="0.25">
      <c r="C7658" s="4"/>
      <c r="E7658" s="4"/>
    </row>
    <row r="7659" spans="3:5" x14ac:dyDescent="0.25">
      <c r="C7659" s="4"/>
      <c r="E7659" s="4"/>
    </row>
    <row r="7660" spans="3:5" x14ac:dyDescent="0.25">
      <c r="C7660" s="4"/>
      <c r="E7660" s="4"/>
    </row>
    <row r="7661" spans="3:5" x14ac:dyDescent="0.25">
      <c r="C7661" s="4"/>
      <c r="E7661" s="4"/>
    </row>
    <row r="7662" spans="3:5" x14ac:dyDescent="0.25">
      <c r="C7662" s="4"/>
      <c r="E7662" s="4"/>
    </row>
    <row r="7663" spans="3:5" x14ac:dyDescent="0.25">
      <c r="C7663" s="4"/>
      <c r="E7663" s="4"/>
    </row>
    <row r="7664" spans="3:5" x14ac:dyDescent="0.25">
      <c r="C7664" s="4"/>
      <c r="E7664" s="4"/>
    </row>
    <row r="7665" spans="3:5" x14ac:dyDescent="0.25">
      <c r="C7665" s="4"/>
      <c r="E7665" s="4"/>
    </row>
    <row r="7666" spans="3:5" x14ac:dyDescent="0.25">
      <c r="C7666" s="4"/>
      <c r="E7666" s="4"/>
    </row>
    <row r="7667" spans="3:5" x14ac:dyDescent="0.25">
      <c r="C7667" s="4"/>
      <c r="E7667" s="4"/>
    </row>
    <row r="7668" spans="3:5" x14ac:dyDescent="0.25">
      <c r="C7668" s="4"/>
      <c r="E7668" s="4"/>
    </row>
    <row r="7669" spans="3:5" x14ac:dyDescent="0.25">
      <c r="C7669" s="4"/>
      <c r="E7669" s="4"/>
    </row>
    <row r="7670" spans="3:5" x14ac:dyDescent="0.25">
      <c r="C7670" s="4"/>
      <c r="E7670" s="4"/>
    </row>
    <row r="7671" spans="3:5" x14ac:dyDescent="0.25">
      <c r="C7671" s="4"/>
      <c r="E7671" s="4"/>
    </row>
    <row r="7672" spans="3:5" x14ac:dyDescent="0.25">
      <c r="C7672" s="4"/>
      <c r="E7672" s="4"/>
    </row>
    <row r="7673" spans="3:5" x14ac:dyDescent="0.25">
      <c r="C7673" s="4"/>
      <c r="E7673" s="4"/>
    </row>
    <row r="7674" spans="3:5" x14ac:dyDescent="0.25">
      <c r="C7674" s="4"/>
      <c r="E7674" s="4"/>
    </row>
    <row r="7675" spans="3:5" x14ac:dyDescent="0.25">
      <c r="C7675" s="4"/>
      <c r="E7675" s="4"/>
    </row>
    <row r="7676" spans="3:5" x14ac:dyDescent="0.25">
      <c r="C7676" s="4"/>
      <c r="E7676" s="4"/>
    </row>
    <row r="7677" spans="3:5" x14ac:dyDescent="0.25">
      <c r="C7677" s="4"/>
      <c r="E7677" s="4"/>
    </row>
    <row r="7678" spans="3:5" x14ac:dyDescent="0.25">
      <c r="C7678" s="4"/>
      <c r="E7678" s="4"/>
    </row>
    <row r="7679" spans="3:5" x14ac:dyDescent="0.25">
      <c r="C7679" s="4"/>
      <c r="E7679" s="4"/>
    </row>
    <row r="7680" spans="3:5" x14ac:dyDescent="0.25">
      <c r="C7680" s="4"/>
      <c r="E7680" s="4"/>
    </row>
    <row r="7681" spans="3:5" x14ac:dyDescent="0.25">
      <c r="C7681" s="4"/>
      <c r="E7681" s="4"/>
    </row>
    <row r="7682" spans="3:5" x14ac:dyDescent="0.25">
      <c r="C7682" s="4"/>
      <c r="E7682" s="4"/>
    </row>
    <row r="7683" spans="3:5" x14ac:dyDescent="0.25">
      <c r="C7683" s="4"/>
      <c r="E7683" s="4"/>
    </row>
    <row r="7684" spans="3:5" x14ac:dyDescent="0.25">
      <c r="C7684" s="4"/>
      <c r="E7684" s="4"/>
    </row>
    <row r="7685" spans="3:5" x14ac:dyDescent="0.25">
      <c r="C7685" s="4"/>
      <c r="E7685" s="4"/>
    </row>
    <row r="7686" spans="3:5" x14ac:dyDescent="0.25">
      <c r="C7686" s="4"/>
      <c r="E7686" s="4"/>
    </row>
    <row r="7687" spans="3:5" x14ac:dyDescent="0.25">
      <c r="C7687" s="4"/>
      <c r="E7687" s="4"/>
    </row>
    <row r="7688" spans="3:5" x14ac:dyDescent="0.25">
      <c r="C7688" s="4"/>
      <c r="E7688" s="4"/>
    </row>
    <row r="7689" spans="3:5" x14ac:dyDescent="0.25">
      <c r="C7689" s="4"/>
      <c r="E7689" s="4"/>
    </row>
    <row r="7690" spans="3:5" x14ac:dyDescent="0.25">
      <c r="C7690" s="4"/>
      <c r="E7690" s="4"/>
    </row>
    <row r="7691" spans="3:5" x14ac:dyDescent="0.25">
      <c r="C7691" s="4"/>
      <c r="E7691" s="4"/>
    </row>
    <row r="7692" spans="3:5" x14ac:dyDescent="0.25">
      <c r="C7692" s="4"/>
      <c r="E7692" s="4"/>
    </row>
    <row r="7693" spans="3:5" x14ac:dyDescent="0.25">
      <c r="C7693" s="4"/>
      <c r="E7693" s="4"/>
    </row>
    <row r="7694" spans="3:5" x14ac:dyDescent="0.25">
      <c r="C7694" s="4"/>
      <c r="E7694" s="4"/>
    </row>
    <row r="7695" spans="3:5" x14ac:dyDescent="0.25">
      <c r="C7695" s="4"/>
      <c r="E7695" s="4"/>
    </row>
    <row r="7696" spans="3:5" x14ac:dyDescent="0.25">
      <c r="C7696" s="4"/>
      <c r="E7696" s="4"/>
    </row>
    <row r="7697" spans="3:5" x14ac:dyDescent="0.25">
      <c r="C7697" s="4"/>
      <c r="E7697" s="4"/>
    </row>
    <row r="7698" spans="3:5" x14ac:dyDescent="0.25">
      <c r="C7698" s="4"/>
      <c r="E7698" s="4"/>
    </row>
    <row r="7699" spans="3:5" x14ac:dyDescent="0.25">
      <c r="C7699" s="4"/>
      <c r="E7699" s="4"/>
    </row>
    <row r="7700" spans="3:5" x14ac:dyDescent="0.25">
      <c r="C7700" s="4"/>
      <c r="E7700" s="4"/>
    </row>
    <row r="7701" spans="3:5" x14ac:dyDescent="0.25">
      <c r="C7701" s="4"/>
      <c r="E7701" s="4"/>
    </row>
    <row r="7702" spans="3:5" x14ac:dyDescent="0.25">
      <c r="C7702" s="4"/>
      <c r="E7702" s="4"/>
    </row>
    <row r="7703" spans="3:5" x14ac:dyDescent="0.25">
      <c r="C7703" s="4"/>
      <c r="E7703" s="4"/>
    </row>
    <row r="7704" spans="3:5" x14ac:dyDescent="0.25">
      <c r="C7704" s="4"/>
      <c r="E7704" s="4"/>
    </row>
    <row r="7705" spans="3:5" x14ac:dyDescent="0.25">
      <c r="C7705" s="4"/>
      <c r="E7705" s="4"/>
    </row>
    <row r="7706" spans="3:5" x14ac:dyDescent="0.25">
      <c r="C7706" s="4"/>
      <c r="E7706" s="4"/>
    </row>
    <row r="7707" spans="3:5" x14ac:dyDescent="0.25">
      <c r="C7707" s="4"/>
      <c r="E7707" s="4"/>
    </row>
    <row r="7708" spans="3:5" x14ac:dyDescent="0.25">
      <c r="C7708" s="4"/>
      <c r="E7708" s="4"/>
    </row>
    <row r="7709" spans="3:5" x14ac:dyDescent="0.25">
      <c r="C7709" s="4"/>
      <c r="E7709" s="4"/>
    </row>
    <row r="7710" spans="3:5" x14ac:dyDescent="0.25">
      <c r="C7710" s="4"/>
      <c r="E7710" s="4"/>
    </row>
    <row r="7711" spans="3:5" x14ac:dyDescent="0.25">
      <c r="C7711" s="4"/>
      <c r="E7711" s="4"/>
    </row>
    <row r="7712" spans="3:5" x14ac:dyDescent="0.25">
      <c r="C7712" s="4"/>
      <c r="E7712" s="4"/>
    </row>
    <row r="7713" spans="3:5" x14ac:dyDescent="0.25">
      <c r="C7713" s="4"/>
      <c r="E7713" s="4"/>
    </row>
    <row r="7714" spans="3:5" x14ac:dyDescent="0.25">
      <c r="C7714" s="4"/>
      <c r="E7714" s="4"/>
    </row>
    <row r="7715" spans="3:5" x14ac:dyDescent="0.25">
      <c r="C7715" s="4"/>
      <c r="E7715" s="4"/>
    </row>
    <row r="7716" spans="3:5" x14ac:dyDescent="0.25">
      <c r="C7716" s="4"/>
      <c r="E7716" s="4"/>
    </row>
    <row r="7717" spans="3:5" x14ac:dyDescent="0.25">
      <c r="C7717" s="4"/>
      <c r="E7717" s="4"/>
    </row>
    <row r="7718" spans="3:5" x14ac:dyDescent="0.25">
      <c r="C7718" s="4"/>
      <c r="E7718" s="4"/>
    </row>
    <row r="7719" spans="3:5" x14ac:dyDescent="0.25">
      <c r="C7719" s="4"/>
      <c r="E7719" s="4"/>
    </row>
    <row r="7720" spans="3:5" x14ac:dyDescent="0.25">
      <c r="C7720" s="4"/>
      <c r="E7720" s="4"/>
    </row>
    <row r="7721" spans="3:5" x14ac:dyDescent="0.25">
      <c r="C7721" s="4"/>
      <c r="E7721" s="4"/>
    </row>
    <row r="7722" spans="3:5" x14ac:dyDescent="0.25">
      <c r="C7722" s="4"/>
      <c r="E7722" s="4"/>
    </row>
    <row r="7723" spans="3:5" x14ac:dyDescent="0.25">
      <c r="C7723" s="4"/>
      <c r="E7723" s="4"/>
    </row>
    <row r="7724" spans="3:5" x14ac:dyDescent="0.25">
      <c r="C7724" s="4"/>
      <c r="E7724" s="4"/>
    </row>
    <row r="7725" spans="3:5" x14ac:dyDescent="0.25">
      <c r="C7725" s="4"/>
      <c r="E7725" s="4"/>
    </row>
    <row r="7726" spans="3:5" x14ac:dyDescent="0.25">
      <c r="C7726" s="4"/>
      <c r="E7726" s="4"/>
    </row>
    <row r="7727" spans="3:5" x14ac:dyDescent="0.25">
      <c r="C7727" s="4"/>
      <c r="E7727" s="4"/>
    </row>
    <row r="7728" spans="3:5" x14ac:dyDescent="0.25">
      <c r="C7728" s="4"/>
      <c r="E7728" s="4"/>
    </row>
    <row r="7729" spans="3:5" x14ac:dyDescent="0.25">
      <c r="C7729" s="4"/>
      <c r="E7729" s="4"/>
    </row>
    <row r="7730" spans="3:5" x14ac:dyDescent="0.25">
      <c r="C7730" s="4"/>
      <c r="E7730" s="4"/>
    </row>
    <row r="7731" spans="3:5" x14ac:dyDescent="0.25">
      <c r="C7731" s="4"/>
      <c r="E7731" s="4"/>
    </row>
    <row r="7732" spans="3:5" x14ac:dyDescent="0.25">
      <c r="C7732" s="4"/>
      <c r="E7732" s="4"/>
    </row>
    <row r="7733" spans="3:5" x14ac:dyDescent="0.25">
      <c r="C7733" s="4"/>
      <c r="E7733" s="4"/>
    </row>
    <row r="7734" spans="3:5" x14ac:dyDescent="0.25">
      <c r="C7734" s="4"/>
      <c r="E7734" s="4"/>
    </row>
    <row r="7735" spans="3:5" x14ac:dyDescent="0.25">
      <c r="C7735" s="4"/>
      <c r="E7735" s="4"/>
    </row>
    <row r="7736" spans="3:5" x14ac:dyDescent="0.25">
      <c r="C7736" s="4"/>
      <c r="E7736" s="4"/>
    </row>
    <row r="7737" spans="3:5" x14ac:dyDescent="0.25">
      <c r="C7737" s="4"/>
      <c r="E7737" s="4"/>
    </row>
    <row r="7738" spans="3:5" x14ac:dyDescent="0.25">
      <c r="C7738" s="4"/>
      <c r="E7738" s="4"/>
    </row>
    <row r="7739" spans="3:5" x14ac:dyDescent="0.25">
      <c r="C7739" s="4"/>
      <c r="E7739" s="4"/>
    </row>
    <row r="7740" spans="3:5" x14ac:dyDescent="0.25">
      <c r="C7740" s="4"/>
      <c r="E7740" s="4"/>
    </row>
    <row r="7741" spans="3:5" x14ac:dyDescent="0.25">
      <c r="C7741" s="4"/>
      <c r="E7741" s="4"/>
    </row>
    <row r="7742" spans="3:5" x14ac:dyDescent="0.25">
      <c r="C7742" s="4"/>
      <c r="E7742" s="4"/>
    </row>
    <row r="7743" spans="3:5" x14ac:dyDescent="0.25">
      <c r="C7743" s="4"/>
      <c r="E7743" s="4"/>
    </row>
    <row r="7744" spans="3:5" x14ac:dyDescent="0.25">
      <c r="C7744" s="4"/>
      <c r="E7744" s="4"/>
    </row>
    <row r="7745" spans="3:5" x14ac:dyDescent="0.25">
      <c r="C7745" s="4"/>
      <c r="E7745" s="4"/>
    </row>
    <row r="7746" spans="3:5" x14ac:dyDescent="0.25">
      <c r="C7746" s="4"/>
      <c r="E7746" s="4"/>
    </row>
    <row r="7747" spans="3:5" x14ac:dyDescent="0.25">
      <c r="C7747" s="4"/>
      <c r="E7747" s="4"/>
    </row>
    <row r="7748" spans="3:5" x14ac:dyDescent="0.25">
      <c r="C7748" s="4"/>
      <c r="E7748" s="4"/>
    </row>
    <row r="7749" spans="3:5" x14ac:dyDescent="0.25">
      <c r="C7749" s="4"/>
      <c r="E7749" s="4"/>
    </row>
    <row r="7750" spans="3:5" x14ac:dyDescent="0.25">
      <c r="C7750" s="4"/>
      <c r="E7750" s="4"/>
    </row>
    <row r="7751" spans="3:5" x14ac:dyDescent="0.25">
      <c r="C7751" s="4"/>
      <c r="E7751" s="4"/>
    </row>
    <row r="7752" spans="3:5" x14ac:dyDescent="0.25">
      <c r="C7752" s="4"/>
      <c r="E7752" s="4"/>
    </row>
    <row r="7753" spans="3:5" x14ac:dyDescent="0.25">
      <c r="C7753" s="4"/>
      <c r="E7753" s="4"/>
    </row>
    <row r="7754" spans="3:5" x14ac:dyDescent="0.25">
      <c r="C7754" s="4"/>
      <c r="E7754" s="4"/>
    </row>
    <row r="7755" spans="3:5" x14ac:dyDescent="0.25">
      <c r="C7755" s="4"/>
      <c r="E7755" s="4"/>
    </row>
    <row r="7756" spans="3:5" x14ac:dyDescent="0.25">
      <c r="C7756" s="4"/>
      <c r="E7756" s="4"/>
    </row>
    <row r="7757" spans="3:5" x14ac:dyDescent="0.25">
      <c r="C7757" s="4"/>
      <c r="E7757" s="4"/>
    </row>
    <row r="7758" spans="3:5" x14ac:dyDescent="0.25">
      <c r="C7758" s="4"/>
      <c r="E7758" s="4"/>
    </row>
    <row r="7759" spans="3:5" x14ac:dyDescent="0.25">
      <c r="C7759" s="4"/>
      <c r="E7759" s="4"/>
    </row>
    <row r="7760" spans="3:5" x14ac:dyDescent="0.25">
      <c r="C7760" s="4"/>
      <c r="E7760" s="4"/>
    </row>
    <row r="7761" spans="3:5" x14ac:dyDescent="0.25">
      <c r="C7761" s="4"/>
      <c r="E7761" s="4"/>
    </row>
    <row r="7762" spans="3:5" x14ac:dyDescent="0.25">
      <c r="C7762" s="4"/>
      <c r="E7762" s="4"/>
    </row>
    <row r="7763" spans="3:5" x14ac:dyDescent="0.25">
      <c r="C7763" s="4"/>
      <c r="E7763" s="4"/>
    </row>
    <row r="7764" spans="3:5" x14ac:dyDescent="0.25">
      <c r="C7764" s="4"/>
      <c r="E7764" s="4"/>
    </row>
    <row r="7765" spans="3:5" x14ac:dyDescent="0.25">
      <c r="C7765" s="4"/>
      <c r="E7765" s="4"/>
    </row>
    <row r="7766" spans="3:5" x14ac:dyDescent="0.25">
      <c r="C7766" s="4"/>
      <c r="E7766" s="4"/>
    </row>
    <row r="7767" spans="3:5" x14ac:dyDescent="0.25">
      <c r="C7767" s="4"/>
      <c r="E7767" s="4"/>
    </row>
    <row r="7768" spans="3:5" x14ac:dyDescent="0.25">
      <c r="C7768" s="4"/>
      <c r="E7768" s="4"/>
    </row>
    <row r="7769" spans="3:5" x14ac:dyDescent="0.25">
      <c r="C7769" s="4"/>
      <c r="E7769" s="4"/>
    </row>
    <row r="7770" spans="3:5" x14ac:dyDescent="0.25">
      <c r="C7770" s="4"/>
      <c r="E7770" s="4"/>
    </row>
    <row r="7771" spans="3:5" x14ac:dyDescent="0.25">
      <c r="C7771" s="4"/>
      <c r="E7771" s="4"/>
    </row>
    <row r="7772" spans="3:5" x14ac:dyDescent="0.25">
      <c r="C7772" s="4"/>
      <c r="E7772" s="4"/>
    </row>
    <row r="7773" spans="3:5" x14ac:dyDescent="0.25">
      <c r="C7773" s="4"/>
      <c r="E7773" s="4"/>
    </row>
    <row r="7774" spans="3:5" x14ac:dyDescent="0.25">
      <c r="C7774" s="4"/>
      <c r="E7774" s="4"/>
    </row>
    <row r="7775" spans="3:5" x14ac:dyDescent="0.25">
      <c r="C7775" s="4"/>
      <c r="E7775" s="4"/>
    </row>
    <row r="7776" spans="3:5" x14ac:dyDescent="0.25">
      <c r="C7776" s="4"/>
      <c r="E7776" s="4"/>
    </row>
    <row r="7777" spans="3:5" x14ac:dyDescent="0.25">
      <c r="C7777" s="4"/>
      <c r="E7777" s="4"/>
    </row>
    <row r="7778" spans="3:5" x14ac:dyDescent="0.25">
      <c r="C7778" s="4"/>
      <c r="E7778" s="4"/>
    </row>
    <row r="7779" spans="3:5" x14ac:dyDescent="0.25">
      <c r="C7779" s="4"/>
      <c r="E7779" s="4"/>
    </row>
    <row r="7780" spans="3:5" x14ac:dyDescent="0.25">
      <c r="C7780" s="4"/>
      <c r="E7780" s="4"/>
    </row>
    <row r="7781" spans="3:5" x14ac:dyDescent="0.25">
      <c r="C7781" s="4"/>
      <c r="E7781" s="4"/>
    </row>
    <row r="7782" spans="3:5" x14ac:dyDescent="0.25">
      <c r="C7782" s="4"/>
      <c r="E7782" s="4"/>
    </row>
    <row r="7783" spans="3:5" x14ac:dyDescent="0.25">
      <c r="C7783" s="4"/>
      <c r="E7783" s="4"/>
    </row>
    <row r="7784" spans="3:5" x14ac:dyDescent="0.25">
      <c r="C7784" s="4"/>
      <c r="E7784" s="4"/>
    </row>
    <row r="7785" spans="3:5" x14ac:dyDescent="0.25">
      <c r="C7785" s="4"/>
      <c r="E7785" s="4"/>
    </row>
    <row r="7786" spans="3:5" x14ac:dyDescent="0.25">
      <c r="C7786" s="4"/>
      <c r="E7786" s="4"/>
    </row>
    <row r="7787" spans="3:5" x14ac:dyDescent="0.25">
      <c r="C7787" s="4"/>
      <c r="E7787" s="4"/>
    </row>
    <row r="7788" spans="3:5" x14ac:dyDescent="0.25">
      <c r="C7788" s="4"/>
      <c r="E7788" s="4"/>
    </row>
    <row r="7789" spans="3:5" x14ac:dyDescent="0.25">
      <c r="C7789" s="4"/>
      <c r="E7789" s="4"/>
    </row>
    <row r="7790" spans="3:5" x14ac:dyDescent="0.25">
      <c r="C7790" s="4"/>
      <c r="E7790" s="4"/>
    </row>
    <row r="7791" spans="3:5" x14ac:dyDescent="0.25">
      <c r="C7791" s="4"/>
      <c r="E7791" s="4"/>
    </row>
    <row r="7792" spans="3:5" x14ac:dyDescent="0.25">
      <c r="C7792" s="4"/>
      <c r="E7792" s="4"/>
    </row>
    <row r="7793" spans="3:5" x14ac:dyDescent="0.25">
      <c r="C7793" s="4"/>
      <c r="E7793" s="4"/>
    </row>
    <row r="7794" spans="3:5" x14ac:dyDescent="0.25">
      <c r="C7794" s="4"/>
      <c r="E7794" s="4"/>
    </row>
    <row r="7795" spans="3:5" x14ac:dyDescent="0.25">
      <c r="C7795" s="4"/>
      <c r="E7795" s="4"/>
    </row>
    <row r="7796" spans="3:5" x14ac:dyDescent="0.25">
      <c r="C7796" s="4"/>
      <c r="E7796" s="4"/>
    </row>
    <row r="7797" spans="3:5" x14ac:dyDescent="0.25">
      <c r="C7797" s="4"/>
      <c r="E7797" s="4"/>
    </row>
    <row r="7798" spans="3:5" x14ac:dyDescent="0.25">
      <c r="C7798" s="4"/>
      <c r="E7798" s="4"/>
    </row>
    <row r="7799" spans="3:5" x14ac:dyDescent="0.25">
      <c r="C7799" s="4"/>
      <c r="E7799" s="4"/>
    </row>
    <row r="7800" spans="3:5" x14ac:dyDescent="0.25">
      <c r="C7800" s="4"/>
      <c r="E7800" s="4"/>
    </row>
    <row r="7801" spans="3:5" x14ac:dyDescent="0.25">
      <c r="C7801" s="4"/>
      <c r="E7801" s="4"/>
    </row>
    <row r="7802" spans="3:5" x14ac:dyDescent="0.25">
      <c r="C7802" s="4"/>
      <c r="E7802" s="4"/>
    </row>
    <row r="7803" spans="3:5" x14ac:dyDescent="0.25">
      <c r="C7803" s="4"/>
      <c r="E7803" s="4"/>
    </row>
    <row r="7804" spans="3:5" x14ac:dyDescent="0.25">
      <c r="C7804" s="4"/>
      <c r="E7804" s="4"/>
    </row>
    <row r="7805" spans="3:5" x14ac:dyDescent="0.25">
      <c r="C7805" s="4"/>
      <c r="E7805" s="4"/>
    </row>
    <row r="7806" spans="3:5" x14ac:dyDescent="0.25">
      <c r="C7806" s="4"/>
      <c r="E7806" s="4"/>
    </row>
    <row r="7807" spans="3:5" x14ac:dyDescent="0.25">
      <c r="C7807" s="4"/>
      <c r="E7807" s="4"/>
    </row>
    <row r="7808" spans="3:5" x14ac:dyDescent="0.25">
      <c r="C7808" s="4"/>
      <c r="E7808" s="4"/>
    </row>
    <row r="7809" spans="3:5" x14ac:dyDescent="0.25">
      <c r="C7809" s="4"/>
      <c r="E7809" s="4"/>
    </row>
    <row r="7810" spans="3:5" x14ac:dyDescent="0.25">
      <c r="C7810" s="4"/>
      <c r="E7810" s="4"/>
    </row>
    <row r="7811" spans="3:5" x14ac:dyDescent="0.25">
      <c r="C7811" s="4"/>
      <c r="E7811" s="4"/>
    </row>
    <row r="7812" spans="3:5" x14ac:dyDescent="0.25">
      <c r="C7812" s="4"/>
      <c r="E7812" s="4"/>
    </row>
    <row r="7813" spans="3:5" x14ac:dyDescent="0.25">
      <c r="C7813" s="4"/>
      <c r="E7813" s="4"/>
    </row>
    <row r="7814" spans="3:5" x14ac:dyDescent="0.25">
      <c r="C7814" s="4"/>
      <c r="E7814" s="4"/>
    </row>
    <row r="7815" spans="3:5" x14ac:dyDescent="0.25">
      <c r="C7815" s="4"/>
      <c r="E7815" s="4"/>
    </row>
    <row r="7816" spans="3:5" x14ac:dyDescent="0.25">
      <c r="C7816" s="4"/>
      <c r="E7816" s="4"/>
    </row>
    <row r="7817" spans="3:5" x14ac:dyDescent="0.25">
      <c r="C7817" s="4"/>
      <c r="E7817" s="4"/>
    </row>
    <row r="7818" spans="3:5" x14ac:dyDescent="0.25">
      <c r="C7818" s="4"/>
      <c r="E7818" s="4"/>
    </row>
    <row r="7819" spans="3:5" x14ac:dyDescent="0.25">
      <c r="C7819" s="4"/>
      <c r="E7819" s="4"/>
    </row>
    <row r="7820" spans="3:5" x14ac:dyDescent="0.25">
      <c r="C7820" s="4"/>
      <c r="E7820" s="4"/>
    </row>
    <row r="7821" spans="3:5" x14ac:dyDescent="0.25">
      <c r="C7821" s="4"/>
      <c r="E7821" s="4"/>
    </row>
    <row r="7822" spans="3:5" x14ac:dyDescent="0.25">
      <c r="C7822" s="4"/>
      <c r="E7822" s="4"/>
    </row>
    <row r="7823" spans="3:5" x14ac:dyDescent="0.25">
      <c r="C7823" s="4"/>
      <c r="E7823" s="4"/>
    </row>
    <row r="7824" spans="3:5" x14ac:dyDescent="0.25">
      <c r="C7824" s="4"/>
      <c r="E7824" s="4"/>
    </row>
    <row r="7825" spans="3:5" x14ac:dyDescent="0.25">
      <c r="C7825" s="4"/>
      <c r="E7825" s="4"/>
    </row>
    <row r="7826" spans="3:5" x14ac:dyDescent="0.25">
      <c r="C7826" s="4"/>
      <c r="E7826" s="4"/>
    </row>
    <row r="7827" spans="3:5" x14ac:dyDescent="0.25">
      <c r="C7827" s="4"/>
      <c r="E7827" s="4"/>
    </row>
    <row r="7828" spans="3:5" x14ac:dyDescent="0.25">
      <c r="C7828" s="4"/>
      <c r="E7828" s="4"/>
    </row>
    <row r="7829" spans="3:5" x14ac:dyDescent="0.25">
      <c r="C7829" s="4"/>
      <c r="E7829" s="4"/>
    </row>
    <row r="7830" spans="3:5" x14ac:dyDescent="0.25">
      <c r="C7830" s="4"/>
      <c r="E7830" s="4"/>
    </row>
    <row r="7831" spans="3:5" x14ac:dyDescent="0.25">
      <c r="C7831" s="4"/>
      <c r="E7831" s="4"/>
    </row>
    <row r="7832" spans="3:5" x14ac:dyDescent="0.25">
      <c r="C7832" s="4"/>
      <c r="E7832" s="4"/>
    </row>
    <row r="7833" spans="3:5" x14ac:dyDescent="0.25">
      <c r="C7833" s="4"/>
      <c r="E7833" s="4"/>
    </row>
    <row r="7834" spans="3:5" x14ac:dyDescent="0.25">
      <c r="C7834" s="4"/>
      <c r="E7834" s="4"/>
    </row>
    <row r="7835" spans="3:5" x14ac:dyDescent="0.25">
      <c r="C7835" s="4"/>
      <c r="E7835" s="4"/>
    </row>
    <row r="7836" spans="3:5" x14ac:dyDescent="0.25">
      <c r="C7836" s="4"/>
      <c r="E7836" s="4"/>
    </row>
    <row r="7837" spans="3:5" x14ac:dyDescent="0.25">
      <c r="C7837" s="4"/>
      <c r="E7837" s="4"/>
    </row>
    <row r="7838" spans="3:5" x14ac:dyDescent="0.25">
      <c r="C7838" s="4"/>
      <c r="E7838" s="4"/>
    </row>
    <row r="7839" spans="3:5" x14ac:dyDescent="0.25">
      <c r="C7839" s="4"/>
      <c r="E7839" s="4"/>
    </row>
    <row r="7840" spans="3:5" x14ac:dyDescent="0.25">
      <c r="C7840" s="4"/>
      <c r="E7840" s="4"/>
    </row>
    <row r="7841" spans="3:5" x14ac:dyDescent="0.25">
      <c r="C7841" s="4"/>
      <c r="E7841" s="4"/>
    </row>
    <row r="7842" spans="3:5" x14ac:dyDescent="0.25">
      <c r="C7842" s="4"/>
      <c r="E7842" s="4"/>
    </row>
    <row r="7843" spans="3:5" x14ac:dyDescent="0.25">
      <c r="C7843" s="4"/>
      <c r="E7843" s="4"/>
    </row>
    <row r="7844" spans="3:5" x14ac:dyDescent="0.25">
      <c r="C7844" s="4"/>
      <c r="E7844" s="4"/>
    </row>
    <row r="7845" spans="3:5" x14ac:dyDescent="0.25">
      <c r="C7845" s="4"/>
      <c r="E7845" s="4"/>
    </row>
    <row r="7846" spans="3:5" x14ac:dyDescent="0.25">
      <c r="C7846" s="4"/>
      <c r="E7846" s="4"/>
    </row>
    <row r="7847" spans="3:5" x14ac:dyDescent="0.25">
      <c r="C7847" s="4"/>
      <c r="E7847" s="4"/>
    </row>
    <row r="7848" spans="3:5" x14ac:dyDescent="0.25">
      <c r="C7848" s="4"/>
      <c r="E7848" s="4"/>
    </row>
    <row r="7849" spans="3:5" x14ac:dyDescent="0.25">
      <c r="C7849" s="4"/>
      <c r="E7849" s="4"/>
    </row>
    <row r="7850" spans="3:5" x14ac:dyDescent="0.25">
      <c r="C7850" s="4"/>
      <c r="E7850" s="4"/>
    </row>
    <row r="7851" spans="3:5" x14ac:dyDescent="0.25">
      <c r="C7851" s="4"/>
      <c r="E7851" s="4"/>
    </row>
    <row r="7852" spans="3:5" x14ac:dyDescent="0.25">
      <c r="C7852" s="4"/>
      <c r="E7852" s="4"/>
    </row>
    <row r="7853" spans="3:5" x14ac:dyDescent="0.25">
      <c r="C7853" s="4"/>
      <c r="E7853" s="4"/>
    </row>
    <row r="7854" spans="3:5" x14ac:dyDescent="0.25">
      <c r="C7854" s="4"/>
      <c r="E7854" s="4"/>
    </row>
    <row r="7855" spans="3:5" x14ac:dyDescent="0.25">
      <c r="C7855" s="4"/>
      <c r="E7855" s="4"/>
    </row>
    <row r="7856" spans="3:5" x14ac:dyDescent="0.25">
      <c r="C7856" s="4"/>
      <c r="E7856" s="4"/>
    </row>
    <row r="7857" spans="3:5" x14ac:dyDescent="0.25">
      <c r="C7857" s="4"/>
      <c r="E7857" s="4"/>
    </row>
    <row r="7858" spans="3:5" x14ac:dyDescent="0.25">
      <c r="C7858" s="4"/>
      <c r="E7858" s="4"/>
    </row>
    <row r="7859" spans="3:5" x14ac:dyDescent="0.25">
      <c r="C7859" s="4"/>
      <c r="E7859" s="4"/>
    </row>
    <row r="7860" spans="3:5" x14ac:dyDescent="0.25">
      <c r="C7860" s="4"/>
      <c r="E7860" s="4"/>
    </row>
    <row r="7861" spans="3:5" x14ac:dyDescent="0.25">
      <c r="C7861" s="4"/>
      <c r="E7861" s="4"/>
    </row>
    <row r="7862" spans="3:5" x14ac:dyDescent="0.25">
      <c r="C7862" s="4"/>
      <c r="E7862" s="4"/>
    </row>
    <row r="7863" spans="3:5" x14ac:dyDescent="0.25">
      <c r="C7863" s="4"/>
      <c r="E7863" s="4"/>
    </row>
    <row r="7864" spans="3:5" x14ac:dyDescent="0.25">
      <c r="C7864" s="4"/>
      <c r="E7864" s="4"/>
    </row>
    <row r="7865" spans="3:5" x14ac:dyDescent="0.25">
      <c r="C7865" s="4"/>
      <c r="E7865" s="4"/>
    </row>
    <row r="7866" spans="3:5" x14ac:dyDescent="0.25">
      <c r="C7866" s="4"/>
      <c r="E7866" s="4"/>
    </row>
    <row r="7867" spans="3:5" x14ac:dyDescent="0.25">
      <c r="C7867" s="4"/>
      <c r="E7867" s="4"/>
    </row>
    <row r="7868" spans="3:5" x14ac:dyDescent="0.25">
      <c r="C7868" s="4"/>
      <c r="E7868" s="4"/>
    </row>
    <row r="7869" spans="3:5" x14ac:dyDescent="0.25">
      <c r="C7869" s="4"/>
      <c r="E7869" s="4"/>
    </row>
    <row r="7870" spans="3:5" x14ac:dyDescent="0.25">
      <c r="C7870" s="4"/>
      <c r="E7870" s="4"/>
    </row>
    <row r="7871" spans="3:5" x14ac:dyDescent="0.25">
      <c r="C7871" s="4"/>
      <c r="E7871" s="4"/>
    </row>
    <row r="7872" spans="3:5" x14ac:dyDescent="0.25">
      <c r="C7872" s="4"/>
      <c r="E7872" s="4"/>
    </row>
    <row r="7873" spans="3:5" x14ac:dyDescent="0.25">
      <c r="C7873" s="4"/>
      <c r="E7873" s="4"/>
    </row>
    <row r="7874" spans="3:5" x14ac:dyDescent="0.25">
      <c r="C7874" s="4"/>
      <c r="E7874" s="4"/>
    </row>
    <row r="7875" spans="3:5" x14ac:dyDescent="0.25">
      <c r="C7875" s="4"/>
      <c r="E7875" s="4"/>
    </row>
    <row r="7876" spans="3:5" x14ac:dyDescent="0.25">
      <c r="C7876" s="4"/>
      <c r="E7876" s="4"/>
    </row>
    <row r="7877" spans="3:5" x14ac:dyDescent="0.25">
      <c r="C7877" s="4"/>
      <c r="E7877" s="4"/>
    </row>
    <row r="7878" spans="3:5" x14ac:dyDescent="0.25">
      <c r="C7878" s="4"/>
      <c r="E7878" s="4"/>
    </row>
    <row r="7879" spans="3:5" x14ac:dyDescent="0.25">
      <c r="C7879" s="4"/>
      <c r="E7879" s="4"/>
    </row>
    <row r="7880" spans="3:5" x14ac:dyDescent="0.25">
      <c r="C7880" s="4"/>
      <c r="E7880" s="4"/>
    </row>
    <row r="7881" spans="3:5" x14ac:dyDescent="0.25">
      <c r="C7881" s="4"/>
      <c r="E7881" s="4"/>
    </row>
    <row r="7882" spans="3:5" x14ac:dyDescent="0.25">
      <c r="C7882" s="4"/>
      <c r="E7882" s="4"/>
    </row>
    <row r="7883" spans="3:5" x14ac:dyDescent="0.25">
      <c r="C7883" s="4"/>
      <c r="E7883" s="4"/>
    </row>
    <row r="7884" spans="3:5" x14ac:dyDescent="0.25">
      <c r="C7884" s="4"/>
      <c r="E7884" s="4"/>
    </row>
    <row r="7885" spans="3:5" x14ac:dyDescent="0.25">
      <c r="C7885" s="4"/>
      <c r="E7885" s="4"/>
    </row>
    <row r="7886" spans="3:5" x14ac:dyDescent="0.25">
      <c r="C7886" s="4"/>
      <c r="E7886" s="4"/>
    </row>
    <row r="7887" spans="3:5" x14ac:dyDescent="0.25">
      <c r="C7887" s="4"/>
      <c r="E7887" s="4"/>
    </row>
    <row r="7888" spans="3:5" x14ac:dyDescent="0.25">
      <c r="C7888" s="4"/>
      <c r="E7888" s="4"/>
    </row>
    <row r="7889" spans="3:5" x14ac:dyDescent="0.25">
      <c r="C7889" s="4"/>
      <c r="E7889" s="4"/>
    </row>
    <row r="7890" spans="3:5" x14ac:dyDescent="0.25">
      <c r="C7890" s="4"/>
      <c r="E7890" s="4"/>
    </row>
    <row r="7891" spans="3:5" x14ac:dyDescent="0.25">
      <c r="C7891" s="4"/>
      <c r="E7891" s="4"/>
    </row>
    <row r="7892" spans="3:5" x14ac:dyDescent="0.25">
      <c r="C7892" s="4"/>
      <c r="E7892" s="4"/>
    </row>
    <row r="7893" spans="3:5" x14ac:dyDescent="0.25">
      <c r="C7893" s="4"/>
      <c r="E7893" s="4"/>
    </row>
    <row r="7894" spans="3:5" x14ac:dyDescent="0.25">
      <c r="C7894" s="4"/>
      <c r="E7894" s="4"/>
    </row>
    <row r="7895" spans="3:5" x14ac:dyDescent="0.25">
      <c r="C7895" s="4"/>
      <c r="E7895" s="4"/>
    </row>
    <row r="7896" spans="3:5" x14ac:dyDescent="0.25">
      <c r="C7896" s="4"/>
      <c r="E7896" s="4"/>
    </row>
    <row r="7897" spans="3:5" x14ac:dyDescent="0.25">
      <c r="C7897" s="4"/>
      <c r="E7897" s="4"/>
    </row>
    <row r="7898" spans="3:5" x14ac:dyDescent="0.25">
      <c r="C7898" s="4"/>
      <c r="E7898" s="4"/>
    </row>
    <row r="7899" spans="3:5" x14ac:dyDescent="0.25">
      <c r="C7899" s="4"/>
      <c r="E7899" s="4"/>
    </row>
    <row r="7900" spans="3:5" x14ac:dyDescent="0.25">
      <c r="C7900" s="4"/>
      <c r="E7900" s="4"/>
    </row>
    <row r="7901" spans="3:5" x14ac:dyDescent="0.25">
      <c r="C7901" s="4"/>
      <c r="E7901" s="4"/>
    </row>
    <row r="7902" spans="3:5" x14ac:dyDescent="0.25">
      <c r="C7902" s="4"/>
      <c r="E7902" s="4"/>
    </row>
    <row r="7903" spans="3:5" x14ac:dyDescent="0.25">
      <c r="C7903" s="4"/>
      <c r="E7903" s="4"/>
    </row>
    <row r="7904" spans="3:5" x14ac:dyDescent="0.25">
      <c r="C7904" s="4"/>
      <c r="E7904" s="4"/>
    </row>
    <row r="7905" spans="3:5" x14ac:dyDescent="0.25">
      <c r="C7905" s="4"/>
      <c r="E7905" s="4"/>
    </row>
    <row r="7906" spans="3:5" x14ac:dyDescent="0.25">
      <c r="C7906" s="4"/>
      <c r="E7906" s="4"/>
    </row>
    <row r="7907" spans="3:5" x14ac:dyDescent="0.25">
      <c r="C7907" s="4"/>
      <c r="E7907" s="4"/>
    </row>
    <row r="7908" spans="3:5" x14ac:dyDescent="0.25">
      <c r="C7908" s="4"/>
      <c r="E7908" s="4"/>
    </row>
    <row r="7909" spans="3:5" x14ac:dyDescent="0.25">
      <c r="C7909" s="4"/>
      <c r="E7909" s="4"/>
    </row>
    <row r="7910" spans="3:5" x14ac:dyDescent="0.25">
      <c r="C7910" s="4"/>
      <c r="E7910" s="4"/>
    </row>
    <row r="7911" spans="3:5" x14ac:dyDescent="0.25">
      <c r="C7911" s="4"/>
      <c r="E7911" s="4"/>
    </row>
    <row r="7912" spans="3:5" x14ac:dyDescent="0.25">
      <c r="C7912" s="4"/>
      <c r="E7912" s="4"/>
    </row>
    <row r="7913" spans="3:5" x14ac:dyDescent="0.25">
      <c r="C7913" s="4"/>
      <c r="E7913" s="4"/>
    </row>
    <row r="7914" spans="3:5" x14ac:dyDescent="0.25">
      <c r="C7914" s="4"/>
      <c r="E7914" s="4"/>
    </row>
    <row r="7915" spans="3:5" x14ac:dyDescent="0.25">
      <c r="C7915" s="4"/>
      <c r="E7915" s="4"/>
    </row>
    <row r="7916" spans="3:5" x14ac:dyDescent="0.25">
      <c r="C7916" s="4"/>
      <c r="E7916" s="4"/>
    </row>
    <row r="7917" spans="3:5" x14ac:dyDescent="0.25">
      <c r="C7917" s="4"/>
      <c r="E7917" s="4"/>
    </row>
    <row r="7918" spans="3:5" x14ac:dyDescent="0.25">
      <c r="C7918" s="4"/>
      <c r="E7918" s="4"/>
    </row>
    <row r="7919" spans="3:5" x14ac:dyDescent="0.25">
      <c r="C7919" s="4"/>
      <c r="E7919" s="4"/>
    </row>
    <row r="7920" spans="3:5" x14ac:dyDescent="0.25">
      <c r="C7920" s="4"/>
      <c r="E7920" s="4"/>
    </row>
    <row r="7921" spans="3:5" x14ac:dyDescent="0.25">
      <c r="C7921" s="4"/>
      <c r="E7921" s="4"/>
    </row>
    <row r="7922" spans="3:5" x14ac:dyDescent="0.25">
      <c r="C7922" s="4"/>
      <c r="E7922" s="4"/>
    </row>
    <row r="7923" spans="3:5" x14ac:dyDescent="0.25">
      <c r="C7923" s="4"/>
      <c r="E7923" s="4"/>
    </row>
    <row r="7924" spans="3:5" x14ac:dyDescent="0.25">
      <c r="C7924" s="4"/>
      <c r="E7924" s="4"/>
    </row>
    <row r="7925" spans="3:5" x14ac:dyDescent="0.25">
      <c r="C7925" s="4"/>
      <c r="E7925" s="4"/>
    </row>
    <row r="7926" spans="3:5" x14ac:dyDescent="0.25">
      <c r="C7926" s="4"/>
      <c r="E7926" s="4"/>
    </row>
    <row r="7927" spans="3:5" x14ac:dyDescent="0.25">
      <c r="C7927" s="4"/>
      <c r="E7927" s="4"/>
    </row>
    <row r="7928" spans="3:5" x14ac:dyDescent="0.25">
      <c r="C7928" s="4"/>
      <c r="E7928" s="4"/>
    </row>
    <row r="7929" spans="3:5" x14ac:dyDescent="0.25">
      <c r="C7929" s="4"/>
      <c r="E7929" s="4"/>
    </row>
    <row r="7930" spans="3:5" x14ac:dyDescent="0.25">
      <c r="C7930" s="4"/>
      <c r="E7930" s="4"/>
    </row>
    <row r="7931" spans="3:5" x14ac:dyDescent="0.25">
      <c r="C7931" s="4"/>
      <c r="E7931" s="4"/>
    </row>
    <row r="7932" spans="3:5" x14ac:dyDescent="0.25">
      <c r="C7932" s="4"/>
      <c r="E7932" s="4"/>
    </row>
    <row r="7933" spans="3:5" x14ac:dyDescent="0.25">
      <c r="C7933" s="4"/>
      <c r="E7933" s="4"/>
    </row>
    <row r="7934" spans="3:5" x14ac:dyDescent="0.25">
      <c r="C7934" s="4"/>
      <c r="E7934" s="4"/>
    </row>
    <row r="7935" spans="3:5" x14ac:dyDescent="0.25">
      <c r="C7935" s="4"/>
      <c r="E7935" s="4"/>
    </row>
    <row r="7936" spans="3:5" x14ac:dyDescent="0.25">
      <c r="C7936" s="4"/>
      <c r="E7936" s="4"/>
    </row>
    <row r="7937" spans="3:5" x14ac:dyDescent="0.25">
      <c r="C7937" s="4"/>
      <c r="E7937" s="4"/>
    </row>
    <row r="7938" spans="3:5" x14ac:dyDescent="0.25">
      <c r="C7938" s="4"/>
      <c r="E7938" s="4"/>
    </row>
    <row r="7939" spans="3:5" x14ac:dyDescent="0.25">
      <c r="C7939" s="4"/>
      <c r="E7939" s="4"/>
    </row>
    <row r="7940" spans="3:5" x14ac:dyDescent="0.25">
      <c r="C7940" s="4"/>
      <c r="E7940" s="4"/>
    </row>
    <row r="7941" spans="3:5" x14ac:dyDescent="0.25">
      <c r="C7941" s="4"/>
      <c r="E7941" s="4"/>
    </row>
    <row r="7942" spans="3:5" x14ac:dyDescent="0.25">
      <c r="C7942" s="4"/>
      <c r="E7942" s="4"/>
    </row>
    <row r="7943" spans="3:5" x14ac:dyDescent="0.25">
      <c r="C7943" s="4"/>
      <c r="E7943" s="4"/>
    </row>
    <row r="7944" spans="3:5" x14ac:dyDescent="0.25">
      <c r="C7944" s="4"/>
      <c r="E7944" s="4"/>
    </row>
    <row r="7945" spans="3:5" x14ac:dyDescent="0.25">
      <c r="C7945" s="4"/>
      <c r="E7945" s="4"/>
    </row>
    <row r="7946" spans="3:5" x14ac:dyDescent="0.25">
      <c r="C7946" s="4"/>
      <c r="E7946" s="4"/>
    </row>
    <row r="7947" spans="3:5" x14ac:dyDescent="0.25">
      <c r="C7947" s="4"/>
      <c r="E7947" s="4"/>
    </row>
    <row r="7948" spans="3:5" x14ac:dyDescent="0.25">
      <c r="C7948" s="4"/>
      <c r="E7948" s="4"/>
    </row>
    <row r="7949" spans="3:5" x14ac:dyDescent="0.25">
      <c r="C7949" s="4"/>
      <c r="E7949" s="4"/>
    </row>
    <row r="7950" spans="3:5" x14ac:dyDescent="0.25">
      <c r="C7950" s="4"/>
      <c r="E7950" s="4"/>
    </row>
    <row r="7951" spans="3:5" x14ac:dyDescent="0.25">
      <c r="C7951" s="4"/>
      <c r="E7951" s="4"/>
    </row>
    <row r="7952" spans="3:5" x14ac:dyDescent="0.25">
      <c r="C7952" s="4"/>
      <c r="E7952" s="4"/>
    </row>
    <row r="7953" spans="3:5" x14ac:dyDescent="0.25">
      <c r="C7953" s="4"/>
      <c r="E7953" s="4"/>
    </row>
    <row r="7954" spans="3:5" x14ac:dyDescent="0.25">
      <c r="C7954" s="4"/>
      <c r="E7954" s="4"/>
    </row>
    <row r="7955" spans="3:5" x14ac:dyDescent="0.25">
      <c r="C7955" s="4"/>
      <c r="E7955" s="4"/>
    </row>
    <row r="7956" spans="3:5" x14ac:dyDescent="0.25">
      <c r="C7956" s="4"/>
      <c r="E7956" s="4"/>
    </row>
    <row r="7957" spans="3:5" x14ac:dyDescent="0.25">
      <c r="C7957" s="4"/>
      <c r="E7957" s="4"/>
    </row>
    <row r="7958" spans="3:5" x14ac:dyDescent="0.25">
      <c r="C7958" s="4"/>
      <c r="E7958" s="4"/>
    </row>
    <row r="7959" spans="3:5" x14ac:dyDescent="0.25">
      <c r="C7959" s="4"/>
      <c r="E7959" s="4"/>
    </row>
    <row r="7960" spans="3:5" x14ac:dyDescent="0.25">
      <c r="C7960" s="4"/>
      <c r="E7960" s="4"/>
    </row>
    <row r="7961" spans="3:5" x14ac:dyDescent="0.25">
      <c r="C7961" s="4"/>
      <c r="E7961" s="4"/>
    </row>
    <row r="7962" spans="3:5" x14ac:dyDescent="0.25">
      <c r="C7962" s="4"/>
      <c r="E7962" s="4"/>
    </row>
    <row r="7963" spans="3:5" x14ac:dyDescent="0.25">
      <c r="C7963" s="4"/>
      <c r="E7963" s="4"/>
    </row>
    <row r="7964" spans="3:5" x14ac:dyDescent="0.25">
      <c r="C7964" s="4"/>
      <c r="E7964" s="4"/>
    </row>
    <row r="7965" spans="3:5" x14ac:dyDescent="0.25">
      <c r="C7965" s="4"/>
      <c r="E7965" s="4"/>
    </row>
    <row r="7966" spans="3:5" x14ac:dyDescent="0.25">
      <c r="C7966" s="4"/>
      <c r="E7966" s="4"/>
    </row>
    <row r="7967" spans="3:5" x14ac:dyDescent="0.25">
      <c r="C7967" s="4"/>
      <c r="E7967" s="4"/>
    </row>
    <row r="7968" spans="3:5" x14ac:dyDescent="0.25">
      <c r="C7968" s="4"/>
      <c r="E7968" s="4"/>
    </row>
    <row r="7969" spans="3:5" x14ac:dyDescent="0.25">
      <c r="C7969" s="4"/>
      <c r="E7969" s="4"/>
    </row>
    <row r="7970" spans="3:5" x14ac:dyDescent="0.25">
      <c r="C7970" s="4"/>
      <c r="E7970" s="4"/>
    </row>
    <row r="7971" spans="3:5" x14ac:dyDescent="0.25">
      <c r="C7971" s="4"/>
      <c r="E7971" s="4"/>
    </row>
    <row r="7972" spans="3:5" x14ac:dyDescent="0.25">
      <c r="C7972" s="4"/>
      <c r="E7972" s="4"/>
    </row>
    <row r="7973" spans="3:5" x14ac:dyDescent="0.25">
      <c r="C7973" s="4"/>
      <c r="E7973" s="4"/>
    </row>
    <row r="7974" spans="3:5" x14ac:dyDescent="0.25">
      <c r="C7974" s="4"/>
      <c r="E7974" s="4"/>
    </row>
    <row r="7975" spans="3:5" x14ac:dyDescent="0.25">
      <c r="C7975" s="4"/>
      <c r="E7975" s="4"/>
    </row>
    <row r="7976" spans="3:5" x14ac:dyDescent="0.25">
      <c r="C7976" s="4"/>
      <c r="E7976" s="4"/>
    </row>
    <row r="7977" spans="3:5" x14ac:dyDescent="0.25">
      <c r="C7977" s="4"/>
      <c r="E7977" s="4"/>
    </row>
    <row r="7978" spans="3:5" x14ac:dyDescent="0.25">
      <c r="C7978" s="4"/>
      <c r="E7978" s="4"/>
    </row>
    <row r="7979" spans="3:5" x14ac:dyDescent="0.25">
      <c r="C7979" s="4"/>
      <c r="E7979" s="4"/>
    </row>
    <row r="7980" spans="3:5" x14ac:dyDescent="0.25">
      <c r="C7980" s="4"/>
      <c r="E7980" s="4"/>
    </row>
    <row r="7981" spans="3:5" x14ac:dyDescent="0.25">
      <c r="C7981" s="4"/>
      <c r="E7981" s="4"/>
    </row>
    <row r="7982" spans="3:5" x14ac:dyDescent="0.25">
      <c r="C7982" s="4"/>
      <c r="E7982" s="4"/>
    </row>
    <row r="7983" spans="3:5" x14ac:dyDescent="0.25">
      <c r="C7983" s="4"/>
      <c r="E7983" s="4"/>
    </row>
    <row r="7984" spans="3:5" x14ac:dyDescent="0.25">
      <c r="C7984" s="4"/>
      <c r="E7984" s="4"/>
    </row>
    <row r="7985" spans="3:5" x14ac:dyDescent="0.25">
      <c r="C7985" s="4"/>
      <c r="E7985" s="4"/>
    </row>
    <row r="7986" spans="3:5" x14ac:dyDescent="0.25">
      <c r="C7986" s="4"/>
      <c r="E7986" s="4"/>
    </row>
    <row r="7987" spans="3:5" x14ac:dyDescent="0.25">
      <c r="C7987" s="4"/>
      <c r="E7987" s="4"/>
    </row>
    <row r="7988" spans="3:5" x14ac:dyDescent="0.25">
      <c r="C7988" s="4"/>
      <c r="E7988" s="4"/>
    </row>
    <row r="7989" spans="3:5" x14ac:dyDescent="0.25">
      <c r="C7989" s="4"/>
      <c r="E7989" s="4"/>
    </row>
    <row r="7990" spans="3:5" x14ac:dyDescent="0.25">
      <c r="C7990" s="4"/>
      <c r="E7990" s="4"/>
    </row>
    <row r="7991" spans="3:5" x14ac:dyDescent="0.25">
      <c r="C7991" s="4"/>
      <c r="E7991" s="4"/>
    </row>
    <row r="7992" spans="3:5" x14ac:dyDescent="0.25">
      <c r="C7992" s="4"/>
      <c r="E7992" s="4"/>
    </row>
    <row r="7993" spans="3:5" x14ac:dyDescent="0.25">
      <c r="C7993" s="4"/>
      <c r="E7993" s="4"/>
    </row>
    <row r="7994" spans="3:5" x14ac:dyDescent="0.25">
      <c r="C7994" s="4"/>
      <c r="E7994" s="4"/>
    </row>
    <row r="7995" spans="3:5" x14ac:dyDescent="0.25">
      <c r="C7995" s="4"/>
      <c r="E7995" s="4"/>
    </row>
    <row r="7996" spans="3:5" x14ac:dyDescent="0.25">
      <c r="C7996" s="4"/>
      <c r="E7996" s="4"/>
    </row>
    <row r="7997" spans="3:5" x14ac:dyDescent="0.25">
      <c r="C7997" s="4"/>
      <c r="E7997" s="4"/>
    </row>
    <row r="7998" spans="3:5" x14ac:dyDescent="0.25">
      <c r="C7998" s="4"/>
      <c r="E7998" s="4"/>
    </row>
    <row r="7999" spans="3:5" x14ac:dyDescent="0.25">
      <c r="C7999" s="4"/>
      <c r="E7999" s="4"/>
    </row>
    <row r="8000" spans="3:5" x14ac:dyDescent="0.25">
      <c r="C8000" s="4"/>
      <c r="E8000" s="4"/>
    </row>
    <row r="8001" spans="3:5" x14ac:dyDescent="0.25">
      <c r="C8001" s="4"/>
      <c r="E8001" s="4"/>
    </row>
    <row r="8002" spans="3:5" x14ac:dyDescent="0.25">
      <c r="C8002" s="4"/>
      <c r="E8002" s="4"/>
    </row>
    <row r="8003" spans="3:5" x14ac:dyDescent="0.25">
      <c r="C8003" s="4"/>
      <c r="E8003" s="4"/>
    </row>
    <row r="8004" spans="3:5" x14ac:dyDescent="0.25">
      <c r="C8004" s="4"/>
      <c r="E8004" s="4"/>
    </row>
    <row r="8005" spans="3:5" x14ac:dyDescent="0.25">
      <c r="C8005" s="4"/>
      <c r="E8005" s="4"/>
    </row>
    <row r="8006" spans="3:5" x14ac:dyDescent="0.25">
      <c r="C8006" s="4"/>
      <c r="E8006" s="4"/>
    </row>
    <row r="8007" spans="3:5" x14ac:dyDescent="0.25">
      <c r="C8007" s="4"/>
      <c r="E8007" s="4"/>
    </row>
    <row r="8008" spans="3:5" x14ac:dyDescent="0.25">
      <c r="C8008" s="4"/>
      <c r="E8008" s="4"/>
    </row>
    <row r="8009" spans="3:5" x14ac:dyDescent="0.25">
      <c r="C8009" s="4"/>
      <c r="E8009" s="4"/>
    </row>
    <row r="8010" spans="3:5" x14ac:dyDescent="0.25">
      <c r="C8010" s="4"/>
      <c r="E8010" s="4"/>
    </row>
    <row r="8011" spans="3:5" x14ac:dyDescent="0.25">
      <c r="C8011" s="4"/>
      <c r="E8011" s="4"/>
    </row>
    <row r="8012" spans="3:5" x14ac:dyDescent="0.25">
      <c r="C8012" s="4"/>
      <c r="E8012" s="4"/>
    </row>
    <row r="8013" spans="3:5" x14ac:dyDescent="0.25">
      <c r="C8013" s="4"/>
      <c r="E8013" s="4"/>
    </row>
    <row r="8014" spans="3:5" x14ac:dyDescent="0.25">
      <c r="C8014" s="4"/>
      <c r="E8014" s="4"/>
    </row>
    <row r="8015" spans="3:5" x14ac:dyDescent="0.25">
      <c r="C8015" s="4"/>
      <c r="E8015" s="4"/>
    </row>
    <row r="8016" spans="3:5" x14ac:dyDescent="0.25">
      <c r="C8016" s="4"/>
      <c r="E8016" s="4"/>
    </row>
    <row r="8017" spans="3:5" x14ac:dyDescent="0.25">
      <c r="C8017" s="4"/>
      <c r="E8017" s="4"/>
    </row>
    <row r="8018" spans="3:5" x14ac:dyDescent="0.25">
      <c r="C8018" s="4"/>
      <c r="E8018" s="4"/>
    </row>
    <row r="8019" spans="3:5" x14ac:dyDescent="0.25">
      <c r="C8019" s="4"/>
      <c r="E8019" s="4"/>
    </row>
    <row r="8020" spans="3:5" x14ac:dyDescent="0.25">
      <c r="C8020" s="4"/>
      <c r="E8020" s="4"/>
    </row>
    <row r="8021" spans="3:5" x14ac:dyDescent="0.25">
      <c r="C8021" s="4"/>
      <c r="E8021" s="4"/>
    </row>
    <row r="8022" spans="3:5" x14ac:dyDescent="0.25">
      <c r="C8022" s="4"/>
      <c r="E8022" s="4"/>
    </row>
    <row r="8023" spans="3:5" x14ac:dyDescent="0.25">
      <c r="C8023" s="4"/>
      <c r="E8023" s="4"/>
    </row>
    <row r="8024" spans="3:5" x14ac:dyDescent="0.25">
      <c r="C8024" s="4"/>
      <c r="E8024" s="4"/>
    </row>
    <row r="8025" spans="3:5" x14ac:dyDescent="0.25">
      <c r="C8025" s="4"/>
      <c r="E8025" s="4"/>
    </row>
    <row r="8026" spans="3:5" x14ac:dyDescent="0.25">
      <c r="C8026" s="4"/>
      <c r="E8026" s="4"/>
    </row>
    <row r="8027" spans="3:5" x14ac:dyDescent="0.25">
      <c r="C8027" s="4"/>
      <c r="E8027" s="4"/>
    </row>
    <row r="8028" spans="3:5" x14ac:dyDescent="0.25">
      <c r="C8028" s="4"/>
      <c r="E8028" s="4"/>
    </row>
    <row r="8029" spans="3:5" x14ac:dyDescent="0.25">
      <c r="C8029" s="4"/>
      <c r="E8029" s="4"/>
    </row>
    <row r="8030" spans="3:5" x14ac:dyDescent="0.25">
      <c r="C8030" s="4"/>
      <c r="E8030" s="4"/>
    </row>
    <row r="8031" spans="3:5" x14ac:dyDescent="0.25">
      <c r="C8031" s="4"/>
      <c r="E8031" s="4"/>
    </row>
    <row r="8032" spans="3:5" x14ac:dyDescent="0.25">
      <c r="C8032" s="4"/>
      <c r="E8032" s="4"/>
    </row>
    <row r="8033" spans="3:5" x14ac:dyDescent="0.25">
      <c r="C8033" s="4"/>
      <c r="E8033" s="4"/>
    </row>
    <row r="8034" spans="3:5" x14ac:dyDescent="0.25">
      <c r="C8034" s="4"/>
      <c r="E8034" s="4"/>
    </row>
    <row r="8035" spans="3:5" x14ac:dyDescent="0.25">
      <c r="C8035" s="4"/>
      <c r="E8035" s="4"/>
    </row>
    <row r="8036" spans="3:5" x14ac:dyDescent="0.25">
      <c r="C8036" s="4"/>
      <c r="E8036" s="4"/>
    </row>
    <row r="8037" spans="3:5" x14ac:dyDescent="0.25">
      <c r="C8037" s="4"/>
      <c r="E8037" s="4"/>
    </row>
    <row r="8038" spans="3:5" x14ac:dyDescent="0.25">
      <c r="C8038" s="4"/>
      <c r="E8038" s="4"/>
    </row>
    <row r="8039" spans="3:5" x14ac:dyDescent="0.25">
      <c r="C8039" s="4"/>
      <c r="E8039" s="4"/>
    </row>
    <row r="8040" spans="3:5" x14ac:dyDescent="0.25">
      <c r="C8040" s="4"/>
      <c r="E8040" s="4"/>
    </row>
    <row r="8041" spans="3:5" x14ac:dyDescent="0.25">
      <c r="C8041" s="4"/>
      <c r="E8041" s="4"/>
    </row>
    <row r="8042" spans="3:5" x14ac:dyDescent="0.25">
      <c r="C8042" s="4"/>
      <c r="E8042" s="4"/>
    </row>
    <row r="8043" spans="3:5" x14ac:dyDescent="0.25">
      <c r="C8043" s="4"/>
      <c r="E8043" s="4"/>
    </row>
    <row r="8044" spans="3:5" x14ac:dyDescent="0.25">
      <c r="C8044" s="4"/>
      <c r="E8044" s="4"/>
    </row>
    <row r="8045" spans="3:5" x14ac:dyDescent="0.25">
      <c r="C8045" s="4"/>
      <c r="E8045" s="4"/>
    </row>
    <row r="8046" spans="3:5" x14ac:dyDescent="0.25">
      <c r="C8046" s="4"/>
      <c r="E8046" s="4"/>
    </row>
    <row r="8047" spans="3:5" x14ac:dyDescent="0.25">
      <c r="C8047" s="4"/>
      <c r="E8047" s="4"/>
    </row>
    <row r="8048" spans="3:5" x14ac:dyDescent="0.25">
      <c r="C8048" s="4"/>
      <c r="E8048" s="4"/>
    </row>
    <row r="8049" spans="3:5" x14ac:dyDescent="0.25">
      <c r="C8049" s="4"/>
      <c r="E8049" s="4"/>
    </row>
    <row r="8050" spans="3:5" x14ac:dyDescent="0.25">
      <c r="C8050" s="4"/>
      <c r="E8050" s="4"/>
    </row>
    <row r="8051" spans="3:5" x14ac:dyDescent="0.25">
      <c r="C8051" s="4"/>
      <c r="E8051" s="4"/>
    </row>
    <row r="8052" spans="3:5" x14ac:dyDescent="0.25">
      <c r="C8052" s="4"/>
      <c r="E8052" s="4"/>
    </row>
    <row r="8053" spans="3:5" x14ac:dyDescent="0.25">
      <c r="C8053" s="4"/>
      <c r="E8053" s="4"/>
    </row>
    <row r="8054" spans="3:5" x14ac:dyDescent="0.25">
      <c r="C8054" s="4"/>
      <c r="E8054" s="4"/>
    </row>
    <row r="8055" spans="3:5" x14ac:dyDescent="0.25">
      <c r="C8055" s="4"/>
      <c r="E8055" s="4"/>
    </row>
    <row r="8056" spans="3:5" x14ac:dyDescent="0.25">
      <c r="C8056" s="4"/>
      <c r="E8056" s="4"/>
    </row>
    <row r="8057" spans="3:5" x14ac:dyDescent="0.25">
      <c r="C8057" s="4"/>
      <c r="E8057" s="4"/>
    </row>
    <row r="8058" spans="3:5" x14ac:dyDescent="0.25">
      <c r="C8058" s="4"/>
      <c r="E8058" s="4"/>
    </row>
    <row r="8059" spans="3:5" x14ac:dyDescent="0.25">
      <c r="C8059" s="4"/>
      <c r="E8059" s="4"/>
    </row>
    <row r="8060" spans="3:5" x14ac:dyDescent="0.25">
      <c r="C8060" s="4"/>
      <c r="E8060" s="4"/>
    </row>
    <row r="8061" spans="3:5" x14ac:dyDescent="0.25">
      <c r="C8061" s="4"/>
      <c r="E8061" s="4"/>
    </row>
    <row r="8062" spans="3:5" x14ac:dyDescent="0.25">
      <c r="C8062" s="4"/>
      <c r="E8062" s="4"/>
    </row>
    <row r="8063" spans="3:5" x14ac:dyDescent="0.25">
      <c r="C8063" s="4"/>
      <c r="E8063" s="4"/>
    </row>
    <row r="8064" spans="3:5" x14ac:dyDescent="0.25">
      <c r="C8064" s="4"/>
      <c r="E8064" s="4"/>
    </row>
    <row r="8065" spans="3:5" x14ac:dyDescent="0.25">
      <c r="C8065" s="4"/>
      <c r="E8065" s="4"/>
    </row>
    <row r="8066" spans="3:5" x14ac:dyDescent="0.25">
      <c r="C8066" s="4"/>
      <c r="E8066" s="4"/>
    </row>
    <row r="8067" spans="3:5" x14ac:dyDescent="0.25">
      <c r="C8067" s="4"/>
      <c r="E8067" s="4"/>
    </row>
    <row r="8068" spans="3:5" x14ac:dyDescent="0.25">
      <c r="C8068" s="4"/>
      <c r="E8068" s="4"/>
    </row>
    <row r="8069" spans="3:5" x14ac:dyDescent="0.25">
      <c r="C8069" s="4"/>
      <c r="E8069" s="4"/>
    </row>
    <row r="8070" spans="3:5" x14ac:dyDescent="0.25">
      <c r="C8070" s="4"/>
      <c r="E8070" s="4"/>
    </row>
    <row r="8071" spans="3:5" x14ac:dyDescent="0.25">
      <c r="C8071" s="4"/>
      <c r="E8071" s="4"/>
    </row>
    <row r="8072" spans="3:5" x14ac:dyDescent="0.25">
      <c r="C8072" s="4"/>
      <c r="E8072" s="4"/>
    </row>
    <row r="8073" spans="3:5" x14ac:dyDescent="0.25">
      <c r="C8073" s="4"/>
      <c r="E8073" s="4"/>
    </row>
    <row r="8074" spans="3:5" x14ac:dyDescent="0.25">
      <c r="C8074" s="4"/>
      <c r="E8074" s="4"/>
    </row>
    <row r="8075" spans="3:5" x14ac:dyDescent="0.25">
      <c r="C8075" s="4"/>
      <c r="E8075" s="4"/>
    </row>
    <row r="8076" spans="3:5" x14ac:dyDescent="0.25">
      <c r="C8076" s="4"/>
      <c r="E8076" s="4"/>
    </row>
    <row r="8077" spans="3:5" x14ac:dyDescent="0.25">
      <c r="C8077" s="4"/>
      <c r="E8077" s="4"/>
    </row>
    <row r="8078" spans="3:5" x14ac:dyDescent="0.25">
      <c r="C8078" s="4"/>
      <c r="E8078" s="4"/>
    </row>
    <row r="8079" spans="3:5" x14ac:dyDescent="0.25">
      <c r="C8079" s="4"/>
      <c r="E8079" s="4"/>
    </row>
    <row r="8080" spans="3:5" x14ac:dyDescent="0.25">
      <c r="C8080" s="4"/>
      <c r="E8080" s="4"/>
    </row>
    <row r="8081" spans="3:5" x14ac:dyDescent="0.25">
      <c r="C8081" s="4"/>
      <c r="E8081" s="4"/>
    </row>
    <row r="8082" spans="3:5" x14ac:dyDescent="0.25">
      <c r="C8082" s="4"/>
      <c r="E8082" s="4"/>
    </row>
    <row r="8083" spans="3:5" x14ac:dyDescent="0.25">
      <c r="C8083" s="4"/>
      <c r="E8083" s="4"/>
    </row>
    <row r="8084" spans="3:5" x14ac:dyDescent="0.25">
      <c r="C8084" s="4"/>
      <c r="E8084" s="4"/>
    </row>
    <row r="8085" spans="3:5" x14ac:dyDescent="0.25">
      <c r="C8085" s="4"/>
      <c r="E8085" s="4"/>
    </row>
    <row r="8086" spans="3:5" x14ac:dyDescent="0.25">
      <c r="C8086" s="4"/>
      <c r="E8086" s="4"/>
    </row>
    <row r="8087" spans="3:5" x14ac:dyDescent="0.25">
      <c r="C8087" s="4"/>
      <c r="E8087" s="4"/>
    </row>
    <row r="8088" spans="3:5" x14ac:dyDescent="0.25">
      <c r="C8088" s="4"/>
      <c r="E8088" s="4"/>
    </row>
    <row r="8089" spans="3:5" x14ac:dyDescent="0.25">
      <c r="C8089" s="4"/>
      <c r="E8089" s="4"/>
    </row>
    <row r="8090" spans="3:5" x14ac:dyDescent="0.25">
      <c r="C8090" s="4"/>
      <c r="E8090" s="4"/>
    </row>
    <row r="8091" spans="3:5" x14ac:dyDescent="0.25">
      <c r="C8091" s="4"/>
      <c r="E8091" s="4"/>
    </row>
    <row r="8092" spans="3:5" x14ac:dyDescent="0.25">
      <c r="C8092" s="4"/>
      <c r="E8092" s="4"/>
    </row>
    <row r="8093" spans="3:5" x14ac:dyDescent="0.25">
      <c r="C8093" s="4"/>
      <c r="E8093" s="4"/>
    </row>
    <row r="8094" spans="3:5" x14ac:dyDescent="0.25">
      <c r="C8094" s="4"/>
      <c r="E8094" s="4"/>
    </row>
    <row r="8095" spans="3:5" x14ac:dyDescent="0.25">
      <c r="C8095" s="4"/>
      <c r="E8095" s="4"/>
    </row>
    <row r="8096" spans="3:5" x14ac:dyDescent="0.25">
      <c r="C8096" s="4"/>
      <c r="E8096" s="4"/>
    </row>
    <row r="8097" spans="3:5" x14ac:dyDescent="0.25">
      <c r="C8097" s="4"/>
      <c r="E8097" s="4"/>
    </row>
    <row r="8098" spans="3:5" x14ac:dyDescent="0.25">
      <c r="C8098" s="4"/>
      <c r="E8098" s="4"/>
    </row>
    <row r="8099" spans="3:5" x14ac:dyDescent="0.25">
      <c r="C8099" s="4"/>
      <c r="E8099" s="4"/>
    </row>
    <row r="8100" spans="3:5" x14ac:dyDescent="0.25">
      <c r="C8100" s="4"/>
      <c r="E8100" s="4"/>
    </row>
    <row r="8101" spans="3:5" x14ac:dyDescent="0.25">
      <c r="C8101" s="4"/>
      <c r="E8101" s="4"/>
    </row>
    <row r="8102" spans="3:5" x14ac:dyDescent="0.25">
      <c r="C8102" s="4"/>
      <c r="E8102" s="4"/>
    </row>
    <row r="8103" spans="3:5" x14ac:dyDescent="0.25">
      <c r="C8103" s="4"/>
      <c r="E8103" s="4"/>
    </row>
    <row r="8104" spans="3:5" x14ac:dyDescent="0.25">
      <c r="C8104" s="4"/>
      <c r="E8104" s="4"/>
    </row>
    <row r="8105" spans="3:5" x14ac:dyDescent="0.25">
      <c r="C8105" s="4"/>
      <c r="E8105" s="4"/>
    </row>
    <row r="8106" spans="3:5" x14ac:dyDescent="0.25">
      <c r="C8106" s="4"/>
      <c r="E8106" s="4"/>
    </row>
    <row r="8107" spans="3:5" x14ac:dyDescent="0.25">
      <c r="C8107" s="4"/>
      <c r="E8107" s="4"/>
    </row>
    <row r="8108" spans="3:5" x14ac:dyDescent="0.25">
      <c r="C8108" s="4"/>
      <c r="E8108" s="4"/>
    </row>
    <row r="8109" spans="3:5" x14ac:dyDescent="0.25">
      <c r="C8109" s="4"/>
      <c r="E8109" s="4"/>
    </row>
    <row r="8110" spans="3:5" x14ac:dyDescent="0.25">
      <c r="C8110" s="4"/>
      <c r="E8110" s="4"/>
    </row>
    <row r="8111" spans="3:5" x14ac:dyDescent="0.25">
      <c r="C8111" s="4"/>
      <c r="E8111" s="4"/>
    </row>
    <row r="8112" spans="3:5" x14ac:dyDescent="0.25">
      <c r="C8112" s="4"/>
      <c r="E8112" s="4"/>
    </row>
    <row r="8113" spans="3:5" x14ac:dyDescent="0.25">
      <c r="C8113" s="4"/>
      <c r="E8113" s="4"/>
    </row>
    <row r="8114" spans="3:5" x14ac:dyDescent="0.25">
      <c r="C8114" s="4"/>
      <c r="E8114" s="4"/>
    </row>
    <row r="8115" spans="3:5" x14ac:dyDescent="0.25">
      <c r="C8115" s="4"/>
      <c r="E8115" s="4"/>
    </row>
    <row r="8116" spans="3:5" x14ac:dyDescent="0.25">
      <c r="C8116" s="4"/>
      <c r="E8116" s="4"/>
    </row>
    <row r="8117" spans="3:5" x14ac:dyDescent="0.25">
      <c r="C8117" s="4"/>
      <c r="E8117" s="4"/>
    </row>
    <row r="8118" spans="3:5" x14ac:dyDescent="0.25">
      <c r="C8118" s="4"/>
      <c r="E8118" s="4"/>
    </row>
    <row r="8119" spans="3:5" x14ac:dyDescent="0.25">
      <c r="C8119" s="4"/>
      <c r="E8119" s="4"/>
    </row>
    <row r="8120" spans="3:5" x14ac:dyDescent="0.25">
      <c r="C8120" s="4"/>
      <c r="E8120" s="4"/>
    </row>
    <row r="8121" spans="3:5" x14ac:dyDescent="0.25">
      <c r="C8121" s="4"/>
      <c r="E8121" s="4"/>
    </row>
    <row r="8122" spans="3:5" x14ac:dyDescent="0.25">
      <c r="C8122" s="4"/>
      <c r="E8122" s="4"/>
    </row>
    <row r="8123" spans="3:5" x14ac:dyDescent="0.25">
      <c r="C8123" s="4"/>
      <c r="E8123" s="4"/>
    </row>
    <row r="8124" spans="3:5" x14ac:dyDescent="0.25">
      <c r="C8124" s="4"/>
      <c r="E8124" s="4"/>
    </row>
    <row r="8125" spans="3:5" x14ac:dyDescent="0.25">
      <c r="C8125" s="4"/>
      <c r="E8125" s="4"/>
    </row>
    <row r="8126" spans="3:5" x14ac:dyDescent="0.25">
      <c r="C8126" s="4"/>
      <c r="E8126" s="4"/>
    </row>
    <row r="8127" spans="3:5" x14ac:dyDescent="0.25">
      <c r="C8127" s="4"/>
      <c r="E8127" s="4"/>
    </row>
    <row r="8128" spans="3:5" x14ac:dyDescent="0.25">
      <c r="C8128" s="4"/>
      <c r="E8128" s="4"/>
    </row>
    <row r="8129" spans="3:5" x14ac:dyDescent="0.25">
      <c r="C8129" s="4"/>
      <c r="E8129" s="4"/>
    </row>
    <row r="8130" spans="3:5" x14ac:dyDescent="0.25">
      <c r="C8130" s="4"/>
      <c r="E8130" s="4"/>
    </row>
    <row r="8131" spans="3:5" x14ac:dyDescent="0.25">
      <c r="C8131" s="4"/>
      <c r="E8131" s="4"/>
    </row>
    <row r="8132" spans="3:5" x14ac:dyDescent="0.25">
      <c r="C8132" s="4"/>
      <c r="E8132" s="4"/>
    </row>
    <row r="8133" spans="3:5" x14ac:dyDescent="0.25">
      <c r="C8133" s="4"/>
      <c r="E8133" s="4"/>
    </row>
    <row r="8134" spans="3:5" x14ac:dyDescent="0.25">
      <c r="C8134" s="4"/>
      <c r="E8134" s="4"/>
    </row>
    <row r="8135" spans="3:5" x14ac:dyDescent="0.25">
      <c r="C8135" s="4"/>
      <c r="E8135" s="4"/>
    </row>
    <row r="8136" spans="3:5" x14ac:dyDescent="0.25">
      <c r="C8136" s="4"/>
      <c r="E8136" s="4"/>
    </row>
    <row r="8137" spans="3:5" x14ac:dyDescent="0.25">
      <c r="C8137" s="4"/>
      <c r="E8137" s="4"/>
    </row>
    <row r="8138" spans="3:5" x14ac:dyDescent="0.25">
      <c r="C8138" s="4"/>
      <c r="E8138" s="4"/>
    </row>
    <row r="8139" spans="3:5" x14ac:dyDescent="0.25">
      <c r="C8139" s="4"/>
      <c r="E8139" s="4"/>
    </row>
    <row r="8140" spans="3:5" x14ac:dyDescent="0.25">
      <c r="C8140" s="4"/>
      <c r="E8140" s="4"/>
    </row>
    <row r="8141" spans="3:5" x14ac:dyDescent="0.25">
      <c r="C8141" s="4"/>
      <c r="E8141" s="4"/>
    </row>
    <row r="8142" spans="3:5" x14ac:dyDescent="0.25">
      <c r="C8142" s="4"/>
      <c r="E8142" s="4"/>
    </row>
    <row r="8143" spans="3:5" x14ac:dyDescent="0.25">
      <c r="C8143" s="4"/>
      <c r="E8143" s="4"/>
    </row>
    <row r="8144" spans="3:5" x14ac:dyDescent="0.25">
      <c r="C8144" s="4"/>
      <c r="E8144" s="4"/>
    </row>
    <row r="8145" spans="3:5" x14ac:dyDescent="0.25">
      <c r="C8145" s="4"/>
      <c r="E8145" s="4"/>
    </row>
    <row r="8146" spans="3:5" x14ac:dyDescent="0.25">
      <c r="C8146" s="4"/>
      <c r="E8146" s="4"/>
    </row>
    <row r="8147" spans="3:5" x14ac:dyDescent="0.25">
      <c r="C8147" s="4"/>
      <c r="E8147" s="4"/>
    </row>
    <row r="8148" spans="3:5" x14ac:dyDescent="0.25">
      <c r="C8148" s="4"/>
      <c r="E8148" s="4"/>
    </row>
    <row r="8149" spans="3:5" x14ac:dyDescent="0.25">
      <c r="C8149" s="4"/>
      <c r="E8149" s="4"/>
    </row>
    <row r="8150" spans="3:5" x14ac:dyDescent="0.25">
      <c r="C8150" s="4"/>
      <c r="E8150" s="4"/>
    </row>
    <row r="8151" spans="3:5" x14ac:dyDescent="0.25">
      <c r="C8151" s="4"/>
      <c r="E8151" s="4"/>
    </row>
    <row r="8152" spans="3:5" x14ac:dyDescent="0.25">
      <c r="C8152" s="4"/>
      <c r="E8152" s="4"/>
    </row>
    <row r="8153" spans="3:5" x14ac:dyDescent="0.25">
      <c r="C8153" s="4"/>
      <c r="E8153" s="4"/>
    </row>
    <row r="8154" spans="3:5" x14ac:dyDescent="0.25">
      <c r="C8154" s="4"/>
      <c r="E8154" s="4"/>
    </row>
    <row r="8155" spans="3:5" x14ac:dyDescent="0.25">
      <c r="C8155" s="4"/>
      <c r="E8155" s="4"/>
    </row>
    <row r="8156" spans="3:5" x14ac:dyDescent="0.25">
      <c r="C8156" s="4"/>
      <c r="E8156" s="4"/>
    </row>
    <row r="8157" spans="3:5" x14ac:dyDescent="0.25">
      <c r="C8157" s="4"/>
      <c r="E8157" s="4"/>
    </row>
    <row r="8158" spans="3:5" x14ac:dyDescent="0.25">
      <c r="C8158" s="4"/>
      <c r="E8158" s="4"/>
    </row>
    <row r="8159" spans="3:5" x14ac:dyDescent="0.25">
      <c r="C8159" s="4"/>
      <c r="E8159" s="4"/>
    </row>
    <row r="8160" spans="3:5" x14ac:dyDescent="0.25">
      <c r="C8160" s="4"/>
      <c r="E8160" s="4"/>
    </row>
    <row r="8161" spans="3:5" x14ac:dyDescent="0.25">
      <c r="C8161" s="4"/>
      <c r="E8161" s="4"/>
    </row>
    <row r="8162" spans="3:5" x14ac:dyDescent="0.25">
      <c r="C8162" s="4"/>
      <c r="E8162" s="4"/>
    </row>
    <row r="8163" spans="3:5" x14ac:dyDescent="0.25">
      <c r="C8163" s="4"/>
      <c r="E8163" s="4"/>
    </row>
    <row r="8164" spans="3:5" x14ac:dyDescent="0.25">
      <c r="C8164" s="4"/>
      <c r="E8164" s="4"/>
    </row>
    <row r="8165" spans="3:5" x14ac:dyDescent="0.25">
      <c r="C8165" s="4"/>
      <c r="E8165" s="4"/>
    </row>
    <row r="8166" spans="3:5" x14ac:dyDescent="0.25">
      <c r="C8166" s="4"/>
      <c r="E8166" s="4"/>
    </row>
    <row r="8167" spans="3:5" x14ac:dyDescent="0.25">
      <c r="C8167" s="4"/>
      <c r="E8167" s="4"/>
    </row>
    <row r="8168" spans="3:5" x14ac:dyDescent="0.25">
      <c r="C8168" s="4"/>
      <c r="E8168" s="4"/>
    </row>
    <row r="8169" spans="3:5" x14ac:dyDescent="0.25">
      <c r="C8169" s="4"/>
      <c r="E8169" s="4"/>
    </row>
    <row r="8170" spans="3:5" x14ac:dyDescent="0.25">
      <c r="C8170" s="4"/>
      <c r="E8170" s="4"/>
    </row>
    <row r="8171" spans="3:5" x14ac:dyDescent="0.25">
      <c r="C8171" s="4"/>
      <c r="E8171" s="4"/>
    </row>
    <row r="8172" spans="3:5" x14ac:dyDescent="0.25">
      <c r="C8172" s="4"/>
      <c r="E8172" s="4"/>
    </row>
    <row r="8173" spans="3:5" x14ac:dyDescent="0.25">
      <c r="C8173" s="4"/>
      <c r="E8173" s="4"/>
    </row>
    <row r="8174" spans="3:5" x14ac:dyDescent="0.25">
      <c r="C8174" s="4"/>
      <c r="E8174" s="4"/>
    </row>
    <row r="8175" spans="3:5" x14ac:dyDescent="0.25">
      <c r="C8175" s="4"/>
      <c r="E8175" s="4"/>
    </row>
    <row r="8176" spans="3:5" x14ac:dyDescent="0.25">
      <c r="C8176" s="4"/>
      <c r="E8176" s="4"/>
    </row>
    <row r="8177" spans="3:5" x14ac:dyDescent="0.25">
      <c r="C8177" s="4"/>
      <c r="E8177" s="4"/>
    </row>
    <row r="8178" spans="3:5" x14ac:dyDescent="0.25">
      <c r="C8178" s="4"/>
      <c r="E8178" s="4"/>
    </row>
    <row r="8179" spans="3:5" x14ac:dyDescent="0.25">
      <c r="C8179" s="4"/>
      <c r="E8179" s="4"/>
    </row>
    <row r="8180" spans="3:5" x14ac:dyDescent="0.25">
      <c r="C8180" s="4"/>
      <c r="E8180" s="4"/>
    </row>
    <row r="8181" spans="3:5" x14ac:dyDescent="0.25">
      <c r="C8181" s="4"/>
      <c r="E8181" s="4"/>
    </row>
    <row r="8182" spans="3:5" x14ac:dyDescent="0.25">
      <c r="C8182" s="4"/>
      <c r="E8182" s="4"/>
    </row>
    <row r="8183" spans="3:5" x14ac:dyDescent="0.25">
      <c r="C8183" s="4"/>
      <c r="E8183" s="4"/>
    </row>
    <row r="8184" spans="3:5" x14ac:dyDescent="0.25">
      <c r="C8184" s="4"/>
      <c r="E8184" s="4"/>
    </row>
    <row r="8185" spans="3:5" x14ac:dyDescent="0.25">
      <c r="C8185" s="4"/>
      <c r="E8185" s="4"/>
    </row>
    <row r="8186" spans="3:5" x14ac:dyDescent="0.25">
      <c r="C8186" s="4"/>
      <c r="E8186" s="4"/>
    </row>
    <row r="8187" spans="3:5" x14ac:dyDescent="0.25">
      <c r="C8187" s="4"/>
      <c r="E8187" s="4"/>
    </row>
    <row r="8188" spans="3:5" x14ac:dyDescent="0.25">
      <c r="C8188" s="4"/>
      <c r="E8188" s="4"/>
    </row>
    <row r="8189" spans="3:5" x14ac:dyDescent="0.25">
      <c r="C8189" s="4"/>
      <c r="E8189" s="4"/>
    </row>
    <row r="8190" spans="3:5" x14ac:dyDescent="0.25">
      <c r="C8190" s="4"/>
      <c r="E8190" s="4"/>
    </row>
    <row r="8191" spans="3:5" x14ac:dyDescent="0.25">
      <c r="C8191" s="4"/>
      <c r="E8191" s="4"/>
    </row>
    <row r="8192" spans="3:5" x14ac:dyDescent="0.25">
      <c r="C8192" s="4"/>
      <c r="E8192" s="4"/>
    </row>
    <row r="8193" spans="3:5" x14ac:dyDescent="0.25">
      <c r="C8193" s="4"/>
      <c r="E8193" s="4"/>
    </row>
    <row r="8194" spans="3:5" x14ac:dyDescent="0.25">
      <c r="C8194" s="4"/>
      <c r="E8194" s="4"/>
    </row>
    <row r="8195" spans="3:5" x14ac:dyDescent="0.25">
      <c r="C8195" s="4"/>
      <c r="E8195" s="4"/>
    </row>
    <row r="8196" spans="3:5" x14ac:dyDescent="0.25">
      <c r="C8196" s="4"/>
      <c r="E8196" s="4"/>
    </row>
    <row r="8197" spans="3:5" x14ac:dyDescent="0.25">
      <c r="C8197" s="4"/>
      <c r="E8197" s="4"/>
    </row>
    <row r="8198" spans="3:5" x14ac:dyDescent="0.25">
      <c r="C8198" s="4"/>
      <c r="E8198" s="4"/>
    </row>
    <row r="8199" spans="3:5" x14ac:dyDescent="0.25">
      <c r="C8199" s="4"/>
      <c r="E8199" s="4"/>
    </row>
    <row r="8200" spans="3:5" x14ac:dyDescent="0.25">
      <c r="C8200" s="4"/>
      <c r="E8200" s="4"/>
    </row>
    <row r="8201" spans="3:5" x14ac:dyDescent="0.25">
      <c r="C8201" s="4"/>
      <c r="E8201" s="4"/>
    </row>
    <row r="8202" spans="3:5" x14ac:dyDescent="0.25">
      <c r="C8202" s="4"/>
      <c r="E8202" s="4"/>
    </row>
    <row r="8203" spans="3:5" x14ac:dyDescent="0.25">
      <c r="C8203" s="4"/>
      <c r="E8203" s="4"/>
    </row>
    <row r="8204" spans="3:5" x14ac:dyDescent="0.25">
      <c r="C8204" s="4"/>
      <c r="E8204" s="4"/>
    </row>
    <row r="8205" spans="3:5" x14ac:dyDescent="0.25">
      <c r="C8205" s="4"/>
      <c r="E8205" s="4"/>
    </row>
    <row r="8206" spans="3:5" x14ac:dyDescent="0.25">
      <c r="C8206" s="4"/>
      <c r="E8206" s="4"/>
    </row>
    <row r="8207" spans="3:5" x14ac:dyDescent="0.25">
      <c r="C8207" s="4"/>
      <c r="E8207" s="4"/>
    </row>
    <row r="8208" spans="3:5" x14ac:dyDescent="0.25">
      <c r="C8208" s="4"/>
      <c r="E8208" s="4"/>
    </row>
    <row r="8209" spans="3:5" x14ac:dyDescent="0.25">
      <c r="C8209" s="4"/>
      <c r="E8209" s="4"/>
    </row>
    <row r="8210" spans="3:5" x14ac:dyDescent="0.25">
      <c r="C8210" s="4"/>
      <c r="E8210" s="4"/>
    </row>
    <row r="8211" spans="3:5" x14ac:dyDescent="0.25">
      <c r="C8211" s="4"/>
      <c r="E8211" s="4"/>
    </row>
    <row r="8212" spans="3:5" x14ac:dyDescent="0.25">
      <c r="C8212" s="4"/>
      <c r="E8212" s="4"/>
    </row>
    <row r="8213" spans="3:5" x14ac:dyDescent="0.25">
      <c r="C8213" s="4"/>
      <c r="E8213" s="4"/>
    </row>
    <row r="8214" spans="3:5" x14ac:dyDescent="0.25">
      <c r="C8214" s="4"/>
      <c r="E8214" s="4"/>
    </row>
    <row r="8215" spans="3:5" x14ac:dyDescent="0.25">
      <c r="C8215" s="4"/>
      <c r="E8215" s="4"/>
    </row>
    <row r="8216" spans="3:5" x14ac:dyDescent="0.25">
      <c r="C8216" s="4"/>
      <c r="E8216" s="4"/>
    </row>
    <row r="8217" spans="3:5" x14ac:dyDescent="0.25">
      <c r="C8217" s="4"/>
      <c r="E8217" s="4"/>
    </row>
    <row r="8218" spans="3:5" x14ac:dyDescent="0.25">
      <c r="C8218" s="4"/>
      <c r="E8218" s="4"/>
    </row>
    <row r="8219" spans="3:5" x14ac:dyDescent="0.25">
      <c r="C8219" s="4"/>
      <c r="E8219" s="4"/>
    </row>
    <row r="8220" spans="3:5" x14ac:dyDescent="0.25">
      <c r="C8220" s="4"/>
      <c r="E8220" s="4"/>
    </row>
    <row r="8221" spans="3:5" x14ac:dyDescent="0.25">
      <c r="C8221" s="4"/>
      <c r="E8221" s="4"/>
    </row>
    <row r="8222" spans="3:5" x14ac:dyDescent="0.25">
      <c r="C8222" s="4"/>
      <c r="E8222" s="4"/>
    </row>
    <row r="8223" spans="3:5" x14ac:dyDescent="0.25">
      <c r="C8223" s="4"/>
      <c r="E8223" s="4"/>
    </row>
    <row r="8224" spans="3:5" x14ac:dyDescent="0.25">
      <c r="C8224" s="4"/>
      <c r="E8224" s="4"/>
    </row>
    <row r="8225" spans="3:5" x14ac:dyDescent="0.25">
      <c r="C8225" s="4"/>
      <c r="E8225" s="4"/>
    </row>
    <row r="8226" spans="3:5" x14ac:dyDescent="0.25">
      <c r="C8226" s="4"/>
      <c r="E8226" s="4"/>
    </row>
    <row r="8227" spans="3:5" x14ac:dyDescent="0.25">
      <c r="C8227" s="4"/>
      <c r="E8227" s="4"/>
    </row>
    <row r="8228" spans="3:5" x14ac:dyDescent="0.25">
      <c r="C8228" s="4"/>
      <c r="E8228" s="4"/>
    </row>
    <row r="8229" spans="3:5" x14ac:dyDescent="0.25">
      <c r="C8229" s="4"/>
      <c r="E8229" s="4"/>
    </row>
    <row r="8230" spans="3:5" x14ac:dyDescent="0.25">
      <c r="C8230" s="4"/>
      <c r="E8230" s="4"/>
    </row>
    <row r="8231" spans="3:5" x14ac:dyDescent="0.25">
      <c r="C8231" s="4"/>
      <c r="E8231" s="4"/>
    </row>
    <row r="8232" spans="3:5" x14ac:dyDescent="0.25">
      <c r="C8232" s="4"/>
      <c r="E8232" s="4"/>
    </row>
    <row r="8233" spans="3:5" x14ac:dyDescent="0.25">
      <c r="C8233" s="4"/>
      <c r="E8233" s="4"/>
    </row>
    <row r="8234" spans="3:5" x14ac:dyDescent="0.25">
      <c r="C8234" s="4"/>
      <c r="E8234" s="4"/>
    </row>
    <row r="8235" spans="3:5" x14ac:dyDescent="0.25">
      <c r="C8235" s="4"/>
      <c r="E8235" s="4"/>
    </row>
    <row r="8236" spans="3:5" x14ac:dyDescent="0.25">
      <c r="C8236" s="4"/>
      <c r="E8236" s="4"/>
    </row>
    <row r="8237" spans="3:5" x14ac:dyDescent="0.25">
      <c r="C8237" s="4"/>
      <c r="E8237" s="4"/>
    </row>
    <row r="8238" spans="3:5" x14ac:dyDescent="0.25">
      <c r="C8238" s="4"/>
      <c r="E8238" s="4"/>
    </row>
    <row r="8239" spans="3:5" x14ac:dyDescent="0.25">
      <c r="C8239" s="4"/>
      <c r="E8239" s="4"/>
    </row>
    <row r="8240" spans="3:5" x14ac:dyDescent="0.25">
      <c r="C8240" s="4"/>
      <c r="E8240" s="4"/>
    </row>
    <row r="8241" spans="3:5" x14ac:dyDescent="0.25">
      <c r="C8241" s="4"/>
      <c r="E8241" s="4"/>
    </row>
    <row r="8242" spans="3:5" x14ac:dyDescent="0.25">
      <c r="C8242" s="4"/>
      <c r="E8242" s="4"/>
    </row>
    <row r="8243" spans="3:5" x14ac:dyDescent="0.25">
      <c r="C8243" s="4"/>
      <c r="E8243" s="4"/>
    </row>
    <row r="8244" spans="3:5" x14ac:dyDescent="0.25">
      <c r="C8244" s="4"/>
      <c r="E8244" s="4"/>
    </row>
    <row r="8245" spans="3:5" x14ac:dyDescent="0.25">
      <c r="C8245" s="4"/>
      <c r="E8245" s="4"/>
    </row>
    <row r="8246" spans="3:5" x14ac:dyDescent="0.25">
      <c r="C8246" s="4"/>
      <c r="E8246" s="4"/>
    </row>
    <row r="8247" spans="3:5" x14ac:dyDescent="0.25">
      <c r="C8247" s="4"/>
      <c r="E8247" s="4"/>
    </row>
    <row r="8248" spans="3:5" x14ac:dyDescent="0.25">
      <c r="C8248" s="4"/>
      <c r="E8248" s="4"/>
    </row>
    <row r="8249" spans="3:5" x14ac:dyDescent="0.25">
      <c r="C8249" s="4"/>
      <c r="E8249" s="4"/>
    </row>
    <row r="8250" spans="3:5" x14ac:dyDescent="0.25">
      <c r="C8250" s="4"/>
      <c r="E8250" s="4"/>
    </row>
    <row r="8251" spans="3:5" x14ac:dyDescent="0.25">
      <c r="C8251" s="4"/>
      <c r="E8251" s="4"/>
    </row>
    <row r="8252" spans="3:5" x14ac:dyDescent="0.25">
      <c r="C8252" s="4"/>
      <c r="E8252" s="4"/>
    </row>
    <row r="8253" spans="3:5" x14ac:dyDescent="0.25">
      <c r="C8253" s="4"/>
      <c r="E8253" s="4"/>
    </row>
    <row r="8254" spans="3:5" x14ac:dyDescent="0.25">
      <c r="C8254" s="4"/>
      <c r="E8254" s="4"/>
    </row>
    <row r="8255" spans="3:5" x14ac:dyDescent="0.25">
      <c r="C8255" s="4"/>
      <c r="E8255" s="4"/>
    </row>
    <row r="8256" spans="3:5" x14ac:dyDescent="0.25">
      <c r="C8256" s="4"/>
      <c r="E8256" s="4"/>
    </row>
    <row r="8257" spans="3:5" x14ac:dyDescent="0.25">
      <c r="C8257" s="4"/>
      <c r="E8257" s="4"/>
    </row>
    <row r="8258" spans="3:5" x14ac:dyDescent="0.25">
      <c r="C8258" s="4"/>
      <c r="E8258" s="4"/>
    </row>
    <row r="8259" spans="3:5" x14ac:dyDescent="0.25">
      <c r="C8259" s="4"/>
      <c r="E8259" s="4"/>
    </row>
    <row r="8260" spans="3:5" x14ac:dyDescent="0.25">
      <c r="C8260" s="4"/>
      <c r="E8260" s="4"/>
    </row>
    <row r="8261" spans="3:5" x14ac:dyDescent="0.25">
      <c r="C8261" s="4"/>
      <c r="E8261" s="4"/>
    </row>
    <row r="8262" spans="3:5" x14ac:dyDescent="0.25">
      <c r="C8262" s="4"/>
      <c r="E8262" s="4"/>
    </row>
    <row r="8263" spans="3:5" x14ac:dyDescent="0.25">
      <c r="C8263" s="4"/>
      <c r="E8263" s="4"/>
    </row>
    <row r="8264" spans="3:5" x14ac:dyDescent="0.25">
      <c r="C8264" s="4"/>
      <c r="E8264" s="4"/>
    </row>
    <row r="8265" spans="3:5" x14ac:dyDescent="0.25">
      <c r="C8265" s="4"/>
      <c r="E8265" s="4"/>
    </row>
    <row r="8266" spans="3:5" x14ac:dyDescent="0.25">
      <c r="C8266" s="4"/>
      <c r="E8266" s="4"/>
    </row>
    <row r="8267" spans="3:5" x14ac:dyDescent="0.25">
      <c r="C8267" s="4"/>
      <c r="E8267" s="4"/>
    </row>
    <row r="8268" spans="3:5" x14ac:dyDescent="0.25">
      <c r="C8268" s="4"/>
      <c r="E8268" s="4"/>
    </row>
    <row r="8269" spans="3:5" x14ac:dyDescent="0.25">
      <c r="C8269" s="4"/>
      <c r="E8269" s="4"/>
    </row>
    <row r="8270" spans="3:5" x14ac:dyDescent="0.25">
      <c r="C8270" s="4"/>
      <c r="E8270" s="4"/>
    </row>
    <row r="8271" spans="3:5" x14ac:dyDescent="0.25">
      <c r="C8271" s="4"/>
      <c r="E8271" s="4"/>
    </row>
    <row r="8272" spans="3:5" x14ac:dyDescent="0.25">
      <c r="C8272" s="4"/>
      <c r="E8272" s="4"/>
    </row>
    <row r="8273" spans="3:5" x14ac:dyDescent="0.25">
      <c r="C8273" s="4"/>
      <c r="E8273" s="4"/>
    </row>
    <row r="8274" spans="3:5" x14ac:dyDescent="0.25">
      <c r="C8274" s="4"/>
      <c r="E8274" s="4"/>
    </row>
    <row r="8275" spans="3:5" x14ac:dyDescent="0.25">
      <c r="C8275" s="4"/>
      <c r="E8275" s="4"/>
    </row>
    <row r="8276" spans="3:5" x14ac:dyDescent="0.25">
      <c r="C8276" s="4"/>
      <c r="E8276" s="4"/>
    </row>
    <row r="8277" spans="3:5" x14ac:dyDescent="0.25">
      <c r="C8277" s="4"/>
      <c r="E8277" s="4"/>
    </row>
    <row r="8278" spans="3:5" x14ac:dyDescent="0.25">
      <c r="C8278" s="4"/>
      <c r="E8278" s="4"/>
    </row>
    <row r="8279" spans="3:5" x14ac:dyDescent="0.25">
      <c r="C8279" s="4"/>
      <c r="E8279" s="4"/>
    </row>
    <row r="8280" spans="3:5" x14ac:dyDescent="0.25">
      <c r="C8280" s="4"/>
      <c r="E8280" s="4"/>
    </row>
    <row r="8281" spans="3:5" x14ac:dyDescent="0.25">
      <c r="C8281" s="4"/>
      <c r="E8281" s="4"/>
    </row>
    <row r="8282" spans="3:5" x14ac:dyDescent="0.25">
      <c r="C8282" s="4"/>
      <c r="E8282" s="4"/>
    </row>
    <row r="8283" spans="3:5" x14ac:dyDescent="0.25">
      <c r="C8283" s="4"/>
      <c r="E8283" s="4"/>
    </row>
    <row r="8284" spans="3:5" x14ac:dyDescent="0.25">
      <c r="C8284" s="4"/>
      <c r="E8284" s="4"/>
    </row>
    <row r="8285" spans="3:5" x14ac:dyDescent="0.25">
      <c r="C8285" s="4"/>
      <c r="E8285" s="4"/>
    </row>
    <row r="8286" spans="3:5" x14ac:dyDescent="0.25">
      <c r="C8286" s="4"/>
      <c r="E8286" s="4"/>
    </row>
    <row r="8287" spans="3:5" x14ac:dyDescent="0.25">
      <c r="C8287" s="4"/>
      <c r="E8287" s="4"/>
    </row>
    <row r="8288" spans="3:5" x14ac:dyDescent="0.25">
      <c r="C8288" s="4"/>
      <c r="E8288" s="4"/>
    </row>
    <row r="8289" spans="3:5" x14ac:dyDescent="0.25">
      <c r="C8289" s="4"/>
      <c r="E8289" s="4"/>
    </row>
    <row r="8290" spans="3:5" x14ac:dyDescent="0.25">
      <c r="C8290" s="4"/>
      <c r="E8290" s="4"/>
    </row>
    <row r="8291" spans="3:5" x14ac:dyDescent="0.25">
      <c r="C8291" s="4"/>
      <c r="E8291" s="4"/>
    </row>
    <row r="8292" spans="3:5" x14ac:dyDescent="0.25">
      <c r="C8292" s="4"/>
      <c r="E8292" s="4"/>
    </row>
    <row r="8293" spans="3:5" x14ac:dyDescent="0.25">
      <c r="C8293" s="4"/>
      <c r="E8293" s="4"/>
    </row>
    <row r="8294" spans="3:5" x14ac:dyDescent="0.25">
      <c r="C8294" s="4"/>
      <c r="E8294" s="4"/>
    </row>
    <row r="8295" spans="3:5" x14ac:dyDescent="0.25">
      <c r="C8295" s="4"/>
      <c r="E8295" s="4"/>
    </row>
    <row r="8296" spans="3:5" x14ac:dyDescent="0.25">
      <c r="C8296" s="4"/>
      <c r="E8296" s="4"/>
    </row>
    <row r="8297" spans="3:5" x14ac:dyDescent="0.25">
      <c r="C8297" s="4"/>
      <c r="E8297" s="4"/>
    </row>
    <row r="8298" spans="3:5" x14ac:dyDescent="0.25">
      <c r="C8298" s="4"/>
      <c r="E8298" s="4"/>
    </row>
    <row r="8299" spans="3:5" x14ac:dyDescent="0.25">
      <c r="C8299" s="4"/>
      <c r="E8299" s="4"/>
    </row>
    <row r="8300" spans="3:5" x14ac:dyDescent="0.25">
      <c r="C8300" s="4"/>
      <c r="E8300" s="4"/>
    </row>
    <row r="8301" spans="3:5" x14ac:dyDescent="0.25">
      <c r="C8301" s="4"/>
      <c r="E8301" s="4"/>
    </row>
    <row r="8302" spans="3:5" x14ac:dyDescent="0.25">
      <c r="C8302" s="4"/>
      <c r="E8302" s="4"/>
    </row>
    <row r="8303" spans="3:5" x14ac:dyDescent="0.25">
      <c r="C8303" s="4"/>
      <c r="E8303" s="4"/>
    </row>
    <row r="8304" spans="3:5" x14ac:dyDescent="0.25">
      <c r="C8304" s="4"/>
      <c r="E8304" s="4"/>
    </row>
    <row r="8305" spans="3:5" x14ac:dyDescent="0.25">
      <c r="C8305" s="4"/>
      <c r="E8305" s="4"/>
    </row>
    <row r="8306" spans="3:5" x14ac:dyDescent="0.25">
      <c r="C8306" s="4"/>
      <c r="E8306" s="4"/>
    </row>
    <row r="8307" spans="3:5" x14ac:dyDescent="0.25">
      <c r="C8307" s="4"/>
      <c r="E8307" s="4"/>
    </row>
    <row r="8308" spans="3:5" x14ac:dyDescent="0.25">
      <c r="C8308" s="4"/>
      <c r="E8308" s="4"/>
    </row>
    <row r="8309" spans="3:5" x14ac:dyDescent="0.25">
      <c r="C8309" s="4"/>
      <c r="E8309" s="4"/>
    </row>
    <row r="8310" spans="3:5" x14ac:dyDescent="0.25">
      <c r="C8310" s="4"/>
      <c r="E8310" s="4"/>
    </row>
    <row r="8311" spans="3:5" x14ac:dyDescent="0.25">
      <c r="C8311" s="4"/>
      <c r="E8311" s="4"/>
    </row>
    <row r="8312" spans="3:5" x14ac:dyDescent="0.25">
      <c r="C8312" s="4"/>
      <c r="E8312" s="4"/>
    </row>
    <row r="8313" spans="3:5" x14ac:dyDescent="0.25">
      <c r="C8313" s="4"/>
      <c r="E8313" s="4"/>
    </row>
    <row r="8314" spans="3:5" x14ac:dyDescent="0.25">
      <c r="C8314" s="4"/>
      <c r="E8314" s="4"/>
    </row>
    <row r="8315" spans="3:5" x14ac:dyDescent="0.25">
      <c r="C8315" s="4"/>
      <c r="E8315" s="4"/>
    </row>
    <row r="8316" spans="3:5" x14ac:dyDescent="0.25">
      <c r="C8316" s="4"/>
      <c r="E8316" s="4"/>
    </row>
    <row r="8317" spans="3:5" x14ac:dyDescent="0.25">
      <c r="C8317" s="4"/>
      <c r="E8317" s="4"/>
    </row>
    <row r="8318" spans="3:5" x14ac:dyDescent="0.25">
      <c r="C8318" s="4"/>
      <c r="E8318" s="4"/>
    </row>
    <row r="8319" spans="3:5" x14ac:dyDescent="0.25">
      <c r="C8319" s="4"/>
      <c r="E8319" s="4"/>
    </row>
    <row r="8320" spans="3:5" x14ac:dyDescent="0.25">
      <c r="C8320" s="4"/>
      <c r="E8320" s="4"/>
    </row>
    <row r="8321" spans="3:5" x14ac:dyDescent="0.25">
      <c r="C8321" s="4"/>
      <c r="E8321" s="4"/>
    </row>
    <row r="8322" spans="3:5" x14ac:dyDescent="0.25">
      <c r="C8322" s="4"/>
      <c r="E8322" s="4"/>
    </row>
    <row r="8323" spans="3:5" x14ac:dyDescent="0.25">
      <c r="C8323" s="4"/>
      <c r="E8323" s="4"/>
    </row>
    <row r="8324" spans="3:5" x14ac:dyDescent="0.25">
      <c r="C8324" s="4"/>
      <c r="E8324" s="4"/>
    </row>
    <row r="8325" spans="3:5" x14ac:dyDescent="0.25">
      <c r="C8325" s="4"/>
      <c r="E8325" s="4"/>
    </row>
    <row r="8326" spans="3:5" x14ac:dyDescent="0.25">
      <c r="C8326" s="4"/>
      <c r="E8326" s="4"/>
    </row>
    <row r="8327" spans="3:5" x14ac:dyDescent="0.25">
      <c r="C8327" s="4"/>
      <c r="E8327" s="4"/>
    </row>
    <row r="8328" spans="3:5" x14ac:dyDescent="0.25">
      <c r="C8328" s="4"/>
      <c r="E8328" s="4"/>
    </row>
    <row r="8329" spans="3:5" x14ac:dyDescent="0.25">
      <c r="C8329" s="4"/>
      <c r="E8329" s="4"/>
    </row>
    <row r="8330" spans="3:5" x14ac:dyDescent="0.25">
      <c r="C8330" s="4"/>
      <c r="E8330" s="4"/>
    </row>
    <row r="8331" spans="3:5" x14ac:dyDescent="0.25">
      <c r="C8331" s="4"/>
      <c r="E8331" s="4"/>
    </row>
    <row r="8332" spans="3:5" x14ac:dyDescent="0.25">
      <c r="C8332" s="4"/>
      <c r="E8332" s="4"/>
    </row>
    <row r="8333" spans="3:5" x14ac:dyDescent="0.25">
      <c r="C8333" s="4"/>
      <c r="E8333" s="4"/>
    </row>
    <row r="8334" spans="3:5" x14ac:dyDescent="0.25">
      <c r="C8334" s="4"/>
      <c r="E8334" s="4"/>
    </row>
    <row r="8335" spans="3:5" x14ac:dyDescent="0.25">
      <c r="C8335" s="4"/>
      <c r="E8335" s="4"/>
    </row>
    <row r="8336" spans="3:5" x14ac:dyDescent="0.25">
      <c r="C8336" s="4"/>
      <c r="E8336" s="4"/>
    </row>
    <row r="8337" spans="3:5" x14ac:dyDescent="0.25">
      <c r="C8337" s="4"/>
      <c r="E8337" s="4"/>
    </row>
    <row r="8338" spans="3:5" x14ac:dyDescent="0.25">
      <c r="C8338" s="4"/>
      <c r="E8338" s="4"/>
    </row>
    <row r="8339" spans="3:5" x14ac:dyDescent="0.25">
      <c r="C8339" s="4"/>
      <c r="E8339" s="4"/>
    </row>
    <row r="8340" spans="3:5" x14ac:dyDescent="0.25">
      <c r="C8340" s="4"/>
      <c r="E8340" s="4"/>
    </row>
    <row r="8341" spans="3:5" x14ac:dyDescent="0.25">
      <c r="C8341" s="4"/>
      <c r="E8341" s="4"/>
    </row>
    <row r="8342" spans="3:5" x14ac:dyDescent="0.25">
      <c r="C8342" s="4"/>
      <c r="E8342" s="4"/>
    </row>
    <row r="8343" spans="3:5" x14ac:dyDescent="0.25">
      <c r="C8343" s="4"/>
      <c r="E8343" s="4"/>
    </row>
    <row r="8344" spans="3:5" x14ac:dyDescent="0.25">
      <c r="C8344" s="4"/>
      <c r="E8344" s="4"/>
    </row>
    <row r="8345" spans="3:5" x14ac:dyDescent="0.25">
      <c r="C8345" s="4"/>
      <c r="E8345" s="4"/>
    </row>
    <row r="8346" spans="3:5" x14ac:dyDescent="0.25">
      <c r="C8346" s="4"/>
      <c r="E8346" s="4"/>
    </row>
    <row r="8347" spans="3:5" x14ac:dyDescent="0.25">
      <c r="C8347" s="4"/>
      <c r="E8347" s="4"/>
    </row>
    <row r="8348" spans="3:5" x14ac:dyDescent="0.25">
      <c r="C8348" s="4"/>
      <c r="E8348" s="4"/>
    </row>
    <row r="8349" spans="3:5" x14ac:dyDescent="0.25">
      <c r="C8349" s="4"/>
      <c r="E8349" s="4"/>
    </row>
    <row r="8350" spans="3:5" x14ac:dyDescent="0.25">
      <c r="C8350" s="4"/>
      <c r="E8350" s="4"/>
    </row>
    <row r="8351" spans="3:5" x14ac:dyDescent="0.25">
      <c r="C8351" s="4"/>
      <c r="E8351" s="4"/>
    </row>
    <row r="8352" spans="3:5" x14ac:dyDescent="0.25">
      <c r="C8352" s="4"/>
      <c r="E8352" s="4"/>
    </row>
    <row r="8353" spans="3:5" x14ac:dyDescent="0.25">
      <c r="C8353" s="4"/>
      <c r="E8353" s="4"/>
    </row>
    <row r="8354" spans="3:5" x14ac:dyDescent="0.25">
      <c r="C8354" s="4"/>
      <c r="E8354" s="4"/>
    </row>
    <row r="8355" spans="3:5" x14ac:dyDescent="0.25">
      <c r="C8355" s="4"/>
      <c r="E8355" s="4"/>
    </row>
    <row r="8356" spans="3:5" x14ac:dyDescent="0.25">
      <c r="C8356" s="4"/>
      <c r="E8356" s="4"/>
    </row>
    <row r="8357" spans="3:5" x14ac:dyDescent="0.25">
      <c r="C8357" s="4"/>
      <c r="E8357" s="4"/>
    </row>
    <row r="8358" spans="3:5" x14ac:dyDescent="0.25">
      <c r="C8358" s="4"/>
      <c r="E8358" s="4"/>
    </row>
    <row r="8359" spans="3:5" x14ac:dyDescent="0.25">
      <c r="C8359" s="4"/>
      <c r="E8359" s="4"/>
    </row>
    <row r="8360" spans="3:5" x14ac:dyDescent="0.25">
      <c r="C8360" s="4"/>
      <c r="E8360" s="4"/>
    </row>
    <row r="8361" spans="3:5" x14ac:dyDescent="0.25">
      <c r="C8361" s="4"/>
      <c r="E8361" s="4"/>
    </row>
    <row r="8362" spans="3:5" x14ac:dyDescent="0.25">
      <c r="C8362" s="4"/>
      <c r="E8362" s="4"/>
    </row>
    <row r="8363" spans="3:5" x14ac:dyDescent="0.25">
      <c r="C8363" s="4"/>
      <c r="E8363" s="4"/>
    </row>
    <row r="8364" spans="3:5" x14ac:dyDescent="0.25">
      <c r="C8364" s="4"/>
      <c r="E8364" s="4"/>
    </row>
    <row r="8365" spans="3:5" x14ac:dyDescent="0.25">
      <c r="C8365" s="4"/>
      <c r="E8365" s="4"/>
    </row>
    <row r="8366" spans="3:5" x14ac:dyDescent="0.25">
      <c r="C8366" s="4"/>
      <c r="E8366" s="4"/>
    </row>
    <row r="8367" spans="3:5" x14ac:dyDescent="0.25">
      <c r="C8367" s="4"/>
      <c r="E8367" s="4"/>
    </row>
    <row r="8368" spans="3:5" x14ac:dyDescent="0.25">
      <c r="C8368" s="4"/>
      <c r="E8368" s="4"/>
    </row>
    <row r="8369" spans="3:5" x14ac:dyDescent="0.25">
      <c r="C8369" s="4"/>
      <c r="E8369" s="4"/>
    </row>
    <row r="8370" spans="3:5" x14ac:dyDescent="0.25">
      <c r="C8370" s="4"/>
      <c r="E8370" s="4"/>
    </row>
    <row r="8371" spans="3:5" x14ac:dyDescent="0.25">
      <c r="C8371" s="4"/>
      <c r="E8371" s="4"/>
    </row>
    <row r="8372" spans="3:5" x14ac:dyDescent="0.25">
      <c r="C8372" s="4"/>
      <c r="E8372" s="4"/>
    </row>
    <row r="8373" spans="3:5" x14ac:dyDescent="0.25">
      <c r="C8373" s="4"/>
      <c r="E8373" s="4"/>
    </row>
    <row r="8374" spans="3:5" x14ac:dyDescent="0.25">
      <c r="C8374" s="4"/>
      <c r="E8374" s="4"/>
    </row>
    <row r="8375" spans="3:5" x14ac:dyDescent="0.25">
      <c r="C8375" s="4"/>
      <c r="E8375" s="4"/>
    </row>
    <row r="8376" spans="3:5" x14ac:dyDescent="0.25">
      <c r="C8376" s="4"/>
      <c r="E8376" s="4"/>
    </row>
    <row r="8377" spans="3:5" x14ac:dyDescent="0.25">
      <c r="C8377" s="4"/>
      <c r="E8377" s="4"/>
    </row>
    <row r="8378" spans="3:5" x14ac:dyDescent="0.25">
      <c r="C8378" s="4"/>
      <c r="E8378" s="4"/>
    </row>
    <row r="8379" spans="3:5" x14ac:dyDescent="0.25">
      <c r="C8379" s="4"/>
      <c r="E8379" s="4"/>
    </row>
    <row r="8380" spans="3:5" x14ac:dyDescent="0.25">
      <c r="C8380" s="4"/>
      <c r="E8380" s="4"/>
    </row>
    <row r="8381" spans="3:5" x14ac:dyDescent="0.25">
      <c r="C8381" s="4"/>
      <c r="E8381" s="4"/>
    </row>
    <row r="8382" spans="3:5" x14ac:dyDescent="0.25">
      <c r="C8382" s="4"/>
      <c r="E8382" s="4"/>
    </row>
    <row r="8383" spans="3:5" x14ac:dyDescent="0.25">
      <c r="C8383" s="4"/>
      <c r="E8383" s="4"/>
    </row>
    <row r="8384" spans="3:5" x14ac:dyDescent="0.25">
      <c r="C8384" s="4"/>
      <c r="E8384" s="4"/>
    </row>
    <row r="8385" spans="3:5" x14ac:dyDescent="0.25">
      <c r="C8385" s="4"/>
      <c r="E8385" s="4"/>
    </row>
    <row r="8386" spans="3:5" x14ac:dyDescent="0.25">
      <c r="C8386" s="4"/>
      <c r="E8386" s="4"/>
    </row>
    <row r="8387" spans="3:5" x14ac:dyDescent="0.25">
      <c r="C8387" s="4"/>
      <c r="E8387" s="4"/>
    </row>
    <row r="8388" spans="3:5" x14ac:dyDescent="0.25">
      <c r="C8388" s="4"/>
      <c r="E8388" s="4"/>
    </row>
    <row r="8389" spans="3:5" x14ac:dyDescent="0.25">
      <c r="C8389" s="4"/>
      <c r="E8389" s="4"/>
    </row>
    <row r="8390" spans="3:5" x14ac:dyDescent="0.25">
      <c r="C8390" s="4"/>
      <c r="E8390" s="4"/>
    </row>
    <row r="8391" spans="3:5" x14ac:dyDescent="0.25">
      <c r="C8391" s="4"/>
      <c r="E8391" s="4"/>
    </row>
    <row r="8392" spans="3:5" x14ac:dyDescent="0.25">
      <c r="C8392" s="4"/>
      <c r="E8392" s="4"/>
    </row>
    <row r="8393" spans="3:5" x14ac:dyDescent="0.25">
      <c r="C8393" s="4"/>
      <c r="E8393" s="4"/>
    </row>
    <row r="8394" spans="3:5" x14ac:dyDescent="0.25">
      <c r="C8394" s="4"/>
      <c r="E8394" s="4"/>
    </row>
    <row r="8395" spans="3:5" x14ac:dyDescent="0.25">
      <c r="C8395" s="4"/>
      <c r="E8395" s="4"/>
    </row>
    <row r="8396" spans="3:5" x14ac:dyDescent="0.25">
      <c r="C8396" s="4"/>
      <c r="E8396" s="4"/>
    </row>
    <row r="8397" spans="3:5" x14ac:dyDescent="0.25">
      <c r="C8397" s="4"/>
      <c r="E8397" s="4"/>
    </row>
    <row r="8398" spans="3:5" x14ac:dyDescent="0.25">
      <c r="C8398" s="4"/>
      <c r="E8398" s="4"/>
    </row>
    <row r="8399" spans="3:5" x14ac:dyDescent="0.25">
      <c r="C8399" s="4"/>
      <c r="E8399" s="4"/>
    </row>
    <row r="8400" spans="3:5" x14ac:dyDescent="0.25">
      <c r="C8400" s="4"/>
      <c r="E8400" s="4"/>
    </row>
    <row r="8401" spans="3:5" x14ac:dyDescent="0.25">
      <c r="C8401" s="4"/>
      <c r="E8401" s="4"/>
    </row>
    <row r="8402" spans="3:5" x14ac:dyDescent="0.25">
      <c r="C8402" s="4"/>
      <c r="E8402" s="4"/>
    </row>
    <row r="8403" spans="3:5" x14ac:dyDescent="0.25">
      <c r="C8403" s="4"/>
      <c r="E8403" s="4"/>
    </row>
    <row r="8404" spans="3:5" x14ac:dyDescent="0.25">
      <c r="C8404" s="4"/>
      <c r="E8404" s="4"/>
    </row>
    <row r="8405" spans="3:5" x14ac:dyDescent="0.25">
      <c r="C8405" s="4"/>
      <c r="E8405" s="4"/>
    </row>
    <row r="8406" spans="3:5" x14ac:dyDescent="0.25">
      <c r="C8406" s="4"/>
      <c r="E8406" s="4"/>
    </row>
    <row r="8407" spans="3:5" x14ac:dyDescent="0.25">
      <c r="C8407" s="4"/>
      <c r="E8407" s="4"/>
    </row>
    <row r="8408" spans="3:5" x14ac:dyDescent="0.25">
      <c r="C8408" s="4"/>
      <c r="E8408" s="4"/>
    </row>
    <row r="8409" spans="3:5" x14ac:dyDescent="0.25">
      <c r="C8409" s="4"/>
      <c r="E8409" s="4"/>
    </row>
    <row r="8410" spans="3:5" x14ac:dyDescent="0.25">
      <c r="C8410" s="4"/>
      <c r="E8410" s="4"/>
    </row>
    <row r="8411" spans="3:5" x14ac:dyDescent="0.25">
      <c r="C8411" s="4"/>
      <c r="E8411" s="4"/>
    </row>
    <row r="8412" spans="3:5" x14ac:dyDescent="0.25">
      <c r="C8412" s="4"/>
      <c r="E8412" s="4"/>
    </row>
    <row r="8413" spans="3:5" x14ac:dyDescent="0.25">
      <c r="C8413" s="4"/>
      <c r="E8413" s="4"/>
    </row>
    <row r="8414" spans="3:5" x14ac:dyDescent="0.25">
      <c r="C8414" s="4"/>
      <c r="E8414" s="4"/>
    </row>
    <row r="8415" spans="3:5" x14ac:dyDescent="0.25">
      <c r="C8415" s="4"/>
      <c r="E8415" s="4"/>
    </row>
    <row r="8416" spans="3:5" x14ac:dyDescent="0.25">
      <c r="C8416" s="4"/>
      <c r="E8416" s="4"/>
    </row>
    <row r="8417" spans="3:5" x14ac:dyDescent="0.25">
      <c r="C8417" s="4"/>
      <c r="E8417" s="4"/>
    </row>
    <row r="8418" spans="3:5" x14ac:dyDescent="0.25">
      <c r="C8418" s="4"/>
      <c r="E8418" s="4"/>
    </row>
    <row r="8419" spans="3:5" x14ac:dyDescent="0.25">
      <c r="C8419" s="4"/>
      <c r="E8419" s="4"/>
    </row>
    <row r="8420" spans="3:5" x14ac:dyDescent="0.25">
      <c r="C8420" s="4"/>
      <c r="E8420" s="4"/>
    </row>
    <row r="8421" spans="3:5" x14ac:dyDescent="0.25">
      <c r="C8421" s="4"/>
      <c r="E8421" s="4"/>
    </row>
    <row r="8422" spans="3:5" x14ac:dyDescent="0.25">
      <c r="C8422" s="4"/>
      <c r="E8422" s="4"/>
    </row>
    <row r="8423" spans="3:5" x14ac:dyDescent="0.25">
      <c r="C8423" s="4"/>
      <c r="E8423" s="4"/>
    </row>
    <row r="8424" spans="3:5" x14ac:dyDescent="0.25">
      <c r="C8424" s="4"/>
      <c r="E8424" s="4"/>
    </row>
    <row r="8425" spans="3:5" x14ac:dyDescent="0.25">
      <c r="C8425" s="4"/>
      <c r="E8425" s="4"/>
    </row>
    <row r="8426" spans="3:5" x14ac:dyDescent="0.25">
      <c r="C8426" s="4"/>
      <c r="E8426" s="4"/>
    </row>
    <row r="8427" spans="3:5" x14ac:dyDescent="0.25">
      <c r="C8427" s="4"/>
      <c r="E8427" s="4"/>
    </row>
    <row r="8428" spans="3:5" x14ac:dyDescent="0.25">
      <c r="C8428" s="4"/>
      <c r="E8428" s="4"/>
    </row>
    <row r="8429" spans="3:5" x14ac:dyDescent="0.25">
      <c r="C8429" s="4"/>
      <c r="E8429" s="4"/>
    </row>
    <row r="8430" spans="3:5" x14ac:dyDescent="0.25">
      <c r="C8430" s="4"/>
      <c r="E8430" s="4"/>
    </row>
    <row r="8431" spans="3:5" x14ac:dyDescent="0.25">
      <c r="C8431" s="4"/>
      <c r="E8431" s="4"/>
    </row>
    <row r="8432" spans="3:5" x14ac:dyDescent="0.25">
      <c r="C8432" s="4"/>
      <c r="E8432" s="4"/>
    </row>
    <row r="8433" spans="3:5" x14ac:dyDescent="0.25">
      <c r="C8433" s="4"/>
      <c r="E8433" s="4"/>
    </row>
    <row r="8434" spans="3:5" x14ac:dyDescent="0.25">
      <c r="C8434" s="4"/>
      <c r="E8434" s="4"/>
    </row>
    <row r="8435" spans="3:5" x14ac:dyDescent="0.25">
      <c r="C8435" s="4"/>
      <c r="E8435" s="4"/>
    </row>
    <row r="8436" spans="3:5" x14ac:dyDescent="0.25">
      <c r="C8436" s="4"/>
      <c r="E8436" s="4"/>
    </row>
    <row r="8437" spans="3:5" x14ac:dyDescent="0.25">
      <c r="C8437" s="4"/>
      <c r="E8437" s="4"/>
    </row>
    <row r="8438" spans="3:5" x14ac:dyDescent="0.25">
      <c r="C8438" s="4"/>
      <c r="E8438" s="4"/>
    </row>
    <row r="8439" spans="3:5" x14ac:dyDescent="0.25">
      <c r="C8439" s="4"/>
      <c r="E8439" s="4"/>
    </row>
    <row r="8440" spans="3:5" x14ac:dyDescent="0.25">
      <c r="C8440" s="4"/>
      <c r="E8440" s="4"/>
    </row>
    <row r="8441" spans="3:5" x14ac:dyDescent="0.25">
      <c r="C8441" s="4"/>
      <c r="E8441" s="4"/>
    </row>
    <row r="8442" spans="3:5" x14ac:dyDescent="0.25">
      <c r="C8442" s="4"/>
      <c r="E8442" s="4"/>
    </row>
    <row r="8443" spans="3:5" x14ac:dyDescent="0.25">
      <c r="C8443" s="4"/>
      <c r="E8443" s="4"/>
    </row>
    <row r="8444" spans="3:5" x14ac:dyDescent="0.25">
      <c r="C8444" s="4"/>
      <c r="E8444" s="4"/>
    </row>
    <row r="8445" spans="3:5" x14ac:dyDescent="0.25">
      <c r="C8445" s="4"/>
      <c r="E8445" s="4"/>
    </row>
    <row r="8446" spans="3:5" x14ac:dyDescent="0.25">
      <c r="C8446" s="4"/>
      <c r="E8446" s="4"/>
    </row>
    <row r="8447" spans="3:5" x14ac:dyDescent="0.25">
      <c r="C8447" s="4"/>
      <c r="E8447" s="4"/>
    </row>
    <row r="8448" spans="3:5" x14ac:dyDescent="0.25">
      <c r="C8448" s="4"/>
      <c r="E8448" s="4"/>
    </row>
    <row r="8449" spans="3:5" x14ac:dyDescent="0.25">
      <c r="C8449" s="4"/>
      <c r="E8449" s="4"/>
    </row>
    <row r="8450" spans="3:5" x14ac:dyDescent="0.25">
      <c r="C8450" s="4"/>
      <c r="E8450" s="4"/>
    </row>
    <row r="8451" spans="3:5" x14ac:dyDescent="0.25">
      <c r="C8451" s="4"/>
      <c r="E8451" s="4"/>
    </row>
    <row r="8452" spans="3:5" x14ac:dyDescent="0.25">
      <c r="C8452" s="4"/>
      <c r="E8452" s="4"/>
    </row>
    <row r="8453" spans="3:5" x14ac:dyDescent="0.25">
      <c r="C8453" s="4"/>
      <c r="E8453" s="4"/>
    </row>
    <row r="8454" spans="3:5" x14ac:dyDescent="0.25">
      <c r="C8454" s="4"/>
      <c r="E8454" s="4"/>
    </row>
    <row r="8455" spans="3:5" x14ac:dyDescent="0.25">
      <c r="C8455" s="4"/>
      <c r="E8455" s="4"/>
    </row>
    <row r="8456" spans="3:5" x14ac:dyDescent="0.25">
      <c r="C8456" s="4"/>
      <c r="E8456" s="4"/>
    </row>
    <row r="8457" spans="3:5" x14ac:dyDescent="0.25">
      <c r="C8457" s="4"/>
      <c r="E8457" s="4"/>
    </row>
    <row r="8458" spans="3:5" x14ac:dyDescent="0.25">
      <c r="C8458" s="4"/>
      <c r="E8458" s="4"/>
    </row>
    <row r="8459" spans="3:5" x14ac:dyDescent="0.25">
      <c r="C8459" s="4"/>
      <c r="E8459" s="4"/>
    </row>
    <row r="8460" spans="3:5" x14ac:dyDescent="0.25">
      <c r="C8460" s="4"/>
      <c r="E8460" s="4"/>
    </row>
    <row r="8461" spans="3:5" x14ac:dyDescent="0.25">
      <c r="C8461" s="4"/>
      <c r="E8461" s="4"/>
    </row>
    <row r="8462" spans="3:5" x14ac:dyDescent="0.25">
      <c r="C8462" s="4"/>
      <c r="E8462" s="4"/>
    </row>
    <row r="8463" spans="3:5" x14ac:dyDescent="0.25">
      <c r="C8463" s="4"/>
      <c r="E8463" s="4"/>
    </row>
    <row r="8464" spans="3:5" x14ac:dyDescent="0.25">
      <c r="C8464" s="4"/>
      <c r="E8464" s="4"/>
    </row>
    <row r="8465" spans="3:5" x14ac:dyDescent="0.25">
      <c r="C8465" s="4"/>
      <c r="E8465" s="4"/>
    </row>
    <row r="8466" spans="3:5" x14ac:dyDescent="0.25">
      <c r="C8466" s="4"/>
      <c r="E8466" s="4"/>
    </row>
    <row r="8467" spans="3:5" x14ac:dyDescent="0.25">
      <c r="C8467" s="4"/>
      <c r="E8467" s="4"/>
    </row>
    <row r="8468" spans="3:5" x14ac:dyDescent="0.25">
      <c r="C8468" s="4"/>
      <c r="E8468" s="4"/>
    </row>
    <row r="8469" spans="3:5" x14ac:dyDescent="0.25">
      <c r="C8469" s="4"/>
      <c r="E8469" s="4"/>
    </row>
    <row r="8470" spans="3:5" x14ac:dyDescent="0.25">
      <c r="C8470" s="4"/>
      <c r="E8470" s="4"/>
    </row>
    <row r="8471" spans="3:5" x14ac:dyDescent="0.25">
      <c r="C8471" s="4"/>
      <c r="E8471" s="4"/>
    </row>
    <row r="8472" spans="3:5" x14ac:dyDescent="0.25">
      <c r="C8472" s="4"/>
      <c r="E8472" s="4"/>
    </row>
    <row r="8473" spans="3:5" x14ac:dyDescent="0.25">
      <c r="C8473" s="4"/>
      <c r="E8473" s="4"/>
    </row>
    <row r="8474" spans="3:5" x14ac:dyDescent="0.25">
      <c r="C8474" s="4"/>
      <c r="E8474" s="4"/>
    </row>
    <row r="8475" spans="3:5" x14ac:dyDescent="0.25">
      <c r="C8475" s="4"/>
      <c r="E8475" s="4"/>
    </row>
    <row r="8476" spans="3:5" x14ac:dyDescent="0.25">
      <c r="C8476" s="4"/>
      <c r="E8476" s="4"/>
    </row>
    <row r="8477" spans="3:5" x14ac:dyDescent="0.25">
      <c r="C8477" s="4"/>
      <c r="E8477" s="4"/>
    </row>
    <row r="8478" spans="3:5" x14ac:dyDescent="0.25">
      <c r="C8478" s="4"/>
      <c r="E8478" s="4"/>
    </row>
    <row r="8479" spans="3:5" x14ac:dyDescent="0.25">
      <c r="C8479" s="4"/>
      <c r="E8479" s="4"/>
    </row>
    <row r="8480" spans="3:5" x14ac:dyDescent="0.25">
      <c r="C8480" s="4"/>
      <c r="E8480" s="4"/>
    </row>
    <row r="8481" spans="3:5" x14ac:dyDescent="0.25">
      <c r="C8481" s="4"/>
      <c r="E8481" s="4"/>
    </row>
    <row r="8482" spans="3:5" x14ac:dyDescent="0.25">
      <c r="C8482" s="4"/>
      <c r="E8482" s="4"/>
    </row>
    <row r="8483" spans="3:5" x14ac:dyDescent="0.25">
      <c r="C8483" s="4"/>
      <c r="E8483" s="4"/>
    </row>
    <row r="8484" spans="3:5" x14ac:dyDescent="0.25">
      <c r="C8484" s="4"/>
      <c r="E8484" s="4"/>
    </row>
    <row r="8485" spans="3:5" x14ac:dyDescent="0.25">
      <c r="C8485" s="4"/>
      <c r="E8485" s="4"/>
    </row>
    <row r="8486" spans="3:5" x14ac:dyDescent="0.25">
      <c r="C8486" s="4"/>
      <c r="E8486" s="4"/>
    </row>
    <row r="8487" spans="3:5" x14ac:dyDescent="0.25">
      <c r="C8487" s="4"/>
      <c r="E8487" s="4"/>
    </row>
    <row r="8488" spans="3:5" x14ac:dyDescent="0.25">
      <c r="C8488" s="4"/>
      <c r="E8488" s="4"/>
    </row>
    <row r="8489" spans="3:5" x14ac:dyDescent="0.25">
      <c r="C8489" s="4"/>
      <c r="E8489" s="4"/>
    </row>
    <row r="8490" spans="3:5" x14ac:dyDescent="0.25">
      <c r="C8490" s="4"/>
      <c r="E8490" s="4"/>
    </row>
    <row r="8491" spans="3:5" x14ac:dyDescent="0.25">
      <c r="C8491" s="4"/>
      <c r="E8491" s="4"/>
    </row>
    <row r="8492" spans="3:5" x14ac:dyDescent="0.25">
      <c r="C8492" s="4"/>
      <c r="E8492" s="4"/>
    </row>
    <row r="8493" spans="3:5" x14ac:dyDescent="0.25">
      <c r="C8493" s="4"/>
      <c r="E8493" s="4"/>
    </row>
    <row r="8494" spans="3:5" x14ac:dyDescent="0.25">
      <c r="C8494" s="4"/>
      <c r="E8494" s="4"/>
    </row>
    <row r="8495" spans="3:5" x14ac:dyDescent="0.25">
      <c r="C8495" s="4"/>
      <c r="E8495" s="4"/>
    </row>
    <row r="8496" spans="3:5" x14ac:dyDescent="0.25">
      <c r="C8496" s="4"/>
      <c r="E8496" s="4"/>
    </row>
    <row r="8497" spans="3:5" x14ac:dyDescent="0.25">
      <c r="C8497" s="4"/>
      <c r="E8497" s="4"/>
    </row>
    <row r="8498" spans="3:5" x14ac:dyDescent="0.25">
      <c r="C8498" s="4"/>
      <c r="E8498" s="4"/>
    </row>
    <row r="8499" spans="3:5" x14ac:dyDescent="0.25">
      <c r="C8499" s="4"/>
      <c r="E8499" s="4"/>
    </row>
    <row r="8500" spans="3:5" x14ac:dyDescent="0.25">
      <c r="C8500" s="4"/>
      <c r="E8500" s="4"/>
    </row>
    <row r="8501" spans="3:5" x14ac:dyDescent="0.25">
      <c r="C8501" s="4"/>
      <c r="E8501" s="4"/>
    </row>
    <row r="8502" spans="3:5" x14ac:dyDescent="0.25">
      <c r="C8502" s="4"/>
      <c r="E8502" s="4"/>
    </row>
    <row r="8503" spans="3:5" x14ac:dyDescent="0.25">
      <c r="C8503" s="4"/>
      <c r="E8503" s="4"/>
    </row>
    <row r="8504" spans="3:5" x14ac:dyDescent="0.25">
      <c r="C8504" s="4"/>
      <c r="E8504" s="4"/>
    </row>
    <row r="8505" spans="3:5" x14ac:dyDescent="0.25">
      <c r="C8505" s="4"/>
      <c r="E8505" s="4"/>
    </row>
    <row r="8506" spans="3:5" x14ac:dyDescent="0.25">
      <c r="C8506" s="4"/>
      <c r="E8506" s="4"/>
    </row>
    <row r="8507" spans="3:5" x14ac:dyDescent="0.25">
      <c r="C8507" s="4"/>
      <c r="E8507" s="4"/>
    </row>
    <row r="8508" spans="3:5" x14ac:dyDescent="0.25">
      <c r="C8508" s="4"/>
      <c r="E8508" s="4"/>
    </row>
    <row r="8509" spans="3:5" x14ac:dyDescent="0.25">
      <c r="C8509" s="4"/>
      <c r="E8509" s="4"/>
    </row>
    <row r="8510" spans="3:5" x14ac:dyDescent="0.25">
      <c r="C8510" s="4"/>
      <c r="E8510" s="4"/>
    </row>
    <row r="8511" spans="3:5" x14ac:dyDescent="0.25">
      <c r="C8511" s="4"/>
      <c r="E8511" s="4"/>
    </row>
    <row r="8512" spans="3:5" x14ac:dyDescent="0.25">
      <c r="C8512" s="4"/>
      <c r="E8512" s="4"/>
    </row>
    <row r="8513" spans="3:5" x14ac:dyDescent="0.25">
      <c r="C8513" s="4"/>
      <c r="E8513" s="4"/>
    </row>
    <row r="8514" spans="3:5" x14ac:dyDescent="0.25">
      <c r="C8514" s="4"/>
      <c r="E8514" s="4"/>
    </row>
    <row r="8515" spans="3:5" x14ac:dyDescent="0.25">
      <c r="C8515" s="4"/>
      <c r="E8515" s="4"/>
    </row>
    <row r="8516" spans="3:5" x14ac:dyDescent="0.25">
      <c r="C8516" s="4"/>
      <c r="E8516" s="4"/>
    </row>
    <row r="8517" spans="3:5" x14ac:dyDescent="0.25">
      <c r="C8517" s="4"/>
      <c r="E8517" s="4"/>
    </row>
    <row r="8518" spans="3:5" x14ac:dyDescent="0.25">
      <c r="C8518" s="4"/>
      <c r="E8518" s="4"/>
    </row>
    <row r="8519" spans="3:5" x14ac:dyDescent="0.25">
      <c r="C8519" s="4"/>
      <c r="E8519" s="4"/>
    </row>
    <row r="8520" spans="3:5" x14ac:dyDescent="0.25">
      <c r="C8520" s="4"/>
      <c r="E8520" s="4"/>
    </row>
    <row r="8521" spans="3:5" x14ac:dyDescent="0.25">
      <c r="C8521" s="4"/>
      <c r="E8521" s="4"/>
    </row>
    <row r="8522" spans="3:5" x14ac:dyDescent="0.25">
      <c r="C8522" s="4"/>
      <c r="E8522" s="4"/>
    </row>
    <row r="8523" spans="3:5" x14ac:dyDescent="0.25">
      <c r="C8523" s="4"/>
      <c r="E8523" s="4"/>
    </row>
    <row r="8524" spans="3:5" x14ac:dyDescent="0.25">
      <c r="C8524" s="4"/>
      <c r="E8524" s="4"/>
    </row>
    <row r="8525" spans="3:5" x14ac:dyDescent="0.25">
      <c r="C8525" s="4"/>
      <c r="E8525" s="4"/>
    </row>
    <row r="8526" spans="3:5" x14ac:dyDescent="0.25">
      <c r="C8526" s="4"/>
      <c r="E8526" s="4"/>
    </row>
    <row r="8527" spans="3:5" x14ac:dyDescent="0.25">
      <c r="C8527" s="4"/>
      <c r="E8527" s="4"/>
    </row>
    <row r="8528" spans="3:5" x14ac:dyDescent="0.25">
      <c r="C8528" s="4"/>
      <c r="E8528" s="4"/>
    </row>
    <row r="8529" spans="3:5" x14ac:dyDescent="0.25">
      <c r="C8529" s="4"/>
      <c r="E8529" s="4"/>
    </row>
    <row r="8530" spans="3:5" x14ac:dyDescent="0.25">
      <c r="C8530" s="4"/>
      <c r="E8530" s="4"/>
    </row>
    <row r="8531" spans="3:5" x14ac:dyDescent="0.25">
      <c r="C8531" s="4"/>
      <c r="E8531" s="4"/>
    </row>
    <row r="8532" spans="3:5" x14ac:dyDescent="0.25">
      <c r="C8532" s="4"/>
      <c r="E8532" s="4"/>
    </row>
    <row r="8533" spans="3:5" x14ac:dyDescent="0.25">
      <c r="C8533" s="4"/>
      <c r="E8533" s="4"/>
    </row>
    <row r="8534" spans="3:5" x14ac:dyDescent="0.25">
      <c r="C8534" s="4"/>
      <c r="E8534" s="4"/>
    </row>
    <row r="8535" spans="3:5" x14ac:dyDescent="0.25">
      <c r="C8535" s="4"/>
      <c r="E8535" s="4"/>
    </row>
    <row r="8536" spans="3:5" x14ac:dyDescent="0.25">
      <c r="C8536" s="4"/>
      <c r="E8536" s="4"/>
    </row>
    <row r="8537" spans="3:5" x14ac:dyDescent="0.25">
      <c r="C8537" s="4"/>
      <c r="E8537" s="4"/>
    </row>
    <row r="8538" spans="3:5" x14ac:dyDescent="0.25">
      <c r="C8538" s="4"/>
      <c r="E8538" s="4"/>
    </row>
    <row r="8539" spans="3:5" x14ac:dyDescent="0.25">
      <c r="C8539" s="4"/>
      <c r="E8539" s="4"/>
    </row>
    <row r="8540" spans="3:5" x14ac:dyDescent="0.25">
      <c r="C8540" s="4"/>
      <c r="E8540" s="4"/>
    </row>
    <row r="8541" spans="3:5" x14ac:dyDescent="0.25">
      <c r="C8541" s="4"/>
      <c r="E8541" s="4"/>
    </row>
    <row r="8542" spans="3:5" x14ac:dyDescent="0.25">
      <c r="C8542" s="4"/>
      <c r="E8542" s="4"/>
    </row>
    <row r="8543" spans="3:5" x14ac:dyDescent="0.25">
      <c r="C8543" s="4"/>
      <c r="E8543" s="4"/>
    </row>
    <row r="8544" spans="3:5" x14ac:dyDescent="0.25">
      <c r="C8544" s="4"/>
      <c r="E8544" s="4"/>
    </row>
    <row r="8545" spans="3:5" x14ac:dyDescent="0.25">
      <c r="C8545" s="4"/>
      <c r="E8545" s="4"/>
    </row>
    <row r="8546" spans="3:5" x14ac:dyDescent="0.25">
      <c r="C8546" s="4"/>
      <c r="E8546" s="4"/>
    </row>
    <row r="8547" spans="3:5" x14ac:dyDescent="0.25">
      <c r="C8547" s="4"/>
      <c r="E8547" s="4"/>
    </row>
    <row r="8548" spans="3:5" x14ac:dyDescent="0.25">
      <c r="C8548" s="4"/>
      <c r="E8548" s="4"/>
    </row>
    <row r="8549" spans="3:5" x14ac:dyDescent="0.25">
      <c r="C8549" s="4"/>
      <c r="E8549" s="4"/>
    </row>
    <row r="8550" spans="3:5" x14ac:dyDescent="0.25">
      <c r="C8550" s="4"/>
      <c r="E8550" s="4"/>
    </row>
    <row r="8551" spans="3:5" x14ac:dyDescent="0.25">
      <c r="C8551" s="4"/>
      <c r="E8551" s="4"/>
    </row>
    <row r="8552" spans="3:5" x14ac:dyDescent="0.25">
      <c r="C8552" s="4"/>
      <c r="E8552" s="4"/>
    </row>
    <row r="8553" spans="3:5" x14ac:dyDescent="0.25">
      <c r="C8553" s="4"/>
      <c r="E8553" s="4"/>
    </row>
    <row r="8554" spans="3:5" x14ac:dyDescent="0.25">
      <c r="C8554" s="4"/>
      <c r="E8554" s="4"/>
    </row>
    <row r="8555" spans="3:5" x14ac:dyDescent="0.25">
      <c r="C8555" s="4"/>
      <c r="E8555" s="4"/>
    </row>
    <row r="8556" spans="3:5" x14ac:dyDescent="0.25">
      <c r="C8556" s="4"/>
      <c r="E8556" s="4"/>
    </row>
    <row r="8557" spans="3:5" x14ac:dyDescent="0.25">
      <c r="C8557" s="4"/>
      <c r="E8557" s="4"/>
    </row>
    <row r="8558" spans="3:5" x14ac:dyDescent="0.25">
      <c r="C8558" s="4"/>
      <c r="E8558" s="4"/>
    </row>
    <row r="8559" spans="3:5" x14ac:dyDescent="0.25">
      <c r="C8559" s="4"/>
      <c r="E8559" s="4"/>
    </row>
    <row r="8560" spans="3:5" x14ac:dyDescent="0.25">
      <c r="C8560" s="4"/>
      <c r="E8560" s="4"/>
    </row>
    <row r="8561" spans="3:5" x14ac:dyDescent="0.25">
      <c r="C8561" s="4"/>
      <c r="E8561" s="4"/>
    </row>
    <row r="8562" spans="3:5" x14ac:dyDescent="0.25">
      <c r="C8562" s="4"/>
      <c r="E8562" s="4"/>
    </row>
    <row r="8563" spans="3:5" x14ac:dyDescent="0.25">
      <c r="C8563" s="4"/>
      <c r="E8563" s="4"/>
    </row>
    <row r="8564" spans="3:5" x14ac:dyDescent="0.25">
      <c r="C8564" s="4"/>
      <c r="E8564" s="4"/>
    </row>
    <row r="8565" spans="3:5" x14ac:dyDescent="0.25">
      <c r="C8565" s="4"/>
      <c r="E8565" s="4"/>
    </row>
    <row r="8566" spans="3:5" x14ac:dyDescent="0.25">
      <c r="C8566" s="4"/>
      <c r="E8566" s="4"/>
    </row>
    <row r="8567" spans="3:5" x14ac:dyDescent="0.25">
      <c r="C8567" s="4"/>
      <c r="E8567" s="4"/>
    </row>
    <row r="8568" spans="3:5" x14ac:dyDescent="0.25">
      <c r="C8568" s="4"/>
      <c r="E8568" s="4"/>
    </row>
    <row r="8569" spans="3:5" x14ac:dyDescent="0.25">
      <c r="C8569" s="4"/>
      <c r="E8569" s="4"/>
    </row>
    <row r="8570" spans="3:5" x14ac:dyDescent="0.25">
      <c r="C8570" s="4"/>
      <c r="E8570" s="4"/>
    </row>
    <row r="8571" spans="3:5" x14ac:dyDescent="0.25">
      <c r="C8571" s="4"/>
      <c r="E8571" s="4"/>
    </row>
    <row r="8572" spans="3:5" x14ac:dyDescent="0.25">
      <c r="C8572" s="4"/>
      <c r="E8572" s="4"/>
    </row>
    <row r="8573" spans="3:5" x14ac:dyDescent="0.25">
      <c r="C8573" s="4"/>
      <c r="E8573" s="4"/>
    </row>
    <row r="8574" spans="3:5" x14ac:dyDescent="0.25">
      <c r="C8574" s="4"/>
      <c r="E8574" s="4"/>
    </row>
    <row r="8575" spans="3:5" x14ac:dyDescent="0.25">
      <c r="C8575" s="4"/>
      <c r="E8575" s="4"/>
    </row>
    <row r="8576" spans="3:5" x14ac:dyDescent="0.25">
      <c r="C8576" s="4"/>
      <c r="E8576" s="4"/>
    </row>
    <row r="8577" spans="3:5" x14ac:dyDescent="0.25">
      <c r="C8577" s="4"/>
      <c r="E8577" s="4"/>
    </row>
    <row r="8578" spans="3:5" x14ac:dyDescent="0.25">
      <c r="C8578" s="4"/>
      <c r="E8578" s="4"/>
    </row>
    <row r="8579" spans="3:5" x14ac:dyDescent="0.25">
      <c r="C8579" s="4"/>
      <c r="E8579" s="4"/>
    </row>
    <row r="8580" spans="3:5" x14ac:dyDescent="0.25">
      <c r="C8580" s="4"/>
      <c r="E8580" s="4"/>
    </row>
    <row r="8581" spans="3:5" x14ac:dyDescent="0.25">
      <c r="C8581" s="4"/>
      <c r="E8581" s="4"/>
    </row>
    <row r="8582" spans="3:5" x14ac:dyDescent="0.25">
      <c r="C8582" s="4"/>
      <c r="E8582" s="4"/>
    </row>
    <row r="8583" spans="3:5" x14ac:dyDescent="0.25">
      <c r="C8583" s="4"/>
      <c r="E8583" s="4"/>
    </row>
    <row r="8584" spans="3:5" x14ac:dyDescent="0.25">
      <c r="C8584" s="4"/>
      <c r="E8584" s="4"/>
    </row>
    <row r="8585" spans="3:5" x14ac:dyDescent="0.25">
      <c r="C8585" s="4"/>
      <c r="E8585" s="4"/>
    </row>
    <row r="8586" spans="3:5" x14ac:dyDescent="0.25">
      <c r="C8586" s="4"/>
      <c r="E8586" s="4"/>
    </row>
    <row r="8587" spans="3:5" x14ac:dyDescent="0.25">
      <c r="C8587" s="4"/>
      <c r="E8587" s="4"/>
    </row>
    <row r="8588" spans="3:5" x14ac:dyDescent="0.25">
      <c r="C8588" s="4"/>
      <c r="E8588" s="4"/>
    </row>
    <row r="8589" spans="3:5" x14ac:dyDescent="0.25">
      <c r="C8589" s="4"/>
      <c r="E8589" s="4"/>
    </row>
    <row r="8590" spans="3:5" x14ac:dyDescent="0.25">
      <c r="C8590" s="4"/>
      <c r="E8590" s="4"/>
    </row>
    <row r="8591" spans="3:5" x14ac:dyDescent="0.25">
      <c r="C8591" s="4"/>
      <c r="E8591" s="4"/>
    </row>
    <row r="8592" spans="3:5" x14ac:dyDescent="0.25">
      <c r="C8592" s="4"/>
      <c r="E8592" s="4"/>
    </row>
    <row r="8593" spans="3:5" x14ac:dyDescent="0.25">
      <c r="C8593" s="4"/>
      <c r="E8593" s="4"/>
    </row>
    <row r="8594" spans="3:5" x14ac:dyDescent="0.25">
      <c r="C8594" s="4"/>
      <c r="E8594" s="4"/>
    </row>
    <row r="8595" spans="3:5" x14ac:dyDescent="0.25">
      <c r="C8595" s="4"/>
      <c r="E8595" s="4"/>
    </row>
    <row r="8596" spans="3:5" x14ac:dyDescent="0.25">
      <c r="C8596" s="4"/>
      <c r="E8596" s="4"/>
    </row>
    <row r="8597" spans="3:5" x14ac:dyDescent="0.25">
      <c r="C8597" s="4"/>
      <c r="E8597" s="4"/>
    </row>
    <row r="8598" spans="3:5" x14ac:dyDescent="0.25">
      <c r="C8598" s="4"/>
      <c r="E8598" s="4"/>
    </row>
    <row r="8599" spans="3:5" x14ac:dyDescent="0.25">
      <c r="C8599" s="4"/>
      <c r="E8599" s="4"/>
    </row>
    <row r="8600" spans="3:5" x14ac:dyDescent="0.25">
      <c r="C8600" s="4"/>
      <c r="E8600" s="4"/>
    </row>
    <row r="8601" spans="3:5" x14ac:dyDescent="0.25">
      <c r="C8601" s="4"/>
      <c r="E8601" s="4"/>
    </row>
    <row r="8602" spans="3:5" x14ac:dyDescent="0.25">
      <c r="C8602" s="4"/>
      <c r="E8602" s="4"/>
    </row>
    <row r="8603" spans="3:5" x14ac:dyDescent="0.25">
      <c r="C8603" s="4"/>
      <c r="E8603" s="4"/>
    </row>
    <row r="8604" spans="3:5" x14ac:dyDescent="0.25">
      <c r="C8604" s="4"/>
      <c r="E8604" s="4"/>
    </row>
    <row r="8605" spans="3:5" x14ac:dyDescent="0.25">
      <c r="C8605" s="4"/>
      <c r="E8605" s="4"/>
    </row>
    <row r="8606" spans="3:5" x14ac:dyDescent="0.25">
      <c r="C8606" s="4"/>
      <c r="E8606" s="4"/>
    </row>
    <row r="8607" spans="3:5" x14ac:dyDescent="0.25">
      <c r="C8607" s="4"/>
      <c r="E8607" s="4"/>
    </row>
    <row r="8608" spans="3:5" x14ac:dyDescent="0.25">
      <c r="C8608" s="4"/>
      <c r="E8608" s="4"/>
    </row>
    <row r="8609" spans="3:5" x14ac:dyDescent="0.25">
      <c r="C8609" s="4"/>
      <c r="E8609" s="4"/>
    </row>
    <row r="8610" spans="3:5" x14ac:dyDescent="0.25">
      <c r="C8610" s="4"/>
      <c r="E8610" s="4"/>
    </row>
    <row r="8611" spans="3:5" x14ac:dyDescent="0.25">
      <c r="C8611" s="4"/>
      <c r="E8611" s="4"/>
    </row>
    <row r="8612" spans="3:5" x14ac:dyDescent="0.25">
      <c r="C8612" s="4"/>
      <c r="E8612" s="4"/>
    </row>
    <row r="8613" spans="3:5" x14ac:dyDescent="0.25">
      <c r="C8613" s="4"/>
      <c r="E8613" s="4"/>
    </row>
    <row r="8614" spans="3:5" x14ac:dyDescent="0.25">
      <c r="C8614" s="4"/>
      <c r="E8614" s="4"/>
    </row>
    <row r="8615" spans="3:5" x14ac:dyDescent="0.25">
      <c r="C8615" s="4"/>
      <c r="E8615" s="4"/>
    </row>
    <row r="8616" spans="3:5" x14ac:dyDescent="0.25">
      <c r="C8616" s="4"/>
      <c r="E8616" s="4"/>
    </row>
    <row r="8617" spans="3:5" x14ac:dyDescent="0.25">
      <c r="C8617" s="4"/>
      <c r="E8617" s="4"/>
    </row>
    <row r="8618" spans="3:5" x14ac:dyDescent="0.25">
      <c r="C8618" s="4"/>
      <c r="E8618" s="4"/>
    </row>
    <row r="8619" spans="3:5" x14ac:dyDescent="0.25">
      <c r="C8619" s="4"/>
      <c r="E8619" s="4"/>
    </row>
    <row r="8620" spans="3:5" x14ac:dyDescent="0.25">
      <c r="C8620" s="4"/>
      <c r="E8620" s="4"/>
    </row>
    <row r="8621" spans="3:5" x14ac:dyDescent="0.25">
      <c r="C8621" s="4"/>
      <c r="E8621" s="4"/>
    </row>
    <row r="8622" spans="3:5" x14ac:dyDescent="0.25">
      <c r="C8622" s="4"/>
      <c r="E8622" s="4"/>
    </row>
    <row r="8623" spans="3:5" x14ac:dyDescent="0.25">
      <c r="C8623" s="4"/>
      <c r="E8623" s="4"/>
    </row>
    <row r="8624" spans="3:5" x14ac:dyDescent="0.25">
      <c r="C8624" s="4"/>
      <c r="E8624" s="4"/>
    </row>
    <row r="8625" spans="3:5" x14ac:dyDescent="0.25">
      <c r="C8625" s="4"/>
      <c r="E8625" s="4"/>
    </row>
    <row r="8626" spans="3:5" x14ac:dyDescent="0.25">
      <c r="C8626" s="4"/>
      <c r="E8626" s="4"/>
    </row>
    <row r="8627" spans="3:5" x14ac:dyDescent="0.25">
      <c r="C8627" s="4"/>
      <c r="E8627" s="4"/>
    </row>
    <row r="8628" spans="3:5" x14ac:dyDescent="0.25">
      <c r="C8628" s="4"/>
      <c r="E8628" s="4"/>
    </row>
    <row r="8629" spans="3:5" x14ac:dyDescent="0.25">
      <c r="C8629" s="4"/>
      <c r="E8629" s="4"/>
    </row>
    <row r="8630" spans="3:5" x14ac:dyDescent="0.25">
      <c r="C8630" s="4"/>
      <c r="E8630" s="4"/>
    </row>
    <row r="8631" spans="3:5" x14ac:dyDescent="0.25">
      <c r="C8631" s="4"/>
      <c r="E8631" s="4"/>
    </row>
    <row r="8632" spans="3:5" x14ac:dyDescent="0.25">
      <c r="C8632" s="4"/>
      <c r="E8632" s="4"/>
    </row>
    <row r="8633" spans="3:5" x14ac:dyDescent="0.25">
      <c r="C8633" s="4"/>
      <c r="E8633" s="4"/>
    </row>
    <row r="8634" spans="3:5" x14ac:dyDescent="0.25">
      <c r="C8634" s="4"/>
      <c r="E8634" s="4"/>
    </row>
    <row r="8635" spans="3:5" x14ac:dyDescent="0.25">
      <c r="C8635" s="4"/>
      <c r="E8635" s="4"/>
    </row>
    <row r="8636" spans="3:5" x14ac:dyDescent="0.25">
      <c r="C8636" s="4"/>
      <c r="E8636" s="4"/>
    </row>
    <row r="8637" spans="3:5" x14ac:dyDescent="0.25">
      <c r="C8637" s="4"/>
      <c r="E8637" s="4"/>
    </row>
    <row r="8638" spans="3:5" x14ac:dyDescent="0.25">
      <c r="C8638" s="4"/>
      <c r="E8638" s="4"/>
    </row>
    <row r="8639" spans="3:5" x14ac:dyDescent="0.25">
      <c r="C8639" s="4"/>
      <c r="E8639" s="4"/>
    </row>
    <row r="8640" spans="3:5" x14ac:dyDescent="0.25">
      <c r="C8640" s="4"/>
      <c r="E8640" s="4"/>
    </row>
    <row r="8641" spans="3:5" x14ac:dyDescent="0.25">
      <c r="C8641" s="4"/>
      <c r="E8641" s="4"/>
    </row>
    <row r="8642" spans="3:5" x14ac:dyDescent="0.25">
      <c r="C8642" s="4"/>
      <c r="E8642" s="4"/>
    </row>
    <row r="8643" spans="3:5" x14ac:dyDescent="0.25">
      <c r="C8643" s="4"/>
      <c r="E8643" s="4"/>
    </row>
    <row r="8644" spans="3:5" x14ac:dyDescent="0.25">
      <c r="C8644" s="4"/>
      <c r="E8644" s="4"/>
    </row>
    <row r="8645" spans="3:5" x14ac:dyDescent="0.25">
      <c r="C8645" s="4"/>
      <c r="E8645" s="4"/>
    </row>
    <row r="8646" spans="3:5" x14ac:dyDescent="0.25">
      <c r="C8646" s="4"/>
      <c r="E8646" s="4"/>
    </row>
    <row r="8647" spans="3:5" x14ac:dyDescent="0.25">
      <c r="C8647" s="4"/>
      <c r="E8647" s="4"/>
    </row>
    <row r="8648" spans="3:5" x14ac:dyDescent="0.25">
      <c r="C8648" s="4"/>
      <c r="E8648" s="4"/>
    </row>
    <row r="8649" spans="3:5" x14ac:dyDescent="0.25">
      <c r="C8649" s="4"/>
      <c r="E8649" s="4"/>
    </row>
    <row r="8650" spans="3:5" x14ac:dyDescent="0.25">
      <c r="C8650" s="4"/>
      <c r="E8650" s="4"/>
    </row>
    <row r="8651" spans="3:5" x14ac:dyDescent="0.25">
      <c r="C8651" s="4"/>
      <c r="E8651" s="4"/>
    </row>
    <row r="8652" spans="3:5" x14ac:dyDescent="0.25">
      <c r="C8652" s="4"/>
      <c r="E8652" s="4"/>
    </row>
    <row r="8653" spans="3:5" x14ac:dyDescent="0.25">
      <c r="C8653" s="4"/>
      <c r="E8653" s="4"/>
    </row>
    <row r="8654" spans="3:5" x14ac:dyDescent="0.25">
      <c r="C8654" s="4"/>
      <c r="E8654" s="4"/>
    </row>
    <row r="8655" spans="3:5" x14ac:dyDescent="0.25">
      <c r="C8655" s="4"/>
      <c r="E8655" s="4"/>
    </row>
    <row r="8656" spans="3:5" x14ac:dyDescent="0.25">
      <c r="C8656" s="4"/>
      <c r="E8656" s="4"/>
    </row>
    <row r="8657" spans="3:5" x14ac:dyDescent="0.25">
      <c r="C8657" s="4"/>
      <c r="E8657" s="4"/>
    </row>
    <row r="8658" spans="3:5" x14ac:dyDescent="0.25">
      <c r="C8658" s="4"/>
      <c r="E8658" s="4"/>
    </row>
    <row r="8659" spans="3:5" x14ac:dyDescent="0.25">
      <c r="C8659" s="4"/>
      <c r="E8659" s="4"/>
    </row>
    <row r="8660" spans="3:5" x14ac:dyDescent="0.25">
      <c r="C8660" s="4"/>
      <c r="E8660" s="4"/>
    </row>
    <row r="8661" spans="3:5" x14ac:dyDescent="0.25">
      <c r="C8661" s="4"/>
      <c r="E8661" s="4"/>
    </row>
    <row r="8662" spans="3:5" x14ac:dyDescent="0.25">
      <c r="C8662" s="4"/>
      <c r="E8662" s="4"/>
    </row>
    <row r="8663" spans="3:5" x14ac:dyDescent="0.25">
      <c r="C8663" s="4"/>
      <c r="E8663" s="4"/>
    </row>
    <row r="8664" spans="3:5" x14ac:dyDescent="0.25">
      <c r="C8664" s="4"/>
      <c r="E8664" s="4"/>
    </row>
    <row r="8665" spans="3:5" x14ac:dyDescent="0.25">
      <c r="C8665" s="4"/>
      <c r="E8665" s="4"/>
    </row>
    <row r="8666" spans="3:5" x14ac:dyDescent="0.25">
      <c r="C8666" s="4"/>
      <c r="E8666" s="4"/>
    </row>
    <row r="8667" spans="3:5" x14ac:dyDescent="0.25">
      <c r="C8667" s="4"/>
      <c r="E8667" s="4"/>
    </row>
    <row r="8668" spans="3:5" x14ac:dyDescent="0.25">
      <c r="C8668" s="4"/>
      <c r="E8668" s="4"/>
    </row>
    <row r="8669" spans="3:5" x14ac:dyDescent="0.25">
      <c r="C8669" s="4"/>
      <c r="E8669" s="4"/>
    </row>
    <row r="8670" spans="3:5" x14ac:dyDescent="0.25">
      <c r="C8670" s="4"/>
      <c r="E8670" s="4"/>
    </row>
    <row r="8671" spans="3:5" x14ac:dyDescent="0.25">
      <c r="C8671" s="4"/>
      <c r="E8671" s="4"/>
    </row>
    <row r="8672" spans="3:5" x14ac:dyDescent="0.25">
      <c r="C8672" s="4"/>
      <c r="E8672" s="4"/>
    </row>
    <row r="8673" spans="3:5" x14ac:dyDescent="0.25">
      <c r="C8673" s="4"/>
      <c r="E8673" s="4"/>
    </row>
    <row r="8674" spans="3:5" x14ac:dyDescent="0.25">
      <c r="C8674" s="4"/>
      <c r="E8674" s="4"/>
    </row>
    <row r="8675" spans="3:5" x14ac:dyDescent="0.25">
      <c r="C8675" s="4"/>
      <c r="E8675" s="4"/>
    </row>
    <row r="8676" spans="3:5" x14ac:dyDescent="0.25">
      <c r="C8676" s="4"/>
      <c r="E8676" s="4"/>
    </row>
    <row r="8677" spans="3:5" x14ac:dyDescent="0.25">
      <c r="C8677" s="4"/>
      <c r="E8677" s="4"/>
    </row>
    <row r="8678" spans="3:5" x14ac:dyDescent="0.25">
      <c r="C8678" s="4"/>
      <c r="E8678" s="4"/>
    </row>
    <row r="8679" spans="3:5" x14ac:dyDescent="0.25">
      <c r="C8679" s="4"/>
      <c r="E8679" s="4"/>
    </row>
    <row r="8680" spans="3:5" x14ac:dyDescent="0.25">
      <c r="C8680" s="4"/>
      <c r="E8680" s="4"/>
    </row>
    <row r="8681" spans="3:5" x14ac:dyDescent="0.25">
      <c r="C8681" s="4"/>
      <c r="E8681" s="4"/>
    </row>
    <row r="8682" spans="3:5" x14ac:dyDescent="0.25">
      <c r="C8682" s="4"/>
      <c r="E8682" s="4"/>
    </row>
    <row r="8683" spans="3:5" x14ac:dyDescent="0.25">
      <c r="C8683" s="4"/>
      <c r="E8683" s="4"/>
    </row>
    <row r="8684" spans="3:5" x14ac:dyDescent="0.25">
      <c r="C8684" s="4"/>
      <c r="E8684" s="4"/>
    </row>
    <row r="8685" spans="3:5" x14ac:dyDescent="0.25">
      <c r="C8685" s="4"/>
      <c r="E8685" s="4"/>
    </row>
    <row r="8686" spans="3:5" x14ac:dyDescent="0.25">
      <c r="C8686" s="4"/>
      <c r="E8686" s="4"/>
    </row>
    <row r="8687" spans="3:5" x14ac:dyDescent="0.25">
      <c r="C8687" s="4"/>
      <c r="E8687" s="4"/>
    </row>
    <row r="8688" spans="3:5" x14ac:dyDescent="0.25">
      <c r="C8688" s="4"/>
      <c r="E8688" s="4"/>
    </row>
    <row r="8689" spans="3:5" x14ac:dyDescent="0.25">
      <c r="C8689" s="4"/>
      <c r="E8689" s="4"/>
    </row>
    <row r="8690" spans="3:5" x14ac:dyDescent="0.25">
      <c r="C8690" s="4"/>
      <c r="E8690" s="4"/>
    </row>
    <row r="8691" spans="3:5" x14ac:dyDescent="0.25">
      <c r="C8691" s="4"/>
      <c r="E8691" s="4"/>
    </row>
    <row r="8692" spans="3:5" x14ac:dyDescent="0.25">
      <c r="C8692" s="4"/>
      <c r="E8692" s="4"/>
    </row>
    <row r="8693" spans="3:5" x14ac:dyDescent="0.25">
      <c r="C8693" s="4"/>
      <c r="E8693" s="4"/>
    </row>
    <row r="8694" spans="3:5" x14ac:dyDescent="0.25">
      <c r="C8694" s="4"/>
      <c r="E8694" s="4"/>
    </row>
    <row r="8695" spans="3:5" x14ac:dyDescent="0.25">
      <c r="C8695" s="4"/>
      <c r="E8695" s="4"/>
    </row>
    <row r="8696" spans="3:5" x14ac:dyDescent="0.25">
      <c r="C8696" s="4"/>
      <c r="E8696" s="4"/>
    </row>
    <row r="8697" spans="3:5" x14ac:dyDescent="0.25">
      <c r="C8697" s="4"/>
      <c r="E8697" s="4"/>
    </row>
    <row r="8698" spans="3:5" x14ac:dyDescent="0.25">
      <c r="C8698" s="4"/>
      <c r="E8698" s="4"/>
    </row>
    <row r="8699" spans="3:5" x14ac:dyDescent="0.25">
      <c r="C8699" s="4"/>
      <c r="E8699" s="4"/>
    </row>
    <row r="8700" spans="3:5" x14ac:dyDescent="0.25">
      <c r="C8700" s="4"/>
      <c r="E8700" s="4"/>
    </row>
    <row r="8701" spans="3:5" x14ac:dyDescent="0.25">
      <c r="C8701" s="4"/>
      <c r="E8701" s="4"/>
    </row>
    <row r="8702" spans="3:5" x14ac:dyDescent="0.25">
      <c r="C8702" s="4"/>
      <c r="E8702" s="4"/>
    </row>
    <row r="8703" spans="3:5" x14ac:dyDescent="0.25">
      <c r="C8703" s="4"/>
      <c r="E8703" s="4"/>
    </row>
    <row r="8704" spans="3:5" x14ac:dyDescent="0.25">
      <c r="C8704" s="4"/>
      <c r="E8704" s="4"/>
    </row>
    <row r="8705" spans="3:5" x14ac:dyDescent="0.25">
      <c r="C8705" s="4"/>
      <c r="E8705" s="4"/>
    </row>
    <row r="8706" spans="3:5" x14ac:dyDescent="0.25">
      <c r="C8706" s="4"/>
      <c r="E8706" s="4"/>
    </row>
    <row r="8707" spans="3:5" x14ac:dyDescent="0.25">
      <c r="C8707" s="4"/>
      <c r="E8707" s="4"/>
    </row>
    <row r="8708" spans="3:5" x14ac:dyDescent="0.25">
      <c r="C8708" s="4"/>
      <c r="E8708" s="4"/>
    </row>
    <row r="8709" spans="3:5" x14ac:dyDescent="0.25">
      <c r="C8709" s="4"/>
      <c r="E8709" s="4"/>
    </row>
    <row r="8710" spans="3:5" x14ac:dyDescent="0.25">
      <c r="C8710" s="4"/>
      <c r="E8710" s="4"/>
    </row>
    <row r="8711" spans="3:5" x14ac:dyDescent="0.25">
      <c r="C8711" s="4"/>
      <c r="E8711" s="4"/>
    </row>
    <row r="8712" spans="3:5" x14ac:dyDescent="0.25">
      <c r="C8712" s="4"/>
      <c r="E8712" s="4"/>
    </row>
    <row r="8713" spans="3:5" x14ac:dyDescent="0.25">
      <c r="C8713" s="4"/>
      <c r="E8713" s="4"/>
    </row>
    <row r="8714" spans="3:5" x14ac:dyDescent="0.25">
      <c r="C8714" s="4"/>
      <c r="E8714" s="4"/>
    </row>
    <row r="8715" spans="3:5" x14ac:dyDescent="0.25">
      <c r="C8715" s="4"/>
      <c r="E8715" s="4"/>
    </row>
    <row r="8716" spans="3:5" x14ac:dyDescent="0.25">
      <c r="C8716" s="4"/>
      <c r="E8716" s="4"/>
    </row>
    <row r="8717" spans="3:5" x14ac:dyDescent="0.25">
      <c r="C8717" s="4"/>
      <c r="E8717" s="4"/>
    </row>
    <row r="8718" spans="3:5" x14ac:dyDescent="0.25">
      <c r="C8718" s="4"/>
      <c r="E8718" s="4"/>
    </row>
    <row r="8719" spans="3:5" x14ac:dyDescent="0.25">
      <c r="C8719" s="4"/>
      <c r="E8719" s="4"/>
    </row>
    <row r="8720" spans="3:5" x14ac:dyDescent="0.25">
      <c r="C8720" s="4"/>
      <c r="E8720" s="4"/>
    </row>
    <row r="8721" spans="3:5" x14ac:dyDescent="0.25">
      <c r="C8721" s="4"/>
      <c r="E8721" s="4"/>
    </row>
    <row r="8722" spans="3:5" x14ac:dyDescent="0.25">
      <c r="C8722" s="4"/>
      <c r="E8722" s="4"/>
    </row>
    <row r="8723" spans="3:5" x14ac:dyDescent="0.25">
      <c r="C8723" s="4"/>
      <c r="E8723" s="4"/>
    </row>
    <row r="8724" spans="3:5" x14ac:dyDescent="0.25">
      <c r="C8724" s="4"/>
      <c r="E8724" s="4"/>
    </row>
    <row r="8725" spans="3:5" x14ac:dyDescent="0.25">
      <c r="C8725" s="4"/>
      <c r="E8725" s="4"/>
    </row>
    <row r="8726" spans="3:5" x14ac:dyDescent="0.25">
      <c r="C8726" s="4"/>
      <c r="E8726" s="4"/>
    </row>
    <row r="8727" spans="3:5" x14ac:dyDescent="0.25">
      <c r="C8727" s="4"/>
      <c r="E8727" s="4"/>
    </row>
    <row r="8728" spans="3:5" x14ac:dyDescent="0.25">
      <c r="C8728" s="4"/>
      <c r="E8728" s="4"/>
    </row>
    <row r="8729" spans="3:5" x14ac:dyDescent="0.25">
      <c r="C8729" s="4"/>
      <c r="E8729" s="4"/>
    </row>
    <row r="8730" spans="3:5" x14ac:dyDescent="0.25">
      <c r="C8730" s="4"/>
      <c r="E8730" s="4"/>
    </row>
    <row r="8731" spans="3:5" x14ac:dyDescent="0.25">
      <c r="C8731" s="4"/>
      <c r="E8731" s="4"/>
    </row>
    <row r="8732" spans="3:5" x14ac:dyDescent="0.25">
      <c r="C8732" s="4"/>
      <c r="E8732" s="4"/>
    </row>
    <row r="8733" spans="3:5" x14ac:dyDescent="0.25">
      <c r="C8733" s="4"/>
      <c r="E8733" s="4"/>
    </row>
    <row r="8734" spans="3:5" x14ac:dyDescent="0.25">
      <c r="C8734" s="4"/>
      <c r="E8734" s="4"/>
    </row>
    <row r="8735" spans="3:5" x14ac:dyDescent="0.25">
      <c r="C8735" s="4"/>
      <c r="E8735" s="4"/>
    </row>
    <row r="8736" spans="3:5" x14ac:dyDescent="0.25">
      <c r="C8736" s="4"/>
      <c r="E8736" s="4"/>
    </row>
    <row r="8737" spans="3:5" x14ac:dyDescent="0.25">
      <c r="C8737" s="4"/>
      <c r="E8737" s="4"/>
    </row>
    <row r="8738" spans="3:5" x14ac:dyDescent="0.25">
      <c r="C8738" s="4"/>
      <c r="E8738" s="4"/>
    </row>
    <row r="8739" spans="3:5" x14ac:dyDescent="0.25">
      <c r="C8739" s="4"/>
      <c r="E8739" s="4"/>
    </row>
    <row r="8740" spans="3:5" x14ac:dyDescent="0.25">
      <c r="C8740" s="4"/>
      <c r="E8740" s="4"/>
    </row>
    <row r="8741" spans="3:5" x14ac:dyDescent="0.25">
      <c r="C8741" s="4"/>
      <c r="E8741" s="4"/>
    </row>
    <row r="8742" spans="3:5" x14ac:dyDescent="0.25">
      <c r="C8742" s="4"/>
      <c r="E8742" s="4"/>
    </row>
    <row r="8743" spans="3:5" x14ac:dyDescent="0.25">
      <c r="C8743" s="4"/>
      <c r="E8743" s="4"/>
    </row>
    <row r="8744" spans="3:5" x14ac:dyDescent="0.25">
      <c r="C8744" s="4"/>
      <c r="E8744" s="4"/>
    </row>
    <row r="8745" spans="3:5" x14ac:dyDescent="0.25">
      <c r="C8745" s="4"/>
      <c r="E8745" s="4"/>
    </row>
    <row r="8746" spans="3:5" x14ac:dyDescent="0.25">
      <c r="C8746" s="4"/>
      <c r="E8746" s="4"/>
    </row>
    <row r="8747" spans="3:5" x14ac:dyDescent="0.25">
      <c r="C8747" s="4"/>
      <c r="E8747" s="4"/>
    </row>
    <row r="8748" spans="3:5" x14ac:dyDescent="0.25">
      <c r="C8748" s="4"/>
      <c r="E8748" s="4"/>
    </row>
    <row r="8749" spans="3:5" x14ac:dyDescent="0.25">
      <c r="C8749" s="4"/>
      <c r="E8749" s="4"/>
    </row>
    <row r="8750" spans="3:5" x14ac:dyDescent="0.25">
      <c r="C8750" s="4"/>
      <c r="E8750" s="4"/>
    </row>
    <row r="8751" spans="3:5" x14ac:dyDescent="0.25">
      <c r="C8751" s="4"/>
      <c r="E8751" s="4"/>
    </row>
    <row r="8752" spans="3:5" x14ac:dyDescent="0.25">
      <c r="C8752" s="4"/>
      <c r="E8752" s="4"/>
    </row>
    <row r="8753" spans="3:5" x14ac:dyDescent="0.25">
      <c r="C8753" s="4"/>
      <c r="E8753" s="4"/>
    </row>
    <row r="8754" spans="3:5" x14ac:dyDescent="0.25">
      <c r="C8754" s="4"/>
      <c r="E8754" s="4"/>
    </row>
    <row r="8755" spans="3:5" x14ac:dyDescent="0.25">
      <c r="C8755" s="4"/>
      <c r="E8755" s="4"/>
    </row>
    <row r="8756" spans="3:5" x14ac:dyDescent="0.25">
      <c r="C8756" s="4"/>
      <c r="E8756" s="4"/>
    </row>
    <row r="8757" spans="3:5" x14ac:dyDescent="0.25">
      <c r="C8757" s="4"/>
      <c r="E8757" s="4"/>
    </row>
    <row r="8758" spans="3:5" x14ac:dyDescent="0.25">
      <c r="C8758" s="4"/>
      <c r="E8758" s="4"/>
    </row>
    <row r="8759" spans="3:5" x14ac:dyDescent="0.25">
      <c r="C8759" s="4"/>
      <c r="E8759" s="4"/>
    </row>
    <row r="8760" spans="3:5" x14ac:dyDescent="0.25">
      <c r="C8760" s="4"/>
      <c r="E8760" s="4"/>
    </row>
    <row r="8761" spans="3:5" x14ac:dyDescent="0.25">
      <c r="C8761" s="4"/>
      <c r="E8761" s="4"/>
    </row>
    <row r="8762" spans="3:5" x14ac:dyDescent="0.25">
      <c r="C8762" s="4"/>
      <c r="E8762" s="4"/>
    </row>
    <row r="8763" spans="3:5" x14ac:dyDescent="0.25">
      <c r="C8763" s="4"/>
      <c r="E8763" s="4"/>
    </row>
    <row r="8764" spans="3:5" x14ac:dyDescent="0.25">
      <c r="C8764" s="4"/>
      <c r="E8764" s="4"/>
    </row>
    <row r="8765" spans="3:5" x14ac:dyDescent="0.25">
      <c r="C8765" s="4"/>
      <c r="E8765" s="4"/>
    </row>
    <row r="8766" spans="3:5" x14ac:dyDescent="0.25">
      <c r="C8766" s="4"/>
      <c r="E8766" s="4"/>
    </row>
    <row r="8767" spans="3:5" x14ac:dyDescent="0.25">
      <c r="C8767" s="4"/>
      <c r="E8767" s="4"/>
    </row>
    <row r="8768" spans="3:5" x14ac:dyDescent="0.25">
      <c r="C8768" s="4"/>
      <c r="E8768" s="4"/>
    </row>
    <row r="8769" spans="3:5" x14ac:dyDescent="0.25">
      <c r="C8769" s="4"/>
      <c r="E8769" s="4"/>
    </row>
    <row r="8770" spans="3:5" x14ac:dyDescent="0.25">
      <c r="C8770" s="4"/>
      <c r="E8770" s="4"/>
    </row>
    <row r="8771" spans="3:5" x14ac:dyDescent="0.25">
      <c r="C8771" s="4"/>
      <c r="E8771" s="4"/>
    </row>
    <row r="8772" spans="3:5" x14ac:dyDescent="0.25">
      <c r="C8772" s="4"/>
      <c r="E8772" s="4"/>
    </row>
    <row r="8773" spans="3:5" x14ac:dyDescent="0.25">
      <c r="C8773" s="4"/>
      <c r="E8773" s="4"/>
    </row>
    <row r="8774" spans="3:5" x14ac:dyDescent="0.25">
      <c r="C8774" s="4"/>
      <c r="E8774" s="4"/>
    </row>
    <row r="8775" spans="3:5" x14ac:dyDescent="0.25">
      <c r="C8775" s="4"/>
      <c r="E8775" s="4"/>
    </row>
    <row r="8776" spans="3:5" x14ac:dyDescent="0.25">
      <c r="C8776" s="4"/>
      <c r="E8776" s="4"/>
    </row>
    <row r="8777" spans="3:5" x14ac:dyDescent="0.25">
      <c r="C8777" s="4"/>
      <c r="E8777" s="4"/>
    </row>
    <row r="8778" spans="3:5" x14ac:dyDescent="0.25">
      <c r="C8778" s="4"/>
      <c r="E8778" s="4"/>
    </row>
    <row r="8779" spans="3:5" x14ac:dyDescent="0.25">
      <c r="C8779" s="4"/>
      <c r="E8779" s="4"/>
    </row>
    <row r="8780" spans="3:5" x14ac:dyDescent="0.25">
      <c r="C8780" s="4"/>
      <c r="E8780" s="4"/>
    </row>
    <row r="8781" spans="3:5" x14ac:dyDescent="0.25">
      <c r="C8781" s="4"/>
      <c r="E8781" s="4"/>
    </row>
    <row r="8782" spans="3:5" x14ac:dyDescent="0.25">
      <c r="C8782" s="4"/>
      <c r="E8782" s="4"/>
    </row>
    <row r="8783" spans="3:5" x14ac:dyDescent="0.25">
      <c r="C8783" s="4"/>
      <c r="E8783" s="4"/>
    </row>
    <row r="8784" spans="3:5" x14ac:dyDescent="0.25">
      <c r="C8784" s="4"/>
      <c r="E8784" s="4"/>
    </row>
    <row r="8785" spans="3:5" x14ac:dyDescent="0.25">
      <c r="C8785" s="4"/>
      <c r="E8785" s="4"/>
    </row>
    <row r="8786" spans="3:5" x14ac:dyDescent="0.25">
      <c r="C8786" s="4"/>
      <c r="E8786" s="4"/>
    </row>
    <row r="8787" spans="3:5" x14ac:dyDescent="0.25">
      <c r="C8787" s="4"/>
      <c r="E8787" s="4"/>
    </row>
    <row r="8788" spans="3:5" x14ac:dyDescent="0.25">
      <c r="C8788" s="4"/>
      <c r="E8788" s="4"/>
    </row>
    <row r="8789" spans="3:5" x14ac:dyDescent="0.25">
      <c r="C8789" s="4"/>
      <c r="E8789" s="4"/>
    </row>
    <row r="8790" spans="3:5" x14ac:dyDescent="0.25">
      <c r="C8790" s="4"/>
      <c r="E8790" s="4"/>
    </row>
    <row r="8791" spans="3:5" x14ac:dyDescent="0.25">
      <c r="C8791" s="4"/>
      <c r="E8791" s="4"/>
    </row>
    <row r="8792" spans="3:5" x14ac:dyDescent="0.25">
      <c r="C8792" s="4"/>
      <c r="E8792" s="4"/>
    </row>
    <row r="8793" spans="3:5" x14ac:dyDescent="0.25">
      <c r="C8793" s="4"/>
      <c r="E8793" s="4"/>
    </row>
    <row r="8794" spans="3:5" x14ac:dyDescent="0.25">
      <c r="C8794" s="4"/>
      <c r="E8794" s="4"/>
    </row>
    <row r="8795" spans="3:5" x14ac:dyDescent="0.25">
      <c r="C8795" s="4"/>
      <c r="E8795" s="4"/>
    </row>
    <row r="8796" spans="3:5" x14ac:dyDescent="0.25">
      <c r="C8796" s="4"/>
      <c r="E8796" s="4"/>
    </row>
    <row r="8797" spans="3:5" x14ac:dyDescent="0.25">
      <c r="C8797" s="4"/>
      <c r="E8797" s="4"/>
    </row>
    <row r="8798" spans="3:5" x14ac:dyDescent="0.25">
      <c r="C8798" s="4"/>
      <c r="E8798" s="4"/>
    </row>
    <row r="8799" spans="3:5" x14ac:dyDescent="0.25">
      <c r="C8799" s="4"/>
      <c r="E8799" s="4"/>
    </row>
    <row r="8800" spans="3:5" x14ac:dyDescent="0.25">
      <c r="C8800" s="4"/>
      <c r="E8800" s="4"/>
    </row>
    <row r="8801" spans="3:5" x14ac:dyDescent="0.25">
      <c r="C8801" s="4"/>
      <c r="E8801" s="4"/>
    </row>
    <row r="8802" spans="3:5" x14ac:dyDescent="0.25">
      <c r="C8802" s="4"/>
      <c r="E8802" s="4"/>
    </row>
    <row r="8803" spans="3:5" x14ac:dyDescent="0.25">
      <c r="C8803" s="4"/>
      <c r="E8803" s="4"/>
    </row>
    <row r="8804" spans="3:5" x14ac:dyDescent="0.25">
      <c r="C8804" s="4"/>
      <c r="E8804" s="4"/>
    </row>
    <row r="8805" spans="3:5" x14ac:dyDescent="0.25">
      <c r="C8805" s="4"/>
      <c r="E8805" s="4"/>
    </row>
    <row r="8806" spans="3:5" x14ac:dyDescent="0.25">
      <c r="C8806" s="4"/>
      <c r="E8806" s="4"/>
    </row>
    <row r="8807" spans="3:5" x14ac:dyDescent="0.25">
      <c r="C8807" s="4"/>
      <c r="E8807" s="4"/>
    </row>
    <row r="8808" spans="3:5" x14ac:dyDescent="0.25">
      <c r="C8808" s="4"/>
      <c r="E8808" s="4"/>
    </row>
    <row r="8809" spans="3:5" x14ac:dyDescent="0.25">
      <c r="C8809" s="4"/>
      <c r="E8809" s="4"/>
    </row>
    <row r="8810" spans="3:5" x14ac:dyDescent="0.25">
      <c r="C8810" s="4"/>
      <c r="E8810" s="4"/>
    </row>
    <row r="8811" spans="3:5" x14ac:dyDescent="0.25">
      <c r="C8811" s="4"/>
      <c r="E8811" s="4"/>
    </row>
    <row r="8812" spans="3:5" x14ac:dyDescent="0.25">
      <c r="C8812" s="4"/>
      <c r="E8812" s="4"/>
    </row>
    <row r="8813" spans="3:5" x14ac:dyDescent="0.25">
      <c r="C8813" s="4"/>
      <c r="E8813" s="4"/>
    </row>
    <row r="8814" spans="3:5" x14ac:dyDescent="0.25">
      <c r="C8814" s="4"/>
      <c r="E8814" s="4"/>
    </row>
    <row r="8815" spans="3:5" x14ac:dyDescent="0.25">
      <c r="C8815" s="4"/>
      <c r="E8815" s="4"/>
    </row>
    <row r="8816" spans="3:5" x14ac:dyDescent="0.25">
      <c r="C8816" s="4"/>
      <c r="E8816" s="4"/>
    </row>
    <row r="8817" spans="3:5" x14ac:dyDescent="0.25">
      <c r="C8817" s="4"/>
      <c r="E8817" s="4"/>
    </row>
    <row r="8818" spans="3:5" x14ac:dyDescent="0.25">
      <c r="C8818" s="4"/>
      <c r="E8818" s="4"/>
    </row>
    <row r="8819" spans="3:5" x14ac:dyDescent="0.25">
      <c r="C8819" s="4"/>
      <c r="E8819" s="4"/>
    </row>
    <row r="8820" spans="3:5" x14ac:dyDescent="0.25">
      <c r="C8820" s="4"/>
      <c r="E8820" s="4"/>
    </row>
    <row r="8821" spans="3:5" x14ac:dyDescent="0.25">
      <c r="C8821" s="4"/>
      <c r="E8821" s="4"/>
    </row>
    <row r="8822" spans="3:5" x14ac:dyDescent="0.25">
      <c r="C8822" s="4"/>
      <c r="E8822" s="4"/>
    </row>
    <row r="8823" spans="3:5" x14ac:dyDescent="0.25">
      <c r="C8823" s="4"/>
      <c r="E8823" s="4"/>
    </row>
    <row r="8824" spans="3:5" x14ac:dyDescent="0.25">
      <c r="C8824" s="4"/>
      <c r="E8824" s="4"/>
    </row>
    <row r="8825" spans="3:5" x14ac:dyDescent="0.25">
      <c r="C8825" s="4"/>
      <c r="E8825" s="4"/>
    </row>
    <row r="8826" spans="3:5" x14ac:dyDescent="0.25">
      <c r="C8826" s="4"/>
      <c r="E8826" s="4"/>
    </row>
    <row r="8827" spans="3:5" x14ac:dyDescent="0.25">
      <c r="C8827" s="4"/>
      <c r="E8827" s="4"/>
    </row>
    <row r="8828" spans="3:5" x14ac:dyDescent="0.25">
      <c r="C8828" s="4"/>
      <c r="E8828" s="4"/>
    </row>
    <row r="8829" spans="3:5" x14ac:dyDescent="0.25">
      <c r="C8829" s="4"/>
      <c r="E8829" s="4"/>
    </row>
    <row r="8830" spans="3:5" x14ac:dyDescent="0.25">
      <c r="C8830" s="4"/>
      <c r="E8830" s="4"/>
    </row>
    <row r="8831" spans="3:5" x14ac:dyDescent="0.25">
      <c r="C8831" s="4"/>
      <c r="E8831" s="4"/>
    </row>
    <row r="8832" spans="3:5" x14ac:dyDescent="0.25">
      <c r="C8832" s="4"/>
      <c r="E8832" s="4"/>
    </row>
    <row r="8833" spans="3:5" x14ac:dyDescent="0.25">
      <c r="C8833" s="4"/>
      <c r="E8833" s="4"/>
    </row>
    <row r="8834" spans="3:5" x14ac:dyDescent="0.25">
      <c r="C8834" s="4"/>
      <c r="E8834" s="4"/>
    </row>
    <row r="8835" spans="3:5" x14ac:dyDescent="0.25">
      <c r="C8835" s="4"/>
      <c r="E8835" s="4"/>
    </row>
    <row r="8836" spans="3:5" x14ac:dyDescent="0.25">
      <c r="C8836" s="4"/>
      <c r="E8836" s="4"/>
    </row>
    <row r="8837" spans="3:5" x14ac:dyDescent="0.25">
      <c r="C8837" s="4"/>
      <c r="E8837" s="4"/>
    </row>
    <row r="8838" spans="3:5" x14ac:dyDescent="0.25">
      <c r="C8838" s="4"/>
      <c r="E8838" s="4"/>
    </row>
    <row r="8839" spans="3:5" x14ac:dyDescent="0.25">
      <c r="C8839" s="4"/>
      <c r="E8839" s="4"/>
    </row>
    <row r="8840" spans="3:5" x14ac:dyDescent="0.25">
      <c r="C8840" s="4"/>
      <c r="E8840" s="4"/>
    </row>
    <row r="8841" spans="3:5" x14ac:dyDescent="0.25">
      <c r="C8841" s="4"/>
      <c r="E8841" s="4"/>
    </row>
    <row r="8842" spans="3:5" x14ac:dyDescent="0.25">
      <c r="C8842" s="4"/>
      <c r="E8842" s="4"/>
    </row>
    <row r="8843" spans="3:5" x14ac:dyDescent="0.25">
      <c r="C8843" s="4"/>
      <c r="E8843" s="4"/>
    </row>
    <row r="8844" spans="3:5" x14ac:dyDescent="0.25">
      <c r="C8844" s="4"/>
      <c r="E8844" s="4"/>
    </row>
    <row r="8845" spans="3:5" x14ac:dyDescent="0.25">
      <c r="C8845" s="4"/>
      <c r="E8845" s="4"/>
    </row>
    <row r="8846" spans="3:5" x14ac:dyDescent="0.25">
      <c r="C8846" s="4"/>
      <c r="E8846" s="4"/>
    </row>
    <row r="8847" spans="3:5" x14ac:dyDescent="0.25">
      <c r="C8847" s="4"/>
      <c r="E8847" s="4"/>
    </row>
    <row r="8848" spans="3:5" x14ac:dyDescent="0.25">
      <c r="C8848" s="4"/>
      <c r="E8848" s="4"/>
    </row>
    <row r="8849" spans="3:5" x14ac:dyDescent="0.25">
      <c r="C8849" s="4"/>
      <c r="E8849" s="4"/>
    </row>
    <row r="8850" spans="3:5" x14ac:dyDescent="0.25">
      <c r="C8850" s="4"/>
      <c r="E8850" s="4"/>
    </row>
    <row r="8851" spans="3:5" x14ac:dyDescent="0.25">
      <c r="C8851" s="4"/>
      <c r="E8851" s="4"/>
    </row>
    <row r="8852" spans="3:5" x14ac:dyDescent="0.25">
      <c r="C8852" s="4"/>
      <c r="E8852" s="4"/>
    </row>
    <row r="8853" spans="3:5" x14ac:dyDescent="0.25">
      <c r="C8853" s="4"/>
      <c r="E8853" s="4"/>
    </row>
    <row r="8854" spans="3:5" x14ac:dyDescent="0.25">
      <c r="C8854" s="4"/>
      <c r="E8854" s="4"/>
    </row>
    <row r="8855" spans="3:5" x14ac:dyDescent="0.25">
      <c r="C8855" s="4"/>
      <c r="E8855" s="4"/>
    </row>
    <row r="8856" spans="3:5" x14ac:dyDescent="0.25">
      <c r="C8856" s="4"/>
      <c r="E8856" s="4"/>
    </row>
    <row r="8857" spans="3:5" x14ac:dyDescent="0.25">
      <c r="C8857" s="4"/>
      <c r="E8857" s="4"/>
    </row>
    <row r="8858" spans="3:5" x14ac:dyDescent="0.25">
      <c r="C8858" s="4"/>
      <c r="E8858" s="4"/>
    </row>
    <row r="8859" spans="3:5" x14ac:dyDescent="0.25">
      <c r="C8859" s="4"/>
      <c r="E8859" s="4"/>
    </row>
    <row r="8860" spans="3:5" x14ac:dyDescent="0.25">
      <c r="C8860" s="4"/>
      <c r="E8860" s="4"/>
    </row>
    <row r="8861" spans="3:5" x14ac:dyDescent="0.25">
      <c r="C8861" s="4"/>
      <c r="E8861" s="4"/>
    </row>
    <row r="8862" spans="3:5" x14ac:dyDescent="0.25">
      <c r="C8862" s="4"/>
      <c r="E8862" s="4"/>
    </row>
    <row r="8863" spans="3:5" x14ac:dyDescent="0.25">
      <c r="C8863" s="4"/>
      <c r="E8863" s="4"/>
    </row>
    <row r="8864" spans="3:5" x14ac:dyDescent="0.25">
      <c r="C8864" s="4"/>
      <c r="E8864" s="4"/>
    </row>
    <row r="8865" spans="3:5" x14ac:dyDescent="0.25">
      <c r="C8865" s="4"/>
      <c r="E8865" s="4"/>
    </row>
    <row r="8866" spans="3:5" x14ac:dyDescent="0.25">
      <c r="C8866" s="4"/>
      <c r="E8866" s="4"/>
    </row>
    <row r="8867" spans="3:5" x14ac:dyDescent="0.25">
      <c r="C8867" s="4"/>
      <c r="E8867" s="4"/>
    </row>
    <row r="8868" spans="3:5" x14ac:dyDescent="0.25">
      <c r="C8868" s="4"/>
      <c r="E8868" s="4"/>
    </row>
    <row r="8869" spans="3:5" x14ac:dyDescent="0.25">
      <c r="C8869" s="4"/>
      <c r="E8869" s="4"/>
    </row>
    <row r="8870" spans="3:5" x14ac:dyDescent="0.25">
      <c r="C8870" s="4"/>
      <c r="E8870" s="4"/>
    </row>
    <row r="8871" spans="3:5" x14ac:dyDescent="0.25">
      <c r="C8871" s="4"/>
      <c r="E8871" s="4"/>
    </row>
    <row r="8872" spans="3:5" x14ac:dyDescent="0.25">
      <c r="C8872" s="4"/>
      <c r="E8872" s="4"/>
    </row>
    <row r="8873" spans="3:5" x14ac:dyDescent="0.25">
      <c r="C8873" s="4"/>
      <c r="E8873" s="4"/>
    </row>
    <row r="8874" spans="3:5" x14ac:dyDescent="0.25">
      <c r="C8874" s="4"/>
      <c r="E8874" s="4"/>
    </row>
    <row r="8875" spans="3:5" x14ac:dyDescent="0.25">
      <c r="C8875" s="4"/>
      <c r="E8875" s="4"/>
    </row>
    <row r="8876" spans="3:5" x14ac:dyDescent="0.25">
      <c r="C8876" s="4"/>
      <c r="E8876" s="4"/>
    </row>
    <row r="8877" spans="3:5" x14ac:dyDescent="0.25">
      <c r="C8877" s="4"/>
      <c r="E8877" s="4"/>
    </row>
    <row r="8878" spans="3:5" x14ac:dyDescent="0.25">
      <c r="C8878" s="4"/>
      <c r="E8878" s="4"/>
    </row>
    <row r="8879" spans="3:5" x14ac:dyDescent="0.25">
      <c r="C8879" s="4"/>
      <c r="E8879" s="4"/>
    </row>
    <row r="8880" spans="3:5" x14ac:dyDescent="0.25">
      <c r="C8880" s="4"/>
      <c r="E8880" s="4"/>
    </row>
    <row r="8881" spans="3:5" x14ac:dyDescent="0.25">
      <c r="C8881" s="4"/>
      <c r="E8881" s="4"/>
    </row>
    <row r="8882" spans="3:5" x14ac:dyDescent="0.25">
      <c r="C8882" s="4"/>
      <c r="E8882" s="4"/>
    </row>
    <row r="8883" spans="3:5" x14ac:dyDescent="0.25">
      <c r="C8883" s="4"/>
      <c r="E8883" s="4"/>
    </row>
    <row r="8884" spans="3:5" x14ac:dyDescent="0.25">
      <c r="C8884" s="4"/>
      <c r="E8884" s="4"/>
    </row>
    <row r="8885" spans="3:5" x14ac:dyDescent="0.25">
      <c r="C8885" s="4"/>
      <c r="E8885" s="4"/>
    </row>
    <row r="8886" spans="3:5" x14ac:dyDescent="0.25">
      <c r="C8886" s="4"/>
      <c r="E8886" s="4"/>
    </row>
    <row r="8887" spans="3:5" x14ac:dyDescent="0.25">
      <c r="C8887" s="4"/>
      <c r="E8887" s="4"/>
    </row>
    <row r="8888" spans="3:5" x14ac:dyDescent="0.25">
      <c r="C8888" s="4"/>
      <c r="E8888" s="4"/>
    </row>
    <row r="8889" spans="3:5" x14ac:dyDescent="0.25">
      <c r="C8889" s="4"/>
      <c r="E8889" s="4"/>
    </row>
    <row r="8890" spans="3:5" x14ac:dyDescent="0.25">
      <c r="C8890" s="4"/>
      <c r="E8890" s="4"/>
    </row>
    <row r="8891" spans="3:5" x14ac:dyDescent="0.25">
      <c r="C8891" s="4"/>
      <c r="E8891" s="4"/>
    </row>
    <row r="8892" spans="3:5" x14ac:dyDescent="0.25">
      <c r="C8892" s="4"/>
      <c r="E8892" s="4"/>
    </row>
    <row r="8893" spans="3:5" x14ac:dyDescent="0.25">
      <c r="C8893" s="4"/>
      <c r="E8893" s="4"/>
    </row>
    <row r="8894" spans="3:5" x14ac:dyDescent="0.25">
      <c r="C8894" s="4"/>
      <c r="E8894" s="4"/>
    </row>
    <row r="8895" spans="3:5" x14ac:dyDescent="0.25">
      <c r="C8895" s="4"/>
      <c r="E8895" s="4"/>
    </row>
    <row r="8896" spans="3:5" x14ac:dyDescent="0.25">
      <c r="C8896" s="4"/>
      <c r="E8896" s="4"/>
    </row>
    <row r="8897" spans="3:5" x14ac:dyDescent="0.25">
      <c r="C8897" s="4"/>
      <c r="E8897" s="4"/>
    </row>
    <row r="8898" spans="3:5" x14ac:dyDescent="0.25">
      <c r="C8898" s="4"/>
      <c r="E8898" s="4"/>
    </row>
    <row r="8899" spans="3:5" x14ac:dyDescent="0.25">
      <c r="C8899" s="4"/>
      <c r="E8899" s="4"/>
    </row>
    <row r="8900" spans="3:5" x14ac:dyDescent="0.25">
      <c r="C8900" s="4"/>
      <c r="E8900" s="4"/>
    </row>
    <row r="8901" spans="3:5" x14ac:dyDescent="0.25">
      <c r="C8901" s="4"/>
      <c r="E8901" s="4"/>
    </row>
    <row r="8902" spans="3:5" x14ac:dyDescent="0.25">
      <c r="C8902" s="4"/>
      <c r="E8902" s="4"/>
    </row>
    <row r="8903" spans="3:5" x14ac:dyDescent="0.25">
      <c r="C8903" s="4"/>
      <c r="E8903" s="4"/>
    </row>
    <row r="8904" spans="3:5" x14ac:dyDescent="0.25">
      <c r="C8904" s="4"/>
      <c r="E8904" s="4"/>
    </row>
    <row r="8905" spans="3:5" x14ac:dyDescent="0.25">
      <c r="C8905" s="4"/>
      <c r="E8905" s="4"/>
    </row>
    <row r="8906" spans="3:5" x14ac:dyDescent="0.25">
      <c r="C8906" s="4"/>
      <c r="E8906" s="4"/>
    </row>
    <row r="8907" spans="3:5" x14ac:dyDescent="0.25">
      <c r="C8907" s="4"/>
      <c r="E8907" s="4"/>
    </row>
    <row r="8908" spans="3:5" x14ac:dyDescent="0.25">
      <c r="C8908" s="4"/>
      <c r="E8908" s="4"/>
    </row>
    <row r="8909" spans="3:5" x14ac:dyDescent="0.25">
      <c r="C8909" s="4"/>
      <c r="E8909" s="4"/>
    </row>
    <row r="8910" spans="3:5" x14ac:dyDescent="0.25">
      <c r="C8910" s="4"/>
      <c r="E8910" s="4"/>
    </row>
    <row r="8911" spans="3:5" x14ac:dyDescent="0.25">
      <c r="C8911" s="4"/>
      <c r="E8911" s="4"/>
    </row>
    <row r="8912" spans="3:5" x14ac:dyDescent="0.25">
      <c r="C8912" s="4"/>
      <c r="E8912" s="4"/>
    </row>
    <row r="8913" spans="3:5" x14ac:dyDescent="0.25">
      <c r="C8913" s="4"/>
      <c r="E8913" s="4"/>
    </row>
    <row r="8914" spans="3:5" x14ac:dyDescent="0.25">
      <c r="C8914" s="4"/>
      <c r="E8914" s="4"/>
    </row>
    <row r="8915" spans="3:5" x14ac:dyDescent="0.25">
      <c r="C8915" s="4"/>
      <c r="E8915" s="4"/>
    </row>
    <row r="8916" spans="3:5" x14ac:dyDescent="0.25">
      <c r="C8916" s="4"/>
      <c r="E8916" s="4"/>
    </row>
    <row r="8917" spans="3:5" x14ac:dyDescent="0.25">
      <c r="C8917" s="4"/>
      <c r="E8917" s="4"/>
    </row>
    <row r="8918" spans="3:5" x14ac:dyDescent="0.25">
      <c r="C8918" s="4"/>
      <c r="E8918" s="4"/>
    </row>
    <row r="8919" spans="3:5" x14ac:dyDescent="0.25">
      <c r="C8919" s="4"/>
      <c r="E8919" s="4"/>
    </row>
    <row r="8920" spans="3:5" x14ac:dyDescent="0.25">
      <c r="C8920" s="4"/>
      <c r="E8920" s="4"/>
    </row>
    <row r="8921" spans="3:5" x14ac:dyDescent="0.25">
      <c r="C8921" s="4"/>
      <c r="E8921" s="4"/>
    </row>
    <row r="8922" spans="3:5" x14ac:dyDescent="0.25">
      <c r="C8922" s="4"/>
      <c r="E8922" s="4"/>
    </row>
    <row r="8923" spans="3:5" x14ac:dyDescent="0.25">
      <c r="C8923" s="4"/>
      <c r="E8923" s="4"/>
    </row>
    <row r="8924" spans="3:5" x14ac:dyDescent="0.25">
      <c r="C8924" s="4"/>
      <c r="E8924" s="4"/>
    </row>
    <row r="8925" spans="3:5" x14ac:dyDescent="0.25">
      <c r="C8925" s="4"/>
      <c r="E8925" s="4"/>
    </row>
    <row r="8926" spans="3:5" x14ac:dyDescent="0.25">
      <c r="C8926" s="4"/>
      <c r="E8926" s="4"/>
    </row>
    <row r="8927" spans="3:5" x14ac:dyDescent="0.25">
      <c r="C8927" s="4"/>
      <c r="E8927" s="4"/>
    </row>
    <row r="8928" spans="3:5" x14ac:dyDescent="0.25">
      <c r="C8928" s="4"/>
      <c r="E8928" s="4"/>
    </row>
    <row r="8929" spans="3:5" x14ac:dyDescent="0.25">
      <c r="C8929" s="4"/>
      <c r="E8929" s="4"/>
    </row>
    <row r="8930" spans="3:5" x14ac:dyDescent="0.25">
      <c r="C8930" s="4"/>
      <c r="E8930" s="4"/>
    </row>
    <row r="8931" spans="3:5" x14ac:dyDescent="0.25">
      <c r="C8931" s="4"/>
      <c r="E8931" s="4"/>
    </row>
    <row r="8932" spans="3:5" x14ac:dyDescent="0.25">
      <c r="C8932" s="4"/>
      <c r="E8932" s="4"/>
    </row>
    <row r="8933" spans="3:5" x14ac:dyDescent="0.25">
      <c r="C8933" s="4"/>
      <c r="E8933" s="4"/>
    </row>
    <row r="8934" spans="3:5" x14ac:dyDescent="0.25">
      <c r="C8934" s="4"/>
      <c r="E8934" s="4"/>
    </row>
    <row r="8935" spans="3:5" x14ac:dyDescent="0.25">
      <c r="C8935" s="4"/>
      <c r="E8935" s="4"/>
    </row>
    <row r="8936" spans="3:5" x14ac:dyDescent="0.25">
      <c r="C8936" s="4"/>
      <c r="E8936" s="4"/>
    </row>
    <row r="8937" spans="3:5" x14ac:dyDescent="0.25">
      <c r="C8937" s="4"/>
      <c r="E8937" s="4"/>
    </row>
    <row r="8938" spans="3:5" x14ac:dyDescent="0.25">
      <c r="C8938" s="4"/>
      <c r="E8938" s="4"/>
    </row>
    <row r="8939" spans="3:5" x14ac:dyDescent="0.25">
      <c r="C8939" s="4"/>
      <c r="E8939" s="4"/>
    </row>
    <row r="8940" spans="3:5" x14ac:dyDescent="0.25">
      <c r="C8940" s="4"/>
      <c r="E8940" s="4"/>
    </row>
    <row r="8941" spans="3:5" x14ac:dyDescent="0.25">
      <c r="C8941" s="4"/>
      <c r="E8941" s="4"/>
    </row>
    <row r="8942" spans="3:5" x14ac:dyDescent="0.25">
      <c r="C8942" s="4"/>
      <c r="E8942" s="4"/>
    </row>
    <row r="8943" spans="3:5" x14ac:dyDescent="0.25">
      <c r="C8943" s="4"/>
      <c r="E8943" s="4"/>
    </row>
    <row r="8944" spans="3:5" x14ac:dyDescent="0.25">
      <c r="C8944" s="4"/>
      <c r="E8944" s="4"/>
    </row>
    <row r="8945" spans="3:5" x14ac:dyDescent="0.25">
      <c r="C8945" s="4"/>
      <c r="E8945" s="4"/>
    </row>
    <row r="8946" spans="3:5" x14ac:dyDescent="0.25">
      <c r="C8946" s="4"/>
      <c r="E8946" s="4"/>
    </row>
    <row r="8947" spans="3:5" x14ac:dyDescent="0.25">
      <c r="C8947" s="4"/>
      <c r="E8947" s="4"/>
    </row>
    <row r="8948" spans="3:5" x14ac:dyDescent="0.25">
      <c r="C8948" s="4"/>
      <c r="E8948" s="4"/>
    </row>
    <row r="8949" spans="3:5" x14ac:dyDescent="0.25">
      <c r="C8949" s="4"/>
      <c r="E8949" s="4"/>
    </row>
    <row r="8950" spans="3:5" x14ac:dyDescent="0.25">
      <c r="C8950" s="4"/>
      <c r="E8950" s="4"/>
    </row>
    <row r="8951" spans="3:5" x14ac:dyDescent="0.25">
      <c r="C8951" s="4"/>
      <c r="E8951" s="4"/>
    </row>
    <row r="8952" spans="3:5" x14ac:dyDescent="0.25">
      <c r="C8952" s="4"/>
      <c r="E8952" s="4"/>
    </row>
    <row r="8953" spans="3:5" x14ac:dyDescent="0.25">
      <c r="C8953" s="4"/>
      <c r="E8953" s="4"/>
    </row>
    <row r="8954" spans="3:5" x14ac:dyDescent="0.25">
      <c r="C8954" s="4"/>
      <c r="E8954" s="4"/>
    </row>
    <row r="8955" spans="3:5" x14ac:dyDescent="0.25">
      <c r="C8955" s="4"/>
      <c r="E8955" s="4"/>
    </row>
    <row r="8956" spans="3:5" x14ac:dyDescent="0.25">
      <c r="C8956" s="4"/>
      <c r="E8956" s="4"/>
    </row>
    <row r="8957" spans="3:5" x14ac:dyDescent="0.25">
      <c r="C8957" s="4"/>
      <c r="E8957" s="4"/>
    </row>
    <row r="8958" spans="3:5" x14ac:dyDescent="0.25">
      <c r="C8958" s="4"/>
      <c r="E8958" s="4"/>
    </row>
    <row r="8959" spans="3:5" x14ac:dyDescent="0.25">
      <c r="C8959" s="4"/>
      <c r="E8959" s="4"/>
    </row>
    <row r="8960" spans="3:5" x14ac:dyDescent="0.25">
      <c r="C8960" s="4"/>
      <c r="E8960" s="4"/>
    </row>
    <row r="8961" spans="3:5" x14ac:dyDescent="0.25">
      <c r="C8961" s="4"/>
      <c r="E8961" s="4"/>
    </row>
    <row r="8962" spans="3:5" x14ac:dyDescent="0.25">
      <c r="C8962" s="4"/>
      <c r="E8962" s="4"/>
    </row>
    <row r="8963" spans="3:5" x14ac:dyDescent="0.25">
      <c r="C8963" s="4"/>
      <c r="E8963" s="4"/>
    </row>
    <row r="8964" spans="3:5" x14ac:dyDescent="0.25">
      <c r="C8964" s="4"/>
      <c r="E8964" s="4"/>
    </row>
    <row r="8965" spans="3:5" x14ac:dyDescent="0.25">
      <c r="C8965" s="4"/>
      <c r="E8965" s="4"/>
    </row>
    <row r="8966" spans="3:5" x14ac:dyDescent="0.25">
      <c r="C8966" s="4"/>
      <c r="E8966" s="4"/>
    </row>
    <row r="8967" spans="3:5" x14ac:dyDescent="0.25">
      <c r="C8967" s="4"/>
      <c r="E8967" s="4"/>
    </row>
    <row r="8968" spans="3:5" x14ac:dyDescent="0.25">
      <c r="C8968" s="4"/>
      <c r="E8968" s="4"/>
    </row>
    <row r="8969" spans="3:5" x14ac:dyDescent="0.25">
      <c r="C8969" s="4"/>
      <c r="E8969" s="4"/>
    </row>
    <row r="8970" spans="3:5" x14ac:dyDescent="0.25">
      <c r="C8970" s="4"/>
      <c r="E8970" s="4"/>
    </row>
    <row r="8971" spans="3:5" x14ac:dyDescent="0.25">
      <c r="C8971" s="4"/>
      <c r="E8971" s="4"/>
    </row>
    <row r="8972" spans="3:5" x14ac:dyDescent="0.25">
      <c r="C8972" s="4"/>
      <c r="E8972" s="4"/>
    </row>
    <row r="8973" spans="3:5" x14ac:dyDescent="0.25">
      <c r="C8973" s="4"/>
      <c r="E8973" s="4"/>
    </row>
    <row r="8974" spans="3:5" x14ac:dyDescent="0.25">
      <c r="C8974" s="4"/>
      <c r="E8974" s="4"/>
    </row>
    <row r="8975" spans="3:5" x14ac:dyDescent="0.25">
      <c r="C8975" s="4"/>
      <c r="E8975" s="4"/>
    </row>
    <row r="8976" spans="3:5" x14ac:dyDescent="0.25">
      <c r="C8976" s="4"/>
      <c r="E8976" s="4"/>
    </row>
    <row r="8977" spans="3:5" x14ac:dyDescent="0.25">
      <c r="C8977" s="4"/>
      <c r="E8977" s="4"/>
    </row>
    <row r="8978" spans="3:5" x14ac:dyDescent="0.25">
      <c r="C8978" s="4"/>
      <c r="E8978" s="4"/>
    </row>
    <row r="8979" spans="3:5" x14ac:dyDescent="0.25">
      <c r="C8979" s="4"/>
      <c r="E8979" s="4"/>
    </row>
    <row r="8980" spans="3:5" x14ac:dyDescent="0.25">
      <c r="C8980" s="4"/>
      <c r="E8980" s="4"/>
    </row>
    <row r="8981" spans="3:5" x14ac:dyDescent="0.25">
      <c r="C8981" s="4"/>
      <c r="E8981" s="4"/>
    </row>
    <row r="8982" spans="3:5" x14ac:dyDescent="0.25">
      <c r="C8982" s="4"/>
      <c r="E8982" s="4"/>
    </row>
    <row r="8983" spans="3:5" x14ac:dyDescent="0.25">
      <c r="C8983" s="4"/>
      <c r="E8983" s="4"/>
    </row>
    <row r="8984" spans="3:5" x14ac:dyDescent="0.25">
      <c r="C8984" s="4"/>
      <c r="E8984" s="4"/>
    </row>
    <row r="8985" spans="3:5" x14ac:dyDescent="0.25">
      <c r="C8985" s="4"/>
      <c r="E8985" s="4"/>
    </row>
    <row r="8986" spans="3:5" x14ac:dyDescent="0.25">
      <c r="C8986" s="4"/>
      <c r="E8986" s="4"/>
    </row>
    <row r="8987" spans="3:5" x14ac:dyDescent="0.25">
      <c r="C8987" s="4"/>
      <c r="E8987" s="4"/>
    </row>
    <row r="8988" spans="3:5" x14ac:dyDescent="0.25">
      <c r="C8988" s="4"/>
      <c r="E8988" s="4"/>
    </row>
    <row r="8989" spans="3:5" x14ac:dyDescent="0.25">
      <c r="C8989" s="4"/>
      <c r="E8989" s="4"/>
    </row>
    <row r="8990" spans="3:5" x14ac:dyDescent="0.25">
      <c r="C8990" s="4"/>
      <c r="E8990" s="4"/>
    </row>
    <row r="8991" spans="3:5" x14ac:dyDescent="0.25">
      <c r="C8991" s="4"/>
      <c r="E8991" s="4"/>
    </row>
    <row r="8992" spans="3:5" x14ac:dyDescent="0.25">
      <c r="C8992" s="4"/>
      <c r="E8992" s="4"/>
    </row>
    <row r="8993" spans="3:5" x14ac:dyDescent="0.25">
      <c r="C8993" s="4"/>
      <c r="E8993" s="4"/>
    </row>
    <row r="8994" spans="3:5" x14ac:dyDescent="0.25">
      <c r="C8994" s="4"/>
      <c r="E8994" s="4"/>
    </row>
    <row r="8995" spans="3:5" x14ac:dyDescent="0.25">
      <c r="C8995" s="4"/>
      <c r="E8995" s="4"/>
    </row>
    <row r="8996" spans="3:5" x14ac:dyDescent="0.25">
      <c r="C8996" s="4"/>
      <c r="E8996" s="4"/>
    </row>
    <row r="8997" spans="3:5" x14ac:dyDescent="0.25">
      <c r="C8997" s="4"/>
      <c r="E8997" s="4"/>
    </row>
    <row r="8998" spans="3:5" x14ac:dyDescent="0.25">
      <c r="C8998" s="4"/>
      <c r="E8998" s="4"/>
    </row>
    <row r="8999" spans="3:5" x14ac:dyDescent="0.25">
      <c r="C8999" s="4"/>
      <c r="E8999" s="4"/>
    </row>
    <row r="9000" spans="3:5" x14ac:dyDescent="0.25">
      <c r="C9000" s="4"/>
      <c r="E9000" s="4"/>
    </row>
    <row r="9001" spans="3:5" x14ac:dyDescent="0.25">
      <c r="C9001" s="4"/>
      <c r="E9001" s="4"/>
    </row>
    <row r="9002" spans="3:5" x14ac:dyDescent="0.25">
      <c r="C9002" s="4"/>
      <c r="E9002" s="4"/>
    </row>
    <row r="9003" spans="3:5" x14ac:dyDescent="0.25">
      <c r="C9003" s="4"/>
      <c r="E9003" s="4"/>
    </row>
    <row r="9004" spans="3:5" x14ac:dyDescent="0.25">
      <c r="C9004" s="4"/>
      <c r="E9004" s="4"/>
    </row>
    <row r="9005" spans="3:5" x14ac:dyDescent="0.25">
      <c r="C9005" s="4"/>
      <c r="E9005" s="4"/>
    </row>
    <row r="9006" spans="3:5" x14ac:dyDescent="0.25">
      <c r="C9006" s="4"/>
      <c r="E9006" s="4"/>
    </row>
    <row r="9007" spans="3:5" x14ac:dyDescent="0.25">
      <c r="C9007" s="4"/>
      <c r="E9007" s="4"/>
    </row>
    <row r="9008" spans="3:5" x14ac:dyDescent="0.25">
      <c r="C9008" s="4"/>
      <c r="E9008" s="4"/>
    </row>
    <row r="9009" spans="3:5" x14ac:dyDescent="0.25">
      <c r="C9009" s="4"/>
      <c r="E9009" s="4"/>
    </row>
    <row r="9010" spans="3:5" x14ac:dyDescent="0.25">
      <c r="C9010" s="4"/>
      <c r="E9010" s="4"/>
    </row>
    <row r="9011" spans="3:5" x14ac:dyDescent="0.25">
      <c r="C9011" s="4"/>
      <c r="E9011" s="4"/>
    </row>
    <row r="9012" spans="3:5" x14ac:dyDescent="0.25">
      <c r="C9012" s="4"/>
      <c r="E9012" s="4"/>
    </row>
    <row r="9013" spans="3:5" x14ac:dyDescent="0.25">
      <c r="C9013" s="4"/>
      <c r="E9013" s="4"/>
    </row>
    <row r="9014" spans="3:5" x14ac:dyDescent="0.25">
      <c r="C9014" s="4"/>
      <c r="E9014" s="4"/>
    </row>
    <row r="9015" spans="3:5" x14ac:dyDescent="0.25">
      <c r="C9015" s="4"/>
      <c r="E9015" s="4"/>
    </row>
    <row r="9016" spans="3:5" x14ac:dyDescent="0.25">
      <c r="C9016" s="4"/>
      <c r="E9016" s="4"/>
    </row>
    <row r="9017" spans="3:5" x14ac:dyDescent="0.25">
      <c r="C9017" s="4"/>
      <c r="E9017" s="4"/>
    </row>
    <row r="9018" spans="3:5" x14ac:dyDescent="0.25">
      <c r="C9018" s="4"/>
      <c r="E9018" s="4"/>
    </row>
    <row r="9019" spans="3:5" x14ac:dyDescent="0.25">
      <c r="C9019" s="4"/>
      <c r="E9019" s="4"/>
    </row>
    <row r="9020" spans="3:5" x14ac:dyDescent="0.25">
      <c r="C9020" s="4"/>
      <c r="E9020" s="4"/>
    </row>
    <row r="9021" spans="3:5" x14ac:dyDescent="0.25">
      <c r="C9021" s="4"/>
      <c r="E9021" s="4"/>
    </row>
    <row r="9022" spans="3:5" x14ac:dyDescent="0.25">
      <c r="C9022" s="4"/>
      <c r="E9022" s="4"/>
    </row>
    <row r="9023" spans="3:5" x14ac:dyDescent="0.25">
      <c r="C9023" s="4"/>
      <c r="E9023" s="4"/>
    </row>
    <row r="9024" spans="3:5" x14ac:dyDescent="0.25">
      <c r="C9024" s="4"/>
      <c r="E9024" s="4"/>
    </row>
    <row r="9025" spans="3:5" x14ac:dyDescent="0.25">
      <c r="C9025" s="4"/>
      <c r="E9025" s="4"/>
    </row>
    <row r="9026" spans="3:5" x14ac:dyDescent="0.25">
      <c r="C9026" s="4"/>
      <c r="E9026" s="4"/>
    </row>
    <row r="9027" spans="3:5" x14ac:dyDescent="0.25">
      <c r="C9027" s="4"/>
      <c r="E9027" s="4"/>
    </row>
    <row r="9028" spans="3:5" x14ac:dyDescent="0.25">
      <c r="C9028" s="4"/>
      <c r="E9028" s="4"/>
    </row>
    <row r="9029" spans="3:5" x14ac:dyDescent="0.25">
      <c r="C9029" s="4"/>
      <c r="E9029" s="4"/>
    </row>
    <row r="9030" spans="3:5" x14ac:dyDescent="0.25">
      <c r="C9030" s="4"/>
      <c r="E9030" s="4"/>
    </row>
    <row r="9031" spans="3:5" x14ac:dyDescent="0.25">
      <c r="C9031" s="4"/>
      <c r="E9031" s="4"/>
    </row>
    <row r="9032" spans="3:5" x14ac:dyDescent="0.25">
      <c r="C9032" s="4"/>
      <c r="E9032" s="4"/>
    </row>
    <row r="9033" spans="3:5" x14ac:dyDescent="0.25">
      <c r="C9033" s="4"/>
      <c r="E9033" s="4"/>
    </row>
    <row r="9034" spans="3:5" x14ac:dyDescent="0.25">
      <c r="C9034" s="4"/>
      <c r="E9034" s="4"/>
    </row>
    <row r="9035" spans="3:5" x14ac:dyDescent="0.25">
      <c r="C9035" s="4"/>
      <c r="E9035" s="4"/>
    </row>
    <row r="9036" spans="3:5" x14ac:dyDescent="0.25">
      <c r="C9036" s="4"/>
      <c r="E9036" s="4"/>
    </row>
    <row r="9037" spans="3:5" x14ac:dyDescent="0.25">
      <c r="C9037" s="4"/>
      <c r="E9037" s="4"/>
    </row>
    <row r="9038" spans="3:5" x14ac:dyDescent="0.25">
      <c r="C9038" s="4"/>
      <c r="E9038" s="4"/>
    </row>
    <row r="9039" spans="3:5" x14ac:dyDescent="0.25">
      <c r="C9039" s="4"/>
      <c r="E9039" s="4"/>
    </row>
    <row r="9040" spans="3:5" x14ac:dyDescent="0.25">
      <c r="C9040" s="4"/>
      <c r="E9040" s="4"/>
    </row>
    <row r="9041" spans="3:5" x14ac:dyDescent="0.25">
      <c r="C9041" s="4"/>
      <c r="E9041" s="4"/>
    </row>
    <row r="9042" spans="3:5" x14ac:dyDescent="0.25">
      <c r="C9042" s="4"/>
      <c r="E9042" s="4"/>
    </row>
    <row r="9043" spans="3:5" x14ac:dyDescent="0.25">
      <c r="C9043" s="4"/>
      <c r="E9043" s="4"/>
    </row>
    <row r="9044" spans="3:5" x14ac:dyDescent="0.25">
      <c r="C9044" s="4"/>
      <c r="E9044" s="4"/>
    </row>
    <row r="9045" spans="3:5" x14ac:dyDescent="0.25">
      <c r="C9045" s="4"/>
      <c r="E9045" s="4"/>
    </row>
    <row r="9046" spans="3:5" x14ac:dyDescent="0.25">
      <c r="C9046" s="4"/>
      <c r="E9046" s="4"/>
    </row>
    <row r="9047" spans="3:5" x14ac:dyDescent="0.25">
      <c r="C9047" s="4"/>
      <c r="E9047" s="4"/>
    </row>
    <row r="9048" spans="3:5" x14ac:dyDescent="0.25">
      <c r="C9048" s="4"/>
      <c r="E9048" s="4"/>
    </row>
    <row r="9049" spans="3:5" x14ac:dyDescent="0.25">
      <c r="C9049" s="4"/>
      <c r="E9049" s="4"/>
    </row>
    <row r="9050" spans="3:5" x14ac:dyDescent="0.25">
      <c r="C9050" s="4"/>
      <c r="E9050" s="4"/>
    </row>
    <row r="9051" spans="3:5" x14ac:dyDescent="0.25">
      <c r="C9051" s="4"/>
      <c r="E9051" s="4"/>
    </row>
    <row r="9052" spans="3:5" x14ac:dyDescent="0.25">
      <c r="C9052" s="4"/>
      <c r="E9052" s="4"/>
    </row>
    <row r="9053" spans="3:5" x14ac:dyDescent="0.25">
      <c r="C9053" s="4"/>
      <c r="E9053" s="4"/>
    </row>
    <row r="9054" spans="3:5" x14ac:dyDescent="0.25">
      <c r="C9054" s="4"/>
      <c r="E9054" s="4"/>
    </row>
    <row r="9055" spans="3:5" x14ac:dyDescent="0.25">
      <c r="C9055" s="4"/>
      <c r="E9055" s="4"/>
    </row>
    <row r="9056" spans="3:5" x14ac:dyDescent="0.25">
      <c r="C9056" s="4"/>
      <c r="E9056" s="4"/>
    </row>
    <row r="9057" spans="3:5" x14ac:dyDescent="0.25">
      <c r="C9057" s="4"/>
      <c r="E9057" s="4"/>
    </row>
    <row r="9058" spans="3:5" x14ac:dyDescent="0.25">
      <c r="C9058" s="4"/>
      <c r="E9058" s="4"/>
    </row>
    <row r="9059" spans="3:5" x14ac:dyDescent="0.25">
      <c r="C9059" s="4"/>
      <c r="E9059" s="4"/>
    </row>
    <row r="9060" spans="3:5" x14ac:dyDescent="0.25">
      <c r="C9060" s="4"/>
      <c r="E9060" s="4"/>
    </row>
    <row r="9061" spans="3:5" x14ac:dyDescent="0.25">
      <c r="C9061" s="4"/>
      <c r="E9061" s="4"/>
    </row>
    <row r="9062" spans="3:5" x14ac:dyDescent="0.25">
      <c r="C9062" s="4"/>
      <c r="E9062" s="4"/>
    </row>
    <row r="9063" spans="3:5" x14ac:dyDescent="0.25">
      <c r="C9063" s="4"/>
      <c r="E9063" s="4"/>
    </row>
    <row r="9064" spans="3:5" x14ac:dyDescent="0.25">
      <c r="C9064" s="4"/>
      <c r="E9064" s="4"/>
    </row>
    <row r="9065" spans="3:5" x14ac:dyDescent="0.25">
      <c r="C9065" s="4"/>
      <c r="E9065" s="4"/>
    </row>
    <row r="9066" spans="3:5" x14ac:dyDescent="0.25">
      <c r="C9066" s="4"/>
      <c r="E9066" s="4"/>
    </row>
    <row r="9067" spans="3:5" x14ac:dyDescent="0.25">
      <c r="C9067" s="4"/>
      <c r="E9067" s="4"/>
    </row>
    <row r="9068" spans="3:5" x14ac:dyDescent="0.25">
      <c r="C9068" s="4"/>
      <c r="E9068" s="4"/>
    </row>
    <row r="9069" spans="3:5" x14ac:dyDescent="0.25">
      <c r="C9069" s="4"/>
      <c r="E9069" s="4"/>
    </row>
    <row r="9070" spans="3:5" x14ac:dyDescent="0.25">
      <c r="C9070" s="4"/>
      <c r="E9070" s="4"/>
    </row>
    <row r="9071" spans="3:5" x14ac:dyDescent="0.25">
      <c r="C9071" s="4"/>
      <c r="E9071" s="4"/>
    </row>
    <row r="9072" spans="3:5" x14ac:dyDescent="0.25">
      <c r="C9072" s="4"/>
      <c r="E9072" s="4"/>
    </row>
    <row r="9073" spans="3:5" x14ac:dyDescent="0.25">
      <c r="C9073" s="4"/>
      <c r="E9073" s="4"/>
    </row>
    <row r="9074" spans="3:5" x14ac:dyDescent="0.25">
      <c r="C9074" s="4"/>
      <c r="E9074" s="4"/>
    </row>
    <row r="9075" spans="3:5" x14ac:dyDescent="0.25">
      <c r="C9075" s="4"/>
      <c r="E9075" s="4"/>
    </row>
    <row r="9076" spans="3:5" x14ac:dyDescent="0.25">
      <c r="C9076" s="4"/>
      <c r="E9076" s="4"/>
    </row>
    <row r="9077" spans="3:5" x14ac:dyDescent="0.25">
      <c r="C9077" s="4"/>
      <c r="E9077" s="4"/>
    </row>
    <row r="9078" spans="3:5" x14ac:dyDescent="0.25">
      <c r="C9078" s="4"/>
      <c r="E9078" s="4"/>
    </row>
    <row r="9079" spans="3:5" x14ac:dyDescent="0.25">
      <c r="C9079" s="4"/>
      <c r="E9079" s="4"/>
    </row>
    <row r="9080" spans="3:5" x14ac:dyDescent="0.25">
      <c r="C9080" s="4"/>
      <c r="E9080" s="4"/>
    </row>
    <row r="9081" spans="3:5" x14ac:dyDescent="0.25">
      <c r="C9081" s="4"/>
      <c r="E9081" s="4"/>
    </row>
    <row r="9082" spans="3:5" x14ac:dyDescent="0.25">
      <c r="C9082" s="4"/>
      <c r="E9082" s="4"/>
    </row>
    <row r="9083" spans="3:5" x14ac:dyDescent="0.25">
      <c r="C9083" s="4"/>
      <c r="E9083" s="4"/>
    </row>
    <row r="9084" spans="3:5" x14ac:dyDescent="0.25">
      <c r="C9084" s="4"/>
      <c r="E9084" s="4"/>
    </row>
    <row r="9085" spans="3:5" x14ac:dyDescent="0.25">
      <c r="C9085" s="4"/>
      <c r="E9085" s="4"/>
    </row>
    <row r="9086" spans="3:5" x14ac:dyDescent="0.25">
      <c r="C9086" s="4"/>
      <c r="E9086" s="4"/>
    </row>
    <row r="9087" spans="3:5" x14ac:dyDescent="0.25">
      <c r="C9087" s="4"/>
      <c r="E9087" s="4"/>
    </row>
    <row r="9088" spans="3:5" x14ac:dyDescent="0.25">
      <c r="C9088" s="4"/>
      <c r="E9088" s="4"/>
    </row>
    <row r="9089" spans="3:5" x14ac:dyDescent="0.25">
      <c r="C9089" s="4"/>
      <c r="E9089" s="4"/>
    </row>
    <row r="9090" spans="3:5" x14ac:dyDescent="0.25">
      <c r="C9090" s="4"/>
      <c r="E9090" s="4"/>
    </row>
    <row r="9091" spans="3:5" x14ac:dyDescent="0.25">
      <c r="C9091" s="4"/>
      <c r="E9091" s="4"/>
    </row>
    <row r="9092" spans="3:5" x14ac:dyDescent="0.25">
      <c r="C9092" s="4"/>
      <c r="E9092" s="4"/>
    </row>
    <row r="9093" spans="3:5" x14ac:dyDescent="0.25">
      <c r="C9093" s="4"/>
      <c r="E9093" s="4"/>
    </row>
    <row r="9094" spans="3:5" x14ac:dyDescent="0.25">
      <c r="C9094" s="4"/>
      <c r="E9094" s="4"/>
    </row>
    <row r="9095" spans="3:5" x14ac:dyDescent="0.25">
      <c r="C9095" s="4"/>
      <c r="E9095" s="4"/>
    </row>
    <row r="9096" spans="3:5" x14ac:dyDescent="0.25">
      <c r="C9096" s="4"/>
      <c r="E9096" s="4"/>
    </row>
    <row r="9097" spans="3:5" x14ac:dyDescent="0.25">
      <c r="C9097" s="4"/>
      <c r="E9097" s="4"/>
    </row>
    <row r="9098" spans="3:5" x14ac:dyDescent="0.25">
      <c r="C9098" s="4"/>
      <c r="E9098" s="4"/>
    </row>
    <row r="9099" spans="3:5" x14ac:dyDescent="0.25">
      <c r="C9099" s="4"/>
      <c r="E9099" s="4"/>
    </row>
    <row r="9100" spans="3:5" x14ac:dyDescent="0.25">
      <c r="C9100" s="4"/>
      <c r="E9100" s="4"/>
    </row>
    <row r="9101" spans="3:5" x14ac:dyDescent="0.25">
      <c r="C9101" s="4"/>
      <c r="E9101" s="4"/>
    </row>
    <row r="9102" spans="3:5" x14ac:dyDescent="0.25">
      <c r="C9102" s="4"/>
      <c r="E9102" s="4"/>
    </row>
    <row r="9103" spans="3:5" x14ac:dyDescent="0.25">
      <c r="C9103" s="4"/>
      <c r="E9103" s="4"/>
    </row>
    <row r="9104" spans="3:5" x14ac:dyDescent="0.25">
      <c r="C9104" s="4"/>
      <c r="E9104" s="4"/>
    </row>
    <row r="9105" spans="3:5" x14ac:dyDescent="0.25">
      <c r="C9105" s="4"/>
      <c r="E9105" s="4"/>
    </row>
    <row r="9106" spans="3:5" x14ac:dyDescent="0.25">
      <c r="C9106" s="4"/>
      <c r="E9106" s="4"/>
    </row>
    <row r="9107" spans="3:5" x14ac:dyDescent="0.25">
      <c r="C9107" s="4"/>
      <c r="E9107" s="4"/>
    </row>
    <row r="9108" spans="3:5" x14ac:dyDescent="0.25">
      <c r="C9108" s="4"/>
      <c r="E9108" s="4"/>
    </row>
    <row r="9109" spans="3:5" x14ac:dyDescent="0.25">
      <c r="C9109" s="4"/>
      <c r="E9109" s="4"/>
    </row>
    <row r="9110" spans="3:5" x14ac:dyDescent="0.25">
      <c r="C9110" s="4"/>
      <c r="E9110" s="4"/>
    </row>
    <row r="9111" spans="3:5" x14ac:dyDescent="0.25">
      <c r="C9111" s="4"/>
      <c r="E9111" s="4"/>
    </row>
    <row r="9112" spans="3:5" x14ac:dyDescent="0.25">
      <c r="C9112" s="4"/>
      <c r="E9112" s="4"/>
    </row>
    <row r="9113" spans="3:5" x14ac:dyDescent="0.25">
      <c r="C9113" s="4"/>
      <c r="E9113" s="4"/>
    </row>
    <row r="9114" spans="3:5" x14ac:dyDescent="0.25">
      <c r="C9114" s="4"/>
      <c r="E9114" s="4"/>
    </row>
    <row r="9115" spans="3:5" x14ac:dyDescent="0.25">
      <c r="C9115" s="4"/>
      <c r="E9115" s="4"/>
    </row>
    <row r="9116" spans="3:5" x14ac:dyDescent="0.25">
      <c r="C9116" s="4"/>
      <c r="E9116" s="4"/>
    </row>
    <row r="9117" spans="3:5" x14ac:dyDescent="0.25">
      <c r="C9117" s="4"/>
      <c r="E9117" s="4"/>
    </row>
    <row r="9118" spans="3:5" x14ac:dyDescent="0.25">
      <c r="C9118" s="4"/>
      <c r="E9118" s="4"/>
    </row>
    <row r="9119" spans="3:5" x14ac:dyDescent="0.25">
      <c r="C9119" s="4"/>
      <c r="E9119" s="4"/>
    </row>
    <row r="9120" spans="3:5" x14ac:dyDescent="0.25">
      <c r="C9120" s="4"/>
      <c r="E9120" s="4"/>
    </row>
    <row r="9121" spans="3:5" x14ac:dyDescent="0.25">
      <c r="C9121" s="4"/>
      <c r="E9121" s="4"/>
    </row>
    <row r="9122" spans="3:5" x14ac:dyDescent="0.25">
      <c r="C9122" s="4"/>
      <c r="E9122" s="4"/>
    </row>
    <row r="9123" spans="3:5" x14ac:dyDescent="0.25">
      <c r="C9123" s="4"/>
      <c r="E9123" s="4"/>
    </row>
    <row r="9124" spans="3:5" x14ac:dyDescent="0.25">
      <c r="C9124" s="4"/>
      <c r="E9124" s="4"/>
    </row>
    <row r="9125" spans="3:5" x14ac:dyDescent="0.25">
      <c r="C9125" s="4"/>
      <c r="E9125" s="4"/>
    </row>
    <row r="9126" spans="3:5" x14ac:dyDescent="0.25">
      <c r="C9126" s="4"/>
      <c r="E9126" s="4"/>
    </row>
    <row r="9127" spans="3:5" x14ac:dyDescent="0.25">
      <c r="C9127" s="4"/>
      <c r="E9127" s="4"/>
    </row>
    <row r="9128" spans="3:5" x14ac:dyDescent="0.25">
      <c r="C9128" s="4"/>
      <c r="E9128" s="4"/>
    </row>
    <row r="9129" spans="3:5" x14ac:dyDescent="0.25">
      <c r="C9129" s="4"/>
      <c r="E9129" s="4"/>
    </row>
    <row r="9130" spans="3:5" x14ac:dyDescent="0.25">
      <c r="C9130" s="4"/>
      <c r="E9130" s="4"/>
    </row>
    <row r="9131" spans="3:5" x14ac:dyDescent="0.25">
      <c r="C9131" s="4"/>
      <c r="E9131" s="4"/>
    </row>
    <row r="9132" spans="3:5" x14ac:dyDescent="0.25">
      <c r="C9132" s="4"/>
      <c r="E9132" s="4"/>
    </row>
    <row r="9133" spans="3:5" x14ac:dyDescent="0.25">
      <c r="C9133" s="4"/>
      <c r="E9133" s="4"/>
    </row>
    <row r="9134" spans="3:5" x14ac:dyDescent="0.25">
      <c r="C9134" s="4"/>
      <c r="E9134" s="4"/>
    </row>
    <row r="9135" spans="3:5" x14ac:dyDescent="0.25">
      <c r="C9135" s="4"/>
      <c r="E9135" s="4"/>
    </row>
    <row r="9136" spans="3:5" x14ac:dyDescent="0.25">
      <c r="C9136" s="4"/>
      <c r="E9136" s="4"/>
    </row>
    <row r="9137" spans="3:5" x14ac:dyDescent="0.25">
      <c r="C9137" s="4"/>
      <c r="E9137" s="4"/>
    </row>
    <row r="9138" spans="3:5" x14ac:dyDescent="0.25">
      <c r="C9138" s="4"/>
      <c r="E9138" s="4"/>
    </row>
    <row r="9139" spans="3:5" x14ac:dyDescent="0.25">
      <c r="C9139" s="4"/>
      <c r="E9139" s="4"/>
    </row>
    <row r="9140" spans="3:5" x14ac:dyDescent="0.25">
      <c r="C9140" s="4"/>
      <c r="E9140" s="4"/>
    </row>
    <row r="9141" spans="3:5" x14ac:dyDescent="0.25">
      <c r="C9141" s="4"/>
      <c r="E9141" s="4"/>
    </row>
    <row r="9142" spans="3:5" x14ac:dyDescent="0.25">
      <c r="C9142" s="4"/>
      <c r="E9142" s="4"/>
    </row>
    <row r="9143" spans="3:5" x14ac:dyDescent="0.25">
      <c r="C9143" s="4"/>
      <c r="E9143" s="4"/>
    </row>
    <row r="9144" spans="3:5" x14ac:dyDescent="0.25">
      <c r="C9144" s="4"/>
      <c r="E9144" s="4"/>
    </row>
    <row r="9145" spans="3:5" x14ac:dyDescent="0.25">
      <c r="C9145" s="4"/>
      <c r="E9145" s="4"/>
    </row>
    <row r="9146" spans="3:5" x14ac:dyDescent="0.25">
      <c r="C9146" s="4"/>
      <c r="E9146" s="4"/>
    </row>
    <row r="9147" spans="3:5" x14ac:dyDescent="0.25">
      <c r="C9147" s="4"/>
      <c r="E9147" s="4"/>
    </row>
    <row r="9148" spans="3:5" x14ac:dyDescent="0.25">
      <c r="C9148" s="4"/>
      <c r="E9148" s="4"/>
    </row>
    <row r="9149" spans="3:5" x14ac:dyDescent="0.25">
      <c r="C9149" s="4"/>
      <c r="E9149" s="4"/>
    </row>
    <row r="9150" spans="3:5" x14ac:dyDescent="0.25">
      <c r="C9150" s="4"/>
      <c r="E9150" s="4"/>
    </row>
    <row r="9151" spans="3:5" x14ac:dyDescent="0.25">
      <c r="C9151" s="4"/>
      <c r="E9151" s="4"/>
    </row>
    <row r="9152" spans="3:5" x14ac:dyDescent="0.25">
      <c r="C9152" s="4"/>
      <c r="E9152" s="4"/>
    </row>
    <row r="9153" spans="3:5" x14ac:dyDescent="0.25">
      <c r="C9153" s="4"/>
      <c r="E9153" s="4"/>
    </row>
    <row r="9154" spans="3:5" x14ac:dyDescent="0.25">
      <c r="C9154" s="4"/>
      <c r="E9154" s="4"/>
    </row>
    <row r="9155" spans="3:5" x14ac:dyDescent="0.25">
      <c r="C9155" s="4"/>
      <c r="E9155" s="4"/>
    </row>
    <row r="9156" spans="3:5" x14ac:dyDescent="0.25">
      <c r="C9156" s="4"/>
      <c r="E9156" s="4"/>
    </row>
    <row r="9157" spans="3:5" x14ac:dyDescent="0.25">
      <c r="C9157" s="4"/>
      <c r="E9157" s="4"/>
    </row>
    <row r="9158" spans="3:5" x14ac:dyDescent="0.25">
      <c r="C9158" s="4"/>
      <c r="E9158" s="4"/>
    </row>
    <row r="9159" spans="3:5" x14ac:dyDescent="0.25">
      <c r="C9159" s="4"/>
      <c r="E9159" s="4"/>
    </row>
    <row r="9160" spans="3:5" x14ac:dyDescent="0.25">
      <c r="C9160" s="4"/>
      <c r="E9160" s="4"/>
    </row>
    <row r="9161" spans="3:5" x14ac:dyDescent="0.25">
      <c r="C9161" s="4"/>
      <c r="E9161" s="4"/>
    </row>
    <row r="9162" spans="3:5" x14ac:dyDescent="0.25">
      <c r="C9162" s="4"/>
      <c r="E9162" s="4"/>
    </row>
    <row r="9163" spans="3:5" x14ac:dyDescent="0.25">
      <c r="C9163" s="4"/>
      <c r="E9163" s="4"/>
    </row>
    <row r="9164" spans="3:5" x14ac:dyDescent="0.25">
      <c r="C9164" s="4"/>
      <c r="E9164" s="4"/>
    </row>
    <row r="9165" spans="3:5" x14ac:dyDescent="0.25">
      <c r="C9165" s="4"/>
      <c r="E9165" s="4"/>
    </row>
    <row r="9166" spans="3:5" x14ac:dyDescent="0.25">
      <c r="C9166" s="4"/>
      <c r="E9166" s="4"/>
    </row>
    <row r="9167" spans="3:5" x14ac:dyDescent="0.25">
      <c r="C9167" s="4"/>
      <c r="E9167" s="4"/>
    </row>
    <row r="9168" spans="3:5" x14ac:dyDescent="0.25">
      <c r="C9168" s="4"/>
      <c r="E9168" s="4"/>
    </row>
    <row r="9169" spans="3:5" x14ac:dyDescent="0.25">
      <c r="C9169" s="4"/>
      <c r="E9169" s="4"/>
    </row>
    <row r="9170" spans="3:5" x14ac:dyDescent="0.25">
      <c r="C9170" s="4"/>
      <c r="E9170" s="4"/>
    </row>
    <row r="9171" spans="3:5" x14ac:dyDescent="0.25">
      <c r="C9171" s="4"/>
      <c r="E9171" s="4"/>
    </row>
    <row r="9172" spans="3:5" x14ac:dyDescent="0.25">
      <c r="C9172" s="4"/>
      <c r="E9172" s="4"/>
    </row>
    <row r="9173" spans="3:5" x14ac:dyDescent="0.25">
      <c r="C9173" s="4"/>
      <c r="E9173" s="4"/>
    </row>
    <row r="9174" spans="3:5" x14ac:dyDescent="0.25">
      <c r="C9174" s="4"/>
      <c r="E9174" s="4"/>
    </row>
    <row r="9175" spans="3:5" x14ac:dyDescent="0.25">
      <c r="C9175" s="4"/>
      <c r="E9175" s="4"/>
    </row>
    <row r="9176" spans="3:5" x14ac:dyDescent="0.25">
      <c r="C9176" s="4"/>
      <c r="E9176" s="4"/>
    </row>
    <row r="9177" spans="3:5" x14ac:dyDescent="0.25">
      <c r="C9177" s="4"/>
      <c r="E9177" s="4"/>
    </row>
    <row r="9178" spans="3:5" x14ac:dyDescent="0.25">
      <c r="C9178" s="4"/>
      <c r="E9178" s="4"/>
    </row>
    <row r="9179" spans="3:5" x14ac:dyDescent="0.25">
      <c r="C9179" s="4"/>
      <c r="E9179" s="4"/>
    </row>
    <row r="9180" spans="3:5" x14ac:dyDescent="0.25">
      <c r="C9180" s="4"/>
      <c r="E9180" s="4"/>
    </row>
    <row r="9181" spans="3:5" x14ac:dyDescent="0.25">
      <c r="C9181" s="4"/>
      <c r="E9181" s="4"/>
    </row>
    <row r="9182" spans="3:5" x14ac:dyDescent="0.25">
      <c r="C9182" s="4"/>
      <c r="E9182" s="4"/>
    </row>
    <row r="9183" spans="3:5" x14ac:dyDescent="0.25">
      <c r="C9183" s="4"/>
      <c r="E9183" s="4"/>
    </row>
    <row r="9184" spans="3:5" x14ac:dyDescent="0.25">
      <c r="C9184" s="4"/>
      <c r="E9184" s="4"/>
    </row>
    <row r="9185" spans="3:5" x14ac:dyDescent="0.25">
      <c r="C9185" s="4"/>
      <c r="E9185" s="4"/>
    </row>
    <row r="9186" spans="3:5" x14ac:dyDescent="0.25">
      <c r="C9186" s="4"/>
      <c r="E9186" s="4"/>
    </row>
    <row r="9187" spans="3:5" x14ac:dyDescent="0.25">
      <c r="C9187" s="4"/>
      <c r="E9187" s="4"/>
    </row>
    <row r="9188" spans="3:5" x14ac:dyDescent="0.25">
      <c r="C9188" s="4"/>
      <c r="E9188" s="4"/>
    </row>
    <row r="9189" spans="3:5" x14ac:dyDescent="0.25">
      <c r="C9189" s="4"/>
      <c r="E9189" s="4"/>
    </row>
    <row r="9190" spans="3:5" x14ac:dyDescent="0.25">
      <c r="C9190" s="4"/>
      <c r="E9190" s="4"/>
    </row>
    <row r="9191" spans="3:5" x14ac:dyDescent="0.25">
      <c r="C9191" s="4"/>
      <c r="E9191" s="4"/>
    </row>
    <row r="9192" spans="3:5" x14ac:dyDescent="0.25">
      <c r="C9192" s="4"/>
      <c r="E9192" s="4"/>
    </row>
    <row r="9193" spans="3:5" x14ac:dyDescent="0.25">
      <c r="C9193" s="4"/>
      <c r="E9193" s="4"/>
    </row>
    <row r="9194" spans="3:5" x14ac:dyDescent="0.25">
      <c r="C9194" s="4"/>
      <c r="E9194" s="4"/>
    </row>
    <row r="9195" spans="3:5" x14ac:dyDescent="0.25">
      <c r="C9195" s="4"/>
      <c r="E9195" s="4"/>
    </row>
    <row r="9196" spans="3:5" x14ac:dyDescent="0.25">
      <c r="C9196" s="4"/>
      <c r="E9196" s="4"/>
    </row>
    <row r="9197" spans="3:5" x14ac:dyDescent="0.25">
      <c r="C9197" s="4"/>
      <c r="E9197" s="4"/>
    </row>
    <row r="9198" spans="3:5" x14ac:dyDescent="0.25">
      <c r="C9198" s="4"/>
      <c r="E9198" s="4"/>
    </row>
    <row r="9199" spans="3:5" x14ac:dyDescent="0.25">
      <c r="C9199" s="4"/>
      <c r="E9199" s="4"/>
    </row>
    <row r="9200" spans="3:5" x14ac:dyDescent="0.25">
      <c r="C9200" s="4"/>
      <c r="E9200" s="4"/>
    </row>
    <row r="9201" spans="3:5" x14ac:dyDescent="0.25">
      <c r="C9201" s="4"/>
      <c r="E9201" s="4"/>
    </row>
    <row r="9202" spans="3:5" x14ac:dyDescent="0.25">
      <c r="C9202" s="4"/>
      <c r="E9202" s="4"/>
    </row>
    <row r="9203" spans="3:5" x14ac:dyDescent="0.25">
      <c r="C9203" s="4"/>
      <c r="E9203" s="4"/>
    </row>
    <row r="9204" spans="3:5" x14ac:dyDescent="0.25">
      <c r="C9204" s="4"/>
      <c r="E9204" s="4"/>
    </row>
    <row r="9205" spans="3:5" x14ac:dyDescent="0.25">
      <c r="C9205" s="4"/>
      <c r="E9205" s="4"/>
    </row>
    <row r="9206" spans="3:5" x14ac:dyDescent="0.25">
      <c r="C9206" s="4"/>
      <c r="E9206" s="4"/>
    </row>
    <row r="9207" spans="3:5" x14ac:dyDescent="0.25">
      <c r="C9207" s="4"/>
      <c r="E9207" s="4"/>
    </row>
    <row r="9208" spans="3:5" x14ac:dyDescent="0.25">
      <c r="C9208" s="4"/>
      <c r="E9208" s="4"/>
    </row>
    <row r="9209" spans="3:5" x14ac:dyDescent="0.25">
      <c r="C9209" s="4"/>
      <c r="E9209" s="4"/>
    </row>
    <row r="9210" spans="3:5" x14ac:dyDescent="0.25">
      <c r="C9210" s="4"/>
      <c r="E9210" s="4"/>
    </row>
    <row r="9211" spans="3:5" x14ac:dyDescent="0.25">
      <c r="C9211" s="4"/>
      <c r="E9211" s="4"/>
    </row>
    <row r="9212" spans="3:5" x14ac:dyDescent="0.25">
      <c r="C9212" s="4"/>
      <c r="E9212" s="4"/>
    </row>
    <row r="9213" spans="3:5" x14ac:dyDescent="0.25">
      <c r="C9213" s="4"/>
      <c r="E9213" s="4"/>
    </row>
    <row r="9214" spans="3:5" x14ac:dyDescent="0.25">
      <c r="C9214" s="4"/>
      <c r="E9214" s="4"/>
    </row>
    <row r="9215" spans="3:5" x14ac:dyDescent="0.25">
      <c r="C9215" s="4"/>
      <c r="E9215" s="4"/>
    </row>
    <row r="9216" spans="3:5" x14ac:dyDescent="0.25">
      <c r="C9216" s="4"/>
      <c r="E9216" s="4"/>
    </row>
    <row r="9217" spans="3:5" x14ac:dyDescent="0.25">
      <c r="C9217" s="4"/>
      <c r="E9217" s="4"/>
    </row>
    <row r="9218" spans="3:5" x14ac:dyDescent="0.25">
      <c r="C9218" s="4"/>
      <c r="E9218" s="4"/>
    </row>
    <row r="9219" spans="3:5" x14ac:dyDescent="0.25">
      <c r="C9219" s="4"/>
      <c r="E9219" s="4"/>
    </row>
    <row r="9220" spans="3:5" x14ac:dyDescent="0.25">
      <c r="C9220" s="4"/>
      <c r="E9220" s="4"/>
    </row>
    <row r="9221" spans="3:5" x14ac:dyDescent="0.25">
      <c r="C9221" s="4"/>
      <c r="E9221" s="4"/>
    </row>
    <row r="9222" spans="3:5" x14ac:dyDescent="0.25">
      <c r="C9222" s="4"/>
      <c r="E9222" s="4"/>
    </row>
    <row r="9223" spans="3:5" x14ac:dyDescent="0.25">
      <c r="C9223" s="4"/>
      <c r="E9223" s="4"/>
    </row>
    <row r="9224" spans="3:5" x14ac:dyDescent="0.25">
      <c r="C9224" s="4"/>
      <c r="E9224" s="4"/>
    </row>
    <row r="9225" spans="3:5" x14ac:dyDescent="0.25">
      <c r="C9225" s="4"/>
      <c r="E9225" s="4"/>
    </row>
    <row r="9226" spans="3:5" x14ac:dyDescent="0.25">
      <c r="C9226" s="4"/>
      <c r="E9226" s="4"/>
    </row>
    <row r="9227" spans="3:5" x14ac:dyDescent="0.25">
      <c r="C9227" s="4"/>
      <c r="E9227" s="4"/>
    </row>
    <row r="9228" spans="3:5" x14ac:dyDescent="0.25">
      <c r="C9228" s="4"/>
      <c r="E9228" s="4"/>
    </row>
    <row r="9229" spans="3:5" x14ac:dyDescent="0.25">
      <c r="C9229" s="4"/>
      <c r="E9229" s="4"/>
    </row>
    <row r="9230" spans="3:5" x14ac:dyDescent="0.25">
      <c r="C9230" s="4"/>
      <c r="E9230" s="4"/>
    </row>
    <row r="9231" spans="3:5" x14ac:dyDescent="0.25">
      <c r="C9231" s="4"/>
      <c r="E9231" s="4"/>
    </row>
    <row r="9232" spans="3:5" x14ac:dyDescent="0.25">
      <c r="C9232" s="4"/>
      <c r="E9232" s="4"/>
    </row>
    <row r="9233" spans="3:5" x14ac:dyDescent="0.25">
      <c r="C9233" s="4"/>
      <c r="E9233" s="4"/>
    </row>
    <row r="9234" spans="3:5" x14ac:dyDescent="0.25">
      <c r="C9234" s="4"/>
      <c r="E9234" s="4"/>
    </row>
    <row r="9235" spans="3:5" x14ac:dyDescent="0.25">
      <c r="C9235" s="4"/>
      <c r="E9235" s="4"/>
    </row>
    <row r="9236" spans="3:5" x14ac:dyDescent="0.25">
      <c r="C9236" s="4"/>
      <c r="E9236" s="4"/>
    </row>
    <row r="9237" spans="3:5" x14ac:dyDescent="0.25">
      <c r="C9237" s="4"/>
      <c r="E9237" s="4"/>
    </row>
    <row r="9238" spans="3:5" x14ac:dyDescent="0.25">
      <c r="C9238" s="4"/>
      <c r="E9238" s="4"/>
    </row>
    <row r="9239" spans="3:5" x14ac:dyDescent="0.25">
      <c r="C9239" s="4"/>
      <c r="E9239" s="4"/>
    </row>
    <row r="9240" spans="3:5" x14ac:dyDescent="0.25">
      <c r="C9240" s="4"/>
      <c r="E9240" s="4"/>
    </row>
    <row r="9241" spans="3:5" x14ac:dyDescent="0.25">
      <c r="C9241" s="4"/>
      <c r="E9241" s="4"/>
    </row>
    <row r="9242" spans="3:5" x14ac:dyDescent="0.25">
      <c r="C9242" s="4"/>
      <c r="E9242" s="4"/>
    </row>
    <row r="9243" spans="3:5" x14ac:dyDescent="0.25">
      <c r="C9243" s="4"/>
      <c r="E9243" s="4"/>
    </row>
    <row r="9244" spans="3:5" x14ac:dyDescent="0.25">
      <c r="C9244" s="4"/>
      <c r="E9244" s="4"/>
    </row>
    <row r="9245" spans="3:5" x14ac:dyDescent="0.25">
      <c r="C9245" s="4"/>
      <c r="E9245" s="4"/>
    </row>
    <row r="9246" spans="3:5" x14ac:dyDescent="0.25">
      <c r="C9246" s="4"/>
      <c r="E9246" s="4"/>
    </row>
    <row r="9247" spans="3:5" x14ac:dyDescent="0.25">
      <c r="C9247" s="4"/>
      <c r="E9247" s="4"/>
    </row>
    <row r="9248" spans="3:5" x14ac:dyDescent="0.25">
      <c r="C9248" s="4"/>
      <c r="E9248" s="4"/>
    </row>
    <row r="9249" spans="3:5" x14ac:dyDescent="0.25">
      <c r="C9249" s="4"/>
      <c r="E9249" s="4"/>
    </row>
    <row r="9250" spans="3:5" x14ac:dyDescent="0.25">
      <c r="C9250" s="4"/>
      <c r="E9250" s="4"/>
    </row>
    <row r="9251" spans="3:5" x14ac:dyDescent="0.25">
      <c r="C9251" s="4"/>
      <c r="E9251" s="4"/>
    </row>
    <row r="9252" spans="3:5" x14ac:dyDescent="0.25">
      <c r="C9252" s="4"/>
      <c r="E9252" s="4"/>
    </row>
    <row r="9253" spans="3:5" x14ac:dyDescent="0.25">
      <c r="C9253" s="4"/>
      <c r="E9253" s="4"/>
    </row>
    <row r="9254" spans="3:5" x14ac:dyDescent="0.25">
      <c r="C9254" s="4"/>
      <c r="E9254" s="4"/>
    </row>
    <row r="9255" spans="3:5" x14ac:dyDescent="0.25">
      <c r="C9255" s="4"/>
      <c r="E9255" s="4"/>
    </row>
    <row r="9256" spans="3:5" x14ac:dyDescent="0.25">
      <c r="C9256" s="4"/>
      <c r="E9256" s="4"/>
    </row>
    <row r="9257" spans="3:5" x14ac:dyDescent="0.25">
      <c r="C9257" s="4"/>
      <c r="E9257" s="4"/>
    </row>
    <row r="9258" spans="3:5" x14ac:dyDescent="0.25">
      <c r="C9258" s="4"/>
      <c r="E9258" s="4"/>
    </row>
    <row r="9259" spans="3:5" x14ac:dyDescent="0.25">
      <c r="C9259" s="4"/>
      <c r="E9259" s="4"/>
    </row>
    <row r="9260" spans="3:5" x14ac:dyDescent="0.25">
      <c r="C9260" s="4"/>
      <c r="E9260" s="4"/>
    </row>
    <row r="9261" spans="3:5" x14ac:dyDescent="0.25">
      <c r="C9261" s="4"/>
      <c r="E9261" s="4"/>
    </row>
    <row r="9262" spans="3:5" x14ac:dyDescent="0.25">
      <c r="C9262" s="4"/>
      <c r="E9262" s="4"/>
    </row>
    <row r="9263" spans="3:5" x14ac:dyDescent="0.25">
      <c r="C9263" s="4"/>
      <c r="E9263" s="4"/>
    </row>
    <row r="9264" spans="3:5" x14ac:dyDescent="0.25">
      <c r="C9264" s="4"/>
      <c r="E9264" s="4"/>
    </row>
    <row r="9265" spans="3:5" x14ac:dyDescent="0.25">
      <c r="C9265" s="4"/>
      <c r="E9265" s="4"/>
    </row>
    <row r="9266" spans="3:5" x14ac:dyDescent="0.25">
      <c r="C9266" s="4"/>
      <c r="E9266" s="4"/>
    </row>
    <row r="9267" spans="3:5" x14ac:dyDescent="0.25">
      <c r="C9267" s="4"/>
      <c r="E9267" s="4"/>
    </row>
    <row r="9268" spans="3:5" x14ac:dyDescent="0.25">
      <c r="C9268" s="4"/>
      <c r="E9268" s="4"/>
    </row>
    <row r="9269" spans="3:5" x14ac:dyDescent="0.25">
      <c r="C9269" s="4"/>
      <c r="E9269" s="4"/>
    </row>
    <row r="9270" spans="3:5" x14ac:dyDescent="0.25">
      <c r="C9270" s="4"/>
      <c r="E9270" s="4"/>
    </row>
    <row r="9271" spans="3:5" x14ac:dyDescent="0.25">
      <c r="C9271" s="4"/>
      <c r="E9271" s="4"/>
    </row>
    <row r="9272" spans="3:5" x14ac:dyDescent="0.25">
      <c r="C9272" s="4"/>
      <c r="E9272" s="4"/>
    </row>
    <row r="9273" spans="3:5" x14ac:dyDescent="0.25">
      <c r="C9273" s="4"/>
      <c r="E9273" s="4"/>
    </row>
    <row r="9274" spans="3:5" x14ac:dyDescent="0.25">
      <c r="C9274" s="4"/>
      <c r="E9274" s="4"/>
    </row>
    <row r="9275" spans="3:5" x14ac:dyDescent="0.25">
      <c r="C9275" s="4"/>
      <c r="E9275" s="4"/>
    </row>
    <row r="9276" spans="3:5" x14ac:dyDescent="0.25">
      <c r="C9276" s="4"/>
      <c r="E9276" s="4"/>
    </row>
    <row r="9277" spans="3:5" x14ac:dyDescent="0.25">
      <c r="C9277" s="4"/>
      <c r="E9277" s="4"/>
    </row>
    <row r="9278" spans="3:5" x14ac:dyDescent="0.25">
      <c r="C9278" s="4"/>
      <c r="E9278" s="4"/>
    </row>
    <row r="9279" spans="3:5" x14ac:dyDescent="0.25">
      <c r="C9279" s="4"/>
      <c r="E9279" s="4"/>
    </row>
    <row r="9280" spans="3:5" x14ac:dyDescent="0.25">
      <c r="C9280" s="4"/>
      <c r="E9280" s="4"/>
    </row>
    <row r="9281" spans="3:5" x14ac:dyDescent="0.25">
      <c r="C9281" s="4"/>
      <c r="E9281" s="4"/>
    </row>
    <row r="9282" spans="3:5" x14ac:dyDescent="0.25">
      <c r="C9282" s="4"/>
      <c r="E9282" s="4"/>
    </row>
    <row r="9283" spans="3:5" x14ac:dyDescent="0.25">
      <c r="C9283" s="4"/>
      <c r="E9283" s="4"/>
    </row>
    <row r="9284" spans="3:5" x14ac:dyDescent="0.25">
      <c r="C9284" s="4"/>
      <c r="E9284" s="4"/>
    </row>
    <row r="9285" spans="3:5" x14ac:dyDescent="0.25">
      <c r="C9285" s="4"/>
      <c r="E9285" s="4"/>
    </row>
    <row r="9286" spans="3:5" x14ac:dyDescent="0.25">
      <c r="C9286" s="4"/>
      <c r="E9286" s="4"/>
    </row>
    <row r="9287" spans="3:5" x14ac:dyDescent="0.25">
      <c r="C9287" s="4"/>
      <c r="E9287" s="4"/>
    </row>
    <row r="9288" spans="3:5" x14ac:dyDescent="0.25">
      <c r="C9288" s="4"/>
      <c r="E9288" s="4"/>
    </row>
    <row r="9289" spans="3:5" x14ac:dyDescent="0.25">
      <c r="C9289" s="4"/>
      <c r="E9289" s="4"/>
    </row>
    <row r="9290" spans="3:5" x14ac:dyDescent="0.25">
      <c r="C9290" s="4"/>
      <c r="E9290" s="4"/>
    </row>
    <row r="9291" spans="3:5" x14ac:dyDescent="0.25">
      <c r="C9291" s="4"/>
      <c r="E9291" s="4"/>
    </row>
    <row r="9292" spans="3:5" x14ac:dyDescent="0.25">
      <c r="C9292" s="4"/>
      <c r="E9292" s="4"/>
    </row>
    <row r="9293" spans="3:5" x14ac:dyDescent="0.25">
      <c r="C9293" s="4"/>
      <c r="E9293" s="4"/>
    </row>
    <row r="9294" spans="3:5" x14ac:dyDescent="0.25">
      <c r="C9294" s="4"/>
      <c r="E9294" s="4"/>
    </row>
    <row r="9295" spans="3:5" x14ac:dyDescent="0.25">
      <c r="C9295" s="4"/>
      <c r="E9295" s="4"/>
    </row>
    <row r="9296" spans="3:5" x14ac:dyDescent="0.25">
      <c r="C9296" s="4"/>
      <c r="E9296" s="4"/>
    </row>
    <row r="9297" spans="3:5" x14ac:dyDescent="0.25">
      <c r="C9297" s="4"/>
      <c r="E9297" s="4"/>
    </row>
    <row r="9298" spans="3:5" x14ac:dyDescent="0.25">
      <c r="C9298" s="4"/>
      <c r="E9298" s="4"/>
    </row>
    <row r="9299" spans="3:5" x14ac:dyDescent="0.25">
      <c r="C9299" s="4"/>
      <c r="E9299" s="4"/>
    </row>
    <row r="9300" spans="3:5" x14ac:dyDescent="0.25">
      <c r="C9300" s="4"/>
      <c r="E9300" s="4"/>
    </row>
    <row r="9301" spans="3:5" x14ac:dyDescent="0.25">
      <c r="C9301" s="4"/>
      <c r="E9301" s="4"/>
    </row>
    <row r="9302" spans="3:5" x14ac:dyDescent="0.25">
      <c r="C9302" s="4"/>
      <c r="E9302" s="4"/>
    </row>
    <row r="9303" spans="3:5" x14ac:dyDescent="0.25">
      <c r="C9303" s="4"/>
      <c r="E9303" s="4"/>
    </row>
    <row r="9304" spans="3:5" x14ac:dyDescent="0.25">
      <c r="C9304" s="4"/>
      <c r="E9304" s="4"/>
    </row>
    <row r="9305" spans="3:5" x14ac:dyDescent="0.25">
      <c r="C9305" s="4"/>
      <c r="E9305" s="4"/>
    </row>
    <row r="9306" spans="3:5" x14ac:dyDescent="0.25">
      <c r="C9306" s="4"/>
      <c r="E9306" s="4"/>
    </row>
    <row r="9307" spans="3:5" x14ac:dyDescent="0.25">
      <c r="C9307" s="4"/>
      <c r="E9307" s="4"/>
    </row>
    <row r="9308" spans="3:5" x14ac:dyDescent="0.25">
      <c r="C9308" s="4"/>
      <c r="E9308" s="4"/>
    </row>
    <row r="9309" spans="3:5" x14ac:dyDescent="0.25">
      <c r="C9309" s="4"/>
      <c r="E9309" s="4"/>
    </row>
    <row r="9310" spans="3:5" x14ac:dyDescent="0.25">
      <c r="C9310" s="4"/>
      <c r="E9310" s="4"/>
    </row>
    <row r="9311" spans="3:5" x14ac:dyDescent="0.25">
      <c r="C9311" s="4"/>
      <c r="E9311" s="4"/>
    </row>
    <row r="9312" spans="3:5" x14ac:dyDescent="0.25">
      <c r="C9312" s="4"/>
      <c r="E9312" s="4"/>
    </row>
    <row r="9313" spans="3:5" x14ac:dyDescent="0.25">
      <c r="C9313" s="4"/>
      <c r="E9313" s="4"/>
    </row>
    <row r="9314" spans="3:5" x14ac:dyDescent="0.25">
      <c r="C9314" s="4"/>
      <c r="E9314" s="4"/>
    </row>
    <row r="9315" spans="3:5" x14ac:dyDescent="0.25">
      <c r="C9315" s="4"/>
      <c r="E9315" s="4"/>
    </row>
    <row r="9316" spans="3:5" x14ac:dyDescent="0.25">
      <c r="C9316" s="4"/>
      <c r="E9316" s="4"/>
    </row>
    <row r="9317" spans="3:5" x14ac:dyDescent="0.25">
      <c r="C9317" s="4"/>
      <c r="E9317" s="4"/>
    </row>
    <row r="9318" spans="3:5" x14ac:dyDescent="0.25">
      <c r="C9318" s="4"/>
      <c r="E9318" s="4"/>
    </row>
    <row r="9319" spans="3:5" x14ac:dyDescent="0.25">
      <c r="C9319" s="4"/>
      <c r="E9319" s="4"/>
    </row>
    <row r="9320" spans="3:5" x14ac:dyDescent="0.25">
      <c r="C9320" s="4"/>
      <c r="E9320" s="4"/>
    </row>
    <row r="9321" spans="3:5" x14ac:dyDescent="0.25">
      <c r="C9321" s="4"/>
      <c r="E9321" s="4"/>
    </row>
    <row r="9322" spans="3:5" x14ac:dyDescent="0.25">
      <c r="C9322" s="4"/>
      <c r="E9322" s="4"/>
    </row>
    <row r="9323" spans="3:5" x14ac:dyDescent="0.25">
      <c r="C9323" s="4"/>
      <c r="E9323" s="4"/>
    </row>
    <row r="9324" spans="3:5" x14ac:dyDescent="0.25">
      <c r="C9324" s="4"/>
      <c r="E9324" s="4"/>
    </row>
    <row r="9325" spans="3:5" x14ac:dyDescent="0.25">
      <c r="C9325" s="4"/>
      <c r="E9325" s="4"/>
    </row>
    <row r="9326" spans="3:5" x14ac:dyDescent="0.25">
      <c r="C9326" s="4"/>
      <c r="E9326" s="4"/>
    </row>
    <row r="9327" spans="3:5" x14ac:dyDescent="0.25">
      <c r="C9327" s="4"/>
      <c r="E9327" s="4"/>
    </row>
    <row r="9328" spans="3:5" x14ac:dyDescent="0.25">
      <c r="C9328" s="4"/>
      <c r="E9328" s="4"/>
    </row>
    <row r="9329" spans="3:5" x14ac:dyDescent="0.25">
      <c r="C9329" s="4"/>
      <c r="E9329" s="4"/>
    </row>
    <row r="9330" spans="3:5" x14ac:dyDescent="0.25">
      <c r="C9330" s="4"/>
      <c r="E9330" s="4"/>
    </row>
    <row r="9331" spans="3:5" x14ac:dyDescent="0.25">
      <c r="C9331" s="4"/>
      <c r="E9331" s="4"/>
    </row>
    <row r="9332" spans="3:5" x14ac:dyDescent="0.25">
      <c r="C9332" s="4"/>
      <c r="E9332" s="4"/>
    </row>
    <row r="9333" spans="3:5" x14ac:dyDescent="0.25">
      <c r="C9333" s="4"/>
      <c r="E9333" s="4"/>
    </row>
    <row r="9334" spans="3:5" x14ac:dyDescent="0.25">
      <c r="C9334" s="4"/>
      <c r="E9334" s="4"/>
    </row>
    <row r="9335" spans="3:5" x14ac:dyDescent="0.25">
      <c r="C9335" s="4"/>
      <c r="E9335" s="4"/>
    </row>
    <row r="9336" spans="3:5" x14ac:dyDescent="0.25">
      <c r="C9336" s="4"/>
      <c r="E9336" s="4"/>
    </row>
    <row r="9337" spans="3:5" x14ac:dyDescent="0.25">
      <c r="C9337" s="4"/>
      <c r="E9337" s="4"/>
    </row>
    <row r="9338" spans="3:5" x14ac:dyDescent="0.25">
      <c r="C9338" s="4"/>
      <c r="E9338" s="4"/>
    </row>
    <row r="9339" spans="3:5" x14ac:dyDescent="0.25">
      <c r="C9339" s="4"/>
      <c r="E9339" s="4"/>
    </row>
    <row r="9340" spans="3:5" x14ac:dyDescent="0.25">
      <c r="C9340" s="4"/>
      <c r="E9340" s="4"/>
    </row>
    <row r="9341" spans="3:5" x14ac:dyDescent="0.25">
      <c r="C9341" s="4"/>
      <c r="E9341" s="4"/>
    </row>
    <row r="9342" spans="3:5" x14ac:dyDescent="0.25">
      <c r="C9342" s="4"/>
      <c r="E9342" s="4"/>
    </row>
    <row r="9343" spans="3:5" x14ac:dyDescent="0.25">
      <c r="C9343" s="4"/>
      <c r="E9343" s="4"/>
    </row>
    <row r="9344" spans="3:5" x14ac:dyDescent="0.25">
      <c r="C9344" s="4"/>
      <c r="E9344" s="4"/>
    </row>
    <row r="9345" spans="3:5" x14ac:dyDescent="0.25">
      <c r="C9345" s="4"/>
      <c r="E9345" s="4"/>
    </row>
    <row r="9346" spans="3:5" x14ac:dyDescent="0.25">
      <c r="C9346" s="4"/>
      <c r="E9346" s="4"/>
    </row>
    <row r="9347" spans="3:5" x14ac:dyDescent="0.25">
      <c r="C9347" s="4"/>
      <c r="E9347" s="4"/>
    </row>
    <row r="9348" spans="3:5" x14ac:dyDescent="0.25">
      <c r="C9348" s="4"/>
      <c r="E9348" s="4"/>
    </row>
    <row r="9349" spans="3:5" x14ac:dyDescent="0.25">
      <c r="C9349" s="4"/>
      <c r="E9349" s="4"/>
    </row>
    <row r="9350" spans="3:5" x14ac:dyDescent="0.25">
      <c r="C9350" s="4"/>
      <c r="E9350" s="4"/>
    </row>
    <row r="9351" spans="3:5" x14ac:dyDescent="0.25">
      <c r="C9351" s="4"/>
      <c r="E9351" s="4"/>
    </row>
    <row r="9352" spans="3:5" x14ac:dyDescent="0.25">
      <c r="C9352" s="4"/>
      <c r="E9352" s="4"/>
    </row>
    <row r="9353" spans="3:5" x14ac:dyDescent="0.25">
      <c r="C9353" s="4"/>
      <c r="E9353" s="4"/>
    </row>
    <row r="9354" spans="3:5" x14ac:dyDescent="0.25">
      <c r="C9354" s="4"/>
      <c r="E9354" s="4"/>
    </row>
    <row r="9355" spans="3:5" x14ac:dyDescent="0.25">
      <c r="C9355" s="4"/>
      <c r="E9355" s="4"/>
    </row>
    <row r="9356" spans="3:5" x14ac:dyDescent="0.25">
      <c r="C9356" s="4"/>
      <c r="E9356" s="4"/>
    </row>
    <row r="9357" spans="3:5" x14ac:dyDescent="0.25">
      <c r="C9357" s="4"/>
      <c r="E9357" s="4"/>
    </row>
    <row r="9358" spans="3:5" x14ac:dyDescent="0.25">
      <c r="C9358" s="4"/>
      <c r="E9358" s="4"/>
    </row>
    <row r="9359" spans="3:5" x14ac:dyDescent="0.25">
      <c r="C9359" s="4"/>
      <c r="E9359" s="4"/>
    </row>
    <row r="9360" spans="3:5" x14ac:dyDescent="0.25">
      <c r="C9360" s="4"/>
      <c r="E9360" s="4"/>
    </row>
    <row r="9361" spans="3:5" x14ac:dyDescent="0.25">
      <c r="C9361" s="4"/>
      <c r="E9361" s="4"/>
    </row>
    <row r="9362" spans="3:5" x14ac:dyDescent="0.25">
      <c r="C9362" s="4"/>
      <c r="E9362" s="4"/>
    </row>
    <row r="9363" spans="3:5" x14ac:dyDescent="0.25">
      <c r="C9363" s="4"/>
      <c r="E9363" s="4"/>
    </row>
    <row r="9364" spans="3:5" x14ac:dyDescent="0.25">
      <c r="C9364" s="4"/>
      <c r="E9364" s="4"/>
    </row>
    <row r="9365" spans="3:5" x14ac:dyDescent="0.25">
      <c r="C9365" s="4"/>
      <c r="E9365" s="4"/>
    </row>
    <row r="9366" spans="3:5" x14ac:dyDescent="0.25">
      <c r="C9366" s="4"/>
      <c r="E9366" s="4"/>
    </row>
    <row r="9367" spans="3:5" x14ac:dyDescent="0.25">
      <c r="C9367" s="4"/>
      <c r="E9367" s="4"/>
    </row>
    <row r="9368" spans="3:5" x14ac:dyDescent="0.25">
      <c r="C9368" s="4"/>
      <c r="E9368" s="4"/>
    </row>
    <row r="9369" spans="3:5" x14ac:dyDescent="0.25">
      <c r="C9369" s="4"/>
      <c r="E9369" s="4"/>
    </row>
    <row r="9370" spans="3:5" x14ac:dyDescent="0.25">
      <c r="C9370" s="4"/>
      <c r="E9370" s="4"/>
    </row>
    <row r="9371" spans="3:5" x14ac:dyDescent="0.25">
      <c r="C9371" s="4"/>
      <c r="E9371" s="4"/>
    </row>
    <row r="9372" spans="3:5" x14ac:dyDescent="0.25">
      <c r="C9372" s="4"/>
      <c r="E9372" s="4"/>
    </row>
    <row r="9373" spans="3:5" x14ac:dyDescent="0.25">
      <c r="C9373" s="4"/>
      <c r="E9373" s="4"/>
    </row>
    <row r="9374" spans="3:5" x14ac:dyDescent="0.25">
      <c r="C9374" s="4"/>
      <c r="E9374" s="4"/>
    </row>
    <row r="9375" spans="3:5" x14ac:dyDescent="0.25">
      <c r="C9375" s="4"/>
      <c r="E9375" s="4"/>
    </row>
    <row r="9376" spans="3:5" x14ac:dyDescent="0.25">
      <c r="C9376" s="4"/>
      <c r="E9376" s="4"/>
    </row>
    <row r="9377" spans="3:5" x14ac:dyDescent="0.25">
      <c r="C9377" s="4"/>
      <c r="E9377" s="4"/>
    </row>
    <row r="9378" spans="3:5" x14ac:dyDescent="0.25">
      <c r="C9378" s="4"/>
      <c r="E9378" s="4"/>
    </row>
    <row r="9379" spans="3:5" x14ac:dyDescent="0.25">
      <c r="C9379" s="4"/>
      <c r="E9379" s="4"/>
    </row>
    <row r="9380" spans="3:5" x14ac:dyDescent="0.25">
      <c r="C9380" s="4"/>
      <c r="E9380" s="4"/>
    </row>
    <row r="9381" spans="3:5" x14ac:dyDescent="0.25">
      <c r="C9381" s="4"/>
      <c r="E9381" s="4"/>
    </row>
    <row r="9382" spans="3:5" x14ac:dyDescent="0.25">
      <c r="C9382" s="4"/>
      <c r="E9382" s="4"/>
    </row>
    <row r="9383" spans="3:5" x14ac:dyDescent="0.25">
      <c r="C9383" s="4"/>
      <c r="E9383" s="4"/>
    </row>
    <row r="9384" spans="3:5" x14ac:dyDescent="0.25">
      <c r="C9384" s="4"/>
      <c r="E9384" s="4"/>
    </row>
    <row r="9385" spans="3:5" x14ac:dyDescent="0.25">
      <c r="C9385" s="4"/>
      <c r="E9385" s="4"/>
    </row>
    <row r="9386" spans="3:5" x14ac:dyDescent="0.25">
      <c r="C9386" s="4"/>
      <c r="E9386" s="4"/>
    </row>
    <row r="9387" spans="3:5" x14ac:dyDescent="0.25">
      <c r="C9387" s="4"/>
      <c r="E9387" s="4"/>
    </row>
    <row r="9388" spans="3:5" x14ac:dyDescent="0.25">
      <c r="C9388" s="4"/>
      <c r="E9388" s="4"/>
    </row>
    <row r="9389" spans="3:5" x14ac:dyDescent="0.25">
      <c r="C9389" s="4"/>
      <c r="E9389" s="4"/>
    </row>
    <row r="9390" spans="3:5" x14ac:dyDescent="0.25">
      <c r="C9390" s="4"/>
      <c r="E9390" s="4"/>
    </row>
    <row r="9391" spans="3:5" x14ac:dyDescent="0.25">
      <c r="C9391" s="4"/>
      <c r="E9391" s="4"/>
    </row>
    <row r="9392" spans="3:5" x14ac:dyDescent="0.25">
      <c r="C9392" s="4"/>
      <c r="E9392" s="4"/>
    </row>
    <row r="9393" spans="3:5" x14ac:dyDescent="0.25">
      <c r="C9393" s="4"/>
      <c r="E9393" s="4"/>
    </row>
    <row r="9394" spans="3:5" x14ac:dyDescent="0.25">
      <c r="C9394" s="4"/>
      <c r="E9394" s="4"/>
    </row>
    <row r="9395" spans="3:5" x14ac:dyDescent="0.25">
      <c r="C9395" s="4"/>
      <c r="E9395" s="4"/>
    </row>
    <row r="9396" spans="3:5" x14ac:dyDescent="0.25">
      <c r="C9396" s="4"/>
      <c r="E9396" s="4"/>
    </row>
    <row r="9397" spans="3:5" x14ac:dyDescent="0.25">
      <c r="C9397" s="4"/>
      <c r="E9397" s="4"/>
    </row>
    <row r="9398" spans="3:5" x14ac:dyDescent="0.25">
      <c r="C9398" s="4"/>
      <c r="E9398" s="4"/>
    </row>
    <row r="9399" spans="3:5" x14ac:dyDescent="0.25">
      <c r="C9399" s="4"/>
      <c r="E9399" s="4"/>
    </row>
    <row r="9400" spans="3:5" x14ac:dyDescent="0.25">
      <c r="C9400" s="4"/>
      <c r="E9400" s="4"/>
    </row>
    <row r="9401" spans="3:5" x14ac:dyDescent="0.25">
      <c r="C9401" s="4"/>
      <c r="E9401" s="4"/>
    </row>
    <row r="9402" spans="3:5" x14ac:dyDescent="0.25">
      <c r="C9402" s="4"/>
      <c r="E9402" s="4"/>
    </row>
    <row r="9403" spans="3:5" x14ac:dyDescent="0.25">
      <c r="C9403" s="4"/>
      <c r="E9403" s="4"/>
    </row>
    <row r="9404" spans="3:5" x14ac:dyDescent="0.25">
      <c r="C9404" s="4"/>
      <c r="E9404" s="4"/>
    </row>
    <row r="9405" spans="3:5" x14ac:dyDescent="0.25">
      <c r="C9405" s="4"/>
      <c r="E9405" s="4"/>
    </row>
    <row r="9406" spans="3:5" x14ac:dyDescent="0.25">
      <c r="C9406" s="4"/>
      <c r="E9406" s="4"/>
    </row>
    <row r="9407" spans="3:5" x14ac:dyDescent="0.25">
      <c r="C9407" s="4"/>
      <c r="E9407" s="4"/>
    </row>
    <row r="9408" spans="3:5" x14ac:dyDescent="0.25">
      <c r="C9408" s="4"/>
      <c r="E9408" s="4"/>
    </row>
    <row r="9409" spans="3:5" x14ac:dyDescent="0.25">
      <c r="C9409" s="4"/>
      <c r="E9409" s="4"/>
    </row>
    <row r="9410" spans="3:5" x14ac:dyDescent="0.25">
      <c r="C9410" s="4"/>
      <c r="E9410" s="4"/>
    </row>
    <row r="9411" spans="3:5" x14ac:dyDescent="0.25">
      <c r="C9411" s="4"/>
      <c r="E9411" s="4"/>
    </row>
    <row r="9412" spans="3:5" x14ac:dyDescent="0.25">
      <c r="C9412" s="4"/>
      <c r="E9412" s="4"/>
    </row>
    <row r="9413" spans="3:5" x14ac:dyDescent="0.25">
      <c r="C9413" s="4"/>
      <c r="E9413" s="4"/>
    </row>
    <row r="9414" spans="3:5" x14ac:dyDescent="0.25">
      <c r="C9414" s="4"/>
      <c r="E9414" s="4"/>
    </row>
    <row r="9415" spans="3:5" x14ac:dyDescent="0.25">
      <c r="C9415" s="4"/>
      <c r="E9415" s="4"/>
    </row>
    <row r="9416" spans="3:5" x14ac:dyDescent="0.25">
      <c r="C9416" s="4"/>
      <c r="E9416" s="4"/>
    </row>
    <row r="9417" spans="3:5" x14ac:dyDescent="0.25">
      <c r="C9417" s="4"/>
      <c r="E9417" s="4"/>
    </row>
    <row r="9418" spans="3:5" x14ac:dyDescent="0.25">
      <c r="C9418" s="4"/>
      <c r="E9418" s="4"/>
    </row>
    <row r="9419" spans="3:5" x14ac:dyDescent="0.25">
      <c r="C9419" s="4"/>
      <c r="E9419" s="4"/>
    </row>
    <row r="9420" spans="3:5" x14ac:dyDescent="0.25">
      <c r="C9420" s="4"/>
      <c r="E9420" s="4"/>
    </row>
    <row r="9421" spans="3:5" x14ac:dyDescent="0.25">
      <c r="C9421" s="4"/>
      <c r="E9421" s="4"/>
    </row>
    <row r="9422" spans="3:5" x14ac:dyDescent="0.25">
      <c r="C9422" s="4"/>
      <c r="E9422" s="4"/>
    </row>
    <row r="9423" spans="3:5" x14ac:dyDescent="0.25">
      <c r="C9423" s="4"/>
      <c r="E9423" s="4"/>
    </row>
    <row r="9424" spans="3:5" x14ac:dyDescent="0.25">
      <c r="C9424" s="4"/>
      <c r="E9424" s="4"/>
    </row>
    <row r="9425" spans="3:5" x14ac:dyDescent="0.25">
      <c r="C9425" s="4"/>
      <c r="E9425" s="4"/>
    </row>
    <row r="9426" spans="3:5" x14ac:dyDescent="0.25">
      <c r="C9426" s="4"/>
      <c r="E9426" s="4"/>
    </row>
    <row r="9427" spans="3:5" x14ac:dyDescent="0.25">
      <c r="C9427" s="4"/>
      <c r="E9427" s="4"/>
    </row>
    <row r="9428" spans="3:5" x14ac:dyDescent="0.25">
      <c r="C9428" s="4"/>
      <c r="E9428" s="4"/>
    </row>
    <row r="9429" spans="3:5" x14ac:dyDescent="0.25">
      <c r="C9429" s="4"/>
      <c r="E9429" s="4"/>
    </row>
    <row r="9430" spans="3:5" x14ac:dyDescent="0.25">
      <c r="C9430" s="4"/>
      <c r="E9430" s="4"/>
    </row>
    <row r="9431" spans="3:5" x14ac:dyDescent="0.25">
      <c r="C9431" s="4"/>
      <c r="E9431" s="4"/>
    </row>
    <row r="9432" spans="3:5" x14ac:dyDescent="0.25">
      <c r="C9432" s="4"/>
      <c r="E9432" s="4"/>
    </row>
    <row r="9433" spans="3:5" x14ac:dyDescent="0.25">
      <c r="C9433" s="4"/>
      <c r="E9433" s="4"/>
    </row>
    <row r="9434" spans="3:5" x14ac:dyDescent="0.25">
      <c r="C9434" s="4"/>
      <c r="E9434" s="4"/>
    </row>
    <row r="9435" spans="3:5" x14ac:dyDescent="0.25">
      <c r="C9435" s="4"/>
      <c r="E9435" s="4"/>
    </row>
    <row r="9436" spans="3:5" x14ac:dyDescent="0.25">
      <c r="C9436" s="4"/>
      <c r="E9436" s="4"/>
    </row>
    <row r="9437" spans="3:5" x14ac:dyDescent="0.25">
      <c r="C9437" s="4"/>
      <c r="E9437" s="4"/>
    </row>
    <row r="9438" spans="3:5" x14ac:dyDescent="0.25">
      <c r="C9438" s="4"/>
      <c r="E9438" s="4"/>
    </row>
    <row r="9439" spans="3:5" x14ac:dyDescent="0.25">
      <c r="C9439" s="4"/>
      <c r="E9439" s="4"/>
    </row>
    <row r="9440" spans="3:5" x14ac:dyDescent="0.25">
      <c r="C9440" s="4"/>
      <c r="E9440" s="4"/>
    </row>
    <row r="9441" spans="3:5" x14ac:dyDescent="0.25">
      <c r="C9441" s="4"/>
      <c r="E9441" s="4"/>
    </row>
    <row r="9442" spans="3:5" x14ac:dyDescent="0.25">
      <c r="C9442" s="4"/>
      <c r="E9442" s="4"/>
    </row>
    <row r="9443" spans="3:5" x14ac:dyDescent="0.25">
      <c r="C9443" s="4"/>
      <c r="E9443" s="4"/>
    </row>
    <row r="9444" spans="3:5" x14ac:dyDescent="0.25">
      <c r="C9444" s="4"/>
      <c r="E9444" s="4"/>
    </row>
    <row r="9445" spans="3:5" x14ac:dyDescent="0.25">
      <c r="C9445" s="4"/>
      <c r="E9445" s="4"/>
    </row>
    <row r="9446" spans="3:5" x14ac:dyDescent="0.25">
      <c r="C9446" s="4"/>
      <c r="E9446" s="4"/>
    </row>
    <row r="9447" spans="3:5" x14ac:dyDescent="0.25">
      <c r="C9447" s="4"/>
      <c r="E9447" s="4"/>
    </row>
    <row r="9448" spans="3:5" x14ac:dyDescent="0.25">
      <c r="C9448" s="4"/>
      <c r="E9448" s="4"/>
    </row>
    <row r="9449" spans="3:5" x14ac:dyDescent="0.25">
      <c r="C9449" s="4"/>
      <c r="E9449" s="4"/>
    </row>
    <row r="9450" spans="3:5" x14ac:dyDescent="0.25">
      <c r="C9450" s="4"/>
      <c r="E9450" s="4"/>
    </row>
    <row r="9451" spans="3:5" x14ac:dyDescent="0.25">
      <c r="C9451" s="4"/>
      <c r="E9451" s="4"/>
    </row>
    <row r="9452" spans="3:5" x14ac:dyDescent="0.25">
      <c r="C9452" s="4"/>
      <c r="E9452" s="4"/>
    </row>
    <row r="9453" spans="3:5" x14ac:dyDescent="0.25">
      <c r="C9453" s="4"/>
      <c r="E9453" s="4"/>
    </row>
    <row r="9454" spans="3:5" x14ac:dyDescent="0.25">
      <c r="C9454" s="4"/>
      <c r="E9454" s="4"/>
    </row>
    <row r="9455" spans="3:5" x14ac:dyDescent="0.25">
      <c r="C9455" s="4"/>
      <c r="E9455" s="4"/>
    </row>
    <row r="9456" spans="3:5" x14ac:dyDescent="0.25">
      <c r="C9456" s="4"/>
      <c r="E9456" s="4"/>
    </row>
    <row r="9457" spans="3:5" x14ac:dyDescent="0.25">
      <c r="C9457" s="4"/>
      <c r="E9457" s="4"/>
    </row>
    <row r="9458" spans="3:5" x14ac:dyDescent="0.25">
      <c r="C9458" s="4"/>
      <c r="E9458" s="4"/>
    </row>
    <row r="9459" spans="3:5" x14ac:dyDescent="0.25">
      <c r="C9459" s="4"/>
      <c r="E9459" s="4"/>
    </row>
    <row r="9460" spans="3:5" x14ac:dyDescent="0.25">
      <c r="C9460" s="4"/>
      <c r="E9460" s="4"/>
    </row>
    <row r="9461" spans="3:5" x14ac:dyDescent="0.25">
      <c r="C9461" s="4"/>
      <c r="E9461" s="4"/>
    </row>
    <row r="9462" spans="3:5" x14ac:dyDescent="0.25">
      <c r="C9462" s="4"/>
      <c r="E9462" s="4"/>
    </row>
    <row r="9463" spans="3:5" x14ac:dyDescent="0.25">
      <c r="C9463" s="4"/>
      <c r="E9463" s="4"/>
    </row>
    <row r="9464" spans="3:5" x14ac:dyDescent="0.25">
      <c r="C9464" s="4"/>
      <c r="E9464" s="4"/>
    </row>
    <row r="9465" spans="3:5" x14ac:dyDescent="0.25">
      <c r="C9465" s="4"/>
      <c r="E9465" s="4"/>
    </row>
    <row r="9466" spans="3:5" x14ac:dyDescent="0.25">
      <c r="C9466" s="4"/>
      <c r="E9466" s="4"/>
    </row>
    <row r="9467" spans="3:5" x14ac:dyDescent="0.25">
      <c r="C9467" s="4"/>
      <c r="E9467" s="4"/>
    </row>
    <row r="9468" spans="3:5" x14ac:dyDescent="0.25">
      <c r="C9468" s="4"/>
      <c r="E9468" s="4"/>
    </row>
    <row r="9469" spans="3:5" x14ac:dyDescent="0.25">
      <c r="C9469" s="4"/>
      <c r="E9469" s="4"/>
    </row>
    <row r="9470" spans="3:5" x14ac:dyDescent="0.25">
      <c r="C9470" s="4"/>
      <c r="E9470" s="4"/>
    </row>
    <row r="9471" spans="3:5" x14ac:dyDescent="0.25">
      <c r="C9471" s="4"/>
      <c r="E9471" s="4"/>
    </row>
    <row r="9472" spans="3:5" x14ac:dyDescent="0.25">
      <c r="C9472" s="4"/>
      <c r="E9472" s="4"/>
    </row>
    <row r="9473" spans="3:5" x14ac:dyDescent="0.25">
      <c r="C9473" s="4"/>
      <c r="E9473" s="4"/>
    </row>
    <row r="9474" spans="3:5" x14ac:dyDescent="0.25">
      <c r="C9474" s="4"/>
      <c r="E9474" s="4"/>
    </row>
    <row r="9475" spans="3:5" x14ac:dyDescent="0.25">
      <c r="C9475" s="4"/>
      <c r="E9475" s="4"/>
    </row>
    <row r="9476" spans="3:5" x14ac:dyDescent="0.25">
      <c r="C9476" s="4"/>
      <c r="E9476" s="4"/>
    </row>
    <row r="9477" spans="3:5" x14ac:dyDescent="0.25">
      <c r="C9477" s="4"/>
      <c r="E9477" s="4"/>
    </row>
    <row r="9478" spans="3:5" x14ac:dyDescent="0.25">
      <c r="C9478" s="4"/>
      <c r="E9478" s="4"/>
    </row>
    <row r="9479" spans="3:5" x14ac:dyDescent="0.25">
      <c r="C9479" s="4"/>
      <c r="E9479" s="4"/>
    </row>
    <row r="9480" spans="3:5" x14ac:dyDescent="0.25">
      <c r="C9480" s="4"/>
      <c r="E9480" s="4"/>
    </row>
    <row r="9481" spans="3:5" x14ac:dyDescent="0.25">
      <c r="C9481" s="4"/>
      <c r="E9481" s="4"/>
    </row>
    <row r="9482" spans="3:5" x14ac:dyDescent="0.25">
      <c r="C9482" s="4"/>
      <c r="E9482" s="4"/>
    </row>
    <row r="9483" spans="3:5" x14ac:dyDescent="0.25">
      <c r="C9483" s="4"/>
      <c r="E9483" s="4"/>
    </row>
    <row r="9484" spans="3:5" x14ac:dyDescent="0.25">
      <c r="C9484" s="4"/>
      <c r="E9484" s="4"/>
    </row>
    <row r="9485" spans="3:5" x14ac:dyDescent="0.25">
      <c r="C9485" s="4"/>
      <c r="E9485" s="4"/>
    </row>
    <row r="9486" spans="3:5" x14ac:dyDescent="0.25">
      <c r="C9486" s="4"/>
      <c r="E9486" s="4"/>
    </row>
    <row r="9487" spans="3:5" x14ac:dyDescent="0.25">
      <c r="C9487" s="4"/>
      <c r="E9487" s="4"/>
    </row>
    <row r="9488" spans="3:5" x14ac:dyDescent="0.25">
      <c r="C9488" s="4"/>
      <c r="E9488" s="4"/>
    </row>
    <row r="9489" spans="3:5" x14ac:dyDescent="0.25">
      <c r="C9489" s="4"/>
      <c r="E9489" s="4"/>
    </row>
    <row r="9490" spans="3:5" x14ac:dyDescent="0.25">
      <c r="C9490" s="4"/>
      <c r="E9490" s="4"/>
    </row>
    <row r="9491" spans="3:5" x14ac:dyDescent="0.25">
      <c r="C9491" s="4"/>
      <c r="E9491" s="4"/>
    </row>
    <row r="9492" spans="3:5" x14ac:dyDescent="0.25">
      <c r="C9492" s="4"/>
      <c r="E9492" s="4"/>
    </row>
    <row r="9493" spans="3:5" x14ac:dyDescent="0.25">
      <c r="C9493" s="4"/>
      <c r="E9493" s="4"/>
    </row>
    <row r="9494" spans="3:5" x14ac:dyDescent="0.25">
      <c r="C9494" s="4"/>
      <c r="E9494" s="4"/>
    </row>
    <row r="9495" spans="3:5" x14ac:dyDescent="0.25">
      <c r="C9495" s="4"/>
      <c r="E9495" s="4"/>
    </row>
    <row r="9496" spans="3:5" x14ac:dyDescent="0.25">
      <c r="C9496" s="4"/>
      <c r="E9496" s="4"/>
    </row>
    <row r="9497" spans="3:5" x14ac:dyDescent="0.25">
      <c r="C9497" s="4"/>
      <c r="E9497" s="4"/>
    </row>
    <row r="9498" spans="3:5" x14ac:dyDescent="0.25">
      <c r="C9498" s="4"/>
      <c r="E9498" s="4"/>
    </row>
    <row r="9499" spans="3:5" x14ac:dyDescent="0.25">
      <c r="C9499" s="4"/>
      <c r="E9499" s="4"/>
    </row>
    <row r="9500" spans="3:5" x14ac:dyDescent="0.25">
      <c r="C9500" s="4"/>
      <c r="E9500" s="4"/>
    </row>
    <row r="9501" spans="3:5" x14ac:dyDescent="0.25">
      <c r="C9501" s="4"/>
      <c r="E9501" s="4"/>
    </row>
    <row r="9502" spans="3:5" x14ac:dyDescent="0.25">
      <c r="C9502" s="4"/>
      <c r="E9502" s="4"/>
    </row>
    <row r="9503" spans="3:5" x14ac:dyDescent="0.25">
      <c r="C9503" s="4"/>
      <c r="E9503" s="4"/>
    </row>
    <row r="9504" spans="3:5" x14ac:dyDescent="0.25">
      <c r="C9504" s="4"/>
      <c r="E9504" s="4"/>
    </row>
    <row r="9505" spans="3:5" x14ac:dyDescent="0.25">
      <c r="C9505" s="4"/>
      <c r="E9505" s="4"/>
    </row>
    <row r="9506" spans="3:5" x14ac:dyDescent="0.25">
      <c r="C9506" s="4"/>
      <c r="E9506" s="4"/>
    </row>
    <row r="9507" spans="3:5" x14ac:dyDescent="0.25">
      <c r="C9507" s="4"/>
      <c r="E9507" s="4"/>
    </row>
    <row r="9508" spans="3:5" x14ac:dyDescent="0.25">
      <c r="C9508" s="4"/>
      <c r="E9508" s="4"/>
    </row>
    <row r="9509" spans="3:5" x14ac:dyDescent="0.25">
      <c r="C9509" s="4"/>
      <c r="E9509" s="4"/>
    </row>
    <row r="9510" spans="3:5" x14ac:dyDescent="0.25">
      <c r="C9510" s="4"/>
      <c r="E9510" s="4"/>
    </row>
    <row r="9511" spans="3:5" x14ac:dyDescent="0.25">
      <c r="C9511" s="4"/>
      <c r="E9511" s="4"/>
    </row>
    <row r="9512" spans="3:5" x14ac:dyDescent="0.25">
      <c r="C9512" s="4"/>
      <c r="E9512" s="4"/>
    </row>
    <row r="9513" spans="3:5" x14ac:dyDescent="0.25">
      <c r="C9513" s="4"/>
      <c r="E9513" s="4"/>
    </row>
    <row r="9514" spans="3:5" x14ac:dyDescent="0.25">
      <c r="C9514" s="4"/>
      <c r="E9514" s="4"/>
    </row>
    <row r="9515" spans="3:5" x14ac:dyDescent="0.25">
      <c r="C9515" s="4"/>
      <c r="E9515" s="4"/>
    </row>
    <row r="9516" spans="3:5" x14ac:dyDescent="0.25">
      <c r="C9516" s="4"/>
      <c r="E9516" s="4"/>
    </row>
    <row r="9517" spans="3:5" x14ac:dyDescent="0.25">
      <c r="C9517" s="4"/>
      <c r="E9517" s="4"/>
    </row>
    <row r="9518" spans="3:5" x14ac:dyDescent="0.25">
      <c r="C9518" s="4"/>
      <c r="E9518" s="4"/>
    </row>
    <row r="9519" spans="3:5" x14ac:dyDescent="0.25">
      <c r="C9519" s="4"/>
      <c r="E9519" s="4"/>
    </row>
    <row r="9520" spans="3:5" x14ac:dyDescent="0.25">
      <c r="C9520" s="4"/>
      <c r="E9520" s="4"/>
    </row>
    <row r="9521" spans="3:5" x14ac:dyDescent="0.25">
      <c r="C9521" s="4"/>
      <c r="E9521" s="4"/>
    </row>
    <row r="9522" spans="3:5" x14ac:dyDescent="0.25">
      <c r="C9522" s="4"/>
      <c r="E9522" s="4"/>
    </row>
    <row r="9523" spans="3:5" x14ac:dyDescent="0.25">
      <c r="C9523" s="4"/>
      <c r="E9523" s="4"/>
    </row>
    <row r="9524" spans="3:5" x14ac:dyDescent="0.25">
      <c r="C9524" s="4"/>
      <c r="E9524" s="4"/>
    </row>
    <row r="9525" spans="3:5" x14ac:dyDescent="0.25">
      <c r="C9525" s="4"/>
      <c r="E9525" s="4"/>
    </row>
    <row r="9526" spans="3:5" x14ac:dyDescent="0.25">
      <c r="C9526" s="4"/>
      <c r="E9526" s="4"/>
    </row>
    <row r="9527" spans="3:5" x14ac:dyDescent="0.25">
      <c r="C9527" s="4"/>
      <c r="E9527" s="4"/>
    </row>
    <row r="9528" spans="3:5" x14ac:dyDescent="0.25">
      <c r="C9528" s="4"/>
      <c r="E9528" s="4"/>
    </row>
    <row r="9529" spans="3:5" x14ac:dyDescent="0.25">
      <c r="C9529" s="4"/>
      <c r="E9529" s="4"/>
    </row>
    <row r="9530" spans="3:5" x14ac:dyDescent="0.25">
      <c r="C9530" s="4"/>
      <c r="E9530" s="4"/>
    </row>
    <row r="9531" spans="3:5" x14ac:dyDescent="0.25">
      <c r="C9531" s="4"/>
      <c r="E9531" s="4"/>
    </row>
    <row r="9532" spans="3:5" x14ac:dyDescent="0.25">
      <c r="C9532" s="4"/>
      <c r="E9532" s="4"/>
    </row>
    <row r="9533" spans="3:5" x14ac:dyDescent="0.25">
      <c r="C9533" s="4"/>
      <c r="E9533" s="4"/>
    </row>
    <row r="9534" spans="3:5" x14ac:dyDescent="0.25">
      <c r="C9534" s="4"/>
      <c r="E9534" s="4"/>
    </row>
    <row r="9535" spans="3:5" x14ac:dyDescent="0.25">
      <c r="C9535" s="4"/>
      <c r="E9535" s="4"/>
    </row>
    <row r="9536" spans="3:5" x14ac:dyDescent="0.25">
      <c r="C9536" s="4"/>
      <c r="E9536" s="4"/>
    </row>
    <row r="9537" spans="3:5" x14ac:dyDescent="0.25">
      <c r="C9537" s="4"/>
      <c r="E9537" s="4"/>
    </row>
    <row r="9538" spans="3:5" x14ac:dyDescent="0.25">
      <c r="C9538" s="4"/>
      <c r="E9538" s="4"/>
    </row>
    <row r="9539" spans="3:5" x14ac:dyDescent="0.25">
      <c r="C9539" s="4"/>
      <c r="E9539" s="4"/>
    </row>
    <row r="9540" spans="3:5" x14ac:dyDescent="0.25">
      <c r="C9540" s="4"/>
      <c r="E9540" s="4"/>
    </row>
    <row r="9541" spans="3:5" x14ac:dyDescent="0.25">
      <c r="C9541" s="4"/>
      <c r="E9541" s="4"/>
    </row>
    <row r="9542" spans="3:5" x14ac:dyDescent="0.25">
      <c r="C9542" s="4"/>
      <c r="E9542" s="4"/>
    </row>
    <row r="9543" spans="3:5" x14ac:dyDescent="0.25">
      <c r="C9543" s="4"/>
      <c r="E9543" s="4"/>
    </row>
    <row r="9544" spans="3:5" x14ac:dyDescent="0.25">
      <c r="C9544" s="4"/>
      <c r="E9544" s="4"/>
    </row>
    <row r="9545" spans="3:5" x14ac:dyDescent="0.25">
      <c r="C9545" s="4"/>
      <c r="E9545" s="4"/>
    </row>
    <row r="9546" spans="3:5" x14ac:dyDescent="0.25">
      <c r="C9546" s="4"/>
      <c r="E9546" s="4"/>
    </row>
    <row r="9547" spans="3:5" x14ac:dyDescent="0.25">
      <c r="C9547" s="4"/>
      <c r="E9547" s="4"/>
    </row>
    <row r="9548" spans="3:5" x14ac:dyDescent="0.25">
      <c r="C9548" s="4"/>
      <c r="E9548" s="4"/>
    </row>
    <row r="9549" spans="3:5" x14ac:dyDescent="0.25">
      <c r="C9549" s="4"/>
      <c r="E9549" s="4"/>
    </row>
    <row r="9550" spans="3:5" x14ac:dyDescent="0.25">
      <c r="C9550" s="4"/>
      <c r="E9550" s="4"/>
    </row>
    <row r="9551" spans="3:5" x14ac:dyDescent="0.25">
      <c r="C9551" s="4"/>
      <c r="E9551" s="4"/>
    </row>
    <row r="9552" spans="3:5" x14ac:dyDescent="0.25">
      <c r="C9552" s="4"/>
      <c r="E9552" s="4"/>
    </row>
    <row r="9553" spans="3:5" x14ac:dyDescent="0.25">
      <c r="C9553" s="4"/>
      <c r="E9553" s="4"/>
    </row>
    <row r="9554" spans="3:5" x14ac:dyDescent="0.25">
      <c r="C9554" s="4"/>
      <c r="E9554" s="4"/>
    </row>
    <row r="9555" spans="3:5" x14ac:dyDescent="0.25">
      <c r="C9555" s="4"/>
      <c r="E9555" s="4"/>
    </row>
    <row r="9556" spans="3:5" x14ac:dyDescent="0.25">
      <c r="C9556" s="4"/>
      <c r="E9556" s="4"/>
    </row>
    <row r="9557" spans="3:5" x14ac:dyDescent="0.25">
      <c r="C9557" s="4"/>
      <c r="E9557" s="4"/>
    </row>
    <row r="9558" spans="3:5" x14ac:dyDescent="0.25">
      <c r="C9558" s="4"/>
      <c r="E9558" s="4"/>
    </row>
    <row r="9559" spans="3:5" x14ac:dyDescent="0.25">
      <c r="C9559" s="4"/>
      <c r="E9559" s="4"/>
    </row>
    <row r="9560" spans="3:5" x14ac:dyDescent="0.25">
      <c r="C9560" s="4"/>
      <c r="E9560" s="4"/>
    </row>
    <row r="9561" spans="3:5" x14ac:dyDescent="0.25">
      <c r="C9561" s="4"/>
      <c r="E9561" s="4"/>
    </row>
    <row r="9562" spans="3:5" x14ac:dyDescent="0.25">
      <c r="C9562" s="4"/>
      <c r="E9562" s="4"/>
    </row>
    <row r="9563" spans="3:5" x14ac:dyDescent="0.25">
      <c r="C9563" s="4"/>
      <c r="E9563" s="4"/>
    </row>
    <row r="9564" spans="3:5" x14ac:dyDescent="0.25">
      <c r="C9564" s="4"/>
      <c r="E9564" s="4"/>
    </row>
    <row r="9565" spans="3:5" x14ac:dyDescent="0.25">
      <c r="C9565" s="4"/>
      <c r="E9565" s="4"/>
    </row>
    <row r="9566" spans="3:5" x14ac:dyDescent="0.25">
      <c r="C9566" s="4"/>
      <c r="E9566" s="4"/>
    </row>
    <row r="9567" spans="3:5" x14ac:dyDescent="0.25">
      <c r="C9567" s="4"/>
      <c r="E9567" s="4"/>
    </row>
    <row r="9568" spans="3:5" x14ac:dyDescent="0.25">
      <c r="C9568" s="4"/>
      <c r="E9568" s="4"/>
    </row>
    <row r="9569" spans="3:5" x14ac:dyDescent="0.25">
      <c r="C9569" s="4"/>
      <c r="E9569" s="4"/>
    </row>
    <row r="9570" spans="3:5" x14ac:dyDescent="0.25">
      <c r="C9570" s="4"/>
      <c r="E9570" s="4"/>
    </row>
    <row r="9571" spans="3:5" x14ac:dyDescent="0.25">
      <c r="C9571" s="4"/>
      <c r="E9571" s="4"/>
    </row>
    <row r="9572" spans="3:5" x14ac:dyDescent="0.25">
      <c r="C9572" s="4"/>
      <c r="E9572" s="4"/>
    </row>
    <row r="9573" spans="3:5" x14ac:dyDescent="0.25">
      <c r="C9573" s="4"/>
      <c r="E9573" s="4"/>
    </row>
    <row r="9574" spans="3:5" x14ac:dyDescent="0.25">
      <c r="C9574" s="4"/>
      <c r="E9574" s="4"/>
    </row>
    <row r="9575" spans="3:5" x14ac:dyDescent="0.25">
      <c r="C9575" s="4"/>
      <c r="E9575" s="4"/>
    </row>
    <row r="9576" spans="3:5" x14ac:dyDescent="0.25">
      <c r="C9576" s="4"/>
      <c r="E9576" s="4"/>
    </row>
    <row r="9577" spans="3:5" x14ac:dyDescent="0.25">
      <c r="C9577" s="4"/>
      <c r="E9577" s="4"/>
    </row>
    <row r="9578" spans="3:5" x14ac:dyDescent="0.25">
      <c r="C9578" s="4"/>
      <c r="E9578" s="4"/>
    </row>
    <row r="9579" spans="3:5" x14ac:dyDescent="0.25">
      <c r="C9579" s="4"/>
      <c r="E9579" s="4"/>
    </row>
    <row r="9580" spans="3:5" x14ac:dyDescent="0.25">
      <c r="C9580" s="4"/>
      <c r="E9580" s="4"/>
    </row>
    <row r="9581" spans="3:5" x14ac:dyDescent="0.25">
      <c r="C9581" s="4"/>
      <c r="E9581" s="4"/>
    </row>
    <row r="9582" spans="3:5" x14ac:dyDescent="0.25">
      <c r="C9582" s="4"/>
      <c r="E9582" s="4"/>
    </row>
    <row r="9583" spans="3:5" x14ac:dyDescent="0.25">
      <c r="C9583" s="4"/>
      <c r="E9583" s="4"/>
    </row>
    <row r="9584" spans="3:5" x14ac:dyDescent="0.25">
      <c r="C9584" s="4"/>
      <c r="E9584" s="4"/>
    </row>
    <row r="9585" spans="3:5" x14ac:dyDescent="0.25">
      <c r="C9585" s="4"/>
      <c r="E9585" s="4"/>
    </row>
    <row r="9586" spans="3:5" x14ac:dyDescent="0.25">
      <c r="C9586" s="4"/>
      <c r="E9586" s="4"/>
    </row>
    <row r="9587" spans="3:5" x14ac:dyDescent="0.25">
      <c r="C9587" s="4"/>
      <c r="E9587" s="4"/>
    </row>
    <row r="9588" spans="3:5" x14ac:dyDescent="0.25">
      <c r="C9588" s="4"/>
      <c r="E9588" s="4"/>
    </row>
    <row r="9589" spans="3:5" x14ac:dyDescent="0.25">
      <c r="C9589" s="4"/>
      <c r="E9589" s="4"/>
    </row>
    <row r="9590" spans="3:5" x14ac:dyDescent="0.25">
      <c r="C9590" s="4"/>
      <c r="E9590" s="4"/>
    </row>
    <row r="9591" spans="3:5" x14ac:dyDescent="0.25">
      <c r="C9591" s="4"/>
      <c r="E9591" s="4"/>
    </row>
    <row r="9592" spans="3:5" x14ac:dyDescent="0.25">
      <c r="C9592" s="4"/>
      <c r="E9592" s="4"/>
    </row>
    <row r="9593" spans="3:5" x14ac:dyDescent="0.25">
      <c r="C9593" s="4"/>
      <c r="E9593" s="4"/>
    </row>
    <row r="9594" spans="3:5" x14ac:dyDescent="0.25">
      <c r="C9594" s="4"/>
      <c r="E9594" s="4"/>
    </row>
    <row r="9595" spans="3:5" x14ac:dyDescent="0.25">
      <c r="C9595" s="4"/>
      <c r="E9595" s="4"/>
    </row>
    <row r="9596" spans="3:5" x14ac:dyDescent="0.25">
      <c r="C9596" s="4"/>
      <c r="E9596" s="4"/>
    </row>
    <row r="9597" spans="3:5" x14ac:dyDescent="0.25">
      <c r="C9597" s="4"/>
      <c r="E9597" s="4"/>
    </row>
    <row r="9598" spans="3:5" x14ac:dyDescent="0.25">
      <c r="C9598" s="4"/>
      <c r="E9598" s="4"/>
    </row>
    <row r="9599" spans="3:5" x14ac:dyDescent="0.25">
      <c r="C9599" s="4"/>
      <c r="E9599" s="4"/>
    </row>
    <row r="9600" spans="3:5" x14ac:dyDescent="0.25">
      <c r="C9600" s="4"/>
      <c r="E9600" s="4"/>
    </row>
    <row r="9601" spans="3:5" x14ac:dyDescent="0.25">
      <c r="C9601" s="4"/>
      <c r="E9601" s="4"/>
    </row>
    <row r="9602" spans="3:5" x14ac:dyDescent="0.25">
      <c r="C9602" s="4"/>
      <c r="E9602" s="4"/>
    </row>
    <row r="9603" spans="3:5" x14ac:dyDescent="0.25">
      <c r="C9603" s="4"/>
      <c r="E9603" s="4"/>
    </row>
    <row r="9604" spans="3:5" x14ac:dyDescent="0.25">
      <c r="C9604" s="4"/>
      <c r="E9604" s="4"/>
    </row>
    <row r="9605" spans="3:5" x14ac:dyDescent="0.25">
      <c r="C9605" s="4"/>
      <c r="E9605" s="4"/>
    </row>
    <row r="9606" spans="3:5" x14ac:dyDescent="0.25">
      <c r="C9606" s="4"/>
      <c r="E9606" s="4"/>
    </row>
    <row r="9607" spans="3:5" x14ac:dyDescent="0.25">
      <c r="C9607" s="4"/>
      <c r="E9607" s="4"/>
    </row>
    <row r="9608" spans="3:5" x14ac:dyDescent="0.25">
      <c r="C9608" s="4"/>
      <c r="E9608" s="4"/>
    </row>
    <row r="9609" spans="3:5" x14ac:dyDescent="0.25">
      <c r="C9609" s="4"/>
      <c r="E9609" s="4"/>
    </row>
    <row r="9610" spans="3:5" x14ac:dyDescent="0.25">
      <c r="C9610" s="4"/>
      <c r="E9610" s="4"/>
    </row>
    <row r="9611" spans="3:5" x14ac:dyDescent="0.25">
      <c r="C9611" s="4"/>
      <c r="E9611" s="4"/>
    </row>
    <row r="9612" spans="3:5" x14ac:dyDescent="0.25">
      <c r="C9612" s="4"/>
      <c r="E9612" s="4"/>
    </row>
    <row r="9613" spans="3:5" x14ac:dyDescent="0.25">
      <c r="C9613" s="4"/>
      <c r="E9613" s="4"/>
    </row>
    <row r="9614" spans="3:5" x14ac:dyDescent="0.25">
      <c r="C9614" s="4"/>
      <c r="E9614" s="4"/>
    </row>
    <row r="9615" spans="3:5" x14ac:dyDescent="0.25">
      <c r="C9615" s="4"/>
      <c r="E9615" s="4"/>
    </row>
    <row r="9616" spans="3:5" x14ac:dyDescent="0.25">
      <c r="C9616" s="4"/>
      <c r="E9616" s="4"/>
    </row>
    <row r="9617" spans="3:5" x14ac:dyDescent="0.25">
      <c r="C9617" s="4"/>
      <c r="E9617" s="4"/>
    </row>
    <row r="9618" spans="3:5" x14ac:dyDescent="0.25">
      <c r="C9618" s="4"/>
      <c r="E9618" s="4"/>
    </row>
    <row r="9619" spans="3:5" x14ac:dyDescent="0.25">
      <c r="C9619" s="4"/>
      <c r="E9619" s="4"/>
    </row>
    <row r="9620" spans="3:5" x14ac:dyDescent="0.25">
      <c r="C9620" s="4"/>
      <c r="E9620" s="4"/>
    </row>
    <row r="9621" spans="3:5" x14ac:dyDescent="0.25">
      <c r="C9621" s="4"/>
      <c r="E9621" s="4"/>
    </row>
    <row r="9622" spans="3:5" x14ac:dyDescent="0.25">
      <c r="C9622" s="4"/>
      <c r="E9622" s="4"/>
    </row>
    <row r="9623" spans="3:5" x14ac:dyDescent="0.25">
      <c r="C9623" s="4"/>
      <c r="E9623" s="4"/>
    </row>
    <row r="9624" spans="3:5" x14ac:dyDescent="0.25">
      <c r="C9624" s="4"/>
      <c r="E9624" s="4"/>
    </row>
    <row r="9625" spans="3:5" x14ac:dyDescent="0.25">
      <c r="C9625" s="4"/>
      <c r="E9625" s="4"/>
    </row>
    <row r="9626" spans="3:5" x14ac:dyDescent="0.25">
      <c r="C9626" s="4"/>
      <c r="E9626" s="4"/>
    </row>
    <row r="9627" spans="3:5" x14ac:dyDescent="0.25">
      <c r="C9627" s="4"/>
      <c r="E9627" s="4"/>
    </row>
    <row r="9628" spans="3:5" x14ac:dyDescent="0.25">
      <c r="C9628" s="4"/>
      <c r="E9628" s="4"/>
    </row>
    <row r="9629" spans="3:5" x14ac:dyDescent="0.25">
      <c r="C9629" s="4"/>
      <c r="E9629" s="4"/>
    </row>
    <row r="9630" spans="3:5" x14ac:dyDescent="0.25">
      <c r="C9630" s="4"/>
      <c r="E9630" s="4"/>
    </row>
    <row r="9631" spans="3:5" x14ac:dyDescent="0.25">
      <c r="C9631" s="4"/>
      <c r="E9631" s="4"/>
    </row>
    <row r="9632" spans="3:5" x14ac:dyDescent="0.25">
      <c r="C9632" s="4"/>
      <c r="E9632" s="4"/>
    </row>
    <row r="9633" spans="3:5" x14ac:dyDescent="0.25">
      <c r="C9633" s="4"/>
      <c r="E9633" s="4"/>
    </row>
    <row r="9634" spans="3:5" x14ac:dyDescent="0.25">
      <c r="C9634" s="4"/>
      <c r="E9634" s="4"/>
    </row>
    <row r="9635" spans="3:5" x14ac:dyDescent="0.25">
      <c r="C9635" s="4"/>
      <c r="E9635" s="4"/>
    </row>
    <row r="9636" spans="3:5" x14ac:dyDescent="0.25">
      <c r="C9636" s="4"/>
      <c r="E9636" s="4"/>
    </row>
    <row r="9637" spans="3:5" x14ac:dyDescent="0.25">
      <c r="C9637" s="4"/>
      <c r="E9637" s="4"/>
    </row>
    <row r="9638" spans="3:5" x14ac:dyDescent="0.25">
      <c r="C9638" s="4"/>
      <c r="E9638" s="4"/>
    </row>
    <row r="9639" spans="3:5" x14ac:dyDescent="0.25">
      <c r="C9639" s="4"/>
      <c r="E9639" s="4"/>
    </row>
    <row r="9640" spans="3:5" x14ac:dyDescent="0.25">
      <c r="C9640" s="4"/>
      <c r="E9640" s="4"/>
    </row>
    <row r="9641" spans="3:5" x14ac:dyDescent="0.25">
      <c r="C9641" s="4"/>
      <c r="E9641" s="4"/>
    </row>
    <row r="9642" spans="3:5" x14ac:dyDescent="0.25">
      <c r="C9642" s="4"/>
      <c r="E9642" s="4"/>
    </row>
    <row r="9643" spans="3:5" x14ac:dyDescent="0.25">
      <c r="C9643" s="4"/>
      <c r="E9643" s="4"/>
    </row>
    <row r="9644" spans="3:5" x14ac:dyDescent="0.25">
      <c r="C9644" s="4"/>
      <c r="E9644" s="4"/>
    </row>
    <row r="9645" spans="3:5" x14ac:dyDescent="0.25">
      <c r="C9645" s="4"/>
      <c r="E9645" s="4"/>
    </row>
    <row r="9646" spans="3:5" x14ac:dyDescent="0.25">
      <c r="C9646" s="4"/>
      <c r="E9646" s="4"/>
    </row>
    <row r="9647" spans="3:5" x14ac:dyDescent="0.25">
      <c r="C9647" s="4"/>
      <c r="E9647" s="4"/>
    </row>
    <row r="9648" spans="3:5" x14ac:dyDescent="0.25">
      <c r="C9648" s="4"/>
      <c r="E9648" s="4"/>
    </row>
    <row r="9649" spans="3:5" x14ac:dyDescent="0.25">
      <c r="C9649" s="4"/>
      <c r="E9649" s="4"/>
    </row>
    <row r="9650" spans="3:5" x14ac:dyDescent="0.25">
      <c r="C9650" s="4"/>
      <c r="E9650" s="4"/>
    </row>
    <row r="9651" spans="3:5" x14ac:dyDescent="0.25">
      <c r="C9651" s="4"/>
      <c r="E9651" s="4"/>
    </row>
    <row r="9652" spans="3:5" x14ac:dyDescent="0.25">
      <c r="C9652" s="4"/>
      <c r="E9652" s="4"/>
    </row>
    <row r="9653" spans="3:5" x14ac:dyDescent="0.25">
      <c r="C9653" s="4"/>
      <c r="E9653" s="4"/>
    </row>
    <row r="9654" spans="3:5" x14ac:dyDescent="0.25">
      <c r="C9654" s="4"/>
      <c r="E9654" s="4"/>
    </row>
    <row r="9655" spans="3:5" x14ac:dyDescent="0.25">
      <c r="C9655" s="4"/>
      <c r="E9655" s="4"/>
    </row>
    <row r="9656" spans="3:5" x14ac:dyDescent="0.25">
      <c r="C9656" s="4"/>
      <c r="E9656" s="4"/>
    </row>
    <row r="9657" spans="3:5" x14ac:dyDescent="0.25">
      <c r="C9657" s="4"/>
      <c r="E9657" s="4"/>
    </row>
    <row r="9658" spans="3:5" x14ac:dyDescent="0.25">
      <c r="C9658" s="4"/>
      <c r="E9658" s="4"/>
    </row>
    <row r="9659" spans="3:5" x14ac:dyDescent="0.25">
      <c r="C9659" s="4"/>
      <c r="E9659" s="4"/>
    </row>
    <row r="9660" spans="3:5" x14ac:dyDescent="0.25">
      <c r="C9660" s="4"/>
      <c r="E9660" s="4"/>
    </row>
    <row r="9661" spans="3:5" x14ac:dyDescent="0.25">
      <c r="C9661" s="4"/>
      <c r="E9661" s="4"/>
    </row>
    <row r="9662" spans="3:5" x14ac:dyDescent="0.25">
      <c r="C9662" s="4"/>
      <c r="E9662" s="4"/>
    </row>
    <row r="9663" spans="3:5" x14ac:dyDescent="0.25">
      <c r="C9663" s="4"/>
      <c r="E9663" s="4"/>
    </row>
    <row r="9664" spans="3:5" x14ac:dyDescent="0.25">
      <c r="C9664" s="4"/>
      <c r="E9664" s="4"/>
    </row>
    <row r="9665" spans="3:5" x14ac:dyDescent="0.25">
      <c r="C9665" s="4"/>
      <c r="E9665" s="4"/>
    </row>
    <row r="9666" spans="3:5" x14ac:dyDescent="0.25">
      <c r="C9666" s="4"/>
      <c r="E9666" s="4"/>
    </row>
    <row r="9667" spans="3:5" x14ac:dyDescent="0.25">
      <c r="C9667" s="4"/>
      <c r="E9667" s="4"/>
    </row>
    <row r="9668" spans="3:5" x14ac:dyDescent="0.25">
      <c r="C9668" s="4"/>
      <c r="E9668" s="4"/>
    </row>
    <row r="9669" spans="3:5" x14ac:dyDescent="0.25">
      <c r="C9669" s="4"/>
      <c r="E9669" s="4"/>
    </row>
    <row r="9670" spans="3:5" x14ac:dyDescent="0.25">
      <c r="C9670" s="4"/>
      <c r="E9670" s="4"/>
    </row>
    <row r="9671" spans="3:5" x14ac:dyDescent="0.25">
      <c r="C9671" s="4"/>
      <c r="E9671" s="4"/>
    </row>
    <row r="9672" spans="3:5" x14ac:dyDescent="0.25">
      <c r="C9672" s="4"/>
      <c r="E9672" s="4"/>
    </row>
    <row r="9673" spans="3:5" x14ac:dyDescent="0.25">
      <c r="C9673" s="4"/>
      <c r="E9673" s="4"/>
    </row>
    <row r="9674" spans="3:5" x14ac:dyDescent="0.25">
      <c r="C9674" s="4"/>
      <c r="E9674" s="4"/>
    </row>
    <row r="9675" spans="3:5" x14ac:dyDescent="0.25">
      <c r="C9675" s="4"/>
      <c r="E9675" s="4"/>
    </row>
    <row r="9676" spans="3:5" x14ac:dyDescent="0.25">
      <c r="C9676" s="4"/>
      <c r="E9676" s="4"/>
    </row>
    <row r="9677" spans="3:5" x14ac:dyDescent="0.25">
      <c r="C9677" s="4"/>
      <c r="E9677" s="4"/>
    </row>
    <row r="9678" spans="3:5" x14ac:dyDescent="0.25">
      <c r="C9678" s="4"/>
      <c r="E9678" s="4"/>
    </row>
    <row r="9679" spans="3:5" x14ac:dyDescent="0.25">
      <c r="C9679" s="4"/>
      <c r="E9679" s="4"/>
    </row>
    <row r="9680" spans="3:5" x14ac:dyDescent="0.25">
      <c r="C9680" s="4"/>
      <c r="E9680" s="4"/>
    </row>
    <row r="9681" spans="3:5" x14ac:dyDescent="0.25">
      <c r="C9681" s="4"/>
      <c r="E9681" s="4"/>
    </row>
    <row r="9682" spans="3:5" x14ac:dyDescent="0.25">
      <c r="C9682" s="4"/>
      <c r="E9682" s="4"/>
    </row>
    <row r="9683" spans="3:5" x14ac:dyDescent="0.25">
      <c r="C9683" s="4"/>
      <c r="E9683" s="4"/>
    </row>
    <row r="9684" spans="3:5" x14ac:dyDescent="0.25">
      <c r="C9684" s="4"/>
      <c r="E9684" s="4"/>
    </row>
    <row r="9685" spans="3:5" x14ac:dyDescent="0.25">
      <c r="C9685" s="4"/>
      <c r="E9685" s="4"/>
    </row>
    <row r="9686" spans="3:5" x14ac:dyDescent="0.25">
      <c r="C9686" s="4"/>
      <c r="E9686" s="4"/>
    </row>
    <row r="9687" spans="3:5" x14ac:dyDescent="0.25">
      <c r="C9687" s="4"/>
      <c r="E9687" s="4"/>
    </row>
    <row r="9688" spans="3:5" x14ac:dyDescent="0.25">
      <c r="C9688" s="4"/>
      <c r="E9688" s="4"/>
    </row>
    <row r="9689" spans="3:5" x14ac:dyDescent="0.25">
      <c r="C9689" s="4"/>
      <c r="E9689" s="4"/>
    </row>
    <row r="9690" spans="3:5" x14ac:dyDescent="0.25">
      <c r="C9690" s="4"/>
      <c r="E9690" s="4"/>
    </row>
    <row r="9691" spans="3:5" x14ac:dyDescent="0.25">
      <c r="C9691" s="4"/>
      <c r="E9691" s="4"/>
    </row>
    <row r="9692" spans="3:5" x14ac:dyDescent="0.25">
      <c r="C9692" s="4"/>
      <c r="E9692" s="4"/>
    </row>
    <row r="9693" spans="3:5" x14ac:dyDescent="0.25">
      <c r="C9693" s="4"/>
      <c r="E9693" s="4"/>
    </row>
    <row r="9694" spans="3:5" x14ac:dyDescent="0.25">
      <c r="C9694" s="4"/>
      <c r="E9694" s="4"/>
    </row>
    <row r="9695" spans="3:5" x14ac:dyDescent="0.25">
      <c r="C9695" s="4"/>
      <c r="E9695" s="4"/>
    </row>
    <row r="9696" spans="3:5" x14ac:dyDescent="0.25">
      <c r="C9696" s="4"/>
      <c r="E9696" s="4"/>
    </row>
    <row r="9697" spans="3:5" x14ac:dyDescent="0.25">
      <c r="C9697" s="4"/>
      <c r="E9697" s="4"/>
    </row>
    <row r="9698" spans="3:5" x14ac:dyDescent="0.25">
      <c r="C9698" s="4"/>
      <c r="E9698" s="4"/>
    </row>
    <row r="9699" spans="3:5" x14ac:dyDescent="0.25">
      <c r="C9699" s="4"/>
      <c r="E9699" s="4"/>
    </row>
    <row r="9700" spans="3:5" x14ac:dyDescent="0.25">
      <c r="C9700" s="4"/>
      <c r="E9700" s="4"/>
    </row>
    <row r="9701" spans="3:5" x14ac:dyDescent="0.25">
      <c r="C9701" s="4"/>
      <c r="E9701" s="4"/>
    </row>
    <row r="9702" spans="3:5" x14ac:dyDescent="0.25">
      <c r="C9702" s="4"/>
      <c r="E9702" s="4"/>
    </row>
    <row r="9703" spans="3:5" x14ac:dyDescent="0.25">
      <c r="C9703" s="4"/>
      <c r="E9703" s="4"/>
    </row>
    <row r="9704" spans="3:5" x14ac:dyDescent="0.25">
      <c r="C9704" s="4"/>
      <c r="E9704" s="4"/>
    </row>
    <row r="9705" spans="3:5" x14ac:dyDescent="0.25">
      <c r="C9705" s="4"/>
      <c r="E9705" s="4"/>
    </row>
    <row r="9706" spans="3:5" x14ac:dyDescent="0.25">
      <c r="C9706" s="4"/>
      <c r="E9706" s="4"/>
    </row>
    <row r="9707" spans="3:5" x14ac:dyDescent="0.25">
      <c r="C9707" s="4"/>
      <c r="E9707" s="4"/>
    </row>
    <row r="9708" spans="3:5" x14ac:dyDescent="0.25">
      <c r="C9708" s="4"/>
      <c r="E9708" s="4"/>
    </row>
    <row r="9709" spans="3:5" x14ac:dyDescent="0.25">
      <c r="C9709" s="4"/>
      <c r="E9709" s="4"/>
    </row>
    <row r="9710" spans="3:5" x14ac:dyDescent="0.25">
      <c r="C9710" s="4"/>
      <c r="E9710" s="4"/>
    </row>
    <row r="9711" spans="3:5" x14ac:dyDescent="0.25">
      <c r="C9711" s="4"/>
      <c r="E9711" s="4"/>
    </row>
    <row r="9712" spans="3:5" x14ac:dyDescent="0.25">
      <c r="C9712" s="4"/>
      <c r="E9712" s="4"/>
    </row>
    <row r="9713" spans="3:5" x14ac:dyDescent="0.25">
      <c r="C9713" s="4"/>
      <c r="E9713" s="4"/>
    </row>
    <row r="9714" spans="3:5" x14ac:dyDescent="0.25">
      <c r="C9714" s="4"/>
      <c r="E9714" s="4"/>
    </row>
    <row r="9715" spans="3:5" x14ac:dyDescent="0.25">
      <c r="C9715" s="4"/>
      <c r="E9715" s="4"/>
    </row>
    <row r="9716" spans="3:5" x14ac:dyDescent="0.25">
      <c r="C9716" s="4"/>
      <c r="E9716" s="4"/>
    </row>
    <row r="9717" spans="3:5" x14ac:dyDescent="0.25">
      <c r="C9717" s="4"/>
      <c r="E9717" s="4"/>
    </row>
    <row r="9718" spans="3:5" x14ac:dyDescent="0.25">
      <c r="C9718" s="4"/>
      <c r="E9718" s="4"/>
    </row>
    <row r="9719" spans="3:5" x14ac:dyDescent="0.25">
      <c r="C9719" s="4"/>
      <c r="E9719" s="4"/>
    </row>
    <row r="9720" spans="3:5" x14ac:dyDescent="0.25">
      <c r="C9720" s="4"/>
      <c r="E9720" s="4"/>
    </row>
    <row r="9721" spans="3:5" x14ac:dyDescent="0.25">
      <c r="C9721" s="4"/>
      <c r="E9721" s="4"/>
    </row>
    <row r="9722" spans="3:5" x14ac:dyDescent="0.25">
      <c r="C9722" s="4"/>
      <c r="E9722" s="4"/>
    </row>
    <row r="9723" spans="3:5" x14ac:dyDescent="0.25">
      <c r="C9723" s="4"/>
      <c r="E9723" s="4"/>
    </row>
    <row r="9724" spans="3:5" x14ac:dyDescent="0.25">
      <c r="C9724" s="4"/>
      <c r="E9724" s="4"/>
    </row>
    <row r="9725" spans="3:5" x14ac:dyDescent="0.25">
      <c r="C9725" s="4"/>
      <c r="E9725" s="4"/>
    </row>
    <row r="9726" spans="3:5" x14ac:dyDescent="0.25">
      <c r="C9726" s="4"/>
      <c r="E9726" s="4"/>
    </row>
    <row r="9727" spans="3:5" x14ac:dyDescent="0.25">
      <c r="C9727" s="4"/>
      <c r="E9727" s="4"/>
    </row>
    <row r="9728" spans="3:5" x14ac:dyDescent="0.25">
      <c r="C9728" s="4"/>
      <c r="E9728" s="4"/>
    </row>
    <row r="9729" spans="3:5" x14ac:dyDescent="0.25">
      <c r="C9729" s="4"/>
      <c r="E9729" s="4"/>
    </row>
    <row r="9730" spans="3:5" x14ac:dyDescent="0.25">
      <c r="C9730" s="4"/>
      <c r="E9730" s="4"/>
    </row>
    <row r="9731" spans="3:5" x14ac:dyDescent="0.25">
      <c r="C9731" s="4"/>
      <c r="E9731" s="4"/>
    </row>
    <row r="9732" spans="3:5" x14ac:dyDescent="0.25">
      <c r="C9732" s="4"/>
      <c r="E9732" s="4"/>
    </row>
    <row r="9733" spans="3:5" x14ac:dyDescent="0.25">
      <c r="C9733" s="4"/>
      <c r="E9733" s="4"/>
    </row>
    <row r="9734" spans="3:5" x14ac:dyDescent="0.25">
      <c r="C9734" s="4"/>
      <c r="E9734" s="4"/>
    </row>
    <row r="9735" spans="3:5" x14ac:dyDescent="0.25">
      <c r="C9735" s="4"/>
      <c r="E9735" s="4"/>
    </row>
    <row r="9736" spans="3:5" x14ac:dyDescent="0.25">
      <c r="C9736" s="4"/>
      <c r="E9736" s="4"/>
    </row>
    <row r="9737" spans="3:5" x14ac:dyDescent="0.25">
      <c r="C9737" s="4"/>
      <c r="E9737" s="4"/>
    </row>
    <row r="9738" spans="3:5" x14ac:dyDescent="0.25">
      <c r="C9738" s="4"/>
      <c r="E9738" s="4"/>
    </row>
    <row r="9739" spans="3:5" x14ac:dyDescent="0.25">
      <c r="C9739" s="4"/>
      <c r="E9739" s="4"/>
    </row>
    <row r="9740" spans="3:5" x14ac:dyDescent="0.25">
      <c r="C9740" s="4"/>
      <c r="E9740" s="4"/>
    </row>
    <row r="9741" spans="3:5" x14ac:dyDescent="0.25">
      <c r="C9741" s="4"/>
      <c r="E9741" s="4"/>
    </row>
    <row r="9742" spans="3:5" x14ac:dyDescent="0.25">
      <c r="C9742" s="4"/>
      <c r="E9742" s="4"/>
    </row>
    <row r="9743" spans="3:5" x14ac:dyDescent="0.25">
      <c r="C9743" s="4"/>
      <c r="E9743" s="4"/>
    </row>
    <row r="9744" spans="3:5" x14ac:dyDescent="0.25">
      <c r="C9744" s="4"/>
      <c r="E9744" s="4"/>
    </row>
    <row r="9745" spans="3:5" x14ac:dyDescent="0.25">
      <c r="C9745" s="4"/>
      <c r="E9745" s="4"/>
    </row>
    <row r="9746" spans="3:5" x14ac:dyDescent="0.25">
      <c r="C9746" s="4"/>
      <c r="E9746" s="4"/>
    </row>
    <row r="9747" spans="3:5" x14ac:dyDescent="0.25">
      <c r="C9747" s="4"/>
      <c r="E9747" s="4"/>
    </row>
    <row r="9748" spans="3:5" x14ac:dyDescent="0.25">
      <c r="C9748" s="4"/>
      <c r="E9748" s="4"/>
    </row>
    <row r="9749" spans="3:5" x14ac:dyDescent="0.25">
      <c r="C9749" s="4"/>
      <c r="E9749" s="4"/>
    </row>
    <row r="9750" spans="3:5" x14ac:dyDescent="0.25">
      <c r="C9750" s="4"/>
      <c r="E9750" s="4"/>
    </row>
    <row r="9751" spans="3:5" x14ac:dyDescent="0.25">
      <c r="C9751" s="4"/>
      <c r="E9751" s="4"/>
    </row>
    <row r="9752" spans="3:5" x14ac:dyDescent="0.25">
      <c r="C9752" s="4"/>
      <c r="E9752" s="4"/>
    </row>
    <row r="9753" spans="3:5" x14ac:dyDescent="0.25">
      <c r="C9753" s="4"/>
      <c r="E9753" s="4"/>
    </row>
    <row r="9754" spans="3:5" x14ac:dyDescent="0.25">
      <c r="C9754" s="4"/>
      <c r="E9754" s="4"/>
    </row>
    <row r="9755" spans="3:5" x14ac:dyDescent="0.25">
      <c r="C9755" s="4"/>
      <c r="E9755" s="4"/>
    </row>
    <row r="9756" spans="3:5" x14ac:dyDescent="0.25">
      <c r="C9756" s="4"/>
      <c r="E9756" s="4"/>
    </row>
    <row r="9757" spans="3:5" x14ac:dyDescent="0.25">
      <c r="C9757" s="4"/>
      <c r="E9757" s="4"/>
    </row>
    <row r="9758" spans="3:5" x14ac:dyDescent="0.25">
      <c r="C9758" s="4"/>
      <c r="E9758" s="4"/>
    </row>
    <row r="9759" spans="3:5" x14ac:dyDescent="0.25">
      <c r="C9759" s="4"/>
      <c r="E9759" s="4"/>
    </row>
    <row r="9760" spans="3:5" x14ac:dyDescent="0.25">
      <c r="C9760" s="4"/>
      <c r="E9760" s="4"/>
    </row>
    <row r="9761" spans="3:5" x14ac:dyDescent="0.25">
      <c r="C9761" s="4"/>
      <c r="E9761" s="4"/>
    </row>
    <row r="9762" spans="3:5" x14ac:dyDescent="0.25">
      <c r="C9762" s="4"/>
      <c r="E9762" s="4"/>
    </row>
    <row r="9763" spans="3:5" x14ac:dyDescent="0.25">
      <c r="C9763" s="4"/>
      <c r="E9763" s="4"/>
    </row>
    <row r="9764" spans="3:5" x14ac:dyDescent="0.25">
      <c r="C9764" s="4"/>
      <c r="E9764" s="4"/>
    </row>
    <row r="9765" spans="3:5" x14ac:dyDescent="0.25">
      <c r="C9765" s="4"/>
      <c r="E9765" s="4"/>
    </row>
    <row r="9766" spans="3:5" x14ac:dyDescent="0.25">
      <c r="C9766" s="4"/>
      <c r="E9766" s="4"/>
    </row>
    <row r="9767" spans="3:5" x14ac:dyDescent="0.25">
      <c r="C9767" s="4"/>
      <c r="E9767" s="4"/>
    </row>
    <row r="9768" spans="3:5" x14ac:dyDescent="0.25">
      <c r="C9768" s="4"/>
      <c r="E9768" s="4"/>
    </row>
    <row r="9769" spans="3:5" x14ac:dyDescent="0.25">
      <c r="C9769" s="4"/>
      <c r="E9769" s="4"/>
    </row>
    <row r="9770" spans="3:5" x14ac:dyDescent="0.25">
      <c r="C9770" s="4"/>
      <c r="E9770" s="4"/>
    </row>
    <row r="9771" spans="3:5" x14ac:dyDescent="0.25">
      <c r="C9771" s="4"/>
      <c r="E9771" s="4"/>
    </row>
    <row r="9772" spans="3:5" x14ac:dyDescent="0.25">
      <c r="C9772" s="4"/>
      <c r="E9772" s="4"/>
    </row>
    <row r="9773" spans="3:5" x14ac:dyDescent="0.25">
      <c r="C9773" s="4"/>
      <c r="E9773" s="4"/>
    </row>
    <row r="9774" spans="3:5" x14ac:dyDescent="0.25">
      <c r="C9774" s="4"/>
      <c r="E9774" s="4"/>
    </row>
    <row r="9775" spans="3:5" x14ac:dyDescent="0.25">
      <c r="C9775" s="4"/>
      <c r="E9775" s="4"/>
    </row>
    <row r="9776" spans="3:5" x14ac:dyDescent="0.25">
      <c r="C9776" s="4"/>
      <c r="E9776" s="4"/>
    </row>
    <row r="9777" spans="3:5" x14ac:dyDescent="0.25">
      <c r="C9777" s="4"/>
      <c r="E9777" s="4"/>
    </row>
    <row r="9778" spans="3:5" x14ac:dyDescent="0.25">
      <c r="C9778" s="4"/>
      <c r="E9778" s="4"/>
    </row>
    <row r="9779" spans="3:5" x14ac:dyDescent="0.25">
      <c r="C9779" s="4"/>
      <c r="E9779" s="4"/>
    </row>
    <row r="9780" spans="3:5" x14ac:dyDescent="0.25">
      <c r="C9780" s="4"/>
      <c r="E9780" s="4"/>
    </row>
    <row r="9781" spans="3:5" x14ac:dyDescent="0.25">
      <c r="C9781" s="4"/>
      <c r="E9781" s="4"/>
    </row>
    <row r="9782" spans="3:5" x14ac:dyDescent="0.25">
      <c r="C9782" s="4"/>
      <c r="E9782" s="4"/>
    </row>
    <row r="9783" spans="3:5" x14ac:dyDescent="0.25">
      <c r="C9783" s="4"/>
      <c r="E9783" s="4"/>
    </row>
    <row r="9784" spans="3:5" x14ac:dyDescent="0.25">
      <c r="C9784" s="4"/>
      <c r="E9784" s="4"/>
    </row>
    <row r="9785" spans="3:5" x14ac:dyDescent="0.25">
      <c r="C9785" s="4"/>
      <c r="E9785" s="4"/>
    </row>
    <row r="9786" spans="3:5" x14ac:dyDescent="0.25">
      <c r="C9786" s="4"/>
      <c r="E9786" s="4"/>
    </row>
    <row r="9787" spans="3:5" x14ac:dyDescent="0.25">
      <c r="C9787" s="4"/>
      <c r="E9787" s="4"/>
    </row>
    <row r="9788" spans="3:5" x14ac:dyDescent="0.25">
      <c r="C9788" s="4"/>
      <c r="E9788" s="4"/>
    </row>
    <row r="9789" spans="3:5" x14ac:dyDescent="0.25">
      <c r="C9789" s="4"/>
      <c r="E9789" s="4"/>
    </row>
    <row r="9790" spans="3:5" x14ac:dyDescent="0.25">
      <c r="C9790" s="4"/>
      <c r="E9790" s="4"/>
    </row>
    <row r="9791" spans="3:5" x14ac:dyDescent="0.25">
      <c r="C9791" s="4"/>
      <c r="E9791" s="4"/>
    </row>
    <row r="9792" spans="3:5" x14ac:dyDescent="0.25">
      <c r="C9792" s="4"/>
      <c r="E9792" s="4"/>
    </row>
    <row r="9793" spans="3:5" x14ac:dyDescent="0.25">
      <c r="C9793" s="4"/>
      <c r="E9793" s="4"/>
    </row>
    <row r="9794" spans="3:5" x14ac:dyDescent="0.25">
      <c r="C9794" s="4"/>
      <c r="E9794" s="4"/>
    </row>
    <row r="9795" spans="3:5" x14ac:dyDescent="0.25">
      <c r="C9795" s="4"/>
      <c r="E9795" s="4"/>
    </row>
    <row r="9796" spans="3:5" x14ac:dyDescent="0.25">
      <c r="C9796" s="4"/>
      <c r="E9796" s="4"/>
    </row>
    <row r="9797" spans="3:5" x14ac:dyDescent="0.25">
      <c r="C9797" s="4"/>
      <c r="E9797" s="4"/>
    </row>
    <row r="9798" spans="3:5" x14ac:dyDescent="0.25">
      <c r="C9798" s="4"/>
      <c r="E9798" s="4"/>
    </row>
    <row r="9799" spans="3:5" x14ac:dyDescent="0.25">
      <c r="C9799" s="4"/>
      <c r="E9799" s="4"/>
    </row>
    <row r="9800" spans="3:5" x14ac:dyDescent="0.25">
      <c r="C9800" s="4"/>
      <c r="E9800" s="4"/>
    </row>
    <row r="9801" spans="3:5" x14ac:dyDescent="0.25">
      <c r="C9801" s="4"/>
      <c r="E9801" s="4"/>
    </row>
    <row r="9802" spans="3:5" x14ac:dyDescent="0.25">
      <c r="C9802" s="4"/>
      <c r="E9802" s="4"/>
    </row>
    <row r="9803" spans="3:5" x14ac:dyDescent="0.25">
      <c r="C9803" s="4"/>
      <c r="E9803" s="4"/>
    </row>
    <row r="9804" spans="3:5" x14ac:dyDescent="0.25">
      <c r="C9804" s="4"/>
      <c r="E9804" s="4"/>
    </row>
    <row r="9805" spans="3:5" x14ac:dyDescent="0.25">
      <c r="C9805" s="4"/>
      <c r="E9805" s="4"/>
    </row>
    <row r="9806" spans="3:5" x14ac:dyDescent="0.25">
      <c r="C9806" s="4"/>
      <c r="E9806" s="4"/>
    </row>
    <row r="9807" spans="3:5" x14ac:dyDescent="0.25">
      <c r="C9807" s="4"/>
      <c r="E9807" s="4"/>
    </row>
    <row r="9808" spans="3:5" x14ac:dyDescent="0.25">
      <c r="C9808" s="4"/>
      <c r="E9808" s="4"/>
    </row>
    <row r="9809" spans="3:5" x14ac:dyDescent="0.25">
      <c r="C9809" s="4"/>
      <c r="E9809" s="4"/>
    </row>
    <row r="9810" spans="3:5" x14ac:dyDescent="0.25">
      <c r="C9810" s="4"/>
      <c r="E9810" s="4"/>
    </row>
    <row r="9811" spans="3:5" x14ac:dyDescent="0.25">
      <c r="C9811" s="4"/>
      <c r="E9811" s="4"/>
    </row>
    <row r="9812" spans="3:5" x14ac:dyDescent="0.25">
      <c r="C9812" s="4"/>
      <c r="E9812" s="4"/>
    </row>
    <row r="9813" spans="3:5" x14ac:dyDescent="0.25">
      <c r="C9813" s="4"/>
      <c r="E9813" s="4"/>
    </row>
    <row r="9814" spans="3:5" x14ac:dyDescent="0.25">
      <c r="C9814" s="4"/>
      <c r="E9814" s="4"/>
    </row>
    <row r="9815" spans="3:5" x14ac:dyDescent="0.25">
      <c r="C9815" s="4"/>
      <c r="E9815" s="4"/>
    </row>
    <row r="9816" spans="3:5" x14ac:dyDescent="0.25">
      <c r="C9816" s="4"/>
      <c r="E9816" s="4"/>
    </row>
    <row r="9817" spans="3:5" x14ac:dyDescent="0.25">
      <c r="C9817" s="4"/>
      <c r="E9817" s="4"/>
    </row>
    <row r="9818" spans="3:5" x14ac:dyDescent="0.25">
      <c r="C9818" s="4"/>
      <c r="E9818" s="4"/>
    </row>
    <row r="9819" spans="3:5" x14ac:dyDescent="0.25">
      <c r="C9819" s="4"/>
      <c r="E9819" s="4"/>
    </row>
    <row r="9820" spans="3:5" x14ac:dyDescent="0.25">
      <c r="C9820" s="4"/>
      <c r="E9820" s="4"/>
    </row>
    <row r="9821" spans="3:5" x14ac:dyDescent="0.25">
      <c r="C9821" s="4"/>
      <c r="E9821" s="4"/>
    </row>
    <row r="9822" spans="3:5" x14ac:dyDescent="0.25">
      <c r="C9822" s="4"/>
      <c r="E9822" s="4"/>
    </row>
    <row r="9823" spans="3:5" x14ac:dyDescent="0.25">
      <c r="C9823" s="4"/>
      <c r="E9823" s="4"/>
    </row>
    <row r="9824" spans="3:5" x14ac:dyDescent="0.25">
      <c r="C9824" s="4"/>
      <c r="E9824" s="4"/>
    </row>
    <row r="9825" spans="3:5" x14ac:dyDescent="0.25">
      <c r="C9825" s="4"/>
      <c r="E9825" s="4"/>
    </row>
    <row r="9826" spans="3:5" x14ac:dyDescent="0.25">
      <c r="C9826" s="4"/>
      <c r="E9826" s="4"/>
    </row>
    <row r="9827" spans="3:5" x14ac:dyDescent="0.25">
      <c r="C9827" s="4"/>
      <c r="E9827" s="4"/>
    </row>
    <row r="9828" spans="3:5" x14ac:dyDescent="0.25">
      <c r="C9828" s="4"/>
      <c r="E9828" s="4"/>
    </row>
    <row r="9829" spans="3:5" x14ac:dyDescent="0.25">
      <c r="C9829" s="4"/>
      <c r="E9829" s="4"/>
    </row>
    <row r="9830" spans="3:5" x14ac:dyDescent="0.25">
      <c r="C9830" s="4"/>
      <c r="E9830" s="4"/>
    </row>
    <row r="9831" spans="3:5" x14ac:dyDescent="0.25">
      <c r="C9831" s="4"/>
      <c r="E9831" s="4"/>
    </row>
    <row r="9832" spans="3:5" x14ac:dyDescent="0.25">
      <c r="C9832" s="4"/>
      <c r="E9832" s="4"/>
    </row>
    <row r="9833" spans="3:5" x14ac:dyDescent="0.25">
      <c r="C9833" s="4"/>
      <c r="E9833" s="4"/>
    </row>
    <row r="9834" spans="3:5" x14ac:dyDescent="0.25">
      <c r="C9834" s="4"/>
      <c r="E9834" s="4"/>
    </row>
    <row r="9835" spans="3:5" x14ac:dyDescent="0.25">
      <c r="C9835" s="4"/>
      <c r="E9835" s="4"/>
    </row>
    <row r="9836" spans="3:5" x14ac:dyDescent="0.25">
      <c r="C9836" s="4"/>
      <c r="E9836" s="4"/>
    </row>
    <row r="9837" spans="3:5" x14ac:dyDescent="0.25">
      <c r="C9837" s="4"/>
      <c r="E9837" s="4"/>
    </row>
    <row r="9838" spans="3:5" x14ac:dyDescent="0.25">
      <c r="C9838" s="4"/>
      <c r="E9838" s="4"/>
    </row>
    <row r="9839" spans="3:5" x14ac:dyDescent="0.25">
      <c r="C9839" s="4"/>
      <c r="E9839" s="4"/>
    </row>
    <row r="9840" spans="3:5" x14ac:dyDescent="0.25">
      <c r="C9840" s="4"/>
      <c r="E9840" s="4"/>
    </row>
    <row r="9841" spans="3:5" x14ac:dyDescent="0.25">
      <c r="C9841" s="4"/>
      <c r="E9841" s="4"/>
    </row>
    <row r="9842" spans="3:5" x14ac:dyDescent="0.25">
      <c r="C9842" s="4"/>
      <c r="E9842" s="4"/>
    </row>
    <row r="9843" spans="3:5" x14ac:dyDescent="0.25">
      <c r="C9843" s="4"/>
      <c r="E9843" s="4"/>
    </row>
    <row r="9844" spans="3:5" x14ac:dyDescent="0.25">
      <c r="C9844" s="4"/>
      <c r="E9844" s="4"/>
    </row>
    <row r="9845" spans="3:5" x14ac:dyDescent="0.25">
      <c r="C9845" s="4"/>
      <c r="E9845" s="4"/>
    </row>
    <row r="9846" spans="3:5" x14ac:dyDescent="0.25">
      <c r="C9846" s="4"/>
      <c r="E9846" s="4"/>
    </row>
    <row r="9847" spans="3:5" x14ac:dyDescent="0.25">
      <c r="C9847" s="4"/>
      <c r="E9847" s="4"/>
    </row>
    <row r="9848" spans="3:5" x14ac:dyDescent="0.25">
      <c r="C9848" s="4"/>
      <c r="E9848" s="4"/>
    </row>
    <row r="9849" spans="3:5" x14ac:dyDescent="0.25">
      <c r="C9849" s="4"/>
      <c r="E9849" s="4"/>
    </row>
    <row r="9850" spans="3:5" x14ac:dyDescent="0.25">
      <c r="C9850" s="4"/>
      <c r="E9850" s="4"/>
    </row>
    <row r="9851" spans="3:5" x14ac:dyDescent="0.25">
      <c r="C9851" s="4"/>
      <c r="E9851" s="4"/>
    </row>
    <row r="9852" spans="3:5" x14ac:dyDescent="0.25">
      <c r="C9852" s="4"/>
      <c r="E9852" s="4"/>
    </row>
    <row r="9853" spans="3:5" x14ac:dyDescent="0.25">
      <c r="C9853" s="4"/>
      <c r="E9853" s="4"/>
    </row>
    <row r="9854" spans="3:5" x14ac:dyDescent="0.25">
      <c r="C9854" s="4"/>
      <c r="E9854" s="4"/>
    </row>
    <row r="9855" spans="3:5" x14ac:dyDescent="0.25">
      <c r="C9855" s="4"/>
      <c r="E9855" s="4"/>
    </row>
    <row r="9856" spans="3:5" x14ac:dyDescent="0.25">
      <c r="C9856" s="4"/>
      <c r="E9856" s="4"/>
    </row>
    <row r="9857" spans="3:5" x14ac:dyDescent="0.25">
      <c r="C9857" s="4"/>
      <c r="E9857" s="4"/>
    </row>
    <row r="9858" spans="3:5" x14ac:dyDescent="0.25">
      <c r="C9858" s="4"/>
      <c r="E9858" s="4"/>
    </row>
    <row r="9859" spans="3:5" x14ac:dyDescent="0.25">
      <c r="C9859" s="4"/>
      <c r="E9859" s="4"/>
    </row>
    <row r="9860" spans="3:5" x14ac:dyDescent="0.25">
      <c r="C9860" s="4"/>
      <c r="E9860" s="4"/>
    </row>
    <row r="9861" spans="3:5" x14ac:dyDescent="0.25">
      <c r="C9861" s="4"/>
      <c r="E9861" s="4"/>
    </row>
    <row r="9862" spans="3:5" x14ac:dyDescent="0.25">
      <c r="C9862" s="4"/>
      <c r="E9862" s="4"/>
    </row>
    <row r="9863" spans="3:5" x14ac:dyDescent="0.25">
      <c r="C9863" s="4"/>
      <c r="E9863" s="4"/>
    </row>
    <row r="9864" spans="3:5" x14ac:dyDescent="0.25">
      <c r="C9864" s="4"/>
      <c r="E9864" s="4"/>
    </row>
    <row r="9865" spans="3:5" x14ac:dyDescent="0.25">
      <c r="C9865" s="4"/>
      <c r="E9865" s="4"/>
    </row>
    <row r="9866" spans="3:5" x14ac:dyDescent="0.25">
      <c r="C9866" s="4"/>
      <c r="E9866" s="4"/>
    </row>
    <row r="9867" spans="3:5" x14ac:dyDescent="0.25">
      <c r="C9867" s="4"/>
      <c r="E9867" s="4"/>
    </row>
    <row r="9868" spans="3:5" x14ac:dyDescent="0.25">
      <c r="C9868" s="4"/>
      <c r="E9868" s="4"/>
    </row>
    <row r="9869" spans="3:5" x14ac:dyDescent="0.25">
      <c r="C9869" s="4"/>
      <c r="E9869" s="4"/>
    </row>
    <row r="9870" spans="3:5" x14ac:dyDescent="0.25">
      <c r="C9870" s="4"/>
      <c r="E9870" s="4"/>
    </row>
    <row r="9871" spans="3:5" x14ac:dyDescent="0.25">
      <c r="C9871" s="4"/>
      <c r="E9871" s="4"/>
    </row>
    <row r="9872" spans="3:5" x14ac:dyDescent="0.25">
      <c r="C9872" s="4"/>
      <c r="E9872" s="4"/>
    </row>
    <row r="9873" spans="3:5" x14ac:dyDescent="0.25">
      <c r="C9873" s="4"/>
      <c r="E9873" s="4"/>
    </row>
    <row r="9874" spans="3:5" x14ac:dyDescent="0.25">
      <c r="C9874" s="4"/>
      <c r="E9874" s="4"/>
    </row>
    <row r="9875" spans="3:5" x14ac:dyDescent="0.25">
      <c r="C9875" s="4"/>
      <c r="E9875" s="4"/>
    </row>
    <row r="9876" spans="3:5" x14ac:dyDescent="0.25">
      <c r="C9876" s="4"/>
      <c r="E9876" s="4"/>
    </row>
    <row r="9877" spans="3:5" x14ac:dyDescent="0.25">
      <c r="C9877" s="4"/>
      <c r="E9877" s="4"/>
    </row>
    <row r="9878" spans="3:5" x14ac:dyDescent="0.25">
      <c r="C9878" s="4"/>
      <c r="E9878" s="4"/>
    </row>
    <row r="9879" spans="3:5" x14ac:dyDescent="0.25">
      <c r="C9879" s="4"/>
      <c r="E9879" s="4"/>
    </row>
    <row r="9880" spans="3:5" x14ac:dyDescent="0.25">
      <c r="C9880" s="4"/>
      <c r="E9880" s="4"/>
    </row>
    <row r="9881" spans="3:5" x14ac:dyDescent="0.25">
      <c r="C9881" s="4"/>
      <c r="E9881" s="4"/>
    </row>
    <row r="9882" spans="3:5" x14ac:dyDescent="0.25">
      <c r="C9882" s="4"/>
      <c r="E9882" s="4"/>
    </row>
    <row r="9883" spans="3:5" x14ac:dyDescent="0.25">
      <c r="C9883" s="4"/>
      <c r="E9883" s="4"/>
    </row>
    <row r="9884" spans="3:5" x14ac:dyDescent="0.25">
      <c r="C9884" s="4"/>
      <c r="E9884" s="4"/>
    </row>
    <row r="9885" spans="3:5" x14ac:dyDescent="0.25">
      <c r="C9885" s="4"/>
      <c r="E9885" s="4"/>
    </row>
    <row r="9886" spans="3:5" x14ac:dyDescent="0.25">
      <c r="C9886" s="4"/>
      <c r="E9886" s="4"/>
    </row>
    <row r="9887" spans="3:5" x14ac:dyDescent="0.25">
      <c r="C9887" s="4"/>
      <c r="E9887" s="4"/>
    </row>
    <row r="9888" spans="3:5" x14ac:dyDescent="0.25">
      <c r="C9888" s="4"/>
      <c r="E9888" s="4"/>
    </row>
    <row r="9889" spans="3:5" x14ac:dyDescent="0.25">
      <c r="C9889" s="4"/>
      <c r="E9889" s="4"/>
    </row>
    <row r="9890" spans="3:5" x14ac:dyDescent="0.25">
      <c r="C9890" s="4"/>
      <c r="E9890" s="4"/>
    </row>
    <row r="9891" spans="3:5" x14ac:dyDescent="0.25">
      <c r="C9891" s="4"/>
      <c r="E9891" s="4"/>
    </row>
    <row r="9892" spans="3:5" x14ac:dyDescent="0.25">
      <c r="C9892" s="4"/>
      <c r="E9892" s="4"/>
    </row>
    <row r="9893" spans="3:5" x14ac:dyDescent="0.25">
      <c r="C9893" s="4"/>
      <c r="E9893" s="4"/>
    </row>
    <row r="9894" spans="3:5" x14ac:dyDescent="0.25">
      <c r="C9894" s="4"/>
      <c r="E9894" s="4"/>
    </row>
    <row r="9895" spans="3:5" x14ac:dyDescent="0.25">
      <c r="C9895" s="4"/>
      <c r="E9895" s="4"/>
    </row>
    <row r="9896" spans="3:5" x14ac:dyDescent="0.25">
      <c r="C9896" s="4"/>
      <c r="E9896" s="4"/>
    </row>
    <row r="9897" spans="3:5" x14ac:dyDescent="0.25">
      <c r="C9897" s="4"/>
      <c r="E9897" s="4"/>
    </row>
    <row r="9898" spans="3:5" x14ac:dyDescent="0.25">
      <c r="C9898" s="4"/>
      <c r="E9898" s="4"/>
    </row>
    <row r="9899" spans="3:5" x14ac:dyDescent="0.25">
      <c r="C9899" s="4"/>
      <c r="E9899" s="4"/>
    </row>
    <row r="9900" spans="3:5" x14ac:dyDescent="0.25">
      <c r="C9900" s="4"/>
      <c r="E9900" s="4"/>
    </row>
    <row r="9901" spans="3:5" x14ac:dyDescent="0.25">
      <c r="C9901" s="4"/>
      <c r="E9901" s="4"/>
    </row>
    <row r="9902" spans="3:5" x14ac:dyDescent="0.25">
      <c r="C9902" s="4"/>
      <c r="E9902" s="4"/>
    </row>
    <row r="9903" spans="3:5" x14ac:dyDescent="0.25">
      <c r="C9903" s="4"/>
      <c r="E9903" s="4"/>
    </row>
    <row r="9904" spans="3:5" x14ac:dyDescent="0.25">
      <c r="C9904" s="4"/>
      <c r="E9904" s="4"/>
    </row>
    <row r="9905" spans="3:5" x14ac:dyDescent="0.25">
      <c r="C9905" s="4"/>
      <c r="E9905" s="4"/>
    </row>
    <row r="9906" spans="3:5" x14ac:dyDescent="0.25">
      <c r="C9906" s="4"/>
      <c r="E9906" s="4"/>
    </row>
    <row r="9907" spans="3:5" x14ac:dyDescent="0.25">
      <c r="C9907" s="4"/>
      <c r="E9907" s="4"/>
    </row>
    <row r="9908" spans="3:5" x14ac:dyDescent="0.25">
      <c r="C9908" s="4"/>
      <c r="E9908" s="4"/>
    </row>
    <row r="9909" spans="3:5" x14ac:dyDescent="0.25">
      <c r="C9909" s="4"/>
      <c r="E9909" s="4"/>
    </row>
    <row r="9910" spans="3:5" x14ac:dyDescent="0.25">
      <c r="C9910" s="4"/>
      <c r="E9910" s="4"/>
    </row>
    <row r="9911" spans="3:5" x14ac:dyDescent="0.25">
      <c r="C9911" s="4"/>
      <c r="E9911" s="4"/>
    </row>
    <row r="9912" spans="3:5" x14ac:dyDescent="0.25">
      <c r="C9912" s="4"/>
      <c r="E9912" s="4"/>
    </row>
    <row r="9913" spans="3:5" x14ac:dyDescent="0.25">
      <c r="C9913" s="4"/>
      <c r="E9913" s="4"/>
    </row>
    <row r="9914" spans="3:5" x14ac:dyDescent="0.25">
      <c r="C9914" s="4"/>
      <c r="E9914" s="4"/>
    </row>
    <row r="9915" spans="3:5" x14ac:dyDescent="0.25">
      <c r="C9915" s="4"/>
      <c r="E9915" s="4"/>
    </row>
    <row r="9916" spans="3:5" x14ac:dyDescent="0.25">
      <c r="C9916" s="4"/>
      <c r="E9916" s="4"/>
    </row>
    <row r="9917" spans="3:5" x14ac:dyDescent="0.25">
      <c r="C9917" s="4"/>
      <c r="E9917" s="4"/>
    </row>
    <row r="9918" spans="3:5" x14ac:dyDescent="0.25">
      <c r="C9918" s="4"/>
      <c r="E9918" s="4"/>
    </row>
    <row r="9919" spans="3:5" x14ac:dyDescent="0.25">
      <c r="C9919" s="4"/>
      <c r="E9919" s="4"/>
    </row>
    <row r="9920" spans="3:5" x14ac:dyDescent="0.25">
      <c r="C9920" s="4"/>
      <c r="E9920" s="4"/>
    </row>
    <row r="9921" spans="3:5" x14ac:dyDescent="0.25">
      <c r="C9921" s="4"/>
      <c r="E9921" s="4"/>
    </row>
    <row r="9922" spans="3:5" x14ac:dyDescent="0.25">
      <c r="C9922" s="4"/>
      <c r="E9922" s="4"/>
    </row>
    <row r="9923" spans="3:5" x14ac:dyDescent="0.25">
      <c r="C9923" s="4"/>
      <c r="E9923" s="4"/>
    </row>
    <row r="9924" spans="3:5" x14ac:dyDescent="0.25">
      <c r="C9924" s="4"/>
      <c r="E9924" s="4"/>
    </row>
    <row r="9925" spans="3:5" x14ac:dyDescent="0.25">
      <c r="C9925" s="4"/>
      <c r="E9925" s="4"/>
    </row>
    <row r="9926" spans="3:5" x14ac:dyDescent="0.25">
      <c r="C9926" s="4"/>
      <c r="E9926" s="4"/>
    </row>
    <row r="9927" spans="3:5" x14ac:dyDescent="0.25">
      <c r="C9927" s="4"/>
      <c r="E9927" s="4"/>
    </row>
    <row r="9928" spans="3:5" x14ac:dyDescent="0.25">
      <c r="C9928" s="4"/>
      <c r="E9928" s="4"/>
    </row>
    <row r="9929" spans="3:5" x14ac:dyDescent="0.25">
      <c r="C9929" s="4"/>
      <c r="E9929" s="4"/>
    </row>
    <row r="9930" spans="3:5" x14ac:dyDescent="0.25">
      <c r="C9930" s="4"/>
      <c r="E9930" s="4"/>
    </row>
    <row r="9931" spans="3:5" x14ac:dyDescent="0.25">
      <c r="C9931" s="4"/>
      <c r="E9931" s="4"/>
    </row>
    <row r="9932" spans="3:5" x14ac:dyDescent="0.25">
      <c r="C9932" s="4"/>
      <c r="E9932" s="4"/>
    </row>
    <row r="9933" spans="3:5" x14ac:dyDescent="0.25">
      <c r="C9933" s="4"/>
      <c r="E9933" s="4"/>
    </row>
    <row r="9934" spans="3:5" x14ac:dyDescent="0.25">
      <c r="C9934" s="4"/>
      <c r="E9934" s="4"/>
    </row>
    <row r="9935" spans="3:5" x14ac:dyDescent="0.25">
      <c r="C9935" s="4"/>
      <c r="E9935" s="4"/>
    </row>
    <row r="9936" spans="3:5" x14ac:dyDescent="0.25">
      <c r="C9936" s="4"/>
      <c r="E9936" s="4"/>
    </row>
    <row r="9937" spans="3:5" x14ac:dyDescent="0.25">
      <c r="C9937" s="4"/>
      <c r="E9937" s="4"/>
    </row>
    <row r="9938" spans="3:5" x14ac:dyDescent="0.25">
      <c r="C9938" s="4"/>
      <c r="E9938" s="4"/>
    </row>
    <row r="9939" spans="3:5" x14ac:dyDescent="0.25">
      <c r="C9939" s="4"/>
      <c r="E9939" s="4"/>
    </row>
    <row r="9940" spans="3:5" x14ac:dyDescent="0.25">
      <c r="C9940" s="4"/>
      <c r="E9940" s="4"/>
    </row>
    <row r="9941" spans="3:5" x14ac:dyDescent="0.25">
      <c r="C9941" s="4"/>
      <c r="E9941" s="4"/>
    </row>
    <row r="9942" spans="3:5" x14ac:dyDescent="0.25">
      <c r="C9942" s="4"/>
      <c r="E9942" s="4"/>
    </row>
    <row r="9943" spans="3:5" x14ac:dyDescent="0.25">
      <c r="C9943" s="4"/>
      <c r="E9943" s="4"/>
    </row>
    <row r="9944" spans="3:5" x14ac:dyDescent="0.25">
      <c r="C9944" s="4"/>
      <c r="E9944" s="4"/>
    </row>
    <row r="9945" spans="3:5" x14ac:dyDescent="0.25">
      <c r="C9945" s="4"/>
      <c r="E9945" s="4"/>
    </row>
    <row r="9946" spans="3:5" x14ac:dyDescent="0.25">
      <c r="C9946" s="4"/>
      <c r="E9946" s="4"/>
    </row>
    <row r="9947" spans="3:5" x14ac:dyDescent="0.25">
      <c r="C9947" s="4"/>
      <c r="E9947" s="4"/>
    </row>
    <row r="9948" spans="3:5" x14ac:dyDescent="0.25">
      <c r="C9948" s="4"/>
      <c r="E9948" s="4"/>
    </row>
    <row r="9949" spans="3:5" x14ac:dyDescent="0.25">
      <c r="C9949" s="4"/>
      <c r="E9949" s="4"/>
    </row>
    <row r="9950" spans="3:5" x14ac:dyDescent="0.25">
      <c r="C9950" s="4"/>
      <c r="E9950" s="4"/>
    </row>
    <row r="9951" spans="3:5" x14ac:dyDescent="0.25">
      <c r="C9951" s="4"/>
      <c r="E9951" s="4"/>
    </row>
    <row r="9952" spans="3:5" x14ac:dyDescent="0.25">
      <c r="C9952" s="4"/>
      <c r="E9952" s="4"/>
    </row>
    <row r="9953" spans="3:5" x14ac:dyDescent="0.25">
      <c r="C9953" s="4"/>
      <c r="E9953" s="4"/>
    </row>
    <row r="9954" spans="3:5" x14ac:dyDescent="0.25">
      <c r="C9954" s="4"/>
      <c r="E9954" s="4"/>
    </row>
    <row r="9955" spans="3:5" x14ac:dyDescent="0.25">
      <c r="C9955" s="4"/>
      <c r="E9955" s="4"/>
    </row>
    <row r="9956" spans="3:5" x14ac:dyDescent="0.25">
      <c r="C9956" s="4"/>
      <c r="E9956" s="4"/>
    </row>
    <row r="9957" spans="3:5" x14ac:dyDescent="0.25">
      <c r="C9957" s="4"/>
      <c r="E9957" s="4"/>
    </row>
    <row r="9958" spans="3:5" x14ac:dyDescent="0.25">
      <c r="C9958" s="4"/>
      <c r="E9958" s="4"/>
    </row>
    <row r="9959" spans="3:5" x14ac:dyDescent="0.25">
      <c r="C9959" s="4"/>
      <c r="E9959" s="4"/>
    </row>
    <row r="9960" spans="3:5" x14ac:dyDescent="0.25">
      <c r="C9960" s="4"/>
      <c r="E9960" s="4"/>
    </row>
    <row r="9961" spans="3:5" x14ac:dyDescent="0.25">
      <c r="C9961" s="4"/>
      <c r="E9961" s="4"/>
    </row>
    <row r="9962" spans="3:5" x14ac:dyDescent="0.25">
      <c r="C9962" s="4"/>
      <c r="E9962" s="4"/>
    </row>
    <row r="9963" spans="3:5" x14ac:dyDescent="0.25">
      <c r="C9963" s="4"/>
      <c r="E9963" s="4"/>
    </row>
    <row r="9964" spans="3:5" x14ac:dyDescent="0.25">
      <c r="C9964" s="4"/>
      <c r="E9964" s="4"/>
    </row>
    <row r="9965" spans="3:5" x14ac:dyDescent="0.25">
      <c r="C9965" s="4"/>
      <c r="E9965" s="4"/>
    </row>
    <row r="9966" spans="3:5" x14ac:dyDescent="0.25">
      <c r="C9966" s="4"/>
      <c r="E9966" s="4"/>
    </row>
    <row r="9967" spans="3:5" x14ac:dyDescent="0.25">
      <c r="C9967" s="4"/>
      <c r="E9967" s="4"/>
    </row>
    <row r="9968" spans="3:5" x14ac:dyDescent="0.25">
      <c r="C9968" s="4"/>
      <c r="E9968" s="4"/>
    </row>
    <row r="9969" spans="3:5" x14ac:dyDescent="0.25">
      <c r="C9969" s="4"/>
      <c r="E9969" s="4"/>
    </row>
    <row r="9970" spans="3:5" x14ac:dyDescent="0.25">
      <c r="C9970" s="4"/>
      <c r="E9970" s="4"/>
    </row>
    <row r="9971" spans="3:5" x14ac:dyDescent="0.25">
      <c r="C9971" s="4"/>
      <c r="E9971" s="4"/>
    </row>
    <row r="9972" spans="3:5" x14ac:dyDescent="0.25">
      <c r="C9972" s="4"/>
      <c r="E9972" s="4"/>
    </row>
    <row r="9973" spans="3:5" x14ac:dyDescent="0.25">
      <c r="C9973" s="4"/>
      <c r="E9973" s="4"/>
    </row>
    <row r="9974" spans="3:5" x14ac:dyDescent="0.25">
      <c r="C9974" s="4"/>
      <c r="E9974" s="4"/>
    </row>
    <row r="9975" spans="3:5" x14ac:dyDescent="0.25">
      <c r="C9975" s="4"/>
      <c r="E9975" s="4"/>
    </row>
    <row r="9976" spans="3:5" x14ac:dyDescent="0.25">
      <c r="C9976" s="4"/>
      <c r="E9976" s="4"/>
    </row>
    <row r="9977" spans="3:5" x14ac:dyDescent="0.25">
      <c r="C9977" s="4"/>
      <c r="E9977" s="4"/>
    </row>
    <row r="9978" spans="3:5" x14ac:dyDescent="0.25">
      <c r="C9978" s="4"/>
      <c r="E9978" s="4"/>
    </row>
    <row r="9979" spans="3:5" x14ac:dyDescent="0.25">
      <c r="C9979" s="4"/>
      <c r="E9979" s="4"/>
    </row>
    <row r="9980" spans="3:5" x14ac:dyDescent="0.25">
      <c r="C9980" s="4"/>
      <c r="E9980" s="4"/>
    </row>
    <row r="9981" spans="3:5" x14ac:dyDescent="0.25">
      <c r="C9981" s="4"/>
      <c r="E9981" s="4"/>
    </row>
    <row r="9982" spans="3:5" x14ac:dyDescent="0.25">
      <c r="C9982" s="4"/>
      <c r="E9982" s="4"/>
    </row>
    <row r="9983" spans="3:5" x14ac:dyDescent="0.25">
      <c r="C9983" s="4"/>
      <c r="E9983" s="4"/>
    </row>
    <row r="9984" spans="3:5" x14ac:dyDescent="0.25">
      <c r="C9984" s="4"/>
      <c r="E9984" s="4"/>
    </row>
    <row r="9985" spans="3:5" x14ac:dyDescent="0.25">
      <c r="C9985" s="4"/>
      <c r="E9985" s="4"/>
    </row>
    <row r="9986" spans="3:5" x14ac:dyDescent="0.25">
      <c r="C9986" s="4"/>
      <c r="E9986" s="4"/>
    </row>
    <row r="9987" spans="3:5" x14ac:dyDescent="0.25">
      <c r="C9987" s="4"/>
      <c r="E9987" s="4"/>
    </row>
    <row r="9988" spans="3:5" x14ac:dyDescent="0.25">
      <c r="C9988" s="4"/>
      <c r="E9988" s="4"/>
    </row>
    <row r="9989" spans="3:5" x14ac:dyDescent="0.25">
      <c r="C9989" s="4"/>
      <c r="E9989" s="4"/>
    </row>
    <row r="9990" spans="3:5" x14ac:dyDescent="0.25">
      <c r="C9990" s="4"/>
      <c r="E9990" s="4"/>
    </row>
    <row r="9991" spans="3:5" x14ac:dyDescent="0.25">
      <c r="C9991" s="4"/>
      <c r="E9991" s="4"/>
    </row>
    <row r="9992" spans="3:5" x14ac:dyDescent="0.25">
      <c r="C9992" s="4"/>
      <c r="E9992" s="4"/>
    </row>
    <row r="9993" spans="3:5" x14ac:dyDescent="0.25">
      <c r="C9993" s="4"/>
      <c r="E9993" s="4"/>
    </row>
    <row r="9994" spans="3:5" x14ac:dyDescent="0.25">
      <c r="C9994" s="4"/>
      <c r="E9994" s="4"/>
    </row>
    <row r="9995" spans="3:5" x14ac:dyDescent="0.25">
      <c r="C9995" s="4"/>
      <c r="E9995" s="4"/>
    </row>
    <row r="9996" spans="3:5" x14ac:dyDescent="0.25">
      <c r="C9996" s="4"/>
      <c r="E9996" s="4"/>
    </row>
    <row r="9997" spans="3:5" x14ac:dyDescent="0.25">
      <c r="C9997" s="4"/>
      <c r="E9997" s="4"/>
    </row>
    <row r="9998" spans="3:5" x14ac:dyDescent="0.25">
      <c r="C9998" s="4"/>
      <c r="E9998" s="4"/>
    </row>
  </sheetData>
  <sheetProtection algorithmName="SHA-512" hashValue="iWSvawXGFqiLAFN0nvU4lrQ0MyHs+GA7X1rPS0RZprhFcbJToyEXt1cBkhg/5UPLgpvg5Eqp5Lgp0PGfm2aviA==" saltValue="OAZFXDiZeHVotWTvHU4Q+w==" spinCount="100000" sheet="1" objects="1" scenarios="1"/>
  <mergeCells count="5">
    <mergeCell ref="A1:A2"/>
    <mergeCell ref="B1:B2"/>
    <mergeCell ref="C1:D1"/>
    <mergeCell ref="E1:G1"/>
    <mergeCell ref="H1:H2"/>
  </mergeCells>
  <dataValidations count="1">
    <dataValidation type="list" allowBlank="1" showInputMessage="1" showErrorMessage="1" sqref="G3:G1048576 D3:D1048576" xr:uid="{00000000-0002-0000-0000-000000000000}">
      <formula1>"g/l,kg/l,lb/gal US"</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Feuil1!$A$1:$A$14</xm:f>
          </x14:formula1>
          <xm:sqref>B3:B1048576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workbookViewId="0">
      <selection activeCell="A20" sqref="A20"/>
    </sheetView>
  </sheetViews>
  <sheetFormatPr baseColWidth="10" defaultRowHeight="15" x14ac:dyDescent="0.25"/>
  <cols>
    <col min="1" max="1" width="58.42578125" customWidth="1"/>
  </cols>
  <sheetData>
    <row r="1" spans="1:1" x14ac:dyDescent="0.25">
      <c r="A1" s="17" t="s">
        <v>37</v>
      </c>
    </row>
    <row r="2" spans="1:1" x14ac:dyDescent="0.25">
      <c r="A2" s="17" t="s">
        <v>38</v>
      </c>
    </row>
    <row r="3" spans="1:1" x14ac:dyDescent="0.25">
      <c r="A3" s="17" t="s">
        <v>39</v>
      </c>
    </row>
    <row r="4" spans="1:1" x14ac:dyDescent="0.25">
      <c r="A4" s="17" t="s">
        <v>40</v>
      </c>
    </row>
    <row r="5" spans="1:1" x14ac:dyDescent="0.25">
      <c r="A5" s="17" t="s">
        <v>41</v>
      </c>
    </row>
    <row r="6" spans="1:1" x14ac:dyDescent="0.25">
      <c r="A6" s="17" t="s">
        <v>42</v>
      </c>
    </row>
    <row r="7" spans="1:1" x14ac:dyDescent="0.25">
      <c r="A7" s="17" t="s">
        <v>43</v>
      </c>
    </row>
    <row r="8" spans="1:1" x14ac:dyDescent="0.25">
      <c r="A8" s="17" t="s">
        <v>44</v>
      </c>
    </row>
    <row r="9" spans="1:1" x14ac:dyDescent="0.25">
      <c r="A9" s="17" t="s">
        <v>27</v>
      </c>
    </row>
    <row r="10" spans="1:1" x14ac:dyDescent="0.25">
      <c r="A10" s="17" t="s">
        <v>31</v>
      </c>
    </row>
    <row r="11" spans="1:1" x14ac:dyDescent="0.25">
      <c r="A11" s="17" t="s">
        <v>32</v>
      </c>
    </row>
    <row r="12" spans="1:1" x14ac:dyDescent="0.25">
      <c r="A12" s="17" t="s">
        <v>28</v>
      </c>
    </row>
    <row r="13" spans="1:1" x14ac:dyDescent="0.25">
      <c r="A13" s="17" t="s">
        <v>36</v>
      </c>
    </row>
    <row r="14" spans="1:1" x14ac:dyDescent="0.25">
      <c r="A14" s="17" t="s">
        <v>45</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5" tint="0.39997558519241921"/>
  </sheetPr>
  <dimension ref="A1:W16224"/>
  <sheetViews>
    <sheetView workbookViewId="0">
      <selection activeCell="A3" sqref="A3"/>
    </sheetView>
  </sheetViews>
  <sheetFormatPr baseColWidth="10" defaultRowHeight="15" x14ac:dyDescent="0.25"/>
  <cols>
    <col min="1" max="1" width="4.7109375" style="3" customWidth="1"/>
    <col min="2" max="2" width="10.7109375" style="3" customWidth="1"/>
    <col min="3" max="3" width="7" style="12" customWidth="1"/>
    <col min="4" max="4" width="34.85546875" style="12" customWidth="1"/>
    <col min="5" max="5" width="11.42578125" style="3" customWidth="1"/>
    <col min="6" max="6" width="19.7109375" style="3" customWidth="1"/>
    <col min="7" max="7" width="10.28515625" style="34" customWidth="1"/>
    <col min="8" max="8" width="10.7109375" style="13" customWidth="1"/>
    <col min="9" max="9" width="31.140625" style="3" customWidth="1"/>
    <col min="10" max="10" width="29.140625" style="3" customWidth="1"/>
    <col min="11" max="11" width="15.85546875" style="3" customWidth="1"/>
    <col min="12" max="12" width="14.5703125" style="34" customWidth="1"/>
    <col min="13" max="13" width="25.28515625" style="3" customWidth="1"/>
    <col min="14" max="14" width="15.85546875" style="3" customWidth="1"/>
    <col min="15" max="15" width="14.140625" style="32" customWidth="1"/>
    <col min="16" max="16" width="17.28515625" style="32" customWidth="1"/>
    <col min="17" max="17" width="19.140625" style="31" customWidth="1"/>
    <col min="18" max="18" width="58.28515625" style="32" customWidth="1"/>
    <col min="19" max="19" width="105.28515625" style="3" customWidth="1"/>
    <col min="21" max="21" width="11.42578125" customWidth="1"/>
    <col min="22" max="23" width="0" hidden="1" customWidth="1"/>
  </cols>
  <sheetData>
    <row r="1" spans="1:23" ht="59.25" customHeight="1" x14ac:dyDescent="0.25">
      <c r="A1" s="49" t="s">
        <v>1</v>
      </c>
      <c r="B1" s="50"/>
      <c r="C1" s="51"/>
      <c r="D1" s="42" t="s">
        <v>2</v>
      </c>
      <c r="E1" s="52" t="s">
        <v>57</v>
      </c>
      <c r="F1" s="42" t="s">
        <v>58</v>
      </c>
      <c r="G1" s="54" t="s">
        <v>6</v>
      </c>
      <c r="H1" s="42" t="s">
        <v>59</v>
      </c>
      <c r="I1" s="42" t="s">
        <v>60</v>
      </c>
      <c r="J1" s="42" t="s">
        <v>3</v>
      </c>
      <c r="K1" s="42" t="s">
        <v>61</v>
      </c>
      <c r="L1" s="45" t="s">
        <v>7</v>
      </c>
      <c r="M1" s="42" t="s">
        <v>4</v>
      </c>
      <c r="N1" s="42" t="s">
        <v>62</v>
      </c>
      <c r="O1" s="45" t="s">
        <v>8</v>
      </c>
      <c r="P1" s="45" t="s">
        <v>63</v>
      </c>
      <c r="Q1" s="48" t="s">
        <v>9</v>
      </c>
      <c r="R1" s="45" t="s">
        <v>64</v>
      </c>
      <c r="S1" s="46" t="s">
        <v>65</v>
      </c>
      <c r="V1" s="42" t="s">
        <v>46</v>
      </c>
      <c r="W1" s="42" t="s">
        <v>47</v>
      </c>
    </row>
    <row r="2" spans="1:23" s="9" customFormat="1" ht="31.5" customHeight="1" x14ac:dyDescent="0.25">
      <c r="A2" s="24" t="s">
        <v>12</v>
      </c>
      <c r="B2" s="24" t="s">
        <v>13</v>
      </c>
      <c r="C2" s="20" t="s">
        <v>14</v>
      </c>
      <c r="D2" s="42"/>
      <c r="E2" s="53"/>
      <c r="F2" s="42"/>
      <c r="G2" s="55"/>
      <c r="H2" s="42"/>
      <c r="I2" s="42"/>
      <c r="J2" s="42"/>
      <c r="K2" s="42"/>
      <c r="L2" s="45"/>
      <c r="M2" s="42"/>
      <c r="N2" s="42"/>
      <c r="O2" s="45"/>
      <c r="P2" s="45"/>
      <c r="Q2" s="48"/>
      <c r="R2" s="45"/>
      <c r="S2" s="47"/>
      <c r="V2" s="42"/>
      <c r="W2" s="42"/>
    </row>
    <row r="3" spans="1:23" x14ac:dyDescent="0.25">
      <c r="E3" s="4"/>
      <c r="F3" s="4"/>
      <c r="G3" s="33" t="str">
        <f>IFERROR(VLOOKUP($D3,'Informations sur les produits'!$A$3:$H$10000,8,FALSE),"0")</f>
        <v>0</v>
      </c>
      <c r="K3" s="4"/>
      <c r="L3" s="33" t="str">
        <f>IFERROR(VLOOKUP($J3,'Informations sur les produits'!$A$3:$H$10000,8,FALSE),"0")</f>
        <v>0</v>
      </c>
      <c r="N3" s="8"/>
      <c r="O3" s="33" t="str">
        <f>IFERROR(VLOOKUP($M3,'Informations sur les produits'!$A$3:$H$10000,8,FALSE),"0")</f>
        <v>0</v>
      </c>
      <c r="P3" s="33">
        <f>IFERROR((($E3-$F3)*$G3+$K3*$L3+$N3*$O3),"")</f>
        <v>0</v>
      </c>
      <c r="Q3" s="31" t="str">
        <f>IFERROR((((($E3-$F3)*$G3+$K3*$L3+$N3*$O3)*1000)/(($E3-$F3)+$K3+$N3)),"")</f>
        <v/>
      </c>
      <c r="R3" s="32" t="str">
        <f>IFERROR(VLOOKUP($D3,'Informations sur les produits'!$A$3:$B$15000,2,FALSE),"")</f>
        <v/>
      </c>
      <c r="V3">
        <f>IFERROR(P3*1000,"")</f>
        <v>0</v>
      </c>
      <c r="W3">
        <f>IFERROR(($E3-$F3)+$K3+$N3,"")</f>
        <v>0</v>
      </c>
    </row>
    <row r="4" spans="1:23" x14ac:dyDescent="0.25">
      <c r="E4" s="4"/>
      <c r="F4" s="4"/>
      <c r="G4" s="33" t="str">
        <f>IFERROR(VLOOKUP($D4,'Informations sur les produits'!$A$3:$H$10000,8,FALSE),"0")</f>
        <v>0</v>
      </c>
      <c r="H4" s="28"/>
      <c r="K4" s="4"/>
      <c r="L4" s="33" t="str">
        <f>IFERROR(VLOOKUP($J4,'Informations sur les produits'!$A$3:$H$10000,8,FALSE),"0")</f>
        <v>0</v>
      </c>
      <c r="N4" s="8"/>
      <c r="O4" s="33" t="str">
        <f>IFERROR(VLOOKUP($M4,'Informations sur les produits'!$A$3:$H$10000,8,FALSE),"0")</f>
        <v>0</v>
      </c>
      <c r="P4" s="33">
        <f t="shared" ref="P4:P67" si="0">IFERROR((($E4-$F4)*$G4+$K4*$L4+$N4*$O4),"")</f>
        <v>0</v>
      </c>
      <c r="Q4" s="31" t="str">
        <f t="shared" ref="Q4:Q67" si="1">IFERROR((((($E4-$F4)*$G4+$K4*$L4+$N4*$O4)*1000)/(($E4-$F4)+$K4+$N4)),"")</f>
        <v/>
      </c>
      <c r="R4" s="32" t="str">
        <f>IFERROR(VLOOKUP($D4,'Informations sur les produits'!$A$3:$B$15000,2,FALSE),"")</f>
        <v/>
      </c>
      <c r="V4">
        <f t="shared" ref="V4:V67" si="2">IFERROR(P4*1000,"")</f>
        <v>0</v>
      </c>
      <c r="W4">
        <f t="shared" ref="W4:W67" si="3">IFERROR(($E4-$F4)+$K4+$N4,"")</f>
        <v>0</v>
      </c>
    </row>
    <row r="5" spans="1:23" x14ac:dyDescent="0.25">
      <c r="E5" s="4"/>
      <c r="F5" s="4"/>
      <c r="G5" s="33" t="str">
        <f>IFERROR(VLOOKUP($D5,'Informations sur les produits'!$A$3:$H$10000,8,FALSE),"0")</f>
        <v>0</v>
      </c>
      <c r="K5" s="4"/>
      <c r="L5" s="33" t="str">
        <f>IFERROR(VLOOKUP($J5,'Informations sur les produits'!$A$3:$H$10000,8,FALSE),"0")</f>
        <v>0</v>
      </c>
      <c r="N5" s="8"/>
      <c r="O5" s="33" t="str">
        <f>IFERROR(VLOOKUP($M5,'Informations sur les produits'!$A$3:$H$10000,8,FALSE),"0")</f>
        <v>0</v>
      </c>
      <c r="P5" s="33">
        <f t="shared" si="0"/>
        <v>0</v>
      </c>
      <c r="Q5" s="31" t="str">
        <f t="shared" si="1"/>
        <v/>
      </c>
      <c r="R5" s="32" t="str">
        <f>IFERROR(VLOOKUP($D5,'Informations sur les produits'!$A$3:$B$15000,2,FALSE),"")</f>
        <v/>
      </c>
      <c r="V5">
        <f t="shared" si="2"/>
        <v>0</v>
      </c>
      <c r="W5">
        <f t="shared" si="3"/>
        <v>0</v>
      </c>
    </row>
    <row r="6" spans="1:23" x14ac:dyDescent="0.25">
      <c r="E6" s="4"/>
      <c r="F6" s="4"/>
      <c r="G6" s="33" t="str">
        <f>IFERROR(VLOOKUP($D6,'Informations sur les produits'!$A$3:$H$10000,8,FALSE),"0")</f>
        <v>0</v>
      </c>
      <c r="K6" s="4"/>
      <c r="L6" s="33" t="str">
        <f>IFERROR(VLOOKUP($J6,'Informations sur les produits'!$A$3:$H$10000,8,FALSE),"0")</f>
        <v>0</v>
      </c>
      <c r="N6" s="8"/>
      <c r="O6" s="33" t="str">
        <f>IFERROR(VLOOKUP($M6,'Informations sur les produits'!$A$3:$H$10000,8,FALSE),"0")</f>
        <v>0</v>
      </c>
      <c r="P6" s="33">
        <f t="shared" si="0"/>
        <v>0</v>
      </c>
      <c r="Q6" s="31" t="str">
        <f t="shared" si="1"/>
        <v/>
      </c>
      <c r="R6" s="32" t="str">
        <f>IFERROR(VLOOKUP($D6,'Informations sur les produits'!$A$3:$B$15000,2,FALSE),"")</f>
        <v/>
      </c>
      <c r="V6">
        <f t="shared" si="2"/>
        <v>0</v>
      </c>
      <c r="W6">
        <f t="shared" si="3"/>
        <v>0</v>
      </c>
    </row>
    <row r="7" spans="1:23" x14ac:dyDescent="0.25">
      <c r="E7" s="4"/>
      <c r="F7" s="4"/>
      <c r="G7" s="33" t="str">
        <f>IFERROR(VLOOKUP($D7,'Informations sur les produits'!$A$3:$H$10000,8,FALSE),"0")</f>
        <v>0</v>
      </c>
      <c r="K7" s="4"/>
      <c r="L7" s="33" t="str">
        <f>IFERROR(VLOOKUP($J7,'Informations sur les produits'!$A$3:$H$10000,8,FALSE),"0")</f>
        <v>0</v>
      </c>
      <c r="N7" s="8"/>
      <c r="O7" s="33" t="str">
        <f>IFERROR(VLOOKUP($M7,'Informations sur les produits'!$A$3:$H$10000,8,FALSE),"0")</f>
        <v>0</v>
      </c>
      <c r="P7" s="33">
        <f t="shared" si="0"/>
        <v>0</v>
      </c>
      <c r="Q7" s="31" t="str">
        <f t="shared" si="1"/>
        <v/>
      </c>
      <c r="R7" s="32" t="str">
        <f>IFERROR(VLOOKUP($D7,'Informations sur les produits'!$A$3:$B$15000,2,FALSE),"")</f>
        <v/>
      </c>
      <c r="V7">
        <f t="shared" si="2"/>
        <v>0</v>
      </c>
      <c r="W7">
        <f t="shared" si="3"/>
        <v>0</v>
      </c>
    </row>
    <row r="8" spans="1:23" x14ac:dyDescent="0.25">
      <c r="E8" s="4"/>
      <c r="F8" s="4"/>
      <c r="G8" s="33" t="str">
        <f>IFERROR(VLOOKUP($D8,'Informations sur les produits'!$A$3:$H$10000,8,FALSE),"0")</f>
        <v>0</v>
      </c>
      <c r="K8" s="4"/>
      <c r="L8" s="33" t="str">
        <f>IFERROR(VLOOKUP($J8,'Informations sur les produits'!$A$3:$H$10000,8,FALSE),"0")</f>
        <v>0</v>
      </c>
      <c r="N8" s="8"/>
      <c r="O8" s="33" t="str">
        <f>IFERROR(VLOOKUP($M8,'Informations sur les produits'!$A$3:$H$10000,8,FALSE),"0")</f>
        <v>0</v>
      </c>
      <c r="P8" s="33">
        <f t="shared" si="0"/>
        <v>0</v>
      </c>
      <c r="Q8" s="31" t="str">
        <f t="shared" si="1"/>
        <v/>
      </c>
      <c r="R8" s="32" t="str">
        <f>IFERROR(VLOOKUP($D8,'Informations sur les produits'!$A$3:$B$15000,2,FALSE),"")</f>
        <v/>
      </c>
      <c r="V8">
        <f t="shared" si="2"/>
        <v>0</v>
      </c>
      <c r="W8">
        <f t="shared" si="3"/>
        <v>0</v>
      </c>
    </row>
    <row r="9" spans="1:23" x14ac:dyDescent="0.25">
      <c r="E9" s="4"/>
      <c r="F9" s="4"/>
      <c r="G9" s="33" t="str">
        <f>IFERROR(VLOOKUP($D9,'Informations sur les produits'!$A$3:$H$10000,8,FALSE),"0")</f>
        <v>0</v>
      </c>
      <c r="K9" s="4"/>
      <c r="L9" s="33" t="str">
        <f>IFERROR(VLOOKUP($J9,'Informations sur les produits'!$A$3:$H$10000,8,FALSE),"0")</f>
        <v>0</v>
      </c>
      <c r="N9" s="8"/>
      <c r="O9" s="33" t="str">
        <f>IFERROR(VLOOKUP($M9,'Informations sur les produits'!$A$3:$H$10000,8,FALSE),"0")</f>
        <v>0</v>
      </c>
      <c r="P9" s="33">
        <f t="shared" si="0"/>
        <v>0</v>
      </c>
      <c r="Q9" s="31" t="str">
        <f t="shared" si="1"/>
        <v/>
      </c>
      <c r="R9" s="32" t="str">
        <f>IFERROR(VLOOKUP($D9,'Informations sur les produits'!$A$3:$B$15000,2,FALSE),"")</f>
        <v/>
      </c>
      <c r="V9">
        <f t="shared" si="2"/>
        <v>0</v>
      </c>
      <c r="W9">
        <f t="shared" si="3"/>
        <v>0</v>
      </c>
    </row>
    <row r="10" spans="1:23" x14ac:dyDescent="0.25">
      <c r="E10" s="4"/>
      <c r="F10" s="4"/>
      <c r="G10" s="33" t="str">
        <f>IFERROR(VLOOKUP($D10,'Informations sur les produits'!$A$3:$H$10000,8,FALSE),"0")</f>
        <v>0</v>
      </c>
      <c r="K10" s="4"/>
      <c r="L10" s="33" t="str">
        <f>IFERROR(VLOOKUP($J10,'Informations sur les produits'!$A$3:$H$10000,8,FALSE),"0")</f>
        <v>0</v>
      </c>
      <c r="N10" s="8"/>
      <c r="O10" s="33" t="str">
        <f>IFERROR(VLOOKUP($M10,'Informations sur les produits'!$A$3:$H$10000,8,FALSE),"0")</f>
        <v>0</v>
      </c>
      <c r="P10" s="33">
        <f t="shared" si="0"/>
        <v>0</v>
      </c>
      <c r="Q10" s="31" t="str">
        <f t="shared" si="1"/>
        <v/>
      </c>
      <c r="R10" s="32" t="str">
        <f>IFERROR(VLOOKUP($D10,'Informations sur les produits'!$A$3:$B$15000,2,FALSE),"")</f>
        <v/>
      </c>
      <c r="V10">
        <f t="shared" si="2"/>
        <v>0</v>
      </c>
      <c r="W10">
        <f t="shared" si="3"/>
        <v>0</v>
      </c>
    </row>
    <row r="11" spans="1:23" x14ac:dyDescent="0.25">
      <c r="E11" s="4"/>
      <c r="F11" s="4"/>
      <c r="G11" s="33" t="str">
        <f>IFERROR(VLOOKUP($D11,'Informations sur les produits'!$A$3:$H$10000,8,FALSE),"0")</f>
        <v>0</v>
      </c>
      <c r="K11" s="4"/>
      <c r="L11" s="33" t="str">
        <f>IFERROR(VLOOKUP($J11,'Informations sur les produits'!$A$3:$H$10000,8,FALSE),"0")</f>
        <v>0</v>
      </c>
      <c r="N11" s="8"/>
      <c r="O11" s="33" t="str">
        <f>IFERROR(VLOOKUP($M11,'Informations sur les produits'!$A$3:$H$10000,8,FALSE),"0")</f>
        <v>0</v>
      </c>
      <c r="P11" s="33">
        <f t="shared" si="0"/>
        <v>0</v>
      </c>
      <c r="Q11" s="31" t="str">
        <f t="shared" si="1"/>
        <v/>
      </c>
      <c r="R11" s="32" t="str">
        <f>IFERROR(VLOOKUP($D11,'Informations sur les produits'!$A$3:$B$15000,2,FALSE),"")</f>
        <v/>
      </c>
      <c r="V11">
        <f t="shared" si="2"/>
        <v>0</v>
      </c>
      <c r="W11">
        <f t="shared" si="3"/>
        <v>0</v>
      </c>
    </row>
    <row r="12" spans="1:23" x14ac:dyDescent="0.25">
      <c r="E12" s="4"/>
      <c r="F12" s="4"/>
      <c r="G12" s="33" t="str">
        <f>IFERROR(VLOOKUP($D12,'Informations sur les produits'!$A$3:$H$10000,8,FALSE),"0")</f>
        <v>0</v>
      </c>
      <c r="K12" s="4"/>
      <c r="L12" s="33" t="str">
        <f>IFERROR(VLOOKUP($J12,'Informations sur les produits'!$A$3:$H$10000,8,FALSE),"0")</f>
        <v>0</v>
      </c>
      <c r="N12" s="8"/>
      <c r="O12" s="33" t="str">
        <f>IFERROR(VLOOKUP($M12,'Informations sur les produits'!$A$3:$H$10000,8,FALSE),"0")</f>
        <v>0</v>
      </c>
      <c r="P12" s="33">
        <f t="shared" si="0"/>
        <v>0</v>
      </c>
      <c r="Q12" s="31" t="str">
        <f t="shared" si="1"/>
        <v/>
      </c>
      <c r="R12" s="32" t="str">
        <f>IFERROR(VLOOKUP($D12,'Informations sur les produits'!$A$3:$B$15000,2,FALSE),"")</f>
        <v/>
      </c>
      <c r="V12">
        <f t="shared" si="2"/>
        <v>0</v>
      </c>
      <c r="W12">
        <f t="shared" si="3"/>
        <v>0</v>
      </c>
    </row>
    <row r="13" spans="1:23" x14ac:dyDescent="0.25">
      <c r="E13" s="4"/>
      <c r="F13" s="4"/>
      <c r="G13" s="33" t="str">
        <f>IFERROR(VLOOKUP($D13,'Informations sur les produits'!$A$3:$H$10000,8,FALSE),"0")</f>
        <v>0</v>
      </c>
      <c r="K13" s="4"/>
      <c r="L13" s="33" t="str">
        <f>IFERROR(VLOOKUP($J13,'Informations sur les produits'!$A$3:$H$10000,8,FALSE),"0")</f>
        <v>0</v>
      </c>
      <c r="N13" s="8"/>
      <c r="O13" s="33" t="str">
        <f>IFERROR(VLOOKUP($M13,'Informations sur les produits'!$A$3:$H$10000,8,FALSE),"0")</f>
        <v>0</v>
      </c>
      <c r="P13" s="33">
        <f t="shared" si="0"/>
        <v>0</v>
      </c>
      <c r="Q13" s="31" t="str">
        <f t="shared" si="1"/>
        <v/>
      </c>
      <c r="R13" s="32" t="str">
        <f>IFERROR(VLOOKUP($D13,'Informations sur les produits'!$A$3:$B$15000,2,FALSE),"")</f>
        <v/>
      </c>
      <c r="V13">
        <f t="shared" si="2"/>
        <v>0</v>
      </c>
      <c r="W13">
        <f t="shared" si="3"/>
        <v>0</v>
      </c>
    </row>
    <row r="14" spans="1:23" x14ac:dyDescent="0.25">
      <c r="E14" s="4"/>
      <c r="F14" s="4"/>
      <c r="G14" s="33" t="str">
        <f>IFERROR(VLOOKUP($D14,'Informations sur les produits'!$A$3:$H$10000,8,FALSE),"0")</f>
        <v>0</v>
      </c>
      <c r="K14" s="4"/>
      <c r="L14" s="33" t="str">
        <f>IFERROR(VLOOKUP($J14,'Informations sur les produits'!$A$3:$H$10000,8,FALSE),"0")</f>
        <v>0</v>
      </c>
      <c r="N14" s="8"/>
      <c r="O14" s="33" t="str">
        <f>IFERROR(VLOOKUP($M14,'Informations sur les produits'!$A$3:$H$10000,8,FALSE),"0")</f>
        <v>0</v>
      </c>
      <c r="P14" s="33">
        <f t="shared" si="0"/>
        <v>0</v>
      </c>
      <c r="Q14" s="31" t="str">
        <f t="shared" si="1"/>
        <v/>
      </c>
      <c r="R14" s="32" t="str">
        <f>IFERROR(VLOOKUP($D14,'Informations sur les produits'!$A$3:$B$15000,2,FALSE),"")</f>
        <v/>
      </c>
      <c r="V14">
        <f t="shared" si="2"/>
        <v>0</v>
      </c>
      <c r="W14">
        <f t="shared" si="3"/>
        <v>0</v>
      </c>
    </row>
    <row r="15" spans="1:23" x14ac:dyDescent="0.25">
      <c r="E15" s="4"/>
      <c r="F15" s="4"/>
      <c r="G15" s="33" t="str">
        <f>IFERROR(VLOOKUP($D15,'Informations sur les produits'!$A$3:$H$10000,8,FALSE),"0")</f>
        <v>0</v>
      </c>
      <c r="K15" s="4"/>
      <c r="L15" s="33" t="str">
        <f>IFERROR(VLOOKUP($J15,'Informations sur les produits'!$A$3:$H$10000,8,FALSE),"0")</f>
        <v>0</v>
      </c>
      <c r="N15" s="8"/>
      <c r="O15" s="33" t="str">
        <f>IFERROR(VLOOKUP($M15,'Informations sur les produits'!$A$3:$H$10000,8,FALSE),"0")</f>
        <v>0</v>
      </c>
      <c r="P15" s="33">
        <f t="shared" si="0"/>
        <v>0</v>
      </c>
      <c r="Q15" s="31" t="str">
        <f t="shared" si="1"/>
        <v/>
      </c>
      <c r="R15" s="32" t="str">
        <f>IFERROR(VLOOKUP($D15,'Informations sur les produits'!$A$3:$B$15000,2,FALSE),"")</f>
        <v/>
      </c>
      <c r="V15">
        <f t="shared" si="2"/>
        <v>0</v>
      </c>
      <c r="W15">
        <f t="shared" si="3"/>
        <v>0</v>
      </c>
    </row>
    <row r="16" spans="1:23" x14ac:dyDescent="0.25">
      <c r="E16" s="4"/>
      <c r="F16" s="4"/>
      <c r="G16" s="33" t="str">
        <f>IFERROR(VLOOKUP($D16,'Informations sur les produits'!$A$3:$H$10000,8,FALSE),"0")</f>
        <v>0</v>
      </c>
      <c r="K16" s="4"/>
      <c r="L16" s="33" t="str">
        <f>IFERROR(VLOOKUP($J16,'Informations sur les produits'!$A$3:$H$10000,8,FALSE),"0")</f>
        <v>0</v>
      </c>
      <c r="N16" s="8"/>
      <c r="O16" s="33" t="str">
        <f>IFERROR(VLOOKUP($M16,'Informations sur les produits'!$A$3:$H$10000,8,FALSE),"0")</f>
        <v>0</v>
      </c>
      <c r="P16" s="33">
        <f t="shared" si="0"/>
        <v>0</v>
      </c>
      <c r="Q16" s="31" t="str">
        <f t="shared" si="1"/>
        <v/>
      </c>
      <c r="R16" s="32" t="str">
        <f>IFERROR(VLOOKUP($D16,'Informations sur les produits'!$A$3:$B$15000,2,FALSE),"")</f>
        <v/>
      </c>
      <c r="V16">
        <f t="shared" si="2"/>
        <v>0</v>
      </c>
      <c r="W16">
        <f t="shared" si="3"/>
        <v>0</v>
      </c>
    </row>
    <row r="17" spans="5:23" x14ac:dyDescent="0.25">
      <c r="E17" s="4"/>
      <c r="F17" s="4"/>
      <c r="G17" s="33" t="str">
        <f>IFERROR(VLOOKUP($D17,'Informations sur les produits'!$A$3:$H$10000,8,FALSE),"0")</f>
        <v>0</v>
      </c>
      <c r="K17" s="4"/>
      <c r="L17" s="33" t="str">
        <f>IFERROR(VLOOKUP($J17,'Informations sur les produits'!$A$3:$H$10000,8,FALSE),"0")</f>
        <v>0</v>
      </c>
      <c r="N17" s="8"/>
      <c r="O17" s="33" t="str">
        <f>IFERROR(VLOOKUP($M17,'Informations sur les produits'!$A$3:$H$10000,8,FALSE),"0")</f>
        <v>0</v>
      </c>
      <c r="P17" s="33">
        <f t="shared" si="0"/>
        <v>0</v>
      </c>
      <c r="Q17" s="31" t="str">
        <f t="shared" si="1"/>
        <v/>
      </c>
      <c r="R17" s="32" t="str">
        <f>IFERROR(VLOOKUP($D17,'Informations sur les produits'!$A$3:$B$15000,2,FALSE),"")</f>
        <v/>
      </c>
      <c r="V17">
        <f t="shared" si="2"/>
        <v>0</v>
      </c>
      <c r="W17">
        <f t="shared" si="3"/>
        <v>0</v>
      </c>
    </row>
    <row r="18" spans="5:23" x14ac:dyDescent="0.25">
      <c r="E18" s="4"/>
      <c r="F18" s="4"/>
      <c r="G18" s="33" t="str">
        <f>IFERROR(VLOOKUP($D18,'Informations sur les produits'!$A$3:$H$10000,8,FALSE),"0")</f>
        <v>0</v>
      </c>
      <c r="H18" s="28"/>
      <c r="K18" s="4"/>
      <c r="L18" s="33" t="str">
        <f>IFERROR(VLOOKUP($J18,'Informations sur les produits'!$A$3:$H$10000,8,FALSE),"0")</f>
        <v>0</v>
      </c>
      <c r="N18" s="8"/>
      <c r="O18" s="33" t="str">
        <f>IFERROR(VLOOKUP($M18,'Informations sur les produits'!$A$3:$H$10000,8,FALSE),"0")</f>
        <v>0</v>
      </c>
      <c r="P18" s="33">
        <f t="shared" si="0"/>
        <v>0</v>
      </c>
      <c r="Q18" s="31" t="str">
        <f t="shared" si="1"/>
        <v/>
      </c>
      <c r="R18" s="32" t="str">
        <f>IFERROR(VLOOKUP($D18,'Informations sur les produits'!$A$3:$B$15000,2,FALSE),"")</f>
        <v/>
      </c>
      <c r="V18">
        <f t="shared" si="2"/>
        <v>0</v>
      </c>
      <c r="W18">
        <f t="shared" si="3"/>
        <v>0</v>
      </c>
    </row>
    <row r="19" spans="5:23" x14ac:dyDescent="0.25">
      <c r="E19" s="4"/>
      <c r="F19" s="4"/>
      <c r="G19" s="33" t="str">
        <f>IFERROR(VLOOKUP($D19,'Informations sur les produits'!$A$3:$H$10000,8,FALSE),"0")</f>
        <v>0</v>
      </c>
      <c r="H19" s="28"/>
      <c r="K19" s="4"/>
      <c r="L19" s="33" t="str">
        <f>IFERROR(VLOOKUP($J19,'Informations sur les produits'!$A$3:$H$10000,8,FALSE),"0")</f>
        <v>0</v>
      </c>
      <c r="N19" s="8"/>
      <c r="O19" s="33" t="str">
        <f>IFERROR(VLOOKUP($M19,'Informations sur les produits'!$A$3:$H$10000,8,FALSE),"0")</f>
        <v>0</v>
      </c>
      <c r="P19" s="33">
        <f t="shared" si="0"/>
        <v>0</v>
      </c>
      <c r="Q19" s="31" t="str">
        <f t="shared" si="1"/>
        <v/>
      </c>
      <c r="R19" s="32" t="str">
        <f>IFERROR(VLOOKUP($D19,'Informations sur les produits'!$A$3:$B$15000,2,FALSE),"")</f>
        <v/>
      </c>
      <c r="V19">
        <f t="shared" si="2"/>
        <v>0</v>
      </c>
      <c r="W19">
        <f t="shared" si="3"/>
        <v>0</v>
      </c>
    </row>
    <row r="20" spans="5:23" x14ac:dyDescent="0.25">
      <c r="E20" s="4"/>
      <c r="F20" s="4"/>
      <c r="G20" s="33" t="str">
        <f>IFERROR(VLOOKUP($D20,'Informations sur les produits'!$A$3:$H$10000,8,FALSE),"0")</f>
        <v>0</v>
      </c>
      <c r="H20" s="28"/>
      <c r="K20" s="4"/>
      <c r="L20" s="33" t="str">
        <f>IFERROR(VLOOKUP($J20,'Informations sur les produits'!$A$3:$H$10000,8,FALSE),"0")</f>
        <v>0</v>
      </c>
      <c r="N20" s="8"/>
      <c r="O20" s="33" t="str">
        <f>IFERROR(VLOOKUP($M20,'Informations sur les produits'!$A$3:$H$10000,8,FALSE),"0")</f>
        <v>0</v>
      </c>
      <c r="P20" s="33">
        <f t="shared" si="0"/>
        <v>0</v>
      </c>
      <c r="Q20" s="31" t="str">
        <f t="shared" si="1"/>
        <v/>
      </c>
      <c r="R20" s="32" t="str">
        <f>IFERROR(VLOOKUP($D20,'Informations sur les produits'!$A$3:$B$15000,2,FALSE),"")</f>
        <v/>
      </c>
      <c r="V20">
        <f t="shared" si="2"/>
        <v>0</v>
      </c>
      <c r="W20">
        <f t="shared" si="3"/>
        <v>0</v>
      </c>
    </row>
    <row r="21" spans="5:23" x14ac:dyDescent="0.25">
      <c r="E21" s="4"/>
      <c r="F21" s="4"/>
      <c r="G21" s="33" t="str">
        <f>IFERROR(VLOOKUP($D21,'Informations sur les produits'!$A$3:$H$10000,8,FALSE),"0")</f>
        <v>0</v>
      </c>
      <c r="K21" s="4"/>
      <c r="L21" s="33" t="str">
        <f>IFERROR(VLOOKUP($J21,'Informations sur les produits'!$A$3:$H$10000,8,FALSE),"0")</f>
        <v>0</v>
      </c>
      <c r="N21" s="8"/>
      <c r="O21" s="33" t="str">
        <f>IFERROR(VLOOKUP($M21,'Informations sur les produits'!$A$3:$H$10000,8,FALSE),"0")</f>
        <v>0</v>
      </c>
      <c r="P21" s="33">
        <f t="shared" si="0"/>
        <v>0</v>
      </c>
      <c r="Q21" s="31" t="str">
        <f t="shared" si="1"/>
        <v/>
      </c>
      <c r="R21" s="32" t="str">
        <f>IFERROR(VLOOKUP($D21,'Informations sur les produits'!$A$3:$B$15000,2,FALSE),"")</f>
        <v/>
      </c>
      <c r="V21">
        <f t="shared" si="2"/>
        <v>0</v>
      </c>
      <c r="W21">
        <f t="shared" si="3"/>
        <v>0</v>
      </c>
    </row>
    <row r="22" spans="5:23" x14ac:dyDescent="0.25">
      <c r="E22" s="4"/>
      <c r="F22" s="4"/>
      <c r="G22" s="33" t="str">
        <f>IFERROR(VLOOKUP($D22,'Informations sur les produits'!$A$3:$H$10000,8,FALSE),"0")</f>
        <v>0</v>
      </c>
      <c r="K22" s="4"/>
      <c r="L22" s="33" t="str">
        <f>IFERROR(VLOOKUP($J22,'Informations sur les produits'!$A$3:$H$10000,8,FALSE),"0")</f>
        <v>0</v>
      </c>
      <c r="N22" s="8"/>
      <c r="O22" s="33" t="str">
        <f>IFERROR(VLOOKUP($M22,'Informations sur les produits'!$A$3:$H$10000,8,FALSE),"0")</f>
        <v>0</v>
      </c>
      <c r="P22" s="33">
        <f t="shared" si="0"/>
        <v>0</v>
      </c>
      <c r="Q22" s="31" t="str">
        <f t="shared" si="1"/>
        <v/>
      </c>
      <c r="R22" s="32" t="str">
        <f>IFERROR(VLOOKUP($D22,'Informations sur les produits'!$A$3:$B$15000,2,FALSE),"")</f>
        <v/>
      </c>
      <c r="V22">
        <f t="shared" si="2"/>
        <v>0</v>
      </c>
      <c r="W22">
        <f t="shared" si="3"/>
        <v>0</v>
      </c>
    </row>
    <row r="23" spans="5:23" x14ac:dyDescent="0.25">
      <c r="E23" s="4"/>
      <c r="F23" s="4"/>
      <c r="G23" s="33" t="str">
        <f>IFERROR(VLOOKUP($D23,'Informations sur les produits'!$A$3:$H$10000,8,FALSE),"0")</f>
        <v>0</v>
      </c>
      <c r="K23" s="4"/>
      <c r="L23" s="33" t="str">
        <f>IFERROR(VLOOKUP($J23,'Informations sur les produits'!$A$3:$H$10000,8,FALSE),"0")</f>
        <v>0</v>
      </c>
      <c r="N23" s="8"/>
      <c r="O23" s="33" t="str">
        <f>IFERROR(VLOOKUP($M23,'Informations sur les produits'!$A$3:$H$10000,8,FALSE),"0")</f>
        <v>0</v>
      </c>
      <c r="P23" s="33">
        <f t="shared" si="0"/>
        <v>0</v>
      </c>
      <c r="Q23" s="31" t="str">
        <f t="shared" si="1"/>
        <v/>
      </c>
      <c r="R23" s="32" t="str">
        <f>IFERROR(VLOOKUP($D23,'Informations sur les produits'!$A$3:$B$15000,2,FALSE),"")</f>
        <v/>
      </c>
      <c r="V23">
        <f t="shared" si="2"/>
        <v>0</v>
      </c>
      <c r="W23">
        <f t="shared" si="3"/>
        <v>0</v>
      </c>
    </row>
    <row r="24" spans="5:23" x14ac:dyDescent="0.25">
      <c r="E24" s="4"/>
      <c r="F24" s="4"/>
      <c r="G24" s="33" t="str">
        <f>IFERROR(VLOOKUP($D24,'Informations sur les produits'!$A$3:$H$10000,8,FALSE),"0")</f>
        <v>0</v>
      </c>
      <c r="K24" s="4"/>
      <c r="L24" s="33" t="str">
        <f>IFERROR(VLOOKUP($J24,'Informations sur les produits'!$A$3:$H$10000,8,FALSE),"0")</f>
        <v>0</v>
      </c>
      <c r="N24" s="8"/>
      <c r="O24" s="33" t="str">
        <f>IFERROR(VLOOKUP($M24,'Informations sur les produits'!$A$3:$H$10000,8,FALSE),"0")</f>
        <v>0</v>
      </c>
      <c r="P24" s="33">
        <f t="shared" si="0"/>
        <v>0</v>
      </c>
      <c r="Q24" s="31" t="str">
        <f t="shared" si="1"/>
        <v/>
      </c>
      <c r="R24" s="32" t="str">
        <f>IFERROR(VLOOKUP($D24,'Informations sur les produits'!$A$3:$B$15000,2,FALSE),"")</f>
        <v/>
      </c>
      <c r="V24">
        <f t="shared" si="2"/>
        <v>0</v>
      </c>
      <c r="W24">
        <f t="shared" si="3"/>
        <v>0</v>
      </c>
    </row>
    <row r="25" spans="5:23" x14ac:dyDescent="0.25">
      <c r="E25" s="4"/>
      <c r="F25" s="4"/>
      <c r="G25" s="33" t="str">
        <f>IFERROR(VLOOKUP($D25,'Informations sur les produits'!$A$3:$H$10000,8,FALSE),"0")</f>
        <v>0</v>
      </c>
      <c r="K25" s="4"/>
      <c r="L25" s="33" t="str">
        <f>IFERROR(VLOOKUP($J25,'Informations sur les produits'!$A$3:$H$10000,8,FALSE),"0")</f>
        <v>0</v>
      </c>
      <c r="N25" s="8"/>
      <c r="O25" s="33" t="str">
        <f>IFERROR(VLOOKUP($M25,'Informations sur les produits'!$A$3:$H$10000,8,FALSE),"0")</f>
        <v>0</v>
      </c>
      <c r="P25" s="33">
        <f t="shared" si="0"/>
        <v>0</v>
      </c>
      <c r="Q25" s="31" t="str">
        <f t="shared" si="1"/>
        <v/>
      </c>
      <c r="R25" s="32" t="str">
        <f>IFERROR(VLOOKUP($D25,'Informations sur les produits'!$A$3:$B$15000,2,FALSE),"")</f>
        <v/>
      </c>
      <c r="V25">
        <f t="shared" si="2"/>
        <v>0</v>
      </c>
      <c r="W25">
        <f t="shared" si="3"/>
        <v>0</v>
      </c>
    </row>
    <row r="26" spans="5:23" x14ac:dyDescent="0.25">
      <c r="E26" s="4"/>
      <c r="F26" s="4"/>
      <c r="G26" s="33" t="str">
        <f>IFERROR(VLOOKUP($D26,'Informations sur les produits'!$A$3:$H$10000,8,FALSE),"0")</f>
        <v>0</v>
      </c>
      <c r="K26" s="4"/>
      <c r="L26" s="33" t="str">
        <f>IFERROR(VLOOKUP($J26,'Informations sur les produits'!$A$3:$H$10000,8,FALSE),"0")</f>
        <v>0</v>
      </c>
      <c r="N26" s="8"/>
      <c r="O26" s="33" t="str">
        <f>IFERROR(VLOOKUP($M26,'Informations sur les produits'!$A$3:$H$10000,8,FALSE),"0")</f>
        <v>0</v>
      </c>
      <c r="P26" s="33">
        <f t="shared" si="0"/>
        <v>0</v>
      </c>
      <c r="Q26" s="31" t="str">
        <f t="shared" si="1"/>
        <v/>
      </c>
      <c r="R26" s="32" t="str">
        <f>IFERROR(VLOOKUP($D26,'Informations sur les produits'!$A$3:$B$15000,2,FALSE),"")</f>
        <v/>
      </c>
      <c r="V26">
        <f t="shared" si="2"/>
        <v>0</v>
      </c>
      <c r="W26">
        <f t="shared" si="3"/>
        <v>0</v>
      </c>
    </row>
    <row r="27" spans="5:23" x14ac:dyDescent="0.25">
      <c r="E27" s="4"/>
      <c r="F27" s="4"/>
      <c r="G27" s="33" t="str">
        <f>IFERROR(VLOOKUP($D27,'Informations sur les produits'!$A$3:$H$10000,8,FALSE),"0")</f>
        <v>0</v>
      </c>
      <c r="K27" s="4"/>
      <c r="L27" s="33" t="str">
        <f>IFERROR(VLOOKUP($J27,'Informations sur les produits'!$A$3:$H$10000,8,FALSE),"0")</f>
        <v>0</v>
      </c>
      <c r="N27" s="8"/>
      <c r="O27" s="33" t="str">
        <f>IFERROR(VLOOKUP($M27,'Informations sur les produits'!$A$3:$H$10000,8,FALSE),"0")</f>
        <v>0</v>
      </c>
      <c r="P27" s="33">
        <f t="shared" si="0"/>
        <v>0</v>
      </c>
      <c r="Q27" s="31" t="str">
        <f t="shared" si="1"/>
        <v/>
      </c>
      <c r="R27" s="32" t="str">
        <f>IFERROR(VLOOKUP($D27,'Informations sur les produits'!$A$3:$B$15000,2,FALSE),"")</f>
        <v/>
      </c>
      <c r="V27">
        <f t="shared" si="2"/>
        <v>0</v>
      </c>
      <c r="W27">
        <f t="shared" si="3"/>
        <v>0</v>
      </c>
    </row>
    <row r="28" spans="5:23" x14ac:dyDescent="0.25">
      <c r="E28" s="4"/>
      <c r="F28" s="4"/>
      <c r="G28" s="33" t="str">
        <f>IFERROR(VLOOKUP($D28,'Informations sur les produits'!$A$3:$H$10000,8,FALSE),"0")</f>
        <v>0</v>
      </c>
      <c r="K28" s="4"/>
      <c r="L28" s="33" t="str">
        <f>IFERROR(VLOOKUP($J28,'Informations sur les produits'!$A$3:$H$10000,8,FALSE),"0")</f>
        <v>0</v>
      </c>
      <c r="N28" s="8"/>
      <c r="O28" s="33" t="str">
        <f>IFERROR(VLOOKUP($M28,'Informations sur les produits'!$A$3:$H$10000,8,FALSE),"0")</f>
        <v>0</v>
      </c>
      <c r="P28" s="33">
        <f t="shared" si="0"/>
        <v>0</v>
      </c>
      <c r="Q28" s="31" t="str">
        <f t="shared" si="1"/>
        <v/>
      </c>
      <c r="R28" s="32" t="str">
        <f>IFERROR(VLOOKUP($D28,'Informations sur les produits'!$A$3:$B$15000,2,FALSE),"")</f>
        <v/>
      </c>
      <c r="V28">
        <f t="shared" si="2"/>
        <v>0</v>
      </c>
      <c r="W28">
        <f t="shared" si="3"/>
        <v>0</v>
      </c>
    </row>
    <row r="29" spans="5:23" x14ac:dyDescent="0.25">
      <c r="E29" s="4"/>
      <c r="F29" s="4"/>
      <c r="G29" s="33" t="str">
        <f>IFERROR(VLOOKUP($D29,'Informations sur les produits'!$A$3:$H$10000,8,FALSE),"0")</f>
        <v>0</v>
      </c>
      <c r="K29" s="4"/>
      <c r="L29" s="33" t="str">
        <f>IFERROR(VLOOKUP($J29,'Informations sur les produits'!$A$3:$H$10000,8,FALSE),"0")</f>
        <v>0</v>
      </c>
      <c r="N29" s="8"/>
      <c r="O29" s="33" t="str">
        <f>IFERROR(VLOOKUP($M29,'Informations sur les produits'!$A$3:$H$10000,8,FALSE),"0")</f>
        <v>0</v>
      </c>
      <c r="P29" s="33">
        <f t="shared" si="0"/>
        <v>0</v>
      </c>
      <c r="Q29" s="31" t="str">
        <f t="shared" si="1"/>
        <v/>
      </c>
      <c r="R29" s="32" t="str">
        <f>IFERROR(VLOOKUP($D29,'Informations sur les produits'!$A$3:$B$15000,2,FALSE),"")</f>
        <v/>
      </c>
      <c r="V29">
        <f t="shared" si="2"/>
        <v>0</v>
      </c>
      <c r="W29">
        <f t="shared" si="3"/>
        <v>0</v>
      </c>
    </row>
    <row r="30" spans="5:23" x14ac:dyDescent="0.25">
      <c r="E30" s="4"/>
      <c r="F30" s="4"/>
      <c r="G30" s="33" t="str">
        <f>IFERROR(VLOOKUP($D30,'Informations sur les produits'!$A$3:$H$10000,8,FALSE),"0")</f>
        <v>0</v>
      </c>
      <c r="K30" s="4"/>
      <c r="L30" s="33" t="str">
        <f>IFERROR(VLOOKUP($J30,'Informations sur les produits'!$A$3:$H$10000,8,FALSE),"0")</f>
        <v>0</v>
      </c>
      <c r="N30" s="8"/>
      <c r="O30" s="33" t="str">
        <f>IFERROR(VLOOKUP($M30,'Informations sur les produits'!$A$3:$H$10000,8,FALSE),"0")</f>
        <v>0</v>
      </c>
      <c r="P30" s="33">
        <f t="shared" si="0"/>
        <v>0</v>
      </c>
      <c r="Q30" s="31" t="str">
        <f t="shared" si="1"/>
        <v/>
      </c>
      <c r="R30" s="32" t="str">
        <f>IFERROR(VLOOKUP($D30,'Informations sur les produits'!$A$3:$B$15000,2,FALSE),"")</f>
        <v/>
      </c>
      <c r="V30">
        <f t="shared" si="2"/>
        <v>0</v>
      </c>
      <c r="W30">
        <f t="shared" si="3"/>
        <v>0</v>
      </c>
    </row>
    <row r="31" spans="5:23" x14ac:dyDescent="0.25">
      <c r="E31" s="4"/>
      <c r="F31" s="4"/>
      <c r="G31" s="33" t="str">
        <f>IFERROR(VLOOKUP($D31,'Informations sur les produits'!$A$3:$H$10000,8,FALSE),"0")</f>
        <v>0</v>
      </c>
      <c r="K31" s="4"/>
      <c r="L31" s="33" t="str">
        <f>IFERROR(VLOOKUP($J31,'Informations sur les produits'!$A$3:$H$10000,8,FALSE),"0")</f>
        <v>0</v>
      </c>
      <c r="N31" s="8"/>
      <c r="O31" s="33" t="str">
        <f>IFERROR(VLOOKUP($M31,'Informations sur les produits'!$A$3:$H$10000,8,FALSE),"0")</f>
        <v>0</v>
      </c>
      <c r="P31" s="33">
        <f t="shared" si="0"/>
        <v>0</v>
      </c>
      <c r="Q31" s="31" t="str">
        <f t="shared" si="1"/>
        <v/>
      </c>
      <c r="R31" s="32" t="str">
        <f>IFERROR(VLOOKUP($D31,'Informations sur les produits'!$A$3:$B$15000,2,FALSE),"")</f>
        <v/>
      </c>
      <c r="V31">
        <f t="shared" si="2"/>
        <v>0</v>
      </c>
      <c r="W31">
        <f t="shared" si="3"/>
        <v>0</v>
      </c>
    </row>
    <row r="32" spans="5:23" x14ac:dyDescent="0.25">
      <c r="E32" s="4"/>
      <c r="F32" s="4"/>
      <c r="G32" s="33" t="str">
        <f>IFERROR(VLOOKUP($D32,'Informations sur les produits'!$A$3:$H$10000,8,FALSE),"0")</f>
        <v>0</v>
      </c>
      <c r="K32" s="4"/>
      <c r="L32" s="33" t="str">
        <f>IFERROR(VLOOKUP($J32,'Informations sur les produits'!$A$3:$H$10000,8,FALSE),"0")</f>
        <v>0</v>
      </c>
      <c r="N32" s="8"/>
      <c r="O32" s="33" t="str">
        <f>IFERROR(VLOOKUP($M32,'Informations sur les produits'!$A$3:$H$10000,8,FALSE),"0")</f>
        <v>0</v>
      </c>
      <c r="P32" s="33">
        <f t="shared" si="0"/>
        <v>0</v>
      </c>
      <c r="Q32" s="31" t="str">
        <f t="shared" si="1"/>
        <v/>
      </c>
      <c r="R32" s="32" t="str">
        <f>IFERROR(VLOOKUP($D32,'Informations sur les produits'!$A$3:$B$15000,2,FALSE),"")</f>
        <v/>
      </c>
      <c r="V32">
        <f t="shared" si="2"/>
        <v>0</v>
      </c>
      <c r="W32">
        <f t="shared" si="3"/>
        <v>0</v>
      </c>
    </row>
    <row r="33" spans="5:23" x14ac:dyDescent="0.25">
      <c r="E33" s="4"/>
      <c r="F33" s="4"/>
      <c r="G33" s="33" t="str">
        <f>IFERROR(VLOOKUP($D33,'Informations sur les produits'!$A$3:$H$10000,8,FALSE),"0")</f>
        <v>0</v>
      </c>
      <c r="K33" s="4"/>
      <c r="L33" s="33" t="str">
        <f>IFERROR(VLOOKUP($J33,'Informations sur les produits'!$A$3:$H$10000,8,FALSE),"0")</f>
        <v>0</v>
      </c>
      <c r="N33" s="8"/>
      <c r="O33" s="33" t="str">
        <f>IFERROR(VLOOKUP($M33,'Informations sur les produits'!$A$3:$H$10000,8,FALSE),"0")</f>
        <v>0</v>
      </c>
      <c r="P33" s="33">
        <f t="shared" si="0"/>
        <v>0</v>
      </c>
      <c r="Q33" s="31" t="str">
        <f t="shared" si="1"/>
        <v/>
      </c>
      <c r="R33" s="32" t="str">
        <f>IFERROR(VLOOKUP($D33,'Informations sur les produits'!$A$3:$B$15000,2,FALSE),"")</f>
        <v/>
      </c>
      <c r="V33">
        <f t="shared" si="2"/>
        <v>0</v>
      </c>
      <c r="W33">
        <f t="shared" si="3"/>
        <v>0</v>
      </c>
    </row>
    <row r="34" spans="5:23" x14ac:dyDescent="0.25">
      <c r="E34" s="4"/>
      <c r="F34" s="4"/>
      <c r="G34" s="33" t="str">
        <f>IFERROR(VLOOKUP($D34,'Informations sur les produits'!$A$3:$H$10000,8,FALSE),"0")</f>
        <v>0</v>
      </c>
      <c r="K34" s="4"/>
      <c r="L34" s="33" t="str">
        <f>IFERROR(VLOOKUP($J34,'Informations sur les produits'!$A$3:$H$10000,8,FALSE),"0")</f>
        <v>0</v>
      </c>
      <c r="N34" s="8"/>
      <c r="O34" s="33" t="str">
        <f>IFERROR(VLOOKUP($M34,'Informations sur les produits'!$A$3:$H$10000,8,FALSE),"0")</f>
        <v>0</v>
      </c>
      <c r="P34" s="33">
        <f t="shared" si="0"/>
        <v>0</v>
      </c>
      <c r="Q34" s="31" t="str">
        <f t="shared" si="1"/>
        <v/>
      </c>
      <c r="R34" s="32" t="str">
        <f>IFERROR(VLOOKUP($D34,'Informations sur les produits'!$A$3:$B$15000,2,FALSE),"")</f>
        <v/>
      </c>
      <c r="V34">
        <f t="shared" si="2"/>
        <v>0</v>
      </c>
      <c r="W34">
        <f t="shared" si="3"/>
        <v>0</v>
      </c>
    </row>
    <row r="35" spans="5:23" x14ac:dyDescent="0.25">
      <c r="E35" s="4"/>
      <c r="F35" s="4"/>
      <c r="G35" s="33" t="str">
        <f>IFERROR(VLOOKUP($D35,'Informations sur les produits'!$A$3:$H$10000,8,FALSE),"0")</f>
        <v>0</v>
      </c>
      <c r="K35" s="4"/>
      <c r="L35" s="33" t="str">
        <f>IFERROR(VLOOKUP($J35,'Informations sur les produits'!$A$3:$H$10000,8,FALSE),"0")</f>
        <v>0</v>
      </c>
      <c r="N35" s="8"/>
      <c r="O35" s="33" t="str">
        <f>IFERROR(VLOOKUP($M35,'Informations sur les produits'!$A$3:$H$10000,8,FALSE),"0")</f>
        <v>0</v>
      </c>
      <c r="P35" s="33">
        <f t="shared" si="0"/>
        <v>0</v>
      </c>
      <c r="Q35" s="31" t="str">
        <f t="shared" si="1"/>
        <v/>
      </c>
      <c r="R35" s="32" t="str">
        <f>IFERROR(VLOOKUP($D35,'Informations sur les produits'!$A$3:$B$15000,2,FALSE),"")</f>
        <v/>
      </c>
      <c r="V35">
        <f t="shared" si="2"/>
        <v>0</v>
      </c>
      <c r="W35">
        <f t="shared" si="3"/>
        <v>0</v>
      </c>
    </row>
    <row r="36" spans="5:23" x14ac:dyDescent="0.25">
      <c r="E36" s="4"/>
      <c r="F36" s="4"/>
      <c r="G36" s="33" t="str">
        <f>IFERROR(VLOOKUP($D36,'Informations sur les produits'!$A$3:$H$10000,8,FALSE),"0")</f>
        <v>0</v>
      </c>
      <c r="K36" s="4"/>
      <c r="L36" s="33" t="str">
        <f>IFERROR(VLOOKUP($J36,'Informations sur les produits'!$A$3:$H$10000,8,FALSE),"0")</f>
        <v>0</v>
      </c>
      <c r="N36" s="8"/>
      <c r="O36" s="33" t="str">
        <f>IFERROR(VLOOKUP($M36,'Informations sur les produits'!$A$3:$H$10000,8,FALSE),"0")</f>
        <v>0</v>
      </c>
      <c r="P36" s="33">
        <f t="shared" si="0"/>
        <v>0</v>
      </c>
      <c r="Q36" s="31" t="str">
        <f t="shared" si="1"/>
        <v/>
      </c>
      <c r="R36" s="32" t="str">
        <f>IFERROR(VLOOKUP($D36,'Informations sur les produits'!$A$3:$B$15000,2,FALSE),"")</f>
        <v/>
      </c>
      <c r="V36">
        <f t="shared" si="2"/>
        <v>0</v>
      </c>
      <c r="W36">
        <f t="shared" si="3"/>
        <v>0</v>
      </c>
    </row>
    <row r="37" spans="5:23" x14ac:dyDescent="0.25">
      <c r="E37" s="4"/>
      <c r="F37" s="4"/>
      <c r="G37" s="33" t="str">
        <f>IFERROR(VLOOKUP($D37,'Informations sur les produits'!$A$3:$H$10000,8,FALSE),"0")</f>
        <v>0</v>
      </c>
      <c r="K37" s="4"/>
      <c r="L37" s="33" t="str">
        <f>IFERROR(VLOOKUP($J37,'Informations sur les produits'!$A$3:$H$10000,8,FALSE),"0")</f>
        <v>0</v>
      </c>
      <c r="N37" s="8"/>
      <c r="O37" s="33" t="str">
        <f>IFERROR(VLOOKUP($M37,'Informations sur les produits'!$A$3:$H$10000,8,FALSE),"0")</f>
        <v>0</v>
      </c>
      <c r="P37" s="33">
        <f t="shared" si="0"/>
        <v>0</v>
      </c>
      <c r="Q37" s="31" t="str">
        <f t="shared" si="1"/>
        <v/>
      </c>
      <c r="R37" s="32" t="str">
        <f>IFERROR(VLOOKUP($D37,'Informations sur les produits'!$A$3:$B$15000,2,FALSE),"")</f>
        <v/>
      </c>
      <c r="V37">
        <f t="shared" si="2"/>
        <v>0</v>
      </c>
      <c r="W37">
        <f t="shared" si="3"/>
        <v>0</v>
      </c>
    </row>
    <row r="38" spans="5:23" x14ac:dyDescent="0.25">
      <c r="E38" s="4"/>
      <c r="F38" s="4"/>
      <c r="G38" s="33" t="str">
        <f>IFERROR(VLOOKUP($D38,'Informations sur les produits'!$A$3:$H$10000,8,FALSE),"0")</f>
        <v>0</v>
      </c>
      <c r="K38" s="4"/>
      <c r="L38" s="33" t="str">
        <f>IFERROR(VLOOKUP($J38,'Informations sur les produits'!$A$3:$H$10000,8,FALSE),"0")</f>
        <v>0</v>
      </c>
      <c r="N38" s="8"/>
      <c r="O38" s="33" t="str">
        <f>IFERROR(VLOOKUP($M38,'Informations sur les produits'!$A$3:$H$10000,8,FALSE),"0")</f>
        <v>0</v>
      </c>
      <c r="P38" s="33">
        <f t="shared" si="0"/>
        <v>0</v>
      </c>
      <c r="Q38" s="31" t="str">
        <f t="shared" si="1"/>
        <v/>
      </c>
      <c r="R38" s="32" t="str">
        <f>IFERROR(VLOOKUP($D38,'Informations sur les produits'!$A$3:$B$15000,2,FALSE),"")</f>
        <v/>
      </c>
      <c r="V38">
        <f t="shared" si="2"/>
        <v>0</v>
      </c>
      <c r="W38">
        <f t="shared" si="3"/>
        <v>0</v>
      </c>
    </row>
    <row r="39" spans="5:23" x14ac:dyDescent="0.25">
      <c r="E39" s="4"/>
      <c r="F39" s="4"/>
      <c r="G39" s="33" t="str">
        <f>IFERROR(VLOOKUP($D39,'Informations sur les produits'!$A$3:$H$10000,8,FALSE),"0")</f>
        <v>0</v>
      </c>
      <c r="K39" s="4"/>
      <c r="L39" s="33" t="str">
        <f>IFERROR(VLOOKUP($J39,'Informations sur les produits'!$A$3:$H$10000,8,FALSE),"0")</f>
        <v>0</v>
      </c>
      <c r="N39" s="8"/>
      <c r="O39" s="33" t="str">
        <f>IFERROR(VLOOKUP($M39,'Informations sur les produits'!$A$3:$H$10000,8,FALSE),"0")</f>
        <v>0</v>
      </c>
      <c r="P39" s="33">
        <f t="shared" si="0"/>
        <v>0</v>
      </c>
      <c r="Q39" s="31" t="str">
        <f t="shared" si="1"/>
        <v/>
      </c>
      <c r="R39" s="32" t="str">
        <f>IFERROR(VLOOKUP($D39,'Informations sur les produits'!$A$3:$B$15000,2,FALSE),"")</f>
        <v/>
      </c>
      <c r="V39">
        <f t="shared" si="2"/>
        <v>0</v>
      </c>
      <c r="W39">
        <f t="shared" si="3"/>
        <v>0</v>
      </c>
    </row>
    <row r="40" spans="5:23" x14ac:dyDescent="0.25">
      <c r="E40" s="4"/>
      <c r="F40" s="4"/>
      <c r="G40" s="33" t="str">
        <f>IFERROR(VLOOKUP($D40,'Informations sur les produits'!$A$3:$H$10000,8,FALSE),"0")</f>
        <v>0</v>
      </c>
      <c r="K40" s="4"/>
      <c r="L40" s="33" t="str">
        <f>IFERROR(VLOOKUP($J40,'Informations sur les produits'!$A$3:$H$10000,8,FALSE),"0")</f>
        <v>0</v>
      </c>
      <c r="N40" s="8"/>
      <c r="O40" s="33" t="str">
        <f>IFERROR(VLOOKUP($M40,'Informations sur les produits'!$A$3:$H$10000,8,FALSE),"0")</f>
        <v>0</v>
      </c>
      <c r="P40" s="33">
        <f t="shared" si="0"/>
        <v>0</v>
      </c>
      <c r="Q40" s="31" t="str">
        <f t="shared" si="1"/>
        <v/>
      </c>
      <c r="R40" s="32" t="str">
        <f>IFERROR(VLOOKUP($D40,'Informations sur les produits'!$A$3:$B$15000,2,FALSE),"")</f>
        <v/>
      </c>
      <c r="V40">
        <f t="shared" si="2"/>
        <v>0</v>
      </c>
      <c r="W40">
        <f t="shared" si="3"/>
        <v>0</v>
      </c>
    </row>
    <row r="41" spans="5:23" x14ac:dyDescent="0.25">
      <c r="E41" s="4"/>
      <c r="F41" s="4"/>
      <c r="G41" s="33" t="str">
        <f>IFERROR(VLOOKUP($D41,'Informations sur les produits'!$A$3:$H$10000,8,FALSE),"0")</f>
        <v>0</v>
      </c>
      <c r="K41" s="4"/>
      <c r="L41" s="33" t="str">
        <f>IFERROR(VLOOKUP($J41,'Informations sur les produits'!$A$3:$H$10000,8,FALSE),"0")</f>
        <v>0</v>
      </c>
      <c r="N41" s="8"/>
      <c r="O41" s="33" t="str">
        <f>IFERROR(VLOOKUP($M41,'Informations sur les produits'!$A$3:$H$10000,8,FALSE),"0")</f>
        <v>0</v>
      </c>
      <c r="P41" s="33">
        <f t="shared" si="0"/>
        <v>0</v>
      </c>
      <c r="Q41" s="31" t="str">
        <f t="shared" si="1"/>
        <v/>
      </c>
      <c r="R41" s="32" t="str">
        <f>IFERROR(VLOOKUP($D41,'Informations sur les produits'!$A$3:$B$15000,2,FALSE),"")</f>
        <v/>
      </c>
      <c r="V41">
        <f t="shared" si="2"/>
        <v>0</v>
      </c>
      <c r="W41">
        <f t="shared" si="3"/>
        <v>0</v>
      </c>
    </row>
    <row r="42" spans="5:23" x14ac:dyDescent="0.25">
      <c r="E42" s="4"/>
      <c r="F42" s="4"/>
      <c r="G42" s="33" t="str">
        <f>IFERROR(VLOOKUP($D42,'Informations sur les produits'!$A$3:$H$10000,8,FALSE),"0")</f>
        <v>0</v>
      </c>
      <c r="K42" s="4"/>
      <c r="L42" s="33" t="str">
        <f>IFERROR(VLOOKUP($J42,'Informations sur les produits'!$A$3:$H$10000,8,FALSE),"0")</f>
        <v>0</v>
      </c>
      <c r="N42" s="8"/>
      <c r="O42" s="33" t="str">
        <f>IFERROR(VLOOKUP($M42,'Informations sur les produits'!$A$3:$H$10000,8,FALSE),"0")</f>
        <v>0</v>
      </c>
      <c r="P42" s="33">
        <f t="shared" si="0"/>
        <v>0</v>
      </c>
      <c r="Q42" s="31" t="str">
        <f t="shared" si="1"/>
        <v/>
      </c>
      <c r="R42" s="32" t="str">
        <f>IFERROR(VLOOKUP($D42,'Informations sur les produits'!$A$3:$B$15000,2,FALSE),"")</f>
        <v/>
      </c>
      <c r="V42">
        <f t="shared" si="2"/>
        <v>0</v>
      </c>
      <c r="W42">
        <f t="shared" si="3"/>
        <v>0</v>
      </c>
    </row>
    <row r="43" spans="5:23" x14ac:dyDescent="0.25">
      <c r="E43" s="4"/>
      <c r="F43" s="4"/>
      <c r="G43" s="33" t="str">
        <f>IFERROR(VLOOKUP($D43,'Informations sur les produits'!$A$3:$H$10000,8,FALSE),"0")</f>
        <v>0</v>
      </c>
      <c r="K43" s="4"/>
      <c r="L43" s="33" t="str">
        <f>IFERROR(VLOOKUP($J43,'Informations sur les produits'!$A$3:$H$10000,8,FALSE),"0")</f>
        <v>0</v>
      </c>
      <c r="N43" s="8"/>
      <c r="O43" s="33" t="str">
        <f>IFERROR(VLOOKUP($M43,'Informations sur les produits'!$A$3:$H$10000,8,FALSE),"0")</f>
        <v>0</v>
      </c>
      <c r="P43" s="33">
        <f t="shared" si="0"/>
        <v>0</v>
      </c>
      <c r="Q43" s="31" t="str">
        <f t="shared" si="1"/>
        <v/>
      </c>
      <c r="R43" s="32" t="str">
        <f>IFERROR(VLOOKUP($D43,'Informations sur les produits'!$A$3:$B$15000,2,FALSE),"")</f>
        <v/>
      </c>
      <c r="V43">
        <f t="shared" si="2"/>
        <v>0</v>
      </c>
      <c r="W43">
        <f t="shared" si="3"/>
        <v>0</v>
      </c>
    </row>
    <row r="44" spans="5:23" x14ac:dyDescent="0.25">
      <c r="E44" s="4"/>
      <c r="F44" s="4"/>
      <c r="G44" s="33" t="str">
        <f>IFERROR(VLOOKUP($D44,'Informations sur les produits'!$A$3:$H$10000,8,FALSE),"0")</f>
        <v>0</v>
      </c>
      <c r="K44" s="4"/>
      <c r="L44" s="33" t="str">
        <f>IFERROR(VLOOKUP($J44,'Informations sur les produits'!$A$3:$H$10000,8,FALSE),"0")</f>
        <v>0</v>
      </c>
      <c r="N44" s="8"/>
      <c r="O44" s="33" t="str">
        <f>IFERROR(VLOOKUP($M44,'Informations sur les produits'!$A$3:$H$10000,8,FALSE),"0")</f>
        <v>0</v>
      </c>
      <c r="P44" s="33">
        <f t="shared" si="0"/>
        <v>0</v>
      </c>
      <c r="Q44" s="31" t="str">
        <f t="shared" si="1"/>
        <v/>
      </c>
      <c r="R44" s="32" t="str">
        <f>IFERROR(VLOOKUP($D44,'Informations sur les produits'!$A$3:$B$15000,2,FALSE),"")</f>
        <v/>
      </c>
      <c r="V44">
        <f t="shared" si="2"/>
        <v>0</v>
      </c>
      <c r="W44">
        <f t="shared" si="3"/>
        <v>0</v>
      </c>
    </row>
    <row r="45" spans="5:23" x14ac:dyDescent="0.25">
      <c r="E45" s="4"/>
      <c r="F45" s="4"/>
      <c r="G45" s="33" t="str">
        <f>IFERROR(VLOOKUP($D45,'Informations sur les produits'!$A$3:$H$10000,8,FALSE),"0")</f>
        <v>0</v>
      </c>
      <c r="K45" s="4"/>
      <c r="L45" s="33" t="str">
        <f>IFERROR(VLOOKUP($J45,'Informations sur les produits'!$A$3:$H$10000,8,FALSE),"0")</f>
        <v>0</v>
      </c>
      <c r="N45" s="8"/>
      <c r="O45" s="33" t="str">
        <f>IFERROR(VLOOKUP($M45,'Informations sur les produits'!$A$3:$H$10000,8,FALSE),"0")</f>
        <v>0</v>
      </c>
      <c r="P45" s="33">
        <f t="shared" si="0"/>
        <v>0</v>
      </c>
      <c r="Q45" s="31" t="str">
        <f t="shared" si="1"/>
        <v/>
      </c>
      <c r="R45" s="32" t="str">
        <f>IFERROR(VLOOKUP($D45,'Informations sur les produits'!$A$3:$B$15000,2,FALSE),"")</f>
        <v/>
      </c>
      <c r="V45">
        <f t="shared" si="2"/>
        <v>0</v>
      </c>
      <c r="W45">
        <f t="shared" si="3"/>
        <v>0</v>
      </c>
    </row>
    <row r="46" spans="5:23" x14ac:dyDescent="0.25">
      <c r="E46" s="4"/>
      <c r="F46" s="4"/>
      <c r="G46" s="33" t="str">
        <f>IFERROR(VLOOKUP($D46,'Informations sur les produits'!$A$3:$H$10000,8,FALSE),"0")</f>
        <v>0</v>
      </c>
      <c r="K46" s="4"/>
      <c r="L46" s="33" t="str">
        <f>IFERROR(VLOOKUP($J46,'Informations sur les produits'!$A$3:$H$10000,8,FALSE),"0")</f>
        <v>0</v>
      </c>
      <c r="N46" s="8"/>
      <c r="O46" s="33" t="str">
        <f>IFERROR(VLOOKUP($M46,'Informations sur les produits'!$A$3:$H$10000,8,FALSE),"0")</f>
        <v>0</v>
      </c>
      <c r="P46" s="33">
        <f t="shared" si="0"/>
        <v>0</v>
      </c>
      <c r="Q46" s="31" t="str">
        <f t="shared" si="1"/>
        <v/>
      </c>
      <c r="R46" s="32" t="str">
        <f>IFERROR(VLOOKUP($D46,'Informations sur les produits'!$A$3:$B$15000,2,FALSE),"")</f>
        <v/>
      </c>
      <c r="V46">
        <f t="shared" si="2"/>
        <v>0</v>
      </c>
      <c r="W46">
        <f t="shared" si="3"/>
        <v>0</v>
      </c>
    </row>
    <row r="47" spans="5:23" x14ac:dyDescent="0.25">
      <c r="E47" s="4"/>
      <c r="F47" s="4"/>
      <c r="G47" s="33" t="str">
        <f>IFERROR(VLOOKUP($D47,'Informations sur les produits'!$A$3:$H$10000,8,FALSE),"0")</f>
        <v>0</v>
      </c>
      <c r="K47" s="4"/>
      <c r="L47" s="33" t="str">
        <f>IFERROR(VLOOKUP($J47,'Informations sur les produits'!$A$3:$H$10000,8,FALSE),"0")</f>
        <v>0</v>
      </c>
      <c r="N47" s="8"/>
      <c r="O47" s="33" t="str">
        <f>IFERROR(VLOOKUP($M47,'Informations sur les produits'!$A$3:$H$10000,8,FALSE),"0")</f>
        <v>0</v>
      </c>
      <c r="P47" s="33">
        <f t="shared" si="0"/>
        <v>0</v>
      </c>
      <c r="Q47" s="31" t="str">
        <f t="shared" si="1"/>
        <v/>
      </c>
      <c r="R47" s="32" t="str">
        <f>IFERROR(VLOOKUP($D47,'Informations sur les produits'!$A$3:$B$15000,2,FALSE),"")</f>
        <v/>
      </c>
      <c r="V47">
        <f t="shared" si="2"/>
        <v>0</v>
      </c>
      <c r="W47">
        <f t="shared" si="3"/>
        <v>0</v>
      </c>
    </row>
    <row r="48" spans="5:23" x14ac:dyDescent="0.25">
      <c r="E48" s="4"/>
      <c r="F48" s="4"/>
      <c r="G48" s="33" t="str">
        <f>IFERROR(VLOOKUP($D48,'Informations sur les produits'!$A$3:$H$10000,8,FALSE),"0")</f>
        <v>0</v>
      </c>
      <c r="K48" s="4"/>
      <c r="L48" s="33" t="str">
        <f>IFERROR(VLOOKUP($J48,'Informations sur les produits'!$A$3:$H$10000,8,FALSE),"0")</f>
        <v>0</v>
      </c>
      <c r="N48" s="8"/>
      <c r="O48" s="33" t="str">
        <f>IFERROR(VLOOKUP($M48,'Informations sur les produits'!$A$3:$H$10000,8,FALSE),"0")</f>
        <v>0</v>
      </c>
      <c r="P48" s="33">
        <f t="shared" si="0"/>
        <v>0</v>
      </c>
      <c r="Q48" s="31" t="str">
        <f t="shared" si="1"/>
        <v/>
      </c>
      <c r="R48" s="32" t="str">
        <f>IFERROR(VLOOKUP($D48,'Informations sur les produits'!$A$3:$B$15000,2,FALSE),"")</f>
        <v/>
      </c>
      <c r="V48">
        <f t="shared" si="2"/>
        <v>0</v>
      </c>
      <c r="W48">
        <f t="shared" si="3"/>
        <v>0</v>
      </c>
    </row>
    <row r="49" spans="5:23" x14ac:dyDescent="0.25">
      <c r="E49" s="4"/>
      <c r="F49" s="4"/>
      <c r="G49" s="33" t="str">
        <f>IFERROR(VLOOKUP($D49,'Informations sur les produits'!$A$3:$H$10000,8,FALSE),"0")</f>
        <v>0</v>
      </c>
      <c r="K49" s="4"/>
      <c r="L49" s="33" t="str">
        <f>IFERROR(VLOOKUP($J49,'Informations sur les produits'!$A$3:$H$10000,8,FALSE),"0")</f>
        <v>0</v>
      </c>
      <c r="N49" s="8"/>
      <c r="O49" s="33" t="str">
        <f>IFERROR(VLOOKUP($M49,'Informations sur les produits'!$A$3:$H$10000,8,FALSE),"0")</f>
        <v>0</v>
      </c>
      <c r="P49" s="33">
        <f t="shared" si="0"/>
        <v>0</v>
      </c>
      <c r="Q49" s="31" t="str">
        <f t="shared" si="1"/>
        <v/>
      </c>
      <c r="R49" s="32" t="str">
        <f>IFERROR(VLOOKUP($D49,'Informations sur les produits'!$A$3:$B$15000,2,FALSE),"")</f>
        <v/>
      </c>
      <c r="V49">
        <f t="shared" si="2"/>
        <v>0</v>
      </c>
      <c r="W49">
        <f t="shared" si="3"/>
        <v>0</v>
      </c>
    </row>
    <row r="50" spans="5:23" x14ac:dyDescent="0.25">
      <c r="E50" s="4"/>
      <c r="F50" s="4"/>
      <c r="G50" s="33" t="str">
        <f>IFERROR(VLOOKUP($D50,'Informations sur les produits'!$A$3:$H$10000,8,FALSE),"0")</f>
        <v>0</v>
      </c>
      <c r="K50" s="4"/>
      <c r="L50" s="33" t="str">
        <f>IFERROR(VLOOKUP($J50,'Informations sur les produits'!$A$3:$H$10000,8,FALSE),"0")</f>
        <v>0</v>
      </c>
      <c r="N50" s="8"/>
      <c r="O50" s="33" t="str">
        <f>IFERROR(VLOOKUP($M50,'Informations sur les produits'!$A$3:$H$10000,8,FALSE),"0")</f>
        <v>0</v>
      </c>
      <c r="P50" s="33">
        <f t="shared" si="0"/>
        <v>0</v>
      </c>
      <c r="Q50" s="31" t="str">
        <f t="shared" si="1"/>
        <v/>
      </c>
      <c r="R50" s="32" t="str">
        <f>IFERROR(VLOOKUP($D50,'Informations sur les produits'!$A$3:$B$15000,2,FALSE),"")</f>
        <v/>
      </c>
      <c r="V50">
        <f t="shared" si="2"/>
        <v>0</v>
      </c>
      <c r="W50">
        <f t="shared" si="3"/>
        <v>0</v>
      </c>
    </row>
    <row r="51" spans="5:23" x14ac:dyDescent="0.25">
      <c r="E51" s="4"/>
      <c r="F51" s="4"/>
      <c r="G51" s="33" t="str">
        <f>IFERROR(VLOOKUP($D51,'Informations sur les produits'!$A$3:$H$10000,8,FALSE),"0")</f>
        <v>0</v>
      </c>
      <c r="K51" s="4"/>
      <c r="L51" s="33" t="str">
        <f>IFERROR(VLOOKUP($J51,'Informations sur les produits'!$A$3:$H$10000,8,FALSE),"0")</f>
        <v>0</v>
      </c>
      <c r="N51" s="8"/>
      <c r="O51" s="33" t="str">
        <f>IFERROR(VLOOKUP($M51,'Informations sur les produits'!$A$3:$H$10000,8,FALSE),"0")</f>
        <v>0</v>
      </c>
      <c r="P51" s="33">
        <f t="shared" si="0"/>
        <v>0</v>
      </c>
      <c r="Q51" s="31" t="str">
        <f t="shared" si="1"/>
        <v/>
      </c>
      <c r="R51" s="32" t="str">
        <f>IFERROR(VLOOKUP($D51,'Informations sur les produits'!$A$3:$B$15000,2,FALSE),"")</f>
        <v/>
      </c>
      <c r="V51">
        <f t="shared" si="2"/>
        <v>0</v>
      </c>
      <c r="W51">
        <f t="shared" si="3"/>
        <v>0</v>
      </c>
    </row>
    <row r="52" spans="5:23" x14ac:dyDescent="0.25">
      <c r="E52" s="4"/>
      <c r="F52" s="4"/>
      <c r="G52" s="33" t="str">
        <f>IFERROR(VLOOKUP($D52,'Informations sur les produits'!$A$3:$H$10000,8,FALSE),"0")</f>
        <v>0</v>
      </c>
      <c r="K52" s="4"/>
      <c r="L52" s="33" t="str">
        <f>IFERROR(VLOOKUP($J52,'Informations sur les produits'!$A$3:$H$10000,8,FALSE),"0")</f>
        <v>0</v>
      </c>
      <c r="N52" s="8"/>
      <c r="O52" s="33" t="str">
        <f>IFERROR(VLOOKUP($M52,'Informations sur les produits'!$A$3:$H$10000,8,FALSE),"0")</f>
        <v>0</v>
      </c>
      <c r="P52" s="33">
        <f t="shared" si="0"/>
        <v>0</v>
      </c>
      <c r="Q52" s="31" t="str">
        <f t="shared" si="1"/>
        <v/>
      </c>
      <c r="R52" s="32" t="str">
        <f>IFERROR(VLOOKUP($D52,'Informations sur les produits'!$A$3:$B$15000,2,FALSE),"")</f>
        <v/>
      </c>
      <c r="V52">
        <f t="shared" si="2"/>
        <v>0</v>
      </c>
      <c r="W52">
        <f t="shared" si="3"/>
        <v>0</v>
      </c>
    </row>
    <row r="53" spans="5:23" x14ac:dyDescent="0.25">
      <c r="E53" s="4"/>
      <c r="F53" s="4"/>
      <c r="G53" s="33" t="str">
        <f>IFERROR(VLOOKUP($D53,'Informations sur les produits'!$A$3:$H$10000,8,FALSE),"0")</f>
        <v>0</v>
      </c>
      <c r="K53" s="4"/>
      <c r="L53" s="33" t="str">
        <f>IFERROR(VLOOKUP($J53,'Informations sur les produits'!$A$3:$H$10000,8,FALSE),"0")</f>
        <v>0</v>
      </c>
      <c r="N53" s="8"/>
      <c r="O53" s="33" t="str">
        <f>IFERROR(VLOOKUP($M53,'Informations sur les produits'!$A$3:$H$10000,8,FALSE),"0")</f>
        <v>0</v>
      </c>
      <c r="P53" s="33">
        <f t="shared" si="0"/>
        <v>0</v>
      </c>
      <c r="Q53" s="31" t="str">
        <f t="shared" si="1"/>
        <v/>
      </c>
      <c r="R53" s="32" t="str">
        <f>IFERROR(VLOOKUP($D53,'Informations sur les produits'!$A$3:$B$15000,2,FALSE),"")</f>
        <v/>
      </c>
      <c r="V53">
        <f t="shared" si="2"/>
        <v>0</v>
      </c>
      <c r="W53">
        <f t="shared" si="3"/>
        <v>0</v>
      </c>
    </row>
    <row r="54" spans="5:23" x14ac:dyDescent="0.25">
      <c r="E54" s="4"/>
      <c r="F54" s="4"/>
      <c r="G54" s="33" t="str">
        <f>IFERROR(VLOOKUP($D54,'Informations sur les produits'!$A$3:$H$10000,8,FALSE),"0")</f>
        <v>0</v>
      </c>
      <c r="K54" s="4"/>
      <c r="L54" s="33" t="str">
        <f>IFERROR(VLOOKUP($J54,'Informations sur les produits'!$A$3:$H$10000,8,FALSE),"0")</f>
        <v>0</v>
      </c>
      <c r="N54" s="8"/>
      <c r="O54" s="33" t="str">
        <f>IFERROR(VLOOKUP($M54,'Informations sur les produits'!$A$3:$H$10000,8,FALSE),"0")</f>
        <v>0</v>
      </c>
      <c r="P54" s="33">
        <f t="shared" si="0"/>
        <v>0</v>
      </c>
      <c r="Q54" s="31" t="str">
        <f t="shared" si="1"/>
        <v/>
      </c>
      <c r="R54" s="32" t="str">
        <f>IFERROR(VLOOKUP($D54,'Informations sur les produits'!$A$3:$B$15000,2,FALSE),"")</f>
        <v/>
      </c>
      <c r="V54">
        <f t="shared" si="2"/>
        <v>0</v>
      </c>
      <c r="W54">
        <f t="shared" si="3"/>
        <v>0</v>
      </c>
    </row>
    <row r="55" spans="5:23" x14ac:dyDescent="0.25">
      <c r="E55" s="4"/>
      <c r="F55" s="4"/>
      <c r="G55" s="33" t="str">
        <f>IFERROR(VLOOKUP($D55,'Informations sur les produits'!$A$3:$H$10000,8,FALSE),"0")</f>
        <v>0</v>
      </c>
      <c r="K55" s="4"/>
      <c r="L55" s="33" t="str">
        <f>IFERROR(VLOOKUP($J55,'Informations sur les produits'!$A$3:$H$10000,8,FALSE),"0")</f>
        <v>0</v>
      </c>
      <c r="N55" s="8"/>
      <c r="O55" s="33" t="str">
        <f>IFERROR(VLOOKUP($M55,'Informations sur les produits'!$A$3:$H$10000,8,FALSE),"0")</f>
        <v>0</v>
      </c>
      <c r="P55" s="33">
        <f t="shared" si="0"/>
        <v>0</v>
      </c>
      <c r="Q55" s="31" t="str">
        <f t="shared" si="1"/>
        <v/>
      </c>
      <c r="R55" s="32" t="str">
        <f>IFERROR(VLOOKUP($D55,'Informations sur les produits'!$A$3:$B$15000,2,FALSE),"")</f>
        <v/>
      </c>
      <c r="V55">
        <f t="shared" si="2"/>
        <v>0</v>
      </c>
      <c r="W55">
        <f t="shared" si="3"/>
        <v>0</v>
      </c>
    </row>
    <row r="56" spans="5:23" x14ac:dyDescent="0.25">
      <c r="E56" s="4"/>
      <c r="F56" s="4"/>
      <c r="G56" s="33" t="str">
        <f>IFERROR(VLOOKUP($D56,'Informations sur les produits'!$A$3:$H$10000,8,FALSE),"0")</f>
        <v>0</v>
      </c>
      <c r="K56" s="4"/>
      <c r="L56" s="33" t="str">
        <f>IFERROR(VLOOKUP($J56,'Informations sur les produits'!$A$3:$H$10000,8,FALSE),"0")</f>
        <v>0</v>
      </c>
      <c r="N56" s="8"/>
      <c r="O56" s="33" t="str">
        <f>IFERROR(VLOOKUP($M56,'Informations sur les produits'!$A$3:$H$10000,8,FALSE),"0")</f>
        <v>0</v>
      </c>
      <c r="P56" s="33">
        <f t="shared" si="0"/>
        <v>0</v>
      </c>
      <c r="Q56" s="31" t="str">
        <f t="shared" si="1"/>
        <v/>
      </c>
      <c r="R56" s="32" t="str">
        <f>IFERROR(VLOOKUP($D56,'Informations sur les produits'!$A$3:$B$15000,2,FALSE),"")</f>
        <v/>
      </c>
      <c r="V56">
        <f t="shared" si="2"/>
        <v>0</v>
      </c>
      <c r="W56">
        <f t="shared" si="3"/>
        <v>0</v>
      </c>
    </row>
    <row r="57" spans="5:23" x14ac:dyDescent="0.25">
      <c r="E57" s="4"/>
      <c r="F57" s="4"/>
      <c r="G57" s="33" t="str">
        <f>IFERROR(VLOOKUP($D57,'Informations sur les produits'!$A$3:$H$10000,8,FALSE),"0")</f>
        <v>0</v>
      </c>
      <c r="K57" s="4"/>
      <c r="L57" s="33" t="str">
        <f>IFERROR(VLOOKUP($J57,'Informations sur les produits'!$A$3:$H$10000,8,FALSE),"0")</f>
        <v>0</v>
      </c>
      <c r="N57" s="8"/>
      <c r="O57" s="33" t="str">
        <f>IFERROR(VLOOKUP($M57,'Informations sur les produits'!$A$3:$H$10000,8,FALSE),"0")</f>
        <v>0</v>
      </c>
      <c r="P57" s="33">
        <f t="shared" si="0"/>
        <v>0</v>
      </c>
      <c r="Q57" s="31" t="str">
        <f t="shared" si="1"/>
        <v/>
      </c>
      <c r="R57" s="32" t="str">
        <f>IFERROR(VLOOKUP($D57,'Informations sur les produits'!$A$3:$B$15000,2,FALSE),"")</f>
        <v/>
      </c>
      <c r="V57">
        <f t="shared" si="2"/>
        <v>0</v>
      </c>
      <c r="W57">
        <f t="shared" si="3"/>
        <v>0</v>
      </c>
    </row>
    <row r="58" spans="5:23" x14ac:dyDescent="0.25">
      <c r="E58" s="4"/>
      <c r="F58" s="4"/>
      <c r="G58" s="33" t="str">
        <f>IFERROR(VLOOKUP($D58,'Informations sur les produits'!$A$3:$H$10000,8,FALSE),"0")</f>
        <v>0</v>
      </c>
      <c r="K58" s="4"/>
      <c r="L58" s="33" t="str">
        <f>IFERROR(VLOOKUP($J58,'Informations sur les produits'!$A$3:$H$10000,8,FALSE),"0")</f>
        <v>0</v>
      </c>
      <c r="N58" s="8"/>
      <c r="O58" s="33" t="str">
        <f>IFERROR(VLOOKUP($M58,'Informations sur les produits'!$A$3:$H$10000,8,FALSE),"0")</f>
        <v>0</v>
      </c>
      <c r="P58" s="33">
        <f t="shared" si="0"/>
        <v>0</v>
      </c>
      <c r="Q58" s="31" t="str">
        <f t="shared" si="1"/>
        <v/>
      </c>
      <c r="R58" s="32" t="str">
        <f>IFERROR(VLOOKUP($D58,'Informations sur les produits'!$A$3:$B$15000,2,FALSE),"")</f>
        <v/>
      </c>
      <c r="V58">
        <f t="shared" si="2"/>
        <v>0</v>
      </c>
      <c r="W58">
        <f t="shared" si="3"/>
        <v>0</v>
      </c>
    </row>
    <row r="59" spans="5:23" x14ac:dyDescent="0.25">
      <c r="E59" s="4"/>
      <c r="F59" s="4"/>
      <c r="G59" s="33" t="str">
        <f>IFERROR(VLOOKUP($D59,'Informations sur les produits'!$A$3:$H$10000,8,FALSE),"0")</f>
        <v>0</v>
      </c>
      <c r="K59" s="4"/>
      <c r="L59" s="33" t="str">
        <f>IFERROR(VLOOKUP($J59,'Informations sur les produits'!$A$3:$H$10000,8,FALSE),"0")</f>
        <v>0</v>
      </c>
      <c r="N59" s="8"/>
      <c r="O59" s="33" t="str">
        <f>IFERROR(VLOOKUP($M59,'Informations sur les produits'!$A$3:$H$10000,8,FALSE),"0")</f>
        <v>0</v>
      </c>
      <c r="P59" s="33">
        <f t="shared" si="0"/>
        <v>0</v>
      </c>
      <c r="Q59" s="31" t="str">
        <f t="shared" si="1"/>
        <v/>
      </c>
      <c r="R59" s="32" t="str">
        <f>IFERROR(VLOOKUP($D59,'Informations sur les produits'!$A$3:$B$15000,2,FALSE),"")</f>
        <v/>
      </c>
      <c r="V59">
        <f t="shared" si="2"/>
        <v>0</v>
      </c>
      <c r="W59">
        <f t="shared" si="3"/>
        <v>0</v>
      </c>
    </row>
    <row r="60" spans="5:23" x14ac:dyDescent="0.25">
      <c r="E60" s="4"/>
      <c r="F60" s="4"/>
      <c r="G60" s="33" t="str">
        <f>IFERROR(VLOOKUP($D60,'Informations sur les produits'!$A$3:$H$10000,8,FALSE),"0")</f>
        <v>0</v>
      </c>
      <c r="K60" s="4"/>
      <c r="L60" s="33" t="str">
        <f>IFERROR(VLOOKUP($J60,'Informations sur les produits'!$A$3:$H$10000,8,FALSE),"0")</f>
        <v>0</v>
      </c>
      <c r="N60" s="8"/>
      <c r="O60" s="33" t="str">
        <f>IFERROR(VLOOKUP($M60,'Informations sur les produits'!$A$3:$H$10000,8,FALSE),"0")</f>
        <v>0</v>
      </c>
      <c r="P60" s="33">
        <f t="shared" si="0"/>
        <v>0</v>
      </c>
      <c r="Q60" s="31" t="str">
        <f t="shared" si="1"/>
        <v/>
      </c>
      <c r="R60" s="32" t="str">
        <f>IFERROR(VLOOKUP($D60,'Informations sur les produits'!$A$3:$B$15000,2,FALSE),"")</f>
        <v/>
      </c>
      <c r="V60">
        <f t="shared" si="2"/>
        <v>0</v>
      </c>
      <c r="W60">
        <f t="shared" si="3"/>
        <v>0</v>
      </c>
    </row>
    <row r="61" spans="5:23" x14ac:dyDescent="0.25">
      <c r="E61" s="4"/>
      <c r="F61" s="4"/>
      <c r="G61" s="33" t="str">
        <f>IFERROR(VLOOKUP($D61,'Informations sur les produits'!$A$3:$H$10000,8,FALSE),"0")</f>
        <v>0</v>
      </c>
      <c r="K61" s="4"/>
      <c r="L61" s="33" t="str">
        <f>IFERROR(VLOOKUP($J61,'Informations sur les produits'!$A$3:$H$10000,8,FALSE),"0")</f>
        <v>0</v>
      </c>
      <c r="N61" s="8"/>
      <c r="O61" s="33" t="str">
        <f>IFERROR(VLOOKUP($M61,'Informations sur les produits'!$A$3:$H$10000,8,FALSE),"0")</f>
        <v>0</v>
      </c>
      <c r="P61" s="33">
        <f t="shared" si="0"/>
        <v>0</v>
      </c>
      <c r="Q61" s="31" t="str">
        <f t="shared" si="1"/>
        <v/>
      </c>
      <c r="R61" s="32" t="str">
        <f>IFERROR(VLOOKUP($D61,'Informations sur les produits'!$A$3:$B$15000,2,FALSE),"")</f>
        <v/>
      </c>
      <c r="V61">
        <f t="shared" si="2"/>
        <v>0</v>
      </c>
      <c r="W61">
        <f t="shared" si="3"/>
        <v>0</v>
      </c>
    </row>
    <row r="62" spans="5:23" x14ac:dyDescent="0.25">
      <c r="E62" s="4"/>
      <c r="F62" s="4"/>
      <c r="G62" s="33" t="str">
        <f>IFERROR(VLOOKUP($D62,'Informations sur les produits'!$A$3:$H$10000,8,FALSE),"0")</f>
        <v>0</v>
      </c>
      <c r="K62" s="4"/>
      <c r="L62" s="33" t="str">
        <f>IFERROR(VLOOKUP($J62,'Informations sur les produits'!$A$3:$H$10000,8,FALSE),"0")</f>
        <v>0</v>
      </c>
      <c r="N62" s="8"/>
      <c r="O62" s="33" t="str">
        <f>IFERROR(VLOOKUP($M62,'Informations sur les produits'!$A$3:$H$10000,8,FALSE),"0")</f>
        <v>0</v>
      </c>
      <c r="P62" s="33">
        <f t="shared" si="0"/>
        <v>0</v>
      </c>
      <c r="Q62" s="31" t="str">
        <f t="shared" si="1"/>
        <v/>
      </c>
      <c r="R62" s="32" t="str">
        <f>IFERROR(VLOOKUP($D62,'Informations sur les produits'!$A$3:$B$15000,2,FALSE),"")</f>
        <v/>
      </c>
      <c r="V62">
        <f t="shared" si="2"/>
        <v>0</v>
      </c>
      <c r="W62">
        <f t="shared" si="3"/>
        <v>0</v>
      </c>
    </row>
    <row r="63" spans="5:23" x14ac:dyDescent="0.25">
      <c r="E63" s="4"/>
      <c r="F63" s="4"/>
      <c r="G63" s="33" t="str">
        <f>IFERROR(VLOOKUP($D63,'Informations sur les produits'!$A$3:$H$10000,8,FALSE),"0")</f>
        <v>0</v>
      </c>
      <c r="K63" s="4"/>
      <c r="L63" s="33" t="str">
        <f>IFERROR(VLOOKUP($J63,'Informations sur les produits'!$A$3:$H$10000,8,FALSE),"0")</f>
        <v>0</v>
      </c>
      <c r="N63" s="8"/>
      <c r="O63" s="33" t="str">
        <f>IFERROR(VLOOKUP($M63,'Informations sur les produits'!$A$3:$H$10000,8,FALSE),"0")</f>
        <v>0</v>
      </c>
      <c r="P63" s="33">
        <f t="shared" si="0"/>
        <v>0</v>
      </c>
      <c r="Q63" s="31" t="str">
        <f t="shared" si="1"/>
        <v/>
      </c>
      <c r="R63" s="32" t="str">
        <f>IFERROR(VLOOKUP($D63,'Informations sur les produits'!$A$3:$B$15000,2,FALSE),"")</f>
        <v/>
      </c>
      <c r="V63">
        <f t="shared" si="2"/>
        <v>0</v>
      </c>
      <c r="W63">
        <f t="shared" si="3"/>
        <v>0</v>
      </c>
    </row>
    <row r="64" spans="5:23" x14ac:dyDescent="0.25">
      <c r="E64" s="4"/>
      <c r="F64" s="4"/>
      <c r="G64" s="33" t="str">
        <f>IFERROR(VLOOKUP($D64,'Informations sur les produits'!$A$3:$H$10000,8,FALSE),"0")</f>
        <v>0</v>
      </c>
      <c r="K64" s="4"/>
      <c r="L64" s="33" t="str">
        <f>IFERROR(VLOOKUP($J64,'Informations sur les produits'!$A$3:$H$10000,8,FALSE),"0")</f>
        <v>0</v>
      </c>
      <c r="N64" s="8"/>
      <c r="O64" s="33" t="str">
        <f>IFERROR(VLOOKUP($M64,'Informations sur les produits'!$A$3:$H$10000,8,FALSE),"0")</f>
        <v>0</v>
      </c>
      <c r="P64" s="33">
        <f t="shared" si="0"/>
        <v>0</v>
      </c>
      <c r="Q64" s="31" t="str">
        <f t="shared" si="1"/>
        <v/>
      </c>
      <c r="R64" s="32" t="str">
        <f>IFERROR(VLOOKUP($D64,'Informations sur les produits'!$A$3:$B$15000,2,FALSE),"")</f>
        <v/>
      </c>
      <c r="V64">
        <f t="shared" si="2"/>
        <v>0</v>
      </c>
      <c r="W64">
        <f t="shared" si="3"/>
        <v>0</v>
      </c>
    </row>
    <row r="65" spans="5:23" x14ac:dyDescent="0.25">
      <c r="E65" s="4"/>
      <c r="F65" s="4"/>
      <c r="G65" s="33" t="str">
        <f>IFERROR(VLOOKUP($D65,'Informations sur les produits'!$A$3:$H$10000,8,FALSE),"0")</f>
        <v>0</v>
      </c>
      <c r="K65" s="4"/>
      <c r="L65" s="33" t="str">
        <f>IFERROR(VLOOKUP($J65,'Informations sur les produits'!$A$3:$H$10000,8,FALSE),"0")</f>
        <v>0</v>
      </c>
      <c r="N65" s="8"/>
      <c r="O65" s="33" t="str">
        <f>IFERROR(VLOOKUP($M65,'Informations sur les produits'!$A$3:$H$10000,8,FALSE),"0")</f>
        <v>0</v>
      </c>
      <c r="P65" s="33">
        <f t="shared" si="0"/>
        <v>0</v>
      </c>
      <c r="Q65" s="31" t="str">
        <f t="shared" si="1"/>
        <v/>
      </c>
      <c r="R65" s="32" t="str">
        <f>IFERROR(VLOOKUP($D65,'Informations sur les produits'!$A$3:$B$15000,2,FALSE),"")</f>
        <v/>
      </c>
      <c r="V65">
        <f t="shared" si="2"/>
        <v>0</v>
      </c>
      <c r="W65">
        <f t="shared" si="3"/>
        <v>0</v>
      </c>
    </row>
    <row r="66" spans="5:23" x14ac:dyDescent="0.25">
      <c r="E66" s="4"/>
      <c r="F66" s="4"/>
      <c r="G66" s="33" t="str">
        <f>IFERROR(VLOOKUP($D66,'Informations sur les produits'!$A$3:$H$10000,8,FALSE),"0")</f>
        <v>0</v>
      </c>
      <c r="K66" s="4"/>
      <c r="L66" s="33" t="str">
        <f>IFERROR(VLOOKUP($J66,'Informations sur les produits'!$A$3:$H$10000,8,FALSE),"0")</f>
        <v>0</v>
      </c>
      <c r="N66" s="8"/>
      <c r="O66" s="33" t="str">
        <f>IFERROR(VLOOKUP($M66,'Informations sur les produits'!$A$3:$H$10000,8,FALSE),"0")</f>
        <v>0</v>
      </c>
      <c r="P66" s="33">
        <f t="shared" si="0"/>
        <v>0</v>
      </c>
      <c r="Q66" s="31" t="str">
        <f t="shared" si="1"/>
        <v/>
      </c>
      <c r="R66" s="32" t="str">
        <f>IFERROR(VLOOKUP($D66,'Informations sur les produits'!$A$3:$B$15000,2,FALSE),"")</f>
        <v/>
      </c>
      <c r="V66">
        <f t="shared" si="2"/>
        <v>0</v>
      </c>
      <c r="W66">
        <f t="shared" si="3"/>
        <v>0</v>
      </c>
    </row>
    <row r="67" spans="5:23" x14ac:dyDescent="0.25">
      <c r="E67" s="4"/>
      <c r="F67" s="4"/>
      <c r="G67" s="33" t="str">
        <f>IFERROR(VLOOKUP($D67,'Informations sur les produits'!$A$3:$H$10000,8,FALSE),"0")</f>
        <v>0</v>
      </c>
      <c r="K67" s="4"/>
      <c r="L67" s="33" t="str">
        <f>IFERROR(VLOOKUP($J67,'Informations sur les produits'!$A$3:$H$10000,8,FALSE),"0")</f>
        <v>0</v>
      </c>
      <c r="N67" s="8"/>
      <c r="O67" s="33" t="str">
        <f>IFERROR(VLOOKUP($M67,'Informations sur les produits'!$A$3:$H$10000,8,FALSE),"0")</f>
        <v>0</v>
      </c>
      <c r="P67" s="33">
        <f t="shared" si="0"/>
        <v>0</v>
      </c>
      <c r="Q67" s="31" t="str">
        <f t="shared" si="1"/>
        <v/>
      </c>
      <c r="R67" s="32" t="str">
        <f>IFERROR(VLOOKUP($D67,'Informations sur les produits'!$A$3:$B$15000,2,FALSE),"")</f>
        <v/>
      </c>
      <c r="V67">
        <f t="shared" si="2"/>
        <v>0</v>
      </c>
      <c r="W67">
        <f t="shared" si="3"/>
        <v>0</v>
      </c>
    </row>
    <row r="68" spans="5:23" x14ac:dyDescent="0.25">
      <c r="E68" s="4"/>
      <c r="F68" s="4"/>
      <c r="G68" s="33" t="str">
        <f>IFERROR(VLOOKUP($D68,'Informations sur les produits'!$A$3:$H$10000,8,FALSE),"0")</f>
        <v>0</v>
      </c>
      <c r="K68" s="4"/>
      <c r="L68" s="33" t="str">
        <f>IFERROR(VLOOKUP($J68,'Informations sur les produits'!$A$3:$H$10000,8,FALSE),"0")</f>
        <v>0</v>
      </c>
      <c r="N68" s="8"/>
      <c r="O68" s="33" t="str">
        <f>IFERROR(VLOOKUP($M68,'Informations sur les produits'!$A$3:$H$10000,8,FALSE),"0")</f>
        <v>0</v>
      </c>
      <c r="P68" s="33">
        <f t="shared" ref="P68:P131" si="4">IFERROR((($E68-$F68)*$G68+$K68*$L68+$N68*$O68),"")</f>
        <v>0</v>
      </c>
      <c r="Q68" s="31" t="str">
        <f t="shared" ref="Q68:Q131" si="5">IFERROR((((($E68-$F68)*$G68+$K68*$L68+$N68*$O68)*1000)/(($E68-$F68)+$K68+$N68)),"")</f>
        <v/>
      </c>
      <c r="R68" s="32" t="str">
        <f>IFERROR(VLOOKUP($D68,'Informations sur les produits'!$A$3:$B$15000,2,FALSE),"")</f>
        <v/>
      </c>
      <c r="V68">
        <f t="shared" ref="V68:V131" si="6">IFERROR(P68*1000,"")</f>
        <v>0</v>
      </c>
      <c r="W68">
        <f t="shared" ref="W68:W131" si="7">IFERROR(($E68-$F68)+$K68+$N68,"")</f>
        <v>0</v>
      </c>
    </row>
    <row r="69" spans="5:23" x14ac:dyDescent="0.25">
      <c r="E69" s="4"/>
      <c r="F69" s="4"/>
      <c r="G69" s="33" t="str">
        <f>IFERROR(VLOOKUP($D69,'Informations sur les produits'!$A$3:$H$10000,8,FALSE),"0")</f>
        <v>0</v>
      </c>
      <c r="K69" s="4"/>
      <c r="L69" s="33" t="str">
        <f>IFERROR(VLOOKUP($J69,'Informations sur les produits'!$A$3:$H$10000,8,FALSE),"0")</f>
        <v>0</v>
      </c>
      <c r="N69" s="8"/>
      <c r="O69" s="33" t="str">
        <f>IFERROR(VLOOKUP($M69,'Informations sur les produits'!$A$3:$H$10000,8,FALSE),"0")</f>
        <v>0</v>
      </c>
      <c r="P69" s="33">
        <f t="shared" si="4"/>
        <v>0</v>
      </c>
      <c r="Q69" s="31" t="str">
        <f t="shared" si="5"/>
        <v/>
      </c>
      <c r="R69" s="32" t="str">
        <f>IFERROR(VLOOKUP($D69,'Informations sur les produits'!$A$3:$B$15000,2,FALSE),"")</f>
        <v/>
      </c>
      <c r="V69">
        <f t="shared" si="6"/>
        <v>0</v>
      </c>
      <c r="W69">
        <f t="shared" si="7"/>
        <v>0</v>
      </c>
    </row>
    <row r="70" spans="5:23" x14ac:dyDescent="0.25">
      <c r="E70" s="4"/>
      <c r="F70" s="4"/>
      <c r="G70" s="33" t="str">
        <f>IFERROR(VLOOKUP($D70,'Informations sur les produits'!$A$3:$H$10000,8,FALSE),"0")</f>
        <v>0</v>
      </c>
      <c r="K70" s="4"/>
      <c r="L70" s="33" t="str">
        <f>IFERROR(VLOOKUP($J70,'Informations sur les produits'!$A$3:$H$10000,8,FALSE),"0")</f>
        <v>0</v>
      </c>
      <c r="N70" s="8"/>
      <c r="O70" s="33" t="str">
        <f>IFERROR(VLOOKUP($M70,'Informations sur les produits'!$A$3:$H$10000,8,FALSE),"0")</f>
        <v>0</v>
      </c>
      <c r="P70" s="33">
        <f t="shared" si="4"/>
        <v>0</v>
      </c>
      <c r="Q70" s="31" t="str">
        <f t="shared" si="5"/>
        <v/>
      </c>
      <c r="R70" s="32" t="str">
        <f>IFERROR(VLOOKUP($D70,'Informations sur les produits'!$A$3:$B$15000,2,FALSE),"")</f>
        <v/>
      </c>
      <c r="V70">
        <f t="shared" si="6"/>
        <v>0</v>
      </c>
      <c r="W70">
        <f t="shared" si="7"/>
        <v>0</v>
      </c>
    </row>
    <row r="71" spans="5:23" x14ac:dyDescent="0.25">
      <c r="E71" s="4"/>
      <c r="F71" s="4"/>
      <c r="G71" s="33" t="str">
        <f>IFERROR(VLOOKUP($D71,'Informations sur les produits'!$A$3:$H$10000,8,FALSE),"0")</f>
        <v>0</v>
      </c>
      <c r="K71" s="4"/>
      <c r="L71" s="33" t="str">
        <f>IFERROR(VLOOKUP($J71,'Informations sur les produits'!$A$3:$H$10000,8,FALSE),"0")</f>
        <v>0</v>
      </c>
      <c r="N71" s="8"/>
      <c r="O71" s="33" t="str">
        <f>IFERROR(VLOOKUP($M71,'Informations sur les produits'!$A$3:$H$10000,8,FALSE),"0")</f>
        <v>0</v>
      </c>
      <c r="P71" s="33">
        <f t="shared" si="4"/>
        <v>0</v>
      </c>
      <c r="Q71" s="31" t="str">
        <f t="shared" si="5"/>
        <v/>
      </c>
      <c r="R71" s="32" t="str">
        <f>IFERROR(VLOOKUP($D71,'Informations sur les produits'!$A$3:$B$15000,2,FALSE),"")</f>
        <v/>
      </c>
      <c r="V71">
        <f t="shared" si="6"/>
        <v>0</v>
      </c>
      <c r="W71">
        <f t="shared" si="7"/>
        <v>0</v>
      </c>
    </row>
    <row r="72" spans="5:23" x14ac:dyDescent="0.25">
      <c r="E72" s="4"/>
      <c r="F72" s="4"/>
      <c r="G72" s="33" t="str">
        <f>IFERROR(VLOOKUP($D72,'Informations sur les produits'!$A$3:$H$10000,8,FALSE),"0")</f>
        <v>0</v>
      </c>
      <c r="K72" s="4"/>
      <c r="L72" s="33" t="str">
        <f>IFERROR(VLOOKUP($J72,'Informations sur les produits'!$A$3:$H$10000,8,FALSE),"0")</f>
        <v>0</v>
      </c>
      <c r="N72" s="8"/>
      <c r="O72" s="33" t="str">
        <f>IFERROR(VLOOKUP($M72,'Informations sur les produits'!$A$3:$H$10000,8,FALSE),"0")</f>
        <v>0</v>
      </c>
      <c r="P72" s="33">
        <f t="shared" si="4"/>
        <v>0</v>
      </c>
      <c r="Q72" s="31" t="str">
        <f t="shared" si="5"/>
        <v/>
      </c>
      <c r="R72" s="32" t="str">
        <f>IFERROR(VLOOKUP($D72,'Informations sur les produits'!$A$3:$B$15000,2,FALSE),"")</f>
        <v/>
      </c>
      <c r="V72">
        <f t="shared" si="6"/>
        <v>0</v>
      </c>
      <c r="W72">
        <f t="shared" si="7"/>
        <v>0</v>
      </c>
    </row>
    <row r="73" spans="5:23" x14ac:dyDescent="0.25">
      <c r="E73" s="4"/>
      <c r="F73" s="4"/>
      <c r="G73" s="33" t="str">
        <f>IFERROR(VLOOKUP($D73,'Informations sur les produits'!$A$3:$H$10000,8,FALSE),"0")</f>
        <v>0</v>
      </c>
      <c r="K73" s="4"/>
      <c r="L73" s="33" t="str">
        <f>IFERROR(VLOOKUP($J73,'Informations sur les produits'!$A$3:$H$10000,8,FALSE),"0")</f>
        <v>0</v>
      </c>
      <c r="N73" s="8"/>
      <c r="O73" s="33" t="str">
        <f>IFERROR(VLOOKUP($M73,'Informations sur les produits'!$A$3:$H$10000,8,FALSE),"0")</f>
        <v>0</v>
      </c>
      <c r="P73" s="33">
        <f t="shared" si="4"/>
        <v>0</v>
      </c>
      <c r="Q73" s="31" t="str">
        <f t="shared" si="5"/>
        <v/>
      </c>
      <c r="R73" s="32" t="str">
        <f>IFERROR(VLOOKUP($D73,'Informations sur les produits'!$A$3:$B$15000,2,FALSE),"")</f>
        <v/>
      </c>
      <c r="V73">
        <f t="shared" si="6"/>
        <v>0</v>
      </c>
      <c r="W73">
        <f t="shared" si="7"/>
        <v>0</v>
      </c>
    </row>
    <row r="74" spans="5:23" x14ac:dyDescent="0.25">
      <c r="E74" s="4"/>
      <c r="F74" s="4"/>
      <c r="G74" s="33" t="str">
        <f>IFERROR(VLOOKUP($D74,'Informations sur les produits'!$A$3:$H$10000,8,FALSE),"0")</f>
        <v>0</v>
      </c>
      <c r="K74" s="4"/>
      <c r="L74" s="33" t="str">
        <f>IFERROR(VLOOKUP($J74,'Informations sur les produits'!$A$3:$H$10000,8,FALSE),"0")</f>
        <v>0</v>
      </c>
      <c r="N74" s="8"/>
      <c r="O74" s="33" t="str">
        <f>IFERROR(VLOOKUP($M74,'Informations sur les produits'!$A$3:$H$10000,8,FALSE),"0")</f>
        <v>0</v>
      </c>
      <c r="P74" s="33">
        <f t="shared" si="4"/>
        <v>0</v>
      </c>
      <c r="Q74" s="31" t="str">
        <f t="shared" si="5"/>
        <v/>
      </c>
      <c r="R74" s="32" t="str">
        <f>IFERROR(VLOOKUP($D74,'Informations sur les produits'!$A$3:$B$15000,2,FALSE),"")</f>
        <v/>
      </c>
      <c r="V74">
        <f t="shared" si="6"/>
        <v>0</v>
      </c>
      <c r="W74">
        <f t="shared" si="7"/>
        <v>0</v>
      </c>
    </row>
    <row r="75" spans="5:23" x14ac:dyDescent="0.25">
      <c r="E75" s="4"/>
      <c r="F75" s="4"/>
      <c r="G75" s="33" t="str">
        <f>IFERROR(VLOOKUP($D75,'Informations sur les produits'!$A$3:$H$10000,8,FALSE),"0")</f>
        <v>0</v>
      </c>
      <c r="K75" s="4"/>
      <c r="L75" s="33" t="str">
        <f>IFERROR(VLOOKUP($J75,'Informations sur les produits'!$A$3:$H$10000,8,FALSE),"0")</f>
        <v>0</v>
      </c>
      <c r="N75" s="8"/>
      <c r="O75" s="33" t="str">
        <f>IFERROR(VLOOKUP($M75,'Informations sur les produits'!$A$3:$H$10000,8,FALSE),"0")</f>
        <v>0</v>
      </c>
      <c r="P75" s="33">
        <f t="shared" si="4"/>
        <v>0</v>
      </c>
      <c r="Q75" s="31" t="str">
        <f t="shared" si="5"/>
        <v/>
      </c>
      <c r="R75" s="32" t="str">
        <f>IFERROR(VLOOKUP($D75,'Informations sur les produits'!$A$3:$B$15000,2,FALSE),"")</f>
        <v/>
      </c>
      <c r="V75">
        <f t="shared" si="6"/>
        <v>0</v>
      </c>
      <c r="W75">
        <f t="shared" si="7"/>
        <v>0</v>
      </c>
    </row>
    <row r="76" spans="5:23" x14ac:dyDescent="0.25">
      <c r="E76" s="4"/>
      <c r="F76" s="4"/>
      <c r="G76" s="33" t="str">
        <f>IFERROR(VLOOKUP($D76,'Informations sur les produits'!$A$3:$H$10000,8,FALSE),"0")</f>
        <v>0</v>
      </c>
      <c r="K76" s="4"/>
      <c r="L76" s="33" t="str">
        <f>IFERROR(VLOOKUP($J76,'Informations sur les produits'!$A$3:$H$10000,8,FALSE),"0")</f>
        <v>0</v>
      </c>
      <c r="N76" s="8"/>
      <c r="O76" s="33" t="str">
        <f>IFERROR(VLOOKUP($M76,'Informations sur les produits'!$A$3:$H$10000,8,FALSE),"0")</f>
        <v>0</v>
      </c>
      <c r="P76" s="33">
        <f t="shared" si="4"/>
        <v>0</v>
      </c>
      <c r="Q76" s="31" t="str">
        <f t="shared" si="5"/>
        <v/>
      </c>
      <c r="R76" s="32" t="str">
        <f>IFERROR(VLOOKUP($D76,'Informations sur les produits'!$A$3:$B$15000,2,FALSE),"")</f>
        <v/>
      </c>
      <c r="V76">
        <f t="shared" si="6"/>
        <v>0</v>
      </c>
      <c r="W76">
        <f t="shared" si="7"/>
        <v>0</v>
      </c>
    </row>
    <row r="77" spans="5:23" x14ac:dyDescent="0.25">
      <c r="E77" s="4"/>
      <c r="F77" s="4"/>
      <c r="G77" s="33" t="str">
        <f>IFERROR(VLOOKUP($D77,'Informations sur les produits'!$A$3:$H$10000,8,FALSE),"0")</f>
        <v>0</v>
      </c>
      <c r="K77" s="4"/>
      <c r="L77" s="33" t="str">
        <f>IFERROR(VLOOKUP($J77,'Informations sur les produits'!$A$3:$H$10000,8,FALSE),"0")</f>
        <v>0</v>
      </c>
      <c r="N77" s="8"/>
      <c r="O77" s="33" t="str">
        <f>IFERROR(VLOOKUP($M77,'Informations sur les produits'!$A$3:$H$10000,8,FALSE),"0")</f>
        <v>0</v>
      </c>
      <c r="P77" s="33">
        <f t="shared" si="4"/>
        <v>0</v>
      </c>
      <c r="Q77" s="31" t="str">
        <f t="shared" si="5"/>
        <v/>
      </c>
      <c r="R77" s="32" t="str">
        <f>IFERROR(VLOOKUP($D77,'Informations sur les produits'!$A$3:$B$15000,2,FALSE),"")</f>
        <v/>
      </c>
      <c r="V77">
        <f t="shared" si="6"/>
        <v>0</v>
      </c>
      <c r="W77">
        <f t="shared" si="7"/>
        <v>0</v>
      </c>
    </row>
    <row r="78" spans="5:23" x14ac:dyDescent="0.25">
      <c r="E78" s="4"/>
      <c r="F78" s="4"/>
      <c r="G78" s="33" t="str">
        <f>IFERROR(VLOOKUP($D78,'Informations sur les produits'!$A$3:$H$10000,8,FALSE),"0")</f>
        <v>0</v>
      </c>
      <c r="K78" s="4"/>
      <c r="L78" s="33" t="str">
        <f>IFERROR(VLOOKUP($J78,'Informations sur les produits'!$A$3:$H$10000,8,FALSE),"0")</f>
        <v>0</v>
      </c>
      <c r="N78" s="8"/>
      <c r="O78" s="33" t="str">
        <f>IFERROR(VLOOKUP($M78,'Informations sur les produits'!$A$3:$H$10000,8,FALSE),"0")</f>
        <v>0</v>
      </c>
      <c r="P78" s="33">
        <f t="shared" si="4"/>
        <v>0</v>
      </c>
      <c r="Q78" s="31" t="str">
        <f t="shared" si="5"/>
        <v/>
      </c>
      <c r="R78" s="32" t="str">
        <f>IFERROR(VLOOKUP($D78,'Informations sur les produits'!$A$3:$B$15000,2,FALSE),"")</f>
        <v/>
      </c>
      <c r="V78">
        <f t="shared" si="6"/>
        <v>0</v>
      </c>
      <c r="W78">
        <f t="shared" si="7"/>
        <v>0</v>
      </c>
    </row>
    <row r="79" spans="5:23" x14ac:dyDescent="0.25">
      <c r="E79" s="4"/>
      <c r="F79" s="4"/>
      <c r="G79" s="33" t="str">
        <f>IFERROR(VLOOKUP($D79,'Informations sur les produits'!$A$3:$H$10000,8,FALSE),"0")</f>
        <v>0</v>
      </c>
      <c r="K79" s="4"/>
      <c r="L79" s="33" t="str">
        <f>IFERROR(VLOOKUP($J79,'Informations sur les produits'!$A$3:$H$10000,8,FALSE),"0")</f>
        <v>0</v>
      </c>
      <c r="N79" s="8"/>
      <c r="O79" s="33" t="str">
        <f>IFERROR(VLOOKUP($M79,'Informations sur les produits'!$A$3:$H$10000,8,FALSE),"0")</f>
        <v>0</v>
      </c>
      <c r="P79" s="33">
        <f t="shared" si="4"/>
        <v>0</v>
      </c>
      <c r="Q79" s="31" t="str">
        <f t="shared" si="5"/>
        <v/>
      </c>
      <c r="R79" s="32" t="str">
        <f>IFERROR(VLOOKUP($D79,'Informations sur les produits'!$A$3:$B$15000,2,FALSE),"")</f>
        <v/>
      </c>
      <c r="V79">
        <f t="shared" si="6"/>
        <v>0</v>
      </c>
      <c r="W79">
        <f t="shared" si="7"/>
        <v>0</v>
      </c>
    </row>
    <row r="80" spans="5:23" x14ac:dyDescent="0.25">
      <c r="E80" s="4"/>
      <c r="F80" s="4"/>
      <c r="G80" s="33" t="str">
        <f>IFERROR(VLOOKUP($D80,'Informations sur les produits'!$A$3:$H$10000,8,FALSE),"0")</f>
        <v>0</v>
      </c>
      <c r="K80" s="4"/>
      <c r="L80" s="33" t="str">
        <f>IFERROR(VLOOKUP($J80,'Informations sur les produits'!$A$3:$H$10000,8,FALSE),"0")</f>
        <v>0</v>
      </c>
      <c r="N80" s="8"/>
      <c r="O80" s="33" t="str">
        <f>IFERROR(VLOOKUP($M80,'Informations sur les produits'!$A$3:$H$10000,8,FALSE),"0")</f>
        <v>0</v>
      </c>
      <c r="P80" s="33">
        <f t="shared" si="4"/>
        <v>0</v>
      </c>
      <c r="Q80" s="31" t="str">
        <f t="shared" si="5"/>
        <v/>
      </c>
      <c r="R80" s="32" t="str">
        <f>IFERROR(VLOOKUP($D80,'Informations sur les produits'!$A$3:$B$15000,2,FALSE),"")</f>
        <v/>
      </c>
      <c r="V80">
        <f t="shared" si="6"/>
        <v>0</v>
      </c>
      <c r="W80">
        <f t="shared" si="7"/>
        <v>0</v>
      </c>
    </row>
    <row r="81" spans="5:23" x14ac:dyDescent="0.25">
      <c r="E81" s="4"/>
      <c r="F81" s="4"/>
      <c r="G81" s="33" t="str">
        <f>IFERROR(VLOOKUP($D81,'Informations sur les produits'!$A$3:$H$10000,8,FALSE),"0")</f>
        <v>0</v>
      </c>
      <c r="K81" s="4"/>
      <c r="L81" s="33" t="str">
        <f>IFERROR(VLOOKUP($J81,'Informations sur les produits'!$A$3:$H$10000,8,FALSE),"0")</f>
        <v>0</v>
      </c>
      <c r="N81" s="8"/>
      <c r="O81" s="33" t="str">
        <f>IFERROR(VLOOKUP($M81,'Informations sur les produits'!$A$3:$H$10000,8,FALSE),"0")</f>
        <v>0</v>
      </c>
      <c r="P81" s="33">
        <f t="shared" si="4"/>
        <v>0</v>
      </c>
      <c r="Q81" s="31" t="str">
        <f t="shared" si="5"/>
        <v/>
      </c>
      <c r="R81" s="32" t="str">
        <f>IFERROR(VLOOKUP($D81,'Informations sur les produits'!$A$3:$B$15000,2,FALSE),"")</f>
        <v/>
      </c>
      <c r="V81">
        <f t="shared" si="6"/>
        <v>0</v>
      </c>
      <c r="W81">
        <f t="shared" si="7"/>
        <v>0</v>
      </c>
    </row>
    <row r="82" spans="5:23" x14ac:dyDescent="0.25">
      <c r="E82" s="4"/>
      <c r="F82" s="4"/>
      <c r="G82" s="33" t="str">
        <f>IFERROR(VLOOKUP($D82,'Informations sur les produits'!$A$3:$H$10000,8,FALSE),"0")</f>
        <v>0</v>
      </c>
      <c r="K82" s="4"/>
      <c r="L82" s="33" t="str">
        <f>IFERROR(VLOOKUP($J82,'Informations sur les produits'!$A$3:$H$10000,8,FALSE),"0")</f>
        <v>0</v>
      </c>
      <c r="N82" s="8"/>
      <c r="O82" s="33" t="str">
        <f>IFERROR(VLOOKUP($M82,'Informations sur les produits'!$A$3:$H$10000,8,FALSE),"0")</f>
        <v>0</v>
      </c>
      <c r="P82" s="33">
        <f t="shared" si="4"/>
        <v>0</v>
      </c>
      <c r="Q82" s="31" t="str">
        <f t="shared" si="5"/>
        <v/>
      </c>
      <c r="R82" s="32" t="str">
        <f>IFERROR(VLOOKUP($D82,'Informations sur les produits'!$A$3:$B$15000,2,FALSE),"")</f>
        <v/>
      </c>
      <c r="V82">
        <f t="shared" si="6"/>
        <v>0</v>
      </c>
      <c r="W82">
        <f t="shared" si="7"/>
        <v>0</v>
      </c>
    </row>
    <row r="83" spans="5:23" x14ac:dyDescent="0.25">
      <c r="E83" s="4"/>
      <c r="F83" s="4"/>
      <c r="G83" s="33" t="str">
        <f>IFERROR(VLOOKUP($D83,'Informations sur les produits'!$A$3:$H$10000,8,FALSE),"0")</f>
        <v>0</v>
      </c>
      <c r="K83" s="4"/>
      <c r="L83" s="33" t="str">
        <f>IFERROR(VLOOKUP($J83,'Informations sur les produits'!$A$3:$H$10000,8,FALSE),"0")</f>
        <v>0</v>
      </c>
      <c r="N83" s="8"/>
      <c r="O83" s="33" t="str">
        <f>IFERROR(VLOOKUP($M83,'Informations sur les produits'!$A$3:$H$10000,8,FALSE),"0")</f>
        <v>0</v>
      </c>
      <c r="P83" s="33">
        <f t="shared" si="4"/>
        <v>0</v>
      </c>
      <c r="Q83" s="31" t="str">
        <f t="shared" si="5"/>
        <v/>
      </c>
      <c r="R83" s="32" t="str">
        <f>IFERROR(VLOOKUP($D83,'Informations sur les produits'!$A$3:$B$15000,2,FALSE),"")</f>
        <v/>
      </c>
      <c r="V83">
        <f t="shared" si="6"/>
        <v>0</v>
      </c>
      <c r="W83">
        <f t="shared" si="7"/>
        <v>0</v>
      </c>
    </row>
    <row r="84" spans="5:23" x14ac:dyDescent="0.25">
      <c r="E84" s="4"/>
      <c r="F84" s="4"/>
      <c r="G84" s="33" t="str">
        <f>IFERROR(VLOOKUP($D84,'Informations sur les produits'!$A$3:$H$10000,8,FALSE),"0")</f>
        <v>0</v>
      </c>
      <c r="K84" s="4"/>
      <c r="L84" s="33" t="str">
        <f>IFERROR(VLOOKUP($J84,'Informations sur les produits'!$A$3:$H$10000,8,FALSE),"0")</f>
        <v>0</v>
      </c>
      <c r="N84" s="8"/>
      <c r="O84" s="33" t="str">
        <f>IFERROR(VLOOKUP($M84,'Informations sur les produits'!$A$3:$H$10000,8,FALSE),"0")</f>
        <v>0</v>
      </c>
      <c r="P84" s="33">
        <f t="shared" si="4"/>
        <v>0</v>
      </c>
      <c r="Q84" s="31" t="str">
        <f t="shared" si="5"/>
        <v/>
      </c>
      <c r="R84" s="32" t="str">
        <f>IFERROR(VLOOKUP($D84,'Informations sur les produits'!$A$3:$B$15000,2,FALSE),"")</f>
        <v/>
      </c>
      <c r="V84">
        <f t="shared" si="6"/>
        <v>0</v>
      </c>
      <c r="W84">
        <f t="shared" si="7"/>
        <v>0</v>
      </c>
    </row>
    <row r="85" spans="5:23" x14ac:dyDescent="0.25">
      <c r="E85" s="4"/>
      <c r="F85" s="4"/>
      <c r="G85" s="33" t="str">
        <f>IFERROR(VLOOKUP($D85,'Informations sur les produits'!$A$3:$H$10000,8,FALSE),"0")</f>
        <v>0</v>
      </c>
      <c r="K85" s="4"/>
      <c r="L85" s="33" t="str">
        <f>IFERROR(VLOOKUP($J85,'Informations sur les produits'!$A$3:$H$10000,8,FALSE),"0")</f>
        <v>0</v>
      </c>
      <c r="N85" s="8"/>
      <c r="O85" s="33" t="str">
        <f>IFERROR(VLOOKUP($M85,'Informations sur les produits'!$A$3:$H$10000,8,FALSE),"0")</f>
        <v>0</v>
      </c>
      <c r="P85" s="33">
        <f t="shared" si="4"/>
        <v>0</v>
      </c>
      <c r="Q85" s="31" t="str">
        <f t="shared" si="5"/>
        <v/>
      </c>
      <c r="R85" s="32" t="str">
        <f>IFERROR(VLOOKUP($D85,'Informations sur les produits'!$A$3:$B$15000,2,FALSE),"")</f>
        <v/>
      </c>
      <c r="V85">
        <f t="shared" si="6"/>
        <v>0</v>
      </c>
      <c r="W85">
        <f t="shared" si="7"/>
        <v>0</v>
      </c>
    </row>
    <row r="86" spans="5:23" x14ac:dyDescent="0.25">
      <c r="E86" s="4"/>
      <c r="F86" s="4"/>
      <c r="G86" s="33" t="str">
        <f>IFERROR(VLOOKUP($D86,'Informations sur les produits'!$A$3:$H$10000,8,FALSE),"0")</f>
        <v>0</v>
      </c>
      <c r="K86" s="4"/>
      <c r="L86" s="33" t="str">
        <f>IFERROR(VLOOKUP($J86,'Informations sur les produits'!$A$3:$H$10000,8,FALSE),"0")</f>
        <v>0</v>
      </c>
      <c r="N86" s="8"/>
      <c r="O86" s="33" t="str">
        <f>IFERROR(VLOOKUP($M86,'Informations sur les produits'!$A$3:$H$10000,8,FALSE),"0")</f>
        <v>0</v>
      </c>
      <c r="P86" s="33">
        <f t="shared" si="4"/>
        <v>0</v>
      </c>
      <c r="Q86" s="31" t="str">
        <f t="shared" si="5"/>
        <v/>
      </c>
      <c r="R86" s="32" t="str">
        <f>IFERROR(VLOOKUP($D86,'Informations sur les produits'!$A$3:$B$15000,2,FALSE),"")</f>
        <v/>
      </c>
      <c r="V86">
        <f t="shared" si="6"/>
        <v>0</v>
      </c>
      <c r="W86">
        <f t="shared" si="7"/>
        <v>0</v>
      </c>
    </row>
    <row r="87" spans="5:23" x14ac:dyDescent="0.25">
      <c r="E87" s="4"/>
      <c r="F87" s="4"/>
      <c r="G87" s="33" t="str">
        <f>IFERROR(VLOOKUP($D87,'Informations sur les produits'!$A$3:$H$10000,8,FALSE),"0")</f>
        <v>0</v>
      </c>
      <c r="K87" s="4"/>
      <c r="L87" s="33" t="str">
        <f>IFERROR(VLOOKUP($J87,'Informations sur les produits'!$A$3:$H$10000,8,FALSE),"0")</f>
        <v>0</v>
      </c>
      <c r="N87" s="8"/>
      <c r="O87" s="33" t="str">
        <f>IFERROR(VLOOKUP($M87,'Informations sur les produits'!$A$3:$H$10000,8,FALSE),"0")</f>
        <v>0</v>
      </c>
      <c r="P87" s="33">
        <f t="shared" si="4"/>
        <v>0</v>
      </c>
      <c r="Q87" s="31" t="str">
        <f t="shared" si="5"/>
        <v/>
      </c>
      <c r="R87" s="32" t="str">
        <f>IFERROR(VLOOKUP($D87,'Informations sur les produits'!$A$3:$B$15000,2,FALSE),"")</f>
        <v/>
      </c>
      <c r="V87">
        <f t="shared" si="6"/>
        <v>0</v>
      </c>
      <c r="W87">
        <f t="shared" si="7"/>
        <v>0</v>
      </c>
    </row>
    <row r="88" spans="5:23" x14ac:dyDescent="0.25">
      <c r="E88" s="4"/>
      <c r="F88" s="4"/>
      <c r="G88" s="33" t="str">
        <f>IFERROR(VLOOKUP($D88,'Informations sur les produits'!$A$3:$H$10000,8,FALSE),"0")</f>
        <v>0</v>
      </c>
      <c r="K88" s="4"/>
      <c r="L88" s="33" t="str">
        <f>IFERROR(VLOOKUP($J88,'Informations sur les produits'!$A$3:$H$10000,8,FALSE),"0")</f>
        <v>0</v>
      </c>
      <c r="N88" s="8"/>
      <c r="O88" s="33" t="str">
        <f>IFERROR(VLOOKUP($M88,'Informations sur les produits'!$A$3:$H$10000,8,FALSE),"0")</f>
        <v>0</v>
      </c>
      <c r="P88" s="33">
        <f t="shared" si="4"/>
        <v>0</v>
      </c>
      <c r="Q88" s="31" t="str">
        <f t="shared" si="5"/>
        <v/>
      </c>
      <c r="R88" s="32" t="str">
        <f>IFERROR(VLOOKUP($D88,'Informations sur les produits'!$A$3:$B$15000,2,FALSE),"")</f>
        <v/>
      </c>
      <c r="V88">
        <f t="shared" si="6"/>
        <v>0</v>
      </c>
      <c r="W88">
        <f t="shared" si="7"/>
        <v>0</v>
      </c>
    </row>
    <row r="89" spans="5:23" x14ac:dyDescent="0.25">
      <c r="E89" s="4"/>
      <c r="F89" s="4"/>
      <c r="G89" s="33" t="str">
        <f>IFERROR(VLOOKUP($D89,'Informations sur les produits'!$A$3:$H$10000,8,FALSE),"0")</f>
        <v>0</v>
      </c>
      <c r="K89" s="4"/>
      <c r="L89" s="33" t="str">
        <f>IFERROR(VLOOKUP($J89,'Informations sur les produits'!$A$3:$H$10000,8,FALSE),"0")</f>
        <v>0</v>
      </c>
      <c r="N89" s="8"/>
      <c r="O89" s="33" t="str">
        <f>IFERROR(VLOOKUP($M89,'Informations sur les produits'!$A$3:$H$10000,8,FALSE),"0")</f>
        <v>0</v>
      </c>
      <c r="P89" s="33">
        <f t="shared" si="4"/>
        <v>0</v>
      </c>
      <c r="Q89" s="31" t="str">
        <f t="shared" si="5"/>
        <v/>
      </c>
      <c r="R89" s="32" t="str">
        <f>IFERROR(VLOOKUP($D89,'Informations sur les produits'!$A$3:$B$15000,2,FALSE),"")</f>
        <v/>
      </c>
      <c r="V89">
        <f t="shared" si="6"/>
        <v>0</v>
      </c>
      <c r="W89">
        <f t="shared" si="7"/>
        <v>0</v>
      </c>
    </row>
    <row r="90" spans="5:23" x14ac:dyDescent="0.25">
      <c r="E90" s="4"/>
      <c r="F90" s="4"/>
      <c r="G90" s="33" t="str">
        <f>IFERROR(VLOOKUP($D90,'Informations sur les produits'!$A$3:$H$10000,8,FALSE),"0")</f>
        <v>0</v>
      </c>
      <c r="K90" s="4"/>
      <c r="L90" s="33" t="str">
        <f>IFERROR(VLOOKUP($J90,'Informations sur les produits'!$A$3:$H$10000,8,FALSE),"0")</f>
        <v>0</v>
      </c>
      <c r="N90" s="8"/>
      <c r="O90" s="33" t="str">
        <f>IFERROR(VLOOKUP($M90,'Informations sur les produits'!$A$3:$H$10000,8,FALSE),"0")</f>
        <v>0</v>
      </c>
      <c r="P90" s="33">
        <f t="shared" si="4"/>
        <v>0</v>
      </c>
      <c r="Q90" s="31" t="str">
        <f t="shared" si="5"/>
        <v/>
      </c>
      <c r="R90" s="32" t="str">
        <f>IFERROR(VLOOKUP($D90,'Informations sur les produits'!$A$3:$B$15000,2,FALSE),"")</f>
        <v/>
      </c>
      <c r="V90">
        <f t="shared" si="6"/>
        <v>0</v>
      </c>
      <c r="W90">
        <f t="shared" si="7"/>
        <v>0</v>
      </c>
    </row>
    <row r="91" spans="5:23" x14ac:dyDescent="0.25">
      <c r="E91" s="4"/>
      <c r="F91" s="4"/>
      <c r="G91" s="33" t="str">
        <f>IFERROR(VLOOKUP($D91,'Informations sur les produits'!$A$3:$H$10000,8,FALSE),"0")</f>
        <v>0</v>
      </c>
      <c r="K91" s="4"/>
      <c r="L91" s="33" t="str">
        <f>IFERROR(VLOOKUP($J91,'Informations sur les produits'!$A$3:$H$10000,8,FALSE),"0")</f>
        <v>0</v>
      </c>
      <c r="N91" s="8"/>
      <c r="O91" s="33" t="str">
        <f>IFERROR(VLOOKUP($M91,'Informations sur les produits'!$A$3:$H$10000,8,FALSE),"0")</f>
        <v>0</v>
      </c>
      <c r="P91" s="33">
        <f t="shared" si="4"/>
        <v>0</v>
      </c>
      <c r="Q91" s="31" t="str">
        <f t="shared" si="5"/>
        <v/>
      </c>
      <c r="R91" s="32" t="str">
        <f>IFERROR(VLOOKUP($D91,'Informations sur les produits'!$A$3:$B$15000,2,FALSE),"")</f>
        <v/>
      </c>
      <c r="V91">
        <f t="shared" si="6"/>
        <v>0</v>
      </c>
      <c r="W91">
        <f t="shared" si="7"/>
        <v>0</v>
      </c>
    </row>
    <row r="92" spans="5:23" x14ac:dyDescent="0.25">
      <c r="E92" s="4"/>
      <c r="F92" s="4"/>
      <c r="G92" s="33" t="str">
        <f>IFERROR(VLOOKUP($D92,'Informations sur les produits'!$A$3:$H$10000,8,FALSE),"0")</f>
        <v>0</v>
      </c>
      <c r="K92" s="4"/>
      <c r="L92" s="33" t="str">
        <f>IFERROR(VLOOKUP($J92,'Informations sur les produits'!$A$3:$H$10000,8,FALSE),"0")</f>
        <v>0</v>
      </c>
      <c r="N92" s="8"/>
      <c r="O92" s="33" t="str">
        <f>IFERROR(VLOOKUP($M92,'Informations sur les produits'!$A$3:$H$10000,8,FALSE),"0")</f>
        <v>0</v>
      </c>
      <c r="P92" s="33">
        <f t="shared" si="4"/>
        <v>0</v>
      </c>
      <c r="Q92" s="31" t="str">
        <f t="shared" si="5"/>
        <v/>
      </c>
      <c r="R92" s="32" t="str">
        <f>IFERROR(VLOOKUP($D92,'Informations sur les produits'!$A$3:$B$15000,2,FALSE),"")</f>
        <v/>
      </c>
      <c r="V92">
        <f t="shared" si="6"/>
        <v>0</v>
      </c>
      <c r="W92">
        <f t="shared" si="7"/>
        <v>0</v>
      </c>
    </row>
    <row r="93" spans="5:23" x14ac:dyDescent="0.25">
      <c r="E93" s="4"/>
      <c r="F93" s="4"/>
      <c r="G93" s="33" t="str">
        <f>IFERROR(VLOOKUP($D93,'Informations sur les produits'!$A$3:$H$10000,8,FALSE),"0")</f>
        <v>0</v>
      </c>
      <c r="K93" s="4"/>
      <c r="L93" s="33" t="str">
        <f>IFERROR(VLOOKUP($J93,'Informations sur les produits'!$A$3:$H$10000,8,FALSE),"0")</f>
        <v>0</v>
      </c>
      <c r="N93" s="8"/>
      <c r="O93" s="33" t="str">
        <f>IFERROR(VLOOKUP($M93,'Informations sur les produits'!$A$3:$H$10000,8,FALSE),"0")</f>
        <v>0</v>
      </c>
      <c r="P93" s="33">
        <f t="shared" si="4"/>
        <v>0</v>
      </c>
      <c r="Q93" s="31" t="str">
        <f t="shared" si="5"/>
        <v/>
      </c>
      <c r="R93" s="32" t="str">
        <f>IFERROR(VLOOKUP($D93,'Informations sur les produits'!$A$3:$B$15000,2,FALSE),"")</f>
        <v/>
      </c>
      <c r="V93">
        <f t="shared" si="6"/>
        <v>0</v>
      </c>
      <c r="W93">
        <f t="shared" si="7"/>
        <v>0</v>
      </c>
    </row>
    <row r="94" spans="5:23" x14ac:dyDescent="0.25">
      <c r="E94" s="4"/>
      <c r="F94" s="4"/>
      <c r="G94" s="33" t="str">
        <f>IFERROR(VLOOKUP($D94,'Informations sur les produits'!$A$3:$H$10000,8,FALSE),"0")</f>
        <v>0</v>
      </c>
      <c r="K94" s="4"/>
      <c r="L94" s="33" t="str">
        <f>IFERROR(VLOOKUP($J94,'Informations sur les produits'!$A$3:$H$10000,8,FALSE),"0")</f>
        <v>0</v>
      </c>
      <c r="N94" s="8"/>
      <c r="O94" s="33" t="str">
        <f>IFERROR(VLOOKUP($M94,'Informations sur les produits'!$A$3:$H$10000,8,FALSE),"0")</f>
        <v>0</v>
      </c>
      <c r="P94" s="33">
        <f t="shared" si="4"/>
        <v>0</v>
      </c>
      <c r="Q94" s="31" t="str">
        <f t="shared" si="5"/>
        <v/>
      </c>
      <c r="R94" s="32" t="str">
        <f>IFERROR(VLOOKUP($D94,'Informations sur les produits'!$A$3:$B$15000,2,FALSE),"")</f>
        <v/>
      </c>
      <c r="V94">
        <f t="shared" si="6"/>
        <v>0</v>
      </c>
      <c r="W94">
        <f t="shared" si="7"/>
        <v>0</v>
      </c>
    </row>
    <row r="95" spans="5:23" x14ac:dyDescent="0.25">
      <c r="E95" s="4"/>
      <c r="F95" s="4"/>
      <c r="G95" s="33" t="str">
        <f>IFERROR(VLOOKUP($D95,'Informations sur les produits'!$A$3:$H$10000,8,FALSE),"0")</f>
        <v>0</v>
      </c>
      <c r="K95" s="4"/>
      <c r="L95" s="33" t="str">
        <f>IFERROR(VLOOKUP($J95,'Informations sur les produits'!$A$3:$H$10000,8,FALSE),"0")</f>
        <v>0</v>
      </c>
      <c r="N95" s="8"/>
      <c r="O95" s="33" t="str">
        <f>IFERROR(VLOOKUP($M95,'Informations sur les produits'!$A$3:$H$10000,8,FALSE),"0")</f>
        <v>0</v>
      </c>
      <c r="P95" s="33">
        <f t="shared" si="4"/>
        <v>0</v>
      </c>
      <c r="Q95" s="31" t="str">
        <f t="shared" si="5"/>
        <v/>
      </c>
      <c r="R95" s="32" t="str">
        <f>IFERROR(VLOOKUP($D95,'Informations sur les produits'!$A$3:$B$15000,2,FALSE),"")</f>
        <v/>
      </c>
      <c r="V95">
        <f t="shared" si="6"/>
        <v>0</v>
      </c>
      <c r="W95">
        <f t="shared" si="7"/>
        <v>0</v>
      </c>
    </row>
    <row r="96" spans="5:23" x14ac:dyDescent="0.25">
      <c r="E96" s="4"/>
      <c r="F96" s="4"/>
      <c r="G96" s="33" t="str">
        <f>IFERROR(VLOOKUP($D96,'Informations sur les produits'!$A$3:$H$10000,8,FALSE),"0")</f>
        <v>0</v>
      </c>
      <c r="K96" s="4"/>
      <c r="L96" s="33" t="str">
        <f>IFERROR(VLOOKUP($J96,'Informations sur les produits'!$A$3:$H$10000,8,FALSE),"0")</f>
        <v>0</v>
      </c>
      <c r="N96" s="8"/>
      <c r="O96" s="33" t="str">
        <f>IFERROR(VLOOKUP($M96,'Informations sur les produits'!$A$3:$H$10000,8,FALSE),"0")</f>
        <v>0</v>
      </c>
      <c r="P96" s="33">
        <f t="shared" si="4"/>
        <v>0</v>
      </c>
      <c r="Q96" s="31" t="str">
        <f t="shared" si="5"/>
        <v/>
      </c>
      <c r="R96" s="32" t="str">
        <f>IFERROR(VLOOKUP($D96,'Informations sur les produits'!$A$3:$B$15000,2,FALSE),"")</f>
        <v/>
      </c>
      <c r="V96">
        <f t="shared" si="6"/>
        <v>0</v>
      </c>
      <c r="W96">
        <f t="shared" si="7"/>
        <v>0</v>
      </c>
    </row>
    <row r="97" spans="5:23" x14ac:dyDescent="0.25">
      <c r="E97" s="4"/>
      <c r="F97" s="4"/>
      <c r="G97" s="33" t="str">
        <f>IFERROR(VLOOKUP($D97,'Informations sur les produits'!$A$3:$H$10000,8,FALSE),"0")</f>
        <v>0</v>
      </c>
      <c r="K97" s="4"/>
      <c r="L97" s="33" t="str">
        <f>IFERROR(VLOOKUP($J97,'Informations sur les produits'!$A$3:$H$10000,8,FALSE),"0")</f>
        <v>0</v>
      </c>
      <c r="N97" s="8"/>
      <c r="O97" s="33" t="str">
        <f>IFERROR(VLOOKUP($M97,'Informations sur les produits'!$A$3:$H$10000,8,FALSE),"0")</f>
        <v>0</v>
      </c>
      <c r="P97" s="33">
        <f t="shared" si="4"/>
        <v>0</v>
      </c>
      <c r="Q97" s="31" t="str">
        <f t="shared" si="5"/>
        <v/>
      </c>
      <c r="R97" s="32" t="str">
        <f>IFERROR(VLOOKUP($D97,'Informations sur les produits'!$A$3:$B$15000,2,FALSE),"")</f>
        <v/>
      </c>
      <c r="V97">
        <f t="shared" si="6"/>
        <v>0</v>
      </c>
      <c r="W97">
        <f t="shared" si="7"/>
        <v>0</v>
      </c>
    </row>
    <row r="98" spans="5:23" x14ac:dyDescent="0.25">
      <c r="E98" s="4"/>
      <c r="F98" s="4"/>
      <c r="G98" s="33" t="str">
        <f>IFERROR(VLOOKUP($D98,'Informations sur les produits'!$A$3:$H$10000,8,FALSE),"0")</f>
        <v>0</v>
      </c>
      <c r="K98" s="4"/>
      <c r="L98" s="33" t="str">
        <f>IFERROR(VLOOKUP($J98,'Informations sur les produits'!$A$3:$H$10000,8,FALSE),"0")</f>
        <v>0</v>
      </c>
      <c r="N98" s="8"/>
      <c r="O98" s="33" t="str">
        <f>IFERROR(VLOOKUP($M98,'Informations sur les produits'!$A$3:$H$10000,8,FALSE),"0")</f>
        <v>0</v>
      </c>
      <c r="P98" s="33">
        <f t="shared" si="4"/>
        <v>0</v>
      </c>
      <c r="Q98" s="31" t="str">
        <f t="shared" si="5"/>
        <v/>
      </c>
      <c r="R98" s="32" t="str">
        <f>IFERROR(VLOOKUP($D98,'Informations sur les produits'!$A$3:$B$15000,2,FALSE),"")</f>
        <v/>
      </c>
      <c r="V98">
        <f t="shared" si="6"/>
        <v>0</v>
      </c>
      <c r="W98">
        <f t="shared" si="7"/>
        <v>0</v>
      </c>
    </row>
    <row r="99" spans="5:23" x14ac:dyDescent="0.25">
      <c r="E99" s="4"/>
      <c r="F99" s="4"/>
      <c r="G99" s="33" t="str">
        <f>IFERROR(VLOOKUP($D99,'Informations sur les produits'!$A$3:$H$10000,8,FALSE),"0")</f>
        <v>0</v>
      </c>
      <c r="K99" s="4"/>
      <c r="L99" s="33" t="str">
        <f>IFERROR(VLOOKUP($J99,'Informations sur les produits'!$A$3:$H$10000,8,FALSE),"0")</f>
        <v>0</v>
      </c>
      <c r="N99" s="8"/>
      <c r="O99" s="33" t="str">
        <f>IFERROR(VLOOKUP($M99,'Informations sur les produits'!$A$3:$H$10000,8,FALSE),"0")</f>
        <v>0</v>
      </c>
      <c r="P99" s="33">
        <f t="shared" si="4"/>
        <v>0</v>
      </c>
      <c r="Q99" s="31" t="str">
        <f t="shared" si="5"/>
        <v/>
      </c>
      <c r="R99" s="32" t="str">
        <f>IFERROR(VLOOKUP($D99,'Informations sur les produits'!$A$3:$B$15000,2,FALSE),"")</f>
        <v/>
      </c>
      <c r="V99">
        <f t="shared" si="6"/>
        <v>0</v>
      </c>
      <c r="W99">
        <f t="shared" si="7"/>
        <v>0</v>
      </c>
    </row>
    <row r="100" spans="5:23" x14ac:dyDescent="0.25">
      <c r="E100" s="4"/>
      <c r="F100" s="4"/>
      <c r="G100" s="33" t="str">
        <f>IFERROR(VLOOKUP($D100,'Informations sur les produits'!$A$3:$H$10000,8,FALSE),"0")</f>
        <v>0</v>
      </c>
      <c r="K100" s="4"/>
      <c r="L100" s="33" t="str">
        <f>IFERROR(VLOOKUP($J100,'Informations sur les produits'!$A$3:$H$10000,8,FALSE),"0")</f>
        <v>0</v>
      </c>
      <c r="N100" s="8"/>
      <c r="O100" s="33" t="str">
        <f>IFERROR(VLOOKUP($M100,'Informations sur les produits'!$A$3:$H$10000,8,FALSE),"0")</f>
        <v>0</v>
      </c>
      <c r="P100" s="33">
        <f t="shared" si="4"/>
        <v>0</v>
      </c>
      <c r="Q100" s="31" t="str">
        <f t="shared" si="5"/>
        <v/>
      </c>
      <c r="R100" s="32" t="str">
        <f>IFERROR(VLOOKUP($D100,'Informations sur les produits'!$A$3:$B$15000,2,FALSE),"")</f>
        <v/>
      </c>
      <c r="V100">
        <f t="shared" si="6"/>
        <v>0</v>
      </c>
      <c r="W100">
        <f t="shared" si="7"/>
        <v>0</v>
      </c>
    </row>
    <row r="101" spans="5:23" x14ac:dyDescent="0.25">
      <c r="E101" s="4"/>
      <c r="F101" s="4"/>
      <c r="G101" s="33" t="str">
        <f>IFERROR(VLOOKUP($D101,'Informations sur les produits'!$A$3:$H$10000,8,FALSE),"0")</f>
        <v>0</v>
      </c>
      <c r="K101" s="4"/>
      <c r="L101" s="33" t="str">
        <f>IFERROR(VLOOKUP($J101,'Informations sur les produits'!$A$3:$H$10000,8,FALSE),"0")</f>
        <v>0</v>
      </c>
      <c r="N101" s="8"/>
      <c r="O101" s="33" t="str">
        <f>IFERROR(VLOOKUP($M101,'Informations sur les produits'!$A$3:$H$10000,8,FALSE),"0")</f>
        <v>0</v>
      </c>
      <c r="P101" s="33">
        <f t="shared" si="4"/>
        <v>0</v>
      </c>
      <c r="Q101" s="31" t="str">
        <f t="shared" si="5"/>
        <v/>
      </c>
      <c r="R101" s="32" t="str">
        <f>IFERROR(VLOOKUP($D101,'Informations sur les produits'!$A$3:$B$15000,2,FALSE),"")</f>
        <v/>
      </c>
      <c r="V101">
        <f t="shared" si="6"/>
        <v>0</v>
      </c>
      <c r="W101">
        <f t="shared" si="7"/>
        <v>0</v>
      </c>
    </row>
    <row r="102" spans="5:23" x14ac:dyDescent="0.25">
      <c r="E102" s="4"/>
      <c r="F102" s="4"/>
      <c r="G102" s="33" t="str">
        <f>IFERROR(VLOOKUP($D102,'Informations sur les produits'!$A$3:$H$10000,8,FALSE),"0")</f>
        <v>0</v>
      </c>
      <c r="K102" s="4"/>
      <c r="L102" s="33" t="str">
        <f>IFERROR(VLOOKUP($J102,'Informations sur les produits'!$A$3:$H$10000,8,FALSE),"0")</f>
        <v>0</v>
      </c>
      <c r="N102" s="8"/>
      <c r="O102" s="33" t="str">
        <f>IFERROR(VLOOKUP($M102,'Informations sur les produits'!$A$3:$H$10000,8,FALSE),"0")</f>
        <v>0</v>
      </c>
      <c r="P102" s="33">
        <f t="shared" si="4"/>
        <v>0</v>
      </c>
      <c r="Q102" s="31" t="str">
        <f t="shared" si="5"/>
        <v/>
      </c>
      <c r="R102" s="32" t="str">
        <f>IFERROR(VLOOKUP($D102,'Informations sur les produits'!$A$3:$B$15000,2,FALSE),"")</f>
        <v/>
      </c>
      <c r="V102">
        <f t="shared" si="6"/>
        <v>0</v>
      </c>
      <c r="W102">
        <f t="shared" si="7"/>
        <v>0</v>
      </c>
    </row>
    <row r="103" spans="5:23" x14ac:dyDescent="0.25">
      <c r="E103" s="4"/>
      <c r="F103" s="4"/>
      <c r="G103" s="33" t="str">
        <f>IFERROR(VLOOKUP($D103,'Informations sur les produits'!$A$3:$H$10000,8,FALSE),"0")</f>
        <v>0</v>
      </c>
      <c r="K103" s="4"/>
      <c r="L103" s="33" t="str">
        <f>IFERROR(VLOOKUP($J103,'Informations sur les produits'!$A$3:$H$10000,8,FALSE),"0")</f>
        <v>0</v>
      </c>
      <c r="N103" s="8"/>
      <c r="O103" s="33" t="str">
        <f>IFERROR(VLOOKUP($M103,'Informations sur les produits'!$A$3:$H$10000,8,FALSE),"0")</f>
        <v>0</v>
      </c>
      <c r="P103" s="33">
        <f t="shared" si="4"/>
        <v>0</v>
      </c>
      <c r="Q103" s="31" t="str">
        <f t="shared" si="5"/>
        <v/>
      </c>
      <c r="R103" s="32" t="str">
        <f>IFERROR(VLOOKUP($D103,'Informations sur les produits'!$A$3:$B$15000,2,FALSE),"")</f>
        <v/>
      </c>
      <c r="V103">
        <f t="shared" si="6"/>
        <v>0</v>
      </c>
      <c r="W103">
        <f t="shared" si="7"/>
        <v>0</v>
      </c>
    </row>
    <row r="104" spans="5:23" x14ac:dyDescent="0.25">
      <c r="E104" s="4"/>
      <c r="F104" s="4"/>
      <c r="G104" s="33" t="str">
        <f>IFERROR(VLOOKUP($D104,'Informations sur les produits'!$A$3:$H$10000,8,FALSE),"0")</f>
        <v>0</v>
      </c>
      <c r="K104" s="4"/>
      <c r="L104" s="33" t="str">
        <f>IFERROR(VLOOKUP($J104,'Informations sur les produits'!$A$3:$H$10000,8,FALSE),"0")</f>
        <v>0</v>
      </c>
      <c r="N104" s="8"/>
      <c r="O104" s="33" t="str">
        <f>IFERROR(VLOOKUP($M104,'Informations sur les produits'!$A$3:$H$10000,8,FALSE),"0")</f>
        <v>0</v>
      </c>
      <c r="P104" s="33">
        <f t="shared" si="4"/>
        <v>0</v>
      </c>
      <c r="Q104" s="31" t="str">
        <f t="shared" si="5"/>
        <v/>
      </c>
      <c r="R104" s="32" t="str">
        <f>IFERROR(VLOOKUP($D104,'Informations sur les produits'!$A$3:$B$15000,2,FALSE),"")</f>
        <v/>
      </c>
      <c r="V104">
        <f t="shared" si="6"/>
        <v>0</v>
      </c>
      <c r="W104">
        <f t="shared" si="7"/>
        <v>0</v>
      </c>
    </row>
    <row r="105" spans="5:23" x14ac:dyDescent="0.25">
      <c r="E105" s="4"/>
      <c r="F105" s="4"/>
      <c r="G105" s="33" t="str">
        <f>IFERROR(VLOOKUP($D105,'Informations sur les produits'!$A$3:$H$10000,8,FALSE),"0")</f>
        <v>0</v>
      </c>
      <c r="K105" s="4"/>
      <c r="L105" s="33" t="str">
        <f>IFERROR(VLOOKUP($J105,'Informations sur les produits'!$A$3:$H$10000,8,FALSE),"0")</f>
        <v>0</v>
      </c>
      <c r="N105" s="8"/>
      <c r="O105" s="33" t="str">
        <f>IFERROR(VLOOKUP($M105,'Informations sur les produits'!$A$3:$H$10000,8,FALSE),"0")</f>
        <v>0</v>
      </c>
      <c r="P105" s="33">
        <f t="shared" si="4"/>
        <v>0</v>
      </c>
      <c r="Q105" s="31" t="str">
        <f t="shared" si="5"/>
        <v/>
      </c>
      <c r="R105" s="32" t="str">
        <f>IFERROR(VLOOKUP($D105,'Informations sur les produits'!$A$3:$B$15000,2,FALSE),"")</f>
        <v/>
      </c>
      <c r="V105">
        <f t="shared" si="6"/>
        <v>0</v>
      </c>
      <c r="W105">
        <f t="shared" si="7"/>
        <v>0</v>
      </c>
    </row>
    <row r="106" spans="5:23" x14ac:dyDescent="0.25">
      <c r="E106" s="4"/>
      <c r="F106" s="4"/>
      <c r="G106" s="33" t="str">
        <f>IFERROR(VLOOKUP($D106,'Informations sur les produits'!$A$3:$H$10000,8,FALSE),"0")</f>
        <v>0</v>
      </c>
      <c r="K106" s="4"/>
      <c r="L106" s="33" t="str">
        <f>IFERROR(VLOOKUP($J106,'Informations sur les produits'!$A$3:$H$10000,8,FALSE),"0")</f>
        <v>0</v>
      </c>
      <c r="N106" s="8"/>
      <c r="O106" s="33" t="str">
        <f>IFERROR(VLOOKUP($M106,'Informations sur les produits'!$A$3:$H$10000,8,FALSE),"0")</f>
        <v>0</v>
      </c>
      <c r="P106" s="33">
        <f t="shared" si="4"/>
        <v>0</v>
      </c>
      <c r="Q106" s="31" t="str">
        <f t="shared" si="5"/>
        <v/>
      </c>
      <c r="R106" s="32" t="str">
        <f>IFERROR(VLOOKUP($D106,'Informations sur les produits'!$A$3:$B$15000,2,FALSE),"")</f>
        <v/>
      </c>
      <c r="V106">
        <f t="shared" si="6"/>
        <v>0</v>
      </c>
      <c r="W106">
        <f t="shared" si="7"/>
        <v>0</v>
      </c>
    </row>
    <row r="107" spans="5:23" x14ac:dyDescent="0.25">
      <c r="E107" s="4"/>
      <c r="F107" s="4"/>
      <c r="G107" s="33" t="str">
        <f>IFERROR(VLOOKUP($D107,'Informations sur les produits'!$A$3:$H$10000,8,FALSE),"0")</f>
        <v>0</v>
      </c>
      <c r="K107" s="4"/>
      <c r="L107" s="33" t="str">
        <f>IFERROR(VLOOKUP($J107,'Informations sur les produits'!$A$3:$H$10000,8,FALSE),"0")</f>
        <v>0</v>
      </c>
      <c r="N107" s="8"/>
      <c r="O107" s="33" t="str">
        <f>IFERROR(VLOOKUP($M107,'Informations sur les produits'!$A$3:$H$10000,8,FALSE),"0")</f>
        <v>0</v>
      </c>
      <c r="P107" s="33">
        <f t="shared" si="4"/>
        <v>0</v>
      </c>
      <c r="Q107" s="31" t="str">
        <f t="shared" si="5"/>
        <v/>
      </c>
      <c r="R107" s="32" t="str">
        <f>IFERROR(VLOOKUP($D107,'Informations sur les produits'!$A$3:$B$15000,2,FALSE),"")</f>
        <v/>
      </c>
      <c r="V107">
        <f t="shared" si="6"/>
        <v>0</v>
      </c>
      <c r="W107">
        <f t="shared" si="7"/>
        <v>0</v>
      </c>
    </row>
    <row r="108" spans="5:23" x14ac:dyDescent="0.25">
      <c r="E108" s="4"/>
      <c r="F108" s="4"/>
      <c r="G108" s="33" t="str">
        <f>IFERROR(VLOOKUP($D108,'Informations sur les produits'!$A$3:$H$10000,8,FALSE),"0")</f>
        <v>0</v>
      </c>
      <c r="K108" s="4"/>
      <c r="L108" s="33" t="str">
        <f>IFERROR(VLOOKUP($J108,'Informations sur les produits'!$A$3:$H$10000,8,FALSE),"0")</f>
        <v>0</v>
      </c>
      <c r="N108" s="8"/>
      <c r="O108" s="33" t="str">
        <f>IFERROR(VLOOKUP($M108,'Informations sur les produits'!$A$3:$H$10000,8,FALSE),"0")</f>
        <v>0</v>
      </c>
      <c r="P108" s="33">
        <f t="shared" si="4"/>
        <v>0</v>
      </c>
      <c r="Q108" s="31" t="str">
        <f t="shared" si="5"/>
        <v/>
      </c>
      <c r="R108" s="32" t="str">
        <f>IFERROR(VLOOKUP($D108,'Informations sur les produits'!$A$3:$B$15000,2,FALSE),"")</f>
        <v/>
      </c>
      <c r="V108">
        <f t="shared" si="6"/>
        <v>0</v>
      </c>
      <c r="W108">
        <f t="shared" si="7"/>
        <v>0</v>
      </c>
    </row>
    <row r="109" spans="5:23" x14ac:dyDescent="0.25">
      <c r="E109" s="4"/>
      <c r="F109" s="4"/>
      <c r="G109" s="33" t="str">
        <f>IFERROR(VLOOKUP($D109,'Informations sur les produits'!$A$3:$H$10000,8,FALSE),"0")</f>
        <v>0</v>
      </c>
      <c r="K109" s="4"/>
      <c r="L109" s="33" t="str">
        <f>IFERROR(VLOOKUP($J109,'Informations sur les produits'!$A$3:$H$10000,8,FALSE),"0")</f>
        <v>0</v>
      </c>
      <c r="N109" s="8"/>
      <c r="O109" s="33" t="str">
        <f>IFERROR(VLOOKUP($M109,'Informations sur les produits'!$A$3:$H$10000,8,FALSE),"0")</f>
        <v>0</v>
      </c>
      <c r="P109" s="33">
        <f t="shared" si="4"/>
        <v>0</v>
      </c>
      <c r="Q109" s="31" t="str">
        <f t="shared" si="5"/>
        <v/>
      </c>
      <c r="R109" s="32" t="str">
        <f>IFERROR(VLOOKUP($D109,'Informations sur les produits'!$A$3:$B$15000,2,FALSE),"")</f>
        <v/>
      </c>
      <c r="V109">
        <f t="shared" si="6"/>
        <v>0</v>
      </c>
      <c r="W109">
        <f t="shared" si="7"/>
        <v>0</v>
      </c>
    </row>
    <row r="110" spans="5:23" x14ac:dyDescent="0.25">
      <c r="E110" s="4"/>
      <c r="F110" s="4"/>
      <c r="G110" s="33" t="str">
        <f>IFERROR(VLOOKUP($D110,'Informations sur les produits'!$A$3:$H$10000,8,FALSE),"0")</f>
        <v>0</v>
      </c>
      <c r="K110" s="4"/>
      <c r="L110" s="33" t="str">
        <f>IFERROR(VLOOKUP($J110,'Informations sur les produits'!$A$3:$H$10000,8,FALSE),"0")</f>
        <v>0</v>
      </c>
      <c r="N110" s="8"/>
      <c r="O110" s="33" t="str">
        <f>IFERROR(VLOOKUP($M110,'Informations sur les produits'!$A$3:$H$10000,8,FALSE),"0")</f>
        <v>0</v>
      </c>
      <c r="P110" s="33">
        <f t="shared" si="4"/>
        <v>0</v>
      </c>
      <c r="Q110" s="31" t="str">
        <f t="shared" si="5"/>
        <v/>
      </c>
      <c r="R110" s="32" t="str">
        <f>IFERROR(VLOOKUP($D110,'Informations sur les produits'!$A$3:$B$15000,2,FALSE),"")</f>
        <v/>
      </c>
      <c r="V110">
        <f t="shared" si="6"/>
        <v>0</v>
      </c>
      <c r="W110">
        <f t="shared" si="7"/>
        <v>0</v>
      </c>
    </row>
    <row r="111" spans="5:23" x14ac:dyDescent="0.25">
      <c r="E111" s="4"/>
      <c r="F111" s="4"/>
      <c r="G111" s="33" t="str">
        <f>IFERROR(VLOOKUP($D111,'Informations sur les produits'!$A$3:$H$10000,8,FALSE),"0")</f>
        <v>0</v>
      </c>
      <c r="K111" s="4"/>
      <c r="L111" s="33" t="str">
        <f>IFERROR(VLOOKUP($J111,'Informations sur les produits'!$A$3:$H$10000,8,FALSE),"0")</f>
        <v>0</v>
      </c>
      <c r="N111" s="8"/>
      <c r="O111" s="33" t="str">
        <f>IFERROR(VLOOKUP($M111,'Informations sur les produits'!$A$3:$H$10000,8,FALSE),"0")</f>
        <v>0</v>
      </c>
      <c r="P111" s="33">
        <f t="shared" si="4"/>
        <v>0</v>
      </c>
      <c r="Q111" s="31" t="str">
        <f t="shared" si="5"/>
        <v/>
      </c>
      <c r="R111" s="32" t="str">
        <f>IFERROR(VLOOKUP($D111,'Informations sur les produits'!$A$3:$B$15000,2,FALSE),"")</f>
        <v/>
      </c>
      <c r="V111">
        <f t="shared" si="6"/>
        <v>0</v>
      </c>
      <c r="W111">
        <f t="shared" si="7"/>
        <v>0</v>
      </c>
    </row>
    <row r="112" spans="5:23" x14ac:dyDescent="0.25">
      <c r="E112" s="4"/>
      <c r="F112" s="4"/>
      <c r="G112" s="33" t="str">
        <f>IFERROR(VLOOKUP($D112,'Informations sur les produits'!$A$3:$H$10000,8,FALSE),"0")</f>
        <v>0</v>
      </c>
      <c r="K112" s="4"/>
      <c r="L112" s="33" t="str">
        <f>IFERROR(VLOOKUP($J112,'Informations sur les produits'!$A$3:$H$10000,8,FALSE),"0")</f>
        <v>0</v>
      </c>
      <c r="N112" s="8"/>
      <c r="O112" s="33" t="str">
        <f>IFERROR(VLOOKUP($M112,'Informations sur les produits'!$A$3:$H$10000,8,FALSE),"0")</f>
        <v>0</v>
      </c>
      <c r="P112" s="33">
        <f t="shared" si="4"/>
        <v>0</v>
      </c>
      <c r="Q112" s="31" t="str">
        <f t="shared" si="5"/>
        <v/>
      </c>
      <c r="R112" s="32" t="str">
        <f>IFERROR(VLOOKUP($D112,'Informations sur les produits'!$A$3:$B$15000,2,FALSE),"")</f>
        <v/>
      </c>
      <c r="V112">
        <f t="shared" si="6"/>
        <v>0</v>
      </c>
      <c r="W112">
        <f t="shared" si="7"/>
        <v>0</v>
      </c>
    </row>
    <row r="113" spans="5:23" x14ac:dyDescent="0.25">
      <c r="E113" s="4"/>
      <c r="F113" s="4"/>
      <c r="G113" s="33" t="str">
        <f>IFERROR(VLOOKUP($D113,'Informations sur les produits'!$A$3:$H$10000,8,FALSE),"0")</f>
        <v>0</v>
      </c>
      <c r="K113" s="4"/>
      <c r="L113" s="33" t="str">
        <f>IFERROR(VLOOKUP($J113,'Informations sur les produits'!$A$3:$H$10000,8,FALSE),"0")</f>
        <v>0</v>
      </c>
      <c r="N113" s="8"/>
      <c r="O113" s="33" t="str">
        <f>IFERROR(VLOOKUP($M113,'Informations sur les produits'!$A$3:$H$10000,8,FALSE),"0")</f>
        <v>0</v>
      </c>
      <c r="P113" s="33">
        <f t="shared" si="4"/>
        <v>0</v>
      </c>
      <c r="Q113" s="31" t="str">
        <f t="shared" si="5"/>
        <v/>
      </c>
      <c r="R113" s="32" t="str">
        <f>IFERROR(VLOOKUP($D113,'Informations sur les produits'!$A$3:$B$15000,2,FALSE),"")</f>
        <v/>
      </c>
      <c r="V113">
        <f t="shared" si="6"/>
        <v>0</v>
      </c>
      <c r="W113">
        <f t="shared" si="7"/>
        <v>0</v>
      </c>
    </row>
    <row r="114" spans="5:23" x14ac:dyDescent="0.25">
      <c r="E114" s="4"/>
      <c r="F114" s="4"/>
      <c r="G114" s="33" t="str">
        <f>IFERROR(VLOOKUP($D114,'Informations sur les produits'!$A$3:$H$10000,8,FALSE),"0")</f>
        <v>0</v>
      </c>
      <c r="K114" s="4"/>
      <c r="L114" s="33" t="str">
        <f>IFERROR(VLOOKUP($J114,'Informations sur les produits'!$A$3:$H$10000,8,FALSE),"0")</f>
        <v>0</v>
      </c>
      <c r="N114" s="8"/>
      <c r="O114" s="33" t="str">
        <f>IFERROR(VLOOKUP($M114,'Informations sur les produits'!$A$3:$H$10000,8,FALSE),"0")</f>
        <v>0</v>
      </c>
      <c r="P114" s="33">
        <f t="shared" si="4"/>
        <v>0</v>
      </c>
      <c r="Q114" s="31" t="str">
        <f t="shared" si="5"/>
        <v/>
      </c>
      <c r="R114" s="32" t="str">
        <f>IFERROR(VLOOKUP($D114,'Informations sur les produits'!$A$3:$B$15000,2,FALSE),"")</f>
        <v/>
      </c>
      <c r="V114">
        <f t="shared" si="6"/>
        <v>0</v>
      </c>
      <c r="W114">
        <f t="shared" si="7"/>
        <v>0</v>
      </c>
    </row>
    <row r="115" spans="5:23" x14ac:dyDescent="0.25">
      <c r="E115" s="4"/>
      <c r="F115" s="4"/>
      <c r="G115" s="33" t="str">
        <f>IFERROR(VLOOKUP($D115,'Informations sur les produits'!$A$3:$H$10000,8,FALSE),"0")</f>
        <v>0</v>
      </c>
      <c r="K115" s="4"/>
      <c r="L115" s="33" t="str">
        <f>IFERROR(VLOOKUP($J115,'Informations sur les produits'!$A$3:$H$10000,8,FALSE),"0")</f>
        <v>0</v>
      </c>
      <c r="N115" s="8"/>
      <c r="O115" s="33" t="str">
        <f>IFERROR(VLOOKUP($M115,'Informations sur les produits'!$A$3:$H$10000,8,FALSE),"0")</f>
        <v>0</v>
      </c>
      <c r="P115" s="33">
        <f t="shared" si="4"/>
        <v>0</v>
      </c>
      <c r="Q115" s="31" t="str">
        <f t="shared" si="5"/>
        <v/>
      </c>
      <c r="R115" s="32" t="str">
        <f>IFERROR(VLOOKUP($D115,'Informations sur les produits'!$A$3:$B$15000,2,FALSE),"")</f>
        <v/>
      </c>
      <c r="V115">
        <f t="shared" si="6"/>
        <v>0</v>
      </c>
      <c r="W115">
        <f t="shared" si="7"/>
        <v>0</v>
      </c>
    </row>
    <row r="116" spans="5:23" x14ac:dyDescent="0.25">
      <c r="E116" s="4"/>
      <c r="F116" s="4"/>
      <c r="G116" s="33" t="str">
        <f>IFERROR(VLOOKUP($D116,'Informations sur les produits'!$A$3:$H$10000,8,FALSE),"0")</f>
        <v>0</v>
      </c>
      <c r="K116" s="4"/>
      <c r="L116" s="33" t="str">
        <f>IFERROR(VLOOKUP($J116,'Informations sur les produits'!$A$3:$H$10000,8,FALSE),"0")</f>
        <v>0</v>
      </c>
      <c r="N116" s="8"/>
      <c r="O116" s="33" t="str">
        <f>IFERROR(VLOOKUP($M116,'Informations sur les produits'!$A$3:$H$10000,8,FALSE),"0")</f>
        <v>0</v>
      </c>
      <c r="P116" s="33">
        <f t="shared" si="4"/>
        <v>0</v>
      </c>
      <c r="Q116" s="31" t="str">
        <f t="shared" si="5"/>
        <v/>
      </c>
      <c r="R116" s="32" t="str">
        <f>IFERROR(VLOOKUP($D116,'Informations sur les produits'!$A$3:$B$15000,2,FALSE),"")</f>
        <v/>
      </c>
      <c r="V116">
        <f t="shared" si="6"/>
        <v>0</v>
      </c>
      <c r="W116">
        <f t="shared" si="7"/>
        <v>0</v>
      </c>
    </row>
    <row r="117" spans="5:23" x14ac:dyDescent="0.25">
      <c r="E117" s="4"/>
      <c r="F117" s="4"/>
      <c r="G117" s="33" t="str">
        <f>IFERROR(VLOOKUP($D117,'Informations sur les produits'!$A$3:$H$10000,8,FALSE),"0")</f>
        <v>0</v>
      </c>
      <c r="K117" s="4"/>
      <c r="L117" s="33" t="str">
        <f>IFERROR(VLOOKUP($J117,'Informations sur les produits'!$A$3:$H$10000,8,FALSE),"0")</f>
        <v>0</v>
      </c>
      <c r="N117" s="8"/>
      <c r="O117" s="33" t="str">
        <f>IFERROR(VLOOKUP($M117,'Informations sur les produits'!$A$3:$H$10000,8,FALSE),"0")</f>
        <v>0</v>
      </c>
      <c r="P117" s="33">
        <f t="shared" si="4"/>
        <v>0</v>
      </c>
      <c r="Q117" s="31" t="str">
        <f t="shared" si="5"/>
        <v/>
      </c>
      <c r="R117" s="32" t="str">
        <f>IFERROR(VLOOKUP($D117,'Informations sur les produits'!$A$3:$B$15000,2,FALSE),"")</f>
        <v/>
      </c>
      <c r="V117">
        <f t="shared" si="6"/>
        <v>0</v>
      </c>
      <c r="W117">
        <f t="shared" si="7"/>
        <v>0</v>
      </c>
    </row>
    <row r="118" spans="5:23" x14ac:dyDescent="0.25">
      <c r="E118" s="4"/>
      <c r="F118" s="4"/>
      <c r="G118" s="33" t="str">
        <f>IFERROR(VLOOKUP($D118,'Informations sur les produits'!$A$3:$H$10000,8,FALSE),"0")</f>
        <v>0</v>
      </c>
      <c r="K118" s="4"/>
      <c r="L118" s="33" t="str">
        <f>IFERROR(VLOOKUP($J118,'Informations sur les produits'!$A$3:$H$10000,8,FALSE),"0")</f>
        <v>0</v>
      </c>
      <c r="N118" s="8"/>
      <c r="O118" s="33" t="str">
        <f>IFERROR(VLOOKUP($M118,'Informations sur les produits'!$A$3:$H$10000,8,FALSE),"0")</f>
        <v>0</v>
      </c>
      <c r="P118" s="33">
        <f t="shared" si="4"/>
        <v>0</v>
      </c>
      <c r="Q118" s="31" t="str">
        <f t="shared" si="5"/>
        <v/>
      </c>
      <c r="R118" s="32" t="str">
        <f>IFERROR(VLOOKUP($D118,'Informations sur les produits'!$A$3:$B$15000,2,FALSE),"")</f>
        <v/>
      </c>
      <c r="V118">
        <f t="shared" si="6"/>
        <v>0</v>
      </c>
      <c r="W118">
        <f t="shared" si="7"/>
        <v>0</v>
      </c>
    </row>
    <row r="119" spans="5:23" x14ac:dyDescent="0.25">
      <c r="E119" s="4"/>
      <c r="F119" s="4"/>
      <c r="G119" s="33" t="str">
        <f>IFERROR(VLOOKUP($D119,'Informations sur les produits'!$A$3:$H$10000,8,FALSE),"0")</f>
        <v>0</v>
      </c>
      <c r="K119" s="4"/>
      <c r="L119" s="33" t="str">
        <f>IFERROR(VLOOKUP($J119,'Informations sur les produits'!$A$3:$H$10000,8,FALSE),"0")</f>
        <v>0</v>
      </c>
      <c r="N119" s="8"/>
      <c r="O119" s="33" t="str">
        <f>IFERROR(VLOOKUP($M119,'Informations sur les produits'!$A$3:$H$10000,8,FALSE),"0")</f>
        <v>0</v>
      </c>
      <c r="P119" s="33">
        <f t="shared" si="4"/>
        <v>0</v>
      </c>
      <c r="Q119" s="31" t="str">
        <f t="shared" si="5"/>
        <v/>
      </c>
      <c r="R119" s="32" t="str">
        <f>IFERROR(VLOOKUP($D119,'Informations sur les produits'!$A$3:$B$15000,2,FALSE),"")</f>
        <v/>
      </c>
      <c r="V119">
        <f t="shared" si="6"/>
        <v>0</v>
      </c>
      <c r="W119">
        <f t="shared" si="7"/>
        <v>0</v>
      </c>
    </row>
    <row r="120" spans="5:23" x14ac:dyDescent="0.25">
      <c r="E120" s="4"/>
      <c r="F120" s="4"/>
      <c r="G120" s="33" t="str">
        <f>IFERROR(VLOOKUP($D120,'Informations sur les produits'!$A$3:$H$10000,8,FALSE),"0")</f>
        <v>0</v>
      </c>
      <c r="K120" s="4"/>
      <c r="L120" s="33" t="str">
        <f>IFERROR(VLOOKUP($J120,'Informations sur les produits'!$A$3:$H$10000,8,FALSE),"0")</f>
        <v>0</v>
      </c>
      <c r="N120" s="8"/>
      <c r="O120" s="33" t="str">
        <f>IFERROR(VLOOKUP($M120,'Informations sur les produits'!$A$3:$H$10000,8,FALSE),"0")</f>
        <v>0</v>
      </c>
      <c r="P120" s="33">
        <f t="shared" si="4"/>
        <v>0</v>
      </c>
      <c r="Q120" s="31" t="str">
        <f t="shared" si="5"/>
        <v/>
      </c>
      <c r="R120" s="32" t="str">
        <f>IFERROR(VLOOKUP($D120,'Informations sur les produits'!$A$3:$B$15000,2,FALSE),"")</f>
        <v/>
      </c>
      <c r="V120">
        <f t="shared" si="6"/>
        <v>0</v>
      </c>
      <c r="W120">
        <f t="shared" si="7"/>
        <v>0</v>
      </c>
    </row>
    <row r="121" spans="5:23" x14ac:dyDescent="0.25">
      <c r="E121" s="4"/>
      <c r="F121" s="4"/>
      <c r="G121" s="33" t="str">
        <f>IFERROR(VLOOKUP($D121,'Informations sur les produits'!$A$3:$H$10000,8,FALSE),"0")</f>
        <v>0</v>
      </c>
      <c r="K121" s="4"/>
      <c r="L121" s="33" t="str">
        <f>IFERROR(VLOOKUP($J121,'Informations sur les produits'!$A$3:$H$10000,8,FALSE),"0")</f>
        <v>0</v>
      </c>
      <c r="N121" s="8"/>
      <c r="O121" s="33" t="str">
        <f>IFERROR(VLOOKUP($M121,'Informations sur les produits'!$A$3:$H$10000,8,FALSE),"0")</f>
        <v>0</v>
      </c>
      <c r="P121" s="33">
        <f t="shared" si="4"/>
        <v>0</v>
      </c>
      <c r="Q121" s="31" t="str">
        <f t="shared" si="5"/>
        <v/>
      </c>
      <c r="R121" s="32" t="str">
        <f>IFERROR(VLOOKUP($D121,'Informations sur les produits'!$A$3:$B$15000,2,FALSE),"")</f>
        <v/>
      </c>
      <c r="V121">
        <f t="shared" si="6"/>
        <v>0</v>
      </c>
      <c r="W121">
        <f t="shared" si="7"/>
        <v>0</v>
      </c>
    </row>
    <row r="122" spans="5:23" x14ac:dyDescent="0.25">
      <c r="E122" s="4"/>
      <c r="F122" s="4"/>
      <c r="G122" s="33" t="str">
        <f>IFERROR(VLOOKUP($D122,'Informations sur les produits'!$A$3:$H$10000,8,FALSE),"0")</f>
        <v>0</v>
      </c>
      <c r="K122" s="4"/>
      <c r="L122" s="33" t="str">
        <f>IFERROR(VLOOKUP($J122,'Informations sur les produits'!$A$3:$H$10000,8,FALSE),"0")</f>
        <v>0</v>
      </c>
      <c r="N122" s="8"/>
      <c r="O122" s="33" t="str">
        <f>IFERROR(VLOOKUP($M122,'Informations sur les produits'!$A$3:$H$10000,8,FALSE),"0")</f>
        <v>0</v>
      </c>
      <c r="P122" s="33">
        <f t="shared" si="4"/>
        <v>0</v>
      </c>
      <c r="Q122" s="31" t="str">
        <f t="shared" si="5"/>
        <v/>
      </c>
      <c r="R122" s="32" t="str">
        <f>IFERROR(VLOOKUP($D122,'Informations sur les produits'!$A$3:$B$15000,2,FALSE),"")</f>
        <v/>
      </c>
      <c r="V122">
        <f t="shared" si="6"/>
        <v>0</v>
      </c>
      <c r="W122">
        <f t="shared" si="7"/>
        <v>0</v>
      </c>
    </row>
    <row r="123" spans="5:23" x14ac:dyDescent="0.25">
      <c r="E123" s="4"/>
      <c r="F123" s="4"/>
      <c r="G123" s="33" t="str">
        <f>IFERROR(VLOOKUP($D123,'Informations sur les produits'!$A$3:$H$10000,8,FALSE),"0")</f>
        <v>0</v>
      </c>
      <c r="K123" s="4"/>
      <c r="L123" s="33" t="str">
        <f>IFERROR(VLOOKUP($J123,'Informations sur les produits'!$A$3:$H$10000,8,FALSE),"0")</f>
        <v>0</v>
      </c>
      <c r="N123" s="8"/>
      <c r="O123" s="33" t="str">
        <f>IFERROR(VLOOKUP($M123,'Informations sur les produits'!$A$3:$H$10000,8,FALSE),"0")</f>
        <v>0</v>
      </c>
      <c r="P123" s="33">
        <f t="shared" si="4"/>
        <v>0</v>
      </c>
      <c r="Q123" s="31" t="str">
        <f t="shared" si="5"/>
        <v/>
      </c>
      <c r="R123" s="32" t="str">
        <f>IFERROR(VLOOKUP($D123,'Informations sur les produits'!$A$3:$B$15000,2,FALSE),"")</f>
        <v/>
      </c>
      <c r="V123">
        <f t="shared" si="6"/>
        <v>0</v>
      </c>
      <c r="W123">
        <f t="shared" si="7"/>
        <v>0</v>
      </c>
    </row>
    <row r="124" spans="5:23" x14ac:dyDescent="0.25">
      <c r="E124" s="4"/>
      <c r="F124" s="4"/>
      <c r="G124" s="33" t="str">
        <f>IFERROR(VLOOKUP($D124,'Informations sur les produits'!$A$3:$H$10000,8,FALSE),"0")</f>
        <v>0</v>
      </c>
      <c r="K124" s="4"/>
      <c r="L124" s="33" t="str">
        <f>IFERROR(VLOOKUP($J124,'Informations sur les produits'!$A$3:$H$10000,8,FALSE),"0")</f>
        <v>0</v>
      </c>
      <c r="N124" s="8"/>
      <c r="O124" s="33" t="str">
        <f>IFERROR(VLOOKUP($M124,'Informations sur les produits'!$A$3:$H$10000,8,FALSE),"0")</f>
        <v>0</v>
      </c>
      <c r="P124" s="33">
        <f t="shared" si="4"/>
        <v>0</v>
      </c>
      <c r="Q124" s="31" t="str">
        <f t="shared" si="5"/>
        <v/>
      </c>
      <c r="R124" s="32" t="str">
        <f>IFERROR(VLOOKUP($D124,'Informations sur les produits'!$A$3:$B$15000,2,FALSE),"")</f>
        <v/>
      </c>
      <c r="V124">
        <f t="shared" si="6"/>
        <v>0</v>
      </c>
      <c r="W124">
        <f t="shared" si="7"/>
        <v>0</v>
      </c>
    </row>
    <row r="125" spans="5:23" x14ac:dyDescent="0.25">
      <c r="E125" s="4"/>
      <c r="F125" s="4"/>
      <c r="G125" s="33" t="str">
        <f>IFERROR(VLOOKUP($D125,'Informations sur les produits'!$A$3:$H$10000,8,FALSE),"0")</f>
        <v>0</v>
      </c>
      <c r="K125" s="4"/>
      <c r="L125" s="33" t="str">
        <f>IFERROR(VLOOKUP($J125,'Informations sur les produits'!$A$3:$H$10000,8,FALSE),"0")</f>
        <v>0</v>
      </c>
      <c r="N125" s="8"/>
      <c r="O125" s="33" t="str">
        <f>IFERROR(VLOOKUP($M125,'Informations sur les produits'!$A$3:$H$10000,8,FALSE),"0")</f>
        <v>0</v>
      </c>
      <c r="P125" s="33">
        <f t="shared" si="4"/>
        <v>0</v>
      </c>
      <c r="Q125" s="31" t="str">
        <f t="shared" si="5"/>
        <v/>
      </c>
      <c r="R125" s="32" t="str">
        <f>IFERROR(VLOOKUP($D125,'Informations sur les produits'!$A$3:$B$15000,2,FALSE),"")</f>
        <v/>
      </c>
      <c r="V125">
        <f t="shared" si="6"/>
        <v>0</v>
      </c>
      <c r="W125">
        <f t="shared" si="7"/>
        <v>0</v>
      </c>
    </row>
    <row r="126" spans="5:23" x14ac:dyDescent="0.25">
      <c r="E126" s="4"/>
      <c r="F126" s="4"/>
      <c r="G126" s="33" t="str">
        <f>IFERROR(VLOOKUP($D126,'Informations sur les produits'!$A$3:$H$10000,8,FALSE),"0")</f>
        <v>0</v>
      </c>
      <c r="K126" s="4"/>
      <c r="L126" s="33" t="str">
        <f>IFERROR(VLOOKUP($J126,'Informations sur les produits'!$A$3:$H$10000,8,FALSE),"0")</f>
        <v>0</v>
      </c>
      <c r="N126" s="8"/>
      <c r="O126" s="33" t="str">
        <f>IFERROR(VLOOKUP($M126,'Informations sur les produits'!$A$3:$H$10000,8,FALSE),"0")</f>
        <v>0</v>
      </c>
      <c r="P126" s="33">
        <f t="shared" si="4"/>
        <v>0</v>
      </c>
      <c r="Q126" s="31" t="str">
        <f t="shared" si="5"/>
        <v/>
      </c>
      <c r="R126" s="32" t="str">
        <f>IFERROR(VLOOKUP($D126,'Informations sur les produits'!$A$3:$B$15000,2,FALSE),"")</f>
        <v/>
      </c>
      <c r="V126">
        <f t="shared" si="6"/>
        <v>0</v>
      </c>
      <c r="W126">
        <f t="shared" si="7"/>
        <v>0</v>
      </c>
    </row>
    <row r="127" spans="5:23" x14ac:dyDescent="0.25">
      <c r="E127" s="4"/>
      <c r="F127" s="4"/>
      <c r="G127" s="33" t="str">
        <f>IFERROR(VLOOKUP($D127,'Informations sur les produits'!$A$3:$H$10000,8,FALSE),"0")</f>
        <v>0</v>
      </c>
      <c r="K127" s="4"/>
      <c r="L127" s="33" t="str">
        <f>IFERROR(VLOOKUP($J127,'Informations sur les produits'!$A$3:$H$10000,8,FALSE),"0")</f>
        <v>0</v>
      </c>
      <c r="N127" s="8"/>
      <c r="O127" s="33" t="str">
        <f>IFERROR(VLOOKUP($M127,'Informations sur les produits'!$A$3:$H$10000,8,FALSE),"0")</f>
        <v>0</v>
      </c>
      <c r="P127" s="33">
        <f t="shared" si="4"/>
        <v>0</v>
      </c>
      <c r="Q127" s="31" t="str">
        <f t="shared" si="5"/>
        <v/>
      </c>
      <c r="R127" s="32" t="str">
        <f>IFERROR(VLOOKUP($D127,'Informations sur les produits'!$A$3:$B$15000,2,FALSE),"")</f>
        <v/>
      </c>
      <c r="V127">
        <f t="shared" si="6"/>
        <v>0</v>
      </c>
      <c r="W127">
        <f t="shared" si="7"/>
        <v>0</v>
      </c>
    </row>
    <row r="128" spans="5:23" x14ac:dyDescent="0.25">
      <c r="E128" s="4"/>
      <c r="F128" s="4"/>
      <c r="G128" s="33" t="str">
        <f>IFERROR(VLOOKUP($D128,'Informations sur les produits'!$A$3:$H$10000,8,FALSE),"0")</f>
        <v>0</v>
      </c>
      <c r="K128" s="4"/>
      <c r="L128" s="33" t="str">
        <f>IFERROR(VLOOKUP($J128,'Informations sur les produits'!$A$3:$H$10000,8,FALSE),"0")</f>
        <v>0</v>
      </c>
      <c r="N128" s="8"/>
      <c r="O128" s="33" t="str">
        <f>IFERROR(VLOOKUP($M128,'Informations sur les produits'!$A$3:$H$10000,8,FALSE),"0")</f>
        <v>0</v>
      </c>
      <c r="P128" s="33">
        <f t="shared" si="4"/>
        <v>0</v>
      </c>
      <c r="Q128" s="31" t="str">
        <f t="shared" si="5"/>
        <v/>
      </c>
      <c r="R128" s="32" t="str">
        <f>IFERROR(VLOOKUP($D128,'Informations sur les produits'!$A$3:$B$15000,2,FALSE),"")</f>
        <v/>
      </c>
      <c r="V128">
        <f t="shared" si="6"/>
        <v>0</v>
      </c>
      <c r="W128">
        <f t="shared" si="7"/>
        <v>0</v>
      </c>
    </row>
    <row r="129" spans="5:23" x14ac:dyDescent="0.25">
      <c r="E129" s="4"/>
      <c r="F129" s="4"/>
      <c r="G129" s="33" t="str">
        <f>IFERROR(VLOOKUP($D129,'Informations sur les produits'!$A$3:$H$10000,8,FALSE),"0")</f>
        <v>0</v>
      </c>
      <c r="K129" s="4"/>
      <c r="L129" s="33" t="str">
        <f>IFERROR(VLOOKUP($J129,'Informations sur les produits'!$A$3:$H$10000,8,FALSE),"0")</f>
        <v>0</v>
      </c>
      <c r="N129" s="8"/>
      <c r="O129" s="33" t="str">
        <f>IFERROR(VLOOKUP($M129,'Informations sur les produits'!$A$3:$H$10000,8,FALSE),"0")</f>
        <v>0</v>
      </c>
      <c r="P129" s="33">
        <f t="shared" si="4"/>
        <v>0</v>
      </c>
      <c r="Q129" s="31" t="str">
        <f t="shared" si="5"/>
        <v/>
      </c>
      <c r="R129" s="32" t="str">
        <f>IFERROR(VLOOKUP($D129,'Informations sur les produits'!$A$3:$B$15000,2,FALSE),"")</f>
        <v/>
      </c>
      <c r="V129">
        <f t="shared" si="6"/>
        <v>0</v>
      </c>
      <c r="W129">
        <f t="shared" si="7"/>
        <v>0</v>
      </c>
    </row>
    <row r="130" spans="5:23" x14ac:dyDescent="0.25">
      <c r="E130" s="4"/>
      <c r="F130" s="4"/>
      <c r="G130" s="33" t="str">
        <f>IFERROR(VLOOKUP($D130,'Informations sur les produits'!$A$3:$H$10000,8,FALSE),"0")</f>
        <v>0</v>
      </c>
      <c r="K130" s="4"/>
      <c r="L130" s="33" t="str">
        <f>IFERROR(VLOOKUP($J130,'Informations sur les produits'!$A$3:$H$10000,8,FALSE),"0")</f>
        <v>0</v>
      </c>
      <c r="N130" s="8"/>
      <c r="O130" s="33" t="str">
        <f>IFERROR(VLOOKUP($M130,'Informations sur les produits'!$A$3:$H$10000,8,FALSE),"0")</f>
        <v>0</v>
      </c>
      <c r="P130" s="33">
        <f t="shared" si="4"/>
        <v>0</v>
      </c>
      <c r="Q130" s="31" t="str">
        <f t="shared" si="5"/>
        <v/>
      </c>
      <c r="R130" s="32" t="str">
        <f>IFERROR(VLOOKUP($D130,'Informations sur les produits'!$A$3:$B$15000,2,FALSE),"")</f>
        <v/>
      </c>
      <c r="V130">
        <f t="shared" si="6"/>
        <v>0</v>
      </c>
      <c r="W130">
        <f t="shared" si="7"/>
        <v>0</v>
      </c>
    </row>
    <row r="131" spans="5:23" x14ac:dyDescent="0.25">
      <c r="E131" s="4"/>
      <c r="F131" s="4"/>
      <c r="G131" s="33" t="str">
        <f>IFERROR(VLOOKUP($D131,'Informations sur les produits'!$A$3:$H$10000,8,FALSE),"0")</f>
        <v>0</v>
      </c>
      <c r="K131" s="4"/>
      <c r="L131" s="33" t="str">
        <f>IFERROR(VLOOKUP($J131,'Informations sur les produits'!$A$3:$H$10000,8,FALSE),"0")</f>
        <v>0</v>
      </c>
      <c r="N131" s="8"/>
      <c r="O131" s="33" t="str">
        <f>IFERROR(VLOOKUP($M131,'Informations sur les produits'!$A$3:$H$10000,8,FALSE),"0")</f>
        <v>0</v>
      </c>
      <c r="P131" s="33">
        <f t="shared" si="4"/>
        <v>0</v>
      </c>
      <c r="Q131" s="31" t="str">
        <f t="shared" si="5"/>
        <v/>
      </c>
      <c r="R131" s="32" t="str">
        <f>IFERROR(VLOOKUP($D131,'Informations sur les produits'!$A$3:$B$15000,2,FALSE),"")</f>
        <v/>
      </c>
      <c r="V131">
        <f t="shared" si="6"/>
        <v>0</v>
      </c>
      <c r="W131">
        <f t="shared" si="7"/>
        <v>0</v>
      </c>
    </row>
    <row r="132" spans="5:23" x14ac:dyDescent="0.25">
      <c r="E132" s="4"/>
      <c r="F132" s="4"/>
      <c r="G132" s="33" t="str">
        <f>IFERROR(VLOOKUP($D132,'Informations sur les produits'!$A$3:$H$10000,8,FALSE),"0")</f>
        <v>0</v>
      </c>
      <c r="K132" s="4"/>
      <c r="L132" s="33" t="str">
        <f>IFERROR(VLOOKUP($J132,'Informations sur les produits'!$A$3:$H$10000,8,FALSE),"0")</f>
        <v>0</v>
      </c>
      <c r="N132" s="8"/>
      <c r="O132" s="33" t="str">
        <f>IFERROR(VLOOKUP($M132,'Informations sur les produits'!$A$3:$H$10000,8,FALSE),"0")</f>
        <v>0</v>
      </c>
      <c r="P132" s="33">
        <f t="shared" ref="P132:P195" si="8">IFERROR((($E132-$F132)*$G132+$K132*$L132+$N132*$O132),"")</f>
        <v>0</v>
      </c>
      <c r="Q132" s="31" t="str">
        <f t="shared" ref="Q132:Q195" si="9">IFERROR((((($E132-$F132)*$G132+$K132*$L132+$N132*$O132)*1000)/(($E132-$F132)+$K132+$N132)),"")</f>
        <v/>
      </c>
      <c r="R132" s="32" t="str">
        <f>IFERROR(VLOOKUP($D132,'Informations sur les produits'!$A$3:$B$15000,2,FALSE),"")</f>
        <v/>
      </c>
      <c r="V132">
        <f t="shared" ref="V132:V195" si="10">IFERROR(P132*1000,"")</f>
        <v>0</v>
      </c>
      <c r="W132">
        <f t="shared" ref="W132:W195" si="11">IFERROR(($E132-$F132)+$K132+$N132,"")</f>
        <v>0</v>
      </c>
    </row>
    <row r="133" spans="5:23" x14ac:dyDescent="0.25">
      <c r="E133" s="4"/>
      <c r="F133" s="4"/>
      <c r="G133" s="33" t="str">
        <f>IFERROR(VLOOKUP($D133,'Informations sur les produits'!$A$3:$H$10000,8,FALSE),"0")</f>
        <v>0</v>
      </c>
      <c r="K133" s="4"/>
      <c r="L133" s="33" t="str">
        <f>IFERROR(VLOOKUP($J133,'Informations sur les produits'!$A$3:$H$10000,8,FALSE),"0")</f>
        <v>0</v>
      </c>
      <c r="N133" s="8"/>
      <c r="O133" s="33" t="str">
        <f>IFERROR(VLOOKUP($M133,'Informations sur les produits'!$A$3:$H$10000,8,FALSE),"0")</f>
        <v>0</v>
      </c>
      <c r="P133" s="33">
        <f t="shared" si="8"/>
        <v>0</v>
      </c>
      <c r="Q133" s="31" t="str">
        <f t="shared" si="9"/>
        <v/>
      </c>
      <c r="R133" s="32" t="str">
        <f>IFERROR(VLOOKUP($D133,'Informations sur les produits'!$A$3:$B$15000,2,FALSE),"")</f>
        <v/>
      </c>
      <c r="V133">
        <f t="shared" si="10"/>
        <v>0</v>
      </c>
      <c r="W133">
        <f t="shared" si="11"/>
        <v>0</v>
      </c>
    </row>
    <row r="134" spans="5:23" x14ac:dyDescent="0.25">
      <c r="E134" s="4"/>
      <c r="F134" s="4"/>
      <c r="G134" s="33" t="str">
        <f>IFERROR(VLOOKUP($D134,'Informations sur les produits'!$A$3:$H$10000,8,FALSE),"0")</f>
        <v>0</v>
      </c>
      <c r="K134" s="4"/>
      <c r="L134" s="33" t="str">
        <f>IFERROR(VLOOKUP($J134,'Informations sur les produits'!$A$3:$H$10000,8,FALSE),"0")</f>
        <v>0</v>
      </c>
      <c r="N134" s="8"/>
      <c r="O134" s="33" t="str">
        <f>IFERROR(VLOOKUP($M134,'Informations sur les produits'!$A$3:$H$10000,8,FALSE),"0")</f>
        <v>0</v>
      </c>
      <c r="P134" s="33">
        <f t="shared" si="8"/>
        <v>0</v>
      </c>
      <c r="Q134" s="31" t="str">
        <f t="shared" si="9"/>
        <v/>
      </c>
      <c r="R134" s="32" t="str">
        <f>IFERROR(VLOOKUP($D134,'Informations sur les produits'!$A$3:$B$15000,2,FALSE),"")</f>
        <v/>
      </c>
      <c r="V134">
        <f t="shared" si="10"/>
        <v>0</v>
      </c>
      <c r="W134">
        <f t="shared" si="11"/>
        <v>0</v>
      </c>
    </row>
    <row r="135" spans="5:23" x14ac:dyDescent="0.25">
      <c r="E135" s="4"/>
      <c r="F135" s="4"/>
      <c r="G135" s="33" t="str">
        <f>IFERROR(VLOOKUP($D135,'Informations sur les produits'!$A$3:$H$10000,8,FALSE),"0")</f>
        <v>0</v>
      </c>
      <c r="K135" s="4"/>
      <c r="L135" s="33" t="str">
        <f>IFERROR(VLOOKUP($J135,'Informations sur les produits'!$A$3:$H$10000,8,FALSE),"0")</f>
        <v>0</v>
      </c>
      <c r="N135" s="8"/>
      <c r="O135" s="33" t="str">
        <f>IFERROR(VLOOKUP($M135,'Informations sur les produits'!$A$3:$H$10000,8,FALSE),"0")</f>
        <v>0</v>
      </c>
      <c r="P135" s="33">
        <f t="shared" si="8"/>
        <v>0</v>
      </c>
      <c r="Q135" s="31" t="str">
        <f t="shared" si="9"/>
        <v/>
      </c>
      <c r="R135" s="32" t="str">
        <f>IFERROR(VLOOKUP($D135,'Informations sur les produits'!$A$3:$B$15000,2,FALSE),"")</f>
        <v/>
      </c>
      <c r="V135">
        <f t="shared" si="10"/>
        <v>0</v>
      </c>
      <c r="W135">
        <f t="shared" si="11"/>
        <v>0</v>
      </c>
    </row>
    <row r="136" spans="5:23" x14ac:dyDescent="0.25">
      <c r="E136" s="4"/>
      <c r="F136" s="4"/>
      <c r="G136" s="33" t="str">
        <f>IFERROR(VLOOKUP($D136,'Informations sur les produits'!$A$3:$H$10000,8,FALSE),"0")</f>
        <v>0</v>
      </c>
      <c r="K136" s="4"/>
      <c r="L136" s="33" t="str">
        <f>IFERROR(VLOOKUP($J136,'Informations sur les produits'!$A$3:$H$10000,8,FALSE),"0")</f>
        <v>0</v>
      </c>
      <c r="N136" s="8"/>
      <c r="O136" s="33" t="str">
        <f>IFERROR(VLOOKUP($M136,'Informations sur les produits'!$A$3:$H$10000,8,FALSE),"0")</f>
        <v>0</v>
      </c>
      <c r="P136" s="33">
        <f t="shared" si="8"/>
        <v>0</v>
      </c>
      <c r="Q136" s="31" t="str">
        <f t="shared" si="9"/>
        <v/>
      </c>
      <c r="R136" s="32" t="str">
        <f>IFERROR(VLOOKUP($D136,'Informations sur les produits'!$A$3:$B$15000,2,FALSE),"")</f>
        <v/>
      </c>
      <c r="V136">
        <f t="shared" si="10"/>
        <v>0</v>
      </c>
      <c r="W136">
        <f t="shared" si="11"/>
        <v>0</v>
      </c>
    </row>
    <row r="137" spans="5:23" x14ac:dyDescent="0.25">
      <c r="E137" s="4"/>
      <c r="F137" s="4"/>
      <c r="G137" s="33" t="str">
        <f>IFERROR(VLOOKUP($D137,'Informations sur les produits'!$A$3:$H$10000,8,FALSE),"0")</f>
        <v>0</v>
      </c>
      <c r="K137" s="4"/>
      <c r="L137" s="33" t="str">
        <f>IFERROR(VLOOKUP($J137,'Informations sur les produits'!$A$3:$H$10000,8,FALSE),"0")</f>
        <v>0</v>
      </c>
      <c r="N137" s="8"/>
      <c r="O137" s="33" t="str">
        <f>IFERROR(VLOOKUP($M137,'Informations sur les produits'!$A$3:$H$10000,8,FALSE),"0")</f>
        <v>0</v>
      </c>
      <c r="P137" s="33">
        <f t="shared" si="8"/>
        <v>0</v>
      </c>
      <c r="Q137" s="31" t="str">
        <f t="shared" si="9"/>
        <v/>
      </c>
      <c r="R137" s="32" t="str">
        <f>IFERROR(VLOOKUP($D137,'Informations sur les produits'!$A$3:$B$15000,2,FALSE),"")</f>
        <v/>
      </c>
      <c r="V137">
        <f t="shared" si="10"/>
        <v>0</v>
      </c>
      <c r="W137">
        <f t="shared" si="11"/>
        <v>0</v>
      </c>
    </row>
    <row r="138" spans="5:23" x14ac:dyDescent="0.25">
      <c r="E138" s="4"/>
      <c r="F138" s="4"/>
      <c r="G138" s="33" t="str">
        <f>IFERROR(VLOOKUP($D138,'Informations sur les produits'!$A$3:$H$10000,8,FALSE),"0")</f>
        <v>0</v>
      </c>
      <c r="K138" s="4"/>
      <c r="L138" s="33" t="str">
        <f>IFERROR(VLOOKUP($J138,'Informations sur les produits'!$A$3:$H$10000,8,FALSE),"0")</f>
        <v>0</v>
      </c>
      <c r="N138" s="8"/>
      <c r="O138" s="33" t="str">
        <f>IFERROR(VLOOKUP($M138,'Informations sur les produits'!$A$3:$H$10000,8,FALSE),"0")</f>
        <v>0</v>
      </c>
      <c r="P138" s="33">
        <f t="shared" si="8"/>
        <v>0</v>
      </c>
      <c r="Q138" s="31" t="str">
        <f t="shared" si="9"/>
        <v/>
      </c>
      <c r="R138" s="32" t="str">
        <f>IFERROR(VLOOKUP($D138,'Informations sur les produits'!$A$3:$B$15000,2,FALSE),"")</f>
        <v/>
      </c>
      <c r="V138">
        <f t="shared" si="10"/>
        <v>0</v>
      </c>
      <c r="W138">
        <f t="shared" si="11"/>
        <v>0</v>
      </c>
    </row>
    <row r="139" spans="5:23" x14ac:dyDescent="0.25">
      <c r="E139" s="4"/>
      <c r="F139" s="4"/>
      <c r="G139" s="33" t="str">
        <f>IFERROR(VLOOKUP($D139,'Informations sur les produits'!$A$3:$H$10000,8,FALSE),"0")</f>
        <v>0</v>
      </c>
      <c r="K139" s="4"/>
      <c r="L139" s="33" t="str">
        <f>IFERROR(VLOOKUP($J139,'Informations sur les produits'!$A$3:$H$10000,8,FALSE),"0")</f>
        <v>0</v>
      </c>
      <c r="N139" s="8"/>
      <c r="O139" s="33" t="str">
        <f>IFERROR(VLOOKUP($M139,'Informations sur les produits'!$A$3:$H$10000,8,FALSE),"0")</f>
        <v>0</v>
      </c>
      <c r="P139" s="33">
        <f t="shared" si="8"/>
        <v>0</v>
      </c>
      <c r="Q139" s="31" t="str">
        <f t="shared" si="9"/>
        <v/>
      </c>
      <c r="R139" s="32" t="str">
        <f>IFERROR(VLOOKUP($D139,'Informations sur les produits'!$A$3:$B$15000,2,FALSE),"")</f>
        <v/>
      </c>
      <c r="V139">
        <f t="shared" si="10"/>
        <v>0</v>
      </c>
      <c r="W139">
        <f t="shared" si="11"/>
        <v>0</v>
      </c>
    </row>
    <row r="140" spans="5:23" x14ac:dyDescent="0.25">
      <c r="E140" s="4"/>
      <c r="F140" s="4"/>
      <c r="G140" s="33" t="str">
        <f>IFERROR(VLOOKUP($D140,'Informations sur les produits'!$A$3:$H$10000,8,FALSE),"0")</f>
        <v>0</v>
      </c>
      <c r="K140" s="4"/>
      <c r="L140" s="33" t="str">
        <f>IFERROR(VLOOKUP($J140,'Informations sur les produits'!$A$3:$H$10000,8,FALSE),"0")</f>
        <v>0</v>
      </c>
      <c r="N140" s="8"/>
      <c r="O140" s="33" t="str">
        <f>IFERROR(VLOOKUP($M140,'Informations sur les produits'!$A$3:$H$10000,8,FALSE),"0")</f>
        <v>0</v>
      </c>
      <c r="P140" s="33">
        <f t="shared" si="8"/>
        <v>0</v>
      </c>
      <c r="Q140" s="31" t="str">
        <f t="shared" si="9"/>
        <v/>
      </c>
      <c r="R140" s="32" t="str">
        <f>IFERROR(VLOOKUP($D140,'Informations sur les produits'!$A$3:$B$15000,2,FALSE),"")</f>
        <v/>
      </c>
      <c r="V140">
        <f t="shared" si="10"/>
        <v>0</v>
      </c>
      <c r="W140">
        <f t="shared" si="11"/>
        <v>0</v>
      </c>
    </row>
    <row r="141" spans="5:23" x14ac:dyDescent="0.25">
      <c r="E141" s="4"/>
      <c r="F141" s="4"/>
      <c r="G141" s="33" t="str">
        <f>IFERROR(VLOOKUP($D141,'Informations sur les produits'!$A$3:$H$10000,8,FALSE),"0")</f>
        <v>0</v>
      </c>
      <c r="K141" s="4"/>
      <c r="L141" s="33" t="str">
        <f>IFERROR(VLOOKUP($J141,'Informations sur les produits'!$A$3:$H$10000,8,FALSE),"0")</f>
        <v>0</v>
      </c>
      <c r="N141" s="8"/>
      <c r="O141" s="33" t="str">
        <f>IFERROR(VLOOKUP($M141,'Informations sur les produits'!$A$3:$H$10000,8,FALSE),"0")</f>
        <v>0</v>
      </c>
      <c r="P141" s="33">
        <f t="shared" si="8"/>
        <v>0</v>
      </c>
      <c r="Q141" s="31" t="str">
        <f t="shared" si="9"/>
        <v/>
      </c>
      <c r="R141" s="32" t="str">
        <f>IFERROR(VLOOKUP($D141,'Informations sur les produits'!$A$3:$B$15000,2,FALSE),"")</f>
        <v/>
      </c>
      <c r="V141">
        <f t="shared" si="10"/>
        <v>0</v>
      </c>
      <c r="W141">
        <f t="shared" si="11"/>
        <v>0</v>
      </c>
    </row>
    <row r="142" spans="5:23" x14ac:dyDescent="0.25">
      <c r="E142" s="4"/>
      <c r="F142" s="4"/>
      <c r="G142" s="33" t="str">
        <f>IFERROR(VLOOKUP($D142,'Informations sur les produits'!$A$3:$H$10000,8,FALSE),"0")</f>
        <v>0</v>
      </c>
      <c r="K142" s="4"/>
      <c r="L142" s="33" t="str">
        <f>IFERROR(VLOOKUP($J142,'Informations sur les produits'!$A$3:$H$10000,8,FALSE),"0")</f>
        <v>0</v>
      </c>
      <c r="N142" s="8"/>
      <c r="O142" s="33" t="str">
        <f>IFERROR(VLOOKUP($M142,'Informations sur les produits'!$A$3:$H$10000,8,FALSE),"0")</f>
        <v>0</v>
      </c>
      <c r="P142" s="33">
        <f t="shared" si="8"/>
        <v>0</v>
      </c>
      <c r="Q142" s="31" t="str">
        <f t="shared" si="9"/>
        <v/>
      </c>
      <c r="R142" s="32" t="str">
        <f>IFERROR(VLOOKUP($D142,'Informations sur les produits'!$A$3:$B$15000,2,FALSE),"")</f>
        <v/>
      </c>
      <c r="V142">
        <f t="shared" si="10"/>
        <v>0</v>
      </c>
      <c r="W142">
        <f t="shared" si="11"/>
        <v>0</v>
      </c>
    </row>
    <row r="143" spans="5:23" x14ac:dyDescent="0.25">
      <c r="E143" s="4"/>
      <c r="F143" s="4"/>
      <c r="G143" s="33" t="str">
        <f>IFERROR(VLOOKUP($D143,'Informations sur les produits'!$A$3:$H$10000,8,FALSE),"0")</f>
        <v>0</v>
      </c>
      <c r="K143" s="4"/>
      <c r="L143" s="33" t="str">
        <f>IFERROR(VLOOKUP($J143,'Informations sur les produits'!$A$3:$H$10000,8,FALSE),"0")</f>
        <v>0</v>
      </c>
      <c r="N143" s="8"/>
      <c r="O143" s="33" t="str">
        <f>IFERROR(VLOOKUP($M143,'Informations sur les produits'!$A$3:$H$10000,8,FALSE),"0")</f>
        <v>0</v>
      </c>
      <c r="P143" s="33">
        <f t="shared" si="8"/>
        <v>0</v>
      </c>
      <c r="Q143" s="31" t="str">
        <f t="shared" si="9"/>
        <v/>
      </c>
      <c r="R143" s="32" t="str">
        <f>IFERROR(VLOOKUP($D143,'Informations sur les produits'!$A$3:$B$15000,2,FALSE),"")</f>
        <v/>
      </c>
      <c r="V143">
        <f t="shared" si="10"/>
        <v>0</v>
      </c>
      <c r="W143">
        <f t="shared" si="11"/>
        <v>0</v>
      </c>
    </row>
    <row r="144" spans="5:23" x14ac:dyDescent="0.25">
      <c r="E144" s="4"/>
      <c r="F144" s="4"/>
      <c r="G144" s="33" t="str">
        <f>IFERROR(VLOOKUP($D144,'Informations sur les produits'!$A$3:$H$10000,8,FALSE),"0")</f>
        <v>0</v>
      </c>
      <c r="K144" s="4"/>
      <c r="L144" s="33" t="str">
        <f>IFERROR(VLOOKUP($J144,'Informations sur les produits'!$A$3:$H$10000,8,FALSE),"0")</f>
        <v>0</v>
      </c>
      <c r="N144" s="8"/>
      <c r="O144" s="33" t="str">
        <f>IFERROR(VLOOKUP($M144,'Informations sur les produits'!$A$3:$H$10000,8,FALSE),"0")</f>
        <v>0</v>
      </c>
      <c r="P144" s="33">
        <f t="shared" si="8"/>
        <v>0</v>
      </c>
      <c r="Q144" s="31" t="str">
        <f t="shared" si="9"/>
        <v/>
      </c>
      <c r="R144" s="32" t="str">
        <f>IFERROR(VLOOKUP($D144,'Informations sur les produits'!$A$3:$B$15000,2,FALSE),"")</f>
        <v/>
      </c>
      <c r="V144">
        <f t="shared" si="10"/>
        <v>0</v>
      </c>
      <c r="W144">
        <f t="shared" si="11"/>
        <v>0</v>
      </c>
    </row>
    <row r="145" spans="5:23" x14ac:dyDescent="0.25">
      <c r="E145" s="4"/>
      <c r="F145" s="4"/>
      <c r="G145" s="33" t="str">
        <f>IFERROR(VLOOKUP($D145,'Informations sur les produits'!$A$3:$H$10000,8,FALSE),"0")</f>
        <v>0</v>
      </c>
      <c r="K145" s="4"/>
      <c r="L145" s="33" t="str">
        <f>IFERROR(VLOOKUP($J145,'Informations sur les produits'!$A$3:$H$10000,8,FALSE),"0")</f>
        <v>0</v>
      </c>
      <c r="N145" s="8"/>
      <c r="O145" s="33" t="str">
        <f>IFERROR(VLOOKUP($M145,'Informations sur les produits'!$A$3:$H$10000,8,FALSE),"0")</f>
        <v>0</v>
      </c>
      <c r="P145" s="33">
        <f t="shared" si="8"/>
        <v>0</v>
      </c>
      <c r="Q145" s="31" t="str">
        <f t="shared" si="9"/>
        <v/>
      </c>
      <c r="R145" s="32" t="str">
        <f>IFERROR(VLOOKUP($D145,'Informations sur les produits'!$A$3:$B$15000,2,FALSE),"")</f>
        <v/>
      </c>
      <c r="V145">
        <f t="shared" si="10"/>
        <v>0</v>
      </c>
      <c r="W145">
        <f t="shared" si="11"/>
        <v>0</v>
      </c>
    </row>
    <row r="146" spans="5:23" x14ac:dyDescent="0.25">
      <c r="E146" s="4"/>
      <c r="F146" s="4"/>
      <c r="G146" s="33" t="str">
        <f>IFERROR(VLOOKUP($D146,'Informations sur les produits'!$A$3:$H$10000,8,FALSE),"0")</f>
        <v>0</v>
      </c>
      <c r="K146" s="4"/>
      <c r="L146" s="33" t="str">
        <f>IFERROR(VLOOKUP($J146,'Informations sur les produits'!$A$3:$H$10000,8,FALSE),"0")</f>
        <v>0</v>
      </c>
      <c r="N146" s="8"/>
      <c r="O146" s="33" t="str">
        <f>IFERROR(VLOOKUP($M146,'Informations sur les produits'!$A$3:$H$10000,8,FALSE),"0")</f>
        <v>0</v>
      </c>
      <c r="P146" s="33">
        <f t="shared" si="8"/>
        <v>0</v>
      </c>
      <c r="Q146" s="31" t="str">
        <f t="shared" si="9"/>
        <v/>
      </c>
      <c r="R146" s="32" t="str">
        <f>IFERROR(VLOOKUP($D146,'Informations sur les produits'!$A$3:$B$15000,2,FALSE),"")</f>
        <v/>
      </c>
      <c r="V146">
        <f t="shared" si="10"/>
        <v>0</v>
      </c>
      <c r="W146">
        <f t="shared" si="11"/>
        <v>0</v>
      </c>
    </row>
    <row r="147" spans="5:23" x14ac:dyDescent="0.25">
      <c r="E147" s="4"/>
      <c r="F147" s="4"/>
      <c r="G147" s="33" t="str">
        <f>IFERROR(VLOOKUP($D147,'Informations sur les produits'!$A$3:$H$10000,8,FALSE),"0")</f>
        <v>0</v>
      </c>
      <c r="K147" s="4"/>
      <c r="L147" s="33" t="str">
        <f>IFERROR(VLOOKUP($J147,'Informations sur les produits'!$A$3:$H$10000,8,FALSE),"0")</f>
        <v>0</v>
      </c>
      <c r="N147" s="8"/>
      <c r="O147" s="33" t="str">
        <f>IFERROR(VLOOKUP($M147,'Informations sur les produits'!$A$3:$H$10000,8,FALSE),"0")</f>
        <v>0</v>
      </c>
      <c r="P147" s="33">
        <f t="shared" si="8"/>
        <v>0</v>
      </c>
      <c r="Q147" s="31" t="str">
        <f t="shared" si="9"/>
        <v/>
      </c>
      <c r="R147" s="32" t="str">
        <f>IFERROR(VLOOKUP($D147,'Informations sur les produits'!$A$3:$B$15000,2,FALSE),"")</f>
        <v/>
      </c>
      <c r="V147">
        <f t="shared" si="10"/>
        <v>0</v>
      </c>
      <c r="W147">
        <f t="shared" si="11"/>
        <v>0</v>
      </c>
    </row>
    <row r="148" spans="5:23" x14ac:dyDescent="0.25">
      <c r="E148" s="4"/>
      <c r="F148" s="4"/>
      <c r="G148" s="33" t="str">
        <f>IFERROR(VLOOKUP($D148,'Informations sur les produits'!$A$3:$H$10000,8,FALSE),"0")</f>
        <v>0</v>
      </c>
      <c r="K148" s="4"/>
      <c r="L148" s="33" t="str">
        <f>IFERROR(VLOOKUP($J148,'Informations sur les produits'!$A$3:$H$10000,8,FALSE),"0")</f>
        <v>0</v>
      </c>
      <c r="N148" s="8"/>
      <c r="O148" s="33" t="str">
        <f>IFERROR(VLOOKUP($M148,'Informations sur les produits'!$A$3:$H$10000,8,FALSE),"0")</f>
        <v>0</v>
      </c>
      <c r="P148" s="33">
        <f t="shared" si="8"/>
        <v>0</v>
      </c>
      <c r="Q148" s="31" t="str">
        <f t="shared" si="9"/>
        <v/>
      </c>
      <c r="R148" s="32" t="str">
        <f>IFERROR(VLOOKUP($D148,'Informations sur les produits'!$A$3:$B$15000,2,FALSE),"")</f>
        <v/>
      </c>
      <c r="V148">
        <f t="shared" si="10"/>
        <v>0</v>
      </c>
      <c r="W148">
        <f t="shared" si="11"/>
        <v>0</v>
      </c>
    </row>
    <row r="149" spans="5:23" x14ac:dyDescent="0.25">
      <c r="E149" s="4"/>
      <c r="F149" s="4"/>
      <c r="G149" s="33" t="str">
        <f>IFERROR(VLOOKUP($D149,'Informations sur les produits'!$A$3:$H$10000,8,FALSE),"0")</f>
        <v>0</v>
      </c>
      <c r="K149" s="4"/>
      <c r="L149" s="33" t="str">
        <f>IFERROR(VLOOKUP($J149,'Informations sur les produits'!$A$3:$H$10000,8,FALSE),"0")</f>
        <v>0</v>
      </c>
      <c r="N149" s="8"/>
      <c r="O149" s="33" t="str">
        <f>IFERROR(VLOOKUP($M149,'Informations sur les produits'!$A$3:$H$10000,8,FALSE),"0")</f>
        <v>0</v>
      </c>
      <c r="P149" s="33">
        <f t="shared" si="8"/>
        <v>0</v>
      </c>
      <c r="Q149" s="31" t="str">
        <f t="shared" si="9"/>
        <v/>
      </c>
      <c r="R149" s="32" t="str">
        <f>IFERROR(VLOOKUP($D149,'Informations sur les produits'!$A$3:$B$15000,2,FALSE),"")</f>
        <v/>
      </c>
      <c r="V149">
        <f t="shared" si="10"/>
        <v>0</v>
      </c>
      <c r="W149">
        <f t="shared" si="11"/>
        <v>0</v>
      </c>
    </row>
    <row r="150" spans="5:23" x14ac:dyDescent="0.25">
      <c r="E150" s="4"/>
      <c r="F150" s="4"/>
      <c r="G150" s="33" t="str">
        <f>IFERROR(VLOOKUP($D150,'Informations sur les produits'!$A$3:$H$10000,8,FALSE),"0")</f>
        <v>0</v>
      </c>
      <c r="K150" s="4"/>
      <c r="L150" s="33" t="str">
        <f>IFERROR(VLOOKUP($J150,'Informations sur les produits'!$A$3:$H$10000,8,FALSE),"0")</f>
        <v>0</v>
      </c>
      <c r="N150" s="8"/>
      <c r="O150" s="33" t="str">
        <f>IFERROR(VLOOKUP($M150,'Informations sur les produits'!$A$3:$H$10000,8,FALSE),"0")</f>
        <v>0</v>
      </c>
      <c r="P150" s="33">
        <f t="shared" si="8"/>
        <v>0</v>
      </c>
      <c r="Q150" s="31" t="str">
        <f t="shared" si="9"/>
        <v/>
      </c>
      <c r="R150" s="32" t="str">
        <f>IFERROR(VLOOKUP($D150,'Informations sur les produits'!$A$3:$B$15000,2,FALSE),"")</f>
        <v/>
      </c>
      <c r="V150">
        <f t="shared" si="10"/>
        <v>0</v>
      </c>
      <c r="W150">
        <f t="shared" si="11"/>
        <v>0</v>
      </c>
    </row>
    <row r="151" spans="5:23" x14ac:dyDescent="0.25">
      <c r="E151" s="4"/>
      <c r="F151" s="4"/>
      <c r="G151" s="33" t="str">
        <f>IFERROR(VLOOKUP($D151,'Informations sur les produits'!$A$3:$H$10000,8,FALSE),"0")</f>
        <v>0</v>
      </c>
      <c r="K151" s="4"/>
      <c r="L151" s="33" t="str">
        <f>IFERROR(VLOOKUP($J151,'Informations sur les produits'!$A$3:$H$10000,8,FALSE),"0")</f>
        <v>0</v>
      </c>
      <c r="N151" s="8"/>
      <c r="O151" s="33" t="str">
        <f>IFERROR(VLOOKUP($M151,'Informations sur les produits'!$A$3:$H$10000,8,FALSE),"0")</f>
        <v>0</v>
      </c>
      <c r="P151" s="33">
        <f t="shared" si="8"/>
        <v>0</v>
      </c>
      <c r="Q151" s="31" t="str">
        <f t="shared" si="9"/>
        <v/>
      </c>
      <c r="R151" s="32" t="str">
        <f>IFERROR(VLOOKUP($D151,'Informations sur les produits'!$A$3:$B$15000,2,FALSE),"")</f>
        <v/>
      </c>
      <c r="V151">
        <f t="shared" si="10"/>
        <v>0</v>
      </c>
      <c r="W151">
        <f t="shared" si="11"/>
        <v>0</v>
      </c>
    </row>
    <row r="152" spans="5:23" x14ac:dyDescent="0.25">
      <c r="E152" s="4"/>
      <c r="F152" s="4"/>
      <c r="G152" s="33" t="str">
        <f>IFERROR(VLOOKUP($D152,'Informations sur les produits'!$A$3:$H$10000,8,FALSE),"0")</f>
        <v>0</v>
      </c>
      <c r="K152" s="4"/>
      <c r="L152" s="33" t="str">
        <f>IFERROR(VLOOKUP($J152,'Informations sur les produits'!$A$3:$H$10000,8,FALSE),"0")</f>
        <v>0</v>
      </c>
      <c r="N152" s="8"/>
      <c r="O152" s="33" t="str">
        <f>IFERROR(VLOOKUP($M152,'Informations sur les produits'!$A$3:$H$10000,8,FALSE),"0")</f>
        <v>0</v>
      </c>
      <c r="P152" s="33">
        <f t="shared" si="8"/>
        <v>0</v>
      </c>
      <c r="Q152" s="31" t="str">
        <f t="shared" si="9"/>
        <v/>
      </c>
      <c r="R152" s="32" t="str">
        <f>IFERROR(VLOOKUP($D152,'Informations sur les produits'!$A$3:$B$15000,2,FALSE),"")</f>
        <v/>
      </c>
      <c r="V152">
        <f t="shared" si="10"/>
        <v>0</v>
      </c>
      <c r="W152">
        <f t="shared" si="11"/>
        <v>0</v>
      </c>
    </row>
    <row r="153" spans="5:23" x14ac:dyDescent="0.25">
      <c r="E153" s="4"/>
      <c r="F153" s="4"/>
      <c r="G153" s="33" t="str">
        <f>IFERROR(VLOOKUP($D153,'Informations sur les produits'!$A$3:$H$10000,8,FALSE),"0")</f>
        <v>0</v>
      </c>
      <c r="K153" s="4"/>
      <c r="L153" s="33" t="str">
        <f>IFERROR(VLOOKUP($J153,'Informations sur les produits'!$A$3:$H$10000,8,FALSE),"0")</f>
        <v>0</v>
      </c>
      <c r="N153" s="8"/>
      <c r="O153" s="33" t="str">
        <f>IFERROR(VLOOKUP($M153,'Informations sur les produits'!$A$3:$H$10000,8,FALSE),"0")</f>
        <v>0</v>
      </c>
      <c r="P153" s="33">
        <f t="shared" si="8"/>
        <v>0</v>
      </c>
      <c r="Q153" s="31" t="str">
        <f t="shared" si="9"/>
        <v/>
      </c>
      <c r="R153" s="32" t="str">
        <f>IFERROR(VLOOKUP($D153,'Informations sur les produits'!$A$3:$B$15000,2,FALSE),"")</f>
        <v/>
      </c>
      <c r="V153">
        <f t="shared" si="10"/>
        <v>0</v>
      </c>
      <c r="W153">
        <f t="shared" si="11"/>
        <v>0</v>
      </c>
    </row>
    <row r="154" spans="5:23" x14ac:dyDescent="0.25">
      <c r="E154" s="4"/>
      <c r="F154" s="4"/>
      <c r="G154" s="33" t="str">
        <f>IFERROR(VLOOKUP($D154,'Informations sur les produits'!$A$3:$H$10000,8,FALSE),"0")</f>
        <v>0</v>
      </c>
      <c r="K154" s="4"/>
      <c r="L154" s="33" t="str">
        <f>IFERROR(VLOOKUP($J154,'Informations sur les produits'!$A$3:$H$10000,8,FALSE),"0")</f>
        <v>0</v>
      </c>
      <c r="N154" s="8"/>
      <c r="O154" s="33" t="str">
        <f>IFERROR(VLOOKUP($M154,'Informations sur les produits'!$A$3:$H$10000,8,FALSE),"0")</f>
        <v>0</v>
      </c>
      <c r="P154" s="33">
        <f t="shared" si="8"/>
        <v>0</v>
      </c>
      <c r="Q154" s="31" t="str">
        <f t="shared" si="9"/>
        <v/>
      </c>
      <c r="R154" s="32" t="str">
        <f>IFERROR(VLOOKUP($D154,'Informations sur les produits'!$A$3:$B$15000,2,FALSE),"")</f>
        <v/>
      </c>
      <c r="V154">
        <f t="shared" si="10"/>
        <v>0</v>
      </c>
      <c r="W154">
        <f t="shared" si="11"/>
        <v>0</v>
      </c>
    </row>
    <row r="155" spans="5:23" x14ac:dyDescent="0.25">
      <c r="E155" s="4"/>
      <c r="F155" s="4"/>
      <c r="G155" s="33" t="str">
        <f>IFERROR(VLOOKUP($D155,'Informations sur les produits'!$A$3:$H$10000,8,FALSE),"0")</f>
        <v>0</v>
      </c>
      <c r="K155" s="4"/>
      <c r="L155" s="33" t="str">
        <f>IFERROR(VLOOKUP($J155,'Informations sur les produits'!$A$3:$H$10000,8,FALSE),"0")</f>
        <v>0</v>
      </c>
      <c r="N155" s="8"/>
      <c r="O155" s="33" t="str">
        <f>IFERROR(VLOOKUP($M155,'Informations sur les produits'!$A$3:$H$10000,8,FALSE),"0")</f>
        <v>0</v>
      </c>
      <c r="P155" s="33">
        <f t="shared" si="8"/>
        <v>0</v>
      </c>
      <c r="Q155" s="31" t="str">
        <f t="shared" si="9"/>
        <v/>
      </c>
      <c r="R155" s="32" t="str">
        <f>IFERROR(VLOOKUP($D155,'Informations sur les produits'!$A$3:$B$15000,2,FALSE),"")</f>
        <v/>
      </c>
      <c r="V155">
        <f t="shared" si="10"/>
        <v>0</v>
      </c>
      <c r="W155">
        <f t="shared" si="11"/>
        <v>0</v>
      </c>
    </row>
    <row r="156" spans="5:23" x14ac:dyDescent="0.25">
      <c r="E156" s="4"/>
      <c r="F156" s="4"/>
      <c r="G156" s="33" t="str">
        <f>IFERROR(VLOOKUP($D156,'Informations sur les produits'!$A$3:$H$10000,8,FALSE),"0")</f>
        <v>0</v>
      </c>
      <c r="K156" s="4"/>
      <c r="L156" s="33" t="str">
        <f>IFERROR(VLOOKUP($J156,'Informations sur les produits'!$A$3:$H$10000,8,FALSE),"0")</f>
        <v>0</v>
      </c>
      <c r="N156" s="8"/>
      <c r="O156" s="33" t="str">
        <f>IFERROR(VLOOKUP($M156,'Informations sur les produits'!$A$3:$H$10000,8,FALSE),"0")</f>
        <v>0</v>
      </c>
      <c r="P156" s="33">
        <f t="shared" si="8"/>
        <v>0</v>
      </c>
      <c r="Q156" s="31" t="str">
        <f t="shared" si="9"/>
        <v/>
      </c>
      <c r="R156" s="32" t="str">
        <f>IFERROR(VLOOKUP($D156,'Informations sur les produits'!$A$3:$B$15000,2,FALSE),"")</f>
        <v/>
      </c>
      <c r="V156">
        <f t="shared" si="10"/>
        <v>0</v>
      </c>
      <c r="W156">
        <f t="shared" si="11"/>
        <v>0</v>
      </c>
    </row>
    <row r="157" spans="5:23" x14ac:dyDescent="0.25">
      <c r="E157" s="4"/>
      <c r="F157" s="4"/>
      <c r="G157" s="33" t="str">
        <f>IFERROR(VLOOKUP($D157,'Informations sur les produits'!$A$3:$H$10000,8,FALSE),"0")</f>
        <v>0</v>
      </c>
      <c r="K157" s="4"/>
      <c r="L157" s="33" t="str">
        <f>IFERROR(VLOOKUP($J157,'Informations sur les produits'!$A$3:$H$10000,8,FALSE),"0")</f>
        <v>0</v>
      </c>
      <c r="N157" s="8"/>
      <c r="O157" s="33" t="str">
        <f>IFERROR(VLOOKUP($M157,'Informations sur les produits'!$A$3:$H$10000,8,FALSE),"0")</f>
        <v>0</v>
      </c>
      <c r="P157" s="33">
        <f t="shared" si="8"/>
        <v>0</v>
      </c>
      <c r="Q157" s="31" t="str">
        <f t="shared" si="9"/>
        <v/>
      </c>
      <c r="R157" s="32" t="str">
        <f>IFERROR(VLOOKUP($D157,'Informations sur les produits'!$A$3:$B$15000,2,FALSE),"")</f>
        <v/>
      </c>
      <c r="V157">
        <f t="shared" si="10"/>
        <v>0</v>
      </c>
      <c r="W157">
        <f t="shared" si="11"/>
        <v>0</v>
      </c>
    </row>
    <row r="158" spans="5:23" x14ac:dyDescent="0.25">
      <c r="E158" s="4"/>
      <c r="F158" s="4"/>
      <c r="G158" s="33" t="str">
        <f>IFERROR(VLOOKUP($D158,'Informations sur les produits'!$A$3:$H$10000,8,FALSE),"0")</f>
        <v>0</v>
      </c>
      <c r="K158" s="4"/>
      <c r="L158" s="33" t="str">
        <f>IFERROR(VLOOKUP($J158,'Informations sur les produits'!$A$3:$H$10000,8,FALSE),"0")</f>
        <v>0</v>
      </c>
      <c r="N158" s="8"/>
      <c r="O158" s="33" t="str">
        <f>IFERROR(VLOOKUP($M158,'Informations sur les produits'!$A$3:$H$10000,8,FALSE),"0")</f>
        <v>0</v>
      </c>
      <c r="P158" s="33">
        <f t="shared" si="8"/>
        <v>0</v>
      </c>
      <c r="Q158" s="31" t="str">
        <f t="shared" si="9"/>
        <v/>
      </c>
      <c r="R158" s="32" t="str">
        <f>IFERROR(VLOOKUP($D158,'Informations sur les produits'!$A$3:$B$15000,2,FALSE),"")</f>
        <v/>
      </c>
      <c r="V158">
        <f t="shared" si="10"/>
        <v>0</v>
      </c>
      <c r="W158">
        <f t="shared" si="11"/>
        <v>0</v>
      </c>
    </row>
    <row r="159" spans="5:23" x14ac:dyDescent="0.25">
      <c r="E159" s="4"/>
      <c r="F159" s="4"/>
      <c r="G159" s="33" t="str">
        <f>IFERROR(VLOOKUP($D159,'Informations sur les produits'!$A$3:$H$10000,8,FALSE),"0")</f>
        <v>0</v>
      </c>
      <c r="K159" s="4"/>
      <c r="L159" s="33" t="str">
        <f>IFERROR(VLOOKUP($J159,'Informations sur les produits'!$A$3:$H$10000,8,FALSE),"0")</f>
        <v>0</v>
      </c>
      <c r="N159" s="8"/>
      <c r="O159" s="33" t="str">
        <f>IFERROR(VLOOKUP($M159,'Informations sur les produits'!$A$3:$H$10000,8,FALSE),"0")</f>
        <v>0</v>
      </c>
      <c r="P159" s="33">
        <f t="shared" si="8"/>
        <v>0</v>
      </c>
      <c r="Q159" s="31" t="str">
        <f t="shared" si="9"/>
        <v/>
      </c>
      <c r="R159" s="32" t="str">
        <f>IFERROR(VLOOKUP($D159,'Informations sur les produits'!$A$3:$B$15000,2,FALSE),"")</f>
        <v/>
      </c>
      <c r="V159">
        <f t="shared" si="10"/>
        <v>0</v>
      </c>
      <c r="W159">
        <f t="shared" si="11"/>
        <v>0</v>
      </c>
    </row>
    <row r="160" spans="5:23" x14ac:dyDescent="0.25">
      <c r="E160" s="4"/>
      <c r="F160" s="4"/>
      <c r="G160" s="33" t="str">
        <f>IFERROR(VLOOKUP($D160,'Informations sur les produits'!$A$3:$H$10000,8,FALSE),"0")</f>
        <v>0</v>
      </c>
      <c r="K160" s="4"/>
      <c r="L160" s="33" t="str">
        <f>IFERROR(VLOOKUP($J160,'Informations sur les produits'!$A$3:$H$10000,8,FALSE),"0")</f>
        <v>0</v>
      </c>
      <c r="N160" s="8"/>
      <c r="O160" s="33" t="str">
        <f>IFERROR(VLOOKUP($M160,'Informations sur les produits'!$A$3:$H$10000,8,FALSE),"0")</f>
        <v>0</v>
      </c>
      <c r="P160" s="33">
        <f t="shared" si="8"/>
        <v>0</v>
      </c>
      <c r="Q160" s="31" t="str">
        <f t="shared" si="9"/>
        <v/>
      </c>
      <c r="R160" s="32" t="str">
        <f>IFERROR(VLOOKUP($D160,'Informations sur les produits'!$A$3:$B$15000,2,FALSE),"")</f>
        <v/>
      </c>
      <c r="V160">
        <f t="shared" si="10"/>
        <v>0</v>
      </c>
      <c r="W160">
        <f t="shared" si="11"/>
        <v>0</v>
      </c>
    </row>
    <row r="161" spans="5:23" x14ac:dyDescent="0.25">
      <c r="E161" s="4"/>
      <c r="F161" s="4"/>
      <c r="G161" s="33" t="str">
        <f>IFERROR(VLOOKUP($D161,'Informations sur les produits'!$A$3:$H$10000,8,FALSE),"0")</f>
        <v>0</v>
      </c>
      <c r="K161" s="4"/>
      <c r="L161" s="33" t="str">
        <f>IFERROR(VLOOKUP($J161,'Informations sur les produits'!$A$3:$H$10000,8,FALSE),"0")</f>
        <v>0</v>
      </c>
      <c r="N161" s="8"/>
      <c r="O161" s="33" t="str">
        <f>IFERROR(VLOOKUP($M161,'Informations sur les produits'!$A$3:$H$10000,8,FALSE),"0")</f>
        <v>0</v>
      </c>
      <c r="P161" s="33">
        <f t="shared" si="8"/>
        <v>0</v>
      </c>
      <c r="Q161" s="31" t="str">
        <f t="shared" si="9"/>
        <v/>
      </c>
      <c r="R161" s="32" t="str">
        <f>IFERROR(VLOOKUP($D161,'Informations sur les produits'!$A$3:$B$15000,2,FALSE),"")</f>
        <v/>
      </c>
      <c r="V161">
        <f t="shared" si="10"/>
        <v>0</v>
      </c>
      <c r="W161">
        <f t="shared" si="11"/>
        <v>0</v>
      </c>
    </row>
    <row r="162" spans="5:23" x14ac:dyDescent="0.25">
      <c r="E162" s="4"/>
      <c r="F162" s="4"/>
      <c r="G162" s="33" t="str">
        <f>IFERROR(VLOOKUP($D162,'Informations sur les produits'!$A$3:$H$10000,8,FALSE),"0")</f>
        <v>0</v>
      </c>
      <c r="K162" s="4"/>
      <c r="L162" s="33" t="str">
        <f>IFERROR(VLOOKUP($J162,'Informations sur les produits'!$A$3:$H$10000,8,FALSE),"0")</f>
        <v>0</v>
      </c>
      <c r="N162" s="8"/>
      <c r="O162" s="33" t="str">
        <f>IFERROR(VLOOKUP($M162,'Informations sur les produits'!$A$3:$H$10000,8,FALSE),"0")</f>
        <v>0</v>
      </c>
      <c r="P162" s="33">
        <f t="shared" si="8"/>
        <v>0</v>
      </c>
      <c r="Q162" s="31" t="str">
        <f t="shared" si="9"/>
        <v/>
      </c>
      <c r="R162" s="32" t="str">
        <f>IFERROR(VLOOKUP($D162,'Informations sur les produits'!$A$3:$B$15000,2,FALSE),"")</f>
        <v/>
      </c>
      <c r="V162">
        <f t="shared" si="10"/>
        <v>0</v>
      </c>
      <c r="W162">
        <f t="shared" si="11"/>
        <v>0</v>
      </c>
    </row>
    <row r="163" spans="5:23" x14ac:dyDescent="0.25">
      <c r="E163" s="4"/>
      <c r="F163" s="4"/>
      <c r="G163" s="33" t="str">
        <f>IFERROR(VLOOKUP($D163,'Informations sur les produits'!$A$3:$H$10000,8,FALSE),"0")</f>
        <v>0</v>
      </c>
      <c r="K163" s="4"/>
      <c r="L163" s="33" t="str">
        <f>IFERROR(VLOOKUP($J163,'Informations sur les produits'!$A$3:$H$10000,8,FALSE),"0")</f>
        <v>0</v>
      </c>
      <c r="N163" s="8"/>
      <c r="O163" s="33" t="str">
        <f>IFERROR(VLOOKUP($M163,'Informations sur les produits'!$A$3:$H$10000,8,FALSE),"0")</f>
        <v>0</v>
      </c>
      <c r="P163" s="33">
        <f t="shared" si="8"/>
        <v>0</v>
      </c>
      <c r="Q163" s="31" t="str">
        <f t="shared" si="9"/>
        <v/>
      </c>
      <c r="R163" s="32" t="str">
        <f>IFERROR(VLOOKUP($D163,'Informations sur les produits'!$A$3:$B$15000,2,FALSE),"")</f>
        <v/>
      </c>
      <c r="V163">
        <f t="shared" si="10"/>
        <v>0</v>
      </c>
      <c r="W163">
        <f t="shared" si="11"/>
        <v>0</v>
      </c>
    </row>
    <row r="164" spans="5:23" x14ac:dyDescent="0.25">
      <c r="E164" s="4"/>
      <c r="F164" s="4"/>
      <c r="G164" s="33" t="str">
        <f>IFERROR(VLOOKUP($D164,'Informations sur les produits'!$A$3:$H$10000,8,FALSE),"0")</f>
        <v>0</v>
      </c>
      <c r="K164" s="4"/>
      <c r="L164" s="33" t="str">
        <f>IFERROR(VLOOKUP($J164,'Informations sur les produits'!$A$3:$H$10000,8,FALSE),"0")</f>
        <v>0</v>
      </c>
      <c r="N164" s="8"/>
      <c r="O164" s="33" t="str">
        <f>IFERROR(VLOOKUP($M164,'Informations sur les produits'!$A$3:$H$10000,8,FALSE),"0")</f>
        <v>0</v>
      </c>
      <c r="P164" s="33">
        <f t="shared" si="8"/>
        <v>0</v>
      </c>
      <c r="Q164" s="31" t="str">
        <f t="shared" si="9"/>
        <v/>
      </c>
      <c r="R164" s="32" t="str">
        <f>IFERROR(VLOOKUP($D164,'Informations sur les produits'!$A$3:$B$15000,2,FALSE),"")</f>
        <v/>
      </c>
      <c r="V164">
        <f t="shared" si="10"/>
        <v>0</v>
      </c>
      <c r="W164">
        <f t="shared" si="11"/>
        <v>0</v>
      </c>
    </row>
    <row r="165" spans="5:23" x14ac:dyDescent="0.25">
      <c r="E165" s="4"/>
      <c r="F165" s="4"/>
      <c r="G165" s="33" t="str">
        <f>IFERROR(VLOOKUP($D165,'Informations sur les produits'!$A$3:$H$10000,8,FALSE),"0")</f>
        <v>0</v>
      </c>
      <c r="K165" s="4"/>
      <c r="L165" s="33" t="str">
        <f>IFERROR(VLOOKUP($J165,'Informations sur les produits'!$A$3:$H$10000,8,FALSE),"0")</f>
        <v>0</v>
      </c>
      <c r="N165" s="8"/>
      <c r="O165" s="33" t="str">
        <f>IFERROR(VLOOKUP($M165,'Informations sur les produits'!$A$3:$H$10000,8,FALSE),"0")</f>
        <v>0</v>
      </c>
      <c r="P165" s="33">
        <f t="shared" si="8"/>
        <v>0</v>
      </c>
      <c r="Q165" s="31" t="str">
        <f t="shared" si="9"/>
        <v/>
      </c>
      <c r="R165" s="32" t="str">
        <f>IFERROR(VLOOKUP($D165,'Informations sur les produits'!$A$3:$B$15000,2,FALSE),"")</f>
        <v/>
      </c>
      <c r="V165">
        <f t="shared" si="10"/>
        <v>0</v>
      </c>
      <c r="W165">
        <f t="shared" si="11"/>
        <v>0</v>
      </c>
    </row>
    <row r="166" spans="5:23" x14ac:dyDescent="0.25">
      <c r="E166" s="4"/>
      <c r="F166" s="4"/>
      <c r="G166" s="33" t="str">
        <f>IFERROR(VLOOKUP($D166,'Informations sur les produits'!$A$3:$H$10000,8,FALSE),"0")</f>
        <v>0</v>
      </c>
      <c r="K166" s="4"/>
      <c r="L166" s="33" t="str">
        <f>IFERROR(VLOOKUP($J166,'Informations sur les produits'!$A$3:$H$10000,8,FALSE),"0")</f>
        <v>0</v>
      </c>
      <c r="N166" s="8"/>
      <c r="O166" s="33" t="str">
        <f>IFERROR(VLOOKUP($M166,'Informations sur les produits'!$A$3:$H$10000,8,FALSE),"0")</f>
        <v>0</v>
      </c>
      <c r="P166" s="33">
        <f t="shared" si="8"/>
        <v>0</v>
      </c>
      <c r="Q166" s="31" t="str">
        <f t="shared" si="9"/>
        <v/>
      </c>
      <c r="R166" s="32" t="str">
        <f>IFERROR(VLOOKUP($D166,'Informations sur les produits'!$A$3:$B$15000,2,FALSE),"")</f>
        <v/>
      </c>
      <c r="V166">
        <f t="shared" si="10"/>
        <v>0</v>
      </c>
      <c r="W166">
        <f t="shared" si="11"/>
        <v>0</v>
      </c>
    </row>
    <row r="167" spans="5:23" x14ac:dyDescent="0.25">
      <c r="E167" s="4"/>
      <c r="F167" s="4"/>
      <c r="G167" s="33" t="str">
        <f>IFERROR(VLOOKUP($D167,'Informations sur les produits'!$A$3:$H$10000,8,FALSE),"0")</f>
        <v>0</v>
      </c>
      <c r="K167" s="4"/>
      <c r="L167" s="33" t="str">
        <f>IFERROR(VLOOKUP($J167,'Informations sur les produits'!$A$3:$H$10000,8,FALSE),"0")</f>
        <v>0</v>
      </c>
      <c r="N167" s="8"/>
      <c r="O167" s="33" t="str">
        <f>IFERROR(VLOOKUP($M167,'Informations sur les produits'!$A$3:$H$10000,8,FALSE),"0")</f>
        <v>0</v>
      </c>
      <c r="P167" s="33">
        <f t="shared" si="8"/>
        <v>0</v>
      </c>
      <c r="Q167" s="31" t="str">
        <f t="shared" si="9"/>
        <v/>
      </c>
      <c r="R167" s="32" t="str">
        <f>IFERROR(VLOOKUP($D167,'Informations sur les produits'!$A$3:$B$15000,2,FALSE),"")</f>
        <v/>
      </c>
      <c r="V167">
        <f t="shared" si="10"/>
        <v>0</v>
      </c>
      <c r="W167">
        <f t="shared" si="11"/>
        <v>0</v>
      </c>
    </row>
    <row r="168" spans="5:23" x14ac:dyDescent="0.25">
      <c r="E168" s="4"/>
      <c r="F168" s="4"/>
      <c r="G168" s="33" t="str">
        <f>IFERROR(VLOOKUP($D168,'Informations sur les produits'!$A$3:$H$10000,8,FALSE),"0")</f>
        <v>0</v>
      </c>
      <c r="K168" s="4"/>
      <c r="L168" s="33" t="str">
        <f>IFERROR(VLOOKUP($J168,'Informations sur les produits'!$A$3:$H$10000,8,FALSE),"0")</f>
        <v>0</v>
      </c>
      <c r="N168" s="8"/>
      <c r="O168" s="33" t="str">
        <f>IFERROR(VLOOKUP($M168,'Informations sur les produits'!$A$3:$H$10000,8,FALSE),"0")</f>
        <v>0</v>
      </c>
      <c r="P168" s="33">
        <f t="shared" si="8"/>
        <v>0</v>
      </c>
      <c r="Q168" s="31" t="str">
        <f t="shared" si="9"/>
        <v/>
      </c>
      <c r="R168" s="32" t="str">
        <f>IFERROR(VLOOKUP($D168,'Informations sur les produits'!$A$3:$B$15000,2,FALSE),"")</f>
        <v/>
      </c>
      <c r="V168">
        <f t="shared" si="10"/>
        <v>0</v>
      </c>
      <c r="W168">
        <f t="shared" si="11"/>
        <v>0</v>
      </c>
    </row>
    <row r="169" spans="5:23" x14ac:dyDescent="0.25">
      <c r="E169" s="4"/>
      <c r="F169" s="4"/>
      <c r="G169" s="33" t="str">
        <f>IFERROR(VLOOKUP($D169,'Informations sur les produits'!$A$3:$H$10000,8,FALSE),"0")</f>
        <v>0</v>
      </c>
      <c r="K169" s="4"/>
      <c r="L169" s="33" t="str">
        <f>IFERROR(VLOOKUP($J169,'Informations sur les produits'!$A$3:$H$10000,8,FALSE),"0")</f>
        <v>0</v>
      </c>
      <c r="N169" s="8"/>
      <c r="O169" s="33" t="str">
        <f>IFERROR(VLOOKUP($M169,'Informations sur les produits'!$A$3:$H$10000,8,FALSE),"0")</f>
        <v>0</v>
      </c>
      <c r="P169" s="33">
        <f t="shared" si="8"/>
        <v>0</v>
      </c>
      <c r="Q169" s="31" t="str">
        <f t="shared" si="9"/>
        <v/>
      </c>
      <c r="R169" s="32" t="str">
        <f>IFERROR(VLOOKUP($D169,'Informations sur les produits'!$A$3:$B$15000,2,FALSE),"")</f>
        <v/>
      </c>
      <c r="V169">
        <f t="shared" si="10"/>
        <v>0</v>
      </c>
      <c r="W169">
        <f t="shared" si="11"/>
        <v>0</v>
      </c>
    </row>
    <row r="170" spans="5:23" x14ac:dyDescent="0.25">
      <c r="E170" s="4"/>
      <c r="F170" s="4"/>
      <c r="G170" s="33" t="str">
        <f>IFERROR(VLOOKUP($D170,'Informations sur les produits'!$A$3:$H$10000,8,FALSE),"0")</f>
        <v>0</v>
      </c>
      <c r="K170" s="4"/>
      <c r="L170" s="33" t="str">
        <f>IFERROR(VLOOKUP($J170,'Informations sur les produits'!$A$3:$H$10000,8,FALSE),"0")</f>
        <v>0</v>
      </c>
      <c r="N170" s="8"/>
      <c r="O170" s="33" t="str">
        <f>IFERROR(VLOOKUP($M170,'Informations sur les produits'!$A$3:$H$10000,8,FALSE),"0")</f>
        <v>0</v>
      </c>
      <c r="P170" s="33">
        <f t="shared" si="8"/>
        <v>0</v>
      </c>
      <c r="Q170" s="31" t="str">
        <f t="shared" si="9"/>
        <v/>
      </c>
      <c r="R170" s="32" t="str">
        <f>IFERROR(VLOOKUP($D170,'Informations sur les produits'!$A$3:$B$15000,2,FALSE),"")</f>
        <v/>
      </c>
      <c r="V170">
        <f t="shared" si="10"/>
        <v>0</v>
      </c>
      <c r="W170">
        <f t="shared" si="11"/>
        <v>0</v>
      </c>
    </row>
    <row r="171" spans="5:23" x14ac:dyDescent="0.25">
      <c r="E171" s="4"/>
      <c r="F171" s="4"/>
      <c r="G171" s="33" t="str">
        <f>IFERROR(VLOOKUP($D171,'Informations sur les produits'!$A$3:$H$10000,8,FALSE),"0")</f>
        <v>0</v>
      </c>
      <c r="K171" s="4"/>
      <c r="L171" s="33" t="str">
        <f>IFERROR(VLOOKUP($J171,'Informations sur les produits'!$A$3:$H$10000,8,FALSE),"0")</f>
        <v>0</v>
      </c>
      <c r="N171" s="8"/>
      <c r="O171" s="33" t="str">
        <f>IFERROR(VLOOKUP($M171,'Informations sur les produits'!$A$3:$H$10000,8,FALSE),"0")</f>
        <v>0</v>
      </c>
      <c r="P171" s="33">
        <f t="shared" si="8"/>
        <v>0</v>
      </c>
      <c r="Q171" s="31" t="str">
        <f t="shared" si="9"/>
        <v/>
      </c>
      <c r="R171" s="32" t="str">
        <f>IFERROR(VLOOKUP($D171,'Informations sur les produits'!$A$3:$B$15000,2,FALSE),"")</f>
        <v/>
      </c>
      <c r="V171">
        <f t="shared" si="10"/>
        <v>0</v>
      </c>
      <c r="W171">
        <f t="shared" si="11"/>
        <v>0</v>
      </c>
    </row>
    <row r="172" spans="5:23" x14ac:dyDescent="0.25">
      <c r="E172" s="4"/>
      <c r="F172" s="4"/>
      <c r="G172" s="33" t="str">
        <f>IFERROR(VLOOKUP($D172,'Informations sur les produits'!$A$3:$H$10000,8,FALSE),"0")</f>
        <v>0</v>
      </c>
      <c r="K172" s="4"/>
      <c r="L172" s="33" t="str">
        <f>IFERROR(VLOOKUP($J172,'Informations sur les produits'!$A$3:$H$10000,8,FALSE),"0")</f>
        <v>0</v>
      </c>
      <c r="N172" s="8"/>
      <c r="O172" s="33" t="str">
        <f>IFERROR(VLOOKUP($M172,'Informations sur les produits'!$A$3:$H$10000,8,FALSE),"0")</f>
        <v>0</v>
      </c>
      <c r="P172" s="33">
        <f t="shared" si="8"/>
        <v>0</v>
      </c>
      <c r="Q172" s="31" t="str">
        <f t="shared" si="9"/>
        <v/>
      </c>
      <c r="R172" s="32" t="str">
        <f>IFERROR(VLOOKUP($D172,'Informations sur les produits'!$A$3:$B$15000,2,FALSE),"")</f>
        <v/>
      </c>
      <c r="V172">
        <f t="shared" si="10"/>
        <v>0</v>
      </c>
      <c r="W172">
        <f t="shared" si="11"/>
        <v>0</v>
      </c>
    </row>
    <row r="173" spans="5:23" x14ac:dyDescent="0.25">
      <c r="E173" s="4"/>
      <c r="F173" s="4"/>
      <c r="G173" s="33" t="str">
        <f>IFERROR(VLOOKUP($D173,'Informations sur les produits'!$A$3:$H$10000,8,FALSE),"0")</f>
        <v>0</v>
      </c>
      <c r="K173" s="4"/>
      <c r="L173" s="33" t="str">
        <f>IFERROR(VLOOKUP($J173,'Informations sur les produits'!$A$3:$H$10000,8,FALSE),"0")</f>
        <v>0</v>
      </c>
      <c r="N173" s="8"/>
      <c r="O173" s="33" t="str">
        <f>IFERROR(VLOOKUP($M173,'Informations sur les produits'!$A$3:$H$10000,8,FALSE),"0")</f>
        <v>0</v>
      </c>
      <c r="P173" s="33">
        <f t="shared" si="8"/>
        <v>0</v>
      </c>
      <c r="Q173" s="31" t="str">
        <f t="shared" si="9"/>
        <v/>
      </c>
      <c r="R173" s="32" t="str">
        <f>IFERROR(VLOOKUP($D173,'Informations sur les produits'!$A$3:$B$15000,2,FALSE),"")</f>
        <v/>
      </c>
      <c r="V173">
        <f t="shared" si="10"/>
        <v>0</v>
      </c>
      <c r="W173">
        <f t="shared" si="11"/>
        <v>0</v>
      </c>
    </row>
    <row r="174" spans="5:23" x14ac:dyDescent="0.25">
      <c r="E174" s="4"/>
      <c r="F174" s="4"/>
      <c r="G174" s="33" t="str">
        <f>IFERROR(VLOOKUP($D174,'Informations sur les produits'!$A$3:$H$10000,8,FALSE),"0")</f>
        <v>0</v>
      </c>
      <c r="K174" s="4"/>
      <c r="L174" s="33" t="str">
        <f>IFERROR(VLOOKUP($J174,'Informations sur les produits'!$A$3:$H$10000,8,FALSE),"0")</f>
        <v>0</v>
      </c>
      <c r="N174" s="8"/>
      <c r="O174" s="33" t="str">
        <f>IFERROR(VLOOKUP($M174,'Informations sur les produits'!$A$3:$H$10000,8,FALSE),"0")</f>
        <v>0</v>
      </c>
      <c r="P174" s="33">
        <f t="shared" si="8"/>
        <v>0</v>
      </c>
      <c r="Q174" s="31" t="str">
        <f t="shared" si="9"/>
        <v/>
      </c>
      <c r="R174" s="32" t="str">
        <f>IFERROR(VLOOKUP($D174,'Informations sur les produits'!$A$3:$B$15000,2,FALSE),"")</f>
        <v/>
      </c>
      <c r="V174">
        <f t="shared" si="10"/>
        <v>0</v>
      </c>
      <c r="W174">
        <f t="shared" si="11"/>
        <v>0</v>
      </c>
    </row>
    <row r="175" spans="5:23" x14ac:dyDescent="0.25">
      <c r="E175" s="4"/>
      <c r="F175" s="4"/>
      <c r="G175" s="33" t="str">
        <f>IFERROR(VLOOKUP($D175,'Informations sur les produits'!$A$3:$H$10000,8,FALSE),"0")</f>
        <v>0</v>
      </c>
      <c r="K175" s="4"/>
      <c r="L175" s="33" t="str">
        <f>IFERROR(VLOOKUP($J175,'Informations sur les produits'!$A$3:$H$10000,8,FALSE),"0")</f>
        <v>0</v>
      </c>
      <c r="N175" s="8"/>
      <c r="O175" s="33" t="str">
        <f>IFERROR(VLOOKUP($M175,'Informations sur les produits'!$A$3:$H$10000,8,FALSE),"0")</f>
        <v>0</v>
      </c>
      <c r="P175" s="33">
        <f t="shared" si="8"/>
        <v>0</v>
      </c>
      <c r="Q175" s="31" t="str">
        <f t="shared" si="9"/>
        <v/>
      </c>
      <c r="R175" s="32" t="str">
        <f>IFERROR(VLOOKUP($D175,'Informations sur les produits'!$A$3:$B$15000,2,FALSE),"")</f>
        <v/>
      </c>
      <c r="V175">
        <f t="shared" si="10"/>
        <v>0</v>
      </c>
      <c r="W175">
        <f t="shared" si="11"/>
        <v>0</v>
      </c>
    </row>
    <row r="176" spans="5:23" x14ac:dyDescent="0.25">
      <c r="E176" s="4"/>
      <c r="F176" s="4"/>
      <c r="G176" s="33" t="str">
        <f>IFERROR(VLOOKUP($D176,'Informations sur les produits'!$A$3:$H$10000,8,FALSE),"0")</f>
        <v>0</v>
      </c>
      <c r="K176" s="4"/>
      <c r="L176" s="33" t="str">
        <f>IFERROR(VLOOKUP($J176,'Informations sur les produits'!$A$3:$H$10000,8,FALSE),"0")</f>
        <v>0</v>
      </c>
      <c r="N176" s="8"/>
      <c r="O176" s="33" t="str">
        <f>IFERROR(VLOOKUP($M176,'Informations sur les produits'!$A$3:$H$10000,8,FALSE),"0")</f>
        <v>0</v>
      </c>
      <c r="P176" s="33">
        <f t="shared" si="8"/>
        <v>0</v>
      </c>
      <c r="Q176" s="31" t="str">
        <f t="shared" si="9"/>
        <v/>
      </c>
      <c r="R176" s="32" t="str">
        <f>IFERROR(VLOOKUP($D176,'Informations sur les produits'!$A$3:$B$15000,2,FALSE),"")</f>
        <v/>
      </c>
      <c r="V176">
        <f t="shared" si="10"/>
        <v>0</v>
      </c>
      <c r="W176">
        <f t="shared" si="11"/>
        <v>0</v>
      </c>
    </row>
    <row r="177" spans="5:23" x14ac:dyDescent="0.25">
      <c r="E177" s="4"/>
      <c r="F177" s="4"/>
      <c r="G177" s="33" t="str">
        <f>IFERROR(VLOOKUP($D177,'Informations sur les produits'!$A$3:$H$10000,8,FALSE),"0")</f>
        <v>0</v>
      </c>
      <c r="K177" s="4"/>
      <c r="L177" s="33" t="str">
        <f>IFERROR(VLOOKUP($J177,'Informations sur les produits'!$A$3:$H$10000,8,FALSE),"0")</f>
        <v>0</v>
      </c>
      <c r="N177" s="8"/>
      <c r="O177" s="33" t="str">
        <f>IFERROR(VLOOKUP($M177,'Informations sur les produits'!$A$3:$H$10000,8,FALSE),"0")</f>
        <v>0</v>
      </c>
      <c r="P177" s="33">
        <f t="shared" si="8"/>
        <v>0</v>
      </c>
      <c r="Q177" s="31" t="str">
        <f t="shared" si="9"/>
        <v/>
      </c>
      <c r="R177" s="32" t="str">
        <f>IFERROR(VLOOKUP($D177,'Informations sur les produits'!$A$3:$B$15000,2,FALSE),"")</f>
        <v/>
      </c>
      <c r="V177">
        <f t="shared" si="10"/>
        <v>0</v>
      </c>
      <c r="W177">
        <f t="shared" si="11"/>
        <v>0</v>
      </c>
    </row>
    <row r="178" spans="5:23" x14ac:dyDescent="0.25">
      <c r="E178" s="4"/>
      <c r="F178" s="4"/>
      <c r="G178" s="33" t="str">
        <f>IFERROR(VLOOKUP($D178,'Informations sur les produits'!$A$3:$H$10000,8,FALSE),"0")</f>
        <v>0</v>
      </c>
      <c r="K178" s="4"/>
      <c r="L178" s="33" t="str">
        <f>IFERROR(VLOOKUP($J178,'Informations sur les produits'!$A$3:$H$10000,8,FALSE),"0")</f>
        <v>0</v>
      </c>
      <c r="N178" s="8"/>
      <c r="O178" s="33" t="str">
        <f>IFERROR(VLOOKUP($M178,'Informations sur les produits'!$A$3:$H$10000,8,FALSE),"0")</f>
        <v>0</v>
      </c>
      <c r="P178" s="33">
        <f t="shared" si="8"/>
        <v>0</v>
      </c>
      <c r="Q178" s="31" t="str">
        <f t="shared" si="9"/>
        <v/>
      </c>
      <c r="R178" s="32" t="str">
        <f>IFERROR(VLOOKUP($D178,'Informations sur les produits'!$A$3:$B$15000,2,FALSE),"")</f>
        <v/>
      </c>
      <c r="V178">
        <f t="shared" si="10"/>
        <v>0</v>
      </c>
      <c r="W178">
        <f t="shared" si="11"/>
        <v>0</v>
      </c>
    </row>
    <row r="179" spans="5:23" x14ac:dyDescent="0.25">
      <c r="E179" s="4"/>
      <c r="F179" s="4"/>
      <c r="G179" s="33" t="str">
        <f>IFERROR(VLOOKUP($D179,'Informations sur les produits'!$A$3:$H$10000,8,FALSE),"0")</f>
        <v>0</v>
      </c>
      <c r="K179" s="4"/>
      <c r="L179" s="33" t="str">
        <f>IFERROR(VLOOKUP($J179,'Informations sur les produits'!$A$3:$H$10000,8,FALSE),"0")</f>
        <v>0</v>
      </c>
      <c r="N179" s="8"/>
      <c r="O179" s="33" t="str">
        <f>IFERROR(VLOOKUP($M179,'Informations sur les produits'!$A$3:$H$10000,8,FALSE),"0")</f>
        <v>0</v>
      </c>
      <c r="P179" s="33">
        <f t="shared" si="8"/>
        <v>0</v>
      </c>
      <c r="Q179" s="31" t="str">
        <f t="shared" si="9"/>
        <v/>
      </c>
      <c r="R179" s="32" t="str">
        <f>IFERROR(VLOOKUP($D179,'Informations sur les produits'!$A$3:$B$15000,2,FALSE),"")</f>
        <v/>
      </c>
      <c r="V179">
        <f t="shared" si="10"/>
        <v>0</v>
      </c>
      <c r="W179">
        <f t="shared" si="11"/>
        <v>0</v>
      </c>
    </row>
    <row r="180" spans="5:23" x14ac:dyDescent="0.25">
      <c r="E180" s="4"/>
      <c r="F180" s="4"/>
      <c r="G180" s="33" t="str">
        <f>IFERROR(VLOOKUP($D180,'Informations sur les produits'!$A$3:$H$10000,8,FALSE),"0")</f>
        <v>0</v>
      </c>
      <c r="K180" s="4"/>
      <c r="L180" s="33" t="str">
        <f>IFERROR(VLOOKUP($J180,'Informations sur les produits'!$A$3:$H$10000,8,FALSE),"0")</f>
        <v>0</v>
      </c>
      <c r="N180" s="8"/>
      <c r="O180" s="33" t="str">
        <f>IFERROR(VLOOKUP($M180,'Informations sur les produits'!$A$3:$H$10000,8,FALSE),"0")</f>
        <v>0</v>
      </c>
      <c r="P180" s="33">
        <f t="shared" si="8"/>
        <v>0</v>
      </c>
      <c r="Q180" s="31" t="str">
        <f t="shared" si="9"/>
        <v/>
      </c>
      <c r="R180" s="32" t="str">
        <f>IFERROR(VLOOKUP($D180,'Informations sur les produits'!$A$3:$B$15000,2,FALSE),"")</f>
        <v/>
      </c>
      <c r="V180">
        <f t="shared" si="10"/>
        <v>0</v>
      </c>
      <c r="W180">
        <f t="shared" si="11"/>
        <v>0</v>
      </c>
    </row>
    <row r="181" spans="5:23" x14ac:dyDescent="0.25">
      <c r="E181" s="4"/>
      <c r="F181" s="4"/>
      <c r="G181" s="33" t="str">
        <f>IFERROR(VLOOKUP($D181,'Informations sur les produits'!$A$3:$H$10000,8,FALSE),"0")</f>
        <v>0</v>
      </c>
      <c r="K181" s="4"/>
      <c r="L181" s="33" t="str">
        <f>IFERROR(VLOOKUP($J181,'Informations sur les produits'!$A$3:$H$10000,8,FALSE),"0")</f>
        <v>0</v>
      </c>
      <c r="N181" s="8"/>
      <c r="O181" s="33" t="str">
        <f>IFERROR(VLOOKUP($M181,'Informations sur les produits'!$A$3:$H$10000,8,FALSE),"0")</f>
        <v>0</v>
      </c>
      <c r="P181" s="33">
        <f t="shared" si="8"/>
        <v>0</v>
      </c>
      <c r="Q181" s="31" t="str">
        <f t="shared" si="9"/>
        <v/>
      </c>
      <c r="R181" s="32" t="str">
        <f>IFERROR(VLOOKUP($D181,'Informations sur les produits'!$A$3:$B$15000,2,FALSE),"")</f>
        <v/>
      </c>
      <c r="V181">
        <f t="shared" si="10"/>
        <v>0</v>
      </c>
      <c r="W181">
        <f t="shared" si="11"/>
        <v>0</v>
      </c>
    </row>
    <row r="182" spans="5:23" x14ac:dyDescent="0.25">
      <c r="E182" s="4"/>
      <c r="F182" s="4"/>
      <c r="G182" s="33" t="str">
        <f>IFERROR(VLOOKUP($D182,'Informations sur les produits'!$A$3:$H$10000,8,FALSE),"0")</f>
        <v>0</v>
      </c>
      <c r="K182" s="4"/>
      <c r="L182" s="33" t="str">
        <f>IFERROR(VLOOKUP($J182,'Informations sur les produits'!$A$3:$H$10000,8,FALSE),"0")</f>
        <v>0</v>
      </c>
      <c r="N182" s="8"/>
      <c r="O182" s="33" t="str">
        <f>IFERROR(VLOOKUP($M182,'Informations sur les produits'!$A$3:$H$10000,8,FALSE),"0")</f>
        <v>0</v>
      </c>
      <c r="P182" s="33">
        <f t="shared" si="8"/>
        <v>0</v>
      </c>
      <c r="Q182" s="31" t="str">
        <f t="shared" si="9"/>
        <v/>
      </c>
      <c r="R182" s="32" t="str">
        <f>IFERROR(VLOOKUP($D182,'Informations sur les produits'!$A$3:$B$15000,2,FALSE),"")</f>
        <v/>
      </c>
      <c r="V182">
        <f t="shared" si="10"/>
        <v>0</v>
      </c>
      <c r="W182">
        <f t="shared" si="11"/>
        <v>0</v>
      </c>
    </row>
    <row r="183" spans="5:23" x14ac:dyDescent="0.25">
      <c r="E183" s="4"/>
      <c r="F183" s="4"/>
      <c r="G183" s="33" t="str">
        <f>IFERROR(VLOOKUP($D183,'Informations sur les produits'!$A$3:$H$10000,8,FALSE),"0")</f>
        <v>0</v>
      </c>
      <c r="K183" s="4"/>
      <c r="L183" s="33" t="str">
        <f>IFERROR(VLOOKUP($J183,'Informations sur les produits'!$A$3:$H$10000,8,FALSE),"0")</f>
        <v>0</v>
      </c>
      <c r="N183" s="8"/>
      <c r="O183" s="33" t="str">
        <f>IFERROR(VLOOKUP($M183,'Informations sur les produits'!$A$3:$H$10000,8,FALSE),"0")</f>
        <v>0</v>
      </c>
      <c r="P183" s="33">
        <f t="shared" si="8"/>
        <v>0</v>
      </c>
      <c r="Q183" s="31" t="str">
        <f t="shared" si="9"/>
        <v/>
      </c>
      <c r="R183" s="32" t="str">
        <f>IFERROR(VLOOKUP($D183,'Informations sur les produits'!$A$3:$B$15000,2,FALSE),"")</f>
        <v/>
      </c>
      <c r="V183">
        <f t="shared" si="10"/>
        <v>0</v>
      </c>
      <c r="W183">
        <f t="shared" si="11"/>
        <v>0</v>
      </c>
    </row>
    <row r="184" spans="5:23" x14ac:dyDescent="0.25">
      <c r="E184" s="4"/>
      <c r="F184" s="4"/>
      <c r="G184" s="33" t="str">
        <f>IFERROR(VLOOKUP($D184,'Informations sur les produits'!$A$3:$H$10000,8,FALSE),"0")</f>
        <v>0</v>
      </c>
      <c r="K184" s="4"/>
      <c r="L184" s="33" t="str">
        <f>IFERROR(VLOOKUP($J184,'Informations sur les produits'!$A$3:$H$10000,8,FALSE),"0")</f>
        <v>0</v>
      </c>
      <c r="N184" s="8"/>
      <c r="O184" s="33" t="str">
        <f>IFERROR(VLOOKUP($M184,'Informations sur les produits'!$A$3:$H$10000,8,FALSE),"0")</f>
        <v>0</v>
      </c>
      <c r="P184" s="33">
        <f t="shared" si="8"/>
        <v>0</v>
      </c>
      <c r="Q184" s="31" t="str">
        <f t="shared" si="9"/>
        <v/>
      </c>
      <c r="R184" s="32" t="str">
        <f>IFERROR(VLOOKUP($D184,'Informations sur les produits'!$A$3:$B$15000,2,FALSE),"")</f>
        <v/>
      </c>
      <c r="V184">
        <f t="shared" si="10"/>
        <v>0</v>
      </c>
      <c r="W184">
        <f t="shared" si="11"/>
        <v>0</v>
      </c>
    </row>
    <row r="185" spans="5:23" x14ac:dyDescent="0.25">
      <c r="E185" s="4"/>
      <c r="F185" s="4"/>
      <c r="G185" s="33" t="str">
        <f>IFERROR(VLOOKUP($D185,'Informations sur les produits'!$A$3:$H$10000,8,FALSE),"0")</f>
        <v>0</v>
      </c>
      <c r="K185" s="4"/>
      <c r="L185" s="33" t="str">
        <f>IFERROR(VLOOKUP($J185,'Informations sur les produits'!$A$3:$H$10000,8,FALSE),"0")</f>
        <v>0</v>
      </c>
      <c r="N185" s="8"/>
      <c r="O185" s="33" t="str">
        <f>IFERROR(VLOOKUP($M185,'Informations sur les produits'!$A$3:$H$10000,8,FALSE),"0")</f>
        <v>0</v>
      </c>
      <c r="P185" s="33">
        <f t="shared" si="8"/>
        <v>0</v>
      </c>
      <c r="Q185" s="31" t="str">
        <f t="shared" si="9"/>
        <v/>
      </c>
      <c r="R185" s="32" t="str">
        <f>IFERROR(VLOOKUP($D185,'Informations sur les produits'!$A$3:$B$15000,2,FALSE),"")</f>
        <v/>
      </c>
      <c r="V185">
        <f t="shared" si="10"/>
        <v>0</v>
      </c>
      <c r="W185">
        <f t="shared" si="11"/>
        <v>0</v>
      </c>
    </row>
    <row r="186" spans="5:23" x14ac:dyDescent="0.25">
      <c r="E186" s="4"/>
      <c r="F186" s="4"/>
      <c r="G186" s="33" t="str">
        <f>IFERROR(VLOOKUP($D186,'Informations sur les produits'!$A$3:$H$10000,8,FALSE),"0")</f>
        <v>0</v>
      </c>
      <c r="K186" s="4"/>
      <c r="L186" s="33" t="str">
        <f>IFERROR(VLOOKUP($J186,'Informations sur les produits'!$A$3:$H$10000,8,FALSE),"0")</f>
        <v>0</v>
      </c>
      <c r="N186" s="8"/>
      <c r="O186" s="33" t="str">
        <f>IFERROR(VLOOKUP($M186,'Informations sur les produits'!$A$3:$H$10000,8,FALSE),"0")</f>
        <v>0</v>
      </c>
      <c r="P186" s="33">
        <f t="shared" si="8"/>
        <v>0</v>
      </c>
      <c r="Q186" s="31" t="str">
        <f t="shared" si="9"/>
        <v/>
      </c>
      <c r="R186" s="32" t="str">
        <f>IFERROR(VLOOKUP($D186,'Informations sur les produits'!$A$3:$B$15000,2,FALSE),"")</f>
        <v/>
      </c>
      <c r="V186">
        <f t="shared" si="10"/>
        <v>0</v>
      </c>
      <c r="W186">
        <f t="shared" si="11"/>
        <v>0</v>
      </c>
    </row>
    <row r="187" spans="5:23" x14ac:dyDescent="0.25">
      <c r="E187" s="4"/>
      <c r="F187" s="4"/>
      <c r="G187" s="33" t="str">
        <f>IFERROR(VLOOKUP($D187,'Informations sur les produits'!$A$3:$H$10000,8,FALSE),"0")</f>
        <v>0</v>
      </c>
      <c r="K187" s="4"/>
      <c r="L187" s="33" t="str">
        <f>IFERROR(VLOOKUP($J187,'Informations sur les produits'!$A$3:$H$10000,8,FALSE),"0")</f>
        <v>0</v>
      </c>
      <c r="N187" s="8"/>
      <c r="O187" s="33" t="str">
        <f>IFERROR(VLOOKUP($M187,'Informations sur les produits'!$A$3:$H$10000,8,FALSE),"0")</f>
        <v>0</v>
      </c>
      <c r="P187" s="33">
        <f t="shared" si="8"/>
        <v>0</v>
      </c>
      <c r="Q187" s="31" t="str">
        <f t="shared" si="9"/>
        <v/>
      </c>
      <c r="R187" s="32" t="str">
        <f>IFERROR(VLOOKUP($D187,'Informations sur les produits'!$A$3:$B$15000,2,FALSE),"")</f>
        <v/>
      </c>
      <c r="V187">
        <f t="shared" si="10"/>
        <v>0</v>
      </c>
      <c r="W187">
        <f t="shared" si="11"/>
        <v>0</v>
      </c>
    </row>
    <row r="188" spans="5:23" x14ac:dyDescent="0.25">
      <c r="E188" s="4"/>
      <c r="F188" s="4"/>
      <c r="G188" s="33" t="str">
        <f>IFERROR(VLOOKUP($D188,'Informations sur les produits'!$A$3:$H$10000,8,FALSE),"0")</f>
        <v>0</v>
      </c>
      <c r="K188" s="4"/>
      <c r="L188" s="33" t="str">
        <f>IFERROR(VLOOKUP($J188,'Informations sur les produits'!$A$3:$H$10000,8,FALSE),"0")</f>
        <v>0</v>
      </c>
      <c r="N188" s="8"/>
      <c r="O188" s="33" t="str">
        <f>IFERROR(VLOOKUP($M188,'Informations sur les produits'!$A$3:$H$10000,8,FALSE),"0")</f>
        <v>0</v>
      </c>
      <c r="P188" s="33">
        <f t="shared" si="8"/>
        <v>0</v>
      </c>
      <c r="Q188" s="31" t="str">
        <f t="shared" si="9"/>
        <v/>
      </c>
      <c r="R188" s="32" t="str">
        <f>IFERROR(VLOOKUP($D188,'Informations sur les produits'!$A$3:$B$15000,2,FALSE),"")</f>
        <v/>
      </c>
      <c r="V188">
        <f t="shared" si="10"/>
        <v>0</v>
      </c>
      <c r="W188">
        <f t="shared" si="11"/>
        <v>0</v>
      </c>
    </row>
    <row r="189" spans="5:23" x14ac:dyDescent="0.25">
      <c r="E189" s="4"/>
      <c r="F189" s="4"/>
      <c r="G189" s="33" t="str">
        <f>IFERROR(VLOOKUP($D189,'Informations sur les produits'!$A$3:$H$10000,8,FALSE),"0")</f>
        <v>0</v>
      </c>
      <c r="K189" s="4"/>
      <c r="L189" s="33" t="str">
        <f>IFERROR(VLOOKUP($J189,'Informations sur les produits'!$A$3:$H$10000,8,FALSE),"0")</f>
        <v>0</v>
      </c>
      <c r="N189" s="8"/>
      <c r="O189" s="33" t="str">
        <f>IFERROR(VLOOKUP($M189,'Informations sur les produits'!$A$3:$H$10000,8,FALSE),"0")</f>
        <v>0</v>
      </c>
      <c r="P189" s="33">
        <f t="shared" si="8"/>
        <v>0</v>
      </c>
      <c r="Q189" s="31" t="str">
        <f t="shared" si="9"/>
        <v/>
      </c>
      <c r="R189" s="32" t="str">
        <f>IFERROR(VLOOKUP($D189,'Informations sur les produits'!$A$3:$B$15000,2,FALSE),"")</f>
        <v/>
      </c>
      <c r="V189">
        <f t="shared" si="10"/>
        <v>0</v>
      </c>
      <c r="W189">
        <f t="shared" si="11"/>
        <v>0</v>
      </c>
    </row>
    <row r="190" spans="5:23" x14ac:dyDescent="0.25">
      <c r="E190" s="4"/>
      <c r="F190" s="4"/>
      <c r="G190" s="33" t="str">
        <f>IFERROR(VLOOKUP($D190,'Informations sur les produits'!$A$3:$H$10000,8,FALSE),"0")</f>
        <v>0</v>
      </c>
      <c r="K190" s="4"/>
      <c r="L190" s="33" t="str">
        <f>IFERROR(VLOOKUP($J190,'Informations sur les produits'!$A$3:$H$10000,8,FALSE),"0")</f>
        <v>0</v>
      </c>
      <c r="N190" s="8"/>
      <c r="O190" s="33" t="str">
        <f>IFERROR(VLOOKUP($M190,'Informations sur les produits'!$A$3:$H$10000,8,FALSE),"0")</f>
        <v>0</v>
      </c>
      <c r="P190" s="33">
        <f t="shared" si="8"/>
        <v>0</v>
      </c>
      <c r="Q190" s="31" t="str">
        <f t="shared" si="9"/>
        <v/>
      </c>
      <c r="R190" s="32" t="str">
        <f>IFERROR(VLOOKUP($D190,'Informations sur les produits'!$A$3:$B$15000,2,FALSE),"")</f>
        <v/>
      </c>
      <c r="V190">
        <f t="shared" si="10"/>
        <v>0</v>
      </c>
      <c r="W190">
        <f t="shared" si="11"/>
        <v>0</v>
      </c>
    </row>
    <row r="191" spans="5:23" x14ac:dyDescent="0.25">
      <c r="E191" s="4"/>
      <c r="F191" s="4"/>
      <c r="G191" s="33" t="str">
        <f>IFERROR(VLOOKUP($D191,'Informations sur les produits'!$A$3:$H$10000,8,FALSE),"0")</f>
        <v>0</v>
      </c>
      <c r="K191" s="4"/>
      <c r="L191" s="33" t="str">
        <f>IFERROR(VLOOKUP($J191,'Informations sur les produits'!$A$3:$H$10000,8,FALSE),"0")</f>
        <v>0</v>
      </c>
      <c r="N191" s="8"/>
      <c r="O191" s="33" t="str">
        <f>IFERROR(VLOOKUP($M191,'Informations sur les produits'!$A$3:$H$10000,8,FALSE),"0")</f>
        <v>0</v>
      </c>
      <c r="P191" s="33">
        <f t="shared" si="8"/>
        <v>0</v>
      </c>
      <c r="Q191" s="31" t="str">
        <f t="shared" si="9"/>
        <v/>
      </c>
      <c r="R191" s="32" t="str">
        <f>IFERROR(VLOOKUP($D191,'Informations sur les produits'!$A$3:$B$15000,2,FALSE),"")</f>
        <v/>
      </c>
      <c r="V191">
        <f t="shared" si="10"/>
        <v>0</v>
      </c>
      <c r="W191">
        <f t="shared" si="11"/>
        <v>0</v>
      </c>
    </row>
    <row r="192" spans="5:23" x14ac:dyDescent="0.25">
      <c r="E192" s="4"/>
      <c r="F192" s="4"/>
      <c r="G192" s="33" t="str">
        <f>IFERROR(VLOOKUP($D192,'Informations sur les produits'!$A$3:$H$10000,8,FALSE),"0")</f>
        <v>0</v>
      </c>
      <c r="K192" s="4"/>
      <c r="L192" s="33" t="str">
        <f>IFERROR(VLOOKUP($J192,'Informations sur les produits'!$A$3:$H$10000,8,FALSE),"0")</f>
        <v>0</v>
      </c>
      <c r="N192" s="8"/>
      <c r="O192" s="33" t="str">
        <f>IFERROR(VLOOKUP($M192,'Informations sur les produits'!$A$3:$H$10000,8,FALSE),"0")</f>
        <v>0</v>
      </c>
      <c r="P192" s="33">
        <f t="shared" si="8"/>
        <v>0</v>
      </c>
      <c r="Q192" s="31" t="str">
        <f t="shared" si="9"/>
        <v/>
      </c>
      <c r="R192" s="32" t="str">
        <f>IFERROR(VLOOKUP($D192,'Informations sur les produits'!$A$3:$B$15000,2,FALSE),"")</f>
        <v/>
      </c>
      <c r="V192">
        <f t="shared" si="10"/>
        <v>0</v>
      </c>
      <c r="W192">
        <f t="shared" si="11"/>
        <v>0</v>
      </c>
    </row>
    <row r="193" spans="5:23" x14ac:dyDescent="0.25">
      <c r="E193" s="4"/>
      <c r="F193" s="4"/>
      <c r="G193" s="33" t="str">
        <f>IFERROR(VLOOKUP($D193,'Informations sur les produits'!$A$3:$H$10000,8,FALSE),"0")</f>
        <v>0</v>
      </c>
      <c r="K193" s="4"/>
      <c r="L193" s="33" t="str">
        <f>IFERROR(VLOOKUP($J193,'Informations sur les produits'!$A$3:$H$10000,8,FALSE),"0")</f>
        <v>0</v>
      </c>
      <c r="N193" s="8"/>
      <c r="O193" s="33" t="str">
        <f>IFERROR(VLOOKUP($M193,'Informations sur les produits'!$A$3:$H$10000,8,FALSE),"0")</f>
        <v>0</v>
      </c>
      <c r="P193" s="33">
        <f t="shared" si="8"/>
        <v>0</v>
      </c>
      <c r="Q193" s="31" t="str">
        <f t="shared" si="9"/>
        <v/>
      </c>
      <c r="R193" s="32" t="str">
        <f>IFERROR(VLOOKUP($D193,'Informations sur les produits'!$A$3:$B$15000,2,FALSE),"")</f>
        <v/>
      </c>
      <c r="V193">
        <f t="shared" si="10"/>
        <v>0</v>
      </c>
      <c r="W193">
        <f t="shared" si="11"/>
        <v>0</v>
      </c>
    </row>
    <row r="194" spans="5:23" x14ac:dyDescent="0.25">
      <c r="E194" s="4"/>
      <c r="F194" s="4"/>
      <c r="G194" s="33" t="str">
        <f>IFERROR(VLOOKUP($D194,'Informations sur les produits'!$A$3:$H$10000,8,FALSE),"0")</f>
        <v>0</v>
      </c>
      <c r="K194" s="4"/>
      <c r="L194" s="33" t="str">
        <f>IFERROR(VLOOKUP($J194,'Informations sur les produits'!$A$3:$H$10000,8,FALSE),"0")</f>
        <v>0</v>
      </c>
      <c r="N194" s="8"/>
      <c r="O194" s="33" t="str">
        <f>IFERROR(VLOOKUP($M194,'Informations sur les produits'!$A$3:$H$10000,8,FALSE),"0")</f>
        <v>0</v>
      </c>
      <c r="P194" s="33">
        <f t="shared" si="8"/>
        <v>0</v>
      </c>
      <c r="Q194" s="31" t="str">
        <f t="shared" si="9"/>
        <v/>
      </c>
      <c r="R194" s="32" t="str">
        <f>IFERROR(VLOOKUP($D194,'Informations sur les produits'!$A$3:$B$15000,2,FALSE),"")</f>
        <v/>
      </c>
      <c r="V194">
        <f t="shared" si="10"/>
        <v>0</v>
      </c>
      <c r="W194">
        <f t="shared" si="11"/>
        <v>0</v>
      </c>
    </row>
    <row r="195" spans="5:23" x14ac:dyDescent="0.25">
      <c r="E195" s="4"/>
      <c r="F195" s="4"/>
      <c r="G195" s="33" t="str">
        <f>IFERROR(VLOOKUP($D195,'Informations sur les produits'!$A$3:$H$10000,8,FALSE),"0")</f>
        <v>0</v>
      </c>
      <c r="K195" s="4"/>
      <c r="L195" s="33" t="str">
        <f>IFERROR(VLOOKUP($J195,'Informations sur les produits'!$A$3:$H$10000,8,FALSE),"0")</f>
        <v>0</v>
      </c>
      <c r="N195" s="8"/>
      <c r="O195" s="33" t="str">
        <f>IFERROR(VLOOKUP($M195,'Informations sur les produits'!$A$3:$H$10000,8,FALSE),"0")</f>
        <v>0</v>
      </c>
      <c r="P195" s="33">
        <f t="shared" si="8"/>
        <v>0</v>
      </c>
      <c r="Q195" s="31" t="str">
        <f t="shared" si="9"/>
        <v/>
      </c>
      <c r="R195" s="32" t="str">
        <f>IFERROR(VLOOKUP($D195,'Informations sur les produits'!$A$3:$B$15000,2,FALSE),"")</f>
        <v/>
      </c>
      <c r="V195">
        <f t="shared" si="10"/>
        <v>0</v>
      </c>
      <c r="W195">
        <f t="shared" si="11"/>
        <v>0</v>
      </c>
    </row>
    <row r="196" spans="5:23" x14ac:dyDescent="0.25">
      <c r="E196" s="4"/>
      <c r="F196" s="4"/>
      <c r="G196" s="33" t="str">
        <f>IFERROR(VLOOKUP($D196,'Informations sur les produits'!$A$3:$H$10000,8,FALSE),"0")</f>
        <v>0</v>
      </c>
      <c r="K196" s="4"/>
      <c r="L196" s="33" t="str">
        <f>IFERROR(VLOOKUP($J196,'Informations sur les produits'!$A$3:$H$10000,8,FALSE),"0")</f>
        <v>0</v>
      </c>
      <c r="N196" s="8"/>
      <c r="O196" s="33" t="str">
        <f>IFERROR(VLOOKUP($M196,'Informations sur les produits'!$A$3:$H$10000,8,FALSE),"0")</f>
        <v>0</v>
      </c>
      <c r="P196" s="33">
        <f t="shared" ref="P196:P259" si="12">IFERROR((($E196-$F196)*$G196+$K196*$L196+$N196*$O196),"")</f>
        <v>0</v>
      </c>
      <c r="Q196" s="31" t="str">
        <f t="shared" ref="Q196:Q259" si="13">IFERROR((((($E196-$F196)*$G196+$K196*$L196+$N196*$O196)*1000)/(($E196-$F196)+$K196+$N196)),"")</f>
        <v/>
      </c>
      <c r="R196" s="32" t="str">
        <f>IFERROR(VLOOKUP($D196,'Informations sur les produits'!$A$3:$B$15000,2,FALSE),"")</f>
        <v/>
      </c>
      <c r="V196">
        <f t="shared" ref="V196:V259" si="14">IFERROR(P196*1000,"")</f>
        <v>0</v>
      </c>
      <c r="W196">
        <f t="shared" ref="W196:W259" si="15">IFERROR(($E196-$F196)+$K196+$N196,"")</f>
        <v>0</v>
      </c>
    </row>
    <row r="197" spans="5:23" x14ac:dyDescent="0.25">
      <c r="E197" s="4"/>
      <c r="F197" s="4"/>
      <c r="G197" s="33" t="str">
        <f>IFERROR(VLOOKUP($D197,'Informations sur les produits'!$A$3:$H$10000,8,FALSE),"0")</f>
        <v>0</v>
      </c>
      <c r="K197" s="4"/>
      <c r="L197" s="33" t="str">
        <f>IFERROR(VLOOKUP($J197,'Informations sur les produits'!$A$3:$H$10000,8,FALSE),"0")</f>
        <v>0</v>
      </c>
      <c r="N197" s="8"/>
      <c r="O197" s="33" t="str">
        <f>IFERROR(VLOOKUP($M197,'Informations sur les produits'!$A$3:$H$10000,8,FALSE),"0")</f>
        <v>0</v>
      </c>
      <c r="P197" s="33">
        <f t="shared" si="12"/>
        <v>0</v>
      </c>
      <c r="Q197" s="31" t="str">
        <f t="shared" si="13"/>
        <v/>
      </c>
      <c r="R197" s="32" t="str">
        <f>IFERROR(VLOOKUP($D197,'Informations sur les produits'!$A$3:$B$15000,2,FALSE),"")</f>
        <v/>
      </c>
      <c r="V197">
        <f t="shared" si="14"/>
        <v>0</v>
      </c>
      <c r="W197">
        <f t="shared" si="15"/>
        <v>0</v>
      </c>
    </row>
    <row r="198" spans="5:23" x14ac:dyDescent="0.25">
      <c r="E198" s="4"/>
      <c r="F198" s="4"/>
      <c r="G198" s="33" t="str">
        <f>IFERROR(VLOOKUP($D198,'Informations sur les produits'!$A$3:$H$10000,8,FALSE),"0")</f>
        <v>0</v>
      </c>
      <c r="K198" s="4"/>
      <c r="L198" s="33" t="str">
        <f>IFERROR(VLOOKUP($J198,'Informations sur les produits'!$A$3:$H$10000,8,FALSE),"0")</f>
        <v>0</v>
      </c>
      <c r="N198" s="8"/>
      <c r="O198" s="33" t="str">
        <f>IFERROR(VLOOKUP($M198,'Informations sur les produits'!$A$3:$H$10000,8,FALSE),"0")</f>
        <v>0</v>
      </c>
      <c r="P198" s="33">
        <f t="shared" si="12"/>
        <v>0</v>
      </c>
      <c r="Q198" s="31" t="str">
        <f t="shared" si="13"/>
        <v/>
      </c>
      <c r="R198" s="32" t="str">
        <f>IFERROR(VLOOKUP($D198,'Informations sur les produits'!$A$3:$B$15000,2,FALSE),"")</f>
        <v/>
      </c>
      <c r="V198">
        <f t="shared" si="14"/>
        <v>0</v>
      </c>
      <c r="W198">
        <f t="shared" si="15"/>
        <v>0</v>
      </c>
    </row>
    <row r="199" spans="5:23" x14ac:dyDescent="0.25">
      <c r="E199" s="4"/>
      <c r="F199" s="4"/>
      <c r="G199" s="33" t="str">
        <f>IFERROR(VLOOKUP($D199,'Informations sur les produits'!$A$3:$H$10000,8,FALSE),"0")</f>
        <v>0</v>
      </c>
      <c r="K199" s="4"/>
      <c r="L199" s="33" t="str">
        <f>IFERROR(VLOOKUP($J199,'Informations sur les produits'!$A$3:$H$10000,8,FALSE),"0")</f>
        <v>0</v>
      </c>
      <c r="N199" s="8"/>
      <c r="O199" s="33" t="str">
        <f>IFERROR(VLOOKUP($M199,'Informations sur les produits'!$A$3:$H$10000,8,FALSE),"0")</f>
        <v>0</v>
      </c>
      <c r="P199" s="33">
        <f t="shared" si="12"/>
        <v>0</v>
      </c>
      <c r="Q199" s="31" t="str">
        <f t="shared" si="13"/>
        <v/>
      </c>
      <c r="R199" s="32" t="str">
        <f>IFERROR(VLOOKUP($D199,'Informations sur les produits'!$A$3:$B$15000,2,FALSE),"")</f>
        <v/>
      </c>
      <c r="V199">
        <f t="shared" si="14"/>
        <v>0</v>
      </c>
      <c r="W199">
        <f t="shared" si="15"/>
        <v>0</v>
      </c>
    </row>
    <row r="200" spans="5:23" x14ac:dyDescent="0.25">
      <c r="E200" s="4"/>
      <c r="F200" s="4"/>
      <c r="G200" s="33" t="str">
        <f>IFERROR(VLOOKUP($D200,'Informations sur les produits'!$A$3:$H$10000,8,FALSE),"0")</f>
        <v>0</v>
      </c>
      <c r="K200" s="4"/>
      <c r="L200" s="33" t="str">
        <f>IFERROR(VLOOKUP($J200,'Informations sur les produits'!$A$3:$H$10000,8,FALSE),"0")</f>
        <v>0</v>
      </c>
      <c r="N200" s="8"/>
      <c r="O200" s="33" t="str">
        <f>IFERROR(VLOOKUP($M200,'Informations sur les produits'!$A$3:$H$10000,8,FALSE),"0")</f>
        <v>0</v>
      </c>
      <c r="P200" s="33">
        <f t="shared" si="12"/>
        <v>0</v>
      </c>
      <c r="Q200" s="31" t="str">
        <f t="shared" si="13"/>
        <v/>
      </c>
      <c r="R200" s="32" t="str">
        <f>IFERROR(VLOOKUP($D200,'Informations sur les produits'!$A$3:$B$15000,2,FALSE),"")</f>
        <v/>
      </c>
      <c r="V200">
        <f t="shared" si="14"/>
        <v>0</v>
      </c>
      <c r="W200">
        <f t="shared" si="15"/>
        <v>0</v>
      </c>
    </row>
    <row r="201" spans="5:23" x14ac:dyDescent="0.25">
      <c r="E201" s="4"/>
      <c r="F201" s="4"/>
      <c r="G201" s="33" t="str">
        <f>IFERROR(VLOOKUP($D201,'Informations sur les produits'!$A$3:$H$10000,8,FALSE),"0")</f>
        <v>0</v>
      </c>
      <c r="K201" s="4"/>
      <c r="L201" s="33" t="str">
        <f>IFERROR(VLOOKUP($J201,'Informations sur les produits'!$A$3:$H$10000,8,FALSE),"0")</f>
        <v>0</v>
      </c>
      <c r="N201" s="8"/>
      <c r="O201" s="33" t="str">
        <f>IFERROR(VLOOKUP($M201,'Informations sur les produits'!$A$3:$H$10000,8,FALSE),"0")</f>
        <v>0</v>
      </c>
      <c r="P201" s="33">
        <f t="shared" si="12"/>
        <v>0</v>
      </c>
      <c r="Q201" s="31" t="str">
        <f t="shared" si="13"/>
        <v/>
      </c>
      <c r="R201" s="32" t="str">
        <f>IFERROR(VLOOKUP($D201,'Informations sur les produits'!$A$3:$B$15000,2,FALSE),"")</f>
        <v/>
      </c>
      <c r="V201">
        <f t="shared" si="14"/>
        <v>0</v>
      </c>
      <c r="W201">
        <f t="shared" si="15"/>
        <v>0</v>
      </c>
    </row>
    <row r="202" spans="5:23" x14ac:dyDescent="0.25">
      <c r="E202" s="4"/>
      <c r="F202" s="4"/>
      <c r="G202" s="33" t="str">
        <f>IFERROR(VLOOKUP($D202,'Informations sur les produits'!$A$3:$H$10000,8,FALSE),"0")</f>
        <v>0</v>
      </c>
      <c r="K202" s="4"/>
      <c r="L202" s="33" t="str">
        <f>IFERROR(VLOOKUP($J202,'Informations sur les produits'!$A$3:$H$10000,8,FALSE),"0")</f>
        <v>0</v>
      </c>
      <c r="N202" s="8"/>
      <c r="O202" s="33" t="str">
        <f>IFERROR(VLOOKUP($M202,'Informations sur les produits'!$A$3:$H$10000,8,FALSE),"0")</f>
        <v>0</v>
      </c>
      <c r="P202" s="33">
        <f t="shared" si="12"/>
        <v>0</v>
      </c>
      <c r="Q202" s="31" t="str">
        <f t="shared" si="13"/>
        <v/>
      </c>
      <c r="R202" s="32" t="str">
        <f>IFERROR(VLOOKUP($D202,'Informations sur les produits'!$A$3:$B$15000,2,FALSE),"")</f>
        <v/>
      </c>
      <c r="V202">
        <f t="shared" si="14"/>
        <v>0</v>
      </c>
      <c r="W202">
        <f t="shared" si="15"/>
        <v>0</v>
      </c>
    </row>
    <row r="203" spans="5:23" x14ac:dyDescent="0.25">
      <c r="E203" s="4"/>
      <c r="F203" s="4"/>
      <c r="G203" s="33" t="str">
        <f>IFERROR(VLOOKUP($D203,'Informations sur les produits'!$A$3:$H$10000,8,FALSE),"0")</f>
        <v>0</v>
      </c>
      <c r="K203" s="4"/>
      <c r="L203" s="33" t="str">
        <f>IFERROR(VLOOKUP($J203,'Informations sur les produits'!$A$3:$H$10000,8,FALSE),"0")</f>
        <v>0</v>
      </c>
      <c r="N203" s="8"/>
      <c r="O203" s="33" t="str">
        <f>IFERROR(VLOOKUP($M203,'Informations sur les produits'!$A$3:$H$10000,8,FALSE),"0")</f>
        <v>0</v>
      </c>
      <c r="P203" s="33">
        <f t="shared" si="12"/>
        <v>0</v>
      </c>
      <c r="Q203" s="31" t="str">
        <f t="shared" si="13"/>
        <v/>
      </c>
      <c r="R203" s="32" t="str">
        <f>IFERROR(VLOOKUP($D203,'Informations sur les produits'!$A$3:$B$15000,2,FALSE),"")</f>
        <v/>
      </c>
      <c r="V203">
        <f t="shared" si="14"/>
        <v>0</v>
      </c>
      <c r="W203">
        <f t="shared" si="15"/>
        <v>0</v>
      </c>
    </row>
    <row r="204" spans="5:23" x14ac:dyDescent="0.25">
      <c r="E204" s="4"/>
      <c r="F204" s="4"/>
      <c r="G204" s="33" t="str">
        <f>IFERROR(VLOOKUP($D204,'Informations sur les produits'!$A$3:$H$10000,8,FALSE),"0")</f>
        <v>0</v>
      </c>
      <c r="K204" s="4"/>
      <c r="L204" s="33" t="str">
        <f>IFERROR(VLOOKUP($J204,'Informations sur les produits'!$A$3:$H$10000,8,FALSE),"0")</f>
        <v>0</v>
      </c>
      <c r="N204" s="8"/>
      <c r="O204" s="33" t="str">
        <f>IFERROR(VLOOKUP($M204,'Informations sur les produits'!$A$3:$H$10000,8,FALSE),"0")</f>
        <v>0</v>
      </c>
      <c r="P204" s="33">
        <f t="shared" si="12"/>
        <v>0</v>
      </c>
      <c r="Q204" s="31" t="str">
        <f t="shared" si="13"/>
        <v/>
      </c>
      <c r="R204" s="32" t="str">
        <f>IFERROR(VLOOKUP($D204,'Informations sur les produits'!$A$3:$B$15000,2,FALSE),"")</f>
        <v/>
      </c>
      <c r="V204">
        <f t="shared" si="14"/>
        <v>0</v>
      </c>
      <c r="W204">
        <f t="shared" si="15"/>
        <v>0</v>
      </c>
    </row>
    <row r="205" spans="5:23" x14ac:dyDescent="0.25">
      <c r="E205" s="4"/>
      <c r="F205" s="4"/>
      <c r="G205" s="33" t="str">
        <f>IFERROR(VLOOKUP($D205,'Informations sur les produits'!$A$3:$H$10000,8,FALSE),"0")</f>
        <v>0</v>
      </c>
      <c r="K205" s="4"/>
      <c r="L205" s="33" t="str">
        <f>IFERROR(VLOOKUP($J205,'Informations sur les produits'!$A$3:$H$10000,8,FALSE),"0")</f>
        <v>0</v>
      </c>
      <c r="N205" s="8"/>
      <c r="O205" s="33" t="str">
        <f>IFERROR(VLOOKUP($M205,'Informations sur les produits'!$A$3:$H$10000,8,FALSE),"0")</f>
        <v>0</v>
      </c>
      <c r="P205" s="33">
        <f t="shared" si="12"/>
        <v>0</v>
      </c>
      <c r="Q205" s="31" t="str">
        <f t="shared" si="13"/>
        <v/>
      </c>
      <c r="R205" s="32" t="str">
        <f>IFERROR(VLOOKUP($D205,'Informations sur les produits'!$A$3:$B$15000,2,FALSE),"")</f>
        <v/>
      </c>
      <c r="V205">
        <f t="shared" si="14"/>
        <v>0</v>
      </c>
      <c r="W205">
        <f t="shared" si="15"/>
        <v>0</v>
      </c>
    </row>
    <row r="206" spans="5:23" x14ac:dyDescent="0.25">
      <c r="E206" s="4"/>
      <c r="F206" s="4"/>
      <c r="G206" s="33" t="str">
        <f>IFERROR(VLOOKUP($D206,'Informations sur les produits'!$A$3:$H$10000,8,FALSE),"0")</f>
        <v>0</v>
      </c>
      <c r="K206" s="4"/>
      <c r="L206" s="33" t="str">
        <f>IFERROR(VLOOKUP($J206,'Informations sur les produits'!$A$3:$H$10000,8,FALSE),"0")</f>
        <v>0</v>
      </c>
      <c r="N206" s="8"/>
      <c r="O206" s="33" t="str">
        <f>IFERROR(VLOOKUP($M206,'Informations sur les produits'!$A$3:$H$10000,8,FALSE),"0")</f>
        <v>0</v>
      </c>
      <c r="P206" s="33">
        <f t="shared" si="12"/>
        <v>0</v>
      </c>
      <c r="Q206" s="31" t="str">
        <f t="shared" si="13"/>
        <v/>
      </c>
      <c r="R206" s="32" t="str">
        <f>IFERROR(VLOOKUP($D206,'Informations sur les produits'!$A$3:$B$15000,2,FALSE),"")</f>
        <v/>
      </c>
      <c r="V206">
        <f t="shared" si="14"/>
        <v>0</v>
      </c>
      <c r="W206">
        <f t="shared" si="15"/>
        <v>0</v>
      </c>
    </row>
    <row r="207" spans="5:23" x14ac:dyDescent="0.25">
      <c r="E207" s="4"/>
      <c r="F207" s="4"/>
      <c r="G207" s="33" t="str">
        <f>IFERROR(VLOOKUP($D207,'Informations sur les produits'!$A$3:$H$10000,8,FALSE),"0")</f>
        <v>0</v>
      </c>
      <c r="K207" s="4"/>
      <c r="L207" s="33" t="str">
        <f>IFERROR(VLOOKUP($J207,'Informations sur les produits'!$A$3:$H$10000,8,FALSE),"0")</f>
        <v>0</v>
      </c>
      <c r="N207" s="8"/>
      <c r="O207" s="33" t="str">
        <f>IFERROR(VLOOKUP($M207,'Informations sur les produits'!$A$3:$H$10000,8,FALSE),"0")</f>
        <v>0</v>
      </c>
      <c r="P207" s="33">
        <f t="shared" si="12"/>
        <v>0</v>
      </c>
      <c r="Q207" s="31" t="str">
        <f t="shared" si="13"/>
        <v/>
      </c>
      <c r="R207" s="32" t="str">
        <f>IFERROR(VLOOKUP($D207,'Informations sur les produits'!$A$3:$B$15000,2,FALSE),"")</f>
        <v/>
      </c>
      <c r="V207">
        <f t="shared" si="14"/>
        <v>0</v>
      </c>
      <c r="W207">
        <f t="shared" si="15"/>
        <v>0</v>
      </c>
    </row>
    <row r="208" spans="5:23" x14ac:dyDescent="0.25">
      <c r="E208" s="4"/>
      <c r="F208" s="4"/>
      <c r="G208" s="33" t="str">
        <f>IFERROR(VLOOKUP($D208,'Informations sur les produits'!$A$3:$H$10000,8,FALSE),"0")</f>
        <v>0</v>
      </c>
      <c r="K208" s="4"/>
      <c r="L208" s="33" t="str">
        <f>IFERROR(VLOOKUP($J208,'Informations sur les produits'!$A$3:$H$10000,8,FALSE),"0")</f>
        <v>0</v>
      </c>
      <c r="N208" s="8"/>
      <c r="O208" s="33" t="str">
        <f>IFERROR(VLOOKUP($M208,'Informations sur les produits'!$A$3:$H$10000,8,FALSE),"0")</f>
        <v>0</v>
      </c>
      <c r="P208" s="33">
        <f t="shared" si="12"/>
        <v>0</v>
      </c>
      <c r="Q208" s="31" t="str">
        <f t="shared" si="13"/>
        <v/>
      </c>
      <c r="R208" s="32" t="str">
        <f>IFERROR(VLOOKUP($D208,'Informations sur les produits'!$A$3:$B$15000,2,FALSE),"")</f>
        <v/>
      </c>
      <c r="V208">
        <f t="shared" si="14"/>
        <v>0</v>
      </c>
      <c r="W208">
        <f t="shared" si="15"/>
        <v>0</v>
      </c>
    </row>
    <row r="209" spans="5:23" x14ac:dyDescent="0.25">
      <c r="E209" s="4"/>
      <c r="F209" s="4"/>
      <c r="G209" s="33" t="str">
        <f>IFERROR(VLOOKUP($D209,'Informations sur les produits'!$A$3:$H$10000,8,FALSE),"0")</f>
        <v>0</v>
      </c>
      <c r="K209" s="4"/>
      <c r="L209" s="33" t="str">
        <f>IFERROR(VLOOKUP($J209,'Informations sur les produits'!$A$3:$H$10000,8,FALSE),"0")</f>
        <v>0</v>
      </c>
      <c r="N209" s="8"/>
      <c r="O209" s="33" t="str">
        <f>IFERROR(VLOOKUP($M209,'Informations sur les produits'!$A$3:$H$10000,8,FALSE),"0")</f>
        <v>0</v>
      </c>
      <c r="P209" s="33">
        <f t="shared" si="12"/>
        <v>0</v>
      </c>
      <c r="Q209" s="31" t="str">
        <f t="shared" si="13"/>
        <v/>
      </c>
      <c r="R209" s="32" t="str">
        <f>IFERROR(VLOOKUP($D209,'Informations sur les produits'!$A$3:$B$15000,2,FALSE),"")</f>
        <v/>
      </c>
      <c r="V209">
        <f t="shared" si="14"/>
        <v>0</v>
      </c>
      <c r="W209">
        <f t="shared" si="15"/>
        <v>0</v>
      </c>
    </row>
    <row r="210" spans="5:23" x14ac:dyDescent="0.25">
      <c r="E210" s="4"/>
      <c r="F210" s="4"/>
      <c r="G210" s="33" t="str">
        <f>IFERROR(VLOOKUP($D210,'Informations sur les produits'!$A$3:$H$10000,8,FALSE),"0")</f>
        <v>0</v>
      </c>
      <c r="K210" s="4"/>
      <c r="L210" s="33" t="str">
        <f>IFERROR(VLOOKUP($J210,'Informations sur les produits'!$A$3:$H$10000,8,FALSE),"0")</f>
        <v>0</v>
      </c>
      <c r="N210" s="8"/>
      <c r="O210" s="33" t="str">
        <f>IFERROR(VLOOKUP($M210,'Informations sur les produits'!$A$3:$H$10000,8,FALSE),"0")</f>
        <v>0</v>
      </c>
      <c r="P210" s="33">
        <f t="shared" si="12"/>
        <v>0</v>
      </c>
      <c r="Q210" s="31" t="str">
        <f t="shared" si="13"/>
        <v/>
      </c>
      <c r="R210" s="32" t="str">
        <f>IFERROR(VLOOKUP($D210,'Informations sur les produits'!$A$3:$B$15000,2,FALSE),"")</f>
        <v/>
      </c>
      <c r="V210">
        <f t="shared" si="14"/>
        <v>0</v>
      </c>
      <c r="W210">
        <f t="shared" si="15"/>
        <v>0</v>
      </c>
    </row>
    <row r="211" spans="5:23" x14ac:dyDescent="0.25">
      <c r="E211" s="4"/>
      <c r="F211" s="4"/>
      <c r="G211" s="33" t="str">
        <f>IFERROR(VLOOKUP($D211,'Informations sur les produits'!$A$3:$H$10000,8,FALSE),"0")</f>
        <v>0</v>
      </c>
      <c r="K211" s="4"/>
      <c r="L211" s="33" t="str">
        <f>IFERROR(VLOOKUP($J211,'Informations sur les produits'!$A$3:$H$10000,8,FALSE),"0")</f>
        <v>0</v>
      </c>
      <c r="N211" s="8"/>
      <c r="O211" s="33" t="str">
        <f>IFERROR(VLOOKUP($M211,'Informations sur les produits'!$A$3:$H$10000,8,FALSE),"0")</f>
        <v>0</v>
      </c>
      <c r="P211" s="33">
        <f t="shared" si="12"/>
        <v>0</v>
      </c>
      <c r="Q211" s="31" t="str">
        <f t="shared" si="13"/>
        <v/>
      </c>
      <c r="R211" s="32" t="str">
        <f>IFERROR(VLOOKUP($D211,'Informations sur les produits'!$A$3:$B$15000,2,FALSE),"")</f>
        <v/>
      </c>
      <c r="V211">
        <f t="shared" si="14"/>
        <v>0</v>
      </c>
      <c r="W211">
        <f t="shared" si="15"/>
        <v>0</v>
      </c>
    </row>
    <row r="212" spans="5:23" x14ac:dyDescent="0.25">
      <c r="E212" s="4"/>
      <c r="F212" s="4"/>
      <c r="G212" s="33" t="str">
        <f>IFERROR(VLOOKUP($D212,'Informations sur les produits'!$A$3:$H$10000,8,FALSE),"0")</f>
        <v>0</v>
      </c>
      <c r="K212" s="4"/>
      <c r="L212" s="33" t="str">
        <f>IFERROR(VLOOKUP($J212,'Informations sur les produits'!$A$3:$H$10000,8,FALSE),"0")</f>
        <v>0</v>
      </c>
      <c r="N212" s="8"/>
      <c r="O212" s="33" t="str">
        <f>IFERROR(VLOOKUP($M212,'Informations sur les produits'!$A$3:$H$10000,8,FALSE),"0")</f>
        <v>0</v>
      </c>
      <c r="P212" s="33">
        <f t="shared" si="12"/>
        <v>0</v>
      </c>
      <c r="Q212" s="31" t="str">
        <f t="shared" si="13"/>
        <v/>
      </c>
      <c r="R212" s="32" t="str">
        <f>IFERROR(VLOOKUP($D212,'Informations sur les produits'!$A$3:$B$15000,2,FALSE),"")</f>
        <v/>
      </c>
      <c r="V212">
        <f t="shared" si="14"/>
        <v>0</v>
      </c>
      <c r="W212">
        <f t="shared" si="15"/>
        <v>0</v>
      </c>
    </row>
    <row r="213" spans="5:23" x14ac:dyDescent="0.25">
      <c r="E213" s="4"/>
      <c r="F213" s="4"/>
      <c r="G213" s="33" t="str">
        <f>IFERROR(VLOOKUP($D213,'Informations sur les produits'!$A$3:$H$10000,8,FALSE),"0")</f>
        <v>0</v>
      </c>
      <c r="K213" s="4"/>
      <c r="L213" s="33" t="str">
        <f>IFERROR(VLOOKUP($J213,'Informations sur les produits'!$A$3:$H$10000,8,FALSE),"0")</f>
        <v>0</v>
      </c>
      <c r="N213" s="8"/>
      <c r="O213" s="33" t="str">
        <f>IFERROR(VLOOKUP($M213,'Informations sur les produits'!$A$3:$H$10000,8,FALSE),"0")</f>
        <v>0</v>
      </c>
      <c r="P213" s="33">
        <f t="shared" si="12"/>
        <v>0</v>
      </c>
      <c r="Q213" s="31" t="str">
        <f t="shared" si="13"/>
        <v/>
      </c>
      <c r="R213" s="32" t="str">
        <f>IFERROR(VLOOKUP($D213,'Informations sur les produits'!$A$3:$B$15000,2,FALSE),"")</f>
        <v/>
      </c>
      <c r="V213">
        <f t="shared" si="14"/>
        <v>0</v>
      </c>
      <c r="W213">
        <f t="shared" si="15"/>
        <v>0</v>
      </c>
    </row>
    <row r="214" spans="5:23" x14ac:dyDescent="0.25">
      <c r="E214" s="4"/>
      <c r="F214" s="4"/>
      <c r="G214" s="33" t="str">
        <f>IFERROR(VLOOKUP($D214,'Informations sur les produits'!$A$3:$H$10000,8,FALSE),"0")</f>
        <v>0</v>
      </c>
      <c r="K214" s="4"/>
      <c r="L214" s="33" t="str">
        <f>IFERROR(VLOOKUP($J214,'Informations sur les produits'!$A$3:$H$10000,8,FALSE),"0")</f>
        <v>0</v>
      </c>
      <c r="N214" s="8"/>
      <c r="O214" s="33" t="str">
        <f>IFERROR(VLOOKUP($M214,'Informations sur les produits'!$A$3:$H$10000,8,FALSE),"0")</f>
        <v>0</v>
      </c>
      <c r="P214" s="33">
        <f t="shared" si="12"/>
        <v>0</v>
      </c>
      <c r="Q214" s="31" t="str">
        <f t="shared" si="13"/>
        <v/>
      </c>
      <c r="R214" s="32" t="str">
        <f>IFERROR(VLOOKUP($D214,'Informations sur les produits'!$A$3:$B$15000,2,FALSE),"")</f>
        <v/>
      </c>
      <c r="V214">
        <f t="shared" si="14"/>
        <v>0</v>
      </c>
      <c r="W214">
        <f t="shared" si="15"/>
        <v>0</v>
      </c>
    </row>
    <row r="215" spans="5:23" x14ac:dyDescent="0.25">
      <c r="E215" s="4"/>
      <c r="F215" s="4"/>
      <c r="G215" s="33" t="str">
        <f>IFERROR(VLOOKUP($D215,'Informations sur les produits'!$A$3:$H$10000,8,FALSE),"0")</f>
        <v>0</v>
      </c>
      <c r="K215" s="4"/>
      <c r="L215" s="33" t="str">
        <f>IFERROR(VLOOKUP($J215,'Informations sur les produits'!$A$3:$H$10000,8,FALSE),"0")</f>
        <v>0</v>
      </c>
      <c r="N215" s="8"/>
      <c r="O215" s="33" t="str">
        <f>IFERROR(VLOOKUP($M215,'Informations sur les produits'!$A$3:$H$10000,8,FALSE),"0")</f>
        <v>0</v>
      </c>
      <c r="P215" s="33">
        <f t="shared" si="12"/>
        <v>0</v>
      </c>
      <c r="Q215" s="31" t="str">
        <f t="shared" si="13"/>
        <v/>
      </c>
      <c r="R215" s="32" t="str">
        <f>IFERROR(VLOOKUP($D215,'Informations sur les produits'!$A$3:$B$15000,2,FALSE),"")</f>
        <v/>
      </c>
      <c r="V215">
        <f t="shared" si="14"/>
        <v>0</v>
      </c>
      <c r="W215">
        <f t="shared" si="15"/>
        <v>0</v>
      </c>
    </row>
    <row r="216" spans="5:23" x14ac:dyDescent="0.25">
      <c r="E216" s="4"/>
      <c r="F216" s="4"/>
      <c r="G216" s="33" t="str">
        <f>IFERROR(VLOOKUP($D216,'Informations sur les produits'!$A$3:$H$10000,8,FALSE),"0")</f>
        <v>0</v>
      </c>
      <c r="K216" s="4"/>
      <c r="L216" s="33" t="str">
        <f>IFERROR(VLOOKUP($J216,'Informations sur les produits'!$A$3:$H$10000,8,FALSE),"0")</f>
        <v>0</v>
      </c>
      <c r="N216" s="8"/>
      <c r="O216" s="33" t="str">
        <f>IFERROR(VLOOKUP($M216,'Informations sur les produits'!$A$3:$H$10000,8,FALSE),"0")</f>
        <v>0</v>
      </c>
      <c r="P216" s="33">
        <f t="shared" si="12"/>
        <v>0</v>
      </c>
      <c r="Q216" s="31" t="str">
        <f t="shared" si="13"/>
        <v/>
      </c>
      <c r="R216" s="32" t="str">
        <f>IFERROR(VLOOKUP($D216,'Informations sur les produits'!$A$3:$B$15000,2,FALSE),"")</f>
        <v/>
      </c>
      <c r="V216">
        <f t="shared" si="14"/>
        <v>0</v>
      </c>
      <c r="W216">
        <f t="shared" si="15"/>
        <v>0</v>
      </c>
    </row>
    <row r="217" spans="5:23" x14ac:dyDescent="0.25">
      <c r="E217" s="4"/>
      <c r="F217" s="4"/>
      <c r="G217" s="33" t="str">
        <f>IFERROR(VLOOKUP($D217,'Informations sur les produits'!$A$3:$H$10000,8,FALSE),"0")</f>
        <v>0</v>
      </c>
      <c r="K217" s="4"/>
      <c r="L217" s="33" t="str">
        <f>IFERROR(VLOOKUP($J217,'Informations sur les produits'!$A$3:$H$10000,8,FALSE),"0")</f>
        <v>0</v>
      </c>
      <c r="N217" s="8"/>
      <c r="O217" s="33" t="str">
        <f>IFERROR(VLOOKUP($M217,'Informations sur les produits'!$A$3:$H$10000,8,FALSE),"0")</f>
        <v>0</v>
      </c>
      <c r="P217" s="33">
        <f t="shared" si="12"/>
        <v>0</v>
      </c>
      <c r="Q217" s="31" t="str">
        <f t="shared" si="13"/>
        <v/>
      </c>
      <c r="R217" s="32" t="str">
        <f>IFERROR(VLOOKUP($D217,'Informations sur les produits'!$A$3:$B$15000,2,FALSE),"")</f>
        <v/>
      </c>
      <c r="V217">
        <f t="shared" si="14"/>
        <v>0</v>
      </c>
      <c r="W217">
        <f t="shared" si="15"/>
        <v>0</v>
      </c>
    </row>
    <row r="218" spans="5:23" x14ac:dyDescent="0.25">
      <c r="E218" s="4"/>
      <c r="F218" s="4"/>
      <c r="G218" s="33" t="str">
        <f>IFERROR(VLOOKUP($D218,'Informations sur les produits'!$A$3:$H$10000,8,FALSE),"0")</f>
        <v>0</v>
      </c>
      <c r="K218" s="4"/>
      <c r="L218" s="33" t="str">
        <f>IFERROR(VLOOKUP($J218,'Informations sur les produits'!$A$3:$H$10000,8,FALSE),"0")</f>
        <v>0</v>
      </c>
      <c r="N218" s="8"/>
      <c r="O218" s="33" t="str">
        <f>IFERROR(VLOOKUP($M218,'Informations sur les produits'!$A$3:$H$10000,8,FALSE),"0")</f>
        <v>0</v>
      </c>
      <c r="P218" s="33">
        <f t="shared" si="12"/>
        <v>0</v>
      </c>
      <c r="Q218" s="31" t="str">
        <f t="shared" si="13"/>
        <v/>
      </c>
      <c r="R218" s="32" t="str">
        <f>IFERROR(VLOOKUP($D218,'Informations sur les produits'!$A$3:$B$15000,2,FALSE),"")</f>
        <v/>
      </c>
      <c r="V218">
        <f t="shared" si="14"/>
        <v>0</v>
      </c>
      <c r="W218">
        <f t="shared" si="15"/>
        <v>0</v>
      </c>
    </row>
    <row r="219" spans="5:23" x14ac:dyDescent="0.25">
      <c r="E219" s="4"/>
      <c r="F219" s="4"/>
      <c r="G219" s="33" t="str">
        <f>IFERROR(VLOOKUP($D219,'Informations sur les produits'!$A$3:$H$10000,8,FALSE),"0")</f>
        <v>0</v>
      </c>
      <c r="K219" s="4"/>
      <c r="L219" s="33" t="str">
        <f>IFERROR(VLOOKUP($J219,'Informations sur les produits'!$A$3:$H$10000,8,FALSE),"0")</f>
        <v>0</v>
      </c>
      <c r="N219" s="8"/>
      <c r="O219" s="33" t="str">
        <f>IFERROR(VLOOKUP($M219,'Informations sur les produits'!$A$3:$H$10000,8,FALSE),"0")</f>
        <v>0</v>
      </c>
      <c r="P219" s="33">
        <f t="shared" si="12"/>
        <v>0</v>
      </c>
      <c r="Q219" s="31" t="str">
        <f t="shared" si="13"/>
        <v/>
      </c>
      <c r="R219" s="32" t="str">
        <f>IFERROR(VLOOKUP($D219,'Informations sur les produits'!$A$3:$B$15000,2,FALSE),"")</f>
        <v/>
      </c>
      <c r="V219">
        <f t="shared" si="14"/>
        <v>0</v>
      </c>
      <c r="W219">
        <f t="shared" si="15"/>
        <v>0</v>
      </c>
    </row>
    <row r="220" spans="5:23" x14ac:dyDescent="0.25">
      <c r="E220" s="4"/>
      <c r="F220" s="4"/>
      <c r="G220" s="33" t="str">
        <f>IFERROR(VLOOKUP($D220,'Informations sur les produits'!$A$3:$H$10000,8,FALSE),"0")</f>
        <v>0</v>
      </c>
      <c r="K220" s="4"/>
      <c r="L220" s="33" t="str">
        <f>IFERROR(VLOOKUP($J220,'Informations sur les produits'!$A$3:$H$10000,8,FALSE),"0")</f>
        <v>0</v>
      </c>
      <c r="N220" s="8"/>
      <c r="O220" s="33" t="str">
        <f>IFERROR(VLOOKUP($M220,'Informations sur les produits'!$A$3:$H$10000,8,FALSE),"0")</f>
        <v>0</v>
      </c>
      <c r="P220" s="33">
        <f t="shared" si="12"/>
        <v>0</v>
      </c>
      <c r="Q220" s="31" t="str">
        <f t="shared" si="13"/>
        <v/>
      </c>
      <c r="R220" s="32" t="str">
        <f>IFERROR(VLOOKUP($D220,'Informations sur les produits'!$A$3:$B$15000,2,FALSE),"")</f>
        <v/>
      </c>
      <c r="V220">
        <f t="shared" si="14"/>
        <v>0</v>
      </c>
      <c r="W220">
        <f t="shared" si="15"/>
        <v>0</v>
      </c>
    </row>
    <row r="221" spans="5:23" x14ac:dyDescent="0.25">
      <c r="E221" s="4"/>
      <c r="F221" s="4"/>
      <c r="G221" s="33" t="str">
        <f>IFERROR(VLOOKUP($D221,'Informations sur les produits'!$A$3:$H$10000,8,FALSE),"0")</f>
        <v>0</v>
      </c>
      <c r="K221" s="4"/>
      <c r="L221" s="33" t="str">
        <f>IFERROR(VLOOKUP($J221,'Informations sur les produits'!$A$3:$H$10000,8,FALSE),"0")</f>
        <v>0</v>
      </c>
      <c r="N221" s="8"/>
      <c r="O221" s="33" t="str">
        <f>IFERROR(VLOOKUP($M221,'Informations sur les produits'!$A$3:$H$10000,8,FALSE),"0")</f>
        <v>0</v>
      </c>
      <c r="P221" s="33">
        <f t="shared" si="12"/>
        <v>0</v>
      </c>
      <c r="Q221" s="31" t="str">
        <f t="shared" si="13"/>
        <v/>
      </c>
      <c r="R221" s="32" t="str">
        <f>IFERROR(VLOOKUP($D221,'Informations sur les produits'!$A$3:$B$15000,2,FALSE),"")</f>
        <v/>
      </c>
      <c r="V221">
        <f t="shared" si="14"/>
        <v>0</v>
      </c>
      <c r="W221">
        <f t="shared" si="15"/>
        <v>0</v>
      </c>
    </row>
    <row r="222" spans="5:23" x14ac:dyDescent="0.25">
      <c r="E222" s="4"/>
      <c r="F222" s="4"/>
      <c r="G222" s="33" t="str">
        <f>IFERROR(VLOOKUP($D222,'Informations sur les produits'!$A$3:$H$10000,8,FALSE),"0")</f>
        <v>0</v>
      </c>
      <c r="K222" s="4"/>
      <c r="L222" s="33" t="str">
        <f>IFERROR(VLOOKUP($J222,'Informations sur les produits'!$A$3:$H$10000,8,FALSE),"0")</f>
        <v>0</v>
      </c>
      <c r="N222" s="8"/>
      <c r="O222" s="33" t="str">
        <f>IFERROR(VLOOKUP($M222,'Informations sur les produits'!$A$3:$H$10000,8,FALSE),"0")</f>
        <v>0</v>
      </c>
      <c r="P222" s="33">
        <f t="shared" si="12"/>
        <v>0</v>
      </c>
      <c r="Q222" s="31" t="str">
        <f t="shared" si="13"/>
        <v/>
      </c>
      <c r="R222" s="32" t="str">
        <f>IFERROR(VLOOKUP($D222,'Informations sur les produits'!$A$3:$B$15000,2,FALSE),"")</f>
        <v/>
      </c>
      <c r="V222">
        <f t="shared" si="14"/>
        <v>0</v>
      </c>
      <c r="W222">
        <f t="shared" si="15"/>
        <v>0</v>
      </c>
    </row>
    <row r="223" spans="5:23" x14ac:dyDescent="0.25">
      <c r="E223" s="4"/>
      <c r="F223" s="4"/>
      <c r="G223" s="33" t="str">
        <f>IFERROR(VLOOKUP($D223,'Informations sur les produits'!$A$3:$H$10000,8,FALSE),"0")</f>
        <v>0</v>
      </c>
      <c r="K223" s="4"/>
      <c r="L223" s="33" t="str">
        <f>IFERROR(VLOOKUP($J223,'Informations sur les produits'!$A$3:$H$10000,8,FALSE),"0")</f>
        <v>0</v>
      </c>
      <c r="N223" s="8"/>
      <c r="O223" s="33" t="str">
        <f>IFERROR(VLOOKUP($M223,'Informations sur les produits'!$A$3:$H$10000,8,FALSE),"0")</f>
        <v>0</v>
      </c>
      <c r="P223" s="33">
        <f t="shared" si="12"/>
        <v>0</v>
      </c>
      <c r="Q223" s="31" t="str">
        <f t="shared" si="13"/>
        <v/>
      </c>
      <c r="R223" s="32" t="str">
        <f>IFERROR(VLOOKUP($D223,'Informations sur les produits'!$A$3:$B$15000,2,FALSE),"")</f>
        <v/>
      </c>
      <c r="V223">
        <f t="shared" si="14"/>
        <v>0</v>
      </c>
      <c r="W223">
        <f t="shared" si="15"/>
        <v>0</v>
      </c>
    </row>
    <row r="224" spans="5:23" x14ac:dyDescent="0.25">
      <c r="E224" s="4"/>
      <c r="F224" s="4"/>
      <c r="G224" s="33" t="str">
        <f>IFERROR(VLOOKUP($D224,'Informations sur les produits'!$A$3:$H$10000,8,FALSE),"0")</f>
        <v>0</v>
      </c>
      <c r="K224" s="4"/>
      <c r="L224" s="33" t="str">
        <f>IFERROR(VLOOKUP($J224,'Informations sur les produits'!$A$3:$H$10000,8,FALSE),"0")</f>
        <v>0</v>
      </c>
      <c r="N224" s="8"/>
      <c r="O224" s="33" t="str">
        <f>IFERROR(VLOOKUP($M224,'Informations sur les produits'!$A$3:$H$10000,8,FALSE),"0")</f>
        <v>0</v>
      </c>
      <c r="P224" s="33">
        <f t="shared" si="12"/>
        <v>0</v>
      </c>
      <c r="Q224" s="31" t="str">
        <f t="shared" si="13"/>
        <v/>
      </c>
      <c r="R224" s="32" t="str">
        <f>IFERROR(VLOOKUP($D224,'Informations sur les produits'!$A$3:$B$15000,2,FALSE),"")</f>
        <v/>
      </c>
      <c r="V224">
        <f t="shared" si="14"/>
        <v>0</v>
      </c>
      <c r="W224">
        <f t="shared" si="15"/>
        <v>0</v>
      </c>
    </row>
    <row r="225" spans="5:23" x14ac:dyDescent="0.25">
      <c r="E225" s="4"/>
      <c r="F225" s="4"/>
      <c r="G225" s="33" t="str">
        <f>IFERROR(VLOOKUP($D225,'Informations sur les produits'!$A$3:$H$10000,8,FALSE),"0")</f>
        <v>0</v>
      </c>
      <c r="K225" s="4"/>
      <c r="L225" s="33" t="str">
        <f>IFERROR(VLOOKUP($J225,'Informations sur les produits'!$A$3:$H$10000,8,FALSE),"0")</f>
        <v>0</v>
      </c>
      <c r="N225" s="8"/>
      <c r="O225" s="33" t="str">
        <f>IFERROR(VLOOKUP($M225,'Informations sur les produits'!$A$3:$H$10000,8,FALSE),"0")</f>
        <v>0</v>
      </c>
      <c r="P225" s="33">
        <f t="shared" si="12"/>
        <v>0</v>
      </c>
      <c r="Q225" s="31" t="str">
        <f t="shared" si="13"/>
        <v/>
      </c>
      <c r="R225" s="32" t="str">
        <f>IFERROR(VLOOKUP($D225,'Informations sur les produits'!$A$3:$B$15000,2,FALSE),"")</f>
        <v/>
      </c>
      <c r="V225">
        <f t="shared" si="14"/>
        <v>0</v>
      </c>
      <c r="W225">
        <f t="shared" si="15"/>
        <v>0</v>
      </c>
    </row>
    <row r="226" spans="5:23" x14ac:dyDescent="0.25">
      <c r="E226" s="4"/>
      <c r="F226" s="4"/>
      <c r="G226" s="33" t="str">
        <f>IFERROR(VLOOKUP($D226,'Informations sur les produits'!$A$3:$H$10000,8,FALSE),"0")</f>
        <v>0</v>
      </c>
      <c r="K226" s="4"/>
      <c r="L226" s="33" t="str">
        <f>IFERROR(VLOOKUP($J226,'Informations sur les produits'!$A$3:$H$10000,8,FALSE),"0")</f>
        <v>0</v>
      </c>
      <c r="N226" s="8"/>
      <c r="O226" s="33" t="str">
        <f>IFERROR(VLOOKUP($M226,'Informations sur les produits'!$A$3:$H$10000,8,FALSE),"0")</f>
        <v>0</v>
      </c>
      <c r="P226" s="33">
        <f t="shared" si="12"/>
        <v>0</v>
      </c>
      <c r="Q226" s="31" t="str">
        <f t="shared" si="13"/>
        <v/>
      </c>
      <c r="R226" s="32" t="str">
        <f>IFERROR(VLOOKUP($D226,'Informations sur les produits'!$A$3:$B$15000,2,FALSE),"")</f>
        <v/>
      </c>
      <c r="V226">
        <f t="shared" si="14"/>
        <v>0</v>
      </c>
      <c r="W226">
        <f t="shared" si="15"/>
        <v>0</v>
      </c>
    </row>
    <row r="227" spans="5:23" x14ac:dyDescent="0.25">
      <c r="E227" s="4"/>
      <c r="F227" s="4"/>
      <c r="G227" s="33" t="str">
        <f>IFERROR(VLOOKUP($D227,'Informations sur les produits'!$A$3:$H$10000,8,FALSE),"0")</f>
        <v>0</v>
      </c>
      <c r="K227" s="4"/>
      <c r="L227" s="33" t="str">
        <f>IFERROR(VLOOKUP($J227,'Informations sur les produits'!$A$3:$H$10000,8,FALSE),"0")</f>
        <v>0</v>
      </c>
      <c r="N227" s="8"/>
      <c r="O227" s="33" t="str">
        <f>IFERROR(VLOOKUP($M227,'Informations sur les produits'!$A$3:$H$10000,8,FALSE),"0")</f>
        <v>0</v>
      </c>
      <c r="P227" s="33">
        <f t="shared" si="12"/>
        <v>0</v>
      </c>
      <c r="Q227" s="31" t="str">
        <f t="shared" si="13"/>
        <v/>
      </c>
      <c r="R227" s="32" t="str">
        <f>IFERROR(VLOOKUP($D227,'Informations sur les produits'!$A$3:$B$15000,2,FALSE),"")</f>
        <v/>
      </c>
      <c r="V227">
        <f t="shared" si="14"/>
        <v>0</v>
      </c>
      <c r="W227">
        <f t="shared" si="15"/>
        <v>0</v>
      </c>
    </row>
    <row r="228" spans="5:23" x14ac:dyDescent="0.25">
      <c r="E228" s="4"/>
      <c r="F228" s="4"/>
      <c r="G228" s="33" t="str">
        <f>IFERROR(VLOOKUP($D228,'Informations sur les produits'!$A$3:$H$10000,8,FALSE),"0")</f>
        <v>0</v>
      </c>
      <c r="K228" s="4"/>
      <c r="L228" s="33" t="str">
        <f>IFERROR(VLOOKUP($J228,'Informations sur les produits'!$A$3:$H$10000,8,FALSE),"0")</f>
        <v>0</v>
      </c>
      <c r="N228" s="8"/>
      <c r="O228" s="33" t="str">
        <f>IFERROR(VLOOKUP($M228,'Informations sur les produits'!$A$3:$H$10000,8,FALSE),"0")</f>
        <v>0</v>
      </c>
      <c r="P228" s="33">
        <f t="shared" si="12"/>
        <v>0</v>
      </c>
      <c r="Q228" s="31" t="str">
        <f t="shared" si="13"/>
        <v/>
      </c>
      <c r="R228" s="32" t="str">
        <f>IFERROR(VLOOKUP($D228,'Informations sur les produits'!$A$3:$B$15000,2,FALSE),"")</f>
        <v/>
      </c>
      <c r="V228">
        <f t="shared" si="14"/>
        <v>0</v>
      </c>
      <c r="W228">
        <f t="shared" si="15"/>
        <v>0</v>
      </c>
    </row>
    <row r="229" spans="5:23" x14ac:dyDescent="0.25">
      <c r="E229" s="4"/>
      <c r="F229" s="4"/>
      <c r="G229" s="33" t="str">
        <f>IFERROR(VLOOKUP($D229,'Informations sur les produits'!$A$3:$H$10000,8,FALSE),"0")</f>
        <v>0</v>
      </c>
      <c r="K229" s="4"/>
      <c r="L229" s="33" t="str">
        <f>IFERROR(VLOOKUP($J229,'Informations sur les produits'!$A$3:$H$10000,8,FALSE),"0")</f>
        <v>0</v>
      </c>
      <c r="N229" s="8"/>
      <c r="O229" s="33" t="str">
        <f>IFERROR(VLOOKUP($M229,'Informations sur les produits'!$A$3:$H$10000,8,FALSE),"0")</f>
        <v>0</v>
      </c>
      <c r="P229" s="33">
        <f t="shared" si="12"/>
        <v>0</v>
      </c>
      <c r="Q229" s="31" t="str">
        <f t="shared" si="13"/>
        <v/>
      </c>
      <c r="R229" s="32" t="str">
        <f>IFERROR(VLOOKUP($D229,'Informations sur les produits'!$A$3:$B$15000,2,FALSE),"")</f>
        <v/>
      </c>
      <c r="V229">
        <f t="shared" si="14"/>
        <v>0</v>
      </c>
      <c r="W229">
        <f t="shared" si="15"/>
        <v>0</v>
      </c>
    </row>
    <row r="230" spans="5:23" x14ac:dyDescent="0.25">
      <c r="E230" s="4"/>
      <c r="F230" s="4"/>
      <c r="G230" s="33" t="str">
        <f>IFERROR(VLOOKUP($D230,'Informations sur les produits'!$A$3:$H$10000,8,FALSE),"0")</f>
        <v>0</v>
      </c>
      <c r="K230" s="4"/>
      <c r="L230" s="33" t="str">
        <f>IFERROR(VLOOKUP($J230,'Informations sur les produits'!$A$3:$H$10000,8,FALSE),"0")</f>
        <v>0</v>
      </c>
      <c r="N230" s="8"/>
      <c r="O230" s="33" t="str">
        <f>IFERROR(VLOOKUP($M230,'Informations sur les produits'!$A$3:$H$10000,8,FALSE),"0")</f>
        <v>0</v>
      </c>
      <c r="P230" s="33">
        <f t="shared" si="12"/>
        <v>0</v>
      </c>
      <c r="Q230" s="31" t="str">
        <f t="shared" si="13"/>
        <v/>
      </c>
      <c r="R230" s="32" t="str">
        <f>IFERROR(VLOOKUP($D230,'Informations sur les produits'!$A$3:$B$15000,2,FALSE),"")</f>
        <v/>
      </c>
      <c r="V230">
        <f t="shared" si="14"/>
        <v>0</v>
      </c>
      <c r="W230">
        <f t="shared" si="15"/>
        <v>0</v>
      </c>
    </row>
    <row r="231" spans="5:23" x14ac:dyDescent="0.25">
      <c r="E231" s="4"/>
      <c r="F231" s="4"/>
      <c r="G231" s="33" t="str">
        <f>IFERROR(VLOOKUP($D231,'Informations sur les produits'!$A$3:$H$10000,8,FALSE),"0")</f>
        <v>0</v>
      </c>
      <c r="K231" s="4"/>
      <c r="L231" s="33" t="str">
        <f>IFERROR(VLOOKUP($J231,'Informations sur les produits'!$A$3:$H$10000,8,FALSE),"0")</f>
        <v>0</v>
      </c>
      <c r="N231" s="8"/>
      <c r="O231" s="33" t="str">
        <f>IFERROR(VLOOKUP($M231,'Informations sur les produits'!$A$3:$H$10000,8,FALSE),"0")</f>
        <v>0</v>
      </c>
      <c r="P231" s="33">
        <f t="shared" si="12"/>
        <v>0</v>
      </c>
      <c r="Q231" s="31" t="str">
        <f t="shared" si="13"/>
        <v/>
      </c>
      <c r="R231" s="32" t="str">
        <f>IFERROR(VLOOKUP($D231,'Informations sur les produits'!$A$3:$B$15000,2,FALSE),"")</f>
        <v/>
      </c>
      <c r="V231">
        <f t="shared" si="14"/>
        <v>0</v>
      </c>
      <c r="W231">
        <f t="shared" si="15"/>
        <v>0</v>
      </c>
    </row>
    <row r="232" spans="5:23" x14ac:dyDescent="0.25">
      <c r="E232" s="4"/>
      <c r="F232" s="4"/>
      <c r="G232" s="33" t="str">
        <f>IFERROR(VLOOKUP($D232,'Informations sur les produits'!$A$3:$H$10000,8,FALSE),"0")</f>
        <v>0</v>
      </c>
      <c r="K232" s="4"/>
      <c r="L232" s="33" t="str">
        <f>IFERROR(VLOOKUP($J232,'Informations sur les produits'!$A$3:$H$10000,8,FALSE),"0")</f>
        <v>0</v>
      </c>
      <c r="N232" s="8"/>
      <c r="O232" s="33" t="str">
        <f>IFERROR(VLOOKUP($M232,'Informations sur les produits'!$A$3:$H$10000,8,FALSE),"0")</f>
        <v>0</v>
      </c>
      <c r="P232" s="33">
        <f t="shared" si="12"/>
        <v>0</v>
      </c>
      <c r="Q232" s="31" t="str">
        <f t="shared" si="13"/>
        <v/>
      </c>
      <c r="R232" s="32" t="str">
        <f>IFERROR(VLOOKUP($D232,'Informations sur les produits'!$A$3:$B$15000,2,FALSE),"")</f>
        <v/>
      </c>
      <c r="V232">
        <f t="shared" si="14"/>
        <v>0</v>
      </c>
      <c r="W232">
        <f t="shared" si="15"/>
        <v>0</v>
      </c>
    </row>
    <row r="233" spans="5:23" x14ac:dyDescent="0.25">
      <c r="E233" s="4"/>
      <c r="F233" s="4"/>
      <c r="G233" s="33" t="str">
        <f>IFERROR(VLOOKUP($D233,'Informations sur les produits'!$A$3:$H$10000,8,FALSE),"0")</f>
        <v>0</v>
      </c>
      <c r="K233" s="4"/>
      <c r="L233" s="33" t="str">
        <f>IFERROR(VLOOKUP($J233,'Informations sur les produits'!$A$3:$H$10000,8,FALSE),"0")</f>
        <v>0</v>
      </c>
      <c r="N233" s="8"/>
      <c r="O233" s="33" t="str">
        <f>IFERROR(VLOOKUP($M233,'Informations sur les produits'!$A$3:$H$10000,8,FALSE),"0")</f>
        <v>0</v>
      </c>
      <c r="P233" s="33">
        <f t="shared" si="12"/>
        <v>0</v>
      </c>
      <c r="Q233" s="31" t="str">
        <f t="shared" si="13"/>
        <v/>
      </c>
      <c r="R233" s="32" t="str">
        <f>IFERROR(VLOOKUP($D233,'Informations sur les produits'!$A$3:$B$15000,2,FALSE),"")</f>
        <v/>
      </c>
      <c r="V233">
        <f t="shared" si="14"/>
        <v>0</v>
      </c>
      <c r="W233">
        <f t="shared" si="15"/>
        <v>0</v>
      </c>
    </row>
    <row r="234" spans="5:23" x14ac:dyDescent="0.25">
      <c r="E234" s="4"/>
      <c r="F234" s="4"/>
      <c r="G234" s="33" t="str">
        <f>IFERROR(VLOOKUP($D234,'Informations sur les produits'!$A$3:$H$10000,8,FALSE),"0")</f>
        <v>0</v>
      </c>
      <c r="K234" s="4"/>
      <c r="L234" s="33" t="str">
        <f>IFERROR(VLOOKUP($J234,'Informations sur les produits'!$A$3:$H$10000,8,FALSE),"0")</f>
        <v>0</v>
      </c>
      <c r="N234" s="8"/>
      <c r="O234" s="33" t="str">
        <f>IFERROR(VLOOKUP($M234,'Informations sur les produits'!$A$3:$H$10000,8,FALSE),"0")</f>
        <v>0</v>
      </c>
      <c r="P234" s="33">
        <f t="shared" si="12"/>
        <v>0</v>
      </c>
      <c r="Q234" s="31" t="str">
        <f t="shared" si="13"/>
        <v/>
      </c>
      <c r="R234" s="32" t="str">
        <f>IFERROR(VLOOKUP($D234,'Informations sur les produits'!$A$3:$B$15000,2,FALSE),"")</f>
        <v/>
      </c>
      <c r="V234">
        <f t="shared" si="14"/>
        <v>0</v>
      </c>
      <c r="W234">
        <f t="shared" si="15"/>
        <v>0</v>
      </c>
    </row>
    <row r="235" spans="5:23" x14ac:dyDescent="0.25">
      <c r="E235" s="4"/>
      <c r="F235" s="4"/>
      <c r="G235" s="33" t="str">
        <f>IFERROR(VLOOKUP($D235,'Informations sur les produits'!$A$3:$H$10000,8,FALSE),"0")</f>
        <v>0</v>
      </c>
      <c r="K235" s="4"/>
      <c r="L235" s="33" t="str">
        <f>IFERROR(VLOOKUP($J235,'Informations sur les produits'!$A$3:$H$10000,8,FALSE),"0")</f>
        <v>0</v>
      </c>
      <c r="N235" s="8"/>
      <c r="O235" s="33" t="str">
        <f>IFERROR(VLOOKUP($M235,'Informations sur les produits'!$A$3:$H$10000,8,FALSE),"0")</f>
        <v>0</v>
      </c>
      <c r="P235" s="33">
        <f t="shared" si="12"/>
        <v>0</v>
      </c>
      <c r="Q235" s="31" t="str">
        <f t="shared" si="13"/>
        <v/>
      </c>
      <c r="R235" s="32" t="str">
        <f>IFERROR(VLOOKUP($D235,'Informations sur les produits'!$A$3:$B$15000,2,FALSE),"")</f>
        <v/>
      </c>
      <c r="V235">
        <f t="shared" si="14"/>
        <v>0</v>
      </c>
      <c r="W235">
        <f t="shared" si="15"/>
        <v>0</v>
      </c>
    </row>
    <row r="236" spans="5:23" x14ac:dyDescent="0.25">
      <c r="E236" s="4"/>
      <c r="F236" s="4"/>
      <c r="G236" s="33" t="str">
        <f>IFERROR(VLOOKUP($D236,'Informations sur les produits'!$A$3:$H$10000,8,FALSE),"0")</f>
        <v>0</v>
      </c>
      <c r="K236" s="4"/>
      <c r="L236" s="33" t="str">
        <f>IFERROR(VLOOKUP($J236,'Informations sur les produits'!$A$3:$H$10000,8,FALSE),"0")</f>
        <v>0</v>
      </c>
      <c r="N236" s="8"/>
      <c r="O236" s="33" t="str">
        <f>IFERROR(VLOOKUP($M236,'Informations sur les produits'!$A$3:$H$10000,8,FALSE),"0")</f>
        <v>0</v>
      </c>
      <c r="P236" s="33">
        <f t="shared" si="12"/>
        <v>0</v>
      </c>
      <c r="Q236" s="31" t="str">
        <f t="shared" si="13"/>
        <v/>
      </c>
      <c r="R236" s="32" t="str">
        <f>IFERROR(VLOOKUP($D236,'Informations sur les produits'!$A$3:$B$15000,2,FALSE),"")</f>
        <v/>
      </c>
      <c r="V236">
        <f t="shared" si="14"/>
        <v>0</v>
      </c>
      <c r="W236">
        <f t="shared" si="15"/>
        <v>0</v>
      </c>
    </row>
    <row r="237" spans="5:23" x14ac:dyDescent="0.25">
      <c r="E237" s="4"/>
      <c r="F237" s="4"/>
      <c r="G237" s="33" t="str">
        <f>IFERROR(VLOOKUP($D237,'Informations sur les produits'!$A$3:$H$10000,8,FALSE),"0")</f>
        <v>0</v>
      </c>
      <c r="K237" s="4"/>
      <c r="L237" s="33" t="str">
        <f>IFERROR(VLOOKUP($J237,'Informations sur les produits'!$A$3:$H$10000,8,FALSE),"0")</f>
        <v>0</v>
      </c>
      <c r="N237" s="8"/>
      <c r="O237" s="33" t="str">
        <f>IFERROR(VLOOKUP($M237,'Informations sur les produits'!$A$3:$H$10000,8,FALSE),"0")</f>
        <v>0</v>
      </c>
      <c r="P237" s="33">
        <f t="shared" si="12"/>
        <v>0</v>
      </c>
      <c r="Q237" s="31" t="str">
        <f t="shared" si="13"/>
        <v/>
      </c>
      <c r="R237" s="32" t="str">
        <f>IFERROR(VLOOKUP($D237,'Informations sur les produits'!$A$3:$B$15000,2,FALSE),"")</f>
        <v/>
      </c>
      <c r="V237">
        <f t="shared" si="14"/>
        <v>0</v>
      </c>
      <c r="W237">
        <f t="shared" si="15"/>
        <v>0</v>
      </c>
    </row>
    <row r="238" spans="5:23" x14ac:dyDescent="0.25">
      <c r="E238" s="4"/>
      <c r="F238" s="4"/>
      <c r="G238" s="33" t="str">
        <f>IFERROR(VLOOKUP($D238,'Informations sur les produits'!$A$3:$H$10000,8,FALSE),"0")</f>
        <v>0</v>
      </c>
      <c r="K238" s="4"/>
      <c r="L238" s="33" t="str">
        <f>IFERROR(VLOOKUP($J238,'Informations sur les produits'!$A$3:$H$10000,8,FALSE),"0")</f>
        <v>0</v>
      </c>
      <c r="N238" s="8"/>
      <c r="O238" s="33" t="str">
        <f>IFERROR(VLOOKUP($M238,'Informations sur les produits'!$A$3:$H$10000,8,FALSE),"0")</f>
        <v>0</v>
      </c>
      <c r="P238" s="33">
        <f t="shared" si="12"/>
        <v>0</v>
      </c>
      <c r="Q238" s="31" t="str">
        <f t="shared" si="13"/>
        <v/>
      </c>
      <c r="R238" s="32" t="str">
        <f>IFERROR(VLOOKUP($D238,'Informations sur les produits'!$A$3:$B$15000,2,FALSE),"")</f>
        <v/>
      </c>
      <c r="V238">
        <f t="shared" si="14"/>
        <v>0</v>
      </c>
      <c r="W238">
        <f t="shared" si="15"/>
        <v>0</v>
      </c>
    </row>
    <row r="239" spans="5:23" x14ac:dyDescent="0.25">
      <c r="E239" s="4"/>
      <c r="F239" s="4"/>
      <c r="G239" s="33" t="str">
        <f>IFERROR(VLOOKUP($D239,'Informations sur les produits'!$A$3:$H$10000,8,FALSE),"0")</f>
        <v>0</v>
      </c>
      <c r="K239" s="4"/>
      <c r="L239" s="33" t="str">
        <f>IFERROR(VLOOKUP($J239,'Informations sur les produits'!$A$3:$H$10000,8,FALSE),"0")</f>
        <v>0</v>
      </c>
      <c r="N239" s="8"/>
      <c r="O239" s="33" t="str">
        <f>IFERROR(VLOOKUP($M239,'Informations sur les produits'!$A$3:$H$10000,8,FALSE),"0")</f>
        <v>0</v>
      </c>
      <c r="P239" s="33">
        <f t="shared" si="12"/>
        <v>0</v>
      </c>
      <c r="Q239" s="31" t="str">
        <f t="shared" si="13"/>
        <v/>
      </c>
      <c r="R239" s="32" t="str">
        <f>IFERROR(VLOOKUP($D239,'Informations sur les produits'!$A$3:$B$15000,2,FALSE),"")</f>
        <v/>
      </c>
      <c r="V239">
        <f t="shared" si="14"/>
        <v>0</v>
      </c>
      <c r="W239">
        <f t="shared" si="15"/>
        <v>0</v>
      </c>
    </row>
    <row r="240" spans="5:23" x14ac:dyDescent="0.25">
      <c r="E240" s="4"/>
      <c r="F240" s="4"/>
      <c r="G240" s="33" t="str">
        <f>IFERROR(VLOOKUP($D240,'Informations sur les produits'!$A$3:$H$10000,8,FALSE),"0")</f>
        <v>0</v>
      </c>
      <c r="K240" s="4"/>
      <c r="L240" s="33" t="str">
        <f>IFERROR(VLOOKUP($J240,'Informations sur les produits'!$A$3:$H$10000,8,FALSE),"0")</f>
        <v>0</v>
      </c>
      <c r="N240" s="8"/>
      <c r="O240" s="33" t="str">
        <f>IFERROR(VLOOKUP($M240,'Informations sur les produits'!$A$3:$H$10000,8,FALSE),"0")</f>
        <v>0</v>
      </c>
      <c r="P240" s="33">
        <f t="shared" si="12"/>
        <v>0</v>
      </c>
      <c r="Q240" s="31" t="str">
        <f t="shared" si="13"/>
        <v/>
      </c>
      <c r="R240" s="32" t="str">
        <f>IFERROR(VLOOKUP($D240,'Informations sur les produits'!$A$3:$B$15000,2,FALSE),"")</f>
        <v/>
      </c>
      <c r="V240">
        <f t="shared" si="14"/>
        <v>0</v>
      </c>
      <c r="W240">
        <f t="shared" si="15"/>
        <v>0</v>
      </c>
    </row>
    <row r="241" spans="5:23" x14ac:dyDescent="0.25">
      <c r="E241" s="4"/>
      <c r="F241" s="4"/>
      <c r="G241" s="33" t="str">
        <f>IFERROR(VLOOKUP($D241,'Informations sur les produits'!$A$3:$H$10000,8,FALSE),"0")</f>
        <v>0</v>
      </c>
      <c r="K241" s="4"/>
      <c r="L241" s="33" t="str">
        <f>IFERROR(VLOOKUP($J241,'Informations sur les produits'!$A$3:$H$10000,8,FALSE),"0")</f>
        <v>0</v>
      </c>
      <c r="N241" s="8"/>
      <c r="O241" s="33" t="str">
        <f>IFERROR(VLOOKUP($M241,'Informations sur les produits'!$A$3:$H$10000,8,FALSE),"0")</f>
        <v>0</v>
      </c>
      <c r="P241" s="33">
        <f t="shared" si="12"/>
        <v>0</v>
      </c>
      <c r="Q241" s="31" t="str">
        <f t="shared" si="13"/>
        <v/>
      </c>
      <c r="R241" s="32" t="str">
        <f>IFERROR(VLOOKUP($D241,'Informations sur les produits'!$A$3:$B$15000,2,FALSE),"")</f>
        <v/>
      </c>
      <c r="V241">
        <f t="shared" si="14"/>
        <v>0</v>
      </c>
      <c r="W241">
        <f t="shared" si="15"/>
        <v>0</v>
      </c>
    </row>
    <row r="242" spans="5:23" x14ac:dyDescent="0.25">
      <c r="E242" s="4"/>
      <c r="F242" s="4"/>
      <c r="G242" s="33" t="str">
        <f>IFERROR(VLOOKUP($D242,'Informations sur les produits'!$A$3:$H$10000,8,FALSE),"0")</f>
        <v>0</v>
      </c>
      <c r="K242" s="4"/>
      <c r="L242" s="33" t="str">
        <f>IFERROR(VLOOKUP($J242,'Informations sur les produits'!$A$3:$H$10000,8,FALSE),"0")</f>
        <v>0</v>
      </c>
      <c r="N242" s="8"/>
      <c r="O242" s="33" t="str">
        <f>IFERROR(VLOOKUP($M242,'Informations sur les produits'!$A$3:$H$10000,8,FALSE),"0")</f>
        <v>0</v>
      </c>
      <c r="P242" s="33">
        <f t="shared" si="12"/>
        <v>0</v>
      </c>
      <c r="Q242" s="31" t="str">
        <f t="shared" si="13"/>
        <v/>
      </c>
      <c r="R242" s="32" t="str">
        <f>IFERROR(VLOOKUP($D242,'Informations sur les produits'!$A$3:$B$15000,2,FALSE),"")</f>
        <v/>
      </c>
      <c r="V242">
        <f t="shared" si="14"/>
        <v>0</v>
      </c>
      <c r="W242">
        <f t="shared" si="15"/>
        <v>0</v>
      </c>
    </row>
    <row r="243" spans="5:23" x14ac:dyDescent="0.25">
      <c r="E243" s="4"/>
      <c r="F243" s="4"/>
      <c r="G243" s="33" t="str">
        <f>IFERROR(VLOOKUP($D243,'Informations sur les produits'!$A$3:$H$10000,8,FALSE),"0")</f>
        <v>0</v>
      </c>
      <c r="K243" s="4"/>
      <c r="L243" s="33" t="str">
        <f>IFERROR(VLOOKUP($J243,'Informations sur les produits'!$A$3:$H$10000,8,FALSE),"0")</f>
        <v>0</v>
      </c>
      <c r="N243" s="8"/>
      <c r="O243" s="33" t="str">
        <f>IFERROR(VLOOKUP($M243,'Informations sur les produits'!$A$3:$H$10000,8,FALSE),"0")</f>
        <v>0</v>
      </c>
      <c r="P243" s="33">
        <f t="shared" si="12"/>
        <v>0</v>
      </c>
      <c r="Q243" s="31" t="str">
        <f t="shared" si="13"/>
        <v/>
      </c>
      <c r="R243" s="32" t="str">
        <f>IFERROR(VLOOKUP($D243,'Informations sur les produits'!$A$3:$B$15000,2,FALSE),"")</f>
        <v/>
      </c>
      <c r="V243">
        <f t="shared" si="14"/>
        <v>0</v>
      </c>
      <c r="W243">
        <f t="shared" si="15"/>
        <v>0</v>
      </c>
    </row>
    <row r="244" spans="5:23" x14ac:dyDescent="0.25">
      <c r="E244" s="4"/>
      <c r="F244" s="4"/>
      <c r="G244" s="33" t="str">
        <f>IFERROR(VLOOKUP($D244,'Informations sur les produits'!$A$3:$H$10000,8,FALSE),"0")</f>
        <v>0</v>
      </c>
      <c r="K244" s="4"/>
      <c r="L244" s="33" t="str">
        <f>IFERROR(VLOOKUP($J244,'Informations sur les produits'!$A$3:$H$10000,8,FALSE),"0")</f>
        <v>0</v>
      </c>
      <c r="N244" s="8"/>
      <c r="O244" s="33" t="str">
        <f>IFERROR(VLOOKUP($M244,'Informations sur les produits'!$A$3:$H$10000,8,FALSE),"0")</f>
        <v>0</v>
      </c>
      <c r="P244" s="33">
        <f t="shared" si="12"/>
        <v>0</v>
      </c>
      <c r="Q244" s="31" t="str">
        <f t="shared" si="13"/>
        <v/>
      </c>
      <c r="R244" s="32" t="str">
        <f>IFERROR(VLOOKUP($D244,'Informations sur les produits'!$A$3:$B$15000,2,FALSE),"")</f>
        <v/>
      </c>
      <c r="V244">
        <f t="shared" si="14"/>
        <v>0</v>
      </c>
      <c r="W244">
        <f t="shared" si="15"/>
        <v>0</v>
      </c>
    </row>
    <row r="245" spans="5:23" x14ac:dyDescent="0.25">
      <c r="E245" s="4"/>
      <c r="F245" s="4"/>
      <c r="G245" s="33" t="str">
        <f>IFERROR(VLOOKUP($D245,'Informations sur les produits'!$A$3:$H$10000,8,FALSE),"0")</f>
        <v>0</v>
      </c>
      <c r="K245" s="4"/>
      <c r="L245" s="33" t="str">
        <f>IFERROR(VLOOKUP($J245,'Informations sur les produits'!$A$3:$H$10000,8,FALSE),"0")</f>
        <v>0</v>
      </c>
      <c r="N245" s="8"/>
      <c r="O245" s="33" t="str">
        <f>IFERROR(VLOOKUP($M245,'Informations sur les produits'!$A$3:$H$10000,8,FALSE),"0")</f>
        <v>0</v>
      </c>
      <c r="P245" s="33">
        <f t="shared" si="12"/>
        <v>0</v>
      </c>
      <c r="Q245" s="31" t="str">
        <f t="shared" si="13"/>
        <v/>
      </c>
      <c r="R245" s="32" t="str">
        <f>IFERROR(VLOOKUP($D245,'Informations sur les produits'!$A$3:$B$15000,2,FALSE),"")</f>
        <v/>
      </c>
      <c r="V245">
        <f t="shared" si="14"/>
        <v>0</v>
      </c>
      <c r="W245">
        <f t="shared" si="15"/>
        <v>0</v>
      </c>
    </row>
    <row r="246" spans="5:23" x14ac:dyDescent="0.25">
      <c r="E246" s="4"/>
      <c r="F246" s="4"/>
      <c r="G246" s="33" t="str">
        <f>IFERROR(VLOOKUP($D246,'Informations sur les produits'!$A$3:$H$10000,8,FALSE),"0")</f>
        <v>0</v>
      </c>
      <c r="K246" s="4"/>
      <c r="L246" s="33" t="str">
        <f>IFERROR(VLOOKUP($J246,'Informations sur les produits'!$A$3:$H$10000,8,FALSE),"0")</f>
        <v>0</v>
      </c>
      <c r="N246" s="8"/>
      <c r="O246" s="33" t="str">
        <f>IFERROR(VLOOKUP($M246,'Informations sur les produits'!$A$3:$H$10000,8,FALSE),"0")</f>
        <v>0</v>
      </c>
      <c r="P246" s="33">
        <f t="shared" si="12"/>
        <v>0</v>
      </c>
      <c r="Q246" s="31" t="str">
        <f t="shared" si="13"/>
        <v/>
      </c>
      <c r="R246" s="32" t="str">
        <f>IFERROR(VLOOKUP($D246,'Informations sur les produits'!$A$3:$B$15000,2,FALSE),"")</f>
        <v/>
      </c>
      <c r="V246">
        <f t="shared" si="14"/>
        <v>0</v>
      </c>
      <c r="W246">
        <f t="shared" si="15"/>
        <v>0</v>
      </c>
    </row>
    <row r="247" spans="5:23" x14ac:dyDescent="0.25">
      <c r="E247" s="4"/>
      <c r="F247" s="4"/>
      <c r="G247" s="33" t="str">
        <f>IFERROR(VLOOKUP($D247,'Informations sur les produits'!$A$3:$H$10000,8,FALSE),"0")</f>
        <v>0</v>
      </c>
      <c r="K247" s="4"/>
      <c r="L247" s="33" t="str">
        <f>IFERROR(VLOOKUP($J247,'Informations sur les produits'!$A$3:$H$10000,8,FALSE),"0")</f>
        <v>0</v>
      </c>
      <c r="N247" s="8"/>
      <c r="O247" s="33" t="str">
        <f>IFERROR(VLOOKUP($M247,'Informations sur les produits'!$A$3:$H$10000,8,FALSE),"0")</f>
        <v>0</v>
      </c>
      <c r="P247" s="33">
        <f t="shared" si="12"/>
        <v>0</v>
      </c>
      <c r="Q247" s="31" t="str">
        <f t="shared" si="13"/>
        <v/>
      </c>
      <c r="R247" s="32" t="str">
        <f>IFERROR(VLOOKUP($D247,'Informations sur les produits'!$A$3:$B$15000,2,FALSE),"")</f>
        <v/>
      </c>
      <c r="V247">
        <f t="shared" si="14"/>
        <v>0</v>
      </c>
      <c r="W247">
        <f t="shared" si="15"/>
        <v>0</v>
      </c>
    </row>
    <row r="248" spans="5:23" x14ac:dyDescent="0.25">
      <c r="E248" s="4"/>
      <c r="F248" s="4"/>
      <c r="G248" s="33" t="str">
        <f>IFERROR(VLOOKUP($D248,'Informations sur les produits'!$A$3:$H$10000,8,FALSE),"0")</f>
        <v>0</v>
      </c>
      <c r="K248" s="4"/>
      <c r="L248" s="33" t="str">
        <f>IFERROR(VLOOKUP($J248,'Informations sur les produits'!$A$3:$H$10000,8,FALSE),"0")</f>
        <v>0</v>
      </c>
      <c r="N248" s="8"/>
      <c r="O248" s="33" t="str">
        <f>IFERROR(VLOOKUP($M248,'Informations sur les produits'!$A$3:$H$10000,8,FALSE),"0")</f>
        <v>0</v>
      </c>
      <c r="P248" s="33">
        <f t="shared" si="12"/>
        <v>0</v>
      </c>
      <c r="Q248" s="31" t="str">
        <f t="shared" si="13"/>
        <v/>
      </c>
      <c r="R248" s="32" t="str">
        <f>IFERROR(VLOOKUP($D248,'Informations sur les produits'!$A$3:$B$15000,2,FALSE),"")</f>
        <v/>
      </c>
      <c r="V248">
        <f t="shared" si="14"/>
        <v>0</v>
      </c>
      <c r="W248">
        <f t="shared" si="15"/>
        <v>0</v>
      </c>
    </row>
    <row r="249" spans="5:23" x14ac:dyDescent="0.25">
      <c r="E249" s="4"/>
      <c r="F249" s="4"/>
      <c r="G249" s="33" t="str">
        <f>IFERROR(VLOOKUP($D249,'Informations sur les produits'!$A$3:$H$10000,8,FALSE),"0")</f>
        <v>0</v>
      </c>
      <c r="K249" s="4"/>
      <c r="L249" s="33" t="str">
        <f>IFERROR(VLOOKUP($J249,'Informations sur les produits'!$A$3:$H$10000,8,FALSE),"0")</f>
        <v>0</v>
      </c>
      <c r="N249" s="8"/>
      <c r="O249" s="33" t="str">
        <f>IFERROR(VLOOKUP($M249,'Informations sur les produits'!$A$3:$H$10000,8,FALSE),"0")</f>
        <v>0</v>
      </c>
      <c r="P249" s="33">
        <f t="shared" si="12"/>
        <v>0</v>
      </c>
      <c r="Q249" s="31" t="str">
        <f t="shared" si="13"/>
        <v/>
      </c>
      <c r="R249" s="32" t="str">
        <f>IFERROR(VLOOKUP($D249,'Informations sur les produits'!$A$3:$B$15000,2,FALSE),"")</f>
        <v/>
      </c>
      <c r="V249">
        <f t="shared" si="14"/>
        <v>0</v>
      </c>
      <c r="W249">
        <f t="shared" si="15"/>
        <v>0</v>
      </c>
    </row>
    <row r="250" spans="5:23" x14ac:dyDescent="0.25">
      <c r="E250" s="4"/>
      <c r="F250" s="4"/>
      <c r="G250" s="33" t="str">
        <f>IFERROR(VLOOKUP($D250,'Informations sur les produits'!$A$3:$H$10000,8,FALSE),"0")</f>
        <v>0</v>
      </c>
      <c r="K250" s="4"/>
      <c r="L250" s="33" t="str">
        <f>IFERROR(VLOOKUP($J250,'Informations sur les produits'!$A$3:$H$10000,8,FALSE),"0")</f>
        <v>0</v>
      </c>
      <c r="N250" s="8"/>
      <c r="O250" s="33" t="str">
        <f>IFERROR(VLOOKUP($M250,'Informations sur les produits'!$A$3:$H$10000,8,FALSE),"0")</f>
        <v>0</v>
      </c>
      <c r="P250" s="33">
        <f t="shared" si="12"/>
        <v>0</v>
      </c>
      <c r="Q250" s="31" t="str">
        <f t="shared" si="13"/>
        <v/>
      </c>
      <c r="R250" s="32" t="str">
        <f>IFERROR(VLOOKUP($D250,'Informations sur les produits'!$A$3:$B$15000,2,FALSE),"")</f>
        <v/>
      </c>
      <c r="V250">
        <f t="shared" si="14"/>
        <v>0</v>
      </c>
      <c r="W250">
        <f t="shared" si="15"/>
        <v>0</v>
      </c>
    </row>
    <row r="251" spans="5:23" x14ac:dyDescent="0.25">
      <c r="E251" s="4"/>
      <c r="F251" s="4"/>
      <c r="G251" s="33" t="str">
        <f>IFERROR(VLOOKUP($D251,'Informations sur les produits'!$A$3:$H$10000,8,FALSE),"0")</f>
        <v>0</v>
      </c>
      <c r="K251" s="4"/>
      <c r="L251" s="33" t="str">
        <f>IFERROR(VLOOKUP($J251,'Informations sur les produits'!$A$3:$H$10000,8,FALSE),"0")</f>
        <v>0</v>
      </c>
      <c r="N251" s="8"/>
      <c r="O251" s="33" t="str">
        <f>IFERROR(VLOOKUP($M251,'Informations sur les produits'!$A$3:$H$10000,8,FALSE),"0")</f>
        <v>0</v>
      </c>
      <c r="P251" s="33">
        <f t="shared" si="12"/>
        <v>0</v>
      </c>
      <c r="Q251" s="31" t="str">
        <f t="shared" si="13"/>
        <v/>
      </c>
      <c r="R251" s="32" t="str">
        <f>IFERROR(VLOOKUP($D251,'Informations sur les produits'!$A$3:$B$15000,2,FALSE),"")</f>
        <v/>
      </c>
      <c r="V251">
        <f t="shared" si="14"/>
        <v>0</v>
      </c>
      <c r="W251">
        <f t="shared" si="15"/>
        <v>0</v>
      </c>
    </row>
    <row r="252" spans="5:23" x14ac:dyDescent="0.25">
      <c r="E252" s="4"/>
      <c r="F252" s="4"/>
      <c r="G252" s="33" t="str">
        <f>IFERROR(VLOOKUP($D252,'Informations sur les produits'!$A$3:$H$10000,8,FALSE),"0")</f>
        <v>0</v>
      </c>
      <c r="K252" s="4"/>
      <c r="L252" s="33" t="str">
        <f>IFERROR(VLOOKUP($J252,'Informations sur les produits'!$A$3:$H$10000,8,FALSE),"0")</f>
        <v>0</v>
      </c>
      <c r="N252" s="8"/>
      <c r="O252" s="33" t="str">
        <f>IFERROR(VLOOKUP($M252,'Informations sur les produits'!$A$3:$H$10000,8,FALSE),"0")</f>
        <v>0</v>
      </c>
      <c r="P252" s="33">
        <f t="shared" si="12"/>
        <v>0</v>
      </c>
      <c r="Q252" s="31" t="str">
        <f t="shared" si="13"/>
        <v/>
      </c>
      <c r="R252" s="32" t="str">
        <f>IFERROR(VLOOKUP($D252,'Informations sur les produits'!$A$3:$B$15000,2,FALSE),"")</f>
        <v/>
      </c>
      <c r="V252">
        <f t="shared" si="14"/>
        <v>0</v>
      </c>
      <c r="W252">
        <f t="shared" si="15"/>
        <v>0</v>
      </c>
    </row>
    <row r="253" spans="5:23" x14ac:dyDescent="0.25">
      <c r="E253" s="4"/>
      <c r="F253" s="4"/>
      <c r="G253" s="33" t="str">
        <f>IFERROR(VLOOKUP($D253,'Informations sur les produits'!$A$3:$H$10000,8,FALSE),"0")</f>
        <v>0</v>
      </c>
      <c r="K253" s="4"/>
      <c r="L253" s="33" t="str">
        <f>IFERROR(VLOOKUP($J253,'Informations sur les produits'!$A$3:$H$10000,8,FALSE),"0")</f>
        <v>0</v>
      </c>
      <c r="N253" s="8"/>
      <c r="O253" s="33" t="str">
        <f>IFERROR(VLOOKUP($M253,'Informations sur les produits'!$A$3:$H$10000,8,FALSE),"0")</f>
        <v>0</v>
      </c>
      <c r="P253" s="33">
        <f t="shared" si="12"/>
        <v>0</v>
      </c>
      <c r="Q253" s="31" t="str">
        <f t="shared" si="13"/>
        <v/>
      </c>
      <c r="R253" s="32" t="str">
        <f>IFERROR(VLOOKUP($D253,'Informations sur les produits'!$A$3:$B$15000,2,FALSE),"")</f>
        <v/>
      </c>
      <c r="V253">
        <f t="shared" si="14"/>
        <v>0</v>
      </c>
      <c r="W253">
        <f t="shared" si="15"/>
        <v>0</v>
      </c>
    </row>
    <row r="254" spans="5:23" x14ac:dyDescent="0.25">
      <c r="E254" s="4"/>
      <c r="F254" s="4"/>
      <c r="G254" s="33" t="str">
        <f>IFERROR(VLOOKUP($D254,'Informations sur les produits'!$A$3:$H$10000,8,FALSE),"0")</f>
        <v>0</v>
      </c>
      <c r="K254" s="4"/>
      <c r="L254" s="33" t="str">
        <f>IFERROR(VLOOKUP($J254,'Informations sur les produits'!$A$3:$H$10000,8,FALSE),"0")</f>
        <v>0</v>
      </c>
      <c r="N254" s="8"/>
      <c r="O254" s="33" t="str">
        <f>IFERROR(VLOOKUP($M254,'Informations sur les produits'!$A$3:$H$10000,8,FALSE),"0")</f>
        <v>0</v>
      </c>
      <c r="P254" s="33">
        <f t="shared" si="12"/>
        <v>0</v>
      </c>
      <c r="Q254" s="31" t="str">
        <f t="shared" si="13"/>
        <v/>
      </c>
      <c r="R254" s="32" t="str">
        <f>IFERROR(VLOOKUP($D254,'Informations sur les produits'!$A$3:$B$15000,2,FALSE),"")</f>
        <v/>
      </c>
      <c r="V254">
        <f t="shared" si="14"/>
        <v>0</v>
      </c>
      <c r="W254">
        <f t="shared" si="15"/>
        <v>0</v>
      </c>
    </row>
    <row r="255" spans="5:23" x14ac:dyDescent="0.25">
      <c r="E255" s="4"/>
      <c r="F255" s="4"/>
      <c r="G255" s="33" t="str">
        <f>IFERROR(VLOOKUP($D255,'Informations sur les produits'!$A$3:$H$10000,8,FALSE),"0")</f>
        <v>0</v>
      </c>
      <c r="K255" s="4"/>
      <c r="L255" s="33" t="str">
        <f>IFERROR(VLOOKUP($J255,'Informations sur les produits'!$A$3:$H$10000,8,FALSE),"0")</f>
        <v>0</v>
      </c>
      <c r="N255" s="8"/>
      <c r="O255" s="33" t="str">
        <f>IFERROR(VLOOKUP($M255,'Informations sur les produits'!$A$3:$H$10000,8,FALSE),"0")</f>
        <v>0</v>
      </c>
      <c r="P255" s="33">
        <f t="shared" si="12"/>
        <v>0</v>
      </c>
      <c r="Q255" s="31" t="str">
        <f t="shared" si="13"/>
        <v/>
      </c>
      <c r="R255" s="32" t="str">
        <f>IFERROR(VLOOKUP($D255,'Informations sur les produits'!$A$3:$B$15000,2,FALSE),"")</f>
        <v/>
      </c>
      <c r="V255">
        <f t="shared" si="14"/>
        <v>0</v>
      </c>
      <c r="W255">
        <f t="shared" si="15"/>
        <v>0</v>
      </c>
    </row>
    <row r="256" spans="5:23" x14ac:dyDescent="0.25">
      <c r="E256" s="4"/>
      <c r="F256" s="4"/>
      <c r="G256" s="33" t="str">
        <f>IFERROR(VLOOKUP($D256,'Informations sur les produits'!$A$3:$H$10000,8,FALSE),"0")</f>
        <v>0</v>
      </c>
      <c r="K256" s="4"/>
      <c r="L256" s="33" t="str">
        <f>IFERROR(VLOOKUP($J256,'Informations sur les produits'!$A$3:$H$10000,8,FALSE),"0")</f>
        <v>0</v>
      </c>
      <c r="N256" s="8"/>
      <c r="O256" s="33" t="str">
        <f>IFERROR(VLOOKUP($M256,'Informations sur les produits'!$A$3:$H$10000,8,FALSE),"0")</f>
        <v>0</v>
      </c>
      <c r="P256" s="33">
        <f t="shared" si="12"/>
        <v>0</v>
      </c>
      <c r="Q256" s="31" t="str">
        <f t="shared" si="13"/>
        <v/>
      </c>
      <c r="R256" s="32" t="str">
        <f>IFERROR(VLOOKUP($D256,'Informations sur les produits'!$A$3:$B$15000,2,FALSE),"")</f>
        <v/>
      </c>
      <c r="V256">
        <f t="shared" si="14"/>
        <v>0</v>
      </c>
      <c r="W256">
        <f t="shared" si="15"/>
        <v>0</v>
      </c>
    </row>
    <row r="257" spans="5:23" x14ac:dyDescent="0.25">
      <c r="E257" s="4"/>
      <c r="F257" s="4"/>
      <c r="G257" s="33" t="str">
        <f>IFERROR(VLOOKUP($D257,'Informations sur les produits'!$A$3:$H$10000,8,FALSE),"0")</f>
        <v>0</v>
      </c>
      <c r="K257" s="4"/>
      <c r="L257" s="33" t="str">
        <f>IFERROR(VLOOKUP($J257,'Informations sur les produits'!$A$3:$H$10000,8,FALSE),"0")</f>
        <v>0</v>
      </c>
      <c r="N257" s="8"/>
      <c r="O257" s="33" t="str">
        <f>IFERROR(VLOOKUP($M257,'Informations sur les produits'!$A$3:$H$10000,8,FALSE),"0")</f>
        <v>0</v>
      </c>
      <c r="P257" s="33">
        <f t="shared" si="12"/>
        <v>0</v>
      </c>
      <c r="Q257" s="31" t="str">
        <f t="shared" si="13"/>
        <v/>
      </c>
      <c r="R257" s="32" t="str">
        <f>IFERROR(VLOOKUP($D257,'Informations sur les produits'!$A$3:$B$15000,2,FALSE),"")</f>
        <v/>
      </c>
      <c r="V257">
        <f t="shared" si="14"/>
        <v>0</v>
      </c>
      <c r="W257">
        <f t="shared" si="15"/>
        <v>0</v>
      </c>
    </row>
    <row r="258" spans="5:23" x14ac:dyDescent="0.25">
      <c r="E258" s="4"/>
      <c r="F258" s="4"/>
      <c r="G258" s="33" t="str">
        <f>IFERROR(VLOOKUP($D258,'Informations sur les produits'!$A$3:$H$10000,8,FALSE),"0")</f>
        <v>0</v>
      </c>
      <c r="K258" s="4"/>
      <c r="L258" s="33" t="str">
        <f>IFERROR(VLOOKUP($J258,'Informations sur les produits'!$A$3:$H$10000,8,FALSE),"0")</f>
        <v>0</v>
      </c>
      <c r="N258" s="8"/>
      <c r="O258" s="33" t="str">
        <f>IFERROR(VLOOKUP($M258,'Informations sur les produits'!$A$3:$H$10000,8,FALSE),"0")</f>
        <v>0</v>
      </c>
      <c r="P258" s="33">
        <f t="shared" si="12"/>
        <v>0</v>
      </c>
      <c r="Q258" s="31" t="str">
        <f t="shared" si="13"/>
        <v/>
      </c>
      <c r="R258" s="32" t="str">
        <f>IFERROR(VLOOKUP($D258,'Informations sur les produits'!$A$3:$B$15000,2,FALSE),"")</f>
        <v/>
      </c>
      <c r="V258">
        <f t="shared" si="14"/>
        <v>0</v>
      </c>
      <c r="W258">
        <f t="shared" si="15"/>
        <v>0</v>
      </c>
    </row>
    <row r="259" spans="5:23" x14ac:dyDescent="0.25">
      <c r="E259" s="4"/>
      <c r="F259" s="4"/>
      <c r="G259" s="33" t="str">
        <f>IFERROR(VLOOKUP($D259,'Informations sur les produits'!$A$3:$H$10000,8,FALSE),"0")</f>
        <v>0</v>
      </c>
      <c r="K259" s="4"/>
      <c r="L259" s="33" t="str">
        <f>IFERROR(VLOOKUP($J259,'Informations sur les produits'!$A$3:$H$10000,8,FALSE),"0")</f>
        <v>0</v>
      </c>
      <c r="N259" s="8"/>
      <c r="O259" s="33" t="str">
        <f>IFERROR(VLOOKUP($M259,'Informations sur les produits'!$A$3:$H$10000,8,FALSE),"0")</f>
        <v>0</v>
      </c>
      <c r="P259" s="33">
        <f t="shared" si="12"/>
        <v>0</v>
      </c>
      <c r="Q259" s="31" t="str">
        <f t="shared" si="13"/>
        <v/>
      </c>
      <c r="R259" s="32" t="str">
        <f>IFERROR(VLOOKUP($D259,'Informations sur les produits'!$A$3:$B$15000,2,FALSE),"")</f>
        <v/>
      </c>
      <c r="V259">
        <f t="shared" si="14"/>
        <v>0</v>
      </c>
      <c r="W259">
        <f t="shared" si="15"/>
        <v>0</v>
      </c>
    </row>
    <row r="260" spans="5:23" x14ac:dyDescent="0.25">
      <c r="E260" s="4"/>
      <c r="F260" s="4"/>
      <c r="G260" s="33" t="str">
        <f>IFERROR(VLOOKUP($D260,'Informations sur les produits'!$A$3:$H$10000,8,FALSE),"0")</f>
        <v>0</v>
      </c>
      <c r="K260" s="4"/>
      <c r="L260" s="33" t="str">
        <f>IFERROR(VLOOKUP($J260,'Informations sur les produits'!$A$3:$H$10000,8,FALSE),"0")</f>
        <v>0</v>
      </c>
      <c r="N260" s="8"/>
      <c r="O260" s="33" t="str">
        <f>IFERROR(VLOOKUP($M260,'Informations sur les produits'!$A$3:$H$10000,8,FALSE),"0")</f>
        <v>0</v>
      </c>
      <c r="P260" s="33">
        <f t="shared" ref="P260:P323" si="16">IFERROR((($E260-$F260)*$G260+$K260*$L260+$N260*$O260),"")</f>
        <v>0</v>
      </c>
      <c r="Q260" s="31" t="str">
        <f t="shared" ref="Q260:Q323" si="17">IFERROR((((($E260-$F260)*$G260+$K260*$L260+$N260*$O260)*1000)/(($E260-$F260)+$K260+$N260)),"")</f>
        <v/>
      </c>
      <c r="R260" s="32" t="str">
        <f>IFERROR(VLOOKUP($D260,'Informations sur les produits'!$A$3:$B$15000,2,FALSE),"")</f>
        <v/>
      </c>
      <c r="V260">
        <f t="shared" ref="V260:V323" si="18">IFERROR(P260*1000,"")</f>
        <v>0</v>
      </c>
      <c r="W260">
        <f t="shared" ref="W260:W323" si="19">IFERROR(($E260-$F260)+$K260+$N260,"")</f>
        <v>0</v>
      </c>
    </row>
    <row r="261" spans="5:23" x14ac:dyDescent="0.25">
      <c r="E261" s="4"/>
      <c r="F261" s="4"/>
      <c r="G261" s="33" t="str">
        <f>IFERROR(VLOOKUP($D261,'Informations sur les produits'!$A$3:$H$10000,8,FALSE),"0")</f>
        <v>0</v>
      </c>
      <c r="K261" s="4"/>
      <c r="L261" s="33" t="str">
        <f>IFERROR(VLOOKUP($J261,'Informations sur les produits'!$A$3:$H$10000,8,FALSE),"0")</f>
        <v>0</v>
      </c>
      <c r="N261" s="8"/>
      <c r="O261" s="33" t="str">
        <f>IFERROR(VLOOKUP($M261,'Informations sur les produits'!$A$3:$H$10000,8,FALSE),"0")</f>
        <v>0</v>
      </c>
      <c r="P261" s="33">
        <f t="shared" si="16"/>
        <v>0</v>
      </c>
      <c r="Q261" s="31" t="str">
        <f t="shared" si="17"/>
        <v/>
      </c>
      <c r="R261" s="32" t="str">
        <f>IFERROR(VLOOKUP($D261,'Informations sur les produits'!$A$3:$B$15000,2,FALSE),"")</f>
        <v/>
      </c>
      <c r="V261">
        <f t="shared" si="18"/>
        <v>0</v>
      </c>
      <c r="W261">
        <f t="shared" si="19"/>
        <v>0</v>
      </c>
    </row>
    <row r="262" spans="5:23" x14ac:dyDescent="0.25">
      <c r="E262" s="4"/>
      <c r="F262" s="4"/>
      <c r="G262" s="33" t="str">
        <f>IFERROR(VLOOKUP($D262,'Informations sur les produits'!$A$3:$H$10000,8,FALSE),"0")</f>
        <v>0</v>
      </c>
      <c r="K262" s="4"/>
      <c r="L262" s="33" t="str">
        <f>IFERROR(VLOOKUP($J262,'Informations sur les produits'!$A$3:$H$10000,8,FALSE),"0")</f>
        <v>0</v>
      </c>
      <c r="N262" s="8"/>
      <c r="O262" s="33" t="str">
        <f>IFERROR(VLOOKUP($M262,'Informations sur les produits'!$A$3:$H$10000,8,FALSE),"0")</f>
        <v>0</v>
      </c>
      <c r="P262" s="33">
        <f t="shared" si="16"/>
        <v>0</v>
      </c>
      <c r="Q262" s="31" t="str">
        <f t="shared" si="17"/>
        <v/>
      </c>
      <c r="R262" s="32" t="str">
        <f>IFERROR(VLOOKUP($D262,'Informations sur les produits'!$A$3:$B$15000,2,FALSE),"")</f>
        <v/>
      </c>
      <c r="V262">
        <f t="shared" si="18"/>
        <v>0</v>
      </c>
      <c r="W262">
        <f t="shared" si="19"/>
        <v>0</v>
      </c>
    </row>
    <row r="263" spans="5:23" x14ac:dyDescent="0.25">
      <c r="E263" s="4"/>
      <c r="F263" s="4"/>
      <c r="G263" s="33" t="str">
        <f>IFERROR(VLOOKUP($D263,'Informations sur les produits'!$A$3:$H$10000,8,FALSE),"0")</f>
        <v>0</v>
      </c>
      <c r="K263" s="4"/>
      <c r="L263" s="33" t="str">
        <f>IFERROR(VLOOKUP($J263,'Informations sur les produits'!$A$3:$H$10000,8,FALSE),"0")</f>
        <v>0</v>
      </c>
      <c r="N263" s="8"/>
      <c r="O263" s="33" t="str">
        <f>IFERROR(VLOOKUP($M263,'Informations sur les produits'!$A$3:$H$10000,8,FALSE),"0")</f>
        <v>0</v>
      </c>
      <c r="P263" s="33">
        <f t="shared" si="16"/>
        <v>0</v>
      </c>
      <c r="Q263" s="31" t="str">
        <f t="shared" si="17"/>
        <v/>
      </c>
      <c r="R263" s="32" t="str">
        <f>IFERROR(VLOOKUP($D263,'Informations sur les produits'!$A$3:$B$15000,2,FALSE),"")</f>
        <v/>
      </c>
      <c r="V263">
        <f t="shared" si="18"/>
        <v>0</v>
      </c>
      <c r="W263">
        <f t="shared" si="19"/>
        <v>0</v>
      </c>
    </row>
    <row r="264" spans="5:23" x14ac:dyDescent="0.25">
      <c r="E264" s="4"/>
      <c r="F264" s="4"/>
      <c r="G264" s="33" t="str">
        <f>IFERROR(VLOOKUP($D264,'Informations sur les produits'!$A$3:$H$10000,8,FALSE),"0")</f>
        <v>0</v>
      </c>
      <c r="K264" s="4"/>
      <c r="L264" s="33" t="str">
        <f>IFERROR(VLOOKUP($J264,'Informations sur les produits'!$A$3:$H$10000,8,FALSE),"0")</f>
        <v>0</v>
      </c>
      <c r="N264" s="8"/>
      <c r="O264" s="33" t="str">
        <f>IFERROR(VLOOKUP($M264,'Informations sur les produits'!$A$3:$H$10000,8,FALSE),"0")</f>
        <v>0</v>
      </c>
      <c r="P264" s="33">
        <f t="shared" si="16"/>
        <v>0</v>
      </c>
      <c r="Q264" s="31" t="str">
        <f t="shared" si="17"/>
        <v/>
      </c>
      <c r="R264" s="32" t="str">
        <f>IFERROR(VLOOKUP($D264,'Informations sur les produits'!$A$3:$B$15000,2,FALSE),"")</f>
        <v/>
      </c>
      <c r="V264">
        <f t="shared" si="18"/>
        <v>0</v>
      </c>
      <c r="W264">
        <f t="shared" si="19"/>
        <v>0</v>
      </c>
    </row>
    <row r="265" spans="5:23" x14ac:dyDescent="0.25">
      <c r="E265" s="4"/>
      <c r="F265" s="4"/>
      <c r="G265" s="33" t="str">
        <f>IFERROR(VLOOKUP($D265,'Informations sur les produits'!$A$3:$H$10000,8,FALSE),"0")</f>
        <v>0</v>
      </c>
      <c r="K265" s="4"/>
      <c r="L265" s="33" t="str">
        <f>IFERROR(VLOOKUP($J265,'Informations sur les produits'!$A$3:$H$10000,8,FALSE),"0")</f>
        <v>0</v>
      </c>
      <c r="N265" s="8"/>
      <c r="O265" s="33" t="str">
        <f>IFERROR(VLOOKUP($M265,'Informations sur les produits'!$A$3:$H$10000,8,FALSE),"0")</f>
        <v>0</v>
      </c>
      <c r="P265" s="33">
        <f t="shared" si="16"/>
        <v>0</v>
      </c>
      <c r="Q265" s="31" t="str">
        <f t="shared" si="17"/>
        <v/>
      </c>
      <c r="R265" s="32" t="str">
        <f>IFERROR(VLOOKUP($D265,'Informations sur les produits'!$A$3:$B$15000,2,FALSE),"")</f>
        <v/>
      </c>
      <c r="V265">
        <f t="shared" si="18"/>
        <v>0</v>
      </c>
      <c r="W265">
        <f t="shared" si="19"/>
        <v>0</v>
      </c>
    </row>
    <row r="266" spans="5:23" x14ac:dyDescent="0.25">
      <c r="E266" s="4"/>
      <c r="F266" s="4"/>
      <c r="G266" s="33" t="str">
        <f>IFERROR(VLOOKUP($D266,'Informations sur les produits'!$A$3:$H$10000,8,FALSE),"0")</f>
        <v>0</v>
      </c>
      <c r="K266" s="4"/>
      <c r="L266" s="33" t="str">
        <f>IFERROR(VLOOKUP($J266,'Informations sur les produits'!$A$3:$H$10000,8,FALSE),"0")</f>
        <v>0</v>
      </c>
      <c r="N266" s="8"/>
      <c r="O266" s="33" t="str">
        <f>IFERROR(VLOOKUP($M266,'Informations sur les produits'!$A$3:$H$10000,8,FALSE),"0")</f>
        <v>0</v>
      </c>
      <c r="P266" s="33">
        <f t="shared" si="16"/>
        <v>0</v>
      </c>
      <c r="Q266" s="31" t="str">
        <f t="shared" si="17"/>
        <v/>
      </c>
      <c r="R266" s="32" t="str">
        <f>IFERROR(VLOOKUP($D266,'Informations sur les produits'!$A$3:$B$15000,2,FALSE),"")</f>
        <v/>
      </c>
      <c r="V266">
        <f t="shared" si="18"/>
        <v>0</v>
      </c>
      <c r="W266">
        <f t="shared" si="19"/>
        <v>0</v>
      </c>
    </row>
    <row r="267" spans="5:23" x14ac:dyDescent="0.25">
      <c r="E267" s="4"/>
      <c r="F267" s="4"/>
      <c r="G267" s="33" t="str">
        <f>IFERROR(VLOOKUP($D267,'Informations sur les produits'!$A$3:$H$10000,8,FALSE),"0")</f>
        <v>0</v>
      </c>
      <c r="K267" s="4"/>
      <c r="L267" s="33" t="str">
        <f>IFERROR(VLOOKUP($J267,'Informations sur les produits'!$A$3:$H$10000,8,FALSE),"0")</f>
        <v>0</v>
      </c>
      <c r="N267" s="8"/>
      <c r="O267" s="33" t="str">
        <f>IFERROR(VLOOKUP($M267,'Informations sur les produits'!$A$3:$H$10000,8,FALSE),"0")</f>
        <v>0</v>
      </c>
      <c r="P267" s="33">
        <f t="shared" si="16"/>
        <v>0</v>
      </c>
      <c r="Q267" s="31" t="str">
        <f t="shared" si="17"/>
        <v/>
      </c>
      <c r="R267" s="32" t="str">
        <f>IFERROR(VLOOKUP($D267,'Informations sur les produits'!$A$3:$B$15000,2,FALSE),"")</f>
        <v/>
      </c>
      <c r="V267">
        <f t="shared" si="18"/>
        <v>0</v>
      </c>
      <c r="W267">
        <f t="shared" si="19"/>
        <v>0</v>
      </c>
    </row>
    <row r="268" spans="5:23" x14ac:dyDescent="0.25">
      <c r="E268" s="4"/>
      <c r="F268" s="4"/>
      <c r="G268" s="33" t="str">
        <f>IFERROR(VLOOKUP($D268,'Informations sur les produits'!$A$3:$H$10000,8,FALSE),"0")</f>
        <v>0</v>
      </c>
      <c r="K268" s="4"/>
      <c r="L268" s="33" t="str">
        <f>IFERROR(VLOOKUP($J268,'Informations sur les produits'!$A$3:$H$10000,8,FALSE),"0")</f>
        <v>0</v>
      </c>
      <c r="N268" s="8"/>
      <c r="O268" s="33" t="str">
        <f>IFERROR(VLOOKUP($M268,'Informations sur les produits'!$A$3:$H$10000,8,FALSE),"0")</f>
        <v>0</v>
      </c>
      <c r="P268" s="33">
        <f t="shared" si="16"/>
        <v>0</v>
      </c>
      <c r="Q268" s="31" t="str">
        <f t="shared" si="17"/>
        <v/>
      </c>
      <c r="R268" s="32" t="str">
        <f>IFERROR(VLOOKUP($D268,'Informations sur les produits'!$A$3:$B$15000,2,FALSE),"")</f>
        <v/>
      </c>
      <c r="V268">
        <f t="shared" si="18"/>
        <v>0</v>
      </c>
      <c r="W268">
        <f t="shared" si="19"/>
        <v>0</v>
      </c>
    </row>
    <row r="269" spans="5:23" x14ac:dyDescent="0.25">
      <c r="E269" s="4"/>
      <c r="F269" s="4"/>
      <c r="G269" s="33" t="str">
        <f>IFERROR(VLOOKUP($D269,'Informations sur les produits'!$A$3:$H$10000,8,FALSE),"0")</f>
        <v>0</v>
      </c>
      <c r="K269" s="4"/>
      <c r="L269" s="33" t="str">
        <f>IFERROR(VLOOKUP($J269,'Informations sur les produits'!$A$3:$H$10000,8,FALSE),"0")</f>
        <v>0</v>
      </c>
      <c r="N269" s="8"/>
      <c r="O269" s="33" t="str">
        <f>IFERROR(VLOOKUP($M269,'Informations sur les produits'!$A$3:$H$10000,8,FALSE),"0")</f>
        <v>0</v>
      </c>
      <c r="P269" s="33">
        <f t="shared" si="16"/>
        <v>0</v>
      </c>
      <c r="Q269" s="31" t="str">
        <f t="shared" si="17"/>
        <v/>
      </c>
      <c r="R269" s="32" t="str">
        <f>IFERROR(VLOOKUP($D269,'Informations sur les produits'!$A$3:$B$15000,2,FALSE),"")</f>
        <v/>
      </c>
      <c r="V269">
        <f t="shared" si="18"/>
        <v>0</v>
      </c>
      <c r="W269">
        <f t="shared" si="19"/>
        <v>0</v>
      </c>
    </row>
    <row r="270" spans="5:23" x14ac:dyDescent="0.25">
      <c r="E270" s="4"/>
      <c r="F270" s="4"/>
      <c r="G270" s="33" t="str">
        <f>IFERROR(VLOOKUP($D270,'Informations sur les produits'!$A$3:$H$10000,8,FALSE),"0")</f>
        <v>0</v>
      </c>
      <c r="K270" s="4"/>
      <c r="L270" s="33" t="str">
        <f>IFERROR(VLOOKUP($J270,'Informations sur les produits'!$A$3:$H$10000,8,FALSE),"0")</f>
        <v>0</v>
      </c>
      <c r="N270" s="8"/>
      <c r="O270" s="33" t="str">
        <f>IFERROR(VLOOKUP($M270,'Informations sur les produits'!$A$3:$H$10000,8,FALSE),"0")</f>
        <v>0</v>
      </c>
      <c r="P270" s="33">
        <f t="shared" si="16"/>
        <v>0</v>
      </c>
      <c r="Q270" s="31" t="str">
        <f t="shared" si="17"/>
        <v/>
      </c>
      <c r="R270" s="32" t="str">
        <f>IFERROR(VLOOKUP($D270,'Informations sur les produits'!$A$3:$B$15000,2,FALSE),"")</f>
        <v/>
      </c>
      <c r="V270">
        <f t="shared" si="18"/>
        <v>0</v>
      </c>
      <c r="W270">
        <f t="shared" si="19"/>
        <v>0</v>
      </c>
    </row>
    <row r="271" spans="5:23" x14ac:dyDescent="0.25">
      <c r="E271" s="4"/>
      <c r="F271" s="4"/>
      <c r="G271" s="33" t="str">
        <f>IFERROR(VLOOKUP($D271,'Informations sur les produits'!$A$3:$H$10000,8,FALSE),"0")</f>
        <v>0</v>
      </c>
      <c r="K271" s="4"/>
      <c r="L271" s="33" t="str">
        <f>IFERROR(VLOOKUP($J271,'Informations sur les produits'!$A$3:$H$10000,8,FALSE),"0")</f>
        <v>0</v>
      </c>
      <c r="N271" s="8"/>
      <c r="O271" s="33" t="str">
        <f>IFERROR(VLOOKUP($M271,'Informations sur les produits'!$A$3:$H$10000,8,FALSE),"0")</f>
        <v>0</v>
      </c>
      <c r="P271" s="33">
        <f t="shared" si="16"/>
        <v>0</v>
      </c>
      <c r="Q271" s="31" t="str">
        <f t="shared" si="17"/>
        <v/>
      </c>
      <c r="R271" s="32" t="str">
        <f>IFERROR(VLOOKUP($D271,'Informations sur les produits'!$A$3:$B$15000,2,FALSE),"")</f>
        <v/>
      </c>
      <c r="V271">
        <f t="shared" si="18"/>
        <v>0</v>
      </c>
      <c r="W271">
        <f t="shared" si="19"/>
        <v>0</v>
      </c>
    </row>
    <row r="272" spans="5:23" x14ac:dyDescent="0.25">
      <c r="E272" s="4"/>
      <c r="F272" s="4"/>
      <c r="G272" s="33" t="str">
        <f>IFERROR(VLOOKUP($D272,'Informations sur les produits'!$A$3:$H$10000,8,FALSE),"0")</f>
        <v>0</v>
      </c>
      <c r="K272" s="4"/>
      <c r="L272" s="33" t="str">
        <f>IFERROR(VLOOKUP($J272,'Informations sur les produits'!$A$3:$H$10000,8,FALSE),"0")</f>
        <v>0</v>
      </c>
      <c r="N272" s="8"/>
      <c r="O272" s="33" t="str">
        <f>IFERROR(VLOOKUP($M272,'Informations sur les produits'!$A$3:$H$10000,8,FALSE),"0")</f>
        <v>0</v>
      </c>
      <c r="P272" s="33">
        <f t="shared" si="16"/>
        <v>0</v>
      </c>
      <c r="Q272" s="31" t="str">
        <f t="shared" si="17"/>
        <v/>
      </c>
      <c r="R272" s="32" t="str">
        <f>IFERROR(VLOOKUP($D272,'Informations sur les produits'!$A$3:$B$15000,2,FALSE),"")</f>
        <v/>
      </c>
      <c r="V272">
        <f t="shared" si="18"/>
        <v>0</v>
      </c>
      <c r="W272">
        <f t="shared" si="19"/>
        <v>0</v>
      </c>
    </row>
    <row r="273" spans="5:23" x14ac:dyDescent="0.25">
      <c r="E273" s="4"/>
      <c r="F273" s="4"/>
      <c r="G273" s="33" t="str">
        <f>IFERROR(VLOOKUP($D273,'Informations sur les produits'!$A$3:$H$10000,8,FALSE),"0")</f>
        <v>0</v>
      </c>
      <c r="K273" s="4"/>
      <c r="L273" s="33" t="str">
        <f>IFERROR(VLOOKUP($J273,'Informations sur les produits'!$A$3:$H$10000,8,FALSE),"0")</f>
        <v>0</v>
      </c>
      <c r="N273" s="8"/>
      <c r="O273" s="33" t="str">
        <f>IFERROR(VLOOKUP($M273,'Informations sur les produits'!$A$3:$H$10000,8,FALSE),"0")</f>
        <v>0</v>
      </c>
      <c r="P273" s="33">
        <f t="shared" si="16"/>
        <v>0</v>
      </c>
      <c r="Q273" s="31" t="str">
        <f t="shared" si="17"/>
        <v/>
      </c>
      <c r="R273" s="32" t="str">
        <f>IFERROR(VLOOKUP($D273,'Informations sur les produits'!$A$3:$B$15000,2,FALSE),"")</f>
        <v/>
      </c>
      <c r="V273">
        <f t="shared" si="18"/>
        <v>0</v>
      </c>
      <c r="W273">
        <f t="shared" si="19"/>
        <v>0</v>
      </c>
    </row>
    <row r="274" spans="5:23" x14ac:dyDescent="0.25">
      <c r="E274" s="4"/>
      <c r="F274" s="4"/>
      <c r="G274" s="33" t="str">
        <f>IFERROR(VLOOKUP($D274,'Informations sur les produits'!$A$3:$H$10000,8,FALSE),"0")</f>
        <v>0</v>
      </c>
      <c r="K274" s="4"/>
      <c r="L274" s="33" t="str">
        <f>IFERROR(VLOOKUP($J274,'Informations sur les produits'!$A$3:$H$10000,8,FALSE),"0")</f>
        <v>0</v>
      </c>
      <c r="N274" s="8"/>
      <c r="O274" s="33" t="str">
        <f>IFERROR(VLOOKUP($M274,'Informations sur les produits'!$A$3:$H$10000,8,FALSE),"0")</f>
        <v>0</v>
      </c>
      <c r="P274" s="33">
        <f t="shared" si="16"/>
        <v>0</v>
      </c>
      <c r="Q274" s="31" t="str">
        <f t="shared" si="17"/>
        <v/>
      </c>
      <c r="R274" s="32" t="str">
        <f>IFERROR(VLOOKUP($D274,'Informations sur les produits'!$A$3:$B$15000,2,FALSE),"")</f>
        <v/>
      </c>
      <c r="V274">
        <f t="shared" si="18"/>
        <v>0</v>
      </c>
      <c r="W274">
        <f t="shared" si="19"/>
        <v>0</v>
      </c>
    </row>
    <row r="275" spans="5:23" x14ac:dyDescent="0.25">
      <c r="E275" s="4"/>
      <c r="F275" s="4"/>
      <c r="G275" s="33" t="str">
        <f>IFERROR(VLOOKUP($D275,'Informations sur les produits'!$A$3:$H$10000,8,FALSE),"0")</f>
        <v>0</v>
      </c>
      <c r="K275" s="4"/>
      <c r="L275" s="33" t="str">
        <f>IFERROR(VLOOKUP($J275,'Informations sur les produits'!$A$3:$H$10000,8,FALSE),"0")</f>
        <v>0</v>
      </c>
      <c r="N275" s="8"/>
      <c r="O275" s="33" t="str">
        <f>IFERROR(VLOOKUP($M275,'Informations sur les produits'!$A$3:$H$10000,8,FALSE),"0")</f>
        <v>0</v>
      </c>
      <c r="P275" s="33">
        <f t="shared" si="16"/>
        <v>0</v>
      </c>
      <c r="Q275" s="31" t="str">
        <f t="shared" si="17"/>
        <v/>
      </c>
      <c r="R275" s="32" t="str">
        <f>IFERROR(VLOOKUP($D275,'Informations sur les produits'!$A$3:$B$15000,2,FALSE),"")</f>
        <v/>
      </c>
      <c r="V275">
        <f t="shared" si="18"/>
        <v>0</v>
      </c>
      <c r="W275">
        <f t="shared" si="19"/>
        <v>0</v>
      </c>
    </row>
    <row r="276" spans="5:23" x14ac:dyDescent="0.25">
      <c r="E276" s="4"/>
      <c r="F276" s="4"/>
      <c r="G276" s="33" t="str">
        <f>IFERROR(VLOOKUP($D276,'Informations sur les produits'!$A$3:$H$10000,8,FALSE),"0")</f>
        <v>0</v>
      </c>
      <c r="K276" s="4"/>
      <c r="L276" s="33" t="str">
        <f>IFERROR(VLOOKUP($J276,'Informations sur les produits'!$A$3:$H$10000,8,FALSE),"0")</f>
        <v>0</v>
      </c>
      <c r="N276" s="8"/>
      <c r="O276" s="33" t="str">
        <f>IFERROR(VLOOKUP($M276,'Informations sur les produits'!$A$3:$H$10000,8,FALSE),"0")</f>
        <v>0</v>
      </c>
      <c r="P276" s="33">
        <f t="shared" si="16"/>
        <v>0</v>
      </c>
      <c r="Q276" s="31" t="str">
        <f t="shared" si="17"/>
        <v/>
      </c>
      <c r="R276" s="32" t="str">
        <f>IFERROR(VLOOKUP($D276,'Informations sur les produits'!$A$3:$B$15000,2,FALSE),"")</f>
        <v/>
      </c>
      <c r="V276">
        <f t="shared" si="18"/>
        <v>0</v>
      </c>
      <c r="W276">
        <f t="shared" si="19"/>
        <v>0</v>
      </c>
    </row>
    <row r="277" spans="5:23" x14ac:dyDescent="0.25">
      <c r="E277" s="4"/>
      <c r="F277" s="4"/>
      <c r="G277" s="33" t="str">
        <f>IFERROR(VLOOKUP($D277,'Informations sur les produits'!$A$3:$H$10000,8,FALSE),"0")</f>
        <v>0</v>
      </c>
      <c r="K277" s="4"/>
      <c r="L277" s="33" t="str">
        <f>IFERROR(VLOOKUP($J277,'Informations sur les produits'!$A$3:$H$10000,8,FALSE),"0")</f>
        <v>0</v>
      </c>
      <c r="N277" s="8"/>
      <c r="O277" s="33" t="str">
        <f>IFERROR(VLOOKUP($M277,'Informations sur les produits'!$A$3:$H$10000,8,FALSE),"0")</f>
        <v>0</v>
      </c>
      <c r="P277" s="33">
        <f t="shared" si="16"/>
        <v>0</v>
      </c>
      <c r="Q277" s="31" t="str">
        <f t="shared" si="17"/>
        <v/>
      </c>
      <c r="R277" s="32" t="str">
        <f>IFERROR(VLOOKUP($D277,'Informations sur les produits'!$A$3:$B$15000,2,FALSE),"")</f>
        <v/>
      </c>
      <c r="V277">
        <f t="shared" si="18"/>
        <v>0</v>
      </c>
      <c r="W277">
        <f t="shared" si="19"/>
        <v>0</v>
      </c>
    </row>
    <row r="278" spans="5:23" x14ac:dyDescent="0.25">
      <c r="E278" s="4"/>
      <c r="F278" s="4"/>
      <c r="G278" s="33" t="str">
        <f>IFERROR(VLOOKUP($D278,'Informations sur les produits'!$A$3:$H$10000,8,FALSE),"0")</f>
        <v>0</v>
      </c>
      <c r="K278" s="4"/>
      <c r="L278" s="33" t="str">
        <f>IFERROR(VLOOKUP($J278,'Informations sur les produits'!$A$3:$H$10000,8,FALSE),"0")</f>
        <v>0</v>
      </c>
      <c r="N278" s="8"/>
      <c r="O278" s="33" t="str">
        <f>IFERROR(VLOOKUP($M278,'Informations sur les produits'!$A$3:$H$10000,8,FALSE),"0")</f>
        <v>0</v>
      </c>
      <c r="P278" s="33">
        <f t="shared" si="16"/>
        <v>0</v>
      </c>
      <c r="Q278" s="31" t="str">
        <f t="shared" si="17"/>
        <v/>
      </c>
      <c r="R278" s="32" t="str">
        <f>IFERROR(VLOOKUP($D278,'Informations sur les produits'!$A$3:$B$15000,2,FALSE),"")</f>
        <v/>
      </c>
      <c r="V278">
        <f t="shared" si="18"/>
        <v>0</v>
      </c>
      <c r="W278">
        <f t="shared" si="19"/>
        <v>0</v>
      </c>
    </row>
    <row r="279" spans="5:23" x14ac:dyDescent="0.25">
      <c r="E279" s="4"/>
      <c r="F279" s="4"/>
      <c r="G279" s="33" t="str">
        <f>IFERROR(VLOOKUP($D279,'Informations sur les produits'!$A$3:$H$10000,8,FALSE),"0")</f>
        <v>0</v>
      </c>
      <c r="K279" s="4"/>
      <c r="L279" s="33" t="str">
        <f>IFERROR(VLOOKUP($J279,'Informations sur les produits'!$A$3:$H$10000,8,FALSE),"0")</f>
        <v>0</v>
      </c>
      <c r="N279" s="8"/>
      <c r="O279" s="33" t="str">
        <f>IFERROR(VLOOKUP($M279,'Informations sur les produits'!$A$3:$H$10000,8,FALSE),"0")</f>
        <v>0</v>
      </c>
      <c r="P279" s="33">
        <f t="shared" si="16"/>
        <v>0</v>
      </c>
      <c r="Q279" s="31" t="str">
        <f t="shared" si="17"/>
        <v/>
      </c>
      <c r="R279" s="32" t="str">
        <f>IFERROR(VLOOKUP($D279,'Informations sur les produits'!$A$3:$B$15000,2,FALSE),"")</f>
        <v/>
      </c>
      <c r="V279">
        <f t="shared" si="18"/>
        <v>0</v>
      </c>
      <c r="W279">
        <f t="shared" si="19"/>
        <v>0</v>
      </c>
    </row>
    <row r="280" spans="5:23" x14ac:dyDescent="0.25">
      <c r="E280" s="4"/>
      <c r="F280" s="4"/>
      <c r="G280" s="33" t="str">
        <f>IFERROR(VLOOKUP($D280,'Informations sur les produits'!$A$3:$H$10000,8,FALSE),"0")</f>
        <v>0</v>
      </c>
      <c r="K280" s="4"/>
      <c r="L280" s="33" t="str">
        <f>IFERROR(VLOOKUP($J280,'Informations sur les produits'!$A$3:$H$10000,8,FALSE),"0")</f>
        <v>0</v>
      </c>
      <c r="N280" s="8"/>
      <c r="O280" s="33" t="str">
        <f>IFERROR(VLOOKUP($M280,'Informations sur les produits'!$A$3:$H$10000,8,FALSE),"0")</f>
        <v>0</v>
      </c>
      <c r="P280" s="33">
        <f t="shared" si="16"/>
        <v>0</v>
      </c>
      <c r="Q280" s="31" t="str">
        <f t="shared" si="17"/>
        <v/>
      </c>
      <c r="R280" s="32" t="str">
        <f>IFERROR(VLOOKUP($D280,'Informations sur les produits'!$A$3:$B$15000,2,FALSE),"")</f>
        <v/>
      </c>
      <c r="V280">
        <f t="shared" si="18"/>
        <v>0</v>
      </c>
      <c r="W280">
        <f t="shared" si="19"/>
        <v>0</v>
      </c>
    </row>
    <row r="281" spans="5:23" x14ac:dyDescent="0.25">
      <c r="E281" s="4"/>
      <c r="F281" s="4"/>
      <c r="G281" s="33" t="str">
        <f>IFERROR(VLOOKUP($D281,'Informations sur les produits'!$A$3:$H$10000,8,FALSE),"0")</f>
        <v>0</v>
      </c>
      <c r="K281" s="4"/>
      <c r="L281" s="33" t="str">
        <f>IFERROR(VLOOKUP($J281,'Informations sur les produits'!$A$3:$H$10000,8,FALSE),"0")</f>
        <v>0</v>
      </c>
      <c r="N281" s="8"/>
      <c r="O281" s="33" t="str">
        <f>IFERROR(VLOOKUP($M281,'Informations sur les produits'!$A$3:$H$10000,8,FALSE),"0")</f>
        <v>0</v>
      </c>
      <c r="P281" s="33">
        <f t="shared" si="16"/>
        <v>0</v>
      </c>
      <c r="Q281" s="31" t="str">
        <f t="shared" si="17"/>
        <v/>
      </c>
      <c r="R281" s="32" t="str">
        <f>IFERROR(VLOOKUP($D281,'Informations sur les produits'!$A$3:$B$15000,2,FALSE),"")</f>
        <v/>
      </c>
      <c r="V281">
        <f t="shared" si="18"/>
        <v>0</v>
      </c>
      <c r="W281">
        <f t="shared" si="19"/>
        <v>0</v>
      </c>
    </row>
    <row r="282" spans="5:23" x14ac:dyDescent="0.25">
      <c r="E282" s="4"/>
      <c r="F282" s="4"/>
      <c r="G282" s="33" t="str">
        <f>IFERROR(VLOOKUP($D282,'Informations sur les produits'!$A$3:$H$10000,8,FALSE),"0")</f>
        <v>0</v>
      </c>
      <c r="K282" s="4"/>
      <c r="L282" s="33" t="str">
        <f>IFERROR(VLOOKUP($J282,'Informations sur les produits'!$A$3:$H$10000,8,FALSE),"0")</f>
        <v>0</v>
      </c>
      <c r="N282" s="8"/>
      <c r="O282" s="33" t="str">
        <f>IFERROR(VLOOKUP($M282,'Informations sur les produits'!$A$3:$H$10000,8,FALSE),"0")</f>
        <v>0</v>
      </c>
      <c r="P282" s="33">
        <f t="shared" si="16"/>
        <v>0</v>
      </c>
      <c r="Q282" s="31" t="str">
        <f t="shared" si="17"/>
        <v/>
      </c>
      <c r="R282" s="32" t="str">
        <f>IFERROR(VLOOKUP($D282,'Informations sur les produits'!$A$3:$B$15000,2,FALSE),"")</f>
        <v/>
      </c>
      <c r="V282">
        <f t="shared" si="18"/>
        <v>0</v>
      </c>
      <c r="W282">
        <f t="shared" si="19"/>
        <v>0</v>
      </c>
    </row>
    <row r="283" spans="5:23" x14ac:dyDescent="0.25">
      <c r="E283" s="4"/>
      <c r="F283" s="4"/>
      <c r="G283" s="33" t="str">
        <f>IFERROR(VLOOKUP($D283,'Informations sur les produits'!$A$3:$H$10000,8,FALSE),"0")</f>
        <v>0</v>
      </c>
      <c r="K283" s="4"/>
      <c r="L283" s="33" t="str">
        <f>IFERROR(VLOOKUP($J283,'Informations sur les produits'!$A$3:$H$10000,8,FALSE),"0")</f>
        <v>0</v>
      </c>
      <c r="N283" s="8"/>
      <c r="O283" s="33" t="str">
        <f>IFERROR(VLOOKUP($M283,'Informations sur les produits'!$A$3:$H$10000,8,FALSE),"0")</f>
        <v>0</v>
      </c>
      <c r="P283" s="33">
        <f t="shared" si="16"/>
        <v>0</v>
      </c>
      <c r="Q283" s="31" t="str">
        <f t="shared" si="17"/>
        <v/>
      </c>
      <c r="R283" s="32" t="str">
        <f>IFERROR(VLOOKUP($D283,'Informations sur les produits'!$A$3:$B$15000,2,FALSE),"")</f>
        <v/>
      </c>
      <c r="V283">
        <f t="shared" si="18"/>
        <v>0</v>
      </c>
      <c r="W283">
        <f t="shared" si="19"/>
        <v>0</v>
      </c>
    </row>
    <row r="284" spans="5:23" x14ac:dyDescent="0.25">
      <c r="E284" s="4"/>
      <c r="F284" s="4"/>
      <c r="G284" s="33" t="str">
        <f>IFERROR(VLOOKUP($D284,'Informations sur les produits'!$A$3:$H$10000,8,FALSE),"0")</f>
        <v>0</v>
      </c>
      <c r="K284" s="4"/>
      <c r="L284" s="33" t="str">
        <f>IFERROR(VLOOKUP($J284,'Informations sur les produits'!$A$3:$H$10000,8,FALSE),"0")</f>
        <v>0</v>
      </c>
      <c r="N284" s="8"/>
      <c r="O284" s="33" t="str">
        <f>IFERROR(VLOOKUP($M284,'Informations sur les produits'!$A$3:$H$10000,8,FALSE),"0")</f>
        <v>0</v>
      </c>
      <c r="P284" s="33">
        <f t="shared" si="16"/>
        <v>0</v>
      </c>
      <c r="Q284" s="31" t="str">
        <f t="shared" si="17"/>
        <v/>
      </c>
      <c r="R284" s="32" t="str">
        <f>IFERROR(VLOOKUP($D284,'Informations sur les produits'!$A$3:$B$15000,2,FALSE),"")</f>
        <v/>
      </c>
      <c r="V284">
        <f t="shared" si="18"/>
        <v>0</v>
      </c>
      <c r="W284">
        <f t="shared" si="19"/>
        <v>0</v>
      </c>
    </row>
    <row r="285" spans="5:23" x14ac:dyDescent="0.25">
      <c r="E285" s="4"/>
      <c r="F285" s="4"/>
      <c r="G285" s="33" t="str">
        <f>IFERROR(VLOOKUP($D285,'Informations sur les produits'!$A$3:$H$10000,8,FALSE),"0")</f>
        <v>0</v>
      </c>
      <c r="K285" s="4"/>
      <c r="L285" s="33" t="str">
        <f>IFERROR(VLOOKUP($J285,'Informations sur les produits'!$A$3:$H$10000,8,FALSE),"0")</f>
        <v>0</v>
      </c>
      <c r="N285" s="8"/>
      <c r="O285" s="33" t="str">
        <f>IFERROR(VLOOKUP($M285,'Informations sur les produits'!$A$3:$H$10000,8,FALSE),"0")</f>
        <v>0</v>
      </c>
      <c r="P285" s="33">
        <f t="shared" si="16"/>
        <v>0</v>
      </c>
      <c r="Q285" s="31" t="str">
        <f t="shared" si="17"/>
        <v/>
      </c>
      <c r="R285" s="32" t="str">
        <f>IFERROR(VLOOKUP($D285,'Informations sur les produits'!$A$3:$B$15000,2,FALSE),"")</f>
        <v/>
      </c>
      <c r="V285">
        <f t="shared" si="18"/>
        <v>0</v>
      </c>
      <c r="W285">
        <f t="shared" si="19"/>
        <v>0</v>
      </c>
    </row>
    <row r="286" spans="5:23" x14ac:dyDescent="0.25">
      <c r="E286" s="4"/>
      <c r="F286" s="4"/>
      <c r="G286" s="33" t="str">
        <f>IFERROR(VLOOKUP($D286,'Informations sur les produits'!$A$3:$H$10000,8,FALSE),"0")</f>
        <v>0</v>
      </c>
      <c r="K286" s="4"/>
      <c r="L286" s="33" t="str">
        <f>IFERROR(VLOOKUP($J286,'Informations sur les produits'!$A$3:$H$10000,8,FALSE),"0")</f>
        <v>0</v>
      </c>
      <c r="N286" s="8"/>
      <c r="O286" s="33" t="str">
        <f>IFERROR(VLOOKUP($M286,'Informations sur les produits'!$A$3:$H$10000,8,FALSE),"0")</f>
        <v>0</v>
      </c>
      <c r="P286" s="33">
        <f t="shared" si="16"/>
        <v>0</v>
      </c>
      <c r="Q286" s="31" t="str">
        <f t="shared" si="17"/>
        <v/>
      </c>
      <c r="R286" s="32" t="str">
        <f>IFERROR(VLOOKUP($D286,'Informations sur les produits'!$A$3:$B$15000,2,FALSE),"")</f>
        <v/>
      </c>
      <c r="V286">
        <f t="shared" si="18"/>
        <v>0</v>
      </c>
      <c r="W286">
        <f t="shared" si="19"/>
        <v>0</v>
      </c>
    </row>
    <row r="287" spans="5:23" x14ac:dyDescent="0.25">
      <c r="E287" s="4"/>
      <c r="F287" s="4"/>
      <c r="G287" s="33" t="str">
        <f>IFERROR(VLOOKUP($D287,'Informations sur les produits'!$A$3:$H$10000,8,FALSE),"0")</f>
        <v>0</v>
      </c>
      <c r="K287" s="4"/>
      <c r="L287" s="33" t="str">
        <f>IFERROR(VLOOKUP($J287,'Informations sur les produits'!$A$3:$H$10000,8,FALSE),"0")</f>
        <v>0</v>
      </c>
      <c r="N287" s="8"/>
      <c r="O287" s="33" t="str">
        <f>IFERROR(VLOOKUP($M287,'Informations sur les produits'!$A$3:$H$10000,8,FALSE),"0")</f>
        <v>0</v>
      </c>
      <c r="P287" s="33">
        <f t="shared" si="16"/>
        <v>0</v>
      </c>
      <c r="Q287" s="31" t="str">
        <f t="shared" si="17"/>
        <v/>
      </c>
      <c r="R287" s="32" t="str">
        <f>IFERROR(VLOOKUP($D287,'Informations sur les produits'!$A$3:$B$15000,2,FALSE),"")</f>
        <v/>
      </c>
      <c r="V287">
        <f t="shared" si="18"/>
        <v>0</v>
      </c>
      <c r="W287">
        <f t="shared" si="19"/>
        <v>0</v>
      </c>
    </row>
    <row r="288" spans="5:23" x14ac:dyDescent="0.25">
      <c r="E288" s="4"/>
      <c r="F288" s="4"/>
      <c r="G288" s="33" t="str">
        <f>IFERROR(VLOOKUP($D288,'Informations sur les produits'!$A$3:$H$10000,8,FALSE),"0")</f>
        <v>0</v>
      </c>
      <c r="K288" s="4"/>
      <c r="L288" s="33" t="str">
        <f>IFERROR(VLOOKUP($J288,'Informations sur les produits'!$A$3:$H$10000,8,FALSE),"0")</f>
        <v>0</v>
      </c>
      <c r="N288" s="8"/>
      <c r="O288" s="33" t="str">
        <f>IFERROR(VLOOKUP($M288,'Informations sur les produits'!$A$3:$H$10000,8,FALSE),"0")</f>
        <v>0</v>
      </c>
      <c r="P288" s="33">
        <f t="shared" si="16"/>
        <v>0</v>
      </c>
      <c r="Q288" s="31" t="str">
        <f t="shared" si="17"/>
        <v/>
      </c>
      <c r="R288" s="32" t="str">
        <f>IFERROR(VLOOKUP($D288,'Informations sur les produits'!$A$3:$B$15000,2,FALSE),"")</f>
        <v/>
      </c>
      <c r="V288">
        <f t="shared" si="18"/>
        <v>0</v>
      </c>
      <c r="W288">
        <f t="shared" si="19"/>
        <v>0</v>
      </c>
    </row>
    <row r="289" spans="5:23" x14ac:dyDescent="0.25">
      <c r="E289" s="4"/>
      <c r="F289" s="4"/>
      <c r="G289" s="33" t="str">
        <f>IFERROR(VLOOKUP($D289,'Informations sur les produits'!$A$3:$H$10000,8,FALSE),"0")</f>
        <v>0</v>
      </c>
      <c r="K289" s="4"/>
      <c r="L289" s="33" t="str">
        <f>IFERROR(VLOOKUP($J289,'Informations sur les produits'!$A$3:$H$10000,8,FALSE),"0")</f>
        <v>0</v>
      </c>
      <c r="N289" s="8"/>
      <c r="O289" s="33" t="str">
        <f>IFERROR(VLOOKUP($M289,'Informations sur les produits'!$A$3:$H$10000,8,FALSE),"0")</f>
        <v>0</v>
      </c>
      <c r="P289" s="33">
        <f t="shared" si="16"/>
        <v>0</v>
      </c>
      <c r="Q289" s="31" t="str">
        <f t="shared" si="17"/>
        <v/>
      </c>
      <c r="R289" s="32" t="str">
        <f>IFERROR(VLOOKUP($D289,'Informations sur les produits'!$A$3:$B$15000,2,FALSE),"")</f>
        <v/>
      </c>
      <c r="V289">
        <f t="shared" si="18"/>
        <v>0</v>
      </c>
      <c r="W289">
        <f t="shared" si="19"/>
        <v>0</v>
      </c>
    </row>
    <row r="290" spans="5:23" x14ac:dyDescent="0.25">
      <c r="E290" s="4"/>
      <c r="F290" s="4"/>
      <c r="G290" s="33" t="str">
        <f>IFERROR(VLOOKUP($D290,'Informations sur les produits'!$A$3:$H$10000,8,FALSE),"0")</f>
        <v>0</v>
      </c>
      <c r="K290" s="4"/>
      <c r="L290" s="33" t="str">
        <f>IFERROR(VLOOKUP($J290,'Informations sur les produits'!$A$3:$H$10000,8,FALSE),"0")</f>
        <v>0</v>
      </c>
      <c r="N290" s="8"/>
      <c r="O290" s="33" t="str">
        <f>IFERROR(VLOOKUP($M290,'Informations sur les produits'!$A$3:$H$10000,8,FALSE),"0")</f>
        <v>0</v>
      </c>
      <c r="P290" s="33">
        <f t="shared" si="16"/>
        <v>0</v>
      </c>
      <c r="Q290" s="31" t="str">
        <f t="shared" si="17"/>
        <v/>
      </c>
      <c r="R290" s="32" t="str">
        <f>IFERROR(VLOOKUP($D290,'Informations sur les produits'!$A$3:$B$15000,2,FALSE),"")</f>
        <v/>
      </c>
      <c r="V290">
        <f t="shared" si="18"/>
        <v>0</v>
      </c>
      <c r="W290">
        <f t="shared" si="19"/>
        <v>0</v>
      </c>
    </row>
    <row r="291" spans="5:23" x14ac:dyDescent="0.25">
      <c r="E291" s="4"/>
      <c r="F291" s="4"/>
      <c r="G291" s="33" t="str">
        <f>IFERROR(VLOOKUP($D291,'Informations sur les produits'!$A$3:$H$10000,8,FALSE),"0")</f>
        <v>0</v>
      </c>
      <c r="K291" s="4"/>
      <c r="L291" s="33" t="str">
        <f>IFERROR(VLOOKUP($J291,'Informations sur les produits'!$A$3:$H$10000,8,FALSE),"0")</f>
        <v>0</v>
      </c>
      <c r="N291" s="8"/>
      <c r="O291" s="33" t="str">
        <f>IFERROR(VLOOKUP($M291,'Informations sur les produits'!$A$3:$H$10000,8,FALSE),"0")</f>
        <v>0</v>
      </c>
      <c r="P291" s="33">
        <f t="shared" si="16"/>
        <v>0</v>
      </c>
      <c r="Q291" s="31" t="str">
        <f t="shared" si="17"/>
        <v/>
      </c>
      <c r="R291" s="32" t="str">
        <f>IFERROR(VLOOKUP($D291,'Informations sur les produits'!$A$3:$B$15000,2,FALSE),"")</f>
        <v/>
      </c>
      <c r="V291">
        <f t="shared" si="18"/>
        <v>0</v>
      </c>
      <c r="W291">
        <f t="shared" si="19"/>
        <v>0</v>
      </c>
    </row>
    <row r="292" spans="5:23" x14ac:dyDescent="0.25">
      <c r="E292" s="4"/>
      <c r="F292" s="4"/>
      <c r="G292" s="33" t="str">
        <f>IFERROR(VLOOKUP($D292,'Informations sur les produits'!$A$3:$H$10000,8,FALSE),"0")</f>
        <v>0</v>
      </c>
      <c r="K292" s="4"/>
      <c r="L292" s="33" t="str">
        <f>IFERROR(VLOOKUP($J292,'Informations sur les produits'!$A$3:$H$10000,8,FALSE),"0")</f>
        <v>0</v>
      </c>
      <c r="N292" s="8"/>
      <c r="O292" s="33" t="str">
        <f>IFERROR(VLOOKUP($M292,'Informations sur les produits'!$A$3:$H$10000,8,FALSE),"0")</f>
        <v>0</v>
      </c>
      <c r="P292" s="33">
        <f t="shared" si="16"/>
        <v>0</v>
      </c>
      <c r="Q292" s="31" t="str">
        <f t="shared" si="17"/>
        <v/>
      </c>
      <c r="R292" s="32" t="str">
        <f>IFERROR(VLOOKUP($D292,'Informations sur les produits'!$A$3:$B$15000,2,FALSE),"")</f>
        <v/>
      </c>
      <c r="V292">
        <f t="shared" si="18"/>
        <v>0</v>
      </c>
      <c r="W292">
        <f t="shared" si="19"/>
        <v>0</v>
      </c>
    </row>
    <row r="293" spans="5:23" x14ac:dyDescent="0.25">
      <c r="E293" s="4"/>
      <c r="F293" s="4"/>
      <c r="G293" s="33" t="str">
        <f>IFERROR(VLOOKUP($D293,'Informations sur les produits'!$A$3:$H$10000,8,FALSE),"0")</f>
        <v>0</v>
      </c>
      <c r="K293" s="4"/>
      <c r="L293" s="33" t="str">
        <f>IFERROR(VLOOKUP($J293,'Informations sur les produits'!$A$3:$H$10000,8,FALSE),"0")</f>
        <v>0</v>
      </c>
      <c r="N293" s="8"/>
      <c r="O293" s="33" t="str">
        <f>IFERROR(VLOOKUP($M293,'Informations sur les produits'!$A$3:$H$10000,8,FALSE),"0")</f>
        <v>0</v>
      </c>
      <c r="P293" s="33">
        <f t="shared" si="16"/>
        <v>0</v>
      </c>
      <c r="Q293" s="31" t="str">
        <f t="shared" si="17"/>
        <v/>
      </c>
      <c r="R293" s="32" t="str">
        <f>IFERROR(VLOOKUP($D293,'Informations sur les produits'!$A$3:$B$15000,2,FALSE),"")</f>
        <v/>
      </c>
      <c r="V293">
        <f t="shared" si="18"/>
        <v>0</v>
      </c>
      <c r="W293">
        <f t="shared" si="19"/>
        <v>0</v>
      </c>
    </row>
    <row r="294" spans="5:23" x14ac:dyDescent="0.25">
      <c r="E294" s="4"/>
      <c r="F294" s="4"/>
      <c r="G294" s="33" t="str">
        <f>IFERROR(VLOOKUP($D294,'Informations sur les produits'!$A$3:$H$10000,8,FALSE),"0")</f>
        <v>0</v>
      </c>
      <c r="K294" s="4"/>
      <c r="L294" s="33" t="str">
        <f>IFERROR(VLOOKUP($J294,'Informations sur les produits'!$A$3:$H$10000,8,FALSE),"0")</f>
        <v>0</v>
      </c>
      <c r="N294" s="8"/>
      <c r="O294" s="33" t="str">
        <f>IFERROR(VLOOKUP($M294,'Informations sur les produits'!$A$3:$H$10000,8,FALSE),"0")</f>
        <v>0</v>
      </c>
      <c r="P294" s="33">
        <f t="shared" si="16"/>
        <v>0</v>
      </c>
      <c r="Q294" s="31" t="str">
        <f t="shared" si="17"/>
        <v/>
      </c>
      <c r="R294" s="32" t="str">
        <f>IFERROR(VLOOKUP($D294,'Informations sur les produits'!$A$3:$B$15000,2,FALSE),"")</f>
        <v/>
      </c>
      <c r="V294">
        <f t="shared" si="18"/>
        <v>0</v>
      </c>
      <c r="W294">
        <f t="shared" si="19"/>
        <v>0</v>
      </c>
    </row>
    <row r="295" spans="5:23" x14ac:dyDescent="0.25">
      <c r="E295" s="4"/>
      <c r="F295" s="4"/>
      <c r="G295" s="33" t="str">
        <f>IFERROR(VLOOKUP($D295,'Informations sur les produits'!$A$3:$H$10000,8,FALSE),"0")</f>
        <v>0</v>
      </c>
      <c r="K295" s="4"/>
      <c r="L295" s="33" t="str">
        <f>IFERROR(VLOOKUP($J295,'Informations sur les produits'!$A$3:$H$10000,8,FALSE),"0")</f>
        <v>0</v>
      </c>
      <c r="N295" s="8"/>
      <c r="O295" s="33" t="str">
        <f>IFERROR(VLOOKUP($M295,'Informations sur les produits'!$A$3:$H$10000,8,FALSE),"0")</f>
        <v>0</v>
      </c>
      <c r="P295" s="33">
        <f t="shared" si="16"/>
        <v>0</v>
      </c>
      <c r="Q295" s="31" t="str">
        <f t="shared" si="17"/>
        <v/>
      </c>
      <c r="R295" s="32" t="str">
        <f>IFERROR(VLOOKUP($D295,'Informations sur les produits'!$A$3:$B$15000,2,FALSE),"")</f>
        <v/>
      </c>
      <c r="V295">
        <f t="shared" si="18"/>
        <v>0</v>
      </c>
      <c r="W295">
        <f t="shared" si="19"/>
        <v>0</v>
      </c>
    </row>
    <row r="296" spans="5:23" x14ac:dyDescent="0.25">
      <c r="E296" s="4"/>
      <c r="F296" s="4"/>
      <c r="G296" s="33" t="str">
        <f>IFERROR(VLOOKUP($D296,'Informations sur les produits'!$A$3:$H$10000,8,FALSE),"0")</f>
        <v>0</v>
      </c>
      <c r="K296" s="4"/>
      <c r="L296" s="33" t="str">
        <f>IFERROR(VLOOKUP($J296,'Informations sur les produits'!$A$3:$H$10000,8,FALSE),"0")</f>
        <v>0</v>
      </c>
      <c r="N296" s="8"/>
      <c r="O296" s="33" t="str">
        <f>IFERROR(VLOOKUP($M296,'Informations sur les produits'!$A$3:$H$10000,8,FALSE),"0")</f>
        <v>0</v>
      </c>
      <c r="P296" s="33">
        <f t="shared" si="16"/>
        <v>0</v>
      </c>
      <c r="Q296" s="31" t="str">
        <f t="shared" si="17"/>
        <v/>
      </c>
      <c r="R296" s="32" t="str">
        <f>IFERROR(VLOOKUP($D296,'Informations sur les produits'!$A$3:$B$15000,2,FALSE),"")</f>
        <v/>
      </c>
      <c r="V296">
        <f t="shared" si="18"/>
        <v>0</v>
      </c>
      <c r="W296">
        <f t="shared" si="19"/>
        <v>0</v>
      </c>
    </row>
    <row r="297" spans="5:23" x14ac:dyDescent="0.25">
      <c r="E297" s="4"/>
      <c r="F297" s="4"/>
      <c r="G297" s="33" t="str">
        <f>IFERROR(VLOOKUP($D297,'Informations sur les produits'!$A$3:$H$10000,8,FALSE),"0")</f>
        <v>0</v>
      </c>
      <c r="K297" s="4"/>
      <c r="L297" s="33" t="str">
        <f>IFERROR(VLOOKUP($J297,'Informations sur les produits'!$A$3:$H$10000,8,FALSE),"0")</f>
        <v>0</v>
      </c>
      <c r="N297" s="8"/>
      <c r="O297" s="33" t="str">
        <f>IFERROR(VLOOKUP($M297,'Informations sur les produits'!$A$3:$H$10000,8,FALSE),"0")</f>
        <v>0</v>
      </c>
      <c r="P297" s="33">
        <f t="shared" si="16"/>
        <v>0</v>
      </c>
      <c r="Q297" s="31" t="str">
        <f t="shared" si="17"/>
        <v/>
      </c>
      <c r="R297" s="32" t="str">
        <f>IFERROR(VLOOKUP($D297,'Informations sur les produits'!$A$3:$B$15000,2,FALSE),"")</f>
        <v/>
      </c>
      <c r="V297">
        <f t="shared" si="18"/>
        <v>0</v>
      </c>
      <c r="W297">
        <f t="shared" si="19"/>
        <v>0</v>
      </c>
    </row>
    <row r="298" spans="5:23" x14ac:dyDescent="0.25">
      <c r="E298" s="4"/>
      <c r="F298" s="4"/>
      <c r="G298" s="33" t="str">
        <f>IFERROR(VLOOKUP($D298,'Informations sur les produits'!$A$3:$H$10000,8,FALSE),"0")</f>
        <v>0</v>
      </c>
      <c r="K298" s="4"/>
      <c r="L298" s="33" t="str">
        <f>IFERROR(VLOOKUP($J298,'Informations sur les produits'!$A$3:$H$10000,8,FALSE),"0")</f>
        <v>0</v>
      </c>
      <c r="N298" s="8"/>
      <c r="O298" s="33" t="str">
        <f>IFERROR(VLOOKUP($M298,'Informations sur les produits'!$A$3:$H$10000,8,FALSE),"0")</f>
        <v>0</v>
      </c>
      <c r="P298" s="33">
        <f t="shared" si="16"/>
        <v>0</v>
      </c>
      <c r="Q298" s="31" t="str">
        <f t="shared" si="17"/>
        <v/>
      </c>
      <c r="R298" s="32" t="str">
        <f>IFERROR(VLOOKUP($D298,'Informations sur les produits'!$A$3:$B$15000,2,FALSE),"")</f>
        <v/>
      </c>
      <c r="V298">
        <f t="shared" si="18"/>
        <v>0</v>
      </c>
      <c r="W298">
        <f t="shared" si="19"/>
        <v>0</v>
      </c>
    </row>
    <row r="299" spans="5:23" x14ac:dyDescent="0.25">
      <c r="E299" s="4"/>
      <c r="F299" s="4"/>
      <c r="G299" s="33" t="str">
        <f>IFERROR(VLOOKUP($D299,'Informations sur les produits'!$A$3:$H$10000,8,FALSE),"0")</f>
        <v>0</v>
      </c>
      <c r="K299" s="4"/>
      <c r="L299" s="33" t="str">
        <f>IFERROR(VLOOKUP($J299,'Informations sur les produits'!$A$3:$H$10000,8,FALSE),"0")</f>
        <v>0</v>
      </c>
      <c r="N299" s="8"/>
      <c r="O299" s="33" t="str">
        <f>IFERROR(VLOOKUP($M299,'Informations sur les produits'!$A$3:$H$10000,8,FALSE),"0")</f>
        <v>0</v>
      </c>
      <c r="P299" s="33">
        <f t="shared" si="16"/>
        <v>0</v>
      </c>
      <c r="Q299" s="31" t="str">
        <f t="shared" si="17"/>
        <v/>
      </c>
      <c r="R299" s="32" t="str">
        <f>IFERROR(VLOOKUP($D299,'Informations sur les produits'!$A$3:$B$15000,2,FALSE),"")</f>
        <v/>
      </c>
      <c r="V299">
        <f t="shared" si="18"/>
        <v>0</v>
      </c>
      <c r="W299">
        <f t="shared" si="19"/>
        <v>0</v>
      </c>
    </row>
    <row r="300" spans="5:23" x14ac:dyDescent="0.25">
      <c r="E300" s="4"/>
      <c r="F300" s="4"/>
      <c r="G300" s="33" t="str">
        <f>IFERROR(VLOOKUP($D300,'Informations sur les produits'!$A$3:$H$10000,8,FALSE),"0")</f>
        <v>0</v>
      </c>
      <c r="K300" s="4"/>
      <c r="L300" s="33" t="str">
        <f>IFERROR(VLOOKUP($J300,'Informations sur les produits'!$A$3:$H$10000,8,FALSE),"0")</f>
        <v>0</v>
      </c>
      <c r="N300" s="8"/>
      <c r="O300" s="33" t="str">
        <f>IFERROR(VLOOKUP($M300,'Informations sur les produits'!$A$3:$H$10000,8,FALSE),"0")</f>
        <v>0</v>
      </c>
      <c r="P300" s="33">
        <f t="shared" si="16"/>
        <v>0</v>
      </c>
      <c r="Q300" s="31" t="str">
        <f t="shared" si="17"/>
        <v/>
      </c>
      <c r="R300" s="32" t="str">
        <f>IFERROR(VLOOKUP($D300,'Informations sur les produits'!$A$3:$B$15000,2,FALSE),"")</f>
        <v/>
      </c>
      <c r="V300">
        <f t="shared" si="18"/>
        <v>0</v>
      </c>
      <c r="W300">
        <f t="shared" si="19"/>
        <v>0</v>
      </c>
    </row>
    <row r="301" spans="5:23" x14ac:dyDescent="0.25">
      <c r="E301" s="4"/>
      <c r="F301" s="4"/>
      <c r="G301" s="33" t="str">
        <f>IFERROR(VLOOKUP($D301,'Informations sur les produits'!$A$3:$H$10000,8,FALSE),"0")</f>
        <v>0</v>
      </c>
      <c r="K301" s="4"/>
      <c r="L301" s="33" t="str">
        <f>IFERROR(VLOOKUP($J301,'Informations sur les produits'!$A$3:$H$10000,8,FALSE),"0")</f>
        <v>0</v>
      </c>
      <c r="N301" s="8"/>
      <c r="O301" s="33" t="str">
        <f>IFERROR(VLOOKUP($M301,'Informations sur les produits'!$A$3:$H$10000,8,FALSE),"0")</f>
        <v>0</v>
      </c>
      <c r="P301" s="33">
        <f t="shared" si="16"/>
        <v>0</v>
      </c>
      <c r="Q301" s="31" t="str">
        <f t="shared" si="17"/>
        <v/>
      </c>
      <c r="R301" s="32" t="str">
        <f>IFERROR(VLOOKUP($D301,'Informations sur les produits'!$A$3:$B$15000,2,FALSE),"")</f>
        <v/>
      </c>
      <c r="V301">
        <f t="shared" si="18"/>
        <v>0</v>
      </c>
      <c r="W301">
        <f t="shared" si="19"/>
        <v>0</v>
      </c>
    </row>
    <row r="302" spans="5:23" x14ac:dyDescent="0.25">
      <c r="E302" s="4"/>
      <c r="F302" s="4"/>
      <c r="G302" s="33" t="str">
        <f>IFERROR(VLOOKUP($D302,'Informations sur les produits'!$A$3:$H$10000,8,FALSE),"0")</f>
        <v>0</v>
      </c>
      <c r="K302" s="4"/>
      <c r="L302" s="33" t="str">
        <f>IFERROR(VLOOKUP($J302,'Informations sur les produits'!$A$3:$H$10000,8,FALSE),"0")</f>
        <v>0</v>
      </c>
      <c r="N302" s="8"/>
      <c r="O302" s="33" t="str">
        <f>IFERROR(VLOOKUP($M302,'Informations sur les produits'!$A$3:$H$10000,8,FALSE),"0")</f>
        <v>0</v>
      </c>
      <c r="P302" s="33">
        <f t="shared" si="16"/>
        <v>0</v>
      </c>
      <c r="Q302" s="31" t="str">
        <f t="shared" si="17"/>
        <v/>
      </c>
      <c r="R302" s="32" t="str">
        <f>IFERROR(VLOOKUP($D302,'Informations sur les produits'!$A$3:$B$15000,2,FALSE),"")</f>
        <v/>
      </c>
      <c r="V302">
        <f t="shared" si="18"/>
        <v>0</v>
      </c>
      <c r="W302">
        <f t="shared" si="19"/>
        <v>0</v>
      </c>
    </row>
    <row r="303" spans="5:23" x14ac:dyDescent="0.25">
      <c r="E303" s="4"/>
      <c r="F303" s="4"/>
      <c r="G303" s="33" t="str">
        <f>IFERROR(VLOOKUP($D303,'Informations sur les produits'!$A$3:$H$10000,8,FALSE),"0")</f>
        <v>0</v>
      </c>
      <c r="K303" s="4"/>
      <c r="L303" s="33" t="str">
        <f>IFERROR(VLOOKUP($J303,'Informations sur les produits'!$A$3:$H$10000,8,FALSE),"0")</f>
        <v>0</v>
      </c>
      <c r="N303" s="8"/>
      <c r="O303" s="33" t="str">
        <f>IFERROR(VLOOKUP($M303,'Informations sur les produits'!$A$3:$H$10000,8,FALSE),"0")</f>
        <v>0</v>
      </c>
      <c r="P303" s="33">
        <f t="shared" si="16"/>
        <v>0</v>
      </c>
      <c r="Q303" s="31" t="str">
        <f t="shared" si="17"/>
        <v/>
      </c>
      <c r="R303" s="32" t="str">
        <f>IFERROR(VLOOKUP($D303,'Informations sur les produits'!$A$3:$B$15000,2,FALSE),"")</f>
        <v/>
      </c>
      <c r="V303">
        <f t="shared" si="18"/>
        <v>0</v>
      </c>
      <c r="W303">
        <f t="shared" si="19"/>
        <v>0</v>
      </c>
    </row>
    <row r="304" spans="5:23" x14ac:dyDescent="0.25">
      <c r="E304" s="4"/>
      <c r="F304" s="4"/>
      <c r="G304" s="33" t="str">
        <f>IFERROR(VLOOKUP($D304,'Informations sur les produits'!$A$3:$H$10000,8,FALSE),"0")</f>
        <v>0</v>
      </c>
      <c r="K304" s="4"/>
      <c r="L304" s="33" t="str">
        <f>IFERROR(VLOOKUP($J304,'Informations sur les produits'!$A$3:$H$10000,8,FALSE),"0")</f>
        <v>0</v>
      </c>
      <c r="N304" s="8"/>
      <c r="O304" s="33" t="str">
        <f>IFERROR(VLOOKUP($M304,'Informations sur les produits'!$A$3:$H$10000,8,FALSE),"0")</f>
        <v>0</v>
      </c>
      <c r="P304" s="33">
        <f t="shared" si="16"/>
        <v>0</v>
      </c>
      <c r="Q304" s="31" t="str">
        <f t="shared" si="17"/>
        <v/>
      </c>
      <c r="R304" s="32" t="str">
        <f>IFERROR(VLOOKUP($D304,'Informations sur les produits'!$A$3:$B$15000,2,FALSE),"")</f>
        <v/>
      </c>
      <c r="V304">
        <f t="shared" si="18"/>
        <v>0</v>
      </c>
      <c r="W304">
        <f t="shared" si="19"/>
        <v>0</v>
      </c>
    </row>
    <row r="305" spans="5:23" x14ac:dyDescent="0.25">
      <c r="E305" s="4"/>
      <c r="F305" s="4"/>
      <c r="G305" s="33" t="str">
        <f>IFERROR(VLOOKUP($D305,'Informations sur les produits'!$A$3:$H$10000,8,FALSE),"0")</f>
        <v>0</v>
      </c>
      <c r="K305" s="4"/>
      <c r="L305" s="33" t="str">
        <f>IFERROR(VLOOKUP($J305,'Informations sur les produits'!$A$3:$H$10000,8,FALSE),"0")</f>
        <v>0</v>
      </c>
      <c r="N305" s="8"/>
      <c r="O305" s="33" t="str">
        <f>IFERROR(VLOOKUP($M305,'Informations sur les produits'!$A$3:$H$10000,8,FALSE),"0")</f>
        <v>0</v>
      </c>
      <c r="P305" s="33">
        <f t="shared" si="16"/>
        <v>0</v>
      </c>
      <c r="Q305" s="31" t="str">
        <f t="shared" si="17"/>
        <v/>
      </c>
      <c r="R305" s="32" t="str">
        <f>IFERROR(VLOOKUP($D305,'Informations sur les produits'!$A$3:$B$15000,2,FALSE),"")</f>
        <v/>
      </c>
      <c r="V305">
        <f t="shared" si="18"/>
        <v>0</v>
      </c>
      <c r="W305">
        <f t="shared" si="19"/>
        <v>0</v>
      </c>
    </row>
    <row r="306" spans="5:23" x14ac:dyDescent="0.25">
      <c r="E306" s="4"/>
      <c r="F306" s="4"/>
      <c r="G306" s="33" t="str">
        <f>IFERROR(VLOOKUP($D306,'Informations sur les produits'!$A$3:$H$10000,8,FALSE),"0")</f>
        <v>0</v>
      </c>
      <c r="K306" s="4"/>
      <c r="L306" s="33" t="str">
        <f>IFERROR(VLOOKUP($J306,'Informations sur les produits'!$A$3:$H$10000,8,FALSE),"0")</f>
        <v>0</v>
      </c>
      <c r="N306" s="8"/>
      <c r="O306" s="33" t="str">
        <f>IFERROR(VLOOKUP($M306,'Informations sur les produits'!$A$3:$H$10000,8,FALSE),"0")</f>
        <v>0</v>
      </c>
      <c r="P306" s="33">
        <f t="shared" si="16"/>
        <v>0</v>
      </c>
      <c r="Q306" s="31" t="str">
        <f t="shared" si="17"/>
        <v/>
      </c>
      <c r="R306" s="32" t="str">
        <f>IFERROR(VLOOKUP($D306,'Informations sur les produits'!$A$3:$B$15000,2,FALSE),"")</f>
        <v/>
      </c>
      <c r="V306">
        <f t="shared" si="18"/>
        <v>0</v>
      </c>
      <c r="W306">
        <f t="shared" si="19"/>
        <v>0</v>
      </c>
    </row>
    <row r="307" spans="5:23" x14ac:dyDescent="0.25">
      <c r="E307" s="4"/>
      <c r="F307" s="4"/>
      <c r="G307" s="33" t="str">
        <f>IFERROR(VLOOKUP($D307,'Informations sur les produits'!$A$3:$H$10000,8,FALSE),"0")</f>
        <v>0</v>
      </c>
      <c r="K307" s="4"/>
      <c r="L307" s="33" t="str">
        <f>IFERROR(VLOOKUP($J307,'Informations sur les produits'!$A$3:$H$10000,8,FALSE),"0")</f>
        <v>0</v>
      </c>
      <c r="N307" s="8"/>
      <c r="O307" s="33" t="str">
        <f>IFERROR(VLOOKUP($M307,'Informations sur les produits'!$A$3:$H$10000,8,FALSE),"0")</f>
        <v>0</v>
      </c>
      <c r="P307" s="33">
        <f t="shared" si="16"/>
        <v>0</v>
      </c>
      <c r="Q307" s="31" t="str">
        <f t="shared" si="17"/>
        <v/>
      </c>
      <c r="R307" s="32" t="str">
        <f>IFERROR(VLOOKUP($D307,'Informations sur les produits'!$A$3:$B$15000,2,FALSE),"")</f>
        <v/>
      </c>
      <c r="V307">
        <f t="shared" si="18"/>
        <v>0</v>
      </c>
      <c r="W307">
        <f t="shared" si="19"/>
        <v>0</v>
      </c>
    </row>
    <row r="308" spans="5:23" x14ac:dyDescent="0.25">
      <c r="E308" s="4"/>
      <c r="F308" s="4"/>
      <c r="G308" s="33" t="str">
        <f>IFERROR(VLOOKUP($D308,'Informations sur les produits'!$A$3:$H$10000,8,FALSE),"0")</f>
        <v>0</v>
      </c>
      <c r="K308" s="4"/>
      <c r="L308" s="33" t="str">
        <f>IFERROR(VLOOKUP($J308,'Informations sur les produits'!$A$3:$H$10000,8,FALSE),"0")</f>
        <v>0</v>
      </c>
      <c r="N308" s="8"/>
      <c r="O308" s="33" t="str">
        <f>IFERROR(VLOOKUP($M308,'Informations sur les produits'!$A$3:$H$10000,8,FALSE),"0")</f>
        <v>0</v>
      </c>
      <c r="P308" s="33">
        <f t="shared" si="16"/>
        <v>0</v>
      </c>
      <c r="Q308" s="31" t="str">
        <f t="shared" si="17"/>
        <v/>
      </c>
      <c r="R308" s="32" t="str">
        <f>IFERROR(VLOOKUP($D308,'Informations sur les produits'!$A$3:$B$15000,2,FALSE),"")</f>
        <v/>
      </c>
      <c r="V308">
        <f t="shared" si="18"/>
        <v>0</v>
      </c>
      <c r="W308">
        <f t="shared" si="19"/>
        <v>0</v>
      </c>
    </row>
    <row r="309" spans="5:23" x14ac:dyDescent="0.25">
      <c r="E309" s="4"/>
      <c r="F309" s="4"/>
      <c r="G309" s="33" t="str">
        <f>IFERROR(VLOOKUP($D309,'Informations sur les produits'!$A$3:$H$10000,8,FALSE),"0")</f>
        <v>0</v>
      </c>
      <c r="K309" s="4"/>
      <c r="L309" s="33" t="str">
        <f>IFERROR(VLOOKUP($J309,'Informations sur les produits'!$A$3:$H$10000,8,FALSE),"0")</f>
        <v>0</v>
      </c>
      <c r="N309" s="8"/>
      <c r="O309" s="33" t="str">
        <f>IFERROR(VLOOKUP($M309,'Informations sur les produits'!$A$3:$H$10000,8,FALSE),"0")</f>
        <v>0</v>
      </c>
      <c r="P309" s="33">
        <f t="shared" si="16"/>
        <v>0</v>
      </c>
      <c r="Q309" s="31" t="str">
        <f t="shared" si="17"/>
        <v/>
      </c>
      <c r="R309" s="32" t="str">
        <f>IFERROR(VLOOKUP($D309,'Informations sur les produits'!$A$3:$B$15000,2,FALSE),"")</f>
        <v/>
      </c>
      <c r="V309">
        <f t="shared" si="18"/>
        <v>0</v>
      </c>
      <c r="W309">
        <f t="shared" si="19"/>
        <v>0</v>
      </c>
    </row>
    <row r="310" spans="5:23" x14ac:dyDescent="0.25">
      <c r="E310" s="4"/>
      <c r="F310" s="4"/>
      <c r="G310" s="33" t="str">
        <f>IFERROR(VLOOKUP($D310,'Informations sur les produits'!$A$3:$H$10000,8,FALSE),"0")</f>
        <v>0</v>
      </c>
      <c r="K310" s="4"/>
      <c r="L310" s="33" t="str">
        <f>IFERROR(VLOOKUP($J310,'Informations sur les produits'!$A$3:$H$10000,8,FALSE),"0")</f>
        <v>0</v>
      </c>
      <c r="N310" s="8"/>
      <c r="O310" s="33" t="str">
        <f>IFERROR(VLOOKUP($M310,'Informations sur les produits'!$A$3:$H$10000,8,FALSE),"0")</f>
        <v>0</v>
      </c>
      <c r="P310" s="33">
        <f t="shared" si="16"/>
        <v>0</v>
      </c>
      <c r="Q310" s="31" t="str">
        <f t="shared" si="17"/>
        <v/>
      </c>
      <c r="R310" s="32" t="str">
        <f>IFERROR(VLOOKUP($D310,'Informations sur les produits'!$A$3:$B$15000,2,FALSE),"")</f>
        <v/>
      </c>
      <c r="V310">
        <f t="shared" si="18"/>
        <v>0</v>
      </c>
      <c r="W310">
        <f t="shared" si="19"/>
        <v>0</v>
      </c>
    </row>
    <row r="311" spans="5:23" x14ac:dyDescent="0.25">
      <c r="E311" s="4"/>
      <c r="F311" s="4"/>
      <c r="G311" s="33" t="str">
        <f>IFERROR(VLOOKUP($D311,'Informations sur les produits'!$A$3:$H$10000,8,FALSE),"0")</f>
        <v>0</v>
      </c>
      <c r="K311" s="4"/>
      <c r="L311" s="33" t="str">
        <f>IFERROR(VLOOKUP($J311,'Informations sur les produits'!$A$3:$H$10000,8,FALSE),"0")</f>
        <v>0</v>
      </c>
      <c r="N311" s="8"/>
      <c r="O311" s="33" t="str">
        <f>IFERROR(VLOOKUP($M311,'Informations sur les produits'!$A$3:$H$10000,8,FALSE),"0")</f>
        <v>0</v>
      </c>
      <c r="P311" s="33">
        <f t="shared" si="16"/>
        <v>0</v>
      </c>
      <c r="Q311" s="31" t="str">
        <f t="shared" si="17"/>
        <v/>
      </c>
      <c r="R311" s="32" t="str">
        <f>IFERROR(VLOOKUP($D311,'Informations sur les produits'!$A$3:$B$15000,2,FALSE),"")</f>
        <v/>
      </c>
      <c r="V311">
        <f t="shared" si="18"/>
        <v>0</v>
      </c>
      <c r="W311">
        <f t="shared" si="19"/>
        <v>0</v>
      </c>
    </row>
    <row r="312" spans="5:23" x14ac:dyDescent="0.25">
      <c r="E312" s="4"/>
      <c r="F312" s="4"/>
      <c r="G312" s="33" t="str">
        <f>IFERROR(VLOOKUP($D312,'Informations sur les produits'!$A$3:$H$10000,8,FALSE),"0")</f>
        <v>0</v>
      </c>
      <c r="K312" s="4"/>
      <c r="L312" s="33" t="str">
        <f>IFERROR(VLOOKUP($J312,'Informations sur les produits'!$A$3:$H$10000,8,FALSE),"0")</f>
        <v>0</v>
      </c>
      <c r="N312" s="8"/>
      <c r="O312" s="33" t="str">
        <f>IFERROR(VLOOKUP($M312,'Informations sur les produits'!$A$3:$H$10000,8,FALSE),"0")</f>
        <v>0</v>
      </c>
      <c r="P312" s="33">
        <f t="shared" si="16"/>
        <v>0</v>
      </c>
      <c r="Q312" s="31" t="str">
        <f t="shared" si="17"/>
        <v/>
      </c>
      <c r="R312" s="32" t="str">
        <f>IFERROR(VLOOKUP($D312,'Informations sur les produits'!$A$3:$B$15000,2,FALSE),"")</f>
        <v/>
      </c>
      <c r="V312">
        <f t="shared" si="18"/>
        <v>0</v>
      </c>
      <c r="W312">
        <f t="shared" si="19"/>
        <v>0</v>
      </c>
    </row>
    <row r="313" spans="5:23" x14ac:dyDescent="0.25">
      <c r="E313" s="4"/>
      <c r="F313" s="4"/>
      <c r="G313" s="33" t="str">
        <f>IFERROR(VLOOKUP($D313,'Informations sur les produits'!$A$3:$H$10000,8,FALSE),"0")</f>
        <v>0</v>
      </c>
      <c r="K313" s="4"/>
      <c r="L313" s="33" t="str">
        <f>IFERROR(VLOOKUP($J313,'Informations sur les produits'!$A$3:$H$10000,8,FALSE),"0")</f>
        <v>0</v>
      </c>
      <c r="N313" s="8"/>
      <c r="O313" s="33" t="str">
        <f>IFERROR(VLOOKUP($M313,'Informations sur les produits'!$A$3:$H$10000,8,FALSE),"0")</f>
        <v>0</v>
      </c>
      <c r="P313" s="33">
        <f t="shared" si="16"/>
        <v>0</v>
      </c>
      <c r="Q313" s="31" t="str">
        <f t="shared" si="17"/>
        <v/>
      </c>
      <c r="R313" s="32" t="str">
        <f>IFERROR(VLOOKUP($D313,'Informations sur les produits'!$A$3:$B$15000,2,FALSE),"")</f>
        <v/>
      </c>
      <c r="V313">
        <f t="shared" si="18"/>
        <v>0</v>
      </c>
      <c r="W313">
        <f t="shared" si="19"/>
        <v>0</v>
      </c>
    </row>
    <row r="314" spans="5:23" x14ac:dyDescent="0.25">
      <c r="E314" s="4"/>
      <c r="F314" s="4"/>
      <c r="G314" s="33" t="str">
        <f>IFERROR(VLOOKUP($D314,'Informations sur les produits'!$A$3:$H$10000,8,FALSE),"0")</f>
        <v>0</v>
      </c>
      <c r="K314" s="4"/>
      <c r="L314" s="33" t="str">
        <f>IFERROR(VLOOKUP($J314,'Informations sur les produits'!$A$3:$H$10000,8,FALSE),"0")</f>
        <v>0</v>
      </c>
      <c r="N314" s="8"/>
      <c r="O314" s="33" t="str">
        <f>IFERROR(VLOOKUP($M314,'Informations sur les produits'!$A$3:$H$10000,8,FALSE),"0")</f>
        <v>0</v>
      </c>
      <c r="P314" s="33">
        <f t="shared" si="16"/>
        <v>0</v>
      </c>
      <c r="Q314" s="31" t="str">
        <f t="shared" si="17"/>
        <v/>
      </c>
      <c r="R314" s="32" t="str">
        <f>IFERROR(VLOOKUP($D314,'Informations sur les produits'!$A$3:$B$15000,2,FALSE),"")</f>
        <v/>
      </c>
      <c r="V314">
        <f t="shared" si="18"/>
        <v>0</v>
      </c>
      <c r="W314">
        <f t="shared" si="19"/>
        <v>0</v>
      </c>
    </row>
    <row r="315" spans="5:23" x14ac:dyDescent="0.25">
      <c r="E315" s="4"/>
      <c r="F315" s="4"/>
      <c r="G315" s="33" t="str">
        <f>IFERROR(VLOOKUP($D315,'Informations sur les produits'!$A$3:$H$10000,8,FALSE),"0")</f>
        <v>0</v>
      </c>
      <c r="K315" s="4"/>
      <c r="L315" s="33" t="str">
        <f>IFERROR(VLOOKUP($J315,'Informations sur les produits'!$A$3:$H$10000,8,FALSE),"0")</f>
        <v>0</v>
      </c>
      <c r="N315" s="8"/>
      <c r="O315" s="33" t="str">
        <f>IFERROR(VLOOKUP($M315,'Informations sur les produits'!$A$3:$H$10000,8,FALSE),"0")</f>
        <v>0</v>
      </c>
      <c r="P315" s="33">
        <f t="shared" si="16"/>
        <v>0</v>
      </c>
      <c r="Q315" s="31" t="str">
        <f t="shared" si="17"/>
        <v/>
      </c>
      <c r="R315" s="32" t="str">
        <f>IFERROR(VLOOKUP($D315,'Informations sur les produits'!$A$3:$B$15000,2,FALSE),"")</f>
        <v/>
      </c>
      <c r="V315">
        <f t="shared" si="18"/>
        <v>0</v>
      </c>
      <c r="W315">
        <f t="shared" si="19"/>
        <v>0</v>
      </c>
    </row>
    <row r="316" spans="5:23" x14ac:dyDescent="0.25">
      <c r="E316" s="4"/>
      <c r="F316" s="4"/>
      <c r="G316" s="33" t="str">
        <f>IFERROR(VLOOKUP($D316,'Informations sur les produits'!$A$3:$H$10000,8,FALSE),"0")</f>
        <v>0</v>
      </c>
      <c r="K316" s="4"/>
      <c r="L316" s="33" t="str">
        <f>IFERROR(VLOOKUP($J316,'Informations sur les produits'!$A$3:$H$10000,8,FALSE),"0")</f>
        <v>0</v>
      </c>
      <c r="N316" s="8"/>
      <c r="O316" s="33" t="str">
        <f>IFERROR(VLOOKUP($M316,'Informations sur les produits'!$A$3:$H$10000,8,FALSE),"0")</f>
        <v>0</v>
      </c>
      <c r="P316" s="33">
        <f t="shared" si="16"/>
        <v>0</v>
      </c>
      <c r="Q316" s="31" t="str">
        <f t="shared" si="17"/>
        <v/>
      </c>
      <c r="R316" s="32" t="str">
        <f>IFERROR(VLOOKUP($D316,'Informations sur les produits'!$A$3:$B$15000,2,FALSE),"")</f>
        <v/>
      </c>
      <c r="V316">
        <f t="shared" si="18"/>
        <v>0</v>
      </c>
      <c r="W316">
        <f t="shared" si="19"/>
        <v>0</v>
      </c>
    </row>
    <row r="317" spans="5:23" x14ac:dyDescent="0.25">
      <c r="E317" s="4"/>
      <c r="F317" s="4"/>
      <c r="G317" s="33" t="str">
        <f>IFERROR(VLOOKUP($D317,'Informations sur les produits'!$A$3:$H$10000,8,FALSE),"0")</f>
        <v>0</v>
      </c>
      <c r="K317" s="4"/>
      <c r="L317" s="33" t="str">
        <f>IFERROR(VLOOKUP($J317,'Informations sur les produits'!$A$3:$H$10000,8,FALSE),"0")</f>
        <v>0</v>
      </c>
      <c r="N317" s="8"/>
      <c r="O317" s="33" t="str">
        <f>IFERROR(VLOOKUP($M317,'Informations sur les produits'!$A$3:$H$10000,8,FALSE),"0")</f>
        <v>0</v>
      </c>
      <c r="P317" s="33">
        <f t="shared" si="16"/>
        <v>0</v>
      </c>
      <c r="Q317" s="31" t="str">
        <f t="shared" si="17"/>
        <v/>
      </c>
      <c r="R317" s="32" t="str">
        <f>IFERROR(VLOOKUP($D317,'Informations sur les produits'!$A$3:$B$15000,2,FALSE),"")</f>
        <v/>
      </c>
      <c r="V317">
        <f t="shared" si="18"/>
        <v>0</v>
      </c>
      <c r="W317">
        <f t="shared" si="19"/>
        <v>0</v>
      </c>
    </row>
    <row r="318" spans="5:23" x14ac:dyDescent="0.25">
      <c r="E318" s="4"/>
      <c r="F318" s="4"/>
      <c r="G318" s="33" t="str">
        <f>IFERROR(VLOOKUP($D318,'Informations sur les produits'!$A$3:$H$10000,8,FALSE),"0")</f>
        <v>0</v>
      </c>
      <c r="K318" s="4"/>
      <c r="L318" s="33" t="str">
        <f>IFERROR(VLOOKUP($J318,'Informations sur les produits'!$A$3:$H$10000,8,FALSE),"0")</f>
        <v>0</v>
      </c>
      <c r="N318" s="8"/>
      <c r="O318" s="33" t="str">
        <f>IFERROR(VLOOKUP($M318,'Informations sur les produits'!$A$3:$H$10000,8,FALSE),"0")</f>
        <v>0</v>
      </c>
      <c r="P318" s="33">
        <f t="shared" si="16"/>
        <v>0</v>
      </c>
      <c r="Q318" s="31" t="str">
        <f t="shared" si="17"/>
        <v/>
      </c>
      <c r="R318" s="32" t="str">
        <f>IFERROR(VLOOKUP($D318,'Informations sur les produits'!$A$3:$B$15000,2,FALSE),"")</f>
        <v/>
      </c>
      <c r="V318">
        <f t="shared" si="18"/>
        <v>0</v>
      </c>
      <c r="W318">
        <f t="shared" si="19"/>
        <v>0</v>
      </c>
    </row>
    <row r="319" spans="5:23" x14ac:dyDescent="0.25">
      <c r="E319" s="4"/>
      <c r="F319" s="4"/>
      <c r="G319" s="33" t="str">
        <f>IFERROR(VLOOKUP($D319,'Informations sur les produits'!$A$3:$H$10000,8,FALSE),"0")</f>
        <v>0</v>
      </c>
      <c r="K319" s="4"/>
      <c r="L319" s="33" t="str">
        <f>IFERROR(VLOOKUP($J319,'Informations sur les produits'!$A$3:$H$10000,8,FALSE),"0")</f>
        <v>0</v>
      </c>
      <c r="N319" s="8"/>
      <c r="O319" s="33" t="str">
        <f>IFERROR(VLOOKUP($M319,'Informations sur les produits'!$A$3:$H$10000,8,FALSE),"0")</f>
        <v>0</v>
      </c>
      <c r="P319" s="33">
        <f t="shared" si="16"/>
        <v>0</v>
      </c>
      <c r="Q319" s="31" t="str">
        <f t="shared" si="17"/>
        <v/>
      </c>
      <c r="R319" s="32" t="str">
        <f>IFERROR(VLOOKUP($D319,'Informations sur les produits'!$A$3:$B$15000,2,FALSE),"")</f>
        <v/>
      </c>
      <c r="V319">
        <f t="shared" si="18"/>
        <v>0</v>
      </c>
      <c r="W319">
        <f t="shared" si="19"/>
        <v>0</v>
      </c>
    </row>
    <row r="320" spans="5:23" x14ac:dyDescent="0.25">
      <c r="E320" s="4"/>
      <c r="F320" s="4"/>
      <c r="G320" s="33" t="str">
        <f>IFERROR(VLOOKUP($D320,'Informations sur les produits'!$A$3:$H$10000,8,FALSE),"0")</f>
        <v>0</v>
      </c>
      <c r="K320" s="4"/>
      <c r="L320" s="33" t="str">
        <f>IFERROR(VLOOKUP($J320,'Informations sur les produits'!$A$3:$H$10000,8,FALSE),"0")</f>
        <v>0</v>
      </c>
      <c r="N320" s="8"/>
      <c r="O320" s="33" t="str">
        <f>IFERROR(VLOOKUP($M320,'Informations sur les produits'!$A$3:$H$10000,8,FALSE),"0")</f>
        <v>0</v>
      </c>
      <c r="P320" s="33">
        <f t="shared" si="16"/>
        <v>0</v>
      </c>
      <c r="Q320" s="31" t="str">
        <f t="shared" si="17"/>
        <v/>
      </c>
      <c r="R320" s="32" t="str">
        <f>IFERROR(VLOOKUP($D320,'Informations sur les produits'!$A$3:$B$15000,2,FALSE),"")</f>
        <v/>
      </c>
      <c r="V320">
        <f t="shared" si="18"/>
        <v>0</v>
      </c>
      <c r="W320">
        <f t="shared" si="19"/>
        <v>0</v>
      </c>
    </row>
    <row r="321" spans="5:23" x14ac:dyDescent="0.25">
      <c r="E321" s="4"/>
      <c r="F321" s="4"/>
      <c r="G321" s="33" t="str">
        <f>IFERROR(VLOOKUP($D321,'Informations sur les produits'!$A$3:$H$10000,8,FALSE),"0")</f>
        <v>0</v>
      </c>
      <c r="K321" s="4"/>
      <c r="L321" s="33" t="str">
        <f>IFERROR(VLOOKUP($J321,'Informations sur les produits'!$A$3:$H$10000,8,FALSE),"0")</f>
        <v>0</v>
      </c>
      <c r="N321" s="8"/>
      <c r="O321" s="33" t="str">
        <f>IFERROR(VLOOKUP($M321,'Informations sur les produits'!$A$3:$H$10000,8,FALSE),"0")</f>
        <v>0</v>
      </c>
      <c r="P321" s="33">
        <f t="shared" si="16"/>
        <v>0</v>
      </c>
      <c r="Q321" s="31" t="str">
        <f t="shared" si="17"/>
        <v/>
      </c>
      <c r="R321" s="32" t="str">
        <f>IFERROR(VLOOKUP($D321,'Informations sur les produits'!$A$3:$B$15000,2,FALSE),"")</f>
        <v/>
      </c>
      <c r="V321">
        <f t="shared" si="18"/>
        <v>0</v>
      </c>
      <c r="W321">
        <f t="shared" si="19"/>
        <v>0</v>
      </c>
    </row>
    <row r="322" spans="5:23" x14ac:dyDescent="0.25">
      <c r="E322" s="4"/>
      <c r="F322" s="4"/>
      <c r="G322" s="33" t="str">
        <f>IFERROR(VLOOKUP($D322,'Informations sur les produits'!$A$3:$H$10000,8,FALSE),"0")</f>
        <v>0</v>
      </c>
      <c r="K322" s="4"/>
      <c r="L322" s="33" t="str">
        <f>IFERROR(VLOOKUP($J322,'Informations sur les produits'!$A$3:$H$10000,8,FALSE),"0")</f>
        <v>0</v>
      </c>
      <c r="N322" s="8"/>
      <c r="O322" s="33" t="str">
        <f>IFERROR(VLOOKUP($M322,'Informations sur les produits'!$A$3:$H$10000,8,FALSE),"0")</f>
        <v>0</v>
      </c>
      <c r="P322" s="33">
        <f t="shared" si="16"/>
        <v>0</v>
      </c>
      <c r="Q322" s="31" t="str">
        <f t="shared" si="17"/>
        <v/>
      </c>
      <c r="R322" s="32" t="str">
        <f>IFERROR(VLOOKUP($D322,'Informations sur les produits'!$A$3:$B$15000,2,FALSE),"")</f>
        <v/>
      </c>
      <c r="V322">
        <f t="shared" si="18"/>
        <v>0</v>
      </c>
      <c r="W322">
        <f t="shared" si="19"/>
        <v>0</v>
      </c>
    </row>
    <row r="323" spans="5:23" x14ac:dyDescent="0.25">
      <c r="E323" s="4"/>
      <c r="F323" s="4"/>
      <c r="G323" s="33" t="str">
        <f>IFERROR(VLOOKUP($D323,'Informations sur les produits'!$A$3:$H$10000,8,FALSE),"0")</f>
        <v>0</v>
      </c>
      <c r="K323" s="4"/>
      <c r="L323" s="33" t="str">
        <f>IFERROR(VLOOKUP($J323,'Informations sur les produits'!$A$3:$H$10000,8,FALSE),"0")</f>
        <v>0</v>
      </c>
      <c r="N323" s="8"/>
      <c r="O323" s="33" t="str">
        <f>IFERROR(VLOOKUP($M323,'Informations sur les produits'!$A$3:$H$10000,8,FALSE),"0")</f>
        <v>0</v>
      </c>
      <c r="P323" s="33">
        <f t="shared" si="16"/>
        <v>0</v>
      </c>
      <c r="Q323" s="31" t="str">
        <f t="shared" si="17"/>
        <v/>
      </c>
      <c r="R323" s="32" t="str">
        <f>IFERROR(VLOOKUP($D323,'Informations sur les produits'!$A$3:$B$15000,2,FALSE),"")</f>
        <v/>
      </c>
      <c r="V323">
        <f t="shared" si="18"/>
        <v>0</v>
      </c>
      <c r="W323">
        <f t="shared" si="19"/>
        <v>0</v>
      </c>
    </row>
    <row r="324" spans="5:23" x14ac:dyDescent="0.25">
      <c r="E324" s="4"/>
      <c r="F324" s="4"/>
      <c r="G324" s="33" t="str">
        <f>IFERROR(VLOOKUP($D324,'Informations sur les produits'!$A$3:$H$10000,8,FALSE),"0")</f>
        <v>0</v>
      </c>
      <c r="K324" s="4"/>
      <c r="L324" s="33" t="str">
        <f>IFERROR(VLOOKUP($J324,'Informations sur les produits'!$A$3:$H$10000,8,FALSE),"0")</f>
        <v>0</v>
      </c>
      <c r="N324" s="8"/>
      <c r="O324" s="33" t="str">
        <f>IFERROR(VLOOKUP($M324,'Informations sur les produits'!$A$3:$H$10000,8,FALSE),"0")</f>
        <v>0</v>
      </c>
      <c r="P324" s="33">
        <f t="shared" ref="P324:P387" si="20">IFERROR((($E324-$F324)*$G324+$K324*$L324+$N324*$O324),"")</f>
        <v>0</v>
      </c>
      <c r="Q324" s="31" t="str">
        <f t="shared" ref="Q324:Q387" si="21">IFERROR((((($E324-$F324)*$G324+$K324*$L324+$N324*$O324)*1000)/(($E324-$F324)+$K324+$N324)),"")</f>
        <v/>
      </c>
      <c r="R324" s="32" t="str">
        <f>IFERROR(VLOOKUP($D324,'Informations sur les produits'!$A$3:$B$15000,2,FALSE),"")</f>
        <v/>
      </c>
      <c r="V324">
        <f t="shared" ref="V324:V387" si="22">IFERROR(P324*1000,"")</f>
        <v>0</v>
      </c>
      <c r="W324">
        <f t="shared" ref="W324:W387" si="23">IFERROR(($E324-$F324)+$K324+$N324,"")</f>
        <v>0</v>
      </c>
    </row>
    <row r="325" spans="5:23" x14ac:dyDescent="0.25">
      <c r="E325" s="4"/>
      <c r="F325" s="4"/>
      <c r="G325" s="33" t="str">
        <f>IFERROR(VLOOKUP($D325,'Informations sur les produits'!$A$3:$H$10000,8,FALSE),"0")</f>
        <v>0</v>
      </c>
      <c r="K325" s="4"/>
      <c r="L325" s="33" t="str">
        <f>IFERROR(VLOOKUP($J325,'Informations sur les produits'!$A$3:$H$10000,8,FALSE),"0")</f>
        <v>0</v>
      </c>
      <c r="N325" s="8"/>
      <c r="O325" s="33" t="str">
        <f>IFERROR(VLOOKUP($M325,'Informations sur les produits'!$A$3:$H$10000,8,FALSE),"0")</f>
        <v>0</v>
      </c>
      <c r="P325" s="33">
        <f t="shared" si="20"/>
        <v>0</v>
      </c>
      <c r="Q325" s="31" t="str">
        <f t="shared" si="21"/>
        <v/>
      </c>
      <c r="R325" s="32" t="str">
        <f>IFERROR(VLOOKUP($D325,'Informations sur les produits'!$A$3:$B$15000,2,FALSE),"")</f>
        <v/>
      </c>
      <c r="V325">
        <f t="shared" si="22"/>
        <v>0</v>
      </c>
      <c r="W325">
        <f t="shared" si="23"/>
        <v>0</v>
      </c>
    </row>
    <row r="326" spans="5:23" x14ac:dyDescent="0.25">
      <c r="E326" s="4"/>
      <c r="F326" s="4"/>
      <c r="G326" s="33" t="str">
        <f>IFERROR(VLOOKUP($D326,'Informations sur les produits'!$A$3:$H$10000,8,FALSE),"0")</f>
        <v>0</v>
      </c>
      <c r="K326" s="4"/>
      <c r="L326" s="33" t="str">
        <f>IFERROR(VLOOKUP($J326,'Informations sur les produits'!$A$3:$H$10000,8,FALSE),"0")</f>
        <v>0</v>
      </c>
      <c r="N326" s="8"/>
      <c r="O326" s="33" t="str">
        <f>IFERROR(VLOOKUP($M326,'Informations sur les produits'!$A$3:$H$10000,8,FALSE),"0")</f>
        <v>0</v>
      </c>
      <c r="P326" s="33">
        <f t="shared" si="20"/>
        <v>0</v>
      </c>
      <c r="Q326" s="31" t="str">
        <f t="shared" si="21"/>
        <v/>
      </c>
      <c r="R326" s="32" t="str">
        <f>IFERROR(VLOOKUP($D326,'Informations sur les produits'!$A$3:$B$15000,2,FALSE),"")</f>
        <v/>
      </c>
      <c r="V326">
        <f t="shared" si="22"/>
        <v>0</v>
      </c>
      <c r="W326">
        <f t="shared" si="23"/>
        <v>0</v>
      </c>
    </row>
    <row r="327" spans="5:23" x14ac:dyDescent="0.25">
      <c r="E327" s="4"/>
      <c r="F327" s="4"/>
      <c r="G327" s="33" t="str">
        <f>IFERROR(VLOOKUP($D327,'Informations sur les produits'!$A$3:$H$10000,8,FALSE),"0")</f>
        <v>0</v>
      </c>
      <c r="K327" s="4"/>
      <c r="L327" s="33" t="str">
        <f>IFERROR(VLOOKUP($J327,'Informations sur les produits'!$A$3:$H$10000,8,FALSE),"0")</f>
        <v>0</v>
      </c>
      <c r="N327" s="8"/>
      <c r="O327" s="33" t="str">
        <f>IFERROR(VLOOKUP($M327,'Informations sur les produits'!$A$3:$H$10000,8,FALSE),"0")</f>
        <v>0</v>
      </c>
      <c r="P327" s="33">
        <f t="shared" si="20"/>
        <v>0</v>
      </c>
      <c r="Q327" s="31" t="str">
        <f t="shared" si="21"/>
        <v/>
      </c>
      <c r="R327" s="32" t="str">
        <f>IFERROR(VLOOKUP($D327,'Informations sur les produits'!$A$3:$B$15000,2,FALSE),"")</f>
        <v/>
      </c>
      <c r="V327">
        <f t="shared" si="22"/>
        <v>0</v>
      </c>
      <c r="W327">
        <f t="shared" si="23"/>
        <v>0</v>
      </c>
    </row>
    <row r="328" spans="5:23" x14ac:dyDescent="0.25">
      <c r="E328" s="4"/>
      <c r="F328" s="4"/>
      <c r="G328" s="33" t="str">
        <f>IFERROR(VLOOKUP($D328,'Informations sur les produits'!$A$3:$H$10000,8,FALSE),"0")</f>
        <v>0</v>
      </c>
      <c r="K328" s="4"/>
      <c r="L328" s="33" t="str">
        <f>IFERROR(VLOOKUP($J328,'Informations sur les produits'!$A$3:$H$10000,8,FALSE),"0")</f>
        <v>0</v>
      </c>
      <c r="N328" s="8"/>
      <c r="O328" s="33" t="str">
        <f>IFERROR(VLOOKUP($M328,'Informations sur les produits'!$A$3:$H$10000,8,FALSE),"0")</f>
        <v>0</v>
      </c>
      <c r="P328" s="33">
        <f t="shared" si="20"/>
        <v>0</v>
      </c>
      <c r="Q328" s="31" t="str">
        <f t="shared" si="21"/>
        <v/>
      </c>
      <c r="R328" s="32" t="str">
        <f>IFERROR(VLOOKUP($D328,'Informations sur les produits'!$A$3:$B$15000,2,FALSE),"")</f>
        <v/>
      </c>
      <c r="V328">
        <f t="shared" si="22"/>
        <v>0</v>
      </c>
      <c r="W328">
        <f t="shared" si="23"/>
        <v>0</v>
      </c>
    </row>
    <row r="329" spans="5:23" x14ac:dyDescent="0.25">
      <c r="E329" s="4"/>
      <c r="F329" s="4"/>
      <c r="G329" s="33" t="str">
        <f>IFERROR(VLOOKUP($D329,'Informations sur les produits'!$A$3:$H$10000,8,FALSE),"0")</f>
        <v>0</v>
      </c>
      <c r="K329" s="4"/>
      <c r="L329" s="33" t="str">
        <f>IFERROR(VLOOKUP($J329,'Informations sur les produits'!$A$3:$H$10000,8,FALSE),"0")</f>
        <v>0</v>
      </c>
      <c r="N329" s="8"/>
      <c r="O329" s="33" t="str">
        <f>IFERROR(VLOOKUP($M329,'Informations sur les produits'!$A$3:$H$10000,8,FALSE),"0")</f>
        <v>0</v>
      </c>
      <c r="P329" s="33">
        <f t="shared" si="20"/>
        <v>0</v>
      </c>
      <c r="Q329" s="31" t="str">
        <f t="shared" si="21"/>
        <v/>
      </c>
      <c r="R329" s="32" t="str">
        <f>IFERROR(VLOOKUP($D329,'Informations sur les produits'!$A$3:$B$15000,2,FALSE),"")</f>
        <v/>
      </c>
      <c r="V329">
        <f t="shared" si="22"/>
        <v>0</v>
      </c>
      <c r="W329">
        <f t="shared" si="23"/>
        <v>0</v>
      </c>
    </row>
    <row r="330" spans="5:23" x14ac:dyDescent="0.25">
      <c r="E330" s="4"/>
      <c r="F330" s="4"/>
      <c r="G330" s="33" t="str">
        <f>IFERROR(VLOOKUP($D330,'Informations sur les produits'!$A$3:$H$10000,8,FALSE),"0")</f>
        <v>0</v>
      </c>
      <c r="K330" s="4"/>
      <c r="L330" s="33" t="str">
        <f>IFERROR(VLOOKUP($J330,'Informations sur les produits'!$A$3:$H$10000,8,FALSE),"0")</f>
        <v>0</v>
      </c>
      <c r="N330" s="8"/>
      <c r="O330" s="33" t="str">
        <f>IFERROR(VLOOKUP($M330,'Informations sur les produits'!$A$3:$H$10000,8,FALSE),"0")</f>
        <v>0</v>
      </c>
      <c r="P330" s="33">
        <f t="shared" si="20"/>
        <v>0</v>
      </c>
      <c r="Q330" s="31" t="str">
        <f t="shared" si="21"/>
        <v/>
      </c>
      <c r="R330" s="32" t="str">
        <f>IFERROR(VLOOKUP($D330,'Informations sur les produits'!$A$3:$B$15000,2,FALSE),"")</f>
        <v/>
      </c>
      <c r="V330">
        <f t="shared" si="22"/>
        <v>0</v>
      </c>
      <c r="W330">
        <f t="shared" si="23"/>
        <v>0</v>
      </c>
    </row>
    <row r="331" spans="5:23" x14ac:dyDescent="0.25">
      <c r="E331" s="4"/>
      <c r="F331" s="4"/>
      <c r="G331" s="33" t="str">
        <f>IFERROR(VLOOKUP($D331,'Informations sur les produits'!$A$3:$H$10000,8,FALSE),"0")</f>
        <v>0</v>
      </c>
      <c r="K331" s="4"/>
      <c r="L331" s="33" t="str">
        <f>IFERROR(VLOOKUP($J331,'Informations sur les produits'!$A$3:$H$10000,8,FALSE),"0")</f>
        <v>0</v>
      </c>
      <c r="N331" s="8"/>
      <c r="O331" s="33" t="str">
        <f>IFERROR(VLOOKUP($M331,'Informations sur les produits'!$A$3:$H$10000,8,FALSE),"0")</f>
        <v>0</v>
      </c>
      <c r="P331" s="33">
        <f t="shared" si="20"/>
        <v>0</v>
      </c>
      <c r="Q331" s="31" t="str">
        <f t="shared" si="21"/>
        <v/>
      </c>
      <c r="R331" s="32" t="str">
        <f>IFERROR(VLOOKUP($D331,'Informations sur les produits'!$A$3:$B$15000,2,FALSE),"")</f>
        <v/>
      </c>
      <c r="V331">
        <f t="shared" si="22"/>
        <v>0</v>
      </c>
      <c r="W331">
        <f t="shared" si="23"/>
        <v>0</v>
      </c>
    </row>
    <row r="332" spans="5:23" x14ac:dyDescent="0.25">
      <c r="E332" s="4"/>
      <c r="F332" s="4"/>
      <c r="G332" s="33" t="str">
        <f>IFERROR(VLOOKUP($D332,'Informations sur les produits'!$A$3:$H$10000,8,FALSE),"0")</f>
        <v>0</v>
      </c>
      <c r="K332" s="4"/>
      <c r="L332" s="33" t="str">
        <f>IFERROR(VLOOKUP($J332,'Informations sur les produits'!$A$3:$H$10000,8,FALSE),"0")</f>
        <v>0</v>
      </c>
      <c r="N332" s="8"/>
      <c r="O332" s="33" t="str">
        <f>IFERROR(VLOOKUP($M332,'Informations sur les produits'!$A$3:$H$10000,8,FALSE),"0")</f>
        <v>0</v>
      </c>
      <c r="P332" s="33">
        <f t="shared" si="20"/>
        <v>0</v>
      </c>
      <c r="Q332" s="31" t="str">
        <f t="shared" si="21"/>
        <v/>
      </c>
      <c r="R332" s="32" t="str">
        <f>IFERROR(VLOOKUP($D332,'Informations sur les produits'!$A$3:$B$15000,2,FALSE),"")</f>
        <v/>
      </c>
      <c r="V332">
        <f t="shared" si="22"/>
        <v>0</v>
      </c>
      <c r="W332">
        <f t="shared" si="23"/>
        <v>0</v>
      </c>
    </row>
    <row r="333" spans="5:23" x14ac:dyDescent="0.25">
      <c r="E333" s="4"/>
      <c r="F333" s="4"/>
      <c r="G333" s="33" t="str">
        <f>IFERROR(VLOOKUP($D333,'Informations sur les produits'!$A$3:$H$10000,8,FALSE),"0")</f>
        <v>0</v>
      </c>
      <c r="K333" s="4"/>
      <c r="L333" s="33" t="str">
        <f>IFERROR(VLOOKUP($J333,'Informations sur les produits'!$A$3:$H$10000,8,FALSE),"0")</f>
        <v>0</v>
      </c>
      <c r="N333" s="8"/>
      <c r="O333" s="33" t="str">
        <f>IFERROR(VLOOKUP($M333,'Informations sur les produits'!$A$3:$H$10000,8,FALSE),"0")</f>
        <v>0</v>
      </c>
      <c r="P333" s="33">
        <f t="shared" si="20"/>
        <v>0</v>
      </c>
      <c r="Q333" s="31" t="str">
        <f t="shared" si="21"/>
        <v/>
      </c>
      <c r="R333" s="32" t="str">
        <f>IFERROR(VLOOKUP($D333,'Informations sur les produits'!$A$3:$B$15000,2,FALSE),"")</f>
        <v/>
      </c>
      <c r="V333">
        <f t="shared" si="22"/>
        <v>0</v>
      </c>
      <c r="W333">
        <f t="shared" si="23"/>
        <v>0</v>
      </c>
    </row>
    <row r="334" spans="5:23" x14ac:dyDescent="0.25">
      <c r="E334" s="4"/>
      <c r="F334" s="4"/>
      <c r="G334" s="33" t="str">
        <f>IFERROR(VLOOKUP($D334,'Informations sur les produits'!$A$3:$H$10000,8,FALSE),"0")</f>
        <v>0</v>
      </c>
      <c r="K334" s="4"/>
      <c r="L334" s="33" t="str">
        <f>IFERROR(VLOOKUP($J334,'Informations sur les produits'!$A$3:$H$10000,8,FALSE),"0")</f>
        <v>0</v>
      </c>
      <c r="N334" s="8"/>
      <c r="O334" s="33" t="str">
        <f>IFERROR(VLOOKUP($M334,'Informations sur les produits'!$A$3:$H$10000,8,FALSE),"0")</f>
        <v>0</v>
      </c>
      <c r="P334" s="33">
        <f t="shared" si="20"/>
        <v>0</v>
      </c>
      <c r="Q334" s="31" t="str">
        <f t="shared" si="21"/>
        <v/>
      </c>
      <c r="R334" s="32" t="str">
        <f>IFERROR(VLOOKUP($D334,'Informations sur les produits'!$A$3:$B$15000,2,FALSE),"")</f>
        <v/>
      </c>
      <c r="V334">
        <f t="shared" si="22"/>
        <v>0</v>
      </c>
      <c r="W334">
        <f t="shared" si="23"/>
        <v>0</v>
      </c>
    </row>
    <row r="335" spans="5:23" x14ac:dyDescent="0.25">
      <c r="E335" s="4"/>
      <c r="F335" s="4"/>
      <c r="G335" s="33" t="str">
        <f>IFERROR(VLOOKUP($D335,'Informations sur les produits'!$A$3:$H$10000,8,FALSE),"0")</f>
        <v>0</v>
      </c>
      <c r="K335" s="4"/>
      <c r="L335" s="33" t="str">
        <f>IFERROR(VLOOKUP($J335,'Informations sur les produits'!$A$3:$H$10000,8,FALSE),"0")</f>
        <v>0</v>
      </c>
      <c r="N335" s="8"/>
      <c r="O335" s="33" t="str">
        <f>IFERROR(VLOOKUP($M335,'Informations sur les produits'!$A$3:$H$10000,8,FALSE),"0")</f>
        <v>0</v>
      </c>
      <c r="P335" s="33">
        <f t="shared" si="20"/>
        <v>0</v>
      </c>
      <c r="Q335" s="31" t="str">
        <f t="shared" si="21"/>
        <v/>
      </c>
      <c r="R335" s="32" t="str">
        <f>IFERROR(VLOOKUP($D335,'Informations sur les produits'!$A$3:$B$15000,2,FALSE),"")</f>
        <v/>
      </c>
      <c r="V335">
        <f t="shared" si="22"/>
        <v>0</v>
      </c>
      <c r="W335">
        <f t="shared" si="23"/>
        <v>0</v>
      </c>
    </row>
    <row r="336" spans="5:23" x14ac:dyDescent="0.25">
      <c r="E336" s="4"/>
      <c r="F336" s="4"/>
      <c r="G336" s="33" t="str">
        <f>IFERROR(VLOOKUP($D336,'Informations sur les produits'!$A$3:$H$10000,8,FALSE),"0")</f>
        <v>0</v>
      </c>
      <c r="K336" s="4"/>
      <c r="L336" s="33" t="str">
        <f>IFERROR(VLOOKUP($J336,'Informations sur les produits'!$A$3:$H$10000,8,FALSE),"0")</f>
        <v>0</v>
      </c>
      <c r="N336" s="8"/>
      <c r="O336" s="33" t="str">
        <f>IFERROR(VLOOKUP($M336,'Informations sur les produits'!$A$3:$H$10000,8,FALSE),"0")</f>
        <v>0</v>
      </c>
      <c r="P336" s="33">
        <f t="shared" si="20"/>
        <v>0</v>
      </c>
      <c r="Q336" s="31" t="str">
        <f t="shared" si="21"/>
        <v/>
      </c>
      <c r="R336" s="32" t="str">
        <f>IFERROR(VLOOKUP($D336,'Informations sur les produits'!$A$3:$B$15000,2,FALSE),"")</f>
        <v/>
      </c>
      <c r="V336">
        <f t="shared" si="22"/>
        <v>0</v>
      </c>
      <c r="W336">
        <f t="shared" si="23"/>
        <v>0</v>
      </c>
    </row>
    <row r="337" spans="5:23" x14ac:dyDescent="0.25">
      <c r="E337" s="4"/>
      <c r="F337" s="4"/>
      <c r="G337" s="33" t="str">
        <f>IFERROR(VLOOKUP($D337,'Informations sur les produits'!$A$3:$H$10000,8,FALSE),"0")</f>
        <v>0</v>
      </c>
      <c r="K337" s="4"/>
      <c r="L337" s="33" t="str">
        <f>IFERROR(VLOOKUP($J337,'Informations sur les produits'!$A$3:$H$10000,8,FALSE),"0")</f>
        <v>0</v>
      </c>
      <c r="N337" s="8"/>
      <c r="O337" s="33" t="str">
        <f>IFERROR(VLOOKUP($M337,'Informations sur les produits'!$A$3:$H$10000,8,FALSE),"0")</f>
        <v>0</v>
      </c>
      <c r="P337" s="33">
        <f t="shared" si="20"/>
        <v>0</v>
      </c>
      <c r="Q337" s="31" t="str">
        <f t="shared" si="21"/>
        <v/>
      </c>
      <c r="R337" s="32" t="str">
        <f>IFERROR(VLOOKUP($D337,'Informations sur les produits'!$A$3:$B$15000,2,FALSE),"")</f>
        <v/>
      </c>
      <c r="V337">
        <f t="shared" si="22"/>
        <v>0</v>
      </c>
      <c r="W337">
        <f t="shared" si="23"/>
        <v>0</v>
      </c>
    </row>
    <row r="338" spans="5:23" x14ac:dyDescent="0.25">
      <c r="E338" s="4"/>
      <c r="F338" s="4"/>
      <c r="G338" s="33" t="str">
        <f>IFERROR(VLOOKUP($D338,'Informations sur les produits'!$A$3:$H$10000,8,FALSE),"0")</f>
        <v>0</v>
      </c>
      <c r="K338" s="4"/>
      <c r="L338" s="33" t="str">
        <f>IFERROR(VLOOKUP($J338,'Informations sur les produits'!$A$3:$H$10000,8,FALSE),"0")</f>
        <v>0</v>
      </c>
      <c r="N338" s="8"/>
      <c r="O338" s="33" t="str">
        <f>IFERROR(VLOOKUP($M338,'Informations sur les produits'!$A$3:$H$10000,8,FALSE),"0")</f>
        <v>0</v>
      </c>
      <c r="P338" s="33">
        <f t="shared" si="20"/>
        <v>0</v>
      </c>
      <c r="Q338" s="31" t="str">
        <f t="shared" si="21"/>
        <v/>
      </c>
      <c r="R338" s="32" t="str">
        <f>IFERROR(VLOOKUP($D338,'Informations sur les produits'!$A$3:$B$15000,2,FALSE),"")</f>
        <v/>
      </c>
      <c r="V338">
        <f t="shared" si="22"/>
        <v>0</v>
      </c>
      <c r="W338">
        <f t="shared" si="23"/>
        <v>0</v>
      </c>
    </row>
    <row r="339" spans="5:23" x14ac:dyDescent="0.25">
      <c r="E339" s="4"/>
      <c r="F339" s="4"/>
      <c r="G339" s="33" t="str">
        <f>IFERROR(VLOOKUP($D339,'Informations sur les produits'!$A$3:$H$10000,8,FALSE),"0")</f>
        <v>0</v>
      </c>
      <c r="K339" s="4"/>
      <c r="L339" s="33" t="str">
        <f>IFERROR(VLOOKUP($J339,'Informations sur les produits'!$A$3:$H$10000,8,FALSE),"0")</f>
        <v>0</v>
      </c>
      <c r="N339" s="8"/>
      <c r="O339" s="33" t="str">
        <f>IFERROR(VLOOKUP($M339,'Informations sur les produits'!$A$3:$H$10000,8,FALSE),"0")</f>
        <v>0</v>
      </c>
      <c r="P339" s="33">
        <f t="shared" si="20"/>
        <v>0</v>
      </c>
      <c r="Q339" s="31" t="str">
        <f t="shared" si="21"/>
        <v/>
      </c>
      <c r="R339" s="32" t="str">
        <f>IFERROR(VLOOKUP($D339,'Informations sur les produits'!$A$3:$B$15000,2,FALSE),"")</f>
        <v/>
      </c>
      <c r="V339">
        <f t="shared" si="22"/>
        <v>0</v>
      </c>
      <c r="W339">
        <f t="shared" si="23"/>
        <v>0</v>
      </c>
    </row>
    <row r="340" spans="5:23" x14ac:dyDescent="0.25">
      <c r="E340" s="4"/>
      <c r="F340" s="4"/>
      <c r="G340" s="33" t="str">
        <f>IFERROR(VLOOKUP($D340,'Informations sur les produits'!$A$3:$H$10000,8,FALSE),"0")</f>
        <v>0</v>
      </c>
      <c r="K340" s="4"/>
      <c r="L340" s="33" t="str">
        <f>IFERROR(VLOOKUP($J340,'Informations sur les produits'!$A$3:$H$10000,8,FALSE),"0")</f>
        <v>0</v>
      </c>
      <c r="N340" s="8"/>
      <c r="O340" s="33" t="str">
        <f>IFERROR(VLOOKUP($M340,'Informations sur les produits'!$A$3:$H$10000,8,FALSE),"0")</f>
        <v>0</v>
      </c>
      <c r="P340" s="33">
        <f t="shared" si="20"/>
        <v>0</v>
      </c>
      <c r="Q340" s="31" t="str">
        <f t="shared" si="21"/>
        <v/>
      </c>
      <c r="R340" s="32" t="str">
        <f>IFERROR(VLOOKUP($D340,'Informations sur les produits'!$A$3:$B$15000,2,FALSE),"")</f>
        <v/>
      </c>
      <c r="V340">
        <f t="shared" si="22"/>
        <v>0</v>
      </c>
      <c r="W340">
        <f t="shared" si="23"/>
        <v>0</v>
      </c>
    </row>
    <row r="341" spans="5:23" x14ac:dyDescent="0.25">
      <c r="E341" s="4"/>
      <c r="F341" s="4"/>
      <c r="G341" s="33" t="str">
        <f>IFERROR(VLOOKUP($D341,'Informations sur les produits'!$A$3:$H$10000,8,FALSE),"0")</f>
        <v>0</v>
      </c>
      <c r="K341" s="4"/>
      <c r="L341" s="33" t="str">
        <f>IFERROR(VLOOKUP($J341,'Informations sur les produits'!$A$3:$H$10000,8,FALSE),"0")</f>
        <v>0</v>
      </c>
      <c r="N341" s="8"/>
      <c r="O341" s="33" t="str">
        <f>IFERROR(VLOOKUP($M341,'Informations sur les produits'!$A$3:$H$10000,8,FALSE),"0")</f>
        <v>0</v>
      </c>
      <c r="P341" s="33">
        <f t="shared" si="20"/>
        <v>0</v>
      </c>
      <c r="Q341" s="31" t="str">
        <f t="shared" si="21"/>
        <v/>
      </c>
      <c r="R341" s="32" t="str">
        <f>IFERROR(VLOOKUP($D341,'Informations sur les produits'!$A$3:$B$15000,2,FALSE),"")</f>
        <v/>
      </c>
      <c r="V341">
        <f t="shared" si="22"/>
        <v>0</v>
      </c>
      <c r="W341">
        <f t="shared" si="23"/>
        <v>0</v>
      </c>
    </row>
    <row r="342" spans="5:23" x14ac:dyDescent="0.25">
      <c r="E342" s="4"/>
      <c r="F342" s="4"/>
      <c r="G342" s="33" t="str">
        <f>IFERROR(VLOOKUP($D342,'Informations sur les produits'!$A$3:$H$10000,8,FALSE),"0")</f>
        <v>0</v>
      </c>
      <c r="K342" s="4"/>
      <c r="L342" s="33" t="str">
        <f>IFERROR(VLOOKUP($J342,'Informations sur les produits'!$A$3:$H$10000,8,FALSE),"0")</f>
        <v>0</v>
      </c>
      <c r="N342" s="8"/>
      <c r="O342" s="33" t="str">
        <f>IFERROR(VLOOKUP($M342,'Informations sur les produits'!$A$3:$H$10000,8,FALSE),"0")</f>
        <v>0</v>
      </c>
      <c r="P342" s="33">
        <f t="shared" si="20"/>
        <v>0</v>
      </c>
      <c r="Q342" s="31" t="str">
        <f t="shared" si="21"/>
        <v/>
      </c>
      <c r="R342" s="32" t="str">
        <f>IFERROR(VLOOKUP($D342,'Informations sur les produits'!$A$3:$B$15000,2,FALSE),"")</f>
        <v/>
      </c>
      <c r="V342">
        <f t="shared" si="22"/>
        <v>0</v>
      </c>
      <c r="W342">
        <f t="shared" si="23"/>
        <v>0</v>
      </c>
    </row>
    <row r="343" spans="5:23" x14ac:dyDescent="0.25">
      <c r="E343" s="4"/>
      <c r="F343" s="4"/>
      <c r="G343" s="33" t="str">
        <f>IFERROR(VLOOKUP($D343,'Informations sur les produits'!$A$3:$H$10000,8,FALSE),"0")</f>
        <v>0</v>
      </c>
      <c r="K343" s="4"/>
      <c r="L343" s="33" t="str">
        <f>IFERROR(VLOOKUP($J343,'Informations sur les produits'!$A$3:$H$10000,8,FALSE),"0")</f>
        <v>0</v>
      </c>
      <c r="N343" s="8"/>
      <c r="O343" s="33" t="str">
        <f>IFERROR(VLOOKUP($M343,'Informations sur les produits'!$A$3:$H$10000,8,FALSE),"0")</f>
        <v>0</v>
      </c>
      <c r="P343" s="33">
        <f t="shared" si="20"/>
        <v>0</v>
      </c>
      <c r="Q343" s="31" t="str">
        <f t="shared" si="21"/>
        <v/>
      </c>
      <c r="R343" s="32" t="str">
        <f>IFERROR(VLOOKUP($D343,'Informations sur les produits'!$A$3:$B$15000,2,FALSE),"")</f>
        <v/>
      </c>
      <c r="V343">
        <f t="shared" si="22"/>
        <v>0</v>
      </c>
      <c r="W343">
        <f t="shared" si="23"/>
        <v>0</v>
      </c>
    </row>
    <row r="344" spans="5:23" x14ac:dyDescent="0.25">
      <c r="E344" s="4"/>
      <c r="F344" s="4"/>
      <c r="G344" s="33" t="str">
        <f>IFERROR(VLOOKUP($D344,'Informations sur les produits'!$A$3:$H$10000,8,FALSE),"0")</f>
        <v>0</v>
      </c>
      <c r="K344" s="4"/>
      <c r="L344" s="33" t="str">
        <f>IFERROR(VLOOKUP($J344,'Informations sur les produits'!$A$3:$H$10000,8,FALSE),"0")</f>
        <v>0</v>
      </c>
      <c r="N344" s="8"/>
      <c r="O344" s="33" t="str">
        <f>IFERROR(VLOOKUP($M344,'Informations sur les produits'!$A$3:$H$10000,8,FALSE),"0")</f>
        <v>0</v>
      </c>
      <c r="P344" s="33">
        <f t="shared" si="20"/>
        <v>0</v>
      </c>
      <c r="Q344" s="31" t="str">
        <f t="shared" si="21"/>
        <v/>
      </c>
      <c r="R344" s="32" t="str">
        <f>IFERROR(VLOOKUP($D344,'Informations sur les produits'!$A$3:$B$15000,2,FALSE),"")</f>
        <v/>
      </c>
      <c r="V344">
        <f t="shared" si="22"/>
        <v>0</v>
      </c>
      <c r="W344">
        <f t="shared" si="23"/>
        <v>0</v>
      </c>
    </row>
    <row r="345" spans="5:23" x14ac:dyDescent="0.25">
      <c r="E345" s="4"/>
      <c r="F345" s="4"/>
      <c r="G345" s="33" t="str">
        <f>IFERROR(VLOOKUP($D345,'Informations sur les produits'!$A$3:$H$10000,8,FALSE),"0")</f>
        <v>0</v>
      </c>
      <c r="K345" s="4"/>
      <c r="L345" s="33" t="str">
        <f>IFERROR(VLOOKUP($J345,'Informations sur les produits'!$A$3:$H$10000,8,FALSE),"0")</f>
        <v>0</v>
      </c>
      <c r="N345" s="8"/>
      <c r="O345" s="33" t="str">
        <f>IFERROR(VLOOKUP($M345,'Informations sur les produits'!$A$3:$H$10000,8,FALSE),"0")</f>
        <v>0</v>
      </c>
      <c r="P345" s="33">
        <f t="shared" si="20"/>
        <v>0</v>
      </c>
      <c r="Q345" s="31" t="str">
        <f t="shared" si="21"/>
        <v/>
      </c>
      <c r="R345" s="32" t="str">
        <f>IFERROR(VLOOKUP($D345,'Informations sur les produits'!$A$3:$B$15000,2,FALSE),"")</f>
        <v/>
      </c>
      <c r="V345">
        <f t="shared" si="22"/>
        <v>0</v>
      </c>
      <c r="W345">
        <f t="shared" si="23"/>
        <v>0</v>
      </c>
    </row>
    <row r="346" spans="5:23" x14ac:dyDescent="0.25">
      <c r="E346" s="4"/>
      <c r="F346" s="4"/>
      <c r="G346" s="33" t="str">
        <f>IFERROR(VLOOKUP($D346,'Informations sur les produits'!$A$3:$H$10000,8,FALSE),"0")</f>
        <v>0</v>
      </c>
      <c r="K346" s="4"/>
      <c r="L346" s="33" t="str">
        <f>IFERROR(VLOOKUP($J346,'Informations sur les produits'!$A$3:$H$10000,8,FALSE),"0")</f>
        <v>0</v>
      </c>
      <c r="N346" s="8"/>
      <c r="O346" s="33" t="str">
        <f>IFERROR(VLOOKUP($M346,'Informations sur les produits'!$A$3:$H$10000,8,FALSE),"0")</f>
        <v>0</v>
      </c>
      <c r="P346" s="33">
        <f t="shared" si="20"/>
        <v>0</v>
      </c>
      <c r="Q346" s="31" t="str">
        <f t="shared" si="21"/>
        <v/>
      </c>
      <c r="R346" s="32" t="str">
        <f>IFERROR(VLOOKUP($D346,'Informations sur les produits'!$A$3:$B$15000,2,FALSE),"")</f>
        <v/>
      </c>
      <c r="V346">
        <f t="shared" si="22"/>
        <v>0</v>
      </c>
      <c r="W346">
        <f t="shared" si="23"/>
        <v>0</v>
      </c>
    </row>
    <row r="347" spans="5:23" x14ac:dyDescent="0.25">
      <c r="E347" s="4"/>
      <c r="F347" s="4"/>
      <c r="G347" s="33" t="str">
        <f>IFERROR(VLOOKUP($D347,'Informations sur les produits'!$A$3:$H$10000,8,FALSE),"0")</f>
        <v>0</v>
      </c>
      <c r="K347" s="4"/>
      <c r="L347" s="33" t="str">
        <f>IFERROR(VLOOKUP($J347,'Informations sur les produits'!$A$3:$H$10000,8,FALSE),"0")</f>
        <v>0</v>
      </c>
      <c r="N347" s="8"/>
      <c r="O347" s="33" t="str">
        <f>IFERROR(VLOOKUP($M347,'Informations sur les produits'!$A$3:$H$10000,8,FALSE),"0")</f>
        <v>0</v>
      </c>
      <c r="P347" s="33">
        <f t="shared" si="20"/>
        <v>0</v>
      </c>
      <c r="Q347" s="31" t="str">
        <f t="shared" si="21"/>
        <v/>
      </c>
      <c r="R347" s="32" t="str">
        <f>IFERROR(VLOOKUP($D347,'Informations sur les produits'!$A$3:$B$15000,2,FALSE),"")</f>
        <v/>
      </c>
      <c r="V347">
        <f t="shared" si="22"/>
        <v>0</v>
      </c>
      <c r="W347">
        <f t="shared" si="23"/>
        <v>0</v>
      </c>
    </row>
    <row r="348" spans="5:23" x14ac:dyDescent="0.25">
      <c r="E348" s="4"/>
      <c r="F348" s="4"/>
      <c r="G348" s="33" t="str">
        <f>IFERROR(VLOOKUP($D348,'Informations sur les produits'!$A$3:$H$10000,8,FALSE),"0")</f>
        <v>0</v>
      </c>
      <c r="K348" s="4"/>
      <c r="L348" s="33" t="str">
        <f>IFERROR(VLOOKUP($J348,'Informations sur les produits'!$A$3:$H$10000,8,FALSE),"0")</f>
        <v>0</v>
      </c>
      <c r="N348" s="8"/>
      <c r="O348" s="33" t="str">
        <f>IFERROR(VLOOKUP($M348,'Informations sur les produits'!$A$3:$H$10000,8,FALSE),"0")</f>
        <v>0</v>
      </c>
      <c r="P348" s="33">
        <f t="shared" si="20"/>
        <v>0</v>
      </c>
      <c r="Q348" s="31" t="str">
        <f t="shared" si="21"/>
        <v/>
      </c>
      <c r="R348" s="32" t="str">
        <f>IFERROR(VLOOKUP($D348,'Informations sur les produits'!$A$3:$B$15000,2,FALSE),"")</f>
        <v/>
      </c>
      <c r="V348">
        <f t="shared" si="22"/>
        <v>0</v>
      </c>
      <c r="W348">
        <f t="shared" si="23"/>
        <v>0</v>
      </c>
    </row>
    <row r="349" spans="5:23" x14ac:dyDescent="0.25">
      <c r="E349" s="4"/>
      <c r="F349" s="4"/>
      <c r="G349" s="33" t="str">
        <f>IFERROR(VLOOKUP($D349,'Informations sur les produits'!$A$3:$H$10000,8,FALSE),"0")</f>
        <v>0</v>
      </c>
      <c r="K349" s="4"/>
      <c r="L349" s="33" t="str">
        <f>IFERROR(VLOOKUP($J349,'Informations sur les produits'!$A$3:$H$10000,8,FALSE),"0")</f>
        <v>0</v>
      </c>
      <c r="N349" s="8"/>
      <c r="O349" s="33" t="str">
        <f>IFERROR(VLOOKUP($M349,'Informations sur les produits'!$A$3:$H$10000,8,FALSE),"0")</f>
        <v>0</v>
      </c>
      <c r="P349" s="33">
        <f t="shared" si="20"/>
        <v>0</v>
      </c>
      <c r="Q349" s="31" t="str">
        <f t="shared" si="21"/>
        <v/>
      </c>
      <c r="R349" s="32" t="str">
        <f>IFERROR(VLOOKUP($D349,'Informations sur les produits'!$A$3:$B$15000,2,FALSE),"")</f>
        <v/>
      </c>
      <c r="V349">
        <f t="shared" si="22"/>
        <v>0</v>
      </c>
      <c r="W349">
        <f t="shared" si="23"/>
        <v>0</v>
      </c>
    </row>
    <row r="350" spans="5:23" x14ac:dyDescent="0.25">
      <c r="E350" s="4"/>
      <c r="F350" s="4"/>
      <c r="G350" s="33" t="str">
        <f>IFERROR(VLOOKUP($D350,'Informations sur les produits'!$A$3:$H$10000,8,FALSE),"0")</f>
        <v>0</v>
      </c>
      <c r="K350" s="4"/>
      <c r="L350" s="33" t="str">
        <f>IFERROR(VLOOKUP($J350,'Informations sur les produits'!$A$3:$H$10000,8,FALSE),"0")</f>
        <v>0</v>
      </c>
      <c r="N350" s="8"/>
      <c r="O350" s="33" t="str">
        <f>IFERROR(VLOOKUP($M350,'Informations sur les produits'!$A$3:$H$10000,8,FALSE),"0")</f>
        <v>0</v>
      </c>
      <c r="P350" s="33">
        <f t="shared" si="20"/>
        <v>0</v>
      </c>
      <c r="Q350" s="31" t="str">
        <f t="shared" si="21"/>
        <v/>
      </c>
      <c r="R350" s="32" t="str">
        <f>IFERROR(VLOOKUP($D350,'Informations sur les produits'!$A$3:$B$15000,2,FALSE),"")</f>
        <v/>
      </c>
      <c r="V350">
        <f t="shared" si="22"/>
        <v>0</v>
      </c>
      <c r="W350">
        <f t="shared" si="23"/>
        <v>0</v>
      </c>
    </row>
    <row r="351" spans="5:23" x14ac:dyDescent="0.25">
      <c r="E351" s="4"/>
      <c r="F351" s="4"/>
      <c r="G351" s="33" t="str">
        <f>IFERROR(VLOOKUP($D351,'Informations sur les produits'!$A$3:$H$10000,8,FALSE),"0")</f>
        <v>0</v>
      </c>
      <c r="K351" s="4"/>
      <c r="L351" s="33" t="str">
        <f>IFERROR(VLOOKUP($J351,'Informations sur les produits'!$A$3:$H$10000,8,FALSE),"0")</f>
        <v>0</v>
      </c>
      <c r="N351" s="8"/>
      <c r="O351" s="33" t="str">
        <f>IFERROR(VLOOKUP($M351,'Informations sur les produits'!$A$3:$H$10000,8,FALSE),"0")</f>
        <v>0</v>
      </c>
      <c r="P351" s="33">
        <f t="shared" si="20"/>
        <v>0</v>
      </c>
      <c r="Q351" s="31" t="str">
        <f t="shared" si="21"/>
        <v/>
      </c>
      <c r="R351" s="32" t="str">
        <f>IFERROR(VLOOKUP($D351,'Informations sur les produits'!$A$3:$B$15000,2,FALSE),"")</f>
        <v/>
      </c>
      <c r="V351">
        <f t="shared" si="22"/>
        <v>0</v>
      </c>
      <c r="W351">
        <f t="shared" si="23"/>
        <v>0</v>
      </c>
    </row>
    <row r="352" spans="5:23" x14ac:dyDescent="0.25">
      <c r="E352" s="4"/>
      <c r="F352" s="4"/>
      <c r="G352" s="33" t="str">
        <f>IFERROR(VLOOKUP($D352,'Informations sur les produits'!$A$3:$H$10000,8,FALSE),"0")</f>
        <v>0</v>
      </c>
      <c r="K352" s="4"/>
      <c r="L352" s="33" t="str">
        <f>IFERROR(VLOOKUP($J352,'Informations sur les produits'!$A$3:$H$10000,8,FALSE),"0")</f>
        <v>0</v>
      </c>
      <c r="N352" s="8"/>
      <c r="O352" s="33" t="str">
        <f>IFERROR(VLOOKUP($M352,'Informations sur les produits'!$A$3:$H$10000,8,FALSE),"0")</f>
        <v>0</v>
      </c>
      <c r="P352" s="33">
        <f t="shared" si="20"/>
        <v>0</v>
      </c>
      <c r="Q352" s="31" t="str">
        <f t="shared" si="21"/>
        <v/>
      </c>
      <c r="R352" s="32" t="str">
        <f>IFERROR(VLOOKUP($D352,'Informations sur les produits'!$A$3:$B$15000,2,FALSE),"")</f>
        <v/>
      </c>
      <c r="V352">
        <f t="shared" si="22"/>
        <v>0</v>
      </c>
      <c r="W352">
        <f t="shared" si="23"/>
        <v>0</v>
      </c>
    </row>
    <row r="353" spans="5:23" x14ac:dyDescent="0.25">
      <c r="E353" s="4"/>
      <c r="F353" s="4"/>
      <c r="G353" s="33" t="str">
        <f>IFERROR(VLOOKUP($D353,'Informations sur les produits'!$A$3:$H$10000,8,FALSE),"0")</f>
        <v>0</v>
      </c>
      <c r="K353" s="4"/>
      <c r="L353" s="33" t="str">
        <f>IFERROR(VLOOKUP($J353,'Informations sur les produits'!$A$3:$H$10000,8,FALSE),"0")</f>
        <v>0</v>
      </c>
      <c r="N353" s="8"/>
      <c r="O353" s="33" t="str">
        <f>IFERROR(VLOOKUP($M353,'Informations sur les produits'!$A$3:$H$10000,8,FALSE),"0")</f>
        <v>0</v>
      </c>
      <c r="P353" s="33">
        <f t="shared" si="20"/>
        <v>0</v>
      </c>
      <c r="Q353" s="31" t="str">
        <f t="shared" si="21"/>
        <v/>
      </c>
      <c r="R353" s="32" t="str">
        <f>IFERROR(VLOOKUP($D353,'Informations sur les produits'!$A$3:$B$15000,2,FALSE),"")</f>
        <v/>
      </c>
      <c r="V353">
        <f t="shared" si="22"/>
        <v>0</v>
      </c>
      <c r="W353">
        <f t="shared" si="23"/>
        <v>0</v>
      </c>
    </row>
    <row r="354" spans="5:23" x14ac:dyDescent="0.25">
      <c r="E354" s="4"/>
      <c r="F354" s="4"/>
      <c r="G354" s="33" t="str">
        <f>IFERROR(VLOOKUP($D354,'Informations sur les produits'!$A$3:$H$10000,8,FALSE),"0")</f>
        <v>0</v>
      </c>
      <c r="K354" s="4"/>
      <c r="L354" s="33" t="str">
        <f>IFERROR(VLOOKUP($J354,'Informations sur les produits'!$A$3:$H$10000,8,FALSE),"0")</f>
        <v>0</v>
      </c>
      <c r="N354" s="8"/>
      <c r="O354" s="33" t="str">
        <f>IFERROR(VLOOKUP($M354,'Informations sur les produits'!$A$3:$H$10000,8,FALSE),"0")</f>
        <v>0</v>
      </c>
      <c r="P354" s="33">
        <f t="shared" si="20"/>
        <v>0</v>
      </c>
      <c r="Q354" s="31" t="str">
        <f t="shared" si="21"/>
        <v/>
      </c>
      <c r="R354" s="32" t="str">
        <f>IFERROR(VLOOKUP($D354,'Informations sur les produits'!$A$3:$B$15000,2,FALSE),"")</f>
        <v/>
      </c>
      <c r="V354">
        <f t="shared" si="22"/>
        <v>0</v>
      </c>
      <c r="W354">
        <f t="shared" si="23"/>
        <v>0</v>
      </c>
    </row>
    <row r="355" spans="5:23" x14ac:dyDescent="0.25">
      <c r="E355" s="4"/>
      <c r="F355" s="4"/>
      <c r="G355" s="33" t="str">
        <f>IFERROR(VLOOKUP($D355,'Informations sur les produits'!$A$3:$H$10000,8,FALSE),"0")</f>
        <v>0</v>
      </c>
      <c r="K355" s="4"/>
      <c r="L355" s="33" t="str">
        <f>IFERROR(VLOOKUP($J355,'Informations sur les produits'!$A$3:$H$10000,8,FALSE),"0")</f>
        <v>0</v>
      </c>
      <c r="N355" s="8"/>
      <c r="O355" s="33" t="str">
        <f>IFERROR(VLOOKUP($M355,'Informations sur les produits'!$A$3:$H$10000,8,FALSE),"0")</f>
        <v>0</v>
      </c>
      <c r="P355" s="33">
        <f t="shared" si="20"/>
        <v>0</v>
      </c>
      <c r="Q355" s="31" t="str">
        <f t="shared" si="21"/>
        <v/>
      </c>
      <c r="R355" s="32" t="str">
        <f>IFERROR(VLOOKUP($D355,'Informations sur les produits'!$A$3:$B$15000,2,FALSE),"")</f>
        <v/>
      </c>
      <c r="V355">
        <f t="shared" si="22"/>
        <v>0</v>
      </c>
      <c r="W355">
        <f t="shared" si="23"/>
        <v>0</v>
      </c>
    </row>
    <row r="356" spans="5:23" x14ac:dyDescent="0.25">
      <c r="E356" s="4"/>
      <c r="F356" s="4"/>
      <c r="G356" s="33" t="str">
        <f>IFERROR(VLOOKUP($D356,'Informations sur les produits'!$A$3:$H$10000,8,FALSE),"0")</f>
        <v>0</v>
      </c>
      <c r="K356" s="4"/>
      <c r="L356" s="33" t="str">
        <f>IFERROR(VLOOKUP($J356,'Informations sur les produits'!$A$3:$H$10000,8,FALSE),"0")</f>
        <v>0</v>
      </c>
      <c r="N356" s="8"/>
      <c r="O356" s="33" t="str">
        <f>IFERROR(VLOOKUP($M356,'Informations sur les produits'!$A$3:$H$10000,8,FALSE),"0")</f>
        <v>0</v>
      </c>
      <c r="P356" s="33">
        <f t="shared" si="20"/>
        <v>0</v>
      </c>
      <c r="Q356" s="31" t="str">
        <f t="shared" si="21"/>
        <v/>
      </c>
      <c r="R356" s="32" t="str">
        <f>IFERROR(VLOOKUP($D356,'Informations sur les produits'!$A$3:$B$15000,2,FALSE),"")</f>
        <v/>
      </c>
      <c r="V356">
        <f t="shared" si="22"/>
        <v>0</v>
      </c>
      <c r="W356">
        <f t="shared" si="23"/>
        <v>0</v>
      </c>
    </row>
    <row r="357" spans="5:23" x14ac:dyDescent="0.25">
      <c r="E357" s="4"/>
      <c r="F357" s="4"/>
      <c r="G357" s="33" t="str">
        <f>IFERROR(VLOOKUP($D357,'Informations sur les produits'!$A$3:$H$10000,8,FALSE),"0")</f>
        <v>0</v>
      </c>
      <c r="K357" s="4"/>
      <c r="L357" s="33" t="str">
        <f>IFERROR(VLOOKUP($J357,'Informations sur les produits'!$A$3:$H$10000,8,FALSE),"0")</f>
        <v>0</v>
      </c>
      <c r="N357" s="8"/>
      <c r="O357" s="33" t="str">
        <f>IFERROR(VLOOKUP($M357,'Informations sur les produits'!$A$3:$H$10000,8,FALSE),"0")</f>
        <v>0</v>
      </c>
      <c r="P357" s="33">
        <f t="shared" si="20"/>
        <v>0</v>
      </c>
      <c r="Q357" s="31" t="str">
        <f t="shared" si="21"/>
        <v/>
      </c>
      <c r="R357" s="32" t="str">
        <f>IFERROR(VLOOKUP($D357,'Informations sur les produits'!$A$3:$B$15000,2,FALSE),"")</f>
        <v/>
      </c>
      <c r="V357">
        <f t="shared" si="22"/>
        <v>0</v>
      </c>
      <c r="W357">
        <f t="shared" si="23"/>
        <v>0</v>
      </c>
    </row>
    <row r="358" spans="5:23" x14ac:dyDescent="0.25">
      <c r="E358" s="4"/>
      <c r="F358" s="4"/>
      <c r="G358" s="33" t="str">
        <f>IFERROR(VLOOKUP($D358,'Informations sur les produits'!$A$3:$H$10000,8,FALSE),"0")</f>
        <v>0</v>
      </c>
      <c r="K358" s="4"/>
      <c r="L358" s="33" t="str">
        <f>IFERROR(VLOOKUP($J358,'Informations sur les produits'!$A$3:$H$10000,8,FALSE),"0")</f>
        <v>0</v>
      </c>
      <c r="N358" s="8"/>
      <c r="O358" s="33" t="str">
        <f>IFERROR(VLOOKUP($M358,'Informations sur les produits'!$A$3:$H$10000,8,FALSE),"0")</f>
        <v>0</v>
      </c>
      <c r="P358" s="33">
        <f t="shared" si="20"/>
        <v>0</v>
      </c>
      <c r="Q358" s="31" t="str">
        <f t="shared" si="21"/>
        <v/>
      </c>
      <c r="R358" s="32" t="str">
        <f>IFERROR(VLOOKUP($D358,'Informations sur les produits'!$A$3:$B$15000,2,FALSE),"")</f>
        <v/>
      </c>
      <c r="V358">
        <f t="shared" si="22"/>
        <v>0</v>
      </c>
      <c r="W358">
        <f t="shared" si="23"/>
        <v>0</v>
      </c>
    </row>
    <row r="359" spans="5:23" x14ac:dyDescent="0.25">
      <c r="E359" s="4"/>
      <c r="F359" s="4"/>
      <c r="G359" s="33" t="str">
        <f>IFERROR(VLOOKUP($D359,'Informations sur les produits'!$A$3:$H$10000,8,FALSE),"0")</f>
        <v>0</v>
      </c>
      <c r="K359" s="4"/>
      <c r="L359" s="33" t="str">
        <f>IFERROR(VLOOKUP($J359,'Informations sur les produits'!$A$3:$H$10000,8,FALSE),"0")</f>
        <v>0</v>
      </c>
      <c r="N359" s="8"/>
      <c r="O359" s="33" t="str">
        <f>IFERROR(VLOOKUP($M359,'Informations sur les produits'!$A$3:$H$10000,8,FALSE),"0")</f>
        <v>0</v>
      </c>
      <c r="P359" s="33">
        <f t="shared" si="20"/>
        <v>0</v>
      </c>
      <c r="Q359" s="31" t="str">
        <f t="shared" si="21"/>
        <v/>
      </c>
      <c r="R359" s="32" t="str">
        <f>IFERROR(VLOOKUP($D359,'Informations sur les produits'!$A$3:$B$15000,2,FALSE),"")</f>
        <v/>
      </c>
      <c r="V359">
        <f t="shared" si="22"/>
        <v>0</v>
      </c>
      <c r="W359">
        <f t="shared" si="23"/>
        <v>0</v>
      </c>
    </row>
    <row r="360" spans="5:23" x14ac:dyDescent="0.25">
      <c r="E360" s="4"/>
      <c r="F360" s="4"/>
      <c r="G360" s="33" t="str">
        <f>IFERROR(VLOOKUP($D360,'Informations sur les produits'!$A$3:$H$10000,8,FALSE),"0")</f>
        <v>0</v>
      </c>
      <c r="K360" s="4"/>
      <c r="L360" s="33" t="str">
        <f>IFERROR(VLOOKUP($J360,'Informations sur les produits'!$A$3:$H$10000,8,FALSE),"0")</f>
        <v>0</v>
      </c>
      <c r="N360" s="8"/>
      <c r="O360" s="33" t="str">
        <f>IFERROR(VLOOKUP($M360,'Informations sur les produits'!$A$3:$H$10000,8,FALSE),"0")</f>
        <v>0</v>
      </c>
      <c r="P360" s="33">
        <f t="shared" si="20"/>
        <v>0</v>
      </c>
      <c r="Q360" s="31" t="str">
        <f t="shared" si="21"/>
        <v/>
      </c>
      <c r="R360" s="32" t="str">
        <f>IFERROR(VLOOKUP($D360,'Informations sur les produits'!$A$3:$B$15000,2,FALSE),"")</f>
        <v/>
      </c>
      <c r="V360">
        <f t="shared" si="22"/>
        <v>0</v>
      </c>
      <c r="W360">
        <f t="shared" si="23"/>
        <v>0</v>
      </c>
    </row>
    <row r="361" spans="5:23" x14ac:dyDescent="0.25">
      <c r="E361" s="4"/>
      <c r="F361" s="4"/>
      <c r="G361" s="33" t="str">
        <f>IFERROR(VLOOKUP($D361,'Informations sur les produits'!$A$3:$H$10000,8,FALSE),"0")</f>
        <v>0</v>
      </c>
      <c r="K361" s="4"/>
      <c r="L361" s="33" t="str">
        <f>IFERROR(VLOOKUP($J361,'Informations sur les produits'!$A$3:$H$10000,8,FALSE),"0")</f>
        <v>0</v>
      </c>
      <c r="N361" s="8"/>
      <c r="O361" s="33" t="str">
        <f>IFERROR(VLOOKUP($M361,'Informations sur les produits'!$A$3:$H$10000,8,FALSE),"0")</f>
        <v>0</v>
      </c>
      <c r="P361" s="33">
        <f t="shared" si="20"/>
        <v>0</v>
      </c>
      <c r="Q361" s="31" t="str">
        <f t="shared" si="21"/>
        <v/>
      </c>
      <c r="R361" s="32" t="str">
        <f>IFERROR(VLOOKUP($D361,'Informations sur les produits'!$A$3:$B$15000,2,FALSE),"")</f>
        <v/>
      </c>
      <c r="V361">
        <f t="shared" si="22"/>
        <v>0</v>
      </c>
      <c r="W361">
        <f t="shared" si="23"/>
        <v>0</v>
      </c>
    </row>
    <row r="362" spans="5:23" x14ac:dyDescent="0.25">
      <c r="E362" s="4"/>
      <c r="F362" s="4"/>
      <c r="G362" s="33" t="str">
        <f>IFERROR(VLOOKUP($D362,'Informations sur les produits'!$A$3:$H$10000,8,FALSE),"0")</f>
        <v>0</v>
      </c>
      <c r="K362" s="4"/>
      <c r="L362" s="33" t="str">
        <f>IFERROR(VLOOKUP($J362,'Informations sur les produits'!$A$3:$H$10000,8,FALSE),"0")</f>
        <v>0</v>
      </c>
      <c r="N362" s="8"/>
      <c r="O362" s="33" t="str">
        <f>IFERROR(VLOOKUP($M362,'Informations sur les produits'!$A$3:$H$10000,8,FALSE),"0")</f>
        <v>0</v>
      </c>
      <c r="P362" s="33">
        <f t="shared" si="20"/>
        <v>0</v>
      </c>
      <c r="Q362" s="31" t="str">
        <f t="shared" si="21"/>
        <v/>
      </c>
      <c r="R362" s="32" t="str">
        <f>IFERROR(VLOOKUP($D362,'Informations sur les produits'!$A$3:$B$15000,2,FALSE),"")</f>
        <v/>
      </c>
      <c r="V362">
        <f t="shared" si="22"/>
        <v>0</v>
      </c>
      <c r="W362">
        <f t="shared" si="23"/>
        <v>0</v>
      </c>
    </row>
    <row r="363" spans="5:23" x14ac:dyDescent="0.25">
      <c r="E363" s="4"/>
      <c r="F363" s="4"/>
      <c r="G363" s="33" t="str">
        <f>IFERROR(VLOOKUP($D363,'Informations sur les produits'!$A$3:$H$10000,8,FALSE),"0")</f>
        <v>0</v>
      </c>
      <c r="K363" s="4"/>
      <c r="L363" s="33" t="str">
        <f>IFERROR(VLOOKUP($J363,'Informations sur les produits'!$A$3:$H$10000,8,FALSE),"0")</f>
        <v>0</v>
      </c>
      <c r="N363" s="8"/>
      <c r="O363" s="33" t="str">
        <f>IFERROR(VLOOKUP($M363,'Informations sur les produits'!$A$3:$H$10000,8,FALSE),"0")</f>
        <v>0</v>
      </c>
      <c r="P363" s="33">
        <f t="shared" si="20"/>
        <v>0</v>
      </c>
      <c r="Q363" s="31" t="str">
        <f t="shared" si="21"/>
        <v/>
      </c>
      <c r="R363" s="32" t="str">
        <f>IFERROR(VLOOKUP($D363,'Informations sur les produits'!$A$3:$B$15000,2,FALSE),"")</f>
        <v/>
      </c>
      <c r="V363">
        <f t="shared" si="22"/>
        <v>0</v>
      </c>
      <c r="W363">
        <f t="shared" si="23"/>
        <v>0</v>
      </c>
    </row>
    <row r="364" spans="5:23" x14ac:dyDescent="0.25">
      <c r="E364" s="4"/>
      <c r="F364" s="4"/>
      <c r="G364" s="33" t="str">
        <f>IFERROR(VLOOKUP($D364,'Informations sur les produits'!$A$3:$H$10000,8,FALSE),"0")</f>
        <v>0</v>
      </c>
      <c r="K364" s="4"/>
      <c r="L364" s="33" t="str">
        <f>IFERROR(VLOOKUP($J364,'Informations sur les produits'!$A$3:$H$10000,8,FALSE),"0")</f>
        <v>0</v>
      </c>
      <c r="N364" s="8"/>
      <c r="O364" s="33" t="str">
        <f>IFERROR(VLOOKUP($M364,'Informations sur les produits'!$A$3:$H$10000,8,FALSE),"0")</f>
        <v>0</v>
      </c>
      <c r="P364" s="33">
        <f t="shared" si="20"/>
        <v>0</v>
      </c>
      <c r="Q364" s="31" t="str">
        <f t="shared" si="21"/>
        <v/>
      </c>
      <c r="R364" s="32" t="str">
        <f>IFERROR(VLOOKUP($D364,'Informations sur les produits'!$A$3:$B$15000,2,FALSE),"")</f>
        <v/>
      </c>
      <c r="V364">
        <f t="shared" si="22"/>
        <v>0</v>
      </c>
      <c r="W364">
        <f t="shared" si="23"/>
        <v>0</v>
      </c>
    </row>
    <row r="365" spans="5:23" x14ac:dyDescent="0.25">
      <c r="E365" s="4"/>
      <c r="F365" s="4"/>
      <c r="G365" s="33" t="str">
        <f>IFERROR(VLOOKUP($D365,'Informations sur les produits'!$A$3:$H$10000,8,FALSE),"0")</f>
        <v>0</v>
      </c>
      <c r="K365" s="4"/>
      <c r="L365" s="33" t="str">
        <f>IFERROR(VLOOKUP($J365,'Informations sur les produits'!$A$3:$H$10000,8,FALSE),"0")</f>
        <v>0</v>
      </c>
      <c r="N365" s="8"/>
      <c r="O365" s="33" t="str">
        <f>IFERROR(VLOOKUP($M365,'Informations sur les produits'!$A$3:$H$10000,8,FALSE),"0")</f>
        <v>0</v>
      </c>
      <c r="P365" s="33">
        <f t="shared" si="20"/>
        <v>0</v>
      </c>
      <c r="Q365" s="31" t="str">
        <f t="shared" si="21"/>
        <v/>
      </c>
      <c r="R365" s="32" t="str">
        <f>IFERROR(VLOOKUP($D365,'Informations sur les produits'!$A$3:$B$15000,2,FALSE),"")</f>
        <v/>
      </c>
      <c r="V365">
        <f t="shared" si="22"/>
        <v>0</v>
      </c>
      <c r="W365">
        <f t="shared" si="23"/>
        <v>0</v>
      </c>
    </row>
    <row r="366" spans="5:23" x14ac:dyDescent="0.25">
      <c r="E366" s="4"/>
      <c r="F366" s="4"/>
      <c r="G366" s="33" t="str">
        <f>IFERROR(VLOOKUP($D366,'Informations sur les produits'!$A$3:$H$10000,8,FALSE),"0")</f>
        <v>0</v>
      </c>
      <c r="K366" s="4"/>
      <c r="L366" s="33" t="str">
        <f>IFERROR(VLOOKUP($J366,'Informations sur les produits'!$A$3:$H$10000,8,FALSE),"0")</f>
        <v>0</v>
      </c>
      <c r="N366" s="8"/>
      <c r="O366" s="33" t="str">
        <f>IFERROR(VLOOKUP($M366,'Informations sur les produits'!$A$3:$H$10000,8,FALSE),"0")</f>
        <v>0</v>
      </c>
      <c r="P366" s="33">
        <f t="shared" si="20"/>
        <v>0</v>
      </c>
      <c r="Q366" s="31" t="str">
        <f t="shared" si="21"/>
        <v/>
      </c>
      <c r="R366" s="32" t="str">
        <f>IFERROR(VLOOKUP($D366,'Informations sur les produits'!$A$3:$B$15000,2,FALSE),"")</f>
        <v/>
      </c>
      <c r="V366">
        <f t="shared" si="22"/>
        <v>0</v>
      </c>
      <c r="W366">
        <f t="shared" si="23"/>
        <v>0</v>
      </c>
    </row>
    <row r="367" spans="5:23" x14ac:dyDescent="0.25">
      <c r="E367" s="4"/>
      <c r="F367" s="4"/>
      <c r="G367" s="33" t="str">
        <f>IFERROR(VLOOKUP($D367,'Informations sur les produits'!$A$3:$H$10000,8,FALSE),"0")</f>
        <v>0</v>
      </c>
      <c r="K367" s="4"/>
      <c r="L367" s="33" t="str">
        <f>IFERROR(VLOOKUP($J367,'Informations sur les produits'!$A$3:$H$10000,8,FALSE),"0")</f>
        <v>0</v>
      </c>
      <c r="N367" s="8"/>
      <c r="O367" s="33" t="str">
        <f>IFERROR(VLOOKUP($M367,'Informations sur les produits'!$A$3:$H$10000,8,FALSE),"0")</f>
        <v>0</v>
      </c>
      <c r="P367" s="33">
        <f t="shared" si="20"/>
        <v>0</v>
      </c>
      <c r="Q367" s="31" t="str">
        <f t="shared" si="21"/>
        <v/>
      </c>
      <c r="R367" s="32" t="str">
        <f>IFERROR(VLOOKUP($D367,'Informations sur les produits'!$A$3:$B$15000,2,FALSE),"")</f>
        <v/>
      </c>
      <c r="V367">
        <f t="shared" si="22"/>
        <v>0</v>
      </c>
      <c r="W367">
        <f t="shared" si="23"/>
        <v>0</v>
      </c>
    </row>
    <row r="368" spans="5:23" x14ac:dyDescent="0.25">
      <c r="E368" s="4"/>
      <c r="F368" s="4"/>
      <c r="G368" s="33" t="str">
        <f>IFERROR(VLOOKUP($D368,'Informations sur les produits'!$A$3:$H$10000,8,FALSE),"0")</f>
        <v>0</v>
      </c>
      <c r="K368" s="4"/>
      <c r="L368" s="33" t="str">
        <f>IFERROR(VLOOKUP($J368,'Informations sur les produits'!$A$3:$H$10000,8,FALSE),"0")</f>
        <v>0</v>
      </c>
      <c r="N368" s="8"/>
      <c r="O368" s="33" t="str">
        <f>IFERROR(VLOOKUP($M368,'Informations sur les produits'!$A$3:$H$10000,8,FALSE),"0")</f>
        <v>0</v>
      </c>
      <c r="P368" s="33">
        <f t="shared" si="20"/>
        <v>0</v>
      </c>
      <c r="Q368" s="31" t="str">
        <f t="shared" si="21"/>
        <v/>
      </c>
      <c r="R368" s="32" t="str">
        <f>IFERROR(VLOOKUP($D368,'Informations sur les produits'!$A$3:$B$15000,2,FALSE),"")</f>
        <v/>
      </c>
      <c r="V368">
        <f t="shared" si="22"/>
        <v>0</v>
      </c>
      <c r="W368">
        <f t="shared" si="23"/>
        <v>0</v>
      </c>
    </row>
    <row r="369" spans="5:23" x14ac:dyDescent="0.25">
      <c r="E369" s="4"/>
      <c r="F369" s="4"/>
      <c r="G369" s="33" t="str">
        <f>IFERROR(VLOOKUP($D369,'Informations sur les produits'!$A$3:$H$10000,8,FALSE),"0")</f>
        <v>0</v>
      </c>
      <c r="K369" s="4"/>
      <c r="L369" s="33" t="str">
        <f>IFERROR(VLOOKUP($J369,'Informations sur les produits'!$A$3:$H$10000,8,FALSE),"0")</f>
        <v>0</v>
      </c>
      <c r="N369" s="8"/>
      <c r="O369" s="33" t="str">
        <f>IFERROR(VLOOKUP($M369,'Informations sur les produits'!$A$3:$H$10000,8,FALSE),"0")</f>
        <v>0</v>
      </c>
      <c r="P369" s="33">
        <f t="shared" si="20"/>
        <v>0</v>
      </c>
      <c r="Q369" s="31" t="str">
        <f t="shared" si="21"/>
        <v/>
      </c>
      <c r="R369" s="32" t="str">
        <f>IFERROR(VLOOKUP($D369,'Informations sur les produits'!$A$3:$B$15000,2,FALSE),"")</f>
        <v/>
      </c>
      <c r="V369">
        <f t="shared" si="22"/>
        <v>0</v>
      </c>
      <c r="W369">
        <f t="shared" si="23"/>
        <v>0</v>
      </c>
    </row>
    <row r="370" spans="5:23" x14ac:dyDescent="0.25">
      <c r="E370" s="4"/>
      <c r="F370" s="4"/>
      <c r="G370" s="33" t="str">
        <f>IFERROR(VLOOKUP($D370,'Informations sur les produits'!$A$3:$H$10000,8,FALSE),"0")</f>
        <v>0</v>
      </c>
      <c r="K370" s="4"/>
      <c r="L370" s="33" t="str">
        <f>IFERROR(VLOOKUP($J370,'Informations sur les produits'!$A$3:$H$10000,8,FALSE),"0")</f>
        <v>0</v>
      </c>
      <c r="N370" s="8"/>
      <c r="O370" s="33" t="str">
        <f>IFERROR(VLOOKUP($M370,'Informations sur les produits'!$A$3:$H$10000,8,FALSE),"0")</f>
        <v>0</v>
      </c>
      <c r="P370" s="33">
        <f t="shared" si="20"/>
        <v>0</v>
      </c>
      <c r="Q370" s="31" t="str">
        <f t="shared" si="21"/>
        <v/>
      </c>
      <c r="R370" s="32" t="str">
        <f>IFERROR(VLOOKUP($D370,'Informations sur les produits'!$A$3:$B$15000,2,FALSE),"")</f>
        <v/>
      </c>
      <c r="V370">
        <f t="shared" si="22"/>
        <v>0</v>
      </c>
      <c r="W370">
        <f t="shared" si="23"/>
        <v>0</v>
      </c>
    </row>
    <row r="371" spans="5:23" x14ac:dyDescent="0.25">
      <c r="E371" s="4"/>
      <c r="F371" s="4"/>
      <c r="G371" s="33" t="str">
        <f>IFERROR(VLOOKUP($D371,'Informations sur les produits'!$A$3:$H$10000,8,FALSE),"0")</f>
        <v>0</v>
      </c>
      <c r="K371" s="4"/>
      <c r="L371" s="33" t="str">
        <f>IFERROR(VLOOKUP($J371,'Informations sur les produits'!$A$3:$H$10000,8,FALSE),"0")</f>
        <v>0</v>
      </c>
      <c r="N371" s="8"/>
      <c r="O371" s="33" t="str">
        <f>IFERROR(VLOOKUP($M371,'Informations sur les produits'!$A$3:$H$10000,8,FALSE),"0")</f>
        <v>0</v>
      </c>
      <c r="P371" s="33">
        <f t="shared" si="20"/>
        <v>0</v>
      </c>
      <c r="Q371" s="31" t="str">
        <f t="shared" si="21"/>
        <v/>
      </c>
      <c r="R371" s="32" t="str">
        <f>IFERROR(VLOOKUP($D371,'Informations sur les produits'!$A$3:$B$15000,2,FALSE),"")</f>
        <v/>
      </c>
      <c r="V371">
        <f t="shared" si="22"/>
        <v>0</v>
      </c>
      <c r="W371">
        <f t="shared" si="23"/>
        <v>0</v>
      </c>
    </row>
    <row r="372" spans="5:23" x14ac:dyDescent="0.25">
      <c r="E372" s="4"/>
      <c r="F372" s="4"/>
      <c r="G372" s="33" t="str">
        <f>IFERROR(VLOOKUP($D372,'Informations sur les produits'!$A$3:$H$10000,8,FALSE),"0")</f>
        <v>0</v>
      </c>
      <c r="K372" s="4"/>
      <c r="L372" s="33" t="str">
        <f>IFERROR(VLOOKUP($J372,'Informations sur les produits'!$A$3:$H$10000,8,FALSE),"0")</f>
        <v>0</v>
      </c>
      <c r="N372" s="8"/>
      <c r="O372" s="33" t="str">
        <f>IFERROR(VLOOKUP($M372,'Informations sur les produits'!$A$3:$H$10000,8,FALSE),"0")</f>
        <v>0</v>
      </c>
      <c r="P372" s="33">
        <f t="shared" si="20"/>
        <v>0</v>
      </c>
      <c r="Q372" s="31" t="str">
        <f t="shared" si="21"/>
        <v/>
      </c>
      <c r="R372" s="32" t="str">
        <f>IFERROR(VLOOKUP($D372,'Informations sur les produits'!$A$3:$B$15000,2,FALSE),"")</f>
        <v/>
      </c>
      <c r="V372">
        <f t="shared" si="22"/>
        <v>0</v>
      </c>
      <c r="W372">
        <f t="shared" si="23"/>
        <v>0</v>
      </c>
    </row>
    <row r="373" spans="5:23" x14ac:dyDescent="0.25">
      <c r="E373" s="4"/>
      <c r="F373" s="4"/>
      <c r="G373" s="33" t="str">
        <f>IFERROR(VLOOKUP($D373,'Informations sur les produits'!$A$3:$H$10000,8,FALSE),"0")</f>
        <v>0</v>
      </c>
      <c r="K373" s="4"/>
      <c r="L373" s="33" t="str">
        <f>IFERROR(VLOOKUP($J373,'Informations sur les produits'!$A$3:$H$10000,8,FALSE),"0")</f>
        <v>0</v>
      </c>
      <c r="N373" s="8"/>
      <c r="O373" s="33" t="str">
        <f>IFERROR(VLOOKUP($M373,'Informations sur les produits'!$A$3:$H$10000,8,FALSE),"0")</f>
        <v>0</v>
      </c>
      <c r="P373" s="33">
        <f t="shared" si="20"/>
        <v>0</v>
      </c>
      <c r="Q373" s="31" t="str">
        <f t="shared" si="21"/>
        <v/>
      </c>
      <c r="R373" s="32" t="str">
        <f>IFERROR(VLOOKUP($D373,'Informations sur les produits'!$A$3:$B$15000,2,FALSE),"")</f>
        <v/>
      </c>
      <c r="V373">
        <f t="shared" si="22"/>
        <v>0</v>
      </c>
      <c r="W373">
        <f t="shared" si="23"/>
        <v>0</v>
      </c>
    </row>
    <row r="374" spans="5:23" x14ac:dyDescent="0.25">
      <c r="E374" s="4"/>
      <c r="F374" s="4"/>
      <c r="G374" s="33" t="str">
        <f>IFERROR(VLOOKUP($D374,'Informations sur les produits'!$A$3:$H$10000,8,FALSE),"0")</f>
        <v>0</v>
      </c>
      <c r="K374" s="4"/>
      <c r="L374" s="33" t="str">
        <f>IFERROR(VLOOKUP($J374,'Informations sur les produits'!$A$3:$H$10000,8,FALSE),"0")</f>
        <v>0</v>
      </c>
      <c r="N374" s="8"/>
      <c r="O374" s="33" t="str">
        <f>IFERROR(VLOOKUP($M374,'Informations sur les produits'!$A$3:$H$10000,8,FALSE),"0")</f>
        <v>0</v>
      </c>
      <c r="P374" s="33">
        <f t="shared" si="20"/>
        <v>0</v>
      </c>
      <c r="Q374" s="31" t="str">
        <f t="shared" si="21"/>
        <v/>
      </c>
      <c r="R374" s="32" t="str">
        <f>IFERROR(VLOOKUP($D374,'Informations sur les produits'!$A$3:$B$15000,2,FALSE),"")</f>
        <v/>
      </c>
      <c r="V374">
        <f t="shared" si="22"/>
        <v>0</v>
      </c>
      <c r="W374">
        <f t="shared" si="23"/>
        <v>0</v>
      </c>
    </row>
    <row r="375" spans="5:23" x14ac:dyDescent="0.25">
      <c r="E375" s="4"/>
      <c r="F375" s="4"/>
      <c r="G375" s="33" t="str">
        <f>IFERROR(VLOOKUP($D375,'Informations sur les produits'!$A$3:$H$10000,8,FALSE),"0")</f>
        <v>0</v>
      </c>
      <c r="K375" s="4"/>
      <c r="L375" s="33" t="str">
        <f>IFERROR(VLOOKUP($J375,'Informations sur les produits'!$A$3:$H$10000,8,FALSE),"0")</f>
        <v>0</v>
      </c>
      <c r="N375" s="8"/>
      <c r="O375" s="33" t="str">
        <f>IFERROR(VLOOKUP($M375,'Informations sur les produits'!$A$3:$H$10000,8,FALSE),"0")</f>
        <v>0</v>
      </c>
      <c r="P375" s="33">
        <f t="shared" si="20"/>
        <v>0</v>
      </c>
      <c r="Q375" s="31" t="str">
        <f t="shared" si="21"/>
        <v/>
      </c>
      <c r="R375" s="32" t="str">
        <f>IFERROR(VLOOKUP($D375,'Informations sur les produits'!$A$3:$B$15000,2,FALSE),"")</f>
        <v/>
      </c>
      <c r="V375">
        <f t="shared" si="22"/>
        <v>0</v>
      </c>
      <c r="W375">
        <f t="shared" si="23"/>
        <v>0</v>
      </c>
    </row>
    <row r="376" spans="5:23" x14ac:dyDescent="0.25">
      <c r="E376" s="4"/>
      <c r="F376" s="4"/>
      <c r="G376" s="33" t="str">
        <f>IFERROR(VLOOKUP($D376,'Informations sur les produits'!$A$3:$H$10000,8,FALSE),"0")</f>
        <v>0</v>
      </c>
      <c r="K376" s="4"/>
      <c r="L376" s="33" t="str">
        <f>IFERROR(VLOOKUP($J376,'Informations sur les produits'!$A$3:$H$10000,8,FALSE),"0")</f>
        <v>0</v>
      </c>
      <c r="N376" s="8"/>
      <c r="O376" s="33" t="str">
        <f>IFERROR(VLOOKUP($M376,'Informations sur les produits'!$A$3:$H$10000,8,FALSE),"0")</f>
        <v>0</v>
      </c>
      <c r="P376" s="33">
        <f t="shared" si="20"/>
        <v>0</v>
      </c>
      <c r="Q376" s="31" t="str">
        <f t="shared" si="21"/>
        <v/>
      </c>
      <c r="R376" s="32" t="str">
        <f>IFERROR(VLOOKUP($D376,'Informations sur les produits'!$A$3:$B$15000,2,FALSE),"")</f>
        <v/>
      </c>
      <c r="V376">
        <f t="shared" si="22"/>
        <v>0</v>
      </c>
      <c r="W376">
        <f t="shared" si="23"/>
        <v>0</v>
      </c>
    </row>
    <row r="377" spans="5:23" x14ac:dyDescent="0.25">
      <c r="E377" s="4"/>
      <c r="F377" s="4"/>
      <c r="G377" s="33" t="str">
        <f>IFERROR(VLOOKUP($D377,'Informations sur les produits'!$A$3:$H$10000,8,FALSE),"0")</f>
        <v>0</v>
      </c>
      <c r="K377" s="4"/>
      <c r="L377" s="33" t="str">
        <f>IFERROR(VLOOKUP($J377,'Informations sur les produits'!$A$3:$H$10000,8,FALSE),"0")</f>
        <v>0</v>
      </c>
      <c r="N377" s="8"/>
      <c r="O377" s="33" t="str">
        <f>IFERROR(VLOOKUP($M377,'Informations sur les produits'!$A$3:$H$10000,8,FALSE),"0")</f>
        <v>0</v>
      </c>
      <c r="P377" s="33">
        <f t="shared" si="20"/>
        <v>0</v>
      </c>
      <c r="Q377" s="31" t="str">
        <f t="shared" si="21"/>
        <v/>
      </c>
      <c r="R377" s="32" t="str">
        <f>IFERROR(VLOOKUP($D377,'Informations sur les produits'!$A$3:$B$15000,2,FALSE),"")</f>
        <v/>
      </c>
      <c r="V377">
        <f t="shared" si="22"/>
        <v>0</v>
      </c>
      <c r="W377">
        <f t="shared" si="23"/>
        <v>0</v>
      </c>
    </row>
    <row r="378" spans="5:23" x14ac:dyDescent="0.25">
      <c r="E378" s="4"/>
      <c r="F378" s="4"/>
      <c r="G378" s="33" t="str">
        <f>IFERROR(VLOOKUP($D378,'Informations sur les produits'!$A$3:$H$10000,8,FALSE),"0")</f>
        <v>0</v>
      </c>
      <c r="K378" s="4"/>
      <c r="L378" s="33" t="str">
        <f>IFERROR(VLOOKUP($J378,'Informations sur les produits'!$A$3:$H$10000,8,FALSE),"0")</f>
        <v>0</v>
      </c>
      <c r="N378" s="8"/>
      <c r="O378" s="33" t="str">
        <f>IFERROR(VLOOKUP($M378,'Informations sur les produits'!$A$3:$H$10000,8,FALSE),"0")</f>
        <v>0</v>
      </c>
      <c r="P378" s="33">
        <f t="shared" si="20"/>
        <v>0</v>
      </c>
      <c r="Q378" s="31" t="str">
        <f t="shared" si="21"/>
        <v/>
      </c>
      <c r="R378" s="32" t="str">
        <f>IFERROR(VLOOKUP($D378,'Informations sur les produits'!$A$3:$B$15000,2,FALSE),"")</f>
        <v/>
      </c>
      <c r="V378">
        <f t="shared" si="22"/>
        <v>0</v>
      </c>
      <c r="W378">
        <f t="shared" si="23"/>
        <v>0</v>
      </c>
    </row>
    <row r="379" spans="5:23" x14ac:dyDescent="0.25">
      <c r="E379" s="4"/>
      <c r="F379" s="4"/>
      <c r="G379" s="33" t="str">
        <f>IFERROR(VLOOKUP($D379,'Informations sur les produits'!$A$3:$H$10000,8,FALSE),"0")</f>
        <v>0</v>
      </c>
      <c r="K379" s="4"/>
      <c r="L379" s="33" t="str">
        <f>IFERROR(VLOOKUP($J379,'Informations sur les produits'!$A$3:$H$10000,8,FALSE),"0")</f>
        <v>0</v>
      </c>
      <c r="N379" s="8"/>
      <c r="O379" s="33" t="str">
        <f>IFERROR(VLOOKUP($M379,'Informations sur les produits'!$A$3:$H$10000,8,FALSE),"0")</f>
        <v>0</v>
      </c>
      <c r="P379" s="33">
        <f t="shared" si="20"/>
        <v>0</v>
      </c>
      <c r="Q379" s="31" t="str">
        <f t="shared" si="21"/>
        <v/>
      </c>
      <c r="R379" s="32" t="str">
        <f>IFERROR(VLOOKUP($D379,'Informations sur les produits'!$A$3:$B$15000,2,FALSE),"")</f>
        <v/>
      </c>
      <c r="V379">
        <f t="shared" si="22"/>
        <v>0</v>
      </c>
      <c r="W379">
        <f t="shared" si="23"/>
        <v>0</v>
      </c>
    </row>
    <row r="380" spans="5:23" x14ac:dyDescent="0.25">
      <c r="E380" s="4"/>
      <c r="F380" s="4"/>
      <c r="G380" s="33" t="str">
        <f>IFERROR(VLOOKUP($D380,'Informations sur les produits'!$A$3:$H$10000,8,FALSE),"0")</f>
        <v>0</v>
      </c>
      <c r="K380" s="4"/>
      <c r="L380" s="33" t="str">
        <f>IFERROR(VLOOKUP($J380,'Informations sur les produits'!$A$3:$H$10000,8,FALSE),"0")</f>
        <v>0</v>
      </c>
      <c r="N380" s="8"/>
      <c r="O380" s="33" t="str">
        <f>IFERROR(VLOOKUP($M380,'Informations sur les produits'!$A$3:$H$10000,8,FALSE),"0")</f>
        <v>0</v>
      </c>
      <c r="P380" s="33">
        <f t="shared" si="20"/>
        <v>0</v>
      </c>
      <c r="Q380" s="31" t="str">
        <f t="shared" si="21"/>
        <v/>
      </c>
      <c r="R380" s="32" t="str">
        <f>IFERROR(VLOOKUP($D380,'Informations sur les produits'!$A$3:$B$15000,2,FALSE),"")</f>
        <v/>
      </c>
      <c r="V380">
        <f t="shared" si="22"/>
        <v>0</v>
      </c>
      <c r="W380">
        <f t="shared" si="23"/>
        <v>0</v>
      </c>
    </row>
    <row r="381" spans="5:23" x14ac:dyDescent="0.25">
      <c r="E381" s="4"/>
      <c r="F381" s="4"/>
      <c r="G381" s="33" t="str">
        <f>IFERROR(VLOOKUP($D381,'Informations sur les produits'!$A$3:$H$10000,8,FALSE),"0")</f>
        <v>0</v>
      </c>
      <c r="K381" s="4"/>
      <c r="L381" s="33" t="str">
        <f>IFERROR(VLOOKUP($J381,'Informations sur les produits'!$A$3:$H$10000,8,FALSE),"0")</f>
        <v>0</v>
      </c>
      <c r="N381" s="8"/>
      <c r="O381" s="33" t="str">
        <f>IFERROR(VLOOKUP($M381,'Informations sur les produits'!$A$3:$H$10000,8,FALSE),"0")</f>
        <v>0</v>
      </c>
      <c r="P381" s="33">
        <f t="shared" si="20"/>
        <v>0</v>
      </c>
      <c r="Q381" s="31" t="str">
        <f t="shared" si="21"/>
        <v/>
      </c>
      <c r="R381" s="32" t="str">
        <f>IFERROR(VLOOKUP($D381,'Informations sur les produits'!$A$3:$B$15000,2,FALSE),"")</f>
        <v/>
      </c>
      <c r="V381">
        <f t="shared" si="22"/>
        <v>0</v>
      </c>
      <c r="W381">
        <f t="shared" si="23"/>
        <v>0</v>
      </c>
    </row>
    <row r="382" spans="5:23" x14ac:dyDescent="0.25">
      <c r="E382" s="4"/>
      <c r="F382" s="4"/>
      <c r="G382" s="33" t="str">
        <f>IFERROR(VLOOKUP($D382,'Informations sur les produits'!$A$3:$H$10000,8,FALSE),"0")</f>
        <v>0</v>
      </c>
      <c r="K382" s="4"/>
      <c r="L382" s="33" t="str">
        <f>IFERROR(VLOOKUP($J382,'Informations sur les produits'!$A$3:$H$10000,8,FALSE),"0")</f>
        <v>0</v>
      </c>
      <c r="N382" s="8"/>
      <c r="O382" s="33" t="str">
        <f>IFERROR(VLOOKUP($M382,'Informations sur les produits'!$A$3:$H$10000,8,FALSE),"0")</f>
        <v>0</v>
      </c>
      <c r="P382" s="33">
        <f t="shared" si="20"/>
        <v>0</v>
      </c>
      <c r="Q382" s="31" t="str">
        <f t="shared" si="21"/>
        <v/>
      </c>
      <c r="R382" s="32" t="str">
        <f>IFERROR(VLOOKUP($D382,'Informations sur les produits'!$A$3:$B$15000,2,FALSE),"")</f>
        <v/>
      </c>
      <c r="V382">
        <f t="shared" si="22"/>
        <v>0</v>
      </c>
      <c r="W382">
        <f t="shared" si="23"/>
        <v>0</v>
      </c>
    </row>
    <row r="383" spans="5:23" x14ac:dyDescent="0.25">
      <c r="E383" s="4"/>
      <c r="F383" s="4"/>
      <c r="G383" s="33" t="str">
        <f>IFERROR(VLOOKUP($D383,'Informations sur les produits'!$A$3:$H$10000,8,FALSE),"0")</f>
        <v>0</v>
      </c>
      <c r="K383" s="4"/>
      <c r="L383" s="33" t="str">
        <f>IFERROR(VLOOKUP($J383,'Informations sur les produits'!$A$3:$H$10000,8,FALSE),"0")</f>
        <v>0</v>
      </c>
      <c r="N383" s="8"/>
      <c r="O383" s="33" t="str">
        <f>IFERROR(VLOOKUP($M383,'Informations sur les produits'!$A$3:$H$10000,8,FALSE),"0")</f>
        <v>0</v>
      </c>
      <c r="P383" s="33">
        <f t="shared" si="20"/>
        <v>0</v>
      </c>
      <c r="Q383" s="31" t="str">
        <f t="shared" si="21"/>
        <v/>
      </c>
      <c r="R383" s="32" t="str">
        <f>IFERROR(VLOOKUP($D383,'Informations sur les produits'!$A$3:$B$15000,2,FALSE),"")</f>
        <v/>
      </c>
      <c r="V383">
        <f t="shared" si="22"/>
        <v>0</v>
      </c>
      <c r="W383">
        <f t="shared" si="23"/>
        <v>0</v>
      </c>
    </row>
    <row r="384" spans="5:23" x14ac:dyDescent="0.25">
      <c r="E384" s="4"/>
      <c r="F384" s="4"/>
      <c r="G384" s="33" t="str">
        <f>IFERROR(VLOOKUP($D384,'Informations sur les produits'!$A$3:$H$10000,8,FALSE),"0")</f>
        <v>0</v>
      </c>
      <c r="K384" s="4"/>
      <c r="L384" s="33" t="str">
        <f>IFERROR(VLOOKUP($J384,'Informations sur les produits'!$A$3:$H$10000,8,FALSE),"0")</f>
        <v>0</v>
      </c>
      <c r="N384" s="8"/>
      <c r="O384" s="33" t="str">
        <f>IFERROR(VLOOKUP($M384,'Informations sur les produits'!$A$3:$H$10000,8,FALSE),"0")</f>
        <v>0</v>
      </c>
      <c r="P384" s="33">
        <f t="shared" si="20"/>
        <v>0</v>
      </c>
      <c r="Q384" s="31" t="str">
        <f t="shared" si="21"/>
        <v/>
      </c>
      <c r="R384" s="32" t="str">
        <f>IFERROR(VLOOKUP($D384,'Informations sur les produits'!$A$3:$B$15000,2,FALSE),"")</f>
        <v/>
      </c>
      <c r="V384">
        <f t="shared" si="22"/>
        <v>0</v>
      </c>
      <c r="W384">
        <f t="shared" si="23"/>
        <v>0</v>
      </c>
    </row>
    <row r="385" spans="5:23" x14ac:dyDescent="0.25">
      <c r="E385" s="4"/>
      <c r="F385" s="4"/>
      <c r="G385" s="33" t="str">
        <f>IFERROR(VLOOKUP($D385,'Informations sur les produits'!$A$3:$H$10000,8,FALSE),"0")</f>
        <v>0</v>
      </c>
      <c r="K385" s="4"/>
      <c r="L385" s="33" t="str">
        <f>IFERROR(VLOOKUP($J385,'Informations sur les produits'!$A$3:$H$10000,8,FALSE),"0")</f>
        <v>0</v>
      </c>
      <c r="N385" s="8"/>
      <c r="O385" s="33" t="str">
        <f>IFERROR(VLOOKUP($M385,'Informations sur les produits'!$A$3:$H$10000,8,FALSE),"0")</f>
        <v>0</v>
      </c>
      <c r="P385" s="33">
        <f t="shared" si="20"/>
        <v>0</v>
      </c>
      <c r="Q385" s="31" t="str">
        <f t="shared" si="21"/>
        <v/>
      </c>
      <c r="R385" s="32" t="str">
        <f>IFERROR(VLOOKUP($D385,'Informations sur les produits'!$A$3:$B$15000,2,FALSE),"")</f>
        <v/>
      </c>
      <c r="V385">
        <f t="shared" si="22"/>
        <v>0</v>
      </c>
      <c r="W385">
        <f t="shared" si="23"/>
        <v>0</v>
      </c>
    </row>
    <row r="386" spans="5:23" x14ac:dyDescent="0.25">
      <c r="E386" s="4"/>
      <c r="F386" s="4"/>
      <c r="G386" s="33" t="str">
        <f>IFERROR(VLOOKUP($D386,'Informations sur les produits'!$A$3:$H$10000,8,FALSE),"0")</f>
        <v>0</v>
      </c>
      <c r="K386" s="4"/>
      <c r="L386" s="33" t="str">
        <f>IFERROR(VLOOKUP($J386,'Informations sur les produits'!$A$3:$H$10000,8,FALSE),"0")</f>
        <v>0</v>
      </c>
      <c r="N386" s="8"/>
      <c r="O386" s="33" t="str">
        <f>IFERROR(VLOOKUP($M386,'Informations sur les produits'!$A$3:$H$10000,8,FALSE),"0")</f>
        <v>0</v>
      </c>
      <c r="P386" s="33">
        <f t="shared" si="20"/>
        <v>0</v>
      </c>
      <c r="Q386" s="31" t="str">
        <f t="shared" si="21"/>
        <v/>
      </c>
      <c r="R386" s="32" t="str">
        <f>IFERROR(VLOOKUP($D386,'Informations sur les produits'!$A$3:$B$15000,2,FALSE),"")</f>
        <v/>
      </c>
      <c r="V386">
        <f t="shared" si="22"/>
        <v>0</v>
      </c>
      <c r="W386">
        <f t="shared" si="23"/>
        <v>0</v>
      </c>
    </row>
    <row r="387" spans="5:23" x14ac:dyDescent="0.25">
      <c r="E387" s="4"/>
      <c r="F387" s="4"/>
      <c r="G387" s="33" t="str">
        <f>IFERROR(VLOOKUP($D387,'Informations sur les produits'!$A$3:$H$10000,8,FALSE),"0")</f>
        <v>0</v>
      </c>
      <c r="K387" s="4"/>
      <c r="L387" s="33" t="str">
        <f>IFERROR(VLOOKUP($J387,'Informations sur les produits'!$A$3:$H$10000,8,FALSE),"0")</f>
        <v>0</v>
      </c>
      <c r="N387" s="8"/>
      <c r="O387" s="33" t="str">
        <f>IFERROR(VLOOKUP($M387,'Informations sur les produits'!$A$3:$H$10000,8,FALSE),"0")</f>
        <v>0</v>
      </c>
      <c r="P387" s="33">
        <f t="shared" si="20"/>
        <v>0</v>
      </c>
      <c r="Q387" s="31" t="str">
        <f t="shared" si="21"/>
        <v/>
      </c>
      <c r="R387" s="32" t="str">
        <f>IFERROR(VLOOKUP($D387,'Informations sur les produits'!$A$3:$B$15000,2,FALSE),"")</f>
        <v/>
      </c>
      <c r="V387">
        <f t="shared" si="22"/>
        <v>0</v>
      </c>
      <c r="W387">
        <f t="shared" si="23"/>
        <v>0</v>
      </c>
    </row>
    <row r="388" spans="5:23" x14ac:dyDescent="0.25">
      <c r="E388" s="4"/>
      <c r="F388" s="4"/>
      <c r="G388" s="33" t="str">
        <f>IFERROR(VLOOKUP($D388,'Informations sur les produits'!$A$3:$H$10000,8,FALSE),"0")</f>
        <v>0</v>
      </c>
      <c r="K388" s="4"/>
      <c r="L388" s="33" t="str">
        <f>IFERROR(VLOOKUP($J388,'Informations sur les produits'!$A$3:$H$10000,8,FALSE),"0")</f>
        <v>0</v>
      </c>
      <c r="N388" s="8"/>
      <c r="O388" s="33" t="str">
        <f>IFERROR(VLOOKUP($M388,'Informations sur les produits'!$A$3:$H$10000,8,FALSE),"0")</f>
        <v>0</v>
      </c>
      <c r="P388" s="33">
        <f t="shared" ref="P388:P451" si="24">IFERROR((($E388-$F388)*$G388+$K388*$L388+$N388*$O388),"")</f>
        <v>0</v>
      </c>
      <c r="Q388" s="31" t="str">
        <f t="shared" ref="Q388:Q451" si="25">IFERROR((((($E388-$F388)*$G388+$K388*$L388+$N388*$O388)*1000)/(($E388-$F388)+$K388+$N388)),"")</f>
        <v/>
      </c>
      <c r="R388" s="32" t="str">
        <f>IFERROR(VLOOKUP($D388,'Informations sur les produits'!$A$3:$B$15000,2,FALSE),"")</f>
        <v/>
      </c>
      <c r="V388">
        <f t="shared" ref="V388:V451" si="26">IFERROR(P388*1000,"")</f>
        <v>0</v>
      </c>
      <c r="W388">
        <f t="shared" ref="W388:W451" si="27">IFERROR(($E388-$F388)+$K388+$N388,"")</f>
        <v>0</v>
      </c>
    </row>
    <row r="389" spans="5:23" x14ac:dyDescent="0.25">
      <c r="E389" s="4"/>
      <c r="F389" s="4"/>
      <c r="G389" s="33" t="str">
        <f>IFERROR(VLOOKUP($D389,'Informations sur les produits'!$A$3:$H$10000,8,FALSE),"0")</f>
        <v>0</v>
      </c>
      <c r="K389" s="4"/>
      <c r="L389" s="33" t="str">
        <f>IFERROR(VLOOKUP($J389,'Informations sur les produits'!$A$3:$H$10000,8,FALSE),"0")</f>
        <v>0</v>
      </c>
      <c r="N389" s="8"/>
      <c r="O389" s="33" t="str">
        <f>IFERROR(VLOOKUP($M389,'Informations sur les produits'!$A$3:$H$10000,8,FALSE),"0")</f>
        <v>0</v>
      </c>
      <c r="P389" s="33">
        <f t="shared" si="24"/>
        <v>0</v>
      </c>
      <c r="Q389" s="31" t="str">
        <f t="shared" si="25"/>
        <v/>
      </c>
      <c r="R389" s="32" t="str">
        <f>IFERROR(VLOOKUP($D389,'Informations sur les produits'!$A$3:$B$15000,2,FALSE),"")</f>
        <v/>
      </c>
      <c r="V389">
        <f t="shared" si="26"/>
        <v>0</v>
      </c>
      <c r="W389">
        <f t="shared" si="27"/>
        <v>0</v>
      </c>
    </row>
    <row r="390" spans="5:23" x14ac:dyDescent="0.25">
      <c r="E390" s="4"/>
      <c r="F390" s="4"/>
      <c r="G390" s="33" t="str">
        <f>IFERROR(VLOOKUP($D390,'Informations sur les produits'!$A$3:$H$10000,8,FALSE),"0")</f>
        <v>0</v>
      </c>
      <c r="K390" s="4"/>
      <c r="L390" s="33" t="str">
        <f>IFERROR(VLOOKUP($J390,'Informations sur les produits'!$A$3:$H$10000,8,FALSE),"0")</f>
        <v>0</v>
      </c>
      <c r="N390" s="8"/>
      <c r="O390" s="33" t="str">
        <f>IFERROR(VLOOKUP($M390,'Informations sur les produits'!$A$3:$H$10000,8,FALSE),"0")</f>
        <v>0</v>
      </c>
      <c r="P390" s="33">
        <f t="shared" si="24"/>
        <v>0</v>
      </c>
      <c r="Q390" s="31" t="str">
        <f t="shared" si="25"/>
        <v/>
      </c>
      <c r="R390" s="32" t="str">
        <f>IFERROR(VLOOKUP($D390,'Informations sur les produits'!$A$3:$B$15000,2,FALSE),"")</f>
        <v/>
      </c>
      <c r="V390">
        <f t="shared" si="26"/>
        <v>0</v>
      </c>
      <c r="W390">
        <f t="shared" si="27"/>
        <v>0</v>
      </c>
    </row>
    <row r="391" spans="5:23" x14ac:dyDescent="0.25">
      <c r="E391" s="4"/>
      <c r="F391" s="4"/>
      <c r="G391" s="33" t="str">
        <f>IFERROR(VLOOKUP($D391,'Informations sur les produits'!$A$3:$H$10000,8,FALSE),"0")</f>
        <v>0</v>
      </c>
      <c r="K391" s="4"/>
      <c r="L391" s="33" t="str">
        <f>IFERROR(VLOOKUP($J391,'Informations sur les produits'!$A$3:$H$10000,8,FALSE),"0")</f>
        <v>0</v>
      </c>
      <c r="N391" s="8"/>
      <c r="O391" s="33" t="str">
        <f>IFERROR(VLOOKUP($M391,'Informations sur les produits'!$A$3:$H$10000,8,FALSE),"0")</f>
        <v>0</v>
      </c>
      <c r="P391" s="33">
        <f t="shared" si="24"/>
        <v>0</v>
      </c>
      <c r="Q391" s="31" t="str">
        <f t="shared" si="25"/>
        <v/>
      </c>
      <c r="R391" s="32" t="str">
        <f>IFERROR(VLOOKUP($D391,'Informations sur les produits'!$A$3:$B$15000,2,FALSE),"")</f>
        <v/>
      </c>
      <c r="V391">
        <f t="shared" si="26"/>
        <v>0</v>
      </c>
      <c r="W391">
        <f t="shared" si="27"/>
        <v>0</v>
      </c>
    </row>
    <row r="392" spans="5:23" x14ac:dyDescent="0.25">
      <c r="E392" s="4"/>
      <c r="F392" s="4"/>
      <c r="G392" s="33" t="str">
        <f>IFERROR(VLOOKUP($D392,'Informations sur les produits'!$A$3:$H$10000,8,FALSE),"0")</f>
        <v>0</v>
      </c>
      <c r="K392" s="4"/>
      <c r="L392" s="33" t="str">
        <f>IFERROR(VLOOKUP($J392,'Informations sur les produits'!$A$3:$H$10000,8,FALSE),"0")</f>
        <v>0</v>
      </c>
      <c r="N392" s="8"/>
      <c r="O392" s="33" t="str">
        <f>IFERROR(VLOOKUP($M392,'Informations sur les produits'!$A$3:$H$10000,8,FALSE),"0")</f>
        <v>0</v>
      </c>
      <c r="P392" s="33">
        <f t="shared" si="24"/>
        <v>0</v>
      </c>
      <c r="Q392" s="31" t="str">
        <f t="shared" si="25"/>
        <v/>
      </c>
      <c r="R392" s="32" t="str">
        <f>IFERROR(VLOOKUP($D392,'Informations sur les produits'!$A$3:$B$15000,2,FALSE),"")</f>
        <v/>
      </c>
      <c r="V392">
        <f t="shared" si="26"/>
        <v>0</v>
      </c>
      <c r="W392">
        <f t="shared" si="27"/>
        <v>0</v>
      </c>
    </row>
    <row r="393" spans="5:23" x14ac:dyDescent="0.25">
      <c r="E393" s="4"/>
      <c r="F393" s="4"/>
      <c r="G393" s="33" t="str">
        <f>IFERROR(VLOOKUP($D393,'Informations sur les produits'!$A$3:$H$10000,8,FALSE),"0")</f>
        <v>0</v>
      </c>
      <c r="K393" s="4"/>
      <c r="L393" s="33" t="str">
        <f>IFERROR(VLOOKUP($J393,'Informations sur les produits'!$A$3:$H$10000,8,FALSE),"0")</f>
        <v>0</v>
      </c>
      <c r="N393" s="8"/>
      <c r="O393" s="33" t="str">
        <f>IFERROR(VLOOKUP($M393,'Informations sur les produits'!$A$3:$H$10000,8,FALSE),"0")</f>
        <v>0</v>
      </c>
      <c r="P393" s="33">
        <f t="shared" si="24"/>
        <v>0</v>
      </c>
      <c r="Q393" s="31" t="str">
        <f t="shared" si="25"/>
        <v/>
      </c>
      <c r="R393" s="32" t="str">
        <f>IFERROR(VLOOKUP($D393,'Informations sur les produits'!$A$3:$B$15000,2,FALSE),"")</f>
        <v/>
      </c>
      <c r="V393">
        <f t="shared" si="26"/>
        <v>0</v>
      </c>
      <c r="W393">
        <f t="shared" si="27"/>
        <v>0</v>
      </c>
    </row>
    <row r="394" spans="5:23" x14ac:dyDescent="0.25">
      <c r="E394" s="4"/>
      <c r="F394" s="4"/>
      <c r="G394" s="33" t="str">
        <f>IFERROR(VLOOKUP($D394,'Informations sur les produits'!$A$3:$H$10000,8,FALSE),"0")</f>
        <v>0</v>
      </c>
      <c r="K394" s="4"/>
      <c r="L394" s="33" t="str">
        <f>IFERROR(VLOOKUP($J394,'Informations sur les produits'!$A$3:$H$10000,8,FALSE),"0")</f>
        <v>0</v>
      </c>
      <c r="N394" s="8"/>
      <c r="O394" s="33" t="str">
        <f>IFERROR(VLOOKUP($M394,'Informations sur les produits'!$A$3:$H$10000,8,FALSE),"0")</f>
        <v>0</v>
      </c>
      <c r="P394" s="33">
        <f t="shared" si="24"/>
        <v>0</v>
      </c>
      <c r="Q394" s="31" t="str">
        <f t="shared" si="25"/>
        <v/>
      </c>
      <c r="R394" s="32" t="str">
        <f>IFERROR(VLOOKUP($D394,'Informations sur les produits'!$A$3:$B$15000,2,FALSE),"")</f>
        <v/>
      </c>
      <c r="V394">
        <f t="shared" si="26"/>
        <v>0</v>
      </c>
      <c r="W394">
        <f t="shared" si="27"/>
        <v>0</v>
      </c>
    </row>
    <row r="395" spans="5:23" x14ac:dyDescent="0.25">
      <c r="E395" s="4"/>
      <c r="F395" s="4"/>
      <c r="G395" s="33" t="str">
        <f>IFERROR(VLOOKUP($D395,'Informations sur les produits'!$A$3:$H$10000,8,FALSE),"0")</f>
        <v>0</v>
      </c>
      <c r="K395" s="4"/>
      <c r="L395" s="33" t="str">
        <f>IFERROR(VLOOKUP($J395,'Informations sur les produits'!$A$3:$H$10000,8,FALSE),"0")</f>
        <v>0</v>
      </c>
      <c r="N395" s="8"/>
      <c r="O395" s="33" t="str">
        <f>IFERROR(VLOOKUP($M395,'Informations sur les produits'!$A$3:$H$10000,8,FALSE),"0")</f>
        <v>0</v>
      </c>
      <c r="P395" s="33">
        <f t="shared" si="24"/>
        <v>0</v>
      </c>
      <c r="Q395" s="31" t="str">
        <f t="shared" si="25"/>
        <v/>
      </c>
      <c r="R395" s="32" t="str">
        <f>IFERROR(VLOOKUP($D395,'Informations sur les produits'!$A$3:$B$15000,2,FALSE),"")</f>
        <v/>
      </c>
      <c r="V395">
        <f t="shared" si="26"/>
        <v>0</v>
      </c>
      <c r="W395">
        <f t="shared" si="27"/>
        <v>0</v>
      </c>
    </row>
    <row r="396" spans="5:23" x14ac:dyDescent="0.25">
      <c r="E396" s="4"/>
      <c r="F396" s="4"/>
      <c r="G396" s="33" t="str">
        <f>IFERROR(VLOOKUP($D396,'Informations sur les produits'!$A$3:$H$10000,8,FALSE),"0")</f>
        <v>0</v>
      </c>
      <c r="K396" s="4"/>
      <c r="L396" s="33" t="str">
        <f>IFERROR(VLOOKUP($J396,'Informations sur les produits'!$A$3:$H$10000,8,FALSE),"0")</f>
        <v>0</v>
      </c>
      <c r="N396" s="8"/>
      <c r="O396" s="33" t="str">
        <f>IFERROR(VLOOKUP($M396,'Informations sur les produits'!$A$3:$H$10000,8,FALSE),"0")</f>
        <v>0</v>
      </c>
      <c r="P396" s="33">
        <f t="shared" si="24"/>
        <v>0</v>
      </c>
      <c r="Q396" s="31" t="str">
        <f t="shared" si="25"/>
        <v/>
      </c>
      <c r="R396" s="32" t="str">
        <f>IFERROR(VLOOKUP($D396,'Informations sur les produits'!$A$3:$B$15000,2,FALSE),"")</f>
        <v/>
      </c>
      <c r="V396">
        <f t="shared" si="26"/>
        <v>0</v>
      </c>
      <c r="W396">
        <f t="shared" si="27"/>
        <v>0</v>
      </c>
    </row>
    <row r="397" spans="5:23" x14ac:dyDescent="0.25">
      <c r="E397" s="4"/>
      <c r="F397" s="4"/>
      <c r="G397" s="33" t="str">
        <f>IFERROR(VLOOKUP($D397,'Informations sur les produits'!$A$3:$H$10000,8,FALSE),"0")</f>
        <v>0</v>
      </c>
      <c r="K397" s="4"/>
      <c r="L397" s="33" t="str">
        <f>IFERROR(VLOOKUP($J397,'Informations sur les produits'!$A$3:$H$10000,8,FALSE),"0")</f>
        <v>0</v>
      </c>
      <c r="N397" s="8"/>
      <c r="O397" s="33" t="str">
        <f>IFERROR(VLOOKUP($M397,'Informations sur les produits'!$A$3:$H$10000,8,FALSE),"0")</f>
        <v>0</v>
      </c>
      <c r="P397" s="33">
        <f t="shared" si="24"/>
        <v>0</v>
      </c>
      <c r="Q397" s="31" t="str">
        <f t="shared" si="25"/>
        <v/>
      </c>
      <c r="R397" s="32" t="str">
        <f>IFERROR(VLOOKUP($D397,'Informations sur les produits'!$A$3:$B$15000,2,FALSE),"")</f>
        <v/>
      </c>
      <c r="V397">
        <f t="shared" si="26"/>
        <v>0</v>
      </c>
      <c r="W397">
        <f t="shared" si="27"/>
        <v>0</v>
      </c>
    </row>
    <row r="398" spans="5:23" x14ac:dyDescent="0.25">
      <c r="E398" s="4"/>
      <c r="F398" s="4"/>
      <c r="G398" s="33" t="str">
        <f>IFERROR(VLOOKUP($D398,'Informations sur les produits'!$A$3:$H$10000,8,FALSE),"0")</f>
        <v>0</v>
      </c>
      <c r="K398" s="4"/>
      <c r="L398" s="33" t="str">
        <f>IFERROR(VLOOKUP($J398,'Informations sur les produits'!$A$3:$H$10000,8,FALSE),"0")</f>
        <v>0</v>
      </c>
      <c r="N398" s="8"/>
      <c r="O398" s="33" t="str">
        <f>IFERROR(VLOOKUP($M398,'Informations sur les produits'!$A$3:$H$10000,8,FALSE),"0")</f>
        <v>0</v>
      </c>
      <c r="P398" s="33">
        <f t="shared" si="24"/>
        <v>0</v>
      </c>
      <c r="Q398" s="31" t="str">
        <f t="shared" si="25"/>
        <v/>
      </c>
      <c r="R398" s="32" t="str">
        <f>IFERROR(VLOOKUP($D398,'Informations sur les produits'!$A$3:$B$15000,2,FALSE),"")</f>
        <v/>
      </c>
      <c r="V398">
        <f t="shared" si="26"/>
        <v>0</v>
      </c>
      <c r="W398">
        <f t="shared" si="27"/>
        <v>0</v>
      </c>
    </row>
    <row r="399" spans="5:23" x14ac:dyDescent="0.25">
      <c r="E399" s="4"/>
      <c r="F399" s="4"/>
      <c r="G399" s="33" t="str">
        <f>IFERROR(VLOOKUP($D399,'Informations sur les produits'!$A$3:$H$10000,8,FALSE),"0")</f>
        <v>0</v>
      </c>
      <c r="K399" s="4"/>
      <c r="L399" s="33" t="str">
        <f>IFERROR(VLOOKUP($J399,'Informations sur les produits'!$A$3:$H$10000,8,FALSE),"0")</f>
        <v>0</v>
      </c>
      <c r="N399" s="8"/>
      <c r="O399" s="33" t="str">
        <f>IFERROR(VLOOKUP($M399,'Informations sur les produits'!$A$3:$H$10000,8,FALSE),"0")</f>
        <v>0</v>
      </c>
      <c r="P399" s="33">
        <f t="shared" si="24"/>
        <v>0</v>
      </c>
      <c r="Q399" s="31" t="str">
        <f t="shared" si="25"/>
        <v/>
      </c>
      <c r="R399" s="32" t="str">
        <f>IFERROR(VLOOKUP($D399,'Informations sur les produits'!$A$3:$B$15000,2,FALSE),"")</f>
        <v/>
      </c>
      <c r="V399">
        <f t="shared" si="26"/>
        <v>0</v>
      </c>
      <c r="W399">
        <f t="shared" si="27"/>
        <v>0</v>
      </c>
    </row>
    <row r="400" spans="5:23" x14ac:dyDescent="0.25">
      <c r="E400" s="4"/>
      <c r="F400" s="4"/>
      <c r="G400" s="33" t="str">
        <f>IFERROR(VLOOKUP($D400,'Informations sur les produits'!$A$3:$H$10000,8,FALSE),"0")</f>
        <v>0</v>
      </c>
      <c r="K400" s="4"/>
      <c r="L400" s="33" t="str">
        <f>IFERROR(VLOOKUP($J400,'Informations sur les produits'!$A$3:$H$10000,8,FALSE),"0")</f>
        <v>0</v>
      </c>
      <c r="N400" s="8"/>
      <c r="O400" s="33" t="str">
        <f>IFERROR(VLOOKUP($M400,'Informations sur les produits'!$A$3:$H$10000,8,FALSE),"0")</f>
        <v>0</v>
      </c>
      <c r="P400" s="33">
        <f t="shared" si="24"/>
        <v>0</v>
      </c>
      <c r="Q400" s="31" t="str">
        <f t="shared" si="25"/>
        <v/>
      </c>
      <c r="R400" s="32" t="str">
        <f>IFERROR(VLOOKUP($D400,'Informations sur les produits'!$A$3:$B$15000,2,FALSE),"")</f>
        <v/>
      </c>
      <c r="V400">
        <f t="shared" si="26"/>
        <v>0</v>
      </c>
      <c r="W400">
        <f t="shared" si="27"/>
        <v>0</v>
      </c>
    </row>
    <row r="401" spans="5:23" x14ac:dyDescent="0.25">
      <c r="E401" s="4"/>
      <c r="F401" s="4"/>
      <c r="G401" s="33" t="str">
        <f>IFERROR(VLOOKUP($D401,'Informations sur les produits'!$A$3:$H$10000,8,FALSE),"0")</f>
        <v>0</v>
      </c>
      <c r="K401" s="4"/>
      <c r="L401" s="33" t="str">
        <f>IFERROR(VLOOKUP($J401,'Informations sur les produits'!$A$3:$H$10000,8,FALSE),"0")</f>
        <v>0</v>
      </c>
      <c r="N401" s="8"/>
      <c r="O401" s="33" t="str">
        <f>IFERROR(VLOOKUP($M401,'Informations sur les produits'!$A$3:$H$10000,8,FALSE),"0")</f>
        <v>0</v>
      </c>
      <c r="P401" s="33">
        <f t="shared" si="24"/>
        <v>0</v>
      </c>
      <c r="Q401" s="31" t="str">
        <f t="shared" si="25"/>
        <v/>
      </c>
      <c r="R401" s="32" t="str">
        <f>IFERROR(VLOOKUP($D401,'Informations sur les produits'!$A$3:$B$15000,2,FALSE),"")</f>
        <v/>
      </c>
      <c r="V401">
        <f t="shared" si="26"/>
        <v>0</v>
      </c>
      <c r="W401">
        <f t="shared" si="27"/>
        <v>0</v>
      </c>
    </row>
    <row r="402" spans="5:23" x14ac:dyDescent="0.25">
      <c r="E402" s="4"/>
      <c r="F402" s="4"/>
      <c r="G402" s="33" t="str">
        <f>IFERROR(VLOOKUP($D402,'Informations sur les produits'!$A$3:$H$10000,8,FALSE),"0")</f>
        <v>0</v>
      </c>
      <c r="K402" s="4"/>
      <c r="L402" s="33" t="str">
        <f>IFERROR(VLOOKUP($J402,'Informations sur les produits'!$A$3:$H$10000,8,FALSE),"0")</f>
        <v>0</v>
      </c>
      <c r="N402" s="8"/>
      <c r="O402" s="33" t="str">
        <f>IFERROR(VLOOKUP($M402,'Informations sur les produits'!$A$3:$H$10000,8,FALSE),"0")</f>
        <v>0</v>
      </c>
      <c r="P402" s="33">
        <f t="shared" si="24"/>
        <v>0</v>
      </c>
      <c r="Q402" s="31" t="str">
        <f t="shared" si="25"/>
        <v/>
      </c>
      <c r="R402" s="32" t="str">
        <f>IFERROR(VLOOKUP($D402,'Informations sur les produits'!$A$3:$B$15000,2,FALSE),"")</f>
        <v/>
      </c>
      <c r="V402">
        <f t="shared" si="26"/>
        <v>0</v>
      </c>
      <c r="W402">
        <f t="shared" si="27"/>
        <v>0</v>
      </c>
    </row>
    <row r="403" spans="5:23" x14ac:dyDescent="0.25">
      <c r="E403" s="4"/>
      <c r="F403" s="4"/>
      <c r="G403" s="33" t="str">
        <f>IFERROR(VLOOKUP($D403,'Informations sur les produits'!$A$3:$H$10000,8,FALSE),"0")</f>
        <v>0</v>
      </c>
      <c r="K403" s="4"/>
      <c r="L403" s="33" t="str">
        <f>IFERROR(VLOOKUP($J403,'Informations sur les produits'!$A$3:$H$10000,8,FALSE),"0")</f>
        <v>0</v>
      </c>
      <c r="N403" s="8"/>
      <c r="O403" s="33" t="str">
        <f>IFERROR(VLOOKUP($M403,'Informations sur les produits'!$A$3:$H$10000,8,FALSE),"0")</f>
        <v>0</v>
      </c>
      <c r="P403" s="33">
        <f t="shared" si="24"/>
        <v>0</v>
      </c>
      <c r="Q403" s="31" t="str">
        <f t="shared" si="25"/>
        <v/>
      </c>
      <c r="R403" s="32" t="str">
        <f>IFERROR(VLOOKUP($D403,'Informations sur les produits'!$A$3:$B$15000,2,FALSE),"")</f>
        <v/>
      </c>
      <c r="V403">
        <f t="shared" si="26"/>
        <v>0</v>
      </c>
      <c r="W403">
        <f t="shared" si="27"/>
        <v>0</v>
      </c>
    </row>
    <row r="404" spans="5:23" x14ac:dyDescent="0.25">
      <c r="E404" s="4"/>
      <c r="F404" s="4"/>
      <c r="G404" s="33" t="str">
        <f>IFERROR(VLOOKUP($D404,'Informations sur les produits'!$A$3:$H$10000,8,FALSE),"0")</f>
        <v>0</v>
      </c>
      <c r="K404" s="4"/>
      <c r="L404" s="33" t="str">
        <f>IFERROR(VLOOKUP($J404,'Informations sur les produits'!$A$3:$H$10000,8,FALSE),"0")</f>
        <v>0</v>
      </c>
      <c r="N404" s="8"/>
      <c r="O404" s="33" t="str">
        <f>IFERROR(VLOOKUP($M404,'Informations sur les produits'!$A$3:$H$10000,8,FALSE),"0")</f>
        <v>0</v>
      </c>
      <c r="P404" s="33">
        <f t="shared" si="24"/>
        <v>0</v>
      </c>
      <c r="Q404" s="31" t="str">
        <f t="shared" si="25"/>
        <v/>
      </c>
      <c r="R404" s="32" t="str">
        <f>IFERROR(VLOOKUP($D404,'Informations sur les produits'!$A$3:$B$15000,2,FALSE),"")</f>
        <v/>
      </c>
      <c r="V404">
        <f t="shared" si="26"/>
        <v>0</v>
      </c>
      <c r="W404">
        <f t="shared" si="27"/>
        <v>0</v>
      </c>
    </row>
    <row r="405" spans="5:23" x14ac:dyDescent="0.25">
      <c r="E405" s="4"/>
      <c r="F405" s="4"/>
      <c r="G405" s="33" t="str">
        <f>IFERROR(VLOOKUP($D405,'Informations sur les produits'!$A$3:$H$10000,8,FALSE),"0")</f>
        <v>0</v>
      </c>
      <c r="K405" s="4"/>
      <c r="L405" s="33" t="str">
        <f>IFERROR(VLOOKUP($J405,'Informations sur les produits'!$A$3:$H$10000,8,FALSE),"0")</f>
        <v>0</v>
      </c>
      <c r="N405" s="8"/>
      <c r="O405" s="33" t="str">
        <f>IFERROR(VLOOKUP($M405,'Informations sur les produits'!$A$3:$H$10000,8,FALSE),"0")</f>
        <v>0</v>
      </c>
      <c r="P405" s="33">
        <f t="shared" si="24"/>
        <v>0</v>
      </c>
      <c r="Q405" s="31" t="str">
        <f t="shared" si="25"/>
        <v/>
      </c>
      <c r="R405" s="32" t="str">
        <f>IFERROR(VLOOKUP($D405,'Informations sur les produits'!$A$3:$B$15000,2,FALSE),"")</f>
        <v/>
      </c>
      <c r="V405">
        <f t="shared" si="26"/>
        <v>0</v>
      </c>
      <c r="W405">
        <f t="shared" si="27"/>
        <v>0</v>
      </c>
    </row>
    <row r="406" spans="5:23" x14ac:dyDescent="0.25">
      <c r="E406" s="4"/>
      <c r="F406" s="4"/>
      <c r="G406" s="33" t="str">
        <f>IFERROR(VLOOKUP($D406,'Informations sur les produits'!$A$3:$H$10000,8,FALSE),"0")</f>
        <v>0</v>
      </c>
      <c r="K406" s="4"/>
      <c r="L406" s="33" t="str">
        <f>IFERROR(VLOOKUP($J406,'Informations sur les produits'!$A$3:$H$10000,8,FALSE),"0")</f>
        <v>0</v>
      </c>
      <c r="N406" s="8"/>
      <c r="O406" s="33" t="str">
        <f>IFERROR(VLOOKUP($M406,'Informations sur les produits'!$A$3:$H$10000,8,FALSE),"0")</f>
        <v>0</v>
      </c>
      <c r="P406" s="33">
        <f t="shared" si="24"/>
        <v>0</v>
      </c>
      <c r="Q406" s="31" t="str">
        <f t="shared" si="25"/>
        <v/>
      </c>
      <c r="R406" s="32" t="str">
        <f>IFERROR(VLOOKUP($D406,'Informations sur les produits'!$A$3:$B$15000,2,FALSE),"")</f>
        <v/>
      </c>
      <c r="V406">
        <f t="shared" si="26"/>
        <v>0</v>
      </c>
      <c r="W406">
        <f t="shared" si="27"/>
        <v>0</v>
      </c>
    </row>
    <row r="407" spans="5:23" x14ac:dyDescent="0.25">
      <c r="E407" s="4"/>
      <c r="F407" s="4"/>
      <c r="G407" s="33" t="str">
        <f>IFERROR(VLOOKUP($D407,'Informations sur les produits'!$A$3:$H$10000,8,FALSE),"0")</f>
        <v>0</v>
      </c>
      <c r="K407" s="4"/>
      <c r="L407" s="33" t="str">
        <f>IFERROR(VLOOKUP($J407,'Informations sur les produits'!$A$3:$H$10000,8,FALSE),"0")</f>
        <v>0</v>
      </c>
      <c r="N407" s="8"/>
      <c r="O407" s="33" t="str">
        <f>IFERROR(VLOOKUP($M407,'Informations sur les produits'!$A$3:$H$10000,8,FALSE),"0")</f>
        <v>0</v>
      </c>
      <c r="P407" s="33">
        <f t="shared" si="24"/>
        <v>0</v>
      </c>
      <c r="Q407" s="31" t="str">
        <f t="shared" si="25"/>
        <v/>
      </c>
      <c r="R407" s="32" t="str">
        <f>IFERROR(VLOOKUP($D407,'Informations sur les produits'!$A$3:$B$15000,2,FALSE),"")</f>
        <v/>
      </c>
      <c r="V407">
        <f t="shared" si="26"/>
        <v>0</v>
      </c>
      <c r="W407">
        <f t="shared" si="27"/>
        <v>0</v>
      </c>
    </row>
    <row r="408" spans="5:23" x14ac:dyDescent="0.25">
      <c r="E408" s="4"/>
      <c r="F408" s="4"/>
      <c r="G408" s="33" t="str">
        <f>IFERROR(VLOOKUP($D408,'Informations sur les produits'!$A$3:$H$10000,8,FALSE),"0")</f>
        <v>0</v>
      </c>
      <c r="K408" s="4"/>
      <c r="L408" s="33" t="str">
        <f>IFERROR(VLOOKUP($J408,'Informations sur les produits'!$A$3:$H$10000,8,FALSE),"0")</f>
        <v>0</v>
      </c>
      <c r="N408" s="8"/>
      <c r="O408" s="33" t="str">
        <f>IFERROR(VLOOKUP($M408,'Informations sur les produits'!$A$3:$H$10000,8,FALSE),"0")</f>
        <v>0</v>
      </c>
      <c r="P408" s="33">
        <f t="shared" si="24"/>
        <v>0</v>
      </c>
      <c r="Q408" s="31" t="str">
        <f t="shared" si="25"/>
        <v/>
      </c>
      <c r="R408" s="32" t="str">
        <f>IFERROR(VLOOKUP($D408,'Informations sur les produits'!$A$3:$B$15000,2,FALSE),"")</f>
        <v/>
      </c>
      <c r="V408">
        <f t="shared" si="26"/>
        <v>0</v>
      </c>
      <c r="W408">
        <f t="shared" si="27"/>
        <v>0</v>
      </c>
    </row>
    <row r="409" spans="5:23" x14ac:dyDescent="0.25">
      <c r="E409" s="4"/>
      <c r="F409" s="4"/>
      <c r="G409" s="33" t="str">
        <f>IFERROR(VLOOKUP($D409,'Informations sur les produits'!$A$3:$H$10000,8,FALSE),"0")</f>
        <v>0</v>
      </c>
      <c r="K409" s="4"/>
      <c r="L409" s="33" t="str">
        <f>IFERROR(VLOOKUP($J409,'Informations sur les produits'!$A$3:$H$10000,8,FALSE),"0")</f>
        <v>0</v>
      </c>
      <c r="N409" s="8"/>
      <c r="O409" s="33" t="str">
        <f>IFERROR(VLOOKUP($M409,'Informations sur les produits'!$A$3:$H$10000,8,FALSE),"0")</f>
        <v>0</v>
      </c>
      <c r="P409" s="33">
        <f t="shared" si="24"/>
        <v>0</v>
      </c>
      <c r="Q409" s="31" t="str">
        <f t="shared" si="25"/>
        <v/>
      </c>
      <c r="R409" s="32" t="str">
        <f>IFERROR(VLOOKUP($D409,'Informations sur les produits'!$A$3:$B$15000,2,FALSE),"")</f>
        <v/>
      </c>
      <c r="V409">
        <f t="shared" si="26"/>
        <v>0</v>
      </c>
      <c r="W409">
        <f t="shared" si="27"/>
        <v>0</v>
      </c>
    </row>
    <row r="410" spans="5:23" x14ac:dyDescent="0.25">
      <c r="E410" s="4"/>
      <c r="F410" s="4"/>
      <c r="G410" s="33" t="str">
        <f>IFERROR(VLOOKUP($D410,'Informations sur les produits'!$A$3:$H$10000,8,FALSE),"0")</f>
        <v>0</v>
      </c>
      <c r="K410" s="4"/>
      <c r="L410" s="33" t="str">
        <f>IFERROR(VLOOKUP($J410,'Informations sur les produits'!$A$3:$H$10000,8,FALSE),"0")</f>
        <v>0</v>
      </c>
      <c r="N410" s="8"/>
      <c r="O410" s="33" t="str">
        <f>IFERROR(VLOOKUP($M410,'Informations sur les produits'!$A$3:$H$10000,8,FALSE),"0")</f>
        <v>0</v>
      </c>
      <c r="P410" s="33">
        <f t="shared" si="24"/>
        <v>0</v>
      </c>
      <c r="Q410" s="31" t="str">
        <f t="shared" si="25"/>
        <v/>
      </c>
      <c r="R410" s="32" t="str">
        <f>IFERROR(VLOOKUP($D410,'Informations sur les produits'!$A$3:$B$15000,2,FALSE),"")</f>
        <v/>
      </c>
      <c r="V410">
        <f t="shared" si="26"/>
        <v>0</v>
      </c>
      <c r="W410">
        <f t="shared" si="27"/>
        <v>0</v>
      </c>
    </row>
    <row r="411" spans="5:23" x14ac:dyDescent="0.25">
      <c r="E411" s="4"/>
      <c r="F411" s="4"/>
      <c r="G411" s="33" t="str">
        <f>IFERROR(VLOOKUP($D411,'Informations sur les produits'!$A$3:$H$10000,8,FALSE),"0")</f>
        <v>0</v>
      </c>
      <c r="K411" s="4"/>
      <c r="L411" s="33" t="str">
        <f>IFERROR(VLOOKUP($J411,'Informations sur les produits'!$A$3:$H$10000,8,FALSE),"0")</f>
        <v>0</v>
      </c>
      <c r="N411" s="8"/>
      <c r="O411" s="33" t="str">
        <f>IFERROR(VLOOKUP($M411,'Informations sur les produits'!$A$3:$H$10000,8,FALSE),"0")</f>
        <v>0</v>
      </c>
      <c r="P411" s="33">
        <f t="shared" si="24"/>
        <v>0</v>
      </c>
      <c r="Q411" s="31" t="str">
        <f t="shared" si="25"/>
        <v/>
      </c>
      <c r="R411" s="32" t="str">
        <f>IFERROR(VLOOKUP($D411,'Informations sur les produits'!$A$3:$B$15000,2,FALSE),"")</f>
        <v/>
      </c>
      <c r="V411">
        <f t="shared" si="26"/>
        <v>0</v>
      </c>
      <c r="W411">
        <f t="shared" si="27"/>
        <v>0</v>
      </c>
    </row>
    <row r="412" spans="5:23" x14ac:dyDescent="0.25">
      <c r="E412" s="4"/>
      <c r="F412" s="4"/>
      <c r="G412" s="33" t="str">
        <f>IFERROR(VLOOKUP($D412,'Informations sur les produits'!$A$3:$H$10000,8,FALSE),"0")</f>
        <v>0</v>
      </c>
      <c r="K412" s="4"/>
      <c r="L412" s="33" t="str">
        <f>IFERROR(VLOOKUP($J412,'Informations sur les produits'!$A$3:$H$10000,8,FALSE),"0")</f>
        <v>0</v>
      </c>
      <c r="N412" s="8"/>
      <c r="O412" s="33" t="str">
        <f>IFERROR(VLOOKUP($M412,'Informations sur les produits'!$A$3:$H$10000,8,FALSE),"0")</f>
        <v>0</v>
      </c>
      <c r="P412" s="33">
        <f t="shared" si="24"/>
        <v>0</v>
      </c>
      <c r="Q412" s="31" t="str">
        <f t="shared" si="25"/>
        <v/>
      </c>
      <c r="R412" s="32" t="str">
        <f>IFERROR(VLOOKUP($D412,'Informations sur les produits'!$A$3:$B$15000,2,FALSE),"")</f>
        <v/>
      </c>
      <c r="V412">
        <f t="shared" si="26"/>
        <v>0</v>
      </c>
      <c r="W412">
        <f t="shared" si="27"/>
        <v>0</v>
      </c>
    </row>
    <row r="413" spans="5:23" x14ac:dyDescent="0.25">
      <c r="E413" s="4"/>
      <c r="F413" s="4"/>
      <c r="G413" s="33" t="str">
        <f>IFERROR(VLOOKUP($D413,'Informations sur les produits'!$A$3:$H$10000,8,FALSE),"0")</f>
        <v>0</v>
      </c>
      <c r="K413" s="4"/>
      <c r="L413" s="33" t="str">
        <f>IFERROR(VLOOKUP($J413,'Informations sur les produits'!$A$3:$H$10000,8,FALSE),"0")</f>
        <v>0</v>
      </c>
      <c r="N413" s="8"/>
      <c r="O413" s="33" t="str">
        <f>IFERROR(VLOOKUP($M413,'Informations sur les produits'!$A$3:$H$10000,8,FALSE),"0")</f>
        <v>0</v>
      </c>
      <c r="P413" s="33">
        <f t="shared" si="24"/>
        <v>0</v>
      </c>
      <c r="Q413" s="31" t="str">
        <f t="shared" si="25"/>
        <v/>
      </c>
      <c r="R413" s="32" t="str">
        <f>IFERROR(VLOOKUP($D413,'Informations sur les produits'!$A$3:$B$15000,2,FALSE),"")</f>
        <v/>
      </c>
      <c r="V413">
        <f t="shared" si="26"/>
        <v>0</v>
      </c>
      <c r="W413">
        <f t="shared" si="27"/>
        <v>0</v>
      </c>
    </row>
    <row r="414" spans="5:23" x14ac:dyDescent="0.25">
      <c r="E414" s="4"/>
      <c r="F414" s="4"/>
      <c r="G414" s="33" t="str">
        <f>IFERROR(VLOOKUP($D414,'Informations sur les produits'!$A$3:$H$10000,8,FALSE),"0")</f>
        <v>0</v>
      </c>
      <c r="K414" s="4"/>
      <c r="L414" s="33" t="str">
        <f>IFERROR(VLOOKUP($J414,'Informations sur les produits'!$A$3:$H$10000,8,FALSE),"0")</f>
        <v>0</v>
      </c>
      <c r="N414" s="8"/>
      <c r="O414" s="33" t="str">
        <f>IFERROR(VLOOKUP($M414,'Informations sur les produits'!$A$3:$H$10000,8,FALSE),"0")</f>
        <v>0</v>
      </c>
      <c r="P414" s="33">
        <f t="shared" si="24"/>
        <v>0</v>
      </c>
      <c r="Q414" s="31" t="str">
        <f t="shared" si="25"/>
        <v/>
      </c>
      <c r="R414" s="32" t="str">
        <f>IFERROR(VLOOKUP($D414,'Informations sur les produits'!$A$3:$B$15000,2,FALSE),"")</f>
        <v/>
      </c>
      <c r="V414">
        <f t="shared" si="26"/>
        <v>0</v>
      </c>
      <c r="W414">
        <f t="shared" si="27"/>
        <v>0</v>
      </c>
    </row>
    <row r="415" spans="5:23" x14ac:dyDescent="0.25">
      <c r="E415" s="4"/>
      <c r="F415" s="4"/>
      <c r="G415" s="33" t="str">
        <f>IFERROR(VLOOKUP($D415,'Informations sur les produits'!$A$3:$H$10000,8,FALSE),"0")</f>
        <v>0</v>
      </c>
      <c r="K415" s="4"/>
      <c r="L415" s="33" t="str">
        <f>IFERROR(VLOOKUP($J415,'Informations sur les produits'!$A$3:$H$10000,8,FALSE),"0")</f>
        <v>0</v>
      </c>
      <c r="N415" s="8"/>
      <c r="O415" s="33" t="str">
        <f>IFERROR(VLOOKUP($M415,'Informations sur les produits'!$A$3:$H$10000,8,FALSE),"0")</f>
        <v>0</v>
      </c>
      <c r="P415" s="33">
        <f t="shared" si="24"/>
        <v>0</v>
      </c>
      <c r="Q415" s="31" t="str">
        <f t="shared" si="25"/>
        <v/>
      </c>
      <c r="R415" s="32" t="str">
        <f>IFERROR(VLOOKUP($D415,'Informations sur les produits'!$A$3:$B$15000,2,FALSE),"")</f>
        <v/>
      </c>
      <c r="V415">
        <f t="shared" si="26"/>
        <v>0</v>
      </c>
      <c r="W415">
        <f t="shared" si="27"/>
        <v>0</v>
      </c>
    </row>
    <row r="416" spans="5:23" x14ac:dyDescent="0.25">
      <c r="E416" s="4"/>
      <c r="F416" s="4"/>
      <c r="G416" s="33" t="str">
        <f>IFERROR(VLOOKUP($D416,'Informations sur les produits'!$A$3:$H$10000,8,FALSE),"0")</f>
        <v>0</v>
      </c>
      <c r="K416" s="4"/>
      <c r="L416" s="33" t="str">
        <f>IFERROR(VLOOKUP($J416,'Informations sur les produits'!$A$3:$H$10000,8,FALSE),"0")</f>
        <v>0</v>
      </c>
      <c r="N416" s="8"/>
      <c r="O416" s="33" t="str">
        <f>IFERROR(VLOOKUP($M416,'Informations sur les produits'!$A$3:$H$10000,8,FALSE),"0")</f>
        <v>0</v>
      </c>
      <c r="P416" s="33">
        <f t="shared" si="24"/>
        <v>0</v>
      </c>
      <c r="Q416" s="31" t="str">
        <f t="shared" si="25"/>
        <v/>
      </c>
      <c r="R416" s="32" t="str">
        <f>IFERROR(VLOOKUP($D416,'Informations sur les produits'!$A$3:$B$15000,2,FALSE),"")</f>
        <v/>
      </c>
      <c r="V416">
        <f t="shared" si="26"/>
        <v>0</v>
      </c>
      <c r="W416">
        <f t="shared" si="27"/>
        <v>0</v>
      </c>
    </row>
    <row r="417" spans="5:23" x14ac:dyDescent="0.25">
      <c r="E417" s="4"/>
      <c r="F417" s="4"/>
      <c r="G417" s="33" t="str">
        <f>IFERROR(VLOOKUP($D417,'Informations sur les produits'!$A$3:$H$10000,8,FALSE),"0")</f>
        <v>0</v>
      </c>
      <c r="K417" s="4"/>
      <c r="L417" s="33" t="str">
        <f>IFERROR(VLOOKUP($J417,'Informations sur les produits'!$A$3:$H$10000,8,FALSE),"0")</f>
        <v>0</v>
      </c>
      <c r="N417" s="8"/>
      <c r="O417" s="33" t="str">
        <f>IFERROR(VLOOKUP($M417,'Informations sur les produits'!$A$3:$H$10000,8,FALSE),"0")</f>
        <v>0</v>
      </c>
      <c r="P417" s="33">
        <f t="shared" si="24"/>
        <v>0</v>
      </c>
      <c r="Q417" s="31" t="str">
        <f t="shared" si="25"/>
        <v/>
      </c>
      <c r="R417" s="32" t="str">
        <f>IFERROR(VLOOKUP($D417,'Informations sur les produits'!$A$3:$B$15000,2,FALSE),"")</f>
        <v/>
      </c>
      <c r="V417">
        <f t="shared" si="26"/>
        <v>0</v>
      </c>
      <c r="W417">
        <f t="shared" si="27"/>
        <v>0</v>
      </c>
    </row>
    <row r="418" spans="5:23" x14ac:dyDescent="0.25">
      <c r="E418" s="4"/>
      <c r="F418" s="4"/>
      <c r="G418" s="33" t="str">
        <f>IFERROR(VLOOKUP($D418,'Informations sur les produits'!$A$3:$H$10000,8,FALSE),"0")</f>
        <v>0</v>
      </c>
      <c r="K418" s="4"/>
      <c r="L418" s="33" t="str">
        <f>IFERROR(VLOOKUP($J418,'Informations sur les produits'!$A$3:$H$10000,8,FALSE),"0")</f>
        <v>0</v>
      </c>
      <c r="N418" s="8"/>
      <c r="O418" s="33" t="str">
        <f>IFERROR(VLOOKUP($M418,'Informations sur les produits'!$A$3:$H$10000,8,FALSE),"0")</f>
        <v>0</v>
      </c>
      <c r="P418" s="33">
        <f t="shared" si="24"/>
        <v>0</v>
      </c>
      <c r="Q418" s="31" t="str">
        <f t="shared" si="25"/>
        <v/>
      </c>
      <c r="R418" s="32" t="str">
        <f>IFERROR(VLOOKUP($D418,'Informations sur les produits'!$A$3:$B$15000,2,FALSE),"")</f>
        <v/>
      </c>
      <c r="V418">
        <f t="shared" si="26"/>
        <v>0</v>
      </c>
      <c r="W418">
        <f t="shared" si="27"/>
        <v>0</v>
      </c>
    </row>
    <row r="419" spans="5:23" x14ac:dyDescent="0.25">
      <c r="E419" s="4"/>
      <c r="F419" s="4"/>
      <c r="G419" s="33" t="str">
        <f>IFERROR(VLOOKUP($D419,'Informations sur les produits'!$A$3:$H$10000,8,FALSE),"0")</f>
        <v>0</v>
      </c>
      <c r="K419" s="4"/>
      <c r="L419" s="33" t="str">
        <f>IFERROR(VLOOKUP($J419,'Informations sur les produits'!$A$3:$H$10000,8,FALSE),"0")</f>
        <v>0</v>
      </c>
      <c r="N419" s="8"/>
      <c r="O419" s="33" t="str">
        <f>IFERROR(VLOOKUP($M419,'Informations sur les produits'!$A$3:$H$10000,8,FALSE),"0")</f>
        <v>0</v>
      </c>
      <c r="P419" s="33">
        <f t="shared" si="24"/>
        <v>0</v>
      </c>
      <c r="Q419" s="31" t="str">
        <f t="shared" si="25"/>
        <v/>
      </c>
      <c r="R419" s="32" t="str">
        <f>IFERROR(VLOOKUP($D419,'Informations sur les produits'!$A$3:$B$15000,2,FALSE),"")</f>
        <v/>
      </c>
      <c r="V419">
        <f t="shared" si="26"/>
        <v>0</v>
      </c>
      <c r="W419">
        <f t="shared" si="27"/>
        <v>0</v>
      </c>
    </row>
    <row r="420" spans="5:23" x14ac:dyDescent="0.25">
      <c r="E420" s="4"/>
      <c r="F420" s="4"/>
      <c r="G420" s="33" t="str">
        <f>IFERROR(VLOOKUP($D420,'Informations sur les produits'!$A$3:$H$10000,8,FALSE),"0")</f>
        <v>0</v>
      </c>
      <c r="K420" s="4"/>
      <c r="L420" s="33" t="str">
        <f>IFERROR(VLOOKUP($J420,'Informations sur les produits'!$A$3:$H$10000,8,FALSE),"0")</f>
        <v>0</v>
      </c>
      <c r="N420" s="8"/>
      <c r="O420" s="33" t="str">
        <f>IFERROR(VLOOKUP($M420,'Informations sur les produits'!$A$3:$H$10000,8,FALSE),"0")</f>
        <v>0</v>
      </c>
      <c r="P420" s="33">
        <f t="shared" si="24"/>
        <v>0</v>
      </c>
      <c r="Q420" s="31" t="str">
        <f t="shared" si="25"/>
        <v/>
      </c>
      <c r="R420" s="32" t="str">
        <f>IFERROR(VLOOKUP($D420,'Informations sur les produits'!$A$3:$B$15000,2,FALSE),"")</f>
        <v/>
      </c>
      <c r="V420">
        <f t="shared" si="26"/>
        <v>0</v>
      </c>
      <c r="W420">
        <f t="shared" si="27"/>
        <v>0</v>
      </c>
    </row>
    <row r="421" spans="5:23" x14ac:dyDescent="0.25">
      <c r="E421" s="4"/>
      <c r="F421" s="4"/>
      <c r="G421" s="33" t="str">
        <f>IFERROR(VLOOKUP($D421,'Informations sur les produits'!$A$3:$H$10000,8,FALSE),"0")</f>
        <v>0</v>
      </c>
      <c r="K421" s="4"/>
      <c r="L421" s="33" t="str">
        <f>IFERROR(VLOOKUP($J421,'Informations sur les produits'!$A$3:$H$10000,8,FALSE),"0")</f>
        <v>0</v>
      </c>
      <c r="N421" s="8"/>
      <c r="O421" s="33" t="str">
        <f>IFERROR(VLOOKUP($M421,'Informations sur les produits'!$A$3:$H$10000,8,FALSE),"0")</f>
        <v>0</v>
      </c>
      <c r="P421" s="33">
        <f t="shared" si="24"/>
        <v>0</v>
      </c>
      <c r="Q421" s="31" t="str">
        <f t="shared" si="25"/>
        <v/>
      </c>
      <c r="R421" s="32" t="str">
        <f>IFERROR(VLOOKUP($D421,'Informations sur les produits'!$A$3:$B$15000,2,FALSE),"")</f>
        <v/>
      </c>
      <c r="V421">
        <f t="shared" si="26"/>
        <v>0</v>
      </c>
      <c r="W421">
        <f t="shared" si="27"/>
        <v>0</v>
      </c>
    </row>
    <row r="422" spans="5:23" x14ac:dyDescent="0.25">
      <c r="E422" s="4"/>
      <c r="F422" s="4"/>
      <c r="G422" s="33" t="str">
        <f>IFERROR(VLOOKUP($D422,'Informations sur les produits'!$A$3:$H$10000,8,FALSE),"0")</f>
        <v>0</v>
      </c>
      <c r="K422" s="4"/>
      <c r="L422" s="33" t="str">
        <f>IFERROR(VLOOKUP($J422,'Informations sur les produits'!$A$3:$H$10000,8,FALSE),"0")</f>
        <v>0</v>
      </c>
      <c r="N422" s="8"/>
      <c r="O422" s="33" t="str">
        <f>IFERROR(VLOOKUP($M422,'Informations sur les produits'!$A$3:$H$10000,8,FALSE),"0")</f>
        <v>0</v>
      </c>
      <c r="P422" s="33">
        <f t="shared" si="24"/>
        <v>0</v>
      </c>
      <c r="Q422" s="31" t="str">
        <f t="shared" si="25"/>
        <v/>
      </c>
      <c r="R422" s="32" t="str">
        <f>IFERROR(VLOOKUP($D422,'Informations sur les produits'!$A$3:$B$15000,2,FALSE),"")</f>
        <v/>
      </c>
      <c r="V422">
        <f t="shared" si="26"/>
        <v>0</v>
      </c>
      <c r="W422">
        <f t="shared" si="27"/>
        <v>0</v>
      </c>
    </row>
    <row r="423" spans="5:23" x14ac:dyDescent="0.25">
      <c r="E423" s="4"/>
      <c r="F423" s="4"/>
      <c r="G423" s="33" t="str">
        <f>IFERROR(VLOOKUP($D423,'Informations sur les produits'!$A$3:$H$10000,8,FALSE),"0")</f>
        <v>0</v>
      </c>
      <c r="K423" s="4"/>
      <c r="L423" s="33" t="str">
        <f>IFERROR(VLOOKUP($J423,'Informations sur les produits'!$A$3:$H$10000,8,FALSE),"0")</f>
        <v>0</v>
      </c>
      <c r="N423" s="8"/>
      <c r="O423" s="33" t="str">
        <f>IFERROR(VLOOKUP($M423,'Informations sur les produits'!$A$3:$H$10000,8,FALSE),"0")</f>
        <v>0</v>
      </c>
      <c r="P423" s="33">
        <f t="shared" si="24"/>
        <v>0</v>
      </c>
      <c r="Q423" s="31" t="str">
        <f t="shared" si="25"/>
        <v/>
      </c>
      <c r="R423" s="32" t="str">
        <f>IFERROR(VLOOKUP($D423,'Informations sur les produits'!$A$3:$B$15000,2,FALSE),"")</f>
        <v/>
      </c>
      <c r="V423">
        <f t="shared" si="26"/>
        <v>0</v>
      </c>
      <c r="W423">
        <f t="shared" si="27"/>
        <v>0</v>
      </c>
    </row>
    <row r="424" spans="5:23" x14ac:dyDescent="0.25">
      <c r="E424" s="4"/>
      <c r="F424" s="4"/>
      <c r="G424" s="33" t="str">
        <f>IFERROR(VLOOKUP($D424,'Informations sur les produits'!$A$3:$H$10000,8,FALSE),"0")</f>
        <v>0</v>
      </c>
      <c r="K424" s="4"/>
      <c r="L424" s="33" t="str">
        <f>IFERROR(VLOOKUP($J424,'Informations sur les produits'!$A$3:$H$10000,8,FALSE),"0")</f>
        <v>0</v>
      </c>
      <c r="N424" s="8"/>
      <c r="O424" s="33" t="str">
        <f>IFERROR(VLOOKUP($M424,'Informations sur les produits'!$A$3:$H$10000,8,FALSE),"0")</f>
        <v>0</v>
      </c>
      <c r="P424" s="33">
        <f t="shared" si="24"/>
        <v>0</v>
      </c>
      <c r="Q424" s="31" t="str">
        <f t="shared" si="25"/>
        <v/>
      </c>
      <c r="R424" s="32" t="str">
        <f>IFERROR(VLOOKUP($D424,'Informations sur les produits'!$A$3:$B$15000,2,FALSE),"")</f>
        <v/>
      </c>
      <c r="V424">
        <f t="shared" si="26"/>
        <v>0</v>
      </c>
      <c r="W424">
        <f t="shared" si="27"/>
        <v>0</v>
      </c>
    </row>
    <row r="425" spans="5:23" x14ac:dyDescent="0.25">
      <c r="E425" s="4"/>
      <c r="F425" s="4"/>
      <c r="G425" s="33" t="str">
        <f>IFERROR(VLOOKUP($D425,'Informations sur les produits'!$A$3:$H$10000,8,FALSE),"0")</f>
        <v>0</v>
      </c>
      <c r="K425" s="4"/>
      <c r="L425" s="33" t="str">
        <f>IFERROR(VLOOKUP($J425,'Informations sur les produits'!$A$3:$H$10000,8,FALSE),"0")</f>
        <v>0</v>
      </c>
      <c r="N425" s="8"/>
      <c r="O425" s="33" t="str">
        <f>IFERROR(VLOOKUP($M425,'Informations sur les produits'!$A$3:$H$10000,8,FALSE),"0")</f>
        <v>0</v>
      </c>
      <c r="P425" s="33">
        <f t="shared" si="24"/>
        <v>0</v>
      </c>
      <c r="Q425" s="31" t="str">
        <f t="shared" si="25"/>
        <v/>
      </c>
      <c r="R425" s="32" t="str">
        <f>IFERROR(VLOOKUP($D425,'Informations sur les produits'!$A$3:$B$15000,2,FALSE),"")</f>
        <v/>
      </c>
      <c r="V425">
        <f t="shared" si="26"/>
        <v>0</v>
      </c>
      <c r="W425">
        <f t="shared" si="27"/>
        <v>0</v>
      </c>
    </row>
    <row r="426" spans="5:23" x14ac:dyDescent="0.25">
      <c r="E426" s="4"/>
      <c r="F426" s="4"/>
      <c r="G426" s="33" t="str">
        <f>IFERROR(VLOOKUP($D426,'Informations sur les produits'!$A$3:$H$10000,8,FALSE),"0")</f>
        <v>0</v>
      </c>
      <c r="K426" s="4"/>
      <c r="L426" s="33" t="str">
        <f>IFERROR(VLOOKUP($J426,'Informations sur les produits'!$A$3:$H$10000,8,FALSE),"0")</f>
        <v>0</v>
      </c>
      <c r="N426" s="8"/>
      <c r="O426" s="33" t="str">
        <f>IFERROR(VLOOKUP($M426,'Informations sur les produits'!$A$3:$H$10000,8,FALSE),"0")</f>
        <v>0</v>
      </c>
      <c r="P426" s="33">
        <f t="shared" si="24"/>
        <v>0</v>
      </c>
      <c r="Q426" s="31" t="str">
        <f t="shared" si="25"/>
        <v/>
      </c>
      <c r="R426" s="32" t="str">
        <f>IFERROR(VLOOKUP($D426,'Informations sur les produits'!$A$3:$B$15000,2,FALSE),"")</f>
        <v/>
      </c>
      <c r="V426">
        <f t="shared" si="26"/>
        <v>0</v>
      </c>
      <c r="W426">
        <f t="shared" si="27"/>
        <v>0</v>
      </c>
    </row>
    <row r="427" spans="5:23" x14ac:dyDescent="0.25">
      <c r="E427" s="4"/>
      <c r="F427" s="4"/>
      <c r="G427" s="33" t="str">
        <f>IFERROR(VLOOKUP($D427,'Informations sur les produits'!$A$3:$H$10000,8,FALSE),"0")</f>
        <v>0</v>
      </c>
      <c r="K427" s="4"/>
      <c r="L427" s="33" t="str">
        <f>IFERROR(VLOOKUP($J427,'Informations sur les produits'!$A$3:$H$10000,8,FALSE),"0")</f>
        <v>0</v>
      </c>
      <c r="N427" s="8"/>
      <c r="O427" s="33" t="str">
        <f>IFERROR(VLOOKUP($M427,'Informations sur les produits'!$A$3:$H$10000,8,FALSE),"0")</f>
        <v>0</v>
      </c>
      <c r="P427" s="33">
        <f t="shared" si="24"/>
        <v>0</v>
      </c>
      <c r="Q427" s="31" t="str">
        <f t="shared" si="25"/>
        <v/>
      </c>
      <c r="R427" s="32" t="str">
        <f>IFERROR(VLOOKUP($D427,'Informations sur les produits'!$A$3:$B$15000,2,FALSE),"")</f>
        <v/>
      </c>
      <c r="V427">
        <f t="shared" si="26"/>
        <v>0</v>
      </c>
      <c r="W427">
        <f t="shared" si="27"/>
        <v>0</v>
      </c>
    </row>
    <row r="428" spans="5:23" x14ac:dyDescent="0.25">
      <c r="E428" s="4"/>
      <c r="F428" s="4"/>
      <c r="G428" s="33" t="str">
        <f>IFERROR(VLOOKUP($D428,'Informations sur les produits'!$A$3:$H$10000,8,FALSE),"0")</f>
        <v>0</v>
      </c>
      <c r="K428" s="4"/>
      <c r="L428" s="33" t="str">
        <f>IFERROR(VLOOKUP($J428,'Informations sur les produits'!$A$3:$H$10000,8,FALSE),"0")</f>
        <v>0</v>
      </c>
      <c r="N428" s="8"/>
      <c r="O428" s="33" t="str">
        <f>IFERROR(VLOOKUP($M428,'Informations sur les produits'!$A$3:$H$10000,8,FALSE),"0")</f>
        <v>0</v>
      </c>
      <c r="P428" s="33">
        <f t="shared" si="24"/>
        <v>0</v>
      </c>
      <c r="Q428" s="31" t="str">
        <f t="shared" si="25"/>
        <v/>
      </c>
      <c r="R428" s="32" t="str">
        <f>IFERROR(VLOOKUP($D428,'Informations sur les produits'!$A$3:$B$15000,2,FALSE),"")</f>
        <v/>
      </c>
      <c r="V428">
        <f t="shared" si="26"/>
        <v>0</v>
      </c>
      <c r="W428">
        <f t="shared" si="27"/>
        <v>0</v>
      </c>
    </row>
    <row r="429" spans="5:23" x14ac:dyDescent="0.25">
      <c r="E429" s="4"/>
      <c r="F429" s="4"/>
      <c r="G429" s="33" t="str">
        <f>IFERROR(VLOOKUP($D429,'Informations sur les produits'!$A$3:$H$10000,8,FALSE),"0")</f>
        <v>0</v>
      </c>
      <c r="K429" s="4"/>
      <c r="L429" s="33" t="str">
        <f>IFERROR(VLOOKUP($J429,'Informations sur les produits'!$A$3:$H$10000,8,FALSE),"0")</f>
        <v>0</v>
      </c>
      <c r="N429" s="8"/>
      <c r="O429" s="33" t="str">
        <f>IFERROR(VLOOKUP($M429,'Informations sur les produits'!$A$3:$H$10000,8,FALSE),"0")</f>
        <v>0</v>
      </c>
      <c r="P429" s="33">
        <f t="shared" si="24"/>
        <v>0</v>
      </c>
      <c r="Q429" s="31" t="str">
        <f t="shared" si="25"/>
        <v/>
      </c>
      <c r="R429" s="32" t="str">
        <f>IFERROR(VLOOKUP($D429,'Informations sur les produits'!$A$3:$B$15000,2,FALSE),"")</f>
        <v/>
      </c>
      <c r="V429">
        <f t="shared" si="26"/>
        <v>0</v>
      </c>
      <c r="W429">
        <f t="shared" si="27"/>
        <v>0</v>
      </c>
    </row>
    <row r="430" spans="5:23" x14ac:dyDescent="0.25">
      <c r="E430" s="4"/>
      <c r="F430" s="4"/>
      <c r="G430" s="33" t="str">
        <f>IFERROR(VLOOKUP($D430,'Informations sur les produits'!$A$3:$H$10000,8,FALSE),"0")</f>
        <v>0</v>
      </c>
      <c r="K430" s="4"/>
      <c r="L430" s="33" t="str">
        <f>IFERROR(VLOOKUP($J430,'Informations sur les produits'!$A$3:$H$10000,8,FALSE),"0")</f>
        <v>0</v>
      </c>
      <c r="N430" s="8"/>
      <c r="O430" s="33" t="str">
        <f>IFERROR(VLOOKUP($M430,'Informations sur les produits'!$A$3:$H$10000,8,FALSE),"0")</f>
        <v>0</v>
      </c>
      <c r="P430" s="33">
        <f t="shared" si="24"/>
        <v>0</v>
      </c>
      <c r="Q430" s="31" t="str">
        <f t="shared" si="25"/>
        <v/>
      </c>
      <c r="R430" s="32" t="str">
        <f>IFERROR(VLOOKUP($D430,'Informations sur les produits'!$A$3:$B$15000,2,FALSE),"")</f>
        <v/>
      </c>
      <c r="V430">
        <f t="shared" si="26"/>
        <v>0</v>
      </c>
      <c r="W430">
        <f t="shared" si="27"/>
        <v>0</v>
      </c>
    </row>
    <row r="431" spans="5:23" x14ac:dyDescent="0.25">
      <c r="E431" s="4"/>
      <c r="F431" s="4"/>
      <c r="G431" s="33" t="str">
        <f>IFERROR(VLOOKUP($D431,'Informations sur les produits'!$A$3:$H$10000,8,FALSE),"0")</f>
        <v>0</v>
      </c>
      <c r="K431" s="4"/>
      <c r="L431" s="33" t="str">
        <f>IFERROR(VLOOKUP($J431,'Informations sur les produits'!$A$3:$H$10000,8,FALSE),"0")</f>
        <v>0</v>
      </c>
      <c r="N431" s="8"/>
      <c r="O431" s="33" t="str">
        <f>IFERROR(VLOOKUP($M431,'Informations sur les produits'!$A$3:$H$10000,8,FALSE),"0")</f>
        <v>0</v>
      </c>
      <c r="P431" s="33">
        <f t="shared" si="24"/>
        <v>0</v>
      </c>
      <c r="Q431" s="31" t="str">
        <f t="shared" si="25"/>
        <v/>
      </c>
      <c r="R431" s="32" t="str">
        <f>IFERROR(VLOOKUP($D431,'Informations sur les produits'!$A$3:$B$15000,2,FALSE),"")</f>
        <v/>
      </c>
      <c r="V431">
        <f t="shared" si="26"/>
        <v>0</v>
      </c>
      <c r="W431">
        <f t="shared" si="27"/>
        <v>0</v>
      </c>
    </row>
    <row r="432" spans="5:23" x14ac:dyDescent="0.25">
      <c r="E432" s="4"/>
      <c r="F432" s="4"/>
      <c r="G432" s="33" t="str">
        <f>IFERROR(VLOOKUP($D432,'Informations sur les produits'!$A$3:$H$10000,8,FALSE),"0")</f>
        <v>0</v>
      </c>
      <c r="K432" s="4"/>
      <c r="L432" s="33" t="str">
        <f>IFERROR(VLOOKUP($J432,'Informations sur les produits'!$A$3:$H$10000,8,FALSE),"0")</f>
        <v>0</v>
      </c>
      <c r="N432" s="8"/>
      <c r="O432" s="33" t="str">
        <f>IFERROR(VLOOKUP($M432,'Informations sur les produits'!$A$3:$H$10000,8,FALSE),"0")</f>
        <v>0</v>
      </c>
      <c r="P432" s="33">
        <f t="shared" si="24"/>
        <v>0</v>
      </c>
      <c r="Q432" s="31" t="str">
        <f t="shared" si="25"/>
        <v/>
      </c>
      <c r="R432" s="32" t="str">
        <f>IFERROR(VLOOKUP($D432,'Informations sur les produits'!$A$3:$B$15000,2,FALSE),"")</f>
        <v/>
      </c>
      <c r="V432">
        <f t="shared" si="26"/>
        <v>0</v>
      </c>
      <c r="W432">
        <f t="shared" si="27"/>
        <v>0</v>
      </c>
    </row>
    <row r="433" spans="5:23" x14ac:dyDescent="0.25">
      <c r="E433" s="4"/>
      <c r="F433" s="4"/>
      <c r="G433" s="33" t="str">
        <f>IFERROR(VLOOKUP($D433,'Informations sur les produits'!$A$3:$H$10000,8,FALSE),"0")</f>
        <v>0</v>
      </c>
      <c r="K433" s="4"/>
      <c r="L433" s="33" t="str">
        <f>IFERROR(VLOOKUP($J433,'Informations sur les produits'!$A$3:$H$10000,8,FALSE),"0")</f>
        <v>0</v>
      </c>
      <c r="N433" s="8"/>
      <c r="O433" s="33" t="str">
        <f>IFERROR(VLOOKUP($M433,'Informations sur les produits'!$A$3:$H$10000,8,FALSE),"0")</f>
        <v>0</v>
      </c>
      <c r="P433" s="33">
        <f t="shared" si="24"/>
        <v>0</v>
      </c>
      <c r="Q433" s="31" t="str">
        <f t="shared" si="25"/>
        <v/>
      </c>
      <c r="R433" s="32" t="str">
        <f>IFERROR(VLOOKUP($D433,'Informations sur les produits'!$A$3:$B$15000,2,FALSE),"")</f>
        <v/>
      </c>
      <c r="V433">
        <f t="shared" si="26"/>
        <v>0</v>
      </c>
      <c r="W433">
        <f t="shared" si="27"/>
        <v>0</v>
      </c>
    </row>
    <row r="434" spans="5:23" x14ac:dyDescent="0.25">
      <c r="E434" s="4"/>
      <c r="F434" s="4"/>
      <c r="G434" s="33" t="str">
        <f>IFERROR(VLOOKUP($D434,'Informations sur les produits'!$A$3:$H$10000,8,FALSE),"0")</f>
        <v>0</v>
      </c>
      <c r="K434" s="4"/>
      <c r="L434" s="33" t="str">
        <f>IFERROR(VLOOKUP($J434,'Informations sur les produits'!$A$3:$H$10000,8,FALSE),"0")</f>
        <v>0</v>
      </c>
      <c r="N434" s="8"/>
      <c r="O434" s="33" t="str">
        <f>IFERROR(VLOOKUP($M434,'Informations sur les produits'!$A$3:$H$10000,8,FALSE),"0")</f>
        <v>0</v>
      </c>
      <c r="P434" s="33">
        <f t="shared" si="24"/>
        <v>0</v>
      </c>
      <c r="Q434" s="31" t="str">
        <f t="shared" si="25"/>
        <v/>
      </c>
      <c r="R434" s="32" t="str">
        <f>IFERROR(VLOOKUP($D434,'Informations sur les produits'!$A$3:$B$15000,2,FALSE),"")</f>
        <v/>
      </c>
      <c r="V434">
        <f t="shared" si="26"/>
        <v>0</v>
      </c>
      <c r="W434">
        <f t="shared" si="27"/>
        <v>0</v>
      </c>
    </row>
    <row r="435" spans="5:23" x14ac:dyDescent="0.25">
      <c r="E435" s="4"/>
      <c r="F435" s="4"/>
      <c r="G435" s="33" t="str">
        <f>IFERROR(VLOOKUP($D435,'Informations sur les produits'!$A$3:$H$10000,8,FALSE),"0")</f>
        <v>0</v>
      </c>
      <c r="K435" s="4"/>
      <c r="L435" s="33" t="str">
        <f>IFERROR(VLOOKUP($J435,'Informations sur les produits'!$A$3:$H$10000,8,FALSE),"0")</f>
        <v>0</v>
      </c>
      <c r="N435" s="8"/>
      <c r="O435" s="33" t="str">
        <f>IFERROR(VLOOKUP($M435,'Informations sur les produits'!$A$3:$H$10000,8,FALSE),"0")</f>
        <v>0</v>
      </c>
      <c r="P435" s="33">
        <f t="shared" si="24"/>
        <v>0</v>
      </c>
      <c r="Q435" s="31" t="str">
        <f t="shared" si="25"/>
        <v/>
      </c>
      <c r="R435" s="32" t="str">
        <f>IFERROR(VLOOKUP($D435,'Informations sur les produits'!$A$3:$B$15000,2,FALSE),"")</f>
        <v/>
      </c>
      <c r="V435">
        <f t="shared" si="26"/>
        <v>0</v>
      </c>
      <c r="W435">
        <f t="shared" si="27"/>
        <v>0</v>
      </c>
    </row>
    <row r="436" spans="5:23" x14ac:dyDescent="0.25">
      <c r="E436" s="4"/>
      <c r="F436" s="4"/>
      <c r="G436" s="33" t="str">
        <f>IFERROR(VLOOKUP($D436,'Informations sur les produits'!$A$3:$H$10000,8,FALSE),"0")</f>
        <v>0</v>
      </c>
      <c r="K436" s="4"/>
      <c r="L436" s="33" t="str">
        <f>IFERROR(VLOOKUP($J436,'Informations sur les produits'!$A$3:$H$10000,8,FALSE),"0")</f>
        <v>0</v>
      </c>
      <c r="N436" s="8"/>
      <c r="O436" s="33" t="str">
        <f>IFERROR(VLOOKUP($M436,'Informations sur les produits'!$A$3:$H$10000,8,FALSE),"0")</f>
        <v>0</v>
      </c>
      <c r="P436" s="33">
        <f t="shared" si="24"/>
        <v>0</v>
      </c>
      <c r="Q436" s="31" t="str">
        <f t="shared" si="25"/>
        <v/>
      </c>
      <c r="R436" s="32" t="str">
        <f>IFERROR(VLOOKUP($D436,'Informations sur les produits'!$A$3:$B$15000,2,FALSE),"")</f>
        <v/>
      </c>
      <c r="V436">
        <f t="shared" si="26"/>
        <v>0</v>
      </c>
      <c r="W436">
        <f t="shared" si="27"/>
        <v>0</v>
      </c>
    </row>
    <row r="437" spans="5:23" x14ac:dyDescent="0.25">
      <c r="E437" s="4"/>
      <c r="F437" s="4"/>
      <c r="G437" s="33" t="str">
        <f>IFERROR(VLOOKUP($D437,'Informations sur les produits'!$A$3:$H$10000,8,FALSE),"0")</f>
        <v>0</v>
      </c>
      <c r="K437" s="4"/>
      <c r="L437" s="33" t="str">
        <f>IFERROR(VLOOKUP($J437,'Informations sur les produits'!$A$3:$H$10000,8,FALSE),"0")</f>
        <v>0</v>
      </c>
      <c r="N437" s="8"/>
      <c r="O437" s="33" t="str">
        <f>IFERROR(VLOOKUP($M437,'Informations sur les produits'!$A$3:$H$10000,8,FALSE),"0")</f>
        <v>0</v>
      </c>
      <c r="P437" s="33">
        <f t="shared" si="24"/>
        <v>0</v>
      </c>
      <c r="Q437" s="31" t="str">
        <f t="shared" si="25"/>
        <v/>
      </c>
      <c r="R437" s="32" t="str">
        <f>IFERROR(VLOOKUP($D437,'Informations sur les produits'!$A$3:$B$15000,2,FALSE),"")</f>
        <v/>
      </c>
      <c r="V437">
        <f t="shared" si="26"/>
        <v>0</v>
      </c>
      <c r="W437">
        <f t="shared" si="27"/>
        <v>0</v>
      </c>
    </row>
    <row r="438" spans="5:23" x14ac:dyDescent="0.25">
      <c r="E438" s="4"/>
      <c r="F438" s="4"/>
      <c r="G438" s="33" t="str">
        <f>IFERROR(VLOOKUP($D438,'Informations sur les produits'!$A$3:$H$10000,8,FALSE),"0")</f>
        <v>0</v>
      </c>
      <c r="K438" s="4"/>
      <c r="L438" s="33" t="str">
        <f>IFERROR(VLOOKUP($J438,'Informations sur les produits'!$A$3:$H$10000,8,FALSE),"0")</f>
        <v>0</v>
      </c>
      <c r="N438" s="8"/>
      <c r="O438" s="33" t="str">
        <f>IFERROR(VLOOKUP($M438,'Informations sur les produits'!$A$3:$H$10000,8,FALSE),"0")</f>
        <v>0</v>
      </c>
      <c r="P438" s="33">
        <f t="shared" si="24"/>
        <v>0</v>
      </c>
      <c r="Q438" s="31" t="str">
        <f t="shared" si="25"/>
        <v/>
      </c>
      <c r="R438" s="32" t="str">
        <f>IFERROR(VLOOKUP($D438,'Informations sur les produits'!$A$3:$B$15000,2,FALSE),"")</f>
        <v/>
      </c>
      <c r="V438">
        <f t="shared" si="26"/>
        <v>0</v>
      </c>
      <c r="W438">
        <f t="shared" si="27"/>
        <v>0</v>
      </c>
    </row>
    <row r="439" spans="5:23" x14ac:dyDescent="0.25">
      <c r="E439" s="4"/>
      <c r="F439" s="4"/>
      <c r="G439" s="33" t="str">
        <f>IFERROR(VLOOKUP($D439,'Informations sur les produits'!$A$3:$H$10000,8,FALSE),"0")</f>
        <v>0</v>
      </c>
      <c r="K439" s="4"/>
      <c r="L439" s="33" t="str">
        <f>IFERROR(VLOOKUP($J439,'Informations sur les produits'!$A$3:$H$10000,8,FALSE),"0")</f>
        <v>0</v>
      </c>
      <c r="N439" s="8"/>
      <c r="O439" s="33" t="str">
        <f>IFERROR(VLOOKUP($M439,'Informations sur les produits'!$A$3:$H$10000,8,FALSE),"0")</f>
        <v>0</v>
      </c>
      <c r="P439" s="33">
        <f t="shared" si="24"/>
        <v>0</v>
      </c>
      <c r="Q439" s="31" t="str">
        <f t="shared" si="25"/>
        <v/>
      </c>
      <c r="R439" s="32" t="str">
        <f>IFERROR(VLOOKUP($D439,'Informations sur les produits'!$A$3:$B$15000,2,FALSE),"")</f>
        <v/>
      </c>
      <c r="V439">
        <f t="shared" si="26"/>
        <v>0</v>
      </c>
      <c r="W439">
        <f t="shared" si="27"/>
        <v>0</v>
      </c>
    </row>
    <row r="440" spans="5:23" x14ac:dyDescent="0.25">
      <c r="E440" s="4"/>
      <c r="F440" s="4"/>
      <c r="G440" s="33" t="str">
        <f>IFERROR(VLOOKUP($D440,'Informations sur les produits'!$A$3:$H$10000,8,FALSE),"0")</f>
        <v>0</v>
      </c>
      <c r="K440" s="4"/>
      <c r="L440" s="33" t="str">
        <f>IFERROR(VLOOKUP($J440,'Informations sur les produits'!$A$3:$H$10000,8,FALSE),"0")</f>
        <v>0</v>
      </c>
      <c r="N440" s="8"/>
      <c r="O440" s="33" t="str">
        <f>IFERROR(VLOOKUP($M440,'Informations sur les produits'!$A$3:$H$10000,8,FALSE),"0")</f>
        <v>0</v>
      </c>
      <c r="P440" s="33">
        <f t="shared" si="24"/>
        <v>0</v>
      </c>
      <c r="Q440" s="31" t="str">
        <f t="shared" si="25"/>
        <v/>
      </c>
      <c r="R440" s="32" t="str">
        <f>IFERROR(VLOOKUP($D440,'Informations sur les produits'!$A$3:$B$15000,2,FALSE),"")</f>
        <v/>
      </c>
      <c r="V440">
        <f t="shared" si="26"/>
        <v>0</v>
      </c>
      <c r="W440">
        <f t="shared" si="27"/>
        <v>0</v>
      </c>
    </row>
    <row r="441" spans="5:23" x14ac:dyDescent="0.25">
      <c r="E441" s="4"/>
      <c r="F441" s="4"/>
      <c r="G441" s="33" t="str">
        <f>IFERROR(VLOOKUP($D441,'Informations sur les produits'!$A$3:$H$10000,8,FALSE),"0")</f>
        <v>0</v>
      </c>
      <c r="K441" s="4"/>
      <c r="L441" s="33" t="str">
        <f>IFERROR(VLOOKUP($J441,'Informations sur les produits'!$A$3:$H$10000,8,FALSE),"0")</f>
        <v>0</v>
      </c>
      <c r="N441" s="8"/>
      <c r="O441" s="33" t="str">
        <f>IFERROR(VLOOKUP($M441,'Informations sur les produits'!$A$3:$H$10000,8,FALSE),"0")</f>
        <v>0</v>
      </c>
      <c r="P441" s="33">
        <f t="shared" si="24"/>
        <v>0</v>
      </c>
      <c r="Q441" s="31" t="str">
        <f t="shared" si="25"/>
        <v/>
      </c>
      <c r="R441" s="32" t="str">
        <f>IFERROR(VLOOKUP($D441,'Informations sur les produits'!$A$3:$B$15000,2,FALSE),"")</f>
        <v/>
      </c>
      <c r="V441">
        <f t="shared" si="26"/>
        <v>0</v>
      </c>
      <c r="W441">
        <f t="shared" si="27"/>
        <v>0</v>
      </c>
    </row>
    <row r="442" spans="5:23" x14ac:dyDescent="0.25">
      <c r="E442" s="4"/>
      <c r="F442" s="4"/>
      <c r="G442" s="33" t="str">
        <f>IFERROR(VLOOKUP($D442,'Informations sur les produits'!$A$3:$H$10000,8,FALSE),"0")</f>
        <v>0</v>
      </c>
      <c r="K442" s="4"/>
      <c r="L442" s="33" t="str">
        <f>IFERROR(VLOOKUP($J442,'Informations sur les produits'!$A$3:$H$10000,8,FALSE),"0")</f>
        <v>0</v>
      </c>
      <c r="N442" s="8"/>
      <c r="O442" s="33" t="str">
        <f>IFERROR(VLOOKUP($M442,'Informations sur les produits'!$A$3:$H$10000,8,FALSE),"0")</f>
        <v>0</v>
      </c>
      <c r="P442" s="33">
        <f t="shared" si="24"/>
        <v>0</v>
      </c>
      <c r="Q442" s="31" t="str">
        <f t="shared" si="25"/>
        <v/>
      </c>
      <c r="R442" s="32" t="str">
        <f>IFERROR(VLOOKUP($D442,'Informations sur les produits'!$A$3:$B$15000,2,FALSE),"")</f>
        <v/>
      </c>
      <c r="V442">
        <f t="shared" si="26"/>
        <v>0</v>
      </c>
      <c r="W442">
        <f t="shared" si="27"/>
        <v>0</v>
      </c>
    </row>
    <row r="443" spans="5:23" x14ac:dyDescent="0.25">
      <c r="E443" s="4"/>
      <c r="F443" s="4"/>
      <c r="G443" s="33" t="str">
        <f>IFERROR(VLOOKUP($D443,'Informations sur les produits'!$A$3:$H$10000,8,FALSE),"0")</f>
        <v>0</v>
      </c>
      <c r="K443" s="4"/>
      <c r="L443" s="33" t="str">
        <f>IFERROR(VLOOKUP($J443,'Informations sur les produits'!$A$3:$H$10000,8,FALSE),"0")</f>
        <v>0</v>
      </c>
      <c r="N443" s="8"/>
      <c r="O443" s="33" t="str">
        <f>IFERROR(VLOOKUP($M443,'Informations sur les produits'!$A$3:$H$10000,8,FALSE),"0")</f>
        <v>0</v>
      </c>
      <c r="P443" s="33">
        <f t="shared" si="24"/>
        <v>0</v>
      </c>
      <c r="Q443" s="31" t="str">
        <f t="shared" si="25"/>
        <v/>
      </c>
      <c r="R443" s="32" t="str">
        <f>IFERROR(VLOOKUP($D443,'Informations sur les produits'!$A$3:$B$15000,2,FALSE),"")</f>
        <v/>
      </c>
      <c r="V443">
        <f t="shared" si="26"/>
        <v>0</v>
      </c>
      <c r="W443">
        <f t="shared" si="27"/>
        <v>0</v>
      </c>
    </row>
    <row r="444" spans="5:23" x14ac:dyDescent="0.25">
      <c r="E444" s="4"/>
      <c r="F444" s="4"/>
      <c r="G444" s="33" t="str">
        <f>IFERROR(VLOOKUP($D444,'Informations sur les produits'!$A$3:$H$10000,8,FALSE),"0")</f>
        <v>0</v>
      </c>
      <c r="K444" s="4"/>
      <c r="L444" s="33" t="str">
        <f>IFERROR(VLOOKUP($J444,'Informations sur les produits'!$A$3:$H$10000,8,FALSE),"0")</f>
        <v>0</v>
      </c>
      <c r="N444" s="8"/>
      <c r="O444" s="33" t="str">
        <f>IFERROR(VLOOKUP($M444,'Informations sur les produits'!$A$3:$H$10000,8,FALSE),"0")</f>
        <v>0</v>
      </c>
      <c r="P444" s="33">
        <f t="shared" si="24"/>
        <v>0</v>
      </c>
      <c r="Q444" s="31" t="str">
        <f t="shared" si="25"/>
        <v/>
      </c>
      <c r="R444" s="32" t="str">
        <f>IFERROR(VLOOKUP($D444,'Informations sur les produits'!$A$3:$B$15000,2,FALSE),"")</f>
        <v/>
      </c>
      <c r="V444">
        <f t="shared" si="26"/>
        <v>0</v>
      </c>
      <c r="W444">
        <f t="shared" si="27"/>
        <v>0</v>
      </c>
    </row>
    <row r="445" spans="5:23" x14ac:dyDescent="0.25">
      <c r="E445" s="4"/>
      <c r="F445" s="4"/>
      <c r="G445" s="33" t="str">
        <f>IFERROR(VLOOKUP($D445,'Informations sur les produits'!$A$3:$H$10000,8,FALSE),"0")</f>
        <v>0</v>
      </c>
      <c r="K445" s="4"/>
      <c r="L445" s="33" t="str">
        <f>IFERROR(VLOOKUP($J445,'Informations sur les produits'!$A$3:$H$10000,8,FALSE),"0")</f>
        <v>0</v>
      </c>
      <c r="N445" s="8"/>
      <c r="O445" s="33" t="str">
        <f>IFERROR(VLOOKUP($M445,'Informations sur les produits'!$A$3:$H$10000,8,FALSE),"0")</f>
        <v>0</v>
      </c>
      <c r="P445" s="33">
        <f t="shared" si="24"/>
        <v>0</v>
      </c>
      <c r="Q445" s="31" t="str">
        <f t="shared" si="25"/>
        <v/>
      </c>
      <c r="R445" s="32" t="str">
        <f>IFERROR(VLOOKUP($D445,'Informations sur les produits'!$A$3:$B$15000,2,FALSE),"")</f>
        <v/>
      </c>
      <c r="V445">
        <f t="shared" si="26"/>
        <v>0</v>
      </c>
      <c r="W445">
        <f t="shared" si="27"/>
        <v>0</v>
      </c>
    </row>
    <row r="446" spans="5:23" x14ac:dyDescent="0.25">
      <c r="E446" s="4"/>
      <c r="F446" s="4"/>
      <c r="G446" s="33" t="str">
        <f>IFERROR(VLOOKUP($D446,'Informations sur les produits'!$A$3:$H$10000,8,FALSE),"0")</f>
        <v>0</v>
      </c>
      <c r="K446" s="4"/>
      <c r="L446" s="33" t="str">
        <f>IFERROR(VLOOKUP($J446,'Informations sur les produits'!$A$3:$H$10000,8,FALSE),"0")</f>
        <v>0</v>
      </c>
      <c r="N446" s="8"/>
      <c r="O446" s="33" t="str">
        <f>IFERROR(VLOOKUP($M446,'Informations sur les produits'!$A$3:$H$10000,8,FALSE),"0")</f>
        <v>0</v>
      </c>
      <c r="P446" s="33">
        <f t="shared" si="24"/>
        <v>0</v>
      </c>
      <c r="Q446" s="31" t="str">
        <f t="shared" si="25"/>
        <v/>
      </c>
      <c r="R446" s="32" t="str">
        <f>IFERROR(VLOOKUP($D446,'Informations sur les produits'!$A$3:$B$15000,2,FALSE),"")</f>
        <v/>
      </c>
      <c r="V446">
        <f t="shared" si="26"/>
        <v>0</v>
      </c>
      <c r="W446">
        <f t="shared" si="27"/>
        <v>0</v>
      </c>
    </row>
    <row r="447" spans="5:23" x14ac:dyDescent="0.25">
      <c r="E447" s="4"/>
      <c r="F447" s="4"/>
      <c r="G447" s="33" t="str">
        <f>IFERROR(VLOOKUP($D447,'Informations sur les produits'!$A$3:$H$10000,8,FALSE),"0")</f>
        <v>0</v>
      </c>
      <c r="K447" s="4"/>
      <c r="L447" s="33" t="str">
        <f>IFERROR(VLOOKUP($J447,'Informations sur les produits'!$A$3:$H$10000,8,FALSE),"0")</f>
        <v>0</v>
      </c>
      <c r="N447" s="8"/>
      <c r="O447" s="33" t="str">
        <f>IFERROR(VLOOKUP($M447,'Informations sur les produits'!$A$3:$H$10000,8,FALSE),"0")</f>
        <v>0</v>
      </c>
      <c r="P447" s="33">
        <f t="shared" si="24"/>
        <v>0</v>
      </c>
      <c r="Q447" s="31" t="str">
        <f t="shared" si="25"/>
        <v/>
      </c>
      <c r="R447" s="32" t="str">
        <f>IFERROR(VLOOKUP($D447,'Informations sur les produits'!$A$3:$B$15000,2,FALSE),"")</f>
        <v/>
      </c>
      <c r="V447">
        <f t="shared" si="26"/>
        <v>0</v>
      </c>
      <c r="W447">
        <f t="shared" si="27"/>
        <v>0</v>
      </c>
    </row>
    <row r="448" spans="5:23" x14ac:dyDescent="0.25">
      <c r="E448" s="4"/>
      <c r="F448" s="4"/>
      <c r="G448" s="33" t="str">
        <f>IFERROR(VLOOKUP($D448,'Informations sur les produits'!$A$3:$H$10000,8,FALSE),"0")</f>
        <v>0</v>
      </c>
      <c r="K448" s="4"/>
      <c r="L448" s="33" t="str">
        <f>IFERROR(VLOOKUP($J448,'Informations sur les produits'!$A$3:$H$10000,8,FALSE),"0")</f>
        <v>0</v>
      </c>
      <c r="N448" s="8"/>
      <c r="O448" s="33" t="str">
        <f>IFERROR(VLOOKUP($M448,'Informations sur les produits'!$A$3:$H$10000,8,FALSE),"0")</f>
        <v>0</v>
      </c>
      <c r="P448" s="33">
        <f t="shared" si="24"/>
        <v>0</v>
      </c>
      <c r="Q448" s="31" t="str">
        <f t="shared" si="25"/>
        <v/>
      </c>
      <c r="R448" s="32" t="str">
        <f>IFERROR(VLOOKUP($D448,'Informations sur les produits'!$A$3:$B$15000,2,FALSE),"")</f>
        <v/>
      </c>
      <c r="V448">
        <f t="shared" si="26"/>
        <v>0</v>
      </c>
      <c r="W448">
        <f t="shared" si="27"/>
        <v>0</v>
      </c>
    </row>
    <row r="449" spans="5:23" x14ac:dyDescent="0.25">
      <c r="E449" s="4"/>
      <c r="F449" s="4"/>
      <c r="G449" s="33" t="str">
        <f>IFERROR(VLOOKUP($D449,'Informations sur les produits'!$A$3:$H$10000,8,FALSE),"0")</f>
        <v>0</v>
      </c>
      <c r="K449" s="4"/>
      <c r="L449" s="33" t="str">
        <f>IFERROR(VLOOKUP($J449,'Informations sur les produits'!$A$3:$H$10000,8,FALSE),"0")</f>
        <v>0</v>
      </c>
      <c r="N449" s="8"/>
      <c r="O449" s="33" t="str">
        <f>IFERROR(VLOOKUP($M449,'Informations sur les produits'!$A$3:$H$10000,8,FALSE),"0")</f>
        <v>0</v>
      </c>
      <c r="P449" s="33">
        <f t="shared" si="24"/>
        <v>0</v>
      </c>
      <c r="Q449" s="31" t="str">
        <f t="shared" si="25"/>
        <v/>
      </c>
      <c r="R449" s="32" t="str">
        <f>IFERROR(VLOOKUP($D449,'Informations sur les produits'!$A$3:$B$15000,2,FALSE),"")</f>
        <v/>
      </c>
      <c r="V449">
        <f t="shared" si="26"/>
        <v>0</v>
      </c>
      <c r="W449">
        <f t="shared" si="27"/>
        <v>0</v>
      </c>
    </row>
    <row r="450" spans="5:23" x14ac:dyDescent="0.25">
      <c r="E450" s="4"/>
      <c r="F450" s="4"/>
      <c r="G450" s="33" t="str">
        <f>IFERROR(VLOOKUP($D450,'Informations sur les produits'!$A$3:$H$10000,8,FALSE),"0")</f>
        <v>0</v>
      </c>
      <c r="K450" s="4"/>
      <c r="L450" s="33" t="str">
        <f>IFERROR(VLOOKUP($J450,'Informations sur les produits'!$A$3:$H$10000,8,FALSE),"0")</f>
        <v>0</v>
      </c>
      <c r="N450" s="8"/>
      <c r="O450" s="33" t="str">
        <f>IFERROR(VLOOKUP($M450,'Informations sur les produits'!$A$3:$H$10000,8,FALSE),"0")</f>
        <v>0</v>
      </c>
      <c r="P450" s="33">
        <f t="shared" si="24"/>
        <v>0</v>
      </c>
      <c r="Q450" s="31" t="str">
        <f t="shared" si="25"/>
        <v/>
      </c>
      <c r="R450" s="32" t="str">
        <f>IFERROR(VLOOKUP($D450,'Informations sur les produits'!$A$3:$B$15000,2,FALSE),"")</f>
        <v/>
      </c>
      <c r="V450">
        <f t="shared" si="26"/>
        <v>0</v>
      </c>
      <c r="W450">
        <f t="shared" si="27"/>
        <v>0</v>
      </c>
    </row>
    <row r="451" spans="5:23" x14ac:dyDescent="0.25">
      <c r="E451" s="4"/>
      <c r="F451" s="4"/>
      <c r="G451" s="33" t="str">
        <f>IFERROR(VLOOKUP($D451,'Informations sur les produits'!$A$3:$H$10000,8,FALSE),"0")</f>
        <v>0</v>
      </c>
      <c r="K451" s="4"/>
      <c r="L451" s="33" t="str">
        <f>IFERROR(VLOOKUP($J451,'Informations sur les produits'!$A$3:$H$10000,8,FALSE),"0")</f>
        <v>0</v>
      </c>
      <c r="N451" s="8"/>
      <c r="O451" s="33" t="str">
        <f>IFERROR(VLOOKUP($M451,'Informations sur les produits'!$A$3:$H$10000,8,FALSE),"0")</f>
        <v>0</v>
      </c>
      <c r="P451" s="33">
        <f t="shared" si="24"/>
        <v>0</v>
      </c>
      <c r="Q451" s="31" t="str">
        <f t="shared" si="25"/>
        <v/>
      </c>
      <c r="R451" s="32" t="str">
        <f>IFERROR(VLOOKUP($D451,'Informations sur les produits'!$A$3:$B$15000,2,FALSE),"")</f>
        <v/>
      </c>
      <c r="V451">
        <f t="shared" si="26"/>
        <v>0</v>
      </c>
      <c r="W451">
        <f t="shared" si="27"/>
        <v>0</v>
      </c>
    </row>
    <row r="452" spans="5:23" x14ac:dyDescent="0.25">
      <c r="E452" s="4"/>
      <c r="F452" s="4"/>
      <c r="G452" s="33" t="str">
        <f>IFERROR(VLOOKUP($D452,'Informations sur les produits'!$A$3:$H$10000,8,FALSE),"0")</f>
        <v>0</v>
      </c>
      <c r="K452" s="4"/>
      <c r="L452" s="33" t="str">
        <f>IFERROR(VLOOKUP($J452,'Informations sur les produits'!$A$3:$H$10000,8,FALSE),"0")</f>
        <v>0</v>
      </c>
      <c r="N452" s="8"/>
      <c r="O452" s="33" t="str">
        <f>IFERROR(VLOOKUP($M452,'Informations sur les produits'!$A$3:$H$10000,8,FALSE),"0")</f>
        <v>0</v>
      </c>
      <c r="P452" s="33">
        <f t="shared" ref="P452:P515" si="28">IFERROR((($E452-$F452)*$G452+$K452*$L452+$N452*$O452),"")</f>
        <v>0</v>
      </c>
      <c r="Q452" s="31" t="str">
        <f t="shared" ref="Q452:Q515" si="29">IFERROR((((($E452-$F452)*$G452+$K452*$L452+$N452*$O452)*1000)/(($E452-$F452)+$K452+$N452)),"")</f>
        <v/>
      </c>
      <c r="R452" s="32" t="str">
        <f>IFERROR(VLOOKUP($D452,'Informations sur les produits'!$A$3:$B$15000,2,FALSE),"")</f>
        <v/>
      </c>
      <c r="V452">
        <f t="shared" ref="V452:V515" si="30">IFERROR(P452*1000,"")</f>
        <v>0</v>
      </c>
      <c r="W452">
        <f t="shared" ref="W452:W515" si="31">IFERROR(($E452-$F452)+$K452+$N452,"")</f>
        <v>0</v>
      </c>
    </row>
    <row r="453" spans="5:23" x14ac:dyDescent="0.25">
      <c r="E453" s="4"/>
      <c r="F453" s="4"/>
      <c r="G453" s="33" t="str">
        <f>IFERROR(VLOOKUP($D453,'Informations sur les produits'!$A$3:$H$10000,8,FALSE),"0")</f>
        <v>0</v>
      </c>
      <c r="K453" s="4"/>
      <c r="L453" s="33" t="str">
        <f>IFERROR(VLOOKUP($J453,'Informations sur les produits'!$A$3:$H$10000,8,FALSE),"0")</f>
        <v>0</v>
      </c>
      <c r="N453" s="8"/>
      <c r="O453" s="33" t="str">
        <f>IFERROR(VLOOKUP($M453,'Informations sur les produits'!$A$3:$H$10000,8,FALSE),"0")</f>
        <v>0</v>
      </c>
      <c r="P453" s="33">
        <f t="shared" si="28"/>
        <v>0</v>
      </c>
      <c r="Q453" s="31" t="str">
        <f t="shared" si="29"/>
        <v/>
      </c>
      <c r="R453" s="32" t="str">
        <f>IFERROR(VLOOKUP($D453,'Informations sur les produits'!$A$3:$B$15000,2,FALSE),"")</f>
        <v/>
      </c>
      <c r="V453">
        <f t="shared" si="30"/>
        <v>0</v>
      </c>
      <c r="W453">
        <f t="shared" si="31"/>
        <v>0</v>
      </c>
    </row>
    <row r="454" spans="5:23" x14ac:dyDescent="0.25">
      <c r="E454" s="4"/>
      <c r="F454" s="4"/>
      <c r="G454" s="33" t="str">
        <f>IFERROR(VLOOKUP($D454,'Informations sur les produits'!$A$3:$H$10000,8,FALSE),"0")</f>
        <v>0</v>
      </c>
      <c r="K454" s="4"/>
      <c r="L454" s="33" t="str">
        <f>IFERROR(VLOOKUP($J454,'Informations sur les produits'!$A$3:$H$10000,8,FALSE),"0")</f>
        <v>0</v>
      </c>
      <c r="N454" s="8"/>
      <c r="O454" s="33" t="str">
        <f>IFERROR(VLOOKUP($M454,'Informations sur les produits'!$A$3:$H$10000,8,FALSE),"0")</f>
        <v>0</v>
      </c>
      <c r="P454" s="33">
        <f t="shared" si="28"/>
        <v>0</v>
      </c>
      <c r="Q454" s="31" t="str">
        <f t="shared" si="29"/>
        <v/>
      </c>
      <c r="R454" s="32" t="str">
        <f>IFERROR(VLOOKUP($D454,'Informations sur les produits'!$A$3:$B$15000,2,FALSE),"")</f>
        <v/>
      </c>
      <c r="V454">
        <f t="shared" si="30"/>
        <v>0</v>
      </c>
      <c r="W454">
        <f t="shared" si="31"/>
        <v>0</v>
      </c>
    </row>
    <row r="455" spans="5:23" x14ac:dyDescent="0.25">
      <c r="E455" s="4"/>
      <c r="F455" s="4"/>
      <c r="G455" s="33" t="str">
        <f>IFERROR(VLOOKUP($D455,'Informations sur les produits'!$A$3:$H$10000,8,FALSE),"0")</f>
        <v>0</v>
      </c>
      <c r="K455" s="4"/>
      <c r="L455" s="33" t="str">
        <f>IFERROR(VLOOKUP($J455,'Informations sur les produits'!$A$3:$H$10000,8,FALSE),"0")</f>
        <v>0</v>
      </c>
      <c r="N455" s="8"/>
      <c r="O455" s="33" t="str">
        <f>IFERROR(VLOOKUP($M455,'Informations sur les produits'!$A$3:$H$10000,8,FALSE),"0")</f>
        <v>0</v>
      </c>
      <c r="P455" s="33">
        <f t="shared" si="28"/>
        <v>0</v>
      </c>
      <c r="Q455" s="31" t="str">
        <f t="shared" si="29"/>
        <v/>
      </c>
      <c r="R455" s="32" t="str">
        <f>IFERROR(VLOOKUP($D455,'Informations sur les produits'!$A$3:$B$15000,2,FALSE),"")</f>
        <v/>
      </c>
      <c r="V455">
        <f t="shared" si="30"/>
        <v>0</v>
      </c>
      <c r="W455">
        <f t="shared" si="31"/>
        <v>0</v>
      </c>
    </row>
    <row r="456" spans="5:23" x14ac:dyDescent="0.25">
      <c r="E456" s="4"/>
      <c r="F456" s="4"/>
      <c r="G456" s="33" t="str">
        <f>IFERROR(VLOOKUP($D456,'Informations sur les produits'!$A$3:$H$10000,8,FALSE),"0")</f>
        <v>0</v>
      </c>
      <c r="K456" s="4"/>
      <c r="L456" s="33" t="str">
        <f>IFERROR(VLOOKUP($J456,'Informations sur les produits'!$A$3:$H$10000,8,FALSE),"0")</f>
        <v>0</v>
      </c>
      <c r="N456" s="8"/>
      <c r="O456" s="33" t="str">
        <f>IFERROR(VLOOKUP($M456,'Informations sur les produits'!$A$3:$H$10000,8,FALSE),"0")</f>
        <v>0</v>
      </c>
      <c r="P456" s="33">
        <f t="shared" si="28"/>
        <v>0</v>
      </c>
      <c r="Q456" s="31" t="str">
        <f t="shared" si="29"/>
        <v/>
      </c>
      <c r="R456" s="32" t="str">
        <f>IFERROR(VLOOKUP($D456,'Informations sur les produits'!$A$3:$B$15000,2,FALSE),"")</f>
        <v/>
      </c>
      <c r="V456">
        <f t="shared" si="30"/>
        <v>0</v>
      </c>
      <c r="W456">
        <f t="shared" si="31"/>
        <v>0</v>
      </c>
    </row>
    <row r="457" spans="5:23" x14ac:dyDescent="0.25">
      <c r="E457" s="4"/>
      <c r="F457" s="4"/>
      <c r="G457" s="33" t="str">
        <f>IFERROR(VLOOKUP($D457,'Informations sur les produits'!$A$3:$H$10000,8,FALSE),"0")</f>
        <v>0</v>
      </c>
      <c r="K457" s="4"/>
      <c r="L457" s="33" t="str">
        <f>IFERROR(VLOOKUP($J457,'Informations sur les produits'!$A$3:$H$10000,8,FALSE),"0")</f>
        <v>0</v>
      </c>
      <c r="N457" s="8"/>
      <c r="O457" s="33" t="str">
        <f>IFERROR(VLOOKUP($M457,'Informations sur les produits'!$A$3:$H$10000,8,FALSE),"0")</f>
        <v>0</v>
      </c>
      <c r="P457" s="33">
        <f t="shared" si="28"/>
        <v>0</v>
      </c>
      <c r="Q457" s="31" t="str">
        <f t="shared" si="29"/>
        <v/>
      </c>
      <c r="R457" s="32" t="str">
        <f>IFERROR(VLOOKUP($D457,'Informations sur les produits'!$A$3:$B$15000,2,FALSE),"")</f>
        <v/>
      </c>
      <c r="V457">
        <f t="shared" si="30"/>
        <v>0</v>
      </c>
      <c r="W457">
        <f t="shared" si="31"/>
        <v>0</v>
      </c>
    </row>
    <row r="458" spans="5:23" x14ac:dyDescent="0.25">
      <c r="E458" s="4"/>
      <c r="F458" s="4"/>
      <c r="G458" s="33" t="str">
        <f>IFERROR(VLOOKUP($D458,'Informations sur les produits'!$A$3:$H$10000,8,FALSE),"0")</f>
        <v>0</v>
      </c>
      <c r="K458" s="4"/>
      <c r="L458" s="33" t="str">
        <f>IFERROR(VLOOKUP($J458,'Informations sur les produits'!$A$3:$H$10000,8,FALSE),"0")</f>
        <v>0</v>
      </c>
      <c r="N458" s="8"/>
      <c r="O458" s="33" t="str">
        <f>IFERROR(VLOOKUP($M458,'Informations sur les produits'!$A$3:$H$10000,8,FALSE),"0")</f>
        <v>0</v>
      </c>
      <c r="P458" s="33">
        <f t="shared" si="28"/>
        <v>0</v>
      </c>
      <c r="Q458" s="31" t="str">
        <f t="shared" si="29"/>
        <v/>
      </c>
      <c r="R458" s="32" t="str">
        <f>IFERROR(VLOOKUP($D458,'Informations sur les produits'!$A$3:$B$15000,2,FALSE),"")</f>
        <v/>
      </c>
      <c r="V458">
        <f t="shared" si="30"/>
        <v>0</v>
      </c>
      <c r="W458">
        <f t="shared" si="31"/>
        <v>0</v>
      </c>
    </row>
    <row r="459" spans="5:23" x14ac:dyDescent="0.25">
      <c r="E459" s="4"/>
      <c r="F459" s="4"/>
      <c r="G459" s="33" t="str">
        <f>IFERROR(VLOOKUP($D459,'Informations sur les produits'!$A$3:$H$10000,8,FALSE),"0")</f>
        <v>0</v>
      </c>
      <c r="K459" s="4"/>
      <c r="L459" s="33" t="str">
        <f>IFERROR(VLOOKUP($J459,'Informations sur les produits'!$A$3:$H$10000,8,FALSE),"0")</f>
        <v>0</v>
      </c>
      <c r="N459" s="8"/>
      <c r="O459" s="33" t="str">
        <f>IFERROR(VLOOKUP($M459,'Informations sur les produits'!$A$3:$H$10000,8,FALSE),"0")</f>
        <v>0</v>
      </c>
      <c r="P459" s="33">
        <f t="shared" si="28"/>
        <v>0</v>
      </c>
      <c r="Q459" s="31" t="str">
        <f t="shared" si="29"/>
        <v/>
      </c>
      <c r="R459" s="32" t="str">
        <f>IFERROR(VLOOKUP($D459,'Informations sur les produits'!$A$3:$B$15000,2,FALSE),"")</f>
        <v/>
      </c>
      <c r="V459">
        <f t="shared" si="30"/>
        <v>0</v>
      </c>
      <c r="W459">
        <f t="shared" si="31"/>
        <v>0</v>
      </c>
    </row>
    <row r="460" spans="5:23" x14ac:dyDescent="0.25">
      <c r="E460" s="4"/>
      <c r="F460" s="4"/>
      <c r="G460" s="33" t="str">
        <f>IFERROR(VLOOKUP($D460,'Informations sur les produits'!$A$3:$H$10000,8,FALSE),"0")</f>
        <v>0</v>
      </c>
      <c r="K460" s="4"/>
      <c r="L460" s="33" t="str">
        <f>IFERROR(VLOOKUP($J460,'Informations sur les produits'!$A$3:$H$10000,8,FALSE),"0")</f>
        <v>0</v>
      </c>
      <c r="N460" s="8"/>
      <c r="O460" s="33" t="str">
        <f>IFERROR(VLOOKUP($M460,'Informations sur les produits'!$A$3:$H$10000,8,FALSE),"0")</f>
        <v>0</v>
      </c>
      <c r="P460" s="33">
        <f t="shared" si="28"/>
        <v>0</v>
      </c>
      <c r="Q460" s="31" t="str">
        <f t="shared" si="29"/>
        <v/>
      </c>
      <c r="R460" s="32" t="str">
        <f>IFERROR(VLOOKUP($D460,'Informations sur les produits'!$A$3:$B$15000,2,FALSE),"")</f>
        <v/>
      </c>
      <c r="V460">
        <f t="shared" si="30"/>
        <v>0</v>
      </c>
      <c r="W460">
        <f t="shared" si="31"/>
        <v>0</v>
      </c>
    </row>
    <row r="461" spans="5:23" x14ac:dyDescent="0.25">
      <c r="E461" s="4"/>
      <c r="F461" s="4"/>
      <c r="G461" s="33" t="str">
        <f>IFERROR(VLOOKUP($D461,'Informations sur les produits'!$A$3:$H$10000,8,FALSE),"0")</f>
        <v>0</v>
      </c>
      <c r="K461" s="4"/>
      <c r="L461" s="33" t="str">
        <f>IFERROR(VLOOKUP($J461,'Informations sur les produits'!$A$3:$H$10000,8,FALSE),"0")</f>
        <v>0</v>
      </c>
      <c r="N461" s="8"/>
      <c r="O461" s="33" t="str">
        <f>IFERROR(VLOOKUP($M461,'Informations sur les produits'!$A$3:$H$10000,8,FALSE),"0")</f>
        <v>0</v>
      </c>
      <c r="P461" s="33">
        <f t="shared" si="28"/>
        <v>0</v>
      </c>
      <c r="Q461" s="31" t="str">
        <f t="shared" si="29"/>
        <v/>
      </c>
      <c r="R461" s="32" t="str">
        <f>IFERROR(VLOOKUP($D461,'Informations sur les produits'!$A$3:$B$15000,2,FALSE),"")</f>
        <v/>
      </c>
      <c r="V461">
        <f t="shared" si="30"/>
        <v>0</v>
      </c>
      <c r="W461">
        <f t="shared" si="31"/>
        <v>0</v>
      </c>
    </row>
    <row r="462" spans="5:23" x14ac:dyDescent="0.25">
      <c r="E462" s="4"/>
      <c r="F462" s="4"/>
      <c r="G462" s="33" t="str">
        <f>IFERROR(VLOOKUP($D462,'Informations sur les produits'!$A$3:$H$10000,8,FALSE),"0")</f>
        <v>0</v>
      </c>
      <c r="K462" s="4"/>
      <c r="L462" s="33" t="str">
        <f>IFERROR(VLOOKUP($J462,'Informations sur les produits'!$A$3:$H$10000,8,FALSE),"0")</f>
        <v>0</v>
      </c>
      <c r="N462" s="8"/>
      <c r="O462" s="33" t="str">
        <f>IFERROR(VLOOKUP($M462,'Informations sur les produits'!$A$3:$H$10000,8,FALSE),"0")</f>
        <v>0</v>
      </c>
      <c r="P462" s="33">
        <f t="shared" si="28"/>
        <v>0</v>
      </c>
      <c r="Q462" s="31" t="str">
        <f t="shared" si="29"/>
        <v/>
      </c>
      <c r="R462" s="32" t="str">
        <f>IFERROR(VLOOKUP($D462,'Informations sur les produits'!$A$3:$B$15000,2,FALSE),"")</f>
        <v/>
      </c>
      <c r="V462">
        <f t="shared" si="30"/>
        <v>0</v>
      </c>
      <c r="W462">
        <f t="shared" si="31"/>
        <v>0</v>
      </c>
    </row>
    <row r="463" spans="5:23" x14ac:dyDescent="0.25">
      <c r="E463" s="4"/>
      <c r="F463" s="4"/>
      <c r="G463" s="33" t="str">
        <f>IFERROR(VLOOKUP($D463,'Informations sur les produits'!$A$3:$H$10000,8,FALSE),"0")</f>
        <v>0</v>
      </c>
      <c r="K463" s="4"/>
      <c r="L463" s="33" t="str">
        <f>IFERROR(VLOOKUP($J463,'Informations sur les produits'!$A$3:$H$10000,8,FALSE),"0")</f>
        <v>0</v>
      </c>
      <c r="N463" s="8"/>
      <c r="O463" s="33" t="str">
        <f>IFERROR(VLOOKUP($M463,'Informations sur les produits'!$A$3:$H$10000,8,FALSE),"0")</f>
        <v>0</v>
      </c>
      <c r="P463" s="33">
        <f t="shared" si="28"/>
        <v>0</v>
      </c>
      <c r="Q463" s="31" t="str">
        <f t="shared" si="29"/>
        <v/>
      </c>
      <c r="R463" s="32" t="str">
        <f>IFERROR(VLOOKUP($D463,'Informations sur les produits'!$A$3:$B$15000,2,FALSE),"")</f>
        <v/>
      </c>
      <c r="V463">
        <f t="shared" si="30"/>
        <v>0</v>
      </c>
      <c r="W463">
        <f t="shared" si="31"/>
        <v>0</v>
      </c>
    </row>
    <row r="464" spans="5:23" x14ac:dyDescent="0.25">
      <c r="E464" s="4"/>
      <c r="F464" s="4"/>
      <c r="G464" s="33" t="str">
        <f>IFERROR(VLOOKUP($D464,'Informations sur les produits'!$A$3:$H$10000,8,FALSE),"0")</f>
        <v>0</v>
      </c>
      <c r="K464" s="4"/>
      <c r="L464" s="33" t="str">
        <f>IFERROR(VLOOKUP($J464,'Informations sur les produits'!$A$3:$H$10000,8,FALSE),"0")</f>
        <v>0</v>
      </c>
      <c r="N464" s="8"/>
      <c r="O464" s="33" t="str">
        <f>IFERROR(VLOOKUP($M464,'Informations sur les produits'!$A$3:$H$10000,8,FALSE),"0")</f>
        <v>0</v>
      </c>
      <c r="P464" s="33">
        <f t="shared" si="28"/>
        <v>0</v>
      </c>
      <c r="Q464" s="31" t="str">
        <f t="shared" si="29"/>
        <v/>
      </c>
      <c r="R464" s="32" t="str">
        <f>IFERROR(VLOOKUP($D464,'Informations sur les produits'!$A$3:$B$15000,2,FALSE),"")</f>
        <v/>
      </c>
      <c r="V464">
        <f t="shared" si="30"/>
        <v>0</v>
      </c>
      <c r="W464">
        <f t="shared" si="31"/>
        <v>0</v>
      </c>
    </row>
    <row r="465" spans="5:23" x14ac:dyDescent="0.25">
      <c r="E465" s="4"/>
      <c r="F465" s="4"/>
      <c r="G465" s="33" t="str">
        <f>IFERROR(VLOOKUP($D465,'Informations sur les produits'!$A$3:$H$10000,8,FALSE),"0")</f>
        <v>0</v>
      </c>
      <c r="K465" s="4"/>
      <c r="L465" s="33" t="str">
        <f>IFERROR(VLOOKUP($J465,'Informations sur les produits'!$A$3:$H$10000,8,FALSE),"0")</f>
        <v>0</v>
      </c>
      <c r="N465" s="8"/>
      <c r="O465" s="33" t="str">
        <f>IFERROR(VLOOKUP($M465,'Informations sur les produits'!$A$3:$H$10000,8,FALSE),"0")</f>
        <v>0</v>
      </c>
      <c r="P465" s="33">
        <f t="shared" si="28"/>
        <v>0</v>
      </c>
      <c r="Q465" s="31" t="str">
        <f t="shared" si="29"/>
        <v/>
      </c>
      <c r="R465" s="32" t="str">
        <f>IFERROR(VLOOKUP($D465,'Informations sur les produits'!$A$3:$B$15000,2,FALSE),"")</f>
        <v/>
      </c>
      <c r="V465">
        <f t="shared" si="30"/>
        <v>0</v>
      </c>
      <c r="W465">
        <f t="shared" si="31"/>
        <v>0</v>
      </c>
    </row>
    <row r="466" spans="5:23" x14ac:dyDescent="0.25">
      <c r="E466" s="4"/>
      <c r="F466" s="4"/>
      <c r="G466" s="33" t="str">
        <f>IFERROR(VLOOKUP($D466,'Informations sur les produits'!$A$3:$H$10000,8,FALSE),"0")</f>
        <v>0</v>
      </c>
      <c r="K466" s="4"/>
      <c r="L466" s="33" t="str">
        <f>IFERROR(VLOOKUP($J466,'Informations sur les produits'!$A$3:$H$10000,8,FALSE),"0")</f>
        <v>0</v>
      </c>
      <c r="N466" s="8"/>
      <c r="O466" s="33" t="str">
        <f>IFERROR(VLOOKUP($M466,'Informations sur les produits'!$A$3:$H$10000,8,FALSE),"0")</f>
        <v>0</v>
      </c>
      <c r="P466" s="33">
        <f t="shared" si="28"/>
        <v>0</v>
      </c>
      <c r="Q466" s="31" t="str">
        <f t="shared" si="29"/>
        <v/>
      </c>
      <c r="R466" s="32" t="str">
        <f>IFERROR(VLOOKUP($D466,'Informations sur les produits'!$A$3:$B$15000,2,FALSE),"")</f>
        <v/>
      </c>
      <c r="V466">
        <f t="shared" si="30"/>
        <v>0</v>
      </c>
      <c r="W466">
        <f t="shared" si="31"/>
        <v>0</v>
      </c>
    </row>
    <row r="467" spans="5:23" x14ac:dyDescent="0.25">
      <c r="E467" s="4"/>
      <c r="F467" s="4"/>
      <c r="G467" s="33" t="str">
        <f>IFERROR(VLOOKUP($D467,'Informations sur les produits'!$A$3:$H$10000,8,FALSE),"0")</f>
        <v>0</v>
      </c>
      <c r="K467" s="4"/>
      <c r="L467" s="33" t="str">
        <f>IFERROR(VLOOKUP($J467,'Informations sur les produits'!$A$3:$H$10000,8,FALSE),"0")</f>
        <v>0</v>
      </c>
      <c r="N467" s="8"/>
      <c r="O467" s="33" t="str">
        <f>IFERROR(VLOOKUP($M467,'Informations sur les produits'!$A$3:$H$10000,8,FALSE),"0")</f>
        <v>0</v>
      </c>
      <c r="P467" s="33">
        <f t="shared" si="28"/>
        <v>0</v>
      </c>
      <c r="Q467" s="31" t="str">
        <f t="shared" si="29"/>
        <v/>
      </c>
      <c r="R467" s="32" t="str">
        <f>IFERROR(VLOOKUP($D467,'Informations sur les produits'!$A$3:$B$15000,2,FALSE),"")</f>
        <v/>
      </c>
      <c r="V467">
        <f t="shared" si="30"/>
        <v>0</v>
      </c>
      <c r="W467">
        <f t="shared" si="31"/>
        <v>0</v>
      </c>
    </row>
    <row r="468" spans="5:23" x14ac:dyDescent="0.25">
      <c r="E468" s="4"/>
      <c r="F468" s="4"/>
      <c r="G468" s="33" t="str">
        <f>IFERROR(VLOOKUP($D468,'Informations sur les produits'!$A$3:$H$10000,8,FALSE),"0")</f>
        <v>0</v>
      </c>
      <c r="K468" s="4"/>
      <c r="L468" s="33" t="str">
        <f>IFERROR(VLOOKUP($J468,'Informations sur les produits'!$A$3:$H$10000,8,FALSE),"0")</f>
        <v>0</v>
      </c>
      <c r="N468" s="8"/>
      <c r="O468" s="33" t="str">
        <f>IFERROR(VLOOKUP($M468,'Informations sur les produits'!$A$3:$H$10000,8,FALSE),"0")</f>
        <v>0</v>
      </c>
      <c r="P468" s="33">
        <f t="shared" si="28"/>
        <v>0</v>
      </c>
      <c r="Q468" s="31" t="str">
        <f t="shared" si="29"/>
        <v/>
      </c>
      <c r="R468" s="32" t="str">
        <f>IFERROR(VLOOKUP($D468,'Informations sur les produits'!$A$3:$B$15000,2,FALSE),"")</f>
        <v/>
      </c>
      <c r="V468">
        <f t="shared" si="30"/>
        <v>0</v>
      </c>
      <c r="W468">
        <f t="shared" si="31"/>
        <v>0</v>
      </c>
    </row>
    <row r="469" spans="5:23" x14ac:dyDescent="0.25">
      <c r="E469" s="4"/>
      <c r="F469" s="4"/>
      <c r="G469" s="33" t="str">
        <f>IFERROR(VLOOKUP($D469,'Informations sur les produits'!$A$3:$H$10000,8,FALSE),"0")</f>
        <v>0</v>
      </c>
      <c r="K469" s="4"/>
      <c r="L469" s="33" t="str">
        <f>IFERROR(VLOOKUP($J469,'Informations sur les produits'!$A$3:$H$10000,8,FALSE),"0")</f>
        <v>0</v>
      </c>
      <c r="N469" s="8"/>
      <c r="O469" s="33" t="str">
        <f>IFERROR(VLOOKUP($M469,'Informations sur les produits'!$A$3:$H$10000,8,FALSE),"0")</f>
        <v>0</v>
      </c>
      <c r="P469" s="33">
        <f t="shared" si="28"/>
        <v>0</v>
      </c>
      <c r="Q469" s="31" t="str">
        <f t="shared" si="29"/>
        <v/>
      </c>
      <c r="R469" s="32" t="str">
        <f>IFERROR(VLOOKUP($D469,'Informations sur les produits'!$A$3:$B$15000,2,FALSE),"")</f>
        <v/>
      </c>
      <c r="V469">
        <f t="shared" si="30"/>
        <v>0</v>
      </c>
      <c r="W469">
        <f t="shared" si="31"/>
        <v>0</v>
      </c>
    </row>
    <row r="470" spans="5:23" x14ac:dyDescent="0.25">
      <c r="E470" s="4"/>
      <c r="F470" s="4"/>
      <c r="G470" s="33" t="str">
        <f>IFERROR(VLOOKUP($D470,'Informations sur les produits'!$A$3:$H$10000,8,FALSE),"0")</f>
        <v>0</v>
      </c>
      <c r="K470" s="4"/>
      <c r="L470" s="33" t="str">
        <f>IFERROR(VLOOKUP($J470,'Informations sur les produits'!$A$3:$H$10000,8,FALSE),"0")</f>
        <v>0</v>
      </c>
      <c r="N470" s="8"/>
      <c r="O470" s="33" t="str">
        <f>IFERROR(VLOOKUP($M470,'Informations sur les produits'!$A$3:$H$10000,8,FALSE),"0")</f>
        <v>0</v>
      </c>
      <c r="P470" s="33">
        <f t="shared" si="28"/>
        <v>0</v>
      </c>
      <c r="Q470" s="31" t="str">
        <f t="shared" si="29"/>
        <v/>
      </c>
      <c r="R470" s="32" t="str">
        <f>IFERROR(VLOOKUP($D470,'Informations sur les produits'!$A$3:$B$15000,2,FALSE),"")</f>
        <v/>
      </c>
      <c r="V470">
        <f t="shared" si="30"/>
        <v>0</v>
      </c>
      <c r="W470">
        <f t="shared" si="31"/>
        <v>0</v>
      </c>
    </row>
    <row r="471" spans="5:23" x14ac:dyDescent="0.25">
      <c r="E471" s="4"/>
      <c r="F471" s="4"/>
      <c r="G471" s="33" t="str">
        <f>IFERROR(VLOOKUP($D471,'Informations sur les produits'!$A$3:$H$10000,8,FALSE),"0")</f>
        <v>0</v>
      </c>
      <c r="K471" s="4"/>
      <c r="L471" s="33" t="str">
        <f>IFERROR(VLOOKUP($J471,'Informations sur les produits'!$A$3:$H$10000,8,FALSE),"0")</f>
        <v>0</v>
      </c>
      <c r="N471" s="8"/>
      <c r="O471" s="33" t="str">
        <f>IFERROR(VLOOKUP($M471,'Informations sur les produits'!$A$3:$H$10000,8,FALSE),"0")</f>
        <v>0</v>
      </c>
      <c r="P471" s="33">
        <f t="shared" si="28"/>
        <v>0</v>
      </c>
      <c r="Q471" s="31" t="str">
        <f t="shared" si="29"/>
        <v/>
      </c>
      <c r="R471" s="32" t="str">
        <f>IFERROR(VLOOKUP($D471,'Informations sur les produits'!$A$3:$B$15000,2,FALSE),"")</f>
        <v/>
      </c>
      <c r="V471">
        <f t="shared" si="30"/>
        <v>0</v>
      </c>
      <c r="W471">
        <f t="shared" si="31"/>
        <v>0</v>
      </c>
    </row>
    <row r="472" spans="5:23" x14ac:dyDescent="0.25">
      <c r="E472" s="4"/>
      <c r="F472" s="4"/>
      <c r="G472" s="33" t="str">
        <f>IFERROR(VLOOKUP($D472,'Informations sur les produits'!$A$3:$H$10000,8,FALSE),"0")</f>
        <v>0</v>
      </c>
      <c r="K472" s="4"/>
      <c r="L472" s="33" t="str">
        <f>IFERROR(VLOOKUP($J472,'Informations sur les produits'!$A$3:$H$10000,8,FALSE),"0")</f>
        <v>0</v>
      </c>
      <c r="N472" s="8"/>
      <c r="O472" s="33" t="str">
        <f>IFERROR(VLOOKUP($M472,'Informations sur les produits'!$A$3:$H$10000,8,FALSE),"0")</f>
        <v>0</v>
      </c>
      <c r="P472" s="33">
        <f t="shared" si="28"/>
        <v>0</v>
      </c>
      <c r="Q472" s="31" t="str">
        <f t="shared" si="29"/>
        <v/>
      </c>
      <c r="R472" s="32" t="str">
        <f>IFERROR(VLOOKUP($D472,'Informations sur les produits'!$A$3:$B$15000,2,FALSE),"")</f>
        <v/>
      </c>
      <c r="V472">
        <f t="shared" si="30"/>
        <v>0</v>
      </c>
      <c r="W472">
        <f t="shared" si="31"/>
        <v>0</v>
      </c>
    </row>
    <row r="473" spans="5:23" x14ac:dyDescent="0.25">
      <c r="E473" s="4"/>
      <c r="F473" s="4"/>
      <c r="G473" s="33" t="str">
        <f>IFERROR(VLOOKUP($D473,'Informations sur les produits'!$A$3:$H$10000,8,FALSE),"0")</f>
        <v>0</v>
      </c>
      <c r="K473" s="4"/>
      <c r="L473" s="33" t="str">
        <f>IFERROR(VLOOKUP($J473,'Informations sur les produits'!$A$3:$H$10000,8,FALSE),"0")</f>
        <v>0</v>
      </c>
      <c r="N473" s="8"/>
      <c r="O473" s="33" t="str">
        <f>IFERROR(VLOOKUP($M473,'Informations sur les produits'!$A$3:$H$10000,8,FALSE),"0")</f>
        <v>0</v>
      </c>
      <c r="P473" s="33">
        <f t="shared" si="28"/>
        <v>0</v>
      </c>
      <c r="Q473" s="31" t="str">
        <f t="shared" si="29"/>
        <v/>
      </c>
      <c r="R473" s="32" t="str">
        <f>IFERROR(VLOOKUP($D473,'Informations sur les produits'!$A$3:$B$15000,2,FALSE),"")</f>
        <v/>
      </c>
      <c r="V473">
        <f t="shared" si="30"/>
        <v>0</v>
      </c>
      <c r="W473">
        <f t="shared" si="31"/>
        <v>0</v>
      </c>
    </row>
    <row r="474" spans="5:23" x14ac:dyDescent="0.25">
      <c r="E474" s="4"/>
      <c r="F474" s="4"/>
      <c r="G474" s="33" t="str">
        <f>IFERROR(VLOOKUP($D474,'Informations sur les produits'!$A$3:$H$10000,8,FALSE),"0")</f>
        <v>0</v>
      </c>
      <c r="K474" s="4"/>
      <c r="L474" s="33" t="str">
        <f>IFERROR(VLOOKUP($J474,'Informations sur les produits'!$A$3:$H$10000,8,FALSE),"0")</f>
        <v>0</v>
      </c>
      <c r="N474" s="8"/>
      <c r="O474" s="33" t="str">
        <f>IFERROR(VLOOKUP($M474,'Informations sur les produits'!$A$3:$H$10000,8,FALSE),"0")</f>
        <v>0</v>
      </c>
      <c r="P474" s="33">
        <f t="shared" si="28"/>
        <v>0</v>
      </c>
      <c r="Q474" s="31" t="str">
        <f t="shared" si="29"/>
        <v/>
      </c>
      <c r="R474" s="32" t="str">
        <f>IFERROR(VLOOKUP($D474,'Informations sur les produits'!$A$3:$B$15000,2,FALSE),"")</f>
        <v/>
      </c>
      <c r="V474">
        <f t="shared" si="30"/>
        <v>0</v>
      </c>
      <c r="W474">
        <f t="shared" si="31"/>
        <v>0</v>
      </c>
    </row>
    <row r="475" spans="5:23" x14ac:dyDescent="0.25">
      <c r="E475" s="4"/>
      <c r="F475" s="4"/>
      <c r="G475" s="33" t="str">
        <f>IFERROR(VLOOKUP($D475,'Informations sur les produits'!$A$3:$H$10000,8,FALSE),"0")</f>
        <v>0</v>
      </c>
      <c r="K475" s="4"/>
      <c r="L475" s="33" t="str">
        <f>IFERROR(VLOOKUP($J475,'Informations sur les produits'!$A$3:$H$10000,8,FALSE),"0")</f>
        <v>0</v>
      </c>
      <c r="N475" s="8"/>
      <c r="O475" s="33" t="str">
        <f>IFERROR(VLOOKUP($M475,'Informations sur les produits'!$A$3:$H$10000,8,FALSE),"0")</f>
        <v>0</v>
      </c>
      <c r="P475" s="33">
        <f t="shared" si="28"/>
        <v>0</v>
      </c>
      <c r="Q475" s="31" t="str">
        <f t="shared" si="29"/>
        <v/>
      </c>
      <c r="R475" s="32" t="str">
        <f>IFERROR(VLOOKUP($D475,'Informations sur les produits'!$A$3:$B$15000,2,FALSE),"")</f>
        <v/>
      </c>
      <c r="V475">
        <f t="shared" si="30"/>
        <v>0</v>
      </c>
      <c r="W475">
        <f t="shared" si="31"/>
        <v>0</v>
      </c>
    </row>
    <row r="476" spans="5:23" x14ac:dyDescent="0.25">
      <c r="E476" s="4"/>
      <c r="F476" s="4"/>
      <c r="G476" s="33" t="str">
        <f>IFERROR(VLOOKUP($D476,'Informations sur les produits'!$A$3:$H$10000,8,FALSE),"0")</f>
        <v>0</v>
      </c>
      <c r="K476" s="4"/>
      <c r="L476" s="33" t="str">
        <f>IFERROR(VLOOKUP($J476,'Informations sur les produits'!$A$3:$H$10000,8,FALSE),"0")</f>
        <v>0</v>
      </c>
      <c r="N476" s="8"/>
      <c r="O476" s="33" t="str">
        <f>IFERROR(VLOOKUP($M476,'Informations sur les produits'!$A$3:$H$10000,8,FALSE),"0")</f>
        <v>0</v>
      </c>
      <c r="P476" s="33">
        <f t="shared" si="28"/>
        <v>0</v>
      </c>
      <c r="Q476" s="31" t="str">
        <f t="shared" si="29"/>
        <v/>
      </c>
      <c r="R476" s="32" t="str">
        <f>IFERROR(VLOOKUP($D476,'Informations sur les produits'!$A$3:$B$15000,2,FALSE),"")</f>
        <v/>
      </c>
      <c r="V476">
        <f t="shared" si="30"/>
        <v>0</v>
      </c>
      <c r="W476">
        <f t="shared" si="31"/>
        <v>0</v>
      </c>
    </row>
    <row r="477" spans="5:23" x14ac:dyDescent="0.25">
      <c r="E477" s="4"/>
      <c r="F477" s="4"/>
      <c r="G477" s="33" t="str">
        <f>IFERROR(VLOOKUP($D477,'Informations sur les produits'!$A$3:$H$10000,8,FALSE),"0")</f>
        <v>0</v>
      </c>
      <c r="K477" s="4"/>
      <c r="L477" s="33" t="str">
        <f>IFERROR(VLOOKUP($J477,'Informations sur les produits'!$A$3:$H$10000,8,FALSE),"0")</f>
        <v>0</v>
      </c>
      <c r="N477" s="8"/>
      <c r="O477" s="33" t="str">
        <f>IFERROR(VLOOKUP($M477,'Informations sur les produits'!$A$3:$H$10000,8,FALSE),"0")</f>
        <v>0</v>
      </c>
      <c r="P477" s="33">
        <f t="shared" si="28"/>
        <v>0</v>
      </c>
      <c r="Q477" s="31" t="str">
        <f t="shared" si="29"/>
        <v/>
      </c>
      <c r="R477" s="32" t="str">
        <f>IFERROR(VLOOKUP($D477,'Informations sur les produits'!$A$3:$B$15000,2,FALSE),"")</f>
        <v/>
      </c>
      <c r="V477">
        <f t="shared" si="30"/>
        <v>0</v>
      </c>
      <c r="W477">
        <f t="shared" si="31"/>
        <v>0</v>
      </c>
    </row>
    <row r="478" spans="5:23" x14ac:dyDescent="0.25">
      <c r="E478" s="4"/>
      <c r="F478" s="4"/>
      <c r="G478" s="33" t="str">
        <f>IFERROR(VLOOKUP($D478,'Informations sur les produits'!$A$3:$H$10000,8,FALSE),"0")</f>
        <v>0</v>
      </c>
      <c r="K478" s="4"/>
      <c r="L478" s="33" t="str">
        <f>IFERROR(VLOOKUP($J478,'Informations sur les produits'!$A$3:$H$10000,8,FALSE),"0")</f>
        <v>0</v>
      </c>
      <c r="N478" s="8"/>
      <c r="O478" s="33" t="str">
        <f>IFERROR(VLOOKUP($M478,'Informations sur les produits'!$A$3:$H$10000,8,FALSE),"0")</f>
        <v>0</v>
      </c>
      <c r="P478" s="33">
        <f t="shared" si="28"/>
        <v>0</v>
      </c>
      <c r="Q478" s="31" t="str">
        <f t="shared" si="29"/>
        <v/>
      </c>
      <c r="R478" s="32" t="str">
        <f>IFERROR(VLOOKUP($D478,'Informations sur les produits'!$A$3:$B$15000,2,FALSE),"")</f>
        <v/>
      </c>
      <c r="V478">
        <f t="shared" si="30"/>
        <v>0</v>
      </c>
      <c r="W478">
        <f t="shared" si="31"/>
        <v>0</v>
      </c>
    </row>
    <row r="479" spans="5:23" x14ac:dyDescent="0.25">
      <c r="E479" s="4"/>
      <c r="F479" s="4"/>
      <c r="G479" s="33" t="str">
        <f>IFERROR(VLOOKUP($D479,'Informations sur les produits'!$A$3:$H$10000,8,FALSE),"0")</f>
        <v>0</v>
      </c>
      <c r="K479" s="4"/>
      <c r="L479" s="33" t="str">
        <f>IFERROR(VLOOKUP($J479,'Informations sur les produits'!$A$3:$H$10000,8,FALSE),"0")</f>
        <v>0</v>
      </c>
      <c r="N479" s="8"/>
      <c r="O479" s="33" t="str">
        <f>IFERROR(VLOOKUP($M479,'Informations sur les produits'!$A$3:$H$10000,8,FALSE),"0")</f>
        <v>0</v>
      </c>
      <c r="P479" s="33">
        <f t="shared" si="28"/>
        <v>0</v>
      </c>
      <c r="Q479" s="31" t="str">
        <f t="shared" si="29"/>
        <v/>
      </c>
      <c r="R479" s="32" t="str">
        <f>IFERROR(VLOOKUP($D479,'Informations sur les produits'!$A$3:$B$15000,2,FALSE),"")</f>
        <v/>
      </c>
      <c r="V479">
        <f t="shared" si="30"/>
        <v>0</v>
      </c>
      <c r="W479">
        <f t="shared" si="31"/>
        <v>0</v>
      </c>
    </row>
    <row r="480" spans="5:23" x14ac:dyDescent="0.25">
      <c r="E480" s="4"/>
      <c r="F480" s="4"/>
      <c r="G480" s="33" t="str">
        <f>IFERROR(VLOOKUP($D480,'Informations sur les produits'!$A$3:$H$10000,8,FALSE),"0")</f>
        <v>0</v>
      </c>
      <c r="K480" s="4"/>
      <c r="L480" s="33" t="str">
        <f>IFERROR(VLOOKUP($J480,'Informations sur les produits'!$A$3:$H$10000,8,FALSE),"0")</f>
        <v>0</v>
      </c>
      <c r="N480" s="8"/>
      <c r="O480" s="33" t="str">
        <f>IFERROR(VLOOKUP($M480,'Informations sur les produits'!$A$3:$H$10000,8,FALSE),"0")</f>
        <v>0</v>
      </c>
      <c r="P480" s="33">
        <f t="shared" si="28"/>
        <v>0</v>
      </c>
      <c r="Q480" s="31" t="str">
        <f t="shared" si="29"/>
        <v/>
      </c>
      <c r="R480" s="32" t="str">
        <f>IFERROR(VLOOKUP($D480,'Informations sur les produits'!$A$3:$B$15000,2,FALSE),"")</f>
        <v/>
      </c>
      <c r="V480">
        <f t="shared" si="30"/>
        <v>0</v>
      </c>
      <c r="W480">
        <f t="shared" si="31"/>
        <v>0</v>
      </c>
    </row>
    <row r="481" spans="5:23" x14ac:dyDescent="0.25">
      <c r="E481" s="4"/>
      <c r="F481" s="4"/>
      <c r="G481" s="33" t="str">
        <f>IFERROR(VLOOKUP($D481,'Informations sur les produits'!$A$3:$H$10000,8,FALSE),"0")</f>
        <v>0</v>
      </c>
      <c r="K481" s="4"/>
      <c r="L481" s="33" t="str">
        <f>IFERROR(VLOOKUP($J481,'Informations sur les produits'!$A$3:$H$10000,8,FALSE),"0")</f>
        <v>0</v>
      </c>
      <c r="N481" s="8"/>
      <c r="O481" s="33" t="str">
        <f>IFERROR(VLOOKUP($M481,'Informations sur les produits'!$A$3:$H$10000,8,FALSE),"0")</f>
        <v>0</v>
      </c>
      <c r="P481" s="33">
        <f t="shared" si="28"/>
        <v>0</v>
      </c>
      <c r="Q481" s="31" t="str">
        <f t="shared" si="29"/>
        <v/>
      </c>
      <c r="R481" s="32" t="str">
        <f>IFERROR(VLOOKUP($D481,'Informations sur les produits'!$A$3:$B$15000,2,FALSE),"")</f>
        <v/>
      </c>
      <c r="V481">
        <f t="shared" si="30"/>
        <v>0</v>
      </c>
      <c r="W481">
        <f t="shared" si="31"/>
        <v>0</v>
      </c>
    </row>
    <row r="482" spans="5:23" x14ac:dyDescent="0.25">
      <c r="E482" s="4"/>
      <c r="F482" s="4"/>
      <c r="G482" s="33" t="str">
        <f>IFERROR(VLOOKUP($D482,'Informations sur les produits'!$A$3:$H$10000,8,FALSE),"0")</f>
        <v>0</v>
      </c>
      <c r="K482" s="4"/>
      <c r="L482" s="33" t="str">
        <f>IFERROR(VLOOKUP($J482,'Informations sur les produits'!$A$3:$H$10000,8,FALSE),"0")</f>
        <v>0</v>
      </c>
      <c r="N482" s="8"/>
      <c r="O482" s="33" t="str">
        <f>IFERROR(VLOOKUP($M482,'Informations sur les produits'!$A$3:$H$10000,8,FALSE),"0")</f>
        <v>0</v>
      </c>
      <c r="P482" s="33">
        <f t="shared" si="28"/>
        <v>0</v>
      </c>
      <c r="Q482" s="31" t="str">
        <f t="shared" si="29"/>
        <v/>
      </c>
      <c r="R482" s="32" t="str">
        <f>IFERROR(VLOOKUP($D482,'Informations sur les produits'!$A$3:$B$15000,2,FALSE),"")</f>
        <v/>
      </c>
      <c r="V482">
        <f t="shared" si="30"/>
        <v>0</v>
      </c>
      <c r="W482">
        <f t="shared" si="31"/>
        <v>0</v>
      </c>
    </row>
    <row r="483" spans="5:23" x14ac:dyDescent="0.25">
      <c r="E483" s="4"/>
      <c r="F483" s="4"/>
      <c r="G483" s="33" t="str">
        <f>IFERROR(VLOOKUP($D483,'Informations sur les produits'!$A$3:$H$10000,8,FALSE),"0")</f>
        <v>0</v>
      </c>
      <c r="K483" s="4"/>
      <c r="L483" s="33" t="str">
        <f>IFERROR(VLOOKUP($J483,'Informations sur les produits'!$A$3:$H$10000,8,FALSE),"0")</f>
        <v>0</v>
      </c>
      <c r="N483" s="8"/>
      <c r="O483" s="33" t="str">
        <f>IFERROR(VLOOKUP($M483,'Informations sur les produits'!$A$3:$H$10000,8,FALSE),"0")</f>
        <v>0</v>
      </c>
      <c r="P483" s="33">
        <f t="shared" si="28"/>
        <v>0</v>
      </c>
      <c r="Q483" s="31" t="str">
        <f t="shared" si="29"/>
        <v/>
      </c>
      <c r="R483" s="32" t="str">
        <f>IFERROR(VLOOKUP($D483,'Informations sur les produits'!$A$3:$B$15000,2,FALSE),"")</f>
        <v/>
      </c>
      <c r="V483">
        <f t="shared" si="30"/>
        <v>0</v>
      </c>
      <c r="W483">
        <f t="shared" si="31"/>
        <v>0</v>
      </c>
    </row>
    <row r="484" spans="5:23" x14ac:dyDescent="0.25">
      <c r="E484" s="4"/>
      <c r="F484" s="4"/>
      <c r="G484" s="33" t="str">
        <f>IFERROR(VLOOKUP($D484,'Informations sur les produits'!$A$3:$H$10000,8,FALSE),"0")</f>
        <v>0</v>
      </c>
      <c r="K484" s="4"/>
      <c r="L484" s="33" t="str">
        <f>IFERROR(VLOOKUP($J484,'Informations sur les produits'!$A$3:$H$10000,8,FALSE),"0")</f>
        <v>0</v>
      </c>
      <c r="N484" s="8"/>
      <c r="O484" s="33" t="str">
        <f>IFERROR(VLOOKUP($M484,'Informations sur les produits'!$A$3:$H$10000,8,FALSE),"0")</f>
        <v>0</v>
      </c>
      <c r="P484" s="33">
        <f t="shared" si="28"/>
        <v>0</v>
      </c>
      <c r="Q484" s="31" t="str">
        <f t="shared" si="29"/>
        <v/>
      </c>
      <c r="R484" s="32" t="str">
        <f>IFERROR(VLOOKUP($D484,'Informations sur les produits'!$A$3:$B$15000,2,FALSE),"")</f>
        <v/>
      </c>
      <c r="V484">
        <f t="shared" si="30"/>
        <v>0</v>
      </c>
      <c r="W484">
        <f t="shared" si="31"/>
        <v>0</v>
      </c>
    </row>
    <row r="485" spans="5:23" x14ac:dyDescent="0.25">
      <c r="E485" s="4"/>
      <c r="F485" s="4"/>
      <c r="G485" s="33" t="str">
        <f>IFERROR(VLOOKUP($D485,'Informations sur les produits'!$A$3:$H$10000,8,FALSE),"0")</f>
        <v>0</v>
      </c>
      <c r="K485" s="4"/>
      <c r="L485" s="33" t="str">
        <f>IFERROR(VLOOKUP($J485,'Informations sur les produits'!$A$3:$H$10000,8,FALSE),"0")</f>
        <v>0</v>
      </c>
      <c r="N485" s="8"/>
      <c r="O485" s="33" t="str">
        <f>IFERROR(VLOOKUP($M485,'Informations sur les produits'!$A$3:$H$10000,8,FALSE),"0")</f>
        <v>0</v>
      </c>
      <c r="P485" s="33">
        <f t="shared" si="28"/>
        <v>0</v>
      </c>
      <c r="Q485" s="31" t="str">
        <f t="shared" si="29"/>
        <v/>
      </c>
      <c r="R485" s="32" t="str">
        <f>IFERROR(VLOOKUP($D485,'Informations sur les produits'!$A$3:$B$15000,2,FALSE),"")</f>
        <v/>
      </c>
      <c r="V485">
        <f t="shared" si="30"/>
        <v>0</v>
      </c>
      <c r="W485">
        <f t="shared" si="31"/>
        <v>0</v>
      </c>
    </row>
    <row r="486" spans="5:23" x14ac:dyDescent="0.25">
      <c r="E486" s="4"/>
      <c r="F486" s="4"/>
      <c r="G486" s="33" t="str">
        <f>IFERROR(VLOOKUP($D486,'Informations sur les produits'!$A$3:$H$10000,8,FALSE),"0")</f>
        <v>0</v>
      </c>
      <c r="K486" s="4"/>
      <c r="L486" s="33" t="str">
        <f>IFERROR(VLOOKUP($J486,'Informations sur les produits'!$A$3:$H$10000,8,FALSE),"0")</f>
        <v>0</v>
      </c>
      <c r="N486" s="8"/>
      <c r="O486" s="33" t="str">
        <f>IFERROR(VLOOKUP($M486,'Informations sur les produits'!$A$3:$H$10000,8,FALSE),"0")</f>
        <v>0</v>
      </c>
      <c r="P486" s="33">
        <f t="shared" si="28"/>
        <v>0</v>
      </c>
      <c r="Q486" s="31" t="str">
        <f t="shared" si="29"/>
        <v/>
      </c>
      <c r="R486" s="32" t="str">
        <f>IFERROR(VLOOKUP($D486,'Informations sur les produits'!$A$3:$B$15000,2,FALSE),"")</f>
        <v/>
      </c>
      <c r="V486">
        <f t="shared" si="30"/>
        <v>0</v>
      </c>
      <c r="W486">
        <f t="shared" si="31"/>
        <v>0</v>
      </c>
    </row>
    <row r="487" spans="5:23" x14ac:dyDescent="0.25">
      <c r="E487" s="4"/>
      <c r="F487" s="4"/>
      <c r="G487" s="33" t="str">
        <f>IFERROR(VLOOKUP($D487,'Informations sur les produits'!$A$3:$H$10000,8,FALSE),"0")</f>
        <v>0</v>
      </c>
      <c r="K487" s="4"/>
      <c r="L487" s="33" t="str">
        <f>IFERROR(VLOOKUP($J487,'Informations sur les produits'!$A$3:$H$10000,8,FALSE),"0")</f>
        <v>0</v>
      </c>
      <c r="N487" s="8"/>
      <c r="O487" s="33" t="str">
        <f>IFERROR(VLOOKUP($M487,'Informations sur les produits'!$A$3:$H$10000,8,FALSE),"0")</f>
        <v>0</v>
      </c>
      <c r="P487" s="33">
        <f t="shared" si="28"/>
        <v>0</v>
      </c>
      <c r="Q487" s="31" t="str">
        <f t="shared" si="29"/>
        <v/>
      </c>
      <c r="R487" s="32" t="str">
        <f>IFERROR(VLOOKUP($D487,'Informations sur les produits'!$A$3:$B$15000,2,FALSE),"")</f>
        <v/>
      </c>
      <c r="V487">
        <f t="shared" si="30"/>
        <v>0</v>
      </c>
      <c r="W487">
        <f t="shared" si="31"/>
        <v>0</v>
      </c>
    </row>
    <row r="488" spans="5:23" x14ac:dyDescent="0.25">
      <c r="E488" s="4"/>
      <c r="F488" s="4"/>
      <c r="G488" s="33" t="str">
        <f>IFERROR(VLOOKUP($D488,'Informations sur les produits'!$A$3:$H$10000,8,FALSE),"0")</f>
        <v>0</v>
      </c>
      <c r="K488" s="4"/>
      <c r="L488" s="33" t="str">
        <f>IFERROR(VLOOKUP($J488,'Informations sur les produits'!$A$3:$H$10000,8,FALSE),"0")</f>
        <v>0</v>
      </c>
      <c r="N488" s="8"/>
      <c r="O488" s="33" t="str">
        <f>IFERROR(VLOOKUP($M488,'Informations sur les produits'!$A$3:$H$10000,8,FALSE),"0")</f>
        <v>0</v>
      </c>
      <c r="P488" s="33">
        <f t="shared" si="28"/>
        <v>0</v>
      </c>
      <c r="Q488" s="31" t="str">
        <f t="shared" si="29"/>
        <v/>
      </c>
      <c r="R488" s="32" t="str">
        <f>IFERROR(VLOOKUP($D488,'Informations sur les produits'!$A$3:$B$15000,2,FALSE),"")</f>
        <v/>
      </c>
      <c r="V488">
        <f t="shared" si="30"/>
        <v>0</v>
      </c>
      <c r="W488">
        <f t="shared" si="31"/>
        <v>0</v>
      </c>
    </row>
    <row r="489" spans="5:23" x14ac:dyDescent="0.25">
      <c r="E489" s="4"/>
      <c r="F489" s="4"/>
      <c r="G489" s="33" t="str">
        <f>IFERROR(VLOOKUP($D489,'Informations sur les produits'!$A$3:$H$10000,8,FALSE),"0")</f>
        <v>0</v>
      </c>
      <c r="K489" s="4"/>
      <c r="L489" s="33" t="str">
        <f>IFERROR(VLOOKUP($J489,'Informations sur les produits'!$A$3:$H$10000,8,FALSE),"0")</f>
        <v>0</v>
      </c>
      <c r="N489" s="8"/>
      <c r="O489" s="33" t="str">
        <f>IFERROR(VLOOKUP($M489,'Informations sur les produits'!$A$3:$H$10000,8,FALSE),"0")</f>
        <v>0</v>
      </c>
      <c r="P489" s="33">
        <f t="shared" si="28"/>
        <v>0</v>
      </c>
      <c r="Q489" s="31" t="str">
        <f t="shared" si="29"/>
        <v/>
      </c>
      <c r="R489" s="32" t="str">
        <f>IFERROR(VLOOKUP($D489,'Informations sur les produits'!$A$3:$B$15000,2,FALSE),"")</f>
        <v/>
      </c>
      <c r="V489">
        <f t="shared" si="30"/>
        <v>0</v>
      </c>
      <c r="W489">
        <f t="shared" si="31"/>
        <v>0</v>
      </c>
    </row>
    <row r="490" spans="5:23" x14ac:dyDescent="0.25">
      <c r="E490" s="4"/>
      <c r="F490" s="4"/>
      <c r="G490" s="33" t="str">
        <f>IFERROR(VLOOKUP($D490,'Informations sur les produits'!$A$3:$H$10000,8,FALSE),"0")</f>
        <v>0</v>
      </c>
      <c r="K490" s="4"/>
      <c r="L490" s="33" t="str">
        <f>IFERROR(VLOOKUP($J490,'Informations sur les produits'!$A$3:$H$10000,8,FALSE),"0")</f>
        <v>0</v>
      </c>
      <c r="N490" s="8"/>
      <c r="O490" s="33" t="str">
        <f>IFERROR(VLOOKUP($M490,'Informations sur les produits'!$A$3:$H$10000,8,FALSE),"0")</f>
        <v>0</v>
      </c>
      <c r="P490" s="33">
        <f t="shared" si="28"/>
        <v>0</v>
      </c>
      <c r="Q490" s="31" t="str">
        <f t="shared" si="29"/>
        <v/>
      </c>
      <c r="R490" s="32" t="str">
        <f>IFERROR(VLOOKUP($D490,'Informations sur les produits'!$A$3:$B$15000,2,FALSE),"")</f>
        <v/>
      </c>
      <c r="V490">
        <f t="shared" si="30"/>
        <v>0</v>
      </c>
      <c r="W490">
        <f t="shared" si="31"/>
        <v>0</v>
      </c>
    </row>
    <row r="491" spans="5:23" x14ac:dyDescent="0.25">
      <c r="E491" s="4"/>
      <c r="F491" s="4"/>
      <c r="G491" s="33" t="str">
        <f>IFERROR(VLOOKUP($D491,'Informations sur les produits'!$A$3:$H$10000,8,FALSE),"0")</f>
        <v>0</v>
      </c>
      <c r="K491" s="4"/>
      <c r="L491" s="33" t="str">
        <f>IFERROR(VLOOKUP($J491,'Informations sur les produits'!$A$3:$H$10000,8,FALSE),"0")</f>
        <v>0</v>
      </c>
      <c r="N491" s="8"/>
      <c r="O491" s="33" t="str">
        <f>IFERROR(VLOOKUP($M491,'Informations sur les produits'!$A$3:$H$10000,8,FALSE),"0")</f>
        <v>0</v>
      </c>
      <c r="P491" s="33">
        <f t="shared" si="28"/>
        <v>0</v>
      </c>
      <c r="Q491" s="31" t="str">
        <f t="shared" si="29"/>
        <v/>
      </c>
      <c r="R491" s="32" t="str">
        <f>IFERROR(VLOOKUP($D491,'Informations sur les produits'!$A$3:$B$15000,2,FALSE),"")</f>
        <v/>
      </c>
      <c r="V491">
        <f t="shared" si="30"/>
        <v>0</v>
      </c>
      <c r="W491">
        <f t="shared" si="31"/>
        <v>0</v>
      </c>
    </row>
    <row r="492" spans="5:23" x14ac:dyDescent="0.25">
      <c r="E492" s="4"/>
      <c r="F492" s="4"/>
      <c r="G492" s="33" t="str">
        <f>IFERROR(VLOOKUP($D492,'Informations sur les produits'!$A$3:$H$10000,8,FALSE),"0")</f>
        <v>0</v>
      </c>
      <c r="K492" s="4"/>
      <c r="L492" s="33" t="str">
        <f>IFERROR(VLOOKUP($J492,'Informations sur les produits'!$A$3:$H$10000,8,FALSE),"0")</f>
        <v>0</v>
      </c>
      <c r="N492" s="8"/>
      <c r="O492" s="33" t="str">
        <f>IFERROR(VLOOKUP($M492,'Informations sur les produits'!$A$3:$H$10000,8,FALSE),"0")</f>
        <v>0</v>
      </c>
      <c r="P492" s="33">
        <f t="shared" si="28"/>
        <v>0</v>
      </c>
      <c r="Q492" s="31" t="str">
        <f t="shared" si="29"/>
        <v/>
      </c>
      <c r="R492" s="32" t="str">
        <f>IFERROR(VLOOKUP($D492,'Informations sur les produits'!$A$3:$B$15000,2,FALSE),"")</f>
        <v/>
      </c>
      <c r="V492">
        <f t="shared" si="30"/>
        <v>0</v>
      </c>
      <c r="W492">
        <f t="shared" si="31"/>
        <v>0</v>
      </c>
    </row>
    <row r="493" spans="5:23" x14ac:dyDescent="0.25">
      <c r="E493" s="4"/>
      <c r="F493" s="4"/>
      <c r="G493" s="33" t="str">
        <f>IFERROR(VLOOKUP($D493,'Informations sur les produits'!$A$3:$H$10000,8,FALSE),"0")</f>
        <v>0</v>
      </c>
      <c r="K493" s="4"/>
      <c r="L493" s="33" t="str">
        <f>IFERROR(VLOOKUP($J493,'Informations sur les produits'!$A$3:$H$10000,8,FALSE),"0")</f>
        <v>0</v>
      </c>
      <c r="N493" s="8"/>
      <c r="O493" s="33" t="str">
        <f>IFERROR(VLOOKUP($M493,'Informations sur les produits'!$A$3:$H$10000,8,FALSE),"0")</f>
        <v>0</v>
      </c>
      <c r="P493" s="33">
        <f t="shared" si="28"/>
        <v>0</v>
      </c>
      <c r="Q493" s="31" t="str">
        <f t="shared" si="29"/>
        <v/>
      </c>
      <c r="R493" s="32" t="str">
        <f>IFERROR(VLOOKUP($D493,'Informations sur les produits'!$A$3:$B$15000,2,FALSE),"")</f>
        <v/>
      </c>
      <c r="V493">
        <f t="shared" si="30"/>
        <v>0</v>
      </c>
      <c r="W493">
        <f t="shared" si="31"/>
        <v>0</v>
      </c>
    </row>
    <row r="494" spans="5:23" x14ac:dyDescent="0.25">
      <c r="E494" s="4"/>
      <c r="F494" s="4"/>
      <c r="G494" s="33" t="str">
        <f>IFERROR(VLOOKUP($D494,'Informations sur les produits'!$A$3:$H$10000,8,FALSE),"0")</f>
        <v>0</v>
      </c>
      <c r="K494" s="4"/>
      <c r="L494" s="33" t="str">
        <f>IFERROR(VLOOKUP($J494,'Informations sur les produits'!$A$3:$H$10000,8,FALSE),"0")</f>
        <v>0</v>
      </c>
      <c r="N494" s="8"/>
      <c r="O494" s="33" t="str">
        <f>IFERROR(VLOOKUP($M494,'Informations sur les produits'!$A$3:$H$10000,8,FALSE),"0")</f>
        <v>0</v>
      </c>
      <c r="P494" s="33">
        <f t="shared" si="28"/>
        <v>0</v>
      </c>
      <c r="Q494" s="31" t="str">
        <f t="shared" si="29"/>
        <v/>
      </c>
      <c r="R494" s="32" t="str">
        <f>IFERROR(VLOOKUP($D494,'Informations sur les produits'!$A$3:$B$15000,2,FALSE),"")</f>
        <v/>
      </c>
      <c r="V494">
        <f t="shared" si="30"/>
        <v>0</v>
      </c>
      <c r="W494">
        <f t="shared" si="31"/>
        <v>0</v>
      </c>
    </row>
    <row r="495" spans="5:23" x14ac:dyDescent="0.25">
      <c r="E495" s="4"/>
      <c r="F495" s="4"/>
      <c r="G495" s="33" t="str">
        <f>IFERROR(VLOOKUP($D495,'Informations sur les produits'!$A$3:$H$10000,8,FALSE),"0")</f>
        <v>0</v>
      </c>
      <c r="K495" s="4"/>
      <c r="L495" s="33" t="str">
        <f>IFERROR(VLOOKUP($J495,'Informations sur les produits'!$A$3:$H$10000,8,FALSE),"0")</f>
        <v>0</v>
      </c>
      <c r="N495" s="8"/>
      <c r="O495" s="33" t="str">
        <f>IFERROR(VLOOKUP($M495,'Informations sur les produits'!$A$3:$H$10000,8,FALSE),"0")</f>
        <v>0</v>
      </c>
      <c r="P495" s="33">
        <f t="shared" si="28"/>
        <v>0</v>
      </c>
      <c r="Q495" s="31" t="str">
        <f t="shared" si="29"/>
        <v/>
      </c>
      <c r="R495" s="32" t="str">
        <f>IFERROR(VLOOKUP($D495,'Informations sur les produits'!$A$3:$B$15000,2,FALSE),"")</f>
        <v/>
      </c>
      <c r="V495">
        <f t="shared" si="30"/>
        <v>0</v>
      </c>
      <c r="W495">
        <f t="shared" si="31"/>
        <v>0</v>
      </c>
    </row>
    <row r="496" spans="5:23" x14ac:dyDescent="0.25">
      <c r="E496" s="4"/>
      <c r="F496" s="4"/>
      <c r="G496" s="33" t="str">
        <f>IFERROR(VLOOKUP($D496,'Informations sur les produits'!$A$3:$H$10000,8,FALSE),"0")</f>
        <v>0</v>
      </c>
      <c r="K496" s="4"/>
      <c r="L496" s="33" t="str">
        <f>IFERROR(VLOOKUP($J496,'Informations sur les produits'!$A$3:$H$10000,8,FALSE),"0")</f>
        <v>0</v>
      </c>
      <c r="N496" s="8"/>
      <c r="O496" s="33" t="str">
        <f>IFERROR(VLOOKUP($M496,'Informations sur les produits'!$A$3:$H$10000,8,FALSE),"0")</f>
        <v>0</v>
      </c>
      <c r="P496" s="33">
        <f t="shared" si="28"/>
        <v>0</v>
      </c>
      <c r="Q496" s="31" t="str">
        <f t="shared" si="29"/>
        <v/>
      </c>
      <c r="R496" s="32" t="str">
        <f>IFERROR(VLOOKUP($D496,'Informations sur les produits'!$A$3:$B$15000,2,FALSE),"")</f>
        <v/>
      </c>
      <c r="V496">
        <f t="shared" si="30"/>
        <v>0</v>
      </c>
      <c r="W496">
        <f t="shared" si="31"/>
        <v>0</v>
      </c>
    </row>
    <row r="497" spans="5:23" x14ac:dyDescent="0.25">
      <c r="E497" s="4"/>
      <c r="F497" s="4"/>
      <c r="G497" s="33" t="str">
        <f>IFERROR(VLOOKUP($D497,'Informations sur les produits'!$A$3:$H$10000,8,FALSE),"0")</f>
        <v>0</v>
      </c>
      <c r="K497" s="4"/>
      <c r="L497" s="33" t="str">
        <f>IFERROR(VLOOKUP($J497,'Informations sur les produits'!$A$3:$H$10000,8,FALSE),"0")</f>
        <v>0</v>
      </c>
      <c r="N497" s="8"/>
      <c r="O497" s="33" t="str">
        <f>IFERROR(VLOOKUP($M497,'Informations sur les produits'!$A$3:$H$10000,8,FALSE),"0")</f>
        <v>0</v>
      </c>
      <c r="P497" s="33">
        <f t="shared" si="28"/>
        <v>0</v>
      </c>
      <c r="Q497" s="31" t="str">
        <f t="shared" si="29"/>
        <v/>
      </c>
      <c r="R497" s="32" t="str">
        <f>IFERROR(VLOOKUP($D497,'Informations sur les produits'!$A$3:$B$15000,2,FALSE),"")</f>
        <v/>
      </c>
      <c r="V497">
        <f t="shared" si="30"/>
        <v>0</v>
      </c>
      <c r="W497">
        <f t="shared" si="31"/>
        <v>0</v>
      </c>
    </row>
    <row r="498" spans="5:23" x14ac:dyDescent="0.25">
      <c r="E498" s="4"/>
      <c r="F498" s="4"/>
      <c r="G498" s="33" t="str">
        <f>IFERROR(VLOOKUP($D498,'Informations sur les produits'!$A$3:$H$10000,8,FALSE),"0")</f>
        <v>0</v>
      </c>
      <c r="K498" s="4"/>
      <c r="L498" s="33" t="str">
        <f>IFERROR(VLOOKUP($J498,'Informations sur les produits'!$A$3:$H$10000,8,FALSE),"0")</f>
        <v>0</v>
      </c>
      <c r="N498" s="8"/>
      <c r="O498" s="33" t="str">
        <f>IFERROR(VLOOKUP($M498,'Informations sur les produits'!$A$3:$H$10000,8,FALSE),"0")</f>
        <v>0</v>
      </c>
      <c r="P498" s="33">
        <f t="shared" si="28"/>
        <v>0</v>
      </c>
      <c r="Q498" s="31" t="str">
        <f t="shared" si="29"/>
        <v/>
      </c>
      <c r="R498" s="32" t="str">
        <f>IFERROR(VLOOKUP($D498,'Informations sur les produits'!$A$3:$B$15000,2,FALSE),"")</f>
        <v/>
      </c>
      <c r="V498">
        <f t="shared" si="30"/>
        <v>0</v>
      </c>
      <c r="W498">
        <f t="shared" si="31"/>
        <v>0</v>
      </c>
    </row>
    <row r="499" spans="5:23" x14ac:dyDescent="0.25">
      <c r="E499" s="4"/>
      <c r="F499" s="4"/>
      <c r="G499" s="33" t="str">
        <f>IFERROR(VLOOKUP($D499,'Informations sur les produits'!$A$3:$H$10000,8,FALSE),"0")</f>
        <v>0</v>
      </c>
      <c r="K499" s="4"/>
      <c r="L499" s="33" t="str">
        <f>IFERROR(VLOOKUP($J499,'Informations sur les produits'!$A$3:$H$10000,8,FALSE),"0")</f>
        <v>0</v>
      </c>
      <c r="N499" s="8"/>
      <c r="O499" s="33" t="str">
        <f>IFERROR(VLOOKUP($M499,'Informations sur les produits'!$A$3:$H$10000,8,FALSE),"0")</f>
        <v>0</v>
      </c>
      <c r="P499" s="33">
        <f t="shared" si="28"/>
        <v>0</v>
      </c>
      <c r="Q499" s="31" t="str">
        <f t="shared" si="29"/>
        <v/>
      </c>
      <c r="R499" s="32" t="str">
        <f>IFERROR(VLOOKUP($D499,'Informations sur les produits'!$A$3:$B$15000,2,FALSE),"")</f>
        <v/>
      </c>
      <c r="V499">
        <f t="shared" si="30"/>
        <v>0</v>
      </c>
      <c r="W499">
        <f t="shared" si="31"/>
        <v>0</v>
      </c>
    </row>
    <row r="500" spans="5:23" x14ac:dyDescent="0.25">
      <c r="E500" s="4"/>
      <c r="F500" s="4"/>
      <c r="G500" s="33" t="str">
        <f>IFERROR(VLOOKUP($D500,'Informations sur les produits'!$A$3:$H$10000,8,FALSE),"0")</f>
        <v>0</v>
      </c>
      <c r="K500" s="4"/>
      <c r="L500" s="33" t="str">
        <f>IFERROR(VLOOKUP($J500,'Informations sur les produits'!$A$3:$H$10000,8,FALSE),"0")</f>
        <v>0</v>
      </c>
      <c r="N500" s="8"/>
      <c r="O500" s="33" t="str">
        <f>IFERROR(VLOOKUP($M500,'Informations sur les produits'!$A$3:$H$10000,8,FALSE),"0")</f>
        <v>0</v>
      </c>
      <c r="P500" s="33">
        <f t="shared" si="28"/>
        <v>0</v>
      </c>
      <c r="Q500" s="31" t="str">
        <f t="shared" si="29"/>
        <v/>
      </c>
      <c r="R500" s="32" t="str">
        <f>IFERROR(VLOOKUP($D500,'Informations sur les produits'!$A$3:$B$15000,2,FALSE),"")</f>
        <v/>
      </c>
      <c r="V500">
        <f t="shared" si="30"/>
        <v>0</v>
      </c>
      <c r="W500">
        <f t="shared" si="31"/>
        <v>0</v>
      </c>
    </row>
    <row r="501" spans="5:23" x14ac:dyDescent="0.25">
      <c r="E501" s="4"/>
      <c r="F501" s="4"/>
      <c r="G501" s="33" t="str">
        <f>IFERROR(VLOOKUP($D501,'Informations sur les produits'!$A$3:$H$10000,8,FALSE),"0")</f>
        <v>0</v>
      </c>
      <c r="K501" s="4"/>
      <c r="L501" s="33" t="str">
        <f>IFERROR(VLOOKUP($J501,'Informations sur les produits'!$A$3:$H$10000,8,FALSE),"0")</f>
        <v>0</v>
      </c>
      <c r="N501" s="8"/>
      <c r="O501" s="33" t="str">
        <f>IFERROR(VLOOKUP($M501,'Informations sur les produits'!$A$3:$H$10000,8,FALSE),"0")</f>
        <v>0</v>
      </c>
      <c r="P501" s="33">
        <f t="shared" si="28"/>
        <v>0</v>
      </c>
      <c r="Q501" s="31" t="str">
        <f t="shared" si="29"/>
        <v/>
      </c>
      <c r="R501" s="32" t="str">
        <f>IFERROR(VLOOKUP($D501,'Informations sur les produits'!$A$3:$B$15000,2,FALSE),"")</f>
        <v/>
      </c>
      <c r="V501">
        <f t="shared" si="30"/>
        <v>0</v>
      </c>
      <c r="W501">
        <f t="shared" si="31"/>
        <v>0</v>
      </c>
    </row>
    <row r="502" spans="5:23" x14ac:dyDescent="0.25">
      <c r="E502" s="4"/>
      <c r="F502" s="4"/>
      <c r="G502" s="33" t="str">
        <f>IFERROR(VLOOKUP($D502,'Informations sur les produits'!$A$3:$H$10000,8,FALSE),"0")</f>
        <v>0</v>
      </c>
      <c r="K502" s="4"/>
      <c r="L502" s="33" t="str">
        <f>IFERROR(VLOOKUP($J502,'Informations sur les produits'!$A$3:$H$10000,8,FALSE),"0")</f>
        <v>0</v>
      </c>
      <c r="N502" s="8"/>
      <c r="O502" s="33" t="str">
        <f>IFERROR(VLOOKUP($M502,'Informations sur les produits'!$A$3:$H$10000,8,FALSE),"0")</f>
        <v>0</v>
      </c>
      <c r="P502" s="33">
        <f t="shared" si="28"/>
        <v>0</v>
      </c>
      <c r="Q502" s="31" t="str">
        <f t="shared" si="29"/>
        <v/>
      </c>
      <c r="R502" s="32" t="str">
        <f>IFERROR(VLOOKUP($D502,'Informations sur les produits'!$A$3:$B$15000,2,FALSE),"")</f>
        <v/>
      </c>
      <c r="V502">
        <f t="shared" si="30"/>
        <v>0</v>
      </c>
      <c r="W502">
        <f t="shared" si="31"/>
        <v>0</v>
      </c>
    </row>
    <row r="503" spans="5:23" x14ac:dyDescent="0.25">
      <c r="E503" s="4"/>
      <c r="F503" s="4"/>
      <c r="G503" s="33" t="str">
        <f>IFERROR(VLOOKUP($D503,'Informations sur les produits'!$A$3:$H$10000,8,FALSE),"0")</f>
        <v>0</v>
      </c>
      <c r="K503" s="4"/>
      <c r="L503" s="33" t="str">
        <f>IFERROR(VLOOKUP($J503,'Informations sur les produits'!$A$3:$H$10000,8,FALSE),"0")</f>
        <v>0</v>
      </c>
      <c r="N503" s="8"/>
      <c r="O503" s="33" t="str">
        <f>IFERROR(VLOOKUP($M503,'Informations sur les produits'!$A$3:$H$10000,8,FALSE),"0")</f>
        <v>0</v>
      </c>
      <c r="P503" s="33">
        <f t="shared" si="28"/>
        <v>0</v>
      </c>
      <c r="Q503" s="31" t="str">
        <f t="shared" si="29"/>
        <v/>
      </c>
      <c r="R503" s="32" t="str">
        <f>IFERROR(VLOOKUP($D503,'Informations sur les produits'!$A$3:$B$15000,2,FALSE),"")</f>
        <v/>
      </c>
      <c r="V503">
        <f t="shared" si="30"/>
        <v>0</v>
      </c>
      <c r="W503">
        <f t="shared" si="31"/>
        <v>0</v>
      </c>
    </row>
    <row r="504" spans="5:23" x14ac:dyDescent="0.25">
      <c r="E504" s="4"/>
      <c r="F504" s="4"/>
      <c r="G504" s="33" t="str">
        <f>IFERROR(VLOOKUP($D504,'Informations sur les produits'!$A$3:$H$10000,8,FALSE),"0")</f>
        <v>0</v>
      </c>
      <c r="K504" s="4"/>
      <c r="L504" s="33" t="str">
        <f>IFERROR(VLOOKUP($J504,'Informations sur les produits'!$A$3:$H$10000,8,FALSE),"0")</f>
        <v>0</v>
      </c>
      <c r="N504" s="8"/>
      <c r="O504" s="33" t="str">
        <f>IFERROR(VLOOKUP($M504,'Informations sur les produits'!$A$3:$H$10000,8,FALSE),"0")</f>
        <v>0</v>
      </c>
      <c r="P504" s="33">
        <f t="shared" si="28"/>
        <v>0</v>
      </c>
      <c r="Q504" s="31" t="str">
        <f t="shared" si="29"/>
        <v/>
      </c>
      <c r="R504" s="32" t="str">
        <f>IFERROR(VLOOKUP($D504,'Informations sur les produits'!$A$3:$B$15000,2,FALSE),"")</f>
        <v/>
      </c>
      <c r="V504">
        <f t="shared" si="30"/>
        <v>0</v>
      </c>
      <c r="W504">
        <f t="shared" si="31"/>
        <v>0</v>
      </c>
    </row>
    <row r="505" spans="5:23" x14ac:dyDescent="0.25">
      <c r="E505" s="4"/>
      <c r="F505" s="4"/>
      <c r="G505" s="33" t="str">
        <f>IFERROR(VLOOKUP($D505,'Informations sur les produits'!$A$3:$H$10000,8,FALSE),"0")</f>
        <v>0</v>
      </c>
      <c r="K505" s="4"/>
      <c r="L505" s="33" t="str">
        <f>IFERROR(VLOOKUP($J505,'Informations sur les produits'!$A$3:$H$10000,8,FALSE),"0")</f>
        <v>0</v>
      </c>
      <c r="N505" s="8"/>
      <c r="O505" s="33" t="str">
        <f>IFERROR(VLOOKUP($M505,'Informations sur les produits'!$A$3:$H$10000,8,FALSE),"0")</f>
        <v>0</v>
      </c>
      <c r="P505" s="33">
        <f t="shared" si="28"/>
        <v>0</v>
      </c>
      <c r="Q505" s="31" t="str">
        <f t="shared" si="29"/>
        <v/>
      </c>
      <c r="R505" s="32" t="str">
        <f>IFERROR(VLOOKUP($D505,'Informations sur les produits'!$A$3:$B$15000,2,FALSE),"")</f>
        <v/>
      </c>
      <c r="V505">
        <f t="shared" si="30"/>
        <v>0</v>
      </c>
      <c r="W505">
        <f t="shared" si="31"/>
        <v>0</v>
      </c>
    </row>
    <row r="506" spans="5:23" x14ac:dyDescent="0.25">
      <c r="E506" s="4"/>
      <c r="F506" s="4"/>
      <c r="G506" s="33" t="str">
        <f>IFERROR(VLOOKUP($D506,'Informations sur les produits'!$A$3:$H$10000,8,FALSE),"0")</f>
        <v>0</v>
      </c>
      <c r="K506" s="4"/>
      <c r="L506" s="33" t="str">
        <f>IFERROR(VLOOKUP($J506,'Informations sur les produits'!$A$3:$H$10000,8,FALSE),"0")</f>
        <v>0</v>
      </c>
      <c r="N506" s="8"/>
      <c r="O506" s="33" t="str">
        <f>IFERROR(VLOOKUP($M506,'Informations sur les produits'!$A$3:$H$10000,8,FALSE),"0")</f>
        <v>0</v>
      </c>
      <c r="P506" s="33">
        <f t="shared" si="28"/>
        <v>0</v>
      </c>
      <c r="Q506" s="31" t="str">
        <f t="shared" si="29"/>
        <v/>
      </c>
      <c r="R506" s="32" t="str">
        <f>IFERROR(VLOOKUP($D506,'Informations sur les produits'!$A$3:$B$15000,2,FALSE),"")</f>
        <v/>
      </c>
      <c r="V506">
        <f t="shared" si="30"/>
        <v>0</v>
      </c>
      <c r="W506">
        <f t="shared" si="31"/>
        <v>0</v>
      </c>
    </row>
    <row r="507" spans="5:23" x14ac:dyDescent="0.25">
      <c r="E507" s="4"/>
      <c r="F507" s="4"/>
      <c r="G507" s="33" t="str">
        <f>IFERROR(VLOOKUP($D507,'Informations sur les produits'!$A$3:$H$10000,8,FALSE),"0")</f>
        <v>0</v>
      </c>
      <c r="K507" s="4"/>
      <c r="L507" s="33" t="str">
        <f>IFERROR(VLOOKUP($J507,'Informations sur les produits'!$A$3:$H$10000,8,FALSE),"0")</f>
        <v>0</v>
      </c>
      <c r="N507" s="8"/>
      <c r="O507" s="33" t="str">
        <f>IFERROR(VLOOKUP($M507,'Informations sur les produits'!$A$3:$H$10000,8,FALSE),"0")</f>
        <v>0</v>
      </c>
      <c r="P507" s="33">
        <f t="shared" si="28"/>
        <v>0</v>
      </c>
      <c r="Q507" s="31" t="str">
        <f t="shared" si="29"/>
        <v/>
      </c>
      <c r="R507" s="32" t="str">
        <f>IFERROR(VLOOKUP($D507,'Informations sur les produits'!$A$3:$B$15000,2,FALSE),"")</f>
        <v/>
      </c>
      <c r="V507">
        <f t="shared" si="30"/>
        <v>0</v>
      </c>
      <c r="W507">
        <f t="shared" si="31"/>
        <v>0</v>
      </c>
    </row>
    <row r="508" spans="5:23" x14ac:dyDescent="0.25">
      <c r="E508" s="4"/>
      <c r="F508" s="4"/>
      <c r="G508" s="33" t="str">
        <f>IFERROR(VLOOKUP($D508,'Informations sur les produits'!$A$3:$H$10000,8,FALSE),"0")</f>
        <v>0</v>
      </c>
      <c r="K508" s="4"/>
      <c r="L508" s="33" t="str">
        <f>IFERROR(VLOOKUP($J508,'Informations sur les produits'!$A$3:$H$10000,8,FALSE),"0")</f>
        <v>0</v>
      </c>
      <c r="N508" s="8"/>
      <c r="O508" s="33" t="str">
        <f>IFERROR(VLOOKUP($M508,'Informations sur les produits'!$A$3:$H$10000,8,FALSE),"0")</f>
        <v>0</v>
      </c>
      <c r="P508" s="33">
        <f t="shared" si="28"/>
        <v>0</v>
      </c>
      <c r="Q508" s="31" t="str">
        <f t="shared" si="29"/>
        <v/>
      </c>
      <c r="R508" s="32" t="str">
        <f>IFERROR(VLOOKUP($D508,'Informations sur les produits'!$A$3:$B$15000,2,FALSE),"")</f>
        <v/>
      </c>
      <c r="V508">
        <f t="shared" si="30"/>
        <v>0</v>
      </c>
      <c r="W508">
        <f t="shared" si="31"/>
        <v>0</v>
      </c>
    </row>
    <row r="509" spans="5:23" x14ac:dyDescent="0.25">
      <c r="E509" s="4"/>
      <c r="F509" s="4"/>
      <c r="G509" s="33" t="str">
        <f>IFERROR(VLOOKUP($D509,'Informations sur les produits'!$A$3:$H$10000,8,FALSE),"0")</f>
        <v>0</v>
      </c>
      <c r="K509" s="4"/>
      <c r="L509" s="33" t="str">
        <f>IFERROR(VLOOKUP($J509,'Informations sur les produits'!$A$3:$H$10000,8,FALSE),"0")</f>
        <v>0</v>
      </c>
      <c r="N509" s="8"/>
      <c r="O509" s="33" t="str">
        <f>IFERROR(VLOOKUP($M509,'Informations sur les produits'!$A$3:$H$10000,8,FALSE),"0")</f>
        <v>0</v>
      </c>
      <c r="P509" s="33">
        <f t="shared" si="28"/>
        <v>0</v>
      </c>
      <c r="Q509" s="31" t="str">
        <f t="shared" si="29"/>
        <v/>
      </c>
      <c r="R509" s="32" t="str">
        <f>IFERROR(VLOOKUP($D509,'Informations sur les produits'!$A$3:$B$15000,2,FALSE),"")</f>
        <v/>
      </c>
      <c r="V509">
        <f t="shared" si="30"/>
        <v>0</v>
      </c>
      <c r="W509">
        <f t="shared" si="31"/>
        <v>0</v>
      </c>
    </row>
    <row r="510" spans="5:23" x14ac:dyDescent="0.25">
      <c r="E510" s="4"/>
      <c r="F510" s="4"/>
      <c r="G510" s="33" t="str">
        <f>IFERROR(VLOOKUP($D510,'Informations sur les produits'!$A$3:$H$10000,8,FALSE),"0")</f>
        <v>0</v>
      </c>
      <c r="K510" s="4"/>
      <c r="L510" s="33" t="str">
        <f>IFERROR(VLOOKUP($J510,'Informations sur les produits'!$A$3:$H$10000,8,FALSE),"0")</f>
        <v>0</v>
      </c>
      <c r="N510" s="8"/>
      <c r="O510" s="33" t="str">
        <f>IFERROR(VLOOKUP($M510,'Informations sur les produits'!$A$3:$H$10000,8,FALSE),"0")</f>
        <v>0</v>
      </c>
      <c r="P510" s="33">
        <f t="shared" si="28"/>
        <v>0</v>
      </c>
      <c r="Q510" s="31" t="str">
        <f t="shared" si="29"/>
        <v/>
      </c>
      <c r="R510" s="32" t="str">
        <f>IFERROR(VLOOKUP($D510,'Informations sur les produits'!$A$3:$B$15000,2,FALSE),"")</f>
        <v/>
      </c>
      <c r="V510">
        <f t="shared" si="30"/>
        <v>0</v>
      </c>
      <c r="W510">
        <f t="shared" si="31"/>
        <v>0</v>
      </c>
    </row>
    <row r="511" spans="5:23" x14ac:dyDescent="0.25">
      <c r="E511" s="4"/>
      <c r="F511" s="4"/>
      <c r="G511" s="33" t="str">
        <f>IFERROR(VLOOKUP($D511,'Informations sur les produits'!$A$3:$H$10000,8,FALSE),"0")</f>
        <v>0</v>
      </c>
      <c r="K511" s="4"/>
      <c r="L511" s="33" t="str">
        <f>IFERROR(VLOOKUP($J511,'Informations sur les produits'!$A$3:$H$10000,8,FALSE),"0")</f>
        <v>0</v>
      </c>
      <c r="N511" s="8"/>
      <c r="O511" s="33" t="str">
        <f>IFERROR(VLOOKUP($M511,'Informations sur les produits'!$A$3:$H$10000,8,FALSE),"0")</f>
        <v>0</v>
      </c>
      <c r="P511" s="33">
        <f t="shared" si="28"/>
        <v>0</v>
      </c>
      <c r="Q511" s="31" t="str">
        <f t="shared" si="29"/>
        <v/>
      </c>
      <c r="R511" s="32" t="str">
        <f>IFERROR(VLOOKUP($D511,'Informations sur les produits'!$A$3:$B$15000,2,FALSE),"")</f>
        <v/>
      </c>
      <c r="V511">
        <f t="shared" si="30"/>
        <v>0</v>
      </c>
      <c r="W511">
        <f t="shared" si="31"/>
        <v>0</v>
      </c>
    </row>
    <row r="512" spans="5:23" x14ac:dyDescent="0.25">
      <c r="E512" s="4"/>
      <c r="F512" s="4"/>
      <c r="G512" s="33" t="str">
        <f>IFERROR(VLOOKUP($D512,'Informations sur les produits'!$A$3:$H$10000,8,FALSE),"0")</f>
        <v>0</v>
      </c>
      <c r="K512" s="4"/>
      <c r="L512" s="33" t="str">
        <f>IFERROR(VLOOKUP($J512,'Informations sur les produits'!$A$3:$H$10000,8,FALSE),"0")</f>
        <v>0</v>
      </c>
      <c r="N512" s="8"/>
      <c r="O512" s="33" t="str">
        <f>IFERROR(VLOOKUP($M512,'Informations sur les produits'!$A$3:$H$10000,8,FALSE),"0")</f>
        <v>0</v>
      </c>
      <c r="P512" s="33">
        <f t="shared" si="28"/>
        <v>0</v>
      </c>
      <c r="Q512" s="31" t="str">
        <f t="shared" si="29"/>
        <v/>
      </c>
      <c r="R512" s="32" t="str">
        <f>IFERROR(VLOOKUP($D512,'Informations sur les produits'!$A$3:$B$15000,2,FALSE),"")</f>
        <v/>
      </c>
      <c r="V512">
        <f t="shared" si="30"/>
        <v>0</v>
      </c>
      <c r="W512">
        <f t="shared" si="31"/>
        <v>0</v>
      </c>
    </row>
    <row r="513" spans="5:23" x14ac:dyDescent="0.25">
      <c r="E513" s="4"/>
      <c r="F513" s="4"/>
      <c r="G513" s="33" t="str">
        <f>IFERROR(VLOOKUP($D513,'Informations sur les produits'!$A$3:$H$10000,8,FALSE),"0")</f>
        <v>0</v>
      </c>
      <c r="K513" s="4"/>
      <c r="L513" s="33" t="str">
        <f>IFERROR(VLOOKUP($J513,'Informations sur les produits'!$A$3:$H$10000,8,FALSE),"0")</f>
        <v>0</v>
      </c>
      <c r="N513" s="8"/>
      <c r="O513" s="33" t="str">
        <f>IFERROR(VLOOKUP($M513,'Informations sur les produits'!$A$3:$H$10000,8,FALSE),"0")</f>
        <v>0</v>
      </c>
      <c r="P513" s="33">
        <f t="shared" si="28"/>
        <v>0</v>
      </c>
      <c r="Q513" s="31" t="str">
        <f t="shared" si="29"/>
        <v/>
      </c>
      <c r="R513" s="32" t="str">
        <f>IFERROR(VLOOKUP($D513,'Informations sur les produits'!$A$3:$B$15000,2,FALSE),"")</f>
        <v/>
      </c>
      <c r="V513">
        <f t="shared" si="30"/>
        <v>0</v>
      </c>
      <c r="W513">
        <f t="shared" si="31"/>
        <v>0</v>
      </c>
    </row>
    <row r="514" spans="5:23" x14ac:dyDescent="0.25">
      <c r="E514" s="4"/>
      <c r="F514" s="4"/>
      <c r="G514" s="33" t="str">
        <f>IFERROR(VLOOKUP($D514,'Informations sur les produits'!$A$3:$H$10000,8,FALSE),"0")</f>
        <v>0</v>
      </c>
      <c r="K514" s="4"/>
      <c r="L514" s="33" t="str">
        <f>IFERROR(VLOOKUP($J514,'Informations sur les produits'!$A$3:$H$10000,8,FALSE),"0")</f>
        <v>0</v>
      </c>
      <c r="N514" s="8"/>
      <c r="O514" s="33" t="str">
        <f>IFERROR(VLOOKUP($M514,'Informations sur les produits'!$A$3:$H$10000,8,FALSE),"0")</f>
        <v>0</v>
      </c>
      <c r="P514" s="33">
        <f t="shared" si="28"/>
        <v>0</v>
      </c>
      <c r="Q514" s="31" t="str">
        <f t="shared" si="29"/>
        <v/>
      </c>
      <c r="R514" s="32" t="str">
        <f>IFERROR(VLOOKUP($D514,'Informations sur les produits'!$A$3:$B$15000,2,FALSE),"")</f>
        <v/>
      </c>
      <c r="V514">
        <f t="shared" si="30"/>
        <v>0</v>
      </c>
      <c r="W514">
        <f t="shared" si="31"/>
        <v>0</v>
      </c>
    </row>
    <row r="515" spans="5:23" x14ac:dyDescent="0.25">
      <c r="E515" s="4"/>
      <c r="F515" s="4"/>
      <c r="G515" s="33" t="str">
        <f>IFERROR(VLOOKUP($D515,'Informations sur les produits'!$A$3:$H$10000,8,FALSE),"0")</f>
        <v>0</v>
      </c>
      <c r="K515" s="4"/>
      <c r="L515" s="33" t="str">
        <f>IFERROR(VLOOKUP($J515,'Informations sur les produits'!$A$3:$H$10000,8,FALSE),"0")</f>
        <v>0</v>
      </c>
      <c r="N515" s="8"/>
      <c r="O515" s="33" t="str">
        <f>IFERROR(VLOOKUP($M515,'Informations sur les produits'!$A$3:$H$10000,8,FALSE),"0")</f>
        <v>0</v>
      </c>
      <c r="P515" s="33">
        <f t="shared" si="28"/>
        <v>0</v>
      </c>
      <c r="Q515" s="31" t="str">
        <f t="shared" si="29"/>
        <v/>
      </c>
      <c r="R515" s="32" t="str">
        <f>IFERROR(VLOOKUP($D515,'Informations sur les produits'!$A$3:$B$15000,2,FALSE),"")</f>
        <v/>
      </c>
      <c r="V515">
        <f t="shared" si="30"/>
        <v>0</v>
      </c>
      <c r="W515">
        <f t="shared" si="31"/>
        <v>0</v>
      </c>
    </row>
    <row r="516" spans="5:23" x14ac:dyDescent="0.25">
      <c r="E516" s="4"/>
      <c r="F516" s="4"/>
      <c r="G516" s="33" t="str">
        <f>IFERROR(VLOOKUP($D516,'Informations sur les produits'!$A$3:$H$10000,8,FALSE),"0")</f>
        <v>0</v>
      </c>
      <c r="K516" s="4"/>
      <c r="L516" s="33" t="str">
        <f>IFERROR(VLOOKUP($J516,'Informations sur les produits'!$A$3:$H$10000,8,FALSE),"0")</f>
        <v>0</v>
      </c>
      <c r="N516" s="8"/>
      <c r="O516" s="33" t="str">
        <f>IFERROR(VLOOKUP($M516,'Informations sur les produits'!$A$3:$H$10000,8,FALSE),"0")</f>
        <v>0</v>
      </c>
      <c r="P516" s="33">
        <f t="shared" ref="P516:P579" si="32">IFERROR((($E516-$F516)*$G516+$K516*$L516+$N516*$O516),"")</f>
        <v>0</v>
      </c>
      <c r="Q516" s="31" t="str">
        <f t="shared" ref="Q516:Q579" si="33">IFERROR((((($E516-$F516)*$G516+$K516*$L516+$N516*$O516)*1000)/(($E516-$F516)+$K516+$N516)),"")</f>
        <v/>
      </c>
      <c r="R516" s="32" t="str">
        <f>IFERROR(VLOOKUP($D516,'Informations sur les produits'!$A$3:$B$15000,2,FALSE),"")</f>
        <v/>
      </c>
      <c r="V516">
        <f t="shared" ref="V516:V579" si="34">IFERROR(P516*1000,"")</f>
        <v>0</v>
      </c>
      <c r="W516">
        <f t="shared" ref="W516:W579" si="35">IFERROR(($E516-$F516)+$K516+$N516,"")</f>
        <v>0</v>
      </c>
    </row>
    <row r="517" spans="5:23" x14ac:dyDescent="0.25">
      <c r="E517" s="4"/>
      <c r="F517" s="4"/>
      <c r="G517" s="33" t="str">
        <f>IFERROR(VLOOKUP($D517,'Informations sur les produits'!$A$3:$H$10000,8,FALSE),"0")</f>
        <v>0</v>
      </c>
      <c r="K517" s="4"/>
      <c r="L517" s="33" t="str">
        <f>IFERROR(VLOOKUP($J517,'Informations sur les produits'!$A$3:$H$10000,8,FALSE),"0")</f>
        <v>0</v>
      </c>
      <c r="N517" s="8"/>
      <c r="O517" s="33" t="str">
        <f>IFERROR(VLOOKUP($M517,'Informations sur les produits'!$A$3:$H$10000,8,FALSE),"0")</f>
        <v>0</v>
      </c>
      <c r="P517" s="33">
        <f t="shared" si="32"/>
        <v>0</v>
      </c>
      <c r="Q517" s="31" t="str">
        <f t="shared" si="33"/>
        <v/>
      </c>
      <c r="R517" s="32" t="str">
        <f>IFERROR(VLOOKUP($D517,'Informations sur les produits'!$A$3:$B$15000,2,FALSE),"")</f>
        <v/>
      </c>
      <c r="V517">
        <f t="shared" si="34"/>
        <v>0</v>
      </c>
      <c r="W517">
        <f t="shared" si="35"/>
        <v>0</v>
      </c>
    </row>
    <row r="518" spans="5:23" x14ac:dyDescent="0.25">
      <c r="E518" s="4"/>
      <c r="F518" s="4"/>
      <c r="G518" s="33" t="str">
        <f>IFERROR(VLOOKUP($D518,'Informations sur les produits'!$A$3:$H$10000,8,FALSE),"0")</f>
        <v>0</v>
      </c>
      <c r="K518" s="4"/>
      <c r="L518" s="33" t="str">
        <f>IFERROR(VLOOKUP($J518,'Informations sur les produits'!$A$3:$H$10000,8,FALSE),"0")</f>
        <v>0</v>
      </c>
      <c r="N518" s="8"/>
      <c r="O518" s="33" t="str">
        <f>IFERROR(VLOOKUP($M518,'Informations sur les produits'!$A$3:$H$10000,8,FALSE),"0")</f>
        <v>0</v>
      </c>
      <c r="P518" s="33">
        <f t="shared" si="32"/>
        <v>0</v>
      </c>
      <c r="Q518" s="31" t="str">
        <f t="shared" si="33"/>
        <v/>
      </c>
      <c r="R518" s="32" t="str">
        <f>IFERROR(VLOOKUP($D518,'Informations sur les produits'!$A$3:$B$15000,2,FALSE),"")</f>
        <v/>
      </c>
      <c r="V518">
        <f t="shared" si="34"/>
        <v>0</v>
      </c>
      <c r="W518">
        <f t="shared" si="35"/>
        <v>0</v>
      </c>
    </row>
    <row r="519" spans="5:23" x14ac:dyDescent="0.25">
      <c r="E519" s="4"/>
      <c r="F519" s="4"/>
      <c r="G519" s="33" t="str">
        <f>IFERROR(VLOOKUP($D519,'Informations sur les produits'!$A$3:$H$10000,8,FALSE),"0")</f>
        <v>0</v>
      </c>
      <c r="K519" s="4"/>
      <c r="L519" s="33" t="str">
        <f>IFERROR(VLOOKUP($J519,'Informations sur les produits'!$A$3:$H$10000,8,FALSE),"0")</f>
        <v>0</v>
      </c>
      <c r="N519" s="8"/>
      <c r="O519" s="33" t="str">
        <f>IFERROR(VLOOKUP($M519,'Informations sur les produits'!$A$3:$H$10000,8,FALSE),"0")</f>
        <v>0</v>
      </c>
      <c r="P519" s="33">
        <f t="shared" si="32"/>
        <v>0</v>
      </c>
      <c r="Q519" s="31" t="str">
        <f t="shared" si="33"/>
        <v/>
      </c>
      <c r="R519" s="32" t="str">
        <f>IFERROR(VLOOKUP($D519,'Informations sur les produits'!$A$3:$B$15000,2,FALSE),"")</f>
        <v/>
      </c>
      <c r="V519">
        <f t="shared" si="34"/>
        <v>0</v>
      </c>
      <c r="W519">
        <f t="shared" si="35"/>
        <v>0</v>
      </c>
    </row>
    <row r="520" spans="5:23" x14ac:dyDescent="0.25">
      <c r="E520" s="4"/>
      <c r="F520" s="4"/>
      <c r="G520" s="33" t="str">
        <f>IFERROR(VLOOKUP($D520,'Informations sur les produits'!$A$3:$H$10000,8,FALSE),"0")</f>
        <v>0</v>
      </c>
      <c r="K520" s="4"/>
      <c r="L520" s="33" t="str">
        <f>IFERROR(VLOOKUP($J520,'Informations sur les produits'!$A$3:$H$10000,8,FALSE),"0")</f>
        <v>0</v>
      </c>
      <c r="N520" s="8"/>
      <c r="O520" s="33" t="str">
        <f>IFERROR(VLOOKUP($M520,'Informations sur les produits'!$A$3:$H$10000,8,FALSE),"0")</f>
        <v>0</v>
      </c>
      <c r="P520" s="33">
        <f t="shared" si="32"/>
        <v>0</v>
      </c>
      <c r="Q520" s="31" t="str">
        <f t="shared" si="33"/>
        <v/>
      </c>
      <c r="R520" s="32" t="str">
        <f>IFERROR(VLOOKUP($D520,'Informations sur les produits'!$A$3:$B$15000,2,FALSE),"")</f>
        <v/>
      </c>
      <c r="V520">
        <f t="shared" si="34"/>
        <v>0</v>
      </c>
      <c r="W520">
        <f t="shared" si="35"/>
        <v>0</v>
      </c>
    </row>
    <row r="521" spans="5:23" x14ac:dyDescent="0.25">
      <c r="E521" s="4"/>
      <c r="F521" s="4"/>
      <c r="G521" s="33" t="str">
        <f>IFERROR(VLOOKUP($D521,'Informations sur les produits'!$A$3:$H$10000,8,FALSE),"0")</f>
        <v>0</v>
      </c>
      <c r="K521" s="4"/>
      <c r="L521" s="33" t="str">
        <f>IFERROR(VLOOKUP($J521,'Informations sur les produits'!$A$3:$H$10000,8,FALSE),"0")</f>
        <v>0</v>
      </c>
      <c r="N521" s="8"/>
      <c r="O521" s="33" t="str">
        <f>IFERROR(VLOOKUP($M521,'Informations sur les produits'!$A$3:$H$10000,8,FALSE),"0")</f>
        <v>0</v>
      </c>
      <c r="P521" s="33">
        <f t="shared" si="32"/>
        <v>0</v>
      </c>
      <c r="Q521" s="31" t="str">
        <f t="shared" si="33"/>
        <v/>
      </c>
      <c r="R521" s="32" t="str">
        <f>IFERROR(VLOOKUP($D521,'Informations sur les produits'!$A$3:$B$15000,2,FALSE),"")</f>
        <v/>
      </c>
      <c r="V521">
        <f t="shared" si="34"/>
        <v>0</v>
      </c>
      <c r="W521">
        <f t="shared" si="35"/>
        <v>0</v>
      </c>
    </row>
    <row r="522" spans="5:23" x14ac:dyDescent="0.25">
      <c r="E522" s="4"/>
      <c r="F522" s="4"/>
      <c r="G522" s="33" t="str">
        <f>IFERROR(VLOOKUP($D522,'Informations sur les produits'!$A$3:$H$10000,8,FALSE),"0")</f>
        <v>0</v>
      </c>
      <c r="K522" s="4"/>
      <c r="L522" s="33" t="str">
        <f>IFERROR(VLOOKUP($J522,'Informations sur les produits'!$A$3:$H$10000,8,FALSE),"0")</f>
        <v>0</v>
      </c>
      <c r="N522" s="8"/>
      <c r="O522" s="33" t="str">
        <f>IFERROR(VLOOKUP($M522,'Informations sur les produits'!$A$3:$H$10000,8,FALSE),"0")</f>
        <v>0</v>
      </c>
      <c r="P522" s="33">
        <f t="shared" si="32"/>
        <v>0</v>
      </c>
      <c r="Q522" s="31" t="str">
        <f t="shared" si="33"/>
        <v/>
      </c>
      <c r="R522" s="32" t="str">
        <f>IFERROR(VLOOKUP($D522,'Informations sur les produits'!$A$3:$B$15000,2,FALSE),"")</f>
        <v/>
      </c>
      <c r="V522">
        <f t="shared" si="34"/>
        <v>0</v>
      </c>
      <c r="W522">
        <f t="shared" si="35"/>
        <v>0</v>
      </c>
    </row>
    <row r="523" spans="5:23" x14ac:dyDescent="0.25">
      <c r="E523" s="4"/>
      <c r="F523" s="4"/>
      <c r="G523" s="33" t="str">
        <f>IFERROR(VLOOKUP($D523,'Informations sur les produits'!$A$3:$H$10000,8,FALSE),"0")</f>
        <v>0</v>
      </c>
      <c r="K523" s="4"/>
      <c r="L523" s="33" t="str">
        <f>IFERROR(VLOOKUP($J523,'Informations sur les produits'!$A$3:$H$10000,8,FALSE),"0")</f>
        <v>0</v>
      </c>
      <c r="N523" s="8"/>
      <c r="O523" s="33" t="str">
        <f>IFERROR(VLOOKUP($M523,'Informations sur les produits'!$A$3:$H$10000,8,FALSE),"0")</f>
        <v>0</v>
      </c>
      <c r="P523" s="33">
        <f t="shared" si="32"/>
        <v>0</v>
      </c>
      <c r="Q523" s="31" t="str">
        <f t="shared" si="33"/>
        <v/>
      </c>
      <c r="R523" s="32" t="str">
        <f>IFERROR(VLOOKUP($D523,'Informations sur les produits'!$A$3:$B$15000,2,FALSE),"")</f>
        <v/>
      </c>
      <c r="V523">
        <f t="shared" si="34"/>
        <v>0</v>
      </c>
      <c r="W523">
        <f t="shared" si="35"/>
        <v>0</v>
      </c>
    </row>
    <row r="524" spans="5:23" x14ac:dyDescent="0.25">
      <c r="E524" s="4"/>
      <c r="F524" s="4"/>
      <c r="G524" s="33" t="str">
        <f>IFERROR(VLOOKUP($D524,'Informations sur les produits'!$A$3:$H$10000,8,FALSE),"0")</f>
        <v>0</v>
      </c>
      <c r="K524" s="4"/>
      <c r="L524" s="33" t="str">
        <f>IFERROR(VLOOKUP($J524,'Informations sur les produits'!$A$3:$H$10000,8,FALSE),"0")</f>
        <v>0</v>
      </c>
      <c r="N524" s="8"/>
      <c r="O524" s="33" t="str">
        <f>IFERROR(VLOOKUP($M524,'Informations sur les produits'!$A$3:$H$10000,8,FALSE),"0")</f>
        <v>0</v>
      </c>
      <c r="P524" s="33">
        <f t="shared" si="32"/>
        <v>0</v>
      </c>
      <c r="Q524" s="31" t="str">
        <f t="shared" si="33"/>
        <v/>
      </c>
      <c r="R524" s="32" t="str">
        <f>IFERROR(VLOOKUP($D524,'Informations sur les produits'!$A$3:$B$15000,2,FALSE),"")</f>
        <v/>
      </c>
      <c r="V524">
        <f t="shared" si="34"/>
        <v>0</v>
      </c>
      <c r="W524">
        <f t="shared" si="35"/>
        <v>0</v>
      </c>
    </row>
    <row r="525" spans="5:23" x14ac:dyDescent="0.25">
      <c r="E525" s="4"/>
      <c r="F525" s="4"/>
      <c r="G525" s="33" t="str">
        <f>IFERROR(VLOOKUP($D525,'Informations sur les produits'!$A$3:$H$10000,8,FALSE),"0")</f>
        <v>0</v>
      </c>
      <c r="K525" s="4"/>
      <c r="L525" s="33" t="str">
        <f>IFERROR(VLOOKUP($J525,'Informations sur les produits'!$A$3:$H$10000,8,FALSE),"0")</f>
        <v>0</v>
      </c>
      <c r="N525" s="8"/>
      <c r="O525" s="33" t="str">
        <f>IFERROR(VLOOKUP($M525,'Informations sur les produits'!$A$3:$H$10000,8,FALSE),"0")</f>
        <v>0</v>
      </c>
      <c r="P525" s="33">
        <f t="shared" si="32"/>
        <v>0</v>
      </c>
      <c r="Q525" s="31" t="str">
        <f t="shared" si="33"/>
        <v/>
      </c>
      <c r="R525" s="32" t="str">
        <f>IFERROR(VLOOKUP($D525,'Informations sur les produits'!$A$3:$B$15000,2,FALSE),"")</f>
        <v/>
      </c>
      <c r="V525">
        <f t="shared" si="34"/>
        <v>0</v>
      </c>
      <c r="W525">
        <f t="shared" si="35"/>
        <v>0</v>
      </c>
    </row>
    <row r="526" spans="5:23" x14ac:dyDescent="0.25">
      <c r="E526" s="4"/>
      <c r="F526" s="4"/>
      <c r="G526" s="33" t="str">
        <f>IFERROR(VLOOKUP($D526,'Informations sur les produits'!$A$3:$H$10000,8,FALSE),"0")</f>
        <v>0</v>
      </c>
      <c r="K526" s="4"/>
      <c r="L526" s="33" t="str">
        <f>IFERROR(VLOOKUP($J526,'Informations sur les produits'!$A$3:$H$10000,8,FALSE),"0")</f>
        <v>0</v>
      </c>
      <c r="N526" s="8"/>
      <c r="O526" s="33" t="str">
        <f>IFERROR(VLOOKUP($M526,'Informations sur les produits'!$A$3:$H$10000,8,FALSE),"0")</f>
        <v>0</v>
      </c>
      <c r="P526" s="33">
        <f t="shared" si="32"/>
        <v>0</v>
      </c>
      <c r="Q526" s="31" t="str">
        <f t="shared" si="33"/>
        <v/>
      </c>
      <c r="R526" s="32" t="str">
        <f>IFERROR(VLOOKUP($D526,'Informations sur les produits'!$A$3:$B$15000,2,FALSE),"")</f>
        <v/>
      </c>
      <c r="V526">
        <f t="shared" si="34"/>
        <v>0</v>
      </c>
      <c r="W526">
        <f t="shared" si="35"/>
        <v>0</v>
      </c>
    </row>
    <row r="527" spans="5:23" x14ac:dyDescent="0.25">
      <c r="E527" s="4"/>
      <c r="F527" s="4"/>
      <c r="G527" s="33" t="str">
        <f>IFERROR(VLOOKUP($D527,'Informations sur les produits'!$A$3:$H$10000,8,FALSE),"0")</f>
        <v>0</v>
      </c>
      <c r="K527" s="4"/>
      <c r="L527" s="33" t="str">
        <f>IFERROR(VLOOKUP($J527,'Informations sur les produits'!$A$3:$H$10000,8,FALSE),"0")</f>
        <v>0</v>
      </c>
      <c r="N527" s="8"/>
      <c r="O527" s="33" t="str">
        <f>IFERROR(VLOOKUP($M527,'Informations sur les produits'!$A$3:$H$10000,8,FALSE),"0")</f>
        <v>0</v>
      </c>
      <c r="P527" s="33">
        <f t="shared" si="32"/>
        <v>0</v>
      </c>
      <c r="Q527" s="31" t="str">
        <f t="shared" si="33"/>
        <v/>
      </c>
      <c r="R527" s="32" t="str">
        <f>IFERROR(VLOOKUP($D527,'Informations sur les produits'!$A$3:$B$15000,2,FALSE),"")</f>
        <v/>
      </c>
      <c r="V527">
        <f t="shared" si="34"/>
        <v>0</v>
      </c>
      <c r="W527">
        <f t="shared" si="35"/>
        <v>0</v>
      </c>
    </row>
    <row r="528" spans="5:23" x14ac:dyDescent="0.25">
      <c r="E528" s="4"/>
      <c r="F528" s="4"/>
      <c r="G528" s="33" t="str">
        <f>IFERROR(VLOOKUP($D528,'Informations sur les produits'!$A$3:$H$10000,8,FALSE),"0")</f>
        <v>0</v>
      </c>
      <c r="K528" s="4"/>
      <c r="L528" s="33" t="str">
        <f>IFERROR(VLOOKUP($J528,'Informations sur les produits'!$A$3:$H$10000,8,FALSE),"0")</f>
        <v>0</v>
      </c>
      <c r="N528" s="8"/>
      <c r="O528" s="33" t="str">
        <f>IFERROR(VLOOKUP($M528,'Informations sur les produits'!$A$3:$H$10000,8,FALSE),"0")</f>
        <v>0</v>
      </c>
      <c r="P528" s="33">
        <f t="shared" si="32"/>
        <v>0</v>
      </c>
      <c r="Q528" s="31" t="str">
        <f t="shared" si="33"/>
        <v/>
      </c>
      <c r="R528" s="32" t="str">
        <f>IFERROR(VLOOKUP($D528,'Informations sur les produits'!$A$3:$B$15000,2,FALSE),"")</f>
        <v/>
      </c>
      <c r="V528">
        <f t="shared" si="34"/>
        <v>0</v>
      </c>
      <c r="W528">
        <f t="shared" si="35"/>
        <v>0</v>
      </c>
    </row>
    <row r="529" spans="5:23" x14ac:dyDescent="0.25">
      <c r="E529" s="4"/>
      <c r="F529" s="4"/>
      <c r="G529" s="33" t="str">
        <f>IFERROR(VLOOKUP($D529,'Informations sur les produits'!$A$3:$H$10000,8,FALSE),"0")</f>
        <v>0</v>
      </c>
      <c r="K529" s="4"/>
      <c r="L529" s="33" t="str">
        <f>IFERROR(VLOOKUP($J529,'Informations sur les produits'!$A$3:$H$10000,8,FALSE),"0")</f>
        <v>0</v>
      </c>
      <c r="N529" s="8"/>
      <c r="O529" s="33" t="str">
        <f>IFERROR(VLOOKUP($M529,'Informations sur les produits'!$A$3:$H$10000,8,FALSE),"0")</f>
        <v>0</v>
      </c>
      <c r="P529" s="33">
        <f t="shared" si="32"/>
        <v>0</v>
      </c>
      <c r="Q529" s="31" t="str">
        <f t="shared" si="33"/>
        <v/>
      </c>
      <c r="R529" s="32" t="str">
        <f>IFERROR(VLOOKUP($D529,'Informations sur les produits'!$A$3:$B$15000,2,FALSE),"")</f>
        <v/>
      </c>
      <c r="V529">
        <f t="shared" si="34"/>
        <v>0</v>
      </c>
      <c r="W529">
        <f t="shared" si="35"/>
        <v>0</v>
      </c>
    </row>
    <row r="530" spans="5:23" x14ac:dyDescent="0.25">
      <c r="E530" s="4"/>
      <c r="F530" s="4"/>
      <c r="G530" s="33" t="str">
        <f>IFERROR(VLOOKUP($D530,'Informations sur les produits'!$A$3:$H$10000,8,FALSE),"0")</f>
        <v>0</v>
      </c>
      <c r="K530" s="4"/>
      <c r="L530" s="33" t="str">
        <f>IFERROR(VLOOKUP($J530,'Informations sur les produits'!$A$3:$H$10000,8,FALSE),"0")</f>
        <v>0</v>
      </c>
      <c r="N530" s="8"/>
      <c r="O530" s="33" t="str">
        <f>IFERROR(VLOOKUP($M530,'Informations sur les produits'!$A$3:$H$10000,8,FALSE),"0")</f>
        <v>0</v>
      </c>
      <c r="P530" s="33">
        <f t="shared" si="32"/>
        <v>0</v>
      </c>
      <c r="Q530" s="31" t="str">
        <f t="shared" si="33"/>
        <v/>
      </c>
      <c r="R530" s="32" t="str">
        <f>IFERROR(VLOOKUP($D530,'Informations sur les produits'!$A$3:$B$15000,2,FALSE),"")</f>
        <v/>
      </c>
      <c r="V530">
        <f t="shared" si="34"/>
        <v>0</v>
      </c>
      <c r="W530">
        <f t="shared" si="35"/>
        <v>0</v>
      </c>
    </row>
    <row r="531" spans="5:23" x14ac:dyDescent="0.25">
      <c r="E531" s="4"/>
      <c r="F531" s="4"/>
      <c r="G531" s="33" t="str">
        <f>IFERROR(VLOOKUP($D531,'Informations sur les produits'!$A$3:$H$10000,8,FALSE),"0")</f>
        <v>0</v>
      </c>
      <c r="K531" s="4"/>
      <c r="L531" s="33" t="str">
        <f>IFERROR(VLOOKUP($J531,'Informations sur les produits'!$A$3:$H$10000,8,FALSE),"0")</f>
        <v>0</v>
      </c>
      <c r="N531" s="8"/>
      <c r="O531" s="33" t="str">
        <f>IFERROR(VLOOKUP($M531,'Informations sur les produits'!$A$3:$H$10000,8,FALSE),"0")</f>
        <v>0</v>
      </c>
      <c r="P531" s="33">
        <f t="shared" si="32"/>
        <v>0</v>
      </c>
      <c r="Q531" s="31" t="str">
        <f t="shared" si="33"/>
        <v/>
      </c>
      <c r="R531" s="32" t="str">
        <f>IFERROR(VLOOKUP($D531,'Informations sur les produits'!$A$3:$B$15000,2,FALSE),"")</f>
        <v/>
      </c>
      <c r="V531">
        <f t="shared" si="34"/>
        <v>0</v>
      </c>
      <c r="W531">
        <f t="shared" si="35"/>
        <v>0</v>
      </c>
    </row>
    <row r="532" spans="5:23" x14ac:dyDescent="0.25">
      <c r="E532" s="4"/>
      <c r="F532" s="4"/>
      <c r="G532" s="33" t="str">
        <f>IFERROR(VLOOKUP($D532,'Informations sur les produits'!$A$3:$H$10000,8,FALSE),"0")</f>
        <v>0</v>
      </c>
      <c r="K532" s="4"/>
      <c r="L532" s="33" t="str">
        <f>IFERROR(VLOOKUP($J532,'Informations sur les produits'!$A$3:$H$10000,8,FALSE),"0")</f>
        <v>0</v>
      </c>
      <c r="N532" s="8"/>
      <c r="O532" s="33" t="str">
        <f>IFERROR(VLOOKUP($M532,'Informations sur les produits'!$A$3:$H$10000,8,FALSE),"0")</f>
        <v>0</v>
      </c>
      <c r="P532" s="33">
        <f t="shared" si="32"/>
        <v>0</v>
      </c>
      <c r="Q532" s="31" t="str">
        <f t="shared" si="33"/>
        <v/>
      </c>
      <c r="R532" s="32" t="str">
        <f>IFERROR(VLOOKUP($D532,'Informations sur les produits'!$A$3:$B$15000,2,FALSE),"")</f>
        <v/>
      </c>
      <c r="V532">
        <f t="shared" si="34"/>
        <v>0</v>
      </c>
      <c r="W532">
        <f t="shared" si="35"/>
        <v>0</v>
      </c>
    </row>
    <row r="533" spans="5:23" x14ac:dyDescent="0.25">
      <c r="E533" s="4"/>
      <c r="F533" s="4"/>
      <c r="G533" s="33" t="str">
        <f>IFERROR(VLOOKUP($D533,'Informations sur les produits'!$A$3:$H$10000,8,FALSE),"0")</f>
        <v>0</v>
      </c>
      <c r="K533" s="4"/>
      <c r="L533" s="33" t="str">
        <f>IFERROR(VLOOKUP($J533,'Informations sur les produits'!$A$3:$H$10000,8,FALSE),"0")</f>
        <v>0</v>
      </c>
      <c r="N533" s="8"/>
      <c r="O533" s="33" t="str">
        <f>IFERROR(VLOOKUP($M533,'Informations sur les produits'!$A$3:$H$10000,8,FALSE),"0")</f>
        <v>0</v>
      </c>
      <c r="P533" s="33">
        <f t="shared" si="32"/>
        <v>0</v>
      </c>
      <c r="Q533" s="31" t="str">
        <f t="shared" si="33"/>
        <v/>
      </c>
      <c r="R533" s="32" t="str">
        <f>IFERROR(VLOOKUP($D533,'Informations sur les produits'!$A$3:$B$15000,2,FALSE),"")</f>
        <v/>
      </c>
      <c r="V533">
        <f t="shared" si="34"/>
        <v>0</v>
      </c>
      <c r="W533">
        <f t="shared" si="35"/>
        <v>0</v>
      </c>
    </row>
    <row r="534" spans="5:23" x14ac:dyDescent="0.25">
      <c r="E534" s="4"/>
      <c r="F534" s="4"/>
      <c r="G534" s="33" t="str">
        <f>IFERROR(VLOOKUP($D534,'Informations sur les produits'!$A$3:$H$10000,8,FALSE),"0")</f>
        <v>0</v>
      </c>
      <c r="K534" s="4"/>
      <c r="L534" s="33" t="str">
        <f>IFERROR(VLOOKUP($J534,'Informations sur les produits'!$A$3:$H$10000,8,FALSE),"0")</f>
        <v>0</v>
      </c>
      <c r="N534" s="8"/>
      <c r="O534" s="33" t="str">
        <f>IFERROR(VLOOKUP($M534,'Informations sur les produits'!$A$3:$H$10000,8,FALSE),"0")</f>
        <v>0</v>
      </c>
      <c r="P534" s="33">
        <f t="shared" si="32"/>
        <v>0</v>
      </c>
      <c r="Q534" s="31" t="str">
        <f t="shared" si="33"/>
        <v/>
      </c>
      <c r="R534" s="32" t="str">
        <f>IFERROR(VLOOKUP($D534,'Informations sur les produits'!$A$3:$B$15000,2,FALSE),"")</f>
        <v/>
      </c>
      <c r="V534">
        <f t="shared" si="34"/>
        <v>0</v>
      </c>
      <c r="W534">
        <f t="shared" si="35"/>
        <v>0</v>
      </c>
    </row>
    <row r="535" spans="5:23" x14ac:dyDescent="0.25">
      <c r="E535" s="4"/>
      <c r="F535" s="4"/>
      <c r="G535" s="33" t="str">
        <f>IFERROR(VLOOKUP($D535,'Informations sur les produits'!$A$3:$H$10000,8,FALSE),"0")</f>
        <v>0</v>
      </c>
      <c r="K535" s="4"/>
      <c r="L535" s="33" t="str">
        <f>IFERROR(VLOOKUP($J535,'Informations sur les produits'!$A$3:$H$10000,8,FALSE),"0")</f>
        <v>0</v>
      </c>
      <c r="N535" s="8"/>
      <c r="O535" s="33" t="str">
        <f>IFERROR(VLOOKUP($M535,'Informations sur les produits'!$A$3:$H$10000,8,FALSE),"0")</f>
        <v>0</v>
      </c>
      <c r="P535" s="33">
        <f t="shared" si="32"/>
        <v>0</v>
      </c>
      <c r="Q535" s="31" t="str">
        <f t="shared" si="33"/>
        <v/>
      </c>
      <c r="R535" s="32" t="str">
        <f>IFERROR(VLOOKUP($D535,'Informations sur les produits'!$A$3:$B$15000,2,FALSE),"")</f>
        <v/>
      </c>
      <c r="V535">
        <f t="shared" si="34"/>
        <v>0</v>
      </c>
      <c r="W535">
        <f t="shared" si="35"/>
        <v>0</v>
      </c>
    </row>
    <row r="536" spans="5:23" x14ac:dyDescent="0.25">
      <c r="E536" s="4"/>
      <c r="F536" s="4"/>
      <c r="G536" s="33" t="str">
        <f>IFERROR(VLOOKUP($D536,'Informations sur les produits'!$A$3:$H$10000,8,FALSE),"0")</f>
        <v>0</v>
      </c>
      <c r="K536" s="4"/>
      <c r="L536" s="33" t="str">
        <f>IFERROR(VLOOKUP($J536,'Informations sur les produits'!$A$3:$H$10000,8,FALSE),"0")</f>
        <v>0</v>
      </c>
      <c r="N536" s="8"/>
      <c r="O536" s="33" t="str">
        <f>IFERROR(VLOOKUP($M536,'Informations sur les produits'!$A$3:$H$10000,8,FALSE),"0")</f>
        <v>0</v>
      </c>
      <c r="P536" s="33">
        <f t="shared" si="32"/>
        <v>0</v>
      </c>
      <c r="Q536" s="31" t="str">
        <f t="shared" si="33"/>
        <v/>
      </c>
      <c r="R536" s="32" t="str">
        <f>IFERROR(VLOOKUP($D536,'Informations sur les produits'!$A$3:$B$15000,2,FALSE),"")</f>
        <v/>
      </c>
      <c r="V536">
        <f t="shared" si="34"/>
        <v>0</v>
      </c>
      <c r="W536">
        <f t="shared" si="35"/>
        <v>0</v>
      </c>
    </row>
    <row r="537" spans="5:23" x14ac:dyDescent="0.25">
      <c r="E537" s="4"/>
      <c r="F537" s="4"/>
      <c r="G537" s="33" t="str">
        <f>IFERROR(VLOOKUP($D537,'Informations sur les produits'!$A$3:$H$10000,8,FALSE),"0")</f>
        <v>0</v>
      </c>
      <c r="K537" s="4"/>
      <c r="L537" s="33" t="str">
        <f>IFERROR(VLOOKUP($J537,'Informations sur les produits'!$A$3:$H$10000,8,FALSE),"0")</f>
        <v>0</v>
      </c>
      <c r="N537" s="8"/>
      <c r="O537" s="33" t="str">
        <f>IFERROR(VLOOKUP($M537,'Informations sur les produits'!$A$3:$H$10000,8,FALSE),"0")</f>
        <v>0</v>
      </c>
      <c r="P537" s="33">
        <f t="shared" si="32"/>
        <v>0</v>
      </c>
      <c r="Q537" s="31" t="str">
        <f t="shared" si="33"/>
        <v/>
      </c>
      <c r="R537" s="32" t="str">
        <f>IFERROR(VLOOKUP($D537,'Informations sur les produits'!$A$3:$B$15000,2,FALSE),"")</f>
        <v/>
      </c>
      <c r="V537">
        <f t="shared" si="34"/>
        <v>0</v>
      </c>
      <c r="W537">
        <f t="shared" si="35"/>
        <v>0</v>
      </c>
    </row>
    <row r="538" spans="5:23" x14ac:dyDescent="0.25">
      <c r="E538" s="4"/>
      <c r="F538" s="4"/>
      <c r="G538" s="33" t="str">
        <f>IFERROR(VLOOKUP($D538,'Informations sur les produits'!$A$3:$H$10000,8,FALSE),"0")</f>
        <v>0</v>
      </c>
      <c r="K538" s="4"/>
      <c r="L538" s="33" t="str">
        <f>IFERROR(VLOOKUP($J538,'Informations sur les produits'!$A$3:$H$10000,8,FALSE),"0")</f>
        <v>0</v>
      </c>
      <c r="N538" s="8"/>
      <c r="O538" s="33" t="str">
        <f>IFERROR(VLOOKUP($M538,'Informations sur les produits'!$A$3:$H$10000,8,FALSE),"0")</f>
        <v>0</v>
      </c>
      <c r="P538" s="33">
        <f t="shared" si="32"/>
        <v>0</v>
      </c>
      <c r="Q538" s="31" t="str">
        <f t="shared" si="33"/>
        <v/>
      </c>
      <c r="R538" s="32" t="str">
        <f>IFERROR(VLOOKUP($D538,'Informations sur les produits'!$A$3:$B$15000,2,FALSE),"")</f>
        <v/>
      </c>
      <c r="V538">
        <f t="shared" si="34"/>
        <v>0</v>
      </c>
      <c r="W538">
        <f t="shared" si="35"/>
        <v>0</v>
      </c>
    </row>
    <row r="539" spans="5:23" x14ac:dyDescent="0.25">
      <c r="E539" s="4"/>
      <c r="F539" s="4"/>
      <c r="G539" s="33" t="str">
        <f>IFERROR(VLOOKUP($D539,'Informations sur les produits'!$A$3:$H$10000,8,FALSE),"0")</f>
        <v>0</v>
      </c>
      <c r="K539" s="4"/>
      <c r="L539" s="33" t="str">
        <f>IFERROR(VLOOKUP($J539,'Informations sur les produits'!$A$3:$H$10000,8,FALSE),"0")</f>
        <v>0</v>
      </c>
      <c r="N539" s="8"/>
      <c r="O539" s="33" t="str">
        <f>IFERROR(VLOOKUP($M539,'Informations sur les produits'!$A$3:$H$10000,8,FALSE),"0")</f>
        <v>0</v>
      </c>
      <c r="P539" s="33">
        <f t="shared" si="32"/>
        <v>0</v>
      </c>
      <c r="Q539" s="31" t="str">
        <f t="shared" si="33"/>
        <v/>
      </c>
      <c r="R539" s="32" t="str">
        <f>IFERROR(VLOOKUP($D539,'Informations sur les produits'!$A$3:$B$15000,2,FALSE),"")</f>
        <v/>
      </c>
      <c r="V539">
        <f t="shared" si="34"/>
        <v>0</v>
      </c>
      <c r="W539">
        <f t="shared" si="35"/>
        <v>0</v>
      </c>
    </row>
    <row r="540" spans="5:23" x14ac:dyDescent="0.25">
      <c r="E540" s="4"/>
      <c r="F540" s="4"/>
      <c r="G540" s="33" t="str">
        <f>IFERROR(VLOOKUP($D540,'Informations sur les produits'!$A$3:$H$10000,8,FALSE),"0")</f>
        <v>0</v>
      </c>
      <c r="K540" s="4"/>
      <c r="L540" s="33" t="str">
        <f>IFERROR(VLOOKUP($J540,'Informations sur les produits'!$A$3:$H$10000,8,FALSE),"0")</f>
        <v>0</v>
      </c>
      <c r="N540" s="8"/>
      <c r="O540" s="33" t="str">
        <f>IFERROR(VLOOKUP($M540,'Informations sur les produits'!$A$3:$H$10000,8,FALSE),"0")</f>
        <v>0</v>
      </c>
      <c r="P540" s="33">
        <f t="shared" si="32"/>
        <v>0</v>
      </c>
      <c r="Q540" s="31" t="str">
        <f t="shared" si="33"/>
        <v/>
      </c>
      <c r="R540" s="32" t="str">
        <f>IFERROR(VLOOKUP($D540,'Informations sur les produits'!$A$3:$B$15000,2,FALSE),"")</f>
        <v/>
      </c>
      <c r="V540">
        <f t="shared" si="34"/>
        <v>0</v>
      </c>
      <c r="W540">
        <f t="shared" si="35"/>
        <v>0</v>
      </c>
    </row>
    <row r="541" spans="5:23" x14ac:dyDescent="0.25">
      <c r="E541" s="4"/>
      <c r="F541" s="4"/>
      <c r="G541" s="33" t="str">
        <f>IFERROR(VLOOKUP($D541,'Informations sur les produits'!$A$3:$H$10000,8,FALSE),"0")</f>
        <v>0</v>
      </c>
      <c r="K541" s="4"/>
      <c r="L541" s="33" t="str">
        <f>IFERROR(VLOOKUP($J541,'Informations sur les produits'!$A$3:$H$10000,8,FALSE),"0")</f>
        <v>0</v>
      </c>
      <c r="N541" s="8"/>
      <c r="O541" s="33" t="str">
        <f>IFERROR(VLOOKUP($M541,'Informations sur les produits'!$A$3:$H$10000,8,FALSE),"0")</f>
        <v>0</v>
      </c>
      <c r="P541" s="33">
        <f t="shared" si="32"/>
        <v>0</v>
      </c>
      <c r="Q541" s="31" t="str">
        <f t="shared" si="33"/>
        <v/>
      </c>
      <c r="R541" s="32" t="str">
        <f>IFERROR(VLOOKUP($D541,'Informations sur les produits'!$A$3:$B$15000,2,FALSE),"")</f>
        <v/>
      </c>
      <c r="V541">
        <f t="shared" si="34"/>
        <v>0</v>
      </c>
      <c r="W541">
        <f t="shared" si="35"/>
        <v>0</v>
      </c>
    </row>
    <row r="542" spans="5:23" x14ac:dyDescent="0.25">
      <c r="E542" s="4"/>
      <c r="F542" s="4"/>
      <c r="G542" s="33" t="str">
        <f>IFERROR(VLOOKUP($D542,'Informations sur les produits'!$A$3:$H$10000,8,FALSE),"0")</f>
        <v>0</v>
      </c>
      <c r="K542" s="4"/>
      <c r="L542" s="33" t="str">
        <f>IFERROR(VLOOKUP($J542,'Informations sur les produits'!$A$3:$H$10000,8,FALSE),"0")</f>
        <v>0</v>
      </c>
      <c r="N542" s="8"/>
      <c r="O542" s="33" t="str">
        <f>IFERROR(VLOOKUP($M542,'Informations sur les produits'!$A$3:$H$10000,8,FALSE),"0")</f>
        <v>0</v>
      </c>
      <c r="P542" s="33">
        <f t="shared" si="32"/>
        <v>0</v>
      </c>
      <c r="Q542" s="31" t="str">
        <f t="shared" si="33"/>
        <v/>
      </c>
      <c r="R542" s="32" t="str">
        <f>IFERROR(VLOOKUP($D542,'Informations sur les produits'!$A$3:$B$15000,2,FALSE),"")</f>
        <v/>
      </c>
      <c r="V542">
        <f t="shared" si="34"/>
        <v>0</v>
      </c>
      <c r="W542">
        <f t="shared" si="35"/>
        <v>0</v>
      </c>
    </row>
    <row r="543" spans="5:23" x14ac:dyDescent="0.25">
      <c r="E543" s="4"/>
      <c r="F543" s="4"/>
      <c r="G543" s="33" t="str">
        <f>IFERROR(VLOOKUP($D543,'Informations sur les produits'!$A$3:$H$10000,8,FALSE),"0")</f>
        <v>0</v>
      </c>
      <c r="K543" s="4"/>
      <c r="L543" s="33" t="str">
        <f>IFERROR(VLOOKUP($J543,'Informations sur les produits'!$A$3:$H$10000,8,FALSE),"0")</f>
        <v>0</v>
      </c>
      <c r="N543" s="8"/>
      <c r="O543" s="33" t="str">
        <f>IFERROR(VLOOKUP($M543,'Informations sur les produits'!$A$3:$H$10000,8,FALSE),"0")</f>
        <v>0</v>
      </c>
      <c r="P543" s="33">
        <f t="shared" si="32"/>
        <v>0</v>
      </c>
      <c r="Q543" s="31" t="str">
        <f t="shared" si="33"/>
        <v/>
      </c>
      <c r="R543" s="32" t="str">
        <f>IFERROR(VLOOKUP($D543,'Informations sur les produits'!$A$3:$B$15000,2,FALSE),"")</f>
        <v/>
      </c>
      <c r="V543">
        <f t="shared" si="34"/>
        <v>0</v>
      </c>
      <c r="W543">
        <f t="shared" si="35"/>
        <v>0</v>
      </c>
    </row>
    <row r="544" spans="5:23" x14ac:dyDescent="0.25">
      <c r="E544" s="4"/>
      <c r="F544" s="4"/>
      <c r="G544" s="33" t="str">
        <f>IFERROR(VLOOKUP($D544,'Informations sur les produits'!$A$3:$H$10000,8,FALSE),"0")</f>
        <v>0</v>
      </c>
      <c r="K544" s="4"/>
      <c r="L544" s="33" t="str">
        <f>IFERROR(VLOOKUP($J544,'Informations sur les produits'!$A$3:$H$10000,8,FALSE),"0")</f>
        <v>0</v>
      </c>
      <c r="N544" s="8"/>
      <c r="O544" s="33" t="str">
        <f>IFERROR(VLOOKUP($M544,'Informations sur les produits'!$A$3:$H$10000,8,FALSE),"0")</f>
        <v>0</v>
      </c>
      <c r="P544" s="33">
        <f t="shared" si="32"/>
        <v>0</v>
      </c>
      <c r="Q544" s="31" t="str">
        <f t="shared" si="33"/>
        <v/>
      </c>
      <c r="R544" s="32" t="str">
        <f>IFERROR(VLOOKUP($D544,'Informations sur les produits'!$A$3:$B$15000,2,FALSE),"")</f>
        <v/>
      </c>
      <c r="V544">
        <f t="shared" si="34"/>
        <v>0</v>
      </c>
      <c r="W544">
        <f t="shared" si="35"/>
        <v>0</v>
      </c>
    </row>
    <row r="545" spans="5:23" x14ac:dyDescent="0.25">
      <c r="E545" s="4"/>
      <c r="F545" s="4"/>
      <c r="G545" s="33" t="str">
        <f>IFERROR(VLOOKUP($D545,'Informations sur les produits'!$A$3:$H$10000,8,FALSE),"0")</f>
        <v>0</v>
      </c>
      <c r="K545" s="4"/>
      <c r="L545" s="33" t="str">
        <f>IFERROR(VLOOKUP($J545,'Informations sur les produits'!$A$3:$H$10000,8,FALSE),"0")</f>
        <v>0</v>
      </c>
      <c r="N545" s="8"/>
      <c r="O545" s="33" t="str">
        <f>IFERROR(VLOOKUP($M545,'Informations sur les produits'!$A$3:$H$10000,8,FALSE),"0")</f>
        <v>0</v>
      </c>
      <c r="P545" s="33">
        <f t="shared" si="32"/>
        <v>0</v>
      </c>
      <c r="Q545" s="31" t="str">
        <f t="shared" si="33"/>
        <v/>
      </c>
      <c r="R545" s="32" t="str">
        <f>IFERROR(VLOOKUP($D545,'Informations sur les produits'!$A$3:$B$15000,2,FALSE),"")</f>
        <v/>
      </c>
      <c r="V545">
        <f t="shared" si="34"/>
        <v>0</v>
      </c>
      <c r="W545">
        <f t="shared" si="35"/>
        <v>0</v>
      </c>
    </row>
    <row r="546" spans="5:23" x14ac:dyDescent="0.25">
      <c r="E546" s="4"/>
      <c r="F546" s="4"/>
      <c r="G546" s="33" t="str">
        <f>IFERROR(VLOOKUP($D546,'Informations sur les produits'!$A$3:$H$10000,8,FALSE),"0")</f>
        <v>0</v>
      </c>
      <c r="K546" s="4"/>
      <c r="L546" s="33" t="str">
        <f>IFERROR(VLOOKUP($J546,'Informations sur les produits'!$A$3:$H$10000,8,FALSE),"0")</f>
        <v>0</v>
      </c>
      <c r="N546" s="8"/>
      <c r="O546" s="33" t="str">
        <f>IFERROR(VLOOKUP($M546,'Informations sur les produits'!$A$3:$H$10000,8,FALSE),"0")</f>
        <v>0</v>
      </c>
      <c r="P546" s="33">
        <f t="shared" si="32"/>
        <v>0</v>
      </c>
      <c r="Q546" s="31" t="str">
        <f t="shared" si="33"/>
        <v/>
      </c>
      <c r="R546" s="32" t="str">
        <f>IFERROR(VLOOKUP($D546,'Informations sur les produits'!$A$3:$B$15000,2,FALSE),"")</f>
        <v/>
      </c>
      <c r="V546">
        <f t="shared" si="34"/>
        <v>0</v>
      </c>
      <c r="W546">
        <f t="shared" si="35"/>
        <v>0</v>
      </c>
    </row>
    <row r="547" spans="5:23" x14ac:dyDescent="0.25">
      <c r="E547" s="4"/>
      <c r="F547" s="4"/>
      <c r="G547" s="33" t="str">
        <f>IFERROR(VLOOKUP($D547,'Informations sur les produits'!$A$3:$H$10000,8,FALSE),"0")</f>
        <v>0</v>
      </c>
      <c r="K547" s="4"/>
      <c r="L547" s="33" t="str">
        <f>IFERROR(VLOOKUP($J547,'Informations sur les produits'!$A$3:$H$10000,8,FALSE),"0")</f>
        <v>0</v>
      </c>
      <c r="N547" s="8"/>
      <c r="O547" s="33" t="str">
        <f>IFERROR(VLOOKUP($M547,'Informations sur les produits'!$A$3:$H$10000,8,FALSE),"0")</f>
        <v>0</v>
      </c>
      <c r="P547" s="33">
        <f t="shared" si="32"/>
        <v>0</v>
      </c>
      <c r="Q547" s="31" t="str">
        <f t="shared" si="33"/>
        <v/>
      </c>
      <c r="R547" s="32" t="str">
        <f>IFERROR(VLOOKUP($D547,'Informations sur les produits'!$A$3:$B$15000,2,FALSE),"")</f>
        <v/>
      </c>
      <c r="V547">
        <f t="shared" si="34"/>
        <v>0</v>
      </c>
      <c r="W547">
        <f t="shared" si="35"/>
        <v>0</v>
      </c>
    </row>
    <row r="548" spans="5:23" x14ac:dyDescent="0.25">
      <c r="E548" s="4"/>
      <c r="F548" s="4"/>
      <c r="G548" s="33" t="str">
        <f>IFERROR(VLOOKUP($D548,'Informations sur les produits'!$A$3:$H$10000,8,FALSE),"0")</f>
        <v>0</v>
      </c>
      <c r="K548" s="4"/>
      <c r="L548" s="33" t="str">
        <f>IFERROR(VLOOKUP($J548,'Informations sur les produits'!$A$3:$H$10000,8,FALSE),"0")</f>
        <v>0</v>
      </c>
      <c r="N548" s="8"/>
      <c r="O548" s="33" t="str">
        <f>IFERROR(VLOOKUP($M548,'Informations sur les produits'!$A$3:$H$10000,8,FALSE),"0")</f>
        <v>0</v>
      </c>
      <c r="P548" s="33">
        <f t="shared" si="32"/>
        <v>0</v>
      </c>
      <c r="Q548" s="31" t="str">
        <f t="shared" si="33"/>
        <v/>
      </c>
      <c r="R548" s="32" t="str">
        <f>IFERROR(VLOOKUP($D548,'Informations sur les produits'!$A$3:$B$15000,2,FALSE),"")</f>
        <v/>
      </c>
      <c r="V548">
        <f t="shared" si="34"/>
        <v>0</v>
      </c>
      <c r="W548">
        <f t="shared" si="35"/>
        <v>0</v>
      </c>
    </row>
    <row r="549" spans="5:23" x14ac:dyDescent="0.25">
      <c r="E549" s="4"/>
      <c r="F549" s="4"/>
      <c r="G549" s="33" t="str">
        <f>IFERROR(VLOOKUP($D549,'Informations sur les produits'!$A$3:$H$10000,8,FALSE),"0")</f>
        <v>0</v>
      </c>
      <c r="K549" s="4"/>
      <c r="L549" s="33" t="str">
        <f>IFERROR(VLOOKUP($J549,'Informations sur les produits'!$A$3:$H$10000,8,FALSE),"0")</f>
        <v>0</v>
      </c>
      <c r="N549" s="8"/>
      <c r="O549" s="33" t="str">
        <f>IFERROR(VLOOKUP($M549,'Informations sur les produits'!$A$3:$H$10000,8,FALSE),"0")</f>
        <v>0</v>
      </c>
      <c r="P549" s="33">
        <f t="shared" si="32"/>
        <v>0</v>
      </c>
      <c r="Q549" s="31" t="str">
        <f t="shared" si="33"/>
        <v/>
      </c>
      <c r="R549" s="32" t="str">
        <f>IFERROR(VLOOKUP($D549,'Informations sur les produits'!$A$3:$B$15000,2,FALSE),"")</f>
        <v/>
      </c>
      <c r="V549">
        <f t="shared" si="34"/>
        <v>0</v>
      </c>
      <c r="W549">
        <f t="shared" si="35"/>
        <v>0</v>
      </c>
    </row>
    <row r="550" spans="5:23" x14ac:dyDescent="0.25">
      <c r="E550" s="4"/>
      <c r="F550" s="4"/>
      <c r="G550" s="33" t="str">
        <f>IFERROR(VLOOKUP($D550,'Informations sur les produits'!$A$3:$H$10000,8,FALSE),"0")</f>
        <v>0</v>
      </c>
      <c r="K550" s="4"/>
      <c r="L550" s="33" t="str">
        <f>IFERROR(VLOOKUP($J550,'Informations sur les produits'!$A$3:$H$10000,8,FALSE),"0")</f>
        <v>0</v>
      </c>
      <c r="N550" s="8"/>
      <c r="O550" s="33" t="str">
        <f>IFERROR(VLOOKUP($M550,'Informations sur les produits'!$A$3:$H$10000,8,FALSE),"0")</f>
        <v>0</v>
      </c>
      <c r="P550" s="33">
        <f t="shared" si="32"/>
        <v>0</v>
      </c>
      <c r="Q550" s="31" t="str">
        <f t="shared" si="33"/>
        <v/>
      </c>
      <c r="R550" s="32" t="str">
        <f>IFERROR(VLOOKUP($D550,'Informations sur les produits'!$A$3:$B$15000,2,FALSE),"")</f>
        <v/>
      </c>
      <c r="V550">
        <f t="shared" si="34"/>
        <v>0</v>
      </c>
      <c r="W550">
        <f t="shared" si="35"/>
        <v>0</v>
      </c>
    </row>
    <row r="551" spans="5:23" x14ac:dyDescent="0.25">
      <c r="E551" s="4"/>
      <c r="F551" s="4"/>
      <c r="G551" s="33" t="str">
        <f>IFERROR(VLOOKUP($D551,'Informations sur les produits'!$A$3:$H$10000,8,FALSE),"0")</f>
        <v>0</v>
      </c>
      <c r="K551" s="4"/>
      <c r="L551" s="33" t="str">
        <f>IFERROR(VLOOKUP($J551,'Informations sur les produits'!$A$3:$H$10000,8,FALSE),"0")</f>
        <v>0</v>
      </c>
      <c r="N551" s="8"/>
      <c r="O551" s="33" t="str">
        <f>IFERROR(VLOOKUP($M551,'Informations sur les produits'!$A$3:$H$10000,8,FALSE),"0")</f>
        <v>0</v>
      </c>
      <c r="P551" s="33">
        <f t="shared" si="32"/>
        <v>0</v>
      </c>
      <c r="Q551" s="31" t="str">
        <f t="shared" si="33"/>
        <v/>
      </c>
      <c r="R551" s="32" t="str">
        <f>IFERROR(VLOOKUP($D551,'Informations sur les produits'!$A$3:$B$15000,2,FALSE),"")</f>
        <v/>
      </c>
      <c r="V551">
        <f t="shared" si="34"/>
        <v>0</v>
      </c>
      <c r="W551">
        <f t="shared" si="35"/>
        <v>0</v>
      </c>
    </row>
    <row r="552" spans="5:23" x14ac:dyDescent="0.25">
      <c r="E552" s="4"/>
      <c r="F552" s="4"/>
      <c r="G552" s="33" t="str">
        <f>IFERROR(VLOOKUP($D552,'Informations sur les produits'!$A$3:$H$10000,8,FALSE),"0")</f>
        <v>0</v>
      </c>
      <c r="K552" s="4"/>
      <c r="L552" s="33" t="str">
        <f>IFERROR(VLOOKUP($J552,'Informations sur les produits'!$A$3:$H$10000,8,FALSE),"0")</f>
        <v>0</v>
      </c>
      <c r="N552" s="8"/>
      <c r="O552" s="33" t="str">
        <f>IFERROR(VLOOKUP($M552,'Informations sur les produits'!$A$3:$H$10000,8,FALSE),"0")</f>
        <v>0</v>
      </c>
      <c r="P552" s="33">
        <f t="shared" si="32"/>
        <v>0</v>
      </c>
      <c r="Q552" s="31" t="str">
        <f t="shared" si="33"/>
        <v/>
      </c>
      <c r="R552" s="32" t="str">
        <f>IFERROR(VLOOKUP($D552,'Informations sur les produits'!$A$3:$B$15000,2,FALSE),"")</f>
        <v/>
      </c>
      <c r="V552">
        <f t="shared" si="34"/>
        <v>0</v>
      </c>
      <c r="W552">
        <f t="shared" si="35"/>
        <v>0</v>
      </c>
    </row>
    <row r="553" spans="5:23" x14ac:dyDescent="0.25">
      <c r="E553" s="4"/>
      <c r="F553" s="4"/>
      <c r="G553" s="33" t="str">
        <f>IFERROR(VLOOKUP($D553,'Informations sur les produits'!$A$3:$H$10000,8,FALSE),"0")</f>
        <v>0</v>
      </c>
      <c r="K553" s="4"/>
      <c r="L553" s="33" t="str">
        <f>IFERROR(VLOOKUP($J553,'Informations sur les produits'!$A$3:$H$10000,8,FALSE),"0")</f>
        <v>0</v>
      </c>
      <c r="N553" s="8"/>
      <c r="O553" s="33" t="str">
        <f>IFERROR(VLOOKUP($M553,'Informations sur les produits'!$A$3:$H$10000,8,FALSE),"0")</f>
        <v>0</v>
      </c>
      <c r="P553" s="33">
        <f t="shared" si="32"/>
        <v>0</v>
      </c>
      <c r="Q553" s="31" t="str">
        <f t="shared" si="33"/>
        <v/>
      </c>
      <c r="R553" s="32" t="str">
        <f>IFERROR(VLOOKUP($D553,'Informations sur les produits'!$A$3:$B$15000,2,FALSE),"")</f>
        <v/>
      </c>
      <c r="V553">
        <f t="shared" si="34"/>
        <v>0</v>
      </c>
      <c r="W553">
        <f t="shared" si="35"/>
        <v>0</v>
      </c>
    </row>
    <row r="554" spans="5:23" x14ac:dyDescent="0.25">
      <c r="E554" s="4"/>
      <c r="F554" s="4"/>
      <c r="G554" s="33" t="str">
        <f>IFERROR(VLOOKUP($D554,'Informations sur les produits'!$A$3:$H$10000,8,FALSE),"0")</f>
        <v>0</v>
      </c>
      <c r="K554" s="4"/>
      <c r="L554" s="33" t="str">
        <f>IFERROR(VLOOKUP($J554,'Informations sur les produits'!$A$3:$H$10000,8,FALSE),"0")</f>
        <v>0</v>
      </c>
      <c r="N554" s="8"/>
      <c r="O554" s="33" t="str">
        <f>IFERROR(VLOOKUP($M554,'Informations sur les produits'!$A$3:$H$10000,8,FALSE),"0")</f>
        <v>0</v>
      </c>
      <c r="P554" s="33">
        <f t="shared" si="32"/>
        <v>0</v>
      </c>
      <c r="Q554" s="31" t="str">
        <f t="shared" si="33"/>
        <v/>
      </c>
      <c r="R554" s="32" t="str">
        <f>IFERROR(VLOOKUP($D554,'Informations sur les produits'!$A$3:$B$15000,2,FALSE),"")</f>
        <v/>
      </c>
      <c r="V554">
        <f t="shared" si="34"/>
        <v>0</v>
      </c>
      <c r="W554">
        <f t="shared" si="35"/>
        <v>0</v>
      </c>
    </row>
    <row r="555" spans="5:23" x14ac:dyDescent="0.25">
      <c r="E555" s="4"/>
      <c r="F555" s="4"/>
      <c r="G555" s="33" t="str">
        <f>IFERROR(VLOOKUP($D555,'Informations sur les produits'!$A$3:$H$10000,8,FALSE),"0")</f>
        <v>0</v>
      </c>
      <c r="K555" s="4"/>
      <c r="L555" s="33" t="str">
        <f>IFERROR(VLOOKUP($J555,'Informations sur les produits'!$A$3:$H$10000,8,FALSE),"0")</f>
        <v>0</v>
      </c>
      <c r="N555" s="8"/>
      <c r="O555" s="33" t="str">
        <f>IFERROR(VLOOKUP($M555,'Informations sur les produits'!$A$3:$H$10000,8,FALSE),"0")</f>
        <v>0</v>
      </c>
      <c r="P555" s="33">
        <f t="shared" si="32"/>
        <v>0</v>
      </c>
      <c r="Q555" s="31" t="str">
        <f t="shared" si="33"/>
        <v/>
      </c>
      <c r="R555" s="32" t="str">
        <f>IFERROR(VLOOKUP($D555,'Informations sur les produits'!$A$3:$B$15000,2,FALSE),"")</f>
        <v/>
      </c>
      <c r="V555">
        <f t="shared" si="34"/>
        <v>0</v>
      </c>
      <c r="W555">
        <f t="shared" si="35"/>
        <v>0</v>
      </c>
    </row>
    <row r="556" spans="5:23" x14ac:dyDescent="0.25">
      <c r="E556" s="4"/>
      <c r="F556" s="4"/>
      <c r="G556" s="33" t="str">
        <f>IFERROR(VLOOKUP($D556,'Informations sur les produits'!$A$3:$H$10000,8,FALSE),"0")</f>
        <v>0</v>
      </c>
      <c r="K556" s="4"/>
      <c r="L556" s="33" t="str">
        <f>IFERROR(VLOOKUP($J556,'Informations sur les produits'!$A$3:$H$10000,8,FALSE),"0")</f>
        <v>0</v>
      </c>
      <c r="N556" s="8"/>
      <c r="O556" s="33" t="str">
        <f>IFERROR(VLOOKUP($M556,'Informations sur les produits'!$A$3:$H$10000,8,FALSE),"0")</f>
        <v>0</v>
      </c>
      <c r="P556" s="33">
        <f t="shared" si="32"/>
        <v>0</v>
      </c>
      <c r="Q556" s="31" t="str">
        <f t="shared" si="33"/>
        <v/>
      </c>
      <c r="R556" s="32" t="str">
        <f>IFERROR(VLOOKUP($D556,'Informations sur les produits'!$A$3:$B$15000,2,FALSE),"")</f>
        <v/>
      </c>
      <c r="V556">
        <f t="shared" si="34"/>
        <v>0</v>
      </c>
      <c r="W556">
        <f t="shared" si="35"/>
        <v>0</v>
      </c>
    </row>
    <row r="557" spans="5:23" x14ac:dyDescent="0.25">
      <c r="E557" s="4"/>
      <c r="F557" s="4"/>
      <c r="G557" s="33" t="str">
        <f>IFERROR(VLOOKUP($D557,'Informations sur les produits'!$A$3:$H$10000,8,FALSE),"0")</f>
        <v>0</v>
      </c>
      <c r="K557" s="4"/>
      <c r="L557" s="33" t="str">
        <f>IFERROR(VLOOKUP($J557,'Informations sur les produits'!$A$3:$H$10000,8,FALSE),"0")</f>
        <v>0</v>
      </c>
      <c r="N557" s="8"/>
      <c r="O557" s="33" t="str">
        <f>IFERROR(VLOOKUP($M557,'Informations sur les produits'!$A$3:$H$10000,8,FALSE),"0")</f>
        <v>0</v>
      </c>
      <c r="P557" s="33">
        <f t="shared" si="32"/>
        <v>0</v>
      </c>
      <c r="Q557" s="31" t="str">
        <f t="shared" si="33"/>
        <v/>
      </c>
      <c r="R557" s="32" t="str">
        <f>IFERROR(VLOOKUP($D557,'Informations sur les produits'!$A$3:$B$15000,2,FALSE),"")</f>
        <v/>
      </c>
      <c r="V557">
        <f t="shared" si="34"/>
        <v>0</v>
      </c>
      <c r="W557">
        <f t="shared" si="35"/>
        <v>0</v>
      </c>
    </row>
    <row r="558" spans="5:23" x14ac:dyDescent="0.25">
      <c r="E558" s="4"/>
      <c r="F558" s="4"/>
      <c r="G558" s="33" t="str">
        <f>IFERROR(VLOOKUP($D558,'Informations sur les produits'!$A$3:$H$10000,8,FALSE),"0")</f>
        <v>0</v>
      </c>
      <c r="K558" s="4"/>
      <c r="L558" s="33" t="str">
        <f>IFERROR(VLOOKUP($J558,'Informations sur les produits'!$A$3:$H$10000,8,FALSE),"0")</f>
        <v>0</v>
      </c>
      <c r="N558" s="8"/>
      <c r="O558" s="33" t="str">
        <f>IFERROR(VLOOKUP($M558,'Informations sur les produits'!$A$3:$H$10000,8,FALSE),"0")</f>
        <v>0</v>
      </c>
      <c r="P558" s="33">
        <f t="shared" si="32"/>
        <v>0</v>
      </c>
      <c r="Q558" s="31" t="str">
        <f t="shared" si="33"/>
        <v/>
      </c>
      <c r="R558" s="32" t="str">
        <f>IFERROR(VLOOKUP($D558,'Informations sur les produits'!$A$3:$B$15000,2,FALSE),"")</f>
        <v/>
      </c>
      <c r="V558">
        <f t="shared" si="34"/>
        <v>0</v>
      </c>
      <c r="W558">
        <f t="shared" si="35"/>
        <v>0</v>
      </c>
    </row>
    <row r="559" spans="5:23" x14ac:dyDescent="0.25">
      <c r="E559" s="4"/>
      <c r="F559" s="4"/>
      <c r="G559" s="33" t="str">
        <f>IFERROR(VLOOKUP($D559,'Informations sur les produits'!$A$3:$H$10000,8,FALSE),"0")</f>
        <v>0</v>
      </c>
      <c r="K559" s="4"/>
      <c r="L559" s="33" t="str">
        <f>IFERROR(VLOOKUP($J559,'Informations sur les produits'!$A$3:$H$10000,8,FALSE),"0")</f>
        <v>0</v>
      </c>
      <c r="N559" s="8"/>
      <c r="O559" s="33" t="str">
        <f>IFERROR(VLOOKUP($M559,'Informations sur les produits'!$A$3:$H$10000,8,FALSE),"0")</f>
        <v>0</v>
      </c>
      <c r="P559" s="33">
        <f t="shared" si="32"/>
        <v>0</v>
      </c>
      <c r="Q559" s="31" t="str">
        <f t="shared" si="33"/>
        <v/>
      </c>
      <c r="R559" s="32" t="str">
        <f>IFERROR(VLOOKUP($D559,'Informations sur les produits'!$A$3:$B$15000,2,FALSE),"")</f>
        <v/>
      </c>
      <c r="V559">
        <f t="shared" si="34"/>
        <v>0</v>
      </c>
      <c r="W559">
        <f t="shared" si="35"/>
        <v>0</v>
      </c>
    </row>
    <row r="560" spans="5:23" x14ac:dyDescent="0.25">
      <c r="E560" s="4"/>
      <c r="F560" s="4"/>
      <c r="G560" s="33" t="str">
        <f>IFERROR(VLOOKUP($D560,'Informations sur les produits'!$A$3:$H$10000,8,FALSE),"0")</f>
        <v>0</v>
      </c>
      <c r="K560" s="4"/>
      <c r="L560" s="33" t="str">
        <f>IFERROR(VLOOKUP($J560,'Informations sur les produits'!$A$3:$H$10000,8,FALSE),"0")</f>
        <v>0</v>
      </c>
      <c r="N560" s="8"/>
      <c r="O560" s="33" t="str">
        <f>IFERROR(VLOOKUP($M560,'Informations sur les produits'!$A$3:$H$10000,8,FALSE),"0")</f>
        <v>0</v>
      </c>
      <c r="P560" s="33">
        <f t="shared" si="32"/>
        <v>0</v>
      </c>
      <c r="Q560" s="31" t="str">
        <f t="shared" si="33"/>
        <v/>
      </c>
      <c r="R560" s="32" t="str">
        <f>IFERROR(VLOOKUP($D560,'Informations sur les produits'!$A$3:$B$15000,2,FALSE),"")</f>
        <v/>
      </c>
      <c r="V560">
        <f t="shared" si="34"/>
        <v>0</v>
      </c>
      <c r="W560">
        <f t="shared" si="35"/>
        <v>0</v>
      </c>
    </row>
    <row r="561" spans="5:23" x14ac:dyDescent="0.25">
      <c r="E561" s="4"/>
      <c r="F561" s="4"/>
      <c r="G561" s="33" t="str">
        <f>IFERROR(VLOOKUP($D561,'Informations sur les produits'!$A$3:$H$10000,8,FALSE),"0")</f>
        <v>0</v>
      </c>
      <c r="K561" s="4"/>
      <c r="L561" s="33" t="str">
        <f>IFERROR(VLOOKUP($J561,'Informations sur les produits'!$A$3:$H$10000,8,FALSE),"0")</f>
        <v>0</v>
      </c>
      <c r="N561" s="8"/>
      <c r="O561" s="33" t="str">
        <f>IFERROR(VLOOKUP($M561,'Informations sur les produits'!$A$3:$H$10000,8,FALSE),"0")</f>
        <v>0</v>
      </c>
      <c r="P561" s="33">
        <f t="shared" si="32"/>
        <v>0</v>
      </c>
      <c r="Q561" s="31" t="str">
        <f t="shared" si="33"/>
        <v/>
      </c>
      <c r="R561" s="32" t="str">
        <f>IFERROR(VLOOKUP($D561,'Informations sur les produits'!$A$3:$B$15000,2,FALSE),"")</f>
        <v/>
      </c>
      <c r="V561">
        <f t="shared" si="34"/>
        <v>0</v>
      </c>
      <c r="W561">
        <f t="shared" si="35"/>
        <v>0</v>
      </c>
    </row>
    <row r="562" spans="5:23" x14ac:dyDescent="0.25">
      <c r="E562" s="4"/>
      <c r="F562" s="4"/>
      <c r="G562" s="33" t="str">
        <f>IFERROR(VLOOKUP($D562,'Informations sur les produits'!$A$3:$H$10000,8,FALSE),"0")</f>
        <v>0</v>
      </c>
      <c r="K562" s="4"/>
      <c r="L562" s="33" t="str">
        <f>IFERROR(VLOOKUP($J562,'Informations sur les produits'!$A$3:$H$10000,8,FALSE),"0")</f>
        <v>0</v>
      </c>
      <c r="N562" s="8"/>
      <c r="O562" s="33" t="str">
        <f>IFERROR(VLOOKUP($M562,'Informations sur les produits'!$A$3:$H$10000,8,FALSE),"0")</f>
        <v>0</v>
      </c>
      <c r="P562" s="33">
        <f t="shared" si="32"/>
        <v>0</v>
      </c>
      <c r="Q562" s="31" t="str">
        <f t="shared" si="33"/>
        <v/>
      </c>
      <c r="R562" s="32" t="str">
        <f>IFERROR(VLOOKUP($D562,'Informations sur les produits'!$A$3:$B$15000,2,FALSE),"")</f>
        <v/>
      </c>
      <c r="V562">
        <f t="shared" si="34"/>
        <v>0</v>
      </c>
      <c r="W562">
        <f t="shared" si="35"/>
        <v>0</v>
      </c>
    </row>
    <row r="563" spans="5:23" x14ac:dyDescent="0.25">
      <c r="E563" s="4"/>
      <c r="F563" s="4"/>
      <c r="G563" s="33" t="str">
        <f>IFERROR(VLOOKUP($D563,'Informations sur les produits'!$A$3:$H$10000,8,FALSE),"0")</f>
        <v>0</v>
      </c>
      <c r="K563" s="4"/>
      <c r="L563" s="33" t="str">
        <f>IFERROR(VLOOKUP($J563,'Informations sur les produits'!$A$3:$H$10000,8,FALSE),"0")</f>
        <v>0</v>
      </c>
      <c r="N563" s="8"/>
      <c r="O563" s="33" t="str">
        <f>IFERROR(VLOOKUP($M563,'Informations sur les produits'!$A$3:$H$10000,8,FALSE),"0")</f>
        <v>0</v>
      </c>
      <c r="P563" s="33">
        <f t="shared" si="32"/>
        <v>0</v>
      </c>
      <c r="Q563" s="31" t="str">
        <f t="shared" si="33"/>
        <v/>
      </c>
      <c r="R563" s="32" t="str">
        <f>IFERROR(VLOOKUP($D563,'Informations sur les produits'!$A$3:$B$15000,2,FALSE),"")</f>
        <v/>
      </c>
      <c r="V563">
        <f t="shared" si="34"/>
        <v>0</v>
      </c>
      <c r="W563">
        <f t="shared" si="35"/>
        <v>0</v>
      </c>
    </row>
    <row r="564" spans="5:23" x14ac:dyDescent="0.25">
      <c r="E564" s="4"/>
      <c r="F564" s="4"/>
      <c r="G564" s="33" t="str">
        <f>IFERROR(VLOOKUP($D564,'Informations sur les produits'!$A$3:$H$10000,8,FALSE),"0")</f>
        <v>0</v>
      </c>
      <c r="K564" s="4"/>
      <c r="L564" s="33" t="str">
        <f>IFERROR(VLOOKUP($J564,'Informations sur les produits'!$A$3:$H$10000,8,FALSE),"0")</f>
        <v>0</v>
      </c>
      <c r="N564" s="8"/>
      <c r="O564" s="33" t="str">
        <f>IFERROR(VLOOKUP($M564,'Informations sur les produits'!$A$3:$H$10000,8,FALSE),"0")</f>
        <v>0</v>
      </c>
      <c r="P564" s="33">
        <f t="shared" si="32"/>
        <v>0</v>
      </c>
      <c r="Q564" s="31" t="str">
        <f t="shared" si="33"/>
        <v/>
      </c>
      <c r="R564" s="32" t="str">
        <f>IFERROR(VLOOKUP($D564,'Informations sur les produits'!$A$3:$B$15000,2,FALSE),"")</f>
        <v/>
      </c>
      <c r="V564">
        <f t="shared" si="34"/>
        <v>0</v>
      </c>
      <c r="W564">
        <f t="shared" si="35"/>
        <v>0</v>
      </c>
    </row>
    <row r="565" spans="5:23" x14ac:dyDescent="0.25">
      <c r="E565" s="4"/>
      <c r="F565" s="4"/>
      <c r="G565" s="33" t="str">
        <f>IFERROR(VLOOKUP($D565,'Informations sur les produits'!$A$3:$H$10000,8,FALSE),"0")</f>
        <v>0</v>
      </c>
      <c r="K565" s="4"/>
      <c r="L565" s="33" t="str">
        <f>IFERROR(VLOOKUP($J565,'Informations sur les produits'!$A$3:$H$10000,8,FALSE),"0")</f>
        <v>0</v>
      </c>
      <c r="N565" s="8"/>
      <c r="O565" s="33" t="str">
        <f>IFERROR(VLOOKUP($M565,'Informations sur les produits'!$A$3:$H$10000,8,FALSE),"0")</f>
        <v>0</v>
      </c>
      <c r="P565" s="33">
        <f t="shared" si="32"/>
        <v>0</v>
      </c>
      <c r="Q565" s="31" t="str">
        <f t="shared" si="33"/>
        <v/>
      </c>
      <c r="R565" s="32" t="str">
        <f>IFERROR(VLOOKUP($D565,'Informations sur les produits'!$A$3:$B$15000,2,FALSE),"")</f>
        <v/>
      </c>
      <c r="V565">
        <f t="shared" si="34"/>
        <v>0</v>
      </c>
      <c r="W565">
        <f t="shared" si="35"/>
        <v>0</v>
      </c>
    </row>
    <row r="566" spans="5:23" x14ac:dyDescent="0.25">
      <c r="E566" s="4"/>
      <c r="F566" s="4"/>
      <c r="G566" s="33" t="str">
        <f>IFERROR(VLOOKUP($D566,'Informations sur les produits'!$A$3:$H$10000,8,FALSE),"0")</f>
        <v>0</v>
      </c>
      <c r="K566" s="4"/>
      <c r="L566" s="33" t="str">
        <f>IFERROR(VLOOKUP($J566,'Informations sur les produits'!$A$3:$H$10000,8,FALSE),"0")</f>
        <v>0</v>
      </c>
      <c r="N566" s="8"/>
      <c r="O566" s="33" t="str">
        <f>IFERROR(VLOOKUP($M566,'Informations sur les produits'!$A$3:$H$10000,8,FALSE),"0")</f>
        <v>0</v>
      </c>
      <c r="P566" s="33">
        <f t="shared" si="32"/>
        <v>0</v>
      </c>
      <c r="Q566" s="31" t="str">
        <f t="shared" si="33"/>
        <v/>
      </c>
      <c r="R566" s="32" t="str">
        <f>IFERROR(VLOOKUP($D566,'Informations sur les produits'!$A$3:$B$15000,2,FALSE),"")</f>
        <v/>
      </c>
      <c r="V566">
        <f t="shared" si="34"/>
        <v>0</v>
      </c>
      <c r="W566">
        <f t="shared" si="35"/>
        <v>0</v>
      </c>
    </row>
    <row r="567" spans="5:23" x14ac:dyDescent="0.25">
      <c r="E567" s="4"/>
      <c r="F567" s="4"/>
      <c r="G567" s="33" t="str">
        <f>IFERROR(VLOOKUP($D567,'Informations sur les produits'!$A$3:$H$10000,8,FALSE),"0")</f>
        <v>0</v>
      </c>
      <c r="K567" s="4"/>
      <c r="L567" s="33" t="str">
        <f>IFERROR(VLOOKUP($J567,'Informations sur les produits'!$A$3:$H$10000,8,FALSE),"0")</f>
        <v>0</v>
      </c>
      <c r="N567" s="8"/>
      <c r="O567" s="33" t="str">
        <f>IFERROR(VLOOKUP($M567,'Informations sur les produits'!$A$3:$H$10000,8,FALSE),"0")</f>
        <v>0</v>
      </c>
      <c r="P567" s="33">
        <f t="shared" si="32"/>
        <v>0</v>
      </c>
      <c r="Q567" s="31" t="str">
        <f t="shared" si="33"/>
        <v/>
      </c>
      <c r="R567" s="32" t="str">
        <f>IFERROR(VLOOKUP($D567,'Informations sur les produits'!$A$3:$B$15000,2,FALSE),"")</f>
        <v/>
      </c>
      <c r="V567">
        <f t="shared" si="34"/>
        <v>0</v>
      </c>
      <c r="W567">
        <f t="shared" si="35"/>
        <v>0</v>
      </c>
    </row>
    <row r="568" spans="5:23" x14ac:dyDescent="0.25">
      <c r="E568" s="4"/>
      <c r="F568" s="4"/>
      <c r="G568" s="33" t="str">
        <f>IFERROR(VLOOKUP($D568,'Informations sur les produits'!$A$3:$H$10000,8,FALSE),"0")</f>
        <v>0</v>
      </c>
      <c r="K568" s="4"/>
      <c r="L568" s="33" t="str">
        <f>IFERROR(VLOOKUP($J568,'Informations sur les produits'!$A$3:$H$10000,8,FALSE),"0")</f>
        <v>0</v>
      </c>
      <c r="N568" s="8"/>
      <c r="O568" s="33" t="str">
        <f>IFERROR(VLOOKUP($M568,'Informations sur les produits'!$A$3:$H$10000,8,FALSE),"0")</f>
        <v>0</v>
      </c>
      <c r="P568" s="33">
        <f t="shared" si="32"/>
        <v>0</v>
      </c>
      <c r="Q568" s="31" t="str">
        <f t="shared" si="33"/>
        <v/>
      </c>
      <c r="R568" s="32" t="str">
        <f>IFERROR(VLOOKUP($D568,'Informations sur les produits'!$A$3:$B$15000,2,FALSE),"")</f>
        <v/>
      </c>
      <c r="V568">
        <f t="shared" si="34"/>
        <v>0</v>
      </c>
      <c r="W568">
        <f t="shared" si="35"/>
        <v>0</v>
      </c>
    </row>
    <row r="569" spans="5:23" x14ac:dyDescent="0.25">
      <c r="E569" s="4"/>
      <c r="F569" s="4"/>
      <c r="G569" s="33" t="str">
        <f>IFERROR(VLOOKUP($D569,'Informations sur les produits'!$A$3:$H$10000,8,FALSE),"0")</f>
        <v>0</v>
      </c>
      <c r="K569" s="4"/>
      <c r="L569" s="33" t="str">
        <f>IFERROR(VLOOKUP($J569,'Informations sur les produits'!$A$3:$H$10000,8,FALSE),"0")</f>
        <v>0</v>
      </c>
      <c r="N569" s="8"/>
      <c r="O569" s="33" t="str">
        <f>IFERROR(VLOOKUP($M569,'Informations sur les produits'!$A$3:$H$10000,8,FALSE),"0")</f>
        <v>0</v>
      </c>
      <c r="P569" s="33">
        <f t="shared" si="32"/>
        <v>0</v>
      </c>
      <c r="Q569" s="31" t="str">
        <f t="shared" si="33"/>
        <v/>
      </c>
      <c r="R569" s="32" t="str">
        <f>IFERROR(VLOOKUP($D569,'Informations sur les produits'!$A$3:$B$15000,2,FALSE),"")</f>
        <v/>
      </c>
      <c r="V569">
        <f t="shared" si="34"/>
        <v>0</v>
      </c>
      <c r="W569">
        <f t="shared" si="35"/>
        <v>0</v>
      </c>
    </row>
    <row r="570" spans="5:23" x14ac:dyDescent="0.25">
      <c r="E570" s="4"/>
      <c r="F570" s="4"/>
      <c r="G570" s="33" t="str">
        <f>IFERROR(VLOOKUP($D570,'Informations sur les produits'!$A$3:$H$10000,8,FALSE),"0")</f>
        <v>0</v>
      </c>
      <c r="K570" s="4"/>
      <c r="L570" s="33" t="str">
        <f>IFERROR(VLOOKUP($J570,'Informations sur les produits'!$A$3:$H$10000,8,FALSE),"0")</f>
        <v>0</v>
      </c>
      <c r="N570" s="8"/>
      <c r="O570" s="33" t="str">
        <f>IFERROR(VLOOKUP($M570,'Informations sur les produits'!$A$3:$H$10000,8,FALSE),"0")</f>
        <v>0</v>
      </c>
      <c r="P570" s="33">
        <f t="shared" si="32"/>
        <v>0</v>
      </c>
      <c r="Q570" s="31" t="str">
        <f t="shared" si="33"/>
        <v/>
      </c>
      <c r="R570" s="32" t="str">
        <f>IFERROR(VLOOKUP($D570,'Informations sur les produits'!$A$3:$B$15000,2,FALSE),"")</f>
        <v/>
      </c>
      <c r="V570">
        <f t="shared" si="34"/>
        <v>0</v>
      </c>
      <c r="W570">
        <f t="shared" si="35"/>
        <v>0</v>
      </c>
    </row>
    <row r="571" spans="5:23" x14ac:dyDescent="0.25">
      <c r="E571" s="4"/>
      <c r="F571" s="4"/>
      <c r="G571" s="33" t="str">
        <f>IFERROR(VLOOKUP($D571,'Informations sur les produits'!$A$3:$H$10000,8,FALSE),"0")</f>
        <v>0</v>
      </c>
      <c r="K571" s="4"/>
      <c r="L571" s="33" t="str">
        <f>IFERROR(VLOOKUP($J571,'Informations sur les produits'!$A$3:$H$10000,8,FALSE),"0")</f>
        <v>0</v>
      </c>
      <c r="N571" s="8"/>
      <c r="O571" s="33" t="str">
        <f>IFERROR(VLOOKUP($M571,'Informations sur les produits'!$A$3:$H$10000,8,FALSE),"0")</f>
        <v>0</v>
      </c>
      <c r="P571" s="33">
        <f t="shared" si="32"/>
        <v>0</v>
      </c>
      <c r="Q571" s="31" t="str">
        <f t="shared" si="33"/>
        <v/>
      </c>
      <c r="R571" s="32" t="str">
        <f>IFERROR(VLOOKUP($D571,'Informations sur les produits'!$A$3:$B$15000,2,FALSE),"")</f>
        <v/>
      </c>
      <c r="V571">
        <f t="shared" si="34"/>
        <v>0</v>
      </c>
      <c r="W571">
        <f t="shared" si="35"/>
        <v>0</v>
      </c>
    </row>
    <row r="572" spans="5:23" x14ac:dyDescent="0.25">
      <c r="E572" s="4"/>
      <c r="F572" s="4"/>
      <c r="G572" s="33" t="str">
        <f>IFERROR(VLOOKUP($D572,'Informations sur les produits'!$A$3:$H$10000,8,FALSE),"0")</f>
        <v>0</v>
      </c>
      <c r="K572" s="4"/>
      <c r="L572" s="33" t="str">
        <f>IFERROR(VLOOKUP($J572,'Informations sur les produits'!$A$3:$H$10000,8,FALSE),"0")</f>
        <v>0</v>
      </c>
      <c r="N572" s="8"/>
      <c r="O572" s="33" t="str">
        <f>IFERROR(VLOOKUP($M572,'Informations sur les produits'!$A$3:$H$10000,8,FALSE),"0")</f>
        <v>0</v>
      </c>
      <c r="P572" s="33">
        <f t="shared" si="32"/>
        <v>0</v>
      </c>
      <c r="Q572" s="31" t="str">
        <f t="shared" si="33"/>
        <v/>
      </c>
      <c r="R572" s="32" t="str">
        <f>IFERROR(VLOOKUP($D572,'Informations sur les produits'!$A$3:$B$15000,2,FALSE),"")</f>
        <v/>
      </c>
      <c r="V572">
        <f t="shared" si="34"/>
        <v>0</v>
      </c>
      <c r="W572">
        <f t="shared" si="35"/>
        <v>0</v>
      </c>
    </row>
    <row r="573" spans="5:23" x14ac:dyDescent="0.25">
      <c r="E573" s="4"/>
      <c r="F573" s="4"/>
      <c r="G573" s="33" t="str">
        <f>IFERROR(VLOOKUP($D573,'Informations sur les produits'!$A$3:$H$10000,8,FALSE),"0")</f>
        <v>0</v>
      </c>
      <c r="K573" s="4"/>
      <c r="L573" s="33" t="str">
        <f>IFERROR(VLOOKUP($J573,'Informations sur les produits'!$A$3:$H$10000,8,FALSE),"0")</f>
        <v>0</v>
      </c>
      <c r="N573" s="8"/>
      <c r="O573" s="33" t="str">
        <f>IFERROR(VLOOKUP($M573,'Informations sur les produits'!$A$3:$H$10000,8,FALSE),"0")</f>
        <v>0</v>
      </c>
      <c r="P573" s="33">
        <f t="shared" si="32"/>
        <v>0</v>
      </c>
      <c r="Q573" s="31" t="str">
        <f t="shared" si="33"/>
        <v/>
      </c>
      <c r="R573" s="32" t="str">
        <f>IFERROR(VLOOKUP($D573,'Informations sur les produits'!$A$3:$B$15000,2,FALSE),"")</f>
        <v/>
      </c>
      <c r="V573">
        <f t="shared" si="34"/>
        <v>0</v>
      </c>
      <c r="W573">
        <f t="shared" si="35"/>
        <v>0</v>
      </c>
    </row>
    <row r="574" spans="5:23" x14ac:dyDescent="0.25">
      <c r="E574" s="4"/>
      <c r="F574" s="4"/>
      <c r="G574" s="33" t="str">
        <f>IFERROR(VLOOKUP($D574,'Informations sur les produits'!$A$3:$H$10000,8,FALSE),"0")</f>
        <v>0</v>
      </c>
      <c r="K574" s="4"/>
      <c r="L574" s="33" t="str">
        <f>IFERROR(VLOOKUP($J574,'Informations sur les produits'!$A$3:$H$10000,8,FALSE),"0")</f>
        <v>0</v>
      </c>
      <c r="N574" s="8"/>
      <c r="O574" s="33" t="str">
        <f>IFERROR(VLOOKUP($M574,'Informations sur les produits'!$A$3:$H$10000,8,FALSE),"0")</f>
        <v>0</v>
      </c>
      <c r="P574" s="33">
        <f t="shared" si="32"/>
        <v>0</v>
      </c>
      <c r="Q574" s="31" t="str">
        <f t="shared" si="33"/>
        <v/>
      </c>
      <c r="R574" s="32" t="str">
        <f>IFERROR(VLOOKUP($D574,'Informations sur les produits'!$A$3:$B$15000,2,FALSE),"")</f>
        <v/>
      </c>
      <c r="V574">
        <f t="shared" si="34"/>
        <v>0</v>
      </c>
      <c r="W574">
        <f t="shared" si="35"/>
        <v>0</v>
      </c>
    </row>
    <row r="575" spans="5:23" x14ac:dyDescent="0.25">
      <c r="E575" s="4"/>
      <c r="F575" s="4"/>
      <c r="G575" s="33" t="str">
        <f>IFERROR(VLOOKUP($D575,'Informations sur les produits'!$A$3:$H$10000,8,FALSE),"0")</f>
        <v>0</v>
      </c>
      <c r="K575" s="4"/>
      <c r="L575" s="33" t="str">
        <f>IFERROR(VLOOKUP($J575,'Informations sur les produits'!$A$3:$H$10000,8,FALSE),"0")</f>
        <v>0</v>
      </c>
      <c r="N575" s="8"/>
      <c r="O575" s="33" t="str">
        <f>IFERROR(VLOOKUP($M575,'Informations sur les produits'!$A$3:$H$10000,8,FALSE),"0")</f>
        <v>0</v>
      </c>
      <c r="P575" s="33">
        <f t="shared" si="32"/>
        <v>0</v>
      </c>
      <c r="Q575" s="31" t="str">
        <f t="shared" si="33"/>
        <v/>
      </c>
      <c r="R575" s="32" t="str">
        <f>IFERROR(VLOOKUP($D575,'Informations sur les produits'!$A$3:$B$15000,2,FALSE),"")</f>
        <v/>
      </c>
      <c r="V575">
        <f t="shared" si="34"/>
        <v>0</v>
      </c>
      <c r="W575">
        <f t="shared" si="35"/>
        <v>0</v>
      </c>
    </row>
    <row r="576" spans="5:23" x14ac:dyDescent="0.25">
      <c r="E576" s="4"/>
      <c r="F576" s="4"/>
      <c r="G576" s="33" t="str">
        <f>IFERROR(VLOOKUP($D576,'Informations sur les produits'!$A$3:$H$10000,8,FALSE),"0")</f>
        <v>0</v>
      </c>
      <c r="K576" s="4"/>
      <c r="L576" s="33" t="str">
        <f>IFERROR(VLOOKUP($J576,'Informations sur les produits'!$A$3:$H$10000,8,FALSE),"0")</f>
        <v>0</v>
      </c>
      <c r="N576" s="8"/>
      <c r="O576" s="33" t="str">
        <f>IFERROR(VLOOKUP($M576,'Informations sur les produits'!$A$3:$H$10000,8,FALSE),"0")</f>
        <v>0</v>
      </c>
      <c r="P576" s="33">
        <f t="shared" si="32"/>
        <v>0</v>
      </c>
      <c r="Q576" s="31" t="str">
        <f t="shared" si="33"/>
        <v/>
      </c>
      <c r="R576" s="32" t="str">
        <f>IFERROR(VLOOKUP($D576,'Informations sur les produits'!$A$3:$B$15000,2,FALSE),"")</f>
        <v/>
      </c>
      <c r="V576">
        <f t="shared" si="34"/>
        <v>0</v>
      </c>
      <c r="W576">
        <f t="shared" si="35"/>
        <v>0</v>
      </c>
    </row>
    <row r="577" spans="5:23" x14ac:dyDescent="0.25">
      <c r="E577" s="4"/>
      <c r="F577" s="4"/>
      <c r="G577" s="33" t="str">
        <f>IFERROR(VLOOKUP($D577,'Informations sur les produits'!$A$3:$H$10000,8,FALSE),"0")</f>
        <v>0</v>
      </c>
      <c r="K577" s="4"/>
      <c r="L577" s="33" t="str">
        <f>IFERROR(VLOOKUP($J577,'Informations sur les produits'!$A$3:$H$10000,8,FALSE),"0")</f>
        <v>0</v>
      </c>
      <c r="N577" s="8"/>
      <c r="O577" s="33" t="str">
        <f>IFERROR(VLOOKUP($M577,'Informations sur les produits'!$A$3:$H$10000,8,FALSE),"0")</f>
        <v>0</v>
      </c>
      <c r="P577" s="33">
        <f t="shared" si="32"/>
        <v>0</v>
      </c>
      <c r="Q577" s="31" t="str">
        <f t="shared" si="33"/>
        <v/>
      </c>
      <c r="R577" s="32" t="str">
        <f>IFERROR(VLOOKUP($D577,'Informations sur les produits'!$A$3:$B$15000,2,FALSE),"")</f>
        <v/>
      </c>
      <c r="V577">
        <f t="shared" si="34"/>
        <v>0</v>
      </c>
      <c r="W577">
        <f t="shared" si="35"/>
        <v>0</v>
      </c>
    </row>
    <row r="578" spans="5:23" x14ac:dyDescent="0.25">
      <c r="E578" s="4"/>
      <c r="F578" s="4"/>
      <c r="G578" s="33" t="str">
        <f>IFERROR(VLOOKUP($D578,'Informations sur les produits'!$A$3:$H$10000,8,FALSE),"0")</f>
        <v>0</v>
      </c>
      <c r="K578" s="4"/>
      <c r="L578" s="33" t="str">
        <f>IFERROR(VLOOKUP($J578,'Informations sur les produits'!$A$3:$H$10000,8,FALSE),"0")</f>
        <v>0</v>
      </c>
      <c r="N578" s="8"/>
      <c r="O578" s="33" t="str">
        <f>IFERROR(VLOOKUP($M578,'Informations sur les produits'!$A$3:$H$10000,8,FALSE),"0")</f>
        <v>0</v>
      </c>
      <c r="P578" s="33">
        <f t="shared" si="32"/>
        <v>0</v>
      </c>
      <c r="Q578" s="31" t="str">
        <f t="shared" si="33"/>
        <v/>
      </c>
      <c r="R578" s="32" t="str">
        <f>IFERROR(VLOOKUP($D578,'Informations sur les produits'!$A$3:$B$15000,2,FALSE),"")</f>
        <v/>
      </c>
      <c r="V578">
        <f t="shared" si="34"/>
        <v>0</v>
      </c>
      <c r="W578">
        <f t="shared" si="35"/>
        <v>0</v>
      </c>
    </row>
    <row r="579" spans="5:23" x14ac:dyDescent="0.25">
      <c r="E579" s="4"/>
      <c r="F579" s="4"/>
      <c r="G579" s="33" t="str">
        <f>IFERROR(VLOOKUP($D579,'Informations sur les produits'!$A$3:$H$10000,8,FALSE),"0")</f>
        <v>0</v>
      </c>
      <c r="K579" s="4"/>
      <c r="L579" s="33" t="str">
        <f>IFERROR(VLOOKUP($J579,'Informations sur les produits'!$A$3:$H$10000,8,FALSE),"0")</f>
        <v>0</v>
      </c>
      <c r="N579" s="8"/>
      <c r="O579" s="33" t="str">
        <f>IFERROR(VLOOKUP($M579,'Informations sur les produits'!$A$3:$H$10000,8,FALSE),"0")</f>
        <v>0</v>
      </c>
      <c r="P579" s="33">
        <f t="shared" si="32"/>
        <v>0</v>
      </c>
      <c r="Q579" s="31" t="str">
        <f t="shared" si="33"/>
        <v/>
      </c>
      <c r="R579" s="32" t="str">
        <f>IFERROR(VLOOKUP($D579,'Informations sur les produits'!$A$3:$B$15000,2,FALSE),"")</f>
        <v/>
      </c>
      <c r="V579">
        <f t="shared" si="34"/>
        <v>0</v>
      </c>
      <c r="W579">
        <f t="shared" si="35"/>
        <v>0</v>
      </c>
    </row>
    <row r="580" spans="5:23" x14ac:dyDescent="0.25">
      <c r="E580" s="4"/>
      <c r="F580" s="4"/>
      <c r="G580" s="33" t="str">
        <f>IFERROR(VLOOKUP($D580,'Informations sur les produits'!$A$3:$H$10000,8,FALSE),"0")</f>
        <v>0</v>
      </c>
      <c r="K580" s="4"/>
      <c r="L580" s="33" t="str">
        <f>IFERROR(VLOOKUP($J580,'Informations sur les produits'!$A$3:$H$10000,8,FALSE),"0")</f>
        <v>0</v>
      </c>
      <c r="N580" s="8"/>
      <c r="O580" s="33" t="str">
        <f>IFERROR(VLOOKUP($M580,'Informations sur les produits'!$A$3:$H$10000,8,FALSE),"0")</f>
        <v>0</v>
      </c>
      <c r="P580" s="33">
        <f t="shared" ref="P580:P643" si="36">IFERROR((($E580-$F580)*$G580+$K580*$L580+$N580*$O580),"")</f>
        <v>0</v>
      </c>
      <c r="Q580" s="31" t="str">
        <f t="shared" ref="Q580:Q643" si="37">IFERROR((((($E580-$F580)*$G580+$K580*$L580+$N580*$O580)*1000)/(($E580-$F580)+$K580+$N580)),"")</f>
        <v/>
      </c>
      <c r="R580" s="32" t="str">
        <f>IFERROR(VLOOKUP($D580,'Informations sur les produits'!$A$3:$B$15000,2,FALSE),"")</f>
        <v/>
      </c>
      <c r="V580">
        <f t="shared" ref="V580:V643" si="38">IFERROR(P580*1000,"")</f>
        <v>0</v>
      </c>
      <c r="W580">
        <f t="shared" ref="W580:W643" si="39">IFERROR(($E580-$F580)+$K580+$N580,"")</f>
        <v>0</v>
      </c>
    </row>
    <row r="581" spans="5:23" x14ac:dyDescent="0.25">
      <c r="E581" s="4"/>
      <c r="F581" s="4"/>
      <c r="G581" s="33" t="str">
        <f>IFERROR(VLOOKUP($D581,'Informations sur les produits'!$A$3:$H$10000,8,FALSE),"0")</f>
        <v>0</v>
      </c>
      <c r="K581" s="4"/>
      <c r="L581" s="33" t="str">
        <f>IFERROR(VLOOKUP($J581,'Informations sur les produits'!$A$3:$H$10000,8,FALSE),"0")</f>
        <v>0</v>
      </c>
      <c r="N581" s="8"/>
      <c r="O581" s="33" t="str">
        <f>IFERROR(VLOOKUP($M581,'Informations sur les produits'!$A$3:$H$10000,8,FALSE),"0")</f>
        <v>0</v>
      </c>
      <c r="P581" s="33">
        <f t="shared" si="36"/>
        <v>0</v>
      </c>
      <c r="Q581" s="31" t="str">
        <f t="shared" si="37"/>
        <v/>
      </c>
      <c r="R581" s="32" t="str">
        <f>IFERROR(VLOOKUP($D581,'Informations sur les produits'!$A$3:$B$15000,2,FALSE),"")</f>
        <v/>
      </c>
      <c r="V581">
        <f t="shared" si="38"/>
        <v>0</v>
      </c>
      <c r="W581">
        <f t="shared" si="39"/>
        <v>0</v>
      </c>
    </row>
    <row r="582" spans="5:23" x14ac:dyDescent="0.25">
      <c r="E582" s="4"/>
      <c r="F582" s="4"/>
      <c r="G582" s="33" t="str">
        <f>IFERROR(VLOOKUP($D582,'Informations sur les produits'!$A$3:$H$10000,8,FALSE),"0")</f>
        <v>0</v>
      </c>
      <c r="K582" s="4"/>
      <c r="L582" s="33" t="str">
        <f>IFERROR(VLOOKUP($J582,'Informations sur les produits'!$A$3:$H$10000,8,FALSE),"0")</f>
        <v>0</v>
      </c>
      <c r="N582" s="8"/>
      <c r="O582" s="33" t="str">
        <f>IFERROR(VLOOKUP($M582,'Informations sur les produits'!$A$3:$H$10000,8,FALSE),"0")</f>
        <v>0</v>
      </c>
      <c r="P582" s="33">
        <f t="shared" si="36"/>
        <v>0</v>
      </c>
      <c r="Q582" s="31" t="str">
        <f t="shared" si="37"/>
        <v/>
      </c>
      <c r="R582" s="32" t="str">
        <f>IFERROR(VLOOKUP($D582,'Informations sur les produits'!$A$3:$B$15000,2,FALSE),"")</f>
        <v/>
      </c>
      <c r="V582">
        <f t="shared" si="38"/>
        <v>0</v>
      </c>
      <c r="W582">
        <f t="shared" si="39"/>
        <v>0</v>
      </c>
    </row>
    <row r="583" spans="5:23" x14ac:dyDescent="0.25">
      <c r="E583" s="4"/>
      <c r="F583" s="4"/>
      <c r="G583" s="33" t="str">
        <f>IFERROR(VLOOKUP($D583,'Informations sur les produits'!$A$3:$H$10000,8,FALSE),"0")</f>
        <v>0</v>
      </c>
      <c r="K583" s="4"/>
      <c r="L583" s="33" t="str">
        <f>IFERROR(VLOOKUP($J583,'Informations sur les produits'!$A$3:$H$10000,8,FALSE),"0")</f>
        <v>0</v>
      </c>
      <c r="N583" s="8"/>
      <c r="O583" s="33" t="str">
        <f>IFERROR(VLOOKUP($M583,'Informations sur les produits'!$A$3:$H$10000,8,FALSE),"0")</f>
        <v>0</v>
      </c>
      <c r="P583" s="33">
        <f t="shared" si="36"/>
        <v>0</v>
      </c>
      <c r="Q583" s="31" t="str">
        <f t="shared" si="37"/>
        <v/>
      </c>
      <c r="R583" s="32" t="str">
        <f>IFERROR(VLOOKUP($D583,'Informations sur les produits'!$A$3:$B$15000,2,FALSE),"")</f>
        <v/>
      </c>
      <c r="V583">
        <f t="shared" si="38"/>
        <v>0</v>
      </c>
      <c r="W583">
        <f t="shared" si="39"/>
        <v>0</v>
      </c>
    </row>
    <row r="584" spans="5:23" x14ac:dyDescent="0.25">
      <c r="E584" s="4"/>
      <c r="F584" s="4"/>
      <c r="G584" s="33" t="str">
        <f>IFERROR(VLOOKUP($D584,'Informations sur les produits'!$A$3:$H$10000,8,FALSE),"0")</f>
        <v>0</v>
      </c>
      <c r="K584" s="4"/>
      <c r="L584" s="33" t="str">
        <f>IFERROR(VLOOKUP($J584,'Informations sur les produits'!$A$3:$H$10000,8,FALSE),"0")</f>
        <v>0</v>
      </c>
      <c r="N584" s="8"/>
      <c r="O584" s="33" t="str">
        <f>IFERROR(VLOOKUP($M584,'Informations sur les produits'!$A$3:$H$10000,8,FALSE),"0")</f>
        <v>0</v>
      </c>
      <c r="P584" s="33">
        <f t="shared" si="36"/>
        <v>0</v>
      </c>
      <c r="Q584" s="31" t="str">
        <f t="shared" si="37"/>
        <v/>
      </c>
      <c r="R584" s="32" t="str">
        <f>IFERROR(VLOOKUP($D584,'Informations sur les produits'!$A$3:$B$15000,2,FALSE),"")</f>
        <v/>
      </c>
      <c r="V584">
        <f t="shared" si="38"/>
        <v>0</v>
      </c>
      <c r="W584">
        <f t="shared" si="39"/>
        <v>0</v>
      </c>
    </row>
    <row r="585" spans="5:23" x14ac:dyDescent="0.25">
      <c r="E585" s="4"/>
      <c r="F585" s="4"/>
      <c r="G585" s="33" t="str">
        <f>IFERROR(VLOOKUP($D585,'Informations sur les produits'!$A$3:$H$10000,8,FALSE),"0")</f>
        <v>0</v>
      </c>
      <c r="K585" s="4"/>
      <c r="L585" s="33" t="str">
        <f>IFERROR(VLOOKUP($J585,'Informations sur les produits'!$A$3:$H$10000,8,FALSE),"0")</f>
        <v>0</v>
      </c>
      <c r="N585" s="8"/>
      <c r="O585" s="33" t="str">
        <f>IFERROR(VLOOKUP($M585,'Informations sur les produits'!$A$3:$H$10000,8,FALSE),"0")</f>
        <v>0</v>
      </c>
      <c r="P585" s="33">
        <f t="shared" si="36"/>
        <v>0</v>
      </c>
      <c r="Q585" s="31" t="str">
        <f t="shared" si="37"/>
        <v/>
      </c>
      <c r="R585" s="32" t="str">
        <f>IFERROR(VLOOKUP($D585,'Informations sur les produits'!$A$3:$B$15000,2,FALSE),"")</f>
        <v/>
      </c>
      <c r="V585">
        <f t="shared" si="38"/>
        <v>0</v>
      </c>
      <c r="W585">
        <f t="shared" si="39"/>
        <v>0</v>
      </c>
    </row>
    <row r="586" spans="5:23" x14ac:dyDescent="0.25">
      <c r="E586" s="4"/>
      <c r="F586" s="4"/>
      <c r="G586" s="33" t="str">
        <f>IFERROR(VLOOKUP($D586,'Informations sur les produits'!$A$3:$H$10000,8,FALSE),"0")</f>
        <v>0</v>
      </c>
      <c r="K586" s="4"/>
      <c r="L586" s="33" t="str">
        <f>IFERROR(VLOOKUP($J586,'Informations sur les produits'!$A$3:$H$10000,8,FALSE),"0")</f>
        <v>0</v>
      </c>
      <c r="N586" s="8"/>
      <c r="O586" s="33" t="str">
        <f>IFERROR(VLOOKUP($M586,'Informations sur les produits'!$A$3:$H$10000,8,FALSE),"0")</f>
        <v>0</v>
      </c>
      <c r="P586" s="33">
        <f t="shared" si="36"/>
        <v>0</v>
      </c>
      <c r="Q586" s="31" t="str">
        <f t="shared" si="37"/>
        <v/>
      </c>
      <c r="R586" s="32" t="str">
        <f>IFERROR(VLOOKUP($D586,'Informations sur les produits'!$A$3:$B$15000,2,FALSE),"")</f>
        <v/>
      </c>
      <c r="V586">
        <f t="shared" si="38"/>
        <v>0</v>
      </c>
      <c r="W586">
        <f t="shared" si="39"/>
        <v>0</v>
      </c>
    </row>
    <row r="587" spans="5:23" x14ac:dyDescent="0.25">
      <c r="E587" s="4"/>
      <c r="F587" s="4"/>
      <c r="G587" s="33" t="str">
        <f>IFERROR(VLOOKUP($D587,'Informations sur les produits'!$A$3:$H$10000,8,FALSE),"0")</f>
        <v>0</v>
      </c>
      <c r="K587" s="4"/>
      <c r="L587" s="33" t="str">
        <f>IFERROR(VLOOKUP($J587,'Informations sur les produits'!$A$3:$H$10000,8,FALSE),"0")</f>
        <v>0</v>
      </c>
      <c r="N587" s="8"/>
      <c r="O587" s="33" t="str">
        <f>IFERROR(VLOOKUP($M587,'Informations sur les produits'!$A$3:$H$10000,8,FALSE),"0")</f>
        <v>0</v>
      </c>
      <c r="P587" s="33">
        <f t="shared" si="36"/>
        <v>0</v>
      </c>
      <c r="Q587" s="31" t="str">
        <f t="shared" si="37"/>
        <v/>
      </c>
      <c r="R587" s="32" t="str">
        <f>IFERROR(VLOOKUP($D587,'Informations sur les produits'!$A$3:$B$15000,2,FALSE),"")</f>
        <v/>
      </c>
      <c r="V587">
        <f t="shared" si="38"/>
        <v>0</v>
      </c>
      <c r="W587">
        <f t="shared" si="39"/>
        <v>0</v>
      </c>
    </row>
    <row r="588" spans="5:23" x14ac:dyDescent="0.25">
      <c r="E588" s="4"/>
      <c r="F588" s="4"/>
      <c r="G588" s="33" t="str">
        <f>IFERROR(VLOOKUP($D588,'Informations sur les produits'!$A$3:$H$10000,8,FALSE),"0")</f>
        <v>0</v>
      </c>
      <c r="K588" s="4"/>
      <c r="L588" s="33" t="str">
        <f>IFERROR(VLOOKUP($J588,'Informations sur les produits'!$A$3:$H$10000,8,FALSE),"0")</f>
        <v>0</v>
      </c>
      <c r="N588" s="8"/>
      <c r="O588" s="33" t="str">
        <f>IFERROR(VLOOKUP($M588,'Informations sur les produits'!$A$3:$H$10000,8,FALSE),"0")</f>
        <v>0</v>
      </c>
      <c r="P588" s="33">
        <f t="shared" si="36"/>
        <v>0</v>
      </c>
      <c r="Q588" s="31" t="str">
        <f t="shared" si="37"/>
        <v/>
      </c>
      <c r="R588" s="32" t="str">
        <f>IFERROR(VLOOKUP($D588,'Informations sur les produits'!$A$3:$B$15000,2,FALSE),"")</f>
        <v/>
      </c>
      <c r="V588">
        <f t="shared" si="38"/>
        <v>0</v>
      </c>
      <c r="W588">
        <f t="shared" si="39"/>
        <v>0</v>
      </c>
    </row>
    <row r="589" spans="5:23" x14ac:dyDescent="0.25">
      <c r="E589" s="4"/>
      <c r="F589" s="4"/>
      <c r="G589" s="33" t="str">
        <f>IFERROR(VLOOKUP($D589,'Informations sur les produits'!$A$3:$H$10000,8,FALSE),"0")</f>
        <v>0</v>
      </c>
      <c r="K589" s="4"/>
      <c r="L589" s="33" t="str">
        <f>IFERROR(VLOOKUP($J589,'Informations sur les produits'!$A$3:$H$10000,8,FALSE),"0")</f>
        <v>0</v>
      </c>
      <c r="N589" s="8"/>
      <c r="O589" s="33" t="str">
        <f>IFERROR(VLOOKUP($M589,'Informations sur les produits'!$A$3:$H$10000,8,FALSE),"0")</f>
        <v>0</v>
      </c>
      <c r="P589" s="33">
        <f t="shared" si="36"/>
        <v>0</v>
      </c>
      <c r="Q589" s="31" t="str">
        <f t="shared" si="37"/>
        <v/>
      </c>
      <c r="R589" s="32" t="str">
        <f>IFERROR(VLOOKUP($D589,'Informations sur les produits'!$A$3:$B$15000,2,FALSE),"")</f>
        <v/>
      </c>
      <c r="V589">
        <f t="shared" si="38"/>
        <v>0</v>
      </c>
      <c r="W589">
        <f t="shared" si="39"/>
        <v>0</v>
      </c>
    </row>
    <row r="590" spans="5:23" x14ac:dyDescent="0.25">
      <c r="E590" s="4"/>
      <c r="F590" s="4"/>
      <c r="G590" s="33" t="str">
        <f>IFERROR(VLOOKUP($D590,'Informations sur les produits'!$A$3:$H$10000,8,FALSE),"0")</f>
        <v>0</v>
      </c>
      <c r="K590" s="4"/>
      <c r="L590" s="33" t="str">
        <f>IFERROR(VLOOKUP($J590,'Informations sur les produits'!$A$3:$H$10000,8,FALSE),"0")</f>
        <v>0</v>
      </c>
      <c r="N590" s="8"/>
      <c r="O590" s="33" t="str">
        <f>IFERROR(VLOOKUP($M590,'Informations sur les produits'!$A$3:$H$10000,8,FALSE),"0")</f>
        <v>0</v>
      </c>
      <c r="P590" s="33">
        <f t="shared" si="36"/>
        <v>0</v>
      </c>
      <c r="Q590" s="31" t="str">
        <f t="shared" si="37"/>
        <v/>
      </c>
      <c r="R590" s="32" t="str">
        <f>IFERROR(VLOOKUP($D590,'Informations sur les produits'!$A$3:$B$15000,2,FALSE),"")</f>
        <v/>
      </c>
      <c r="V590">
        <f t="shared" si="38"/>
        <v>0</v>
      </c>
      <c r="W590">
        <f t="shared" si="39"/>
        <v>0</v>
      </c>
    </row>
    <row r="591" spans="5:23" x14ac:dyDescent="0.25">
      <c r="E591" s="4"/>
      <c r="F591" s="4"/>
      <c r="G591" s="33" t="str">
        <f>IFERROR(VLOOKUP($D591,'Informations sur les produits'!$A$3:$H$10000,8,FALSE),"0")</f>
        <v>0</v>
      </c>
      <c r="K591" s="4"/>
      <c r="L591" s="33" t="str">
        <f>IFERROR(VLOOKUP($J591,'Informations sur les produits'!$A$3:$H$10000,8,FALSE),"0")</f>
        <v>0</v>
      </c>
      <c r="N591" s="8"/>
      <c r="O591" s="33" t="str">
        <f>IFERROR(VLOOKUP($M591,'Informations sur les produits'!$A$3:$H$10000,8,FALSE),"0")</f>
        <v>0</v>
      </c>
      <c r="P591" s="33">
        <f t="shared" si="36"/>
        <v>0</v>
      </c>
      <c r="Q591" s="31" t="str">
        <f t="shared" si="37"/>
        <v/>
      </c>
      <c r="R591" s="32" t="str">
        <f>IFERROR(VLOOKUP($D591,'Informations sur les produits'!$A$3:$B$15000,2,FALSE),"")</f>
        <v/>
      </c>
      <c r="V591">
        <f t="shared" si="38"/>
        <v>0</v>
      </c>
      <c r="W591">
        <f t="shared" si="39"/>
        <v>0</v>
      </c>
    </row>
    <row r="592" spans="5:23" x14ac:dyDescent="0.25">
      <c r="E592" s="4"/>
      <c r="F592" s="4"/>
      <c r="G592" s="33" t="str">
        <f>IFERROR(VLOOKUP($D592,'Informations sur les produits'!$A$3:$H$10000,8,FALSE),"0")</f>
        <v>0</v>
      </c>
      <c r="K592" s="4"/>
      <c r="L592" s="33" t="str">
        <f>IFERROR(VLOOKUP($J592,'Informations sur les produits'!$A$3:$H$10000,8,FALSE),"0")</f>
        <v>0</v>
      </c>
      <c r="N592" s="8"/>
      <c r="O592" s="33" t="str">
        <f>IFERROR(VLOOKUP($M592,'Informations sur les produits'!$A$3:$H$10000,8,FALSE),"0")</f>
        <v>0</v>
      </c>
      <c r="P592" s="33">
        <f t="shared" si="36"/>
        <v>0</v>
      </c>
      <c r="Q592" s="31" t="str">
        <f t="shared" si="37"/>
        <v/>
      </c>
      <c r="R592" s="32" t="str">
        <f>IFERROR(VLOOKUP($D592,'Informations sur les produits'!$A$3:$B$15000,2,FALSE),"")</f>
        <v/>
      </c>
      <c r="V592">
        <f t="shared" si="38"/>
        <v>0</v>
      </c>
      <c r="W592">
        <f t="shared" si="39"/>
        <v>0</v>
      </c>
    </row>
    <row r="593" spans="5:23" x14ac:dyDescent="0.25">
      <c r="E593" s="4"/>
      <c r="F593" s="4"/>
      <c r="G593" s="33" t="str">
        <f>IFERROR(VLOOKUP($D593,'Informations sur les produits'!$A$3:$H$10000,8,FALSE),"0")</f>
        <v>0</v>
      </c>
      <c r="K593" s="4"/>
      <c r="L593" s="33" t="str">
        <f>IFERROR(VLOOKUP($J593,'Informations sur les produits'!$A$3:$H$10000,8,FALSE),"0")</f>
        <v>0</v>
      </c>
      <c r="N593" s="8"/>
      <c r="O593" s="33" t="str">
        <f>IFERROR(VLOOKUP($M593,'Informations sur les produits'!$A$3:$H$10000,8,FALSE),"0")</f>
        <v>0</v>
      </c>
      <c r="P593" s="33">
        <f t="shared" si="36"/>
        <v>0</v>
      </c>
      <c r="Q593" s="31" t="str">
        <f t="shared" si="37"/>
        <v/>
      </c>
      <c r="R593" s="32" t="str">
        <f>IFERROR(VLOOKUP($D593,'Informations sur les produits'!$A$3:$B$15000,2,FALSE),"")</f>
        <v/>
      </c>
      <c r="V593">
        <f t="shared" si="38"/>
        <v>0</v>
      </c>
      <c r="W593">
        <f t="shared" si="39"/>
        <v>0</v>
      </c>
    </row>
    <row r="594" spans="5:23" x14ac:dyDescent="0.25">
      <c r="E594" s="4"/>
      <c r="F594" s="4"/>
      <c r="G594" s="33" t="str">
        <f>IFERROR(VLOOKUP($D594,'Informations sur les produits'!$A$3:$H$10000,8,FALSE),"0")</f>
        <v>0</v>
      </c>
      <c r="K594" s="4"/>
      <c r="L594" s="33" t="str">
        <f>IFERROR(VLOOKUP($J594,'Informations sur les produits'!$A$3:$H$10000,8,FALSE),"0")</f>
        <v>0</v>
      </c>
      <c r="N594" s="8"/>
      <c r="O594" s="33" t="str">
        <f>IFERROR(VLOOKUP($M594,'Informations sur les produits'!$A$3:$H$10000,8,FALSE),"0")</f>
        <v>0</v>
      </c>
      <c r="P594" s="33">
        <f t="shared" si="36"/>
        <v>0</v>
      </c>
      <c r="Q594" s="31" t="str">
        <f t="shared" si="37"/>
        <v/>
      </c>
      <c r="R594" s="32" t="str">
        <f>IFERROR(VLOOKUP($D594,'Informations sur les produits'!$A$3:$B$15000,2,FALSE),"")</f>
        <v/>
      </c>
      <c r="V594">
        <f t="shared" si="38"/>
        <v>0</v>
      </c>
      <c r="W594">
        <f t="shared" si="39"/>
        <v>0</v>
      </c>
    </row>
    <row r="595" spans="5:23" x14ac:dyDescent="0.25">
      <c r="E595" s="4"/>
      <c r="F595" s="4"/>
      <c r="G595" s="33" t="str">
        <f>IFERROR(VLOOKUP($D595,'Informations sur les produits'!$A$3:$H$10000,8,FALSE),"0")</f>
        <v>0</v>
      </c>
      <c r="K595" s="4"/>
      <c r="L595" s="33" t="str">
        <f>IFERROR(VLOOKUP($J595,'Informations sur les produits'!$A$3:$H$10000,8,FALSE),"0")</f>
        <v>0</v>
      </c>
      <c r="N595" s="8"/>
      <c r="O595" s="33" t="str">
        <f>IFERROR(VLOOKUP($M595,'Informations sur les produits'!$A$3:$H$10000,8,FALSE),"0")</f>
        <v>0</v>
      </c>
      <c r="P595" s="33">
        <f t="shared" si="36"/>
        <v>0</v>
      </c>
      <c r="Q595" s="31" t="str">
        <f t="shared" si="37"/>
        <v/>
      </c>
      <c r="R595" s="32" t="str">
        <f>IFERROR(VLOOKUP($D595,'Informations sur les produits'!$A$3:$B$15000,2,FALSE),"")</f>
        <v/>
      </c>
      <c r="V595">
        <f t="shared" si="38"/>
        <v>0</v>
      </c>
      <c r="W595">
        <f t="shared" si="39"/>
        <v>0</v>
      </c>
    </row>
    <row r="596" spans="5:23" x14ac:dyDescent="0.25">
      <c r="E596" s="4"/>
      <c r="F596" s="4"/>
      <c r="G596" s="33" t="str">
        <f>IFERROR(VLOOKUP($D596,'Informations sur les produits'!$A$3:$H$10000,8,FALSE),"0")</f>
        <v>0</v>
      </c>
      <c r="K596" s="4"/>
      <c r="L596" s="33" t="str">
        <f>IFERROR(VLOOKUP($J596,'Informations sur les produits'!$A$3:$H$10000,8,FALSE),"0")</f>
        <v>0</v>
      </c>
      <c r="N596" s="8"/>
      <c r="O596" s="33" t="str">
        <f>IFERROR(VLOOKUP($M596,'Informations sur les produits'!$A$3:$H$10000,8,FALSE),"0")</f>
        <v>0</v>
      </c>
      <c r="P596" s="33">
        <f t="shared" si="36"/>
        <v>0</v>
      </c>
      <c r="Q596" s="31" t="str">
        <f t="shared" si="37"/>
        <v/>
      </c>
      <c r="R596" s="32" t="str">
        <f>IFERROR(VLOOKUP($D596,'Informations sur les produits'!$A$3:$B$15000,2,FALSE),"")</f>
        <v/>
      </c>
      <c r="V596">
        <f t="shared" si="38"/>
        <v>0</v>
      </c>
      <c r="W596">
        <f t="shared" si="39"/>
        <v>0</v>
      </c>
    </row>
    <row r="597" spans="5:23" x14ac:dyDescent="0.25">
      <c r="E597" s="4"/>
      <c r="F597" s="4"/>
      <c r="G597" s="33" t="str">
        <f>IFERROR(VLOOKUP($D597,'Informations sur les produits'!$A$3:$H$10000,8,FALSE),"0")</f>
        <v>0</v>
      </c>
      <c r="K597" s="4"/>
      <c r="L597" s="33" t="str">
        <f>IFERROR(VLOOKUP($J597,'Informations sur les produits'!$A$3:$H$10000,8,FALSE),"0")</f>
        <v>0</v>
      </c>
      <c r="N597" s="8"/>
      <c r="O597" s="33" t="str">
        <f>IFERROR(VLOOKUP($M597,'Informations sur les produits'!$A$3:$H$10000,8,FALSE),"0")</f>
        <v>0</v>
      </c>
      <c r="P597" s="33">
        <f t="shared" si="36"/>
        <v>0</v>
      </c>
      <c r="Q597" s="31" t="str">
        <f t="shared" si="37"/>
        <v/>
      </c>
      <c r="R597" s="32" t="str">
        <f>IFERROR(VLOOKUP($D597,'Informations sur les produits'!$A$3:$B$15000,2,FALSE),"")</f>
        <v/>
      </c>
      <c r="V597">
        <f t="shared" si="38"/>
        <v>0</v>
      </c>
      <c r="W597">
        <f t="shared" si="39"/>
        <v>0</v>
      </c>
    </row>
    <row r="598" spans="5:23" x14ac:dyDescent="0.25">
      <c r="E598" s="4"/>
      <c r="F598" s="4"/>
      <c r="G598" s="33" t="str">
        <f>IFERROR(VLOOKUP($D598,'Informations sur les produits'!$A$3:$H$10000,8,FALSE),"0")</f>
        <v>0</v>
      </c>
      <c r="K598" s="4"/>
      <c r="L598" s="33" t="str">
        <f>IFERROR(VLOOKUP($J598,'Informations sur les produits'!$A$3:$H$10000,8,FALSE),"0")</f>
        <v>0</v>
      </c>
      <c r="N598" s="8"/>
      <c r="O598" s="33" t="str">
        <f>IFERROR(VLOOKUP($M598,'Informations sur les produits'!$A$3:$H$10000,8,FALSE),"0")</f>
        <v>0</v>
      </c>
      <c r="P598" s="33">
        <f t="shared" si="36"/>
        <v>0</v>
      </c>
      <c r="Q598" s="31" t="str">
        <f t="shared" si="37"/>
        <v/>
      </c>
      <c r="R598" s="32" t="str">
        <f>IFERROR(VLOOKUP($D598,'Informations sur les produits'!$A$3:$B$15000,2,FALSE),"")</f>
        <v/>
      </c>
      <c r="V598">
        <f t="shared" si="38"/>
        <v>0</v>
      </c>
      <c r="W598">
        <f t="shared" si="39"/>
        <v>0</v>
      </c>
    </row>
    <row r="599" spans="5:23" x14ac:dyDescent="0.25">
      <c r="E599" s="4"/>
      <c r="F599" s="4"/>
      <c r="G599" s="33" t="str">
        <f>IFERROR(VLOOKUP($D599,'Informations sur les produits'!$A$3:$H$10000,8,FALSE),"0")</f>
        <v>0</v>
      </c>
      <c r="K599" s="4"/>
      <c r="L599" s="33" t="str">
        <f>IFERROR(VLOOKUP($J599,'Informations sur les produits'!$A$3:$H$10000,8,FALSE),"0")</f>
        <v>0</v>
      </c>
      <c r="N599" s="8"/>
      <c r="O599" s="33" t="str">
        <f>IFERROR(VLOOKUP($M599,'Informations sur les produits'!$A$3:$H$10000,8,FALSE),"0")</f>
        <v>0</v>
      </c>
      <c r="P599" s="33">
        <f t="shared" si="36"/>
        <v>0</v>
      </c>
      <c r="Q599" s="31" t="str">
        <f t="shared" si="37"/>
        <v/>
      </c>
      <c r="R599" s="32" t="str">
        <f>IFERROR(VLOOKUP($D599,'Informations sur les produits'!$A$3:$B$15000,2,FALSE),"")</f>
        <v/>
      </c>
      <c r="V599">
        <f t="shared" si="38"/>
        <v>0</v>
      </c>
      <c r="W599">
        <f t="shared" si="39"/>
        <v>0</v>
      </c>
    </row>
    <row r="600" spans="5:23" x14ac:dyDescent="0.25">
      <c r="E600" s="4"/>
      <c r="F600" s="4"/>
      <c r="G600" s="33" t="str">
        <f>IFERROR(VLOOKUP($D600,'Informations sur les produits'!$A$3:$H$10000,8,FALSE),"0")</f>
        <v>0</v>
      </c>
      <c r="K600" s="4"/>
      <c r="L600" s="33" t="str">
        <f>IFERROR(VLOOKUP($J600,'Informations sur les produits'!$A$3:$H$10000,8,FALSE),"0")</f>
        <v>0</v>
      </c>
      <c r="N600" s="8"/>
      <c r="O600" s="33" t="str">
        <f>IFERROR(VLOOKUP($M600,'Informations sur les produits'!$A$3:$H$10000,8,FALSE),"0")</f>
        <v>0</v>
      </c>
      <c r="P600" s="33">
        <f t="shared" si="36"/>
        <v>0</v>
      </c>
      <c r="Q600" s="31" t="str">
        <f t="shared" si="37"/>
        <v/>
      </c>
      <c r="R600" s="32" t="str">
        <f>IFERROR(VLOOKUP($D600,'Informations sur les produits'!$A$3:$B$15000,2,FALSE),"")</f>
        <v/>
      </c>
      <c r="V600">
        <f t="shared" si="38"/>
        <v>0</v>
      </c>
      <c r="W600">
        <f t="shared" si="39"/>
        <v>0</v>
      </c>
    </row>
    <row r="601" spans="5:23" x14ac:dyDescent="0.25">
      <c r="E601" s="4"/>
      <c r="F601" s="4"/>
      <c r="G601" s="33" t="str">
        <f>IFERROR(VLOOKUP($D601,'Informations sur les produits'!$A$3:$H$10000,8,FALSE),"0")</f>
        <v>0</v>
      </c>
      <c r="K601" s="4"/>
      <c r="L601" s="33" t="str">
        <f>IFERROR(VLOOKUP($J601,'Informations sur les produits'!$A$3:$H$10000,8,FALSE),"0")</f>
        <v>0</v>
      </c>
      <c r="N601" s="8"/>
      <c r="O601" s="33" t="str">
        <f>IFERROR(VLOOKUP($M601,'Informations sur les produits'!$A$3:$H$10000,8,FALSE),"0")</f>
        <v>0</v>
      </c>
      <c r="P601" s="33">
        <f t="shared" si="36"/>
        <v>0</v>
      </c>
      <c r="Q601" s="31" t="str">
        <f t="shared" si="37"/>
        <v/>
      </c>
      <c r="R601" s="32" t="str">
        <f>IFERROR(VLOOKUP($D601,'Informations sur les produits'!$A$3:$B$15000,2,FALSE),"")</f>
        <v/>
      </c>
      <c r="V601">
        <f t="shared" si="38"/>
        <v>0</v>
      </c>
      <c r="W601">
        <f t="shared" si="39"/>
        <v>0</v>
      </c>
    </row>
    <row r="602" spans="5:23" x14ac:dyDescent="0.25">
      <c r="E602" s="4"/>
      <c r="F602" s="4"/>
      <c r="G602" s="33" t="str">
        <f>IFERROR(VLOOKUP($D602,'Informations sur les produits'!$A$3:$H$10000,8,FALSE),"0")</f>
        <v>0</v>
      </c>
      <c r="K602" s="4"/>
      <c r="L602" s="33" t="str">
        <f>IFERROR(VLOOKUP($J602,'Informations sur les produits'!$A$3:$H$10000,8,FALSE),"0")</f>
        <v>0</v>
      </c>
      <c r="N602" s="8"/>
      <c r="O602" s="33" t="str">
        <f>IFERROR(VLOOKUP($M602,'Informations sur les produits'!$A$3:$H$10000,8,FALSE),"0")</f>
        <v>0</v>
      </c>
      <c r="P602" s="33">
        <f t="shared" si="36"/>
        <v>0</v>
      </c>
      <c r="Q602" s="31" t="str">
        <f t="shared" si="37"/>
        <v/>
      </c>
      <c r="R602" s="32" t="str">
        <f>IFERROR(VLOOKUP($D602,'Informations sur les produits'!$A$3:$B$15000,2,FALSE),"")</f>
        <v/>
      </c>
      <c r="V602">
        <f t="shared" si="38"/>
        <v>0</v>
      </c>
      <c r="W602">
        <f t="shared" si="39"/>
        <v>0</v>
      </c>
    </row>
    <row r="603" spans="5:23" x14ac:dyDescent="0.25">
      <c r="E603" s="4"/>
      <c r="F603" s="4"/>
      <c r="G603" s="33" t="str">
        <f>IFERROR(VLOOKUP($D603,'Informations sur les produits'!$A$3:$H$10000,8,FALSE),"0")</f>
        <v>0</v>
      </c>
      <c r="K603" s="4"/>
      <c r="L603" s="33" t="str">
        <f>IFERROR(VLOOKUP($J603,'Informations sur les produits'!$A$3:$H$10000,8,FALSE),"0")</f>
        <v>0</v>
      </c>
      <c r="N603" s="8"/>
      <c r="O603" s="33" t="str">
        <f>IFERROR(VLOOKUP($M603,'Informations sur les produits'!$A$3:$H$10000,8,FALSE),"0")</f>
        <v>0</v>
      </c>
      <c r="P603" s="33">
        <f t="shared" si="36"/>
        <v>0</v>
      </c>
      <c r="Q603" s="31" t="str">
        <f t="shared" si="37"/>
        <v/>
      </c>
      <c r="R603" s="32" t="str">
        <f>IFERROR(VLOOKUP($D603,'Informations sur les produits'!$A$3:$B$15000,2,FALSE),"")</f>
        <v/>
      </c>
      <c r="V603">
        <f t="shared" si="38"/>
        <v>0</v>
      </c>
      <c r="W603">
        <f t="shared" si="39"/>
        <v>0</v>
      </c>
    </row>
    <row r="604" spans="5:23" x14ac:dyDescent="0.25">
      <c r="E604" s="4"/>
      <c r="F604" s="4"/>
      <c r="G604" s="33" t="str">
        <f>IFERROR(VLOOKUP($D604,'Informations sur les produits'!$A$3:$H$10000,8,FALSE),"0")</f>
        <v>0</v>
      </c>
      <c r="K604" s="4"/>
      <c r="L604" s="33" t="str">
        <f>IFERROR(VLOOKUP($J604,'Informations sur les produits'!$A$3:$H$10000,8,FALSE),"0")</f>
        <v>0</v>
      </c>
      <c r="N604" s="8"/>
      <c r="O604" s="33" t="str">
        <f>IFERROR(VLOOKUP($M604,'Informations sur les produits'!$A$3:$H$10000,8,FALSE),"0")</f>
        <v>0</v>
      </c>
      <c r="P604" s="33">
        <f t="shared" si="36"/>
        <v>0</v>
      </c>
      <c r="Q604" s="31" t="str">
        <f t="shared" si="37"/>
        <v/>
      </c>
      <c r="R604" s="32" t="str">
        <f>IFERROR(VLOOKUP($D604,'Informations sur les produits'!$A$3:$B$15000,2,FALSE),"")</f>
        <v/>
      </c>
      <c r="V604">
        <f t="shared" si="38"/>
        <v>0</v>
      </c>
      <c r="W604">
        <f t="shared" si="39"/>
        <v>0</v>
      </c>
    </row>
    <row r="605" spans="5:23" x14ac:dyDescent="0.25">
      <c r="E605" s="4"/>
      <c r="F605" s="4"/>
      <c r="G605" s="33" t="str">
        <f>IFERROR(VLOOKUP($D605,'Informations sur les produits'!$A$3:$H$10000,8,FALSE),"0")</f>
        <v>0</v>
      </c>
      <c r="K605" s="4"/>
      <c r="L605" s="33" t="str">
        <f>IFERROR(VLOOKUP($J605,'Informations sur les produits'!$A$3:$H$10000,8,FALSE),"0")</f>
        <v>0</v>
      </c>
      <c r="N605" s="8"/>
      <c r="O605" s="33" t="str">
        <f>IFERROR(VLOOKUP($M605,'Informations sur les produits'!$A$3:$H$10000,8,FALSE),"0")</f>
        <v>0</v>
      </c>
      <c r="P605" s="33">
        <f t="shared" si="36"/>
        <v>0</v>
      </c>
      <c r="Q605" s="31" t="str">
        <f t="shared" si="37"/>
        <v/>
      </c>
      <c r="R605" s="32" t="str">
        <f>IFERROR(VLOOKUP($D605,'Informations sur les produits'!$A$3:$B$15000,2,FALSE),"")</f>
        <v/>
      </c>
      <c r="V605">
        <f t="shared" si="38"/>
        <v>0</v>
      </c>
      <c r="W605">
        <f t="shared" si="39"/>
        <v>0</v>
      </c>
    </row>
    <row r="606" spans="5:23" x14ac:dyDescent="0.25">
      <c r="E606" s="4"/>
      <c r="F606" s="4"/>
      <c r="G606" s="33" t="str">
        <f>IFERROR(VLOOKUP($D606,'Informations sur les produits'!$A$3:$H$10000,8,FALSE),"0")</f>
        <v>0</v>
      </c>
      <c r="K606" s="4"/>
      <c r="L606" s="33" t="str">
        <f>IFERROR(VLOOKUP($J606,'Informations sur les produits'!$A$3:$H$10000,8,FALSE),"0")</f>
        <v>0</v>
      </c>
      <c r="N606" s="8"/>
      <c r="O606" s="33" t="str">
        <f>IFERROR(VLOOKUP($M606,'Informations sur les produits'!$A$3:$H$10000,8,FALSE),"0")</f>
        <v>0</v>
      </c>
      <c r="P606" s="33">
        <f t="shared" si="36"/>
        <v>0</v>
      </c>
      <c r="Q606" s="31" t="str">
        <f t="shared" si="37"/>
        <v/>
      </c>
      <c r="R606" s="32" t="str">
        <f>IFERROR(VLOOKUP($D606,'Informations sur les produits'!$A$3:$B$15000,2,FALSE),"")</f>
        <v/>
      </c>
      <c r="V606">
        <f t="shared" si="38"/>
        <v>0</v>
      </c>
      <c r="W606">
        <f t="shared" si="39"/>
        <v>0</v>
      </c>
    </row>
    <row r="607" spans="5:23" x14ac:dyDescent="0.25">
      <c r="E607" s="4"/>
      <c r="F607" s="4"/>
      <c r="G607" s="33" t="str">
        <f>IFERROR(VLOOKUP($D607,'Informations sur les produits'!$A$3:$H$10000,8,FALSE),"0")</f>
        <v>0</v>
      </c>
      <c r="K607" s="4"/>
      <c r="L607" s="33" t="str">
        <f>IFERROR(VLOOKUP($J607,'Informations sur les produits'!$A$3:$H$10000,8,FALSE),"0")</f>
        <v>0</v>
      </c>
      <c r="N607" s="8"/>
      <c r="O607" s="33" t="str">
        <f>IFERROR(VLOOKUP($M607,'Informations sur les produits'!$A$3:$H$10000,8,FALSE),"0")</f>
        <v>0</v>
      </c>
      <c r="P607" s="33">
        <f t="shared" si="36"/>
        <v>0</v>
      </c>
      <c r="Q607" s="31" t="str">
        <f t="shared" si="37"/>
        <v/>
      </c>
      <c r="R607" s="32" t="str">
        <f>IFERROR(VLOOKUP($D607,'Informations sur les produits'!$A$3:$B$15000,2,FALSE),"")</f>
        <v/>
      </c>
      <c r="V607">
        <f t="shared" si="38"/>
        <v>0</v>
      </c>
      <c r="W607">
        <f t="shared" si="39"/>
        <v>0</v>
      </c>
    </row>
    <row r="608" spans="5:23" x14ac:dyDescent="0.25">
      <c r="E608" s="4"/>
      <c r="F608" s="4"/>
      <c r="G608" s="33" t="str">
        <f>IFERROR(VLOOKUP($D608,'Informations sur les produits'!$A$3:$H$10000,8,FALSE),"0")</f>
        <v>0</v>
      </c>
      <c r="K608" s="4"/>
      <c r="L608" s="33" t="str">
        <f>IFERROR(VLOOKUP($J608,'Informations sur les produits'!$A$3:$H$10000,8,FALSE),"0")</f>
        <v>0</v>
      </c>
      <c r="N608" s="8"/>
      <c r="O608" s="33" t="str">
        <f>IFERROR(VLOOKUP($M608,'Informations sur les produits'!$A$3:$H$10000,8,FALSE),"0")</f>
        <v>0</v>
      </c>
      <c r="P608" s="33">
        <f t="shared" si="36"/>
        <v>0</v>
      </c>
      <c r="Q608" s="31" t="str">
        <f t="shared" si="37"/>
        <v/>
      </c>
      <c r="R608" s="32" t="str">
        <f>IFERROR(VLOOKUP($D608,'Informations sur les produits'!$A$3:$B$15000,2,FALSE),"")</f>
        <v/>
      </c>
      <c r="V608">
        <f t="shared" si="38"/>
        <v>0</v>
      </c>
      <c r="W608">
        <f t="shared" si="39"/>
        <v>0</v>
      </c>
    </row>
    <row r="609" spans="5:23" x14ac:dyDescent="0.25">
      <c r="E609" s="4"/>
      <c r="F609" s="4"/>
      <c r="G609" s="33" t="str">
        <f>IFERROR(VLOOKUP($D609,'Informations sur les produits'!$A$3:$H$10000,8,FALSE),"0")</f>
        <v>0</v>
      </c>
      <c r="K609" s="4"/>
      <c r="L609" s="33" t="str">
        <f>IFERROR(VLOOKUP($J609,'Informations sur les produits'!$A$3:$H$10000,8,FALSE),"0")</f>
        <v>0</v>
      </c>
      <c r="N609" s="8"/>
      <c r="O609" s="33" t="str">
        <f>IFERROR(VLOOKUP($M609,'Informations sur les produits'!$A$3:$H$10000,8,FALSE),"0")</f>
        <v>0</v>
      </c>
      <c r="P609" s="33">
        <f t="shared" si="36"/>
        <v>0</v>
      </c>
      <c r="Q609" s="31" t="str">
        <f t="shared" si="37"/>
        <v/>
      </c>
      <c r="R609" s="32" t="str">
        <f>IFERROR(VLOOKUP($D609,'Informations sur les produits'!$A$3:$B$15000,2,FALSE),"")</f>
        <v/>
      </c>
      <c r="V609">
        <f t="shared" si="38"/>
        <v>0</v>
      </c>
      <c r="W609">
        <f t="shared" si="39"/>
        <v>0</v>
      </c>
    </row>
    <row r="610" spans="5:23" x14ac:dyDescent="0.25">
      <c r="E610" s="4"/>
      <c r="F610" s="4"/>
      <c r="G610" s="33" t="str">
        <f>IFERROR(VLOOKUP($D610,'Informations sur les produits'!$A$3:$H$10000,8,FALSE),"0")</f>
        <v>0</v>
      </c>
      <c r="K610" s="4"/>
      <c r="L610" s="33" t="str">
        <f>IFERROR(VLOOKUP($J610,'Informations sur les produits'!$A$3:$H$10000,8,FALSE),"0")</f>
        <v>0</v>
      </c>
      <c r="N610" s="8"/>
      <c r="O610" s="33" t="str">
        <f>IFERROR(VLOOKUP($M610,'Informations sur les produits'!$A$3:$H$10000,8,FALSE),"0")</f>
        <v>0</v>
      </c>
      <c r="P610" s="33">
        <f t="shared" si="36"/>
        <v>0</v>
      </c>
      <c r="Q610" s="31" t="str">
        <f t="shared" si="37"/>
        <v/>
      </c>
      <c r="R610" s="32" t="str">
        <f>IFERROR(VLOOKUP($D610,'Informations sur les produits'!$A$3:$B$15000,2,FALSE),"")</f>
        <v/>
      </c>
      <c r="V610">
        <f t="shared" si="38"/>
        <v>0</v>
      </c>
      <c r="W610">
        <f t="shared" si="39"/>
        <v>0</v>
      </c>
    </row>
    <row r="611" spans="5:23" x14ac:dyDescent="0.25">
      <c r="E611" s="4"/>
      <c r="F611" s="4"/>
      <c r="G611" s="33" t="str">
        <f>IFERROR(VLOOKUP($D611,'Informations sur les produits'!$A$3:$H$10000,8,FALSE),"0")</f>
        <v>0</v>
      </c>
      <c r="K611" s="4"/>
      <c r="L611" s="33" t="str">
        <f>IFERROR(VLOOKUP($J611,'Informations sur les produits'!$A$3:$H$10000,8,FALSE),"0")</f>
        <v>0</v>
      </c>
      <c r="N611" s="8"/>
      <c r="O611" s="33" t="str">
        <f>IFERROR(VLOOKUP($M611,'Informations sur les produits'!$A$3:$H$10000,8,FALSE),"0")</f>
        <v>0</v>
      </c>
      <c r="P611" s="33">
        <f t="shared" si="36"/>
        <v>0</v>
      </c>
      <c r="Q611" s="31" t="str">
        <f t="shared" si="37"/>
        <v/>
      </c>
      <c r="R611" s="32" t="str">
        <f>IFERROR(VLOOKUP($D611,'Informations sur les produits'!$A$3:$B$15000,2,FALSE),"")</f>
        <v/>
      </c>
      <c r="V611">
        <f t="shared" si="38"/>
        <v>0</v>
      </c>
      <c r="W611">
        <f t="shared" si="39"/>
        <v>0</v>
      </c>
    </row>
    <row r="612" spans="5:23" x14ac:dyDescent="0.25">
      <c r="E612" s="4"/>
      <c r="F612" s="4"/>
      <c r="G612" s="33" t="str">
        <f>IFERROR(VLOOKUP($D612,'Informations sur les produits'!$A$3:$H$10000,8,FALSE),"0")</f>
        <v>0</v>
      </c>
      <c r="K612" s="4"/>
      <c r="L612" s="33" t="str">
        <f>IFERROR(VLOOKUP($J612,'Informations sur les produits'!$A$3:$H$10000,8,FALSE),"0")</f>
        <v>0</v>
      </c>
      <c r="N612" s="8"/>
      <c r="O612" s="33" t="str">
        <f>IFERROR(VLOOKUP($M612,'Informations sur les produits'!$A$3:$H$10000,8,FALSE),"0")</f>
        <v>0</v>
      </c>
      <c r="P612" s="33">
        <f t="shared" si="36"/>
        <v>0</v>
      </c>
      <c r="Q612" s="31" t="str">
        <f t="shared" si="37"/>
        <v/>
      </c>
      <c r="R612" s="32" t="str">
        <f>IFERROR(VLOOKUP($D612,'Informations sur les produits'!$A$3:$B$15000,2,FALSE),"")</f>
        <v/>
      </c>
      <c r="V612">
        <f t="shared" si="38"/>
        <v>0</v>
      </c>
      <c r="W612">
        <f t="shared" si="39"/>
        <v>0</v>
      </c>
    </row>
    <row r="613" spans="5:23" x14ac:dyDescent="0.25">
      <c r="E613" s="4"/>
      <c r="F613" s="4"/>
      <c r="G613" s="33" t="str">
        <f>IFERROR(VLOOKUP($D613,'Informations sur les produits'!$A$3:$H$10000,8,FALSE),"0")</f>
        <v>0</v>
      </c>
      <c r="K613" s="4"/>
      <c r="L613" s="33" t="str">
        <f>IFERROR(VLOOKUP($J613,'Informations sur les produits'!$A$3:$H$10000,8,FALSE),"0")</f>
        <v>0</v>
      </c>
      <c r="N613" s="8"/>
      <c r="O613" s="33" t="str">
        <f>IFERROR(VLOOKUP($M613,'Informations sur les produits'!$A$3:$H$10000,8,FALSE),"0")</f>
        <v>0</v>
      </c>
      <c r="P613" s="33">
        <f t="shared" si="36"/>
        <v>0</v>
      </c>
      <c r="Q613" s="31" t="str">
        <f t="shared" si="37"/>
        <v/>
      </c>
      <c r="R613" s="32" t="str">
        <f>IFERROR(VLOOKUP($D613,'Informations sur les produits'!$A$3:$B$15000,2,FALSE),"")</f>
        <v/>
      </c>
      <c r="V613">
        <f t="shared" si="38"/>
        <v>0</v>
      </c>
      <c r="W613">
        <f t="shared" si="39"/>
        <v>0</v>
      </c>
    </row>
    <row r="614" spans="5:23" x14ac:dyDescent="0.25">
      <c r="E614" s="4"/>
      <c r="F614" s="4"/>
      <c r="G614" s="33" t="str">
        <f>IFERROR(VLOOKUP($D614,'Informations sur les produits'!$A$3:$H$10000,8,FALSE),"0")</f>
        <v>0</v>
      </c>
      <c r="K614" s="4"/>
      <c r="L614" s="33" t="str">
        <f>IFERROR(VLOOKUP($J614,'Informations sur les produits'!$A$3:$H$10000,8,FALSE),"0")</f>
        <v>0</v>
      </c>
      <c r="N614" s="8"/>
      <c r="O614" s="33" t="str">
        <f>IFERROR(VLOOKUP($M614,'Informations sur les produits'!$A$3:$H$10000,8,FALSE),"0")</f>
        <v>0</v>
      </c>
      <c r="P614" s="33">
        <f t="shared" si="36"/>
        <v>0</v>
      </c>
      <c r="Q614" s="31" t="str">
        <f t="shared" si="37"/>
        <v/>
      </c>
      <c r="R614" s="32" t="str">
        <f>IFERROR(VLOOKUP($D614,'Informations sur les produits'!$A$3:$B$15000,2,FALSE),"")</f>
        <v/>
      </c>
      <c r="V614">
        <f t="shared" si="38"/>
        <v>0</v>
      </c>
      <c r="W614">
        <f t="shared" si="39"/>
        <v>0</v>
      </c>
    </row>
    <row r="615" spans="5:23" x14ac:dyDescent="0.25">
      <c r="E615" s="4"/>
      <c r="F615" s="4"/>
      <c r="G615" s="33" t="str">
        <f>IFERROR(VLOOKUP($D615,'Informations sur les produits'!$A$3:$H$10000,8,FALSE),"0")</f>
        <v>0</v>
      </c>
      <c r="K615" s="4"/>
      <c r="L615" s="33" t="str">
        <f>IFERROR(VLOOKUP($J615,'Informations sur les produits'!$A$3:$H$10000,8,FALSE),"0")</f>
        <v>0</v>
      </c>
      <c r="N615" s="8"/>
      <c r="O615" s="33" t="str">
        <f>IFERROR(VLOOKUP($M615,'Informations sur les produits'!$A$3:$H$10000,8,FALSE),"0")</f>
        <v>0</v>
      </c>
      <c r="P615" s="33">
        <f t="shared" si="36"/>
        <v>0</v>
      </c>
      <c r="Q615" s="31" t="str">
        <f t="shared" si="37"/>
        <v/>
      </c>
      <c r="R615" s="32" t="str">
        <f>IFERROR(VLOOKUP($D615,'Informations sur les produits'!$A$3:$B$15000,2,FALSE),"")</f>
        <v/>
      </c>
      <c r="V615">
        <f t="shared" si="38"/>
        <v>0</v>
      </c>
      <c r="W615">
        <f t="shared" si="39"/>
        <v>0</v>
      </c>
    </row>
    <row r="616" spans="5:23" x14ac:dyDescent="0.25">
      <c r="E616" s="4"/>
      <c r="F616" s="4"/>
      <c r="G616" s="33" t="str">
        <f>IFERROR(VLOOKUP($D616,'Informations sur les produits'!$A$3:$H$10000,8,FALSE),"0")</f>
        <v>0</v>
      </c>
      <c r="K616" s="4"/>
      <c r="L616" s="33" t="str">
        <f>IFERROR(VLOOKUP($J616,'Informations sur les produits'!$A$3:$H$10000,8,FALSE),"0")</f>
        <v>0</v>
      </c>
      <c r="N616" s="8"/>
      <c r="O616" s="33" t="str">
        <f>IFERROR(VLOOKUP($M616,'Informations sur les produits'!$A$3:$H$10000,8,FALSE),"0")</f>
        <v>0</v>
      </c>
      <c r="P616" s="33">
        <f t="shared" si="36"/>
        <v>0</v>
      </c>
      <c r="Q616" s="31" t="str">
        <f t="shared" si="37"/>
        <v/>
      </c>
      <c r="R616" s="32" t="str">
        <f>IFERROR(VLOOKUP($D616,'Informations sur les produits'!$A$3:$B$15000,2,FALSE),"")</f>
        <v/>
      </c>
      <c r="V616">
        <f t="shared" si="38"/>
        <v>0</v>
      </c>
      <c r="W616">
        <f t="shared" si="39"/>
        <v>0</v>
      </c>
    </row>
    <row r="617" spans="5:23" x14ac:dyDescent="0.25">
      <c r="E617" s="4"/>
      <c r="F617" s="4"/>
      <c r="G617" s="33" t="str">
        <f>IFERROR(VLOOKUP($D617,'Informations sur les produits'!$A$3:$H$10000,8,FALSE),"0")</f>
        <v>0</v>
      </c>
      <c r="K617" s="4"/>
      <c r="L617" s="33" t="str">
        <f>IFERROR(VLOOKUP($J617,'Informations sur les produits'!$A$3:$H$10000,8,FALSE),"0")</f>
        <v>0</v>
      </c>
      <c r="N617" s="8"/>
      <c r="O617" s="33" t="str">
        <f>IFERROR(VLOOKUP($M617,'Informations sur les produits'!$A$3:$H$10000,8,FALSE),"0")</f>
        <v>0</v>
      </c>
      <c r="P617" s="33">
        <f t="shared" si="36"/>
        <v>0</v>
      </c>
      <c r="Q617" s="31" t="str">
        <f t="shared" si="37"/>
        <v/>
      </c>
      <c r="R617" s="32" t="str">
        <f>IFERROR(VLOOKUP($D617,'Informations sur les produits'!$A$3:$B$15000,2,FALSE),"")</f>
        <v/>
      </c>
      <c r="V617">
        <f t="shared" si="38"/>
        <v>0</v>
      </c>
      <c r="W617">
        <f t="shared" si="39"/>
        <v>0</v>
      </c>
    </row>
    <row r="618" spans="5:23" x14ac:dyDescent="0.25">
      <c r="E618" s="4"/>
      <c r="F618" s="4"/>
      <c r="G618" s="33" t="str">
        <f>IFERROR(VLOOKUP($D618,'Informations sur les produits'!$A$3:$H$10000,8,FALSE),"0")</f>
        <v>0</v>
      </c>
      <c r="K618" s="4"/>
      <c r="L618" s="33" t="str">
        <f>IFERROR(VLOOKUP($J618,'Informations sur les produits'!$A$3:$H$10000,8,FALSE),"0")</f>
        <v>0</v>
      </c>
      <c r="N618" s="8"/>
      <c r="O618" s="33" t="str">
        <f>IFERROR(VLOOKUP($M618,'Informations sur les produits'!$A$3:$H$10000,8,FALSE),"0")</f>
        <v>0</v>
      </c>
      <c r="P618" s="33">
        <f t="shared" si="36"/>
        <v>0</v>
      </c>
      <c r="Q618" s="31" t="str">
        <f t="shared" si="37"/>
        <v/>
      </c>
      <c r="R618" s="32" t="str">
        <f>IFERROR(VLOOKUP($D618,'Informations sur les produits'!$A$3:$B$15000,2,FALSE),"")</f>
        <v/>
      </c>
      <c r="V618">
        <f t="shared" si="38"/>
        <v>0</v>
      </c>
      <c r="W618">
        <f t="shared" si="39"/>
        <v>0</v>
      </c>
    </row>
    <row r="619" spans="5:23" x14ac:dyDescent="0.25">
      <c r="E619" s="4"/>
      <c r="F619" s="4"/>
      <c r="G619" s="33" t="str">
        <f>IFERROR(VLOOKUP($D619,'Informations sur les produits'!$A$3:$H$10000,8,FALSE),"0")</f>
        <v>0</v>
      </c>
      <c r="K619" s="4"/>
      <c r="L619" s="33" t="str">
        <f>IFERROR(VLOOKUP($J619,'Informations sur les produits'!$A$3:$H$10000,8,FALSE),"0")</f>
        <v>0</v>
      </c>
      <c r="N619" s="8"/>
      <c r="O619" s="33" t="str">
        <f>IFERROR(VLOOKUP($M619,'Informations sur les produits'!$A$3:$H$10000,8,FALSE),"0")</f>
        <v>0</v>
      </c>
      <c r="P619" s="33">
        <f t="shared" si="36"/>
        <v>0</v>
      </c>
      <c r="Q619" s="31" t="str">
        <f t="shared" si="37"/>
        <v/>
      </c>
      <c r="R619" s="32" t="str">
        <f>IFERROR(VLOOKUP($D619,'Informations sur les produits'!$A$3:$B$15000,2,FALSE),"")</f>
        <v/>
      </c>
      <c r="V619">
        <f t="shared" si="38"/>
        <v>0</v>
      </c>
      <c r="W619">
        <f t="shared" si="39"/>
        <v>0</v>
      </c>
    </row>
    <row r="620" spans="5:23" x14ac:dyDescent="0.25">
      <c r="E620" s="4"/>
      <c r="F620" s="4"/>
      <c r="G620" s="33" t="str">
        <f>IFERROR(VLOOKUP($D620,'Informations sur les produits'!$A$3:$H$10000,8,FALSE),"0")</f>
        <v>0</v>
      </c>
      <c r="K620" s="4"/>
      <c r="L620" s="33" t="str">
        <f>IFERROR(VLOOKUP($J620,'Informations sur les produits'!$A$3:$H$10000,8,FALSE),"0")</f>
        <v>0</v>
      </c>
      <c r="N620" s="8"/>
      <c r="O620" s="33" t="str">
        <f>IFERROR(VLOOKUP($M620,'Informations sur les produits'!$A$3:$H$10000,8,FALSE),"0")</f>
        <v>0</v>
      </c>
      <c r="P620" s="33">
        <f t="shared" si="36"/>
        <v>0</v>
      </c>
      <c r="Q620" s="31" t="str">
        <f t="shared" si="37"/>
        <v/>
      </c>
      <c r="R620" s="32" t="str">
        <f>IFERROR(VLOOKUP($D620,'Informations sur les produits'!$A$3:$B$15000,2,FALSE),"")</f>
        <v/>
      </c>
      <c r="V620">
        <f t="shared" si="38"/>
        <v>0</v>
      </c>
      <c r="W620">
        <f t="shared" si="39"/>
        <v>0</v>
      </c>
    </row>
    <row r="621" spans="5:23" x14ac:dyDescent="0.25">
      <c r="E621" s="4"/>
      <c r="F621" s="4"/>
      <c r="G621" s="33" t="str">
        <f>IFERROR(VLOOKUP($D621,'Informations sur les produits'!$A$3:$H$10000,8,FALSE),"0")</f>
        <v>0</v>
      </c>
      <c r="K621" s="4"/>
      <c r="L621" s="33" t="str">
        <f>IFERROR(VLOOKUP($J621,'Informations sur les produits'!$A$3:$H$10000,8,FALSE),"0")</f>
        <v>0</v>
      </c>
      <c r="N621" s="8"/>
      <c r="O621" s="33" t="str">
        <f>IFERROR(VLOOKUP($M621,'Informations sur les produits'!$A$3:$H$10000,8,FALSE),"0")</f>
        <v>0</v>
      </c>
      <c r="P621" s="33">
        <f t="shared" si="36"/>
        <v>0</v>
      </c>
      <c r="Q621" s="31" t="str">
        <f t="shared" si="37"/>
        <v/>
      </c>
      <c r="R621" s="32" t="str">
        <f>IFERROR(VLOOKUP($D621,'Informations sur les produits'!$A$3:$B$15000,2,FALSE),"")</f>
        <v/>
      </c>
      <c r="V621">
        <f t="shared" si="38"/>
        <v>0</v>
      </c>
      <c r="W621">
        <f t="shared" si="39"/>
        <v>0</v>
      </c>
    </row>
    <row r="622" spans="5:23" x14ac:dyDescent="0.25">
      <c r="E622" s="4"/>
      <c r="F622" s="4"/>
      <c r="G622" s="33" t="str">
        <f>IFERROR(VLOOKUP($D622,'Informations sur les produits'!$A$3:$H$10000,8,FALSE),"0")</f>
        <v>0</v>
      </c>
      <c r="K622" s="4"/>
      <c r="L622" s="33" t="str">
        <f>IFERROR(VLOOKUP($J622,'Informations sur les produits'!$A$3:$H$10000,8,FALSE),"0")</f>
        <v>0</v>
      </c>
      <c r="N622" s="8"/>
      <c r="O622" s="33" t="str">
        <f>IFERROR(VLOOKUP($M622,'Informations sur les produits'!$A$3:$H$10000,8,FALSE),"0")</f>
        <v>0</v>
      </c>
      <c r="P622" s="33">
        <f t="shared" si="36"/>
        <v>0</v>
      </c>
      <c r="Q622" s="31" t="str">
        <f t="shared" si="37"/>
        <v/>
      </c>
      <c r="R622" s="32" t="str">
        <f>IFERROR(VLOOKUP($D622,'Informations sur les produits'!$A$3:$B$15000,2,FALSE),"")</f>
        <v/>
      </c>
      <c r="V622">
        <f t="shared" si="38"/>
        <v>0</v>
      </c>
      <c r="W622">
        <f t="shared" si="39"/>
        <v>0</v>
      </c>
    </row>
    <row r="623" spans="5:23" x14ac:dyDescent="0.25">
      <c r="E623" s="4"/>
      <c r="F623" s="4"/>
      <c r="G623" s="33" t="str">
        <f>IFERROR(VLOOKUP($D623,'Informations sur les produits'!$A$3:$H$10000,8,FALSE),"0")</f>
        <v>0</v>
      </c>
      <c r="K623" s="4"/>
      <c r="L623" s="33" t="str">
        <f>IFERROR(VLOOKUP($J623,'Informations sur les produits'!$A$3:$H$10000,8,FALSE),"0")</f>
        <v>0</v>
      </c>
      <c r="N623" s="8"/>
      <c r="O623" s="33" t="str">
        <f>IFERROR(VLOOKUP($M623,'Informations sur les produits'!$A$3:$H$10000,8,FALSE),"0")</f>
        <v>0</v>
      </c>
      <c r="P623" s="33">
        <f t="shared" si="36"/>
        <v>0</v>
      </c>
      <c r="Q623" s="31" t="str">
        <f t="shared" si="37"/>
        <v/>
      </c>
      <c r="R623" s="32" t="str">
        <f>IFERROR(VLOOKUP($D623,'Informations sur les produits'!$A$3:$B$15000,2,FALSE),"")</f>
        <v/>
      </c>
      <c r="V623">
        <f t="shared" si="38"/>
        <v>0</v>
      </c>
      <c r="W623">
        <f t="shared" si="39"/>
        <v>0</v>
      </c>
    </row>
    <row r="624" spans="5:23" x14ac:dyDescent="0.25">
      <c r="E624" s="4"/>
      <c r="F624" s="4"/>
      <c r="G624" s="33" t="str">
        <f>IFERROR(VLOOKUP($D624,'Informations sur les produits'!$A$3:$H$10000,8,FALSE),"0")</f>
        <v>0</v>
      </c>
      <c r="K624" s="4"/>
      <c r="L624" s="33" t="str">
        <f>IFERROR(VLOOKUP($J624,'Informations sur les produits'!$A$3:$H$10000,8,FALSE),"0")</f>
        <v>0</v>
      </c>
      <c r="N624" s="8"/>
      <c r="O624" s="33" t="str">
        <f>IFERROR(VLOOKUP($M624,'Informations sur les produits'!$A$3:$H$10000,8,FALSE),"0")</f>
        <v>0</v>
      </c>
      <c r="P624" s="33">
        <f t="shared" si="36"/>
        <v>0</v>
      </c>
      <c r="Q624" s="31" t="str">
        <f t="shared" si="37"/>
        <v/>
      </c>
      <c r="R624" s="32" t="str">
        <f>IFERROR(VLOOKUP($D624,'Informations sur les produits'!$A$3:$B$15000,2,FALSE),"")</f>
        <v/>
      </c>
      <c r="V624">
        <f t="shared" si="38"/>
        <v>0</v>
      </c>
      <c r="W624">
        <f t="shared" si="39"/>
        <v>0</v>
      </c>
    </row>
    <row r="625" spans="5:23" x14ac:dyDescent="0.25">
      <c r="E625" s="4"/>
      <c r="F625" s="4"/>
      <c r="G625" s="33" t="str">
        <f>IFERROR(VLOOKUP($D625,'Informations sur les produits'!$A$3:$H$10000,8,FALSE),"0")</f>
        <v>0</v>
      </c>
      <c r="K625" s="4"/>
      <c r="L625" s="33" t="str">
        <f>IFERROR(VLOOKUP($J625,'Informations sur les produits'!$A$3:$H$10000,8,FALSE),"0")</f>
        <v>0</v>
      </c>
      <c r="N625" s="8"/>
      <c r="O625" s="33" t="str">
        <f>IFERROR(VLOOKUP($M625,'Informations sur les produits'!$A$3:$H$10000,8,FALSE),"0")</f>
        <v>0</v>
      </c>
      <c r="P625" s="33">
        <f t="shared" si="36"/>
        <v>0</v>
      </c>
      <c r="Q625" s="31" t="str">
        <f t="shared" si="37"/>
        <v/>
      </c>
      <c r="R625" s="32" t="str">
        <f>IFERROR(VLOOKUP($D625,'Informations sur les produits'!$A$3:$B$15000,2,FALSE),"")</f>
        <v/>
      </c>
      <c r="V625">
        <f t="shared" si="38"/>
        <v>0</v>
      </c>
      <c r="W625">
        <f t="shared" si="39"/>
        <v>0</v>
      </c>
    </row>
    <row r="626" spans="5:23" x14ac:dyDescent="0.25">
      <c r="E626" s="4"/>
      <c r="F626" s="4"/>
      <c r="G626" s="33" t="str">
        <f>IFERROR(VLOOKUP($D626,'Informations sur les produits'!$A$3:$H$10000,8,FALSE),"0")</f>
        <v>0</v>
      </c>
      <c r="K626" s="4"/>
      <c r="L626" s="33" t="str">
        <f>IFERROR(VLOOKUP($J626,'Informations sur les produits'!$A$3:$H$10000,8,FALSE),"0")</f>
        <v>0</v>
      </c>
      <c r="N626" s="8"/>
      <c r="O626" s="33" t="str">
        <f>IFERROR(VLOOKUP($M626,'Informations sur les produits'!$A$3:$H$10000,8,FALSE),"0")</f>
        <v>0</v>
      </c>
      <c r="P626" s="33">
        <f t="shared" si="36"/>
        <v>0</v>
      </c>
      <c r="Q626" s="31" t="str">
        <f t="shared" si="37"/>
        <v/>
      </c>
      <c r="R626" s="32" t="str">
        <f>IFERROR(VLOOKUP($D626,'Informations sur les produits'!$A$3:$B$15000,2,FALSE),"")</f>
        <v/>
      </c>
      <c r="V626">
        <f t="shared" si="38"/>
        <v>0</v>
      </c>
      <c r="W626">
        <f t="shared" si="39"/>
        <v>0</v>
      </c>
    </row>
    <row r="627" spans="5:23" x14ac:dyDescent="0.25">
      <c r="E627" s="4"/>
      <c r="F627" s="4"/>
      <c r="G627" s="33" t="str">
        <f>IFERROR(VLOOKUP($D627,'Informations sur les produits'!$A$3:$H$10000,8,FALSE),"0")</f>
        <v>0</v>
      </c>
      <c r="K627" s="4"/>
      <c r="L627" s="33" t="str">
        <f>IFERROR(VLOOKUP($J627,'Informations sur les produits'!$A$3:$H$10000,8,FALSE),"0")</f>
        <v>0</v>
      </c>
      <c r="N627" s="8"/>
      <c r="O627" s="33" t="str">
        <f>IFERROR(VLOOKUP($M627,'Informations sur les produits'!$A$3:$H$10000,8,FALSE),"0")</f>
        <v>0</v>
      </c>
      <c r="P627" s="33">
        <f t="shared" si="36"/>
        <v>0</v>
      </c>
      <c r="Q627" s="31" t="str">
        <f t="shared" si="37"/>
        <v/>
      </c>
      <c r="R627" s="32" t="str">
        <f>IFERROR(VLOOKUP($D627,'Informations sur les produits'!$A$3:$B$15000,2,FALSE),"")</f>
        <v/>
      </c>
      <c r="V627">
        <f t="shared" si="38"/>
        <v>0</v>
      </c>
      <c r="W627">
        <f t="shared" si="39"/>
        <v>0</v>
      </c>
    </row>
    <row r="628" spans="5:23" x14ac:dyDescent="0.25">
      <c r="E628" s="4"/>
      <c r="F628" s="4"/>
      <c r="G628" s="33" t="str">
        <f>IFERROR(VLOOKUP($D628,'Informations sur les produits'!$A$3:$H$10000,8,FALSE),"0")</f>
        <v>0</v>
      </c>
      <c r="K628" s="4"/>
      <c r="L628" s="33" t="str">
        <f>IFERROR(VLOOKUP($J628,'Informations sur les produits'!$A$3:$H$10000,8,FALSE),"0")</f>
        <v>0</v>
      </c>
      <c r="N628" s="8"/>
      <c r="O628" s="33" t="str">
        <f>IFERROR(VLOOKUP($M628,'Informations sur les produits'!$A$3:$H$10000,8,FALSE),"0")</f>
        <v>0</v>
      </c>
      <c r="P628" s="33">
        <f t="shared" si="36"/>
        <v>0</v>
      </c>
      <c r="Q628" s="31" t="str">
        <f t="shared" si="37"/>
        <v/>
      </c>
      <c r="R628" s="32" t="str">
        <f>IFERROR(VLOOKUP($D628,'Informations sur les produits'!$A$3:$B$15000,2,FALSE),"")</f>
        <v/>
      </c>
      <c r="V628">
        <f t="shared" si="38"/>
        <v>0</v>
      </c>
      <c r="W628">
        <f t="shared" si="39"/>
        <v>0</v>
      </c>
    </row>
    <row r="629" spans="5:23" x14ac:dyDescent="0.25">
      <c r="E629" s="4"/>
      <c r="F629" s="4"/>
      <c r="G629" s="33" t="str">
        <f>IFERROR(VLOOKUP($D629,'Informations sur les produits'!$A$3:$H$10000,8,FALSE),"0")</f>
        <v>0</v>
      </c>
      <c r="K629" s="4"/>
      <c r="L629" s="33" t="str">
        <f>IFERROR(VLOOKUP($J629,'Informations sur les produits'!$A$3:$H$10000,8,FALSE),"0")</f>
        <v>0</v>
      </c>
      <c r="N629" s="8"/>
      <c r="O629" s="33" t="str">
        <f>IFERROR(VLOOKUP($M629,'Informations sur les produits'!$A$3:$H$10000,8,FALSE),"0")</f>
        <v>0</v>
      </c>
      <c r="P629" s="33">
        <f t="shared" si="36"/>
        <v>0</v>
      </c>
      <c r="Q629" s="31" t="str">
        <f t="shared" si="37"/>
        <v/>
      </c>
      <c r="R629" s="32" t="str">
        <f>IFERROR(VLOOKUP($D629,'Informations sur les produits'!$A$3:$B$15000,2,FALSE),"")</f>
        <v/>
      </c>
      <c r="V629">
        <f t="shared" si="38"/>
        <v>0</v>
      </c>
      <c r="W629">
        <f t="shared" si="39"/>
        <v>0</v>
      </c>
    </row>
    <row r="630" spans="5:23" x14ac:dyDescent="0.25">
      <c r="E630" s="4"/>
      <c r="F630" s="4"/>
      <c r="G630" s="33" t="str">
        <f>IFERROR(VLOOKUP($D630,'Informations sur les produits'!$A$3:$H$10000,8,FALSE),"0")</f>
        <v>0</v>
      </c>
      <c r="K630" s="4"/>
      <c r="L630" s="33" t="str">
        <f>IFERROR(VLOOKUP($J630,'Informations sur les produits'!$A$3:$H$10000,8,FALSE),"0")</f>
        <v>0</v>
      </c>
      <c r="N630" s="8"/>
      <c r="O630" s="33" t="str">
        <f>IFERROR(VLOOKUP($M630,'Informations sur les produits'!$A$3:$H$10000,8,FALSE),"0")</f>
        <v>0</v>
      </c>
      <c r="P630" s="33">
        <f t="shared" si="36"/>
        <v>0</v>
      </c>
      <c r="Q630" s="31" t="str">
        <f t="shared" si="37"/>
        <v/>
      </c>
      <c r="R630" s="32" t="str">
        <f>IFERROR(VLOOKUP($D630,'Informations sur les produits'!$A$3:$B$15000,2,FALSE),"")</f>
        <v/>
      </c>
      <c r="V630">
        <f t="shared" si="38"/>
        <v>0</v>
      </c>
      <c r="W630">
        <f t="shared" si="39"/>
        <v>0</v>
      </c>
    </row>
    <row r="631" spans="5:23" x14ac:dyDescent="0.25">
      <c r="E631" s="4"/>
      <c r="F631" s="4"/>
      <c r="G631" s="33" t="str">
        <f>IFERROR(VLOOKUP($D631,'Informations sur les produits'!$A$3:$H$10000,8,FALSE),"0")</f>
        <v>0</v>
      </c>
      <c r="K631" s="4"/>
      <c r="L631" s="33" t="str">
        <f>IFERROR(VLOOKUP($J631,'Informations sur les produits'!$A$3:$H$10000,8,FALSE),"0")</f>
        <v>0</v>
      </c>
      <c r="N631" s="8"/>
      <c r="O631" s="33" t="str">
        <f>IFERROR(VLOOKUP($M631,'Informations sur les produits'!$A$3:$H$10000,8,FALSE),"0")</f>
        <v>0</v>
      </c>
      <c r="P631" s="33">
        <f t="shared" si="36"/>
        <v>0</v>
      </c>
      <c r="Q631" s="31" t="str">
        <f t="shared" si="37"/>
        <v/>
      </c>
      <c r="R631" s="32" t="str">
        <f>IFERROR(VLOOKUP($D631,'Informations sur les produits'!$A$3:$B$15000,2,FALSE),"")</f>
        <v/>
      </c>
      <c r="V631">
        <f t="shared" si="38"/>
        <v>0</v>
      </c>
      <c r="W631">
        <f t="shared" si="39"/>
        <v>0</v>
      </c>
    </row>
    <row r="632" spans="5:23" x14ac:dyDescent="0.25">
      <c r="E632" s="4"/>
      <c r="F632" s="4"/>
      <c r="G632" s="33" t="str">
        <f>IFERROR(VLOOKUP($D632,'Informations sur les produits'!$A$3:$H$10000,8,FALSE),"0")</f>
        <v>0</v>
      </c>
      <c r="K632" s="4"/>
      <c r="L632" s="33" t="str">
        <f>IFERROR(VLOOKUP($J632,'Informations sur les produits'!$A$3:$H$10000,8,FALSE),"0")</f>
        <v>0</v>
      </c>
      <c r="N632" s="8"/>
      <c r="O632" s="33" t="str">
        <f>IFERROR(VLOOKUP($M632,'Informations sur les produits'!$A$3:$H$10000,8,FALSE),"0")</f>
        <v>0</v>
      </c>
      <c r="P632" s="33">
        <f t="shared" si="36"/>
        <v>0</v>
      </c>
      <c r="Q632" s="31" t="str">
        <f t="shared" si="37"/>
        <v/>
      </c>
      <c r="R632" s="32" t="str">
        <f>IFERROR(VLOOKUP($D632,'Informations sur les produits'!$A$3:$B$15000,2,FALSE),"")</f>
        <v/>
      </c>
      <c r="V632">
        <f t="shared" si="38"/>
        <v>0</v>
      </c>
      <c r="W632">
        <f t="shared" si="39"/>
        <v>0</v>
      </c>
    </row>
    <row r="633" spans="5:23" x14ac:dyDescent="0.25">
      <c r="E633" s="4"/>
      <c r="F633" s="4"/>
      <c r="G633" s="33" t="str">
        <f>IFERROR(VLOOKUP($D633,'Informations sur les produits'!$A$3:$H$10000,8,FALSE),"0")</f>
        <v>0</v>
      </c>
      <c r="K633" s="4"/>
      <c r="L633" s="33" t="str">
        <f>IFERROR(VLOOKUP($J633,'Informations sur les produits'!$A$3:$H$10000,8,FALSE),"0")</f>
        <v>0</v>
      </c>
      <c r="N633" s="8"/>
      <c r="O633" s="33" t="str">
        <f>IFERROR(VLOOKUP($M633,'Informations sur les produits'!$A$3:$H$10000,8,FALSE),"0")</f>
        <v>0</v>
      </c>
      <c r="P633" s="33">
        <f t="shared" si="36"/>
        <v>0</v>
      </c>
      <c r="Q633" s="31" t="str">
        <f t="shared" si="37"/>
        <v/>
      </c>
      <c r="R633" s="32" t="str">
        <f>IFERROR(VLOOKUP($D633,'Informations sur les produits'!$A$3:$B$15000,2,FALSE),"")</f>
        <v/>
      </c>
      <c r="V633">
        <f t="shared" si="38"/>
        <v>0</v>
      </c>
      <c r="W633">
        <f t="shared" si="39"/>
        <v>0</v>
      </c>
    </row>
    <row r="634" spans="5:23" x14ac:dyDescent="0.25">
      <c r="E634" s="4"/>
      <c r="F634" s="4"/>
      <c r="G634" s="33" t="str">
        <f>IFERROR(VLOOKUP($D634,'Informations sur les produits'!$A$3:$H$10000,8,FALSE),"0")</f>
        <v>0</v>
      </c>
      <c r="K634" s="4"/>
      <c r="L634" s="33" t="str">
        <f>IFERROR(VLOOKUP($J634,'Informations sur les produits'!$A$3:$H$10000,8,FALSE),"0")</f>
        <v>0</v>
      </c>
      <c r="N634" s="8"/>
      <c r="O634" s="33" t="str">
        <f>IFERROR(VLOOKUP($M634,'Informations sur les produits'!$A$3:$H$10000,8,FALSE),"0")</f>
        <v>0</v>
      </c>
      <c r="P634" s="33">
        <f t="shared" si="36"/>
        <v>0</v>
      </c>
      <c r="Q634" s="31" t="str">
        <f t="shared" si="37"/>
        <v/>
      </c>
      <c r="R634" s="32" t="str">
        <f>IFERROR(VLOOKUP($D634,'Informations sur les produits'!$A$3:$B$15000,2,FALSE),"")</f>
        <v/>
      </c>
      <c r="V634">
        <f t="shared" si="38"/>
        <v>0</v>
      </c>
      <c r="W634">
        <f t="shared" si="39"/>
        <v>0</v>
      </c>
    </row>
    <row r="635" spans="5:23" x14ac:dyDescent="0.25">
      <c r="E635" s="4"/>
      <c r="F635" s="4"/>
      <c r="G635" s="33" t="str">
        <f>IFERROR(VLOOKUP($D635,'Informations sur les produits'!$A$3:$H$10000,8,FALSE),"0")</f>
        <v>0</v>
      </c>
      <c r="K635" s="4"/>
      <c r="L635" s="33" t="str">
        <f>IFERROR(VLOOKUP($J635,'Informations sur les produits'!$A$3:$H$10000,8,FALSE),"0")</f>
        <v>0</v>
      </c>
      <c r="N635" s="8"/>
      <c r="O635" s="33" t="str">
        <f>IFERROR(VLOOKUP($M635,'Informations sur les produits'!$A$3:$H$10000,8,FALSE),"0")</f>
        <v>0</v>
      </c>
      <c r="P635" s="33">
        <f t="shared" si="36"/>
        <v>0</v>
      </c>
      <c r="Q635" s="31" t="str">
        <f t="shared" si="37"/>
        <v/>
      </c>
      <c r="R635" s="32" t="str">
        <f>IFERROR(VLOOKUP($D635,'Informations sur les produits'!$A$3:$B$15000,2,FALSE),"")</f>
        <v/>
      </c>
      <c r="V635">
        <f t="shared" si="38"/>
        <v>0</v>
      </c>
      <c r="W635">
        <f t="shared" si="39"/>
        <v>0</v>
      </c>
    </row>
    <row r="636" spans="5:23" x14ac:dyDescent="0.25">
      <c r="E636" s="4"/>
      <c r="F636" s="4"/>
      <c r="G636" s="33" t="str">
        <f>IFERROR(VLOOKUP($D636,'Informations sur les produits'!$A$3:$H$10000,8,FALSE),"0")</f>
        <v>0</v>
      </c>
      <c r="K636" s="4"/>
      <c r="L636" s="33" t="str">
        <f>IFERROR(VLOOKUP($J636,'Informations sur les produits'!$A$3:$H$10000,8,FALSE),"0")</f>
        <v>0</v>
      </c>
      <c r="N636" s="8"/>
      <c r="O636" s="33" t="str">
        <f>IFERROR(VLOOKUP($M636,'Informations sur les produits'!$A$3:$H$10000,8,FALSE),"0")</f>
        <v>0</v>
      </c>
      <c r="P636" s="33">
        <f t="shared" si="36"/>
        <v>0</v>
      </c>
      <c r="Q636" s="31" t="str">
        <f t="shared" si="37"/>
        <v/>
      </c>
      <c r="R636" s="32" t="str">
        <f>IFERROR(VLOOKUP($D636,'Informations sur les produits'!$A$3:$B$15000,2,FALSE),"")</f>
        <v/>
      </c>
      <c r="V636">
        <f t="shared" si="38"/>
        <v>0</v>
      </c>
      <c r="W636">
        <f t="shared" si="39"/>
        <v>0</v>
      </c>
    </row>
    <row r="637" spans="5:23" x14ac:dyDescent="0.25">
      <c r="E637" s="4"/>
      <c r="F637" s="4"/>
      <c r="G637" s="33" t="str">
        <f>IFERROR(VLOOKUP($D637,'Informations sur les produits'!$A$3:$H$10000,8,FALSE),"0")</f>
        <v>0</v>
      </c>
      <c r="K637" s="4"/>
      <c r="L637" s="33" t="str">
        <f>IFERROR(VLOOKUP($J637,'Informations sur les produits'!$A$3:$H$10000,8,FALSE),"0")</f>
        <v>0</v>
      </c>
      <c r="N637" s="8"/>
      <c r="O637" s="33" t="str">
        <f>IFERROR(VLOOKUP($M637,'Informations sur les produits'!$A$3:$H$10000,8,FALSE),"0")</f>
        <v>0</v>
      </c>
      <c r="P637" s="33">
        <f t="shared" si="36"/>
        <v>0</v>
      </c>
      <c r="Q637" s="31" t="str">
        <f t="shared" si="37"/>
        <v/>
      </c>
      <c r="R637" s="32" t="str">
        <f>IFERROR(VLOOKUP($D637,'Informations sur les produits'!$A$3:$B$15000,2,FALSE),"")</f>
        <v/>
      </c>
      <c r="V637">
        <f t="shared" si="38"/>
        <v>0</v>
      </c>
      <c r="W637">
        <f t="shared" si="39"/>
        <v>0</v>
      </c>
    </row>
    <row r="638" spans="5:23" x14ac:dyDescent="0.25">
      <c r="E638" s="4"/>
      <c r="F638" s="4"/>
      <c r="G638" s="33" t="str">
        <f>IFERROR(VLOOKUP($D638,'Informations sur les produits'!$A$3:$H$10000,8,FALSE),"0")</f>
        <v>0</v>
      </c>
      <c r="K638" s="4"/>
      <c r="L638" s="33" t="str">
        <f>IFERROR(VLOOKUP($J638,'Informations sur les produits'!$A$3:$H$10000,8,FALSE),"0")</f>
        <v>0</v>
      </c>
      <c r="N638" s="8"/>
      <c r="O638" s="33" t="str">
        <f>IFERROR(VLOOKUP($M638,'Informations sur les produits'!$A$3:$H$10000,8,FALSE),"0")</f>
        <v>0</v>
      </c>
      <c r="P638" s="33">
        <f t="shared" si="36"/>
        <v>0</v>
      </c>
      <c r="Q638" s="31" t="str">
        <f t="shared" si="37"/>
        <v/>
      </c>
      <c r="R638" s="32" t="str">
        <f>IFERROR(VLOOKUP($D638,'Informations sur les produits'!$A$3:$B$15000,2,FALSE),"")</f>
        <v/>
      </c>
      <c r="V638">
        <f t="shared" si="38"/>
        <v>0</v>
      </c>
      <c r="W638">
        <f t="shared" si="39"/>
        <v>0</v>
      </c>
    </row>
    <row r="639" spans="5:23" x14ac:dyDescent="0.25">
      <c r="E639" s="4"/>
      <c r="F639" s="4"/>
      <c r="G639" s="33" t="str">
        <f>IFERROR(VLOOKUP($D639,'Informations sur les produits'!$A$3:$H$10000,8,FALSE),"0")</f>
        <v>0</v>
      </c>
      <c r="K639" s="4"/>
      <c r="L639" s="33" t="str">
        <f>IFERROR(VLOOKUP($J639,'Informations sur les produits'!$A$3:$H$10000,8,FALSE),"0")</f>
        <v>0</v>
      </c>
      <c r="N639" s="8"/>
      <c r="O639" s="33" t="str">
        <f>IFERROR(VLOOKUP($M639,'Informations sur les produits'!$A$3:$H$10000,8,FALSE),"0")</f>
        <v>0</v>
      </c>
      <c r="P639" s="33">
        <f t="shared" si="36"/>
        <v>0</v>
      </c>
      <c r="Q639" s="31" t="str">
        <f t="shared" si="37"/>
        <v/>
      </c>
      <c r="R639" s="32" t="str">
        <f>IFERROR(VLOOKUP($D639,'Informations sur les produits'!$A$3:$B$15000,2,FALSE),"")</f>
        <v/>
      </c>
      <c r="V639">
        <f t="shared" si="38"/>
        <v>0</v>
      </c>
      <c r="W639">
        <f t="shared" si="39"/>
        <v>0</v>
      </c>
    </row>
    <row r="640" spans="5:23" x14ac:dyDescent="0.25">
      <c r="E640" s="4"/>
      <c r="F640" s="4"/>
      <c r="G640" s="33" t="str">
        <f>IFERROR(VLOOKUP($D640,'Informations sur les produits'!$A$3:$H$10000,8,FALSE),"0")</f>
        <v>0</v>
      </c>
      <c r="K640" s="4"/>
      <c r="L640" s="33" t="str">
        <f>IFERROR(VLOOKUP($J640,'Informations sur les produits'!$A$3:$H$10000,8,FALSE),"0")</f>
        <v>0</v>
      </c>
      <c r="N640" s="8"/>
      <c r="O640" s="33" t="str">
        <f>IFERROR(VLOOKUP($M640,'Informations sur les produits'!$A$3:$H$10000,8,FALSE),"0")</f>
        <v>0</v>
      </c>
      <c r="P640" s="33">
        <f t="shared" si="36"/>
        <v>0</v>
      </c>
      <c r="Q640" s="31" t="str">
        <f t="shared" si="37"/>
        <v/>
      </c>
      <c r="R640" s="32" t="str">
        <f>IFERROR(VLOOKUP($D640,'Informations sur les produits'!$A$3:$B$15000,2,FALSE),"")</f>
        <v/>
      </c>
      <c r="V640">
        <f t="shared" si="38"/>
        <v>0</v>
      </c>
      <c r="W640">
        <f t="shared" si="39"/>
        <v>0</v>
      </c>
    </row>
    <row r="641" spans="5:23" x14ac:dyDescent="0.25">
      <c r="E641" s="4"/>
      <c r="F641" s="4"/>
      <c r="G641" s="33" t="str">
        <f>IFERROR(VLOOKUP($D641,'Informations sur les produits'!$A$3:$H$10000,8,FALSE),"0")</f>
        <v>0</v>
      </c>
      <c r="K641" s="4"/>
      <c r="L641" s="33" t="str">
        <f>IFERROR(VLOOKUP($J641,'Informations sur les produits'!$A$3:$H$10000,8,FALSE),"0")</f>
        <v>0</v>
      </c>
      <c r="N641" s="8"/>
      <c r="O641" s="33" t="str">
        <f>IFERROR(VLOOKUP($M641,'Informations sur les produits'!$A$3:$H$10000,8,FALSE),"0")</f>
        <v>0</v>
      </c>
      <c r="P641" s="33">
        <f t="shared" si="36"/>
        <v>0</v>
      </c>
      <c r="Q641" s="31" t="str">
        <f t="shared" si="37"/>
        <v/>
      </c>
      <c r="R641" s="32" t="str">
        <f>IFERROR(VLOOKUP($D641,'Informations sur les produits'!$A$3:$B$15000,2,FALSE),"")</f>
        <v/>
      </c>
      <c r="V641">
        <f t="shared" si="38"/>
        <v>0</v>
      </c>
      <c r="W641">
        <f t="shared" si="39"/>
        <v>0</v>
      </c>
    </row>
    <row r="642" spans="5:23" x14ac:dyDescent="0.25">
      <c r="E642" s="4"/>
      <c r="F642" s="4"/>
      <c r="G642" s="33" t="str">
        <f>IFERROR(VLOOKUP($D642,'Informations sur les produits'!$A$3:$H$10000,8,FALSE),"0")</f>
        <v>0</v>
      </c>
      <c r="K642" s="4"/>
      <c r="L642" s="33" t="str">
        <f>IFERROR(VLOOKUP($J642,'Informations sur les produits'!$A$3:$H$10000,8,FALSE),"0")</f>
        <v>0</v>
      </c>
      <c r="N642" s="8"/>
      <c r="O642" s="33" t="str">
        <f>IFERROR(VLOOKUP($M642,'Informations sur les produits'!$A$3:$H$10000,8,FALSE),"0")</f>
        <v>0</v>
      </c>
      <c r="P642" s="33">
        <f t="shared" si="36"/>
        <v>0</v>
      </c>
      <c r="Q642" s="31" t="str">
        <f t="shared" si="37"/>
        <v/>
      </c>
      <c r="R642" s="32" t="str">
        <f>IFERROR(VLOOKUP($D642,'Informations sur les produits'!$A$3:$B$15000,2,FALSE),"")</f>
        <v/>
      </c>
      <c r="V642">
        <f t="shared" si="38"/>
        <v>0</v>
      </c>
      <c r="W642">
        <f t="shared" si="39"/>
        <v>0</v>
      </c>
    </row>
    <row r="643" spans="5:23" x14ac:dyDescent="0.25">
      <c r="E643" s="4"/>
      <c r="F643" s="4"/>
      <c r="G643" s="33" t="str">
        <f>IFERROR(VLOOKUP($D643,'Informations sur les produits'!$A$3:$H$10000,8,FALSE),"0")</f>
        <v>0</v>
      </c>
      <c r="K643" s="4"/>
      <c r="L643" s="33" t="str">
        <f>IFERROR(VLOOKUP($J643,'Informations sur les produits'!$A$3:$H$10000,8,FALSE),"0")</f>
        <v>0</v>
      </c>
      <c r="N643" s="8"/>
      <c r="O643" s="33" t="str">
        <f>IFERROR(VLOOKUP($M643,'Informations sur les produits'!$A$3:$H$10000,8,FALSE),"0")</f>
        <v>0</v>
      </c>
      <c r="P643" s="33">
        <f t="shared" si="36"/>
        <v>0</v>
      </c>
      <c r="Q643" s="31" t="str">
        <f t="shared" si="37"/>
        <v/>
      </c>
      <c r="R643" s="32" t="str">
        <f>IFERROR(VLOOKUP($D643,'Informations sur les produits'!$A$3:$B$15000,2,FALSE),"")</f>
        <v/>
      </c>
      <c r="V643">
        <f t="shared" si="38"/>
        <v>0</v>
      </c>
      <c r="W643">
        <f t="shared" si="39"/>
        <v>0</v>
      </c>
    </row>
    <row r="644" spans="5:23" x14ac:dyDescent="0.25">
      <c r="E644" s="4"/>
      <c r="F644" s="4"/>
      <c r="G644" s="33" t="str">
        <f>IFERROR(VLOOKUP($D644,'Informations sur les produits'!$A$3:$H$10000,8,FALSE),"0")</f>
        <v>0</v>
      </c>
      <c r="K644" s="4"/>
      <c r="L644" s="33" t="str">
        <f>IFERROR(VLOOKUP($J644,'Informations sur les produits'!$A$3:$H$10000,8,FALSE),"0")</f>
        <v>0</v>
      </c>
      <c r="N644" s="8"/>
      <c r="O644" s="33" t="str">
        <f>IFERROR(VLOOKUP($M644,'Informations sur les produits'!$A$3:$H$10000,8,FALSE),"0")</f>
        <v>0</v>
      </c>
      <c r="P644" s="33">
        <f t="shared" ref="P644:P707" si="40">IFERROR((($E644-$F644)*$G644+$K644*$L644+$N644*$O644),"")</f>
        <v>0</v>
      </c>
      <c r="Q644" s="31" t="str">
        <f t="shared" ref="Q644:Q707" si="41">IFERROR((((($E644-$F644)*$G644+$K644*$L644+$N644*$O644)*1000)/(($E644-$F644)+$K644+$N644)),"")</f>
        <v/>
      </c>
      <c r="R644" s="32" t="str">
        <f>IFERROR(VLOOKUP($D644,'Informations sur les produits'!$A$3:$B$15000,2,FALSE),"")</f>
        <v/>
      </c>
      <c r="V644">
        <f t="shared" ref="V644:V707" si="42">IFERROR(P644*1000,"")</f>
        <v>0</v>
      </c>
      <c r="W644">
        <f t="shared" ref="W644:W707" si="43">IFERROR(($E644-$F644)+$K644+$N644,"")</f>
        <v>0</v>
      </c>
    </row>
    <row r="645" spans="5:23" x14ac:dyDescent="0.25">
      <c r="E645" s="4"/>
      <c r="F645" s="4"/>
      <c r="G645" s="33" t="str">
        <f>IFERROR(VLOOKUP($D645,'Informations sur les produits'!$A$3:$H$10000,8,FALSE),"0")</f>
        <v>0</v>
      </c>
      <c r="K645" s="4"/>
      <c r="L645" s="33" t="str">
        <f>IFERROR(VLOOKUP($J645,'Informations sur les produits'!$A$3:$H$10000,8,FALSE),"0")</f>
        <v>0</v>
      </c>
      <c r="N645" s="8"/>
      <c r="O645" s="33" t="str">
        <f>IFERROR(VLOOKUP($M645,'Informations sur les produits'!$A$3:$H$10000,8,FALSE),"0")</f>
        <v>0</v>
      </c>
      <c r="P645" s="33">
        <f t="shared" si="40"/>
        <v>0</v>
      </c>
      <c r="Q645" s="31" t="str">
        <f t="shared" si="41"/>
        <v/>
      </c>
      <c r="R645" s="32" t="str">
        <f>IFERROR(VLOOKUP($D645,'Informations sur les produits'!$A$3:$B$15000,2,FALSE),"")</f>
        <v/>
      </c>
      <c r="V645">
        <f t="shared" si="42"/>
        <v>0</v>
      </c>
      <c r="W645">
        <f t="shared" si="43"/>
        <v>0</v>
      </c>
    </row>
    <row r="646" spans="5:23" x14ac:dyDescent="0.25">
      <c r="E646" s="4"/>
      <c r="F646" s="4"/>
      <c r="G646" s="33" t="str">
        <f>IFERROR(VLOOKUP($D646,'Informations sur les produits'!$A$3:$H$10000,8,FALSE),"0")</f>
        <v>0</v>
      </c>
      <c r="K646" s="4"/>
      <c r="L646" s="33" t="str">
        <f>IFERROR(VLOOKUP($J646,'Informations sur les produits'!$A$3:$H$10000,8,FALSE),"0")</f>
        <v>0</v>
      </c>
      <c r="N646" s="8"/>
      <c r="O646" s="33" t="str">
        <f>IFERROR(VLOOKUP($M646,'Informations sur les produits'!$A$3:$H$10000,8,FALSE),"0")</f>
        <v>0</v>
      </c>
      <c r="P646" s="33">
        <f t="shared" si="40"/>
        <v>0</v>
      </c>
      <c r="Q646" s="31" t="str">
        <f t="shared" si="41"/>
        <v/>
      </c>
      <c r="R646" s="32" t="str">
        <f>IFERROR(VLOOKUP($D646,'Informations sur les produits'!$A$3:$B$15000,2,FALSE),"")</f>
        <v/>
      </c>
      <c r="V646">
        <f t="shared" si="42"/>
        <v>0</v>
      </c>
      <c r="W646">
        <f t="shared" si="43"/>
        <v>0</v>
      </c>
    </row>
    <row r="647" spans="5:23" x14ac:dyDescent="0.25">
      <c r="E647" s="4"/>
      <c r="F647" s="4"/>
      <c r="G647" s="33" t="str">
        <f>IFERROR(VLOOKUP($D647,'Informations sur les produits'!$A$3:$H$10000,8,FALSE),"0")</f>
        <v>0</v>
      </c>
      <c r="K647" s="4"/>
      <c r="L647" s="33" t="str">
        <f>IFERROR(VLOOKUP($J647,'Informations sur les produits'!$A$3:$H$10000,8,FALSE),"0")</f>
        <v>0</v>
      </c>
      <c r="N647" s="8"/>
      <c r="O647" s="33" t="str">
        <f>IFERROR(VLOOKUP($M647,'Informations sur les produits'!$A$3:$H$10000,8,FALSE),"0")</f>
        <v>0</v>
      </c>
      <c r="P647" s="33">
        <f t="shared" si="40"/>
        <v>0</v>
      </c>
      <c r="Q647" s="31" t="str">
        <f t="shared" si="41"/>
        <v/>
      </c>
      <c r="R647" s="32" t="str">
        <f>IFERROR(VLOOKUP($D647,'Informations sur les produits'!$A$3:$B$15000,2,FALSE),"")</f>
        <v/>
      </c>
      <c r="V647">
        <f t="shared" si="42"/>
        <v>0</v>
      </c>
      <c r="W647">
        <f t="shared" si="43"/>
        <v>0</v>
      </c>
    </row>
    <row r="648" spans="5:23" x14ac:dyDescent="0.25">
      <c r="E648" s="4"/>
      <c r="F648" s="4"/>
      <c r="G648" s="33" t="str">
        <f>IFERROR(VLOOKUP($D648,'Informations sur les produits'!$A$3:$H$10000,8,FALSE),"0")</f>
        <v>0</v>
      </c>
      <c r="K648" s="4"/>
      <c r="L648" s="33" t="str">
        <f>IFERROR(VLOOKUP($J648,'Informations sur les produits'!$A$3:$H$10000,8,FALSE),"0")</f>
        <v>0</v>
      </c>
      <c r="N648" s="8"/>
      <c r="O648" s="33" t="str">
        <f>IFERROR(VLOOKUP($M648,'Informations sur les produits'!$A$3:$H$10000,8,FALSE),"0")</f>
        <v>0</v>
      </c>
      <c r="P648" s="33">
        <f t="shared" si="40"/>
        <v>0</v>
      </c>
      <c r="Q648" s="31" t="str">
        <f t="shared" si="41"/>
        <v/>
      </c>
      <c r="R648" s="32" t="str">
        <f>IFERROR(VLOOKUP($D648,'Informations sur les produits'!$A$3:$B$15000,2,FALSE),"")</f>
        <v/>
      </c>
      <c r="V648">
        <f t="shared" si="42"/>
        <v>0</v>
      </c>
      <c r="W648">
        <f t="shared" si="43"/>
        <v>0</v>
      </c>
    </row>
    <row r="649" spans="5:23" x14ac:dyDescent="0.25">
      <c r="E649" s="4"/>
      <c r="F649" s="4"/>
      <c r="G649" s="33" t="str">
        <f>IFERROR(VLOOKUP($D649,'Informations sur les produits'!$A$3:$H$10000,8,FALSE),"0")</f>
        <v>0</v>
      </c>
      <c r="K649" s="4"/>
      <c r="L649" s="33" t="str">
        <f>IFERROR(VLOOKUP($J649,'Informations sur les produits'!$A$3:$H$10000,8,FALSE),"0")</f>
        <v>0</v>
      </c>
      <c r="N649" s="8"/>
      <c r="O649" s="33" t="str">
        <f>IFERROR(VLOOKUP($M649,'Informations sur les produits'!$A$3:$H$10000,8,FALSE),"0")</f>
        <v>0</v>
      </c>
      <c r="P649" s="33">
        <f t="shared" si="40"/>
        <v>0</v>
      </c>
      <c r="Q649" s="31" t="str">
        <f t="shared" si="41"/>
        <v/>
      </c>
      <c r="R649" s="32" t="str">
        <f>IFERROR(VLOOKUP($D649,'Informations sur les produits'!$A$3:$B$15000,2,FALSE),"")</f>
        <v/>
      </c>
      <c r="V649">
        <f t="shared" si="42"/>
        <v>0</v>
      </c>
      <c r="W649">
        <f t="shared" si="43"/>
        <v>0</v>
      </c>
    </row>
    <row r="650" spans="5:23" x14ac:dyDescent="0.25">
      <c r="E650" s="4"/>
      <c r="F650" s="4"/>
      <c r="G650" s="33" t="str">
        <f>IFERROR(VLOOKUP($D650,'Informations sur les produits'!$A$3:$H$10000,8,FALSE),"0")</f>
        <v>0</v>
      </c>
      <c r="K650" s="4"/>
      <c r="L650" s="33" t="str">
        <f>IFERROR(VLOOKUP($J650,'Informations sur les produits'!$A$3:$H$10000,8,FALSE),"0")</f>
        <v>0</v>
      </c>
      <c r="N650" s="8"/>
      <c r="O650" s="33" t="str">
        <f>IFERROR(VLOOKUP($M650,'Informations sur les produits'!$A$3:$H$10000,8,FALSE),"0")</f>
        <v>0</v>
      </c>
      <c r="P650" s="33">
        <f t="shared" si="40"/>
        <v>0</v>
      </c>
      <c r="Q650" s="31" t="str">
        <f t="shared" si="41"/>
        <v/>
      </c>
      <c r="R650" s="32" t="str">
        <f>IFERROR(VLOOKUP($D650,'Informations sur les produits'!$A$3:$B$15000,2,FALSE),"")</f>
        <v/>
      </c>
      <c r="V650">
        <f t="shared" si="42"/>
        <v>0</v>
      </c>
      <c r="W650">
        <f t="shared" si="43"/>
        <v>0</v>
      </c>
    </row>
    <row r="651" spans="5:23" x14ac:dyDescent="0.25">
      <c r="E651" s="4"/>
      <c r="F651" s="4"/>
      <c r="G651" s="33" t="str">
        <f>IFERROR(VLOOKUP($D651,'Informations sur les produits'!$A$3:$H$10000,8,FALSE),"0")</f>
        <v>0</v>
      </c>
      <c r="K651" s="4"/>
      <c r="L651" s="33" t="str">
        <f>IFERROR(VLOOKUP($J651,'Informations sur les produits'!$A$3:$H$10000,8,FALSE),"0")</f>
        <v>0</v>
      </c>
      <c r="N651" s="8"/>
      <c r="O651" s="33" t="str">
        <f>IFERROR(VLOOKUP($M651,'Informations sur les produits'!$A$3:$H$10000,8,FALSE),"0")</f>
        <v>0</v>
      </c>
      <c r="P651" s="33">
        <f t="shared" si="40"/>
        <v>0</v>
      </c>
      <c r="Q651" s="31" t="str">
        <f t="shared" si="41"/>
        <v/>
      </c>
      <c r="R651" s="32" t="str">
        <f>IFERROR(VLOOKUP($D651,'Informations sur les produits'!$A$3:$B$15000,2,FALSE),"")</f>
        <v/>
      </c>
      <c r="V651">
        <f t="shared" si="42"/>
        <v>0</v>
      </c>
      <c r="W651">
        <f t="shared" si="43"/>
        <v>0</v>
      </c>
    </row>
    <row r="652" spans="5:23" x14ac:dyDescent="0.25">
      <c r="E652" s="4"/>
      <c r="F652" s="4"/>
      <c r="G652" s="33" t="str">
        <f>IFERROR(VLOOKUP($D652,'Informations sur les produits'!$A$3:$H$10000,8,FALSE),"0")</f>
        <v>0</v>
      </c>
      <c r="K652" s="4"/>
      <c r="L652" s="33" t="str">
        <f>IFERROR(VLOOKUP($J652,'Informations sur les produits'!$A$3:$H$10000,8,FALSE),"0")</f>
        <v>0</v>
      </c>
      <c r="N652" s="8"/>
      <c r="O652" s="33" t="str">
        <f>IFERROR(VLOOKUP($M652,'Informations sur les produits'!$A$3:$H$10000,8,FALSE),"0")</f>
        <v>0</v>
      </c>
      <c r="P652" s="33">
        <f t="shared" si="40"/>
        <v>0</v>
      </c>
      <c r="Q652" s="31" t="str">
        <f t="shared" si="41"/>
        <v/>
      </c>
      <c r="R652" s="32" t="str">
        <f>IFERROR(VLOOKUP($D652,'Informations sur les produits'!$A$3:$B$15000,2,FALSE),"")</f>
        <v/>
      </c>
      <c r="V652">
        <f t="shared" si="42"/>
        <v>0</v>
      </c>
      <c r="W652">
        <f t="shared" si="43"/>
        <v>0</v>
      </c>
    </row>
    <row r="653" spans="5:23" x14ac:dyDescent="0.25">
      <c r="E653" s="4"/>
      <c r="F653" s="4"/>
      <c r="G653" s="33" t="str">
        <f>IFERROR(VLOOKUP($D653,'Informations sur les produits'!$A$3:$H$10000,8,FALSE),"0")</f>
        <v>0</v>
      </c>
      <c r="K653" s="4"/>
      <c r="L653" s="33" t="str">
        <f>IFERROR(VLOOKUP($J653,'Informations sur les produits'!$A$3:$H$10000,8,FALSE),"0")</f>
        <v>0</v>
      </c>
      <c r="N653" s="8"/>
      <c r="O653" s="33" t="str">
        <f>IFERROR(VLOOKUP($M653,'Informations sur les produits'!$A$3:$H$10000,8,FALSE),"0")</f>
        <v>0</v>
      </c>
      <c r="P653" s="33">
        <f t="shared" si="40"/>
        <v>0</v>
      </c>
      <c r="Q653" s="31" t="str">
        <f t="shared" si="41"/>
        <v/>
      </c>
      <c r="R653" s="32" t="str">
        <f>IFERROR(VLOOKUP($D653,'Informations sur les produits'!$A$3:$B$15000,2,FALSE),"")</f>
        <v/>
      </c>
      <c r="V653">
        <f t="shared" si="42"/>
        <v>0</v>
      </c>
      <c r="W653">
        <f t="shared" si="43"/>
        <v>0</v>
      </c>
    </row>
    <row r="654" spans="5:23" x14ac:dyDescent="0.25">
      <c r="E654" s="4"/>
      <c r="F654" s="4"/>
      <c r="G654" s="33" t="str">
        <f>IFERROR(VLOOKUP($D654,'Informations sur les produits'!$A$3:$H$10000,8,FALSE),"0")</f>
        <v>0</v>
      </c>
      <c r="K654" s="4"/>
      <c r="L654" s="33" t="str">
        <f>IFERROR(VLOOKUP($J654,'Informations sur les produits'!$A$3:$H$10000,8,FALSE),"0")</f>
        <v>0</v>
      </c>
      <c r="N654" s="8"/>
      <c r="O654" s="33" t="str">
        <f>IFERROR(VLOOKUP($M654,'Informations sur les produits'!$A$3:$H$10000,8,FALSE),"0")</f>
        <v>0</v>
      </c>
      <c r="P654" s="33">
        <f t="shared" si="40"/>
        <v>0</v>
      </c>
      <c r="Q654" s="31" t="str">
        <f t="shared" si="41"/>
        <v/>
      </c>
      <c r="R654" s="32" t="str">
        <f>IFERROR(VLOOKUP($D654,'Informations sur les produits'!$A$3:$B$15000,2,FALSE),"")</f>
        <v/>
      </c>
      <c r="V654">
        <f t="shared" si="42"/>
        <v>0</v>
      </c>
      <c r="W654">
        <f t="shared" si="43"/>
        <v>0</v>
      </c>
    </row>
    <row r="655" spans="5:23" x14ac:dyDescent="0.25">
      <c r="E655" s="4"/>
      <c r="F655" s="4"/>
      <c r="G655" s="33" t="str">
        <f>IFERROR(VLOOKUP($D655,'Informations sur les produits'!$A$3:$H$10000,8,FALSE),"0")</f>
        <v>0</v>
      </c>
      <c r="K655" s="4"/>
      <c r="L655" s="33" t="str">
        <f>IFERROR(VLOOKUP($J655,'Informations sur les produits'!$A$3:$H$10000,8,FALSE),"0")</f>
        <v>0</v>
      </c>
      <c r="N655" s="8"/>
      <c r="O655" s="33" t="str">
        <f>IFERROR(VLOOKUP($M655,'Informations sur les produits'!$A$3:$H$10000,8,FALSE),"0")</f>
        <v>0</v>
      </c>
      <c r="P655" s="33">
        <f t="shared" si="40"/>
        <v>0</v>
      </c>
      <c r="Q655" s="31" t="str">
        <f t="shared" si="41"/>
        <v/>
      </c>
      <c r="R655" s="32" t="str">
        <f>IFERROR(VLOOKUP($D655,'Informations sur les produits'!$A$3:$B$15000,2,FALSE),"")</f>
        <v/>
      </c>
      <c r="V655">
        <f t="shared" si="42"/>
        <v>0</v>
      </c>
      <c r="W655">
        <f t="shared" si="43"/>
        <v>0</v>
      </c>
    </row>
    <row r="656" spans="5:23" x14ac:dyDescent="0.25">
      <c r="E656" s="4"/>
      <c r="F656" s="4"/>
      <c r="G656" s="33" t="str">
        <f>IFERROR(VLOOKUP($D656,'Informations sur les produits'!$A$3:$H$10000,8,FALSE),"0")</f>
        <v>0</v>
      </c>
      <c r="K656" s="4"/>
      <c r="L656" s="33" t="str">
        <f>IFERROR(VLOOKUP($J656,'Informations sur les produits'!$A$3:$H$10000,8,FALSE),"0")</f>
        <v>0</v>
      </c>
      <c r="N656" s="8"/>
      <c r="O656" s="33" t="str">
        <f>IFERROR(VLOOKUP($M656,'Informations sur les produits'!$A$3:$H$10000,8,FALSE),"0")</f>
        <v>0</v>
      </c>
      <c r="P656" s="33">
        <f t="shared" si="40"/>
        <v>0</v>
      </c>
      <c r="Q656" s="31" t="str">
        <f t="shared" si="41"/>
        <v/>
      </c>
      <c r="R656" s="32" t="str">
        <f>IFERROR(VLOOKUP($D656,'Informations sur les produits'!$A$3:$B$15000,2,FALSE),"")</f>
        <v/>
      </c>
      <c r="V656">
        <f t="shared" si="42"/>
        <v>0</v>
      </c>
      <c r="W656">
        <f t="shared" si="43"/>
        <v>0</v>
      </c>
    </row>
    <row r="657" spans="5:23" x14ac:dyDescent="0.25">
      <c r="E657" s="4"/>
      <c r="F657" s="4"/>
      <c r="G657" s="33" t="str">
        <f>IFERROR(VLOOKUP($D657,'Informations sur les produits'!$A$3:$H$10000,8,FALSE),"0")</f>
        <v>0</v>
      </c>
      <c r="K657" s="4"/>
      <c r="L657" s="33" t="str">
        <f>IFERROR(VLOOKUP($J657,'Informations sur les produits'!$A$3:$H$10000,8,FALSE),"0")</f>
        <v>0</v>
      </c>
      <c r="N657" s="8"/>
      <c r="O657" s="33" t="str">
        <f>IFERROR(VLOOKUP($M657,'Informations sur les produits'!$A$3:$H$10000,8,FALSE),"0")</f>
        <v>0</v>
      </c>
      <c r="P657" s="33">
        <f t="shared" si="40"/>
        <v>0</v>
      </c>
      <c r="Q657" s="31" t="str">
        <f t="shared" si="41"/>
        <v/>
      </c>
      <c r="R657" s="32" t="str">
        <f>IFERROR(VLOOKUP($D657,'Informations sur les produits'!$A$3:$B$15000,2,FALSE),"")</f>
        <v/>
      </c>
      <c r="V657">
        <f t="shared" si="42"/>
        <v>0</v>
      </c>
      <c r="W657">
        <f t="shared" si="43"/>
        <v>0</v>
      </c>
    </row>
    <row r="658" spans="5:23" x14ac:dyDescent="0.25">
      <c r="E658" s="4"/>
      <c r="F658" s="4"/>
      <c r="G658" s="33" t="str">
        <f>IFERROR(VLOOKUP($D658,'Informations sur les produits'!$A$3:$H$10000,8,FALSE),"0")</f>
        <v>0</v>
      </c>
      <c r="K658" s="4"/>
      <c r="L658" s="33" t="str">
        <f>IFERROR(VLOOKUP($J658,'Informations sur les produits'!$A$3:$H$10000,8,FALSE),"0")</f>
        <v>0</v>
      </c>
      <c r="N658" s="8"/>
      <c r="O658" s="33" t="str">
        <f>IFERROR(VLOOKUP($M658,'Informations sur les produits'!$A$3:$H$10000,8,FALSE),"0")</f>
        <v>0</v>
      </c>
      <c r="P658" s="33">
        <f t="shared" si="40"/>
        <v>0</v>
      </c>
      <c r="Q658" s="31" t="str">
        <f t="shared" si="41"/>
        <v/>
      </c>
      <c r="R658" s="32" t="str">
        <f>IFERROR(VLOOKUP($D658,'Informations sur les produits'!$A$3:$B$15000,2,FALSE),"")</f>
        <v/>
      </c>
      <c r="V658">
        <f t="shared" si="42"/>
        <v>0</v>
      </c>
      <c r="W658">
        <f t="shared" si="43"/>
        <v>0</v>
      </c>
    </row>
    <row r="659" spans="5:23" x14ac:dyDescent="0.25">
      <c r="E659" s="4"/>
      <c r="F659" s="4"/>
      <c r="G659" s="33" t="str">
        <f>IFERROR(VLOOKUP($D659,'Informations sur les produits'!$A$3:$H$10000,8,FALSE),"0")</f>
        <v>0</v>
      </c>
      <c r="K659" s="4"/>
      <c r="L659" s="33" t="str">
        <f>IFERROR(VLOOKUP($J659,'Informations sur les produits'!$A$3:$H$10000,8,FALSE),"0")</f>
        <v>0</v>
      </c>
      <c r="N659" s="8"/>
      <c r="O659" s="33" t="str">
        <f>IFERROR(VLOOKUP($M659,'Informations sur les produits'!$A$3:$H$10000,8,FALSE),"0")</f>
        <v>0</v>
      </c>
      <c r="P659" s="33">
        <f t="shared" si="40"/>
        <v>0</v>
      </c>
      <c r="Q659" s="31" t="str">
        <f t="shared" si="41"/>
        <v/>
      </c>
      <c r="R659" s="32" t="str">
        <f>IFERROR(VLOOKUP($D659,'Informations sur les produits'!$A$3:$B$15000,2,FALSE),"")</f>
        <v/>
      </c>
      <c r="V659">
        <f t="shared" si="42"/>
        <v>0</v>
      </c>
      <c r="W659">
        <f t="shared" si="43"/>
        <v>0</v>
      </c>
    </row>
    <row r="660" spans="5:23" x14ac:dyDescent="0.25">
      <c r="E660" s="4"/>
      <c r="F660" s="4"/>
      <c r="G660" s="33" t="str">
        <f>IFERROR(VLOOKUP($D660,'Informations sur les produits'!$A$3:$H$10000,8,FALSE),"0")</f>
        <v>0</v>
      </c>
      <c r="K660" s="4"/>
      <c r="L660" s="33" t="str">
        <f>IFERROR(VLOOKUP($J660,'Informations sur les produits'!$A$3:$H$10000,8,FALSE),"0")</f>
        <v>0</v>
      </c>
      <c r="N660" s="8"/>
      <c r="O660" s="33" t="str">
        <f>IFERROR(VLOOKUP($M660,'Informations sur les produits'!$A$3:$H$10000,8,FALSE),"0")</f>
        <v>0</v>
      </c>
      <c r="P660" s="33">
        <f t="shared" si="40"/>
        <v>0</v>
      </c>
      <c r="Q660" s="31" t="str">
        <f t="shared" si="41"/>
        <v/>
      </c>
      <c r="R660" s="32" t="str">
        <f>IFERROR(VLOOKUP($D660,'Informations sur les produits'!$A$3:$B$15000,2,FALSE),"")</f>
        <v/>
      </c>
      <c r="V660">
        <f t="shared" si="42"/>
        <v>0</v>
      </c>
      <c r="W660">
        <f t="shared" si="43"/>
        <v>0</v>
      </c>
    </row>
    <row r="661" spans="5:23" x14ac:dyDescent="0.25">
      <c r="E661" s="4"/>
      <c r="F661" s="4"/>
      <c r="G661" s="33" t="str">
        <f>IFERROR(VLOOKUP($D661,'Informations sur les produits'!$A$3:$H$10000,8,FALSE),"0")</f>
        <v>0</v>
      </c>
      <c r="K661" s="4"/>
      <c r="L661" s="33" t="str">
        <f>IFERROR(VLOOKUP($J661,'Informations sur les produits'!$A$3:$H$10000,8,FALSE),"0")</f>
        <v>0</v>
      </c>
      <c r="N661" s="8"/>
      <c r="O661" s="33" t="str">
        <f>IFERROR(VLOOKUP($M661,'Informations sur les produits'!$A$3:$H$10000,8,FALSE),"0")</f>
        <v>0</v>
      </c>
      <c r="P661" s="33">
        <f t="shared" si="40"/>
        <v>0</v>
      </c>
      <c r="Q661" s="31" t="str">
        <f t="shared" si="41"/>
        <v/>
      </c>
      <c r="R661" s="32" t="str">
        <f>IFERROR(VLOOKUP($D661,'Informations sur les produits'!$A$3:$B$15000,2,FALSE),"")</f>
        <v/>
      </c>
      <c r="V661">
        <f t="shared" si="42"/>
        <v>0</v>
      </c>
      <c r="W661">
        <f t="shared" si="43"/>
        <v>0</v>
      </c>
    </row>
    <row r="662" spans="5:23" x14ac:dyDescent="0.25">
      <c r="E662" s="4"/>
      <c r="F662" s="4"/>
      <c r="G662" s="33" t="str">
        <f>IFERROR(VLOOKUP($D662,'Informations sur les produits'!$A$3:$H$10000,8,FALSE),"0")</f>
        <v>0</v>
      </c>
      <c r="K662" s="4"/>
      <c r="L662" s="33" t="str">
        <f>IFERROR(VLOOKUP($J662,'Informations sur les produits'!$A$3:$H$10000,8,FALSE),"0")</f>
        <v>0</v>
      </c>
      <c r="N662" s="8"/>
      <c r="O662" s="33" t="str">
        <f>IFERROR(VLOOKUP($M662,'Informations sur les produits'!$A$3:$H$10000,8,FALSE),"0")</f>
        <v>0</v>
      </c>
      <c r="P662" s="33">
        <f t="shared" si="40"/>
        <v>0</v>
      </c>
      <c r="Q662" s="31" t="str">
        <f t="shared" si="41"/>
        <v/>
      </c>
      <c r="R662" s="32" t="str">
        <f>IFERROR(VLOOKUP($D662,'Informations sur les produits'!$A$3:$B$15000,2,FALSE),"")</f>
        <v/>
      </c>
      <c r="V662">
        <f t="shared" si="42"/>
        <v>0</v>
      </c>
      <c r="W662">
        <f t="shared" si="43"/>
        <v>0</v>
      </c>
    </row>
    <row r="663" spans="5:23" x14ac:dyDescent="0.25">
      <c r="E663" s="4"/>
      <c r="F663" s="4"/>
      <c r="G663" s="33" t="str">
        <f>IFERROR(VLOOKUP($D663,'Informations sur les produits'!$A$3:$H$10000,8,FALSE),"0")</f>
        <v>0</v>
      </c>
      <c r="K663" s="4"/>
      <c r="L663" s="33" t="str">
        <f>IFERROR(VLOOKUP($J663,'Informations sur les produits'!$A$3:$H$10000,8,FALSE),"0")</f>
        <v>0</v>
      </c>
      <c r="N663" s="8"/>
      <c r="O663" s="33" t="str">
        <f>IFERROR(VLOOKUP($M663,'Informations sur les produits'!$A$3:$H$10000,8,FALSE),"0")</f>
        <v>0</v>
      </c>
      <c r="P663" s="33">
        <f t="shared" si="40"/>
        <v>0</v>
      </c>
      <c r="Q663" s="31" t="str">
        <f t="shared" si="41"/>
        <v/>
      </c>
      <c r="R663" s="32" t="str">
        <f>IFERROR(VLOOKUP($D663,'Informations sur les produits'!$A$3:$B$15000,2,FALSE),"")</f>
        <v/>
      </c>
      <c r="V663">
        <f t="shared" si="42"/>
        <v>0</v>
      </c>
      <c r="W663">
        <f t="shared" si="43"/>
        <v>0</v>
      </c>
    </row>
    <row r="664" spans="5:23" x14ac:dyDescent="0.25">
      <c r="E664" s="4"/>
      <c r="F664" s="4"/>
      <c r="G664" s="33" t="str">
        <f>IFERROR(VLOOKUP($D664,'Informations sur les produits'!$A$3:$H$10000,8,FALSE),"0")</f>
        <v>0</v>
      </c>
      <c r="K664" s="4"/>
      <c r="L664" s="33" t="str">
        <f>IFERROR(VLOOKUP($J664,'Informations sur les produits'!$A$3:$H$10000,8,FALSE),"0")</f>
        <v>0</v>
      </c>
      <c r="N664" s="8"/>
      <c r="O664" s="33" t="str">
        <f>IFERROR(VLOOKUP($M664,'Informations sur les produits'!$A$3:$H$10000,8,FALSE),"0")</f>
        <v>0</v>
      </c>
      <c r="P664" s="33">
        <f t="shared" si="40"/>
        <v>0</v>
      </c>
      <c r="Q664" s="31" t="str">
        <f t="shared" si="41"/>
        <v/>
      </c>
      <c r="R664" s="32" t="str">
        <f>IFERROR(VLOOKUP($D664,'Informations sur les produits'!$A$3:$B$15000,2,FALSE),"")</f>
        <v/>
      </c>
      <c r="V664">
        <f t="shared" si="42"/>
        <v>0</v>
      </c>
      <c r="W664">
        <f t="shared" si="43"/>
        <v>0</v>
      </c>
    </row>
    <row r="665" spans="5:23" x14ac:dyDescent="0.25">
      <c r="E665" s="4"/>
      <c r="F665" s="4"/>
      <c r="G665" s="33" t="str">
        <f>IFERROR(VLOOKUP($D665,'Informations sur les produits'!$A$3:$H$10000,8,FALSE),"0")</f>
        <v>0</v>
      </c>
      <c r="K665" s="4"/>
      <c r="L665" s="33" t="str">
        <f>IFERROR(VLOOKUP($J665,'Informations sur les produits'!$A$3:$H$10000,8,FALSE),"0")</f>
        <v>0</v>
      </c>
      <c r="N665" s="8"/>
      <c r="O665" s="33" t="str">
        <f>IFERROR(VLOOKUP($M665,'Informations sur les produits'!$A$3:$H$10000,8,FALSE),"0")</f>
        <v>0</v>
      </c>
      <c r="P665" s="33">
        <f t="shared" si="40"/>
        <v>0</v>
      </c>
      <c r="Q665" s="31" t="str">
        <f t="shared" si="41"/>
        <v/>
      </c>
      <c r="R665" s="32" t="str">
        <f>IFERROR(VLOOKUP($D665,'Informations sur les produits'!$A$3:$B$15000,2,FALSE),"")</f>
        <v/>
      </c>
      <c r="V665">
        <f t="shared" si="42"/>
        <v>0</v>
      </c>
      <c r="W665">
        <f t="shared" si="43"/>
        <v>0</v>
      </c>
    </row>
    <row r="666" spans="5:23" x14ac:dyDescent="0.25">
      <c r="E666" s="4"/>
      <c r="F666" s="4"/>
      <c r="G666" s="33" t="str">
        <f>IFERROR(VLOOKUP($D666,'Informations sur les produits'!$A$3:$H$10000,8,FALSE),"0")</f>
        <v>0</v>
      </c>
      <c r="K666" s="4"/>
      <c r="L666" s="33" t="str">
        <f>IFERROR(VLOOKUP($J666,'Informations sur les produits'!$A$3:$H$10000,8,FALSE),"0")</f>
        <v>0</v>
      </c>
      <c r="N666" s="8"/>
      <c r="O666" s="33" t="str">
        <f>IFERROR(VLOOKUP($M666,'Informations sur les produits'!$A$3:$H$10000,8,FALSE),"0")</f>
        <v>0</v>
      </c>
      <c r="P666" s="33">
        <f t="shared" si="40"/>
        <v>0</v>
      </c>
      <c r="Q666" s="31" t="str">
        <f t="shared" si="41"/>
        <v/>
      </c>
      <c r="R666" s="32" t="str">
        <f>IFERROR(VLOOKUP($D666,'Informations sur les produits'!$A$3:$B$15000,2,FALSE),"")</f>
        <v/>
      </c>
      <c r="V666">
        <f t="shared" si="42"/>
        <v>0</v>
      </c>
      <c r="W666">
        <f t="shared" si="43"/>
        <v>0</v>
      </c>
    </row>
    <row r="667" spans="5:23" x14ac:dyDescent="0.25">
      <c r="E667" s="4"/>
      <c r="F667" s="4"/>
      <c r="G667" s="33" t="str">
        <f>IFERROR(VLOOKUP($D667,'Informations sur les produits'!$A$3:$H$10000,8,FALSE),"0")</f>
        <v>0</v>
      </c>
      <c r="K667" s="4"/>
      <c r="L667" s="33" t="str">
        <f>IFERROR(VLOOKUP($J667,'Informations sur les produits'!$A$3:$H$10000,8,FALSE),"0")</f>
        <v>0</v>
      </c>
      <c r="N667" s="8"/>
      <c r="O667" s="33" t="str">
        <f>IFERROR(VLOOKUP($M667,'Informations sur les produits'!$A$3:$H$10000,8,FALSE),"0")</f>
        <v>0</v>
      </c>
      <c r="P667" s="33">
        <f t="shared" si="40"/>
        <v>0</v>
      </c>
      <c r="Q667" s="31" t="str">
        <f t="shared" si="41"/>
        <v/>
      </c>
      <c r="R667" s="32" t="str">
        <f>IFERROR(VLOOKUP($D667,'Informations sur les produits'!$A$3:$B$15000,2,FALSE),"")</f>
        <v/>
      </c>
      <c r="V667">
        <f t="shared" si="42"/>
        <v>0</v>
      </c>
      <c r="W667">
        <f t="shared" si="43"/>
        <v>0</v>
      </c>
    </row>
    <row r="668" spans="5:23" x14ac:dyDescent="0.25">
      <c r="E668" s="4"/>
      <c r="F668" s="4"/>
      <c r="G668" s="33" t="str">
        <f>IFERROR(VLOOKUP($D668,'Informations sur les produits'!$A$3:$H$10000,8,FALSE),"0")</f>
        <v>0</v>
      </c>
      <c r="K668" s="4"/>
      <c r="L668" s="33" t="str">
        <f>IFERROR(VLOOKUP($J668,'Informations sur les produits'!$A$3:$H$10000,8,FALSE),"0")</f>
        <v>0</v>
      </c>
      <c r="N668" s="8"/>
      <c r="O668" s="33" t="str">
        <f>IFERROR(VLOOKUP($M668,'Informations sur les produits'!$A$3:$H$10000,8,FALSE),"0")</f>
        <v>0</v>
      </c>
      <c r="P668" s="33">
        <f t="shared" si="40"/>
        <v>0</v>
      </c>
      <c r="Q668" s="31" t="str">
        <f t="shared" si="41"/>
        <v/>
      </c>
      <c r="R668" s="32" t="str">
        <f>IFERROR(VLOOKUP($D668,'Informations sur les produits'!$A$3:$B$15000,2,FALSE),"")</f>
        <v/>
      </c>
      <c r="V668">
        <f t="shared" si="42"/>
        <v>0</v>
      </c>
      <c r="W668">
        <f t="shared" si="43"/>
        <v>0</v>
      </c>
    </row>
    <row r="669" spans="5:23" x14ac:dyDescent="0.25">
      <c r="E669" s="4"/>
      <c r="F669" s="4"/>
      <c r="G669" s="33" t="str">
        <f>IFERROR(VLOOKUP($D669,'Informations sur les produits'!$A$3:$H$10000,8,FALSE),"0")</f>
        <v>0</v>
      </c>
      <c r="K669" s="4"/>
      <c r="L669" s="33" t="str">
        <f>IFERROR(VLOOKUP($J669,'Informations sur les produits'!$A$3:$H$10000,8,FALSE),"0")</f>
        <v>0</v>
      </c>
      <c r="N669" s="8"/>
      <c r="O669" s="33" t="str">
        <f>IFERROR(VLOOKUP($M669,'Informations sur les produits'!$A$3:$H$10000,8,FALSE),"0")</f>
        <v>0</v>
      </c>
      <c r="P669" s="33">
        <f t="shared" si="40"/>
        <v>0</v>
      </c>
      <c r="Q669" s="31" t="str">
        <f t="shared" si="41"/>
        <v/>
      </c>
      <c r="R669" s="32" t="str">
        <f>IFERROR(VLOOKUP($D669,'Informations sur les produits'!$A$3:$B$15000,2,FALSE),"")</f>
        <v/>
      </c>
      <c r="V669">
        <f t="shared" si="42"/>
        <v>0</v>
      </c>
      <c r="W669">
        <f t="shared" si="43"/>
        <v>0</v>
      </c>
    </row>
    <row r="670" spans="5:23" x14ac:dyDescent="0.25">
      <c r="E670" s="4"/>
      <c r="F670" s="4"/>
      <c r="G670" s="33" t="str">
        <f>IFERROR(VLOOKUP($D670,'Informations sur les produits'!$A$3:$H$10000,8,FALSE),"0")</f>
        <v>0</v>
      </c>
      <c r="K670" s="4"/>
      <c r="L670" s="33" t="str">
        <f>IFERROR(VLOOKUP($J670,'Informations sur les produits'!$A$3:$H$10000,8,FALSE),"0")</f>
        <v>0</v>
      </c>
      <c r="N670" s="8"/>
      <c r="O670" s="33" t="str">
        <f>IFERROR(VLOOKUP($M670,'Informations sur les produits'!$A$3:$H$10000,8,FALSE),"0")</f>
        <v>0</v>
      </c>
      <c r="P670" s="33">
        <f t="shared" si="40"/>
        <v>0</v>
      </c>
      <c r="Q670" s="31" t="str">
        <f t="shared" si="41"/>
        <v/>
      </c>
      <c r="R670" s="32" t="str">
        <f>IFERROR(VLOOKUP($D670,'Informations sur les produits'!$A$3:$B$15000,2,FALSE),"")</f>
        <v/>
      </c>
      <c r="V670">
        <f t="shared" si="42"/>
        <v>0</v>
      </c>
      <c r="W670">
        <f t="shared" si="43"/>
        <v>0</v>
      </c>
    </row>
    <row r="671" spans="5:23" x14ac:dyDescent="0.25">
      <c r="E671" s="4"/>
      <c r="F671" s="4"/>
      <c r="G671" s="33" t="str">
        <f>IFERROR(VLOOKUP($D671,'Informations sur les produits'!$A$3:$H$10000,8,FALSE),"0")</f>
        <v>0</v>
      </c>
      <c r="K671" s="4"/>
      <c r="L671" s="33" t="str">
        <f>IFERROR(VLOOKUP($J671,'Informations sur les produits'!$A$3:$H$10000,8,FALSE),"0")</f>
        <v>0</v>
      </c>
      <c r="N671" s="8"/>
      <c r="O671" s="33" t="str">
        <f>IFERROR(VLOOKUP($M671,'Informations sur les produits'!$A$3:$H$10000,8,FALSE),"0")</f>
        <v>0</v>
      </c>
      <c r="P671" s="33">
        <f t="shared" si="40"/>
        <v>0</v>
      </c>
      <c r="Q671" s="31" t="str">
        <f t="shared" si="41"/>
        <v/>
      </c>
      <c r="R671" s="32" t="str">
        <f>IFERROR(VLOOKUP($D671,'Informations sur les produits'!$A$3:$B$15000,2,FALSE),"")</f>
        <v/>
      </c>
      <c r="V671">
        <f t="shared" si="42"/>
        <v>0</v>
      </c>
      <c r="W671">
        <f t="shared" si="43"/>
        <v>0</v>
      </c>
    </row>
    <row r="672" spans="5:23" x14ac:dyDescent="0.25">
      <c r="E672" s="4"/>
      <c r="F672" s="4"/>
      <c r="G672" s="33" t="str">
        <f>IFERROR(VLOOKUP($D672,'Informations sur les produits'!$A$3:$H$10000,8,FALSE),"0")</f>
        <v>0</v>
      </c>
      <c r="K672" s="4"/>
      <c r="L672" s="33" t="str">
        <f>IFERROR(VLOOKUP($J672,'Informations sur les produits'!$A$3:$H$10000,8,FALSE),"0")</f>
        <v>0</v>
      </c>
      <c r="N672" s="8"/>
      <c r="O672" s="33" t="str">
        <f>IFERROR(VLOOKUP($M672,'Informations sur les produits'!$A$3:$H$10000,8,FALSE),"0")</f>
        <v>0</v>
      </c>
      <c r="P672" s="33">
        <f t="shared" si="40"/>
        <v>0</v>
      </c>
      <c r="Q672" s="31" t="str">
        <f t="shared" si="41"/>
        <v/>
      </c>
      <c r="R672" s="32" t="str">
        <f>IFERROR(VLOOKUP($D672,'Informations sur les produits'!$A$3:$B$15000,2,FALSE),"")</f>
        <v/>
      </c>
      <c r="V672">
        <f t="shared" si="42"/>
        <v>0</v>
      </c>
      <c r="W672">
        <f t="shared" si="43"/>
        <v>0</v>
      </c>
    </row>
    <row r="673" spans="5:23" x14ac:dyDescent="0.25">
      <c r="E673" s="4"/>
      <c r="F673" s="4"/>
      <c r="G673" s="33" t="str">
        <f>IFERROR(VLOOKUP($D673,'Informations sur les produits'!$A$3:$H$10000,8,FALSE),"0")</f>
        <v>0</v>
      </c>
      <c r="K673" s="4"/>
      <c r="L673" s="33" t="str">
        <f>IFERROR(VLOOKUP($J673,'Informations sur les produits'!$A$3:$H$10000,8,FALSE),"0")</f>
        <v>0</v>
      </c>
      <c r="N673" s="8"/>
      <c r="O673" s="33" t="str">
        <f>IFERROR(VLOOKUP($M673,'Informations sur les produits'!$A$3:$H$10000,8,FALSE),"0")</f>
        <v>0</v>
      </c>
      <c r="P673" s="33">
        <f t="shared" si="40"/>
        <v>0</v>
      </c>
      <c r="Q673" s="31" t="str">
        <f t="shared" si="41"/>
        <v/>
      </c>
      <c r="R673" s="32" t="str">
        <f>IFERROR(VLOOKUP($D673,'Informations sur les produits'!$A$3:$B$15000,2,FALSE),"")</f>
        <v/>
      </c>
      <c r="V673">
        <f t="shared" si="42"/>
        <v>0</v>
      </c>
      <c r="W673">
        <f t="shared" si="43"/>
        <v>0</v>
      </c>
    </row>
    <row r="674" spans="5:23" x14ac:dyDescent="0.25">
      <c r="E674" s="4"/>
      <c r="F674" s="4"/>
      <c r="G674" s="33" t="str">
        <f>IFERROR(VLOOKUP($D674,'Informations sur les produits'!$A$3:$H$10000,8,FALSE),"0")</f>
        <v>0</v>
      </c>
      <c r="K674" s="4"/>
      <c r="L674" s="33" t="str">
        <f>IFERROR(VLOOKUP($J674,'Informations sur les produits'!$A$3:$H$10000,8,FALSE),"0")</f>
        <v>0</v>
      </c>
      <c r="N674" s="8"/>
      <c r="O674" s="33" t="str">
        <f>IFERROR(VLOOKUP($M674,'Informations sur les produits'!$A$3:$H$10000,8,FALSE),"0")</f>
        <v>0</v>
      </c>
      <c r="P674" s="33">
        <f t="shared" si="40"/>
        <v>0</v>
      </c>
      <c r="Q674" s="31" t="str">
        <f t="shared" si="41"/>
        <v/>
      </c>
      <c r="R674" s="32" t="str">
        <f>IFERROR(VLOOKUP($D674,'Informations sur les produits'!$A$3:$B$15000,2,FALSE),"")</f>
        <v/>
      </c>
      <c r="V674">
        <f t="shared" si="42"/>
        <v>0</v>
      </c>
      <c r="W674">
        <f t="shared" si="43"/>
        <v>0</v>
      </c>
    </row>
    <row r="675" spans="5:23" x14ac:dyDescent="0.25">
      <c r="E675" s="4"/>
      <c r="F675" s="4"/>
      <c r="G675" s="33" t="str">
        <f>IFERROR(VLOOKUP($D675,'Informations sur les produits'!$A$3:$H$10000,8,FALSE),"0")</f>
        <v>0</v>
      </c>
      <c r="K675" s="4"/>
      <c r="L675" s="33" t="str">
        <f>IFERROR(VLOOKUP($J675,'Informations sur les produits'!$A$3:$H$10000,8,FALSE),"0")</f>
        <v>0</v>
      </c>
      <c r="N675" s="8"/>
      <c r="O675" s="33" t="str">
        <f>IFERROR(VLOOKUP($M675,'Informations sur les produits'!$A$3:$H$10000,8,FALSE),"0")</f>
        <v>0</v>
      </c>
      <c r="P675" s="33">
        <f t="shared" si="40"/>
        <v>0</v>
      </c>
      <c r="Q675" s="31" t="str">
        <f t="shared" si="41"/>
        <v/>
      </c>
      <c r="R675" s="32" t="str">
        <f>IFERROR(VLOOKUP($D675,'Informations sur les produits'!$A$3:$B$15000,2,FALSE),"")</f>
        <v/>
      </c>
      <c r="V675">
        <f t="shared" si="42"/>
        <v>0</v>
      </c>
      <c r="W675">
        <f t="shared" si="43"/>
        <v>0</v>
      </c>
    </row>
    <row r="676" spans="5:23" x14ac:dyDescent="0.25">
      <c r="E676" s="4"/>
      <c r="F676" s="4"/>
      <c r="G676" s="33" t="str">
        <f>IFERROR(VLOOKUP($D676,'Informations sur les produits'!$A$3:$H$10000,8,FALSE),"0")</f>
        <v>0</v>
      </c>
      <c r="K676" s="4"/>
      <c r="L676" s="33" t="str">
        <f>IFERROR(VLOOKUP($J676,'Informations sur les produits'!$A$3:$H$10000,8,FALSE),"0")</f>
        <v>0</v>
      </c>
      <c r="N676" s="8"/>
      <c r="O676" s="33" t="str">
        <f>IFERROR(VLOOKUP($M676,'Informations sur les produits'!$A$3:$H$10000,8,FALSE),"0")</f>
        <v>0</v>
      </c>
      <c r="P676" s="33">
        <f t="shared" si="40"/>
        <v>0</v>
      </c>
      <c r="Q676" s="31" t="str">
        <f t="shared" si="41"/>
        <v/>
      </c>
      <c r="R676" s="32" t="str">
        <f>IFERROR(VLOOKUP($D676,'Informations sur les produits'!$A$3:$B$15000,2,FALSE),"")</f>
        <v/>
      </c>
      <c r="V676">
        <f t="shared" si="42"/>
        <v>0</v>
      </c>
      <c r="W676">
        <f t="shared" si="43"/>
        <v>0</v>
      </c>
    </row>
    <row r="677" spans="5:23" x14ac:dyDescent="0.25">
      <c r="E677" s="4"/>
      <c r="F677" s="4"/>
      <c r="G677" s="33" t="str">
        <f>IFERROR(VLOOKUP($D677,'Informations sur les produits'!$A$3:$H$10000,8,FALSE),"0")</f>
        <v>0</v>
      </c>
      <c r="K677" s="4"/>
      <c r="L677" s="33" t="str">
        <f>IFERROR(VLOOKUP($J677,'Informations sur les produits'!$A$3:$H$10000,8,FALSE),"0")</f>
        <v>0</v>
      </c>
      <c r="N677" s="8"/>
      <c r="O677" s="33" t="str">
        <f>IFERROR(VLOOKUP($M677,'Informations sur les produits'!$A$3:$H$10000,8,FALSE),"0")</f>
        <v>0</v>
      </c>
      <c r="P677" s="33">
        <f t="shared" si="40"/>
        <v>0</v>
      </c>
      <c r="Q677" s="31" t="str">
        <f t="shared" si="41"/>
        <v/>
      </c>
      <c r="R677" s="32" t="str">
        <f>IFERROR(VLOOKUP($D677,'Informations sur les produits'!$A$3:$B$15000,2,FALSE),"")</f>
        <v/>
      </c>
      <c r="V677">
        <f t="shared" si="42"/>
        <v>0</v>
      </c>
      <c r="W677">
        <f t="shared" si="43"/>
        <v>0</v>
      </c>
    </row>
    <row r="678" spans="5:23" x14ac:dyDescent="0.25">
      <c r="E678" s="4"/>
      <c r="F678" s="4"/>
      <c r="G678" s="33" t="str">
        <f>IFERROR(VLOOKUP($D678,'Informations sur les produits'!$A$3:$H$10000,8,FALSE),"0")</f>
        <v>0</v>
      </c>
      <c r="K678" s="4"/>
      <c r="L678" s="33" t="str">
        <f>IFERROR(VLOOKUP($J678,'Informations sur les produits'!$A$3:$H$10000,8,FALSE),"0")</f>
        <v>0</v>
      </c>
      <c r="N678" s="8"/>
      <c r="O678" s="33" t="str">
        <f>IFERROR(VLOOKUP($M678,'Informations sur les produits'!$A$3:$H$10000,8,FALSE),"0")</f>
        <v>0</v>
      </c>
      <c r="P678" s="33">
        <f t="shared" si="40"/>
        <v>0</v>
      </c>
      <c r="Q678" s="31" t="str">
        <f t="shared" si="41"/>
        <v/>
      </c>
      <c r="R678" s="32" t="str">
        <f>IFERROR(VLOOKUP($D678,'Informations sur les produits'!$A$3:$B$15000,2,FALSE),"")</f>
        <v/>
      </c>
      <c r="V678">
        <f t="shared" si="42"/>
        <v>0</v>
      </c>
      <c r="W678">
        <f t="shared" si="43"/>
        <v>0</v>
      </c>
    </row>
    <row r="679" spans="5:23" x14ac:dyDescent="0.25">
      <c r="E679" s="4"/>
      <c r="F679" s="4"/>
      <c r="G679" s="33" t="str">
        <f>IFERROR(VLOOKUP($D679,'Informations sur les produits'!$A$3:$H$10000,8,FALSE),"0")</f>
        <v>0</v>
      </c>
      <c r="K679" s="4"/>
      <c r="L679" s="33" t="str">
        <f>IFERROR(VLOOKUP($J679,'Informations sur les produits'!$A$3:$H$10000,8,FALSE),"0")</f>
        <v>0</v>
      </c>
      <c r="N679" s="8"/>
      <c r="O679" s="33" t="str">
        <f>IFERROR(VLOOKUP($M679,'Informations sur les produits'!$A$3:$H$10000,8,FALSE),"0")</f>
        <v>0</v>
      </c>
      <c r="P679" s="33">
        <f t="shared" si="40"/>
        <v>0</v>
      </c>
      <c r="Q679" s="31" t="str">
        <f t="shared" si="41"/>
        <v/>
      </c>
      <c r="R679" s="32" t="str">
        <f>IFERROR(VLOOKUP($D679,'Informations sur les produits'!$A$3:$B$15000,2,FALSE),"")</f>
        <v/>
      </c>
      <c r="V679">
        <f t="shared" si="42"/>
        <v>0</v>
      </c>
      <c r="W679">
        <f t="shared" si="43"/>
        <v>0</v>
      </c>
    </row>
    <row r="680" spans="5:23" x14ac:dyDescent="0.25">
      <c r="E680" s="4"/>
      <c r="F680" s="4"/>
      <c r="G680" s="33" t="str">
        <f>IFERROR(VLOOKUP($D680,'Informations sur les produits'!$A$3:$H$10000,8,FALSE),"0")</f>
        <v>0</v>
      </c>
      <c r="K680" s="4"/>
      <c r="L680" s="33" t="str">
        <f>IFERROR(VLOOKUP($J680,'Informations sur les produits'!$A$3:$H$10000,8,FALSE),"0")</f>
        <v>0</v>
      </c>
      <c r="N680" s="8"/>
      <c r="O680" s="33" t="str">
        <f>IFERROR(VLOOKUP($M680,'Informations sur les produits'!$A$3:$H$10000,8,FALSE),"0")</f>
        <v>0</v>
      </c>
      <c r="P680" s="33">
        <f t="shared" si="40"/>
        <v>0</v>
      </c>
      <c r="Q680" s="31" t="str">
        <f t="shared" si="41"/>
        <v/>
      </c>
      <c r="R680" s="32" t="str">
        <f>IFERROR(VLOOKUP($D680,'Informations sur les produits'!$A$3:$B$15000,2,FALSE),"")</f>
        <v/>
      </c>
      <c r="V680">
        <f t="shared" si="42"/>
        <v>0</v>
      </c>
      <c r="W680">
        <f t="shared" si="43"/>
        <v>0</v>
      </c>
    </row>
    <row r="681" spans="5:23" x14ac:dyDescent="0.25">
      <c r="E681" s="4"/>
      <c r="F681" s="4"/>
      <c r="G681" s="33" t="str">
        <f>IFERROR(VLOOKUP($D681,'Informations sur les produits'!$A$3:$H$10000,8,FALSE),"0")</f>
        <v>0</v>
      </c>
      <c r="K681" s="4"/>
      <c r="L681" s="33" t="str">
        <f>IFERROR(VLOOKUP($J681,'Informations sur les produits'!$A$3:$H$10000,8,FALSE),"0")</f>
        <v>0</v>
      </c>
      <c r="N681" s="8"/>
      <c r="O681" s="33" t="str">
        <f>IFERROR(VLOOKUP($M681,'Informations sur les produits'!$A$3:$H$10000,8,FALSE),"0")</f>
        <v>0</v>
      </c>
      <c r="P681" s="33">
        <f t="shared" si="40"/>
        <v>0</v>
      </c>
      <c r="Q681" s="31" t="str">
        <f t="shared" si="41"/>
        <v/>
      </c>
      <c r="R681" s="32" t="str">
        <f>IFERROR(VLOOKUP($D681,'Informations sur les produits'!$A$3:$B$15000,2,FALSE),"")</f>
        <v/>
      </c>
      <c r="V681">
        <f t="shared" si="42"/>
        <v>0</v>
      </c>
      <c r="W681">
        <f t="shared" si="43"/>
        <v>0</v>
      </c>
    </row>
    <row r="682" spans="5:23" x14ac:dyDescent="0.25">
      <c r="E682" s="4"/>
      <c r="F682" s="4"/>
      <c r="G682" s="33" t="str">
        <f>IFERROR(VLOOKUP($D682,'Informations sur les produits'!$A$3:$H$10000,8,FALSE),"0")</f>
        <v>0</v>
      </c>
      <c r="K682" s="4"/>
      <c r="L682" s="33" t="str">
        <f>IFERROR(VLOOKUP($J682,'Informations sur les produits'!$A$3:$H$10000,8,FALSE),"0")</f>
        <v>0</v>
      </c>
      <c r="N682" s="8"/>
      <c r="O682" s="33" t="str">
        <f>IFERROR(VLOOKUP($M682,'Informations sur les produits'!$A$3:$H$10000,8,FALSE),"0")</f>
        <v>0</v>
      </c>
      <c r="P682" s="33">
        <f t="shared" si="40"/>
        <v>0</v>
      </c>
      <c r="Q682" s="31" t="str">
        <f t="shared" si="41"/>
        <v/>
      </c>
      <c r="R682" s="32" t="str">
        <f>IFERROR(VLOOKUP($D682,'Informations sur les produits'!$A$3:$B$15000,2,FALSE),"")</f>
        <v/>
      </c>
      <c r="V682">
        <f t="shared" si="42"/>
        <v>0</v>
      </c>
      <c r="W682">
        <f t="shared" si="43"/>
        <v>0</v>
      </c>
    </row>
    <row r="683" spans="5:23" x14ac:dyDescent="0.25">
      <c r="E683" s="4"/>
      <c r="F683" s="4"/>
      <c r="G683" s="33" t="str">
        <f>IFERROR(VLOOKUP($D683,'Informations sur les produits'!$A$3:$H$10000,8,FALSE),"0")</f>
        <v>0</v>
      </c>
      <c r="K683" s="4"/>
      <c r="L683" s="33" t="str">
        <f>IFERROR(VLOOKUP($J683,'Informations sur les produits'!$A$3:$H$10000,8,FALSE),"0")</f>
        <v>0</v>
      </c>
      <c r="N683" s="8"/>
      <c r="O683" s="33" t="str">
        <f>IFERROR(VLOOKUP($M683,'Informations sur les produits'!$A$3:$H$10000,8,FALSE),"0")</f>
        <v>0</v>
      </c>
      <c r="P683" s="33">
        <f t="shared" si="40"/>
        <v>0</v>
      </c>
      <c r="Q683" s="31" t="str">
        <f t="shared" si="41"/>
        <v/>
      </c>
      <c r="R683" s="32" t="str">
        <f>IFERROR(VLOOKUP($D683,'Informations sur les produits'!$A$3:$B$15000,2,FALSE),"")</f>
        <v/>
      </c>
      <c r="V683">
        <f t="shared" si="42"/>
        <v>0</v>
      </c>
      <c r="W683">
        <f t="shared" si="43"/>
        <v>0</v>
      </c>
    </row>
    <row r="684" spans="5:23" x14ac:dyDescent="0.25">
      <c r="E684" s="4"/>
      <c r="F684" s="4"/>
      <c r="G684" s="33" t="str">
        <f>IFERROR(VLOOKUP($D684,'Informations sur les produits'!$A$3:$H$10000,8,FALSE),"0")</f>
        <v>0</v>
      </c>
      <c r="K684" s="4"/>
      <c r="L684" s="33" t="str">
        <f>IFERROR(VLOOKUP($J684,'Informations sur les produits'!$A$3:$H$10000,8,FALSE),"0")</f>
        <v>0</v>
      </c>
      <c r="N684" s="8"/>
      <c r="O684" s="33" t="str">
        <f>IFERROR(VLOOKUP($M684,'Informations sur les produits'!$A$3:$H$10000,8,FALSE),"0")</f>
        <v>0</v>
      </c>
      <c r="P684" s="33">
        <f t="shared" si="40"/>
        <v>0</v>
      </c>
      <c r="Q684" s="31" t="str">
        <f t="shared" si="41"/>
        <v/>
      </c>
      <c r="R684" s="32" t="str">
        <f>IFERROR(VLOOKUP($D684,'Informations sur les produits'!$A$3:$B$15000,2,FALSE),"")</f>
        <v/>
      </c>
      <c r="V684">
        <f t="shared" si="42"/>
        <v>0</v>
      </c>
      <c r="W684">
        <f t="shared" si="43"/>
        <v>0</v>
      </c>
    </row>
    <row r="685" spans="5:23" x14ac:dyDescent="0.25">
      <c r="E685" s="4"/>
      <c r="F685" s="4"/>
      <c r="G685" s="33" t="str">
        <f>IFERROR(VLOOKUP($D685,'Informations sur les produits'!$A$3:$H$10000,8,FALSE),"0")</f>
        <v>0</v>
      </c>
      <c r="K685" s="4"/>
      <c r="L685" s="33" t="str">
        <f>IFERROR(VLOOKUP($J685,'Informations sur les produits'!$A$3:$H$10000,8,FALSE),"0")</f>
        <v>0</v>
      </c>
      <c r="N685" s="8"/>
      <c r="O685" s="33" t="str">
        <f>IFERROR(VLOOKUP($M685,'Informations sur les produits'!$A$3:$H$10000,8,FALSE),"0")</f>
        <v>0</v>
      </c>
      <c r="P685" s="33">
        <f t="shared" si="40"/>
        <v>0</v>
      </c>
      <c r="Q685" s="31" t="str">
        <f t="shared" si="41"/>
        <v/>
      </c>
      <c r="R685" s="32" t="str">
        <f>IFERROR(VLOOKUP($D685,'Informations sur les produits'!$A$3:$B$15000,2,FALSE),"")</f>
        <v/>
      </c>
      <c r="V685">
        <f t="shared" si="42"/>
        <v>0</v>
      </c>
      <c r="W685">
        <f t="shared" si="43"/>
        <v>0</v>
      </c>
    </row>
    <row r="686" spans="5:23" x14ac:dyDescent="0.25">
      <c r="E686" s="4"/>
      <c r="F686" s="4"/>
      <c r="G686" s="33" t="str">
        <f>IFERROR(VLOOKUP($D686,'Informations sur les produits'!$A$3:$H$10000,8,FALSE),"0")</f>
        <v>0</v>
      </c>
      <c r="K686" s="4"/>
      <c r="L686" s="33" t="str">
        <f>IFERROR(VLOOKUP($J686,'Informations sur les produits'!$A$3:$H$10000,8,FALSE),"0")</f>
        <v>0</v>
      </c>
      <c r="N686" s="8"/>
      <c r="O686" s="33" t="str">
        <f>IFERROR(VLOOKUP($M686,'Informations sur les produits'!$A$3:$H$10000,8,FALSE),"0")</f>
        <v>0</v>
      </c>
      <c r="P686" s="33">
        <f t="shared" si="40"/>
        <v>0</v>
      </c>
      <c r="Q686" s="31" t="str">
        <f t="shared" si="41"/>
        <v/>
      </c>
      <c r="R686" s="32" t="str">
        <f>IFERROR(VLOOKUP($D686,'Informations sur les produits'!$A$3:$B$15000,2,FALSE),"")</f>
        <v/>
      </c>
      <c r="V686">
        <f t="shared" si="42"/>
        <v>0</v>
      </c>
      <c r="W686">
        <f t="shared" si="43"/>
        <v>0</v>
      </c>
    </row>
    <row r="687" spans="5:23" x14ac:dyDescent="0.25">
      <c r="E687" s="4"/>
      <c r="F687" s="4"/>
      <c r="G687" s="33" t="str">
        <f>IFERROR(VLOOKUP($D687,'Informations sur les produits'!$A$3:$H$10000,8,FALSE),"0")</f>
        <v>0</v>
      </c>
      <c r="K687" s="4"/>
      <c r="L687" s="33" t="str">
        <f>IFERROR(VLOOKUP($J687,'Informations sur les produits'!$A$3:$H$10000,8,FALSE),"0")</f>
        <v>0</v>
      </c>
      <c r="N687" s="8"/>
      <c r="O687" s="33" t="str">
        <f>IFERROR(VLOOKUP($M687,'Informations sur les produits'!$A$3:$H$10000,8,FALSE),"0")</f>
        <v>0</v>
      </c>
      <c r="P687" s="33">
        <f t="shared" si="40"/>
        <v>0</v>
      </c>
      <c r="Q687" s="31" t="str">
        <f t="shared" si="41"/>
        <v/>
      </c>
      <c r="R687" s="32" t="str">
        <f>IFERROR(VLOOKUP($D687,'Informations sur les produits'!$A$3:$B$15000,2,FALSE),"")</f>
        <v/>
      </c>
      <c r="V687">
        <f t="shared" si="42"/>
        <v>0</v>
      </c>
      <c r="W687">
        <f t="shared" si="43"/>
        <v>0</v>
      </c>
    </row>
    <row r="688" spans="5:23" x14ac:dyDescent="0.25">
      <c r="E688" s="4"/>
      <c r="F688" s="4"/>
      <c r="G688" s="33" t="str">
        <f>IFERROR(VLOOKUP($D688,'Informations sur les produits'!$A$3:$H$10000,8,FALSE),"0")</f>
        <v>0</v>
      </c>
      <c r="K688" s="4"/>
      <c r="L688" s="33" t="str">
        <f>IFERROR(VLOOKUP($J688,'Informations sur les produits'!$A$3:$H$10000,8,FALSE),"0")</f>
        <v>0</v>
      </c>
      <c r="N688" s="8"/>
      <c r="O688" s="33" t="str">
        <f>IFERROR(VLOOKUP($M688,'Informations sur les produits'!$A$3:$H$10000,8,FALSE),"0")</f>
        <v>0</v>
      </c>
      <c r="P688" s="33">
        <f t="shared" si="40"/>
        <v>0</v>
      </c>
      <c r="Q688" s="31" t="str">
        <f t="shared" si="41"/>
        <v/>
      </c>
      <c r="R688" s="32" t="str">
        <f>IFERROR(VLOOKUP($D688,'Informations sur les produits'!$A$3:$B$15000,2,FALSE),"")</f>
        <v/>
      </c>
      <c r="V688">
        <f t="shared" si="42"/>
        <v>0</v>
      </c>
      <c r="W688">
        <f t="shared" si="43"/>
        <v>0</v>
      </c>
    </row>
    <row r="689" spans="5:23" x14ac:dyDescent="0.25">
      <c r="E689" s="4"/>
      <c r="F689" s="4"/>
      <c r="G689" s="33" t="str">
        <f>IFERROR(VLOOKUP($D689,'Informations sur les produits'!$A$3:$H$10000,8,FALSE),"0")</f>
        <v>0</v>
      </c>
      <c r="K689" s="4"/>
      <c r="L689" s="33" t="str">
        <f>IFERROR(VLOOKUP($J689,'Informations sur les produits'!$A$3:$H$10000,8,FALSE),"0")</f>
        <v>0</v>
      </c>
      <c r="N689" s="8"/>
      <c r="O689" s="33" t="str">
        <f>IFERROR(VLOOKUP($M689,'Informations sur les produits'!$A$3:$H$10000,8,FALSE),"0")</f>
        <v>0</v>
      </c>
      <c r="P689" s="33">
        <f t="shared" si="40"/>
        <v>0</v>
      </c>
      <c r="Q689" s="31" t="str">
        <f t="shared" si="41"/>
        <v/>
      </c>
      <c r="R689" s="32" t="str">
        <f>IFERROR(VLOOKUP($D689,'Informations sur les produits'!$A$3:$B$15000,2,FALSE),"")</f>
        <v/>
      </c>
      <c r="V689">
        <f t="shared" si="42"/>
        <v>0</v>
      </c>
      <c r="W689">
        <f t="shared" si="43"/>
        <v>0</v>
      </c>
    </row>
    <row r="690" spans="5:23" x14ac:dyDescent="0.25">
      <c r="E690" s="4"/>
      <c r="F690" s="4"/>
      <c r="G690" s="33" t="str">
        <f>IFERROR(VLOOKUP($D690,'Informations sur les produits'!$A$3:$H$10000,8,FALSE),"0")</f>
        <v>0</v>
      </c>
      <c r="K690" s="4"/>
      <c r="L690" s="33" t="str">
        <f>IFERROR(VLOOKUP($J690,'Informations sur les produits'!$A$3:$H$10000,8,FALSE),"0")</f>
        <v>0</v>
      </c>
      <c r="N690" s="8"/>
      <c r="O690" s="33" t="str">
        <f>IFERROR(VLOOKUP($M690,'Informations sur les produits'!$A$3:$H$10000,8,FALSE),"0")</f>
        <v>0</v>
      </c>
      <c r="P690" s="33">
        <f t="shared" si="40"/>
        <v>0</v>
      </c>
      <c r="Q690" s="31" t="str">
        <f t="shared" si="41"/>
        <v/>
      </c>
      <c r="R690" s="32" t="str">
        <f>IFERROR(VLOOKUP($D690,'Informations sur les produits'!$A$3:$B$15000,2,FALSE),"")</f>
        <v/>
      </c>
      <c r="V690">
        <f t="shared" si="42"/>
        <v>0</v>
      </c>
      <c r="W690">
        <f t="shared" si="43"/>
        <v>0</v>
      </c>
    </row>
    <row r="691" spans="5:23" x14ac:dyDescent="0.25">
      <c r="E691" s="4"/>
      <c r="F691" s="4"/>
      <c r="G691" s="33" t="str">
        <f>IFERROR(VLOOKUP($D691,'Informations sur les produits'!$A$3:$H$10000,8,FALSE),"0")</f>
        <v>0</v>
      </c>
      <c r="K691" s="4"/>
      <c r="L691" s="33" t="str">
        <f>IFERROR(VLOOKUP($J691,'Informations sur les produits'!$A$3:$H$10000,8,FALSE),"0")</f>
        <v>0</v>
      </c>
      <c r="N691" s="8"/>
      <c r="O691" s="33" t="str">
        <f>IFERROR(VLOOKUP($M691,'Informations sur les produits'!$A$3:$H$10000,8,FALSE),"0")</f>
        <v>0</v>
      </c>
      <c r="P691" s="33">
        <f t="shared" si="40"/>
        <v>0</v>
      </c>
      <c r="Q691" s="31" t="str">
        <f t="shared" si="41"/>
        <v/>
      </c>
      <c r="R691" s="32" t="str">
        <f>IFERROR(VLOOKUP($D691,'Informations sur les produits'!$A$3:$B$15000,2,FALSE),"")</f>
        <v/>
      </c>
      <c r="V691">
        <f t="shared" si="42"/>
        <v>0</v>
      </c>
      <c r="W691">
        <f t="shared" si="43"/>
        <v>0</v>
      </c>
    </row>
    <row r="692" spans="5:23" x14ac:dyDescent="0.25">
      <c r="E692" s="4"/>
      <c r="F692" s="4"/>
      <c r="G692" s="33" t="str">
        <f>IFERROR(VLOOKUP($D692,'Informations sur les produits'!$A$3:$H$10000,8,FALSE),"0")</f>
        <v>0</v>
      </c>
      <c r="K692" s="4"/>
      <c r="L692" s="33" t="str">
        <f>IFERROR(VLOOKUP($J692,'Informations sur les produits'!$A$3:$H$10000,8,FALSE),"0")</f>
        <v>0</v>
      </c>
      <c r="N692" s="8"/>
      <c r="O692" s="33" t="str">
        <f>IFERROR(VLOOKUP($M692,'Informations sur les produits'!$A$3:$H$10000,8,FALSE),"0")</f>
        <v>0</v>
      </c>
      <c r="P692" s="33">
        <f t="shared" si="40"/>
        <v>0</v>
      </c>
      <c r="Q692" s="31" t="str">
        <f t="shared" si="41"/>
        <v/>
      </c>
      <c r="R692" s="32" t="str">
        <f>IFERROR(VLOOKUP($D692,'Informations sur les produits'!$A$3:$B$15000,2,FALSE),"")</f>
        <v/>
      </c>
      <c r="V692">
        <f t="shared" si="42"/>
        <v>0</v>
      </c>
      <c r="W692">
        <f t="shared" si="43"/>
        <v>0</v>
      </c>
    </row>
    <row r="693" spans="5:23" x14ac:dyDescent="0.25">
      <c r="E693" s="4"/>
      <c r="F693" s="4"/>
      <c r="G693" s="33" t="str">
        <f>IFERROR(VLOOKUP($D693,'Informations sur les produits'!$A$3:$H$10000,8,FALSE),"0")</f>
        <v>0</v>
      </c>
      <c r="K693" s="4"/>
      <c r="L693" s="33" t="str">
        <f>IFERROR(VLOOKUP($J693,'Informations sur les produits'!$A$3:$H$10000,8,FALSE),"0")</f>
        <v>0</v>
      </c>
      <c r="N693" s="8"/>
      <c r="O693" s="33" t="str">
        <f>IFERROR(VLOOKUP($M693,'Informations sur les produits'!$A$3:$H$10000,8,FALSE),"0")</f>
        <v>0</v>
      </c>
      <c r="P693" s="33">
        <f t="shared" si="40"/>
        <v>0</v>
      </c>
      <c r="Q693" s="31" t="str">
        <f t="shared" si="41"/>
        <v/>
      </c>
      <c r="R693" s="32" t="str">
        <f>IFERROR(VLOOKUP($D693,'Informations sur les produits'!$A$3:$B$15000,2,FALSE),"")</f>
        <v/>
      </c>
      <c r="V693">
        <f t="shared" si="42"/>
        <v>0</v>
      </c>
      <c r="W693">
        <f t="shared" si="43"/>
        <v>0</v>
      </c>
    </row>
    <row r="694" spans="5:23" x14ac:dyDescent="0.25">
      <c r="E694" s="4"/>
      <c r="F694" s="4"/>
      <c r="G694" s="33" t="str">
        <f>IFERROR(VLOOKUP($D694,'Informations sur les produits'!$A$3:$H$10000,8,FALSE),"0")</f>
        <v>0</v>
      </c>
      <c r="K694" s="4"/>
      <c r="L694" s="33" t="str">
        <f>IFERROR(VLOOKUP($J694,'Informations sur les produits'!$A$3:$H$10000,8,FALSE),"0")</f>
        <v>0</v>
      </c>
      <c r="N694" s="8"/>
      <c r="O694" s="33" t="str">
        <f>IFERROR(VLOOKUP($M694,'Informations sur les produits'!$A$3:$H$10000,8,FALSE),"0")</f>
        <v>0</v>
      </c>
      <c r="P694" s="33">
        <f t="shared" si="40"/>
        <v>0</v>
      </c>
      <c r="Q694" s="31" t="str">
        <f t="shared" si="41"/>
        <v/>
      </c>
      <c r="R694" s="32" t="str">
        <f>IFERROR(VLOOKUP($D694,'Informations sur les produits'!$A$3:$B$15000,2,FALSE),"")</f>
        <v/>
      </c>
      <c r="V694">
        <f t="shared" si="42"/>
        <v>0</v>
      </c>
      <c r="W694">
        <f t="shared" si="43"/>
        <v>0</v>
      </c>
    </row>
    <row r="695" spans="5:23" x14ac:dyDescent="0.25">
      <c r="E695" s="4"/>
      <c r="F695" s="4"/>
      <c r="G695" s="33" t="str">
        <f>IFERROR(VLOOKUP($D695,'Informations sur les produits'!$A$3:$H$10000,8,FALSE),"0")</f>
        <v>0</v>
      </c>
      <c r="K695" s="4"/>
      <c r="L695" s="33" t="str">
        <f>IFERROR(VLOOKUP($J695,'Informations sur les produits'!$A$3:$H$10000,8,FALSE),"0")</f>
        <v>0</v>
      </c>
      <c r="N695" s="8"/>
      <c r="O695" s="33" t="str">
        <f>IFERROR(VLOOKUP($M695,'Informations sur les produits'!$A$3:$H$10000,8,FALSE),"0")</f>
        <v>0</v>
      </c>
      <c r="P695" s="33">
        <f t="shared" si="40"/>
        <v>0</v>
      </c>
      <c r="Q695" s="31" t="str">
        <f t="shared" si="41"/>
        <v/>
      </c>
      <c r="R695" s="32" t="str">
        <f>IFERROR(VLOOKUP($D695,'Informations sur les produits'!$A$3:$B$15000,2,FALSE),"")</f>
        <v/>
      </c>
      <c r="V695">
        <f t="shared" si="42"/>
        <v>0</v>
      </c>
      <c r="W695">
        <f t="shared" si="43"/>
        <v>0</v>
      </c>
    </row>
    <row r="696" spans="5:23" x14ac:dyDescent="0.25">
      <c r="E696" s="4"/>
      <c r="F696" s="4"/>
      <c r="G696" s="33" t="str">
        <f>IFERROR(VLOOKUP($D696,'Informations sur les produits'!$A$3:$H$10000,8,FALSE),"0")</f>
        <v>0</v>
      </c>
      <c r="K696" s="4"/>
      <c r="L696" s="33" t="str">
        <f>IFERROR(VLOOKUP($J696,'Informations sur les produits'!$A$3:$H$10000,8,FALSE),"0")</f>
        <v>0</v>
      </c>
      <c r="N696" s="8"/>
      <c r="O696" s="33" t="str">
        <f>IFERROR(VLOOKUP($M696,'Informations sur les produits'!$A$3:$H$10000,8,FALSE),"0")</f>
        <v>0</v>
      </c>
      <c r="P696" s="33">
        <f t="shared" si="40"/>
        <v>0</v>
      </c>
      <c r="Q696" s="31" t="str">
        <f t="shared" si="41"/>
        <v/>
      </c>
      <c r="R696" s="32" t="str">
        <f>IFERROR(VLOOKUP($D696,'Informations sur les produits'!$A$3:$B$15000,2,FALSE),"")</f>
        <v/>
      </c>
      <c r="V696">
        <f t="shared" si="42"/>
        <v>0</v>
      </c>
      <c r="W696">
        <f t="shared" si="43"/>
        <v>0</v>
      </c>
    </row>
    <row r="697" spans="5:23" x14ac:dyDescent="0.25">
      <c r="E697" s="4"/>
      <c r="F697" s="4"/>
      <c r="G697" s="33" t="str">
        <f>IFERROR(VLOOKUP($D697,'Informations sur les produits'!$A$3:$H$10000,8,FALSE),"0")</f>
        <v>0</v>
      </c>
      <c r="K697" s="4"/>
      <c r="L697" s="33" t="str">
        <f>IFERROR(VLOOKUP($J697,'Informations sur les produits'!$A$3:$H$10000,8,FALSE),"0")</f>
        <v>0</v>
      </c>
      <c r="N697" s="8"/>
      <c r="O697" s="33" t="str">
        <f>IFERROR(VLOOKUP($M697,'Informations sur les produits'!$A$3:$H$10000,8,FALSE),"0")</f>
        <v>0</v>
      </c>
      <c r="P697" s="33">
        <f t="shared" si="40"/>
        <v>0</v>
      </c>
      <c r="Q697" s="31" t="str">
        <f t="shared" si="41"/>
        <v/>
      </c>
      <c r="R697" s="32" t="str">
        <f>IFERROR(VLOOKUP($D697,'Informations sur les produits'!$A$3:$B$15000,2,FALSE),"")</f>
        <v/>
      </c>
      <c r="V697">
        <f t="shared" si="42"/>
        <v>0</v>
      </c>
      <c r="W697">
        <f t="shared" si="43"/>
        <v>0</v>
      </c>
    </row>
    <row r="698" spans="5:23" x14ac:dyDescent="0.25">
      <c r="E698" s="4"/>
      <c r="F698" s="4"/>
      <c r="G698" s="33" t="str">
        <f>IFERROR(VLOOKUP($D698,'Informations sur les produits'!$A$3:$H$10000,8,FALSE),"0")</f>
        <v>0</v>
      </c>
      <c r="K698" s="4"/>
      <c r="L698" s="33" t="str">
        <f>IFERROR(VLOOKUP($J698,'Informations sur les produits'!$A$3:$H$10000,8,FALSE),"0")</f>
        <v>0</v>
      </c>
      <c r="N698" s="8"/>
      <c r="O698" s="33" t="str">
        <f>IFERROR(VLOOKUP($M698,'Informations sur les produits'!$A$3:$H$10000,8,FALSE),"0")</f>
        <v>0</v>
      </c>
      <c r="P698" s="33">
        <f t="shared" si="40"/>
        <v>0</v>
      </c>
      <c r="Q698" s="31" t="str">
        <f t="shared" si="41"/>
        <v/>
      </c>
      <c r="R698" s="32" t="str">
        <f>IFERROR(VLOOKUP($D698,'Informations sur les produits'!$A$3:$B$15000,2,FALSE),"")</f>
        <v/>
      </c>
      <c r="V698">
        <f t="shared" si="42"/>
        <v>0</v>
      </c>
      <c r="W698">
        <f t="shared" si="43"/>
        <v>0</v>
      </c>
    </row>
    <row r="699" spans="5:23" x14ac:dyDescent="0.25">
      <c r="E699" s="4"/>
      <c r="F699" s="4"/>
      <c r="G699" s="33" t="str">
        <f>IFERROR(VLOOKUP($D699,'Informations sur les produits'!$A$3:$H$10000,8,FALSE),"0")</f>
        <v>0</v>
      </c>
      <c r="K699" s="4"/>
      <c r="L699" s="33" t="str">
        <f>IFERROR(VLOOKUP($J699,'Informations sur les produits'!$A$3:$H$10000,8,FALSE),"0")</f>
        <v>0</v>
      </c>
      <c r="N699" s="8"/>
      <c r="O699" s="33" t="str">
        <f>IFERROR(VLOOKUP($M699,'Informations sur les produits'!$A$3:$H$10000,8,FALSE),"0")</f>
        <v>0</v>
      </c>
      <c r="P699" s="33">
        <f t="shared" si="40"/>
        <v>0</v>
      </c>
      <c r="Q699" s="31" t="str">
        <f t="shared" si="41"/>
        <v/>
      </c>
      <c r="R699" s="32" t="str">
        <f>IFERROR(VLOOKUP($D699,'Informations sur les produits'!$A$3:$B$15000,2,FALSE),"")</f>
        <v/>
      </c>
      <c r="V699">
        <f t="shared" si="42"/>
        <v>0</v>
      </c>
      <c r="W699">
        <f t="shared" si="43"/>
        <v>0</v>
      </c>
    </row>
    <row r="700" spans="5:23" x14ac:dyDescent="0.25">
      <c r="E700" s="4"/>
      <c r="F700" s="4"/>
      <c r="G700" s="33" t="str">
        <f>IFERROR(VLOOKUP($D700,'Informations sur les produits'!$A$3:$H$10000,8,FALSE),"0")</f>
        <v>0</v>
      </c>
      <c r="K700" s="4"/>
      <c r="L700" s="33" t="str">
        <f>IFERROR(VLOOKUP($J700,'Informations sur les produits'!$A$3:$H$10000,8,FALSE),"0")</f>
        <v>0</v>
      </c>
      <c r="N700" s="8"/>
      <c r="O700" s="33" t="str">
        <f>IFERROR(VLOOKUP($M700,'Informations sur les produits'!$A$3:$H$10000,8,FALSE),"0")</f>
        <v>0</v>
      </c>
      <c r="P700" s="33">
        <f t="shared" si="40"/>
        <v>0</v>
      </c>
      <c r="Q700" s="31" t="str">
        <f t="shared" si="41"/>
        <v/>
      </c>
      <c r="R700" s="32" t="str">
        <f>IFERROR(VLOOKUP($D700,'Informations sur les produits'!$A$3:$B$15000,2,FALSE),"")</f>
        <v/>
      </c>
      <c r="V700">
        <f t="shared" si="42"/>
        <v>0</v>
      </c>
      <c r="W700">
        <f t="shared" si="43"/>
        <v>0</v>
      </c>
    </row>
    <row r="701" spans="5:23" x14ac:dyDescent="0.25">
      <c r="E701" s="4"/>
      <c r="F701" s="4"/>
      <c r="G701" s="33" t="str">
        <f>IFERROR(VLOOKUP($D701,'Informations sur les produits'!$A$3:$H$10000,8,FALSE),"0")</f>
        <v>0</v>
      </c>
      <c r="K701" s="4"/>
      <c r="L701" s="33" t="str">
        <f>IFERROR(VLOOKUP($J701,'Informations sur les produits'!$A$3:$H$10000,8,FALSE),"0")</f>
        <v>0</v>
      </c>
      <c r="N701" s="8"/>
      <c r="O701" s="33" t="str">
        <f>IFERROR(VLOOKUP($M701,'Informations sur les produits'!$A$3:$H$10000,8,FALSE),"0")</f>
        <v>0</v>
      </c>
      <c r="P701" s="33">
        <f t="shared" si="40"/>
        <v>0</v>
      </c>
      <c r="Q701" s="31" t="str">
        <f t="shared" si="41"/>
        <v/>
      </c>
      <c r="R701" s="32" t="str">
        <f>IFERROR(VLOOKUP($D701,'Informations sur les produits'!$A$3:$B$15000,2,FALSE),"")</f>
        <v/>
      </c>
      <c r="V701">
        <f t="shared" si="42"/>
        <v>0</v>
      </c>
      <c r="W701">
        <f t="shared" si="43"/>
        <v>0</v>
      </c>
    </row>
    <row r="702" spans="5:23" x14ac:dyDescent="0.25">
      <c r="E702" s="4"/>
      <c r="F702" s="4"/>
      <c r="G702" s="33" t="str">
        <f>IFERROR(VLOOKUP($D702,'Informations sur les produits'!$A$3:$H$10000,8,FALSE),"0")</f>
        <v>0</v>
      </c>
      <c r="K702" s="4"/>
      <c r="L702" s="33" t="str">
        <f>IFERROR(VLOOKUP($J702,'Informations sur les produits'!$A$3:$H$10000,8,FALSE),"0")</f>
        <v>0</v>
      </c>
      <c r="N702" s="8"/>
      <c r="O702" s="33" t="str">
        <f>IFERROR(VLOOKUP($M702,'Informations sur les produits'!$A$3:$H$10000,8,FALSE),"0")</f>
        <v>0</v>
      </c>
      <c r="P702" s="33">
        <f t="shared" si="40"/>
        <v>0</v>
      </c>
      <c r="Q702" s="31" t="str">
        <f t="shared" si="41"/>
        <v/>
      </c>
      <c r="R702" s="32" t="str">
        <f>IFERROR(VLOOKUP($D702,'Informations sur les produits'!$A$3:$B$15000,2,FALSE),"")</f>
        <v/>
      </c>
      <c r="V702">
        <f t="shared" si="42"/>
        <v>0</v>
      </c>
      <c r="W702">
        <f t="shared" si="43"/>
        <v>0</v>
      </c>
    </row>
    <row r="703" spans="5:23" x14ac:dyDescent="0.25">
      <c r="E703" s="4"/>
      <c r="F703" s="4"/>
      <c r="G703" s="33" t="str">
        <f>IFERROR(VLOOKUP($D703,'Informations sur les produits'!$A$3:$H$10000,8,FALSE),"0")</f>
        <v>0</v>
      </c>
      <c r="K703" s="4"/>
      <c r="L703" s="33" t="str">
        <f>IFERROR(VLOOKUP($J703,'Informations sur les produits'!$A$3:$H$10000,8,FALSE),"0")</f>
        <v>0</v>
      </c>
      <c r="N703" s="8"/>
      <c r="O703" s="33" t="str">
        <f>IFERROR(VLOOKUP($M703,'Informations sur les produits'!$A$3:$H$10000,8,FALSE),"0")</f>
        <v>0</v>
      </c>
      <c r="P703" s="33">
        <f t="shared" si="40"/>
        <v>0</v>
      </c>
      <c r="Q703" s="31" t="str">
        <f t="shared" si="41"/>
        <v/>
      </c>
      <c r="R703" s="32" t="str">
        <f>IFERROR(VLOOKUP($D703,'Informations sur les produits'!$A$3:$B$15000,2,FALSE),"")</f>
        <v/>
      </c>
      <c r="V703">
        <f t="shared" si="42"/>
        <v>0</v>
      </c>
      <c r="W703">
        <f t="shared" si="43"/>
        <v>0</v>
      </c>
    </row>
    <row r="704" spans="5:23" x14ac:dyDescent="0.25">
      <c r="E704" s="4"/>
      <c r="F704" s="4"/>
      <c r="G704" s="33" t="str">
        <f>IFERROR(VLOOKUP($D704,'Informations sur les produits'!$A$3:$H$10000,8,FALSE),"0")</f>
        <v>0</v>
      </c>
      <c r="K704" s="4"/>
      <c r="L704" s="33" t="str">
        <f>IFERROR(VLOOKUP($J704,'Informations sur les produits'!$A$3:$H$10000,8,FALSE),"0")</f>
        <v>0</v>
      </c>
      <c r="N704" s="8"/>
      <c r="O704" s="33" t="str">
        <f>IFERROR(VLOOKUP($M704,'Informations sur les produits'!$A$3:$H$10000,8,FALSE),"0")</f>
        <v>0</v>
      </c>
      <c r="P704" s="33">
        <f t="shared" si="40"/>
        <v>0</v>
      </c>
      <c r="Q704" s="31" t="str">
        <f t="shared" si="41"/>
        <v/>
      </c>
      <c r="R704" s="32" t="str">
        <f>IFERROR(VLOOKUP($D704,'Informations sur les produits'!$A$3:$B$15000,2,FALSE),"")</f>
        <v/>
      </c>
      <c r="V704">
        <f t="shared" si="42"/>
        <v>0</v>
      </c>
      <c r="W704">
        <f t="shared" si="43"/>
        <v>0</v>
      </c>
    </row>
    <row r="705" spans="5:23" x14ac:dyDescent="0.25">
      <c r="E705" s="4"/>
      <c r="F705" s="4"/>
      <c r="G705" s="33" t="str">
        <f>IFERROR(VLOOKUP($D705,'Informations sur les produits'!$A$3:$H$10000,8,FALSE),"0")</f>
        <v>0</v>
      </c>
      <c r="K705" s="4"/>
      <c r="L705" s="33" t="str">
        <f>IFERROR(VLOOKUP($J705,'Informations sur les produits'!$A$3:$H$10000,8,FALSE),"0")</f>
        <v>0</v>
      </c>
      <c r="N705" s="8"/>
      <c r="O705" s="33" t="str">
        <f>IFERROR(VLOOKUP($M705,'Informations sur les produits'!$A$3:$H$10000,8,FALSE),"0")</f>
        <v>0</v>
      </c>
      <c r="P705" s="33">
        <f t="shared" si="40"/>
        <v>0</v>
      </c>
      <c r="Q705" s="31" t="str">
        <f t="shared" si="41"/>
        <v/>
      </c>
      <c r="R705" s="32" t="str">
        <f>IFERROR(VLOOKUP($D705,'Informations sur les produits'!$A$3:$B$15000,2,FALSE),"")</f>
        <v/>
      </c>
      <c r="V705">
        <f t="shared" si="42"/>
        <v>0</v>
      </c>
      <c r="W705">
        <f t="shared" si="43"/>
        <v>0</v>
      </c>
    </row>
    <row r="706" spans="5:23" x14ac:dyDescent="0.25">
      <c r="E706" s="4"/>
      <c r="F706" s="4"/>
      <c r="G706" s="33" t="str">
        <f>IFERROR(VLOOKUP($D706,'Informations sur les produits'!$A$3:$H$10000,8,FALSE),"0")</f>
        <v>0</v>
      </c>
      <c r="K706" s="4"/>
      <c r="L706" s="33" t="str">
        <f>IFERROR(VLOOKUP($J706,'Informations sur les produits'!$A$3:$H$10000,8,FALSE),"0")</f>
        <v>0</v>
      </c>
      <c r="N706" s="8"/>
      <c r="O706" s="33" t="str">
        <f>IFERROR(VLOOKUP($M706,'Informations sur les produits'!$A$3:$H$10000,8,FALSE),"0")</f>
        <v>0</v>
      </c>
      <c r="P706" s="33">
        <f t="shared" si="40"/>
        <v>0</v>
      </c>
      <c r="Q706" s="31" t="str">
        <f t="shared" si="41"/>
        <v/>
      </c>
      <c r="R706" s="32" t="str">
        <f>IFERROR(VLOOKUP($D706,'Informations sur les produits'!$A$3:$B$15000,2,FALSE),"")</f>
        <v/>
      </c>
      <c r="V706">
        <f t="shared" si="42"/>
        <v>0</v>
      </c>
      <c r="W706">
        <f t="shared" si="43"/>
        <v>0</v>
      </c>
    </row>
    <row r="707" spans="5:23" x14ac:dyDescent="0.25">
      <c r="E707" s="4"/>
      <c r="F707" s="4"/>
      <c r="G707" s="33" t="str">
        <f>IFERROR(VLOOKUP($D707,'Informations sur les produits'!$A$3:$H$10000,8,FALSE),"0")</f>
        <v>0</v>
      </c>
      <c r="K707" s="4"/>
      <c r="L707" s="33" t="str">
        <f>IFERROR(VLOOKUP($J707,'Informations sur les produits'!$A$3:$H$10000,8,FALSE),"0")</f>
        <v>0</v>
      </c>
      <c r="N707" s="8"/>
      <c r="O707" s="33" t="str">
        <f>IFERROR(VLOOKUP($M707,'Informations sur les produits'!$A$3:$H$10000,8,FALSE),"0")</f>
        <v>0</v>
      </c>
      <c r="P707" s="33">
        <f t="shared" si="40"/>
        <v>0</v>
      </c>
      <c r="Q707" s="31" t="str">
        <f t="shared" si="41"/>
        <v/>
      </c>
      <c r="R707" s="32" t="str">
        <f>IFERROR(VLOOKUP($D707,'Informations sur les produits'!$A$3:$B$15000,2,FALSE),"")</f>
        <v/>
      </c>
      <c r="V707">
        <f t="shared" si="42"/>
        <v>0</v>
      </c>
      <c r="W707">
        <f t="shared" si="43"/>
        <v>0</v>
      </c>
    </row>
    <row r="708" spans="5:23" x14ac:dyDescent="0.25">
      <c r="E708" s="4"/>
      <c r="F708" s="4"/>
      <c r="G708" s="33" t="str">
        <f>IFERROR(VLOOKUP($D708,'Informations sur les produits'!$A$3:$H$10000,8,FALSE),"0")</f>
        <v>0</v>
      </c>
      <c r="K708" s="4"/>
      <c r="L708" s="33" t="str">
        <f>IFERROR(VLOOKUP($J708,'Informations sur les produits'!$A$3:$H$10000,8,FALSE),"0")</f>
        <v>0</v>
      </c>
      <c r="N708" s="8"/>
      <c r="O708" s="33" t="str">
        <f>IFERROR(VLOOKUP($M708,'Informations sur les produits'!$A$3:$H$10000,8,FALSE),"0")</f>
        <v>0</v>
      </c>
      <c r="P708" s="33">
        <f t="shared" ref="P708:P771" si="44">IFERROR((($E708-$F708)*$G708+$K708*$L708+$N708*$O708),"")</f>
        <v>0</v>
      </c>
      <c r="Q708" s="31" t="str">
        <f t="shared" ref="Q708:Q771" si="45">IFERROR((((($E708-$F708)*$G708+$K708*$L708+$N708*$O708)*1000)/(($E708-$F708)+$K708+$N708)),"")</f>
        <v/>
      </c>
      <c r="R708" s="32" t="str">
        <f>IFERROR(VLOOKUP($D708,'Informations sur les produits'!$A$3:$B$15000,2,FALSE),"")</f>
        <v/>
      </c>
      <c r="V708">
        <f t="shared" ref="V708:V771" si="46">IFERROR(P708*1000,"")</f>
        <v>0</v>
      </c>
      <c r="W708">
        <f t="shared" ref="W708:W771" si="47">IFERROR(($E708-$F708)+$K708+$N708,"")</f>
        <v>0</v>
      </c>
    </row>
    <row r="709" spans="5:23" x14ac:dyDescent="0.25">
      <c r="E709" s="4"/>
      <c r="F709" s="4"/>
      <c r="G709" s="33" t="str">
        <f>IFERROR(VLOOKUP($D709,'Informations sur les produits'!$A$3:$H$10000,8,FALSE),"0")</f>
        <v>0</v>
      </c>
      <c r="K709" s="4"/>
      <c r="L709" s="33" t="str">
        <f>IFERROR(VLOOKUP($J709,'Informations sur les produits'!$A$3:$H$10000,8,FALSE),"0")</f>
        <v>0</v>
      </c>
      <c r="N709" s="8"/>
      <c r="O709" s="33" t="str">
        <f>IFERROR(VLOOKUP($M709,'Informations sur les produits'!$A$3:$H$10000,8,FALSE),"0")</f>
        <v>0</v>
      </c>
      <c r="P709" s="33">
        <f t="shared" si="44"/>
        <v>0</v>
      </c>
      <c r="Q709" s="31" t="str">
        <f t="shared" si="45"/>
        <v/>
      </c>
      <c r="R709" s="32" t="str">
        <f>IFERROR(VLOOKUP($D709,'Informations sur les produits'!$A$3:$B$15000,2,FALSE),"")</f>
        <v/>
      </c>
      <c r="V709">
        <f t="shared" si="46"/>
        <v>0</v>
      </c>
      <c r="W709">
        <f t="shared" si="47"/>
        <v>0</v>
      </c>
    </row>
    <row r="710" spans="5:23" x14ac:dyDescent="0.25">
      <c r="E710" s="4"/>
      <c r="F710" s="4"/>
      <c r="G710" s="33" t="str">
        <f>IFERROR(VLOOKUP($D710,'Informations sur les produits'!$A$3:$H$10000,8,FALSE),"0")</f>
        <v>0</v>
      </c>
      <c r="K710" s="4"/>
      <c r="L710" s="33" t="str">
        <f>IFERROR(VLOOKUP($J710,'Informations sur les produits'!$A$3:$H$10000,8,FALSE),"0")</f>
        <v>0</v>
      </c>
      <c r="N710" s="8"/>
      <c r="O710" s="33" t="str">
        <f>IFERROR(VLOOKUP($M710,'Informations sur les produits'!$A$3:$H$10000,8,FALSE),"0")</f>
        <v>0</v>
      </c>
      <c r="P710" s="33">
        <f t="shared" si="44"/>
        <v>0</v>
      </c>
      <c r="Q710" s="31" t="str">
        <f t="shared" si="45"/>
        <v/>
      </c>
      <c r="R710" s="32" t="str">
        <f>IFERROR(VLOOKUP($D710,'Informations sur les produits'!$A$3:$B$15000,2,FALSE),"")</f>
        <v/>
      </c>
      <c r="V710">
        <f t="shared" si="46"/>
        <v>0</v>
      </c>
      <c r="W710">
        <f t="shared" si="47"/>
        <v>0</v>
      </c>
    </row>
    <row r="711" spans="5:23" x14ac:dyDescent="0.25">
      <c r="E711" s="4"/>
      <c r="F711" s="4"/>
      <c r="G711" s="33" t="str">
        <f>IFERROR(VLOOKUP($D711,'Informations sur les produits'!$A$3:$H$10000,8,FALSE),"0")</f>
        <v>0</v>
      </c>
      <c r="K711" s="4"/>
      <c r="L711" s="33" t="str">
        <f>IFERROR(VLOOKUP($J711,'Informations sur les produits'!$A$3:$H$10000,8,FALSE),"0")</f>
        <v>0</v>
      </c>
      <c r="N711" s="8"/>
      <c r="O711" s="33" t="str">
        <f>IFERROR(VLOOKUP($M711,'Informations sur les produits'!$A$3:$H$10000,8,FALSE),"0")</f>
        <v>0</v>
      </c>
      <c r="P711" s="33">
        <f t="shared" si="44"/>
        <v>0</v>
      </c>
      <c r="Q711" s="31" t="str">
        <f t="shared" si="45"/>
        <v/>
      </c>
      <c r="R711" s="32" t="str">
        <f>IFERROR(VLOOKUP($D711,'Informations sur les produits'!$A$3:$B$15000,2,FALSE),"")</f>
        <v/>
      </c>
      <c r="V711">
        <f t="shared" si="46"/>
        <v>0</v>
      </c>
      <c r="W711">
        <f t="shared" si="47"/>
        <v>0</v>
      </c>
    </row>
    <row r="712" spans="5:23" x14ac:dyDescent="0.25">
      <c r="E712" s="4"/>
      <c r="F712" s="4"/>
      <c r="G712" s="33" t="str">
        <f>IFERROR(VLOOKUP($D712,'Informations sur les produits'!$A$3:$H$10000,8,FALSE),"0")</f>
        <v>0</v>
      </c>
      <c r="K712" s="4"/>
      <c r="L712" s="33" t="str">
        <f>IFERROR(VLOOKUP($J712,'Informations sur les produits'!$A$3:$H$10000,8,FALSE),"0")</f>
        <v>0</v>
      </c>
      <c r="N712" s="8"/>
      <c r="O712" s="33" t="str">
        <f>IFERROR(VLOOKUP($M712,'Informations sur les produits'!$A$3:$H$10000,8,FALSE),"0")</f>
        <v>0</v>
      </c>
      <c r="P712" s="33">
        <f t="shared" si="44"/>
        <v>0</v>
      </c>
      <c r="Q712" s="31" t="str">
        <f t="shared" si="45"/>
        <v/>
      </c>
      <c r="R712" s="32" t="str">
        <f>IFERROR(VLOOKUP($D712,'Informations sur les produits'!$A$3:$B$15000,2,FALSE),"")</f>
        <v/>
      </c>
      <c r="V712">
        <f t="shared" si="46"/>
        <v>0</v>
      </c>
      <c r="W712">
        <f t="shared" si="47"/>
        <v>0</v>
      </c>
    </row>
    <row r="713" spans="5:23" x14ac:dyDescent="0.25">
      <c r="E713" s="4"/>
      <c r="F713" s="4"/>
      <c r="G713" s="33" t="str">
        <f>IFERROR(VLOOKUP($D713,'Informations sur les produits'!$A$3:$H$10000,8,FALSE),"0")</f>
        <v>0</v>
      </c>
      <c r="K713" s="4"/>
      <c r="L713" s="33" t="str">
        <f>IFERROR(VLOOKUP($J713,'Informations sur les produits'!$A$3:$H$10000,8,FALSE),"0")</f>
        <v>0</v>
      </c>
      <c r="N713" s="8"/>
      <c r="O713" s="33" t="str">
        <f>IFERROR(VLOOKUP($M713,'Informations sur les produits'!$A$3:$H$10000,8,FALSE),"0")</f>
        <v>0</v>
      </c>
      <c r="P713" s="33">
        <f t="shared" si="44"/>
        <v>0</v>
      </c>
      <c r="Q713" s="31" t="str">
        <f t="shared" si="45"/>
        <v/>
      </c>
      <c r="R713" s="32" t="str">
        <f>IFERROR(VLOOKUP($D713,'Informations sur les produits'!$A$3:$B$15000,2,FALSE),"")</f>
        <v/>
      </c>
      <c r="V713">
        <f t="shared" si="46"/>
        <v>0</v>
      </c>
      <c r="W713">
        <f t="shared" si="47"/>
        <v>0</v>
      </c>
    </row>
    <row r="714" spans="5:23" x14ac:dyDescent="0.25">
      <c r="E714" s="4"/>
      <c r="F714" s="4"/>
      <c r="G714" s="33" t="str">
        <f>IFERROR(VLOOKUP($D714,'Informations sur les produits'!$A$3:$H$10000,8,FALSE),"0")</f>
        <v>0</v>
      </c>
      <c r="K714" s="4"/>
      <c r="L714" s="33" t="str">
        <f>IFERROR(VLOOKUP($J714,'Informations sur les produits'!$A$3:$H$10000,8,FALSE),"0")</f>
        <v>0</v>
      </c>
      <c r="N714" s="8"/>
      <c r="O714" s="33" t="str">
        <f>IFERROR(VLOOKUP($M714,'Informations sur les produits'!$A$3:$H$10000,8,FALSE),"0")</f>
        <v>0</v>
      </c>
      <c r="P714" s="33">
        <f t="shared" si="44"/>
        <v>0</v>
      </c>
      <c r="Q714" s="31" t="str">
        <f t="shared" si="45"/>
        <v/>
      </c>
      <c r="R714" s="32" t="str">
        <f>IFERROR(VLOOKUP($D714,'Informations sur les produits'!$A$3:$B$15000,2,FALSE),"")</f>
        <v/>
      </c>
      <c r="V714">
        <f t="shared" si="46"/>
        <v>0</v>
      </c>
      <c r="W714">
        <f t="shared" si="47"/>
        <v>0</v>
      </c>
    </row>
    <row r="715" spans="5:23" x14ac:dyDescent="0.25">
      <c r="E715" s="4"/>
      <c r="F715" s="4"/>
      <c r="G715" s="33" t="str">
        <f>IFERROR(VLOOKUP($D715,'Informations sur les produits'!$A$3:$H$10000,8,FALSE),"0")</f>
        <v>0</v>
      </c>
      <c r="K715" s="4"/>
      <c r="L715" s="33" t="str">
        <f>IFERROR(VLOOKUP($J715,'Informations sur les produits'!$A$3:$H$10000,8,FALSE),"0")</f>
        <v>0</v>
      </c>
      <c r="N715" s="8"/>
      <c r="O715" s="33" t="str">
        <f>IFERROR(VLOOKUP($M715,'Informations sur les produits'!$A$3:$H$10000,8,FALSE),"0")</f>
        <v>0</v>
      </c>
      <c r="P715" s="33">
        <f t="shared" si="44"/>
        <v>0</v>
      </c>
      <c r="Q715" s="31" t="str">
        <f t="shared" si="45"/>
        <v/>
      </c>
      <c r="R715" s="32" t="str">
        <f>IFERROR(VLOOKUP($D715,'Informations sur les produits'!$A$3:$B$15000,2,FALSE),"")</f>
        <v/>
      </c>
      <c r="V715">
        <f t="shared" si="46"/>
        <v>0</v>
      </c>
      <c r="W715">
        <f t="shared" si="47"/>
        <v>0</v>
      </c>
    </row>
    <row r="716" spans="5:23" x14ac:dyDescent="0.25">
      <c r="E716" s="4"/>
      <c r="F716" s="4"/>
      <c r="G716" s="33" t="str">
        <f>IFERROR(VLOOKUP($D716,'Informations sur les produits'!$A$3:$H$10000,8,FALSE),"0")</f>
        <v>0</v>
      </c>
      <c r="K716" s="4"/>
      <c r="L716" s="33" t="str">
        <f>IFERROR(VLOOKUP($J716,'Informations sur les produits'!$A$3:$H$10000,8,FALSE),"0")</f>
        <v>0</v>
      </c>
      <c r="N716" s="8"/>
      <c r="O716" s="33" t="str">
        <f>IFERROR(VLOOKUP($M716,'Informations sur les produits'!$A$3:$H$10000,8,FALSE),"0")</f>
        <v>0</v>
      </c>
      <c r="P716" s="33">
        <f t="shared" si="44"/>
        <v>0</v>
      </c>
      <c r="Q716" s="31" t="str">
        <f t="shared" si="45"/>
        <v/>
      </c>
      <c r="R716" s="32" t="str">
        <f>IFERROR(VLOOKUP($D716,'Informations sur les produits'!$A$3:$B$15000,2,FALSE),"")</f>
        <v/>
      </c>
      <c r="V716">
        <f t="shared" si="46"/>
        <v>0</v>
      </c>
      <c r="W716">
        <f t="shared" si="47"/>
        <v>0</v>
      </c>
    </row>
    <row r="717" spans="5:23" x14ac:dyDescent="0.25">
      <c r="E717" s="4"/>
      <c r="F717" s="4"/>
      <c r="G717" s="33" t="str">
        <f>IFERROR(VLOOKUP($D717,'Informations sur les produits'!$A$3:$H$10000,8,FALSE),"0")</f>
        <v>0</v>
      </c>
      <c r="K717" s="4"/>
      <c r="L717" s="33" t="str">
        <f>IFERROR(VLOOKUP($J717,'Informations sur les produits'!$A$3:$H$10000,8,FALSE),"0")</f>
        <v>0</v>
      </c>
      <c r="N717" s="8"/>
      <c r="O717" s="33" t="str">
        <f>IFERROR(VLOOKUP($M717,'Informations sur les produits'!$A$3:$H$10000,8,FALSE),"0")</f>
        <v>0</v>
      </c>
      <c r="P717" s="33">
        <f t="shared" si="44"/>
        <v>0</v>
      </c>
      <c r="Q717" s="31" t="str">
        <f t="shared" si="45"/>
        <v/>
      </c>
      <c r="R717" s="32" t="str">
        <f>IFERROR(VLOOKUP($D717,'Informations sur les produits'!$A$3:$B$15000,2,FALSE),"")</f>
        <v/>
      </c>
      <c r="V717">
        <f t="shared" si="46"/>
        <v>0</v>
      </c>
      <c r="W717">
        <f t="shared" si="47"/>
        <v>0</v>
      </c>
    </row>
    <row r="718" spans="5:23" x14ac:dyDescent="0.25">
      <c r="E718" s="4"/>
      <c r="F718" s="4"/>
      <c r="G718" s="33" t="str">
        <f>IFERROR(VLOOKUP($D718,'Informations sur les produits'!$A$3:$H$10000,8,FALSE),"0")</f>
        <v>0</v>
      </c>
      <c r="K718" s="4"/>
      <c r="L718" s="33" t="str">
        <f>IFERROR(VLOOKUP($J718,'Informations sur les produits'!$A$3:$H$10000,8,FALSE),"0")</f>
        <v>0</v>
      </c>
      <c r="N718" s="8"/>
      <c r="O718" s="33" t="str">
        <f>IFERROR(VLOOKUP($M718,'Informations sur les produits'!$A$3:$H$10000,8,FALSE),"0")</f>
        <v>0</v>
      </c>
      <c r="P718" s="33">
        <f t="shared" si="44"/>
        <v>0</v>
      </c>
      <c r="Q718" s="31" t="str">
        <f t="shared" si="45"/>
        <v/>
      </c>
      <c r="R718" s="32" t="str">
        <f>IFERROR(VLOOKUP($D718,'Informations sur les produits'!$A$3:$B$15000,2,FALSE),"")</f>
        <v/>
      </c>
      <c r="V718">
        <f t="shared" si="46"/>
        <v>0</v>
      </c>
      <c r="W718">
        <f t="shared" si="47"/>
        <v>0</v>
      </c>
    </row>
    <row r="719" spans="5:23" x14ac:dyDescent="0.25">
      <c r="E719" s="4"/>
      <c r="F719" s="4"/>
      <c r="G719" s="33" t="str">
        <f>IFERROR(VLOOKUP($D719,'Informations sur les produits'!$A$3:$H$10000,8,FALSE),"0")</f>
        <v>0</v>
      </c>
      <c r="K719" s="4"/>
      <c r="L719" s="33" t="str">
        <f>IFERROR(VLOOKUP($J719,'Informations sur les produits'!$A$3:$H$10000,8,FALSE),"0")</f>
        <v>0</v>
      </c>
      <c r="N719" s="8"/>
      <c r="O719" s="33" t="str">
        <f>IFERROR(VLOOKUP($M719,'Informations sur les produits'!$A$3:$H$10000,8,FALSE),"0")</f>
        <v>0</v>
      </c>
      <c r="P719" s="33">
        <f t="shared" si="44"/>
        <v>0</v>
      </c>
      <c r="Q719" s="31" t="str">
        <f t="shared" si="45"/>
        <v/>
      </c>
      <c r="R719" s="32" t="str">
        <f>IFERROR(VLOOKUP($D719,'Informations sur les produits'!$A$3:$B$15000,2,FALSE),"")</f>
        <v/>
      </c>
      <c r="V719">
        <f t="shared" si="46"/>
        <v>0</v>
      </c>
      <c r="W719">
        <f t="shared" si="47"/>
        <v>0</v>
      </c>
    </row>
    <row r="720" spans="5:23" x14ac:dyDescent="0.25">
      <c r="E720" s="4"/>
      <c r="F720" s="4"/>
      <c r="G720" s="33" t="str">
        <f>IFERROR(VLOOKUP($D720,'Informations sur les produits'!$A$3:$H$10000,8,FALSE),"0")</f>
        <v>0</v>
      </c>
      <c r="K720" s="4"/>
      <c r="L720" s="33" t="str">
        <f>IFERROR(VLOOKUP($J720,'Informations sur les produits'!$A$3:$H$10000,8,FALSE),"0")</f>
        <v>0</v>
      </c>
      <c r="N720" s="8"/>
      <c r="O720" s="33" t="str">
        <f>IFERROR(VLOOKUP($M720,'Informations sur les produits'!$A$3:$H$10000,8,FALSE),"0")</f>
        <v>0</v>
      </c>
      <c r="P720" s="33">
        <f t="shared" si="44"/>
        <v>0</v>
      </c>
      <c r="Q720" s="31" t="str">
        <f t="shared" si="45"/>
        <v/>
      </c>
      <c r="R720" s="32" t="str">
        <f>IFERROR(VLOOKUP($D720,'Informations sur les produits'!$A$3:$B$15000,2,FALSE),"")</f>
        <v/>
      </c>
      <c r="V720">
        <f t="shared" si="46"/>
        <v>0</v>
      </c>
      <c r="W720">
        <f t="shared" si="47"/>
        <v>0</v>
      </c>
    </row>
    <row r="721" spans="5:23" x14ac:dyDescent="0.25">
      <c r="E721" s="4"/>
      <c r="F721" s="4"/>
      <c r="G721" s="33" t="str">
        <f>IFERROR(VLOOKUP($D721,'Informations sur les produits'!$A$3:$H$10000,8,FALSE),"0")</f>
        <v>0</v>
      </c>
      <c r="K721" s="4"/>
      <c r="L721" s="33" t="str">
        <f>IFERROR(VLOOKUP($J721,'Informations sur les produits'!$A$3:$H$10000,8,FALSE),"0")</f>
        <v>0</v>
      </c>
      <c r="N721" s="8"/>
      <c r="O721" s="33" t="str">
        <f>IFERROR(VLOOKUP($M721,'Informations sur les produits'!$A$3:$H$10000,8,FALSE),"0")</f>
        <v>0</v>
      </c>
      <c r="P721" s="33">
        <f t="shared" si="44"/>
        <v>0</v>
      </c>
      <c r="Q721" s="31" t="str">
        <f t="shared" si="45"/>
        <v/>
      </c>
      <c r="R721" s="32" t="str">
        <f>IFERROR(VLOOKUP($D721,'Informations sur les produits'!$A$3:$B$15000,2,FALSE),"")</f>
        <v/>
      </c>
      <c r="V721">
        <f t="shared" si="46"/>
        <v>0</v>
      </c>
      <c r="W721">
        <f t="shared" si="47"/>
        <v>0</v>
      </c>
    </row>
    <row r="722" spans="5:23" x14ac:dyDescent="0.25">
      <c r="E722" s="4"/>
      <c r="F722" s="4"/>
      <c r="G722" s="33" t="str">
        <f>IFERROR(VLOOKUP($D722,'Informations sur les produits'!$A$3:$H$10000,8,FALSE),"0")</f>
        <v>0</v>
      </c>
      <c r="K722" s="4"/>
      <c r="L722" s="33" t="str">
        <f>IFERROR(VLOOKUP($J722,'Informations sur les produits'!$A$3:$H$10000,8,FALSE),"0")</f>
        <v>0</v>
      </c>
      <c r="N722" s="8"/>
      <c r="O722" s="33" t="str">
        <f>IFERROR(VLOOKUP($M722,'Informations sur les produits'!$A$3:$H$10000,8,FALSE),"0")</f>
        <v>0</v>
      </c>
      <c r="P722" s="33">
        <f t="shared" si="44"/>
        <v>0</v>
      </c>
      <c r="Q722" s="31" t="str">
        <f t="shared" si="45"/>
        <v/>
      </c>
      <c r="R722" s="32" t="str">
        <f>IFERROR(VLOOKUP($D722,'Informations sur les produits'!$A$3:$B$15000,2,FALSE),"")</f>
        <v/>
      </c>
      <c r="V722">
        <f t="shared" si="46"/>
        <v>0</v>
      </c>
      <c r="W722">
        <f t="shared" si="47"/>
        <v>0</v>
      </c>
    </row>
    <row r="723" spans="5:23" x14ac:dyDescent="0.25">
      <c r="E723" s="4"/>
      <c r="F723" s="4"/>
      <c r="G723" s="33" t="str">
        <f>IFERROR(VLOOKUP($D723,'Informations sur les produits'!$A$3:$H$10000,8,FALSE),"0")</f>
        <v>0</v>
      </c>
      <c r="K723" s="4"/>
      <c r="L723" s="33" t="str">
        <f>IFERROR(VLOOKUP($J723,'Informations sur les produits'!$A$3:$H$10000,8,FALSE),"0")</f>
        <v>0</v>
      </c>
      <c r="N723" s="8"/>
      <c r="O723" s="33" t="str">
        <f>IFERROR(VLOOKUP($M723,'Informations sur les produits'!$A$3:$H$10000,8,FALSE),"0")</f>
        <v>0</v>
      </c>
      <c r="P723" s="33">
        <f t="shared" si="44"/>
        <v>0</v>
      </c>
      <c r="Q723" s="31" t="str">
        <f t="shared" si="45"/>
        <v/>
      </c>
      <c r="R723" s="32" t="str">
        <f>IFERROR(VLOOKUP($D723,'Informations sur les produits'!$A$3:$B$15000,2,FALSE),"")</f>
        <v/>
      </c>
      <c r="V723">
        <f t="shared" si="46"/>
        <v>0</v>
      </c>
      <c r="W723">
        <f t="shared" si="47"/>
        <v>0</v>
      </c>
    </row>
    <row r="724" spans="5:23" x14ac:dyDescent="0.25">
      <c r="E724" s="4"/>
      <c r="F724" s="4"/>
      <c r="G724" s="33" t="str">
        <f>IFERROR(VLOOKUP($D724,'Informations sur les produits'!$A$3:$H$10000,8,FALSE),"0")</f>
        <v>0</v>
      </c>
      <c r="K724" s="4"/>
      <c r="L724" s="33" t="str">
        <f>IFERROR(VLOOKUP($J724,'Informations sur les produits'!$A$3:$H$10000,8,FALSE),"0")</f>
        <v>0</v>
      </c>
      <c r="N724" s="8"/>
      <c r="O724" s="33" t="str">
        <f>IFERROR(VLOOKUP($M724,'Informations sur les produits'!$A$3:$H$10000,8,FALSE),"0")</f>
        <v>0</v>
      </c>
      <c r="P724" s="33">
        <f t="shared" si="44"/>
        <v>0</v>
      </c>
      <c r="Q724" s="31" t="str">
        <f t="shared" si="45"/>
        <v/>
      </c>
      <c r="R724" s="32" t="str">
        <f>IFERROR(VLOOKUP($D724,'Informations sur les produits'!$A$3:$B$15000,2,FALSE),"")</f>
        <v/>
      </c>
      <c r="V724">
        <f t="shared" si="46"/>
        <v>0</v>
      </c>
      <c r="W724">
        <f t="shared" si="47"/>
        <v>0</v>
      </c>
    </row>
    <row r="725" spans="5:23" x14ac:dyDescent="0.25">
      <c r="E725" s="4"/>
      <c r="F725" s="4"/>
      <c r="G725" s="33" t="str">
        <f>IFERROR(VLOOKUP($D725,'Informations sur les produits'!$A$3:$H$10000,8,FALSE),"0")</f>
        <v>0</v>
      </c>
      <c r="K725" s="4"/>
      <c r="L725" s="33" t="str">
        <f>IFERROR(VLOOKUP($J725,'Informations sur les produits'!$A$3:$H$10000,8,FALSE),"0")</f>
        <v>0</v>
      </c>
      <c r="N725" s="8"/>
      <c r="O725" s="33" t="str">
        <f>IFERROR(VLOOKUP($M725,'Informations sur les produits'!$A$3:$H$10000,8,FALSE),"0")</f>
        <v>0</v>
      </c>
      <c r="P725" s="33">
        <f t="shared" si="44"/>
        <v>0</v>
      </c>
      <c r="Q725" s="31" t="str">
        <f t="shared" si="45"/>
        <v/>
      </c>
      <c r="R725" s="32" t="str">
        <f>IFERROR(VLOOKUP($D725,'Informations sur les produits'!$A$3:$B$15000,2,FALSE),"")</f>
        <v/>
      </c>
      <c r="V725">
        <f t="shared" si="46"/>
        <v>0</v>
      </c>
      <c r="W725">
        <f t="shared" si="47"/>
        <v>0</v>
      </c>
    </row>
    <row r="726" spans="5:23" x14ac:dyDescent="0.25">
      <c r="E726" s="4"/>
      <c r="F726" s="4"/>
      <c r="G726" s="33" t="str">
        <f>IFERROR(VLOOKUP($D726,'Informations sur les produits'!$A$3:$H$10000,8,FALSE),"0")</f>
        <v>0</v>
      </c>
      <c r="K726" s="4"/>
      <c r="L726" s="33" t="str">
        <f>IFERROR(VLOOKUP($J726,'Informations sur les produits'!$A$3:$H$10000,8,FALSE),"0")</f>
        <v>0</v>
      </c>
      <c r="N726" s="8"/>
      <c r="O726" s="33" t="str">
        <f>IFERROR(VLOOKUP($M726,'Informations sur les produits'!$A$3:$H$10000,8,FALSE),"0")</f>
        <v>0</v>
      </c>
      <c r="P726" s="33">
        <f t="shared" si="44"/>
        <v>0</v>
      </c>
      <c r="Q726" s="31" t="str">
        <f t="shared" si="45"/>
        <v/>
      </c>
      <c r="R726" s="32" t="str">
        <f>IFERROR(VLOOKUP($D726,'Informations sur les produits'!$A$3:$B$15000,2,FALSE),"")</f>
        <v/>
      </c>
      <c r="V726">
        <f t="shared" si="46"/>
        <v>0</v>
      </c>
      <c r="W726">
        <f t="shared" si="47"/>
        <v>0</v>
      </c>
    </row>
    <row r="727" spans="5:23" x14ac:dyDescent="0.25">
      <c r="E727" s="4"/>
      <c r="F727" s="4"/>
      <c r="G727" s="33" t="str">
        <f>IFERROR(VLOOKUP($D727,'Informations sur les produits'!$A$3:$H$10000,8,FALSE),"0")</f>
        <v>0</v>
      </c>
      <c r="K727" s="4"/>
      <c r="L727" s="33" t="str">
        <f>IFERROR(VLOOKUP($J727,'Informations sur les produits'!$A$3:$H$10000,8,FALSE),"0")</f>
        <v>0</v>
      </c>
      <c r="N727" s="8"/>
      <c r="O727" s="33" t="str">
        <f>IFERROR(VLOOKUP($M727,'Informations sur les produits'!$A$3:$H$10000,8,FALSE),"0")</f>
        <v>0</v>
      </c>
      <c r="P727" s="33">
        <f t="shared" si="44"/>
        <v>0</v>
      </c>
      <c r="Q727" s="31" t="str">
        <f t="shared" si="45"/>
        <v/>
      </c>
      <c r="R727" s="32" t="str">
        <f>IFERROR(VLOOKUP($D727,'Informations sur les produits'!$A$3:$B$15000,2,FALSE),"")</f>
        <v/>
      </c>
      <c r="V727">
        <f t="shared" si="46"/>
        <v>0</v>
      </c>
      <c r="W727">
        <f t="shared" si="47"/>
        <v>0</v>
      </c>
    </row>
    <row r="728" spans="5:23" x14ac:dyDescent="0.25">
      <c r="E728" s="4"/>
      <c r="F728" s="4"/>
      <c r="G728" s="33" t="str">
        <f>IFERROR(VLOOKUP($D728,'Informations sur les produits'!$A$3:$H$10000,8,FALSE),"0")</f>
        <v>0</v>
      </c>
      <c r="K728" s="4"/>
      <c r="L728" s="33" t="str">
        <f>IFERROR(VLOOKUP($J728,'Informations sur les produits'!$A$3:$H$10000,8,FALSE),"0")</f>
        <v>0</v>
      </c>
      <c r="N728" s="8"/>
      <c r="O728" s="33" t="str">
        <f>IFERROR(VLOOKUP($M728,'Informations sur les produits'!$A$3:$H$10000,8,FALSE),"0")</f>
        <v>0</v>
      </c>
      <c r="P728" s="33">
        <f t="shared" si="44"/>
        <v>0</v>
      </c>
      <c r="Q728" s="31" t="str">
        <f t="shared" si="45"/>
        <v/>
      </c>
      <c r="R728" s="32" t="str">
        <f>IFERROR(VLOOKUP($D728,'Informations sur les produits'!$A$3:$B$15000,2,FALSE),"")</f>
        <v/>
      </c>
      <c r="V728">
        <f t="shared" si="46"/>
        <v>0</v>
      </c>
      <c r="W728">
        <f t="shared" si="47"/>
        <v>0</v>
      </c>
    </row>
    <row r="729" spans="5:23" x14ac:dyDescent="0.25">
      <c r="E729" s="4"/>
      <c r="F729" s="4"/>
      <c r="G729" s="33" t="str">
        <f>IFERROR(VLOOKUP($D729,'Informations sur les produits'!$A$3:$H$10000,8,FALSE),"0")</f>
        <v>0</v>
      </c>
      <c r="K729" s="4"/>
      <c r="L729" s="33" t="str">
        <f>IFERROR(VLOOKUP($J729,'Informations sur les produits'!$A$3:$H$10000,8,FALSE),"0")</f>
        <v>0</v>
      </c>
      <c r="N729" s="8"/>
      <c r="O729" s="33" t="str">
        <f>IFERROR(VLOOKUP($M729,'Informations sur les produits'!$A$3:$H$10000,8,FALSE),"0")</f>
        <v>0</v>
      </c>
      <c r="P729" s="33">
        <f t="shared" si="44"/>
        <v>0</v>
      </c>
      <c r="Q729" s="31" t="str">
        <f t="shared" si="45"/>
        <v/>
      </c>
      <c r="R729" s="32" t="str">
        <f>IFERROR(VLOOKUP($D729,'Informations sur les produits'!$A$3:$B$15000,2,FALSE),"")</f>
        <v/>
      </c>
      <c r="V729">
        <f t="shared" si="46"/>
        <v>0</v>
      </c>
      <c r="W729">
        <f t="shared" si="47"/>
        <v>0</v>
      </c>
    </row>
    <row r="730" spans="5:23" x14ac:dyDescent="0.25">
      <c r="E730" s="4"/>
      <c r="F730" s="4"/>
      <c r="G730" s="33" t="str">
        <f>IFERROR(VLOOKUP($D730,'Informations sur les produits'!$A$3:$H$10000,8,FALSE),"0")</f>
        <v>0</v>
      </c>
      <c r="K730" s="4"/>
      <c r="L730" s="33" t="str">
        <f>IFERROR(VLOOKUP($J730,'Informations sur les produits'!$A$3:$H$10000,8,FALSE),"0")</f>
        <v>0</v>
      </c>
      <c r="N730" s="8"/>
      <c r="O730" s="33" t="str">
        <f>IFERROR(VLOOKUP($M730,'Informations sur les produits'!$A$3:$H$10000,8,FALSE),"0")</f>
        <v>0</v>
      </c>
      <c r="P730" s="33">
        <f t="shared" si="44"/>
        <v>0</v>
      </c>
      <c r="Q730" s="31" t="str">
        <f t="shared" si="45"/>
        <v/>
      </c>
      <c r="R730" s="32" t="str">
        <f>IFERROR(VLOOKUP($D730,'Informations sur les produits'!$A$3:$B$15000,2,FALSE),"")</f>
        <v/>
      </c>
      <c r="V730">
        <f t="shared" si="46"/>
        <v>0</v>
      </c>
      <c r="W730">
        <f t="shared" si="47"/>
        <v>0</v>
      </c>
    </row>
    <row r="731" spans="5:23" x14ac:dyDescent="0.25">
      <c r="E731" s="4"/>
      <c r="F731" s="4"/>
      <c r="G731" s="33" t="str">
        <f>IFERROR(VLOOKUP($D731,'Informations sur les produits'!$A$3:$H$10000,8,FALSE),"0")</f>
        <v>0</v>
      </c>
      <c r="K731" s="4"/>
      <c r="L731" s="33" t="str">
        <f>IFERROR(VLOOKUP($J731,'Informations sur les produits'!$A$3:$H$10000,8,FALSE),"0")</f>
        <v>0</v>
      </c>
      <c r="N731" s="8"/>
      <c r="O731" s="33" t="str">
        <f>IFERROR(VLOOKUP($M731,'Informations sur les produits'!$A$3:$H$10000,8,FALSE),"0")</f>
        <v>0</v>
      </c>
      <c r="P731" s="33">
        <f t="shared" si="44"/>
        <v>0</v>
      </c>
      <c r="Q731" s="31" t="str">
        <f t="shared" si="45"/>
        <v/>
      </c>
      <c r="R731" s="32" t="str">
        <f>IFERROR(VLOOKUP($D731,'Informations sur les produits'!$A$3:$B$15000,2,FALSE),"")</f>
        <v/>
      </c>
      <c r="V731">
        <f t="shared" si="46"/>
        <v>0</v>
      </c>
      <c r="W731">
        <f t="shared" si="47"/>
        <v>0</v>
      </c>
    </row>
    <row r="732" spans="5:23" x14ac:dyDescent="0.25">
      <c r="E732" s="4"/>
      <c r="F732" s="4"/>
      <c r="G732" s="33" t="str">
        <f>IFERROR(VLOOKUP($D732,'Informations sur les produits'!$A$3:$H$10000,8,FALSE),"0")</f>
        <v>0</v>
      </c>
      <c r="K732" s="4"/>
      <c r="L732" s="33" t="str">
        <f>IFERROR(VLOOKUP($J732,'Informations sur les produits'!$A$3:$H$10000,8,FALSE),"0")</f>
        <v>0</v>
      </c>
      <c r="N732" s="8"/>
      <c r="O732" s="33" t="str">
        <f>IFERROR(VLOOKUP($M732,'Informations sur les produits'!$A$3:$H$10000,8,FALSE),"0")</f>
        <v>0</v>
      </c>
      <c r="P732" s="33">
        <f t="shared" si="44"/>
        <v>0</v>
      </c>
      <c r="Q732" s="31" t="str">
        <f t="shared" si="45"/>
        <v/>
      </c>
      <c r="R732" s="32" t="str">
        <f>IFERROR(VLOOKUP($D732,'Informations sur les produits'!$A$3:$B$15000,2,FALSE),"")</f>
        <v/>
      </c>
      <c r="V732">
        <f t="shared" si="46"/>
        <v>0</v>
      </c>
      <c r="W732">
        <f t="shared" si="47"/>
        <v>0</v>
      </c>
    </row>
    <row r="733" spans="5:23" x14ac:dyDescent="0.25">
      <c r="E733" s="4"/>
      <c r="F733" s="4"/>
      <c r="G733" s="33" t="str">
        <f>IFERROR(VLOOKUP($D733,'Informations sur les produits'!$A$3:$H$10000,8,FALSE),"0")</f>
        <v>0</v>
      </c>
      <c r="K733" s="4"/>
      <c r="L733" s="33" t="str">
        <f>IFERROR(VLOOKUP($J733,'Informations sur les produits'!$A$3:$H$10000,8,FALSE),"0")</f>
        <v>0</v>
      </c>
      <c r="N733" s="8"/>
      <c r="O733" s="33" t="str">
        <f>IFERROR(VLOOKUP($M733,'Informations sur les produits'!$A$3:$H$10000,8,FALSE),"0")</f>
        <v>0</v>
      </c>
      <c r="P733" s="33">
        <f t="shared" si="44"/>
        <v>0</v>
      </c>
      <c r="Q733" s="31" t="str">
        <f t="shared" si="45"/>
        <v/>
      </c>
      <c r="R733" s="32" t="str">
        <f>IFERROR(VLOOKUP($D733,'Informations sur les produits'!$A$3:$B$15000,2,FALSE),"")</f>
        <v/>
      </c>
      <c r="V733">
        <f t="shared" si="46"/>
        <v>0</v>
      </c>
      <c r="W733">
        <f t="shared" si="47"/>
        <v>0</v>
      </c>
    </row>
    <row r="734" spans="5:23" x14ac:dyDescent="0.25">
      <c r="E734" s="4"/>
      <c r="F734" s="4"/>
      <c r="G734" s="33" t="str">
        <f>IFERROR(VLOOKUP($D734,'Informations sur les produits'!$A$3:$H$10000,8,FALSE),"0")</f>
        <v>0</v>
      </c>
      <c r="K734" s="4"/>
      <c r="L734" s="33" t="str">
        <f>IFERROR(VLOOKUP($J734,'Informations sur les produits'!$A$3:$H$10000,8,FALSE),"0")</f>
        <v>0</v>
      </c>
      <c r="N734" s="8"/>
      <c r="O734" s="33" t="str">
        <f>IFERROR(VLOOKUP($M734,'Informations sur les produits'!$A$3:$H$10000,8,FALSE),"0")</f>
        <v>0</v>
      </c>
      <c r="P734" s="33">
        <f t="shared" si="44"/>
        <v>0</v>
      </c>
      <c r="Q734" s="31" t="str">
        <f t="shared" si="45"/>
        <v/>
      </c>
      <c r="R734" s="32" t="str">
        <f>IFERROR(VLOOKUP($D734,'Informations sur les produits'!$A$3:$B$15000,2,FALSE),"")</f>
        <v/>
      </c>
      <c r="V734">
        <f t="shared" si="46"/>
        <v>0</v>
      </c>
      <c r="W734">
        <f t="shared" si="47"/>
        <v>0</v>
      </c>
    </row>
    <row r="735" spans="5:23" x14ac:dyDescent="0.25">
      <c r="E735" s="4"/>
      <c r="F735" s="4"/>
      <c r="G735" s="33" t="str">
        <f>IFERROR(VLOOKUP($D735,'Informations sur les produits'!$A$3:$H$10000,8,FALSE),"0")</f>
        <v>0</v>
      </c>
      <c r="K735" s="4"/>
      <c r="L735" s="33" t="str">
        <f>IFERROR(VLOOKUP($J735,'Informations sur les produits'!$A$3:$H$10000,8,FALSE),"0")</f>
        <v>0</v>
      </c>
      <c r="N735" s="8"/>
      <c r="O735" s="33" t="str">
        <f>IFERROR(VLOOKUP($M735,'Informations sur les produits'!$A$3:$H$10000,8,FALSE),"0")</f>
        <v>0</v>
      </c>
      <c r="P735" s="33">
        <f t="shared" si="44"/>
        <v>0</v>
      </c>
      <c r="Q735" s="31" t="str">
        <f t="shared" si="45"/>
        <v/>
      </c>
      <c r="R735" s="32" t="str">
        <f>IFERROR(VLOOKUP($D735,'Informations sur les produits'!$A$3:$B$15000,2,FALSE),"")</f>
        <v/>
      </c>
      <c r="V735">
        <f t="shared" si="46"/>
        <v>0</v>
      </c>
      <c r="W735">
        <f t="shared" si="47"/>
        <v>0</v>
      </c>
    </row>
    <row r="736" spans="5:23" x14ac:dyDescent="0.25">
      <c r="E736" s="4"/>
      <c r="F736" s="4"/>
      <c r="G736" s="33" t="str">
        <f>IFERROR(VLOOKUP($D736,'Informations sur les produits'!$A$3:$H$10000,8,FALSE),"0")</f>
        <v>0</v>
      </c>
      <c r="K736" s="4"/>
      <c r="L736" s="33" t="str">
        <f>IFERROR(VLOOKUP($J736,'Informations sur les produits'!$A$3:$H$10000,8,FALSE),"0")</f>
        <v>0</v>
      </c>
      <c r="N736" s="8"/>
      <c r="O736" s="33" t="str">
        <f>IFERROR(VLOOKUP($M736,'Informations sur les produits'!$A$3:$H$10000,8,FALSE),"0")</f>
        <v>0</v>
      </c>
      <c r="P736" s="33">
        <f t="shared" si="44"/>
        <v>0</v>
      </c>
      <c r="Q736" s="31" t="str">
        <f t="shared" si="45"/>
        <v/>
      </c>
      <c r="R736" s="32" t="str">
        <f>IFERROR(VLOOKUP($D736,'Informations sur les produits'!$A$3:$B$15000,2,FALSE),"")</f>
        <v/>
      </c>
      <c r="V736">
        <f t="shared" si="46"/>
        <v>0</v>
      </c>
      <c r="W736">
        <f t="shared" si="47"/>
        <v>0</v>
      </c>
    </row>
    <row r="737" spans="5:23" x14ac:dyDescent="0.25">
      <c r="E737" s="4"/>
      <c r="F737" s="4"/>
      <c r="G737" s="33" t="str">
        <f>IFERROR(VLOOKUP($D737,'Informations sur les produits'!$A$3:$H$10000,8,FALSE),"0")</f>
        <v>0</v>
      </c>
      <c r="K737" s="4"/>
      <c r="L737" s="33" t="str">
        <f>IFERROR(VLOOKUP($J737,'Informations sur les produits'!$A$3:$H$10000,8,FALSE),"0")</f>
        <v>0</v>
      </c>
      <c r="N737" s="8"/>
      <c r="O737" s="33" t="str">
        <f>IFERROR(VLOOKUP($M737,'Informations sur les produits'!$A$3:$H$10000,8,FALSE),"0")</f>
        <v>0</v>
      </c>
      <c r="P737" s="33">
        <f t="shared" si="44"/>
        <v>0</v>
      </c>
      <c r="Q737" s="31" t="str">
        <f t="shared" si="45"/>
        <v/>
      </c>
      <c r="R737" s="32" t="str">
        <f>IFERROR(VLOOKUP($D737,'Informations sur les produits'!$A$3:$B$15000,2,FALSE),"")</f>
        <v/>
      </c>
      <c r="V737">
        <f t="shared" si="46"/>
        <v>0</v>
      </c>
      <c r="W737">
        <f t="shared" si="47"/>
        <v>0</v>
      </c>
    </row>
    <row r="738" spans="5:23" x14ac:dyDescent="0.25">
      <c r="E738" s="4"/>
      <c r="F738" s="4"/>
      <c r="G738" s="33" t="str">
        <f>IFERROR(VLOOKUP($D738,'Informations sur les produits'!$A$3:$H$10000,8,FALSE),"0")</f>
        <v>0</v>
      </c>
      <c r="K738" s="4"/>
      <c r="L738" s="33" t="str">
        <f>IFERROR(VLOOKUP($J738,'Informations sur les produits'!$A$3:$H$10000,8,FALSE),"0")</f>
        <v>0</v>
      </c>
      <c r="N738" s="8"/>
      <c r="O738" s="33" t="str">
        <f>IFERROR(VLOOKUP($M738,'Informations sur les produits'!$A$3:$H$10000,8,FALSE),"0")</f>
        <v>0</v>
      </c>
      <c r="P738" s="33">
        <f t="shared" si="44"/>
        <v>0</v>
      </c>
      <c r="Q738" s="31" t="str">
        <f t="shared" si="45"/>
        <v/>
      </c>
      <c r="R738" s="32" t="str">
        <f>IFERROR(VLOOKUP($D738,'Informations sur les produits'!$A$3:$B$15000,2,FALSE),"")</f>
        <v/>
      </c>
      <c r="V738">
        <f t="shared" si="46"/>
        <v>0</v>
      </c>
      <c r="W738">
        <f t="shared" si="47"/>
        <v>0</v>
      </c>
    </row>
    <row r="739" spans="5:23" x14ac:dyDescent="0.25">
      <c r="E739" s="4"/>
      <c r="F739" s="4"/>
      <c r="G739" s="33" t="str">
        <f>IFERROR(VLOOKUP($D739,'Informations sur les produits'!$A$3:$H$10000,8,FALSE),"0")</f>
        <v>0</v>
      </c>
      <c r="K739" s="4"/>
      <c r="L739" s="33" t="str">
        <f>IFERROR(VLOOKUP($J739,'Informations sur les produits'!$A$3:$H$10000,8,FALSE),"0")</f>
        <v>0</v>
      </c>
      <c r="N739" s="8"/>
      <c r="O739" s="33" t="str">
        <f>IFERROR(VLOOKUP($M739,'Informations sur les produits'!$A$3:$H$10000,8,FALSE),"0")</f>
        <v>0</v>
      </c>
      <c r="P739" s="33">
        <f t="shared" si="44"/>
        <v>0</v>
      </c>
      <c r="Q739" s="31" t="str">
        <f t="shared" si="45"/>
        <v/>
      </c>
      <c r="R739" s="32" t="str">
        <f>IFERROR(VLOOKUP($D739,'Informations sur les produits'!$A$3:$B$15000,2,FALSE),"")</f>
        <v/>
      </c>
      <c r="V739">
        <f t="shared" si="46"/>
        <v>0</v>
      </c>
      <c r="W739">
        <f t="shared" si="47"/>
        <v>0</v>
      </c>
    </row>
    <row r="740" spans="5:23" x14ac:dyDescent="0.25">
      <c r="E740" s="4"/>
      <c r="F740" s="4"/>
      <c r="G740" s="33" t="str">
        <f>IFERROR(VLOOKUP($D740,'Informations sur les produits'!$A$3:$H$10000,8,FALSE),"0")</f>
        <v>0</v>
      </c>
      <c r="K740" s="4"/>
      <c r="L740" s="33" t="str">
        <f>IFERROR(VLOOKUP($J740,'Informations sur les produits'!$A$3:$H$10000,8,FALSE),"0")</f>
        <v>0</v>
      </c>
      <c r="N740" s="8"/>
      <c r="O740" s="33" t="str">
        <f>IFERROR(VLOOKUP($M740,'Informations sur les produits'!$A$3:$H$10000,8,FALSE),"0")</f>
        <v>0</v>
      </c>
      <c r="P740" s="33">
        <f t="shared" si="44"/>
        <v>0</v>
      </c>
      <c r="Q740" s="31" t="str">
        <f t="shared" si="45"/>
        <v/>
      </c>
      <c r="R740" s="32" t="str">
        <f>IFERROR(VLOOKUP($D740,'Informations sur les produits'!$A$3:$B$15000,2,FALSE),"")</f>
        <v/>
      </c>
      <c r="V740">
        <f t="shared" si="46"/>
        <v>0</v>
      </c>
      <c r="W740">
        <f t="shared" si="47"/>
        <v>0</v>
      </c>
    </row>
    <row r="741" spans="5:23" x14ac:dyDescent="0.25">
      <c r="E741" s="4"/>
      <c r="F741" s="4"/>
      <c r="G741" s="33" t="str">
        <f>IFERROR(VLOOKUP($D741,'Informations sur les produits'!$A$3:$H$10000,8,FALSE),"0")</f>
        <v>0</v>
      </c>
      <c r="K741" s="4"/>
      <c r="L741" s="33" t="str">
        <f>IFERROR(VLOOKUP($J741,'Informations sur les produits'!$A$3:$H$10000,8,FALSE),"0")</f>
        <v>0</v>
      </c>
      <c r="N741" s="8"/>
      <c r="O741" s="33" t="str">
        <f>IFERROR(VLOOKUP($M741,'Informations sur les produits'!$A$3:$H$10000,8,FALSE),"0")</f>
        <v>0</v>
      </c>
      <c r="P741" s="33">
        <f t="shared" si="44"/>
        <v>0</v>
      </c>
      <c r="Q741" s="31" t="str">
        <f t="shared" si="45"/>
        <v/>
      </c>
      <c r="R741" s="32" t="str">
        <f>IFERROR(VLOOKUP($D741,'Informations sur les produits'!$A$3:$B$15000,2,FALSE),"")</f>
        <v/>
      </c>
      <c r="V741">
        <f t="shared" si="46"/>
        <v>0</v>
      </c>
      <c r="W741">
        <f t="shared" si="47"/>
        <v>0</v>
      </c>
    </row>
    <row r="742" spans="5:23" x14ac:dyDescent="0.25">
      <c r="E742" s="4"/>
      <c r="F742" s="4"/>
      <c r="G742" s="33" t="str">
        <f>IFERROR(VLOOKUP($D742,'Informations sur les produits'!$A$3:$H$10000,8,FALSE),"0")</f>
        <v>0</v>
      </c>
      <c r="K742" s="4"/>
      <c r="L742" s="33" t="str">
        <f>IFERROR(VLOOKUP($J742,'Informations sur les produits'!$A$3:$H$10000,8,FALSE),"0")</f>
        <v>0</v>
      </c>
      <c r="N742" s="8"/>
      <c r="O742" s="33" t="str">
        <f>IFERROR(VLOOKUP($M742,'Informations sur les produits'!$A$3:$H$10000,8,FALSE),"0")</f>
        <v>0</v>
      </c>
      <c r="P742" s="33">
        <f t="shared" si="44"/>
        <v>0</v>
      </c>
      <c r="Q742" s="31" t="str">
        <f t="shared" si="45"/>
        <v/>
      </c>
      <c r="R742" s="32" t="str">
        <f>IFERROR(VLOOKUP($D742,'Informations sur les produits'!$A$3:$B$15000,2,FALSE),"")</f>
        <v/>
      </c>
      <c r="V742">
        <f t="shared" si="46"/>
        <v>0</v>
      </c>
      <c r="W742">
        <f t="shared" si="47"/>
        <v>0</v>
      </c>
    </row>
    <row r="743" spans="5:23" x14ac:dyDescent="0.25">
      <c r="E743" s="4"/>
      <c r="F743" s="4"/>
      <c r="G743" s="33" t="str">
        <f>IFERROR(VLOOKUP($D743,'Informations sur les produits'!$A$3:$H$10000,8,FALSE),"0")</f>
        <v>0</v>
      </c>
      <c r="K743" s="4"/>
      <c r="L743" s="33" t="str">
        <f>IFERROR(VLOOKUP($J743,'Informations sur les produits'!$A$3:$H$10000,8,FALSE),"0")</f>
        <v>0</v>
      </c>
      <c r="N743" s="8"/>
      <c r="O743" s="33" t="str">
        <f>IFERROR(VLOOKUP($M743,'Informations sur les produits'!$A$3:$H$10000,8,FALSE),"0")</f>
        <v>0</v>
      </c>
      <c r="P743" s="33">
        <f t="shared" si="44"/>
        <v>0</v>
      </c>
      <c r="Q743" s="31" t="str">
        <f t="shared" si="45"/>
        <v/>
      </c>
      <c r="R743" s="32" t="str">
        <f>IFERROR(VLOOKUP($D743,'Informations sur les produits'!$A$3:$B$15000,2,FALSE),"")</f>
        <v/>
      </c>
      <c r="V743">
        <f t="shared" si="46"/>
        <v>0</v>
      </c>
      <c r="W743">
        <f t="shared" si="47"/>
        <v>0</v>
      </c>
    </row>
    <row r="744" spans="5:23" x14ac:dyDescent="0.25">
      <c r="E744" s="4"/>
      <c r="F744" s="4"/>
      <c r="G744" s="33" t="str">
        <f>IFERROR(VLOOKUP($D744,'Informations sur les produits'!$A$3:$H$10000,8,FALSE),"0")</f>
        <v>0</v>
      </c>
      <c r="K744" s="4"/>
      <c r="L744" s="33" t="str">
        <f>IFERROR(VLOOKUP($J744,'Informations sur les produits'!$A$3:$H$10000,8,FALSE),"0")</f>
        <v>0</v>
      </c>
      <c r="N744" s="8"/>
      <c r="O744" s="33" t="str">
        <f>IFERROR(VLOOKUP($M744,'Informations sur les produits'!$A$3:$H$10000,8,FALSE),"0")</f>
        <v>0</v>
      </c>
      <c r="P744" s="33">
        <f t="shared" si="44"/>
        <v>0</v>
      </c>
      <c r="Q744" s="31" t="str">
        <f t="shared" si="45"/>
        <v/>
      </c>
      <c r="R744" s="32" t="str">
        <f>IFERROR(VLOOKUP($D744,'Informations sur les produits'!$A$3:$B$15000,2,FALSE),"")</f>
        <v/>
      </c>
      <c r="V744">
        <f t="shared" si="46"/>
        <v>0</v>
      </c>
      <c r="W744">
        <f t="shared" si="47"/>
        <v>0</v>
      </c>
    </row>
    <row r="745" spans="5:23" x14ac:dyDescent="0.25">
      <c r="E745" s="4"/>
      <c r="F745" s="4"/>
      <c r="G745" s="33" t="str">
        <f>IFERROR(VLOOKUP($D745,'Informations sur les produits'!$A$3:$H$10000,8,FALSE),"0")</f>
        <v>0</v>
      </c>
      <c r="K745" s="4"/>
      <c r="L745" s="33" t="str">
        <f>IFERROR(VLOOKUP($J745,'Informations sur les produits'!$A$3:$H$10000,8,FALSE),"0")</f>
        <v>0</v>
      </c>
      <c r="N745" s="8"/>
      <c r="O745" s="33" t="str">
        <f>IFERROR(VLOOKUP($M745,'Informations sur les produits'!$A$3:$H$10000,8,FALSE),"0")</f>
        <v>0</v>
      </c>
      <c r="P745" s="33">
        <f t="shared" si="44"/>
        <v>0</v>
      </c>
      <c r="Q745" s="31" t="str">
        <f t="shared" si="45"/>
        <v/>
      </c>
      <c r="R745" s="32" t="str">
        <f>IFERROR(VLOOKUP($D745,'Informations sur les produits'!$A$3:$B$15000,2,FALSE),"")</f>
        <v/>
      </c>
      <c r="V745">
        <f t="shared" si="46"/>
        <v>0</v>
      </c>
      <c r="W745">
        <f t="shared" si="47"/>
        <v>0</v>
      </c>
    </row>
    <row r="746" spans="5:23" x14ac:dyDescent="0.25">
      <c r="E746" s="4"/>
      <c r="F746" s="4"/>
      <c r="G746" s="33" t="str">
        <f>IFERROR(VLOOKUP($D746,'Informations sur les produits'!$A$3:$H$10000,8,FALSE),"0")</f>
        <v>0</v>
      </c>
      <c r="K746" s="4"/>
      <c r="L746" s="33" t="str">
        <f>IFERROR(VLOOKUP($J746,'Informations sur les produits'!$A$3:$H$10000,8,FALSE),"0")</f>
        <v>0</v>
      </c>
      <c r="N746" s="8"/>
      <c r="O746" s="33" t="str">
        <f>IFERROR(VLOOKUP($M746,'Informations sur les produits'!$A$3:$H$10000,8,FALSE),"0")</f>
        <v>0</v>
      </c>
      <c r="P746" s="33">
        <f t="shared" si="44"/>
        <v>0</v>
      </c>
      <c r="Q746" s="31" t="str">
        <f t="shared" si="45"/>
        <v/>
      </c>
      <c r="R746" s="32" t="str">
        <f>IFERROR(VLOOKUP($D746,'Informations sur les produits'!$A$3:$B$15000,2,FALSE),"")</f>
        <v/>
      </c>
      <c r="V746">
        <f t="shared" si="46"/>
        <v>0</v>
      </c>
      <c r="W746">
        <f t="shared" si="47"/>
        <v>0</v>
      </c>
    </row>
    <row r="747" spans="5:23" x14ac:dyDescent="0.25">
      <c r="E747" s="4"/>
      <c r="F747" s="4"/>
      <c r="G747" s="33" t="str">
        <f>IFERROR(VLOOKUP($D747,'Informations sur les produits'!$A$3:$H$10000,8,FALSE),"0")</f>
        <v>0</v>
      </c>
      <c r="K747" s="4"/>
      <c r="L747" s="33" t="str">
        <f>IFERROR(VLOOKUP($J747,'Informations sur les produits'!$A$3:$H$10000,8,FALSE),"0")</f>
        <v>0</v>
      </c>
      <c r="N747" s="8"/>
      <c r="O747" s="33" t="str">
        <f>IFERROR(VLOOKUP($M747,'Informations sur les produits'!$A$3:$H$10000,8,FALSE),"0")</f>
        <v>0</v>
      </c>
      <c r="P747" s="33">
        <f t="shared" si="44"/>
        <v>0</v>
      </c>
      <c r="Q747" s="31" t="str">
        <f t="shared" si="45"/>
        <v/>
      </c>
      <c r="R747" s="32" t="str">
        <f>IFERROR(VLOOKUP($D747,'Informations sur les produits'!$A$3:$B$15000,2,FALSE),"")</f>
        <v/>
      </c>
      <c r="V747">
        <f t="shared" si="46"/>
        <v>0</v>
      </c>
      <c r="W747">
        <f t="shared" si="47"/>
        <v>0</v>
      </c>
    </row>
    <row r="748" spans="5:23" x14ac:dyDescent="0.25">
      <c r="E748" s="4"/>
      <c r="F748" s="4"/>
      <c r="G748" s="33" t="str">
        <f>IFERROR(VLOOKUP($D748,'Informations sur les produits'!$A$3:$H$10000,8,FALSE),"0")</f>
        <v>0</v>
      </c>
      <c r="K748" s="4"/>
      <c r="L748" s="33" t="str">
        <f>IFERROR(VLOOKUP($J748,'Informations sur les produits'!$A$3:$H$10000,8,FALSE),"0")</f>
        <v>0</v>
      </c>
      <c r="N748" s="8"/>
      <c r="O748" s="33" t="str">
        <f>IFERROR(VLOOKUP($M748,'Informations sur les produits'!$A$3:$H$10000,8,FALSE),"0")</f>
        <v>0</v>
      </c>
      <c r="P748" s="33">
        <f t="shared" si="44"/>
        <v>0</v>
      </c>
      <c r="Q748" s="31" t="str">
        <f t="shared" si="45"/>
        <v/>
      </c>
      <c r="R748" s="32" t="str">
        <f>IFERROR(VLOOKUP($D748,'Informations sur les produits'!$A$3:$B$15000,2,FALSE),"")</f>
        <v/>
      </c>
      <c r="V748">
        <f t="shared" si="46"/>
        <v>0</v>
      </c>
      <c r="W748">
        <f t="shared" si="47"/>
        <v>0</v>
      </c>
    </row>
    <row r="749" spans="5:23" x14ac:dyDescent="0.25">
      <c r="E749" s="4"/>
      <c r="F749" s="4"/>
      <c r="G749" s="33" t="str">
        <f>IFERROR(VLOOKUP($D749,'Informations sur les produits'!$A$3:$H$10000,8,FALSE),"0")</f>
        <v>0</v>
      </c>
      <c r="K749" s="4"/>
      <c r="L749" s="33" t="str">
        <f>IFERROR(VLOOKUP($J749,'Informations sur les produits'!$A$3:$H$10000,8,FALSE),"0")</f>
        <v>0</v>
      </c>
      <c r="N749" s="8"/>
      <c r="O749" s="33" t="str">
        <f>IFERROR(VLOOKUP($M749,'Informations sur les produits'!$A$3:$H$10000,8,FALSE),"0")</f>
        <v>0</v>
      </c>
      <c r="P749" s="33">
        <f t="shared" si="44"/>
        <v>0</v>
      </c>
      <c r="Q749" s="31" t="str">
        <f t="shared" si="45"/>
        <v/>
      </c>
      <c r="R749" s="32" t="str">
        <f>IFERROR(VLOOKUP($D749,'Informations sur les produits'!$A$3:$B$15000,2,FALSE),"")</f>
        <v/>
      </c>
      <c r="V749">
        <f t="shared" si="46"/>
        <v>0</v>
      </c>
      <c r="W749">
        <f t="shared" si="47"/>
        <v>0</v>
      </c>
    </row>
    <row r="750" spans="5:23" x14ac:dyDescent="0.25">
      <c r="E750" s="4"/>
      <c r="F750" s="4"/>
      <c r="G750" s="33" t="str">
        <f>IFERROR(VLOOKUP($D750,'Informations sur les produits'!$A$3:$H$10000,8,FALSE),"0")</f>
        <v>0</v>
      </c>
      <c r="K750" s="4"/>
      <c r="L750" s="33" t="str">
        <f>IFERROR(VLOOKUP($J750,'Informations sur les produits'!$A$3:$H$10000,8,FALSE),"0")</f>
        <v>0</v>
      </c>
      <c r="N750" s="8"/>
      <c r="O750" s="33" t="str">
        <f>IFERROR(VLOOKUP($M750,'Informations sur les produits'!$A$3:$H$10000,8,FALSE),"0")</f>
        <v>0</v>
      </c>
      <c r="P750" s="33">
        <f t="shared" si="44"/>
        <v>0</v>
      </c>
      <c r="Q750" s="31" t="str">
        <f t="shared" si="45"/>
        <v/>
      </c>
      <c r="R750" s="32" t="str">
        <f>IFERROR(VLOOKUP($D750,'Informations sur les produits'!$A$3:$B$15000,2,FALSE),"")</f>
        <v/>
      </c>
      <c r="V750">
        <f t="shared" si="46"/>
        <v>0</v>
      </c>
      <c r="W750">
        <f t="shared" si="47"/>
        <v>0</v>
      </c>
    </row>
    <row r="751" spans="5:23" x14ac:dyDescent="0.25">
      <c r="E751" s="4"/>
      <c r="F751" s="4"/>
      <c r="G751" s="33" t="str">
        <f>IFERROR(VLOOKUP($D751,'Informations sur les produits'!$A$3:$H$10000,8,FALSE),"0")</f>
        <v>0</v>
      </c>
      <c r="K751" s="4"/>
      <c r="L751" s="33" t="str">
        <f>IFERROR(VLOOKUP($J751,'Informations sur les produits'!$A$3:$H$10000,8,FALSE),"0")</f>
        <v>0</v>
      </c>
      <c r="N751" s="8"/>
      <c r="O751" s="33" t="str">
        <f>IFERROR(VLOOKUP($M751,'Informations sur les produits'!$A$3:$H$10000,8,FALSE),"0")</f>
        <v>0</v>
      </c>
      <c r="P751" s="33">
        <f t="shared" si="44"/>
        <v>0</v>
      </c>
      <c r="Q751" s="31" t="str">
        <f t="shared" si="45"/>
        <v/>
      </c>
      <c r="R751" s="32" t="str">
        <f>IFERROR(VLOOKUP($D751,'Informations sur les produits'!$A$3:$B$15000,2,FALSE),"")</f>
        <v/>
      </c>
      <c r="V751">
        <f t="shared" si="46"/>
        <v>0</v>
      </c>
      <c r="W751">
        <f t="shared" si="47"/>
        <v>0</v>
      </c>
    </row>
    <row r="752" spans="5:23" x14ac:dyDescent="0.25">
      <c r="E752" s="4"/>
      <c r="F752" s="4"/>
      <c r="G752" s="33" t="str">
        <f>IFERROR(VLOOKUP($D752,'Informations sur les produits'!$A$3:$H$10000,8,FALSE),"0")</f>
        <v>0</v>
      </c>
      <c r="K752" s="4"/>
      <c r="L752" s="33" t="str">
        <f>IFERROR(VLOOKUP($J752,'Informations sur les produits'!$A$3:$H$10000,8,FALSE),"0")</f>
        <v>0</v>
      </c>
      <c r="N752" s="8"/>
      <c r="O752" s="33" t="str">
        <f>IFERROR(VLOOKUP($M752,'Informations sur les produits'!$A$3:$H$10000,8,FALSE),"0")</f>
        <v>0</v>
      </c>
      <c r="P752" s="33">
        <f t="shared" si="44"/>
        <v>0</v>
      </c>
      <c r="Q752" s="31" t="str">
        <f t="shared" si="45"/>
        <v/>
      </c>
      <c r="R752" s="32" t="str">
        <f>IFERROR(VLOOKUP($D752,'Informations sur les produits'!$A$3:$B$15000,2,FALSE),"")</f>
        <v/>
      </c>
      <c r="V752">
        <f t="shared" si="46"/>
        <v>0</v>
      </c>
      <c r="W752">
        <f t="shared" si="47"/>
        <v>0</v>
      </c>
    </row>
    <row r="753" spans="5:23" x14ac:dyDescent="0.25">
      <c r="E753" s="4"/>
      <c r="F753" s="4"/>
      <c r="G753" s="33" t="str">
        <f>IFERROR(VLOOKUP($D753,'Informations sur les produits'!$A$3:$H$10000,8,FALSE),"0")</f>
        <v>0</v>
      </c>
      <c r="K753" s="4"/>
      <c r="L753" s="33" t="str">
        <f>IFERROR(VLOOKUP($J753,'Informations sur les produits'!$A$3:$H$10000,8,FALSE),"0")</f>
        <v>0</v>
      </c>
      <c r="N753" s="8"/>
      <c r="O753" s="33" t="str">
        <f>IFERROR(VLOOKUP($M753,'Informations sur les produits'!$A$3:$H$10000,8,FALSE),"0")</f>
        <v>0</v>
      </c>
      <c r="P753" s="33">
        <f t="shared" si="44"/>
        <v>0</v>
      </c>
      <c r="Q753" s="31" t="str">
        <f t="shared" si="45"/>
        <v/>
      </c>
      <c r="R753" s="32" t="str">
        <f>IFERROR(VLOOKUP($D753,'Informations sur les produits'!$A$3:$B$15000,2,FALSE),"")</f>
        <v/>
      </c>
      <c r="V753">
        <f t="shared" si="46"/>
        <v>0</v>
      </c>
      <c r="W753">
        <f t="shared" si="47"/>
        <v>0</v>
      </c>
    </row>
    <row r="754" spans="5:23" x14ac:dyDescent="0.25">
      <c r="E754" s="4"/>
      <c r="F754" s="4"/>
      <c r="G754" s="33" t="str">
        <f>IFERROR(VLOOKUP($D754,'Informations sur les produits'!$A$3:$H$10000,8,FALSE),"0")</f>
        <v>0</v>
      </c>
      <c r="K754" s="4"/>
      <c r="L754" s="33" t="str">
        <f>IFERROR(VLOOKUP($J754,'Informations sur les produits'!$A$3:$H$10000,8,FALSE),"0")</f>
        <v>0</v>
      </c>
      <c r="N754" s="8"/>
      <c r="O754" s="33" t="str">
        <f>IFERROR(VLOOKUP($M754,'Informations sur les produits'!$A$3:$H$10000,8,FALSE),"0")</f>
        <v>0</v>
      </c>
      <c r="P754" s="33">
        <f t="shared" si="44"/>
        <v>0</v>
      </c>
      <c r="Q754" s="31" t="str">
        <f t="shared" si="45"/>
        <v/>
      </c>
      <c r="R754" s="32" t="str">
        <f>IFERROR(VLOOKUP($D754,'Informations sur les produits'!$A$3:$B$15000,2,FALSE),"")</f>
        <v/>
      </c>
      <c r="V754">
        <f t="shared" si="46"/>
        <v>0</v>
      </c>
      <c r="W754">
        <f t="shared" si="47"/>
        <v>0</v>
      </c>
    </row>
    <row r="755" spans="5:23" x14ac:dyDescent="0.25">
      <c r="E755" s="4"/>
      <c r="F755" s="4"/>
      <c r="G755" s="33" t="str">
        <f>IFERROR(VLOOKUP($D755,'Informations sur les produits'!$A$3:$H$10000,8,FALSE),"0")</f>
        <v>0</v>
      </c>
      <c r="K755" s="4"/>
      <c r="L755" s="33" t="str">
        <f>IFERROR(VLOOKUP($J755,'Informations sur les produits'!$A$3:$H$10000,8,FALSE),"0")</f>
        <v>0</v>
      </c>
      <c r="N755" s="8"/>
      <c r="O755" s="33" t="str">
        <f>IFERROR(VLOOKUP($M755,'Informations sur les produits'!$A$3:$H$10000,8,FALSE),"0")</f>
        <v>0</v>
      </c>
      <c r="P755" s="33">
        <f t="shared" si="44"/>
        <v>0</v>
      </c>
      <c r="Q755" s="31" t="str">
        <f t="shared" si="45"/>
        <v/>
      </c>
      <c r="R755" s="32" t="str">
        <f>IFERROR(VLOOKUP($D755,'Informations sur les produits'!$A$3:$B$15000,2,FALSE),"")</f>
        <v/>
      </c>
      <c r="V755">
        <f t="shared" si="46"/>
        <v>0</v>
      </c>
      <c r="W755">
        <f t="shared" si="47"/>
        <v>0</v>
      </c>
    </row>
    <row r="756" spans="5:23" x14ac:dyDescent="0.25">
      <c r="E756" s="4"/>
      <c r="F756" s="4"/>
      <c r="G756" s="33" t="str">
        <f>IFERROR(VLOOKUP($D756,'Informations sur les produits'!$A$3:$H$10000,8,FALSE),"0")</f>
        <v>0</v>
      </c>
      <c r="K756" s="4"/>
      <c r="L756" s="33" t="str">
        <f>IFERROR(VLOOKUP($J756,'Informations sur les produits'!$A$3:$H$10000,8,FALSE),"0")</f>
        <v>0</v>
      </c>
      <c r="N756" s="8"/>
      <c r="O756" s="33" t="str">
        <f>IFERROR(VLOOKUP($M756,'Informations sur les produits'!$A$3:$H$10000,8,FALSE),"0")</f>
        <v>0</v>
      </c>
      <c r="P756" s="33">
        <f t="shared" si="44"/>
        <v>0</v>
      </c>
      <c r="Q756" s="31" t="str">
        <f t="shared" si="45"/>
        <v/>
      </c>
      <c r="R756" s="32" t="str">
        <f>IFERROR(VLOOKUP($D756,'Informations sur les produits'!$A$3:$B$15000,2,FALSE),"")</f>
        <v/>
      </c>
      <c r="V756">
        <f t="shared" si="46"/>
        <v>0</v>
      </c>
      <c r="W756">
        <f t="shared" si="47"/>
        <v>0</v>
      </c>
    </row>
    <row r="757" spans="5:23" x14ac:dyDescent="0.25">
      <c r="E757" s="4"/>
      <c r="F757" s="4"/>
      <c r="G757" s="33" t="str">
        <f>IFERROR(VLOOKUP($D757,'Informations sur les produits'!$A$3:$H$10000,8,FALSE),"0")</f>
        <v>0</v>
      </c>
      <c r="K757" s="4"/>
      <c r="L757" s="33" t="str">
        <f>IFERROR(VLOOKUP($J757,'Informations sur les produits'!$A$3:$H$10000,8,FALSE),"0")</f>
        <v>0</v>
      </c>
      <c r="N757" s="8"/>
      <c r="O757" s="33" t="str">
        <f>IFERROR(VLOOKUP($M757,'Informations sur les produits'!$A$3:$H$10000,8,FALSE),"0")</f>
        <v>0</v>
      </c>
      <c r="P757" s="33">
        <f t="shared" si="44"/>
        <v>0</v>
      </c>
      <c r="Q757" s="31" t="str">
        <f t="shared" si="45"/>
        <v/>
      </c>
      <c r="R757" s="32" t="str">
        <f>IFERROR(VLOOKUP($D757,'Informations sur les produits'!$A$3:$B$15000,2,FALSE),"")</f>
        <v/>
      </c>
      <c r="V757">
        <f t="shared" si="46"/>
        <v>0</v>
      </c>
      <c r="W757">
        <f t="shared" si="47"/>
        <v>0</v>
      </c>
    </row>
    <row r="758" spans="5:23" x14ac:dyDescent="0.25">
      <c r="E758" s="4"/>
      <c r="F758" s="4"/>
      <c r="G758" s="33" t="str">
        <f>IFERROR(VLOOKUP($D758,'Informations sur les produits'!$A$3:$H$10000,8,FALSE),"0")</f>
        <v>0</v>
      </c>
      <c r="K758" s="4"/>
      <c r="L758" s="33" t="str">
        <f>IFERROR(VLOOKUP($J758,'Informations sur les produits'!$A$3:$H$10000,8,FALSE),"0")</f>
        <v>0</v>
      </c>
      <c r="N758" s="8"/>
      <c r="O758" s="33" t="str">
        <f>IFERROR(VLOOKUP($M758,'Informations sur les produits'!$A$3:$H$10000,8,FALSE),"0")</f>
        <v>0</v>
      </c>
      <c r="P758" s="33">
        <f t="shared" si="44"/>
        <v>0</v>
      </c>
      <c r="Q758" s="31" t="str">
        <f t="shared" si="45"/>
        <v/>
      </c>
      <c r="R758" s="32" t="str">
        <f>IFERROR(VLOOKUP($D758,'Informations sur les produits'!$A$3:$B$15000,2,FALSE),"")</f>
        <v/>
      </c>
      <c r="V758">
        <f t="shared" si="46"/>
        <v>0</v>
      </c>
      <c r="W758">
        <f t="shared" si="47"/>
        <v>0</v>
      </c>
    </row>
    <row r="759" spans="5:23" x14ac:dyDescent="0.25">
      <c r="E759" s="4"/>
      <c r="F759" s="4"/>
      <c r="G759" s="33" t="str">
        <f>IFERROR(VLOOKUP($D759,'Informations sur les produits'!$A$3:$H$10000,8,FALSE),"0")</f>
        <v>0</v>
      </c>
      <c r="K759" s="4"/>
      <c r="L759" s="33" t="str">
        <f>IFERROR(VLOOKUP($J759,'Informations sur les produits'!$A$3:$H$10000,8,FALSE),"0")</f>
        <v>0</v>
      </c>
      <c r="N759" s="8"/>
      <c r="O759" s="33" t="str">
        <f>IFERROR(VLOOKUP($M759,'Informations sur les produits'!$A$3:$H$10000,8,FALSE),"0")</f>
        <v>0</v>
      </c>
      <c r="P759" s="33">
        <f t="shared" si="44"/>
        <v>0</v>
      </c>
      <c r="Q759" s="31" t="str">
        <f t="shared" si="45"/>
        <v/>
      </c>
      <c r="R759" s="32" t="str">
        <f>IFERROR(VLOOKUP($D759,'Informations sur les produits'!$A$3:$B$15000,2,FALSE),"")</f>
        <v/>
      </c>
      <c r="V759">
        <f t="shared" si="46"/>
        <v>0</v>
      </c>
      <c r="W759">
        <f t="shared" si="47"/>
        <v>0</v>
      </c>
    </row>
    <row r="760" spans="5:23" x14ac:dyDescent="0.25">
      <c r="E760" s="4"/>
      <c r="F760" s="4"/>
      <c r="G760" s="33" t="str">
        <f>IFERROR(VLOOKUP($D760,'Informations sur les produits'!$A$3:$H$10000,8,FALSE),"0")</f>
        <v>0</v>
      </c>
      <c r="K760" s="4"/>
      <c r="L760" s="33" t="str">
        <f>IFERROR(VLOOKUP($J760,'Informations sur les produits'!$A$3:$H$10000,8,FALSE),"0")</f>
        <v>0</v>
      </c>
      <c r="N760" s="8"/>
      <c r="O760" s="33" t="str">
        <f>IFERROR(VLOOKUP($M760,'Informations sur les produits'!$A$3:$H$10000,8,FALSE),"0")</f>
        <v>0</v>
      </c>
      <c r="P760" s="33">
        <f t="shared" si="44"/>
        <v>0</v>
      </c>
      <c r="Q760" s="31" t="str">
        <f t="shared" si="45"/>
        <v/>
      </c>
      <c r="R760" s="32" t="str">
        <f>IFERROR(VLOOKUP($D760,'Informations sur les produits'!$A$3:$B$15000,2,FALSE),"")</f>
        <v/>
      </c>
      <c r="V760">
        <f t="shared" si="46"/>
        <v>0</v>
      </c>
      <c r="W760">
        <f t="shared" si="47"/>
        <v>0</v>
      </c>
    </row>
    <row r="761" spans="5:23" x14ac:dyDescent="0.25">
      <c r="E761" s="4"/>
      <c r="F761" s="4"/>
      <c r="G761" s="33" t="str">
        <f>IFERROR(VLOOKUP($D761,'Informations sur les produits'!$A$3:$H$10000,8,FALSE),"0")</f>
        <v>0</v>
      </c>
      <c r="K761" s="4"/>
      <c r="L761" s="33" t="str">
        <f>IFERROR(VLOOKUP($J761,'Informations sur les produits'!$A$3:$H$10000,8,FALSE),"0")</f>
        <v>0</v>
      </c>
      <c r="N761" s="8"/>
      <c r="O761" s="33" t="str">
        <f>IFERROR(VLOOKUP($M761,'Informations sur les produits'!$A$3:$H$10000,8,FALSE),"0")</f>
        <v>0</v>
      </c>
      <c r="P761" s="33">
        <f t="shared" si="44"/>
        <v>0</v>
      </c>
      <c r="Q761" s="31" t="str">
        <f t="shared" si="45"/>
        <v/>
      </c>
      <c r="R761" s="32" t="str">
        <f>IFERROR(VLOOKUP($D761,'Informations sur les produits'!$A$3:$B$15000,2,FALSE),"")</f>
        <v/>
      </c>
      <c r="V761">
        <f t="shared" si="46"/>
        <v>0</v>
      </c>
      <c r="W761">
        <f t="shared" si="47"/>
        <v>0</v>
      </c>
    </row>
    <row r="762" spans="5:23" x14ac:dyDescent="0.25">
      <c r="E762" s="4"/>
      <c r="F762" s="4"/>
      <c r="G762" s="33" t="str">
        <f>IFERROR(VLOOKUP($D762,'Informations sur les produits'!$A$3:$H$10000,8,FALSE),"0")</f>
        <v>0</v>
      </c>
      <c r="K762" s="4"/>
      <c r="L762" s="33" t="str">
        <f>IFERROR(VLOOKUP($J762,'Informations sur les produits'!$A$3:$H$10000,8,FALSE),"0")</f>
        <v>0</v>
      </c>
      <c r="N762" s="8"/>
      <c r="O762" s="33" t="str">
        <f>IFERROR(VLOOKUP($M762,'Informations sur les produits'!$A$3:$H$10000,8,FALSE),"0")</f>
        <v>0</v>
      </c>
      <c r="P762" s="33">
        <f t="shared" si="44"/>
        <v>0</v>
      </c>
      <c r="Q762" s="31" t="str">
        <f t="shared" si="45"/>
        <v/>
      </c>
      <c r="R762" s="32" t="str">
        <f>IFERROR(VLOOKUP($D762,'Informations sur les produits'!$A$3:$B$15000,2,FALSE),"")</f>
        <v/>
      </c>
      <c r="V762">
        <f t="shared" si="46"/>
        <v>0</v>
      </c>
      <c r="W762">
        <f t="shared" si="47"/>
        <v>0</v>
      </c>
    </row>
    <row r="763" spans="5:23" x14ac:dyDescent="0.25">
      <c r="E763" s="4"/>
      <c r="F763" s="4"/>
      <c r="G763" s="33" t="str">
        <f>IFERROR(VLOOKUP($D763,'Informations sur les produits'!$A$3:$H$10000,8,FALSE),"0")</f>
        <v>0</v>
      </c>
      <c r="K763" s="4"/>
      <c r="L763" s="33" t="str">
        <f>IFERROR(VLOOKUP($J763,'Informations sur les produits'!$A$3:$H$10000,8,FALSE),"0")</f>
        <v>0</v>
      </c>
      <c r="N763" s="8"/>
      <c r="O763" s="33" t="str">
        <f>IFERROR(VLOOKUP($M763,'Informations sur les produits'!$A$3:$H$10000,8,FALSE),"0")</f>
        <v>0</v>
      </c>
      <c r="P763" s="33">
        <f t="shared" si="44"/>
        <v>0</v>
      </c>
      <c r="Q763" s="31" t="str">
        <f t="shared" si="45"/>
        <v/>
      </c>
      <c r="R763" s="32" t="str">
        <f>IFERROR(VLOOKUP($D763,'Informations sur les produits'!$A$3:$B$15000,2,FALSE),"")</f>
        <v/>
      </c>
      <c r="V763">
        <f t="shared" si="46"/>
        <v>0</v>
      </c>
      <c r="W763">
        <f t="shared" si="47"/>
        <v>0</v>
      </c>
    </row>
    <row r="764" spans="5:23" x14ac:dyDescent="0.25">
      <c r="E764" s="4"/>
      <c r="F764" s="4"/>
      <c r="G764" s="33" t="str">
        <f>IFERROR(VLOOKUP($D764,'Informations sur les produits'!$A$3:$H$10000,8,FALSE),"0")</f>
        <v>0</v>
      </c>
      <c r="K764" s="4"/>
      <c r="L764" s="33" t="str">
        <f>IFERROR(VLOOKUP($J764,'Informations sur les produits'!$A$3:$H$10000,8,FALSE),"0")</f>
        <v>0</v>
      </c>
      <c r="N764" s="8"/>
      <c r="O764" s="33" t="str">
        <f>IFERROR(VLOOKUP($M764,'Informations sur les produits'!$A$3:$H$10000,8,FALSE),"0")</f>
        <v>0</v>
      </c>
      <c r="P764" s="33">
        <f t="shared" si="44"/>
        <v>0</v>
      </c>
      <c r="Q764" s="31" t="str">
        <f t="shared" si="45"/>
        <v/>
      </c>
      <c r="R764" s="32" t="str">
        <f>IFERROR(VLOOKUP($D764,'Informations sur les produits'!$A$3:$B$15000,2,FALSE),"")</f>
        <v/>
      </c>
      <c r="V764">
        <f t="shared" si="46"/>
        <v>0</v>
      </c>
      <c r="W764">
        <f t="shared" si="47"/>
        <v>0</v>
      </c>
    </row>
    <row r="765" spans="5:23" x14ac:dyDescent="0.25">
      <c r="E765" s="4"/>
      <c r="F765" s="4"/>
      <c r="G765" s="33" t="str">
        <f>IFERROR(VLOOKUP($D765,'Informations sur les produits'!$A$3:$H$10000,8,FALSE),"0")</f>
        <v>0</v>
      </c>
      <c r="K765" s="4"/>
      <c r="L765" s="33" t="str">
        <f>IFERROR(VLOOKUP($J765,'Informations sur les produits'!$A$3:$H$10000,8,FALSE),"0")</f>
        <v>0</v>
      </c>
      <c r="N765" s="8"/>
      <c r="O765" s="33" t="str">
        <f>IFERROR(VLOOKUP($M765,'Informations sur les produits'!$A$3:$H$10000,8,FALSE),"0")</f>
        <v>0</v>
      </c>
      <c r="P765" s="33">
        <f t="shared" si="44"/>
        <v>0</v>
      </c>
      <c r="Q765" s="31" t="str">
        <f t="shared" si="45"/>
        <v/>
      </c>
      <c r="R765" s="32" t="str">
        <f>IFERROR(VLOOKUP($D765,'Informations sur les produits'!$A$3:$B$15000,2,FALSE),"")</f>
        <v/>
      </c>
      <c r="V765">
        <f t="shared" si="46"/>
        <v>0</v>
      </c>
      <c r="W765">
        <f t="shared" si="47"/>
        <v>0</v>
      </c>
    </row>
    <row r="766" spans="5:23" x14ac:dyDescent="0.25">
      <c r="E766" s="4"/>
      <c r="F766" s="4"/>
      <c r="G766" s="33" t="str">
        <f>IFERROR(VLOOKUP($D766,'Informations sur les produits'!$A$3:$H$10000,8,FALSE),"0")</f>
        <v>0</v>
      </c>
      <c r="K766" s="4"/>
      <c r="L766" s="33" t="str">
        <f>IFERROR(VLOOKUP($J766,'Informations sur les produits'!$A$3:$H$10000,8,FALSE),"0")</f>
        <v>0</v>
      </c>
      <c r="N766" s="8"/>
      <c r="O766" s="33" t="str">
        <f>IFERROR(VLOOKUP($M766,'Informations sur les produits'!$A$3:$H$10000,8,FALSE),"0")</f>
        <v>0</v>
      </c>
      <c r="P766" s="33">
        <f t="shared" si="44"/>
        <v>0</v>
      </c>
      <c r="Q766" s="31" t="str">
        <f t="shared" si="45"/>
        <v/>
      </c>
      <c r="R766" s="32" t="str">
        <f>IFERROR(VLOOKUP($D766,'Informations sur les produits'!$A$3:$B$15000,2,FALSE),"")</f>
        <v/>
      </c>
      <c r="V766">
        <f t="shared" si="46"/>
        <v>0</v>
      </c>
      <c r="W766">
        <f t="shared" si="47"/>
        <v>0</v>
      </c>
    </row>
    <row r="767" spans="5:23" x14ac:dyDescent="0.25">
      <c r="E767" s="4"/>
      <c r="F767" s="4"/>
      <c r="G767" s="33" t="str">
        <f>IFERROR(VLOOKUP($D767,'Informations sur les produits'!$A$3:$H$10000,8,FALSE),"0")</f>
        <v>0</v>
      </c>
      <c r="K767" s="4"/>
      <c r="L767" s="33" t="str">
        <f>IFERROR(VLOOKUP($J767,'Informations sur les produits'!$A$3:$H$10000,8,FALSE),"0")</f>
        <v>0</v>
      </c>
      <c r="N767" s="8"/>
      <c r="O767" s="33" t="str">
        <f>IFERROR(VLOOKUP($M767,'Informations sur les produits'!$A$3:$H$10000,8,FALSE),"0")</f>
        <v>0</v>
      </c>
      <c r="P767" s="33">
        <f t="shared" si="44"/>
        <v>0</v>
      </c>
      <c r="Q767" s="31" t="str">
        <f t="shared" si="45"/>
        <v/>
      </c>
      <c r="R767" s="32" t="str">
        <f>IFERROR(VLOOKUP($D767,'Informations sur les produits'!$A$3:$B$15000,2,FALSE),"")</f>
        <v/>
      </c>
      <c r="V767">
        <f t="shared" si="46"/>
        <v>0</v>
      </c>
      <c r="W767">
        <f t="shared" si="47"/>
        <v>0</v>
      </c>
    </row>
    <row r="768" spans="5:23" x14ac:dyDescent="0.25">
      <c r="E768" s="4"/>
      <c r="F768" s="4"/>
      <c r="G768" s="33" t="str">
        <f>IFERROR(VLOOKUP($D768,'Informations sur les produits'!$A$3:$H$10000,8,FALSE),"0")</f>
        <v>0</v>
      </c>
      <c r="K768" s="4"/>
      <c r="L768" s="33" t="str">
        <f>IFERROR(VLOOKUP($J768,'Informations sur les produits'!$A$3:$H$10000,8,FALSE),"0")</f>
        <v>0</v>
      </c>
      <c r="N768" s="8"/>
      <c r="O768" s="33" t="str">
        <f>IFERROR(VLOOKUP($M768,'Informations sur les produits'!$A$3:$H$10000,8,FALSE),"0")</f>
        <v>0</v>
      </c>
      <c r="P768" s="33">
        <f t="shared" si="44"/>
        <v>0</v>
      </c>
      <c r="Q768" s="31" t="str">
        <f t="shared" si="45"/>
        <v/>
      </c>
      <c r="R768" s="32" t="str">
        <f>IFERROR(VLOOKUP($D768,'Informations sur les produits'!$A$3:$B$15000,2,FALSE),"")</f>
        <v/>
      </c>
      <c r="V768">
        <f t="shared" si="46"/>
        <v>0</v>
      </c>
      <c r="W768">
        <f t="shared" si="47"/>
        <v>0</v>
      </c>
    </row>
    <row r="769" spans="5:23" x14ac:dyDescent="0.25">
      <c r="E769" s="4"/>
      <c r="F769" s="4"/>
      <c r="G769" s="33" t="str">
        <f>IFERROR(VLOOKUP($D769,'Informations sur les produits'!$A$3:$H$10000,8,FALSE),"0")</f>
        <v>0</v>
      </c>
      <c r="K769" s="4"/>
      <c r="L769" s="33" t="str">
        <f>IFERROR(VLOOKUP($J769,'Informations sur les produits'!$A$3:$H$10000,8,FALSE),"0")</f>
        <v>0</v>
      </c>
      <c r="N769" s="8"/>
      <c r="O769" s="33" t="str">
        <f>IFERROR(VLOOKUP($M769,'Informations sur les produits'!$A$3:$H$10000,8,FALSE),"0")</f>
        <v>0</v>
      </c>
      <c r="P769" s="33">
        <f t="shared" si="44"/>
        <v>0</v>
      </c>
      <c r="Q769" s="31" t="str">
        <f t="shared" si="45"/>
        <v/>
      </c>
      <c r="R769" s="32" t="str">
        <f>IFERROR(VLOOKUP($D769,'Informations sur les produits'!$A$3:$B$15000,2,FALSE),"")</f>
        <v/>
      </c>
      <c r="V769">
        <f t="shared" si="46"/>
        <v>0</v>
      </c>
      <c r="W769">
        <f t="shared" si="47"/>
        <v>0</v>
      </c>
    </row>
    <row r="770" spans="5:23" x14ac:dyDescent="0.25">
      <c r="E770" s="4"/>
      <c r="F770" s="4"/>
      <c r="G770" s="33" t="str">
        <f>IFERROR(VLOOKUP($D770,'Informations sur les produits'!$A$3:$H$10000,8,FALSE),"0")</f>
        <v>0</v>
      </c>
      <c r="K770" s="4"/>
      <c r="L770" s="33" t="str">
        <f>IFERROR(VLOOKUP($J770,'Informations sur les produits'!$A$3:$H$10000,8,FALSE),"0")</f>
        <v>0</v>
      </c>
      <c r="N770" s="8"/>
      <c r="O770" s="33" t="str">
        <f>IFERROR(VLOOKUP($M770,'Informations sur les produits'!$A$3:$H$10000,8,FALSE),"0")</f>
        <v>0</v>
      </c>
      <c r="P770" s="33">
        <f t="shared" si="44"/>
        <v>0</v>
      </c>
      <c r="Q770" s="31" t="str">
        <f t="shared" si="45"/>
        <v/>
      </c>
      <c r="R770" s="32" t="str">
        <f>IFERROR(VLOOKUP($D770,'Informations sur les produits'!$A$3:$B$15000,2,FALSE),"")</f>
        <v/>
      </c>
      <c r="V770">
        <f t="shared" si="46"/>
        <v>0</v>
      </c>
      <c r="W770">
        <f t="shared" si="47"/>
        <v>0</v>
      </c>
    </row>
    <row r="771" spans="5:23" x14ac:dyDescent="0.25">
      <c r="E771" s="4"/>
      <c r="F771" s="4"/>
      <c r="G771" s="33" t="str">
        <f>IFERROR(VLOOKUP($D771,'Informations sur les produits'!$A$3:$H$10000,8,FALSE),"0")</f>
        <v>0</v>
      </c>
      <c r="K771" s="4"/>
      <c r="L771" s="33" t="str">
        <f>IFERROR(VLOOKUP($J771,'Informations sur les produits'!$A$3:$H$10000,8,FALSE),"0")</f>
        <v>0</v>
      </c>
      <c r="N771" s="8"/>
      <c r="O771" s="33" t="str">
        <f>IFERROR(VLOOKUP($M771,'Informations sur les produits'!$A$3:$H$10000,8,FALSE),"0")</f>
        <v>0</v>
      </c>
      <c r="P771" s="33">
        <f t="shared" si="44"/>
        <v>0</v>
      </c>
      <c r="Q771" s="31" t="str">
        <f t="shared" si="45"/>
        <v/>
      </c>
      <c r="R771" s="32" t="str">
        <f>IFERROR(VLOOKUP($D771,'Informations sur les produits'!$A$3:$B$15000,2,FALSE),"")</f>
        <v/>
      </c>
      <c r="V771">
        <f t="shared" si="46"/>
        <v>0</v>
      </c>
      <c r="W771">
        <f t="shared" si="47"/>
        <v>0</v>
      </c>
    </row>
    <row r="772" spans="5:23" x14ac:dyDescent="0.25">
      <c r="E772" s="4"/>
      <c r="F772" s="4"/>
      <c r="G772" s="33" t="str">
        <f>IFERROR(VLOOKUP($D772,'Informations sur les produits'!$A$3:$H$10000,8,FALSE),"0")</f>
        <v>0</v>
      </c>
      <c r="K772" s="4"/>
      <c r="L772" s="33" t="str">
        <f>IFERROR(VLOOKUP($J772,'Informations sur les produits'!$A$3:$H$10000,8,FALSE),"0")</f>
        <v>0</v>
      </c>
      <c r="N772" s="8"/>
      <c r="O772" s="33" t="str">
        <f>IFERROR(VLOOKUP($M772,'Informations sur les produits'!$A$3:$H$10000,8,FALSE),"0")</f>
        <v>0</v>
      </c>
      <c r="P772" s="33">
        <f t="shared" ref="P772:P835" si="48">IFERROR((($E772-$F772)*$G772+$K772*$L772+$N772*$O772),"")</f>
        <v>0</v>
      </c>
      <c r="Q772" s="31" t="str">
        <f t="shared" ref="Q772:Q835" si="49">IFERROR((((($E772-$F772)*$G772+$K772*$L772+$N772*$O772)*1000)/(($E772-$F772)+$K772+$N772)),"")</f>
        <v/>
      </c>
      <c r="R772" s="32" t="str">
        <f>IFERROR(VLOOKUP($D772,'Informations sur les produits'!$A$3:$B$15000,2,FALSE),"")</f>
        <v/>
      </c>
      <c r="V772">
        <f t="shared" ref="V772:V835" si="50">IFERROR(P772*1000,"")</f>
        <v>0</v>
      </c>
      <c r="W772">
        <f t="shared" ref="W772:W835" si="51">IFERROR(($E772-$F772)+$K772+$N772,"")</f>
        <v>0</v>
      </c>
    </row>
    <row r="773" spans="5:23" x14ac:dyDescent="0.25">
      <c r="E773" s="4"/>
      <c r="F773" s="4"/>
      <c r="G773" s="33" t="str">
        <f>IFERROR(VLOOKUP($D773,'Informations sur les produits'!$A$3:$H$10000,8,FALSE),"0")</f>
        <v>0</v>
      </c>
      <c r="K773" s="4"/>
      <c r="L773" s="33" t="str">
        <f>IFERROR(VLOOKUP($J773,'Informations sur les produits'!$A$3:$H$10000,8,FALSE),"0")</f>
        <v>0</v>
      </c>
      <c r="N773" s="8"/>
      <c r="O773" s="33" t="str">
        <f>IFERROR(VLOOKUP($M773,'Informations sur les produits'!$A$3:$H$10000,8,FALSE),"0")</f>
        <v>0</v>
      </c>
      <c r="P773" s="33">
        <f t="shared" si="48"/>
        <v>0</v>
      </c>
      <c r="Q773" s="31" t="str">
        <f t="shared" si="49"/>
        <v/>
      </c>
      <c r="R773" s="32" t="str">
        <f>IFERROR(VLOOKUP($D773,'Informations sur les produits'!$A$3:$B$15000,2,FALSE),"")</f>
        <v/>
      </c>
      <c r="V773">
        <f t="shared" si="50"/>
        <v>0</v>
      </c>
      <c r="W773">
        <f t="shared" si="51"/>
        <v>0</v>
      </c>
    </row>
    <row r="774" spans="5:23" x14ac:dyDescent="0.25">
      <c r="E774" s="4"/>
      <c r="F774" s="4"/>
      <c r="G774" s="33" t="str">
        <f>IFERROR(VLOOKUP($D774,'Informations sur les produits'!$A$3:$H$10000,8,FALSE),"0")</f>
        <v>0</v>
      </c>
      <c r="K774" s="4"/>
      <c r="L774" s="33" t="str">
        <f>IFERROR(VLOOKUP($J774,'Informations sur les produits'!$A$3:$H$10000,8,FALSE),"0")</f>
        <v>0</v>
      </c>
      <c r="N774" s="8"/>
      <c r="O774" s="33" t="str">
        <f>IFERROR(VLOOKUP($M774,'Informations sur les produits'!$A$3:$H$10000,8,FALSE),"0")</f>
        <v>0</v>
      </c>
      <c r="P774" s="33">
        <f t="shared" si="48"/>
        <v>0</v>
      </c>
      <c r="Q774" s="31" t="str">
        <f t="shared" si="49"/>
        <v/>
      </c>
      <c r="R774" s="32" t="str">
        <f>IFERROR(VLOOKUP($D774,'Informations sur les produits'!$A$3:$B$15000,2,FALSE),"")</f>
        <v/>
      </c>
      <c r="V774">
        <f t="shared" si="50"/>
        <v>0</v>
      </c>
      <c r="W774">
        <f t="shared" si="51"/>
        <v>0</v>
      </c>
    </row>
    <row r="775" spans="5:23" x14ac:dyDescent="0.25">
      <c r="E775" s="4"/>
      <c r="F775" s="4"/>
      <c r="G775" s="33" t="str">
        <f>IFERROR(VLOOKUP($D775,'Informations sur les produits'!$A$3:$H$10000,8,FALSE),"0")</f>
        <v>0</v>
      </c>
      <c r="K775" s="4"/>
      <c r="L775" s="33" t="str">
        <f>IFERROR(VLOOKUP($J775,'Informations sur les produits'!$A$3:$H$10000,8,FALSE),"0")</f>
        <v>0</v>
      </c>
      <c r="N775" s="8"/>
      <c r="O775" s="33" t="str">
        <f>IFERROR(VLOOKUP($M775,'Informations sur les produits'!$A$3:$H$10000,8,FALSE),"0")</f>
        <v>0</v>
      </c>
      <c r="P775" s="33">
        <f t="shared" si="48"/>
        <v>0</v>
      </c>
      <c r="Q775" s="31" t="str">
        <f t="shared" si="49"/>
        <v/>
      </c>
      <c r="R775" s="32" t="str">
        <f>IFERROR(VLOOKUP($D775,'Informations sur les produits'!$A$3:$B$15000,2,FALSE),"")</f>
        <v/>
      </c>
      <c r="V775">
        <f t="shared" si="50"/>
        <v>0</v>
      </c>
      <c r="W775">
        <f t="shared" si="51"/>
        <v>0</v>
      </c>
    </row>
    <row r="776" spans="5:23" x14ac:dyDescent="0.25">
      <c r="E776" s="4"/>
      <c r="F776" s="4"/>
      <c r="G776" s="33" t="str">
        <f>IFERROR(VLOOKUP($D776,'Informations sur les produits'!$A$3:$H$10000,8,FALSE),"0")</f>
        <v>0</v>
      </c>
      <c r="K776" s="4"/>
      <c r="L776" s="33" t="str">
        <f>IFERROR(VLOOKUP($J776,'Informations sur les produits'!$A$3:$H$10000,8,FALSE),"0")</f>
        <v>0</v>
      </c>
      <c r="N776" s="8"/>
      <c r="O776" s="33" t="str">
        <f>IFERROR(VLOOKUP($M776,'Informations sur les produits'!$A$3:$H$10000,8,FALSE),"0")</f>
        <v>0</v>
      </c>
      <c r="P776" s="33">
        <f t="shared" si="48"/>
        <v>0</v>
      </c>
      <c r="Q776" s="31" t="str">
        <f t="shared" si="49"/>
        <v/>
      </c>
      <c r="R776" s="32" t="str">
        <f>IFERROR(VLOOKUP($D776,'Informations sur les produits'!$A$3:$B$15000,2,FALSE),"")</f>
        <v/>
      </c>
      <c r="V776">
        <f t="shared" si="50"/>
        <v>0</v>
      </c>
      <c r="W776">
        <f t="shared" si="51"/>
        <v>0</v>
      </c>
    </row>
    <row r="777" spans="5:23" x14ac:dyDescent="0.25">
      <c r="E777" s="4"/>
      <c r="F777" s="4"/>
      <c r="G777" s="33" t="str">
        <f>IFERROR(VLOOKUP($D777,'Informations sur les produits'!$A$3:$H$10000,8,FALSE),"0")</f>
        <v>0</v>
      </c>
      <c r="K777" s="4"/>
      <c r="L777" s="33" t="str">
        <f>IFERROR(VLOOKUP($J777,'Informations sur les produits'!$A$3:$H$10000,8,FALSE),"0")</f>
        <v>0</v>
      </c>
      <c r="N777" s="8"/>
      <c r="O777" s="33" t="str">
        <f>IFERROR(VLOOKUP($M777,'Informations sur les produits'!$A$3:$H$10000,8,FALSE),"0")</f>
        <v>0</v>
      </c>
      <c r="P777" s="33">
        <f t="shared" si="48"/>
        <v>0</v>
      </c>
      <c r="Q777" s="31" t="str">
        <f t="shared" si="49"/>
        <v/>
      </c>
      <c r="R777" s="32" t="str">
        <f>IFERROR(VLOOKUP($D777,'Informations sur les produits'!$A$3:$B$15000,2,FALSE),"")</f>
        <v/>
      </c>
      <c r="V777">
        <f t="shared" si="50"/>
        <v>0</v>
      </c>
      <c r="W777">
        <f t="shared" si="51"/>
        <v>0</v>
      </c>
    </row>
    <row r="778" spans="5:23" x14ac:dyDescent="0.25">
      <c r="E778" s="4"/>
      <c r="F778" s="4"/>
      <c r="G778" s="33" t="str">
        <f>IFERROR(VLOOKUP($D778,'Informations sur les produits'!$A$3:$H$10000,8,FALSE),"0")</f>
        <v>0</v>
      </c>
      <c r="K778" s="4"/>
      <c r="L778" s="33" t="str">
        <f>IFERROR(VLOOKUP($J778,'Informations sur les produits'!$A$3:$H$10000,8,FALSE),"0")</f>
        <v>0</v>
      </c>
      <c r="N778" s="8"/>
      <c r="O778" s="33" t="str">
        <f>IFERROR(VLOOKUP($M778,'Informations sur les produits'!$A$3:$H$10000,8,FALSE),"0")</f>
        <v>0</v>
      </c>
      <c r="P778" s="33">
        <f t="shared" si="48"/>
        <v>0</v>
      </c>
      <c r="Q778" s="31" t="str">
        <f t="shared" si="49"/>
        <v/>
      </c>
      <c r="R778" s="32" t="str">
        <f>IFERROR(VLOOKUP($D778,'Informations sur les produits'!$A$3:$B$15000,2,FALSE),"")</f>
        <v/>
      </c>
      <c r="V778">
        <f t="shared" si="50"/>
        <v>0</v>
      </c>
      <c r="W778">
        <f t="shared" si="51"/>
        <v>0</v>
      </c>
    </row>
    <row r="779" spans="5:23" x14ac:dyDescent="0.25">
      <c r="E779" s="4"/>
      <c r="F779" s="4"/>
      <c r="G779" s="33" t="str">
        <f>IFERROR(VLOOKUP($D779,'Informations sur les produits'!$A$3:$H$10000,8,FALSE),"0")</f>
        <v>0</v>
      </c>
      <c r="K779" s="4"/>
      <c r="L779" s="33" t="str">
        <f>IFERROR(VLOOKUP($J779,'Informations sur les produits'!$A$3:$H$10000,8,FALSE),"0")</f>
        <v>0</v>
      </c>
      <c r="N779" s="8"/>
      <c r="O779" s="33" t="str">
        <f>IFERROR(VLOOKUP($M779,'Informations sur les produits'!$A$3:$H$10000,8,FALSE),"0")</f>
        <v>0</v>
      </c>
      <c r="P779" s="33">
        <f t="shared" si="48"/>
        <v>0</v>
      </c>
      <c r="Q779" s="31" t="str">
        <f t="shared" si="49"/>
        <v/>
      </c>
      <c r="R779" s="32" t="str">
        <f>IFERROR(VLOOKUP($D779,'Informations sur les produits'!$A$3:$B$15000,2,FALSE),"")</f>
        <v/>
      </c>
      <c r="V779">
        <f t="shared" si="50"/>
        <v>0</v>
      </c>
      <c r="W779">
        <f t="shared" si="51"/>
        <v>0</v>
      </c>
    </row>
    <row r="780" spans="5:23" x14ac:dyDescent="0.25">
      <c r="E780" s="4"/>
      <c r="F780" s="4"/>
      <c r="G780" s="33" t="str">
        <f>IFERROR(VLOOKUP($D780,'Informations sur les produits'!$A$3:$H$10000,8,FALSE),"0")</f>
        <v>0</v>
      </c>
      <c r="K780" s="4"/>
      <c r="L780" s="33" t="str">
        <f>IFERROR(VLOOKUP($J780,'Informations sur les produits'!$A$3:$H$10000,8,FALSE),"0")</f>
        <v>0</v>
      </c>
      <c r="N780" s="8"/>
      <c r="O780" s="33" t="str">
        <f>IFERROR(VLOOKUP($M780,'Informations sur les produits'!$A$3:$H$10000,8,FALSE),"0")</f>
        <v>0</v>
      </c>
      <c r="P780" s="33">
        <f t="shared" si="48"/>
        <v>0</v>
      </c>
      <c r="Q780" s="31" t="str">
        <f t="shared" si="49"/>
        <v/>
      </c>
      <c r="R780" s="32" t="str">
        <f>IFERROR(VLOOKUP($D780,'Informations sur les produits'!$A$3:$B$15000,2,FALSE),"")</f>
        <v/>
      </c>
      <c r="V780">
        <f t="shared" si="50"/>
        <v>0</v>
      </c>
      <c r="W780">
        <f t="shared" si="51"/>
        <v>0</v>
      </c>
    </row>
    <row r="781" spans="5:23" x14ac:dyDescent="0.25">
      <c r="E781" s="4"/>
      <c r="F781" s="4"/>
      <c r="G781" s="33" t="str">
        <f>IFERROR(VLOOKUP($D781,'Informations sur les produits'!$A$3:$H$10000,8,FALSE),"0")</f>
        <v>0</v>
      </c>
      <c r="K781" s="4"/>
      <c r="L781" s="33" t="str">
        <f>IFERROR(VLOOKUP($J781,'Informations sur les produits'!$A$3:$H$10000,8,FALSE),"0")</f>
        <v>0</v>
      </c>
      <c r="N781" s="8"/>
      <c r="O781" s="33" t="str">
        <f>IFERROR(VLOOKUP($M781,'Informations sur les produits'!$A$3:$H$10000,8,FALSE),"0")</f>
        <v>0</v>
      </c>
      <c r="P781" s="33">
        <f t="shared" si="48"/>
        <v>0</v>
      </c>
      <c r="Q781" s="31" t="str">
        <f t="shared" si="49"/>
        <v/>
      </c>
      <c r="R781" s="32" t="str">
        <f>IFERROR(VLOOKUP($D781,'Informations sur les produits'!$A$3:$B$15000,2,FALSE),"")</f>
        <v/>
      </c>
      <c r="V781">
        <f t="shared" si="50"/>
        <v>0</v>
      </c>
      <c r="W781">
        <f t="shared" si="51"/>
        <v>0</v>
      </c>
    </row>
    <row r="782" spans="5:23" x14ac:dyDescent="0.25">
      <c r="E782" s="4"/>
      <c r="F782" s="4"/>
      <c r="G782" s="33" t="str">
        <f>IFERROR(VLOOKUP($D782,'Informations sur les produits'!$A$3:$H$10000,8,FALSE),"0")</f>
        <v>0</v>
      </c>
      <c r="K782" s="4"/>
      <c r="L782" s="33" t="str">
        <f>IFERROR(VLOOKUP($J782,'Informations sur les produits'!$A$3:$H$10000,8,FALSE),"0")</f>
        <v>0</v>
      </c>
      <c r="N782" s="8"/>
      <c r="O782" s="33" t="str">
        <f>IFERROR(VLOOKUP($M782,'Informations sur les produits'!$A$3:$H$10000,8,FALSE),"0")</f>
        <v>0</v>
      </c>
      <c r="P782" s="33">
        <f t="shared" si="48"/>
        <v>0</v>
      </c>
      <c r="Q782" s="31" t="str">
        <f t="shared" si="49"/>
        <v/>
      </c>
      <c r="R782" s="32" t="str">
        <f>IFERROR(VLOOKUP($D782,'Informations sur les produits'!$A$3:$B$15000,2,FALSE),"")</f>
        <v/>
      </c>
      <c r="V782">
        <f t="shared" si="50"/>
        <v>0</v>
      </c>
      <c r="W782">
        <f t="shared" si="51"/>
        <v>0</v>
      </c>
    </row>
    <row r="783" spans="5:23" x14ac:dyDescent="0.25">
      <c r="E783" s="4"/>
      <c r="F783" s="4"/>
      <c r="G783" s="33" t="str">
        <f>IFERROR(VLOOKUP($D783,'Informations sur les produits'!$A$3:$H$10000,8,FALSE),"0")</f>
        <v>0</v>
      </c>
      <c r="K783" s="4"/>
      <c r="L783" s="33" t="str">
        <f>IFERROR(VLOOKUP($J783,'Informations sur les produits'!$A$3:$H$10000,8,FALSE),"0")</f>
        <v>0</v>
      </c>
      <c r="N783" s="8"/>
      <c r="O783" s="33" t="str">
        <f>IFERROR(VLOOKUP($M783,'Informations sur les produits'!$A$3:$H$10000,8,FALSE),"0")</f>
        <v>0</v>
      </c>
      <c r="P783" s="33">
        <f t="shared" si="48"/>
        <v>0</v>
      </c>
      <c r="Q783" s="31" t="str">
        <f t="shared" si="49"/>
        <v/>
      </c>
      <c r="R783" s="32" t="str">
        <f>IFERROR(VLOOKUP($D783,'Informations sur les produits'!$A$3:$B$15000,2,FALSE),"")</f>
        <v/>
      </c>
      <c r="V783">
        <f t="shared" si="50"/>
        <v>0</v>
      </c>
      <c r="W783">
        <f t="shared" si="51"/>
        <v>0</v>
      </c>
    </row>
    <row r="784" spans="5:23" x14ac:dyDescent="0.25">
      <c r="E784" s="4"/>
      <c r="F784" s="4"/>
      <c r="G784" s="33" t="str">
        <f>IFERROR(VLOOKUP($D784,'Informations sur les produits'!$A$3:$H$10000,8,FALSE),"0")</f>
        <v>0</v>
      </c>
      <c r="K784" s="4"/>
      <c r="L784" s="33" t="str">
        <f>IFERROR(VLOOKUP($J784,'Informations sur les produits'!$A$3:$H$10000,8,FALSE),"0")</f>
        <v>0</v>
      </c>
      <c r="N784" s="8"/>
      <c r="O784" s="33" t="str">
        <f>IFERROR(VLOOKUP($M784,'Informations sur les produits'!$A$3:$H$10000,8,FALSE),"0")</f>
        <v>0</v>
      </c>
      <c r="P784" s="33">
        <f t="shared" si="48"/>
        <v>0</v>
      </c>
      <c r="Q784" s="31" t="str">
        <f t="shared" si="49"/>
        <v/>
      </c>
      <c r="R784" s="32" t="str">
        <f>IFERROR(VLOOKUP($D784,'Informations sur les produits'!$A$3:$B$15000,2,FALSE),"")</f>
        <v/>
      </c>
      <c r="V784">
        <f t="shared" si="50"/>
        <v>0</v>
      </c>
      <c r="W784">
        <f t="shared" si="51"/>
        <v>0</v>
      </c>
    </row>
    <row r="785" spans="5:23" x14ac:dyDescent="0.25">
      <c r="E785" s="4"/>
      <c r="F785" s="4"/>
      <c r="G785" s="33" t="str">
        <f>IFERROR(VLOOKUP($D785,'Informations sur les produits'!$A$3:$H$10000,8,FALSE),"0")</f>
        <v>0</v>
      </c>
      <c r="K785" s="4"/>
      <c r="L785" s="33" t="str">
        <f>IFERROR(VLOOKUP($J785,'Informations sur les produits'!$A$3:$H$10000,8,FALSE),"0")</f>
        <v>0</v>
      </c>
      <c r="N785" s="8"/>
      <c r="O785" s="33" t="str">
        <f>IFERROR(VLOOKUP($M785,'Informations sur les produits'!$A$3:$H$10000,8,FALSE),"0")</f>
        <v>0</v>
      </c>
      <c r="P785" s="33">
        <f t="shared" si="48"/>
        <v>0</v>
      </c>
      <c r="Q785" s="31" t="str">
        <f t="shared" si="49"/>
        <v/>
      </c>
      <c r="R785" s="32" t="str">
        <f>IFERROR(VLOOKUP($D785,'Informations sur les produits'!$A$3:$B$15000,2,FALSE),"")</f>
        <v/>
      </c>
      <c r="V785">
        <f t="shared" si="50"/>
        <v>0</v>
      </c>
      <c r="W785">
        <f t="shared" si="51"/>
        <v>0</v>
      </c>
    </row>
    <row r="786" spans="5:23" x14ac:dyDescent="0.25">
      <c r="E786" s="4"/>
      <c r="F786" s="4"/>
      <c r="G786" s="33" t="str">
        <f>IFERROR(VLOOKUP($D786,'Informations sur les produits'!$A$3:$H$10000,8,FALSE),"0")</f>
        <v>0</v>
      </c>
      <c r="K786" s="4"/>
      <c r="L786" s="33" t="str">
        <f>IFERROR(VLOOKUP($J786,'Informations sur les produits'!$A$3:$H$10000,8,FALSE),"0")</f>
        <v>0</v>
      </c>
      <c r="N786" s="8"/>
      <c r="O786" s="33" t="str">
        <f>IFERROR(VLOOKUP($M786,'Informations sur les produits'!$A$3:$H$10000,8,FALSE),"0")</f>
        <v>0</v>
      </c>
      <c r="P786" s="33">
        <f t="shared" si="48"/>
        <v>0</v>
      </c>
      <c r="Q786" s="31" t="str">
        <f t="shared" si="49"/>
        <v/>
      </c>
      <c r="R786" s="32" t="str">
        <f>IFERROR(VLOOKUP($D786,'Informations sur les produits'!$A$3:$B$15000,2,FALSE),"")</f>
        <v/>
      </c>
      <c r="V786">
        <f t="shared" si="50"/>
        <v>0</v>
      </c>
      <c r="W786">
        <f t="shared" si="51"/>
        <v>0</v>
      </c>
    </row>
    <row r="787" spans="5:23" x14ac:dyDescent="0.25">
      <c r="E787" s="4"/>
      <c r="F787" s="4"/>
      <c r="G787" s="33" t="str">
        <f>IFERROR(VLOOKUP($D787,'Informations sur les produits'!$A$3:$H$10000,8,FALSE),"0")</f>
        <v>0</v>
      </c>
      <c r="K787" s="4"/>
      <c r="L787" s="33" t="str">
        <f>IFERROR(VLOOKUP($J787,'Informations sur les produits'!$A$3:$H$10000,8,FALSE),"0")</f>
        <v>0</v>
      </c>
      <c r="N787" s="8"/>
      <c r="O787" s="33" t="str">
        <f>IFERROR(VLOOKUP($M787,'Informations sur les produits'!$A$3:$H$10000,8,FALSE),"0")</f>
        <v>0</v>
      </c>
      <c r="P787" s="33">
        <f t="shared" si="48"/>
        <v>0</v>
      </c>
      <c r="Q787" s="31" t="str">
        <f t="shared" si="49"/>
        <v/>
      </c>
      <c r="R787" s="32" t="str">
        <f>IFERROR(VLOOKUP($D787,'Informations sur les produits'!$A$3:$B$15000,2,FALSE),"")</f>
        <v/>
      </c>
      <c r="V787">
        <f t="shared" si="50"/>
        <v>0</v>
      </c>
      <c r="W787">
        <f t="shared" si="51"/>
        <v>0</v>
      </c>
    </row>
    <row r="788" spans="5:23" x14ac:dyDescent="0.25">
      <c r="E788" s="4"/>
      <c r="F788" s="4"/>
      <c r="G788" s="33" t="str">
        <f>IFERROR(VLOOKUP($D788,'Informations sur les produits'!$A$3:$H$10000,8,FALSE),"0")</f>
        <v>0</v>
      </c>
      <c r="K788" s="4"/>
      <c r="L788" s="33" t="str">
        <f>IFERROR(VLOOKUP($J788,'Informations sur les produits'!$A$3:$H$10000,8,FALSE),"0")</f>
        <v>0</v>
      </c>
      <c r="N788" s="8"/>
      <c r="O788" s="33" t="str">
        <f>IFERROR(VLOOKUP($M788,'Informations sur les produits'!$A$3:$H$10000,8,FALSE),"0")</f>
        <v>0</v>
      </c>
      <c r="P788" s="33">
        <f t="shared" si="48"/>
        <v>0</v>
      </c>
      <c r="Q788" s="31" t="str">
        <f t="shared" si="49"/>
        <v/>
      </c>
      <c r="R788" s="32" t="str">
        <f>IFERROR(VLOOKUP($D788,'Informations sur les produits'!$A$3:$B$15000,2,FALSE),"")</f>
        <v/>
      </c>
      <c r="V788">
        <f t="shared" si="50"/>
        <v>0</v>
      </c>
      <c r="W788">
        <f t="shared" si="51"/>
        <v>0</v>
      </c>
    </row>
    <row r="789" spans="5:23" x14ac:dyDescent="0.25">
      <c r="E789" s="4"/>
      <c r="F789" s="4"/>
      <c r="G789" s="33" t="str">
        <f>IFERROR(VLOOKUP($D789,'Informations sur les produits'!$A$3:$H$10000,8,FALSE),"0")</f>
        <v>0</v>
      </c>
      <c r="K789" s="4"/>
      <c r="L789" s="33" t="str">
        <f>IFERROR(VLOOKUP($J789,'Informations sur les produits'!$A$3:$H$10000,8,FALSE),"0")</f>
        <v>0</v>
      </c>
      <c r="N789" s="8"/>
      <c r="O789" s="33" t="str">
        <f>IFERROR(VLOOKUP($M789,'Informations sur les produits'!$A$3:$H$10000,8,FALSE),"0")</f>
        <v>0</v>
      </c>
      <c r="P789" s="33">
        <f t="shared" si="48"/>
        <v>0</v>
      </c>
      <c r="Q789" s="31" t="str">
        <f t="shared" si="49"/>
        <v/>
      </c>
      <c r="R789" s="32" t="str">
        <f>IFERROR(VLOOKUP($D789,'Informations sur les produits'!$A$3:$B$15000,2,FALSE),"")</f>
        <v/>
      </c>
      <c r="V789">
        <f t="shared" si="50"/>
        <v>0</v>
      </c>
      <c r="W789">
        <f t="shared" si="51"/>
        <v>0</v>
      </c>
    </row>
    <row r="790" spans="5:23" x14ac:dyDescent="0.25">
      <c r="E790" s="4"/>
      <c r="F790" s="4"/>
      <c r="G790" s="33" t="str">
        <f>IFERROR(VLOOKUP($D790,'Informations sur les produits'!$A$3:$H$10000,8,FALSE),"0")</f>
        <v>0</v>
      </c>
      <c r="K790" s="4"/>
      <c r="L790" s="33" t="str">
        <f>IFERROR(VLOOKUP($J790,'Informations sur les produits'!$A$3:$H$10000,8,FALSE),"0")</f>
        <v>0</v>
      </c>
      <c r="N790" s="8"/>
      <c r="O790" s="33" t="str">
        <f>IFERROR(VLOOKUP($M790,'Informations sur les produits'!$A$3:$H$10000,8,FALSE),"0")</f>
        <v>0</v>
      </c>
      <c r="P790" s="33">
        <f t="shared" si="48"/>
        <v>0</v>
      </c>
      <c r="Q790" s="31" t="str">
        <f t="shared" si="49"/>
        <v/>
      </c>
      <c r="R790" s="32" t="str">
        <f>IFERROR(VLOOKUP($D790,'Informations sur les produits'!$A$3:$B$15000,2,FALSE),"")</f>
        <v/>
      </c>
      <c r="V790">
        <f t="shared" si="50"/>
        <v>0</v>
      </c>
      <c r="W790">
        <f t="shared" si="51"/>
        <v>0</v>
      </c>
    </row>
    <row r="791" spans="5:23" x14ac:dyDescent="0.25">
      <c r="E791" s="4"/>
      <c r="F791" s="4"/>
      <c r="G791" s="33" t="str">
        <f>IFERROR(VLOOKUP($D791,'Informations sur les produits'!$A$3:$H$10000,8,FALSE),"0")</f>
        <v>0</v>
      </c>
      <c r="K791" s="4"/>
      <c r="L791" s="33" t="str">
        <f>IFERROR(VLOOKUP($J791,'Informations sur les produits'!$A$3:$H$10000,8,FALSE),"0")</f>
        <v>0</v>
      </c>
      <c r="N791" s="8"/>
      <c r="O791" s="33" t="str">
        <f>IFERROR(VLOOKUP($M791,'Informations sur les produits'!$A$3:$H$10000,8,FALSE),"0")</f>
        <v>0</v>
      </c>
      <c r="P791" s="33">
        <f t="shared" si="48"/>
        <v>0</v>
      </c>
      <c r="Q791" s="31" t="str">
        <f t="shared" si="49"/>
        <v/>
      </c>
      <c r="R791" s="32" t="str">
        <f>IFERROR(VLOOKUP($D791,'Informations sur les produits'!$A$3:$B$15000,2,FALSE),"")</f>
        <v/>
      </c>
      <c r="V791">
        <f t="shared" si="50"/>
        <v>0</v>
      </c>
      <c r="W791">
        <f t="shared" si="51"/>
        <v>0</v>
      </c>
    </row>
    <row r="792" spans="5:23" x14ac:dyDescent="0.25">
      <c r="E792" s="4"/>
      <c r="F792" s="4"/>
      <c r="G792" s="33" t="str">
        <f>IFERROR(VLOOKUP($D792,'Informations sur les produits'!$A$3:$H$10000,8,FALSE),"0")</f>
        <v>0</v>
      </c>
      <c r="K792" s="4"/>
      <c r="L792" s="33" t="str">
        <f>IFERROR(VLOOKUP($J792,'Informations sur les produits'!$A$3:$H$10000,8,FALSE),"0")</f>
        <v>0</v>
      </c>
      <c r="N792" s="8"/>
      <c r="O792" s="33" t="str">
        <f>IFERROR(VLOOKUP($M792,'Informations sur les produits'!$A$3:$H$10000,8,FALSE),"0")</f>
        <v>0</v>
      </c>
      <c r="P792" s="33">
        <f t="shared" si="48"/>
        <v>0</v>
      </c>
      <c r="Q792" s="31" t="str">
        <f t="shared" si="49"/>
        <v/>
      </c>
      <c r="R792" s="32" t="str">
        <f>IFERROR(VLOOKUP($D792,'Informations sur les produits'!$A$3:$B$15000,2,FALSE),"")</f>
        <v/>
      </c>
      <c r="V792">
        <f t="shared" si="50"/>
        <v>0</v>
      </c>
      <c r="W792">
        <f t="shared" si="51"/>
        <v>0</v>
      </c>
    </row>
    <row r="793" spans="5:23" x14ac:dyDescent="0.25">
      <c r="E793" s="4"/>
      <c r="F793" s="4"/>
      <c r="G793" s="33" t="str">
        <f>IFERROR(VLOOKUP($D793,'Informations sur les produits'!$A$3:$H$10000,8,FALSE),"0")</f>
        <v>0</v>
      </c>
      <c r="K793" s="4"/>
      <c r="L793" s="33" t="str">
        <f>IFERROR(VLOOKUP($J793,'Informations sur les produits'!$A$3:$H$10000,8,FALSE),"0")</f>
        <v>0</v>
      </c>
      <c r="N793" s="8"/>
      <c r="O793" s="33" t="str">
        <f>IFERROR(VLOOKUP($M793,'Informations sur les produits'!$A$3:$H$10000,8,FALSE),"0")</f>
        <v>0</v>
      </c>
      <c r="P793" s="33">
        <f t="shared" si="48"/>
        <v>0</v>
      </c>
      <c r="Q793" s="31" t="str">
        <f t="shared" si="49"/>
        <v/>
      </c>
      <c r="R793" s="32" t="str">
        <f>IFERROR(VLOOKUP($D793,'Informations sur les produits'!$A$3:$B$15000,2,FALSE),"")</f>
        <v/>
      </c>
      <c r="V793">
        <f t="shared" si="50"/>
        <v>0</v>
      </c>
      <c r="W793">
        <f t="shared" si="51"/>
        <v>0</v>
      </c>
    </row>
    <row r="794" spans="5:23" x14ac:dyDescent="0.25">
      <c r="E794" s="4"/>
      <c r="F794" s="4"/>
      <c r="G794" s="33" t="str">
        <f>IFERROR(VLOOKUP($D794,'Informations sur les produits'!$A$3:$H$10000,8,FALSE),"0")</f>
        <v>0</v>
      </c>
      <c r="K794" s="4"/>
      <c r="L794" s="33" t="str">
        <f>IFERROR(VLOOKUP($J794,'Informations sur les produits'!$A$3:$H$10000,8,FALSE),"0")</f>
        <v>0</v>
      </c>
      <c r="N794" s="8"/>
      <c r="O794" s="33" t="str">
        <f>IFERROR(VLOOKUP($M794,'Informations sur les produits'!$A$3:$H$10000,8,FALSE),"0")</f>
        <v>0</v>
      </c>
      <c r="P794" s="33">
        <f t="shared" si="48"/>
        <v>0</v>
      </c>
      <c r="Q794" s="31" t="str">
        <f t="shared" si="49"/>
        <v/>
      </c>
      <c r="R794" s="32" t="str">
        <f>IFERROR(VLOOKUP($D794,'Informations sur les produits'!$A$3:$B$15000,2,FALSE),"")</f>
        <v/>
      </c>
      <c r="V794">
        <f t="shared" si="50"/>
        <v>0</v>
      </c>
      <c r="W794">
        <f t="shared" si="51"/>
        <v>0</v>
      </c>
    </row>
    <row r="795" spans="5:23" x14ac:dyDescent="0.25">
      <c r="E795" s="4"/>
      <c r="F795" s="4"/>
      <c r="G795" s="33" t="str">
        <f>IFERROR(VLOOKUP($D795,'Informations sur les produits'!$A$3:$H$10000,8,FALSE),"0")</f>
        <v>0</v>
      </c>
      <c r="K795" s="4"/>
      <c r="L795" s="33" t="str">
        <f>IFERROR(VLOOKUP($J795,'Informations sur les produits'!$A$3:$H$10000,8,FALSE),"0")</f>
        <v>0</v>
      </c>
      <c r="N795" s="8"/>
      <c r="O795" s="33" t="str">
        <f>IFERROR(VLOOKUP($M795,'Informations sur les produits'!$A$3:$H$10000,8,FALSE),"0")</f>
        <v>0</v>
      </c>
      <c r="P795" s="33">
        <f t="shared" si="48"/>
        <v>0</v>
      </c>
      <c r="Q795" s="31" t="str">
        <f t="shared" si="49"/>
        <v/>
      </c>
      <c r="R795" s="32" t="str">
        <f>IFERROR(VLOOKUP($D795,'Informations sur les produits'!$A$3:$B$15000,2,FALSE),"")</f>
        <v/>
      </c>
      <c r="V795">
        <f t="shared" si="50"/>
        <v>0</v>
      </c>
      <c r="W795">
        <f t="shared" si="51"/>
        <v>0</v>
      </c>
    </row>
    <row r="796" spans="5:23" x14ac:dyDescent="0.25">
      <c r="E796" s="4"/>
      <c r="F796" s="4"/>
      <c r="G796" s="33" t="str">
        <f>IFERROR(VLOOKUP($D796,'Informations sur les produits'!$A$3:$H$10000,8,FALSE),"0")</f>
        <v>0</v>
      </c>
      <c r="K796" s="4"/>
      <c r="L796" s="33" t="str">
        <f>IFERROR(VLOOKUP($J796,'Informations sur les produits'!$A$3:$H$10000,8,FALSE),"0")</f>
        <v>0</v>
      </c>
      <c r="N796" s="8"/>
      <c r="O796" s="33" t="str">
        <f>IFERROR(VLOOKUP($M796,'Informations sur les produits'!$A$3:$H$10000,8,FALSE),"0")</f>
        <v>0</v>
      </c>
      <c r="P796" s="33">
        <f t="shared" si="48"/>
        <v>0</v>
      </c>
      <c r="Q796" s="31" t="str">
        <f t="shared" si="49"/>
        <v/>
      </c>
      <c r="R796" s="32" t="str">
        <f>IFERROR(VLOOKUP($D796,'Informations sur les produits'!$A$3:$B$15000,2,FALSE),"")</f>
        <v/>
      </c>
      <c r="V796">
        <f t="shared" si="50"/>
        <v>0</v>
      </c>
      <c r="W796">
        <f t="shared" si="51"/>
        <v>0</v>
      </c>
    </row>
    <row r="797" spans="5:23" x14ac:dyDescent="0.25">
      <c r="E797" s="4"/>
      <c r="F797" s="4"/>
      <c r="G797" s="33" t="str">
        <f>IFERROR(VLOOKUP($D797,'Informations sur les produits'!$A$3:$H$10000,8,FALSE),"0")</f>
        <v>0</v>
      </c>
      <c r="K797" s="4"/>
      <c r="L797" s="33" t="str">
        <f>IFERROR(VLOOKUP($J797,'Informations sur les produits'!$A$3:$H$10000,8,FALSE),"0")</f>
        <v>0</v>
      </c>
      <c r="N797" s="8"/>
      <c r="O797" s="33" t="str">
        <f>IFERROR(VLOOKUP($M797,'Informations sur les produits'!$A$3:$H$10000,8,FALSE),"0")</f>
        <v>0</v>
      </c>
      <c r="P797" s="33">
        <f t="shared" si="48"/>
        <v>0</v>
      </c>
      <c r="Q797" s="31" t="str">
        <f t="shared" si="49"/>
        <v/>
      </c>
      <c r="R797" s="32" t="str">
        <f>IFERROR(VLOOKUP($D797,'Informations sur les produits'!$A$3:$B$15000,2,FALSE),"")</f>
        <v/>
      </c>
      <c r="V797">
        <f t="shared" si="50"/>
        <v>0</v>
      </c>
      <c r="W797">
        <f t="shared" si="51"/>
        <v>0</v>
      </c>
    </row>
    <row r="798" spans="5:23" x14ac:dyDescent="0.25">
      <c r="E798" s="4"/>
      <c r="F798" s="4"/>
      <c r="G798" s="33" t="str">
        <f>IFERROR(VLOOKUP($D798,'Informations sur les produits'!$A$3:$H$10000,8,FALSE),"0")</f>
        <v>0</v>
      </c>
      <c r="K798" s="4"/>
      <c r="L798" s="33" t="str">
        <f>IFERROR(VLOOKUP($J798,'Informations sur les produits'!$A$3:$H$10000,8,FALSE),"0")</f>
        <v>0</v>
      </c>
      <c r="N798" s="8"/>
      <c r="O798" s="33" t="str">
        <f>IFERROR(VLOOKUP($M798,'Informations sur les produits'!$A$3:$H$10000,8,FALSE),"0")</f>
        <v>0</v>
      </c>
      <c r="P798" s="33">
        <f t="shared" si="48"/>
        <v>0</v>
      </c>
      <c r="Q798" s="31" t="str">
        <f t="shared" si="49"/>
        <v/>
      </c>
      <c r="R798" s="32" t="str">
        <f>IFERROR(VLOOKUP($D798,'Informations sur les produits'!$A$3:$B$15000,2,FALSE),"")</f>
        <v/>
      </c>
      <c r="V798">
        <f t="shared" si="50"/>
        <v>0</v>
      </c>
      <c r="W798">
        <f t="shared" si="51"/>
        <v>0</v>
      </c>
    </row>
    <row r="799" spans="5:23" x14ac:dyDescent="0.25">
      <c r="E799" s="4"/>
      <c r="F799" s="4"/>
      <c r="G799" s="33" t="str">
        <f>IFERROR(VLOOKUP($D799,'Informations sur les produits'!$A$3:$H$10000,8,FALSE),"0")</f>
        <v>0</v>
      </c>
      <c r="K799" s="4"/>
      <c r="L799" s="33" t="str">
        <f>IFERROR(VLOOKUP($J799,'Informations sur les produits'!$A$3:$H$10000,8,FALSE),"0")</f>
        <v>0</v>
      </c>
      <c r="N799" s="8"/>
      <c r="O799" s="33" t="str">
        <f>IFERROR(VLOOKUP($M799,'Informations sur les produits'!$A$3:$H$10000,8,FALSE),"0")</f>
        <v>0</v>
      </c>
      <c r="P799" s="33">
        <f t="shared" si="48"/>
        <v>0</v>
      </c>
      <c r="Q799" s="31" t="str">
        <f t="shared" si="49"/>
        <v/>
      </c>
      <c r="R799" s="32" t="str">
        <f>IFERROR(VLOOKUP($D799,'Informations sur les produits'!$A$3:$B$15000,2,FALSE),"")</f>
        <v/>
      </c>
      <c r="V799">
        <f t="shared" si="50"/>
        <v>0</v>
      </c>
      <c r="W799">
        <f t="shared" si="51"/>
        <v>0</v>
      </c>
    </row>
    <row r="800" spans="5:23" x14ac:dyDescent="0.25">
      <c r="E800" s="4"/>
      <c r="F800" s="4"/>
      <c r="G800" s="33" t="str">
        <f>IFERROR(VLOOKUP($D800,'Informations sur les produits'!$A$3:$H$10000,8,FALSE),"0")</f>
        <v>0</v>
      </c>
      <c r="K800" s="4"/>
      <c r="L800" s="33" t="str">
        <f>IFERROR(VLOOKUP($J800,'Informations sur les produits'!$A$3:$H$10000,8,FALSE),"0")</f>
        <v>0</v>
      </c>
      <c r="N800" s="8"/>
      <c r="O800" s="33" t="str">
        <f>IFERROR(VLOOKUP($M800,'Informations sur les produits'!$A$3:$H$10000,8,FALSE),"0")</f>
        <v>0</v>
      </c>
      <c r="P800" s="33">
        <f t="shared" si="48"/>
        <v>0</v>
      </c>
      <c r="Q800" s="31" t="str">
        <f t="shared" si="49"/>
        <v/>
      </c>
      <c r="R800" s="32" t="str">
        <f>IFERROR(VLOOKUP($D800,'Informations sur les produits'!$A$3:$B$15000,2,FALSE),"")</f>
        <v/>
      </c>
      <c r="V800">
        <f t="shared" si="50"/>
        <v>0</v>
      </c>
      <c r="W800">
        <f t="shared" si="51"/>
        <v>0</v>
      </c>
    </row>
    <row r="801" spans="5:23" x14ac:dyDescent="0.25">
      <c r="E801" s="4"/>
      <c r="F801" s="4"/>
      <c r="G801" s="33" t="str">
        <f>IFERROR(VLOOKUP($D801,'Informations sur les produits'!$A$3:$H$10000,8,FALSE),"0")</f>
        <v>0</v>
      </c>
      <c r="K801" s="4"/>
      <c r="L801" s="33" t="str">
        <f>IFERROR(VLOOKUP($J801,'Informations sur les produits'!$A$3:$H$10000,8,FALSE),"0")</f>
        <v>0</v>
      </c>
      <c r="N801" s="8"/>
      <c r="O801" s="33" t="str">
        <f>IFERROR(VLOOKUP($M801,'Informations sur les produits'!$A$3:$H$10000,8,FALSE),"0")</f>
        <v>0</v>
      </c>
      <c r="P801" s="33">
        <f t="shared" si="48"/>
        <v>0</v>
      </c>
      <c r="Q801" s="31" t="str">
        <f t="shared" si="49"/>
        <v/>
      </c>
      <c r="R801" s="32" t="str">
        <f>IFERROR(VLOOKUP($D801,'Informations sur les produits'!$A$3:$B$15000,2,FALSE),"")</f>
        <v/>
      </c>
      <c r="V801">
        <f t="shared" si="50"/>
        <v>0</v>
      </c>
      <c r="W801">
        <f t="shared" si="51"/>
        <v>0</v>
      </c>
    </row>
    <row r="802" spans="5:23" x14ac:dyDescent="0.25">
      <c r="E802" s="4"/>
      <c r="F802" s="4"/>
      <c r="G802" s="33" t="str">
        <f>IFERROR(VLOOKUP($D802,'Informations sur les produits'!$A$3:$H$10000,8,FALSE),"0")</f>
        <v>0</v>
      </c>
      <c r="K802" s="4"/>
      <c r="L802" s="33" t="str">
        <f>IFERROR(VLOOKUP($J802,'Informations sur les produits'!$A$3:$H$10000,8,FALSE),"0")</f>
        <v>0</v>
      </c>
      <c r="N802" s="8"/>
      <c r="O802" s="33" t="str">
        <f>IFERROR(VLOOKUP($M802,'Informations sur les produits'!$A$3:$H$10000,8,FALSE),"0")</f>
        <v>0</v>
      </c>
      <c r="P802" s="33">
        <f t="shared" si="48"/>
        <v>0</v>
      </c>
      <c r="Q802" s="31" t="str">
        <f t="shared" si="49"/>
        <v/>
      </c>
      <c r="R802" s="32" t="str">
        <f>IFERROR(VLOOKUP($D802,'Informations sur les produits'!$A$3:$B$15000,2,FALSE),"")</f>
        <v/>
      </c>
      <c r="V802">
        <f t="shared" si="50"/>
        <v>0</v>
      </c>
      <c r="W802">
        <f t="shared" si="51"/>
        <v>0</v>
      </c>
    </row>
    <row r="803" spans="5:23" x14ac:dyDescent="0.25">
      <c r="E803" s="4"/>
      <c r="F803" s="4"/>
      <c r="G803" s="33" t="str">
        <f>IFERROR(VLOOKUP($D803,'Informations sur les produits'!$A$3:$H$10000,8,FALSE),"0")</f>
        <v>0</v>
      </c>
      <c r="K803" s="4"/>
      <c r="L803" s="33" t="str">
        <f>IFERROR(VLOOKUP($J803,'Informations sur les produits'!$A$3:$H$10000,8,FALSE),"0")</f>
        <v>0</v>
      </c>
      <c r="N803" s="8"/>
      <c r="O803" s="33" t="str">
        <f>IFERROR(VLOOKUP($M803,'Informations sur les produits'!$A$3:$H$10000,8,FALSE),"0")</f>
        <v>0</v>
      </c>
      <c r="P803" s="33">
        <f t="shared" si="48"/>
        <v>0</v>
      </c>
      <c r="Q803" s="31" t="str">
        <f t="shared" si="49"/>
        <v/>
      </c>
      <c r="R803" s="32" t="str">
        <f>IFERROR(VLOOKUP($D803,'Informations sur les produits'!$A$3:$B$15000,2,FALSE),"")</f>
        <v/>
      </c>
      <c r="V803">
        <f t="shared" si="50"/>
        <v>0</v>
      </c>
      <c r="W803">
        <f t="shared" si="51"/>
        <v>0</v>
      </c>
    </row>
    <row r="804" spans="5:23" x14ac:dyDescent="0.25">
      <c r="E804" s="4"/>
      <c r="F804" s="4"/>
      <c r="G804" s="33" t="str">
        <f>IFERROR(VLOOKUP($D804,'Informations sur les produits'!$A$3:$H$10000,8,FALSE),"0")</f>
        <v>0</v>
      </c>
      <c r="K804" s="4"/>
      <c r="L804" s="33" t="str">
        <f>IFERROR(VLOOKUP($J804,'Informations sur les produits'!$A$3:$H$10000,8,FALSE),"0")</f>
        <v>0</v>
      </c>
      <c r="N804" s="8"/>
      <c r="O804" s="33" t="str">
        <f>IFERROR(VLOOKUP($M804,'Informations sur les produits'!$A$3:$H$10000,8,FALSE),"0")</f>
        <v>0</v>
      </c>
      <c r="P804" s="33">
        <f t="shared" si="48"/>
        <v>0</v>
      </c>
      <c r="Q804" s="31" t="str">
        <f t="shared" si="49"/>
        <v/>
      </c>
      <c r="R804" s="32" t="str">
        <f>IFERROR(VLOOKUP($D804,'Informations sur les produits'!$A$3:$B$15000,2,FALSE),"")</f>
        <v/>
      </c>
      <c r="V804">
        <f t="shared" si="50"/>
        <v>0</v>
      </c>
      <c r="W804">
        <f t="shared" si="51"/>
        <v>0</v>
      </c>
    </row>
    <row r="805" spans="5:23" x14ac:dyDescent="0.25">
      <c r="E805" s="4"/>
      <c r="F805" s="4"/>
      <c r="G805" s="33" t="str">
        <f>IFERROR(VLOOKUP($D805,'Informations sur les produits'!$A$3:$H$10000,8,FALSE),"0")</f>
        <v>0</v>
      </c>
      <c r="K805" s="4"/>
      <c r="L805" s="33" t="str">
        <f>IFERROR(VLOOKUP($J805,'Informations sur les produits'!$A$3:$H$10000,8,FALSE),"0")</f>
        <v>0</v>
      </c>
      <c r="N805" s="8"/>
      <c r="O805" s="33" t="str">
        <f>IFERROR(VLOOKUP($M805,'Informations sur les produits'!$A$3:$H$10000,8,FALSE),"0")</f>
        <v>0</v>
      </c>
      <c r="P805" s="33">
        <f t="shared" si="48"/>
        <v>0</v>
      </c>
      <c r="Q805" s="31" t="str">
        <f t="shared" si="49"/>
        <v/>
      </c>
      <c r="R805" s="32" t="str">
        <f>IFERROR(VLOOKUP($D805,'Informations sur les produits'!$A$3:$B$15000,2,FALSE),"")</f>
        <v/>
      </c>
      <c r="V805">
        <f t="shared" si="50"/>
        <v>0</v>
      </c>
      <c r="W805">
        <f t="shared" si="51"/>
        <v>0</v>
      </c>
    </row>
    <row r="806" spans="5:23" x14ac:dyDescent="0.25">
      <c r="E806" s="4"/>
      <c r="F806" s="4"/>
      <c r="G806" s="33" t="str">
        <f>IFERROR(VLOOKUP($D806,'Informations sur les produits'!$A$3:$H$10000,8,FALSE),"0")</f>
        <v>0</v>
      </c>
      <c r="K806" s="4"/>
      <c r="L806" s="33" t="str">
        <f>IFERROR(VLOOKUP($J806,'Informations sur les produits'!$A$3:$H$10000,8,FALSE),"0")</f>
        <v>0</v>
      </c>
      <c r="N806" s="8"/>
      <c r="O806" s="33" t="str">
        <f>IFERROR(VLOOKUP($M806,'Informations sur les produits'!$A$3:$H$10000,8,FALSE),"0")</f>
        <v>0</v>
      </c>
      <c r="P806" s="33">
        <f t="shared" si="48"/>
        <v>0</v>
      </c>
      <c r="Q806" s="31" t="str">
        <f t="shared" si="49"/>
        <v/>
      </c>
      <c r="R806" s="32" t="str">
        <f>IFERROR(VLOOKUP($D806,'Informations sur les produits'!$A$3:$B$15000,2,FALSE),"")</f>
        <v/>
      </c>
      <c r="V806">
        <f t="shared" si="50"/>
        <v>0</v>
      </c>
      <c r="W806">
        <f t="shared" si="51"/>
        <v>0</v>
      </c>
    </row>
    <row r="807" spans="5:23" x14ac:dyDescent="0.25">
      <c r="E807" s="4"/>
      <c r="F807" s="4"/>
      <c r="G807" s="33" t="str">
        <f>IFERROR(VLOOKUP($D807,'Informations sur les produits'!$A$3:$H$10000,8,FALSE),"0")</f>
        <v>0</v>
      </c>
      <c r="K807" s="4"/>
      <c r="L807" s="33" t="str">
        <f>IFERROR(VLOOKUP($J807,'Informations sur les produits'!$A$3:$H$10000,8,FALSE),"0")</f>
        <v>0</v>
      </c>
      <c r="N807" s="8"/>
      <c r="O807" s="33" t="str">
        <f>IFERROR(VLOOKUP($M807,'Informations sur les produits'!$A$3:$H$10000,8,FALSE),"0")</f>
        <v>0</v>
      </c>
      <c r="P807" s="33">
        <f t="shared" si="48"/>
        <v>0</v>
      </c>
      <c r="Q807" s="31" t="str">
        <f t="shared" si="49"/>
        <v/>
      </c>
      <c r="R807" s="32" t="str">
        <f>IFERROR(VLOOKUP($D807,'Informations sur les produits'!$A$3:$B$15000,2,FALSE),"")</f>
        <v/>
      </c>
      <c r="V807">
        <f t="shared" si="50"/>
        <v>0</v>
      </c>
      <c r="W807">
        <f t="shared" si="51"/>
        <v>0</v>
      </c>
    </row>
    <row r="808" spans="5:23" x14ac:dyDescent="0.25">
      <c r="E808" s="4"/>
      <c r="F808" s="4"/>
      <c r="G808" s="33" t="str">
        <f>IFERROR(VLOOKUP($D808,'Informations sur les produits'!$A$3:$H$10000,8,FALSE),"0")</f>
        <v>0</v>
      </c>
      <c r="K808" s="4"/>
      <c r="L808" s="33" t="str">
        <f>IFERROR(VLOOKUP($J808,'Informations sur les produits'!$A$3:$H$10000,8,FALSE),"0")</f>
        <v>0</v>
      </c>
      <c r="N808" s="8"/>
      <c r="O808" s="33" t="str">
        <f>IFERROR(VLOOKUP($M808,'Informations sur les produits'!$A$3:$H$10000,8,FALSE),"0")</f>
        <v>0</v>
      </c>
      <c r="P808" s="33">
        <f t="shared" si="48"/>
        <v>0</v>
      </c>
      <c r="Q808" s="31" t="str">
        <f t="shared" si="49"/>
        <v/>
      </c>
      <c r="R808" s="32" t="str">
        <f>IFERROR(VLOOKUP($D808,'Informations sur les produits'!$A$3:$B$15000,2,FALSE),"")</f>
        <v/>
      </c>
      <c r="V808">
        <f t="shared" si="50"/>
        <v>0</v>
      </c>
      <c r="W808">
        <f t="shared" si="51"/>
        <v>0</v>
      </c>
    </row>
    <row r="809" spans="5:23" x14ac:dyDescent="0.25">
      <c r="E809" s="4"/>
      <c r="F809" s="4"/>
      <c r="G809" s="33" t="str">
        <f>IFERROR(VLOOKUP($D809,'Informations sur les produits'!$A$3:$H$10000,8,FALSE),"0")</f>
        <v>0</v>
      </c>
      <c r="K809" s="4"/>
      <c r="L809" s="33" t="str">
        <f>IFERROR(VLOOKUP($J809,'Informations sur les produits'!$A$3:$H$10000,8,FALSE),"0")</f>
        <v>0</v>
      </c>
      <c r="N809" s="8"/>
      <c r="O809" s="33" t="str">
        <f>IFERROR(VLOOKUP($M809,'Informations sur les produits'!$A$3:$H$10000,8,FALSE),"0")</f>
        <v>0</v>
      </c>
      <c r="P809" s="33">
        <f t="shared" si="48"/>
        <v>0</v>
      </c>
      <c r="Q809" s="31" t="str">
        <f t="shared" si="49"/>
        <v/>
      </c>
      <c r="R809" s="32" t="str">
        <f>IFERROR(VLOOKUP($D809,'Informations sur les produits'!$A$3:$B$15000,2,FALSE),"")</f>
        <v/>
      </c>
      <c r="V809">
        <f t="shared" si="50"/>
        <v>0</v>
      </c>
      <c r="W809">
        <f t="shared" si="51"/>
        <v>0</v>
      </c>
    </row>
    <row r="810" spans="5:23" x14ac:dyDescent="0.25">
      <c r="E810" s="4"/>
      <c r="F810" s="4"/>
      <c r="G810" s="33" t="str">
        <f>IFERROR(VLOOKUP($D810,'Informations sur les produits'!$A$3:$H$10000,8,FALSE),"0")</f>
        <v>0</v>
      </c>
      <c r="K810" s="4"/>
      <c r="L810" s="33" t="str">
        <f>IFERROR(VLOOKUP($J810,'Informations sur les produits'!$A$3:$H$10000,8,FALSE),"0")</f>
        <v>0</v>
      </c>
      <c r="N810" s="8"/>
      <c r="O810" s="33" t="str">
        <f>IFERROR(VLOOKUP($M810,'Informations sur les produits'!$A$3:$H$10000,8,FALSE),"0")</f>
        <v>0</v>
      </c>
      <c r="P810" s="33">
        <f t="shared" si="48"/>
        <v>0</v>
      </c>
      <c r="Q810" s="31" t="str">
        <f t="shared" si="49"/>
        <v/>
      </c>
      <c r="R810" s="32" t="str">
        <f>IFERROR(VLOOKUP($D810,'Informations sur les produits'!$A$3:$B$15000,2,FALSE),"")</f>
        <v/>
      </c>
      <c r="V810">
        <f t="shared" si="50"/>
        <v>0</v>
      </c>
      <c r="W810">
        <f t="shared" si="51"/>
        <v>0</v>
      </c>
    </row>
    <row r="811" spans="5:23" x14ac:dyDescent="0.25">
      <c r="E811" s="4"/>
      <c r="F811" s="4"/>
      <c r="G811" s="33" t="str">
        <f>IFERROR(VLOOKUP($D811,'Informations sur les produits'!$A$3:$H$10000,8,FALSE),"0")</f>
        <v>0</v>
      </c>
      <c r="K811" s="4"/>
      <c r="L811" s="33" t="str">
        <f>IFERROR(VLOOKUP($J811,'Informations sur les produits'!$A$3:$H$10000,8,FALSE),"0")</f>
        <v>0</v>
      </c>
      <c r="N811" s="8"/>
      <c r="O811" s="33" t="str">
        <f>IFERROR(VLOOKUP($M811,'Informations sur les produits'!$A$3:$H$10000,8,FALSE),"0")</f>
        <v>0</v>
      </c>
      <c r="P811" s="33">
        <f t="shared" si="48"/>
        <v>0</v>
      </c>
      <c r="Q811" s="31" t="str">
        <f t="shared" si="49"/>
        <v/>
      </c>
      <c r="R811" s="32" t="str">
        <f>IFERROR(VLOOKUP($D811,'Informations sur les produits'!$A$3:$B$15000,2,FALSE),"")</f>
        <v/>
      </c>
      <c r="V811">
        <f t="shared" si="50"/>
        <v>0</v>
      </c>
      <c r="W811">
        <f t="shared" si="51"/>
        <v>0</v>
      </c>
    </row>
    <row r="812" spans="5:23" x14ac:dyDescent="0.25">
      <c r="E812" s="4"/>
      <c r="F812" s="4"/>
      <c r="G812" s="33" t="str">
        <f>IFERROR(VLOOKUP($D812,'Informations sur les produits'!$A$3:$H$10000,8,FALSE),"0")</f>
        <v>0</v>
      </c>
      <c r="K812" s="4"/>
      <c r="L812" s="33" t="str">
        <f>IFERROR(VLOOKUP($J812,'Informations sur les produits'!$A$3:$H$10000,8,FALSE),"0")</f>
        <v>0</v>
      </c>
      <c r="N812" s="8"/>
      <c r="O812" s="33" t="str">
        <f>IFERROR(VLOOKUP($M812,'Informations sur les produits'!$A$3:$H$10000,8,FALSE),"0")</f>
        <v>0</v>
      </c>
      <c r="P812" s="33">
        <f t="shared" si="48"/>
        <v>0</v>
      </c>
      <c r="Q812" s="31" t="str">
        <f t="shared" si="49"/>
        <v/>
      </c>
      <c r="R812" s="32" t="str">
        <f>IFERROR(VLOOKUP($D812,'Informations sur les produits'!$A$3:$B$15000,2,FALSE),"")</f>
        <v/>
      </c>
      <c r="V812">
        <f t="shared" si="50"/>
        <v>0</v>
      </c>
      <c r="W812">
        <f t="shared" si="51"/>
        <v>0</v>
      </c>
    </row>
    <row r="813" spans="5:23" x14ac:dyDescent="0.25">
      <c r="E813" s="4"/>
      <c r="F813" s="4"/>
      <c r="G813" s="33" t="str">
        <f>IFERROR(VLOOKUP($D813,'Informations sur les produits'!$A$3:$H$10000,8,FALSE),"0")</f>
        <v>0</v>
      </c>
      <c r="K813" s="4"/>
      <c r="L813" s="33" t="str">
        <f>IFERROR(VLOOKUP($J813,'Informations sur les produits'!$A$3:$H$10000,8,FALSE),"0")</f>
        <v>0</v>
      </c>
      <c r="N813" s="8"/>
      <c r="O813" s="33" t="str">
        <f>IFERROR(VLOOKUP($M813,'Informations sur les produits'!$A$3:$H$10000,8,FALSE),"0")</f>
        <v>0</v>
      </c>
      <c r="P813" s="33">
        <f t="shared" si="48"/>
        <v>0</v>
      </c>
      <c r="Q813" s="31" t="str">
        <f t="shared" si="49"/>
        <v/>
      </c>
      <c r="R813" s="32" t="str">
        <f>IFERROR(VLOOKUP($D813,'Informations sur les produits'!$A$3:$B$15000,2,FALSE),"")</f>
        <v/>
      </c>
      <c r="V813">
        <f t="shared" si="50"/>
        <v>0</v>
      </c>
      <c r="W813">
        <f t="shared" si="51"/>
        <v>0</v>
      </c>
    </row>
    <row r="814" spans="5:23" x14ac:dyDescent="0.25">
      <c r="E814" s="4"/>
      <c r="F814" s="4"/>
      <c r="G814" s="33" t="str">
        <f>IFERROR(VLOOKUP($D814,'Informations sur les produits'!$A$3:$H$10000,8,FALSE),"0")</f>
        <v>0</v>
      </c>
      <c r="K814" s="4"/>
      <c r="L814" s="33" t="str">
        <f>IFERROR(VLOOKUP($J814,'Informations sur les produits'!$A$3:$H$10000,8,FALSE),"0")</f>
        <v>0</v>
      </c>
      <c r="N814" s="8"/>
      <c r="O814" s="33" t="str">
        <f>IFERROR(VLOOKUP($M814,'Informations sur les produits'!$A$3:$H$10000,8,FALSE),"0")</f>
        <v>0</v>
      </c>
      <c r="P814" s="33">
        <f t="shared" si="48"/>
        <v>0</v>
      </c>
      <c r="Q814" s="31" t="str">
        <f t="shared" si="49"/>
        <v/>
      </c>
      <c r="R814" s="32" t="str">
        <f>IFERROR(VLOOKUP($D814,'Informations sur les produits'!$A$3:$B$15000,2,FALSE),"")</f>
        <v/>
      </c>
      <c r="V814">
        <f t="shared" si="50"/>
        <v>0</v>
      </c>
      <c r="W814">
        <f t="shared" si="51"/>
        <v>0</v>
      </c>
    </row>
    <row r="815" spans="5:23" x14ac:dyDescent="0.25">
      <c r="E815" s="4"/>
      <c r="F815" s="4"/>
      <c r="G815" s="33" t="str">
        <f>IFERROR(VLOOKUP($D815,'Informations sur les produits'!$A$3:$H$10000,8,FALSE),"0")</f>
        <v>0</v>
      </c>
      <c r="K815" s="4"/>
      <c r="L815" s="33" t="str">
        <f>IFERROR(VLOOKUP($J815,'Informations sur les produits'!$A$3:$H$10000,8,FALSE),"0")</f>
        <v>0</v>
      </c>
      <c r="N815" s="8"/>
      <c r="O815" s="33" t="str">
        <f>IFERROR(VLOOKUP($M815,'Informations sur les produits'!$A$3:$H$10000,8,FALSE),"0")</f>
        <v>0</v>
      </c>
      <c r="P815" s="33">
        <f t="shared" si="48"/>
        <v>0</v>
      </c>
      <c r="Q815" s="31" t="str">
        <f t="shared" si="49"/>
        <v/>
      </c>
      <c r="R815" s="32" t="str">
        <f>IFERROR(VLOOKUP($D815,'Informations sur les produits'!$A$3:$B$15000,2,FALSE),"")</f>
        <v/>
      </c>
      <c r="V815">
        <f t="shared" si="50"/>
        <v>0</v>
      </c>
      <c r="W815">
        <f t="shared" si="51"/>
        <v>0</v>
      </c>
    </row>
    <row r="816" spans="5:23" x14ac:dyDescent="0.25">
      <c r="E816" s="4"/>
      <c r="F816" s="4"/>
      <c r="G816" s="33" t="str">
        <f>IFERROR(VLOOKUP($D816,'Informations sur les produits'!$A$3:$H$10000,8,FALSE),"0")</f>
        <v>0</v>
      </c>
      <c r="K816" s="4"/>
      <c r="L816" s="33" t="str">
        <f>IFERROR(VLOOKUP($J816,'Informations sur les produits'!$A$3:$H$10000,8,FALSE),"0")</f>
        <v>0</v>
      </c>
      <c r="N816" s="8"/>
      <c r="O816" s="33" t="str">
        <f>IFERROR(VLOOKUP($M816,'Informations sur les produits'!$A$3:$H$10000,8,FALSE),"0")</f>
        <v>0</v>
      </c>
      <c r="P816" s="33">
        <f t="shared" si="48"/>
        <v>0</v>
      </c>
      <c r="Q816" s="31" t="str">
        <f t="shared" si="49"/>
        <v/>
      </c>
      <c r="R816" s="32" t="str">
        <f>IFERROR(VLOOKUP($D816,'Informations sur les produits'!$A$3:$B$15000,2,FALSE),"")</f>
        <v/>
      </c>
      <c r="V816">
        <f t="shared" si="50"/>
        <v>0</v>
      </c>
      <c r="W816">
        <f t="shared" si="51"/>
        <v>0</v>
      </c>
    </row>
    <row r="817" spans="5:23" x14ac:dyDescent="0.25">
      <c r="E817" s="4"/>
      <c r="F817" s="4"/>
      <c r="G817" s="33" t="str">
        <f>IFERROR(VLOOKUP($D817,'Informations sur les produits'!$A$3:$H$10000,8,FALSE),"0")</f>
        <v>0</v>
      </c>
      <c r="K817" s="4"/>
      <c r="L817" s="33" t="str">
        <f>IFERROR(VLOOKUP($J817,'Informations sur les produits'!$A$3:$H$10000,8,FALSE),"0")</f>
        <v>0</v>
      </c>
      <c r="N817" s="8"/>
      <c r="O817" s="33" t="str">
        <f>IFERROR(VLOOKUP($M817,'Informations sur les produits'!$A$3:$H$10000,8,FALSE),"0")</f>
        <v>0</v>
      </c>
      <c r="P817" s="33">
        <f t="shared" si="48"/>
        <v>0</v>
      </c>
      <c r="Q817" s="31" t="str">
        <f t="shared" si="49"/>
        <v/>
      </c>
      <c r="R817" s="32" t="str">
        <f>IFERROR(VLOOKUP($D817,'Informations sur les produits'!$A$3:$B$15000,2,FALSE),"")</f>
        <v/>
      </c>
      <c r="V817">
        <f t="shared" si="50"/>
        <v>0</v>
      </c>
      <c r="W817">
        <f t="shared" si="51"/>
        <v>0</v>
      </c>
    </row>
    <row r="818" spans="5:23" x14ac:dyDescent="0.25">
      <c r="E818" s="4"/>
      <c r="F818" s="4"/>
      <c r="G818" s="33" t="str">
        <f>IFERROR(VLOOKUP($D818,'Informations sur les produits'!$A$3:$H$10000,8,FALSE),"0")</f>
        <v>0</v>
      </c>
      <c r="K818" s="4"/>
      <c r="L818" s="33" t="str">
        <f>IFERROR(VLOOKUP($J818,'Informations sur les produits'!$A$3:$H$10000,8,FALSE),"0")</f>
        <v>0</v>
      </c>
      <c r="N818" s="8"/>
      <c r="O818" s="33" t="str">
        <f>IFERROR(VLOOKUP($M818,'Informations sur les produits'!$A$3:$H$10000,8,FALSE),"0")</f>
        <v>0</v>
      </c>
      <c r="P818" s="33">
        <f t="shared" si="48"/>
        <v>0</v>
      </c>
      <c r="Q818" s="31" t="str">
        <f t="shared" si="49"/>
        <v/>
      </c>
      <c r="R818" s="32" t="str">
        <f>IFERROR(VLOOKUP($D818,'Informations sur les produits'!$A$3:$B$15000,2,FALSE),"")</f>
        <v/>
      </c>
      <c r="V818">
        <f t="shared" si="50"/>
        <v>0</v>
      </c>
      <c r="W818">
        <f t="shared" si="51"/>
        <v>0</v>
      </c>
    </row>
    <row r="819" spans="5:23" x14ac:dyDescent="0.25">
      <c r="E819" s="4"/>
      <c r="F819" s="4"/>
      <c r="G819" s="33" t="str">
        <f>IFERROR(VLOOKUP($D819,'Informations sur les produits'!$A$3:$H$10000,8,FALSE),"0")</f>
        <v>0</v>
      </c>
      <c r="K819" s="4"/>
      <c r="L819" s="33" t="str">
        <f>IFERROR(VLOOKUP($J819,'Informations sur les produits'!$A$3:$H$10000,8,FALSE),"0")</f>
        <v>0</v>
      </c>
      <c r="N819" s="8"/>
      <c r="O819" s="33" t="str">
        <f>IFERROR(VLOOKUP($M819,'Informations sur les produits'!$A$3:$H$10000,8,FALSE),"0")</f>
        <v>0</v>
      </c>
      <c r="P819" s="33">
        <f t="shared" si="48"/>
        <v>0</v>
      </c>
      <c r="Q819" s="31" t="str">
        <f t="shared" si="49"/>
        <v/>
      </c>
      <c r="R819" s="32" t="str">
        <f>IFERROR(VLOOKUP($D819,'Informations sur les produits'!$A$3:$B$15000,2,FALSE),"")</f>
        <v/>
      </c>
      <c r="V819">
        <f t="shared" si="50"/>
        <v>0</v>
      </c>
      <c r="W819">
        <f t="shared" si="51"/>
        <v>0</v>
      </c>
    </row>
    <row r="820" spans="5:23" x14ac:dyDescent="0.25">
      <c r="E820" s="4"/>
      <c r="F820" s="4"/>
      <c r="G820" s="33" t="str">
        <f>IFERROR(VLOOKUP($D820,'Informations sur les produits'!$A$3:$H$10000,8,FALSE),"0")</f>
        <v>0</v>
      </c>
      <c r="K820" s="4"/>
      <c r="L820" s="33" t="str">
        <f>IFERROR(VLOOKUP($J820,'Informations sur les produits'!$A$3:$H$10000,8,FALSE),"0")</f>
        <v>0</v>
      </c>
      <c r="N820" s="8"/>
      <c r="O820" s="33" t="str">
        <f>IFERROR(VLOOKUP($M820,'Informations sur les produits'!$A$3:$H$10000,8,FALSE),"0")</f>
        <v>0</v>
      </c>
      <c r="P820" s="33">
        <f t="shared" si="48"/>
        <v>0</v>
      </c>
      <c r="Q820" s="31" t="str">
        <f t="shared" si="49"/>
        <v/>
      </c>
      <c r="R820" s="32" t="str">
        <f>IFERROR(VLOOKUP($D820,'Informations sur les produits'!$A$3:$B$15000,2,FALSE),"")</f>
        <v/>
      </c>
      <c r="V820">
        <f t="shared" si="50"/>
        <v>0</v>
      </c>
      <c r="W820">
        <f t="shared" si="51"/>
        <v>0</v>
      </c>
    </row>
    <row r="821" spans="5:23" x14ac:dyDescent="0.25">
      <c r="E821" s="4"/>
      <c r="F821" s="4"/>
      <c r="G821" s="33" t="str">
        <f>IFERROR(VLOOKUP($D821,'Informations sur les produits'!$A$3:$H$10000,8,FALSE),"0")</f>
        <v>0</v>
      </c>
      <c r="K821" s="4"/>
      <c r="L821" s="33" t="str">
        <f>IFERROR(VLOOKUP($J821,'Informations sur les produits'!$A$3:$H$10000,8,FALSE),"0")</f>
        <v>0</v>
      </c>
      <c r="N821" s="8"/>
      <c r="O821" s="33" t="str">
        <f>IFERROR(VLOOKUP($M821,'Informations sur les produits'!$A$3:$H$10000,8,FALSE),"0")</f>
        <v>0</v>
      </c>
      <c r="P821" s="33">
        <f t="shared" si="48"/>
        <v>0</v>
      </c>
      <c r="Q821" s="31" t="str">
        <f t="shared" si="49"/>
        <v/>
      </c>
      <c r="R821" s="32" t="str">
        <f>IFERROR(VLOOKUP($D821,'Informations sur les produits'!$A$3:$B$15000,2,FALSE),"")</f>
        <v/>
      </c>
      <c r="V821">
        <f t="shared" si="50"/>
        <v>0</v>
      </c>
      <c r="W821">
        <f t="shared" si="51"/>
        <v>0</v>
      </c>
    </row>
    <row r="822" spans="5:23" x14ac:dyDescent="0.25">
      <c r="E822" s="4"/>
      <c r="F822" s="4"/>
      <c r="G822" s="33" t="str">
        <f>IFERROR(VLOOKUP($D822,'Informations sur les produits'!$A$3:$H$10000,8,FALSE),"0")</f>
        <v>0</v>
      </c>
      <c r="K822" s="4"/>
      <c r="L822" s="33" t="str">
        <f>IFERROR(VLOOKUP($J822,'Informations sur les produits'!$A$3:$H$10000,8,FALSE),"0")</f>
        <v>0</v>
      </c>
      <c r="N822" s="8"/>
      <c r="O822" s="33" t="str">
        <f>IFERROR(VLOOKUP($M822,'Informations sur les produits'!$A$3:$H$10000,8,FALSE),"0")</f>
        <v>0</v>
      </c>
      <c r="P822" s="33">
        <f t="shared" si="48"/>
        <v>0</v>
      </c>
      <c r="Q822" s="31" t="str">
        <f t="shared" si="49"/>
        <v/>
      </c>
      <c r="R822" s="32" t="str">
        <f>IFERROR(VLOOKUP($D822,'Informations sur les produits'!$A$3:$B$15000,2,FALSE),"")</f>
        <v/>
      </c>
      <c r="V822">
        <f t="shared" si="50"/>
        <v>0</v>
      </c>
      <c r="W822">
        <f t="shared" si="51"/>
        <v>0</v>
      </c>
    </row>
    <row r="823" spans="5:23" x14ac:dyDescent="0.25">
      <c r="E823" s="4"/>
      <c r="F823" s="4"/>
      <c r="G823" s="33" t="str">
        <f>IFERROR(VLOOKUP($D823,'Informations sur les produits'!$A$3:$H$10000,8,FALSE),"0")</f>
        <v>0</v>
      </c>
      <c r="K823" s="4"/>
      <c r="L823" s="33" t="str">
        <f>IFERROR(VLOOKUP($J823,'Informations sur les produits'!$A$3:$H$10000,8,FALSE),"0")</f>
        <v>0</v>
      </c>
      <c r="N823" s="8"/>
      <c r="O823" s="33" t="str">
        <f>IFERROR(VLOOKUP($M823,'Informations sur les produits'!$A$3:$H$10000,8,FALSE),"0")</f>
        <v>0</v>
      </c>
      <c r="P823" s="33">
        <f t="shared" si="48"/>
        <v>0</v>
      </c>
      <c r="Q823" s="31" t="str">
        <f t="shared" si="49"/>
        <v/>
      </c>
      <c r="R823" s="32" t="str">
        <f>IFERROR(VLOOKUP($D823,'Informations sur les produits'!$A$3:$B$15000,2,FALSE),"")</f>
        <v/>
      </c>
      <c r="V823">
        <f t="shared" si="50"/>
        <v>0</v>
      </c>
      <c r="W823">
        <f t="shared" si="51"/>
        <v>0</v>
      </c>
    </row>
    <row r="824" spans="5:23" x14ac:dyDescent="0.25">
      <c r="E824" s="4"/>
      <c r="F824" s="4"/>
      <c r="G824" s="33" t="str">
        <f>IFERROR(VLOOKUP($D824,'Informations sur les produits'!$A$3:$H$10000,8,FALSE),"0")</f>
        <v>0</v>
      </c>
      <c r="K824" s="4"/>
      <c r="L824" s="33" t="str">
        <f>IFERROR(VLOOKUP($J824,'Informations sur les produits'!$A$3:$H$10000,8,FALSE),"0")</f>
        <v>0</v>
      </c>
      <c r="N824" s="8"/>
      <c r="O824" s="33" t="str">
        <f>IFERROR(VLOOKUP($M824,'Informations sur les produits'!$A$3:$H$10000,8,FALSE),"0")</f>
        <v>0</v>
      </c>
      <c r="P824" s="33">
        <f t="shared" si="48"/>
        <v>0</v>
      </c>
      <c r="Q824" s="31" t="str">
        <f t="shared" si="49"/>
        <v/>
      </c>
      <c r="R824" s="32" t="str">
        <f>IFERROR(VLOOKUP($D824,'Informations sur les produits'!$A$3:$B$15000,2,FALSE),"")</f>
        <v/>
      </c>
      <c r="V824">
        <f t="shared" si="50"/>
        <v>0</v>
      </c>
      <c r="W824">
        <f t="shared" si="51"/>
        <v>0</v>
      </c>
    </row>
    <row r="825" spans="5:23" x14ac:dyDescent="0.25">
      <c r="E825" s="4"/>
      <c r="F825" s="4"/>
      <c r="G825" s="33" t="str">
        <f>IFERROR(VLOOKUP($D825,'Informations sur les produits'!$A$3:$H$10000,8,FALSE),"0")</f>
        <v>0</v>
      </c>
      <c r="K825" s="4"/>
      <c r="L825" s="33" t="str">
        <f>IFERROR(VLOOKUP($J825,'Informations sur les produits'!$A$3:$H$10000,8,FALSE),"0")</f>
        <v>0</v>
      </c>
      <c r="N825" s="8"/>
      <c r="O825" s="33" t="str">
        <f>IFERROR(VLOOKUP($M825,'Informations sur les produits'!$A$3:$H$10000,8,FALSE),"0")</f>
        <v>0</v>
      </c>
      <c r="P825" s="33">
        <f t="shared" si="48"/>
        <v>0</v>
      </c>
      <c r="Q825" s="31" t="str">
        <f t="shared" si="49"/>
        <v/>
      </c>
      <c r="R825" s="32" t="str">
        <f>IFERROR(VLOOKUP($D825,'Informations sur les produits'!$A$3:$B$15000,2,FALSE),"")</f>
        <v/>
      </c>
      <c r="V825">
        <f t="shared" si="50"/>
        <v>0</v>
      </c>
      <c r="W825">
        <f t="shared" si="51"/>
        <v>0</v>
      </c>
    </row>
    <row r="826" spans="5:23" x14ac:dyDescent="0.25">
      <c r="E826" s="4"/>
      <c r="F826" s="4"/>
      <c r="G826" s="33" t="str">
        <f>IFERROR(VLOOKUP($D826,'Informations sur les produits'!$A$3:$H$10000,8,FALSE),"0")</f>
        <v>0</v>
      </c>
      <c r="K826" s="4"/>
      <c r="L826" s="33" t="str">
        <f>IFERROR(VLOOKUP($J826,'Informations sur les produits'!$A$3:$H$10000,8,FALSE),"0")</f>
        <v>0</v>
      </c>
      <c r="N826" s="8"/>
      <c r="O826" s="33" t="str">
        <f>IFERROR(VLOOKUP($M826,'Informations sur les produits'!$A$3:$H$10000,8,FALSE),"0")</f>
        <v>0</v>
      </c>
      <c r="P826" s="33">
        <f t="shared" si="48"/>
        <v>0</v>
      </c>
      <c r="Q826" s="31" t="str">
        <f t="shared" si="49"/>
        <v/>
      </c>
      <c r="R826" s="32" t="str">
        <f>IFERROR(VLOOKUP($D826,'Informations sur les produits'!$A$3:$B$15000,2,FALSE),"")</f>
        <v/>
      </c>
      <c r="V826">
        <f t="shared" si="50"/>
        <v>0</v>
      </c>
      <c r="W826">
        <f t="shared" si="51"/>
        <v>0</v>
      </c>
    </row>
    <row r="827" spans="5:23" x14ac:dyDescent="0.25">
      <c r="E827" s="4"/>
      <c r="F827" s="4"/>
      <c r="G827" s="33" t="str">
        <f>IFERROR(VLOOKUP($D827,'Informations sur les produits'!$A$3:$H$10000,8,FALSE),"0")</f>
        <v>0</v>
      </c>
      <c r="K827" s="4"/>
      <c r="L827" s="33" t="str">
        <f>IFERROR(VLOOKUP($J827,'Informations sur les produits'!$A$3:$H$10000,8,FALSE),"0")</f>
        <v>0</v>
      </c>
      <c r="N827" s="8"/>
      <c r="O827" s="33" t="str">
        <f>IFERROR(VLOOKUP($M827,'Informations sur les produits'!$A$3:$H$10000,8,FALSE),"0")</f>
        <v>0</v>
      </c>
      <c r="P827" s="33">
        <f t="shared" si="48"/>
        <v>0</v>
      </c>
      <c r="Q827" s="31" t="str">
        <f t="shared" si="49"/>
        <v/>
      </c>
      <c r="R827" s="32" t="str">
        <f>IFERROR(VLOOKUP($D827,'Informations sur les produits'!$A$3:$B$15000,2,FALSE),"")</f>
        <v/>
      </c>
      <c r="V827">
        <f t="shared" si="50"/>
        <v>0</v>
      </c>
      <c r="W827">
        <f t="shared" si="51"/>
        <v>0</v>
      </c>
    </row>
    <row r="828" spans="5:23" x14ac:dyDescent="0.25">
      <c r="E828" s="4"/>
      <c r="F828" s="4"/>
      <c r="G828" s="33" t="str">
        <f>IFERROR(VLOOKUP($D828,'Informations sur les produits'!$A$3:$H$10000,8,FALSE),"0")</f>
        <v>0</v>
      </c>
      <c r="K828" s="4"/>
      <c r="L828" s="33" t="str">
        <f>IFERROR(VLOOKUP($J828,'Informations sur les produits'!$A$3:$H$10000,8,FALSE),"0")</f>
        <v>0</v>
      </c>
      <c r="N828" s="8"/>
      <c r="O828" s="33" t="str">
        <f>IFERROR(VLOOKUP($M828,'Informations sur les produits'!$A$3:$H$10000,8,FALSE),"0")</f>
        <v>0</v>
      </c>
      <c r="P828" s="33">
        <f t="shared" si="48"/>
        <v>0</v>
      </c>
      <c r="Q828" s="31" t="str">
        <f t="shared" si="49"/>
        <v/>
      </c>
      <c r="R828" s="32" t="str">
        <f>IFERROR(VLOOKUP($D828,'Informations sur les produits'!$A$3:$B$15000,2,FALSE),"")</f>
        <v/>
      </c>
      <c r="V828">
        <f t="shared" si="50"/>
        <v>0</v>
      </c>
      <c r="W828">
        <f t="shared" si="51"/>
        <v>0</v>
      </c>
    </row>
    <row r="829" spans="5:23" x14ac:dyDescent="0.25">
      <c r="E829" s="4"/>
      <c r="F829" s="4"/>
      <c r="G829" s="33" t="str">
        <f>IFERROR(VLOOKUP($D829,'Informations sur les produits'!$A$3:$H$10000,8,FALSE),"0")</f>
        <v>0</v>
      </c>
      <c r="K829" s="4"/>
      <c r="L829" s="33" t="str">
        <f>IFERROR(VLOOKUP($J829,'Informations sur les produits'!$A$3:$H$10000,8,FALSE),"0")</f>
        <v>0</v>
      </c>
      <c r="N829" s="8"/>
      <c r="O829" s="33" t="str">
        <f>IFERROR(VLOOKUP($M829,'Informations sur les produits'!$A$3:$H$10000,8,FALSE),"0")</f>
        <v>0</v>
      </c>
      <c r="P829" s="33">
        <f t="shared" si="48"/>
        <v>0</v>
      </c>
      <c r="Q829" s="31" t="str">
        <f t="shared" si="49"/>
        <v/>
      </c>
      <c r="R829" s="32" t="str">
        <f>IFERROR(VLOOKUP($D829,'Informations sur les produits'!$A$3:$B$15000,2,FALSE),"")</f>
        <v/>
      </c>
      <c r="V829">
        <f t="shared" si="50"/>
        <v>0</v>
      </c>
      <c r="W829">
        <f t="shared" si="51"/>
        <v>0</v>
      </c>
    </row>
    <row r="830" spans="5:23" x14ac:dyDescent="0.25">
      <c r="E830" s="4"/>
      <c r="F830" s="4"/>
      <c r="G830" s="33" t="str">
        <f>IFERROR(VLOOKUP($D830,'Informations sur les produits'!$A$3:$H$10000,8,FALSE),"0")</f>
        <v>0</v>
      </c>
      <c r="K830" s="4"/>
      <c r="L830" s="33" t="str">
        <f>IFERROR(VLOOKUP($J830,'Informations sur les produits'!$A$3:$H$10000,8,FALSE),"0")</f>
        <v>0</v>
      </c>
      <c r="N830" s="8"/>
      <c r="O830" s="33" t="str">
        <f>IFERROR(VLOOKUP($M830,'Informations sur les produits'!$A$3:$H$10000,8,FALSE),"0")</f>
        <v>0</v>
      </c>
      <c r="P830" s="33">
        <f t="shared" si="48"/>
        <v>0</v>
      </c>
      <c r="Q830" s="31" t="str">
        <f t="shared" si="49"/>
        <v/>
      </c>
      <c r="R830" s="32" t="str">
        <f>IFERROR(VLOOKUP($D830,'Informations sur les produits'!$A$3:$B$15000,2,FALSE),"")</f>
        <v/>
      </c>
      <c r="V830">
        <f t="shared" si="50"/>
        <v>0</v>
      </c>
      <c r="W830">
        <f t="shared" si="51"/>
        <v>0</v>
      </c>
    </row>
    <row r="831" spans="5:23" x14ac:dyDescent="0.25">
      <c r="E831" s="4"/>
      <c r="F831" s="4"/>
      <c r="G831" s="33" t="str">
        <f>IFERROR(VLOOKUP($D831,'Informations sur les produits'!$A$3:$H$10000,8,FALSE),"0")</f>
        <v>0</v>
      </c>
      <c r="K831" s="4"/>
      <c r="L831" s="33" t="str">
        <f>IFERROR(VLOOKUP($J831,'Informations sur les produits'!$A$3:$H$10000,8,FALSE),"0")</f>
        <v>0</v>
      </c>
      <c r="N831" s="8"/>
      <c r="O831" s="33" t="str">
        <f>IFERROR(VLOOKUP($M831,'Informations sur les produits'!$A$3:$H$10000,8,FALSE),"0")</f>
        <v>0</v>
      </c>
      <c r="P831" s="33">
        <f t="shared" si="48"/>
        <v>0</v>
      </c>
      <c r="Q831" s="31" t="str">
        <f t="shared" si="49"/>
        <v/>
      </c>
      <c r="R831" s="32" t="str">
        <f>IFERROR(VLOOKUP($D831,'Informations sur les produits'!$A$3:$B$15000,2,FALSE),"")</f>
        <v/>
      </c>
      <c r="V831">
        <f t="shared" si="50"/>
        <v>0</v>
      </c>
      <c r="W831">
        <f t="shared" si="51"/>
        <v>0</v>
      </c>
    </row>
    <row r="832" spans="5:23" x14ac:dyDescent="0.25">
      <c r="E832" s="4"/>
      <c r="F832" s="4"/>
      <c r="G832" s="33" t="str">
        <f>IFERROR(VLOOKUP($D832,'Informations sur les produits'!$A$3:$H$10000,8,FALSE),"0")</f>
        <v>0</v>
      </c>
      <c r="K832" s="4"/>
      <c r="L832" s="33" t="str">
        <f>IFERROR(VLOOKUP($J832,'Informations sur les produits'!$A$3:$H$10000,8,FALSE),"0")</f>
        <v>0</v>
      </c>
      <c r="N832" s="8"/>
      <c r="O832" s="33" t="str">
        <f>IFERROR(VLOOKUP($M832,'Informations sur les produits'!$A$3:$H$10000,8,FALSE),"0")</f>
        <v>0</v>
      </c>
      <c r="P832" s="33">
        <f t="shared" si="48"/>
        <v>0</v>
      </c>
      <c r="Q832" s="31" t="str">
        <f t="shared" si="49"/>
        <v/>
      </c>
      <c r="R832" s="32" t="str">
        <f>IFERROR(VLOOKUP($D832,'Informations sur les produits'!$A$3:$B$15000,2,FALSE),"")</f>
        <v/>
      </c>
      <c r="V832">
        <f t="shared" si="50"/>
        <v>0</v>
      </c>
      <c r="W832">
        <f t="shared" si="51"/>
        <v>0</v>
      </c>
    </row>
    <row r="833" spans="5:23" x14ac:dyDescent="0.25">
      <c r="E833" s="4"/>
      <c r="F833" s="4"/>
      <c r="G833" s="33" t="str">
        <f>IFERROR(VLOOKUP($D833,'Informations sur les produits'!$A$3:$H$10000,8,FALSE),"0")</f>
        <v>0</v>
      </c>
      <c r="K833" s="4"/>
      <c r="L833" s="33" t="str">
        <f>IFERROR(VLOOKUP($J833,'Informations sur les produits'!$A$3:$H$10000,8,FALSE),"0")</f>
        <v>0</v>
      </c>
      <c r="N833" s="8"/>
      <c r="O833" s="33" t="str">
        <f>IFERROR(VLOOKUP($M833,'Informations sur les produits'!$A$3:$H$10000,8,FALSE),"0")</f>
        <v>0</v>
      </c>
      <c r="P833" s="33">
        <f t="shared" si="48"/>
        <v>0</v>
      </c>
      <c r="Q833" s="31" t="str">
        <f t="shared" si="49"/>
        <v/>
      </c>
      <c r="R833" s="32" t="str">
        <f>IFERROR(VLOOKUP($D833,'Informations sur les produits'!$A$3:$B$15000,2,FALSE),"")</f>
        <v/>
      </c>
      <c r="V833">
        <f t="shared" si="50"/>
        <v>0</v>
      </c>
      <c r="W833">
        <f t="shared" si="51"/>
        <v>0</v>
      </c>
    </row>
    <row r="834" spans="5:23" x14ac:dyDescent="0.25">
      <c r="E834" s="4"/>
      <c r="F834" s="4"/>
      <c r="G834" s="33" t="str">
        <f>IFERROR(VLOOKUP($D834,'Informations sur les produits'!$A$3:$H$10000,8,FALSE),"0")</f>
        <v>0</v>
      </c>
      <c r="K834" s="4"/>
      <c r="L834" s="33" t="str">
        <f>IFERROR(VLOOKUP($J834,'Informations sur les produits'!$A$3:$H$10000,8,FALSE),"0")</f>
        <v>0</v>
      </c>
      <c r="N834" s="8"/>
      <c r="O834" s="33" t="str">
        <f>IFERROR(VLOOKUP($M834,'Informations sur les produits'!$A$3:$H$10000,8,FALSE),"0")</f>
        <v>0</v>
      </c>
      <c r="P834" s="33">
        <f t="shared" si="48"/>
        <v>0</v>
      </c>
      <c r="Q834" s="31" t="str">
        <f t="shared" si="49"/>
        <v/>
      </c>
      <c r="R834" s="32" t="str">
        <f>IFERROR(VLOOKUP($D834,'Informations sur les produits'!$A$3:$B$15000,2,FALSE),"")</f>
        <v/>
      </c>
      <c r="V834">
        <f t="shared" si="50"/>
        <v>0</v>
      </c>
      <c r="W834">
        <f t="shared" si="51"/>
        <v>0</v>
      </c>
    </row>
    <row r="835" spans="5:23" x14ac:dyDescent="0.25">
      <c r="E835" s="4"/>
      <c r="F835" s="4"/>
      <c r="G835" s="33" t="str">
        <f>IFERROR(VLOOKUP($D835,'Informations sur les produits'!$A$3:$H$10000,8,FALSE),"0")</f>
        <v>0</v>
      </c>
      <c r="K835" s="4"/>
      <c r="L835" s="33" t="str">
        <f>IFERROR(VLOOKUP($J835,'Informations sur les produits'!$A$3:$H$10000,8,FALSE),"0")</f>
        <v>0</v>
      </c>
      <c r="N835" s="8"/>
      <c r="O835" s="33" t="str">
        <f>IFERROR(VLOOKUP($M835,'Informations sur les produits'!$A$3:$H$10000,8,FALSE),"0")</f>
        <v>0</v>
      </c>
      <c r="P835" s="33">
        <f t="shared" si="48"/>
        <v>0</v>
      </c>
      <c r="Q835" s="31" t="str">
        <f t="shared" si="49"/>
        <v/>
      </c>
      <c r="R835" s="32" t="str">
        <f>IFERROR(VLOOKUP($D835,'Informations sur les produits'!$A$3:$B$15000,2,FALSE),"")</f>
        <v/>
      </c>
      <c r="V835">
        <f t="shared" si="50"/>
        <v>0</v>
      </c>
      <c r="W835">
        <f t="shared" si="51"/>
        <v>0</v>
      </c>
    </row>
    <row r="836" spans="5:23" x14ac:dyDescent="0.25">
      <c r="E836" s="4"/>
      <c r="F836" s="4"/>
      <c r="G836" s="33" t="str">
        <f>IFERROR(VLOOKUP($D836,'Informations sur les produits'!$A$3:$H$10000,8,FALSE),"0")</f>
        <v>0</v>
      </c>
      <c r="K836" s="4"/>
      <c r="L836" s="33" t="str">
        <f>IFERROR(VLOOKUP($J836,'Informations sur les produits'!$A$3:$H$10000,8,FALSE),"0")</f>
        <v>0</v>
      </c>
      <c r="N836" s="8"/>
      <c r="O836" s="33" t="str">
        <f>IFERROR(VLOOKUP($M836,'Informations sur les produits'!$A$3:$H$10000,8,FALSE),"0")</f>
        <v>0</v>
      </c>
      <c r="P836" s="33">
        <f t="shared" ref="P836:P899" si="52">IFERROR((($E836-$F836)*$G836+$K836*$L836+$N836*$O836),"")</f>
        <v>0</v>
      </c>
      <c r="Q836" s="31" t="str">
        <f t="shared" ref="Q836:Q899" si="53">IFERROR((((($E836-$F836)*$G836+$K836*$L836+$N836*$O836)*1000)/(($E836-$F836)+$K836+$N836)),"")</f>
        <v/>
      </c>
      <c r="R836" s="32" t="str">
        <f>IFERROR(VLOOKUP($D836,'Informations sur les produits'!$A$3:$B$15000,2,FALSE),"")</f>
        <v/>
      </c>
      <c r="V836">
        <f t="shared" ref="V836:V899" si="54">IFERROR(P836*1000,"")</f>
        <v>0</v>
      </c>
      <c r="W836">
        <f t="shared" ref="W836:W899" si="55">IFERROR(($E836-$F836)+$K836+$N836,"")</f>
        <v>0</v>
      </c>
    </row>
    <row r="837" spans="5:23" x14ac:dyDescent="0.25">
      <c r="E837" s="4"/>
      <c r="F837" s="4"/>
      <c r="G837" s="33" t="str">
        <f>IFERROR(VLOOKUP($D837,'Informations sur les produits'!$A$3:$H$10000,8,FALSE),"0")</f>
        <v>0</v>
      </c>
      <c r="K837" s="4"/>
      <c r="L837" s="33" t="str">
        <f>IFERROR(VLOOKUP($J837,'Informations sur les produits'!$A$3:$H$10000,8,FALSE),"0")</f>
        <v>0</v>
      </c>
      <c r="N837" s="8"/>
      <c r="O837" s="33" t="str">
        <f>IFERROR(VLOOKUP($M837,'Informations sur les produits'!$A$3:$H$10000,8,FALSE),"0")</f>
        <v>0</v>
      </c>
      <c r="P837" s="33">
        <f t="shared" si="52"/>
        <v>0</v>
      </c>
      <c r="Q837" s="31" t="str">
        <f t="shared" si="53"/>
        <v/>
      </c>
      <c r="R837" s="32" t="str">
        <f>IFERROR(VLOOKUP($D837,'Informations sur les produits'!$A$3:$B$15000,2,FALSE),"")</f>
        <v/>
      </c>
      <c r="V837">
        <f t="shared" si="54"/>
        <v>0</v>
      </c>
      <c r="W837">
        <f t="shared" si="55"/>
        <v>0</v>
      </c>
    </row>
    <row r="838" spans="5:23" x14ac:dyDescent="0.25">
      <c r="E838" s="4"/>
      <c r="F838" s="4"/>
      <c r="G838" s="33" t="str">
        <f>IFERROR(VLOOKUP($D838,'Informations sur les produits'!$A$3:$H$10000,8,FALSE),"0")</f>
        <v>0</v>
      </c>
      <c r="K838" s="4"/>
      <c r="L838" s="33" t="str">
        <f>IFERROR(VLOOKUP($J838,'Informations sur les produits'!$A$3:$H$10000,8,FALSE),"0")</f>
        <v>0</v>
      </c>
      <c r="N838" s="8"/>
      <c r="O838" s="33" t="str">
        <f>IFERROR(VLOOKUP($M838,'Informations sur les produits'!$A$3:$H$10000,8,FALSE),"0")</f>
        <v>0</v>
      </c>
      <c r="P838" s="33">
        <f t="shared" si="52"/>
        <v>0</v>
      </c>
      <c r="Q838" s="31" t="str">
        <f t="shared" si="53"/>
        <v/>
      </c>
      <c r="R838" s="32" t="str">
        <f>IFERROR(VLOOKUP($D838,'Informations sur les produits'!$A$3:$B$15000,2,FALSE),"")</f>
        <v/>
      </c>
      <c r="V838">
        <f t="shared" si="54"/>
        <v>0</v>
      </c>
      <c r="W838">
        <f t="shared" si="55"/>
        <v>0</v>
      </c>
    </row>
    <row r="839" spans="5:23" x14ac:dyDescent="0.25">
      <c r="E839" s="4"/>
      <c r="F839" s="4"/>
      <c r="G839" s="33" t="str">
        <f>IFERROR(VLOOKUP($D839,'Informations sur les produits'!$A$3:$H$10000,8,FALSE),"0")</f>
        <v>0</v>
      </c>
      <c r="K839" s="4"/>
      <c r="L839" s="33" t="str">
        <f>IFERROR(VLOOKUP($J839,'Informations sur les produits'!$A$3:$H$10000,8,FALSE),"0")</f>
        <v>0</v>
      </c>
      <c r="N839" s="8"/>
      <c r="O839" s="33" t="str">
        <f>IFERROR(VLOOKUP($M839,'Informations sur les produits'!$A$3:$H$10000,8,FALSE),"0")</f>
        <v>0</v>
      </c>
      <c r="P839" s="33">
        <f t="shared" si="52"/>
        <v>0</v>
      </c>
      <c r="Q839" s="31" t="str">
        <f t="shared" si="53"/>
        <v/>
      </c>
      <c r="R839" s="32" t="str">
        <f>IFERROR(VLOOKUP($D839,'Informations sur les produits'!$A$3:$B$15000,2,FALSE),"")</f>
        <v/>
      </c>
      <c r="V839">
        <f t="shared" si="54"/>
        <v>0</v>
      </c>
      <c r="W839">
        <f t="shared" si="55"/>
        <v>0</v>
      </c>
    </row>
    <row r="840" spans="5:23" x14ac:dyDescent="0.25">
      <c r="E840" s="4"/>
      <c r="F840" s="4"/>
      <c r="G840" s="33" t="str">
        <f>IFERROR(VLOOKUP($D840,'Informations sur les produits'!$A$3:$H$10000,8,FALSE),"0")</f>
        <v>0</v>
      </c>
      <c r="K840" s="4"/>
      <c r="L840" s="33" t="str">
        <f>IFERROR(VLOOKUP($J840,'Informations sur les produits'!$A$3:$H$10000,8,FALSE),"0")</f>
        <v>0</v>
      </c>
      <c r="N840" s="8"/>
      <c r="O840" s="33" t="str">
        <f>IFERROR(VLOOKUP($M840,'Informations sur les produits'!$A$3:$H$10000,8,FALSE),"0")</f>
        <v>0</v>
      </c>
      <c r="P840" s="33">
        <f t="shared" si="52"/>
        <v>0</v>
      </c>
      <c r="Q840" s="31" t="str">
        <f t="shared" si="53"/>
        <v/>
      </c>
      <c r="R840" s="32" t="str">
        <f>IFERROR(VLOOKUP($D840,'Informations sur les produits'!$A$3:$B$15000,2,FALSE),"")</f>
        <v/>
      </c>
      <c r="V840">
        <f t="shared" si="54"/>
        <v>0</v>
      </c>
      <c r="W840">
        <f t="shared" si="55"/>
        <v>0</v>
      </c>
    </row>
    <row r="841" spans="5:23" x14ac:dyDescent="0.25">
      <c r="E841" s="4"/>
      <c r="F841" s="4"/>
      <c r="G841" s="33" t="str">
        <f>IFERROR(VLOOKUP($D841,'Informations sur les produits'!$A$3:$H$10000,8,FALSE),"0")</f>
        <v>0</v>
      </c>
      <c r="K841" s="4"/>
      <c r="L841" s="33" t="str">
        <f>IFERROR(VLOOKUP($J841,'Informations sur les produits'!$A$3:$H$10000,8,FALSE),"0")</f>
        <v>0</v>
      </c>
      <c r="N841" s="8"/>
      <c r="O841" s="33" t="str">
        <f>IFERROR(VLOOKUP($M841,'Informations sur les produits'!$A$3:$H$10000,8,FALSE),"0")</f>
        <v>0</v>
      </c>
      <c r="P841" s="33">
        <f t="shared" si="52"/>
        <v>0</v>
      </c>
      <c r="Q841" s="31" t="str">
        <f t="shared" si="53"/>
        <v/>
      </c>
      <c r="R841" s="32" t="str">
        <f>IFERROR(VLOOKUP($D841,'Informations sur les produits'!$A$3:$B$15000,2,FALSE),"")</f>
        <v/>
      </c>
      <c r="V841">
        <f t="shared" si="54"/>
        <v>0</v>
      </c>
      <c r="W841">
        <f t="shared" si="55"/>
        <v>0</v>
      </c>
    </row>
    <row r="842" spans="5:23" x14ac:dyDescent="0.25">
      <c r="E842" s="4"/>
      <c r="F842" s="4"/>
      <c r="G842" s="33" t="str">
        <f>IFERROR(VLOOKUP($D842,'Informations sur les produits'!$A$3:$H$10000,8,FALSE),"0")</f>
        <v>0</v>
      </c>
      <c r="K842" s="4"/>
      <c r="L842" s="33" t="str">
        <f>IFERROR(VLOOKUP($J842,'Informations sur les produits'!$A$3:$H$10000,8,FALSE),"0")</f>
        <v>0</v>
      </c>
      <c r="N842" s="8"/>
      <c r="O842" s="33" t="str">
        <f>IFERROR(VLOOKUP($M842,'Informations sur les produits'!$A$3:$H$10000,8,FALSE),"0")</f>
        <v>0</v>
      </c>
      <c r="P842" s="33">
        <f t="shared" si="52"/>
        <v>0</v>
      </c>
      <c r="Q842" s="31" t="str">
        <f t="shared" si="53"/>
        <v/>
      </c>
      <c r="R842" s="32" t="str">
        <f>IFERROR(VLOOKUP($D842,'Informations sur les produits'!$A$3:$B$15000,2,FALSE),"")</f>
        <v/>
      </c>
      <c r="V842">
        <f t="shared" si="54"/>
        <v>0</v>
      </c>
      <c r="W842">
        <f t="shared" si="55"/>
        <v>0</v>
      </c>
    </row>
    <row r="843" spans="5:23" x14ac:dyDescent="0.25">
      <c r="E843" s="4"/>
      <c r="F843" s="4"/>
      <c r="G843" s="33" t="str">
        <f>IFERROR(VLOOKUP($D843,'Informations sur les produits'!$A$3:$H$10000,8,FALSE),"0")</f>
        <v>0</v>
      </c>
      <c r="K843" s="4"/>
      <c r="L843" s="33" t="str">
        <f>IFERROR(VLOOKUP($J843,'Informations sur les produits'!$A$3:$H$10000,8,FALSE),"0")</f>
        <v>0</v>
      </c>
      <c r="N843" s="8"/>
      <c r="O843" s="33" t="str">
        <f>IFERROR(VLOOKUP($M843,'Informations sur les produits'!$A$3:$H$10000,8,FALSE),"0")</f>
        <v>0</v>
      </c>
      <c r="P843" s="33">
        <f t="shared" si="52"/>
        <v>0</v>
      </c>
      <c r="Q843" s="31" t="str">
        <f t="shared" si="53"/>
        <v/>
      </c>
      <c r="R843" s="32" t="str">
        <f>IFERROR(VLOOKUP($D843,'Informations sur les produits'!$A$3:$B$15000,2,FALSE),"")</f>
        <v/>
      </c>
      <c r="V843">
        <f t="shared" si="54"/>
        <v>0</v>
      </c>
      <c r="W843">
        <f t="shared" si="55"/>
        <v>0</v>
      </c>
    </row>
    <row r="844" spans="5:23" x14ac:dyDescent="0.25">
      <c r="E844" s="4"/>
      <c r="F844" s="4"/>
      <c r="G844" s="33" t="str">
        <f>IFERROR(VLOOKUP($D844,'Informations sur les produits'!$A$3:$H$10000,8,FALSE),"0")</f>
        <v>0</v>
      </c>
      <c r="K844" s="4"/>
      <c r="L844" s="33" t="str">
        <f>IFERROR(VLOOKUP($J844,'Informations sur les produits'!$A$3:$H$10000,8,FALSE),"0")</f>
        <v>0</v>
      </c>
      <c r="N844" s="8"/>
      <c r="O844" s="33" t="str">
        <f>IFERROR(VLOOKUP($M844,'Informations sur les produits'!$A$3:$H$10000,8,FALSE),"0")</f>
        <v>0</v>
      </c>
      <c r="P844" s="33">
        <f t="shared" si="52"/>
        <v>0</v>
      </c>
      <c r="Q844" s="31" t="str">
        <f t="shared" si="53"/>
        <v/>
      </c>
      <c r="R844" s="32" t="str">
        <f>IFERROR(VLOOKUP($D844,'Informations sur les produits'!$A$3:$B$15000,2,FALSE),"")</f>
        <v/>
      </c>
      <c r="V844">
        <f t="shared" si="54"/>
        <v>0</v>
      </c>
      <c r="W844">
        <f t="shared" si="55"/>
        <v>0</v>
      </c>
    </row>
    <row r="845" spans="5:23" x14ac:dyDescent="0.25">
      <c r="E845" s="4"/>
      <c r="F845" s="4"/>
      <c r="G845" s="33" t="str">
        <f>IFERROR(VLOOKUP($D845,'Informations sur les produits'!$A$3:$H$10000,8,FALSE),"0")</f>
        <v>0</v>
      </c>
      <c r="K845" s="4"/>
      <c r="L845" s="33" t="str">
        <f>IFERROR(VLOOKUP($J845,'Informations sur les produits'!$A$3:$H$10000,8,FALSE),"0")</f>
        <v>0</v>
      </c>
      <c r="N845" s="8"/>
      <c r="O845" s="33" t="str">
        <f>IFERROR(VLOOKUP($M845,'Informations sur les produits'!$A$3:$H$10000,8,FALSE),"0")</f>
        <v>0</v>
      </c>
      <c r="P845" s="33">
        <f t="shared" si="52"/>
        <v>0</v>
      </c>
      <c r="Q845" s="31" t="str">
        <f t="shared" si="53"/>
        <v/>
      </c>
      <c r="R845" s="32" t="str">
        <f>IFERROR(VLOOKUP($D845,'Informations sur les produits'!$A$3:$B$15000,2,FALSE),"")</f>
        <v/>
      </c>
      <c r="V845">
        <f t="shared" si="54"/>
        <v>0</v>
      </c>
      <c r="W845">
        <f t="shared" si="55"/>
        <v>0</v>
      </c>
    </row>
    <row r="846" spans="5:23" x14ac:dyDescent="0.25">
      <c r="E846" s="4"/>
      <c r="F846" s="4"/>
      <c r="G846" s="33" t="str">
        <f>IFERROR(VLOOKUP($D846,'Informations sur les produits'!$A$3:$H$10000,8,FALSE),"0")</f>
        <v>0</v>
      </c>
      <c r="K846" s="4"/>
      <c r="L846" s="33" t="str">
        <f>IFERROR(VLOOKUP($J846,'Informations sur les produits'!$A$3:$H$10000,8,FALSE),"0")</f>
        <v>0</v>
      </c>
      <c r="N846" s="8"/>
      <c r="O846" s="33" t="str">
        <f>IFERROR(VLOOKUP($M846,'Informations sur les produits'!$A$3:$H$10000,8,FALSE),"0")</f>
        <v>0</v>
      </c>
      <c r="P846" s="33">
        <f t="shared" si="52"/>
        <v>0</v>
      </c>
      <c r="Q846" s="31" t="str">
        <f t="shared" si="53"/>
        <v/>
      </c>
      <c r="R846" s="32" t="str">
        <f>IFERROR(VLOOKUP($D846,'Informations sur les produits'!$A$3:$B$15000,2,FALSE),"")</f>
        <v/>
      </c>
      <c r="V846">
        <f t="shared" si="54"/>
        <v>0</v>
      </c>
      <c r="W846">
        <f t="shared" si="55"/>
        <v>0</v>
      </c>
    </row>
    <row r="847" spans="5:23" x14ac:dyDescent="0.25">
      <c r="E847" s="4"/>
      <c r="F847" s="4"/>
      <c r="G847" s="33" t="str">
        <f>IFERROR(VLOOKUP($D847,'Informations sur les produits'!$A$3:$H$10000,8,FALSE),"0")</f>
        <v>0</v>
      </c>
      <c r="K847" s="4"/>
      <c r="L847" s="33" t="str">
        <f>IFERROR(VLOOKUP($J847,'Informations sur les produits'!$A$3:$H$10000,8,FALSE),"0")</f>
        <v>0</v>
      </c>
      <c r="N847" s="8"/>
      <c r="O847" s="33" t="str">
        <f>IFERROR(VLOOKUP($M847,'Informations sur les produits'!$A$3:$H$10000,8,FALSE),"0")</f>
        <v>0</v>
      </c>
      <c r="P847" s="33">
        <f t="shared" si="52"/>
        <v>0</v>
      </c>
      <c r="Q847" s="31" t="str">
        <f t="shared" si="53"/>
        <v/>
      </c>
      <c r="R847" s="32" t="str">
        <f>IFERROR(VLOOKUP($D847,'Informations sur les produits'!$A$3:$B$15000,2,FALSE),"")</f>
        <v/>
      </c>
      <c r="V847">
        <f t="shared" si="54"/>
        <v>0</v>
      </c>
      <c r="W847">
        <f t="shared" si="55"/>
        <v>0</v>
      </c>
    </row>
    <row r="848" spans="5:23" x14ac:dyDescent="0.25">
      <c r="E848" s="4"/>
      <c r="F848" s="4"/>
      <c r="G848" s="33" t="str">
        <f>IFERROR(VLOOKUP($D848,'Informations sur les produits'!$A$3:$H$10000,8,FALSE),"0")</f>
        <v>0</v>
      </c>
      <c r="K848" s="4"/>
      <c r="L848" s="33" t="str">
        <f>IFERROR(VLOOKUP($J848,'Informations sur les produits'!$A$3:$H$10000,8,FALSE),"0")</f>
        <v>0</v>
      </c>
      <c r="N848" s="8"/>
      <c r="O848" s="33" t="str">
        <f>IFERROR(VLOOKUP($M848,'Informations sur les produits'!$A$3:$H$10000,8,FALSE),"0")</f>
        <v>0</v>
      </c>
      <c r="P848" s="33">
        <f t="shared" si="52"/>
        <v>0</v>
      </c>
      <c r="Q848" s="31" t="str">
        <f t="shared" si="53"/>
        <v/>
      </c>
      <c r="R848" s="32" t="str">
        <f>IFERROR(VLOOKUP($D848,'Informations sur les produits'!$A$3:$B$15000,2,FALSE),"")</f>
        <v/>
      </c>
      <c r="V848">
        <f t="shared" si="54"/>
        <v>0</v>
      </c>
      <c r="W848">
        <f t="shared" si="55"/>
        <v>0</v>
      </c>
    </row>
    <row r="849" spans="5:23" x14ac:dyDescent="0.25">
      <c r="E849" s="4"/>
      <c r="F849" s="4"/>
      <c r="G849" s="33" t="str">
        <f>IFERROR(VLOOKUP($D849,'Informations sur les produits'!$A$3:$H$10000,8,FALSE),"0")</f>
        <v>0</v>
      </c>
      <c r="K849" s="4"/>
      <c r="L849" s="33" t="str">
        <f>IFERROR(VLOOKUP($J849,'Informations sur les produits'!$A$3:$H$10000,8,FALSE),"0")</f>
        <v>0</v>
      </c>
      <c r="N849" s="8"/>
      <c r="O849" s="33" t="str">
        <f>IFERROR(VLOOKUP($M849,'Informations sur les produits'!$A$3:$H$10000,8,FALSE),"0")</f>
        <v>0</v>
      </c>
      <c r="P849" s="33">
        <f t="shared" si="52"/>
        <v>0</v>
      </c>
      <c r="Q849" s="31" t="str">
        <f t="shared" si="53"/>
        <v/>
      </c>
      <c r="R849" s="32" t="str">
        <f>IFERROR(VLOOKUP($D849,'Informations sur les produits'!$A$3:$B$15000,2,FALSE),"")</f>
        <v/>
      </c>
      <c r="V849">
        <f t="shared" si="54"/>
        <v>0</v>
      </c>
      <c r="W849">
        <f t="shared" si="55"/>
        <v>0</v>
      </c>
    </row>
    <row r="850" spans="5:23" x14ac:dyDescent="0.25">
      <c r="E850" s="4"/>
      <c r="F850" s="4"/>
      <c r="G850" s="33" t="str">
        <f>IFERROR(VLOOKUP($D850,'Informations sur les produits'!$A$3:$H$10000,8,FALSE),"0")</f>
        <v>0</v>
      </c>
      <c r="K850" s="4"/>
      <c r="L850" s="33" t="str">
        <f>IFERROR(VLOOKUP($J850,'Informations sur les produits'!$A$3:$H$10000,8,FALSE),"0")</f>
        <v>0</v>
      </c>
      <c r="N850" s="8"/>
      <c r="O850" s="33" t="str">
        <f>IFERROR(VLOOKUP($M850,'Informations sur les produits'!$A$3:$H$10000,8,FALSE),"0")</f>
        <v>0</v>
      </c>
      <c r="P850" s="33">
        <f t="shared" si="52"/>
        <v>0</v>
      </c>
      <c r="Q850" s="31" t="str">
        <f t="shared" si="53"/>
        <v/>
      </c>
      <c r="R850" s="32" t="str">
        <f>IFERROR(VLOOKUP($D850,'Informations sur les produits'!$A$3:$B$15000,2,FALSE),"")</f>
        <v/>
      </c>
      <c r="V850">
        <f t="shared" si="54"/>
        <v>0</v>
      </c>
      <c r="W850">
        <f t="shared" si="55"/>
        <v>0</v>
      </c>
    </row>
    <row r="851" spans="5:23" x14ac:dyDescent="0.25">
      <c r="E851" s="4"/>
      <c r="F851" s="4"/>
      <c r="G851" s="33" t="str">
        <f>IFERROR(VLOOKUP($D851,'Informations sur les produits'!$A$3:$H$10000,8,FALSE),"0")</f>
        <v>0</v>
      </c>
      <c r="K851" s="4"/>
      <c r="L851" s="33" t="str">
        <f>IFERROR(VLOOKUP($J851,'Informations sur les produits'!$A$3:$H$10000,8,FALSE),"0")</f>
        <v>0</v>
      </c>
      <c r="N851" s="8"/>
      <c r="O851" s="33" t="str">
        <f>IFERROR(VLOOKUP($M851,'Informations sur les produits'!$A$3:$H$10000,8,FALSE),"0")</f>
        <v>0</v>
      </c>
      <c r="P851" s="33">
        <f t="shared" si="52"/>
        <v>0</v>
      </c>
      <c r="Q851" s="31" t="str">
        <f t="shared" si="53"/>
        <v/>
      </c>
      <c r="R851" s="32" t="str">
        <f>IFERROR(VLOOKUP($D851,'Informations sur les produits'!$A$3:$B$15000,2,FALSE),"")</f>
        <v/>
      </c>
      <c r="V851">
        <f t="shared" si="54"/>
        <v>0</v>
      </c>
      <c r="W851">
        <f t="shared" si="55"/>
        <v>0</v>
      </c>
    </row>
    <row r="852" spans="5:23" x14ac:dyDescent="0.25">
      <c r="E852" s="4"/>
      <c r="F852" s="4"/>
      <c r="G852" s="33" t="str">
        <f>IFERROR(VLOOKUP($D852,'Informations sur les produits'!$A$3:$H$10000,8,FALSE),"0")</f>
        <v>0</v>
      </c>
      <c r="K852" s="4"/>
      <c r="L852" s="33" t="str">
        <f>IFERROR(VLOOKUP($J852,'Informations sur les produits'!$A$3:$H$10000,8,FALSE),"0")</f>
        <v>0</v>
      </c>
      <c r="N852" s="8"/>
      <c r="O852" s="33" t="str">
        <f>IFERROR(VLOOKUP($M852,'Informations sur les produits'!$A$3:$H$10000,8,FALSE),"0")</f>
        <v>0</v>
      </c>
      <c r="P852" s="33">
        <f t="shared" si="52"/>
        <v>0</v>
      </c>
      <c r="Q852" s="31" t="str">
        <f t="shared" si="53"/>
        <v/>
      </c>
      <c r="R852" s="32" t="str">
        <f>IFERROR(VLOOKUP($D852,'Informations sur les produits'!$A$3:$B$15000,2,FALSE),"")</f>
        <v/>
      </c>
      <c r="V852">
        <f t="shared" si="54"/>
        <v>0</v>
      </c>
      <c r="W852">
        <f t="shared" si="55"/>
        <v>0</v>
      </c>
    </row>
    <row r="853" spans="5:23" x14ac:dyDescent="0.25">
      <c r="E853" s="4"/>
      <c r="F853" s="4"/>
      <c r="G853" s="33" t="str">
        <f>IFERROR(VLOOKUP($D853,'Informations sur les produits'!$A$3:$H$10000,8,FALSE),"0")</f>
        <v>0</v>
      </c>
      <c r="K853" s="4"/>
      <c r="L853" s="33" t="str">
        <f>IFERROR(VLOOKUP($J853,'Informations sur les produits'!$A$3:$H$10000,8,FALSE),"0")</f>
        <v>0</v>
      </c>
      <c r="N853" s="8"/>
      <c r="O853" s="33" t="str">
        <f>IFERROR(VLOOKUP($M853,'Informations sur les produits'!$A$3:$H$10000,8,FALSE),"0")</f>
        <v>0</v>
      </c>
      <c r="P853" s="33">
        <f t="shared" si="52"/>
        <v>0</v>
      </c>
      <c r="Q853" s="31" t="str">
        <f t="shared" si="53"/>
        <v/>
      </c>
      <c r="R853" s="32" t="str">
        <f>IFERROR(VLOOKUP($D853,'Informations sur les produits'!$A$3:$B$15000,2,FALSE),"")</f>
        <v/>
      </c>
      <c r="V853">
        <f t="shared" si="54"/>
        <v>0</v>
      </c>
      <c r="W853">
        <f t="shared" si="55"/>
        <v>0</v>
      </c>
    </row>
    <row r="854" spans="5:23" x14ac:dyDescent="0.25">
      <c r="E854" s="4"/>
      <c r="F854" s="4"/>
      <c r="G854" s="33" t="str">
        <f>IFERROR(VLOOKUP($D854,'Informations sur les produits'!$A$3:$H$10000,8,FALSE),"0")</f>
        <v>0</v>
      </c>
      <c r="K854" s="4"/>
      <c r="L854" s="33" t="str">
        <f>IFERROR(VLOOKUP($J854,'Informations sur les produits'!$A$3:$H$10000,8,FALSE),"0")</f>
        <v>0</v>
      </c>
      <c r="N854" s="8"/>
      <c r="O854" s="33" t="str">
        <f>IFERROR(VLOOKUP($M854,'Informations sur les produits'!$A$3:$H$10000,8,FALSE),"0")</f>
        <v>0</v>
      </c>
      <c r="P854" s="33">
        <f t="shared" si="52"/>
        <v>0</v>
      </c>
      <c r="Q854" s="31" t="str">
        <f t="shared" si="53"/>
        <v/>
      </c>
      <c r="R854" s="32" t="str">
        <f>IFERROR(VLOOKUP($D854,'Informations sur les produits'!$A$3:$B$15000,2,FALSE),"")</f>
        <v/>
      </c>
      <c r="V854">
        <f t="shared" si="54"/>
        <v>0</v>
      </c>
      <c r="W854">
        <f t="shared" si="55"/>
        <v>0</v>
      </c>
    </row>
    <row r="855" spans="5:23" x14ac:dyDescent="0.25">
      <c r="E855" s="4"/>
      <c r="F855" s="4"/>
      <c r="G855" s="33" t="str">
        <f>IFERROR(VLOOKUP($D855,'Informations sur les produits'!$A$3:$H$10000,8,FALSE),"0")</f>
        <v>0</v>
      </c>
      <c r="K855" s="4"/>
      <c r="L855" s="33" t="str">
        <f>IFERROR(VLOOKUP($J855,'Informations sur les produits'!$A$3:$H$10000,8,FALSE),"0")</f>
        <v>0</v>
      </c>
      <c r="N855" s="8"/>
      <c r="O855" s="33" t="str">
        <f>IFERROR(VLOOKUP($M855,'Informations sur les produits'!$A$3:$H$10000,8,FALSE),"0")</f>
        <v>0</v>
      </c>
      <c r="P855" s="33">
        <f t="shared" si="52"/>
        <v>0</v>
      </c>
      <c r="Q855" s="31" t="str">
        <f t="shared" si="53"/>
        <v/>
      </c>
      <c r="R855" s="32" t="str">
        <f>IFERROR(VLOOKUP($D855,'Informations sur les produits'!$A$3:$B$15000,2,FALSE),"")</f>
        <v/>
      </c>
      <c r="V855">
        <f t="shared" si="54"/>
        <v>0</v>
      </c>
      <c r="W855">
        <f t="shared" si="55"/>
        <v>0</v>
      </c>
    </row>
    <row r="856" spans="5:23" x14ac:dyDescent="0.25">
      <c r="E856" s="4"/>
      <c r="F856" s="4"/>
      <c r="G856" s="33" t="str">
        <f>IFERROR(VLOOKUP($D856,'Informations sur les produits'!$A$3:$H$10000,8,FALSE),"0")</f>
        <v>0</v>
      </c>
      <c r="K856" s="4"/>
      <c r="L856" s="33" t="str">
        <f>IFERROR(VLOOKUP($J856,'Informations sur les produits'!$A$3:$H$10000,8,FALSE),"0")</f>
        <v>0</v>
      </c>
      <c r="N856" s="8"/>
      <c r="O856" s="33" t="str">
        <f>IFERROR(VLOOKUP($M856,'Informations sur les produits'!$A$3:$H$10000,8,FALSE),"0")</f>
        <v>0</v>
      </c>
      <c r="P856" s="33">
        <f t="shared" si="52"/>
        <v>0</v>
      </c>
      <c r="Q856" s="31" t="str">
        <f t="shared" si="53"/>
        <v/>
      </c>
      <c r="R856" s="32" t="str">
        <f>IFERROR(VLOOKUP($D856,'Informations sur les produits'!$A$3:$B$15000,2,FALSE),"")</f>
        <v/>
      </c>
      <c r="V856">
        <f t="shared" si="54"/>
        <v>0</v>
      </c>
      <c r="W856">
        <f t="shared" si="55"/>
        <v>0</v>
      </c>
    </row>
    <row r="857" spans="5:23" x14ac:dyDescent="0.25">
      <c r="E857" s="4"/>
      <c r="F857" s="4"/>
      <c r="G857" s="33" t="str">
        <f>IFERROR(VLOOKUP($D857,'Informations sur les produits'!$A$3:$H$10000,8,FALSE),"0")</f>
        <v>0</v>
      </c>
      <c r="K857" s="4"/>
      <c r="L857" s="33" t="str">
        <f>IFERROR(VLOOKUP($J857,'Informations sur les produits'!$A$3:$H$10000,8,FALSE),"0")</f>
        <v>0</v>
      </c>
      <c r="N857" s="8"/>
      <c r="O857" s="33" t="str">
        <f>IFERROR(VLOOKUP($M857,'Informations sur les produits'!$A$3:$H$10000,8,FALSE),"0")</f>
        <v>0</v>
      </c>
      <c r="P857" s="33">
        <f t="shared" si="52"/>
        <v>0</v>
      </c>
      <c r="Q857" s="31" t="str">
        <f t="shared" si="53"/>
        <v/>
      </c>
      <c r="R857" s="32" t="str">
        <f>IFERROR(VLOOKUP($D857,'Informations sur les produits'!$A$3:$B$15000,2,FALSE),"")</f>
        <v/>
      </c>
      <c r="V857">
        <f t="shared" si="54"/>
        <v>0</v>
      </c>
      <c r="W857">
        <f t="shared" si="55"/>
        <v>0</v>
      </c>
    </row>
    <row r="858" spans="5:23" x14ac:dyDescent="0.25">
      <c r="E858" s="4"/>
      <c r="F858" s="4"/>
      <c r="G858" s="33" t="str">
        <f>IFERROR(VLOOKUP($D858,'Informations sur les produits'!$A$3:$H$10000,8,FALSE),"0")</f>
        <v>0</v>
      </c>
      <c r="K858" s="4"/>
      <c r="L858" s="33" t="str">
        <f>IFERROR(VLOOKUP($J858,'Informations sur les produits'!$A$3:$H$10000,8,FALSE),"0")</f>
        <v>0</v>
      </c>
      <c r="N858" s="8"/>
      <c r="O858" s="33" t="str">
        <f>IFERROR(VLOOKUP($M858,'Informations sur les produits'!$A$3:$H$10000,8,FALSE),"0")</f>
        <v>0</v>
      </c>
      <c r="P858" s="33">
        <f t="shared" si="52"/>
        <v>0</v>
      </c>
      <c r="Q858" s="31" t="str">
        <f t="shared" si="53"/>
        <v/>
      </c>
      <c r="R858" s="32" t="str">
        <f>IFERROR(VLOOKUP($D858,'Informations sur les produits'!$A$3:$B$15000,2,FALSE),"")</f>
        <v/>
      </c>
      <c r="V858">
        <f t="shared" si="54"/>
        <v>0</v>
      </c>
      <c r="W858">
        <f t="shared" si="55"/>
        <v>0</v>
      </c>
    </row>
    <row r="859" spans="5:23" x14ac:dyDescent="0.25">
      <c r="E859" s="4"/>
      <c r="F859" s="4"/>
      <c r="G859" s="33" t="str">
        <f>IFERROR(VLOOKUP($D859,'Informations sur les produits'!$A$3:$H$10000,8,FALSE),"0")</f>
        <v>0</v>
      </c>
      <c r="K859" s="4"/>
      <c r="L859" s="33" t="str">
        <f>IFERROR(VLOOKUP($J859,'Informations sur les produits'!$A$3:$H$10000,8,FALSE),"0")</f>
        <v>0</v>
      </c>
      <c r="N859" s="8"/>
      <c r="O859" s="33" t="str">
        <f>IFERROR(VLOOKUP($M859,'Informations sur les produits'!$A$3:$H$10000,8,FALSE),"0")</f>
        <v>0</v>
      </c>
      <c r="P859" s="33">
        <f t="shared" si="52"/>
        <v>0</v>
      </c>
      <c r="Q859" s="31" t="str">
        <f t="shared" si="53"/>
        <v/>
      </c>
      <c r="R859" s="32" t="str">
        <f>IFERROR(VLOOKUP($D859,'Informations sur les produits'!$A$3:$B$15000,2,FALSE),"")</f>
        <v/>
      </c>
      <c r="V859">
        <f t="shared" si="54"/>
        <v>0</v>
      </c>
      <c r="W859">
        <f t="shared" si="55"/>
        <v>0</v>
      </c>
    </row>
    <row r="860" spans="5:23" x14ac:dyDescent="0.25">
      <c r="E860" s="4"/>
      <c r="F860" s="4"/>
      <c r="G860" s="33" t="str">
        <f>IFERROR(VLOOKUP($D860,'Informations sur les produits'!$A$3:$H$10000,8,FALSE),"0")</f>
        <v>0</v>
      </c>
      <c r="K860" s="4"/>
      <c r="L860" s="33" t="str">
        <f>IFERROR(VLOOKUP($J860,'Informations sur les produits'!$A$3:$H$10000,8,FALSE),"0")</f>
        <v>0</v>
      </c>
      <c r="N860" s="8"/>
      <c r="O860" s="33" t="str">
        <f>IFERROR(VLOOKUP($M860,'Informations sur les produits'!$A$3:$H$10000,8,FALSE),"0")</f>
        <v>0</v>
      </c>
      <c r="P860" s="33">
        <f t="shared" si="52"/>
        <v>0</v>
      </c>
      <c r="Q860" s="31" t="str">
        <f t="shared" si="53"/>
        <v/>
      </c>
      <c r="R860" s="32" t="str">
        <f>IFERROR(VLOOKUP($D860,'Informations sur les produits'!$A$3:$B$15000,2,FALSE),"")</f>
        <v/>
      </c>
      <c r="V860">
        <f t="shared" si="54"/>
        <v>0</v>
      </c>
      <c r="W860">
        <f t="shared" si="55"/>
        <v>0</v>
      </c>
    </row>
    <row r="861" spans="5:23" x14ac:dyDescent="0.25">
      <c r="E861" s="4"/>
      <c r="F861" s="4"/>
      <c r="G861" s="33" t="str">
        <f>IFERROR(VLOOKUP($D861,'Informations sur les produits'!$A$3:$H$10000,8,FALSE),"0")</f>
        <v>0</v>
      </c>
      <c r="K861" s="4"/>
      <c r="L861" s="33" t="str">
        <f>IFERROR(VLOOKUP($J861,'Informations sur les produits'!$A$3:$H$10000,8,FALSE),"0")</f>
        <v>0</v>
      </c>
      <c r="N861" s="8"/>
      <c r="O861" s="33" t="str">
        <f>IFERROR(VLOOKUP($M861,'Informations sur les produits'!$A$3:$H$10000,8,FALSE),"0")</f>
        <v>0</v>
      </c>
      <c r="P861" s="33">
        <f t="shared" si="52"/>
        <v>0</v>
      </c>
      <c r="Q861" s="31" t="str">
        <f t="shared" si="53"/>
        <v/>
      </c>
      <c r="R861" s="32" t="str">
        <f>IFERROR(VLOOKUP($D861,'Informations sur les produits'!$A$3:$B$15000,2,FALSE),"")</f>
        <v/>
      </c>
      <c r="V861">
        <f t="shared" si="54"/>
        <v>0</v>
      </c>
      <c r="W861">
        <f t="shared" si="55"/>
        <v>0</v>
      </c>
    </row>
    <row r="862" spans="5:23" x14ac:dyDescent="0.25">
      <c r="E862" s="4"/>
      <c r="F862" s="4"/>
      <c r="G862" s="33" t="str">
        <f>IFERROR(VLOOKUP($D862,'Informations sur les produits'!$A$3:$H$10000,8,FALSE),"0")</f>
        <v>0</v>
      </c>
      <c r="K862" s="4"/>
      <c r="L862" s="33" t="str">
        <f>IFERROR(VLOOKUP($J862,'Informations sur les produits'!$A$3:$H$10000,8,FALSE),"0")</f>
        <v>0</v>
      </c>
      <c r="N862" s="8"/>
      <c r="O862" s="33" t="str">
        <f>IFERROR(VLOOKUP($M862,'Informations sur les produits'!$A$3:$H$10000,8,FALSE),"0")</f>
        <v>0</v>
      </c>
      <c r="P862" s="33">
        <f t="shared" si="52"/>
        <v>0</v>
      </c>
      <c r="Q862" s="31" t="str">
        <f t="shared" si="53"/>
        <v/>
      </c>
      <c r="R862" s="32" t="str">
        <f>IFERROR(VLOOKUP($D862,'Informations sur les produits'!$A$3:$B$15000,2,FALSE),"")</f>
        <v/>
      </c>
      <c r="V862">
        <f t="shared" si="54"/>
        <v>0</v>
      </c>
      <c r="W862">
        <f t="shared" si="55"/>
        <v>0</v>
      </c>
    </row>
    <row r="863" spans="5:23" x14ac:dyDescent="0.25">
      <c r="E863" s="4"/>
      <c r="F863" s="4"/>
      <c r="G863" s="33" t="str">
        <f>IFERROR(VLOOKUP($D863,'Informations sur les produits'!$A$3:$H$10000,8,FALSE),"0")</f>
        <v>0</v>
      </c>
      <c r="K863" s="4"/>
      <c r="L863" s="33" t="str">
        <f>IFERROR(VLOOKUP($J863,'Informations sur les produits'!$A$3:$H$10000,8,FALSE),"0")</f>
        <v>0</v>
      </c>
      <c r="N863" s="8"/>
      <c r="O863" s="33" t="str">
        <f>IFERROR(VLOOKUP($M863,'Informations sur les produits'!$A$3:$H$10000,8,FALSE),"0")</f>
        <v>0</v>
      </c>
      <c r="P863" s="33">
        <f t="shared" si="52"/>
        <v>0</v>
      </c>
      <c r="Q863" s="31" t="str">
        <f t="shared" si="53"/>
        <v/>
      </c>
      <c r="R863" s="32" t="str">
        <f>IFERROR(VLOOKUP($D863,'Informations sur les produits'!$A$3:$B$15000,2,FALSE),"")</f>
        <v/>
      </c>
      <c r="V863">
        <f t="shared" si="54"/>
        <v>0</v>
      </c>
      <c r="W863">
        <f t="shared" si="55"/>
        <v>0</v>
      </c>
    </row>
    <row r="864" spans="5:23" x14ac:dyDescent="0.25">
      <c r="E864" s="4"/>
      <c r="F864" s="4"/>
      <c r="G864" s="33" t="str">
        <f>IFERROR(VLOOKUP($D864,'Informations sur les produits'!$A$3:$H$10000,8,FALSE),"0")</f>
        <v>0</v>
      </c>
      <c r="K864" s="4"/>
      <c r="L864" s="33" t="str">
        <f>IFERROR(VLOOKUP($J864,'Informations sur les produits'!$A$3:$H$10000,8,FALSE),"0")</f>
        <v>0</v>
      </c>
      <c r="N864" s="8"/>
      <c r="O864" s="33" t="str">
        <f>IFERROR(VLOOKUP($M864,'Informations sur les produits'!$A$3:$H$10000,8,FALSE),"0")</f>
        <v>0</v>
      </c>
      <c r="P864" s="33">
        <f t="shared" si="52"/>
        <v>0</v>
      </c>
      <c r="Q864" s="31" t="str">
        <f t="shared" si="53"/>
        <v/>
      </c>
      <c r="R864" s="32" t="str">
        <f>IFERROR(VLOOKUP($D864,'Informations sur les produits'!$A$3:$B$15000,2,FALSE),"")</f>
        <v/>
      </c>
      <c r="V864">
        <f t="shared" si="54"/>
        <v>0</v>
      </c>
      <c r="W864">
        <f t="shared" si="55"/>
        <v>0</v>
      </c>
    </row>
    <row r="865" spans="5:23" x14ac:dyDescent="0.25">
      <c r="E865" s="4"/>
      <c r="F865" s="4"/>
      <c r="G865" s="33" t="str">
        <f>IFERROR(VLOOKUP($D865,'Informations sur les produits'!$A$3:$H$10000,8,FALSE),"0")</f>
        <v>0</v>
      </c>
      <c r="K865" s="4"/>
      <c r="L865" s="33" t="str">
        <f>IFERROR(VLOOKUP($J865,'Informations sur les produits'!$A$3:$H$10000,8,FALSE),"0")</f>
        <v>0</v>
      </c>
      <c r="N865" s="8"/>
      <c r="O865" s="33" t="str">
        <f>IFERROR(VLOOKUP($M865,'Informations sur les produits'!$A$3:$H$10000,8,FALSE),"0")</f>
        <v>0</v>
      </c>
      <c r="P865" s="33">
        <f t="shared" si="52"/>
        <v>0</v>
      </c>
      <c r="Q865" s="31" t="str">
        <f t="shared" si="53"/>
        <v/>
      </c>
      <c r="R865" s="32" t="str">
        <f>IFERROR(VLOOKUP($D865,'Informations sur les produits'!$A$3:$B$15000,2,FALSE),"")</f>
        <v/>
      </c>
      <c r="V865">
        <f t="shared" si="54"/>
        <v>0</v>
      </c>
      <c r="W865">
        <f t="shared" si="55"/>
        <v>0</v>
      </c>
    </row>
    <row r="866" spans="5:23" x14ac:dyDescent="0.25">
      <c r="E866" s="4"/>
      <c r="F866" s="4"/>
      <c r="G866" s="33" t="str">
        <f>IFERROR(VLOOKUP($D866,'Informations sur les produits'!$A$3:$H$10000,8,FALSE),"0")</f>
        <v>0</v>
      </c>
      <c r="K866" s="4"/>
      <c r="L866" s="33" t="str">
        <f>IFERROR(VLOOKUP($J866,'Informations sur les produits'!$A$3:$H$10000,8,FALSE),"0")</f>
        <v>0</v>
      </c>
      <c r="N866" s="8"/>
      <c r="O866" s="33" t="str">
        <f>IFERROR(VLOOKUP($M866,'Informations sur les produits'!$A$3:$H$10000,8,FALSE),"0")</f>
        <v>0</v>
      </c>
      <c r="P866" s="33">
        <f t="shared" si="52"/>
        <v>0</v>
      </c>
      <c r="Q866" s="31" t="str">
        <f t="shared" si="53"/>
        <v/>
      </c>
      <c r="R866" s="32" t="str">
        <f>IFERROR(VLOOKUP($D866,'Informations sur les produits'!$A$3:$B$15000,2,FALSE),"")</f>
        <v/>
      </c>
      <c r="V866">
        <f t="shared" si="54"/>
        <v>0</v>
      </c>
      <c r="W866">
        <f t="shared" si="55"/>
        <v>0</v>
      </c>
    </row>
    <row r="867" spans="5:23" x14ac:dyDescent="0.25">
      <c r="E867" s="4"/>
      <c r="F867" s="4"/>
      <c r="G867" s="33" t="str">
        <f>IFERROR(VLOOKUP($D867,'Informations sur les produits'!$A$3:$H$10000,8,FALSE),"0")</f>
        <v>0</v>
      </c>
      <c r="K867" s="4"/>
      <c r="L867" s="33" t="str">
        <f>IFERROR(VLOOKUP($J867,'Informations sur les produits'!$A$3:$H$10000,8,FALSE),"0")</f>
        <v>0</v>
      </c>
      <c r="N867" s="8"/>
      <c r="O867" s="33" t="str">
        <f>IFERROR(VLOOKUP($M867,'Informations sur les produits'!$A$3:$H$10000,8,FALSE),"0")</f>
        <v>0</v>
      </c>
      <c r="P867" s="33">
        <f t="shared" si="52"/>
        <v>0</v>
      </c>
      <c r="Q867" s="31" t="str">
        <f t="shared" si="53"/>
        <v/>
      </c>
      <c r="R867" s="32" t="str">
        <f>IFERROR(VLOOKUP($D867,'Informations sur les produits'!$A$3:$B$15000,2,FALSE),"")</f>
        <v/>
      </c>
      <c r="V867">
        <f t="shared" si="54"/>
        <v>0</v>
      </c>
      <c r="W867">
        <f t="shared" si="55"/>
        <v>0</v>
      </c>
    </row>
    <row r="868" spans="5:23" x14ac:dyDescent="0.25">
      <c r="E868" s="4"/>
      <c r="F868" s="4"/>
      <c r="G868" s="33" t="str">
        <f>IFERROR(VLOOKUP($D868,'Informations sur les produits'!$A$3:$H$10000,8,FALSE),"0")</f>
        <v>0</v>
      </c>
      <c r="K868" s="4"/>
      <c r="L868" s="33" t="str">
        <f>IFERROR(VLOOKUP($J868,'Informations sur les produits'!$A$3:$H$10000,8,FALSE),"0")</f>
        <v>0</v>
      </c>
      <c r="N868" s="8"/>
      <c r="O868" s="33" t="str">
        <f>IFERROR(VLOOKUP($M868,'Informations sur les produits'!$A$3:$H$10000,8,FALSE),"0")</f>
        <v>0</v>
      </c>
      <c r="P868" s="33">
        <f t="shared" si="52"/>
        <v>0</v>
      </c>
      <c r="Q868" s="31" t="str">
        <f t="shared" si="53"/>
        <v/>
      </c>
      <c r="R868" s="32" t="str">
        <f>IFERROR(VLOOKUP($D868,'Informations sur les produits'!$A$3:$B$15000,2,FALSE),"")</f>
        <v/>
      </c>
      <c r="V868">
        <f t="shared" si="54"/>
        <v>0</v>
      </c>
      <c r="W868">
        <f t="shared" si="55"/>
        <v>0</v>
      </c>
    </row>
    <row r="869" spans="5:23" x14ac:dyDescent="0.25">
      <c r="E869" s="4"/>
      <c r="F869" s="4"/>
      <c r="G869" s="33" t="str">
        <f>IFERROR(VLOOKUP($D869,'Informations sur les produits'!$A$3:$H$10000,8,FALSE),"0")</f>
        <v>0</v>
      </c>
      <c r="K869" s="4"/>
      <c r="L869" s="33" t="str">
        <f>IFERROR(VLOOKUP($J869,'Informations sur les produits'!$A$3:$H$10000,8,FALSE),"0")</f>
        <v>0</v>
      </c>
      <c r="N869" s="8"/>
      <c r="O869" s="33" t="str">
        <f>IFERROR(VLOOKUP($M869,'Informations sur les produits'!$A$3:$H$10000,8,FALSE),"0")</f>
        <v>0</v>
      </c>
      <c r="P869" s="33">
        <f t="shared" si="52"/>
        <v>0</v>
      </c>
      <c r="Q869" s="31" t="str">
        <f t="shared" si="53"/>
        <v/>
      </c>
      <c r="R869" s="32" t="str">
        <f>IFERROR(VLOOKUP($D869,'Informations sur les produits'!$A$3:$B$15000,2,FALSE),"")</f>
        <v/>
      </c>
      <c r="V869">
        <f t="shared" si="54"/>
        <v>0</v>
      </c>
      <c r="W869">
        <f t="shared" si="55"/>
        <v>0</v>
      </c>
    </row>
    <row r="870" spans="5:23" x14ac:dyDescent="0.25">
      <c r="E870" s="4"/>
      <c r="F870" s="4"/>
      <c r="G870" s="33" t="str">
        <f>IFERROR(VLOOKUP($D870,'Informations sur les produits'!$A$3:$H$10000,8,FALSE),"0")</f>
        <v>0</v>
      </c>
      <c r="K870" s="4"/>
      <c r="L870" s="33" t="str">
        <f>IFERROR(VLOOKUP($J870,'Informations sur les produits'!$A$3:$H$10000,8,FALSE),"0")</f>
        <v>0</v>
      </c>
      <c r="N870" s="8"/>
      <c r="O870" s="33" t="str">
        <f>IFERROR(VLOOKUP($M870,'Informations sur les produits'!$A$3:$H$10000,8,FALSE),"0")</f>
        <v>0</v>
      </c>
      <c r="P870" s="33">
        <f t="shared" si="52"/>
        <v>0</v>
      </c>
      <c r="Q870" s="31" t="str">
        <f t="shared" si="53"/>
        <v/>
      </c>
      <c r="R870" s="32" t="str">
        <f>IFERROR(VLOOKUP($D870,'Informations sur les produits'!$A$3:$B$15000,2,FALSE),"")</f>
        <v/>
      </c>
      <c r="V870">
        <f t="shared" si="54"/>
        <v>0</v>
      </c>
      <c r="W870">
        <f t="shared" si="55"/>
        <v>0</v>
      </c>
    </row>
    <row r="871" spans="5:23" x14ac:dyDescent="0.25">
      <c r="E871" s="4"/>
      <c r="F871" s="4"/>
      <c r="G871" s="33" t="str">
        <f>IFERROR(VLOOKUP($D871,'Informations sur les produits'!$A$3:$H$10000,8,FALSE),"0")</f>
        <v>0</v>
      </c>
      <c r="K871" s="4"/>
      <c r="L871" s="33" t="str">
        <f>IFERROR(VLOOKUP($J871,'Informations sur les produits'!$A$3:$H$10000,8,FALSE),"0")</f>
        <v>0</v>
      </c>
      <c r="N871" s="8"/>
      <c r="O871" s="33" t="str">
        <f>IFERROR(VLOOKUP($M871,'Informations sur les produits'!$A$3:$H$10000,8,FALSE),"0")</f>
        <v>0</v>
      </c>
      <c r="P871" s="33">
        <f t="shared" si="52"/>
        <v>0</v>
      </c>
      <c r="Q871" s="31" t="str">
        <f t="shared" si="53"/>
        <v/>
      </c>
      <c r="R871" s="32" t="str">
        <f>IFERROR(VLOOKUP($D871,'Informations sur les produits'!$A$3:$B$15000,2,FALSE),"")</f>
        <v/>
      </c>
      <c r="V871">
        <f t="shared" si="54"/>
        <v>0</v>
      </c>
      <c r="W871">
        <f t="shared" si="55"/>
        <v>0</v>
      </c>
    </row>
    <row r="872" spans="5:23" x14ac:dyDescent="0.25">
      <c r="E872" s="4"/>
      <c r="F872" s="4"/>
      <c r="G872" s="33" t="str">
        <f>IFERROR(VLOOKUP($D872,'Informations sur les produits'!$A$3:$H$10000,8,FALSE),"0")</f>
        <v>0</v>
      </c>
      <c r="K872" s="4"/>
      <c r="L872" s="33" t="str">
        <f>IFERROR(VLOOKUP($J872,'Informations sur les produits'!$A$3:$H$10000,8,FALSE),"0")</f>
        <v>0</v>
      </c>
      <c r="N872" s="8"/>
      <c r="O872" s="33" t="str">
        <f>IFERROR(VLOOKUP($M872,'Informations sur les produits'!$A$3:$H$10000,8,FALSE),"0")</f>
        <v>0</v>
      </c>
      <c r="P872" s="33">
        <f t="shared" si="52"/>
        <v>0</v>
      </c>
      <c r="Q872" s="31" t="str">
        <f t="shared" si="53"/>
        <v/>
      </c>
      <c r="R872" s="32" t="str">
        <f>IFERROR(VLOOKUP($D872,'Informations sur les produits'!$A$3:$B$15000,2,FALSE),"")</f>
        <v/>
      </c>
      <c r="V872">
        <f t="shared" si="54"/>
        <v>0</v>
      </c>
      <c r="W872">
        <f t="shared" si="55"/>
        <v>0</v>
      </c>
    </row>
    <row r="873" spans="5:23" x14ac:dyDescent="0.25">
      <c r="E873" s="4"/>
      <c r="F873" s="4"/>
      <c r="G873" s="33" t="str">
        <f>IFERROR(VLOOKUP($D873,'Informations sur les produits'!$A$3:$H$10000,8,FALSE),"0")</f>
        <v>0</v>
      </c>
      <c r="K873" s="4"/>
      <c r="L873" s="33" t="str">
        <f>IFERROR(VLOOKUP($J873,'Informations sur les produits'!$A$3:$H$10000,8,FALSE),"0")</f>
        <v>0</v>
      </c>
      <c r="N873" s="8"/>
      <c r="O873" s="33" t="str">
        <f>IFERROR(VLOOKUP($M873,'Informations sur les produits'!$A$3:$H$10000,8,FALSE),"0")</f>
        <v>0</v>
      </c>
      <c r="P873" s="33">
        <f t="shared" si="52"/>
        <v>0</v>
      </c>
      <c r="Q873" s="31" t="str">
        <f t="shared" si="53"/>
        <v/>
      </c>
      <c r="R873" s="32" t="str">
        <f>IFERROR(VLOOKUP($D873,'Informations sur les produits'!$A$3:$B$15000,2,FALSE),"")</f>
        <v/>
      </c>
      <c r="V873">
        <f t="shared" si="54"/>
        <v>0</v>
      </c>
      <c r="W873">
        <f t="shared" si="55"/>
        <v>0</v>
      </c>
    </row>
    <row r="874" spans="5:23" x14ac:dyDescent="0.25">
      <c r="E874" s="4"/>
      <c r="F874" s="4"/>
      <c r="G874" s="33" t="str">
        <f>IFERROR(VLOOKUP($D874,'Informations sur les produits'!$A$3:$H$10000,8,FALSE),"0")</f>
        <v>0</v>
      </c>
      <c r="K874" s="4"/>
      <c r="L874" s="33" t="str">
        <f>IFERROR(VLOOKUP($J874,'Informations sur les produits'!$A$3:$H$10000,8,FALSE),"0")</f>
        <v>0</v>
      </c>
      <c r="N874" s="8"/>
      <c r="O874" s="33" t="str">
        <f>IFERROR(VLOOKUP($M874,'Informations sur les produits'!$A$3:$H$10000,8,FALSE),"0")</f>
        <v>0</v>
      </c>
      <c r="P874" s="33">
        <f t="shared" si="52"/>
        <v>0</v>
      </c>
      <c r="Q874" s="31" t="str">
        <f t="shared" si="53"/>
        <v/>
      </c>
      <c r="R874" s="32" t="str">
        <f>IFERROR(VLOOKUP($D874,'Informations sur les produits'!$A$3:$B$15000,2,FALSE),"")</f>
        <v/>
      </c>
      <c r="V874">
        <f t="shared" si="54"/>
        <v>0</v>
      </c>
      <c r="W874">
        <f t="shared" si="55"/>
        <v>0</v>
      </c>
    </row>
    <row r="875" spans="5:23" x14ac:dyDescent="0.25">
      <c r="E875" s="4"/>
      <c r="F875" s="4"/>
      <c r="G875" s="33" t="str">
        <f>IFERROR(VLOOKUP($D875,'Informations sur les produits'!$A$3:$H$10000,8,FALSE),"0")</f>
        <v>0</v>
      </c>
      <c r="K875" s="4"/>
      <c r="L875" s="33" t="str">
        <f>IFERROR(VLOOKUP($J875,'Informations sur les produits'!$A$3:$H$10000,8,FALSE),"0")</f>
        <v>0</v>
      </c>
      <c r="N875" s="8"/>
      <c r="O875" s="33" t="str">
        <f>IFERROR(VLOOKUP($M875,'Informations sur les produits'!$A$3:$H$10000,8,FALSE),"0")</f>
        <v>0</v>
      </c>
      <c r="P875" s="33">
        <f t="shared" si="52"/>
        <v>0</v>
      </c>
      <c r="Q875" s="31" t="str">
        <f t="shared" si="53"/>
        <v/>
      </c>
      <c r="R875" s="32" t="str">
        <f>IFERROR(VLOOKUP($D875,'Informations sur les produits'!$A$3:$B$15000,2,FALSE),"")</f>
        <v/>
      </c>
      <c r="V875">
        <f t="shared" si="54"/>
        <v>0</v>
      </c>
      <c r="W875">
        <f t="shared" si="55"/>
        <v>0</v>
      </c>
    </row>
    <row r="876" spans="5:23" x14ac:dyDescent="0.25">
      <c r="E876" s="4"/>
      <c r="F876" s="4"/>
      <c r="G876" s="33" t="str">
        <f>IFERROR(VLOOKUP($D876,'Informations sur les produits'!$A$3:$H$10000,8,FALSE),"0")</f>
        <v>0</v>
      </c>
      <c r="K876" s="4"/>
      <c r="L876" s="33" t="str">
        <f>IFERROR(VLOOKUP($J876,'Informations sur les produits'!$A$3:$H$10000,8,FALSE),"0")</f>
        <v>0</v>
      </c>
      <c r="N876" s="8"/>
      <c r="O876" s="33" t="str">
        <f>IFERROR(VLOOKUP($M876,'Informations sur les produits'!$A$3:$H$10000,8,FALSE),"0")</f>
        <v>0</v>
      </c>
      <c r="P876" s="33">
        <f t="shared" si="52"/>
        <v>0</v>
      </c>
      <c r="Q876" s="31" t="str">
        <f t="shared" si="53"/>
        <v/>
      </c>
      <c r="R876" s="32" t="str">
        <f>IFERROR(VLOOKUP($D876,'Informations sur les produits'!$A$3:$B$15000,2,FALSE),"")</f>
        <v/>
      </c>
      <c r="V876">
        <f t="shared" si="54"/>
        <v>0</v>
      </c>
      <c r="W876">
        <f t="shared" si="55"/>
        <v>0</v>
      </c>
    </row>
    <row r="877" spans="5:23" x14ac:dyDescent="0.25">
      <c r="E877" s="4"/>
      <c r="F877" s="4"/>
      <c r="G877" s="33" t="str">
        <f>IFERROR(VLOOKUP($D877,'Informations sur les produits'!$A$3:$H$10000,8,FALSE),"0")</f>
        <v>0</v>
      </c>
      <c r="K877" s="4"/>
      <c r="L877" s="33" t="str">
        <f>IFERROR(VLOOKUP($J877,'Informations sur les produits'!$A$3:$H$10000,8,FALSE),"0")</f>
        <v>0</v>
      </c>
      <c r="N877" s="8"/>
      <c r="O877" s="33" t="str">
        <f>IFERROR(VLOOKUP($M877,'Informations sur les produits'!$A$3:$H$10000,8,FALSE),"0")</f>
        <v>0</v>
      </c>
      <c r="P877" s="33">
        <f t="shared" si="52"/>
        <v>0</v>
      </c>
      <c r="Q877" s="31" t="str">
        <f t="shared" si="53"/>
        <v/>
      </c>
      <c r="R877" s="32" t="str">
        <f>IFERROR(VLOOKUP($D877,'Informations sur les produits'!$A$3:$B$15000,2,FALSE),"")</f>
        <v/>
      </c>
      <c r="V877">
        <f t="shared" si="54"/>
        <v>0</v>
      </c>
      <c r="W877">
        <f t="shared" si="55"/>
        <v>0</v>
      </c>
    </row>
    <row r="878" spans="5:23" x14ac:dyDescent="0.25">
      <c r="E878" s="4"/>
      <c r="F878" s="4"/>
      <c r="G878" s="33" t="str">
        <f>IFERROR(VLOOKUP($D878,'Informations sur les produits'!$A$3:$H$10000,8,FALSE),"0")</f>
        <v>0</v>
      </c>
      <c r="K878" s="4"/>
      <c r="L878" s="33" t="str">
        <f>IFERROR(VLOOKUP($J878,'Informations sur les produits'!$A$3:$H$10000,8,FALSE),"0")</f>
        <v>0</v>
      </c>
      <c r="N878" s="8"/>
      <c r="O878" s="33" t="str">
        <f>IFERROR(VLOOKUP($M878,'Informations sur les produits'!$A$3:$H$10000,8,FALSE),"0")</f>
        <v>0</v>
      </c>
      <c r="P878" s="33">
        <f t="shared" si="52"/>
        <v>0</v>
      </c>
      <c r="Q878" s="31" t="str">
        <f t="shared" si="53"/>
        <v/>
      </c>
      <c r="R878" s="32" t="str">
        <f>IFERROR(VLOOKUP($D878,'Informations sur les produits'!$A$3:$B$15000,2,FALSE),"")</f>
        <v/>
      </c>
      <c r="V878">
        <f t="shared" si="54"/>
        <v>0</v>
      </c>
      <c r="W878">
        <f t="shared" si="55"/>
        <v>0</v>
      </c>
    </row>
    <row r="879" spans="5:23" x14ac:dyDescent="0.25">
      <c r="E879" s="4"/>
      <c r="F879" s="4"/>
      <c r="G879" s="33" t="str">
        <f>IFERROR(VLOOKUP($D879,'Informations sur les produits'!$A$3:$H$10000,8,FALSE),"0")</f>
        <v>0</v>
      </c>
      <c r="K879" s="4"/>
      <c r="L879" s="33" t="str">
        <f>IFERROR(VLOOKUP($J879,'Informations sur les produits'!$A$3:$H$10000,8,FALSE),"0")</f>
        <v>0</v>
      </c>
      <c r="N879" s="8"/>
      <c r="O879" s="33" t="str">
        <f>IFERROR(VLOOKUP($M879,'Informations sur les produits'!$A$3:$H$10000,8,FALSE),"0")</f>
        <v>0</v>
      </c>
      <c r="P879" s="33">
        <f t="shared" si="52"/>
        <v>0</v>
      </c>
      <c r="Q879" s="31" t="str">
        <f t="shared" si="53"/>
        <v/>
      </c>
      <c r="R879" s="32" t="str">
        <f>IFERROR(VLOOKUP($D879,'Informations sur les produits'!$A$3:$B$15000,2,FALSE),"")</f>
        <v/>
      </c>
      <c r="V879">
        <f t="shared" si="54"/>
        <v>0</v>
      </c>
      <c r="W879">
        <f t="shared" si="55"/>
        <v>0</v>
      </c>
    </row>
    <row r="880" spans="5:23" x14ac:dyDescent="0.25">
      <c r="E880" s="4"/>
      <c r="F880" s="4"/>
      <c r="G880" s="33" t="str">
        <f>IFERROR(VLOOKUP($D880,'Informations sur les produits'!$A$3:$H$10000,8,FALSE),"0")</f>
        <v>0</v>
      </c>
      <c r="K880" s="4"/>
      <c r="L880" s="33" t="str">
        <f>IFERROR(VLOOKUP($J880,'Informations sur les produits'!$A$3:$H$10000,8,FALSE),"0")</f>
        <v>0</v>
      </c>
      <c r="N880" s="8"/>
      <c r="O880" s="33" t="str">
        <f>IFERROR(VLOOKUP($M880,'Informations sur les produits'!$A$3:$H$10000,8,FALSE),"0")</f>
        <v>0</v>
      </c>
      <c r="P880" s="33">
        <f t="shared" si="52"/>
        <v>0</v>
      </c>
      <c r="Q880" s="31" t="str">
        <f t="shared" si="53"/>
        <v/>
      </c>
      <c r="R880" s="32" t="str">
        <f>IFERROR(VLOOKUP($D880,'Informations sur les produits'!$A$3:$B$15000,2,FALSE),"")</f>
        <v/>
      </c>
      <c r="V880">
        <f t="shared" si="54"/>
        <v>0</v>
      </c>
      <c r="W880">
        <f t="shared" si="55"/>
        <v>0</v>
      </c>
    </row>
    <row r="881" spans="5:23" x14ac:dyDescent="0.25">
      <c r="E881" s="4"/>
      <c r="F881" s="4"/>
      <c r="G881" s="33" t="str">
        <f>IFERROR(VLOOKUP($D881,'Informations sur les produits'!$A$3:$H$10000,8,FALSE),"0")</f>
        <v>0</v>
      </c>
      <c r="K881" s="4"/>
      <c r="L881" s="33" t="str">
        <f>IFERROR(VLOOKUP($J881,'Informations sur les produits'!$A$3:$H$10000,8,FALSE),"0")</f>
        <v>0</v>
      </c>
      <c r="N881" s="8"/>
      <c r="O881" s="33" t="str">
        <f>IFERROR(VLOOKUP($M881,'Informations sur les produits'!$A$3:$H$10000,8,FALSE),"0")</f>
        <v>0</v>
      </c>
      <c r="P881" s="33">
        <f t="shared" si="52"/>
        <v>0</v>
      </c>
      <c r="Q881" s="31" t="str">
        <f t="shared" si="53"/>
        <v/>
      </c>
      <c r="R881" s="32" t="str">
        <f>IFERROR(VLOOKUP($D881,'Informations sur les produits'!$A$3:$B$15000,2,FALSE),"")</f>
        <v/>
      </c>
      <c r="V881">
        <f t="shared" si="54"/>
        <v>0</v>
      </c>
      <c r="W881">
        <f t="shared" si="55"/>
        <v>0</v>
      </c>
    </row>
    <row r="882" spans="5:23" x14ac:dyDescent="0.25">
      <c r="E882" s="4"/>
      <c r="F882" s="4"/>
      <c r="G882" s="33" t="str">
        <f>IFERROR(VLOOKUP($D882,'Informations sur les produits'!$A$3:$H$10000,8,FALSE),"0")</f>
        <v>0</v>
      </c>
      <c r="K882" s="4"/>
      <c r="L882" s="33" t="str">
        <f>IFERROR(VLOOKUP($J882,'Informations sur les produits'!$A$3:$H$10000,8,FALSE),"0")</f>
        <v>0</v>
      </c>
      <c r="N882" s="8"/>
      <c r="O882" s="33" t="str">
        <f>IFERROR(VLOOKUP($M882,'Informations sur les produits'!$A$3:$H$10000,8,FALSE),"0")</f>
        <v>0</v>
      </c>
      <c r="P882" s="33">
        <f t="shared" si="52"/>
        <v>0</v>
      </c>
      <c r="Q882" s="31" t="str">
        <f t="shared" si="53"/>
        <v/>
      </c>
      <c r="R882" s="32" t="str">
        <f>IFERROR(VLOOKUP($D882,'Informations sur les produits'!$A$3:$B$15000,2,FALSE),"")</f>
        <v/>
      </c>
      <c r="V882">
        <f t="shared" si="54"/>
        <v>0</v>
      </c>
      <c r="W882">
        <f t="shared" si="55"/>
        <v>0</v>
      </c>
    </row>
    <row r="883" spans="5:23" x14ac:dyDescent="0.25">
      <c r="E883" s="4"/>
      <c r="F883" s="4"/>
      <c r="G883" s="33" t="str">
        <f>IFERROR(VLOOKUP($D883,'Informations sur les produits'!$A$3:$H$10000,8,FALSE),"0")</f>
        <v>0</v>
      </c>
      <c r="K883" s="4"/>
      <c r="L883" s="33" t="str">
        <f>IFERROR(VLOOKUP($J883,'Informations sur les produits'!$A$3:$H$10000,8,FALSE),"0")</f>
        <v>0</v>
      </c>
      <c r="N883" s="8"/>
      <c r="O883" s="33" t="str">
        <f>IFERROR(VLOOKUP($M883,'Informations sur les produits'!$A$3:$H$10000,8,FALSE),"0")</f>
        <v>0</v>
      </c>
      <c r="P883" s="33">
        <f t="shared" si="52"/>
        <v>0</v>
      </c>
      <c r="Q883" s="31" t="str">
        <f t="shared" si="53"/>
        <v/>
      </c>
      <c r="R883" s="32" t="str">
        <f>IFERROR(VLOOKUP($D883,'Informations sur les produits'!$A$3:$B$15000,2,FALSE),"")</f>
        <v/>
      </c>
      <c r="V883">
        <f t="shared" si="54"/>
        <v>0</v>
      </c>
      <c r="W883">
        <f t="shared" si="55"/>
        <v>0</v>
      </c>
    </row>
    <row r="884" spans="5:23" x14ac:dyDescent="0.25">
      <c r="E884" s="4"/>
      <c r="F884" s="4"/>
      <c r="G884" s="33" t="str">
        <f>IFERROR(VLOOKUP($D884,'Informations sur les produits'!$A$3:$H$10000,8,FALSE),"0")</f>
        <v>0</v>
      </c>
      <c r="K884" s="4"/>
      <c r="L884" s="33" t="str">
        <f>IFERROR(VLOOKUP($J884,'Informations sur les produits'!$A$3:$H$10000,8,FALSE),"0")</f>
        <v>0</v>
      </c>
      <c r="N884" s="8"/>
      <c r="O884" s="33" t="str">
        <f>IFERROR(VLOOKUP($M884,'Informations sur les produits'!$A$3:$H$10000,8,FALSE),"0")</f>
        <v>0</v>
      </c>
      <c r="P884" s="33">
        <f t="shared" si="52"/>
        <v>0</v>
      </c>
      <c r="Q884" s="31" t="str">
        <f t="shared" si="53"/>
        <v/>
      </c>
      <c r="R884" s="32" t="str">
        <f>IFERROR(VLOOKUP($D884,'Informations sur les produits'!$A$3:$B$15000,2,FALSE),"")</f>
        <v/>
      </c>
      <c r="V884">
        <f t="shared" si="54"/>
        <v>0</v>
      </c>
      <c r="W884">
        <f t="shared" si="55"/>
        <v>0</v>
      </c>
    </row>
    <row r="885" spans="5:23" x14ac:dyDescent="0.25">
      <c r="E885" s="4"/>
      <c r="F885" s="4"/>
      <c r="G885" s="33" t="str">
        <f>IFERROR(VLOOKUP($D885,'Informations sur les produits'!$A$3:$H$10000,8,FALSE),"0")</f>
        <v>0</v>
      </c>
      <c r="K885" s="4"/>
      <c r="L885" s="33" t="str">
        <f>IFERROR(VLOOKUP($J885,'Informations sur les produits'!$A$3:$H$10000,8,FALSE),"0")</f>
        <v>0</v>
      </c>
      <c r="N885" s="8"/>
      <c r="O885" s="33" t="str">
        <f>IFERROR(VLOOKUP($M885,'Informations sur les produits'!$A$3:$H$10000,8,FALSE),"0")</f>
        <v>0</v>
      </c>
      <c r="P885" s="33">
        <f t="shared" si="52"/>
        <v>0</v>
      </c>
      <c r="Q885" s="31" t="str">
        <f t="shared" si="53"/>
        <v/>
      </c>
      <c r="R885" s="32" t="str">
        <f>IFERROR(VLOOKUP($D885,'Informations sur les produits'!$A$3:$B$15000,2,FALSE),"")</f>
        <v/>
      </c>
      <c r="V885">
        <f t="shared" si="54"/>
        <v>0</v>
      </c>
      <c r="W885">
        <f t="shared" si="55"/>
        <v>0</v>
      </c>
    </row>
    <row r="886" spans="5:23" x14ac:dyDescent="0.25">
      <c r="E886" s="4"/>
      <c r="F886" s="4"/>
      <c r="G886" s="33" t="str">
        <f>IFERROR(VLOOKUP($D886,'Informations sur les produits'!$A$3:$H$10000,8,FALSE),"0")</f>
        <v>0</v>
      </c>
      <c r="K886" s="4"/>
      <c r="L886" s="33" t="str">
        <f>IFERROR(VLOOKUP($J886,'Informations sur les produits'!$A$3:$H$10000,8,FALSE),"0")</f>
        <v>0</v>
      </c>
      <c r="N886" s="8"/>
      <c r="O886" s="33" t="str">
        <f>IFERROR(VLOOKUP($M886,'Informations sur les produits'!$A$3:$H$10000,8,FALSE),"0")</f>
        <v>0</v>
      </c>
      <c r="P886" s="33">
        <f t="shared" si="52"/>
        <v>0</v>
      </c>
      <c r="Q886" s="31" t="str">
        <f t="shared" si="53"/>
        <v/>
      </c>
      <c r="R886" s="32" t="str">
        <f>IFERROR(VLOOKUP($D886,'Informations sur les produits'!$A$3:$B$15000,2,FALSE),"")</f>
        <v/>
      </c>
      <c r="V886">
        <f t="shared" si="54"/>
        <v>0</v>
      </c>
      <c r="W886">
        <f t="shared" si="55"/>
        <v>0</v>
      </c>
    </row>
    <row r="887" spans="5:23" x14ac:dyDescent="0.25">
      <c r="E887" s="4"/>
      <c r="F887" s="4"/>
      <c r="G887" s="33" t="str">
        <f>IFERROR(VLOOKUP($D887,'Informations sur les produits'!$A$3:$H$10000,8,FALSE),"0")</f>
        <v>0</v>
      </c>
      <c r="K887" s="4"/>
      <c r="L887" s="33" t="str">
        <f>IFERROR(VLOOKUP($J887,'Informations sur les produits'!$A$3:$H$10000,8,FALSE),"0")</f>
        <v>0</v>
      </c>
      <c r="N887" s="8"/>
      <c r="O887" s="33" t="str">
        <f>IFERROR(VLOOKUP($M887,'Informations sur les produits'!$A$3:$H$10000,8,FALSE),"0")</f>
        <v>0</v>
      </c>
      <c r="P887" s="33">
        <f t="shared" si="52"/>
        <v>0</v>
      </c>
      <c r="Q887" s="31" t="str">
        <f t="shared" si="53"/>
        <v/>
      </c>
      <c r="R887" s="32" t="str">
        <f>IFERROR(VLOOKUP($D887,'Informations sur les produits'!$A$3:$B$15000,2,FALSE),"")</f>
        <v/>
      </c>
      <c r="V887">
        <f t="shared" si="54"/>
        <v>0</v>
      </c>
      <c r="W887">
        <f t="shared" si="55"/>
        <v>0</v>
      </c>
    </row>
    <row r="888" spans="5:23" x14ac:dyDescent="0.25">
      <c r="E888" s="4"/>
      <c r="F888" s="4"/>
      <c r="G888" s="33" t="str">
        <f>IFERROR(VLOOKUP($D888,'Informations sur les produits'!$A$3:$H$10000,8,FALSE),"0")</f>
        <v>0</v>
      </c>
      <c r="K888" s="4"/>
      <c r="L888" s="33" t="str">
        <f>IFERROR(VLOOKUP($J888,'Informations sur les produits'!$A$3:$H$10000,8,FALSE),"0")</f>
        <v>0</v>
      </c>
      <c r="N888" s="8"/>
      <c r="O888" s="33" t="str">
        <f>IFERROR(VLOOKUP($M888,'Informations sur les produits'!$A$3:$H$10000,8,FALSE),"0")</f>
        <v>0</v>
      </c>
      <c r="P888" s="33">
        <f t="shared" si="52"/>
        <v>0</v>
      </c>
      <c r="Q888" s="31" t="str">
        <f t="shared" si="53"/>
        <v/>
      </c>
      <c r="R888" s="32" t="str">
        <f>IFERROR(VLOOKUP($D888,'Informations sur les produits'!$A$3:$B$15000,2,FALSE),"")</f>
        <v/>
      </c>
      <c r="V888">
        <f t="shared" si="54"/>
        <v>0</v>
      </c>
      <c r="W888">
        <f t="shared" si="55"/>
        <v>0</v>
      </c>
    </row>
    <row r="889" spans="5:23" x14ac:dyDescent="0.25">
      <c r="E889" s="4"/>
      <c r="F889" s="4"/>
      <c r="G889" s="33" t="str">
        <f>IFERROR(VLOOKUP($D889,'Informations sur les produits'!$A$3:$H$10000,8,FALSE),"0")</f>
        <v>0</v>
      </c>
      <c r="K889" s="4"/>
      <c r="L889" s="33" t="str">
        <f>IFERROR(VLOOKUP($J889,'Informations sur les produits'!$A$3:$H$10000,8,FALSE),"0")</f>
        <v>0</v>
      </c>
      <c r="N889" s="8"/>
      <c r="O889" s="33" t="str">
        <f>IFERROR(VLOOKUP($M889,'Informations sur les produits'!$A$3:$H$10000,8,FALSE),"0")</f>
        <v>0</v>
      </c>
      <c r="P889" s="33">
        <f t="shared" si="52"/>
        <v>0</v>
      </c>
      <c r="Q889" s="31" t="str">
        <f t="shared" si="53"/>
        <v/>
      </c>
      <c r="R889" s="32" t="str">
        <f>IFERROR(VLOOKUP($D889,'Informations sur les produits'!$A$3:$B$15000,2,FALSE),"")</f>
        <v/>
      </c>
      <c r="V889">
        <f t="shared" si="54"/>
        <v>0</v>
      </c>
      <c r="W889">
        <f t="shared" si="55"/>
        <v>0</v>
      </c>
    </row>
    <row r="890" spans="5:23" x14ac:dyDescent="0.25">
      <c r="E890" s="4"/>
      <c r="F890" s="4"/>
      <c r="G890" s="33" t="str">
        <f>IFERROR(VLOOKUP($D890,'Informations sur les produits'!$A$3:$H$10000,8,FALSE),"0")</f>
        <v>0</v>
      </c>
      <c r="K890" s="4"/>
      <c r="L890" s="33" t="str">
        <f>IFERROR(VLOOKUP($J890,'Informations sur les produits'!$A$3:$H$10000,8,FALSE),"0")</f>
        <v>0</v>
      </c>
      <c r="N890" s="8"/>
      <c r="O890" s="33" t="str">
        <f>IFERROR(VLOOKUP($M890,'Informations sur les produits'!$A$3:$H$10000,8,FALSE),"0")</f>
        <v>0</v>
      </c>
      <c r="P890" s="33">
        <f t="shared" si="52"/>
        <v>0</v>
      </c>
      <c r="Q890" s="31" t="str">
        <f t="shared" si="53"/>
        <v/>
      </c>
      <c r="R890" s="32" t="str">
        <f>IFERROR(VLOOKUP($D890,'Informations sur les produits'!$A$3:$B$15000,2,FALSE),"")</f>
        <v/>
      </c>
      <c r="V890">
        <f t="shared" si="54"/>
        <v>0</v>
      </c>
      <c r="W890">
        <f t="shared" si="55"/>
        <v>0</v>
      </c>
    </row>
    <row r="891" spans="5:23" x14ac:dyDescent="0.25">
      <c r="E891" s="4"/>
      <c r="F891" s="4"/>
      <c r="G891" s="33" t="str">
        <f>IFERROR(VLOOKUP($D891,'Informations sur les produits'!$A$3:$H$10000,8,FALSE),"0")</f>
        <v>0</v>
      </c>
      <c r="K891" s="4"/>
      <c r="L891" s="33" t="str">
        <f>IFERROR(VLOOKUP($J891,'Informations sur les produits'!$A$3:$H$10000,8,FALSE),"0")</f>
        <v>0</v>
      </c>
      <c r="N891" s="8"/>
      <c r="O891" s="33" t="str">
        <f>IFERROR(VLOOKUP($M891,'Informations sur les produits'!$A$3:$H$10000,8,FALSE),"0")</f>
        <v>0</v>
      </c>
      <c r="P891" s="33">
        <f t="shared" si="52"/>
        <v>0</v>
      </c>
      <c r="Q891" s="31" t="str">
        <f t="shared" si="53"/>
        <v/>
      </c>
      <c r="R891" s="32" t="str">
        <f>IFERROR(VLOOKUP($D891,'Informations sur les produits'!$A$3:$B$15000,2,FALSE),"")</f>
        <v/>
      </c>
      <c r="V891">
        <f t="shared" si="54"/>
        <v>0</v>
      </c>
      <c r="W891">
        <f t="shared" si="55"/>
        <v>0</v>
      </c>
    </row>
    <row r="892" spans="5:23" x14ac:dyDescent="0.25">
      <c r="E892" s="4"/>
      <c r="F892" s="4"/>
      <c r="G892" s="33" t="str">
        <f>IFERROR(VLOOKUP($D892,'Informations sur les produits'!$A$3:$H$10000,8,FALSE),"0")</f>
        <v>0</v>
      </c>
      <c r="K892" s="4"/>
      <c r="L892" s="33" t="str">
        <f>IFERROR(VLOOKUP($J892,'Informations sur les produits'!$A$3:$H$10000,8,FALSE),"0")</f>
        <v>0</v>
      </c>
      <c r="N892" s="8"/>
      <c r="O892" s="33" t="str">
        <f>IFERROR(VLOOKUP($M892,'Informations sur les produits'!$A$3:$H$10000,8,FALSE),"0")</f>
        <v>0</v>
      </c>
      <c r="P892" s="33">
        <f t="shared" si="52"/>
        <v>0</v>
      </c>
      <c r="Q892" s="31" t="str">
        <f t="shared" si="53"/>
        <v/>
      </c>
      <c r="R892" s="32" t="str">
        <f>IFERROR(VLOOKUP($D892,'Informations sur les produits'!$A$3:$B$15000,2,FALSE),"")</f>
        <v/>
      </c>
      <c r="V892">
        <f t="shared" si="54"/>
        <v>0</v>
      </c>
      <c r="W892">
        <f t="shared" si="55"/>
        <v>0</v>
      </c>
    </row>
    <row r="893" spans="5:23" x14ac:dyDescent="0.25">
      <c r="E893" s="4"/>
      <c r="F893" s="4"/>
      <c r="G893" s="33" t="str">
        <f>IFERROR(VLOOKUP($D893,'Informations sur les produits'!$A$3:$H$10000,8,FALSE),"0")</f>
        <v>0</v>
      </c>
      <c r="K893" s="4"/>
      <c r="L893" s="33" t="str">
        <f>IFERROR(VLOOKUP($J893,'Informations sur les produits'!$A$3:$H$10000,8,FALSE),"0")</f>
        <v>0</v>
      </c>
      <c r="N893" s="8"/>
      <c r="O893" s="33" t="str">
        <f>IFERROR(VLOOKUP($M893,'Informations sur les produits'!$A$3:$H$10000,8,FALSE),"0")</f>
        <v>0</v>
      </c>
      <c r="P893" s="33">
        <f t="shared" si="52"/>
        <v>0</v>
      </c>
      <c r="Q893" s="31" t="str">
        <f t="shared" si="53"/>
        <v/>
      </c>
      <c r="R893" s="32" t="str">
        <f>IFERROR(VLOOKUP($D893,'Informations sur les produits'!$A$3:$B$15000,2,FALSE),"")</f>
        <v/>
      </c>
      <c r="V893">
        <f t="shared" si="54"/>
        <v>0</v>
      </c>
      <c r="W893">
        <f t="shared" si="55"/>
        <v>0</v>
      </c>
    </row>
    <row r="894" spans="5:23" x14ac:dyDescent="0.25">
      <c r="E894" s="4"/>
      <c r="F894" s="4"/>
      <c r="G894" s="33" t="str">
        <f>IFERROR(VLOOKUP($D894,'Informations sur les produits'!$A$3:$H$10000,8,FALSE),"0")</f>
        <v>0</v>
      </c>
      <c r="K894" s="4"/>
      <c r="L894" s="33" t="str">
        <f>IFERROR(VLOOKUP($J894,'Informations sur les produits'!$A$3:$H$10000,8,FALSE),"0")</f>
        <v>0</v>
      </c>
      <c r="N894" s="8"/>
      <c r="O894" s="33" t="str">
        <f>IFERROR(VLOOKUP($M894,'Informations sur les produits'!$A$3:$H$10000,8,FALSE),"0")</f>
        <v>0</v>
      </c>
      <c r="P894" s="33">
        <f t="shared" si="52"/>
        <v>0</v>
      </c>
      <c r="Q894" s="31" t="str">
        <f t="shared" si="53"/>
        <v/>
      </c>
      <c r="R894" s="32" t="str">
        <f>IFERROR(VLOOKUP($D894,'Informations sur les produits'!$A$3:$B$15000,2,FALSE),"")</f>
        <v/>
      </c>
      <c r="V894">
        <f t="shared" si="54"/>
        <v>0</v>
      </c>
      <c r="W894">
        <f t="shared" si="55"/>
        <v>0</v>
      </c>
    </row>
    <row r="895" spans="5:23" x14ac:dyDescent="0.25">
      <c r="E895" s="4"/>
      <c r="F895" s="4"/>
      <c r="G895" s="33" t="str">
        <f>IFERROR(VLOOKUP($D895,'Informations sur les produits'!$A$3:$H$10000,8,FALSE),"0")</f>
        <v>0</v>
      </c>
      <c r="K895" s="4"/>
      <c r="L895" s="33" t="str">
        <f>IFERROR(VLOOKUP($J895,'Informations sur les produits'!$A$3:$H$10000,8,FALSE),"0")</f>
        <v>0</v>
      </c>
      <c r="N895" s="8"/>
      <c r="O895" s="33" t="str">
        <f>IFERROR(VLOOKUP($M895,'Informations sur les produits'!$A$3:$H$10000,8,FALSE),"0")</f>
        <v>0</v>
      </c>
      <c r="P895" s="33">
        <f t="shared" si="52"/>
        <v>0</v>
      </c>
      <c r="Q895" s="31" t="str">
        <f t="shared" si="53"/>
        <v/>
      </c>
      <c r="R895" s="32" t="str">
        <f>IFERROR(VLOOKUP($D895,'Informations sur les produits'!$A$3:$B$15000,2,FALSE),"")</f>
        <v/>
      </c>
      <c r="V895">
        <f t="shared" si="54"/>
        <v>0</v>
      </c>
      <c r="W895">
        <f t="shared" si="55"/>
        <v>0</v>
      </c>
    </row>
    <row r="896" spans="5:23" x14ac:dyDescent="0.25">
      <c r="E896" s="4"/>
      <c r="F896" s="4"/>
      <c r="G896" s="33" t="str">
        <f>IFERROR(VLOOKUP($D896,'Informations sur les produits'!$A$3:$H$10000,8,FALSE),"0")</f>
        <v>0</v>
      </c>
      <c r="K896" s="4"/>
      <c r="L896" s="33" t="str">
        <f>IFERROR(VLOOKUP($J896,'Informations sur les produits'!$A$3:$H$10000,8,FALSE),"0")</f>
        <v>0</v>
      </c>
      <c r="N896" s="8"/>
      <c r="O896" s="33" t="str">
        <f>IFERROR(VLOOKUP($M896,'Informations sur les produits'!$A$3:$H$10000,8,FALSE),"0")</f>
        <v>0</v>
      </c>
      <c r="P896" s="33">
        <f t="shared" si="52"/>
        <v>0</v>
      </c>
      <c r="Q896" s="31" t="str">
        <f t="shared" si="53"/>
        <v/>
      </c>
      <c r="R896" s="32" t="str">
        <f>IFERROR(VLOOKUP($D896,'Informations sur les produits'!$A$3:$B$15000,2,FALSE),"")</f>
        <v/>
      </c>
      <c r="V896">
        <f t="shared" si="54"/>
        <v>0</v>
      </c>
      <c r="W896">
        <f t="shared" si="55"/>
        <v>0</v>
      </c>
    </row>
    <row r="897" spans="5:23" x14ac:dyDescent="0.25">
      <c r="E897" s="4"/>
      <c r="F897" s="4"/>
      <c r="G897" s="33" t="str">
        <f>IFERROR(VLOOKUP($D897,'Informations sur les produits'!$A$3:$H$10000,8,FALSE),"0")</f>
        <v>0</v>
      </c>
      <c r="K897" s="4"/>
      <c r="L897" s="33" t="str">
        <f>IFERROR(VLOOKUP($J897,'Informations sur les produits'!$A$3:$H$10000,8,FALSE),"0")</f>
        <v>0</v>
      </c>
      <c r="N897" s="8"/>
      <c r="O897" s="33" t="str">
        <f>IFERROR(VLOOKUP($M897,'Informations sur les produits'!$A$3:$H$10000,8,FALSE),"0")</f>
        <v>0</v>
      </c>
      <c r="P897" s="33">
        <f t="shared" si="52"/>
        <v>0</v>
      </c>
      <c r="Q897" s="31" t="str">
        <f t="shared" si="53"/>
        <v/>
      </c>
      <c r="R897" s="32" t="str">
        <f>IFERROR(VLOOKUP($D897,'Informations sur les produits'!$A$3:$B$15000,2,FALSE),"")</f>
        <v/>
      </c>
      <c r="V897">
        <f t="shared" si="54"/>
        <v>0</v>
      </c>
      <c r="W897">
        <f t="shared" si="55"/>
        <v>0</v>
      </c>
    </row>
    <row r="898" spans="5:23" x14ac:dyDescent="0.25">
      <c r="E898" s="4"/>
      <c r="F898" s="4"/>
      <c r="G898" s="33" t="str">
        <f>IFERROR(VLOOKUP($D898,'Informations sur les produits'!$A$3:$H$10000,8,FALSE),"0")</f>
        <v>0</v>
      </c>
      <c r="K898" s="4"/>
      <c r="L898" s="33" t="str">
        <f>IFERROR(VLOOKUP($J898,'Informations sur les produits'!$A$3:$H$10000,8,FALSE),"0")</f>
        <v>0</v>
      </c>
      <c r="N898" s="8"/>
      <c r="O898" s="33" t="str">
        <f>IFERROR(VLOOKUP($M898,'Informations sur les produits'!$A$3:$H$10000,8,FALSE),"0")</f>
        <v>0</v>
      </c>
      <c r="P898" s="33">
        <f t="shared" si="52"/>
        <v>0</v>
      </c>
      <c r="Q898" s="31" t="str">
        <f t="shared" si="53"/>
        <v/>
      </c>
      <c r="R898" s="32" t="str">
        <f>IFERROR(VLOOKUP($D898,'Informations sur les produits'!$A$3:$B$15000,2,FALSE),"")</f>
        <v/>
      </c>
      <c r="V898">
        <f t="shared" si="54"/>
        <v>0</v>
      </c>
      <c r="W898">
        <f t="shared" si="55"/>
        <v>0</v>
      </c>
    </row>
    <row r="899" spans="5:23" x14ac:dyDescent="0.25">
      <c r="E899" s="4"/>
      <c r="F899" s="4"/>
      <c r="G899" s="33" t="str">
        <f>IFERROR(VLOOKUP($D899,'Informations sur les produits'!$A$3:$H$10000,8,FALSE),"0")</f>
        <v>0</v>
      </c>
      <c r="K899" s="4"/>
      <c r="L899" s="33" t="str">
        <f>IFERROR(VLOOKUP($J899,'Informations sur les produits'!$A$3:$H$10000,8,FALSE),"0")</f>
        <v>0</v>
      </c>
      <c r="N899" s="8"/>
      <c r="O899" s="33" t="str">
        <f>IFERROR(VLOOKUP($M899,'Informations sur les produits'!$A$3:$H$10000,8,FALSE),"0")</f>
        <v>0</v>
      </c>
      <c r="P899" s="33">
        <f t="shared" si="52"/>
        <v>0</v>
      </c>
      <c r="Q899" s="31" t="str">
        <f t="shared" si="53"/>
        <v/>
      </c>
      <c r="R899" s="32" t="str">
        <f>IFERROR(VLOOKUP($D899,'Informations sur les produits'!$A$3:$B$15000,2,FALSE),"")</f>
        <v/>
      </c>
      <c r="V899">
        <f t="shared" si="54"/>
        <v>0</v>
      </c>
      <c r="W899">
        <f t="shared" si="55"/>
        <v>0</v>
      </c>
    </row>
    <row r="900" spans="5:23" x14ac:dyDescent="0.25">
      <c r="E900" s="4"/>
      <c r="F900" s="4"/>
      <c r="G900" s="33" t="str">
        <f>IFERROR(VLOOKUP($D900,'Informations sur les produits'!$A$3:$H$10000,8,FALSE),"0")</f>
        <v>0</v>
      </c>
      <c r="K900" s="4"/>
      <c r="L900" s="33" t="str">
        <f>IFERROR(VLOOKUP($J900,'Informations sur les produits'!$A$3:$H$10000,8,FALSE),"0")</f>
        <v>0</v>
      </c>
      <c r="N900" s="8"/>
      <c r="O900" s="33" t="str">
        <f>IFERROR(VLOOKUP($M900,'Informations sur les produits'!$A$3:$H$10000,8,FALSE),"0")</f>
        <v>0</v>
      </c>
      <c r="P900" s="33">
        <f t="shared" ref="P900:P963" si="56">IFERROR((($E900-$F900)*$G900+$K900*$L900+$N900*$O900),"")</f>
        <v>0</v>
      </c>
      <c r="Q900" s="31" t="str">
        <f t="shared" ref="Q900:Q963" si="57">IFERROR((((($E900-$F900)*$G900+$K900*$L900+$N900*$O900)*1000)/(($E900-$F900)+$K900+$N900)),"")</f>
        <v/>
      </c>
      <c r="R900" s="32" t="str">
        <f>IFERROR(VLOOKUP($D900,'Informations sur les produits'!$A$3:$B$15000,2,FALSE),"")</f>
        <v/>
      </c>
      <c r="V900">
        <f t="shared" ref="V900:V963" si="58">IFERROR(P900*1000,"")</f>
        <v>0</v>
      </c>
      <c r="W900">
        <f t="shared" ref="W900:W963" si="59">IFERROR(($E900-$F900)+$K900+$N900,"")</f>
        <v>0</v>
      </c>
    </row>
    <row r="901" spans="5:23" x14ac:dyDescent="0.25">
      <c r="E901" s="4"/>
      <c r="F901" s="4"/>
      <c r="G901" s="33" t="str">
        <f>IFERROR(VLOOKUP($D901,'Informations sur les produits'!$A$3:$H$10000,8,FALSE),"0")</f>
        <v>0</v>
      </c>
      <c r="K901" s="4"/>
      <c r="L901" s="33" t="str">
        <f>IFERROR(VLOOKUP($J901,'Informations sur les produits'!$A$3:$H$10000,8,FALSE),"0")</f>
        <v>0</v>
      </c>
      <c r="N901" s="8"/>
      <c r="O901" s="33" t="str">
        <f>IFERROR(VLOOKUP($M901,'Informations sur les produits'!$A$3:$H$10000,8,FALSE),"0")</f>
        <v>0</v>
      </c>
      <c r="P901" s="33">
        <f t="shared" si="56"/>
        <v>0</v>
      </c>
      <c r="Q901" s="31" t="str">
        <f t="shared" si="57"/>
        <v/>
      </c>
      <c r="R901" s="32" t="str">
        <f>IFERROR(VLOOKUP($D901,'Informations sur les produits'!$A$3:$B$15000,2,FALSE),"")</f>
        <v/>
      </c>
      <c r="V901">
        <f t="shared" si="58"/>
        <v>0</v>
      </c>
      <c r="W901">
        <f t="shared" si="59"/>
        <v>0</v>
      </c>
    </row>
    <row r="902" spans="5:23" x14ac:dyDescent="0.25">
      <c r="E902" s="4"/>
      <c r="F902" s="4"/>
      <c r="G902" s="33" t="str">
        <f>IFERROR(VLOOKUP($D902,'Informations sur les produits'!$A$3:$H$10000,8,FALSE),"0")</f>
        <v>0</v>
      </c>
      <c r="K902" s="4"/>
      <c r="L902" s="33" t="str">
        <f>IFERROR(VLOOKUP($J902,'Informations sur les produits'!$A$3:$H$10000,8,FALSE),"0")</f>
        <v>0</v>
      </c>
      <c r="N902" s="8"/>
      <c r="O902" s="33" t="str">
        <f>IFERROR(VLOOKUP($M902,'Informations sur les produits'!$A$3:$H$10000,8,FALSE),"0")</f>
        <v>0</v>
      </c>
      <c r="P902" s="33">
        <f t="shared" si="56"/>
        <v>0</v>
      </c>
      <c r="Q902" s="31" t="str">
        <f t="shared" si="57"/>
        <v/>
      </c>
      <c r="R902" s="32" t="str">
        <f>IFERROR(VLOOKUP($D902,'Informations sur les produits'!$A$3:$B$15000,2,FALSE),"")</f>
        <v/>
      </c>
      <c r="V902">
        <f t="shared" si="58"/>
        <v>0</v>
      </c>
      <c r="W902">
        <f t="shared" si="59"/>
        <v>0</v>
      </c>
    </row>
    <row r="903" spans="5:23" x14ac:dyDescent="0.25">
      <c r="E903" s="4"/>
      <c r="F903" s="4"/>
      <c r="G903" s="33" t="str">
        <f>IFERROR(VLOOKUP($D903,'Informations sur les produits'!$A$3:$H$10000,8,FALSE),"0")</f>
        <v>0</v>
      </c>
      <c r="K903" s="4"/>
      <c r="L903" s="33" t="str">
        <f>IFERROR(VLOOKUP($J903,'Informations sur les produits'!$A$3:$H$10000,8,FALSE),"0")</f>
        <v>0</v>
      </c>
      <c r="N903" s="8"/>
      <c r="O903" s="33" t="str">
        <f>IFERROR(VLOOKUP($M903,'Informations sur les produits'!$A$3:$H$10000,8,FALSE),"0")</f>
        <v>0</v>
      </c>
      <c r="P903" s="33">
        <f t="shared" si="56"/>
        <v>0</v>
      </c>
      <c r="Q903" s="31" t="str">
        <f t="shared" si="57"/>
        <v/>
      </c>
      <c r="R903" s="32" t="str">
        <f>IFERROR(VLOOKUP($D903,'Informations sur les produits'!$A$3:$B$15000,2,FALSE),"")</f>
        <v/>
      </c>
      <c r="V903">
        <f t="shared" si="58"/>
        <v>0</v>
      </c>
      <c r="W903">
        <f t="shared" si="59"/>
        <v>0</v>
      </c>
    </row>
    <row r="904" spans="5:23" x14ac:dyDescent="0.25">
      <c r="E904" s="4"/>
      <c r="F904" s="4"/>
      <c r="G904" s="33" t="str">
        <f>IFERROR(VLOOKUP($D904,'Informations sur les produits'!$A$3:$H$10000,8,FALSE),"0")</f>
        <v>0</v>
      </c>
      <c r="K904" s="4"/>
      <c r="L904" s="33" t="str">
        <f>IFERROR(VLOOKUP($J904,'Informations sur les produits'!$A$3:$H$10000,8,FALSE),"0")</f>
        <v>0</v>
      </c>
      <c r="N904" s="8"/>
      <c r="O904" s="33" t="str">
        <f>IFERROR(VLOOKUP($M904,'Informations sur les produits'!$A$3:$H$10000,8,FALSE),"0")</f>
        <v>0</v>
      </c>
      <c r="P904" s="33">
        <f t="shared" si="56"/>
        <v>0</v>
      </c>
      <c r="Q904" s="31" t="str">
        <f t="shared" si="57"/>
        <v/>
      </c>
      <c r="R904" s="32" t="str">
        <f>IFERROR(VLOOKUP($D904,'Informations sur les produits'!$A$3:$B$15000,2,FALSE),"")</f>
        <v/>
      </c>
      <c r="V904">
        <f t="shared" si="58"/>
        <v>0</v>
      </c>
      <c r="W904">
        <f t="shared" si="59"/>
        <v>0</v>
      </c>
    </row>
    <row r="905" spans="5:23" x14ac:dyDescent="0.25">
      <c r="E905" s="4"/>
      <c r="F905" s="4"/>
      <c r="G905" s="33" t="str">
        <f>IFERROR(VLOOKUP($D905,'Informations sur les produits'!$A$3:$H$10000,8,FALSE),"0")</f>
        <v>0</v>
      </c>
      <c r="K905" s="4"/>
      <c r="L905" s="33" t="str">
        <f>IFERROR(VLOOKUP($J905,'Informations sur les produits'!$A$3:$H$10000,8,FALSE),"0")</f>
        <v>0</v>
      </c>
      <c r="N905" s="8"/>
      <c r="O905" s="33" t="str">
        <f>IFERROR(VLOOKUP($M905,'Informations sur les produits'!$A$3:$H$10000,8,FALSE),"0")</f>
        <v>0</v>
      </c>
      <c r="P905" s="33">
        <f t="shared" si="56"/>
        <v>0</v>
      </c>
      <c r="Q905" s="31" t="str">
        <f t="shared" si="57"/>
        <v/>
      </c>
      <c r="R905" s="32" t="str">
        <f>IFERROR(VLOOKUP($D905,'Informations sur les produits'!$A$3:$B$15000,2,FALSE),"")</f>
        <v/>
      </c>
      <c r="V905">
        <f t="shared" si="58"/>
        <v>0</v>
      </c>
      <c r="W905">
        <f t="shared" si="59"/>
        <v>0</v>
      </c>
    </row>
    <row r="906" spans="5:23" x14ac:dyDescent="0.25">
      <c r="E906" s="4"/>
      <c r="F906" s="4"/>
      <c r="G906" s="33" t="str">
        <f>IFERROR(VLOOKUP($D906,'Informations sur les produits'!$A$3:$H$10000,8,FALSE),"0")</f>
        <v>0</v>
      </c>
      <c r="K906" s="4"/>
      <c r="L906" s="33" t="str">
        <f>IFERROR(VLOOKUP($J906,'Informations sur les produits'!$A$3:$H$10000,8,FALSE),"0")</f>
        <v>0</v>
      </c>
      <c r="N906" s="8"/>
      <c r="O906" s="33" t="str">
        <f>IFERROR(VLOOKUP($M906,'Informations sur les produits'!$A$3:$H$10000,8,FALSE),"0")</f>
        <v>0</v>
      </c>
      <c r="P906" s="33">
        <f t="shared" si="56"/>
        <v>0</v>
      </c>
      <c r="Q906" s="31" t="str">
        <f t="shared" si="57"/>
        <v/>
      </c>
      <c r="R906" s="32" t="str">
        <f>IFERROR(VLOOKUP($D906,'Informations sur les produits'!$A$3:$B$15000,2,FALSE),"")</f>
        <v/>
      </c>
      <c r="V906">
        <f t="shared" si="58"/>
        <v>0</v>
      </c>
      <c r="W906">
        <f t="shared" si="59"/>
        <v>0</v>
      </c>
    </row>
    <row r="907" spans="5:23" x14ac:dyDescent="0.25">
      <c r="E907" s="4"/>
      <c r="F907" s="4"/>
      <c r="G907" s="33" t="str">
        <f>IFERROR(VLOOKUP($D907,'Informations sur les produits'!$A$3:$H$10000,8,FALSE),"0")</f>
        <v>0</v>
      </c>
      <c r="K907" s="4"/>
      <c r="L907" s="33" t="str">
        <f>IFERROR(VLOOKUP($J907,'Informations sur les produits'!$A$3:$H$10000,8,FALSE),"0")</f>
        <v>0</v>
      </c>
      <c r="N907" s="8"/>
      <c r="O907" s="33" t="str">
        <f>IFERROR(VLOOKUP($M907,'Informations sur les produits'!$A$3:$H$10000,8,FALSE),"0")</f>
        <v>0</v>
      </c>
      <c r="P907" s="33">
        <f t="shared" si="56"/>
        <v>0</v>
      </c>
      <c r="Q907" s="31" t="str">
        <f t="shared" si="57"/>
        <v/>
      </c>
      <c r="R907" s="32" t="str">
        <f>IFERROR(VLOOKUP($D907,'Informations sur les produits'!$A$3:$B$15000,2,FALSE),"")</f>
        <v/>
      </c>
      <c r="V907">
        <f t="shared" si="58"/>
        <v>0</v>
      </c>
      <c r="W907">
        <f t="shared" si="59"/>
        <v>0</v>
      </c>
    </row>
    <row r="908" spans="5:23" x14ac:dyDescent="0.25">
      <c r="E908" s="4"/>
      <c r="F908" s="4"/>
      <c r="G908" s="33" t="str">
        <f>IFERROR(VLOOKUP($D908,'Informations sur les produits'!$A$3:$H$10000,8,FALSE),"0")</f>
        <v>0</v>
      </c>
      <c r="K908" s="4"/>
      <c r="L908" s="33" t="str">
        <f>IFERROR(VLOOKUP($J908,'Informations sur les produits'!$A$3:$H$10000,8,FALSE),"0")</f>
        <v>0</v>
      </c>
      <c r="N908" s="8"/>
      <c r="O908" s="33" t="str">
        <f>IFERROR(VLOOKUP($M908,'Informations sur les produits'!$A$3:$H$10000,8,FALSE),"0")</f>
        <v>0</v>
      </c>
      <c r="P908" s="33">
        <f t="shared" si="56"/>
        <v>0</v>
      </c>
      <c r="Q908" s="31" t="str">
        <f t="shared" si="57"/>
        <v/>
      </c>
      <c r="R908" s="32" t="str">
        <f>IFERROR(VLOOKUP($D908,'Informations sur les produits'!$A$3:$B$15000,2,FALSE),"")</f>
        <v/>
      </c>
      <c r="V908">
        <f t="shared" si="58"/>
        <v>0</v>
      </c>
      <c r="W908">
        <f t="shared" si="59"/>
        <v>0</v>
      </c>
    </row>
    <row r="909" spans="5:23" x14ac:dyDescent="0.25">
      <c r="E909" s="4"/>
      <c r="F909" s="4"/>
      <c r="G909" s="33" t="str">
        <f>IFERROR(VLOOKUP($D909,'Informations sur les produits'!$A$3:$H$10000,8,FALSE),"0")</f>
        <v>0</v>
      </c>
      <c r="K909" s="4"/>
      <c r="L909" s="33" t="str">
        <f>IFERROR(VLOOKUP($J909,'Informations sur les produits'!$A$3:$H$10000,8,FALSE),"0")</f>
        <v>0</v>
      </c>
      <c r="N909" s="8"/>
      <c r="O909" s="33" t="str">
        <f>IFERROR(VLOOKUP($M909,'Informations sur les produits'!$A$3:$H$10000,8,FALSE),"0")</f>
        <v>0</v>
      </c>
      <c r="P909" s="33">
        <f t="shared" si="56"/>
        <v>0</v>
      </c>
      <c r="Q909" s="31" t="str">
        <f t="shared" si="57"/>
        <v/>
      </c>
      <c r="R909" s="32" t="str">
        <f>IFERROR(VLOOKUP($D909,'Informations sur les produits'!$A$3:$B$15000,2,FALSE),"")</f>
        <v/>
      </c>
      <c r="V909">
        <f t="shared" si="58"/>
        <v>0</v>
      </c>
      <c r="W909">
        <f t="shared" si="59"/>
        <v>0</v>
      </c>
    </row>
    <row r="910" spans="5:23" x14ac:dyDescent="0.25">
      <c r="E910" s="4"/>
      <c r="F910" s="4"/>
      <c r="G910" s="33" t="str">
        <f>IFERROR(VLOOKUP($D910,'Informations sur les produits'!$A$3:$H$10000,8,FALSE),"0")</f>
        <v>0</v>
      </c>
      <c r="K910" s="4"/>
      <c r="L910" s="33" t="str">
        <f>IFERROR(VLOOKUP($J910,'Informations sur les produits'!$A$3:$H$10000,8,FALSE),"0")</f>
        <v>0</v>
      </c>
      <c r="N910" s="8"/>
      <c r="O910" s="33" t="str">
        <f>IFERROR(VLOOKUP($M910,'Informations sur les produits'!$A$3:$H$10000,8,FALSE),"0")</f>
        <v>0</v>
      </c>
      <c r="P910" s="33">
        <f t="shared" si="56"/>
        <v>0</v>
      </c>
      <c r="Q910" s="31" t="str">
        <f t="shared" si="57"/>
        <v/>
      </c>
      <c r="R910" s="32" t="str">
        <f>IFERROR(VLOOKUP($D910,'Informations sur les produits'!$A$3:$B$15000,2,FALSE),"")</f>
        <v/>
      </c>
      <c r="V910">
        <f t="shared" si="58"/>
        <v>0</v>
      </c>
      <c r="W910">
        <f t="shared" si="59"/>
        <v>0</v>
      </c>
    </row>
    <row r="911" spans="5:23" x14ac:dyDescent="0.25">
      <c r="E911" s="4"/>
      <c r="F911" s="4"/>
      <c r="G911" s="33" t="str">
        <f>IFERROR(VLOOKUP($D911,'Informations sur les produits'!$A$3:$H$10000,8,FALSE),"0")</f>
        <v>0</v>
      </c>
      <c r="K911" s="4"/>
      <c r="L911" s="33" t="str">
        <f>IFERROR(VLOOKUP($J911,'Informations sur les produits'!$A$3:$H$10000,8,FALSE),"0")</f>
        <v>0</v>
      </c>
      <c r="N911" s="8"/>
      <c r="O911" s="33" t="str">
        <f>IFERROR(VLOOKUP($M911,'Informations sur les produits'!$A$3:$H$10000,8,FALSE),"0")</f>
        <v>0</v>
      </c>
      <c r="P911" s="33">
        <f t="shared" si="56"/>
        <v>0</v>
      </c>
      <c r="Q911" s="31" t="str">
        <f t="shared" si="57"/>
        <v/>
      </c>
      <c r="R911" s="32" t="str">
        <f>IFERROR(VLOOKUP($D911,'Informations sur les produits'!$A$3:$B$15000,2,FALSE),"")</f>
        <v/>
      </c>
      <c r="V911">
        <f t="shared" si="58"/>
        <v>0</v>
      </c>
      <c r="W911">
        <f t="shared" si="59"/>
        <v>0</v>
      </c>
    </row>
    <row r="912" spans="5:23" x14ac:dyDescent="0.25">
      <c r="E912" s="4"/>
      <c r="F912" s="4"/>
      <c r="G912" s="33" t="str">
        <f>IFERROR(VLOOKUP($D912,'Informations sur les produits'!$A$3:$H$10000,8,FALSE),"0")</f>
        <v>0</v>
      </c>
      <c r="K912" s="4"/>
      <c r="L912" s="33" t="str">
        <f>IFERROR(VLOOKUP($J912,'Informations sur les produits'!$A$3:$H$10000,8,FALSE),"0")</f>
        <v>0</v>
      </c>
      <c r="N912" s="8"/>
      <c r="O912" s="33" t="str">
        <f>IFERROR(VLOOKUP($M912,'Informations sur les produits'!$A$3:$H$10000,8,FALSE),"0")</f>
        <v>0</v>
      </c>
      <c r="P912" s="33">
        <f t="shared" si="56"/>
        <v>0</v>
      </c>
      <c r="Q912" s="31" t="str">
        <f t="shared" si="57"/>
        <v/>
      </c>
      <c r="R912" s="32" t="str">
        <f>IFERROR(VLOOKUP($D912,'Informations sur les produits'!$A$3:$B$15000,2,FALSE),"")</f>
        <v/>
      </c>
      <c r="V912">
        <f t="shared" si="58"/>
        <v>0</v>
      </c>
      <c r="W912">
        <f t="shared" si="59"/>
        <v>0</v>
      </c>
    </row>
    <row r="913" spans="5:23" x14ac:dyDescent="0.25">
      <c r="E913" s="4"/>
      <c r="F913" s="4"/>
      <c r="G913" s="33" t="str">
        <f>IFERROR(VLOOKUP($D913,'Informations sur les produits'!$A$3:$H$10000,8,FALSE),"0")</f>
        <v>0</v>
      </c>
      <c r="K913" s="4"/>
      <c r="L913" s="33" t="str">
        <f>IFERROR(VLOOKUP($J913,'Informations sur les produits'!$A$3:$H$10000,8,FALSE),"0")</f>
        <v>0</v>
      </c>
      <c r="N913" s="8"/>
      <c r="O913" s="33" t="str">
        <f>IFERROR(VLOOKUP($M913,'Informations sur les produits'!$A$3:$H$10000,8,FALSE),"0")</f>
        <v>0</v>
      </c>
      <c r="P913" s="33">
        <f t="shared" si="56"/>
        <v>0</v>
      </c>
      <c r="Q913" s="31" t="str">
        <f t="shared" si="57"/>
        <v/>
      </c>
      <c r="R913" s="32" t="str">
        <f>IFERROR(VLOOKUP($D913,'Informations sur les produits'!$A$3:$B$15000,2,FALSE),"")</f>
        <v/>
      </c>
      <c r="V913">
        <f t="shared" si="58"/>
        <v>0</v>
      </c>
      <c r="W913">
        <f t="shared" si="59"/>
        <v>0</v>
      </c>
    </row>
    <row r="914" spans="5:23" x14ac:dyDescent="0.25">
      <c r="E914" s="4"/>
      <c r="F914" s="4"/>
      <c r="G914" s="33" t="str">
        <f>IFERROR(VLOOKUP($D914,'Informations sur les produits'!$A$3:$H$10000,8,FALSE),"0")</f>
        <v>0</v>
      </c>
      <c r="K914" s="4"/>
      <c r="L914" s="33" t="str">
        <f>IFERROR(VLOOKUP($J914,'Informations sur les produits'!$A$3:$H$10000,8,FALSE),"0")</f>
        <v>0</v>
      </c>
      <c r="N914" s="8"/>
      <c r="O914" s="33" t="str">
        <f>IFERROR(VLOOKUP($M914,'Informations sur les produits'!$A$3:$H$10000,8,FALSE),"0")</f>
        <v>0</v>
      </c>
      <c r="P914" s="33">
        <f t="shared" si="56"/>
        <v>0</v>
      </c>
      <c r="Q914" s="31" t="str">
        <f t="shared" si="57"/>
        <v/>
      </c>
      <c r="R914" s="32" t="str">
        <f>IFERROR(VLOOKUP($D914,'Informations sur les produits'!$A$3:$B$15000,2,FALSE),"")</f>
        <v/>
      </c>
      <c r="V914">
        <f t="shared" si="58"/>
        <v>0</v>
      </c>
      <c r="W914">
        <f t="shared" si="59"/>
        <v>0</v>
      </c>
    </row>
    <row r="915" spans="5:23" x14ac:dyDescent="0.25">
      <c r="E915" s="4"/>
      <c r="F915" s="4"/>
      <c r="G915" s="33" t="str">
        <f>IFERROR(VLOOKUP($D915,'Informations sur les produits'!$A$3:$H$10000,8,FALSE),"0")</f>
        <v>0</v>
      </c>
      <c r="K915" s="4"/>
      <c r="L915" s="33" t="str">
        <f>IFERROR(VLOOKUP($J915,'Informations sur les produits'!$A$3:$H$10000,8,FALSE),"0")</f>
        <v>0</v>
      </c>
      <c r="N915" s="8"/>
      <c r="O915" s="33" t="str">
        <f>IFERROR(VLOOKUP($M915,'Informations sur les produits'!$A$3:$H$10000,8,FALSE),"0")</f>
        <v>0</v>
      </c>
      <c r="P915" s="33">
        <f t="shared" si="56"/>
        <v>0</v>
      </c>
      <c r="Q915" s="31" t="str">
        <f t="shared" si="57"/>
        <v/>
      </c>
      <c r="R915" s="32" t="str">
        <f>IFERROR(VLOOKUP($D915,'Informations sur les produits'!$A$3:$B$15000,2,FALSE),"")</f>
        <v/>
      </c>
      <c r="V915">
        <f t="shared" si="58"/>
        <v>0</v>
      </c>
      <c r="W915">
        <f t="shared" si="59"/>
        <v>0</v>
      </c>
    </row>
    <row r="916" spans="5:23" x14ac:dyDescent="0.25">
      <c r="E916" s="4"/>
      <c r="F916" s="4"/>
      <c r="G916" s="33" t="str">
        <f>IFERROR(VLOOKUP($D916,'Informations sur les produits'!$A$3:$H$10000,8,FALSE),"0")</f>
        <v>0</v>
      </c>
      <c r="K916" s="4"/>
      <c r="L916" s="33" t="str">
        <f>IFERROR(VLOOKUP($J916,'Informations sur les produits'!$A$3:$H$10000,8,FALSE),"0")</f>
        <v>0</v>
      </c>
      <c r="N916" s="8"/>
      <c r="O916" s="33" t="str">
        <f>IFERROR(VLOOKUP($M916,'Informations sur les produits'!$A$3:$H$10000,8,FALSE),"0")</f>
        <v>0</v>
      </c>
      <c r="P916" s="33">
        <f t="shared" si="56"/>
        <v>0</v>
      </c>
      <c r="Q916" s="31" t="str">
        <f t="shared" si="57"/>
        <v/>
      </c>
      <c r="R916" s="32" t="str">
        <f>IFERROR(VLOOKUP($D916,'Informations sur les produits'!$A$3:$B$15000,2,FALSE),"")</f>
        <v/>
      </c>
      <c r="V916">
        <f t="shared" si="58"/>
        <v>0</v>
      </c>
      <c r="W916">
        <f t="shared" si="59"/>
        <v>0</v>
      </c>
    </row>
    <row r="917" spans="5:23" x14ac:dyDescent="0.25">
      <c r="E917" s="4"/>
      <c r="F917" s="4"/>
      <c r="G917" s="33" t="str">
        <f>IFERROR(VLOOKUP($D917,'Informations sur les produits'!$A$3:$H$10000,8,FALSE),"0")</f>
        <v>0</v>
      </c>
      <c r="K917" s="4"/>
      <c r="L917" s="33" t="str">
        <f>IFERROR(VLOOKUP($J917,'Informations sur les produits'!$A$3:$H$10000,8,FALSE),"0")</f>
        <v>0</v>
      </c>
      <c r="N917" s="8"/>
      <c r="O917" s="33" t="str">
        <f>IFERROR(VLOOKUP($M917,'Informations sur les produits'!$A$3:$H$10000,8,FALSE),"0")</f>
        <v>0</v>
      </c>
      <c r="P917" s="33">
        <f t="shared" si="56"/>
        <v>0</v>
      </c>
      <c r="Q917" s="31" t="str">
        <f t="shared" si="57"/>
        <v/>
      </c>
      <c r="R917" s="32" t="str">
        <f>IFERROR(VLOOKUP($D917,'Informations sur les produits'!$A$3:$B$15000,2,FALSE),"")</f>
        <v/>
      </c>
      <c r="V917">
        <f t="shared" si="58"/>
        <v>0</v>
      </c>
      <c r="W917">
        <f t="shared" si="59"/>
        <v>0</v>
      </c>
    </row>
    <row r="918" spans="5:23" x14ac:dyDescent="0.25">
      <c r="E918" s="4"/>
      <c r="F918" s="4"/>
      <c r="G918" s="33" t="str">
        <f>IFERROR(VLOOKUP($D918,'Informations sur les produits'!$A$3:$H$10000,8,FALSE),"0")</f>
        <v>0</v>
      </c>
      <c r="K918" s="4"/>
      <c r="L918" s="33" t="str">
        <f>IFERROR(VLOOKUP($J918,'Informations sur les produits'!$A$3:$H$10000,8,FALSE),"0")</f>
        <v>0</v>
      </c>
      <c r="N918" s="8"/>
      <c r="O918" s="33" t="str">
        <f>IFERROR(VLOOKUP($M918,'Informations sur les produits'!$A$3:$H$10000,8,FALSE),"0")</f>
        <v>0</v>
      </c>
      <c r="P918" s="33">
        <f t="shared" si="56"/>
        <v>0</v>
      </c>
      <c r="Q918" s="31" t="str">
        <f t="shared" si="57"/>
        <v/>
      </c>
      <c r="R918" s="32" t="str">
        <f>IFERROR(VLOOKUP($D918,'Informations sur les produits'!$A$3:$B$15000,2,FALSE),"")</f>
        <v/>
      </c>
      <c r="V918">
        <f t="shared" si="58"/>
        <v>0</v>
      </c>
      <c r="W918">
        <f t="shared" si="59"/>
        <v>0</v>
      </c>
    </row>
    <row r="919" spans="5:23" x14ac:dyDescent="0.25">
      <c r="E919" s="4"/>
      <c r="F919" s="4"/>
      <c r="G919" s="33" t="str">
        <f>IFERROR(VLOOKUP($D919,'Informations sur les produits'!$A$3:$H$10000,8,FALSE),"0")</f>
        <v>0</v>
      </c>
      <c r="K919" s="4"/>
      <c r="L919" s="33" t="str">
        <f>IFERROR(VLOOKUP($J919,'Informations sur les produits'!$A$3:$H$10000,8,FALSE),"0")</f>
        <v>0</v>
      </c>
      <c r="N919" s="8"/>
      <c r="O919" s="33" t="str">
        <f>IFERROR(VLOOKUP($M919,'Informations sur les produits'!$A$3:$H$10000,8,FALSE),"0")</f>
        <v>0</v>
      </c>
      <c r="P919" s="33">
        <f t="shared" si="56"/>
        <v>0</v>
      </c>
      <c r="Q919" s="31" t="str">
        <f t="shared" si="57"/>
        <v/>
      </c>
      <c r="R919" s="32" t="str">
        <f>IFERROR(VLOOKUP($D919,'Informations sur les produits'!$A$3:$B$15000,2,FALSE),"")</f>
        <v/>
      </c>
      <c r="V919">
        <f t="shared" si="58"/>
        <v>0</v>
      </c>
      <c r="W919">
        <f t="shared" si="59"/>
        <v>0</v>
      </c>
    </row>
    <row r="920" spans="5:23" x14ac:dyDescent="0.25">
      <c r="E920" s="4"/>
      <c r="F920" s="4"/>
      <c r="G920" s="33" t="str">
        <f>IFERROR(VLOOKUP($D920,'Informations sur les produits'!$A$3:$H$10000,8,FALSE),"0")</f>
        <v>0</v>
      </c>
      <c r="K920" s="4"/>
      <c r="L920" s="33" t="str">
        <f>IFERROR(VLOOKUP($J920,'Informations sur les produits'!$A$3:$H$10000,8,FALSE),"0")</f>
        <v>0</v>
      </c>
      <c r="N920" s="8"/>
      <c r="O920" s="33" t="str">
        <f>IFERROR(VLOOKUP($M920,'Informations sur les produits'!$A$3:$H$10000,8,FALSE),"0")</f>
        <v>0</v>
      </c>
      <c r="P920" s="33">
        <f t="shared" si="56"/>
        <v>0</v>
      </c>
      <c r="Q920" s="31" t="str">
        <f t="shared" si="57"/>
        <v/>
      </c>
      <c r="R920" s="32" t="str">
        <f>IFERROR(VLOOKUP($D920,'Informations sur les produits'!$A$3:$B$15000,2,FALSE),"")</f>
        <v/>
      </c>
      <c r="V920">
        <f t="shared" si="58"/>
        <v>0</v>
      </c>
      <c r="W920">
        <f t="shared" si="59"/>
        <v>0</v>
      </c>
    </row>
    <row r="921" spans="5:23" x14ac:dyDescent="0.25">
      <c r="E921" s="4"/>
      <c r="F921" s="4"/>
      <c r="G921" s="33" t="str">
        <f>IFERROR(VLOOKUP($D921,'Informations sur les produits'!$A$3:$H$10000,8,FALSE),"0")</f>
        <v>0</v>
      </c>
      <c r="K921" s="4"/>
      <c r="L921" s="33" t="str">
        <f>IFERROR(VLOOKUP($J921,'Informations sur les produits'!$A$3:$H$10000,8,FALSE),"0")</f>
        <v>0</v>
      </c>
      <c r="N921" s="8"/>
      <c r="O921" s="33" t="str">
        <f>IFERROR(VLOOKUP($M921,'Informations sur les produits'!$A$3:$H$10000,8,FALSE),"0")</f>
        <v>0</v>
      </c>
      <c r="P921" s="33">
        <f t="shared" si="56"/>
        <v>0</v>
      </c>
      <c r="Q921" s="31" t="str">
        <f t="shared" si="57"/>
        <v/>
      </c>
      <c r="R921" s="32" t="str">
        <f>IFERROR(VLOOKUP($D921,'Informations sur les produits'!$A$3:$B$15000,2,FALSE),"")</f>
        <v/>
      </c>
      <c r="V921">
        <f t="shared" si="58"/>
        <v>0</v>
      </c>
      <c r="W921">
        <f t="shared" si="59"/>
        <v>0</v>
      </c>
    </row>
    <row r="922" spans="5:23" x14ac:dyDescent="0.25">
      <c r="E922" s="4"/>
      <c r="F922" s="4"/>
      <c r="G922" s="33" t="str">
        <f>IFERROR(VLOOKUP($D922,'Informations sur les produits'!$A$3:$H$10000,8,FALSE),"0")</f>
        <v>0</v>
      </c>
      <c r="K922" s="4"/>
      <c r="L922" s="33" t="str">
        <f>IFERROR(VLOOKUP($J922,'Informations sur les produits'!$A$3:$H$10000,8,FALSE),"0")</f>
        <v>0</v>
      </c>
      <c r="N922" s="8"/>
      <c r="O922" s="33" t="str">
        <f>IFERROR(VLOOKUP($M922,'Informations sur les produits'!$A$3:$H$10000,8,FALSE),"0")</f>
        <v>0</v>
      </c>
      <c r="P922" s="33">
        <f t="shared" si="56"/>
        <v>0</v>
      </c>
      <c r="Q922" s="31" t="str">
        <f t="shared" si="57"/>
        <v/>
      </c>
      <c r="R922" s="32" t="str">
        <f>IFERROR(VLOOKUP($D922,'Informations sur les produits'!$A$3:$B$15000,2,FALSE),"")</f>
        <v/>
      </c>
      <c r="V922">
        <f t="shared" si="58"/>
        <v>0</v>
      </c>
      <c r="W922">
        <f t="shared" si="59"/>
        <v>0</v>
      </c>
    </row>
    <row r="923" spans="5:23" x14ac:dyDescent="0.25">
      <c r="E923" s="4"/>
      <c r="F923" s="4"/>
      <c r="G923" s="33" t="str">
        <f>IFERROR(VLOOKUP($D923,'Informations sur les produits'!$A$3:$H$10000,8,FALSE),"0")</f>
        <v>0</v>
      </c>
      <c r="K923" s="4"/>
      <c r="L923" s="33" t="str">
        <f>IFERROR(VLOOKUP($J923,'Informations sur les produits'!$A$3:$H$10000,8,FALSE),"0")</f>
        <v>0</v>
      </c>
      <c r="N923" s="8"/>
      <c r="O923" s="33" t="str">
        <f>IFERROR(VLOOKUP($M923,'Informations sur les produits'!$A$3:$H$10000,8,FALSE),"0")</f>
        <v>0</v>
      </c>
      <c r="P923" s="33">
        <f t="shared" si="56"/>
        <v>0</v>
      </c>
      <c r="Q923" s="31" t="str">
        <f t="shared" si="57"/>
        <v/>
      </c>
      <c r="R923" s="32" t="str">
        <f>IFERROR(VLOOKUP($D923,'Informations sur les produits'!$A$3:$B$15000,2,FALSE),"")</f>
        <v/>
      </c>
      <c r="V923">
        <f t="shared" si="58"/>
        <v>0</v>
      </c>
      <c r="W923">
        <f t="shared" si="59"/>
        <v>0</v>
      </c>
    </row>
    <row r="924" spans="5:23" x14ac:dyDescent="0.25">
      <c r="E924" s="4"/>
      <c r="F924" s="4"/>
      <c r="G924" s="33" t="str">
        <f>IFERROR(VLOOKUP($D924,'Informations sur les produits'!$A$3:$H$10000,8,FALSE),"0")</f>
        <v>0</v>
      </c>
      <c r="K924" s="4"/>
      <c r="L924" s="33" t="str">
        <f>IFERROR(VLOOKUP($J924,'Informations sur les produits'!$A$3:$H$10000,8,FALSE),"0")</f>
        <v>0</v>
      </c>
      <c r="N924" s="8"/>
      <c r="O924" s="33" t="str">
        <f>IFERROR(VLOOKUP($M924,'Informations sur les produits'!$A$3:$H$10000,8,FALSE),"0")</f>
        <v>0</v>
      </c>
      <c r="P924" s="33">
        <f t="shared" si="56"/>
        <v>0</v>
      </c>
      <c r="Q924" s="31" t="str">
        <f t="shared" si="57"/>
        <v/>
      </c>
      <c r="R924" s="32" t="str">
        <f>IFERROR(VLOOKUP($D924,'Informations sur les produits'!$A$3:$B$15000,2,FALSE),"")</f>
        <v/>
      </c>
      <c r="V924">
        <f t="shared" si="58"/>
        <v>0</v>
      </c>
      <c r="W924">
        <f t="shared" si="59"/>
        <v>0</v>
      </c>
    </row>
    <row r="925" spans="5:23" x14ac:dyDescent="0.25">
      <c r="E925" s="4"/>
      <c r="F925" s="4"/>
      <c r="G925" s="33" t="str">
        <f>IFERROR(VLOOKUP($D925,'Informations sur les produits'!$A$3:$H$10000,8,FALSE),"0")</f>
        <v>0</v>
      </c>
      <c r="K925" s="4"/>
      <c r="L925" s="33" t="str">
        <f>IFERROR(VLOOKUP($J925,'Informations sur les produits'!$A$3:$H$10000,8,FALSE),"0")</f>
        <v>0</v>
      </c>
      <c r="N925" s="8"/>
      <c r="O925" s="33" t="str">
        <f>IFERROR(VLOOKUP($M925,'Informations sur les produits'!$A$3:$H$10000,8,FALSE),"0")</f>
        <v>0</v>
      </c>
      <c r="P925" s="33">
        <f t="shared" si="56"/>
        <v>0</v>
      </c>
      <c r="Q925" s="31" t="str">
        <f t="shared" si="57"/>
        <v/>
      </c>
      <c r="R925" s="32" t="str">
        <f>IFERROR(VLOOKUP($D925,'Informations sur les produits'!$A$3:$B$15000,2,FALSE),"")</f>
        <v/>
      </c>
      <c r="V925">
        <f t="shared" si="58"/>
        <v>0</v>
      </c>
      <c r="W925">
        <f t="shared" si="59"/>
        <v>0</v>
      </c>
    </row>
    <row r="926" spans="5:23" x14ac:dyDescent="0.25">
      <c r="E926" s="4"/>
      <c r="F926" s="4"/>
      <c r="G926" s="33" t="str">
        <f>IFERROR(VLOOKUP($D926,'Informations sur les produits'!$A$3:$H$10000,8,FALSE),"0")</f>
        <v>0</v>
      </c>
      <c r="K926" s="4"/>
      <c r="L926" s="33" t="str">
        <f>IFERROR(VLOOKUP($J926,'Informations sur les produits'!$A$3:$H$10000,8,FALSE),"0")</f>
        <v>0</v>
      </c>
      <c r="N926" s="8"/>
      <c r="O926" s="33" t="str">
        <f>IFERROR(VLOOKUP($M926,'Informations sur les produits'!$A$3:$H$10000,8,FALSE),"0")</f>
        <v>0</v>
      </c>
      <c r="P926" s="33">
        <f t="shared" si="56"/>
        <v>0</v>
      </c>
      <c r="Q926" s="31" t="str">
        <f t="shared" si="57"/>
        <v/>
      </c>
      <c r="R926" s="32" t="str">
        <f>IFERROR(VLOOKUP($D926,'Informations sur les produits'!$A$3:$B$15000,2,FALSE),"")</f>
        <v/>
      </c>
      <c r="V926">
        <f t="shared" si="58"/>
        <v>0</v>
      </c>
      <c r="W926">
        <f t="shared" si="59"/>
        <v>0</v>
      </c>
    </row>
    <row r="927" spans="5:23" x14ac:dyDescent="0.25">
      <c r="E927" s="4"/>
      <c r="F927" s="4"/>
      <c r="G927" s="33" t="str">
        <f>IFERROR(VLOOKUP($D927,'Informations sur les produits'!$A$3:$H$10000,8,FALSE),"0")</f>
        <v>0</v>
      </c>
      <c r="K927" s="4"/>
      <c r="L927" s="33" t="str">
        <f>IFERROR(VLOOKUP($J927,'Informations sur les produits'!$A$3:$H$10000,8,FALSE),"0")</f>
        <v>0</v>
      </c>
      <c r="N927" s="8"/>
      <c r="O927" s="33" t="str">
        <f>IFERROR(VLOOKUP($M927,'Informations sur les produits'!$A$3:$H$10000,8,FALSE),"0")</f>
        <v>0</v>
      </c>
      <c r="P927" s="33">
        <f t="shared" si="56"/>
        <v>0</v>
      </c>
      <c r="Q927" s="31" t="str">
        <f t="shared" si="57"/>
        <v/>
      </c>
      <c r="R927" s="32" t="str">
        <f>IFERROR(VLOOKUP($D927,'Informations sur les produits'!$A$3:$B$15000,2,FALSE),"")</f>
        <v/>
      </c>
      <c r="V927">
        <f t="shared" si="58"/>
        <v>0</v>
      </c>
      <c r="W927">
        <f t="shared" si="59"/>
        <v>0</v>
      </c>
    </row>
    <row r="928" spans="5:23" x14ac:dyDescent="0.25">
      <c r="E928" s="4"/>
      <c r="F928" s="4"/>
      <c r="G928" s="33" t="str">
        <f>IFERROR(VLOOKUP($D928,'Informations sur les produits'!$A$3:$H$10000,8,FALSE),"0")</f>
        <v>0</v>
      </c>
      <c r="K928" s="4"/>
      <c r="L928" s="33" t="str">
        <f>IFERROR(VLOOKUP($J928,'Informations sur les produits'!$A$3:$H$10000,8,FALSE),"0")</f>
        <v>0</v>
      </c>
      <c r="N928" s="8"/>
      <c r="O928" s="33" t="str">
        <f>IFERROR(VLOOKUP($M928,'Informations sur les produits'!$A$3:$H$10000,8,FALSE),"0")</f>
        <v>0</v>
      </c>
      <c r="P928" s="33">
        <f t="shared" si="56"/>
        <v>0</v>
      </c>
      <c r="Q928" s="31" t="str">
        <f t="shared" si="57"/>
        <v/>
      </c>
      <c r="R928" s="32" t="str">
        <f>IFERROR(VLOOKUP($D928,'Informations sur les produits'!$A$3:$B$15000,2,FALSE),"")</f>
        <v/>
      </c>
      <c r="V928">
        <f t="shared" si="58"/>
        <v>0</v>
      </c>
      <c r="W928">
        <f t="shared" si="59"/>
        <v>0</v>
      </c>
    </row>
    <row r="929" spans="5:23" x14ac:dyDescent="0.25">
      <c r="E929" s="4"/>
      <c r="F929" s="4"/>
      <c r="G929" s="33" t="str">
        <f>IFERROR(VLOOKUP($D929,'Informations sur les produits'!$A$3:$H$10000,8,FALSE),"0")</f>
        <v>0</v>
      </c>
      <c r="K929" s="4"/>
      <c r="L929" s="33" t="str">
        <f>IFERROR(VLOOKUP($J929,'Informations sur les produits'!$A$3:$H$10000,8,FALSE),"0")</f>
        <v>0</v>
      </c>
      <c r="N929" s="8"/>
      <c r="O929" s="33" t="str">
        <f>IFERROR(VLOOKUP($M929,'Informations sur les produits'!$A$3:$H$10000,8,FALSE),"0")</f>
        <v>0</v>
      </c>
      <c r="P929" s="33">
        <f t="shared" si="56"/>
        <v>0</v>
      </c>
      <c r="Q929" s="31" t="str">
        <f t="shared" si="57"/>
        <v/>
      </c>
      <c r="R929" s="32" t="str">
        <f>IFERROR(VLOOKUP($D929,'Informations sur les produits'!$A$3:$B$15000,2,FALSE),"")</f>
        <v/>
      </c>
      <c r="V929">
        <f t="shared" si="58"/>
        <v>0</v>
      </c>
      <c r="W929">
        <f t="shared" si="59"/>
        <v>0</v>
      </c>
    </row>
    <row r="930" spans="5:23" x14ac:dyDescent="0.25">
      <c r="E930" s="4"/>
      <c r="F930" s="4"/>
      <c r="G930" s="33" t="str">
        <f>IFERROR(VLOOKUP($D930,'Informations sur les produits'!$A$3:$H$10000,8,FALSE),"0")</f>
        <v>0</v>
      </c>
      <c r="K930" s="4"/>
      <c r="L930" s="33" t="str">
        <f>IFERROR(VLOOKUP($J930,'Informations sur les produits'!$A$3:$H$10000,8,FALSE),"0")</f>
        <v>0</v>
      </c>
      <c r="N930" s="8"/>
      <c r="O930" s="33" t="str">
        <f>IFERROR(VLOOKUP($M930,'Informations sur les produits'!$A$3:$H$10000,8,FALSE),"0")</f>
        <v>0</v>
      </c>
      <c r="P930" s="33">
        <f t="shared" si="56"/>
        <v>0</v>
      </c>
      <c r="Q930" s="31" t="str">
        <f t="shared" si="57"/>
        <v/>
      </c>
      <c r="R930" s="32" t="str">
        <f>IFERROR(VLOOKUP($D930,'Informations sur les produits'!$A$3:$B$15000,2,FALSE),"")</f>
        <v/>
      </c>
      <c r="V930">
        <f t="shared" si="58"/>
        <v>0</v>
      </c>
      <c r="W930">
        <f t="shared" si="59"/>
        <v>0</v>
      </c>
    </row>
    <row r="931" spans="5:23" x14ac:dyDescent="0.25">
      <c r="E931" s="4"/>
      <c r="F931" s="4"/>
      <c r="G931" s="33" t="str">
        <f>IFERROR(VLOOKUP($D931,'Informations sur les produits'!$A$3:$H$10000,8,FALSE),"0")</f>
        <v>0</v>
      </c>
      <c r="K931" s="4"/>
      <c r="L931" s="33" t="str">
        <f>IFERROR(VLOOKUP($J931,'Informations sur les produits'!$A$3:$H$10000,8,FALSE),"0")</f>
        <v>0</v>
      </c>
      <c r="N931" s="8"/>
      <c r="O931" s="33" t="str">
        <f>IFERROR(VLOOKUP($M931,'Informations sur les produits'!$A$3:$H$10000,8,FALSE),"0")</f>
        <v>0</v>
      </c>
      <c r="P931" s="33">
        <f t="shared" si="56"/>
        <v>0</v>
      </c>
      <c r="Q931" s="31" t="str">
        <f t="shared" si="57"/>
        <v/>
      </c>
      <c r="R931" s="32" t="str">
        <f>IFERROR(VLOOKUP($D931,'Informations sur les produits'!$A$3:$B$15000,2,FALSE),"")</f>
        <v/>
      </c>
      <c r="V931">
        <f t="shared" si="58"/>
        <v>0</v>
      </c>
      <c r="W931">
        <f t="shared" si="59"/>
        <v>0</v>
      </c>
    </row>
    <row r="932" spans="5:23" x14ac:dyDescent="0.25">
      <c r="E932" s="4"/>
      <c r="F932" s="4"/>
      <c r="G932" s="33" t="str">
        <f>IFERROR(VLOOKUP($D932,'Informations sur les produits'!$A$3:$H$10000,8,FALSE),"0")</f>
        <v>0</v>
      </c>
      <c r="K932" s="4"/>
      <c r="L932" s="33" t="str">
        <f>IFERROR(VLOOKUP($J932,'Informations sur les produits'!$A$3:$H$10000,8,FALSE),"0")</f>
        <v>0</v>
      </c>
      <c r="N932" s="8"/>
      <c r="O932" s="33" t="str">
        <f>IFERROR(VLOOKUP($M932,'Informations sur les produits'!$A$3:$H$10000,8,FALSE),"0")</f>
        <v>0</v>
      </c>
      <c r="P932" s="33">
        <f t="shared" si="56"/>
        <v>0</v>
      </c>
      <c r="Q932" s="31" t="str">
        <f t="shared" si="57"/>
        <v/>
      </c>
      <c r="R932" s="32" t="str">
        <f>IFERROR(VLOOKUP($D932,'Informations sur les produits'!$A$3:$B$15000,2,FALSE),"")</f>
        <v/>
      </c>
      <c r="V932">
        <f t="shared" si="58"/>
        <v>0</v>
      </c>
      <c r="W932">
        <f t="shared" si="59"/>
        <v>0</v>
      </c>
    </row>
    <row r="933" spans="5:23" x14ac:dyDescent="0.25">
      <c r="E933" s="4"/>
      <c r="F933" s="4"/>
      <c r="G933" s="33" t="str">
        <f>IFERROR(VLOOKUP($D933,'Informations sur les produits'!$A$3:$H$10000,8,FALSE),"0")</f>
        <v>0</v>
      </c>
      <c r="K933" s="4"/>
      <c r="L933" s="33" t="str">
        <f>IFERROR(VLOOKUP($J933,'Informations sur les produits'!$A$3:$H$10000,8,FALSE),"0")</f>
        <v>0</v>
      </c>
      <c r="N933" s="8"/>
      <c r="O933" s="33" t="str">
        <f>IFERROR(VLOOKUP($M933,'Informations sur les produits'!$A$3:$H$10000,8,FALSE),"0")</f>
        <v>0</v>
      </c>
      <c r="P933" s="33">
        <f t="shared" si="56"/>
        <v>0</v>
      </c>
      <c r="Q933" s="31" t="str">
        <f t="shared" si="57"/>
        <v/>
      </c>
      <c r="R933" s="32" t="str">
        <f>IFERROR(VLOOKUP($D933,'Informations sur les produits'!$A$3:$B$15000,2,FALSE),"")</f>
        <v/>
      </c>
      <c r="V933">
        <f t="shared" si="58"/>
        <v>0</v>
      </c>
      <c r="W933">
        <f t="shared" si="59"/>
        <v>0</v>
      </c>
    </row>
    <row r="934" spans="5:23" x14ac:dyDescent="0.25">
      <c r="E934" s="4"/>
      <c r="F934" s="4"/>
      <c r="G934" s="33" t="str">
        <f>IFERROR(VLOOKUP($D934,'Informations sur les produits'!$A$3:$H$10000,8,FALSE),"0")</f>
        <v>0</v>
      </c>
      <c r="K934" s="4"/>
      <c r="L934" s="33" t="str">
        <f>IFERROR(VLOOKUP($J934,'Informations sur les produits'!$A$3:$H$10000,8,FALSE),"0")</f>
        <v>0</v>
      </c>
      <c r="N934" s="8"/>
      <c r="O934" s="33" t="str">
        <f>IFERROR(VLOOKUP($M934,'Informations sur les produits'!$A$3:$H$10000,8,FALSE),"0")</f>
        <v>0</v>
      </c>
      <c r="P934" s="33">
        <f t="shared" si="56"/>
        <v>0</v>
      </c>
      <c r="Q934" s="31" t="str">
        <f t="shared" si="57"/>
        <v/>
      </c>
      <c r="R934" s="32" t="str">
        <f>IFERROR(VLOOKUP($D934,'Informations sur les produits'!$A$3:$B$15000,2,FALSE),"")</f>
        <v/>
      </c>
      <c r="V934">
        <f t="shared" si="58"/>
        <v>0</v>
      </c>
      <c r="W934">
        <f t="shared" si="59"/>
        <v>0</v>
      </c>
    </row>
    <row r="935" spans="5:23" x14ac:dyDescent="0.25">
      <c r="E935" s="4"/>
      <c r="F935" s="4"/>
      <c r="G935" s="33" t="str">
        <f>IFERROR(VLOOKUP($D935,'Informations sur les produits'!$A$3:$H$10000,8,FALSE),"0")</f>
        <v>0</v>
      </c>
      <c r="K935" s="4"/>
      <c r="L935" s="33" t="str">
        <f>IFERROR(VLOOKUP($J935,'Informations sur les produits'!$A$3:$H$10000,8,FALSE),"0")</f>
        <v>0</v>
      </c>
      <c r="N935" s="8"/>
      <c r="O935" s="33" t="str">
        <f>IFERROR(VLOOKUP($M935,'Informations sur les produits'!$A$3:$H$10000,8,FALSE),"0")</f>
        <v>0</v>
      </c>
      <c r="P935" s="33">
        <f t="shared" si="56"/>
        <v>0</v>
      </c>
      <c r="Q935" s="31" t="str">
        <f t="shared" si="57"/>
        <v/>
      </c>
      <c r="R935" s="32" t="str">
        <f>IFERROR(VLOOKUP($D935,'Informations sur les produits'!$A$3:$B$15000,2,FALSE),"")</f>
        <v/>
      </c>
      <c r="V935">
        <f t="shared" si="58"/>
        <v>0</v>
      </c>
      <c r="W935">
        <f t="shared" si="59"/>
        <v>0</v>
      </c>
    </row>
    <row r="936" spans="5:23" x14ac:dyDescent="0.25">
      <c r="E936" s="4"/>
      <c r="F936" s="4"/>
      <c r="G936" s="33" t="str">
        <f>IFERROR(VLOOKUP($D936,'Informations sur les produits'!$A$3:$H$10000,8,FALSE),"0")</f>
        <v>0</v>
      </c>
      <c r="K936" s="4"/>
      <c r="L936" s="33" t="str">
        <f>IFERROR(VLOOKUP($J936,'Informations sur les produits'!$A$3:$H$10000,8,FALSE),"0")</f>
        <v>0</v>
      </c>
      <c r="N936" s="8"/>
      <c r="O936" s="33" t="str">
        <f>IFERROR(VLOOKUP($M936,'Informations sur les produits'!$A$3:$H$10000,8,FALSE),"0")</f>
        <v>0</v>
      </c>
      <c r="P936" s="33">
        <f t="shared" si="56"/>
        <v>0</v>
      </c>
      <c r="Q936" s="31" t="str">
        <f t="shared" si="57"/>
        <v/>
      </c>
      <c r="R936" s="32" t="str">
        <f>IFERROR(VLOOKUP($D936,'Informations sur les produits'!$A$3:$B$15000,2,FALSE),"")</f>
        <v/>
      </c>
      <c r="V936">
        <f t="shared" si="58"/>
        <v>0</v>
      </c>
      <c r="W936">
        <f t="shared" si="59"/>
        <v>0</v>
      </c>
    </row>
    <row r="937" spans="5:23" x14ac:dyDescent="0.25">
      <c r="E937" s="4"/>
      <c r="F937" s="4"/>
      <c r="G937" s="33" t="str">
        <f>IFERROR(VLOOKUP($D937,'Informations sur les produits'!$A$3:$H$10000,8,FALSE),"0")</f>
        <v>0</v>
      </c>
      <c r="K937" s="4"/>
      <c r="L937" s="33" t="str">
        <f>IFERROR(VLOOKUP($J937,'Informations sur les produits'!$A$3:$H$10000,8,FALSE),"0")</f>
        <v>0</v>
      </c>
      <c r="N937" s="8"/>
      <c r="O937" s="33" t="str">
        <f>IFERROR(VLOOKUP($M937,'Informations sur les produits'!$A$3:$H$10000,8,FALSE),"0")</f>
        <v>0</v>
      </c>
      <c r="P937" s="33">
        <f t="shared" si="56"/>
        <v>0</v>
      </c>
      <c r="Q937" s="31" t="str">
        <f t="shared" si="57"/>
        <v/>
      </c>
      <c r="R937" s="32" t="str">
        <f>IFERROR(VLOOKUP($D937,'Informations sur les produits'!$A$3:$B$15000,2,FALSE),"")</f>
        <v/>
      </c>
      <c r="V937">
        <f t="shared" si="58"/>
        <v>0</v>
      </c>
      <c r="W937">
        <f t="shared" si="59"/>
        <v>0</v>
      </c>
    </row>
    <row r="938" spans="5:23" x14ac:dyDescent="0.25">
      <c r="E938" s="4"/>
      <c r="F938" s="4"/>
      <c r="G938" s="33" t="str">
        <f>IFERROR(VLOOKUP($D938,'Informations sur les produits'!$A$3:$H$10000,8,FALSE),"0")</f>
        <v>0</v>
      </c>
      <c r="K938" s="4"/>
      <c r="L938" s="33" t="str">
        <f>IFERROR(VLOOKUP($J938,'Informations sur les produits'!$A$3:$H$10000,8,FALSE),"0")</f>
        <v>0</v>
      </c>
      <c r="N938" s="8"/>
      <c r="O938" s="33" t="str">
        <f>IFERROR(VLOOKUP($M938,'Informations sur les produits'!$A$3:$H$10000,8,FALSE),"0")</f>
        <v>0</v>
      </c>
      <c r="P938" s="33">
        <f t="shared" si="56"/>
        <v>0</v>
      </c>
      <c r="Q938" s="31" t="str">
        <f t="shared" si="57"/>
        <v/>
      </c>
      <c r="R938" s="32" t="str">
        <f>IFERROR(VLOOKUP($D938,'Informations sur les produits'!$A$3:$B$15000,2,FALSE),"")</f>
        <v/>
      </c>
      <c r="V938">
        <f t="shared" si="58"/>
        <v>0</v>
      </c>
      <c r="W938">
        <f t="shared" si="59"/>
        <v>0</v>
      </c>
    </row>
    <row r="939" spans="5:23" x14ac:dyDescent="0.25">
      <c r="E939" s="4"/>
      <c r="F939" s="4"/>
      <c r="G939" s="33" t="str">
        <f>IFERROR(VLOOKUP($D939,'Informations sur les produits'!$A$3:$H$10000,8,FALSE),"0")</f>
        <v>0</v>
      </c>
      <c r="K939" s="4"/>
      <c r="L939" s="33" t="str">
        <f>IFERROR(VLOOKUP($J939,'Informations sur les produits'!$A$3:$H$10000,8,FALSE),"0")</f>
        <v>0</v>
      </c>
      <c r="N939" s="8"/>
      <c r="O939" s="33" t="str">
        <f>IFERROR(VLOOKUP($M939,'Informations sur les produits'!$A$3:$H$10000,8,FALSE),"0")</f>
        <v>0</v>
      </c>
      <c r="P939" s="33">
        <f t="shared" si="56"/>
        <v>0</v>
      </c>
      <c r="Q939" s="31" t="str">
        <f t="shared" si="57"/>
        <v/>
      </c>
      <c r="R939" s="32" t="str">
        <f>IFERROR(VLOOKUP($D939,'Informations sur les produits'!$A$3:$B$15000,2,FALSE),"")</f>
        <v/>
      </c>
      <c r="V939">
        <f t="shared" si="58"/>
        <v>0</v>
      </c>
      <c r="W939">
        <f t="shared" si="59"/>
        <v>0</v>
      </c>
    </row>
    <row r="940" spans="5:23" x14ac:dyDescent="0.25">
      <c r="E940" s="4"/>
      <c r="F940" s="4"/>
      <c r="G940" s="33" t="str">
        <f>IFERROR(VLOOKUP($D940,'Informations sur les produits'!$A$3:$H$10000,8,FALSE),"0")</f>
        <v>0</v>
      </c>
      <c r="K940" s="4"/>
      <c r="L940" s="33" t="str">
        <f>IFERROR(VLOOKUP($J940,'Informations sur les produits'!$A$3:$H$10000,8,FALSE),"0")</f>
        <v>0</v>
      </c>
      <c r="N940" s="8"/>
      <c r="O940" s="33" t="str">
        <f>IFERROR(VLOOKUP($M940,'Informations sur les produits'!$A$3:$H$10000,8,FALSE),"0")</f>
        <v>0</v>
      </c>
      <c r="P940" s="33">
        <f t="shared" si="56"/>
        <v>0</v>
      </c>
      <c r="Q940" s="31" t="str">
        <f t="shared" si="57"/>
        <v/>
      </c>
      <c r="R940" s="32" t="str">
        <f>IFERROR(VLOOKUP($D940,'Informations sur les produits'!$A$3:$B$15000,2,FALSE),"")</f>
        <v/>
      </c>
      <c r="V940">
        <f t="shared" si="58"/>
        <v>0</v>
      </c>
      <c r="W940">
        <f t="shared" si="59"/>
        <v>0</v>
      </c>
    </row>
    <row r="941" spans="5:23" x14ac:dyDescent="0.25">
      <c r="E941" s="4"/>
      <c r="F941" s="4"/>
      <c r="G941" s="33" t="str">
        <f>IFERROR(VLOOKUP($D941,'Informations sur les produits'!$A$3:$H$10000,8,FALSE),"0")</f>
        <v>0</v>
      </c>
      <c r="K941" s="4"/>
      <c r="L941" s="33" t="str">
        <f>IFERROR(VLOOKUP($J941,'Informations sur les produits'!$A$3:$H$10000,8,FALSE),"0")</f>
        <v>0</v>
      </c>
      <c r="N941" s="8"/>
      <c r="O941" s="33" t="str">
        <f>IFERROR(VLOOKUP($M941,'Informations sur les produits'!$A$3:$H$10000,8,FALSE),"0")</f>
        <v>0</v>
      </c>
      <c r="P941" s="33">
        <f t="shared" si="56"/>
        <v>0</v>
      </c>
      <c r="Q941" s="31" t="str">
        <f t="shared" si="57"/>
        <v/>
      </c>
      <c r="R941" s="32" t="str">
        <f>IFERROR(VLOOKUP($D941,'Informations sur les produits'!$A$3:$B$15000,2,FALSE),"")</f>
        <v/>
      </c>
      <c r="V941">
        <f t="shared" si="58"/>
        <v>0</v>
      </c>
      <c r="W941">
        <f t="shared" si="59"/>
        <v>0</v>
      </c>
    </row>
    <row r="942" spans="5:23" x14ac:dyDescent="0.25">
      <c r="E942" s="4"/>
      <c r="F942" s="4"/>
      <c r="G942" s="33" t="str">
        <f>IFERROR(VLOOKUP($D942,'Informations sur les produits'!$A$3:$H$10000,8,FALSE),"0")</f>
        <v>0</v>
      </c>
      <c r="K942" s="4"/>
      <c r="L942" s="33" t="str">
        <f>IFERROR(VLOOKUP($J942,'Informations sur les produits'!$A$3:$H$10000,8,FALSE),"0")</f>
        <v>0</v>
      </c>
      <c r="N942" s="8"/>
      <c r="O942" s="33" t="str">
        <f>IFERROR(VLOOKUP($M942,'Informations sur les produits'!$A$3:$H$10000,8,FALSE),"0")</f>
        <v>0</v>
      </c>
      <c r="P942" s="33">
        <f t="shared" si="56"/>
        <v>0</v>
      </c>
      <c r="Q942" s="31" t="str">
        <f t="shared" si="57"/>
        <v/>
      </c>
      <c r="R942" s="32" t="str">
        <f>IFERROR(VLOOKUP($D942,'Informations sur les produits'!$A$3:$B$15000,2,FALSE),"")</f>
        <v/>
      </c>
      <c r="V942">
        <f t="shared" si="58"/>
        <v>0</v>
      </c>
      <c r="W942">
        <f t="shared" si="59"/>
        <v>0</v>
      </c>
    </row>
    <row r="943" spans="5:23" x14ac:dyDescent="0.25">
      <c r="E943" s="4"/>
      <c r="F943" s="4"/>
      <c r="G943" s="33" t="str">
        <f>IFERROR(VLOOKUP($D943,'Informations sur les produits'!$A$3:$H$10000,8,FALSE),"0")</f>
        <v>0</v>
      </c>
      <c r="K943" s="4"/>
      <c r="L943" s="33" t="str">
        <f>IFERROR(VLOOKUP($J943,'Informations sur les produits'!$A$3:$H$10000,8,FALSE),"0")</f>
        <v>0</v>
      </c>
      <c r="N943" s="8"/>
      <c r="O943" s="33" t="str">
        <f>IFERROR(VLOOKUP($M943,'Informations sur les produits'!$A$3:$H$10000,8,FALSE),"0")</f>
        <v>0</v>
      </c>
      <c r="P943" s="33">
        <f t="shared" si="56"/>
        <v>0</v>
      </c>
      <c r="Q943" s="31" t="str">
        <f t="shared" si="57"/>
        <v/>
      </c>
      <c r="R943" s="32" t="str">
        <f>IFERROR(VLOOKUP($D943,'Informations sur les produits'!$A$3:$B$15000,2,FALSE),"")</f>
        <v/>
      </c>
      <c r="V943">
        <f t="shared" si="58"/>
        <v>0</v>
      </c>
      <c r="W943">
        <f t="shared" si="59"/>
        <v>0</v>
      </c>
    </row>
    <row r="944" spans="5:23" x14ac:dyDescent="0.25">
      <c r="E944" s="4"/>
      <c r="F944" s="4"/>
      <c r="G944" s="33" t="str">
        <f>IFERROR(VLOOKUP($D944,'Informations sur les produits'!$A$3:$H$10000,8,FALSE),"0")</f>
        <v>0</v>
      </c>
      <c r="K944" s="4"/>
      <c r="L944" s="33" t="str">
        <f>IFERROR(VLOOKUP($J944,'Informations sur les produits'!$A$3:$H$10000,8,FALSE),"0")</f>
        <v>0</v>
      </c>
      <c r="N944" s="8"/>
      <c r="O944" s="33" t="str">
        <f>IFERROR(VLOOKUP($M944,'Informations sur les produits'!$A$3:$H$10000,8,FALSE),"0")</f>
        <v>0</v>
      </c>
      <c r="P944" s="33">
        <f t="shared" si="56"/>
        <v>0</v>
      </c>
      <c r="Q944" s="31" t="str">
        <f t="shared" si="57"/>
        <v/>
      </c>
      <c r="R944" s="32" t="str">
        <f>IFERROR(VLOOKUP($D944,'Informations sur les produits'!$A$3:$B$15000,2,FALSE),"")</f>
        <v/>
      </c>
      <c r="V944">
        <f t="shared" si="58"/>
        <v>0</v>
      </c>
      <c r="W944">
        <f t="shared" si="59"/>
        <v>0</v>
      </c>
    </row>
    <row r="945" spans="5:23" x14ac:dyDescent="0.25">
      <c r="E945" s="4"/>
      <c r="F945" s="4"/>
      <c r="G945" s="33" t="str">
        <f>IFERROR(VLOOKUP($D945,'Informations sur les produits'!$A$3:$H$10000,8,FALSE),"0")</f>
        <v>0</v>
      </c>
      <c r="K945" s="4"/>
      <c r="L945" s="33" t="str">
        <f>IFERROR(VLOOKUP($J945,'Informations sur les produits'!$A$3:$H$10000,8,FALSE),"0")</f>
        <v>0</v>
      </c>
      <c r="N945" s="8"/>
      <c r="O945" s="33" t="str">
        <f>IFERROR(VLOOKUP($M945,'Informations sur les produits'!$A$3:$H$10000,8,FALSE),"0")</f>
        <v>0</v>
      </c>
      <c r="P945" s="33">
        <f t="shared" si="56"/>
        <v>0</v>
      </c>
      <c r="Q945" s="31" t="str">
        <f t="shared" si="57"/>
        <v/>
      </c>
      <c r="R945" s="32" t="str">
        <f>IFERROR(VLOOKUP($D945,'Informations sur les produits'!$A$3:$B$15000,2,FALSE),"")</f>
        <v/>
      </c>
      <c r="V945">
        <f t="shared" si="58"/>
        <v>0</v>
      </c>
      <c r="W945">
        <f t="shared" si="59"/>
        <v>0</v>
      </c>
    </row>
    <row r="946" spans="5:23" x14ac:dyDescent="0.25">
      <c r="E946" s="4"/>
      <c r="F946" s="4"/>
      <c r="G946" s="33" t="str">
        <f>IFERROR(VLOOKUP($D946,'Informations sur les produits'!$A$3:$H$10000,8,FALSE),"0")</f>
        <v>0</v>
      </c>
      <c r="K946" s="4"/>
      <c r="L946" s="33" t="str">
        <f>IFERROR(VLOOKUP($J946,'Informations sur les produits'!$A$3:$H$10000,8,FALSE),"0")</f>
        <v>0</v>
      </c>
      <c r="N946" s="8"/>
      <c r="O946" s="33" t="str">
        <f>IFERROR(VLOOKUP($M946,'Informations sur les produits'!$A$3:$H$10000,8,FALSE),"0")</f>
        <v>0</v>
      </c>
      <c r="P946" s="33">
        <f t="shared" si="56"/>
        <v>0</v>
      </c>
      <c r="Q946" s="31" t="str">
        <f t="shared" si="57"/>
        <v/>
      </c>
      <c r="R946" s="32" t="str">
        <f>IFERROR(VLOOKUP($D946,'Informations sur les produits'!$A$3:$B$15000,2,FALSE),"")</f>
        <v/>
      </c>
      <c r="V946">
        <f t="shared" si="58"/>
        <v>0</v>
      </c>
      <c r="W946">
        <f t="shared" si="59"/>
        <v>0</v>
      </c>
    </row>
    <row r="947" spans="5:23" x14ac:dyDescent="0.25">
      <c r="E947" s="4"/>
      <c r="F947" s="4"/>
      <c r="G947" s="33" t="str">
        <f>IFERROR(VLOOKUP($D947,'Informations sur les produits'!$A$3:$H$10000,8,FALSE),"0")</f>
        <v>0</v>
      </c>
      <c r="K947" s="4"/>
      <c r="L947" s="33" t="str">
        <f>IFERROR(VLOOKUP($J947,'Informations sur les produits'!$A$3:$H$10000,8,FALSE),"0")</f>
        <v>0</v>
      </c>
      <c r="N947" s="8"/>
      <c r="O947" s="33" t="str">
        <f>IFERROR(VLOOKUP($M947,'Informations sur les produits'!$A$3:$H$10000,8,FALSE),"0")</f>
        <v>0</v>
      </c>
      <c r="P947" s="33">
        <f t="shared" si="56"/>
        <v>0</v>
      </c>
      <c r="Q947" s="31" t="str">
        <f t="shared" si="57"/>
        <v/>
      </c>
      <c r="R947" s="32" t="str">
        <f>IFERROR(VLOOKUP($D947,'Informations sur les produits'!$A$3:$B$15000,2,FALSE),"")</f>
        <v/>
      </c>
      <c r="V947">
        <f t="shared" si="58"/>
        <v>0</v>
      </c>
      <c r="W947">
        <f t="shared" si="59"/>
        <v>0</v>
      </c>
    </row>
    <row r="948" spans="5:23" x14ac:dyDescent="0.25">
      <c r="E948" s="4"/>
      <c r="F948" s="4"/>
      <c r="G948" s="33" t="str">
        <f>IFERROR(VLOOKUP($D948,'Informations sur les produits'!$A$3:$H$10000,8,FALSE),"0")</f>
        <v>0</v>
      </c>
      <c r="K948" s="4"/>
      <c r="L948" s="33" t="str">
        <f>IFERROR(VLOOKUP($J948,'Informations sur les produits'!$A$3:$H$10000,8,FALSE),"0")</f>
        <v>0</v>
      </c>
      <c r="N948" s="8"/>
      <c r="O948" s="33" t="str">
        <f>IFERROR(VLOOKUP($M948,'Informations sur les produits'!$A$3:$H$10000,8,FALSE),"0")</f>
        <v>0</v>
      </c>
      <c r="P948" s="33">
        <f t="shared" si="56"/>
        <v>0</v>
      </c>
      <c r="Q948" s="31" t="str">
        <f t="shared" si="57"/>
        <v/>
      </c>
      <c r="R948" s="32" t="str">
        <f>IFERROR(VLOOKUP($D948,'Informations sur les produits'!$A$3:$B$15000,2,FALSE),"")</f>
        <v/>
      </c>
      <c r="V948">
        <f t="shared" si="58"/>
        <v>0</v>
      </c>
      <c r="W948">
        <f t="shared" si="59"/>
        <v>0</v>
      </c>
    </row>
    <row r="949" spans="5:23" x14ac:dyDescent="0.25">
      <c r="E949" s="4"/>
      <c r="F949" s="4"/>
      <c r="G949" s="33" t="str">
        <f>IFERROR(VLOOKUP($D949,'Informations sur les produits'!$A$3:$H$10000,8,FALSE),"0")</f>
        <v>0</v>
      </c>
      <c r="K949" s="4"/>
      <c r="L949" s="33" t="str">
        <f>IFERROR(VLOOKUP($J949,'Informations sur les produits'!$A$3:$H$10000,8,FALSE),"0")</f>
        <v>0</v>
      </c>
      <c r="N949" s="8"/>
      <c r="O949" s="33" t="str">
        <f>IFERROR(VLOOKUP($M949,'Informations sur les produits'!$A$3:$H$10000,8,FALSE),"0")</f>
        <v>0</v>
      </c>
      <c r="P949" s="33">
        <f t="shared" si="56"/>
        <v>0</v>
      </c>
      <c r="Q949" s="31" t="str">
        <f t="shared" si="57"/>
        <v/>
      </c>
      <c r="R949" s="32" t="str">
        <f>IFERROR(VLOOKUP($D949,'Informations sur les produits'!$A$3:$B$15000,2,FALSE),"")</f>
        <v/>
      </c>
      <c r="V949">
        <f t="shared" si="58"/>
        <v>0</v>
      </c>
      <c r="W949">
        <f t="shared" si="59"/>
        <v>0</v>
      </c>
    </row>
    <row r="950" spans="5:23" x14ac:dyDescent="0.25">
      <c r="E950" s="4"/>
      <c r="F950" s="4"/>
      <c r="G950" s="33" t="str">
        <f>IFERROR(VLOOKUP($D950,'Informations sur les produits'!$A$3:$H$10000,8,FALSE),"0")</f>
        <v>0</v>
      </c>
      <c r="K950" s="4"/>
      <c r="L950" s="33" t="str">
        <f>IFERROR(VLOOKUP($J950,'Informations sur les produits'!$A$3:$H$10000,8,FALSE),"0")</f>
        <v>0</v>
      </c>
      <c r="N950" s="8"/>
      <c r="O950" s="33" t="str">
        <f>IFERROR(VLOOKUP($M950,'Informations sur les produits'!$A$3:$H$10000,8,FALSE),"0")</f>
        <v>0</v>
      </c>
      <c r="P950" s="33">
        <f t="shared" si="56"/>
        <v>0</v>
      </c>
      <c r="Q950" s="31" t="str">
        <f t="shared" si="57"/>
        <v/>
      </c>
      <c r="R950" s="32" t="str">
        <f>IFERROR(VLOOKUP($D950,'Informations sur les produits'!$A$3:$B$15000,2,FALSE),"")</f>
        <v/>
      </c>
      <c r="V950">
        <f t="shared" si="58"/>
        <v>0</v>
      </c>
      <c r="W950">
        <f t="shared" si="59"/>
        <v>0</v>
      </c>
    </row>
    <row r="951" spans="5:23" x14ac:dyDescent="0.25">
      <c r="E951" s="4"/>
      <c r="F951" s="4"/>
      <c r="G951" s="33" t="str">
        <f>IFERROR(VLOOKUP($D951,'Informations sur les produits'!$A$3:$H$10000,8,FALSE),"0")</f>
        <v>0</v>
      </c>
      <c r="K951" s="4"/>
      <c r="L951" s="33" t="str">
        <f>IFERROR(VLOOKUP($J951,'Informations sur les produits'!$A$3:$H$10000,8,FALSE),"0")</f>
        <v>0</v>
      </c>
      <c r="N951" s="8"/>
      <c r="O951" s="33" t="str">
        <f>IFERROR(VLOOKUP($M951,'Informations sur les produits'!$A$3:$H$10000,8,FALSE),"0")</f>
        <v>0</v>
      </c>
      <c r="P951" s="33">
        <f t="shared" si="56"/>
        <v>0</v>
      </c>
      <c r="Q951" s="31" t="str">
        <f t="shared" si="57"/>
        <v/>
      </c>
      <c r="R951" s="32" t="str">
        <f>IFERROR(VLOOKUP($D951,'Informations sur les produits'!$A$3:$B$15000,2,FALSE),"")</f>
        <v/>
      </c>
      <c r="V951">
        <f t="shared" si="58"/>
        <v>0</v>
      </c>
      <c r="W951">
        <f t="shared" si="59"/>
        <v>0</v>
      </c>
    </row>
    <row r="952" spans="5:23" x14ac:dyDescent="0.25">
      <c r="E952" s="4"/>
      <c r="F952" s="4"/>
      <c r="G952" s="33" t="str">
        <f>IFERROR(VLOOKUP($D952,'Informations sur les produits'!$A$3:$H$10000,8,FALSE),"0")</f>
        <v>0</v>
      </c>
      <c r="K952" s="4"/>
      <c r="L952" s="33" t="str">
        <f>IFERROR(VLOOKUP($J952,'Informations sur les produits'!$A$3:$H$10000,8,FALSE),"0")</f>
        <v>0</v>
      </c>
      <c r="N952" s="8"/>
      <c r="O952" s="33" t="str">
        <f>IFERROR(VLOOKUP($M952,'Informations sur les produits'!$A$3:$H$10000,8,FALSE),"0")</f>
        <v>0</v>
      </c>
      <c r="P952" s="33">
        <f t="shared" si="56"/>
        <v>0</v>
      </c>
      <c r="Q952" s="31" t="str">
        <f t="shared" si="57"/>
        <v/>
      </c>
      <c r="R952" s="32" t="str">
        <f>IFERROR(VLOOKUP($D952,'Informations sur les produits'!$A$3:$B$15000,2,FALSE),"")</f>
        <v/>
      </c>
      <c r="V952">
        <f t="shared" si="58"/>
        <v>0</v>
      </c>
      <c r="W952">
        <f t="shared" si="59"/>
        <v>0</v>
      </c>
    </row>
    <row r="953" spans="5:23" x14ac:dyDescent="0.25">
      <c r="E953" s="4"/>
      <c r="F953" s="4"/>
      <c r="G953" s="33" t="str">
        <f>IFERROR(VLOOKUP($D953,'Informations sur les produits'!$A$3:$H$10000,8,FALSE),"0")</f>
        <v>0</v>
      </c>
      <c r="K953" s="4"/>
      <c r="L953" s="33" t="str">
        <f>IFERROR(VLOOKUP($J953,'Informations sur les produits'!$A$3:$H$10000,8,FALSE),"0")</f>
        <v>0</v>
      </c>
      <c r="N953" s="8"/>
      <c r="O953" s="33" t="str">
        <f>IFERROR(VLOOKUP($M953,'Informations sur les produits'!$A$3:$H$10000,8,FALSE),"0")</f>
        <v>0</v>
      </c>
      <c r="P953" s="33">
        <f t="shared" si="56"/>
        <v>0</v>
      </c>
      <c r="Q953" s="31" t="str">
        <f t="shared" si="57"/>
        <v/>
      </c>
      <c r="R953" s="32" t="str">
        <f>IFERROR(VLOOKUP($D953,'Informations sur les produits'!$A$3:$B$15000,2,FALSE),"")</f>
        <v/>
      </c>
      <c r="V953">
        <f t="shared" si="58"/>
        <v>0</v>
      </c>
      <c r="W953">
        <f t="shared" si="59"/>
        <v>0</v>
      </c>
    </row>
    <row r="954" spans="5:23" x14ac:dyDescent="0.25">
      <c r="E954" s="4"/>
      <c r="F954" s="4"/>
      <c r="G954" s="33" t="str">
        <f>IFERROR(VLOOKUP($D954,'Informations sur les produits'!$A$3:$H$10000,8,FALSE),"0")</f>
        <v>0</v>
      </c>
      <c r="K954" s="4"/>
      <c r="L954" s="33" t="str">
        <f>IFERROR(VLOOKUP($J954,'Informations sur les produits'!$A$3:$H$10000,8,FALSE),"0")</f>
        <v>0</v>
      </c>
      <c r="N954" s="8"/>
      <c r="O954" s="33" t="str">
        <f>IFERROR(VLOOKUP($M954,'Informations sur les produits'!$A$3:$H$10000,8,FALSE),"0")</f>
        <v>0</v>
      </c>
      <c r="P954" s="33">
        <f t="shared" si="56"/>
        <v>0</v>
      </c>
      <c r="Q954" s="31" t="str">
        <f t="shared" si="57"/>
        <v/>
      </c>
      <c r="R954" s="32" t="str">
        <f>IFERROR(VLOOKUP($D954,'Informations sur les produits'!$A$3:$B$15000,2,FALSE),"")</f>
        <v/>
      </c>
      <c r="V954">
        <f t="shared" si="58"/>
        <v>0</v>
      </c>
      <c r="W954">
        <f t="shared" si="59"/>
        <v>0</v>
      </c>
    </row>
    <row r="955" spans="5:23" x14ac:dyDescent="0.25">
      <c r="E955" s="4"/>
      <c r="F955" s="4"/>
      <c r="G955" s="33" t="str">
        <f>IFERROR(VLOOKUP($D955,'Informations sur les produits'!$A$3:$H$10000,8,FALSE),"0")</f>
        <v>0</v>
      </c>
      <c r="K955" s="4"/>
      <c r="L955" s="33" t="str">
        <f>IFERROR(VLOOKUP($J955,'Informations sur les produits'!$A$3:$H$10000,8,FALSE),"0")</f>
        <v>0</v>
      </c>
      <c r="N955" s="8"/>
      <c r="O955" s="33" t="str">
        <f>IFERROR(VLOOKUP($M955,'Informations sur les produits'!$A$3:$H$10000,8,FALSE),"0")</f>
        <v>0</v>
      </c>
      <c r="P955" s="33">
        <f t="shared" si="56"/>
        <v>0</v>
      </c>
      <c r="Q955" s="31" t="str">
        <f t="shared" si="57"/>
        <v/>
      </c>
      <c r="R955" s="32" t="str">
        <f>IFERROR(VLOOKUP($D955,'Informations sur les produits'!$A$3:$B$15000,2,FALSE),"")</f>
        <v/>
      </c>
      <c r="V955">
        <f t="shared" si="58"/>
        <v>0</v>
      </c>
      <c r="W955">
        <f t="shared" si="59"/>
        <v>0</v>
      </c>
    </row>
    <row r="956" spans="5:23" x14ac:dyDescent="0.25">
      <c r="E956" s="4"/>
      <c r="F956" s="4"/>
      <c r="G956" s="33" t="str">
        <f>IFERROR(VLOOKUP($D956,'Informations sur les produits'!$A$3:$H$10000,8,FALSE),"0")</f>
        <v>0</v>
      </c>
      <c r="K956" s="4"/>
      <c r="L956" s="33" t="str">
        <f>IFERROR(VLOOKUP($J956,'Informations sur les produits'!$A$3:$H$10000,8,FALSE),"0")</f>
        <v>0</v>
      </c>
      <c r="N956" s="8"/>
      <c r="O956" s="33" t="str">
        <f>IFERROR(VLOOKUP($M956,'Informations sur les produits'!$A$3:$H$10000,8,FALSE),"0")</f>
        <v>0</v>
      </c>
      <c r="P956" s="33">
        <f t="shared" si="56"/>
        <v>0</v>
      </c>
      <c r="Q956" s="31" t="str">
        <f t="shared" si="57"/>
        <v/>
      </c>
      <c r="R956" s="32" t="str">
        <f>IFERROR(VLOOKUP($D956,'Informations sur les produits'!$A$3:$B$15000,2,FALSE),"")</f>
        <v/>
      </c>
      <c r="V956">
        <f t="shared" si="58"/>
        <v>0</v>
      </c>
      <c r="W956">
        <f t="shared" si="59"/>
        <v>0</v>
      </c>
    </row>
    <row r="957" spans="5:23" x14ac:dyDescent="0.25">
      <c r="E957" s="4"/>
      <c r="F957" s="4"/>
      <c r="G957" s="33" t="str">
        <f>IFERROR(VLOOKUP($D957,'Informations sur les produits'!$A$3:$H$10000,8,FALSE),"0")</f>
        <v>0</v>
      </c>
      <c r="K957" s="4"/>
      <c r="L957" s="33" t="str">
        <f>IFERROR(VLOOKUP($J957,'Informations sur les produits'!$A$3:$H$10000,8,FALSE),"0")</f>
        <v>0</v>
      </c>
      <c r="N957" s="8"/>
      <c r="O957" s="33" t="str">
        <f>IFERROR(VLOOKUP($M957,'Informations sur les produits'!$A$3:$H$10000,8,FALSE),"0")</f>
        <v>0</v>
      </c>
      <c r="P957" s="33">
        <f t="shared" si="56"/>
        <v>0</v>
      </c>
      <c r="Q957" s="31" t="str">
        <f t="shared" si="57"/>
        <v/>
      </c>
      <c r="R957" s="32" t="str">
        <f>IFERROR(VLOOKUP($D957,'Informations sur les produits'!$A$3:$B$15000,2,FALSE),"")</f>
        <v/>
      </c>
      <c r="V957">
        <f t="shared" si="58"/>
        <v>0</v>
      </c>
      <c r="W957">
        <f t="shared" si="59"/>
        <v>0</v>
      </c>
    </row>
    <row r="958" spans="5:23" x14ac:dyDescent="0.25">
      <c r="E958" s="4"/>
      <c r="F958" s="4"/>
      <c r="G958" s="33" t="str">
        <f>IFERROR(VLOOKUP($D958,'Informations sur les produits'!$A$3:$H$10000,8,FALSE),"0")</f>
        <v>0</v>
      </c>
      <c r="K958" s="4"/>
      <c r="L958" s="33" t="str">
        <f>IFERROR(VLOOKUP($J958,'Informations sur les produits'!$A$3:$H$10000,8,FALSE),"0")</f>
        <v>0</v>
      </c>
      <c r="N958" s="8"/>
      <c r="O958" s="33" t="str">
        <f>IFERROR(VLOOKUP($M958,'Informations sur les produits'!$A$3:$H$10000,8,FALSE),"0")</f>
        <v>0</v>
      </c>
      <c r="P958" s="33">
        <f t="shared" si="56"/>
        <v>0</v>
      </c>
      <c r="Q958" s="31" t="str">
        <f t="shared" si="57"/>
        <v/>
      </c>
      <c r="R958" s="32" t="str">
        <f>IFERROR(VLOOKUP($D958,'Informations sur les produits'!$A$3:$B$15000,2,FALSE),"")</f>
        <v/>
      </c>
      <c r="V958">
        <f t="shared" si="58"/>
        <v>0</v>
      </c>
      <c r="W958">
        <f t="shared" si="59"/>
        <v>0</v>
      </c>
    </row>
    <row r="959" spans="5:23" x14ac:dyDescent="0.25">
      <c r="E959" s="4"/>
      <c r="F959" s="4"/>
      <c r="G959" s="33" t="str">
        <f>IFERROR(VLOOKUP($D959,'Informations sur les produits'!$A$3:$H$10000,8,FALSE),"0")</f>
        <v>0</v>
      </c>
      <c r="K959" s="4"/>
      <c r="L959" s="33" t="str">
        <f>IFERROR(VLOOKUP($J959,'Informations sur les produits'!$A$3:$H$10000,8,FALSE),"0")</f>
        <v>0</v>
      </c>
      <c r="N959" s="8"/>
      <c r="O959" s="33" t="str">
        <f>IFERROR(VLOOKUP($M959,'Informations sur les produits'!$A$3:$H$10000,8,FALSE),"0")</f>
        <v>0</v>
      </c>
      <c r="P959" s="33">
        <f t="shared" si="56"/>
        <v>0</v>
      </c>
      <c r="Q959" s="31" t="str">
        <f t="shared" si="57"/>
        <v/>
      </c>
      <c r="R959" s="32" t="str">
        <f>IFERROR(VLOOKUP($D959,'Informations sur les produits'!$A$3:$B$15000,2,FALSE),"")</f>
        <v/>
      </c>
      <c r="V959">
        <f t="shared" si="58"/>
        <v>0</v>
      </c>
      <c r="W959">
        <f t="shared" si="59"/>
        <v>0</v>
      </c>
    </row>
    <row r="960" spans="5:23" x14ac:dyDescent="0.25">
      <c r="E960" s="4"/>
      <c r="F960" s="4"/>
      <c r="G960" s="33" t="str">
        <f>IFERROR(VLOOKUP($D960,'Informations sur les produits'!$A$3:$H$10000,8,FALSE),"0")</f>
        <v>0</v>
      </c>
      <c r="K960" s="4"/>
      <c r="L960" s="33" t="str">
        <f>IFERROR(VLOOKUP($J960,'Informations sur les produits'!$A$3:$H$10000,8,FALSE),"0")</f>
        <v>0</v>
      </c>
      <c r="N960" s="8"/>
      <c r="O960" s="33" t="str">
        <f>IFERROR(VLOOKUP($M960,'Informations sur les produits'!$A$3:$H$10000,8,FALSE),"0")</f>
        <v>0</v>
      </c>
      <c r="P960" s="33">
        <f t="shared" si="56"/>
        <v>0</v>
      </c>
      <c r="Q960" s="31" t="str">
        <f t="shared" si="57"/>
        <v/>
      </c>
      <c r="R960" s="32" t="str">
        <f>IFERROR(VLOOKUP($D960,'Informations sur les produits'!$A$3:$B$15000,2,FALSE),"")</f>
        <v/>
      </c>
      <c r="V960">
        <f t="shared" si="58"/>
        <v>0</v>
      </c>
      <c r="W960">
        <f t="shared" si="59"/>
        <v>0</v>
      </c>
    </row>
    <row r="961" spans="5:23" x14ac:dyDescent="0.25">
      <c r="E961" s="4"/>
      <c r="F961" s="4"/>
      <c r="G961" s="33" t="str">
        <f>IFERROR(VLOOKUP($D961,'Informations sur les produits'!$A$3:$H$10000,8,FALSE),"0")</f>
        <v>0</v>
      </c>
      <c r="K961" s="4"/>
      <c r="L961" s="33" t="str">
        <f>IFERROR(VLOOKUP($J961,'Informations sur les produits'!$A$3:$H$10000,8,FALSE),"0")</f>
        <v>0</v>
      </c>
      <c r="N961" s="8"/>
      <c r="O961" s="33" t="str">
        <f>IFERROR(VLOOKUP($M961,'Informations sur les produits'!$A$3:$H$10000,8,FALSE),"0")</f>
        <v>0</v>
      </c>
      <c r="P961" s="33">
        <f t="shared" si="56"/>
        <v>0</v>
      </c>
      <c r="Q961" s="31" t="str">
        <f t="shared" si="57"/>
        <v/>
      </c>
      <c r="R961" s="32" t="str">
        <f>IFERROR(VLOOKUP($D961,'Informations sur les produits'!$A$3:$B$15000,2,FALSE),"")</f>
        <v/>
      </c>
      <c r="V961">
        <f t="shared" si="58"/>
        <v>0</v>
      </c>
      <c r="W961">
        <f t="shared" si="59"/>
        <v>0</v>
      </c>
    </row>
    <row r="962" spans="5:23" x14ac:dyDescent="0.25">
      <c r="E962" s="4"/>
      <c r="F962" s="4"/>
      <c r="G962" s="33" t="str">
        <f>IFERROR(VLOOKUP($D962,'Informations sur les produits'!$A$3:$H$10000,8,FALSE),"0")</f>
        <v>0</v>
      </c>
      <c r="K962" s="4"/>
      <c r="L962" s="33" t="str">
        <f>IFERROR(VLOOKUP($J962,'Informations sur les produits'!$A$3:$H$10000,8,FALSE),"0")</f>
        <v>0</v>
      </c>
      <c r="N962" s="8"/>
      <c r="O962" s="33" t="str">
        <f>IFERROR(VLOOKUP($M962,'Informations sur les produits'!$A$3:$H$10000,8,FALSE),"0")</f>
        <v>0</v>
      </c>
      <c r="P962" s="33">
        <f t="shared" si="56"/>
        <v>0</v>
      </c>
      <c r="Q962" s="31" t="str">
        <f t="shared" si="57"/>
        <v/>
      </c>
      <c r="R962" s="32" t="str">
        <f>IFERROR(VLOOKUP($D962,'Informations sur les produits'!$A$3:$B$15000,2,FALSE),"")</f>
        <v/>
      </c>
      <c r="V962">
        <f t="shared" si="58"/>
        <v>0</v>
      </c>
      <c r="W962">
        <f t="shared" si="59"/>
        <v>0</v>
      </c>
    </row>
    <row r="963" spans="5:23" x14ac:dyDescent="0.25">
      <c r="E963" s="4"/>
      <c r="F963" s="4"/>
      <c r="G963" s="33" t="str">
        <f>IFERROR(VLOOKUP($D963,'Informations sur les produits'!$A$3:$H$10000,8,FALSE),"0")</f>
        <v>0</v>
      </c>
      <c r="K963" s="4"/>
      <c r="L963" s="33" t="str">
        <f>IFERROR(VLOOKUP($J963,'Informations sur les produits'!$A$3:$H$10000,8,FALSE),"0")</f>
        <v>0</v>
      </c>
      <c r="N963" s="8"/>
      <c r="O963" s="33" t="str">
        <f>IFERROR(VLOOKUP($M963,'Informations sur les produits'!$A$3:$H$10000,8,FALSE),"0")</f>
        <v>0</v>
      </c>
      <c r="P963" s="33">
        <f t="shared" si="56"/>
        <v>0</v>
      </c>
      <c r="Q963" s="31" t="str">
        <f t="shared" si="57"/>
        <v/>
      </c>
      <c r="R963" s="32" t="str">
        <f>IFERROR(VLOOKUP($D963,'Informations sur les produits'!$A$3:$B$15000,2,FALSE),"")</f>
        <v/>
      </c>
      <c r="V963">
        <f t="shared" si="58"/>
        <v>0</v>
      </c>
      <c r="W963">
        <f t="shared" si="59"/>
        <v>0</v>
      </c>
    </row>
    <row r="964" spans="5:23" x14ac:dyDescent="0.25">
      <c r="E964" s="4"/>
      <c r="F964" s="4"/>
      <c r="G964" s="33" t="str">
        <f>IFERROR(VLOOKUP($D964,'Informations sur les produits'!$A$3:$H$10000,8,FALSE),"0")</f>
        <v>0</v>
      </c>
      <c r="K964" s="4"/>
      <c r="L964" s="33" t="str">
        <f>IFERROR(VLOOKUP($J964,'Informations sur les produits'!$A$3:$H$10000,8,FALSE),"0")</f>
        <v>0</v>
      </c>
      <c r="N964" s="8"/>
      <c r="O964" s="33" t="str">
        <f>IFERROR(VLOOKUP($M964,'Informations sur les produits'!$A$3:$H$10000,8,FALSE),"0")</f>
        <v>0</v>
      </c>
      <c r="P964" s="33">
        <f t="shared" ref="P964:P1027" si="60">IFERROR((($E964-$F964)*$G964+$K964*$L964+$N964*$O964),"")</f>
        <v>0</v>
      </c>
      <c r="Q964" s="31" t="str">
        <f t="shared" ref="Q964:Q1027" si="61">IFERROR((((($E964-$F964)*$G964+$K964*$L964+$N964*$O964)*1000)/(($E964-$F964)+$K964+$N964)),"")</f>
        <v/>
      </c>
      <c r="R964" s="32" t="str">
        <f>IFERROR(VLOOKUP($D964,'Informations sur les produits'!$A$3:$B$15000,2,FALSE),"")</f>
        <v/>
      </c>
      <c r="V964">
        <f t="shared" ref="V964:V1027" si="62">IFERROR(P964*1000,"")</f>
        <v>0</v>
      </c>
      <c r="W964">
        <f t="shared" ref="W964:W1027" si="63">IFERROR(($E964-$F964)+$K964+$N964,"")</f>
        <v>0</v>
      </c>
    </row>
    <row r="965" spans="5:23" x14ac:dyDescent="0.25">
      <c r="E965" s="4"/>
      <c r="F965" s="4"/>
      <c r="G965" s="33" t="str">
        <f>IFERROR(VLOOKUP($D965,'Informations sur les produits'!$A$3:$H$10000,8,FALSE),"0")</f>
        <v>0</v>
      </c>
      <c r="K965" s="4"/>
      <c r="L965" s="33" t="str">
        <f>IFERROR(VLOOKUP($J965,'Informations sur les produits'!$A$3:$H$10000,8,FALSE),"0")</f>
        <v>0</v>
      </c>
      <c r="N965" s="8"/>
      <c r="O965" s="33" t="str">
        <f>IFERROR(VLOOKUP($M965,'Informations sur les produits'!$A$3:$H$10000,8,FALSE),"0")</f>
        <v>0</v>
      </c>
      <c r="P965" s="33">
        <f t="shared" si="60"/>
        <v>0</v>
      </c>
      <c r="Q965" s="31" t="str">
        <f t="shared" si="61"/>
        <v/>
      </c>
      <c r="R965" s="32" t="str">
        <f>IFERROR(VLOOKUP($D965,'Informations sur les produits'!$A$3:$B$15000,2,FALSE),"")</f>
        <v/>
      </c>
      <c r="V965">
        <f t="shared" si="62"/>
        <v>0</v>
      </c>
      <c r="W965">
        <f t="shared" si="63"/>
        <v>0</v>
      </c>
    </row>
    <row r="966" spans="5:23" x14ac:dyDescent="0.25">
      <c r="E966" s="4"/>
      <c r="F966" s="4"/>
      <c r="G966" s="33" t="str">
        <f>IFERROR(VLOOKUP($D966,'Informations sur les produits'!$A$3:$H$10000,8,FALSE),"0")</f>
        <v>0</v>
      </c>
      <c r="K966" s="4"/>
      <c r="L966" s="33" t="str">
        <f>IFERROR(VLOOKUP($J966,'Informations sur les produits'!$A$3:$H$10000,8,FALSE),"0")</f>
        <v>0</v>
      </c>
      <c r="N966" s="8"/>
      <c r="O966" s="33" t="str">
        <f>IFERROR(VLOOKUP($M966,'Informations sur les produits'!$A$3:$H$10000,8,FALSE),"0")</f>
        <v>0</v>
      </c>
      <c r="P966" s="33">
        <f t="shared" si="60"/>
        <v>0</v>
      </c>
      <c r="Q966" s="31" t="str">
        <f t="shared" si="61"/>
        <v/>
      </c>
      <c r="R966" s="32" t="str">
        <f>IFERROR(VLOOKUP($D966,'Informations sur les produits'!$A$3:$B$15000,2,FALSE),"")</f>
        <v/>
      </c>
      <c r="V966">
        <f t="shared" si="62"/>
        <v>0</v>
      </c>
      <c r="W966">
        <f t="shared" si="63"/>
        <v>0</v>
      </c>
    </row>
    <row r="967" spans="5:23" x14ac:dyDescent="0.25">
      <c r="E967" s="4"/>
      <c r="F967" s="4"/>
      <c r="G967" s="33" t="str">
        <f>IFERROR(VLOOKUP($D967,'Informations sur les produits'!$A$3:$H$10000,8,FALSE),"0")</f>
        <v>0</v>
      </c>
      <c r="K967" s="4"/>
      <c r="L967" s="33" t="str">
        <f>IFERROR(VLOOKUP($J967,'Informations sur les produits'!$A$3:$H$10000,8,FALSE),"0")</f>
        <v>0</v>
      </c>
      <c r="N967" s="8"/>
      <c r="O967" s="33" t="str">
        <f>IFERROR(VLOOKUP($M967,'Informations sur les produits'!$A$3:$H$10000,8,FALSE),"0")</f>
        <v>0</v>
      </c>
      <c r="P967" s="33">
        <f t="shared" si="60"/>
        <v>0</v>
      </c>
      <c r="Q967" s="31" t="str">
        <f t="shared" si="61"/>
        <v/>
      </c>
      <c r="R967" s="32" t="str">
        <f>IFERROR(VLOOKUP($D967,'Informations sur les produits'!$A$3:$B$15000,2,FALSE),"")</f>
        <v/>
      </c>
      <c r="V967">
        <f t="shared" si="62"/>
        <v>0</v>
      </c>
      <c r="W967">
        <f t="shared" si="63"/>
        <v>0</v>
      </c>
    </row>
    <row r="968" spans="5:23" x14ac:dyDescent="0.25">
      <c r="E968" s="4"/>
      <c r="F968" s="4"/>
      <c r="G968" s="33" t="str">
        <f>IFERROR(VLOOKUP($D968,'Informations sur les produits'!$A$3:$H$10000,8,FALSE),"0")</f>
        <v>0</v>
      </c>
      <c r="K968" s="4"/>
      <c r="L968" s="33" t="str">
        <f>IFERROR(VLOOKUP($J968,'Informations sur les produits'!$A$3:$H$10000,8,FALSE),"0")</f>
        <v>0</v>
      </c>
      <c r="N968" s="8"/>
      <c r="O968" s="33" t="str">
        <f>IFERROR(VLOOKUP($M968,'Informations sur les produits'!$A$3:$H$10000,8,FALSE),"0")</f>
        <v>0</v>
      </c>
      <c r="P968" s="33">
        <f t="shared" si="60"/>
        <v>0</v>
      </c>
      <c r="Q968" s="31" t="str">
        <f t="shared" si="61"/>
        <v/>
      </c>
      <c r="R968" s="32" t="str">
        <f>IFERROR(VLOOKUP($D968,'Informations sur les produits'!$A$3:$B$15000,2,FALSE),"")</f>
        <v/>
      </c>
      <c r="V968">
        <f t="shared" si="62"/>
        <v>0</v>
      </c>
      <c r="W968">
        <f t="shared" si="63"/>
        <v>0</v>
      </c>
    </row>
    <row r="969" spans="5:23" x14ac:dyDescent="0.25">
      <c r="E969" s="4"/>
      <c r="F969" s="4"/>
      <c r="G969" s="33" t="str">
        <f>IFERROR(VLOOKUP($D969,'Informations sur les produits'!$A$3:$H$10000,8,FALSE),"0")</f>
        <v>0</v>
      </c>
      <c r="K969" s="4"/>
      <c r="L969" s="33" t="str">
        <f>IFERROR(VLOOKUP($J969,'Informations sur les produits'!$A$3:$H$10000,8,FALSE),"0")</f>
        <v>0</v>
      </c>
      <c r="N969" s="8"/>
      <c r="O969" s="33" t="str">
        <f>IFERROR(VLOOKUP($M969,'Informations sur les produits'!$A$3:$H$10000,8,FALSE),"0")</f>
        <v>0</v>
      </c>
      <c r="P969" s="33">
        <f t="shared" si="60"/>
        <v>0</v>
      </c>
      <c r="Q969" s="31" t="str">
        <f t="shared" si="61"/>
        <v/>
      </c>
      <c r="R969" s="32" t="str">
        <f>IFERROR(VLOOKUP($D969,'Informations sur les produits'!$A$3:$B$15000,2,FALSE),"")</f>
        <v/>
      </c>
      <c r="V969">
        <f t="shared" si="62"/>
        <v>0</v>
      </c>
      <c r="W969">
        <f t="shared" si="63"/>
        <v>0</v>
      </c>
    </row>
    <row r="970" spans="5:23" x14ac:dyDescent="0.25">
      <c r="E970" s="4"/>
      <c r="F970" s="4"/>
      <c r="G970" s="33" t="str">
        <f>IFERROR(VLOOKUP($D970,'Informations sur les produits'!$A$3:$H$10000,8,FALSE),"0")</f>
        <v>0</v>
      </c>
      <c r="K970" s="4"/>
      <c r="L970" s="33" t="str">
        <f>IFERROR(VLOOKUP($J970,'Informations sur les produits'!$A$3:$H$10000,8,FALSE),"0")</f>
        <v>0</v>
      </c>
      <c r="N970" s="8"/>
      <c r="O970" s="33" t="str">
        <f>IFERROR(VLOOKUP($M970,'Informations sur les produits'!$A$3:$H$10000,8,FALSE),"0")</f>
        <v>0</v>
      </c>
      <c r="P970" s="33">
        <f t="shared" si="60"/>
        <v>0</v>
      </c>
      <c r="Q970" s="31" t="str">
        <f t="shared" si="61"/>
        <v/>
      </c>
      <c r="R970" s="32" t="str">
        <f>IFERROR(VLOOKUP($D970,'Informations sur les produits'!$A$3:$B$15000,2,FALSE),"")</f>
        <v/>
      </c>
      <c r="V970">
        <f t="shared" si="62"/>
        <v>0</v>
      </c>
      <c r="W970">
        <f t="shared" si="63"/>
        <v>0</v>
      </c>
    </row>
    <row r="971" spans="5:23" x14ac:dyDescent="0.25">
      <c r="E971" s="4"/>
      <c r="F971" s="4"/>
      <c r="G971" s="33" t="str">
        <f>IFERROR(VLOOKUP($D971,'Informations sur les produits'!$A$3:$H$10000,8,FALSE),"0")</f>
        <v>0</v>
      </c>
      <c r="K971" s="4"/>
      <c r="L971" s="33" t="str">
        <f>IFERROR(VLOOKUP($J971,'Informations sur les produits'!$A$3:$H$10000,8,FALSE),"0")</f>
        <v>0</v>
      </c>
      <c r="N971" s="8"/>
      <c r="O971" s="33" t="str">
        <f>IFERROR(VLOOKUP($M971,'Informations sur les produits'!$A$3:$H$10000,8,FALSE),"0")</f>
        <v>0</v>
      </c>
      <c r="P971" s="33">
        <f t="shared" si="60"/>
        <v>0</v>
      </c>
      <c r="Q971" s="31" t="str">
        <f t="shared" si="61"/>
        <v/>
      </c>
      <c r="R971" s="32" t="str">
        <f>IFERROR(VLOOKUP($D971,'Informations sur les produits'!$A$3:$B$15000,2,FALSE),"")</f>
        <v/>
      </c>
      <c r="V971">
        <f t="shared" si="62"/>
        <v>0</v>
      </c>
      <c r="W971">
        <f t="shared" si="63"/>
        <v>0</v>
      </c>
    </row>
    <row r="972" spans="5:23" x14ac:dyDescent="0.25">
      <c r="E972" s="4"/>
      <c r="F972" s="4"/>
      <c r="G972" s="33" t="str">
        <f>IFERROR(VLOOKUP($D972,'Informations sur les produits'!$A$3:$H$10000,8,FALSE),"0")</f>
        <v>0</v>
      </c>
      <c r="K972" s="4"/>
      <c r="L972" s="33" t="str">
        <f>IFERROR(VLOOKUP($J972,'Informations sur les produits'!$A$3:$H$10000,8,FALSE),"0")</f>
        <v>0</v>
      </c>
      <c r="N972" s="8"/>
      <c r="O972" s="33" t="str">
        <f>IFERROR(VLOOKUP($M972,'Informations sur les produits'!$A$3:$H$10000,8,FALSE),"0")</f>
        <v>0</v>
      </c>
      <c r="P972" s="33">
        <f t="shared" si="60"/>
        <v>0</v>
      </c>
      <c r="Q972" s="31" t="str">
        <f t="shared" si="61"/>
        <v/>
      </c>
      <c r="R972" s="32" t="str">
        <f>IFERROR(VLOOKUP($D972,'Informations sur les produits'!$A$3:$B$15000,2,FALSE),"")</f>
        <v/>
      </c>
      <c r="V972">
        <f t="shared" si="62"/>
        <v>0</v>
      </c>
      <c r="W972">
        <f t="shared" si="63"/>
        <v>0</v>
      </c>
    </row>
    <row r="973" spans="5:23" x14ac:dyDescent="0.25">
      <c r="E973" s="4"/>
      <c r="F973" s="4"/>
      <c r="G973" s="33" t="str">
        <f>IFERROR(VLOOKUP($D973,'Informations sur les produits'!$A$3:$H$10000,8,FALSE),"0")</f>
        <v>0</v>
      </c>
      <c r="K973" s="4"/>
      <c r="L973" s="33" t="str">
        <f>IFERROR(VLOOKUP($J973,'Informations sur les produits'!$A$3:$H$10000,8,FALSE),"0")</f>
        <v>0</v>
      </c>
      <c r="N973" s="8"/>
      <c r="O973" s="33" t="str">
        <f>IFERROR(VLOOKUP($M973,'Informations sur les produits'!$A$3:$H$10000,8,FALSE),"0")</f>
        <v>0</v>
      </c>
      <c r="P973" s="33">
        <f t="shared" si="60"/>
        <v>0</v>
      </c>
      <c r="Q973" s="31" t="str">
        <f t="shared" si="61"/>
        <v/>
      </c>
      <c r="R973" s="32" t="str">
        <f>IFERROR(VLOOKUP($D973,'Informations sur les produits'!$A$3:$B$15000,2,FALSE),"")</f>
        <v/>
      </c>
      <c r="V973">
        <f t="shared" si="62"/>
        <v>0</v>
      </c>
      <c r="W973">
        <f t="shared" si="63"/>
        <v>0</v>
      </c>
    </row>
    <row r="974" spans="5:23" x14ac:dyDescent="0.25">
      <c r="E974" s="4"/>
      <c r="F974" s="4"/>
      <c r="G974" s="33" t="str">
        <f>IFERROR(VLOOKUP($D974,'Informations sur les produits'!$A$3:$H$10000,8,FALSE),"0")</f>
        <v>0</v>
      </c>
      <c r="K974" s="4"/>
      <c r="L974" s="33" t="str">
        <f>IFERROR(VLOOKUP($J974,'Informations sur les produits'!$A$3:$H$10000,8,FALSE),"0")</f>
        <v>0</v>
      </c>
      <c r="N974" s="8"/>
      <c r="O974" s="33" t="str">
        <f>IFERROR(VLOOKUP($M974,'Informations sur les produits'!$A$3:$H$10000,8,FALSE),"0")</f>
        <v>0</v>
      </c>
      <c r="P974" s="33">
        <f t="shared" si="60"/>
        <v>0</v>
      </c>
      <c r="Q974" s="31" t="str">
        <f t="shared" si="61"/>
        <v/>
      </c>
      <c r="R974" s="32" t="str">
        <f>IFERROR(VLOOKUP($D974,'Informations sur les produits'!$A$3:$B$15000,2,FALSE),"")</f>
        <v/>
      </c>
      <c r="V974">
        <f t="shared" si="62"/>
        <v>0</v>
      </c>
      <c r="W974">
        <f t="shared" si="63"/>
        <v>0</v>
      </c>
    </row>
    <row r="975" spans="5:23" x14ac:dyDescent="0.25">
      <c r="E975" s="4"/>
      <c r="F975" s="4"/>
      <c r="G975" s="33" t="str">
        <f>IFERROR(VLOOKUP($D975,'Informations sur les produits'!$A$3:$H$10000,8,FALSE),"0")</f>
        <v>0</v>
      </c>
      <c r="K975" s="4"/>
      <c r="L975" s="33" t="str">
        <f>IFERROR(VLOOKUP($J975,'Informations sur les produits'!$A$3:$H$10000,8,FALSE),"0")</f>
        <v>0</v>
      </c>
      <c r="N975" s="8"/>
      <c r="O975" s="33" t="str">
        <f>IFERROR(VLOOKUP($M975,'Informations sur les produits'!$A$3:$H$10000,8,FALSE),"0")</f>
        <v>0</v>
      </c>
      <c r="P975" s="33">
        <f t="shared" si="60"/>
        <v>0</v>
      </c>
      <c r="Q975" s="31" t="str">
        <f t="shared" si="61"/>
        <v/>
      </c>
      <c r="R975" s="32" t="str">
        <f>IFERROR(VLOOKUP($D975,'Informations sur les produits'!$A$3:$B$15000,2,FALSE),"")</f>
        <v/>
      </c>
      <c r="V975">
        <f t="shared" si="62"/>
        <v>0</v>
      </c>
      <c r="W975">
        <f t="shared" si="63"/>
        <v>0</v>
      </c>
    </row>
    <row r="976" spans="5:23" x14ac:dyDescent="0.25">
      <c r="E976" s="4"/>
      <c r="F976" s="4"/>
      <c r="G976" s="33" t="str">
        <f>IFERROR(VLOOKUP($D976,'Informations sur les produits'!$A$3:$H$10000,8,FALSE),"0")</f>
        <v>0</v>
      </c>
      <c r="K976" s="4"/>
      <c r="L976" s="33" t="str">
        <f>IFERROR(VLOOKUP($J976,'Informations sur les produits'!$A$3:$H$10000,8,FALSE),"0")</f>
        <v>0</v>
      </c>
      <c r="N976" s="8"/>
      <c r="O976" s="33" t="str">
        <f>IFERROR(VLOOKUP($M976,'Informations sur les produits'!$A$3:$H$10000,8,FALSE),"0")</f>
        <v>0</v>
      </c>
      <c r="P976" s="33">
        <f t="shared" si="60"/>
        <v>0</v>
      </c>
      <c r="Q976" s="31" t="str">
        <f t="shared" si="61"/>
        <v/>
      </c>
      <c r="R976" s="32" t="str">
        <f>IFERROR(VLOOKUP($D976,'Informations sur les produits'!$A$3:$B$15000,2,FALSE),"")</f>
        <v/>
      </c>
      <c r="V976">
        <f t="shared" si="62"/>
        <v>0</v>
      </c>
      <c r="W976">
        <f t="shared" si="63"/>
        <v>0</v>
      </c>
    </row>
    <row r="977" spans="5:23" x14ac:dyDescent="0.25">
      <c r="E977" s="4"/>
      <c r="F977" s="4"/>
      <c r="G977" s="33" t="str">
        <f>IFERROR(VLOOKUP($D977,'Informations sur les produits'!$A$3:$H$10000,8,FALSE),"0")</f>
        <v>0</v>
      </c>
      <c r="K977" s="4"/>
      <c r="L977" s="33" t="str">
        <f>IFERROR(VLOOKUP($J977,'Informations sur les produits'!$A$3:$H$10000,8,FALSE),"0")</f>
        <v>0</v>
      </c>
      <c r="N977" s="8"/>
      <c r="O977" s="33" t="str">
        <f>IFERROR(VLOOKUP($M977,'Informations sur les produits'!$A$3:$H$10000,8,FALSE),"0")</f>
        <v>0</v>
      </c>
      <c r="P977" s="33">
        <f t="shared" si="60"/>
        <v>0</v>
      </c>
      <c r="Q977" s="31" t="str">
        <f t="shared" si="61"/>
        <v/>
      </c>
      <c r="R977" s="32" t="str">
        <f>IFERROR(VLOOKUP($D977,'Informations sur les produits'!$A$3:$B$15000,2,FALSE),"")</f>
        <v/>
      </c>
      <c r="V977">
        <f t="shared" si="62"/>
        <v>0</v>
      </c>
      <c r="W977">
        <f t="shared" si="63"/>
        <v>0</v>
      </c>
    </row>
    <row r="978" spans="5:23" x14ac:dyDescent="0.25">
      <c r="E978" s="4"/>
      <c r="F978" s="4"/>
      <c r="G978" s="33" t="str">
        <f>IFERROR(VLOOKUP($D978,'Informations sur les produits'!$A$3:$H$10000,8,FALSE),"0")</f>
        <v>0</v>
      </c>
      <c r="K978" s="4"/>
      <c r="L978" s="33" t="str">
        <f>IFERROR(VLOOKUP($J978,'Informations sur les produits'!$A$3:$H$10000,8,FALSE),"0")</f>
        <v>0</v>
      </c>
      <c r="N978" s="8"/>
      <c r="O978" s="33" t="str">
        <f>IFERROR(VLOOKUP($M978,'Informations sur les produits'!$A$3:$H$10000,8,FALSE),"0")</f>
        <v>0</v>
      </c>
      <c r="P978" s="33">
        <f t="shared" si="60"/>
        <v>0</v>
      </c>
      <c r="Q978" s="31" t="str">
        <f t="shared" si="61"/>
        <v/>
      </c>
      <c r="R978" s="32" t="str">
        <f>IFERROR(VLOOKUP($D978,'Informations sur les produits'!$A$3:$B$15000,2,FALSE),"")</f>
        <v/>
      </c>
      <c r="V978">
        <f t="shared" si="62"/>
        <v>0</v>
      </c>
      <c r="W978">
        <f t="shared" si="63"/>
        <v>0</v>
      </c>
    </row>
    <row r="979" spans="5:23" x14ac:dyDescent="0.25">
      <c r="E979" s="4"/>
      <c r="F979" s="4"/>
      <c r="G979" s="33" t="str">
        <f>IFERROR(VLOOKUP($D979,'Informations sur les produits'!$A$3:$H$10000,8,FALSE),"0")</f>
        <v>0</v>
      </c>
      <c r="K979" s="4"/>
      <c r="L979" s="33" t="str">
        <f>IFERROR(VLOOKUP($J979,'Informations sur les produits'!$A$3:$H$10000,8,FALSE),"0")</f>
        <v>0</v>
      </c>
      <c r="N979" s="8"/>
      <c r="O979" s="33" t="str">
        <f>IFERROR(VLOOKUP($M979,'Informations sur les produits'!$A$3:$H$10000,8,FALSE),"0")</f>
        <v>0</v>
      </c>
      <c r="P979" s="33">
        <f t="shared" si="60"/>
        <v>0</v>
      </c>
      <c r="Q979" s="31" t="str">
        <f t="shared" si="61"/>
        <v/>
      </c>
      <c r="R979" s="32" t="str">
        <f>IFERROR(VLOOKUP($D979,'Informations sur les produits'!$A$3:$B$15000,2,FALSE),"")</f>
        <v/>
      </c>
      <c r="V979">
        <f t="shared" si="62"/>
        <v>0</v>
      </c>
      <c r="W979">
        <f t="shared" si="63"/>
        <v>0</v>
      </c>
    </row>
    <row r="980" spans="5:23" x14ac:dyDescent="0.25">
      <c r="E980" s="4"/>
      <c r="F980" s="4"/>
      <c r="G980" s="33" t="str">
        <f>IFERROR(VLOOKUP($D980,'Informations sur les produits'!$A$3:$H$10000,8,FALSE),"0")</f>
        <v>0</v>
      </c>
      <c r="K980" s="4"/>
      <c r="L980" s="33" t="str">
        <f>IFERROR(VLOOKUP($J980,'Informations sur les produits'!$A$3:$H$10000,8,FALSE),"0")</f>
        <v>0</v>
      </c>
      <c r="N980" s="8"/>
      <c r="O980" s="33" t="str">
        <f>IFERROR(VLOOKUP($M980,'Informations sur les produits'!$A$3:$H$10000,8,FALSE),"0")</f>
        <v>0</v>
      </c>
      <c r="P980" s="33">
        <f t="shared" si="60"/>
        <v>0</v>
      </c>
      <c r="Q980" s="31" t="str">
        <f t="shared" si="61"/>
        <v/>
      </c>
      <c r="R980" s="32" t="str">
        <f>IFERROR(VLOOKUP($D980,'Informations sur les produits'!$A$3:$B$15000,2,FALSE),"")</f>
        <v/>
      </c>
      <c r="V980">
        <f t="shared" si="62"/>
        <v>0</v>
      </c>
      <c r="W980">
        <f t="shared" si="63"/>
        <v>0</v>
      </c>
    </row>
    <row r="981" spans="5:23" x14ac:dyDescent="0.25">
      <c r="E981" s="4"/>
      <c r="F981" s="4"/>
      <c r="G981" s="33" t="str">
        <f>IFERROR(VLOOKUP($D981,'Informations sur les produits'!$A$3:$H$10000,8,FALSE),"0")</f>
        <v>0</v>
      </c>
      <c r="K981" s="4"/>
      <c r="L981" s="33" t="str">
        <f>IFERROR(VLOOKUP($J981,'Informations sur les produits'!$A$3:$H$10000,8,FALSE),"0")</f>
        <v>0</v>
      </c>
      <c r="N981" s="8"/>
      <c r="O981" s="33" t="str">
        <f>IFERROR(VLOOKUP($M981,'Informations sur les produits'!$A$3:$H$10000,8,FALSE),"0")</f>
        <v>0</v>
      </c>
      <c r="P981" s="33">
        <f t="shared" si="60"/>
        <v>0</v>
      </c>
      <c r="Q981" s="31" t="str">
        <f t="shared" si="61"/>
        <v/>
      </c>
      <c r="R981" s="32" t="str">
        <f>IFERROR(VLOOKUP($D981,'Informations sur les produits'!$A$3:$B$15000,2,FALSE),"")</f>
        <v/>
      </c>
      <c r="V981">
        <f t="shared" si="62"/>
        <v>0</v>
      </c>
      <c r="W981">
        <f t="shared" si="63"/>
        <v>0</v>
      </c>
    </row>
    <row r="982" spans="5:23" x14ac:dyDescent="0.25">
      <c r="E982" s="4"/>
      <c r="F982" s="4"/>
      <c r="G982" s="33" t="str">
        <f>IFERROR(VLOOKUP($D982,'Informations sur les produits'!$A$3:$H$10000,8,FALSE),"0")</f>
        <v>0</v>
      </c>
      <c r="K982" s="4"/>
      <c r="L982" s="33" t="str">
        <f>IFERROR(VLOOKUP($J982,'Informations sur les produits'!$A$3:$H$10000,8,FALSE),"0")</f>
        <v>0</v>
      </c>
      <c r="N982" s="8"/>
      <c r="O982" s="33" t="str">
        <f>IFERROR(VLOOKUP($M982,'Informations sur les produits'!$A$3:$H$10000,8,FALSE),"0")</f>
        <v>0</v>
      </c>
      <c r="P982" s="33">
        <f t="shared" si="60"/>
        <v>0</v>
      </c>
      <c r="Q982" s="31" t="str">
        <f t="shared" si="61"/>
        <v/>
      </c>
      <c r="R982" s="32" t="str">
        <f>IFERROR(VLOOKUP($D982,'Informations sur les produits'!$A$3:$B$15000,2,FALSE),"")</f>
        <v/>
      </c>
      <c r="V982">
        <f t="shared" si="62"/>
        <v>0</v>
      </c>
      <c r="W982">
        <f t="shared" si="63"/>
        <v>0</v>
      </c>
    </row>
    <row r="983" spans="5:23" x14ac:dyDescent="0.25">
      <c r="E983" s="4"/>
      <c r="F983" s="4"/>
      <c r="G983" s="33" t="str">
        <f>IFERROR(VLOOKUP($D983,'Informations sur les produits'!$A$3:$H$10000,8,FALSE),"0")</f>
        <v>0</v>
      </c>
      <c r="K983" s="4"/>
      <c r="L983" s="33" t="str">
        <f>IFERROR(VLOOKUP($J983,'Informations sur les produits'!$A$3:$H$10000,8,FALSE),"0")</f>
        <v>0</v>
      </c>
      <c r="N983" s="8"/>
      <c r="O983" s="33" t="str">
        <f>IFERROR(VLOOKUP($M983,'Informations sur les produits'!$A$3:$H$10000,8,FALSE),"0")</f>
        <v>0</v>
      </c>
      <c r="P983" s="33">
        <f t="shared" si="60"/>
        <v>0</v>
      </c>
      <c r="Q983" s="31" t="str">
        <f t="shared" si="61"/>
        <v/>
      </c>
      <c r="R983" s="32" t="str">
        <f>IFERROR(VLOOKUP($D983,'Informations sur les produits'!$A$3:$B$15000,2,FALSE),"")</f>
        <v/>
      </c>
      <c r="V983">
        <f t="shared" si="62"/>
        <v>0</v>
      </c>
      <c r="W983">
        <f t="shared" si="63"/>
        <v>0</v>
      </c>
    </row>
    <row r="984" spans="5:23" x14ac:dyDescent="0.25">
      <c r="E984" s="4"/>
      <c r="F984" s="4"/>
      <c r="G984" s="33" t="str">
        <f>IFERROR(VLOOKUP($D984,'Informations sur les produits'!$A$3:$H$10000,8,FALSE),"0")</f>
        <v>0</v>
      </c>
      <c r="K984" s="4"/>
      <c r="L984" s="33" t="str">
        <f>IFERROR(VLOOKUP($J984,'Informations sur les produits'!$A$3:$H$10000,8,FALSE),"0")</f>
        <v>0</v>
      </c>
      <c r="N984" s="8"/>
      <c r="O984" s="33" t="str">
        <f>IFERROR(VLOOKUP($M984,'Informations sur les produits'!$A$3:$H$10000,8,FALSE),"0")</f>
        <v>0</v>
      </c>
      <c r="P984" s="33">
        <f t="shared" si="60"/>
        <v>0</v>
      </c>
      <c r="Q984" s="31" t="str">
        <f t="shared" si="61"/>
        <v/>
      </c>
      <c r="R984" s="32" t="str">
        <f>IFERROR(VLOOKUP($D984,'Informations sur les produits'!$A$3:$B$15000,2,FALSE),"")</f>
        <v/>
      </c>
      <c r="V984">
        <f t="shared" si="62"/>
        <v>0</v>
      </c>
      <c r="W984">
        <f t="shared" si="63"/>
        <v>0</v>
      </c>
    </row>
    <row r="985" spans="5:23" x14ac:dyDescent="0.25">
      <c r="E985" s="4"/>
      <c r="F985" s="4"/>
      <c r="G985" s="33" t="str">
        <f>IFERROR(VLOOKUP($D985,'Informations sur les produits'!$A$3:$H$10000,8,FALSE),"0")</f>
        <v>0</v>
      </c>
      <c r="K985" s="4"/>
      <c r="L985" s="33" t="str">
        <f>IFERROR(VLOOKUP($J985,'Informations sur les produits'!$A$3:$H$10000,8,FALSE),"0")</f>
        <v>0</v>
      </c>
      <c r="N985" s="8"/>
      <c r="O985" s="33" t="str">
        <f>IFERROR(VLOOKUP($M985,'Informations sur les produits'!$A$3:$H$10000,8,FALSE),"0")</f>
        <v>0</v>
      </c>
      <c r="P985" s="33">
        <f t="shared" si="60"/>
        <v>0</v>
      </c>
      <c r="Q985" s="31" t="str">
        <f t="shared" si="61"/>
        <v/>
      </c>
      <c r="R985" s="32" t="str">
        <f>IFERROR(VLOOKUP($D985,'Informations sur les produits'!$A$3:$B$15000,2,FALSE),"")</f>
        <v/>
      </c>
      <c r="V985">
        <f t="shared" si="62"/>
        <v>0</v>
      </c>
      <c r="W985">
        <f t="shared" si="63"/>
        <v>0</v>
      </c>
    </row>
    <row r="986" spans="5:23" x14ac:dyDescent="0.25">
      <c r="E986" s="4"/>
      <c r="F986" s="4"/>
      <c r="G986" s="33" t="str">
        <f>IFERROR(VLOOKUP($D986,'Informations sur les produits'!$A$3:$H$10000,8,FALSE),"0")</f>
        <v>0</v>
      </c>
      <c r="K986" s="4"/>
      <c r="L986" s="33" t="str">
        <f>IFERROR(VLOOKUP($J986,'Informations sur les produits'!$A$3:$H$10000,8,FALSE),"0")</f>
        <v>0</v>
      </c>
      <c r="N986" s="8"/>
      <c r="O986" s="33" t="str">
        <f>IFERROR(VLOOKUP($M986,'Informations sur les produits'!$A$3:$H$10000,8,FALSE),"0")</f>
        <v>0</v>
      </c>
      <c r="P986" s="33">
        <f t="shared" si="60"/>
        <v>0</v>
      </c>
      <c r="Q986" s="31" t="str">
        <f t="shared" si="61"/>
        <v/>
      </c>
      <c r="R986" s="32" t="str">
        <f>IFERROR(VLOOKUP($D986,'Informations sur les produits'!$A$3:$B$15000,2,FALSE),"")</f>
        <v/>
      </c>
      <c r="V986">
        <f t="shared" si="62"/>
        <v>0</v>
      </c>
      <c r="W986">
        <f t="shared" si="63"/>
        <v>0</v>
      </c>
    </row>
    <row r="987" spans="5:23" x14ac:dyDescent="0.25">
      <c r="E987" s="4"/>
      <c r="F987" s="4"/>
      <c r="G987" s="33" t="str">
        <f>IFERROR(VLOOKUP($D987,'Informations sur les produits'!$A$3:$H$10000,8,FALSE),"0")</f>
        <v>0</v>
      </c>
      <c r="K987" s="4"/>
      <c r="L987" s="33" t="str">
        <f>IFERROR(VLOOKUP($J987,'Informations sur les produits'!$A$3:$H$10000,8,FALSE),"0")</f>
        <v>0</v>
      </c>
      <c r="N987" s="8"/>
      <c r="O987" s="33" t="str">
        <f>IFERROR(VLOOKUP($M987,'Informations sur les produits'!$A$3:$H$10000,8,FALSE),"0")</f>
        <v>0</v>
      </c>
      <c r="P987" s="33">
        <f t="shared" si="60"/>
        <v>0</v>
      </c>
      <c r="Q987" s="31" t="str">
        <f t="shared" si="61"/>
        <v/>
      </c>
      <c r="R987" s="32" t="str">
        <f>IFERROR(VLOOKUP($D987,'Informations sur les produits'!$A$3:$B$15000,2,FALSE),"")</f>
        <v/>
      </c>
      <c r="V987">
        <f t="shared" si="62"/>
        <v>0</v>
      </c>
      <c r="W987">
        <f t="shared" si="63"/>
        <v>0</v>
      </c>
    </row>
    <row r="988" spans="5:23" x14ac:dyDescent="0.25">
      <c r="E988" s="4"/>
      <c r="F988" s="4"/>
      <c r="G988" s="33" t="str">
        <f>IFERROR(VLOOKUP($D988,'Informations sur les produits'!$A$3:$H$10000,8,FALSE),"0")</f>
        <v>0</v>
      </c>
      <c r="K988" s="4"/>
      <c r="L988" s="33" t="str">
        <f>IFERROR(VLOOKUP($J988,'Informations sur les produits'!$A$3:$H$10000,8,FALSE),"0")</f>
        <v>0</v>
      </c>
      <c r="N988" s="8"/>
      <c r="O988" s="33" t="str">
        <f>IFERROR(VLOOKUP($M988,'Informations sur les produits'!$A$3:$H$10000,8,FALSE),"0")</f>
        <v>0</v>
      </c>
      <c r="P988" s="33">
        <f t="shared" si="60"/>
        <v>0</v>
      </c>
      <c r="Q988" s="31" t="str">
        <f t="shared" si="61"/>
        <v/>
      </c>
      <c r="R988" s="32" t="str">
        <f>IFERROR(VLOOKUP($D988,'Informations sur les produits'!$A$3:$B$15000,2,FALSE),"")</f>
        <v/>
      </c>
      <c r="V988">
        <f t="shared" si="62"/>
        <v>0</v>
      </c>
      <c r="W988">
        <f t="shared" si="63"/>
        <v>0</v>
      </c>
    </row>
    <row r="989" spans="5:23" x14ac:dyDescent="0.25">
      <c r="E989" s="4"/>
      <c r="F989" s="4"/>
      <c r="G989" s="33" t="str">
        <f>IFERROR(VLOOKUP($D989,'Informations sur les produits'!$A$3:$H$10000,8,FALSE),"0")</f>
        <v>0</v>
      </c>
      <c r="K989" s="4"/>
      <c r="L989" s="33" t="str">
        <f>IFERROR(VLOOKUP($J989,'Informations sur les produits'!$A$3:$H$10000,8,FALSE),"0")</f>
        <v>0</v>
      </c>
      <c r="N989" s="8"/>
      <c r="O989" s="33" t="str">
        <f>IFERROR(VLOOKUP($M989,'Informations sur les produits'!$A$3:$H$10000,8,FALSE),"0")</f>
        <v>0</v>
      </c>
      <c r="P989" s="33">
        <f t="shared" si="60"/>
        <v>0</v>
      </c>
      <c r="Q989" s="31" t="str">
        <f t="shared" si="61"/>
        <v/>
      </c>
      <c r="R989" s="32" t="str">
        <f>IFERROR(VLOOKUP($D989,'Informations sur les produits'!$A$3:$B$15000,2,FALSE),"")</f>
        <v/>
      </c>
      <c r="V989">
        <f t="shared" si="62"/>
        <v>0</v>
      </c>
      <c r="W989">
        <f t="shared" si="63"/>
        <v>0</v>
      </c>
    </row>
    <row r="990" spans="5:23" x14ac:dyDescent="0.25">
      <c r="E990" s="4"/>
      <c r="F990" s="4"/>
      <c r="G990" s="33" t="str">
        <f>IFERROR(VLOOKUP($D990,'Informations sur les produits'!$A$3:$H$10000,8,FALSE),"0")</f>
        <v>0</v>
      </c>
      <c r="K990" s="4"/>
      <c r="L990" s="33" t="str">
        <f>IFERROR(VLOOKUP($J990,'Informations sur les produits'!$A$3:$H$10000,8,FALSE),"0")</f>
        <v>0</v>
      </c>
      <c r="N990" s="8"/>
      <c r="O990" s="33" t="str">
        <f>IFERROR(VLOOKUP($M990,'Informations sur les produits'!$A$3:$H$10000,8,FALSE),"0")</f>
        <v>0</v>
      </c>
      <c r="P990" s="33">
        <f t="shared" si="60"/>
        <v>0</v>
      </c>
      <c r="Q990" s="31" t="str">
        <f t="shared" si="61"/>
        <v/>
      </c>
      <c r="R990" s="32" t="str">
        <f>IFERROR(VLOOKUP($D990,'Informations sur les produits'!$A$3:$B$15000,2,FALSE),"")</f>
        <v/>
      </c>
      <c r="V990">
        <f t="shared" si="62"/>
        <v>0</v>
      </c>
      <c r="W990">
        <f t="shared" si="63"/>
        <v>0</v>
      </c>
    </row>
    <row r="991" spans="5:23" x14ac:dyDescent="0.25">
      <c r="E991" s="4"/>
      <c r="F991" s="4"/>
      <c r="G991" s="33" t="str">
        <f>IFERROR(VLOOKUP($D991,'Informations sur les produits'!$A$3:$H$10000,8,FALSE),"0")</f>
        <v>0</v>
      </c>
      <c r="K991" s="4"/>
      <c r="L991" s="33" t="str">
        <f>IFERROR(VLOOKUP($J991,'Informations sur les produits'!$A$3:$H$10000,8,FALSE),"0")</f>
        <v>0</v>
      </c>
      <c r="N991" s="8"/>
      <c r="O991" s="33" t="str">
        <f>IFERROR(VLOOKUP($M991,'Informations sur les produits'!$A$3:$H$10000,8,FALSE),"0")</f>
        <v>0</v>
      </c>
      <c r="P991" s="33">
        <f t="shared" si="60"/>
        <v>0</v>
      </c>
      <c r="Q991" s="31" t="str">
        <f t="shared" si="61"/>
        <v/>
      </c>
      <c r="R991" s="32" t="str">
        <f>IFERROR(VLOOKUP($D991,'Informations sur les produits'!$A$3:$B$15000,2,FALSE),"")</f>
        <v/>
      </c>
      <c r="V991">
        <f t="shared" si="62"/>
        <v>0</v>
      </c>
      <c r="W991">
        <f t="shared" si="63"/>
        <v>0</v>
      </c>
    </row>
    <row r="992" spans="5:23" x14ac:dyDescent="0.25">
      <c r="E992" s="4"/>
      <c r="F992" s="4"/>
      <c r="G992" s="33" t="str">
        <f>IFERROR(VLOOKUP($D992,'Informations sur les produits'!$A$3:$H$10000,8,FALSE),"0")</f>
        <v>0</v>
      </c>
      <c r="K992" s="4"/>
      <c r="L992" s="33" t="str">
        <f>IFERROR(VLOOKUP($J992,'Informations sur les produits'!$A$3:$H$10000,8,FALSE),"0")</f>
        <v>0</v>
      </c>
      <c r="N992" s="8"/>
      <c r="O992" s="33" t="str">
        <f>IFERROR(VLOOKUP($M992,'Informations sur les produits'!$A$3:$H$10000,8,FALSE),"0")</f>
        <v>0</v>
      </c>
      <c r="P992" s="33">
        <f t="shared" si="60"/>
        <v>0</v>
      </c>
      <c r="Q992" s="31" t="str">
        <f t="shared" si="61"/>
        <v/>
      </c>
      <c r="R992" s="32" t="str">
        <f>IFERROR(VLOOKUP($D992,'Informations sur les produits'!$A$3:$B$15000,2,FALSE),"")</f>
        <v/>
      </c>
      <c r="V992">
        <f t="shared" si="62"/>
        <v>0</v>
      </c>
      <c r="W992">
        <f t="shared" si="63"/>
        <v>0</v>
      </c>
    </row>
    <row r="993" spans="5:23" x14ac:dyDescent="0.25">
      <c r="E993" s="4"/>
      <c r="F993" s="4"/>
      <c r="G993" s="33" t="str">
        <f>IFERROR(VLOOKUP($D993,'Informations sur les produits'!$A$3:$H$10000,8,FALSE),"0")</f>
        <v>0</v>
      </c>
      <c r="K993" s="4"/>
      <c r="L993" s="33" t="str">
        <f>IFERROR(VLOOKUP($J993,'Informations sur les produits'!$A$3:$H$10000,8,FALSE),"0")</f>
        <v>0</v>
      </c>
      <c r="N993" s="8"/>
      <c r="O993" s="33" t="str">
        <f>IFERROR(VLOOKUP($M993,'Informations sur les produits'!$A$3:$H$10000,8,FALSE),"0")</f>
        <v>0</v>
      </c>
      <c r="P993" s="33">
        <f t="shared" si="60"/>
        <v>0</v>
      </c>
      <c r="Q993" s="31" t="str">
        <f t="shared" si="61"/>
        <v/>
      </c>
      <c r="R993" s="32" t="str">
        <f>IFERROR(VLOOKUP($D993,'Informations sur les produits'!$A$3:$B$15000,2,FALSE),"")</f>
        <v/>
      </c>
      <c r="V993">
        <f t="shared" si="62"/>
        <v>0</v>
      </c>
      <c r="W993">
        <f t="shared" si="63"/>
        <v>0</v>
      </c>
    </row>
    <row r="994" spans="5:23" x14ac:dyDescent="0.25">
      <c r="E994" s="4"/>
      <c r="F994" s="4"/>
      <c r="G994" s="33" t="str">
        <f>IFERROR(VLOOKUP($D994,'Informations sur les produits'!$A$3:$H$10000,8,FALSE),"0")</f>
        <v>0</v>
      </c>
      <c r="K994" s="4"/>
      <c r="L994" s="33" t="str">
        <f>IFERROR(VLOOKUP($J994,'Informations sur les produits'!$A$3:$H$10000,8,FALSE),"0")</f>
        <v>0</v>
      </c>
      <c r="N994" s="8"/>
      <c r="O994" s="33" t="str">
        <f>IFERROR(VLOOKUP($M994,'Informations sur les produits'!$A$3:$H$10000,8,FALSE),"0")</f>
        <v>0</v>
      </c>
      <c r="P994" s="33">
        <f t="shared" si="60"/>
        <v>0</v>
      </c>
      <c r="Q994" s="31" t="str">
        <f t="shared" si="61"/>
        <v/>
      </c>
      <c r="R994" s="32" t="str">
        <f>IFERROR(VLOOKUP($D994,'Informations sur les produits'!$A$3:$B$15000,2,FALSE),"")</f>
        <v/>
      </c>
      <c r="V994">
        <f t="shared" si="62"/>
        <v>0</v>
      </c>
      <c r="W994">
        <f t="shared" si="63"/>
        <v>0</v>
      </c>
    </row>
    <row r="995" spans="5:23" x14ac:dyDescent="0.25">
      <c r="E995" s="4"/>
      <c r="F995" s="4"/>
      <c r="G995" s="33" t="str">
        <f>IFERROR(VLOOKUP($D995,'Informations sur les produits'!$A$3:$H$10000,8,FALSE),"0")</f>
        <v>0</v>
      </c>
      <c r="K995" s="4"/>
      <c r="L995" s="33" t="str">
        <f>IFERROR(VLOOKUP($J995,'Informations sur les produits'!$A$3:$H$10000,8,FALSE),"0")</f>
        <v>0</v>
      </c>
      <c r="N995" s="8"/>
      <c r="O995" s="33" t="str">
        <f>IFERROR(VLOOKUP($M995,'Informations sur les produits'!$A$3:$H$10000,8,FALSE),"0")</f>
        <v>0</v>
      </c>
      <c r="P995" s="33">
        <f t="shared" si="60"/>
        <v>0</v>
      </c>
      <c r="Q995" s="31" t="str">
        <f t="shared" si="61"/>
        <v/>
      </c>
      <c r="R995" s="32" t="str">
        <f>IFERROR(VLOOKUP($D995,'Informations sur les produits'!$A$3:$B$15000,2,FALSE),"")</f>
        <v/>
      </c>
      <c r="V995">
        <f t="shared" si="62"/>
        <v>0</v>
      </c>
      <c r="W995">
        <f t="shared" si="63"/>
        <v>0</v>
      </c>
    </row>
    <row r="996" spans="5:23" x14ac:dyDescent="0.25">
      <c r="E996" s="4"/>
      <c r="F996" s="4"/>
      <c r="G996" s="33" t="str">
        <f>IFERROR(VLOOKUP($D996,'Informations sur les produits'!$A$3:$H$10000,8,FALSE),"0")</f>
        <v>0</v>
      </c>
      <c r="K996" s="4"/>
      <c r="L996" s="33" t="str">
        <f>IFERROR(VLOOKUP($J996,'Informations sur les produits'!$A$3:$H$10000,8,FALSE),"0")</f>
        <v>0</v>
      </c>
      <c r="N996" s="8"/>
      <c r="O996" s="33" t="str">
        <f>IFERROR(VLOOKUP($M996,'Informations sur les produits'!$A$3:$H$10000,8,FALSE),"0")</f>
        <v>0</v>
      </c>
      <c r="P996" s="33">
        <f t="shared" si="60"/>
        <v>0</v>
      </c>
      <c r="Q996" s="31" t="str">
        <f t="shared" si="61"/>
        <v/>
      </c>
      <c r="R996" s="32" t="str">
        <f>IFERROR(VLOOKUP($D996,'Informations sur les produits'!$A$3:$B$15000,2,FALSE),"")</f>
        <v/>
      </c>
      <c r="V996">
        <f t="shared" si="62"/>
        <v>0</v>
      </c>
      <c r="W996">
        <f t="shared" si="63"/>
        <v>0</v>
      </c>
    </row>
    <row r="997" spans="5:23" x14ac:dyDescent="0.25">
      <c r="E997" s="4"/>
      <c r="F997" s="4"/>
      <c r="G997" s="33" t="str">
        <f>IFERROR(VLOOKUP($D997,'Informations sur les produits'!$A$3:$H$10000,8,FALSE),"0")</f>
        <v>0</v>
      </c>
      <c r="K997" s="4"/>
      <c r="L997" s="33" t="str">
        <f>IFERROR(VLOOKUP($J997,'Informations sur les produits'!$A$3:$H$10000,8,FALSE),"0")</f>
        <v>0</v>
      </c>
      <c r="N997" s="8"/>
      <c r="O997" s="33" t="str">
        <f>IFERROR(VLOOKUP($M997,'Informations sur les produits'!$A$3:$H$10000,8,FALSE),"0")</f>
        <v>0</v>
      </c>
      <c r="P997" s="33">
        <f t="shared" si="60"/>
        <v>0</v>
      </c>
      <c r="Q997" s="31" t="str">
        <f t="shared" si="61"/>
        <v/>
      </c>
      <c r="R997" s="32" t="str">
        <f>IFERROR(VLOOKUP($D997,'Informations sur les produits'!$A$3:$B$15000,2,FALSE),"")</f>
        <v/>
      </c>
      <c r="V997">
        <f t="shared" si="62"/>
        <v>0</v>
      </c>
      <c r="W997">
        <f t="shared" si="63"/>
        <v>0</v>
      </c>
    </row>
    <row r="998" spans="5:23" x14ac:dyDescent="0.25">
      <c r="E998" s="4"/>
      <c r="F998" s="4"/>
      <c r="G998" s="33" t="str">
        <f>IFERROR(VLOOKUP($D998,'Informations sur les produits'!$A$3:$H$10000,8,FALSE),"0")</f>
        <v>0</v>
      </c>
      <c r="K998" s="4"/>
      <c r="L998" s="33" t="str">
        <f>IFERROR(VLOOKUP($J998,'Informations sur les produits'!$A$3:$H$10000,8,FALSE),"0")</f>
        <v>0</v>
      </c>
      <c r="N998" s="8"/>
      <c r="O998" s="33" t="str">
        <f>IFERROR(VLOOKUP($M998,'Informations sur les produits'!$A$3:$H$10000,8,FALSE),"0")</f>
        <v>0</v>
      </c>
      <c r="P998" s="33">
        <f t="shared" si="60"/>
        <v>0</v>
      </c>
      <c r="Q998" s="31" t="str">
        <f t="shared" si="61"/>
        <v/>
      </c>
      <c r="R998" s="32" t="str">
        <f>IFERROR(VLOOKUP($D998,'Informations sur les produits'!$A$3:$B$15000,2,FALSE),"")</f>
        <v/>
      </c>
      <c r="V998">
        <f t="shared" si="62"/>
        <v>0</v>
      </c>
      <c r="W998">
        <f t="shared" si="63"/>
        <v>0</v>
      </c>
    </row>
    <row r="999" spans="5:23" x14ac:dyDescent="0.25">
      <c r="E999" s="4"/>
      <c r="F999" s="4"/>
      <c r="G999" s="33" t="str">
        <f>IFERROR(VLOOKUP($D999,'Informations sur les produits'!$A$3:$H$10000,8,FALSE),"0")</f>
        <v>0</v>
      </c>
      <c r="K999" s="4"/>
      <c r="L999" s="33" t="str">
        <f>IFERROR(VLOOKUP($J999,'Informations sur les produits'!$A$3:$H$10000,8,FALSE),"0")</f>
        <v>0</v>
      </c>
      <c r="N999" s="8"/>
      <c r="O999" s="33" t="str">
        <f>IFERROR(VLOOKUP($M999,'Informations sur les produits'!$A$3:$H$10000,8,FALSE),"0")</f>
        <v>0</v>
      </c>
      <c r="P999" s="33">
        <f t="shared" si="60"/>
        <v>0</v>
      </c>
      <c r="Q999" s="31" t="str">
        <f t="shared" si="61"/>
        <v/>
      </c>
      <c r="R999" s="32" t="str">
        <f>IFERROR(VLOOKUP($D999,'Informations sur les produits'!$A$3:$B$15000,2,FALSE),"")</f>
        <v/>
      </c>
      <c r="V999">
        <f t="shared" si="62"/>
        <v>0</v>
      </c>
      <c r="W999">
        <f t="shared" si="63"/>
        <v>0</v>
      </c>
    </row>
    <row r="1000" spans="5:23" x14ac:dyDescent="0.25">
      <c r="E1000" s="4"/>
      <c r="F1000" s="4"/>
      <c r="G1000" s="33" t="str">
        <f>IFERROR(VLOOKUP($D1000,'Informations sur les produits'!$A$3:$H$10000,8,FALSE),"0")</f>
        <v>0</v>
      </c>
      <c r="K1000" s="4"/>
      <c r="L1000" s="33" t="str">
        <f>IFERROR(VLOOKUP($J1000,'Informations sur les produits'!$A$3:$H$10000,8,FALSE),"0")</f>
        <v>0</v>
      </c>
      <c r="N1000" s="8"/>
      <c r="O1000" s="33" t="str">
        <f>IFERROR(VLOOKUP($M1000,'Informations sur les produits'!$A$3:$H$10000,8,FALSE),"0")</f>
        <v>0</v>
      </c>
      <c r="P1000" s="33">
        <f t="shared" si="60"/>
        <v>0</v>
      </c>
      <c r="Q1000" s="31" t="str">
        <f t="shared" si="61"/>
        <v/>
      </c>
      <c r="R1000" s="32" t="str">
        <f>IFERROR(VLOOKUP($D1000,'Informations sur les produits'!$A$3:$B$15000,2,FALSE),"")</f>
        <v/>
      </c>
      <c r="V1000">
        <f t="shared" si="62"/>
        <v>0</v>
      </c>
      <c r="W1000">
        <f t="shared" si="63"/>
        <v>0</v>
      </c>
    </row>
    <row r="1001" spans="5:23" x14ac:dyDescent="0.25">
      <c r="E1001" s="4"/>
      <c r="F1001" s="4"/>
      <c r="G1001" s="33" t="str">
        <f>IFERROR(VLOOKUP($D1001,'Informations sur les produits'!$A$3:$H$10000,8,FALSE),"0")</f>
        <v>0</v>
      </c>
      <c r="K1001" s="4"/>
      <c r="L1001" s="33" t="str">
        <f>IFERROR(VLOOKUP($J1001,'Informations sur les produits'!$A$3:$H$10000,8,FALSE),"0")</f>
        <v>0</v>
      </c>
      <c r="N1001" s="8"/>
      <c r="O1001" s="33" t="str">
        <f>IFERROR(VLOOKUP($M1001,'Informations sur les produits'!$A$3:$H$10000,8,FALSE),"0")</f>
        <v>0</v>
      </c>
      <c r="P1001" s="33">
        <f t="shared" si="60"/>
        <v>0</v>
      </c>
      <c r="Q1001" s="31" t="str">
        <f t="shared" si="61"/>
        <v/>
      </c>
      <c r="R1001" s="32" t="str">
        <f>IFERROR(VLOOKUP($D1001,'Informations sur les produits'!$A$3:$B$15000,2,FALSE),"")</f>
        <v/>
      </c>
      <c r="V1001">
        <f t="shared" si="62"/>
        <v>0</v>
      </c>
      <c r="W1001">
        <f t="shared" si="63"/>
        <v>0</v>
      </c>
    </row>
    <row r="1002" spans="5:23" x14ac:dyDescent="0.25">
      <c r="E1002" s="4"/>
      <c r="F1002" s="4"/>
      <c r="G1002" s="33" t="str">
        <f>IFERROR(VLOOKUP($D1002,'Informations sur les produits'!$A$3:$H$10000,8,FALSE),"0")</f>
        <v>0</v>
      </c>
      <c r="K1002" s="4"/>
      <c r="L1002" s="33" t="str">
        <f>IFERROR(VLOOKUP($J1002,'Informations sur les produits'!$A$3:$H$10000,8,FALSE),"0")</f>
        <v>0</v>
      </c>
      <c r="N1002" s="8"/>
      <c r="O1002" s="33" t="str">
        <f>IFERROR(VLOOKUP($M1002,'Informations sur les produits'!$A$3:$H$10000,8,FALSE),"0")</f>
        <v>0</v>
      </c>
      <c r="P1002" s="33">
        <f t="shared" si="60"/>
        <v>0</v>
      </c>
      <c r="Q1002" s="31" t="str">
        <f t="shared" si="61"/>
        <v/>
      </c>
      <c r="R1002" s="32" t="str">
        <f>IFERROR(VLOOKUP($D1002,'Informations sur les produits'!$A$3:$B$15000,2,FALSE),"")</f>
        <v/>
      </c>
      <c r="V1002">
        <f t="shared" si="62"/>
        <v>0</v>
      </c>
      <c r="W1002">
        <f t="shared" si="63"/>
        <v>0</v>
      </c>
    </row>
    <row r="1003" spans="5:23" x14ac:dyDescent="0.25">
      <c r="E1003" s="4"/>
      <c r="F1003" s="4"/>
      <c r="G1003" s="33" t="str">
        <f>IFERROR(VLOOKUP($D1003,'Informations sur les produits'!$A$3:$H$10000,8,FALSE),"0")</f>
        <v>0</v>
      </c>
      <c r="K1003" s="4"/>
      <c r="L1003" s="33" t="str">
        <f>IFERROR(VLOOKUP($J1003,'Informations sur les produits'!$A$3:$H$10000,8,FALSE),"0")</f>
        <v>0</v>
      </c>
      <c r="N1003" s="8"/>
      <c r="O1003" s="33" t="str">
        <f>IFERROR(VLOOKUP($M1003,'Informations sur les produits'!$A$3:$H$10000,8,FALSE),"0")</f>
        <v>0</v>
      </c>
      <c r="P1003" s="33">
        <f t="shared" si="60"/>
        <v>0</v>
      </c>
      <c r="Q1003" s="31" t="str">
        <f t="shared" si="61"/>
        <v/>
      </c>
      <c r="R1003" s="32" t="str">
        <f>IFERROR(VLOOKUP($D1003,'Informations sur les produits'!$A$3:$B$15000,2,FALSE),"")</f>
        <v/>
      </c>
      <c r="V1003">
        <f t="shared" si="62"/>
        <v>0</v>
      </c>
      <c r="W1003">
        <f t="shared" si="63"/>
        <v>0</v>
      </c>
    </row>
    <row r="1004" spans="5:23" x14ac:dyDescent="0.25">
      <c r="E1004" s="4"/>
      <c r="F1004" s="4"/>
      <c r="G1004" s="33" t="str">
        <f>IFERROR(VLOOKUP($D1004,'Informations sur les produits'!$A$3:$H$10000,8,FALSE),"0")</f>
        <v>0</v>
      </c>
      <c r="K1004" s="4"/>
      <c r="L1004" s="33" t="str">
        <f>IFERROR(VLOOKUP($J1004,'Informations sur les produits'!$A$3:$H$10000,8,FALSE),"0")</f>
        <v>0</v>
      </c>
      <c r="N1004" s="8"/>
      <c r="O1004" s="33" t="str">
        <f>IFERROR(VLOOKUP($M1004,'Informations sur les produits'!$A$3:$H$10000,8,FALSE),"0")</f>
        <v>0</v>
      </c>
      <c r="P1004" s="33">
        <f t="shared" si="60"/>
        <v>0</v>
      </c>
      <c r="Q1004" s="31" t="str">
        <f t="shared" si="61"/>
        <v/>
      </c>
      <c r="R1004" s="32" t="str">
        <f>IFERROR(VLOOKUP($D1004,'Informations sur les produits'!$A$3:$B$15000,2,FALSE),"")</f>
        <v/>
      </c>
      <c r="V1004">
        <f t="shared" si="62"/>
        <v>0</v>
      </c>
      <c r="W1004">
        <f t="shared" si="63"/>
        <v>0</v>
      </c>
    </row>
    <row r="1005" spans="5:23" x14ac:dyDescent="0.25">
      <c r="E1005" s="4"/>
      <c r="F1005" s="4"/>
      <c r="G1005" s="33" t="str">
        <f>IFERROR(VLOOKUP($D1005,'Informations sur les produits'!$A$3:$H$10000,8,FALSE),"0")</f>
        <v>0</v>
      </c>
      <c r="K1005" s="4"/>
      <c r="L1005" s="33" t="str">
        <f>IFERROR(VLOOKUP($J1005,'Informations sur les produits'!$A$3:$H$10000,8,FALSE),"0")</f>
        <v>0</v>
      </c>
      <c r="N1005" s="8"/>
      <c r="O1005" s="33" t="str">
        <f>IFERROR(VLOOKUP($M1005,'Informations sur les produits'!$A$3:$H$10000,8,FALSE),"0")</f>
        <v>0</v>
      </c>
      <c r="P1005" s="33">
        <f t="shared" si="60"/>
        <v>0</v>
      </c>
      <c r="Q1005" s="31" t="str">
        <f t="shared" si="61"/>
        <v/>
      </c>
      <c r="R1005" s="32" t="str">
        <f>IFERROR(VLOOKUP($D1005,'Informations sur les produits'!$A$3:$B$15000,2,FALSE),"")</f>
        <v/>
      </c>
      <c r="V1005">
        <f t="shared" si="62"/>
        <v>0</v>
      </c>
      <c r="W1005">
        <f t="shared" si="63"/>
        <v>0</v>
      </c>
    </row>
    <row r="1006" spans="5:23" x14ac:dyDescent="0.25">
      <c r="E1006" s="4"/>
      <c r="F1006" s="4"/>
      <c r="G1006" s="33" t="str">
        <f>IFERROR(VLOOKUP($D1006,'Informations sur les produits'!$A$3:$H$10000,8,FALSE),"0")</f>
        <v>0</v>
      </c>
      <c r="K1006" s="4"/>
      <c r="L1006" s="33" t="str">
        <f>IFERROR(VLOOKUP($J1006,'Informations sur les produits'!$A$3:$H$10000,8,FALSE),"0")</f>
        <v>0</v>
      </c>
      <c r="N1006" s="8"/>
      <c r="O1006" s="33" t="str">
        <f>IFERROR(VLOOKUP($M1006,'Informations sur les produits'!$A$3:$H$10000,8,FALSE),"0")</f>
        <v>0</v>
      </c>
      <c r="P1006" s="33">
        <f t="shared" si="60"/>
        <v>0</v>
      </c>
      <c r="Q1006" s="31" t="str">
        <f t="shared" si="61"/>
        <v/>
      </c>
      <c r="R1006" s="32" t="str">
        <f>IFERROR(VLOOKUP($D1006,'Informations sur les produits'!$A$3:$B$15000,2,FALSE),"")</f>
        <v/>
      </c>
      <c r="V1006">
        <f t="shared" si="62"/>
        <v>0</v>
      </c>
      <c r="W1006">
        <f t="shared" si="63"/>
        <v>0</v>
      </c>
    </row>
    <row r="1007" spans="5:23" x14ac:dyDescent="0.25">
      <c r="E1007" s="4"/>
      <c r="F1007" s="4"/>
      <c r="G1007" s="33" t="str">
        <f>IFERROR(VLOOKUP($D1007,'Informations sur les produits'!$A$3:$H$10000,8,FALSE),"0")</f>
        <v>0</v>
      </c>
      <c r="K1007" s="4"/>
      <c r="L1007" s="33" t="str">
        <f>IFERROR(VLOOKUP($J1007,'Informations sur les produits'!$A$3:$H$10000,8,FALSE),"0")</f>
        <v>0</v>
      </c>
      <c r="N1007" s="8"/>
      <c r="O1007" s="33" t="str">
        <f>IFERROR(VLOOKUP($M1007,'Informations sur les produits'!$A$3:$H$10000,8,FALSE),"0")</f>
        <v>0</v>
      </c>
      <c r="P1007" s="33">
        <f t="shared" si="60"/>
        <v>0</v>
      </c>
      <c r="Q1007" s="31" t="str">
        <f t="shared" si="61"/>
        <v/>
      </c>
      <c r="R1007" s="32" t="str">
        <f>IFERROR(VLOOKUP($D1007,'Informations sur les produits'!$A$3:$B$15000,2,FALSE),"")</f>
        <v/>
      </c>
      <c r="V1007">
        <f t="shared" si="62"/>
        <v>0</v>
      </c>
      <c r="W1007">
        <f t="shared" si="63"/>
        <v>0</v>
      </c>
    </row>
    <row r="1008" spans="5:23" x14ac:dyDescent="0.25">
      <c r="E1008" s="4"/>
      <c r="F1008" s="4"/>
      <c r="G1008" s="33" t="str">
        <f>IFERROR(VLOOKUP($D1008,'Informations sur les produits'!$A$3:$H$10000,8,FALSE),"0")</f>
        <v>0</v>
      </c>
      <c r="K1008" s="4"/>
      <c r="L1008" s="33" t="str">
        <f>IFERROR(VLOOKUP($J1008,'Informations sur les produits'!$A$3:$H$10000,8,FALSE),"0")</f>
        <v>0</v>
      </c>
      <c r="N1008" s="8"/>
      <c r="O1008" s="33" t="str">
        <f>IFERROR(VLOOKUP($M1008,'Informations sur les produits'!$A$3:$H$10000,8,FALSE),"0")</f>
        <v>0</v>
      </c>
      <c r="P1008" s="33">
        <f t="shared" si="60"/>
        <v>0</v>
      </c>
      <c r="Q1008" s="31" t="str">
        <f t="shared" si="61"/>
        <v/>
      </c>
      <c r="R1008" s="32" t="str">
        <f>IFERROR(VLOOKUP($D1008,'Informations sur les produits'!$A$3:$B$15000,2,FALSE),"")</f>
        <v/>
      </c>
      <c r="V1008">
        <f t="shared" si="62"/>
        <v>0</v>
      </c>
      <c r="W1008">
        <f t="shared" si="63"/>
        <v>0</v>
      </c>
    </row>
    <row r="1009" spans="5:23" x14ac:dyDescent="0.25">
      <c r="E1009" s="4"/>
      <c r="F1009" s="4"/>
      <c r="G1009" s="33" t="str">
        <f>IFERROR(VLOOKUP($D1009,'Informations sur les produits'!$A$3:$H$10000,8,FALSE),"0")</f>
        <v>0</v>
      </c>
      <c r="K1009" s="4"/>
      <c r="L1009" s="33" t="str">
        <f>IFERROR(VLOOKUP($J1009,'Informations sur les produits'!$A$3:$H$10000,8,FALSE),"0")</f>
        <v>0</v>
      </c>
      <c r="N1009" s="8"/>
      <c r="O1009" s="33" t="str">
        <f>IFERROR(VLOOKUP($M1009,'Informations sur les produits'!$A$3:$H$10000,8,FALSE),"0")</f>
        <v>0</v>
      </c>
      <c r="P1009" s="33">
        <f t="shared" si="60"/>
        <v>0</v>
      </c>
      <c r="Q1009" s="31" t="str">
        <f t="shared" si="61"/>
        <v/>
      </c>
      <c r="R1009" s="32" t="str">
        <f>IFERROR(VLOOKUP($D1009,'Informations sur les produits'!$A$3:$B$15000,2,FALSE),"")</f>
        <v/>
      </c>
      <c r="V1009">
        <f t="shared" si="62"/>
        <v>0</v>
      </c>
      <c r="W1009">
        <f t="shared" si="63"/>
        <v>0</v>
      </c>
    </row>
    <row r="1010" spans="5:23" x14ac:dyDescent="0.25">
      <c r="E1010" s="4"/>
      <c r="F1010" s="4"/>
      <c r="G1010" s="33" t="str">
        <f>IFERROR(VLOOKUP($D1010,'Informations sur les produits'!$A$3:$H$10000,8,FALSE),"0")</f>
        <v>0</v>
      </c>
      <c r="K1010" s="4"/>
      <c r="L1010" s="33" t="str">
        <f>IFERROR(VLOOKUP($J1010,'Informations sur les produits'!$A$3:$H$10000,8,FALSE),"0")</f>
        <v>0</v>
      </c>
      <c r="N1010" s="8"/>
      <c r="O1010" s="33" t="str">
        <f>IFERROR(VLOOKUP($M1010,'Informations sur les produits'!$A$3:$H$10000,8,FALSE),"0")</f>
        <v>0</v>
      </c>
      <c r="P1010" s="33">
        <f t="shared" si="60"/>
        <v>0</v>
      </c>
      <c r="Q1010" s="31" t="str">
        <f t="shared" si="61"/>
        <v/>
      </c>
      <c r="R1010" s="32" t="str">
        <f>IFERROR(VLOOKUP($D1010,'Informations sur les produits'!$A$3:$B$15000,2,FALSE),"")</f>
        <v/>
      </c>
      <c r="V1010">
        <f t="shared" si="62"/>
        <v>0</v>
      </c>
      <c r="W1010">
        <f t="shared" si="63"/>
        <v>0</v>
      </c>
    </row>
    <row r="1011" spans="5:23" x14ac:dyDescent="0.25">
      <c r="E1011" s="4"/>
      <c r="F1011" s="4"/>
      <c r="G1011" s="33" t="str">
        <f>IFERROR(VLOOKUP($D1011,'Informations sur les produits'!$A$3:$H$10000,8,FALSE),"0")</f>
        <v>0</v>
      </c>
      <c r="K1011" s="4"/>
      <c r="L1011" s="33" t="str">
        <f>IFERROR(VLOOKUP($J1011,'Informations sur les produits'!$A$3:$H$10000,8,FALSE),"0")</f>
        <v>0</v>
      </c>
      <c r="N1011" s="8"/>
      <c r="O1011" s="33" t="str">
        <f>IFERROR(VLOOKUP($M1011,'Informations sur les produits'!$A$3:$H$10000,8,FALSE),"0")</f>
        <v>0</v>
      </c>
      <c r="P1011" s="33">
        <f t="shared" si="60"/>
        <v>0</v>
      </c>
      <c r="Q1011" s="31" t="str">
        <f t="shared" si="61"/>
        <v/>
      </c>
      <c r="R1011" s="32" t="str">
        <f>IFERROR(VLOOKUP($D1011,'Informations sur les produits'!$A$3:$B$15000,2,FALSE),"")</f>
        <v/>
      </c>
      <c r="V1011">
        <f t="shared" si="62"/>
        <v>0</v>
      </c>
      <c r="W1011">
        <f t="shared" si="63"/>
        <v>0</v>
      </c>
    </row>
    <row r="1012" spans="5:23" x14ac:dyDescent="0.25">
      <c r="E1012" s="4"/>
      <c r="F1012" s="4"/>
      <c r="G1012" s="33" t="str">
        <f>IFERROR(VLOOKUP($D1012,'Informations sur les produits'!$A$3:$H$10000,8,FALSE),"0")</f>
        <v>0</v>
      </c>
      <c r="K1012" s="4"/>
      <c r="L1012" s="33" t="str">
        <f>IFERROR(VLOOKUP($J1012,'Informations sur les produits'!$A$3:$H$10000,8,FALSE),"0")</f>
        <v>0</v>
      </c>
      <c r="N1012" s="8"/>
      <c r="O1012" s="33" t="str">
        <f>IFERROR(VLOOKUP($M1012,'Informations sur les produits'!$A$3:$H$10000,8,FALSE),"0")</f>
        <v>0</v>
      </c>
      <c r="P1012" s="33">
        <f t="shared" si="60"/>
        <v>0</v>
      </c>
      <c r="Q1012" s="31" t="str">
        <f t="shared" si="61"/>
        <v/>
      </c>
      <c r="R1012" s="32" t="str">
        <f>IFERROR(VLOOKUP($D1012,'Informations sur les produits'!$A$3:$B$15000,2,FALSE),"")</f>
        <v/>
      </c>
      <c r="V1012">
        <f t="shared" si="62"/>
        <v>0</v>
      </c>
      <c r="W1012">
        <f t="shared" si="63"/>
        <v>0</v>
      </c>
    </row>
    <row r="1013" spans="5:23" x14ac:dyDescent="0.25">
      <c r="E1013" s="4"/>
      <c r="F1013" s="4"/>
      <c r="G1013" s="33" t="str">
        <f>IFERROR(VLOOKUP($D1013,'Informations sur les produits'!$A$3:$H$10000,8,FALSE),"0")</f>
        <v>0</v>
      </c>
      <c r="K1013" s="4"/>
      <c r="L1013" s="33" t="str">
        <f>IFERROR(VLOOKUP($J1013,'Informations sur les produits'!$A$3:$H$10000,8,FALSE),"0")</f>
        <v>0</v>
      </c>
      <c r="N1013" s="8"/>
      <c r="O1013" s="33" t="str">
        <f>IFERROR(VLOOKUP($M1013,'Informations sur les produits'!$A$3:$H$10000,8,FALSE),"0")</f>
        <v>0</v>
      </c>
      <c r="P1013" s="33">
        <f t="shared" si="60"/>
        <v>0</v>
      </c>
      <c r="Q1013" s="31" t="str">
        <f t="shared" si="61"/>
        <v/>
      </c>
      <c r="R1013" s="32" t="str">
        <f>IFERROR(VLOOKUP($D1013,'Informations sur les produits'!$A$3:$B$15000,2,FALSE),"")</f>
        <v/>
      </c>
      <c r="V1013">
        <f t="shared" si="62"/>
        <v>0</v>
      </c>
      <c r="W1013">
        <f t="shared" si="63"/>
        <v>0</v>
      </c>
    </row>
    <row r="1014" spans="5:23" x14ac:dyDescent="0.25">
      <c r="E1014" s="4"/>
      <c r="F1014" s="4"/>
      <c r="G1014" s="33" t="str">
        <f>IFERROR(VLOOKUP($D1014,'Informations sur les produits'!$A$3:$H$10000,8,FALSE),"0")</f>
        <v>0</v>
      </c>
      <c r="K1014" s="4"/>
      <c r="L1014" s="33" t="str">
        <f>IFERROR(VLOOKUP($J1014,'Informations sur les produits'!$A$3:$H$10000,8,FALSE),"0")</f>
        <v>0</v>
      </c>
      <c r="N1014" s="8"/>
      <c r="O1014" s="33" t="str">
        <f>IFERROR(VLOOKUP($M1014,'Informations sur les produits'!$A$3:$H$10000,8,FALSE),"0")</f>
        <v>0</v>
      </c>
      <c r="P1014" s="33">
        <f t="shared" si="60"/>
        <v>0</v>
      </c>
      <c r="Q1014" s="31" t="str">
        <f t="shared" si="61"/>
        <v/>
      </c>
      <c r="R1014" s="32" t="str">
        <f>IFERROR(VLOOKUP($D1014,'Informations sur les produits'!$A$3:$B$15000,2,FALSE),"")</f>
        <v/>
      </c>
      <c r="V1014">
        <f t="shared" si="62"/>
        <v>0</v>
      </c>
      <c r="W1014">
        <f t="shared" si="63"/>
        <v>0</v>
      </c>
    </row>
    <row r="1015" spans="5:23" x14ac:dyDescent="0.25">
      <c r="E1015" s="4"/>
      <c r="F1015" s="4"/>
      <c r="G1015" s="33" t="str">
        <f>IFERROR(VLOOKUP($D1015,'Informations sur les produits'!$A$3:$H$10000,8,FALSE),"0")</f>
        <v>0</v>
      </c>
      <c r="K1015" s="4"/>
      <c r="L1015" s="33" t="str">
        <f>IFERROR(VLOOKUP($J1015,'Informations sur les produits'!$A$3:$H$10000,8,FALSE),"0")</f>
        <v>0</v>
      </c>
      <c r="N1015" s="8"/>
      <c r="O1015" s="33" t="str">
        <f>IFERROR(VLOOKUP($M1015,'Informations sur les produits'!$A$3:$H$10000,8,FALSE),"0")</f>
        <v>0</v>
      </c>
      <c r="P1015" s="33">
        <f t="shared" si="60"/>
        <v>0</v>
      </c>
      <c r="Q1015" s="31" t="str">
        <f t="shared" si="61"/>
        <v/>
      </c>
      <c r="R1015" s="32" t="str">
        <f>IFERROR(VLOOKUP($D1015,'Informations sur les produits'!$A$3:$B$15000,2,FALSE),"")</f>
        <v/>
      </c>
      <c r="V1015">
        <f t="shared" si="62"/>
        <v>0</v>
      </c>
      <c r="W1015">
        <f t="shared" si="63"/>
        <v>0</v>
      </c>
    </row>
    <row r="1016" spans="5:23" x14ac:dyDescent="0.25">
      <c r="E1016" s="4"/>
      <c r="F1016" s="4"/>
      <c r="G1016" s="33" t="str">
        <f>IFERROR(VLOOKUP($D1016,'Informations sur les produits'!$A$3:$H$10000,8,FALSE),"0")</f>
        <v>0</v>
      </c>
      <c r="K1016" s="4"/>
      <c r="L1016" s="33" t="str">
        <f>IFERROR(VLOOKUP($J1016,'Informations sur les produits'!$A$3:$H$10000,8,FALSE),"0")</f>
        <v>0</v>
      </c>
      <c r="N1016" s="8"/>
      <c r="O1016" s="33" t="str">
        <f>IFERROR(VLOOKUP($M1016,'Informations sur les produits'!$A$3:$H$10000,8,FALSE),"0")</f>
        <v>0</v>
      </c>
      <c r="P1016" s="33">
        <f t="shared" si="60"/>
        <v>0</v>
      </c>
      <c r="Q1016" s="31" t="str">
        <f t="shared" si="61"/>
        <v/>
      </c>
      <c r="R1016" s="32" t="str">
        <f>IFERROR(VLOOKUP($D1016,'Informations sur les produits'!$A$3:$B$15000,2,FALSE),"")</f>
        <v/>
      </c>
      <c r="V1016">
        <f t="shared" si="62"/>
        <v>0</v>
      </c>
      <c r="W1016">
        <f t="shared" si="63"/>
        <v>0</v>
      </c>
    </row>
    <row r="1017" spans="5:23" x14ac:dyDescent="0.25">
      <c r="E1017" s="4"/>
      <c r="F1017" s="4"/>
      <c r="G1017" s="33" t="str">
        <f>IFERROR(VLOOKUP($D1017,'Informations sur les produits'!$A$3:$H$10000,8,FALSE),"0")</f>
        <v>0</v>
      </c>
      <c r="K1017" s="4"/>
      <c r="L1017" s="33" t="str">
        <f>IFERROR(VLOOKUP($J1017,'Informations sur les produits'!$A$3:$H$10000,8,FALSE),"0")</f>
        <v>0</v>
      </c>
      <c r="N1017" s="8"/>
      <c r="O1017" s="33" t="str">
        <f>IFERROR(VLOOKUP($M1017,'Informations sur les produits'!$A$3:$H$10000,8,FALSE),"0")</f>
        <v>0</v>
      </c>
      <c r="P1017" s="33">
        <f t="shared" si="60"/>
        <v>0</v>
      </c>
      <c r="Q1017" s="31" t="str">
        <f t="shared" si="61"/>
        <v/>
      </c>
      <c r="R1017" s="32" t="str">
        <f>IFERROR(VLOOKUP($D1017,'Informations sur les produits'!$A$3:$B$15000,2,FALSE),"")</f>
        <v/>
      </c>
      <c r="V1017">
        <f t="shared" si="62"/>
        <v>0</v>
      </c>
      <c r="W1017">
        <f t="shared" si="63"/>
        <v>0</v>
      </c>
    </row>
    <row r="1018" spans="5:23" x14ac:dyDescent="0.25">
      <c r="E1018" s="4"/>
      <c r="F1018" s="4"/>
      <c r="G1018" s="33" t="str">
        <f>IFERROR(VLOOKUP($D1018,'Informations sur les produits'!$A$3:$H$10000,8,FALSE),"0")</f>
        <v>0</v>
      </c>
      <c r="K1018" s="4"/>
      <c r="L1018" s="33" t="str">
        <f>IFERROR(VLOOKUP($J1018,'Informations sur les produits'!$A$3:$H$10000,8,FALSE),"0")</f>
        <v>0</v>
      </c>
      <c r="N1018" s="8"/>
      <c r="O1018" s="33" t="str">
        <f>IFERROR(VLOOKUP($M1018,'Informations sur les produits'!$A$3:$H$10000,8,FALSE),"0")</f>
        <v>0</v>
      </c>
      <c r="P1018" s="33">
        <f t="shared" si="60"/>
        <v>0</v>
      </c>
      <c r="Q1018" s="31" t="str">
        <f t="shared" si="61"/>
        <v/>
      </c>
      <c r="R1018" s="32" t="str">
        <f>IFERROR(VLOOKUP($D1018,'Informations sur les produits'!$A$3:$B$15000,2,FALSE),"")</f>
        <v/>
      </c>
      <c r="V1018">
        <f t="shared" si="62"/>
        <v>0</v>
      </c>
      <c r="W1018">
        <f t="shared" si="63"/>
        <v>0</v>
      </c>
    </row>
    <row r="1019" spans="5:23" x14ac:dyDescent="0.25">
      <c r="E1019" s="4"/>
      <c r="F1019" s="4"/>
      <c r="G1019" s="33" t="str">
        <f>IFERROR(VLOOKUP($D1019,'Informations sur les produits'!$A$3:$H$10000,8,FALSE),"0")</f>
        <v>0</v>
      </c>
      <c r="K1019" s="4"/>
      <c r="L1019" s="33" t="str">
        <f>IFERROR(VLOOKUP($J1019,'Informations sur les produits'!$A$3:$H$10000,8,FALSE),"0")</f>
        <v>0</v>
      </c>
      <c r="N1019" s="8"/>
      <c r="O1019" s="33" t="str">
        <f>IFERROR(VLOOKUP($M1019,'Informations sur les produits'!$A$3:$H$10000,8,FALSE),"0")</f>
        <v>0</v>
      </c>
      <c r="P1019" s="33">
        <f t="shared" si="60"/>
        <v>0</v>
      </c>
      <c r="Q1019" s="31" t="str">
        <f t="shared" si="61"/>
        <v/>
      </c>
      <c r="R1019" s="32" t="str">
        <f>IFERROR(VLOOKUP($D1019,'Informations sur les produits'!$A$3:$B$15000,2,FALSE),"")</f>
        <v/>
      </c>
      <c r="V1019">
        <f t="shared" si="62"/>
        <v>0</v>
      </c>
      <c r="W1019">
        <f t="shared" si="63"/>
        <v>0</v>
      </c>
    </row>
    <row r="1020" spans="5:23" x14ac:dyDescent="0.25">
      <c r="E1020" s="4"/>
      <c r="F1020" s="4"/>
      <c r="G1020" s="33" t="str">
        <f>IFERROR(VLOOKUP($D1020,'Informations sur les produits'!$A$3:$H$10000,8,FALSE),"0")</f>
        <v>0</v>
      </c>
      <c r="K1020" s="4"/>
      <c r="L1020" s="33" t="str">
        <f>IFERROR(VLOOKUP($J1020,'Informations sur les produits'!$A$3:$H$10000,8,FALSE),"0")</f>
        <v>0</v>
      </c>
      <c r="N1020" s="8"/>
      <c r="O1020" s="33" t="str">
        <f>IFERROR(VLOOKUP($M1020,'Informations sur les produits'!$A$3:$H$10000,8,FALSE),"0")</f>
        <v>0</v>
      </c>
      <c r="P1020" s="33">
        <f t="shared" si="60"/>
        <v>0</v>
      </c>
      <c r="Q1020" s="31" t="str">
        <f t="shared" si="61"/>
        <v/>
      </c>
      <c r="R1020" s="32" t="str">
        <f>IFERROR(VLOOKUP($D1020,'Informations sur les produits'!$A$3:$B$15000,2,FALSE),"")</f>
        <v/>
      </c>
      <c r="V1020">
        <f t="shared" si="62"/>
        <v>0</v>
      </c>
      <c r="W1020">
        <f t="shared" si="63"/>
        <v>0</v>
      </c>
    </row>
    <row r="1021" spans="5:23" x14ac:dyDescent="0.25">
      <c r="E1021" s="4"/>
      <c r="F1021" s="4"/>
      <c r="G1021" s="33" t="str">
        <f>IFERROR(VLOOKUP($D1021,'Informations sur les produits'!$A$3:$H$10000,8,FALSE),"0")</f>
        <v>0</v>
      </c>
      <c r="K1021" s="4"/>
      <c r="L1021" s="33" t="str">
        <f>IFERROR(VLOOKUP($J1021,'Informations sur les produits'!$A$3:$H$10000,8,FALSE),"0")</f>
        <v>0</v>
      </c>
      <c r="N1021" s="8"/>
      <c r="O1021" s="33" t="str">
        <f>IFERROR(VLOOKUP($M1021,'Informations sur les produits'!$A$3:$H$10000,8,FALSE),"0")</f>
        <v>0</v>
      </c>
      <c r="P1021" s="33">
        <f t="shared" si="60"/>
        <v>0</v>
      </c>
      <c r="Q1021" s="31" t="str">
        <f t="shared" si="61"/>
        <v/>
      </c>
      <c r="R1021" s="32" t="str">
        <f>IFERROR(VLOOKUP($D1021,'Informations sur les produits'!$A$3:$B$15000,2,FALSE),"")</f>
        <v/>
      </c>
      <c r="V1021">
        <f t="shared" si="62"/>
        <v>0</v>
      </c>
      <c r="W1021">
        <f t="shared" si="63"/>
        <v>0</v>
      </c>
    </row>
    <row r="1022" spans="5:23" x14ac:dyDescent="0.25">
      <c r="E1022" s="4"/>
      <c r="F1022" s="4"/>
      <c r="G1022" s="33" t="str">
        <f>IFERROR(VLOOKUP($D1022,'Informations sur les produits'!$A$3:$H$10000,8,FALSE),"0")</f>
        <v>0</v>
      </c>
      <c r="K1022" s="4"/>
      <c r="L1022" s="33" t="str">
        <f>IFERROR(VLOOKUP($J1022,'Informations sur les produits'!$A$3:$H$10000,8,FALSE),"0")</f>
        <v>0</v>
      </c>
      <c r="N1022" s="8"/>
      <c r="O1022" s="33" t="str">
        <f>IFERROR(VLOOKUP($M1022,'Informations sur les produits'!$A$3:$H$10000,8,FALSE),"0")</f>
        <v>0</v>
      </c>
      <c r="P1022" s="33">
        <f t="shared" si="60"/>
        <v>0</v>
      </c>
      <c r="Q1022" s="31" t="str">
        <f t="shared" si="61"/>
        <v/>
      </c>
      <c r="R1022" s="32" t="str">
        <f>IFERROR(VLOOKUP($D1022,'Informations sur les produits'!$A$3:$B$15000,2,FALSE),"")</f>
        <v/>
      </c>
      <c r="V1022">
        <f t="shared" si="62"/>
        <v>0</v>
      </c>
      <c r="W1022">
        <f t="shared" si="63"/>
        <v>0</v>
      </c>
    </row>
    <row r="1023" spans="5:23" x14ac:dyDescent="0.25">
      <c r="E1023" s="4"/>
      <c r="F1023" s="4"/>
      <c r="G1023" s="33" t="str">
        <f>IFERROR(VLOOKUP($D1023,'Informations sur les produits'!$A$3:$H$10000,8,FALSE),"0")</f>
        <v>0</v>
      </c>
      <c r="K1023" s="4"/>
      <c r="L1023" s="33" t="str">
        <f>IFERROR(VLOOKUP($J1023,'Informations sur les produits'!$A$3:$H$10000,8,FALSE),"0")</f>
        <v>0</v>
      </c>
      <c r="N1023" s="8"/>
      <c r="O1023" s="33" t="str">
        <f>IFERROR(VLOOKUP($M1023,'Informations sur les produits'!$A$3:$H$10000,8,FALSE),"0")</f>
        <v>0</v>
      </c>
      <c r="P1023" s="33">
        <f t="shared" si="60"/>
        <v>0</v>
      </c>
      <c r="Q1023" s="31" t="str">
        <f t="shared" si="61"/>
        <v/>
      </c>
      <c r="R1023" s="32" t="str">
        <f>IFERROR(VLOOKUP($D1023,'Informations sur les produits'!$A$3:$B$15000,2,FALSE),"")</f>
        <v/>
      </c>
      <c r="V1023">
        <f t="shared" si="62"/>
        <v>0</v>
      </c>
      <c r="W1023">
        <f t="shared" si="63"/>
        <v>0</v>
      </c>
    </row>
    <row r="1024" spans="5:23" x14ac:dyDescent="0.25">
      <c r="E1024" s="4"/>
      <c r="F1024" s="4"/>
      <c r="G1024" s="33" t="str">
        <f>IFERROR(VLOOKUP($D1024,'Informations sur les produits'!$A$3:$H$10000,8,FALSE),"0")</f>
        <v>0</v>
      </c>
      <c r="K1024" s="4"/>
      <c r="L1024" s="33" t="str">
        <f>IFERROR(VLOOKUP($J1024,'Informations sur les produits'!$A$3:$H$10000,8,FALSE),"0")</f>
        <v>0</v>
      </c>
      <c r="N1024" s="8"/>
      <c r="O1024" s="33" t="str">
        <f>IFERROR(VLOOKUP($M1024,'Informations sur les produits'!$A$3:$H$10000,8,FALSE),"0")</f>
        <v>0</v>
      </c>
      <c r="P1024" s="33">
        <f t="shared" si="60"/>
        <v>0</v>
      </c>
      <c r="Q1024" s="31" t="str">
        <f t="shared" si="61"/>
        <v/>
      </c>
      <c r="R1024" s="32" t="str">
        <f>IFERROR(VLOOKUP($D1024,'Informations sur les produits'!$A$3:$B$15000,2,FALSE),"")</f>
        <v/>
      </c>
      <c r="V1024">
        <f t="shared" si="62"/>
        <v>0</v>
      </c>
      <c r="W1024">
        <f t="shared" si="63"/>
        <v>0</v>
      </c>
    </row>
    <row r="1025" spans="5:23" x14ac:dyDescent="0.25">
      <c r="E1025" s="4"/>
      <c r="F1025" s="4"/>
      <c r="G1025" s="33" t="str">
        <f>IFERROR(VLOOKUP($D1025,'Informations sur les produits'!$A$3:$H$10000,8,FALSE),"0")</f>
        <v>0</v>
      </c>
      <c r="K1025" s="4"/>
      <c r="L1025" s="33" t="str">
        <f>IFERROR(VLOOKUP($J1025,'Informations sur les produits'!$A$3:$H$10000,8,FALSE),"0")</f>
        <v>0</v>
      </c>
      <c r="N1025" s="8"/>
      <c r="O1025" s="33" t="str">
        <f>IFERROR(VLOOKUP($M1025,'Informations sur les produits'!$A$3:$H$10000,8,FALSE),"0")</f>
        <v>0</v>
      </c>
      <c r="P1025" s="33">
        <f t="shared" si="60"/>
        <v>0</v>
      </c>
      <c r="Q1025" s="31" t="str">
        <f t="shared" si="61"/>
        <v/>
      </c>
      <c r="R1025" s="32" t="str">
        <f>IFERROR(VLOOKUP($D1025,'Informations sur les produits'!$A$3:$B$15000,2,FALSE),"")</f>
        <v/>
      </c>
      <c r="V1025">
        <f t="shared" si="62"/>
        <v>0</v>
      </c>
      <c r="W1025">
        <f t="shared" si="63"/>
        <v>0</v>
      </c>
    </row>
    <row r="1026" spans="5:23" x14ac:dyDescent="0.25">
      <c r="E1026" s="4"/>
      <c r="F1026" s="4"/>
      <c r="G1026" s="33" t="str">
        <f>IFERROR(VLOOKUP($D1026,'Informations sur les produits'!$A$3:$H$10000,8,FALSE),"0")</f>
        <v>0</v>
      </c>
      <c r="K1026" s="4"/>
      <c r="L1026" s="33" t="str">
        <f>IFERROR(VLOOKUP($J1026,'Informations sur les produits'!$A$3:$H$10000,8,FALSE),"0")</f>
        <v>0</v>
      </c>
      <c r="N1026" s="8"/>
      <c r="O1026" s="33" t="str">
        <f>IFERROR(VLOOKUP($M1026,'Informations sur les produits'!$A$3:$H$10000,8,FALSE),"0")</f>
        <v>0</v>
      </c>
      <c r="P1026" s="33">
        <f t="shared" si="60"/>
        <v>0</v>
      </c>
      <c r="Q1026" s="31" t="str">
        <f t="shared" si="61"/>
        <v/>
      </c>
      <c r="R1026" s="32" t="str">
        <f>IFERROR(VLOOKUP($D1026,'Informations sur les produits'!$A$3:$B$15000,2,FALSE),"")</f>
        <v/>
      </c>
      <c r="V1026">
        <f t="shared" si="62"/>
        <v>0</v>
      </c>
      <c r="W1026">
        <f t="shared" si="63"/>
        <v>0</v>
      </c>
    </row>
    <row r="1027" spans="5:23" x14ac:dyDescent="0.25">
      <c r="E1027" s="4"/>
      <c r="F1027" s="4"/>
      <c r="G1027" s="33" t="str">
        <f>IFERROR(VLOOKUP($D1027,'Informations sur les produits'!$A$3:$H$10000,8,FALSE),"0")</f>
        <v>0</v>
      </c>
      <c r="K1027" s="4"/>
      <c r="L1027" s="33" t="str">
        <f>IFERROR(VLOOKUP($J1027,'Informations sur les produits'!$A$3:$H$10000,8,FALSE),"0")</f>
        <v>0</v>
      </c>
      <c r="N1027" s="8"/>
      <c r="O1027" s="33" t="str">
        <f>IFERROR(VLOOKUP($M1027,'Informations sur les produits'!$A$3:$H$10000,8,FALSE),"0")</f>
        <v>0</v>
      </c>
      <c r="P1027" s="33">
        <f t="shared" si="60"/>
        <v>0</v>
      </c>
      <c r="Q1027" s="31" t="str">
        <f t="shared" si="61"/>
        <v/>
      </c>
      <c r="R1027" s="32" t="str">
        <f>IFERROR(VLOOKUP($D1027,'Informations sur les produits'!$A$3:$B$15000,2,FALSE),"")</f>
        <v/>
      </c>
      <c r="V1027">
        <f t="shared" si="62"/>
        <v>0</v>
      </c>
      <c r="W1027">
        <f t="shared" si="63"/>
        <v>0</v>
      </c>
    </row>
    <row r="1028" spans="5:23" x14ac:dyDescent="0.25">
      <c r="E1028" s="4"/>
      <c r="F1028" s="4"/>
      <c r="G1028" s="33" t="str">
        <f>IFERROR(VLOOKUP($D1028,'Informations sur les produits'!$A$3:$H$10000,8,FALSE),"0")</f>
        <v>0</v>
      </c>
      <c r="K1028" s="4"/>
      <c r="L1028" s="33" t="str">
        <f>IFERROR(VLOOKUP($J1028,'Informations sur les produits'!$A$3:$H$10000,8,FALSE),"0")</f>
        <v>0</v>
      </c>
      <c r="N1028" s="8"/>
      <c r="O1028" s="33" t="str">
        <f>IFERROR(VLOOKUP($M1028,'Informations sur les produits'!$A$3:$H$10000,8,FALSE),"0")</f>
        <v>0</v>
      </c>
      <c r="P1028" s="33">
        <f t="shared" ref="P1028:P1091" si="64">IFERROR((($E1028-$F1028)*$G1028+$K1028*$L1028+$N1028*$O1028),"")</f>
        <v>0</v>
      </c>
      <c r="Q1028" s="31" t="str">
        <f t="shared" ref="Q1028:Q1091" si="65">IFERROR((((($E1028-$F1028)*$G1028+$K1028*$L1028+$N1028*$O1028)*1000)/(($E1028-$F1028)+$K1028+$N1028)),"")</f>
        <v/>
      </c>
      <c r="R1028" s="32" t="str">
        <f>IFERROR(VLOOKUP($D1028,'Informations sur les produits'!$A$3:$B$15000,2,FALSE),"")</f>
        <v/>
      </c>
      <c r="V1028">
        <f t="shared" ref="V1028:V1091" si="66">IFERROR(P1028*1000,"")</f>
        <v>0</v>
      </c>
      <c r="W1028">
        <f t="shared" ref="W1028:W1091" si="67">IFERROR(($E1028-$F1028)+$K1028+$N1028,"")</f>
        <v>0</v>
      </c>
    </row>
    <row r="1029" spans="5:23" x14ac:dyDescent="0.25">
      <c r="E1029" s="4"/>
      <c r="F1029" s="4"/>
      <c r="G1029" s="33" t="str">
        <f>IFERROR(VLOOKUP($D1029,'Informations sur les produits'!$A$3:$H$10000,8,FALSE),"0")</f>
        <v>0</v>
      </c>
      <c r="K1029" s="4"/>
      <c r="L1029" s="33" t="str">
        <f>IFERROR(VLOOKUP($J1029,'Informations sur les produits'!$A$3:$H$10000,8,FALSE),"0")</f>
        <v>0</v>
      </c>
      <c r="N1029" s="8"/>
      <c r="O1029" s="33" t="str">
        <f>IFERROR(VLOOKUP($M1029,'Informations sur les produits'!$A$3:$H$10000,8,FALSE),"0")</f>
        <v>0</v>
      </c>
      <c r="P1029" s="33">
        <f t="shared" si="64"/>
        <v>0</v>
      </c>
      <c r="Q1029" s="31" t="str">
        <f t="shared" si="65"/>
        <v/>
      </c>
      <c r="R1029" s="32" t="str">
        <f>IFERROR(VLOOKUP($D1029,'Informations sur les produits'!$A$3:$B$15000,2,FALSE),"")</f>
        <v/>
      </c>
      <c r="V1029">
        <f t="shared" si="66"/>
        <v>0</v>
      </c>
      <c r="W1029">
        <f t="shared" si="67"/>
        <v>0</v>
      </c>
    </row>
    <row r="1030" spans="5:23" x14ac:dyDescent="0.25">
      <c r="E1030" s="4"/>
      <c r="F1030" s="4"/>
      <c r="G1030" s="33" t="str">
        <f>IFERROR(VLOOKUP($D1030,'Informations sur les produits'!$A$3:$H$10000,8,FALSE),"0")</f>
        <v>0</v>
      </c>
      <c r="K1030" s="4"/>
      <c r="L1030" s="33" t="str">
        <f>IFERROR(VLOOKUP($J1030,'Informations sur les produits'!$A$3:$H$10000,8,FALSE),"0")</f>
        <v>0</v>
      </c>
      <c r="N1030" s="8"/>
      <c r="O1030" s="33" t="str">
        <f>IFERROR(VLOOKUP($M1030,'Informations sur les produits'!$A$3:$H$10000,8,FALSE),"0")</f>
        <v>0</v>
      </c>
      <c r="P1030" s="33">
        <f t="shared" si="64"/>
        <v>0</v>
      </c>
      <c r="Q1030" s="31" t="str">
        <f t="shared" si="65"/>
        <v/>
      </c>
      <c r="R1030" s="32" t="str">
        <f>IFERROR(VLOOKUP($D1030,'Informations sur les produits'!$A$3:$B$15000,2,FALSE),"")</f>
        <v/>
      </c>
      <c r="V1030">
        <f t="shared" si="66"/>
        <v>0</v>
      </c>
      <c r="W1030">
        <f t="shared" si="67"/>
        <v>0</v>
      </c>
    </row>
    <row r="1031" spans="5:23" x14ac:dyDescent="0.25">
      <c r="E1031" s="4"/>
      <c r="F1031" s="4"/>
      <c r="G1031" s="33" t="str">
        <f>IFERROR(VLOOKUP($D1031,'Informations sur les produits'!$A$3:$H$10000,8,FALSE),"0")</f>
        <v>0</v>
      </c>
      <c r="K1031" s="4"/>
      <c r="L1031" s="33" t="str">
        <f>IFERROR(VLOOKUP($J1031,'Informations sur les produits'!$A$3:$H$10000,8,FALSE),"0")</f>
        <v>0</v>
      </c>
      <c r="N1031" s="8"/>
      <c r="O1031" s="33" t="str">
        <f>IFERROR(VLOOKUP($M1031,'Informations sur les produits'!$A$3:$H$10000,8,FALSE),"0")</f>
        <v>0</v>
      </c>
      <c r="P1031" s="33">
        <f t="shared" si="64"/>
        <v>0</v>
      </c>
      <c r="Q1031" s="31" t="str">
        <f t="shared" si="65"/>
        <v/>
      </c>
      <c r="R1031" s="32" t="str">
        <f>IFERROR(VLOOKUP($D1031,'Informations sur les produits'!$A$3:$B$15000,2,FALSE),"")</f>
        <v/>
      </c>
      <c r="V1031">
        <f t="shared" si="66"/>
        <v>0</v>
      </c>
      <c r="W1031">
        <f t="shared" si="67"/>
        <v>0</v>
      </c>
    </row>
    <row r="1032" spans="5:23" x14ac:dyDescent="0.25">
      <c r="E1032" s="4"/>
      <c r="F1032" s="4"/>
      <c r="G1032" s="33" t="str">
        <f>IFERROR(VLOOKUP($D1032,'Informations sur les produits'!$A$3:$H$10000,8,FALSE),"0")</f>
        <v>0</v>
      </c>
      <c r="K1032" s="4"/>
      <c r="L1032" s="33" t="str">
        <f>IFERROR(VLOOKUP($J1032,'Informations sur les produits'!$A$3:$H$10000,8,FALSE),"0")</f>
        <v>0</v>
      </c>
      <c r="N1032" s="8"/>
      <c r="O1032" s="33" t="str">
        <f>IFERROR(VLOOKUP($M1032,'Informations sur les produits'!$A$3:$H$10000,8,FALSE),"0")</f>
        <v>0</v>
      </c>
      <c r="P1032" s="33">
        <f t="shared" si="64"/>
        <v>0</v>
      </c>
      <c r="Q1032" s="31" t="str">
        <f t="shared" si="65"/>
        <v/>
      </c>
      <c r="R1032" s="32" t="str">
        <f>IFERROR(VLOOKUP($D1032,'Informations sur les produits'!$A$3:$B$15000,2,FALSE),"")</f>
        <v/>
      </c>
      <c r="V1032">
        <f t="shared" si="66"/>
        <v>0</v>
      </c>
      <c r="W1032">
        <f t="shared" si="67"/>
        <v>0</v>
      </c>
    </row>
    <row r="1033" spans="5:23" x14ac:dyDescent="0.25">
      <c r="E1033" s="4"/>
      <c r="F1033" s="4"/>
      <c r="G1033" s="33" t="str">
        <f>IFERROR(VLOOKUP($D1033,'Informations sur les produits'!$A$3:$H$10000,8,FALSE),"0")</f>
        <v>0</v>
      </c>
      <c r="K1033" s="4"/>
      <c r="L1033" s="33" t="str">
        <f>IFERROR(VLOOKUP($J1033,'Informations sur les produits'!$A$3:$H$10000,8,FALSE),"0")</f>
        <v>0</v>
      </c>
      <c r="N1033" s="8"/>
      <c r="O1033" s="33" t="str">
        <f>IFERROR(VLOOKUP($M1033,'Informations sur les produits'!$A$3:$H$10000,8,FALSE),"0")</f>
        <v>0</v>
      </c>
      <c r="P1033" s="33">
        <f t="shared" si="64"/>
        <v>0</v>
      </c>
      <c r="Q1033" s="31" t="str">
        <f t="shared" si="65"/>
        <v/>
      </c>
      <c r="R1033" s="32" t="str">
        <f>IFERROR(VLOOKUP($D1033,'Informations sur les produits'!$A$3:$B$15000,2,FALSE),"")</f>
        <v/>
      </c>
      <c r="V1033">
        <f t="shared" si="66"/>
        <v>0</v>
      </c>
      <c r="W1033">
        <f t="shared" si="67"/>
        <v>0</v>
      </c>
    </row>
    <row r="1034" spans="5:23" x14ac:dyDescent="0.25">
      <c r="E1034" s="4"/>
      <c r="F1034" s="4"/>
      <c r="G1034" s="33" t="str">
        <f>IFERROR(VLOOKUP($D1034,'Informations sur les produits'!$A$3:$H$10000,8,FALSE),"0")</f>
        <v>0</v>
      </c>
      <c r="K1034" s="4"/>
      <c r="L1034" s="33" t="str">
        <f>IFERROR(VLOOKUP($J1034,'Informations sur les produits'!$A$3:$H$10000,8,FALSE),"0")</f>
        <v>0</v>
      </c>
      <c r="N1034" s="8"/>
      <c r="O1034" s="33" t="str">
        <f>IFERROR(VLOOKUP($M1034,'Informations sur les produits'!$A$3:$H$10000,8,FALSE),"0")</f>
        <v>0</v>
      </c>
      <c r="P1034" s="33">
        <f t="shared" si="64"/>
        <v>0</v>
      </c>
      <c r="Q1034" s="31" t="str">
        <f t="shared" si="65"/>
        <v/>
      </c>
      <c r="R1034" s="32" t="str">
        <f>IFERROR(VLOOKUP($D1034,'Informations sur les produits'!$A$3:$B$15000,2,FALSE),"")</f>
        <v/>
      </c>
      <c r="V1034">
        <f t="shared" si="66"/>
        <v>0</v>
      </c>
      <c r="W1034">
        <f t="shared" si="67"/>
        <v>0</v>
      </c>
    </row>
    <row r="1035" spans="5:23" x14ac:dyDescent="0.25">
      <c r="E1035" s="4"/>
      <c r="F1035" s="4"/>
      <c r="G1035" s="33" t="str">
        <f>IFERROR(VLOOKUP($D1035,'Informations sur les produits'!$A$3:$H$10000,8,FALSE),"0")</f>
        <v>0</v>
      </c>
      <c r="K1035" s="4"/>
      <c r="L1035" s="33" t="str">
        <f>IFERROR(VLOOKUP($J1035,'Informations sur les produits'!$A$3:$H$10000,8,FALSE),"0")</f>
        <v>0</v>
      </c>
      <c r="N1035" s="8"/>
      <c r="O1035" s="33" t="str">
        <f>IFERROR(VLOOKUP($M1035,'Informations sur les produits'!$A$3:$H$10000,8,FALSE),"0")</f>
        <v>0</v>
      </c>
      <c r="P1035" s="33">
        <f t="shared" si="64"/>
        <v>0</v>
      </c>
      <c r="Q1035" s="31" t="str">
        <f t="shared" si="65"/>
        <v/>
      </c>
      <c r="R1035" s="32" t="str">
        <f>IFERROR(VLOOKUP($D1035,'Informations sur les produits'!$A$3:$B$15000,2,FALSE),"")</f>
        <v/>
      </c>
      <c r="V1035">
        <f t="shared" si="66"/>
        <v>0</v>
      </c>
      <c r="W1035">
        <f t="shared" si="67"/>
        <v>0</v>
      </c>
    </row>
    <row r="1036" spans="5:23" x14ac:dyDescent="0.25">
      <c r="E1036" s="4"/>
      <c r="F1036" s="4"/>
      <c r="G1036" s="33" t="str">
        <f>IFERROR(VLOOKUP($D1036,'Informations sur les produits'!$A$3:$H$10000,8,FALSE),"0")</f>
        <v>0</v>
      </c>
      <c r="K1036" s="4"/>
      <c r="L1036" s="33" t="str">
        <f>IFERROR(VLOOKUP($J1036,'Informations sur les produits'!$A$3:$H$10000,8,FALSE),"0")</f>
        <v>0</v>
      </c>
      <c r="N1036" s="8"/>
      <c r="O1036" s="33" t="str">
        <f>IFERROR(VLOOKUP($M1036,'Informations sur les produits'!$A$3:$H$10000,8,FALSE),"0")</f>
        <v>0</v>
      </c>
      <c r="P1036" s="33">
        <f t="shared" si="64"/>
        <v>0</v>
      </c>
      <c r="Q1036" s="31" t="str">
        <f t="shared" si="65"/>
        <v/>
      </c>
      <c r="R1036" s="32" t="str">
        <f>IFERROR(VLOOKUP($D1036,'Informations sur les produits'!$A$3:$B$15000,2,FALSE),"")</f>
        <v/>
      </c>
      <c r="V1036">
        <f t="shared" si="66"/>
        <v>0</v>
      </c>
      <c r="W1036">
        <f t="shared" si="67"/>
        <v>0</v>
      </c>
    </row>
    <row r="1037" spans="5:23" x14ac:dyDescent="0.25">
      <c r="E1037" s="4"/>
      <c r="F1037" s="4"/>
      <c r="G1037" s="33" t="str">
        <f>IFERROR(VLOOKUP($D1037,'Informations sur les produits'!$A$3:$H$10000,8,FALSE),"0")</f>
        <v>0</v>
      </c>
      <c r="K1037" s="4"/>
      <c r="L1037" s="33" t="str">
        <f>IFERROR(VLOOKUP($J1037,'Informations sur les produits'!$A$3:$H$10000,8,FALSE),"0")</f>
        <v>0</v>
      </c>
      <c r="N1037" s="8"/>
      <c r="O1037" s="33" t="str">
        <f>IFERROR(VLOOKUP($M1037,'Informations sur les produits'!$A$3:$H$10000,8,FALSE),"0")</f>
        <v>0</v>
      </c>
      <c r="P1037" s="33">
        <f t="shared" si="64"/>
        <v>0</v>
      </c>
      <c r="Q1037" s="31" t="str">
        <f t="shared" si="65"/>
        <v/>
      </c>
      <c r="R1037" s="32" t="str">
        <f>IFERROR(VLOOKUP($D1037,'Informations sur les produits'!$A$3:$B$15000,2,FALSE),"")</f>
        <v/>
      </c>
      <c r="V1037">
        <f t="shared" si="66"/>
        <v>0</v>
      </c>
      <c r="W1037">
        <f t="shared" si="67"/>
        <v>0</v>
      </c>
    </row>
    <row r="1038" spans="5:23" x14ac:dyDescent="0.25">
      <c r="E1038" s="4"/>
      <c r="F1038" s="4"/>
      <c r="G1038" s="33" t="str">
        <f>IFERROR(VLOOKUP($D1038,'Informations sur les produits'!$A$3:$H$10000,8,FALSE),"0")</f>
        <v>0</v>
      </c>
      <c r="K1038" s="4"/>
      <c r="L1038" s="33" t="str">
        <f>IFERROR(VLOOKUP($J1038,'Informations sur les produits'!$A$3:$H$10000,8,FALSE),"0")</f>
        <v>0</v>
      </c>
      <c r="N1038" s="8"/>
      <c r="O1038" s="33" t="str">
        <f>IFERROR(VLOOKUP($M1038,'Informations sur les produits'!$A$3:$H$10000,8,FALSE),"0")</f>
        <v>0</v>
      </c>
      <c r="P1038" s="33">
        <f t="shared" si="64"/>
        <v>0</v>
      </c>
      <c r="Q1038" s="31" t="str">
        <f t="shared" si="65"/>
        <v/>
      </c>
      <c r="R1038" s="32" t="str">
        <f>IFERROR(VLOOKUP($D1038,'Informations sur les produits'!$A$3:$B$15000,2,FALSE),"")</f>
        <v/>
      </c>
      <c r="V1038">
        <f t="shared" si="66"/>
        <v>0</v>
      </c>
      <c r="W1038">
        <f t="shared" si="67"/>
        <v>0</v>
      </c>
    </row>
    <row r="1039" spans="5:23" x14ac:dyDescent="0.25">
      <c r="E1039" s="4"/>
      <c r="F1039" s="4"/>
      <c r="G1039" s="33" t="str">
        <f>IFERROR(VLOOKUP($D1039,'Informations sur les produits'!$A$3:$H$10000,8,FALSE),"0")</f>
        <v>0</v>
      </c>
      <c r="K1039" s="4"/>
      <c r="L1039" s="33" t="str">
        <f>IFERROR(VLOOKUP($J1039,'Informations sur les produits'!$A$3:$H$10000,8,FALSE),"0")</f>
        <v>0</v>
      </c>
      <c r="N1039" s="8"/>
      <c r="O1039" s="33" t="str">
        <f>IFERROR(VLOOKUP($M1039,'Informations sur les produits'!$A$3:$H$10000,8,FALSE),"0")</f>
        <v>0</v>
      </c>
      <c r="P1039" s="33">
        <f t="shared" si="64"/>
        <v>0</v>
      </c>
      <c r="Q1039" s="31" t="str">
        <f t="shared" si="65"/>
        <v/>
      </c>
      <c r="R1039" s="32" t="str">
        <f>IFERROR(VLOOKUP($D1039,'Informations sur les produits'!$A$3:$B$15000,2,FALSE),"")</f>
        <v/>
      </c>
      <c r="V1039">
        <f t="shared" si="66"/>
        <v>0</v>
      </c>
      <c r="W1039">
        <f t="shared" si="67"/>
        <v>0</v>
      </c>
    </row>
    <row r="1040" spans="5:23" x14ac:dyDescent="0.25">
      <c r="E1040" s="4"/>
      <c r="F1040" s="4"/>
      <c r="G1040" s="33" t="str">
        <f>IFERROR(VLOOKUP($D1040,'Informations sur les produits'!$A$3:$H$10000,8,FALSE),"0")</f>
        <v>0</v>
      </c>
      <c r="K1040" s="4"/>
      <c r="L1040" s="33" t="str">
        <f>IFERROR(VLOOKUP($J1040,'Informations sur les produits'!$A$3:$H$10000,8,FALSE),"0")</f>
        <v>0</v>
      </c>
      <c r="N1040" s="8"/>
      <c r="O1040" s="33" t="str">
        <f>IFERROR(VLOOKUP($M1040,'Informations sur les produits'!$A$3:$H$10000,8,FALSE),"0")</f>
        <v>0</v>
      </c>
      <c r="P1040" s="33">
        <f t="shared" si="64"/>
        <v>0</v>
      </c>
      <c r="Q1040" s="31" t="str">
        <f t="shared" si="65"/>
        <v/>
      </c>
      <c r="R1040" s="32" t="str">
        <f>IFERROR(VLOOKUP($D1040,'Informations sur les produits'!$A$3:$B$15000,2,FALSE),"")</f>
        <v/>
      </c>
      <c r="V1040">
        <f t="shared" si="66"/>
        <v>0</v>
      </c>
      <c r="W1040">
        <f t="shared" si="67"/>
        <v>0</v>
      </c>
    </row>
    <row r="1041" spans="5:23" x14ac:dyDescent="0.25">
      <c r="E1041" s="4"/>
      <c r="F1041" s="4"/>
      <c r="G1041" s="33" t="str">
        <f>IFERROR(VLOOKUP($D1041,'Informations sur les produits'!$A$3:$H$10000,8,FALSE),"0")</f>
        <v>0</v>
      </c>
      <c r="K1041" s="4"/>
      <c r="L1041" s="33" t="str">
        <f>IFERROR(VLOOKUP($J1041,'Informations sur les produits'!$A$3:$H$10000,8,FALSE),"0")</f>
        <v>0</v>
      </c>
      <c r="N1041" s="8"/>
      <c r="O1041" s="33" t="str">
        <f>IFERROR(VLOOKUP($M1041,'Informations sur les produits'!$A$3:$H$10000,8,FALSE),"0")</f>
        <v>0</v>
      </c>
      <c r="P1041" s="33">
        <f t="shared" si="64"/>
        <v>0</v>
      </c>
      <c r="Q1041" s="31" t="str">
        <f t="shared" si="65"/>
        <v/>
      </c>
      <c r="R1041" s="32" t="str">
        <f>IFERROR(VLOOKUP($D1041,'Informations sur les produits'!$A$3:$B$15000,2,FALSE),"")</f>
        <v/>
      </c>
      <c r="V1041">
        <f t="shared" si="66"/>
        <v>0</v>
      </c>
      <c r="W1041">
        <f t="shared" si="67"/>
        <v>0</v>
      </c>
    </row>
    <row r="1042" spans="5:23" x14ac:dyDescent="0.25">
      <c r="E1042" s="4"/>
      <c r="F1042" s="4"/>
      <c r="G1042" s="33" t="str">
        <f>IFERROR(VLOOKUP($D1042,'Informations sur les produits'!$A$3:$H$10000,8,FALSE),"0")</f>
        <v>0</v>
      </c>
      <c r="K1042" s="4"/>
      <c r="L1042" s="33" t="str">
        <f>IFERROR(VLOOKUP($J1042,'Informations sur les produits'!$A$3:$H$10000,8,FALSE),"0")</f>
        <v>0</v>
      </c>
      <c r="N1042" s="8"/>
      <c r="O1042" s="33" t="str">
        <f>IFERROR(VLOOKUP($M1042,'Informations sur les produits'!$A$3:$H$10000,8,FALSE),"0")</f>
        <v>0</v>
      </c>
      <c r="P1042" s="33">
        <f t="shared" si="64"/>
        <v>0</v>
      </c>
      <c r="Q1042" s="31" t="str">
        <f t="shared" si="65"/>
        <v/>
      </c>
      <c r="R1042" s="32" t="str">
        <f>IFERROR(VLOOKUP($D1042,'Informations sur les produits'!$A$3:$B$15000,2,FALSE),"")</f>
        <v/>
      </c>
      <c r="V1042">
        <f t="shared" si="66"/>
        <v>0</v>
      </c>
      <c r="W1042">
        <f t="shared" si="67"/>
        <v>0</v>
      </c>
    </row>
    <row r="1043" spans="5:23" x14ac:dyDescent="0.25">
      <c r="E1043" s="4"/>
      <c r="F1043" s="4"/>
      <c r="G1043" s="33" t="str">
        <f>IFERROR(VLOOKUP($D1043,'Informations sur les produits'!$A$3:$H$10000,8,FALSE),"0")</f>
        <v>0</v>
      </c>
      <c r="K1043" s="4"/>
      <c r="L1043" s="33" t="str">
        <f>IFERROR(VLOOKUP($J1043,'Informations sur les produits'!$A$3:$H$10000,8,FALSE),"0")</f>
        <v>0</v>
      </c>
      <c r="N1043" s="8"/>
      <c r="O1043" s="33" t="str">
        <f>IFERROR(VLOOKUP($M1043,'Informations sur les produits'!$A$3:$H$10000,8,FALSE),"0")</f>
        <v>0</v>
      </c>
      <c r="P1043" s="33">
        <f t="shared" si="64"/>
        <v>0</v>
      </c>
      <c r="Q1043" s="31" t="str">
        <f t="shared" si="65"/>
        <v/>
      </c>
      <c r="R1043" s="32" t="str">
        <f>IFERROR(VLOOKUP($D1043,'Informations sur les produits'!$A$3:$B$15000,2,FALSE),"")</f>
        <v/>
      </c>
      <c r="V1043">
        <f t="shared" si="66"/>
        <v>0</v>
      </c>
      <c r="W1043">
        <f t="shared" si="67"/>
        <v>0</v>
      </c>
    </row>
    <row r="1044" spans="5:23" x14ac:dyDescent="0.25">
      <c r="E1044" s="4"/>
      <c r="F1044" s="4"/>
      <c r="G1044" s="33" t="str">
        <f>IFERROR(VLOOKUP($D1044,'Informations sur les produits'!$A$3:$H$10000,8,FALSE),"0")</f>
        <v>0</v>
      </c>
      <c r="K1044" s="4"/>
      <c r="L1044" s="33" t="str">
        <f>IFERROR(VLOOKUP($J1044,'Informations sur les produits'!$A$3:$H$10000,8,FALSE),"0")</f>
        <v>0</v>
      </c>
      <c r="N1044" s="8"/>
      <c r="O1044" s="33" t="str">
        <f>IFERROR(VLOOKUP($M1044,'Informations sur les produits'!$A$3:$H$10000,8,FALSE),"0")</f>
        <v>0</v>
      </c>
      <c r="P1044" s="33">
        <f t="shared" si="64"/>
        <v>0</v>
      </c>
      <c r="Q1044" s="31" t="str">
        <f t="shared" si="65"/>
        <v/>
      </c>
      <c r="R1044" s="32" t="str">
        <f>IFERROR(VLOOKUP($D1044,'Informations sur les produits'!$A$3:$B$15000,2,FALSE),"")</f>
        <v/>
      </c>
      <c r="V1044">
        <f t="shared" si="66"/>
        <v>0</v>
      </c>
      <c r="W1044">
        <f t="shared" si="67"/>
        <v>0</v>
      </c>
    </row>
    <row r="1045" spans="5:23" x14ac:dyDescent="0.25">
      <c r="E1045" s="4"/>
      <c r="F1045" s="4"/>
      <c r="G1045" s="33" t="str">
        <f>IFERROR(VLOOKUP($D1045,'Informations sur les produits'!$A$3:$H$10000,8,FALSE),"0")</f>
        <v>0</v>
      </c>
      <c r="K1045" s="4"/>
      <c r="L1045" s="33" t="str">
        <f>IFERROR(VLOOKUP($J1045,'Informations sur les produits'!$A$3:$H$10000,8,FALSE),"0")</f>
        <v>0</v>
      </c>
      <c r="N1045" s="8"/>
      <c r="O1045" s="33" t="str">
        <f>IFERROR(VLOOKUP($M1045,'Informations sur les produits'!$A$3:$H$10000,8,FALSE),"0")</f>
        <v>0</v>
      </c>
      <c r="P1045" s="33">
        <f t="shared" si="64"/>
        <v>0</v>
      </c>
      <c r="Q1045" s="31" t="str">
        <f t="shared" si="65"/>
        <v/>
      </c>
      <c r="R1045" s="32" t="str">
        <f>IFERROR(VLOOKUP($D1045,'Informations sur les produits'!$A$3:$B$15000,2,FALSE),"")</f>
        <v/>
      </c>
      <c r="V1045">
        <f t="shared" si="66"/>
        <v>0</v>
      </c>
      <c r="W1045">
        <f t="shared" si="67"/>
        <v>0</v>
      </c>
    </row>
    <row r="1046" spans="5:23" x14ac:dyDescent="0.25">
      <c r="E1046" s="4"/>
      <c r="F1046" s="4"/>
      <c r="G1046" s="33" t="str">
        <f>IFERROR(VLOOKUP($D1046,'Informations sur les produits'!$A$3:$H$10000,8,FALSE),"0")</f>
        <v>0</v>
      </c>
      <c r="K1046" s="4"/>
      <c r="L1046" s="33" t="str">
        <f>IFERROR(VLOOKUP($J1046,'Informations sur les produits'!$A$3:$H$10000,8,FALSE),"0")</f>
        <v>0</v>
      </c>
      <c r="N1046" s="8"/>
      <c r="O1046" s="33" t="str">
        <f>IFERROR(VLOOKUP($M1046,'Informations sur les produits'!$A$3:$H$10000,8,FALSE),"0")</f>
        <v>0</v>
      </c>
      <c r="P1046" s="33">
        <f t="shared" si="64"/>
        <v>0</v>
      </c>
      <c r="Q1046" s="31" t="str">
        <f t="shared" si="65"/>
        <v/>
      </c>
      <c r="R1046" s="32" t="str">
        <f>IFERROR(VLOOKUP($D1046,'Informations sur les produits'!$A$3:$B$15000,2,FALSE),"")</f>
        <v/>
      </c>
      <c r="V1046">
        <f t="shared" si="66"/>
        <v>0</v>
      </c>
      <c r="W1046">
        <f t="shared" si="67"/>
        <v>0</v>
      </c>
    </row>
    <row r="1047" spans="5:23" x14ac:dyDescent="0.25">
      <c r="E1047" s="4"/>
      <c r="F1047" s="4"/>
      <c r="G1047" s="33" t="str">
        <f>IFERROR(VLOOKUP($D1047,'Informations sur les produits'!$A$3:$H$10000,8,FALSE),"0")</f>
        <v>0</v>
      </c>
      <c r="K1047" s="4"/>
      <c r="L1047" s="33" t="str">
        <f>IFERROR(VLOOKUP($J1047,'Informations sur les produits'!$A$3:$H$10000,8,FALSE),"0")</f>
        <v>0</v>
      </c>
      <c r="N1047" s="8"/>
      <c r="O1047" s="33" t="str">
        <f>IFERROR(VLOOKUP($M1047,'Informations sur les produits'!$A$3:$H$10000,8,FALSE),"0")</f>
        <v>0</v>
      </c>
      <c r="P1047" s="33">
        <f t="shared" si="64"/>
        <v>0</v>
      </c>
      <c r="Q1047" s="31" t="str">
        <f t="shared" si="65"/>
        <v/>
      </c>
      <c r="R1047" s="32" t="str">
        <f>IFERROR(VLOOKUP($D1047,'Informations sur les produits'!$A$3:$B$15000,2,FALSE),"")</f>
        <v/>
      </c>
      <c r="V1047">
        <f t="shared" si="66"/>
        <v>0</v>
      </c>
      <c r="W1047">
        <f t="shared" si="67"/>
        <v>0</v>
      </c>
    </row>
    <row r="1048" spans="5:23" x14ac:dyDescent="0.25">
      <c r="E1048" s="4"/>
      <c r="F1048" s="4"/>
      <c r="G1048" s="33" t="str">
        <f>IFERROR(VLOOKUP($D1048,'Informations sur les produits'!$A$3:$H$10000,8,FALSE),"0")</f>
        <v>0</v>
      </c>
      <c r="K1048" s="4"/>
      <c r="L1048" s="33" t="str">
        <f>IFERROR(VLOOKUP($J1048,'Informations sur les produits'!$A$3:$H$10000,8,FALSE),"0")</f>
        <v>0</v>
      </c>
      <c r="N1048" s="8"/>
      <c r="O1048" s="33" t="str">
        <f>IFERROR(VLOOKUP($M1048,'Informations sur les produits'!$A$3:$H$10000,8,FALSE),"0")</f>
        <v>0</v>
      </c>
      <c r="P1048" s="33">
        <f t="shared" si="64"/>
        <v>0</v>
      </c>
      <c r="Q1048" s="31" t="str">
        <f t="shared" si="65"/>
        <v/>
      </c>
      <c r="R1048" s="32" t="str">
        <f>IFERROR(VLOOKUP($D1048,'Informations sur les produits'!$A$3:$B$15000,2,FALSE),"")</f>
        <v/>
      </c>
      <c r="V1048">
        <f t="shared" si="66"/>
        <v>0</v>
      </c>
      <c r="W1048">
        <f t="shared" si="67"/>
        <v>0</v>
      </c>
    </row>
    <row r="1049" spans="5:23" x14ac:dyDescent="0.25">
      <c r="E1049" s="4"/>
      <c r="F1049" s="4"/>
      <c r="G1049" s="33" t="str">
        <f>IFERROR(VLOOKUP($D1049,'Informations sur les produits'!$A$3:$H$10000,8,FALSE),"0")</f>
        <v>0</v>
      </c>
      <c r="K1049" s="4"/>
      <c r="L1049" s="33" t="str">
        <f>IFERROR(VLOOKUP($J1049,'Informations sur les produits'!$A$3:$H$10000,8,FALSE),"0")</f>
        <v>0</v>
      </c>
      <c r="N1049" s="8"/>
      <c r="O1049" s="33" t="str">
        <f>IFERROR(VLOOKUP($M1049,'Informations sur les produits'!$A$3:$H$10000,8,FALSE),"0")</f>
        <v>0</v>
      </c>
      <c r="P1049" s="33">
        <f t="shared" si="64"/>
        <v>0</v>
      </c>
      <c r="Q1049" s="31" t="str">
        <f t="shared" si="65"/>
        <v/>
      </c>
      <c r="R1049" s="32" t="str">
        <f>IFERROR(VLOOKUP($D1049,'Informations sur les produits'!$A$3:$B$15000,2,FALSE),"")</f>
        <v/>
      </c>
      <c r="V1049">
        <f t="shared" si="66"/>
        <v>0</v>
      </c>
      <c r="W1049">
        <f t="shared" si="67"/>
        <v>0</v>
      </c>
    </row>
    <row r="1050" spans="5:23" x14ac:dyDescent="0.25">
      <c r="E1050" s="4"/>
      <c r="F1050" s="4"/>
      <c r="G1050" s="33" t="str">
        <f>IFERROR(VLOOKUP($D1050,'Informations sur les produits'!$A$3:$H$10000,8,FALSE),"0")</f>
        <v>0</v>
      </c>
      <c r="K1050" s="4"/>
      <c r="L1050" s="33" t="str">
        <f>IFERROR(VLOOKUP($J1050,'Informations sur les produits'!$A$3:$H$10000,8,FALSE),"0")</f>
        <v>0</v>
      </c>
      <c r="N1050" s="8"/>
      <c r="O1050" s="33" t="str">
        <f>IFERROR(VLOOKUP($M1050,'Informations sur les produits'!$A$3:$H$10000,8,FALSE),"0")</f>
        <v>0</v>
      </c>
      <c r="P1050" s="33">
        <f t="shared" si="64"/>
        <v>0</v>
      </c>
      <c r="Q1050" s="31" t="str">
        <f t="shared" si="65"/>
        <v/>
      </c>
      <c r="R1050" s="32" t="str">
        <f>IFERROR(VLOOKUP($D1050,'Informations sur les produits'!$A$3:$B$15000,2,FALSE),"")</f>
        <v/>
      </c>
      <c r="V1050">
        <f t="shared" si="66"/>
        <v>0</v>
      </c>
      <c r="W1050">
        <f t="shared" si="67"/>
        <v>0</v>
      </c>
    </row>
    <row r="1051" spans="5:23" x14ac:dyDescent="0.25">
      <c r="E1051" s="4"/>
      <c r="F1051" s="4"/>
      <c r="G1051" s="33" t="str">
        <f>IFERROR(VLOOKUP($D1051,'Informations sur les produits'!$A$3:$H$10000,8,FALSE),"0")</f>
        <v>0</v>
      </c>
      <c r="K1051" s="4"/>
      <c r="L1051" s="33" t="str">
        <f>IFERROR(VLOOKUP($J1051,'Informations sur les produits'!$A$3:$H$10000,8,FALSE),"0")</f>
        <v>0</v>
      </c>
      <c r="N1051" s="8"/>
      <c r="O1051" s="33" t="str">
        <f>IFERROR(VLOOKUP($M1051,'Informations sur les produits'!$A$3:$H$10000,8,FALSE),"0")</f>
        <v>0</v>
      </c>
      <c r="P1051" s="33">
        <f t="shared" si="64"/>
        <v>0</v>
      </c>
      <c r="Q1051" s="31" t="str">
        <f t="shared" si="65"/>
        <v/>
      </c>
      <c r="R1051" s="32" t="str">
        <f>IFERROR(VLOOKUP($D1051,'Informations sur les produits'!$A$3:$B$15000,2,FALSE),"")</f>
        <v/>
      </c>
      <c r="V1051">
        <f t="shared" si="66"/>
        <v>0</v>
      </c>
      <c r="W1051">
        <f t="shared" si="67"/>
        <v>0</v>
      </c>
    </row>
    <row r="1052" spans="5:23" x14ac:dyDescent="0.25">
      <c r="E1052" s="4"/>
      <c r="F1052" s="4"/>
      <c r="G1052" s="33" t="str">
        <f>IFERROR(VLOOKUP($D1052,'Informations sur les produits'!$A$3:$H$10000,8,FALSE),"0")</f>
        <v>0</v>
      </c>
      <c r="K1052" s="4"/>
      <c r="L1052" s="33" t="str">
        <f>IFERROR(VLOOKUP($J1052,'Informations sur les produits'!$A$3:$H$10000,8,FALSE),"0")</f>
        <v>0</v>
      </c>
      <c r="N1052" s="8"/>
      <c r="O1052" s="33" t="str">
        <f>IFERROR(VLOOKUP($M1052,'Informations sur les produits'!$A$3:$H$10000,8,FALSE),"0")</f>
        <v>0</v>
      </c>
      <c r="P1052" s="33">
        <f t="shared" si="64"/>
        <v>0</v>
      </c>
      <c r="Q1052" s="31" t="str">
        <f t="shared" si="65"/>
        <v/>
      </c>
      <c r="R1052" s="32" t="str">
        <f>IFERROR(VLOOKUP($D1052,'Informations sur les produits'!$A$3:$B$15000,2,FALSE),"")</f>
        <v/>
      </c>
      <c r="V1052">
        <f t="shared" si="66"/>
        <v>0</v>
      </c>
      <c r="W1052">
        <f t="shared" si="67"/>
        <v>0</v>
      </c>
    </row>
    <row r="1053" spans="5:23" x14ac:dyDescent="0.25">
      <c r="E1053" s="4"/>
      <c r="F1053" s="4"/>
      <c r="G1053" s="33" t="str">
        <f>IFERROR(VLOOKUP($D1053,'Informations sur les produits'!$A$3:$H$10000,8,FALSE),"0")</f>
        <v>0</v>
      </c>
      <c r="K1053" s="4"/>
      <c r="L1053" s="33" t="str">
        <f>IFERROR(VLOOKUP($J1053,'Informations sur les produits'!$A$3:$H$10000,8,FALSE),"0")</f>
        <v>0</v>
      </c>
      <c r="N1053" s="8"/>
      <c r="O1053" s="33" t="str">
        <f>IFERROR(VLOOKUP($M1053,'Informations sur les produits'!$A$3:$H$10000,8,FALSE),"0")</f>
        <v>0</v>
      </c>
      <c r="P1053" s="33">
        <f t="shared" si="64"/>
        <v>0</v>
      </c>
      <c r="Q1053" s="31" t="str">
        <f t="shared" si="65"/>
        <v/>
      </c>
      <c r="R1053" s="32" t="str">
        <f>IFERROR(VLOOKUP($D1053,'Informations sur les produits'!$A$3:$B$15000,2,FALSE),"")</f>
        <v/>
      </c>
      <c r="V1053">
        <f t="shared" si="66"/>
        <v>0</v>
      </c>
      <c r="W1053">
        <f t="shared" si="67"/>
        <v>0</v>
      </c>
    </row>
    <row r="1054" spans="5:23" x14ac:dyDescent="0.25">
      <c r="E1054" s="4"/>
      <c r="F1054" s="4"/>
      <c r="G1054" s="33" t="str">
        <f>IFERROR(VLOOKUP($D1054,'Informations sur les produits'!$A$3:$H$10000,8,FALSE),"0")</f>
        <v>0</v>
      </c>
      <c r="K1054" s="4"/>
      <c r="L1054" s="33" t="str">
        <f>IFERROR(VLOOKUP($J1054,'Informations sur les produits'!$A$3:$H$10000,8,FALSE),"0")</f>
        <v>0</v>
      </c>
      <c r="N1054" s="8"/>
      <c r="O1054" s="33" t="str">
        <f>IFERROR(VLOOKUP($M1054,'Informations sur les produits'!$A$3:$H$10000,8,FALSE),"0")</f>
        <v>0</v>
      </c>
      <c r="P1054" s="33">
        <f t="shared" si="64"/>
        <v>0</v>
      </c>
      <c r="Q1054" s="31" t="str">
        <f t="shared" si="65"/>
        <v/>
      </c>
      <c r="R1054" s="32" t="str">
        <f>IFERROR(VLOOKUP($D1054,'Informations sur les produits'!$A$3:$B$15000,2,FALSE),"")</f>
        <v/>
      </c>
      <c r="V1054">
        <f t="shared" si="66"/>
        <v>0</v>
      </c>
      <c r="W1054">
        <f t="shared" si="67"/>
        <v>0</v>
      </c>
    </row>
    <row r="1055" spans="5:23" x14ac:dyDescent="0.25">
      <c r="E1055" s="4"/>
      <c r="F1055" s="4"/>
      <c r="G1055" s="33" t="str">
        <f>IFERROR(VLOOKUP($D1055,'Informations sur les produits'!$A$3:$H$10000,8,FALSE),"0")</f>
        <v>0</v>
      </c>
      <c r="K1055" s="4"/>
      <c r="L1055" s="33" t="str">
        <f>IFERROR(VLOOKUP($J1055,'Informations sur les produits'!$A$3:$H$10000,8,FALSE),"0")</f>
        <v>0</v>
      </c>
      <c r="N1055" s="8"/>
      <c r="O1055" s="33" t="str">
        <f>IFERROR(VLOOKUP($M1055,'Informations sur les produits'!$A$3:$H$10000,8,FALSE),"0")</f>
        <v>0</v>
      </c>
      <c r="P1055" s="33">
        <f t="shared" si="64"/>
        <v>0</v>
      </c>
      <c r="Q1055" s="31" t="str">
        <f t="shared" si="65"/>
        <v/>
      </c>
      <c r="R1055" s="32" t="str">
        <f>IFERROR(VLOOKUP($D1055,'Informations sur les produits'!$A$3:$B$15000,2,FALSE),"")</f>
        <v/>
      </c>
      <c r="V1055">
        <f t="shared" si="66"/>
        <v>0</v>
      </c>
      <c r="W1055">
        <f t="shared" si="67"/>
        <v>0</v>
      </c>
    </row>
    <row r="1056" spans="5:23" x14ac:dyDescent="0.25">
      <c r="E1056" s="4"/>
      <c r="F1056" s="4"/>
      <c r="G1056" s="33" t="str">
        <f>IFERROR(VLOOKUP($D1056,'Informations sur les produits'!$A$3:$H$10000,8,FALSE),"0")</f>
        <v>0</v>
      </c>
      <c r="K1056" s="4"/>
      <c r="L1056" s="33" t="str">
        <f>IFERROR(VLOOKUP($J1056,'Informations sur les produits'!$A$3:$H$10000,8,FALSE),"0")</f>
        <v>0</v>
      </c>
      <c r="N1056" s="8"/>
      <c r="O1056" s="33" t="str">
        <f>IFERROR(VLOOKUP($M1056,'Informations sur les produits'!$A$3:$H$10000,8,FALSE),"0")</f>
        <v>0</v>
      </c>
      <c r="P1056" s="33">
        <f t="shared" si="64"/>
        <v>0</v>
      </c>
      <c r="Q1056" s="31" t="str">
        <f t="shared" si="65"/>
        <v/>
      </c>
      <c r="R1056" s="32" t="str">
        <f>IFERROR(VLOOKUP($D1056,'Informations sur les produits'!$A$3:$B$15000,2,FALSE),"")</f>
        <v/>
      </c>
      <c r="V1056">
        <f t="shared" si="66"/>
        <v>0</v>
      </c>
      <c r="W1056">
        <f t="shared" si="67"/>
        <v>0</v>
      </c>
    </row>
    <row r="1057" spans="5:23" x14ac:dyDescent="0.25">
      <c r="E1057" s="4"/>
      <c r="F1057" s="4"/>
      <c r="G1057" s="33" t="str">
        <f>IFERROR(VLOOKUP($D1057,'Informations sur les produits'!$A$3:$H$10000,8,FALSE),"0")</f>
        <v>0</v>
      </c>
      <c r="K1057" s="4"/>
      <c r="L1057" s="33" t="str">
        <f>IFERROR(VLOOKUP($J1057,'Informations sur les produits'!$A$3:$H$10000,8,FALSE),"0")</f>
        <v>0</v>
      </c>
      <c r="N1057" s="8"/>
      <c r="O1057" s="33" t="str">
        <f>IFERROR(VLOOKUP($M1057,'Informations sur les produits'!$A$3:$H$10000,8,FALSE),"0")</f>
        <v>0</v>
      </c>
      <c r="P1057" s="33">
        <f t="shared" si="64"/>
        <v>0</v>
      </c>
      <c r="Q1057" s="31" t="str">
        <f t="shared" si="65"/>
        <v/>
      </c>
      <c r="R1057" s="32" t="str">
        <f>IFERROR(VLOOKUP($D1057,'Informations sur les produits'!$A$3:$B$15000,2,FALSE),"")</f>
        <v/>
      </c>
      <c r="V1057">
        <f t="shared" si="66"/>
        <v>0</v>
      </c>
      <c r="W1057">
        <f t="shared" si="67"/>
        <v>0</v>
      </c>
    </row>
    <row r="1058" spans="5:23" x14ac:dyDescent="0.25">
      <c r="E1058" s="4"/>
      <c r="F1058" s="4"/>
      <c r="G1058" s="33" t="str">
        <f>IFERROR(VLOOKUP($D1058,'Informations sur les produits'!$A$3:$H$10000,8,FALSE),"0")</f>
        <v>0</v>
      </c>
      <c r="K1058" s="4"/>
      <c r="L1058" s="33" t="str">
        <f>IFERROR(VLOOKUP($J1058,'Informations sur les produits'!$A$3:$H$10000,8,FALSE),"0")</f>
        <v>0</v>
      </c>
      <c r="N1058" s="8"/>
      <c r="O1058" s="33" t="str">
        <f>IFERROR(VLOOKUP($M1058,'Informations sur les produits'!$A$3:$H$10000,8,FALSE),"0")</f>
        <v>0</v>
      </c>
      <c r="P1058" s="33">
        <f t="shared" si="64"/>
        <v>0</v>
      </c>
      <c r="Q1058" s="31" t="str">
        <f t="shared" si="65"/>
        <v/>
      </c>
      <c r="R1058" s="32" t="str">
        <f>IFERROR(VLOOKUP($D1058,'Informations sur les produits'!$A$3:$B$15000,2,FALSE),"")</f>
        <v/>
      </c>
      <c r="V1058">
        <f t="shared" si="66"/>
        <v>0</v>
      </c>
      <c r="W1058">
        <f t="shared" si="67"/>
        <v>0</v>
      </c>
    </row>
    <row r="1059" spans="5:23" x14ac:dyDescent="0.25">
      <c r="E1059" s="4"/>
      <c r="F1059" s="4"/>
      <c r="G1059" s="33" t="str">
        <f>IFERROR(VLOOKUP($D1059,'Informations sur les produits'!$A$3:$H$10000,8,FALSE),"0")</f>
        <v>0</v>
      </c>
      <c r="K1059" s="4"/>
      <c r="L1059" s="33" t="str">
        <f>IFERROR(VLOOKUP($J1059,'Informations sur les produits'!$A$3:$H$10000,8,FALSE),"0")</f>
        <v>0</v>
      </c>
      <c r="N1059" s="8"/>
      <c r="O1059" s="33" t="str">
        <f>IFERROR(VLOOKUP($M1059,'Informations sur les produits'!$A$3:$H$10000,8,FALSE),"0")</f>
        <v>0</v>
      </c>
      <c r="P1059" s="33">
        <f t="shared" si="64"/>
        <v>0</v>
      </c>
      <c r="Q1059" s="31" t="str">
        <f t="shared" si="65"/>
        <v/>
      </c>
      <c r="R1059" s="32" t="str">
        <f>IFERROR(VLOOKUP($D1059,'Informations sur les produits'!$A$3:$B$15000,2,FALSE),"")</f>
        <v/>
      </c>
      <c r="V1059">
        <f t="shared" si="66"/>
        <v>0</v>
      </c>
      <c r="W1059">
        <f t="shared" si="67"/>
        <v>0</v>
      </c>
    </row>
    <row r="1060" spans="5:23" x14ac:dyDescent="0.25">
      <c r="E1060" s="4"/>
      <c r="F1060" s="4"/>
      <c r="G1060" s="33" t="str">
        <f>IFERROR(VLOOKUP($D1060,'Informations sur les produits'!$A$3:$H$10000,8,FALSE),"0")</f>
        <v>0</v>
      </c>
      <c r="K1060" s="4"/>
      <c r="L1060" s="33" t="str">
        <f>IFERROR(VLOOKUP($J1060,'Informations sur les produits'!$A$3:$H$10000,8,FALSE),"0")</f>
        <v>0</v>
      </c>
      <c r="N1060" s="8"/>
      <c r="O1060" s="33" t="str">
        <f>IFERROR(VLOOKUP($M1060,'Informations sur les produits'!$A$3:$H$10000,8,FALSE),"0")</f>
        <v>0</v>
      </c>
      <c r="P1060" s="33">
        <f t="shared" si="64"/>
        <v>0</v>
      </c>
      <c r="Q1060" s="31" t="str">
        <f t="shared" si="65"/>
        <v/>
      </c>
      <c r="R1060" s="32" t="str">
        <f>IFERROR(VLOOKUP($D1060,'Informations sur les produits'!$A$3:$B$15000,2,FALSE),"")</f>
        <v/>
      </c>
      <c r="V1060">
        <f t="shared" si="66"/>
        <v>0</v>
      </c>
      <c r="W1060">
        <f t="shared" si="67"/>
        <v>0</v>
      </c>
    </row>
    <row r="1061" spans="5:23" x14ac:dyDescent="0.25">
      <c r="E1061" s="4"/>
      <c r="F1061" s="4"/>
      <c r="G1061" s="33" t="str">
        <f>IFERROR(VLOOKUP($D1061,'Informations sur les produits'!$A$3:$H$10000,8,FALSE),"0")</f>
        <v>0</v>
      </c>
      <c r="K1061" s="4"/>
      <c r="L1061" s="33" t="str">
        <f>IFERROR(VLOOKUP($J1061,'Informations sur les produits'!$A$3:$H$10000,8,FALSE),"0")</f>
        <v>0</v>
      </c>
      <c r="N1061" s="8"/>
      <c r="O1061" s="33" t="str">
        <f>IFERROR(VLOOKUP($M1061,'Informations sur les produits'!$A$3:$H$10000,8,FALSE),"0")</f>
        <v>0</v>
      </c>
      <c r="P1061" s="33">
        <f t="shared" si="64"/>
        <v>0</v>
      </c>
      <c r="Q1061" s="31" t="str">
        <f t="shared" si="65"/>
        <v/>
      </c>
      <c r="R1061" s="32" t="str">
        <f>IFERROR(VLOOKUP($D1061,'Informations sur les produits'!$A$3:$B$15000,2,FALSE),"")</f>
        <v/>
      </c>
      <c r="V1061">
        <f t="shared" si="66"/>
        <v>0</v>
      </c>
      <c r="W1061">
        <f t="shared" si="67"/>
        <v>0</v>
      </c>
    </row>
    <row r="1062" spans="5:23" x14ac:dyDescent="0.25">
      <c r="E1062" s="4"/>
      <c r="F1062" s="4"/>
      <c r="G1062" s="33" t="str">
        <f>IFERROR(VLOOKUP($D1062,'Informations sur les produits'!$A$3:$H$10000,8,FALSE),"0")</f>
        <v>0</v>
      </c>
      <c r="K1062" s="4"/>
      <c r="L1062" s="33" t="str">
        <f>IFERROR(VLOOKUP($J1062,'Informations sur les produits'!$A$3:$H$10000,8,FALSE),"0")</f>
        <v>0</v>
      </c>
      <c r="N1062" s="8"/>
      <c r="O1062" s="33" t="str">
        <f>IFERROR(VLOOKUP($M1062,'Informations sur les produits'!$A$3:$H$10000,8,FALSE),"0")</f>
        <v>0</v>
      </c>
      <c r="P1062" s="33">
        <f t="shared" si="64"/>
        <v>0</v>
      </c>
      <c r="Q1062" s="31" t="str">
        <f t="shared" si="65"/>
        <v/>
      </c>
      <c r="R1062" s="32" t="str">
        <f>IFERROR(VLOOKUP($D1062,'Informations sur les produits'!$A$3:$B$15000,2,FALSE),"")</f>
        <v/>
      </c>
      <c r="V1062">
        <f t="shared" si="66"/>
        <v>0</v>
      </c>
      <c r="W1062">
        <f t="shared" si="67"/>
        <v>0</v>
      </c>
    </row>
    <row r="1063" spans="5:23" x14ac:dyDescent="0.25">
      <c r="E1063" s="4"/>
      <c r="F1063" s="4"/>
      <c r="G1063" s="33" t="str">
        <f>IFERROR(VLOOKUP($D1063,'Informations sur les produits'!$A$3:$H$10000,8,FALSE),"0")</f>
        <v>0</v>
      </c>
      <c r="K1063" s="4"/>
      <c r="L1063" s="33" t="str">
        <f>IFERROR(VLOOKUP($J1063,'Informations sur les produits'!$A$3:$H$10000,8,FALSE),"0")</f>
        <v>0</v>
      </c>
      <c r="N1063" s="8"/>
      <c r="O1063" s="33" t="str">
        <f>IFERROR(VLOOKUP($M1063,'Informations sur les produits'!$A$3:$H$10000,8,FALSE),"0")</f>
        <v>0</v>
      </c>
      <c r="P1063" s="33">
        <f t="shared" si="64"/>
        <v>0</v>
      </c>
      <c r="Q1063" s="31" t="str">
        <f t="shared" si="65"/>
        <v/>
      </c>
      <c r="R1063" s="32" t="str">
        <f>IFERROR(VLOOKUP($D1063,'Informations sur les produits'!$A$3:$B$15000,2,FALSE),"")</f>
        <v/>
      </c>
      <c r="V1063">
        <f t="shared" si="66"/>
        <v>0</v>
      </c>
      <c r="W1063">
        <f t="shared" si="67"/>
        <v>0</v>
      </c>
    </row>
    <row r="1064" spans="5:23" x14ac:dyDescent="0.25">
      <c r="E1064" s="4"/>
      <c r="F1064" s="4"/>
      <c r="G1064" s="33" t="str">
        <f>IFERROR(VLOOKUP($D1064,'Informations sur les produits'!$A$3:$H$10000,8,FALSE),"0")</f>
        <v>0</v>
      </c>
      <c r="K1064" s="4"/>
      <c r="L1064" s="33" t="str">
        <f>IFERROR(VLOOKUP($J1064,'Informations sur les produits'!$A$3:$H$10000,8,FALSE),"0")</f>
        <v>0</v>
      </c>
      <c r="N1064" s="8"/>
      <c r="O1064" s="33" t="str">
        <f>IFERROR(VLOOKUP($M1064,'Informations sur les produits'!$A$3:$H$10000,8,FALSE),"0")</f>
        <v>0</v>
      </c>
      <c r="P1064" s="33">
        <f t="shared" si="64"/>
        <v>0</v>
      </c>
      <c r="Q1064" s="31" t="str">
        <f t="shared" si="65"/>
        <v/>
      </c>
      <c r="R1064" s="32" t="str">
        <f>IFERROR(VLOOKUP($D1064,'Informations sur les produits'!$A$3:$B$15000,2,FALSE),"")</f>
        <v/>
      </c>
      <c r="V1064">
        <f t="shared" si="66"/>
        <v>0</v>
      </c>
      <c r="W1064">
        <f t="shared" si="67"/>
        <v>0</v>
      </c>
    </row>
    <row r="1065" spans="5:23" x14ac:dyDescent="0.25">
      <c r="E1065" s="4"/>
      <c r="F1065" s="4"/>
      <c r="G1065" s="33" t="str">
        <f>IFERROR(VLOOKUP($D1065,'Informations sur les produits'!$A$3:$H$10000,8,FALSE),"0")</f>
        <v>0</v>
      </c>
      <c r="K1065" s="4"/>
      <c r="L1065" s="33" t="str">
        <f>IFERROR(VLOOKUP($J1065,'Informations sur les produits'!$A$3:$H$10000,8,FALSE),"0")</f>
        <v>0</v>
      </c>
      <c r="N1065" s="8"/>
      <c r="O1065" s="33" t="str">
        <f>IFERROR(VLOOKUP($M1065,'Informations sur les produits'!$A$3:$H$10000,8,FALSE),"0")</f>
        <v>0</v>
      </c>
      <c r="P1065" s="33">
        <f t="shared" si="64"/>
        <v>0</v>
      </c>
      <c r="Q1065" s="31" t="str">
        <f t="shared" si="65"/>
        <v/>
      </c>
      <c r="R1065" s="32" t="str">
        <f>IFERROR(VLOOKUP($D1065,'Informations sur les produits'!$A$3:$B$15000,2,FALSE),"")</f>
        <v/>
      </c>
      <c r="V1065">
        <f t="shared" si="66"/>
        <v>0</v>
      </c>
      <c r="W1065">
        <f t="shared" si="67"/>
        <v>0</v>
      </c>
    </row>
    <row r="1066" spans="5:23" x14ac:dyDescent="0.25">
      <c r="E1066" s="4"/>
      <c r="F1066" s="4"/>
      <c r="G1066" s="33" t="str">
        <f>IFERROR(VLOOKUP($D1066,'Informations sur les produits'!$A$3:$H$10000,8,FALSE),"0")</f>
        <v>0</v>
      </c>
      <c r="K1066" s="4"/>
      <c r="L1066" s="33" t="str">
        <f>IFERROR(VLOOKUP($J1066,'Informations sur les produits'!$A$3:$H$10000,8,FALSE),"0")</f>
        <v>0</v>
      </c>
      <c r="N1066" s="8"/>
      <c r="O1066" s="33" t="str">
        <f>IFERROR(VLOOKUP($M1066,'Informations sur les produits'!$A$3:$H$10000,8,FALSE),"0")</f>
        <v>0</v>
      </c>
      <c r="P1066" s="33">
        <f t="shared" si="64"/>
        <v>0</v>
      </c>
      <c r="Q1066" s="31" t="str">
        <f t="shared" si="65"/>
        <v/>
      </c>
      <c r="R1066" s="32" t="str">
        <f>IFERROR(VLOOKUP($D1066,'Informations sur les produits'!$A$3:$B$15000,2,FALSE),"")</f>
        <v/>
      </c>
      <c r="V1066">
        <f t="shared" si="66"/>
        <v>0</v>
      </c>
      <c r="W1066">
        <f t="shared" si="67"/>
        <v>0</v>
      </c>
    </row>
    <row r="1067" spans="5:23" x14ac:dyDescent="0.25">
      <c r="E1067" s="4"/>
      <c r="F1067" s="4"/>
      <c r="G1067" s="33" t="str">
        <f>IFERROR(VLOOKUP($D1067,'Informations sur les produits'!$A$3:$H$10000,8,FALSE),"0")</f>
        <v>0</v>
      </c>
      <c r="K1067" s="4"/>
      <c r="L1067" s="33" t="str">
        <f>IFERROR(VLOOKUP($J1067,'Informations sur les produits'!$A$3:$H$10000,8,FALSE),"0")</f>
        <v>0</v>
      </c>
      <c r="N1067" s="8"/>
      <c r="O1067" s="33" t="str">
        <f>IFERROR(VLOOKUP($M1067,'Informations sur les produits'!$A$3:$H$10000,8,FALSE),"0")</f>
        <v>0</v>
      </c>
      <c r="P1067" s="33">
        <f t="shared" si="64"/>
        <v>0</v>
      </c>
      <c r="Q1067" s="31" t="str">
        <f t="shared" si="65"/>
        <v/>
      </c>
      <c r="R1067" s="32" t="str">
        <f>IFERROR(VLOOKUP($D1067,'Informations sur les produits'!$A$3:$B$15000,2,FALSE),"")</f>
        <v/>
      </c>
      <c r="V1067">
        <f t="shared" si="66"/>
        <v>0</v>
      </c>
      <c r="W1067">
        <f t="shared" si="67"/>
        <v>0</v>
      </c>
    </row>
    <row r="1068" spans="5:23" x14ac:dyDescent="0.25">
      <c r="E1068" s="4"/>
      <c r="F1068" s="4"/>
      <c r="G1068" s="33" t="str">
        <f>IFERROR(VLOOKUP($D1068,'Informations sur les produits'!$A$3:$H$10000,8,FALSE),"0")</f>
        <v>0</v>
      </c>
      <c r="K1068" s="4"/>
      <c r="L1068" s="33" t="str">
        <f>IFERROR(VLOOKUP($J1068,'Informations sur les produits'!$A$3:$H$10000,8,FALSE),"0")</f>
        <v>0</v>
      </c>
      <c r="N1068" s="8"/>
      <c r="O1068" s="33" t="str">
        <f>IFERROR(VLOOKUP($M1068,'Informations sur les produits'!$A$3:$H$10000,8,FALSE),"0")</f>
        <v>0</v>
      </c>
      <c r="P1068" s="33">
        <f t="shared" si="64"/>
        <v>0</v>
      </c>
      <c r="Q1068" s="31" t="str">
        <f t="shared" si="65"/>
        <v/>
      </c>
      <c r="R1068" s="32" t="str">
        <f>IFERROR(VLOOKUP($D1068,'Informations sur les produits'!$A$3:$B$15000,2,FALSE),"")</f>
        <v/>
      </c>
      <c r="V1068">
        <f t="shared" si="66"/>
        <v>0</v>
      </c>
      <c r="W1068">
        <f t="shared" si="67"/>
        <v>0</v>
      </c>
    </row>
    <row r="1069" spans="5:23" x14ac:dyDescent="0.25">
      <c r="E1069" s="4"/>
      <c r="F1069" s="4"/>
      <c r="G1069" s="33" t="str">
        <f>IFERROR(VLOOKUP($D1069,'Informations sur les produits'!$A$3:$H$10000,8,FALSE),"0")</f>
        <v>0</v>
      </c>
      <c r="K1069" s="4"/>
      <c r="L1069" s="33" t="str">
        <f>IFERROR(VLOOKUP($J1069,'Informations sur les produits'!$A$3:$H$10000,8,FALSE),"0")</f>
        <v>0</v>
      </c>
      <c r="N1069" s="8"/>
      <c r="O1069" s="33" t="str">
        <f>IFERROR(VLOOKUP($M1069,'Informations sur les produits'!$A$3:$H$10000,8,FALSE),"0")</f>
        <v>0</v>
      </c>
      <c r="P1069" s="33">
        <f t="shared" si="64"/>
        <v>0</v>
      </c>
      <c r="Q1069" s="31" t="str">
        <f t="shared" si="65"/>
        <v/>
      </c>
      <c r="R1069" s="32" t="str">
        <f>IFERROR(VLOOKUP($D1069,'Informations sur les produits'!$A$3:$B$15000,2,FALSE),"")</f>
        <v/>
      </c>
      <c r="V1069">
        <f t="shared" si="66"/>
        <v>0</v>
      </c>
      <c r="W1069">
        <f t="shared" si="67"/>
        <v>0</v>
      </c>
    </row>
    <row r="1070" spans="5:23" x14ac:dyDescent="0.25">
      <c r="E1070" s="4"/>
      <c r="F1070" s="4"/>
      <c r="G1070" s="33" t="str">
        <f>IFERROR(VLOOKUP($D1070,'Informations sur les produits'!$A$3:$H$10000,8,FALSE),"0")</f>
        <v>0</v>
      </c>
      <c r="K1070" s="4"/>
      <c r="L1070" s="33" t="str">
        <f>IFERROR(VLOOKUP($J1070,'Informations sur les produits'!$A$3:$H$10000,8,FALSE),"0")</f>
        <v>0</v>
      </c>
      <c r="N1070" s="8"/>
      <c r="O1070" s="33" t="str">
        <f>IFERROR(VLOOKUP($M1070,'Informations sur les produits'!$A$3:$H$10000,8,FALSE),"0")</f>
        <v>0</v>
      </c>
      <c r="P1070" s="33">
        <f t="shared" si="64"/>
        <v>0</v>
      </c>
      <c r="Q1070" s="31" t="str">
        <f t="shared" si="65"/>
        <v/>
      </c>
      <c r="R1070" s="32" t="str">
        <f>IFERROR(VLOOKUP($D1070,'Informations sur les produits'!$A$3:$B$15000,2,FALSE),"")</f>
        <v/>
      </c>
      <c r="V1070">
        <f t="shared" si="66"/>
        <v>0</v>
      </c>
      <c r="W1070">
        <f t="shared" si="67"/>
        <v>0</v>
      </c>
    </row>
    <row r="1071" spans="5:23" x14ac:dyDescent="0.25">
      <c r="E1071" s="4"/>
      <c r="F1071" s="4"/>
      <c r="G1071" s="33" t="str">
        <f>IFERROR(VLOOKUP($D1071,'Informations sur les produits'!$A$3:$H$10000,8,FALSE),"0")</f>
        <v>0</v>
      </c>
      <c r="K1071" s="4"/>
      <c r="L1071" s="33" t="str">
        <f>IFERROR(VLOOKUP($J1071,'Informations sur les produits'!$A$3:$H$10000,8,FALSE),"0")</f>
        <v>0</v>
      </c>
      <c r="N1071" s="8"/>
      <c r="O1071" s="33" t="str">
        <f>IFERROR(VLOOKUP($M1071,'Informations sur les produits'!$A$3:$H$10000,8,FALSE),"0")</f>
        <v>0</v>
      </c>
      <c r="P1071" s="33">
        <f t="shared" si="64"/>
        <v>0</v>
      </c>
      <c r="Q1071" s="31" t="str">
        <f t="shared" si="65"/>
        <v/>
      </c>
      <c r="R1071" s="32" t="str">
        <f>IFERROR(VLOOKUP($D1071,'Informations sur les produits'!$A$3:$B$15000,2,FALSE),"")</f>
        <v/>
      </c>
      <c r="V1071">
        <f t="shared" si="66"/>
        <v>0</v>
      </c>
      <c r="W1071">
        <f t="shared" si="67"/>
        <v>0</v>
      </c>
    </row>
    <row r="1072" spans="5:23" x14ac:dyDescent="0.25">
      <c r="E1072" s="4"/>
      <c r="F1072" s="4"/>
      <c r="G1072" s="33" t="str">
        <f>IFERROR(VLOOKUP($D1072,'Informations sur les produits'!$A$3:$H$10000,8,FALSE),"0")</f>
        <v>0</v>
      </c>
      <c r="K1072" s="4"/>
      <c r="L1072" s="33" t="str">
        <f>IFERROR(VLOOKUP($J1072,'Informations sur les produits'!$A$3:$H$10000,8,FALSE),"0")</f>
        <v>0</v>
      </c>
      <c r="N1072" s="8"/>
      <c r="O1072" s="33" t="str">
        <f>IFERROR(VLOOKUP($M1072,'Informations sur les produits'!$A$3:$H$10000,8,FALSE),"0")</f>
        <v>0</v>
      </c>
      <c r="P1072" s="33">
        <f t="shared" si="64"/>
        <v>0</v>
      </c>
      <c r="Q1072" s="31" t="str">
        <f t="shared" si="65"/>
        <v/>
      </c>
      <c r="R1072" s="32" t="str">
        <f>IFERROR(VLOOKUP($D1072,'Informations sur les produits'!$A$3:$B$15000,2,FALSE),"")</f>
        <v/>
      </c>
      <c r="V1072">
        <f t="shared" si="66"/>
        <v>0</v>
      </c>
      <c r="W1072">
        <f t="shared" si="67"/>
        <v>0</v>
      </c>
    </row>
    <row r="1073" spans="5:23" x14ac:dyDescent="0.25">
      <c r="E1073" s="4"/>
      <c r="F1073" s="4"/>
      <c r="G1073" s="33" t="str">
        <f>IFERROR(VLOOKUP($D1073,'Informations sur les produits'!$A$3:$H$10000,8,FALSE),"0")</f>
        <v>0</v>
      </c>
      <c r="K1073" s="4"/>
      <c r="L1073" s="33" t="str">
        <f>IFERROR(VLOOKUP($J1073,'Informations sur les produits'!$A$3:$H$10000,8,FALSE),"0")</f>
        <v>0</v>
      </c>
      <c r="N1073" s="8"/>
      <c r="O1073" s="33" t="str">
        <f>IFERROR(VLOOKUP($M1073,'Informations sur les produits'!$A$3:$H$10000,8,FALSE),"0")</f>
        <v>0</v>
      </c>
      <c r="P1073" s="33">
        <f t="shared" si="64"/>
        <v>0</v>
      </c>
      <c r="Q1073" s="31" t="str">
        <f t="shared" si="65"/>
        <v/>
      </c>
      <c r="R1073" s="32" t="str">
        <f>IFERROR(VLOOKUP($D1073,'Informations sur les produits'!$A$3:$B$15000,2,FALSE),"")</f>
        <v/>
      </c>
      <c r="V1073">
        <f t="shared" si="66"/>
        <v>0</v>
      </c>
      <c r="W1073">
        <f t="shared" si="67"/>
        <v>0</v>
      </c>
    </row>
    <row r="1074" spans="5:23" x14ac:dyDescent="0.25">
      <c r="E1074" s="4"/>
      <c r="F1074" s="4"/>
      <c r="G1074" s="33" t="str">
        <f>IFERROR(VLOOKUP($D1074,'Informations sur les produits'!$A$3:$H$10000,8,FALSE),"0")</f>
        <v>0</v>
      </c>
      <c r="K1074" s="4"/>
      <c r="L1074" s="33" t="str">
        <f>IFERROR(VLOOKUP($J1074,'Informations sur les produits'!$A$3:$H$10000,8,FALSE),"0")</f>
        <v>0</v>
      </c>
      <c r="N1074" s="8"/>
      <c r="O1074" s="33" t="str">
        <f>IFERROR(VLOOKUP($M1074,'Informations sur les produits'!$A$3:$H$10000,8,FALSE),"0")</f>
        <v>0</v>
      </c>
      <c r="P1074" s="33">
        <f t="shared" si="64"/>
        <v>0</v>
      </c>
      <c r="Q1074" s="31" t="str">
        <f t="shared" si="65"/>
        <v/>
      </c>
      <c r="R1074" s="32" t="str">
        <f>IFERROR(VLOOKUP($D1074,'Informations sur les produits'!$A$3:$B$15000,2,FALSE),"")</f>
        <v/>
      </c>
      <c r="V1074">
        <f t="shared" si="66"/>
        <v>0</v>
      </c>
      <c r="W1074">
        <f t="shared" si="67"/>
        <v>0</v>
      </c>
    </row>
    <row r="1075" spans="5:23" x14ac:dyDescent="0.25">
      <c r="E1075" s="4"/>
      <c r="F1075" s="4"/>
      <c r="G1075" s="33" t="str">
        <f>IFERROR(VLOOKUP($D1075,'Informations sur les produits'!$A$3:$H$10000,8,FALSE),"0")</f>
        <v>0</v>
      </c>
      <c r="K1075" s="4"/>
      <c r="L1075" s="33" t="str">
        <f>IFERROR(VLOOKUP($J1075,'Informations sur les produits'!$A$3:$H$10000,8,FALSE),"0")</f>
        <v>0</v>
      </c>
      <c r="N1075" s="8"/>
      <c r="O1075" s="33" t="str">
        <f>IFERROR(VLOOKUP($M1075,'Informations sur les produits'!$A$3:$H$10000,8,FALSE),"0")</f>
        <v>0</v>
      </c>
      <c r="P1075" s="33">
        <f t="shared" si="64"/>
        <v>0</v>
      </c>
      <c r="Q1075" s="31" t="str">
        <f t="shared" si="65"/>
        <v/>
      </c>
      <c r="R1075" s="32" t="str">
        <f>IFERROR(VLOOKUP($D1075,'Informations sur les produits'!$A$3:$B$15000,2,FALSE),"")</f>
        <v/>
      </c>
      <c r="V1075">
        <f t="shared" si="66"/>
        <v>0</v>
      </c>
      <c r="W1075">
        <f t="shared" si="67"/>
        <v>0</v>
      </c>
    </row>
    <row r="1076" spans="5:23" x14ac:dyDescent="0.25">
      <c r="E1076" s="4"/>
      <c r="F1076" s="4"/>
      <c r="G1076" s="33" t="str">
        <f>IFERROR(VLOOKUP($D1076,'Informations sur les produits'!$A$3:$H$10000,8,FALSE),"0")</f>
        <v>0</v>
      </c>
      <c r="K1076" s="4"/>
      <c r="L1076" s="33" t="str">
        <f>IFERROR(VLOOKUP($J1076,'Informations sur les produits'!$A$3:$H$10000,8,FALSE),"0")</f>
        <v>0</v>
      </c>
      <c r="N1076" s="8"/>
      <c r="O1076" s="33" t="str">
        <f>IFERROR(VLOOKUP($M1076,'Informations sur les produits'!$A$3:$H$10000,8,FALSE),"0")</f>
        <v>0</v>
      </c>
      <c r="P1076" s="33">
        <f t="shared" si="64"/>
        <v>0</v>
      </c>
      <c r="Q1076" s="31" t="str">
        <f t="shared" si="65"/>
        <v/>
      </c>
      <c r="R1076" s="32" t="str">
        <f>IFERROR(VLOOKUP($D1076,'Informations sur les produits'!$A$3:$B$15000,2,FALSE),"")</f>
        <v/>
      </c>
      <c r="V1076">
        <f t="shared" si="66"/>
        <v>0</v>
      </c>
      <c r="W1076">
        <f t="shared" si="67"/>
        <v>0</v>
      </c>
    </row>
    <row r="1077" spans="5:23" x14ac:dyDescent="0.25">
      <c r="E1077" s="4"/>
      <c r="F1077" s="4"/>
      <c r="G1077" s="33" t="str">
        <f>IFERROR(VLOOKUP($D1077,'Informations sur les produits'!$A$3:$H$10000,8,FALSE),"0")</f>
        <v>0</v>
      </c>
      <c r="K1077" s="4"/>
      <c r="L1077" s="33" t="str">
        <f>IFERROR(VLOOKUP($J1077,'Informations sur les produits'!$A$3:$H$10000,8,FALSE),"0")</f>
        <v>0</v>
      </c>
      <c r="N1077" s="8"/>
      <c r="O1077" s="33" t="str">
        <f>IFERROR(VLOOKUP($M1077,'Informations sur les produits'!$A$3:$H$10000,8,FALSE),"0")</f>
        <v>0</v>
      </c>
      <c r="P1077" s="33">
        <f t="shared" si="64"/>
        <v>0</v>
      </c>
      <c r="Q1077" s="31" t="str">
        <f t="shared" si="65"/>
        <v/>
      </c>
      <c r="R1077" s="32" t="str">
        <f>IFERROR(VLOOKUP($D1077,'Informations sur les produits'!$A$3:$B$15000,2,FALSE),"")</f>
        <v/>
      </c>
      <c r="V1077">
        <f t="shared" si="66"/>
        <v>0</v>
      </c>
      <c r="W1077">
        <f t="shared" si="67"/>
        <v>0</v>
      </c>
    </row>
    <row r="1078" spans="5:23" x14ac:dyDescent="0.25">
      <c r="E1078" s="4"/>
      <c r="F1078" s="4"/>
      <c r="G1078" s="33" t="str">
        <f>IFERROR(VLOOKUP($D1078,'Informations sur les produits'!$A$3:$H$10000,8,FALSE),"0")</f>
        <v>0</v>
      </c>
      <c r="K1078" s="4"/>
      <c r="L1078" s="33" t="str">
        <f>IFERROR(VLOOKUP($J1078,'Informations sur les produits'!$A$3:$H$10000,8,FALSE),"0")</f>
        <v>0</v>
      </c>
      <c r="N1078" s="8"/>
      <c r="O1078" s="33" t="str">
        <f>IFERROR(VLOOKUP($M1078,'Informations sur les produits'!$A$3:$H$10000,8,FALSE),"0")</f>
        <v>0</v>
      </c>
      <c r="P1078" s="33">
        <f t="shared" si="64"/>
        <v>0</v>
      </c>
      <c r="Q1078" s="31" t="str">
        <f t="shared" si="65"/>
        <v/>
      </c>
      <c r="R1078" s="32" t="str">
        <f>IFERROR(VLOOKUP($D1078,'Informations sur les produits'!$A$3:$B$15000,2,FALSE),"")</f>
        <v/>
      </c>
      <c r="V1078">
        <f t="shared" si="66"/>
        <v>0</v>
      </c>
      <c r="W1078">
        <f t="shared" si="67"/>
        <v>0</v>
      </c>
    </row>
    <row r="1079" spans="5:23" x14ac:dyDescent="0.25">
      <c r="E1079" s="4"/>
      <c r="F1079" s="4"/>
      <c r="G1079" s="33" t="str">
        <f>IFERROR(VLOOKUP($D1079,'Informations sur les produits'!$A$3:$H$10000,8,FALSE),"0")</f>
        <v>0</v>
      </c>
      <c r="K1079" s="4"/>
      <c r="L1079" s="33" t="str">
        <f>IFERROR(VLOOKUP($J1079,'Informations sur les produits'!$A$3:$H$10000,8,FALSE),"0")</f>
        <v>0</v>
      </c>
      <c r="N1079" s="8"/>
      <c r="O1079" s="33" t="str">
        <f>IFERROR(VLOOKUP($M1079,'Informations sur les produits'!$A$3:$H$10000,8,FALSE),"0")</f>
        <v>0</v>
      </c>
      <c r="P1079" s="33">
        <f t="shared" si="64"/>
        <v>0</v>
      </c>
      <c r="Q1079" s="31" t="str">
        <f t="shared" si="65"/>
        <v/>
      </c>
      <c r="R1079" s="32" t="str">
        <f>IFERROR(VLOOKUP($D1079,'Informations sur les produits'!$A$3:$B$15000,2,FALSE),"")</f>
        <v/>
      </c>
      <c r="V1079">
        <f t="shared" si="66"/>
        <v>0</v>
      </c>
      <c r="W1079">
        <f t="shared" si="67"/>
        <v>0</v>
      </c>
    </row>
    <row r="1080" spans="5:23" x14ac:dyDescent="0.25">
      <c r="E1080" s="4"/>
      <c r="F1080" s="4"/>
      <c r="G1080" s="33" t="str">
        <f>IFERROR(VLOOKUP($D1080,'Informations sur les produits'!$A$3:$H$10000,8,FALSE),"0")</f>
        <v>0</v>
      </c>
      <c r="K1080" s="4"/>
      <c r="L1080" s="33" t="str">
        <f>IFERROR(VLOOKUP($J1080,'Informations sur les produits'!$A$3:$H$10000,8,FALSE),"0")</f>
        <v>0</v>
      </c>
      <c r="N1080" s="8"/>
      <c r="O1080" s="33" t="str">
        <f>IFERROR(VLOOKUP($M1080,'Informations sur les produits'!$A$3:$H$10000,8,FALSE),"0")</f>
        <v>0</v>
      </c>
      <c r="P1080" s="33">
        <f t="shared" si="64"/>
        <v>0</v>
      </c>
      <c r="Q1080" s="31" t="str">
        <f t="shared" si="65"/>
        <v/>
      </c>
      <c r="R1080" s="32" t="str">
        <f>IFERROR(VLOOKUP($D1080,'Informations sur les produits'!$A$3:$B$15000,2,FALSE),"")</f>
        <v/>
      </c>
      <c r="V1080">
        <f t="shared" si="66"/>
        <v>0</v>
      </c>
      <c r="W1080">
        <f t="shared" si="67"/>
        <v>0</v>
      </c>
    </row>
    <row r="1081" spans="5:23" x14ac:dyDescent="0.25">
      <c r="E1081" s="4"/>
      <c r="F1081" s="4"/>
      <c r="G1081" s="33" t="str">
        <f>IFERROR(VLOOKUP($D1081,'Informations sur les produits'!$A$3:$H$10000,8,FALSE),"0")</f>
        <v>0</v>
      </c>
      <c r="K1081" s="4"/>
      <c r="L1081" s="33" t="str">
        <f>IFERROR(VLOOKUP($J1081,'Informations sur les produits'!$A$3:$H$10000,8,FALSE),"0")</f>
        <v>0</v>
      </c>
      <c r="N1081" s="8"/>
      <c r="O1081" s="33" t="str">
        <f>IFERROR(VLOOKUP($M1081,'Informations sur les produits'!$A$3:$H$10000,8,FALSE),"0")</f>
        <v>0</v>
      </c>
      <c r="P1081" s="33">
        <f t="shared" si="64"/>
        <v>0</v>
      </c>
      <c r="Q1081" s="31" t="str">
        <f t="shared" si="65"/>
        <v/>
      </c>
      <c r="R1081" s="32" t="str">
        <f>IFERROR(VLOOKUP($D1081,'Informations sur les produits'!$A$3:$B$15000,2,FALSE),"")</f>
        <v/>
      </c>
      <c r="V1081">
        <f t="shared" si="66"/>
        <v>0</v>
      </c>
      <c r="W1081">
        <f t="shared" si="67"/>
        <v>0</v>
      </c>
    </row>
    <row r="1082" spans="5:23" x14ac:dyDescent="0.25">
      <c r="E1082" s="4"/>
      <c r="F1082" s="4"/>
      <c r="G1082" s="33" t="str">
        <f>IFERROR(VLOOKUP($D1082,'Informations sur les produits'!$A$3:$H$10000,8,FALSE),"0")</f>
        <v>0</v>
      </c>
      <c r="K1082" s="4"/>
      <c r="L1082" s="33" t="str">
        <f>IFERROR(VLOOKUP($J1082,'Informations sur les produits'!$A$3:$H$10000,8,FALSE),"0")</f>
        <v>0</v>
      </c>
      <c r="N1082" s="8"/>
      <c r="O1082" s="33" t="str">
        <f>IFERROR(VLOOKUP($M1082,'Informations sur les produits'!$A$3:$H$10000,8,FALSE),"0")</f>
        <v>0</v>
      </c>
      <c r="P1082" s="33">
        <f t="shared" si="64"/>
        <v>0</v>
      </c>
      <c r="Q1082" s="31" t="str">
        <f t="shared" si="65"/>
        <v/>
      </c>
      <c r="R1082" s="32" t="str">
        <f>IFERROR(VLOOKUP($D1082,'Informations sur les produits'!$A$3:$B$15000,2,FALSE),"")</f>
        <v/>
      </c>
      <c r="V1082">
        <f t="shared" si="66"/>
        <v>0</v>
      </c>
      <c r="W1082">
        <f t="shared" si="67"/>
        <v>0</v>
      </c>
    </row>
    <row r="1083" spans="5:23" x14ac:dyDescent="0.25">
      <c r="E1083" s="4"/>
      <c r="F1083" s="4"/>
      <c r="G1083" s="33" t="str">
        <f>IFERROR(VLOOKUP($D1083,'Informations sur les produits'!$A$3:$H$10000,8,FALSE),"0")</f>
        <v>0</v>
      </c>
      <c r="K1083" s="4"/>
      <c r="L1083" s="33" t="str">
        <f>IFERROR(VLOOKUP($J1083,'Informations sur les produits'!$A$3:$H$10000,8,FALSE),"0")</f>
        <v>0</v>
      </c>
      <c r="N1083" s="8"/>
      <c r="O1083" s="33" t="str">
        <f>IFERROR(VLOOKUP($M1083,'Informations sur les produits'!$A$3:$H$10000,8,FALSE),"0")</f>
        <v>0</v>
      </c>
      <c r="P1083" s="33">
        <f t="shared" si="64"/>
        <v>0</v>
      </c>
      <c r="Q1083" s="31" t="str">
        <f t="shared" si="65"/>
        <v/>
      </c>
      <c r="R1083" s="32" t="str">
        <f>IFERROR(VLOOKUP($D1083,'Informations sur les produits'!$A$3:$B$15000,2,FALSE),"")</f>
        <v/>
      </c>
      <c r="V1083">
        <f t="shared" si="66"/>
        <v>0</v>
      </c>
      <c r="W1083">
        <f t="shared" si="67"/>
        <v>0</v>
      </c>
    </row>
    <row r="1084" spans="5:23" x14ac:dyDescent="0.25">
      <c r="E1084" s="4"/>
      <c r="F1084" s="4"/>
      <c r="G1084" s="33" t="str">
        <f>IFERROR(VLOOKUP($D1084,'Informations sur les produits'!$A$3:$H$10000,8,FALSE),"0")</f>
        <v>0</v>
      </c>
      <c r="K1084" s="4"/>
      <c r="L1084" s="33" t="str">
        <f>IFERROR(VLOOKUP($J1084,'Informations sur les produits'!$A$3:$H$10000,8,FALSE),"0")</f>
        <v>0</v>
      </c>
      <c r="N1084" s="8"/>
      <c r="O1084" s="33" t="str">
        <f>IFERROR(VLOOKUP($M1084,'Informations sur les produits'!$A$3:$H$10000,8,FALSE),"0")</f>
        <v>0</v>
      </c>
      <c r="P1084" s="33">
        <f t="shared" si="64"/>
        <v>0</v>
      </c>
      <c r="Q1084" s="31" t="str">
        <f t="shared" si="65"/>
        <v/>
      </c>
      <c r="R1084" s="32" t="str">
        <f>IFERROR(VLOOKUP($D1084,'Informations sur les produits'!$A$3:$B$15000,2,FALSE),"")</f>
        <v/>
      </c>
      <c r="V1084">
        <f t="shared" si="66"/>
        <v>0</v>
      </c>
      <c r="W1084">
        <f t="shared" si="67"/>
        <v>0</v>
      </c>
    </row>
    <row r="1085" spans="5:23" x14ac:dyDescent="0.25">
      <c r="E1085" s="4"/>
      <c r="F1085" s="4"/>
      <c r="G1085" s="33" t="str">
        <f>IFERROR(VLOOKUP($D1085,'Informations sur les produits'!$A$3:$H$10000,8,FALSE),"0")</f>
        <v>0</v>
      </c>
      <c r="K1085" s="4"/>
      <c r="L1085" s="33" t="str">
        <f>IFERROR(VLOOKUP($J1085,'Informations sur les produits'!$A$3:$H$10000,8,FALSE),"0")</f>
        <v>0</v>
      </c>
      <c r="N1085" s="8"/>
      <c r="O1085" s="33" t="str">
        <f>IFERROR(VLOOKUP($M1085,'Informations sur les produits'!$A$3:$H$10000,8,FALSE),"0")</f>
        <v>0</v>
      </c>
      <c r="P1085" s="33">
        <f t="shared" si="64"/>
        <v>0</v>
      </c>
      <c r="Q1085" s="31" t="str">
        <f t="shared" si="65"/>
        <v/>
      </c>
      <c r="R1085" s="32" t="str">
        <f>IFERROR(VLOOKUP($D1085,'Informations sur les produits'!$A$3:$B$15000,2,FALSE),"")</f>
        <v/>
      </c>
      <c r="V1085">
        <f t="shared" si="66"/>
        <v>0</v>
      </c>
      <c r="W1085">
        <f t="shared" si="67"/>
        <v>0</v>
      </c>
    </row>
    <row r="1086" spans="5:23" x14ac:dyDescent="0.25">
      <c r="E1086" s="4"/>
      <c r="F1086" s="4"/>
      <c r="G1086" s="33" t="str">
        <f>IFERROR(VLOOKUP($D1086,'Informations sur les produits'!$A$3:$H$10000,8,FALSE),"0")</f>
        <v>0</v>
      </c>
      <c r="K1086" s="4"/>
      <c r="L1086" s="33" t="str">
        <f>IFERROR(VLOOKUP($J1086,'Informations sur les produits'!$A$3:$H$10000,8,FALSE),"0")</f>
        <v>0</v>
      </c>
      <c r="N1086" s="8"/>
      <c r="O1086" s="33" t="str">
        <f>IFERROR(VLOOKUP($M1086,'Informations sur les produits'!$A$3:$H$10000,8,FALSE),"0")</f>
        <v>0</v>
      </c>
      <c r="P1086" s="33">
        <f t="shared" si="64"/>
        <v>0</v>
      </c>
      <c r="Q1086" s="31" t="str">
        <f t="shared" si="65"/>
        <v/>
      </c>
      <c r="R1086" s="32" t="str">
        <f>IFERROR(VLOOKUP($D1086,'Informations sur les produits'!$A$3:$B$15000,2,FALSE),"")</f>
        <v/>
      </c>
      <c r="V1086">
        <f t="shared" si="66"/>
        <v>0</v>
      </c>
      <c r="W1086">
        <f t="shared" si="67"/>
        <v>0</v>
      </c>
    </row>
    <row r="1087" spans="5:23" x14ac:dyDescent="0.25">
      <c r="E1087" s="4"/>
      <c r="F1087" s="4"/>
      <c r="G1087" s="33" t="str">
        <f>IFERROR(VLOOKUP($D1087,'Informations sur les produits'!$A$3:$H$10000,8,FALSE),"0")</f>
        <v>0</v>
      </c>
      <c r="K1087" s="4"/>
      <c r="L1087" s="33" t="str">
        <f>IFERROR(VLOOKUP($J1087,'Informations sur les produits'!$A$3:$H$10000,8,FALSE),"0")</f>
        <v>0</v>
      </c>
      <c r="N1087" s="8"/>
      <c r="O1087" s="33" t="str">
        <f>IFERROR(VLOOKUP($M1087,'Informations sur les produits'!$A$3:$H$10000,8,FALSE),"0")</f>
        <v>0</v>
      </c>
      <c r="P1087" s="33">
        <f t="shared" si="64"/>
        <v>0</v>
      </c>
      <c r="Q1087" s="31" t="str">
        <f t="shared" si="65"/>
        <v/>
      </c>
      <c r="R1087" s="32" t="str">
        <f>IFERROR(VLOOKUP($D1087,'Informations sur les produits'!$A$3:$B$15000,2,FALSE),"")</f>
        <v/>
      </c>
      <c r="V1087">
        <f t="shared" si="66"/>
        <v>0</v>
      </c>
      <c r="W1087">
        <f t="shared" si="67"/>
        <v>0</v>
      </c>
    </row>
    <row r="1088" spans="5:23" x14ac:dyDescent="0.25">
      <c r="E1088" s="4"/>
      <c r="F1088" s="4"/>
      <c r="G1088" s="33" t="str">
        <f>IFERROR(VLOOKUP($D1088,'Informations sur les produits'!$A$3:$H$10000,8,FALSE),"0")</f>
        <v>0</v>
      </c>
      <c r="K1088" s="4"/>
      <c r="L1088" s="33" t="str">
        <f>IFERROR(VLOOKUP($J1088,'Informations sur les produits'!$A$3:$H$10000,8,FALSE),"0")</f>
        <v>0</v>
      </c>
      <c r="N1088" s="8"/>
      <c r="O1088" s="33" t="str">
        <f>IFERROR(VLOOKUP($M1088,'Informations sur les produits'!$A$3:$H$10000,8,FALSE),"0")</f>
        <v>0</v>
      </c>
      <c r="P1088" s="33">
        <f t="shared" si="64"/>
        <v>0</v>
      </c>
      <c r="Q1088" s="31" t="str">
        <f t="shared" si="65"/>
        <v/>
      </c>
      <c r="R1088" s="32" t="str">
        <f>IFERROR(VLOOKUP($D1088,'Informations sur les produits'!$A$3:$B$15000,2,FALSE),"")</f>
        <v/>
      </c>
      <c r="V1088">
        <f t="shared" si="66"/>
        <v>0</v>
      </c>
      <c r="W1088">
        <f t="shared" si="67"/>
        <v>0</v>
      </c>
    </row>
    <row r="1089" spans="5:23" x14ac:dyDescent="0.25">
      <c r="E1089" s="4"/>
      <c r="F1089" s="4"/>
      <c r="G1089" s="33" t="str">
        <f>IFERROR(VLOOKUP($D1089,'Informations sur les produits'!$A$3:$H$10000,8,FALSE),"0")</f>
        <v>0</v>
      </c>
      <c r="K1089" s="4"/>
      <c r="L1089" s="33" t="str">
        <f>IFERROR(VLOOKUP($J1089,'Informations sur les produits'!$A$3:$H$10000,8,FALSE),"0")</f>
        <v>0</v>
      </c>
      <c r="N1089" s="8"/>
      <c r="O1089" s="33" t="str">
        <f>IFERROR(VLOOKUP($M1089,'Informations sur les produits'!$A$3:$H$10000,8,FALSE),"0")</f>
        <v>0</v>
      </c>
      <c r="P1089" s="33">
        <f t="shared" si="64"/>
        <v>0</v>
      </c>
      <c r="Q1089" s="31" t="str">
        <f t="shared" si="65"/>
        <v/>
      </c>
      <c r="R1089" s="32" t="str">
        <f>IFERROR(VLOOKUP($D1089,'Informations sur les produits'!$A$3:$B$15000,2,FALSE),"")</f>
        <v/>
      </c>
      <c r="V1089">
        <f t="shared" si="66"/>
        <v>0</v>
      </c>
      <c r="W1089">
        <f t="shared" si="67"/>
        <v>0</v>
      </c>
    </row>
    <row r="1090" spans="5:23" x14ac:dyDescent="0.25">
      <c r="E1090" s="4"/>
      <c r="F1090" s="4"/>
      <c r="G1090" s="33" t="str">
        <f>IFERROR(VLOOKUP($D1090,'Informations sur les produits'!$A$3:$H$10000,8,FALSE),"0")</f>
        <v>0</v>
      </c>
      <c r="K1090" s="4"/>
      <c r="L1090" s="33" t="str">
        <f>IFERROR(VLOOKUP($J1090,'Informations sur les produits'!$A$3:$H$10000,8,FALSE),"0")</f>
        <v>0</v>
      </c>
      <c r="N1090" s="8"/>
      <c r="O1090" s="33" t="str">
        <f>IFERROR(VLOOKUP($M1090,'Informations sur les produits'!$A$3:$H$10000,8,FALSE),"0")</f>
        <v>0</v>
      </c>
      <c r="P1090" s="33">
        <f t="shared" si="64"/>
        <v>0</v>
      </c>
      <c r="Q1090" s="31" t="str">
        <f t="shared" si="65"/>
        <v/>
      </c>
      <c r="R1090" s="32" t="str">
        <f>IFERROR(VLOOKUP($D1090,'Informations sur les produits'!$A$3:$B$15000,2,FALSE),"")</f>
        <v/>
      </c>
      <c r="V1090">
        <f t="shared" si="66"/>
        <v>0</v>
      </c>
      <c r="W1090">
        <f t="shared" si="67"/>
        <v>0</v>
      </c>
    </row>
    <row r="1091" spans="5:23" x14ac:dyDescent="0.25">
      <c r="E1091" s="4"/>
      <c r="F1091" s="4"/>
      <c r="G1091" s="33" t="str">
        <f>IFERROR(VLOOKUP($D1091,'Informations sur les produits'!$A$3:$H$10000,8,FALSE),"0")</f>
        <v>0</v>
      </c>
      <c r="K1091" s="4"/>
      <c r="L1091" s="33" t="str">
        <f>IFERROR(VLOOKUP($J1091,'Informations sur les produits'!$A$3:$H$10000,8,FALSE),"0")</f>
        <v>0</v>
      </c>
      <c r="N1091" s="8"/>
      <c r="O1091" s="33" t="str">
        <f>IFERROR(VLOOKUP($M1091,'Informations sur les produits'!$A$3:$H$10000,8,FALSE),"0")</f>
        <v>0</v>
      </c>
      <c r="P1091" s="33">
        <f t="shared" si="64"/>
        <v>0</v>
      </c>
      <c r="Q1091" s="31" t="str">
        <f t="shared" si="65"/>
        <v/>
      </c>
      <c r="R1091" s="32" t="str">
        <f>IFERROR(VLOOKUP($D1091,'Informations sur les produits'!$A$3:$B$15000,2,FALSE),"")</f>
        <v/>
      </c>
      <c r="V1091">
        <f t="shared" si="66"/>
        <v>0</v>
      </c>
      <c r="W1091">
        <f t="shared" si="67"/>
        <v>0</v>
      </c>
    </row>
    <row r="1092" spans="5:23" x14ac:dyDescent="0.25">
      <c r="E1092" s="4"/>
      <c r="F1092" s="4"/>
      <c r="G1092" s="33" t="str">
        <f>IFERROR(VLOOKUP($D1092,'Informations sur les produits'!$A$3:$H$10000,8,FALSE),"0")</f>
        <v>0</v>
      </c>
      <c r="K1092" s="4"/>
      <c r="L1092" s="33" t="str">
        <f>IFERROR(VLOOKUP($J1092,'Informations sur les produits'!$A$3:$H$10000,8,FALSE),"0")</f>
        <v>0</v>
      </c>
      <c r="N1092" s="8"/>
      <c r="O1092" s="33" t="str">
        <f>IFERROR(VLOOKUP($M1092,'Informations sur les produits'!$A$3:$H$10000,8,FALSE),"0")</f>
        <v>0</v>
      </c>
      <c r="P1092" s="33">
        <f t="shared" ref="P1092:P1155" si="68">IFERROR((($E1092-$F1092)*$G1092+$K1092*$L1092+$N1092*$O1092),"")</f>
        <v>0</v>
      </c>
      <c r="Q1092" s="31" t="str">
        <f t="shared" ref="Q1092:Q1155" si="69">IFERROR((((($E1092-$F1092)*$G1092+$K1092*$L1092+$N1092*$O1092)*1000)/(($E1092-$F1092)+$K1092+$N1092)),"")</f>
        <v/>
      </c>
      <c r="R1092" s="32" t="str">
        <f>IFERROR(VLOOKUP($D1092,'Informations sur les produits'!$A$3:$B$15000,2,FALSE),"")</f>
        <v/>
      </c>
      <c r="V1092">
        <f t="shared" ref="V1092:V1155" si="70">IFERROR(P1092*1000,"")</f>
        <v>0</v>
      </c>
      <c r="W1092">
        <f t="shared" ref="W1092:W1155" si="71">IFERROR(($E1092-$F1092)+$K1092+$N1092,"")</f>
        <v>0</v>
      </c>
    </row>
    <row r="1093" spans="5:23" x14ac:dyDescent="0.25">
      <c r="E1093" s="4"/>
      <c r="F1093" s="4"/>
      <c r="G1093" s="33" t="str">
        <f>IFERROR(VLOOKUP($D1093,'Informations sur les produits'!$A$3:$H$10000,8,FALSE),"0")</f>
        <v>0</v>
      </c>
      <c r="K1093" s="4"/>
      <c r="L1093" s="33" t="str">
        <f>IFERROR(VLOOKUP($J1093,'Informations sur les produits'!$A$3:$H$10000,8,FALSE),"0")</f>
        <v>0</v>
      </c>
      <c r="N1093" s="8"/>
      <c r="O1093" s="33" t="str">
        <f>IFERROR(VLOOKUP($M1093,'Informations sur les produits'!$A$3:$H$10000,8,FALSE),"0")</f>
        <v>0</v>
      </c>
      <c r="P1093" s="33">
        <f t="shared" si="68"/>
        <v>0</v>
      </c>
      <c r="Q1093" s="31" t="str">
        <f t="shared" si="69"/>
        <v/>
      </c>
      <c r="R1093" s="32" t="str">
        <f>IFERROR(VLOOKUP($D1093,'Informations sur les produits'!$A$3:$B$15000,2,FALSE),"")</f>
        <v/>
      </c>
      <c r="V1093">
        <f t="shared" si="70"/>
        <v>0</v>
      </c>
      <c r="W1093">
        <f t="shared" si="71"/>
        <v>0</v>
      </c>
    </row>
    <row r="1094" spans="5:23" x14ac:dyDescent="0.25">
      <c r="E1094" s="4"/>
      <c r="F1094" s="4"/>
      <c r="G1094" s="33" t="str">
        <f>IFERROR(VLOOKUP($D1094,'Informations sur les produits'!$A$3:$H$10000,8,FALSE),"0")</f>
        <v>0</v>
      </c>
      <c r="K1094" s="4"/>
      <c r="L1094" s="33" t="str">
        <f>IFERROR(VLOOKUP($J1094,'Informations sur les produits'!$A$3:$H$10000,8,FALSE),"0")</f>
        <v>0</v>
      </c>
      <c r="N1094" s="8"/>
      <c r="O1094" s="33" t="str">
        <f>IFERROR(VLOOKUP($M1094,'Informations sur les produits'!$A$3:$H$10000,8,FALSE),"0")</f>
        <v>0</v>
      </c>
      <c r="P1094" s="33">
        <f t="shared" si="68"/>
        <v>0</v>
      </c>
      <c r="Q1094" s="31" t="str">
        <f t="shared" si="69"/>
        <v/>
      </c>
      <c r="R1094" s="32" t="str">
        <f>IFERROR(VLOOKUP($D1094,'Informations sur les produits'!$A$3:$B$15000,2,FALSE),"")</f>
        <v/>
      </c>
      <c r="V1094">
        <f t="shared" si="70"/>
        <v>0</v>
      </c>
      <c r="W1094">
        <f t="shared" si="71"/>
        <v>0</v>
      </c>
    </row>
    <row r="1095" spans="5:23" x14ac:dyDescent="0.25">
      <c r="E1095" s="4"/>
      <c r="F1095" s="4"/>
      <c r="G1095" s="33" t="str">
        <f>IFERROR(VLOOKUP($D1095,'Informations sur les produits'!$A$3:$H$10000,8,FALSE),"0")</f>
        <v>0</v>
      </c>
      <c r="K1095" s="4"/>
      <c r="L1095" s="33" t="str">
        <f>IFERROR(VLOOKUP($J1095,'Informations sur les produits'!$A$3:$H$10000,8,FALSE),"0")</f>
        <v>0</v>
      </c>
      <c r="N1095" s="8"/>
      <c r="O1095" s="33" t="str">
        <f>IFERROR(VLOOKUP($M1095,'Informations sur les produits'!$A$3:$H$10000,8,FALSE),"0")</f>
        <v>0</v>
      </c>
      <c r="P1095" s="33">
        <f t="shared" si="68"/>
        <v>0</v>
      </c>
      <c r="Q1095" s="31" t="str">
        <f t="shared" si="69"/>
        <v/>
      </c>
      <c r="R1095" s="32" t="str">
        <f>IFERROR(VLOOKUP($D1095,'Informations sur les produits'!$A$3:$B$15000,2,FALSE),"")</f>
        <v/>
      </c>
      <c r="V1095">
        <f t="shared" si="70"/>
        <v>0</v>
      </c>
      <c r="W1095">
        <f t="shared" si="71"/>
        <v>0</v>
      </c>
    </row>
    <row r="1096" spans="5:23" x14ac:dyDescent="0.25">
      <c r="E1096" s="4"/>
      <c r="F1096" s="4"/>
      <c r="G1096" s="33" t="str">
        <f>IFERROR(VLOOKUP($D1096,'Informations sur les produits'!$A$3:$H$10000,8,FALSE),"0")</f>
        <v>0</v>
      </c>
      <c r="K1096" s="4"/>
      <c r="L1096" s="33" t="str">
        <f>IFERROR(VLOOKUP($J1096,'Informations sur les produits'!$A$3:$H$10000,8,FALSE),"0")</f>
        <v>0</v>
      </c>
      <c r="N1096" s="8"/>
      <c r="O1096" s="33" t="str">
        <f>IFERROR(VLOOKUP($M1096,'Informations sur les produits'!$A$3:$H$10000,8,FALSE),"0")</f>
        <v>0</v>
      </c>
      <c r="P1096" s="33">
        <f t="shared" si="68"/>
        <v>0</v>
      </c>
      <c r="Q1096" s="31" t="str">
        <f t="shared" si="69"/>
        <v/>
      </c>
      <c r="R1096" s="32" t="str">
        <f>IFERROR(VLOOKUP($D1096,'Informations sur les produits'!$A$3:$B$15000,2,FALSE),"")</f>
        <v/>
      </c>
      <c r="V1096">
        <f t="shared" si="70"/>
        <v>0</v>
      </c>
      <c r="W1096">
        <f t="shared" si="71"/>
        <v>0</v>
      </c>
    </row>
    <row r="1097" spans="5:23" x14ac:dyDescent="0.25">
      <c r="E1097" s="4"/>
      <c r="F1097" s="4"/>
      <c r="G1097" s="33" t="str">
        <f>IFERROR(VLOOKUP($D1097,'Informations sur les produits'!$A$3:$H$10000,8,FALSE),"0")</f>
        <v>0</v>
      </c>
      <c r="K1097" s="4"/>
      <c r="L1097" s="33" t="str">
        <f>IFERROR(VLOOKUP($J1097,'Informations sur les produits'!$A$3:$H$10000,8,FALSE),"0")</f>
        <v>0</v>
      </c>
      <c r="N1097" s="8"/>
      <c r="O1097" s="33" t="str">
        <f>IFERROR(VLOOKUP($M1097,'Informations sur les produits'!$A$3:$H$10000,8,FALSE),"0")</f>
        <v>0</v>
      </c>
      <c r="P1097" s="33">
        <f t="shared" si="68"/>
        <v>0</v>
      </c>
      <c r="Q1097" s="31" t="str">
        <f t="shared" si="69"/>
        <v/>
      </c>
      <c r="R1097" s="32" t="str">
        <f>IFERROR(VLOOKUP($D1097,'Informations sur les produits'!$A$3:$B$15000,2,FALSE),"")</f>
        <v/>
      </c>
      <c r="V1097">
        <f t="shared" si="70"/>
        <v>0</v>
      </c>
      <c r="W1097">
        <f t="shared" si="71"/>
        <v>0</v>
      </c>
    </row>
    <row r="1098" spans="5:23" x14ac:dyDescent="0.25">
      <c r="E1098" s="4"/>
      <c r="F1098" s="4"/>
      <c r="G1098" s="33" t="str">
        <f>IFERROR(VLOOKUP($D1098,'Informations sur les produits'!$A$3:$H$10000,8,FALSE),"0")</f>
        <v>0</v>
      </c>
      <c r="K1098" s="4"/>
      <c r="L1098" s="33" t="str">
        <f>IFERROR(VLOOKUP($J1098,'Informations sur les produits'!$A$3:$H$10000,8,FALSE),"0")</f>
        <v>0</v>
      </c>
      <c r="N1098" s="8"/>
      <c r="O1098" s="33" t="str">
        <f>IFERROR(VLOOKUP($M1098,'Informations sur les produits'!$A$3:$H$10000,8,FALSE),"0")</f>
        <v>0</v>
      </c>
      <c r="P1098" s="33">
        <f t="shared" si="68"/>
        <v>0</v>
      </c>
      <c r="Q1098" s="31" t="str">
        <f t="shared" si="69"/>
        <v/>
      </c>
      <c r="R1098" s="32" t="str">
        <f>IFERROR(VLOOKUP($D1098,'Informations sur les produits'!$A$3:$B$15000,2,FALSE),"")</f>
        <v/>
      </c>
      <c r="V1098">
        <f t="shared" si="70"/>
        <v>0</v>
      </c>
      <c r="W1098">
        <f t="shared" si="71"/>
        <v>0</v>
      </c>
    </row>
    <row r="1099" spans="5:23" x14ac:dyDescent="0.25">
      <c r="E1099" s="4"/>
      <c r="F1099" s="4"/>
      <c r="G1099" s="33" t="str">
        <f>IFERROR(VLOOKUP($D1099,'Informations sur les produits'!$A$3:$H$10000,8,FALSE),"0")</f>
        <v>0</v>
      </c>
      <c r="K1099" s="4"/>
      <c r="L1099" s="33" t="str">
        <f>IFERROR(VLOOKUP($J1099,'Informations sur les produits'!$A$3:$H$10000,8,FALSE),"0")</f>
        <v>0</v>
      </c>
      <c r="N1099" s="8"/>
      <c r="O1099" s="33" t="str">
        <f>IFERROR(VLOOKUP($M1099,'Informations sur les produits'!$A$3:$H$10000,8,FALSE),"0")</f>
        <v>0</v>
      </c>
      <c r="P1099" s="33">
        <f t="shared" si="68"/>
        <v>0</v>
      </c>
      <c r="Q1099" s="31" t="str">
        <f t="shared" si="69"/>
        <v/>
      </c>
      <c r="R1099" s="32" t="str">
        <f>IFERROR(VLOOKUP($D1099,'Informations sur les produits'!$A$3:$B$15000,2,FALSE),"")</f>
        <v/>
      </c>
      <c r="V1099">
        <f t="shared" si="70"/>
        <v>0</v>
      </c>
      <c r="W1099">
        <f t="shared" si="71"/>
        <v>0</v>
      </c>
    </row>
    <row r="1100" spans="5:23" x14ac:dyDescent="0.25">
      <c r="E1100" s="4"/>
      <c r="F1100" s="4"/>
      <c r="G1100" s="33" t="str">
        <f>IFERROR(VLOOKUP($D1100,'Informations sur les produits'!$A$3:$H$10000,8,FALSE),"0")</f>
        <v>0</v>
      </c>
      <c r="K1100" s="4"/>
      <c r="L1100" s="33" t="str">
        <f>IFERROR(VLOOKUP($J1100,'Informations sur les produits'!$A$3:$H$10000,8,FALSE),"0")</f>
        <v>0</v>
      </c>
      <c r="N1100" s="8"/>
      <c r="O1100" s="33" t="str">
        <f>IFERROR(VLOOKUP($M1100,'Informations sur les produits'!$A$3:$H$10000,8,FALSE),"0")</f>
        <v>0</v>
      </c>
      <c r="P1100" s="33">
        <f t="shared" si="68"/>
        <v>0</v>
      </c>
      <c r="Q1100" s="31" t="str">
        <f t="shared" si="69"/>
        <v/>
      </c>
      <c r="R1100" s="32" t="str">
        <f>IFERROR(VLOOKUP($D1100,'Informations sur les produits'!$A$3:$B$15000,2,FALSE),"")</f>
        <v/>
      </c>
      <c r="V1100">
        <f t="shared" si="70"/>
        <v>0</v>
      </c>
      <c r="W1100">
        <f t="shared" si="71"/>
        <v>0</v>
      </c>
    </row>
    <row r="1101" spans="5:23" x14ac:dyDescent="0.25">
      <c r="E1101" s="4"/>
      <c r="F1101" s="4"/>
      <c r="G1101" s="33" t="str">
        <f>IFERROR(VLOOKUP($D1101,'Informations sur les produits'!$A$3:$H$10000,8,FALSE),"0")</f>
        <v>0</v>
      </c>
      <c r="K1101" s="4"/>
      <c r="L1101" s="33" t="str">
        <f>IFERROR(VLOOKUP($J1101,'Informations sur les produits'!$A$3:$H$10000,8,FALSE),"0")</f>
        <v>0</v>
      </c>
      <c r="N1101" s="8"/>
      <c r="O1101" s="33" t="str">
        <f>IFERROR(VLOOKUP($M1101,'Informations sur les produits'!$A$3:$H$10000,8,FALSE),"0")</f>
        <v>0</v>
      </c>
      <c r="P1101" s="33">
        <f t="shared" si="68"/>
        <v>0</v>
      </c>
      <c r="Q1101" s="31" t="str">
        <f t="shared" si="69"/>
        <v/>
      </c>
      <c r="R1101" s="32" t="str">
        <f>IFERROR(VLOOKUP($D1101,'Informations sur les produits'!$A$3:$B$15000,2,FALSE),"")</f>
        <v/>
      </c>
      <c r="V1101">
        <f t="shared" si="70"/>
        <v>0</v>
      </c>
      <c r="W1101">
        <f t="shared" si="71"/>
        <v>0</v>
      </c>
    </row>
    <row r="1102" spans="5:23" x14ac:dyDescent="0.25">
      <c r="E1102" s="4"/>
      <c r="F1102" s="4"/>
      <c r="G1102" s="33" t="str">
        <f>IFERROR(VLOOKUP($D1102,'Informations sur les produits'!$A$3:$H$10000,8,FALSE),"0")</f>
        <v>0</v>
      </c>
      <c r="K1102" s="4"/>
      <c r="L1102" s="33" t="str">
        <f>IFERROR(VLOOKUP($J1102,'Informations sur les produits'!$A$3:$H$10000,8,FALSE),"0")</f>
        <v>0</v>
      </c>
      <c r="N1102" s="8"/>
      <c r="O1102" s="33" t="str">
        <f>IFERROR(VLOOKUP($M1102,'Informations sur les produits'!$A$3:$H$10000,8,FALSE),"0")</f>
        <v>0</v>
      </c>
      <c r="P1102" s="33">
        <f t="shared" si="68"/>
        <v>0</v>
      </c>
      <c r="Q1102" s="31" t="str">
        <f t="shared" si="69"/>
        <v/>
      </c>
      <c r="R1102" s="32" t="str">
        <f>IFERROR(VLOOKUP($D1102,'Informations sur les produits'!$A$3:$B$15000,2,FALSE),"")</f>
        <v/>
      </c>
      <c r="V1102">
        <f t="shared" si="70"/>
        <v>0</v>
      </c>
      <c r="W1102">
        <f t="shared" si="71"/>
        <v>0</v>
      </c>
    </row>
    <row r="1103" spans="5:23" x14ac:dyDescent="0.25">
      <c r="E1103" s="4"/>
      <c r="F1103" s="4"/>
      <c r="G1103" s="33" t="str">
        <f>IFERROR(VLOOKUP($D1103,'Informations sur les produits'!$A$3:$H$10000,8,FALSE),"0")</f>
        <v>0</v>
      </c>
      <c r="K1103" s="4"/>
      <c r="L1103" s="33" t="str">
        <f>IFERROR(VLOOKUP($J1103,'Informations sur les produits'!$A$3:$H$10000,8,FALSE),"0")</f>
        <v>0</v>
      </c>
      <c r="N1103" s="8"/>
      <c r="O1103" s="33" t="str">
        <f>IFERROR(VLOOKUP($M1103,'Informations sur les produits'!$A$3:$H$10000,8,FALSE),"0")</f>
        <v>0</v>
      </c>
      <c r="P1103" s="33">
        <f t="shared" si="68"/>
        <v>0</v>
      </c>
      <c r="Q1103" s="31" t="str">
        <f t="shared" si="69"/>
        <v/>
      </c>
      <c r="R1103" s="32" t="str">
        <f>IFERROR(VLOOKUP($D1103,'Informations sur les produits'!$A$3:$B$15000,2,FALSE),"")</f>
        <v/>
      </c>
      <c r="V1103">
        <f t="shared" si="70"/>
        <v>0</v>
      </c>
      <c r="W1103">
        <f t="shared" si="71"/>
        <v>0</v>
      </c>
    </row>
    <row r="1104" spans="5:23" x14ac:dyDescent="0.25">
      <c r="E1104" s="4"/>
      <c r="F1104" s="4"/>
      <c r="G1104" s="33" t="str">
        <f>IFERROR(VLOOKUP($D1104,'Informations sur les produits'!$A$3:$H$10000,8,FALSE),"0")</f>
        <v>0</v>
      </c>
      <c r="K1104" s="4"/>
      <c r="L1104" s="33" t="str">
        <f>IFERROR(VLOOKUP($J1104,'Informations sur les produits'!$A$3:$H$10000,8,FALSE),"0")</f>
        <v>0</v>
      </c>
      <c r="N1104" s="8"/>
      <c r="O1104" s="33" t="str">
        <f>IFERROR(VLOOKUP($M1104,'Informations sur les produits'!$A$3:$H$10000,8,FALSE),"0")</f>
        <v>0</v>
      </c>
      <c r="P1104" s="33">
        <f t="shared" si="68"/>
        <v>0</v>
      </c>
      <c r="Q1104" s="31" t="str">
        <f t="shared" si="69"/>
        <v/>
      </c>
      <c r="R1104" s="32" t="str">
        <f>IFERROR(VLOOKUP($D1104,'Informations sur les produits'!$A$3:$B$15000,2,FALSE),"")</f>
        <v/>
      </c>
      <c r="V1104">
        <f t="shared" si="70"/>
        <v>0</v>
      </c>
      <c r="W1104">
        <f t="shared" si="71"/>
        <v>0</v>
      </c>
    </row>
    <row r="1105" spans="5:23" x14ac:dyDescent="0.25">
      <c r="E1105" s="4"/>
      <c r="F1105" s="4"/>
      <c r="G1105" s="33" t="str">
        <f>IFERROR(VLOOKUP($D1105,'Informations sur les produits'!$A$3:$H$10000,8,FALSE),"0")</f>
        <v>0</v>
      </c>
      <c r="K1105" s="4"/>
      <c r="L1105" s="33" t="str">
        <f>IFERROR(VLOOKUP($J1105,'Informations sur les produits'!$A$3:$H$10000,8,FALSE),"0")</f>
        <v>0</v>
      </c>
      <c r="N1105" s="8"/>
      <c r="O1105" s="33" t="str">
        <f>IFERROR(VLOOKUP($M1105,'Informations sur les produits'!$A$3:$H$10000,8,FALSE),"0")</f>
        <v>0</v>
      </c>
      <c r="P1105" s="33">
        <f t="shared" si="68"/>
        <v>0</v>
      </c>
      <c r="Q1105" s="31" t="str">
        <f t="shared" si="69"/>
        <v/>
      </c>
      <c r="R1105" s="32" t="str">
        <f>IFERROR(VLOOKUP($D1105,'Informations sur les produits'!$A$3:$B$15000,2,FALSE),"")</f>
        <v/>
      </c>
      <c r="V1105">
        <f t="shared" si="70"/>
        <v>0</v>
      </c>
      <c r="W1105">
        <f t="shared" si="71"/>
        <v>0</v>
      </c>
    </row>
    <row r="1106" spans="5:23" x14ac:dyDescent="0.25">
      <c r="E1106" s="4"/>
      <c r="F1106" s="4"/>
      <c r="G1106" s="33" t="str">
        <f>IFERROR(VLOOKUP($D1106,'Informations sur les produits'!$A$3:$H$10000,8,FALSE),"0")</f>
        <v>0</v>
      </c>
      <c r="K1106" s="4"/>
      <c r="L1106" s="33" t="str">
        <f>IFERROR(VLOOKUP($J1106,'Informations sur les produits'!$A$3:$H$10000,8,FALSE),"0")</f>
        <v>0</v>
      </c>
      <c r="N1106" s="8"/>
      <c r="O1106" s="33" t="str">
        <f>IFERROR(VLOOKUP($M1106,'Informations sur les produits'!$A$3:$H$10000,8,FALSE),"0")</f>
        <v>0</v>
      </c>
      <c r="P1106" s="33">
        <f t="shared" si="68"/>
        <v>0</v>
      </c>
      <c r="Q1106" s="31" t="str">
        <f t="shared" si="69"/>
        <v/>
      </c>
      <c r="R1106" s="32" t="str">
        <f>IFERROR(VLOOKUP($D1106,'Informations sur les produits'!$A$3:$B$15000,2,FALSE),"")</f>
        <v/>
      </c>
      <c r="V1106">
        <f t="shared" si="70"/>
        <v>0</v>
      </c>
      <c r="W1106">
        <f t="shared" si="71"/>
        <v>0</v>
      </c>
    </row>
    <row r="1107" spans="5:23" x14ac:dyDescent="0.25">
      <c r="E1107" s="4"/>
      <c r="F1107" s="4"/>
      <c r="G1107" s="33" t="str">
        <f>IFERROR(VLOOKUP($D1107,'Informations sur les produits'!$A$3:$H$10000,8,FALSE),"0")</f>
        <v>0</v>
      </c>
      <c r="K1107" s="4"/>
      <c r="L1107" s="33" t="str">
        <f>IFERROR(VLOOKUP($J1107,'Informations sur les produits'!$A$3:$H$10000,8,FALSE),"0")</f>
        <v>0</v>
      </c>
      <c r="N1107" s="8"/>
      <c r="O1107" s="33" t="str">
        <f>IFERROR(VLOOKUP($M1107,'Informations sur les produits'!$A$3:$H$10000,8,FALSE),"0")</f>
        <v>0</v>
      </c>
      <c r="P1107" s="33">
        <f t="shared" si="68"/>
        <v>0</v>
      </c>
      <c r="Q1107" s="31" t="str">
        <f t="shared" si="69"/>
        <v/>
      </c>
      <c r="R1107" s="32" t="str">
        <f>IFERROR(VLOOKUP($D1107,'Informations sur les produits'!$A$3:$B$15000,2,FALSE),"")</f>
        <v/>
      </c>
      <c r="V1107">
        <f t="shared" si="70"/>
        <v>0</v>
      </c>
      <c r="W1107">
        <f t="shared" si="71"/>
        <v>0</v>
      </c>
    </row>
    <row r="1108" spans="5:23" x14ac:dyDescent="0.25">
      <c r="E1108" s="4"/>
      <c r="F1108" s="4"/>
      <c r="G1108" s="33" t="str">
        <f>IFERROR(VLOOKUP($D1108,'Informations sur les produits'!$A$3:$H$10000,8,FALSE),"0")</f>
        <v>0</v>
      </c>
      <c r="K1108" s="4"/>
      <c r="L1108" s="33" t="str">
        <f>IFERROR(VLOOKUP($J1108,'Informations sur les produits'!$A$3:$H$10000,8,FALSE),"0")</f>
        <v>0</v>
      </c>
      <c r="N1108" s="8"/>
      <c r="O1108" s="33" t="str">
        <f>IFERROR(VLOOKUP($M1108,'Informations sur les produits'!$A$3:$H$10000,8,FALSE),"0")</f>
        <v>0</v>
      </c>
      <c r="P1108" s="33">
        <f t="shared" si="68"/>
        <v>0</v>
      </c>
      <c r="Q1108" s="31" t="str">
        <f t="shared" si="69"/>
        <v/>
      </c>
      <c r="R1108" s="32" t="str">
        <f>IFERROR(VLOOKUP($D1108,'Informations sur les produits'!$A$3:$B$15000,2,FALSE),"")</f>
        <v/>
      </c>
      <c r="V1108">
        <f t="shared" si="70"/>
        <v>0</v>
      </c>
      <c r="W1108">
        <f t="shared" si="71"/>
        <v>0</v>
      </c>
    </row>
    <row r="1109" spans="5:23" x14ac:dyDescent="0.25">
      <c r="E1109" s="4"/>
      <c r="F1109" s="4"/>
      <c r="G1109" s="33" t="str">
        <f>IFERROR(VLOOKUP($D1109,'Informations sur les produits'!$A$3:$H$10000,8,FALSE),"0")</f>
        <v>0</v>
      </c>
      <c r="K1109" s="4"/>
      <c r="L1109" s="33" t="str">
        <f>IFERROR(VLOOKUP($J1109,'Informations sur les produits'!$A$3:$H$10000,8,FALSE),"0")</f>
        <v>0</v>
      </c>
      <c r="N1109" s="8"/>
      <c r="O1109" s="33" t="str">
        <f>IFERROR(VLOOKUP($M1109,'Informations sur les produits'!$A$3:$H$10000,8,FALSE),"0")</f>
        <v>0</v>
      </c>
      <c r="P1109" s="33">
        <f t="shared" si="68"/>
        <v>0</v>
      </c>
      <c r="Q1109" s="31" t="str">
        <f t="shared" si="69"/>
        <v/>
      </c>
      <c r="R1109" s="32" t="str">
        <f>IFERROR(VLOOKUP($D1109,'Informations sur les produits'!$A$3:$B$15000,2,FALSE),"")</f>
        <v/>
      </c>
      <c r="V1109">
        <f t="shared" si="70"/>
        <v>0</v>
      </c>
      <c r="W1109">
        <f t="shared" si="71"/>
        <v>0</v>
      </c>
    </row>
    <row r="1110" spans="5:23" x14ac:dyDescent="0.25">
      <c r="E1110" s="4"/>
      <c r="F1110" s="4"/>
      <c r="G1110" s="33" t="str">
        <f>IFERROR(VLOOKUP($D1110,'Informations sur les produits'!$A$3:$H$10000,8,FALSE),"0")</f>
        <v>0</v>
      </c>
      <c r="K1110" s="4"/>
      <c r="L1110" s="33" t="str">
        <f>IFERROR(VLOOKUP($J1110,'Informations sur les produits'!$A$3:$H$10000,8,FALSE),"0")</f>
        <v>0</v>
      </c>
      <c r="N1110" s="8"/>
      <c r="O1110" s="33" t="str">
        <f>IFERROR(VLOOKUP($M1110,'Informations sur les produits'!$A$3:$H$10000,8,FALSE),"0")</f>
        <v>0</v>
      </c>
      <c r="P1110" s="33">
        <f t="shared" si="68"/>
        <v>0</v>
      </c>
      <c r="Q1110" s="31" t="str">
        <f t="shared" si="69"/>
        <v/>
      </c>
      <c r="R1110" s="32" t="str">
        <f>IFERROR(VLOOKUP($D1110,'Informations sur les produits'!$A$3:$B$15000,2,FALSE),"")</f>
        <v/>
      </c>
      <c r="V1110">
        <f t="shared" si="70"/>
        <v>0</v>
      </c>
      <c r="W1110">
        <f t="shared" si="71"/>
        <v>0</v>
      </c>
    </row>
    <row r="1111" spans="5:23" x14ac:dyDescent="0.25">
      <c r="E1111" s="4"/>
      <c r="F1111" s="4"/>
      <c r="G1111" s="33" t="str">
        <f>IFERROR(VLOOKUP($D1111,'Informations sur les produits'!$A$3:$H$10000,8,FALSE),"0")</f>
        <v>0</v>
      </c>
      <c r="K1111" s="4"/>
      <c r="L1111" s="33" t="str">
        <f>IFERROR(VLOOKUP($J1111,'Informations sur les produits'!$A$3:$H$10000,8,FALSE),"0")</f>
        <v>0</v>
      </c>
      <c r="N1111" s="8"/>
      <c r="O1111" s="33" t="str">
        <f>IFERROR(VLOOKUP($M1111,'Informations sur les produits'!$A$3:$H$10000,8,FALSE),"0")</f>
        <v>0</v>
      </c>
      <c r="P1111" s="33">
        <f t="shared" si="68"/>
        <v>0</v>
      </c>
      <c r="Q1111" s="31" t="str">
        <f t="shared" si="69"/>
        <v/>
      </c>
      <c r="R1111" s="32" t="str">
        <f>IFERROR(VLOOKUP($D1111,'Informations sur les produits'!$A$3:$B$15000,2,FALSE),"")</f>
        <v/>
      </c>
      <c r="V1111">
        <f t="shared" si="70"/>
        <v>0</v>
      </c>
      <c r="W1111">
        <f t="shared" si="71"/>
        <v>0</v>
      </c>
    </row>
    <row r="1112" spans="5:23" x14ac:dyDescent="0.25">
      <c r="E1112" s="4"/>
      <c r="F1112" s="4"/>
      <c r="G1112" s="33" t="str">
        <f>IFERROR(VLOOKUP($D1112,'Informations sur les produits'!$A$3:$H$10000,8,FALSE),"0")</f>
        <v>0</v>
      </c>
      <c r="K1112" s="4"/>
      <c r="L1112" s="33" t="str">
        <f>IFERROR(VLOOKUP($J1112,'Informations sur les produits'!$A$3:$H$10000,8,FALSE),"0")</f>
        <v>0</v>
      </c>
      <c r="N1112" s="8"/>
      <c r="O1112" s="33" t="str">
        <f>IFERROR(VLOOKUP($M1112,'Informations sur les produits'!$A$3:$H$10000,8,FALSE),"0")</f>
        <v>0</v>
      </c>
      <c r="P1112" s="33">
        <f t="shared" si="68"/>
        <v>0</v>
      </c>
      <c r="Q1112" s="31" t="str">
        <f t="shared" si="69"/>
        <v/>
      </c>
      <c r="R1112" s="32" t="str">
        <f>IFERROR(VLOOKUP($D1112,'Informations sur les produits'!$A$3:$B$15000,2,FALSE),"")</f>
        <v/>
      </c>
      <c r="V1112">
        <f t="shared" si="70"/>
        <v>0</v>
      </c>
      <c r="W1112">
        <f t="shared" si="71"/>
        <v>0</v>
      </c>
    </row>
    <row r="1113" spans="5:23" x14ac:dyDescent="0.25">
      <c r="E1113" s="4"/>
      <c r="F1113" s="4"/>
      <c r="G1113" s="33" t="str">
        <f>IFERROR(VLOOKUP($D1113,'Informations sur les produits'!$A$3:$H$10000,8,FALSE),"0")</f>
        <v>0</v>
      </c>
      <c r="K1113" s="4"/>
      <c r="L1113" s="33" t="str">
        <f>IFERROR(VLOOKUP($J1113,'Informations sur les produits'!$A$3:$H$10000,8,FALSE),"0")</f>
        <v>0</v>
      </c>
      <c r="N1113" s="8"/>
      <c r="O1113" s="33" t="str">
        <f>IFERROR(VLOOKUP($M1113,'Informations sur les produits'!$A$3:$H$10000,8,FALSE),"0")</f>
        <v>0</v>
      </c>
      <c r="P1113" s="33">
        <f t="shared" si="68"/>
        <v>0</v>
      </c>
      <c r="Q1113" s="31" t="str">
        <f t="shared" si="69"/>
        <v/>
      </c>
      <c r="R1113" s="32" t="str">
        <f>IFERROR(VLOOKUP($D1113,'Informations sur les produits'!$A$3:$B$15000,2,FALSE),"")</f>
        <v/>
      </c>
      <c r="V1113">
        <f t="shared" si="70"/>
        <v>0</v>
      </c>
      <c r="W1113">
        <f t="shared" si="71"/>
        <v>0</v>
      </c>
    </row>
    <row r="1114" spans="5:23" x14ac:dyDescent="0.25">
      <c r="E1114" s="4"/>
      <c r="F1114" s="4"/>
      <c r="G1114" s="33" t="str">
        <f>IFERROR(VLOOKUP($D1114,'Informations sur les produits'!$A$3:$H$10000,8,FALSE),"0")</f>
        <v>0</v>
      </c>
      <c r="K1114" s="4"/>
      <c r="L1114" s="33" t="str">
        <f>IFERROR(VLOOKUP($J1114,'Informations sur les produits'!$A$3:$H$10000,8,FALSE),"0")</f>
        <v>0</v>
      </c>
      <c r="N1114" s="8"/>
      <c r="O1114" s="33" t="str">
        <f>IFERROR(VLOOKUP($M1114,'Informations sur les produits'!$A$3:$H$10000,8,FALSE),"0")</f>
        <v>0</v>
      </c>
      <c r="P1114" s="33">
        <f t="shared" si="68"/>
        <v>0</v>
      </c>
      <c r="Q1114" s="31" t="str">
        <f t="shared" si="69"/>
        <v/>
      </c>
      <c r="R1114" s="32" t="str">
        <f>IFERROR(VLOOKUP($D1114,'Informations sur les produits'!$A$3:$B$15000,2,FALSE),"")</f>
        <v/>
      </c>
      <c r="V1114">
        <f t="shared" si="70"/>
        <v>0</v>
      </c>
      <c r="W1114">
        <f t="shared" si="71"/>
        <v>0</v>
      </c>
    </row>
    <row r="1115" spans="5:23" x14ac:dyDescent="0.25">
      <c r="E1115" s="4"/>
      <c r="F1115" s="4"/>
      <c r="G1115" s="33" t="str">
        <f>IFERROR(VLOOKUP($D1115,'Informations sur les produits'!$A$3:$H$10000,8,FALSE),"0")</f>
        <v>0</v>
      </c>
      <c r="K1115" s="4"/>
      <c r="L1115" s="33" t="str">
        <f>IFERROR(VLOOKUP($J1115,'Informations sur les produits'!$A$3:$H$10000,8,FALSE),"0")</f>
        <v>0</v>
      </c>
      <c r="N1115" s="8"/>
      <c r="O1115" s="33" t="str">
        <f>IFERROR(VLOOKUP($M1115,'Informations sur les produits'!$A$3:$H$10000,8,FALSE),"0")</f>
        <v>0</v>
      </c>
      <c r="P1115" s="33">
        <f t="shared" si="68"/>
        <v>0</v>
      </c>
      <c r="Q1115" s="31" t="str">
        <f t="shared" si="69"/>
        <v/>
      </c>
      <c r="R1115" s="32" t="str">
        <f>IFERROR(VLOOKUP($D1115,'Informations sur les produits'!$A$3:$B$15000,2,FALSE),"")</f>
        <v/>
      </c>
      <c r="V1115">
        <f t="shared" si="70"/>
        <v>0</v>
      </c>
      <c r="W1115">
        <f t="shared" si="71"/>
        <v>0</v>
      </c>
    </row>
    <row r="1116" spans="5:23" x14ac:dyDescent="0.25">
      <c r="E1116" s="4"/>
      <c r="F1116" s="4"/>
      <c r="G1116" s="33" t="str">
        <f>IFERROR(VLOOKUP($D1116,'Informations sur les produits'!$A$3:$H$10000,8,FALSE),"0")</f>
        <v>0</v>
      </c>
      <c r="K1116" s="4"/>
      <c r="L1116" s="33" t="str">
        <f>IFERROR(VLOOKUP($J1116,'Informations sur les produits'!$A$3:$H$10000,8,FALSE),"0")</f>
        <v>0</v>
      </c>
      <c r="N1116" s="8"/>
      <c r="O1116" s="33" t="str">
        <f>IFERROR(VLOOKUP($M1116,'Informations sur les produits'!$A$3:$H$10000,8,FALSE),"0")</f>
        <v>0</v>
      </c>
      <c r="P1116" s="33">
        <f t="shared" si="68"/>
        <v>0</v>
      </c>
      <c r="Q1116" s="31" t="str">
        <f t="shared" si="69"/>
        <v/>
      </c>
      <c r="R1116" s="32" t="str">
        <f>IFERROR(VLOOKUP($D1116,'Informations sur les produits'!$A$3:$B$15000,2,FALSE),"")</f>
        <v/>
      </c>
      <c r="V1116">
        <f t="shared" si="70"/>
        <v>0</v>
      </c>
      <c r="W1116">
        <f t="shared" si="71"/>
        <v>0</v>
      </c>
    </row>
    <row r="1117" spans="5:23" x14ac:dyDescent="0.25">
      <c r="E1117" s="4"/>
      <c r="F1117" s="4"/>
      <c r="G1117" s="33" t="str">
        <f>IFERROR(VLOOKUP($D1117,'Informations sur les produits'!$A$3:$H$10000,8,FALSE),"0")</f>
        <v>0</v>
      </c>
      <c r="K1117" s="4"/>
      <c r="L1117" s="33" t="str">
        <f>IFERROR(VLOOKUP($J1117,'Informations sur les produits'!$A$3:$H$10000,8,FALSE),"0")</f>
        <v>0</v>
      </c>
      <c r="N1117" s="8"/>
      <c r="O1117" s="33" t="str">
        <f>IFERROR(VLOOKUP($M1117,'Informations sur les produits'!$A$3:$H$10000,8,FALSE),"0")</f>
        <v>0</v>
      </c>
      <c r="P1117" s="33">
        <f t="shared" si="68"/>
        <v>0</v>
      </c>
      <c r="Q1117" s="31" t="str">
        <f t="shared" si="69"/>
        <v/>
      </c>
      <c r="R1117" s="32" t="str">
        <f>IFERROR(VLOOKUP($D1117,'Informations sur les produits'!$A$3:$B$15000,2,FALSE),"")</f>
        <v/>
      </c>
      <c r="V1117">
        <f t="shared" si="70"/>
        <v>0</v>
      </c>
      <c r="W1117">
        <f t="shared" si="71"/>
        <v>0</v>
      </c>
    </row>
    <row r="1118" spans="5:23" x14ac:dyDescent="0.25">
      <c r="E1118" s="4"/>
      <c r="F1118" s="4"/>
      <c r="G1118" s="33" t="str">
        <f>IFERROR(VLOOKUP($D1118,'Informations sur les produits'!$A$3:$H$10000,8,FALSE),"0")</f>
        <v>0</v>
      </c>
      <c r="K1118" s="4"/>
      <c r="L1118" s="33" t="str">
        <f>IFERROR(VLOOKUP($J1118,'Informations sur les produits'!$A$3:$H$10000,8,FALSE),"0")</f>
        <v>0</v>
      </c>
      <c r="N1118" s="8"/>
      <c r="O1118" s="33" t="str">
        <f>IFERROR(VLOOKUP($M1118,'Informations sur les produits'!$A$3:$H$10000,8,FALSE),"0")</f>
        <v>0</v>
      </c>
      <c r="P1118" s="33">
        <f t="shared" si="68"/>
        <v>0</v>
      </c>
      <c r="Q1118" s="31" t="str">
        <f t="shared" si="69"/>
        <v/>
      </c>
      <c r="R1118" s="32" t="str">
        <f>IFERROR(VLOOKUP($D1118,'Informations sur les produits'!$A$3:$B$15000,2,FALSE),"")</f>
        <v/>
      </c>
      <c r="V1118">
        <f t="shared" si="70"/>
        <v>0</v>
      </c>
      <c r="W1118">
        <f t="shared" si="71"/>
        <v>0</v>
      </c>
    </row>
    <row r="1119" spans="5:23" x14ac:dyDescent="0.25">
      <c r="E1119" s="4"/>
      <c r="F1119" s="4"/>
      <c r="G1119" s="33" t="str">
        <f>IFERROR(VLOOKUP($D1119,'Informations sur les produits'!$A$3:$H$10000,8,FALSE),"0")</f>
        <v>0</v>
      </c>
      <c r="K1119" s="4"/>
      <c r="L1119" s="33" t="str">
        <f>IFERROR(VLOOKUP($J1119,'Informations sur les produits'!$A$3:$H$10000,8,FALSE),"0")</f>
        <v>0</v>
      </c>
      <c r="N1119" s="8"/>
      <c r="O1119" s="33" t="str">
        <f>IFERROR(VLOOKUP($M1119,'Informations sur les produits'!$A$3:$H$10000,8,FALSE),"0")</f>
        <v>0</v>
      </c>
      <c r="P1119" s="33">
        <f t="shared" si="68"/>
        <v>0</v>
      </c>
      <c r="Q1119" s="31" t="str">
        <f t="shared" si="69"/>
        <v/>
      </c>
      <c r="R1119" s="32" t="str">
        <f>IFERROR(VLOOKUP($D1119,'Informations sur les produits'!$A$3:$B$15000,2,FALSE),"")</f>
        <v/>
      </c>
      <c r="V1119">
        <f t="shared" si="70"/>
        <v>0</v>
      </c>
      <c r="W1119">
        <f t="shared" si="71"/>
        <v>0</v>
      </c>
    </row>
    <row r="1120" spans="5:23" x14ac:dyDescent="0.25">
      <c r="E1120" s="4"/>
      <c r="F1120" s="4"/>
      <c r="G1120" s="33" t="str">
        <f>IFERROR(VLOOKUP($D1120,'Informations sur les produits'!$A$3:$H$10000,8,FALSE),"0")</f>
        <v>0</v>
      </c>
      <c r="K1120" s="4"/>
      <c r="L1120" s="33" t="str">
        <f>IFERROR(VLOOKUP($J1120,'Informations sur les produits'!$A$3:$H$10000,8,FALSE),"0")</f>
        <v>0</v>
      </c>
      <c r="N1120" s="8"/>
      <c r="O1120" s="33" t="str">
        <f>IFERROR(VLOOKUP($M1120,'Informations sur les produits'!$A$3:$H$10000,8,FALSE),"0")</f>
        <v>0</v>
      </c>
      <c r="P1120" s="33">
        <f t="shared" si="68"/>
        <v>0</v>
      </c>
      <c r="Q1120" s="31" t="str">
        <f t="shared" si="69"/>
        <v/>
      </c>
      <c r="R1120" s="32" t="str">
        <f>IFERROR(VLOOKUP($D1120,'Informations sur les produits'!$A$3:$B$15000,2,FALSE),"")</f>
        <v/>
      </c>
      <c r="V1120">
        <f t="shared" si="70"/>
        <v>0</v>
      </c>
      <c r="W1120">
        <f t="shared" si="71"/>
        <v>0</v>
      </c>
    </row>
    <row r="1121" spans="5:23" x14ac:dyDescent="0.25">
      <c r="E1121" s="4"/>
      <c r="F1121" s="4"/>
      <c r="G1121" s="33" t="str">
        <f>IFERROR(VLOOKUP($D1121,'Informations sur les produits'!$A$3:$H$10000,8,FALSE),"0")</f>
        <v>0</v>
      </c>
      <c r="K1121" s="4"/>
      <c r="L1121" s="33" t="str">
        <f>IFERROR(VLOOKUP($J1121,'Informations sur les produits'!$A$3:$H$10000,8,FALSE),"0")</f>
        <v>0</v>
      </c>
      <c r="N1121" s="8"/>
      <c r="O1121" s="33" t="str">
        <f>IFERROR(VLOOKUP($M1121,'Informations sur les produits'!$A$3:$H$10000,8,FALSE),"0")</f>
        <v>0</v>
      </c>
      <c r="P1121" s="33">
        <f t="shared" si="68"/>
        <v>0</v>
      </c>
      <c r="Q1121" s="31" t="str">
        <f t="shared" si="69"/>
        <v/>
      </c>
      <c r="R1121" s="32" t="str">
        <f>IFERROR(VLOOKUP($D1121,'Informations sur les produits'!$A$3:$B$15000,2,FALSE),"")</f>
        <v/>
      </c>
      <c r="V1121">
        <f t="shared" si="70"/>
        <v>0</v>
      </c>
      <c r="W1121">
        <f t="shared" si="71"/>
        <v>0</v>
      </c>
    </row>
    <row r="1122" spans="5:23" x14ac:dyDescent="0.25">
      <c r="E1122" s="4"/>
      <c r="F1122" s="4"/>
      <c r="G1122" s="33" t="str">
        <f>IFERROR(VLOOKUP($D1122,'Informations sur les produits'!$A$3:$H$10000,8,FALSE),"0")</f>
        <v>0</v>
      </c>
      <c r="K1122" s="4"/>
      <c r="L1122" s="33" t="str">
        <f>IFERROR(VLOOKUP($J1122,'Informations sur les produits'!$A$3:$H$10000,8,FALSE),"0")</f>
        <v>0</v>
      </c>
      <c r="N1122" s="8"/>
      <c r="O1122" s="33" t="str">
        <f>IFERROR(VLOOKUP($M1122,'Informations sur les produits'!$A$3:$H$10000,8,FALSE),"0")</f>
        <v>0</v>
      </c>
      <c r="P1122" s="33">
        <f t="shared" si="68"/>
        <v>0</v>
      </c>
      <c r="Q1122" s="31" t="str">
        <f t="shared" si="69"/>
        <v/>
      </c>
      <c r="R1122" s="32" t="str">
        <f>IFERROR(VLOOKUP($D1122,'Informations sur les produits'!$A$3:$B$15000,2,FALSE),"")</f>
        <v/>
      </c>
      <c r="V1122">
        <f t="shared" si="70"/>
        <v>0</v>
      </c>
      <c r="W1122">
        <f t="shared" si="71"/>
        <v>0</v>
      </c>
    </row>
    <row r="1123" spans="5:23" x14ac:dyDescent="0.25">
      <c r="E1123" s="4"/>
      <c r="F1123" s="4"/>
      <c r="G1123" s="33" t="str">
        <f>IFERROR(VLOOKUP($D1123,'Informations sur les produits'!$A$3:$H$10000,8,FALSE),"0")</f>
        <v>0</v>
      </c>
      <c r="K1123" s="4"/>
      <c r="L1123" s="33" t="str">
        <f>IFERROR(VLOOKUP($J1123,'Informations sur les produits'!$A$3:$H$10000,8,FALSE),"0")</f>
        <v>0</v>
      </c>
      <c r="N1123" s="8"/>
      <c r="O1123" s="33" t="str">
        <f>IFERROR(VLOOKUP($M1123,'Informations sur les produits'!$A$3:$H$10000,8,FALSE),"0")</f>
        <v>0</v>
      </c>
      <c r="P1123" s="33">
        <f t="shared" si="68"/>
        <v>0</v>
      </c>
      <c r="Q1123" s="31" t="str">
        <f t="shared" si="69"/>
        <v/>
      </c>
      <c r="R1123" s="32" t="str">
        <f>IFERROR(VLOOKUP($D1123,'Informations sur les produits'!$A$3:$B$15000,2,FALSE),"")</f>
        <v/>
      </c>
      <c r="V1123">
        <f t="shared" si="70"/>
        <v>0</v>
      </c>
      <c r="W1123">
        <f t="shared" si="71"/>
        <v>0</v>
      </c>
    </row>
    <row r="1124" spans="5:23" x14ac:dyDescent="0.25">
      <c r="E1124" s="4"/>
      <c r="F1124" s="4"/>
      <c r="G1124" s="33" t="str">
        <f>IFERROR(VLOOKUP($D1124,'Informations sur les produits'!$A$3:$H$10000,8,FALSE),"0")</f>
        <v>0</v>
      </c>
      <c r="K1124" s="4"/>
      <c r="L1124" s="33" t="str">
        <f>IFERROR(VLOOKUP($J1124,'Informations sur les produits'!$A$3:$H$10000,8,FALSE),"0")</f>
        <v>0</v>
      </c>
      <c r="N1124" s="8"/>
      <c r="O1124" s="33" t="str">
        <f>IFERROR(VLOOKUP($M1124,'Informations sur les produits'!$A$3:$H$10000,8,FALSE),"0")</f>
        <v>0</v>
      </c>
      <c r="P1124" s="33">
        <f t="shared" si="68"/>
        <v>0</v>
      </c>
      <c r="Q1124" s="31" t="str">
        <f t="shared" si="69"/>
        <v/>
      </c>
      <c r="R1124" s="32" t="str">
        <f>IFERROR(VLOOKUP($D1124,'Informations sur les produits'!$A$3:$B$15000,2,FALSE),"")</f>
        <v/>
      </c>
      <c r="V1124">
        <f t="shared" si="70"/>
        <v>0</v>
      </c>
      <c r="W1124">
        <f t="shared" si="71"/>
        <v>0</v>
      </c>
    </row>
    <row r="1125" spans="5:23" x14ac:dyDescent="0.25">
      <c r="E1125" s="4"/>
      <c r="F1125" s="4"/>
      <c r="G1125" s="33" t="str">
        <f>IFERROR(VLOOKUP($D1125,'Informations sur les produits'!$A$3:$H$10000,8,FALSE),"0")</f>
        <v>0</v>
      </c>
      <c r="K1125" s="4"/>
      <c r="L1125" s="33" t="str">
        <f>IFERROR(VLOOKUP($J1125,'Informations sur les produits'!$A$3:$H$10000,8,FALSE),"0")</f>
        <v>0</v>
      </c>
      <c r="N1125" s="8"/>
      <c r="O1125" s="33" t="str">
        <f>IFERROR(VLOOKUP($M1125,'Informations sur les produits'!$A$3:$H$10000,8,FALSE),"0")</f>
        <v>0</v>
      </c>
      <c r="P1125" s="33">
        <f t="shared" si="68"/>
        <v>0</v>
      </c>
      <c r="Q1125" s="31" t="str">
        <f t="shared" si="69"/>
        <v/>
      </c>
      <c r="R1125" s="32" t="str">
        <f>IFERROR(VLOOKUP($D1125,'Informations sur les produits'!$A$3:$B$15000,2,FALSE),"")</f>
        <v/>
      </c>
      <c r="V1125">
        <f t="shared" si="70"/>
        <v>0</v>
      </c>
      <c r="W1125">
        <f t="shared" si="71"/>
        <v>0</v>
      </c>
    </row>
    <row r="1126" spans="5:23" x14ac:dyDescent="0.25">
      <c r="E1126" s="4"/>
      <c r="F1126" s="4"/>
      <c r="G1126" s="33" t="str">
        <f>IFERROR(VLOOKUP($D1126,'Informations sur les produits'!$A$3:$H$10000,8,FALSE),"0")</f>
        <v>0</v>
      </c>
      <c r="K1126" s="4"/>
      <c r="L1126" s="33" t="str">
        <f>IFERROR(VLOOKUP($J1126,'Informations sur les produits'!$A$3:$H$10000,8,FALSE),"0")</f>
        <v>0</v>
      </c>
      <c r="N1126" s="8"/>
      <c r="O1126" s="33" t="str">
        <f>IFERROR(VLOOKUP($M1126,'Informations sur les produits'!$A$3:$H$10000,8,FALSE),"0")</f>
        <v>0</v>
      </c>
      <c r="P1126" s="33">
        <f t="shared" si="68"/>
        <v>0</v>
      </c>
      <c r="Q1126" s="31" t="str">
        <f t="shared" si="69"/>
        <v/>
      </c>
      <c r="R1126" s="32" t="str">
        <f>IFERROR(VLOOKUP($D1126,'Informations sur les produits'!$A$3:$B$15000,2,FALSE),"")</f>
        <v/>
      </c>
      <c r="V1126">
        <f t="shared" si="70"/>
        <v>0</v>
      </c>
      <c r="W1126">
        <f t="shared" si="71"/>
        <v>0</v>
      </c>
    </row>
    <row r="1127" spans="5:23" x14ac:dyDescent="0.25">
      <c r="E1127" s="4"/>
      <c r="F1127" s="4"/>
      <c r="G1127" s="33" t="str">
        <f>IFERROR(VLOOKUP($D1127,'Informations sur les produits'!$A$3:$H$10000,8,FALSE),"0")</f>
        <v>0</v>
      </c>
      <c r="K1127" s="4"/>
      <c r="L1127" s="33" t="str">
        <f>IFERROR(VLOOKUP($J1127,'Informations sur les produits'!$A$3:$H$10000,8,FALSE),"0")</f>
        <v>0</v>
      </c>
      <c r="N1127" s="8"/>
      <c r="O1127" s="33" t="str">
        <f>IFERROR(VLOOKUP($M1127,'Informations sur les produits'!$A$3:$H$10000,8,FALSE),"0")</f>
        <v>0</v>
      </c>
      <c r="P1127" s="33">
        <f t="shared" si="68"/>
        <v>0</v>
      </c>
      <c r="Q1127" s="31" t="str">
        <f t="shared" si="69"/>
        <v/>
      </c>
      <c r="R1127" s="32" t="str">
        <f>IFERROR(VLOOKUP($D1127,'Informations sur les produits'!$A$3:$B$15000,2,FALSE),"")</f>
        <v/>
      </c>
      <c r="V1127">
        <f t="shared" si="70"/>
        <v>0</v>
      </c>
      <c r="W1127">
        <f t="shared" si="71"/>
        <v>0</v>
      </c>
    </row>
    <row r="1128" spans="5:23" x14ac:dyDescent="0.25">
      <c r="E1128" s="4"/>
      <c r="F1128" s="4"/>
      <c r="G1128" s="33" t="str">
        <f>IFERROR(VLOOKUP($D1128,'Informations sur les produits'!$A$3:$H$10000,8,FALSE),"0")</f>
        <v>0</v>
      </c>
      <c r="K1128" s="4"/>
      <c r="L1128" s="33" t="str">
        <f>IFERROR(VLOOKUP($J1128,'Informations sur les produits'!$A$3:$H$10000,8,FALSE),"0")</f>
        <v>0</v>
      </c>
      <c r="N1128" s="8"/>
      <c r="O1128" s="33" t="str">
        <f>IFERROR(VLOOKUP($M1128,'Informations sur les produits'!$A$3:$H$10000,8,FALSE),"0")</f>
        <v>0</v>
      </c>
      <c r="P1128" s="33">
        <f t="shared" si="68"/>
        <v>0</v>
      </c>
      <c r="Q1128" s="31" t="str">
        <f t="shared" si="69"/>
        <v/>
      </c>
      <c r="R1128" s="32" t="str">
        <f>IFERROR(VLOOKUP($D1128,'Informations sur les produits'!$A$3:$B$15000,2,FALSE),"")</f>
        <v/>
      </c>
      <c r="V1128">
        <f t="shared" si="70"/>
        <v>0</v>
      </c>
      <c r="W1128">
        <f t="shared" si="71"/>
        <v>0</v>
      </c>
    </row>
    <row r="1129" spans="5:23" x14ac:dyDescent="0.25">
      <c r="E1129" s="4"/>
      <c r="F1129" s="4"/>
      <c r="G1129" s="33" t="str">
        <f>IFERROR(VLOOKUP($D1129,'Informations sur les produits'!$A$3:$H$10000,8,FALSE),"0")</f>
        <v>0</v>
      </c>
      <c r="K1129" s="4"/>
      <c r="L1129" s="33" t="str">
        <f>IFERROR(VLOOKUP($J1129,'Informations sur les produits'!$A$3:$H$10000,8,FALSE),"0")</f>
        <v>0</v>
      </c>
      <c r="N1129" s="8"/>
      <c r="O1129" s="33" t="str">
        <f>IFERROR(VLOOKUP($M1129,'Informations sur les produits'!$A$3:$H$10000,8,FALSE),"0")</f>
        <v>0</v>
      </c>
      <c r="P1129" s="33">
        <f t="shared" si="68"/>
        <v>0</v>
      </c>
      <c r="Q1129" s="31" t="str">
        <f t="shared" si="69"/>
        <v/>
      </c>
      <c r="R1129" s="32" t="str">
        <f>IFERROR(VLOOKUP($D1129,'Informations sur les produits'!$A$3:$B$15000,2,FALSE),"")</f>
        <v/>
      </c>
      <c r="V1129">
        <f t="shared" si="70"/>
        <v>0</v>
      </c>
      <c r="W1129">
        <f t="shared" si="71"/>
        <v>0</v>
      </c>
    </row>
    <row r="1130" spans="5:23" x14ac:dyDescent="0.25">
      <c r="E1130" s="4"/>
      <c r="F1130" s="4"/>
      <c r="G1130" s="33" t="str">
        <f>IFERROR(VLOOKUP($D1130,'Informations sur les produits'!$A$3:$H$10000,8,FALSE),"0")</f>
        <v>0</v>
      </c>
      <c r="K1130" s="4"/>
      <c r="L1130" s="33" t="str">
        <f>IFERROR(VLOOKUP($J1130,'Informations sur les produits'!$A$3:$H$10000,8,FALSE),"0")</f>
        <v>0</v>
      </c>
      <c r="N1130" s="8"/>
      <c r="O1130" s="33" t="str">
        <f>IFERROR(VLOOKUP($M1130,'Informations sur les produits'!$A$3:$H$10000,8,FALSE),"0")</f>
        <v>0</v>
      </c>
      <c r="P1130" s="33">
        <f t="shared" si="68"/>
        <v>0</v>
      </c>
      <c r="Q1130" s="31" t="str">
        <f t="shared" si="69"/>
        <v/>
      </c>
      <c r="R1130" s="32" t="str">
        <f>IFERROR(VLOOKUP($D1130,'Informations sur les produits'!$A$3:$B$15000,2,FALSE),"")</f>
        <v/>
      </c>
      <c r="V1130">
        <f t="shared" si="70"/>
        <v>0</v>
      </c>
      <c r="W1130">
        <f t="shared" si="71"/>
        <v>0</v>
      </c>
    </row>
    <row r="1131" spans="5:23" x14ac:dyDescent="0.25">
      <c r="E1131" s="4"/>
      <c r="F1131" s="4"/>
      <c r="G1131" s="33" t="str">
        <f>IFERROR(VLOOKUP($D1131,'Informations sur les produits'!$A$3:$H$10000,8,FALSE),"0")</f>
        <v>0</v>
      </c>
      <c r="K1131" s="4"/>
      <c r="L1131" s="33" t="str">
        <f>IFERROR(VLOOKUP($J1131,'Informations sur les produits'!$A$3:$H$10000,8,FALSE),"0")</f>
        <v>0</v>
      </c>
      <c r="N1131" s="8"/>
      <c r="O1131" s="33" t="str">
        <f>IFERROR(VLOOKUP($M1131,'Informations sur les produits'!$A$3:$H$10000,8,FALSE),"0")</f>
        <v>0</v>
      </c>
      <c r="P1131" s="33">
        <f t="shared" si="68"/>
        <v>0</v>
      </c>
      <c r="Q1131" s="31" t="str">
        <f t="shared" si="69"/>
        <v/>
      </c>
      <c r="R1131" s="32" t="str">
        <f>IFERROR(VLOOKUP($D1131,'Informations sur les produits'!$A$3:$B$15000,2,FALSE),"")</f>
        <v/>
      </c>
      <c r="V1131">
        <f t="shared" si="70"/>
        <v>0</v>
      </c>
      <c r="W1131">
        <f t="shared" si="71"/>
        <v>0</v>
      </c>
    </row>
    <row r="1132" spans="5:23" x14ac:dyDescent="0.25">
      <c r="E1132" s="4"/>
      <c r="F1132" s="4"/>
      <c r="G1132" s="33" t="str">
        <f>IFERROR(VLOOKUP($D1132,'Informations sur les produits'!$A$3:$H$10000,8,FALSE),"0")</f>
        <v>0</v>
      </c>
      <c r="K1132" s="4"/>
      <c r="L1132" s="33" t="str">
        <f>IFERROR(VLOOKUP($J1132,'Informations sur les produits'!$A$3:$H$10000,8,FALSE),"0")</f>
        <v>0</v>
      </c>
      <c r="N1132" s="8"/>
      <c r="O1132" s="33" t="str">
        <f>IFERROR(VLOOKUP($M1132,'Informations sur les produits'!$A$3:$H$10000,8,FALSE),"0")</f>
        <v>0</v>
      </c>
      <c r="P1132" s="33">
        <f t="shared" si="68"/>
        <v>0</v>
      </c>
      <c r="Q1132" s="31" t="str">
        <f t="shared" si="69"/>
        <v/>
      </c>
      <c r="R1132" s="32" t="str">
        <f>IFERROR(VLOOKUP($D1132,'Informations sur les produits'!$A$3:$B$15000,2,FALSE),"")</f>
        <v/>
      </c>
      <c r="V1132">
        <f t="shared" si="70"/>
        <v>0</v>
      </c>
      <c r="W1132">
        <f t="shared" si="71"/>
        <v>0</v>
      </c>
    </row>
    <row r="1133" spans="5:23" x14ac:dyDescent="0.25">
      <c r="E1133" s="4"/>
      <c r="F1133" s="4"/>
      <c r="G1133" s="33" t="str">
        <f>IFERROR(VLOOKUP($D1133,'Informations sur les produits'!$A$3:$H$10000,8,FALSE),"0")</f>
        <v>0</v>
      </c>
      <c r="K1133" s="4"/>
      <c r="L1133" s="33" t="str">
        <f>IFERROR(VLOOKUP($J1133,'Informations sur les produits'!$A$3:$H$10000,8,FALSE),"0")</f>
        <v>0</v>
      </c>
      <c r="N1133" s="8"/>
      <c r="O1133" s="33" t="str">
        <f>IFERROR(VLOOKUP($M1133,'Informations sur les produits'!$A$3:$H$10000,8,FALSE),"0")</f>
        <v>0</v>
      </c>
      <c r="P1133" s="33">
        <f t="shared" si="68"/>
        <v>0</v>
      </c>
      <c r="Q1133" s="31" t="str">
        <f t="shared" si="69"/>
        <v/>
      </c>
      <c r="R1133" s="32" t="str">
        <f>IFERROR(VLOOKUP($D1133,'Informations sur les produits'!$A$3:$B$15000,2,FALSE),"")</f>
        <v/>
      </c>
      <c r="V1133">
        <f t="shared" si="70"/>
        <v>0</v>
      </c>
      <c r="W1133">
        <f t="shared" si="71"/>
        <v>0</v>
      </c>
    </row>
    <row r="1134" spans="5:23" x14ac:dyDescent="0.25">
      <c r="E1134" s="4"/>
      <c r="F1134" s="4"/>
      <c r="G1134" s="33" t="str">
        <f>IFERROR(VLOOKUP($D1134,'Informations sur les produits'!$A$3:$H$10000,8,FALSE),"0")</f>
        <v>0</v>
      </c>
      <c r="K1134" s="4"/>
      <c r="L1134" s="33" t="str">
        <f>IFERROR(VLOOKUP($J1134,'Informations sur les produits'!$A$3:$H$10000,8,FALSE),"0")</f>
        <v>0</v>
      </c>
      <c r="N1134" s="8"/>
      <c r="O1134" s="33" t="str">
        <f>IFERROR(VLOOKUP($M1134,'Informations sur les produits'!$A$3:$H$10000,8,FALSE),"0")</f>
        <v>0</v>
      </c>
      <c r="P1134" s="33">
        <f t="shared" si="68"/>
        <v>0</v>
      </c>
      <c r="Q1134" s="31" t="str">
        <f t="shared" si="69"/>
        <v/>
      </c>
      <c r="R1134" s="32" t="str">
        <f>IFERROR(VLOOKUP($D1134,'Informations sur les produits'!$A$3:$B$15000,2,FALSE),"")</f>
        <v/>
      </c>
      <c r="V1134">
        <f t="shared" si="70"/>
        <v>0</v>
      </c>
      <c r="W1134">
        <f t="shared" si="71"/>
        <v>0</v>
      </c>
    </row>
    <row r="1135" spans="5:23" x14ac:dyDescent="0.25">
      <c r="E1135" s="4"/>
      <c r="F1135" s="4"/>
      <c r="G1135" s="33" t="str">
        <f>IFERROR(VLOOKUP($D1135,'Informations sur les produits'!$A$3:$H$10000,8,FALSE),"0")</f>
        <v>0</v>
      </c>
      <c r="K1135" s="4"/>
      <c r="L1135" s="33" t="str">
        <f>IFERROR(VLOOKUP($J1135,'Informations sur les produits'!$A$3:$H$10000,8,FALSE),"0")</f>
        <v>0</v>
      </c>
      <c r="N1135" s="8"/>
      <c r="O1135" s="33" t="str">
        <f>IFERROR(VLOOKUP($M1135,'Informations sur les produits'!$A$3:$H$10000,8,FALSE),"0")</f>
        <v>0</v>
      </c>
      <c r="P1135" s="33">
        <f t="shared" si="68"/>
        <v>0</v>
      </c>
      <c r="Q1135" s="31" t="str">
        <f t="shared" si="69"/>
        <v/>
      </c>
      <c r="R1135" s="32" t="str">
        <f>IFERROR(VLOOKUP($D1135,'Informations sur les produits'!$A$3:$B$15000,2,FALSE),"")</f>
        <v/>
      </c>
      <c r="V1135">
        <f t="shared" si="70"/>
        <v>0</v>
      </c>
      <c r="W1135">
        <f t="shared" si="71"/>
        <v>0</v>
      </c>
    </row>
    <row r="1136" spans="5:23" x14ac:dyDescent="0.25">
      <c r="E1136" s="4"/>
      <c r="F1136" s="4"/>
      <c r="G1136" s="33" t="str">
        <f>IFERROR(VLOOKUP($D1136,'Informations sur les produits'!$A$3:$H$10000,8,FALSE),"0")</f>
        <v>0</v>
      </c>
      <c r="K1136" s="4"/>
      <c r="L1136" s="33" t="str">
        <f>IFERROR(VLOOKUP($J1136,'Informations sur les produits'!$A$3:$H$10000,8,FALSE),"0")</f>
        <v>0</v>
      </c>
      <c r="N1136" s="8"/>
      <c r="O1136" s="33" t="str">
        <f>IFERROR(VLOOKUP($M1136,'Informations sur les produits'!$A$3:$H$10000,8,FALSE),"0")</f>
        <v>0</v>
      </c>
      <c r="P1136" s="33">
        <f t="shared" si="68"/>
        <v>0</v>
      </c>
      <c r="Q1136" s="31" t="str">
        <f t="shared" si="69"/>
        <v/>
      </c>
      <c r="R1136" s="32" t="str">
        <f>IFERROR(VLOOKUP($D1136,'Informations sur les produits'!$A$3:$B$15000,2,FALSE),"")</f>
        <v/>
      </c>
      <c r="V1136">
        <f t="shared" si="70"/>
        <v>0</v>
      </c>
      <c r="W1136">
        <f t="shared" si="71"/>
        <v>0</v>
      </c>
    </row>
    <row r="1137" spans="5:23" x14ac:dyDescent="0.25">
      <c r="E1137" s="4"/>
      <c r="F1137" s="4"/>
      <c r="G1137" s="33" t="str">
        <f>IFERROR(VLOOKUP($D1137,'Informations sur les produits'!$A$3:$H$10000,8,FALSE),"0")</f>
        <v>0</v>
      </c>
      <c r="K1137" s="4"/>
      <c r="L1137" s="33" t="str">
        <f>IFERROR(VLOOKUP($J1137,'Informations sur les produits'!$A$3:$H$10000,8,FALSE),"0")</f>
        <v>0</v>
      </c>
      <c r="N1137" s="8"/>
      <c r="O1137" s="33" t="str">
        <f>IFERROR(VLOOKUP($M1137,'Informations sur les produits'!$A$3:$H$10000,8,FALSE),"0")</f>
        <v>0</v>
      </c>
      <c r="P1137" s="33">
        <f t="shared" si="68"/>
        <v>0</v>
      </c>
      <c r="Q1137" s="31" t="str">
        <f t="shared" si="69"/>
        <v/>
      </c>
      <c r="R1137" s="32" t="str">
        <f>IFERROR(VLOOKUP($D1137,'Informations sur les produits'!$A$3:$B$15000,2,FALSE),"")</f>
        <v/>
      </c>
      <c r="V1137">
        <f t="shared" si="70"/>
        <v>0</v>
      </c>
      <c r="W1137">
        <f t="shared" si="71"/>
        <v>0</v>
      </c>
    </row>
    <row r="1138" spans="5:23" x14ac:dyDescent="0.25">
      <c r="E1138" s="4"/>
      <c r="F1138" s="4"/>
      <c r="G1138" s="33" t="str">
        <f>IFERROR(VLOOKUP($D1138,'Informations sur les produits'!$A$3:$H$10000,8,FALSE),"0")</f>
        <v>0</v>
      </c>
      <c r="K1138" s="4"/>
      <c r="L1138" s="33" t="str">
        <f>IFERROR(VLOOKUP($J1138,'Informations sur les produits'!$A$3:$H$10000,8,FALSE),"0")</f>
        <v>0</v>
      </c>
      <c r="N1138" s="8"/>
      <c r="O1138" s="33" t="str">
        <f>IFERROR(VLOOKUP($M1138,'Informations sur les produits'!$A$3:$H$10000,8,FALSE),"0")</f>
        <v>0</v>
      </c>
      <c r="P1138" s="33">
        <f t="shared" si="68"/>
        <v>0</v>
      </c>
      <c r="Q1138" s="31" t="str">
        <f t="shared" si="69"/>
        <v/>
      </c>
      <c r="R1138" s="32" t="str">
        <f>IFERROR(VLOOKUP($D1138,'Informations sur les produits'!$A$3:$B$15000,2,FALSE),"")</f>
        <v/>
      </c>
      <c r="V1138">
        <f t="shared" si="70"/>
        <v>0</v>
      </c>
      <c r="W1138">
        <f t="shared" si="71"/>
        <v>0</v>
      </c>
    </row>
    <row r="1139" spans="5:23" x14ac:dyDescent="0.25">
      <c r="E1139" s="4"/>
      <c r="F1139" s="4"/>
      <c r="G1139" s="33" t="str">
        <f>IFERROR(VLOOKUP($D1139,'Informations sur les produits'!$A$3:$H$10000,8,FALSE),"0")</f>
        <v>0</v>
      </c>
      <c r="K1139" s="4"/>
      <c r="L1139" s="33" t="str">
        <f>IFERROR(VLOOKUP($J1139,'Informations sur les produits'!$A$3:$H$10000,8,FALSE),"0")</f>
        <v>0</v>
      </c>
      <c r="N1139" s="8"/>
      <c r="O1139" s="33" t="str">
        <f>IFERROR(VLOOKUP($M1139,'Informations sur les produits'!$A$3:$H$10000,8,FALSE),"0")</f>
        <v>0</v>
      </c>
      <c r="P1139" s="33">
        <f t="shared" si="68"/>
        <v>0</v>
      </c>
      <c r="Q1139" s="31" t="str">
        <f t="shared" si="69"/>
        <v/>
      </c>
      <c r="R1139" s="32" t="str">
        <f>IFERROR(VLOOKUP($D1139,'Informations sur les produits'!$A$3:$B$15000,2,FALSE),"")</f>
        <v/>
      </c>
      <c r="V1139">
        <f t="shared" si="70"/>
        <v>0</v>
      </c>
      <c r="W1139">
        <f t="shared" si="71"/>
        <v>0</v>
      </c>
    </row>
    <row r="1140" spans="5:23" x14ac:dyDescent="0.25">
      <c r="E1140" s="4"/>
      <c r="F1140" s="4"/>
      <c r="G1140" s="33" t="str">
        <f>IFERROR(VLOOKUP($D1140,'Informations sur les produits'!$A$3:$H$10000,8,FALSE),"0")</f>
        <v>0</v>
      </c>
      <c r="K1140" s="4"/>
      <c r="L1140" s="33" t="str">
        <f>IFERROR(VLOOKUP($J1140,'Informations sur les produits'!$A$3:$H$10000,8,FALSE),"0")</f>
        <v>0</v>
      </c>
      <c r="N1140" s="8"/>
      <c r="O1140" s="33" t="str">
        <f>IFERROR(VLOOKUP($M1140,'Informations sur les produits'!$A$3:$H$10000,8,FALSE),"0")</f>
        <v>0</v>
      </c>
      <c r="P1140" s="33">
        <f t="shared" si="68"/>
        <v>0</v>
      </c>
      <c r="Q1140" s="31" t="str">
        <f t="shared" si="69"/>
        <v/>
      </c>
      <c r="R1140" s="32" t="str">
        <f>IFERROR(VLOOKUP($D1140,'Informations sur les produits'!$A$3:$B$15000,2,FALSE),"")</f>
        <v/>
      </c>
      <c r="V1140">
        <f t="shared" si="70"/>
        <v>0</v>
      </c>
      <c r="W1140">
        <f t="shared" si="71"/>
        <v>0</v>
      </c>
    </row>
    <row r="1141" spans="5:23" x14ac:dyDescent="0.25">
      <c r="E1141" s="4"/>
      <c r="F1141" s="4"/>
      <c r="G1141" s="33" t="str">
        <f>IFERROR(VLOOKUP($D1141,'Informations sur les produits'!$A$3:$H$10000,8,FALSE),"0")</f>
        <v>0</v>
      </c>
      <c r="K1141" s="4"/>
      <c r="L1141" s="33" t="str">
        <f>IFERROR(VLOOKUP($J1141,'Informations sur les produits'!$A$3:$H$10000,8,FALSE),"0")</f>
        <v>0</v>
      </c>
      <c r="N1141" s="8"/>
      <c r="O1141" s="33" t="str">
        <f>IFERROR(VLOOKUP($M1141,'Informations sur les produits'!$A$3:$H$10000,8,FALSE),"0")</f>
        <v>0</v>
      </c>
      <c r="P1141" s="33">
        <f t="shared" si="68"/>
        <v>0</v>
      </c>
      <c r="Q1141" s="31" t="str">
        <f t="shared" si="69"/>
        <v/>
      </c>
      <c r="R1141" s="32" t="str">
        <f>IFERROR(VLOOKUP($D1141,'Informations sur les produits'!$A$3:$B$15000,2,FALSE),"")</f>
        <v/>
      </c>
      <c r="V1141">
        <f t="shared" si="70"/>
        <v>0</v>
      </c>
      <c r="W1141">
        <f t="shared" si="71"/>
        <v>0</v>
      </c>
    </row>
    <row r="1142" spans="5:23" x14ac:dyDescent="0.25">
      <c r="E1142" s="4"/>
      <c r="F1142" s="4"/>
      <c r="G1142" s="33" t="str">
        <f>IFERROR(VLOOKUP($D1142,'Informations sur les produits'!$A$3:$H$10000,8,FALSE),"0")</f>
        <v>0</v>
      </c>
      <c r="K1142" s="4"/>
      <c r="L1142" s="33" t="str">
        <f>IFERROR(VLOOKUP($J1142,'Informations sur les produits'!$A$3:$H$10000,8,FALSE),"0")</f>
        <v>0</v>
      </c>
      <c r="N1142" s="8"/>
      <c r="O1142" s="33" t="str">
        <f>IFERROR(VLOOKUP($M1142,'Informations sur les produits'!$A$3:$H$10000,8,FALSE),"0")</f>
        <v>0</v>
      </c>
      <c r="P1142" s="33">
        <f t="shared" si="68"/>
        <v>0</v>
      </c>
      <c r="Q1142" s="31" t="str">
        <f t="shared" si="69"/>
        <v/>
      </c>
      <c r="R1142" s="32" t="str">
        <f>IFERROR(VLOOKUP($D1142,'Informations sur les produits'!$A$3:$B$15000,2,FALSE),"")</f>
        <v/>
      </c>
      <c r="V1142">
        <f t="shared" si="70"/>
        <v>0</v>
      </c>
      <c r="W1142">
        <f t="shared" si="71"/>
        <v>0</v>
      </c>
    </row>
    <row r="1143" spans="5:23" x14ac:dyDescent="0.25">
      <c r="E1143" s="4"/>
      <c r="F1143" s="4"/>
      <c r="G1143" s="33" t="str">
        <f>IFERROR(VLOOKUP($D1143,'Informations sur les produits'!$A$3:$H$10000,8,FALSE),"0")</f>
        <v>0</v>
      </c>
      <c r="K1143" s="4"/>
      <c r="L1143" s="33" t="str">
        <f>IFERROR(VLOOKUP($J1143,'Informations sur les produits'!$A$3:$H$10000,8,FALSE),"0")</f>
        <v>0</v>
      </c>
      <c r="N1143" s="8"/>
      <c r="O1143" s="33" t="str">
        <f>IFERROR(VLOOKUP($M1143,'Informations sur les produits'!$A$3:$H$10000,8,FALSE),"0")</f>
        <v>0</v>
      </c>
      <c r="P1143" s="33">
        <f t="shared" si="68"/>
        <v>0</v>
      </c>
      <c r="Q1143" s="31" t="str">
        <f t="shared" si="69"/>
        <v/>
      </c>
      <c r="R1143" s="32" t="str">
        <f>IFERROR(VLOOKUP($D1143,'Informations sur les produits'!$A$3:$B$15000,2,FALSE),"")</f>
        <v/>
      </c>
      <c r="V1143">
        <f t="shared" si="70"/>
        <v>0</v>
      </c>
      <c r="W1143">
        <f t="shared" si="71"/>
        <v>0</v>
      </c>
    </row>
    <row r="1144" spans="5:23" x14ac:dyDescent="0.25">
      <c r="E1144" s="4"/>
      <c r="F1144" s="4"/>
      <c r="G1144" s="33" t="str">
        <f>IFERROR(VLOOKUP($D1144,'Informations sur les produits'!$A$3:$H$10000,8,FALSE),"0")</f>
        <v>0</v>
      </c>
      <c r="K1144" s="4"/>
      <c r="L1144" s="33" t="str">
        <f>IFERROR(VLOOKUP($J1144,'Informations sur les produits'!$A$3:$H$10000,8,FALSE),"0")</f>
        <v>0</v>
      </c>
      <c r="N1144" s="8"/>
      <c r="O1144" s="33" t="str">
        <f>IFERROR(VLOOKUP($M1144,'Informations sur les produits'!$A$3:$H$10000,8,FALSE),"0")</f>
        <v>0</v>
      </c>
      <c r="P1144" s="33">
        <f t="shared" si="68"/>
        <v>0</v>
      </c>
      <c r="Q1144" s="31" t="str">
        <f t="shared" si="69"/>
        <v/>
      </c>
      <c r="R1144" s="32" t="str">
        <f>IFERROR(VLOOKUP($D1144,'Informations sur les produits'!$A$3:$B$15000,2,FALSE),"")</f>
        <v/>
      </c>
      <c r="V1144">
        <f t="shared" si="70"/>
        <v>0</v>
      </c>
      <c r="W1144">
        <f t="shared" si="71"/>
        <v>0</v>
      </c>
    </row>
    <row r="1145" spans="5:23" x14ac:dyDescent="0.25">
      <c r="E1145" s="4"/>
      <c r="F1145" s="4"/>
      <c r="G1145" s="33" t="str">
        <f>IFERROR(VLOOKUP($D1145,'Informations sur les produits'!$A$3:$H$10000,8,FALSE),"0")</f>
        <v>0</v>
      </c>
      <c r="K1145" s="4"/>
      <c r="L1145" s="33" t="str">
        <f>IFERROR(VLOOKUP($J1145,'Informations sur les produits'!$A$3:$H$10000,8,FALSE),"0")</f>
        <v>0</v>
      </c>
      <c r="N1145" s="8"/>
      <c r="O1145" s="33" t="str">
        <f>IFERROR(VLOOKUP($M1145,'Informations sur les produits'!$A$3:$H$10000,8,FALSE),"0")</f>
        <v>0</v>
      </c>
      <c r="P1145" s="33">
        <f t="shared" si="68"/>
        <v>0</v>
      </c>
      <c r="Q1145" s="31" t="str">
        <f t="shared" si="69"/>
        <v/>
      </c>
      <c r="R1145" s="32" t="str">
        <f>IFERROR(VLOOKUP($D1145,'Informations sur les produits'!$A$3:$B$15000,2,FALSE),"")</f>
        <v/>
      </c>
      <c r="V1145">
        <f t="shared" si="70"/>
        <v>0</v>
      </c>
      <c r="W1145">
        <f t="shared" si="71"/>
        <v>0</v>
      </c>
    </row>
    <row r="1146" spans="5:23" x14ac:dyDescent="0.25">
      <c r="E1146" s="4"/>
      <c r="F1146" s="4"/>
      <c r="G1146" s="33" t="str">
        <f>IFERROR(VLOOKUP($D1146,'Informations sur les produits'!$A$3:$H$10000,8,FALSE),"0")</f>
        <v>0</v>
      </c>
      <c r="K1146" s="4"/>
      <c r="L1146" s="33" t="str">
        <f>IFERROR(VLOOKUP($J1146,'Informations sur les produits'!$A$3:$H$10000,8,FALSE),"0")</f>
        <v>0</v>
      </c>
      <c r="N1146" s="8"/>
      <c r="O1146" s="33" t="str">
        <f>IFERROR(VLOOKUP($M1146,'Informations sur les produits'!$A$3:$H$10000,8,FALSE),"0")</f>
        <v>0</v>
      </c>
      <c r="P1146" s="33">
        <f t="shared" si="68"/>
        <v>0</v>
      </c>
      <c r="Q1146" s="31" t="str">
        <f t="shared" si="69"/>
        <v/>
      </c>
      <c r="R1146" s="32" t="str">
        <f>IFERROR(VLOOKUP($D1146,'Informations sur les produits'!$A$3:$B$15000,2,FALSE),"")</f>
        <v/>
      </c>
      <c r="V1146">
        <f t="shared" si="70"/>
        <v>0</v>
      </c>
      <c r="W1146">
        <f t="shared" si="71"/>
        <v>0</v>
      </c>
    </row>
    <row r="1147" spans="5:23" x14ac:dyDescent="0.25">
      <c r="E1147" s="4"/>
      <c r="F1147" s="4"/>
      <c r="G1147" s="33" t="str">
        <f>IFERROR(VLOOKUP($D1147,'Informations sur les produits'!$A$3:$H$10000,8,FALSE),"0")</f>
        <v>0</v>
      </c>
      <c r="K1147" s="4"/>
      <c r="L1147" s="33" t="str">
        <f>IFERROR(VLOOKUP($J1147,'Informations sur les produits'!$A$3:$H$10000,8,FALSE),"0")</f>
        <v>0</v>
      </c>
      <c r="N1147" s="8"/>
      <c r="O1147" s="33" t="str">
        <f>IFERROR(VLOOKUP($M1147,'Informations sur les produits'!$A$3:$H$10000,8,FALSE),"0")</f>
        <v>0</v>
      </c>
      <c r="P1147" s="33">
        <f t="shared" si="68"/>
        <v>0</v>
      </c>
      <c r="Q1147" s="31" t="str">
        <f t="shared" si="69"/>
        <v/>
      </c>
      <c r="R1147" s="32" t="str">
        <f>IFERROR(VLOOKUP($D1147,'Informations sur les produits'!$A$3:$B$15000,2,FALSE),"")</f>
        <v/>
      </c>
      <c r="V1147">
        <f t="shared" si="70"/>
        <v>0</v>
      </c>
      <c r="W1147">
        <f t="shared" si="71"/>
        <v>0</v>
      </c>
    </row>
    <row r="1148" spans="5:23" x14ac:dyDescent="0.25">
      <c r="E1148" s="4"/>
      <c r="F1148" s="4"/>
      <c r="G1148" s="33" t="str">
        <f>IFERROR(VLOOKUP($D1148,'Informations sur les produits'!$A$3:$H$10000,8,FALSE),"0")</f>
        <v>0</v>
      </c>
      <c r="K1148" s="4"/>
      <c r="L1148" s="33" t="str">
        <f>IFERROR(VLOOKUP($J1148,'Informations sur les produits'!$A$3:$H$10000,8,FALSE),"0")</f>
        <v>0</v>
      </c>
      <c r="N1148" s="8"/>
      <c r="O1148" s="33" t="str">
        <f>IFERROR(VLOOKUP($M1148,'Informations sur les produits'!$A$3:$H$10000,8,FALSE),"0")</f>
        <v>0</v>
      </c>
      <c r="P1148" s="33">
        <f t="shared" si="68"/>
        <v>0</v>
      </c>
      <c r="Q1148" s="31" t="str">
        <f t="shared" si="69"/>
        <v/>
      </c>
      <c r="R1148" s="32" t="str">
        <f>IFERROR(VLOOKUP($D1148,'Informations sur les produits'!$A$3:$B$15000,2,FALSE),"")</f>
        <v/>
      </c>
      <c r="V1148">
        <f t="shared" si="70"/>
        <v>0</v>
      </c>
      <c r="W1148">
        <f t="shared" si="71"/>
        <v>0</v>
      </c>
    </row>
    <row r="1149" spans="5:23" x14ac:dyDescent="0.25">
      <c r="E1149" s="4"/>
      <c r="F1149" s="4"/>
      <c r="G1149" s="33" t="str">
        <f>IFERROR(VLOOKUP($D1149,'Informations sur les produits'!$A$3:$H$10000,8,FALSE),"0")</f>
        <v>0</v>
      </c>
      <c r="K1149" s="4"/>
      <c r="L1149" s="33" t="str">
        <f>IFERROR(VLOOKUP($J1149,'Informations sur les produits'!$A$3:$H$10000,8,FALSE),"0")</f>
        <v>0</v>
      </c>
      <c r="N1149" s="8"/>
      <c r="O1149" s="33" t="str">
        <f>IFERROR(VLOOKUP($M1149,'Informations sur les produits'!$A$3:$H$10000,8,FALSE),"0")</f>
        <v>0</v>
      </c>
      <c r="P1149" s="33">
        <f t="shared" si="68"/>
        <v>0</v>
      </c>
      <c r="Q1149" s="31" t="str">
        <f t="shared" si="69"/>
        <v/>
      </c>
      <c r="R1149" s="32" t="str">
        <f>IFERROR(VLOOKUP($D1149,'Informations sur les produits'!$A$3:$B$15000,2,FALSE),"")</f>
        <v/>
      </c>
      <c r="V1149">
        <f t="shared" si="70"/>
        <v>0</v>
      </c>
      <c r="W1149">
        <f t="shared" si="71"/>
        <v>0</v>
      </c>
    </row>
    <row r="1150" spans="5:23" x14ac:dyDescent="0.25">
      <c r="E1150" s="4"/>
      <c r="F1150" s="4"/>
      <c r="G1150" s="33" t="str">
        <f>IFERROR(VLOOKUP($D1150,'Informations sur les produits'!$A$3:$H$10000,8,FALSE),"0")</f>
        <v>0</v>
      </c>
      <c r="K1150" s="4"/>
      <c r="L1150" s="33" t="str">
        <f>IFERROR(VLOOKUP($J1150,'Informations sur les produits'!$A$3:$H$10000,8,FALSE),"0")</f>
        <v>0</v>
      </c>
      <c r="N1150" s="8"/>
      <c r="O1150" s="33" t="str">
        <f>IFERROR(VLOOKUP($M1150,'Informations sur les produits'!$A$3:$H$10000,8,FALSE),"0")</f>
        <v>0</v>
      </c>
      <c r="P1150" s="33">
        <f t="shared" si="68"/>
        <v>0</v>
      </c>
      <c r="Q1150" s="31" t="str">
        <f t="shared" si="69"/>
        <v/>
      </c>
      <c r="R1150" s="32" t="str">
        <f>IFERROR(VLOOKUP($D1150,'Informations sur les produits'!$A$3:$B$15000,2,FALSE),"")</f>
        <v/>
      </c>
      <c r="V1150">
        <f t="shared" si="70"/>
        <v>0</v>
      </c>
      <c r="W1150">
        <f t="shared" si="71"/>
        <v>0</v>
      </c>
    </row>
    <row r="1151" spans="5:23" x14ac:dyDescent="0.25">
      <c r="E1151" s="4"/>
      <c r="F1151" s="4"/>
      <c r="G1151" s="33" t="str">
        <f>IFERROR(VLOOKUP($D1151,'Informations sur les produits'!$A$3:$H$10000,8,FALSE),"0")</f>
        <v>0</v>
      </c>
      <c r="K1151" s="4"/>
      <c r="L1151" s="33" t="str">
        <f>IFERROR(VLOOKUP($J1151,'Informations sur les produits'!$A$3:$H$10000,8,FALSE),"0")</f>
        <v>0</v>
      </c>
      <c r="N1151" s="8"/>
      <c r="O1151" s="33" t="str">
        <f>IFERROR(VLOOKUP($M1151,'Informations sur les produits'!$A$3:$H$10000,8,FALSE),"0")</f>
        <v>0</v>
      </c>
      <c r="P1151" s="33">
        <f t="shared" si="68"/>
        <v>0</v>
      </c>
      <c r="Q1151" s="31" t="str">
        <f t="shared" si="69"/>
        <v/>
      </c>
      <c r="R1151" s="32" t="str">
        <f>IFERROR(VLOOKUP($D1151,'Informations sur les produits'!$A$3:$B$15000,2,FALSE),"")</f>
        <v/>
      </c>
      <c r="V1151">
        <f t="shared" si="70"/>
        <v>0</v>
      </c>
      <c r="W1151">
        <f t="shared" si="71"/>
        <v>0</v>
      </c>
    </row>
    <row r="1152" spans="5:23" x14ac:dyDescent="0.25">
      <c r="E1152" s="4"/>
      <c r="F1152" s="4"/>
      <c r="G1152" s="33" t="str">
        <f>IFERROR(VLOOKUP($D1152,'Informations sur les produits'!$A$3:$H$10000,8,FALSE),"0")</f>
        <v>0</v>
      </c>
      <c r="K1152" s="4"/>
      <c r="L1152" s="33" t="str">
        <f>IFERROR(VLOOKUP($J1152,'Informations sur les produits'!$A$3:$H$10000,8,FALSE),"0")</f>
        <v>0</v>
      </c>
      <c r="N1152" s="8"/>
      <c r="O1152" s="33" t="str">
        <f>IFERROR(VLOOKUP($M1152,'Informations sur les produits'!$A$3:$H$10000,8,FALSE),"0")</f>
        <v>0</v>
      </c>
      <c r="P1152" s="33">
        <f t="shared" si="68"/>
        <v>0</v>
      </c>
      <c r="Q1152" s="31" t="str">
        <f t="shared" si="69"/>
        <v/>
      </c>
      <c r="R1152" s="32" t="str">
        <f>IFERROR(VLOOKUP($D1152,'Informations sur les produits'!$A$3:$B$15000,2,FALSE),"")</f>
        <v/>
      </c>
      <c r="V1152">
        <f t="shared" si="70"/>
        <v>0</v>
      </c>
      <c r="W1152">
        <f t="shared" si="71"/>
        <v>0</v>
      </c>
    </row>
    <row r="1153" spans="5:23" x14ac:dyDescent="0.25">
      <c r="E1153" s="4"/>
      <c r="F1153" s="4"/>
      <c r="G1153" s="33" t="str">
        <f>IFERROR(VLOOKUP($D1153,'Informations sur les produits'!$A$3:$H$10000,8,FALSE),"0")</f>
        <v>0</v>
      </c>
      <c r="K1153" s="4"/>
      <c r="L1153" s="33" t="str">
        <f>IFERROR(VLOOKUP($J1153,'Informations sur les produits'!$A$3:$H$10000,8,FALSE),"0")</f>
        <v>0</v>
      </c>
      <c r="N1153" s="8"/>
      <c r="O1153" s="33" t="str">
        <f>IFERROR(VLOOKUP($M1153,'Informations sur les produits'!$A$3:$H$10000,8,FALSE),"0")</f>
        <v>0</v>
      </c>
      <c r="P1153" s="33">
        <f t="shared" si="68"/>
        <v>0</v>
      </c>
      <c r="Q1153" s="31" t="str">
        <f t="shared" si="69"/>
        <v/>
      </c>
      <c r="R1153" s="32" t="str">
        <f>IFERROR(VLOOKUP($D1153,'Informations sur les produits'!$A$3:$B$15000,2,FALSE),"")</f>
        <v/>
      </c>
      <c r="V1153">
        <f t="shared" si="70"/>
        <v>0</v>
      </c>
      <c r="W1153">
        <f t="shared" si="71"/>
        <v>0</v>
      </c>
    </row>
    <row r="1154" spans="5:23" x14ac:dyDescent="0.25">
      <c r="E1154" s="4"/>
      <c r="F1154" s="4"/>
      <c r="G1154" s="33" t="str">
        <f>IFERROR(VLOOKUP($D1154,'Informations sur les produits'!$A$3:$H$10000,8,FALSE),"0")</f>
        <v>0</v>
      </c>
      <c r="K1154" s="4"/>
      <c r="L1154" s="33" t="str">
        <f>IFERROR(VLOOKUP($J1154,'Informations sur les produits'!$A$3:$H$10000,8,FALSE),"0")</f>
        <v>0</v>
      </c>
      <c r="N1154" s="8"/>
      <c r="O1154" s="33" t="str">
        <f>IFERROR(VLOOKUP($M1154,'Informations sur les produits'!$A$3:$H$10000,8,FALSE),"0")</f>
        <v>0</v>
      </c>
      <c r="P1154" s="33">
        <f t="shared" si="68"/>
        <v>0</v>
      </c>
      <c r="Q1154" s="31" t="str">
        <f t="shared" si="69"/>
        <v/>
      </c>
      <c r="R1154" s="32" t="str">
        <f>IFERROR(VLOOKUP($D1154,'Informations sur les produits'!$A$3:$B$15000,2,FALSE),"")</f>
        <v/>
      </c>
      <c r="V1154">
        <f t="shared" si="70"/>
        <v>0</v>
      </c>
      <c r="W1154">
        <f t="shared" si="71"/>
        <v>0</v>
      </c>
    </row>
    <row r="1155" spans="5:23" x14ac:dyDescent="0.25">
      <c r="E1155" s="4"/>
      <c r="F1155" s="4"/>
      <c r="G1155" s="33" t="str">
        <f>IFERROR(VLOOKUP($D1155,'Informations sur les produits'!$A$3:$H$10000,8,FALSE),"0")</f>
        <v>0</v>
      </c>
      <c r="K1155" s="4"/>
      <c r="L1155" s="33" t="str">
        <f>IFERROR(VLOOKUP($J1155,'Informations sur les produits'!$A$3:$H$10000,8,FALSE),"0")</f>
        <v>0</v>
      </c>
      <c r="N1155" s="8"/>
      <c r="O1155" s="33" t="str">
        <f>IFERROR(VLOOKUP($M1155,'Informations sur les produits'!$A$3:$H$10000,8,FALSE),"0")</f>
        <v>0</v>
      </c>
      <c r="P1155" s="33">
        <f t="shared" si="68"/>
        <v>0</v>
      </c>
      <c r="Q1155" s="31" t="str">
        <f t="shared" si="69"/>
        <v/>
      </c>
      <c r="R1155" s="32" t="str">
        <f>IFERROR(VLOOKUP($D1155,'Informations sur les produits'!$A$3:$B$15000,2,FALSE),"")</f>
        <v/>
      </c>
      <c r="V1155">
        <f t="shared" si="70"/>
        <v>0</v>
      </c>
      <c r="W1155">
        <f t="shared" si="71"/>
        <v>0</v>
      </c>
    </row>
    <row r="1156" spans="5:23" x14ac:dyDescent="0.25">
      <c r="E1156" s="4"/>
      <c r="F1156" s="4"/>
      <c r="G1156" s="33" t="str">
        <f>IFERROR(VLOOKUP($D1156,'Informations sur les produits'!$A$3:$H$10000,8,FALSE),"0")</f>
        <v>0</v>
      </c>
      <c r="K1156" s="4"/>
      <c r="L1156" s="33" t="str">
        <f>IFERROR(VLOOKUP($J1156,'Informations sur les produits'!$A$3:$H$10000,8,FALSE),"0")</f>
        <v>0</v>
      </c>
      <c r="N1156" s="8"/>
      <c r="O1156" s="33" t="str">
        <f>IFERROR(VLOOKUP($M1156,'Informations sur les produits'!$A$3:$H$10000,8,FALSE),"0")</f>
        <v>0</v>
      </c>
      <c r="P1156" s="33">
        <f t="shared" ref="P1156:P1219" si="72">IFERROR((($E1156-$F1156)*$G1156+$K1156*$L1156+$N1156*$O1156),"")</f>
        <v>0</v>
      </c>
      <c r="Q1156" s="31" t="str">
        <f t="shared" ref="Q1156:Q1219" si="73">IFERROR((((($E1156-$F1156)*$G1156+$K1156*$L1156+$N1156*$O1156)*1000)/(($E1156-$F1156)+$K1156+$N1156)),"")</f>
        <v/>
      </c>
      <c r="R1156" s="32" t="str">
        <f>IFERROR(VLOOKUP($D1156,'Informations sur les produits'!$A$3:$B$15000,2,FALSE),"")</f>
        <v/>
      </c>
      <c r="V1156">
        <f t="shared" ref="V1156:V1219" si="74">IFERROR(P1156*1000,"")</f>
        <v>0</v>
      </c>
      <c r="W1156">
        <f t="shared" ref="W1156:W1219" si="75">IFERROR(($E1156-$F1156)+$K1156+$N1156,"")</f>
        <v>0</v>
      </c>
    </row>
    <row r="1157" spans="5:23" x14ac:dyDescent="0.25">
      <c r="E1157" s="4"/>
      <c r="F1157" s="4"/>
      <c r="G1157" s="33" t="str">
        <f>IFERROR(VLOOKUP($D1157,'Informations sur les produits'!$A$3:$H$10000,8,FALSE),"0")</f>
        <v>0</v>
      </c>
      <c r="K1157" s="4"/>
      <c r="L1157" s="33" t="str">
        <f>IFERROR(VLOOKUP($J1157,'Informations sur les produits'!$A$3:$H$10000,8,FALSE),"0")</f>
        <v>0</v>
      </c>
      <c r="N1157" s="8"/>
      <c r="O1157" s="33" t="str">
        <f>IFERROR(VLOOKUP($M1157,'Informations sur les produits'!$A$3:$H$10000,8,FALSE),"0")</f>
        <v>0</v>
      </c>
      <c r="P1157" s="33">
        <f t="shared" si="72"/>
        <v>0</v>
      </c>
      <c r="Q1157" s="31" t="str">
        <f t="shared" si="73"/>
        <v/>
      </c>
      <c r="R1157" s="32" t="str">
        <f>IFERROR(VLOOKUP($D1157,'Informations sur les produits'!$A$3:$B$15000,2,FALSE),"")</f>
        <v/>
      </c>
      <c r="V1157">
        <f t="shared" si="74"/>
        <v>0</v>
      </c>
      <c r="W1157">
        <f t="shared" si="75"/>
        <v>0</v>
      </c>
    </row>
    <row r="1158" spans="5:23" x14ac:dyDescent="0.25">
      <c r="E1158" s="4"/>
      <c r="F1158" s="4"/>
      <c r="G1158" s="33" t="str">
        <f>IFERROR(VLOOKUP($D1158,'Informations sur les produits'!$A$3:$H$10000,8,FALSE),"0")</f>
        <v>0</v>
      </c>
      <c r="K1158" s="4"/>
      <c r="L1158" s="33" t="str">
        <f>IFERROR(VLOOKUP($J1158,'Informations sur les produits'!$A$3:$H$10000,8,FALSE),"0")</f>
        <v>0</v>
      </c>
      <c r="N1158" s="8"/>
      <c r="O1158" s="33" t="str">
        <f>IFERROR(VLOOKUP($M1158,'Informations sur les produits'!$A$3:$H$10000,8,FALSE),"0")</f>
        <v>0</v>
      </c>
      <c r="P1158" s="33">
        <f t="shared" si="72"/>
        <v>0</v>
      </c>
      <c r="Q1158" s="31" t="str">
        <f t="shared" si="73"/>
        <v/>
      </c>
      <c r="R1158" s="32" t="str">
        <f>IFERROR(VLOOKUP($D1158,'Informations sur les produits'!$A$3:$B$15000,2,FALSE),"")</f>
        <v/>
      </c>
      <c r="V1158">
        <f t="shared" si="74"/>
        <v>0</v>
      </c>
      <c r="W1158">
        <f t="shared" si="75"/>
        <v>0</v>
      </c>
    </row>
    <row r="1159" spans="5:23" x14ac:dyDescent="0.25">
      <c r="E1159" s="4"/>
      <c r="F1159" s="4"/>
      <c r="G1159" s="33" t="str">
        <f>IFERROR(VLOOKUP($D1159,'Informations sur les produits'!$A$3:$H$10000,8,FALSE),"0")</f>
        <v>0</v>
      </c>
      <c r="K1159" s="4"/>
      <c r="L1159" s="33" t="str">
        <f>IFERROR(VLOOKUP($J1159,'Informations sur les produits'!$A$3:$H$10000,8,FALSE),"0")</f>
        <v>0</v>
      </c>
      <c r="N1159" s="8"/>
      <c r="O1159" s="33" t="str">
        <f>IFERROR(VLOOKUP($M1159,'Informations sur les produits'!$A$3:$H$10000,8,FALSE),"0")</f>
        <v>0</v>
      </c>
      <c r="P1159" s="33">
        <f t="shared" si="72"/>
        <v>0</v>
      </c>
      <c r="Q1159" s="31" t="str">
        <f t="shared" si="73"/>
        <v/>
      </c>
      <c r="R1159" s="32" t="str">
        <f>IFERROR(VLOOKUP($D1159,'Informations sur les produits'!$A$3:$B$15000,2,FALSE),"")</f>
        <v/>
      </c>
      <c r="V1159">
        <f t="shared" si="74"/>
        <v>0</v>
      </c>
      <c r="W1159">
        <f t="shared" si="75"/>
        <v>0</v>
      </c>
    </row>
    <row r="1160" spans="5:23" x14ac:dyDescent="0.25">
      <c r="E1160" s="4"/>
      <c r="F1160" s="4"/>
      <c r="G1160" s="33" t="str">
        <f>IFERROR(VLOOKUP($D1160,'Informations sur les produits'!$A$3:$H$10000,8,FALSE),"0")</f>
        <v>0</v>
      </c>
      <c r="K1160" s="4"/>
      <c r="L1160" s="33" t="str">
        <f>IFERROR(VLOOKUP($J1160,'Informations sur les produits'!$A$3:$H$10000,8,FALSE),"0")</f>
        <v>0</v>
      </c>
      <c r="N1160" s="8"/>
      <c r="O1160" s="33" t="str">
        <f>IFERROR(VLOOKUP($M1160,'Informations sur les produits'!$A$3:$H$10000,8,FALSE),"0")</f>
        <v>0</v>
      </c>
      <c r="P1160" s="33">
        <f t="shared" si="72"/>
        <v>0</v>
      </c>
      <c r="Q1160" s="31" t="str">
        <f t="shared" si="73"/>
        <v/>
      </c>
      <c r="R1160" s="32" t="str">
        <f>IFERROR(VLOOKUP($D1160,'Informations sur les produits'!$A$3:$B$15000,2,FALSE),"")</f>
        <v/>
      </c>
      <c r="V1160">
        <f t="shared" si="74"/>
        <v>0</v>
      </c>
      <c r="W1160">
        <f t="shared" si="75"/>
        <v>0</v>
      </c>
    </row>
    <row r="1161" spans="5:23" x14ac:dyDescent="0.25">
      <c r="E1161" s="4"/>
      <c r="F1161" s="4"/>
      <c r="G1161" s="33" t="str">
        <f>IFERROR(VLOOKUP($D1161,'Informations sur les produits'!$A$3:$H$10000,8,FALSE),"0")</f>
        <v>0</v>
      </c>
      <c r="K1161" s="4"/>
      <c r="L1161" s="33" t="str">
        <f>IFERROR(VLOOKUP($J1161,'Informations sur les produits'!$A$3:$H$10000,8,FALSE),"0")</f>
        <v>0</v>
      </c>
      <c r="N1161" s="8"/>
      <c r="O1161" s="33" t="str">
        <f>IFERROR(VLOOKUP($M1161,'Informations sur les produits'!$A$3:$H$10000,8,FALSE),"0")</f>
        <v>0</v>
      </c>
      <c r="P1161" s="33">
        <f t="shared" si="72"/>
        <v>0</v>
      </c>
      <c r="Q1161" s="31" t="str">
        <f t="shared" si="73"/>
        <v/>
      </c>
      <c r="R1161" s="32" t="str">
        <f>IFERROR(VLOOKUP($D1161,'Informations sur les produits'!$A$3:$B$15000,2,FALSE),"")</f>
        <v/>
      </c>
      <c r="V1161">
        <f t="shared" si="74"/>
        <v>0</v>
      </c>
      <c r="W1161">
        <f t="shared" si="75"/>
        <v>0</v>
      </c>
    </row>
    <row r="1162" spans="5:23" x14ac:dyDescent="0.25">
      <c r="E1162" s="4"/>
      <c r="F1162" s="4"/>
      <c r="G1162" s="33" t="str">
        <f>IFERROR(VLOOKUP($D1162,'Informations sur les produits'!$A$3:$H$10000,8,FALSE),"0")</f>
        <v>0</v>
      </c>
      <c r="K1162" s="4"/>
      <c r="L1162" s="33" t="str">
        <f>IFERROR(VLOOKUP($J1162,'Informations sur les produits'!$A$3:$H$10000,8,FALSE),"0")</f>
        <v>0</v>
      </c>
      <c r="N1162" s="8"/>
      <c r="O1162" s="33" t="str">
        <f>IFERROR(VLOOKUP($M1162,'Informations sur les produits'!$A$3:$H$10000,8,FALSE),"0")</f>
        <v>0</v>
      </c>
      <c r="P1162" s="33">
        <f t="shared" si="72"/>
        <v>0</v>
      </c>
      <c r="Q1162" s="31" t="str">
        <f t="shared" si="73"/>
        <v/>
      </c>
      <c r="R1162" s="32" t="str">
        <f>IFERROR(VLOOKUP($D1162,'Informations sur les produits'!$A$3:$B$15000,2,FALSE),"")</f>
        <v/>
      </c>
      <c r="V1162">
        <f t="shared" si="74"/>
        <v>0</v>
      </c>
      <c r="W1162">
        <f t="shared" si="75"/>
        <v>0</v>
      </c>
    </row>
    <row r="1163" spans="5:23" x14ac:dyDescent="0.25">
      <c r="E1163" s="4"/>
      <c r="F1163" s="4"/>
      <c r="G1163" s="33" t="str">
        <f>IFERROR(VLOOKUP($D1163,'Informations sur les produits'!$A$3:$H$10000,8,FALSE),"0")</f>
        <v>0</v>
      </c>
      <c r="K1163" s="4"/>
      <c r="L1163" s="33" t="str">
        <f>IFERROR(VLOOKUP($J1163,'Informations sur les produits'!$A$3:$H$10000,8,FALSE),"0")</f>
        <v>0</v>
      </c>
      <c r="N1163" s="8"/>
      <c r="O1163" s="33" t="str">
        <f>IFERROR(VLOOKUP($M1163,'Informations sur les produits'!$A$3:$H$10000,8,FALSE),"0")</f>
        <v>0</v>
      </c>
      <c r="P1163" s="33">
        <f t="shared" si="72"/>
        <v>0</v>
      </c>
      <c r="Q1163" s="31" t="str">
        <f t="shared" si="73"/>
        <v/>
      </c>
      <c r="R1163" s="32" t="str">
        <f>IFERROR(VLOOKUP($D1163,'Informations sur les produits'!$A$3:$B$15000,2,FALSE),"")</f>
        <v/>
      </c>
      <c r="V1163">
        <f t="shared" si="74"/>
        <v>0</v>
      </c>
      <c r="W1163">
        <f t="shared" si="75"/>
        <v>0</v>
      </c>
    </row>
    <row r="1164" spans="5:23" x14ac:dyDescent="0.25">
      <c r="E1164" s="4"/>
      <c r="F1164" s="4"/>
      <c r="G1164" s="33" t="str">
        <f>IFERROR(VLOOKUP($D1164,'Informations sur les produits'!$A$3:$H$10000,8,FALSE),"0")</f>
        <v>0</v>
      </c>
      <c r="K1164" s="4"/>
      <c r="L1164" s="33" t="str">
        <f>IFERROR(VLOOKUP($J1164,'Informations sur les produits'!$A$3:$H$10000,8,FALSE),"0")</f>
        <v>0</v>
      </c>
      <c r="N1164" s="8"/>
      <c r="O1164" s="33" t="str">
        <f>IFERROR(VLOOKUP($M1164,'Informations sur les produits'!$A$3:$H$10000,8,FALSE),"0")</f>
        <v>0</v>
      </c>
      <c r="P1164" s="33">
        <f t="shared" si="72"/>
        <v>0</v>
      </c>
      <c r="Q1164" s="31" t="str">
        <f t="shared" si="73"/>
        <v/>
      </c>
      <c r="R1164" s="32" t="str">
        <f>IFERROR(VLOOKUP($D1164,'Informations sur les produits'!$A$3:$B$15000,2,FALSE),"")</f>
        <v/>
      </c>
      <c r="V1164">
        <f t="shared" si="74"/>
        <v>0</v>
      </c>
      <c r="W1164">
        <f t="shared" si="75"/>
        <v>0</v>
      </c>
    </row>
    <row r="1165" spans="5:23" x14ac:dyDescent="0.25">
      <c r="E1165" s="4"/>
      <c r="F1165" s="4"/>
      <c r="G1165" s="33" t="str">
        <f>IFERROR(VLOOKUP($D1165,'Informations sur les produits'!$A$3:$H$10000,8,FALSE),"0")</f>
        <v>0</v>
      </c>
      <c r="K1165" s="4"/>
      <c r="L1165" s="33" t="str">
        <f>IFERROR(VLOOKUP($J1165,'Informations sur les produits'!$A$3:$H$10000,8,FALSE),"0")</f>
        <v>0</v>
      </c>
      <c r="N1165" s="8"/>
      <c r="O1165" s="33" t="str">
        <f>IFERROR(VLOOKUP($M1165,'Informations sur les produits'!$A$3:$H$10000,8,FALSE),"0")</f>
        <v>0</v>
      </c>
      <c r="P1165" s="33">
        <f t="shared" si="72"/>
        <v>0</v>
      </c>
      <c r="Q1165" s="31" t="str">
        <f t="shared" si="73"/>
        <v/>
      </c>
      <c r="R1165" s="32" t="str">
        <f>IFERROR(VLOOKUP($D1165,'Informations sur les produits'!$A$3:$B$15000,2,FALSE),"")</f>
        <v/>
      </c>
      <c r="V1165">
        <f t="shared" si="74"/>
        <v>0</v>
      </c>
      <c r="W1165">
        <f t="shared" si="75"/>
        <v>0</v>
      </c>
    </row>
    <row r="1166" spans="5:23" x14ac:dyDescent="0.25">
      <c r="E1166" s="4"/>
      <c r="F1166" s="4"/>
      <c r="G1166" s="33" t="str">
        <f>IFERROR(VLOOKUP($D1166,'Informations sur les produits'!$A$3:$H$10000,8,FALSE),"0")</f>
        <v>0</v>
      </c>
      <c r="K1166" s="4"/>
      <c r="L1166" s="33" t="str">
        <f>IFERROR(VLOOKUP($J1166,'Informations sur les produits'!$A$3:$H$10000,8,FALSE),"0")</f>
        <v>0</v>
      </c>
      <c r="N1166" s="8"/>
      <c r="O1166" s="33" t="str">
        <f>IFERROR(VLOOKUP($M1166,'Informations sur les produits'!$A$3:$H$10000,8,FALSE),"0")</f>
        <v>0</v>
      </c>
      <c r="P1166" s="33">
        <f t="shared" si="72"/>
        <v>0</v>
      </c>
      <c r="Q1166" s="31" t="str">
        <f t="shared" si="73"/>
        <v/>
      </c>
      <c r="R1166" s="32" t="str">
        <f>IFERROR(VLOOKUP($D1166,'Informations sur les produits'!$A$3:$B$15000,2,FALSE),"")</f>
        <v/>
      </c>
      <c r="V1166">
        <f t="shared" si="74"/>
        <v>0</v>
      </c>
      <c r="W1166">
        <f t="shared" si="75"/>
        <v>0</v>
      </c>
    </row>
    <row r="1167" spans="5:23" x14ac:dyDescent="0.25">
      <c r="E1167" s="4"/>
      <c r="F1167" s="4"/>
      <c r="G1167" s="33" t="str">
        <f>IFERROR(VLOOKUP($D1167,'Informations sur les produits'!$A$3:$H$10000,8,FALSE),"0")</f>
        <v>0</v>
      </c>
      <c r="K1167" s="4"/>
      <c r="L1167" s="33" t="str">
        <f>IFERROR(VLOOKUP($J1167,'Informations sur les produits'!$A$3:$H$10000,8,FALSE),"0")</f>
        <v>0</v>
      </c>
      <c r="N1167" s="8"/>
      <c r="O1167" s="33" t="str">
        <f>IFERROR(VLOOKUP($M1167,'Informations sur les produits'!$A$3:$H$10000,8,FALSE),"0")</f>
        <v>0</v>
      </c>
      <c r="P1167" s="33">
        <f t="shared" si="72"/>
        <v>0</v>
      </c>
      <c r="Q1167" s="31" t="str">
        <f t="shared" si="73"/>
        <v/>
      </c>
      <c r="R1167" s="32" t="str">
        <f>IFERROR(VLOOKUP($D1167,'Informations sur les produits'!$A$3:$B$15000,2,FALSE),"")</f>
        <v/>
      </c>
      <c r="V1167">
        <f t="shared" si="74"/>
        <v>0</v>
      </c>
      <c r="W1167">
        <f t="shared" si="75"/>
        <v>0</v>
      </c>
    </row>
    <row r="1168" spans="5:23" x14ac:dyDescent="0.25">
      <c r="E1168" s="4"/>
      <c r="F1168" s="4"/>
      <c r="G1168" s="33" t="str">
        <f>IFERROR(VLOOKUP($D1168,'Informations sur les produits'!$A$3:$H$10000,8,FALSE),"0")</f>
        <v>0</v>
      </c>
      <c r="K1168" s="4"/>
      <c r="L1168" s="33" t="str">
        <f>IFERROR(VLOOKUP($J1168,'Informations sur les produits'!$A$3:$H$10000,8,FALSE),"0")</f>
        <v>0</v>
      </c>
      <c r="N1168" s="8"/>
      <c r="O1168" s="33" t="str">
        <f>IFERROR(VLOOKUP($M1168,'Informations sur les produits'!$A$3:$H$10000,8,FALSE),"0")</f>
        <v>0</v>
      </c>
      <c r="P1168" s="33">
        <f t="shared" si="72"/>
        <v>0</v>
      </c>
      <c r="Q1168" s="31" t="str">
        <f t="shared" si="73"/>
        <v/>
      </c>
      <c r="R1168" s="32" t="str">
        <f>IFERROR(VLOOKUP($D1168,'Informations sur les produits'!$A$3:$B$15000,2,FALSE),"")</f>
        <v/>
      </c>
      <c r="V1168">
        <f t="shared" si="74"/>
        <v>0</v>
      </c>
      <c r="W1168">
        <f t="shared" si="75"/>
        <v>0</v>
      </c>
    </row>
    <row r="1169" spans="5:23" x14ac:dyDescent="0.25">
      <c r="E1169" s="4"/>
      <c r="F1169" s="4"/>
      <c r="G1169" s="33" t="str">
        <f>IFERROR(VLOOKUP($D1169,'Informations sur les produits'!$A$3:$H$10000,8,FALSE),"0")</f>
        <v>0</v>
      </c>
      <c r="K1169" s="4"/>
      <c r="L1169" s="33" t="str">
        <f>IFERROR(VLOOKUP($J1169,'Informations sur les produits'!$A$3:$H$10000,8,FALSE),"0")</f>
        <v>0</v>
      </c>
      <c r="N1169" s="8"/>
      <c r="O1169" s="33" t="str">
        <f>IFERROR(VLOOKUP($M1169,'Informations sur les produits'!$A$3:$H$10000,8,FALSE),"0")</f>
        <v>0</v>
      </c>
      <c r="P1169" s="33">
        <f t="shared" si="72"/>
        <v>0</v>
      </c>
      <c r="Q1169" s="31" t="str">
        <f t="shared" si="73"/>
        <v/>
      </c>
      <c r="R1169" s="32" t="str">
        <f>IFERROR(VLOOKUP($D1169,'Informations sur les produits'!$A$3:$B$15000,2,FALSE),"")</f>
        <v/>
      </c>
      <c r="V1169">
        <f t="shared" si="74"/>
        <v>0</v>
      </c>
      <c r="W1169">
        <f t="shared" si="75"/>
        <v>0</v>
      </c>
    </row>
    <row r="1170" spans="5:23" x14ac:dyDescent="0.25">
      <c r="E1170" s="4"/>
      <c r="F1170" s="4"/>
      <c r="G1170" s="33" t="str">
        <f>IFERROR(VLOOKUP($D1170,'Informations sur les produits'!$A$3:$H$10000,8,FALSE),"0")</f>
        <v>0</v>
      </c>
      <c r="K1170" s="4"/>
      <c r="L1170" s="33" t="str">
        <f>IFERROR(VLOOKUP($J1170,'Informations sur les produits'!$A$3:$H$10000,8,FALSE),"0")</f>
        <v>0</v>
      </c>
      <c r="N1170" s="8"/>
      <c r="O1170" s="33" t="str">
        <f>IFERROR(VLOOKUP($M1170,'Informations sur les produits'!$A$3:$H$10000,8,FALSE),"0")</f>
        <v>0</v>
      </c>
      <c r="P1170" s="33">
        <f t="shared" si="72"/>
        <v>0</v>
      </c>
      <c r="Q1170" s="31" t="str">
        <f t="shared" si="73"/>
        <v/>
      </c>
      <c r="R1170" s="32" t="str">
        <f>IFERROR(VLOOKUP($D1170,'Informations sur les produits'!$A$3:$B$15000,2,FALSE),"")</f>
        <v/>
      </c>
      <c r="V1170">
        <f t="shared" si="74"/>
        <v>0</v>
      </c>
      <c r="W1170">
        <f t="shared" si="75"/>
        <v>0</v>
      </c>
    </row>
    <row r="1171" spans="5:23" x14ac:dyDescent="0.25">
      <c r="E1171" s="4"/>
      <c r="F1171" s="4"/>
      <c r="G1171" s="33" t="str">
        <f>IFERROR(VLOOKUP($D1171,'Informations sur les produits'!$A$3:$H$10000,8,FALSE),"0")</f>
        <v>0</v>
      </c>
      <c r="K1171" s="4"/>
      <c r="L1171" s="33" t="str">
        <f>IFERROR(VLOOKUP($J1171,'Informations sur les produits'!$A$3:$H$10000,8,FALSE),"0")</f>
        <v>0</v>
      </c>
      <c r="N1171" s="8"/>
      <c r="O1171" s="33" t="str">
        <f>IFERROR(VLOOKUP($M1171,'Informations sur les produits'!$A$3:$H$10000,8,FALSE),"0")</f>
        <v>0</v>
      </c>
      <c r="P1171" s="33">
        <f t="shared" si="72"/>
        <v>0</v>
      </c>
      <c r="Q1171" s="31" t="str">
        <f t="shared" si="73"/>
        <v/>
      </c>
      <c r="R1171" s="32" t="str">
        <f>IFERROR(VLOOKUP($D1171,'Informations sur les produits'!$A$3:$B$15000,2,FALSE),"")</f>
        <v/>
      </c>
      <c r="V1171">
        <f t="shared" si="74"/>
        <v>0</v>
      </c>
      <c r="W1171">
        <f t="shared" si="75"/>
        <v>0</v>
      </c>
    </row>
    <row r="1172" spans="5:23" x14ac:dyDescent="0.25">
      <c r="E1172" s="4"/>
      <c r="F1172" s="4"/>
      <c r="G1172" s="33" t="str">
        <f>IFERROR(VLOOKUP($D1172,'Informations sur les produits'!$A$3:$H$10000,8,FALSE),"0")</f>
        <v>0</v>
      </c>
      <c r="K1172" s="4"/>
      <c r="L1172" s="33" t="str">
        <f>IFERROR(VLOOKUP($J1172,'Informations sur les produits'!$A$3:$H$10000,8,FALSE),"0")</f>
        <v>0</v>
      </c>
      <c r="N1172" s="8"/>
      <c r="O1172" s="33" t="str">
        <f>IFERROR(VLOOKUP($M1172,'Informations sur les produits'!$A$3:$H$10000,8,FALSE),"0")</f>
        <v>0</v>
      </c>
      <c r="P1172" s="33">
        <f t="shared" si="72"/>
        <v>0</v>
      </c>
      <c r="Q1172" s="31" t="str">
        <f t="shared" si="73"/>
        <v/>
      </c>
      <c r="R1172" s="32" t="str">
        <f>IFERROR(VLOOKUP($D1172,'Informations sur les produits'!$A$3:$B$15000,2,FALSE),"")</f>
        <v/>
      </c>
      <c r="V1172">
        <f t="shared" si="74"/>
        <v>0</v>
      </c>
      <c r="W1172">
        <f t="shared" si="75"/>
        <v>0</v>
      </c>
    </row>
    <row r="1173" spans="5:23" x14ac:dyDescent="0.25">
      <c r="E1173" s="4"/>
      <c r="F1173" s="4"/>
      <c r="G1173" s="33" t="str">
        <f>IFERROR(VLOOKUP($D1173,'Informations sur les produits'!$A$3:$H$10000,8,FALSE),"0")</f>
        <v>0</v>
      </c>
      <c r="K1173" s="4"/>
      <c r="L1173" s="33" t="str">
        <f>IFERROR(VLOOKUP($J1173,'Informations sur les produits'!$A$3:$H$10000,8,FALSE),"0")</f>
        <v>0</v>
      </c>
      <c r="N1173" s="8"/>
      <c r="O1173" s="33" t="str">
        <f>IFERROR(VLOOKUP($M1173,'Informations sur les produits'!$A$3:$H$10000,8,FALSE),"0")</f>
        <v>0</v>
      </c>
      <c r="P1173" s="33">
        <f t="shared" si="72"/>
        <v>0</v>
      </c>
      <c r="Q1173" s="31" t="str">
        <f t="shared" si="73"/>
        <v/>
      </c>
      <c r="R1173" s="32" t="str">
        <f>IFERROR(VLOOKUP($D1173,'Informations sur les produits'!$A$3:$B$15000,2,FALSE),"")</f>
        <v/>
      </c>
      <c r="V1173">
        <f t="shared" si="74"/>
        <v>0</v>
      </c>
      <c r="W1173">
        <f t="shared" si="75"/>
        <v>0</v>
      </c>
    </row>
    <row r="1174" spans="5:23" x14ac:dyDescent="0.25">
      <c r="E1174" s="4"/>
      <c r="F1174" s="4"/>
      <c r="G1174" s="33" t="str">
        <f>IFERROR(VLOOKUP($D1174,'Informations sur les produits'!$A$3:$H$10000,8,FALSE),"0")</f>
        <v>0</v>
      </c>
      <c r="K1174" s="4"/>
      <c r="L1174" s="33" t="str">
        <f>IFERROR(VLOOKUP($J1174,'Informations sur les produits'!$A$3:$H$10000,8,FALSE),"0")</f>
        <v>0</v>
      </c>
      <c r="N1174" s="8"/>
      <c r="O1174" s="33" t="str">
        <f>IFERROR(VLOOKUP($M1174,'Informations sur les produits'!$A$3:$H$10000,8,FALSE),"0")</f>
        <v>0</v>
      </c>
      <c r="P1174" s="33">
        <f t="shared" si="72"/>
        <v>0</v>
      </c>
      <c r="Q1174" s="31" t="str">
        <f t="shared" si="73"/>
        <v/>
      </c>
      <c r="R1174" s="32" t="str">
        <f>IFERROR(VLOOKUP($D1174,'Informations sur les produits'!$A$3:$B$15000,2,FALSE),"")</f>
        <v/>
      </c>
      <c r="V1174">
        <f t="shared" si="74"/>
        <v>0</v>
      </c>
      <c r="W1174">
        <f t="shared" si="75"/>
        <v>0</v>
      </c>
    </row>
    <row r="1175" spans="5:23" x14ac:dyDescent="0.25">
      <c r="E1175" s="4"/>
      <c r="F1175" s="4"/>
      <c r="G1175" s="33" t="str">
        <f>IFERROR(VLOOKUP($D1175,'Informations sur les produits'!$A$3:$H$10000,8,FALSE),"0")</f>
        <v>0</v>
      </c>
      <c r="K1175" s="4"/>
      <c r="L1175" s="33" t="str">
        <f>IFERROR(VLOOKUP($J1175,'Informations sur les produits'!$A$3:$H$10000,8,FALSE),"0")</f>
        <v>0</v>
      </c>
      <c r="N1175" s="8"/>
      <c r="O1175" s="33" t="str">
        <f>IFERROR(VLOOKUP($M1175,'Informations sur les produits'!$A$3:$H$10000,8,FALSE),"0")</f>
        <v>0</v>
      </c>
      <c r="P1175" s="33">
        <f t="shared" si="72"/>
        <v>0</v>
      </c>
      <c r="Q1175" s="31" t="str">
        <f t="shared" si="73"/>
        <v/>
      </c>
      <c r="R1175" s="32" t="str">
        <f>IFERROR(VLOOKUP($D1175,'Informations sur les produits'!$A$3:$B$15000,2,FALSE),"")</f>
        <v/>
      </c>
      <c r="V1175">
        <f t="shared" si="74"/>
        <v>0</v>
      </c>
      <c r="W1175">
        <f t="shared" si="75"/>
        <v>0</v>
      </c>
    </row>
    <row r="1176" spans="5:23" x14ac:dyDescent="0.25">
      <c r="E1176" s="4"/>
      <c r="F1176" s="4"/>
      <c r="G1176" s="33" t="str">
        <f>IFERROR(VLOOKUP($D1176,'Informations sur les produits'!$A$3:$H$10000,8,FALSE),"0")</f>
        <v>0</v>
      </c>
      <c r="K1176" s="4"/>
      <c r="L1176" s="33" t="str">
        <f>IFERROR(VLOOKUP($J1176,'Informations sur les produits'!$A$3:$H$10000,8,FALSE),"0")</f>
        <v>0</v>
      </c>
      <c r="N1176" s="8"/>
      <c r="O1176" s="33" t="str">
        <f>IFERROR(VLOOKUP($M1176,'Informations sur les produits'!$A$3:$H$10000,8,FALSE),"0")</f>
        <v>0</v>
      </c>
      <c r="P1176" s="33">
        <f t="shared" si="72"/>
        <v>0</v>
      </c>
      <c r="Q1176" s="31" t="str">
        <f t="shared" si="73"/>
        <v/>
      </c>
      <c r="R1176" s="32" t="str">
        <f>IFERROR(VLOOKUP($D1176,'Informations sur les produits'!$A$3:$B$15000,2,FALSE),"")</f>
        <v/>
      </c>
      <c r="V1176">
        <f t="shared" si="74"/>
        <v>0</v>
      </c>
      <c r="W1176">
        <f t="shared" si="75"/>
        <v>0</v>
      </c>
    </row>
    <row r="1177" spans="5:23" x14ac:dyDescent="0.25">
      <c r="E1177" s="4"/>
      <c r="F1177" s="4"/>
      <c r="G1177" s="33" t="str">
        <f>IFERROR(VLOOKUP($D1177,'Informations sur les produits'!$A$3:$H$10000,8,FALSE),"0")</f>
        <v>0</v>
      </c>
      <c r="K1177" s="4"/>
      <c r="L1177" s="33" t="str">
        <f>IFERROR(VLOOKUP($J1177,'Informations sur les produits'!$A$3:$H$10000,8,FALSE),"0")</f>
        <v>0</v>
      </c>
      <c r="N1177" s="8"/>
      <c r="O1177" s="33" t="str">
        <f>IFERROR(VLOOKUP($M1177,'Informations sur les produits'!$A$3:$H$10000,8,FALSE),"0")</f>
        <v>0</v>
      </c>
      <c r="P1177" s="33">
        <f t="shared" si="72"/>
        <v>0</v>
      </c>
      <c r="Q1177" s="31" t="str">
        <f t="shared" si="73"/>
        <v/>
      </c>
      <c r="R1177" s="32" t="str">
        <f>IFERROR(VLOOKUP($D1177,'Informations sur les produits'!$A$3:$B$15000,2,FALSE),"")</f>
        <v/>
      </c>
      <c r="V1177">
        <f t="shared" si="74"/>
        <v>0</v>
      </c>
      <c r="W1177">
        <f t="shared" si="75"/>
        <v>0</v>
      </c>
    </row>
    <row r="1178" spans="5:23" x14ac:dyDescent="0.25">
      <c r="E1178" s="4"/>
      <c r="F1178" s="4"/>
      <c r="G1178" s="33" t="str">
        <f>IFERROR(VLOOKUP($D1178,'Informations sur les produits'!$A$3:$H$10000,8,FALSE),"0")</f>
        <v>0</v>
      </c>
      <c r="K1178" s="4"/>
      <c r="L1178" s="33" t="str">
        <f>IFERROR(VLOOKUP($J1178,'Informations sur les produits'!$A$3:$H$10000,8,FALSE),"0")</f>
        <v>0</v>
      </c>
      <c r="N1178" s="8"/>
      <c r="O1178" s="33" t="str">
        <f>IFERROR(VLOOKUP($M1178,'Informations sur les produits'!$A$3:$H$10000,8,FALSE),"0")</f>
        <v>0</v>
      </c>
      <c r="P1178" s="33">
        <f t="shared" si="72"/>
        <v>0</v>
      </c>
      <c r="Q1178" s="31" t="str">
        <f t="shared" si="73"/>
        <v/>
      </c>
      <c r="R1178" s="32" t="str">
        <f>IFERROR(VLOOKUP($D1178,'Informations sur les produits'!$A$3:$B$15000,2,FALSE),"")</f>
        <v/>
      </c>
      <c r="V1178">
        <f t="shared" si="74"/>
        <v>0</v>
      </c>
      <c r="W1178">
        <f t="shared" si="75"/>
        <v>0</v>
      </c>
    </row>
    <row r="1179" spans="5:23" x14ac:dyDescent="0.25">
      <c r="E1179" s="4"/>
      <c r="F1179" s="4"/>
      <c r="G1179" s="33" t="str">
        <f>IFERROR(VLOOKUP($D1179,'Informations sur les produits'!$A$3:$H$10000,8,FALSE),"0")</f>
        <v>0</v>
      </c>
      <c r="K1179" s="4"/>
      <c r="L1179" s="33" t="str">
        <f>IFERROR(VLOOKUP($J1179,'Informations sur les produits'!$A$3:$H$10000,8,FALSE),"0")</f>
        <v>0</v>
      </c>
      <c r="N1179" s="8"/>
      <c r="O1179" s="33" t="str">
        <f>IFERROR(VLOOKUP($M1179,'Informations sur les produits'!$A$3:$H$10000,8,FALSE),"0")</f>
        <v>0</v>
      </c>
      <c r="P1179" s="33">
        <f t="shared" si="72"/>
        <v>0</v>
      </c>
      <c r="Q1179" s="31" t="str">
        <f t="shared" si="73"/>
        <v/>
      </c>
      <c r="R1179" s="32" t="str">
        <f>IFERROR(VLOOKUP($D1179,'Informations sur les produits'!$A$3:$B$15000,2,FALSE),"")</f>
        <v/>
      </c>
      <c r="V1179">
        <f t="shared" si="74"/>
        <v>0</v>
      </c>
      <c r="W1179">
        <f t="shared" si="75"/>
        <v>0</v>
      </c>
    </row>
    <row r="1180" spans="5:23" x14ac:dyDescent="0.25">
      <c r="E1180" s="4"/>
      <c r="F1180" s="4"/>
      <c r="G1180" s="33" t="str">
        <f>IFERROR(VLOOKUP($D1180,'Informations sur les produits'!$A$3:$H$10000,8,FALSE),"0")</f>
        <v>0</v>
      </c>
      <c r="K1180" s="4"/>
      <c r="L1180" s="33" t="str">
        <f>IFERROR(VLOOKUP($J1180,'Informations sur les produits'!$A$3:$H$10000,8,FALSE),"0")</f>
        <v>0</v>
      </c>
      <c r="N1180" s="8"/>
      <c r="O1180" s="33" t="str">
        <f>IFERROR(VLOOKUP($M1180,'Informations sur les produits'!$A$3:$H$10000,8,FALSE),"0")</f>
        <v>0</v>
      </c>
      <c r="P1180" s="33">
        <f t="shared" si="72"/>
        <v>0</v>
      </c>
      <c r="Q1180" s="31" t="str">
        <f t="shared" si="73"/>
        <v/>
      </c>
      <c r="R1180" s="32" t="str">
        <f>IFERROR(VLOOKUP($D1180,'Informations sur les produits'!$A$3:$B$15000,2,FALSE),"")</f>
        <v/>
      </c>
      <c r="V1180">
        <f t="shared" si="74"/>
        <v>0</v>
      </c>
      <c r="W1180">
        <f t="shared" si="75"/>
        <v>0</v>
      </c>
    </row>
    <row r="1181" spans="5:23" x14ac:dyDescent="0.25">
      <c r="E1181" s="4"/>
      <c r="F1181" s="4"/>
      <c r="G1181" s="33" t="str">
        <f>IFERROR(VLOOKUP($D1181,'Informations sur les produits'!$A$3:$H$10000,8,FALSE),"0")</f>
        <v>0</v>
      </c>
      <c r="K1181" s="4"/>
      <c r="L1181" s="33" t="str">
        <f>IFERROR(VLOOKUP($J1181,'Informations sur les produits'!$A$3:$H$10000,8,FALSE),"0")</f>
        <v>0</v>
      </c>
      <c r="N1181" s="8"/>
      <c r="O1181" s="33" t="str">
        <f>IFERROR(VLOOKUP($M1181,'Informations sur les produits'!$A$3:$H$10000,8,FALSE),"0")</f>
        <v>0</v>
      </c>
      <c r="P1181" s="33">
        <f t="shared" si="72"/>
        <v>0</v>
      </c>
      <c r="Q1181" s="31" t="str">
        <f t="shared" si="73"/>
        <v/>
      </c>
      <c r="R1181" s="32" t="str">
        <f>IFERROR(VLOOKUP($D1181,'Informations sur les produits'!$A$3:$B$15000,2,FALSE),"")</f>
        <v/>
      </c>
      <c r="V1181">
        <f t="shared" si="74"/>
        <v>0</v>
      </c>
      <c r="W1181">
        <f t="shared" si="75"/>
        <v>0</v>
      </c>
    </row>
    <row r="1182" spans="5:23" x14ac:dyDescent="0.25">
      <c r="E1182" s="4"/>
      <c r="F1182" s="4"/>
      <c r="G1182" s="33" t="str">
        <f>IFERROR(VLOOKUP($D1182,'Informations sur les produits'!$A$3:$H$10000,8,FALSE),"0")</f>
        <v>0</v>
      </c>
      <c r="K1182" s="4"/>
      <c r="L1182" s="33" t="str">
        <f>IFERROR(VLOOKUP($J1182,'Informations sur les produits'!$A$3:$H$10000,8,FALSE),"0")</f>
        <v>0</v>
      </c>
      <c r="N1182" s="8"/>
      <c r="O1182" s="33" t="str">
        <f>IFERROR(VLOOKUP($M1182,'Informations sur les produits'!$A$3:$H$10000,8,FALSE),"0")</f>
        <v>0</v>
      </c>
      <c r="P1182" s="33">
        <f t="shared" si="72"/>
        <v>0</v>
      </c>
      <c r="Q1182" s="31" t="str">
        <f t="shared" si="73"/>
        <v/>
      </c>
      <c r="R1182" s="32" t="str">
        <f>IFERROR(VLOOKUP($D1182,'Informations sur les produits'!$A$3:$B$15000,2,FALSE),"")</f>
        <v/>
      </c>
      <c r="V1182">
        <f t="shared" si="74"/>
        <v>0</v>
      </c>
      <c r="W1182">
        <f t="shared" si="75"/>
        <v>0</v>
      </c>
    </row>
    <row r="1183" spans="5:23" x14ac:dyDescent="0.25">
      <c r="E1183" s="4"/>
      <c r="F1183" s="4"/>
      <c r="G1183" s="33" t="str">
        <f>IFERROR(VLOOKUP($D1183,'Informations sur les produits'!$A$3:$H$10000,8,FALSE),"0")</f>
        <v>0</v>
      </c>
      <c r="K1183" s="4"/>
      <c r="L1183" s="33" t="str">
        <f>IFERROR(VLOOKUP($J1183,'Informations sur les produits'!$A$3:$H$10000,8,FALSE),"0")</f>
        <v>0</v>
      </c>
      <c r="N1183" s="8"/>
      <c r="O1183" s="33" t="str">
        <f>IFERROR(VLOOKUP($M1183,'Informations sur les produits'!$A$3:$H$10000,8,FALSE),"0")</f>
        <v>0</v>
      </c>
      <c r="P1183" s="33">
        <f t="shared" si="72"/>
        <v>0</v>
      </c>
      <c r="Q1183" s="31" t="str">
        <f t="shared" si="73"/>
        <v/>
      </c>
      <c r="R1183" s="32" t="str">
        <f>IFERROR(VLOOKUP($D1183,'Informations sur les produits'!$A$3:$B$15000,2,FALSE),"")</f>
        <v/>
      </c>
      <c r="V1183">
        <f t="shared" si="74"/>
        <v>0</v>
      </c>
      <c r="W1183">
        <f t="shared" si="75"/>
        <v>0</v>
      </c>
    </row>
    <row r="1184" spans="5:23" x14ac:dyDescent="0.25">
      <c r="E1184" s="4"/>
      <c r="F1184" s="4"/>
      <c r="G1184" s="33" t="str">
        <f>IFERROR(VLOOKUP($D1184,'Informations sur les produits'!$A$3:$H$10000,8,FALSE),"0")</f>
        <v>0</v>
      </c>
      <c r="K1184" s="4"/>
      <c r="L1184" s="33" t="str">
        <f>IFERROR(VLOOKUP($J1184,'Informations sur les produits'!$A$3:$H$10000,8,FALSE),"0")</f>
        <v>0</v>
      </c>
      <c r="N1184" s="8"/>
      <c r="O1184" s="33" t="str">
        <f>IFERROR(VLOOKUP($M1184,'Informations sur les produits'!$A$3:$H$10000,8,FALSE),"0")</f>
        <v>0</v>
      </c>
      <c r="P1184" s="33">
        <f t="shared" si="72"/>
        <v>0</v>
      </c>
      <c r="Q1184" s="31" t="str">
        <f t="shared" si="73"/>
        <v/>
      </c>
      <c r="R1184" s="32" t="str">
        <f>IFERROR(VLOOKUP($D1184,'Informations sur les produits'!$A$3:$B$15000,2,FALSE),"")</f>
        <v/>
      </c>
      <c r="V1184">
        <f t="shared" si="74"/>
        <v>0</v>
      </c>
      <c r="W1184">
        <f t="shared" si="75"/>
        <v>0</v>
      </c>
    </row>
    <row r="1185" spans="5:23" x14ac:dyDescent="0.25">
      <c r="E1185" s="4"/>
      <c r="F1185" s="4"/>
      <c r="G1185" s="33" t="str">
        <f>IFERROR(VLOOKUP($D1185,'Informations sur les produits'!$A$3:$H$10000,8,FALSE),"0")</f>
        <v>0</v>
      </c>
      <c r="K1185" s="4"/>
      <c r="L1185" s="33" t="str">
        <f>IFERROR(VLOOKUP($J1185,'Informations sur les produits'!$A$3:$H$10000,8,FALSE),"0")</f>
        <v>0</v>
      </c>
      <c r="N1185" s="8"/>
      <c r="O1185" s="33" t="str">
        <f>IFERROR(VLOOKUP($M1185,'Informations sur les produits'!$A$3:$H$10000,8,FALSE),"0")</f>
        <v>0</v>
      </c>
      <c r="P1185" s="33">
        <f t="shared" si="72"/>
        <v>0</v>
      </c>
      <c r="Q1185" s="31" t="str">
        <f t="shared" si="73"/>
        <v/>
      </c>
      <c r="R1185" s="32" t="str">
        <f>IFERROR(VLOOKUP($D1185,'Informations sur les produits'!$A$3:$B$15000,2,FALSE),"")</f>
        <v/>
      </c>
      <c r="V1185">
        <f t="shared" si="74"/>
        <v>0</v>
      </c>
      <c r="W1185">
        <f t="shared" si="75"/>
        <v>0</v>
      </c>
    </row>
    <row r="1186" spans="5:23" x14ac:dyDescent="0.25">
      <c r="E1186" s="4"/>
      <c r="F1186" s="4"/>
      <c r="G1186" s="33" t="str">
        <f>IFERROR(VLOOKUP($D1186,'Informations sur les produits'!$A$3:$H$10000,8,FALSE),"0")</f>
        <v>0</v>
      </c>
      <c r="K1186" s="4"/>
      <c r="L1186" s="33" t="str">
        <f>IFERROR(VLOOKUP($J1186,'Informations sur les produits'!$A$3:$H$10000,8,FALSE),"0")</f>
        <v>0</v>
      </c>
      <c r="N1186" s="8"/>
      <c r="O1186" s="33" t="str">
        <f>IFERROR(VLOOKUP($M1186,'Informations sur les produits'!$A$3:$H$10000,8,FALSE),"0")</f>
        <v>0</v>
      </c>
      <c r="P1186" s="33">
        <f t="shared" si="72"/>
        <v>0</v>
      </c>
      <c r="Q1186" s="31" t="str">
        <f t="shared" si="73"/>
        <v/>
      </c>
      <c r="R1186" s="32" t="str">
        <f>IFERROR(VLOOKUP($D1186,'Informations sur les produits'!$A$3:$B$15000,2,FALSE),"")</f>
        <v/>
      </c>
      <c r="V1186">
        <f t="shared" si="74"/>
        <v>0</v>
      </c>
      <c r="W1186">
        <f t="shared" si="75"/>
        <v>0</v>
      </c>
    </row>
    <row r="1187" spans="5:23" x14ac:dyDescent="0.25">
      <c r="E1187" s="4"/>
      <c r="F1187" s="4"/>
      <c r="G1187" s="33" t="str">
        <f>IFERROR(VLOOKUP($D1187,'Informations sur les produits'!$A$3:$H$10000,8,FALSE),"0")</f>
        <v>0</v>
      </c>
      <c r="K1187" s="4"/>
      <c r="L1187" s="33" t="str">
        <f>IFERROR(VLOOKUP($J1187,'Informations sur les produits'!$A$3:$H$10000,8,FALSE),"0")</f>
        <v>0</v>
      </c>
      <c r="N1187" s="8"/>
      <c r="O1187" s="33" t="str">
        <f>IFERROR(VLOOKUP($M1187,'Informations sur les produits'!$A$3:$H$10000,8,FALSE),"0")</f>
        <v>0</v>
      </c>
      <c r="P1187" s="33">
        <f t="shared" si="72"/>
        <v>0</v>
      </c>
      <c r="Q1187" s="31" t="str">
        <f t="shared" si="73"/>
        <v/>
      </c>
      <c r="R1187" s="32" t="str">
        <f>IFERROR(VLOOKUP($D1187,'Informations sur les produits'!$A$3:$B$15000,2,FALSE),"")</f>
        <v/>
      </c>
      <c r="V1187">
        <f t="shared" si="74"/>
        <v>0</v>
      </c>
      <c r="W1187">
        <f t="shared" si="75"/>
        <v>0</v>
      </c>
    </row>
    <row r="1188" spans="5:23" x14ac:dyDescent="0.25">
      <c r="E1188" s="4"/>
      <c r="F1188" s="4"/>
      <c r="G1188" s="33" t="str">
        <f>IFERROR(VLOOKUP($D1188,'Informations sur les produits'!$A$3:$H$10000,8,FALSE),"0")</f>
        <v>0</v>
      </c>
      <c r="K1188" s="4"/>
      <c r="L1188" s="33" t="str">
        <f>IFERROR(VLOOKUP($J1188,'Informations sur les produits'!$A$3:$H$10000,8,FALSE),"0")</f>
        <v>0</v>
      </c>
      <c r="N1188" s="8"/>
      <c r="O1188" s="33" t="str">
        <f>IFERROR(VLOOKUP($M1188,'Informations sur les produits'!$A$3:$H$10000,8,FALSE),"0")</f>
        <v>0</v>
      </c>
      <c r="P1188" s="33">
        <f t="shared" si="72"/>
        <v>0</v>
      </c>
      <c r="Q1188" s="31" t="str">
        <f t="shared" si="73"/>
        <v/>
      </c>
      <c r="R1188" s="32" t="str">
        <f>IFERROR(VLOOKUP($D1188,'Informations sur les produits'!$A$3:$B$15000,2,FALSE),"")</f>
        <v/>
      </c>
      <c r="V1188">
        <f t="shared" si="74"/>
        <v>0</v>
      </c>
      <c r="W1188">
        <f t="shared" si="75"/>
        <v>0</v>
      </c>
    </row>
    <row r="1189" spans="5:23" x14ac:dyDescent="0.25">
      <c r="E1189" s="4"/>
      <c r="F1189" s="4"/>
      <c r="G1189" s="33" t="str">
        <f>IFERROR(VLOOKUP($D1189,'Informations sur les produits'!$A$3:$H$10000,8,FALSE),"0")</f>
        <v>0</v>
      </c>
      <c r="K1189" s="4"/>
      <c r="L1189" s="33" t="str">
        <f>IFERROR(VLOOKUP($J1189,'Informations sur les produits'!$A$3:$H$10000,8,FALSE),"0")</f>
        <v>0</v>
      </c>
      <c r="N1189" s="8"/>
      <c r="O1189" s="33" t="str">
        <f>IFERROR(VLOOKUP($M1189,'Informations sur les produits'!$A$3:$H$10000,8,FALSE),"0")</f>
        <v>0</v>
      </c>
      <c r="P1189" s="33">
        <f t="shared" si="72"/>
        <v>0</v>
      </c>
      <c r="Q1189" s="31" t="str">
        <f t="shared" si="73"/>
        <v/>
      </c>
      <c r="R1189" s="32" t="str">
        <f>IFERROR(VLOOKUP($D1189,'Informations sur les produits'!$A$3:$B$15000,2,FALSE),"")</f>
        <v/>
      </c>
      <c r="V1189">
        <f t="shared" si="74"/>
        <v>0</v>
      </c>
      <c r="W1189">
        <f t="shared" si="75"/>
        <v>0</v>
      </c>
    </row>
    <row r="1190" spans="5:23" x14ac:dyDescent="0.25">
      <c r="E1190" s="4"/>
      <c r="F1190" s="4"/>
      <c r="G1190" s="33" t="str">
        <f>IFERROR(VLOOKUP($D1190,'Informations sur les produits'!$A$3:$H$10000,8,FALSE),"0")</f>
        <v>0</v>
      </c>
      <c r="K1190" s="4"/>
      <c r="L1190" s="33" t="str">
        <f>IFERROR(VLOOKUP($J1190,'Informations sur les produits'!$A$3:$H$10000,8,FALSE),"0")</f>
        <v>0</v>
      </c>
      <c r="N1190" s="8"/>
      <c r="O1190" s="33" t="str">
        <f>IFERROR(VLOOKUP($M1190,'Informations sur les produits'!$A$3:$H$10000,8,FALSE),"0")</f>
        <v>0</v>
      </c>
      <c r="P1190" s="33">
        <f t="shared" si="72"/>
        <v>0</v>
      </c>
      <c r="Q1190" s="31" t="str">
        <f t="shared" si="73"/>
        <v/>
      </c>
      <c r="R1190" s="32" t="str">
        <f>IFERROR(VLOOKUP($D1190,'Informations sur les produits'!$A$3:$B$15000,2,FALSE),"")</f>
        <v/>
      </c>
      <c r="V1190">
        <f t="shared" si="74"/>
        <v>0</v>
      </c>
      <c r="W1190">
        <f t="shared" si="75"/>
        <v>0</v>
      </c>
    </row>
    <row r="1191" spans="5:23" x14ac:dyDescent="0.25">
      <c r="E1191" s="4"/>
      <c r="F1191" s="4"/>
      <c r="G1191" s="33" t="str">
        <f>IFERROR(VLOOKUP($D1191,'Informations sur les produits'!$A$3:$H$10000,8,FALSE),"0")</f>
        <v>0</v>
      </c>
      <c r="K1191" s="4"/>
      <c r="L1191" s="33" t="str">
        <f>IFERROR(VLOOKUP($J1191,'Informations sur les produits'!$A$3:$H$10000,8,FALSE),"0")</f>
        <v>0</v>
      </c>
      <c r="N1191" s="8"/>
      <c r="O1191" s="33" t="str">
        <f>IFERROR(VLOOKUP($M1191,'Informations sur les produits'!$A$3:$H$10000,8,FALSE),"0")</f>
        <v>0</v>
      </c>
      <c r="P1191" s="33">
        <f t="shared" si="72"/>
        <v>0</v>
      </c>
      <c r="Q1191" s="31" t="str">
        <f t="shared" si="73"/>
        <v/>
      </c>
      <c r="R1191" s="32" t="str">
        <f>IFERROR(VLOOKUP($D1191,'Informations sur les produits'!$A$3:$B$15000,2,FALSE),"")</f>
        <v/>
      </c>
      <c r="V1191">
        <f t="shared" si="74"/>
        <v>0</v>
      </c>
      <c r="W1191">
        <f t="shared" si="75"/>
        <v>0</v>
      </c>
    </row>
    <row r="1192" spans="5:23" x14ac:dyDescent="0.25">
      <c r="E1192" s="4"/>
      <c r="F1192" s="4"/>
      <c r="G1192" s="33" t="str">
        <f>IFERROR(VLOOKUP($D1192,'Informations sur les produits'!$A$3:$H$10000,8,FALSE),"0")</f>
        <v>0</v>
      </c>
      <c r="K1192" s="4"/>
      <c r="L1192" s="33" t="str">
        <f>IFERROR(VLOOKUP($J1192,'Informations sur les produits'!$A$3:$H$10000,8,FALSE),"0")</f>
        <v>0</v>
      </c>
      <c r="N1192" s="8"/>
      <c r="O1192" s="33" t="str">
        <f>IFERROR(VLOOKUP($M1192,'Informations sur les produits'!$A$3:$H$10000,8,FALSE),"0")</f>
        <v>0</v>
      </c>
      <c r="P1192" s="33">
        <f t="shared" si="72"/>
        <v>0</v>
      </c>
      <c r="Q1192" s="31" t="str">
        <f t="shared" si="73"/>
        <v/>
      </c>
      <c r="R1192" s="32" t="str">
        <f>IFERROR(VLOOKUP($D1192,'Informations sur les produits'!$A$3:$B$15000,2,FALSE),"")</f>
        <v/>
      </c>
      <c r="V1192">
        <f t="shared" si="74"/>
        <v>0</v>
      </c>
      <c r="W1192">
        <f t="shared" si="75"/>
        <v>0</v>
      </c>
    </row>
    <row r="1193" spans="5:23" x14ac:dyDescent="0.25">
      <c r="E1193" s="4"/>
      <c r="F1193" s="4"/>
      <c r="G1193" s="33" t="str">
        <f>IFERROR(VLOOKUP($D1193,'Informations sur les produits'!$A$3:$H$10000,8,FALSE),"0")</f>
        <v>0</v>
      </c>
      <c r="K1193" s="4"/>
      <c r="L1193" s="33" t="str">
        <f>IFERROR(VLOOKUP($J1193,'Informations sur les produits'!$A$3:$H$10000,8,FALSE),"0")</f>
        <v>0</v>
      </c>
      <c r="N1193" s="8"/>
      <c r="O1193" s="33" t="str">
        <f>IFERROR(VLOOKUP($M1193,'Informations sur les produits'!$A$3:$H$10000,8,FALSE),"0")</f>
        <v>0</v>
      </c>
      <c r="P1193" s="33">
        <f t="shared" si="72"/>
        <v>0</v>
      </c>
      <c r="Q1193" s="31" t="str">
        <f t="shared" si="73"/>
        <v/>
      </c>
      <c r="R1193" s="32" t="str">
        <f>IFERROR(VLOOKUP($D1193,'Informations sur les produits'!$A$3:$B$15000,2,FALSE),"")</f>
        <v/>
      </c>
      <c r="V1193">
        <f t="shared" si="74"/>
        <v>0</v>
      </c>
      <c r="W1193">
        <f t="shared" si="75"/>
        <v>0</v>
      </c>
    </row>
    <row r="1194" spans="5:23" x14ac:dyDescent="0.25">
      <c r="E1194" s="4"/>
      <c r="F1194" s="4"/>
      <c r="G1194" s="33" t="str">
        <f>IFERROR(VLOOKUP($D1194,'Informations sur les produits'!$A$3:$H$10000,8,FALSE),"0")</f>
        <v>0</v>
      </c>
      <c r="K1194" s="4"/>
      <c r="L1194" s="33" t="str">
        <f>IFERROR(VLOOKUP($J1194,'Informations sur les produits'!$A$3:$H$10000,8,FALSE),"0")</f>
        <v>0</v>
      </c>
      <c r="N1194" s="8"/>
      <c r="O1194" s="33" t="str">
        <f>IFERROR(VLOOKUP($M1194,'Informations sur les produits'!$A$3:$H$10000,8,FALSE),"0")</f>
        <v>0</v>
      </c>
      <c r="P1194" s="33">
        <f t="shared" si="72"/>
        <v>0</v>
      </c>
      <c r="Q1194" s="31" t="str">
        <f t="shared" si="73"/>
        <v/>
      </c>
      <c r="R1194" s="32" t="str">
        <f>IFERROR(VLOOKUP($D1194,'Informations sur les produits'!$A$3:$B$15000,2,FALSE),"")</f>
        <v/>
      </c>
      <c r="V1194">
        <f t="shared" si="74"/>
        <v>0</v>
      </c>
      <c r="W1194">
        <f t="shared" si="75"/>
        <v>0</v>
      </c>
    </row>
    <row r="1195" spans="5:23" x14ac:dyDescent="0.25">
      <c r="E1195" s="4"/>
      <c r="F1195" s="4"/>
      <c r="G1195" s="33" t="str">
        <f>IFERROR(VLOOKUP($D1195,'Informations sur les produits'!$A$3:$H$10000,8,FALSE),"0")</f>
        <v>0</v>
      </c>
      <c r="K1195" s="4"/>
      <c r="L1195" s="33" t="str">
        <f>IFERROR(VLOOKUP($J1195,'Informations sur les produits'!$A$3:$H$10000,8,FALSE),"0")</f>
        <v>0</v>
      </c>
      <c r="N1195" s="8"/>
      <c r="O1195" s="33" t="str">
        <f>IFERROR(VLOOKUP($M1195,'Informations sur les produits'!$A$3:$H$10000,8,FALSE),"0")</f>
        <v>0</v>
      </c>
      <c r="P1195" s="33">
        <f t="shared" si="72"/>
        <v>0</v>
      </c>
      <c r="Q1195" s="31" t="str">
        <f t="shared" si="73"/>
        <v/>
      </c>
      <c r="R1195" s="32" t="str">
        <f>IFERROR(VLOOKUP($D1195,'Informations sur les produits'!$A$3:$B$15000,2,FALSE),"")</f>
        <v/>
      </c>
      <c r="V1195">
        <f t="shared" si="74"/>
        <v>0</v>
      </c>
      <c r="W1195">
        <f t="shared" si="75"/>
        <v>0</v>
      </c>
    </row>
    <row r="1196" spans="5:23" x14ac:dyDescent="0.25">
      <c r="E1196" s="4"/>
      <c r="F1196" s="4"/>
      <c r="G1196" s="33" t="str">
        <f>IFERROR(VLOOKUP($D1196,'Informations sur les produits'!$A$3:$H$10000,8,FALSE),"0")</f>
        <v>0</v>
      </c>
      <c r="K1196" s="4"/>
      <c r="L1196" s="33" t="str">
        <f>IFERROR(VLOOKUP($J1196,'Informations sur les produits'!$A$3:$H$10000,8,FALSE),"0")</f>
        <v>0</v>
      </c>
      <c r="N1196" s="8"/>
      <c r="O1196" s="33" t="str">
        <f>IFERROR(VLOOKUP($M1196,'Informations sur les produits'!$A$3:$H$10000,8,FALSE),"0")</f>
        <v>0</v>
      </c>
      <c r="P1196" s="33">
        <f t="shared" si="72"/>
        <v>0</v>
      </c>
      <c r="Q1196" s="31" t="str">
        <f t="shared" si="73"/>
        <v/>
      </c>
      <c r="R1196" s="32" t="str">
        <f>IFERROR(VLOOKUP($D1196,'Informations sur les produits'!$A$3:$B$15000,2,FALSE),"")</f>
        <v/>
      </c>
      <c r="V1196">
        <f t="shared" si="74"/>
        <v>0</v>
      </c>
      <c r="W1196">
        <f t="shared" si="75"/>
        <v>0</v>
      </c>
    </row>
    <row r="1197" spans="5:23" x14ac:dyDescent="0.25">
      <c r="E1197" s="4"/>
      <c r="F1197" s="4"/>
      <c r="G1197" s="33" t="str">
        <f>IFERROR(VLOOKUP($D1197,'Informations sur les produits'!$A$3:$H$10000,8,FALSE),"0")</f>
        <v>0</v>
      </c>
      <c r="K1197" s="4"/>
      <c r="L1197" s="33" t="str">
        <f>IFERROR(VLOOKUP($J1197,'Informations sur les produits'!$A$3:$H$10000,8,FALSE),"0")</f>
        <v>0</v>
      </c>
      <c r="N1197" s="8"/>
      <c r="O1197" s="33" t="str">
        <f>IFERROR(VLOOKUP($M1197,'Informations sur les produits'!$A$3:$H$10000,8,FALSE),"0")</f>
        <v>0</v>
      </c>
      <c r="P1197" s="33">
        <f t="shared" si="72"/>
        <v>0</v>
      </c>
      <c r="Q1197" s="31" t="str">
        <f t="shared" si="73"/>
        <v/>
      </c>
      <c r="R1197" s="32" t="str">
        <f>IFERROR(VLOOKUP($D1197,'Informations sur les produits'!$A$3:$B$15000,2,FALSE),"")</f>
        <v/>
      </c>
      <c r="V1197">
        <f t="shared" si="74"/>
        <v>0</v>
      </c>
      <c r="W1197">
        <f t="shared" si="75"/>
        <v>0</v>
      </c>
    </row>
    <row r="1198" spans="5:23" x14ac:dyDescent="0.25">
      <c r="E1198" s="4"/>
      <c r="F1198" s="4"/>
      <c r="G1198" s="33" t="str">
        <f>IFERROR(VLOOKUP($D1198,'Informations sur les produits'!$A$3:$H$10000,8,FALSE),"0")</f>
        <v>0</v>
      </c>
      <c r="K1198" s="4"/>
      <c r="L1198" s="33" t="str">
        <f>IFERROR(VLOOKUP($J1198,'Informations sur les produits'!$A$3:$H$10000,8,FALSE),"0")</f>
        <v>0</v>
      </c>
      <c r="N1198" s="8"/>
      <c r="O1198" s="33" t="str">
        <f>IFERROR(VLOOKUP($M1198,'Informations sur les produits'!$A$3:$H$10000,8,FALSE),"0")</f>
        <v>0</v>
      </c>
      <c r="P1198" s="33">
        <f t="shared" si="72"/>
        <v>0</v>
      </c>
      <c r="Q1198" s="31" t="str">
        <f t="shared" si="73"/>
        <v/>
      </c>
      <c r="R1198" s="32" t="str">
        <f>IFERROR(VLOOKUP($D1198,'Informations sur les produits'!$A$3:$B$15000,2,FALSE),"")</f>
        <v/>
      </c>
      <c r="V1198">
        <f t="shared" si="74"/>
        <v>0</v>
      </c>
      <c r="W1198">
        <f t="shared" si="75"/>
        <v>0</v>
      </c>
    </row>
    <row r="1199" spans="5:23" x14ac:dyDescent="0.25">
      <c r="E1199" s="4"/>
      <c r="F1199" s="4"/>
      <c r="G1199" s="33" t="str">
        <f>IFERROR(VLOOKUP($D1199,'Informations sur les produits'!$A$3:$H$10000,8,FALSE),"0")</f>
        <v>0</v>
      </c>
      <c r="K1199" s="4"/>
      <c r="L1199" s="33" t="str">
        <f>IFERROR(VLOOKUP($J1199,'Informations sur les produits'!$A$3:$H$10000,8,FALSE),"0")</f>
        <v>0</v>
      </c>
      <c r="N1199" s="8"/>
      <c r="O1199" s="33" t="str">
        <f>IFERROR(VLOOKUP($M1199,'Informations sur les produits'!$A$3:$H$10000,8,FALSE),"0")</f>
        <v>0</v>
      </c>
      <c r="P1199" s="33">
        <f t="shared" si="72"/>
        <v>0</v>
      </c>
      <c r="Q1199" s="31" t="str">
        <f t="shared" si="73"/>
        <v/>
      </c>
      <c r="R1199" s="32" t="str">
        <f>IFERROR(VLOOKUP($D1199,'Informations sur les produits'!$A$3:$B$15000,2,FALSE),"")</f>
        <v/>
      </c>
      <c r="V1199">
        <f t="shared" si="74"/>
        <v>0</v>
      </c>
      <c r="W1199">
        <f t="shared" si="75"/>
        <v>0</v>
      </c>
    </row>
    <row r="1200" spans="5:23" x14ac:dyDescent="0.25">
      <c r="E1200" s="4"/>
      <c r="F1200" s="4"/>
      <c r="G1200" s="33" t="str">
        <f>IFERROR(VLOOKUP($D1200,'Informations sur les produits'!$A$3:$H$10000,8,FALSE),"0")</f>
        <v>0</v>
      </c>
      <c r="K1200" s="4"/>
      <c r="L1200" s="33" t="str">
        <f>IFERROR(VLOOKUP($J1200,'Informations sur les produits'!$A$3:$H$10000,8,FALSE),"0")</f>
        <v>0</v>
      </c>
      <c r="N1200" s="8"/>
      <c r="O1200" s="33" t="str">
        <f>IFERROR(VLOOKUP($M1200,'Informations sur les produits'!$A$3:$H$10000,8,FALSE),"0")</f>
        <v>0</v>
      </c>
      <c r="P1200" s="33">
        <f t="shared" si="72"/>
        <v>0</v>
      </c>
      <c r="Q1200" s="31" t="str">
        <f t="shared" si="73"/>
        <v/>
      </c>
      <c r="R1200" s="32" t="str">
        <f>IFERROR(VLOOKUP($D1200,'Informations sur les produits'!$A$3:$B$15000,2,FALSE),"")</f>
        <v/>
      </c>
      <c r="V1200">
        <f t="shared" si="74"/>
        <v>0</v>
      </c>
      <c r="W1200">
        <f t="shared" si="75"/>
        <v>0</v>
      </c>
    </row>
    <row r="1201" spans="5:23" x14ac:dyDescent="0.25">
      <c r="E1201" s="4"/>
      <c r="F1201" s="4"/>
      <c r="G1201" s="33" t="str">
        <f>IFERROR(VLOOKUP($D1201,'Informations sur les produits'!$A$3:$H$10000,8,FALSE),"0")</f>
        <v>0</v>
      </c>
      <c r="K1201" s="4"/>
      <c r="L1201" s="33" t="str">
        <f>IFERROR(VLOOKUP($J1201,'Informations sur les produits'!$A$3:$H$10000,8,FALSE),"0")</f>
        <v>0</v>
      </c>
      <c r="N1201" s="8"/>
      <c r="O1201" s="33" t="str">
        <f>IFERROR(VLOOKUP($M1201,'Informations sur les produits'!$A$3:$H$10000,8,FALSE),"0")</f>
        <v>0</v>
      </c>
      <c r="P1201" s="33">
        <f t="shared" si="72"/>
        <v>0</v>
      </c>
      <c r="Q1201" s="31" t="str">
        <f t="shared" si="73"/>
        <v/>
      </c>
      <c r="R1201" s="32" t="str">
        <f>IFERROR(VLOOKUP($D1201,'Informations sur les produits'!$A$3:$B$15000,2,FALSE),"")</f>
        <v/>
      </c>
      <c r="V1201">
        <f t="shared" si="74"/>
        <v>0</v>
      </c>
      <c r="W1201">
        <f t="shared" si="75"/>
        <v>0</v>
      </c>
    </row>
    <row r="1202" spans="5:23" x14ac:dyDescent="0.25">
      <c r="E1202" s="4"/>
      <c r="F1202" s="4"/>
      <c r="G1202" s="33" t="str">
        <f>IFERROR(VLOOKUP($D1202,'Informations sur les produits'!$A$3:$H$10000,8,FALSE),"0")</f>
        <v>0</v>
      </c>
      <c r="K1202" s="4"/>
      <c r="L1202" s="33" t="str">
        <f>IFERROR(VLOOKUP($J1202,'Informations sur les produits'!$A$3:$H$10000,8,FALSE),"0")</f>
        <v>0</v>
      </c>
      <c r="N1202" s="8"/>
      <c r="O1202" s="33" t="str">
        <f>IFERROR(VLOOKUP($M1202,'Informations sur les produits'!$A$3:$H$10000,8,FALSE),"0")</f>
        <v>0</v>
      </c>
      <c r="P1202" s="33">
        <f t="shared" si="72"/>
        <v>0</v>
      </c>
      <c r="Q1202" s="31" t="str">
        <f t="shared" si="73"/>
        <v/>
      </c>
      <c r="R1202" s="32" t="str">
        <f>IFERROR(VLOOKUP($D1202,'Informations sur les produits'!$A$3:$B$15000,2,FALSE),"")</f>
        <v/>
      </c>
      <c r="V1202">
        <f t="shared" si="74"/>
        <v>0</v>
      </c>
      <c r="W1202">
        <f t="shared" si="75"/>
        <v>0</v>
      </c>
    </row>
    <row r="1203" spans="5:23" x14ac:dyDescent="0.25">
      <c r="E1203" s="4"/>
      <c r="F1203" s="4"/>
      <c r="G1203" s="33" t="str">
        <f>IFERROR(VLOOKUP($D1203,'Informations sur les produits'!$A$3:$H$10000,8,FALSE),"0")</f>
        <v>0</v>
      </c>
      <c r="K1203" s="4"/>
      <c r="L1203" s="33" t="str">
        <f>IFERROR(VLOOKUP($J1203,'Informations sur les produits'!$A$3:$H$10000,8,FALSE),"0")</f>
        <v>0</v>
      </c>
      <c r="N1203" s="8"/>
      <c r="O1203" s="33" t="str">
        <f>IFERROR(VLOOKUP($M1203,'Informations sur les produits'!$A$3:$H$10000,8,FALSE),"0")</f>
        <v>0</v>
      </c>
      <c r="P1203" s="33">
        <f t="shared" si="72"/>
        <v>0</v>
      </c>
      <c r="Q1203" s="31" t="str">
        <f t="shared" si="73"/>
        <v/>
      </c>
      <c r="R1203" s="32" t="str">
        <f>IFERROR(VLOOKUP($D1203,'Informations sur les produits'!$A$3:$B$15000,2,FALSE),"")</f>
        <v/>
      </c>
      <c r="V1203">
        <f t="shared" si="74"/>
        <v>0</v>
      </c>
      <c r="W1203">
        <f t="shared" si="75"/>
        <v>0</v>
      </c>
    </row>
    <row r="1204" spans="5:23" x14ac:dyDescent="0.25">
      <c r="E1204" s="4"/>
      <c r="F1204" s="4"/>
      <c r="G1204" s="33" t="str">
        <f>IFERROR(VLOOKUP($D1204,'Informations sur les produits'!$A$3:$H$10000,8,FALSE),"0")</f>
        <v>0</v>
      </c>
      <c r="K1204" s="4"/>
      <c r="L1204" s="33" t="str">
        <f>IFERROR(VLOOKUP($J1204,'Informations sur les produits'!$A$3:$H$10000,8,FALSE),"0")</f>
        <v>0</v>
      </c>
      <c r="N1204" s="8"/>
      <c r="O1204" s="33" t="str">
        <f>IFERROR(VLOOKUP($M1204,'Informations sur les produits'!$A$3:$H$10000,8,FALSE),"0")</f>
        <v>0</v>
      </c>
      <c r="P1204" s="33">
        <f t="shared" si="72"/>
        <v>0</v>
      </c>
      <c r="Q1204" s="31" t="str">
        <f t="shared" si="73"/>
        <v/>
      </c>
      <c r="R1204" s="32" t="str">
        <f>IFERROR(VLOOKUP($D1204,'Informations sur les produits'!$A$3:$B$15000,2,FALSE),"")</f>
        <v/>
      </c>
      <c r="V1204">
        <f t="shared" si="74"/>
        <v>0</v>
      </c>
      <c r="W1204">
        <f t="shared" si="75"/>
        <v>0</v>
      </c>
    </row>
    <row r="1205" spans="5:23" x14ac:dyDescent="0.25">
      <c r="E1205" s="4"/>
      <c r="F1205" s="4"/>
      <c r="G1205" s="33" t="str">
        <f>IFERROR(VLOOKUP($D1205,'Informations sur les produits'!$A$3:$H$10000,8,FALSE),"0")</f>
        <v>0</v>
      </c>
      <c r="K1205" s="4"/>
      <c r="L1205" s="33" t="str">
        <f>IFERROR(VLOOKUP($J1205,'Informations sur les produits'!$A$3:$H$10000,8,FALSE),"0")</f>
        <v>0</v>
      </c>
      <c r="N1205" s="8"/>
      <c r="O1205" s="33" t="str">
        <f>IFERROR(VLOOKUP($M1205,'Informations sur les produits'!$A$3:$H$10000,8,FALSE),"0")</f>
        <v>0</v>
      </c>
      <c r="P1205" s="33">
        <f t="shared" si="72"/>
        <v>0</v>
      </c>
      <c r="Q1205" s="31" t="str">
        <f t="shared" si="73"/>
        <v/>
      </c>
      <c r="R1205" s="32" t="str">
        <f>IFERROR(VLOOKUP($D1205,'Informations sur les produits'!$A$3:$B$15000,2,FALSE),"")</f>
        <v/>
      </c>
      <c r="V1205">
        <f t="shared" si="74"/>
        <v>0</v>
      </c>
      <c r="W1205">
        <f t="shared" si="75"/>
        <v>0</v>
      </c>
    </row>
    <row r="1206" spans="5:23" x14ac:dyDescent="0.25">
      <c r="E1206" s="4"/>
      <c r="F1206" s="4"/>
      <c r="G1206" s="33" t="str">
        <f>IFERROR(VLOOKUP($D1206,'Informations sur les produits'!$A$3:$H$10000,8,FALSE),"0")</f>
        <v>0</v>
      </c>
      <c r="K1206" s="4"/>
      <c r="L1206" s="33" t="str">
        <f>IFERROR(VLOOKUP($J1206,'Informations sur les produits'!$A$3:$H$10000,8,FALSE),"0")</f>
        <v>0</v>
      </c>
      <c r="N1206" s="8"/>
      <c r="O1206" s="33" t="str">
        <f>IFERROR(VLOOKUP($M1206,'Informations sur les produits'!$A$3:$H$10000,8,FALSE),"0")</f>
        <v>0</v>
      </c>
      <c r="P1206" s="33">
        <f t="shared" si="72"/>
        <v>0</v>
      </c>
      <c r="Q1206" s="31" t="str">
        <f t="shared" si="73"/>
        <v/>
      </c>
      <c r="R1206" s="32" t="str">
        <f>IFERROR(VLOOKUP($D1206,'Informations sur les produits'!$A$3:$B$15000,2,FALSE),"")</f>
        <v/>
      </c>
      <c r="V1206">
        <f t="shared" si="74"/>
        <v>0</v>
      </c>
      <c r="W1206">
        <f t="shared" si="75"/>
        <v>0</v>
      </c>
    </row>
    <row r="1207" spans="5:23" x14ac:dyDescent="0.25">
      <c r="E1207" s="4"/>
      <c r="F1207" s="4"/>
      <c r="G1207" s="33" t="str">
        <f>IFERROR(VLOOKUP($D1207,'Informations sur les produits'!$A$3:$H$10000,8,FALSE),"0")</f>
        <v>0</v>
      </c>
      <c r="K1207" s="4"/>
      <c r="L1207" s="33" t="str">
        <f>IFERROR(VLOOKUP($J1207,'Informations sur les produits'!$A$3:$H$10000,8,FALSE),"0")</f>
        <v>0</v>
      </c>
      <c r="N1207" s="8"/>
      <c r="O1207" s="33" t="str">
        <f>IFERROR(VLOOKUP($M1207,'Informations sur les produits'!$A$3:$H$10000,8,FALSE),"0")</f>
        <v>0</v>
      </c>
      <c r="P1207" s="33">
        <f t="shared" si="72"/>
        <v>0</v>
      </c>
      <c r="Q1207" s="31" t="str">
        <f t="shared" si="73"/>
        <v/>
      </c>
      <c r="R1207" s="32" t="str">
        <f>IFERROR(VLOOKUP($D1207,'Informations sur les produits'!$A$3:$B$15000,2,FALSE),"")</f>
        <v/>
      </c>
      <c r="V1207">
        <f t="shared" si="74"/>
        <v>0</v>
      </c>
      <c r="W1207">
        <f t="shared" si="75"/>
        <v>0</v>
      </c>
    </row>
    <row r="1208" spans="5:23" x14ac:dyDescent="0.25">
      <c r="E1208" s="4"/>
      <c r="F1208" s="4"/>
      <c r="G1208" s="33" t="str">
        <f>IFERROR(VLOOKUP($D1208,'Informations sur les produits'!$A$3:$H$10000,8,FALSE),"0")</f>
        <v>0</v>
      </c>
      <c r="K1208" s="4"/>
      <c r="L1208" s="33" t="str">
        <f>IFERROR(VLOOKUP($J1208,'Informations sur les produits'!$A$3:$H$10000,8,FALSE),"0")</f>
        <v>0</v>
      </c>
      <c r="N1208" s="8"/>
      <c r="O1208" s="33" t="str">
        <f>IFERROR(VLOOKUP($M1208,'Informations sur les produits'!$A$3:$H$10000,8,FALSE),"0")</f>
        <v>0</v>
      </c>
      <c r="P1208" s="33">
        <f t="shared" si="72"/>
        <v>0</v>
      </c>
      <c r="Q1208" s="31" t="str">
        <f t="shared" si="73"/>
        <v/>
      </c>
      <c r="R1208" s="32" t="str">
        <f>IFERROR(VLOOKUP($D1208,'Informations sur les produits'!$A$3:$B$15000,2,FALSE),"")</f>
        <v/>
      </c>
      <c r="V1208">
        <f t="shared" si="74"/>
        <v>0</v>
      </c>
      <c r="W1208">
        <f t="shared" si="75"/>
        <v>0</v>
      </c>
    </row>
    <row r="1209" spans="5:23" x14ac:dyDescent="0.25">
      <c r="E1209" s="4"/>
      <c r="F1209" s="4"/>
      <c r="G1209" s="33" t="str">
        <f>IFERROR(VLOOKUP($D1209,'Informations sur les produits'!$A$3:$H$10000,8,FALSE),"0")</f>
        <v>0</v>
      </c>
      <c r="K1209" s="4"/>
      <c r="L1209" s="33" t="str">
        <f>IFERROR(VLOOKUP($J1209,'Informations sur les produits'!$A$3:$H$10000,8,FALSE),"0")</f>
        <v>0</v>
      </c>
      <c r="N1209" s="8"/>
      <c r="O1209" s="33" t="str">
        <f>IFERROR(VLOOKUP($M1209,'Informations sur les produits'!$A$3:$H$10000,8,FALSE),"0")</f>
        <v>0</v>
      </c>
      <c r="P1209" s="33">
        <f t="shared" si="72"/>
        <v>0</v>
      </c>
      <c r="Q1209" s="31" t="str">
        <f t="shared" si="73"/>
        <v/>
      </c>
      <c r="R1209" s="32" t="str">
        <f>IFERROR(VLOOKUP($D1209,'Informations sur les produits'!$A$3:$B$15000,2,FALSE),"")</f>
        <v/>
      </c>
      <c r="V1209">
        <f t="shared" si="74"/>
        <v>0</v>
      </c>
      <c r="W1209">
        <f t="shared" si="75"/>
        <v>0</v>
      </c>
    </row>
    <row r="1210" spans="5:23" x14ac:dyDescent="0.25">
      <c r="E1210" s="4"/>
      <c r="F1210" s="4"/>
      <c r="G1210" s="33" t="str">
        <f>IFERROR(VLOOKUP($D1210,'Informations sur les produits'!$A$3:$H$10000,8,FALSE),"0")</f>
        <v>0</v>
      </c>
      <c r="K1210" s="4"/>
      <c r="L1210" s="33" t="str">
        <f>IFERROR(VLOOKUP($J1210,'Informations sur les produits'!$A$3:$H$10000,8,FALSE),"0")</f>
        <v>0</v>
      </c>
      <c r="N1210" s="8"/>
      <c r="O1210" s="33" t="str">
        <f>IFERROR(VLOOKUP($M1210,'Informations sur les produits'!$A$3:$H$10000,8,FALSE),"0")</f>
        <v>0</v>
      </c>
      <c r="P1210" s="33">
        <f t="shared" si="72"/>
        <v>0</v>
      </c>
      <c r="Q1210" s="31" t="str">
        <f t="shared" si="73"/>
        <v/>
      </c>
      <c r="R1210" s="32" t="str">
        <f>IFERROR(VLOOKUP($D1210,'Informations sur les produits'!$A$3:$B$15000,2,FALSE),"")</f>
        <v/>
      </c>
      <c r="V1210">
        <f t="shared" si="74"/>
        <v>0</v>
      </c>
      <c r="W1210">
        <f t="shared" si="75"/>
        <v>0</v>
      </c>
    </row>
    <row r="1211" spans="5:23" x14ac:dyDescent="0.25">
      <c r="E1211" s="4"/>
      <c r="F1211" s="4"/>
      <c r="G1211" s="33" t="str">
        <f>IFERROR(VLOOKUP($D1211,'Informations sur les produits'!$A$3:$H$10000,8,FALSE),"0")</f>
        <v>0</v>
      </c>
      <c r="K1211" s="4"/>
      <c r="L1211" s="33" t="str">
        <f>IFERROR(VLOOKUP($J1211,'Informations sur les produits'!$A$3:$H$10000,8,FALSE),"0")</f>
        <v>0</v>
      </c>
      <c r="N1211" s="8"/>
      <c r="O1211" s="33" t="str">
        <f>IFERROR(VLOOKUP($M1211,'Informations sur les produits'!$A$3:$H$10000,8,FALSE),"0")</f>
        <v>0</v>
      </c>
      <c r="P1211" s="33">
        <f t="shared" si="72"/>
        <v>0</v>
      </c>
      <c r="Q1211" s="31" t="str">
        <f t="shared" si="73"/>
        <v/>
      </c>
      <c r="R1211" s="32" t="str">
        <f>IFERROR(VLOOKUP($D1211,'Informations sur les produits'!$A$3:$B$15000,2,FALSE),"")</f>
        <v/>
      </c>
      <c r="V1211">
        <f t="shared" si="74"/>
        <v>0</v>
      </c>
      <c r="W1211">
        <f t="shared" si="75"/>
        <v>0</v>
      </c>
    </row>
    <row r="1212" spans="5:23" x14ac:dyDescent="0.25">
      <c r="E1212" s="4"/>
      <c r="F1212" s="4"/>
      <c r="G1212" s="33" t="str">
        <f>IFERROR(VLOOKUP($D1212,'Informations sur les produits'!$A$3:$H$10000,8,FALSE),"0")</f>
        <v>0</v>
      </c>
      <c r="K1212" s="4"/>
      <c r="L1212" s="33" t="str">
        <f>IFERROR(VLOOKUP($J1212,'Informations sur les produits'!$A$3:$H$10000,8,FALSE),"0")</f>
        <v>0</v>
      </c>
      <c r="N1212" s="8"/>
      <c r="O1212" s="33" t="str">
        <f>IFERROR(VLOOKUP($M1212,'Informations sur les produits'!$A$3:$H$10000,8,FALSE),"0")</f>
        <v>0</v>
      </c>
      <c r="P1212" s="33">
        <f t="shared" si="72"/>
        <v>0</v>
      </c>
      <c r="Q1212" s="31" t="str">
        <f t="shared" si="73"/>
        <v/>
      </c>
      <c r="R1212" s="32" t="str">
        <f>IFERROR(VLOOKUP($D1212,'Informations sur les produits'!$A$3:$B$15000,2,FALSE),"")</f>
        <v/>
      </c>
      <c r="V1212">
        <f t="shared" si="74"/>
        <v>0</v>
      </c>
      <c r="W1212">
        <f t="shared" si="75"/>
        <v>0</v>
      </c>
    </row>
    <row r="1213" spans="5:23" x14ac:dyDescent="0.25">
      <c r="E1213" s="4"/>
      <c r="F1213" s="4"/>
      <c r="G1213" s="33" t="str">
        <f>IFERROR(VLOOKUP($D1213,'Informations sur les produits'!$A$3:$H$10000,8,FALSE),"0")</f>
        <v>0</v>
      </c>
      <c r="K1213" s="4"/>
      <c r="L1213" s="33" t="str">
        <f>IFERROR(VLOOKUP($J1213,'Informations sur les produits'!$A$3:$H$10000,8,FALSE),"0")</f>
        <v>0</v>
      </c>
      <c r="N1213" s="8"/>
      <c r="O1213" s="33" t="str">
        <f>IFERROR(VLOOKUP($M1213,'Informations sur les produits'!$A$3:$H$10000,8,FALSE),"0")</f>
        <v>0</v>
      </c>
      <c r="P1213" s="33">
        <f t="shared" si="72"/>
        <v>0</v>
      </c>
      <c r="Q1213" s="31" t="str">
        <f t="shared" si="73"/>
        <v/>
      </c>
      <c r="R1213" s="32" t="str">
        <f>IFERROR(VLOOKUP($D1213,'Informations sur les produits'!$A$3:$B$15000,2,FALSE),"")</f>
        <v/>
      </c>
      <c r="V1213">
        <f t="shared" si="74"/>
        <v>0</v>
      </c>
      <c r="W1213">
        <f t="shared" si="75"/>
        <v>0</v>
      </c>
    </row>
    <row r="1214" spans="5:23" x14ac:dyDescent="0.25">
      <c r="E1214" s="4"/>
      <c r="F1214" s="4"/>
      <c r="G1214" s="33" t="str">
        <f>IFERROR(VLOOKUP($D1214,'Informations sur les produits'!$A$3:$H$10000,8,FALSE),"0")</f>
        <v>0</v>
      </c>
      <c r="K1214" s="4"/>
      <c r="L1214" s="33" t="str">
        <f>IFERROR(VLOOKUP($J1214,'Informations sur les produits'!$A$3:$H$10000,8,FALSE),"0")</f>
        <v>0</v>
      </c>
      <c r="N1214" s="8"/>
      <c r="O1214" s="33" t="str">
        <f>IFERROR(VLOOKUP($M1214,'Informations sur les produits'!$A$3:$H$10000,8,FALSE),"0")</f>
        <v>0</v>
      </c>
      <c r="P1214" s="33">
        <f t="shared" si="72"/>
        <v>0</v>
      </c>
      <c r="Q1214" s="31" t="str">
        <f t="shared" si="73"/>
        <v/>
      </c>
      <c r="R1214" s="32" t="str">
        <f>IFERROR(VLOOKUP($D1214,'Informations sur les produits'!$A$3:$B$15000,2,FALSE),"")</f>
        <v/>
      </c>
      <c r="V1214">
        <f t="shared" si="74"/>
        <v>0</v>
      </c>
      <c r="W1214">
        <f t="shared" si="75"/>
        <v>0</v>
      </c>
    </row>
    <row r="1215" spans="5:23" x14ac:dyDescent="0.25">
      <c r="E1215" s="4"/>
      <c r="F1215" s="4"/>
      <c r="G1215" s="33" t="str">
        <f>IFERROR(VLOOKUP($D1215,'Informations sur les produits'!$A$3:$H$10000,8,FALSE),"0")</f>
        <v>0</v>
      </c>
      <c r="K1215" s="4"/>
      <c r="L1215" s="33" t="str">
        <f>IFERROR(VLOOKUP($J1215,'Informations sur les produits'!$A$3:$H$10000,8,FALSE),"0")</f>
        <v>0</v>
      </c>
      <c r="N1215" s="8"/>
      <c r="O1215" s="33" t="str">
        <f>IFERROR(VLOOKUP($M1215,'Informations sur les produits'!$A$3:$H$10000,8,FALSE),"0")</f>
        <v>0</v>
      </c>
      <c r="P1215" s="33">
        <f t="shared" si="72"/>
        <v>0</v>
      </c>
      <c r="Q1215" s="31" t="str">
        <f t="shared" si="73"/>
        <v/>
      </c>
      <c r="R1215" s="32" t="str">
        <f>IFERROR(VLOOKUP($D1215,'Informations sur les produits'!$A$3:$B$15000,2,FALSE),"")</f>
        <v/>
      </c>
      <c r="V1215">
        <f t="shared" si="74"/>
        <v>0</v>
      </c>
      <c r="W1215">
        <f t="shared" si="75"/>
        <v>0</v>
      </c>
    </row>
    <row r="1216" spans="5:23" x14ac:dyDescent="0.25">
      <c r="E1216" s="4"/>
      <c r="F1216" s="4"/>
      <c r="G1216" s="33" t="str">
        <f>IFERROR(VLOOKUP($D1216,'Informations sur les produits'!$A$3:$H$10000,8,FALSE),"0")</f>
        <v>0</v>
      </c>
      <c r="K1216" s="4"/>
      <c r="L1216" s="33" t="str">
        <f>IFERROR(VLOOKUP($J1216,'Informations sur les produits'!$A$3:$H$10000,8,FALSE),"0")</f>
        <v>0</v>
      </c>
      <c r="N1216" s="8"/>
      <c r="O1216" s="33" t="str">
        <f>IFERROR(VLOOKUP($M1216,'Informations sur les produits'!$A$3:$H$10000,8,FALSE),"0")</f>
        <v>0</v>
      </c>
      <c r="P1216" s="33">
        <f t="shared" si="72"/>
        <v>0</v>
      </c>
      <c r="Q1216" s="31" t="str">
        <f t="shared" si="73"/>
        <v/>
      </c>
      <c r="R1216" s="32" t="str">
        <f>IFERROR(VLOOKUP($D1216,'Informations sur les produits'!$A$3:$B$15000,2,FALSE),"")</f>
        <v/>
      </c>
      <c r="V1216">
        <f t="shared" si="74"/>
        <v>0</v>
      </c>
      <c r="W1216">
        <f t="shared" si="75"/>
        <v>0</v>
      </c>
    </row>
    <row r="1217" spans="5:23" x14ac:dyDescent="0.25">
      <c r="E1217" s="4"/>
      <c r="F1217" s="4"/>
      <c r="G1217" s="33" t="str">
        <f>IFERROR(VLOOKUP($D1217,'Informations sur les produits'!$A$3:$H$10000,8,FALSE),"0")</f>
        <v>0</v>
      </c>
      <c r="K1217" s="4"/>
      <c r="L1217" s="33" t="str">
        <f>IFERROR(VLOOKUP($J1217,'Informations sur les produits'!$A$3:$H$10000,8,FALSE),"0")</f>
        <v>0</v>
      </c>
      <c r="N1217" s="8"/>
      <c r="O1217" s="33" t="str">
        <f>IFERROR(VLOOKUP($M1217,'Informations sur les produits'!$A$3:$H$10000,8,FALSE),"0")</f>
        <v>0</v>
      </c>
      <c r="P1217" s="33">
        <f t="shared" si="72"/>
        <v>0</v>
      </c>
      <c r="Q1217" s="31" t="str">
        <f t="shared" si="73"/>
        <v/>
      </c>
      <c r="R1217" s="32" t="str">
        <f>IFERROR(VLOOKUP($D1217,'Informations sur les produits'!$A$3:$B$15000,2,FALSE),"")</f>
        <v/>
      </c>
      <c r="V1217">
        <f t="shared" si="74"/>
        <v>0</v>
      </c>
      <c r="W1217">
        <f t="shared" si="75"/>
        <v>0</v>
      </c>
    </row>
    <row r="1218" spans="5:23" x14ac:dyDescent="0.25">
      <c r="E1218" s="4"/>
      <c r="F1218" s="4"/>
      <c r="G1218" s="33" t="str">
        <f>IFERROR(VLOOKUP($D1218,'Informations sur les produits'!$A$3:$H$10000,8,FALSE),"0")</f>
        <v>0</v>
      </c>
      <c r="K1218" s="4"/>
      <c r="L1218" s="33" t="str">
        <f>IFERROR(VLOOKUP($J1218,'Informations sur les produits'!$A$3:$H$10000,8,FALSE),"0")</f>
        <v>0</v>
      </c>
      <c r="N1218" s="8"/>
      <c r="O1218" s="33" t="str">
        <f>IFERROR(VLOOKUP($M1218,'Informations sur les produits'!$A$3:$H$10000,8,FALSE),"0")</f>
        <v>0</v>
      </c>
      <c r="P1218" s="33">
        <f t="shared" si="72"/>
        <v>0</v>
      </c>
      <c r="Q1218" s="31" t="str">
        <f t="shared" si="73"/>
        <v/>
      </c>
      <c r="R1218" s="32" t="str">
        <f>IFERROR(VLOOKUP($D1218,'Informations sur les produits'!$A$3:$B$15000,2,FALSE),"")</f>
        <v/>
      </c>
      <c r="V1218">
        <f t="shared" si="74"/>
        <v>0</v>
      </c>
      <c r="W1218">
        <f t="shared" si="75"/>
        <v>0</v>
      </c>
    </row>
    <row r="1219" spans="5:23" x14ac:dyDescent="0.25">
      <c r="E1219" s="4"/>
      <c r="F1219" s="4"/>
      <c r="G1219" s="33" t="str">
        <f>IFERROR(VLOOKUP($D1219,'Informations sur les produits'!$A$3:$H$10000,8,FALSE),"0")</f>
        <v>0</v>
      </c>
      <c r="K1219" s="4"/>
      <c r="L1219" s="33" t="str">
        <f>IFERROR(VLOOKUP($J1219,'Informations sur les produits'!$A$3:$H$10000,8,FALSE),"0")</f>
        <v>0</v>
      </c>
      <c r="N1219" s="8"/>
      <c r="O1219" s="33" t="str">
        <f>IFERROR(VLOOKUP($M1219,'Informations sur les produits'!$A$3:$H$10000,8,FALSE),"0")</f>
        <v>0</v>
      </c>
      <c r="P1219" s="33">
        <f t="shared" si="72"/>
        <v>0</v>
      </c>
      <c r="Q1219" s="31" t="str">
        <f t="shared" si="73"/>
        <v/>
      </c>
      <c r="R1219" s="32" t="str">
        <f>IFERROR(VLOOKUP($D1219,'Informations sur les produits'!$A$3:$B$15000,2,FALSE),"")</f>
        <v/>
      </c>
      <c r="V1219">
        <f t="shared" si="74"/>
        <v>0</v>
      </c>
      <c r="W1219">
        <f t="shared" si="75"/>
        <v>0</v>
      </c>
    </row>
    <row r="1220" spans="5:23" x14ac:dyDescent="0.25">
      <c r="E1220" s="4"/>
      <c r="F1220" s="4"/>
      <c r="G1220" s="33" t="str">
        <f>IFERROR(VLOOKUP($D1220,'Informations sur les produits'!$A$3:$H$10000,8,FALSE),"0")</f>
        <v>0</v>
      </c>
      <c r="K1220" s="4"/>
      <c r="L1220" s="33" t="str">
        <f>IFERROR(VLOOKUP($J1220,'Informations sur les produits'!$A$3:$H$10000,8,FALSE),"0")</f>
        <v>0</v>
      </c>
      <c r="N1220" s="8"/>
      <c r="O1220" s="33" t="str">
        <f>IFERROR(VLOOKUP($M1220,'Informations sur les produits'!$A$3:$H$10000,8,FALSE),"0")</f>
        <v>0</v>
      </c>
      <c r="P1220" s="33">
        <f t="shared" ref="P1220:P1283" si="76">IFERROR((($E1220-$F1220)*$G1220+$K1220*$L1220+$N1220*$O1220),"")</f>
        <v>0</v>
      </c>
      <c r="Q1220" s="31" t="str">
        <f t="shared" ref="Q1220:Q1283" si="77">IFERROR((((($E1220-$F1220)*$G1220+$K1220*$L1220+$N1220*$O1220)*1000)/(($E1220-$F1220)+$K1220+$N1220)),"")</f>
        <v/>
      </c>
      <c r="R1220" s="32" t="str">
        <f>IFERROR(VLOOKUP($D1220,'Informations sur les produits'!$A$3:$B$15000,2,FALSE),"")</f>
        <v/>
      </c>
      <c r="V1220">
        <f t="shared" ref="V1220:V1283" si="78">IFERROR(P1220*1000,"")</f>
        <v>0</v>
      </c>
      <c r="W1220">
        <f t="shared" ref="W1220:W1283" si="79">IFERROR(($E1220-$F1220)+$K1220+$N1220,"")</f>
        <v>0</v>
      </c>
    </row>
    <row r="1221" spans="5:23" x14ac:dyDescent="0.25">
      <c r="E1221" s="4"/>
      <c r="F1221" s="4"/>
      <c r="G1221" s="33" t="str">
        <f>IFERROR(VLOOKUP($D1221,'Informations sur les produits'!$A$3:$H$10000,8,FALSE),"0")</f>
        <v>0</v>
      </c>
      <c r="K1221" s="4"/>
      <c r="L1221" s="33" t="str">
        <f>IFERROR(VLOOKUP($J1221,'Informations sur les produits'!$A$3:$H$10000,8,FALSE),"0")</f>
        <v>0</v>
      </c>
      <c r="N1221" s="8"/>
      <c r="O1221" s="33" t="str">
        <f>IFERROR(VLOOKUP($M1221,'Informations sur les produits'!$A$3:$H$10000,8,FALSE),"0")</f>
        <v>0</v>
      </c>
      <c r="P1221" s="33">
        <f t="shared" si="76"/>
        <v>0</v>
      </c>
      <c r="Q1221" s="31" t="str">
        <f t="shared" si="77"/>
        <v/>
      </c>
      <c r="R1221" s="32" t="str">
        <f>IFERROR(VLOOKUP($D1221,'Informations sur les produits'!$A$3:$B$15000,2,FALSE),"")</f>
        <v/>
      </c>
      <c r="V1221">
        <f t="shared" si="78"/>
        <v>0</v>
      </c>
      <c r="W1221">
        <f t="shared" si="79"/>
        <v>0</v>
      </c>
    </row>
    <row r="1222" spans="5:23" x14ac:dyDescent="0.25">
      <c r="E1222" s="4"/>
      <c r="F1222" s="4"/>
      <c r="G1222" s="33" t="str">
        <f>IFERROR(VLOOKUP($D1222,'Informations sur les produits'!$A$3:$H$10000,8,FALSE),"0")</f>
        <v>0</v>
      </c>
      <c r="K1222" s="4"/>
      <c r="L1222" s="33" t="str">
        <f>IFERROR(VLOOKUP($J1222,'Informations sur les produits'!$A$3:$H$10000,8,FALSE),"0")</f>
        <v>0</v>
      </c>
      <c r="N1222" s="8"/>
      <c r="O1222" s="33" t="str">
        <f>IFERROR(VLOOKUP($M1222,'Informations sur les produits'!$A$3:$H$10000,8,FALSE),"0")</f>
        <v>0</v>
      </c>
      <c r="P1222" s="33">
        <f t="shared" si="76"/>
        <v>0</v>
      </c>
      <c r="Q1222" s="31" t="str">
        <f t="shared" si="77"/>
        <v/>
      </c>
      <c r="R1222" s="32" t="str">
        <f>IFERROR(VLOOKUP($D1222,'Informations sur les produits'!$A$3:$B$15000,2,FALSE),"")</f>
        <v/>
      </c>
      <c r="V1222">
        <f t="shared" si="78"/>
        <v>0</v>
      </c>
      <c r="W1222">
        <f t="shared" si="79"/>
        <v>0</v>
      </c>
    </row>
    <row r="1223" spans="5:23" x14ac:dyDescent="0.25">
      <c r="E1223" s="4"/>
      <c r="F1223" s="4"/>
      <c r="G1223" s="33" t="str">
        <f>IFERROR(VLOOKUP($D1223,'Informations sur les produits'!$A$3:$H$10000,8,FALSE),"0")</f>
        <v>0</v>
      </c>
      <c r="K1223" s="4"/>
      <c r="L1223" s="33" t="str">
        <f>IFERROR(VLOOKUP($J1223,'Informations sur les produits'!$A$3:$H$10000,8,FALSE),"0")</f>
        <v>0</v>
      </c>
      <c r="N1223" s="8"/>
      <c r="O1223" s="33" t="str">
        <f>IFERROR(VLOOKUP($M1223,'Informations sur les produits'!$A$3:$H$10000,8,FALSE),"0")</f>
        <v>0</v>
      </c>
      <c r="P1223" s="33">
        <f t="shared" si="76"/>
        <v>0</v>
      </c>
      <c r="Q1223" s="31" t="str">
        <f t="shared" si="77"/>
        <v/>
      </c>
      <c r="R1223" s="32" t="str">
        <f>IFERROR(VLOOKUP($D1223,'Informations sur les produits'!$A$3:$B$15000,2,FALSE),"")</f>
        <v/>
      </c>
      <c r="V1223">
        <f t="shared" si="78"/>
        <v>0</v>
      </c>
      <c r="W1223">
        <f t="shared" si="79"/>
        <v>0</v>
      </c>
    </row>
    <row r="1224" spans="5:23" x14ac:dyDescent="0.25">
      <c r="E1224" s="4"/>
      <c r="F1224" s="4"/>
      <c r="G1224" s="33" t="str">
        <f>IFERROR(VLOOKUP($D1224,'Informations sur les produits'!$A$3:$H$10000,8,FALSE),"0")</f>
        <v>0</v>
      </c>
      <c r="K1224" s="4"/>
      <c r="L1224" s="33" t="str">
        <f>IFERROR(VLOOKUP($J1224,'Informations sur les produits'!$A$3:$H$10000,8,FALSE),"0")</f>
        <v>0</v>
      </c>
      <c r="N1224" s="8"/>
      <c r="O1224" s="33" t="str">
        <f>IFERROR(VLOOKUP($M1224,'Informations sur les produits'!$A$3:$H$10000,8,FALSE),"0")</f>
        <v>0</v>
      </c>
      <c r="P1224" s="33">
        <f t="shared" si="76"/>
        <v>0</v>
      </c>
      <c r="Q1224" s="31" t="str">
        <f t="shared" si="77"/>
        <v/>
      </c>
      <c r="R1224" s="32" t="str">
        <f>IFERROR(VLOOKUP($D1224,'Informations sur les produits'!$A$3:$B$15000,2,FALSE),"")</f>
        <v/>
      </c>
      <c r="V1224">
        <f t="shared" si="78"/>
        <v>0</v>
      </c>
      <c r="W1224">
        <f t="shared" si="79"/>
        <v>0</v>
      </c>
    </row>
    <row r="1225" spans="5:23" x14ac:dyDescent="0.25">
      <c r="E1225" s="4"/>
      <c r="F1225" s="4"/>
      <c r="G1225" s="33" t="str">
        <f>IFERROR(VLOOKUP($D1225,'Informations sur les produits'!$A$3:$H$10000,8,FALSE),"0")</f>
        <v>0</v>
      </c>
      <c r="K1225" s="4"/>
      <c r="L1225" s="33" t="str">
        <f>IFERROR(VLOOKUP($J1225,'Informations sur les produits'!$A$3:$H$10000,8,FALSE),"0")</f>
        <v>0</v>
      </c>
      <c r="N1225" s="8"/>
      <c r="O1225" s="33" t="str">
        <f>IFERROR(VLOOKUP($M1225,'Informations sur les produits'!$A$3:$H$10000,8,FALSE),"0")</f>
        <v>0</v>
      </c>
      <c r="P1225" s="33">
        <f t="shared" si="76"/>
        <v>0</v>
      </c>
      <c r="Q1225" s="31" t="str">
        <f t="shared" si="77"/>
        <v/>
      </c>
      <c r="R1225" s="32" t="str">
        <f>IFERROR(VLOOKUP($D1225,'Informations sur les produits'!$A$3:$B$15000,2,FALSE),"")</f>
        <v/>
      </c>
      <c r="V1225">
        <f t="shared" si="78"/>
        <v>0</v>
      </c>
      <c r="W1225">
        <f t="shared" si="79"/>
        <v>0</v>
      </c>
    </row>
    <row r="1226" spans="5:23" x14ac:dyDescent="0.25">
      <c r="E1226" s="4"/>
      <c r="F1226" s="4"/>
      <c r="G1226" s="33" t="str">
        <f>IFERROR(VLOOKUP($D1226,'Informations sur les produits'!$A$3:$H$10000,8,FALSE),"0")</f>
        <v>0</v>
      </c>
      <c r="K1226" s="4"/>
      <c r="L1226" s="33" t="str">
        <f>IFERROR(VLOOKUP($J1226,'Informations sur les produits'!$A$3:$H$10000,8,FALSE),"0")</f>
        <v>0</v>
      </c>
      <c r="N1226" s="8"/>
      <c r="O1226" s="33" t="str">
        <f>IFERROR(VLOOKUP($M1226,'Informations sur les produits'!$A$3:$H$10000,8,FALSE),"0")</f>
        <v>0</v>
      </c>
      <c r="P1226" s="33">
        <f t="shared" si="76"/>
        <v>0</v>
      </c>
      <c r="Q1226" s="31" t="str">
        <f t="shared" si="77"/>
        <v/>
      </c>
      <c r="R1226" s="32" t="str">
        <f>IFERROR(VLOOKUP($D1226,'Informations sur les produits'!$A$3:$B$15000,2,FALSE),"")</f>
        <v/>
      </c>
      <c r="V1226">
        <f t="shared" si="78"/>
        <v>0</v>
      </c>
      <c r="W1226">
        <f t="shared" si="79"/>
        <v>0</v>
      </c>
    </row>
    <row r="1227" spans="5:23" x14ac:dyDescent="0.25">
      <c r="E1227" s="4"/>
      <c r="F1227" s="4"/>
      <c r="G1227" s="33" t="str">
        <f>IFERROR(VLOOKUP($D1227,'Informations sur les produits'!$A$3:$H$10000,8,FALSE),"0")</f>
        <v>0</v>
      </c>
      <c r="K1227" s="4"/>
      <c r="L1227" s="33" t="str">
        <f>IFERROR(VLOOKUP($J1227,'Informations sur les produits'!$A$3:$H$10000,8,FALSE),"0")</f>
        <v>0</v>
      </c>
      <c r="N1227" s="8"/>
      <c r="O1227" s="33" t="str">
        <f>IFERROR(VLOOKUP($M1227,'Informations sur les produits'!$A$3:$H$10000,8,FALSE),"0")</f>
        <v>0</v>
      </c>
      <c r="P1227" s="33">
        <f t="shared" si="76"/>
        <v>0</v>
      </c>
      <c r="Q1227" s="31" t="str">
        <f t="shared" si="77"/>
        <v/>
      </c>
      <c r="R1227" s="32" t="str">
        <f>IFERROR(VLOOKUP($D1227,'Informations sur les produits'!$A$3:$B$15000,2,FALSE),"")</f>
        <v/>
      </c>
      <c r="V1227">
        <f t="shared" si="78"/>
        <v>0</v>
      </c>
      <c r="W1227">
        <f t="shared" si="79"/>
        <v>0</v>
      </c>
    </row>
    <row r="1228" spans="5:23" x14ac:dyDescent="0.25">
      <c r="E1228" s="4"/>
      <c r="F1228" s="4"/>
      <c r="G1228" s="33" t="str">
        <f>IFERROR(VLOOKUP($D1228,'Informations sur les produits'!$A$3:$H$10000,8,FALSE),"0")</f>
        <v>0</v>
      </c>
      <c r="K1228" s="4"/>
      <c r="L1228" s="33" t="str">
        <f>IFERROR(VLOOKUP($J1228,'Informations sur les produits'!$A$3:$H$10000,8,FALSE),"0")</f>
        <v>0</v>
      </c>
      <c r="N1228" s="8"/>
      <c r="O1228" s="33" t="str">
        <f>IFERROR(VLOOKUP($M1228,'Informations sur les produits'!$A$3:$H$10000,8,FALSE),"0")</f>
        <v>0</v>
      </c>
      <c r="P1228" s="33">
        <f t="shared" si="76"/>
        <v>0</v>
      </c>
      <c r="Q1228" s="31" t="str">
        <f t="shared" si="77"/>
        <v/>
      </c>
      <c r="R1228" s="32" t="str">
        <f>IFERROR(VLOOKUP($D1228,'Informations sur les produits'!$A$3:$B$15000,2,FALSE),"")</f>
        <v/>
      </c>
      <c r="V1228">
        <f t="shared" si="78"/>
        <v>0</v>
      </c>
      <c r="W1228">
        <f t="shared" si="79"/>
        <v>0</v>
      </c>
    </row>
    <row r="1229" spans="5:23" x14ac:dyDescent="0.25">
      <c r="E1229" s="4"/>
      <c r="F1229" s="4"/>
      <c r="G1229" s="33" t="str">
        <f>IFERROR(VLOOKUP($D1229,'Informations sur les produits'!$A$3:$H$10000,8,FALSE),"0")</f>
        <v>0</v>
      </c>
      <c r="K1229" s="4"/>
      <c r="L1229" s="33" t="str">
        <f>IFERROR(VLOOKUP($J1229,'Informations sur les produits'!$A$3:$H$10000,8,FALSE),"0")</f>
        <v>0</v>
      </c>
      <c r="N1229" s="8"/>
      <c r="O1229" s="33" t="str">
        <f>IFERROR(VLOOKUP($M1229,'Informations sur les produits'!$A$3:$H$10000,8,FALSE),"0")</f>
        <v>0</v>
      </c>
      <c r="P1229" s="33">
        <f t="shared" si="76"/>
        <v>0</v>
      </c>
      <c r="Q1229" s="31" t="str">
        <f t="shared" si="77"/>
        <v/>
      </c>
      <c r="R1229" s="32" t="str">
        <f>IFERROR(VLOOKUP($D1229,'Informations sur les produits'!$A$3:$B$15000,2,FALSE),"")</f>
        <v/>
      </c>
      <c r="V1229">
        <f t="shared" si="78"/>
        <v>0</v>
      </c>
      <c r="W1229">
        <f t="shared" si="79"/>
        <v>0</v>
      </c>
    </row>
    <row r="1230" spans="5:23" x14ac:dyDescent="0.25">
      <c r="E1230" s="4"/>
      <c r="F1230" s="4"/>
      <c r="G1230" s="33" t="str">
        <f>IFERROR(VLOOKUP($D1230,'Informations sur les produits'!$A$3:$H$10000,8,FALSE),"0")</f>
        <v>0</v>
      </c>
      <c r="K1230" s="4"/>
      <c r="L1230" s="33" t="str">
        <f>IFERROR(VLOOKUP($J1230,'Informations sur les produits'!$A$3:$H$10000,8,FALSE),"0")</f>
        <v>0</v>
      </c>
      <c r="N1230" s="8"/>
      <c r="O1230" s="33" t="str">
        <f>IFERROR(VLOOKUP($M1230,'Informations sur les produits'!$A$3:$H$10000,8,FALSE),"0")</f>
        <v>0</v>
      </c>
      <c r="P1230" s="33">
        <f t="shared" si="76"/>
        <v>0</v>
      </c>
      <c r="Q1230" s="31" t="str">
        <f t="shared" si="77"/>
        <v/>
      </c>
      <c r="R1230" s="32" t="str">
        <f>IFERROR(VLOOKUP($D1230,'Informations sur les produits'!$A$3:$B$15000,2,FALSE),"")</f>
        <v/>
      </c>
      <c r="V1230">
        <f t="shared" si="78"/>
        <v>0</v>
      </c>
      <c r="W1230">
        <f t="shared" si="79"/>
        <v>0</v>
      </c>
    </row>
    <row r="1231" spans="5:23" x14ac:dyDescent="0.25">
      <c r="E1231" s="4"/>
      <c r="F1231" s="4"/>
      <c r="G1231" s="33" t="str">
        <f>IFERROR(VLOOKUP($D1231,'Informations sur les produits'!$A$3:$H$10000,8,FALSE),"0")</f>
        <v>0</v>
      </c>
      <c r="K1231" s="4"/>
      <c r="L1231" s="33" t="str">
        <f>IFERROR(VLOOKUP($J1231,'Informations sur les produits'!$A$3:$H$10000,8,FALSE),"0")</f>
        <v>0</v>
      </c>
      <c r="N1231" s="8"/>
      <c r="O1231" s="33" t="str">
        <f>IFERROR(VLOOKUP($M1231,'Informations sur les produits'!$A$3:$H$10000,8,FALSE),"0")</f>
        <v>0</v>
      </c>
      <c r="P1231" s="33">
        <f t="shared" si="76"/>
        <v>0</v>
      </c>
      <c r="Q1231" s="31" t="str">
        <f t="shared" si="77"/>
        <v/>
      </c>
      <c r="R1231" s="32" t="str">
        <f>IFERROR(VLOOKUP($D1231,'Informations sur les produits'!$A$3:$B$15000,2,FALSE),"")</f>
        <v/>
      </c>
      <c r="V1231">
        <f t="shared" si="78"/>
        <v>0</v>
      </c>
      <c r="W1231">
        <f t="shared" si="79"/>
        <v>0</v>
      </c>
    </row>
    <row r="1232" spans="5:23" x14ac:dyDescent="0.25">
      <c r="E1232" s="4"/>
      <c r="F1232" s="4"/>
      <c r="G1232" s="33" t="str">
        <f>IFERROR(VLOOKUP($D1232,'Informations sur les produits'!$A$3:$H$10000,8,FALSE),"0")</f>
        <v>0</v>
      </c>
      <c r="K1232" s="4"/>
      <c r="L1232" s="33" t="str">
        <f>IFERROR(VLOOKUP($J1232,'Informations sur les produits'!$A$3:$H$10000,8,FALSE),"0")</f>
        <v>0</v>
      </c>
      <c r="N1232" s="8"/>
      <c r="O1232" s="33" t="str">
        <f>IFERROR(VLOOKUP($M1232,'Informations sur les produits'!$A$3:$H$10000,8,FALSE),"0")</f>
        <v>0</v>
      </c>
      <c r="P1232" s="33">
        <f t="shared" si="76"/>
        <v>0</v>
      </c>
      <c r="Q1232" s="31" t="str">
        <f t="shared" si="77"/>
        <v/>
      </c>
      <c r="R1232" s="32" t="str">
        <f>IFERROR(VLOOKUP($D1232,'Informations sur les produits'!$A$3:$B$15000,2,FALSE),"")</f>
        <v/>
      </c>
      <c r="V1232">
        <f t="shared" si="78"/>
        <v>0</v>
      </c>
      <c r="W1232">
        <f t="shared" si="79"/>
        <v>0</v>
      </c>
    </row>
    <row r="1233" spans="5:23" x14ac:dyDescent="0.25">
      <c r="E1233" s="4"/>
      <c r="F1233" s="4"/>
      <c r="G1233" s="33" t="str">
        <f>IFERROR(VLOOKUP($D1233,'Informations sur les produits'!$A$3:$H$10000,8,FALSE),"0")</f>
        <v>0</v>
      </c>
      <c r="K1233" s="4"/>
      <c r="L1233" s="33" t="str">
        <f>IFERROR(VLOOKUP($J1233,'Informations sur les produits'!$A$3:$H$10000,8,FALSE),"0")</f>
        <v>0</v>
      </c>
      <c r="N1233" s="8"/>
      <c r="O1233" s="33" t="str">
        <f>IFERROR(VLOOKUP($M1233,'Informations sur les produits'!$A$3:$H$10000,8,FALSE),"0")</f>
        <v>0</v>
      </c>
      <c r="P1233" s="33">
        <f t="shared" si="76"/>
        <v>0</v>
      </c>
      <c r="Q1233" s="31" t="str">
        <f t="shared" si="77"/>
        <v/>
      </c>
      <c r="R1233" s="32" t="str">
        <f>IFERROR(VLOOKUP($D1233,'Informations sur les produits'!$A$3:$B$15000,2,FALSE),"")</f>
        <v/>
      </c>
      <c r="V1233">
        <f t="shared" si="78"/>
        <v>0</v>
      </c>
      <c r="W1233">
        <f t="shared" si="79"/>
        <v>0</v>
      </c>
    </row>
    <row r="1234" spans="5:23" x14ac:dyDescent="0.25">
      <c r="E1234" s="4"/>
      <c r="F1234" s="4"/>
      <c r="G1234" s="33" t="str">
        <f>IFERROR(VLOOKUP($D1234,'Informations sur les produits'!$A$3:$H$10000,8,FALSE),"0")</f>
        <v>0</v>
      </c>
      <c r="K1234" s="4"/>
      <c r="L1234" s="33" t="str">
        <f>IFERROR(VLOOKUP($J1234,'Informations sur les produits'!$A$3:$H$10000,8,FALSE),"0")</f>
        <v>0</v>
      </c>
      <c r="N1234" s="8"/>
      <c r="O1234" s="33" t="str">
        <f>IFERROR(VLOOKUP($M1234,'Informations sur les produits'!$A$3:$H$10000,8,FALSE),"0")</f>
        <v>0</v>
      </c>
      <c r="P1234" s="33">
        <f t="shared" si="76"/>
        <v>0</v>
      </c>
      <c r="Q1234" s="31" t="str">
        <f t="shared" si="77"/>
        <v/>
      </c>
      <c r="R1234" s="32" t="str">
        <f>IFERROR(VLOOKUP($D1234,'Informations sur les produits'!$A$3:$B$15000,2,FALSE),"")</f>
        <v/>
      </c>
      <c r="V1234">
        <f t="shared" si="78"/>
        <v>0</v>
      </c>
      <c r="W1234">
        <f t="shared" si="79"/>
        <v>0</v>
      </c>
    </row>
    <row r="1235" spans="5:23" x14ac:dyDescent="0.25">
      <c r="E1235" s="4"/>
      <c r="F1235" s="4"/>
      <c r="G1235" s="33" t="str">
        <f>IFERROR(VLOOKUP($D1235,'Informations sur les produits'!$A$3:$H$10000,8,FALSE),"0")</f>
        <v>0</v>
      </c>
      <c r="K1235" s="4"/>
      <c r="L1235" s="33" t="str">
        <f>IFERROR(VLOOKUP($J1235,'Informations sur les produits'!$A$3:$H$10000,8,FALSE),"0")</f>
        <v>0</v>
      </c>
      <c r="N1235" s="8"/>
      <c r="O1235" s="33" t="str">
        <f>IFERROR(VLOOKUP($M1235,'Informations sur les produits'!$A$3:$H$10000,8,FALSE),"0")</f>
        <v>0</v>
      </c>
      <c r="P1235" s="33">
        <f t="shared" si="76"/>
        <v>0</v>
      </c>
      <c r="Q1235" s="31" t="str">
        <f t="shared" si="77"/>
        <v/>
      </c>
      <c r="R1235" s="32" t="str">
        <f>IFERROR(VLOOKUP($D1235,'Informations sur les produits'!$A$3:$B$15000,2,FALSE),"")</f>
        <v/>
      </c>
      <c r="V1235">
        <f t="shared" si="78"/>
        <v>0</v>
      </c>
      <c r="W1235">
        <f t="shared" si="79"/>
        <v>0</v>
      </c>
    </row>
    <row r="1236" spans="5:23" x14ac:dyDescent="0.25">
      <c r="E1236" s="4"/>
      <c r="F1236" s="4"/>
      <c r="G1236" s="33" t="str">
        <f>IFERROR(VLOOKUP($D1236,'Informations sur les produits'!$A$3:$H$10000,8,FALSE),"0")</f>
        <v>0</v>
      </c>
      <c r="K1236" s="4"/>
      <c r="L1236" s="33" t="str">
        <f>IFERROR(VLOOKUP($J1236,'Informations sur les produits'!$A$3:$H$10000,8,FALSE),"0")</f>
        <v>0</v>
      </c>
      <c r="N1236" s="8"/>
      <c r="O1236" s="33" t="str">
        <f>IFERROR(VLOOKUP($M1236,'Informations sur les produits'!$A$3:$H$10000,8,FALSE),"0")</f>
        <v>0</v>
      </c>
      <c r="P1236" s="33">
        <f t="shared" si="76"/>
        <v>0</v>
      </c>
      <c r="Q1236" s="31" t="str">
        <f t="shared" si="77"/>
        <v/>
      </c>
      <c r="R1236" s="32" t="str">
        <f>IFERROR(VLOOKUP($D1236,'Informations sur les produits'!$A$3:$B$15000,2,FALSE),"")</f>
        <v/>
      </c>
      <c r="V1236">
        <f t="shared" si="78"/>
        <v>0</v>
      </c>
      <c r="W1236">
        <f t="shared" si="79"/>
        <v>0</v>
      </c>
    </row>
    <row r="1237" spans="5:23" x14ac:dyDescent="0.25">
      <c r="E1237" s="4"/>
      <c r="F1237" s="4"/>
      <c r="G1237" s="33" t="str">
        <f>IFERROR(VLOOKUP($D1237,'Informations sur les produits'!$A$3:$H$10000,8,FALSE),"0")</f>
        <v>0</v>
      </c>
      <c r="K1237" s="4"/>
      <c r="L1237" s="33" t="str">
        <f>IFERROR(VLOOKUP($J1237,'Informations sur les produits'!$A$3:$H$10000,8,FALSE),"0")</f>
        <v>0</v>
      </c>
      <c r="N1237" s="8"/>
      <c r="O1237" s="33" t="str">
        <f>IFERROR(VLOOKUP($M1237,'Informations sur les produits'!$A$3:$H$10000,8,FALSE),"0")</f>
        <v>0</v>
      </c>
      <c r="P1237" s="33">
        <f t="shared" si="76"/>
        <v>0</v>
      </c>
      <c r="Q1237" s="31" t="str">
        <f t="shared" si="77"/>
        <v/>
      </c>
      <c r="R1237" s="32" t="str">
        <f>IFERROR(VLOOKUP($D1237,'Informations sur les produits'!$A$3:$B$15000,2,FALSE),"")</f>
        <v/>
      </c>
      <c r="V1237">
        <f t="shared" si="78"/>
        <v>0</v>
      </c>
      <c r="W1237">
        <f t="shared" si="79"/>
        <v>0</v>
      </c>
    </row>
    <row r="1238" spans="5:23" x14ac:dyDescent="0.25">
      <c r="E1238" s="4"/>
      <c r="F1238" s="4"/>
      <c r="G1238" s="33" t="str">
        <f>IFERROR(VLOOKUP($D1238,'Informations sur les produits'!$A$3:$H$10000,8,FALSE),"0")</f>
        <v>0</v>
      </c>
      <c r="K1238" s="4"/>
      <c r="L1238" s="33" t="str">
        <f>IFERROR(VLOOKUP($J1238,'Informations sur les produits'!$A$3:$H$10000,8,FALSE),"0")</f>
        <v>0</v>
      </c>
      <c r="N1238" s="8"/>
      <c r="O1238" s="33" t="str">
        <f>IFERROR(VLOOKUP($M1238,'Informations sur les produits'!$A$3:$H$10000,8,FALSE),"0")</f>
        <v>0</v>
      </c>
      <c r="P1238" s="33">
        <f t="shared" si="76"/>
        <v>0</v>
      </c>
      <c r="Q1238" s="31" t="str">
        <f t="shared" si="77"/>
        <v/>
      </c>
      <c r="R1238" s="32" t="str">
        <f>IFERROR(VLOOKUP($D1238,'Informations sur les produits'!$A$3:$B$15000,2,FALSE),"")</f>
        <v/>
      </c>
      <c r="V1238">
        <f t="shared" si="78"/>
        <v>0</v>
      </c>
      <c r="W1238">
        <f t="shared" si="79"/>
        <v>0</v>
      </c>
    </row>
    <row r="1239" spans="5:23" x14ac:dyDescent="0.25">
      <c r="E1239" s="4"/>
      <c r="F1239" s="4"/>
      <c r="G1239" s="33" t="str">
        <f>IFERROR(VLOOKUP($D1239,'Informations sur les produits'!$A$3:$H$10000,8,FALSE),"0")</f>
        <v>0</v>
      </c>
      <c r="K1239" s="4"/>
      <c r="L1239" s="33" t="str">
        <f>IFERROR(VLOOKUP($J1239,'Informations sur les produits'!$A$3:$H$10000,8,FALSE),"0")</f>
        <v>0</v>
      </c>
      <c r="N1239" s="8"/>
      <c r="O1239" s="33" t="str">
        <f>IFERROR(VLOOKUP($M1239,'Informations sur les produits'!$A$3:$H$10000,8,FALSE),"0")</f>
        <v>0</v>
      </c>
      <c r="P1239" s="33">
        <f t="shared" si="76"/>
        <v>0</v>
      </c>
      <c r="Q1239" s="31" t="str">
        <f t="shared" si="77"/>
        <v/>
      </c>
      <c r="R1239" s="32" t="str">
        <f>IFERROR(VLOOKUP($D1239,'Informations sur les produits'!$A$3:$B$15000,2,FALSE),"")</f>
        <v/>
      </c>
      <c r="V1239">
        <f t="shared" si="78"/>
        <v>0</v>
      </c>
      <c r="W1239">
        <f t="shared" si="79"/>
        <v>0</v>
      </c>
    </row>
    <row r="1240" spans="5:23" x14ac:dyDescent="0.25">
      <c r="E1240" s="4"/>
      <c r="F1240" s="4"/>
      <c r="G1240" s="33" t="str">
        <f>IFERROR(VLOOKUP($D1240,'Informations sur les produits'!$A$3:$H$10000,8,FALSE),"0")</f>
        <v>0</v>
      </c>
      <c r="K1240" s="4"/>
      <c r="L1240" s="33" t="str">
        <f>IFERROR(VLOOKUP($J1240,'Informations sur les produits'!$A$3:$H$10000,8,FALSE),"0")</f>
        <v>0</v>
      </c>
      <c r="N1240" s="8"/>
      <c r="O1240" s="33" t="str">
        <f>IFERROR(VLOOKUP($M1240,'Informations sur les produits'!$A$3:$H$10000,8,FALSE),"0")</f>
        <v>0</v>
      </c>
      <c r="P1240" s="33">
        <f t="shared" si="76"/>
        <v>0</v>
      </c>
      <c r="Q1240" s="31" t="str">
        <f t="shared" si="77"/>
        <v/>
      </c>
      <c r="R1240" s="32" t="str">
        <f>IFERROR(VLOOKUP($D1240,'Informations sur les produits'!$A$3:$B$15000,2,FALSE),"")</f>
        <v/>
      </c>
      <c r="V1240">
        <f t="shared" si="78"/>
        <v>0</v>
      </c>
      <c r="W1240">
        <f t="shared" si="79"/>
        <v>0</v>
      </c>
    </row>
    <row r="1241" spans="5:23" x14ac:dyDescent="0.25">
      <c r="E1241" s="4"/>
      <c r="F1241" s="4"/>
      <c r="G1241" s="33" t="str">
        <f>IFERROR(VLOOKUP($D1241,'Informations sur les produits'!$A$3:$H$10000,8,FALSE),"0")</f>
        <v>0</v>
      </c>
      <c r="K1241" s="4"/>
      <c r="L1241" s="33" t="str">
        <f>IFERROR(VLOOKUP($J1241,'Informations sur les produits'!$A$3:$H$10000,8,FALSE),"0")</f>
        <v>0</v>
      </c>
      <c r="N1241" s="8"/>
      <c r="O1241" s="33" t="str">
        <f>IFERROR(VLOOKUP($M1241,'Informations sur les produits'!$A$3:$H$10000,8,FALSE),"0")</f>
        <v>0</v>
      </c>
      <c r="P1241" s="33">
        <f t="shared" si="76"/>
        <v>0</v>
      </c>
      <c r="Q1241" s="31" t="str">
        <f t="shared" si="77"/>
        <v/>
      </c>
      <c r="R1241" s="32" t="str">
        <f>IFERROR(VLOOKUP($D1241,'Informations sur les produits'!$A$3:$B$15000,2,FALSE),"")</f>
        <v/>
      </c>
      <c r="V1241">
        <f t="shared" si="78"/>
        <v>0</v>
      </c>
      <c r="W1241">
        <f t="shared" si="79"/>
        <v>0</v>
      </c>
    </row>
    <row r="1242" spans="5:23" x14ac:dyDescent="0.25">
      <c r="E1242" s="4"/>
      <c r="F1242" s="4"/>
      <c r="G1242" s="33" t="str">
        <f>IFERROR(VLOOKUP($D1242,'Informations sur les produits'!$A$3:$H$10000,8,FALSE),"0")</f>
        <v>0</v>
      </c>
      <c r="K1242" s="4"/>
      <c r="L1242" s="33" t="str">
        <f>IFERROR(VLOOKUP($J1242,'Informations sur les produits'!$A$3:$H$10000,8,FALSE),"0")</f>
        <v>0</v>
      </c>
      <c r="N1242" s="8"/>
      <c r="O1242" s="33" t="str">
        <f>IFERROR(VLOOKUP($M1242,'Informations sur les produits'!$A$3:$H$10000,8,FALSE),"0")</f>
        <v>0</v>
      </c>
      <c r="P1242" s="33">
        <f t="shared" si="76"/>
        <v>0</v>
      </c>
      <c r="Q1242" s="31" t="str">
        <f t="shared" si="77"/>
        <v/>
      </c>
      <c r="R1242" s="32" t="str">
        <f>IFERROR(VLOOKUP($D1242,'Informations sur les produits'!$A$3:$B$15000,2,FALSE),"")</f>
        <v/>
      </c>
      <c r="V1242">
        <f t="shared" si="78"/>
        <v>0</v>
      </c>
      <c r="W1242">
        <f t="shared" si="79"/>
        <v>0</v>
      </c>
    </row>
    <row r="1243" spans="5:23" x14ac:dyDescent="0.25">
      <c r="E1243" s="4"/>
      <c r="F1243" s="4"/>
      <c r="G1243" s="33" t="str">
        <f>IFERROR(VLOOKUP($D1243,'Informations sur les produits'!$A$3:$H$10000,8,FALSE),"0")</f>
        <v>0</v>
      </c>
      <c r="K1243" s="4"/>
      <c r="L1243" s="33" t="str">
        <f>IFERROR(VLOOKUP($J1243,'Informations sur les produits'!$A$3:$H$10000,8,FALSE),"0")</f>
        <v>0</v>
      </c>
      <c r="N1243" s="8"/>
      <c r="O1243" s="33" t="str">
        <f>IFERROR(VLOOKUP($M1243,'Informations sur les produits'!$A$3:$H$10000,8,FALSE),"0")</f>
        <v>0</v>
      </c>
      <c r="P1243" s="33">
        <f t="shared" si="76"/>
        <v>0</v>
      </c>
      <c r="Q1243" s="31" t="str">
        <f t="shared" si="77"/>
        <v/>
      </c>
      <c r="R1243" s="32" t="str">
        <f>IFERROR(VLOOKUP($D1243,'Informations sur les produits'!$A$3:$B$15000,2,FALSE),"")</f>
        <v/>
      </c>
      <c r="V1243">
        <f t="shared" si="78"/>
        <v>0</v>
      </c>
      <c r="W1243">
        <f t="shared" si="79"/>
        <v>0</v>
      </c>
    </row>
    <row r="1244" spans="5:23" x14ac:dyDescent="0.25">
      <c r="E1244" s="4"/>
      <c r="F1244" s="4"/>
      <c r="G1244" s="33" t="str">
        <f>IFERROR(VLOOKUP($D1244,'Informations sur les produits'!$A$3:$H$10000,8,FALSE),"0")</f>
        <v>0</v>
      </c>
      <c r="K1244" s="4"/>
      <c r="L1244" s="33" t="str">
        <f>IFERROR(VLOOKUP($J1244,'Informations sur les produits'!$A$3:$H$10000,8,FALSE),"0")</f>
        <v>0</v>
      </c>
      <c r="N1244" s="8"/>
      <c r="O1244" s="33" t="str">
        <f>IFERROR(VLOOKUP($M1244,'Informations sur les produits'!$A$3:$H$10000,8,FALSE),"0")</f>
        <v>0</v>
      </c>
      <c r="P1244" s="33">
        <f t="shared" si="76"/>
        <v>0</v>
      </c>
      <c r="Q1244" s="31" t="str">
        <f t="shared" si="77"/>
        <v/>
      </c>
      <c r="R1244" s="32" t="str">
        <f>IFERROR(VLOOKUP($D1244,'Informations sur les produits'!$A$3:$B$15000,2,FALSE),"")</f>
        <v/>
      </c>
      <c r="V1244">
        <f t="shared" si="78"/>
        <v>0</v>
      </c>
      <c r="W1244">
        <f t="shared" si="79"/>
        <v>0</v>
      </c>
    </row>
    <row r="1245" spans="5:23" x14ac:dyDescent="0.25">
      <c r="E1245" s="4"/>
      <c r="F1245" s="4"/>
      <c r="G1245" s="33" t="str">
        <f>IFERROR(VLOOKUP($D1245,'Informations sur les produits'!$A$3:$H$10000,8,FALSE),"0")</f>
        <v>0</v>
      </c>
      <c r="K1245" s="4"/>
      <c r="L1245" s="33" t="str">
        <f>IFERROR(VLOOKUP($J1245,'Informations sur les produits'!$A$3:$H$10000,8,FALSE),"0")</f>
        <v>0</v>
      </c>
      <c r="N1245" s="8"/>
      <c r="O1245" s="33" t="str">
        <f>IFERROR(VLOOKUP($M1245,'Informations sur les produits'!$A$3:$H$10000,8,FALSE),"0")</f>
        <v>0</v>
      </c>
      <c r="P1245" s="33">
        <f t="shared" si="76"/>
        <v>0</v>
      </c>
      <c r="Q1245" s="31" t="str">
        <f t="shared" si="77"/>
        <v/>
      </c>
      <c r="R1245" s="32" t="str">
        <f>IFERROR(VLOOKUP($D1245,'Informations sur les produits'!$A$3:$B$15000,2,FALSE),"")</f>
        <v/>
      </c>
      <c r="V1245">
        <f t="shared" si="78"/>
        <v>0</v>
      </c>
      <c r="W1245">
        <f t="shared" si="79"/>
        <v>0</v>
      </c>
    </row>
    <row r="1246" spans="5:23" x14ac:dyDescent="0.25">
      <c r="E1246" s="4"/>
      <c r="F1246" s="4"/>
      <c r="G1246" s="33" t="str">
        <f>IFERROR(VLOOKUP($D1246,'Informations sur les produits'!$A$3:$H$10000,8,FALSE),"0")</f>
        <v>0</v>
      </c>
      <c r="K1246" s="4"/>
      <c r="L1246" s="33" t="str">
        <f>IFERROR(VLOOKUP($J1246,'Informations sur les produits'!$A$3:$H$10000,8,FALSE),"0")</f>
        <v>0</v>
      </c>
      <c r="N1246" s="8"/>
      <c r="O1246" s="33" t="str">
        <f>IFERROR(VLOOKUP($M1246,'Informations sur les produits'!$A$3:$H$10000,8,FALSE),"0")</f>
        <v>0</v>
      </c>
      <c r="P1246" s="33">
        <f t="shared" si="76"/>
        <v>0</v>
      </c>
      <c r="Q1246" s="31" t="str">
        <f t="shared" si="77"/>
        <v/>
      </c>
      <c r="R1246" s="32" t="str">
        <f>IFERROR(VLOOKUP($D1246,'Informations sur les produits'!$A$3:$B$15000,2,FALSE),"")</f>
        <v/>
      </c>
      <c r="V1246">
        <f t="shared" si="78"/>
        <v>0</v>
      </c>
      <c r="W1246">
        <f t="shared" si="79"/>
        <v>0</v>
      </c>
    </row>
    <row r="1247" spans="5:23" x14ac:dyDescent="0.25">
      <c r="E1247" s="4"/>
      <c r="F1247" s="4"/>
      <c r="G1247" s="33" t="str">
        <f>IFERROR(VLOOKUP($D1247,'Informations sur les produits'!$A$3:$H$10000,8,FALSE),"0")</f>
        <v>0</v>
      </c>
      <c r="K1247" s="4"/>
      <c r="L1247" s="33" t="str">
        <f>IFERROR(VLOOKUP($J1247,'Informations sur les produits'!$A$3:$H$10000,8,FALSE),"0")</f>
        <v>0</v>
      </c>
      <c r="N1247" s="8"/>
      <c r="O1247" s="33" t="str">
        <f>IFERROR(VLOOKUP($M1247,'Informations sur les produits'!$A$3:$H$10000,8,FALSE),"0")</f>
        <v>0</v>
      </c>
      <c r="P1247" s="33">
        <f t="shared" si="76"/>
        <v>0</v>
      </c>
      <c r="Q1247" s="31" t="str">
        <f t="shared" si="77"/>
        <v/>
      </c>
      <c r="R1247" s="32" t="str">
        <f>IFERROR(VLOOKUP($D1247,'Informations sur les produits'!$A$3:$B$15000,2,FALSE),"")</f>
        <v/>
      </c>
      <c r="V1247">
        <f t="shared" si="78"/>
        <v>0</v>
      </c>
      <c r="W1247">
        <f t="shared" si="79"/>
        <v>0</v>
      </c>
    </row>
    <row r="1248" spans="5:23" x14ac:dyDescent="0.25">
      <c r="E1248" s="4"/>
      <c r="F1248" s="4"/>
      <c r="G1248" s="33" t="str">
        <f>IFERROR(VLOOKUP($D1248,'Informations sur les produits'!$A$3:$H$10000,8,FALSE),"0")</f>
        <v>0</v>
      </c>
      <c r="K1248" s="4"/>
      <c r="L1248" s="33" t="str">
        <f>IFERROR(VLOOKUP($J1248,'Informations sur les produits'!$A$3:$H$10000,8,FALSE),"0")</f>
        <v>0</v>
      </c>
      <c r="N1248" s="8"/>
      <c r="O1248" s="33" t="str">
        <f>IFERROR(VLOOKUP($M1248,'Informations sur les produits'!$A$3:$H$10000,8,FALSE),"0")</f>
        <v>0</v>
      </c>
      <c r="P1248" s="33">
        <f t="shared" si="76"/>
        <v>0</v>
      </c>
      <c r="Q1248" s="31" t="str">
        <f t="shared" si="77"/>
        <v/>
      </c>
      <c r="R1248" s="32" t="str">
        <f>IFERROR(VLOOKUP($D1248,'Informations sur les produits'!$A$3:$B$15000,2,FALSE),"")</f>
        <v/>
      </c>
      <c r="V1248">
        <f t="shared" si="78"/>
        <v>0</v>
      </c>
      <c r="W1248">
        <f t="shared" si="79"/>
        <v>0</v>
      </c>
    </row>
    <row r="1249" spans="5:23" x14ac:dyDescent="0.25">
      <c r="E1249" s="4"/>
      <c r="F1249" s="4"/>
      <c r="G1249" s="33" t="str">
        <f>IFERROR(VLOOKUP($D1249,'Informations sur les produits'!$A$3:$H$10000,8,FALSE),"0")</f>
        <v>0</v>
      </c>
      <c r="K1249" s="4"/>
      <c r="L1249" s="33" t="str">
        <f>IFERROR(VLOOKUP($J1249,'Informations sur les produits'!$A$3:$H$10000,8,FALSE),"0")</f>
        <v>0</v>
      </c>
      <c r="N1249" s="8"/>
      <c r="O1249" s="33" t="str">
        <f>IFERROR(VLOOKUP($M1249,'Informations sur les produits'!$A$3:$H$10000,8,FALSE),"0")</f>
        <v>0</v>
      </c>
      <c r="P1249" s="33">
        <f t="shared" si="76"/>
        <v>0</v>
      </c>
      <c r="Q1249" s="31" t="str">
        <f t="shared" si="77"/>
        <v/>
      </c>
      <c r="R1249" s="32" t="str">
        <f>IFERROR(VLOOKUP($D1249,'Informations sur les produits'!$A$3:$B$15000,2,FALSE),"")</f>
        <v/>
      </c>
      <c r="V1249">
        <f t="shared" si="78"/>
        <v>0</v>
      </c>
      <c r="W1249">
        <f t="shared" si="79"/>
        <v>0</v>
      </c>
    </row>
    <row r="1250" spans="5:23" x14ac:dyDescent="0.25">
      <c r="E1250" s="4"/>
      <c r="F1250" s="4"/>
      <c r="G1250" s="33" t="str">
        <f>IFERROR(VLOOKUP($D1250,'Informations sur les produits'!$A$3:$H$10000,8,FALSE),"0")</f>
        <v>0</v>
      </c>
      <c r="K1250" s="4"/>
      <c r="L1250" s="33" t="str">
        <f>IFERROR(VLOOKUP($J1250,'Informations sur les produits'!$A$3:$H$10000,8,FALSE),"0")</f>
        <v>0</v>
      </c>
      <c r="N1250" s="8"/>
      <c r="O1250" s="33" t="str">
        <f>IFERROR(VLOOKUP($M1250,'Informations sur les produits'!$A$3:$H$10000,8,FALSE),"0")</f>
        <v>0</v>
      </c>
      <c r="P1250" s="33">
        <f t="shared" si="76"/>
        <v>0</v>
      </c>
      <c r="Q1250" s="31" t="str">
        <f t="shared" si="77"/>
        <v/>
      </c>
      <c r="R1250" s="32" t="str">
        <f>IFERROR(VLOOKUP($D1250,'Informations sur les produits'!$A$3:$B$15000,2,FALSE),"")</f>
        <v/>
      </c>
      <c r="V1250">
        <f t="shared" si="78"/>
        <v>0</v>
      </c>
      <c r="W1250">
        <f t="shared" si="79"/>
        <v>0</v>
      </c>
    </row>
    <row r="1251" spans="5:23" x14ac:dyDescent="0.25">
      <c r="E1251" s="4"/>
      <c r="F1251" s="4"/>
      <c r="G1251" s="33" t="str">
        <f>IFERROR(VLOOKUP($D1251,'Informations sur les produits'!$A$3:$H$10000,8,FALSE),"0")</f>
        <v>0</v>
      </c>
      <c r="K1251" s="4"/>
      <c r="L1251" s="33" t="str">
        <f>IFERROR(VLOOKUP($J1251,'Informations sur les produits'!$A$3:$H$10000,8,FALSE),"0")</f>
        <v>0</v>
      </c>
      <c r="N1251" s="8"/>
      <c r="O1251" s="33" t="str">
        <f>IFERROR(VLOOKUP($M1251,'Informations sur les produits'!$A$3:$H$10000,8,FALSE),"0")</f>
        <v>0</v>
      </c>
      <c r="P1251" s="33">
        <f t="shared" si="76"/>
        <v>0</v>
      </c>
      <c r="Q1251" s="31" t="str">
        <f t="shared" si="77"/>
        <v/>
      </c>
      <c r="R1251" s="32" t="str">
        <f>IFERROR(VLOOKUP($D1251,'Informations sur les produits'!$A$3:$B$15000,2,FALSE),"")</f>
        <v/>
      </c>
      <c r="V1251">
        <f t="shared" si="78"/>
        <v>0</v>
      </c>
      <c r="W1251">
        <f t="shared" si="79"/>
        <v>0</v>
      </c>
    </row>
    <row r="1252" spans="5:23" x14ac:dyDescent="0.25">
      <c r="E1252" s="4"/>
      <c r="F1252" s="4"/>
      <c r="G1252" s="33" t="str">
        <f>IFERROR(VLOOKUP($D1252,'Informations sur les produits'!$A$3:$H$10000,8,FALSE),"0")</f>
        <v>0</v>
      </c>
      <c r="K1252" s="4"/>
      <c r="L1252" s="33" t="str">
        <f>IFERROR(VLOOKUP($J1252,'Informations sur les produits'!$A$3:$H$10000,8,FALSE),"0")</f>
        <v>0</v>
      </c>
      <c r="N1252" s="8"/>
      <c r="O1252" s="33" t="str">
        <f>IFERROR(VLOOKUP($M1252,'Informations sur les produits'!$A$3:$H$10000,8,FALSE),"0")</f>
        <v>0</v>
      </c>
      <c r="P1252" s="33">
        <f t="shared" si="76"/>
        <v>0</v>
      </c>
      <c r="Q1252" s="31" t="str">
        <f t="shared" si="77"/>
        <v/>
      </c>
      <c r="R1252" s="32" t="str">
        <f>IFERROR(VLOOKUP($D1252,'Informations sur les produits'!$A$3:$B$15000,2,FALSE),"")</f>
        <v/>
      </c>
      <c r="V1252">
        <f t="shared" si="78"/>
        <v>0</v>
      </c>
      <c r="W1252">
        <f t="shared" si="79"/>
        <v>0</v>
      </c>
    </row>
    <row r="1253" spans="5:23" x14ac:dyDescent="0.25">
      <c r="E1253" s="4"/>
      <c r="F1253" s="4"/>
      <c r="G1253" s="33" t="str">
        <f>IFERROR(VLOOKUP($D1253,'Informations sur les produits'!$A$3:$H$10000,8,FALSE),"0")</f>
        <v>0</v>
      </c>
      <c r="K1253" s="4"/>
      <c r="L1253" s="33" t="str">
        <f>IFERROR(VLOOKUP($J1253,'Informations sur les produits'!$A$3:$H$10000,8,FALSE),"0")</f>
        <v>0</v>
      </c>
      <c r="N1253" s="8"/>
      <c r="O1253" s="33" t="str">
        <f>IFERROR(VLOOKUP($M1253,'Informations sur les produits'!$A$3:$H$10000,8,FALSE),"0")</f>
        <v>0</v>
      </c>
      <c r="P1253" s="33">
        <f t="shared" si="76"/>
        <v>0</v>
      </c>
      <c r="Q1253" s="31" t="str">
        <f t="shared" si="77"/>
        <v/>
      </c>
      <c r="R1253" s="32" t="str">
        <f>IFERROR(VLOOKUP($D1253,'Informations sur les produits'!$A$3:$B$15000,2,FALSE),"")</f>
        <v/>
      </c>
      <c r="V1253">
        <f t="shared" si="78"/>
        <v>0</v>
      </c>
      <c r="W1253">
        <f t="shared" si="79"/>
        <v>0</v>
      </c>
    </row>
    <row r="1254" spans="5:23" x14ac:dyDescent="0.25">
      <c r="E1254" s="4"/>
      <c r="F1254" s="4"/>
      <c r="G1254" s="33" t="str">
        <f>IFERROR(VLOOKUP($D1254,'Informations sur les produits'!$A$3:$H$10000,8,FALSE),"0")</f>
        <v>0</v>
      </c>
      <c r="K1254" s="4"/>
      <c r="L1254" s="33" t="str">
        <f>IFERROR(VLOOKUP($J1254,'Informations sur les produits'!$A$3:$H$10000,8,FALSE),"0")</f>
        <v>0</v>
      </c>
      <c r="N1254" s="8"/>
      <c r="O1254" s="33" t="str">
        <f>IFERROR(VLOOKUP($M1254,'Informations sur les produits'!$A$3:$H$10000,8,FALSE),"0")</f>
        <v>0</v>
      </c>
      <c r="P1254" s="33">
        <f t="shared" si="76"/>
        <v>0</v>
      </c>
      <c r="Q1254" s="31" t="str">
        <f t="shared" si="77"/>
        <v/>
      </c>
      <c r="R1254" s="32" t="str">
        <f>IFERROR(VLOOKUP($D1254,'Informations sur les produits'!$A$3:$B$15000,2,FALSE),"")</f>
        <v/>
      </c>
      <c r="V1254">
        <f t="shared" si="78"/>
        <v>0</v>
      </c>
      <c r="W1254">
        <f t="shared" si="79"/>
        <v>0</v>
      </c>
    </row>
    <row r="1255" spans="5:23" x14ac:dyDescent="0.25">
      <c r="E1255" s="4"/>
      <c r="F1255" s="4"/>
      <c r="G1255" s="33" t="str">
        <f>IFERROR(VLOOKUP($D1255,'Informations sur les produits'!$A$3:$H$10000,8,FALSE),"0")</f>
        <v>0</v>
      </c>
      <c r="K1255" s="4"/>
      <c r="L1255" s="33" t="str">
        <f>IFERROR(VLOOKUP($J1255,'Informations sur les produits'!$A$3:$H$10000,8,FALSE),"0")</f>
        <v>0</v>
      </c>
      <c r="N1255" s="8"/>
      <c r="O1255" s="33" t="str">
        <f>IFERROR(VLOOKUP($M1255,'Informations sur les produits'!$A$3:$H$10000,8,FALSE),"0")</f>
        <v>0</v>
      </c>
      <c r="P1255" s="33">
        <f t="shared" si="76"/>
        <v>0</v>
      </c>
      <c r="Q1255" s="31" t="str">
        <f t="shared" si="77"/>
        <v/>
      </c>
      <c r="R1255" s="32" t="str">
        <f>IFERROR(VLOOKUP($D1255,'Informations sur les produits'!$A$3:$B$15000,2,FALSE),"")</f>
        <v/>
      </c>
      <c r="V1255">
        <f t="shared" si="78"/>
        <v>0</v>
      </c>
      <c r="W1255">
        <f t="shared" si="79"/>
        <v>0</v>
      </c>
    </row>
    <row r="1256" spans="5:23" x14ac:dyDescent="0.25">
      <c r="E1256" s="4"/>
      <c r="F1256" s="4"/>
      <c r="G1256" s="33" t="str">
        <f>IFERROR(VLOOKUP($D1256,'Informations sur les produits'!$A$3:$H$10000,8,FALSE),"0")</f>
        <v>0</v>
      </c>
      <c r="K1256" s="4"/>
      <c r="L1256" s="33" t="str">
        <f>IFERROR(VLOOKUP($J1256,'Informations sur les produits'!$A$3:$H$10000,8,FALSE),"0")</f>
        <v>0</v>
      </c>
      <c r="N1256" s="8"/>
      <c r="O1256" s="33" t="str">
        <f>IFERROR(VLOOKUP($M1256,'Informations sur les produits'!$A$3:$H$10000,8,FALSE),"0")</f>
        <v>0</v>
      </c>
      <c r="P1256" s="33">
        <f t="shared" si="76"/>
        <v>0</v>
      </c>
      <c r="Q1256" s="31" t="str">
        <f t="shared" si="77"/>
        <v/>
      </c>
      <c r="R1256" s="32" t="str">
        <f>IFERROR(VLOOKUP($D1256,'Informations sur les produits'!$A$3:$B$15000,2,FALSE),"")</f>
        <v/>
      </c>
      <c r="V1256">
        <f t="shared" si="78"/>
        <v>0</v>
      </c>
      <c r="W1256">
        <f t="shared" si="79"/>
        <v>0</v>
      </c>
    </row>
    <row r="1257" spans="5:23" x14ac:dyDescent="0.25">
      <c r="E1257" s="4"/>
      <c r="F1257" s="4"/>
      <c r="G1257" s="33" t="str">
        <f>IFERROR(VLOOKUP($D1257,'Informations sur les produits'!$A$3:$H$10000,8,FALSE),"0")</f>
        <v>0</v>
      </c>
      <c r="K1257" s="4"/>
      <c r="L1257" s="33" t="str">
        <f>IFERROR(VLOOKUP($J1257,'Informations sur les produits'!$A$3:$H$10000,8,FALSE),"0")</f>
        <v>0</v>
      </c>
      <c r="N1257" s="8"/>
      <c r="O1257" s="33" t="str">
        <f>IFERROR(VLOOKUP($M1257,'Informations sur les produits'!$A$3:$H$10000,8,FALSE),"0")</f>
        <v>0</v>
      </c>
      <c r="P1257" s="33">
        <f t="shared" si="76"/>
        <v>0</v>
      </c>
      <c r="Q1257" s="31" t="str">
        <f t="shared" si="77"/>
        <v/>
      </c>
      <c r="R1257" s="32" t="str">
        <f>IFERROR(VLOOKUP($D1257,'Informations sur les produits'!$A$3:$B$15000,2,FALSE),"")</f>
        <v/>
      </c>
      <c r="V1257">
        <f t="shared" si="78"/>
        <v>0</v>
      </c>
      <c r="W1257">
        <f t="shared" si="79"/>
        <v>0</v>
      </c>
    </row>
    <row r="1258" spans="5:23" x14ac:dyDescent="0.25">
      <c r="E1258" s="4"/>
      <c r="F1258" s="4"/>
      <c r="G1258" s="33" t="str">
        <f>IFERROR(VLOOKUP($D1258,'Informations sur les produits'!$A$3:$H$10000,8,FALSE),"0")</f>
        <v>0</v>
      </c>
      <c r="K1258" s="4"/>
      <c r="L1258" s="33" t="str">
        <f>IFERROR(VLOOKUP($J1258,'Informations sur les produits'!$A$3:$H$10000,8,FALSE),"0")</f>
        <v>0</v>
      </c>
      <c r="N1258" s="8"/>
      <c r="O1258" s="33" t="str">
        <f>IFERROR(VLOOKUP($M1258,'Informations sur les produits'!$A$3:$H$10000,8,FALSE),"0")</f>
        <v>0</v>
      </c>
      <c r="P1258" s="33">
        <f t="shared" si="76"/>
        <v>0</v>
      </c>
      <c r="Q1258" s="31" t="str">
        <f t="shared" si="77"/>
        <v/>
      </c>
      <c r="R1258" s="32" t="str">
        <f>IFERROR(VLOOKUP($D1258,'Informations sur les produits'!$A$3:$B$15000,2,FALSE),"")</f>
        <v/>
      </c>
      <c r="V1258">
        <f t="shared" si="78"/>
        <v>0</v>
      </c>
      <c r="W1258">
        <f t="shared" si="79"/>
        <v>0</v>
      </c>
    </row>
    <row r="1259" spans="5:23" x14ac:dyDescent="0.25">
      <c r="E1259" s="4"/>
      <c r="F1259" s="4"/>
      <c r="G1259" s="33" t="str">
        <f>IFERROR(VLOOKUP($D1259,'Informations sur les produits'!$A$3:$H$10000,8,FALSE),"0")</f>
        <v>0</v>
      </c>
      <c r="K1259" s="4"/>
      <c r="L1259" s="33" t="str">
        <f>IFERROR(VLOOKUP($J1259,'Informations sur les produits'!$A$3:$H$10000,8,FALSE),"0")</f>
        <v>0</v>
      </c>
      <c r="N1259" s="8"/>
      <c r="O1259" s="33" t="str">
        <f>IFERROR(VLOOKUP($M1259,'Informations sur les produits'!$A$3:$H$10000,8,FALSE),"0")</f>
        <v>0</v>
      </c>
      <c r="P1259" s="33">
        <f t="shared" si="76"/>
        <v>0</v>
      </c>
      <c r="Q1259" s="31" t="str">
        <f t="shared" si="77"/>
        <v/>
      </c>
      <c r="R1259" s="32" t="str">
        <f>IFERROR(VLOOKUP($D1259,'Informations sur les produits'!$A$3:$B$15000,2,FALSE),"")</f>
        <v/>
      </c>
      <c r="V1259">
        <f t="shared" si="78"/>
        <v>0</v>
      </c>
      <c r="W1259">
        <f t="shared" si="79"/>
        <v>0</v>
      </c>
    </row>
    <row r="1260" spans="5:23" x14ac:dyDescent="0.25">
      <c r="E1260" s="4"/>
      <c r="F1260" s="4"/>
      <c r="G1260" s="33" t="str">
        <f>IFERROR(VLOOKUP($D1260,'Informations sur les produits'!$A$3:$H$10000,8,FALSE),"0")</f>
        <v>0</v>
      </c>
      <c r="K1260" s="4"/>
      <c r="L1260" s="33" t="str">
        <f>IFERROR(VLOOKUP($J1260,'Informations sur les produits'!$A$3:$H$10000,8,FALSE),"0")</f>
        <v>0</v>
      </c>
      <c r="N1260" s="8"/>
      <c r="O1260" s="33" t="str">
        <f>IFERROR(VLOOKUP($M1260,'Informations sur les produits'!$A$3:$H$10000,8,FALSE),"0")</f>
        <v>0</v>
      </c>
      <c r="P1260" s="33">
        <f t="shared" si="76"/>
        <v>0</v>
      </c>
      <c r="Q1260" s="31" t="str">
        <f t="shared" si="77"/>
        <v/>
      </c>
      <c r="R1260" s="32" t="str">
        <f>IFERROR(VLOOKUP($D1260,'Informations sur les produits'!$A$3:$B$15000,2,FALSE),"")</f>
        <v/>
      </c>
      <c r="V1260">
        <f t="shared" si="78"/>
        <v>0</v>
      </c>
      <c r="W1260">
        <f t="shared" si="79"/>
        <v>0</v>
      </c>
    </row>
    <row r="1261" spans="5:23" x14ac:dyDescent="0.25">
      <c r="E1261" s="4"/>
      <c r="F1261" s="4"/>
      <c r="G1261" s="33" t="str">
        <f>IFERROR(VLOOKUP($D1261,'Informations sur les produits'!$A$3:$H$10000,8,FALSE),"0")</f>
        <v>0</v>
      </c>
      <c r="K1261" s="4"/>
      <c r="L1261" s="33" t="str">
        <f>IFERROR(VLOOKUP($J1261,'Informations sur les produits'!$A$3:$H$10000,8,FALSE),"0")</f>
        <v>0</v>
      </c>
      <c r="N1261" s="8"/>
      <c r="O1261" s="33" t="str">
        <f>IFERROR(VLOOKUP($M1261,'Informations sur les produits'!$A$3:$H$10000,8,FALSE),"0")</f>
        <v>0</v>
      </c>
      <c r="P1261" s="33">
        <f t="shared" si="76"/>
        <v>0</v>
      </c>
      <c r="Q1261" s="31" t="str">
        <f t="shared" si="77"/>
        <v/>
      </c>
      <c r="R1261" s="32" t="str">
        <f>IFERROR(VLOOKUP($D1261,'Informations sur les produits'!$A$3:$B$15000,2,FALSE),"")</f>
        <v/>
      </c>
      <c r="V1261">
        <f t="shared" si="78"/>
        <v>0</v>
      </c>
      <c r="W1261">
        <f t="shared" si="79"/>
        <v>0</v>
      </c>
    </row>
    <row r="1262" spans="5:23" x14ac:dyDescent="0.25">
      <c r="E1262" s="4"/>
      <c r="F1262" s="4"/>
      <c r="G1262" s="33" t="str">
        <f>IFERROR(VLOOKUP($D1262,'Informations sur les produits'!$A$3:$H$10000,8,FALSE),"0")</f>
        <v>0</v>
      </c>
      <c r="K1262" s="4"/>
      <c r="L1262" s="33" t="str">
        <f>IFERROR(VLOOKUP($J1262,'Informations sur les produits'!$A$3:$H$10000,8,FALSE),"0")</f>
        <v>0</v>
      </c>
      <c r="N1262" s="8"/>
      <c r="O1262" s="33" t="str">
        <f>IFERROR(VLOOKUP($M1262,'Informations sur les produits'!$A$3:$H$10000,8,FALSE),"0")</f>
        <v>0</v>
      </c>
      <c r="P1262" s="33">
        <f t="shared" si="76"/>
        <v>0</v>
      </c>
      <c r="Q1262" s="31" t="str">
        <f t="shared" si="77"/>
        <v/>
      </c>
      <c r="R1262" s="32" t="str">
        <f>IFERROR(VLOOKUP($D1262,'Informations sur les produits'!$A$3:$B$15000,2,FALSE),"")</f>
        <v/>
      </c>
      <c r="V1262">
        <f t="shared" si="78"/>
        <v>0</v>
      </c>
      <c r="W1262">
        <f t="shared" si="79"/>
        <v>0</v>
      </c>
    </row>
    <row r="1263" spans="5:23" x14ac:dyDescent="0.25">
      <c r="E1263" s="4"/>
      <c r="F1263" s="4"/>
      <c r="G1263" s="33" t="str">
        <f>IFERROR(VLOOKUP($D1263,'Informations sur les produits'!$A$3:$H$10000,8,FALSE),"0")</f>
        <v>0</v>
      </c>
      <c r="K1263" s="4"/>
      <c r="L1263" s="33" t="str">
        <f>IFERROR(VLOOKUP($J1263,'Informations sur les produits'!$A$3:$H$10000,8,FALSE),"0")</f>
        <v>0</v>
      </c>
      <c r="N1263" s="8"/>
      <c r="O1263" s="33" t="str">
        <f>IFERROR(VLOOKUP($M1263,'Informations sur les produits'!$A$3:$H$10000,8,FALSE),"0")</f>
        <v>0</v>
      </c>
      <c r="P1263" s="33">
        <f t="shared" si="76"/>
        <v>0</v>
      </c>
      <c r="Q1263" s="31" t="str">
        <f t="shared" si="77"/>
        <v/>
      </c>
      <c r="R1263" s="32" t="str">
        <f>IFERROR(VLOOKUP($D1263,'Informations sur les produits'!$A$3:$B$15000,2,FALSE),"")</f>
        <v/>
      </c>
      <c r="V1263">
        <f t="shared" si="78"/>
        <v>0</v>
      </c>
      <c r="W1263">
        <f t="shared" si="79"/>
        <v>0</v>
      </c>
    </row>
    <row r="1264" spans="5:23" x14ac:dyDescent="0.25">
      <c r="E1264" s="4"/>
      <c r="F1264" s="4"/>
      <c r="G1264" s="33" t="str">
        <f>IFERROR(VLOOKUP($D1264,'Informations sur les produits'!$A$3:$H$10000,8,FALSE),"0")</f>
        <v>0</v>
      </c>
      <c r="K1264" s="4"/>
      <c r="L1264" s="33" t="str">
        <f>IFERROR(VLOOKUP($J1264,'Informations sur les produits'!$A$3:$H$10000,8,FALSE),"0")</f>
        <v>0</v>
      </c>
      <c r="N1264" s="8"/>
      <c r="O1264" s="33" t="str">
        <f>IFERROR(VLOOKUP($M1264,'Informations sur les produits'!$A$3:$H$10000,8,FALSE),"0")</f>
        <v>0</v>
      </c>
      <c r="P1264" s="33">
        <f t="shared" si="76"/>
        <v>0</v>
      </c>
      <c r="Q1264" s="31" t="str">
        <f t="shared" si="77"/>
        <v/>
      </c>
      <c r="R1264" s="32" t="str">
        <f>IFERROR(VLOOKUP($D1264,'Informations sur les produits'!$A$3:$B$15000,2,FALSE),"")</f>
        <v/>
      </c>
      <c r="V1264">
        <f t="shared" si="78"/>
        <v>0</v>
      </c>
      <c r="W1264">
        <f t="shared" si="79"/>
        <v>0</v>
      </c>
    </row>
    <row r="1265" spans="5:23" x14ac:dyDescent="0.25">
      <c r="E1265" s="4"/>
      <c r="F1265" s="4"/>
      <c r="G1265" s="33" t="str">
        <f>IFERROR(VLOOKUP($D1265,'Informations sur les produits'!$A$3:$H$10000,8,FALSE),"0")</f>
        <v>0</v>
      </c>
      <c r="K1265" s="4"/>
      <c r="L1265" s="33" t="str">
        <f>IFERROR(VLOOKUP($J1265,'Informations sur les produits'!$A$3:$H$10000,8,FALSE),"0")</f>
        <v>0</v>
      </c>
      <c r="N1265" s="8"/>
      <c r="O1265" s="33" t="str">
        <f>IFERROR(VLOOKUP($M1265,'Informations sur les produits'!$A$3:$H$10000,8,FALSE),"0")</f>
        <v>0</v>
      </c>
      <c r="P1265" s="33">
        <f t="shared" si="76"/>
        <v>0</v>
      </c>
      <c r="Q1265" s="31" t="str">
        <f t="shared" si="77"/>
        <v/>
      </c>
      <c r="R1265" s="32" t="str">
        <f>IFERROR(VLOOKUP($D1265,'Informations sur les produits'!$A$3:$B$15000,2,FALSE),"")</f>
        <v/>
      </c>
      <c r="V1265">
        <f t="shared" si="78"/>
        <v>0</v>
      </c>
      <c r="W1265">
        <f t="shared" si="79"/>
        <v>0</v>
      </c>
    </row>
    <row r="1266" spans="5:23" x14ac:dyDescent="0.25">
      <c r="E1266" s="4"/>
      <c r="F1266" s="4"/>
      <c r="G1266" s="33" t="str">
        <f>IFERROR(VLOOKUP($D1266,'Informations sur les produits'!$A$3:$H$10000,8,FALSE),"0")</f>
        <v>0</v>
      </c>
      <c r="K1266" s="4"/>
      <c r="L1266" s="33" t="str">
        <f>IFERROR(VLOOKUP($J1266,'Informations sur les produits'!$A$3:$H$10000,8,FALSE),"0")</f>
        <v>0</v>
      </c>
      <c r="N1266" s="8"/>
      <c r="O1266" s="33" t="str">
        <f>IFERROR(VLOOKUP($M1266,'Informations sur les produits'!$A$3:$H$10000,8,FALSE),"0")</f>
        <v>0</v>
      </c>
      <c r="P1266" s="33">
        <f t="shared" si="76"/>
        <v>0</v>
      </c>
      <c r="Q1266" s="31" t="str">
        <f t="shared" si="77"/>
        <v/>
      </c>
      <c r="R1266" s="32" t="str">
        <f>IFERROR(VLOOKUP($D1266,'Informations sur les produits'!$A$3:$B$15000,2,FALSE),"")</f>
        <v/>
      </c>
      <c r="V1266">
        <f t="shared" si="78"/>
        <v>0</v>
      </c>
      <c r="W1266">
        <f t="shared" si="79"/>
        <v>0</v>
      </c>
    </row>
    <row r="1267" spans="5:23" x14ac:dyDescent="0.25">
      <c r="E1267" s="4"/>
      <c r="F1267" s="4"/>
      <c r="G1267" s="33" t="str">
        <f>IFERROR(VLOOKUP($D1267,'Informations sur les produits'!$A$3:$H$10000,8,FALSE),"0")</f>
        <v>0</v>
      </c>
      <c r="K1267" s="4"/>
      <c r="L1267" s="33" t="str">
        <f>IFERROR(VLOOKUP($J1267,'Informations sur les produits'!$A$3:$H$10000,8,FALSE),"0")</f>
        <v>0</v>
      </c>
      <c r="N1267" s="8"/>
      <c r="O1267" s="33" t="str">
        <f>IFERROR(VLOOKUP($M1267,'Informations sur les produits'!$A$3:$H$10000,8,FALSE),"0")</f>
        <v>0</v>
      </c>
      <c r="P1267" s="33">
        <f t="shared" si="76"/>
        <v>0</v>
      </c>
      <c r="Q1267" s="31" t="str">
        <f t="shared" si="77"/>
        <v/>
      </c>
      <c r="R1267" s="32" t="str">
        <f>IFERROR(VLOOKUP($D1267,'Informations sur les produits'!$A$3:$B$15000,2,FALSE),"")</f>
        <v/>
      </c>
      <c r="V1267">
        <f t="shared" si="78"/>
        <v>0</v>
      </c>
      <c r="W1267">
        <f t="shared" si="79"/>
        <v>0</v>
      </c>
    </row>
    <row r="1268" spans="5:23" x14ac:dyDescent="0.25">
      <c r="E1268" s="4"/>
      <c r="F1268" s="4"/>
      <c r="G1268" s="33" t="str">
        <f>IFERROR(VLOOKUP($D1268,'Informations sur les produits'!$A$3:$H$10000,8,FALSE),"0")</f>
        <v>0</v>
      </c>
      <c r="K1268" s="4"/>
      <c r="L1268" s="33" t="str">
        <f>IFERROR(VLOOKUP($J1268,'Informations sur les produits'!$A$3:$H$10000,8,FALSE),"0")</f>
        <v>0</v>
      </c>
      <c r="N1268" s="8"/>
      <c r="O1268" s="33" t="str">
        <f>IFERROR(VLOOKUP($M1268,'Informations sur les produits'!$A$3:$H$10000,8,FALSE),"0")</f>
        <v>0</v>
      </c>
      <c r="P1268" s="33">
        <f t="shared" si="76"/>
        <v>0</v>
      </c>
      <c r="Q1268" s="31" t="str">
        <f t="shared" si="77"/>
        <v/>
      </c>
      <c r="R1268" s="32" t="str">
        <f>IFERROR(VLOOKUP($D1268,'Informations sur les produits'!$A$3:$B$15000,2,FALSE),"")</f>
        <v/>
      </c>
      <c r="V1268">
        <f t="shared" si="78"/>
        <v>0</v>
      </c>
      <c r="W1268">
        <f t="shared" si="79"/>
        <v>0</v>
      </c>
    </row>
    <row r="1269" spans="5:23" x14ac:dyDescent="0.25">
      <c r="E1269" s="4"/>
      <c r="F1269" s="4"/>
      <c r="G1269" s="33" t="str">
        <f>IFERROR(VLOOKUP($D1269,'Informations sur les produits'!$A$3:$H$10000,8,FALSE),"0")</f>
        <v>0</v>
      </c>
      <c r="K1269" s="4"/>
      <c r="L1269" s="33" t="str">
        <f>IFERROR(VLOOKUP($J1269,'Informations sur les produits'!$A$3:$H$10000,8,FALSE),"0")</f>
        <v>0</v>
      </c>
      <c r="N1269" s="8"/>
      <c r="O1269" s="33" t="str">
        <f>IFERROR(VLOOKUP($M1269,'Informations sur les produits'!$A$3:$H$10000,8,FALSE),"0")</f>
        <v>0</v>
      </c>
      <c r="P1269" s="33">
        <f t="shared" si="76"/>
        <v>0</v>
      </c>
      <c r="Q1269" s="31" t="str">
        <f t="shared" si="77"/>
        <v/>
      </c>
      <c r="R1269" s="32" t="str">
        <f>IFERROR(VLOOKUP($D1269,'Informations sur les produits'!$A$3:$B$15000,2,FALSE),"")</f>
        <v/>
      </c>
      <c r="V1269">
        <f t="shared" si="78"/>
        <v>0</v>
      </c>
      <c r="W1269">
        <f t="shared" si="79"/>
        <v>0</v>
      </c>
    </row>
    <row r="1270" spans="5:23" x14ac:dyDescent="0.25">
      <c r="E1270" s="4"/>
      <c r="F1270" s="4"/>
      <c r="G1270" s="33" t="str">
        <f>IFERROR(VLOOKUP($D1270,'Informations sur les produits'!$A$3:$H$10000,8,FALSE),"0")</f>
        <v>0</v>
      </c>
      <c r="K1270" s="4"/>
      <c r="L1270" s="33" t="str">
        <f>IFERROR(VLOOKUP($J1270,'Informations sur les produits'!$A$3:$H$10000,8,FALSE),"0")</f>
        <v>0</v>
      </c>
      <c r="N1270" s="8"/>
      <c r="O1270" s="33" t="str">
        <f>IFERROR(VLOOKUP($M1270,'Informations sur les produits'!$A$3:$H$10000,8,FALSE),"0")</f>
        <v>0</v>
      </c>
      <c r="P1270" s="33">
        <f t="shared" si="76"/>
        <v>0</v>
      </c>
      <c r="Q1270" s="31" t="str">
        <f t="shared" si="77"/>
        <v/>
      </c>
      <c r="R1270" s="32" t="str">
        <f>IFERROR(VLOOKUP($D1270,'Informations sur les produits'!$A$3:$B$15000,2,FALSE),"")</f>
        <v/>
      </c>
      <c r="V1270">
        <f t="shared" si="78"/>
        <v>0</v>
      </c>
      <c r="W1270">
        <f t="shared" si="79"/>
        <v>0</v>
      </c>
    </row>
    <row r="1271" spans="5:23" x14ac:dyDescent="0.25">
      <c r="E1271" s="4"/>
      <c r="F1271" s="4"/>
      <c r="G1271" s="33" t="str">
        <f>IFERROR(VLOOKUP($D1271,'Informations sur les produits'!$A$3:$H$10000,8,FALSE),"0")</f>
        <v>0</v>
      </c>
      <c r="K1271" s="4"/>
      <c r="L1271" s="33" t="str">
        <f>IFERROR(VLOOKUP($J1271,'Informations sur les produits'!$A$3:$H$10000,8,FALSE),"0")</f>
        <v>0</v>
      </c>
      <c r="N1271" s="8"/>
      <c r="O1271" s="33" t="str">
        <f>IFERROR(VLOOKUP($M1271,'Informations sur les produits'!$A$3:$H$10000,8,FALSE),"0")</f>
        <v>0</v>
      </c>
      <c r="P1271" s="33">
        <f t="shared" si="76"/>
        <v>0</v>
      </c>
      <c r="Q1271" s="31" t="str">
        <f t="shared" si="77"/>
        <v/>
      </c>
      <c r="R1271" s="32" t="str">
        <f>IFERROR(VLOOKUP($D1271,'Informations sur les produits'!$A$3:$B$15000,2,FALSE),"")</f>
        <v/>
      </c>
      <c r="V1271">
        <f t="shared" si="78"/>
        <v>0</v>
      </c>
      <c r="W1271">
        <f t="shared" si="79"/>
        <v>0</v>
      </c>
    </row>
    <row r="1272" spans="5:23" x14ac:dyDescent="0.25">
      <c r="E1272" s="4"/>
      <c r="F1272" s="4"/>
      <c r="G1272" s="33" t="str">
        <f>IFERROR(VLOOKUP($D1272,'Informations sur les produits'!$A$3:$H$10000,8,FALSE),"0")</f>
        <v>0</v>
      </c>
      <c r="K1272" s="4"/>
      <c r="L1272" s="33" t="str">
        <f>IFERROR(VLOOKUP($J1272,'Informations sur les produits'!$A$3:$H$10000,8,FALSE),"0")</f>
        <v>0</v>
      </c>
      <c r="N1272" s="8"/>
      <c r="O1272" s="33" t="str">
        <f>IFERROR(VLOOKUP($M1272,'Informations sur les produits'!$A$3:$H$10000,8,FALSE),"0")</f>
        <v>0</v>
      </c>
      <c r="P1272" s="33">
        <f t="shared" si="76"/>
        <v>0</v>
      </c>
      <c r="Q1272" s="31" t="str">
        <f t="shared" si="77"/>
        <v/>
      </c>
      <c r="R1272" s="32" t="str">
        <f>IFERROR(VLOOKUP($D1272,'Informations sur les produits'!$A$3:$B$15000,2,FALSE),"")</f>
        <v/>
      </c>
      <c r="V1272">
        <f t="shared" si="78"/>
        <v>0</v>
      </c>
      <c r="W1272">
        <f t="shared" si="79"/>
        <v>0</v>
      </c>
    </row>
    <row r="1273" spans="5:23" x14ac:dyDescent="0.25">
      <c r="E1273" s="4"/>
      <c r="F1273" s="4"/>
      <c r="G1273" s="33" t="str">
        <f>IFERROR(VLOOKUP($D1273,'Informations sur les produits'!$A$3:$H$10000,8,FALSE),"0")</f>
        <v>0</v>
      </c>
      <c r="K1273" s="4"/>
      <c r="L1273" s="33" t="str">
        <f>IFERROR(VLOOKUP($J1273,'Informations sur les produits'!$A$3:$H$10000,8,FALSE),"0")</f>
        <v>0</v>
      </c>
      <c r="N1273" s="8"/>
      <c r="O1273" s="33" t="str">
        <f>IFERROR(VLOOKUP($M1273,'Informations sur les produits'!$A$3:$H$10000,8,FALSE),"0")</f>
        <v>0</v>
      </c>
      <c r="P1273" s="33">
        <f t="shared" si="76"/>
        <v>0</v>
      </c>
      <c r="Q1273" s="31" t="str">
        <f t="shared" si="77"/>
        <v/>
      </c>
      <c r="R1273" s="32" t="str">
        <f>IFERROR(VLOOKUP($D1273,'Informations sur les produits'!$A$3:$B$15000,2,FALSE),"")</f>
        <v/>
      </c>
      <c r="V1273">
        <f t="shared" si="78"/>
        <v>0</v>
      </c>
      <c r="W1273">
        <f t="shared" si="79"/>
        <v>0</v>
      </c>
    </row>
    <row r="1274" spans="5:23" x14ac:dyDescent="0.25">
      <c r="E1274" s="4"/>
      <c r="F1274" s="4"/>
      <c r="G1274" s="33" t="str">
        <f>IFERROR(VLOOKUP($D1274,'Informations sur les produits'!$A$3:$H$10000,8,FALSE),"0")</f>
        <v>0</v>
      </c>
      <c r="K1274" s="4"/>
      <c r="L1274" s="33" t="str">
        <f>IFERROR(VLOOKUP($J1274,'Informations sur les produits'!$A$3:$H$10000,8,FALSE),"0")</f>
        <v>0</v>
      </c>
      <c r="N1274" s="8"/>
      <c r="O1274" s="33" t="str">
        <f>IFERROR(VLOOKUP($M1274,'Informations sur les produits'!$A$3:$H$10000,8,FALSE),"0")</f>
        <v>0</v>
      </c>
      <c r="P1274" s="33">
        <f t="shared" si="76"/>
        <v>0</v>
      </c>
      <c r="Q1274" s="31" t="str">
        <f t="shared" si="77"/>
        <v/>
      </c>
      <c r="R1274" s="32" t="str">
        <f>IFERROR(VLOOKUP($D1274,'Informations sur les produits'!$A$3:$B$15000,2,FALSE),"")</f>
        <v/>
      </c>
      <c r="V1274">
        <f t="shared" si="78"/>
        <v>0</v>
      </c>
      <c r="W1274">
        <f t="shared" si="79"/>
        <v>0</v>
      </c>
    </row>
    <row r="1275" spans="5:23" x14ac:dyDescent="0.25">
      <c r="E1275" s="4"/>
      <c r="F1275" s="4"/>
      <c r="G1275" s="33" t="str">
        <f>IFERROR(VLOOKUP($D1275,'Informations sur les produits'!$A$3:$H$10000,8,FALSE),"0")</f>
        <v>0</v>
      </c>
      <c r="K1275" s="4"/>
      <c r="L1275" s="33" t="str">
        <f>IFERROR(VLOOKUP($J1275,'Informations sur les produits'!$A$3:$H$10000,8,FALSE),"0")</f>
        <v>0</v>
      </c>
      <c r="N1275" s="8"/>
      <c r="O1275" s="33" t="str">
        <f>IFERROR(VLOOKUP($M1275,'Informations sur les produits'!$A$3:$H$10000,8,FALSE),"0")</f>
        <v>0</v>
      </c>
      <c r="P1275" s="33">
        <f t="shared" si="76"/>
        <v>0</v>
      </c>
      <c r="Q1275" s="31" t="str">
        <f t="shared" si="77"/>
        <v/>
      </c>
      <c r="R1275" s="32" t="str">
        <f>IFERROR(VLOOKUP($D1275,'Informations sur les produits'!$A$3:$B$15000,2,FALSE),"")</f>
        <v/>
      </c>
      <c r="V1275">
        <f t="shared" si="78"/>
        <v>0</v>
      </c>
      <c r="W1275">
        <f t="shared" si="79"/>
        <v>0</v>
      </c>
    </row>
    <row r="1276" spans="5:23" x14ac:dyDescent="0.25">
      <c r="E1276" s="4"/>
      <c r="F1276" s="4"/>
      <c r="G1276" s="33" t="str">
        <f>IFERROR(VLOOKUP($D1276,'Informations sur les produits'!$A$3:$H$10000,8,FALSE),"0")</f>
        <v>0</v>
      </c>
      <c r="K1276" s="4"/>
      <c r="L1276" s="33" t="str">
        <f>IFERROR(VLOOKUP($J1276,'Informations sur les produits'!$A$3:$H$10000,8,FALSE),"0")</f>
        <v>0</v>
      </c>
      <c r="N1276" s="8"/>
      <c r="O1276" s="33" t="str">
        <f>IFERROR(VLOOKUP($M1276,'Informations sur les produits'!$A$3:$H$10000,8,FALSE),"0")</f>
        <v>0</v>
      </c>
      <c r="P1276" s="33">
        <f t="shared" si="76"/>
        <v>0</v>
      </c>
      <c r="Q1276" s="31" t="str">
        <f t="shared" si="77"/>
        <v/>
      </c>
      <c r="R1276" s="32" t="str">
        <f>IFERROR(VLOOKUP($D1276,'Informations sur les produits'!$A$3:$B$15000,2,FALSE),"")</f>
        <v/>
      </c>
      <c r="V1276">
        <f t="shared" si="78"/>
        <v>0</v>
      </c>
      <c r="W1276">
        <f t="shared" si="79"/>
        <v>0</v>
      </c>
    </row>
    <row r="1277" spans="5:23" x14ac:dyDescent="0.25">
      <c r="E1277" s="4"/>
      <c r="F1277" s="4"/>
      <c r="G1277" s="33" t="str">
        <f>IFERROR(VLOOKUP($D1277,'Informations sur les produits'!$A$3:$H$10000,8,FALSE),"0")</f>
        <v>0</v>
      </c>
      <c r="K1277" s="4"/>
      <c r="L1277" s="33" t="str">
        <f>IFERROR(VLOOKUP($J1277,'Informations sur les produits'!$A$3:$H$10000,8,FALSE),"0")</f>
        <v>0</v>
      </c>
      <c r="N1277" s="8"/>
      <c r="O1277" s="33" t="str">
        <f>IFERROR(VLOOKUP($M1277,'Informations sur les produits'!$A$3:$H$10000,8,FALSE),"0")</f>
        <v>0</v>
      </c>
      <c r="P1277" s="33">
        <f t="shared" si="76"/>
        <v>0</v>
      </c>
      <c r="Q1277" s="31" t="str">
        <f t="shared" si="77"/>
        <v/>
      </c>
      <c r="R1277" s="32" t="str">
        <f>IFERROR(VLOOKUP($D1277,'Informations sur les produits'!$A$3:$B$15000,2,FALSE),"")</f>
        <v/>
      </c>
      <c r="V1277">
        <f t="shared" si="78"/>
        <v>0</v>
      </c>
      <c r="W1277">
        <f t="shared" si="79"/>
        <v>0</v>
      </c>
    </row>
    <row r="1278" spans="5:23" x14ac:dyDescent="0.25">
      <c r="E1278" s="4"/>
      <c r="F1278" s="4"/>
      <c r="G1278" s="33" t="str">
        <f>IFERROR(VLOOKUP($D1278,'Informations sur les produits'!$A$3:$H$10000,8,FALSE),"0")</f>
        <v>0</v>
      </c>
      <c r="K1278" s="4"/>
      <c r="L1278" s="33" t="str">
        <f>IFERROR(VLOOKUP($J1278,'Informations sur les produits'!$A$3:$H$10000,8,FALSE),"0")</f>
        <v>0</v>
      </c>
      <c r="N1278" s="8"/>
      <c r="O1278" s="33" t="str">
        <f>IFERROR(VLOOKUP($M1278,'Informations sur les produits'!$A$3:$H$10000,8,FALSE),"0")</f>
        <v>0</v>
      </c>
      <c r="P1278" s="33">
        <f t="shared" si="76"/>
        <v>0</v>
      </c>
      <c r="Q1278" s="31" t="str">
        <f t="shared" si="77"/>
        <v/>
      </c>
      <c r="R1278" s="32" t="str">
        <f>IFERROR(VLOOKUP($D1278,'Informations sur les produits'!$A$3:$B$15000,2,FALSE),"")</f>
        <v/>
      </c>
      <c r="V1278">
        <f t="shared" si="78"/>
        <v>0</v>
      </c>
      <c r="W1278">
        <f t="shared" si="79"/>
        <v>0</v>
      </c>
    </row>
    <row r="1279" spans="5:23" x14ac:dyDescent="0.25">
      <c r="E1279" s="4"/>
      <c r="F1279" s="4"/>
      <c r="G1279" s="33" t="str">
        <f>IFERROR(VLOOKUP($D1279,'Informations sur les produits'!$A$3:$H$10000,8,FALSE),"0")</f>
        <v>0</v>
      </c>
      <c r="K1279" s="4"/>
      <c r="L1279" s="33" t="str">
        <f>IFERROR(VLOOKUP($J1279,'Informations sur les produits'!$A$3:$H$10000,8,FALSE),"0")</f>
        <v>0</v>
      </c>
      <c r="N1279" s="8"/>
      <c r="O1279" s="33" t="str">
        <f>IFERROR(VLOOKUP($M1279,'Informations sur les produits'!$A$3:$H$10000,8,FALSE),"0")</f>
        <v>0</v>
      </c>
      <c r="P1279" s="33">
        <f t="shared" si="76"/>
        <v>0</v>
      </c>
      <c r="Q1279" s="31" t="str">
        <f t="shared" si="77"/>
        <v/>
      </c>
      <c r="R1279" s="32" t="str">
        <f>IFERROR(VLOOKUP($D1279,'Informations sur les produits'!$A$3:$B$15000,2,FALSE),"")</f>
        <v/>
      </c>
      <c r="V1279">
        <f t="shared" si="78"/>
        <v>0</v>
      </c>
      <c r="W1279">
        <f t="shared" si="79"/>
        <v>0</v>
      </c>
    </row>
    <row r="1280" spans="5:23" x14ac:dyDescent="0.25">
      <c r="E1280" s="4"/>
      <c r="F1280" s="4"/>
      <c r="G1280" s="33" t="str">
        <f>IFERROR(VLOOKUP($D1280,'Informations sur les produits'!$A$3:$H$10000,8,FALSE),"0")</f>
        <v>0</v>
      </c>
      <c r="K1280" s="4"/>
      <c r="L1280" s="33" t="str">
        <f>IFERROR(VLOOKUP($J1280,'Informations sur les produits'!$A$3:$H$10000,8,FALSE),"0")</f>
        <v>0</v>
      </c>
      <c r="N1280" s="8"/>
      <c r="O1280" s="33" t="str">
        <f>IFERROR(VLOOKUP($M1280,'Informations sur les produits'!$A$3:$H$10000,8,FALSE),"0")</f>
        <v>0</v>
      </c>
      <c r="P1280" s="33">
        <f t="shared" si="76"/>
        <v>0</v>
      </c>
      <c r="Q1280" s="31" t="str">
        <f t="shared" si="77"/>
        <v/>
      </c>
      <c r="R1280" s="32" t="str">
        <f>IFERROR(VLOOKUP($D1280,'Informations sur les produits'!$A$3:$B$15000,2,FALSE),"")</f>
        <v/>
      </c>
      <c r="V1280">
        <f t="shared" si="78"/>
        <v>0</v>
      </c>
      <c r="W1280">
        <f t="shared" si="79"/>
        <v>0</v>
      </c>
    </row>
    <row r="1281" spans="5:23" x14ac:dyDescent="0.25">
      <c r="E1281" s="4"/>
      <c r="F1281" s="4"/>
      <c r="G1281" s="33" t="str">
        <f>IFERROR(VLOOKUP($D1281,'Informations sur les produits'!$A$3:$H$10000,8,FALSE),"0")</f>
        <v>0</v>
      </c>
      <c r="K1281" s="4"/>
      <c r="L1281" s="33" t="str">
        <f>IFERROR(VLOOKUP($J1281,'Informations sur les produits'!$A$3:$H$10000,8,FALSE),"0")</f>
        <v>0</v>
      </c>
      <c r="N1281" s="8"/>
      <c r="O1281" s="33" t="str">
        <f>IFERROR(VLOOKUP($M1281,'Informations sur les produits'!$A$3:$H$10000,8,FALSE),"0")</f>
        <v>0</v>
      </c>
      <c r="P1281" s="33">
        <f t="shared" si="76"/>
        <v>0</v>
      </c>
      <c r="Q1281" s="31" t="str">
        <f t="shared" si="77"/>
        <v/>
      </c>
      <c r="R1281" s="32" t="str">
        <f>IFERROR(VLOOKUP($D1281,'Informations sur les produits'!$A$3:$B$15000,2,FALSE),"")</f>
        <v/>
      </c>
      <c r="V1281">
        <f t="shared" si="78"/>
        <v>0</v>
      </c>
      <c r="W1281">
        <f t="shared" si="79"/>
        <v>0</v>
      </c>
    </row>
    <row r="1282" spans="5:23" x14ac:dyDescent="0.25">
      <c r="E1282" s="4"/>
      <c r="F1282" s="4"/>
      <c r="G1282" s="33" t="str">
        <f>IFERROR(VLOOKUP($D1282,'Informations sur les produits'!$A$3:$H$10000,8,FALSE),"0")</f>
        <v>0</v>
      </c>
      <c r="K1282" s="4"/>
      <c r="L1282" s="33" t="str">
        <f>IFERROR(VLOOKUP($J1282,'Informations sur les produits'!$A$3:$H$10000,8,FALSE),"0")</f>
        <v>0</v>
      </c>
      <c r="N1282" s="8"/>
      <c r="O1282" s="33" t="str">
        <f>IFERROR(VLOOKUP($M1282,'Informations sur les produits'!$A$3:$H$10000,8,FALSE),"0")</f>
        <v>0</v>
      </c>
      <c r="P1282" s="33">
        <f t="shared" si="76"/>
        <v>0</v>
      </c>
      <c r="Q1282" s="31" t="str">
        <f t="shared" si="77"/>
        <v/>
      </c>
      <c r="R1282" s="32" t="str">
        <f>IFERROR(VLOOKUP($D1282,'Informations sur les produits'!$A$3:$B$15000,2,FALSE),"")</f>
        <v/>
      </c>
      <c r="V1282">
        <f t="shared" si="78"/>
        <v>0</v>
      </c>
      <c r="W1282">
        <f t="shared" si="79"/>
        <v>0</v>
      </c>
    </row>
    <row r="1283" spans="5:23" x14ac:dyDescent="0.25">
      <c r="E1283" s="4"/>
      <c r="F1283" s="4"/>
      <c r="G1283" s="33" t="str">
        <f>IFERROR(VLOOKUP($D1283,'Informations sur les produits'!$A$3:$H$10000,8,FALSE),"0")</f>
        <v>0</v>
      </c>
      <c r="K1283" s="4"/>
      <c r="L1283" s="33" t="str">
        <f>IFERROR(VLOOKUP($J1283,'Informations sur les produits'!$A$3:$H$10000,8,FALSE),"0")</f>
        <v>0</v>
      </c>
      <c r="N1283" s="8"/>
      <c r="O1283" s="33" t="str">
        <f>IFERROR(VLOOKUP($M1283,'Informations sur les produits'!$A$3:$H$10000,8,FALSE),"0")</f>
        <v>0</v>
      </c>
      <c r="P1283" s="33">
        <f t="shared" si="76"/>
        <v>0</v>
      </c>
      <c r="Q1283" s="31" t="str">
        <f t="shared" si="77"/>
        <v/>
      </c>
      <c r="R1283" s="32" t="str">
        <f>IFERROR(VLOOKUP($D1283,'Informations sur les produits'!$A$3:$B$15000,2,FALSE),"")</f>
        <v/>
      </c>
      <c r="V1283">
        <f t="shared" si="78"/>
        <v>0</v>
      </c>
      <c r="W1283">
        <f t="shared" si="79"/>
        <v>0</v>
      </c>
    </row>
    <row r="1284" spans="5:23" x14ac:dyDescent="0.25">
      <c r="E1284" s="4"/>
      <c r="F1284" s="4"/>
      <c r="G1284" s="33" t="str">
        <f>IFERROR(VLOOKUP($D1284,'Informations sur les produits'!$A$3:$H$10000,8,FALSE),"0")</f>
        <v>0</v>
      </c>
      <c r="K1284" s="4"/>
      <c r="L1284" s="33" t="str">
        <f>IFERROR(VLOOKUP($J1284,'Informations sur les produits'!$A$3:$H$10000,8,FALSE),"0")</f>
        <v>0</v>
      </c>
      <c r="N1284" s="8"/>
      <c r="O1284" s="33" t="str">
        <f>IFERROR(VLOOKUP($M1284,'Informations sur les produits'!$A$3:$H$10000,8,FALSE),"0")</f>
        <v>0</v>
      </c>
      <c r="P1284" s="33">
        <f t="shared" ref="P1284:P1347" si="80">IFERROR((($E1284-$F1284)*$G1284+$K1284*$L1284+$N1284*$O1284),"")</f>
        <v>0</v>
      </c>
      <c r="Q1284" s="31" t="str">
        <f t="shared" ref="Q1284:Q1347" si="81">IFERROR((((($E1284-$F1284)*$G1284+$K1284*$L1284+$N1284*$O1284)*1000)/(($E1284-$F1284)+$K1284+$N1284)),"")</f>
        <v/>
      </c>
      <c r="R1284" s="32" t="str">
        <f>IFERROR(VLOOKUP($D1284,'Informations sur les produits'!$A$3:$B$15000,2,FALSE),"")</f>
        <v/>
      </c>
      <c r="V1284">
        <f t="shared" ref="V1284:V1347" si="82">IFERROR(P1284*1000,"")</f>
        <v>0</v>
      </c>
      <c r="W1284">
        <f t="shared" ref="W1284:W1347" si="83">IFERROR(($E1284-$F1284)+$K1284+$N1284,"")</f>
        <v>0</v>
      </c>
    </row>
    <row r="1285" spans="5:23" x14ac:dyDescent="0.25">
      <c r="E1285" s="4"/>
      <c r="F1285" s="4"/>
      <c r="G1285" s="33" t="str">
        <f>IFERROR(VLOOKUP($D1285,'Informations sur les produits'!$A$3:$H$10000,8,FALSE),"0")</f>
        <v>0</v>
      </c>
      <c r="K1285" s="4"/>
      <c r="L1285" s="33" t="str">
        <f>IFERROR(VLOOKUP($J1285,'Informations sur les produits'!$A$3:$H$10000,8,FALSE),"0")</f>
        <v>0</v>
      </c>
      <c r="N1285" s="8"/>
      <c r="O1285" s="33" t="str">
        <f>IFERROR(VLOOKUP($M1285,'Informations sur les produits'!$A$3:$H$10000,8,FALSE),"0")</f>
        <v>0</v>
      </c>
      <c r="P1285" s="33">
        <f t="shared" si="80"/>
        <v>0</v>
      </c>
      <c r="Q1285" s="31" t="str">
        <f t="shared" si="81"/>
        <v/>
      </c>
      <c r="R1285" s="32" t="str">
        <f>IFERROR(VLOOKUP($D1285,'Informations sur les produits'!$A$3:$B$15000,2,FALSE),"")</f>
        <v/>
      </c>
      <c r="V1285">
        <f t="shared" si="82"/>
        <v>0</v>
      </c>
      <c r="W1285">
        <f t="shared" si="83"/>
        <v>0</v>
      </c>
    </row>
    <row r="1286" spans="5:23" x14ac:dyDescent="0.25">
      <c r="E1286" s="4"/>
      <c r="F1286" s="4"/>
      <c r="G1286" s="33" t="str">
        <f>IFERROR(VLOOKUP($D1286,'Informations sur les produits'!$A$3:$H$10000,8,FALSE),"0")</f>
        <v>0</v>
      </c>
      <c r="K1286" s="4"/>
      <c r="L1286" s="33" t="str">
        <f>IFERROR(VLOOKUP($J1286,'Informations sur les produits'!$A$3:$H$10000,8,FALSE),"0")</f>
        <v>0</v>
      </c>
      <c r="N1286" s="8"/>
      <c r="O1286" s="33" t="str">
        <f>IFERROR(VLOOKUP($M1286,'Informations sur les produits'!$A$3:$H$10000,8,FALSE),"0")</f>
        <v>0</v>
      </c>
      <c r="P1286" s="33">
        <f t="shared" si="80"/>
        <v>0</v>
      </c>
      <c r="Q1286" s="31" t="str">
        <f t="shared" si="81"/>
        <v/>
      </c>
      <c r="R1286" s="32" t="str">
        <f>IFERROR(VLOOKUP($D1286,'Informations sur les produits'!$A$3:$B$15000,2,FALSE),"")</f>
        <v/>
      </c>
      <c r="V1286">
        <f t="shared" si="82"/>
        <v>0</v>
      </c>
      <c r="W1286">
        <f t="shared" si="83"/>
        <v>0</v>
      </c>
    </row>
    <row r="1287" spans="5:23" x14ac:dyDescent="0.25">
      <c r="E1287" s="4"/>
      <c r="F1287" s="4"/>
      <c r="G1287" s="33" t="str">
        <f>IFERROR(VLOOKUP($D1287,'Informations sur les produits'!$A$3:$H$10000,8,FALSE),"0")</f>
        <v>0</v>
      </c>
      <c r="K1287" s="4"/>
      <c r="L1287" s="33" t="str">
        <f>IFERROR(VLOOKUP($J1287,'Informations sur les produits'!$A$3:$H$10000,8,FALSE),"0")</f>
        <v>0</v>
      </c>
      <c r="N1287" s="8"/>
      <c r="O1287" s="33" t="str">
        <f>IFERROR(VLOOKUP($M1287,'Informations sur les produits'!$A$3:$H$10000,8,FALSE),"0")</f>
        <v>0</v>
      </c>
      <c r="P1287" s="33">
        <f t="shared" si="80"/>
        <v>0</v>
      </c>
      <c r="Q1287" s="31" t="str">
        <f t="shared" si="81"/>
        <v/>
      </c>
      <c r="R1287" s="32" t="str">
        <f>IFERROR(VLOOKUP($D1287,'Informations sur les produits'!$A$3:$B$15000,2,FALSE),"")</f>
        <v/>
      </c>
      <c r="V1287">
        <f t="shared" si="82"/>
        <v>0</v>
      </c>
      <c r="W1287">
        <f t="shared" si="83"/>
        <v>0</v>
      </c>
    </row>
    <row r="1288" spans="5:23" x14ac:dyDescent="0.25">
      <c r="E1288" s="4"/>
      <c r="F1288" s="4"/>
      <c r="G1288" s="33" t="str">
        <f>IFERROR(VLOOKUP($D1288,'Informations sur les produits'!$A$3:$H$10000,8,FALSE),"0")</f>
        <v>0</v>
      </c>
      <c r="K1288" s="4"/>
      <c r="L1288" s="33" t="str">
        <f>IFERROR(VLOOKUP($J1288,'Informations sur les produits'!$A$3:$H$10000,8,FALSE),"0")</f>
        <v>0</v>
      </c>
      <c r="N1288" s="8"/>
      <c r="O1288" s="33" t="str">
        <f>IFERROR(VLOOKUP($M1288,'Informations sur les produits'!$A$3:$H$10000,8,FALSE),"0")</f>
        <v>0</v>
      </c>
      <c r="P1288" s="33">
        <f t="shared" si="80"/>
        <v>0</v>
      </c>
      <c r="Q1288" s="31" t="str">
        <f t="shared" si="81"/>
        <v/>
      </c>
      <c r="R1288" s="32" t="str">
        <f>IFERROR(VLOOKUP($D1288,'Informations sur les produits'!$A$3:$B$15000,2,FALSE),"")</f>
        <v/>
      </c>
      <c r="V1288">
        <f t="shared" si="82"/>
        <v>0</v>
      </c>
      <c r="W1288">
        <f t="shared" si="83"/>
        <v>0</v>
      </c>
    </row>
    <row r="1289" spans="5:23" x14ac:dyDescent="0.25">
      <c r="E1289" s="4"/>
      <c r="F1289" s="4"/>
      <c r="G1289" s="33" t="str">
        <f>IFERROR(VLOOKUP($D1289,'Informations sur les produits'!$A$3:$H$10000,8,FALSE),"0")</f>
        <v>0</v>
      </c>
      <c r="K1289" s="4"/>
      <c r="L1289" s="33" t="str">
        <f>IFERROR(VLOOKUP($J1289,'Informations sur les produits'!$A$3:$H$10000,8,FALSE),"0")</f>
        <v>0</v>
      </c>
      <c r="N1289" s="8"/>
      <c r="O1289" s="33" t="str">
        <f>IFERROR(VLOOKUP($M1289,'Informations sur les produits'!$A$3:$H$10000,8,FALSE),"0")</f>
        <v>0</v>
      </c>
      <c r="P1289" s="33">
        <f t="shared" si="80"/>
        <v>0</v>
      </c>
      <c r="Q1289" s="31" t="str">
        <f t="shared" si="81"/>
        <v/>
      </c>
      <c r="R1289" s="32" t="str">
        <f>IFERROR(VLOOKUP($D1289,'Informations sur les produits'!$A$3:$B$15000,2,FALSE),"")</f>
        <v/>
      </c>
      <c r="V1289">
        <f t="shared" si="82"/>
        <v>0</v>
      </c>
      <c r="W1289">
        <f t="shared" si="83"/>
        <v>0</v>
      </c>
    </row>
    <row r="1290" spans="5:23" x14ac:dyDescent="0.25">
      <c r="E1290" s="4"/>
      <c r="F1290" s="4"/>
      <c r="G1290" s="33" t="str">
        <f>IFERROR(VLOOKUP($D1290,'Informations sur les produits'!$A$3:$H$10000,8,FALSE),"0")</f>
        <v>0</v>
      </c>
      <c r="K1290" s="4"/>
      <c r="L1290" s="33" t="str">
        <f>IFERROR(VLOOKUP($J1290,'Informations sur les produits'!$A$3:$H$10000,8,FALSE),"0")</f>
        <v>0</v>
      </c>
      <c r="N1290" s="8"/>
      <c r="O1290" s="33" t="str">
        <f>IFERROR(VLOOKUP($M1290,'Informations sur les produits'!$A$3:$H$10000,8,FALSE),"0")</f>
        <v>0</v>
      </c>
      <c r="P1290" s="33">
        <f t="shared" si="80"/>
        <v>0</v>
      </c>
      <c r="Q1290" s="31" t="str">
        <f t="shared" si="81"/>
        <v/>
      </c>
      <c r="R1290" s="32" t="str">
        <f>IFERROR(VLOOKUP($D1290,'Informations sur les produits'!$A$3:$B$15000,2,FALSE),"")</f>
        <v/>
      </c>
      <c r="V1290">
        <f t="shared" si="82"/>
        <v>0</v>
      </c>
      <c r="W1290">
        <f t="shared" si="83"/>
        <v>0</v>
      </c>
    </row>
    <row r="1291" spans="5:23" x14ac:dyDescent="0.25">
      <c r="E1291" s="4"/>
      <c r="F1291" s="4"/>
      <c r="G1291" s="33" t="str">
        <f>IFERROR(VLOOKUP($D1291,'Informations sur les produits'!$A$3:$H$10000,8,FALSE),"0")</f>
        <v>0</v>
      </c>
      <c r="K1291" s="4"/>
      <c r="L1291" s="33" t="str">
        <f>IFERROR(VLOOKUP($J1291,'Informations sur les produits'!$A$3:$H$10000,8,FALSE),"0")</f>
        <v>0</v>
      </c>
      <c r="N1291" s="8"/>
      <c r="O1291" s="33" t="str">
        <f>IFERROR(VLOOKUP($M1291,'Informations sur les produits'!$A$3:$H$10000,8,FALSE),"0")</f>
        <v>0</v>
      </c>
      <c r="P1291" s="33">
        <f t="shared" si="80"/>
        <v>0</v>
      </c>
      <c r="Q1291" s="31" t="str">
        <f t="shared" si="81"/>
        <v/>
      </c>
      <c r="R1291" s="32" t="str">
        <f>IFERROR(VLOOKUP($D1291,'Informations sur les produits'!$A$3:$B$15000,2,FALSE),"")</f>
        <v/>
      </c>
      <c r="V1291">
        <f t="shared" si="82"/>
        <v>0</v>
      </c>
      <c r="W1291">
        <f t="shared" si="83"/>
        <v>0</v>
      </c>
    </row>
    <row r="1292" spans="5:23" x14ac:dyDescent="0.25">
      <c r="E1292" s="4"/>
      <c r="F1292" s="4"/>
      <c r="G1292" s="33" t="str">
        <f>IFERROR(VLOOKUP($D1292,'Informations sur les produits'!$A$3:$H$10000,8,FALSE),"0")</f>
        <v>0</v>
      </c>
      <c r="K1292" s="4"/>
      <c r="L1292" s="33" t="str">
        <f>IFERROR(VLOOKUP($J1292,'Informations sur les produits'!$A$3:$H$10000,8,FALSE),"0")</f>
        <v>0</v>
      </c>
      <c r="N1292" s="8"/>
      <c r="O1292" s="33" t="str">
        <f>IFERROR(VLOOKUP($M1292,'Informations sur les produits'!$A$3:$H$10000,8,FALSE),"0")</f>
        <v>0</v>
      </c>
      <c r="P1292" s="33">
        <f t="shared" si="80"/>
        <v>0</v>
      </c>
      <c r="Q1292" s="31" t="str">
        <f t="shared" si="81"/>
        <v/>
      </c>
      <c r="R1292" s="32" t="str">
        <f>IFERROR(VLOOKUP($D1292,'Informations sur les produits'!$A$3:$B$15000,2,FALSE),"")</f>
        <v/>
      </c>
      <c r="V1292">
        <f t="shared" si="82"/>
        <v>0</v>
      </c>
      <c r="W1292">
        <f t="shared" si="83"/>
        <v>0</v>
      </c>
    </row>
    <row r="1293" spans="5:23" x14ac:dyDescent="0.25">
      <c r="E1293" s="4"/>
      <c r="F1293" s="4"/>
      <c r="G1293" s="33" t="str">
        <f>IFERROR(VLOOKUP($D1293,'Informations sur les produits'!$A$3:$H$10000,8,FALSE),"0")</f>
        <v>0</v>
      </c>
      <c r="K1293" s="4"/>
      <c r="L1293" s="33" t="str">
        <f>IFERROR(VLOOKUP($J1293,'Informations sur les produits'!$A$3:$H$10000,8,FALSE),"0")</f>
        <v>0</v>
      </c>
      <c r="N1293" s="8"/>
      <c r="O1293" s="33" t="str">
        <f>IFERROR(VLOOKUP($M1293,'Informations sur les produits'!$A$3:$H$10000,8,FALSE),"0")</f>
        <v>0</v>
      </c>
      <c r="P1293" s="33">
        <f t="shared" si="80"/>
        <v>0</v>
      </c>
      <c r="Q1293" s="31" t="str">
        <f t="shared" si="81"/>
        <v/>
      </c>
      <c r="R1293" s="32" t="str">
        <f>IFERROR(VLOOKUP($D1293,'Informations sur les produits'!$A$3:$B$15000,2,FALSE),"")</f>
        <v/>
      </c>
      <c r="V1293">
        <f t="shared" si="82"/>
        <v>0</v>
      </c>
      <c r="W1293">
        <f t="shared" si="83"/>
        <v>0</v>
      </c>
    </row>
    <row r="1294" spans="5:23" x14ac:dyDescent="0.25">
      <c r="E1294" s="4"/>
      <c r="F1294" s="4"/>
      <c r="G1294" s="33" t="str">
        <f>IFERROR(VLOOKUP($D1294,'Informations sur les produits'!$A$3:$H$10000,8,FALSE),"0")</f>
        <v>0</v>
      </c>
      <c r="K1294" s="4"/>
      <c r="L1294" s="33" t="str">
        <f>IFERROR(VLOOKUP($J1294,'Informations sur les produits'!$A$3:$H$10000,8,FALSE),"0")</f>
        <v>0</v>
      </c>
      <c r="N1294" s="8"/>
      <c r="O1294" s="33" t="str">
        <f>IFERROR(VLOOKUP($M1294,'Informations sur les produits'!$A$3:$H$10000,8,FALSE),"0")</f>
        <v>0</v>
      </c>
      <c r="P1294" s="33">
        <f t="shared" si="80"/>
        <v>0</v>
      </c>
      <c r="Q1294" s="31" t="str">
        <f t="shared" si="81"/>
        <v/>
      </c>
      <c r="R1294" s="32" t="str">
        <f>IFERROR(VLOOKUP($D1294,'Informations sur les produits'!$A$3:$B$15000,2,FALSE),"")</f>
        <v/>
      </c>
      <c r="V1294">
        <f t="shared" si="82"/>
        <v>0</v>
      </c>
      <c r="W1294">
        <f t="shared" si="83"/>
        <v>0</v>
      </c>
    </row>
    <row r="1295" spans="5:23" x14ac:dyDescent="0.25">
      <c r="E1295" s="4"/>
      <c r="F1295" s="4"/>
      <c r="G1295" s="33" t="str">
        <f>IFERROR(VLOOKUP($D1295,'Informations sur les produits'!$A$3:$H$10000,8,FALSE),"0")</f>
        <v>0</v>
      </c>
      <c r="K1295" s="4"/>
      <c r="L1295" s="33" t="str">
        <f>IFERROR(VLOOKUP($J1295,'Informations sur les produits'!$A$3:$H$10000,8,FALSE),"0")</f>
        <v>0</v>
      </c>
      <c r="N1295" s="8"/>
      <c r="O1295" s="33" t="str">
        <f>IFERROR(VLOOKUP($M1295,'Informations sur les produits'!$A$3:$H$10000,8,FALSE),"0")</f>
        <v>0</v>
      </c>
      <c r="P1295" s="33">
        <f t="shared" si="80"/>
        <v>0</v>
      </c>
      <c r="Q1295" s="31" t="str">
        <f t="shared" si="81"/>
        <v/>
      </c>
      <c r="R1295" s="32" t="str">
        <f>IFERROR(VLOOKUP($D1295,'Informations sur les produits'!$A$3:$B$15000,2,FALSE),"")</f>
        <v/>
      </c>
      <c r="V1295">
        <f t="shared" si="82"/>
        <v>0</v>
      </c>
      <c r="W1295">
        <f t="shared" si="83"/>
        <v>0</v>
      </c>
    </row>
    <row r="1296" spans="5:23" x14ac:dyDescent="0.25">
      <c r="E1296" s="4"/>
      <c r="F1296" s="4"/>
      <c r="G1296" s="33" t="str">
        <f>IFERROR(VLOOKUP($D1296,'Informations sur les produits'!$A$3:$H$10000,8,FALSE),"0")</f>
        <v>0</v>
      </c>
      <c r="K1296" s="4"/>
      <c r="L1296" s="33" t="str">
        <f>IFERROR(VLOOKUP($J1296,'Informations sur les produits'!$A$3:$H$10000,8,FALSE),"0")</f>
        <v>0</v>
      </c>
      <c r="N1296" s="8"/>
      <c r="O1296" s="33" t="str">
        <f>IFERROR(VLOOKUP($M1296,'Informations sur les produits'!$A$3:$H$10000,8,FALSE),"0")</f>
        <v>0</v>
      </c>
      <c r="P1296" s="33">
        <f t="shared" si="80"/>
        <v>0</v>
      </c>
      <c r="Q1296" s="31" t="str">
        <f t="shared" si="81"/>
        <v/>
      </c>
      <c r="R1296" s="32" t="str">
        <f>IFERROR(VLOOKUP($D1296,'Informations sur les produits'!$A$3:$B$15000,2,FALSE),"")</f>
        <v/>
      </c>
      <c r="V1296">
        <f t="shared" si="82"/>
        <v>0</v>
      </c>
      <c r="W1296">
        <f t="shared" si="83"/>
        <v>0</v>
      </c>
    </row>
    <row r="1297" spans="5:23" x14ac:dyDescent="0.25">
      <c r="E1297" s="4"/>
      <c r="F1297" s="4"/>
      <c r="G1297" s="33" t="str">
        <f>IFERROR(VLOOKUP($D1297,'Informations sur les produits'!$A$3:$H$10000,8,FALSE),"0")</f>
        <v>0</v>
      </c>
      <c r="K1297" s="4"/>
      <c r="L1297" s="33" t="str">
        <f>IFERROR(VLOOKUP($J1297,'Informations sur les produits'!$A$3:$H$10000,8,FALSE),"0")</f>
        <v>0</v>
      </c>
      <c r="N1297" s="8"/>
      <c r="O1297" s="33" t="str">
        <f>IFERROR(VLOOKUP($M1297,'Informations sur les produits'!$A$3:$H$10000,8,FALSE),"0")</f>
        <v>0</v>
      </c>
      <c r="P1297" s="33">
        <f t="shared" si="80"/>
        <v>0</v>
      </c>
      <c r="Q1297" s="31" t="str">
        <f t="shared" si="81"/>
        <v/>
      </c>
      <c r="R1297" s="32" t="str">
        <f>IFERROR(VLOOKUP($D1297,'Informations sur les produits'!$A$3:$B$15000,2,FALSE),"")</f>
        <v/>
      </c>
      <c r="V1297">
        <f t="shared" si="82"/>
        <v>0</v>
      </c>
      <c r="W1297">
        <f t="shared" si="83"/>
        <v>0</v>
      </c>
    </row>
    <row r="1298" spans="5:23" x14ac:dyDescent="0.25">
      <c r="E1298" s="4"/>
      <c r="F1298" s="4"/>
      <c r="G1298" s="33" t="str">
        <f>IFERROR(VLOOKUP($D1298,'Informations sur les produits'!$A$3:$H$10000,8,FALSE),"0")</f>
        <v>0</v>
      </c>
      <c r="K1298" s="4"/>
      <c r="L1298" s="33" t="str">
        <f>IFERROR(VLOOKUP($J1298,'Informations sur les produits'!$A$3:$H$10000,8,FALSE),"0")</f>
        <v>0</v>
      </c>
      <c r="N1298" s="8"/>
      <c r="O1298" s="33" t="str">
        <f>IFERROR(VLOOKUP($M1298,'Informations sur les produits'!$A$3:$H$10000,8,FALSE),"0")</f>
        <v>0</v>
      </c>
      <c r="P1298" s="33">
        <f t="shared" si="80"/>
        <v>0</v>
      </c>
      <c r="Q1298" s="31" t="str">
        <f t="shared" si="81"/>
        <v/>
      </c>
      <c r="R1298" s="32" t="str">
        <f>IFERROR(VLOOKUP($D1298,'Informations sur les produits'!$A$3:$B$15000,2,FALSE),"")</f>
        <v/>
      </c>
      <c r="V1298">
        <f t="shared" si="82"/>
        <v>0</v>
      </c>
      <c r="W1298">
        <f t="shared" si="83"/>
        <v>0</v>
      </c>
    </row>
    <row r="1299" spans="5:23" x14ac:dyDescent="0.25">
      <c r="E1299" s="4"/>
      <c r="F1299" s="4"/>
      <c r="G1299" s="33" t="str">
        <f>IFERROR(VLOOKUP($D1299,'Informations sur les produits'!$A$3:$H$10000,8,FALSE),"0")</f>
        <v>0</v>
      </c>
      <c r="K1299" s="4"/>
      <c r="L1299" s="33" t="str">
        <f>IFERROR(VLOOKUP($J1299,'Informations sur les produits'!$A$3:$H$10000,8,FALSE),"0")</f>
        <v>0</v>
      </c>
      <c r="N1299" s="8"/>
      <c r="O1299" s="33" t="str">
        <f>IFERROR(VLOOKUP($M1299,'Informations sur les produits'!$A$3:$H$10000,8,FALSE),"0")</f>
        <v>0</v>
      </c>
      <c r="P1299" s="33">
        <f t="shared" si="80"/>
        <v>0</v>
      </c>
      <c r="Q1299" s="31" t="str">
        <f t="shared" si="81"/>
        <v/>
      </c>
      <c r="R1299" s="32" t="str">
        <f>IFERROR(VLOOKUP($D1299,'Informations sur les produits'!$A$3:$B$15000,2,FALSE),"")</f>
        <v/>
      </c>
      <c r="V1299">
        <f t="shared" si="82"/>
        <v>0</v>
      </c>
      <c r="W1299">
        <f t="shared" si="83"/>
        <v>0</v>
      </c>
    </row>
    <row r="1300" spans="5:23" x14ac:dyDescent="0.25">
      <c r="E1300" s="4"/>
      <c r="F1300" s="4"/>
      <c r="G1300" s="33" t="str">
        <f>IFERROR(VLOOKUP($D1300,'Informations sur les produits'!$A$3:$H$10000,8,FALSE),"0")</f>
        <v>0</v>
      </c>
      <c r="K1300" s="4"/>
      <c r="L1300" s="33" t="str">
        <f>IFERROR(VLOOKUP($J1300,'Informations sur les produits'!$A$3:$H$10000,8,FALSE),"0")</f>
        <v>0</v>
      </c>
      <c r="N1300" s="8"/>
      <c r="O1300" s="33" t="str">
        <f>IFERROR(VLOOKUP($M1300,'Informations sur les produits'!$A$3:$H$10000,8,FALSE),"0")</f>
        <v>0</v>
      </c>
      <c r="P1300" s="33">
        <f t="shared" si="80"/>
        <v>0</v>
      </c>
      <c r="Q1300" s="31" t="str">
        <f t="shared" si="81"/>
        <v/>
      </c>
      <c r="R1300" s="32" t="str">
        <f>IFERROR(VLOOKUP($D1300,'Informations sur les produits'!$A$3:$B$15000,2,FALSE),"")</f>
        <v/>
      </c>
      <c r="V1300">
        <f t="shared" si="82"/>
        <v>0</v>
      </c>
      <c r="W1300">
        <f t="shared" si="83"/>
        <v>0</v>
      </c>
    </row>
    <row r="1301" spans="5:23" x14ac:dyDescent="0.25">
      <c r="E1301" s="4"/>
      <c r="F1301" s="4"/>
      <c r="G1301" s="33" t="str">
        <f>IFERROR(VLOOKUP($D1301,'Informations sur les produits'!$A$3:$H$10000,8,FALSE),"0")</f>
        <v>0</v>
      </c>
      <c r="K1301" s="4"/>
      <c r="L1301" s="33" t="str">
        <f>IFERROR(VLOOKUP($J1301,'Informations sur les produits'!$A$3:$H$10000,8,FALSE),"0")</f>
        <v>0</v>
      </c>
      <c r="N1301" s="8"/>
      <c r="O1301" s="33" t="str">
        <f>IFERROR(VLOOKUP($M1301,'Informations sur les produits'!$A$3:$H$10000,8,FALSE),"0")</f>
        <v>0</v>
      </c>
      <c r="P1301" s="33">
        <f t="shared" si="80"/>
        <v>0</v>
      </c>
      <c r="Q1301" s="31" t="str">
        <f t="shared" si="81"/>
        <v/>
      </c>
      <c r="R1301" s="32" t="str">
        <f>IFERROR(VLOOKUP($D1301,'Informations sur les produits'!$A$3:$B$15000,2,FALSE),"")</f>
        <v/>
      </c>
      <c r="V1301">
        <f t="shared" si="82"/>
        <v>0</v>
      </c>
      <c r="W1301">
        <f t="shared" si="83"/>
        <v>0</v>
      </c>
    </row>
    <row r="1302" spans="5:23" x14ac:dyDescent="0.25">
      <c r="E1302" s="4"/>
      <c r="F1302" s="4"/>
      <c r="G1302" s="33" t="str">
        <f>IFERROR(VLOOKUP($D1302,'Informations sur les produits'!$A$3:$H$10000,8,FALSE),"0")</f>
        <v>0</v>
      </c>
      <c r="K1302" s="4"/>
      <c r="L1302" s="33" t="str">
        <f>IFERROR(VLOOKUP($J1302,'Informations sur les produits'!$A$3:$H$10000,8,FALSE),"0")</f>
        <v>0</v>
      </c>
      <c r="N1302" s="8"/>
      <c r="O1302" s="33" t="str">
        <f>IFERROR(VLOOKUP($M1302,'Informations sur les produits'!$A$3:$H$10000,8,FALSE),"0")</f>
        <v>0</v>
      </c>
      <c r="P1302" s="33">
        <f t="shared" si="80"/>
        <v>0</v>
      </c>
      <c r="Q1302" s="31" t="str">
        <f t="shared" si="81"/>
        <v/>
      </c>
      <c r="R1302" s="32" t="str">
        <f>IFERROR(VLOOKUP($D1302,'Informations sur les produits'!$A$3:$B$15000,2,FALSE),"")</f>
        <v/>
      </c>
      <c r="V1302">
        <f t="shared" si="82"/>
        <v>0</v>
      </c>
      <c r="W1302">
        <f t="shared" si="83"/>
        <v>0</v>
      </c>
    </row>
    <row r="1303" spans="5:23" x14ac:dyDescent="0.25">
      <c r="E1303" s="4"/>
      <c r="F1303" s="4"/>
      <c r="G1303" s="33" t="str">
        <f>IFERROR(VLOOKUP($D1303,'Informations sur les produits'!$A$3:$H$10000,8,FALSE),"0")</f>
        <v>0</v>
      </c>
      <c r="K1303" s="4"/>
      <c r="L1303" s="33" t="str">
        <f>IFERROR(VLOOKUP($J1303,'Informations sur les produits'!$A$3:$H$10000,8,FALSE),"0")</f>
        <v>0</v>
      </c>
      <c r="N1303" s="8"/>
      <c r="O1303" s="33" t="str">
        <f>IFERROR(VLOOKUP($M1303,'Informations sur les produits'!$A$3:$H$10000,8,FALSE),"0")</f>
        <v>0</v>
      </c>
      <c r="P1303" s="33">
        <f t="shared" si="80"/>
        <v>0</v>
      </c>
      <c r="Q1303" s="31" t="str">
        <f t="shared" si="81"/>
        <v/>
      </c>
      <c r="R1303" s="32" t="str">
        <f>IFERROR(VLOOKUP($D1303,'Informations sur les produits'!$A$3:$B$15000,2,FALSE),"")</f>
        <v/>
      </c>
      <c r="V1303">
        <f t="shared" si="82"/>
        <v>0</v>
      </c>
      <c r="W1303">
        <f t="shared" si="83"/>
        <v>0</v>
      </c>
    </row>
    <row r="1304" spans="5:23" x14ac:dyDescent="0.25">
      <c r="E1304" s="4"/>
      <c r="F1304" s="4"/>
      <c r="G1304" s="33" t="str">
        <f>IFERROR(VLOOKUP($D1304,'Informations sur les produits'!$A$3:$H$10000,8,FALSE),"0")</f>
        <v>0</v>
      </c>
      <c r="K1304" s="4"/>
      <c r="L1304" s="33" t="str">
        <f>IFERROR(VLOOKUP($J1304,'Informations sur les produits'!$A$3:$H$10000,8,FALSE),"0")</f>
        <v>0</v>
      </c>
      <c r="N1304" s="8"/>
      <c r="O1304" s="33" t="str">
        <f>IFERROR(VLOOKUP($M1304,'Informations sur les produits'!$A$3:$H$10000,8,FALSE),"0")</f>
        <v>0</v>
      </c>
      <c r="P1304" s="33">
        <f t="shared" si="80"/>
        <v>0</v>
      </c>
      <c r="Q1304" s="31" t="str">
        <f t="shared" si="81"/>
        <v/>
      </c>
      <c r="R1304" s="32" t="str">
        <f>IFERROR(VLOOKUP($D1304,'Informations sur les produits'!$A$3:$B$15000,2,FALSE),"")</f>
        <v/>
      </c>
      <c r="V1304">
        <f t="shared" si="82"/>
        <v>0</v>
      </c>
      <c r="W1304">
        <f t="shared" si="83"/>
        <v>0</v>
      </c>
    </row>
    <row r="1305" spans="5:23" x14ac:dyDescent="0.25">
      <c r="E1305" s="4"/>
      <c r="F1305" s="4"/>
      <c r="G1305" s="33" t="str">
        <f>IFERROR(VLOOKUP($D1305,'Informations sur les produits'!$A$3:$H$10000,8,FALSE),"0")</f>
        <v>0</v>
      </c>
      <c r="K1305" s="4"/>
      <c r="L1305" s="33" t="str">
        <f>IFERROR(VLOOKUP($J1305,'Informations sur les produits'!$A$3:$H$10000,8,FALSE),"0")</f>
        <v>0</v>
      </c>
      <c r="N1305" s="8"/>
      <c r="O1305" s="33" t="str">
        <f>IFERROR(VLOOKUP($M1305,'Informations sur les produits'!$A$3:$H$10000,8,FALSE),"0")</f>
        <v>0</v>
      </c>
      <c r="P1305" s="33">
        <f t="shared" si="80"/>
        <v>0</v>
      </c>
      <c r="Q1305" s="31" t="str">
        <f t="shared" si="81"/>
        <v/>
      </c>
      <c r="R1305" s="32" t="str">
        <f>IFERROR(VLOOKUP($D1305,'Informations sur les produits'!$A$3:$B$15000,2,FALSE),"")</f>
        <v/>
      </c>
      <c r="V1305">
        <f t="shared" si="82"/>
        <v>0</v>
      </c>
      <c r="W1305">
        <f t="shared" si="83"/>
        <v>0</v>
      </c>
    </row>
    <row r="1306" spans="5:23" x14ac:dyDescent="0.25">
      <c r="E1306" s="4"/>
      <c r="F1306" s="4"/>
      <c r="G1306" s="33" t="str">
        <f>IFERROR(VLOOKUP($D1306,'Informations sur les produits'!$A$3:$H$10000,8,FALSE),"0")</f>
        <v>0</v>
      </c>
      <c r="K1306" s="4"/>
      <c r="L1306" s="33" t="str">
        <f>IFERROR(VLOOKUP($J1306,'Informations sur les produits'!$A$3:$H$10000,8,FALSE),"0")</f>
        <v>0</v>
      </c>
      <c r="N1306" s="8"/>
      <c r="O1306" s="33" t="str">
        <f>IFERROR(VLOOKUP($M1306,'Informations sur les produits'!$A$3:$H$10000,8,FALSE),"0")</f>
        <v>0</v>
      </c>
      <c r="P1306" s="33">
        <f t="shared" si="80"/>
        <v>0</v>
      </c>
      <c r="Q1306" s="31" t="str">
        <f t="shared" si="81"/>
        <v/>
      </c>
      <c r="R1306" s="32" t="str">
        <f>IFERROR(VLOOKUP($D1306,'Informations sur les produits'!$A$3:$B$15000,2,FALSE),"")</f>
        <v/>
      </c>
      <c r="V1306">
        <f t="shared" si="82"/>
        <v>0</v>
      </c>
      <c r="W1306">
        <f t="shared" si="83"/>
        <v>0</v>
      </c>
    </row>
    <row r="1307" spans="5:23" x14ac:dyDescent="0.25">
      <c r="E1307" s="4"/>
      <c r="F1307" s="4"/>
      <c r="G1307" s="33" t="str">
        <f>IFERROR(VLOOKUP($D1307,'Informations sur les produits'!$A$3:$H$10000,8,FALSE),"0")</f>
        <v>0</v>
      </c>
      <c r="K1307" s="4"/>
      <c r="L1307" s="33" t="str">
        <f>IFERROR(VLOOKUP($J1307,'Informations sur les produits'!$A$3:$H$10000,8,FALSE),"0")</f>
        <v>0</v>
      </c>
      <c r="N1307" s="8"/>
      <c r="O1307" s="33" t="str">
        <f>IFERROR(VLOOKUP($M1307,'Informations sur les produits'!$A$3:$H$10000,8,FALSE),"0")</f>
        <v>0</v>
      </c>
      <c r="P1307" s="33">
        <f t="shared" si="80"/>
        <v>0</v>
      </c>
      <c r="Q1307" s="31" t="str">
        <f t="shared" si="81"/>
        <v/>
      </c>
      <c r="R1307" s="32" t="str">
        <f>IFERROR(VLOOKUP($D1307,'Informations sur les produits'!$A$3:$B$15000,2,FALSE),"")</f>
        <v/>
      </c>
      <c r="V1307">
        <f t="shared" si="82"/>
        <v>0</v>
      </c>
      <c r="W1307">
        <f t="shared" si="83"/>
        <v>0</v>
      </c>
    </row>
    <row r="1308" spans="5:23" x14ac:dyDescent="0.25">
      <c r="E1308" s="4"/>
      <c r="F1308" s="4"/>
      <c r="G1308" s="33" t="str">
        <f>IFERROR(VLOOKUP($D1308,'Informations sur les produits'!$A$3:$H$10000,8,FALSE),"0")</f>
        <v>0</v>
      </c>
      <c r="K1308" s="4"/>
      <c r="L1308" s="33" t="str">
        <f>IFERROR(VLOOKUP($J1308,'Informations sur les produits'!$A$3:$H$10000,8,FALSE),"0")</f>
        <v>0</v>
      </c>
      <c r="N1308" s="8"/>
      <c r="O1308" s="33" t="str">
        <f>IFERROR(VLOOKUP($M1308,'Informations sur les produits'!$A$3:$H$10000,8,FALSE),"0")</f>
        <v>0</v>
      </c>
      <c r="P1308" s="33">
        <f t="shared" si="80"/>
        <v>0</v>
      </c>
      <c r="Q1308" s="31" t="str">
        <f t="shared" si="81"/>
        <v/>
      </c>
      <c r="R1308" s="32" t="str">
        <f>IFERROR(VLOOKUP($D1308,'Informations sur les produits'!$A$3:$B$15000,2,FALSE),"")</f>
        <v/>
      </c>
      <c r="V1308">
        <f t="shared" si="82"/>
        <v>0</v>
      </c>
      <c r="W1308">
        <f t="shared" si="83"/>
        <v>0</v>
      </c>
    </row>
    <row r="1309" spans="5:23" x14ac:dyDescent="0.25">
      <c r="E1309" s="4"/>
      <c r="F1309" s="4"/>
      <c r="G1309" s="33" t="str">
        <f>IFERROR(VLOOKUP($D1309,'Informations sur les produits'!$A$3:$H$10000,8,FALSE),"0")</f>
        <v>0</v>
      </c>
      <c r="K1309" s="4"/>
      <c r="L1309" s="33" t="str">
        <f>IFERROR(VLOOKUP($J1309,'Informations sur les produits'!$A$3:$H$10000,8,FALSE),"0")</f>
        <v>0</v>
      </c>
      <c r="N1309" s="8"/>
      <c r="O1309" s="33" t="str">
        <f>IFERROR(VLOOKUP($M1309,'Informations sur les produits'!$A$3:$H$10000,8,FALSE),"0")</f>
        <v>0</v>
      </c>
      <c r="P1309" s="33">
        <f t="shared" si="80"/>
        <v>0</v>
      </c>
      <c r="Q1309" s="31" t="str">
        <f t="shared" si="81"/>
        <v/>
      </c>
      <c r="R1309" s="32" t="str">
        <f>IFERROR(VLOOKUP($D1309,'Informations sur les produits'!$A$3:$B$15000,2,FALSE),"")</f>
        <v/>
      </c>
      <c r="V1309">
        <f t="shared" si="82"/>
        <v>0</v>
      </c>
      <c r="W1309">
        <f t="shared" si="83"/>
        <v>0</v>
      </c>
    </row>
    <row r="1310" spans="5:23" x14ac:dyDescent="0.25">
      <c r="E1310" s="4"/>
      <c r="F1310" s="4"/>
      <c r="G1310" s="33" t="str">
        <f>IFERROR(VLOOKUP($D1310,'Informations sur les produits'!$A$3:$H$10000,8,FALSE),"0")</f>
        <v>0</v>
      </c>
      <c r="K1310" s="4"/>
      <c r="L1310" s="33" t="str">
        <f>IFERROR(VLOOKUP($J1310,'Informations sur les produits'!$A$3:$H$10000,8,FALSE),"0")</f>
        <v>0</v>
      </c>
      <c r="N1310" s="8"/>
      <c r="O1310" s="33" t="str">
        <f>IFERROR(VLOOKUP($M1310,'Informations sur les produits'!$A$3:$H$10000,8,FALSE),"0")</f>
        <v>0</v>
      </c>
      <c r="P1310" s="33">
        <f t="shared" si="80"/>
        <v>0</v>
      </c>
      <c r="Q1310" s="31" t="str">
        <f t="shared" si="81"/>
        <v/>
      </c>
      <c r="R1310" s="32" t="str">
        <f>IFERROR(VLOOKUP($D1310,'Informations sur les produits'!$A$3:$B$15000,2,FALSE),"")</f>
        <v/>
      </c>
      <c r="V1310">
        <f t="shared" si="82"/>
        <v>0</v>
      </c>
      <c r="W1310">
        <f t="shared" si="83"/>
        <v>0</v>
      </c>
    </row>
    <row r="1311" spans="5:23" x14ac:dyDescent="0.25">
      <c r="E1311" s="4"/>
      <c r="F1311" s="4"/>
      <c r="G1311" s="33" t="str">
        <f>IFERROR(VLOOKUP($D1311,'Informations sur les produits'!$A$3:$H$10000,8,FALSE),"0")</f>
        <v>0</v>
      </c>
      <c r="K1311" s="4"/>
      <c r="L1311" s="33" t="str">
        <f>IFERROR(VLOOKUP($J1311,'Informations sur les produits'!$A$3:$H$10000,8,FALSE),"0")</f>
        <v>0</v>
      </c>
      <c r="N1311" s="8"/>
      <c r="O1311" s="33" t="str">
        <f>IFERROR(VLOOKUP($M1311,'Informations sur les produits'!$A$3:$H$10000,8,FALSE),"0")</f>
        <v>0</v>
      </c>
      <c r="P1311" s="33">
        <f t="shared" si="80"/>
        <v>0</v>
      </c>
      <c r="Q1311" s="31" t="str">
        <f t="shared" si="81"/>
        <v/>
      </c>
      <c r="R1311" s="32" t="str">
        <f>IFERROR(VLOOKUP($D1311,'Informations sur les produits'!$A$3:$B$15000,2,FALSE),"")</f>
        <v/>
      </c>
      <c r="V1311">
        <f t="shared" si="82"/>
        <v>0</v>
      </c>
      <c r="W1311">
        <f t="shared" si="83"/>
        <v>0</v>
      </c>
    </row>
    <row r="1312" spans="5:23" x14ac:dyDescent="0.25">
      <c r="E1312" s="4"/>
      <c r="F1312" s="4"/>
      <c r="G1312" s="33" t="str">
        <f>IFERROR(VLOOKUP($D1312,'Informations sur les produits'!$A$3:$H$10000,8,FALSE),"0")</f>
        <v>0</v>
      </c>
      <c r="K1312" s="4"/>
      <c r="L1312" s="33" t="str">
        <f>IFERROR(VLOOKUP($J1312,'Informations sur les produits'!$A$3:$H$10000,8,FALSE),"0")</f>
        <v>0</v>
      </c>
      <c r="N1312" s="8"/>
      <c r="O1312" s="33" t="str">
        <f>IFERROR(VLOOKUP($M1312,'Informations sur les produits'!$A$3:$H$10000,8,FALSE),"0")</f>
        <v>0</v>
      </c>
      <c r="P1312" s="33">
        <f t="shared" si="80"/>
        <v>0</v>
      </c>
      <c r="Q1312" s="31" t="str">
        <f t="shared" si="81"/>
        <v/>
      </c>
      <c r="R1312" s="32" t="str">
        <f>IFERROR(VLOOKUP($D1312,'Informations sur les produits'!$A$3:$B$15000,2,FALSE),"")</f>
        <v/>
      </c>
      <c r="V1312">
        <f t="shared" si="82"/>
        <v>0</v>
      </c>
      <c r="W1312">
        <f t="shared" si="83"/>
        <v>0</v>
      </c>
    </row>
    <row r="1313" spans="5:23" x14ac:dyDescent="0.25">
      <c r="E1313" s="4"/>
      <c r="F1313" s="4"/>
      <c r="G1313" s="33" t="str">
        <f>IFERROR(VLOOKUP($D1313,'Informations sur les produits'!$A$3:$H$10000,8,FALSE),"0")</f>
        <v>0</v>
      </c>
      <c r="K1313" s="4"/>
      <c r="L1313" s="33" t="str">
        <f>IFERROR(VLOOKUP($J1313,'Informations sur les produits'!$A$3:$H$10000,8,FALSE),"0")</f>
        <v>0</v>
      </c>
      <c r="N1313" s="8"/>
      <c r="O1313" s="33" t="str">
        <f>IFERROR(VLOOKUP($M1313,'Informations sur les produits'!$A$3:$H$10000,8,FALSE),"0")</f>
        <v>0</v>
      </c>
      <c r="P1313" s="33">
        <f t="shared" si="80"/>
        <v>0</v>
      </c>
      <c r="Q1313" s="31" t="str">
        <f t="shared" si="81"/>
        <v/>
      </c>
      <c r="R1313" s="32" t="str">
        <f>IFERROR(VLOOKUP($D1313,'Informations sur les produits'!$A$3:$B$15000,2,FALSE),"")</f>
        <v/>
      </c>
      <c r="V1313">
        <f t="shared" si="82"/>
        <v>0</v>
      </c>
      <c r="W1313">
        <f t="shared" si="83"/>
        <v>0</v>
      </c>
    </row>
    <row r="1314" spans="5:23" x14ac:dyDescent="0.25">
      <c r="E1314" s="4"/>
      <c r="F1314" s="4"/>
      <c r="G1314" s="33" t="str">
        <f>IFERROR(VLOOKUP($D1314,'Informations sur les produits'!$A$3:$H$10000,8,FALSE),"0")</f>
        <v>0</v>
      </c>
      <c r="K1314" s="4"/>
      <c r="L1314" s="33" t="str">
        <f>IFERROR(VLOOKUP($J1314,'Informations sur les produits'!$A$3:$H$10000,8,FALSE),"0")</f>
        <v>0</v>
      </c>
      <c r="N1314" s="8"/>
      <c r="O1314" s="33" t="str">
        <f>IFERROR(VLOOKUP($M1314,'Informations sur les produits'!$A$3:$H$10000,8,FALSE),"0")</f>
        <v>0</v>
      </c>
      <c r="P1314" s="33">
        <f t="shared" si="80"/>
        <v>0</v>
      </c>
      <c r="Q1314" s="31" t="str">
        <f t="shared" si="81"/>
        <v/>
      </c>
      <c r="R1314" s="32" t="str">
        <f>IFERROR(VLOOKUP($D1314,'Informations sur les produits'!$A$3:$B$15000,2,FALSE),"")</f>
        <v/>
      </c>
      <c r="V1314">
        <f t="shared" si="82"/>
        <v>0</v>
      </c>
      <c r="W1314">
        <f t="shared" si="83"/>
        <v>0</v>
      </c>
    </row>
    <row r="1315" spans="5:23" x14ac:dyDescent="0.25">
      <c r="E1315" s="4"/>
      <c r="F1315" s="4"/>
      <c r="G1315" s="33" t="str">
        <f>IFERROR(VLOOKUP($D1315,'Informations sur les produits'!$A$3:$H$10000,8,FALSE),"0")</f>
        <v>0</v>
      </c>
      <c r="K1315" s="4"/>
      <c r="L1315" s="33" t="str">
        <f>IFERROR(VLOOKUP($J1315,'Informations sur les produits'!$A$3:$H$10000,8,FALSE),"0")</f>
        <v>0</v>
      </c>
      <c r="N1315" s="8"/>
      <c r="O1315" s="33" t="str">
        <f>IFERROR(VLOOKUP($M1315,'Informations sur les produits'!$A$3:$H$10000,8,FALSE),"0")</f>
        <v>0</v>
      </c>
      <c r="P1315" s="33">
        <f t="shared" si="80"/>
        <v>0</v>
      </c>
      <c r="Q1315" s="31" t="str">
        <f t="shared" si="81"/>
        <v/>
      </c>
      <c r="R1315" s="32" t="str">
        <f>IFERROR(VLOOKUP($D1315,'Informations sur les produits'!$A$3:$B$15000,2,FALSE),"")</f>
        <v/>
      </c>
      <c r="V1315">
        <f t="shared" si="82"/>
        <v>0</v>
      </c>
      <c r="W1315">
        <f t="shared" si="83"/>
        <v>0</v>
      </c>
    </row>
    <row r="1316" spans="5:23" x14ac:dyDescent="0.25">
      <c r="E1316" s="4"/>
      <c r="F1316" s="4"/>
      <c r="G1316" s="33" t="str">
        <f>IFERROR(VLOOKUP($D1316,'Informations sur les produits'!$A$3:$H$10000,8,FALSE),"0")</f>
        <v>0</v>
      </c>
      <c r="K1316" s="4"/>
      <c r="L1316" s="33" t="str">
        <f>IFERROR(VLOOKUP($J1316,'Informations sur les produits'!$A$3:$H$10000,8,FALSE),"0")</f>
        <v>0</v>
      </c>
      <c r="N1316" s="8"/>
      <c r="O1316" s="33" t="str">
        <f>IFERROR(VLOOKUP($M1316,'Informations sur les produits'!$A$3:$H$10000,8,FALSE),"0")</f>
        <v>0</v>
      </c>
      <c r="P1316" s="33">
        <f t="shared" si="80"/>
        <v>0</v>
      </c>
      <c r="Q1316" s="31" t="str">
        <f t="shared" si="81"/>
        <v/>
      </c>
      <c r="R1316" s="32" t="str">
        <f>IFERROR(VLOOKUP($D1316,'Informations sur les produits'!$A$3:$B$15000,2,FALSE),"")</f>
        <v/>
      </c>
      <c r="V1316">
        <f t="shared" si="82"/>
        <v>0</v>
      </c>
      <c r="W1316">
        <f t="shared" si="83"/>
        <v>0</v>
      </c>
    </row>
    <row r="1317" spans="5:23" x14ac:dyDescent="0.25">
      <c r="E1317" s="4"/>
      <c r="F1317" s="4"/>
      <c r="G1317" s="33" t="str">
        <f>IFERROR(VLOOKUP($D1317,'Informations sur les produits'!$A$3:$H$10000,8,FALSE),"0")</f>
        <v>0</v>
      </c>
      <c r="K1317" s="4"/>
      <c r="L1317" s="33" t="str">
        <f>IFERROR(VLOOKUP($J1317,'Informations sur les produits'!$A$3:$H$10000,8,FALSE),"0")</f>
        <v>0</v>
      </c>
      <c r="N1317" s="8"/>
      <c r="O1317" s="33" t="str">
        <f>IFERROR(VLOOKUP($M1317,'Informations sur les produits'!$A$3:$H$10000,8,FALSE),"0")</f>
        <v>0</v>
      </c>
      <c r="P1317" s="33">
        <f t="shared" si="80"/>
        <v>0</v>
      </c>
      <c r="Q1317" s="31" t="str">
        <f t="shared" si="81"/>
        <v/>
      </c>
      <c r="R1317" s="32" t="str">
        <f>IFERROR(VLOOKUP($D1317,'Informations sur les produits'!$A$3:$B$15000,2,FALSE),"")</f>
        <v/>
      </c>
      <c r="V1317">
        <f t="shared" si="82"/>
        <v>0</v>
      </c>
      <c r="W1317">
        <f t="shared" si="83"/>
        <v>0</v>
      </c>
    </row>
    <row r="1318" spans="5:23" x14ac:dyDescent="0.25">
      <c r="E1318" s="4"/>
      <c r="F1318" s="4"/>
      <c r="G1318" s="33" t="str">
        <f>IFERROR(VLOOKUP($D1318,'Informations sur les produits'!$A$3:$H$10000,8,FALSE),"0")</f>
        <v>0</v>
      </c>
      <c r="K1318" s="4"/>
      <c r="L1318" s="33" t="str">
        <f>IFERROR(VLOOKUP($J1318,'Informations sur les produits'!$A$3:$H$10000,8,FALSE),"0")</f>
        <v>0</v>
      </c>
      <c r="N1318" s="8"/>
      <c r="O1318" s="33" t="str">
        <f>IFERROR(VLOOKUP($M1318,'Informations sur les produits'!$A$3:$H$10000,8,FALSE),"0")</f>
        <v>0</v>
      </c>
      <c r="P1318" s="33">
        <f t="shared" si="80"/>
        <v>0</v>
      </c>
      <c r="Q1318" s="31" t="str">
        <f t="shared" si="81"/>
        <v/>
      </c>
      <c r="R1318" s="32" t="str">
        <f>IFERROR(VLOOKUP($D1318,'Informations sur les produits'!$A$3:$B$15000,2,FALSE),"")</f>
        <v/>
      </c>
      <c r="V1318">
        <f t="shared" si="82"/>
        <v>0</v>
      </c>
      <c r="W1318">
        <f t="shared" si="83"/>
        <v>0</v>
      </c>
    </row>
    <row r="1319" spans="5:23" x14ac:dyDescent="0.25">
      <c r="E1319" s="4"/>
      <c r="F1319" s="4"/>
      <c r="G1319" s="33" t="str">
        <f>IFERROR(VLOOKUP($D1319,'Informations sur les produits'!$A$3:$H$10000,8,FALSE),"0")</f>
        <v>0</v>
      </c>
      <c r="K1319" s="4"/>
      <c r="L1319" s="33" t="str">
        <f>IFERROR(VLOOKUP($J1319,'Informations sur les produits'!$A$3:$H$10000,8,FALSE),"0")</f>
        <v>0</v>
      </c>
      <c r="N1319" s="8"/>
      <c r="O1319" s="33" t="str">
        <f>IFERROR(VLOOKUP($M1319,'Informations sur les produits'!$A$3:$H$10000,8,FALSE),"0")</f>
        <v>0</v>
      </c>
      <c r="P1319" s="33">
        <f t="shared" si="80"/>
        <v>0</v>
      </c>
      <c r="Q1319" s="31" t="str">
        <f t="shared" si="81"/>
        <v/>
      </c>
      <c r="R1319" s="32" t="str">
        <f>IFERROR(VLOOKUP($D1319,'Informations sur les produits'!$A$3:$B$15000,2,FALSE),"")</f>
        <v/>
      </c>
      <c r="V1319">
        <f t="shared" si="82"/>
        <v>0</v>
      </c>
      <c r="W1319">
        <f t="shared" si="83"/>
        <v>0</v>
      </c>
    </row>
    <row r="1320" spans="5:23" x14ac:dyDescent="0.25">
      <c r="E1320" s="4"/>
      <c r="F1320" s="4"/>
      <c r="G1320" s="33" t="str">
        <f>IFERROR(VLOOKUP($D1320,'Informations sur les produits'!$A$3:$H$10000,8,FALSE),"0")</f>
        <v>0</v>
      </c>
      <c r="K1320" s="4"/>
      <c r="L1320" s="33" t="str">
        <f>IFERROR(VLOOKUP($J1320,'Informations sur les produits'!$A$3:$H$10000,8,FALSE),"0")</f>
        <v>0</v>
      </c>
      <c r="N1320" s="8"/>
      <c r="O1320" s="33" t="str">
        <f>IFERROR(VLOOKUP($M1320,'Informations sur les produits'!$A$3:$H$10000,8,FALSE),"0")</f>
        <v>0</v>
      </c>
      <c r="P1320" s="33">
        <f t="shared" si="80"/>
        <v>0</v>
      </c>
      <c r="Q1320" s="31" t="str">
        <f t="shared" si="81"/>
        <v/>
      </c>
      <c r="R1320" s="32" t="str">
        <f>IFERROR(VLOOKUP($D1320,'Informations sur les produits'!$A$3:$B$15000,2,FALSE),"")</f>
        <v/>
      </c>
      <c r="V1320">
        <f t="shared" si="82"/>
        <v>0</v>
      </c>
      <c r="W1320">
        <f t="shared" si="83"/>
        <v>0</v>
      </c>
    </row>
    <row r="1321" spans="5:23" x14ac:dyDescent="0.25">
      <c r="E1321" s="4"/>
      <c r="F1321" s="4"/>
      <c r="G1321" s="33" t="str">
        <f>IFERROR(VLOOKUP($D1321,'Informations sur les produits'!$A$3:$H$10000,8,FALSE),"0")</f>
        <v>0</v>
      </c>
      <c r="K1321" s="4"/>
      <c r="L1321" s="33" t="str">
        <f>IFERROR(VLOOKUP($J1321,'Informations sur les produits'!$A$3:$H$10000,8,FALSE),"0")</f>
        <v>0</v>
      </c>
      <c r="N1321" s="8"/>
      <c r="O1321" s="33" t="str">
        <f>IFERROR(VLOOKUP($M1321,'Informations sur les produits'!$A$3:$H$10000,8,FALSE),"0")</f>
        <v>0</v>
      </c>
      <c r="P1321" s="33">
        <f t="shared" si="80"/>
        <v>0</v>
      </c>
      <c r="Q1321" s="31" t="str">
        <f t="shared" si="81"/>
        <v/>
      </c>
      <c r="R1321" s="32" t="str">
        <f>IFERROR(VLOOKUP($D1321,'Informations sur les produits'!$A$3:$B$15000,2,FALSE),"")</f>
        <v/>
      </c>
      <c r="V1321">
        <f t="shared" si="82"/>
        <v>0</v>
      </c>
      <c r="W1321">
        <f t="shared" si="83"/>
        <v>0</v>
      </c>
    </row>
    <row r="1322" spans="5:23" x14ac:dyDescent="0.25">
      <c r="E1322" s="4"/>
      <c r="F1322" s="4"/>
      <c r="G1322" s="33" t="str">
        <f>IFERROR(VLOOKUP($D1322,'Informations sur les produits'!$A$3:$H$10000,8,FALSE),"0")</f>
        <v>0</v>
      </c>
      <c r="K1322" s="4"/>
      <c r="L1322" s="33" t="str">
        <f>IFERROR(VLOOKUP($J1322,'Informations sur les produits'!$A$3:$H$10000,8,FALSE),"0")</f>
        <v>0</v>
      </c>
      <c r="N1322" s="8"/>
      <c r="O1322" s="33" t="str">
        <f>IFERROR(VLOOKUP($M1322,'Informations sur les produits'!$A$3:$H$10000,8,FALSE),"0")</f>
        <v>0</v>
      </c>
      <c r="P1322" s="33">
        <f t="shared" si="80"/>
        <v>0</v>
      </c>
      <c r="Q1322" s="31" t="str">
        <f t="shared" si="81"/>
        <v/>
      </c>
      <c r="R1322" s="32" t="str">
        <f>IFERROR(VLOOKUP($D1322,'Informations sur les produits'!$A$3:$B$15000,2,FALSE),"")</f>
        <v/>
      </c>
      <c r="V1322">
        <f t="shared" si="82"/>
        <v>0</v>
      </c>
      <c r="W1322">
        <f t="shared" si="83"/>
        <v>0</v>
      </c>
    </row>
    <row r="1323" spans="5:23" x14ac:dyDescent="0.25">
      <c r="E1323" s="4"/>
      <c r="F1323" s="4"/>
      <c r="G1323" s="33" t="str">
        <f>IFERROR(VLOOKUP($D1323,'Informations sur les produits'!$A$3:$H$10000,8,FALSE),"0")</f>
        <v>0</v>
      </c>
      <c r="K1323" s="4"/>
      <c r="L1323" s="33" t="str">
        <f>IFERROR(VLOOKUP($J1323,'Informations sur les produits'!$A$3:$H$10000,8,FALSE),"0")</f>
        <v>0</v>
      </c>
      <c r="N1323" s="8"/>
      <c r="O1323" s="33" t="str">
        <f>IFERROR(VLOOKUP($M1323,'Informations sur les produits'!$A$3:$H$10000,8,FALSE),"0")</f>
        <v>0</v>
      </c>
      <c r="P1323" s="33">
        <f t="shared" si="80"/>
        <v>0</v>
      </c>
      <c r="Q1323" s="31" t="str">
        <f t="shared" si="81"/>
        <v/>
      </c>
      <c r="R1323" s="32" t="str">
        <f>IFERROR(VLOOKUP($D1323,'Informations sur les produits'!$A$3:$B$15000,2,FALSE),"")</f>
        <v/>
      </c>
      <c r="V1323">
        <f t="shared" si="82"/>
        <v>0</v>
      </c>
      <c r="W1323">
        <f t="shared" si="83"/>
        <v>0</v>
      </c>
    </row>
    <row r="1324" spans="5:23" x14ac:dyDescent="0.25">
      <c r="E1324" s="4"/>
      <c r="F1324" s="4"/>
      <c r="G1324" s="33" t="str">
        <f>IFERROR(VLOOKUP($D1324,'Informations sur les produits'!$A$3:$H$10000,8,FALSE),"0")</f>
        <v>0</v>
      </c>
      <c r="K1324" s="4"/>
      <c r="L1324" s="33" t="str">
        <f>IFERROR(VLOOKUP($J1324,'Informations sur les produits'!$A$3:$H$10000,8,FALSE),"0")</f>
        <v>0</v>
      </c>
      <c r="N1324" s="8"/>
      <c r="O1324" s="33" t="str">
        <f>IFERROR(VLOOKUP($M1324,'Informations sur les produits'!$A$3:$H$10000,8,FALSE),"0")</f>
        <v>0</v>
      </c>
      <c r="P1324" s="33">
        <f t="shared" si="80"/>
        <v>0</v>
      </c>
      <c r="Q1324" s="31" t="str">
        <f t="shared" si="81"/>
        <v/>
      </c>
      <c r="R1324" s="32" t="str">
        <f>IFERROR(VLOOKUP($D1324,'Informations sur les produits'!$A$3:$B$15000,2,FALSE),"")</f>
        <v/>
      </c>
      <c r="V1324">
        <f t="shared" si="82"/>
        <v>0</v>
      </c>
      <c r="W1324">
        <f t="shared" si="83"/>
        <v>0</v>
      </c>
    </row>
    <row r="1325" spans="5:23" x14ac:dyDescent="0.25">
      <c r="E1325" s="4"/>
      <c r="F1325" s="4"/>
      <c r="G1325" s="33" t="str">
        <f>IFERROR(VLOOKUP($D1325,'Informations sur les produits'!$A$3:$H$10000,8,FALSE),"0")</f>
        <v>0</v>
      </c>
      <c r="K1325" s="4"/>
      <c r="L1325" s="33" t="str">
        <f>IFERROR(VLOOKUP($J1325,'Informations sur les produits'!$A$3:$H$10000,8,FALSE),"0")</f>
        <v>0</v>
      </c>
      <c r="N1325" s="8"/>
      <c r="O1325" s="33" t="str">
        <f>IFERROR(VLOOKUP($M1325,'Informations sur les produits'!$A$3:$H$10000,8,FALSE),"0")</f>
        <v>0</v>
      </c>
      <c r="P1325" s="33">
        <f t="shared" si="80"/>
        <v>0</v>
      </c>
      <c r="Q1325" s="31" t="str">
        <f t="shared" si="81"/>
        <v/>
      </c>
      <c r="R1325" s="32" t="str">
        <f>IFERROR(VLOOKUP($D1325,'Informations sur les produits'!$A$3:$B$15000,2,FALSE),"")</f>
        <v/>
      </c>
      <c r="V1325">
        <f t="shared" si="82"/>
        <v>0</v>
      </c>
      <c r="W1325">
        <f t="shared" si="83"/>
        <v>0</v>
      </c>
    </row>
    <row r="1326" spans="5:23" x14ac:dyDescent="0.25">
      <c r="E1326" s="4"/>
      <c r="F1326" s="4"/>
      <c r="G1326" s="33" t="str">
        <f>IFERROR(VLOOKUP($D1326,'Informations sur les produits'!$A$3:$H$10000,8,FALSE),"0")</f>
        <v>0</v>
      </c>
      <c r="K1326" s="4"/>
      <c r="L1326" s="33" t="str">
        <f>IFERROR(VLOOKUP($J1326,'Informations sur les produits'!$A$3:$H$10000,8,FALSE),"0")</f>
        <v>0</v>
      </c>
      <c r="N1326" s="8"/>
      <c r="O1326" s="33" t="str">
        <f>IFERROR(VLOOKUP($M1326,'Informations sur les produits'!$A$3:$H$10000,8,FALSE),"0")</f>
        <v>0</v>
      </c>
      <c r="P1326" s="33">
        <f t="shared" si="80"/>
        <v>0</v>
      </c>
      <c r="Q1326" s="31" t="str">
        <f t="shared" si="81"/>
        <v/>
      </c>
      <c r="R1326" s="32" t="str">
        <f>IFERROR(VLOOKUP($D1326,'Informations sur les produits'!$A$3:$B$15000,2,FALSE),"")</f>
        <v/>
      </c>
      <c r="V1326">
        <f t="shared" si="82"/>
        <v>0</v>
      </c>
      <c r="W1326">
        <f t="shared" si="83"/>
        <v>0</v>
      </c>
    </row>
    <row r="1327" spans="5:23" x14ac:dyDescent="0.25">
      <c r="E1327" s="4"/>
      <c r="F1327" s="4"/>
      <c r="G1327" s="33" t="str">
        <f>IFERROR(VLOOKUP($D1327,'Informations sur les produits'!$A$3:$H$10000,8,FALSE),"0")</f>
        <v>0</v>
      </c>
      <c r="K1327" s="4"/>
      <c r="L1327" s="33" t="str">
        <f>IFERROR(VLOOKUP($J1327,'Informations sur les produits'!$A$3:$H$10000,8,FALSE),"0")</f>
        <v>0</v>
      </c>
      <c r="N1327" s="8"/>
      <c r="O1327" s="33" t="str">
        <f>IFERROR(VLOOKUP($M1327,'Informations sur les produits'!$A$3:$H$10000,8,FALSE),"0")</f>
        <v>0</v>
      </c>
      <c r="P1327" s="33">
        <f t="shared" si="80"/>
        <v>0</v>
      </c>
      <c r="Q1327" s="31" t="str">
        <f t="shared" si="81"/>
        <v/>
      </c>
      <c r="R1327" s="32" t="str">
        <f>IFERROR(VLOOKUP($D1327,'Informations sur les produits'!$A$3:$B$15000,2,FALSE),"")</f>
        <v/>
      </c>
      <c r="V1327">
        <f t="shared" si="82"/>
        <v>0</v>
      </c>
      <c r="W1327">
        <f t="shared" si="83"/>
        <v>0</v>
      </c>
    </row>
    <row r="1328" spans="5:23" x14ac:dyDescent="0.25">
      <c r="E1328" s="4"/>
      <c r="F1328" s="4"/>
      <c r="G1328" s="33" t="str">
        <f>IFERROR(VLOOKUP($D1328,'Informations sur les produits'!$A$3:$H$10000,8,FALSE),"0")</f>
        <v>0</v>
      </c>
      <c r="K1328" s="4"/>
      <c r="L1328" s="33" t="str">
        <f>IFERROR(VLOOKUP($J1328,'Informations sur les produits'!$A$3:$H$10000,8,FALSE),"0")</f>
        <v>0</v>
      </c>
      <c r="N1328" s="8"/>
      <c r="O1328" s="33" t="str">
        <f>IFERROR(VLOOKUP($M1328,'Informations sur les produits'!$A$3:$H$10000,8,FALSE),"0")</f>
        <v>0</v>
      </c>
      <c r="P1328" s="33">
        <f t="shared" si="80"/>
        <v>0</v>
      </c>
      <c r="Q1328" s="31" t="str">
        <f t="shared" si="81"/>
        <v/>
      </c>
      <c r="R1328" s="32" t="str">
        <f>IFERROR(VLOOKUP($D1328,'Informations sur les produits'!$A$3:$B$15000,2,FALSE),"")</f>
        <v/>
      </c>
      <c r="V1328">
        <f t="shared" si="82"/>
        <v>0</v>
      </c>
      <c r="W1328">
        <f t="shared" si="83"/>
        <v>0</v>
      </c>
    </row>
    <row r="1329" spans="5:23" x14ac:dyDescent="0.25">
      <c r="E1329" s="4"/>
      <c r="F1329" s="4"/>
      <c r="G1329" s="33" t="str">
        <f>IFERROR(VLOOKUP($D1329,'Informations sur les produits'!$A$3:$H$10000,8,FALSE),"0")</f>
        <v>0</v>
      </c>
      <c r="K1329" s="4"/>
      <c r="L1329" s="33" t="str">
        <f>IFERROR(VLOOKUP($J1329,'Informations sur les produits'!$A$3:$H$10000,8,FALSE),"0")</f>
        <v>0</v>
      </c>
      <c r="N1329" s="8"/>
      <c r="O1329" s="33" t="str">
        <f>IFERROR(VLOOKUP($M1329,'Informations sur les produits'!$A$3:$H$10000,8,FALSE),"0")</f>
        <v>0</v>
      </c>
      <c r="P1329" s="33">
        <f t="shared" si="80"/>
        <v>0</v>
      </c>
      <c r="Q1329" s="31" t="str">
        <f t="shared" si="81"/>
        <v/>
      </c>
      <c r="R1329" s="32" t="str">
        <f>IFERROR(VLOOKUP($D1329,'Informations sur les produits'!$A$3:$B$15000,2,FALSE),"")</f>
        <v/>
      </c>
      <c r="V1329">
        <f t="shared" si="82"/>
        <v>0</v>
      </c>
      <c r="W1329">
        <f t="shared" si="83"/>
        <v>0</v>
      </c>
    </row>
    <row r="1330" spans="5:23" x14ac:dyDescent="0.25">
      <c r="E1330" s="4"/>
      <c r="F1330" s="4"/>
      <c r="G1330" s="33" t="str">
        <f>IFERROR(VLOOKUP($D1330,'Informations sur les produits'!$A$3:$H$10000,8,FALSE),"0")</f>
        <v>0</v>
      </c>
      <c r="K1330" s="4"/>
      <c r="L1330" s="33" t="str">
        <f>IFERROR(VLOOKUP($J1330,'Informations sur les produits'!$A$3:$H$10000,8,FALSE),"0")</f>
        <v>0</v>
      </c>
      <c r="N1330" s="8"/>
      <c r="O1330" s="33" t="str">
        <f>IFERROR(VLOOKUP($M1330,'Informations sur les produits'!$A$3:$H$10000,8,FALSE),"0")</f>
        <v>0</v>
      </c>
      <c r="P1330" s="33">
        <f t="shared" si="80"/>
        <v>0</v>
      </c>
      <c r="Q1330" s="31" t="str">
        <f t="shared" si="81"/>
        <v/>
      </c>
      <c r="R1330" s="32" t="str">
        <f>IFERROR(VLOOKUP($D1330,'Informations sur les produits'!$A$3:$B$15000,2,FALSE),"")</f>
        <v/>
      </c>
      <c r="V1330">
        <f t="shared" si="82"/>
        <v>0</v>
      </c>
      <c r="W1330">
        <f t="shared" si="83"/>
        <v>0</v>
      </c>
    </row>
    <row r="1331" spans="5:23" x14ac:dyDescent="0.25">
      <c r="E1331" s="4"/>
      <c r="F1331" s="4"/>
      <c r="G1331" s="33" t="str">
        <f>IFERROR(VLOOKUP($D1331,'Informations sur les produits'!$A$3:$H$10000,8,FALSE),"0")</f>
        <v>0</v>
      </c>
      <c r="K1331" s="4"/>
      <c r="L1331" s="33" t="str">
        <f>IFERROR(VLOOKUP($J1331,'Informations sur les produits'!$A$3:$H$10000,8,FALSE),"0")</f>
        <v>0</v>
      </c>
      <c r="N1331" s="8"/>
      <c r="O1331" s="33" t="str">
        <f>IFERROR(VLOOKUP($M1331,'Informations sur les produits'!$A$3:$H$10000,8,FALSE),"0")</f>
        <v>0</v>
      </c>
      <c r="P1331" s="33">
        <f t="shared" si="80"/>
        <v>0</v>
      </c>
      <c r="Q1331" s="31" t="str">
        <f t="shared" si="81"/>
        <v/>
      </c>
      <c r="R1331" s="32" t="str">
        <f>IFERROR(VLOOKUP($D1331,'Informations sur les produits'!$A$3:$B$15000,2,FALSE),"")</f>
        <v/>
      </c>
      <c r="V1331">
        <f t="shared" si="82"/>
        <v>0</v>
      </c>
      <c r="W1331">
        <f t="shared" si="83"/>
        <v>0</v>
      </c>
    </row>
    <row r="1332" spans="5:23" x14ac:dyDescent="0.25">
      <c r="E1332" s="4"/>
      <c r="F1332" s="4"/>
      <c r="G1332" s="33" t="str">
        <f>IFERROR(VLOOKUP($D1332,'Informations sur les produits'!$A$3:$H$10000,8,FALSE),"0")</f>
        <v>0</v>
      </c>
      <c r="K1332" s="4"/>
      <c r="L1332" s="33" t="str">
        <f>IFERROR(VLOOKUP($J1332,'Informations sur les produits'!$A$3:$H$10000,8,FALSE),"0")</f>
        <v>0</v>
      </c>
      <c r="N1332" s="8"/>
      <c r="O1332" s="33" t="str">
        <f>IFERROR(VLOOKUP($M1332,'Informations sur les produits'!$A$3:$H$10000,8,FALSE),"0")</f>
        <v>0</v>
      </c>
      <c r="P1332" s="33">
        <f t="shared" si="80"/>
        <v>0</v>
      </c>
      <c r="Q1332" s="31" t="str">
        <f t="shared" si="81"/>
        <v/>
      </c>
      <c r="R1332" s="32" t="str">
        <f>IFERROR(VLOOKUP($D1332,'Informations sur les produits'!$A$3:$B$15000,2,FALSE),"")</f>
        <v/>
      </c>
      <c r="V1332">
        <f t="shared" si="82"/>
        <v>0</v>
      </c>
      <c r="W1332">
        <f t="shared" si="83"/>
        <v>0</v>
      </c>
    </row>
    <row r="1333" spans="5:23" x14ac:dyDescent="0.25">
      <c r="E1333" s="4"/>
      <c r="F1333" s="4"/>
      <c r="G1333" s="33" t="str">
        <f>IFERROR(VLOOKUP($D1333,'Informations sur les produits'!$A$3:$H$10000,8,FALSE),"0")</f>
        <v>0</v>
      </c>
      <c r="K1333" s="4"/>
      <c r="L1333" s="33" t="str">
        <f>IFERROR(VLOOKUP($J1333,'Informations sur les produits'!$A$3:$H$10000,8,FALSE),"0")</f>
        <v>0</v>
      </c>
      <c r="N1333" s="8"/>
      <c r="O1333" s="33" t="str">
        <f>IFERROR(VLOOKUP($M1333,'Informations sur les produits'!$A$3:$H$10000,8,FALSE),"0")</f>
        <v>0</v>
      </c>
      <c r="P1333" s="33">
        <f t="shared" si="80"/>
        <v>0</v>
      </c>
      <c r="Q1333" s="31" t="str">
        <f t="shared" si="81"/>
        <v/>
      </c>
      <c r="R1333" s="32" t="str">
        <f>IFERROR(VLOOKUP($D1333,'Informations sur les produits'!$A$3:$B$15000,2,FALSE),"")</f>
        <v/>
      </c>
      <c r="V1333">
        <f t="shared" si="82"/>
        <v>0</v>
      </c>
      <c r="W1333">
        <f t="shared" si="83"/>
        <v>0</v>
      </c>
    </row>
    <row r="1334" spans="5:23" x14ac:dyDescent="0.25">
      <c r="E1334" s="4"/>
      <c r="F1334" s="4"/>
      <c r="G1334" s="33" t="str">
        <f>IFERROR(VLOOKUP($D1334,'Informations sur les produits'!$A$3:$H$10000,8,FALSE),"0")</f>
        <v>0</v>
      </c>
      <c r="K1334" s="4"/>
      <c r="L1334" s="33" t="str">
        <f>IFERROR(VLOOKUP($J1334,'Informations sur les produits'!$A$3:$H$10000,8,FALSE),"0")</f>
        <v>0</v>
      </c>
      <c r="N1334" s="8"/>
      <c r="O1334" s="33" t="str">
        <f>IFERROR(VLOOKUP($M1334,'Informations sur les produits'!$A$3:$H$10000,8,FALSE),"0")</f>
        <v>0</v>
      </c>
      <c r="P1334" s="33">
        <f t="shared" si="80"/>
        <v>0</v>
      </c>
      <c r="Q1334" s="31" t="str">
        <f t="shared" si="81"/>
        <v/>
      </c>
      <c r="R1334" s="32" t="str">
        <f>IFERROR(VLOOKUP($D1334,'Informations sur les produits'!$A$3:$B$15000,2,FALSE),"")</f>
        <v/>
      </c>
      <c r="V1334">
        <f t="shared" si="82"/>
        <v>0</v>
      </c>
      <c r="W1334">
        <f t="shared" si="83"/>
        <v>0</v>
      </c>
    </row>
    <row r="1335" spans="5:23" x14ac:dyDescent="0.25">
      <c r="E1335" s="4"/>
      <c r="F1335" s="4"/>
      <c r="G1335" s="33" t="str">
        <f>IFERROR(VLOOKUP($D1335,'Informations sur les produits'!$A$3:$H$10000,8,FALSE),"0")</f>
        <v>0</v>
      </c>
      <c r="K1335" s="4"/>
      <c r="L1335" s="33" t="str">
        <f>IFERROR(VLOOKUP($J1335,'Informations sur les produits'!$A$3:$H$10000,8,FALSE),"0")</f>
        <v>0</v>
      </c>
      <c r="N1335" s="8"/>
      <c r="O1335" s="33" t="str">
        <f>IFERROR(VLOOKUP($M1335,'Informations sur les produits'!$A$3:$H$10000,8,FALSE),"0")</f>
        <v>0</v>
      </c>
      <c r="P1335" s="33">
        <f t="shared" si="80"/>
        <v>0</v>
      </c>
      <c r="Q1335" s="31" t="str">
        <f t="shared" si="81"/>
        <v/>
      </c>
      <c r="R1335" s="32" t="str">
        <f>IFERROR(VLOOKUP($D1335,'Informations sur les produits'!$A$3:$B$15000,2,FALSE),"")</f>
        <v/>
      </c>
      <c r="V1335">
        <f t="shared" si="82"/>
        <v>0</v>
      </c>
      <c r="W1335">
        <f t="shared" si="83"/>
        <v>0</v>
      </c>
    </row>
    <row r="1336" spans="5:23" x14ac:dyDescent="0.25">
      <c r="E1336" s="4"/>
      <c r="F1336" s="4"/>
      <c r="G1336" s="33" t="str">
        <f>IFERROR(VLOOKUP($D1336,'Informations sur les produits'!$A$3:$H$10000,8,FALSE),"0")</f>
        <v>0</v>
      </c>
      <c r="K1336" s="4"/>
      <c r="L1336" s="33" t="str">
        <f>IFERROR(VLOOKUP($J1336,'Informations sur les produits'!$A$3:$H$10000,8,FALSE),"0")</f>
        <v>0</v>
      </c>
      <c r="N1336" s="8"/>
      <c r="O1336" s="33" t="str">
        <f>IFERROR(VLOOKUP($M1336,'Informations sur les produits'!$A$3:$H$10000,8,FALSE),"0")</f>
        <v>0</v>
      </c>
      <c r="P1336" s="33">
        <f t="shared" si="80"/>
        <v>0</v>
      </c>
      <c r="Q1336" s="31" t="str">
        <f t="shared" si="81"/>
        <v/>
      </c>
      <c r="R1336" s="32" t="str">
        <f>IFERROR(VLOOKUP($D1336,'Informations sur les produits'!$A$3:$B$15000,2,FALSE),"")</f>
        <v/>
      </c>
      <c r="V1336">
        <f t="shared" si="82"/>
        <v>0</v>
      </c>
      <c r="W1336">
        <f t="shared" si="83"/>
        <v>0</v>
      </c>
    </row>
    <row r="1337" spans="5:23" x14ac:dyDescent="0.25">
      <c r="E1337" s="4"/>
      <c r="F1337" s="4"/>
      <c r="G1337" s="33" t="str">
        <f>IFERROR(VLOOKUP($D1337,'Informations sur les produits'!$A$3:$H$10000,8,FALSE),"0")</f>
        <v>0</v>
      </c>
      <c r="K1337" s="4"/>
      <c r="L1337" s="33" t="str">
        <f>IFERROR(VLOOKUP($J1337,'Informations sur les produits'!$A$3:$H$10000,8,FALSE),"0")</f>
        <v>0</v>
      </c>
      <c r="N1337" s="8"/>
      <c r="O1337" s="33" t="str">
        <f>IFERROR(VLOOKUP($M1337,'Informations sur les produits'!$A$3:$H$10000,8,FALSE),"0")</f>
        <v>0</v>
      </c>
      <c r="P1337" s="33">
        <f t="shared" si="80"/>
        <v>0</v>
      </c>
      <c r="Q1337" s="31" t="str">
        <f t="shared" si="81"/>
        <v/>
      </c>
      <c r="R1337" s="32" t="str">
        <f>IFERROR(VLOOKUP($D1337,'Informations sur les produits'!$A$3:$B$15000,2,FALSE),"")</f>
        <v/>
      </c>
      <c r="V1337">
        <f t="shared" si="82"/>
        <v>0</v>
      </c>
      <c r="W1337">
        <f t="shared" si="83"/>
        <v>0</v>
      </c>
    </row>
    <row r="1338" spans="5:23" x14ac:dyDescent="0.25">
      <c r="E1338" s="4"/>
      <c r="F1338" s="4"/>
      <c r="G1338" s="33" t="str">
        <f>IFERROR(VLOOKUP($D1338,'Informations sur les produits'!$A$3:$H$10000,8,FALSE),"0")</f>
        <v>0</v>
      </c>
      <c r="K1338" s="4"/>
      <c r="L1338" s="33" t="str">
        <f>IFERROR(VLOOKUP($J1338,'Informations sur les produits'!$A$3:$H$10000,8,FALSE),"0")</f>
        <v>0</v>
      </c>
      <c r="N1338" s="8"/>
      <c r="O1338" s="33" t="str">
        <f>IFERROR(VLOOKUP($M1338,'Informations sur les produits'!$A$3:$H$10000,8,FALSE),"0")</f>
        <v>0</v>
      </c>
      <c r="P1338" s="33">
        <f t="shared" si="80"/>
        <v>0</v>
      </c>
      <c r="Q1338" s="31" t="str">
        <f t="shared" si="81"/>
        <v/>
      </c>
      <c r="R1338" s="32" t="str">
        <f>IFERROR(VLOOKUP($D1338,'Informations sur les produits'!$A$3:$B$15000,2,FALSE),"")</f>
        <v/>
      </c>
      <c r="V1338">
        <f t="shared" si="82"/>
        <v>0</v>
      </c>
      <c r="W1338">
        <f t="shared" si="83"/>
        <v>0</v>
      </c>
    </row>
    <row r="1339" spans="5:23" x14ac:dyDescent="0.25">
      <c r="E1339" s="4"/>
      <c r="F1339" s="4"/>
      <c r="G1339" s="33" t="str">
        <f>IFERROR(VLOOKUP($D1339,'Informations sur les produits'!$A$3:$H$10000,8,FALSE),"0")</f>
        <v>0</v>
      </c>
      <c r="K1339" s="4"/>
      <c r="L1339" s="33" t="str">
        <f>IFERROR(VLOOKUP($J1339,'Informations sur les produits'!$A$3:$H$10000,8,FALSE),"0")</f>
        <v>0</v>
      </c>
      <c r="N1339" s="8"/>
      <c r="O1339" s="33" t="str">
        <f>IFERROR(VLOOKUP($M1339,'Informations sur les produits'!$A$3:$H$10000,8,FALSE),"0")</f>
        <v>0</v>
      </c>
      <c r="P1339" s="33">
        <f t="shared" si="80"/>
        <v>0</v>
      </c>
      <c r="Q1339" s="31" t="str">
        <f t="shared" si="81"/>
        <v/>
      </c>
      <c r="R1339" s="32" t="str">
        <f>IFERROR(VLOOKUP($D1339,'Informations sur les produits'!$A$3:$B$15000,2,FALSE),"")</f>
        <v/>
      </c>
      <c r="V1339">
        <f t="shared" si="82"/>
        <v>0</v>
      </c>
      <c r="W1339">
        <f t="shared" si="83"/>
        <v>0</v>
      </c>
    </row>
    <row r="1340" spans="5:23" x14ac:dyDescent="0.25">
      <c r="E1340" s="4"/>
      <c r="F1340" s="4"/>
      <c r="G1340" s="33" t="str">
        <f>IFERROR(VLOOKUP($D1340,'Informations sur les produits'!$A$3:$H$10000,8,FALSE),"0")</f>
        <v>0</v>
      </c>
      <c r="K1340" s="4"/>
      <c r="L1340" s="33" t="str">
        <f>IFERROR(VLOOKUP($J1340,'Informations sur les produits'!$A$3:$H$10000,8,FALSE),"0")</f>
        <v>0</v>
      </c>
      <c r="N1340" s="8"/>
      <c r="O1340" s="33" t="str">
        <f>IFERROR(VLOOKUP($M1340,'Informations sur les produits'!$A$3:$H$10000,8,FALSE),"0")</f>
        <v>0</v>
      </c>
      <c r="P1340" s="33">
        <f t="shared" si="80"/>
        <v>0</v>
      </c>
      <c r="Q1340" s="31" t="str">
        <f t="shared" si="81"/>
        <v/>
      </c>
      <c r="R1340" s="32" t="str">
        <f>IFERROR(VLOOKUP($D1340,'Informations sur les produits'!$A$3:$B$15000,2,FALSE),"")</f>
        <v/>
      </c>
      <c r="V1340">
        <f t="shared" si="82"/>
        <v>0</v>
      </c>
      <c r="W1340">
        <f t="shared" si="83"/>
        <v>0</v>
      </c>
    </row>
    <row r="1341" spans="5:23" x14ac:dyDescent="0.25">
      <c r="E1341" s="4"/>
      <c r="F1341" s="4"/>
      <c r="G1341" s="33" t="str">
        <f>IFERROR(VLOOKUP($D1341,'Informations sur les produits'!$A$3:$H$10000,8,FALSE),"0")</f>
        <v>0</v>
      </c>
      <c r="K1341" s="4"/>
      <c r="L1341" s="33" t="str">
        <f>IFERROR(VLOOKUP($J1341,'Informations sur les produits'!$A$3:$H$10000,8,FALSE),"0")</f>
        <v>0</v>
      </c>
      <c r="N1341" s="8"/>
      <c r="O1341" s="33" t="str">
        <f>IFERROR(VLOOKUP($M1341,'Informations sur les produits'!$A$3:$H$10000,8,FALSE),"0")</f>
        <v>0</v>
      </c>
      <c r="P1341" s="33">
        <f t="shared" si="80"/>
        <v>0</v>
      </c>
      <c r="Q1341" s="31" t="str">
        <f t="shared" si="81"/>
        <v/>
      </c>
      <c r="R1341" s="32" t="str">
        <f>IFERROR(VLOOKUP($D1341,'Informations sur les produits'!$A$3:$B$15000,2,FALSE),"")</f>
        <v/>
      </c>
      <c r="V1341">
        <f t="shared" si="82"/>
        <v>0</v>
      </c>
      <c r="W1341">
        <f t="shared" si="83"/>
        <v>0</v>
      </c>
    </row>
    <row r="1342" spans="5:23" x14ac:dyDescent="0.25">
      <c r="E1342" s="4"/>
      <c r="F1342" s="4"/>
      <c r="G1342" s="33" t="str">
        <f>IFERROR(VLOOKUP($D1342,'Informations sur les produits'!$A$3:$H$10000,8,FALSE),"0")</f>
        <v>0</v>
      </c>
      <c r="K1342" s="4"/>
      <c r="L1342" s="33" t="str">
        <f>IFERROR(VLOOKUP($J1342,'Informations sur les produits'!$A$3:$H$10000,8,FALSE),"0")</f>
        <v>0</v>
      </c>
      <c r="N1342" s="8"/>
      <c r="O1342" s="33" t="str">
        <f>IFERROR(VLOOKUP($M1342,'Informations sur les produits'!$A$3:$H$10000,8,FALSE),"0")</f>
        <v>0</v>
      </c>
      <c r="P1342" s="33">
        <f t="shared" si="80"/>
        <v>0</v>
      </c>
      <c r="Q1342" s="31" t="str">
        <f t="shared" si="81"/>
        <v/>
      </c>
      <c r="R1342" s="32" t="str">
        <f>IFERROR(VLOOKUP($D1342,'Informations sur les produits'!$A$3:$B$15000,2,FALSE),"")</f>
        <v/>
      </c>
      <c r="V1342">
        <f t="shared" si="82"/>
        <v>0</v>
      </c>
      <c r="W1342">
        <f t="shared" si="83"/>
        <v>0</v>
      </c>
    </row>
    <row r="1343" spans="5:23" x14ac:dyDescent="0.25">
      <c r="E1343" s="4"/>
      <c r="F1343" s="4"/>
      <c r="G1343" s="33" t="str">
        <f>IFERROR(VLOOKUP($D1343,'Informations sur les produits'!$A$3:$H$10000,8,FALSE),"0")</f>
        <v>0</v>
      </c>
      <c r="K1343" s="4"/>
      <c r="L1343" s="33" t="str">
        <f>IFERROR(VLOOKUP($J1343,'Informations sur les produits'!$A$3:$H$10000,8,FALSE),"0")</f>
        <v>0</v>
      </c>
      <c r="N1343" s="8"/>
      <c r="O1343" s="33" t="str">
        <f>IFERROR(VLOOKUP($M1343,'Informations sur les produits'!$A$3:$H$10000,8,FALSE),"0")</f>
        <v>0</v>
      </c>
      <c r="P1343" s="33">
        <f t="shared" si="80"/>
        <v>0</v>
      </c>
      <c r="Q1343" s="31" t="str">
        <f t="shared" si="81"/>
        <v/>
      </c>
      <c r="R1343" s="32" t="str">
        <f>IFERROR(VLOOKUP($D1343,'Informations sur les produits'!$A$3:$B$15000,2,FALSE),"")</f>
        <v/>
      </c>
      <c r="V1343">
        <f t="shared" si="82"/>
        <v>0</v>
      </c>
      <c r="W1343">
        <f t="shared" si="83"/>
        <v>0</v>
      </c>
    </row>
    <row r="1344" spans="5:23" x14ac:dyDescent="0.25">
      <c r="E1344" s="4"/>
      <c r="F1344" s="4"/>
      <c r="G1344" s="33" t="str">
        <f>IFERROR(VLOOKUP($D1344,'Informations sur les produits'!$A$3:$H$10000,8,FALSE),"0")</f>
        <v>0</v>
      </c>
      <c r="K1344" s="4"/>
      <c r="L1344" s="33" t="str">
        <f>IFERROR(VLOOKUP($J1344,'Informations sur les produits'!$A$3:$H$10000,8,FALSE),"0")</f>
        <v>0</v>
      </c>
      <c r="N1344" s="8"/>
      <c r="O1344" s="33" t="str">
        <f>IFERROR(VLOOKUP($M1344,'Informations sur les produits'!$A$3:$H$10000,8,FALSE),"0")</f>
        <v>0</v>
      </c>
      <c r="P1344" s="33">
        <f t="shared" si="80"/>
        <v>0</v>
      </c>
      <c r="Q1344" s="31" t="str">
        <f t="shared" si="81"/>
        <v/>
      </c>
      <c r="R1344" s="32" t="str">
        <f>IFERROR(VLOOKUP($D1344,'Informations sur les produits'!$A$3:$B$15000,2,FALSE),"")</f>
        <v/>
      </c>
      <c r="V1344">
        <f t="shared" si="82"/>
        <v>0</v>
      </c>
      <c r="W1344">
        <f t="shared" si="83"/>
        <v>0</v>
      </c>
    </row>
    <row r="1345" spans="5:23" x14ac:dyDescent="0.25">
      <c r="E1345" s="4"/>
      <c r="F1345" s="4"/>
      <c r="G1345" s="33" t="str">
        <f>IFERROR(VLOOKUP($D1345,'Informations sur les produits'!$A$3:$H$10000,8,FALSE),"0")</f>
        <v>0</v>
      </c>
      <c r="K1345" s="4"/>
      <c r="L1345" s="33" t="str">
        <f>IFERROR(VLOOKUP($J1345,'Informations sur les produits'!$A$3:$H$10000,8,FALSE),"0")</f>
        <v>0</v>
      </c>
      <c r="N1345" s="8"/>
      <c r="O1345" s="33" t="str">
        <f>IFERROR(VLOOKUP($M1345,'Informations sur les produits'!$A$3:$H$10000,8,FALSE),"0")</f>
        <v>0</v>
      </c>
      <c r="P1345" s="33">
        <f t="shared" si="80"/>
        <v>0</v>
      </c>
      <c r="Q1345" s="31" t="str">
        <f t="shared" si="81"/>
        <v/>
      </c>
      <c r="R1345" s="32" t="str">
        <f>IFERROR(VLOOKUP($D1345,'Informations sur les produits'!$A$3:$B$15000,2,FALSE),"")</f>
        <v/>
      </c>
      <c r="V1345">
        <f t="shared" si="82"/>
        <v>0</v>
      </c>
      <c r="W1345">
        <f t="shared" si="83"/>
        <v>0</v>
      </c>
    </row>
    <row r="1346" spans="5:23" x14ac:dyDescent="0.25">
      <c r="E1346" s="4"/>
      <c r="F1346" s="4"/>
      <c r="G1346" s="33" t="str">
        <f>IFERROR(VLOOKUP($D1346,'Informations sur les produits'!$A$3:$H$10000,8,FALSE),"0")</f>
        <v>0</v>
      </c>
      <c r="K1346" s="4"/>
      <c r="L1346" s="33" t="str">
        <f>IFERROR(VLOOKUP($J1346,'Informations sur les produits'!$A$3:$H$10000,8,FALSE),"0")</f>
        <v>0</v>
      </c>
      <c r="N1346" s="8"/>
      <c r="O1346" s="33" t="str">
        <f>IFERROR(VLOOKUP($M1346,'Informations sur les produits'!$A$3:$H$10000,8,FALSE),"0")</f>
        <v>0</v>
      </c>
      <c r="P1346" s="33">
        <f t="shared" si="80"/>
        <v>0</v>
      </c>
      <c r="Q1346" s="31" t="str">
        <f t="shared" si="81"/>
        <v/>
      </c>
      <c r="R1346" s="32" t="str">
        <f>IFERROR(VLOOKUP($D1346,'Informations sur les produits'!$A$3:$B$15000,2,FALSE),"")</f>
        <v/>
      </c>
      <c r="V1346">
        <f t="shared" si="82"/>
        <v>0</v>
      </c>
      <c r="W1346">
        <f t="shared" si="83"/>
        <v>0</v>
      </c>
    </row>
    <row r="1347" spans="5:23" x14ac:dyDescent="0.25">
      <c r="E1347" s="4"/>
      <c r="F1347" s="4"/>
      <c r="G1347" s="33" t="str">
        <f>IFERROR(VLOOKUP($D1347,'Informations sur les produits'!$A$3:$H$10000,8,FALSE),"0")</f>
        <v>0</v>
      </c>
      <c r="K1347" s="4"/>
      <c r="L1347" s="33" t="str">
        <f>IFERROR(VLOOKUP($J1347,'Informations sur les produits'!$A$3:$H$10000,8,FALSE),"0")</f>
        <v>0</v>
      </c>
      <c r="N1347" s="8"/>
      <c r="O1347" s="33" t="str">
        <f>IFERROR(VLOOKUP($M1347,'Informations sur les produits'!$A$3:$H$10000,8,FALSE),"0")</f>
        <v>0</v>
      </c>
      <c r="P1347" s="33">
        <f t="shared" si="80"/>
        <v>0</v>
      </c>
      <c r="Q1347" s="31" t="str">
        <f t="shared" si="81"/>
        <v/>
      </c>
      <c r="R1347" s="32" t="str">
        <f>IFERROR(VLOOKUP($D1347,'Informations sur les produits'!$A$3:$B$15000,2,FALSE),"")</f>
        <v/>
      </c>
      <c r="V1347">
        <f t="shared" si="82"/>
        <v>0</v>
      </c>
      <c r="W1347">
        <f t="shared" si="83"/>
        <v>0</v>
      </c>
    </row>
    <row r="1348" spans="5:23" x14ac:dyDescent="0.25">
      <c r="E1348" s="4"/>
      <c r="F1348" s="4"/>
      <c r="G1348" s="33" t="str">
        <f>IFERROR(VLOOKUP($D1348,'Informations sur les produits'!$A$3:$H$10000,8,FALSE),"0")</f>
        <v>0</v>
      </c>
      <c r="K1348" s="4"/>
      <c r="L1348" s="33" t="str">
        <f>IFERROR(VLOOKUP($J1348,'Informations sur les produits'!$A$3:$H$10000,8,FALSE),"0")</f>
        <v>0</v>
      </c>
      <c r="N1348" s="8"/>
      <c r="O1348" s="33" t="str">
        <f>IFERROR(VLOOKUP($M1348,'Informations sur les produits'!$A$3:$H$10000,8,FALSE),"0")</f>
        <v>0</v>
      </c>
      <c r="P1348" s="33">
        <f t="shared" ref="P1348:P1411" si="84">IFERROR((($E1348-$F1348)*$G1348+$K1348*$L1348+$N1348*$O1348),"")</f>
        <v>0</v>
      </c>
      <c r="Q1348" s="31" t="str">
        <f t="shared" ref="Q1348:Q1411" si="85">IFERROR((((($E1348-$F1348)*$G1348+$K1348*$L1348+$N1348*$O1348)*1000)/(($E1348-$F1348)+$K1348+$N1348)),"")</f>
        <v/>
      </c>
      <c r="R1348" s="32" t="str">
        <f>IFERROR(VLOOKUP($D1348,'Informations sur les produits'!$A$3:$B$15000,2,FALSE),"")</f>
        <v/>
      </c>
      <c r="V1348">
        <f t="shared" ref="V1348:V1411" si="86">IFERROR(P1348*1000,"")</f>
        <v>0</v>
      </c>
      <c r="W1348">
        <f t="shared" ref="W1348:W1411" si="87">IFERROR(($E1348-$F1348)+$K1348+$N1348,"")</f>
        <v>0</v>
      </c>
    </row>
    <row r="1349" spans="5:23" x14ac:dyDescent="0.25">
      <c r="E1349" s="4"/>
      <c r="F1349" s="4"/>
      <c r="G1349" s="33" t="str">
        <f>IFERROR(VLOOKUP($D1349,'Informations sur les produits'!$A$3:$H$10000,8,FALSE),"0")</f>
        <v>0</v>
      </c>
      <c r="K1349" s="4"/>
      <c r="L1349" s="33" t="str">
        <f>IFERROR(VLOOKUP($J1349,'Informations sur les produits'!$A$3:$H$10000,8,FALSE),"0")</f>
        <v>0</v>
      </c>
      <c r="N1349" s="8"/>
      <c r="O1349" s="33" t="str">
        <f>IFERROR(VLOOKUP($M1349,'Informations sur les produits'!$A$3:$H$10000,8,FALSE),"0")</f>
        <v>0</v>
      </c>
      <c r="P1349" s="33">
        <f t="shared" si="84"/>
        <v>0</v>
      </c>
      <c r="Q1349" s="31" t="str">
        <f t="shared" si="85"/>
        <v/>
      </c>
      <c r="R1349" s="32" t="str">
        <f>IFERROR(VLOOKUP($D1349,'Informations sur les produits'!$A$3:$B$15000,2,FALSE),"")</f>
        <v/>
      </c>
      <c r="V1349">
        <f t="shared" si="86"/>
        <v>0</v>
      </c>
      <c r="W1349">
        <f t="shared" si="87"/>
        <v>0</v>
      </c>
    </row>
    <row r="1350" spans="5:23" x14ac:dyDescent="0.25">
      <c r="E1350" s="4"/>
      <c r="F1350" s="4"/>
      <c r="G1350" s="33" t="str">
        <f>IFERROR(VLOOKUP($D1350,'Informations sur les produits'!$A$3:$H$10000,8,FALSE),"0")</f>
        <v>0</v>
      </c>
      <c r="K1350" s="4"/>
      <c r="L1350" s="33" t="str">
        <f>IFERROR(VLOOKUP($J1350,'Informations sur les produits'!$A$3:$H$10000,8,FALSE),"0")</f>
        <v>0</v>
      </c>
      <c r="N1350" s="8"/>
      <c r="O1350" s="33" t="str">
        <f>IFERROR(VLOOKUP($M1350,'Informations sur les produits'!$A$3:$H$10000,8,FALSE),"0")</f>
        <v>0</v>
      </c>
      <c r="P1350" s="33">
        <f t="shared" si="84"/>
        <v>0</v>
      </c>
      <c r="Q1350" s="31" t="str">
        <f t="shared" si="85"/>
        <v/>
      </c>
      <c r="R1350" s="32" t="str">
        <f>IFERROR(VLOOKUP($D1350,'Informations sur les produits'!$A$3:$B$15000,2,FALSE),"")</f>
        <v/>
      </c>
      <c r="V1350">
        <f t="shared" si="86"/>
        <v>0</v>
      </c>
      <c r="W1350">
        <f t="shared" si="87"/>
        <v>0</v>
      </c>
    </row>
    <row r="1351" spans="5:23" x14ac:dyDescent="0.25">
      <c r="E1351" s="4"/>
      <c r="F1351" s="4"/>
      <c r="G1351" s="33" t="str">
        <f>IFERROR(VLOOKUP($D1351,'Informations sur les produits'!$A$3:$H$10000,8,FALSE),"0")</f>
        <v>0</v>
      </c>
      <c r="K1351" s="4"/>
      <c r="L1351" s="33" t="str">
        <f>IFERROR(VLOOKUP($J1351,'Informations sur les produits'!$A$3:$H$10000,8,FALSE),"0")</f>
        <v>0</v>
      </c>
      <c r="N1351" s="8"/>
      <c r="O1351" s="33" t="str">
        <f>IFERROR(VLOOKUP($M1351,'Informations sur les produits'!$A$3:$H$10000,8,FALSE),"0")</f>
        <v>0</v>
      </c>
      <c r="P1351" s="33">
        <f t="shared" si="84"/>
        <v>0</v>
      </c>
      <c r="Q1351" s="31" t="str">
        <f t="shared" si="85"/>
        <v/>
      </c>
      <c r="R1351" s="32" t="str">
        <f>IFERROR(VLOOKUP($D1351,'Informations sur les produits'!$A$3:$B$15000,2,FALSE),"")</f>
        <v/>
      </c>
      <c r="V1351">
        <f t="shared" si="86"/>
        <v>0</v>
      </c>
      <c r="W1351">
        <f t="shared" si="87"/>
        <v>0</v>
      </c>
    </row>
    <row r="1352" spans="5:23" x14ac:dyDescent="0.25">
      <c r="E1352" s="4"/>
      <c r="F1352" s="4"/>
      <c r="G1352" s="33" t="str">
        <f>IFERROR(VLOOKUP($D1352,'Informations sur les produits'!$A$3:$H$10000,8,FALSE),"0")</f>
        <v>0</v>
      </c>
      <c r="K1352" s="4"/>
      <c r="L1352" s="33" t="str">
        <f>IFERROR(VLOOKUP($J1352,'Informations sur les produits'!$A$3:$H$10000,8,FALSE),"0")</f>
        <v>0</v>
      </c>
      <c r="N1352" s="8"/>
      <c r="O1352" s="33" t="str">
        <f>IFERROR(VLOOKUP($M1352,'Informations sur les produits'!$A$3:$H$10000,8,FALSE),"0")</f>
        <v>0</v>
      </c>
      <c r="P1352" s="33">
        <f t="shared" si="84"/>
        <v>0</v>
      </c>
      <c r="Q1352" s="31" t="str">
        <f t="shared" si="85"/>
        <v/>
      </c>
      <c r="R1352" s="32" t="str">
        <f>IFERROR(VLOOKUP($D1352,'Informations sur les produits'!$A$3:$B$15000,2,FALSE),"")</f>
        <v/>
      </c>
      <c r="V1352">
        <f t="shared" si="86"/>
        <v>0</v>
      </c>
      <c r="W1352">
        <f t="shared" si="87"/>
        <v>0</v>
      </c>
    </row>
    <row r="1353" spans="5:23" x14ac:dyDescent="0.25">
      <c r="E1353" s="4"/>
      <c r="F1353" s="4"/>
      <c r="G1353" s="33" t="str">
        <f>IFERROR(VLOOKUP($D1353,'Informations sur les produits'!$A$3:$H$10000,8,FALSE),"0")</f>
        <v>0</v>
      </c>
      <c r="K1353" s="4"/>
      <c r="L1353" s="33" t="str">
        <f>IFERROR(VLOOKUP($J1353,'Informations sur les produits'!$A$3:$H$10000,8,FALSE),"0")</f>
        <v>0</v>
      </c>
      <c r="N1353" s="8"/>
      <c r="O1353" s="33" t="str">
        <f>IFERROR(VLOOKUP($M1353,'Informations sur les produits'!$A$3:$H$10000,8,FALSE),"0")</f>
        <v>0</v>
      </c>
      <c r="P1353" s="33">
        <f t="shared" si="84"/>
        <v>0</v>
      </c>
      <c r="Q1353" s="31" t="str">
        <f t="shared" si="85"/>
        <v/>
      </c>
      <c r="R1353" s="32" t="str">
        <f>IFERROR(VLOOKUP($D1353,'Informations sur les produits'!$A$3:$B$15000,2,FALSE),"")</f>
        <v/>
      </c>
      <c r="V1353">
        <f t="shared" si="86"/>
        <v>0</v>
      </c>
      <c r="W1353">
        <f t="shared" si="87"/>
        <v>0</v>
      </c>
    </row>
    <row r="1354" spans="5:23" x14ac:dyDescent="0.25">
      <c r="E1354" s="4"/>
      <c r="F1354" s="4"/>
      <c r="G1354" s="33" t="str">
        <f>IFERROR(VLOOKUP($D1354,'Informations sur les produits'!$A$3:$H$10000,8,FALSE),"0")</f>
        <v>0</v>
      </c>
      <c r="K1354" s="4"/>
      <c r="L1354" s="33" t="str">
        <f>IFERROR(VLOOKUP($J1354,'Informations sur les produits'!$A$3:$H$10000,8,FALSE),"0")</f>
        <v>0</v>
      </c>
      <c r="N1354" s="8"/>
      <c r="O1354" s="33" t="str">
        <f>IFERROR(VLOOKUP($M1354,'Informations sur les produits'!$A$3:$H$10000,8,FALSE),"0")</f>
        <v>0</v>
      </c>
      <c r="P1354" s="33">
        <f t="shared" si="84"/>
        <v>0</v>
      </c>
      <c r="Q1354" s="31" t="str">
        <f t="shared" si="85"/>
        <v/>
      </c>
      <c r="R1354" s="32" t="str">
        <f>IFERROR(VLOOKUP($D1354,'Informations sur les produits'!$A$3:$B$15000,2,FALSE),"")</f>
        <v/>
      </c>
      <c r="V1354">
        <f t="shared" si="86"/>
        <v>0</v>
      </c>
      <c r="W1354">
        <f t="shared" si="87"/>
        <v>0</v>
      </c>
    </row>
    <row r="1355" spans="5:23" x14ac:dyDescent="0.25">
      <c r="E1355" s="4"/>
      <c r="F1355" s="4"/>
      <c r="G1355" s="33" t="str">
        <f>IFERROR(VLOOKUP($D1355,'Informations sur les produits'!$A$3:$H$10000,8,FALSE),"0")</f>
        <v>0</v>
      </c>
      <c r="K1355" s="4"/>
      <c r="L1355" s="33" t="str">
        <f>IFERROR(VLOOKUP($J1355,'Informations sur les produits'!$A$3:$H$10000,8,FALSE),"0")</f>
        <v>0</v>
      </c>
      <c r="N1355" s="8"/>
      <c r="O1355" s="33" t="str">
        <f>IFERROR(VLOOKUP($M1355,'Informations sur les produits'!$A$3:$H$10000,8,FALSE),"0")</f>
        <v>0</v>
      </c>
      <c r="P1355" s="33">
        <f t="shared" si="84"/>
        <v>0</v>
      </c>
      <c r="Q1355" s="31" t="str">
        <f t="shared" si="85"/>
        <v/>
      </c>
      <c r="R1355" s="32" t="str">
        <f>IFERROR(VLOOKUP($D1355,'Informations sur les produits'!$A$3:$B$15000,2,FALSE),"")</f>
        <v/>
      </c>
      <c r="V1355">
        <f t="shared" si="86"/>
        <v>0</v>
      </c>
      <c r="W1355">
        <f t="shared" si="87"/>
        <v>0</v>
      </c>
    </row>
    <row r="1356" spans="5:23" x14ac:dyDescent="0.25">
      <c r="E1356" s="4"/>
      <c r="F1356" s="4"/>
      <c r="G1356" s="33" t="str">
        <f>IFERROR(VLOOKUP($D1356,'Informations sur les produits'!$A$3:$H$10000,8,FALSE),"0")</f>
        <v>0</v>
      </c>
      <c r="K1356" s="4"/>
      <c r="L1356" s="33" t="str">
        <f>IFERROR(VLOOKUP($J1356,'Informations sur les produits'!$A$3:$H$10000,8,FALSE),"0")</f>
        <v>0</v>
      </c>
      <c r="N1356" s="8"/>
      <c r="O1356" s="33" t="str">
        <f>IFERROR(VLOOKUP($M1356,'Informations sur les produits'!$A$3:$H$10000,8,FALSE),"0")</f>
        <v>0</v>
      </c>
      <c r="P1356" s="33">
        <f t="shared" si="84"/>
        <v>0</v>
      </c>
      <c r="Q1356" s="31" t="str">
        <f t="shared" si="85"/>
        <v/>
      </c>
      <c r="R1356" s="32" t="str">
        <f>IFERROR(VLOOKUP($D1356,'Informations sur les produits'!$A$3:$B$15000,2,FALSE),"")</f>
        <v/>
      </c>
      <c r="V1356">
        <f t="shared" si="86"/>
        <v>0</v>
      </c>
      <c r="W1356">
        <f t="shared" si="87"/>
        <v>0</v>
      </c>
    </row>
    <row r="1357" spans="5:23" x14ac:dyDescent="0.25">
      <c r="E1357" s="4"/>
      <c r="F1357" s="4"/>
      <c r="G1357" s="33" t="str">
        <f>IFERROR(VLOOKUP($D1357,'Informations sur les produits'!$A$3:$H$10000,8,FALSE),"0")</f>
        <v>0</v>
      </c>
      <c r="K1357" s="4"/>
      <c r="L1357" s="33" t="str">
        <f>IFERROR(VLOOKUP($J1357,'Informations sur les produits'!$A$3:$H$10000,8,FALSE),"0")</f>
        <v>0</v>
      </c>
      <c r="N1357" s="8"/>
      <c r="O1357" s="33" t="str">
        <f>IFERROR(VLOOKUP($M1357,'Informations sur les produits'!$A$3:$H$10000,8,FALSE),"0")</f>
        <v>0</v>
      </c>
      <c r="P1357" s="33">
        <f t="shared" si="84"/>
        <v>0</v>
      </c>
      <c r="Q1357" s="31" t="str">
        <f t="shared" si="85"/>
        <v/>
      </c>
      <c r="R1357" s="32" t="str">
        <f>IFERROR(VLOOKUP($D1357,'Informations sur les produits'!$A$3:$B$15000,2,FALSE),"")</f>
        <v/>
      </c>
      <c r="V1357">
        <f t="shared" si="86"/>
        <v>0</v>
      </c>
      <c r="W1357">
        <f t="shared" si="87"/>
        <v>0</v>
      </c>
    </row>
    <row r="1358" spans="5:23" x14ac:dyDescent="0.25">
      <c r="E1358" s="4"/>
      <c r="F1358" s="4"/>
      <c r="G1358" s="33" t="str">
        <f>IFERROR(VLOOKUP($D1358,'Informations sur les produits'!$A$3:$H$10000,8,FALSE),"0")</f>
        <v>0</v>
      </c>
      <c r="K1358" s="4"/>
      <c r="L1358" s="33" t="str">
        <f>IFERROR(VLOOKUP($J1358,'Informations sur les produits'!$A$3:$H$10000,8,FALSE),"0")</f>
        <v>0</v>
      </c>
      <c r="N1358" s="8"/>
      <c r="O1358" s="33" t="str">
        <f>IFERROR(VLOOKUP($M1358,'Informations sur les produits'!$A$3:$H$10000,8,FALSE),"0")</f>
        <v>0</v>
      </c>
      <c r="P1358" s="33">
        <f t="shared" si="84"/>
        <v>0</v>
      </c>
      <c r="Q1358" s="31" t="str">
        <f t="shared" si="85"/>
        <v/>
      </c>
      <c r="R1358" s="32" t="str">
        <f>IFERROR(VLOOKUP($D1358,'Informations sur les produits'!$A$3:$B$15000,2,FALSE),"")</f>
        <v/>
      </c>
      <c r="V1358">
        <f t="shared" si="86"/>
        <v>0</v>
      </c>
      <c r="W1358">
        <f t="shared" si="87"/>
        <v>0</v>
      </c>
    </row>
    <row r="1359" spans="5:23" x14ac:dyDescent="0.25">
      <c r="E1359" s="4"/>
      <c r="F1359" s="4"/>
      <c r="G1359" s="33" t="str">
        <f>IFERROR(VLOOKUP($D1359,'Informations sur les produits'!$A$3:$H$10000,8,FALSE),"0")</f>
        <v>0</v>
      </c>
      <c r="K1359" s="4"/>
      <c r="L1359" s="33" t="str">
        <f>IFERROR(VLOOKUP($J1359,'Informations sur les produits'!$A$3:$H$10000,8,FALSE),"0")</f>
        <v>0</v>
      </c>
      <c r="N1359" s="8"/>
      <c r="O1359" s="33" t="str">
        <f>IFERROR(VLOOKUP($M1359,'Informations sur les produits'!$A$3:$H$10000,8,FALSE),"0")</f>
        <v>0</v>
      </c>
      <c r="P1359" s="33">
        <f t="shared" si="84"/>
        <v>0</v>
      </c>
      <c r="Q1359" s="31" t="str">
        <f t="shared" si="85"/>
        <v/>
      </c>
      <c r="R1359" s="32" t="str">
        <f>IFERROR(VLOOKUP($D1359,'Informations sur les produits'!$A$3:$B$15000,2,FALSE),"")</f>
        <v/>
      </c>
      <c r="V1359">
        <f t="shared" si="86"/>
        <v>0</v>
      </c>
      <c r="W1359">
        <f t="shared" si="87"/>
        <v>0</v>
      </c>
    </row>
    <row r="1360" spans="5:23" x14ac:dyDescent="0.25">
      <c r="E1360" s="4"/>
      <c r="F1360" s="4"/>
      <c r="G1360" s="33" t="str">
        <f>IFERROR(VLOOKUP($D1360,'Informations sur les produits'!$A$3:$H$10000,8,FALSE),"0")</f>
        <v>0</v>
      </c>
      <c r="K1360" s="4"/>
      <c r="L1360" s="33" t="str">
        <f>IFERROR(VLOOKUP($J1360,'Informations sur les produits'!$A$3:$H$10000,8,FALSE),"0")</f>
        <v>0</v>
      </c>
      <c r="N1360" s="8"/>
      <c r="O1360" s="33" t="str">
        <f>IFERROR(VLOOKUP($M1360,'Informations sur les produits'!$A$3:$H$10000,8,FALSE),"0")</f>
        <v>0</v>
      </c>
      <c r="P1360" s="33">
        <f t="shared" si="84"/>
        <v>0</v>
      </c>
      <c r="Q1360" s="31" t="str">
        <f t="shared" si="85"/>
        <v/>
      </c>
      <c r="R1360" s="32" t="str">
        <f>IFERROR(VLOOKUP($D1360,'Informations sur les produits'!$A$3:$B$15000,2,FALSE),"")</f>
        <v/>
      </c>
      <c r="V1360">
        <f t="shared" si="86"/>
        <v>0</v>
      </c>
      <c r="W1360">
        <f t="shared" si="87"/>
        <v>0</v>
      </c>
    </row>
    <row r="1361" spans="5:23" x14ac:dyDescent="0.25">
      <c r="E1361" s="4"/>
      <c r="F1361" s="4"/>
      <c r="G1361" s="33" t="str">
        <f>IFERROR(VLOOKUP($D1361,'Informations sur les produits'!$A$3:$H$10000,8,FALSE),"0")</f>
        <v>0</v>
      </c>
      <c r="K1361" s="4"/>
      <c r="L1361" s="33" t="str">
        <f>IFERROR(VLOOKUP($J1361,'Informations sur les produits'!$A$3:$H$10000,8,FALSE),"0")</f>
        <v>0</v>
      </c>
      <c r="N1361" s="8"/>
      <c r="O1361" s="33" t="str">
        <f>IFERROR(VLOOKUP($M1361,'Informations sur les produits'!$A$3:$H$10000,8,FALSE),"0")</f>
        <v>0</v>
      </c>
      <c r="P1361" s="33">
        <f t="shared" si="84"/>
        <v>0</v>
      </c>
      <c r="Q1361" s="31" t="str">
        <f t="shared" si="85"/>
        <v/>
      </c>
      <c r="R1361" s="32" t="str">
        <f>IFERROR(VLOOKUP($D1361,'Informations sur les produits'!$A$3:$B$15000,2,FALSE),"")</f>
        <v/>
      </c>
      <c r="V1361">
        <f t="shared" si="86"/>
        <v>0</v>
      </c>
      <c r="W1361">
        <f t="shared" si="87"/>
        <v>0</v>
      </c>
    </row>
    <row r="1362" spans="5:23" x14ac:dyDescent="0.25">
      <c r="E1362" s="4"/>
      <c r="F1362" s="4"/>
      <c r="G1362" s="33" t="str">
        <f>IFERROR(VLOOKUP($D1362,'Informations sur les produits'!$A$3:$H$10000,8,FALSE),"0")</f>
        <v>0</v>
      </c>
      <c r="K1362" s="4"/>
      <c r="L1362" s="33" t="str">
        <f>IFERROR(VLOOKUP($J1362,'Informations sur les produits'!$A$3:$H$10000,8,FALSE),"0")</f>
        <v>0</v>
      </c>
      <c r="N1362" s="8"/>
      <c r="O1362" s="33" t="str">
        <f>IFERROR(VLOOKUP($M1362,'Informations sur les produits'!$A$3:$H$10000,8,FALSE),"0")</f>
        <v>0</v>
      </c>
      <c r="P1362" s="33">
        <f t="shared" si="84"/>
        <v>0</v>
      </c>
      <c r="Q1362" s="31" t="str">
        <f t="shared" si="85"/>
        <v/>
      </c>
      <c r="R1362" s="32" t="str">
        <f>IFERROR(VLOOKUP($D1362,'Informations sur les produits'!$A$3:$B$15000,2,FALSE),"")</f>
        <v/>
      </c>
      <c r="V1362">
        <f t="shared" si="86"/>
        <v>0</v>
      </c>
      <c r="W1362">
        <f t="shared" si="87"/>
        <v>0</v>
      </c>
    </row>
    <row r="1363" spans="5:23" x14ac:dyDescent="0.25">
      <c r="E1363" s="4"/>
      <c r="F1363" s="4"/>
      <c r="G1363" s="33" t="str">
        <f>IFERROR(VLOOKUP($D1363,'Informations sur les produits'!$A$3:$H$10000,8,FALSE),"0")</f>
        <v>0</v>
      </c>
      <c r="K1363" s="4"/>
      <c r="L1363" s="33" t="str">
        <f>IFERROR(VLOOKUP($J1363,'Informations sur les produits'!$A$3:$H$10000,8,FALSE),"0")</f>
        <v>0</v>
      </c>
      <c r="N1363" s="8"/>
      <c r="O1363" s="33" t="str">
        <f>IFERROR(VLOOKUP($M1363,'Informations sur les produits'!$A$3:$H$10000,8,FALSE),"0")</f>
        <v>0</v>
      </c>
      <c r="P1363" s="33">
        <f t="shared" si="84"/>
        <v>0</v>
      </c>
      <c r="Q1363" s="31" t="str">
        <f t="shared" si="85"/>
        <v/>
      </c>
      <c r="R1363" s="32" t="str">
        <f>IFERROR(VLOOKUP($D1363,'Informations sur les produits'!$A$3:$B$15000,2,FALSE),"")</f>
        <v/>
      </c>
      <c r="V1363">
        <f t="shared" si="86"/>
        <v>0</v>
      </c>
      <c r="W1363">
        <f t="shared" si="87"/>
        <v>0</v>
      </c>
    </row>
    <row r="1364" spans="5:23" x14ac:dyDescent="0.25">
      <c r="E1364" s="4"/>
      <c r="F1364" s="4"/>
      <c r="G1364" s="33" t="str">
        <f>IFERROR(VLOOKUP($D1364,'Informations sur les produits'!$A$3:$H$10000,8,FALSE),"0")</f>
        <v>0</v>
      </c>
      <c r="K1364" s="4"/>
      <c r="L1364" s="33" t="str">
        <f>IFERROR(VLOOKUP($J1364,'Informations sur les produits'!$A$3:$H$10000,8,FALSE),"0")</f>
        <v>0</v>
      </c>
      <c r="N1364" s="8"/>
      <c r="O1364" s="33" t="str">
        <f>IFERROR(VLOOKUP($M1364,'Informations sur les produits'!$A$3:$H$10000,8,FALSE),"0")</f>
        <v>0</v>
      </c>
      <c r="P1364" s="33">
        <f t="shared" si="84"/>
        <v>0</v>
      </c>
      <c r="Q1364" s="31" t="str">
        <f t="shared" si="85"/>
        <v/>
      </c>
      <c r="R1364" s="32" t="str">
        <f>IFERROR(VLOOKUP($D1364,'Informations sur les produits'!$A$3:$B$15000,2,FALSE),"")</f>
        <v/>
      </c>
      <c r="V1364">
        <f t="shared" si="86"/>
        <v>0</v>
      </c>
      <c r="W1364">
        <f t="shared" si="87"/>
        <v>0</v>
      </c>
    </row>
    <row r="1365" spans="5:23" x14ac:dyDescent="0.25">
      <c r="E1365" s="4"/>
      <c r="F1365" s="4"/>
      <c r="G1365" s="33" t="str">
        <f>IFERROR(VLOOKUP($D1365,'Informations sur les produits'!$A$3:$H$10000,8,FALSE),"0")</f>
        <v>0</v>
      </c>
      <c r="K1365" s="4"/>
      <c r="L1365" s="33" t="str">
        <f>IFERROR(VLOOKUP($J1365,'Informations sur les produits'!$A$3:$H$10000,8,FALSE),"0")</f>
        <v>0</v>
      </c>
      <c r="N1365" s="8"/>
      <c r="O1365" s="33" t="str">
        <f>IFERROR(VLOOKUP($M1365,'Informations sur les produits'!$A$3:$H$10000,8,FALSE),"0")</f>
        <v>0</v>
      </c>
      <c r="P1365" s="33">
        <f t="shared" si="84"/>
        <v>0</v>
      </c>
      <c r="Q1365" s="31" t="str">
        <f t="shared" si="85"/>
        <v/>
      </c>
      <c r="R1365" s="32" t="str">
        <f>IFERROR(VLOOKUP($D1365,'Informations sur les produits'!$A$3:$B$15000,2,FALSE),"")</f>
        <v/>
      </c>
      <c r="V1365">
        <f t="shared" si="86"/>
        <v>0</v>
      </c>
      <c r="W1365">
        <f t="shared" si="87"/>
        <v>0</v>
      </c>
    </row>
    <row r="1366" spans="5:23" x14ac:dyDescent="0.25">
      <c r="E1366" s="4"/>
      <c r="F1366" s="4"/>
      <c r="G1366" s="33" t="str">
        <f>IFERROR(VLOOKUP($D1366,'Informations sur les produits'!$A$3:$H$10000,8,FALSE),"0")</f>
        <v>0</v>
      </c>
      <c r="K1366" s="4"/>
      <c r="L1366" s="33" t="str">
        <f>IFERROR(VLOOKUP($J1366,'Informations sur les produits'!$A$3:$H$10000,8,FALSE),"0")</f>
        <v>0</v>
      </c>
      <c r="N1366" s="8"/>
      <c r="O1366" s="33" t="str">
        <f>IFERROR(VLOOKUP($M1366,'Informations sur les produits'!$A$3:$H$10000,8,FALSE),"0")</f>
        <v>0</v>
      </c>
      <c r="P1366" s="33">
        <f t="shared" si="84"/>
        <v>0</v>
      </c>
      <c r="Q1366" s="31" t="str">
        <f t="shared" si="85"/>
        <v/>
      </c>
      <c r="R1366" s="32" t="str">
        <f>IFERROR(VLOOKUP($D1366,'Informations sur les produits'!$A$3:$B$15000,2,FALSE),"")</f>
        <v/>
      </c>
      <c r="V1366">
        <f t="shared" si="86"/>
        <v>0</v>
      </c>
      <c r="W1366">
        <f t="shared" si="87"/>
        <v>0</v>
      </c>
    </row>
    <row r="1367" spans="5:23" x14ac:dyDescent="0.25">
      <c r="E1367" s="4"/>
      <c r="F1367" s="4"/>
      <c r="G1367" s="33" t="str">
        <f>IFERROR(VLOOKUP($D1367,'Informations sur les produits'!$A$3:$H$10000,8,FALSE),"0")</f>
        <v>0</v>
      </c>
      <c r="K1367" s="4"/>
      <c r="L1367" s="33" t="str">
        <f>IFERROR(VLOOKUP($J1367,'Informations sur les produits'!$A$3:$H$10000,8,FALSE),"0")</f>
        <v>0</v>
      </c>
      <c r="N1367" s="8"/>
      <c r="O1367" s="33" t="str">
        <f>IFERROR(VLOOKUP($M1367,'Informations sur les produits'!$A$3:$H$10000,8,FALSE),"0")</f>
        <v>0</v>
      </c>
      <c r="P1367" s="33">
        <f t="shared" si="84"/>
        <v>0</v>
      </c>
      <c r="Q1367" s="31" t="str">
        <f t="shared" si="85"/>
        <v/>
      </c>
      <c r="R1367" s="32" t="str">
        <f>IFERROR(VLOOKUP($D1367,'Informations sur les produits'!$A$3:$B$15000,2,FALSE),"")</f>
        <v/>
      </c>
      <c r="V1367">
        <f t="shared" si="86"/>
        <v>0</v>
      </c>
      <c r="W1367">
        <f t="shared" si="87"/>
        <v>0</v>
      </c>
    </row>
    <row r="1368" spans="5:23" x14ac:dyDescent="0.25">
      <c r="E1368" s="4"/>
      <c r="F1368" s="4"/>
      <c r="G1368" s="33" t="str">
        <f>IFERROR(VLOOKUP($D1368,'Informations sur les produits'!$A$3:$H$10000,8,FALSE),"0")</f>
        <v>0</v>
      </c>
      <c r="K1368" s="4"/>
      <c r="L1368" s="33" t="str">
        <f>IFERROR(VLOOKUP($J1368,'Informations sur les produits'!$A$3:$H$10000,8,FALSE),"0")</f>
        <v>0</v>
      </c>
      <c r="N1368" s="8"/>
      <c r="O1368" s="33" t="str">
        <f>IFERROR(VLOOKUP($M1368,'Informations sur les produits'!$A$3:$H$10000,8,FALSE),"0")</f>
        <v>0</v>
      </c>
      <c r="P1368" s="33">
        <f t="shared" si="84"/>
        <v>0</v>
      </c>
      <c r="Q1368" s="31" t="str">
        <f t="shared" si="85"/>
        <v/>
      </c>
      <c r="R1368" s="32" t="str">
        <f>IFERROR(VLOOKUP($D1368,'Informations sur les produits'!$A$3:$B$15000,2,FALSE),"")</f>
        <v/>
      </c>
      <c r="V1368">
        <f t="shared" si="86"/>
        <v>0</v>
      </c>
      <c r="W1368">
        <f t="shared" si="87"/>
        <v>0</v>
      </c>
    </row>
    <row r="1369" spans="5:23" x14ac:dyDescent="0.25">
      <c r="E1369" s="4"/>
      <c r="F1369" s="4"/>
      <c r="G1369" s="33" t="str">
        <f>IFERROR(VLOOKUP($D1369,'Informations sur les produits'!$A$3:$H$10000,8,FALSE),"0")</f>
        <v>0</v>
      </c>
      <c r="K1369" s="4"/>
      <c r="L1369" s="33" t="str">
        <f>IFERROR(VLOOKUP($J1369,'Informations sur les produits'!$A$3:$H$10000,8,FALSE),"0")</f>
        <v>0</v>
      </c>
      <c r="N1369" s="8"/>
      <c r="O1369" s="33" t="str">
        <f>IFERROR(VLOOKUP($M1369,'Informations sur les produits'!$A$3:$H$10000,8,FALSE),"0")</f>
        <v>0</v>
      </c>
      <c r="P1369" s="33">
        <f t="shared" si="84"/>
        <v>0</v>
      </c>
      <c r="Q1369" s="31" t="str">
        <f t="shared" si="85"/>
        <v/>
      </c>
      <c r="R1369" s="32" t="str">
        <f>IFERROR(VLOOKUP($D1369,'Informations sur les produits'!$A$3:$B$15000,2,FALSE),"")</f>
        <v/>
      </c>
      <c r="V1369">
        <f t="shared" si="86"/>
        <v>0</v>
      </c>
      <c r="W1369">
        <f t="shared" si="87"/>
        <v>0</v>
      </c>
    </row>
    <row r="1370" spans="5:23" x14ac:dyDescent="0.25">
      <c r="E1370" s="4"/>
      <c r="F1370" s="4"/>
      <c r="G1370" s="33" t="str">
        <f>IFERROR(VLOOKUP($D1370,'Informations sur les produits'!$A$3:$H$10000,8,FALSE),"0")</f>
        <v>0</v>
      </c>
      <c r="K1370" s="4"/>
      <c r="L1370" s="33" t="str">
        <f>IFERROR(VLOOKUP($J1370,'Informations sur les produits'!$A$3:$H$10000,8,FALSE),"0")</f>
        <v>0</v>
      </c>
      <c r="N1370" s="8"/>
      <c r="O1370" s="33" t="str">
        <f>IFERROR(VLOOKUP($M1370,'Informations sur les produits'!$A$3:$H$10000,8,FALSE),"0")</f>
        <v>0</v>
      </c>
      <c r="P1370" s="33">
        <f t="shared" si="84"/>
        <v>0</v>
      </c>
      <c r="Q1370" s="31" t="str">
        <f t="shared" si="85"/>
        <v/>
      </c>
      <c r="R1370" s="32" t="str">
        <f>IFERROR(VLOOKUP($D1370,'Informations sur les produits'!$A$3:$B$15000,2,FALSE),"")</f>
        <v/>
      </c>
      <c r="V1370">
        <f t="shared" si="86"/>
        <v>0</v>
      </c>
      <c r="W1370">
        <f t="shared" si="87"/>
        <v>0</v>
      </c>
    </row>
    <row r="1371" spans="5:23" x14ac:dyDescent="0.25">
      <c r="E1371" s="4"/>
      <c r="F1371" s="4"/>
      <c r="G1371" s="33" t="str">
        <f>IFERROR(VLOOKUP($D1371,'Informations sur les produits'!$A$3:$H$10000,8,FALSE),"0")</f>
        <v>0</v>
      </c>
      <c r="K1371" s="4"/>
      <c r="L1371" s="33" t="str">
        <f>IFERROR(VLOOKUP($J1371,'Informations sur les produits'!$A$3:$H$10000,8,FALSE),"0")</f>
        <v>0</v>
      </c>
      <c r="N1371" s="8"/>
      <c r="O1371" s="33" t="str">
        <f>IFERROR(VLOOKUP($M1371,'Informations sur les produits'!$A$3:$H$10000,8,FALSE),"0")</f>
        <v>0</v>
      </c>
      <c r="P1371" s="33">
        <f t="shared" si="84"/>
        <v>0</v>
      </c>
      <c r="Q1371" s="31" t="str">
        <f t="shared" si="85"/>
        <v/>
      </c>
      <c r="R1371" s="32" t="str">
        <f>IFERROR(VLOOKUP($D1371,'Informations sur les produits'!$A$3:$B$15000,2,FALSE),"")</f>
        <v/>
      </c>
      <c r="V1371">
        <f t="shared" si="86"/>
        <v>0</v>
      </c>
      <c r="W1371">
        <f t="shared" si="87"/>
        <v>0</v>
      </c>
    </row>
    <row r="1372" spans="5:23" x14ac:dyDescent="0.25">
      <c r="E1372" s="4"/>
      <c r="F1372" s="4"/>
      <c r="G1372" s="33" t="str">
        <f>IFERROR(VLOOKUP($D1372,'Informations sur les produits'!$A$3:$H$10000,8,FALSE),"0")</f>
        <v>0</v>
      </c>
      <c r="K1372" s="4"/>
      <c r="L1372" s="33" t="str">
        <f>IFERROR(VLOOKUP($J1372,'Informations sur les produits'!$A$3:$H$10000,8,FALSE),"0")</f>
        <v>0</v>
      </c>
      <c r="N1372" s="8"/>
      <c r="O1372" s="33" t="str">
        <f>IFERROR(VLOOKUP($M1372,'Informations sur les produits'!$A$3:$H$10000,8,FALSE),"0")</f>
        <v>0</v>
      </c>
      <c r="P1372" s="33">
        <f t="shared" si="84"/>
        <v>0</v>
      </c>
      <c r="Q1372" s="31" t="str">
        <f t="shared" si="85"/>
        <v/>
      </c>
      <c r="R1372" s="32" t="str">
        <f>IFERROR(VLOOKUP($D1372,'Informations sur les produits'!$A$3:$B$15000,2,FALSE),"")</f>
        <v/>
      </c>
      <c r="V1372">
        <f t="shared" si="86"/>
        <v>0</v>
      </c>
      <c r="W1372">
        <f t="shared" si="87"/>
        <v>0</v>
      </c>
    </row>
    <row r="1373" spans="5:23" x14ac:dyDescent="0.25">
      <c r="E1373" s="4"/>
      <c r="F1373" s="4"/>
      <c r="G1373" s="33" t="str">
        <f>IFERROR(VLOOKUP($D1373,'Informations sur les produits'!$A$3:$H$10000,8,FALSE),"0")</f>
        <v>0</v>
      </c>
      <c r="K1373" s="4"/>
      <c r="L1373" s="33" t="str">
        <f>IFERROR(VLOOKUP($J1373,'Informations sur les produits'!$A$3:$H$10000,8,FALSE),"0")</f>
        <v>0</v>
      </c>
      <c r="N1373" s="8"/>
      <c r="O1373" s="33" t="str">
        <f>IFERROR(VLOOKUP($M1373,'Informations sur les produits'!$A$3:$H$10000,8,FALSE),"0")</f>
        <v>0</v>
      </c>
      <c r="P1373" s="33">
        <f t="shared" si="84"/>
        <v>0</v>
      </c>
      <c r="Q1373" s="31" t="str">
        <f t="shared" si="85"/>
        <v/>
      </c>
      <c r="R1373" s="32" t="str">
        <f>IFERROR(VLOOKUP($D1373,'Informations sur les produits'!$A$3:$B$15000,2,FALSE),"")</f>
        <v/>
      </c>
      <c r="V1373">
        <f t="shared" si="86"/>
        <v>0</v>
      </c>
      <c r="W1373">
        <f t="shared" si="87"/>
        <v>0</v>
      </c>
    </row>
    <row r="1374" spans="5:23" x14ac:dyDescent="0.25">
      <c r="E1374" s="4"/>
      <c r="F1374" s="4"/>
      <c r="G1374" s="33" t="str">
        <f>IFERROR(VLOOKUP($D1374,'Informations sur les produits'!$A$3:$H$10000,8,FALSE),"0")</f>
        <v>0</v>
      </c>
      <c r="K1374" s="4"/>
      <c r="L1374" s="33" t="str">
        <f>IFERROR(VLOOKUP($J1374,'Informations sur les produits'!$A$3:$H$10000,8,FALSE),"0")</f>
        <v>0</v>
      </c>
      <c r="N1374" s="8"/>
      <c r="O1374" s="33" t="str">
        <f>IFERROR(VLOOKUP($M1374,'Informations sur les produits'!$A$3:$H$10000,8,FALSE),"0")</f>
        <v>0</v>
      </c>
      <c r="P1374" s="33">
        <f t="shared" si="84"/>
        <v>0</v>
      </c>
      <c r="Q1374" s="31" t="str">
        <f t="shared" si="85"/>
        <v/>
      </c>
      <c r="R1374" s="32" t="str">
        <f>IFERROR(VLOOKUP($D1374,'Informations sur les produits'!$A$3:$B$15000,2,FALSE),"")</f>
        <v/>
      </c>
      <c r="V1374">
        <f t="shared" si="86"/>
        <v>0</v>
      </c>
      <c r="W1374">
        <f t="shared" si="87"/>
        <v>0</v>
      </c>
    </row>
    <row r="1375" spans="5:23" x14ac:dyDescent="0.25">
      <c r="E1375" s="4"/>
      <c r="F1375" s="4"/>
      <c r="G1375" s="33" t="str">
        <f>IFERROR(VLOOKUP($D1375,'Informations sur les produits'!$A$3:$H$10000,8,FALSE),"0")</f>
        <v>0</v>
      </c>
      <c r="K1375" s="4"/>
      <c r="L1375" s="33" t="str">
        <f>IFERROR(VLOOKUP($J1375,'Informations sur les produits'!$A$3:$H$10000,8,FALSE),"0")</f>
        <v>0</v>
      </c>
      <c r="N1375" s="8"/>
      <c r="O1375" s="33" t="str">
        <f>IFERROR(VLOOKUP($M1375,'Informations sur les produits'!$A$3:$H$10000,8,FALSE),"0")</f>
        <v>0</v>
      </c>
      <c r="P1375" s="33">
        <f t="shared" si="84"/>
        <v>0</v>
      </c>
      <c r="Q1375" s="31" t="str">
        <f t="shared" si="85"/>
        <v/>
      </c>
      <c r="R1375" s="32" t="str">
        <f>IFERROR(VLOOKUP($D1375,'Informations sur les produits'!$A$3:$B$15000,2,FALSE),"")</f>
        <v/>
      </c>
      <c r="V1375">
        <f t="shared" si="86"/>
        <v>0</v>
      </c>
      <c r="W1375">
        <f t="shared" si="87"/>
        <v>0</v>
      </c>
    </row>
    <row r="1376" spans="5:23" x14ac:dyDescent="0.25">
      <c r="E1376" s="4"/>
      <c r="F1376" s="4"/>
      <c r="G1376" s="33" t="str">
        <f>IFERROR(VLOOKUP($D1376,'Informations sur les produits'!$A$3:$H$10000,8,FALSE),"0")</f>
        <v>0</v>
      </c>
      <c r="K1376" s="4"/>
      <c r="L1376" s="33" t="str">
        <f>IFERROR(VLOOKUP($J1376,'Informations sur les produits'!$A$3:$H$10000,8,FALSE),"0")</f>
        <v>0</v>
      </c>
      <c r="N1376" s="8"/>
      <c r="O1376" s="33" t="str">
        <f>IFERROR(VLOOKUP($M1376,'Informations sur les produits'!$A$3:$H$10000,8,FALSE),"0")</f>
        <v>0</v>
      </c>
      <c r="P1376" s="33">
        <f t="shared" si="84"/>
        <v>0</v>
      </c>
      <c r="Q1376" s="31" t="str">
        <f t="shared" si="85"/>
        <v/>
      </c>
      <c r="R1376" s="32" t="str">
        <f>IFERROR(VLOOKUP($D1376,'Informations sur les produits'!$A$3:$B$15000,2,FALSE),"")</f>
        <v/>
      </c>
      <c r="V1376">
        <f t="shared" si="86"/>
        <v>0</v>
      </c>
      <c r="W1376">
        <f t="shared" si="87"/>
        <v>0</v>
      </c>
    </row>
    <row r="1377" spans="5:23" x14ac:dyDescent="0.25">
      <c r="E1377" s="4"/>
      <c r="F1377" s="4"/>
      <c r="G1377" s="33" t="str">
        <f>IFERROR(VLOOKUP($D1377,'Informations sur les produits'!$A$3:$H$10000,8,FALSE),"0")</f>
        <v>0</v>
      </c>
      <c r="K1377" s="4"/>
      <c r="L1377" s="33" t="str">
        <f>IFERROR(VLOOKUP($J1377,'Informations sur les produits'!$A$3:$H$10000,8,FALSE),"0")</f>
        <v>0</v>
      </c>
      <c r="N1377" s="8"/>
      <c r="O1377" s="33" t="str">
        <f>IFERROR(VLOOKUP($M1377,'Informations sur les produits'!$A$3:$H$10000,8,FALSE),"0")</f>
        <v>0</v>
      </c>
      <c r="P1377" s="33">
        <f t="shared" si="84"/>
        <v>0</v>
      </c>
      <c r="Q1377" s="31" t="str">
        <f t="shared" si="85"/>
        <v/>
      </c>
      <c r="R1377" s="32" t="str">
        <f>IFERROR(VLOOKUP($D1377,'Informations sur les produits'!$A$3:$B$15000,2,FALSE),"")</f>
        <v/>
      </c>
      <c r="V1377">
        <f t="shared" si="86"/>
        <v>0</v>
      </c>
      <c r="W1377">
        <f t="shared" si="87"/>
        <v>0</v>
      </c>
    </row>
    <row r="1378" spans="5:23" x14ac:dyDescent="0.25">
      <c r="E1378" s="4"/>
      <c r="F1378" s="4"/>
      <c r="G1378" s="33" t="str">
        <f>IFERROR(VLOOKUP($D1378,'Informations sur les produits'!$A$3:$H$10000,8,FALSE),"0")</f>
        <v>0</v>
      </c>
      <c r="K1378" s="4"/>
      <c r="L1378" s="33" t="str">
        <f>IFERROR(VLOOKUP($J1378,'Informations sur les produits'!$A$3:$H$10000,8,FALSE),"0")</f>
        <v>0</v>
      </c>
      <c r="N1378" s="8"/>
      <c r="O1378" s="33" t="str">
        <f>IFERROR(VLOOKUP($M1378,'Informations sur les produits'!$A$3:$H$10000,8,FALSE),"0")</f>
        <v>0</v>
      </c>
      <c r="P1378" s="33">
        <f t="shared" si="84"/>
        <v>0</v>
      </c>
      <c r="Q1378" s="31" t="str">
        <f t="shared" si="85"/>
        <v/>
      </c>
      <c r="R1378" s="32" t="str">
        <f>IFERROR(VLOOKUP($D1378,'Informations sur les produits'!$A$3:$B$15000,2,FALSE),"")</f>
        <v/>
      </c>
      <c r="V1378">
        <f t="shared" si="86"/>
        <v>0</v>
      </c>
      <c r="W1378">
        <f t="shared" si="87"/>
        <v>0</v>
      </c>
    </row>
    <row r="1379" spans="5:23" x14ac:dyDescent="0.25">
      <c r="E1379" s="4"/>
      <c r="F1379" s="4"/>
      <c r="G1379" s="33" t="str">
        <f>IFERROR(VLOOKUP($D1379,'Informations sur les produits'!$A$3:$H$10000,8,FALSE),"0")</f>
        <v>0</v>
      </c>
      <c r="K1379" s="4"/>
      <c r="L1379" s="33" t="str">
        <f>IFERROR(VLOOKUP($J1379,'Informations sur les produits'!$A$3:$H$10000,8,FALSE),"0")</f>
        <v>0</v>
      </c>
      <c r="N1379" s="8"/>
      <c r="O1379" s="33" t="str">
        <f>IFERROR(VLOOKUP($M1379,'Informations sur les produits'!$A$3:$H$10000,8,FALSE),"0")</f>
        <v>0</v>
      </c>
      <c r="P1379" s="33">
        <f t="shared" si="84"/>
        <v>0</v>
      </c>
      <c r="Q1379" s="31" t="str">
        <f t="shared" si="85"/>
        <v/>
      </c>
      <c r="R1379" s="32" t="str">
        <f>IFERROR(VLOOKUP($D1379,'Informations sur les produits'!$A$3:$B$15000,2,FALSE),"")</f>
        <v/>
      </c>
      <c r="V1379">
        <f t="shared" si="86"/>
        <v>0</v>
      </c>
      <c r="W1379">
        <f t="shared" si="87"/>
        <v>0</v>
      </c>
    </row>
    <row r="1380" spans="5:23" x14ac:dyDescent="0.25">
      <c r="E1380" s="4"/>
      <c r="F1380" s="4"/>
      <c r="G1380" s="33" t="str">
        <f>IFERROR(VLOOKUP($D1380,'Informations sur les produits'!$A$3:$H$10000,8,FALSE),"0")</f>
        <v>0</v>
      </c>
      <c r="K1380" s="4"/>
      <c r="L1380" s="33" t="str">
        <f>IFERROR(VLOOKUP($J1380,'Informations sur les produits'!$A$3:$H$10000,8,FALSE),"0")</f>
        <v>0</v>
      </c>
      <c r="N1380" s="8"/>
      <c r="O1380" s="33" t="str">
        <f>IFERROR(VLOOKUP($M1380,'Informations sur les produits'!$A$3:$H$10000,8,FALSE),"0")</f>
        <v>0</v>
      </c>
      <c r="P1380" s="33">
        <f t="shared" si="84"/>
        <v>0</v>
      </c>
      <c r="Q1380" s="31" t="str">
        <f t="shared" si="85"/>
        <v/>
      </c>
      <c r="R1380" s="32" t="str">
        <f>IFERROR(VLOOKUP($D1380,'Informations sur les produits'!$A$3:$B$15000,2,FALSE),"")</f>
        <v/>
      </c>
      <c r="V1380">
        <f t="shared" si="86"/>
        <v>0</v>
      </c>
      <c r="W1380">
        <f t="shared" si="87"/>
        <v>0</v>
      </c>
    </row>
    <row r="1381" spans="5:23" x14ac:dyDescent="0.25">
      <c r="E1381" s="4"/>
      <c r="F1381" s="4"/>
      <c r="G1381" s="33" t="str">
        <f>IFERROR(VLOOKUP($D1381,'Informations sur les produits'!$A$3:$H$10000,8,FALSE),"0")</f>
        <v>0</v>
      </c>
      <c r="K1381" s="4"/>
      <c r="L1381" s="33" t="str">
        <f>IFERROR(VLOOKUP($J1381,'Informations sur les produits'!$A$3:$H$10000,8,FALSE),"0")</f>
        <v>0</v>
      </c>
      <c r="N1381" s="8"/>
      <c r="O1381" s="33" t="str">
        <f>IFERROR(VLOOKUP($M1381,'Informations sur les produits'!$A$3:$H$10000,8,FALSE),"0")</f>
        <v>0</v>
      </c>
      <c r="P1381" s="33">
        <f t="shared" si="84"/>
        <v>0</v>
      </c>
      <c r="Q1381" s="31" t="str">
        <f t="shared" si="85"/>
        <v/>
      </c>
      <c r="R1381" s="32" t="str">
        <f>IFERROR(VLOOKUP($D1381,'Informations sur les produits'!$A$3:$B$15000,2,FALSE),"")</f>
        <v/>
      </c>
      <c r="V1381">
        <f t="shared" si="86"/>
        <v>0</v>
      </c>
      <c r="W1381">
        <f t="shared" si="87"/>
        <v>0</v>
      </c>
    </row>
    <row r="1382" spans="5:23" x14ac:dyDescent="0.25">
      <c r="E1382" s="4"/>
      <c r="F1382" s="4"/>
      <c r="G1382" s="33" t="str">
        <f>IFERROR(VLOOKUP($D1382,'Informations sur les produits'!$A$3:$H$10000,8,FALSE),"0")</f>
        <v>0</v>
      </c>
      <c r="K1382" s="4"/>
      <c r="L1382" s="33" t="str">
        <f>IFERROR(VLOOKUP($J1382,'Informations sur les produits'!$A$3:$H$10000,8,FALSE),"0")</f>
        <v>0</v>
      </c>
      <c r="N1382" s="8"/>
      <c r="O1382" s="33" t="str">
        <f>IFERROR(VLOOKUP($M1382,'Informations sur les produits'!$A$3:$H$10000,8,FALSE),"0")</f>
        <v>0</v>
      </c>
      <c r="P1382" s="33">
        <f t="shared" si="84"/>
        <v>0</v>
      </c>
      <c r="Q1382" s="31" t="str">
        <f t="shared" si="85"/>
        <v/>
      </c>
      <c r="R1382" s="32" t="str">
        <f>IFERROR(VLOOKUP($D1382,'Informations sur les produits'!$A$3:$B$15000,2,FALSE),"")</f>
        <v/>
      </c>
      <c r="V1382">
        <f t="shared" si="86"/>
        <v>0</v>
      </c>
      <c r="W1382">
        <f t="shared" si="87"/>
        <v>0</v>
      </c>
    </row>
    <row r="1383" spans="5:23" x14ac:dyDescent="0.25">
      <c r="E1383" s="4"/>
      <c r="F1383" s="4"/>
      <c r="G1383" s="33" t="str">
        <f>IFERROR(VLOOKUP($D1383,'Informations sur les produits'!$A$3:$H$10000,8,FALSE),"0")</f>
        <v>0</v>
      </c>
      <c r="K1383" s="4"/>
      <c r="L1383" s="33" t="str">
        <f>IFERROR(VLOOKUP($J1383,'Informations sur les produits'!$A$3:$H$10000,8,FALSE),"0")</f>
        <v>0</v>
      </c>
      <c r="N1383" s="8"/>
      <c r="O1383" s="33" t="str">
        <f>IFERROR(VLOOKUP($M1383,'Informations sur les produits'!$A$3:$H$10000,8,FALSE),"0")</f>
        <v>0</v>
      </c>
      <c r="P1383" s="33">
        <f t="shared" si="84"/>
        <v>0</v>
      </c>
      <c r="Q1383" s="31" t="str">
        <f t="shared" si="85"/>
        <v/>
      </c>
      <c r="R1383" s="32" t="str">
        <f>IFERROR(VLOOKUP($D1383,'Informations sur les produits'!$A$3:$B$15000,2,FALSE),"")</f>
        <v/>
      </c>
      <c r="V1383">
        <f t="shared" si="86"/>
        <v>0</v>
      </c>
      <c r="W1383">
        <f t="shared" si="87"/>
        <v>0</v>
      </c>
    </row>
    <row r="1384" spans="5:23" x14ac:dyDescent="0.25">
      <c r="E1384" s="4"/>
      <c r="F1384" s="4"/>
      <c r="G1384" s="33" t="str">
        <f>IFERROR(VLOOKUP($D1384,'Informations sur les produits'!$A$3:$H$10000,8,FALSE),"0")</f>
        <v>0</v>
      </c>
      <c r="K1384" s="4"/>
      <c r="L1384" s="33" t="str">
        <f>IFERROR(VLOOKUP($J1384,'Informations sur les produits'!$A$3:$H$10000,8,FALSE),"0")</f>
        <v>0</v>
      </c>
      <c r="N1384" s="8"/>
      <c r="O1384" s="33" t="str">
        <f>IFERROR(VLOOKUP($M1384,'Informations sur les produits'!$A$3:$H$10000,8,FALSE),"0")</f>
        <v>0</v>
      </c>
      <c r="P1384" s="33">
        <f t="shared" si="84"/>
        <v>0</v>
      </c>
      <c r="Q1384" s="31" t="str">
        <f t="shared" si="85"/>
        <v/>
      </c>
      <c r="R1384" s="32" t="str">
        <f>IFERROR(VLOOKUP($D1384,'Informations sur les produits'!$A$3:$B$15000,2,FALSE),"")</f>
        <v/>
      </c>
      <c r="V1384">
        <f t="shared" si="86"/>
        <v>0</v>
      </c>
      <c r="W1384">
        <f t="shared" si="87"/>
        <v>0</v>
      </c>
    </row>
    <row r="1385" spans="5:23" x14ac:dyDescent="0.25">
      <c r="E1385" s="4"/>
      <c r="F1385" s="4"/>
      <c r="G1385" s="33" t="str">
        <f>IFERROR(VLOOKUP($D1385,'Informations sur les produits'!$A$3:$H$10000,8,FALSE),"0")</f>
        <v>0</v>
      </c>
      <c r="K1385" s="4"/>
      <c r="L1385" s="33" t="str">
        <f>IFERROR(VLOOKUP($J1385,'Informations sur les produits'!$A$3:$H$10000,8,FALSE),"0")</f>
        <v>0</v>
      </c>
      <c r="N1385" s="8"/>
      <c r="O1385" s="33" t="str">
        <f>IFERROR(VLOOKUP($M1385,'Informations sur les produits'!$A$3:$H$10000,8,FALSE),"0")</f>
        <v>0</v>
      </c>
      <c r="P1385" s="33">
        <f t="shared" si="84"/>
        <v>0</v>
      </c>
      <c r="Q1385" s="31" t="str">
        <f t="shared" si="85"/>
        <v/>
      </c>
      <c r="R1385" s="32" t="str">
        <f>IFERROR(VLOOKUP($D1385,'Informations sur les produits'!$A$3:$B$15000,2,FALSE),"")</f>
        <v/>
      </c>
      <c r="V1385">
        <f t="shared" si="86"/>
        <v>0</v>
      </c>
      <c r="W1385">
        <f t="shared" si="87"/>
        <v>0</v>
      </c>
    </row>
    <row r="1386" spans="5:23" x14ac:dyDescent="0.25">
      <c r="E1386" s="4"/>
      <c r="F1386" s="4"/>
      <c r="G1386" s="33" t="str">
        <f>IFERROR(VLOOKUP($D1386,'Informations sur les produits'!$A$3:$H$10000,8,FALSE),"0")</f>
        <v>0</v>
      </c>
      <c r="K1386" s="4"/>
      <c r="L1386" s="33" t="str">
        <f>IFERROR(VLOOKUP($J1386,'Informations sur les produits'!$A$3:$H$10000,8,FALSE),"0")</f>
        <v>0</v>
      </c>
      <c r="N1386" s="8"/>
      <c r="O1386" s="33" t="str">
        <f>IFERROR(VLOOKUP($M1386,'Informations sur les produits'!$A$3:$H$10000,8,FALSE),"0")</f>
        <v>0</v>
      </c>
      <c r="P1386" s="33">
        <f t="shared" si="84"/>
        <v>0</v>
      </c>
      <c r="Q1386" s="31" t="str">
        <f t="shared" si="85"/>
        <v/>
      </c>
      <c r="R1386" s="32" t="str">
        <f>IFERROR(VLOOKUP($D1386,'Informations sur les produits'!$A$3:$B$15000,2,FALSE),"")</f>
        <v/>
      </c>
      <c r="V1386">
        <f t="shared" si="86"/>
        <v>0</v>
      </c>
      <c r="W1386">
        <f t="shared" si="87"/>
        <v>0</v>
      </c>
    </row>
    <row r="1387" spans="5:23" x14ac:dyDescent="0.25">
      <c r="E1387" s="4"/>
      <c r="F1387" s="4"/>
      <c r="G1387" s="33" t="str">
        <f>IFERROR(VLOOKUP($D1387,'Informations sur les produits'!$A$3:$H$10000,8,FALSE),"0")</f>
        <v>0</v>
      </c>
      <c r="K1387" s="4"/>
      <c r="L1387" s="33" t="str">
        <f>IFERROR(VLOOKUP($J1387,'Informations sur les produits'!$A$3:$H$10000,8,FALSE),"0")</f>
        <v>0</v>
      </c>
      <c r="N1387" s="8"/>
      <c r="O1387" s="33" t="str">
        <f>IFERROR(VLOOKUP($M1387,'Informations sur les produits'!$A$3:$H$10000,8,FALSE),"0")</f>
        <v>0</v>
      </c>
      <c r="P1387" s="33">
        <f t="shared" si="84"/>
        <v>0</v>
      </c>
      <c r="Q1387" s="31" t="str">
        <f t="shared" si="85"/>
        <v/>
      </c>
      <c r="R1387" s="32" t="str">
        <f>IFERROR(VLOOKUP($D1387,'Informations sur les produits'!$A$3:$B$15000,2,FALSE),"")</f>
        <v/>
      </c>
      <c r="V1387">
        <f t="shared" si="86"/>
        <v>0</v>
      </c>
      <c r="W1387">
        <f t="shared" si="87"/>
        <v>0</v>
      </c>
    </row>
    <row r="1388" spans="5:23" x14ac:dyDescent="0.25">
      <c r="E1388" s="4"/>
      <c r="F1388" s="4"/>
      <c r="G1388" s="33" t="str">
        <f>IFERROR(VLOOKUP($D1388,'Informations sur les produits'!$A$3:$H$10000,8,FALSE),"0")</f>
        <v>0</v>
      </c>
      <c r="K1388" s="4"/>
      <c r="L1388" s="33" t="str">
        <f>IFERROR(VLOOKUP($J1388,'Informations sur les produits'!$A$3:$H$10000,8,FALSE),"0")</f>
        <v>0</v>
      </c>
      <c r="N1388" s="8"/>
      <c r="O1388" s="33" t="str">
        <f>IFERROR(VLOOKUP($M1388,'Informations sur les produits'!$A$3:$H$10000,8,FALSE),"0")</f>
        <v>0</v>
      </c>
      <c r="P1388" s="33">
        <f t="shared" si="84"/>
        <v>0</v>
      </c>
      <c r="Q1388" s="31" t="str">
        <f t="shared" si="85"/>
        <v/>
      </c>
      <c r="R1388" s="32" t="str">
        <f>IFERROR(VLOOKUP($D1388,'Informations sur les produits'!$A$3:$B$15000,2,FALSE),"")</f>
        <v/>
      </c>
      <c r="V1388">
        <f t="shared" si="86"/>
        <v>0</v>
      </c>
      <c r="W1388">
        <f t="shared" si="87"/>
        <v>0</v>
      </c>
    </row>
    <row r="1389" spans="5:23" x14ac:dyDescent="0.25">
      <c r="E1389" s="4"/>
      <c r="F1389" s="4"/>
      <c r="G1389" s="33" t="str">
        <f>IFERROR(VLOOKUP($D1389,'Informations sur les produits'!$A$3:$H$10000,8,FALSE),"0")</f>
        <v>0</v>
      </c>
      <c r="K1389" s="4"/>
      <c r="L1389" s="33" t="str">
        <f>IFERROR(VLOOKUP($J1389,'Informations sur les produits'!$A$3:$H$10000,8,FALSE),"0")</f>
        <v>0</v>
      </c>
      <c r="N1389" s="8"/>
      <c r="O1389" s="33" t="str">
        <f>IFERROR(VLOOKUP($M1389,'Informations sur les produits'!$A$3:$H$10000,8,FALSE),"0")</f>
        <v>0</v>
      </c>
      <c r="P1389" s="33">
        <f t="shared" si="84"/>
        <v>0</v>
      </c>
      <c r="Q1389" s="31" t="str">
        <f t="shared" si="85"/>
        <v/>
      </c>
      <c r="R1389" s="32" t="str">
        <f>IFERROR(VLOOKUP($D1389,'Informations sur les produits'!$A$3:$B$15000,2,FALSE),"")</f>
        <v/>
      </c>
      <c r="V1389">
        <f t="shared" si="86"/>
        <v>0</v>
      </c>
      <c r="W1389">
        <f t="shared" si="87"/>
        <v>0</v>
      </c>
    </row>
    <row r="1390" spans="5:23" x14ac:dyDescent="0.25">
      <c r="E1390" s="4"/>
      <c r="F1390" s="4"/>
      <c r="G1390" s="33" t="str">
        <f>IFERROR(VLOOKUP($D1390,'Informations sur les produits'!$A$3:$H$10000,8,FALSE),"0")</f>
        <v>0</v>
      </c>
      <c r="K1390" s="4"/>
      <c r="L1390" s="33" t="str">
        <f>IFERROR(VLOOKUP($J1390,'Informations sur les produits'!$A$3:$H$10000,8,FALSE),"0")</f>
        <v>0</v>
      </c>
      <c r="N1390" s="8"/>
      <c r="O1390" s="33" t="str">
        <f>IFERROR(VLOOKUP($M1390,'Informations sur les produits'!$A$3:$H$10000,8,FALSE),"0")</f>
        <v>0</v>
      </c>
      <c r="P1390" s="33">
        <f t="shared" si="84"/>
        <v>0</v>
      </c>
      <c r="Q1390" s="31" t="str">
        <f t="shared" si="85"/>
        <v/>
      </c>
      <c r="R1390" s="32" t="str">
        <f>IFERROR(VLOOKUP($D1390,'Informations sur les produits'!$A$3:$B$15000,2,FALSE),"")</f>
        <v/>
      </c>
      <c r="V1390">
        <f t="shared" si="86"/>
        <v>0</v>
      </c>
      <c r="W1390">
        <f t="shared" si="87"/>
        <v>0</v>
      </c>
    </row>
    <row r="1391" spans="5:23" x14ac:dyDescent="0.25">
      <c r="E1391" s="4"/>
      <c r="F1391" s="4"/>
      <c r="G1391" s="33" t="str">
        <f>IFERROR(VLOOKUP($D1391,'Informations sur les produits'!$A$3:$H$10000,8,FALSE),"0")</f>
        <v>0</v>
      </c>
      <c r="K1391" s="4"/>
      <c r="L1391" s="33" t="str">
        <f>IFERROR(VLOOKUP($J1391,'Informations sur les produits'!$A$3:$H$10000,8,FALSE),"0")</f>
        <v>0</v>
      </c>
      <c r="N1391" s="8"/>
      <c r="O1391" s="33" t="str">
        <f>IFERROR(VLOOKUP($M1391,'Informations sur les produits'!$A$3:$H$10000,8,FALSE),"0")</f>
        <v>0</v>
      </c>
      <c r="P1391" s="33">
        <f t="shared" si="84"/>
        <v>0</v>
      </c>
      <c r="Q1391" s="31" t="str">
        <f t="shared" si="85"/>
        <v/>
      </c>
      <c r="R1391" s="32" t="str">
        <f>IFERROR(VLOOKUP($D1391,'Informations sur les produits'!$A$3:$B$15000,2,FALSE),"")</f>
        <v/>
      </c>
      <c r="V1391">
        <f t="shared" si="86"/>
        <v>0</v>
      </c>
      <c r="W1391">
        <f t="shared" si="87"/>
        <v>0</v>
      </c>
    </row>
    <row r="1392" spans="5:23" x14ac:dyDescent="0.25">
      <c r="E1392" s="4"/>
      <c r="F1392" s="4"/>
      <c r="G1392" s="33" t="str">
        <f>IFERROR(VLOOKUP($D1392,'Informations sur les produits'!$A$3:$H$10000,8,FALSE),"0")</f>
        <v>0</v>
      </c>
      <c r="K1392" s="4"/>
      <c r="L1392" s="33" t="str">
        <f>IFERROR(VLOOKUP($J1392,'Informations sur les produits'!$A$3:$H$10000,8,FALSE),"0")</f>
        <v>0</v>
      </c>
      <c r="N1392" s="8"/>
      <c r="O1392" s="33" t="str">
        <f>IFERROR(VLOOKUP($M1392,'Informations sur les produits'!$A$3:$H$10000,8,FALSE),"0")</f>
        <v>0</v>
      </c>
      <c r="P1392" s="33">
        <f t="shared" si="84"/>
        <v>0</v>
      </c>
      <c r="Q1392" s="31" t="str">
        <f t="shared" si="85"/>
        <v/>
      </c>
      <c r="R1392" s="32" t="str">
        <f>IFERROR(VLOOKUP($D1392,'Informations sur les produits'!$A$3:$B$15000,2,FALSE),"")</f>
        <v/>
      </c>
      <c r="V1392">
        <f t="shared" si="86"/>
        <v>0</v>
      </c>
      <c r="W1392">
        <f t="shared" si="87"/>
        <v>0</v>
      </c>
    </row>
    <row r="1393" spans="5:23" x14ac:dyDescent="0.25">
      <c r="E1393" s="4"/>
      <c r="F1393" s="4"/>
      <c r="G1393" s="33" t="str">
        <f>IFERROR(VLOOKUP($D1393,'Informations sur les produits'!$A$3:$H$10000,8,FALSE),"0")</f>
        <v>0</v>
      </c>
      <c r="K1393" s="4"/>
      <c r="L1393" s="33" t="str">
        <f>IFERROR(VLOOKUP($J1393,'Informations sur les produits'!$A$3:$H$10000,8,FALSE),"0")</f>
        <v>0</v>
      </c>
      <c r="N1393" s="8"/>
      <c r="O1393" s="33" t="str">
        <f>IFERROR(VLOOKUP($M1393,'Informations sur les produits'!$A$3:$H$10000,8,FALSE),"0")</f>
        <v>0</v>
      </c>
      <c r="P1393" s="33">
        <f t="shared" si="84"/>
        <v>0</v>
      </c>
      <c r="Q1393" s="31" t="str">
        <f t="shared" si="85"/>
        <v/>
      </c>
      <c r="R1393" s="32" t="str">
        <f>IFERROR(VLOOKUP($D1393,'Informations sur les produits'!$A$3:$B$15000,2,FALSE),"")</f>
        <v/>
      </c>
      <c r="V1393">
        <f t="shared" si="86"/>
        <v>0</v>
      </c>
      <c r="W1393">
        <f t="shared" si="87"/>
        <v>0</v>
      </c>
    </row>
    <row r="1394" spans="5:23" x14ac:dyDescent="0.25">
      <c r="E1394" s="4"/>
      <c r="F1394" s="4"/>
      <c r="G1394" s="33" t="str">
        <f>IFERROR(VLOOKUP($D1394,'Informations sur les produits'!$A$3:$H$10000,8,FALSE),"0")</f>
        <v>0</v>
      </c>
      <c r="K1394" s="4"/>
      <c r="L1394" s="33" t="str">
        <f>IFERROR(VLOOKUP($J1394,'Informations sur les produits'!$A$3:$H$10000,8,FALSE),"0")</f>
        <v>0</v>
      </c>
      <c r="N1394" s="8"/>
      <c r="O1394" s="33" t="str">
        <f>IFERROR(VLOOKUP($M1394,'Informations sur les produits'!$A$3:$H$10000,8,FALSE),"0")</f>
        <v>0</v>
      </c>
      <c r="P1394" s="33">
        <f t="shared" si="84"/>
        <v>0</v>
      </c>
      <c r="Q1394" s="31" t="str">
        <f t="shared" si="85"/>
        <v/>
      </c>
      <c r="R1394" s="32" t="str">
        <f>IFERROR(VLOOKUP($D1394,'Informations sur les produits'!$A$3:$B$15000,2,FALSE),"")</f>
        <v/>
      </c>
      <c r="V1394">
        <f t="shared" si="86"/>
        <v>0</v>
      </c>
      <c r="W1394">
        <f t="shared" si="87"/>
        <v>0</v>
      </c>
    </row>
    <row r="1395" spans="5:23" x14ac:dyDescent="0.25">
      <c r="E1395" s="4"/>
      <c r="F1395" s="4"/>
      <c r="G1395" s="33" t="str">
        <f>IFERROR(VLOOKUP($D1395,'Informations sur les produits'!$A$3:$H$10000,8,FALSE),"0")</f>
        <v>0</v>
      </c>
      <c r="K1395" s="4"/>
      <c r="L1395" s="33" t="str">
        <f>IFERROR(VLOOKUP($J1395,'Informations sur les produits'!$A$3:$H$10000,8,FALSE),"0")</f>
        <v>0</v>
      </c>
      <c r="N1395" s="8"/>
      <c r="O1395" s="33" t="str">
        <f>IFERROR(VLOOKUP($M1395,'Informations sur les produits'!$A$3:$H$10000,8,FALSE),"0")</f>
        <v>0</v>
      </c>
      <c r="P1395" s="33">
        <f t="shared" si="84"/>
        <v>0</v>
      </c>
      <c r="Q1395" s="31" t="str">
        <f t="shared" si="85"/>
        <v/>
      </c>
      <c r="R1395" s="32" t="str">
        <f>IFERROR(VLOOKUP($D1395,'Informations sur les produits'!$A$3:$B$15000,2,FALSE),"")</f>
        <v/>
      </c>
      <c r="V1395">
        <f t="shared" si="86"/>
        <v>0</v>
      </c>
      <c r="W1395">
        <f t="shared" si="87"/>
        <v>0</v>
      </c>
    </row>
    <row r="1396" spans="5:23" x14ac:dyDescent="0.25">
      <c r="E1396" s="4"/>
      <c r="F1396" s="4"/>
      <c r="G1396" s="33" t="str">
        <f>IFERROR(VLOOKUP($D1396,'Informations sur les produits'!$A$3:$H$10000,8,FALSE),"0")</f>
        <v>0</v>
      </c>
      <c r="K1396" s="4"/>
      <c r="L1396" s="33" t="str">
        <f>IFERROR(VLOOKUP($J1396,'Informations sur les produits'!$A$3:$H$10000,8,FALSE),"0")</f>
        <v>0</v>
      </c>
      <c r="N1396" s="8"/>
      <c r="O1396" s="33" t="str">
        <f>IFERROR(VLOOKUP($M1396,'Informations sur les produits'!$A$3:$H$10000,8,FALSE),"0")</f>
        <v>0</v>
      </c>
      <c r="P1396" s="33">
        <f t="shared" si="84"/>
        <v>0</v>
      </c>
      <c r="Q1396" s="31" t="str">
        <f t="shared" si="85"/>
        <v/>
      </c>
      <c r="R1396" s="32" t="str">
        <f>IFERROR(VLOOKUP($D1396,'Informations sur les produits'!$A$3:$B$15000,2,FALSE),"")</f>
        <v/>
      </c>
      <c r="V1396">
        <f t="shared" si="86"/>
        <v>0</v>
      </c>
      <c r="W1396">
        <f t="shared" si="87"/>
        <v>0</v>
      </c>
    </row>
    <row r="1397" spans="5:23" x14ac:dyDescent="0.25">
      <c r="E1397" s="4"/>
      <c r="F1397" s="4"/>
      <c r="G1397" s="33" t="str">
        <f>IFERROR(VLOOKUP($D1397,'Informations sur les produits'!$A$3:$H$10000,8,FALSE),"0")</f>
        <v>0</v>
      </c>
      <c r="K1397" s="4"/>
      <c r="L1397" s="33" t="str">
        <f>IFERROR(VLOOKUP($J1397,'Informations sur les produits'!$A$3:$H$10000,8,FALSE),"0")</f>
        <v>0</v>
      </c>
      <c r="N1397" s="8"/>
      <c r="O1397" s="33" t="str">
        <f>IFERROR(VLOOKUP($M1397,'Informations sur les produits'!$A$3:$H$10000,8,FALSE),"0")</f>
        <v>0</v>
      </c>
      <c r="P1397" s="33">
        <f t="shared" si="84"/>
        <v>0</v>
      </c>
      <c r="Q1397" s="31" t="str">
        <f t="shared" si="85"/>
        <v/>
      </c>
      <c r="R1397" s="32" t="str">
        <f>IFERROR(VLOOKUP($D1397,'Informations sur les produits'!$A$3:$B$15000,2,FALSE),"")</f>
        <v/>
      </c>
      <c r="V1397">
        <f t="shared" si="86"/>
        <v>0</v>
      </c>
      <c r="W1397">
        <f t="shared" si="87"/>
        <v>0</v>
      </c>
    </row>
    <row r="1398" spans="5:23" x14ac:dyDescent="0.25">
      <c r="E1398" s="4"/>
      <c r="F1398" s="4"/>
      <c r="G1398" s="33" t="str">
        <f>IFERROR(VLOOKUP($D1398,'Informations sur les produits'!$A$3:$H$10000,8,FALSE),"0")</f>
        <v>0</v>
      </c>
      <c r="K1398" s="4"/>
      <c r="L1398" s="33" t="str">
        <f>IFERROR(VLOOKUP($J1398,'Informations sur les produits'!$A$3:$H$10000,8,FALSE),"0")</f>
        <v>0</v>
      </c>
      <c r="N1398" s="8"/>
      <c r="O1398" s="33" t="str">
        <f>IFERROR(VLOOKUP($M1398,'Informations sur les produits'!$A$3:$H$10000,8,FALSE),"0")</f>
        <v>0</v>
      </c>
      <c r="P1398" s="33">
        <f t="shared" si="84"/>
        <v>0</v>
      </c>
      <c r="Q1398" s="31" t="str">
        <f t="shared" si="85"/>
        <v/>
      </c>
      <c r="R1398" s="32" t="str">
        <f>IFERROR(VLOOKUP($D1398,'Informations sur les produits'!$A$3:$B$15000,2,FALSE),"")</f>
        <v/>
      </c>
      <c r="V1398">
        <f t="shared" si="86"/>
        <v>0</v>
      </c>
      <c r="W1398">
        <f t="shared" si="87"/>
        <v>0</v>
      </c>
    </row>
    <row r="1399" spans="5:23" x14ac:dyDescent="0.25">
      <c r="E1399" s="4"/>
      <c r="F1399" s="4"/>
      <c r="G1399" s="33" t="str">
        <f>IFERROR(VLOOKUP($D1399,'Informations sur les produits'!$A$3:$H$10000,8,FALSE),"0")</f>
        <v>0</v>
      </c>
      <c r="K1399" s="4"/>
      <c r="L1399" s="33" t="str">
        <f>IFERROR(VLOOKUP($J1399,'Informations sur les produits'!$A$3:$H$10000,8,FALSE),"0")</f>
        <v>0</v>
      </c>
      <c r="N1399" s="8"/>
      <c r="O1399" s="33" t="str">
        <f>IFERROR(VLOOKUP($M1399,'Informations sur les produits'!$A$3:$H$10000,8,FALSE),"0")</f>
        <v>0</v>
      </c>
      <c r="P1399" s="33">
        <f t="shared" si="84"/>
        <v>0</v>
      </c>
      <c r="Q1399" s="31" t="str">
        <f t="shared" si="85"/>
        <v/>
      </c>
      <c r="R1399" s="32" t="str">
        <f>IFERROR(VLOOKUP($D1399,'Informations sur les produits'!$A$3:$B$15000,2,FALSE),"")</f>
        <v/>
      </c>
      <c r="V1399">
        <f t="shared" si="86"/>
        <v>0</v>
      </c>
      <c r="W1399">
        <f t="shared" si="87"/>
        <v>0</v>
      </c>
    </row>
    <row r="1400" spans="5:23" x14ac:dyDescent="0.25">
      <c r="E1400" s="4"/>
      <c r="F1400" s="4"/>
      <c r="G1400" s="33" t="str">
        <f>IFERROR(VLOOKUP($D1400,'Informations sur les produits'!$A$3:$H$10000,8,FALSE),"0")</f>
        <v>0</v>
      </c>
      <c r="K1400" s="4"/>
      <c r="L1400" s="33" t="str">
        <f>IFERROR(VLOOKUP($J1400,'Informations sur les produits'!$A$3:$H$10000,8,FALSE),"0")</f>
        <v>0</v>
      </c>
      <c r="N1400" s="8"/>
      <c r="O1400" s="33" t="str">
        <f>IFERROR(VLOOKUP($M1400,'Informations sur les produits'!$A$3:$H$10000,8,FALSE),"0")</f>
        <v>0</v>
      </c>
      <c r="P1400" s="33">
        <f t="shared" si="84"/>
        <v>0</v>
      </c>
      <c r="Q1400" s="31" t="str">
        <f t="shared" si="85"/>
        <v/>
      </c>
      <c r="R1400" s="32" t="str">
        <f>IFERROR(VLOOKUP($D1400,'Informations sur les produits'!$A$3:$B$15000,2,FALSE),"")</f>
        <v/>
      </c>
      <c r="V1400">
        <f t="shared" si="86"/>
        <v>0</v>
      </c>
      <c r="W1400">
        <f t="shared" si="87"/>
        <v>0</v>
      </c>
    </row>
    <row r="1401" spans="5:23" x14ac:dyDescent="0.25">
      <c r="E1401" s="4"/>
      <c r="F1401" s="4"/>
      <c r="G1401" s="33" t="str">
        <f>IFERROR(VLOOKUP($D1401,'Informations sur les produits'!$A$3:$H$10000,8,FALSE),"0")</f>
        <v>0</v>
      </c>
      <c r="K1401" s="4"/>
      <c r="L1401" s="33" t="str">
        <f>IFERROR(VLOOKUP($J1401,'Informations sur les produits'!$A$3:$H$10000,8,FALSE),"0")</f>
        <v>0</v>
      </c>
      <c r="N1401" s="8"/>
      <c r="O1401" s="33" t="str">
        <f>IFERROR(VLOOKUP($M1401,'Informations sur les produits'!$A$3:$H$10000,8,FALSE),"0")</f>
        <v>0</v>
      </c>
      <c r="P1401" s="33">
        <f t="shared" si="84"/>
        <v>0</v>
      </c>
      <c r="Q1401" s="31" t="str">
        <f t="shared" si="85"/>
        <v/>
      </c>
      <c r="R1401" s="32" t="str">
        <f>IFERROR(VLOOKUP($D1401,'Informations sur les produits'!$A$3:$B$15000,2,FALSE),"")</f>
        <v/>
      </c>
      <c r="V1401">
        <f t="shared" si="86"/>
        <v>0</v>
      </c>
      <c r="W1401">
        <f t="shared" si="87"/>
        <v>0</v>
      </c>
    </row>
    <row r="1402" spans="5:23" x14ac:dyDescent="0.25">
      <c r="E1402" s="4"/>
      <c r="F1402" s="4"/>
      <c r="G1402" s="33" t="str">
        <f>IFERROR(VLOOKUP($D1402,'Informations sur les produits'!$A$3:$H$10000,8,FALSE),"0")</f>
        <v>0</v>
      </c>
      <c r="K1402" s="4"/>
      <c r="L1402" s="33" t="str">
        <f>IFERROR(VLOOKUP($J1402,'Informations sur les produits'!$A$3:$H$10000,8,FALSE),"0")</f>
        <v>0</v>
      </c>
      <c r="N1402" s="8"/>
      <c r="O1402" s="33" t="str">
        <f>IFERROR(VLOOKUP($M1402,'Informations sur les produits'!$A$3:$H$10000,8,FALSE),"0")</f>
        <v>0</v>
      </c>
      <c r="P1402" s="33">
        <f t="shared" si="84"/>
        <v>0</v>
      </c>
      <c r="Q1402" s="31" t="str">
        <f t="shared" si="85"/>
        <v/>
      </c>
      <c r="R1402" s="32" t="str">
        <f>IFERROR(VLOOKUP($D1402,'Informations sur les produits'!$A$3:$B$15000,2,FALSE),"")</f>
        <v/>
      </c>
      <c r="V1402">
        <f t="shared" si="86"/>
        <v>0</v>
      </c>
      <c r="W1402">
        <f t="shared" si="87"/>
        <v>0</v>
      </c>
    </row>
    <row r="1403" spans="5:23" x14ac:dyDescent="0.25">
      <c r="E1403" s="4"/>
      <c r="F1403" s="4"/>
      <c r="G1403" s="33" t="str">
        <f>IFERROR(VLOOKUP($D1403,'Informations sur les produits'!$A$3:$H$10000,8,FALSE),"0")</f>
        <v>0</v>
      </c>
      <c r="K1403" s="4"/>
      <c r="L1403" s="33" t="str">
        <f>IFERROR(VLOOKUP($J1403,'Informations sur les produits'!$A$3:$H$10000,8,FALSE),"0")</f>
        <v>0</v>
      </c>
      <c r="N1403" s="8"/>
      <c r="O1403" s="33" t="str">
        <f>IFERROR(VLOOKUP($M1403,'Informations sur les produits'!$A$3:$H$10000,8,FALSE),"0")</f>
        <v>0</v>
      </c>
      <c r="P1403" s="33">
        <f t="shared" si="84"/>
        <v>0</v>
      </c>
      <c r="Q1403" s="31" t="str">
        <f t="shared" si="85"/>
        <v/>
      </c>
      <c r="R1403" s="32" t="str">
        <f>IFERROR(VLOOKUP($D1403,'Informations sur les produits'!$A$3:$B$15000,2,FALSE),"")</f>
        <v/>
      </c>
      <c r="V1403">
        <f t="shared" si="86"/>
        <v>0</v>
      </c>
      <c r="W1403">
        <f t="shared" si="87"/>
        <v>0</v>
      </c>
    </row>
    <row r="1404" spans="5:23" x14ac:dyDescent="0.25">
      <c r="E1404" s="4"/>
      <c r="F1404" s="4"/>
      <c r="G1404" s="33" t="str">
        <f>IFERROR(VLOOKUP($D1404,'Informations sur les produits'!$A$3:$H$10000,8,FALSE),"0")</f>
        <v>0</v>
      </c>
      <c r="K1404" s="4"/>
      <c r="L1404" s="33" t="str">
        <f>IFERROR(VLOOKUP($J1404,'Informations sur les produits'!$A$3:$H$10000,8,FALSE),"0")</f>
        <v>0</v>
      </c>
      <c r="N1404" s="8"/>
      <c r="O1404" s="33" t="str">
        <f>IFERROR(VLOOKUP($M1404,'Informations sur les produits'!$A$3:$H$10000,8,FALSE),"0")</f>
        <v>0</v>
      </c>
      <c r="P1404" s="33">
        <f t="shared" si="84"/>
        <v>0</v>
      </c>
      <c r="Q1404" s="31" t="str">
        <f t="shared" si="85"/>
        <v/>
      </c>
      <c r="R1404" s="32" t="str">
        <f>IFERROR(VLOOKUP($D1404,'Informations sur les produits'!$A$3:$B$15000,2,FALSE),"")</f>
        <v/>
      </c>
      <c r="V1404">
        <f t="shared" si="86"/>
        <v>0</v>
      </c>
      <c r="W1404">
        <f t="shared" si="87"/>
        <v>0</v>
      </c>
    </row>
    <row r="1405" spans="5:23" x14ac:dyDescent="0.25">
      <c r="E1405" s="4"/>
      <c r="F1405" s="4"/>
      <c r="G1405" s="33" t="str">
        <f>IFERROR(VLOOKUP($D1405,'Informations sur les produits'!$A$3:$H$10000,8,FALSE),"0")</f>
        <v>0</v>
      </c>
      <c r="K1405" s="4"/>
      <c r="L1405" s="33" t="str">
        <f>IFERROR(VLOOKUP($J1405,'Informations sur les produits'!$A$3:$H$10000,8,FALSE),"0")</f>
        <v>0</v>
      </c>
      <c r="N1405" s="8"/>
      <c r="O1405" s="33" t="str">
        <f>IFERROR(VLOOKUP($M1405,'Informations sur les produits'!$A$3:$H$10000,8,FALSE),"0")</f>
        <v>0</v>
      </c>
      <c r="P1405" s="33">
        <f t="shared" si="84"/>
        <v>0</v>
      </c>
      <c r="Q1405" s="31" t="str">
        <f t="shared" si="85"/>
        <v/>
      </c>
      <c r="R1405" s="32" t="str">
        <f>IFERROR(VLOOKUP($D1405,'Informations sur les produits'!$A$3:$B$15000,2,FALSE),"")</f>
        <v/>
      </c>
      <c r="V1405">
        <f t="shared" si="86"/>
        <v>0</v>
      </c>
      <c r="W1405">
        <f t="shared" si="87"/>
        <v>0</v>
      </c>
    </row>
    <row r="1406" spans="5:23" x14ac:dyDescent="0.25">
      <c r="E1406" s="4"/>
      <c r="F1406" s="4"/>
      <c r="G1406" s="33" t="str">
        <f>IFERROR(VLOOKUP($D1406,'Informations sur les produits'!$A$3:$H$10000,8,FALSE),"0")</f>
        <v>0</v>
      </c>
      <c r="K1406" s="4"/>
      <c r="L1406" s="33" t="str">
        <f>IFERROR(VLOOKUP($J1406,'Informations sur les produits'!$A$3:$H$10000,8,FALSE),"0")</f>
        <v>0</v>
      </c>
      <c r="N1406" s="8"/>
      <c r="O1406" s="33" t="str">
        <f>IFERROR(VLOOKUP($M1406,'Informations sur les produits'!$A$3:$H$10000,8,FALSE),"0")</f>
        <v>0</v>
      </c>
      <c r="P1406" s="33">
        <f t="shared" si="84"/>
        <v>0</v>
      </c>
      <c r="Q1406" s="31" t="str">
        <f t="shared" si="85"/>
        <v/>
      </c>
      <c r="R1406" s="32" t="str">
        <f>IFERROR(VLOOKUP($D1406,'Informations sur les produits'!$A$3:$B$15000,2,FALSE),"")</f>
        <v/>
      </c>
      <c r="V1406">
        <f t="shared" si="86"/>
        <v>0</v>
      </c>
      <c r="W1406">
        <f t="shared" si="87"/>
        <v>0</v>
      </c>
    </row>
    <row r="1407" spans="5:23" x14ac:dyDescent="0.25">
      <c r="E1407" s="4"/>
      <c r="F1407" s="4"/>
      <c r="G1407" s="33" t="str">
        <f>IFERROR(VLOOKUP($D1407,'Informations sur les produits'!$A$3:$H$10000,8,FALSE),"0")</f>
        <v>0</v>
      </c>
      <c r="K1407" s="4"/>
      <c r="L1407" s="33" t="str">
        <f>IFERROR(VLOOKUP($J1407,'Informations sur les produits'!$A$3:$H$10000,8,FALSE),"0")</f>
        <v>0</v>
      </c>
      <c r="N1407" s="8"/>
      <c r="O1407" s="33" t="str">
        <f>IFERROR(VLOOKUP($M1407,'Informations sur les produits'!$A$3:$H$10000,8,FALSE),"0")</f>
        <v>0</v>
      </c>
      <c r="P1407" s="33">
        <f t="shared" si="84"/>
        <v>0</v>
      </c>
      <c r="Q1407" s="31" t="str">
        <f t="shared" si="85"/>
        <v/>
      </c>
      <c r="R1407" s="32" t="str">
        <f>IFERROR(VLOOKUP($D1407,'Informations sur les produits'!$A$3:$B$15000,2,FALSE),"")</f>
        <v/>
      </c>
      <c r="V1407">
        <f t="shared" si="86"/>
        <v>0</v>
      </c>
      <c r="W1407">
        <f t="shared" si="87"/>
        <v>0</v>
      </c>
    </row>
    <row r="1408" spans="5:23" x14ac:dyDescent="0.25">
      <c r="E1408" s="4"/>
      <c r="F1408" s="4"/>
      <c r="G1408" s="33" t="str">
        <f>IFERROR(VLOOKUP($D1408,'Informations sur les produits'!$A$3:$H$10000,8,FALSE),"0")</f>
        <v>0</v>
      </c>
      <c r="K1408" s="4"/>
      <c r="L1408" s="33" t="str">
        <f>IFERROR(VLOOKUP($J1408,'Informations sur les produits'!$A$3:$H$10000,8,FALSE),"0")</f>
        <v>0</v>
      </c>
      <c r="N1408" s="8"/>
      <c r="O1408" s="33" t="str">
        <f>IFERROR(VLOOKUP($M1408,'Informations sur les produits'!$A$3:$H$10000,8,FALSE),"0")</f>
        <v>0</v>
      </c>
      <c r="P1408" s="33">
        <f t="shared" si="84"/>
        <v>0</v>
      </c>
      <c r="Q1408" s="31" t="str">
        <f t="shared" si="85"/>
        <v/>
      </c>
      <c r="R1408" s="32" t="str">
        <f>IFERROR(VLOOKUP($D1408,'Informations sur les produits'!$A$3:$B$15000,2,FALSE),"")</f>
        <v/>
      </c>
      <c r="V1408">
        <f t="shared" si="86"/>
        <v>0</v>
      </c>
      <c r="W1408">
        <f t="shared" si="87"/>
        <v>0</v>
      </c>
    </row>
    <row r="1409" spans="5:23" x14ac:dyDescent="0.25">
      <c r="E1409" s="4"/>
      <c r="F1409" s="4"/>
      <c r="G1409" s="33" t="str">
        <f>IFERROR(VLOOKUP($D1409,'Informations sur les produits'!$A$3:$H$10000,8,FALSE),"0")</f>
        <v>0</v>
      </c>
      <c r="K1409" s="4"/>
      <c r="L1409" s="33" t="str">
        <f>IFERROR(VLOOKUP($J1409,'Informations sur les produits'!$A$3:$H$10000,8,FALSE),"0")</f>
        <v>0</v>
      </c>
      <c r="N1409" s="8"/>
      <c r="O1409" s="33" t="str">
        <f>IFERROR(VLOOKUP($M1409,'Informations sur les produits'!$A$3:$H$10000,8,FALSE),"0")</f>
        <v>0</v>
      </c>
      <c r="P1409" s="33">
        <f t="shared" si="84"/>
        <v>0</v>
      </c>
      <c r="Q1409" s="31" t="str">
        <f t="shared" si="85"/>
        <v/>
      </c>
      <c r="R1409" s="32" t="str">
        <f>IFERROR(VLOOKUP($D1409,'Informations sur les produits'!$A$3:$B$15000,2,FALSE),"")</f>
        <v/>
      </c>
      <c r="V1409">
        <f t="shared" si="86"/>
        <v>0</v>
      </c>
      <c r="W1409">
        <f t="shared" si="87"/>
        <v>0</v>
      </c>
    </row>
    <row r="1410" spans="5:23" x14ac:dyDescent="0.25">
      <c r="E1410" s="4"/>
      <c r="F1410" s="4"/>
      <c r="G1410" s="33" t="str">
        <f>IFERROR(VLOOKUP($D1410,'Informations sur les produits'!$A$3:$H$10000,8,FALSE),"0")</f>
        <v>0</v>
      </c>
      <c r="K1410" s="4"/>
      <c r="L1410" s="33" t="str">
        <f>IFERROR(VLOOKUP($J1410,'Informations sur les produits'!$A$3:$H$10000,8,FALSE),"0")</f>
        <v>0</v>
      </c>
      <c r="N1410" s="8"/>
      <c r="O1410" s="33" t="str">
        <f>IFERROR(VLOOKUP($M1410,'Informations sur les produits'!$A$3:$H$10000,8,FALSE),"0")</f>
        <v>0</v>
      </c>
      <c r="P1410" s="33">
        <f t="shared" si="84"/>
        <v>0</v>
      </c>
      <c r="Q1410" s="31" t="str">
        <f t="shared" si="85"/>
        <v/>
      </c>
      <c r="R1410" s="32" t="str">
        <f>IFERROR(VLOOKUP($D1410,'Informations sur les produits'!$A$3:$B$15000,2,FALSE),"")</f>
        <v/>
      </c>
      <c r="V1410">
        <f t="shared" si="86"/>
        <v>0</v>
      </c>
      <c r="W1410">
        <f t="shared" si="87"/>
        <v>0</v>
      </c>
    </row>
    <row r="1411" spans="5:23" x14ac:dyDescent="0.25">
      <c r="E1411" s="4"/>
      <c r="F1411" s="4"/>
      <c r="G1411" s="33" t="str">
        <f>IFERROR(VLOOKUP($D1411,'Informations sur les produits'!$A$3:$H$10000,8,FALSE),"0")</f>
        <v>0</v>
      </c>
      <c r="K1411" s="4"/>
      <c r="L1411" s="33" t="str">
        <f>IFERROR(VLOOKUP($J1411,'Informations sur les produits'!$A$3:$H$10000,8,FALSE),"0")</f>
        <v>0</v>
      </c>
      <c r="N1411" s="8"/>
      <c r="O1411" s="33" t="str">
        <f>IFERROR(VLOOKUP($M1411,'Informations sur les produits'!$A$3:$H$10000,8,FALSE),"0")</f>
        <v>0</v>
      </c>
      <c r="P1411" s="33">
        <f t="shared" si="84"/>
        <v>0</v>
      </c>
      <c r="Q1411" s="31" t="str">
        <f t="shared" si="85"/>
        <v/>
      </c>
      <c r="R1411" s="32" t="str">
        <f>IFERROR(VLOOKUP($D1411,'Informations sur les produits'!$A$3:$B$15000,2,FALSE),"")</f>
        <v/>
      </c>
      <c r="V1411">
        <f t="shared" si="86"/>
        <v>0</v>
      </c>
      <c r="W1411">
        <f t="shared" si="87"/>
        <v>0</v>
      </c>
    </row>
    <row r="1412" spans="5:23" x14ac:dyDescent="0.25">
      <c r="E1412" s="4"/>
      <c r="F1412" s="4"/>
      <c r="G1412" s="33" t="str">
        <f>IFERROR(VLOOKUP($D1412,'Informations sur les produits'!$A$3:$H$10000,8,FALSE),"0")</f>
        <v>0</v>
      </c>
      <c r="K1412" s="4"/>
      <c r="L1412" s="33" t="str">
        <f>IFERROR(VLOOKUP($J1412,'Informations sur les produits'!$A$3:$H$10000,8,FALSE),"0")</f>
        <v>0</v>
      </c>
      <c r="N1412" s="8"/>
      <c r="O1412" s="33" t="str">
        <f>IFERROR(VLOOKUP($M1412,'Informations sur les produits'!$A$3:$H$10000,8,FALSE),"0")</f>
        <v>0</v>
      </c>
      <c r="P1412" s="33">
        <f t="shared" ref="P1412:P1475" si="88">IFERROR((($E1412-$F1412)*$G1412+$K1412*$L1412+$N1412*$O1412),"")</f>
        <v>0</v>
      </c>
      <c r="Q1412" s="31" t="str">
        <f t="shared" ref="Q1412:Q1475" si="89">IFERROR((((($E1412-$F1412)*$G1412+$K1412*$L1412+$N1412*$O1412)*1000)/(($E1412-$F1412)+$K1412+$N1412)),"")</f>
        <v/>
      </c>
      <c r="R1412" s="32" t="str">
        <f>IFERROR(VLOOKUP($D1412,'Informations sur les produits'!$A$3:$B$15000,2,FALSE),"")</f>
        <v/>
      </c>
      <c r="V1412">
        <f t="shared" ref="V1412:V1475" si="90">IFERROR(P1412*1000,"")</f>
        <v>0</v>
      </c>
      <c r="W1412">
        <f t="shared" ref="W1412:W1475" si="91">IFERROR(($E1412-$F1412)+$K1412+$N1412,"")</f>
        <v>0</v>
      </c>
    </row>
    <row r="1413" spans="5:23" x14ac:dyDescent="0.25">
      <c r="E1413" s="4"/>
      <c r="F1413" s="4"/>
      <c r="G1413" s="33" t="str">
        <f>IFERROR(VLOOKUP($D1413,'Informations sur les produits'!$A$3:$H$10000,8,FALSE),"0")</f>
        <v>0</v>
      </c>
      <c r="K1413" s="4"/>
      <c r="L1413" s="33" t="str">
        <f>IFERROR(VLOOKUP($J1413,'Informations sur les produits'!$A$3:$H$10000,8,FALSE),"0")</f>
        <v>0</v>
      </c>
      <c r="N1413" s="8"/>
      <c r="O1413" s="33" t="str">
        <f>IFERROR(VLOOKUP($M1413,'Informations sur les produits'!$A$3:$H$10000,8,FALSE),"0")</f>
        <v>0</v>
      </c>
      <c r="P1413" s="33">
        <f t="shared" si="88"/>
        <v>0</v>
      </c>
      <c r="Q1413" s="31" t="str">
        <f t="shared" si="89"/>
        <v/>
      </c>
      <c r="R1413" s="32" t="str">
        <f>IFERROR(VLOOKUP($D1413,'Informations sur les produits'!$A$3:$B$15000,2,FALSE),"")</f>
        <v/>
      </c>
      <c r="V1413">
        <f t="shared" si="90"/>
        <v>0</v>
      </c>
      <c r="W1413">
        <f t="shared" si="91"/>
        <v>0</v>
      </c>
    </row>
    <row r="1414" spans="5:23" x14ac:dyDescent="0.25">
      <c r="E1414" s="4"/>
      <c r="F1414" s="4"/>
      <c r="G1414" s="33" t="str">
        <f>IFERROR(VLOOKUP($D1414,'Informations sur les produits'!$A$3:$H$10000,8,FALSE),"0")</f>
        <v>0</v>
      </c>
      <c r="K1414" s="4"/>
      <c r="L1414" s="33" t="str">
        <f>IFERROR(VLOOKUP($J1414,'Informations sur les produits'!$A$3:$H$10000,8,FALSE),"0")</f>
        <v>0</v>
      </c>
      <c r="N1414" s="8"/>
      <c r="O1414" s="33" t="str">
        <f>IFERROR(VLOOKUP($M1414,'Informations sur les produits'!$A$3:$H$10000,8,FALSE),"0")</f>
        <v>0</v>
      </c>
      <c r="P1414" s="33">
        <f t="shared" si="88"/>
        <v>0</v>
      </c>
      <c r="Q1414" s="31" t="str">
        <f t="shared" si="89"/>
        <v/>
      </c>
      <c r="R1414" s="32" t="str">
        <f>IFERROR(VLOOKUP($D1414,'Informations sur les produits'!$A$3:$B$15000,2,FALSE),"")</f>
        <v/>
      </c>
      <c r="V1414">
        <f t="shared" si="90"/>
        <v>0</v>
      </c>
      <c r="W1414">
        <f t="shared" si="91"/>
        <v>0</v>
      </c>
    </row>
    <row r="1415" spans="5:23" x14ac:dyDescent="0.25">
      <c r="E1415" s="4"/>
      <c r="F1415" s="4"/>
      <c r="G1415" s="33" t="str">
        <f>IFERROR(VLOOKUP($D1415,'Informations sur les produits'!$A$3:$H$10000,8,FALSE),"0")</f>
        <v>0</v>
      </c>
      <c r="K1415" s="4"/>
      <c r="L1415" s="33" t="str">
        <f>IFERROR(VLOOKUP($J1415,'Informations sur les produits'!$A$3:$H$10000,8,FALSE),"0")</f>
        <v>0</v>
      </c>
      <c r="N1415" s="8"/>
      <c r="O1415" s="33" t="str">
        <f>IFERROR(VLOOKUP($M1415,'Informations sur les produits'!$A$3:$H$10000,8,FALSE),"0")</f>
        <v>0</v>
      </c>
      <c r="P1415" s="33">
        <f t="shared" si="88"/>
        <v>0</v>
      </c>
      <c r="Q1415" s="31" t="str">
        <f t="shared" si="89"/>
        <v/>
      </c>
      <c r="R1415" s="32" t="str">
        <f>IFERROR(VLOOKUP($D1415,'Informations sur les produits'!$A$3:$B$15000,2,FALSE),"")</f>
        <v/>
      </c>
      <c r="V1415">
        <f t="shared" si="90"/>
        <v>0</v>
      </c>
      <c r="W1415">
        <f t="shared" si="91"/>
        <v>0</v>
      </c>
    </row>
    <row r="1416" spans="5:23" x14ac:dyDescent="0.25">
      <c r="E1416" s="4"/>
      <c r="F1416" s="4"/>
      <c r="G1416" s="33" t="str">
        <f>IFERROR(VLOOKUP($D1416,'Informations sur les produits'!$A$3:$H$10000,8,FALSE),"0")</f>
        <v>0</v>
      </c>
      <c r="K1416" s="4"/>
      <c r="L1416" s="33" t="str">
        <f>IFERROR(VLOOKUP($J1416,'Informations sur les produits'!$A$3:$H$10000,8,FALSE),"0")</f>
        <v>0</v>
      </c>
      <c r="N1416" s="8"/>
      <c r="O1416" s="33" t="str">
        <f>IFERROR(VLOOKUP($M1416,'Informations sur les produits'!$A$3:$H$10000,8,FALSE),"0")</f>
        <v>0</v>
      </c>
      <c r="P1416" s="33">
        <f t="shared" si="88"/>
        <v>0</v>
      </c>
      <c r="Q1416" s="31" t="str">
        <f t="shared" si="89"/>
        <v/>
      </c>
      <c r="R1416" s="32" t="str">
        <f>IFERROR(VLOOKUP($D1416,'Informations sur les produits'!$A$3:$B$15000,2,FALSE),"")</f>
        <v/>
      </c>
      <c r="V1416">
        <f t="shared" si="90"/>
        <v>0</v>
      </c>
      <c r="W1416">
        <f t="shared" si="91"/>
        <v>0</v>
      </c>
    </row>
    <row r="1417" spans="5:23" x14ac:dyDescent="0.25">
      <c r="E1417" s="4"/>
      <c r="F1417" s="4"/>
      <c r="G1417" s="33" t="str">
        <f>IFERROR(VLOOKUP($D1417,'Informations sur les produits'!$A$3:$H$10000,8,FALSE),"0")</f>
        <v>0</v>
      </c>
      <c r="K1417" s="4"/>
      <c r="L1417" s="33" t="str">
        <f>IFERROR(VLOOKUP($J1417,'Informations sur les produits'!$A$3:$H$10000,8,FALSE),"0")</f>
        <v>0</v>
      </c>
      <c r="N1417" s="8"/>
      <c r="O1417" s="33" t="str">
        <f>IFERROR(VLOOKUP($M1417,'Informations sur les produits'!$A$3:$H$10000,8,FALSE),"0")</f>
        <v>0</v>
      </c>
      <c r="P1417" s="33">
        <f t="shared" si="88"/>
        <v>0</v>
      </c>
      <c r="Q1417" s="31" t="str">
        <f t="shared" si="89"/>
        <v/>
      </c>
      <c r="R1417" s="32" t="str">
        <f>IFERROR(VLOOKUP($D1417,'Informations sur les produits'!$A$3:$B$15000,2,FALSE),"")</f>
        <v/>
      </c>
      <c r="V1417">
        <f t="shared" si="90"/>
        <v>0</v>
      </c>
      <c r="W1417">
        <f t="shared" si="91"/>
        <v>0</v>
      </c>
    </row>
    <row r="1418" spans="5:23" x14ac:dyDescent="0.25">
      <c r="E1418" s="4"/>
      <c r="F1418" s="4"/>
      <c r="G1418" s="33" t="str">
        <f>IFERROR(VLOOKUP($D1418,'Informations sur les produits'!$A$3:$H$10000,8,FALSE),"0")</f>
        <v>0</v>
      </c>
      <c r="K1418" s="4"/>
      <c r="L1418" s="33" t="str">
        <f>IFERROR(VLOOKUP($J1418,'Informations sur les produits'!$A$3:$H$10000,8,FALSE),"0")</f>
        <v>0</v>
      </c>
      <c r="N1418" s="8"/>
      <c r="O1418" s="33" t="str">
        <f>IFERROR(VLOOKUP($M1418,'Informations sur les produits'!$A$3:$H$10000,8,FALSE),"0")</f>
        <v>0</v>
      </c>
      <c r="P1418" s="33">
        <f t="shared" si="88"/>
        <v>0</v>
      </c>
      <c r="Q1418" s="31" t="str">
        <f t="shared" si="89"/>
        <v/>
      </c>
      <c r="R1418" s="32" t="str">
        <f>IFERROR(VLOOKUP($D1418,'Informations sur les produits'!$A$3:$B$15000,2,FALSE),"")</f>
        <v/>
      </c>
      <c r="V1418">
        <f t="shared" si="90"/>
        <v>0</v>
      </c>
      <c r="W1418">
        <f t="shared" si="91"/>
        <v>0</v>
      </c>
    </row>
    <row r="1419" spans="5:23" x14ac:dyDescent="0.25">
      <c r="E1419" s="4"/>
      <c r="F1419" s="4"/>
      <c r="G1419" s="33" t="str">
        <f>IFERROR(VLOOKUP($D1419,'Informations sur les produits'!$A$3:$H$10000,8,FALSE),"0")</f>
        <v>0</v>
      </c>
      <c r="K1419" s="4"/>
      <c r="L1419" s="33" t="str">
        <f>IFERROR(VLOOKUP($J1419,'Informations sur les produits'!$A$3:$H$10000,8,FALSE),"0")</f>
        <v>0</v>
      </c>
      <c r="N1419" s="8"/>
      <c r="O1419" s="33" t="str">
        <f>IFERROR(VLOOKUP($M1419,'Informations sur les produits'!$A$3:$H$10000,8,FALSE),"0")</f>
        <v>0</v>
      </c>
      <c r="P1419" s="33">
        <f t="shared" si="88"/>
        <v>0</v>
      </c>
      <c r="Q1419" s="31" t="str">
        <f t="shared" si="89"/>
        <v/>
      </c>
      <c r="R1419" s="32" t="str">
        <f>IFERROR(VLOOKUP($D1419,'Informations sur les produits'!$A$3:$B$15000,2,FALSE),"")</f>
        <v/>
      </c>
      <c r="V1419">
        <f t="shared" si="90"/>
        <v>0</v>
      </c>
      <c r="W1419">
        <f t="shared" si="91"/>
        <v>0</v>
      </c>
    </row>
    <row r="1420" spans="5:23" x14ac:dyDescent="0.25">
      <c r="E1420" s="4"/>
      <c r="F1420" s="4"/>
      <c r="G1420" s="33" t="str">
        <f>IFERROR(VLOOKUP($D1420,'Informations sur les produits'!$A$3:$H$10000,8,FALSE),"0")</f>
        <v>0</v>
      </c>
      <c r="K1420" s="4"/>
      <c r="L1420" s="33" t="str">
        <f>IFERROR(VLOOKUP($J1420,'Informations sur les produits'!$A$3:$H$10000,8,FALSE),"0")</f>
        <v>0</v>
      </c>
      <c r="N1420" s="8"/>
      <c r="O1420" s="33" t="str">
        <f>IFERROR(VLOOKUP($M1420,'Informations sur les produits'!$A$3:$H$10000,8,FALSE),"0")</f>
        <v>0</v>
      </c>
      <c r="P1420" s="33">
        <f t="shared" si="88"/>
        <v>0</v>
      </c>
      <c r="Q1420" s="31" t="str">
        <f t="shared" si="89"/>
        <v/>
      </c>
      <c r="R1420" s="32" t="str">
        <f>IFERROR(VLOOKUP($D1420,'Informations sur les produits'!$A$3:$B$15000,2,FALSE),"")</f>
        <v/>
      </c>
      <c r="V1420">
        <f t="shared" si="90"/>
        <v>0</v>
      </c>
      <c r="W1420">
        <f t="shared" si="91"/>
        <v>0</v>
      </c>
    </row>
    <row r="1421" spans="5:23" x14ac:dyDescent="0.25">
      <c r="E1421" s="4"/>
      <c r="F1421" s="4"/>
      <c r="G1421" s="33" t="str">
        <f>IFERROR(VLOOKUP($D1421,'Informations sur les produits'!$A$3:$H$10000,8,FALSE),"0")</f>
        <v>0</v>
      </c>
      <c r="K1421" s="4"/>
      <c r="L1421" s="33" t="str">
        <f>IFERROR(VLOOKUP($J1421,'Informations sur les produits'!$A$3:$H$10000,8,FALSE),"0")</f>
        <v>0</v>
      </c>
      <c r="N1421" s="8"/>
      <c r="O1421" s="33" t="str">
        <f>IFERROR(VLOOKUP($M1421,'Informations sur les produits'!$A$3:$H$10000,8,FALSE),"0")</f>
        <v>0</v>
      </c>
      <c r="P1421" s="33">
        <f t="shared" si="88"/>
        <v>0</v>
      </c>
      <c r="Q1421" s="31" t="str">
        <f t="shared" si="89"/>
        <v/>
      </c>
      <c r="R1421" s="32" t="str">
        <f>IFERROR(VLOOKUP($D1421,'Informations sur les produits'!$A$3:$B$15000,2,FALSE),"")</f>
        <v/>
      </c>
      <c r="V1421">
        <f t="shared" si="90"/>
        <v>0</v>
      </c>
      <c r="W1421">
        <f t="shared" si="91"/>
        <v>0</v>
      </c>
    </row>
    <row r="1422" spans="5:23" x14ac:dyDescent="0.25">
      <c r="E1422" s="4"/>
      <c r="F1422" s="4"/>
      <c r="G1422" s="33" t="str">
        <f>IFERROR(VLOOKUP($D1422,'Informations sur les produits'!$A$3:$H$10000,8,FALSE),"0")</f>
        <v>0</v>
      </c>
      <c r="K1422" s="4"/>
      <c r="L1422" s="33" t="str">
        <f>IFERROR(VLOOKUP($J1422,'Informations sur les produits'!$A$3:$H$10000,8,FALSE),"0")</f>
        <v>0</v>
      </c>
      <c r="N1422" s="8"/>
      <c r="O1422" s="33" t="str">
        <f>IFERROR(VLOOKUP($M1422,'Informations sur les produits'!$A$3:$H$10000,8,FALSE),"0")</f>
        <v>0</v>
      </c>
      <c r="P1422" s="33">
        <f t="shared" si="88"/>
        <v>0</v>
      </c>
      <c r="Q1422" s="31" t="str">
        <f t="shared" si="89"/>
        <v/>
      </c>
      <c r="R1422" s="32" t="str">
        <f>IFERROR(VLOOKUP($D1422,'Informations sur les produits'!$A$3:$B$15000,2,FALSE),"")</f>
        <v/>
      </c>
      <c r="V1422">
        <f t="shared" si="90"/>
        <v>0</v>
      </c>
      <c r="W1422">
        <f t="shared" si="91"/>
        <v>0</v>
      </c>
    </row>
    <row r="1423" spans="5:23" x14ac:dyDescent="0.25">
      <c r="E1423" s="4"/>
      <c r="F1423" s="4"/>
      <c r="G1423" s="33" t="str">
        <f>IFERROR(VLOOKUP($D1423,'Informations sur les produits'!$A$3:$H$10000,8,FALSE),"0")</f>
        <v>0</v>
      </c>
      <c r="K1423" s="4"/>
      <c r="L1423" s="33" t="str">
        <f>IFERROR(VLOOKUP($J1423,'Informations sur les produits'!$A$3:$H$10000,8,FALSE),"0")</f>
        <v>0</v>
      </c>
      <c r="N1423" s="8"/>
      <c r="O1423" s="33" t="str">
        <f>IFERROR(VLOOKUP($M1423,'Informations sur les produits'!$A$3:$H$10000,8,FALSE),"0")</f>
        <v>0</v>
      </c>
      <c r="P1423" s="33">
        <f t="shared" si="88"/>
        <v>0</v>
      </c>
      <c r="Q1423" s="31" t="str">
        <f t="shared" si="89"/>
        <v/>
      </c>
      <c r="R1423" s="32" t="str">
        <f>IFERROR(VLOOKUP($D1423,'Informations sur les produits'!$A$3:$B$15000,2,FALSE),"")</f>
        <v/>
      </c>
      <c r="V1423">
        <f t="shared" si="90"/>
        <v>0</v>
      </c>
      <c r="W1423">
        <f t="shared" si="91"/>
        <v>0</v>
      </c>
    </row>
    <row r="1424" spans="5:23" x14ac:dyDescent="0.25">
      <c r="E1424" s="4"/>
      <c r="F1424" s="4"/>
      <c r="G1424" s="33" t="str">
        <f>IFERROR(VLOOKUP($D1424,'Informations sur les produits'!$A$3:$H$10000,8,FALSE),"0")</f>
        <v>0</v>
      </c>
      <c r="K1424" s="4"/>
      <c r="L1424" s="33" t="str">
        <f>IFERROR(VLOOKUP($J1424,'Informations sur les produits'!$A$3:$H$10000,8,FALSE),"0")</f>
        <v>0</v>
      </c>
      <c r="N1424" s="8"/>
      <c r="O1424" s="33" t="str">
        <f>IFERROR(VLOOKUP($M1424,'Informations sur les produits'!$A$3:$H$10000,8,FALSE),"0")</f>
        <v>0</v>
      </c>
      <c r="P1424" s="33">
        <f t="shared" si="88"/>
        <v>0</v>
      </c>
      <c r="Q1424" s="31" t="str">
        <f t="shared" si="89"/>
        <v/>
      </c>
      <c r="R1424" s="32" t="str">
        <f>IFERROR(VLOOKUP($D1424,'Informations sur les produits'!$A$3:$B$15000,2,FALSE),"")</f>
        <v/>
      </c>
      <c r="V1424">
        <f t="shared" si="90"/>
        <v>0</v>
      </c>
      <c r="W1424">
        <f t="shared" si="91"/>
        <v>0</v>
      </c>
    </row>
    <row r="1425" spans="5:23" x14ac:dyDescent="0.25">
      <c r="E1425" s="4"/>
      <c r="F1425" s="4"/>
      <c r="G1425" s="33" t="str">
        <f>IFERROR(VLOOKUP($D1425,'Informations sur les produits'!$A$3:$H$10000,8,FALSE),"0")</f>
        <v>0</v>
      </c>
      <c r="K1425" s="4"/>
      <c r="L1425" s="33" t="str">
        <f>IFERROR(VLOOKUP($J1425,'Informations sur les produits'!$A$3:$H$10000,8,FALSE),"0")</f>
        <v>0</v>
      </c>
      <c r="N1425" s="8"/>
      <c r="O1425" s="33" t="str">
        <f>IFERROR(VLOOKUP($M1425,'Informations sur les produits'!$A$3:$H$10000,8,FALSE),"0")</f>
        <v>0</v>
      </c>
      <c r="P1425" s="33">
        <f t="shared" si="88"/>
        <v>0</v>
      </c>
      <c r="Q1425" s="31" t="str">
        <f t="shared" si="89"/>
        <v/>
      </c>
      <c r="R1425" s="32" t="str">
        <f>IFERROR(VLOOKUP($D1425,'Informations sur les produits'!$A$3:$B$15000,2,FALSE),"")</f>
        <v/>
      </c>
      <c r="V1425">
        <f t="shared" si="90"/>
        <v>0</v>
      </c>
      <c r="W1425">
        <f t="shared" si="91"/>
        <v>0</v>
      </c>
    </row>
    <row r="1426" spans="5:23" x14ac:dyDescent="0.25">
      <c r="E1426" s="4"/>
      <c r="F1426" s="4"/>
      <c r="G1426" s="33" t="str">
        <f>IFERROR(VLOOKUP($D1426,'Informations sur les produits'!$A$3:$H$10000,8,FALSE),"0")</f>
        <v>0</v>
      </c>
      <c r="K1426" s="4"/>
      <c r="L1426" s="33" t="str">
        <f>IFERROR(VLOOKUP($J1426,'Informations sur les produits'!$A$3:$H$10000,8,FALSE),"0")</f>
        <v>0</v>
      </c>
      <c r="N1426" s="8"/>
      <c r="O1426" s="33" t="str">
        <f>IFERROR(VLOOKUP($M1426,'Informations sur les produits'!$A$3:$H$10000,8,FALSE),"0")</f>
        <v>0</v>
      </c>
      <c r="P1426" s="33">
        <f t="shared" si="88"/>
        <v>0</v>
      </c>
      <c r="Q1426" s="31" t="str">
        <f t="shared" si="89"/>
        <v/>
      </c>
      <c r="R1426" s="32" t="str">
        <f>IFERROR(VLOOKUP($D1426,'Informations sur les produits'!$A$3:$B$15000,2,FALSE),"")</f>
        <v/>
      </c>
      <c r="V1426">
        <f t="shared" si="90"/>
        <v>0</v>
      </c>
      <c r="W1426">
        <f t="shared" si="91"/>
        <v>0</v>
      </c>
    </row>
    <row r="1427" spans="5:23" x14ac:dyDescent="0.25">
      <c r="E1427" s="4"/>
      <c r="F1427" s="4"/>
      <c r="G1427" s="33" t="str">
        <f>IFERROR(VLOOKUP($D1427,'Informations sur les produits'!$A$3:$H$10000,8,FALSE),"0")</f>
        <v>0</v>
      </c>
      <c r="K1427" s="4"/>
      <c r="L1427" s="33" t="str">
        <f>IFERROR(VLOOKUP($J1427,'Informations sur les produits'!$A$3:$H$10000,8,FALSE),"0")</f>
        <v>0</v>
      </c>
      <c r="N1427" s="8"/>
      <c r="O1427" s="33" t="str">
        <f>IFERROR(VLOOKUP($M1427,'Informations sur les produits'!$A$3:$H$10000,8,FALSE),"0")</f>
        <v>0</v>
      </c>
      <c r="P1427" s="33">
        <f t="shared" si="88"/>
        <v>0</v>
      </c>
      <c r="Q1427" s="31" t="str">
        <f t="shared" si="89"/>
        <v/>
      </c>
      <c r="R1427" s="32" t="str">
        <f>IFERROR(VLOOKUP($D1427,'Informations sur les produits'!$A$3:$B$15000,2,FALSE),"")</f>
        <v/>
      </c>
      <c r="V1427">
        <f t="shared" si="90"/>
        <v>0</v>
      </c>
      <c r="W1427">
        <f t="shared" si="91"/>
        <v>0</v>
      </c>
    </row>
    <row r="1428" spans="5:23" x14ac:dyDescent="0.25">
      <c r="E1428" s="4"/>
      <c r="F1428" s="4"/>
      <c r="G1428" s="33" t="str">
        <f>IFERROR(VLOOKUP($D1428,'Informations sur les produits'!$A$3:$H$10000,8,FALSE),"0")</f>
        <v>0</v>
      </c>
      <c r="K1428" s="4"/>
      <c r="L1428" s="33" t="str">
        <f>IFERROR(VLOOKUP($J1428,'Informations sur les produits'!$A$3:$H$10000,8,FALSE),"0")</f>
        <v>0</v>
      </c>
      <c r="N1428" s="8"/>
      <c r="O1428" s="33" t="str">
        <f>IFERROR(VLOOKUP($M1428,'Informations sur les produits'!$A$3:$H$10000,8,FALSE),"0")</f>
        <v>0</v>
      </c>
      <c r="P1428" s="33">
        <f t="shared" si="88"/>
        <v>0</v>
      </c>
      <c r="Q1428" s="31" t="str">
        <f t="shared" si="89"/>
        <v/>
      </c>
      <c r="R1428" s="32" t="str">
        <f>IFERROR(VLOOKUP($D1428,'Informations sur les produits'!$A$3:$B$15000,2,FALSE),"")</f>
        <v/>
      </c>
      <c r="V1428">
        <f t="shared" si="90"/>
        <v>0</v>
      </c>
      <c r="W1428">
        <f t="shared" si="91"/>
        <v>0</v>
      </c>
    </row>
    <row r="1429" spans="5:23" x14ac:dyDescent="0.25">
      <c r="E1429" s="4"/>
      <c r="F1429" s="4"/>
      <c r="G1429" s="33" t="str">
        <f>IFERROR(VLOOKUP($D1429,'Informations sur les produits'!$A$3:$H$10000,8,FALSE),"0")</f>
        <v>0</v>
      </c>
      <c r="K1429" s="4"/>
      <c r="L1429" s="33" t="str">
        <f>IFERROR(VLOOKUP($J1429,'Informations sur les produits'!$A$3:$H$10000,8,FALSE),"0")</f>
        <v>0</v>
      </c>
      <c r="N1429" s="8"/>
      <c r="O1429" s="33" t="str">
        <f>IFERROR(VLOOKUP($M1429,'Informations sur les produits'!$A$3:$H$10000,8,FALSE),"0")</f>
        <v>0</v>
      </c>
      <c r="P1429" s="33">
        <f t="shared" si="88"/>
        <v>0</v>
      </c>
      <c r="Q1429" s="31" t="str">
        <f t="shared" si="89"/>
        <v/>
      </c>
      <c r="R1429" s="32" t="str">
        <f>IFERROR(VLOOKUP($D1429,'Informations sur les produits'!$A$3:$B$15000,2,FALSE),"")</f>
        <v/>
      </c>
      <c r="V1429">
        <f t="shared" si="90"/>
        <v>0</v>
      </c>
      <c r="W1429">
        <f t="shared" si="91"/>
        <v>0</v>
      </c>
    </row>
    <row r="1430" spans="5:23" x14ac:dyDescent="0.25">
      <c r="E1430" s="4"/>
      <c r="F1430" s="4"/>
      <c r="G1430" s="33" t="str">
        <f>IFERROR(VLOOKUP($D1430,'Informations sur les produits'!$A$3:$H$10000,8,FALSE),"0")</f>
        <v>0</v>
      </c>
      <c r="K1430" s="4"/>
      <c r="L1430" s="33" t="str">
        <f>IFERROR(VLOOKUP($J1430,'Informations sur les produits'!$A$3:$H$10000,8,FALSE),"0")</f>
        <v>0</v>
      </c>
      <c r="N1430" s="8"/>
      <c r="O1430" s="33" t="str">
        <f>IFERROR(VLOOKUP($M1430,'Informations sur les produits'!$A$3:$H$10000,8,FALSE),"0")</f>
        <v>0</v>
      </c>
      <c r="P1430" s="33">
        <f t="shared" si="88"/>
        <v>0</v>
      </c>
      <c r="Q1430" s="31" t="str">
        <f t="shared" si="89"/>
        <v/>
      </c>
      <c r="R1430" s="32" t="str">
        <f>IFERROR(VLOOKUP($D1430,'Informations sur les produits'!$A$3:$B$15000,2,FALSE),"")</f>
        <v/>
      </c>
      <c r="V1430">
        <f t="shared" si="90"/>
        <v>0</v>
      </c>
      <c r="W1430">
        <f t="shared" si="91"/>
        <v>0</v>
      </c>
    </row>
    <row r="1431" spans="5:23" x14ac:dyDescent="0.25">
      <c r="E1431" s="4"/>
      <c r="F1431" s="4"/>
      <c r="G1431" s="33" t="str">
        <f>IFERROR(VLOOKUP($D1431,'Informations sur les produits'!$A$3:$H$10000,8,FALSE),"0")</f>
        <v>0</v>
      </c>
      <c r="K1431" s="4"/>
      <c r="L1431" s="33" t="str">
        <f>IFERROR(VLOOKUP($J1431,'Informations sur les produits'!$A$3:$H$10000,8,FALSE),"0")</f>
        <v>0</v>
      </c>
      <c r="N1431" s="8"/>
      <c r="O1431" s="33" t="str">
        <f>IFERROR(VLOOKUP($M1431,'Informations sur les produits'!$A$3:$H$10000,8,FALSE),"0")</f>
        <v>0</v>
      </c>
      <c r="P1431" s="33">
        <f t="shared" si="88"/>
        <v>0</v>
      </c>
      <c r="Q1431" s="31" t="str">
        <f t="shared" si="89"/>
        <v/>
      </c>
      <c r="R1431" s="32" t="str">
        <f>IFERROR(VLOOKUP($D1431,'Informations sur les produits'!$A$3:$B$15000,2,FALSE),"")</f>
        <v/>
      </c>
      <c r="V1431">
        <f t="shared" si="90"/>
        <v>0</v>
      </c>
      <c r="W1431">
        <f t="shared" si="91"/>
        <v>0</v>
      </c>
    </row>
    <row r="1432" spans="5:23" x14ac:dyDescent="0.25">
      <c r="E1432" s="4"/>
      <c r="F1432" s="4"/>
      <c r="G1432" s="33" t="str">
        <f>IFERROR(VLOOKUP($D1432,'Informations sur les produits'!$A$3:$H$10000,8,FALSE),"0")</f>
        <v>0</v>
      </c>
      <c r="K1432" s="4"/>
      <c r="L1432" s="33" t="str">
        <f>IFERROR(VLOOKUP($J1432,'Informations sur les produits'!$A$3:$H$10000,8,FALSE),"0")</f>
        <v>0</v>
      </c>
      <c r="N1432" s="8"/>
      <c r="O1432" s="33" t="str">
        <f>IFERROR(VLOOKUP($M1432,'Informations sur les produits'!$A$3:$H$10000,8,FALSE),"0")</f>
        <v>0</v>
      </c>
      <c r="P1432" s="33">
        <f t="shared" si="88"/>
        <v>0</v>
      </c>
      <c r="Q1432" s="31" t="str">
        <f t="shared" si="89"/>
        <v/>
      </c>
      <c r="R1432" s="32" t="str">
        <f>IFERROR(VLOOKUP($D1432,'Informations sur les produits'!$A$3:$B$15000,2,FALSE),"")</f>
        <v/>
      </c>
      <c r="V1432">
        <f t="shared" si="90"/>
        <v>0</v>
      </c>
      <c r="W1432">
        <f t="shared" si="91"/>
        <v>0</v>
      </c>
    </row>
    <row r="1433" spans="5:23" x14ac:dyDescent="0.25">
      <c r="E1433" s="4"/>
      <c r="F1433" s="4"/>
      <c r="G1433" s="33" t="str">
        <f>IFERROR(VLOOKUP($D1433,'Informations sur les produits'!$A$3:$H$10000,8,FALSE),"0")</f>
        <v>0</v>
      </c>
      <c r="K1433" s="4"/>
      <c r="L1433" s="33" t="str">
        <f>IFERROR(VLOOKUP($J1433,'Informations sur les produits'!$A$3:$H$10000,8,FALSE),"0")</f>
        <v>0</v>
      </c>
      <c r="N1433" s="8"/>
      <c r="O1433" s="33" t="str">
        <f>IFERROR(VLOOKUP($M1433,'Informations sur les produits'!$A$3:$H$10000,8,FALSE),"0")</f>
        <v>0</v>
      </c>
      <c r="P1433" s="33">
        <f t="shared" si="88"/>
        <v>0</v>
      </c>
      <c r="Q1433" s="31" t="str">
        <f t="shared" si="89"/>
        <v/>
      </c>
      <c r="R1433" s="32" t="str">
        <f>IFERROR(VLOOKUP($D1433,'Informations sur les produits'!$A$3:$B$15000,2,FALSE),"")</f>
        <v/>
      </c>
      <c r="V1433">
        <f t="shared" si="90"/>
        <v>0</v>
      </c>
      <c r="W1433">
        <f t="shared" si="91"/>
        <v>0</v>
      </c>
    </row>
    <row r="1434" spans="5:23" x14ac:dyDescent="0.25">
      <c r="E1434" s="4"/>
      <c r="F1434" s="4"/>
      <c r="G1434" s="33" t="str">
        <f>IFERROR(VLOOKUP($D1434,'Informations sur les produits'!$A$3:$H$10000,8,FALSE),"0")</f>
        <v>0</v>
      </c>
      <c r="K1434" s="4"/>
      <c r="L1434" s="33" t="str">
        <f>IFERROR(VLOOKUP($J1434,'Informations sur les produits'!$A$3:$H$10000,8,FALSE),"0")</f>
        <v>0</v>
      </c>
      <c r="N1434" s="8"/>
      <c r="O1434" s="33" t="str">
        <f>IFERROR(VLOOKUP($M1434,'Informations sur les produits'!$A$3:$H$10000,8,FALSE),"0")</f>
        <v>0</v>
      </c>
      <c r="P1434" s="33">
        <f t="shared" si="88"/>
        <v>0</v>
      </c>
      <c r="Q1434" s="31" t="str">
        <f t="shared" si="89"/>
        <v/>
      </c>
      <c r="R1434" s="32" t="str">
        <f>IFERROR(VLOOKUP($D1434,'Informations sur les produits'!$A$3:$B$15000,2,FALSE),"")</f>
        <v/>
      </c>
      <c r="V1434">
        <f t="shared" si="90"/>
        <v>0</v>
      </c>
      <c r="W1434">
        <f t="shared" si="91"/>
        <v>0</v>
      </c>
    </row>
    <row r="1435" spans="5:23" x14ac:dyDescent="0.25">
      <c r="E1435" s="4"/>
      <c r="F1435" s="4"/>
      <c r="G1435" s="33" t="str">
        <f>IFERROR(VLOOKUP($D1435,'Informations sur les produits'!$A$3:$H$10000,8,FALSE),"0")</f>
        <v>0</v>
      </c>
      <c r="K1435" s="4"/>
      <c r="L1435" s="33" t="str">
        <f>IFERROR(VLOOKUP($J1435,'Informations sur les produits'!$A$3:$H$10000,8,FALSE),"0")</f>
        <v>0</v>
      </c>
      <c r="N1435" s="8"/>
      <c r="O1435" s="33" t="str">
        <f>IFERROR(VLOOKUP($M1435,'Informations sur les produits'!$A$3:$H$10000,8,FALSE),"0")</f>
        <v>0</v>
      </c>
      <c r="P1435" s="33">
        <f t="shared" si="88"/>
        <v>0</v>
      </c>
      <c r="Q1435" s="31" t="str">
        <f t="shared" si="89"/>
        <v/>
      </c>
      <c r="R1435" s="32" t="str">
        <f>IFERROR(VLOOKUP($D1435,'Informations sur les produits'!$A$3:$B$15000,2,FALSE),"")</f>
        <v/>
      </c>
      <c r="V1435">
        <f t="shared" si="90"/>
        <v>0</v>
      </c>
      <c r="W1435">
        <f t="shared" si="91"/>
        <v>0</v>
      </c>
    </row>
    <row r="1436" spans="5:23" x14ac:dyDescent="0.25">
      <c r="E1436" s="4"/>
      <c r="F1436" s="4"/>
      <c r="G1436" s="33" t="str">
        <f>IFERROR(VLOOKUP($D1436,'Informations sur les produits'!$A$3:$H$10000,8,FALSE),"0")</f>
        <v>0</v>
      </c>
      <c r="K1436" s="4"/>
      <c r="L1436" s="33" t="str">
        <f>IFERROR(VLOOKUP($J1436,'Informations sur les produits'!$A$3:$H$10000,8,FALSE),"0")</f>
        <v>0</v>
      </c>
      <c r="N1436" s="8"/>
      <c r="O1436" s="33" t="str">
        <f>IFERROR(VLOOKUP($M1436,'Informations sur les produits'!$A$3:$H$10000,8,FALSE),"0")</f>
        <v>0</v>
      </c>
      <c r="P1436" s="33">
        <f t="shared" si="88"/>
        <v>0</v>
      </c>
      <c r="Q1436" s="31" t="str">
        <f t="shared" si="89"/>
        <v/>
      </c>
      <c r="R1436" s="32" t="str">
        <f>IFERROR(VLOOKUP($D1436,'Informations sur les produits'!$A$3:$B$15000,2,FALSE),"")</f>
        <v/>
      </c>
      <c r="V1436">
        <f t="shared" si="90"/>
        <v>0</v>
      </c>
      <c r="W1436">
        <f t="shared" si="91"/>
        <v>0</v>
      </c>
    </row>
    <row r="1437" spans="5:23" x14ac:dyDescent="0.25">
      <c r="E1437" s="4"/>
      <c r="F1437" s="4"/>
      <c r="G1437" s="33" t="str">
        <f>IFERROR(VLOOKUP($D1437,'Informations sur les produits'!$A$3:$H$10000,8,FALSE),"0")</f>
        <v>0</v>
      </c>
      <c r="K1437" s="4"/>
      <c r="L1437" s="33" t="str">
        <f>IFERROR(VLOOKUP($J1437,'Informations sur les produits'!$A$3:$H$10000,8,FALSE),"0")</f>
        <v>0</v>
      </c>
      <c r="N1437" s="8"/>
      <c r="O1437" s="33" t="str">
        <f>IFERROR(VLOOKUP($M1437,'Informations sur les produits'!$A$3:$H$10000,8,FALSE),"0")</f>
        <v>0</v>
      </c>
      <c r="P1437" s="33">
        <f t="shared" si="88"/>
        <v>0</v>
      </c>
      <c r="Q1437" s="31" t="str">
        <f t="shared" si="89"/>
        <v/>
      </c>
      <c r="R1437" s="32" t="str">
        <f>IFERROR(VLOOKUP($D1437,'Informations sur les produits'!$A$3:$B$15000,2,FALSE),"")</f>
        <v/>
      </c>
      <c r="V1437">
        <f t="shared" si="90"/>
        <v>0</v>
      </c>
      <c r="W1437">
        <f t="shared" si="91"/>
        <v>0</v>
      </c>
    </row>
    <row r="1438" spans="5:23" x14ac:dyDescent="0.25">
      <c r="E1438" s="4"/>
      <c r="F1438" s="4"/>
      <c r="G1438" s="33" t="str">
        <f>IFERROR(VLOOKUP($D1438,'Informations sur les produits'!$A$3:$H$10000,8,FALSE),"0")</f>
        <v>0</v>
      </c>
      <c r="K1438" s="4"/>
      <c r="L1438" s="33" t="str">
        <f>IFERROR(VLOOKUP($J1438,'Informations sur les produits'!$A$3:$H$10000,8,FALSE),"0")</f>
        <v>0</v>
      </c>
      <c r="N1438" s="8"/>
      <c r="O1438" s="33" t="str">
        <f>IFERROR(VLOOKUP($M1438,'Informations sur les produits'!$A$3:$H$10000,8,FALSE),"0")</f>
        <v>0</v>
      </c>
      <c r="P1438" s="33">
        <f t="shared" si="88"/>
        <v>0</v>
      </c>
      <c r="Q1438" s="31" t="str">
        <f t="shared" si="89"/>
        <v/>
      </c>
      <c r="R1438" s="32" t="str">
        <f>IFERROR(VLOOKUP($D1438,'Informations sur les produits'!$A$3:$B$15000,2,FALSE),"")</f>
        <v/>
      </c>
      <c r="V1438">
        <f t="shared" si="90"/>
        <v>0</v>
      </c>
      <c r="W1438">
        <f t="shared" si="91"/>
        <v>0</v>
      </c>
    </row>
    <row r="1439" spans="5:23" x14ac:dyDescent="0.25">
      <c r="E1439" s="4"/>
      <c r="F1439" s="4"/>
      <c r="G1439" s="33" t="str">
        <f>IFERROR(VLOOKUP($D1439,'Informations sur les produits'!$A$3:$H$10000,8,FALSE),"0")</f>
        <v>0</v>
      </c>
      <c r="K1439" s="4"/>
      <c r="L1439" s="33" t="str">
        <f>IFERROR(VLOOKUP($J1439,'Informations sur les produits'!$A$3:$H$10000,8,FALSE),"0")</f>
        <v>0</v>
      </c>
      <c r="N1439" s="8"/>
      <c r="O1439" s="33" t="str">
        <f>IFERROR(VLOOKUP($M1439,'Informations sur les produits'!$A$3:$H$10000,8,FALSE),"0")</f>
        <v>0</v>
      </c>
      <c r="P1439" s="33">
        <f t="shared" si="88"/>
        <v>0</v>
      </c>
      <c r="Q1439" s="31" t="str">
        <f t="shared" si="89"/>
        <v/>
      </c>
      <c r="R1439" s="32" t="str">
        <f>IFERROR(VLOOKUP($D1439,'Informations sur les produits'!$A$3:$B$15000,2,FALSE),"")</f>
        <v/>
      </c>
      <c r="V1439">
        <f t="shared" si="90"/>
        <v>0</v>
      </c>
      <c r="W1439">
        <f t="shared" si="91"/>
        <v>0</v>
      </c>
    </row>
    <row r="1440" spans="5:23" x14ac:dyDescent="0.25">
      <c r="E1440" s="4"/>
      <c r="F1440" s="4"/>
      <c r="G1440" s="33" t="str">
        <f>IFERROR(VLOOKUP($D1440,'Informations sur les produits'!$A$3:$H$10000,8,FALSE),"0")</f>
        <v>0</v>
      </c>
      <c r="K1440" s="4"/>
      <c r="L1440" s="33" t="str">
        <f>IFERROR(VLOOKUP($J1440,'Informations sur les produits'!$A$3:$H$10000,8,FALSE),"0")</f>
        <v>0</v>
      </c>
      <c r="N1440" s="8"/>
      <c r="O1440" s="33" t="str">
        <f>IFERROR(VLOOKUP($M1440,'Informations sur les produits'!$A$3:$H$10000,8,FALSE),"0")</f>
        <v>0</v>
      </c>
      <c r="P1440" s="33">
        <f t="shared" si="88"/>
        <v>0</v>
      </c>
      <c r="Q1440" s="31" t="str">
        <f t="shared" si="89"/>
        <v/>
      </c>
      <c r="R1440" s="32" t="str">
        <f>IFERROR(VLOOKUP($D1440,'Informations sur les produits'!$A$3:$B$15000,2,FALSE),"")</f>
        <v/>
      </c>
      <c r="V1440">
        <f t="shared" si="90"/>
        <v>0</v>
      </c>
      <c r="W1440">
        <f t="shared" si="91"/>
        <v>0</v>
      </c>
    </row>
    <row r="1441" spans="5:23" x14ac:dyDescent="0.25">
      <c r="E1441" s="4"/>
      <c r="F1441" s="4"/>
      <c r="G1441" s="33" t="str">
        <f>IFERROR(VLOOKUP($D1441,'Informations sur les produits'!$A$3:$H$10000,8,FALSE),"0")</f>
        <v>0</v>
      </c>
      <c r="K1441" s="4"/>
      <c r="L1441" s="33" t="str">
        <f>IFERROR(VLOOKUP($J1441,'Informations sur les produits'!$A$3:$H$10000,8,FALSE),"0")</f>
        <v>0</v>
      </c>
      <c r="N1441" s="8"/>
      <c r="O1441" s="33" t="str">
        <f>IFERROR(VLOOKUP($M1441,'Informations sur les produits'!$A$3:$H$10000,8,FALSE),"0")</f>
        <v>0</v>
      </c>
      <c r="P1441" s="33">
        <f t="shared" si="88"/>
        <v>0</v>
      </c>
      <c r="Q1441" s="31" t="str">
        <f t="shared" si="89"/>
        <v/>
      </c>
      <c r="R1441" s="32" t="str">
        <f>IFERROR(VLOOKUP($D1441,'Informations sur les produits'!$A$3:$B$15000,2,FALSE),"")</f>
        <v/>
      </c>
      <c r="V1441">
        <f t="shared" si="90"/>
        <v>0</v>
      </c>
      <c r="W1441">
        <f t="shared" si="91"/>
        <v>0</v>
      </c>
    </row>
    <row r="1442" spans="5:23" x14ac:dyDescent="0.25">
      <c r="E1442" s="4"/>
      <c r="F1442" s="4"/>
      <c r="G1442" s="33" t="str">
        <f>IFERROR(VLOOKUP($D1442,'Informations sur les produits'!$A$3:$H$10000,8,FALSE),"0")</f>
        <v>0</v>
      </c>
      <c r="K1442" s="4"/>
      <c r="L1442" s="33" t="str">
        <f>IFERROR(VLOOKUP($J1442,'Informations sur les produits'!$A$3:$H$10000,8,FALSE),"0")</f>
        <v>0</v>
      </c>
      <c r="N1442" s="8"/>
      <c r="O1442" s="33" t="str">
        <f>IFERROR(VLOOKUP($M1442,'Informations sur les produits'!$A$3:$H$10000,8,FALSE),"0")</f>
        <v>0</v>
      </c>
      <c r="P1442" s="33">
        <f t="shared" si="88"/>
        <v>0</v>
      </c>
      <c r="Q1442" s="31" t="str">
        <f t="shared" si="89"/>
        <v/>
      </c>
      <c r="R1442" s="32" t="str">
        <f>IFERROR(VLOOKUP($D1442,'Informations sur les produits'!$A$3:$B$15000,2,FALSE),"")</f>
        <v/>
      </c>
      <c r="V1442">
        <f t="shared" si="90"/>
        <v>0</v>
      </c>
      <c r="W1442">
        <f t="shared" si="91"/>
        <v>0</v>
      </c>
    </row>
    <row r="1443" spans="5:23" x14ac:dyDescent="0.25">
      <c r="E1443" s="4"/>
      <c r="F1443" s="4"/>
      <c r="G1443" s="33" t="str">
        <f>IFERROR(VLOOKUP($D1443,'Informations sur les produits'!$A$3:$H$10000,8,FALSE),"0")</f>
        <v>0</v>
      </c>
      <c r="K1443" s="4"/>
      <c r="L1443" s="33" t="str">
        <f>IFERROR(VLOOKUP($J1443,'Informations sur les produits'!$A$3:$H$10000,8,FALSE),"0")</f>
        <v>0</v>
      </c>
      <c r="N1443" s="8"/>
      <c r="O1443" s="33" t="str">
        <f>IFERROR(VLOOKUP($M1443,'Informations sur les produits'!$A$3:$H$10000,8,FALSE),"0")</f>
        <v>0</v>
      </c>
      <c r="P1443" s="33">
        <f t="shared" si="88"/>
        <v>0</v>
      </c>
      <c r="Q1443" s="31" t="str">
        <f t="shared" si="89"/>
        <v/>
      </c>
      <c r="R1443" s="32" t="str">
        <f>IFERROR(VLOOKUP($D1443,'Informations sur les produits'!$A$3:$B$15000,2,FALSE),"")</f>
        <v/>
      </c>
      <c r="V1443">
        <f t="shared" si="90"/>
        <v>0</v>
      </c>
      <c r="W1443">
        <f t="shared" si="91"/>
        <v>0</v>
      </c>
    </row>
    <row r="1444" spans="5:23" x14ac:dyDescent="0.25">
      <c r="E1444" s="4"/>
      <c r="F1444" s="4"/>
      <c r="G1444" s="33" t="str">
        <f>IFERROR(VLOOKUP($D1444,'Informations sur les produits'!$A$3:$H$10000,8,FALSE),"0")</f>
        <v>0</v>
      </c>
      <c r="K1444" s="4"/>
      <c r="L1444" s="33" t="str">
        <f>IFERROR(VLOOKUP($J1444,'Informations sur les produits'!$A$3:$H$10000,8,FALSE),"0")</f>
        <v>0</v>
      </c>
      <c r="N1444" s="8"/>
      <c r="O1444" s="33" t="str">
        <f>IFERROR(VLOOKUP($M1444,'Informations sur les produits'!$A$3:$H$10000,8,FALSE),"0")</f>
        <v>0</v>
      </c>
      <c r="P1444" s="33">
        <f t="shared" si="88"/>
        <v>0</v>
      </c>
      <c r="Q1444" s="31" t="str">
        <f t="shared" si="89"/>
        <v/>
      </c>
      <c r="R1444" s="32" t="str">
        <f>IFERROR(VLOOKUP($D1444,'Informations sur les produits'!$A$3:$B$15000,2,FALSE),"")</f>
        <v/>
      </c>
      <c r="V1444">
        <f t="shared" si="90"/>
        <v>0</v>
      </c>
      <c r="W1444">
        <f t="shared" si="91"/>
        <v>0</v>
      </c>
    </row>
    <row r="1445" spans="5:23" x14ac:dyDescent="0.25">
      <c r="E1445" s="4"/>
      <c r="F1445" s="4"/>
      <c r="G1445" s="33" t="str">
        <f>IFERROR(VLOOKUP($D1445,'Informations sur les produits'!$A$3:$H$10000,8,FALSE),"0")</f>
        <v>0</v>
      </c>
      <c r="K1445" s="4"/>
      <c r="L1445" s="33" t="str">
        <f>IFERROR(VLOOKUP($J1445,'Informations sur les produits'!$A$3:$H$10000,8,FALSE),"0")</f>
        <v>0</v>
      </c>
      <c r="N1445" s="8"/>
      <c r="O1445" s="33" t="str">
        <f>IFERROR(VLOOKUP($M1445,'Informations sur les produits'!$A$3:$H$10000,8,FALSE),"0")</f>
        <v>0</v>
      </c>
      <c r="P1445" s="33">
        <f t="shared" si="88"/>
        <v>0</v>
      </c>
      <c r="Q1445" s="31" t="str">
        <f t="shared" si="89"/>
        <v/>
      </c>
      <c r="R1445" s="32" t="str">
        <f>IFERROR(VLOOKUP($D1445,'Informations sur les produits'!$A$3:$B$15000,2,FALSE),"")</f>
        <v/>
      </c>
      <c r="V1445">
        <f t="shared" si="90"/>
        <v>0</v>
      </c>
      <c r="W1445">
        <f t="shared" si="91"/>
        <v>0</v>
      </c>
    </row>
    <row r="1446" spans="5:23" x14ac:dyDescent="0.25">
      <c r="E1446" s="4"/>
      <c r="F1446" s="4"/>
      <c r="G1446" s="33" t="str">
        <f>IFERROR(VLOOKUP($D1446,'Informations sur les produits'!$A$3:$H$10000,8,FALSE),"0")</f>
        <v>0</v>
      </c>
      <c r="K1446" s="4"/>
      <c r="L1446" s="33" t="str">
        <f>IFERROR(VLOOKUP($J1446,'Informations sur les produits'!$A$3:$H$10000,8,FALSE),"0")</f>
        <v>0</v>
      </c>
      <c r="N1446" s="8"/>
      <c r="O1446" s="33" t="str">
        <f>IFERROR(VLOOKUP($M1446,'Informations sur les produits'!$A$3:$H$10000,8,FALSE),"0")</f>
        <v>0</v>
      </c>
      <c r="P1446" s="33">
        <f t="shared" si="88"/>
        <v>0</v>
      </c>
      <c r="Q1446" s="31" t="str">
        <f t="shared" si="89"/>
        <v/>
      </c>
      <c r="R1446" s="32" t="str">
        <f>IFERROR(VLOOKUP($D1446,'Informations sur les produits'!$A$3:$B$15000,2,FALSE),"")</f>
        <v/>
      </c>
      <c r="V1446">
        <f t="shared" si="90"/>
        <v>0</v>
      </c>
      <c r="W1446">
        <f t="shared" si="91"/>
        <v>0</v>
      </c>
    </row>
    <row r="1447" spans="5:23" x14ac:dyDescent="0.25">
      <c r="E1447" s="4"/>
      <c r="F1447" s="4"/>
      <c r="G1447" s="33" t="str">
        <f>IFERROR(VLOOKUP($D1447,'Informations sur les produits'!$A$3:$H$10000,8,FALSE),"0")</f>
        <v>0</v>
      </c>
      <c r="K1447" s="4"/>
      <c r="L1447" s="33" t="str">
        <f>IFERROR(VLOOKUP($J1447,'Informations sur les produits'!$A$3:$H$10000,8,FALSE),"0")</f>
        <v>0</v>
      </c>
      <c r="N1447" s="8"/>
      <c r="O1447" s="33" t="str">
        <f>IFERROR(VLOOKUP($M1447,'Informations sur les produits'!$A$3:$H$10000,8,FALSE),"0")</f>
        <v>0</v>
      </c>
      <c r="P1447" s="33">
        <f t="shared" si="88"/>
        <v>0</v>
      </c>
      <c r="Q1447" s="31" t="str">
        <f t="shared" si="89"/>
        <v/>
      </c>
      <c r="R1447" s="32" t="str">
        <f>IFERROR(VLOOKUP($D1447,'Informations sur les produits'!$A$3:$B$15000,2,FALSE),"")</f>
        <v/>
      </c>
      <c r="V1447">
        <f t="shared" si="90"/>
        <v>0</v>
      </c>
      <c r="W1447">
        <f t="shared" si="91"/>
        <v>0</v>
      </c>
    </row>
    <row r="1448" spans="5:23" x14ac:dyDescent="0.25">
      <c r="E1448" s="4"/>
      <c r="F1448" s="4"/>
      <c r="G1448" s="33" t="str">
        <f>IFERROR(VLOOKUP($D1448,'Informations sur les produits'!$A$3:$H$10000,8,FALSE),"0")</f>
        <v>0</v>
      </c>
      <c r="K1448" s="4"/>
      <c r="L1448" s="33" t="str">
        <f>IFERROR(VLOOKUP($J1448,'Informations sur les produits'!$A$3:$H$10000,8,FALSE),"0")</f>
        <v>0</v>
      </c>
      <c r="N1448" s="8"/>
      <c r="O1448" s="33" t="str">
        <f>IFERROR(VLOOKUP($M1448,'Informations sur les produits'!$A$3:$H$10000,8,FALSE),"0")</f>
        <v>0</v>
      </c>
      <c r="P1448" s="33">
        <f t="shared" si="88"/>
        <v>0</v>
      </c>
      <c r="Q1448" s="31" t="str">
        <f t="shared" si="89"/>
        <v/>
      </c>
      <c r="R1448" s="32" t="str">
        <f>IFERROR(VLOOKUP($D1448,'Informations sur les produits'!$A$3:$B$15000,2,FALSE),"")</f>
        <v/>
      </c>
      <c r="V1448">
        <f t="shared" si="90"/>
        <v>0</v>
      </c>
      <c r="W1448">
        <f t="shared" si="91"/>
        <v>0</v>
      </c>
    </row>
    <row r="1449" spans="5:23" x14ac:dyDescent="0.25">
      <c r="E1449" s="4"/>
      <c r="F1449" s="4"/>
      <c r="G1449" s="33" t="str">
        <f>IFERROR(VLOOKUP($D1449,'Informations sur les produits'!$A$3:$H$10000,8,FALSE),"0")</f>
        <v>0</v>
      </c>
      <c r="K1449" s="4"/>
      <c r="L1449" s="33" t="str">
        <f>IFERROR(VLOOKUP($J1449,'Informations sur les produits'!$A$3:$H$10000,8,FALSE),"0")</f>
        <v>0</v>
      </c>
      <c r="N1449" s="8"/>
      <c r="O1449" s="33" t="str">
        <f>IFERROR(VLOOKUP($M1449,'Informations sur les produits'!$A$3:$H$10000,8,FALSE),"0")</f>
        <v>0</v>
      </c>
      <c r="P1449" s="33">
        <f t="shared" si="88"/>
        <v>0</v>
      </c>
      <c r="Q1449" s="31" t="str">
        <f t="shared" si="89"/>
        <v/>
      </c>
      <c r="R1449" s="32" t="str">
        <f>IFERROR(VLOOKUP($D1449,'Informations sur les produits'!$A$3:$B$15000,2,FALSE),"")</f>
        <v/>
      </c>
      <c r="V1449">
        <f t="shared" si="90"/>
        <v>0</v>
      </c>
      <c r="W1449">
        <f t="shared" si="91"/>
        <v>0</v>
      </c>
    </row>
    <row r="1450" spans="5:23" x14ac:dyDescent="0.25">
      <c r="E1450" s="4"/>
      <c r="F1450" s="4"/>
      <c r="G1450" s="33" t="str">
        <f>IFERROR(VLOOKUP($D1450,'Informations sur les produits'!$A$3:$H$10000,8,FALSE),"0")</f>
        <v>0</v>
      </c>
      <c r="K1450" s="4"/>
      <c r="L1450" s="33" t="str">
        <f>IFERROR(VLOOKUP($J1450,'Informations sur les produits'!$A$3:$H$10000,8,FALSE),"0")</f>
        <v>0</v>
      </c>
      <c r="N1450" s="8"/>
      <c r="O1450" s="33" t="str">
        <f>IFERROR(VLOOKUP($M1450,'Informations sur les produits'!$A$3:$H$10000,8,FALSE),"0")</f>
        <v>0</v>
      </c>
      <c r="P1450" s="33">
        <f t="shared" si="88"/>
        <v>0</v>
      </c>
      <c r="Q1450" s="31" t="str">
        <f t="shared" si="89"/>
        <v/>
      </c>
      <c r="R1450" s="32" t="str">
        <f>IFERROR(VLOOKUP($D1450,'Informations sur les produits'!$A$3:$B$15000,2,FALSE),"")</f>
        <v/>
      </c>
      <c r="V1450">
        <f t="shared" si="90"/>
        <v>0</v>
      </c>
      <c r="W1450">
        <f t="shared" si="91"/>
        <v>0</v>
      </c>
    </row>
    <row r="1451" spans="5:23" x14ac:dyDescent="0.25">
      <c r="E1451" s="4"/>
      <c r="F1451" s="4"/>
      <c r="G1451" s="33" t="str">
        <f>IFERROR(VLOOKUP($D1451,'Informations sur les produits'!$A$3:$H$10000,8,FALSE),"0")</f>
        <v>0</v>
      </c>
      <c r="K1451" s="4"/>
      <c r="L1451" s="33" t="str">
        <f>IFERROR(VLOOKUP($J1451,'Informations sur les produits'!$A$3:$H$10000,8,FALSE),"0")</f>
        <v>0</v>
      </c>
      <c r="N1451" s="8"/>
      <c r="O1451" s="33" t="str">
        <f>IFERROR(VLOOKUP($M1451,'Informations sur les produits'!$A$3:$H$10000,8,FALSE),"0")</f>
        <v>0</v>
      </c>
      <c r="P1451" s="33">
        <f t="shared" si="88"/>
        <v>0</v>
      </c>
      <c r="Q1451" s="31" t="str">
        <f t="shared" si="89"/>
        <v/>
      </c>
      <c r="R1451" s="32" t="str">
        <f>IFERROR(VLOOKUP($D1451,'Informations sur les produits'!$A$3:$B$15000,2,FALSE),"")</f>
        <v/>
      </c>
      <c r="V1451">
        <f t="shared" si="90"/>
        <v>0</v>
      </c>
      <c r="W1451">
        <f t="shared" si="91"/>
        <v>0</v>
      </c>
    </row>
    <row r="1452" spans="5:23" x14ac:dyDescent="0.25">
      <c r="E1452" s="4"/>
      <c r="F1452" s="4"/>
      <c r="G1452" s="33" t="str">
        <f>IFERROR(VLOOKUP($D1452,'Informations sur les produits'!$A$3:$H$10000,8,FALSE),"0")</f>
        <v>0</v>
      </c>
      <c r="K1452" s="4"/>
      <c r="L1452" s="33" t="str">
        <f>IFERROR(VLOOKUP($J1452,'Informations sur les produits'!$A$3:$H$10000,8,FALSE),"0")</f>
        <v>0</v>
      </c>
      <c r="N1452" s="8"/>
      <c r="O1452" s="33" t="str">
        <f>IFERROR(VLOOKUP($M1452,'Informations sur les produits'!$A$3:$H$10000,8,FALSE),"0")</f>
        <v>0</v>
      </c>
      <c r="P1452" s="33">
        <f t="shared" si="88"/>
        <v>0</v>
      </c>
      <c r="Q1452" s="31" t="str">
        <f t="shared" si="89"/>
        <v/>
      </c>
      <c r="R1452" s="32" t="str">
        <f>IFERROR(VLOOKUP($D1452,'Informations sur les produits'!$A$3:$B$15000,2,FALSE),"")</f>
        <v/>
      </c>
      <c r="V1452">
        <f t="shared" si="90"/>
        <v>0</v>
      </c>
      <c r="W1452">
        <f t="shared" si="91"/>
        <v>0</v>
      </c>
    </row>
    <row r="1453" spans="5:23" x14ac:dyDescent="0.25">
      <c r="E1453" s="4"/>
      <c r="F1453" s="4"/>
      <c r="G1453" s="33" t="str">
        <f>IFERROR(VLOOKUP($D1453,'Informations sur les produits'!$A$3:$H$10000,8,FALSE),"0")</f>
        <v>0</v>
      </c>
      <c r="K1453" s="4"/>
      <c r="L1453" s="33" t="str">
        <f>IFERROR(VLOOKUP($J1453,'Informations sur les produits'!$A$3:$H$10000,8,FALSE),"0")</f>
        <v>0</v>
      </c>
      <c r="N1453" s="8"/>
      <c r="O1453" s="33" t="str">
        <f>IFERROR(VLOOKUP($M1453,'Informations sur les produits'!$A$3:$H$10000,8,FALSE),"0")</f>
        <v>0</v>
      </c>
      <c r="P1453" s="33">
        <f t="shared" si="88"/>
        <v>0</v>
      </c>
      <c r="Q1453" s="31" t="str">
        <f t="shared" si="89"/>
        <v/>
      </c>
      <c r="R1453" s="32" t="str">
        <f>IFERROR(VLOOKUP($D1453,'Informations sur les produits'!$A$3:$B$15000,2,FALSE),"")</f>
        <v/>
      </c>
      <c r="V1453">
        <f t="shared" si="90"/>
        <v>0</v>
      </c>
      <c r="W1453">
        <f t="shared" si="91"/>
        <v>0</v>
      </c>
    </row>
    <row r="1454" spans="5:23" x14ac:dyDescent="0.25">
      <c r="E1454" s="4"/>
      <c r="F1454" s="4"/>
      <c r="G1454" s="33" t="str">
        <f>IFERROR(VLOOKUP($D1454,'Informations sur les produits'!$A$3:$H$10000,8,FALSE),"0")</f>
        <v>0</v>
      </c>
      <c r="K1454" s="4"/>
      <c r="L1454" s="33" t="str">
        <f>IFERROR(VLOOKUP($J1454,'Informations sur les produits'!$A$3:$H$10000,8,FALSE),"0")</f>
        <v>0</v>
      </c>
      <c r="N1454" s="8"/>
      <c r="O1454" s="33" t="str">
        <f>IFERROR(VLOOKUP($M1454,'Informations sur les produits'!$A$3:$H$10000,8,FALSE),"0")</f>
        <v>0</v>
      </c>
      <c r="P1454" s="33">
        <f t="shared" si="88"/>
        <v>0</v>
      </c>
      <c r="Q1454" s="31" t="str">
        <f t="shared" si="89"/>
        <v/>
      </c>
      <c r="R1454" s="32" t="str">
        <f>IFERROR(VLOOKUP($D1454,'Informations sur les produits'!$A$3:$B$15000,2,FALSE),"")</f>
        <v/>
      </c>
      <c r="V1454">
        <f t="shared" si="90"/>
        <v>0</v>
      </c>
      <c r="W1454">
        <f t="shared" si="91"/>
        <v>0</v>
      </c>
    </row>
    <row r="1455" spans="5:23" x14ac:dyDescent="0.25">
      <c r="E1455" s="4"/>
      <c r="F1455" s="4"/>
      <c r="G1455" s="33" t="str">
        <f>IFERROR(VLOOKUP($D1455,'Informations sur les produits'!$A$3:$H$10000,8,FALSE),"0")</f>
        <v>0</v>
      </c>
      <c r="K1455" s="4"/>
      <c r="L1455" s="33" t="str">
        <f>IFERROR(VLOOKUP($J1455,'Informations sur les produits'!$A$3:$H$10000,8,FALSE),"0")</f>
        <v>0</v>
      </c>
      <c r="N1455" s="8"/>
      <c r="O1455" s="33" t="str">
        <f>IFERROR(VLOOKUP($M1455,'Informations sur les produits'!$A$3:$H$10000,8,FALSE),"0")</f>
        <v>0</v>
      </c>
      <c r="P1455" s="33">
        <f t="shared" si="88"/>
        <v>0</v>
      </c>
      <c r="Q1455" s="31" t="str">
        <f t="shared" si="89"/>
        <v/>
      </c>
      <c r="R1455" s="32" t="str">
        <f>IFERROR(VLOOKUP($D1455,'Informations sur les produits'!$A$3:$B$15000,2,FALSE),"")</f>
        <v/>
      </c>
      <c r="V1455">
        <f t="shared" si="90"/>
        <v>0</v>
      </c>
      <c r="W1455">
        <f t="shared" si="91"/>
        <v>0</v>
      </c>
    </row>
    <row r="1456" spans="5:23" x14ac:dyDescent="0.25">
      <c r="E1456" s="4"/>
      <c r="F1456" s="4"/>
      <c r="G1456" s="33" t="str">
        <f>IFERROR(VLOOKUP($D1456,'Informations sur les produits'!$A$3:$H$10000,8,FALSE),"0")</f>
        <v>0</v>
      </c>
      <c r="K1456" s="4"/>
      <c r="L1456" s="33" t="str">
        <f>IFERROR(VLOOKUP($J1456,'Informations sur les produits'!$A$3:$H$10000,8,FALSE),"0")</f>
        <v>0</v>
      </c>
      <c r="N1456" s="8"/>
      <c r="O1456" s="33" t="str">
        <f>IFERROR(VLOOKUP($M1456,'Informations sur les produits'!$A$3:$H$10000,8,FALSE),"0")</f>
        <v>0</v>
      </c>
      <c r="P1456" s="33">
        <f t="shared" si="88"/>
        <v>0</v>
      </c>
      <c r="Q1456" s="31" t="str">
        <f t="shared" si="89"/>
        <v/>
      </c>
      <c r="R1456" s="32" t="str">
        <f>IFERROR(VLOOKUP($D1456,'Informations sur les produits'!$A$3:$B$15000,2,FALSE),"")</f>
        <v/>
      </c>
      <c r="V1456">
        <f t="shared" si="90"/>
        <v>0</v>
      </c>
      <c r="W1456">
        <f t="shared" si="91"/>
        <v>0</v>
      </c>
    </row>
    <row r="1457" spans="5:23" x14ac:dyDescent="0.25">
      <c r="E1457" s="4"/>
      <c r="F1457" s="4"/>
      <c r="G1457" s="33" t="str">
        <f>IFERROR(VLOOKUP($D1457,'Informations sur les produits'!$A$3:$H$10000,8,FALSE),"0")</f>
        <v>0</v>
      </c>
      <c r="K1457" s="4"/>
      <c r="L1457" s="33" t="str">
        <f>IFERROR(VLOOKUP($J1457,'Informations sur les produits'!$A$3:$H$10000,8,FALSE),"0")</f>
        <v>0</v>
      </c>
      <c r="N1457" s="8"/>
      <c r="O1457" s="33" t="str">
        <f>IFERROR(VLOOKUP($M1457,'Informations sur les produits'!$A$3:$H$10000,8,FALSE),"0")</f>
        <v>0</v>
      </c>
      <c r="P1457" s="33">
        <f t="shared" si="88"/>
        <v>0</v>
      </c>
      <c r="Q1457" s="31" t="str">
        <f t="shared" si="89"/>
        <v/>
      </c>
      <c r="R1457" s="32" t="str">
        <f>IFERROR(VLOOKUP($D1457,'Informations sur les produits'!$A$3:$B$15000,2,FALSE),"")</f>
        <v/>
      </c>
      <c r="V1457">
        <f t="shared" si="90"/>
        <v>0</v>
      </c>
      <c r="W1457">
        <f t="shared" si="91"/>
        <v>0</v>
      </c>
    </row>
    <row r="1458" spans="5:23" x14ac:dyDescent="0.25">
      <c r="E1458" s="4"/>
      <c r="F1458" s="4"/>
      <c r="G1458" s="33" t="str">
        <f>IFERROR(VLOOKUP($D1458,'Informations sur les produits'!$A$3:$H$10000,8,FALSE),"0")</f>
        <v>0</v>
      </c>
      <c r="K1458" s="4"/>
      <c r="L1458" s="33" t="str">
        <f>IFERROR(VLOOKUP($J1458,'Informations sur les produits'!$A$3:$H$10000,8,FALSE),"0")</f>
        <v>0</v>
      </c>
      <c r="N1458" s="8"/>
      <c r="O1458" s="33" t="str">
        <f>IFERROR(VLOOKUP($M1458,'Informations sur les produits'!$A$3:$H$10000,8,FALSE),"0")</f>
        <v>0</v>
      </c>
      <c r="P1458" s="33">
        <f t="shared" si="88"/>
        <v>0</v>
      </c>
      <c r="Q1458" s="31" t="str">
        <f t="shared" si="89"/>
        <v/>
      </c>
      <c r="R1458" s="32" t="str">
        <f>IFERROR(VLOOKUP($D1458,'Informations sur les produits'!$A$3:$B$15000,2,FALSE),"")</f>
        <v/>
      </c>
      <c r="V1458">
        <f t="shared" si="90"/>
        <v>0</v>
      </c>
      <c r="W1458">
        <f t="shared" si="91"/>
        <v>0</v>
      </c>
    </row>
    <row r="1459" spans="5:23" x14ac:dyDescent="0.25">
      <c r="E1459" s="4"/>
      <c r="F1459" s="4"/>
      <c r="G1459" s="33" t="str">
        <f>IFERROR(VLOOKUP($D1459,'Informations sur les produits'!$A$3:$H$10000,8,FALSE),"0")</f>
        <v>0</v>
      </c>
      <c r="K1459" s="4"/>
      <c r="L1459" s="33" t="str">
        <f>IFERROR(VLOOKUP($J1459,'Informations sur les produits'!$A$3:$H$10000,8,FALSE),"0")</f>
        <v>0</v>
      </c>
      <c r="N1459" s="8"/>
      <c r="O1459" s="33" t="str">
        <f>IFERROR(VLOOKUP($M1459,'Informations sur les produits'!$A$3:$H$10000,8,FALSE),"0")</f>
        <v>0</v>
      </c>
      <c r="P1459" s="33">
        <f t="shared" si="88"/>
        <v>0</v>
      </c>
      <c r="Q1459" s="31" t="str">
        <f t="shared" si="89"/>
        <v/>
      </c>
      <c r="R1459" s="32" t="str">
        <f>IFERROR(VLOOKUP($D1459,'Informations sur les produits'!$A$3:$B$15000,2,FALSE),"")</f>
        <v/>
      </c>
      <c r="V1459">
        <f t="shared" si="90"/>
        <v>0</v>
      </c>
      <c r="W1459">
        <f t="shared" si="91"/>
        <v>0</v>
      </c>
    </row>
    <row r="1460" spans="5:23" x14ac:dyDescent="0.25">
      <c r="E1460" s="4"/>
      <c r="F1460" s="4"/>
      <c r="G1460" s="33" t="str">
        <f>IFERROR(VLOOKUP($D1460,'Informations sur les produits'!$A$3:$H$10000,8,FALSE),"0")</f>
        <v>0</v>
      </c>
      <c r="K1460" s="4"/>
      <c r="L1460" s="33" t="str">
        <f>IFERROR(VLOOKUP($J1460,'Informations sur les produits'!$A$3:$H$10000,8,FALSE),"0")</f>
        <v>0</v>
      </c>
      <c r="N1460" s="8"/>
      <c r="O1460" s="33" t="str">
        <f>IFERROR(VLOOKUP($M1460,'Informations sur les produits'!$A$3:$H$10000,8,FALSE),"0")</f>
        <v>0</v>
      </c>
      <c r="P1460" s="33">
        <f t="shared" si="88"/>
        <v>0</v>
      </c>
      <c r="Q1460" s="31" t="str">
        <f t="shared" si="89"/>
        <v/>
      </c>
      <c r="R1460" s="32" t="str">
        <f>IFERROR(VLOOKUP($D1460,'Informations sur les produits'!$A$3:$B$15000,2,FALSE),"")</f>
        <v/>
      </c>
      <c r="V1460">
        <f t="shared" si="90"/>
        <v>0</v>
      </c>
      <c r="W1460">
        <f t="shared" si="91"/>
        <v>0</v>
      </c>
    </row>
    <row r="1461" spans="5:23" x14ac:dyDescent="0.25">
      <c r="E1461" s="4"/>
      <c r="F1461" s="4"/>
      <c r="G1461" s="33" t="str">
        <f>IFERROR(VLOOKUP($D1461,'Informations sur les produits'!$A$3:$H$10000,8,FALSE),"0")</f>
        <v>0</v>
      </c>
      <c r="K1461" s="4"/>
      <c r="L1461" s="33" t="str">
        <f>IFERROR(VLOOKUP($J1461,'Informations sur les produits'!$A$3:$H$10000,8,FALSE),"0")</f>
        <v>0</v>
      </c>
      <c r="N1461" s="8"/>
      <c r="O1461" s="33" t="str">
        <f>IFERROR(VLOOKUP($M1461,'Informations sur les produits'!$A$3:$H$10000,8,FALSE),"0")</f>
        <v>0</v>
      </c>
      <c r="P1461" s="33">
        <f t="shared" si="88"/>
        <v>0</v>
      </c>
      <c r="Q1461" s="31" t="str">
        <f t="shared" si="89"/>
        <v/>
      </c>
      <c r="R1461" s="32" t="str">
        <f>IFERROR(VLOOKUP($D1461,'Informations sur les produits'!$A$3:$B$15000,2,FALSE),"")</f>
        <v/>
      </c>
      <c r="V1461">
        <f t="shared" si="90"/>
        <v>0</v>
      </c>
      <c r="W1461">
        <f t="shared" si="91"/>
        <v>0</v>
      </c>
    </row>
    <row r="1462" spans="5:23" x14ac:dyDescent="0.25">
      <c r="E1462" s="4"/>
      <c r="F1462" s="4"/>
      <c r="G1462" s="33" t="str">
        <f>IFERROR(VLOOKUP($D1462,'Informations sur les produits'!$A$3:$H$10000,8,FALSE),"0")</f>
        <v>0</v>
      </c>
      <c r="K1462" s="4"/>
      <c r="L1462" s="33" t="str">
        <f>IFERROR(VLOOKUP($J1462,'Informations sur les produits'!$A$3:$H$10000,8,FALSE),"0")</f>
        <v>0</v>
      </c>
      <c r="N1462" s="8"/>
      <c r="O1462" s="33" t="str">
        <f>IFERROR(VLOOKUP($M1462,'Informations sur les produits'!$A$3:$H$10000,8,FALSE),"0")</f>
        <v>0</v>
      </c>
      <c r="P1462" s="33">
        <f t="shared" si="88"/>
        <v>0</v>
      </c>
      <c r="Q1462" s="31" t="str">
        <f t="shared" si="89"/>
        <v/>
      </c>
      <c r="R1462" s="32" t="str">
        <f>IFERROR(VLOOKUP($D1462,'Informations sur les produits'!$A$3:$B$15000,2,FALSE),"")</f>
        <v/>
      </c>
      <c r="V1462">
        <f t="shared" si="90"/>
        <v>0</v>
      </c>
      <c r="W1462">
        <f t="shared" si="91"/>
        <v>0</v>
      </c>
    </row>
    <row r="1463" spans="5:23" x14ac:dyDescent="0.25">
      <c r="E1463" s="4"/>
      <c r="F1463" s="4"/>
      <c r="G1463" s="33" t="str">
        <f>IFERROR(VLOOKUP($D1463,'Informations sur les produits'!$A$3:$H$10000,8,FALSE),"0")</f>
        <v>0</v>
      </c>
      <c r="K1463" s="4"/>
      <c r="L1463" s="33" t="str">
        <f>IFERROR(VLOOKUP($J1463,'Informations sur les produits'!$A$3:$H$10000,8,FALSE),"0")</f>
        <v>0</v>
      </c>
      <c r="N1463" s="8"/>
      <c r="O1463" s="33" t="str">
        <f>IFERROR(VLOOKUP($M1463,'Informations sur les produits'!$A$3:$H$10000,8,FALSE),"0")</f>
        <v>0</v>
      </c>
      <c r="P1463" s="33">
        <f t="shared" si="88"/>
        <v>0</v>
      </c>
      <c r="Q1463" s="31" t="str">
        <f t="shared" si="89"/>
        <v/>
      </c>
      <c r="R1463" s="32" t="str">
        <f>IFERROR(VLOOKUP($D1463,'Informations sur les produits'!$A$3:$B$15000,2,FALSE),"")</f>
        <v/>
      </c>
      <c r="V1463">
        <f t="shared" si="90"/>
        <v>0</v>
      </c>
      <c r="W1463">
        <f t="shared" si="91"/>
        <v>0</v>
      </c>
    </row>
    <row r="1464" spans="5:23" x14ac:dyDescent="0.25">
      <c r="E1464" s="4"/>
      <c r="F1464" s="4"/>
      <c r="G1464" s="33" t="str">
        <f>IFERROR(VLOOKUP($D1464,'Informations sur les produits'!$A$3:$H$10000,8,FALSE),"0")</f>
        <v>0</v>
      </c>
      <c r="K1464" s="4"/>
      <c r="L1464" s="33" t="str">
        <f>IFERROR(VLOOKUP($J1464,'Informations sur les produits'!$A$3:$H$10000,8,FALSE),"0")</f>
        <v>0</v>
      </c>
      <c r="N1464" s="8"/>
      <c r="O1464" s="33" t="str">
        <f>IFERROR(VLOOKUP($M1464,'Informations sur les produits'!$A$3:$H$10000,8,FALSE),"0")</f>
        <v>0</v>
      </c>
      <c r="P1464" s="33">
        <f t="shared" si="88"/>
        <v>0</v>
      </c>
      <c r="Q1464" s="31" t="str">
        <f t="shared" si="89"/>
        <v/>
      </c>
      <c r="R1464" s="32" t="str">
        <f>IFERROR(VLOOKUP($D1464,'Informations sur les produits'!$A$3:$B$15000,2,FALSE),"")</f>
        <v/>
      </c>
      <c r="V1464">
        <f t="shared" si="90"/>
        <v>0</v>
      </c>
      <c r="W1464">
        <f t="shared" si="91"/>
        <v>0</v>
      </c>
    </row>
    <row r="1465" spans="5:23" x14ac:dyDescent="0.25">
      <c r="E1465" s="4"/>
      <c r="F1465" s="4"/>
      <c r="G1465" s="33" t="str">
        <f>IFERROR(VLOOKUP($D1465,'Informations sur les produits'!$A$3:$H$10000,8,FALSE),"0")</f>
        <v>0</v>
      </c>
      <c r="K1465" s="4"/>
      <c r="L1465" s="33" t="str">
        <f>IFERROR(VLOOKUP($J1465,'Informations sur les produits'!$A$3:$H$10000,8,FALSE),"0")</f>
        <v>0</v>
      </c>
      <c r="N1465" s="8"/>
      <c r="O1465" s="33" t="str">
        <f>IFERROR(VLOOKUP($M1465,'Informations sur les produits'!$A$3:$H$10000,8,FALSE),"0")</f>
        <v>0</v>
      </c>
      <c r="P1465" s="33">
        <f t="shared" si="88"/>
        <v>0</v>
      </c>
      <c r="Q1465" s="31" t="str">
        <f t="shared" si="89"/>
        <v/>
      </c>
      <c r="R1465" s="32" t="str">
        <f>IFERROR(VLOOKUP($D1465,'Informations sur les produits'!$A$3:$B$15000,2,FALSE),"")</f>
        <v/>
      </c>
      <c r="V1465">
        <f t="shared" si="90"/>
        <v>0</v>
      </c>
      <c r="W1465">
        <f t="shared" si="91"/>
        <v>0</v>
      </c>
    </row>
    <row r="1466" spans="5:23" x14ac:dyDescent="0.25">
      <c r="E1466" s="4"/>
      <c r="F1466" s="4"/>
      <c r="G1466" s="33" t="str">
        <f>IFERROR(VLOOKUP($D1466,'Informations sur les produits'!$A$3:$H$10000,8,FALSE),"0")</f>
        <v>0</v>
      </c>
      <c r="K1466" s="4"/>
      <c r="L1466" s="33" t="str">
        <f>IFERROR(VLOOKUP($J1466,'Informations sur les produits'!$A$3:$H$10000,8,FALSE),"0")</f>
        <v>0</v>
      </c>
      <c r="N1466" s="8"/>
      <c r="O1466" s="33" t="str">
        <f>IFERROR(VLOOKUP($M1466,'Informations sur les produits'!$A$3:$H$10000,8,FALSE),"0")</f>
        <v>0</v>
      </c>
      <c r="P1466" s="33">
        <f t="shared" si="88"/>
        <v>0</v>
      </c>
      <c r="Q1466" s="31" t="str">
        <f t="shared" si="89"/>
        <v/>
      </c>
      <c r="R1466" s="32" t="str">
        <f>IFERROR(VLOOKUP($D1466,'Informations sur les produits'!$A$3:$B$15000,2,FALSE),"")</f>
        <v/>
      </c>
      <c r="V1466">
        <f t="shared" si="90"/>
        <v>0</v>
      </c>
      <c r="W1466">
        <f t="shared" si="91"/>
        <v>0</v>
      </c>
    </row>
    <row r="1467" spans="5:23" x14ac:dyDescent="0.25">
      <c r="E1467" s="4"/>
      <c r="F1467" s="4"/>
      <c r="G1467" s="33" t="str">
        <f>IFERROR(VLOOKUP($D1467,'Informations sur les produits'!$A$3:$H$10000,8,FALSE),"0")</f>
        <v>0</v>
      </c>
      <c r="K1467" s="4"/>
      <c r="L1467" s="33" t="str">
        <f>IFERROR(VLOOKUP($J1467,'Informations sur les produits'!$A$3:$H$10000,8,FALSE),"0")</f>
        <v>0</v>
      </c>
      <c r="N1467" s="8"/>
      <c r="O1467" s="33" t="str">
        <f>IFERROR(VLOOKUP($M1467,'Informations sur les produits'!$A$3:$H$10000,8,FALSE),"0")</f>
        <v>0</v>
      </c>
      <c r="P1467" s="33">
        <f t="shared" si="88"/>
        <v>0</v>
      </c>
      <c r="Q1467" s="31" t="str">
        <f t="shared" si="89"/>
        <v/>
      </c>
      <c r="R1467" s="32" t="str">
        <f>IFERROR(VLOOKUP($D1467,'Informations sur les produits'!$A$3:$B$15000,2,FALSE),"")</f>
        <v/>
      </c>
      <c r="V1467">
        <f t="shared" si="90"/>
        <v>0</v>
      </c>
      <c r="W1467">
        <f t="shared" si="91"/>
        <v>0</v>
      </c>
    </row>
    <row r="1468" spans="5:23" x14ac:dyDescent="0.25">
      <c r="E1468" s="4"/>
      <c r="F1468" s="4"/>
      <c r="G1468" s="33" t="str">
        <f>IFERROR(VLOOKUP($D1468,'Informations sur les produits'!$A$3:$H$10000,8,FALSE),"0")</f>
        <v>0</v>
      </c>
      <c r="K1468" s="4"/>
      <c r="L1468" s="33" t="str">
        <f>IFERROR(VLOOKUP($J1468,'Informations sur les produits'!$A$3:$H$10000,8,FALSE),"0")</f>
        <v>0</v>
      </c>
      <c r="N1468" s="8"/>
      <c r="O1468" s="33" t="str">
        <f>IFERROR(VLOOKUP($M1468,'Informations sur les produits'!$A$3:$H$10000,8,FALSE),"0")</f>
        <v>0</v>
      </c>
      <c r="P1468" s="33">
        <f t="shared" si="88"/>
        <v>0</v>
      </c>
      <c r="Q1468" s="31" t="str">
        <f t="shared" si="89"/>
        <v/>
      </c>
      <c r="R1468" s="32" t="str">
        <f>IFERROR(VLOOKUP($D1468,'Informations sur les produits'!$A$3:$B$15000,2,FALSE),"")</f>
        <v/>
      </c>
      <c r="V1468">
        <f t="shared" si="90"/>
        <v>0</v>
      </c>
      <c r="W1468">
        <f t="shared" si="91"/>
        <v>0</v>
      </c>
    </row>
    <row r="1469" spans="5:23" x14ac:dyDescent="0.25">
      <c r="E1469" s="4"/>
      <c r="F1469" s="4"/>
      <c r="G1469" s="33" t="str">
        <f>IFERROR(VLOOKUP($D1469,'Informations sur les produits'!$A$3:$H$10000,8,FALSE),"0")</f>
        <v>0</v>
      </c>
      <c r="K1469" s="4"/>
      <c r="L1469" s="33" t="str">
        <f>IFERROR(VLOOKUP($J1469,'Informations sur les produits'!$A$3:$H$10000,8,FALSE),"0")</f>
        <v>0</v>
      </c>
      <c r="N1469" s="8"/>
      <c r="O1469" s="33" t="str">
        <f>IFERROR(VLOOKUP($M1469,'Informations sur les produits'!$A$3:$H$10000,8,FALSE),"0")</f>
        <v>0</v>
      </c>
      <c r="P1469" s="33">
        <f t="shared" si="88"/>
        <v>0</v>
      </c>
      <c r="Q1469" s="31" t="str">
        <f t="shared" si="89"/>
        <v/>
      </c>
      <c r="R1469" s="32" t="str">
        <f>IFERROR(VLOOKUP($D1469,'Informations sur les produits'!$A$3:$B$15000,2,FALSE),"")</f>
        <v/>
      </c>
      <c r="V1469">
        <f t="shared" si="90"/>
        <v>0</v>
      </c>
      <c r="W1469">
        <f t="shared" si="91"/>
        <v>0</v>
      </c>
    </row>
    <row r="1470" spans="5:23" x14ac:dyDescent="0.25">
      <c r="E1470" s="4"/>
      <c r="F1470" s="4"/>
      <c r="G1470" s="33" t="str">
        <f>IFERROR(VLOOKUP($D1470,'Informations sur les produits'!$A$3:$H$10000,8,FALSE),"0")</f>
        <v>0</v>
      </c>
      <c r="K1470" s="4"/>
      <c r="L1470" s="33" t="str">
        <f>IFERROR(VLOOKUP($J1470,'Informations sur les produits'!$A$3:$H$10000,8,FALSE),"0")</f>
        <v>0</v>
      </c>
      <c r="N1470" s="8"/>
      <c r="O1470" s="33" t="str">
        <f>IFERROR(VLOOKUP($M1470,'Informations sur les produits'!$A$3:$H$10000,8,FALSE),"0")</f>
        <v>0</v>
      </c>
      <c r="P1470" s="33">
        <f t="shared" si="88"/>
        <v>0</v>
      </c>
      <c r="Q1470" s="31" t="str">
        <f t="shared" si="89"/>
        <v/>
      </c>
      <c r="R1470" s="32" t="str">
        <f>IFERROR(VLOOKUP($D1470,'Informations sur les produits'!$A$3:$B$15000,2,FALSE),"")</f>
        <v/>
      </c>
      <c r="V1470">
        <f t="shared" si="90"/>
        <v>0</v>
      </c>
      <c r="W1470">
        <f t="shared" si="91"/>
        <v>0</v>
      </c>
    </row>
    <row r="1471" spans="5:23" x14ac:dyDescent="0.25">
      <c r="E1471" s="4"/>
      <c r="F1471" s="4"/>
      <c r="G1471" s="33" t="str">
        <f>IFERROR(VLOOKUP($D1471,'Informations sur les produits'!$A$3:$H$10000,8,FALSE),"0")</f>
        <v>0</v>
      </c>
      <c r="K1471" s="4"/>
      <c r="L1471" s="33" t="str">
        <f>IFERROR(VLOOKUP($J1471,'Informations sur les produits'!$A$3:$H$10000,8,FALSE),"0")</f>
        <v>0</v>
      </c>
      <c r="N1471" s="8"/>
      <c r="O1471" s="33" t="str">
        <f>IFERROR(VLOOKUP($M1471,'Informations sur les produits'!$A$3:$H$10000,8,FALSE),"0")</f>
        <v>0</v>
      </c>
      <c r="P1471" s="33">
        <f t="shared" si="88"/>
        <v>0</v>
      </c>
      <c r="Q1471" s="31" t="str">
        <f t="shared" si="89"/>
        <v/>
      </c>
      <c r="R1471" s="32" t="str">
        <f>IFERROR(VLOOKUP($D1471,'Informations sur les produits'!$A$3:$B$15000,2,FALSE),"")</f>
        <v/>
      </c>
      <c r="V1471">
        <f t="shared" si="90"/>
        <v>0</v>
      </c>
      <c r="W1471">
        <f t="shared" si="91"/>
        <v>0</v>
      </c>
    </row>
    <row r="1472" spans="5:23" x14ac:dyDescent="0.25">
      <c r="E1472" s="4"/>
      <c r="F1472" s="4"/>
      <c r="G1472" s="33" t="str">
        <f>IFERROR(VLOOKUP($D1472,'Informations sur les produits'!$A$3:$H$10000,8,FALSE),"0")</f>
        <v>0</v>
      </c>
      <c r="K1472" s="4"/>
      <c r="L1472" s="33" t="str">
        <f>IFERROR(VLOOKUP($J1472,'Informations sur les produits'!$A$3:$H$10000,8,FALSE),"0")</f>
        <v>0</v>
      </c>
      <c r="N1472" s="8"/>
      <c r="O1472" s="33" t="str">
        <f>IFERROR(VLOOKUP($M1472,'Informations sur les produits'!$A$3:$H$10000,8,FALSE),"0")</f>
        <v>0</v>
      </c>
      <c r="P1472" s="33">
        <f t="shared" si="88"/>
        <v>0</v>
      </c>
      <c r="Q1472" s="31" t="str">
        <f t="shared" si="89"/>
        <v/>
      </c>
      <c r="R1472" s="32" t="str">
        <f>IFERROR(VLOOKUP($D1472,'Informations sur les produits'!$A$3:$B$15000,2,FALSE),"")</f>
        <v/>
      </c>
      <c r="V1472">
        <f t="shared" si="90"/>
        <v>0</v>
      </c>
      <c r="W1472">
        <f t="shared" si="91"/>
        <v>0</v>
      </c>
    </row>
    <row r="1473" spans="5:23" x14ac:dyDescent="0.25">
      <c r="E1473" s="4"/>
      <c r="F1473" s="4"/>
      <c r="G1473" s="33" t="str">
        <f>IFERROR(VLOOKUP($D1473,'Informations sur les produits'!$A$3:$H$10000,8,FALSE),"0")</f>
        <v>0</v>
      </c>
      <c r="K1473" s="4"/>
      <c r="L1473" s="33" t="str">
        <f>IFERROR(VLOOKUP($J1473,'Informations sur les produits'!$A$3:$H$10000,8,FALSE),"0")</f>
        <v>0</v>
      </c>
      <c r="N1473" s="8"/>
      <c r="O1473" s="33" t="str">
        <f>IFERROR(VLOOKUP($M1473,'Informations sur les produits'!$A$3:$H$10000,8,FALSE),"0")</f>
        <v>0</v>
      </c>
      <c r="P1473" s="33">
        <f t="shared" si="88"/>
        <v>0</v>
      </c>
      <c r="Q1473" s="31" t="str">
        <f t="shared" si="89"/>
        <v/>
      </c>
      <c r="R1473" s="32" t="str">
        <f>IFERROR(VLOOKUP($D1473,'Informations sur les produits'!$A$3:$B$15000,2,FALSE),"")</f>
        <v/>
      </c>
      <c r="V1473">
        <f t="shared" si="90"/>
        <v>0</v>
      </c>
      <c r="W1473">
        <f t="shared" si="91"/>
        <v>0</v>
      </c>
    </row>
    <row r="1474" spans="5:23" x14ac:dyDescent="0.25">
      <c r="E1474" s="4"/>
      <c r="F1474" s="4"/>
      <c r="G1474" s="33" t="str">
        <f>IFERROR(VLOOKUP($D1474,'Informations sur les produits'!$A$3:$H$10000,8,FALSE),"0")</f>
        <v>0</v>
      </c>
      <c r="K1474" s="4"/>
      <c r="L1474" s="33" t="str">
        <f>IFERROR(VLOOKUP($J1474,'Informations sur les produits'!$A$3:$H$10000,8,FALSE),"0")</f>
        <v>0</v>
      </c>
      <c r="N1474" s="8"/>
      <c r="O1474" s="33" t="str">
        <f>IFERROR(VLOOKUP($M1474,'Informations sur les produits'!$A$3:$H$10000,8,FALSE),"0")</f>
        <v>0</v>
      </c>
      <c r="P1474" s="33">
        <f t="shared" si="88"/>
        <v>0</v>
      </c>
      <c r="Q1474" s="31" t="str">
        <f t="shared" si="89"/>
        <v/>
      </c>
      <c r="R1474" s="32" t="str">
        <f>IFERROR(VLOOKUP($D1474,'Informations sur les produits'!$A$3:$B$15000,2,FALSE),"")</f>
        <v/>
      </c>
      <c r="V1474">
        <f t="shared" si="90"/>
        <v>0</v>
      </c>
      <c r="W1474">
        <f t="shared" si="91"/>
        <v>0</v>
      </c>
    </row>
    <row r="1475" spans="5:23" x14ac:dyDescent="0.25">
      <c r="E1475" s="4"/>
      <c r="F1475" s="4"/>
      <c r="G1475" s="33" t="str">
        <f>IFERROR(VLOOKUP($D1475,'Informations sur les produits'!$A$3:$H$10000,8,FALSE),"0")</f>
        <v>0</v>
      </c>
      <c r="K1475" s="4"/>
      <c r="L1475" s="33" t="str">
        <f>IFERROR(VLOOKUP($J1475,'Informations sur les produits'!$A$3:$H$10000,8,FALSE),"0")</f>
        <v>0</v>
      </c>
      <c r="N1475" s="8"/>
      <c r="O1475" s="33" t="str">
        <f>IFERROR(VLOOKUP($M1475,'Informations sur les produits'!$A$3:$H$10000,8,FALSE),"0")</f>
        <v>0</v>
      </c>
      <c r="P1475" s="33">
        <f t="shared" si="88"/>
        <v>0</v>
      </c>
      <c r="Q1475" s="31" t="str">
        <f t="shared" si="89"/>
        <v/>
      </c>
      <c r="R1475" s="32" t="str">
        <f>IFERROR(VLOOKUP($D1475,'Informations sur les produits'!$A$3:$B$15000,2,FALSE),"")</f>
        <v/>
      </c>
      <c r="V1475">
        <f t="shared" si="90"/>
        <v>0</v>
      </c>
      <c r="W1475">
        <f t="shared" si="91"/>
        <v>0</v>
      </c>
    </row>
    <row r="1476" spans="5:23" x14ac:dyDescent="0.25">
      <c r="E1476" s="4"/>
      <c r="F1476" s="4"/>
      <c r="G1476" s="33" t="str">
        <f>IFERROR(VLOOKUP($D1476,'Informations sur les produits'!$A$3:$H$10000,8,FALSE),"0")</f>
        <v>0</v>
      </c>
      <c r="K1476" s="4"/>
      <c r="L1476" s="33" t="str">
        <f>IFERROR(VLOOKUP($J1476,'Informations sur les produits'!$A$3:$H$10000,8,FALSE),"0")</f>
        <v>0</v>
      </c>
      <c r="N1476" s="8"/>
      <c r="O1476" s="33" t="str">
        <f>IFERROR(VLOOKUP($M1476,'Informations sur les produits'!$A$3:$H$10000,8,FALSE),"0")</f>
        <v>0</v>
      </c>
      <c r="P1476" s="33">
        <f t="shared" ref="P1476:P1539" si="92">IFERROR((($E1476-$F1476)*$G1476+$K1476*$L1476+$N1476*$O1476),"")</f>
        <v>0</v>
      </c>
      <c r="Q1476" s="31" t="str">
        <f t="shared" ref="Q1476:Q1539" si="93">IFERROR((((($E1476-$F1476)*$G1476+$K1476*$L1476+$N1476*$O1476)*1000)/(($E1476-$F1476)+$K1476+$N1476)),"")</f>
        <v/>
      </c>
      <c r="R1476" s="32" t="str">
        <f>IFERROR(VLOOKUP($D1476,'Informations sur les produits'!$A$3:$B$15000,2,FALSE),"")</f>
        <v/>
      </c>
      <c r="V1476">
        <f t="shared" ref="V1476:V1539" si="94">IFERROR(P1476*1000,"")</f>
        <v>0</v>
      </c>
      <c r="W1476">
        <f t="shared" ref="W1476:W1539" si="95">IFERROR(($E1476-$F1476)+$K1476+$N1476,"")</f>
        <v>0</v>
      </c>
    </row>
    <row r="1477" spans="5:23" x14ac:dyDescent="0.25">
      <c r="E1477" s="4"/>
      <c r="F1477" s="4"/>
      <c r="G1477" s="33" t="str">
        <f>IFERROR(VLOOKUP($D1477,'Informations sur les produits'!$A$3:$H$10000,8,FALSE),"0")</f>
        <v>0</v>
      </c>
      <c r="K1477" s="4"/>
      <c r="L1477" s="33" t="str">
        <f>IFERROR(VLOOKUP($J1477,'Informations sur les produits'!$A$3:$H$10000,8,FALSE),"0")</f>
        <v>0</v>
      </c>
      <c r="N1477" s="8"/>
      <c r="O1477" s="33" t="str">
        <f>IFERROR(VLOOKUP($M1477,'Informations sur les produits'!$A$3:$H$10000,8,FALSE),"0")</f>
        <v>0</v>
      </c>
      <c r="P1477" s="33">
        <f t="shared" si="92"/>
        <v>0</v>
      </c>
      <c r="Q1477" s="31" t="str">
        <f t="shared" si="93"/>
        <v/>
      </c>
      <c r="R1477" s="32" t="str">
        <f>IFERROR(VLOOKUP($D1477,'Informations sur les produits'!$A$3:$B$15000,2,FALSE),"")</f>
        <v/>
      </c>
      <c r="V1477">
        <f t="shared" si="94"/>
        <v>0</v>
      </c>
      <c r="W1477">
        <f t="shared" si="95"/>
        <v>0</v>
      </c>
    </row>
    <row r="1478" spans="5:23" x14ac:dyDescent="0.25">
      <c r="E1478" s="4"/>
      <c r="F1478" s="4"/>
      <c r="G1478" s="33" t="str">
        <f>IFERROR(VLOOKUP($D1478,'Informations sur les produits'!$A$3:$H$10000,8,FALSE),"0")</f>
        <v>0</v>
      </c>
      <c r="K1478" s="4"/>
      <c r="L1478" s="33" t="str">
        <f>IFERROR(VLOOKUP($J1478,'Informations sur les produits'!$A$3:$H$10000,8,FALSE),"0")</f>
        <v>0</v>
      </c>
      <c r="N1478" s="8"/>
      <c r="O1478" s="33" t="str">
        <f>IFERROR(VLOOKUP($M1478,'Informations sur les produits'!$A$3:$H$10000,8,FALSE),"0")</f>
        <v>0</v>
      </c>
      <c r="P1478" s="33">
        <f t="shared" si="92"/>
        <v>0</v>
      </c>
      <c r="Q1478" s="31" t="str">
        <f t="shared" si="93"/>
        <v/>
      </c>
      <c r="R1478" s="32" t="str">
        <f>IFERROR(VLOOKUP($D1478,'Informations sur les produits'!$A$3:$B$15000,2,FALSE),"")</f>
        <v/>
      </c>
      <c r="V1478">
        <f t="shared" si="94"/>
        <v>0</v>
      </c>
      <c r="W1478">
        <f t="shared" si="95"/>
        <v>0</v>
      </c>
    </row>
    <row r="1479" spans="5:23" x14ac:dyDescent="0.25">
      <c r="E1479" s="4"/>
      <c r="F1479" s="4"/>
      <c r="G1479" s="33" t="str">
        <f>IFERROR(VLOOKUP($D1479,'Informations sur les produits'!$A$3:$H$10000,8,FALSE),"0")</f>
        <v>0</v>
      </c>
      <c r="K1479" s="4"/>
      <c r="L1479" s="33" t="str">
        <f>IFERROR(VLOOKUP($J1479,'Informations sur les produits'!$A$3:$H$10000,8,FALSE),"0")</f>
        <v>0</v>
      </c>
      <c r="N1479" s="8"/>
      <c r="O1479" s="33" t="str">
        <f>IFERROR(VLOOKUP($M1479,'Informations sur les produits'!$A$3:$H$10000,8,FALSE),"0")</f>
        <v>0</v>
      </c>
      <c r="P1479" s="33">
        <f t="shared" si="92"/>
        <v>0</v>
      </c>
      <c r="Q1479" s="31" t="str">
        <f t="shared" si="93"/>
        <v/>
      </c>
      <c r="R1479" s="32" t="str">
        <f>IFERROR(VLOOKUP($D1479,'Informations sur les produits'!$A$3:$B$15000,2,FALSE),"")</f>
        <v/>
      </c>
      <c r="V1479">
        <f t="shared" si="94"/>
        <v>0</v>
      </c>
      <c r="W1479">
        <f t="shared" si="95"/>
        <v>0</v>
      </c>
    </row>
    <row r="1480" spans="5:23" x14ac:dyDescent="0.25">
      <c r="E1480" s="4"/>
      <c r="F1480" s="4"/>
      <c r="G1480" s="33" t="str">
        <f>IFERROR(VLOOKUP($D1480,'Informations sur les produits'!$A$3:$H$10000,8,FALSE),"0")</f>
        <v>0</v>
      </c>
      <c r="K1480" s="4"/>
      <c r="L1480" s="33" t="str">
        <f>IFERROR(VLOOKUP($J1480,'Informations sur les produits'!$A$3:$H$10000,8,FALSE),"0")</f>
        <v>0</v>
      </c>
      <c r="N1480" s="8"/>
      <c r="O1480" s="33" t="str">
        <f>IFERROR(VLOOKUP($M1480,'Informations sur les produits'!$A$3:$H$10000,8,FALSE),"0")</f>
        <v>0</v>
      </c>
      <c r="P1480" s="33">
        <f t="shared" si="92"/>
        <v>0</v>
      </c>
      <c r="Q1480" s="31" t="str">
        <f t="shared" si="93"/>
        <v/>
      </c>
      <c r="R1480" s="32" t="str">
        <f>IFERROR(VLOOKUP($D1480,'Informations sur les produits'!$A$3:$B$15000,2,FALSE),"")</f>
        <v/>
      </c>
      <c r="V1480">
        <f t="shared" si="94"/>
        <v>0</v>
      </c>
      <c r="W1480">
        <f t="shared" si="95"/>
        <v>0</v>
      </c>
    </row>
    <row r="1481" spans="5:23" x14ac:dyDescent="0.25">
      <c r="E1481" s="4"/>
      <c r="F1481" s="4"/>
      <c r="G1481" s="33" t="str">
        <f>IFERROR(VLOOKUP($D1481,'Informations sur les produits'!$A$3:$H$10000,8,FALSE),"0")</f>
        <v>0</v>
      </c>
      <c r="K1481" s="4"/>
      <c r="L1481" s="33" t="str">
        <f>IFERROR(VLOOKUP($J1481,'Informations sur les produits'!$A$3:$H$10000,8,FALSE),"0")</f>
        <v>0</v>
      </c>
      <c r="N1481" s="8"/>
      <c r="O1481" s="33" t="str">
        <f>IFERROR(VLOOKUP($M1481,'Informations sur les produits'!$A$3:$H$10000,8,FALSE),"0")</f>
        <v>0</v>
      </c>
      <c r="P1481" s="33">
        <f t="shared" si="92"/>
        <v>0</v>
      </c>
      <c r="Q1481" s="31" t="str">
        <f t="shared" si="93"/>
        <v/>
      </c>
      <c r="R1481" s="32" t="str">
        <f>IFERROR(VLOOKUP($D1481,'Informations sur les produits'!$A$3:$B$15000,2,FALSE),"")</f>
        <v/>
      </c>
      <c r="V1481">
        <f t="shared" si="94"/>
        <v>0</v>
      </c>
      <c r="W1481">
        <f t="shared" si="95"/>
        <v>0</v>
      </c>
    </row>
    <row r="1482" spans="5:23" x14ac:dyDescent="0.25">
      <c r="E1482" s="4"/>
      <c r="F1482" s="4"/>
      <c r="G1482" s="33" t="str">
        <f>IFERROR(VLOOKUP($D1482,'Informations sur les produits'!$A$3:$H$10000,8,FALSE),"0")</f>
        <v>0</v>
      </c>
      <c r="K1482" s="4"/>
      <c r="L1482" s="33" t="str">
        <f>IFERROR(VLOOKUP($J1482,'Informations sur les produits'!$A$3:$H$10000,8,FALSE),"0")</f>
        <v>0</v>
      </c>
      <c r="N1482" s="8"/>
      <c r="O1482" s="33" t="str">
        <f>IFERROR(VLOOKUP($M1482,'Informations sur les produits'!$A$3:$H$10000,8,FALSE),"0")</f>
        <v>0</v>
      </c>
      <c r="P1482" s="33">
        <f t="shared" si="92"/>
        <v>0</v>
      </c>
      <c r="Q1482" s="31" t="str">
        <f t="shared" si="93"/>
        <v/>
      </c>
      <c r="R1482" s="32" t="str">
        <f>IFERROR(VLOOKUP($D1482,'Informations sur les produits'!$A$3:$B$15000,2,FALSE),"")</f>
        <v/>
      </c>
      <c r="V1482">
        <f t="shared" si="94"/>
        <v>0</v>
      </c>
      <c r="W1482">
        <f t="shared" si="95"/>
        <v>0</v>
      </c>
    </row>
    <row r="1483" spans="5:23" x14ac:dyDescent="0.25">
      <c r="E1483" s="4"/>
      <c r="F1483" s="4"/>
      <c r="G1483" s="33" t="str">
        <f>IFERROR(VLOOKUP($D1483,'Informations sur les produits'!$A$3:$H$10000,8,FALSE),"0")</f>
        <v>0</v>
      </c>
      <c r="K1483" s="4"/>
      <c r="L1483" s="33" t="str">
        <f>IFERROR(VLOOKUP($J1483,'Informations sur les produits'!$A$3:$H$10000,8,FALSE),"0")</f>
        <v>0</v>
      </c>
      <c r="N1483" s="8"/>
      <c r="O1483" s="33" t="str">
        <f>IFERROR(VLOOKUP($M1483,'Informations sur les produits'!$A$3:$H$10000,8,FALSE),"0")</f>
        <v>0</v>
      </c>
      <c r="P1483" s="33">
        <f t="shared" si="92"/>
        <v>0</v>
      </c>
      <c r="Q1483" s="31" t="str">
        <f t="shared" si="93"/>
        <v/>
      </c>
      <c r="R1483" s="32" t="str">
        <f>IFERROR(VLOOKUP($D1483,'Informations sur les produits'!$A$3:$B$15000,2,FALSE),"")</f>
        <v/>
      </c>
      <c r="V1483">
        <f t="shared" si="94"/>
        <v>0</v>
      </c>
      <c r="W1483">
        <f t="shared" si="95"/>
        <v>0</v>
      </c>
    </row>
    <row r="1484" spans="5:23" x14ac:dyDescent="0.25">
      <c r="E1484" s="4"/>
      <c r="F1484" s="4"/>
      <c r="G1484" s="33" t="str">
        <f>IFERROR(VLOOKUP($D1484,'Informations sur les produits'!$A$3:$H$10000,8,FALSE),"0")</f>
        <v>0</v>
      </c>
      <c r="K1484" s="4"/>
      <c r="L1484" s="33" t="str">
        <f>IFERROR(VLOOKUP($J1484,'Informations sur les produits'!$A$3:$H$10000,8,FALSE),"0")</f>
        <v>0</v>
      </c>
      <c r="N1484" s="8"/>
      <c r="O1484" s="33" t="str">
        <f>IFERROR(VLOOKUP($M1484,'Informations sur les produits'!$A$3:$H$10000,8,FALSE),"0")</f>
        <v>0</v>
      </c>
      <c r="P1484" s="33">
        <f t="shared" si="92"/>
        <v>0</v>
      </c>
      <c r="Q1484" s="31" t="str">
        <f t="shared" si="93"/>
        <v/>
      </c>
      <c r="R1484" s="32" t="str">
        <f>IFERROR(VLOOKUP($D1484,'Informations sur les produits'!$A$3:$B$15000,2,FALSE),"")</f>
        <v/>
      </c>
      <c r="V1484">
        <f t="shared" si="94"/>
        <v>0</v>
      </c>
      <c r="W1484">
        <f t="shared" si="95"/>
        <v>0</v>
      </c>
    </row>
    <row r="1485" spans="5:23" x14ac:dyDescent="0.25">
      <c r="E1485" s="4"/>
      <c r="F1485" s="4"/>
      <c r="G1485" s="33" t="str">
        <f>IFERROR(VLOOKUP($D1485,'Informations sur les produits'!$A$3:$H$10000,8,FALSE),"0")</f>
        <v>0</v>
      </c>
      <c r="K1485" s="4"/>
      <c r="L1485" s="33" t="str">
        <f>IFERROR(VLOOKUP($J1485,'Informations sur les produits'!$A$3:$H$10000,8,FALSE),"0")</f>
        <v>0</v>
      </c>
      <c r="N1485" s="8"/>
      <c r="O1485" s="33" t="str">
        <f>IFERROR(VLOOKUP($M1485,'Informations sur les produits'!$A$3:$H$10000,8,FALSE),"0")</f>
        <v>0</v>
      </c>
      <c r="P1485" s="33">
        <f t="shared" si="92"/>
        <v>0</v>
      </c>
      <c r="Q1485" s="31" t="str">
        <f t="shared" si="93"/>
        <v/>
      </c>
      <c r="R1485" s="32" t="str">
        <f>IFERROR(VLOOKUP($D1485,'Informations sur les produits'!$A$3:$B$15000,2,FALSE),"")</f>
        <v/>
      </c>
      <c r="V1485">
        <f t="shared" si="94"/>
        <v>0</v>
      </c>
      <c r="W1485">
        <f t="shared" si="95"/>
        <v>0</v>
      </c>
    </row>
    <row r="1486" spans="5:23" x14ac:dyDescent="0.25">
      <c r="E1486" s="4"/>
      <c r="F1486" s="4"/>
      <c r="G1486" s="33" t="str">
        <f>IFERROR(VLOOKUP($D1486,'Informations sur les produits'!$A$3:$H$10000,8,FALSE),"0")</f>
        <v>0</v>
      </c>
      <c r="K1486" s="4"/>
      <c r="L1486" s="33" t="str">
        <f>IFERROR(VLOOKUP($J1486,'Informations sur les produits'!$A$3:$H$10000,8,FALSE),"0")</f>
        <v>0</v>
      </c>
      <c r="N1486" s="8"/>
      <c r="O1486" s="33" t="str">
        <f>IFERROR(VLOOKUP($M1486,'Informations sur les produits'!$A$3:$H$10000,8,FALSE),"0")</f>
        <v>0</v>
      </c>
      <c r="P1486" s="33">
        <f t="shared" si="92"/>
        <v>0</v>
      </c>
      <c r="Q1486" s="31" t="str">
        <f t="shared" si="93"/>
        <v/>
      </c>
      <c r="R1486" s="32" t="str">
        <f>IFERROR(VLOOKUP($D1486,'Informations sur les produits'!$A$3:$B$15000,2,FALSE),"")</f>
        <v/>
      </c>
      <c r="V1486">
        <f t="shared" si="94"/>
        <v>0</v>
      </c>
      <c r="W1486">
        <f t="shared" si="95"/>
        <v>0</v>
      </c>
    </row>
    <row r="1487" spans="5:23" x14ac:dyDescent="0.25">
      <c r="E1487" s="4"/>
      <c r="F1487" s="4"/>
      <c r="G1487" s="33" t="str">
        <f>IFERROR(VLOOKUP($D1487,'Informations sur les produits'!$A$3:$H$10000,8,FALSE),"0")</f>
        <v>0</v>
      </c>
      <c r="K1487" s="4"/>
      <c r="L1487" s="33" t="str">
        <f>IFERROR(VLOOKUP($J1487,'Informations sur les produits'!$A$3:$H$10000,8,FALSE),"0")</f>
        <v>0</v>
      </c>
      <c r="N1487" s="8"/>
      <c r="O1487" s="33" t="str">
        <f>IFERROR(VLOOKUP($M1487,'Informations sur les produits'!$A$3:$H$10000,8,FALSE),"0")</f>
        <v>0</v>
      </c>
      <c r="P1487" s="33">
        <f t="shared" si="92"/>
        <v>0</v>
      </c>
      <c r="Q1487" s="31" t="str">
        <f t="shared" si="93"/>
        <v/>
      </c>
      <c r="R1487" s="32" t="str">
        <f>IFERROR(VLOOKUP($D1487,'Informations sur les produits'!$A$3:$B$15000,2,FALSE),"")</f>
        <v/>
      </c>
      <c r="V1487">
        <f t="shared" si="94"/>
        <v>0</v>
      </c>
      <c r="W1487">
        <f t="shared" si="95"/>
        <v>0</v>
      </c>
    </row>
    <row r="1488" spans="5:23" x14ac:dyDescent="0.25">
      <c r="E1488" s="4"/>
      <c r="F1488" s="4"/>
      <c r="G1488" s="33" t="str">
        <f>IFERROR(VLOOKUP($D1488,'Informations sur les produits'!$A$3:$H$10000,8,FALSE),"0")</f>
        <v>0</v>
      </c>
      <c r="K1488" s="4"/>
      <c r="L1488" s="33" t="str">
        <f>IFERROR(VLOOKUP($J1488,'Informations sur les produits'!$A$3:$H$10000,8,FALSE),"0")</f>
        <v>0</v>
      </c>
      <c r="N1488" s="8"/>
      <c r="O1488" s="33" t="str">
        <f>IFERROR(VLOOKUP($M1488,'Informations sur les produits'!$A$3:$H$10000,8,FALSE),"0")</f>
        <v>0</v>
      </c>
      <c r="P1488" s="33">
        <f t="shared" si="92"/>
        <v>0</v>
      </c>
      <c r="Q1488" s="31" t="str">
        <f t="shared" si="93"/>
        <v/>
      </c>
      <c r="R1488" s="32" t="str">
        <f>IFERROR(VLOOKUP($D1488,'Informations sur les produits'!$A$3:$B$15000,2,FALSE),"")</f>
        <v/>
      </c>
      <c r="V1488">
        <f t="shared" si="94"/>
        <v>0</v>
      </c>
      <c r="W1488">
        <f t="shared" si="95"/>
        <v>0</v>
      </c>
    </row>
    <row r="1489" spans="5:23" x14ac:dyDescent="0.25">
      <c r="E1489" s="4"/>
      <c r="F1489" s="4"/>
      <c r="G1489" s="33" t="str">
        <f>IFERROR(VLOOKUP($D1489,'Informations sur les produits'!$A$3:$H$10000,8,FALSE),"0")</f>
        <v>0</v>
      </c>
      <c r="K1489" s="4"/>
      <c r="L1489" s="33" t="str">
        <f>IFERROR(VLOOKUP($J1489,'Informations sur les produits'!$A$3:$H$10000,8,FALSE),"0")</f>
        <v>0</v>
      </c>
      <c r="N1489" s="8"/>
      <c r="O1489" s="33" t="str">
        <f>IFERROR(VLOOKUP($M1489,'Informations sur les produits'!$A$3:$H$10000,8,FALSE),"0")</f>
        <v>0</v>
      </c>
      <c r="P1489" s="33">
        <f t="shared" si="92"/>
        <v>0</v>
      </c>
      <c r="Q1489" s="31" t="str">
        <f t="shared" si="93"/>
        <v/>
      </c>
      <c r="R1489" s="32" t="str">
        <f>IFERROR(VLOOKUP($D1489,'Informations sur les produits'!$A$3:$B$15000,2,FALSE),"")</f>
        <v/>
      </c>
      <c r="V1489">
        <f t="shared" si="94"/>
        <v>0</v>
      </c>
      <c r="W1489">
        <f t="shared" si="95"/>
        <v>0</v>
      </c>
    </row>
    <row r="1490" spans="5:23" x14ac:dyDescent="0.25">
      <c r="E1490" s="4"/>
      <c r="F1490" s="4"/>
      <c r="G1490" s="33" t="str">
        <f>IFERROR(VLOOKUP($D1490,'Informations sur les produits'!$A$3:$H$10000,8,FALSE),"0")</f>
        <v>0</v>
      </c>
      <c r="K1490" s="4"/>
      <c r="L1490" s="33" t="str">
        <f>IFERROR(VLOOKUP($J1490,'Informations sur les produits'!$A$3:$H$10000,8,FALSE),"0")</f>
        <v>0</v>
      </c>
      <c r="N1490" s="8"/>
      <c r="O1490" s="33" t="str">
        <f>IFERROR(VLOOKUP($M1490,'Informations sur les produits'!$A$3:$H$10000,8,FALSE),"0")</f>
        <v>0</v>
      </c>
      <c r="P1490" s="33">
        <f t="shared" si="92"/>
        <v>0</v>
      </c>
      <c r="Q1490" s="31" t="str">
        <f t="shared" si="93"/>
        <v/>
      </c>
      <c r="R1490" s="32" t="str">
        <f>IFERROR(VLOOKUP($D1490,'Informations sur les produits'!$A$3:$B$15000,2,FALSE),"")</f>
        <v/>
      </c>
      <c r="V1490">
        <f t="shared" si="94"/>
        <v>0</v>
      </c>
      <c r="W1490">
        <f t="shared" si="95"/>
        <v>0</v>
      </c>
    </row>
    <row r="1491" spans="5:23" x14ac:dyDescent="0.25">
      <c r="E1491" s="4"/>
      <c r="F1491" s="4"/>
      <c r="G1491" s="33" t="str">
        <f>IFERROR(VLOOKUP($D1491,'Informations sur les produits'!$A$3:$H$10000,8,FALSE),"0")</f>
        <v>0</v>
      </c>
      <c r="K1491" s="4"/>
      <c r="L1491" s="33" t="str">
        <f>IFERROR(VLOOKUP($J1491,'Informations sur les produits'!$A$3:$H$10000,8,FALSE),"0")</f>
        <v>0</v>
      </c>
      <c r="N1491" s="8"/>
      <c r="O1491" s="33" t="str">
        <f>IFERROR(VLOOKUP($M1491,'Informations sur les produits'!$A$3:$H$10000,8,FALSE),"0")</f>
        <v>0</v>
      </c>
      <c r="P1491" s="33">
        <f t="shared" si="92"/>
        <v>0</v>
      </c>
      <c r="Q1491" s="31" t="str">
        <f t="shared" si="93"/>
        <v/>
      </c>
      <c r="R1491" s="32" t="str">
        <f>IFERROR(VLOOKUP($D1491,'Informations sur les produits'!$A$3:$B$15000,2,FALSE),"")</f>
        <v/>
      </c>
      <c r="V1491">
        <f t="shared" si="94"/>
        <v>0</v>
      </c>
      <c r="W1491">
        <f t="shared" si="95"/>
        <v>0</v>
      </c>
    </row>
    <row r="1492" spans="5:23" x14ac:dyDescent="0.25">
      <c r="E1492" s="4"/>
      <c r="F1492" s="4"/>
      <c r="G1492" s="33" t="str">
        <f>IFERROR(VLOOKUP($D1492,'Informations sur les produits'!$A$3:$H$10000,8,FALSE),"0")</f>
        <v>0</v>
      </c>
      <c r="K1492" s="4"/>
      <c r="L1492" s="33" t="str">
        <f>IFERROR(VLOOKUP($J1492,'Informations sur les produits'!$A$3:$H$10000,8,FALSE),"0")</f>
        <v>0</v>
      </c>
      <c r="N1492" s="8"/>
      <c r="O1492" s="33" t="str">
        <f>IFERROR(VLOOKUP($M1492,'Informations sur les produits'!$A$3:$H$10000,8,FALSE),"0")</f>
        <v>0</v>
      </c>
      <c r="P1492" s="33">
        <f t="shared" si="92"/>
        <v>0</v>
      </c>
      <c r="Q1492" s="31" t="str">
        <f t="shared" si="93"/>
        <v/>
      </c>
      <c r="R1492" s="32" t="str">
        <f>IFERROR(VLOOKUP($D1492,'Informations sur les produits'!$A$3:$B$15000,2,FALSE),"")</f>
        <v/>
      </c>
      <c r="V1492">
        <f t="shared" si="94"/>
        <v>0</v>
      </c>
      <c r="W1492">
        <f t="shared" si="95"/>
        <v>0</v>
      </c>
    </row>
    <row r="1493" spans="5:23" x14ac:dyDescent="0.25">
      <c r="E1493" s="4"/>
      <c r="F1493" s="4"/>
      <c r="G1493" s="33" t="str">
        <f>IFERROR(VLOOKUP($D1493,'Informations sur les produits'!$A$3:$H$10000,8,FALSE),"0")</f>
        <v>0</v>
      </c>
      <c r="K1493" s="4"/>
      <c r="L1493" s="33" t="str">
        <f>IFERROR(VLOOKUP($J1493,'Informations sur les produits'!$A$3:$H$10000,8,FALSE),"0")</f>
        <v>0</v>
      </c>
      <c r="N1493" s="8"/>
      <c r="O1493" s="33" t="str">
        <f>IFERROR(VLOOKUP($M1493,'Informations sur les produits'!$A$3:$H$10000,8,FALSE),"0")</f>
        <v>0</v>
      </c>
      <c r="P1493" s="33">
        <f t="shared" si="92"/>
        <v>0</v>
      </c>
      <c r="Q1493" s="31" t="str">
        <f t="shared" si="93"/>
        <v/>
      </c>
      <c r="R1493" s="32" t="str">
        <f>IFERROR(VLOOKUP($D1493,'Informations sur les produits'!$A$3:$B$15000,2,FALSE),"")</f>
        <v/>
      </c>
      <c r="V1493">
        <f t="shared" si="94"/>
        <v>0</v>
      </c>
      <c r="W1493">
        <f t="shared" si="95"/>
        <v>0</v>
      </c>
    </row>
    <row r="1494" spans="5:23" x14ac:dyDescent="0.25">
      <c r="E1494" s="4"/>
      <c r="F1494" s="4"/>
      <c r="G1494" s="33" t="str">
        <f>IFERROR(VLOOKUP($D1494,'Informations sur les produits'!$A$3:$H$10000,8,FALSE),"0")</f>
        <v>0</v>
      </c>
      <c r="K1494" s="4"/>
      <c r="L1494" s="33" t="str">
        <f>IFERROR(VLOOKUP($J1494,'Informations sur les produits'!$A$3:$H$10000,8,FALSE),"0")</f>
        <v>0</v>
      </c>
      <c r="N1494" s="8"/>
      <c r="O1494" s="33" t="str">
        <f>IFERROR(VLOOKUP($M1494,'Informations sur les produits'!$A$3:$H$10000,8,FALSE),"0")</f>
        <v>0</v>
      </c>
      <c r="P1494" s="33">
        <f t="shared" si="92"/>
        <v>0</v>
      </c>
      <c r="Q1494" s="31" t="str">
        <f t="shared" si="93"/>
        <v/>
      </c>
      <c r="R1494" s="32" t="str">
        <f>IFERROR(VLOOKUP($D1494,'Informations sur les produits'!$A$3:$B$15000,2,FALSE),"")</f>
        <v/>
      </c>
      <c r="V1494">
        <f t="shared" si="94"/>
        <v>0</v>
      </c>
      <c r="W1494">
        <f t="shared" si="95"/>
        <v>0</v>
      </c>
    </row>
    <row r="1495" spans="5:23" x14ac:dyDescent="0.25">
      <c r="E1495" s="4"/>
      <c r="F1495" s="4"/>
      <c r="G1495" s="33" t="str">
        <f>IFERROR(VLOOKUP($D1495,'Informations sur les produits'!$A$3:$H$10000,8,FALSE),"0")</f>
        <v>0</v>
      </c>
      <c r="K1495" s="4"/>
      <c r="L1495" s="33" t="str">
        <f>IFERROR(VLOOKUP($J1495,'Informations sur les produits'!$A$3:$H$10000,8,FALSE),"0")</f>
        <v>0</v>
      </c>
      <c r="N1495" s="8"/>
      <c r="O1495" s="33" t="str">
        <f>IFERROR(VLOOKUP($M1495,'Informations sur les produits'!$A$3:$H$10000,8,FALSE),"0")</f>
        <v>0</v>
      </c>
      <c r="P1495" s="33">
        <f t="shared" si="92"/>
        <v>0</v>
      </c>
      <c r="Q1495" s="31" t="str">
        <f t="shared" si="93"/>
        <v/>
      </c>
      <c r="R1495" s="32" t="str">
        <f>IFERROR(VLOOKUP($D1495,'Informations sur les produits'!$A$3:$B$15000,2,FALSE),"")</f>
        <v/>
      </c>
      <c r="V1495">
        <f t="shared" si="94"/>
        <v>0</v>
      </c>
      <c r="W1495">
        <f t="shared" si="95"/>
        <v>0</v>
      </c>
    </row>
    <row r="1496" spans="5:23" x14ac:dyDescent="0.25">
      <c r="E1496" s="4"/>
      <c r="F1496" s="4"/>
      <c r="G1496" s="33" t="str">
        <f>IFERROR(VLOOKUP($D1496,'Informations sur les produits'!$A$3:$H$10000,8,FALSE),"0")</f>
        <v>0</v>
      </c>
      <c r="K1496" s="4"/>
      <c r="L1496" s="33" t="str">
        <f>IFERROR(VLOOKUP($J1496,'Informations sur les produits'!$A$3:$H$10000,8,FALSE),"0")</f>
        <v>0</v>
      </c>
      <c r="N1496" s="8"/>
      <c r="O1496" s="33" t="str">
        <f>IFERROR(VLOOKUP($M1496,'Informations sur les produits'!$A$3:$H$10000,8,FALSE),"0")</f>
        <v>0</v>
      </c>
      <c r="P1496" s="33">
        <f t="shared" si="92"/>
        <v>0</v>
      </c>
      <c r="Q1496" s="31" t="str">
        <f t="shared" si="93"/>
        <v/>
      </c>
      <c r="R1496" s="32" t="str">
        <f>IFERROR(VLOOKUP($D1496,'Informations sur les produits'!$A$3:$B$15000,2,FALSE),"")</f>
        <v/>
      </c>
      <c r="V1496">
        <f t="shared" si="94"/>
        <v>0</v>
      </c>
      <c r="W1496">
        <f t="shared" si="95"/>
        <v>0</v>
      </c>
    </row>
    <row r="1497" spans="5:23" x14ac:dyDescent="0.25">
      <c r="E1497" s="4"/>
      <c r="F1497" s="4"/>
      <c r="G1497" s="33" t="str">
        <f>IFERROR(VLOOKUP($D1497,'Informations sur les produits'!$A$3:$H$10000,8,FALSE),"0")</f>
        <v>0</v>
      </c>
      <c r="K1497" s="4"/>
      <c r="L1497" s="33" t="str">
        <f>IFERROR(VLOOKUP($J1497,'Informations sur les produits'!$A$3:$H$10000,8,FALSE),"0")</f>
        <v>0</v>
      </c>
      <c r="N1497" s="8"/>
      <c r="O1497" s="33" t="str">
        <f>IFERROR(VLOOKUP($M1497,'Informations sur les produits'!$A$3:$H$10000,8,FALSE),"0")</f>
        <v>0</v>
      </c>
      <c r="P1497" s="33">
        <f t="shared" si="92"/>
        <v>0</v>
      </c>
      <c r="Q1497" s="31" t="str">
        <f t="shared" si="93"/>
        <v/>
      </c>
      <c r="R1497" s="32" t="str">
        <f>IFERROR(VLOOKUP($D1497,'Informations sur les produits'!$A$3:$B$15000,2,FALSE),"")</f>
        <v/>
      </c>
      <c r="V1497">
        <f t="shared" si="94"/>
        <v>0</v>
      </c>
      <c r="W1497">
        <f t="shared" si="95"/>
        <v>0</v>
      </c>
    </row>
    <row r="1498" spans="5:23" x14ac:dyDescent="0.25">
      <c r="E1498" s="4"/>
      <c r="F1498" s="4"/>
      <c r="G1498" s="33" t="str">
        <f>IFERROR(VLOOKUP($D1498,'Informations sur les produits'!$A$3:$H$10000,8,FALSE),"0")</f>
        <v>0</v>
      </c>
      <c r="K1498" s="4"/>
      <c r="L1498" s="33" t="str">
        <f>IFERROR(VLOOKUP($J1498,'Informations sur les produits'!$A$3:$H$10000,8,FALSE),"0")</f>
        <v>0</v>
      </c>
      <c r="N1498" s="8"/>
      <c r="O1498" s="33" t="str">
        <f>IFERROR(VLOOKUP($M1498,'Informations sur les produits'!$A$3:$H$10000,8,FALSE),"0")</f>
        <v>0</v>
      </c>
      <c r="P1498" s="33">
        <f t="shared" si="92"/>
        <v>0</v>
      </c>
      <c r="Q1498" s="31" t="str">
        <f t="shared" si="93"/>
        <v/>
      </c>
      <c r="R1498" s="32" t="str">
        <f>IFERROR(VLOOKUP($D1498,'Informations sur les produits'!$A$3:$B$15000,2,FALSE),"")</f>
        <v/>
      </c>
      <c r="V1498">
        <f t="shared" si="94"/>
        <v>0</v>
      </c>
      <c r="W1498">
        <f t="shared" si="95"/>
        <v>0</v>
      </c>
    </row>
    <row r="1499" spans="5:23" x14ac:dyDescent="0.25">
      <c r="E1499" s="4"/>
      <c r="F1499" s="4"/>
      <c r="G1499" s="33" t="str">
        <f>IFERROR(VLOOKUP($D1499,'Informations sur les produits'!$A$3:$H$10000,8,FALSE),"0")</f>
        <v>0</v>
      </c>
      <c r="K1499" s="4"/>
      <c r="L1499" s="33" t="str">
        <f>IFERROR(VLOOKUP($J1499,'Informations sur les produits'!$A$3:$H$10000,8,FALSE),"0")</f>
        <v>0</v>
      </c>
      <c r="N1499" s="8"/>
      <c r="O1499" s="33" t="str">
        <f>IFERROR(VLOOKUP($M1499,'Informations sur les produits'!$A$3:$H$10000,8,FALSE),"0")</f>
        <v>0</v>
      </c>
      <c r="P1499" s="33">
        <f t="shared" si="92"/>
        <v>0</v>
      </c>
      <c r="Q1499" s="31" t="str">
        <f t="shared" si="93"/>
        <v/>
      </c>
      <c r="R1499" s="32" t="str">
        <f>IFERROR(VLOOKUP($D1499,'Informations sur les produits'!$A$3:$B$15000,2,FALSE),"")</f>
        <v/>
      </c>
      <c r="V1499">
        <f t="shared" si="94"/>
        <v>0</v>
      </c>
      <c r="W1499">
        <f t="shared" si="95"/>
        <v>0</v>
      </c>
    </row>
    <row r="1500" spans="5:23" x14ac:dyDescent="0.25">
      <c r="E1500" s="4"/>
      <c r="F1500" s="4"/>
      <c r="G1500" s="33" t="str">
        <f>IFERROR(VLOOKUP($D1500,'Informations sur les produits'!$A$3:$H$10000,8,FALSE),"0")</f>
        <v>0</v>
      </c>
      <c r="K1500" s="4"/>
      <c r="L1500" s="33" t="str">
        <f>IFERROR(VLOOKUP($J1500,'Informations sur les produits'!$A$3:$H$10000,8,FALSE),"0")</f>
        <v>0</v>
      </c>
      <c r="N1500" s="8"/>
      <c r="O1500" s="33" t="str">
        <f>IFERROR(VLOOKUP($M1500,'Informations sur les produits'!$A$3:$H$10000,8,FALSE),"0")</f>
        <v>0</v>
      </c>
      <c r="P1500" s="33">
        <f t="shared" si="92"/>
        <v>0</v>
      </c>
      <c r="Q1500" s="31" t="str">
        <f t="shared" si="93"/>
        <v/>
      </c>
      <c r="R1500" s="32" t="str">
        <f>IFERROR(VLOOKUP($D1500,'Informations sur les produits'!$A$3:$B$15000,2,FALSE),"")</f>
        <v/>
      </c>
      <c r="V1500">
        <f t="shared" si="94"/>
        <v>0</v>
      </c>
      <c r="W1500">
        <f t="shared" si="95"/>
        <v>0</v>
      </c>
    </row>
    <row r="1501" spans="5:23" x14ac:dyDescent="0.25">
      <c r="E1501" s="4"/>
      <c r="F1501" s="4"/>
      <c r="G1501" s="33" t="str">
        <f>IFERROR(VLOOKUP($D1501,'Informations sur les produits'!$A$3:$H$10000,8,FALSE),"0")</f>
        <v>0</v>
      </c>
      <c r="K1501" s="4"/>
      <c r="L1501" s="33" t="str">
        <f>IFERROR(VLOOKUP($J1501,'Informations sur les produits'!$A$3:$H$10000,8,FALSE),"0")</f>
        <v>0</v>
      </c>
      <c r="N1501" s="8"/>
      <c r="O1501" s="33" t="str">
        <f>IFERROR(VLOOKUP($M1501,'Informations sur les produits'!$A$3:$H$10000,8,FALSE),"0")</f>
        <v>0</v>
      </c>
      <c r="P1501" s="33">
        <f t="shared" si="92"/>
        <v>0</v>
      </c>
      <c r="Q1501" s="31" t="str">
        <f t="shared" si="93"/>
        <v/>
      </c>
      <c r="R1501" s="32" t="str">
        <f>IFERROR(VLOOKUP($D1501,'Informations sur les produits'!$A$3:$B$15000,2,FALSE),"")</f>
        <v/>
      </c>
      <c r="V1501">
        <f t="shared" si="94"/>
        <v>0</v>
      </c>
      <c r="W1501">
        <f t="shared" si="95"/>
        <v>0</v>
      </c>
    </row>
    <row r="1502" spans="5:23" x14ac:dyDescent="0.25">
      <c r="E1502" s="4"/>
      <c r="F1502" s="4"/>
      <c r="G1502" s="33" t="str">
        <f>IFERROR(VLOOKUP($D1502,'Informations sur les produits'!$A$3:$H$10000,8,FALSE),"0")</f>
        <v>0</v>
      </c>
      <c r="K1502" s="4"/>
      <c r="L1502" s="33" t="str">
        <f>IFERROR(VLOOKUP($J1502,'Informations sur les produits'!$A$3:$H$10000,8,FALSE),"0")</f>
        <v>0</v>
      </c>
      <c r="N1502" s="8"/>
      <c r="O1502" s="33" t="str">
        <f>IFERROR(VLOOKUP($M1502,'Informations sur les produits'!$A$3:$H$10000,8,FALSE),"0")</f>
        <v>0</v>
      </c>
      <c r="P1502" s="33">
        <f t="shared" si="92"/>
        <v>0</v>
      </c>
      <c r="Q1502" s="31" t="str">
        <f t="shared" si="93"/>
        <v/>
      </c>
      <c r="R1502" s="32" t="str">
        <f>IFERROR(VLOOKUP($D1502,'Informations sur les produits'!$A$3:$B$15000,2,FALSE),"")</f>
        <v/>
      </c>
      <c r="V1502">
        <f t="shared" si="94"/>
        <v>0</v>
      </c>
      <c r="W1502">
        <f t="shared" si="95"/>
        <v>0</v>
      </c>
    </row>
    <row r="1503" spans="5:23" x14ac:dyDescent="0.25">
      <c r="E1503" s="4"/>
      <c r="F1503" s="4"/>
      <c r="G1503" s="33" t="str">
        <f>IFERROR(VLOOKUP($D1503,'Informations sur les produits'!$A$3:$H$10000,8,FALSE),"0")</f>
        <v>0</v>
      </c>
      <c r="K1503" s="4"/>
      <c r="L1503" s="33" t="str">
        <f>IFERROR(VLOOKUP($J1503,'Informations sur les produits'!$A$3:$H$10000,8,FALSE),"0")</f>
        <v>0</v>
      </c>
      <c r="N1503" s="8"/>
      <c r="O1503" s="33" t="str">
        <f>IFERROR(VLOOKUP($M1503,'Informations sur les produits'!$A$3:$H$10000,8,FALSE),"0")</f>
        <v>0</v>
      </c>
      <c r="P1503" s="33">
        <f t="shared" si="92"/>
        <v>0</v>
      </c>
      <c r="Q1503" s="31" t="str">
        <f t="shared" si="93"/>
        <v/>
      </c>
      <c r="R1503" s="32" t="str">
        <f>IFERROR(VLOOKUP($D1503,'Informations sur les produits'!$A$3:$B$15000,2,FALSE),"")</f>
        <v/>
      </c>
      <c r="V1503">
        <f t="shared" si="94"/>
        <v>0</v>
      </c>
      <c r="W1503">
        <f t="shared" si="95"/>
        <v>0</v>
      </c>
    </row>
    <row r="1504" spans="5:23" x14ac:dyDescent="0.25">
      <c r="E1504" s="4"/>
      <c r="F1504" s="4"/>
      <c r="G1504" s="33" t="str">
        <f>IFERROR(VLOOKUP($D1504,'Informations sur les produits'!$A$3:$H$10000,8,FALSE),"0")</f>
        <v>0</v>
      </c>
      <c r="K1504" s="4"/>
      <c r="L1504" s="33" t="str">
        <f>IFERROR(VLOOKUP($J1504,'Informations sur les produits'!$A$3:$H$10000,8,FALSE),"0")</f>
        <v>0</v>
      </c>
      <c r="N1504" s="8"/>
      <c r="O1504" s="33" t="str">
        <f>IFERROR(VLOOKUP($M1504,'Informations sur les produits'!$A$3:$H$10000,8,FALSE),"0")</f>
        <v>0</v>
      </c>
      <c r="P1504" s="33">
        <f t="shared" si="92"/>
        <v>0</v>
      </c>
      <c r="Q1504" s="31" t="str">
        <f t="shared" si="93"/>
        <v/>
      </c>
      <c r="R1504" s="32" t="str">
        <f>IFERROR(VLOOKUP($D1504,'Informations sur les produits'!$A$3:$B$15000,2,FALSE),"")</f>
        <v/>
      </c>
      <c r="V1504">
        <f t="shared" si="94"/>
        <v>0</v>
      </c>
      <c r="W1504">
        <f t="shared" si="95"/>
        <v>0</v>
      </c>
    </row>
    <row r="1505" spans="5:23" x14ac:dyDescent="0.25">
      <c r="E1505" s="4"/>
      <c r="F1505" s="4"/>
      <c r="G1505" s="33" t="str">
        <f>IFERROR(VLOOKUP($D1505,'Informations sur les produits'!$A$3:$H$10000,8,FALSE),"0")</f>
        <v>0</v>
      </c>
      <c r="K1505" s="4"/>
      <c r="L1505" s="33" t="str">
        <f>IFERROR(VLOOKUP($J1505,'Informations sur les produits'!$A$3:$H$10000,8,FALSE),"0")</f>
        <v>0</v>
      </c>
      <c r="N1505" s="8"/>
      <c r="O1505" s="33" t="str">
        <f>IFERROR(VLOOKUP($M1505,'Informations sur les produits'!$A$3:$H$10000,8,FALSE),"0")</f>
        <v>0</v>
      </c>
      <c r="P1505" s="33">
        <f t="shared" si="92"/>
        <v>0</v>
      </c>
      <c r="Q1505" s="31" t="str">
        <f t="shared" si="93"/>
        <v/>
      </c>
      <c r="R1505" s="32" t="str">
        <f>IFERROR(VLOOKUP($D1505,'Informations sur les produits'!$A$3:$B$15000,2,FALSE),"")</f>
        <v/>
      </c>
      <c r="V1505">
        <f t="shared" si="94"/>
        <v>0</v>
      </c>
      <c r="W1505">
        <f t="shared" si="95"/>
        <v>0</v>
      </c>
    </row>
    <row r="1506" spans="5:23" x14ac:dyDescent="0.25">
      <c r="E1506" s="4"/>
      <c r="F1506" s="4"/>
      <c r="G1506" s="33" t="str">
        <f>IFERROR(VLOOKUP($D1506,'Informations sur les produits'!$A$3:$H$10000,8,FALSE),"0")</f>
        <v>0</v>
      </c>
      <c r="K1506" s="4"/>
      <c r="L1506" s="33" t="str">
        <f>IFERROR(VLOOKUP($J1506,'Informations sur les produits'!$A$3:$H$10000,8,FALSE),"0")</f>
        <v>0</v>
      </c>
      <c r="N1506" s="8"/>
      <c r="O1506" s="33" t="str">
        <f>IFERROR(VLOOKUP($M1506,'Informations sur les produits'!$A$3:$H$10000,8,FALSE),"0")</f>
        <v>0</v>
      </c>
      <c r="P1506" s="33">
        <f t="shared" si="92"/>
        <v>0</v>
      </c>
      <c r="Q1506" s="31" t="str">
        <f t="shared" si="93"/>
        <v/>
      </c>
      <c r="R1506" s="32" t="str">
        <f>IFERROR(VLOOKUP($D1506,'Informations sur les produits'!$A$3:$B$15000,2,FALSE),"")</f>
        <v/>
      </c>
      <c r="V1506">
        <f t="shared" si="94"/>
        <v>0</v>
      </c>
      <c r="W1506">
        <f t="shared" si="95"/>
        <v>0</v>
      </c>
    </row>
    <row r="1507" spans="5:23" x14ac:dyDescent="0.25">
      <c r="E1507" s="4"/>
      <c r="F1507" s="4"/>
      <c r="G1507" s="33" t="str">
        <f>IFERROR(VLOOKUP($D1507,'Informations sur les produits'!$A$3:$H$10000,8,FALSE),"0")</f>
        <v>0</v>
      </c>
      <c r="K1507" s="4"/>
      <c r="L1507" s="33" t="str">
        <f>IFERROR(VLOOKUP($J1507,'Informations sur les produits'!$A$3:$H$10000,8,FALSE),"0")</f>
        <v>0</v>
      </c>
      <c r="N1507" s="8"/>
      <c r="O1507" s="33" t="str">
        <f>IFERROR(VLOOKUP($M1507,'Informations sur les produits'!$A$3:$H$10000,8,FALSE),"0")</f>
        <v>0</v>
      </c>
      <c r="P1507" s="33">
        <f t="shared" si="92"/>
        <v>0</v>
      </c>
      <c r="Q1507" s="31" t="str">
        <f t="shared" si="93"/>
        <v/>
      </c>
      <c r="R1507" s="32" t="str">
        <f>IFERROR(VLOOKUP($D1507,'Informations sur les produits'!$A$3:$B$15000,2,FALSE),"")</f>
        <v/>
      </c>
      <c r="V1507">
        <f t="shared" si="94"/>
        <v>0</v>
      </c>
      <c r="W1507">
        <f t="shared" si="95"/>
        <v>0</v>
      </c>
    </row>
    <row r="1508" spans="5:23" x14ac:dyDescent="0.25">
      <c r="E1508" s="4"/>
      <c r="F1508" s="4"/>
      <c r="G1508" s="33" t="str">
        <f>IFERROR(VLOOKUP($D1508,'Informations sur les produits'!$A$3:$H$10000,8,FALSE),"0")</f>
        <v>0</v>
      </c>
      <c r="K1508" s="4"/>
      <c r="L1508" s="33" t="str">
        <f>IFERROR(VLOOKUP($J1508,'Informations sur les produits'!$A$3:$H$10000,8,FALSE),"0")</f>
        <v>0</v>
      </c>
      <c r="N1508" s="8"/>
      <c r="O1508" s="33" t="str">
        <f>IFERROR(VLOOKUP($M1508,'Informations sur les produits'!$A$3:$H$10000,8,FALSE),"0")</f>
        <v>0</v>
      </c>
      <c r="P1508" s="33">
        <f t="shared" si="92"/>
        <v>0</v>
      </c>
      <c r="Q1508" s="31" t="str">
        <f t="shared" si="93"/>
        <v/>
      </c>
      <c r="R1508" s="32" t="str">
        <f>IFERROR(VLOOKUP($D1508,'Informations sur les produits'!$A$3:$B$15000,2,FALSE),"")</f>
        <v/>
      </c>
      <c r="V1508">
        <f t="shared" si="94"/>
        <v>0</v>
      </c>
      <c r="W1508">
        <f t="shared" si="95"/>
        <v>0</v>
      </c>
    </row>
    <row r="1509" spans="5:23" x14ac:dyDescent="0.25">
      <c r="E1509" s="4"/>
      <c r="F1509" s="4"/>
      <c r="G1509" s="33" t="str">
        <f>IFERROR(VLOOKUP($D1509,'Informations sur les produits'!$A$3:$H$10000,8,FALSE),"0")</f>
        <v>0</v>
      </c>
      <c r="K1509" s="4"/>
      <c r="L1509" s="33" t="str">
        <f>IFERROR(VLOOKUP($J1509,'Informations sur les produits'!$A$3:$H$10000,8,FALSE),"0")</f>
        <v>0</v>
      </c>
      <c r="N1509" s="8"/>
      <c r="O1509" s="33" t="str">
        <f>IFERROR(VLOOKUP($M1509,'Informations sur les produits'!$A$3:$H$10000,8,FALSE),"0")</f>
        <v>0</v>
      </c>
      <c r="P1509" s="33">
        <f t="shared" si="92"/>
        <v>0</v>
      </c>
      <c r="Q1509" s="31" t="str">
        <f t="shared" si="93"/>
        <v/>
      </c>
      <c r="R1509" s="32" t="str">
        <f>IFERROR(VLOOKUP($D1509,'Informations sur les produits'!$A$3:$B$15000,2,FALSE),"")</f>
        <v/>
      </c>
      <c r="V1509">
        <f t="shared" si="94"/>
        <v>0</v>
      </c>
      <c r="W1509">
        <f t="shared" si="95"/>
        <v>0</v>
      </c>
    </row>
    <row r="1510" spans="5:23" x14ac:dyDescent="0.25">
      <c r="E1510" s="4"/>
      <c r="F1510" s="4"/>
      <c r="G1510" s="33" t="str">
        <f>IFERROR(VLOOKUP($D1510,'Informations sur les produits'!$A$3:$H$10000,8,FALSE),"0")</f>
        <v>0</v>
      </c>
      <c r="K1510" s="4"/>
      <c r="L1510" s="33" t="str">
        <f>IFERROR(VLOOKUP($J1510,'Informations sur les produits'!$A$3:$H$10000,8,FALSE),"0")</f>
        <v>0</v>
      </c>
      <c r="N1510" s="8"/>
      <c r="O1510" s="33" t="str">
        <f>IFERROR(VLOOKUP($M1510,'Informations sur les produits'!$A$3:$H$10000,8,FALSE),"0")</f>
        <v>0</v>
      </c>
      <c r="P1510" s="33">
        <f t="shared" si="92"/>
        <v>0</v>
      </c>
      <c r="Q1510" s="31" t="str">
        <f t="shared" si="93"/>
        <v/>
      </c>
      <c r="R1510" s="32" t="str">
        <f>IFERROR(VLOOKUP($D1510,'Informations sur les produits'!$A$3:$B$15000,2,FALSE),"")</f>
        <v/>
      </c>
      <c r="V1510">
        <f t="shared" si="94"/>
        <v>0</v>
      </c>
      <c r="W1510">
        <f t="shared" si="95"/>
        <v>0</v>
      </c>
    </row>
    <row r="1511" spans="5:23" x14ac:dyDescent="0.25">
      <c r="E1511" s="4"/>
      <c r="F1511" s="4"/>
      <c r="G1511" s="33" t="str">
        <f>IFERROR(VLOOKUP($D1511,'Informations sur les produits'!$A$3:$H$10000,8,FALSE),"0")</f>
        <v>0</v>
      </c>
      <c r="K1511" s="4"/>
      <c r="L1511" s="33" t="str">
        <f>IFERROR(VLOOKUP($J1511,'Informations sur les produits'!$A$3:$H$10000,8,FALSE),"0")</f>
        <v>0</v>
      </c>
      <c r="N1511" s="8"/>
      <c r="O1511" s="33" t="str">
        <f>IFERROR(VLOOKUP($M1511,'Informations sur les produits'!$A$3:$H$10000,8,FALSE),"0")</f>
        <v>0</v>
      </c>
      <c r="P1511" s="33">
        <f t="shared" si="92"/>
        <v>0</v>
      </c>
      <c r="Q1511" s="31" t="str">
        <f t="shared" si="93"/>
        <v/>
      </c>
      <c r="R1511" s="32" t="str">
        <f>IFERROR(VLOOKUP($D1511,'Informations sur les produits'!$A$3:$B$15000,2,FALSE),"")</f>
        <v/>
      </c>
      <c r="V1511">
        <f t="shared" si="94"/>
        <v>0</v>
      </c>
      <c r="W1511">
        <f t="shared" si="95"/>
        <v>0</v>
      </c>
    </row>
    <row r="1512" spans="5:23" x14ac:dyDescent="0.25">
      <c r="E1512" s="4"/>
      <c r="F1512" s="4"/>
      <c r="G1512" s="33" t="str">
        <f>IFERROR(VLOOKUP($D1512,'Informations sur les produits'!$A$3:$H$10000,8,FALSE),"0")</f>
        <v>0</v>
      </c>
      <c r="K1512" s="4"/>
      <c r="L1512" s="33" t="str">
        <f>IFERROR(VLOOKUP($J1512,'Informations sur les produits'!$A$3:$H$10000,8,FALSE),"0")</f>
        <v>0</v>
      </c>
      <c r="N1512" s="8"/>
      <c r="O1512" s="33" t="str">
        <f>IFERROR(VLOOKUP($M1512,'Informations sur les produits'!$A$3:$H$10000,8,FALSE),"0")</f>
        <v>0</v>
      </c>
      <c r="P1512" s="33">
        <f t="shared" si="92"/>
        <v>0</v>
      </c>
      <c r="Q1512" s="31" t="str">
        <f t="shared" si="93"/>
        <v/>
      </c>
      <c r="R1512" s="32" t="str">
        <f>IFERROR(VLOOKUP($D1512,'Informations sur les produits'!$A$3:$B$15000,2,FALSE),"")</f>
        <v/>
      </c>
      <c r="V1512">
        <f t="shared" si="94"/>
        <v>0</v>
      </c>
      <c r="W1512">
        <f t="shared" si="95"/>
        <v>0</v>
      </c>
    </row>
    <row r="1513" spans="5:23" x14ac:dyDescent="0.25">
      <c r="E1513" s="4"/>
      <c r="F1513" s="4"/>
      <c r="G1513" s="33" t="str">
        <f>IFERROR(VLOOKUP($D1513,'Informations sur les produits'!$A$3:$H$10000,8,FALSE),"0")</f>
        <v>0</v>
      </c>
      <c r="K1513" s="4"/>
      <c r="L1513" s="33" t="str">
        <f>IFERROR(VLOOKUP($J1513,'Informations sur les produits'!$A$3:$H$10000,8,FALSE),"0")</f>
        <v>0</v>
      </c>
      <c r="N1513" s="8"/>
      <c r="O1513" s="33" t="str">
        <f>IFERROR(VLOOKUP($M1513,'Informations sur les produits'!$A$3:$H$10000,8,FALSE),"0")</f>
        <v>0</v>
      </c>
      <c r="P1513" s="33">
        <f t="shared" si="92"/>
        <v>0</v>
      </c>
      <c r="Q1513" s="31" t="str">
        <f t="shared" si="93"/>
        <v/>
      </c>
      <c r="R1513" s="32" t="str">
        <f>IFERROR(VLOOKUP($D1513,'Informations sur les produits'!$A$3:$B$15000,2,FALSE),"")</f>
        <v/>
      </c>
      <c r="V1513">
        <f t="shared" si="94"/>
        <v>0</v>
      </c>
      <c r="W1513">
        <f t="shared" si="95"/>
        <v>0</v>
      </c>
    </row>
    <row r="1514" spans="5:23" x14ac:dyDescent="0.25">
      <c r="E1514" s="4"/>
      <c r="F1514" s="4"/>
      <c r="G1514" s="33" t="str">
        <f>IFERROR(VLOOKUP($D1514,'Informations sur les produits'!$A$3:$H$10000,8,FALSE),"0")</f>
        <v>0</v>
      </c>
      <c r="K1514" s="4"/>
      <c r="L1514" s="33" t="str">
        <f>IFERROR(VLOOKUP($J1514,'Informations sur les produits'!$A$3:$H$10000,8,FALSE),"0")</f>
        <v>0</v>
      </c>
      <c r="N1514" s="8"/>
      <c r="O1514" s="33" t="str">
        <f>IFERROR(VLOOKUP($M1514,'Informations sur les produits'!$A$3:$H$10000,8,FALSE),"0")</f>
        <v>0</v>
      </c>
      <c r="P1514" s="33">
        <f t="shared" si="92"/>
        <v>0</v>
      </c>
      <c r="Q1514" s="31" t="str">
        <f t="shared" si="93"/>
        <v/>
      </c>
      <c r="R1514" s="32" t="str">
        <f>IFERROR(VLOOKUP($D1514,'Informations sur les produits'!$A$3:$B$15000,2,FALSE),"")</f>
        <v/>
      </c>
      <c r="V1514">
        <f t="shared" si="94"/>
        <v>0</v>
      </c>
      <c r="W1514">
        <f t="shared" si="95"/>
        <v>0</v>
      </c>
    </row>
    <row r="1515" spans="5:23" x14ac:dyDescent="0.25">
      <c r="E1515" s="4"/>
      <c r="F1515" s="4"/>
      <c r="G1515" s="33" t="str">
        <f>IFERROR(VLOOKUP($D1515,'Informations sur les produits'!$A$3:$H$10000,8,FALSE),"0")</f>
        <v>0</v>
      </c>
      <c r="K1515" s="4"/>
      <c r="L1515" s="33" t="str">
        <f>IFERROR(VLOOKUP($J1515,'Informations sur les produits'!$A$3:$H$10000,8,FALSE),"0")</f>
        <v>0</v>
      </c>
      <c r="N1515" s="8"/>
      <c r="O1515" s="33" t="str">
        <f>IFERROR(VLOOKUP($M1515,'Informations sur les produits'!$A$3:$H$10000,8,FALSE),"0")</f>
        <v>0</v>
      </c>
      <c r="P1515" s="33">
        <f t="shared" si="92"/>
        <v>0</v>
      </c>
      <c r="Q1515" s="31" t="str">
        <f t="shared" si="93"/>
        <v/>
      </c>
      <c r="R1515" s="32" t="str">
        <f>IFERROR(VLOOKUP($D1515,'Informations sur les produits'!$A$3:$B$15000,2,FALSE),"")</f>
        <v/>
      </c>
      <c r="V1515">
        <f t="shared" si="94"/>
        <v>0</v>
      </c>
      <c r="W1515">
        <f t="shared" si="95"/>
        <v>0</v>
      </c>
    </row>
    <row r="1516" spans="5:23" x14ac:dyDescent="0.25">
      <c r="E1516" s="4"/>
      <c r="F1516" s="4"/>
      <c r="G1516" s="33" t="str">
        <f>IFERROR(VLOOKUP($D1516,'Informations sur les produits'!$A$3:$H$10000,8,FALSE),"0")</f>
        <v>0</v>
      </c>
      <c r="K1516" s="4"/>
      <c r="L1516" s="33" t="str">
        <f>IFERROR(VLOOKUP($J1516,'Informations sur les produits'!$A$3:$H$10000,8,FALSE),"0")</f>
        <v>0</v>
      </c>
      <c r="N1516" s="8"/>
      <c r="O1516" s="33" t="str">
        <f>IFERROR(VLOOKUP($M1516,'Informations sur les produits'!$A$3:$H$10000,8,FALSE),"0")</f>
        <v>0</v>
      </c>
      <c r="P1516" s="33">
        <f t="shared" si="92"/>
        <v>0</v>
      </c>
      <c r="Q1516" s="31" t="str">
        <f t="shared" si="93"/>
        <v/>
      </c>
      <c r="R1516" s="32" t="str">
        <f>IFERROR(VLOOKUP($D1516,'Informations sur les produits'!$A$3:$B$15000,2,FALSE),"")</f>
        <v/>
      </c>
      <c r="V1516">
        <f t="shared" si="94"/>
        <v>0</v>
      </c>
      <c r="W1516">
        <f t="shared" si="95"/>
        <v>0</v>
      </c>
    </row>
    <row r="1517" spans="5:23" x14ac:dyDescent="0.25">
      <c r="E1517" s="4"/>
      <c r="F1517" s="4"/>
      <c r="G1517" s="33" t="str">
        <f>IFERROR(VLOOKUP($D1517,'Informations sur les produits'!$A$3:$H$10000,8,FALSE),"0")</f>
        <v>0</v>
      </c>
      <c r="K1517" s="4"/>
      <c r="L1517" s="33" t="str">
        <f>IFERROR(VLOOKUP($J1517,'Informations sur les produits'!$A$3:$H$10000,8,FALSE),"0")</f>
        <v>0</v>
      </c>
      <c r="N1517" s="8"/>
      <c r="O1517" s="33" t="str">
        <f>IFERROR(VLOOKUP($M1517,'Informations sur les produits'!$A$3:$H$10000,8,FALSE),"0")</f>
        <v>0</v>
      </c>
      <c r="P1517" s="33">
        <f t="shared" si="92"/>
        <v>0</v>
      </c>
      <c r="Q1517" s="31" t="str">
        <f t="shared" si="93"/>
        <v/>
      </c>
      <c r="R1517" s="32" t="str">
        <f>IFERROR(VLOOKUP($D1517,'Informations sur les produits'!$A$3:$B$15000,2,FALSE),"")</f>
        <v/>
      </c>
      <c r="V1517">
        <f t="shared" si="94"/>
        <v>0</v>
      </c>
      <c r="W1517">
        <f t="shared" si="95"/>
        <v>0</v>
      </c>
    </row>
    <row r="1518" spans="5:23" x14ac:dyDescent="0.25">
      <c r="E1518" s="4"/>
      <c r="F1518" s="4"/>
      <c r="G1518" s="33" t="str">
        <f>IFERROR(VLOOKUP($D1518,'Informations sur les produits'!$A$3:$H$10000,8,FALSE),"0")</f>
        <v>0</v>
      </c>
      <c r="K1518" s="4"/>
      <c r="L1518" s="33" t="str">
        <f>IFERROR(VLOOKUP($J1518,'Informations sur les produits'!$A$3:$H$10000,8,FALSE),"0")</f>
        <v>0</v>
      </c>
      <c r="N1518" s="8"/>
      <c r="O1518" s="33" t="str">
        <f>IFERROR(VLOOKUP($M1518,'Informations sur les produits'!$A$3:$H$10000,8,FALSE),"0")</f>
        <v>0</v>
      </c>
      <c r="P1518" s="33">
        <f t="shared" si="92"/>
        <v>0</v>
      </c>
      <c r="Q1518" s="31" t="str">
        <f t="shared" si="93"/>
        <v/>
      </c>
      <c r="R1518" s="32" t="str">
        <f>IFERROR(VLOOKUP($D1518,'Informations sur les produits'!$A$3:$B$15000,2,FALSE),"")</f>
        <v/>
      </c>
      <c r="V1518">
        <f t="shared" si="94"/>
        <v>0</v>
      </c>
      <c r="W1518">
        <f t="shared" si="95"/>
        <v>0</v>
      </c>
    </row>
    <row r="1519" spans="5:23" x14ac:dyDescent="0.25">
      <c r="E1519" s="4"/>
      <c r="F1519" s="4"/>
      <c r="G1519" s="33" t="str">
        <f>IFERROR(VLOOKUP($D1519,'Informations sur les produits'!$A$3:$H$10000,8,FALSE),"0")</f>
        <v>0</v>
      </c>
      <c r="K1519" s="4"/>
      <c r="L1519" s="33" t="str">
        <f>IFERROR(VLOOKUP($J1519,'Informations sur les produits'!$A$3:$H$10000,8,FALSE),"0")</f>
        <v>0</v>
      </c>
      <c r="N1519" s="8"/>
      <c r="O1519" s="33" t="str">
        <f>IFERROR(VLOOKUP($M1519,'Informations sur les produits'!$A$3:$H$10000,8,FALSE),"0")</f>
        <v>0</v>
      </c>
      <c r="P1519" s="33">
        <f t="shared" si="92"/>
        <v>0</v>
      </c>
      <c r="Q1519" s="31" t="str">
        <f t="shared" si="93"/>
        <v/>
      </c>
      <c r="R1519" s="32" t="str">
        <f>IFERROR(VLOOKUP($D1519,'Informations sur les produits'!$A$3:$B$15000,2,FALSE),"")</f>
        <v/>
      </c>
      <c r="V1519">
        <f t="shared" si="94"/>
        <v>0</v>
      </c>
      <c r="W1519">
        <f t="shared" si="95"/>
        <v>0</v>
      </c>
    </row>
    <row r="1520" spans="5:23" x14ac:dyDescent="0.25">
      <c r="E1520" s="4"/>
      <c r="F1520" s="4"/>
      <c r="G1520" s="33" t="str">
        <f>IFERROR(VLOOKUP($D1520,'Informations sur les produits'!$A$3:$H$10000,8,FALSE),"0")</f>
        <v>0</v>
      </c>
      <c r="K1520" s="4"/>
      <c r="L1520" s="33" t="str">
        <f>IFERROR(VLOOKUP($J1520,'Informations sur les produits'!$A$3:$H$10000,8,FALSE),"0")</f>
        <v>0</v>
      </c>
      <c r="N1520" s="8"/>
      <c r="O1520" s="33" t="str">
        <f>IFERROR(VLOOKUP($M1520,'Informations sur les produits'!$A$3:$H$10000,8,FALSE),"0")</f>
        <v>0</v>
      </c>
      <c r="P1520" s="33">
        <f t="shared" si="92"/>
        <v>0</v>
      </c>
      <c r="Q1520" s="31" t="str">
        <f t="shared" si="93"/>
        <v/>
      </c>
      <c r="R1520" s="32" t="str">
        <f>IFERROR(VLOOKUP($D1520,'Informations sur les produits'!$A$3:$B$15000,2,FALSE),"")</f>
        <v/>
      </c>
      <c r="V1520">
        <f t="shared" si="94"/>
        <v>0</v>
      </c>
      <c r="W1520">
        <f t="shared" si="95"/>
        <v>0</v>
      </c>
    </row>
    <row r="1521" spans="5:23" x14ac:dyDescent="0.25">
      <c r="E1521" s="4"/>
      <c r="F1521" s="4"/>
      <c r="G1521" s="33" t="str">
        <f>IFERROR(VLOOKUP($D1521,'Informations sur les produits'!$A$3:$H$10000,8,FALSE),"0")</f>
        <v>0</v>
      </c>
      <c r="K1521" s="4"/>
      <c r="L1521" s="33" t="str">
        <f>IFERROR(VLOOKUP($J1521,'Informations sur les produits'!$A$3:$H$10000,8,FALSE),"0")</f>
        <v>0</v>
      </c>
      <c r="N1521" s="8"/>
      <c r="O1521" s="33" t="str">
        <f>IFERROR(VLOOKUP($M1521,'Informations sur les produits'!$A$3:$H$10000,8,FALSE),"0")</f>
        <v>0</v>
      </c>
      <c r="P1521" s="33">
        <f t="shared" si="92"/>
        <v>0</v>
      </c>
      <c r="Q1521" s="31" t="str">
        <f t="shared" si="93"/>
        <v/>
      </c>
      <c r="R1521" s="32" t="str">
        <f>IFERROR(VLOOKUP($D1521,'Informations sur les produits'!$A$3:$B$15000,2,FALSE),"")</f>
        <v/>
      </c>
      <c r="V1521">
        <f t="shared" si="94"/>
        <v>0</v>
      </c>
      <c r="W1521">
        <f t="shared" si="95"/>
        <v>0</v>
      </c>
    </row>
    <row r="1522" spans="5:23" x14ac:dyDescent="0.25">
      <c r="E1522" s="4"/>
      <c r="F1522" s="4"/>
      <c r="G1522" s="33" t="str">
        <f>IFERROR(VLOOKUP($D1522,'Informations sur les produits'!$A$3:$H$10000,8,FALSE),"0")</f>
        <v>0</v>
      </c>
      <c r="K1522" s="4"/>
      <c r="L1522" s="33" t="str">
        <f>IFERROR(VLOOKUP($J1522,'Informations sur les produits'!$A$3:$H$10000,8,FALSE),"0")</f>
        <v>0</v>
      </c>
      <c r="N1522" s="8"/>
      <c r="O1522" s="33" t="str">
        <f>IFERROR(VLOOKUP($M1522,'Informations sur les produits'!$A$3:$H$10000,8,FALSE),"0")</f>
        <v>0</v>
      </c>
      <c r="P1522" s="33">
        <f t="shared" si="92"/>
        <v>0</v>
      </c>
      <c r="Q1522" s="31" t="str">
        <f t="shared" si="93"/>
        <v/>
      </c>
      <c r="R1522" s="32" t="str">
        <f>IFERROR(VLOOKUP($D1522,'Informations sur les produits'!$A$3:$B$15000,2,FALSE),"")</f>
        <v/>
      </c>
      <c r="V1522">
        <f t="shared" si="94"/>
        <v>0</v>
      </c>
      <c r="W1522">
        <f t="shared" si="95"/>
        <v>0</v>
      </c>
    </row>
    <row r="1523" spans="5:23" x14ac:dyDescent="0.25">
      <c r="E1523" s="4"/>
      <c r="F1523" s="4"/>
      <c r="G1523" s="33" t="str">
        <f>IFERROR(VLOOKUP($D1523,'Informations sur les produits'!$A$3:$H$10000,8,FALSE),"0")</f>
        <v>0</v>
      </c>
      <c r="K1523" s="4"/>
      <c r="L1523" s="33" t="str">
        <f>IFERROR(VLOOKUP($J1523,'Informations sur les produits'!$A$3:$H$10000,8,FALSE),"0")</f>
        <v>0</v>
      </c>
      <c r="N1523" s="8"/>
      <c r="O1523" s="33" t="str">
        <f>IFERROR(VLOOKUP($M1523,'Informations sur les produits'!$A$3:$H$10000,8,FALSE),"0")</f>
        <v>0</v>
      </c>
      <c r="P1523" s="33">
        <f t="shared" si="92"/>
        <v>0</v>
      </c>
      <c r="Q1523" s="31" t="str">
        <f t="shared" si="93"/>
        <v/>
      </c>
      <c r="R1523" s="32" t="str">
        <f>IFERROR(VLOOKUP($D1523,'Informations sur les produits'!$A$3:$B$15000,2,FALSE),"")</f>
        <v/>
      </c>
      <c r="V1523">
        <f t="shared" si="94"/>
        <v>0</v>
      </c>
      <c r="W1523">
        <f t="shared" si="95"/>
        <v>0</v>
      </c>
    </row>
    <row r="1524" spans="5:23" x14ac:dyDescent="0.25">
      <c r="E1524" s="4"/>
      <c r="F1524" s="4"/>
      <c r="G1524" s="33" t="str">
        <f>IFERROR(VLOOKUP($D1524,'Informations sur les produits'!$A$3:$H$10000,8,FALSE),"0")</f>
        <v>0</v>
      </c>
      <c r="K1524" s="4"/>
      <c r="L1524" s="33" t="str">
        <f>IFERROR(VLOOKUP($J1524,'Informations sur les produits'!$A$3:$H$10000,8,FALSE),"0")</f>
        <v>0</v>
      </c>
      <c r="N1524" s="8"/>
      <c r="O1524" s="33" t="str">
        <f>IFERROR(VLOOKUP($M1524,'Informations sur les produits'!$A$3:$H$10000,8,FALSE),"0")</f>
        <v>0</v>
      </c>
      <c r="P1524" s="33">
        <f t="shared" si="92"/>
        <v>0</v>
      </c>
      <c r="Q1524" s="31" t="str">
        <f t="shared" si="93"/>
        <v/>
      </c>
      <c r="R1524" s="32" t="str">
        <f>IFERROR(VLOOKUP($D1524,'Informations sur les produits'!$A$3:$B$15000,2,FALSE),"")</f>
        <v/>
      </c>
      <c r="V1524">
        <f t="shared" si="94"/>
        <v>0</v>
      </c>
      <c r="W1524">
        <f t="shared" si="95"/>
        <v>0</v>
      </c>
    </row>
    <row r="1525" spans="5:23" x14ac:dyDescent="0.25">
      <c r="E1525" s="4"/>
      <c r="F1525" s="4"/>
      <c r="G1525" s="33" t="str">
        <f>IFERROR(VLOOKUP($D1525,'Informations sur les produits'!$A$3:$H$10000,8,FALSE),"0")</f>
        <v>0</v>
      </c>
      <c r="K1525" s="4"/>
      <c r="L1525" s="33" t="str">
        <f>IFERROR(VLOOKUP($J1525,'Informations sur les produits'!$A$3:$H$10000,8,FALSE),"0")</f>
        <v>0</v>
      </c>
      <c r="N1525" s="8"/>
      <c r="O1525" s="33" t="str">
        <f>IFERROR(VLOOKUP($M1525,'Informations sur les produits'!$A$3:$H$10000,8,FALSE),"0")</f>
        <v>0</v>
      </c>
      <c r="P1525" s="33">
        <f t="shared" si="92"/>
        <v>0</v>
      </c>
      <c r="Q1525" s="31" t="str">
        <f t="shared" si="93"/>
        <v/>
      </c>
      <c r="R1525" s="32" t="str">
        <f>IFERROR(VLOOKUP($D1525,'Informations sur les produits'!$A$3:$B$15000,2,FALSE),"")</f>
        <v/>
      </c>
      <c r="V1525">
        <f t="shared" si="94"/>
        <v>0</v>
      </c>
      <c r="W1525">
        <f t="shared" si="95"/>
        <v>0</v>
      </c>
    </row>
    <row r="1526" spans="5:23" x14ac:dyDescent="0.25">
      <c r="E1526" s="4"/>
      <c r="F1526" s="4"/>
      <c r="G1526" s="33" t="str">
        <f>IFERROR(VLOOKUP($D1526,'Informations sur les produits'!$A$3:$H$10000,8,FALSE),"0")</f>
        <v>0</v>
      </c>
      <c r="K1526" s="4"/>
      <c r="L1526" s="33" t="str">
        <f>IFERROR(VLOOKUP($J1526,'Informations sur les produits'!$A$3:$H$10000,8,FALSE),"0")</f>
        <v>0</v>
      </c>
      <c r="N1526" s="8"/>
      <c r="O1526" s="33" t="str">
        <f>IFERROR(VLOOKUP($M1526,'Informations sur les produits'!$A$3:$H$10000,8,FALSE),"0")</f>
        <v>0</v>
      </c>
      <c r="P1526" s="33">
        <f t="shared" si="92"/>
        <v>0</v>
      </c>
      <c r="Q1526" s="31" t="str">
        <f t="shared" si="93"/>
        <v/>
      </c>
      <c r="R1526" s="32" t="str">
        <f>IFERROR(VLOOKUP($D1526,'Informations sur les produits'!$A$3:$B$15000,2,FALSE),"")</f>
        <v/>
      </c>
      <c r="V1526">
        <f t="shared" si="94"/>
        <v>0</v>
      </c>
      <c r="W1526">
        <f t="shared" si="95"/>
        <v>0</v>
      </c>
    </row>
    <row r="1527" spans="5:23" x14ac:dyDescent="0.25">
      <c r="E1527" s="4"/>
      <c r="F1527" s="4"/>
      <c r="G1527" s="33" t="str">
        <f>IFERROR(VLOOKUP($D1527,'Informations sur les produits'!$A$3:$H$10000,8,FALSE),"0")</f>
        <v>0</v>
      </c>
      <c r="K1527" s="4"/>
      <c r="L1527" s="33" t="str">
        <f>IFERROR(VLOOKUP($J1527,'Informations sur les produits'!$A$3:$H$10000,8,FALSE),"0")</f>
        <v>0</v>
      </c>
      <c r="N1527" s="8"/>
      <c r="O1527" s="33" t="str">
        <f>IFERROR(VLOOKUP($M1527,'Informations sur les produits'!$A$3:$H$10000,8,FALSE),"0")</f>
        <v>0</v>
      </c>
      <c r="P1527" s="33">
        <f t="shared" si="92"/>
        <v>0</v>
      </c>
      <c r="Q1527" s="31" t="str">
        <f t="shared" si="93"/>
        <v/>
      </c>
      <c r="R1527" s="32" t="str">
        <f>IFERROR(VLOOKUP($D1527,'Informations sur les produits'!$A$3:$B$15000,2,FALSE),"")</f>
        <v/>
      </c>
      <c r="V1527">
        <f t="shared" si="94"/>
        <v>0</v>
      </c>
      <c r="W1527">
        <f t="shared" si="95"/>
        <v>0</v>
      </c>
    </row>
    <row r="1528" spans="5:23" x14ac:dyDescent="0.25">
      <c r="E1528" s="4"/>
      <c r="F1528" s="4"/>
      <c r="G1528" s="33" t="str">
        <f>IFERROR(VLOOKUP($D1528,'Informations sur les produits'!$A$3:$H$10000,8,FALSE),"0")</f>
        <v>0</v>
      </c>
      <c r="K1528" s="4"/>
      <c r="L1528" s="33" t="str">
        <f>IFERROR(VLOOKUP($J1528,'Informations sur les produits'!$A$3:$H$10000,8,FALSE),"0")</f>
        <v>0</v>
      </c>
      <c r="N1528" s="8"/>
      <c r="O1528" s="33" t="str">
        <f>IFERROR(VLOOKUP($M1528,'Informations sur les produits'!$A$3:$H$10000,8,FALSE),"0")</f>
        <v>0</v>
      </c>
      <c r="P1528" s="33">
        <f t="shared" si="92"/>
        <v>0</v>
      </c>
      <c r="Q1528" s="31" t="str">
        <f t="shared" si="93"/>
        <v/>
      </c>
      <c r="R1528" s="32" t="str">
        <f>IFERROR(VLOOKUP($D1528,'Informations sur les produits'!$A$3:$B$15000,2,FALSE),"")</f>
        <v/>
      </c>
      <c r="V1528">
        <f t="shared" si="94"/>
        <v>0</v>
      </c>
      <c r="W1528">
        <f t="shared" si="95"/>
        <v>0</v>
      </c>
    </row>
    <row r="1529" spans="5:23" x14ac:dyDescent="0.25">
      <c r="E1529" s="4"/>
      <c r="F1529" s="4"/>
      <c r="G1529" s="33" t="str">
        <f>IFERROR(VLOOKUP($D1529,'Informations sur les produits'!$A$3:$H$10000,8,FALSE),"0")</f>
        <v>0</v>
      </c>
      <c r="K1529" s="4"/>
      <c r="L1529" s="33" t="str">
        <f>IFERROR(VLOOKUP($J1529,'Informations sur les produits'!$A$3:$H$10000,8,FALSE),"0")</f>
        <v>0</v>
      </c>
      <c r="N1529" s="8"/>
      <c r="O1529" s="33" t="str">
        <f>IFERROR(VLOOKUP($M1529,'Informations sur les produits'!$A$3:$H$10000,8,FALSE),"0")</f>
        <v>0</v>
      </c>
      <c r="P1529" s="33">
        <f t="shared" si="92"/>
        <v>0</v>
      </c>
      <c r="Q1529" s="31" t="str">
        <f t="shared" si="93"/>
        <v/>
      </c>
      <c r="R1529" s="32" t="str">
        <f>IFERROR(VLOOKUP($D1529,'Informations sur les produits'!$A$3:$B$15000,2,FALSE),"")</f>
        <v/>
      </c>
      <c r="V1529">
        <f t="shared" si="94"/>
        <v>0</v>
      </c>
      <c r="W1529">
        <f t="shared" si="95"/>
        <v>0</v>
      </c>
    </row>
    <row r="1530" spans="5:23" x14ac:dyDescent="0.25">
      <c r="E1530" s="4"/>
      <c r="F1530" s="4"/>
      <c r="G1530" s="33" t="str">
        <f>IFERROR(VLOOKUP($D1530,'Informations sur les produits'!$A$3:$H$10000,8,FALSE),"0")</f>
        <v>0</v>
      </c>
      <c r="K1530" s="4"/>
      <c r="L1530" s="33" t="str">
        <f>IFERROR(VLOOKUP($J1530,'Informations sur les produits'!$A$3:$H$10000,8,FALSE),"0")</f>
        <v>0</v>
      </c>
      <c r="N1530" s="8"/>
      <c r="O1530" s="33" t="str">
        <f>IFERROR(VLOOKUP($M1530,'Informations sur les produits'!$A$3:$H$10000,8,FALSE),"0")</f>
        <v>0</v>
      </c>
      <c r="P1530" s="33">
        <f t="shared" si="92"/>
        <v>0</v>
      </c>
      <c r="Q1530" s="31" t="str">
        <f t="shared" si="93"/>
        <v/>
      </c>
      <c r="R1530" s="32" t="str">
        <f>IFERROR(VLOOKUP($D1530,'Informations sur les produits'!$A$3:$B$15000,2,FALSE),"")</f>
        <v/>
      </c>
      <c r="V1530">
        <f t="shared" si="94"/>
        <v>0</v>
      </c>
      <c r="W1530">
        <f t="shared" si="95"/>
        <v>0</v>
      </c>
    </row>
    <row r="1531" spans="5:23" x14ac:dyDescent="0.25">
      <c r="E1531" s="4"/>
      <c r="F1531" s="4"/>
      <c r="G1531" s="33" t="str">
        <f>IFERROR(VLOOKUP($D1531,'Informations sur les produits'!$A$3:$H$10000,8,FALSE),"0")</f>
        <v>0</v>
      </c>
      <c r="K1531" s="4"/>
      <c r="L1531" s="33" t="str">
        <f>IFERROR(VLOOKUP($J1531,'Informations sur les produits'!$A$3:$H$10000,8,FALSE),"0")</f>
        <v>0</v>
      </c>
      <c r="N1531" s="8"/>
      <c r="O1531" s="33" t="str">
        <f>IFERROR(VLOOKUP($M1531,'Informations sur les produits'!$A$3:$H$10000,8,FALSE),"0")</f>
        <v>0</v>
      </c>
      <c r="P1531" s="33">
        <f t="shared" si="92"/>
        <v>0</v>
      </c>
      <c r="Q1531" s="31" t="str">
        <f t="shared" si="93"/>
        <v/>
      </c>
      <c r="R1531" s="32" t="str">
        <f>IFERROR(VLOOKUP($D1531,'Informations sur les produits'!$A$3:$B$15000,2,FALSE),"")</f>
        <v/>
      </c>
      <c r="V1531">
        <f t="shared" si="94"/>
        <v>0</v>
      </c>
      <c r="W1531">
        <f t="shared" si="95"/>
        <v>0</v>
      </c>
    </row>
    <row r="1532" spans="5:23" x14ac:dyDescent="0.25">
      <c r="E1532" s="4"/>
      <c r="F1532" s="4"/>
      <c r="G1532" s="33" t="str">
        <f>IFERROR(VLOOKUP($D1532,'Informations sur les produits'!$A$3:$H$10000,8,FALSE),"0")</f>
        <v>0</v>
      </c>
      <c r="K1532" s="4"/>
      <c r="L1532" s="33" t="str">
        <f>IFERROR(VLOOKUP($J1532,'Informations sur les produits'!$A$3:$H$10000,8,FALSE),"0")</f>
        <v>0</v>
      </c>
      <c r="N1532" s="8"/>
      <c r="O1532" s="33" t="str">
        <f>IFERROR(VLOOKUP($M1532,'Informations sur les produits'!$A$3:$H$10000,8,FALSE),"0")</f>
        <v>0</v>
      </c>
      <c r="P1532" s="33">
        <f t="shared" si="92"/>
        <v>0</v>
      </c>
      <c r="Q1532" s="31" t="str">
        <f t="shared" si="93"/>
        <v/>
      </c>
      <c r="R1532" s="32" t="str">
        <f>IFERROR(VLOOKUP($D1532,'Informations sur les produits'!$A$3:$B$15000,2,FALSE),"")</f>
        <v/>
      </c>
      <c r="V1532">
        <f t="shared" si="94"/>
        <v>0</v>
      </c>
      <c r="W1532">
        <f t="shared" si="95"/>
        <v>0</v>
      </c>
    </row>
    <row r="1533" spans="5:23" x14ac:dyDescent="0.25">
      <c r="E1533" s="4"/>
      <c r="F1533" s="4"/>
      <c r="G1533" s="33" t="str">
        <f>IFERROR(VLOOKUP($D1533,'Informations sur les produits'!$A$3:$H$10000,8,FALSE),"0")</f>
        <v>0</v>
      </c>
      <c r="K1533" s="4"/>
      <c r="L1533" s="33" t="str">
        <f>IFERROR(VLOOKUP($J1533,'Informations sur les produits'!$A$3:$H$10000,8,FALSE),"0")</f>
        <v>0</v>
      </c>
      <c r="N1533" s="8"/>
      <c r="O1533" s="33" t="str">
        <f>IFERROR(VLOOKUP($M1533,'Informations sur les produits'!$A$3:$H$10000,8,FALSE),"0")</f>
        <v>0</v>
      </c>
      <c r="P1533" s="33">
        <f t="shared" si="92"/>
        <v>0</v>
      </c>
      <c r="Q1533" s="31" t="str">
        <f t="shared" si="93"/>
        <v/>
      </c>
      <c r="R1533" s="32" t="str">
        <f>IFERROR(VLOOKUP($D1533,'Informations sur les produits'!$A$3:$B$15000,2,FALSE),"")</f>
        <v/>
      </c>
      <c r="V1533">
        <f t="shared" si="94"/>
        <v>0</v>
      </c>
      <c r="W1533">
        <f t="shared" si="95"/>
        <v>0</v>
      </c>
    </row>
    <row r="1534" spans="5:23" x14ac:dyDescent="0.25">
      <c r="E1534" s="4"/>
      <c r="F1534" s="4"/>
      <c r="G1534" s="33" t="str">
        <f>IFERROR(VLOOKUP($D1534,'Informations sur les produits'!$A$3:$H$10000,8,FALSE),"0")</f>
        <v>0</v>
      </c>
      <c r="K1534" s="4"/>
      <c r="L1534" s="33" t="str">
        <f>IFERROR(VLOOKUP($J1534,'Informations sur les produits'!$A$3:$H$10000,8,FALSE),"0")</f>
        <v>0</v>
      </c>
      <c r="N1534" s="8"/>
      <c r="O1534" s="33" t="str">
        <f>IFERROR(VLOOKUP($M1534,'Informations sur les produits'!$A$3:$H$10000,8,FALSE),"0")</f>
        <v>0</v>
      </c>
      <c r="P1534" s="33">
        <f t="shared" si="92"/>
        <v>0</v>
      </c>
      <c r="Q1534" s="31" t="str">
        <f t="shared" si="93"/>
        <v/>
      </c>
      <c r="R1534" s="32" t="str">
        <f>IFERROR(VLOOKUP($D1534,'Informations sur les produits'!$A$3:$B$15000,2,FALSE),"")</f>
        <v/>
      </c>
      <c r="V1534">
        <f t="shared" si="94"/>
        <v>0</v>
      </c>
      <c r="W1534">
        <f t="shared" si="95"/>
        <v>0</v>
      </c>
    </row>
    <row r="1535" spans="5:23" x14ac:dyDescent="0.25">
      <c r="E1535" s="4"/>
      <c r="F1535" s="4"/>
      <c r="G1535" s="33" t="str">
        <f>IFERROR(VLOOKUP($D1535,'Informations sur les produits'!$A$3:$H$10000,8,FALSE),"0")</f>
        <v>0</v>
      </c>
      <c r="K1535" s="4"/>
      <c r="L1535" s="33" t="str">
        <f>IFERROR(VLOOKUP($J1535,'Informations sur les produits'!$A$3:$H$10000,8,FALSE),"0")</f>
        <v>0</v>
      </c>
      <c r="N1535" s="8"/>
      <c r="O1535" s="33" t="str">
        <f>IFERROR(VLOOKUP($M1535,'Informations sur les produits'!$A$3:$H$10000,8,FALSE),"0")</f>
        <v>0</v>
      </c>
      <c r="P1535" s="33">
        <f t="shared" si="92"/>
        <v>0</v>
      </c>
      <c r="Q1535" s="31" t="str">
        <f t="shared" si="93"/>
        <v/>
      </c>
      <c r="R1535" s="32" t="str">
        <f>IFERROR(VLOOKUP($D1535,'Informations sur les produits'!$A$3:$B$15000,2,FALSE),"")</f>
        <v/>
      </c>
      <c r="V1535">
        <f t="shared" si="94"/>
        <v>0</v>
      </c>
      <c r="W1535">
        <f t="shared" si="95"/>
        <v>0</v>
      </c>
    </row>
    <row r="1536" spans="5:23" x14ac:dyDescent="0.25">
      <c r="E1536" s="4"/>
      <c r="F1536" s="4"/>
      <c r="G1536" s="33" t="str">
        <f>IFERROR(VLOOKUP($D1536,'Informations sur les produits'!$A$3:$H$10000,8,FALSE),"0")</f>
        <v>0</v>
      </c>
      <c r="K1536" s="4"/>
      <c r="L1536" s="33" t="str">
        <f>IFERROR(VLOOKUP($J1536,'Informations sur les produits'!$A$3:$H$10000,8,FALSE),"0")</f>
        <v>0</v>
      </c>
      <c r="N1536" s="8"/>
      <c r="O1536" s="33" t="str">
        <f>IFERROR(VLOOKUP($M1536,'Informations sur les produits'!$A$3:$H$10000,8,FALSE),"0")</f>
        <v>0</v>
      </c>
      <c r="P1536" s="33">
        <f t="shared" si="92"/>
        <v>0</v>
      </c>
      <c r="Q1536" s="31" t="str">
        <f t="shared" si="93"/>
        <v/>
      </c>
      <c r="R1536" s="32" t="str">
        <f>IFERROR(VLOOKUP($D1536,'Informations sur les produits'!$A$3:$B$15000,2,FALSE),"")</f>
        <v/>
      </c>
      <c r="V1536">
        <f t="shared" si="94"/>
        <v>0</v>
      </c>
      <c r="W1536">
        <f t="shared" si="95"/>
        <v>0</v>
      </c>
    </row>
    <row r="1537" spans="5:23" x14ac:dyDescent="0.25">
      <c r="E1537" s="4"/>
      <c r="F1537" s="4"/>
      <c r="G1537" s="33" t="str">
        <f>IFERROR(VLOOKUP($D1537,'Informations sur les produits'!$A$3:$H$10000,8,FALSE),"0")</f>
        <v>0</v>
      </c>
      <c r="K1537" s="4"/>
      <c r="L1537" s="33" t="str">
        <f>IFERROR(VLOOKUP($J1537,'Informations sur les produits'!$A$3:$H$10000,8,FALSE),"0")</f>
        <v>0</v>
      </c>
      <c r="N1537" s="8"/>
      <c r="O1537" s="33" t="str">
        <f>IFERROR(VLOOKUP($M1537,'Informations sur les produits'!$A$3:$H$10000,8,FALSE),"0")</f>
        <v>0</v>
      </c>
      <c r="P1537" s="33">
        <f t="shared" si="92"/>
        <v>0</v>
      </c>
      <c r="Q1537" s="31" t="str">
        <f t="shared" si="93"/>
        <v/>
      </c>
      <c r="R1537" s="32" t="str">
        <f>IFERROR(VLOOKUP($D1537,'Informations sur les produits'!$A$3:$B$15000,2,FALSE),"")</f>
        <v/>
      </c>
      <c r="V1537">
        <f t="shared" si="94"/>
        <v>0</v>
      </c>
      <c r="W1537">
        <f t="shared" si="95"/>
        <v>0</v>
      </c>
    </row>
    <row r="1538" spans="5:23" x14ac:dyDescent="0.25">
      <c r="E1538" s="4"/>
      <c r="F1538" s="4"/>
      <c r="G1538" s="33" t="str">
        <f>IFERROR(VLOOKUP($D1538,'Informations sur les produits'!$A$3:$H$10000,8,FALSE),"0")</f>
        <v>0</v>
      </c>
      <c r="K1538" s="4"/>
      <c r="L1538" s="33" t="str">
        <f>IFERROR(VLOOKUP($J1538,'Informations sur les produits'!$A$3:$H$10000,8,FALSE),"0")</f>
        <v>0</v>
      </c>
      <c r="N1538" s="8"/>
      <c r="O1538" s="33" t="str">
        <f>IFERROR(VLOOKUP($M1538,'Informations sur les produits'!$A$3:$H$10000,8,FALSE),"0")</f>
        <v>0</v>
      </c>
      <c r="P1538" s="33">
        <f t="shared" si="92"/>
        <v>0</v>
      </c>
      <c r="Q1538" s="31" t="str">
        <f t="shared" si="93"/>
        <v/>
      </c>
      <c r="R1538" s="32" t="str">
        <f>IFERROR(VLOOKUP($D1538,'Informations sur les produits'!$A$3:$B$15000,2,FALSE),"")</f>
        <v/>
      </c>
      <c r="V1538">
        <f t="shared" si="94"/>
        <v>0</v>
      </c>
      <c r="W1538">
        <f t="shared" si="95"/>
        <v>0</v>
      </c>
    </row>
    <row r="1539" spans="5:23" x14ac:dyDescent="0.25">
      <c r="E1539" s="4"/>
      <c r="F1539" s="4"/>
      <c r="G1539" s="33" t="str">
        <f>IFERROR(VLOOKUP($D1539,'Informations sur les produits'!$A$3:$H$10000,8,FALSE),"0")</f>
        <v>0</v>
      </c>
      <c r="K1539" s="4"/>
      <c r="L1539" s="33" t="str">
        <f>IFERROR(VLOOKUP($J1539,'Informations sur les produits'!$A$3:$H$10000,8,FALSE),"0")</f>
        <v>0</v>
      </c>
      <c r="N1539" s="8"/>
      <c r="O1539" s="33" t="str">
        <f>IFERROR(VLOOKUP($M1539,'Informations sur les produits'!$A$3:$H$10000,8,FALSE),"0")</f>
        <v>0</v>
      </c>
      <c r="P1539" s="33">
        <f t="shared" si="92"/>
        <v>0</v>
      </c>
      <c r="Q1539" s="31" t="str">
        <f t="shared" si="93"/>
        <v/>
      </c>
      <c r="R1539" s="32" t="str">
        <f>IFERROR(VLOOKUP($D1539,'Informations sur les produits'!$A$3:$B$15000,2,FALSE),"")</f>
        <v/>
      </c>
      <c r="V1539">
        <f t="shared" si="94"/>
        <v>0</v>
      </c>
      <c r="W1539">
        <f t="shared" si="95"/>
        <v>0</v>
      </c>
    </row>
    <row r="1540" spans="5:23" x14ac:dyDescent="0.25">
      <c r="E1540" s="4"/>
      <c r="F1540" s="4"/>
      <c r="G1540" s="33" t="str">
        <f>IFERROR(VLOOKUP($D1540,'Informations sur les produits'!$A$3:$H$10000,8,FALSE),"0")</f>
        <v>0</v>
      </c>
      <c r="K1540" s="4"/>
      <c r="L1540" s="33" t="str">
        <f>IFERROR(VLOOKUP($J1540,'Informations sur les produits'!$A$3:$H$10000,8,FALSE),"0")</f>
        <v>0</v>
      </c>
      <c r="N1540" s="8"/>
      <c r="O1540" s="33" t="str">
        <f>IFERROR(VLOOKUP($M1540,'Informations sur les produits'!$A$3:$H$10000,8,FALSE),"0")</f>
        <v>0</v>
      </c>
      <c r="P1540" s="33">
        <f t="shared" ref="P1540:P1603" si="96">IFERROR((($E1540-$F1540)*$G1540+$K1540*$L1540+$N1540*$O1540),"")</f>
        <v>0</v>
      </c>
      <c r="Q1540" s="31" t="str">
        <f t="shared" ref="Q1540:Q1603" si="97">IFERROR((((($E1540-$F1540)*$G1540+$K1540*$L1540+$N1540*$O1540)*1000)/(($E1540-$F1540)+$K1540+$N1540)),"")</f>
        <v/>
      </c>
      <c r="R1540" s="32" t="str">
        <f>IFERROR(VLOOKUP($D1540,'Informations sur les produits'!$A$3:$B$15000,2,FALSE),"")</f>
        <v/>
      </c>
      <c r="V1540">
        <f t="shared" ref="V1540:V1603" si="98">IFERROR(P1540*1000,"")</f>
        <v>0</v>
      </c>
      <c r="W1540">
        <f t="shared" ref="W1540:W1603" si="99">IFERROR(($E1540-$F1540)+$K1540+$N1540,"")</f>
        <v>0</v>
      </c>
    </row>
    <row r="1541" spans="5:23" x14ac:dyDescent="0.25">
      <c r="E1541" s="4"/>
      <c r="F1541" s="4"/>
      <c r="G1541" s="33" t="str">
        <f>IFERROR(VLOOKUP($D1541,'Informations sur les produits'!$A$3:$H$10000,8,FALSE),"0")</f>
        <v>0</v>
      </c>
      <c r="K1541" s="4"/>
      <c r="L1541" s="33" t="str">
        <f>IFERROR(VLOOKUP($J1541,'Informations sur les produits'!$A$3:$H$10000,8,FALSE),"0")</f>
        <v>0</v>
      </c>
      <c r="N1541" s="8"/>
      <c r="O1541" s="33" t="str">
        <f>IFERROR(VLOOKUP($M1541,'Informations sur les produits'!$A$3:$H$10000,8,FALSE),"0")</f>
        <v>0</v>
      </c>
      <c r="P1541" s="33">
        <f t="shared" si="96"/>
        <v>0</v>
      </c>
      <c r="Q1541" s="31" t="str">
        <f t="shared" si="97"/>
        <v/>
      </c>
      <c r="R1541" s="32" t="str">
        <f>IFERROR(VLOOKUP($D1541,'Informations sur les produits'!$A$3:$B$15000,2,FALSE),"")</f>
        <v/>
      </c>
      <c r="V1541">
        <f t="shared" si="98"/>
        <v>0</v>
      </c>
      <c r="W1541">
        <f t="shared" si="99"/>
        <v>0</v>
      </c>
    </row>
    <row r="1542" spans="5:23" x14ac:dyDescent="0.25">
      <c r="E1542" s="4"/>
      <c r="F1542" s="4"/>
      <c r="G1542" s="33" t="str">
        <f>IFERROR(VLOOKUP($D1542,'Informations sur les produits'!$A$3:$H$10000,8,FALSE),"0")</f>
        <v>0</v>
      </c>
      <c r="K1542" s="4"/>
      <c r="L1542" s="33" t="str">
        <f>IFERROR(VLOOKUP($J1542,'Informations sur les produits'!$A$3:$H$10000,8,FALSE),"0")</f>
        <v>0</v>
      </c>
      <c r="N1542" s="8"/>
      <c r="O1542" s="33" t="str">
        <f>IFERROR(VLOOKUP($M1542,'Informations sur les produits'!$A$3:$H$10000,8,FALSE),"0")</f>
        <v>0</v>
      </c>
      <c r="P1542" s="33">
        <f t="shared" si="96"/>
        <v>0</v>
      </c>
      <c r="Q1542" s="31" t="str">
        <f t="shared" si="97"/>
        <v/>
      </c>
      <c r="R1542" s="32" t="str">
        <f>IFERROR(VLOOKUP($D1542,'Informations sur les produits'!$A$3:$B$15000,2,FALSE),"")</f>
        <v/>
      </c>
      <c r="V1542">
        <f t="shared" si="98"/>
        <v>0</v>
      </c>
      <c r="W1542">
        <f t="shared" si="99"/>
        <v>0</v>
      </c>
    </row>
    <row r="1543" spans="5:23" x14ac:dyDescent="0.25">
      <c r="E1543" s="4"/>
      <c r="F1543" s="4"/>
      <c r="G1543" s="33" t="str">
        <f>IFERROR(VLOOKUP($D1543,'Informations sur les produits'!$A$3:$H$10000,8,FALSE),"0")</f>
        <v>0</v>
      </c>
      <c r="K1543" s="4"/>
      <c r="L1543" s="33" t="str">
        <f>IFERROR(VLOOKUP($J1543,'Informations sur les produits'!$A$3:$H$10000,8,FALSE),"0")</f>
        <v>0</v>
      </c>
      <c r="N1543" s="8"/>
      <c r="O1543" s="33" t="str">
        <f>IFERROR(VLOOKUP($M1543,'Informations sur les produits'!$A$3:$H$10000,8,FALSE),"0")</f>
        <v>0</v>
      </c>
      <c r="P1543" s="33">
        <f t="shared" si="96"/>
        <v>0</v>
      </c>
      <c r="Q1543" s="31" t="str">
        <f t="shared" si="97"/>
        <v/>
      </c>
      <c r="R1543" s="32" t="str">
        <f>IFERROR(VLOOKUP($D1543,'Informations sur les produits'!$A$3:$B$15000,2,FALSE),"")</f>
        <v/>
      </c>
      <c r="V1543">
        <f t="shared" si="98"/>
        <v>0</v>
      </c>
      <c r="W1543">
        <f t="shared" si="99"/>
        <v>0</v>
      </c>
    </row>
    <row r="1544" spans="5:23" x14ac:dyDescent="0.25">
      <c r="E1544" s="4"/>
      <c r="F1544" s="4"/>
      <c r="G1544" s="33" t="str">
        <f>IFERROR(VLOOKUP($D1544,'Informations sur les produits'!$A$3:$H$10000,8,FALSE),"0")</f>
        <v>0</v>
      </c>
      <c r="K1544" s="4"/>
      <c r="L1544" s="33" t="str">
        <f>IFERROR(VLOOKUP($J1544,'Informations sur les produits'!$A$3:$H$10000,8,FALSE),"0")</f>
        <v>0</v>
      </c>
      <c r="N1544" s="8"/>
      <c r="O1544" s="33" t="str">
        <f>IFERROR(VLOOKUP($M1544,'Informations sur les produits'!$A$3:$H$10000,8,FALSE),"0")</f>
        <v>0</v>
      </c>
      <c r="P1544" s="33">
        <f t="shared" si="96"/>
        <v>0</v>
      </c>
      <c r="Q1544" s="31" t="str">
        <f t="shared" si="97"/>
        <v/>
      </c>
      <c r="R1544" s="32" t="str">
        <f>IFERROR(VLOOKUP($D1544,'Informations sur les produits'!$A$3:$B$15000,2,FALSE),"")</f>
        <v/>
      </c>
      <c r="V1544">
        <f t="shared" si="98"/>
        <v>0</v>
      </c>
      <c r="W1544">
        <f t="shared" si="99"/>
        <v>0</v>
      </c>
    </row>
    <row r="1545" spans="5:23" x14ac:dyDescent="0.25">
      <c r="E1545" s="4"/>
      <c r="F1545" s="4"/>
      <c r="G1545" s="33" t="str">
        <f>IFERROR(VLOOKUP($D1545,'Informations sur les produits'!$A$3:$H$10000,8,FALSE),"0")</f>
        <v>0</v>
      </c>
      <c r="K1545" s="4"/>
      <c r="L1545" s="33" t="str">
        <f>IFERROR(VLOOKUP($J1545,'Informations sur les produits'!$A$3:$H$10000,8,FALSE),"0")</f>
        <v>0</v>
      </c>
      <c r="N1545" s="8"/>
      <c r="O1545" s="33" t="str">
        <f>IFERROR(VLOOKUP($M1545,'Informations sur les produits'!$A$3:$H$10000,8,FALSE),"0")</f>
        <v>0</v>
      </c>
      <c r="P1545" s="33">
        <f t="shared" si="96"/>
        <v>0</v>
      </c>
      <c r="Q1545" s="31" t="str">
        <f t="shared" si="97"/>
        <v/>
      </c>
      <c r="R1545" s="32" t="str">
        <f>IFERROR(VLOOKUP($D1545,'Informations sur les produits'!$A$3:$B$15000,2,FALSE),"")</f>
        <v/>
      </c>
      <c r="V1545">
        <f t="shared" si="98"/>
        <v>0</v>
      </c>
      <c r="W1545">
        <f t="shared" si="99"/>
        <v>0</v>
      </c>
    </row>
    <row r="1546" spans="5:23" x14ac:dyDescent="0.25">
      <c r="E1546" s="4"/>
      <c r="F1546" s="4"/>
      <c r="G1546" s="33" t="str">
        <f>IFERROR(VLOOKUP($D1546,'Informations sur les produits'!$A$3:$H$10000,8,FALSE),"0")</f>
        <v>0</v>
      </c>
      <c r="K1546" s="4"/>
      <c r="L1546" s="33" t="str">
        <f>IFERROR(VLOOKUP($J1546,'Informations sur les produits'!$A$3:$H$10000,8,FALSE),"0")</f>
        <v>0</v>
      </c>
      <c r="N1546" s="8"/>
      <c r="O1546" s="33" t="str">
        <f>IFERROR(VLOOKUP($M1546,'Informations sur les produits'!$A$3:$H$10000,8,FALSE),"0")</f>
        <v>0</v>
      </c>
      <c r="P1546" s="33">
        <f t="shared" si="96"/>
        <v>0</v>
      </c>
      <c r="Q1546" s="31" t="str">
        <f t="shared" si="97"/>
        <v/>
      </c>
      <c r="R1546" s="32" t="str">
        <f>IFERROR(VLOOKUP($D1546,'Informations sur les produits'!$A$3:$B$15000,2,FALSE),"")</f>
        <v/>
      </c>
      <c r="V1546">
        <f t="shared" si="98"/>
        <v>0</v>
      </c>
      <c r="W1546">
        <f t="shared" si="99"/>
        <v>0</v>
      </c>
    </row>
    <row r="1547" spans="5:23" x14ac:dyDescent="0.25">
      <c r="E1547" s="4"/>
      <c r="F1547" s="4"/>
      <c r="G1547" s="33" t="str">
        <f>IFERROR(VLOOKUP($D1547,'Informations sur les produits'!$A$3:$H$10000,8,FALSE),"0")</f>
        <v>0</v>
      </c>
      <c r="K1547" s="4"/>
      <c r="L1547" s="33" t="str">
        <f>IFERROR(VLOOKUP($J1547,'Informations sur les produits'!$A$3:$H$10000,8,FALSE),"0")</f>
        <v>0</v>
      </c>
      <c r="N1547" s="8"/>
      <c r="O1547" s="33" t="str">
        <f>IFERROR(VLOOKUP($M1547,'Informations sur les produits'!$A$3:$H$10000,8,FALSE),"0")</f>
        <v>0</v>
      </c>
      <c r="P1547" s="33">
        <f t="shared" si="96"/>
        <v>0</v>
      </c>
      <c r="Q1547" s="31" t="str">
        <f t="shared" si="97"/>
        <v/>
      </c>
      <c r="R1547" s="32" t="str">
        <f>IFERROR(VLOOKUP($D1547,'Informations sur les produits'!$A$3:$B$15000,2,FALSE),"")</f>
        <v/>
      </c>
      <c r="V1547">
        <f t="shared" si="98"/>
        <v>0</v>
      </c>
      <c r="W1547">
        <f t="shared" si="99"/>
        <v>0</v>
      </c>
    </row>
    <row r="1548" spans="5:23" x14ac:dyDescent="0.25">
      <c r="E1548" s="4"/>
      <c r="F1548" s="4"/>
      <c r="G1548" s="33" t="str">
        <f>IFERROR(VLOOKUP($D1548,'Informations sur les produits'!$A$3:$H$10000,8,FALSE),"0")</f>
        <v>0</v>
      </c>
      <c r="K1548" s="4"/>
      <c r="L1548" s="33" t="str">
        <f>IFERROR(VLOOKUP($J1548,'Informations sur les produits'!$A$3:$H$10000,8,FALSE),"0")</f>
        <v>0</v>
      </c>
      <c r="N1548" s="8"/>
      <c r="O1548" s="33" t="str">
        <f>IFERROR(VLOOKUP($M1548,'Informations sur les produits'!$A$3:$H$10000,8,FALSE),"0")</f>
        <v>0</v>
      </c>
      <c r="P1548" s="33">
        <f t="shared" si="96"/>
        <v>0</v>
      </c>
      <c r="Q1548" s="31" t="str">
        <f t="shared" si="97"/>
        <v/>
      </c>
      <c r="R1548" s="32" t="str">
        <f>IFERROR(VLOOKUP($D1548,'Informations sur les produits'!$A$3:$B$15000,2,FALSE),"")</f>
        <v/>
      </c>
      <c r="V1548">
        <f t="shared" si="98"/>
        <v>0</v>
      </c>
      <c r="W1548">
        <f t="shared" si="99"/>
        <v>0</v>
      </c>
    </row>
    <row r="1549" spans="5:23" x14ac:dyDescent="0.25">
      <c r="E1549" s="4"/>
      <c r="F1549" s="4"/>
      <c r="G1549" s="33" t="str">
        <f>IFERROR(VLOOKUP($D1549,'Informations sur les produits'!$A$3:$H$10000,8,FALSE),"0")</f>
        <v>0</v>
      </c>
      <c r="K1549" s="4"/>
      <c r="L1549" s="33" t="str">
        <f>IFERROR(VLOOKUP($J1549,'Informations sur les produits'!$A$3:$H$10000,8,FALSE),"0")</f>
        <v>0</v>
      </c>
      <c r="N1549" s="8"/>
      <c r="O1549" s="33" t="str">
        <f>IFERROR(VLOOKUP($M1549,'Informations sur les produits'!$A$3:$H$10000,8,FALSE),"0")</f>
        <v>0</v>
      </c>
      <c r="P1549" s="33">
        <f t="shared" si="96"/>
        <v>0</v>
      </c>
      <c r="Q1549" s="31" t="str">
        <f t="shared" si="97"/>
        <v/>
      </c>
      <c r="R1549" s="32" t="str">
        <f>IFERROR(VLOOKUP($D1549,'Informations sur les produits'!$A$3:$B$15000,2,FALSE),"")</f>
        <v/>
      </c>
      <c r="V1549">
        <f t="shared" si="98"/>
        <v>0</v>
      </c>
      <c r="W1549">
        <f t="shared" si="99"/>
        <v>0</v>
      </c>
    </row>
    <row r="1550" spans="5:23" x14ac:dyDescent="0.25">
      <c r="E1550" s="4"/>
      <c r="F1550" s="4"/>
      <c r="G1550" s="33" t="str">
        <f>IFERROR(VLOOKUP($D1550,'Informations sur les produits'!$A$3:$H$10000,8,FALSE),"0")</f>
        <v>0</v>
      </c>
      <c r="K1550" s="4"/>
      <c r="L1550" s="33" t="str">
        <f>IFERROR(VLOOKUP($J1550,'Informations sur les produits'!$A$3:$H$10000,8,FALSE),"0")</f>
        <v>0</v>
      </c>
      <c r="N1550" s="8"/>
      <c r="O1550" s="33" t="str">
        <f>IFERROR(VLOOKUP($M1550,'Informations sur les produits'!$A$3:$H$10000,8,FALSE),"0")</f>
        <v>0</v>
      </c>
      <c r="P1550" s="33">
        <f t="shared" si="96"/>
        <v>0</v>
      </c>
      <c r="Q1550" s="31" t="str">
        <f t="shared" si="97"/>
        <v/>
      </c>
      <c r="R1550" s="32" t="str">
        <f>IFERROR(VLOOKUP($D1550,'Informations sur les produits'!$A$3:$B$15000,2,FALSE),"")</f>
        <v/>
      </c>
      <c r="V1550">
        <f t="shared" si="98"/>
        <v>0</v>
      </c>
      <c r="W1550">
        <f t="shared" si="99"/>
        <v>0</v>
      </c>
    </row>
    <row r="1551" spans="5:23" x14ac:dyDescent="0.25">
      <c r="E1551" s="4"/>
      <c r="F1551" s="4"/>
      <c r="G1551" s="33" t="str">
        <f>IFERROR(VLOOKUP($D1551,'Informations sur les produits'!$A$3:$H$10000,8,FALSE),"0")</f>
        <v>0</v>
      </c>
      <c r="K1551" s="4"/>
      <c r="L1551" s="33" t="str">
        <f>IFERROR(VLOOKUP($J1551,'Informations sur les produits'!$A$3:$H$10000,8,FALSE),"0")</f>
        <v>0</v>
      </c>
      <c r="N1551" s="8"/>
      <c r="O1551" s="33" t="str">
        <f>IFERROR(VLOOKUP($M1551,'Informations sur les produits'!$A$3:$H$10000,8,FALSE),"0")</f>
        <v>0</v>
      </c>
      <c r="P1551" s="33">
        <f t="shared" si="96"/>
        <v>0</v>
      </c>
      <c r="Q1551" s="31" t="str">
        <f t="shared" si="97"/>
        <v/>
      </c>
      <c r="R1551" s="32" t="str">
        <f>IFERROR(VLOOKUP($D1551,'Informations sur les produits'!$A$3:$B$15000,2,FALSE),"")</f>
        <v/>
      </c>
      <c r="V1551">
        <f t="shared" si="98"/>
        <v>0</v>
      </c>
      <c r="W1551">
        <f t="shared" si="99"/>
        <v>0</v>
      </c>
    </row>
    <row r="1552" spans="5:23" x14ac:dyDescent="0.25">
      <c r="E1552" s="4"/>
      <c r="F1552" s="4"/>
      <c r="G1552" s="33" t="str">
        <f>IFERROR(VLOOKUP($D1552,'Informations sur les produits'!$A$3:$H$10000,8,FALSE),"0")</f>
        <v>0</v>
      </c>
      <c r="K1552" s="4"/>
      <c r="L1552" s="33" t="str">
        <f>IFERROR(VLOOKUP($J1552,'Informations sur les produits'!$A$3:$H$10000,8,FALSE),"0")</f>
        <v>0</v>
      </c>
      <c r="N1552" s="8"/>
      <c r="O1552" s="33" t="str">
        <f>IFERROR(VLOOKUP($M1552,'Informations sur les produits'!$A$3:$H$10000,8,FALSE),"0")</f>
        <v>0</v>
      </c>
      <c r="P1552" s="33">
        <f t="shared" si="96"/>
        <v>0</v>
      </c>
      <c r="Q1552" s="31" t="str">
        <f t="shared" si="97"/>
        <v/>
      </c>
      <c r="R1552" s="32" t="str">
        <f>IFERROR(VLOOKUP($D1552,'Informations sur les produits'!$A$3:$B$15000,2,FALSE),"")</f>
        <v/>
      </c>
      <c r="V1552">
        <f t="shared" si="98"/>
        <v>0</v>
      </c>
      <c r="W1552">
        <f t="shared" si="99"/>
        <v>0</v>
      </c>
    </row>
    <row r="1553" spans="5:23" x14ac:dyDescent="0.25">
      <c r="E1553" s="4"/>
      <c r="F1553" s="4"/>
      <c r="G1553" s="33" t="str">
        <f>IFERROR(VLOOKUP($D1553,'Informations sur les produits'!$A$3:$H$10000,8,FALSE),"0")</f>
        <v>0</v>
      </c>
      <c r="K1553" s="4"/>
      <c r="L1553" s="33" t="str">
        <f>IFERROR(VLOOKUP($J1553,'Informations sur les produits'!$A$3:$H$10000,8,FALSE),"0")</f>
        <v>0</v>
      </c>
      <c r="N1553" s="8"/>
      <c r="O1553" s="33" t="str">
        <f>IFERROR(VLOOKUP($M1553,'Informations sur les produits'!$A$3:$H$10000,8,FALSE),"0")</f>
        <v>0</v>
      </c>
      <c r="P1553" s="33">
        <f t="shared" si="96"/>
        <v>0</v>
      </c>
      <c r="Q1553" s="31" t="str">
        <f t="shared" si="97"/>
        <v/>
      </c>
      <c r="R1553" s="32" t="str">
        <f>IFERROR(VLOOKUP($D1553,'Informations sur les produits'!$A$3:$B$15000,2,FALSE),"")</f>
        <v/>
      </c>
      <c r="V1553">
        <f t="shared" si="98"/>
        <v>0</v>
      </c>
      <c r="W1553">
        <f t="shared" si="99"/>
        <v>0</v>
      </c>
    </row>
    <row r="1554" spans="5:23" x14ac:dyDescent="0.25">
      <c r="E1554" s="4"/>
      <c r="F1554" s="4"/>
      <c r="G1554" s="33" t="str">
        <f>IFERROR(VLOOKUP($D1554,'Informations sur les produits'!$A$3:$H$10000,8,FALSE),"0")</f>
        <v>0</v>
      </c>
      <c r="K1554" s="4"/>
      <c r="L1554" s="33" t="str">
        <f>IFERROR(VLOOKUP($J1554,'Informations sur les produits'!$A$3:$H$10000,8,FALSE),"0")</f>
        <v>0</v>
      </c>
      <c r="N1554" s="8"/>
      <c r="O1554" s="33" t="str">
        <f>IFERROR(VLOOKUP($M1554,'Informations sur les produits'!$A$3:$H$10000,8,FALSE),"0")</f>
        <v>0</v>
      </c>
      <c r="P1554" s="33">
        <f t="shared" si="96"/>
        <v>0</v>
      </c>
      <c r="Q1554" s="31" t="str">
        <f t="shared" si="97"/>
        <v/>
      </c>
      <c r="R1554" s="32" t="str">
        <f>IFERROR(VLOOKUP($D1554,'Informations sur les produits'!$A$3:$B$15000,2,FALSE),"")</f>
        <v/>
      </c>
      <c r="V1554">
        <f t="shared" si="98"/>
        <v>0</v>
      </c>
      <c r="W1554">
        <f t="shared" si="99"/>
        <v>0</v>
      </c>
    </row>
    <row r="1555" spans="5:23" x14ac:dyDescent="0.25">
      <c r="E1555" s="4"/>
      <c r="F1555" s="4"/>
      <c r="G1555" s="33" t="str">
        <f>IFERROR(VLOOKUP($D1555,'Informations sur les produits'!$A$3:$H$10000,8,FALSE),"0")</f>
        <v>0</v>
      </c>
      <c r="K1555" s="4"/>
      <c r="L1555" s="33" t="str">
        <f>IFERROR(VLOOKUP($J1555,'Informations sur les produits'!$A$3:$H$10000,8,FALSE),"0")</f>
        <v>0</v>
      </c>
      <c r="N1555" s="8"/>
      <c r="O1555" s="33" t="str">
        <f>IFERROR(VLOOKUP($M1555,'Informations sur les produits'!$A$3:$H$10000,8,FALSE),"0")</f>
        <v>0</v>
      </c>
      <c r="P1555" s="33">
        <f t="shared" si="96"/>
        <v>0</v>
      </c>
      <c r="Q1555" s="31" t="str">
        <f t="shared" si="97"/>
        <v/>
      </c>
      <c r="R1555" s="32" t="str">
        <f>IFERROR(VLOOKUP($D1555,'Informations sur les produits'!$A$3:$B$15000,2,FALSE),"")</f>
        <v/>
      </c>
      <c r="V1555">
        <f t="shared" si="98"/>
        <v>0</v>
      </c>
      <c r="W1555">
        <f t="shared" si="99"/>
        <v>0</v>
      </c>
    </row>
    <row r="1556" spans="5:23" x14ac:dyDescent="0.25">
      <c r="E1556" s="4"/>
      <c r="F1556" s="4"/>
      <c r="G1556" s="33" t="str">
        <f>IFERROR(VLOOKUP($D1556,'Informations sur les produits'!$A$3:$H$10000,8,FALSE),"0")</f>
        <v>0</v>
      </c>
      <c r="K1556" s="4"/>
      <c r="L1556" s="33" t="str">
        <f>IFERROR(VLOOKUP($J1556,'Informations sur les produits'!$A$3:$H$10000,8,FALSE),"0")</f>
        <v>0</v>
      </c>
      <c r="N1556" s="8"/>
      <c r="O1556" s="33" t="str">
        <f>IFERROR(VLOOKUP($M1556,'Informations sur les produits'!$A$3:$H$10000,8,FALSE),"0")</f>
        <v>0</v>
      </c>
      <c r="P1556" s="33">
        <f t="shared" si="96"/>
        <v>0</v>
      </c>
      <c r="Q1556" s="31" t="str">
        <f t="shared" si="97"/>
        <v/>
      </c>
      <c r="R1556" s="32" t="str">
        <f>IFERROR(VLOOKUP($D1556,'Informations sur les produits'!$A$3:$B$15000,2,FALSE),"")</f>
        <v/>
      </c>
      <c r="V1556">
        <f t="shared" si="98"/>
        <v>0</v>
      </c>
      <c r="W1556">
        <f t="shared" si="99"/>
        <v>0</v>
      </c>
    </row>
    <row r="1557" spans="5:23" x14ac:dyDescent="0.25">
      <c r="E1557" s="4"/>
      <c r="F1557" s="4"/>
      <c r="G1557" s="33" t="str">
        <f>IFERROR(VLOOKUP($D1557,'Informations sur les produits'!$A$3:$H$10000,8,FALSE),"0")</f>
        <v>0</v>
      </c>
      <c r="K1557" s="4"/>
      <c r="L1557" s="33" t="str">
        <f>IFERROR(VLOOKUP($J1557,'Informations sur les produits'!$A$3:$H$10000,8,FALSE),"0")</f>
        <v>0</v>
      </c>
      <c r="N1557" s="8"/>
      <c r="O1557" s="33" t="str">
        <f>IFERROR(VLOOKUP($M1557,'Informations sur les produits'!$A$3:$H$10000,8,FALSE),"0")</f>
        <v>0</v>
      </c>
      <c r="P1557" s="33">
        <f t="shared" si="96"/>
        <v>0</v>
      </c>
      <c r="Q1557" s="31" t="str">
        <f t="shared" si="97"/>
        <v/>
      </c>
      <c r="R1557" s="32" t="str">
        <f>IFERROR(VLOOKUP($D1557,'Informations sur les produits'!$A$3:$B$15000,2,FALSE),"")</f>
        <v/>
      </c>
      <c r="V1557">
        <f t="shared" si="98"/>
        <v>0</v>
      </c>
      <c r="W1557">
        <f t="shared" si="99"/>
        <v>0</v>
      </c>
    </row>
    <row r="1558" spans="5:23" x14ac:dyDescent="0.25">
      <c r="E1558" s="4"/>
      <c r="F1558" s="4"/>
      <c r="G1558" s="33" t="str">
        <f>IFERROR(VLOOKUP($D1558,'Informations sur les produits'!$A$3:$H$10000,8,FALSE),"0")</f>
        <v>0</v>
      </c>
      <c r="K1558" s="4"/>
      <c r="L1558" s="33" t="str">
        <f>IFERROR(VLOOKUP($J1558,'Informations sur les produits'!$A$3:$H$10000,8,FALSE),"0")</f>
        <v>0</v>
      </c>
      <c r="N1558" s="8"/>
      <c r="O1558" s="33" t="str">
        <f>IFERROR(VLOOKUP($M1558,'Informations sur les produits'!$A$3:$H$10000,8,FALSE),"0")</f>
        <v>0</v>
      </c>
      <c r="P1558" s="33">
        <f t="shared" si="96"/>
        <v>0</v>
      </c>
      <c r="Q1558" s="31" t="str">
        <f t="shared" si="97"/>
        <v/>
      </c>
      <c r="R1558" s="32" t="str">
        <f>IFERROR(VLOOKUP($D1558,'Informations sur les produits'!$A$3:$B$15000,2,FALSE),"")</f>
        <v/>
      </c>
      <c r="V1558">
        <f t="shared" si="98"/>
        <v>0</v>
      </c>
      <c r="W1558">
        <f t="shared" si="99"/>
        <v>0</v>
      </c>
    </row>
    <row r="1559" spans="5:23" x14ac:dyDescent="0.25">
      <c r="E1559" s="4"/>
      <c r="F1559" s="4"/>
      <c r="G1559" s="33" t="str">
        <f>IFERROR(VLOOKUP($D1559,'Informations sur les produits'!$A$3:$H$10000,8,FALSE),"0")</f>
        <v>0</v>
      </c>
      <c r="K1559" s="4"/>
      <c r="L1559" s="33" t="str">
        <f>IFERROR(VLOOKUP($J1559,'Informations sur les produits'!$A$3:$H$10000,8,FALSE),"0")</f>
        <v>0</v>
      </c>
      <c r="N1559" s="8"/>
      <c r="O1559" s="33" t="str">
        <f>IFERROR(VLOOKUP($M1559,'Informations sur les produits'!$A$3:$H$10000,8,FALSE),"0")</f>
        <v>0</v>
      </c>
      <c r="P1559" s="33">
        <f t="shared" si="96"/>
        <v>0</v>
      </c>
      <c r="Q1559" s="31" t="str">
        <f t="shared" si="97"/>
        <v/>
      </c>
      <c r="R1559" s="32" t="str">
        <f>IFERROR(VLOOKUP($D1559,'Informations sur les produits'!$A$3:$B$15000,2,FALSE),"")</f>
        <v/>
      </c>
      <c r="V1559">
        <f t="shared" si="98"/>
        <v>0</v>
      </c>
      <c r="W1559">
        <f t="shared" si="99"/>
        <v>0</v>
      </c>
    </row>
    <row r="1560" spans="5:23" x14ac:dyDescent="0.25">
      <c r="E1560" s="4"/>
      <c r="F1560" s="4"/>
      <c r="G1560" s="33" t="str">
        <f>IFERROR(VLOOKUP($D1560,'Informations sur les produits'!$A$3:$H$10000,8,FALSE),"0")</f>
        <v>0</v>
      </c>
      <c r="K1560" s="4"/>
      <c r="L1560" s="33" t="str">
        <f>IFERROR(VLOOKUP($J1560,'Informations sur les produits'!$A$3:$H$10000,8,FALSE),"0")</f>
        <v>0</v>
      </c>
      <c r="N1560" s="8"/>
      <c r="O1560" s="33" t="str">
        <f>IFERROR(VLOOKUP($M1560,'Informations sur les produits'!$A$3:$H$10000,8,FALSE),"0")</f>
        <v>0</v>
      </c>
      <c r="P1560" s="33">
        <f t="shared" si="96"/>
        <v>0</v>
      </c>
      <c r="Q1560" s="31" t="str">
        <f t="shared" si="97"/>
        <v/>
      </c>
      <c r="R1560" s="32" t="str">
        <f>IFERROR(VLOOKUP($D1560,'Informations sur les produits'!$A$3:$B$15000,2,FALSE),"")</f>
        <v/>
      </c>
      <c r="V1560">
        <f t="shared" si="98"/>
        <v>0</v>
      </c>
      <c r="W1560">
        <f t="shared" si="99"/>
        <v>0</v>
      </c>
    </row>
    <row r="1561" spans="5:23" x14ac:dyDescent="0.25">
      <c r="E1561" s="4"/>
      <c r="F1561" s="4"/>
      <c r="G1561" s="33" t="str">
        <f>IFERROR(VLOOKUP($D1561,'Informations sur les produits'!$A$3:$H$10000,8,FALSE),"0")</f>
        <v>0</v>
      </c>
      <c r="K1561" s="4"/>
      <c r="L1561" s="33" t="str">
        <f>IFERROR(VLOOKUP($J1561,'Informations sur les produits'!$A$3:$H$10000,8,FALSE),"0")</f>
        <v>0</v>
      </c>
      <c r="N1561" s="8"/>
      <c r="O1561" s="33" t="str">
        <f>IFERROR(VLOOKUP($M1561,'Informations sur les produits'!$A$3:$H$10000,8,FALSE),"0")</f>
        <v>0</v>
      </c>
      <c r="P1561" s="33">
        <f t="shared" si="96"/>
        <v>0</v>
      </c>
      <c r="Q1561" s="31" t="str">
        <f t="shared" si="97"/>
        <v/>
      </c>
      <c r="R1561" s="32" t="str">
        <f>IFERROR(VLOOKUP($D1561,'Informations sur les produits'!$A$3:$B$15000,2,FALSE),"")</f>
        <v/>
      </c>
      <c r="V1561">
        <f t="shared" si="98"/>
        <v>0</v>
      </c>
      <c r="W1561">
        <f t="shared" si="99"/>
        <v>0</v>
      </c>
    </row>
    <row r="1562" spans="5:23" x14ac:dyDescent="0.25">
      <c r="E1562" s="4"/>
      <c r="F1562" s="4"/>
      <c r="G1562" s="33" t="str">
        <f>IFERROR(VLOOKUP($D1562,'Informations sur les produits'!$A$3:$H$10000,8,FALSE),"0")</f>
        <v>0</v>
      </c>
      <c r="K1562" s="4"/>
      <c r="L1562" s="33" t="str">
        <f>IFERROR(VLOOKUP($J1562,'Informations sur les produits'!$A$3:$H$10000,8,FALSE),"0")</f>
        <v>0</v>
      </c>
      <c r="N1562" s="8"/>
      <c r="O1562" s="33" t="str">
        <f>IFERROR(VLOOKUP($M1562,'Informations sur les produits'!$A$3:$H$10000,8,FALSE),"0")</f>
        <v>0</v>
      </c>
      <c r="P1562" s="33">
        <f t="shared" si="96"/>
        <v>0</v>
      </c>
      <c r="Q1562" s="31" t="str">
        <f t="shared" si="97"/>
        <v/>
      </c>
      <c r="R1562" s="32" t="str">
        <f>IFERROR(VLOOKUP($D1562,'Informations sur les produits'!$A$3:$B$15000,2,FALSE),"")</f>
        <v/>
      </c>
      <c r="V1562">
        <f t="shared" si="98"/>
        <v>0</v>
      </c>
      <c r="W1562">
        <f t="shared" si="99"/>
        <v>0</v>
      </c>
    </row>
    <row r="1563" spans="5:23" x14ac:dyDescent="0.25">
      <c r="E1563" s="4"/>
      <c r="F1563" s="4"/>
      <c r="G1563" s="33" t="str">
        <f>IFERROR(VLOOKUP($D1563,'Informations sur les produits'!$A$3:$H$10000,8,FALSE),"0")</f>
        <v>0</v>
      </c>
      <c r="K1563" s="4"/>
      <c r="L1563" s="33" t="str">
        <f>IFERROR(VLOOKUP($J1563,'Informations sur les produits'!$A$3:$H$10000,8,FALSE),"0")</f>
        <v>0</v>
      </c>
      <c r="N1563" s="8"/>
      <c r="O1563" s="33" t="str">
        <f>IFERROR(VLOOKUP($M1563,'Informations sur les produits'!$A$3:$H$10000,8,FALSE),"0")</f>
        <v>0</v>
      </c>
      <c r="P1563" s="33">
        <f t="shared" si="96"/>
        <v>0</v>
      </c>
      <c r="Q1563" s="31" t="str">
        <f t="shared" si="97"/>
        <v/>
      </c>
      <c r="R1563" s="32" t="str">
        <f>IFERROR(VLOOKUP($D1563,'Informations sur les produits'!$A$3:$B$15000,2,FALSE),"")</f>
        <v/>
      </c>
      <c r="V1563">
        <f t="shared" si="98"/>
        <v>0</v>
      </c>
      <c r="W1563">
        <f t="shared" si="99"/>
        <v>0</v>
      </c>
    </row>
    <row r="1564" spans="5:23" x14ac:dyDescent="0.25">
      <c r="E1564" s="4"/>
      <c r="F1564" s="4"/>
      <c r="G1564" s="33" t="str">
        <f>IFERROR(VLOOKUP($D1564,'Informations sur les produits'!$A$3:$H$10000,8,FALSE),"0")</f>
        <v>0</v>
      </c>
      <c r="K1564" s="4"/>
      <c r="L1564" s="33" t="str">
        <f>IFERROR(VLOOKUP($J1564,'Informations sur les produits'!$A$3:$H$10000,8,FALSE),"0")</f>
        <v>0</v>
      </c>
      <c r="N1564" s="8"/>
      <c r="O1564" s="33" t="str">
        <f>IFERROR(VLOOKUP($M1564,'Informations sur les produits'!$A$3:$H$10000,8,FALSE),"0")</f>
        <v>0</v>
      </c>
      <c r="P1564" s="33">
        <f t="shared" si="96"/>
        <v>0</v>
      </c>
      <c r="Q1564" s="31" t="str">
        <f t="shared" si="97"/>
        <v/>
      </c>
      <c r="R1564" s="32" t="str">
        <f>IFERROR(VLOOKUP($D1564,'Informations sur les produits'!$A$3:$B$15000,2,FALSE),"")</f>
        <v/>
      </c>
      <c r="V1564">
        <f t="shared" si="98"/>
        <v>0</v>
      </c>
      <c r="W1564">
        <f t="shared" si="99"/>
        <v>0</v>
      </c>
    </row>
    <row r="1565" spans="5:23" x14ac:dyDescent="0.25">
      <c r="E1565" s="4"/>
      <c r="F1565" s="4"/>
      <c r="G1565" s="33" t="str">
        <f>IFERROR(VLOOKUP($D1565,'Informations sur les produits'!$A$3:$H$10000,8,FALSE),"0")</f>
        <v>0</v>
      </c>
      <c r="K1565" s="4"/>
      <c r="L1565" s="33" t="str">
        <f>IFERROR(VLOOKUP($J1565,'Informations sur les produits'!$A$3:$H$10000,8,FALSE),"0")</f>
        <v>0</v>
      </c>
      <c r="N1565" s="8"/>
      <c r="O1565" s="33" t="str">
        <f>IFERROR(VLOOKUP($M1565,'Informations sur les produits'!$A$3:$H$10000,8,FALSE),"0")</f>
        <v>0</v>
      </c>
      <c r="P1565" s="33">
        <f t="shared" si="96"/>
        <v>0</v>
      </c>
      <c r="Q1565" s="31" t="str">
        <f t="shared" si="97"/>
        <v/>
      </c>
      <c r="R1565" s="32" t="str">
        <f>IFERROR(VLOOKUP($D1565,'Informations sur les produits'!$A$3:$B$15000,2,FALSE),"")</f>
        <v/>
      </c>
      <c r="V1565">
        <f t="shared" si="98"/>
        <v>0</v>
      </c>
      <c r="W1565">
        <f t="shared" si="99"/>
        <v>0</v>
      </c>
    </row>
    <row r="1566" spans="5:23" x14ac:dyDescent="0.25">
      <c r="E1566" s="4"/>
      <c r="F1566" s="4"/>
      <c r="G1566" s="33" t="str">
        <f>IFERROR(VLOOKUP($D1566,'Informations sur les produits'!$A$3:$H$10000,8,FALSE),"0")</f>
        <v>0</v>
      </c>
      <c r="K1566" s="4"/>
      <c r="L1566" s="33" t="str">
        <f>IFERROR(VLOOKUP($J1566,'Informations sur les produits'!$A$3:$H$10000,8,FALSE),"0")</f>
        <v>0</v>
      </c>
      <c r="N1566" s="8"/>
      <c r="O1566" s="33" t="str">
        <f>IFERROR(VLOOKUP($M1566,'Informations sur les produits'!$A$3:$H$10000,8,FALSE),"0")</f>
        <v>0</v>
      </c>
      <c r="P1566" s="33">
        <f t="shared" si="96"/>
        <v>0</v>
      </c>
      <c r="Q1566" s="31" t="str">
        <f t="shared" si="97"/>
        <v/>
      </c>
      <c r="R1566" s="32" t="str">
        <f>IFERROR(VLOOKUP($D1566,'Informations sur les produits'!$A$3:$B$15000,2,FALSE),"")</f>
        <v/>
      </c>
      <c r="V1566">
        <f t="shared" si="98"/>
        <v>0</v>
      </c>
      <c r="W1566">
        <f t="shared" si="99"/>
        <v>0</v>
      </c>
    </row>
    <row r="1567" spans="5:23" x14ac:dyDescent="0.25">
      <c r="E1567" s="4"/>
      <c r="F1567" s="4"/>
      <c r="G1567" s="33" t="str">
        <f>IFERROR(VLOOKUP($D1567,'Informations sur les produits'!$A$3:$H$10000,8,FALSE),"0")</f>
        <v>0</v>
      </c>
      <c r="K1567" s="4"/>
      <c r="L1567" s="33" t="str">
        <f>IFERROR(VLOOKUP($J1567,'Informations sur les produits'!$A$3:$H$10000,8,FALSE),"0")</f>
        <v>0</v>
      </c>
      <c r="N1567" s="8"/>
      <c r="O1567" s="33" t="str">
        <f>IFERROR(VLOOKUP($M1567,'Informations sur les produits'!$A$3:$H$10000,8,FALSE),"0")</f>
        <v>0</v>
      </c>
      <c r="P1567" s="33">
        <f t="shared" si="96"/>
        <v>0</v>
      </c>
      <c r="Q1567" s="31" t="str">
        <f t="shared" si="97"/>
        <v/>
      </c>
      <c r="R1567" s="32" t="str">
        <f>IFERROR(VLOOKUP($D1567,'Informations sur les produits'!$A$3:$B$15000,2,FALSE),"")</f>
        <v/>
      </c>
      <c r="V1567">
        <f t="shared" si="98"/>
        <v>0</v>
      </c>
      <c r="W1567">
        <f t="shared" si="99"/>
        <v>0</v>
      </c>
    </row>
    <row r="1568" spans="5:23" x14ac:dyDescent="0.25">
      <c r="E1568" s="4"/>
      <c r="F1568" s="4"/>
      <c r="G1568" s="33" t="str">
        <f>IFERROR(VLOOKUP($D1568,'Informations sur les produits'!$A$3:$H$10000,8,FALSE),"0")</f>
        <v>0</v>
      </c>
      <c r="K1568" s="4"/>
      <c r="L1568" s="33" t="str">
        <f>IFERROR(VLOOKUP($J1568,'Informations sur les produits'!$A$3:$H$10000,8,FALSE),"0")</f>
        <v>0</v>
      </c>
      <c r="N1568" s="8"/>
      <c r="O1568" s="33" t="str">
        <f>IFERROR(VLOOKUP($M1568,'Informations sur les produits'!$A$3:$H$10000,8,FALSE),"0")</f>
        <v>0</v>
      </c>
      <c r="P1568" s="33">
        <f t="shared" si="96"/>
        <v>0</v>
      </c>
      <c r="Q1568" s="31" t="str">
        <f t="shared" si="97"/>
        <v/>
      </c>
      <c r="R1568" s="32" t="str">
        <f>IFERROR(VLOOKUP($D1568,'Informations sur les produits'!$A$3:$B$15000,2,FALSE),"")</f>
        <v/>
      </c>
      <c r="V1568">
        <f t="shared" si="98"/>
        <v>0</v>
      </c>
      <c r="W1568">
        <f t="shared" si="99"/>
        <v>0</v>
      </c>
    </row>
    <row r="1569" spans="5:23" x14ac:dyDescent="0.25">
      <c r="E1569" s="4"/>
      <c r="F1569" s="4"/>
      <c r="G1569" s="33" t="str">
        <f>IFERROR(VLOOKUP($D1569,'Informations sur les produits'!$A$3:$H$10000,8,FALSE),"0")</f>
        <v>0</v>
      </c>
      <c r="K1569" s="4"/>
      <c r="L1569" s="33" t="str">
        <f>IFERROR(VLOOKUP($J1569,'Informations sur les produits'!$A$3:$H$10000,8,FALSE),"0")</f>
        <v>0</v>
      </c>
      <c r="N1569" s="8"/>
      <c r="O1569" s="33" t="str">
        <f>IFERROR(VLOOKUP($M1569,'Informations sur les produits'!$A$3:$H$10000,8,FALSE),"0")</f>
        <v>0</v>
      </c>
      <c r="P1569" s="33">
        <f t="shared" si="96"/>
        <v>0</v>
      </c>
      <c r="Q1569" s="31" t="str">
        <f t="shared" si="97"/>
        <v/>
      </c>
      <c r="R1569" s="32" t="str">
        <f>IFERROR(VLOOKUP($D1569,'Informations sur les produits'!$A$3:$B$15000,2,FALSE),"")</f>
        <v/>
      </c>
      <c r="V1569">
        <f t="shared" si="98"/>
        <v>0</v>
      </c>
      <c r="W1569">
        <f t="shared" si="99"/>
        <v>0</v>
      </c>
    </row>
    <row r="1570" spans="5:23" x14ac:dyDescent="0.25">
      <c r="E1570" s="4"/>
      <c r="F1570" s="4"/>
      <c r="G1570" s="33" t="str">
        <f>IFERROR(VLOOKUP($D1570,'Informations sur les produits'!$A$3:$H$10000,8,FALSE),"0")</f>
        <v>0</v>
      </c>
      <c r="K1570" s="4"/>
      <c r="L1570" s="33" t="str">
        <f>IFERROR(VLOOKUP($J1570,'Informations sur les produits'!$A$3:$H$10000,8,FALSE),"0")</f>
        <v>0</v>
      </c>
      <c r="N1570" s="8"/>
      <c r="O1570" s="33" t="str">
        <f>IFERROR(VLOOKUP($M1570,'Informations sur les produits'!$A$3:$H$10000,8,FALSE),"0")</f>
        <v>0</v>
      </c>
      <c r="P1570" s="33">
        <f t="shared" si="96"/>
        <v>0</v>
      </c>
      <c r="Q1570" s="31" t="str">
        <f t="shared" si="97"/>
        <v/>
      </c>
      <c r="R1570" s="32" t="str">
        <f>IFERROR(VLOOKUP($D1570,'Informations sur les produits'!$A$3:$B$15000,2,FALSE),"")</f>
        <v/>
      </c>
      <c r="V1570">
        <f t="shared" si="98"/>
        <v>0</v>
      </c>
      <c r="W1570">
        <f t="shared" si="99"/>
        <v>0</v>
      </c>
    </row>
    <row r="1571" spans="5:23" x14ac:dyDescent="0.25">
      <c r="E1571" s="4"/>
      <c r="F1571" s="4"/>
      <c r="G1571" s="33" t="str">
        <f>IFERROR(VLOOKUP($D1571,'Informations sur les produits'!$A$3:$H$10000,8,FALSE),"0")</f>
        <v>0</v>
      </c>
      <c r="K1571" s="4"/>
      <c r="L1571" s="33" t="str">
        <f>IFERROR(VLOOKUP($J1571,'Informations sur les produits'!$A$3:$H$10000,8,FALSE),"0")</f>
        <v>0</v>
      </c>
      <c r="N1571" s="8"/>
      <c r="O1571" s="33" t="str">
        <f>IFERROR(VLOOKUP($M1571,'Informations sur les produits'!$A$3:$H$10000,8,FALSE),"0")</f>
        <v>0</v>
      </c>
      <c r="P1571" s="33">
        <f t="shared" si="96"/>
        <v>0</v>
      </c>
      <c r="Q1571" s="31" t="str">
        <f t="shared" si="97"/>
        <v/>
      </c>
      <c r="R1571" s="32" t="str">
        <f>IFERROR(VLOOKUP($D1571,'Informations sur les produits'!$A$3:$B$15000,2,FALSE),"")</f>
        <v/>
      </c>
      <c r="V1571">
        <f t="shared" si="98"/>
        <v>0</v>
      </c>
      <c r="W1571">
        <f t="shared" si="99"/>
        <v>0</v>
      </c>
    </row>
    <row r="1572" spans="5:23" x14ac:dyDescent="0.25">
      <c r="E1572" s="4"/>
      <c r="F1572" s="4"/>
      <c r="G1572" s="33" t="str">
        <f>IFERROR(VLOOKUP($D1572,'Informations sur les produits'!$A$3:$H$10000,8,FALSE),"0")</f>
        <v>0</v>
      </c>
      <c r="K1572" s="4"/>
      <c r="L1572" s="33" t="str">
        <f>IFERROR(VLOOKUP($J1572,'Informations sur les produits'!$A$3:$H$10000,8,FALSE),"0")</f>
        <v>0</v>
      </c>
      <c r="N1572" s="8"/>
      <c r="O1572" s="33" t="str">
        <f>IFERROR(VLOOKUP($M1572,'Informations sur les produits'!$A$3:$H$10000,8,FALSE),"0")</f>
        <v>0</v>
      </c>
      <c r="P1572" s="33">
        <f t="shared" si="96"/>
        <v>0</v>
      </c>
      <c r="Q1572" s="31" t="str">
        <f t="shared" si="97"/>
        <v/>
      </c>
      <c r="R1572" s="32" t="str">
        <f>IFERROR(VLOOKUP($D1572,'Informations sur les produits'!$A$3:$B$15000,2,FALSE),"")</f>
        <v/>
      </c>
      <c r="V1572">
        <f t="shared" si="98"/>
        <v>0</v>
      </c>
      <c r="W1572">
        <f t="shared" si="99"/>
        <v>0</v>
      </c>
    </row>
    <row r="1573" spans="5:23" x14ac:dyDescent="0.25">
      <c r="E1573" s="4"/>
      <c r="F1573" s="4"/>
      <c r="G1573" s="33" t="str">
        <f>IFERROR(VLOOKUP($D1573,'Informations sur les produits'!$A$3:$H$10000,8,FALSE),"0")</f>
        <v>0</v>
      </c>
      <c r="K1573" s="4"/>
      <c r="L1573" s="33" t="str">
        <f>IFERROR(VLOOKUP($J1573,'Informations sur les produits'!$A$3:$H$10000,8,FALSE),"0")</f>
        <v>0</v>
      </c>
      <c r="N1573" s="8"/>
      <c r="O1573" s="33" t="str">
        <f>IFERROR(VLOOKUP($M1573,'Informations sur les produits'!$A$3:$H$10000,8,FALSE),"0")</f>
        <v>0</v>
      </c>
      <c r="P1573" s="33">
        <f t="shared" si="96"/>
        <v>0</v>
      </c>
      <c r="Q1573" s="31" t="str">
        <f t="shared" si="97"/>
        <v/>
      </c>
      <c r="R1573" s="32" t="str">
        <f>IFERROR(VLOOKUP($D1573,'Informations sur les produits'!$A$3:$B$15000,2,FALSE),"")</f>
        <v/>
      </c>
      <c r="V1573">
        <f t="shared" si="98"/>
        <v>0</v>
      </c>
      <c r="W1573">
        <f t="shared" si="99"/>
        <v>0</v>
      </c>
    </row>
    <row r="1574" spans="5:23" x14ac:dyDescent="0.25">
      <c r="E1574" s="4"/>
      <c r="F1574" s="4"/>
      <c r="G1574" s="33" t="str">
        <f>IFERROR(VLOOKUP($D1574,'Informations sur les produits'!$A$3:$H$10000,8,FALSE),"0")</f>
        <v>0</v>
      </c>
      <c r="K1574" s="4"/>
      <c r="L1574" s="33" t="str">
        <f>IFERROR(VLOOKUP($J1574,'Informations sur les produits'!$A$3:$H$10000,8,FALSE),"0")</f>
        <v>0</v>
      </c>
      <c r="N1574" s="8"/>
      <c r="O1574" s="33" t="str">
        <f>IFERROR(VLOOKUP($M1574,'Informations sur les produits'!$A$3:$H$10000,8,FALSE),"0")</f>
        <v>0</v>
      </c>
      <c r="P1574" s="33">
        <f t="shared" si="96"/>
        <v>0</v>
      </c>
      <c r="Q1574" s="31" t="str">
        <f t="shared" si="97"/>
        <v/>
      </c>
      <c r="R1574" s="32" t="str">
        <f>IFERROR(VLOOKUP($D1574,'Informations sur les produits'!$A$3:$B$15000,2,FALSE),"")</f>
        <v/>
      </c>
      <c r="V1574">
        <f t="shared" si="98"/>
        <v>0</v>
      </c>
      <c r="W1574">
        <f t="shared" si="99"/>
        <v>0</v>
      </c>
    </row>
    <row r="1575" spans="5:23" x14ac:dyDescent="0.25">
      <c r="E1575" s="4"/>
      <c r="F1575" s="4"/>
      <c r="G1575" s="33" t="str">
        <f>IFERROR(VLOOKUP($D1575,'Informations sur les produits'!$A$3:$H$10000,8,FALSE),"0")</f>
        <v>0</v>
      </c>
      <c r="K1575" s="4"/>
      <c r="L1575" s="33" t="str">
        <f>IFERROR(VLOOKUP($J1575,'Informations sur les produits'!$A$3:$H$10000,8,FALSE),"0")</f>
        <v>0</v>
      </c>
      <c r="N1575" s="8"/>
      <c r="O1575" s="33" t="str">
        <f>IFERROR(VLOOKUP($M1575,'Informations sur les produits'!$A$3:$H$10000,8,FALSE),"0")</f>
        <v>0</v>
      </c>
      <c r="P1575" s="33">
        <f t="shared" si="96"/>
        <v>0</v>
      </c>
      <c r="Q1575" s="31" t="str">
        <f t="shared" si="97"/>
        <v/>
      </c>
      <c r="R1575" s="32" t="str">
        <f>IFERROR(VLOOKUP($D1575,'Informations sur les produits'!$A$3:$B$15000,2,FALSE),"")</f>
        <v/>
      </c>
      <c r="V1575">
        <f t="shared" si="98"/>
        <v>0</v>
      </c>
      <c r="W1575">
        <f t="shared" si="99"/>
        <v>0</v>
      </c>
    </row>
    <row r="1576" spans="5:23" x14ac:dyDescent="0.25">
      <c r="E1576" s="4"/>
      <c r="F1576" s="4"/>
      <c r="G1576" s="33" t="str">
        <f>IFERROR(VLOOKUP($D1576,'Informations sur les produits'!$A$3:$H$10000,8,FALSE),"0")</f>
        <v>0</v>
      </c>
      <c r="K1576" s="4"/>
      <c r="L1576" s="33" t="str">
        <f>IFERROR(VLOOKUP($J1576,'Informations sur les produits'!$A$3:$H$10000,8,FALSE),"0")</f>
        <v>0</v>
      </c>
      <c r="N1576" s="8"/>
      <c r="O1576" s="33" t="str">
        <f>IFERROR(VLOOKUP($M1576,'Informations sur les produits'!$A$3:$H$10000,8,FALSE),"0")</f>
        <v>0</v>
      </c>
      <c r="P1576" s="33">
        <f t="shared" si="96"/>
        <v>0</v>
      </c>
      <c r="Q1576" s="31" t="str">
        <f t="shared" si="97"/>
        <v/>
      </c>
      <c r="R1576" s="32" t="str">
        <f>IFERROR(VLOOKUP($D1576,'Informations sur les produits'!$A$3:$B$15000,2,FALSE),"")</f>
        <v/>
      </c>
      <c r="V1576">
        <f t="shared" si="98"/>
        <v>0</v>
      </c>
      <c r="W1576">
        <f t="shared" si="99"/>
        <v>0</v>
      </c>
    </row>
    <row r="1577" spans="5:23" x14ac:dyDescent="0.25">
      <c r="E1577" s="4"/>
      <c r="F1577" s="4"/>
      <c r="G1577" s="33" t="str">
        <f>IFERROR(VLOOKUP($D1577,'Informations sur les produits'!$A$3:$H$10000,8,FALSE),"0")</f>
        <v>0</v>
      </c>
      <c r="K1577" s="4"/>
      <c r="L1577" s="33" t="str">
        <f>IFERROR(VLOOKUP($J1577,'Informations sur les produits'!$A$3:$H$10000,8,FALSE),"0")</f>
        <v>0</v>
      </c>
      <c r="N1577" s="8"/>
      <c r="O1577" s="33" t="str">
        <f>IFERROR(VLOOKUP($M1577,'Informations sur les produits'!$A$3:$H$10000,8,FALSE),"0")</f>
        <v>0</v>
      </c>
      <c r="P1577" s="33">
        <f t="shared" si="96"/>
        <v>0</v>
      </c>
      <c r="Q1577" s="31" t="str">
        <f t="shared" si="97"/>
        <v/>
      </c>
      <c r="R1577" s="32" t="str">
        <f>IFERROR(VLOOKUP($D1577,'Informations sur les produits'!$A$3:$B$15000,2,FALSE),"")</f>
        <v/>
      </c>
      <c r="V1577">
        <f t="shared" si="98"/>
        <v>0</v>
      </c>
      <c r="W1577">
        <f t="shared" si="99"/>
        <v>0</v>
      </c>
    </row>
    <row r="1578" spans="5:23" x14ac:dyDescent="0.25">
      <c r="E1578" s="4"/>
      <c r="F1578" s="4"/>
      <c r="G1578" s="33" t="str">
        <f>IFERROR(VLOOKUP($D1578,'Informations sur les produits'!$A$3:$H$10000,8,FALSE),"0")</f>
        <v>0</v>
      </c>
      <c r="K1578" s="4"/>
      <c r="L1578" s="33" t="str">
        <f>IFERROR(VLOOKUP($J1578,'Informations sur les produits'!$A$3:$H$10000,8,FALSE),"0")</f>
        <v>0</v>
      </c>
      <c r="N1578" s="8"/>
      <c r="O1578" s="33" t="str">
        <f>IFERROR(VLOOKUP($M1578,'Informations sur les produits'!$A$3:$H$10000,8,FALSE),"0")</f>
        <v>0</v>
      </c>
      <c r="P1578" s="33">
        <f t="shared" si="96"/>
        <v>0</v>
      </c>
      <c r="Q1578" s="31" t="str">
        <f t="shared" si="97"/>
        <v/>
      </c>
      <c r="R1578" s="32" t="str">
        <f>IFERROR(VLOOKUP($D1578,'Informations sur les produits'!$A$3:$B$15000,2,FALSE),"")</f>
        <v/>
      </c>
      <c r="V1578">
        <f t="shared" si="98"/>
        <v>0</v>
      </c>
      <c r="W1578">
        <f t="shared" si="99"/>
        <v>0</v>
      </c>
    </row>
    <row r="1579" spans="5:23" x14ac:dyDescent="0.25">
      <c r="E1579" s="4"/>
      <c r="F1579" s="4"/>
      <c r="G1579" s="33" t="str">
        <f>IFERROR(VLOOKUP($D1579,'Informations sur les produits'!$A$3:$H$10000,8,FALSE),"0")</f>
        <v>0</v>
      </c>
      <c r="K1579" s="4"/>
      <c r="L1579" s="33" t="str">
        <f>IFERROR(VLOOKUP($J1579,'Informations sur les produits'!$A$3:$H$10000,8,FALSE),"0")</f>
        <v>0</v>
      </c>
      <c r="N1579" s="8"/>
      <c r="O1579" s="33" t="str">
        <f>IFERROR(VLOOKUP($M1579,'Informations sur les produits'!$A$3:$H$10000,8,FALSE),"0")</f>
        <v>0</v>
      </c>
      <c r="P1579" s="33">
        <f t="shared" si="96"/>
        <v>0</v>
      </c>
      <c r="Q1579" s="31" t="str">
        <f t="shared" si="97"/>
        <v/>
      </c>
      <c r="R1579" s="32" t="str">
        <f>IFERROR(VLOOKUP($D1579,'Informations sur les produits'!$A$3:$B$15000,2,FALSE),"")</f>
        <v/>
      </c>
      <c r="V1579">
        <f t="shared" si="98"/>
        <v>0</v>
      </c>
      <c r="W1579">
        <f t="shared" si="99"/>
        <v>0</v>
      </c>
    </row>
    <row r="1580" spans="5:23" x14ac:dyDescent="0.25">
      <c r="E1580" s="4"/>
      <c r="F1580" s="4"/>
      <c r="G1580" s="33" t="str">
        <f>IFERROR(VLOOKUP($D1580,'Informations sur les produits'!$A$3:$H$10000,8,FALSE),"0")</f>
        <v>0</v>
      </c>
      <c r="K1580" s="4"/>
      <c r="L1580" s="33" t="str">
        <f>IFERROR(VLOOKUP($J1580,'Informations sur les produits'!$A$3:$H$10000,8,FALSE),"0")</f>
        <v>0</v>
      </c>
      <c r="N1580" s="8"/>
      <c r="O1580" s="33" t="str">
        <f>IFERROR(VLOOKUP($M1580,'Informations sur les produits'!$A$3:$H$10000,8,FALSE),"0")</f>
        <v>0</v>
      </c>
      <c r="P1580" s="33">
        <f t="shared" si="96"/>
        <v>0</v>
      </c>
      <c r="Q1580" s="31" t="str">
        <f t="shared" si="97"/>
        <v/>
      </c>
      <c r="R1580" s="32" t="str">
        <f>IFERROR(VLOOKUP($D1580,'Informations sur les produits'!$A$3:$B$15000,2,FALSE),"")</f>
        <v/>
      </c>
      <c r="V1580">
        <f t="shared" si="98"/>
        <v>0</v>
      </c>
      <c r="W1580">
        <f t="shared" si="99"/>
        <v>0</v>
      </c>
    </row>
    <row r="1581" spans="5:23" x14ac:dyDescent="0.25">
      <c r="E1581" s="4"/>
      <c r="F1581" s="4"/>
      <c r="G1581" s="33" t="str">
        <f>IFERROR(VLOOKUP($D1581,'Informations sur les produits'!$A$3:$H$10000,8,FALSE),"0")</f>
        <v>0</v>
      </c>
      <c r="K1581" s="4"/>
      <c r="L1581" s="33" t="str">
        <f>IFERROR(VLOOKUP($J1581,'Informations sur les produits'!$A$3:$H$10000,8,FALSE),"0")</f>
        <v>0</v>
      </c>
      <c r="N1581" s="8"/>
      <c r="O1581" s="33" t="str">
        <f>IFERROR(VLOOKUP($M1581,'Informations sur les produits'!$A$3:$H$10000,8,FALSE),"0")</f>
        <v>0</v>
      </c>
      <c r="P1581" s="33">
        <f t="shared" si="96"/>
        <v>0</v>
      </c>
      <c r="Q1581" s="31" t="str">
        <f t="shared" si="97"/>
        <v/>
      </c>
      <c r="R1581" s="32" t="str">
        <f>IFERROR(VLOOKUP($D1581,'Informations sur les produits'!$A$3:$B$15000,2,FALSE),"")</f>
        <v/>
      </c>
      <c r="V1581">
        <f t="shared" si="98"/>
        <v>0</v>
      </c>
      <c r="W1581">
        <f t="shared" si="99"/>
        <v>0</v>
      </c>
    </row>
    <row r="1582" spans="5:23" x14ac:dyDescent="0.25">
      <c r="E1582" s="4"/>
      <c r="F1582" s="4"/>
      <c r="G1582" s="33" t="str">
        <f>IFERROR(VLOOKUP($D1582,'Informations sur les produits'!$A$3:$H$10000,8,FALSE),"0")</f>
        <v>0</v>
      </c>
      <c r="K1582" s="4"/>
      <c r="L1582" s="33" t="str">
        <f>IFERROR(VLOOKUP($J1582,'Informations sur les produits'!$A$3:$H$10000,8,FALSE),"0")</f>
        <v>0</v>
      </c>
      <c r="N1582" s="8"/>
      <c r="O1582" s="33" t="str">
        <f>IFERROR(VLOOKUP($M1582,'Informations sur les produits'!$A$3:$H$10000,8,FALSE),"0")</f>
        <v>0</v>
      </c>
      <c r="P1582" s="33">
        <f t="shared" si="96"/>
        <v>0</v>
      </c>
      <c r="Q1582" s="31" t="str">
        <f t="shared" si="97"/>
        <v/>
      </c>
      <c r="R1582" s="32" t="str">
        <f>IFERROR(VLOOKUP($D1582,'Informations sur les produits'!$A$3:$B$15000,2,FALSE),"")</f>
        <v/>
      </c>
      <c r="V1582">
        <f t="shared" si="98"/>
        <v>0</v>
      </c>
      <c r="W1582">
        <f t="shared" si="99"/>
        <v>0</v>
      </c>
    </row>
    <row r="1583" spans="5:23" x14ac:dyDescent="0.25">
      <c r="E1583" s="4"/>
      <c r="F1583" s="4"/>
      <c r="G1583" s="33" t="str">
        <f>IFERROR(VLOOKUP($D1583,'Informations sur les produits'!$A$3:$H$10000,8,FALSE),"0")</f>
        <v>0</v>
      </c>
      <c r="K1583" s="4"/>
      <c r="L1583" s="33" t="str">
        <f>IFERROR(VLOOKUP($J1583,'Informations sur les produits'!$A$3:$H$10000,8,FALSE),"0")</f>
        <v>0</v>
      </c>
      <c r="N1583" s="8"/>
      <c r="O1583" s="33" t="str">
        <f>IFERROR(VLOOKUP($M1583,'Informations sur les produits'!$A$3:$H$10000,8,FALSE),"0")</f>
        <v>0</v>
      </c>
      <c r="P1583" s="33">
        <f t="shared" si="96"/>
        <v>0</v>
      </c>
      <c r="Q1583" s="31" t="str">
        <f t="shared" si="97"/>
        <v/>
      </c>
      <c r="R1583" s="32" t="str">
        <f>IFERROR(VLOOKUP($D1583,'Informations sur les produits'!$A$3:$B$15000,2,FALSE),"")</f>
        <v/>
      </c>
      <c r="V1583">
        <f t="shared" si="98"/>
        <v>0</v>
      </c>
      <c r="W1583">
        <f t="shared" si="99"/>
        <v>0</v>
      </c>
    </row>
    <row r="1584" spans="5:23" x14ac:dyDescent="0.25">
      <c r="E1584" s="4"/>
      <c r="F1584" s="4"/>
      <c r="G1584" s="33" t="str">
        <f>IFERROR(VLOOKUP($D1584,'Informations sur les produits'!$A$3:$H$10000,8,FALSE),"0")</f>
        <v>0</v>
      </c>
      <c r="K1584" s="4"/>
      <c r="L1584" s="33" t="str">
        <f>IFERROR(VLOOKUP($J1584,'Informations sur les produits'!$A$3:$H$10000,8,FALSE),"0")</f>
        <v>0</v>
      </c>
      <c r="N1584" s="8"/>
      <c r="O1584" s="33" t="str">
        <f>IFERROR(VLOOKUP($M1584,'Informations sur les produits'!$A$3:$H$10000,8,FALSE),"0")</f>
        <v>0</v>
      </c>
      <c r="P1584" s="33">
        <f t="shared" si="96"/>
        <v>0</v>
      </c>
      <c r="Q1584" s="31" t="str">
        <f t="shared" si="97"/>
        <v/>
      </c>
      <c r="R1584" s="32" t="str">
        <f>IFERROR(VLOOKUP($D1584,'Informations sur les produits'!$A$3:$B$15000,2,FALSE),"")</f>
        <v/>
      </c>
      <c r="V1584">
        <f t="shared" si="98"/>
        <v>0</v>
      </c>
      <c r="W1584">
        <f t="shared" si="99"/>
        <v>0</v>
      </c>
    </row>
    <row r="1585" spans="5:23" x14ac:dyDescent="0.25">
      <c r="E1585" s="4"/>
      <c r="F1585" s="4"/>
      <c r="G1585" s="33" t="str">
        <f>IFERROR(VLOOKUP($D1585,'Informations sur les produits'!$A$3:$H$10000,8,FALSE),"0")</f>
        <v>0</v>
      </c>
      <c r="K1585" s="4"/>
      <c r="L1585" s="33" t="str">
        <f>IFERROR(VLOOKUP($J1585,'Informations sur les produits'!$A$3:$H$10000,8,FALSE),"0")</f>
        <v>0</v>
      </c>
      <c r="N1585" s="8"/>
      <c r="O1585" s="33" t="str">
        <f>IFERROR(VLOOKUP($M1585,'Informations sur les produits'!$A$3:$H$10000,8,FALSE),"0")</f>
        <v>0</v>
      </c>
      <c r="P1585" s="33">
        <f t="shared" si="96"/>
        <v>0</v>
      </c>
      <c r="Q1585" s="31" t="str">
        <f t="shared" si="97"/>
        <v/>
      </c>
      <c r="R1585" s="32" t="str">
        <f>IFERROR(VLOOKUP($D1585,'Informations sur les produits'!$A$3:$B$15000,2,FALSE),"")</f>
        <v/>
      </c>
      <c r="V1585">
        <f t="shared" si="98"/>
        <v>0</v>
      </c>
      <c r="W1585">
        <f t="shared" si="99"/>
        <v>0</v>
      </c>
    </row>
    <row r="1586" spans="5:23" x14ac:dyDescent="0.25">
      <c r="E1586" s="4"/>
      <c r="F1586" s="4"/>
      <c r="G1586" s="33" t="str">
        <f>IFERROR(VLOOKUP($D1586,'Informations sur les produits'!$A$3:$H$10000,8,FALSE),"0")</f>
        <v>0</v>
      </c>
      <c r="K1586" s="4"/>
      <c r="L1586" s="33" t="str">
        <f>IFERROR(VLOOKUP($J1586,'Informations sur les produits'!$A$3:$H$10000,8,FALSE),"0")</f>
        <v>0</v>
      </c>
      <c r="N1586" s="8"/>
      <c r="O1586" s="33" t="str">
        <f>IFERROR(VLOOKUP($M1586,'Informations sur les produits'!$A$3:$H$10000,8,FALSE),"0")</f>
        <v>0</v>
      </c>
      <c r="P1586" s="33">
        <f t="shared" si="96"/>
        <v>0</v>
      </c>
      <c r="Q1586" s="31" t="str">
        <f t="shared" si="97"/>
        <v/>
      </c>
      <c r="R1586" s="32" t="str">
        <f>IFERROR(VLOOKUP($D1586,'Informations sur les produits'!$A$3:$B$15000,2,FALSE),"")</f>
        <v/>
      </c>
      <c r="V1586">
        <f t="shared" si="98"/>
        <v>0</v>
      </c>
      <c r="W1586">
        <f t="shared" si="99"/>
        <v>0</v>
      </c>
    </row>
    <row r="1587" spans="5:23" x14ac:dyDescent="0.25">
      <c r="E1587" s="4"/>
      <c r="F1587" s="4"/>
      <c r="G1587" s="33" t="str">
        <f>IFERROR(VLOOKUP($D1587,'Informations sur les produits'!$A$3:$H$10000,8,FALSE),"0")</f>
        <v>0</v>
      </c>
      <c r="K1587" s="4"/>
      <c r="L1587" s="33" t="str">
        <f>IFERROR(VLOOKUP($J1587,'Informations sur les produits'!$A$3:$H$10000,8,FALSE),"0")</f>
        <v>0</v>
      </c>
      <c r="N1587" s="8"/>
      <c r="O1587" s="33" t="str">
        <f>IFERROR(VLOOKUP($M1587,'Informations sur les produits'!$A$3:$H$10000,8,FALSE),"0")</f>
        <v>0</v>
      </c>
      <c r="P1587" s="33">
        <f t="shared" si="96"/>
        <v>0</v>
      </c>
      <c r="Q1587" s="31" t="str">
        <f t="shared" si="97"/>
        <v/>
      </c>
      <c r="R1587" s="32" t="str">
        <f>IFERROR(VLOOKUP($D1587,'Informations sur les produits'!$A$3:$B$15000,2,FALSE),"")</f>
        <v/>
      </c>
      <c r="V1587">
        <f t="shared" si="98"/>
        <v>0</v>
      </c>
      <c r="W1587">
        <f t="shared" si="99"/>
        <v>0</v>
      </c>
    </row>
    <row r="1588" spans="5:23" x14ac:dyDescent="0.25">
      <c r="E1588" s="4"/>
      <c r="F1588" s="4"/>
      <c r="G1588" s="33" t="str">
        <f>IFERROR(VLOOKUP($D1588,'Informations sur les produits'!$A$3:$H$10000,8,FALSE),"0")</f>
        <v>0</v>
      </c>
      <c r="K1588" s="4"/>
      <c r="L1588" s="33" t="str">
        <f>IFERROR(VLOOKUP($J1588,'Informations sur les produits'!$A$3:$H$10000,8,FALSE),"0")</f>
        <v>0</v>
      </c>
      <c r="N1588" s="8"/>
      <c r="O1588" s="33" t="str">
        <f>IFERROR(VLOOKUP($M1588,'Informations sur les produits'!$A$3:$H$10000,8,FALSE),"0")</f>
        <v>0</v>
      </c>
      <c r="P1588" s="33">
        <f t="shared" si="96"/>
        <v>0</v>
      </c>
      <c r="Q1588" s="31" t="str">
        <f t="shared" si="97"/>
        <v/>
      </c>
      <c r="R1588" s="32" t="str">
        <f>IFERROR(VLOOKUP($D1588,'Informations sur les produits'!$A$3:$B$15000,2,FALSE),"")</f>
        <v/>
      </c>
      <c r="V1588">
        <f t="shared" si="98"/>
        <v>0</v>
      </c>
      <c r="W1588">
        <f t="shared" si="99"/>
        <v>0</v>
      </c>
    </row>
    <row r="1589" spans="5:23" x14ac:dyDescent="0.25">
      <c r="E1589" s="4"/>
      <c r="F1589" s="4"/>
      <c r="G1589" s="33" t="str">
        <f>IFERROR(VLOOKUP($D1589,'Informations sur les produits'!$A$3:$H$10000,8,FALSE),"0")</f>
        <v>0</v>
      </c>
      <c r="K1589" s="4"/>
      <c r="L1589" s="33" t="str">
        <f>IFERROR(VLOOKUP($J1589,'Informations sur les produits'!$A$3:$H$10000,8,FALSE),"0")</f>
        <v>0</v>
      </c>
      <c r="N1589" s="8"/>
      <c r="O1589" s="33" t="str">
        <f>IFERROR(VLOOKUP($M1589,'Informations sur les produits'!$A$3:$H$10000,8,FALSE),"0")</f>
        <v>0</v>
      </c>
      <c r="P1589" s="33">
        <f t="shared" si="96"/>
        <v>0</v>
      </c>
      <c r="Q1589" s="31" t="str">
        <f t="shared" si="97"/>
        <v/>
      </c>
      <c r="R1589" s="32" t="str">
        <f>IFERROR(VLOOKUP($D1589,'Informations sur les produits'!$A$3:$B$15000,2,FALSE),"")</f>
        <v/>
      </c>
      <c r="V1589">
        <f t="shared" si="98"/>
        <v>0</v>
      </c>
      <c r="W1589">
        <f t="shared" si="99"/>
        <v>0</v>
      </c>
    </row>
    <row r="1590" spans="5:23" x14ac:dyDescent="0.25">
      <c r="E1590" s="4"/>
      <c r="F1590" s="4"/>
      <c r="G1590" s="33" t="str">
        <f>IFERROR(VLOOKUP($D1590,'Informations sur les produits'!$A$3:$H$10000,8,FALSE),"0")</f>
        <v>0</v>
      </c>
      <c r="K1590" s="4"/>
      <c r="L1590" s="33" t="str">
        <f>IFERROR(VLOOKUP($J1590,'Informations sur les produits'!$A$3:$H$10000,8,FALSE),"0")</f>
        <v>0</v>
      </c>
      <c r="N1590" s="8"/>
      <c r="O1590" s="33" t="str">
        <f>IFERROR(VLOOKUP($M1590,'Informations sur les produits'!$A$3:$H$10000,8,FALSE),"0")</f>
        <v>0</v>
      </c>
      <c r="P1590" s="33">
        <f t="shared" si="96"/>
        <v>0</v>
      </c>
      <c r="Q1590" s="31" t="str">
        <f t="shared" si="97"/>
        <v/>
      </c>
      <c r="R1590" s="32" t="str">
        <f>IFERROR(VLOOKUP($D1590,'Informations sur les produits'!$A$3:$B$15000,2,FALSE),"")</f>
        <v/>
      </c>
      <c r="V1590">
        <f t="shared" si="98"/>
        <v>0</v>
      </c>
      <c r="W1590">
        <f t="shared" si="99"/>
        <v>0</v>
      </c>
    </row>
    <row r="1591" spans="5:23" x14ac:dyDescent="0.25">
      <c r="E1591" s="4"/>
      <c r="F1591" s="4"/>
      <c r="G1591" s="33" t="str">
        <f>IFERROR(VLOOKUP($D1591,'Informations sur les produits'!$A$3:$H$10000,8,FALSE),"0")</f>
        <v>0</v>
      </c>
      <c r="K1591" s="4"/>
      <c r="L1591" s="33" t="str">
        <f>IFERROR(VLOOKUP($J1591,'Informations sur les produits'!$A$3:$H$10000,8,FALSE),"0")</f>
        <v>0</v>
      </c>
      <c r="N1591" s="8"/>
      <c r="O1591" s="33" t="str">
        <f>IFERROR(VLOOKUP($M1591,'Informations sur les produits'!$A$3:$H$10000,8,FALSE),"0")</f>
        <v>0</v>
      </c>
      <c r="P1591" s="33">
        <f t="shared" si="96"/>
        <v>0</v>
      </c>
      <c r="Q1591" s="31" t="str">
        <f t="shared" si="97"/>
        <v/>
      </c>
      <c r="R1591" s="32" t="str">
        <f>IFERROR(VLOOKUP($D1591,'Informations sur les produits'!$A$3:$B$15000,2,FALSE),"")</f>
        <v/>
      </c>
      <c r="V1591">
        <f t="shared" si="98"/>
        <v>0</v>
      </c>
      <c r="W1591">
        <f t="shared" si="99"/>
        <v>0</v>
      </c>
    </row>
    <row r="1592" spans="5:23" x14ac:dyDescent="0.25">
      <c r="E1592" s="4"/>
      <c r="F1592" s="4"/>
      <c r="G1592" s="33" t="str">
        <f>IFERROR(VLOOKUP($D1592,'Informations sur les produits'!$A$3:$H$10000,8,FALSE),"0")</f>
        <v>0</v>
      </c>
      <c r="K1592" s="4"/>
      <c r="L1592" s="33" t="str">
        <f>IFERROR(VLOOKUP($J1592,'Informations sur les produits'!$A$3:$H$10000,8,FALSE),"0")</f>
        <v>0</v>
      </c>
      <c r="N1592" s="8"/>
      <c r="O1592" s="33" t="str">
        <f>IFERROR(VLOOKUP($M1592,'Informations sur les produits'!$A$3:$H$10000,8,FALSE),"0")</f>
        <v>0</v>
      </c>
      <c r="P1592" s="33">
        <f t="shared" si="96"/>
        <v>0</v>
      </c>
      <c r="Q1592" s="31" t="str">
        <f t="shared" si="97"/>
        <v/>
      </c>
      <c r="R1592" s="32" t="str">
        <f>IFERROR(VLOOKUP($D1592,'Informations sur les produits'!$A$3:$B$15000,2,FALSE),"")</f>
        <v/>
      </c>
      <c r="V1592">
        <f t="shared" si="98"/>
        <v>0</v>
      </c>
      <c r="W1592">
        <f t="shared" si="99"/>
        <v>0</v>
      </c>
    </row>
    <row r="1593" spans="5:23" x14ac:dyDescent="0.25">
      <c r="E1593" s="4"/>
      <c r="F1593" s="4"/>
      <c r="G1593" s="33" t="str">
        <f>IFERROR(VLOOKUP($D1593,'Informations sur les produits'!$A$3:$H$10000,8,FALSE),"0")</f>
        <v>0</v>
      </c>
      <c r="K1593" s="4"/>
      <c r="L1593" s="33" t="str">
        <f>IFERROR(VLOOKUP($J1593,'Informations sur les produits'!$A$3:$H$10000,8,FALSE),"0")</f>
        <v>0</v>
      </c>
      <c r="N1593" s="8"/>
      <c r="O1593" s="33" t="str">
        <f>IFERROR(VLOOKUP($M1593,'Informations sur les produits'!$A$3:$H$10000,8,FALSE),"0")</f>
        <v>0</v>
      </c>
      <c r="P1593" s="33">
        <f t="shared" si="96"/>
        <v>0</v>
      </c>
      <c r="Q1593" s="31" t="str">
        <f t="shared" si="97"/>
        <v/>
      </c>
      <c r="R1593" s="32" t="str">
        <f>IFERROR(VLOOKUP($D1593,'Informations sur les produits'!$A$3:$B$15000,2,FALSE),"")</f>
        <v/>
      </c>
      <c r="V1593">
        <f t="shared" si="98"/>
        <v>0</v>
      </c>
      <c r="W1593">
        <f t="shared" si="99"/>
        <v>0</v>
      </c>
    </row>
    <row r="1594" spans="5:23" x14ac:dyDescent="0.25">
      <c r="E1594" s="4"/>
      <c r="F1594" s="4"/>
      <c r="G1594" s="33" t="str">
        <f>IFERROR(VLOOKUP($D1594,'Informations sur les produits'!$A$3:$H$10000,8,FALSE),"0")</f>
        <v>0</v>
      </c>
      <c r="K1594" s="4"/>
      <c r="L1594" s="33" t="str">
        <f>IFERROR(VLOOKUP($J1594,'Informations sur les produits'!$A$3:$H$10000,8,FALSE),"0")</f>
        <v>0</v>
      </c>
      <c r="N1594" s="8"/>
      <c r="O1594" s="33" t="str">
        <f>IFERROR(VLOOKUP($M1594,'Informations sur les produits'!$A$3:$H$10000,8,FALSE),"0")</f>
        <v>0</v>
      </c>
      <c r="P1594" s="33">
        <f t="shared" si="96"/>
        <v>0</v>
      </c>
      <c r="Q1594" s="31" t="str">
        <f t="shared" si="97"/>
        <v/>
      </c>
      <c r="R1594" s="32" t="str">
        <f>IFERROR(VLOOKUP($D1594,'Informations sur les produits'!$A$3:$B$15000,2,FALSE),"")</f>
        <v/>
      </c>
      <c r="V1594">
        <f t="shared" si="98"/>
        <v>0</v>
      </c>
      <c r="W1594">
        <f t="shared" si="99"/>
        <v>0</v>
      </c>
    </row>
    <row r="1595" spans="5:23" x14ac:dyDescent="0.25">
      <c r="E1595" s="4"/>
      <c r="F1595" s="4"/>
      <c r="G1595" s="33" t="str">
        <f>IFERROR(VLOOKUP($D1595,'Informations sur les produits'!$A$3:$H$10000,8,FALSE),"0")</f>
        <v>0</v>
      </c>
      <c r="K1595" s="4"/>
      <c r="L1595" s="33" t="str">
        <f>IFERROR(VLOOKUP($J1595,'Informations sur les produits'!$A$3:$H$10000,8,FALSE),"0")</f>
        <v>0</v>
      </c>
      <c r="N1595" s="8"/>
      <c r="O1595" s="33" t="str">
        <f>IFERROR(VLOOKUP($M1595,'Informations sur les produits'!$A$3:$H$10000,8,FALSE),"0")</f>
        <v>0</v>
      </c>
      <c r="P1595" s="33">
        <f t="shared" si="96"/>
        <v>0</v>
      </c>
      <c r="Q1595" s="31" t="str">
        <f t="shared" si="97"/>
        <v/>
      </c>
      <c r="R1595" s="32" t="str">
        <f>IFERROR(VLOOKUP($D1595,'Informations sur les produits'!$A$3:$B$15000,2,FALSE),"")</f>
        <v/>
      </c>
      <c r="V1595">
        <f t="shared" si="98"/>
        <v>0</v>
      </c>
      <c r="W1595">
        <f t="shared" si="99"/>
        <v>0</v>
      </c>
    </row>
    <row r="1596" spans="5:23" x14ac:dyDescent="0.25">
      <c r="E1596" s="4"/>
      <c r="F1596" s="4"/>
      <c r="G1596" s="33" t="str">
        <f>IFERROR(VLOOKUP($D1596,'Informations sur les produits'!$A$3:$H$10000,8,FALSE),"0")</f>
        <v>0</v>
      </c>
      <c r="K1596" s="4"/>
      <c r="L1596" s="33" t="str">
        <f>IFERROR(VLOOKUP($J1596,'Informations sur les produits'!$A$3:$H$10000,8,FALSE),"0")</f>
        <v>0</v>
      </c>
      <c r="N1596" s="8"/>
      <c r="O1596" s="33" t="str">
        <f>IFERROR(VLOOKUP($M1596,'Informations sur les produits'!$A$3:$H$10000,8,FALSE),"0")</f>
        <v>0</v>
      </c>
      <c r="P1596" s="33">
        <f t="shared" si="96"/>
        <v>0</v>
      </c>
      <c r="Q1596" s="31" t="str">
        <f t="shared" si="97"/>
        <v/>
      </c>
      <c r="R1596" s="32" t="str">
        <f>IFERROR(VLOOKUP($D1596,'Informations sur les produits'!$A$3:$B$15000,2,FALSE),"")</f>
        <v/>
      </c>
      <c r="V1596">
        <f t="shared" si="98"/>
        <v>0</v>
      </c>
      <c r="W1596">
        <f t="shared" si="99"/>
        <v>0</v>
      </c>
    </row>
    <row r="1597" spans="5:23" x14ac:dyDescent="0.25">
      <c r="E1597" s="4"/>
      <c r="F1597" s="4"/>
      <c r="G1597" s="33" t="str">
        <f>IFERROR(VLOOKUP($D1597,'Informations sur les produits'!$A$3:$H$10000,8,FALSE),"0")</f>
        <v>0</v>
      </c>
      <c r="K1597" s="4"/>
      <c r="L1597" s="33" t="str">
        <f>IFERROR(VLOOKUP($J1597,'Informations sur les produits'!$A$3:$H$10000,8,FALSE),"0")</f>
        <v>0</v>
      </c>
      <c r="N1597" s="8"/>
      <c r="O1597" s="33" t="str">
        <f>IFERROR(VLOOKUP($M1597,'Informations sur les produits'!$A$3:$H$10000,8,FALSE),"0")</f>
        <v>0</v>
      </c>
      <c r="P1597" s="33">
        <f t="shared" si="96"/>
        <v>0</v>
      </c>
      <c r="Q1597" s="31" t="str">
        <f t="shared" si="97"/>
        <v/>
      </c>
      <c r="R1597" s="32" t="str">
        <f>IFERROR(VLOOKUP($D1597,'Informations sur les produits'!$A$3:$B$15000,2,FALSE),"")</f>
        <v/>
      </c>
      <c r="V1597">
        <f t="shared" si="98"/>
        <v>0</v>
      </c>
      <c r="W1597">
        <f t="shared" si="99"/>
        <v>0</v>
      </c>
    </row>
    <row r="1598" spans="5:23" x14ac:dyDescent="0.25">
      <c r="E1598" s="4"/>
      <c r="F1598" s="4"/>
      <c r="G1598" s="33" t="str">
        <f>IFERROR(VLOOKUP($D1598,'Informations sur les produits'!$A$3:$H$10000,8,FALSE),"0")</f>
        <v>0</v>
      </c>
      <c r="K1598" s="4"/>
      <c r="L1598" s="33" t="str">
        <f>IFERROR(VLOOKUP($J1598,'Informations sur les produits'!$A$3:$H$10000,8,FALSE),"0")</f>
        <v>0</v>
      </c>
      <c r="N1598" s="8"/>
      <c r="O1598" s="33" t="str">
        <f>IFERROR(VLOOKUP($M1598,'Informations sur les produits'!$A$3:$H$10000,8,FALSE),"0")</f>
        <v>0</v>
      </c>
      <c r="P1598" s="33">
        <f t="shared" si="96"/>
        <v>0</v>
      </c>
      <c r="Q1598" s="31" t="str">
        <f t="shared" si="97"/>
        <v/>
      </c>
      <c r="R1598" s="32" t="str">
        <f>IFERROR(VLOOKUP($D1598,'Informations sur les produits'!$A$3:$B$15000,2,FALSE),"")</f>
        <v/>
      </c>
      <c r="V1598">
        <f t="shared" si="98"/>
        <v>0</v>
      </c>
      <c r="W1598">
        <f t="shared" si="99"/>
        <v>0</v>
      </c>
    </row>
    <row r="1599" spans="5:23" x14ac:dyDescent="0.25">
      <c r="E1599" s="4"/>
      <c r="F1599" s="4"/>
      <c r="G1599" s="33" t="str">
        <f>IFERROR(VLOOKUP($D1599,'Informations sur les produits'!$A$3:$H$10000,8,FALSE),"0")</f>
        <v>0</v>
      </c>
      <c r="K1599" s="4"/>
      <c r="L1599" s="33" t="str">
        <f>IFERROR(VLOOKUP($J1599,'Informations sur les produits'!$A$3:$H$10000,8,FALSE),"0")</f>
        <v>0</v>
      </c>
      <c r="N1599" s="8"/>
      <c r="O1599" s="33" t="str">
        <f>IFERROR(VLOOKUP($M1599,'Informations sur les produits'!$A$3:$H$10000,8,FALSE),"0")</f>
        <v>0</v>
      </c>
      <c r="P1599" s="33">
        <f t="shared" si="96"/>
        <v>0</v>
      </c>
      <c r="Q1599" s="31" t="str">
        <f t="shared" si="97"/>
        <v/>
      </c>
      <c r="R1599" s="32" t="str">
        <f>IFERROR(VLOOKUP($D1599,'Informations sur les produits'!$A$3:$B$15000,2,FALSE),"")</f>
        <v/>
      </c>
      <c r="V1599">
        <f t="shared" si="98"/>
        <v>0</v>
      </c>
      <c r="W1599">
        <f t="shared" si="99"/>
        <v>0</v>
      </c>
    </row>
    <row r="1600" spans="5:23" x14ac:dyDescent="0.25">
      <c r="E1600" s="4"/>
      <c r="F1600" s="4"/>
      <c r="G1600" s="33" t="str">
        <f>IFERROR(VLOOKUP($D1600,'Informations sur les produits'!$A$3:$H$10000,8,FALSE),"0")</f>
        <v>0</v>
      </c>
      <c r="K1600" s="4"/>
      <c r="L1600" s="33" t="str">
        <f>IFERROR(VLOOKUP($J1600,'Informations sur les produits'!$A$3:$H$10000,8,FALSE),"0")</f>
        <v>0</v>
      </c>
      <c r="N1600" s="8"/>
      <c r="O1600" s="33" t="str">
        <f>IFERROR(VLOOKUP($M1600,'Informations sur les produits'!$A$3:$H$10000,8,FALSE),"0")</f>
        <v>0</v>
      </c>
      <c r="P1600" s="33">
        <f t="shared" si="96"/>
        <v>0</v>
      </c>
      <c r="Q1600" s="31" t="str">
        <f t="shared" si="97"/>
        <v/>
      </c>
      <c r="R1600" s="32" t="str">
        <f>IFERROR(VLOOKUP($D1600,'Informations sur les produits'!$A$3:$B$15000,2,FALSE),"")</f>
        <v/>
      </c>
      <c r="V1600">
        <f t="shared" si="98"/>
        <v>0</v>
      </c>
      <c r="W1600">
        <f t="shared" si="99"/>
        <v>0</v>
      </c>
    </row>
    <row r="1601" spans="5:23" x14ac:dyDescent="0.25">
      <c r="E1601" s="4"/>
      <c r="F1601" s="4"/>
      <c r="G1601" s="33" t="str">
        <f>IFERROR(VLOOKUP($D1601,'Informations sur les produits'!$A$3:$H$10000,8,FALSE),"0")</f>
        <v>0</v>
      </c>
      <c r="K1601" s="4"/>
      <c r="L1601" s="33" t="str">
        <f>IFERROR(VLOOKUP($J1601,'Informations sur les produits'!$A$3:$H$10000,8,FALSE),"0")</f>
        <v>0</v>
      </c>
      <c r="N1601" s="8"/>
      <c r="O1601" s="33" t="str">
        <f>IFERROR(VLOOKUP($M1601,'Informations sur les produits'!$A$3:$H$10000,8,FALSE),"0")</f>
        <v>0</v>
      </c>
      <c r="P1601" s="33">
        <f t="shared" si="96"/>
        <v>0</v>
      </c>
      <c r="Q1601" s="31" t="str">
        <f t="shared" si="97"/>
        <v/>
      </c>
      <c r="R1601" s="32" t="str">
        <f>IFERROR(VLOOKUP($D1601,'Informations sur les produits'!$A$3:$B$15000,2,FALSE),"")</f>
        <v/>
      </c>
      <c r="V1601">
        <f t="shared" si="98"/>
        <v>0</v>
      </c>
      <c r="W1601">
        <f t="shared" si="99"/>
        <v>0</v>
      </c>
    </row>
    <row r="1602" spans="5:23" x14ac:dyDescent="0.25">
      <c r="E1602" s="4"/>
      <c r="F1602" s="4"/>
      <c r="G1602" s="33" t="str">
        <f>IFERROR(VLOOKUP($D1602,'Informations sur les produits'!$A$3:$H$10000,8,FALSE),"0")</f>
        <v>0</v>
      </c>
      <c r="K1602" s="4"/>
      <c r="L1602" s="33" t="str">
        <f>IFERROR(VLOOKUP($J1602,'Informations sur les produits'!$A$3:$H$10000,8,FALSE),"0")</f>
        <v>0</v>
      </c>
      <c r="N1602" s="8"/>
      <c r="O1602" s="33" t="str">
        <f>IFERROR(VLOOKUP($M1602,'Informations sur les produits'!$A$3:$H$10000,8,FALSE),"0")</f>
        <v>0</v>
      </c>
      <c r="P1602" s="33">
        <f t="shared" si="96"/>
        <v>0</v>
      </c>
      <c r="Q1602" s="31" t="str">
        <f t="shared" si="97"/>
        <v/>
      </c>
      <c r="R1602" s="32" t="str">
        <f>IFERROR(VLOOKUP($D1602,'Informations sur les produits'!$A$3:$B$15000,2,FALSE),"")</f>
        <v/>
      </c>
      <c r="V1602">
        <f t="shared" si="98"/>
        <v>0</v>
      </c>
      <c r="W1602">
        <f t="shared" si="99"/>
        <v>0</v>
      </c>
    </row>
    <row r="1603" spans="5:23" x14ac:dyDescent="0.25">
      <c r="E1603" s="4"/>
      <c r="F1603" s="4"/>
      <c r="G1603" s="33" t="str">
        <f>IFERROR(VLOOKUP($D1603,'Informations sur les produits'!$A$3:$H$10000,8,FALSE),"0")</f>
        <v>0</v>
      </c>
      <c r="K1603" s="4"/>
      <c r="L1603" s="33" t="str">
        <f>IFERROR(VLOOKUP($J1603,'Informations sur les produits'!$A$3:$H$10000,8,FALSE),"0")</f>
        <v>0</v>
      </c>
      <c r="N1603" s="8"/>
      <c r="O1603" s="33" t="str">
        <f>IFERROR(VLOOKUP($M1603,'Informations sur les produits'!$A$3:$H$10000,8,FALSE),"0")</f>
        <v>0</v>
      </c>
      <c r="P1603" s="33">
        <f t="shared" si="96"/>
        <v>0</v>
      </c>
      <c r="Q1603" s="31" t="str">
        <f t="shared" si="97"/>
        <v/>
      </c>
      <c r="R1603" s="32" t="str">
        <f>IFERROR(VLOOKUP($D1603,'Informations sur les produits'!$A$3:$B$15000,2,FALSE),"")</f>
        <v/>
      </c>
      <c r="V1603">
        <f t="shared" si="98"/>
        <v>0</v>
      </c>
      <c r="W1603">
        <f t="shared" si="99"/>
        <v>0</v>
      </c>
    </row>
    <row r="1604" spans="5:23" x14ac:dyDescent="0.25">
      <c r="E1604" s="4"/>
      <c r="F1604" s="4"/>
      <c r="G1604" s="33" t="str">
        <f>IFERROR(VLOOKUP($D1604,'Informations sur les produits'!$A$3:$H$10000,8,FALSE),"0")</f>
        <v>0</v>
      </c>
      <c r="K1604" s="4"/>
      <c r="L1604" s="33" t="str">
        <f>IFERROR(VLOOKUP($J1604,'Informations sur les produits'!$A$3:$H$10000,8,FALSE),"0")</f>
        <v>0</v>
      </c>
      <c r="N1604" s="8"/>
      <c r="O1604" s="33" t="str">
        <f>IFERROR(VLOOKUP($M1604,'Informations sur les produits'!$A$3:$H$10000,8,FALSE),"0")</f>
        <v>0</v>
      </c>
      <c r="P1604" s="33">
        <f t="shared" ref="P1604:P1667" si="100">IFERROR((($E1604-$F1604)*$G1604+$K1604*$L1604+$N1604*$O1604),"")</f>
        <v>0</v>
      </c>
      <c r="Q1604" s="31" t="str">
        <f t="shared" ref="Q1604:Q1667" si="101">IFERROR((((($E1604-$F1604)*$G1604+$K1604*$L1604+$N1604*$O1604)*1000)/(($E1604-$F1604)+$K1604+$N1604)),"")</f>
        <v/>
      </c>
      <c r="R1604" s="32" t="str">
        <f>IFERROR(VLOOKUP($D1604,'Informations sur les produits'!$A$3:$B$15000,2,FALSE),"")</f>
        <v/>
      </c>
      <c r="V1604">
        <f t="shared" ref="V1604:V1667" si="102">IFERROR(P1604*1000,"")</f>
        <v>0</v>
      </c>
      <c r="W1604">
        <f t="shared" ref="W1604:W1667" si="103">IFERROR(($E1604-$F1604)+$K1604+$N1604,"")</f>
        <v>0</v>
      </c>
    </row>
    <row r="1605" spans="5:23" x14ac:dyDescent="0.25">
      <c r="E1605" s="4"/>
      <c r="F1605" s="4"/>
      <c r="G1605" s="33" t="str">
        <f>IFERROR(VLOOKUP($D1605,'Informations sur les produits'!$A$3:$H$10000,8,FALSE),"0")</f>
        <v>0</v>
      </c>
      <c r="K1605" s="4"/>
      <c r="L1605" s="33" t="str">
        <f>IFERROR(VLOOKUP($J1605,'Informations sur les produits'!$A$3:$H$10000,8,FALSE),"0")</f>
        <v>0</v>
      </c>
      <c r="N1605" s="8"/>
      <c r="O1605" s="33" t="str">
        <f>IFERROR(VLOOKUP($M1605,'Informations sur les produits'!$A$3:$H$10000,8,FALSE),"0")</f>
        <v>0</v>
      </c>
      <c r="P1605" s="33">
        <f t="shared" si="100"/>
        <v>0</v>
      </c>
      <c r="Q1605" s="31" t="str">
        <f t="shared" si="101"/>
        <v/>
      </c>
      <c r="R1605" s="32" t="str">
        <f>IFERROR(VLOOKUP($D1605,'Informations sur les produits'!$A$3:$B$15000,2,FALSE),"")</f>
        <v/>
      </c>
      <c r="V1605">
        <f t="shared" si="102"/>
        <v>0</v>
      </c>
      <c r="W1605">
        <f t="shared" si="103"/>
        <v>0</v>
      </c>
    </row>
    <row r="1606" spans="5:23" x14ac:dyDescent="0.25">
      <c r="E1606" s="4"/>
      <c r="F1606" s="4"/>
      <c r="G1606" s="33" t="str">
        <f>IFERROR(VLOOKUP($D1606,'Informations sur les produits'!$A$3:$H$10000,8,FALSE),"0")</f>
        <v>0</v>
      </c>
      <c r="K1606" s="4"/>
      <c r="L1606" s="33" t="str">
        <f>IFERROR(VLOOKUP($J1606,'Informations sur les produits'!$A$3:$H$10000,8,FALSE),"0")</f>
        <v>0</v>
      </c>
      <c r="N1606" s="8"/>
      <c r="O1606" s="33" t="str">
        <f>IFERROR(VLOOKUP($M1606,'Informations sur les produits'!$A$3:$H$10000,8,FALSE),"0")</f>
        <v>0</v>
      </c>
      <c r="P1606" s="33">
        <f t="shared" si="100"/>
        <v>0</v>
      </c>
      <c r="Q1606" s="31" t="str">
        <f t="shared" si="101"/>
        <v/>
      </c>
      <c r="R1606" s="32" t="str">
        <f>IFERROR(VLOOKUP($D1606,'Informations sur les produits'!$A$3:$B$15000,2,FALSE),"")</f>
        <v/>
      </c>
      <c r="V1606">
        <f t="shared" si="102"/>
        <v>0</v>
      </c>
      <c r="W1606">
        <f t="shared" si="103"/>
        <v>0</v>
      </c>
    </row>
    <row r="1607" spans="5:23" x14ac:dyDescent="0.25">
      <c r="E1607" s="4"/>
      <c r="F1607" s="4"/>
      <c r="G1607" s="33" t="str">
        <f>IFERROR(VLOOKUP($D1607,'Informations sur les produits'!$A$3:$H$10000,8,FALSE),"0")</f>
        <v>0</v>
      </c>
      <c r="K1607" s="4"/>
      <c r="L1607" s="33" t="str">
        <f>IFERROR(VLOOKUP($J1607,'Informations sur les produits'!$A$3:$H$10000,8,FALSE),"0")</f>
        <v>0</v>
      </c>
      <c r="N1607" s="8"/>
      <c r="O1607" s="33" t="str">
        <f>IFERROR(VLOOKUP($M1607,'Informations sur les produits'!$A$3:$H$10000,8,FALSE),"0")</f>
        <v>0</v>
      </c>
      <c r="P1607" s="33">
        <f t="shared" si="100"/>
        <v>0</v>
      </c>
      <c r="Q1607" s="31" t="str">
        <f t="shared" si="101"/>
        <v/>
      </c>
      <c r="R1607" s="32" t="str">
        <f>IFERROR(VLOOKUP($D1607,'Informations sur les produits'!$A$3:$B$15000,2,FALSE),"")</f>
        <v/>
      </c>
      <c r="V1607">
        <f t="shared" si="102"/>
        <v>0</v>
      </c>
      <c r="W1607">
        <f t="shared" si="103"/>
        <v>0</v>
      </c>
    </row>
    <row r="1608" spans="5:23" x14ac:dyDescent="0.25">
      <c r="E1608" s="4"/>
      <c r="F1608" s="4"/>
      <c r="G1608" s="33" t="str">
        <f>IFERROR(VLOOKUP($D1608,'Informations sur les produits'!$A$3:$H$10000,8,FALSE),"0")</f>
        <v>0</v>
      </c>
      <c r="K1608" s="4"/>
      <c r="L1608" s="33" t="str">
        <f>IFERROR(VLOOKUP($J1608,'Informations sur les produits'!$A$3:$H$10000,8,FALSE),"0")</f>
        <v>0</v>
      </c>
      <c r="N1608" s="8"/>
      <c r="O1608" s="33" t="str">
        <f>IFERROR(VLOOKUP($M1608,'Informations sur les produits'!$A$3:$H$10000,8,FALSE),"0")</f>
        <v>0</v>
      </c>
      <c r="P1608" s="33">
        <f t="shared" si="100"/>
        <v>0</v>
      </c>
      <c r="Q1608" s="31" t="str">
        <f t="shared" si="101"/>
        <v/>
      </c>
      <c r="R1608" s="32" t="str">
        <f>IFERROR(VLOOKUP($D1608,'Informations sur les produits'!$A$3:$B$15000,2,FALSE),"")</f>
        <v/>
      </c>
      <c r="V1608">
        <f t="shared" si="102"/>
        <v>0</v>
      </c>
      <c r="W1608">
        <f t="shared" si="103"/>
        <v>0</v>
      </c>
    </row>
    <row r="1609" spans="5:23" x14ac:dyDescent="0.25">
      <c r="E1609" s="4"/>
      <c r="F1609" s="4"/>
      <c r="G1609" s="33" t="str">
        <f>IFERROR(VLOOKUP($D1609,'Informations sur les produits'!$A$3:$H$10000,8,FALSE),"0")</f>
        <v>0</v>
      </c>
      <c r="K1609" s="4"/>
      <c r="L1609" s="33" t="str">
        <f>IFERROR(VLOOKUP($J1609,'Informations sur les produits'!$A$3:$H$10000,8,FALSE),"0")</f>
        <v>0</v>
      </c>
      <c r="N1609" s="8"/>
      <c r="O1609" s="33" t="str">
        <f>IFERROR(VLOOKUP($M1609,'Informations sur les produits'!$A$3:$H$10000,8,FALSE),"0")</f>
        <v>0</v>
      </c>
      <c r="P1609" s="33">
        <f t="shared" si="100"/>
        <v>0</v>
      </c>
      <c r="Q1609" s="31" t="str">
        <f t="shared" si="101"/>
        <v/>
      </c>
      <c r="R1609" s="32" t="str">
        <f>IFERROR(VLOOKUP($D1609,'Informations sur les produits'!$A$3:$B$15000,2,FALSE),"")</f>
        <v/>
      </c>
      <c r="V1609">
        <f t="shared" si="102"/>
        <v>0</v>
      </c>
      <c r="W1609">
        <f t="shared" si="103"/>
        <v>0</v>
      </c>
    </row>
    <row r="1610" spans="5:23" x14ac:dyDescent="0.25">
      <c r="E1610" s="4"/>
      <c r="F1610" s="4"/>
      <c r="G1610" s="33" t="str">
        <f>IFERROR(VLOOKUP($D1610,'Informations sur les produits'!$A$3:$H$10000,8,FALSE),"0")</f>
        <v>0</v>
      </c>
      <c r="K1610" s="4"/>
      <c r="L1610" s="33" t="str">
        <f>IFERROR(VLOOKUP($J1610,'Informations sur les produits'!$A$3:$H$10000,8,FALSE),"0")</f>
        <v>0</v>
      </c>
      <c r="N1610" s="8"/>
      <c r="O1610" s="33" t="str">
        <f>IFERROR(VLOOKUP($M1610,'Informations sur les produits'!$A$3:$H$10000,8,FALSE),"0")</f>
        <v>0</v>
      </c>
      <c r="P1610" s="33">
        <f t="shared" si="100"/>
        <v>0</v>
      </c>
      <c r="Q1610" s="31" t="str">
        <f t="shared" si="101"/>
        <v/>
      </c>
      <c r="R1610" s="32" t="str">
        <f>IFERROR(VLOOKUP($D1610,'Informations sur les produits'!$A$3:$B$15000,2,FALSE),"")</f>
        <v/>
      </c>
      <c r="V1610">
        <f t="shared" si="102"/>
        <v>0</v>
      </c>
      <c r="W1610">
        <f t="shared" si="103"/>
        <v>0</v>
      </c>
    </row>
    <row r="1611" spans="5:23" x14ac:dyDescent="0.25">
      <c r="E1611" s="4"/>
      <c r="F1611" s="4"/>
      <c r="G1611" s="33" t="str">
        <f>IFERROR(VLOOKUP($D1611,'Informations sur les produits'!$A$3:$H$10000,8,FALSE),"0")</f>
        <v>0</v>
      </c>
      <c r="K1611" s="4"/>
      <c r="L1611" s="33" t="str">
        <f>IFERROR(VLOOKUP($J1611,'Informations sur les produits'!$A$3:$H$10000,8,FALSE),"0")</f>
        <v>0</v>
      </c>
      <c r="N1611" s="8"/>
      <c r="O1611" s="33" t="str">
        <f>IFERROR(VLOOKUP($M1611,'Informations sur les produits'!$A$3:$H$10000,8,FALSE),"0")</f>
        <v>0</v>
      </c>
      <c r="P1611" s="33">
        <f t="shared" si="100"/>
        <v>0</v>
      </c>
      <c r="Q1611" s="31" t="str">
        <f t="shared" si="101"/>
        <v/>
      </c>
      <c r="R1611" s="32" t="str">
        <f>IFERROR(VLOOKUP($D1611,'Informations sur les produits'!$A$3:$B$15000,2,FALSE),"")</f>
        <v/>
      </c>
      <c r="V1611">
        <f t="shared" si="102"/>
        <v>0</v>
      </c>
      <c r="W1611">
        <f t="shared" si="103"/>
        <v>0</v>
      </c>
    </row>
    <row r="1612" spans="5:23" x14ac:dyDescent="0.25">
      <c r="E1612" s="4"/>
      <c r="F1612" s="4"/>
      <c r="G1612" s="33" t="str">
        <f>IFERROR(VLOOKUP($D1612,'Informations sur les produits'!$A$3:$H$10000,8,FALSE),"0")</f>
        <v>0</v>
      </c>
      <c r="K1612" s="4"/>
      <c r="L1612" s="33" t="str">
        <f>IFERROR(VLOOKUP($J1612,'Informations sur les produits'!$A$3:$H$10000,8,FALSE),"0")</f>
        <v>0</v>
      </c>
      <c r="N1612" s="8"/>
      <c r="O1612" s="33" t="str">
        <f>IFERROR(VLOOKUP($M1612,'Informations sur les produits'!$A$3:$H$10000,8,FALSE),"0")</f>
        <v>0</v>
      </c>
      <c r="P1612" s="33">
        <f t="shared" si="100"/>
        <v>0</v>
      </c>
      <c r="Q1612" s="31" t="str">
        <f t="shared" si="101"/>
        <v/>
      </c>
      <c r="R1612" s="32" t="str">
        <f>IFERROR(VLOOKUP($D1612,'Informations sur les produits'!$A$3:$B$15000,2,FALSE),"")</f>
        <v/>
      </c>
      <c r="V1612">
        <f t="shared" si="102"/>
        <v>0</v>
      </c>
      <c r="W1612">
        <f t="shared" si="103"/>
        <v>0</v>
      </c>
    </row>
    <row r="1613" spans="5:23" x14ac:dyDescent="0.25">
      <c r="E1613" s="4"/>
      <c r="F1613" s="4"/>
      <c r="G1613" s="33" t="str">
        <f>IFERROR(VLOOKUP($D1613,'Informations sur les produits'!$A$3:$H$10000,8,FALSE),"0")</f>
        <v>0</v>
      </c>
      <c r="K1613" s="4"/>
      <c r="L1613" s="33" t="str">
        <f>IFERROR(VLOOKUP($J1613,'Informations sur les produits'!$A$3:$H$10000,8,FALSE),"0")</f>
        <v>0</v>
      </c>
      <c r="N1613" s="8"/>
      <c r="O1613" s="33" t="str">
        <f>IFERROR(VLOOKUP($M1613,'Informations sur les produits'!$A$3:$H$10000,8,FALSE),"0")</f>
        <v>0</v>
      </c>
      <c r="P1613" s="33">
        <f t="shared" si="100"/>
        <v>0</v>
      </c>
      <c r="Q1613" s="31" t="str">
        <f t="shared" si="101"/>
        <v/>
      </c>
      <c r="R1613" s="32" t="str">
        <f>IFERROR(VLOOKUP($D1613,'Informations sur les produits'!$A$3:$B$15000,2,FALSE),"")</f>
        <v/>
      </c>
      <c r="V1613">
        <f t="shared" si="102"/>
        <v>0</v>
      </c>
      <c r="W1613">
        <f t="shared" si="103"/>
        <v>0</v>
      </c>
    </row>
    <row r="1614" spans="5:23" x14ac:dyDescent="0.25">
      <c r="E1614" s="4"/>
      <c r="F1614" s="4"/>
      <c r="G1614" s="33" t="str">
        <f>IFERROR(VLOOKUP($D1614,'Informations sur les produits'!$A$3:$H$10000,8,FALSE),"0")</f>
        <v>0</v>
      </c>
      <c r="K1614" s="4"/>
      <c r="L1614" s="33" t="str">
        <f>IFERROR(VLOOKUP($J1614,'Informations sur les produits'!$A$3:$H$10000,8,FALSE),"0")</f>
        <v>0</v>
      </c>
      <c r="N1614" s="8"/>
      <c r="O1614" s="33" t="str">
        <f>IFERROR(VLOOKUP($M1614,'Informations sur les produits'!$A$3:$H$10000,8,FALSE),"0")</f>
        <v>0</v>
      </c>
      <c r="P1614" s="33">
        <f t="shared" si="100"/>
        <v>0</v>
      </c>
      <c r="Q1614" s="31" t="str">
        <f t="shared" si="101"/>
        <v/>
      </c>
      <c r="R1614" s="32" t="str">
        <f>IFERROR(VLOOKUP($D1614,'Informations sur les produits'!$A$3:$B$15000,2,FALSE),"")</f>
        <v/>
      </c>
      <c r="V1614">
        <f t="shared" si="102"/>
        <v>0</v>
      </c>
      <c r="W1614">
        <f t="shared" si="103"/>
        <v>0</v>
      </c>
    </row>
    <row r="1615" spans="5:23" x14ac:dyDescent="0.25">
      <c r="E1615" s="4"/>
      <c r="F1615" s="4"/>
      <c r="G1615" s="33" t="str">
        <f>IFERROR(VLOOKUP($D1615,'Informations sur les produits'!$A$3:$H$10000,8,FALSE),"0")</f>
        <v>0</v>
      </c>
      <c r="K1615" s="4"/>
      <c r="L1615" s="33" t="str">
        <f>IFERROR(VLOOKUP($J1615,'Informations sur les produits'!$A$3:$H$10000,8,FALSE),"0")</f>
        <v>0</v>
      </c>
      <c r="N1615" s="8"/>
      <c r="O1615" s="33" t="str">
        <f>IFERROR(VLOOKUP($M1615,'Informations sur les produits'!$A$3:$H$10000,8,FALSE),"0")</f>
        <v>0</v>
      </c>
      <c r="P1615" s="33">
        <f t="shared" si="100"/>
        <v>0</v>
      </c>
      <c r="Q1615" s="31" t="str">
        <f t="shared" si="101"/>
        <v/>
      </c>
      <c r="R1615" s="32" t="str">
        <f>IFERROR(VLOOKUP($D1615,'Informations sur les produits'!$A$3:$B$15000,2,FALSE),"")</f>
        <v/>
      </c>
      <c r="V1615">
        <f t="shared" si="102"/>
        <v>0</v>
      </c>
      <c r="W1615">
        <f t="shared" si="103"/>
        <v>0</v>
      </c>
    </row>
    <row r="1616" spans="5:23" x14ac:dyDescent="0.25">
      <c r="E1616" s="4"/>
      <c r="F1616" s="4"/>
      <c r="G1616" s="33" t="str">
        <f>IFERROR(VLOOKUP($D1616,'Informations sur les produits'!$A$3:$H$10000,8,FALSE),"0")</f>
        <v>0</v>
      </c>
      <c r="K1616" s="4"/>
      <c r="L1616" s="33" t="str">
        <f>IFERROR(VLOOKUP($J1616,'Informations sur les produits'!$A$3:$H$10000,8,FALSE),"0")</f>
        <v>0</v>
      </c>
      <c r="N1616" s="8"/>
      <c r="O1616" s="33" t="str">
        <f>IFERROR(VLOOKUP($M1616,'Informations sur les produits'!$A$3:$H$10000,8,FALSE),"0")</f>
        <v>0</v>
      </c>
      <c r="P1616" s="33">
        <f t="shared" si="100"/>
        <v>0</v>
      </c>
      <c r="Q1616" s="31" t="str">
        <f t="shared" si="101"/>
        <v/>
      </c>
      <c r="R1616" s="32" t="str">
        <f>IFERROR(VLOOKUP($D1616,'Informations sur les produits'!$A$3:$B$15000,2,FALSE),"")</f>
        <v/>
      </c>
      <c r="V1616">
        <f t="shared" si="102"/>
        <v>0</v>
      </c>
      <c r="W1616">
        <f t="shared" si="103"/>
        <v>0</v>
      </c>
    </row>
    <row r="1617" spans="5:23" x14ac:dyDescent="0.25">
      <c r="E1617" s="4"/>
      <c r="F1617" s="4"/>
      <c r="G1617" s="33" t="str">
        <f>IFERROR(VLOOKUP($D1617,'Informations sur les produits'!$A$3:$H$10000,8,FALSE),"0")</f>
        <v>0</v>
      </c>
      <c r="K1617" s="4"/>
      <c r="L1617" s="33" t="str">
        <f>IFERROR(VLOOKUP($J1617,'Informations sur les produits'!$A$3:$H$10000,8,FALSE),"0")</f>
        <v>0</v>
      </c>
      <c r="N1617" s="8"/>
      <c r="O1617" s="33" t="str">
        <f>IFERROR(VLOOKUP($M1617,'Informations sur les produits'!$A$3:$H$10000,8,FALSE),"0")</f>
        <v>0</v>
      </c>
      <c r="P1617" s="33">
        <f t="shared" si="100"/>
        <v>0</v>
      </c>
      <c r="Q1617" s="31" t="str">
        <f t="shared" si="101"/>
        <v/>
      </c>
      <c r="R1617" s="32" t="str">
        <f>IFERROR(VLOOKUP($D1617,'Informations sur les produits'!$A$3:$B$15000,2,FALSE),"")</f>
        <v/>
      </c>
      <c r="V1617">
        <f t="shared" si="102"/>
        <v>0</v>
      </c>
      <c r="W1617">
        <f t="shared" si="103"/>
        <v>0</v>
      </c>
    </row>
    <row r="1618" spans="5:23" x14ac:dyDescent="0.25">
      <c r="E1618" s="4"/>
      <c r="F1618" s="4"/>
      <c r="G1618" s="33" t="str">
        <f>IFERROR(VLOOKUP($D1618,'Informations sur les produits'!$A$3:$H$10000,8,FALSE),"0")</f>
        <v>0</v>
      </c>
      <c r="K1618" s="4"/>
      <c r="L1618" s="33" t="str">
        <f>IFERROR(VLOOKUP($J1618,'Informations sur les produits'!$A$3:$H$10000,8,FALSE),"0")</f>
        <v>0</v>
      </c>
      <c r="N1618" s="8"/>
      <c r="O1618" s="33" t="str">
        <f>IFERROR(VLOOKUP($M1618,'Informations sur les produits'!$A$3:$H$10000,8,FALSE),"0")</f>
        <v>0</v>
      </c>
      <c r="P1618" s="33">
        <f t="shared" si="100"/>
        <v>0</v>
      </c>
      <c r="Q1618" s="31" t="str">
        <f t="shared" si="101"/>
        <v/>
      </c>
      <c r="R1618" s="32" t="str">
        <f>IFERROR(VLOOKUP($D1618,'Informations sur les produits'!$A$3:$B$15000,2,FALSE),"")</f>
        <v/>
      </c>
      <c r="V1618">
        <f t="shared" si="102"/>
        <v>0</v>
      </c>
      <c r="W1618">
        <f t="shared" si="103"/>
        <v>0</v>
      </c>
    </row>
    <row r="1619" spans="5:23" x14ac:dyDescent="0.25">
      <c r="E1619" s="4"/>
      <c r="F1619" s="4"/>
      <c r="G1619" s="33" t="str">
        <f>IFERROR(VLOOKUP($D1619,'Informations sur les produits'!$A$3:$H$10000,8,FALSE),"0")</f>
        <v>0</v>
      </c>
      <c r="K1619" s="4"/>
      <c r="L1619" s="33" t="str">
        <f>IFERROR(VLOOKUP($J1619,'Informations sur les produits'!$A$3:$H$10000,8,FALSE),"0")</f>
        <v>0</v>
      </c>
      <c r="N1619" s="8"/>
      <c r="O1619" s="33" t="str">
        <f>IFERROR(VLOOKUP($M1619,'Informations sur les produits'!$A$3:$H$10000,8,FALSE),"0")</f>
        <v>0</v>
      </c>
      <c r="P1619" s="33">
        <f t="shared" si="100"/>
        <v>0</v>
      </c>
      <c r="Q1619" s="31" t="str">
        <f t="shared" si="101"/>
        <v/>
      </c>
      <c r="R1619" s="32" t="str">
        <f>IFERROR(VLOOKUP($D1619,'Informations sur les produits'!$A$3:$B$15000,2,FALSE),"")</f>
        <v/>
      </c>
      <c r="V1619">
        <f t="shared" si="102"/>
        <v>0</v>
      </c>
      <c r="W1619">
        <f t="shared" si="103"/>
        <v>0</v>
      </c>
    </row>
    <row r="1620" spans="5:23" x14ac:dyDescent="0.25">
      <c r="E1620" s="4"/>
      <c r="F1620" s="4"/>
      <c r="G1620" s="33" t="str">
        <f>IFERROR(VLOOKUP($D1620,'Informations sur les produits'!$A$3:$H$10000,8,FALSE),"0")</f>
        <v>0</v>
      </c>
      <c r="K1620" s="4"/>
      <c r="L1620" s="33" t="str">
        <f>IFERROR(VLOOKUP($J1620,'Informations sur les produits'!$A$3:$H$10000,8,FALSE),"0")</f>
        <v>0</v>
      </c>
      <c r="N1620" s="8"/>
      <c r="O1620" s="33" t="str">
        <f>IFERROR(VLOOKUP($M1620,'Informations sur les produits'!$A$3:$H$10000,8,FALSE),"0")</f>
        <v>0</v>
      </c>
      <c r="P1620" s="33">
        <f t="shared" si="100"/>
        <v>0</v>
      </c>
      <c r="Q1620" s="31" t="str">
        <f t="shared" si="101"/>
        <v/>
      </c>
      <c r="R1620" s="32" t="str">
        <f>IFERROR(VLOOKUP($D1620,'Informations sur les produits'!$A$3:$B$15000,2,FALSE),"")</f>
        <v/>
      </c>
      <c r="V1620">
        <f t="shared" si="102"/>
        <v>0</v>
      </c>
      <c r="W1620">
        <f t="shared" si="103"/>
        <v>0</v>
      </c>
    </row>
    <row r="1621" spans="5:23" x14ac:dyDescent="0.25">
      <c r="E1621" s="4"/>
      <c r="F1621" s="4"/>
      <c r="G1621" s="33" t="str">
        <f>IFERROR(VLOOKUP($D1621,'Informations sur les produits'!$A$3:$H$10000,8,FALSE),"0")</f>
        <v>0</v>
      </c>
      <c r="K1621" s="4"/>
      <c r="L1621" s="33" t="str">
        <f>IFERROR(VLOOKUP($J1621,'Informations sur les produits'!$A$3:$H$10000,8,FALSE),"0")</f>
        <v>0</v>
      </c>
      <c r="N1621" s="8"/>
      <c r="O1621" s="33" t="str">
        <f>IFERROR(VLOOKUP($M1621,'Informations sur les produits'!$A$3:$H$10000,8,FALSE),"0")</f>
        <v>0</v>
      </c>
      <c r="P1621" s="33">
        <f t="shared" si="100"/>
        <v>0</v>
      </c>
      <c r="Q1621" s="31" t="str">
        <f t="shared" si="101"/>
        <v/>
      </c>
      <c r="R1621" s="32" t="str">
        <f>IFERROR(VLOOKUP($D1621,'Informations sur les produits'!$A$3:$B$15000,2,FALSE),"")</f>
        <v/>
      </c>
      <c r="V1621">
        <f t="shared" si="102"/>
        <v>0</v>
      </c>
      <c r="W1621">
        <f t="shared" si="103"/>
        <v>0</v>
      </c>
    </row>
    <row r="1622" spans="5:23" x14ac:dyDescent="0.25">
      <c r="E1622" s="4"/>
      <c r="F1622" s="4"/>
      <c r="G1622" s="33" t="str">
        <f>IFERROR(VLOOKUP($D1622,'Informations sur les produits'!$A$3:$H$10000,8,FALSE),"0")</f>
        <v>0</v>
      </c>
      <c r="K1622" s="4"/>
      <c r="L1622" s="33" t="str">
        <f>IFERROR(VLOOKUP($J1622,'Informations sur les produits'!$A$3:$H$10000,8,FALSE),"0")</f>
        <v>0</v>
      </c>
      <c r="N1622" s="8"/>
      <c r="O1622" s="33" t="str">
        <f>IFERROR(VLOOKUP($M1622,'Informations sur les produits'!$A$3:$H$10000,8,FALSE),"0")</f>
        <v>0</v>
      </c>
      <c r="P1622" s="33">
        <f t="shared" si="100"/>
        <v>0</v>
      </c>
      <c r="Q1622" s="31" t="str">
        <f t="shared" si="101"/>
        <v/>
      </c>
      <c r="R1622" s="32" t="str">
        <f>IFERROR(VLOOKUP($D1622,'Informations sur les produits'!$A$3:$B$15000,2,FALSE),"")</f>
        <v/>
      </c>
      <c r="V1622">
        <f t="shared" si="102"/>
        <v>0</v>
      </c>
      <c r="W1622">
        <f t="shared" si="103"/>
        <v>0</v>
      </c>
    </row>
    <row r="1623" spans="5:23" x14ac:dyDescent="0.25">
      <c r="E1623" s="4"/>
      <c r="F1623" s="4"/>
      <c r="G1623" s="33" t="str">
        <f>IFERROR(VLOOKUP($D1623,'Informations sur les produits'!$A$3:$H$10000,8,FALSE),"0")</f>
        <v>0</v>
      </c>
      <c r="K1623" s="4"/>
      <c r="L1623" s="33" t="str">
        <f>IFERROR(VLOOKUP($J1623,'Informations sur les produits'!$A$3:$H$10000,8,FALSE),"0")</f>
        <v>0</v>
      </c>
      <c r="N1623" s="8"/>
      <c r="O1623" s="33" t="str">
        <f>IFERROR(VLOOKUP($M1623,'Informations sur les produits'!$A$3:$H$10000,8,FALSE),"0")</f>
        <v>0</v>
      </c>
      <c r="P1623" s="33">
        <f t="shared" si="100"/>
        <v>0</v>
      </c>
      <c r="Q1623" s="31" t="str">
        <f t="shared" si="101"/>
        <v/>
      </c>
      <c r="R1623" s="32" t="str">
        <f>IFERROR(VLOOKUP($D1623,'Informations sur les produits'!$A$3:$B$15000,2,FALSE),"")</f>
        <v/>
      </c>
      <c r="V1623">
        <f t="shared" si="102"/>
        <v>0</v>
      </c>
      <c r="W1623">
        <f t="shared" si="103"/>
        <v>0</v>
      </c>
    </row>
    <row r="1624" spans="5:23" x14ac:dyDescent="0.25">
      <c r="E1624" s="4"/>
      <c r="F1624" s="4"/>
      <c r="G1624" s="33" t="str">
        <f>IFERROR(VLOOKUP($D1624,'Informations sur les produits'!$A$3:$H$10000,8,FALSE),"0")</f>
        <v>0</v>
      </c>
      <c r="K1624" s="4"/>
      <c r="L1624" s="33" t="str">
        <f>IFERROR(VLOOKUP($J1624,'Informations sur les produits'!$A$3:$H$10000,8,FALSE),"0")</f>
        <v>0</v>
      </c>
      <c r="N1624" s="8"/>
      <c r="O1624" s="33" t="str">
        <f>IFERROR(VLOOKUP($M1624,'Informations sur les produits'!$A$3:$H$10000,8,FALSE),"0")</f>
        <v>0</v>
      </c>
      <c r="P1624" s="33">
        <f t="shared" si="100"/>
        <v>0</v>
      </c>
      <c r="Q1624" s="31" t="str">
        <f t="shared" si="101"/>
        <v/>
      </c>
      <c r="R1624" s="32" t="str">
        <f>IFERROR(VLOOKUP($D1624,'Informations sur les produits'!$A$3:$B$15000,2,FALSE),"")</f>
        <v/>
      </c>
      <c r="V1624">
        <f t="shared" si="102"/>
        <v>0</v>
      </c>
      <c r="W1624">
        <f t="shared" si="103"/>
        <v>0</v>
      </c>
    </row>
    <row r="1625" spans="5:23" x14ac:dyDescent="0.25">
      <c r="E1625" s="4"/>
      <c r="F1625" s="4"/>
      <c r="G1625" s="33" t="str">
        <f>IFERROR(VLOOKUP($D1625,'Informations sur les produits'!$A$3:$H$10000,8,FALSE),"0")</f>
        <v>0</v>
      </c>
      <c r="K1625" s="4"/>
      <c r="L1625" s="33" t="str">
        <f>IFERROR(VLOOKUP($J1625,'Informations sur les produits'!$A$3:$H$10000,8,FALSE),"0")</f>
        <v>0</v>
      </c>
      <c r="N1625" s="8"/>
      <c r="O1625" s="33" t="str">
        <f>IFERROR(VLOOKUP($M1625,'Informations sur les produits'!$A$3:$H$10000,8,FALSE),"0")</f>
        <v>0</v>
      </c>
      <c r="P1625" s="33">
        <f t="shared" si="100"/>
        <v>0</v>
      </c>
      <c r="Q1625" s="31" t="str">
        <f t="shared" si="101"/>
        <v/>
      </c>
      <c r="R1625" s="32" t="str">
        <f>IFERROR(VLOOKUP($D1625,'Informations sur les produits'!$A$3:$B$15000,2,FALSE),"")</f>
        <v/>
      </c>
      <c r="V1625">
        <f t="shared" si="102"/>
        <v>0</v>
      </c>
      <c r="W1625">
        <f t="shared" si="103"/>
        <v>0</v>
      </c>
    </row>
    <row r="1626" spans="5:23" x14ac:dyDescent="0.25">
      <c r="E1626" s="4"/>
      <c r="F1626" s="4"/>
      <c r="G1626" s="33" t="str">
        <f>IFERROR(VLOOKUP($D1626,'Informations sur les produits'!$A$3:$H$10000,8,FALSE),"0")</f>
        <v>0</v>
      </c>
      <c r="K1626" s="4"/>
      <c r="L1626" s="33" t="str">
        <f>IFERROR(VLOOKUP($J1626,'Informations sur les produits'!$A$3:$H$10000,8,FALSE),"0")</f>
        <v>0</v>
      </c>
      <c r="N1626" s="8"/>
      <c r="O1626" s="33" t="str">
        <f>IFERROR(VLOOKUP($M1626,'Informations sur les produits'!$A$3:$H$10000,8,FALSE),"0")</f>
        <v>0</v>
      </c>
      <c r="P1626" s="33">
        <f t="shared" si="100"/>
        <v>0</v>
      </c>
      <c r="Q1626" s="31" t="str">
        <f t="shared" si="101"/>
        <v/>
      </c>
      <c r="R1626" s="32" t="str">
        <f>IFERROR(VLOOKUP($D1626,'Informations sur les produits'!$A$3:$B$15000,2,FALSE),"")</f>
        <v/>
      </c>
      <c r="V1626">
        <f t="shared" si="102"/>
        <v>0</v>
      </c>
      <c r="W1626">
        <f t="shared" si="103"/>
        <v>0</v>
      </c>
    </row>
    <row r="1627" spans="5:23" x14ac:dyDescent="0.25">
      <c r="E1627" s="4"/>
      <c r="F1627" s="4"/>
      <c r="G1627" s="33" t="str">
        <f>IFERROR(VLOOKUP($D1627,'Informations sur les produits'!$A$3:$H$10000,8,FALSE),"0")</f>
        <v>0</v>
      </c>
      <c r="K1627" s="4"/>
      <c r="L1627" s="33" t="str">
        <f>IFERROR(VLOOKUP($J1627,'Informations sur les produits'!$A$3:$H$10000,8,FALSE),"0")</f>
        <v>0</v>
      </c>
      <c r="N1627" s="8"/>
      <c r="O1627" s="33" t="str">
        <f>IFERROR(VLOOKUP($M1627,'Informations sur les produits'!$A$3:$H$10000,8,FALSE),"0")</f>
        <v>0</v>
      </c>
      <c r="P1627" s="33">
        <f t="shared" si="100"/>
        <v>0</v>
      </c>
      <c r="Q1627" s="31" t="str">
        <f t="shared" si="101"/>
        <v/>
      </c>
      <c r="R1627" s="32" t="str">
        <f>IFERROR(VLOOKUP($D1627,'Informations sur les produits'!$A$3:$B$15000,2,FALSE),"")</f>
        <v/>
      </c>
      <c r="V1627">
        <f t="shared" si="102"/>
        <v>0</v>
      </c>
      <c r="W1627">
        <f t="shared" si="103"/>
        <v>0</v>
      </c>
    </row>
    <row r="1628" spans="5:23" x14ac:dyDescent="0.25">
      <c r="E1628" s="4"/>
      <c r="F1628" s="4"/>
      <c r="G1628" s="33" t="str">
        <f>IFERROR(VLOOKUP($D1628,'Informations sur les produits'!$A$3:$H$10000,8,FALSE),"0")</f>
        <v>0</v>
      </c>
      <c r="K1628" s="4"/>
      <c r="L1628" s="33" t="str">
        <f>IFERROR(VLOOKUP($J1628,'Informations sur les produits'!$A$3:$H$10000,8,FALSE),"0")</f>
        <v>0</v>
      </c>
      <c r="N1628" s="8"/>
      <c r="O1628" s="33" t="str">
        <f>IFERROR(VLOOKUP($M1628,'Informations sur les produits'!$A$3:$H$10000,8,FALSE),"0")</f>
        <v>0</v>
      </c>
      <c r="P1628" s="33">
        <f t="shared" si="100"/>
        <v>0</v>
      </c>
      <c r="Q1628" s="31" t="str">
        <f t="shared" si="101"/>
        <v/>
      </c>
      <c r="R1628" s="32" t="str">
        <f>IFERROR(VLOOKUP($D1628,'Informations sur les produits'!$A$3:$B$15000,2,FALSE),"")</f>
        <v/>
      </c>
      <c r="V1628">
        <f t="shared" si="102"/>
        <v>0</v>
      </c>
      <c r="W1628">
        <f t="shared" si="103"/>
        <v>0</v>
      </c>
    </row>
    <row r="1629" spans="5:23" x14ac:dyDescent="0.25">
      <c r="E1629" s="4"/>
      <c r="F1629" s="4"/>
      <c r="G1629" s="33" t="str">
        <f>IFERROR(VLOOKUP($D1629,'Informations sur les produits'!$A$3:$H$10000,8,FALSE),"0")</f>
        <v>0</v>
      </c>
      <c r="K1629" s="4"/>
      <c r="L1629" s="33" t="str">
        <f>IFERROR(VLOOKUP($J1629,'Informations sur les produits'!$A$3:$H$10000,8,FALSE),"0")</f>
        <v>0</v>
      </c>
      <c r="N1629" s="8"/>
      <c r="O1629" s="33" t="str">
        <f>IFERROR(VLOOKUP($M1629,'Informations sur les produits'!$A$3:$H$10000,8,FALSE),"0")</f>
        <v>0</v>
      </c>
      <c r="P1629" s="33">
        <f t="shared" si="100"/>
        <v>0</v>
      </c>
      <c r="Q1629" s="31" t="str">
        <f t="shared" si="101"/>
        <v/>
      </c>
      <c r="R1629" s="32" t="str">
        <f>IFERROR(VLOOKUP($D1629,'Informations sur les produits'!$A$3:$B$15000,2,FALSE),"")</f>
        <v/>
      </c>
      <c r="V1629">
        <f t="shared" si="102"/>
        <v>0</v>
      </c>
      <c r="W1629">
        <f t="shared" si="103"/>
        <v>0</v>
      </c>
    </row>
    <row r="1630" spans="5:23" x14ac:dyDescent="0.25">
      <c r="E1630" s="4"/>
      <c r="F1630" s="4"/>
      <c r="G1630" s="33" t="str">
        <f>IFERROR(VLOOKUP($D1630,'Informations sur les produits'!$A$3:$H$10000,8,FALSE),"0")</f>
        <v>0</v>
      </c>
      <c r="K1630" s="4"/>
      <c r="L1630" s="33" t="str">
        <f>IFERROR(VLOOKUP($J1630,'Informations sur les produits'!$A$3:$H$10000,8,FALSE),"0")</f>
        <v>0</v>
      </c>
      <c r="N1630" s="8"/>
      <c r="O1630" s="33" t="str">
        <f>IFERROR(VLOOKUP($M1630,'Informations sur les produits'!$A$3:$H$10000,8,FALSE),"0")</f>
        <v>0</v>
      </c>
      <c r="P1630" s="33">
        <f t="shared" si="100"/>
        <v>0</v>
      </c>
      <c r="Q1630" s="31" t="str">
        <f t="shared" si="101"/>
        <v/>
      </c>
      <c r="R1630" s="32" t="str">
        <f>IFERROR(VLOOKUP($D1630,'Informations sur les produits'!$A$3:$B$15000,2,FALSE),"")</f>
        <v/>
      </c>
      <c r="V1630">
        <f t="shared" si="102"/>
        <v>0</v>
      </c>
      <c r="W1630">
        <f t="shared" si="103"/>
        <v>0</v>
      </c>
    </row>
    <row r="1631" spans="5:23" x14ac:dyDescent="0.25">
      <c r="E1631" s="4"/>
      <c r="F1631" s="4"/>
      <c r="G1631" s="33" t="str">
        <f>IFERROR(VLOOKUP($D1631,'Informations sur les produits'!$A$3:$H$10000,8,FALSE),"0")</f>
        <v>0</v>
      </c>
      <c r="K1631" s="4"/>
      <c r="L1631" s="33" t="str">
        <f>IFERROR(VLOOKUP($J1631,'Informations sur les produits'!$A$3:$H$10000,8,FALSE),"0")</f>
        <v>0</v>
      </c>
      <c r="N1631" s="8"/>
      <c r="O1631" s="33" t="str">
        <f>IFERROR(VLOOKUP($M1631,'Informations sur les produits'!$A$3:$H$10000,8,FALSE),"0")</f>
        <v>0</v>
      </c>
      <c r="P1631" s="33">
        <f t="shared" si="100"/>
        <v>0</v>
      </c>
      <c r="Q1631" s="31" t="str">
        <f t="shared" si="101"/>
        <v/>
      </c>
      <c r="R1631" s="32" t="str">
        <f>IFERROR(VLOOKUP($D1631,'Informations sur les produits'!$A$3:$B$15000,2,FALSE),"")</f>
        <v/>
      </c>
      <c r="V1631">
        <f t="shared" si="102"/>
        <v>0</v>
      </c>
      <c r="W1631">
        <f t="shared" si="103"/>
        <v>0</v>
      </c>
    </row>
    <row r="1632" spans="5:23" x14ac:dyDescent="0.25">
      <c r="E1632" s="4"/>
      <c r="F1632" s="4"/>
      <c r="G1632" s="33" t="str">
        <f>IFERROR(VLOOKUP($D1632,'Informations sur les produits'!$A$3:$H$10000,8,FALSE),"0")</f>
        <v>0</v>
      </c>
      <c r="K1632" s="4"/>
      <c r="L1632" s="33" t="str">
        <f>IFERROR(VLOOKUP($J1632,'Informations sur les produits'!$A$3:$H$10000,8,FALSE),"0")</f>
        <v>0</v>
      </c>
      <c r="N1632" s="8"/>
      <c r="O1632" s="33" t="str">
        <f>IFERROR(VLOOKUP($M1632,'Informations sur les produits'!$A$3:$H$10000,8,FALSE),"0")</f>
        <v>0</v>
      </c>
      <c r="P1632" s="33">
        <f t="shared" si="100"/>
        <v>0</v>
      </c>
      <c r="Q1632" s="31" t="str">
        <f t="shared" si="101"/>
        <v/>
      </c>
      <c r="R1632" s="32" t="str">
        <f>IFERROR(VLOOKUP($D1632,'Informations sur les produits'!$A$3:$B$15000,2,FALSE),"")</f>
        <v/>
      </c>
      <c r="V1632">
        <f t="shared" si="102"/>
        <v>0</v>
      </c>
      <c r="W1632">
        <f t="shared" si="103"/>
        <v>0</v>
      </c>
    </row>
    <row r="1633" spans="5:23" x14ac:dyDescent="0.25">
      <c r="E1633" s="4"/>
      <c r="F1633" s="4"/>
      <c r="G1633" s="33" t="str">
        <f>IFERROR(VLOOKUP($D1633,'Informations sur les produits'!$A$3:$H$10000,8,FALSE),"0")</f>
        <v>0</v>
      </c>
      <c r="K1633" s="4"/>
      <c r="L1633" s="33" t="str">
        <f>IFERROR(VLOOKUP($J1633,'Informations sur les produits'!$A$3:$H$10000,8,FALSE),"0")</f>
        <v>0</v>
      </c>
      <c r="N1633" s="8"/>
      <c r="O1633" s="33" t="str">
        <f>IFERROR(VLOOKUP($M1633,'Informations sur les produits'!$A$3:$H$10000,8,FALSE),"0")</f>
        <v>0</v>
      </c>
      <c r="P1633" s="33">
        <f t="shared" si="100"/>
        <v>0</v>
      </c>
      <c r="Q1633" s="31" t="str">
        <f t="shared" si="101"/>
        <v/>
      </c>
      <c r="R1633" s="32" t="str">
        <f>IFERROR(VLOOKUP($D1633,'Informations sur les produits'!$A$3:$B$15000,2,FALSE),"")</f>
        <v/>
      </c>
      <c r="V1633">
        <f t="shared" si="102"/>
        <v>0</v>
      </c>
      <c r="W1633">
        <f t="shared" si="103"/>
        <v>0</v>
      </c>
    </row>
    <row r="1634" spans="5:23" x14ac:dyDescent="0.25">
      <c r="E1634" s="4"/>
      <c r="F1634" s="4"/>
      <c r="G1634" s="33" t="str">
        <f>IFERROR(VLOOKUP($D1634,'Informations sur les produits'!$A$3:$H$10000,8,FALSE),"0")</f>
        <v>0</v>
      </c>
      <c r="K1634" s="4"/>
      <c r="L1634" s="33" t="str">
        <f>IFERROR(VLOOKUP($J1634,'Informations sur les produits'!$A$3:$H$10000,8,FALSE),"0")</f>
        <v>0</v>
      </c>
      <c r="N1634" s="8"/>
      <c r="O1634" s="33" t="str">
        <f>IFERROR(VLOOKUP($M1634,'Informations sur les produits'!$A$3:$H$10000,8,FALSE),"0")</f>
        <v>0</v>
      </c>
      <c r="P1634" s="33">
        <f t="shared" si="100"/>
        <v>0</v>
      </c>
      <c r="Q1634" s="31" t="str">
        <f t="shared" si="101"/>
        <v/>
      </c>
      <c r="R1634" s="32" t="str">
        <f>IFERROR(VLOOKUP($D1634,'Informations sur les produits'!$A$3:$B$15000,2,FALSE),"")</f>
        <v/>
      </c>
      <c r="V1634">
        <f t="shared" si="102"/>
        <v>0</v>
      </c>
      <c r="W1634">
        <f t="shared" si="103"/>
        <v>0</v>
      </c>
    </row>
    <row r="1635" spans="5:23" x14ac:dyDescent="0.25">
      <c r="E1635" s="4"/>
      <c r="F1635" s="4"/>
      <c r="G1635" s="33" t="str">
        <f>IFERROR(VLOOKUP($D1635,'Informations sur les produits'!$A$3:$H$10000,8,FALSE),"0")</f>
        <v>0</v>
      </c>
      <c r="K1635" s="4"/>
      <c r="L1635" s="33" t="str">
        <f>IFERROR(VLOOKUP($J1635,'Informations sur les produits'!$A$3:$H$10000,8,FALSE),"0")</f>
        <v>0</v>
      </c>
      <c r="N1635" s="8"/>
      <c r="O1635" s="33" t="str">
        <f>IFERROR(VLOOKUP($M1635,'Informations sur les produits'!$A$3:$H$10000,8,FALSE),"0")</f>
        <v>0</v>
      </c>
      <c r="P1635" s="33">
        <f t="shared" si="100"/>
        <v>0</v>
      </c>
      <c r="Q1635" s="31" t="str">
        <f t="shared" si="101"/>
        <v/>
      </c>
      <c r="R1635" s="32" t="str">
        <f>IFERROR(VLOOKUP($D1635,'Informations sur les produits'!$A$3:$B$15000,2,FALSE),"")</f>
        <v/>
      </c>
      <c r="V1635">
        <f t="shared" si="102"/>
        <v>0</v>
      </c>
      <c r="W1635">
        <f t="shared" si="103"/>
        <v>0</v>
      </c>
    </row>
    <row r="1636" spans="5:23" x14ac:dyDescent="0.25">
      <c r="E1636" s="4"/>
      <c r="F1636" s="4"/>
      <c r="G1636" s="33" t="str">
        <f>IFERROR(VLOOKUP($D1636,'Informations sur les produits'!$A$3:$H$10000,8,FALSE),"0")</f>
        <v>0</v>
      </c>
      <c r="K1636" s="4"/>
      <c r="L1636" s="33" t="str">
        <f>IFERROR(VLOOKUP($J1636,'Informations sur les produits'!$A$3:$H$10000,8,FALSE),"0")</f>
        <v>0</v>
      </c>
      <c r="N1636" s="8"/>
      <c r="O1636" s="33" t="str">
        <f>IFERROR(VLOOKUP($M1636,'Informations sur les produits'!$A$3:$H$10000,8,FALSE),"0")</f>
        <v>0</v>
      </c>
      <c r="P1636" s="33">
        <f t="shared" si="100"/>
        <v>0</v>
      </c>
      <c r="Q1636" s="31" t="str">
        <f t="shared" si="101"/>
        <v/>
      </c>
      <c r="R1636" s="32" t="str">
        <f>IFERROR(VLOOKUP($D1636,'Informations sur les produits'!$A$3:$B$15000,2,FALSE),"")</f>
        <v/>
      </c>
      <c r="V1636">
        <f t="shared" si="102"/>
        <v>0</v>
      </c>
      <c r="W1636">
        <f t="shared" si="103"/>
        <v>0</v>
      </c>
    </row>
    <row r="1637" spans="5:23" x14ac:dyDescent="0.25">
      <c r="E1637" s="4"/>
      <c r="F1637" s="4"/>
      <c r="G1637" s="33" t="str">
        <f>IFERROR(VLOOKUP($D1637,'Informations sur les produits'!$A$3:$H$10000,8,FALSE),"0")</f>
        <v>0</v>
      </c>
      <c r="K1637" s="4"/>
      <c r="L1637" s="33" t="str">
        <f>IFERROR(VLOOKUP($J1637,'Informations sur les produits'!$A$3:$H$10000,8,FALSE),"0")</f>
        <v>0</v>
      </c>
      <c r="N1637" s="8"/>
      <c r="O1637" s="33" t="str">
        <f>IFERROR(VLOOKUP($M1637,'Informations sur les produits'!$A$3:$H$10000,8,FALSE),"0")</f>
        <v>0</v>
      </c>
      <c r="P1637" s="33">
        <f t="shared" si="100"/>
        <v>0</v>
      </c>
      <c r="Q1637" s="31" t="str">
        <f t="shared" si="101"/>
        <v/>
      </c>
      <c r="R1637" s="32" t="str">
        <f>IFERROR(VLOOKUP($D1637,'Informations sur les produits'!$A$3:$B$15000,2,FALSE),"")</f>
        <v/>
      </c>
      <c r="V1637">
        <f t="shared" si="102"/>
        <v>0</v>
      </c>
      <c r="W1637">
        <f t="shared" si="103"/>
        <v>0</v>
      </c>
    </row>
    <row r="1638" spans="5:23" x14ac:dyDescent="0.25">
      <c r="E1638" s="4"/>
      <c r="F1638" s="4"/>
      <c r="G1638" s="33" t="str">
        <f>IFERROR(VLOOKUP($D1638,'Informations sur les produits'!$A$3:$H$10000,8,FALSE),"0")</f>
        <v>0</v>
      </c>
      <c r="K1638" s="4"/>
      <c r="L1638" s="33" t="str">
        <f>IFERROR(VLOOKUP($J1638,'Informations sur les produits'!$A$3:$H$10000,8,FALSE),"0")</f>
        <v>0</v>
      </c>
      <c r="N1638" s="8"/>
      <c r="O1638" s="33" t="str">
        <f>IFERROR(VLOOKUP($M1638,'Informations sur les produits'!$A$3:$H$10000,8,FALSE),"0")</f>
        <v>0</v>
      </c>
      <c r="P1638" s="33">
        <f t="shared" si="100"/>
        <v>0</v>
      </c>
      <c r="Q1638" s="31" t="str">
        <f t="shared" si="101"/>
        <v/>
      </c>
      <c r="R1638" s="32" t="str">
        <f>IFERROR(VLOOKUP($D1638,'Informations sur les produits'!$A$3:$B$15000,2,FALSE),"")</f>
        <v/>
      </c>
      <c r="V1638">
        <f t="shared" si="102"/>
        <v>0</v>
      </c>
      <c r="W1638">
        <f t="shared" si="103"/>
        <v>0</v>
      </c>
    </row>
    <row r="1639" spans="5:23" x14ac:dyDescent="0.25">
      <c r="E1639" s="4"/>
      <c r="F1639" s="4"/>
      <c r="G1639" s="33" t="str">
        <f>IFERROR(VLOOKUP($D1639,'Informations sur les produits'!$A$3:$H$10000,8,FALSE),"0")</f>
        <v>0</v>
      </c>
      <c r="K1639" s="4"/>
      <c r="L1639" s="33" t="str">
        <f>IFERROR(VLOOKUP($J1639,'Informations sur les produits'!$A$3:$H$10000,8,FALSE),"0")</f>
        <v>0</v>
      </c>
      <c r="N1639" s="8"/>
      <c r="O1639" s="33" t="str">
        <f>IFERROR(VLOOKUP($M1639,'Informations sur les produits'!$A$3:$H$10000,8,FALSE),"0")</f>
        <v>0</v>
      </c>
      <c r="P1639" s="33">
        <f t="shared" si="100"/>
        <v>0</v>
      </c>
      <c r="Q1639" s="31" t="str">
        <f t="shared" si="101"/>
        <v/>
      </c>
      <c r="R1639" s="32" t="str">
        <f>IFERROR(VLOOKUP($D1639,'Informations sur les produits'!$A$3:$B$15000,2,FALSE),"")</f>
        <v/>
      </c>
      <c r="V1639">
        <f t="shared" si="102"/>
        <v>0</v>
      </c>
      <c r="W1639">
        <f t="shared" si="103"/>
        <v>0</v>
      </c>
    </row>
    <row r="1640" spans="5:23" x14ac:dyDescent="0.25">
      <c r="E1640" s="4"/>
      <c r="F1640" s="4"/>
      <c r="G1640" s="33" t="str">
        <f>IFERROR(VLOOKUP($D1640,'Informations sur les produits'!$A$3:$H$10000,8,FALSE),"0")</f>
        <v>0</v>
      </c>
      <c r="K1640" s="4"/>
      <c r="L1640" s="33" t="str">
        <f>IFERROR(VLOOKUP($J1640,'Informations sur les produits'!$A$3:$H$10000,8,FALSE),"0")</f>
        <v>0</v>
      </c>
      <c r="N1640" s="8"/>
      <c r="O1640" s="33" t="str">
        <f>IFERROR(VLOOKUP($M1640,'Informations sur les produits'!$A$3:$H$10000,8,FALSE),"0")</f>
        <v>0</v>
      </c>
      <c r="P1640" s="33">
        <f t="shared" si="100"/>
        <v>0</v>
      </c>
      <c r="Q1640" s="31" t="str">
        <f t="shared" si="101"/>
        <v/>
      </c>
      <c r="R1640" s="32" t="str">
        <f>IFERROR(VLOOKUP($D1640,'Informations sur les produits'!$A$3:$B$15000,2,FALSE),"")</f>
        <v/>
      </c>
      <c r="V1640">
        <f t="shared" si="102"/>
        <v>0</v>
      </c>
      <c r="W1640">
        <f t="shared" si="103"/>
        <v>0</v>
      </c>
    </row>
    <row r="1641" spans="5:23" x14ac:dyDescent="0.25">
      <c r="E1641" s="4"/>
      <c r="F1641" s="4"/>
      <c r="G1641" s="33" t="str">
        <f>IFERROR(VLOOKUP($D1641,'Informations sur les produits'!$A$3:$H$10000,8,FALSE),"0")</f>
        <v>0</v>
      </c>
      <c r="K1641" s="4"/>
      <c r="L1641" s="33" t="str">
        <f>IFERROR(VLOOKUP($J1641,'Informations sur les produits'!$A$3:$H$10000,8,FALSE),"0")</f>
        <v>0</v>
      </c>
      <c r="N1641" s="8"/>
      <c r="O1641" s="33" t="str">
        <f>IFERROR(VLOOKUP($M1641,'Informations sur les produits'!$A$3:$H$10000,8,FALSE),"0")</f>
        <v>0</v>
      </c>
      <c r="P1641" s="33">
        <f t="shared" si="100"/>
        <v>0</v>
      </c>
      <c r="Q1641" s="31" t="str">
        <f t="shared" si="101"/>
        <v/>
      </c>
      <c r="R1641" s="32" t="str">
        <f>IFERROR(VLOOKUP($D1641,'Informations sur les produits'!$A$3:$B$15000,2,FALSE),"")</f>
        <v/>
      </c>
      <c r="V1641">
        <f t="shared" si="102"/>
        <v>0</v>
      </c>
      <c r="W1641">
        <f t="shared" si="103"/>
        <v>0</v>
      </c>
    </row>
    <row r="1642" spans="5:23" x14ac:dyDescent="0.25">
      <c r="E1642" s="4"/>
      <c r="F1642" s="4"/>
      <c r="G1642" s="33" t="str">
        <f>IFERROR(VLOOKUP($D1642,'Informations sur les produits'!$A$3:$H$10000,8,FALSE),"0")</f>
        <v>0</v>
      </c>
      <c r="K1642" s="4"/>
      <c r="L1642" s="33" t="str">
        <f>IFERROR(VLOOKUP($J1642,'Informations sur les produits'!$A$3:$H$10000,8,FALSE),"0")</f>
        <v>0</v>
      </c>
      <c r="N1642" s="8"/>
      <c r="O1642" s="33" t="str">
        <f>IFERROR(VLOOKUP($M1642,'Informations sur les produits'!$A$3:$H$10000,8,FALSE),"0")</f>
        <v>0</v>
      </c>
      <c r="P1642" s="33">
        <f t="shared" si="100"/>
        <v>0</v>
      </c>
      <c r="Q1642" s="31" t="str">
        <f t="shared" si="101"/>
        <v/>
      </c>
      <c r="R1642" s="32" t="str">
        <f>IFERROR(VLOOKUP($D1642,'Informations sur les produits'!$A$3:$B$15000,2,FALSE),"")</f>
        <v/>
      </c>
      <c r="V1642">
        <f t="shared" si="102"/>
        <v>0</v>
      </c>
      <c r="W1642">
        <f t="shared" si="103"/>
        <v>0</v>
      </c>
    </row>
    <row r="1643" spans="5:23" x14ac:dyDescent="0.25">
      <c r="E1643" s="4"/>
      <c r="F1643" s="4"/>
      <c r="G1643" s="33" t="str">
        <f>IFERROR(VLOOKUP($D1643,'Informations sur les produits'!$A$3:$H$10000,8,FALSE),"0")</f>
        <v>0</v>
      </c>
      <c r="K1643" s="4"/>
      <c r="L1643" s="33" t="str">
        <f>IFERROR(VLOOKUP($J1643,'Informations sur les produits'!$A$3:$H$10000,8,FALSE),"0")</f>
        <v>0</v>
      </c>
      <c r="N1643" s="8"/>
      <c r="O1643" s="33" t="str">
        <f>IFERROR(VLOOKUP($M1643,'Informations sur les produits'!$A$3:$H$10000,8,FALSE),"0")</f>
        <v>0</v>
      </c>
      <c r="P1643" s="33">
        <f t="shared" si="100"/>
        <v>0</v>
      </c>
      <c r="Q1643" s="31" t="str">
        <f t="shared" si="101"/>
        <v/>
      </c>
      <c r="R1643" s="32" t="str">
        <f>IFERROR(VLOOKUP($D1643,'Informations sur les produits'!$A$3:$B$15000,2,FALSE),"")</f>
        <v/>
      </c>
      <c r="V1643">
        <f t="shared" si="102"/>
        <v>0</v>
      </c>
      <c r="W1643">
        <f t="shared" si="103"/>
        <v>0</v>
      </c>
    </row>
    <row r="1644" spans="5:23" x14ac:dyDescent="0.25">
      <c r="E1644" s="4"/>
      <c r="F1644" s="4"/>
      <c r="G1644" s="33" t="str">
        <f>IFERROR(VLOOKUP($D1644,'Informations sur les produits'!$A$3:$H$10000,8,FALSE),"0")</f>
        <v>0</v>
      </c>
      <c r="K1644" s="4"/>
      <c r="L1644" s="33" t="str">
        <f>IFERROR(VLOOKUP($J1644,'Informations sur les produits'!$A$3:$H$10000,8,FALSE),"0")</f>
        <v>0</v>
      </c>
      <c r="N1644" s="8"/>
      <c r="O1644" s="33" t="str">
        <f>IFERROR(VLOOKUP($M1644,'Informations sur les produits'!$A$3:$H$10000,8,FALSE),"0")</f>
        <v>0</v>
      </c>
      <c r="P1644" s="33">
        <f t="shared" si="100"/>
        <v>0</v>
      </c>
      <c r="Q1644" s="31" t="str">
        <f t="shared" si="101"/>
        <v/>
      </c>
      <c r="R1644" s="32" t="str">
        <f>IFERROR(VLOOKUP($D1644,'Informations sur les produits'!$A$3:$B$15000,2,FALSE),"")</f>
        <v/>
      </c>
      <c r="V1644">
        <f t="shared" si="102"/>
        <v>0</v>
      </c>
      <c r="W1644">
        <f t="shared" si="103"/>
        <v>0</v>
      </c>
    </row>
    <row r="1645" spans="5:23" x14ac:dyDescent="0.25">
      <c r="E1645" s="4"/>
      <c r="F1645" s="4"/>
      <c r="G1645" s="33" t="str">
        <f>IFERROR(VLOOKUP($D1645,'Informations sur les produits'!$A$3:$H$10000,8,FALSE),"0")</f>
        <v>0</v>
      </c>
      <c r="K1645" s="4"/>
      <c r="L1645" s="33" t="str">
        <f>IFERROR(VLOOKUP($J1645,'Informations sur les produits'!$A$3:$H$10000,8,FALSE),"0")</f>
        <v>0</v>
      </c>
      <c r="N1645" s="8"/>
      <c r="O1645" s="33" t="str">
        <f>IFERROR(VLOOKUP($M1645,'Informations sur les produits'!$A$3:$H$10000,8,FALSE),"0")</f>
        <v>0</v>
      </c>
      <c r="P1645" s="33">
        <f t="shared" si="100"/>
        <v>0</v>
      </c>
      <c r="Q1645" s="31" t="str">
        <f t="shared" si="101"/>
        <v/>
      </c>
      <c r="R1645" s="32" t="str">
        <f>IFERROR(VLOOKUP($D1645,'Informations sur les produits'!$A$3:$B$15000,2,FALSE),"")</f>
        <v/>
      </c>
      <c r="V1645">
        <f t="shared" si="102"/>
        <v>0</v>
      </c>
      <c r="W1645">
        <f t="shared" si="103"/>
        <v>0</v>
      </c>
    </row>
    <row r="1646" spans="5:23" x14ac:dyDescent="0.25">
      <c r="E1646" s="4"/>
      <c r="F1646" s="4"/>
      <c r="G1646" s="33" t="str">
        <f>IFERROR(VLOOKUP($D1646,'Informations sur les produits'!$A$3:$H$10000,8,FALSE),"0")</f>
        <v>0</v>
      </c>
      <c r="K1646" s="4"/>
      <c r="L1646" s="33" t="str">
        <f>IFERROR(VLOOKUP($J1646,'Informations sur les produits'!$A$3:$H$10000,8,FALSE),"0")</f>
        <v>0</v>
      </c>
      <c r="N1646" s="8"/>
      <c r="O1646" s="33" t="str">
        <f>IFERROR(VLOOKUP($M1646,'Informations sur les produits'!$A$3:$H$10000,8,FALSE),"0")</f>
        <v>0</v>
      </c>
      <c r="P1646" s="33">
        <f t="shared" si="100"/>
        <v>0</v>
      </c>
      <c r="Q1646" s="31" t="str">
        <f t="shared" si="101"/>
        <v/>
      </c>
      <c r="R1646" s="32" t="str">
        <f>IFERROR(VLOOKUP($D1646,'Informations sur les produits'!$A$3:$B$15000,2,FALSE),"")</f>
        <v/>
      </c>
      <c r="V1646">
        <f t="shared" si="102"/>
        <v>0</v>
      </c>
      <c r="W1646">
        <f t="shared" si="103"/>
        <v>0</v>
      </c>
    </row>
    <row r="1647" spans="5:23" x14ac:dyDescent="0.25">
      <c r="E1647" s="4"/>
      <c r="F1647" s="4"/>
      <c r="G1647" s="33" t="str">
        <f>IFERROR(VLOOKUP($D1647,'Informations sur les produits'!$A$3:$H$10000,8,FALSE),"0")</f>
        <v>0</v>
      </c>
      <c r="K1647" s="4"/>
      <c r="L1647" s="33" t="str">
        <f>IFERROR(VLOOKUP($J1647,'Informations sur les produits'!$A$3:$H$10000,8,FALSE),"0")</f>
        <v>0</v>
      </c>
      <c r="N1647" s="8"/>
      <c r="O1647" s="33" t="str">
        <f>IFERROR(VLOOKUP($M1647,'Informations sur les produits'!$A$3:$H$10000,8,FALSE),"0")</f>
        <v>0</v>
      </c>
      <c r="P1647" s="33">
        <f t="shared" si="100"/>
        <v>0</v>
      </c>
      <c r="Q1647" s="31" t="str">
        <f t="shared" si="101"/>
        <v/>
      </c>
      <c r="R1647" s="32" t="str">
        <f>IFERROR(VLOOKUP($D1647,'Informations sur les produits'!$A$3:$B$15000,2,FALSE),"")</f>
        <v/>
      </c>
      <c r="V1647">
        <f t="shared" si="102"/>
        <v>0</v>
      </c>
      <c r="W1647">
        <f t="shared" si="103"/>
        <v>0</v>
      </c>
    </row>
    <row r="1648" spans="5:23" x14ac:dyDescent="0.25">
      <c r="E1648" s="4"/>
      <c r="F1648" s="4"/>
      <c r="G1648" s="33" t="str">
        <f>IFERROR(VLOOKUP($D1648,'Informations sur les produits'!$A$3:$H$10000,8,FALSE),"0")</f>
        <v>0</v>
      </c>
      <c r="K1648" s="4"/>
      <c r="L1648" s="33" t="str">
        <f>IFERROR(VLOOKUP($J1648,'Informations sur les produits'!$A$3:$H$10000,8,FALSE),"0")</f>
        <v>0</v>
      </c>
      <c r="N1648" s="8"/>
      <c r="O1648" s="33" t="str">
        <f>IFERROR(VLOOKUP($M1648,'Informations sur les produits'!$A$3:$H$10000,8,FALSE),"0")</f>
        <v>0</v>
      </c>
      <c r="P1648" s="33">
        <f t="shared" si="100"/>
        <v>0</v>
      </c>
      <c r="Q1648" s="31" t="str">
        <f t="shared" si="101"/>
        <v/>
      </c>
      <c r="R1648" s="32" t="str">
        <f>IFERROR(VLOOKUP($D1648,'Informations sur les produits'!$A$3:$B$15000,2,FALSE),"")</f>
        <v/>
      </c>
      <c r="V1648">
        <f t="shared" si="102"/>
        <v>0</v>
      </c>
      <c r="W1648">
        <f t="shared" si="103"/>
        <v>0</v>
      </c>
    </row>
    <row r="1649" spans="5:23" x14ac:dyDescent="0.25">
      <c r="E1649" s="4"/>
      <c r="F1649" s="4"/>
      <c r="G1649" s="33" t="str">
        <f>IFERROR(VLOOKUP($D1649,'Informations sur les produits'!$A$3:$H$10000,8,FALSE),"0")</f>
        <v>0</v>
      </c>
      <c r="K1649" s="4"/>
      <c r="L1649" s="33" t="str">
        <f>IFERROR(VLOOKUP($J1649,'Informations sur les produits'!$A$3:$H$10000,8,FALSE),"0")</f>
        <v>0</v>
      </c>
      <c r="N1649" s="8"/>
      <c r="O1649" s="33" t="str">
        <f>IFERROR(VLOOKUP($M1649,'Informations sur les produits'!$A$3:$H$10000,8,FALSE),"0")</f>
        <v>0</v>
      </c>
      <c r="P1649" s="33">
        <f t="shared" si="100"/>
        <v>0</v>
      </c>
      <c r="Q1649" s="31" t="str">
        <f t="shared" si="101"/>
        <v/>
      </c>
      <c r="R1649" s="32" t="str">
        <f>IFERROR(VLOOKUP($D1649,'Informations sur les produits'!$A$3:$B$15000,2,FALSE),"")</f>
        <v/>
      </c>
      <c r="V1649">
        <f t="shared" si="102"/>
        <v>0</v>
      </c>
      <c r="W1649">
        <f t="shared" si="103"/>
        <v>0</v>
      </c>
    </row>
    <row r="1650" spans="5:23" x14ac:dyDescent="0.25">
      <c r="E1650" s="4"/>
      <c r="F1650" s="4"/>
      <c r="G1650" s="33" t="str">
        <f>IFERROR(VLOOKUP($D1650,'Informations sur les produits'!$A$3:$H$10000,8,FALSE),"0")</f>
        <v>0</v>
      </c>
      <c r="K1650" s="4"/>
      <c r="L1650" s="33" t="str">
        <f>IFERROR(VLOOKUP($J1650,'Informations sur les produits'!$A$3:$H$10000,8,FALSE),"0")</f>
        <v>0</v>
      </c>
      <c r="N1650" s="8"/>
      <c r="O1650" s="33" t="str">
        <f>IFERROR(VLOOKUP($M1650,'Informations sur les produits'!$A$3:$H$10000,8,FALSE),"0")</f>
        <v>0</v>
      </c>
      <c r="P1650" s="33">
        <f t="shared" si="100"/>
        <v>0</v>
      </c>
      <c r="Q1650" s="31" t="str">
        <f t="shared" si="101"/>
        <v/>
      </c>
      <c r="R1650" s="32" t="str">
        <f>IFERROR(VLOOKUP($D1650,'Informations sur les produits'!$A$3:$B$15000,2,FALSE),"")</f>
        <v/>
      </c>
      <c r="V1650">
        <f t="shared" si="102"/>
        <v>0</v>
      </c>
      <c r="W1650">
        <f t="shared" si="103"/>
        <v>0</v>
      </c>
    </row>
    <row r="1651" spans="5:23" x14ac:dyDescent="0.25">
      <c r="E1651" s="4"/>
      <c r="F1651" s="4"/>
      <c r="G1651" s="33" t="str">
        <f>IFERROR(VLOOKUP($D1651,'Informations sur les produits'!$A$3:$H$10000,8,FALSE),"0")</f>
        <v>0</v>
      </c>
      <c r="K1651" s="4"/>
      <c r="L1651" s="33" t="str">
        <f>IFERROR(VLOOKUP($J1651,'Informations sur les produits'!$A$3:$H$10000,8,FALSE),"0")</f>
        <v>0</v>
      </c>
      <c r="N1651" s="8"/>
      <c r="O1651" s="33" t="str">
        <f>IFERROR(VLOOKUP($M1651,'Informations sur les produits'!$A$3:$H$10000,8,FALSE),"0")</f>
        <v>0</v>
      </c>
      <c r="P1651" s="33">
        <f t="shared" si="100"/>
        <v>0</v>
      </c>
      <c r="Q1651" s="31" t="str">
        <f t="shared" si="101"/>
        <v/>
      </c>
      <c r="R1651" s="32" t="str">
        <f>IFERROR(VLOOKUP($D1651,'Informations sur les produits'!$A$3:$B$15000,2,FALSE),"")</f>
        <v/>
      </c>
      <c r="V1651">
        <f t="shared" si="102"/>
        <v>0</v>
      </c>
      <c r="W1651">
        <f t="shared" si="103"/>
        <v>0</v>
      </c>
    </row>
    <row r="1652" spans="5:23" x14ac:dyDescent="0.25">
      <c r="E1652" s="4"/>
      <c r="F1652" s="4"/>
      <c r="G1652" s="33" t="str">
        <f>IFERROR(VLOOKUP($D1652,'Informations sur les produits'!$A$3:$H$10000,8,FALSE),"0")</f>
        <v>0</v>
      </c>
      <c r="K1652" s="4"/>
      <c r="L1652" s="33" t="str">
        <f>IFERROR(VLOOKUP($J1652,'Informations sur les produits'!$A$3:$H$10000,8,FALSE),"0")</f>
        <v>0</v>
      </c>
      <c r="N1652" s="8"/>
      <c r="O1652" s="33" t="str">
        <f>IFERROR(VLOOKUP($M1652,'Informations sur les produits'!$A$3:$H$10000,8,FALSE),"0")</f>
        <v>0</v>
      </c>
      <c r="P1652" s="33">
        <f t="shared" si="100"/>
        <v>0</v>
      </c>
      <c r="Q1652" s="31" t="str">
        <f t="shared" si="101"/>
        <v/>
      </c>
      <c r="R1652" s="32" t="str">
        <f>IFERROR(VLOOKUP($D1652,'Informations sur les produits'!$A$3:$B$15000,2,FALSE),"")</f>
        <v/>
      </c>
      <c r="V1652">
        <f t="shared" si="102"/>
        <v>0</v>
      </c>
      <c r="W1652">
        <f t="shared" si="103"/>
        <v>0</v>
      </c>
    </row>
    <row r="1653" spans="5:23" x14ac:dyDescent="0.25">
      <c r="E1653" s="4"/>
      <c r="F1653" s="4"/>
      <c r="G1653" s="33" t="str">
        <f>IFERROR(VLOOKUP($D1653,'Informations sur les produits'!$A$3:$H$10000,8,FALSE),"0")</f>
        <v>0</v>
      </c>
      <c r="K1653" s="4"/>
      <c r="L1653" s="33" t="str">
        <f>IFERROR(VLOOKUP($J1653,'Informations sur les produits'!$A$3:$H$10000,8,FALSE),"0")</f>
        <v>0</v>
      </c>
      <c r="N1653" s="8"/>
      <c r="O1653" s="33" t="str">
        <f>IFERROR(VLOOKUP($M1653,'Informations sur les produits'!$A$3:$H$10000,8,FALSE),"0")</f>
        <v>0</v>
      </c>
      <c r="P1653" s="33">
        <f t="shared" si="100"/>
        <v>0</v>
      </c>
      <c r="Q1653" s="31" t="str">
        <f t="shared" si="101"/>
        <v/>
      </c>
      <c r="R1653" s="32" t="str">
        <f>IFERROR(VLOOKUP($D1653,'Informations sur les produits'!$A$3:$B$15000,2,FALSE),"")</f>
        <v/>
      </c>
      <c r="V1653">
        <f t="shared" si="102"/>
        <v>0</v>
      </c>
      <c r="W1653">
        <f t="shared" si="103"/>
        <v>0</v>
      </c>
    </row>
    <row r="1654" spans="5:23" x14ac:dyDescent="0.25">
      <c r="E1654" s="4"/>
      <c r="F1654" s="4"/>
      <c r="G1654" s="33" t="str">
        <f>IFERROR(VLOOKUP($D1654,'Informations sur les produits'!$A$3:$H$10000,8,FALSE),"0")</f>
        <v>0</v>
      </c>
      <c r="K1654" s="4"/>
      <c r="L1654" s="33" t="str">
        <f>IFERROR(VLOOKUP($J1654,'Informations sur les produits'!$A$3:$H$10000,8,FALSE),"0")</f>
        <v>0</v>
      </c>
      <c r="N1654" s="8"/>
      <c r="O1654" s="33" t="str">
        <f>IFERROR(VLOOKUP($M1654,'Informations sur les produits'!$A$3:$H$10000,8,FALSE),"0")</f>
        <v>0</v>
      </c>
      <c r="P1654" s="33">
        <f t="shared" si="100"/>
        <v>0</v>
      </c>
      <c r="Q1654" s="31" t="str">
        <f t="shared" si="101"/>
        <v/>
      </c>
      <c r="R1654" s="32" t="str">
        <f>IFERROR(VLOOKUP($D1654,'Informations sur les produits'!$A$3:$B$15000,2,FALSE),"")</f>
        <v/>
      </c>
      <c r="V1654">
        <f t="shared" si="102"/>
        <v>0</v>
      </c>
      <c r="W1654">
        <f t="shared" si="103"/>
        <v>0</v>
      </c>
    </row>
    <row r="1655" spans="5:23" x14ac:dyDescent="0.25">
      <c r="E1655" s="4"/>
      <c r="F1655" s="4"/>
      <c r="G1655" s="33" t="str">
        <f>IFERROR(VLOOKUP($D1655,'Informations sur les produits'!$A$3:$H$10000,8,FALSE),"0")</f>
        <v>0</v>
      </c>
      <c r="K1655" s="4"/>
      <c r="L1655" s="33" t="str">
        <f>IFERROR(VLOOKUP($J1655,'Informations sur les produits'!$A$3:$H$10000,8,FALSE),"0")</f>
        <v>0</v>
      </c>
      <c r="N1655" s="8"/>
      <c r="O1655" s="33" t="str">
        <f>IFERROR(VLOOKUP($M1655,'Informations sur les produits'!$A$3:$H$10000,8,FALSE),"0")</f>
        <v>0</v>
      </c>
      <c r="P1655" s="33">
        <f t="shared" si="100"/>
        <v>0</v>
      </c>
      <c r="Q1655" s="31" t="str">
        <f t="shared" si="101"/>
        <v/>
      </c>
      <c r="R1655" s="32" t="str">
        <f>IFERROR(VLOOKUP($D1655,'Informations sur les produits'!$A$3:$B$15000,2,FALSE),"")</f>
        <v/>
      </c>
      <c r="V1655">
        <f t="shared" si="102"/>
        <v>0</v>
      </c>
      <c r="W1655">
        <f t="shared" si="103"/>
        <v>0</v>
      </c>
    </row>
    <row r="1656" spans="5:23" x14ac:dyDescent="0.25">
      <c r="E1656" s="4"/>
      <c r="F1656" s="4"/>
      <c r="G1656" s="33" t="str">
        <f>IFERROR(VLOOKUP($D1656,'Informations sur les produits'!$A$3:$H$10000,8,FALSE),"0")</f>
        <v>0</v>
      </c>
      <c r="K1656" s="4"/>
      <c r="L1656" s="33" t="str">
        <f>IFERROR(VLOOKUP($J1656,'Informations sur les produits'!$A$3:$H$10000,8,FALSE),"0")</f>
        <v>0</v>
      </c>
      <c r="N1656" s="8"/>
      <c r="O1656" s="33" t="str">
        <f>IFERROR(VLOOKUP($M1656,'Informations sur les produits'!$A$3:$H$10000,8,FALSE),"0")</f>
        <v>0</v>
      </c>
      <c r="P1656" s="33">
        <f t="shared" si="100"/>
        <v>0</v>
      </c>
      <c r="Q1656" s="31" t="str">
        <f t="shared" si="101"/>
        <v/>
      </c>
      <c r="R1656" s="32" t="str">
        <f>IFERROR(VLOOKUP($D1656,'Informations sur les produits'!$A$3:$B$15000,2,FALSE),"")</f>
        <v/>
      </c>
      <c r="V1656">
        <f t="shared" si="102"/>
        <v>0</v>
      </c>
      <c r="W1656">
        <f t="shared" si="103"/>
        <v>0</v>
      </c>
    </row>
    <row r="1657" spans="5:23" x14ac:dyDescent="0.25">
      <c r="E1657" s="4"/>
      <c r="F1657" s="4"/>
      <c r="G1657" s="33" t="str">
        <f>IFERROR(VLOOKUP($D1657,'Informations sur les produits'!$A$3:$H$10000,8,FALSE),"0")</f>
        <v>0</v>
      </c>
      <c r="K1657" s="4"/>
      <c r="L1657" s="33" t="str">
        <f>IFERROR(VLOOKUP($J1657,'Informations sur les produits'!$A$3:$H$10000,8,FALSE),"0")</f>
        <v>0</v>
      </c>
      <c r="N1657" s="8"/>
      <c r="O1657" s="33" t="str">
        <f>IFERROR(VLOOKUP($M1657,'Informations sur les produits'!$A$3:$H$10000,8,FALSE),"0")</f>
        <v>0</v>
      </c>
      <c r="P1657" s="33">
        <f t="shared" si="100"/>
        <v>0</v>
      </c>
      <c r="Q1657" s="31" t="str">
        <f t="shared" si="101"/>
        <v/>
      </c>
      <c r="R1657" s="32" t="str">
        <f>IFERROR(VLOOKUP($D1657,'Informations sur les produits'!$A$3:$B$15000,2,FALSE),"")</f>
        <v/>
      </c>
      <c r="V1657">
        <f t="shared" si="102"/>
        <v>0</v>
      </c>
      <c r="W1657">
        <f t="shared" si="103"/>
        <v>0</v>
      </c>
    </row>
    <row r="1658" spans="5:23" x14ac:dyDescent="0.25">
      <c r="E1658" s="4"/>
      <c r="F1658" s="4"/>
      <c r="G1658" s="33" t="str">
        <f>IFERROR(VLOOKUP($D1658,'Informations sur les produits'!$A$3:$H$10000,8,FALSE),"0")</f>
        <v>0</v>
      </c>
      <c r="K1658" s="4"/>
      <c r="L1658" s="33" t="str">
        <f>IFERROR(VLOOKUP($J1658,'Informations sur les produits'!$A$3:$H$10000,8,FALSE),"0")</f>
        <v>0</v>
      </c>
      <c r="N1658" s="8"/>
      <c r="O1658" s="33" t="str">
        <f>IFERROR(VLOOKUP($M1658,'Informations sur les produits'!$A$3:$H$10000,8,FALSE),"0")</f>
        <v>0</v>
      </c>
      <c r="P1658" s="33">
        <f t="shared" si="100"/>
        <v>0</v>
      </c>
      <c r="Q1658" s="31" t="str">
        <f t="shared" si="101"/>
        <v/>
      </c>
      <c r="R1658" s="32" t="str">
        <f>IFERROR(VLOOKUP($D1658,'Informations sur les produits'!$A$3:$B$15000,2,FALSE),"")</f>
        <v/>
      </c>
      <c r="V1658">
        <f t="shared" si="102"/>
        <v>0</v>
      </c>
      <c r="W1658">
        <f t="shared" si="103"/>
        <v>0</v>
      </c>
    </row>
    <row r="1659" spans="5:23" x14ac:dyDescent="0.25">
      <c r="E1659" s="4"/>
      <c r="F1659" s="4"/>
      <c r="G1659" s="33" t="str">
        <f>IFERROR(VLOOKUP($D1659,'Informations sur les produits'!$A$3:$H$10000,8,FALSE),"0")</f>
        <v>0</v>
      </c>
      <c r="K1659" s="4"/>
      <c r="L1659" s="33" t="str">
        <f>IFERROR(VLOOKUP($J1659,'Informations sur les produits'!$A$3:$H$10000,8,FALSE),"0")</f>
        <v>0</v>
      </c>
      <c r="N1659" s="8"/>
      <c r="O1659" s="33" t="str">
        <f>IFERROR(VLOOKUP($M1659,'Informations sur les produits'!$A$3:$H$10000,8,FALSE),"0")</f>
        <v>0</v>
      </c>
      <c r="P1659" s="33">
        <f t="shared" si="100"/>
        <v>0</v>
      </c>
      <c r="Q1659" s="31" t="str">
        <f t="shared" si="101"/>
        <v/>
      </c>
      <c r="R1659" s="32" t="str">
        <f>IFERROR(VLOOKUP($D1659,'Informations sur les produits'!$A$3:$B$15000,2,FALSE),"")</f>
        <v/>
      </c>
      <c r="V1659">
        <f t="shared" si="102"/>
        <v>0</v>
      </c>
      <c r="W1659">
        <f t="shared" si="103"/>
        <v>0</v>
      </c>
    </row>
    <row r="1660" spans="5:23" x14ac:dyDescent="0.25">
      <c r="E1660" s="4"/>
      <c r="F1660" s="4"/>
      <c r="G1660" s="33" t="str">
        <f>IFERROR(VLOOKUP($D1660,'Informations sur les produits'!$A$3:$H$10000,8,FALSE),"0")</f>
        <v>0</v>
      </c>
      <c r="K1660" s="4"/>
      <c r="L1660" s="33" t="str">
        <f>IFERROR(VLOOKUP($J1660,'Informations sur les produits'!$A$3:$H$10000,8,FALSE),"0")</f>
        <v>0</v>
      </c>
      <c r="N1660" s="8"/>
      <c r="O1660" s="33" t="str">
        <f>IFERROR(VLOOKUP($M1660,'Informations sur les produits'!$A$3:$H$10000,8,FALSE),"0")</f>
        <v>0</v>
      </c>
      <c r="P1660" s="33">
        <f t="shared" si="100"/>
        <v>0</v>
      </c>
      <c r="Q1660" s="31" t="str">
        <f t="shared" si="101"/>
        <v/>
      </c>
      <c r="R1660" s="32" t="str">
        <f>IFERROR(VLOOKUP($D1660,'Informations sur les produits'!$A$3:$B$15000,2,FALSE),"")</f>
        <v/>
      </c>
      <c r="V1660">
        <f t="shared" si="102"/>
        <v>0</v>
      </c>
      <c r="W1660">
        <f t="shared" si="103"/>
        <v>0</v>
      </c>
    </row>
    <row r="1661" spans="5:23" x14ac:dyDescent="0.25">
      <c r="E1661" s="4"/>
      <c r="F1661" s="4"/>
      <c r="G1661" s="33" t="str">
        <f>IFERROR(VLOOKUP($D1661,'Informations sur les produits'!$A$3:$H$10000,8,FALSE),"0")</f>
        <v>0</v>
      </c>
      <c r="K1661" s="4"/>
      <c r="L1661" s="33" t="str">
        <f>IFERROR(VLOOKUP($J1661,'Informations sur les produits'!$A$3:$H$10000,8,FALSE),"0")</f>
        <v>0</v>
      </c>
      <c r="N1661" s="8"/>
      <c r="O1661" s="33" t="str">
        <f>IFERROR(VLOOKUP($M1661,'Informations sur les produits'!$A$3:$H$10000,8,FALSE),"0")</f>
        <v>0</v>
      </c>
      <c r="P1661" s="33">
        <f t="shared" si="100"/>
        <v>0</v>
      </c>
      <c r="Q1661" s="31" t="str">
        <f t="shared" si="101"/>
        <v/>
      </c>
      <c r="R1661" s="32" t="str">
        <f>IFERROR(VLOOKUP($D1661,'Informations sur les produits'!$A$3:$B$15000,2,FALSE),"")</f>
        <v/>
      </c>
      <c r="V1661">
        <f t="shared" si="102"/>
        <v>0</v>
      </c>
      <c r="W1661">
        <f t="shared" si="103"/>
        <v>0</v>
      </c>
    </row>
    <row r="1662" spans="5:23" x14ac:dyDescent="0.25">
      <c r="E1662" s="4"/>
      <c r="F1662" s="4"/>
      <c r="G1662" s="33" t="str">
        <f>IFERROR(VLOOKUP($D1662,'Informations sur les produits'!$A$3:$H$10000,8,FALSE),"0")</f>
        <v>0</v>
      </c>
      <c r="K1662" s="4"/>
      <c r="L1662" s="33" t="str">
        <f>IFERROR(VLOOKUP($J1662,'Informations sur les produits'!$A$3:$H$10000,8,FALSE),"0")</f>
        <v>0</v>
      </c>
      <c r="N1662" s="8"/>
      <c r="O1662" s="33" t="str">
        <f>IFERROR(VLOOKUP($M1662,'Informations sur les produits'!$A$3:$H$10000,8,FALSE),"0")</f>
        <v>0</v>
      </c>
      <c r="P1662" s="33">
        <f t="shared" si="100"/>
        <v>0</v>
      </c>
      <c r="Q1662" s="31" t="str">
        <f t="shared" si="101"/>
        <v/>
      </c>
      <c r="R1662" s="32" t="str">
        <f>IFERROR(VLOOKUP($D1662,'Informations sur les produits'!$A$3:$B$15000,2,FALSE),"")</f>
        <v/>
      </c>
      <c r="V1662">
        <f t="shared" si="102"/>
        <v>0</v>
      </c>
      <c r="W1662">
        <f t="shared" si="103"/>
        <v>0</v>
      </c>
    </row>
    <row r="1663" spans="5:23" x14ac:dyDescent="0.25">
      <c r="E1663" s="4"/>
      <c r="F1663" s="4"/>
      <c r="G1663" s="33" t="str">
        <f>IFERROR(VLOOKUP($D1663,'Informations sur les produits'!$A$3:$H$10000,8,FALSE),"0")</f>
        <v>0</v>
      </c>
      <c r="K1663" s="4"/>
      <c r="L1663" s="33" t="str">
        <f>IFERROR(VLOOKUP($J1663,'Informations sur les produits'!$A$3:$H$10000,8,FALSE),"0")</f>
        <v>0</v>
      </c>
      <c r="N1663" s="8"/>
      <c r="O1663" s="33" t="str">
        <f>IFERROR(VLOOKUP($M1663,'Informations sur les produits'!$A$3:$H$10000,8,FALSE),"0")</f>
        <v>0</v>
      </c>
      <c r="P1663" s="33">
        <f t="shared" si="100"/>
        <v>0</v>
      </c>
      <c r="Q1663" s="31" t="str">
        <f t="shared" si="101"/>
        <v/>
      </c>
      <c r="R1663" s="32" t="str">
        <f>IFERROR(VLOOKUP($D1663,'Informations sur les produits'!$A$3:$B$15000,2,FALSE),"")</f>
        <v/>
      </c>
      <c r="V1663">
        <f t="shared" si="102"/>
        <v>0</v>
      </c>
      <c r="W1663">
        <f t="shared" si="103"/>
        <v>0</v>
      </c>
    </row>
    <row r="1664" spans="5:23" x14ac:dyDescent="0.25">
      <c r="E1664" s="4"/>
      <c r="F1664" s="4"/>
      <c r="G1664" s="33" t="str">
        <f>IFERROR(VLOOKUP($D1664,'Informations sur les produits'!$A$3:$H$10000,8,FALSE),"0")</f>
        <v>0</v>
      </c>
      <c r="K1664" s="4"/>
      <c r="L1664" s="33" t="str">
        <f>IFERROR(VLOOKUP($J1664,'Informations sur les produits'!$A$3:$H$10000,8,FALSE),"0")</f>
        <v>0</v>
      </c>
      <c r="N1664" s="8"/>
      <c r="O1664" s="33" t="str">
        <f>IFERROR(VLOOKUP($M1664,'Informations sur les produits'!$A$3:$H$10000,8,FALSE),"0")</f>
        <v>0</v>
      </c>
      <c r="P1664" s="33">
        <f t="shared" si="100"/>
        <v>0</v>
      </c>
      <c r="Q1664" s="31" t="str">
        <f t="shared" si="101"/>
        <v/>
      </c>
      <c r="R1664" s="32" t="str">
        <f>IFERROR(VLOOKUP($D1664,'Informations sur les produits'!$A$3:$B$15000,2,FALSE),"")</f>
        <v/>
      </c>
      <c r="V1664">
        <f t="shared" si="102"/>
        <v>0</v>
      </c>
      <c r="W1664">
        <f t="shared" si="103"/>
        <v>0</v>
      </c>
    </row>
    <row r="1665" spans="5:23" x14ac:dyDescent="0.25">
      <c r="E1665" s="4"/>
      <c r="F1665" s="4"/>
      <c r="G1665" s="33" t="str">
        <f>IFERROR(VLOOKUP($D1665,'Informations sur les produits'!$A$3:$H$10000,8,FALSE),"0")</f>
        <v>0</v>
      </c>
      <c r="K1665" s="4"/>
      <c r="L1665" s="33" t="str">
        <f>IFERROR(VLOOKUP($J1665,'Informations sur les produits'!$A$3:$H$10000,8,FALSE),"0")</f>
        <v>0</v>
      </c>
      <c r="N1665" s="8"/>
      <c r="O1665" s="33" t="str">
        <f>IFERROR(VLOOKUP($M1665,'Informations sur les produits'!$A$3:$H$10000,8,FALSE),"0")</f>
        <v>0</v>
      </c>
      <c r="P1665" s="33">
        <f t="shared" si="100"/>
        <v>0</v>
      </c>
      <c r="Q1665" s="31" t="str">
        <f t="shared" si="101"/>
        <v/>
      </c>
      <c r="R1665" s="32" t="str">
        <f>IFERROR(VLOOKUP($D1665,'Informations sur les produits'!$A$3:$B$15000,2,FALSE),"")</f>
        <v/>
      </c>
      <c r="V1665">
        <f t="shared" si="102"/>
        <v>0</v>
      </c>
      <c r="W1665">
        <f t="shared" si="103"/>
        <v>0</v>
      </c>
    </row>
    <row r="1666" spans="5:23" x14ac:dyDescent="0.25">
      <c r="E1666" s="4"/>
      <c r="F1666" s="4"/>
      <c r="G1666" s="33" t="str">
        <f>IFERROR(VLOOKUP($D1666,'Informations sur les produits'!$A$3:$H$10000,8,FALSE),"0")</f>
        <v>0</v>
      </c>
      <c r="K1666" s="4"/>
      <c r="L1666" s="33" t="str">
        <f>IFERROR(VLOOKUP($J1666,'Informations sur les produits'!$A$3:$H$10000,8,FALSE),"0")</f>
        <v>0</v>
      </c>
      <c r="N1666" s="8"/>
      <c r="O1666" s="33" t="str">
        <f>IFERROR(VLOOKUP($M1666,'Informations sur les produits'!$A$3:$H$10000,8,FALSE),"0")</f>
        <v>0</v>
      </c>
      <c r="P1666" s="33">
        <f t="shared" si="100"/>
        <v>0</v>
      </c>
      <c r="Q1666" s="31" t="str">
        <f t="shared" si="101"/>
        <v/>
      </c>
      <c r="R1666" s="32" t="str">
        <f>IFERROR(VLOOKUP($D1666,'Informations sur les produits'!$A$3:$B$15000,2,FALSE),"")</f>
        <v/>
      </c>
      <c r="V1666">
        <f t="shared" si="102"/>
        <v>0</v>
      </c>
      <c r="W1666">
        <f t="shared" si="103"/>
        <v>0</v>
      </c>
    </row>
    <row r="1667" spans="5:23" x14ac:dyDescent="0.25">
      <c r="E1667" s="4"/>
      <c r="F1667" s="4"/>
      <c r="G1667" s="33" t="str">
        <f>IFERROR(VLOOKUP($D1667,'Informations sur les produits'!$A$3:$H$10000,8,FALSE),"0")</f>
        <v>0</v>
      </c>
      <c r="K1667" s="4"/>
      <c r="L1667" s="33" t="str">
        <f>IFERROR(VLOOKUP($J1667,'Informations sur les produits'!$A$3:$H$10000,8,FALSE),"0")</f>
        <v>0</v>
      </c>
      <c r="N1667" s="8"/>
      <c r="O1667" s="33" t="str">
        <f>IFERROR(VLOOKUP($M1667,'Informations sur les produits'!$A$3:$H$10000,8,FALSE),"0")</f>
        <v>0</v>
      </c>
      <c r="P1667" s="33">
        <f t="shared" si="100"/>
        <v>0</v>
      </c>
      <c r="Q1667" s="31" t="str">
        <f t="shared" si="101"/>
        <v/>
      </c>
      <c r="R1667" s="32" t="str">
        <f>IFERROR(VLOOKUP($D1667,'Informations sur les produits'!$A$3:$B$15000,2,FALSE),"")</f>
        <v/>
      </c>
      <c r="V1667">
        <f t="shared" si="102"/>
        <v>0</v>
      </c>
      <c r="W1667">
        <f t="shared" si="103"/>
        <v>0</v>
      </c>
    </row>
    <row r="1668" spans="5:23" x14ac:dyDescent="0.25">
      <c r="E1668" s="4"/>
      <c r="F1668" s="4"/>
      <c r="G1668" s="33" t="str">
        <f>IFERROR(VLOOKUP($D1668,'Informations sur les produits'!$A$3:$H$10000,8,FALSE),"0")</f>
        <v>0</v>
      </c>
      <c r="K1668" s="4"/>
      <c r="L1668" s="33" t="str">
        <f>IFERROR(VLOOKUP($J1668,'Informations sur les produits'!$A$3:$H$10000,8,FALSE),"0")</f>
        <v>0</v>
      </c>
      <c r="N1668" s="8"/>
      <c r="O1668" s="33" t="str">
        <f>IFERROR(VLOOKUP($M1668,'Informations sur les produits'!$A$3:$H$10000,8,FALSE),"0")</f>
        <v>0</v>
      </c>
      <c r="P1668" s="33">
        <f t="shared" ref="P1668:P1731" si="104">IFERROR((($E1668-$F1668)*$G1668+$K1668*$L1668+$N1668*$O1668),"")</f>
        <v>0</v>
      </c>
      <c r="Q1668" s="31" t="str">
        <f t="shared" ref="Q1668:Q1731" si="105">IFERROR((((($E1668-$F1668)*$G1668+$K1668*$L1668+$N1668*$O1668)*1000)/(($E1668-$F1668)+$K1668+$N1668)),"")</f>
        <v/>
      </c>
      <c r="R1668" s="32" t="str">
        <f>IFERROR(VLOOKUP($D1668,'Informations sur les produits'!$A$3:$B$15000,2,FALSE),"")</f>
        <v/>
      </c>
      <c r="V1668">
        <f t="shared" ref="V1668:V1731" si="106">IFERROR(P1668*1000,"")</f>
        <v>0</v>
      </c>
      <c r="W1668">
        <f t="shared" ref="W1668:W1731" si="107">IFERROR(($E1668-$F1668)+$K1668+$N1668,"")</f>
        <v>0</v>
      </c>
    </row>
    <row r="1669" spans="5:23" x14ac:dyDescent="0.25">
      <c r="E1669" s="4"/>
      <c r="F1669" s="4"/>
      <c r="G1669" s="33" t="str">
        <f>IFERROR(VLOOKUP($D1669,'Informations sur les produits'!$A$3:$H$10000,8,FALSE),"0")</f>
        <v>0</v>
      </c>
      <c r="K1669" s="4"/>
      <c r="L1669" s="33" t="str">
        <f>IFERROR(VLOOKUP($J1669,'Informations sur les produits'!$A$3:$H$10000,8,FALSE),"0")</f>
        <v>0</v>
      </c>
      <c r="N1669" s="8"/>
      <c r="O1669" s="33" t="str">
        <f>IFERROR(VLOOKUP($M1669,'Informations sur les produits'!$A$3:$H$10000,8,FALSE),"0")</f>
        <v>0</v>
      </c>
      <c r="P1669" s="33">
        <f t="shared" si="104"/>
        <v>0</v>
      </c>
      <c r="Q1669" s="31" t="str">
        <f t="shared" si="105"/>
        <v/>
      </c>
      <c r="R1669" s="32" t="str">
        <f>IFERROR(VLOOKUP($D1669,'Informations sur les produits'!$A$3:$B$15000,2,FALSE),"")</f>
        <v/>
      </c>
      <c r="V1669">
        <f t="shared" si="106"/>
        <v>0</v>
      </c>
      <c r="W1669">
        <f t="shared" si="107"/>
        <v>0</v>
      </c>
    </row>
    <row r="1670" spans="5:23" x14ac:dyDescent="0.25">
      <c r="E1670" s="4"/>
      <c r="F1670" s="4"/>
      <c r="G1670" s="33" t="str">
        <f>IFERROR(VLOOKUP($D1670,'Informations sur les produits'!$A$3:$H$10000,8,FALSE),"0")</f>
        <v>0</v>
      </c>
      <c r="K1670" s="4"/>
      <c r="L1670" s="33" t="str">
        <f>IFERROR(VLOOKUP($J1670,'Informations sur les produits'!$A$3:$H$10000,8,FALSE),"0")</f>
        <v>0</v>
      </c>
      <c r="N1670" s="8"/>
      <c r="O1670" s="33" t="str">
        <f>IFERROR(VLOOKUP($M1670,'Informations sur les produits'!$A$3:$H$10000,8,FALSE),"0")</f>
        <v>0</v>
      </c>
      <c r="P1670" s="33">
        <f t="shared" si="104"/>
        <v>0</v>
      </c>
      <c r="Q1670" s="31" t="str">
        <f t="shared" si="105"/>
        <v/>
      </c>
      <c r="R1670" s="32" t="str">
        <f>IFERROR(VLOOKUP($D1670,'Informations sur les produits'!$A$3:$B$15000,2,FALSE),"")</f>
        <v/>
      </c>
      <c r="V1670">
        <f t="shared" si="106"/>
        <v>0</v>
      </c>
      <c r="W1670">
        <f t="shared" si="107"/>
        <v>0</v>
      </c>
    </row>
    <row r="1671" spans="5:23" x14ac:dyDescent="0.25">
      <c r="E1671" s="4"/>
      <c r="F1671" s="4"/>
      <c r="G1671" s="33" t="str">
        <f>IFERROR(VLOOKUP($D1671,'Informations sur les produits'!$A$3:$H$10000,8,FALSE),"0")</f>
        <v>0</v>
      </c>
      <c r="K1671" s="4"/>
      <c r="L1671" s="33" t="str">
        <f>IFERROR(VLOOKUP($J1671,'Informations sur les produits'!$A$3:$H$10000,8,FALSE),"0")</f>
        <v>0</v>
      </c>
      <c r="N1671" s="8"/>
      <c r="O1671" s="33" t="str">
        <f>IFERROR(VLOOKUP($M1671,'Informations sur les produits'!$A$3:$H$10000,8,FALSE),"0")</f>
        <v>0</v>
      </c>
      <c r="P1671" s="33">
        <f t="shared" si="104"/>
        <v>0</v>
      </c>
      <c r="Q1671" s="31" t="str">
        <f t="shared" si="105"/>
        <v/>
      </c>
      <c r="R1671" s="32" t="str">
        <f>IFERROR(VLOOKUP($D1671,'Informations sur les produits'!$A$3:$B$15000,2,FALSE),"")</f>
        <v/>
      </c>
      <c r="V1671">
        <f t="shared" si="106"/>
        <v>0</v>
      </c>
      <c r="W1671">
        <f t="shared" si="107"/>
        <v>0</v>
      </c>
    </row>
    <row r="1672" spans="5:23" x14ac:dyDescent="0.25">
      <c r="E1672" s="4"/>
      <c r="F1672" s="4"/>
      <c r="G1672" s="33" t="str">
        <f>IFERROR(VLOOKUP($D1672,'Informations sur les produits'!$A$3:$H$10000,8,FALSE),"0")</f>
        <v>0</v>
      </c>
      <c r="K1672" s="4"/>
      <c r="L1672" s="33" t="str">
        <f>IFERROR(VLOOKUP($J1672,'Informations sur les produits'!$A$3:$H$10000,8,FALSE),"0")</f>
        <v>0</v>
      </c>
      <c r="N1672" s="8"/>
      <c r="O1672" s="33" t="str">
        <f>IFERROR(VLOOKUP($M1672,'Informations sur les produits'!$A$3:$H$10000,8,FALSE),"0")</f>
        <v>0</v>
      </c>
      <c r="P1672" s="33">
        <f t="shared" si="104"/>
        <v>0</v>
      </c>
      <c r="Q1672" s="31" t="str">
        <f t="shared" si="105"/>
        <v/>
      </c>
      <c r="R1672" s="32" t="str">
        <f>IFERROR(VLOOKUP($D1672,'Informations sur les produits'!$A$3:$B$15000,2,FALSE),"")</f>
        <v/>
      </c>
      <c r="V1672">
        <f t="shared" si="106"/>
        <v>0</v>
      </c>
      <c r="W1672">
        <f t="shared" si="107"/>
        <v>0</v>
      </c>
    </row>
    <row r="1673" spans="5:23" x14ac:dyDescent="0.25">
      <c r="E1673" s="4"/>
      <c r="F1673" s="4"/>
      <c r="G1673" s="33" t="str">
        <f>IFERROR(VLOOKUP($D1673,'Informations sur les produits'!$A$3:$H$10000,8,FALSE),"0")</f>
        <v>0</v>
      </c>
      <c r="K1673" s="4"/>
      <c r="L1673" s="33" t="str">
        <f>IFERROR(VLOOKUP($J1673,'Informations sur les produits'!$A$3:$H$10000,8,FALSE),"0")</f>
        <v>0</v>
      </c>
      <c r="N1673" s="8"/>
      <c r="O1673" s="33" t="str">
        <f>IFERROR(VLOOKUP($M1673,'Informations sur les produits'!$A$3:$H$10000,8,FALSE),"0")</f>
        <v>0</v>
      </c>
      <c r="P1673" s="33">
        <f t="shared" si="104"/>
        <v>0</v>
      </c>
      <c r="Q1673" s="31" t="str">
        <f t="shared" si="105"/>
        <v/>
      </c>
      <c r="R1673" s="32" t="str">
        <f>IFERROR(VLOOKUP($D1673,'Informations sur les produits'!$A$3:$B$15000,2,FALSE),"")</f>
        <v/>
      </c>
      <c r="V1673">
        <f t="shared" si="106"/>
        <v>0</v>
      </c>
      <c r="W1673">
        <f t="shared" si="107"/>
        <v>0</v>
      </c>
    </row>
    <row r="1674" spans="5:23" x14ac:dyDescent="0.25">
      <c r="E1674" s="4"/>
      <c r="F1674" s="4"/>
      <c r="G1674" s="33" t="str">
        <f>IFERROR(VLOOKUP($D1674,'Informations sur les produits'!$A$3:$H$10000,8,FALSE),"0")</f>
        <v>0</v>
      </c>
      <c r="K1674" s="4"/>
      <c r="L1674" s="33" t="str">
        <f>IFERROR(VLOOKUP($J1674,'Informations sur les produits'!$A$3:$H$10000,8,FALSE),"0")</f>
        <v>0</v>
      </c>
      <c r="N1674" s="8"/>
      <c r="O1674" s="33" t="str">
        <f>IFERROR(VLOOKUP($M1674,'Informations sur les produits'!$A$3:$H$10000,8,FALSE),"0")</f>
        <v>0</v>
      </c>
      <c r="P1674" s="33">
        <f t="shared" si="104"/>
        <v>0</v>
      </c>
      <c r="Q1674" s="31" t="str">
        <f t="shared" si="105"/>
        <v/>
      </c>
      <c r="R1674" s="32" t="str">
        <f>IFERROR(VLOOKUP($D1674,'Informations sur les produits'!$A$3:$B$15000,2,FALSE),"")</f>
        <v/>
      </c>
      <c r="V1674">
        <f t="shared" si="106"/>
        <v>0</v>
      </c>
      <c r="W1674">
        <f t="shared" si="107"/>
        <v>0</v>
      </c>
    </row>
    <row r="1675" spans="5:23" x14ac:dyDescent="0.25">
      <c r="E1675" s="4"/>
      <c r="F1675" s="4"/>
      <c r="G1675" s="33" t="str">
        <f>IFERROR(VLOOKUP($D1675,'Informations sur les produits'!$A$3:$H$10000,8,FALSE),"0")</f>
        <v>0</v>
      </c>
      <c r="K1675" s="4"/>
      <c r="L1675" s="33" t="str">
        <f>IFERROR(VLOOKUP($J1675,'Informations sur les produits'!$A$3:$H$10000,8,FALSE),"0")</f>
        <v>0</v>
      </c>
      <c r="N1675" s="8"/>
      <c r="O1675" s="33" t="str">
        <f>IFERROR(VLOOKUP($M1675,'Informations sur les produits'!$A$3:$H$10000,8,FALSE),"0")</f>
        <v>0</v>
      </c>
      <c r="P1675" s="33">
        <f t="shared" si="104"/>
        <v>0</v>
      </c>
      <c r="Q1675" s="31" t="str">
        <f t="shared" si="105"/>
        <v/>
      </c>
      <c r="R1675" s="32" t="str">
        <f>IFERROR(VLOOKUP($D1675,'Informations sur les produits'!$A$3:$B$15000,2,FALSE),"")</f>
        <v/>
      </c>
      <c r="V1675">
        <f t="shared" si="106"/>
        <v>0</v>
      </c>
      <c r="W1675">
        <f t="shared" si="107"/>
        <v>0</v>
      </c>
    </row>
    <row r="1676" spans="5:23" x14ac:dyDescent="0.25">
      <c r="E1676" s="4"/>
      <c r="F1676" s="4"/>
      <c r="G1676" s="33" t="str">
        <f>IFERROR(VLOOKUP($D1676,'Informations sur les produits'!$A$3:$H$10000,8,FALSE),"0")</f>
        <v>0</v>
      </c>
      <c r="K1676" s="4"/>
      <c r="L1676" s="33" t="str">
        <f>IFERROR(VLOOKUP($J1676,'Informations sur les produits'!$A$3:$H$10000,8,FALSE),"0")</f>
        <v>0</v>
      </c>
      <c r="N1676" s="8"/>
      <c r="O1676" s="33" t="str">
        <f>IFERROR(VLOOKUP($M1676,'Informations sur les produits'!$A$3:$H$10000,8,FALSE),"0")</f>
        <v>0</v>
      </c>
      <c r="P1676" s="33">
        <f t="shared" si="104"/>
        <v>0</v>
      </c>
      <c r="Q1676" s="31" t="str">
        <f t="shared" si="105"/>
        <v/>
      </c>
      <c r="R1676" s="32" t="str">
        <f>IFERROR(VLOOKUP($D1676,'Informations sur les produits'!$A$3:$B$15000,2,FALSE),"")</f>
        <v/>
      </c>
      <c r="V1676">
        <f t="shared" si="106"/>
        <v>0</v>
      </c>
      <c r="W1676">
        <f t="shared" si="107"/>
        <v>0</v>
      </c>
    </row>
    <row r="1677" spans="5:23" x14ac:dyDescent="0.25">
      <c r="E1677" s="4"/>
      <c r="F1677" s="4"/>
      <c r="G1677" s="33" t="str">
        <f>IFERROR(VLOOKUP($D1677,'Informations sur les produits'!$A$3:$H$10000,8,FALSE),"0")</f>
        <v>0</v>
      </c>
      <c r="K1677" s="4"/>
      <c r="L1677" s="33" t="str">
        <f>IFERROR(VLOOKUP($J1677,'Informations sur les produits'!$A$3:$H$10000,8,FALSE),"0")</f>
        <v>0</v>
      </c>
      <c r="N1677" s="8"/>
      <c r="O1677" s="33" t="str">
        <f>IFERROR(VLOOKUP($M1677,'Informations sur les produits'!$A$3:$H$10000,8,FALSE),"0")</f>
        <v>0</v>
      </c>
      <c r="P1677" s="33">
        <f t="shared" si="104"/>
        <v>0</v>
      </c>
      <c r="Q1677" s="31" t="str">
        <f t="shared" si="105"/>
        <v/>
      </c>
      <c r="R1677" s="32" t="str">
        <f>IFERROR(VLOOKUP($D1677,'Informations sur les produits'!$A$3:$B$15000,2,FALSE),"")</f>
        <v/>
      </c>
      <c r="V1677">
        <f t="shared" si="106"/>
        <v>0</v>
      </c>
      <c r="W1677">
        <f t="shared" si="107"/>
        <v>0</v>
      </c>
    </row>
    <row r="1678" spans="5:23" x14ac:dyDescent="0.25">
      <c r="E1678" s="4"/>
      <c r="F1678" s="4"/>
      <c r="G1678" s="33" t="str">
        <f>IFERROR(VLOOKUP($D1678,'Informations sur les produits'!$A$3:$H$10000,8,FALSE),"0")</f>
        <v>0</v>
      </c>
      <c r="K1678" s="4"/>
      <c r="L1678" s="33" t="str">
        <f>IFERROR(VLOOKUP($J1678,'Informations sur les produits'!$A$3:$H$10000,8,FALSE),"0")</f>
        <v>0</v>
      </c>
      <c r="N1678" s="8"/>
      <c r="O1678" s="33" t="str">
        <f>IFERROR(VLOOKUP($M1678,'Informations sur les produits'!$A$3:$H$10000,8,FALSE),"0")</f>
        <v>0</v>
      </c>
      <c r="P1678" s="33">
        <f t="shared" si="104"/>
        <v>0</v>
      </c>
      <c r="Q1678" s="31" t="str">
        <f t="shared" si="105"/>
        <v/>
      </c>
      <c r="R1678" s="32" t="str">
        <f>IFERROR(VLOOKUP($D1678,'Informations sur les produits'!$A$3:$B$15000,2,FALSE),"")</f>
        <v/>
      </c>
      <c r="V1678">
        <f t="shared" si="106"/>
        <v>0</v>
      </c>
      <c r="W1678">
        <f t="shared" si="107"/>
        <v>0</v>
      </c>
    </row>
    <row r="1679" spans="5:23" x14ac:dyDescent="0.25">
      <c r="E1679" s="4"/>
      <c r="F1679" s="4"/>
      <c r="G1679" s="33" t="str">
        <f>IFERROR(VLOOKUP($D1679,'Informations sur les produits'!$A$3:$H$10000,8,FALSE),"0")</f>
        <v>0</v>
      </c>
      <c r="K1679" s="4"/>
      <c r="L1679" s="33" t="str">
        <f>IFERROR(VLOOKUP($J1679,'Informations sur les produits'!$A$3:$H$10000,8,FALSE),"0")</f>
        <v>0</v>
      </c>
      <c r="N1679" s="8"/>
      <c r="O1679" s="33" t="str">
        <f>IFERROR(VLOOKUP($M1679,'Informations sur les produits'!$A$3:$H$10000,8,FALSE),"0")</f>
        <v>0</v>
      </c>
      <c r="P1679" s="33">
        <f t="shared" si="104"/>
        <v>0</v>
      </c>
      <c r="Q1679" s="31" t="str">
        <f t="shared" si="105"/>
        <v/>
      </c>
      <c r="R1679" s="32" t="str">
        <f>IFERROR(VLOOKUP($D1679,'Informations sur les produits'!$A$3:$B$15000,2,FALSE),"")</f>
        <v/>
      </c>
      <c r="V1679">
        <f t="shared" si="106"/>
        <v>0</v>
      </c>
      <c r="W1679">
        <f t="shared" si="107"/>
        <v>0</v>
      </c>
    </row>
    <row r="1680" spans="5:23" x14ac:dyDescent="0.25">
      <c r="E1680" s="4"/>
      <c r="F1680" s="4"/>
      <c r="G1680" s="33" t="str">
        <f>IFERROR(VLOOKUP($D1680,'Informations sur les produits'!$A$3:$H$10000,8,FALSE),"0")</f>
        <v>0</v>
      </c>
      <c r="K1680" s="4"/>
      <c r="L1680" s="33" t="str">
        <f>IFERROR(VLOOKUP($J1680,'Informations sur les produits'!$A$3:$H$10000,8,FALSE),"0")</f>
        <v>0</v>
      </c>
      <c r="N1680" s="8"/>
      <c r="O1680" s="33" t="str">
        <f>IFERROR(VLOOKUP($M1680,'Informations sur les produits'!$A$3:$H$10000,8,FALSE),"0")</f>
        <v>0</v>
      </c>
      <c r="P1680" s="33">
        <f t="shared" si="104"/>
        <v>0</v>
      </c>
      <c r="Q1680" s="31" t="str">
        <f t="shared" si="105"/>
        <v/>
      </c>
      <c r="R1680" s="32" t="str">
        <f>IFERROR(VLOOKUP($D1680,'Informations sur les produits'!$A$3:$B$15000,2,FALSE),"")</f>
        <v/>
      </c>
      <c r="V1680">
        <f t="shared" si="106"/>
        <v>0</v>
      </c>
      <c r="W1680">
        <f t="shared" si="107"/>
        <v>0</v>
      </c>
    </row>
    <row r="1681" spans="5:23" x14ac:dyDescent="0.25">
      <c r="E1681" s="4"/>
      <c r="F1681" s="4"/>
      <c r="G1681" s="33" t="str">
        <f>IFERROR(VLOOKUP($D1681,'Informations sur les produits'!$A$3:$H$10000,8,FALSE),"0")</f>
        <v>0</v>
      </c>
      <c r="K1681" s="4"/>
      <c r="L1681" s="33" t="str">
        <f>IFERROR(VLOOKUP($J1681,'Informations sur les produits'!$A$3:$H$10000,8,FALSE),"0")</f>
        <v>0</v>
      </c>
      <c r="N1681" s="8"/>
      <c r="O1681" s="33" t="str">
        <f>IFERROR(VLOOKUP($M1681,'Informations sur les produits'!$A$3:$H$10000,8,FALSE),"0")</f>
        <v>0</v>
      </c>
      <c r="P1681" s="33">
        <f t="shared" si="104"/>
        <v>0</v>
      </c>
      <c r="Q1681" s="31" t="str">
        <f t="shared" si="105"/>
        <v/>
      </c>
      <c r="R1681" s="32" t="str">
        <f>IFERROR(VLOOKUP($D1681,'Informations sur les produits'!$A$3:$B$15000,2,FALSE),"")</f>
        <v/>
      </c>
      <c r="V1681">
        <f t="shared" si="106"/>
        <v>0</v>
      </c>
      <c r="W1681">
        <f t="shared" si="107"/>
        <v>0</v>
      </c>
    </row>
    <row r="1682" spans="5:23" x14ac:dyDescent="0.25">
      <c r="E1682" s="4"/>
      <c r="F1682" s="4"/>
      <c r="G1682" s="33" t="str">
        <f>IFERROR(VLOOKUP($D1682,'Informations sur les produits'!$A$3:$H$10000,8,FALSE),"0")</f>
        <v>0</v>
      </c>
      <c r="K1682" s="4"/>
      <c r="L1682" s="33" t="str">
        <f>IFERROR(VLOOKUP($J1682,'Informations sur les produits'!$A$3:$H$10000,8,FALSE),"0")</f>
        <v>0</v>
      </c>
      <c r="N1682" s="8"/>
      <c r="O1682" s="33" t="str">
        <f>IFERROR(VLOOKUP($M1682,'Informations sur les produits'!$A$3:$H$10000,8,FALSE),"0")</f>
        <v>0</v>
      </c>
      <c r="P1682" s="33">
        <f t="shared" si="104"/>
        <v>0</v>
      </c>
      <c r="Q1682" s="31" t="str">
        <f t="shared" si="105"/>
        <v/>
      </c>
      <c r="R1682" s="32" t="str">
        <f>IFERROR(VLOOKUP($D1682,'Informations sur les produits'!$A$3:$B$15000,2,FALSE),"")</f>
        <v/>
      </c>
      <c r="V1682">
        <f t="shared" si="106"/>
        <v>0</v>
      </c>
      <c r="W1682">
        <f t="shared" si="107"/>
        <v>0</v>
      </c>
    </row>
    <row r="1683" spans="5:23" x14ac:dyDescent="0.25">
      <c r="E1683" s="4"/>
      <c r="F1683" s="4"/>
      <c r="G1683" s="33" t="str">
        <f>IFERROR(VLOOKUP($D1683,'Informations sur les produits'!$A$3:$H$10000,8,FALSE),"0")</f>
        <v>0</v>
      </c>
      <c r="K1683" s="4"/>
      <c r="L1683" s="33" t="str">
        <f>IFERROR(VLOOKUP($J1683,'Informations sur les produits'!$A$3:$H$10000,8,FALSE),"0")</f>
        <v>0</v>
      </c>
      <c r="N1683" s="8"/>
      <c r="O1683" s="33" t="str">
        <f>IFERROR(VLOOKUP($M1683,'Informations sur les produits'!$A$3:$H$10000,8,FALSE),"0")</f>
        <v>0</v>
      </c>
      <c r="P1683" s="33">
        <f t="shared" si="104"/>
        <v>0</v>
      </c>
      <c r="Q1683" s="31" t="str">
        <f t="shared" si="105"/>
        <v/>
      </c>
      <c r="R1683" s="32" t="str">
        <f>IFERROR(VLOOKUP($D1683,'Informations sur les produits'!$A$3:$B$15000,2,FALSE),"")</f>
        <v/>
      </c>
      <c r="V1683">
        <f t="shared" si="106"/>
        <v>0</v>
      </c>
      <c r="W1683">
        <f t="shared" si="107"/>
        <v>0</v>
      </c>
    </row>
    <row r="1684" spans="5:23" x14ac:dyDescent="0.25">
      <c r="E1684" s="4"/>
      <c r="F1684" s="4"/>
      <c r="G1684" s="33" t="str">
        <f>IFERROR(VLOOKUP($D1684,'Informations sur les produits'!$A$3:$H$10000,8,FALSE),"0")</f>
        <v>0</v>
      </c>
      <c r="K1684" s="4"/>
      <c r="L1684" s="33" t="str">
        <f>IFERROR(VLOOKUP($J1684,'Informations sur les produits'!$A$3:$H$10000,8,FALSE),"0")</f>
        <v>0</v>
      </c>
      <c r="N1684" s="8"/>
      <c r="O1684" s="33" t="str">
        <f>IFERROR(VLOOKUP($M1684,'Informations sur les produits'!$A$3:$H$10000,8,FALSE),"0")</f>
        <v>0</v>
      </c>
      <c r="P1684" s="33">
        <f t="shared" si="104"/>
        <v>0</v>
      </c>
      <c r="Q1684" s="31" t="str">
        <f t="shared" si="105"/>
        <v/>
      </c>
      <c r="R1684" s="32" t="str">
        <f>IFERROR(VLOOKUP($D1684,'Informations sur les produits'!$A$3:$B$15000,2,FALSE),"")</f>
        <v/>
      </c>
      <c r="V1684">
        <f t="shared" si="106"/>
        <v>0</v>
      </c>
      <c r="W1684">
        <f t="shared" si="107"/>
        <v>0</v>
      </c>
    </row>
    <row r="1685" spans="5:23" x14ac:dyDescent="0.25">
      <c r="E1685" s="4"/>
      <c r="F1685" s="4"/>
      <c r="G1685" s="33" t="str">
        <f>IFERROR(VLOOKUP($D1685,'Informations sur les produits'!$A$3:$H$10000,8,FALSE),"0")</f>
        <v>0</v>
      </c>
      <c r="K1685" s="4"/>
      <c r="L1685" s="33" t="str">
        <f>IFERROR(VLOOKUP($J1685,'Informations sur les produits'!$A$3:$H$10000,8,FALSE),"0")</f>
        <v>0</v>
      </c>
      <c r="N1685" s="8"/>
      <c r="O1685" s="33" t="str">
        <f>IFERROR(VLOOKUP($M1685,'Informations sur les produits'!$A$3:$H$10000,8,FALSE),"0")</f>
        <v>0</v>
      </c>
      <c r="P1685" s="33">
        <f t="shared" si="104"/>
        <v>0</v>
      </c>
      <c r="Q1685" s="31" t="str">
        <f t="shared" si="105"/>
        <v/>
      </c>
      <c r="R1685" s="32" t="str">
        <f>IFERROR(VLOOKUP($D1685,'Informations sur les produits'!$A$3:$B$15000,2,FALSE),"")</f>
        <v/>
      </c>
      <c r="V1685">
        <f t="shared" si="106"/>
        <v>0</v>
      </c>
      <c r="W1685">
        <f t="shared" si="107"/>
        <v>0</v>
      </c>
    </row>
    <row r="1686" spans="5:23" x14ac:dyDescent="0.25">
      <c r="E1686" s="4"/>
      <c r="F1686" s="4"/>
      <c r="G1686" s="33" t="str">
        <f>IFERROR(VLOOKUP($D1686,'Informations sur les produits'!$A$3:$H$10000,8,FALSE),"0")</f>
        <v>0</v>
      </c>
      <c r="K1686" s="4"/>
      <c r="L1686" s="33" t="str">
        <f>IFERROR(VLOOKUP($J1686,'Informations sur les produits'!$A$3:$H$10000,8,FALSE),"0")</f>
        <v>0</v>
      </c>
      <c r="N1686" s="8"/>
      <c r="O1686" s="33" t="str">
        <f>IFERROR(VLOOKUP($M1686,'Informations sur les produits'!$A$3:$H$10000,8,FALSE),"0")</f>
        <v>0</v>
      </c>
      <c r="P1686" s="33">
        <f t="shared" si="104"/>
        <v>0</v>
      </c>
      <c r="Q1686" s="31" t="str">
        <f t="shared" si="105"/>
        <v/>
      </c>
      <c r="R1686" s="32" t="str">
        <f>IFERROR(VLOOKUP($D1686,'Informations sur les produits'!$A$3:$B$15000,2,FALSE),"")</f>
        <v/>
      </c>
      <c r="V1686">
        <f t="shared" si="106"/>
        <v>0</v>
      </c>
      <c r="W1686">
        <f t="shared" si="107"/>
        <v>0</v>
      </c>
    </row>
    <row r="1687" spans="5:23" x14ac:dyDescent="0.25">
      <c r="E1687" s="4"/>
      <c r="F1687" s="4"/>
      <c r="G1687" s="33" t="str">
        <f>IFERROR(VLOOKUP($D1687,'Informations sur les produits'!$A$3:$H$10000,8,FALSE),"0")</f>
        <v>0</v>
      </c>
      <c r="K1687" s="4"/>
      <c r="L1687" s="33" t="str">
        <f>IFERROR(VLOOKUP($J1687,'Informations sur les produits'!$A$3:$H$10000,8,FALSE),"0")</f>
        <v>0</v>
      </c>
      <c r="N1687" s="8"/>
      <c r="O1687" s="33" t="str">
        <f>IFERROR(VLOOKUP($M1687,'Informations sur les produits'!$A$3:$H$10000,8,FALSE),"0")</f>
        <v>0</v>
      </c>
      <c r="P1687" s="33">
        <f t="shared" si="104"/>
        <v>0</v>
      </c>
      <c r="Q1687" s="31" t="str">
        <f t="shared" si="105"/>
        <v/>
      </c>
      <c r="R1687" s="32" t="str">
        <f>IFERROR(VLOOKUP($D1687,'Informations sur les produits'!$A$3:$B$15000,2,FALSE),"")</f>
        <v/>
      </c>
      <c r="V1687">
        <f t="shared" si="106"/>
        <v>0</v>
      </c>
      <c r="W1687">
        <f t="shared" si="107"/>
        <v>0</v>
      </c>
    </row>
    <row r="1688" spans="5:23" x14ac:dyDescent="0.25">
      <c r="E1688" s="4"/>
      <c r="F1688" s="4"/>
      <c r="G1688" s="33" t="str">
        <f>IFERROR(VLOOKUP($D1688,'Informations sur les produits'!$A$3:$H$10000,8,FALSE),"0")</f>
        <v>0</v>
      </c>
      <c r="K1688" s="4"/>
      <c r="L1688" s="33" t="str">
        <f>IFERROR(VLOOKUP($J1688,'Informations sur les produits'!$A$3:$H$10000,8,FALSE),"0")</f>
        <v>0</v>
      </c>
      <c r="N1688" s="8"/>
      <c r="O1688" s="33" t="str">
        <f>IFERROR(VLOOKUP($M1688,'Informations sur les produits'!$A$3:$H$10000,8,FALSE),"0")</f>
        <v>0</v>
      </c>
      <c r="P1688" s="33">
        <f t="shared" si="104"/>
        <v>0</v>
      </c>
      <c r="Q1688" s="31" t="str">
        <f t="shared" si="105"/>
        <v/>
      </c>
      <c r="R1688" s="32" t="str">
        <f>IFERROR(VLOOKUP($D1688,'Informations sur les produits'!$A$3:$B$15000,2,FALSE),"")</f>
        <v/>
      </c>
      <c r="V1688">
        <f t="shared" si="106"/>
        <v>0</v>
      </c>
      <c r="W1688">
        <f t="shared" si="107"/>
        <v>0</v>
      </c>
    </row>
    <row r="1689" spans="5:23" x14ac:dyDescent="0.25">
      <c r="E1689" s="4"/>
      <c r="F1689" s="4"/>
      <c r="G1689" s="33" t="str">
        <f>IFERROR(VLOOKUP($D1689,'Informations sur les produits'!$A$3:$H$10000,8,FALSE),"0")</f>
        <v>0</v>
      </c>
      <c r="K1689" s="4"/>
      <c r="L1689" s="33" t="str">
        <f>IFERROR(VLOOKUP($J1689,'Informations sur les produits'!$A$3:$H$10000,8,FALSE),"0")</f>
        <v>0</v>
      </c>
      <c r="N1689" s="8"/>
      <c r="O1689" s="33" t="str">
        <f>IFERROR(VLOOKUP($M1689,'Informations sur les produits'!$A$3:$H$10000,8,FALSE),"0")</f>
        <v>0</v>
      </c>
      <c r="P1689" s="33">
        <f t="shared" si="104"/>
        <v>0</v>
      </c>
      <c r="Q1689" s="31" t="str">
        <f t="shared" si="105"/>
        <v/>
      </c>
      <c r="R1689" s="32" t="str">
        <f>IFERROR(VLOOKUP($D1689,'Informations sur les produits'!$A$3:$B$15000,2,FALSE),"")</f>
        <v/>
      </c>
      <c r="V1689">
        <f t="shared" si="106"/>
        <v>0</v>
      </c>
      <c r="W1689">
        <f t="shared" si="107"/>
        <v>0</v>
      </c>
    </row>
    <row r="1690" spans="5:23" x14ac:dyDescent="0.25">
      <c r="E1690" s="4"/>
      <c r="F1690" s="4"/>
      <c r="G1690" s="33" t="str">
        <f>IFERROR(VLOOKUP($D1690,'Informations sur les produits'!$A$3:$H$10000,8,FALSE),"0")</f>
        <v>0</v>
      </c>
      <c r="K1690" s="4"/>
      <c r="L1690" s="33" t="str">
        <f>IFERROR(VLOOKUP($J1690,'Informations sur les produits'!$A$3:$H$10000,8,FALSE),"0")</f>
        <v>0</v>
      </c>
      <c r="N1690" s="8"/>
      <c r="O1690" s="33" t="str">
        <f>IFERROR(VLOOKUP($M1690,'Informations sur les produits'!$A$3:$H$10000,8,FALSE),"0")</f>
        <v>0</v>
      </c>
      <c r="P1690" s="33">
        <f t="shared" si="104"/>
        <v>0</v>
      </c>
      <c r="Q1690" s="31" t="str">
        <f t="shared" si="105"/>
        <v/>
      </c>
      <c r="R1690" s="32" t="str">
        <f>IFERROR(VLOOKUP($D1690,'Informations sur les produits'!$A$3:$B$15000,2,FALSE),"")</f>
        <v/>
      </c>
      <c r="V1690">
        <f t="shared" si="106"/>
        <v>0</v>
      </c>
      <c r="W1690">
        <f t="shared" si="107"/>
        <v>0</v>
      </c>
    </row>
    <row r="1691" spans="5:23" x14ac:dyDescent="0.25">
      <c r="E1691" s="4"/>
      <c r="F1691" s="4"/>
      <c r="G1691" s="33" t="str">
        <f>IFERROR(VLOOKUP($D1691,'Informations sur les produits'!$A$3:$H$10000,8,FALSE),"0")</f>
        <v>0</v>
      </c>
      <c r="K1691" s="4"/>
      <c r="L1691" s="33" t="str">
        <f>IFERROR(VLOOKUP($J1691,'Informations sur les produits'!$A$3:$H$10000,8,FALSE),"0")</f>
        <v>0</v>
      </c>
      <c r="N1691" s="8"/>
      <c r="O1691" s="33" t="str">
        <f>IFERROR(VLOOKUP($M1691,'Informations sur les produits'!$A$3:$H$10000,8,FALSE),"0")</f>
        <v>0</v>
      </c>
      <c r="P1691" s="33">
        <f t="shared" si="104"/>
        <v>0</v>
      </c>
      <c r="Q1691" s="31" t="str">
        <f t="shared" si="105"/>
        <v/>
      </c>
      <c r="R1691" s="32" t="str">
        <f>IFERROR(VLOOKUP($D1691,'Informations sur les produits'!$A$3:$B$15000,2,FALSE),"")</f>
        <v/>
      </c>
      <c r="V1691">
        <f t="shared" si="106"/>
        <v>0</v>
      </c>
      <c r="W1691">
        <f t="shared" si="107"/>
        <v>0</v>
      </c>
    </row>
    <row r="1692" spans="5:23" x14ac:dyDescent="0.25">
      <c r="E1692" s="4"/>
      <c r="F1692" s="4"/>
      <c r="G1692" s="33" t="str">
        <f>IFERROR(VLOOKUP($D1692,'Informations sur les produits'!$A$3:$H$10000,8,FALSE),"0")</f>
        <v>0</v>
      </c>
      <c r="K1692" s="4"/>
      <c r="L1692" s="33" t="str">
        <f>IFERROR(VLOOKUP($J1692,'Informations sur les produits'!$A$3:$H$10000,8,FALSE),"0")</f>
        <v>0</v>
      </c>
      <c r="N1692" s="8"/>
      <c r="O1692" s="33" t="str">
        <f>IFERROR(VLOOKUP($M1692,'Informations sur les produits'!$A$3:$H$10000,8,FALSE),"0")</f>
        <v>0</v>
      </c>
      <c r="P1692" s="33">
        <f t="shared" si="104"/>
        <v>0</v>
      </c>
      <c r="Q1692" s="31" t="str">
        <f t="shared" si="105"/>
        <v/>
      </c>
      <c r="R1692" s="32" t="str">
        <f>IFERROR(VLOOKUP($D1692,'Informations sur les produits'!$A$3:$B$15000,2,FALSE),"")</f>
        <v/>
      </c>
      <c r="V1692">
        <f t="shared" si="106"/>
        <v>0</v>
      </c>
      <c r="W1692">
        <f t="shared" si="107"/>
        <v>0</v>
      </c>
    </row>
    <row r="1693" spans="5:23" x14ac:dyDescent="0.25">
      <c r="E1693" s="4"/>
      <c r="F1693" s="4"/>
      <c r="G1693" s="33" t="str">
        <f>IFERROR(VLOOKUP($D1693,'Informations sur les produits'!$A$3:$H$10000,8,FALSE),"0")</f>
        <v>0</v>
      </c>
      <c r="K1693" s="4"/>
      <c r="L1693" s="33" t="str">
        <f>IFERROR(VLOOKUP($J1693,'Informations sur les produits'!$A$3:$H$10000,8,FALSE),"0")</f>
        <v>0</v>
      </c>
      <c r="N1693" s="8"/>
      <c r="O1693" s="33" t="str">
        <f>IFERROR(VLOOKUP($M1693,'Informations sur les produits'!$A$3:$H$10000,8,FALSE),"0")</f>
        <v>0</v>
      </c>
      <c r="P1693" s="33">
        <f t="shared" si="104"/>
        <v>0</v>
      </c>
      <c r="Q1693" s="31" t="str">
        <f t="shared" si="105"/>
        <v/>
      </c>
      <c r="R1693" s="32" t="str">
        <f>IFERROR(VLOOKUP($D1693,'Informations sur les produits'!$A$3:$B$15000,2,FALSE),"")</f>
        <v/>
      </c>
      <c r="V1693">
        <f t="shared" si="106"/>
        <v>0</v>
      </c>
      <c r="W1693">
        <f t="shared" si="107"/>
        <v>0</v>
      </c>
    </row>
    <row r="1694" spans="5:23" x14ac:dyDescent="0.25">
      <c r="E1694" s="4"/>
      <c r="F1694" s="4"/>
      <c r="G1694" s="33" t="str">
        <f>IFERROR(VLOOKUP($D1694,'Informations sur les produits'!$A$3:$H$10000,8,FALSE),"0")</f>
        <v>0</v>
      </c>
      <c r="K1694" s="4"/>
      <c r="L1694" s="33" t="str">
        <f>IFERROR(VLOOKUP($J1694,'Informations sur les produits'!$A$3:$H$10000,8,FALSE),"0")</f>
        <v>0</v>
      </c>
      <c r="N1694" s="8"/>
      <c r="O1694" s="33" t="str">
        <f>IFERROR(VLOOKUP($M1694,'Informations sur les produits'!$A$3:$H$10000,8,FALSE),"0")</f>
        <v>0</v>
      </c>
      <c r="P1694" s="33">
        <f t="shared" si="104"/>
        <v>0</v>
      </c>
      <c r="Q1694" s="31" t="str">
        <f t="shared" si="105"/>
        <v/>
      </c>
      <c r="R1694" s="32" t="str">
        <f>IFERROR(VLOOKUP($D1694,'Informations sur les produits'!$A$3:$B$15000,2,FALSE),"")</f>
        <v/>
      </c>
      <c r="V1694">
        <f t="shared" si="106"/>
        <v>0</v>
      </c>
      <c r="W1694">
        <f t="shared" si="107"/>
        <v>0</v>
      </c>
    </row>
    <row r="1695" spans="5:23" x14ac:dyDescent="0.25">
      <c r="E1695" s="4"/>
      <c r="F1695" s="4"/>
      <c r="G1695" s="33" t="str">
        <f>IFERROR(VLOOKUP($D1695,'Informations sur les produits'!$A$3:$H$10000,8,FALSE),"0")</f>
        <v>0</v>
      </c>
      <c r="K1695" s="4"/>
      <c r="L1695" s="33" t="str">
        <f>IFERROR(VLOOKUP($J1695,'Informations sur les produits'!$A$3:$H$10000,8,FALSE),"0")</f>
        <v>0</v>
      </c>
      <c r="N1695" s="8"/>
      <c r="O1695" s="33" t="str">
        <f>IFERROR(VLOOKUP($M1695,'Informations sur les produits'!$A$3:$H$10000,8,FALSE),"0")</f>
        <v>0</v>
      </c>
      <c r="P1695" s="33">
        <f t="shared" si="104"/>
        <v>0</v>
      </c>
      <c r="Q1695" s="31" t="str">
        <f t="shared" si="105"/>
        <v/>
      </c>
      <c r="R1695" s="32" t="str">
        <f>IFERROR(VLOOKUP($D1695,'Informations sur les produits'!$A$3:$B$15000,2,FALSE),"")</f>
        <v/>
      </c>
      <c r="V1695">
        <f t="shared" si="106"/>
        <v>0</v>
      </c>
      <c r="W1695">
        <f t="shared" si="107"/>
        <v>0</v>
      </c>
    </row>
    <row r="1696" spans="5:23" x14ac:dyDescent="0.25">
      <c r="E1696" s="4"/>
      <c r="F1696" s="4"/>
      <c r="G1696" s="33" t="str">
        <f>IFERROR(VLOOKUP($D1696,'Informations sur les produits'!$A$3:$H$10000,8,FALSE),"0")</f>
        <v>0</v>
      </c>
      <c r="K1696" s="4"/>
      <c r="L1696" s="33" t="str">
        <f>IFERROR(VLOOKUP($J1696,'Informations sur les produits'!$A$3:$H$10000,8,FALSE),"0")</f>
        <v>0</v>
      </c>
      <c r="N1696" s="8"/>
      <c r="O1696" s="33" t="str">
        <f>IFERROR(VLOOKUP($M1696,'Informations sur les produits'!$A$3:$H$10000,8,FALSE),"0")</f>
        <v>0</v>
      </c>
      <c r="P1696" s="33">
        <f t="shared" si="104"/>
        <v>0</v>
      </c>
      <c r="Q1696" s="31" t="str">
        <f t="shared" si="105"/>
        <v/>
      </c>
      <c r="R1696" s="32" t="str">
        <f>IFERROR(VLOOKUP($D1696,'Informations sur les produits'!$A$3:$B$15000,2,FALSE),"")</f>
        <v/>
      </c>
      <c r="V1696">
        <f t="shared" si="106"/>
        <v>0</v>
      </c>
      <c r="W1696">
        <f t="shared" si="107"/>
        <v>0</v>
      </c>
    </row>
    <row r="1697" spans="5:23" x14ac:dyDescent="0.25">
      <c r="E1697" s="4"/>
      <c r="F1697" s="4"/>
      <c r="G1697" s="33" t="str">
        <f>IFERROR(VLOOKUP($D1697,'Informations sur les produits'!$A$3:$H$10000,8,FALSE),"0")</f>
        <v>0</v>
      </c>
      <c r="K1697" s="4"/>
      <c r="L1697" s="33" t="str">
        <f>IFERROR(VLOOKUP($J1697,'Informations sur les produits'!$A$3:$H$10000,8,FALSE),"0")</f>
        <v>0</v>
      </c>
      <c r="N1697" s="8"/>
      <c r="O1697" s="33" t="str">
        <f>IFERROR(VLOOKUP($M1697,'Informations sur les produits'!$A$3:$H$10000,8,FALSE),"0")</f>
        <v>0</v>
      </c>
      <c r="P1697" s="33">
        <f t="shared" si="104"/>
        <v>0</v>
      </c>
      <c r="Q1697" s="31" t="str">
        <f t="shared" si="105"/>
        <v/>
      </c>
      <c r="R1697" s="32" t="str">
        <f>IFERROR(VLOOKUP($D1697,'Informations sur les produits'!$A$3:$B$15000,2,FALSE),"")</f>
        <v/>
      </c>
      <c r="V1697">
        <f t="shared" si="106"/>
        <v>0</v>
      </c>
      <c r="W1697">
        <f t="shared" si="107"/>
        <v>0</v>
      </c>
    </row>
    <row r="1698" spans="5:23" x14ac:dyDescent="0.25">
      <c r="E1698" s="4"/>
      <c r="F1698" s="4"/>
      <c r="G1698" s="33" t="str">
        <f>IFERROR(VLOOKUP($D1698,'Informations sur les produits'!$A$3:$H$10000,8,FALSE),"0")</f>
        <v>0</v>
      </c>
      <c r="K1698" s="4"/>
      <c r="L1698" s="33" t="str">
        <f>IFERROR(VLOOKUP($J1698,'Informations sur les produits'!$A$3:$H$10000,8,FALSE),"0")</f>
        <v>0</v>
      </c>
      <c r="N1698" s="8"/>
      <c r="O1698" s="33" t="str">
        <f>IFERROR(VLOOKUP($M1698,'Informations sur les produits'!$A$3:$H$10000,8,FALSE),"0")</f>
        <v>0</v>
      </c>
      <c r="P1698" s="33">
        <f t="shared" si="104"/>
        <v>0</v>
      </c>
      <c r="Q1698" s="31" t="str">
        <f t="shared" si="105"/>
        <v/>
      </c>
      <c r="R1698" s="32" t="str">
        <f>IFERROR(VLOOKUP($D1698,'Informations sur les produits'!$A$3:$B$15000,2,FALSE),"")</f>
        <v/>
      </c>
      <c r="V1698">
        <f t="shared" si="106"/>
        <v>0</v>
      </c>
      <c r="W1698">
        <f t="shared" si="107"/>
        <v>0</v>
      </c>
    </row>
    <row r="1699" spans="5:23" x14ac:dyDescent="0.25">
      <c r="E1699" s="4"/>
      <c r="F1699" s="4"/>
      <c r="G1699" s="33" t="str">
        <f>IFERROR(VLOOKUP($D1699,'Informations sur les produits'!$A$3:$H$10000,8,FALSE),"0")</f>
        <v>0</v>
      </c>
      <c r="K1699" s="4"/>
      <c r="L1699" s="33" t="str">
        <f>IFERROR(VLOOKUP($J1699,'Informations sur les produits'!$A$3:$H$10000,8,FALSE),"0")</f>
        <v>0</v>
      </c>
      <c r="N1699" s="8"/>
      <c r="O1699" s="33" t="str">
        <f>IFERROR(VLOOKUP($M1699,'Informations sur les produits'!$A$3:$H$10000,8,FALSE),"0")</f>
        <v>0</v>
      </c>
      <c r="P1699" s="33">
        <f t="shared" si="104"/>
        <v>0</v>
      </c>
      <c r="Q1699" s="31" t="str">
        <f t="shared" si="105"/>
        <v/>
      </c>
      <c r="R1699" s="32" t="str">
        <f>IFERROR(VLOOKUP($D1699,'Informations sur les produits'!$A$3:$B$15000,2,FALSE),"")</f>
        <v/>
      </c>
      <c r="V1699">
        <f t="shared" si="106"/>
        <v>0</v>
      </c>
      <c r="W1699">
        <f t="shared" si="107"/>
        <v>0</v>
      </c>
    </row>
    <row r="1700" spans="5:23" x14ac:dyDescent="0.25">
      <c r="E1700" s="4"/>
      <c r="F1700" s="4"/>
      <c r="G1700" s="33" t="str">
        <f>IFERROR(VLOOKUP($D1700,'Informations sur les produits'!$A$3:$H$10000,8,FALSE),"0")</f>
        <v>0</v>
      </c>
      <c r="K1700" s="4"/>
      <c r="L1700" s="33" t="str">
        <f>IFERROR(VLOOKUP($J1700,'Informations sur les produits'!$A$3:$H$10000,8,FALSE),"0")</f>
        <v>0</v>
      </c>
      <c r="N1700" s="8"/>
      <c r="O1700" s="33" t="str">
        <f>IFERROR(VLOOKUP($M1700,'Informations sur les produits'!$A$3:$H$10000,8,FALSE),"0")</f>
        <v>0</v>
      </c>
      <c r="P1700" s="33">
        <f t="shared" si="104"/>
        <v>0</v>
      </c>
      <c r="Q1700" s="31" t="str">
        <f t="shared" si="105"/>
        <v/>
      </c>
      <c r="R1700" s="32" t="str">
        <f>IFERROR(VLOOKUP($D1700,'Informations sur les produits'!$A$3:$B$15000,2,FALSE),"")</f>
        <v/>
      </c>
      <c r="V1700">
        <f t="shared" si="106"/>
        <v>0</v>
      </c>
      <c r="W1700">
        <f t="shared" si="107"/>
        <v>0</v>
      </c>
    </row>
    <row r="1701" spans="5:23" x14ac:dyDescent="0.25">
      <c r="E1701" s="4"/>
      <c r="F1701" s="4"/>
      <c r="G1701" s="33" t="str">
        <f>IFERROR(VLOOKUP($D1701,'Informations sur les produits'!$A$3:$H$10000,8,FALSE),"0")</f>
        <v>0</v>
      </c>
      <c r="K1701" s="4"/>
      <c r="L1701" s="33" t="str">
        <f>IFERROR(VLOOKUP($J1701,'Informations sur les produits'!$A$3:$H$10000,8,FALSE),"0")</f>
        <v>0</v>
      </c>
      <c r="N1701" s="8"/>
      <c r="O1701" s="33" t="str">
        <f>IFERROR(VLOOKUP($M1701,'Informations sur les produits'!$A$3:$H$10000,8,FALSE),"0")</f>
        <v>0</v>
      </c>
      <c r="P1701" s="33">
        <f t="shared" si="104"/>
        <v>0</v>
      </c>
      <c r="Q1701" s="31" t="str">
        <f t="shared" si="105"/>
        <v/>
      </c>
      <c r="R1701" s="32" t="str">
        <f>IFERROR(VLOOKUP($D1701,'Informations sur les produits'!$A$3:$B$15000,2,FALSE),"")</f>
        <v/>
      </c>
      <c r="V1701">
        <f t="shared" si="106"/>
        <v>0</v>
      </c>
      <c r="W1701">
        <f t="shared" si="107"/>
        <v>0</v>
      </c>
    </row>
    <row r="1702" spans="5:23" x14ac:dyDescent="0.25">
      <c r="E1702" s="4"/>
      <c r="F1702" s="4"/>
      <c r="G1702" s="33" t="str">
        <f>IFERROR(VLOOKUP($D1702,'Informations sur les produits'!$A$3:$H$10000,8,FALSE),"0")</f>
        <v>0</v>
      </c>
      <c r="K1702" s="4"/>
      <c r="L1702" s="33" t="str">
        <f>IFERROR(VLOOKUP($J1702,'Informations sur les produits'!$A$3:$H$10000,8,FALSE),"0")</f>
        <v>0</v>
      </c>
      <c r="N1702" s="8"/>
      <c r="O1702" s="33" t="str">
        <f>IFERROR(VLOOKUP($M1702,'Informations sur les produits'!$A$3:$H$10000,8,FALSE),"0")</f>
        <v>0</v>
      </c>
      <c r="P1702" s="33">
        <f t="shared" si="104"/>
        <v>0</v>
      </c>
      <c r="Q1702" s="31" t="str">
        <f t="shared" si="105"/>
        <v/>
      </c>
      <c r="R1702" s="32" t="str">
        <f>IFERROR(VLOOKUP($D1702,'Informations sur les produits'!$A$3:$B$15000,2,FALSE),"")</f>
        <v/>
      </c>
      <c r="V1702">
        <f t="shared" si="106"/>
        <v>0</v>
      </c>
      <c r="W1702">
        <f t="shared" si="107"/>
        <v>0</v>
      </c>
    </row>
    <row r="1703" spans="5:23" x14ac:dyDescent="0.25">
      <c r="E1703" s="4"/>
      <c r="F1703" s="4"/>
      <c r="G1703" s="33" t="str">
        <f>IFERROR(VLOOKUP($D1703,'Informations sur les produits'!$A$3:$H$10000,8,FALSE),"0")</f>
        <v>0</v>
      </c>
      <c r="K1703" s="4"/>
      <c r="L1703" s="33" t="str">
        <f>IFERROR(VLOOKUP($J1703,'Informations sur les produits'!$A$3:$H$10000,8,FALSE),"0")</f>
        <v>0</v>
      </c>
      <c r="N1703" s="8"/>
      <c r="O1703" s="33" t="str">
        <f>IFERROR(VLOOKUP($M1703,'Informations sur les produits'!$A$3:$H$10000,8,FALSE),"0")</f>
        <v>0</v>
      </c>
      <c r="P1703" s="33">
        <f t="shared" si="104"/>
        <v>0</v>
      </c>
      <c r="Q1703" s="31" t="str">
        <f t="shared" si="105"/>
        <v/>
      </c>
      <c r="R1703" s="32" t="str">
        <f>IFERROR(VLOOKUP($D1703,'Informations sur les produits'!$A$3:$B$15000,2,FALSE),"")</f>
        <v/>
      </c>
      <c r="V1703">
        <f t="shared" si="106"/>
        <v>0</v>
      </c>
      <c r="W1703">
        <f t="shared" si="107"/>
        <v>0</v>
      </c>
    </row>
    <row r="1704" spans="5:23" x14ac:dyDescent="0.25">
      <c r="E1704" s="4"/>
      <c r="F1704" s="4"/>
      <c r="G1704" s="33" t="str">
        <f>IFERROR(VLOOKUP($D1704,'Informations sur les produits'!$A$3:$H$10000,8,FALSE),"0")</f>
        <v>0</v>
      </c>
      <c r="K1704" s="4"/>
      <c r="L1704" s="33" t="str">
        <f>IFERROR(VLOOKUP($J1704,'Informations sur les produits'!$A$3:$H$10000,8,FALSE),"0")</f>
        <v>0</v>
      </c>
      <c r="N1704" s="8"/>
      <c r="O1704" s="33" t="str">
        <f>IFERROR(VLOOKUP($M1704,'Informations sur les produits'!$A$3:$H$10000,8,FALSE),"0")</f>
        <v>0</v>
      </c>
      <c r="P1704" s="33">
        <f t="shared" si="104"/>
        <v>0</v>
      </c>
      <c r="Q1704" s="31" t="str">
        <f t="shared" si="105"/>
        <v/>
      </c>
      <c r="R1704" s="32" t="str">
        <f>IFERROR(VLOOKUP($D1704,'Informations sur les produits'!$A$3:$B$15000,2,FALSE),"")</f>
        <v/>
      </c>
      <c r="V1704">
        <f t="shared" si="106"/>
        <v>0</v>
      </c>
      <c r="W1704">
        <f t="shared" si="107"/>
        <v>0</v>
      </c>
    </row>
    <row r="1705" spans="5:23" x14ac:dyDescent="0.25">
      <c r="E1705" s="4"/>
      <c r="F1705" s="4"/>
      <c r="G1705" s="33" t="str">
        <f>IFERROR(VLOOKUP($D1705,'Informations sur les produits'!$A$3:$H$10000,8,FALSE),"0")</f>
        <v>0</v>
      </c>
      <c r="K1705" s="4"/>
      <c r="L1705" s="33" t="str">
        <f>IFERROR(VLOOKUP($J1705,'Informations sur les produits'!$A$3:$H$10000,8,FALSE),"0")</f>
        <v>0</v>
      </c>
      <c r="N1705" s="8"/>
      <c r="O1705" s="33" t="str">
        <f>IFERROR(VLOOKUP($M1705,'Informations sur les produits'!$A$3:$H$10000,8,FALSE),"0")</f>
        <v>0</v>
      </c>
      <c r="P1705" s="33">
        <f t="shared" si="104"/>
        <v>0</v>
      </c>
      <c r="Q1705" s="31" t="str">
        <f t="shared" si="105"/>
        <v/>
      </c>
      <c r="R1705" s="32" t="str">
        <f>IFERROR(VLOOKUP($D1705,'Informations sur les produits'!$A$3:$B$15000,2,FALSE),"")</f>
        <v/>
      </c>
      <c r="V1705">
        <f t="shared" si="106"/>
        <v>0</v>
      </c>
      <c r="W1705">
        <f t="shared" si="107"/>
        <v>0</v>
      </c>
    </row>
    <row r="1706" spans="5:23" x14ac:dyDescent="0.25">
      <c r="E1706" s="4"/>
      <c r="F1706" s="4"/>
      <c r="G1706" s="33" t="str">
        <f>IFERROR(VLOOKUP($D1706,'Informations sur les produits'!$A$3:$H$10000,8,FALSE),"0")</f>
        <v>0</v>
      </c>
      <c r="K1706" s="4"/>
      <c r="L1706" s="33" t="str">
        <f>IFERROR(VLOOKUP($J1706,'Informations sur les produits'!$A$3:$H$10000,8,FALSE),"0")</f>
        <v>0</v>
      </c>
      <c r="N1706" s="8"/>
      <c r="O1706" s="33" t="str">
        <f>IFERROR(VLOOKUP($M1706,'Informations sur les produits'!$A$3:$H$10000,8,FALSE),"0")</f>
        <v>0</v>
      </c>
      <c r="P1706" s="33">
        <f t="shared" si="104"/>
        <v>0</v>
      </c>
      <c r="Q1706" s="31" t="str">
        <f t="shared" si="105"/>
        <v/>
      </c>
      <c r="R1706" s="32" t="str">
        <f>IFERROR(VLOOKUP($D1706,'Informations sur les produits'!$A$3:$B$15000,2,FALSE),"")</f>
        <v/>
      </c>
      <c r="V1706">
        <f t="shared" si="106"/>
        <v>0</v>
      </c>
      <c r="W1706">
        <f t="shared" si="107"/>
        <v>0</v>
      </c>
    </row>
    <row r="1707" spans="5:23" x14ac:dyDescent="0.25">
      <c r="E1707" s="4"/>
      <c r="F1707" s="4"/>
      <c r="G1707" s="33" t="str">
        <f>IFERROR(VLOOKUP($D1707,'Informations sur les produits'!$A$3:$H$10000,8,FALSE),"0")</f>
        <v>0</v>
      </c>
      <c r="K1707" s="4"/>
      <c r="L1707" s="33" t="str">
        <f>IFERROR(VLOOKUP($J1707,'Informations sur les produits'!$A$3:$H$10000,8,FALSE),"0")</f>
        <v>0</v>
      </c>
      <c r="N1707" s="8"/>
      <c r="O1707" s="33" t="str">
        <f>IFERROR(VLOOKUP($M1707,'Informations sur les produits'!$A$3:$H$10000,8,FALSE),"0")</f>
        <v>0</v>
      </c>
      <c r="P1707" s="33">
        <f t="shared" si="104"/>
        <v>0</v>
      </c>
      <c r="Q1707" s="31" t="str">
        <f t="shared" si="105"/>
        <v/>
      </c>
      <c r="R1707" s="32" t="str">
        <f>IFERROR(VLOOKUP($D1707,'Informations sur les produits'!$A$3:$B$15000,2,FALSE),"")</f>
        <v/>
      </c>
      <c r="V1707">
        <f t="shared" si="106"/>
        <v>0</v>
      </c>
      <c r="W1707">
        <f t="shared" si="107"/>
        <v>0</v>
      </c>
    </row>
    <row r="1708" spans="5:23" x14ac:dyDescent="0.25">
      <c r="E1708" s="4"/>
      <c r="F1708" s="4"/>
      <c r="G1708" s="33" t="str">
        <f>IFERROR(VLOOKUP($D1708,'Informations sur les produits'!$A$3:$H$10000,8,FALSE),"0")</f>
        <v>0</v>
      </c>
      <c r="K1708" s="4"/>
      <c r="L1708" s="33" t="str">
        <f>IFERROR(VLOOKUP($J1708,'Informations sur les produits'!$A$3:$H$10000,8,FALSE),"0")</f>
        <v>0</v>
      </c>
      <c r="N1708" s="8"/>
      <c r="O1708" s="33" t="str">
        <f>IFERROR(VLOOKUP($M1708,'Informations sur les produits'!$A$3:$H$10000,8,FALSE),"0")</f>
        <v>0</v>
      </c>
      <c r="P1708" s="33">
        <f t="shared" si="104"/>
        <v>0</v>
      </c>
      <c r="Q1708" s="31" t="str">
        <f t="shared" si="105"/>
        <v/>
      </c>
      <c r="R1708" s="32" t="str">
        <f>IFERROR(VLOOKUP($D1708,'Informations sur les produits'!$A$3:$B$15000,2,FALSE),"")</f>
        <v/>
      </c>
      <c r="V1708">
        <f t="shared" si="106"/>
        <v>0</v>
      </c>
      <c r="W1708">
        <f t="shared" si="107"/>
        <v>0</v>
      </c>
    </row>
    <row r="1709" spans="5:23" x14ac:dyDescent="0.25">
      <c r="E1709" s="4"/>
      <c r="F1709" s="4"/>
      <c r="G1709" s="33" t="str">
        <f>IFERROR(VLOOKUP($D1709,'Informations sur les produits'!$A$3:$H$10000,8,FALSE),"0")</f>
        <v>0</v>
      </c>
      <c r="K1709" s="4"/>
      <c r="L1709" s="33" t="str">
        <f>IFERROR(VLOOKUP($J1709,'Informations sur les produits'!$A$3:$H$10000,8,FALSE),"0")</f>
        <v>0</v>
      </c>
      <c r="N1709" s="8"/>
      <c r="O1709" s="33" t="str">
        <f>IFERROR(VLOOKUP($M1709,'Informations sur les produits'!$A$3:$H$10000,8,FALSE),"0")</f>
        <v>0</v>
      </c>
      <c r="P1709" s="33">
        <f t="shared" si="104"/>
        <v>0</v>
      </c>
      <c r="Q1709" s="31" t="str">
        <f t="shared" si="105"/>
        <v/>
      </c>
      <c r="R1709" s="32" t="str">
        <f>IFERROR(VLOOKUP($D1709,'Informations sur les produits'!$A$3:$B$15000,2,FALSE),"")</f>
        <v/>
      </c>
      <c r="V1709">
        <f t="shared" si="106"/>
        <v>0</v>
      </c>
      <c r="W1709">
        <f t="shared" si="107"/>
        <v>0</v>
      </c>
    </row>
    <row r="1710" spans="5:23" x14ac:dyDescent="0.25">
      <c r="E1710" s="4"/>
      <c r="F1710" s="4"/>
      <c r="G1710" s="33" t="str">
        <f>IFERROR(VLOOKUP($D1710,'Informations sur les produits'!$A$3:$H$10000,8,FALSE),"0")</f>
        <v>0</v>
      </c>
      <c r="K1710" s="4"/>
      <c r="L1710" s="33" t="str">
        <f>IFERROR(VLOOKUP($J1710,'Informations sur les produits'!$A$3:$H$10000,8,FALSE),"0")</f>
        <v>0</v>
      </c>
      <c r="N1710" s="8"/>
      <c r="O1710" s="33" t="str">
        <f>IFERROR(VLOOKUP($M1710,'Informations sur les produits'!$A$3:$H$10000,8,FALSE),"0")</f>
        <v>0</v>
      </c>
      <c r="P1710" s="33">
        <f t="shared" si="104"/>
        <v>0</v>
      </c>
      <c r="Q1710" s="31" t="str">
        <f t="shared" si="105"/>
        <v/>
      </c>
      <c r="R1710" s="32" t="str">
        <f>IFERROR(VLOOKUP($D1710,'Informations sur les produits'!$A$3:$B$15000,2,FALSE),"")</f>
        <v/>
      </c>
      <c r="V1710">
        <f t="shared" si="106"/>
        <v>0</v>
      </c>
      <c r="W1710">
        <f t="shared" si="107"/>
        <v>0</v>
      </c>
    </row>
    <row r="1711" spans="5:23" x14ac:dyDescent="0.25">
      <c r="E1711" s="4"/>
      <c r="F1711" s="4"/>
      <c r="G1711" s="33" t="str">
        <f>IFERROR(VLOOKUP($D1711,'Informations sur les produits'!$A$3:$H$10000,8,FALSE),"0")</f>
        <v>0</v>
      </c>
      <c r="K1711" s="4"/>
      <c r="L1711" s="33" t="str">
        <f>IFERROR(VLOOKUP($J1711,'Informations sur les produits'!$A$3:$H$10000,8,FALSE),"0")</f>
        <v>0</v>
      </c>
      <c r="N1711" s="8"/>
      <c r="O1711" s="33" t="str">
        <f>IFERROR(VLOOKUP($M1711,'Informations sur les produits'!$A$3:$H$10000,8,FALSE),"0")</f>
        <v>0</v>
      </c>
      <c r="P1711" s="33">
        <f t="shared" si="104"/>
        <v>0</v>
      </c>
      <c r="Q1711" s="31" t="str">
        <f t="shared" si="105"/>
        <v/>
      </c>
      <c r="R1711" s="32" t="str">
        <f>IFERROR(VLOOKUP($D1711,'Informations sur les produits'!$A$3:$B$15000,2,FALSE),"")</f>
        <v/>
      </c>
      <c r="V1711">
        <f t="shared" si="106"/>
        <v>0</v>
      </c>
      <c r="W1711">
        <f t="shared" si="107"/>
        <v>0</v>
      </c>
    </row>
    <row r="1712" spans="5:23" x14ac:dyDescent="0.25">
      <c r="E1712" s="4"/>
      <c r="F1712" s="4"/>
      <c r="G1712" s="33" t="str">
        <f>IFERROR(VLOOKUP($D1712,'Informations sur les produits'!$A$3:$H$10000,8,FALSE),"0")</f>
        <v>0</v>
      </c>
      <c r="K1712" s="4"/>
      <c r="L1712" s="33" t="str">
        <f>IFERROR(VLOOKUP($J1712,'Informations sur les produits'!$A$3:$H$10000,8,FALSE),"0")</f>
        <v>0</v>
      </c>
      <c r="N1712" s="8"/>
      <c r="O1712" s="33" t="str">
        <f>IFERROR(VLOOKUP($M1712,'Informations sur les produits'!$A$3:$H$10000,8,FALSE),"0")</f>
        <v>0</v>
      </c>
      <c r="P1712" s="33">
        <f t="shared" si="104"/>
        <v>0</v>
      </c>
      <c r="Q1712" s="31" t="str">
        <f t="shared" si="105"/>
        <v/>
      </c>
      <c r="R1712" s="32" t="str">
        <f>IFERROR(VLOOKUP($D1712,'Informations sur les produits'!$A$3:$B$15000,2,FALSE),"")</f>
        <v/>
      </c>
      <c r="V1712">
        <f t="shared" si="106"/>
        <v>0</v>
      </c>
      <c r="W1712">
        <f t="shared" si="107"/>
        <v>0</v>
      </c>
    </row>
    <row r="1713" spans="5:23" x14ac:dyDescent="0.25">
      <c r="E1713" s="4"/>
      <c r="F1713" s="4"/>
      <c r="G1713" s="33" t="str">
        <f>IFERROR(VLOOKUP($D1713,'Informations sur les produits'!$A$3:$H$10000,8,FALSE),"0")</f>
        <v>0</v>
      </c>
      <c r="K1713" s="4"/>
      <c r="L1713" s="33" t="str">
        <f>IFERROR(VLOOKUP($J1713,'Informations sur les produits'!$A$3:$H$10000,8,FALSE),"0")</f>
        <v>0</v>
      </c>
      <c r="N1713" s="8"/>
      <c r="O1713" s="33" t="str">
        <f>IFERROR(VLOOKUP($M1713,'Informations sur les produits'!$A$3:$H$10000,8,FALSE),"0")</f>
        <v>0</v>
      </c>
      <c r="P1713" s="33">
        <f t="shared" si="104"/>
        <v>0</v>
      </c>
      <c r="Q1713" s="31" t="str">
        <f t="shared" si="105"/>
        <v/>
      </c>
      <c r="R1713" s="32" t="str">
        <f>IFERROR(VLOOKUP($D1713,'Informations sur les produits'!$A$3:$B$15000,2,FALSE),"")</f>
        <v/>
      </c>
      <c r="V1713">
        <f t="shared" si="106"/>
        <v>0</v>
      </c>
      <c r="W1713">
        <f t="shared" si="107"/>
        <v>0</v>
      </c>
    </row>
    <row r="1714" spans="5:23" x14ac:dyDescent="0.25">
      <c r="E1714" s="4"/>
      <c r="F1714" s="4"/>
      <c r="G1714" s="33" t="str">
        <f>IFERROR(VLOOKUP($D1714,'Informations sur les produits'!$A$3:$H$10000,8,FALSE),"0")</f>
        <v>0</v>
      </c>
      <c r="K1714" s="4"/>
      <c r="L1714" s="33" t="str">
        <f>IFERROR(VLOOKUP($J1714,'Informations sur les produits'!$A$3:$H$10000,8,FALSE),"0")</f>
        <v>0</v>
      </c>
      <c r="N1714" s="8"/>
      <c r="O1714" s="33" t="str">
        <f>IFERROR(VLOOKUP($M1714,'Informations sur les produits'!$A$3:$H$10000,8,FALSE),"0")</f>
        <v>0</v>
      </c>
      <c r="P1714" s="33">
        <f t="shared" si="104"/>
        <v>0</v>
      </c>
      <c r="Q1714" s="31" t="str">
        <f t="shared" si="105"/>
        <v/>
      </c>
      <c r="R1714" s="32" t="str">
        <f>IFERROR(VLOOKUP($D1714,'Informations sur les produits'!$A$3:$B$15000,2,FALSE),"")</f>
        <v/>
      </c>
      <c r="V1714">
        <f t="shared" si="106"/>
        <v>0</v>
      </c>
      <c r="W1714">
        <f t="shared" si="107"/>
        <v>0</v>
      </c>
    </row>
    <row r="1715" spans="5:23" x14ac:dyDescent="0.25">
      <c r="E1715" s="4"/>
      <c r="F1715" s="4"/>
      <c r="G1715" s="33" t="str">
        <f>IFERROR(VLOOKUP($D1715,'Informations sur les produits'!$A$3:$H$10000,8,FALSE),"0")</f>
        <v>0</v>
      </c>
      <c r="K1715" s="4"/>
      <c r="L1715" s="33" t="str">
        <f>IFERROR(VLOOKUP($J1715,'Informations sur les produits'!$A$3:$H$10000,8,FALSE),"0")</f>
        <v>0</v>
      </c>
      <c r="N1715" s="8"/>
      <c r="O1715" s="33" t="str">
        <f>IFERROR(VLOOKUP($M1715,'Informations sur les produits'!$A$3:$H$10000,8,FALSE),"0")</f>
        <v>0</v>
      </c>
      <c r="P1715" s="33">
        <f t="shared" si="104"/>
        <v>0</v>
      </c>
      <c r="Q1715" s="31" t="str">
        <f t="shared" si="105"/>
        <v/>
      </c>
      <c r="R1715" s="32" t="str">
        <f>IFERROR(VLOOKUP($D1715,'Informations sur les produits'!$A$3:$B$15000,2,FALSE),"")</f>
        <v/>
      </c>
      <c r="V1715">
        <f t="shared" si="106"/>
        <v>0</v>
      </c>
      <c r="W1715">
        <f t="shared" si="107"/>
        <v>0</v>
      </c>
    </row>
    <row r="1716" spans="5:23" x14ac:dyDescent="0.25">
      <c r="E1716" s="4"/>
      <c r="F1716" s="4"/>
      <c r="G1716" s="33" t="str">
        <f>IFERROR(VLOOKUP($D1716,'Informations sur les produits'!$A$3:$H$10000,8,FALSE),"0")</f>
        <v>0</v>
      </c>
      <c r="K1716" s="4"/>
      <c r="L1716" s="33" t="str">
        <f>IFERROR(VLOOKUP($J1716,'Informations sur les produits'!$A$3:$H$10000,8,FALSE),"0")</f>
        <v>0</v>
      </c>
      <c r="N1716" s="8"/>
      <c r="O1716" s="33" t="str">
        <f>IFERROR(VLOOKUP($M1716,'Informations sur les produits'!$A$3:$H$10000,8,FALSE),"0")</f>
        <v>0</v>
      </c>
      <c r="P1716" s="33">
        <f t="shared" si="104"/>
        <v>0</v>
      </c>
      <c r="Q1716" s="31" t="str">
        <f t="shared" si="105"/>
        <v/>
      </c>
      <c r="R1716" s="32" t="str">
        <f>IFERROR(VLOOKUP($D1716,'Informations sur les produits'!$A$3:$B$15000,2,FALSE),"")</f>
        <v/>
      </c>
      <c r="V1716">
        <f t="shared" si="106"/>
        <v>0</v>
      </c>
      <c r="W1716">
        <f t="shared" si="107"/>
        <v>0</v>
      </c>
    </row>
    <row r="1717" spans="5:23" x14ac:dyDescent="0.25">
      <c r="E1717" s="4"/>
      <c r="F1717" s="4"/>
      <c r="G1717" s="33" t="str">
        <f>IFERROR(VLOOKUP($D1717,'Informations sur les produits'!$A$3:$H$10000,8,FALSE),"0")</f>
        <v>0</v>
      </c>
      <c r="K1717" s="4"/>
      <c r="L1717" s="33" t="str">
        <f>IFERROR(VLOOKUP($J1717,'Informations sur les produits'!$A$3:$H$10000,8,FALSE),"0")</f>
        <v>0</v>
      </c>
      <c r="N1717" s="8"/>
      <c r="O1717" s="33" t="str">
        <f>IFERROR(VLOOKUP($M1717,'Informations sur les produits'!$A$3:$H$10000,8,FALSE),"0")</f>
        <v>0</v>
      </c>
      <c r="P1717" s="33">
        <f t="shared" si="104"/>
        <v>0</v>
      </c>
      <c r="Q1717" s="31" t="str">
        <f t="shared" si="105"/>
        <v/>
      </c>
      <c r="R1717" s="32" t="str">
        <f>IFERROR(VLOOKUP($D1717,'Informations sur les produits'!$A$3:$B$15000,2,FALSE),"")</f>
        <v/>
      </c>
      <c r="V1717">
        <f t="shared" si="106"/>
        <v>0</v>
      </c>
      <c r="W1717">
        <f t="shared" si="107"/>
        <v>0</v>
      </c>
    </row>
    <row r="1718" spans="5:23" x14ac:dyDescent="0.25">
      <c r="E1718" s="4"/>
      <c r="F1718" s="4"/>
      <c r="G1718" s="33" t="str">
        <f>IFERROR(VLOOKUP($D1718,'Informations sur les produits'!$A$3:$H$10000,8,FALSE),"0")</f>
        <v>0</v>
      </c>
      <c r="K1718" s="4"/>
      <c r="L1718" s="33" t="str">
        <f>IFERROR(VLOOKUP($J1718,'Informations sur les produits'!$A$3:$H$10000,8,FALSE),"0")</f>
        <v>0</v>
      </c>
      <c r="N1718" s="8"/>
      <c r="O1718" s="33" t="str">
        <f>IFERROR(VLOOKUP($M1718,'Informations sur les produits'!$A$3:$H$10000,8,FALSE),"0")</f>
        <v>0</v>
      </c>
      <c r="P1718" s="33">
        <f t="shared" si="104"/>
        <v>0</v>
      </c>
      <c r="Q1718" s="31" t="str">
        <f t="shared" si="105"/>
        <v/>
      </c>
      <c r="R1718" s="32" t="str">
        <f>IFERROR(VLOOKUP($D1718,'Informations sur les produits'!$A$3:$B$15000,2,FALSE),"")</f>
        <v/>
      </c>
      <c r="V1718">
        <f t="shared" si="106"/>
        <v>0</v>
      </c>
      <c r="W1718">
        <f t="shared" si="107"/>
        <v>0</v>
      </c>
    </row>
    <row r="1719" spans="5:23" x14ac:dyDescent="0.25">
      <c r="E1719" s="4"/>
      <c r="F1719" s="4"/>
      <c r="G1719" s="33" t="str">
        <f>IFERROR(VLOOKUP($D1719,'Informations sur les produits'!$A$3:$H$10000,8,FALSE),"0")</f>
        <v>0</v>
      </c>
      <c r="K1719" s="4"/>
      <c r="L1719" s="33" t="str">
        <f>IFERROR(VLOOKUP($J1719,'Informations sur les produits'!$A$3:$H$10000,8,FALSE),"0")</f>
        <v>0</v>
      </c>
      <c r="N1719" s="8"/>
      <c r="O1719" s="33" t="str">
        <f>IFERROR(VLOOKUP($M1719,'Informations sur les produits'!$A$3:$H$10000,8,FALSE),"0")</f>
        <v>0</v>
      </c>
      <c r="P1719" s="33">
        <f t="shared" si="104"/>
        <v>0</v>
      </c>
      <c r="Q1719" s="31" t="str">
        <f t="shared" si="105"/>
        <v/>
      </c>
      <c r="R1719" s="32" t="str">
        <f>IFERROR(VLOOKUP($D1719,'Informations sur les produits'!$A$3:$B$15000,2,FALSE),"")</f>
        <v/>
      </c>
      <c r="V1719">
        <f t="shared" si="106"/>
        <v>0</v>
      </c>
      <c r="W1719">
        <f t="shared" si="107"/>
        <v>0</v>
      </c>
    </row>
    <row r="1720" spans="5:23" x14ac:dyDescent="0.25">
      <c r="E1720" s="4"/>
      <c r="F1720" s="4"/>
      <c r="G1720" s="33" t="str">
        <f>IFERROR(VLOOKUP($D1720,'Informations sur les produits'!$A$3:$H$10000,8,FALSE),"0")</f>
        <v>0</v>
      </c>
      <c r="K1720" s="4"/>
      <c r="L1720" s="33" t="str">
        <f>IFERROR(VLOOKUP($J1720,'Informations sur les produits'!$A$3:$H$10000,8,FALSE),"0")</f>
        <v>0</v>
      </c>
      <c r="N1720" s="8"/>
      <c r="O1720" s="33" t="str">
        <f>IFERROR(VLOOKUP($M1720,'Informations sur les produits'!$A$3:$H$10000,8,FALSE),"0")</f>
        <v>0</v>
      </c>
      <c r="P1720" s="33">
        <f t="shared" si="104"/>
        <v>0</v>
      </c>
      <c r="Q1720" s="31" t="str">
        <f t="shared" si="105"/>
        <v/>
      </c>
      <c r="R1720" s="32" t="str">
        <f>IFERROR(VLOOKUP($D1720,'Informations sur les produits'!$A$3:$B$15000,2,FALSE),"")</f>
        <v/>
      </c>
      <c r="V1720">
        <f t="shared" si="106"/>
        <v>0</v>
      </c>
      <c r="W1720">
        <f t="shared" si="107"/>
        <v>0</v>
      </c>
    </row>
    <row r="1721" spans="5:23" x14ac:dyDescent="0.25">
      <c r="E1721" s="4"/>
      <c r="F1721" s="4"/>
      <c r="G1721" s="33" t="str">
        <f>IFERROR(VLOOKUP($D1721,'Informations sur les produits'!$A$3:$H$10000,8,FALSE),"0")</f>
        <v>0</v>
      </c>
      <c r="K1721" s="4"/>
      <c r="L1721" s="33" t="str">
        <f>IFERROR(VLOOKUP($J1721,'Informations sur les produits'!$A$3:$H$10000,8,FALSE),"0")</f>
        <v>0</v>
      </c>
      <c r="N1721" s="8"/>
      <c r="O1721" s="33" t="str">
        <f>IFERROR(VLOOKUP($M1721,'Informations sur les produits'!$A$3:$H$10000,8,FALSE),"0")</f>
        <v>0</v>
      </c>
      <c r="P1721" s="33">
        <f t="shared" si="104"/>
        <v>0</v>
      </c>
      <c r="Q1721" s="31" t="str">
        <f t="shared" si="105"/>
        <v/>
      </c>
      <c r="R1721" s="32" t="str">
        <f>IFERROR(VLOOKUP($D1721,'Informations sur les produits'!$A$3:$B$15000,2,FALSE),"")</f>
        <v/>
      </c>
      <c r="V1721">
        <f t="shared" si="106"/>
        <v>0</v>
      </c>
      <c r="W1721">
        <f t="shared" si="107"/>
        <v>0</v>
      </c>
    </row>
    <row r="1722" spans="5:23" x14ac:dyDescent="0.25">
      <c r="E1722" s="4"/>
      <c r="F1722" s="4"/>
      <c r="G1722" s="33" t="str">
        <f>IFERROR(VLOOKUP($D1722,'Informations sur les produits'!$A$3:$H$10000,8,FALSE),"0")</f>
        <v>0</v>
      </c>
      <c r="K1722" s="4"/>
      <c r="L1722" s="33" t="str">
        <f>IFERROR(VLOOKUP($J1722,'Informations sur les produits'!$A$3:$H$10000,8,FALSE),"0")</f>
        <v>0</v>
      </c>
      <c r="N1722" s="8"/>
      <c r="O1722" s="33" t="str">
        <f>IFERROR(VLOOKUP($M1722,'Informations sur les produits'!$A$3:$H$10000,8,FALSE),"0")</f>
        <v>0</v>
      </c>
      <c r="P1722" s="33">
        <f t="shared" si="104"/>
        <v>0</v>
      </c>
      <c r="Q1722" s="31" t="str">
        <f t="shared" si="105"/>
        <v/>
      </c>
      <c r="R1722" s="32" t="str">
        <f>IFERROR(VLOOKUP($D1722,'Informations sur les produits'!$A$3:$B$15000,2,FALSE),"")</f>
        <v/>
      </c>
      <c r="V1722">
        <f t="shared" si="106"/>
        <v>0</v>
      </c>
      <c r="W1722">
        <f t="shared" si="107"/>
        <v>0</v>
      </c>
    </row>
    <row r="1723" spans="5:23" x14ac:dyDescent="0.25">
      <c r="E1723" s="4"/>
      <c r="F1723" s="4"/>
      <c r="G1723" s="33" t="str">
        <f>IFERROR(VLOOKUP($D1723,'Informations sur les produits'!$A$3:$H$10000,8,FALSE),"0")</f>
        <v>0</v>
      </c>
      <c r="K1723" s="4"/>
      <c r="L1723" s="33" t="str">
        <f>IFERROR(VLOOKUP($J1723,'Informations sur les produits'!$A$3:$H$10000,8,FALSE),"0")</f>
        <v>0</v>
      </c>
      <c r="N1723" s="8"/>
      <c r="O1723" s="33" t="str">
        <f>IFERROR(VLOOKUP($M1723,'Informations sur les produits'!$A$3:$H$10000,8,FALSE),"0")</f>
        <v>0</v>
      </c>
      <c r="P1723" s="33">
        <f t="shared" si="104"/>
        <v>0</v>
      </c>
      <c r="Q1723" s="31" t="str">
        <f t="shared" si="105"/>
        <v/>
      </c>
      <c r="R1723" s="32" t="str">
        <f>IFERROR(VLOOKUP($D1723,'Informations sur les produits'!$A$3:$B$15000,2,FALSE),"")</f>
        <v/>
      </c>
      <c r="V1723">
        <f t="shared" si="106"/>
        <v>0</v>
      </c>
      <c r="W1723">
        <f t="shared" si="107"/>
        <v>0</v>
      </c>
    </row>
    <row r="1724" spans="5:23" x14ac:dyDescent="0.25">
      <c r="E1724" s="4"/>
      <c r="F1724" s="4"/>
      <c r="G1724" s="33" t="str">
        <f>IFERROR(VLOOKUP($D1724,'Informations sur les produits'!$A$3:$H$10000,8,FALSE),"0")</f>
        <v>0</v>
      </c>
      <c r="K1724" s="4"/>
      <c r="L1724" s="33" t="str">
        <f>IFERROR(VLOOKUP($J1724,'Informations sur les produits'!$A$3:$H$10000,8,FALSE),"0")</f>
        <v>0</v>
      </c>
      <c r="N1724" s="8"/>
      <c r="O1724" s="33" t="str">
        <f>IFERROR(VLOOKUP($M1724,'Informations sur les produits'!$A$3:$H$10000,8,FALSE),"0")</f>
        <v>0</v>
      </c>
      <c r="P1724" s="33">
        <f t="shared" si="104"/>
        <v>0</v>
      </c>
      <c r="Q1724" s="31" t="str">
        <f t="shared" si="105"/>
        <v/>
      </c>
      <c r="R1724" s="32" t="str">
        <f>IFERROR(VLOOKUP($D1724,'Informations sur les produits'!$A$3:$B$15000,2,FALSE),"")</f>
        <v/>
      </c>
      <c r="V1724">
        <f t="shared" si="106"/>
        <v>0</v>
      </c>
      <c r="W1724">
        <f t="shared" si="107"/>
        <v>0</v>
      </c>
    </row>
    <row r="1725" spans="5:23" x14ac:dyDescent="0.25">
      <c r="E1725" s="4"/>
      <c r="F1725" s="4"/>
      <c r="G1725" s="33" t="str">
        <f>IFERROR(VLOOKUP($D1725,'Informations sur les produits'!$A$3:$H$10000,8,FALSE),"0")</f>
        <v>0</v>
      </c>
      <c r="K1725" s="4"/>
      <c r="L1725" s="33" t="str">
        <f>IFERROR(VLOOKUP($J1725,'Informations sur les produits'!$A$3:$H$10000,8,FALSE),"0")</f>
        <v>0</v>
      </c>
      <c r="N1725" s="8"/>
      <c r="O1725" s="33" t="str">
        <f>IFERROR(VLOOKUP($M1725,'Informations sur les produits'!$A$3:$H$10000,8,FALSE),"0")</f>
        <v>0</v>
      </c>
      <c r="P1725" s="33">
        <f t="shared" si="104"/>
        <v>0</v>
      </c>
      <c r="Q1725" s="31" t="str">
        <f t="shared" si="105"/>
        <v/>
      </c>
      <c r="R1725" s="32" t="str">
        <f>IFERROR(VLOOKUP($D1725,'Informations sur les produits'!$A$3:$B$15000,2,FALSE),"")</f>
        <v/>
      </c>
      <c r="V1725">
        <f t="shared" si="106"/>
        <v>0</v>
      </c>
      <c r="W1725">
        <f t="shared" si="107"/>
        <v>0</v>
      </c>
    </row>
    <row r="1726" spans="5:23" x14ac:dyDescent="0.25">
      <c r="E1726" s="4"/>
      <c r="F1726" s="4"/>
      <c r="G1726" s="33" t="str">
        <f>IFERROR(VLOOKUP($D1726,'Informations sur les produits'!$A$3:$H$10000,8,FALSE),"0")</f>
        <v>0</v>
      </c>
      <c r="K1726" s="4"/>
      <c r="L1726" s="33" t="str">
        <f>IFERROR(VLOOKUP($J1726,'Informations sur les produits'!$A$3:$H$10000,8,FALSE),"0")</f>
        <v>0</v>
      </c>
      <c r="N1726" s="8"/>
      <c r="O1726" s="33" t="str">
        <f>IFERROR(VLOOKUP($M1726,'Informations sur les produits'!$A$3:$H$10000,8,FALSE),"0")</f>
        <v>0</v>
      </c>
      <c r="P1726" s="33">
        <f t="shared" si="104"/>
        <v>0</v>
      </c>
      <c r="Q1726" s="31" t="str">
        <f t="shared" si="105"/>
        <v/>
      </c>
      <c r="R1726" s="32" t="str">
        <f>IFERROR(VLOOKUP($D1726,'Informations sur les produits'!$A$3:$B$15000,2,FALSE),"")</f>
        <v/>
      </c>
      <c r="V1726">
        <f t="shared" si="106"/>
        <v>0</v>
      </c>
      <c r="W1726">
        <f t="shared" si="107"/>
        <v>0</v>
      </c>
    </row>
    <row r="1727" spans="5:23" x14ac:dyDescent="0.25">
      <c r="E1727" s="4"/>
      <c r="F1727" s="4"/>
      <c r="G1727" s="33" t="str">
        <f>IFERROR(VLOOKUP($D1727,'Informations sur les produits'!$A$3:$H$10000,8,FALSE),"0")</f>
        <v>0</v>
      </c>
      <c r="K1727" s="4"/>
      <c r="L1727" s="33" t="str">
        <f>IFERROR(VLOOKUP($J1727,'Informations sur les produits'!$A$3:$H$10000,8,FALSE),"0")</f>
        <v>0</v>
      </c>
      <c r="N1727" s="8"/>
      <c r="O1727" s="33" t="str">
        <f>IFERROR(VLOOKUP($M1727,'Informations sur les produits'!$A$3:$H$10000,8,FALSE),"0")</f>
        <v>0</v>
      </c>
      <c r="P1727" s="33">
        <f t="shared" si="104"/>
        <v>0</v>
      </c>
      <c r="Q1727" s="31" t="str">
        <f t="shared" si="105"/>
        <v/>
      </c>
      <c r="R1727" s="32" t="str">
        <f>IFERROR(VLOOKUP($D1727,'Informations sur les produits'!$A$3:$B$15000,2,FALSE),"")</f>
        <v/>
      </c>
      <c r="V1727">
        <f t="shared" si="106"/>
        <v>0</v>
      </c>
      <c r="W1727">
        <f t="shared" si="107"/>
        <v>0</v>
      </c>
    </row>
    <row r="1728" spans="5:23" x14ac:dyDescent="0.25">
      <c r="E1728" s="4"/>
      <c r="F1728" s="4"/>
      <c r="G1728" s="33" t="str">
        <f>IFERROR(VLOOKUP($D1728,'Informations sur les produits'!$A$3:$H$10000,8,FALSE),"0")</f>
        <v>0</v>
      </c>
      <c r="K1728" s="4"/>
      <c r="L1728" s="33" t="str">
        <f>IFERROR(VLOOKUP($J1728,'Informations sur les produits'!$A$3:$H$10000,8,FALSE),"0")</f>
        <v>0</v>
      </c>
      <c r="N1728" s="8"/>
      <c r="O1728" s="33" t="str">
        <f>IFERROR(VLOOKUP($M1728,'Informations sur les produits'!$A$3:$H$10000,8,FALSE),"0")</f>
        <v>0</v>
      </c>
      <c r="P1728" s="33">
        <f t="shared" si="104"/>
        <v>0</v>
      </c>
      <c r="Q1728" s="31" t="str">
        <f t="shared" si="105"/>
        <v/>
      </c>
      <c r="R1728" s="32" t="str">
        <f>IFERROR(VLOOKUP($D1728,'Informations sur les produits'!$A$3:$B$15000,2,FALSE),"")</f>
        <v/>
      </c>
      <c r="V1728">
        <f t="shared" si="106"/>
        <v>0</v>
      </c>
      <c r="W1728">
        <f t="shared" si="107"/>
        <v>0</v>
      </c>
    </row>
    <row r="1729" spans="5:23" x14ac:dyDescent="0.25">
      <c r="E1729" s="4"/>
      <c r="F1729" s="4"/>
      <c r="G1729" s="33" t="str">
        <f>IFERROR(VLOOKUP($D1729,'Informations sur les produits'!$A$3:$H$10000,8,FALSE),"0")</f>
        <v>0</v>
      </c>
      <c r="K1729" s="4"/>
      <c r="L1729" s="33" t="str">
        <f>IFERROR(VLOOKUP($J1729,'Informations sur les produits'!$A$3:$H$10000,8,FALSE),"0")</f>
        <v>0</v>
      </c>
      <c r="N1729" s="8"/>
      <c r="O1729" s="33" t="str">
        <f>IFERROR(VLOOKUP($M1729,'Informations sur les produits'!$A$3:$H$10000,8,FALSE),"0")</f>
        <v>0</v>
      </c>
      <c r="P1729" s="33">
        <f t="shared" si="104"/>
        <v>0</v>
      </c>
      <c r="Q1729" s="31" t="str">
        <f t="shared" si="105"/>
        <v/>
      </c>
      <c r="R1729" s="32" t="str">
        <f>IFERROR(VLOOKUP($D1729,'Informations sur les produits'!$A$3:$B$15000,2,FALSE),"")</f>
        <v/>
      </c>
      <c r="V1729">
        <f t="shared" si="106"/>
        <v>0</v>
      </c>
      <c r="W1729">
        <f t="shared" si="107"/>
        <v>0</v>
      </c>
    </row>
    <row r="1730" spans="5:23" x14ac:dyDescent="0.25">
      <c r="E1730" s="4"/>
      <c r="F1730" s="4"/>
      <c r="G1730" s="33" t="str">
        <f>IFERROR(VLOOKUP($D1730,'Informations sur les produits'!$A$3:$H$10000,8,FALSE),"0")</f>
        <v>0</v>
      </c>
      <c r="K1730" s="4"/>
      <c r="L1730" s="33" t="str">
        <f>IFERROR(VLOOKUP($J1730,'Informations sur les produits'!$A$3:$H$10000,8,FALSE),"0")</f>
        <v>0</v>
      </c>
      <c r="N1730" s="8"/>
      <c r="O1730" s="33" t="str">
        <f>IFERROR(VLOOKUP($M1730,'Informations sur les produits'!$A$3:$H$10000,8,FALSE),"0")</f>
        <v>0</v>
      </c>
      <c r="P1730" s="33">
        <f t="shared" si="104"/>
        <v>0</v>
      </c>
      <c r="Q1730" s="31" t="str">
        <f t="shared" si="105"/>
        <v/>
      </c>
      <c r="R1730" s="32" t="str">
        <f>IFERROR(VLOOKUP($D1730,'Informations sur les produits'!$A$3:$B$15000,2,FALSE),"")</f>
        <v/>
      </c>
      <c r="V1730">
        <f t="shared" si="106"/>
        <v>0</v>
      </c>
      <c r="W1730">
        <f t="shared" si="107"/>
        <v>0</v>
      </c>
    </row>
    <row r="1731" spans="5:23" x14ac:dyDescent="0.25">
      <c r="E1731" s="4"/>
      <c r="F1731" s="4"/>
      <c r="G1731" s="33" t="str">
        <f>IFERROR(VLOOKUP($D1731,'Informations sur les produits'!$A$3:$H$10000,8,FALSE),"0")</f>
        <v>0</v>
      </c>
      <c r="K1731" s="4"/>
      <c r="L1731" s="33" t="str">
        <f>IFERROR(VLOOKUP($J1731,'Informations sur les produits'!$A$3:$H$10000,8,FALSE),"0")</f>
        <v>0</v>
      </c>
      <c r="N1731" s="8"/>
      <c r="O1731" s="33" t="str">
        <f>IFERROR(VLOOKUP($M1731,'Informations sur les produits'!$A$3:$H$10000,8,FALSE),"0")</f>
        <v>0</v>
      </c>
      <c r="P1731" s="33">
        <f t="shared" si="104"/>
        <v>0</v>
      </c>
      <c r="Q1731" s="31" t="str">
        <f t="shared" si="105"/>
        <v/>
      </c>
      <c r="R1731" s="32" t="str">
        <f>IFERROR(VLOOKUP($D1731,'Informations sur les produits'!$A$3:$B$15000,2,FALSE),"")</f>
        <v/>
      </c>
      <c r="V1731">
        <f t="shared" si="106"/>
        <v>0</v>
      </c>
      <c r="W1731">
        <f t="shared" si="107"/>
        <v>0</v>
      </c>
    </row>
    <row r="1732" spans="5:23" x14ac:dyDescent="0.25">
      <c r="E1732" s="4"/>
      <c r="F1732" s="4"/>
      <c r="G1732" s="33" t="str">
        <f>IFERROR(VLOOKUP($D1732,'Informations sur les produits'!$A$3:$H$10000,8,FALSE),"0")</f>
        <v>0</v>
      </c>
      <c r="K1732" s="4"/>
      <c r="L1732" s="33" t="str">
        <f>IFERROR(VLOOKUP($J1732,'Informations sur les produits'!$A$3:$H$10000,8,FALSE),"0")</f>
        <v>0</v>
      </c>
      <c r="N1732" s="8"/>
      <c r="O1732" s="33" t="str">
        <f>IFERROR(VLOOKUP($M1732,'Informations sur les produits'!$A$3:$H$10000,8,FALSE),"0")</f>
        <v>0</v>
      </c>
      <c r="P1732" s="33">
        <f t="shared" ref="P1732:P1795" si="108">IFERROR((($E1732-$F1732)*$G1732+$K1732*$L1732+$N1732*$O1732),"")</f>
        <v>0</v>
      </c>
      <c r="Q1732" s="31" t="str">
        <f t="shared" ref="Q1732:Q1795" si="109">IFERROR((((($E1732-$F1732)*$G1732+$K1732*$L1732+$N1732*$O1732)*1000)/(($E1732-$F1732)+$K1732+$N1732)),"")</f>
        <v/>
      </c>
      <c r="R1732" s="32" t="str">
        <f>IFERROR(VLOOKUP($D1732,'Informations sur les produits'!$A$3:$B$15000,2,FALSE),"")</f>
        <v/>
      </c>
      <c r="V1732">
        <f t="shared" ref="V1732:V1795" si="110">IFERROR(P1732*1000,"")</f>
        <v>0</v>
      </c>
      <c r="W1732">
        <f t="shared" ref="W1732:W1795" si="111">IFERROR(($E1732-$F1732)+$K1732+$N1732,"")</f>
        <v>0</v>
      </c>
    </row>
    <row r="1733" spans="5:23" x14ac:dyDescent="0.25">
      <c r="E1733" s="4"/>
      <c r="F1733" s="4"/>
      <c r="G1733" s="33" t="str">
        <f>IFERROR(VLOOKUP($D1733,'Informations sur les produits'!$A$3:$H$10000,8,FALSE),"0")</f>
        <v>0</v>
      </c>
      <c r="K1733" s="4"/>
      <c r="L1733" s="33" t="str">
        <f>IFERROR(VLOOKUP($J1733,'Informations sur les produits'!$A$3:$H$10000,8,FALSE),"0")</f>
        <v>0</v>
      </c>
      <c r="N1733" s="8"/>
      <c r="O1733" s="33" t="str">
        <f>IFERROR(VLOOKUP($M1733,'Informations sur les produits'!$A$3:$H$10000,8,FALSE),"0")</f>
        <v>0</v>
      </c>
      <c r="P1733" s="33">
        <f t="shared" si="108"/>
        <v>0</v>
      </c>
      <c r="Q1733" s="31" t="str">
        <f t="shared" si="109"/>
        <v/>
      </c>
      <c r="R1733" s="32" t="str">
        <f>IFERROR(VLOOKUP($D1733,'Informations sur les produits'!$A$3:$B$15000,2,FALSE),"")</f>
        <v/>
      </c>
      <c r="V1733">
        <f t="shared" si="110"/>
        <v>0</v>
      </c>
      <c r="W1733">
        <f t="shared" si="111"/>
        <v>0</v>
      </c>
    </row>
    <row r="1734" spans="5:23" x14ac:dyDescent="0.25">
      <c r="E1734" s="4"/>
      <c r="F1734" s="4"/>
      <c r="G1734" s="33" t="str">
        <f>IFERROR(VLOOKUP($D1734,'Informations sur les produits'!$A$3:$H$10000,8,FALSE),"0")</f>
        <v>0</v>
      </c>
      <c r="K1734" s="4"/>
      <c r="L1734" s="33" t="str">
        <f>IFERROR(VLOOKUP($J1734,'Informations sur les produits'!$A$3:$H$10000,8,FALSE),"0")</f>
        <v>0</v>
      </c>
      <c r="N1734" s="8"/>
      <c r="O1734" s="33" t="str">
        <f>IFERROR(VLOOKUP($M1734,'Informations sur les produits'!$A$3:$H$10000,8,FALSE),"0")</f>
        <v>0</v>
      </c>
      <c r="P1734" s="33">
        <f t="shared" si="108"/>
        <v>0</v>
      </c>
      <c r="Q1734" s="31" t="str">
        <f t="shared" si="109"/>
        <v/>
      </c>
      <c r="R1734" s="32" t="str">
        <f>IFERROR(VLOOKUP($D1734,'Informations sur les produits'!$A$3:$B$15000,2,FALSE),"")</f>
        <v/>
      </c>
      <c r="V1734">
        <f t="shared" si="110"/>
        <v>0</v>
      </c>
      <c r="W1734">
        <f t="shared" si="111"/>
        <v>0</v>
      </c>
    </row>
    <row r="1735" spans="5:23" x14ac:dyDescent="0.25">
      <c r="E1735" s="4"/>
      <c r="F1735" s="4"/>
      <c r="G1735" s="33" t="str">
        <f>IFERROR(VLOOKUP($D1735,'Informations sur les produits'!$A$3:$H$10000,8,FALSE),"0")</f>
        <v>0</v>
      </c>
      <c r="K1735" s="4"/>
      <c r="L1735" s="33" t="str">
        <f>IFERROR(VLOOKUP($J1735,'Informations sur les produits'!$A$3:$H$10000,8,FALSE),"0")</f>
        <v>0</v>
      </c>
      <c r="N1735" s="8"/>
      <c r="O1735" s="33" t="str">
        <f>IFERROR(VLOOKUP($M1735,'Informations sur les produits'!$A$3:$H$10000,8,FALSE),"0")</f>
        <v>0</v>
      </c>
      <c r="P1735" s="33">
        <f t="shared" si="108"/>
        <v>0</v>
      </c>
      <c r="Q1735" s="31" t="str">
        <f t="shared" si="109"/>
        <v/>
      </c>
      <c r="R1735" s="32" t="str">
        <f>IFERROR(VLOOKUP($D1735,'Informations sur les produits'!$A$3:$B$15000,2,FALSE),"")</f>
        <v/>
      </c>
      <c r="V1735">
        <f t="shared" si="110"/>
        <v>0</v>
      </c>
      <c r="W1735">
        <f t="shared" si="111"/>
        <v>0</v>
      </c>
    </row>
    <row r="1736" spans="5:23" x14ac:dyDescent="0.25">
      <c r="E1736" s="4"/>
      <c r="F1736" s="4"/>
      <c r="G1736" s="33" t="str">
        <f>IFERROR(VLOOKUP($D1736,'Informations sur les produits'!$A$3:$H$10000,8,FALSE),"0")</f>
        <v>0</v>
      </c>
      <c r="K1736" s="4"/>
      <c r="L1736" s="33" t="str">
        <f>IFERROR(VLOOKUP($J1736,'Informations sur les produits'!$A$3:$H$10000,8,FALSE),"0")</f>
        <v>0</v>
      </c>
      <c r="N1736" s="8"/>
      <c r="O1736" s="33" t="str">
        <f>IFERROR(VLOOKUP($M1736,'Informations sur les produits'!$A$3:$H$10000,8,FALSE),"0")</f>
        <v>0</v>
      </c>
      <c r="P1736" s="33">
        <f t="shared" si="108"/>
        <v>0</v>
      </c>
      <c r="Q1736" s="31" t="str">
        <f t="shared" si="109"/>
        <v/>
      </c>
      <c r="R1736" s="32" t="str">
        <f>IFERROR(VLOOKUP($D1736,'Informations sur les produits'!$A$3:$B$15000,2,FALSE),"")</f>
        <v/>
      </c>
      <c r="V1736">
        <f t="shared" si="110"/>
        <v>0</v>
      </c>
      <c r="W1736">
        <f t="shared" si="111"/>
        <v>0</v>
      </c>
    </row>
    <row r="1737" spans="5:23" x14ac:dyDescent="0.25">
      <c r="E1737" s="4"/>
      <c r="F1737" s="4"/>
      <c r="G1737" s="33" t="str">
        <f>IFERROR(VLOOKUP($D1737,'Informations sur les produits'!$A$3:$H$10000,8,FALSE),"0")</f>
        <v>0</v>
      </c>
      <c r="K1737" s="4"/>
      <c r="L1737" s="33" t="str">
        <f>IFERROR(VLOOKUP($J1737,'Informations sur les produits'!$A$3:$H$10000,8,FALSE),"0")</f>
        <v>0</v>
      </c>
      <c r="N1737" s="8"/>
      <c r="O1737" s="33" t="str">
        <f>IFERROR(VLOOKUP($M1737,'Informations sur les produits'!$A$3:$H$10000,8,FALSE),"0")</f>
        <v>0</v>
      </c>
      <c r="P1737" s="33">
        <f t="shared" si="108"/>
        <v>0</v>
      </c>
      <c r="Q1737" s="31" t="str">
        <f t="shared" si="109"/>
        <v/>
      </c>
      <c r="R1737" s="32" t="str">
        <f>IFERROR(VLOOKUP($D1737,'Informations sur les produits'!$A$3:$B$15000,2,FALSE),"")</f>
        <v/>
      </c>
      <c r="V1737">
        <f t="shared" si="110"/>
        <v>0</v>
      </c>
      <c r="W1737">
        <f t="shared" si="111"/>
        <v>0</v>
      </c>
    </row>
    <row r="1738" spans="5:23" x14ac:dyDescent="0.25">
      <c r="E1738" s="4"/>
      <c r="F1738" s="4"/>
      <c r="G1738" s="33" t="str">
        <f>IFERROR(VLOOKUP($D1738,'Informations sur les produits'!$A$3:$H$10000,8,FALSE),"0")</f>
        <v>0</v>
      </c>
      <c r="K1738" s="4"/>
      <c r="L1738" s="33" t="str">
        <f>IFERROR(VLOOKUP($J1738,'Informations sur les produits'!$A$3:$H$10000,8,FALSE),"0")</f>
        <v>0</v>
      </c>
      <c r="N1738" s="8"/>
      <c r="O1738" s="33" t="str">
        <f>IFERROR(VLOOKUP($M1738,'Informations sur les produits'!$A$3:$H$10000,8,FALSE),"0")</f>
        <v>0</v>
      </c>
      <c r="P1738" s="33">
        <f t="shared" si="108"/>
        <v>0</v>
      </c>
      <c r="Q1738" s="31" t="str">
        <f t="shared" si="109"/>
        <v/>
      </c>
      <c r="R1738" s="32" t="str">
        <f>IFERROR(VLOOKUP($D1738,'Informations sur les produits'!$A$3:$B$15000,2,FALSE),"")</f>
        <v/>
      </c>
      <c r="V1738">
        <f t="shared" si="110"/>
        <v>0</v>
      </c>
      <c r="W1738">
        <f t="shared" si="111"/>
        <v>0</v>
      </c>
    </row>
    <row r="1739" spans="5:23" x14ac:dyDescent="0.25">
      <c r="E1739" s="4"/>
      <c r="F1739" s="4"/>
      <c r="G1739" s="33" t="str">
        <f>IFERROR(VLOOKUP($D1739,'Informations sur les produits'!$A$3:$H$10000,8,FALSE),"0")</f>
        <v>0</v>
      </c>
      <c r="K1739" s="4"/>
      <c r="L1739" s="33" t="str">
        <f>IFERROR(VLOOKUP($J1739,'Informations sur les produits'!$A$3:$H$10000,8,FALSE),"0")</f>
        <v>0</v>
      </c>
      <c r="N1739" s="8"/>
      <c r="O1739" s="33" t="str">
        <f>IFERROR(VLOOKUP($M1739,'Informations sur les produits'!$A$3:$H$10000,8,FALSE),"0")</f>
        <v>0</v>
      </c>
      <c r="P1739" s="33">
        <f t="shared" si="108"/>
        <v>0</v>
      </c>
      <c r="Q1739" s="31" t="str">
        <f t="shared" si="109"/>
        <v/>
      </c>
      <c r="R1739" s="32" t="str">
        <f>IFERROR(VLOOKUP($D1739,'Informations sur les produits'!$A$3:$B$15000,2,FALSE),"")</f>
        <v/>
      </c>
      <c r="V1739">
        <f t="shared" si="110"/>
        <v>0</v>
      </c>
      <c r="W1739">
        <f t="shared" si="111"/>
        <v>0</v>
      </c>
    </row>
    <row r="1740" spans="5:23" x14ac:dyDescent="0.25">
      <c r="E1740" s="4"/>
      <c r="F1740" s="4"/>
      <c r="G1740" s="33" t="str">
        <f>IFERROR(VLOOKUP($D1740,'Informations sur les produits'!$A$3:$H$10000,8,FALSE),"0")</f>
        <v>0</v>
      </c>
      <c r="K1740" s="4"/>
      <c r="L1740" s="33" t="str">
        <f>IFERROR(VLOOKUP($J1740,'Informations sur les produits'!$A$3:$H$10000,8,FALSE),"0")</f>
        <v>0</v>
      </c>
      <c r="N1740" s="8"/>
      <c r="O1740" s="33" t="str">
        <f>IFERROR(VLOOKUP($M1740,'Informations sur les produits'!$A$3:$H$10000,8,FALSE),"0")</f>
        <v>0</v>
      </c>
      <c r="P1740" s="33">
        <f t="shared" si="108"/>
        <v>0</v>
      </c>
      <c r="Q1740" s="31" t="str">
        <f t="shared" si="109"/>
        <v/>
      </c>
      <c r="R1740" s="32" t="str">
        <f>IFERROR(VLOOKUP($D1740,'Informations sur les produits'!$A$3:$B$15000,2,FALSE),"")</f>
        <v/>
      </c>
      <c r="V1740">
        <f t="shared" si="110"/>
        <v>0</v>
      </c>
      <c r="W1740">
        <f t="shared" si="111"/>
        <v>0</v>
      </c>
    </row>
    <row r="1741" spans="5:23" x14ac:dyDescent="0.25">
      <c r="E1741" s="4"/>
      <c r="F1741" s="4"/>
      <c r="G1741" s="33" t="str">
        <f>IFERROR(VLOOKUP($D1741,'Informations sur les produits'!$A$3:$H$10000,8,FALSE),"0")</f>
        <v>0</v>
      </c>
      <c r="K1741" s="4"/>
      <c r="L1741" s="33" t="str">
        <f>IFERROR(VLOOKUP($J1741,'Informations sur les produits'!$A$3:$H$10000,8,FALSE),"0")</f>
        <v>0</v>
      </c>
      <c r="N1741" s="8"/>
      <c r="O1741" s="33" t="str">
        <f>IFERROR(VLOOKUP($M1741,'Informations sur les produits'!$A$3:$H$10000,8,FALSE),"0")</f>
        <v>0</v>
      </c>
      <c r="P1741" s="33">
        <f t="shared" si="108"/>
        <v>0</v>
      </c>
      <c r="Q1741" s="31" t="str">
        <f t="shared" si="109"/>
        <v/>
      </c>
      <c r="R1741" s="32" t="str">
        <f>IFERROR(VLOOKUP($D1741,'Informations sur les produits'!$A$3:$B$15000,2,FALSE),"")</f>
        <v/>
      </c>
      <c r="V1741">
        <f t="shared" si="110"/>
        <v>0</v>
      </c>
      <c r="W1741">
        <f t="shared" si="111"/>
        <v>0</v>
      </c>
    </row>
    <row r="1742" spans="5:23" x14ac:dyDescent="0.25">
      <c r="E1742" s="4"/>
      <c r="F1742" s="4"/>
      <c r="G1742" s="33" t="str">
        <f>IFERROR(VLOOKUP($D1742,'Informations sur les produits'!$A$3:$H$10000,8,FALSE),"0")</f>
        <v>0</v>
      </c>
      <c r="K1742" s="4"/>
      <c r="L1742" s="33" t="str">
        <f>IFERROR(VLOOKUP($J1742,'Informations sur les produits'!$A$3:$H$10000,8,FALSE),"0")</f>
        <v>0</v>
      </c>
      <c r="N1742" s="8"/>
      <c r="O1742" s="33" t="str">
        <f>IFERROR(VLOOKUP($M1742,'Informations sur les produits'!$A$3:$H$10000,8,FALSE),"0")</f>
        <v>0</v>
      </c>
      <c r="P1742" s="33">
        <f t="shared" si="108"/>
        <v>0</v>
      </c>
      <c r="Q1742" s="31" t="str">
        <f t="shared" si="109"/>
        <v/>
      </c>
      <c r="R1742" s="32" t="str">
        <f>IFERROR(VLOOKUP($D1742,'Informations sur les produits'!$A$3:$B$15000,2,FALSE),"")</f>
        <v/>
      </c>
      <c r="V1742">
        <f t="shared" si="110"/>
        <v>0</v>
      </c>
      <c r="W1742">
        <f t="shared" si="111"/>
        <v>0</v>
      </c>
    </row>
    <row r="1743" spans="5:23" x14ac:dyDescent="0.25">
      <c r="E1743" s="4"/>
      <c r="F1743" s="4"/>
      <c r="G1743" s="33" t="str">
        <f>IFERROR(VLOOKUP($D1743,'Informations sur les produits'!$A$3:$H$10000,8,FALSE),"0")</f>
        <v>0</v>
      </c>
      <c r="K1743" s="4"/>
      <c r="L1743" s="33" t="str">
        <f>IFERROR(VLOOKUP($J1743,'Informations sur les produits'!$A$3:$H$10000,8,FALSE),"0")</f>
        <v>0</v>
      </c>
      <c r="N1743" s="8"/>
      <c r="O1743" s="33" t="str">
        <f>IFERROR(VLOOKUP($M1743,'Informations sur les produits'!$A$3:$H$10000,8,FALSE),"0")</f>
        <v>0</v>
      </c>
      <c r="P1743" s="33">
        <f t="shared" si="108"/>
        <v>0</v>
      </c>
      <c r="Q1743" s="31" t="str">
        <f t="shared" si="109"/>
        <v/>
      </c>
      <c r="R1743" s="32" t="str">
        <f>IFERROR(VLOOKUP($D1743,'Informations sur les produits'!$A$3:$B$15000,2,FALSE),"")</f>
        <v/>
      </c>
      <c r="V1743">
        <f t="shared" si="110"/>
        <v>0</v>
      </c>
      <c r="W1743">
        <f t="shared" si="111"/>
        <v>0</v>
      </c>
    </row>
    <row r="1744" spans="5:23" x14ac:dyDescent="0.25">
      <c r="E1744" s="4"/>
      <c r="F1744" s="4"/>
      <c r="G1744" s="33" t="str">
        <f>IFERROR(VLOOKUP($D1744,'Informations sur les produits'!$A$3:$H$10000,8,FALSE),"0")</f>
        <v>0</v>
      </c>
      <c r="K1744" s="4"/>
      <c r="L1744" s="33" t="str">
        <f>IFERROR(VLOOKUP($J1744,'Informations sur les produits'!$A$3:$H$10000,8,FALSE),"0")</f>
        <v>0</v>
      </c>
      <c r="N1744" s="8"/>
      <c r="O1744" s="33" t="str">
        <f>IFERROR(VLOOKUP($M1744,'Informations sur les produits'!$A$3:$H$10000,8,FALSE),"0")</f>
        <v>0</v>
      </c>
      <c r="P1744" s="33">
        <f t="shared" si="108"/>
        <v>0</v>
      </c>
      <c r="Q1744" s="31" t="str">
        <f t="shared" si="109"/>
        <v/>
      </c>
      <c r="R1744" s="32" t="str">
        <f>IFERROR(VLOOKUP($D1744,'Informations sur les produits'!$A$3:$B$15000,2,FALSE),"")</f>
        <v/>
      </c>
      <c r="V1744">
        <f t="shared" si="110"/>
        <v>0</v>
      </c>
      <c r="W1744">
        <f t="shared" si="111"/>
        <v>0</v>
      </c>
    </row>
    <row r="1745" spans="5:23" x14ac:dyDescent="0.25">
      <c r="E1745" s="4"/>
      <c r="F1745" s="4"/>
      <c r="G1745" s="33" t="str">
        <f>IFERROR(VLOOKUP($D1745,'Informations sur les produits'!$A$3:$H$10000,8,FALSE),"0")</f>
        <v>0</v>
      </c>
      <c r="K1745" s="4"/>
      <c r="L1745" s="33" t="str">
        <f>IFERROR(VLOOKUP($J1745,'Informations sur les produits'!$A$3:$H$10000,8,FALSE),"0")</f>
        <v>0</v>
      </c>
      <c r="N1745" s="8"/>
      <c r="O1745" s="33" t="str">
        <f>IFERROR(VLOOKUP($M1745,'Informations sur les produits'!$A$3:$H$10000,8,FALSE),"0")</f>
        <v>0</v>
      </c>
      <c r="P1745" s="33">
        <f t="shared" si="108"/>
        <v>0</v>
      </c>
      <c r="Q1745" s="31" t="str">
        <f t="shared" si="109"/>
        <v/>
      </c>
      <c r="R1745" s="32" t="str">
        <f>IFERROR(VLOOKUP($D1745,'Informations sur les produits'!$A$3:$B$15000,2,FALSE),"")</f>
        <v/>
      </c>
      <c r="V1745">
        <f t="shared" si="110"/>
        <v>0</v>
      </c>
      <c r="W1745">
        <f t="shared" si="111"/>
        <v>0</v>
      </c>
    </row>
    <row r="1746" spans="5:23" x14ac:dyDescent="0.25">
      <c r="E1746" s="4"/>
      <c r="F1746" s="4"/>
      <c r="G1746" s="33" t="str">
        <f>IFERROR(VLOOKUP($D1746,'Informations sur les produits'!$A$3:$H$10000,8,FALSE),"0")</f>
        <v>0</v>
      </c>
      <c r="K1746" s="4"/>
      <c r="L1746" s="33" t="str">
        <f>IFERROR(VLOOKUP($J1746,'Informations sur les produits'!$A$3:$H$10000,8,FALSE),"0")</f>
        <v>0</v>
      </c>
      <c r="N1746" s="8"/>
      <c r="O1746" s="33" t="str">
        <f>IFERROR(VLOOKUP($M1746,'Informations sur les produits'!$A$3:$H$10000,8,FALSE),"0")</f>
        <v>0</v>
      </c>
      <c r="P1746" s="33">
        <f t="shared" si="108"/>
        <v>0</v>
      </c>
      <c r="Q1746" s="31" t="str">
        <f t="shared" si="109"/>
        <v/>
      </c>
      <c r="R1746" s="32" t="str">
        <f>IFERROR(VLOOKUP($D1746,'Informations sur les produits'!$A$3:$B$15000,2,FALSE),"")</f>
        <v/>
      </c>
      <c r="V1746">
        <f t="shared" si="110"/>
        <v>0</v>
      </c>
      <c r="W1746">
        <f t="shared" si="111"/>
        <v>0</v>
      </c>
    </row>
    <row r="1747" spans="5:23" x14ac:dyDescent="0.25">
      <c r="E1747" s="4"/>
      <c r="F1747" s="4"/>
      <c r="G1747" s="33" t="str">
        <f>IFERROR(VLOOKUP($D1747,'Informations sur les produits'!$A$3:$H$10000,8,FALSE),"0")</f>
        <v>0</v>
      </c>
      <c r="K1747" s="4"/>
      <c r="L1747" s="33" t="str">
        <f>IFERROR(VLOOKUP($J1747,'Informations sur les produits'!$A$3:$H$10000,8,FALSE),"0")</f>
        <v>0</v>
      </c>
      <c r="N1747" s="8"/>
      <c r="O1747" s="33" t="str">
        <f>IFERROR(VLOOKUP($M1747,'Informations sur les produits'!$A$3:$H$10000,8,FALSE),"0")</f>
        <v>0</v>
      </c>
      <c r="P1747" s="33">
        <f t="shared" si="108"/>
        <v>0</v>
      </c>
      <c r="Q1747" s="31" t="str">
        <f t="shared" si="109"/>
        <v/>
      </c>
      <c r="R1747" s="32" t="str">
        <f>IFERROR(VLOOKUP($D1747,'Informations sur les produits'!$A$3:$B$15000,2,FALSE),"")</f>
        <v/>
      </c>
      <c r="V1747">
        <f t="shared" si="110"/>
        <v>0</v>
      </c>
      <c r="W1747">
        <f t="shared" si="111"/>
        <v>0</v>
      </c>
    </row>
    <row r="1748" spans="5:23" x14ac:dyDescent="0.25">
      <c r="E1748" s="4"/>
      <c r="F1748" s="4"/>
      <c r="G1748" s="33" t="str">
        <f>IFERROR(VLOOKUP($D1748,'Informations sur les produits'!$A$3:$H$10000,8,FALSE),"0")</f>
        <v>0</v>
      </c>
      <c r="K1748" s="4"/>
      <c r="L1748" s="33" t="str">
        <f>IFERROR(VLOOKUP($J1748,'Informations sur les produits'!$A$3:$H$10000,8,FALSE),"0")</f>
        <v>0</v>
      </c>
      <c r="N1748" s="8"/>
      <c r="O1748" s="33" t="str">
        <f>IFERROR(VLOOKUP($M1748,'Informations sur les produits'!$A$3:$H$10000,8,FALSE),"0")</f>
        <v>0</v>
      </c>
      <c r="P1748" s="33">
        <f t="shared" si="108"/>
        <v>0</v>
      </c>
      <c r="Q1748" s="31" t="str">
        <f t="shared" si="109"/>
        <v/>
      </c>
      <c r="R1748" s="32" t="str">
        <f>IFERROR(VLOOKUP($D1748,'Informations sur les produits'!$A$3:$B$15000,2,FALSE),"")</f>
        <v/>
      </c>
      <c r="V1748">
        <f t="shared" si="110"/>
        <v>0</v>
      </c>
      <c r="W1748">
        <f t="shared" si="111"/>
        <v>0</v>
      </c>
    </row>
    <row r="1749" spans="5:23" x14ac:dyDescent="0.25">
      <c r="E1749" s="4"/>
      <c r="F1749" s="4"/>
      <c r="G1749" s="33" t="str">
        <f>IFERROR(VLOOKUP($D1749,'Informations sur les produits'!$A$3:$H$10000,8,FALSE),"0")</f>
        <v>0</v>
      </c>
      <c r="K1749" s="4"/>
      <c r="L1749" s="33" t="str">
        <f>IFERROR(VLOOKUP($J1749,'Informations sur les produits'!$A$3:$H$10000,8,FALSE),"0")</f>
        <v>0</v>
      </c>
      <c r="N1749" s="8"/>
      <c r="O1749" s="33" t="str">
        <f>IFERROR(VLOOKUP($M1749,'Informations sur les produits'!$A$3:$H$10000,8,FALSE),"0")</f>
        <v>0</v>
      </c>
      <c r="P1749" s="33">
        <f t="shared" si="108"/>
        <v>0</v>
      </c>
      <c r="Q1749" s="31" t="str">
        <f t="shared" si="109"/>
        <v/>
      </c>
      <c r="R1749" s="32" t="str">
        <f>IFERROR(VLOOKUP($D1749,'Informations sur les produits'!$A$3:$B$15000,2,FALSE),"")</f>
        <v/>
      </c>
      <c r="V1749">
        <f t="shared" si="110"/>
        <v>0</v>
      </c>
      <c r="W1749">
        <f t="shared" si="111"/>
        <v>0</v>
      </c>
    </row>
    <row r="1750" spans="5:23" x14ac:dyDescent="0.25">
      <c r="E1750" s="4"/>
      <c r="F1750" s="4"/>
      <c r="G1750" s="33" t="str">
        <f>IFERROR(VLOOKUP($D1750,'Informations sur les produits'!$A$3:$H$10000,8,FALSE),"0")</f>
        <v>0</v>
      </c>
      <c r="K1750" s="4"/>
      <c r="L1750" s="33" t="str">
        <f>IFERROR(VLOOKUP($J1750,'Informations sur les produits'!$A$3:$H$10000,8,FALSE),"0")</f>
        <v>0</v>
      </c>
      <c r="N1750" s="8"/>
      <c r="O1750" s="33" t="str">
        <f>IFERROR(VLOOKUP($M1750,'Informations sur les produits'!$A$3:$H$10000,8,FALSE),"0")</f>
        <v>0</v>
      </c>
      <c r="P1750" s="33">
        <f t="shared" si="108"/>
        <v>0</v>
      </c>
      <c r="Q1750" s="31" t="str">
        <f t="shared" si="109"/>
        <v/>
      </c>
      <c r="R1750" s="32" t="str">
        <f>IFERROR(VLOOKUP($D1750,'Informations sur les produits'!$A$3:$B$15000,2,FALSE),"")</f>
        <v/>
      </c>
      <c r="V1750">
        <f t="shared" si="110"/>
        <v>0</v>
      </c>
      <c r="W1750">
        <f t="shared" si="111"/>
        <v>0</v>
      </c>
    </row>
    <row r="1751" spans="5:23" x14ac:dyDescent="0.25">
      <c r="E1751" s="4"/>
      <c r="F1751" s="4"/>
      <c r="G1751" s="33" t="str">
        <f>IFERROR(VLOOKUP($D1751,'Informations sur les produits'!$A$3:$H$10000,8,FALSE),"0")</f>
        <v>0</v>
      </c>
      <c r="K1751" s="4"/>
      <c r="L1751" s="33" t="str">
        <f>IFERROR(VLOOKUP($J1751,'Informations sur les produits'!$A$3:$H$10000,8,FALSE),"0")</f>
        <v>0</v>
      </c>
      <c r="N1751" s="8"/>
      <c r="O1751" s="33" t="str">
        <f>IFERROR(VLOOKUP($M1751,'Informations sur les produits'!$A$3:$H$10000,8,FALSE),"0")</f>
        <v>0</v>
      </c>
      <c r="P1751" s="33">
        <f t="shared" si="108"/>
        <v>0</v>
      </c>
      <c r="Q1751" s="31" t="str">
        <f t="shared" si="109"/>
        <v/>
      </c>
      <c r="R1751" s="32" t="str">
        <f>IFERROR(VLOOKUP($D1751,'Informations sur les produits'!$A$3:$B$15000,2,FALSE),"")</f>
        <v/>
      </c>
      <c r="V1751">
        <f t="shared" si="110"/>
        <v>0</v>
      </c>
      <c r="W1751">
        <f t="shared" si="111"/>
        <v>0</v>
      </c>
    </row>
    <row r="1752" spans="5:23" x14ac:dyDescent="0.25">
      <c r="E1752" s="4"/>
      <c r="F1752" s="4"/>
      <c r="G1752" s="33" t="str">
        <f>IFERROR(VLOOKUP($D1752,'Informations sur les produits'!$A$3:$H$10000,8,FALSE),"0")</f>
        <v>0</v>
      </c>
      <c r="K1752" s="4"/>
      <c r="L1752" s="33" t="str">
        <f>IFERROR(VLOOKUP($J1752,'Informations sur les produits'!$A$3:$H$10000,8,FALSE),"0")</f>
        <v>0</v>
      </c>
      <c r="N1752" s="8"/>
      <c r="O1752" s="33" t="str">
        <f>IFERROR(VLOOKUP($M1752,'Informations sur les produits'!$A$3:$H$10000,8,FALSE),"0")</f>
        <v>0</v>
      </c>
      <c r="P1752" s="33">
        <f t="shared" si="108"/>
        <v>0</v>
      </c>
      <c r="Q1752" s="31" t="str">
        <f t="shared" si="109"/>
        <v/>
      </c>
      <c r="R1752" s="32" t="str">
        <f>IFERROR(VLOOKUP($D1752,'Informations sur les produits'!$A$3:$B$15000,2,FALSE),"")</f>
        <v/>
      </c>
      <c r="V1752">
        <f t="shared" si="110"/>
        <v>0</v>
      </c>
      <c r="W1752">
        <f t="shared" si="111"/>
        <v>0</v>
      </c>
    </row>
    <row r="1753" spans="5:23" x14ac:dyDescent="0.25">
      <c r="E1753" s="4"/>
      <c r="F1753" s="4"/>
      <c r="G1753" s="33" t="str">
        <f>IFERROR(VLOOKUP($D1753,'Informations sur les produits'!$A$3:$H$10000,8,FALSE),"0")</f>
        <v>0</v>
      </c>
      <c r="K1753" s="4"/>
      <c r="L1753" s="33" t="str">
        <f>IFERROR(VLOOKUP($J1753,'Informations sur les produits'!$A$3:$H$10000,8,FALSE),"0")</f>
        <v>0</v>
      </c>
      <c r="N1753" s="8"/>
      <c r="O1753" s="33" t="str">
        <f>IFERROR(VLOOKUP($M1753,'Informations sur les produits'!$A$3:$H$10000,8,FALSE),"0")</f>
        <v>0</v>
      </c>
      <c r="P1753" s="33">
        <f t="shared" si="108"/>
        <v>0</v>
      </c>
      <c r="Q1753" s="31" t="str">
        <f t="shared" si="109"/>
        <v/>
      </c>
      <c r="R1753" s="32" t="str">
        <f>IFERROR(VLOOKUP($D1753,'Informations sur les produits'!$A$3:$B$15000,2,FALSE),"")</f>
        <v/>
      </c>
      <c r="V1753">
        <f t="shared" si="110"/>
        <v>0</v>
      </c>
      <c r="W1753">
        <f t="shared" si="111"/>
        <v>0</v>
      </c>
    </row>
    <row r="1754" spans="5:23" x14ac:dyDescent="0.25">
      <c r="E1754" s="4"/>
      <c r="F1754" s="4"/>
      <c r="G1754" s="33" t="str">
        <f>IFERROR(VLOOKUP($D1754,'Informations sur les produits'!$A$3:$H$10000,8,FALSE),"0")</f>
        <v>0</v>
      </c>
      <c r="K1754" s="4"/>
      <c r="L1754" s="33" t="str">
        <f>IFERROR(VLOOKUP($J1754,'Informations sur les produits'!$A$3:$H$10000,8,FALSE),"0")</f>
        <v>0</v>
      </c>
      <c r="N1754" s="8"/>
      <c r="O1754" s="33" t="str">
        <f>IFERROR(VLOOKUP($M1754,'Informations sur les produits'!$A$3:$H$10000,8,FALSE),"0")</f>
        <v>0</v>
      </c>
      <c r="P1754" s="33">
        <f t="shared" si="108"/>
        <v>0</v>
      </c>
      <c r="Q1754" s="31" t="str">
        <f t="shared" si="109"/>
        <v/>
      </c>
      <c r="R1754" s="32" t="str">
        <f>IFERROR(VLOOKUP($D1754,'Informations sur les produits'!$A$3:$B$15000,2,FALSE),"")</f>
        <v/>
      </c>
      <c r="V1754">
        <f t="shared" si="110"/>
        <v>0</v>
      </c>
      <c r="W1754">
        <f t="shared" si="111"/>
        <v>0</v>
      </c>
    </row>
    <row r="1755" spans="5:23" x14ac:dyDescent="0.25">
      <c r="E1755" s="4"/>
      <c r="F1755" s="4"/>
      <c r="G1755" s="33" t="str">
        <f>IFERROR(VLOOKUP($D1755,'Informations sur les produits'!$A$3:$H$10000,8,FALSE),"0")</f>
        <v>0</v>
      </c>
      <c r="K1755" s="4"/>
      <c r="L1755" s="33" t="str">
        <f>IFERROR(VLOOKUP($J1755,'Informations sur les produits'!$A$3:$H$10000,8,FALSE),"0")</f>
        <v>0</v>
      </c>
      <c r="N1755" s="8"/>
      <c r="O1755" s="33" t="str">
        <f>IFERROR(VLOOKUP($M1755,'Informations sur les produits'!$A$3:$H$10000,8,FALSE),"0")</f>
        <v>0</v>
      </c>
      <c r="P1755" s="33">
        <f t="shared" si="108"/>
        <v>0</v>
      </c>
      <c r="Q1755" s="31" t="str">
        <f t="shared" si="109"/>
        <v/>
      </c>
      <c r="R1755" s="32" t="str">
        <f>IFERROR(VLOOKUP($D1755,'Informations sur les produits'!$A$3:$B$15000,2,FALSE),"")</f>
        <v/>
      </c>
      <c r="V1755">
        <f t="shared" si="110"/>
        <v>0</v>
      </c>
      <c r="W1755">
        <f t="shared" si="111"/>
        <v>0</v>
      </c>
    </row>
    <row r="1756" spans="5:23" x14ac:dyDescent="0.25">
      <c r="E1756" s="4"/>
      <c r="F1756" s="4"/>
      <c r="G1756" s="33" t="str">
        <f>IFERROR(VLOOKUP($D1756,'Informations sur les produits'!$A$3:$H$10000,8,FALSE),"0")</f>
        <v>0</v>
      </c>
      <c r="K1756" s="4"/>
      <c r="L1756" s="33" t="str">
        <f>IFERROR(VLOOKUP($J1756,'Informations sur les produits'!$A$3:$H$10000,8,FALSE),"0")</f>
        <v>0</v>
      </c>
      <c r="N1756" s="8"/>
      <c r="O1756" s="33" t="str">
        <f>IFERROR(VLOOKUP($M1756,'Informations sur les produits'!$A$3:$H$10000,8,FALSE),"0")</f>
        <v>0</v>
      </c>
      <c r="P1756" s="33">
        <f t="shared" si="108"/>
        <v>0</v>
      </c>
      <c r="Q1756" s="31" t="str">
        <f t="shared" si="109"/>
        <v/>
      </c>
      <c r="R1756" s="32" t="str">
        <f>IFERROR(VLOOKUP($D1756,'Informations sur les produits'!$A$3:$B$15000,2,FALSE),"")</f>
        <v/>
      </c>
      <c r="V1756">
        <f t="shared" si="110"/>
        <v>0</v>
      </c>
      <c r="W1756">
        <f t="shared" si="111"/>
        <v>0</v>
      </c>
    </row>
    <row r="1757" spans="5:23" x14ac:dyDescent="0.25">
      <c r="E1757" s="4"/>
      <c r="F1757" s="4"/>
      <c r="G1757" s="33" t="str">
        <f>IFERROR(VLOOKUP($D1757,'Informations sur les produits'!$A$3:$H$10000,8,FALSE),"0")</f>
        <v>0</v>
      </c>
      <c r="K1757" s="4"/>
      <c r="L1757" s="33" t="str">
        <f>IFERROR(VLOOKUP($J1757,'Informations sur les produits'!$A$3:$H$10000,8,FALSE),"0")</f>
        <v>0</v>
      </c>
      <c r="N1757" s="8"/>
      <c r="O1757" s="33" t="str">
        <f>IFERROR(VLOOKUP($M1757,'Informations sur les produits'!$A$3:$H$10000,8,FALSE),"0")</f>
        <v>0</v>
      </c>
      <c r="P1757" s="33">
        <f t="shared" si="108"/>
        <v>0</v>
      </c>
      <c r="Q1757" s="31" t="str">
        <f t="shared" si="109"/>
        <v/>
      </c>
      <c r="R1757" s="32" t="str">
        <f>IFERROR(VLOOKUP($D1757,'Informations sur les produits'!$A$3:$B$15000,2,FALSE),"")</f>
        <v/>
      </c>
      <c r="V1757">
        <f t="shared" si="110"/>
        <v>0</v>
      </c>
      <c r="W1757">
        <f t="shared" si="111"/>
        <v>0</v>
      </c>
    </row>
    <row r="1758" spans="5:23" x14ac:dyDescent="0.25">
      <c r="E1758" s="4"/>
      <c r="F1758" s="4"/>
      <c r="G1758" s="33" t="str">
        <f>IFERROR(VLOOKUP($D1758,'Informations sur les produits'!$A$3:$H$10000,8,FALSE),"0")</f>
        <v>0</v>
      </c>
      <c r="K1758" s="4"/>
      <c r="L1758" s="33" t="str">
        <f>IFERROR(VLOOKUP($J1758,'Informations sur les produits'!$A$3:$H$10000,8,FALSE),"0")</f>
        <v>0</v>
      </c>
      <c r="N1758" s="8"/>
      <c r="O1758" s="33" t="str">
        <f>IFERROR(VLOOKUP($M1758,'Informations sur les produits'!$A$3:$H$10000,8,FALSE),"0")</f>
        <v>0</v>
      </c>
      <c r="P1758" s="33">
        <f t="shared" si="108"/>
        <v>0</v>
      </c>
      <c r="Q1758" s="31" t="str">
        <f t="shared" si="109"/>
        <v/>
      </c>
      <c r="R1758" s="32" t="str">
        <f>IFERROR(VLOOKUP($D1758,'Informations sur les produits'!$A$3:$B$15000,2,FALSE),"")</f>
        <v/>
      </c>
      <c r="V1758">
        <f t="shared" si="110"/>
        <v>0</v>
      </c>
      <c r="W1758">
        <f t="shared" si="111"/>
        <v>0</v>
      </c>
    </row>
    <row r="1759" spans="5:23" x14ac:dyDescent="0.25">
      <c r="E1759" s="4"/>
      <c r="F1759" s="4"/>
      <c r="G1759" s="33" t="str">
        <f>IFERROR(VLOOKUP($D1759,'Informations sur les produits'!$A$3:$H$10000,8,FALSE),"0")</f>
        <v>0</v>
      </c>
      <c r="K1759" s="4"/>
      <c r="L1759" s="33" t="str">
        <f>IFERROR(VLOOKUP($J1759,'Informations sur les produits'!$A$3:$H$10000,8,FALSE),"0")</f>
        <v>0</v>
      </c>
      <c r="N1759" s="8"/>
      <c r="O1759" s="33" t="str">
        <f>IFERROR(VLOOKUP($M1759,'Informations sur les produits'!$A$3:$H$10000,8,FALSE),"0")</f>
        <v>0</v>
      </c>
      <c r="P1759" s="33">
        <f t="shared" si="108"/>
        <v>0</v>
      </c>
      <c r="Q1759" s="31" t="str">
        <f t="shared" si="109"/>
        <v/>
      </c>
      <c r="R1759" s="32" t="str">
        <f>IFERROR(VLOOKUP($D1759,'Informations sur les produits'!$A$3:$B$15000,2,FALSE),"")</f>
        <v/>
      </c>
      <c r="V1759">
        <f t="shared" si="110"/>
        <v>0</v>
      </c>
      <c r="W1759">
        <f t="shared" si="111"/>
        <v>0</v>
      </c>
    </row>
    <row r="1760" spans="5:23" x14ac:dyDescent="0.25">
      <c r="E1760" s="4"/>
      <c r="F1760" s="4"/>
      <c r="G1760" s="33" t="str">
        <f>IFERROR(VLOOKUP($D1760,'Informations sur les produits'!$A$3:$H$10000,8,FALSE),"0")</f>
        <v>0</v>
      </c>
      <c r="K1760" s="4"/>
      <c r="L1760" s="33" t="str">
        <f>IFERROR(VLOOKUP($J1760,'Informations sur les produits'!$A$3:$H$10000,8,FALSE),"0")</f>
        <v>0</v>
      </c>
      <c r="N1760" s="8"/>
      <c r="O1760" s="33" t="str">
        <f>IFERROR(VLOOKUP($M1760,'Informations sur les produits'!$A$3:$H$10000,8,FALSE),"0")</f>
        <v>0</v>
      </c>
      <c r="P1760" s="33">
        <f t="shared" si="108"/>
        <v>0</v>
      </c>
      <c r="Q1760" s="31" t="str">
        <f t="shared" si="109"/>
        <v/>
      </c>
      <c r="R1760" s="32" t="str">
        <f>IFERROR(VLOOKUP($D1760,'Informations sur les produits'!$A$3:$B$15000,2,FALSE),"")</f>
        <v/>
      </c>
      <c r="V1760">
        <f t="shared" si="110"/>
        <v>0</v>
      </c>
      <c r="W1760">
        <f t="shared" si="111"/>
        <v>0</v>
      </c>
    </row>
    <row r="1761" spans="5:23" x14ac:dyDescent="0.25">
      <c r="E1761" s="4"/>
      <c r="F1761" s="4"/>
      <c r="G1761" s="33" t="str">
        <f>IFERROR(VLOOKUP($D1761,'Informations sur les produits'!$A$3:$H$10000,8,FALSE),"0")</f>
        <v>0</v>
      </c>
      <c r="K1761" s="4"/>
      <c r="L1761" s="33" t="str">
        <f>IFERROR(VLOOKUP($J1761,'Informations sur les produits'!$A$3:$H$10000,8,FALSE),"0")</f>
        <v>0</v>
      </c>
      <c r="N1761" s="8"/>
      <c r="O1761" s="33" t="str">
        <f>IFERROR(VLOOKUP($M1761,'Informations sur les produits'!$A$3:$H$10000,8,FALSE),"0")</f>
        <v>0</v>
      </c>
      <c r="P1761" s="33">
        <f t="shared" si="108"/>
        <v>0</v>
      </c>
      <c r="Q1761" s="31" t="str">
        <f t="shared" si="109"/>
        <v/>
      </c>
      <c r="R1761" s="32" t="str">
        <f>IFERROR(VLOOKUP($D1761,'Informations sur les produits'!$A$3:$B$15000,2,FALSE),"")</f>
        <v/>
      </c>
      <c r="V1761">
        <f t="shared" si="110"/>
        <v>0</v>
      </c>
      <c r="W1761">
        <f t="shared" si="111"/>
        <v>0</v>
      </c>
    </row>
    <row r="1762" spans="5:23" x14ac:dyDescent="0.25">
      <c r="E1762" s="4"/>
      <c r="F1762" s="4"/>
      <c r="G1762" s="33" t="str">
        <f>IFERROR(VLOOKUP($D1762,'Informations sur les produits'!$A$3:$H$10000,8,FALSE),"0")</f>
        <v>0</v>
      </c>
      <c r="K1762" s="4"/>
      <c r="L1762" s="33" t="str">
        <f>IFERROR(VLOOKUP($J1762,'Informations sur les produits'!$A$3:$H$10000,8,FALSE),"0")</f>
        <v>0</v>
      </c>
      <c r="N1762" s="8"/>
      <c r="O1762" s="33" t="str">
        <f>IFERROR(VLOOKUP($M1762,'Informations sur les produits'!$A$3:$H$10000,8,FALSE),"0")</f>
        <v>0</v>
      </c>
      <c r="P1762" s="33">
        <f t="shared" si="108"/>
        <v>0</v>
      </c>
      <c r="Q1762" s="31" t="str">
        <f t="shared" si="109"/>
        <v/>
      </c>
      <c r="R1762" s="32" t="str">
        <f>IFERROR(VLOOKUP($D1762,'Informations sur les produits'!$A$3:$B$15000,2,FALSE),"")</f>
        <v/>
      </c>
      <c r="V1762">
        <f t="shared" si="110"/>
        <v>0</v>
      </c>
      <c r="W1762">
        <f t="shared" si="111"/>
        <v>0</v>
      </c>
    </row>
    <row r="1763" spans="5:23" x14ac:dyDescent="0.25">
      <c r="E1763" s="4"/>
      <c r="F1763" s="4"/>
      <c r="G1763" s="33" t="str">
        <f>IFERROR(VLOOKUP($D1763,'Informations sur les produits'!$A$3:$H$10000,8,FALSE),"0")</f>
        <v>0</v>
      </c>
      <c r="K1763" s="4"/>
      <c r="L1763" s="33" t="str">
        <f>IFERROR(VLOOKUP($J1763,'Informations sur les produits'!$A$3:$H$10000,8,FALSE),"0")</f>
        <v>0</v>
      </c>
      <c r="N1763" s="8"/>
      <c r="O1763" s="33" t="str">
        <f>IFERROR(VLOOKUP($M1763,'Informations sur les produits'!$A$3:$H$10000,8,FALSE),"0")</f>
        <v>0</v>
      </c>
      <c r="P1763" s="33">
        <f t="shared" si="108"/>
        <v>0</v>
      </c>
      <c r="Q1763" s="31" t="str">
        <f t="shared" si="109"/>
        <v/>
      </c>
      <c r="R1763" s="32" t="str">
        <f>IFERROR(VLOOKUP($D1763,'Informations sur les produits'!$A$3:$B$15000,2,FALSE),"")</f>
        <v/>
      </c>
      <c r="V1763">
        <f t="shared" si="110"/>
        <v>0</v>
      </c>
      <c r="W1763">
        <f t="shared" si="111"/>
        <v>0</v>
      </c>
    </row>
    <row r="1764" spans="5:23" x14ac:dyDescent="0.25">
      <c r="E1764" s="4"/>
      <c r="F1764" s="4"/>
      <c r="G1764" s="33" t="str">
        <f>IFERROR(VLOOKUP($D1764,'Informations sur les produits'!$A$3:$H$10000,8,FALSE),"0")</f>
        <v>0</v>
      </c>
      <c r="K1764" s="4"/>
      <c r="L1764" s="33" t="str">
        <f>IFERROR(VLOOKUP($J1764,'Informations sur les produits'!$A$3:$H$10000,8,FALSE),"0")</f>
        <v>0</v>
      </c>
      <c r="N1764" s="8"/>
      <c r="O1764" s="33" t="str">
        <f>IFERROR(VLOOKUP($M1764,'Informations sur les produits'!$A$3:$H$10000,8,FALSE),"0")</f>
        <v>0</v>
      </c>
      <c r="P1764" s="33">
        <f t="shared" si="108"/>
        <v>0</v>
      </c>
      <c r="Q1764" s="31" t="str">
        <f t="shared" si="109"/>
        <v/>
      </c>
      <c r="R1764" s="32" t="str">
        <f>IFERROR(VLOOKUP($D1764,'Informations sur les produits'!$A$3:$B$15000,2,FALSE),"")</f>
        <v/>
      </c>
      <c r="V1764">
        <f t="shared" si="110"/>
        <v>0</v>
      </c>
      <c r="W1764">
        <f t="shared" si="111"/>
        <v>0</v>
      </c>
    </row>
    <row r="1765" spans="5:23" x14ac:dyDescent="0.25">
      <c r="E1765" s="4"/>
      <c r="F1765" s="4"/>
      <c r="G1765" s="33" t="str">
        <f>IFERROR(VLOOKUP($D1765,'Informations sur les produits'!$A$3:$H$10000,8,FALSE),"0")</f>
        <v>0</v>
      </c>
      <c r="K1765" s="4"/>
      <c r="L1765" s="33" t="str">
        <f>IFERROR(VLOOKUP($J1765,'Informations sur les produits'!$A$3:$H$10000,8,FALSE),"0")</f>
        <v>0</v>
      </c>
      <c r="N1765" s="8"/>
      <c r="O1765" s="33" t="str">
        <f>IFERROR(VLOOKUP($M1765,'Informations sur les produits'!$A$3:$H$10000,8,FALSE),"0")</f>
        <v>0</v>
      </c>
      <c r="P1765" s="33">
        <f t="shared" si="108"/>
        <v>0</v>
      </c>
      <c r="Q1765" s="31" t="str">
        <f t="shared" si="109"/>
        <v/>
      </c>
      <c r="R1765" s="32" t="str">
        <f>IFERROR(VLOOKUP($D1765,'Informations sur les produits'!$A$3:$B$15000,2,FALSE),"")</f>
        <v/>
      </c>
      <c r="V1765">
        <f t="shared" si="110"/>
        <v>0</v>
      </c>
      <c r="W1765">
        <f t="shared" si="111"/>
        <v>0</v>
      </c>
    </row>
    <row r="1766" spans="5:23" x14ac:dyDescent="0.25">
      <c r="E1766" s="4"/>
      <c r="F1766" s="4"/>
      <c r="G1766" s="33" t="str">
        <f>IFERROR(VLOOKUP($D1766,'Informations sur les produits'!$A$3:$H$10000,8,FALSE),"0")</f>
        <v>0</v>
      </c>
      <c r="K1766" s="4"/>
      <c r="L1766" s="33" t="str">
        <f>IFERROR(VLOOKUP($J1766,'Informations sur les produits'!$A$3:$H$10000,8,FALSE),"0")</f>
        <v>0</v>
      </c>
      <c r="N1766" s="8"/>
      <c r="O1766" s="33" t="str">
        <f>IFERROR(VLOOKUP($M1766,'Informations sur les produits'!$A$3:$H$10000,8,FALSE),"0")</f>
        <v>0</v>
      </c>
      <c r="P1766" s="33">
        <f t="shared" si="108"/>
        <v>0</v>
      </c>
      <c r="Q1766" s="31" t="str">
        <f t="shared" si="109"/>
        <v/>
      </c>
      <c r="R1766" s="32" t="str">
        <f>IFERROR(VLOOKUP($D1766,'Informations sur les produits'!$A$3:$B$15000,2,FALSE),"")</f>
        <v/>
      </c>
      <c r="V1766">
        <f t="shared" si="110"/>
        <v>0</v>
      </c>
      <c r="W1766">
        <f t="shared" si="111"/>
        <v>0</v>
      </c>
    </row>
    <row r="1767" spans="5:23" x14ac:dyDescent="0.25">
      <c r="E1767" s="4"/>
      <c r="F1767" s="4"/>
      <c r="G1767" s="33" t="str">
        <f>IFERROR(VLOOKUP($D1767,'Informations sur les produits'!$A$3:$H$10000,8,FALSE),"0")</f>
        <v>0</v>
      </c>
      <c r="K1767" s="4"/>
      <c r="L1767" s="33" t="str">
        <f>IFERROR(VLOOKUP($J1767,'Informations sur les produits'!$A$3:$H$10000,8,FALSE),"0")</f>
        <v>0</v>
      </c>
      <c r="N1767" s="8"/>
      <c r="O1767" s="33" t="str">
        <f>IFERROR(VLOOKUP($M1767,'Informations sur les produits'!$A$3:$H$10000,8,FALSE),"0")</f>
        <v>0</v>
      </c>
      <c r="P1767" s="33">
        <f t="shared" si="108"/>
        <v>0</v>
      </c>
      <c r="Q1767" s="31" t="str">
        <f t="shared" si="109"/>
        <v/>
      </c>
      <c r="R1767" s="32" t="str">
        <f>IFERROR(VLOOKUP($D1767,'Informations sur les produits'!$A$3:$B$15000,2,FALSE),"")</f>
        <v/>
      </c>
      <c r="V1767">
        <f t="shared" si="110"/>
        <v>0</v>
      </c>
      <c r="W1767">
        <f t="shared" si="111"/>
        <v>0</v>
      </c>
    </row>
    <row r="1768" spans="5:23" x14ac:dyDescent="0.25">
      <c r="E1768" s="4"/>
      <c r="F1768" s="4"/>
      <c r="G1768" s="33" t="str">
        <f>IFERROR(VLOOKUP($D1768,'Informations sur les produits'!$A$3:$H$10000,8,FALSE),"0")</f>
        <v>0</v>
      </c>
      <c r="K1768" s="4"/>
      <c r="L1768" s="33" t="str">
        <f>IFERROR(VLOOKUP($J1768,'Informations sur les produits'!$A$3:$H$10000,8,FALSE),"0")</f>
        <v>0</v>
      </c>
      <c r="N1768" s="8"/>
      <c r="O1768" s="33" t="str">
        <f>IFERROR(VLOOKUP($M1768,'Informations sur les produits'!$A$3:$H$10000,8,FALSE),"0")</f>
        <v>0</v>
      </c>
      <c r="P1768" s="33">
        <f t="shared" si="108"/>
        <v>0</v>
      </c>
      <c r="Q1768" s="31" t="str">
        <f t="shared" si="109"/>
        <v/>
      </c>
      <c r="R1768" s="32" t="str">
        <f>IFERROR(VLOOKUP($D1768,'Informations sur les produits'!$A$3:$B$15000,2,FALSE),"")</f>
        <v/>
      </c>
      <c r="V1768">
        <f t="shared" si="110"/>
        <v>0</v>
      </c>
      <c r="W1768">
        <f t="shared" si="111"/>
        <v>0</v>
      </c>
    </row>
    <row r="1769" spans="5:23" x14ac:dyDescent="0.25">
      <c r="E1769" s="4"/>
      <c r="F1769" s="4"/>
      <c r="G1769" s="33" t="str">
        <f>IFERROR(VLOOKUP($D1769,'Informations sur les produits'!$A$3:$H$10000,8,FALSE),"0")</f>
        <v>0</v>
      </c>
      <c r="K1769" s="4"/>
      <c r="L1769" s="33" t="str">
        <f>IFERROR(VLOOKUP($J1769,'Informations sur les produits'!$A$3:$H$10000,8,FALSE),"0")</f>
        <v>0</v>
      </c>
      <c r="N1769" s="8"/>
      <c r="O1769" s="33" t="str">
        <f>IFERROR(VLOOKUP($M1769,'Informations sur les produits'!$A$3:$H$10000,8,FALSE),"0")</f>
        <v>0</v>
      </c>
      <c r="P1769" s="33">
        <f t="shared" si="108"/>
        <v>0</v>
      </c>
      <c r="Q1769" s="31" t="str">
        <f t="shared" si="109"/>
        <v/>
      </c>
      <c r="R1769" s="32" t="str">
        <f>IFERROR(VLOOKUP($D1769,'Informations sur les produits'!$A$3:$B$15000,2,FALSE),"")</f>
        <v/>
      </c>
      <c r="V1769">
        <f t="shared" si="110"/>
        <v>0</v>
      </c>
      <c r="W1769">
        <f t="shared" si="111"/>
        <v>0</v>
      </c>
    </row>
    <row r="1770" spans="5:23" x14ac:dyDescent="0.25">
      <c r="E1770" s="4"/>
      <c r="F1770" s="4"/>
      <c r="G1770" s="33" t="str">
        <f>IFERROR(VLOOKUP($D1770,'Informations sur les produits'!$A$3:$H$10000,8,FALSE),"0")</f>
        <v>0</v>
      </c>
      <c r="K1770" s="4"/>
      <c r="L1770" s="33" t="str">
        <f>IFERROR(VLOOKUP($J1770,'Informations sur les produits'!$A$3:$H$10000,8,FALSE),"0")</f>
        <v>0</v>
      </c>
      <c r="N1770" s="8"/>
      <c r="O1770" s="33" t="str">
        <f>IFERROR(VLOOKUP($M1770,'Informations sur les produits'!$A$3:$H$10000,8,FALSE),"0")</f>
        <v>0</v>
      </c>
      <c r="P1770" s="33">
        <f t="shared" si="108"/>
        <v>0</v>
      </c>
      <c r="Q1770" s="31" t="str">
        <f t="shared" si="109"/>
        <v/>
      </c>
      <c r="R1770" s="32" t="str">
        <f>IFERROR(VLOOKUP($D1770,'Informations sur les produits'!$A$3:$B$15000,2,FALSE),"")</f>
        <v/>
      </c>
      <c r="V1770">
        <f t="shared" si="110"/>
        <v>0</v>
      </c>
      <c r="W1770">
        <f t="shared" si="111"/>
        <v>0</v>
      </c>
    </row>
    <row r="1771" spans="5:23" x14ac:dyDescent="0.25">
      <c r="E1771" s="4"/>
      <c r="F1771" s="4"/>
      <c r="G1771" s="33" t="str">
        <f>IFERROR(VLOOKUP($D1771,'Informations sur les produits'!$A$3:$H$10000,8,FALSE),"0")</f>
        <v>0</v>
      </c>
      <c r="K1771" s="4"/>
      <c r="L1771" s="33" t="str">
        <f>IFERROR(VLOOKUP($J1771,'Informations sur les produits'!$A$3:$H$10000,8,FALSE),"0")</f>
        <v>0</v>
      </c>
      <c r="N1771" s="8"/>
      <c r="O1771" s="33" t="str">
        <f>IFERROR(VLOOKUP($M1771,'Informations sur les produits'!$A$3:$H$10000,8,FALSE),"0")</f>
        <v>0</v>
      </c>
      <c r="P1771" s="33">
        <f t="shared" si="108"/>
        <v>0</v>
      </c>
      <c r="Q1771" s="31" t="str">
        <f t="shared" si="109"/>
        <v/>
      </c>
      <c r="R1771" s="32" t="str">
        <f>IFERROR(VLOOKUP($D1771,'Informations sur les produits'!$A$3:$B$15000,2,FALSE),"")</f>
        <v/>
      </c>
      <c r="V1771">
        <f t="shared" si="110"/>
        <v>0</v>
      </c>
      <c r="W1771">
        <f t="shared" si="111"/>
        <v>0</v>
      </c>
    </row>
    <row r="1772" spans="5:23" x14ac:dyDescent="0.25">
      <c r="E1772" s="4"/>
      <c r="F1772" s="4"/>
      <c r="G1772" s="33" t="str">
        <f>IFERROR(VLOOKUP($D1772,'Informations sur les produits'!$A$3:$H$10000,8,FALSE),"0")</f>
        <v>0</v>
      </c>
      <c r="K1772" s="4"/>
      <c r="L1772" s="33" t="str">
        <f>IFERROR(VLOOKUP($J1772,'Informations sur les produits'!$A$3:$H$10000,8,FALSE),"0")</f>
        <v>0</v>
      </c>
      <c r="N1772" s="8"/>
      <c r="O1772" s="33" t="str">
        <f>IFERROR(VLOOKUP($M1772,'Informations sur les produits'!$A$3:$H$10000,8,FALSE),"0")</f>
        <v>0</v>
      </c>
      <c r="P1772" s="33">
        <f t="shared" si="108"/>
        <v>0</v>
      </c>
      <c r="Q1772" s="31" t="str">
        <f t="shared" si="109"/>
        <v/>
      </c>
      <c r="R1772" s="32" t="str">
        <f>IFERROR(VLOOKUP($D1772,'Informations sur les produits'!$A$3:$B$15000,2,FALSE),"")</f>
        <v/>
      </c>
      <c r="V1772">
        <f t="shared" si="110"/>
        <v>0</v>
      </c>
      <c r="W1772">
        <f t="shared" si="111"/>
        <v>0</v>
      </c>
    </row>
    <row r="1773" spans="5:23" x14ac:dyDescent="0.25">
      <c r="E1773" s="4"/>
      <c r="F1773" s="4"/>
      <c r="G1773" s="33" t="str">
        <f>IFERROR(VLOOKUP($D1773,'Informations sur les produits'!$A$3:$H$10000,8,FALSE),"0")</f>
        <v>0</v>
      </c>
      <c r="K1773" s="4"/>
      <c r="L1773" s="33" t="str">
        <f>IFERROR(VLOOKUP($J1773,'Informations sur les produits'!$A$3:$H$10000,8,FALSE),"0")</f>
        <v>0</v>
      </c>
      <c r="N1773" s="8"/>
      <c r="O1773" s="33" t="str">
        <f>IFERROR(VLOOKUP($M1773,'Informations sur les produits'!$A$3:$H$10000,8,FALSE),"0")</f>
        <v>0</v>
      </c>
      <c r="P1773" s="33">
        <f t="shared" si="108"/>
        <v>0</v>
      </c>
      <c r="Q1773" s="31" t="str">
        <f t="shared" si="109"/>
        <v/>
      </c>
      <c r="R1773" s="32" t="str">
        <f>IFERROR(VLOOKUP($D1773,'Informations sur les produits'!$A$3:$B$15000,2,FALSE),"")</f>
        <v/>
      </c>
      <c r="V1773">
        <f t="shared" si="110"/>
        <v>0</v>
      </c>
      <c r="W1773">
        <f t="shared" si="111"/>
        <v>0</v>
      </c>
    </row>
    <row r="1774" spans="5:23" x14ac:dyDescent="0.25">
      <c r="E1774" s="4"/>
      <c r="F1774" s="4"/>
      <c r="G1774" s="33" t="str">
        <f>IFERROR(VLOOKUP($D1774,'Informations sur les produits'!$A$3:$H$10000,8,FALSE),"0")</f>
        <v>0</v>
      </c>
      <c r="K1774" s="4"/>
      <c r="L1774" s="33" t="str">
        <f>IFERROR(VLOOKUP($J1774,'Informations sur les produits'!$A$3:$H$10000,8,FALSE),"0")</f>
        <v>0</v>
      </c>
      <c r="N1774" s="8"/>
      <c r="O1774" s="33" t="str">
        <f>IFERROR(VLOOKUP($M1774,'Informations sur les produits'!$A$3:$H$10000,8,FALSE),"0")</f>
        <v>0</v>
      </c>
      <c r="P1774" s="33">
        <f t="shared" si="108"/>
        <v>0</v>
      </c>
      <c r="Q1774" s="31" t="str">
        <f t="shared" si="109"/>
        <v/>
      </c>
      <c r="R1774" s="32" t="str">
        <f>IFERROR(VLOOKUP($D1774,'Informations sur les produits'!$A$3:$B$15000,2,FALSE),"")</f>
        <v/>
      </c>
      <c r="V1774">
        <f t="shared" si="110"/>
        <v>0</v>
      </c>
      <c r="W1774">
        <f t="shared" si="111"/>
        <v>0</v>
      </c>
    </row>
    <row r="1775" spans="5:23" x14ac:dyDescent="0.25">
      <c r="E1775" s="4"/>
      <c r="F1775" s="4"/>
      <c r="G1775" s="33" t="str">
        <f>IFERROR(VLOOKUP($D1775,'Informations sur les produits'!$A$3:$H$10000,8,FALSE),"0")</f>
        <v>0</v>
      </c>
      <c r="K1775" s="4"/>
      <c r="L1775" s="33" t="str">
        <f>IFERROR(VLOOKUP($J1775,'Informations sur les produits'!$A$3:$H$10000,8,FALSE),"0")</f>
        <v>0</v>
      </c>
      <c r="N1775" s="8"/>
      <c r="O1775" s="33" t="str">
        <f>IFERROR(VLOOKUP($M1775,'Informations sur les produits'!$A$3:$H$10000,8,FALSE),"0")</f>
        <v>0</v>
      </c>
      <c r="P1775" s="33">
        <f t="shared" si="108"/>
        <v>0</v>
      </c>
      <c r="Q1775" s="31" t="str">
        <f t="shared" si="109"/>
        <v/>
      </c>
      <c r="R1775" s="32" t="str">
        <f>IFERROR(VLOOKUP($D1775,'Informations sur les produits'!$A$3:$B$15000,2,FALSE),"")</f>
        <v/>
      </c>
      <c r="V1775">
        <f t="shared" si="110"/>
        <v>0</v>
      </c>
      <c r="W1775">
        <f t="shared" si="111"/>
        <v>0</v>
      </c>
    </row>
    <row r="1776" spans="5:23" x14ac:dyDescent="0.25">
      <c r="E1776" s="4"/>
      <c r="F1776" s="4"/>
      <c r="G1776" s="33" t="str">
        <f>IFERROR(VLOOKUP($D1776,'Informations sur les produits'!$A$3:$H$10000,8,FALSE),"0")</f>
        <v>0</v>
      </c>
      <c r="K1776" s="4"/>
      <c r="L1776" s="33" t="str">
        <f>IFERROR(VLOOKUP($J1776,'Informations sur les produits'!$A$3:$H$10000,8,FALSE),"0")</f>
        <v>0</v>
      </c>
      <c r="N1776" s="8"/>
      <c r="O1776" s="33" t="str">
        <f>IFERROR(VLOOKUP($M1776,'Informations sur les produits'!$A$3:$H$10000,8,FALSE),"0")</f>
        <v>0</v>
      </c>
      <c r="P1776" s="33">
        <f t="shared" si="108"/>
        <v>0</v>
      </c>
      <c r="Q1776" s="31" t="str">
        <f t="shared" si="109"/>
        <v/>
      </c>
      <c r="R1776" s="32" t="str">
        <f>IFERROR(VLOOKUP($D1776,'Informations sur les produits'!$A$3:$B$15000,2,FALSE),"")</f>
        <v/>
      </c>
      <c r="V1776">
        <f t="shared" si="110"/>
        <v>0</v>
      </c>
      <c r="W1776">
        <f t="shared" si="111"/>
        <v>0</v>
      </c>
    </row>
    <row r="1777" spans="5:23" x14ac:dyDescent="0.25">
      <c r="E1777" s="4"/>
      <c r="F1777" s="4"/>
      <c r="G1777" s="33" t="str">
        <f>IFERROR(VLOOKUP($D1777,'Informations sur les produits'!$A$3:$H$10000,8,FALSE),"0")</f>
        <v>0</v>
      </c>
      <c r="K1777" s="4"/>
      <c r="L1777" s="33" t="str">
        <f>IFERROR(VLOOKUP($J1777,'Informations sur les produits'!$A$3:$H$10000,8,FALSE),"0")</f>
        <v>0</v>
      </c>
      <c r="N1777" s="8"/>
      <c r="O1777" s="33" t="str">
        <f>IFERROR(VLOOKUP($M1777,'Informations sur les produits'!$A$3:$H$10000,8,FALSE),"0")</f>
        <v>0</v>
      </c>
      <c r="P1777" s="33">
        <f t="shared" si="108"/>
        <v>0</v>
      </c>
      <c r="Q1777" s="31" t="str">
        <f t="shared" si="109"/>
        <v/>
      </c>
      <c r="R1777" s="32" t="str">
        <f>IFERROR(VLOOKUP($D1777,'Informations sur les produits'!$A$3:$B$15000,2,FALSE),"")</f>
        <v/>
      </c>
      <c r="V1777">
        <f t="shared" si="110"/>
        <v>0</v>
      </c>
      <c r="W1777">
        <f t="shared" si="111"/>
        <v>0</v>
      </c>
    </row>
    <row r="1778" spans="5:23" x14ac:dyDescent="0.25">
      <c r="E1778" s="4"/>
      <c r="F1778" s="4"/>
      <c r="G1778" s="33" t="str">
        <f>IFERROR(VLOOKUP($D1778,'Informations sur les produits'!$A$3:$H$10000,8,FALSE),"0")</f>
        <v>0</v>
      </c>
      <c r="K1778" s="4"/>
      <c r="L1778" s="33" t="str">
        <f>IFERROR(VLOOKUP($J1778,'Informations sur les produits'!$A$3:$H$10000,8,FALSE),"0")</f>
        <v>0</v>
      </c>
      <c r="N1778" s="8"/>
      <c r="O1778" s="33" t="str">
        <f>IFERROR(VLOOKUP($M1778,'Informations sur les produits'!$A$3:$H$10000,8,FALSE),"0")</f>
        <v>0</v>
      </c>
      <c r="P1778" s="33">
        <f t="shared" si="108"/>
        <v>0</v>
      </c>
      <c r="Q1778" s="31" t="str">
        <f t="shared" si="109"/>
        <v/>
      </c>
      <c r="R1778" s="32" t="str">
        <f>IFERROR(VLOOKUP($D1778,'Informations sur les produits'!$A$3:$B$15000,2,FALSE),"")</f>
        <v/>
      </c>
      <c r="V1778">
        <f t="shared" si="110"/>
        <v>0</v>
      </c>
      <c r="W1778">
        <f t="shared" si="111"/>
        <v>0</v>
      </c>
    </row>
    <row r="1779" spans="5:23" x14ac:dyDescent="0.25">
      <c r="E1779" s="4"/>
      <c r="F1779" s="4"/>
      <c r="G1779" s="33" t="str">
        <f>IFERROR(VLOOKUP($D1779,'Informations sur les produits'!$A$3:$H$10000,8,FALSE),"0")</f>
        <v>0</v>
      </c>
      <c r="K1779" s="4"/>
      <c r="L1779" s="33" t="str">
        <f>IFERROR(VLOOKUP($J1779,'Informations sur les produits'!$A$3:$H$10000,8,FALSE),"0")</f>
        <v>0</v>
      </c>
      <c r="N1779" s="8"/>
      <c r="O1779" s="33" t="str">
        <f>IFERROR(VLOOKUP($M1779,'Informations sur les produits'!$A$3:$H$10000,8,FALSE),"0")</f>
        <v>0</v>
      </c>
      <c r="P1779" s="33">
        <f t="shared" si="108"/>
        <v>0</v>
      </c>
      <c r="Q1779" s="31" t="str">
        <f t="shared" si="109"/>
        <v/>
      </c>
      <c r="R1779" s="32" t="str">
        <f>IFERROR(VLOOKUP($D1779,'Informations sur les produits'!$A$3:$B$15000,2,FALSE),"")</f>
        <v/>
      </c>
      <c r="V1779">
        <f t="shared" si="110"/>
        <v>0</v>
      </c>
      <c r="W1779">
        <f t="shared" si="111"/>
        <v>0</v>
      </c>
    </row>
    <row r="1780" spans="5:23" x14ac:dyDescent="0.25">
      <c r="E1780" s="4"/>
      <c r="F1780" s="4"/>
      <c r="G1780" s="33" t="str">
        <f>IFERROR(VLOOKUP($D1780,'Informations sur les produits'!$A$3:$H$10000,8,FALSE),"0")</f>
        <v>0</v>
      </c>
      <c r="K1780" s="4"/>
      <c r="L1780" s="33" t="str">
        <f>IFERROR(VLOOKUP($J1780,'Informations sur les produits'!$A$3:$H$10000,8,FALSE),"0")</f>
        <v>0</v>
      </c>
      <c r="N1780" s="8"/>
      <c r="O1780" s="33" t="str">
        <f>IFERROR(VLOOKUP($M1780,'Informations sur les produits'!$A$3:$H$10000,8,FALSE),"0")</f>
        <v>0</v>
      </c>
      <c r="P1780" s="33">
        <f t="shared" si="108"/>
        <v>0</v>
      </c>
      <c r="Q1780" s="31" t="str">
        <f t="shared" si="109"/>
        <v/>
      </c>
      <c r="R1780" s="32" t="str">
        <f>IFERROR(VLOOKUP($D1780,'Informations sur les produits'!$A$3:$B$15000,2,FALSE),"")</f>
        <v/>
      </c>
      <c r="V1780">
        <f t="shared" si="110"/>
        <v>0</v>
      </c>
      <c r="W1780">
        <f t="shared" si="111"/>
        <v>0</v>
      </c>
    </row>
    <row r="1781" spans="5:23" x14ac:dyDescent="0.25">
      <c r="E1781" s="4"/>
      <c r="F1781" s="4"/>
      <c r="G1781" s="33" t="str">
        <f>IFERROR(VLOOKUP($D1781,'Informations sur les produits'!$A$3:$H$10000,8,FALSE),"0")</f>
        <v>0</v>
      </c>
      <c r="K1781" s="4"/>
      <c r="L1781" s="33" t="str">
        <f>IFERROR(VLOOKUP($J1781,'Informations sur les produits'!$A$3:$H$10000,8,FALSE),"0")</f>
        <v>0</v>
      </c>
      <c r="N1781" s="8"/>
      <c r="O1781" s="33" t="str">
        <f>IFERROR(VLOOKUP($M1781,'Informations sur les produits'!$A$3:$H$10000,8,FALSE),"0")</f>
        <v>0</v>
      </c>
      <c r="P1781" s="33">
        <f t="shared" si="108"/>
        <v>0</v>
      </c>
      <c r="Q1781" s="31" t="str">
        <f t="shared" si="109"/>
        <v/>
      </c>
      <c r="R1781" s="32" t="str">
        <f>IFERROR(VLOOKUP($D1781,'Informations sur les produits'!$A$3:$B$15000,2,FALSE),"")</f>
        <v/>
      </c>
      <c r="V1781">
        <f t="shared" si="110"/>
        <v>0</v>
      </c>
      <c r="W1781">
        <f t="shared" si="111"/>
        <v>0</v>
      </c>
    </row>
    <row r="1782" spans="5:23" x14ac:dyDescent="0.25">
      <c r="E1782" s="4"/>
      <c r="F1782" s="4"/>
      <c r="G1782" s="33" t="str">
        <f>IFERROR(VLOOKUP($D1782,'Informations sur les produits'!$A$3:$H$10000,8,FALSE),"0")</f>
        <v>0</v>
      </c>
      <c r="K1782" s="4"/>
      <c r="L1782" s="33" t="str">
        <f>IFERROR(VLOOKUP($J1782,'Informations sur les produits'!$A$3:$H$10000,8,FALSE),"0")</f>
        <v>0</v>
      </c>
      <c r="N1782" s="8"/>
      <c r="O1782" s="33" t="str">
        <f>IFERROR(VLOOKUP($M1782,'Informations sur les produits'!$A$3:$H$10000,8,FALSE),"0")</f>
        <v>0</v>
      </c>
      <c r="P1782" s="33">
        <f t="shared" si="108"/>
        <v>0</v>
      </c>
      <c r="Q1782" s="31" t="str">
        <f t="shared" si="109"/>
        <v/>
      </c>
      <c r="R1782" s="32" t="str">
        <f>IFERROR(VLOOKUP($D1782,'Informations sur les produits'!$A$3:$B$15000,2,FALSE),"")</f>
        <v/>
      </c>
      <c r="V1782">
        <f t="shared" si="110"/>
        <v>0</v>
      </c>
      <c r="W1782">
        <f t="shared" si="111"/>
        <v>0</v>
      </c>
    </row>
    <row r="1783" spans="5:23" x14ac:dyDescent="0.25">
      <c r="E1783" s="4"/>
      <c r="F1783" s="4"/>
      <c r="G1783" s="33" t="str">
        <f>IFERROR(VLOOKUP($D1783,'Informations sur les produits'!$A$3:$H$10000,8,FALSE),"0")</f>
        <v>0</v>
      </c>
      <c r="K1783" s="4"/>
      <c r="L1783" s="33" t="str">
        <f>IFERROR(VLOOKUP($J1783,'Informations sur les produits'!$A$3:$H$10000,8,FALSE),"0")</f>
        <v>0</v>
      </c>
      <c r="N1783" s="8"/>
      <c r="O1783" s="33" t="str">
        <f>IFERROR(VLOOKUP($M1783,'Informations sur les produits'!$A$3:$H$10000,8,FALSE),"0")</f>
        <v>0</v>
      </c>
      <c r="P1783" s="33">
        <f t="shared" si="108"/>
        <v>0</v>
      </c>
      <c r="Q1783" s="31" t="str">
        <f t="shared" si="109"/>
        <v/>
      </c>
      <c r="R1783" s="32" t="str">
        <f>IFERROR(VLOOKUP($D1783,'Informations sur les produits'!$A$3:$B$15000,2,FALSE),"")</f>
        <v/>
      </c>
      <c r="V1783">
        <f t="shared" si="110"/>
        <v>0</v>
      </c>
      <c r="W1783">
        <f t="shared" si="111"/>
        <v>0</v>
      </c>
    </row>
    <row r="1784" spans="5:23" x14ac:dyDescent="0.25">
      <c r="E1784" s="4"/>
      <c r="F1784" s="4"/>
      <c r="G1784" s="33" t="str">
        <f>IFERROR(VLOOKUP($D1784,'Informations sur les produits'!$A$3:$H$10000,8,FALSE),"0")</f>
        <v>0</v>
      </c>
      <c r="K1784" s="4"/>
      <c r="L1784" s="33" t="str">
        <f>IFERROR(VLOOKUP($J1784,'Informations sur les produits'!$A$3:$H$10000,8,FALSE),"0")</f>
        <v>0</v>
      </c>
      <c r="N1784" s="8"/>
      <c r="O1784" s="33" t="str">
        <f>IFERROR(VLOOKUP($M1784,'Informations sur les produits'!$A$3:$H$10000,8,FALSE),"0")</f>
        <v>0</v>
      </c>
      <c r="P1784" s="33">
        <f t="shared" si="108"/>
        <v>0</v>
      </c>
      <c r="Q1784" s="31" t="str">
        <f t="shared" si="109"/>
        <v/>
      </c>
      <c r="R1784" s="32" t="str">
        <f>IFERROR(VLOOKUP($D1784,'Informations sur les produits'!$A$3:$B$15000,2,FALSE),"")</f>
        <v/>
      </c>
      <c r="V1784">
        <f t="shared" si="110"/>
        <v>0</v>
      </c>
      <c r="W1784">
        <f t="shared" si="111"/>
        <v>0</v>
      </c>
    </row>
    <row r="1785" spans="5:23" x14ac:dyDescent="0.25">
      <c r="E1785" s="4"/>
      <c r="F1785" s="4"/>
      <c r="G1785" s="33" t="str">
        <f>IFERROR(VLOOKUP($D1785,'Informations sur les produits'!$A$3:$H$10000,8,FALSE),"0")</f>
        <v>0</v>
      </c>
      <c r="K1785" s="4"/>
      <c r="L1785" s="33" t="str">
        <f>IFERROR(VLOOKUP($J1785,'Informations sur les produits'!$A$3:$H$10000,8,FALSE),"0")</f>
        <v>0</v>
      </c>
      <c r="N1785" s="8"/>
      <c r="O1785" s="33" t="str">
        <f>IFERROR(VLOOKUP($M1785,'Informations sur les produits'!$A$3:$H$10000,8,FALSE),"0")</f>
        <v>0</v>
      </c>
      <c r="P1785" s="33">
        <f t="shared" si="108"/>
        <v>0</v>
      </c>
      <c r="Q1785" s="31" t="str">
        <f t="shared" si="109"/>
        <v/>
      </c>
      <c r="R1785" s="32" t="str">
        <f>IFERROR(VLOOKUP($D1785,'Informations sur les produits'!$A$3:$B$15000,2,FALSE),"")</f>
        <v/>
      </c>
      <c r="V1785">
        <f t="shared" si="110"/>
        <v>0</v>
      </c>
      <c r="W1785">
        <f t="shared" si="111"/>
        <v>0</v>
      </c>
    </row>
    <row r="1786" spans="5:23" x14ac:dyDescent="0.25">
      <c r="E1786" s="4"/>
      <c r="F1786" s="4"/>
      <c r="G1786" s="33" t="str">
        <f>IFERROR(VLOOKUP($D1786,'Informations sur les produits'!$A$3:$H$10000,8,FALSE),"0")</f>
        <v>0</v>
      </c>
      <c r="K1786" s="4"/>
      <c r="L1786" s="33" t="str">
        <f>IFERROR(VLOOKUP($J1786,'Informations sur les produits'!$A$3:$H$10000,8,FALSE),"0")</f>
        <v>0</v>
      </c>
      <c r="N1786" s="8"/>
      <c r="O1786" s="33" t="str">
        <f>IFERROR(VLOOKUP($M1786,'Informations sur les produits'!$A$3:$H$10000,8,FALSE),"0")</f>
        <v>0</v>
      </c>
      <c r="P1786" s="33">
        <f t="shared" si="108"/>
        <v>0</v>
      </c>
      <c r="Q1786" s="31" t="str">
        <f t="shared" si="109"/>
        <v/>
      </c>
      <c r="R1786" s="32" t="str">
        <f>IFERROR(VLOOKUP($D1786,'Informations sur les produits'!$A$3:$B$15000,2,FALSE),"")</f>
        <v/>
      </c>
      <c r="V1786">
        <f t="shared" si="110"/>
        <v>0</v>
      </c>
      <c r="W1786">
        <f t="shared" si="111"/>
        <v>0</v>
      </c>
    </row>
    <row r="1787" spans="5:23" x14ac:dyDescent="0.25">
      <c r="E1787" s="4"/>
      <c r="F1787" s="4"/>
      <c r="G1787" s="33" t="str">
        <f>IFERROR(VLOOKUP($D1787,'Informations sur les produits'!$A$3:$H$10000,8,FALSE),"0")</f>
        <v>0</v>
      </c>
      <c r="K1787" s="4"/>
      <c r="L1787" s="33" t="str">
        <f>IFERROR(VLOOKUP($J1787,'Informations sur les produits'!$A$3:$H$10000,8,FALSE),"0")</f>
        <v>0</v>
      </c>
      <c r="N1787" s="8"/>
      <c r="O1787" s="33" t="str">
        <f>IFERROR(VLOOKUP($M1787,'Informations sur les produits'!$A$3:$H$10000,8,FALSE),"0")</f>
        <v>0</v>
      </c>
      <c r="P1787" s="33">
        <f t="shared" si="108"/>
        <v>0</v>
      </c>
      <c r="Q1787" s="31" t="str">
        <f t="shared" si="109"/>
        <v/>
      </c>
      <c r="R1787" s="32" t="str">
        <f>IFERROR(VLOOKUP($D1787,'Informations sur les produits'!$A$3:$B$15000,2,FALSE),"")</f>
        <v/>
      </c>
      <c r="V1787">
        <f t="shared" si="110"/>
        <v>0</v>
      </c>
      <c r="W1787">
        <f t="shared" si="111"/>
        <v>0</v>
      </c>
    </row>
    <row r="1788" spans="5:23" x14ac:dyDescent="0.25">
      <c r="E1788" s="4"/>
      <c r="F1788" s="4"/>
      <c r="G1788" s="33" t="str">
        <f>IFERROR(VLOOKUP($D1788,'Informations sur les produits'!$A$3:$H$10000,8,FALSE),"0")</f>
        <v>0</v>
      </c>
      <c r="K1788" s="4"/>
      <c r="L1788" s="33" t="str">
        <f>IFERROR(VLOOKUP($J1788,'Informations sur les produits'!$A$3:$H$10000,8,FALSE),"0")</f>
        <v>0</v>
      </c>
      <c r="N1788" s="8"/>
      <c r="O1788" s="33" t="str">
        <f>IFERROR(VLOOKUP($M1788,'Informations sur les produits'!$A$3:$H$10000,8,FALSE),"0")</f>
        <v>0</v>
      </c>
      <c r="P1788" s="33">
        <f t="shared" si="108"/>
        <v>0</v>
      </c>
      <c r="Q1788" s="31" t="str">
        <f t="shared" si="109"/>
        <v/>
      </c>
      <c r="R1788" s="32" t="str">
        <f>IFERROR(VLOOKUP($D1788,'Informations sur les produits'!$A$3:$B$15000,2,FALSE),"")</f>
        <v/>
      </c>
      <c r="V1788">
        <f t="shared" si="110"/>
        <v>0</v>
      </c>
      <c r="W1788">
        <f t="shared" si="111"/>
        <v>0</v>
      </c>
    </row>
    <row r="1789" spans="5:23" x14ac:dyDescent="0.25">
      <c r="E1789" s="4"/>
      <c r="F1789" s="4"/>
      <c r="G1789" s="33" t="str">
        <f>IFERROR(VLOOKUP($D1789,'Informations sur les produits'!$A$3:$H$10000,8,FALSE),"0")</f>
        <v>0</v>
      </c>
      <c r="K1789" s="4"/>
      <c r="L1789" s="33" t="str">
        <f>IFERROR(VLOOKUP($J1789,'Informations sur les produits'!$A$3:$H$10000,8,FALSE),"0")</f>
        <v>0</v>
      </c>
      <c r="N1789" s="8"/>
      <c r="O1789" s="33" t="str">
        <f>IFERROR(VLOOKUP($M1789,'Informations sur les produits'!$A$3:$H$10000,8,FALSE),"0")</f>
        <v>0</v>
      </c>
      <c r="P1789" s="33">
        <f t="shared" si="108"/>
        <v>0</v>
      </c>
      <c r="Q1789" s="31" t="str">
        <f t="shared" si="109"/>
        <v/>
      </c>
      <c r="R1789" s="32" t="str">
        <f>IFERROR(VLOOKUP($D1789,'Informations sur les produits'!$A$3:$B$15000,2,FALSE),"")</f>
        <v/>
      </c>
      <c r="V1789">
        <f t="shared" si="110"/>
        <v>0</v>
      </c>
      <c r="W1789">
        <f t="shared" si="111"/>
        <v>0</v>
      </c>
    </row>
    <row r="1790" spans="5:23" x14ac:dyDescent="0.25">
      <c r="E1790" s="4"/>
      <c r="F1790" s="4"/>
      <c r="G1790" s="33" t="str">
        <f>IFERROR(VLOOKUP($D1790,'Informations sur les produits'!$A$3:$H$10000,8,FALSE),"0")</f>
        <v>0</v>
      </c>
      <c r="K1790" s="4"/>
      <c r="L1790" s="33" t="str">
        <f>IFERROR(VLOOKUP($J1790,'Informations sur les produits'!$A$3:$H$10000,8,FALSE),"0")</f>
        <v>0</v>
      </c>
      <c r="N1790" s="8"/>
      <c r="O1790" s="33" t="str">
        <f>IFERROR(VLOOKUP($M1790,'Informations sur les produits'!$A$3:$H$10000,8,FALSE),"0")</f>
        <v>0</v>
      </c>
      <c r="P1790" s="33">
        <f t="shared" si="108"/>
        <v>0</v>
      </c>
      <c r="Q1790" s="31" t="str">
        <f t="shared" si="109"/>
        <v/>
      </c>
      <c r="R1790" s="32" t="str">
        <f>IFERROR(VLOOKUP($D1790,'Informations sur les produits'!$A$3:$B$15000,2,FALSE),"")</f>
        <v/>
      </c>
      <c r="V1790">
        <f t="shared" si="110"/>
        <v>0</v>
      </c>
      <c r="W1790">
        <f t="shared" si="111"/>
        <v>0</v>
      </c>
    </row>
    <row r="1791" spans="5:23" x14ac:dyDescent="0.25">
      <c r="E1791" s="4"/>
      <c r="F1791" s="4"/>
      <c r="G1791" s="33" t="str">
        <f>IFERROR(VLOOKUP($D1791,'Informations sur les produits'!$A$3:$H$10000,8,FALSE),"0")</f>
        <v>0</v>
      </c>
      <c r="K1791" s="4"/>
      <c r="L1791" s="33" t="str">
        <f>IFERROR(VLOOKUP($J1791,'Informations sur les produits'!$A$3:$H$10000,8,FALSE),"0")</f>
        <v>0</v>
      </c>
      <c r="N1791" s="8"/>
      <c r="O1791" s="33" t="str">
        <f>IFERROR(VLOOKUP($M1791,'Informations sur les produits'!$A$3:$H$10000,8,FALSE),"0")</f>
        <v>0</v>
      </c>
      <c r="P1791" s="33">
        <f t="shared" si="108"/>
        <v>0</v>
      </c>
      <c r="Q1791" s="31" t="str">
        <f t="shared" si="109"/>
        <v/>
      </c>
      <c r="R1791" s="32" t="str">
        <f>IFERROR(VLOOKUP($D1791,'Informations sur les produits'!$A$3:$B$15000,2,FALSE),"")</f>
        <v/>
      </c>
      <c r="V1791">
        <f t="shared" si="110"/>
        <v>0</v>
      </c>
      <c r="W1791">
        <f t="shared" si="111"/>
        <v>0</v>
      </c>
    </row>
    <row r="1792" spans="5:23" x14ac:dyDescent="0.25">
      <c r="E1792" s="4"/>
      <c r="F1792" s="4"/>
      <c r="G1792" s="33" t="str">
        <f>IFERROR(VLOOKUP($D1792,'Informations sur les produits'!$A$3:$H$10000,8,FALSE),"0")</f>
        <v>0</v>
      </c>
      <c r="K1792" s="4"/>
      <c r="L1792" s="33" t="str">
        <f>IFERROR(VLOOKUP($J1792,'Informations sur les produits'!$A$3:$H$10000,8,FALSE),"0")</f>
        <v>0</v>
      </c>
      <c r="N1792" s="8"/>
      <c r="O1792" s="33" t="str">
        <f>IFERROR(VLOOKUP($M1792,'Informations sur les produits'!$A$3:$H$10000,8,FALSE),"0")</f>
        <v>0</v>
      </c>
      <c r="P1792" s="33">
        <f t="shared" si="108"/>
        <v>0</v>
      </c>
      <c r="Q1792" s="31" t="str">
        <f t="shared" si="109"/>
        <v/>
      </c>
      <c r="R1792" s="32" t="str">
        <f>IFERROR(VLOOKUP($D1792,'Informations sur les produits'!$A$3:$B$15000,2,FALSE),"")</f>
        <v/>
      </c>
      <c r="V1792">
        <f t="shared" si="110"/>
        <v>0</v>
      </c>
      <c r="W1792">
        <f t="shared" si="111"/>
        <v>0</v>
      </c>
    </row>
    <row r="1793" spans="5:23" x14ac:dyDescent="0.25">
      <c r="E1793" s="4"/>
      <c r="F1793" s="4"/>
      <c r="G1793" s="33" t="str">
        <f>IFERROR(VLOOKUP($D1793,'Informations sur les produits'!$A$3:$H$10000,8,FALSE),"0")</f>
        <v>0</v>
      </c>
      <c r="K1793" s="4"/>
      <c r="L1793" s="33" t="str">
        <f>IFERROR(VLOOKUP($J1793,'Informations sur les produits'!$A$3:$H$10000,8,FALSE),"0")</f>
        <v>0</v>
      </c>
      <c r="N1793" s="8"/>
      <c r="O1793" s="33" t="str">
        <f>IFERROR(VLOOKUP($M1793,'Informations sur les produits'!$A$3:$H$10000,8,FALSE),"0")</f>
        <v>0</v>
      </c>
      <c r="P1793" s="33">
        <f t="shared" si="108"/>
        <v>0</v>
      </c>
      <c r="Q1793" s="31" t="str">
        <f t="shared" si="109"/>
        <v/>
      </c>
      <c r="R1793" s="32" t="str">
        <f>IFERROR(VLOOKUP($D1793,'Informations sur les produits'!$A$3:$B$15000,2,FALSE),"")</f>
        <v/>
      </c>
      <c r="V1793">
        <f t="shared" si="110"/>
        <v>0</v>
      </c>
      <c r="W1793">
        <f t="shared" si="111"/>
        <v>0</v>
      </c>
    </row>
    <row r="1794" spans="5:23" x14ac:dyDescent="0.25">
      <c r="E1794" s="4"/>
      <c r="F1794" s="4"/>
      <c r="G1794" s="33" t="str">
        <f>IFERROR(VLOOKUP($D1794,'Informations sur les produits'!$A$3:$H$10000,8,FALSE),"0")</f>
        <v>0</v>
      </c>
      <c r="K1794" s="4"/>
      <c r="L1794" s="33" t="str">
        <f>IFERROR(VLOOKUP($J1794,'Informations sur les produits'!$A$3:$H$10000,8,FALSE),"0")</f>
        <v>0</v>
      </c>
      <c r="N1794" s="8"/>
      <c r="O1794" s="33" t="str">
        <f>IFERROR(VLOOKUP($M1794,'Informations sur les produits'!$A$3:$H$10000,8,FALSE),"0")</f>
        <v>0</v>
      </c>
      <c r="P1794" s="33">
        <f t="shared" si="108"/>
        <v>0</v>
      </c>
      <c r="Q1794" s="31" t="str">
        <f t="shared" si="109"/>
        <v/>
      </c>
      <c r="R1794" s="32" t="str">
        <f>IFERROR(VLOOKUP($D1794,'Informations sur les produits'!$A$3:$B$15000,2,FALSE),"")</f>
        <v/>
      </c>
      <c r="V1794">
        <f t="shared" si="110"/>
        <v>0</v>
      </c>
      <c r="W1794">
        <f t="shared" si="111"/>
        <v>0</v>
      </c>
    </row>
    <row r="1795" spans="5:23" x14ac:dyDescent="0.25">
      <c r="E1795" s="4"/>
      <c r="F1795" s="4"/>
      <c r="G1795" s="33" t="str">
        <f>IFERROR(VLOOKUP($D1795,'Informations sur les produits'!$A$3:$H$10000,8,FALSE),"0")</f>
        <v>0</v>
      </c>
      <c r="K1795" s="4"/>
      <c r="L1795" s="33" t="str">
        <f>IFERROR(VLOOKUP($J1795,'Informations sur les produits'!$A$3:$H$10000,8,FALSE),"0")</f>
        <v>0</v>
      </c>
      <c r="N1795" s="8"/>
      <c r="O1795" s="33" t="str">
        <f>IFERROR(VLOOKUP($M1795,'Informations sur les produits'!$A$3:$H$10000,8,FALSE),"0")</f>
        <v>0</v>
      </c>
      <c r="P1795" s="33">
        <f t="shared" si="108"/>
        <v>0</v>
      </c>
      <c r="Q1795" s="31" t="str">
        <f t="shared" si="109"/>
        <v/>
      </c>
      <c r="R1795" s="32" t="str">
        <f>IFERROR(VLOOKUP($D1795,'Informations sur les produits'!$A$3:$B$15000,2,FALSE),"")</f>
        <v/>
      </c>
      <c r="V1795">
        <f t="shared" si="110"/>
        <v>0</v>
      </c>
      <c r="W1795">
        <f t="shared" si="111"/>
        <v>0</v>
      </c>
    </row>
    <row r="1796" spans="5:23" x14ac:dyDescent="0.25">
      <c r="E1796" s="4"/>
      <c r="F1796" s="4"/>
      <c r="G1796" s="33" t="str">
        <f>IFERROR(VLOOKUP($D1796,'Informations sur les produits'!$A$3:$H$10000,8,FALSE),"0")</f>
        <v>0</v>
      </c>
      <c r="K1796" s="4"/>
      <c r="L1796" s="33" t="str">
        <f>IFERROR(VLOOKUP($J1796,'Informations sur les produits'!$A$3:$H$10000,8,FALSE),"0")</f>
        <v>0</v>
      </c>
      <c r="N1796" s="8"/>
      <c r="O1796" s="33" t="str">
        <f>IFERROR(VLOOKUP($M1796,'Informations sur les produits'!$A$3:$H$10000,8,FALSE),"0")</f>
        <v>0</v>
      </c>
      <c r="P1796" s="33">
        <f t="shared" ref="P1796:P1859" si="112">IFERROR((($E1796-$F1796)*$G1796+$K1796*$L1796+$N1796*$O1796),"")</f>
        <v>0</v>
      </c>
      <c r="Q1796" s="31" t="str">
        <f t="shared" ref="Q1796:Q1859" si="113">IFERROR((((($E1796-$F1796)*$G1796+$K1796*$L1796+$N1796*$O1796)*1000)/(($E1796-$F1796)+$K1796+$N1796)),"")</f>
        <v/>
      </c>
      <c r="R1796" s="32" t="str">
        <f>IFERROR(VLOOKUP($D1796,'Informations sur les produits'!$A$3:$B$15000,2,FALSE),"")</f>
        <v/>
      </c>
      <c r="V1796">
        <f t="shared" ref="V1796:V1859" si="114">IFERROR(P1796*1000,"")</f>
        <v>0</v>
      </c>
      <c r="W1796">
        <f t="shared" ref="W1796:W1859" si="115">IFERROR(($E1796-$F1796)+$K1796+$N1796,"")</f>
        <v>0</v>
      </c>
    </row>
    <row r="1797" spans="5:23" x14ac:dyDescent="0.25">
      <c r="E1797" s="4"/>
      <c r="F1797" s="4"/>
      <c r="G1797" s="33" t="str">
        <f>IFERROR(VLOOKUP($D1797,'Informations sur les produits'!$A$3:$H$10000,8,FALSE),"0")</f>
        <v>0</v>
      </c>
      <c r="K1797" s="4"/>
      <c r="L1797" s="33" t="str">
        <f>IFERROR(VLOOKUP($J1797,'Informations sur les produits'!$A$3:$H$10000,8,FALSE),"0")</f>
        <v>0</v>
      </c>
      <c r="N1797" s="8"/>
      <c r="O1797" s="33" t="str">
        <f>IFERROR(VLOOKUP($M1797,'Informations sur les produits'!$A$3:$H$10000,8,FALSE),"0")</f>
        <v>0</v>
      </c>
      <c r="P1797" s="33">
        <f t="shared" si="112"/>
        <v>0</v>
      </c>
      <c r="Q1797" s="31" t="str">
        <f t="shared" si="113"/>
        <v/>
      </c>
      <c r="R1797" s="32" t="str">
        <f>IFERROR(VLOOKUP($D1797,'Informations sur les produits'!$A$3:$B$15000,2,FALSE),"")</f>
        <v/>
      </c>
      <c r="V1797">
        <f t="shared" si="114"/>
        <v>0</v>
      </c>
      <c r="W1797">
        <f t="shared" si="115"/>
        <v>0</v>
      </c>
    </row>
    <row r="1798" spans="5:23" x14ac:dyDescent="0.25">
      <c r="E1798" s="4"/>
      <c r="F1798" s="4"/>
      <c r="G1798" s="33" t="str">
        <f>IFERROR(VLOOKUP($D1798,'Informations sur les produits'!$A$3:$H$10000,8,FALSE),"0")</f>
        <v>0</v>
      </c>
      <c r="K1798" s="4"/>
      <c r="L1798" s="33" t="str">
        <f>IFERROR(VLOOKUP($J1798,'Informations sur les produits'!$A$3:$H$10000,8,FALSE),"0")</f>
        <v>0</v>
      </c>
      <c r="N1798" s="8"/>
      <c r="O1798" s="33" t="str">
        <f>IFERROR(VLOOKUP($M1798,'Informations sur les produits'!$A$3:$H$10000,8,FALSE),"0")</f>
        <v>0</v>
      </c>
      <c r="P1798" s="33">
        <f t="shared" si="112"/>
        <v>0</v>
      </c>
      <c r="Q1798" s="31" t="str">
        <f t="shared" si="113"/>
        <v/>
      </c>
      <c r="R1798" s="32" t="str">
        <f>IFERROR(VLOOKUP($D1798,'Informations sur les produits'!$A$3:$B$15000,2,FALSE),"")</f>
        <v/>
      </c>
      <c r="V1798">
        <f t="shared" si="114"/>
        <v>0</v>
      </c>
      <c r="W1798">
        <f t="shared" si="115"/>
        <v>0</v>
      </c>
    </row>
    <row r="1799" spans="5:23" x14ac:dyDescent="0.25">
      <c r="E1799" s="4"/>
      <c r="F1799" s="4"/>
      <c r="G1799" s="33" t="str">
        <f>IFERROR(VLOOKUP($D1799,'Informations sur les produits'!$A$3:$H$10000,8,FALSE),"0")</f>
        <v>0</v>
      </c>
      <c r="K1799" s="4"/>
      <c r="L1799" s="33" t="str">
        <f>IFERROR(VLOOKUP($J1799,'Informations sur les produits'!$A$3:$H$10000,8,FALSE),"0")</f>
        <v>0</v>
      </c>
      <c r="N1799" s="8"/>
      <c r="O1799" s="33" t="str">
        <f>IFERROR(VLOOKUP($M1799,'Informations sur les produits'!$A$3:$H$10000,8,FALSE),"0")</f>
        <v>0</v>
      </c>
      <c r="P1799" s="33">
        <f t="shared" si="112"/>
        <v>0</v>
      </c>
      <c r="Q1799" s="31" t="str">
        <f t="shared" si="113"/>
        <v/>
      </c>
      <c r="R1799" s="32" t="str">
        <f>IFERROR(VLOOKUP($D1799,'Informations sur les produits'!$A$3:$B$15000,2,FALSE),"")</f>
        <v/>
      </c>
      <c r="V1799">
        <f t="shared" si="114"/>
        <v>0</v>
      </c>
      <c r="W1799">
        <f t="shared" si="115"/>
        <v>0</v>
      </c>
    </row>
    <row r="1800" spans="5:23" x14ac:dyDescent="0.25">
      <c r="E1800" s="4"/>
      <c r="F1800" s="4"/>
      <c r="G1800" s="33" t="str">
        <f>IFERROR(VLOOKUP($D1800,'Informations sur les produits'!$A$3:$H$10000,8,FALSE),"0")</f>
        <v>0</v>
      </c>
      <c r="K1800" s="4"/>
      <c r="L1800" s="33" t="str">
        <f>IFERROR(VLOOKUP($J1800,'Informations sur les produits'!$A$3:$H$10000,8,FALSE),"0")</f>
        <v>0</v>
      </c>
      <c r="N1800" s="8"/>
      <c r="O1800" s="33" t="str">
        <f>IFERROR(VLOOKUP($M1800,'Informations sur les produits'!$A$3:$H$10000,8,FALSE),"0")</f>
        <v>0</v>
      </c>
      <c r="P1800" s="33">
        <f t="shared" si="112"/>
        <v>0</v>
      </c>
      <c r="Q1800" s="31" t="str">
        <f t="shared" si="113"/>
        <v/>
      </c>
      <c r="R1800" s="32" t="str">
        <f>IFERROR(VLOOKUP($D1800,'Informations sur les produits'!$A$3:$B$15000,2,FALSE),"")</f>
        <v/>
      </c>
      <c r="V1800">
        <f t="shared" si="114"/>
        <v>0</v>
      </c>
      <c r="W1800">
        <f t="shared" si="115"/>
        <v>0</v>
      </c>
    </row>
    <row r="1801" spans="5:23" x14ac:dyDescent="0.25">
      <c r="E1801" s="4"/>
      <c r="F1801" s="4"/>
      <c r="G1801" s="33" t="str">
        <f>IFERROR(VLOOKUP($D1801,'Informations sur les produits'!$A$3:$H$10000,8,FALSE),"0")</f>
        <v>0</v>
      </c>
      <c r="K1801" s="4"/>
      <c r="L1801" s="33" t="str">
        <f>IFERROR(VLOOKUP($J1801,'Informations sur les produits'!$A$3:$H$10000,8,FALSE),"0")</f>
        <v>0</v>
      </c>
      <c r="N1801" s="8"/>
      <c r="O1801" s="33" t="str">
        <f>IFERROR(VLOOKUP($M1801,'Informations sur les produits'!$A$3:$H$10000,8,FALSE),"0")</f>
        <v>0</v>
      </c>
      <c r="P1801" s="33">
        <f t="shared" si="112"/>
        <v>0</v>
      </c>
      <c r="Q1801" s="31" t="str">
        <f t="shared" si="113"/>
        <v/>
      </c>
      <c r="R1801" s="32" t="str">
        <f>IFERROR(VLOOKUP($D1801,'Informations sur les produits'!$A$3:$B$15000,2,FALSE),"")</f>
        <v/>
      </c>
      <c r="V1801">
        <f t="shared" si="114"/>
        <v>0</v>
      </c>
      <c r="W1801">
        <f t="shared" si="115"/>
        <v>0</v>
      </c>
    </row>
    <row r="1802" spans="5:23" x14ac:dyDescent="0.25">
      <c r="E1802" s="4"/>
      <c r="F1802" s="4"/>
      <c r="G1802" s="33" t="str">
        <f>IFERROR(VLOOKUP($D1802,'Informations sur les produits'!$A$3:$H$10000,8,FALSE),"0")</f>
        <v>0</v>
      </c>
      <c r="K1802" s="4"/>
      <c r="L1802" s="33" t="str">
        <f>IFERROR(VLOOKUP($J1802,'Informations sur les produits'!$A$3:$H$10000,8,FALSE),"0")</f>
        <v>0</v>
      </c>
      <c r="N1802" s="8"/>
      <c r="O1802" s="33" t="str">
        <f>IFERROR(VLOOKUP($M1802,'Informations sur les produits'!$A$3:$H$10000,8,FALSE),"0")</f>
        <v>0</v>
      </c>
      <c r="P1802" s="33">
        <f t="shared" si="112"/>
        <v>0</v>
      </c>
      <c r="Q1802" s="31" t="str">
        <f t="shared" si="113"/>
        <v/>
      </c>
      <c r="R1802" s="32" t="str">
        <f>IFERROR(VLOOKUP($D1802,'Informations sur les produits'!$A$3:$B$15000,2,FALSE),"")</f>
        <v/>
      </c>
      <c r="V1802">
        <f t="shared" si="114"/>
        <v>0</v>
      </c>
      <c r="W1802">
        <f t="shared" si="115"/>
        <v>0</v>
      </c>
    </row>
    <row r="1803" spans="5:23" x14ac:dyDescent="0.25">
      <c r="E1803" s="4"/>
      <c r="F1803" s="4"/>
      <c r="G1803" s="33" t="str">
        <f>IFERROR(VLOOKUP($D1803,'Informations sur les produits'!$A$3:$H$10000,8,FALSE),"0")</f>
        <v>0</v>
      </c>
      <c r="K1803" s="4"/>
      <c r="L1803" s="33" t="str">
        <f>IFERROR(VLOOKUP($J1803,'Informations sur les produits'!$A$3:$H$10000,8,FALSE),"0")</f>
        <v>0</v>
      </c>
      <c r="N1803" s="8"/>
      <c r="O1803" s="33" t="str">
        <f>IFERROR(VLOOKUP($M1803,'Informations sur les produits'!$A$3:$H$10000,8,FALSE),"0")</f>
        <v>0</v>
      </c>
      <c r="P1803" s="33">
        <f t="shared" si="112"/>
        <v>0</v>
      </c>
      <c r="Q1803" s="31" t="str">
        <f t="shared" si="113"/>
        <v/>
      </c>
      <c r="R1803" s="32" t="str">
        <f>IFERROR(VLOOKUP($D1803,'Informations sur les produits'!$A$3:$B$15000,2,FALSE),"")</f>
        <v/>
      </c>
      <c r="V1803">
        <f t="shared" si="114"/>
        <v>0</v>
      </c>
      <c r="W1803">
        <f t="shared" si="115"/>
        <v>0</v>
      </c>
    </row>
    <row r="1804" spans="5:23" x14ac:dyDescent="0.25">
      <c r="E1804" s="4"/>
      <c r="F1804" s="4"/>
      <c r="G1804" s="33" t="str">
        <f>IFERROR(VLOOKUP($D1804,'Informations sur les produits'!$A$3:$H$10000,8,FALSE),"0")</f>
        <v>0</v>
      </c>
      <c r="K1804" s="4"/>
      <c r="L1804" s="33" t="str">
        <f>IFERROR(VLOOKUP($J1804,'Informations sur les produits'!$A$3:$H$10000,8,FALSE),"0")</f>
        <v>0</v>
      </c>
      <c r="N1804" s="8"/>
      <c r="O1804" s="33" t="str">
        <f>IFERROR(VLOOKUP($M1804,'Informations sur les produits'!$A$3:$H$10000,8,FALSE),"0")</f>
        <v>0</v>
      </c>
      <c r="P1804" s="33">
        <f t="shared" si="112"/>
        <v>0</v>
      </c>
      <c r="Q1804" s="31" t="str">
        <f t="shared" si="113"/>
        <v/>
      </c>
      <c r="R1804" s="32" t="str">
        <f>IFERROR(VLOOKUP($D1804,'Informations sur les produits'!$A$3:$B$15000,2,FALSE),"")</f>
        <v/>
      </c>
      <c r="V1804">
        <f t="shared" si="114"/>
        <v>0</v>
      </c>
      <c r="W1804">
        <f t="shared" si="115"/>
        <v>0</v>
      </c>
    </row>
    <row r="1805" spans="5:23" x14ac:dyDescent="0.25">
      <c r="E1805" s="4"/>
      <c r="F1805" s="4"/>
      <c r="G1805" s="33" t="str">
        <f>IFERROR(VLOOKUP($D1805,'Informations sur les produits'!$A$3:$H$10000,8,FALSE),"0")</f>
        <v>0</v>
      </c>
      <c r="K1805" s="4"/>
      <c r="L1805" s="33" t="str">
        <f>IFERROR(VLOOKUP($J1805,'Informations sur les produits'!$A$3:$H$10000,8,FALSE),"0")</f>
        <v>0</v>
      </c>
      <c r="N1805" s="8"/>
      <c r="O1805" s="33" t="str">
        <f>IFERROR(VLOOKUP($M1805,'Informations sur les produits'!$A$3:$H$10000,8,FALSE),"0")</f>
        <v>0</v>
      </c>
      <c r="P1805" s="33">
        <f t="shared" si="112"/>
        <v>0</v>
      </c>
      <c r="Q1805" s="31" t="str">
        <f t="shared" si="113"/>
        <v/>
      </c>
      <c r="R1805" s="32" t="str">
        <f>IFERROR(VLOOKUP($D1805,'Informations sur les produits'!$A$3:$B$15000,2,FALSE),"")</f>
        <v/>
      </c>
      <c r="V1805">
        <f t="shared" si="114"/>
        <v>0</v>
      </c>
      <c r="W1805">
        <f t="shared" si="115"/>
        <v>0</v>
      </c>
    </row>
    <row r="1806" spans="5:23" x14ac:dyDescent="0.25">
      <c r="E1806" s="4"/>
      <c r="F1806" s="4"/>
      <c r="G1806" s="33" t="str">
        <f>IFERROR(VLOOKUP($D1806,'Informations sur les produits'!$A$3:$H$10000,8,FALSE),"0")</f>
        <v>0</v>
      </c>
      <c r="K1806" s="4"/>
      <c r="L1806" s="33" t="str">
        <f>IFERROR(VLOOKUP($J1806,'Informations sur les produits'!$A$3:$H$10000,8,FALSE),"0")</f>
        <v>0</v>
      </c>
      <c r="N1806" s="8"/>
      <c r="O1806" s="33" t="str">
        <f>IFERROR(VLOOKUP($M1806,'Informations sur les produits'!$A$3:$H$10000,8,FALSE),"0")</f>
        <v>0</v>
      </c>
      <c r="P1806" s="33">
        <f t="shared" si="112"/>
        <v>0</v>
      </c>
      <c r="Q1806" s="31" t="str">
        <f t="shared" si="113"/>
        <v/>
      </c>
      <c r="R1806" s="32" t="str">
        <f>IFERROR(VLOOKUP($D1806,'Informations sur les produits'!$A$3:$B$15000,2,FALSE),"")</f>
        <v/>
      </c>
      <c r="V1806">
        <f t="shared" si="114"/>
        <v>0</v>
      </c>
      <c r="W1806">
        <f t="shared" si="115"/>
        <v>0</v>
      </c>
    </row>
    <row r="1807" spans="5:23" x14ac:dyDescent="0.25">
      <c r="E1807" s="4"/>
      <c r="F1807" s="4"/>
      <c r="G1807" s="33" t="str">
        <f>IFERROR(VLOOKUP($D1807,'Informations sur les produits'!$A$3:$H$10000,8,FALSE),"0")</f>
        <v>0</v>
      </c>
      <c r="K1807" s="4"/>
      <c r="L1807" s="33" t="str">
        <f>IFERROR(VLOOKUP($J1807,'Informations sur les produits'!$A$3:$H$10000,8,FALSE),"0")</f>
        <v>0</v>
      </c>
      <c r="N1807" s="8"/>
      <c r="O1807" s="33" t="str">
        <f>IFERROR(VLOOKUP($M1807,'Informations sur les produits'!$A$3:$H$10000,8,FALSE),"0")</f>
        <v>0</v>
      </c>
      <c r="P1807" s="33">
        <f t="shared" si="112"/>
        <v>0</v>
      </c>
      <c r="Q1807" s="31" t="str">
        <f t="shared" si="113"/>
        <v/>
      </c>
      <c r="R1807" s="32" t="str">
        <f>IFERROR(VLOOKUP($D1807,'Informations sur les produits'!$A$3:$B$15000,2,FALSE),"")</f>
        <v/>
      </c>
      <c r="V1807">
        <f t="shared" si="114"/>
        <v>0</v>
      </c>
      <c r="W1807">
        <f t="shared" si="115"/>
        <v>0</v>
      </c>
    </row>
    <row r="1808" spans="5:23" x14ac:dyDescent="0.25">
      <c r="E1808" s="4"/>
      <c r="F1808" s="4"/>
      <c r="G1808" s="33" t="str">
        <f>IFERROR(VLOOKUP($D1808,'Informations sur les produits'!$A$3:$H$10000,8,FALSE),"0")</f>
        <v>0</v>
      </c>
      <c r="K1808" s="4"/>
      <c r="L1808" s="33" t="str">
        <f>IFERROR(VLOOKUP($J1808,'Informations sur les produits'!$A$3:$H$10000,8,FALSE),"0")</f>
        <v>0</v>
      </c>
      <c r="N1808" s="8"/>
      <c r="O1808" s="33" t="str">
        <f>IFERROR(VLOOKUP($M1808,'Informations sur les produits'!$A$3:$H$10000,8,FALSE),"0")</f>
        <v>0</v>
      </c>
      <c r="P1808" s="33">
        <f t="shared" si="112"/>
        <v>0</v>
      </c>
      <c r="Q1808" s="31" t="str">
        <f t="shared" si="113"/>
        <v/>
      </c>
      <c r="R1808" s="32" t="str">
        <f>IFERROR(VLOOKUP($D1808,'Informations sur les produits'!$A$3:$B$15000,2,FALSE),"")</f>
        <v/>
      </c>
      <c r="V1808">
        <f t="shared" si="114"/>
        <v>0</v>
      </c>
      <c r="W1808">
        <f t="shared" si="115"/>
        <v>0</v>
      </c>
    </row>
    <row r="1809" spans="5:23" x14ac:dyDescent="0.25">
      <c r="E1809" s="4"/>
      <c r="F1809" s="4"/>
      <c r="G1809" s="33" t="str">
        <f>IFERROR(VLOOKUP($D1809,'Informations sur les produits'!$A$3:$H$10000,8,FALSE),"0")</f>
        <v>0</v>
      </c>
      <c r="K1809" s="4"/>
      <c r="L1809" s="33" t="str">
        <f>IFERROR(VLOOKUP($J1809,'Informations sur les produits'!$A$3:$H$10000,8,FALSE),"0")</f>
        <v>0</v>
      </c>
      <c r="N1809" s="8"/>
      <c r="O1809" s="33" t="str">
        <f>IFERROR(VLOOKUP($M1809,'Informations sur les produits'!$A$3:$H$10000,8,FALSE),"0")</f>
        <v>0</v>
      </c>
      <c r="P1809" s="33">
        <f t="shared" si="112"/>
        <v>0</v>
      </c>
      <c r="Q1809" s="31" t="str">
        <f t="shared" si="113"/>
        <v/>
      </c>
      <c r="R1809" s="32" t="str">
        <f>IFERROR(VLOOKUP($D1809,'Informations sur les produits'!$A$3:$B$15000,2,FALSE),"")</f>
        <v/>
      </c>
      <c r="V1809">
        <f t="shared" si="114"/>
        <v>0</v>
      </c>
      <c r="W1809">
        <f t="shared" si="115"/>
        <v>0</v>
      </c>
    </row>
    <row r="1810" spans="5:23" x14ac:dyDescent="0.25">
      <c r="E1810" s="4"/>
      <c r="F1810" s="4"/>
      <c r="G1810" s="33" t="str">
        <f>IFERROR(VLOOKUP($D1810,'Informations sur les produits'!$A$3:$H$10000,8,FALSE),"0")</f>
        <v>0</v>
      </c>
      <c r="K1810" s="4"/>
      <c r="L1810" s="33" t="str">
        <f>IFERROR(VLOOKUP($J1810,'Informations sur les produits'!$A$3:$H$10000,8,FALSE),"0")</f>
        <v>0</v>
      </c>
      <c r="N1810" s="8"/>
      <c r="O1810" s="33" t="str">
        <f>IFERROR(VLOOKUP($M1810,'Informations sur les produits'!$A$3:$H$10000,8,FALSE),"0")</f>
        <v>0</v>
      </c>
      <c r="P1810" s="33">
        <f t="shared" si="112"/>
        <v>0</v>
      </c>
      <c r="Q1810" s="31" t="str">
        <f t="shared" si="113"/>
        <v/>
      </c>
      <c r="R1810" s="32" t="str">
        <f>IFERROR(VLOOKUP($D1810,'Informations sur les produits'!$A$3:$B$15000,2,FALSE),"")</f>
        <v/>
      </c>
      <c r="V1810">
        <f t="shared" si="114"/>
        <v>0</v>
      </c>
      <c r="W1810">
        <f t="shared" si="115"/>
        <v>0</v>
      </c>
    </row>
    <row r="1811" spans="5:23" x14ac:dyDescent="0.25">
      <c r="E1811" s="4"/>
      <c r="F1811" s="4"/>
      <c r="G1811" s="33" t="str">
        <f>IFERROR(VLOOKUP($D1811,'Informations sur les produits'!$A$3:$H$10000,8,FALSE),"0")</f>
        <v>0</v>
      </c>
      <c r="K1811" s="4"/>
      <c r="L1811" s="33" t="str">
        <f>IFERROR(VLOOKUP($J1811,'Informations sur les produits'!$A$3:$H$10000,8,FALSE),"0")</f>
        <v>0</v>
      </c>
      <c r="N1811" s="8"/>
      <c r="O1811" s="33" t="str">
        <f>IFERROR(VLOOKUP($M1811,'Informations sur les produits'!$A$3:$H$10000,8,FALSE),"0")</f>
        <v>0</v>
      </c>
      <c r="P1811" s="33">
        <f t="shared" si="112"/>
        <v>0</v>
      </c>
      <c r="Q1811" s="31" t="str">
        <f t="shared" si="113"/>
        <v/>
      </c>
      <c r="R1811" s="32" t="str">
        <f>IFERROR(VLOOKUP($D1811,'Informations sur les produits'!$A$3:$B$15000,2,FALSE),"")</f>
        <v/>
      </c>
      <c r="V1811">
        <f t="shared" si="114"/>
        <v>0</v>
      </c>
      <c r="W1811">
        <f t="shared" si="115"/>
        <v>0</v>
      </c>
    </row>
    <row r="1812" spans="5:23" x14ac:dyDescent="0.25">
      <c r="E1812" s="4"/>
      <c r="F1812" s="4"/>
      <c r="G1812" s="33" t="str">
        <f>IFERROR(VLOOKUP($D1812,'Informations sur les produits'!$A$3:$H$10000,8,FALSE),"0")</f>
        <v>0</v>
      </c>
      <c r="K1812" s="4"/>
      <c r="L1812" s="33" t="str">
        <f>IFERROR(VLOOKUP($J1812,'Informations sur les produits'!$A$3:$H$10000,8,FALSE),"0")</f>
        <v>0</v>
      </c>
      <c r="N1812" s="8"/>
      <c r="O1812" s="33" t="str">
        <f>IFERROR(VLOOKUP($M1812,'Informations sur les produits'!$A$3:$H$10000,8,FALSE),"0")</f>
        <v>0</v>
      </c>
      <c r="P1812" s="33">
        <f t="shared" si="112"/>
        <v>0</v>
      </c>
      <c r="Q1812" s="31" t="str">
        <f t="shared" si="113"/>
        <v/>
      </c>
      <c r="R1812" s="32" t="str">
        <f>IFERROR(VLOOKUP($D1812,'Informations sur les produits'!$A$3:$B$15000,2,FALSE),"")</f>
        <v/>
      </c>
      <c r="V1812">
        <f t="shared" si="114"/>
        <v>0</v>
      </c>
      <c r="W1812">
        <f t="shared" si="115"/>
        <v>0</v>
      </c>
    </row>
    <row r="1813" spans="5:23" x14ac:dyDescent="0.25">
      <c r="E1813" s="4"/>
      <c r="F1813" s="4"/>
      <c r="G1813" s="33" t="str">
        <f>IFERROR(VLOOKUP($D1813,'Informations sur les produits'!$A$3:$H$10000,8,FALSE),"0")</f>
        <v>0</v>
      </c>
      <c r="K1813" s="4"/>
      <c r="L1813" s="33" t="str">
        <f>IFERROR(VLOOKUP($J1813,'Informations sur les produits'!$A$3:$H$10000,8,FALSE),"0")</f>
        <v>0</v>
      </c>
      <c r="N1813" s="8"/>
      <c r="O1813" s="33" t="str">
        <f>IFERROR(VLOOKUP($M1813,'Informations sur les produits'!$A$3:$H$10000,8,FALSE),"0")</f>
        <v>0</v>
      </c>
      <c r="P1813" s="33">
        <f t="shared" si="112"/>
        <v>0</v>
      </c>
      <c r="Q1813" s="31" t="str">
        <f t="shared" si="113"/>
        <v/>
      </c>
      <c r="R1813" s="32" t="str">
        <f>IFERROR(VLOOKUP($D1813,'Informations sur les produits'!$A$3:$B$15000,2,FALSE),"")</f>
        <v/>
      </c>
      <c r="V1813">
        <f t="shared" si="114"/>
        <v>0</v>
      </c>
      <c r="W1813">
        <f t="shared" si="115"/>
        <v>0</v>
      </c>
    </row>
    <row r="1814" spans="5:23" x14ac:dyDescent="0.25">
      <c r="E1814" s="4"/>
      <c r="F1814" s="4"/>
      <c r="G1814" s="33" t="str">
        <f>IFERROR(VLOOKUP($D1814,'Informations sur les produits'!$A$3:$H$10000,8,FALSE),"0")</f>
        <v>0</v>
      </c>
      <c r="K1814" s="4"/>
      <c r="L1814" s="33" t="str">
        <f>IFERROR(VLOOKUP($J1814,'Informations sur les produits'!$A$3:$H$10000,8,FALSE),"0")</f>
        <v>0</v>
      </c>
      <c r="N1814" s="8"/>
      <c r="O1814" s="33" t="str">
        <f>IFERROR(VLOOKUP($M1814,'Informations sur les produits'!$A$3:$H$10000,8,FALSE),"0")</f>
        <v>0</v>
      </c>
      <c r="P1814" s="33">
        <f t="shared" si="112"/>
        <v>0</v>
      </c>
      <c r="Q1814" s="31" t="str">
        <f t="shared" si="113"/>
        <v/>
      </c>
      <c r="R1814" s="32" t="str">
        <f>IFERROR(VLOOKUP($D1814,'Informations sur les produits'!$A$3:$B$15000,2,FALSE),"")</f>
        <v/>
      </c>
      <c r="V1814">
        <f t="shared" si="114"/>
        <v>0</v>
      </c>
      <c r="W1814">
        <f t="shared" si="115"/>
        <v>0</v>
      </c>
    </row>
    <row r="1815" spans="5:23" x14ac:dyDescent="0.25">
      <c r="E1815" s="4"/>
      <c r="F1815" s="4"/>
      <c r="G1815" s="33" t="str">
        <f>IFERROR(VLOOKUP($D1815,'Informations sur les produits'!$A$3:$H$10000,8,FALSE),"0")</f>
        <v>0</v>
      </c>
      <c r="K1815" s="4"/>
      <c r="L1815" s="33" t="str">
        <f>IFERROR(VLOOKUP($J1815,'Informations sur les produits'!$A$3:$H$10000,8,FALSE),"0")</f>
        <v>0</v>
      </c>
      <c r="N1815" s="8"/>
      <c r="O1815" s="33" t="str">
        <f>IFERROR(VLOOKUP($M1815,'Informations sur les produits'!$A$3:$H$10000,8,FALSE),"0")</f>
        <v>0</v>
      </c>
      <c r="P1815" s="33">
        <f t="shared" si="112"/>
        <v>0</v>
      </c>
      <c r="Q1815" s="31" t="str">
        <f t="shared" si="113"/>
        <v/>
      </c>
      <c r="R1815" s="32" t="str">
        <f>IFERROR(VLOOKUP($D1815,'Informations sur les produits'!$A$3:$B$15000,2,FALSE),"")</f>
        <v/>
      </c>
      <c r="V1815">
        <f t="shared" si="114"/>
        <v>0</v>
      </c>
      <c r="W1815">
        <f t="shared" si="115"/>
        <v>0</v>
      </c>
    </row>
    <row r="1816" spans="5:23" x14ac:dyDescent="0.25">
      <c r="E1816" s="4"/>
      <c r="F1816" s="4"/>
      <c r="G1816" s="33" t="str">
        <f>IFERROR(VLOOKUP($D1816,'Informations sur les produits'!$A$3:$H$10000,8,FALSE),"0")</f>
        <v>0</v>
      </c>
      <c r="K1816" s="4"/>
      <c r="L1816" s="33" t="str">
        <f>IFERROR(VLOOKUP($J1816,'Informations sur les produits'!$A$3:$H$10000,8,FALSE),"0")</f>
        <v>0</v>
      </c>
      <c r="N1816" s="8"/>
      <c r="O1816" s="33" t="str">
        <f>IFERROR(VLOOKUP($M1816,'Informations sur les produits'!$A$3:$H$10000,8,FALSE),"0")</f>
        <v>0</v>
      </c>
      <c r="P1816" s="33">
        <f t="shared" si="112"/>
        <v>0</v>
      </c>
      <c r="Q1816" s="31" t="str">
        <f t="shared" si="113"/>
        <v/>
      </c>
      <c r="R1816" s="32" t="str">
        <f>IFERROR(VLOOKUP($D1816,'Informations sur les produits'!$A$3:$B$15000,2,FALSE),"")</f>
        <v/>
      </c>
      <c r="V1816">
        <f t="shared" si="114"/>
        <v>0</v>
      </c>
      <c r="W1816">
        <f t="shared" si="115"/>
        <v>0</v>
      </c>
    </row>
    <row r="1817" spans="5:23" x14ac:dyDescent="0.25">
      <c r="E1817" s="4"/>
      <c r="F1817" s="4"/>
      <c r="G1817" s="33" t="str">
        <f>IFERROR(VLOOKUP($D1817,'Informations sur les produits'!$A$3:$H$10000,8,FALSE),"0")</f>
        <v>0</v>
      </c>
      <c r="K1817" s="4"/>
      <c r="L1817" s="33" t="str">
        <f>IFERROR(VLOOKUP($J1817,'Informations sur les produits'!$A$3:$H$10000,8,FALSE),"0")</f>
        <v>0</v>
      </c>
      <c r="N1817" s="8"/>
      <c r="O1817" s="33" t="str">
        <f>IFERROR(VLOOKUP($M1817,'Informations sur les produits'!$A$3:$H$10000,8,FALSE),"0")</f>
        <v>0</v>
      </c>
      <c r="P1817" s="33">
        <f t="shared" si="112"/>
        <v>0</v>
      </c>
      <c r="Q1817" s="31" t="str">
        <f t="shared" si="113"/>
        <v/>
      </c>
      <c r="R1817" s="32" t="str">
        <f>IFERROR(VLOOKUP($D1817,'Informations sur les produits'!$A$3:$B$15000,2,FALSE),"")</f>
        <v/>
      </c>
      <c r="V1817">
        <f t="shared" si="114"/>
        <v>0</v>
      </c>
      <c r="W1817">
        <f t="shared" si="115"/>
        <v>0</v>
      </c>
    </row>
    <row r="1818" spans="5:23" x14ac:dyDescent="0.25">
      <c r="E1818" s="4"/>
      <c r="F1818" s="4"/>
      <c r="G1818" s="33" t="str">
        <f>IFERROR(VLOOKUP($D1818,'Informations sur les produits'!$A$3:$H$10000,8,FALSE),"0")</f>
        <v>0</v>
      </c>
      <c r="K1818" s="4"/>
      <c r="L1818" s="33" t="str">
        <f>IFERROR(VLOOKUP($J1818,'Informations sur les produits'!$A$3:$H$10000,8,FALSE),"0")</f>
        <v>0</v>
      </c>
      <c r="N1818" s="8"/>
      <c r="O1818" s="33" t="str">
        <f>IFERROR(VLOOKUP($M1818,'Informations sur les produits'!$A$3:$H$10000,8,FALSE),"0")</f>
        <v>0</v>
      </c>
      <c r="P1818" s="33">
        <f t="shared" si="112"/>
        <v>0</v>
      </c>
      <c r="Q1818" s="31" t="str">
        <f t="shared" si="113"/>
        <v/>
      </c>
      <c r="R1818" s="32" t="str">
        <f>IFERROR(VLOOKUP($D1818,'Informations sur les produits'!$A$3:$B$15000,2,FALSE),"")</f>
        <v/>
      </c>
      <c r="V1818">
        <f t="shared" si="114"/>
        <v>0</v>
      </c>
      <c r="W1818">
        <f t="shared" si="115"/>
        <v>0</v>
      </c>
    </row>
    <row r="1819" spans="5:23" x14ac:dyDescent="0.25">
      <c r="E1819" s="4"/>
      <c r="F1819" s="4"/>
      <c r="G1819" s="33" t="str">
        <f>IFERROR(VLOOKUP($D1819,'Informations sur les produits'!$A$3:$H$10000,8,FALSE),"0")</f>
        <v>0</v>
      </c>
      <c r="K1819" s="4"/>
      <c r="L1819" s="33" t="str">
        <f>IFERROR(VLOOKUP($J1819,'Informations sur les produits'!$A$3:$H$10000,8,FALSE),"0")</f>
        <v>0</v>
      </c>
      <c r="N1819" s="8"/>
      <c r="O1819" s="33" t="str">
        <f>IFERROR(VLOOKUP($M1819,'Informations sur les produits'!$A$3:$H$10000,8,FALSE),"0")</f>
        <v>0</v>
      </c>
      <c r="P1819" s="33">
        <f t="shared" si="112"/>
        <v>0</v>
      </c>
      <c r="Q1819" s="31" t="str">
        <f t="shared" si="113"/>
        <v/>
      </c>
      <c r="R1819" s="32" t="str">
        <f>IFERROR(VLOOKUP($D1819,'Informations sur les produits'!$A$3:$B$15000,2,FALSE),"")</f>
        <v/>
      </c>
      <c r="V1819">
        <f t="shared" si="114"/>
        <v>0</v>
      </c>
      <c r="W1819">
        <f t="shared" si="115"/>
        <v>0</v>
      </c>
    </row>
    <row r="1820" spans="5:23" x14ac:dyDescent="0.25">
      <c r="E1820" s="4"/>
      <c r="F1820" s="4"/>
      <c r="G1820" s="33" t="str">
        <f>IFERROR(VLOOKUP($D1820,'Informations sur les produits'!$A$3:$H$10000,8,FALSE),"0")</f>
        <v>0</v>
      </c>
      <c r="K1820" s="4"/>
      <c r="L1820" s="33" t="str">
        <f>IFERROR(VLOOKUP($J1820,'Informations sur les produits'!$A$3:$H$10000,8,FALSE),"0")</f>
        <v>0</v>
      </c>
      <c r="N1820" s="8"/>
      <c r="O1820" s="33" t="str">
        <f>IFERROR(VLOOKUP($M1820,'Informations sur les produits'!$A$3:$H$10000,8,FALSE),"0")</f>
        <v>0</v>
      </c>
      <c r="P1820" s="33">
        <f t="shared" si="112"/>
        <v>0</v>
      </c>
      <c r="Q1820" s="31" t="str">
        <f t="shared" si="113"/>
        <v/>
      </c>
      <c r="R1820" s="32" t="str">
        <f>IFERROR(VLOOKUP($D1820,'Informations sur les produits'!$A$3:$B$15000,2,FALSE),"")</f>
        <v/>
      </c>
      <c r="V1820">
        <f t="shared" si="114"/>
        <v>0</v>
      </c>
      <c r="W1820">
        <f t="shared" si="115"/>
        <v>0</v>
      </c>
    </row>
    <row r="1821" spans="5:23" x14ac:dyDescent="0.25">
      <c r="E1821" s="4"/>
      <c r="F1821" s="4"/>
      <c r="G1821" s="33" t="str">
        <f>IFERROR(VLOOKUP($D1821,'Informations sur les produits'!$A$3:$H$10000,8,FALSE),"0")</f>
        <v>0</v>
      </c>
      <c r="K1821" s="4"/>
      <c r="L1821" s="33" t="str">
        <f>IFERROR(VLOOKUP($J1821,'Informations sur les produits'!$A$3:$H$10000,8,FALSE),"0")</f>
        <v>0</v>
      </c>
      <c r="N1821" s="8"/>
      <c r="O1821" s="33" t="str">
        <f>IFERROR(VLOOKUP($M1821,'Informations sur les produits'!$A$3:$H$10000,8,FALSE),"0")</f>
        <v>0</v>
      </c>
      <c r="P1821" s="33">
        <f t="shared" si="112"/>
        <v>0</v>
      </c>
      <c r="Q1821" s="31" t="str">
        <f t="shared" si="113"/>
        <v/>
      </c>
      <c r="R1821" s="32" t="str">
        <f>IFERROR(VLOOKUP($D1821,'Informations sur les produits'!$A$3:$B$15000,2,FALSE),"")</f>
        <v/>
      </c>
      <c r="V1821">
        <f t="shared" si="114"/>
        <v>0</v>
      </c>
      <c r="W1821">
        <f t="shared" si="115"/>
        <v>0</v>
      </c>
    </row>
    <row r="1822" spans="5:23" x14ac:dyDescent="0.25">
      <c r="E1822" s="4"/>
      <c r="F1822" s="4"/>
      <c r="G1822" s="33" t="str">
        <f>IFERROR(VLOOKUP($D1822,'Informations sur les produits'!$A$3:$H$10000,8,FALSE),"0")</f>
        <v>0</v>
      </c>
      <c r="K1822" s="4"/>
      <c r="L1822" s="33" t="str">
        <f>IFERROR(VLOOKUP($J1822,'Informations sur les produits'!$A$3:$H$10000,8,FALSE),"0")</f>
        <v>0</v>
      </c>
      <c r="N1822" s="8"/>
      <c r="O1822" s="33" t="str">
        <f>IFERROR(VLOOKUP($M1822,'Informations sur les produits'!$A$3:$H$10000,8,FALSE),"0")</f>
        <v>0</v>
      </c>
      <c r="P1822" s="33">
        <f t="shared" si="112"/>
        <v>0</v>
      </c>
      <c r="Q1822" s="31" t="str">
        <f t="shared" si="113"/>
        <v/>
      </c>
      <c r="R1822" s="32" t="str">
        <f>IFERROR(VLOOKUP($D1822,'Informations sur les produits'!$A$3:$B$15000,2,FALSE),"")</f>
        <v/>
      </c>
      <c r="V1822">
        <f t="shared" si="114"/>
        <v>0</v>
      </c>
      <c r="W1822">
        <f t="shared" si="115"/>
        <v>0</v>
      </c>
    </row>
    <row r="1823" spans="5:23" x14ac:dyDescent="0.25">
      <c r="E1823" s="4"/>
      <c r="F1823" s="4"/>
      <c r="G1823" s="33" t="str">
        <f>IFERROR(VLOOKUP($D1823,'Informations sur les produits'!$A$3:$H$10000,8,FALSE),"0")</f>
        <v>0</v>
      </c>
      <c r="K1823" s="4"/>
      <c r="L1823" s="33" t="str">
        <f>IFERROR(VLOOKUP($J1823,'Informations sur les produits'!$A$3:$H$10000,8,FALSE),"0")</f>
        <v>0</v>
      </c>
      <c r="N1823" s="8"/>
      <c r="O1823" s="33" t="str">
        <f>IFERROR(VLOOKUP($M1823,'Informations sur les produits'!$A$3:$H$10000,8,FALSE),"0")</f>
        <v>0</v>
      </c>
      <c r="P1823" s="33">
        <f t="shared" si="112"/>
        <v>0</v>
      </c>
      <c r="Q1823" s="31" t="str">
        <f t="shared" si="113"/>
        <v/>
      </c>
      <c r="R1823" s="32" t="str">
        <f>IFERROR(VLOOKUP($D1823,'Informations sur les produits'!$A$3:$B$15000,2,FALSE),"")</f>
        <v/>
      </c>
      <c r="V1823">
        <f t="shared" si="114"/>
        <v>0</v>
      </c>
      <c r="W1823">
        <f t="shared" si="115"/>
        <v>0</v>
      </c>
    </row>
    <row r="1824" spans="5:23" x14ac:dyDescent="0.25">
      <c r="E1824" s="4"/>
      <c r="F1824" s="4"/>
      <c r="G1824" s="33" t="str">
        <f>IFERROR(VLOOKUP($D1824,'Informations sur les produits'!$A$3:$H$10000,8,FALSE),"0")</f>
        <v>0</v>
      </c>
      <c r="K1824" s="4"/>
      <c r="L1824" s="33" t="str">
        <f>IFERROR(VLOOKUP($J1824,'Informations sur les produits'!$A$3:$H$10000,8,FALSE),"0")</f>
        <v>0</v>
      </c>
      <c r="N1824" s="8"/>
      <c r="O1824" s="33" t="str">
        <f>IFERROR(VLOOKUP($M1824,'Informations sur les produits'!$A$3:$H$10000,8,FALSE),"0")</f>
        <v>0</v>
      </c>
      <c r="P1824" s="33">
        <f t="shared" si="112"/>
        <v>0</v>
      </c>
      <c r="Q1824" s="31" t="str">
        <f t="shared" si="113"/>
        <v/>
      </c>
      <c r="R1824" s="32" t="str">
        <f>IFERROR(VLOOKUP($D1824,'Informations sur les produits'!$A$3:$B$15000,2,FALSE),"")</f>
        <v/>
      </c>
      <c r="V1824">
        <f t="shared" si="114"/>
        <v>0</v>
      </c>
      <c r="W1824">
        <f t="shared" si="115"/>
        <v>0</v>
      </c>
    </row>
    <row r="1825" spans="5:23" x14ac:dyDescent="0.25">
      <c r="E1825" s="4"/>
      <c r="F1825" s="4"/>
      <c r="G1825" s="33" t="str">
        <f>IFERROR(VLOOKUP($D1825,'Informations sur les produits'!$A$3:$H$10000,8,FALSE),"0")</f>
        <v>0</v>
      </c>
      <c r="K1825" s="4"/>
      <c r="L1825" s="33" t="str">
        <f>IFERROR(VLOOKUP($J1825,'Informations sur les produits'!$A$3:$H$10000,8,FALSE),"0")</f>
        <v>0</v>
      </c>
      <c r="N1825" s="8"/>
      <c r="O1825" s="33" t="str">
        <f>IFERROR(VLOOKUP($M1825,'Informations sur les produits'!$A$3:$H$10000,8,FALSE),"0")</f>
        <v>0</v>
      </c>
      <c r="P1825" s="33">
        <f t="shared" si="112"/>
        <v>0</v>
      </c>
      <c r="Q1825" s="31" t="str">
        <f t="shared" si="113"/>
        <v/>
      </c>
      <c r="R1825" s="32" t="str">
        <f>IFERROR(VLOOKUP($D1825,'Informations sur les produits'!$A$3:$B$15000,2,FALSE),"")</f>
        <v/>
      </c>
      <c r="V1825">
        <f t="shared" si="114"/>
        <v>0</v>
      </c>
      <c r="W1825">
        <f t="shared" si="115"/>
        <v>0</v>
      </c>
    </row>
    <row r="1826" spans="5:23" x14ac:dyDescent="0.25">
      <c r="E1826" s="4"/>
      <c r="F1826" s="4"/>
      <c r="G1826" s="33" t="str">
        <f>IFERROR(VLOOKUP($D1826,'Informations sur les produits'!$A$3:$H$10000,8,FALSE),"0")</f>
        <v>0</v>
      </c>
      <c r="K1826" s="4"/>
      <c r="L1826" s="33" t="str">
        <f>IFERROR(VLOOKUP($J1826,'Informations sur les produits'!$A$3:$H$10000,8,FALSE),"0")</f>
        <v>0</v>
      </c>
      <c r="N1826" s="8"/>
      <c r="O1826" s="33" t="str">
        <f>IFERROR(VLOOKUP($M1826,'Informations sur les produits'!$A$3:$H$10000,8,FALSE),"0")</f>
        <v>0</v>
      </c>
      <c r="P1826" s="33">
        <f t="shared" si="112"/>
        <v>0</v>
      </c>
      <c r="Q1826" s="31" t="str">
        <f t="shared" si="113"/>
        <v/>
      </c>
      <c r="R1826" s="32" t="str">
        <f>IFERROR(VLOOKUP($D1826,'Informations sur les produits'!$A$3:$B$15000,2,FALSE),"")</f>
        <v/>
      </c>
      <c r="V1826">
        <f t="shared" si="114"/>
        <v>0</v>
      </c>
      <c r="W1826">
        <f t="shared" si="115"/>
        <v>0</v>
      </c>
    </row>
    <row r="1827" spans="5:23" x14ac:dyDescent="0.25">
      <c r="E1827" s="4"/>
      <c r="F1827" s="4"/>
      <c r="G1827" s="33" t="str">
        <f>IFERROR(VLOOKUP($D1827,'Informations sur les produits'!$A$3:$H$10000,8,FALSE),"0")</f>
        <v>0</v>
      </c>
      <c r="K1827" s="4"/>
      <c r="L1827" s="33" t="str">
        <f>IFERROR(VLOOKUP($J1827,'Informations sur les produits'!$A$3:$H$10000,8,FALSE),"0")</f>
        <v>0</v>
      </c>
      <c r="N1827" s="8"/>
      <c r="O1827" s="33" t="str">
        <f>IFERROR(VLOOKUP($M1827,'Informations sur les produits'!$A$3:$H$10000,8,FALSE),"0")</f>
        <v>0</v>
      </c>
      <c r="P1827" s="33">
        <f t="shared" si="112"/>
        <v>0</v>
      </c>
      <c r="Q1827" s="31" t="str">
        <f t="shared" si="113"/>
        <v/>
      </c>
      <c r="R1827" s="32" t="str">
        <f>IFERROR(VLOOKUP($D1827,'Informations sur les produits'!$A$3:$B$15000,2,FALSE),"")</f>
        <v/>
      </c>
      <c r="V1827">
        <f t="shared" si="114"/>
        <v>0</v>
      </c>
      <c r="W1827">
        <f t="shared" si="115"/>
        <v>0</v>
      </c>
    </row>
    <row r="1828" spans="5:23" x14ac:dyDescent="0.25">
      <c r="E1828" s="4"/>
      <c r="F1828" s="4"/>
      <c r="G1828" s="33" t="str">
        <f>IFERROR(VLOOKUP($D1828,'Informations sur les produits'!$A$3:$H$10000,8,FALSE),"0")</f>
        <v>0</v>
      </c>
      <c r="K1828" s="4"/>
      <c r="L1828" s="33" t="str">
        <f>IFERROR(VLOOKUP($J1828,'Informations sur les produits'!$A$3:$H$10000,8,FALSE),"0")</f>
        <v>0</v>
      </c>
      <c r="N1828" s="8"/>
      <c r="O1828" s="33" t="str">
        <f>IFERROR(VLOOKUP($M1828,'Informations sur les produits'!$A$3:$H$10000,8,FALSE),"0")</f>
        <v>0</v>
      </c>
      <c r="P1828" s="33">
        <f t="shared" si="112"/>
        <v>0</v>
      </c>
      <c r="Q1828" s="31" t="str">
        <f t="shared" si="113"/>
        <v/>
      </c>
      <c r="R1828" s="32" t="str">
        <f>IFERROR(VLOOKUP($D1828,'Informations sur les produits'!$A$3:$B$15000,2,FALSE),"")</f>
        <v/>
      </c>
      <c r="V1828">
        <f t="shared" si="114"/>
        <v>0</v>
      </c>
      <c r="W1828">
        <f t="shared" si="115"/>
        <v>0</v>
      </c>
    </row>
    <row r="1829" spans="5:23" x14ac:dyDescent="0.25">
      <c r="E1829" s="4"/>
      <c r="F1829" s="4"/>
      <c r="G1829" s="33" t="str">
        <f>IFERROR(VLOOKUP($D1829,'Informations sur les produits'!$A$3:$H$10000,8,FALSE),"0")</f>
        <v>0</v>
      </c>
      <c r="K1829" s="4"/>
      <c r="L1829" s="33" t="str">
        <f>IFERROR(VLOOKUP($J1829,'Informations sur les produits'!$A$3:$H$10000,8,FALSE),"0")</f>
        <v>0</v>
      </c>
      <c r="N1829" s="8"/>
      <c r="O1829" s="33" t="str">
        <f>IFERROR(VLOOKUP($M1829,'Informations sur les produits'!$A$3:$H$10000,8,FALSE),"0")</f>
        <v>0</v>
      </c>
      <c r="P1829" s="33">
        <f t="shared" si="112"/>
        <v>0</v>
      </c>
      <c r="Q1829" s="31" t="str">
        <f t="shared" si="113"/>
        <v/>
      </c>
      <c r="R1829" s="32" t="str">
        <f>IFERROR(VLOOKUP($D1829,'Informations sur les produits'!$A$3:$B$15000,2,FALSE),"")</f>
        <v/>
      </c>
      <c r="V1829">
        <f t="shared" si="114"/>
        <v>0</v>
      </c>
      <c r="W1829">
        <f t="shared" si="115"/>
        <v>0</v>
      </c>
    </row>
    <row r="1830" spans="5:23" x14ac:dyDescent="0.25">
      <c r="E1830" s="4"/>
      <c r="F1830" s="4"/>
      <c r="G1830" s="33" t="str">
        <f>IFERROR(VLOOKUP($D1830,'Informations sur les produits'!$A$3:$H$10000,8,FALSE),"0")</f>
        <v>0</v>
      </c>
      <c r="K1830" s="4"/>
      <c r="L1830" s="33" t="str">
        <f>IFERROR(VLOOKUP($J1830,'Informations sur les produits'!$A$3:$H$10000,8,FALSE),"0")</f>
        <v>0</v>
      </c>
      <c r="N1830" s="8"/>
      <c r="O1830" s="33" t="str">
        <f>IFERROR(VLOOKUP($M1830,'Informations sur les produits'!$A$3:$H$10000,8,FALSE),"0")</f>
        <v>0</v>
      </c>
      <c r="P1830" s="33">
        <f t="shared" si="112"/>
        <v>0</v>
      </c>
      <c r="Q1830" s="31" t="str">
        <f t="shared" si="113"/>
        <v/>
      </c>
      <c r="R1830" s="32" t="str">
        <f>IFERROR(VLOOKUP($D1830,'Informations sur les produits'!$A$3:$B$15000,2,FALSE),"")</f>
        <v/>
      </c>
      <c r="V1830">
        <f t="shared" si="114"/>
        <v>0</v>
      </c>
      <c r="W1830">
        <f t="shared" si="115"/>
        <v>0</v>
      </c>
    </row>
    <row r="1831" spans="5:23" x14ac:dyDescent="0.25">
      <c r="E1831" s="4"/>
      <c r="F1831" s="4"/>
      <c r="G1831" s="33" t="str">
        <f>IFERROR(VLOOKUP($D1831,'Informations sur les produits'!$A$3:$H$10000,8,FALSE),"0")</f>
        <v>0</v>
      </c>
      <c r="K1831" s="4"/>
      <c r="L1831" s="33" t="str">
        <f>IFERROR(VLOOKUP($J1831,'Informations sur les produits'!$A$3:$H$10000,8,FALSE),"0")</f>
        <v>0</v>
      </c>
      <c r="N1831" s="8"/>
      <c r="O1831" s="33" t="str">
        <f>IFERROR(VLOOKUP($M1831,'Informations sur les produits'!$A$3:$H$10000,8,FALSE),"0")</f>
        <v>0</v>
      </c>
      <c r="P1831" s="33">
        <f t="shared" si="112"/>
        <v>0</v>
      </c>
      <c r="Q1831" s="31" t="str">
        <f t="shared" si="113"/>
        <v/>
      </c>
      <c r="R1831" s="32" t="str">
        <f>IFERROR(VLOOKUP($D1831,'Informations sur les produits'!$A$3:$B$15000,2,FALSE),"")</f>
        <v/>
      </c>
      <c r="V1831">
        <f t="shared" si="114"/>
        <v>0</v>
      </c>
      <c r="W1831">
        <f t="shared" si="115"/>
        <v>0</v>
      </c>
    </row>
    <row r="1832" spans="5:23" x14ac:dyDescent="0.25">
      <c r="E1832" s="4"/>
      <c r="F1832" s="4"/>
      <c r="G1832" s="33" t="str">
        <f>IFERROR(VLOOKUP($D1832,'Informations sur les produits'!$A$3:$H$10000,8,FALSE),"0")</f>
        <v>0</v>
      </c>
      <c r="K1832" s="4"/>
      <c r="L1832" s="33" t="str">
        <f>IFERROR(VLOOKUP($J1832,'Informations sur les produits'!$A$3:$H$10000,8,FALSE),"0")</f>
        <v>0</v>
      </c>
      <c r="N1832" s="8"/>
      <c r="O1832" s="33" t="str">
        <f>IFERROR(VLOOKUP($M1832,'Informations sur les produits'!$A$3:$H$10000,8,FALSE),"0")</f>
        <v>0</v>
      </c>
      <c r="P1832" s="33">
        <f t="shared" si="112"/>
        <v>0</v>
      </c>
      <c r="Q1832" s="31" t="str">
        <f t="shared" si="113"/>
        <v/>
      </c>
      <c r="R1832" s="32" t="str">
        <f>IFERROR(VLOOKUP($D1832,'Informations sur les produits'!$A$3:$B$15000,2,FALSE),"")</f>
        <v/>
      </c>
      <c r="V1832">
        <f t="shared" si="114"/>
        <v>0</v>
      </c>
      <c r="W1832">
        <f t="shared" si="115"/>
        <v>0</v>
      </c>
    </row>
    <row r="1833" spans="5:23" x14ac:dyDescent="0.25">
      <c r="E1833" s="4"/>
      <c r="F1833" s="4"/>
      <c r="G1833" s="33" t="str">
        <f>IFERROR(VLOOKUP($D1833,'Informations sur les produits'!$A$3:$H$10000,8,FALSE),"0")</f>
        <v>0</v>
      </c>
      <c r="K1833" s="4"/>
      <c r="L1833" s="33" t="str">
        <f>IFERROR(VLOOKUP($J1833,'Informations sur les produits'!$A$3:$H$10000,8,FALSE),"0")</f>
        <v>0</v>
      </c>
      <c r="N1833" s="8"/>
      <c r="O1833" s="33" t="str">
        <f>IFERROR(VLOOKUP($M1833,'Informations sur les produits'!$A$3:$H$10000,8,FALSE),"0")</f>
        <v>0</v>
      </c>
      <c r="P1833" s="33">
        <f t="shared" si="112"/>
        <v>0</v>
      </c>
      <c r="Q1833" s="31" t="str">
        <f t="shared" si="113"/>
        <v/>
      </c>
      <c r="R1833" s="32" t="str">
        <f>IFERROR(VLOOKUP($D1833,'Informations sur les produits'!$A$3:$B$15000,2,FALSE),"")</f>
        <v/>
      </c>
      <c r="V1833">
        <f t="shared" si="114"/>
        <v>0</v>
      </c>
      <c r="W1833">
        <f t="shared" si="115"/>
        <v>0</v>
      </c>
    </row>
    <row r="1834" spans="5:23" x14ac:dyDescent="0.25">
      <c r="E1834" s="4"/>
      <c r="F1834" s="4"/>
      <c r="G1834" s="33" t="str">
        <f>IFERROR(VLOOKUP($D1834,'Informations sur les produits'!$A$3:$H$10000,8,FALSE),"0")</f>
        <v>0</v>
      </c>
      <c r="K1834" s="4"/>
      <c r="L1834" s="33" t="str">
        <f>IFERROR(VLOOKUP($J1834,'Informations sur les produits'!$A$3:$H$10000,8,FALSE),"0")</f>
        <v>0</v>
      </c>
      <c r="N1834" s="8"/>
      <c r="O1834" s="33" t="str">
        <f>IFERROR(VLOOKUP($M1834,'Informations sur les produits'!$A$3:$H$10000,8,FALSE),"0")</f>
        <v>0</v>
      </c>
      <c r="P1834" s="33">
        <f t="shared" si="112"/>
        <v>0</v>
      </c>
      <c r="Q1834" s="31" t="str">
        <f t="shared" si="113"/>
        <v/>
      </c>
      <c r="R1834" s="32" t="str">
        <f>IFERROR(VLOOKUP($D1834,'Informations sur les produits'!$A$3:$B$15000,2,FALSE),"")</f>
        <v/>
      </c>
      <c r="V1834">
        <f t="shared" si="114"/>
        <v>0</v>
      </c>
      <c r="W1834">
        <f t="shared" si="115"/>
        <v>0</v>
      </c>
    </row>
    <row r="1835" spans="5:23" x14ac:dyDescent="0.25">
      <c r="E1835" s="4"/>
      <c r="F1835" s="4"/>
      <c r="G1835" s="33" t="str">
        <f>IFERROR(VLOOKUP($D1835,'Informations sur les produits'!$A$3:$H$10000,8,FALSE),"0")</f>
        <v>0</v>
      </c>
      <c r="K1835" s="4"/>
      <c r="L1835" s="33" t="str">
        <f>IFERROR(VLOOKUP($J1835,'Informations sur les produits'!$A$3:$H$10000,8,FALSE),"0")</f>
        <v>0</v>
      </c>
      <c r="N1835" s="8"/>
      <c r="O1835" s="33" t="str">
        <f>IFERROR(VLOOKUP($M1835,'Informations sur les produits'!$A$3:$H$10000,8,FALSE),"0")</f>
        <v>0</v>
      </c>
      <c r="P1835" s="33">
        <f t="shared" si="112"/>
        <v>0</v>
      </c>
      <c r="Q1835" s="31" t="str">
        <f t="shared" si="113"/>
        <v/>
      </c>
      <c r="R1835" s="32" t="str">
        <f>IFERROR(VLOOKUP($D1835,'Informations sur les produits'!$A$3:$B$15000,2,FALSE),"")</f>
        <v/>
      </c>
      <c r="V1835">
        <f t="shared" si="114"/>
        <v>0</v>
      </c>
      <c r="W1835">
        <f t="shared" si="115"/>
        <v>0</v>
      </c>
    </row>
    <row r="1836" spans="5:23" x14ac:dyDescent="0.25">
      <c r="E1836" s="4"/>
      <c r="F1836" s="4"/>
      <c r="G1836" s="33" t="str">
        <f>IFERROR(VLOOKUP($D1836,'Informations sur les produits'!$A$3:$H$10000,8,FALSE),"0")</f>
        <v>0</v>
      </c>
      <c r="K1836" s="4"/>
      <c r="L1836" s="33" t="str">
        <f>IFERROR(VLOOKUP($J1836,'Informations sur les produits'!$A$3:$H$10000,8,FALSE),"0")</f>
        <v>0</v>
      </c>
      <c r="N1836" s="8"/>
      <c r="O1836" s="33" t="str">
        <f>IFERROR(VLOOKUP($M1836,'Informations sur les produits'!$A$3:$H$10000,8,FALSE),"0")</f>
        <v>0</v>
      </c>
      <c r="P1836" s="33">
        <f t="shared" si="112"/>
        <v>0</v>
      </c>
      <c r="Q1836" s="31" t="str">
        <f t="shared" si="113"/>
        <v/>
      </c>
      <c r="R1836" s="32" t="str">
        <f>IFERROR(VLOOKUP($D1836,'Informations sur les produits'!$A$3:$B$15000,2,FALSE),"")</f>
        <v/>
      </c>
      <c r="V1836">
        <f t="shared" si="114"/>
        <v>0</v>
      </c>
      <c r="W1836">
        <f t="shared" si="115"/>
        <v>0</v>
      </c>
    </row>
    <row r="1837" spans="5:23" x14ac:dyDescent="0.25">
      <c r="E1837" s="4"/>
      <c r="F1837" s="4"/>
      <c r="G1837" s="33" t="str">
        <f>IFERROR(VLOOKUP($D1837,'Informations sur les produits'!$A$3:$H$10000,8,FALSE),"0")</f>
        <v>0</v>
      </c>
      <c r="K1837" s="4"/>
      <c r="L1837" s="33" t="str">
        <f>IFERROR(VLOOKUP($J1837,'Informations sur les produits'!$A$3:$H$10000,8,FALSE),"0")</f>
        <v>0</v>
      </c>
      <c r="N1837" s="8"/>
      <c r="O1837" s="33" t="str">
        <f>IFERROR(VLOOKUP($M1837,'Informations sur les produits'!$A$3:$H$10000,8,FALSE),"0")</f>
        <v>0</v>
      </c>
      <c r="P1837" s="33">
        <f t="shared" si="112"/>
        <v>0</v>
      </c>
      <c r="Q1837" s="31" t="str">
        <f t="shared" si="113"/>
        <v/>
      </c>
      <c r="R1837" s="32" t="str">
        <f>IFERROR(VLOOKUP($D1837,'Informations sur les produits'!$A$3:$B$15000,2,FALSE),"")</f>
        <v/>
      </c>
      <c r="V1837">
        <f t="shared" si="114"/>
        <v>0</v>
      </c>
      <c r="W1837">
        <f t="shared" si="115"/>
        <v>0</v>
      </c>
    </row>
    <row r="1838" spans="5:23" x14ac:dyDescent="0.25">
      <c r="E1838" s="4"/>
      <c r="F1838" s="4"/>
      <c r="G1838" s="33" t="str">
        <f>IFERROR(VLOOKUP($D1838,'Informations sur les produits'!$A$3:$H$10000,8,FALSE),"0")</f>
        <v>0</v>
      </c>
      <c r="K1838" s="4"/>
      <c r="L1838" s="33" t="str">
        <f>IFERROR(VLOOKUP($J1838,'Informations sur les produits'!$A$3:$H$10000,8,FALSE),"0")</f>
        <v>0</v>
      </c>
      <c r="N1838" s="8"/>
      <c r="O1838" s="33" t="str">
        <f>IFERROR(VLOOKUP($M1838,'Informations sur les produits'!$A$3:$H$10000,8,FALSE),"0")</f>
        <v>0</v>
      </c>
      <c r="P1838" s="33">
        <f t="shared" si="112"/>
        <v>0</v>
      </c>
      <c r="Q1838" s="31" t="str">
        <f t="shared" si="113"/>
        <v/>
      </c>
      <c r="R1838" s="32" t="str">
        <f>IFERROR(VLOOKUP($D1838,'Informations sur les produits'!$A$3:$B$15000,2,FALSE),"")</f>
        <v/>
      </c>
      <c r="V1838">
        <f t="shared" si="114"/>
        <v>0</v>
      </c>
      <c r="W1838">
        <f t="shared" si="115"/>
        <v>0</v>
      </c>
    </row>
    <row r="1839" spans="5:23" x14ac:dyDescent="0.25">
      <c r="E1839" s="4"/>
      <c r="F1839" s="4"/>
      <c r="G1839" s="33" t="str">
        <f>IFERROR(VLOOKUP($D1839,'Informations sur les produits'!$A$3:$H$10000,8,FALSE),"0")</f>
        <v>0</v>
      </c>
      <c r="K1839" s="4"/>
      <c r="L1839" s="33" t="str">
        <f>IFERROR(VLOOKUP($J1839,'Informations sur les produits'!$A$3:$H$10000,8,FALSE),"0")</f>
        <v>0</v>
      </c>
      <c r="N1839" s="8"/>
      <c r="O1839" s="33" t="str">
        <f>IFERROR(VLOOKUP($M1839,'Informations sur les produits'!$A$3:$H$10000,8,FALSE),"0")</f>
        <v>0</v>
      </c>
      <c r="P1839" s="33">
        <f t="shared" si="112"/>
        <v>0</v>
      </c>
      <c r="Q1839" s="31" t="str">
        <f t="shared" si="113"/>
        <v/>
      </c>
      <c r="R1839" s="32" t="str">
        <f>IFERROR(VLOOKUP($D1839,'Informations sur les produits'!$A$3:$B$15000,2,FALSE),"")</f>
        <v/>
      </c>
      <c r="V1839">
        <f t="shared" si="114"/>
        <v>0</v>
      </c>
      <c r="W1839">
        <f t="shared" si="115"/>
        <v>0</v>
      </c>
    </row>
    <row r="1840" spans="5:23" x14ac:dyDescent="0.25">
      <c r="E1840" s="4"/>
      <c r="F1840" s="4"/>
      <c r="G1840" s="33" t="str">
        <f>IFERROR(VLOOKUP($D1840,'Informations sur les produits'!$A$3:$H$10000,8,FALSE),"0")</f>
        <v>0</v>
      </c>
      <c r="K1840" s="4"/>
      <c r="L1840" s="33" t="str">
        <f>IFERROR(VLOOKUP($J1840,'Informations sur les produits'!$A$3:$H$10000,8,FALSE),"0")</f>
        <v>0</v>
      </c>
      <c r="N1840" s="8"/>
      <c r="O1840" s="33" t="str">
        <f>IFERROR(VLOOKUP($M1840,'Informations sur les produits'!$A$3:$H$10000,8,FALSE),"0")</f>
        <v>0</v>
      </c>
      <c r="P1840" s="33">
        <f t="shared" si="112"/>
        <v>0</v>
      </c>
      <c r="Q1840" s="31" t="str">
        <f t="shared" si="113"/>
        <v/>
      </c>
      <c r="R1840" s="32" t="str">
        <f>IFERROR(VLOOKUP($D1840,'Informations sur les produits'!$A$3:$B$15000,2,FALSE),"")</f>
        <v/>
      </c>
      <c r="V1840">
        <f t="shared" si="114"/>
        <v>0</v>
      </c>
      <c r="W1840">
        <f t="shared" si="115"/>
        <v>0</v>
      </c>
    </row>
    <row r="1841" spans="5:23" x14ac:dyDescent="0.25">
      <c r="E1841" s="4"/>
      <c r="F1841" s="4"/>
      <c r="G1841" s="33" t="str">
        <f>IFERROR(VLOOKUP($D1841,'Informations sur les produits'!$A$3:$H$10000,8,FALSE),"0")</f>
        <v>0</v>
      </c>
      <c r="K1841" s="4"/>
      <c r="L1841" s="33" t="str">
        <f>IFERROR(VLOOKUP($J1841,'Informations sur les produits'!$A$3:$H$10000,8,FALSE),"0")</f>
        <v>0</v>
      </c>
      <c r="N1841" s="8"/>
      <c r="O1841" s="33" t="str">
        <f>IFERROR(VLOOKUP($M1841,'Informations sur les produits'!$A$3:$H$10000,8,FALSE),"0")</f>
        <v>0</v>
      </c>
      <c r="P1841" s="33">
        <f t="shared" si="112"/>
        <v>0</v>
      </c>
      <c r="Q1841" s="31" t="str">
        <f t="shared" si="113"/>
        <v/>
      </c>
      <c r="R1841" s="32" t="str">
        <f>IFERROR(VLOOKUP($D1841,'Informations sur les produits'!$A$3:$B$15000,2,FALSE),"")</f>
        <v/>
      </c>
      <c r="V1841">
        <f t="shared" si="114"/>
        <v>0</v>
      </c>
      <c r="W1841">
        <f t="shared" si="115"/>
        <v>0</v>
      </c>
    </row>
    <row r="1842" spans="5:23" x14ac:dyDescent="0.25">
      <c r="E1842" s="4"/>
      <c r="F1842" s="4"/>
      <c r="G1842" s="33" t="str">
        <f>IFERROR(VLOOKUP($D1842,'Informations sur les produits'!$A$3:$H$10000,8,FALSE),"0")</f>
        <v>0</v>
      </c>
      <c r="K1842" s="4"/>
      <c r="L1842" s="33" t="str">
        <f>IFERROR(VLOOKUP($J1842,'Informations sur les produits'!$A$3:$H$10000,8,FALSE),"0")</f>
        <v>0</v>
      </c>
      <c r="N1842" s="8"/>
      <c r="O1842" s="33" t="str">
        <f>IFERROR(VLOOKUP($M1842,'Informations sur les produits'!$A$3:$H$10000,8,FALSE),"0")</f>
        <v>0</v>
      </c>
      <c r="P1842" s="33">
        <f t="shared" si="112"/>
        <v>0</v>
      </c>
      <c r="Q1842" s="31" t="str">
        <f t="shared" si="113"/>
        <v/>
      </c>
      <c r="R1842" s="32" t="str">
        <f>IFERROR(VLOOKUP($D1842,'Informations sur les produits'!$A$3:$B$15000,2,FALSE),"")</f>
        <v/>
      </c>
      <c r="V1842">
        <f t="shared" si="114"/>
        <v>0</v>
      </c>
      <c r="W1842">
        <f t="shared" si="115"/>
        <v>0</v>
      </c>
    </row>
    <row r="1843" spans="5:23" x14ac:dyDescent="0.25">
      <c r="E1843" s="4"/>
      <c r="F1843" s="4"/>
      <c r="G1843" s="33" t="str">
        <f>IFERROR(VLOOKUP($D1843,'Informations sur les produits'!$A$3:$H$10000,8,FALSE),"0")</f>
        <v>0</v>
      </c>
      <c r="K1843" s="4"/>
      <c r="L1843" s="33" t="str">
        <f>IFERROR(VLOOKUP($J1843,'Informations sur les produits'!$A$3:$H$10000,8,FALSE),"0")</f>
        <v>0</v>
      </c>
      <c r="N1843" s="8"/>
      <c r="O1843" s="33" t="str">
        <f>IFERROR(VLOOKUP($M1843,'Informations sur les produits'!$A$3:$H$10000,8,FALSE),"0")</f>
        <v>0</v>
      </c>
      <c r="P1843" s="33">
        <f t="shared" si="112"/>
        <v>0</v>
      </c>
      <c r="Q1843" s="31" t="str">
        <f t="shared" si="113"/>
        <v/>
      </c>
      <c r="R1843" s="32" t="str">
        <f>IFERROR(VLOOKUP($D1843,'Informations sur les produits'!$A$3:$B$15000,2,FALSE),"")</f>
        <v/>
      </c>
      <c r="V1843">
        <f t="shared" si="114"/>
        <v>0</v>
      </c>
      <c r="W1843">
        <f t="shared" si="115"/>
        <v>0</v>
      </c>
    </row>
    <row r="1844" spans="5:23" x14ac:dyDescent="0.25">
      <c r="E1844" s="4"/>
      <c r="F1844" s="4"/>
      <c r="G1844" s="33" t="str">
        <f>IFERROR(VLOOKUP($D1844,'Informations sur les produits'!$A$3:$H$10000,8,FALSE),"0")</f>
        <v>0</v>
      </c>
      <c r="K1844" s="4"/>
      <c r="L1844" s="33" t="str">
        <f>IFERROR(VLOOKUP($J1844,'Informations sur les produits'!$A$3:$H$10000,8,FALSE),"0")</f>
        <v>0</v>
      </c>
      <c r="N1844" s="8"/>
      <c r="O1844" s="33" t="str">
        <f>IFERROR(VLOOKUP($M1844,'Informations sur les produits'!$A$3:$H$10000,8,FALSE),"0")</f>
        <v>0</v>
      </c>
      <c r="P1844" s="33">
        <f t="shared" si="112"/>
        <v>0</v>
      </c>
      <c r="Q1844" s="31" t="str">
        <f t="shared" si="113"/>
        <v/>
      </c>
      <c r="R1844" s="32" t="str">
        <f>IFERROR(VLOOKUP($D1844,'Informations sur les produits'!$A$3:$B$15000,2,FALSE),"")</f>
        <v/>
      </c>
      <c r="V1844">
        <f t="shared" si="114"/>
        <v>0</v>
      </c>
      <c r="W1844">
        <f t="shared" si="115"/>
        <v>0</v>
      </c>
    </row>
    <row r="1845" spans="5:23" x14ac:dyDescent="0.25">
      <c r="E1845" s="4"/>
      <c r="F1845" s="4"/>
      <c r="G1845" s="33" t="str">
        <f>IFERROR(VLOOKUP($D1845,'Informations sur les produits'!$A$3:$H$10000,8,FALSE),"0")</f>
        <v>0</v>
      </c>
      <c r="K1845" s="4"/>
      <c r="L1845" s="33" t="str">
        <f>IFERROR(VLOOKUP($J1845,'Informations sur les produits'!$A$3:$H$10000,8,FALSE),"0")</f>
        <v>0</v>
      </c>
      <c r="N1845" s="8"/>
      <c r="O1845" s="33" t="str">
        <f>IFERROR(VLOOKUP($M1845,'Informations sur les produits'!$A$3:$H$10000,8,FALSE),"0")</f>
        <v>0</v>
      </c>
      <c r="P1845" s="33">
        <f t="shared" si="112"/>
        <v>0</v>
      </c>
      <c r="Q1845" s="31" t="str">
        <f t="shared" si="113"/>
        <v/>
      </c>
      <c r="R1845" s="32" t="str">
        <f>IFERROR(VLOOKUP($D1845,'Informations sur les produits'!$A$3:$B$15000,2,FALSE),"")</f>
        <v/>
      </c>
      <c r="V1845">
        <f t="shared" si="114"/>
        <v>0</v>
      </c>
      <c r="W1845">
        <f t="shared" si="115"/>
        <v>0</v>
      </c>
    </row>
    <row r="1846" spans="5:23" x14ac:dyDescent="0.25">
      <c r="E1846" s="4"/>
      <c r="F1846" s="4"/>
      <c r="G1846" s="33" t="str">
        <f>IFERROR(VLOOKUP($D1846,'Informations sur les produits'!$A$3:$H$10000,8,FALSE),"0")</f>
        <v>0</v>
      </c>
      <c r="K1846" s="4"/>
      <c r="L1846" s="33" t="str">
        <f>IFERROR(VLOOKUP($J1846,'Informations sur les produits'!$A$3:$H$10000,8,FALSE),"0")</f>
        <v>0</v>
      </c>
      <c r="N1846" s="8"/>
      <c r="O1846" s="33" t="str">
        <f>IFERROR(VLOOKUP($M1846,'Informations sur les produits'!$A$3:$H$10000,8,FALSE),"0")</f>
        <v>0</v>
      </c>
      <c r="P1846" s="33">
        <f t="shared" si="112"/>
        <v>0</v>
      </c>
      <c r="Q1846" s="31" t="str">
        <f t="shared" si="113"/>
        <v/>
      </c>
      <c r="R1846" s="32" t="str">
        <f>IFERROR(VLOOKUP($D1846,'Informations sur les produits'!$A$3:$B$15000,2,FALSE),"")</f>
        <v/>
      </c>
      <c r="V1846">
        <f t="shared" si="114"/>
        <v>0</v>
      </c>
      <c r="W1846">
        <f t="shared" si="115"/>
        <v>0</v>
      </c>
    </row>
    <row r="1847" spans="5:23" x14ac:dyDescent="0.25">
      <c r="E1847" s="4"/>
      <c r="F1847" s="4"/>
      <c r="G1847" s="33" t="str">
        <f>IFERROR(VLOOKUP($D1847,'Informations sur les produits'!$A$3:$H$10000,8,FALSE),"0")</f>
        <v>0</v>
      </c>
      <c r="K1847" s="4"/>
      <c r="L1847" s="33" t="str">
        <f>IFERROR(VLOOKUP($J1847,'Informations sur les produits'!$A$3:$H$10000,8,FALSE),"0")</f>
        <v>0</v>
      </c>
      <c r="N1847" s="8"/>
      <c r="O1847" s="33" t="str">
        <f>IFERROR(VLOOKUP($M1847,'Informations sur les produits'!$A$3:$H$10000,8,FALSE),"0")</f>
        <v>0</v>
      </c>
      <c r="P1847" s="33">
        <f t="shared" si="112"/>
        <v>0</v>
      </c>
      <c r="Q1847" s="31" t="str">
        <f t="shared" si="113"/>
        <v/>
      </c>
      <c r="R1847" s="32" t="str">
        <f>IFERROR(VLOOKUP($D1847,'Informations sur les produits'!$A$3:$B$15000,2,FALSE),"")</f>
        <v/>
      </c>
      <c r="V1847">
        <f t="shared" si="114"/>
        <v>0</v>
      </c>
      <c r="W1847">
        <f t="shared" si="115"/>
        <v>0</v>
      </c>
    </row>
    <row r="1848" spans="5:23" x14ac:dyDescent="0.25">
      <c r="E1848" s="4"/>
      <c r="F1848" s="4"/>
      <c r="G1848" s="33" t="str">
        <f>IFERROR(VLOOKUP($D1848,'Informations sur les produits'!$A$3:$H$10000,8,FALSE),"0")</f>
        <v>0</v>
      </c>
      <c r="K1848" s="4"/>
      <c r="L1848" s="33" t="str">
        <f>IFERROR(VLOOKUP($J1848,'Informations sur les produits'!$A$3:$H$10000,8,FALSE),"0")</f>
        <v>0</v>
      </c>
      <c r="N1848" s="8"/>
      <c r="O1848" s="33" t="str">
        <f>IFERROR(VLOOKUP($M1848,'Informations sur les produits'!$A$3:$H$10000,8,FALSE),"0")</f>
        <v>0</v>
      </c>
      <c r="P1848" s="33">
        <f t="shared" si="112"/>
        <v>0</v>
      </c>
      <c r="Q1848" s="31" t="str">
        <f t="shared" si="113"/>
        <v/>
      </c>
      <c r="R1848" s="32" t="str">
        <f>IFERROR(VLOOKUP($D1848,'Informations sur les produits'!$A$3:$B$15000,2,FALSE),"")</f>
        <v/>
      </c>
      <c r="V1848">
        <f t="shared" si="114"/>
        <v>0</v>
      </c>
      <c r="W1848">
        <f t="shared" si="115"/>
        <v>0</v>
      </c>
    </row>
    <row r="1849" spans="5:23" x14ac:dyDescent="0.25">
      <c r="E1849" s="4"/>
      <c r="F1849" s="4"/>
      <c r="G1849" s="33" t="str">
        <f>IFERROR(VLOOKUP($D1849,'Informations sur les produits'!$A$3:$H$10000,8,FALSE),"0")</f>
        <v>0</v>
      </c>
      <c r="K1849" s="4"/>
      <c r="L1849" s="33" t="str">
        <f>IFERROR(VLOOKUP($J1849,'Informations sur les produits'!$A$3:$H$10000,8,FALSE),"0")</f>
        <v>0</v>
      </c>
      <c r="N1849" s="8"/>
      <c r="O1849" s="33" t="str">
        <f>IFERROR(VLOOKUP($M1849,'Informations sur les produits'!$A$3:$H$10000,8,FALSE),"0")</f>
        <v>0</v>
      </c>
      <c r="P1849" s="33">
        <f t="shared" si="112"/>
        <v>0</v>
      </c>
      <c r="Q1849" s="31" t="str">
        <f t="shared" si="113"/>
        <v/>
      </c>
      <c r="R1849" s="32" t="str">
        <f>IFERROR(VLOOKUP($D1849,'Informations sur les produits'!$A$3:$B$15000,2,FALSE),"")</f>
        <v/>
      </c>
      <c r="V1849">
        <f t="shared" si="114"/>
        <v>0</v>
      </c>
      <c r="W1849">
        <f t="shared" si="115"/>
        <v>0</v>
      </c>
    </row>
    <row r="1850" spans="5:23" x14ac:dyDescent="0.25">
      <c r="E1850" s="4"/>
      <c r="F1850" s="4"/>
      <c r="G1850" s="33" t="str">
        <f>IFERROR(VLOOKUP($D1850,'Informations sur les produits'!$A$3:$H$10000,8,FALSE),"0")</f>
        <v>0</v>
      </c>
      <c r="K1850" s="4"/>
      <c r="L1850" s="33" t="str">
        <f>IFERROR(VLOOKUP($J1850,'Informations sur les produits'!$A$3:$H$10000,8,FALSE),"0")</f>
        <v>0</v>
      </c>
      <c r="N1850" s="8"/>
      <c r="O1850" s="33" t="str">
        <f>IFERROR(VLOOKUP($M1850,'Informations sur les produits'!$A$3:$H$10000,8,FALSE),"0")</f>
        <v>0</v>
      </c>
      <c r="P1850" s="33">
        <f t="shared" si="112"/>
        <v>0</v>
      </c>
      <c r="Q1850" s="31" t="str">
        <f t="shared" si="113"/>
        <v/>
      </c>
      <c r="R1850" s="32" t="str">
        <f>IFERROR(VLOOKUP($D1850,'Informations sur les produits'!$A$3:$B$15000,2,FALSE),"")</f>
        <v/>
      </c>
      <c r="V1850">
        <f t="shared" si="114"/>
        <v>0</v>
      </c>
      <c r="W1850">
        <f t="shared" si="115"/>
        <v>0</v>
      </c>
    </row>
    <row r="1851" spans="5:23" x14ac:dyDescent="0.25">
      <c r="E1851" s="4"/>
      <c r="F1851" s="4"/>
      <c r="G1851" s="33" t="str">
        <f>IFERROR(VLOOKUP($D1851,'Informations sur les produits'!$A$3:$H$10000,8,FALSE),"0")</f>
        <v>0</v>
      </c>
      <c r="K1851" s="4"/>
      <c r="L1851" s="33" t="str">
        <f>IFERROR(VLOOKUP($J1851,'Informations sur les produits'!$A$3:$H$10000,8,FALSE),"0")</f>
        <v>0</v>
      </c>
      <c r="N1851" s="8"/>
      <c r="O1851" s="33" t="str">
        <f>IFERROR(VLOOKUP($M1851,'Informations sur les produits'!$A$3:$H$10000,8,FALSE),"0")</f>
        <v>0</v>
      </c>
      <c r="P1851" s="33">
        <f t="shared" si="112"/>
        <v>0</v>
      </c>
      <c r="Q1851" s="31" t="str">
        <f t="shared" si="113"/>
        <v/>
      </c>
      <c r="R1851" s="32" t="str">
        <f>IFERROR(VLOOKUP($D1851,'Informations sur les produits'!$A$3:$B$15000,2,FALSE),"")</f>
        <v/>
      </c>
      <c r="V1851">
        <f t="shared" si="114"/>
        <v>0</v>
      </c>
      <c r="W1851">
        <f t="shared" si="115"/>
        <v>0</v>
      </c>
    </row>
    <row r="1852" spans="5:23" x14ac:dyDescent="0.25">
      <c r="E1852" s="4"/>
      <c r="F1852" s="4"/>
      <c r="G1852" s="33" t="str">
        <f>IFERROR(VLOOKUP($D1852,'Informations sur les produits'!$A$3:$H$10000,8,FALSE),"0")</f>
        <v>0</v>
      </c>
      <c r="K1852" s="4"/>
      <c r="L1852" s="33" t="str">
        <f>IFERROR(VLOOKUP($J1852,'Informations sur les produits'!$A$3:$H$10000,8,FALSE),"0")</f>
        <v>0</v>
      </c>
      <c r="N1852" s="8"/>
      <c r="O1852" s="33" t="str">
        <f>IFERROR(VLOOKUP($M1852,'Informations sur les produits'!$A$3:$H$10000,8,FALSE),"0")</f>
        <v>0</v>
      </c>
      <c r="P1852" s="33">
        <f t="shared" si="112"/>
        <v>0</v>
      </c>
      <c r="Q1852" s="31" t="str">
        <f t="shared" si="113"/>
        <v/>
      </c>
      <c r="R1852" s="32" t="str">
        <f>IFERROR(VLOOKUP($D1852,'Informations sur les produits'!$A$3:$B$15000,2,FALSE),"")</f>
        <v/>
      </c>
      <c r="V1852">
        <f t="shared" si="114"/>
        <v>0</v>
      </c>
      <c r="W1852">
        <f t="shared" si="115"/>
        <v>0</v>
      </c>
    </row>
    <row r="1853" spans="5:23" x14ac:dyDescent="0.25">
      <c r="E1853" s="4"/>
      <c r="F1853" s="4"/>
      <c r="G1853" s="33" t="str">
        <f>IFERROR(VLOOKUP($D1853,'Informations sur les produits'!$A$3:$H$10000,8,FALSE),"0")</f>
        <v>0</v>
      </c>
      <c r="K1853" s="4"/>
      <c r="L1853" s="33" t="str">
        <f>IFERROR(VLOOKUP($J1853,'Informations sur les produits'!$A$3:$H$10000,8,FALSE),"0")</f>
        <v>0</v>
      </c>
      <c r="N1853" s="8"/>
      <c r="O1853" s="33" t="str">
        <f>IFERROR(VLOOKUP($M1853,'Informations sur les produits'!$A$3:$H$10000,8,FALSE),"0")</f>
        <v>0</v>
      </c>
      <c r="P1853" s="33">
        <f t="shared" si="112"/>
        <v>0</v>
      </c>
      <c r="Q1853" s="31" t="str">
        <f t="shared" si="113"/>
        <v/>
      </c>
      <c r="R1853" s="32" t="str">
        <f>IFERROR(VLOOKUP($D1853,'Informations sur les produits'!$A$3:$B$15000,2,FALSE),"")</f>
        <v/>
      </c>
      <c r="V1853">
        <f t="shared" si="114"/>
        <v>0</v>
      </c>
      <c r="W1853">
        <f t="shared" si="115"/>
        <v>0</v>
      </c>
    </row>
    <row r="1854" spans="5:23" x14ac:dyDescent="0.25">
      <c r="E1854" s="4"/>
      <c r="F1854" s="4"/>
      <c r="G1854" s="33" t="str">
        <f>IFERROR(VLOOKUP($D1854,'Informations sur les produits'!$A$3:$H$10000,8,FALSE),"0")</f>
        <v>0</v>
      </c>
      <c r="K1854" s="4"/>
      <c r="L1854" s="33" t="str">
        <f>IFERROR(VLOOKUP($J1854,'Informations sur les produits'!$A$3:$H$10000,8,FALSE),"0")</f>
        <v>0</v>
      </c>
      <c r="N1854" s="8"/>
      <c r="O1854" s="33" t="str">
        <f>IFERROR(VLOOKUP($M1854,'Informations sur les produits'!$A$3:$H$10000,8,FALSE),"0")</f>
        <v>0</v>
      </c>
      <c r="P1854" s="33">
        <f t="shared" si="112"/>
        <v>0</v>
      </c>
      <c r="Q1854" s="31" t="str">
        <f t="shared" si="113"/>
        <v/>
      </c>
      <c r="R1854" s="32" t="str">
        <f>IFERROR(VLOOKUP($D1854,'Informations sur les produits'!$A$3:$B$15000,2,FALSE),"")</f>
        <v/>
      </c>
      <c r="V1854">
        <f t="shared" si="114"/>
        <v>0</v>
      </c>
      <c r="W1854">
        <f t="shared" si="115"/>
        <v>0</v>
      </c>
    </row>
    <row r="1855" spans="5:23" x14ac:dyDescent="0.25">
      <c r="E1855" s="4"/>
      <c r="F1855" s="4"/>
      <c r="G1855" s="33" t="str">
        <f>IFERROR(VLOOKUP($D1855,'Informations sur les produits'!$A$3:$H$10000,8,FALSE),"0")</f>
        <v>0</v>
      </c>
      <c r="K1855" s="4"/>
      <c r="L1855" s="33" t="str">
        <f>IFERROR(VLOOKUP($J1855,'Informations sur les produits'!$A$3:$H$10000,8,FALSE),"0")</f>
        <v>0</v>
      </c>
      <c r="N1855" s="8"/>
      <c r="O1855" s="33" t="str">
        <f>IFERROR(VLOOKUP($M1855,'Informations sur les produits'!$A$3:$H$10000,8,FALSE),"0")</f>
        <v>0</v>
      </c>
      <c r="P1855" s="33">
        <f t="shared" si="112"/>
        <v>0</v>
      </c>
      <c r="Q1855" s="31" t="str">
        <f t="shared" si="113"/>
        <v/>
      </c>
      <c r="R1855" s="32" t="str">
        <f>IFERROR(VLOOKUP($D1855,'Informations sur les produits'!$A$3:$B$15000,2,FALSE),"")</f>
        <v/>
      </c>
      <c r="V1855">
        <f t="shared" si="114"/>
        <v>0</v>
      </c>
      <c r="W1855">
        <f t="shared" si="115"/>
        <v>0</v>
      </c>
    </row>
    <row r="1856" spans="5:23" x14ac:dyDescent="0.25">
      <c r="E1856" s="4"/>
      <c r="F1856" s="4"/>
      <c r="G1856" s="33" t="str">
        <f>IFERROR(VLOOKUP($D1856,'Informations sur les produits'!$A$3:$H$10000,8,FALSE),"0")</f>
        <v>0</v>
      </c>
      <c r="K1856" s="4"/>
      <c r="L1856" s="33" t="str">
        <f>IFERROR(VLOOKUP($J1856,'Informations sur les produits'!$A$3:$H$10000,8,FALSE),"0")</f>
        <v>0</v>
      </c>
      <c r="N1856" s="8"/>
      <c r="O1856" s="33" t="str">
        <f>IFERROR(VLOOKUP($M1856,'Informations sur les produits'!$A$3:$H$10000,8,FALSE),"0")</f>
        <v>0</v>
      </c>
      <c r="P1856" s="33">
        <f t="shared" si="112"/>
        <v>0</v>
      </c>
      <c r="Q1856" s="31" t="str">
        <f t="shared" si="113"/>
        <v/>
      </c>
      <c r="R1856" s="32" t="str">
        <f>IFERROR(VLOOKUP($D1856,'Informations sur les produits'!$A$3:$B$15000,2,FALSE),"")</f>
        <v/>
      </c>
      <c r="V1856">
        <f t="shared" si="114"/>
        <v>0</v>
      </c>
      <c r="W1856">
        <f t="shared" si="115"/>
        <v>0</v>
      </c>
    </row>
    <row r="1857" spans="5:23" x14ac:dyDescent="0.25">
      <c r="E1857" s="4"/>
      <c r="F1857" s="4"/>
      <c r="G1857" s="33" t="str">
        <f>IFERROR(VLOOKUP($D1857,'Informations sur les produits'!$A$3:$H$10000,8,FALSE),"0")</f>
        <v>0</v>
      </c>
      <c r="K1857" s="4"/>
      <c r="L1857" s="33" t="str">
        <f>IFERROR(VLOOKUP($J1857,'Informations sur les produits'!$A$3:$H$10000,8,FALSE),"0")</f>
        <v>0</v>
      </c>
      <c r="N1857" s="8"/>
      <c r="O1857" s="33" t="str">
        <f>IFERROR(VLOOKUP($M1857,'Informations sur les produits'!$A$3:$H$10000,8,FALSE),"0")</f>
        <v>0</v>
      </c>
      <c r="P1857" s="33">
        <f t="shared" si="112"/>
        <v>0</v>
      </c>
      <c r="Q1857" s="31" t="str">
        <f t="shared" si="113"/>
        <v/>
      </c>
      <c r="R1857" s="32" t="str">
        <f>IFERROR(VLOOKUP($D1857,'Informations sur les produits'!$A$3:$B$15000,2,FALSE),"")</f>
        <v/>
      </c>
      <c r="V1857">
        <f t="shared" si="114"/>
        <v>0</v>
      </c>
      <c r="W1857">
        <f t="shared" si="115"/>
        <v>0</v>
      </c>
    </row>
    <row r="1858" spans="5:23" x14ac:dyDescent="0.25">
      <c r="E1858" s="4"/>
      <c r="F1858" s="4"/>
      <c r="G1858" s="33" t="str">
        <f>IFERROR(VLOOKUP($D1858,'Informations sur les produits'!$A$3:$H$10000,8,FALSE),"0")</f>
        <v>0</v>
      </c>
      <c r="K1858" s="4"/>
      <c r="L1858" s="33" t="str">
        <f>IFERROR(VLOOKUP($J1858,'Informations sur les produits'!$A$3:$H$10000,8,FALSE),"0")</f>
        <v>0</v>
      </c>
      <c r="N1858" s="8"/>
      <c r="O1858" s="33" t="str">
        <f>IFERROR(VLOOKUP($M1858,'Informations sur les produits'!$A$3:$H$10000,8,FALSE),"0")</f>
        <v>0</v>
      </c>
      <c r="P1858" s="33">
        <f t="shared" si="112"/>
        <v>0</v>
      </c>
      <c r="Q1858" s="31" t="str">
        <f t="shared" si="113"/>
        <v/>
      </c>
      <c r="R1858" s="32" t="str">
        <f>IFERROR(VLOOKUP($D1858,'Informations sur les produits'!$A$3:$B$15000,2,FALSE),"")</f>
        <v/>
      </c>
      <c r="V1858">
        <f t="shared" si="114"/>
        <v>0</v>
      </c>
      <c r="W1858">
        <f t="shared" si="115"/>
        <v>0</v>
      </c>
    </row>
    <row r="1859" spans="5:23" x14ac:dyDescent="0.25">
      <c r="E1859" s="4"/>
      <c r="F1859" s="4"/>
      <c r="G1859" s="33" t="str">
        <f>IFERROR(VLOOKUP($D1859,'Informations sur les produits'!$A$3:$H$10000,8,FALSE),"0")</f>
        <v>0</v>
      </c>
      <c r="K1859" s="4"/>
      <c r="L1859" s="33" t="str">
        <f>IFERROR(VLOOKUP($J1859,'Informations sur les produits'!$A$3:$H$10000,8,FALSE),"0")</f>
        <v>0</v>
      </c>
      <c r="N1859" s="8"/>
      <c r="O1859" s="33" t="str">
        <f>IFERROR(VLOOKUP($M1859,'Informations sur les produits'!$A$3:$H$10000,8,FALSE),"0")</f>
        <v>0</v>
      </c>
      <c r="P1859" s="33">
        <f t="shared" si="112"/>
        <v>0</v>
      </c>
      <c r="Q1859" s="31" t="str">
        <f t="shared" si="113"/>
        <v/>
      </c>
      <c r="R1859" s="32" t="str">
        <f>IFERROR(VLOOKUP($D1859,'Informations sur les produits'!$A$3:$B$15000,2,FALSE),"")</f>
        <v/>
      </c>
      <c r="V1859">
        <f t="shared" si="114"/>
        <v>0</v>
      </c>
      <c r="W1859">
        <f t="shared" si="115"/>
        <v>0</v>
      </c>
    </row>
    <row r="1860" spans="5:23" x14ac:dyDescent="0.25">
      <c r="E1860" s="4"/>
      <c r="F1860" s="4"/>
      <c r="G1860" s="33" t="str">
        <f>IFERROR(VLOOKUP($D1860,'Informations sur les produits'!$A$3:$H$10000,8,FALSE),"0")</f>
        <v>0</v>
      </c>
      <c r="K1860" s="4"/>
      <c r="L1860" s="33" t="str">
        <f>IFERROR(VLOOKUP($J1860,'Informations sur les produits'!$A$3:$H$10000,8,FALSE),"0")</f>
        <v>0</v>
      </c>
      <c r="N1860" s="8"/>
      <c r="O1860" s="33" t="str">
        <f>IFERROR(VLOOKUP($M1860,'Informations sur les produits'!$A$3:$H$10000,8,FALSE),"0")</f>
        <v>0</v>
      </c>
      <c r="P1860" s="33">
        <f t="shared" ref="P1860:P1923" si="116">IFERROR((($E1860-$F1860)*$G1860+$K1860*$L1860+$N1860*$O1860),"")</f>
        <v>0</v>
      </c>
      <c r="Q1860" s="31" t="str">
        <f t="shared" ref="Q1860:Q1923" si="117">IFERROR((((($E1860-$F1860)*$G1860+$K1860*$L1860+$N1860*$O1860)*1000)/(($E1860-$F1860)+$K1860+$N1860)),"")</f>
        <v/>
      </c>
      <c r="R1860" s="32" t="str">
        <f>IFERROR(VLOOKUP($D1860,'Informations sur les produits'!$A$3:$B$15000,2,FALSE),"")</f>
        <v/>
      </c>
      <c r="V1860">
        <f t="shared" ref="V1860:V1923" si="118">IFERROR(P1860*1000,"")</f>
        <v>0</v>
      </c>
      <c r="W1860">
        <f t="shared" ref="W1860:W1923" si="119">IFERROR(($E1860-$F1860)+$K1860+$N1860,"")</f>
        <v>0</v>
      </c>
    </row>
    <row r="1861" spans="5:23" x14ac:dyDescent="0.25">
      <c r="E1861" s="4"/>
      <c r="F1861" s="4"/>
      <c r="G1861" s="33" t="str">
        <f>IFERROR(VLOOKUP($D1861,'Informations sur les produits'!$A$3:$H$10000,8,FALSE),"0")</f>
        <v>0</v>
      </c>
      <c r="K1861" s="4"/>
      <c r="L1861" s="33" t="str">
        <f>IFERROR(VLOOKUP($J1861,'Informations sur les produits'!$A$3:$H$10000,8,FALSE),"0")</f>
        <v>0</v>
      </c>
      <c r="N1861" s="8"/>
      <c r="O1861" s="33" t="str">
        <f>IFERROR(VLOOKUP($M1861,'Informations sur les produits'!$A$3:$H$10000,8,FALSE),"0")</f>
        <v>0</v>
      </c>
      <c r="P1861" s="33">
        <f t="shared" si="116"/>
        <v>0</v>
      </c>
      <c r="Q1861" s="31" t="str">
        <f t="shared" si="117"/>
        <v/>
      </c>
      <c r="R1861" s="32" t="str">
        <f>IFERROR(VLOOKUP($D1861,'Informations sur les produits'!$A$3:$B$15000,2,FALSE),"")</f>
        <v/>
      </c>
      <c r="V1861">
        <f t="shared" si="118"/>
        <v>0</v>
      </c>
      <c r="W1861">
        <f t="shared" si="119"/>
        <v>0</v>
      </c>
    </row>
    <row r="1862" spans="5:23" x14ac:dyDescent="0.25">
      <c r="E1862" s="4"/>
      <c r="F1862" s="4"/>
      <c r="G1862" s="33" t="str">
        <f>IFERROR(VLOOKUP($D1862,'Informations sur les produits'!$A$3:$H$10000,8,FALSE),"0")</f>
        <v>0</v>
      </c>
      <c r="K1862" s="4"/>
      <c r="L1862" s="33" t="str">
        <f>IFERROR(VLOOKUP($J1862,'Informations sur les produits'!$A$3:$H$10000,8,FALSE),"0")</f>
        <v>0</v>
      </c>
      <c r="N1862" s="8"/>
      <c r="O1862" s="33" t="str">
        <f>IFERROR(VLOOKUP($M1862,'Informations sur les produits'!$A$3:$H$10000,8,FALSE),"0")</f>
        <v>0</v>
      </c>
      <c r="P1862" s="33">
        <f t="shared" si="116"/>
        <v>0</v>
      </c>
      <c r="Q1862" s="31" t="str">
        <f t="shared" si="117"/>
        <v/>
      </c>
      <c r="R1862" s="32" t="str">
        <f>IFERROR(VLOOKUP($D1862,'Informations sur les produits'!$A$3:$B$15000,2,FALSE),"")</f>
        <v/>
      </c>
      <c r="V1862">
        <f t="shared" si="118"/>
        <v>0</v>
      </c>
      <c r="W1862">
        <f t="shared" si="119"/>
        <v>0</v>
      </c>
    </row>
    <row r="1863" spans="5:23" x14ac:dyDescent="0.25">
      <c r="E1863" s="4"/>
      <c r="F1863" s="4"/>
      <c r="G1863" s="33" t="str">
        <f>IFERROR(VLOOKUP($D1863,'Informations sur les produits'!$A$3:$H$10000,8,FALSE),"0")</f>
        <v>0</v>
      </c>
      <c r="K1863" s="4"/>
      <c r="L1863" s="33" t="str">
        <f>IFERROR(VLOOKUP($J1863,'Informations sur les produits'!$A$3:$H$10000,8,FALSE),"0")</f>
        <v>0</v>
      </c>
      <c r="N1863" s="8"/>
      <c r="O1863" s="33" t="str">
        <f>IFERROR(VLOOKUP($M1863,'Informations sur les produits'!$A$3:$H$10000,8,FALSE),"0")</f>
        <v>0</v>
      </c>
      <c r="P1863" s="33">
        <f t="shared" si="116"/>
        <v>0</v>
      </c>
      <c r="Q1863" s="31" t="str">
        <f t="shared" si="117"/>
        <v/>
      </c>
      <c r="R1863" s="32" t="str">
        <f>IFERROR(VLOOKUP($D1863,'Informations sur les produits'!$A$3:$B$15000,2,FALSE),"")</f>
        <v/>
      </c>
      <c r="V1863">
        <f t="shared" si="118"/>
        <v>0</v>
      </c>
      <c r="W1863">
        <f t="shared" si="119"/>
        <v>0</v>
      </c>
    </row>
    <row r="1864" spans="5:23" x14ac:dyDescent="0.25">
      <c r="E1864" s="4"/>
      <c r="F1864" s="4"/>
      <c r="G1864" s="33" t="str">
        <f>IFERROR(VLOOKUP($D1864,'Informations sur les produits'!$A$3:$H$10000,8,FALSE),"0")</f>
        <v>0</v>
      </c>
      <c r="K1864" s="4"/>
      <c r="L1864" s="33" t="str">
        <f>IFERROR(VLOOKUP($J1864,'Informations sur les produits'!$A$3:$H$10000,8,FALSE),"0")</f>
        <v>0</v>
      </c>
      <c r="N1864" s="8"/>
      <c r="O1864" s="33" t="str">
        <f>IFERROR(VLOOKUP($M1864,'Informations sur les produits'!$A$3:$H$10000,8,FALSE),"0")</f>
        <v>0</v>
      </c>
      <c r="P1864" s="33">
        <f t="shared" si="116"/>
        <v>0</v>
      </c>
      <c r="Q1864" s="31" t="str">
        <f t="shared" si="117"/>
        <v/>
      </c>
      <c r="R1864" s="32" t="str">
        <f>IFERROR(VLOOKUP($D1864,'Informations sur les produits'!$A$3:$B$15000,2,FALSE),"")</f>
        <v/>
      </c>
      <c r="V1864">
        <f t="shared" si="118"/>
        <v>0</v>
      </c>
      <c r="W1864">
        <f t="shared" si="119"/>
        <v>0</v>
      </c>
    </row>
    <row r="1865" spans="5:23" x14ac:dyDescent="0.25">
      <c r="E1865" s="4"/>
      <c r="F1865" s="4"/>
      <c r="G1865" s="33" t="str">
        <f>IFERROR(VLOOKUP($D1865,'Informations sur les produits'!$A$3:$H$10000,8,FALSE),"0")</f>
        <v>0</v>
      </c>
      <c r="K1865" s="4"/>
      <c r="L1865" s="33" t="str">
        <f>IFERROR(VLOOKUP($J1865,'Informations sur les produits'!$A$3:$H$10000,8,FALSE),"0")</f>
        <v>0</v>
      </c>
      <c r="N1865" s="8"/>
      <c r="O1865" s="33" t="str">
        <f>IFERROR(VLOOKUP($M1865,'Informations sur les produits'!$A$3:$H$10000,8,FALSE),"0")</f>
        <v>0</v>
      </c>
      <c r="P1865" s="33">
        <f t="shared" si="116"/>
        <v>0</v>
      </c>
      <c r="Q1865" s="31" t="str">
        <f t="shared" si="117"/>
        <v/>
      </c>
      <c r="R1865" s="32" t="str">
        <f>IFERROR(VLOOKUP($D1865,'Informations sur les produits'!$A$3:$B$15000,2,FALSE),"")</f>
        <v/>
      </c>
      <c r="V1865">
        <f t="shared" si="118"/>
        <v>0</v>
      </c>
      <c r="W1865">
        <f t="shared" si="119"/>
        <v>0</v>
      </c>
    </row>
    <row r="1866" spans="5:23" x14ac:dyDescent="0.25">
      <c r="E1866" s="4"/>
      <c r="F1866" s="4"/>
      <c r="G1866" s="33" t="str">
        <f>IFERROR(VLOOKUP($D1866,'Informations sur les produits'!$A$3:$H$10000,8,FALSE),"0")</f>
        <v>0</v>
      </c>
      <c r="K1866" s="4"/>
      <c r="L1866" s="33" t="str">
        <f>IFERROR(VLOOKUP($J1866,'Informations sur les produits'!$A$3:$H$10000,8,FALSE),"0")</f>
        <v>0</v>
      </c>
      <c r="N1866" s="8"/>
      <c r="O1866" s="33" t="str">
        <f>IFERROR(VLOOKUP($M1866,'Informations sur les produits'!$A$3:$H$10000,8,FALSE),"0")</f>
        <v>0</v>
      </c>
      <c r="P1866" s="33">
        <f t="shared" si="116"/>
        <v>0</v>
      </c>
      <c r="Q1866" s="31" t="str">
        <f t="shared" si="117"/>
        <v/>
      </c>
      <c r="R1866" s="32" t="str">
        <f>IFERROR(VLOOKUP($D1866,'Informations sur les produits'!$A$3:$B$15000,2,FALSE),"")</f>
        <v/>
      </c>
      <c r="V1866">
        <f t="shared" si="118"/>
        <v>0</v>
      </c>
      <c r="W1866">
        <f t="shared" si="119"/>
        <v>0</v>
      </c>
    </row>
    <row r="1867" spans="5:23" x14ac:dyDescent="0.25">
      <c r="E1867" s="4"/>
      <c r="F1867" s="4"/>
      <c r="G1867" s="33" t="str">
        <f>IFERROR(VLOOKUP($D1867,'Informations sur les produits'!$A$3:$H$10000,8,FALSE),"0")</f>
        <v>0</v>
      </c>
      <c r="K1867" s="4"/>
      <c r="L1867" s="33" t="str">
        <f>IFERROR(VLOOKUP($J1867,'Informations sur les produits'!$A$3:$H$10000,8,FALSE),"0")</f>
        <v>0</v>
      </c>
      <c r="N1867" s="8"/>
      <c r="O1867" s="33" t="str">
        <f>IFERROR(VLOOKUP($M1867,'Informations sur les produits'!$A$3:$H$10000,8,FALSE),"0")</f>
        <v>0</v>
      </c>
      <c r="P1867" s="33">
        <f t="shared" si="116"/>
        <v>0</v>
      </c>
      <c r="Q1867" s="31" t="str">
        <f t="shared" si="117"/>
        <v/>
      </c>
      <c r="R1867" s="32" t="str">
        <f>IFERROR(VLOOKUP($D1867,'Informations sur les produits'!$A$3:$B$15000,2,FALSE),"")</f>
        <v/>
      </c>
      <c r="V1867">
        <f t="shared" si="118"/>
        <v>0</v>
      </c>
      <c r="W1867">
        <f t="shared" si="119"/>
        <v>0</v>
      </c>
    </row>
    <row r="1868" spans="5:23" x14ac:dyDescent="0.25">
      <c r="E1868" s="4"/>
      <c r="F1868" s="4"/>
      <c r="G1868" s="33" t="str">
        <f>IFERROR(VLOOKUP($D1868,'Informations sur les produits'!$A$3:$H$10000,8,FALSE),"0")</f>
        <v>0</v>
      </c>
      <c r="K1868" s="4"/>
      <c r="L1868" s="33" t="str">
        <f>IFERROR(VLOOKUP($J1868,'Informations sur les produits'!$A$3:$H$10000,8,FALSE),"0")</f>
        <v>0</v>
      </c>
      <c r="N1868" s="8"/>
      <c r="O1868" s="33" t="str">
        <f>IFERROR(VLOOKUP($M1868,'Informations sur les produits'!$A$3:$H$10000,8,FALSE),"0")</f>
        <v>0</v>
      </c>
      <c r="P1868" s="33">
        <f t="shared" si="116"/>
        <v>0</v>
      </c>
      <c r="Q1868" s="31" t="str">
        <f t="shared" si="117"/>
        <v/>
      </c>
      <c r="R1868" s="32" t="str">
        <f>IFERROR(VLOOKUP($D1868,'Informations sur les produits'!$A$3:$B$15000,2,FALSE),"")</f>
        <v/>
      </c>
      <c r="V1868">
        <f t="shared" si="118"/>
        <v>0</v>
      </c>
      <c r="W1868">
        <f t="shared" si="119"/>
        <v>0</v>
      </c>
    </row>
    <row r="1869" spans="5:23" x14ac:dyDescent="0.25">
      <c r="E1869" s="4"/>
      <c r="F1869" s="4"/>
      <c r="G1869" s="33" t="str">
        <f>IFERROR(VLOOKUP($D1869,'Informations sur les produits'!$A$3:$H$10000,8,FALSE),"0")</f>
        <v>0</v>
      </c>
      <c r="K1869" s="4"/>
      <c r="L1869" s="33" t="str">
        <f>IFERROR(VLOOKUP($J1869,'Informations sur les produits'!$A$3:$H$10000,8,FALSE),"0")</f>
        <v>0</v>
      </c>
      <c r="N1869" s="8"/>
      <c r="O1869" s="33" t="str">
        <f>IFERROR(VLOOKUP($M1869,'Informations sur les produits'!$A$3:$H$10000,8,FALSE),"0")</f>
        <v>0</v>
      </c>
      <c r="P1869" s="33">
        <f t="shared" si="116"/>
        <v>0</v>
      </c>
      <c r="Q1869" s="31" t="str">
        <f t="shared" si="117"/>
        <v/>
      </c>
      <c r="R1869" s="32" t="str">
        <f>IFERROR(VLOOKUP($D1869,'Informations sur les produits'!$A$3:$B$15000,2,FALSE),"")</f>
        <v/>
      </c>
      <c r="V1869">
        <f t="shared" si="118"/>
        <v>0</v>
      </c>
      <c r="W1869">
        <f t="shared" si="119"/>
        <v>0</v>
      </c>
    </row>
    <row r="1870" spans="5:23" x14ac:dyDescent="0.25">
      <c r="E1870" s="4"/>
      <c r="F1870" s="4"/>
      <c r="G1870" s="33" t="str">
        <f>IFERROR(VLOOKUP($D1870,'Informations sur les produits'!$A$3:$H$10000,8,FALSE),"0")</f>
        <v>0</v>
      </c>
      <c r="K1870" s="4"/>
      <c r="L1870" s="33" t="str">
        <f>IFERROR(VLOOKUP($J1870,'Informations sur les produits'!$A$3:$H$10000,8,FALSE),"0")</f>
        <v>0</v>
      </c>
      <c r="N1870" s="8"/>
      <c r="O1870" s="33" t="str">
        <f>IFERROR(VLOOKUP($M1870,'Informations sur les produits'!$A$3:$H$10000,8,FALSE),"0")</f>
        <v>0</v>
      </c>
      <c r="P1870" s="33">
        <f t="shared" si="116"/>
        <v>0</v>
      </c>
      <c r="Q1870" s="31" t="str">
        <f t="shared" si="117"/>
        <v/>
      </c>
      <c r="R1870" s="32" t="str">
        <f>IFERROR(VLOOKUP($D1870,'Informations sur les produits'!$A$3:$B$15000,2,FALSE),"")</f>
        <v/>
      </c>
      <c r="V1870">
        <f t="shared" si="118"/>
        <v>0</v>
      </c>
      <c r="W1870">
        <f t="shared" si="119"/>
        <v>0</v>
      </c>
    </row>
    <row r="1871" spans="5:23" x14ac:dyDescent="0.25">
      <c r="E1871" s="4"/>
      <c r="F1871" s="4"/>
      <c r="G1871" s="33" t="str">
        <f>IFERROR(VLOOKUP($D1871,'Informations sur les produits'!$A$3:$H$10000,8,FALSE),"0")</f>
        <v>0</v>
      </c>
      <c r="K1871" s="4"/>
      <c r="L1871" s="33" t="str">
        <f>IFERROR(VLOOKUP($J1871,'Informations sur les produits'!$A$3:$H$10000,8,FALSE),"0")</f>
        <v>0</v>
      </c>
      <c r="N1871" s="8"/>
      <c r="O1871" s="33" t="str">
        <f>IFERROR(VLOOKUP($M1871,'Informations sur les produits'!$A$3:$H$10000,8,FALSE),"0")</f>
        <v>0</v>
      </c>
      <c r="P1871" s="33">
        <f t="shared" si="116"/>
        <v>0</v>
      </c>
      <c r="Q1871" s="31" t="str">
        <f t="shared" si="117"/>
        <v/>
      </c>
      <c r="R1871" s="32" t="str">
        <f>IFERROR(VLOOKUP($D1871,'Informations sur les produits'!$A$3:$B$15000,2,FALSE),"")</f>
        <v/>
      </c>
      <c r="V1871">
        <f t="shared" si="118"/>
        <v>0</v>
      </c>
      <c r="W1871">
        <f t="shared" si="119"/>
        <v>0</v>
      </c>
    </row>
    <row r="1872" spans="5:23" x14ac:dyDescent="0.25">
      <c r="E1872" s="4"/>
      <c r="F1872" s="4"/>
      <c r="G1872" s="33" t="str">
        <f>IFERROR(VLOOKUP($D1872,'Informations sur les produits'!$A$3:$H$10000,8,FALSE),"0")</f>
        <v>0</v>
      </c>
      <c r="K1872" s="4"/>
      <c r="L1872" s="33" t="str">
        <f>IFERROR(VLOOKUP($J1872,'Informations sur les produits'!$A$3:$H$10000,8,FALSE),"0")</f>
        <v>0</v>
      </c>
      <c r="N1872" s="8"/>
      <c r="O1872" s="33" t="str">
        <f>IFERROR(VLOOKUP($M1872,'Informations sur les produits'!$A$3:$H$10000,8,FALSE),"0")</f>
        <v>0</v>
      </c>
      <c r="P1872" s="33">
        <f t="shared" si="116"/>
        <v>0</v>
      </c>
      <c r="Q1872" s="31" t="str">
        <f t="shared" si="117"/>
        <v/>
      </c>
      <c r="R1872" s="32" t="str">
        <f>IFERROR(VLOOKUP($D1872,'Informations sur les produits'!$A$3:$B$15000,2,FALSE),"")</f>
        <v/>
      </c>
      <c r="V1872">
        <f t="shared" si="118"/>
        <v>0</v>
      </c>
      <c r="W1872">
        <f t="shared" si="119"/>
        <v>0</v>
      </c>
    </row>
    <row r="1873" spans="5:23" x14ac:dyDescent="0.25">
      <c r="E1873" s="4"/>
      <c r="F1873" s="4"/>
      <c r="G1873" s="33" t="str">
        <f>IFERROR(VLOOKUP($D1873,'Informations sur les produits'!$A$3:$H$10000,8,FALSE),"0")</f>
        <v>0</v>
      </c>
      <c r="K1873" s="4"/>
      <c r="L1873" s="33" t="str">
        <f>IFERROR(VLOOKUP($J1873,'Informations sur les produits'!$A$3:$H$10000,8,FALSE),"0")</f>
        <v>0</v>
      </c>
      <c r="N1873" s="8"/>
      <c r="O1873" s="33" t="str">
        <f>IFERROR(VLOOKUP($M1873,'Informations sur les produits'!$A$3:$H$10000,8,FALSE),"0")</f>
        <v>0</v>
      </c>
      <c r="P1873" s="33">
        <f t="shared" si="116"/>
        <v>0</v>
      </c>
      <c r="Q1873" s="31" t="str">
        <f t="shared" si="117"/>
        <v/>
      </c>
      <c r="R1873" s="32" t="str">
        <f>IFERROR(VLOOKUP($D1873,'Informations sur les produits'!$A$3:$B$15000,2,FALSE),"")</f>
        <v/>
      </c>
      <c r="V1873">
        <f t="shared" si="118"/>
        <v>0</v>
      </c>
      <c r="W1873">
        <f t="shared" si="119"/>
        <v>0</v>
      </c>
    </row>
    <row r="1874" spans="5:23" x14ac:dyDescent="0.25">
      <c r="E1874" s="4"/>
      <c r="F1874" s="4"/>
      <c r="G1874" s="33" t="str">
        <f>IFERROR(VLOOKUP($D1874,'Informations sur les produits'!$A$3:$H$10000,8,FALSE),"0")</f>
        <v>0</v>
      </c>
      <c r="K1874" s="4"/>
      <c r="L1874" s="33" t="str">
        <f>IFERROR(VLOOKUP($J1874,'Informations sur les produits'!$A$3:$H$10000,8,FALSE),"0")</f>
        <v>0</v>
      </c>
      <c r="N1874" s="8"/>
      <c r="O1874" s="33" t="str">
        <f>IFERROR(VLOOKUP($M1874,'Informations sur les produits'!$A$3:$H$10000,8,FALSE),"0")</f>
        <v>0</v>
      </c>
      <c r="P1874" s="33">
        <f t="shared" si="116"/>
        <v>0</v>
      </c>
      <c r="Q1874" s="31" t="str">
        <f t="shared" si="117"/>
        <v/>
      </c>
      <c r="R1874" s="32" t="str">
        <f>IFERROR(VLOOKUP($D1874,'Informations sur les produits'!$A$3:$B$15000,2,FALSE),"")</f>
        <v/>
      </c>
      <c r="V1874">
        <f t="shared" si="118"/>
        <v>0</v>
      </c>
      <c r="W1874">
        <f t="shared" si="119"/>
        <v>0</v>
      </c>
    </row>
    <row r="1875" spans="5:23" x14ac:dyDescent="0.25">
      <c r="E1875" s="4"/>
      <c r="F1875" s="4"/>
      <c r="G1875" s="33" t="str">
        <f>IFERROR(VLOOKUP($D1875,'Informations sur les produits'!$A$3:$H$10000,8,FALSE),"0")</f>
        <v>0</v>
      </c>
      <c r="K1875" s="4"/>
      <c r="L1875" s="33" t="str">
        <f>IFERROR(VLOOKUP($J1875,'Informations sur les produits'!$A$3:$H$10000,8,FALSE),"0")</f>
        <v>0</v>
      </c>
      <c r="N1875" s="8"/>
      <c r="O1875" s="33" t="str">
        <f>IFERROR(VLOOKUP($M1875,'Informations sur les produits'!$A$3:$H$10000,8,FALSE),"0")</f>
        <v>0</v>
      </c>
      <c r="P1875" s="33">
        <f t="shared" si="116"/>
        <v>0</v>
      </c>
      <c r="Q1875" s="31" t="str">
        <f t="shared" si="117"/>
        <v/>
      </c>
      <c r="R1875" s="32" t="str">
        <f>IFERROR(VLOOKUP($D1875,'Informations sur les produits'!$A$3:$B$15000,2,FALSE),"")</f>
        <v/>
      </c>
      <c r="V1875">
        <f t="shared" si="118"/>
        <v>0</v>
      </c>
      <c r="W1875">
        <f t="shared" si="119"/>
        <v>0</v>
      </c>
    </row>
    <row r="1876" spans="5:23" x14ac:dyDescent="0.25">
      <c r="E1876" s="4"/>
      <c r="F1876" s="4"/>
      <c r="G1876" s="33" t="str">
        <f>IFERROR(VLOOKUP($D1876,'Informations sur les produits'!$A$3:$H$10000,8,FALSE),"0")</f>
        <v>0</v>
      </c>
      <c r="K1876" s="4"/>
      <c r="L1876" s="33" t="str">
        <f>IFERROR(VLOOKUP($J1876,'Informations sur les produits'!$A$3:$H$10000,8,FALSE),"0")</f>
        <v>0</v>
      </c>
      <c r="N1876" s="8"/>
      <c r="O1876" s="33" t="str">
        <f>IFERROR(VLOOKUP($M1876,'Informations sur les produits'!$A$3:$H$10000,8,FALSE),"0")</f>
        <v>0</v>
      </c>
      <c r="P1876" s="33">
        <f t="shared" si="116"/>
        <v>0</v>
      </c>
      <c r="Q1876" s="31" t="str">
        <f t="shared" si="117"/>
        <v/>
      </c>
      <c r="R1876" s="32" t="str">
        <f>IFERROR(VLOOKUP($D1876,'Informations sur les produits'!$A$3:$B$15000,2,FALSE),"")</f>
        <v/>
      </c>
      <c r="V1876">
        <f t="shared" si="118"/>
        <v>0</v>
      </c>
      <c r="W1876">
        <f t="shared" si="119"/>
        <v>0</v>
      </c>
    </row>
    <row r="1877" spans="5:23" x14ac:dyDescent="0.25">
      <c r="E1877" s="4"/>
      <c r="F1877" s="4"/>
      <c r="G1877" s="33" t="str">
        <f>IFERROR(VLOOKUP($D1877,'Informations sur les produits'!$A$3:$H$10000,8,FALSE),"0")</f>
        <v>0</v>
      </c>
      <c r="K1877" s="4"/>
      <c r="L1877" s="33" t="str">
        <f>IFERROR(VLOOKUP($J1877,'Informations sur les produits'!$A$3:$H$10000,8,FALSE),"0")</f>
        <v>0</v>
      </c>
      <c r="N1877" s="8"/>
      <c r="O1877" s="33" t="str">
        <f>IFERROR(VLOOKUP($M1877,'Informations sur les produits'!$A$3:$H$10000,8,FALSE),"0")</f>
        <v>0</v>
      </c>
      <c r="P1877" s="33">
        <f t="shared" si="116"/>
        <v>0</v>
      </c>
      <c r="Q1877" s="31" t="str">
        <f t="shared" si="117"/>
        <v/>
      </c>
      <c r="R1877" s="32" t="str">
        <f>IFERROR(VLOOKUP($D1877,'Informations sur les produits'!$A$3:$B$15000,2,FALSE),"")</f>
        <v/>
      </c>
      <c r="V1877">
        <f t="shared" si="118"/>
        <v>0</v>
      </c>
      <c r="W1877">
        <f t="shared" si="119"/>
        <v>0</v>
      </c>
    </row>
    <row r="1878" spans="5:23" x14ac:dyDescent="0.25">
      <c r="E1878" s="4"/>
      <c r="F1878" s="4"/>
      <c r="G1878" s="33" t="str">
        <f>IFERROR(VLOOKUP($D1878,'Informations sur les produits'!$A$3:$H$10000,8,FALSE),"0")</f>
        <v>0</v>
      </c>
      <c r="K1878" s="4"/>
      <c r="L1878" s="33" t="str">
        <f>IFERROR(VLOOKUP($J1878,'Informations sur les produits'!$A$3:$H$10000,8,FALSE),"0")</f>
        <v>0</v>
      </c>
      <c r="N1878" s="8"/>
      <c r="O1878" s="33" t="str">
        <f>IFERROR(VLOOKUP($M1878,'Informations sur les produits'!$A$3:$H$10000,8,FALSE),"0")</f>
        <v>0</v>
      </c>
      <c r="P1878" s="33">
        <f t="shared" si="116"/>
        <v>0</v>
      </c>
      <c r="Q1878" s="31" t="str">
        <f t="shared" si="117"/>
        <v/>
      </c>
      <c r="R1878" s="32" t="str">
        <f>IFERROR(VLOOKUP($D1878,'Informations sur les produits'!$A$3:$B$15000,2,FALSE),"")</f>
        <v/>
      </c>
      <c r="V1878">
        <f t="shared" si="118"/>
        <v>0</v>
      </c>
      <c r="W1878">
        <f t="shared" si="119"/>
        <v>0</v>
      </c>
    </row>
    <row r="1879" spans="5:23" x14ac:dyDescent="0.25">
      <c r="E1879" s="4"/>
      <c r="F1879" s="4"/>
      <c r="G1879" s="33" t="str">
        <f>IFERROR(VLOOKUP($D1879,'Informations sur les produits'!$A$3:$H$10000,8,FALSE),"0")</f>
        <v>0</v>
      </c>
      <c r="K1879" s="4"/>
      <c r="L1879" s="33" t="str">
        <f>IFERROR(VLOOKUP($J1879,'Informations sur les produits'!$A$3:$H$10000,8,FALSE),"0")</f>
        <v>0</v>
      </c>
      <c r="N1879" s="8"/>
      <c r="O1879" s="33" t="str">
        <f>IFERROR(VLOOKUP($M1879,'Informations sur les produits'!$A$3:$H$10000,8,FALSE),"0")</f>
        <v>0</v>
      </c>
      <c r="P1879" s="33">
        <f t="shared" si="116"/>
        <v>0</v>
      </c>
      <c r="Q1879" s="31" t="str">
        <f t="shared" si="117"/>
        <v/>
      </c>
      <c r="R1879" s="32" t="str">
        <f>IFERROR(VLOOKUP($D1879,'Informations sur les produits'!$A$3:$B$15000,2,FALSE),"")</f>
        <v/>
      </c>
      <c r="V1879">
        <f t="shared" si="118"/>
        <v>0</v>
      </c>
      <c r="W1879">
        <f t="shared" si="119"/>
        <v>0</v>
      </c>
    </row>
    <row r="1880" spans="5:23" x14ac:dyDescent="0.25">
      <c r="E1880" s="4"/>
      <c r="F1880" s="4"/>
      <c r="G1880" s="33" t="str">
        <f>IFERROR(VLOOKUP($D1880,'Informations sur les produits'!$A$3:$H$10000,8,FALSE),"0")</f>
        <v>0</v>
      </c>
      <c r="K1880" s="4"/>
      <c r="L1880" s="33" t="str">
        <f>IFERROR(VLOOKUP($J1880,'Informations sur les produits'!$A$3:$H$10000,8,FALSE),"0")</f>
        <v>0</v>
      </c>
      <c r="N1880" s="8"/>
      <c r="O1880" s="33" t="str">
        <f>IFERROR(VLOOKUP($M1880,'Informations sur les produits'!$A$3:$H$10000,8,FALSE),"0")</f>
        <v>0</v>
      </c>
      <c r="P1880" s="33">
        <f t="shared" si="116"/>
        <v>0</v>
      </c>
      <c r="Q1880" s="31" t="str">
        <f t="shared" si="117"/>
        <v/>
      </c>
      <c r="R1880" s="32" t="str">
        <f>IFERROR(VLOOKUP($D1880,'Informations sur les produits'!$A$3:$B$15000,2,FALSE),"")</f>
        <v/>
      </c>
      <c r="V1880">
        <f t="shared" si="118"/>
        <v>0</v>
      </c>
      <c r="W1880">
        <f t="shared" si="119"/>
        <v>0</v>
      </c>
    </row>
    <row r="1881" spans="5:23" x14ac:dyDescent="0.25">
      <c r="E1881" s="4"/>
      <c r="F1881" s="4"/>
      <c r="G1881" s="33" t="str">
        <f>IFERROR(VLOOKUP($D1881,'Informations sur les produits'!$A$3:$H$10000,8,FALSE),"0")</f>
        <v>0</v>
      </c>
      <c r="K1881" s="4"/>
      <c r="L1881" s="33" t="str">
        <f>IFERROR(VLOOKUP($J1881,'Informations sur les produits'!$A$3:$H$10000,8,FALSE),"0")</f>
        <v>0</v>
      </c>
      <c r="N1881" s="8"/>
      <c r="O1881" s="33" t="str">
        <f>IFERROR(VLOOKUP($M1881,'Informations sur les produits'!$A$3:$H$10000,8,FALSE),"0")</f>
        <v>0</v>
      </c>
      <c r="P1881" s="33">
        <f t="shared" si="116"/>
        <v>0</v>
      </c>
      <c r="Q1881" s="31" t="str">
        <f t="shared" si="117"/>
        <v/>
      </c>
      <c r="R1881" s="32" t="str">
        <f>IFERROR(VLOOKUP($D1881,'Informations sur les produits'!$A$3:$B$15000,2,FALSE),"")</f>
        <v/>
      </c>
      <c r="V1881">
        <f t="shared" si="118"/>
        <v>0</v>
      </c>
      <c r="W1881">
        <f t="shared" si="119"/>
        <v>0</v>
      </c>
    </row>
    <row r="1882" spans="5:23" x14ac:dyDescent="0.25">
      <c r="E1882" s="4"/>
      <c r="F1882" s="4"/>
      <c r="G1882" s="33" t="str">
        <f>IFERROR(VLOOKUP($D1882,'Informations sur les produits'!$A$3:$H$10000,8,FALSE),"0")</f>
        <v>0</v>
      </c>
      <c r="K1882" s="4"/>
      <c r="L1882" s="33" t="str">
        <f>IFERROR(VLOOKUP($J1882,'Informations sur les produits'!$A$3:$H$10000,8,FALSE),"0")</f>
        <v>0</v>
      </c>
      <c r="N1882" s="8"/>
      <c r="O1882" s="33" t="str">
        <f>IFERROR(VLOOKUP($M1882,'Informations sur les produits'!$A$3:$H$10000,8,FALSE),"0")</f>
        <v>0</v>
      </c>
      <c r="P1882" s="33">
        <f t="shared" si="116"/>
        <v>0</v>
      </c>
      <c r="Q1882" s="31" t="str">
        <f t="shared" si="117"/>
        <v/>
      </c>
      <c r="R1882" s="32" t="str">
        <f>IFERROR(VLOOKUP($D1882,'Informations sur les produits'!$A$3:$B$15000,2,FALSE),"")</f>
        <v/>
      </c>
      <c r="V1882">
        <f t="shared" si="118"/>
        <v>0</v>
      </c>
      <c r="W1882">
        <f t="shared" si="119"/>
        <v>0</v>
      </c>
    </row>
    <row r="1883" spans="5:23" x14ac:dyDescent="0.25">
      <c r="E1883" s="4"/>
      <c r="F1883" s="4"/>
      <c r="G1883" s="33" t="str">
        <f>IFERROR(VLOOKUP($D1883,'Informations sur les produits'!$A$3:$H$10000,8,FALSE),"0")</f>
        <v>0</v>
      </c>
      <c r="K1883" s="4"/>
      <c r="L1883" s="33" t="str">
        <f>IFERROR(VLOOKUP($J1883,'Informations sur les produits'!$A$3:$H$10000,8,FALSE),"0")</f>
        <v>0</v>
      </c>
      <c r="N1883" s="8"/>
      <c r="O1883" s="33" t="str">
        <f>IFERROR(VLOOKUP($M1883,'Informations sur les produits'!$A$3:$H$10000,8,FALSE),"0")</f>
        <v>0</v>
      </c>
      <c r="P1883" s="33">
        <f t="shared" si="116"/>
        <v>0</v>
      </c>
      <c r="Q1883" s="31" t="str">
        <f t="shared" si="117"/>
        <v/>
      </c>
      <c r="R1883" s="32" t="str">
        <f>IFERROR(VLOOKUP($D1883,'Informations sur les produits'!$A$3:$B$15000,2,FALSE),"")</f>
        <v/>
      </c>
      <c r="V1883">
        <f t="shared" si="118"/>
        <v>0</v>
      </c>
      <c r="W1883">
        <f t="shared" si="119"/>
        <v>0</v>
      </c>
    </row>
    <row r="1884" spans="5:23" x14ac:dyDescent="0.25">
      <c r="E1884" s="4"/>
      <c r="F1884" s="4"/>
      <c r="G1884" s="33" t="str">
        <f>IFERROR(VLOOKUP($D1884,'Informations sur les produits'!$A$3:$H$10000,8,FALSE),"0")</f>
        <v>0</v>
      </c>
      <c r="K1884" s="4"/>
      <c r="L1884" s="33" t="str">
        <f>IFERROR(VLOOKUP($J1884,'Informations sur les produits'!$A$3:$H$10000,8,FALSE),"0")</f>
        <v>0</v>
      </c>
      <c r="N1884" s="8"/>
      <c r="O1884" s="33" t="str">
        <f>IFERROR(VLOOKUP($M1884,'Informations sur les produits'!$A$3:$H$10000,8,FALSE),"0")</f>
        <v>0</v>
      </c>
      <c r="P1884" s="33">
        <f t="shared" si="116"/>
        <v>0</v>
      </c>
      <c r="Q1884" s="31" t="str">
        <f t="shared" si="117"/>
        <v/>
      </c>
      <c r="R1884" s="32" t="str">
        <f>IFERROR(VLOOKUP($D1884,'Informations sur les produits'!$A$3:$B$15000,2,FALSE),"")</f>
        <v/>
      </c>
      <c r="V1884">
        <f t="shared" si="118"/>
        <v>0</v>
      </c>
      <c r="W1884">
        <f t="shared" si="119"/>
        <v>0</v>
      </c>
    </row>
    <row r="1885" spans="5:23" x14ac:dyDescent="0.25">
      <c r="E1885" s="4"/>
      <c r="F1885" s="4"/>
      <c r="G1885" s="33" t="str">
        <f>IFERROR(VLOOKUP($D1885,'Informations sur les produits'!$A$3:$H$10000,8,FALSE),"0")</f>
        <v>0</v>
      </c>
      <c r="K1885" s="4"/>
      <c r="L1885" s="33" t="str">
        <f>IFERROR(VLOOKUP($J1885,'Informations sur les produits'!$A$3:$H$10000,8,FALSE),"0")</f>
        <v>0</v>
      </c>
      <c r="N1885" s="8"/>
      <c r="O1885" s="33" t="str">
        <f>IFERROR(VLOOKUP($M1885,'Informations sur les produits'!$A$3:$H$10000,8,FALSE),"0")</f>
        <v>0</v>
      </c>
      <c r="P1885" s="33">
        <f t="shared" si="116"/>
        <v>0</v>
      </c>
      <c r="Q1885" s="31" t="str">
        <f t="shared" si="117"/>
        <v/>
      </c>
      <c r="R1885" s="32" t="str">
        <f>IFERROR(VLOOKUP($D1885,'Informations sur les produits'!$A$3:$B$15000,2,FALSE),"")</f>
        <v/>
      </c>
      <c r="V1885">
        <f t="shared" si="118"/>
        <v>0</v>
      </c>
      <c r="W1885">
        <f t="shared" si="119"/>
        <v>0</v>
      </c>
    </row>
    <row r="1886" spans="5:23" x14ac:dyDescent="0.25">
      <c r="E1886" s="4"/>
      <c r="F1886" s="4"/>
      <c r="G1886" s="33" t="str">
        <f>IFERROR(VLOOKUP($D1886,'Informations sur les produits'!$A$3:$H$10000,8,FALSE),"0")</f>
        <v>0</v>
      </c>
      <c r="K1886" s="4"/>
      <c r="L1886" s="33" t="str">
        <f>IFERROR(VLOOKUP($J1886,'Informations sur les produits'!$A$3:$H$10000,8,FALSE),"0")</f>
        <v>0</v>
      </c>
      <c r="N1886" s="8"/>
      <c r="O1886" s="33" t="str">
        <f>IFERROR(VLOOKUP($M1886,'Informations sur les produits'!$A$3:$H$10000,8,FALSE),"0")</f>
        <v>0</v>
      </c>
      <c r="P1886" s="33">
        <f t="shared" si="116"/>
        <v>0</v>
      </c>
      <c r="Q1886" s="31" t="str">
        <f t="shared" si="117"/>
        <v/>
      </c>
      <c r="R1886" s="32" t="str">
        <f>IFERROR(VLOOKUP($D1886,'Informations sur les produits'!$A$3:$B$15000,2,FALSE),"")</f>
        <v/>
      </c>
      <c r="V1886">
        <f t="shared" si="118"/>
        <v>0</v>
      </c>
      <c r="W1886">
        <f t="shared" si="119"/>
        <v>0</v>
      </c>
    </row>
    <row r="1887" spans="5:23" x14ac:dyDescent="0.25">
      <c r="E1887" s="4"/>
      <c r="F1887" s="4"/>
      <c r="G1887" s="33" t="str">
        <f>IFERROR(VLOOKUP($D1887,'Informations sur les produits'!$A$3:$H$10000,8,FALSE),"0")</f>
        <v>0</v>
      </c>
      <c r="K1887" s="4"/>
      <c r="L1887" s="33" t="str">
        <f>IFERROR(VLOOKUP($J1887,'Informations sur les produits'!$A$3:$H$10000,8,FALSE),"0")</f>
        <v>0</v>
      </c>
      <c r="N1887" s="8"/>
      <c r="O1887" s="33" t="str">
        <f>IFERROR(VLOOKUP($M1887,'Informations sur les produits'!$A$3:$H$10000,8,FALSE),"0")</f>
        <v>0</v>
      </c>
      <c r="P1887" s="33">
        <f t="shared" si="116"/>
        <v>0</v>
      </c>
      <c r="Q1887" s="31" t="str">
        <f t="shared" si="117"/>
        <v/>
      </c>
      <c r="R1887" s="32" t="str">
        <f>IFERROR(VLOOKUP($D1887,'Informations sur les produits'!$A$3:$B$15000,2,FALSE),"")</f>
        <v/>
      </c>
      <c r="V1887">
        <f t="shared" si="118"/>
        <v>0</v>
      </c>
      <c r="W1887">
        <f t="shared" si="119"/>
        <v>0</v>
      </c>
    </row>
    <row r="1888" spans="5:23" x14ac:dyDescent="0.25">
      <c r="E1888" s="4"/>
      <c r="F1888" s="4"/>
      <c r="G1888" s="33" t="str">
        <f>IFERROR(VLOOKUP($D1888,'Informations sur les produits'!$A$3:$H$10000,8,FALSE),"0")</f>
        <v>0</v>
      </c>
      <c r="K1888" s="4"/>
      <c r="L1888" s="33" t="str">
        <f>IFERROR(VLOOKUP($J1888,'Informations sur les produits'!$A$3:$H$10000,8,FALSE),"0")</f>
        <v>0</v>
      </c>
      <c r="N1888" s="8"/>
      <c r="O1888" s="33" t="str">
        <f>IFERROR(VLOOKUP($M1888,'Informations sur les produits'!$A$3:$H$10000,8,FALSE),"0")</f>
        <v>0</v>
      </c>
      <c r="P1888" s="33">
        <f t="shared" si="116"/>
        <v>0</v>
      </c>
      <c r="Q1888" s="31" t="str">
        <f t="shared" si="117"/>
        <v/>
      </c>
      <c r="R1888" s="32" t="str">
        <f>IFERROR(VLOOKUP($D1888,'Informations sur les produits'!$A$3:$B$15000,2,FALSE),"")</f>
        <v/>
      </c>
      <c r="V1888">
        <f t="shared" si="118"/>
        <v>0</v>
      </c>
      <c r="W1888">
        <f t="shared" si="119"/>
        <v>0</v>
      </c>
    </row>
    <row r="1889" spans="5:23" x14ac:dyDescent="0.25">
      <c r="E1889" s="4"/>
      <c r="F1889" s="4"/>
      <c r="G1889" s="33" t="str">
        <f>IFERROR(VLOOKUP($D1889,'Informations sur les produits'!$A$3:$H$10000,8,FALSE),"0")</f>
        <v>0</v>
      </c>
      <c r="K1889" s="4"/>
      <c r="L1889" s="33" t="str">
        <f>IFERROR(VLOOKUP($J1889,'Informations sur les produits'!$A$3:$H$10000,8,FALSE),"0")</f>
        <v>0</v>
      </c>
      <c r="N1889" s="8"/>
      <c r="O1889" s="33" t="str">
        <f>IFERROR(VLOOKUP($M1889,'Informations sur les produits'!$A$3:$H$10000,8,FALSE),"0")</f>
        <v>0</v>
      </c>
      <c r="P1889" s="33">
        <f t="shared" si="116"/>
        <v>0</v>
      </c>
      <c r="Q1889" s="31" t="str">
        <f t="shared" si="117"/>
        <v/>
      </c>
      <c r="R1889" s="32" t="str">
        <f>IFERROR(VLOOKUP($D1889,'Informations sur les produits'!$A$3:$B$15000,2,FALSE),"")</f>
        <v/>
      </c>
      <c r="V1889">
        <f t="shared" si="118"/>
        <v>0</v>
      </c>
      <c r="W1889">
        <f t="shared" si="119"/>
        <v>0</v>
      </c>
    </row>
    <row r="1890" spans="5:23" x14ac:dyDescent="0.25">
      <c r="E1890" s="4"/>
      <c r="F1890" s="4"/>
      <c r="G1890" s="33" t="str">
        <f>IFERROR(VLOOKUP($D1890,'Informations sur les produits'!$A$3:$H$10000,8,FALSE),"0")</f>
        <v>0</v>
      </c>
      <c r="K1890" s="4"/>
      <c r="L1890" s="33" t="str">
        <f>IFERROR(VLOOKUP($J1890,'Informations sur les produits'!$A$3:$H$10000,8,FALSE),"0")</f>
        <v>0</v>
      </c>
      <c r="N1890" s="8"/>
      <c r="O1890" s="33" t="str">
        <f>IFERROR(VLOOKUP($M1890,'Informations sur les produits'!$A$3:$H$10000,8,FALSE),"0")</f>
        <v>0</v>
      </c>
      <c r="P1890" s="33">
        <f t="shared" si="116"/>
        <v>0</v>
      </c>
      <c r="Q1890" s="31" t="str">
        <f t="shared" si="117"/>
        <v/>
      </c>
      <c r="R1890" s="32" t="str">
        <f>IFERROR(VLOOKUP($D1890,'Informations sur les produits'!$A$3:$B$15000,2,FALSE),"")</f>
        <v/>
      </c>
      <c r="V1890">
        <f t="shared" si="118"/>
        <v>0</v>
      </c>
      <c r="W1890">
        <f t="shared" si="119"/>
        <v>0</v>
      </c>
    </row>
    <row r="1891" spans="5:23" x14ac:dyDescent="0.25">
      <c r="E1891" s="4"/>
      <c r="F1891" s="4"/>
      <c r="G1891" s="33" t="str">
        <f>IFERROR(VLOOKUP($D1891,'Informations sur les produits'!$A$3:$H$10000,8,FALSE),"0")</f>
        <v>0</v>
      </c>
      <c r="K1891" s="4"/>
      <c r="L1891" s="33" t="str">
        <f>IFERROR(VLOOKUP($J1891,'Informations sur les produits'!$A$3:$H$10000,8,FALSE),"0")</f>
        <v>0</v>
      </c>
      <c r="N1891" s="8"/>
      <c r="O1891" s="33" t="str">
        <f>IFERROR(VLOOKUP($M1891,'Informations sur les produits'!$A$3:$H$10000,8,FALSE),"0")</f>
        <v>0</v>
      </c>
      <c r="P1891" s="33">
        <f t="shared" si="116"/>
        <v>0</v>
      </c>
      <c r="Q1891" s="31" t="str">
        <f t="shared" si="117"/>
        <v/>
      </c>
      <c r="R1891" s="32" t="str">
        <f>IFERROR(VLOOKUP($D1891,'Informations sur les produits'!$A$3:$B$15000,2,FALSE),"")</f>
        <v/>
      </c>
      <c r="V1891">
        <f t="shared" si="118"/>
        <v>0</v>
      </c>
      <c r="W1891">
        <f t="shared" si="119"/>
        <v>0</v>
      </c>
    </row>
    <row r="1892" spans="5:23" x14ac:dyDescent="0.25">
      <c r="E1892" s="4"/>
      <c r="F1892" s="4"/>
      <c r="G1892" s="33" t="str">
        <f>IFERROR(VLOOKUP($D1892,'Informations sur les produits'!$A$3:$H$10000,8,FALSE),"0")</f>
        <v>0</v>
      </c>
      <c r="K1892" s="4"/>
      <c r="L1892" s="33" t="str">
        <f>IFERROR(VLOOKUP($J1892,'Informations sur les produits'!$A$3:$H$10000,8,FALSE),"0")</f>
        <v>0</v>
      </c>
      <c r="N1892" s="8"/>
      <c r="O1892" s="33" t="str">
        <f>IFERROR(VLOOKUP($M1892,'Informations sur les produits'!$A$3:$H$10000,8,FALSE),"0")</f>
        <v>0</v>
      </c>
      <c r="P1892" s="33">
        <f t="shared" si="116"/>
        <v>0</v>
      </c>
      <c r="Q1892" s="31" t="str">
        <f t="shared" si="117"/>
        <v/>
      </c>
      <c r="R1892" s="32" t="str">
        <f>IFERROR(VLOOKUP($D1892,'Informations sur les produits'!$A$3:$B$15000,2,FALSE),"")</f>
        <v/>
      </c>
      <c r="V1892">
        <f t="shared" si="118"/>
        <v>0</v>
      </c>
      <c r="W1892">
        <f t="shared" si="119"/>
        <v>0</v>
      </c>
    </row>
    <row r="1893" spans="5:23" x14ac:dyDescent="0.25">
      <c r="E1893" s="4"/>
      <c r="F1893" s="4"/>
      <c r="G1893" s="33" t="str">
        <f>IFERROR(VLOOKUP($D1893,'Informations sur les produits'!$A$3:$H$10000,8,FALSE),"0")</f>
        <v>0</v>
      </c>
      <c r="K1893" s="4"/>
      <c r="L1893" s="33" t="str">
        <f>IFERROR(VLOOKUP($J1893,'Informations sur les produits'!$A$3:$H$10000,8,FALSE),"0")</f>
        <v>0</v>
      </c>
      <c r="N1893" s="8"/>
      <c r="O1893" s="33" t="str">
        <f>IFERROR(VLOOKUP($M1893,'Informations sur les produits'!$A$3:$H$10000,8,FALSE),"0")</f>
        <v>0</v>
      </c>
      <c r="P1893" s="33">
        <f t="shared" si="116"/>
        <v>0</v>
      </c>
      <c r="Q1893" s="31" t="str">
        <f t="shared" si="117"/>
        <v/>
      </c>
      <c r="R1893" s="32" t="str">
        <f>IFERROR(VLOOKUP($D1893,'Informations sur les produits'!$A$3:$B$15000,2,FALSE),"")</f>
        <v/>
      </c>
      <c r="V1893">
        <f t="shared" si="118"/>
        <v>0</v>
      </c>
      <c r="W1893">
        <f t="shared" si="119"/>
        <v>0</v>
      </c>
    </row>
    <row r="1894" spans="5:23" x14ac:dyDescent="0.25">
      <c r="E1894" s="4"/>
      <c r="F1894" s="4"/>
      <c r="G1894" s="33" t="str">
        <f>IFERROR(VLOOKUP($D1894,'Informations sur les produits'!$A$3:$H$10000,8,FALSE),"0")</f>
        <v>0</v>
      </c>
      <c r="K1894" s="4"/>
      <c r="L1894" s="33" t="str">
        <f>IFERROR(VLOOKUP($J1894,'Informations sur les produits'!$A$3:$H$10000,8,FALSE),"0")</f>
        <v>0</v>
      </c>
      <c r="N1894" s="8"/>
      <c r="O1894" s="33" t="str">
        <f>IFERROR(VLOOKUP($M1894,'Informations sur les produits'!$A$3:$H$10000,8,FALSE),"0")</f>
        <v>0</v>
      </c>
      <c r="P1894" s="33">
        <f t="shared" si="116"/>
        <v>0</v>
      </c>
      <c r="Q1894" s="31" t="str">
        <f t="shared" si="117"/>
        <v/>
      </c>
      <c r="R1894" s="32" t="str">
        <f>IFERROR(VLOOKUP($D1894,'Informations sur les produits'!$A$3:$B$15000,2,FALSE),"")</f>
        <v/>
      </c>
      <c r="V1894">
        <f t="shared" si="118"/>
        <v>0</v>
      </c>
      <c r="W1894">
        <f t="shared" si="119"/>
        <v>0</v>
      </c>
    </row>
    <row r="1895" spans="5:23" x14ac:dyDescent="0.25">
      <c r="E1895" s="4"/>
      <c r="F1895" s="4"/>
      <c r="G1895" s="33" t="str">
        <f>IFERROR(VLOOKUP($D1895,'Informations sur les produits'!$A$3:$H$10000,8,FALSE),"0")</f>
        <v>0</v>
      </c>
      <c r="K1895" s="4"/>
      <c r="L1895" s="33" t="str">
        <f>IFERROR(VLOOKUP($J1895,'Informations sur les produits'!$A$3:$H$10000,8,FALSE),"0")</f>
        <v>0</v>
      </c>
      <c r="N1895" s="8"/>
      <c r="O1895" s="33" t="str">
        <f>IFERROR(VLOOKUP($M1895,'Informations sur les produits'!$A$3:$H$10000,8,FALSE),"0")</f>
        <v>0</v>
      </c>
      <c r="P1895" s="33">
        <f t="shared" si="116"/>
        <v>0</v>
      </c>
      <c r="Q1895" s="31" t="str">
        <f t="shared" si="117"/>
        <v/>
      </c>
      <c r="R1895" s="32" t="str">
        <f>IFERROR(VLOOKUP($D1895,'Informations sur les produits'!$A$3:$B$15000,2,FALSE),"")</f>
        <v/>
      </c>
      <c r="V1895">
        <f t="shared" si="118"/>
        <v>0</v>
      </c>
      <c r="W1895">
        <f t="shared" si="119"/>
        <v>0</v>
      </c>
    </row>
    <row r="1896" spans="5:23" x14ac:dyDescent="0.25">
      <c r="E1896" s="4"/>
      <c r="F1896" s="4"/>
      <c r="G1896" s="33" t="str">
        <f>IFERROR(VLOOKUP($D1896,'Informations sur les produits'!$A$3:$H$10000,8,FALSE),"0")</f>
        <v>0</v>
      </c>
      <c r="K1896" s="4"/>
      <c r="L1896" s="33" t="str">
        <f>IFERROR(VLOOKUP($J1896,'Informations sur les produits'!$A$3:$H$10000,8,FALSE),"0")</f>
        <v>0</v>
      </c>
      <c r="N1896" s="8"/>
      <c r="O1896" s="33" t="str">
        <f>IFERROR(VLOOKUP($M1896,'Informations sur les produits'!$A$3:$H$10000,8,FALSE),"0")</f>
        <v>0</v>
      </c>
      <c r="P1896" s="33">
        <f t="shared" si="116"/>
        <v>0</v>
      </c>
      <c r="Q1896" s="31" t="str">
        <f t="shared" si="117"/>
        <v/>
      </c>
      <c r="R1896" s="32" t="str">
        <f>IFERROR(VLOOKUP($D1896,'Informations sur les produits'!$A$3:$B$15000,2,FALSE),"")</f>
        <v/>
      </c>
      <c r="V1896">
        <f t="shared" si="118"/>
        <v>0</v>
      </c>
      <c r="W1896">
        <f t="shared" si="119"/>
        <v>0</v>
      </c>
    </row>
    <row r="1897" spans="5:23" x14ac:dyDescent="0.25">
      <c r="E1897" s="4"/>
      <c r="F1897" s="4"/>
      <c r="G1897" s="33" t="str">
        <f>IFERROR(VLOOKUP($D1897,'Informations sur les produits'!$A$3:$H$10000,8,FALSE),"0")</f>
        <v>0</v>
      </c>
      <c r="K1897" s="4"/>
      <c r="L1897" s="33" t="str">
        <f>IFERROR(VLOOKUP($J1897,'Informations sur les produits'!$A$3:$H$10000,8,FALSE),"0")</f>
        <v>0</v>
      </c>
      <c r="N1897" s="8"/>
      <c r="O1897" s="33" t="str">
        <f>IFERROR(VLOOKUP($M1897,'Informations sur les produits'!$A$3:$H$10000,8,FALSE),"0")</f>
        <v>0</v>
      </c>
      <c r="P1897" s="33">
        <f t="shared" si="116"/>
        <v>0</v>
      </c>
      <c r="Q1897" s="31" t="str">
        <f t="shared" si="117"/>
        <v/>
      </c>
      <c r="R1897" s="32" t="str">
        <f>IFERROR(VLOOKUP($D1897,'Informations sur les produits'!$A$3:$B$15000,2,FALSE),"")</f>
        <v/>
      </c>
      <c r="V1897">
        <f t="shared" si="118"/>
        <v>0</v>
      </c>
      <c r="W1897">
        <f t="shared" si="119"/>
        <v>0</v>
      </c>
    </row>
    <row r="1898" spans="5:23" x14ac:dyDescent="0.25">
      <c r="E1898" s="4"/>
      <c r="F1898" s="4"/>
      <c r="G1898" s="33" t="str">
        <f>IFERROR(VLOOKUP($D1898,'Informations sur les produits'!$A$3:$H$10000,8,FALSE),"0")</f>
        <v>0</v>
      </c>
      <c r="K1898" s="4"/>
      <c r="L1898" s="33" t="str">
        <f>IFERROR(VLOOKUP($J1898,'Informations sur les produits'!$A$3:$H$10000,8,FALSE),"0")</f>
        <v>0</v>
      </c>
      <c r="N1898" s="8"/>
      <c r="O1898" s="33" t="str">
        <f>IFERROR(VLOOKUP($M1898,'Informations sur les produits'!$A$3:$H$10000,8,FALSE),"0")</f>
        <v>0</v>
      </c>
      <c r="P1898" s="33">
        <f t="shared" si="116"/>
        <v>0</v>
      </c>
      <c r="Q1898" s="31" t="str">
        <f t="shared" si="117"/>
        <v/>
      </c>
      <c r="R1898" s="32" t="str">
        <f>IFERROR(VLOOKUP($D1898,'Informations sur les produits'!$A$3:$B$15000,2,FALSE),"")</f>
        <v/>
      </c>
      <c r="V1898">
        <f t="shared" si="118"/>
        <v>0</v>
      </c>
      <c r="W1898">
        <f t="shared" si="119"/>
        <v>0</v>
      </c>
    </row>
    <row r="1899" spans="5:23" x14ac:dyDescent="0.25">
      <c r="E1899" s="4"/>
      <c r="F1899" s="4"/>
      <c r="G1899" s="33" t="str">
        <f>IFERROR(VLOOKUP($D1899,'Informations sur les produits'!$A$3:$H$10000,8,FALSE),"0")</f>
        <v>0</v>
      </c>
      <c r="K1899" s="4"/>
      <c r="L1899" s="33" t="str">
        <f>IFERROR(VLOOKUP($J1899,'Informations sur les produits'!$A$3:$H$10000,8,FALSE),"0")</f>
        <v>0</v>
      </c>
      <c r="N1899" s="8"/>
      <c r="O1899" s="33" t="str">
        <f>IFERROR(VLOOKUP($M1899,'Informations sur les produits'!$A$3:$H$10000,8,FALSE),"0")</f>
        <v>0</v>
      </c>
      <c r="P1899" s="33">
        <f t="shared" si="116"/>
        <v>0</v>
      </c>
      <c r="Q1899" s="31" t="str">
        <f t="shared" si="117"/>
        <v/>
      </c>
      <c r="R1899" s="32" t="str">
        <f>IFERROR(VLOOKUP($D1899,'Informations sur les produits'!$A$3:$B$15000,2,FALSE),"")</f>
        <v/>
      </c>
      <c r="V1899">
        <f t="shared" si="118"/>
        <v>0</v>
      </c>
      <c r="W1899">
        <f t="shared" si="119"/>
        <v>0</v>
      </c>
    </row>
    <row r="1900" spans="5:23" x14ac:dyDescent="0.25">
      <c r="E1900" s="4"/>
      <c r="F1900" s="4"/>
      <c r="G1900" s="33" t="str">
        <f>IFERROR(VLOOKUP($D1900,'Informations sur les produits'!$A$3:$H$10000,8,FALSE),"0")</f>
        <v>0</v>
      </c>
      <c r="K1900" s="4"/>
      <c r="L1900" s="33" t="str">
        <f>IFERROR(VLOOKUP($J1900,'Informations sur les produits'!$A$3:$H$10000,8,FALSE),"0")</f>
        <v>0</v>
      </c>
      <c r="N1900" s="8"/>
      <c r="O1900" s="33" t="str">
        <f>IFERROR(VLOOKUP($M1900,'Informations sur les produits'!$A$3:$H$10000,8,FALSE),"0")</f>
        <v>0</v>
      </c>
      <c r="P1900" s="33">
        <f t="shared" si="116"/>
        <v>0</v>
      </c>
      <c r="Q1900" s="31" t="str">
        <f t="shared" si="117"/>
        <v/>
      </c>
      <c r="R1900" s="32" t="str">
        <f>IFERROR(VLOOKUP($D1900,'Informations sur les produits'!$A$3:$B$15000,2,FALSE),"")</f>
        <v/>
      </c>
      <c r="V1900">
        <f t="shared" si="118"/>
        <v>0</v>
      </c>
      <c r="W1900">
        <f t="shared" si="119"/>
        <v>0</v>
      </c>
    </row>
    <row r="1901" spans="5:23" x14ac:dyDescent="0.25">
      <c r="E1901" s="4"/>
      <c r="F1901" s="4"/>
      <c r="G1901" s="33" t="str">
        <f>IFERROR(VLOOKUP($D1901,'Informations sur les produits'!$A$3:$H$10000,8,FALSE),"0")</f>
        <v>0</v>
      </c>
      <c r="K1901" s="4"/>
      <c r="L1901" s="33" t="str">
        <f>IFERROR(VLOOKUP($J1901,'Informations sur les produits'!$A$3:$H$10000,8,FALSE),"0")</f>
        <v>0</v>
      </c>
      <c r="N1901" s="8"/>
      <c r="O1901" s="33" t="str">
        <f>IFERROR(VLOOKUP($M1901,'Informations sur les produits'!$A$3:$H$10000,8,FALSE),"0")</f>
        <v>0</v>
      </c>
      <c r="P1901" s="33">
        <f t="shared" si="116"/>
        <v>0</v>
      </c>
      <c r="Q1901" s="31" t="str">
        <f t="shared" si="117"/>
        <v/>
      </c>
      <c r="R1901" s="32" t="str">
        <f>IFERROR(VLOOKUP($D1901,'Informations sur les produits'!$A$3:$B$15000,2,FALSE),"")</f>
        <v/>
      </c>
      <c r="V1901">
        <f t="shared" si="118"/>
        <v>0</v>
      </c>
      <c r="W1901">
        <f t="shared" si="119"/>
        <v>0</v>
      </c>
    </row>
    <row r="1902" spans="5:23" x14ac:dyDescent="0.25">
      <c r="E1902" s="4"/>
      <c r="F1902" s="4"/>
      <c r="G1902" s="33" t="str">
        <f>IFERROR(VLOOKUP($D1902,'Informations sur les produits'!$A$3:$H$10000,8,FALSE),"0")</f>
        <v>0</v>
      </c>
      <c r="K1902" s="4"/>
      <c r="L1902" s="33" t="str">
        <f>IFERROR(VLOOKUP($J1902,'Informations sur les produits'!$A$3:$H$10000,8,FALSE),"0")</f>
        <v>0</v>
      </c>
      <c r="N1902" s="8"/>
      <c r="O1902" s="33" t="str">
        <f>IFERROR(VLOOKUP($M1902,'Informations sur les produits'!$A$3:$H$10000,8,FALSE),"0")</f>
        <v>0</v>
      </c>
      <c r="P1902" s="33">
        <f t="shared" si="116"/>
        <v>0</v>
      </c>
      <c r="Q1902" s="31" t="str">
        <f t="shared" si="117"/>
        <v/>
      </c>
      <c r="R1902" s="32" t="str">
        <f>IFERROR(VLOOKUP($D1902,'Informations sur les produits'!$A$3:$B$15000,2,FALSE),"")</f>
        <v/>
      </c>
      <c r="V1902">
        <f t="shared" si="118"/>
        <v>0</v>
      </c>
      <c r="W1902">
        <f t="shared" si="119"/>
        <v>0</v>
      </c>
    </row>
    <row r="1903" spans="5:23" x14ac:dyDescent="0.25">
      <c r="E1903" s="4"/>
      <c r="F1903" s="4"/>
      <c r="G1903" s="33" t="str">
        <f>IFERROR(VLOOKUP($D1903,'Informations sur les produits'!$A$3:$H$10000,8,FALSE),"0")</f>
        <v>0</v>
      </c>
      <c r="K1903" s="4"/>
      <c r="L1903" s="33" t="str">
        <f>IFERROR(VLOOKUP($J1903,'Informations sur les produits'!$A$3:$H$10000,8,FALSE),"0")</f>
        <v>0</v>
      </c>
      <c r="N1903" s="8"/>
      <c r="O1903" s="33" t="str">
        <f>IFERROR(VLOOKUP($M1903,'Informations sur les produits'!$A$3:$H$10000,8,FALSE),"0")</f>
        <v>0</v>
      </c>
      <c r="P1903" s="33">
        <f t="shared" si="116"/>
        <v>0</v>
      </c>
      <c r="Q1903" s="31" t="str">
        <f t="shared" si="117"/>
        <v/>
      </c>
      <c r="R1903" s="32" t="str">
        <f>IFERROR(VLOOKUP($D1903,'Informations sur les produits'!$A$3:$B$15000,2,FALSE),"")</f>
        <v/>
      </c>
      <c r="V1903">
        <f t="shared" si="118"/>
        <v>0</v>
      </c>
      <c r="W1903">
        <f t="shared" si="119"/>
        <v>0</v>
      </c>
    </row>
    <row r="1904" spans="5:23" x14ac:dyDescent="0.25">
      <c r="E1904" s="4"/>
      <c r="F1904" s="4"/>
      <c r="G1904" s="33" t="str">
        <f>IFERROR(VLOOKUP($D1904,'Informations sur les produits'!$A$3:$H$10000,8,FALSE),"0")</f>
        <v>0</v>
      </c>
      <c r="K1904" s="4"/>
      <c r="L1904" s="33" t="str">
        <f>IFERROR(VLOOKUP($J1904,'Informations sur les produits'!$A$3:$H$10000,8,FALSE),"0")</f>
        <v>0</v>
      </c>
      <c r="N1904" s="8"/>
      <c r="O1904" s="33" t="str">
        <f>IFERROR(VLOOKUP($M1904,'Informations sur les produits'!$A$3:$H$10000,8,FALSE),"0")</f>
        <v>0</v>
      </c>
      <c r="P1904" s="33">
        <f t="shared" si="116"/>
        <v>0</v>
      </c>
      <c r="Q1904" s="31" t="str">
        <f t="shared" si="117"/>
        <v/>
      </c>
      <c r="R1904" s="32" t="str">
        <f>IFERROR(VLOOKUP($D1904,'Informations sur les produits'!$A$3:$B$15000,2,FALSE),"")</f>
        <v/>
      </c>
      <c r="V1904">
        <f t="shared" si="118"/>
        <v>0</v>
      </c>
      <c r="W1904">
        <f t="shared" si="119"/>
        <v>0</v>
      </c>
    </row>
    <row r="1905" spans="5:23" x14ac:dyDescent="0.25">
      <c r="E1905" s="4"/>
      <c r="F1905" s="4"/>
      <c r="G1905" s="33" t="str">
        <f>IFERROR(VLOOKUP($D1905,'Informations sur les produits'!$A$3:$H$10000,8,FALSE),"0")</f>
        <v>0</v>
      </c>
      <c r="K1905" s="4"/>
      <c r="L1905" s="33" t="str">
        <f>IFERROR(VLOOKUP($J1905,'Informations sur les produits'!$A$3:$H$10000,8,FALSE),"0")</f>
        <v>0</v>
      </c>
      <c r="N1905" s="8"/>
      <c r="O1905" s="33" t="str">
        <f>IFERROR(VLOOKUP($M1905,'Informations sur les produits'!$A$3:$H$10000,8,FALSE),"0")</f>
        <v>0</v>
      </c>
      <c r="P1905" s="33">
        <f t="shared" si="116"/>
        <v>0</v>
      </c>
      <c r="Q1905" s="31" t="str">
        <f t="shared" si="117"/>
        <v/>
      </c>
      <c r="R1905" s="32" t="str">
        <f>IFERROR(VLOOKUP($D1905,'Informations sur les produits'!$A$3:$B$15000,2,FALSE),"")</f>
        <v/>
      </c>
      <c r="V1905">
        <f t="shared" si="118"/>
        <v>0</v>
      </c>
      <c r="W1905">
        <f t="shared" si="119"/>
        <v>0</v>
      </c>
    </row>
    <row r="1906" spans="5:23" x14ac:dyDescent="0.25">
      <c r="E1906" s="4"/>
      <c r="F1906" s="4"/>
      <c r="G1906" s="33" t="str">
        <f>IFERROR(VLOOKUP($D1906,'Informations sur les produits'!$A$3:$H$10000,8,FALSE),"0")</f>
        <v>0</v>
      </c>
      <c r="K1906" s="4"/>
      <c r="L1906" s="33" t="str">
        <f>IFERROR(VLOOKUP($J1906,'Informations sur les produits'!$A$3:$H$10000,8,FALSE),"0")</f>
        <v>0</v>
      </c>
      <c r="N1906" s="8"/>
      <c r="O1906" s="33" t="str">
        <f>IFERROR(VLOOKUP($M1906,'Informations sur les produits'!$A$3:$H$10000,8,FALSE),"0")</f>
        <v>0</v>
      </c>
      <c r="P1906" s="33">
        <f t="shared" si="116"/>
        <v>0</v>
      </c>
      <c r="Q1906" s="31" t="str">
        <f t="shared" si="117"/>
        <v/>
      </c>
      <c r="R1906" s="32" t="str">
        <f>IFERROR(VLOOKUP($D1906,'Informations sur les produits'!$A$3:$B$15000,2,FALSE),"")</f>
        <v/>
      </c>
      <c r="V1906">
        <f t="shared" si="118"/>
        <v>0</v>
      </c>
      <c r="W1906">
        <f t="shared" si="119"/>
        <v>0</v>
      </c>
    </row>
    <row r="1907" spans="5:23" x14ac:dyDescent="0.25">
      <c r="E1907" s="4"/>
      <c r="F1907" s="4"/>
      <c r="G1907" s="33" t="str">
        <f>IFERROR(VLOOKUP($D1907,'Informations sur les produits'!$A$3:$H$10000,8,FALSE),"0")</f>
        <v>0</v>
      </c>
      <c r="K1907" s="4"/>
      <c r="L1907" s="33" t="str">
        <f>IFERROR(VLOOKUP($J1907,'Informations sur les produits'!$A$3:$H$10000,8,FALSE),"0")</f>
        <v>0</v>
      </c>
      <c r="N1907" s="8"/>
      <c r="O1907" s="33" t="str">
        <f>IFERROR(VLOOKUP($M1907,'Informations sur les produits'!$A$3:$H$10000,8,FALSE),"0")</f>
        <v>0</v>
      </c>
      <c r="P1907" s="33">
        <f t="shared" si="116"/>
        <v>0</v>
      </c>
      <c r="Q1907" s="31" t="str">
        <f t="shared" si="117"/>
        <v/>
      </c>
      <c r="R1907" s="32" t="str">
        <f>IFERROR(VLOOKUP($D1907,'Informations sur les produits'!$A$3:$B$15000,2,FALSE),"")</f>
        <v/>
      </c>
      <c r="V1907">
        <f t="shared" si="118"/>
        <v>0</v>
      </c>
      <c r="W1907">
        <f t="shared" si="119"/>
        <v>0</v>
      </c>
    </row>
    <row r="1908" spans="5:23" x14ac:dyDescent="0.25">
      <c r="E1908" s="4"/>
      <c r="F1908" s="4"/>
      <c r="G1908" s="33" t="str">
        <f>IFERROR(VLOOKUP($D1908,'Informations sur les produits'!$A$3:$H$10000,8,FALSE),"0")</f>
        <v>0</v>
      </c>
      <c r="K1908" s="4"/>
      <c r="L1908" s="33" t="str">
        <f>IFERROR(VLOOKUP($J1908,'Informations sur les produits'!$A$3:$H$10000,8,FALSE),"0")</f>
        <v>0</v>
      </c>
      <c r="N1908" s="8"/>
      <c r="O1908" s="33" t="str">
        <f>IFERROR(VLOOKUP($M1908,'Informations sur les produits'!$A$3:$H$10000,8,FALSE),"0")</f>
        <v>0</v>
      </c>
      <c r="P1908" s="33">
        <f t="shared" si="116"/>
        <v>0</v>
      </c>
      <c r="Q1908" s="31" t="str">
        <f t="shared" si="117"/>
        <v/>
      </c>
      <c r="R1908" s="32" t="str">
        <f>IFERROR(VLOOKUP($D1908,'Informations sur les produits'!$A$3:$B$15000,2,FALSE),"")</f>
        <v/>
      </c>
      <c r="V1908">
        <f t="shared" si="118"/>
        <v>0</v>
      </c>
      <c r="W1908">
        <f t="shared" si="119"/>
        <v>0</v>
      </c>
    </row>
    <row r="1909" spans="5:23" x14ac:dyDescent="0.25">
      <c r="E1909" s="4"/>
      <c r="F1909" s="4"/>
      <c r="G1909" s="33" t="str">
        <f>IFERROR(VLOOKUP($D1909,'Informations sur les produits'!$A$3:$H$10000,8,FALSE),"0")</f>
        <v>0</v>
      </c>
      <c r="K1909" s="4"/>
      <c r="L1909" s="33" t="str">
        <f>IFERROR(VLOOKUP($J1909,'Informations sur les produits'!$A$3:$H$10000,8,FALSE),"0")</f>
        <v>0</v>
      </c>
      <c r="N1909" s="8"/>
      <c r="O1909" s="33" t="str">
        <f>IFERROR(VLOOKUP($M1909,'Informations sur les produits'!$A$3:$H$10000,8,FALSE),"0")</f>
        <v>0</v>
      </c>
      <c r="P1909" s="33">
        <f t="shared" si="116"/>
        <v>0</v>
      </c>
      <c r="Q1909" s="31" t="str">
        <f t="shared" si="117"/>
        <v/>
      </c>
      <c r="R1909" s="32" t="str">
        <f>IFERROR(VLOOKUP($D1909,'Informations sur les produits'!$A$3:$B$15000,2,FALSE),"")</f>
        <v/>
      </c>
      <c r="V1909">
        <f t="shared" si="118"/>
        <v>0</v>
      </c>
      <c r="W1909">
        <f t="shared" si="119"/>
        <v>0</v>
      </c>
    </row>
    <row r="1910" spans="5:23" x14ac:dyDescent="0.25">
      <c r="E1910" s="4"/>
      <c r="F1910" s="4"/>
      <c r="G1910" s="33" t="str">
        <f>IFERROR(VLOOKUP($D1910,'Informations sur les produits'!$A$3:$H$10000,8,FALSE),"0")</f>
        <v>0</v>
      </c>
      <c r="K1910" s="4"/>
      <c r="L1910" s="33" t="str">
        <f>IFERROR(VLOOKUP($J1910,'Informations sur les produits'!$A$3:$H$10000,8,FALSE),"0")</f>
        <v>0</v>
      </c>
      <c r="N1910" s="8"/>
      <c r="O1910" s="33" t="str">
        <f>IFERROR(VLOOKUP($M1910,'Informations sur les produits'!$A$3:$H$10000,8,FALSE),"0")</f>
        <v>0</v>
      </c>
      <c r="P1910" s="33">
        <f t="shared" si="116"/>
        <v>0</v>
      </c>
      <c r="Q1910" s="31" t="str">
        <f t="shared" si="117"/>
        <v/>
      </c>
      <c r="R1910" s="32" t="str">
        <f>IFERROR(VLOOKUP($D1910,'Informations sur les produits'!$A$3:$B$15000,2,FALSE),"")</f>
        <v/>
      </c>
      <c r="V1910">
        <f t="shared" si="118"/>
        <v>0</v>
      </c>
      <c r="W1910">
        <f t="shared" si="119"/>
        <v>0</v>
      </c>
    </row>
    <row r="1911" spans="5:23" x14ac:dyDescent="0.25">
      <c r="E1911" s="4"/>
      <c r="F1911" s="4"/>
      <c r="G1911" s="33" t="str">
        <f>IFERROR(VLOOKUP($D1911,'Informations sur les produits'!$A$3:$H$10000,8,FALSE),"0")</f>
        <v>0</v>
      </c>
      <c r="K1911" s="4"/>
      <c r="L1911" s="33" t="str">
        <f>IFERROR(VLOOKUP($J1911,'Informations sur les produits'!$A$3:$H$10000,8,FALSE),"0")</f>
        <v>0</v>
      </c>
      <c r="N1911" s="8"/>
      <c r="O1911" s="33" t="str">
        <f>IFERROR(VLOOKUP($M1911,'Informations sur les produits'!$A$3:$H$10000,8,FALSE),"0")</f>
        <v>0</v>
      </c>
      <c r="P1911" s="33">
        <f t="shared" si="116"/>
        <v>0</v>
      </c>
      <c r="Q1911" s="31" t="str">
        <f t="shared" si="117"/>
        <v/>
      </c>
      <c r="R1911" s="32" t="str">
        <f>IFERROR(VLOOKUP($D1911,'Informations sur les produits'!$A$3:$B$15000,2,FALSE),"")</f>
        <v/>
      </c>
      <c r="V1911">
        <f t="shared" si="118"/>
        <v>0</v>
      </c>
      <c r="W1911">
        <f t="shared" si="119"/>
        <v>0</v>
      </c>
    </row>
    <row r="1912" spans="5:23" x14ac:dyDescent="0.25">
      <c r="E1912" s="4"/>
      <c r="F1912" s="4"/>
      <c r="G1912" s="33" t="str">
        <f>IFERROR(VLOOKUP($D1912,'Informations sur les produits'!$A$3:$H$10000,8,FALSE),"0")</f>
        <v>0</v>
      </c>
      <c r="K1912" s="4"/>
      <c r="L1912" s="33" t="str">
        <f>IFERROR(VLOOKUP($J1912,'Informations sur les produits'!$A$3:$H$10000,8,FALSE),"0")</f>
        <v>0</v>
      </c>
      <c r="N1912" s="8"/>
      <c r="O1912" s="33" t="str">
        <f>IFERROR(VLOOKUP($M1912,'Informations sur les produits'!$A$3:$H$10000,8,FALSE),"0")</f>
        <v>0</v>
      </c>
      <c r="P1912" s="33">
        <f t="shared" si="116"/>
        <v>0</v>
      </c>
      <c r="Q1912" s="31" t="str">
        <f t="shared" si="117"/>
        <v/>
      </c>
      <c r="R1912" s="32" t="str">
        <f>IFERROR(VLOOKUP($D1912,'Informations sur les produits'!$A$3:$B$15000,2,FALSE),"")</f>
        <v/>
      </c>
      <c r="V1912">
        <f t="shared" si="118"/>
        <v>0</v>
      </c>
      <c r="W1912">
        <f t="shared" si="119"/>
        <v>0</v>
      </c>
    </row>
    <row r="1913" spans="5:23" x14ac:dyDescent="0.25">
      <c r="E1913" s="4"/>
      <c r="F1913" s="4"/>
      <c r="G1913" s="33" t="str">
        <f>IFERROR(VLOOKUP($D1913,'Informations sur les produits'!$A$3:$H$10000,8,FALSE),"0")</f>
        <v>0</v>
      </c>
      <c r="K1913" s="4"/>
      <c r="L1913" s="33" t="str">
        <f>IFERROR(VLOOKUP($J1913,'Informations sur les produits'!$A$3:$H$10000,8,FALSE),"0")</f>
        <v>0</v>
      </c>
      <c r="N1913" s="8"/>
      <c r="O1913" s="33" t="str">
        <f>IFERROR(VLOOKUP($M1913,'Informations sur les produits'!$A$3:$H$10000,8,FALSE),"0")</f>
        <v>0</v>
      </c>
      <c r="P1913" s="33">
        <f t="shared" si="116"/>
        <v>0</v>
      </c>
      <c r="Q1913" s="31" t="str">
        <f t="shared" si="117"/>
        <v/>
      </c>
      <c r="R1913" s="32" t="str">
        <f>IFERROR(VLOOKUP($D1913,'Informations sur les produits'!$A$3:$B$15000,2,FALSE),"")</f>
        <v/>
      </c>
      <c r="V1913">
        <f t="shared" si="118"/>
        <v>0</v>
      </c>
      <c r="W1913">
        <f t="shared" si="119"/>
        <v>0</v>
      </c>
    </row>
    <row r="1914" spans="5:23" x14ac:dyDescent="0.25">
      <c r="E1914" s="4"/>
      <c r="F1914" s="4"/>
      <c r="G1914" s="33" t="str">
        <f>IFERROR(VLOOKUP($D1914,'Informations sur les produits'!$A$3:$H$10000,8,FALSE),"0")</f>
        <v>0</v>
      </c>
      <c r="K1914" s="4"/>
      <c r="L1914" s="33" t="str">
        <f>IFERROR(VLOOKUP($J1914,'Informations sur les produits'!$A$3:$H$10000,8,FALSE),"0")</f>
        <v>0</v>
      </c>
      <c r="N1914" s="8"/>
      <c r="O1914" s="33" t="str">
        <f>IFERROR(VLOOKUP($M1914,'Informations sur les produits'!$A$3:$H$10000,8,FALSE),"0")</f>
        <v>0</v>
      </c>
      <c r="P1914" s="33">
        <f t="shared" si="116"/>
        <v>0</v>
      </c>
      <c r="Q1914" s="31" t="str">
        <f t="shared" si="117"/>
        <v/>
      </c>
      <c r="R1914" s="32" t="str">
        <f>IFERROR(VLOOKUP($D1914,'Informations sur les produits'!$A$3:$B$15000,2,FALSE),"")</f>
        <v/>
      </c>
      <c r="V1914">
        <f t="shared" si="118"/>
        <v>0</v>
      </c>
      <c r="W1914">
        <f t="shared" si="119"/>
        <v>0</v>
      </c>
    </row>
    <row r="1915" spans="5:23" x14ac:dyDescent="0.25">
      <c r="E1915" s="4"/>
      <c r="F1915" s="4"/>
      <c r="G1915" s="33" t="str">
        <f>IFERROR(VLOOKUP($D1915,'Informations sur les produits'!$A$3:$H$10000,8,FALSE),"0")</f>
        <v>0</v>
      </c>
      <c r="K1915" s="4"/>
      <c r="L1915" s="33" t="str">
        <f>IFERROR(VLOOKUP($J1915,'Informations sur les produits'!$A$3:$H$10000,8,FALSE),"0")</f>
        <v>0</v>
      </c>
      <c r="N1915" s="8"/>
      <c r="O1915" s="33" t="str">
        <f>IFERROR(VLOOKUP($M1915,'Informations sur les produits'!$A$3:$H$10000,8,FALSE),"0")</f>
        <v>0</v>
      </c>
      <c r="P1915" s="33">
        <f t="shared" si="116"/>
        <v>0</v>
      </c>
      <c r="Q1915" s="31" t="str">
        <f t="shared" si="117"/>
        <v/>
      </c>
      <c r="R1915" s="32" t="str">
        <f>IFERROR(VLOOKUP($D1915,'Informations sur les produits'!$A$3:$B$15000,2,FALSE),"")</f>
        <v/>
      </c>
      <c r="V1915">
        <f t="shared" si="118"/>
        <v>0</v>
      </c>
      <c r="W1915">
        <f t="shared" si="119"/>
        <v>0</v>
      </c>
    </row>
    <row r="1916" spans="5:23" x14ac:dyDescent="0.25">
      <c r="E1916" s="4"/>
      <c r="F1916" s="4"/>
      <c r="G1916" s="33" t="str">
        <f>IFERROR(VLOOKUP($D1916,'Informations sur les produits'!$A$3:$H$10000,8,FALSE),"0")</f>
        <v>0</v>
      </c>
      <c r="K1916" s="4"/>
      <c r="L1916" s="33" t="str">
        <f>IFERROR(VLOOKUP($J1916,'Informations sur les produits'!$A$3:$H$10000,8,FALSE),"0")</f>
        <v>0</v>
      </c>
      <c r="N1916" s="8"/>
      <c r="O1916" s="33" t="str">
        <f>IFERROR(VLOOKUP($M1916,'Informations sur les produits'!$A$3:$H$10000,8,FALSE),"0")</f>
        <v>0</v>
      </c>
      <c r="P1916" s="33">
        <f t="shared" si="116"/>
        <v>0</v>
      </c>
      <c r="Q1916" s="31" t="str">
        <f t="shared" si="117"/>
        <v/>
      </c>
      <c r="R1916" s="32" t="str">
        <f>IFERROR(VLOOKUP($D1916,'Informations sur les produits'!$A$3:$B$15000,2,FALSE),"")</f>
        <v/>
      </c>
      <c r="V1916">
        <f t="shared" si="118"/>
        <v>0</v>
      </c>
      <c r="W1916">
        <f t="shared" si="119"/>
        <v>0</v>
      </c>
    </row>
    <row r="1917" spans="5:23" x14ac:dyDescent="0.25">
      <c r="E1917" s="4"/>
      <c r="F1917" s="4"/>
      <c r="G1917" s="33" t="str">
        <f>IFERROR(VLOOKUP($D1917,'Informations sur les produits'!$A$3:$H$10000,8,FALSE),"0")</f>
        <v>0</v>
      </c>
      <c r="K1917" s="4"/>
      <c r="L1917" s="33" t="str">
        <f>IFERROR(VLOOKUP($J1917,'Informations sur les produits'!$A$3:$H$10000,8,FALSE),"0")</f>
        <v>0</v>
      </c>
      <c r="N1917" s="8"/>
      <c r="O1917" s="33" t="str">
        <f>IFERROR(VLOOKUP($M1917,'Informations sur les produits'!$A$3:$H$10000,8,FALSE),"0")</f>
        <v>0</v>
      </c>
      <c r="P1917" s="33">
        <f t="shared" si="116"/>
        <v>0</v>
      </c>
      <c r="Q1917" s="31" t="str">
        <f t="shared" si="117"/>
        <v/>
      </c>
      <c r="R1917" s="32" t="str">
        <f>IFERROR(VLOOKUP($D1917,'Informations sur les produits'!$A$3:$B$15000,2,FALSE),"")</f>
        <v/>
      </c>
      <c r="V1917">
        <f t="shared" si="118"/>
        <v>0</v>
      </c>
      <c r="W1917">
        <f t="shared" si="119"/>
        <v>0</v>
      </c>
    </row>
    <row r="1918" spans="5:23" x14ac:dyDescent="0.25">
      <c r="E1918" s="4"/>
      <c r="F1918" s="4"/>
      <c r="G1918" s="33" t="str">
        <f>IFERROR(VLOOKUP($D1918,'Informations sur les produits'!$A$3:$H$10000,8,FALSE),"0")</f>
        <v>0</v>
      </c>
      <c r="K1918" s="4"/>
      <c r="L1918" s="33" t="str">
        <f>IFERROR(VLOOKUP($J1918,'Informations sur les produits'!$A$3:$H$10000,8,FALSE),"0")</f>
        <v>0</v>
      </c>
      <c r="N1918" s="8"/>
      <c r="O1918" s="33" t="str">
        <f>IFERROR(VLOOKUP($M1918,'Informations sur les produits'!$A$3:$H$10000,8,FALSE),"0")</f>
        <v>0</v>
      </c>
      <c r="P1918" s="33">
        <f t="shared" si="116"/>
        <v>0</v>
      </c>
      <c r="Q1918" s="31" t="str">
        <f t="shared" si="117"/>
        <v/>
      </c>
      <c r="R1918" s="32" t="str">
        <f>IFERROR(VLOOKUP($D1918,'Informations sur les produits'!$A$3:$B$15000,2,FALSE),"")</f>
        <v/>
      </c>
      <c r="V1918">
        <f t="shared" si="118"/>
        <v>0</v>
      </c>
      <c r="W1918">
        <f t="shared" si="119"/>
        <v>0</v>
      </c>
    </row>
    <row r="1919" spans="5:23" x14ac:dyDescent="0.25">
      <c r="E1919" s="4"/>
      <c r="F1919" s="4"/>
      <c r="G1919" s="33" t="str">
        <f>IFERROR(VLOOKUP($D1919,'Informations sur les produits'!$A$3:$H$10000,8,FALSE),"0")</f>
        <v>0</v>
      </c>
      <c r="K1919" s="4"/>
      <c r="L1919" s="33" t="str">
        <f>IFERROR(VLOOKUP($J1919,'Informations sur les produits'!$A$3:$H$10000,8,FALSE),"0")</f>
        <v>0</v>
      </c>
      <c r="N1919" s="8"/>
      <c r="O1919" s="33" t="str">
        <f>IFERROR(VLOOKUP($M1919,'Informations sur les produits'!$A$3:$H$10000,8,FALSE),"0")</f>
        <v>0</v>
      </c>
      <c r="P1919" s="33">
        <f t="shared" si="116"/>
        <v>0</v>
      </c>
      <c r="Q1919" s="31" t="str">
        <f t="shared" si="117"/>
        <v/>
      </c>
      <c r="R1919" s="32" t="str">
        <f>IFERROR(VLOOKUP($D1919,'Informations sur les produits'!$A$3:$B$15000,2,FALSE),"")</f>
        <v/>
      </c>
      <c r="V1919">
        <f t="shared" si="118"/>
        <v>0</v>
      </c>
      <c r="W1919">
        <f t="shared" si="119"/>
        <v>0</v>
      </c>
    </row>
    <row r="1920" spans="5:23" x14ac:dyDescent="0.25">
      <c r="E1920" s="4"/>
      <c r="F1920" s="4"/>
      <c r="G1920" s="33" t="str">
        <f>IFERROR(VLOOKUP($D1920,'Informations sur les produits'!$A$3:$H$10000,8,FALSE),"0")</f>
        <v>0</v>
      </c>
      <c r="K1920" s="4"/>
      <c r="L1920" s="33" t="str">
        <f>IFERROR(VLOOKUP($J1920,'Informations sur les produits'!$A$3:$H$10000,8,FALSE),"0")</f>
        <v>0</v>
      </c>
      <c r="N1920" s="8"/>
      <c r="O1920" s="33" t="str">
        <f>IFERROR(VLOOKUP($M1920,'Informations sur les produits'!$A$3:$H$10000,8,FALSE),"0")</f>
        <v>0</v>
      </c>
      <c r="P1920" s="33">
        <f t="shared" si="116"/>
        <v>0</v>
      </c>
      <c r="Q1920" s="31" t="str">
        <f t="shared" si="117"/>
        <v/>
      </c>
      <c r="R1920" s="32" t="str">
        <f>IFERROR(VLOOKUP($D1920,'Informations sur les produits'!$A$3:$B$15000,2,FALSE),"")</f>
        <v/>
      </c>
      <c r="V1920">
        <f t="shared" si="118"/>
        <v>0</v>
      </c>
      <c r="W1920">
        <f t="shared" si="119"/>
        <v>0</v>
      </c>
    </row>
    <row r="1921" spans="5:23" x14ac:dyDescent="0.25">
      <c r="E1921" s="4"/>
      <c r="F1921" s="4"/>
      <c r="G1921" s="33" t="str">
        <f>IFERROR(VLOOKUP($D1921,'Informations sur les produits'!$A$3:$H$10000,8,FALSE),"0")</f>
        <v>0</v>
      </c>
      <c r="K1921" s="4"/>
      <c r="L1921" s="33" t="str">
        <f>IFERROR(VLOOKUP($J1921,'Informations sur les produits'!$A$3:$H$10000,8,FALSE),"0")</f>
        <v>0</v>
      </c>
      <c r="N1921" s="8"/>
      <c r="O1921" s="33" t="str">
        <f>IFERROR(VLOOKUP($M1921,'Informations sur les produits'!$A$3:$H$10000,8,FALSE),"0")</f>
        <v>0</v>
      </c>
      <c r="P1921" s="33">
        <f t="shared" si="116"/>
        <v>0</v>
      </c>
      <c r="Q1921" s="31" t="str">
        <f t="shared" si="117"/>
        <v/>
      </c>
      <c r="R1921" s="32" t="str">
        <f>IFERROR(VLOOKUP($D1921,'Informations sur les produits'!$A$3:$B$15000,2,FALSE),"")</f>
        <v/>
      </c>
      <c r="V1921">
        <f t="shared" si="118"/>
        <v>0</v>
      </c>
      <c r="W1921">
        <f t="shared" si="119"/>
        <v>0</v>
      </c>
    </row>
    <row r="1922" spans="5:23" x14ac:dyDescent="0.25">
      <c r="E1922" s="4"/>
      <c r="F1922" s="4"/>
      <c r="G1922" s="33" t="str">
        <f>IFERROR(VLOOKUP($D1922,'Informations sur les produits'!$A$3:$H$10000,8,FALSE),"0")</f>
        <v>0</v>
      </c>
      <c r="K1922" s="4"/>
      <c r="L1922" s="33" t="str">
        <f>IFERROR(VLOOKUP($J1922,'Informations sur les produits'!$A$3:$H$10000,8,FALSE),"0")</f>
        <v>0</v>
      </c>
      <c r="N1922" s="8"/>
      <c r="O1922" s="33" t="str">
        <f>IFERROR(VLOOKUP($M1922,'Informations sur les produits'!$A$3:$H$10000,8,FALSE),"0")</f>
        <v>0</v>
      </c>
      <c r="P1922" s="33">
        <f t="shared" si="116"/>
        <v>0</v>
      </c>
      <c r="Q1922" s="31" t="str">
        <f t="shared" si="117"/>
        <v/>
      </c>
      <c r="R1922" s="32" t="str">
        <f>IFERROR(VLOOKUP($D1922,'Informations sur les produits'!$A$3:$B$15000,2,FALSE),"")</f>
        <v/>
      </c>
      <c r="V1922">
        <f t="shared" si="118"/>
        <v>0</v>
      </c>
      <c r="W1922">
        <f t="shared" si="119"/>
        <v>0</v>
      </c>
    </row>
    <row r="1923" spans="5:23" x14ac:dyDescent="0.25">
      <c r="E1923" s="4"/>
      <c r="F1923" s="4"/>
      <c r="G1923" s="33" t="str">
        <f>IFERROR(VLOOKUP($D1923,'Informations sur les produits'!$A$3:$H$10000,8,FALSE),"0")</f>
        <v>0</v>
      </c>
      <c r="K1923" s="4"/>
      <c r="L1923" s="33" t="str">
        <f>IFERROR(VLOOKUP($J1923,'Informations sur les produits'!$A$3:$H$10000,8,FALSE),"0")</f>
        <v>0</v>
      </c>
      <c r="N1923" s="8"/>
      <c r="O1923" s="33" t="str">
        <f>IFERROR(VLOOKUP($M1923,'Informations sur les produits'!$A$3:$H$10000,8,FALSE),"0")</f>
        <v>0</v>
      </c>
      <c r="P1923" s="33">
        <f t="shared" si="116"/>
        <v>0</v>
      </c>
      <c r="Q1923" s="31" t="str">
        <f t="shared" si="117"/>
        <v/>
      </c>
      <c r="R1923" s="32" t="str">
        <f>IFERROR(VLOOKUP($D1923,'Informations sur les produits'!$A$3:$B$15000,2,FALSE),"")</f>
        <v/>
      </c>
      <c r="V1923">
        <f t="shared" si="118"/>
        <v>0</v>
      </c>
      <c r="W1923">
        <f t="shared" si="119"/>
        <v>0</v>
      </c>
    </row>
    <row r="1924" spans="5:23" x14ac:dyDescent="0.25">
      <c r="E1924" s="4"/>
      <c r="F1924" s="4"/>
      <c r="G1924" s="33" t="str">
        <f>IFERROR(VLOOKUP($D1924,'Informations sur les produits'!$A$3:$H$10000,8,FALSE),"0")</f>
        <v>0</v>
      </c>
      <c r="K1924" s="4"/>
      <c r="L1924" s="33" t="str">
        <f>IFERROR(VLOOKUP($J1924,'Informations sur les produits'!$A$3:$H$10000,8,FALSE),"0")</f>
        <v>0</v>
      </c>
      <c r="N1924" s="8"/>
      <c r="O1924" s="33" t="str">
        <f>IFERROR(VLOOKUP($M1924,'Informations sur les produits'!$A$3:$H$10000,8,FALSE),"0")</f>
        <v>0</v>
      </c>
      <c r="P1924" s="33">
        <f t="shared" ref="P1924:P1987" si="120">IFERROR((($E1924-$F1924)*$G1924+$K1924*$L1924+$N1924*$O1924),"")</f>
        <v>0</v>
      </c>
      <c r="Q1924" s="31" t="str">
        <f t="shared" ref="Q1924:Q1987" si="121">IFERROR((((($E1924-$F1924)*$G1924+$K1924*$L1924+$N1924*$O1924)*1000)/(($E1924-$F1924)+$K1924+$N1924)),"")</f>
        <v/>
      </c>
      <c r="R1924" s="32" t="str">
        <f>IFERROR(VLOOKUP($D1924,'Informations sur les produits'!$A$3:$B$15000,2,FALSE),"")</f>
        <v/>
      </c>
      <c r="V1924">
        <f t="shared" ref="V1924:V1987" si="122">IFERROR(P1924*1000,"")</f>
        <v>0</v>
      </c>
      <c r="W1924">
        <f t="shared" ref="W1924:W1987" si="123">IFERROR(($E1924-$F1924)+$K1924+$N1924,"")</f>
        <v>0</v>
      </c>
    </row>
    <row r="1925" spans="5:23" x14ac:dyDescent="0.25">
      <c r="E1925" s="4"/>
      <c r="F1925" s="4"/>
      <c r="G1925" s="33" t="str">
        <f>IFERROR(VLOOKUP($D1925,'Informations sur les produits'!$A$3:$H$10000,8,FALSE),"0")</f>
        <v>0</v>
      </c>
      <c r="K1925" s="4"/>
      <c r="L1925" s="33" t="str">
        <f>IFERROR(VLOOKUP($J1925,'Informations sur les produits'!$A$3:$H$10000,8,FALSE),"0")</f>
        <v>0</v>
      </c>
      <c r="N1925" s="8"/>
      <c r="O1925" s="33" t="str">
        <f>IFERROR(VLOOKUP($M1925,'Informations sur les produits'!$A$3:$H$10000,8,FALSE),"0")</f>
        <v>0</v>
      </c>
      <c r="P1925" s="33">
        <f t="shared" si="120"/>
        <v>0</v>
      </c>
      <c r="Q1925" s="31" t="str">
        <f t="shared" si="121"/>
        <v/>
      </c>
      <c r="R1925" s="32" t="str">
        <f>IFERROR(VLOOKUP($D1925,'Informations sur les produits'!$A$3:$B$15000,2,FALSE),"")</f>
        <v/>
      </c>
      <c r="V1925">
        <f t="shared" si="122"/>
        <v>0</v>
      </c>
      <c r="W1925">
        <f t="shared" si="123"/>
        <v>0</v>
      </c>
    </row>
    <row r="1926" spans="5:23" x14ac:dyDescent="0.25">
      <c r="E1926" s="4"/>
      <c r="F1926" s="4"/>
      <c r="G1926" s="33" t="str">
        <f>IFERROR(VLOOKUP($D1926,'Informations sur les produits'!$A$3:$H$10000,8,FALSE),"0")</f>
        <v>0</v>
      </c>
      <c r="K1926" s="4"/>
      <c r="L1926" s="33" t="str">
        <f>IFERROR(VLOOKUP($J1926,'Informations sur les produits'!$A$3:$H$10000,8,FALSE),"0")</f>
        <v>0</v>
      </c>
      <c r="N1926" s="8"/>
      <c r="O1926" s="33" t="str">
        <f>IFERROR(VLOOKUP($M1926,'Informations sur les produits'!$A$3:$H$10000,8,FALSE),"0")</f>
        <v>0</v>
      </c>
      <c r="P1926" s="33">
        <f t="shared" si="120"/>
        <v>0</v>
      </c>
      <c r="Q1926" s="31" t="str">
        <f t="shared" si="121"/>
        <v/>
      </c>
      <c r="R1926" s="32" t="str">
        <f>IFERROR(VLOOKUP($D1926,'Informations sur les produits'!$A$3:$B$15000,2,FALSE),"")</f>
        <v/>
      </c>
      <c r="V1926">
        <f t="shared" si="122"/>
        <v>0</v>
      </c>
      <c r="W1926">
        <f t="shared" si="123"/>
        <v>0</v>
      </c>
    </row>
    <row r="1927" spans="5:23" x14ac:dyDescent="0.25">
      <c r="E1927" s="4"/>
      <c r="F1927" s="4"/>
      <c r="G1927" s="33" t="str">
        <f>IFERROR(VLOOKUP($D1927,'Informations sur les produits'!$A$3:$H$10000,8,FALSE),"0")</f>
        <v>0</v>
      </c>
      <c r="K1927" s="4"/>
      <c r="L1927" s="33" t="str">
        <f>IFERROR(VLOOKUP($J1927,'Informations sur les produits'!$A$3:$H$10000,8,FALSE),"0")</f>
        <v>0</v>
      </c>
      <c r="N1927" s="8"/>
      <c r="O1927" s="33" t="str">
        <f>IFERROR(VLOOKUP($M1927,'Informations sur les produits'!$A$3:$H$10000,8,FALSE),"0")</f>
        <v>0</v>
      </c>
      <c r="P1927" s="33">
        <f t="shared" si="120"/>
        <v>0</v>
      </c>
      <c r="Q1927" s="31" t="str">
        <f t="shared" si="121"/>
        <v/>
      </c>
      <c r="R1927" s="32" t="str">
        <f>IFERROR(VLOOKUP($D1927,'Informations sur les produits'!$A$3:$B$15000,2,FALSE),"")</f>
        <v/>
      </c>
      <c r="V1927">
        <f t="shared" si="122"/>
        <v>0</v>
      </c>
      <c r="W1927">
        <f t="shared" si="123"/>
        <v>0</v>
      </c>
    </row>
    <row r="1928" spans="5:23" x14ac:dyDescent="0.25">
      <c r="E1928" s="4"/>
      <c r="F1928" s="4"/>
      <c r="G1928" s="33" t="str">
        <f>IFERROR(VLOOKUP($D1928,'Informations sur les produits'!$A$3:$H$10000,8,FALSE),"0")</f>
        <v>0</v>
      </c>
      <c r="K1928" s="4"/>
      <c r="L1928" s="33" t="str">
        <f>IFERROR(VLOOKUP($J1928,'Informations sur les produits'!$A$3:$H$10000,8,FALSE),"0")</f>
        <v>0</v>
      </c>
      <c r="N1928" s="8"/>
      <c r="O1928" s="33" t="str">
        <f>IFERROR(VLOOKUP($M1928,'Informations sur les produits'!$A$3:$H$10000,8,FALSE),"0")</f>
        <v>0</v>
      </c>
      <c r="P1928" s="33">
        <f t="shared" si="120"/>
        <v>0</v>
      </c>
      <c r="Q1928" s="31" t="str">
        <f t="shared" si="121"/>
        <v/>
      </c>
      <c r="R1928" s="32" t="str">
        <f>IFERROR(VLOOKUP($D1928,'Informations sur les produits'!$A$3:$B$15000,2,FALSE),"")</f>
        <v/>
      </c>
      <c r="V1928">
        <f t="shared" si="122"/>
        <v>0</v>
      </c>
      <c r="W1928">
        <f t="shared" si="123"/>
        <v>0</v>
      </c>
    </row>
    <row r="1929" spans="5:23" x14ac:dyDescent="0.25">
      <c r="E1929" s="4"/>
      <c r="F1929" s="4"/>
      <c r="G1929" s="33" t="str">
        <f>IFERROR(VLOOKUP($D1929,'Informations sur les produits'!$A$3:$H$10000,8,FALSE),"0")</f>
        <v>0</v>
      </c>
      <c r="K1929" s="4"/>
      <c r="L1929" s="33" t="str">
        <f>IFERROR(VLOOKUP($J1929,'Informations sur les produits'!$A$3:$H$10000,8,FALSE),"0")</f>
        <v>0</v>
      </c>
      <c r="N1929" s="8"/>
      <c r="O1929" s="33" t="str">
        <f>IFERROR(VLOOKUP($M1929,'Informations sur les produits'!$A$3:$H$10000,8,FALSE),"0")</f>
        <v>0</v>
      </c>
      <c r="P1929" s="33">
        <f t="shared" si="120"/>
        <v>0</v>
      </c>
      <c r="Q1929" s="31" t="str">
        <f t="shared" si="121"/>
        <v/>
      </c>
      <c r="R1929" s="32" t="str">
        <f>IFERROR(VLOOKUP($D1929,'Informations sur les produits'!$A$3:$B$15000,2,FALSE),"")</f>
        <v/>
      </c>
      <c r="V1929">
        <f t="shared" si="122"/>
        <v>0</v>
      </c>
      <c r="W1929">
        <f t="shared" si="123"/>
        <v>0</v>
      </c>
    </row>
    <row r="1930" spans="5:23" x14ac:dyDescent="0.25">
      <c r="E1930" s="4"/>
      <c r="F1930" s="4"/>
      <c r="G1930" s="33" t="str">
        <f>IFERROR(VLOOKUP($D1930,'Informations sur les produits'!$A$3:$H$10000,8,FALSE),"0")</f>
        <v>0</v>
      </c>
      <c r="K1930" s="4"/>
      <c r="L1930" s="33" t="str">
        <f>IFERROR(VLOOKUP($J1930,'Informations sur les produits'!$A$3:$H$10000,8,FALSE),"0")</f>
        <v>0</v>
      </c>
      <c r="N1930" s="8"/>
      <c r="O1930" s="33" t="str">
        <f>IFERROR(VLOOKUP($M1930,'Informations sur les produits'!$A$3:$H$10000,8,FALSE),"0")</f>
        <v>0</v>
      </c>
      <c r="P1930" s="33">
        <f t="shared" si="120"/>
        <v>0</v>
      </c>
      <c r="Q1930" s="31" t="str">
        <f t="shared" si="121"/>
        <v/>
      </c>
      <c r="R1930" s="32" t="str">
        <f>IFERROR(VLOOKUP($D1930,'Informations sur les produits'!$A$3:$B$15000,2,FALSE),"")</f>
        <v/>
      </c>
      <c r="V1930">
        <f t="shared" si="122"/>
        <v>0</v>
      </c>
      <c r="W1930">
        <f t="shared" si="123"/>
        <v>0</v>
      </c>
    </row>
    <row r="1931" spans="5:23" x14ac:dyDescent="0.25">
      <c r="E1931" s="4"/>
      <c r="F1931" s="4"/>
      <c r="G1931" s="33" t="str">
        <f>IFERROR(VLOOKUP($D1931,'Informations sur les produits'!$A$3:$H$10000,8,FALSE),"0")</f>
        <v>0</v>
      </c>
      <c r="K1931" s="4"/>
      <c r="L1931" s="33" t="str">
        <f>IFERROR(VLOOKUP($J1931,'Informations sur les produits'!$A$3:$H$10000,8,FALSE),"0")</f>
        <v>0</v>
      </c>
      <c r="N1931" s="8"/>
      <c r="O1931" s="33" t="str">
        <f>IFERROR(VLOOKUP($M1931,'Informations sur les produits'!$A$3:$H$10000,8,FALSE),"0")</f>
        <v>0</v>
      </c>
      <c r="P1931" s="33">
        <f t="shared" si="120"/>
        <v>0</v>
      </c>
      <c r="Q1931" s="31" t="str">
        <f t="shared" si="121"/>
        <v/>
      </c>
      <c r="R1931" s="32" t="str">
        <f>IFERROR(VLOOKUP($D1931,'Informations sur les produits'!$A$3:$B$15000,2,FALSE),"")</f>
        <v/>
      </c>
      <c r="V1931">
        <f t="shared" si="122"/>
        <v>0</v>
      </c>
      <c r="W1931">
        <f t="shared" si="123"/>
        <v>0</v>
      </c>
    </row>
    <row r="1932" spans="5:23" x14ac:dyDescent="0.25">
      <c r="E1932" s="4"/>
      <c r="F1932" s="4"/>
      <c r="G1932" s="33" t="str">
        <f>IFERROR(VLOOKUP($D1932,'Informations sur les produits'!$A$3:$H$10000,8,FALSE),"0")</f>
        <v>0</v>
      </c>
      <c r="K1932" s="4"/>
      <c r="L1932" s="33" t="str">
        <f>IFERROR(VLOOKUP($J1932,'Informations sur les produits'!$A$3:$H$10000,8,FALSE),"0")</f>
        <v>0</v>
      </c>
      <c r="N1932" s="8"/>
      <c r="O1932" s="33" t="str">
        <f>IFERROR(VLOOKUP($M1932,'Informations sur les produits'!$A$3:$H$10000,8,FALSE),"0")</f>
        <v>0</v>
      </c>
      <c r="P1932" s="33">
        <f t="shared" si="120"/>
        <v>0</v>
      </c>
      <c r="Q1932" s="31" t="str">
        <f t="shared" si="121"/>
        <v/>
      </c>
      <c r="R1932" s="32" t="str">
        <f>IFERROR(VLOOKUP($D1932,'Informations sur les produits'!$A$3:$B$15000,2,FALSE),"")</f>
        <v/>
      </c>
      <c r="V1932">
        <f t="shared" si="122"/>
        <v>0</v>
      </c>
      <c r="W1932">
        <f t="shared" si="123"/>
        <v>0</v>
      </c>
    </row>
    <row r="1933" spans="5:23" x14ac:dyDescent="0.25">
      <c r="E1933" s="4"/>
      <c r="F1933" s="4"/>
      <c r="G1933" s="33" t="str">
        <f>IFERROR(VLOOKUP($D1933,'Informations sur les produits'!$A$3:$H$10000,8,FALSE),"0")</f>
        <v>0</v>
      </c>
      <c r="K1933" s="4"/>
      <c r="L1933" s="33" t="str">
        <f>IFERROR(VLOOKUP($J1933,'Informations sur les produits'!$A$3:$H$10000,8,FALSE),"0")</f>
        <v>0</v>
      </c>
      <c r="N1933" s="8"/>
      <c r="O1933" s="33" t="str">
        <f>IFERROR(VLOOKUP($M1933,'Informations sur les produits'!$A$3:$H$10000,8,FALSE),"0")</f>
        <v>0</v>
      </c>
      <c r="P1933" s="33">
        <f t="shared" si="120"/>
        <v>0</v>
      </c>
      <c r="Q1933" s="31" t="str">
        <f t="shared" si="121"/>
        <v/>
      </c>
      <c r="R1933" s="32" t="str">
        <f>IFERROR(VLOOKUP($D1933,'Informations sur les produits'!$A$3:$B$15000,2,FALSE),"")</f>
        <v/>
      </c>
      <c r="V1933">
        <f t="shared" si="122"/>
        <v>0</v>
      </c>
      <c r="W1933">
        <f t="shared" si="123"/>
        <v>0</v>
      </c>
    </row>
    <row r="1934" spans="5:23" x14ac:dyDescent="0.25">
      <c r="E1934" s="4"/>
      <c r="F1934" s="4"/>
      <c r="G1934" s="33" t="str">
        <f>IFERROR(VLOOKUP($D1934,'Informations sur les produits'!$A$3:$H$10000,8,FALSE),"0")</f>
        <v>0</v>
      </c>
      <c r="K1934" s="4"/>
      <c r="L1934" s="33" t="str">
        <f>IFERROR(VLOOKUP($J1934,'Informations sur les produits'!$A$3:$H$10000,8,FALSE),"0")</f>
        <v>0</v>
      </c>
      <c r="N1934" s="8"/>
      <c r="O1934" s="33" t="str">
        <f>IFERROR(VLOOKUP($M1934,'Informations sur les produits'!$A$3:$H$10000,8,FALSE),"0")</f>
        <v>0</v>
      </c>
      <c r="P1934" s="33">
        <f t="shared" si="120"/>
        <v>0</v>
      </c>
      <c r="Q1934" s="31" t="str">
        <f t="shared" si="121"/>
        <v/>
      </c>
      <c r="R1934" s="32" t="str">
        <f>IFERROR(VLOOKUP($D1934,'Informations sur les produits'!$A$3:$B$15000,2,FALSE),"")</f>
        <v/>
      </c>
      <c r="V1934">
        <f t="shared" si="122"/>
        <v>0</v>
      </c>
      <c r="W1934">
        <f t="shared" si="123"/>
        <v>0</v>
      </c>
    </row>
    <row r="1935" spans="5:23" x14ac:dyDescent="0.25">
      <c r="E1935" s="4"/>
      <c r="F1935" s="4"/>
      <c r="G1935" s="33" t="str">
        <f>IFERROR(VLOOKUP($D1935,'Informations sur les produits'!$A$3:$H$10000,8,FALSE),"0")</f>
        <v>0</v>
      </c>
      <c r="K1935" s="4"/>
      <c r="L1935" s="33" t="str">
        <f>IFERROR(VLOOKUP($J1935,'Informations sur les produits'!$A$3:$H$10000,8,FALSE),"0")</f>
        <v>0</v>
      </c>
      <c r="N1935" s="8"/>
      <c r="O1935" s="33" t="str">
        <f>IFERROR(VLOOKUP($M1935,'Informations sur les produits'!$A$3:$H$10000,8,FALSE),"0")</f>
        <v>0</v>
      </c>
      <c r="P1935" s="33">
        <f t="shared" si="120"/>
        <v>0</v>
      </c>
      <c r="Q1935" s="31" t="str">
        <f t="shared" si="121"/>
        <v/>
      </c>
      <c r="R1935" s="32" t="str">
        <f>IFERROR(VLOOKUP($D1935,'Informations sur les produits'!$A$3:$B$15000,2,FALSE),"")</f>
        <v/>
      </c>
      <c r="V1935">
        <f t="shared" si="122"/>
        <v>0</v>
      </c>
      <c r="W1935">
        <f t="shared" si="123"/>
        <v>0</v>
      </c>
    </row>
    <row r="1936" spans="5:23" x14ac:dyDescent="0.25">
      <c r="E1936" s="4"/>
      <c r="F1936" s="4"/>
      <c r="G1936" s="33" t="str">
        <f>IFERROR(VLOOKUP($D1936,'Informations sur les produits'!$A$3:$H$10000,8,FALSE),"0")</f>
        <v>0</v>
      </c>
      <c r="K1936" s="4"/>
      <c r="L1936" s="33" t="str">
        <f>IFERROR(VLOOKUP($J1936,'Informations sur les produits'!$A$3:$H$10000,8,FALSE),"0")</f>
        <v>0</v>
      </c>
      <c r="N1936" s="8"/>
      <c r="O1936" s="33" t="str">
        <f>IFERROR(VLOOKUP($M1936,'Informations sur les produits'!$A$3:$H$10000,8,FALSE),"0")</f>
        <v>0</v>
      </c>
      <c r="P1936" s="33">
        <f t="shared" si="120"/>
        <v>0</v>
      </c>
      <c r="Q1936" s="31" t="str">
        <f t="shared" si="121"/>
        <v/>
      </c>
      <c r="R1936" s="32" t="str">
        <f>IFERROR(VLOOKUP($D1936,'Informations sur les produits'!$A$3:$B$15000,2,FALSE),"")</f>
        <v/>
      </c>
      <c r="V1936">
        <f t="shared" si="122"/>
        <v>0</v>
      </c>
      <c r="W1936">
        <f t="shared" si="123"/>
        <v>0</v>
      </c>
    </row>
    <row r="1937" spans="5:23" x14ac:dyDescent="0.25">
      <c r="E1937" s="4"/>
      <c r="F1937" s="4"/>
      <c r="G1937" s="33" t="str">
        <f>IFERROR(VLOOKUP($D1937,'Informations sur les produits'!$A$3:$H$10000,8,FALSE),"0")</f>
        <v>0</v>
      </c>
      <c r="K1937" s="4"/>
      <c r="L1937" s="33" t="str">
        <f>IFERROR(VLOOKUP($J1937,'Informations sur les produits'!$A$3:$H$10000,8,FALSE),"0")</f>
        <v>0</v>
      </c>
      <c r="N1937" s="8"/>
      <c r="O1937" s="33" t="str">
        <f>IFERROR(VLOOKUP($M1937,'Informations sur les produits'!$A$3:$H$10000,8,FALSE),"0")</f>
        <v>0</v>
      </c>
      <c r="P1937" s="33">
        <f t="shared" si="120"/>
        <v>0</v>
      </c>
      <c r="Q1937" s="31" t="str">
        <f t="shared" si="121"/>
        <v/>
      </c>
      <c r="R1937" s="32" t="str">
        <f>IFERROR(VLOOKUP($D1937,'Informations sur les produits'!$A$3:$B$15000,2,FALSE),"")</f>
        <v/>
      </c>
      <c r="V1937">
        <f t="shared" si="122"/>
        <v>0</v>
      </c>
      <c r="W1937">
        <f t="shared" si="123"/>
        <v>0</v>
      </c>
    </row>
    <row r="1938" spans="5:23" x14ac:dyDescent="0.25">
      <c r="E1938" s="4"/>
      <c r="F1938" s="4"/>
      <c r="G1938" s="33" t="str">
        <f>IFERROR(VLOOKUP($D1938,'Informations sur les produits'!$A$3:$H$10000,8,FALSE),"0")</f>
        <v>0</v>
      </c>
      <c r="K1938" s="4"/>
      <c r="L1938" s="33" t="str">
        <f>IFERROR(VLOOKUP($J1938,'Informations sur les produits'!$A$3:$H$10000,8,FALSE),"0")</f>
        <v>0</v>
      </c>
      <c r="N1938" s="8"/>
      <c r="O1938" s="33" t="str">
        <f>IFERROR(VLOOKUP($M1938,'Informations sur les produits'!$A$3:$H$10000,8,FALSE),"0")</f>
        <v>0</v>
      </c>
      <c r="P1938" s="33">
        <f t="shared" si="120"/>
        <v>0</v>
      </c>
      <c r="Q1938" s="31" t="str">
        <f t="shared" si="121"/>
        <v/>
      </c>
      <c r="R1938" s="32" t="str">
        <f>IFERROR(VLOOKUP($D1938,'Informations sur les produits'!$A$3:$B$15000,2,FALSE),"")</f>
        <v/>
      </c>
      <c r="V1938">
        <f t="shared" si="122"/>
        <v>0</v>
      </c>
      <c r="W1938">
        <f t="shared" si="123"/>
        <v>0</v>
      </c>
    </row>
    <row r="1939" spans="5:23" x14ac:dyDescent="0.25">
      <c r="E1939" s="4"/>
      <c r="F1939" s="4"/>
      <c r="G1939" s="33" t="str">
        <f>IFERROR(VLOOKUP($D1939,'Informations sur les produits'!$A$3:$H$10000,8,FALSE),"0")</f>
        <v>0</v>
      </c>
      <c r="K1939" s="4"/>
      <c r="L1939" s="33" t="str">
        <f>IFERROR(VLOOKUP($J1939,'Informations sur les produits'!$A$3:$H$10000,8,FALSE),"0")</f>
        <v>0</v>
      </c>
      <c r="N1939" s="8"/>
      <c r="O1939" s="33" t="str">
        <f>IFERROR(VLOOKUP($M1939,'Informations sur les produits'!$A$3:$H$10000,8,FALSE),"0")</f>
        <v>0</v>
      </c>
      <c r="P1939" s="33">
        <f t="shared" si="120"/>
        <v>0</v>
      </c>
      <c r="Q1939" s="31" t="str">
        <f t="shared" si="121"/>
        <v/>
      </c>
      <c r="R1939" s="32" t="str">
        <f>IFERROR(VLOOKUP($D1939,'Informations sur les produits'!$A$3:$B$15000,2,FALSE),"")</f>
        <v/>
      </c>
      <c r="V1939">
        <f t="shared" si="122"/>
        <v>0</v>
      </c>
      <c r="W1939">
        <f t="shared" si="123"/>
        <v>0</v>
      </c>
    </row>
    <row r="1940" spans="5:23" x14ac:dyDescent="0.25">
      <c r="E1940" s="4"/>
      <c r="F1940" s="4"/>
      <c r="G1940" s="33" t="str">
        <f>IFERROR(VLOOKUP($D1940,'Informations sur les produits'!$A$3:$H$10000,8,FALSE),"0")</f>
        <v>0</v>
      </c>
      <c r="K1940" s="4"/>
      <c r="L1940" s="33" t="str">
        <f>IFERROR(VLOOKUP($J1940,'Informations sur les produits'!$A$3:$H$10000,8,FALSE),"0")</f>
        <v>0</v>
      </c>
      <c r="N1940" s="8"/>
      <c r="O1940" s="33" t="str">
        <f>IFERROR(VLOOKUP($M1940,'Informations sur les produits'!$A$3:$H$10000,8,FALSE),"0")</f>
        <v>0</v>
      </c>
      <c r="P1940" s="33">
        <f t="shared" si="120"/>
        <v>0</v>
      </c>
      <c r="Q1940" s="31" t="str">
        <f t="shared" si="121"/>
        <v/>
      </c>
      <c r="R1940" s="32" t="str">
        <f>IFERROR(VLOOKUP($D1940,'Informations sur les produits'!$A$3:$B$15000,2,FALSE),"")</f>
        <v/>
      </c>
      <c r="V1940">
        <f t="shared" si="122"/>
        <v>0</v>
      </c>
      <c r="W1940">
        <f t="shared" si="123"/>
        <v>0</v>
      </c>
    </row>
    <row r="1941" spans="5:23" x14ac:dyDescent="0.25">
      <c r="E1941" s="4"/>
      <c r="F1941" s="4"/>
      <c r="G1941" s="33" t="str">
        <f>IFERROR(VLOOKUP($D1941,'Informations sur les produits'!$A$3:$H$10000,8,FALSE),"0")</f>
        <v>0</v>
      </c>
      <c r="K1941" s="4"/>
      <c r="L1941" s="33" t="str">
        <f>IFERROR(VLOOKUP($J1941,'Informations sur les produits'!$A$3:$H$10000,8,FALSE),"0")</f>
        <v>0</v>
      </c>
      <c r="N1941" s="8"/>
      <c r="O1941" s="33" t="str">
        <f>IFERROR(VLOOKUP($M1941,'Informations sur les produits'!$A$3:$H$10000,8,FALSE),"0")</f>
        <v>0</v>
      </c>
      <c r="P1941" s="33">
        <f t="shared" si="120"/>
        <v>0</v>
      </c>
      <c r="Q1941" s="31" t="str">
        <f t="shared" si="121"/>
        <v/>
      </c>
      <c r="R1941" s="32" t="str">
        <f>IFERROR(VLOOKUP($D1941,'Informations sur les produits'!$A$3:$B$15000,2,FALSE),"")</f>
        <v/>
      </c>
      <c r="V1941">
        <f t="shared" si="122"/>
        <v>0</v>
      </c>
      <c r="W1941">
        <f t="shared" si="123"/>
        <v>0</v>
      </c>
    </row>
    <row r="1942" spans="5:23" x14ac:dyDescent="0.25">
      <c r="E1942" s="4"/>
      <c r="F1942" s="4"/>
      <c r="G1942" s="33" t="str">
        <f>IFERROR(VLOOKUP($D1942,'Informations sur les produits'!$A$3:$H$10000,8,FALSE),"0")</f>
        <v>0</v>
      </c>
      <c r="K1942" s="4"/>
      <c r="L1942" s="33" t="str">
        <f>IFERROR(VLOOKUP($J1942,'Informations sur les produits'!$A$3:$H$10000,8,FALSE),"0")</f>
        <v>0</v>
      </c>
      <c r="N1942" s="8"/>
      <c r="O1942" s="33" t="str">
        <f>IFERROR(VLOOKUP($M1942,'Informations sur les produits'!$A$3:$H$10000,8,FALSE),"0")</f>
        <v>0</v>
      </c>
      <c r="P1942" s="33">
        <f t="shared" si="120"/>
        <v>0</v>
      </c>
      <c r="Q1942" s="31" t="str">
        <f t="shared" si="121"/>
        <v/>
      </c>
      <c r="R1942" s="32" t="str">
        <f>IFERROR(VLOOKUP($D1942,'Informations sur les produits'!$A$3:$B$15000,2,FALSE),"")</f>
        <v/>
      </c>
      <c r="V1942">
        <f t="shared" si="122"/>
        <v>0</v>
      </c>
      <c r="W1942">
        <f t="shared" si="123"/>
        <v>0</v>
      </c>
    </row>
    <row r="1943" spans="5:23" x14ac:dyDescent="0.25">
      <c r="E1943" s="4"/>
      <c r="F1943" s="4"/>
      <c r="G1943" s="33" t="str">
        <f>IFERROR(VLOOKUP($D1943,'Informations sur les produits'!$A$3:$H$10000,8,FALSE),"0")</f>
        <v>0</v>
      </c>
      <c r="K1943" s="4"/>
      <c r="L1943" s="33" t="str">
        <f>IFERROR(VLOOKUP($J1943,'Informations sur les produits'!$A$3:$H$10000,8,FALSE),"0")</f>
        <v>0</v>
      </c>
      <c r="N1943" s="8"/>
      <c r="O1943" s="33" t="str">
        <f>IFERROR(VLOOKUP($M1943,'Informations sur les produits'!$A$3:$H$10000,8,FALSE),"0")</f>
        <v>0</v>
      </c>
      <c r="P1943" s="33">
        <f t="shared" si="120"/>
        <v>0</v>
      </c>
      <c r="Q1943" s="31" t="str">
        <f t="shared" si="121"/>
        <v/>
      </c>
      <c r="R1943" s="32" t="str">
        <f>IFERROR(VLOOKUP($D1943,'Informations sur les produits'!$A$3:$B$15000,2,FALSE),"")</f>
        <v/>
      </c>
      <c r="V1943">
        <f t="shared" si="122"/>
        <v>0</v>
      </c>
      <c r="W1943">
        <f t="shared" si="123"/>
        <v>0</v>
      </c>
    </row>
    <row r="1944" spans="5:23" x14ac:dyDescent="0.25">
      <c r="E1944" s="4"/>
      <c r="F1944" s="4"/>
      <c r="G1944" s="33" t="str">
        <f>IFERROR(VLOOKUP($D1944,'Informations sur les produits'!$A$3:$H$10000,8,FALSE),"0")</f>
        <v>0</v>
      </c>
      <c r="K1944" s="4"/>
      <c r="L1944" s="33" t="str">
        <f>IFERROR(VLOOKUP($J1944,'Informations sur les produits'!$A$3:$H$10000,8,FALSE),"0")</f>
        <v>0</v>
      </c>
      <c r="N1944" s="8"/>
      <c r="O1944" s="33" t="str">
        <f>IFERROR(VLOOKUP($M1944,'Informations sur les produits'!$A$3:$H$10000,8,FALSE),"0")</f>
        <v>0</v>
      </c>
      <c r="P1944" s="33">
        <f t="shared" si="120"/>
        <v>0</v>
      </c>
      <c r="Q1944" s="31" t="str">
        <f t="shared" si="121"/>
        <v/>
      </c>
      <c r="R1944" s="32" t="str">
        <f>IFERROR(VLOOKUP($D1944,'Informations sur les produits'!$A$3:$B$15000,2,FALSE),"")</f>
        <v/>
      </c>
      <c r="V1944">
        <f t="shared" si="122"/>
        <v>0</v>
      </c>
      <c r="W1944">
        <f t="shared" si="123"/>
        <v>0</v>
      </c>
    </row>
    <row r="1945" spans="5:23" x14ac:dyDescent="0.25">
      <c r="E1945" s="4"/>
      <c r="F1945" s="4"/>
      <c r="G1945" s="33" t="str">
        <f>IFERROR(VLOOKUP($D1945,'Informations sur les produits'!$A$3:$H$10000,8,FALSE),"0")</f>
        <v>0</v>
      </c>
      <c r="K1945" s="4"/>
      <c r="L1945" s="33" t="str">
        <f>IFERROR(VLOOKUP($J1945,'Informations sur les produits'!$A$3:$H$10000,8,FALSE),"0")</f>
        <v>0</v>
      </c>
      <c r="N1945" s="8"/>
      <c r="O1945" s="33" t="str">
        <f>IFERROR(VLOOKUP($M1945,'Informations sur les produits'!$A$3:$H$10000,8,FALSE),"0")</f>
        <v>0</v>
      </c>
      <c r="P1945" s="33">
        <f t="shared" si="120"/>
        <v>0</v>
      </c>
      <c r="Q1945" s="31" t="str">
        <f t="shared" si="121"/>
        <v/>
      </c>
      <c r="R1945" s="32" t="str">
        <f>IFERROR(VLOOKUP($D1945,'Informations sur les produits'!$A$3:$B$15000,2,FALSE),"")</f>
        <v/>
      </c>
      <c r="V1945">
        <f t="shared" si="122"/>
        <v>0</v>
      </c>
      <c r="W1945">
        <f t="shared" si="123"/>
        <v>0</v>
      </c>
    </row>
    <row r="1946" spans="5:23" x14ac:dyDescent="0.25">
      <c r="E1946" s="4"/>
      <c r="F1946" s="4"/>
      <c r="G1946" s="33" t="str">
        <f>IFERROR(VLOOKUP($D1946,'Informations sur les produits'!$A$3:$H$10000,8,FALSE),"0")</f>
        <v>0</v>
      </c>
      <c r="K1946" s="4"/>
      <c r="L1946" s="33" t="str">
        <f>IFERROR(VLOOKUP($J1946,'Informations sur les produits'!$A$3:$H$10000,8,FALSE),"0")</f>
        <v>0</v>
      </c>
      <c r="N1946" s="8"/>
      <c r="O1946" s="33" t="str">
        <f>IFERROR(VLOOKUP($M1946,'Informations sur les produits'!$A$3:$H$10000,8,FALSE),"0")</f>
        <v>0</v>
      </c>
      <c r="P1946" s="33">
        <f t="shared" si="120"/>
        <v>0</v>
      </c>
      <c r="Q1946" s="31" t="str">
        <f t="shared" si="121"/>
        <v/>
      </c>
      <c r="R1946" s="32" t="str">
        <f>IFERROR(VLOOKUP($D1946,'Informations sur les produits'!$A$3:$B$15000,2,FALSE),"")</f>
        <v/>
      </c>
      <c r="V1946">
        <f t="shared" si="122"/>
        <v>0</v>
      </c>
      <c r="W1946">
        <f t="shared" si="123"/>
        <v>0</v>
      </c>
    </row>
    <row r="1947" spans="5:23" x14ac:dyDescent="0.25">
      <c r="E1947" s="4"/>
      <c r="F1947" s="4"/>
      <c r="G1947" s="33" t="str">
        <f>IFERROR(VLOOKUP($D1947,'Informations sur les produits'!$A$3:$H$10000,8,FALSE),"0")</f>
        <v>0</v>
      </c>
      <c r="K1947" s="4"/>
      <c r="L1947" s="33" t="str">
        <f>IFERROR(VLOOKUP($J1947,'Informations sur les produits'!$A$3:$H$10000,8,FALSE),"0")</f>
        <v>0</v>
      </c>
      <c r="N1947" s="8"/>
      <c r="O1947" s="33" t="str">
        <f>IFERROR(VLOOKUP($M1947,'Informations sur les produits'!$A$3:$H$10000,8,FALSE),"0")</f>
        <v>0</v>
      </c>
      <c r="P1947" s="33">
        <f t="shared" si="120"/>
        <v>0</v>
      </c>
      <c r="Q1947" s="31" t="str">
        <f t="shared" si="121"/>
        <v/>
      </c>
      <c r="R1947" s="32" t="str">
        <f>IFERROR(VLOOKUP($D1947,'Informations sur les produits'!$A$3:$B$15000,2,FALSE),"")</f>
        <v/>
      </c>
      <c r="V1947">
        <f t="shared" si="122"/>
        <v>0</v>
      </c>
      <c r="W1947">
        <f t="shared" si="123"/>
        <v>0</v>
      </c>
    </row>
    <row r="1948" spans="5:23" x14ac:dyDescent="0.25">
      <c r="E1948" s="4"/>
      <c r="F1948" s="4"/>
      <c r="G1948" s="33" t="str">
        <f>IFERROR(VLOOKUP($D1948,'Informations sur les produits'!$A$3:$H$10000,8,FALSE),"0")</f>
        <v>0</v>
      </c>
      <c r="K1948" s="4"/>
      <c r="L1948" s="33" t="str">
        <f>IFERROR(VLOOKUP($J1948,'Informations sur les produits'!$A$3:$H$10000,8,FALSE),"0")</f>
        <v>0</v>
      </c>
      <c r="N1948" s="8"/>
      <c r="O1948" s="33" t="str">
        <f>IFERROR(VLOOKUP($M1948,'Informations sur les produits'!$A$3:$H$10000,8,FALSE),"0")</f>
        <v>0</v>
      </c>
      <c r="P1948" s="33">
        <f t="shared" si="120"/>
        <v>0</v>
      </c>
      <c r="Q1948" s="31" t="str">
        <f t="shared" si="121"/>
        <v/>
      </c>
      <c r="R1948" s="32" t="str">
        <f>IFERROR(VLOOKUP($D1948,'Informations sur les produits'!$A$3:$B$15000,2,FALSE),"")</f>
        <v/>
      </c>
      <c r="V1948">
        <f t="shared" si="122"/>
        <v>0</v>
      </c>
      <c r="W1948">
        <f t="shared" si="123"/>
        <v>0</v>
      </c>
    </row>
    <row r="1949" spans="5:23" x14ac:dyDescent="0.25">
      <c r="E1949" s="4"/>
      <c r="F1949" s="4"/>
      <c r="G1949" s="33" t="str">
        <f>IFERROR(VLOOKUP($D1949,'Informations sur les produits'!$A$3:$H$10000,8,FALSE),"0")</f>
        <v>0</v>
      </c>
      <c r="K1949" s="4"/>
      <c r="L1949" s="33" t="str">
        <f>IFERROR(VLOOKUP($J1949,'Informations sur les produits'!$A$3:$H$10000,8,FALSE),"0")</f>
        <v>0</v>
      </c>
      <c r="N1949" s="8"/>
      <c r="O1949" s="33" t="str">
        <f>IFERROR(VLOOKUP($M1949,'Informations sur les produits'!$A$3:$H$10000,8,FALSE),"0")</f>
        <v>0</v>
      </c>
      <c r="P1949" s="33">
        <f t="shared" si="120"/>
        <v>0</v>
      </c>
      <c r="Q1949" s="31" t="str">
        <f t="shared" si="121"/>
        <v/>
      </c>
      <c r="R1949" s="32" t="str">
        <f>IFERROR(VLOOKUP($D1949,'Informations sur les produits'!$A$3:$B$15000,2,FALSE),"")</f>
        <v/>
      </c>
      <c r="V1949">
        <f t="shared" si="122"/>
        <v>0</v>
      </c>
      <c r="W1949">
        <f t="shared" si="123"/>
        <v>0</v>
      </c>
    </row>
    <row r="1950" spans="5:23" x14ac:dyDescent="0.25">
      <c r="E1950" s="4"/>
      <c r="F1950" s="4"/>
      <c r="G1950" s="33" t="str">
        <f>IFERROR(VLOOKUP($D1950,'Informations sur les produits'!$A$3:$H$10000,8,FALSE),"0")</f>
        <v>0</v>
      </c>
      <c r="K1950" s="4"/>
      <c r="L1950" s="33" t="str">
        <f>IFERROR(VLOOKUP($J1950,'Informations sur les produits'!$A$3:$H$10000,8,FALSE),"0")</f>
        <v>0</v>
      </c>
      <c r="N1950" s="8"/>
      <c r="O1950" s="33" t="str">
        <f>IFERROR(VLOOKUP($M1950,'Informations sur les produits'!$A$3:$H$10000,8,FALSE),"0")</f>
        <v>0</v>
      </c>
      <c r="P1950" s="33">
        <f t="shared" si="120"/>
        <v>0</v>
      </c>
      <c r="Q1950" s="31" t="str">
        <f t="shared" si="121"/>
        <v/>
      </c>
      <c r="R1950" s="32" t="str">
        <f>IFERROR(VLOOKUP($D1950,'Informations sur les produits'!$A$3:$B$15000,2,FALSE),"")</f>
        <v/>
      </c>
      <c r="V1950">
        <f t="shared" si="122"/>
        <v>0</v>
      </c>
      <c r="W1950">
        <f t="shared" si="123"/>
        <v>0</v>
      </c>
    </row>
    <row r="1951" spans="5:23" x14ac:dyDescent="0.25">
      <c r="E1951" s="4"/>
      <c r="F1951" s="4"/>
      <c r="G1951" s="33" t="str">
        <f>IFERROR(VLOOKUP($D1951,'Informations sur les produits'!$A$3:$H$10000,8,FALSE),"0")</f>
        <v>0</v>
      </c>
      <c r="K1951" s="4"/>
      <c r="L1951" s="33" t="str">
        <f>IFERROR(VLOOKUP($J1951,'Informations sur les produits'!$A$3:$H$10000,8,FALSE),"0")</f>
        <v>0</v>
      </c>
      <c r="N1951" s="8"/>
      <c r="O1951" s="33" t="str">
        <f>IFERROR(VLOOKUP($M1951,'Informations sur les produits'!$A$3:$H$10000,8,FALSE),"0")</f>
        <v>0</v>
      </c>
      <c r="P1951" s="33">
        <f t="shared" si="120"/>
        <v>0</v>
      </c>
      <c r="Q1951" s="31" t="str">
        <f t="shared" si="121"/>
        <v/>
      </c>
      <c r="R1951" s="32" t="str">
        <f>IFERROR(VLOOKUP($D1951,'Informations sur les produits'!$A$3:$B$15000,2,FALSE),"")</f>
        <v/>
      </c>
      <c r="V1951">
        <f t="shared" si="122"/>
        <v>0</v>
      </c>
      <c r="W1951">
        <f t="shared" si="123"/>
        <v>0</v>
      </c>
    </row>
    <row r="1952" spans="5:23" x14ac:dyDescent="0.25">
      <c r="E1952" s="4"/>
      <c r="F1952" s="4"/>
      <c r="G1952" s="33" t="str">
        <f>IFERROR(VLOOKUP($D1952,'Informations sur les produits'!$A$3:$H$10000,8,FALSE),"0")</f>
        <v>0</v>
      </c>
      <c r="K1952" s="4"/>
      <c r="L1952" s="33" t="str">
        <f>IFERROR(VLOOKUP($J1952,'Informations sur les produits'!$A$3:$H$10000,8,FALSE),"0")</f>
        <v>0</v>
      </c>
      <c r="N1952" s="8"/>
      <c r="O1952" s="33" t="str">
        <f>IFERROR(VLOOKUP($M1952,'Informations sur les produits'!$A$3:$H$10000,8,FALSE),"0")</f>
        <v>0</v>
      </c>
      <c r="P1952" s="33">
        <f t="shared" si="120"/>
        <v>0</v>
      </c>
      <c r="Q1952" s="31" t="str">
        <f t="shared" si="121"/>
        <v/>
      </c>
      <c r="R1952" s="32" t="str">
        <f>IFERROR(VLOOKUP($D1952,'Informations sur les produits'!$A$3:$B$15000,2,FALSE),"")</f>
        <v/>
      </c>
      <c r="V1952">
        <f t="shared" si="122"/>
        <v>0</v>
      </c>
      <c r="W1952">
        <f t="shared" si="123"/>
        <v>0</v>
      </c>
    </row>
    <row r="1953" spans="5:23" x14ac:dyDescent="0.25">
      <c r="E1953" s="4"/>
      <c r="F1953" s="4"/>
      <c r="G1953" s="33" t="str">
        <f>IFERROR(VLOOKUP($D1953,'Informations sur les produits'!$A$3:$H$10000,8,FALSE),"0")</f>
        <v>0</v>
      </c>
      <c r="K1953" s="4"/>
      <c r="L1953" s="33" t="str">
        <f>IFERROR(VLOOKUP($J1953,'Informations sur les produits'!$A$3:$H$10000,8,FALSE),"0")</f>
        <v>0</v>
      </c>
      <c r="N1953" s="8"/>
      <c r="O1953" s="33" t="str">
        <f>IFERROR(VLOOKUP($M1953,'Informations sur les produits'!$A$3:$H$10000,8,FALSE),"0")</f>
        <v>0</v>
      </c>
      <c r="P1953" s="33">
        <f t="shared" si="120"/>
        <v>0</v>
      </c>
      <c r="Q1953" s="31" t="str">
        <f t="shared" si="121"/>
        <v/>
      </c>
      <c r="R1953" s="32" t="str">
        <f>IFERROR(VLOOKUP($D1953,'Informations sur les produits'!$A$3:$B$15000,2,FALSE),"")</f>
        <v/>
      </c>
      <c r="V1953">
        <f t="shared" si="122"/>
        <v>0</v>
      </c>
      <c r="W1953">
        <f t="shared" si="123"/>
        <v>0</v>
      </c>
    </row>
    <row r="1954" spans="5:23" x14ac:dyDescent="0.25">
      <c r="E1954" s="4"/>
      <c r="F1954" s="4"/>
      <c r="G1954" s="33" t="str">
        <f>IFERROR(VLOOKUP($D1954,'Informations sur les produits'!$A$3:$H$10000,8,FALSE),"0")</f>
        <v>0</v>
      </c>
      <c r="K1954" s="4"/>
      <c r="L1954" s="33" t="str">
        <f>IFERROR(VLOOKUP($J1954,'Informations sur les produits'!$A$3:$H$10000,8,FALSE),"0")</f>
        <v>0</v>
      </c>
      <c r="N1954" s="8"/>
      <c r="O1954" s="33" t="str">
        <f>IFERROR(VLOOKUP($M1954,'Informations sur les produits'!$A$3:$H$10000,8,FALSE),"0")</f>
        <v>0</v>
      </c>
      <c r="P1954" s="33">
        <f t="shared" si="120"/>
        <v>0</v>
      </c>
      <c r="Q1954" s="31" t="str">
        <f t="shared" si="121"/>
        <v/>
      </c>
      <c r="R1954" s="32" t="str">
        <f>IFERROR(VLOOKUP($D1954,'Informations sur les produits'!$A$3:$B$15000,2,FALSE),"")</f>
        <v/>
      </c>
      <c r="V1954">
        <f t="shared" si="122"/>
        <v>0</v>
      </c>
      <c r="W1954">
        <f t="shared" si="123"/>
        <v>0</v>
      </c>
    </row>
    <row r="1955" spans="5:23" x14ac:dyDescent="0.25">
      <c r="E1955" s="4"/>
      <c r="F1955" s="4"/>
      <c r="G1955" s="33" t="str">
        <f>IFERROR(VLOOKUP($D1955,'Informations sur les produits'!$A$3:$H$10000,8,FALSE),"0")</f>
        <v>0</v>
      </c>
      <c r="K1955" s="4"/>
      <c r="L1955" s="33" t="str">
        <f>IFERROR(VLOOKUP($J1955,'Informations sur les produits'!$A$3:$H$10000,8,FALSE),"0")</f>
        <v>0</v>
      </c>
      <c r="N1955" s="8"/>
      <c r="O1955" s="33" t="str">
        <f>IFERROR(VLOOKUP($M1955,'Informations sur les produits'!$A$3:$H$10000,8,FALSE),"0")</f>
        <v>0</v>
      </c>
      <c r="P1955" s="33">
        <f t="shared" si="120"/>
        <v>0</v>
      </c>
      <c r="Q1955" s="31" t="str">
        <f t="shared" si="121"/>
        <v/>
      </c>
      <c r="R1955" s="32" t="str">
        <f>IFERROR(VLOOKUP($D1955,'Informations sur les produits'!$A$3:$B$15000,2,FALSE),"")</f>
        <v/>
      </c>
      <c r="V1955">
        <f t="shared" si="122"/>
        <v>0</v>
      </c>
      <c r="W1955">
        <f t="shared" si="123"/>
        <v>0</v>
      </c>
    </row>
    <row r="1956" spans="5:23" x14ac:dyDescent="0.25">
      <c r="E1956" s="4"/>
      <c r="F1956" s="4"/>
      <c r="G1956" s="33" t="str">
        <f>IFERROR(VLOOKUP($D1956,'Informations sur les produits'!$A$3:$H$10000,8,FALSE),"0")</f>
        <v>0</v>
      </c>
      <c r="K1956" s="4"/>
      <c r="L1956" s="33" t="str">
        <f>IFERROR(VLOOKUP($J1956,'Informations sur les produits'!$A$3:$H$10000,8,FALSE),"0")</f>
        <v>0</v>
      </c>
      <c r="N1956" s="8"/>
      <c r="O1956" s="33" t="str">
        <f>IFERROR(VLOOKUP($M1956,'Informations sur les produits'!$A$3:$H$10000,8,FALSE),"0")</f>
        <v>0</v>
      </c>
      <c r="P1956" s="33">
        <f t="shared" si="120"/>
        <v>0</v>
      </c>
      <c r="Q1956" s="31" t="str">
        <f t="shared" si="121"/>
        <v/>
      </c>
      <c r="R1956" s="32" t="str">
        <f>IFERROR(VLOOKUP($D1956,'Informations sur les produits'!$A$3:$B$15000,2,FALSE),"")</f>
        <v/>
      </c>
      <c r="V1956">
        <f t="shared" si="122"/>
        <v>0</v>
      </c>
      <c r="W1956">
        <f t="shared" si="123"/>
        <v>0</v>
      </c>
    </row>
    <row r="1957" spans="5:23" x14ac:dyDescent="0.25">
      <c r="E1957" s="4"/>
      <c r="F1957" s="4"/>
      <c r="G1957" s="33" t="str">
        <f>IFERROR(VLOOKUP($D1957,'Informations sur les produits'!$A$3:$H$10000,8,FALSE),"0")</f>
        <v>0</v>
      </c>
      <c r="K1957" s="4"/>
      <c r="L1957" s="33" t="str">
        <f>IFERROR(VLOOKUP($J1957,'Informations sur les produits'!$A$3:$H$10000,8,FALSE),"0")</f>
        <v>0</v>
      </c>
      <c r="N1957" s="8"/>
      <c r="O1957" s="33" t="str">
        <f>IFERROR(VLOOKUP($M1957,'Informations sur les produits'!$A$3:$H$10000,8,FALSE),"0")</f>
        <v>0</v>
      </c>
      <c r="P1957" s="33">
        <f t="shared" si="120"/>
        <v>0</v>
      </c>
      <c r="Q1957" s="31" t="str">
        <f t="shared" si="121"/>
        <v/>
      </c>
      <c r="R1957" s="32" t="str">
        <f>IFERROR(VLOOKUP($D1957,'Informations sur les produits'!$A$3:$B$15000,2,FALSE),"")</f>
        <v/>
      </c>
      <c r="V1957">
        <f t="shared" si="122"/>
        <v>0</v>
      </c>
      <c r="W1957">
        <f t="shared" si="123"/>
        <v>0</v>
      </c>
    </row>
    <row r="1958" spans="5:23" x14ac:dyDescent="0.25">
      <c r="E1958" s="4"/>
      <c r="F1958" s="4"/>
      <c r="G1958" s="33" t="str">
        <f>IFERROR(VLOOKUP($D1958,'Informations sur les produits'!$A$3:$H$10000,8,FALSE),"0")</f>
        <v>0</v>
      </c>
      <c r="K1958" s="4"/>
      <c r="L1958" s="33" t="str">
        <f>IFERROR(VLOOKUP($J1958,'Informations sur les produits'!$A$3:$H$10000,8,FALSE),"0")</f>
        <v>0</v>
      </c>
      <c r="N1958" s="8"/>
      <c r="O1958" s="33" t="str">
        <f>IFERROR(VLOOKUP($M1958,'Informations sur les produits'!$A$3:$H$10000,8,FALSE),"0")</f>
        <v>0</v>
      </c>
      <c r="P1958" s="33">
        <f t="shared" si="120"/>
        <v>0</v>
      </c>
      <c r="Q1958" s="31" t="str">
        <f t="shared" si="121"/>
        <v/>
      </c>
      <c r="R1958" s="32" t="str">
        <f>IFERROR(VLOOKUP($D1958,'Informations sur les produits'!$A$3:$B$15000,2,FALSE),"")</f>
        <v/>
      </c>
      <c r="V1958">
        <f t="shared" si="122"/>
        <v>0</v>
      </c>
      <c r="W1958">
        <f t="shared" si="123"/>
        <v>0</v>
      </c>
    </row>
    <row r="1959" spans="5:23" x14ac:dyDescent="0.25">
      <c r="E1959" s="4"/>
      <c r="F1959" s="4"/>
      <c r="G1959" s="33" t="str">
        <f>IFERROR(VLOOKUP($D1959,'Informations sur les produits'!$A$3:$H$10000,8,FALSE),"0")</f>
        <v>0</v>
      </c>
      <c r="K1959" s="4"/>
      <c r="L1959" s="33" t="str">
        <f>IFERROR(VLOOKUP($J1959,'Informations sur les produits'!$A$3:$H$10000,8,FALSE),"0")</f>
        <v>0</v>
      </c>
      <c r="N1959" s="8"/>
      <c r="O1959" s="33" t="str">
        <f>IFERROR(VLOOKUP($M1959,'Informations sur les produits'!$A$3:$H$10000,8,FALSE),"0")</f>
        <v>0</v>
      </c>
      <c r="P1959" s="33">
        <f t="shared" si="120"/>
        <v>0</v>
      </c>
      <c r="Q1959" s="31" t="str">
        <f t="shared" si="121"/>
        <v/>
      </c>
      <c r="R1959" s="32" t="str">
        <f>IFERROR(VLOOKUP($D1959,'Informations sur les produits'!$A$3:$B$15000,2,FALSE),"")</f>
        <v/>
      </c>
      <c r="V1959">
        <f t="shared" si="122"/>
        <v>0</v>
      </c>
      <c r="W1959">
        <f t="shared" si="123"/>
        <v>0</v>
      </c>
    </row>
    <row r="1960" spans="5:23" x14ac:dyDescent="0.25">
      <c r="E1960" s="4"/>
      <c r="F1960" s="4"/>
      <c r="G1960" s="33" t="str">
        <f>IFERROR(VLOOKUP($D1960,'Informations sur les produits'!$A$3:$H$10000,8,FALSE),"0")</f>
        <v>0</v>
      </c>
      <c r="K1960" s="4"/>
      <c r="L1960" s="33" t="str">
        <f>IFERROR(VLOOKUP($J1960,'Informations sur les produits'!$A$3:$H$10000,8,FALSE),"0")</f>
        <v>0</v>
      </c>
      <c r="N1960" s="8"/>
      <c r="O1960" s="33" t="str">
        <f>IFERROR(VLOOKUP($M1960,'Informations sur les produits'!$A$3:$H$10000,8,FALSE),"0")</f>
        <v>0</v>
      </c>
      <c r="P1960" s="33">
        <f t="shared" si="120"/>
        <v>0</v>
      </c>
      <c r="Q1960" s="31" t="str">
        <f t="shared" si="121"/>
        <v/>
      </c>
      <c r="R1960" s="32" t="str">
        <f>IFERROR(VLOOKUP($D1960,'Informations sur les produits'!$A$3:$B$15000,2,FALSE),"")</f>
        <v/>
      </c>
      <c r="V1960">
        <f t="shared" si="122"/>
        <v>0</v>
      </c>
      <c r="W1960">
        <f t="shared" si="123"/>
        <v>0</v>
      </c>
    </row>
    <row r="1961" spans="5:23" x14ac:dyDescent="0.25">
      <c r="E1961" s="4"/>
      <c r="F1961" s="4"/>
      <c r="G1961" s="33" t="str">
        <f>IFERROR(VLOOKUP($D1961,'Informations sur les produits'!$A$3:$H$10000,8,FALSE),"0")</f>
        <v>0</v>
      </c>
      <c r="K1961" s="4"/>
      <c r="L1961" s="33" t="str">
        <f>IFERROR(VLOOKUP($J1961,'Informations sur les produits'!$A$3:$H$10000,8,FALSE),"0")</f>
        <v>0</v>
      </c>
      <c r="N1961" s="8"/>
      <c r="O1961" s="33" t="str">
        <f>IFERROR(VLOOKUP($M1961,'Informations sur les produits'!$A$3:$H$10000,8,FALSE),"0")</f>
        <v>0</v>
      </c>
      <c r="P1961" s="33">
        <f t="shared" si="120"/>
        <v>0</v>
      </c>
      <c r="Q1961" s="31" t="str">
        <f t="shared" si="121"/>
        <v/>
      </c>
      <c r="R1961" s="32" t="str">
        <f>IFERROR(VLOOKUP($D1961,'Informations sur les produits'!$A$3:$B$15000,2,FALSE),"")</f>
        <v/>
      </c>
      <c r="V1961">
        <f t="shared" si="122"/>
        <v>0</v>
      </c>
      <c r="W1961">
        <f t="shared" si="123"/>
        <v>0</v>
      </c>
    </row>
    <row r="1962" spans="5:23" x14ac:dyDescent="0.25">
      <c r="E1962" s="4"/>
      <c r="F1962" s="4"/>
      <c r="G1962" s="33" t="str">
        <f>IFERROR(VLOOKUP($D1962,'Informations sur les produits'!$A$3:$H$10000,8,FALSE),"0")</f>
        <v>0</v>
      </c>
      <c r="K1962" s="4"/>
      <c r="L1962" s="33" t="str">
        <f>IFERROR(VLOOKUP($J1962,'Informations sur les produits'!$A$3:$H$10000,8,FALSE),"0")</f>
        <v>0</v>
      </c>
      <c r="N1962" s="8"/>
      <c r="O1962" s="33" t="str">
        <f>IFERROR(VLOOKUP($M1962,'Informations sur les produits'!$A$3:$H$10000,8,FALSE),"0")</f>
        <v>0</v>
      </c>
      <c r="P1962" s="33">
        <f t="shared" si="120"/>
        <v>0</v>
      </c>
      <c r="Q1962" s="31" t="str">
        <f t="shared" si="121"/>
        <v/>
      </c>
      <c r="R1962" s="32" t="str">
        <f>IFERROR(VLOOKUP($D1962,'Informations sur les produits'!$A$3:$B$15000,2,FALSE),"")</f>
        <v/>
      </c>
      <c r="V1962">
        <f t="shared" si="122"/>
        <v>0</v>
      </c>
      <c r="W1962">
        <f t="shared" si="123"/>
        <v>0</v>
      </c>
    </row>
    <row r="1963" spans="5:23" x14ac:dyDescent="0.25">
      <c r="E1963" s="4"/>
      <c r="F1963" s="4"/>
      <c r="G1963" s="33" t="str">
        <f>IFERROR(VLOOKUP($D1963,'Informations sur les produits'!$A$3:$H$10000,8,FALSE),"0")</f>
        <v>0</v>
      </c>
      <c r="K1963" s="4"/>
      <c r="L1963" s="33" t="str">
        <f>IFERROR(VLOOKUP($J1963,'Informations sur les produits'!$A$3:$H$10000,8,FALSE),"0")</f>
        <v>0</v>
      </c>
      <c r="N1963" s="8"/>
      <c r="O1963" s="33" t="str">
        <f>IFERROR(VLOOKUP($M1963,'Informations sur les produits'!$A$3:$H$10000,8,FALSE),"0")</f>
        <v>0</v>
      </c>
      <c r="P1963" s="33">
        <f t="shared" si="120"/>
        <v>0</v>
      </c>
      <c r="Q1963" s="31" t="str">
        <f t="shared" si="121"/>
        <v/>
      </c>
      <c r="R1963" s="32" t="str">
        <f>IFERROR(VLOOKUP($D1963,'Informations sur les produits'!$A$3:$B$15000,2,FALSE),"")</f>
        <v/>
      </c>
      <c r="V1963">
        <f t="shared" si="122"/>
        <v>0</v>
      </c>
      <c r="W1963">
        <f t="shared" si="123"/>
        <v>0</v>
      </c>
    </row>
    <row r="1964" spans="5:23" x14ac:dyDescent="0.25">
      <c r="E1964" s="4"/>
      <c r="F1964" s="4"/>
      <c r="G1964" s="33" t="str">
        <f>IFERROR(VLOOKUP($D1964,'Informations sur les produits'!$A$3:$H$10000,8,FALSE),"0")</f>
        <v>0</v>
      </c>
      <c r="K1964" s="4"/>
      <c r="L1964" s="33" t="str">
        <f>IFERROR(VLOOKUP($J1964,'Informations sur les produits'!$A$3:$H$10000,8,FALSE),"0")</f>
        <v>0</v>
      </c>
      <c r="N1964" s="8"/>
      <c r="O1964" s="33" t="str">
        <f>IFERROR(VLOOKUP($M1964,'Informations sur les produits'!$A$3:$H$10000,8,FALSE),"0")</f>
        <v>0</v>
      </c>
      <c r="P1964" s="33">
        <f t="shared" si="120"/>
        <v>0</v>
      </c>
      <c r="Q1964" s="31" t="str">
        <f t="shared" si="121"/>
        <v/>
      </c>
      <c r="R1964" s="32" t="str">
        <f>IFERROR(VLOOKUP($D1964,'Informations sur les produits'!$A$3:$B$15000,2,FALSE),"")</f>
        <v/>
      </c>
      <c r="V1964">
        <f t="shared" si="122"/>
        <v>0</v>
      </c>
      <c r="W1964">
        <f t="shared" si="123"/>
        <v>0</v>
      </c>
    </row>
    <row r="1965" spans="5:23" x14ac:dyDescent="0.25">
      <c r="E1965" s="4"/>
      <c r="F1965" s="4"/>
      <c r="G1965" s="33" t="str">
        <f>IFERROR(VLOOKUP($D1965,'Informations sur les produits'!$A$3:$H$10000,8,FALSE),"0")</f>
        <v>0</v>
      </c>
      <c r="K1965" s="4"/>
      <c r="L1965" s="33" t="str">
        <f>IFERROR(VLOOKUP($J1965,'Informations sur les produits'!$A$3:$H$10000,8,FALSE),"0")</f>
        <v>0</v>
      </c>
      <c r="N1965" s="8"/>
      <c r="O1965" s="33" t="str">
        <f>IFERROR(VLOOKUP($M1965,'Informations sur les produits'!$A$3:$H$10000,8,FALSE),"0")</f>
        <v>0</v>
      </c>
      <c r="P1965" s="33">
        <f t="shared" si="120"/>
        <v>0</v>
      </c>
      <c r="Q1965" s="31" t="str">
        <f t="shared" si="121"/>
        <v/>
      </c>
      <c r="R1965" s="32" t="str">
        <f>IFERROR(VLOOKUP($D1965,'Informations sur les produits'!$A$3:$B$15000,2,FALSE),"")</f>
        <v/>
      </c>
      <c r="V1965">
        <f t="shared" si="122"/>
        <v>0</v>
      </c>
      <c r="W1965">
        <f t="shared" si="123"/>
        <v>0</v>
      </c>
    </row>
    <row r="1966" spans="5:23" x14ac:dyDescent="0.25">
      <c r="E1966" s="4"/>
      <c r="F1966" s="4"/>
      <c r="G1966" s="33" t="str">
        <f>IFERROR(VLOOKUP($D1966,'Informations sur les produits'!$A$3:$H$10000,8,FALSE),"0")</f>
        <v>0</v>
      </c>
      <c r="K1966" s="4"/>
      <c r="L1966" s="33" t="str">
        <f>IFERROR(VLOOKUP($J1966,'Informations sur les produits'!$A$3:$H$10000,8,FALSE),"0")</f>
        <v>0</v>
      </c>
      <c r="N1966" s="8"/>
      <c r="O1966" s="33" t="str">
        <f>IFERROR(VLOOKUP($M1966,'Informations sur les produits'!$A$3:$H$10000,8,FALSE),"0")</f>
        <v>0</v>
      </c>
      <c r="P1966" s="33">
        <f t="shared" si="120"/>
        <v>0</v>
      </c>
      <c r="Q1966" s="31" t="str">
        <f t="shared" si="121"/>
        <v/>
      </c>
      <c r="R1966" s="32" t="str">
        <f>IFERROR(VLOOKUP($D1966,'Informations sur les produits'!$A$3:$B$15000,2,FALSE),"")</f>
        <v/>
      </c>
      <c r="V1966">
        <f t="shared" si="122"/>
        <v>0</v>
      </c>
      <c r="W1966">
        <f t="shared" si="123"/>
        <v>0</v>
      </c>
    </row>
    <row r="1967" spans="5:23" x14ac:dyDescent="0.25">
      <c r="E1967" s="4"/>
      <c r="F1967" s="4"/>
      <c r="G1967" s="33" t="str">
        <f>IFERROR(VLOOKUP($D1967,'Informations sur les produits'!$A$3:$H$10000,8,FALSE),"0")</f>
        <v>0</v>
      </c>
      <c r="K1967" s="4"/>
      <c r="L1967" s="33" t="str">
        <f>IFERROR(VLOOKUP($J1967,'Informations sur les produits'!$A$3:$H$10000,8,FALSE),"0")</f>
        <v>0</v>
      </c>
      <c r="N1967" s="8"/>
      <c r="O1967" s="33" t="str">
        <f>IFERROR(VLOOKUP($M1967,'Informations sur les produits'!$A$3:$H$10000,8,FALSE),"0")</f>
        <v>0</v>
      </c>
      <c r="P1967" s="33">
        <f t="shared" si="120"/>
        <v>0</v>
      </c>
      <c r="Q1967" s="31" t="str">
        <f t="shared" si="121"/>
        <v/>
      </c>
      <c r="R1967" s="32" t="str">
        <f>IFERROR(VLOOKUP($D1967,'Informations sur les produits'!$A$3:$B$15000,2,FALSE),"")</f>
        <v/>
      </c>
      <c r="V1967">
        <f t="shared" si="122"/>
        <v>0</v>
      </c>
      <c r="W1967">
        <f t="shared" si="123"/>
        <v>0</v>
      </c>
    </row>
    <row r="1968" spans="5:23" x14ac:dyDescent="0.25">
      <c r="E1968" s="4"/>
      <c r="F1968" s="4"/>
      <c r="G1968" s="33" t="str">
        <f>IFERROR(VLOOKUP($D1968,'Informations sur les produits'!$A$3:$H$10000,8,FALSE),"0")</f>
        <v>0</v>
      </c>
      <c r="K1968" s="4"/>
      <c r="L1968" s="33" t="str">
        <f>IFERROR(VLOOKUP($J1968,'Informations sur les produits'!$A$3:$H$10000,8,FALSE),"0")</f>
        <v>0</v>
      </c>
      <c r="N1968" s="8"/>
      <c r="O1968" s="33" t="str">
        <f>IFERROR(VLOOKUP($M1968,'Informations sur les produits'!$A$3:$H$10000,8,FALSE),"0")</f>
        <v>0</v>
      </c>
      <c r="P1968" s="33">
        <f t="shared" si="120"/>
        <v>0</v>
      </c>
      <c r="Q1968" s="31" t="str">
        <f t="shared" si="121"/>
        <v/>
      </c>
      <c r="R1968" s="32" t="str">
        <f>IFERROR(VLOOKUP($D1968,'Informations sur les produits'!$A$3:$B$15000,2,FALSE),"")</f>
        <v/>
      </c>
      <c r="V1968">
        <f t="shared" si="122"/>
        <v>0</v>
      </c>
      <c r="W1968">
        <f t="shared" si="123"/>
        <v>0</v>
      </c>
    </row>
    <row r="1969" spans="5:23" x14ac:dyDescent="0.25">
      <c r="E1969" s="4"/>
      <c r="F1969" s="4"/>
      <c r="G1969" s="33" t="str">
        <f>IFERROR(VLOOKUP($D1969,'Informations sur les produits'!$A$3:$H$10000,8,FALSE),"0")</f>
        <v>0</v>
      </c>
      <c r="K1969" s="4"/>
      <c r="L1969" s="33" t="str">
        <f>IFERROR(VLOOKUP($J1969,'Informations sur les produits'!$A$3:$H$10000,8,FALSE),"0")</f>
        <v>0</v>
      </c>
      <c r="N1969" s="8"/>
      <c r="O1969" s="33" t="str">
        <f>IFERROR(VLOOKUP($M1969,'Informations sur les produits'!$A$3:$H$10000,8,FALSE),"0")</f>
        <v>0</v>
      </c>
      <c r="P1969" s="33">
        <f t="shared" si="120"/>
        <v>0</v>
      </c>
      <c r="Q1969" s="31" t="str">
        <f t="shared" si="121"/>
        <v/>
      </c>
      <c r="R1969" s="32" t="str">
        <f>IFERROR(VLOOKUP($D1969,'Informations sur les produits'!$A$3:$B$15000,2,FALSE),"")</f>
        <v/>
      </c>
      <c r="V1969">
        <f t="shared" si="122"/>
        <v>0</v>
      </c>
      <c r="W1969">
        <f t="shared" si="123"/>
        <v>0</v>
      </c>
    </row>
    <row r="1970" spans="5:23" x14ac:dyDescent="0.25">
      <c r="E1970" s="4"/>
      <c r="F1970" s="4"/>
      <c r="G1970" s="33" t="str">
        <f>IFERROR(VLOOKUP($D1970,'Informations sur les produits'!$A$3:$H$10000,8,FALSE),"0")</f>
        <v>0</v>
      </c>
      <c r="K1970" s="4"/>
      <c r="L1970" s="33" t="str">
        <f>IFERROR(VLOOKUP($J1970,'Informations sur les produits'!$A$3:$H$10000,8,FALSE),"0")</f>
        <v>0</v>
      </c>
      <c r="N1970" s="8"/>
      <c r="O1970" s="33" t="str">
        <f>IFERROR(VLOOKUP($M1970,'Informations sur les produits'!$A$3:$H$10000,8,FALSE),"0")</f>
        <v>0</v>
      </c>
      <c r="P1970" s="33">
        <f t="shared" si="120"/>
        <v>0</v>
      </c>
      <c r="Q1970" s="31" t="str">
        <f t="shared" si="121"/>
        <v/>
      </c>
      <c r="R1970" s="32" t="str">
        <f>IFERROR(VLOOKUP($D1970,'Informations sur les produits'!$A$3:$B$15000,2,FALSE),"")</f>
        <v/>
      </c>
      <c r="V1970">
        <f t="shared" si="122"/>
        <v>0</v>
      </c>
      <c r="W1970">
        <f t="shared" si="123"/>
        <v>0</v>
      </c>
    </row>
    <row r="1971" spans="5:23" x14ac:dyDescent="0.25">
      <c r="E1971" s="4"/>
      <c r="F1971" s="4"/>
      <c r="G1971" s="33" t="str">
        <f>IFERROR(VLOOKUP($D1971,'Informations sur les produits'!$A$3:$H$10000,8,FALSE),"0")</f>
        <v>0</v>
      </c>
      <c r="K1971" s="4"/>
      <c r="L1971" s="33" t="str">
        <f>IFERROR(VLOOKUP($J1971,'Informations sur les produits'!$A$3:$H$10000,8,FALSE),"0")</f>
        <v>0</v>
      </c>
      <c r="N1971" s="8"/>
      <c r="O1971" s="33" t="str">
        <f>IFERROR(VLOOKUP($M1971,'Informations sur les produits'!$A$3:$H$10000,8,FALSE),"0")</f>
        <v>0</v>
      </c>
      <c r="P1971" s="33">
        <f t="shared" si="120"/>
        <v>0</v>
      </c>
      <c r="Q1971" s="31" t="str">
        <f t="shared" si="121"/>
        <v/>
      </c>
      <c r="R1971" s="32" t="str">
        <f>IFERROR(VLOOKUP($D1971,'Informations sur les produits'!$A$3:$B$15000,2,FALSE),"")</f>
        <v/>
      </c>
      <c r="V1971">
        <f t="shared" si="122"/>
        <v>0</v>
      </c>
      <c r="W1971">
        <f t="shared" si="123"/>
        <v>0</v>
      </c>
    </row>
    <row r="1972" spans="5:23" x14ac:dyDescent="0.25">
      <c r="E1972" s="4"/>
      <c r="F1972" s="4"/>
      <c r="G1972" s="33" t="str">
        <f>IFERROR(VLOOKUP($D1972,'Informations sur les produits'!$A$3:$H$10000,8,FALSE),"0")</f>
        <v>0</v>
      </c>
      <c r="K1972" s="4"/>
      <c r="L1972" s="33" t="str">
        <f>IFERROR(VLOOKUP($J1972,'Informations sur les produits'!$A$3:$H$10000,8,FALSE),"0")</f>
        <v>0</v>
      </c>
      <c r="N1972" s="8"/>
      <c r="O1972" s="33" t="str">
        <f>IFERROR(VLOOKUP($M1972,'Informations sur les produits'!$A$3:$H$10000,8,FALSE),"0")</f>
        <v>0</v>
      </c>
      <c r="P1972" s="33">
        <f t="shared" si="120"/>
        <v>0</v>
      </c>
      <c r="Q1972" s="31" t="str">
        <f t="shared" si="121"/>
        <v/>
      </c>
      <c r="R1972" s="32" t="str">
        <f>IFERROR(VLOOKUP($D1972,'Informations sur les produits'!$A$3:$B$15000,2,FALSE),"")</f>
        <v/>
      </c>
      <c r="V1972">
        <f t="shared" si="122"/>
        <v>0</v>
      </c>
      <c r="W1972">
        <f t="shared" si="123"/>
        <v>0</v>
      </c>
    </row>
    <row r="1973" spans="5:23" x14ac:dyDescent="0.25">
      <c r="E1973" s="4"/>
      <c r="F1973" s="4"/>
      <c r="G1973" s="33" t="str">
        <f>IFERROR(VLOOKUP($D1973,'Informations sur les produits'!$A$3:$H$10000,8,FALSE),"0")</f>
        <v>0</v>
      </c>
      <c r="K1973" s="4"/>
      <c r="L1973" s="33" t="str">
        <f>IFERROR(VLOOKUP($J1973,'Informations sur les produits'!$A$3:$H$10000,8,FALSE),"0")</f>
        <v>0</v>
      </c>
      <c r="N1973" s="8"/>
      <c r="O1973" s="33" t="str">
        <f>IFERROR(VLOOKUP($M1973,'Informations sur les produits'!$A$3:$H$10000,8,FALSE),"0")</f>
        <v>0</v>
      </c>
      <c r="P1973" s="33">
        <f t="shared" si="120"/>
        <v>0</v>
      </c>
      <c r="Q1973" s="31" t="str">
        <f t="shared" si="121"/>
        <v/>
      </c>
      <c r="R1973" s="32" t="str">
        <f>IFERROR(VLOOKUP($D1973,'Informations sur les produits'!$A$3:$B$15000,2,FALSE),"")</f>
        <v/>
      </c>
      <c r="V1973">
        <f t="shared" si="122"/>
        <v>0</v>
      </c>
      <c r="W1973">
        <f t="shared" si="123"/>
        <v>0</v>
      </c>
    </row>
    <row r="1974" spans="5:23" x14ac:dyDescent="0.25">
      <c r="E1974" s="4"/>
      <c r="F1974" s="4"/>
      <c r="G1974" s="33" t="str">
        <f>IFERROR(VLOOKUP($D1974,'Informations sur les produits'!$A$3:$H$10000,8,FALSE),"0")</f>
        <v>0</v>
      </c>
      <c r="K1974" s="4"/>
      <c r="L1974" s="33" t="str">
        <f>IFERROR(VLOOKUP($J1974,'Informations sur les produits'!$A$3:$H$10000,8,FALSE),"0")</f>
        <v>0</v>
      </c>
      <c r="N1974" s="8"/>
      <c r="O1974" s="33" t="str">
        <f>IFERROR(VLOOKUP($M1974,'Informations sur les produits'!$A$3:$H$10000,8,FALSE),"0")</f>
        <v>0</v>
      </c>
      <c r="P1974" s="33">
        <f t="shared" si="120"/>
        <v>0</v>
      </c>
      <c r="Q1974" s="31" t="str">
        <f t="shared" si="121"/>
        <v/>
      </c>
      <c r="R1974" s="32" t="str">
        <f>IFERROR(VLOOKUP($D1974,'Informations sur les produits'!$A$3:$B$15000,2,FALSE),"")</f>
        <v/>
      </c>
      <c r="V1974">
        <f t="shared" si="122"/>
        <v>0</v>
      </c>
      <c r="W1974">
        <f t="shared" si="123"/>
        <v>0</v>
      </c>
    </row>
    <row r="1975" spans="5:23" x14ac:dyDescent="0.25">
      <c r="E1975" s="4"/>
      <c r="F1975" s="4"/>
      <c r="G1975" s="33" t="str">
        <f>IFERROR(VLOOKUP($D1975,'Informations sur les produits'!$A$3:$H$10000,8,FALSE),"0")</f>
        <v>0</v>
      </c>
      <c r="K1975" s="4"/>
      <c r="L1975" s="33" t="str">
        <f>IFERROR(VLOOKUP($J1975,'Informations sur les produits'!$A$3:$H$10000,8,FALSE),"0")</f>
        <v>0</v>
      </c>
      <c r="N1975" s="8"/>
      <c r="O1975" s="33" t="str">
        <f>IFERROR(VLOOKUP($M1975,'Informations sur les produits'!$A$3:$H$10000,8,FALSE),"0")</f>
        <v>0</v>
      </c>
      <c r="P1975" s="33">
        <f t="shared" si="120"/>
        <v>0</v>
      </c>
      <c r="Q1975" s="31" t="str">
        <f t="shared" si="121"/>
        <v/>
      </c>
      <c r="R1975" s="32" t="str">
        <f>IFERROR(VLOOKUP($D1975,'Informations sur les produits'!$A$3:$B$15000,2,FALSE),"")</f>
        <v/>
      </c>
      <c r="V1975">
        <f t="shared" si="122"/>
        <v>0</v>
      </c>
      <c r="W1975">
        <f t="shared" si="123"/>
        <v>0</v>
      </c>
    </row>
    <row r="1976" spans="5:23" x14ac:dyDescent="0.25">
      <c r="E1976" s="4"/>
      <c r="F1976" s="4"/>
      <c r="G1976" s="33" t="str">
        <f>IFERROR(VLOOKUP($D1976,'Informations sur les produits'!$A$3:$H$10000,8,FALSE),"0")</f>
        <v>0</v>
      </c>
      <c r="K1976" s="4"/>
      <c r="L1976" s="33" t="str">
        <f>IFERROR(VLOOKUP($J1976,'Informations sur les produits'!$A$3:$H$10000,8,FALSE),"0")</f>
        <v>0</v>
      </c>
      <c r="N1976" s="8"/>
      <c r="O1976" s="33" t="str">
        <f>IFERROR(VLOOKUP($M1976,'Informations sur les produits'!$A$3:$H$10000,8,FALSE),"0")</f>
        <v>0</v>
      </c>
      <c r="P1976" s="33">
        <f t="shared" si="120"/>
        <v>0</v>
      </c>
      <c r="Q1976" s="31" t="str">
        <f t="shared" si="121"/>
        <v/>
      </c>
      <c r="R1976" s="32" t="str">
        <f>IFERROR(VLOOKUP($D1976,'Informations sur les produits'!$A$3:$B$15000,2,FALSE),"")</f>
        <v/>
      </c>
      <c r="V1976">
        <f t="shared" si="122"/>
        <v>0</v>
      </c>
      <c r="W1976">
        <f t="shared" si="123"/>
        <v>0</v>
      </c>
    </row>
    <row r="1977" spans="5:23" x14ac:dyDescent="0.25">
      <c r="E1977" s="4"/>
      <c r="F1977" s="4"/>
      <c r="G1977" s="33" t="str">
        <f>IFERROR(VLOOKUP($D1977,'Informations sur les produits'!$A$3:$H$10000,8,FALSE),"0")</f>
        <v>0</v>
      </c>
      <c r="K1977" s="4"/>
      <c r="L1977" s="33" t="str">
        <f>IFERROR(VLOOKUP($J1977,'Informations sur les produits'!$A$3:$H$10000,8,FALSE),"0")</f>
        <v>0</v>
      </c>
      <c r="N1977" s="8"/>
      <c r="O1977" s="33" t="str">
        <f>IFERROR(VLOOKUP($M1977,'Informations sur les produits'!$A$3:$H$10000,8,FALSE),"0")</f>
        <v>0</v>
      </c>
      <c r="P1977" s="33">
        <f t="shared" si="120"/>
        <v>0</v>
      </c>
      <c r="Q1977" s="31" t="str">
        <f t="shared" si="121"/>
        <v/>
      </c>
      <c r="R1977" s="32" t="str">
        <f>IFERROR(VLOOKUP($D1977,'Informations sur les produits'!$A$3:$B$15000,2,FALSE),"")</f>
        <v/>
      </c>
      <c r="V1977">
        <f t="shared" si="122"/>
        <v>0</v>
      </c>
      <c r="W1977">
        <f t="shared" si="123"/>
        <v>0</v>
      </c>
    </row>
    <row r="1978" spans="5:23" x14ac:dyDescent="0.25">
      <c r="E1978" s="4"/>
      <c r="F1978" s="4"/>
      <c r="G1978" s="33" t="str">
        <f>IFERROR(VLOOKUP($D1978,'Informations sur les produits'!$A$3:$H$10000,8,FALSE),"0")</f>
        <v>0</v>
      </c>
      <c r="K1978" s="4"/>
      <c r="L1978" s="33" t="str">
        <f>IFERROR(VLOOKUP($J1978,'Informations sur les produits'!$A$3:$H$10000,8,FALSE),"0")</f>
        <v>0</v>
      </c>
      <c r="N1978" s="8"/>
      <c r="O1978" s="33" t="str">
        <f>IFERROR(VLOOKUP($M1978,'Informations sur les produits'!$A$3:$H$10000,8,FALSE),"0")</f>
        <v>0</v>
      </c>
      <c r="P1978" s="33">
        <f t="shared" si="120"/>
        <v>0</v>
      </c>
      <c r="Q1978" s="31" t="str">
        <f t="shared" si="121"/>
        <v/>
      </c>
      <c r="R1978" s="32" t="str">
        <f>IFERROR(VLOOKUP($D1978,'Informations sur les produits'!$A$3:$B$15000,2,FALSE),"")</f>
        <v/>
      </c>
      <c r="V1978">
        <f t="shared" si="122"/>
        <v>0</v>
      </c>
      <c r="W1978">
        <f t="shared" si="123"/>
        <v>0</v>
      </c>
    </row>
    <row r="1979" spans="5:23" x14ac:dyDescent="0.25">
      <c r="E1979" s="4"/>
      <c r="F1979" s="4"/>
      <c r="G1979" s="33" t="str">
        <f>IFERROR(VLOOKUP($D1979,'Informations sur les produits'!$A$3:$H$10000,8,FALSE),"0")</f>
        <v>0</v>
      </c>
      <c r="K1979" s="4"/>
      <c r="L1979" s="33" t="str">
        <f>IFERROR(VLOOKUP($J1979,'Informations sur les produits'!$A$3:$H$10000,8,FALSE),"0")</f>
        <v>0</v>
      </c>
      <c r="N1979" s="8"/>
      <c r="O1979" s="33" t="str">
        <f>IFERROR(VLOOKUP($M1979,'Informations sur les produits'!$A$3:$H$10000,8,FALSE),"0")</f>
        <v>0</v>
      </c>
      <c r="P1979" s="33">
        <f t="shared" si="120"/>
        <v>0</v>
      </c>
      <c r="Q1979" s="31" t="str">
        <f t="shared" si="121"/>
        <v/>
      </c>
      <c r="R1979" s="32" t="str">
        <f>IFERROR(VLOOKUP($D1979,'Informations sur les produits'!$A$3:$B$15000,2,FALSE),"")</f>
        <v/>
      </c>
      <c r="V1979">
        <f t="shared" si="122"/>
        <v>0</v>
      </c>
      <c r="W1979">
        <f t="shared" si="123"/>
        <v>0</v>
      </c>
    </row>
    <row r="1980" spans="5:23" x14ac:dyDescent="0.25">
      <c r="E1980" s="4"/>
      <c r="F1980" s="4"/>
      <c r="G1980" s="33" t="str">
        <f>IFERROR(VLOOKUP($D1980,'Informations sur les produits'!$A$3:$H$10000,8,FALSE),"0")</f>
        <v>0</v>
      </c>
      <c r="K1980" s="4"/>
      <c r="L1980" s="33" t="str">
        <f>IFERROR(VLOOKUP($J1980,'Informations sur les produits'!$A$3:$H$10000,8,FALSE),"0")</f>
        <v>0</v>
      </c>
      <c r="N1980" s="8"/>
      <c r="O1980" s="33" t="str">
        <f>IFERROR(VLOOKUP($M1980,'Informations sur les produits'!$A$3:$H$10000,8,FALSE),"0")</f>
        <v>0</v>
      </c>
      <c r="P1980" s="33">
        <f t="shared" si="120"/>
        <v>0</v>
      </c>
      <c r="Q1980" s="31" t="str">
        <f t="shared" si="121"/>
        <v/>
      </c>
      <c r="R1980" s="32" t="str">
        <f>IFERROR(VLOOKUP($D1980,'Informations sur les produits'!$A$3:$B$15000,2,FALSE),"")</f>
        <v/>
      </c>
      <c r="V1980">
        <f t="shared" si="122"/>
        <v>0</v>
      </c>
      <c r="W1980">
        <f t="shared" si="123"/>
        <v>0</v>
      </c>
    </row>
    <row r="1981" spans="5:23" x14ac:dyDescent="0.25">
      <c r="E1981" s="4"/>
      <c r="F1981" s="4"/>
      <c r="G1981" s="33" t="str">
        <f>IFERROR(VLOOKUP($D1981,'Informations sur les produits'!$A$3:$H$10000,8,FALSE),"0")</f>
        <v>0</v>
      </c>
      <c r="K1981" s="4"/>
      <c r="L1981" s="33" t="str">
        <f>IFERROR(VLOOKUP($J1981,'Informations sur les produits'!$A$3:$H$10000,8,FALSE),"0")</f>
        <v>0</v>
      </c>
      <c r="N1981" s="8"/>
      <c r="O1981" s="33" t="str">
        <f>IFERROR(VLOOKUP($M1981,'Informations sur les produits'!$A$3:$H$10000,8,FALSE),"0")</f>
        <v>0</v>
      </c>
      <c r="P1981" s="33">
        <f t="shared" si="120"/>
        <v>0</v>
      </c>
      <c r="Q1981" s="31" t="str">
        <f t="shared" si="121"/>
        <v/>
      </c>
      <c r="R1981" s="32" t="str">
        <f>IFERROR(VLOOKUP($D1981,'Informations sur les produits'!$A$3:$B$15000,2,FALSE),"")</f>
        <v/>
      </c>
      <c r="V1981">
        <f t="shared" si="122"/>
        <v>0</v>
      </c>
      <c r="W1981">
        <f t="shared" si="123"/>
        <v>0</v>
      </c>
    </row>
    <row r="1982" spans="5:23" x14ac:dyDescent="0.25">
      <c r="E1982" s="4"/>
      <c r="F1982" s="4"/>
      <c r="G1982" s="33" t="str">
        <f>IFERROR(VLOOKUP($D1982,'Informations sur les produits'!$A$3:$H$10000,8,FALSE),"0")</f>
        <v>0</v>
      </c>
      <c r="K1982" s="4"/>
      <c r="L1982" s="33" t="str">
        <f>IFERROR(VLOOKUP($J1982,'Informations sur les produits'!$A$3:$H$10000,8,FALSE),"0")</f>
        <v>0</v>
      </c>
      <c r="N1982" s="8"/>
      <c r="O1982" s="33" t="str">
        <f>IFERROR(VLOOKUP($M1982,'Informations sur les produits'!$A$3:$H$10000,8,FALSE),"0")</f>
        <v>0</v>
      </c>
      <c r="P1982" s="33">
        <f t="shared" si="120"/>
        <v>0</v>
      </c>
      <c r="Q1982" s="31" t="str">
        <f t="shared" si="121"/>
        <v/>
      </c>
      <c r="R1982" s="32" t="str">
        <f>IFERROR(VLOOKUP($D1982,'Informations sur les produits'!$A$3:$B$15000,2,FALSE),"")</f>
        <v/>
      </c>
      <c r="V1982">
        <f t="shared" si="122"/>
        <v>0</v>
      </c>
      <c r="W1982">
        <f t="shared" si="123"/>
        <v>0</v>
      </c>
    </row>
    <row r="1983" spans="5:23" x14ac:dyDescent="0.25">
      <c r="E1983" s="4"/>
      <c r="F1983" s="4"/>
      <c r="G1983" s="33" t="str">
        <f>IFERROR(VLOOKUP($D1983,'Informations sur les produits'!$A$3:$H$10000,8,FALSE),"0")</f>
        <v>0</v>
      </c>
      <c r="K1983" s="4"/>
      <c r="L1983" s="33" t="str">
        <f>IFERROR(VLOOKUP($J1983,'Informations sur les produits'!$A$3:$H$10000,8,FALSE),"0")</f>
        <v>0</v>
      </c>
      <c r="N1983" s="8"/>
      <c r="O1983" s="33" t="str">
        <f>IFERROR(VLOOKUP($M1983,'Informations sur les produits'!$A$3:$H$10000,8,FALSE),"0")</f>
        <v>0</v>
      </c>
      <c r="P1983" s="33">
        <f t="shared" si="120"/>
        <v>0</v>
      </c>
      <c r="Q1983" s="31" t="str">
        <f t="shared" si="121"/>
        <v/>
      </c>
      <c r="R1983" s="32" t="str">
        <f>IFERROR(VLOOKUP($D1983,'Informations sur les produits'!$A$3:$B$15000,2,FALSE),"")</f>
        <v/>
      </c>
      <c r="V1983">
        <f t="shared" si="122"/>
        <v>0</v>
      </c>
      <c r="W1983">
        <f t="shared" si="123"/>
        <v>0</v>
      </c>
    </row>
    <row r="1984" spans="5:23" x14ac:dyDescent="0.25">
      <c r="E1984" s="4"/>
      <c r="F1984" s="4"/>
      <c r="G1984" s="33" t="str">
        <f>IFERROR(VLOOKUP($D1984,'Informations sur les produits'!$A$3:$H$10000,8,FALSE),"0")</f>
        <v>0</v>
      </c>
      <c r="K1984" s="4"/>
      <c r="L1984" s="33" t="str">
        <f>IFERROR(VLOOKUP($J1984,'Informations sur les produits'!$A$3:$H$10000,8,FALSE),"0")</f>
        <v>0</v>
      </c>
      <c r="N1984" s="8"/>
      <c r="O1984" s="33" t="str">
        <f>IFERROR(VLOOKUP($M1984,'Informations sur les produits'!$A$3:$H$10000,8,FALSE),"0")</f>
        <v>0</v>
      </c>
      <c r="P1984" s="33">
        <f t="shared" si="120"/>
        <v>0</v>
      </c>
      <c r="Q1984" s="31" t="str">
        <f t="shared" si="121"/>
        <v/>
      </c>
      <c r="R1984" s="32" t="str">
        <f>IFERROR(VLOOKUP($D1984,'Informations sur les produits'!$A$3:$B$15000,2,FALSE),"")</f>
        <v/>
      </c>
      <c r="V1984">
        <f t="shared" si="122"/>
        <v>0</v>
      </c>
      <c r="W1984">
        <f t="shared" si="123"/>
        <v>0</v>
      </c>
    </row>
    <row r="1985" spans="5:23" x14ac:dyDescent="0.25">
      <c r="E1985" s="4"/>
      <c r="F1985" s="4"/>
      <c r="G1985" s="33" t="str">
        <f>IFERROR(VLOOKUP($D1985,'Informations sur les produits'!$A$3:$H$10000,8,FALSE),"0")</f>
        <v>0</v>
      </c>
      <c r="K1985" s="4"/>
      <c r="L1985" s="33" t="str">
        <f>IFERROR(VLOOKUP($J1985,'Informations sur les produits'!$A$3:$H$10000,8,FALSE),"0")</f>
        <v>0</v>
      </c>
      <c r="N1985" s="8"/>
      <c r="O1985" s="33" t="str">
        <f>IFERROR(VLOOKUP($M1985,'Informations sur les produits'!$A$3:$H$10000,8,FALSE),"0")</f>
        <v>0</v>
      </c>
      <c r="P1985" s="33">
        <f t="shared" si="120"/>
        <v>0</v>
      </c>
      <c r="Q1985" s="31" t="str">
        <f t="shared" si="121"/>
        <v/>
      </c>
      <c r="R1985" s="32" t="str">
        <f>IFERROR(VLOOKUP($D1985,'Informations sur les produits'!$A$3:$B$15000,2,FALSE),"")</f>
        <v/>
      </c>
      <c r="V1985">
        <f t="shared" si="122"/>
        <v>0</v>
      </c>
      <c r="W1985">
        <f t="shared" si="123"/>
        <v>0</v>
      </c>
    </row>
    <row r="1986" spans="5:23" x14ac:dyDescent="0.25">
      <c r="E1986" s="4"/>
      <c r="F1986" s="4"/>
      <c r="G1986" s="33" t="str">
        <f>IFERROR(VLOOKUP($D1986,'Informations sur les produits'!$A$3:$H$10000,8,FALSE),"0")</f>
        <v>0</v>
      </c>
      <c r="K1986" s="4"/>
      <c r="L1986" s="33" t="str">
        <f>IFERROR(VLOOKUP($J1986,'Informations sur les produits'!$A$3:$H$10000,8,FALSE),"0")</f>
        <v>0</v>
      </c>
      <c r="N1986" s="8"/>
      <c r="O1986" s="33" t="str">
        <f>IFERROR(VLOOKUP($M1986,'Informations sur les produits'!$A$3:$H$10000,8,FALSE),"0")</f>
        <v>0</v>
      </c>
      <c r="P1986" s="33">
        <f t="shared" si="120"/>
        <v>0</v>
      </c>
      <c r="Q1986" s="31" t="str">
        <f t="shared" si="121"/>
        <v/>
      </c>
      <c r="R1986" s="32" t="str">
        <f>IFERROR(VLOOKUP($D1986,'Informations sur les produits'!$A$3:$B$15000,2,FALSE),"")</f>
        <v/>
      </c>
      <c r="V1986">
        <f t="shared" si="122"/>
        <v>0</v>
      </c>
      <c r="W1986">
        <f t="shared" si="123"/>
        <v>0</v>
      </c>
    </row>
    <row r="1987" spans="5:23" x14ac:dyDescent="0.25">
      <c r="E1987" s="4"/>
      <c r="F1987" s="4"/>
      <c r="G1987" s="33" t="str">
        <f>IFERROR(VLOOKUP($D1987,'Informations sur les produits'!$A$3:$H$10000,8,FALSE),"0")</f>
        <v>0</v>
      </c>
      <c r="K1987" s="4"/>
      <c r="L1987" s="33" t="str">
        <f>IFERROR(VLOOKUP($J1987,'Informations sur les produits'!$A$3:$H$10000,8,FALSE),"0")</f>
        <v>0</v>
      </c>
      <c r="N1987" s="8"/>
      <c r="O1987" s="33" t="str">
        <f>IFERROR(VLOOKUP($M1987,'Informations sur les produits'!$A$3:$H$10000,8,FALSE),"0")</f>
        <v>0</v>
      </c>
      <c r="P1987" s="33">
        <f t="shared" si="120"/>
        <v>0</v>
      </c>
      <c r="Q1987" s="31" t="str">
        <f t="shared" si="121"/>
        <v/>
      </c>
      <c r="R1987" s="32" t="str">
        <f>IFERROR(VLOOKUP($D1987,'Informations sur les produits'!$A$3:$B$15000,2,FALSE),"")</f>
        <v/>
      </c>
      <c r="V1987">
        <f t="shared" si="122"/>
        <v>0</v>
      </c>
      <c r="W1987">
        <f t="shared" si="123"/>
        <v>0</v>
      </c>
    </row>
    <row r="1988" spans="5:23" x14ac:dyDescent="0.25">
      <c r="E1988" s="4"/>
      <c r="F1988" s="4"/>
      <c r="G1988" s="33" t="str">
        <f>IFERROR(VLOOKUP($D1988,'Informations sur les produits'!$A$3:$H$10000,8,FALSE),"0")</f>
        <v>0</v>
      </c>
      <c r="K1988" s="4"/>
      <c r="L1988" s="33" t="str">
        <f>IFERROR(VLOOKUP($J1988,'Informations sur les produits'!$A$3:$H$10000,8,FALSE),"0")</f>
        <v>0</v>
      </c>
      <c r="N1988" s="8"/>
      <c r="O1988" s="33" t="str">
        <f>IFERROR(VLOOKUP($M1988,'Informations sur les produits'!$A$3:$H$10000,8,FALSE),"0")</f>
        <v>0</v>
      </c>
      <c r="P1988" s="33">
        <f t="shared" ref="P1988:P2051" si="124">IFERROR((($E1988-$F1988)*$G1988+$K1988*$L1988+$N1988*$O1988),"")</f>
        <v>0</v>
      </c>
      <c r="Q1988" s="31" t="str">
        <f t="shared" ref="Q1988:Q2051" si="125">IFERROR((((($E1988-$F1988)*$G1988+$K1988*$L1988+$N1988*$O1988)*1000)/(($E1988-$F1988)+$K1988+$N1988)),"")</f>
        <v/>
      </c>
      <c r="R1988" s="32" t="str">
        <f>IFERROR(VLOOKUP($D1988,'Informations sur les produits'!$A$3:$B$15000,2,FALSE),"")</f>
        <v/>
      </c>
      <c r="V1988">
        <f t="shared" ref="V1988:V2051" si="126">IFERROR(P1988*1000,"")</f>
        <v>0</v>
      </c>
      <c r="W1988">
        <f t="shared" ref="W1988:W2051" si="127">IFERROR(($E1988-$F1988)+$K1988+$N1988,"")</f>
        <v>0</v>
      </c>
    </row>
    <row r="1989" spans="5:23" x14ac:dyDescent="0.25">
      <c r="E1989" s="4"/>
      <c r="F1989" s="4"/>
      <c r="G1989" s="33" t="str">
        <f>IFERROR(VLOOKUP($D1989,'Informations sur les produits'!$A$3:$H$10000,8,FALSE),"0")</f>
        <v>0</v>
      </c>
      <c r="K1989" s="4"/>
      <c r="L1989" s="33" t="str">
        <f>IFERROR(VLOOKUP($J1989,'Informations sur les produits'!$A$3:$H$10000,8,FALSE),"0")</f>
        <v>0</v>
      </c>
      <c r="N1989" s="8"/>
      <c r="O1989" s="33" t="str">
        <f>IFERROR(VLOOKUP($M1989,'Informations sur les produits'!$A$3:$H$10000,8,FALSE),"0")</f>
        <v>0</v>
      </c>
      <c r="P1989" s="33">
        <f t="shared" si="124"/>
        <v>0</v>
      </c>
      <c r="Q1989" s="31" t="str">
        <f t="shared" si="125"/>
        <v/>
      </c>
      <c r="R1989" s="32" t="str">
        <f>IFERROR(VLOOKUP($D1989,'Informations sur les produits'!$A$3:$B$15000,2,FALSE),"")</f>
        <v/>
      </c>
      <c r="V1989">
        <f t="shared" si="126"/>
        <v>0</v>
      </c>
      <c r="W1989">
        <f t="shared" si="127"/>
        <v>0</v>
      </c>
    </row>
    <row r="1990" spans="5:23" x14ac:dyDescent="0.25">
      <c r="E1990" s="4"/>
      <c r="F1990" s="4"/>
      <c r="G1990" s="33" t="str">
        <f>IFERROR(VLOOKUP($D1990,'Informations sur les produits'!$A$3:$H$10000,8,FALSE),"0")</f>
        <v>0</v>
      </c>
      <c r="K1990" s="4"/>
      <c r="L1990" s="33" t="str">
        <f>IFERROR(VLOOKUP($J1990,'Informations sur les produits'!$A$3:$H$10000,8,FALSE),"0")</f>
        <v>0</v>
      </c>
      <c r="N1990" s="8"/>
      <c r="O1990" s="33" t="str">
        <f>IFERROR(VLOOKUP($M1990,'Informations sur les produits'!$A$3:$H$10000,8,FALSE),"0")</f>
        <v>0</v>
      </c>
      <c r="P1990" s="33">
        <f t="shared" si="124"/>
        <v>0</v>
      </c>
      <c r="Q1990" s="31" t="str">
        <f t="shared" si="125"/>
        <v/>
      </c>
      <c r="R1990" s="32" t="str">
        <f>IFERROR(VLOOKUP($D1990,'Informations sur les produits'!$A$3:$B$15000,2,FALSE),"")</f>
        <v/>
      </c>
      <c r="V1990">
        <f t="shared" si="126"/>
        <v>0</v>
      </c>
      <c r="W1990">
        <f t="shared" si="127"/>
        <v>0</v>
      </c>
    </row>
    <row r="1991" spans="5:23" x14ac:dyDescent="0.25">
      <c r="E1991" s="4"/>
      <c r="F1991" s="4"/>
      <c r="G1991" s="33" t="str">
        <f>IFERROR(VLOOKUP($D1991,'Informations sur les produits'!$A$3:$H$10000,8,FALSE),"0")</f>
        <v>0</v>
      </c>
      <c r="K1991" s="4"/>
      <c r="L1991" s="33" t="str">
        <f>IFERROR(VLOOKUP($J1991,'Informations sur les produits'!$A$3:$H$10000,8,FALSE),"0")</f>
        <v>0</v>
      </c>
      <c r="N1991" s="8"/>
      <c r="O1991" s="33" t="str">
        <f>IFERROR(VLOOKUP($M1991,'Informations sur les produits'!$A$3:$H$10000,8,FALSE),"0")</f>
        <v>0</v>
      </c>
      <c r="P1991" s="33">
        <f t="shared" si="124"/>
        <v>0</v>
      </c>
      <c r="Q1991" s="31" t="str">
        <f t="shared" si="125"/>
        <v/>
      </c>
      <c r="R1991" s="32" t="str">
        <f>IFERROR(VLOOKUP($D1991,'Informations sur les produits'!$A$3:$B$15000,2,FALSE),"")</f>
        <v/>
      </c>
      <c r="V1991">
        <f t="shared" si="126"/>
        <v>0</v>
      </c>
      <c r="W1991">
        <f t="shared" si="127"/>
        <v>0</v>
      </c>
    </row>
    <row r="1992" spans="5:23" x14ac:dyDescent="0.25">
      <c r="E1992" s="4"/>
      <c r="F1992" s="4"/>
      <c r="G1992" s="33" t="str">
        <f>IFERROR(VLOOKUP($D1992,'Informations sur les produits'!$A$3:$H$10000,8,FALSE),"0")</f>
        <v>0</v>
      </c>
      <c r="K1992" s="4"/>
      <c r="L1992" s="33" t="str">
        <f>IFERROR(VLOOKUP($J1992,'Informations sur les produits'!$A$3:$H$10000,8,FALSE),"0")</f>
        <v>0</v>
      </c>
      <c r="N1992" s="8"/>
      <c r="O1992" s="33" t="str">
        <f>IFERROR(VLOOKUP($M1992,'Informations sur les produits'!$A$3:$H$10000,8,FALSE),"0")</f>
        <v>0</v>
      </c>
      <c r="P1992" s="33">
        <f t="shared" si="124"/>
        <v>0</v>
      </c>
      <c r="Q1992" s="31" t="str">
        <f t="shared" si="125"/>
        <v/>
      </c>
      <c r="R1992" s="32" t="str">
        <f>IFERROR(VLOOKUP($D1992,'Informations sur les produits'!$A$3:$B$15000,2,FALSE),"")</f>
        <v/>
      </c>
      <c r="V1992">
        <f t="shared" si="126"/>
        <v>0</v>
      </c>
      <c r="W1992">
        <f t="shared" si="127"/>
        <v>0</v>
      </c>
    </row>
    <row r="1993" spans="5:23" x14ac:dyDescent="0.25">
      <c r="E1993" s="4"/>
      <c r="F1993" s="4"/>
      <c r="G1993" s="33" t="str">
        <f>IFERROR(VLOOKUP($D1993,'Informations sur les produits'!$A$3:$H$10000,8,FALSE),"0")</f>
        <v>0</v>
      </c>
      <c r="K1993" s="4"/>
      <c r="L1993" s="33" t="str">
        <f>IFERROR(VLOOKUP($J1993,'Informations sur les produits'!$A$3:$H$10000,8,FALSE),"0")</f>
        <v>0</v>
      </c>
      <c r="N1993" s="8"/>
      <c r="O1993" s="33" t="str">
        <f>IFERROR(VLOOKUP($M1993,'Informations sur les produits'!$A$3:$H$10000,8,FALSE),"0")</f>
        <v>0</v>
      </c>
      <c r="P1993" s="33">
        <f t="shared" si="124"/>
        <v>0</v>
      </c>
      <c r="Q1993" s="31" t="str">
        <f t="shared" si="125"/>
        <v/>
      </c>
      <c r="R1993" s="32" t="str">
        <f>IFERROR(VLOOKUP($D1993,'Informations sur les produits'!$A$3:$B$15000,2,FALSE),"")</f>
        <v/>
      </c>
      <c r="V1993">
        <f t="shared" si="126"/>
        <v>0</v>
      </c>
      <c r="W1993">
        <f t="shared" si="127"/>
        <v>0</v>
      </c>
    </row>
    <row r="1994" spans="5:23" x14ac:dyDescent="0.25">
      <c r="E1994" s="4"/>
      <c r="F1994" s="4"/>
      <c r="G1994" s="33" t="str">
        <f>IFERROR(VLOOKUP($D1994,'Informations sur les produits'!$A$3:$H$10000,8,FALSE),"0")</f>
        <v>0</v>
      </c>
      <c r="K1994" s="4"/>
      <c r="L1994" s="33" t="str">
        <f>IFERROR(VLOOKUP($J1994,'Informations sur les produits'!$A$3:$H$10000,8,FALSE),"0")</f>
        <v>0</v>
      </c>
      <c r="N1994" s="8"/>
      <c r="O1994" s="33" t="str">
        <f>IFERROR(VLOOKUP($M1994,'Informations sur les produits'!$A$3:$H$10000,8,FALSE),"0")</f>
        <v>0</v>
      </c>
      <c r="P1994" s="33">
        <f t="shared" si="124"/>
        <v>0</v>
      </c>
      <c r="Q1994" s="31" t="str">
        <f t="shared" si="125"/>
        <v/>
      </c>
      <c r="R1994" s="32" t="str">
        <f>IFERROR(VLOOKUP($D1994,'Informations sur les produits'!$A$3:$B$15000,2,FALSE),"")</f>
        <v/>
      </c>
      <c r="V1994">
        <f t="shared" si="126"/>
        <v>0</v>
      </c>
      <c r="W1994">
        <f t="shared" si="127"/>
        <v>0</v>
      </c>
    </row>
    <row r="1995" spans="5:23" x14ac:dyDescent="0.25">
      <c r="E1995" s="4"/>
      <c r="F1995" s="4"/>
      <c r="G1995" s="33" t="str">
        <f>IFERROR(VLOOKUP($D1995,'Informations sur les produits'!$A$3:$H$10000,8,FALSE),"0")</f>
        <v>0</v>
      </c>
      <c r="K1995" s="4"/>
      <c r="L1995" s="33" t="str">
        <f>IFERROR(VLOOKUP($J1995,'Informations sur les produits'!$A$3:$H$10000,8,FALSE),"0")</f>
        <v>0</v>
      </c>
      <c r="N1995" s="8"/>
      <c r="O1995" s="33" t="str">
        <f>IFERROR(VLOOKUP($M1995,'Informations sur les produits'!$A$3:$H$10000,8,FALSE),"0")</f>
        <v>0</v>
      </c>
      <c r="P1995" s="33">
        <f t="shared" si="124"/>
        <v>0</v>
      </c>
      <c r="Q1995" s="31" t="str">
        <f t="shared" si="125"/>
        <v/>
      </c>
      <c r="R1995" s="32" t="str">
        <f>IFERROR(VLOOKUP($D1995,'Informations sur les produits'!$A$3:$B$15000,2,FALSE),"")</f>
        <v/>
      </c>
      <c r="V1995">
        <f t="shared" si="126"/>
        <v>0</v>
      </c>
      <c r="W1995">
        <f t="shared" si="127"/>
        <v>0</v>
      </c>
    </row>
    <row r="1996" spans="5:23" x14ac:dyDescent="0.25">
      <c r="E1996" s="4"/>
      <c r="F1996" s="4"/>
      <c r="G1996" s="33" t="str">
        <f>IFERROR(VLOOKUP($D1996,'Informations sur les produits'!$A$3:$H$10000,8,FALSE),"0")</f>
        <v>0</v>
      </c>
      <c r="K1996" s="4"/>
      <c r="L1996" s="33" t="str">
        <f>IFERROR(VLOOKUP($J1996,'Informations sur les produits'!$A$3:$H$10000,8,FALSE),"0")</f>
        <v>0</v>
      </c>
      <c r="N1996" s="8"/>
      <c r="O1996" s="33" t="str">
        <f>IFERROR(VLOOKUP($M1996,'Informations sur les produits'!$A$3:$H$10000,8,FALSE),"0")</f>
        <v>0</v>
      </c>
      <c r="P1996" s="33">
        <f t="shared" si="124"/>
        <v>0</v>
      </c>
      <c r="Q1996" s="31" t="str">
        <f t="shared" si="125"/>
        <v/>
      </c>
      <c r="R1996" s="32" t="str">
        <f>IFERROR(VLOOKUP($D1996,'Informations sur les produits'!$A$3:$B$15000,2,FALSE),"")</f>
        <v/>
      </c>
      <c r="V1996">
        <f t="shared" si="126"/>
        <v>0</v>
      </c>
      <c r="W1996">
        <f t="shared" si="127"/>
        <v>0</v>
      </c>
    </row>
    <row r="1997" spans="5:23" x14ac:dyDescent="0.25">
      <c r="E1997" s="4"/>
      <c r="F1997" s="4"/>
      <c r="G1997" s="33" t="str">
        <f>IFERROR(VLOOKUP($D1997,'Informations sur les produits'!$A$3:$H$10000,8,FALSE),"0")</f>
        <v>0</v>
      </c>
      <c r="K1997" s="4"/>
      <c r="L1997" s="33" t="str">
        <f>IFERROR(VLOOKUP($J1997,'Informations sur les produits'!$A$3:$H$10000,8,FALSE),"0")</f>
        <v>0</v>
      </c>
      <c r="N1997" s="8"/>
      <c r="O1997" s="33" t="str">
        <f>IFERROR(VLOOKUP($M1997,'Informations sur les produits'!$A$3:$H$10000,8,FALSE),"0")</f>
        <v>0</v>
      </c>
      <c r="P1997" s="33">
        <f t="shared" si="124"/>
        <v>0</v>
      </c>
      <c r="Q1997" s="31" t="str">
        <f t="shared" si="125"/>
        <v/>
      </c>
      <c r="R1997" s="32" t="str">
        <f>IFERROR(VLOOKUP($D1997,'Informations sur les produits'!$A$3:$B$15000,2,FALSE),"")</f>
        <v/>
      </c>
      <c r="V1997">
        <f t="shared" si="126"/>
        <v>0</v>
      </c>
      <c r="W1997">
        <f t="shared" si="127"/>
        <v>0</v>
      </c>
    </row>
    <row r="1998" spans="5:23" x14ac:dyDescent="0.25">
      <c r="E1998" s="4"/>
      <c r="F1998" s="4"/>
      <c r="G1998" s="33" t="str">
        <f>IFERROR(VLOOKUP($D1998,'Informations sur les produits'!$A$3:$H$10000,8,FALSE),"0")</f>
        <v>0</v>
      </c>
      <c r="K1998" s="4"/>
      <c r="L1998" s="33" t="str">
        <f>IFERROR(VLOOKUP($J1998,'Informations sur les produits'!$A$3:$H$10000,8,FALSE),"0")</f>
        <v>0</v>
      </c>
      <c r="N1998" s="8"/>
      <c r="O1998" s="33" t="str">
        <f>IFERROR(VLOOKUP($M1998,'Informations sur les produits'!$A$3:$H$10000,8,FALSE),"0")</f>
        <v>0</v>
      </c>
      <c r="P1998" s="33">
        <f t="shared" si="124"/>
        <v>0</v>
      </c>
      <c r="Q1998" s="31" t="str">
        <f t="shared" si="125"/>
        <v/>
      </c>
      <c r="R1998" s="32" t="str">
        <f>IFERROR(VLOOKUP($D1998,'Informations sur les produits'!$A$3:$B$15000,2,FALSE),"")</f>
        <v/>
      </c>
      <c r="V1998">
        <f t="shared" si="126"/>
        <v>0</v>
      </c>
      <c r="W1998">
        <f t="shared" si="127"/>
        <v>0</v>
      </c>
    </row>
    <row r="1999" spans="5:23" x14ac:dyDescent="0.25">
      <c r="E1999" s="4"/>
      <c r="F1999" s="4"/>
      <c r="G1999" s="33" t="str">
        <f>IFERROR(VLOOKUP($D1999,'Informations sur les produits'!$A$3:$H$10000,8,FALSE),"0")</f>
        <v>0</v>
      </c>
      <c r="K1999" s="4"/>
      <c r="L1999" s="33" t="str">
        <f>IFERROR(VLOOKUP($J1999,'Informations sur les produits'!$A$3:$H$10000,8,FALSE),"0")</f>
        <v>0</v>
      </c>
      <c r="N1999" s="8"/>
      <c r="O1999" s="33" t="str">
        <f>IFERROR(VLOOKUP($M1999,'Informations sur les produits'!$A$3:$H$10000,8,FALSE),"0")</f>
        <v>0</v>
      </c>
      <c r="P1999" s="33">
        <f t="shared" si="124"/>
        <v>0</v>
      </c>
      <c r="Q1999" s="31" t="str">
        <f t="shared" si="125"/>
        <v/>
      </c>
      <c r="R1999" s="32" t="str">
        <f>IFERROR(VLOOKUP($D1999,'Informations sur les produits'!$A$3:$B$15000,2,FALSE),"")</f>
        <v/>
      </c>
      <c r="V1999">
        <f t="shared" si="126"/>
        <v>0</v>
      </c>
      <c r="W1999">
        <f t="shared" si="127"/>
        <v>0</v>
      </c>
    </row>
    <row r="2000" spans="5:23" x14ac:dyDescent="0.25">
      <c r="E2000" s="4"/>
      <c r="F2000" s="4"/>
      <c r="G2000" s="33" t="str">
        <f>IFERROR(VLOOKUP($D2000,'Informations sur les produits'!$A$3:$H$10000,8,FALSE),"0")</f>
        <v>0</v>
      </c>
      <c r="K2000" s="4"/>
      <c r="L2000" s="33" t="str">
        <f>IFERROR(VLOOKUP($J2000,'Informations sur les produits'!$A$3:$H$10000,8,FALSE),"0")</f>
        <v>0</v>
      </c>
      <c r="N2000" s="8"/>
      <c r="O2000" s="33" t="str">
        <f>IFERROR(VLOOKUP($M2000,'Informations sur les produits'!$A$3:$H$10000,8,FALSE),"0")</f>
        <v>0</v>
      </c>
      <c r="P2000" s="33">
        <f t="shared" si="124"/>
        <v>0</v>
      </c>
      <c r="Q2000" s="31" t="str">
        <f t="shared" si="125"/>
        <v/>
      </c>
      <c r="R2000" s="32" t="str">
        <f>IFERROR(VLOOKUP($D2000,'Informations sur les produits'!$A$3:$B$15000,2,FALSE),"")</f>
        <v/>
      </c>
      <c r="V2000">
        <f t="shared" si="126"/>
        <v>0</v>
      </c>
      <c r="W2000">
        <f t="shared" si="127"/>
        <v>0</v>
      </c>
    </row>
    <row r="2001" spans="5:23" x14ac:dyDescent="0.25">
      <c r="E2001" s="4"/>
      <c r="F2001" s="4"/>
      <c r="G2001" s="33" t="str">
        <f>IFERROR(VLOOKUP($D2001,'Informations sur les produits'!$A$3:$H$10000,8,FALSE),"0")</f>
        <v>0</v>
      </c>
      <c r="K2001" s="4"/>
      <c r="L2001" s="33" t="str">
        <f>IFERROR(VLOOKUP($J2001,'Informations sur les produits'!$A$3:$H$10000,8,FALSE),"0")</f>
        <v>0</v>
      </c>
      <c r="N2001" s="8"/>
      <c r="O2001" s="33" t="str">
        <f>IFERROR(VLOOKUP($M2001,'Informations sur les produits'!$A$3:$H$10000,8,FALSE),"0")</f>
        <v>0</v>
      </c>
      <c r="P2001" s="33">
        <f t="shared" si="124"/>
        <v>0</v>
      </c>
      <c r="Q2001" s="31" t="str">
        <f t="shared" si="125"/>
        <v/>
      </c>
      <c r="R2001" s="32" t="str">
        <f>IFERROR(VLOOKUP($D2001,'Informations sur les produits'!$A$3:$B$15000,2,FALSE),"")</f>
        <v/>
      </c>
      <c r="V2001">
        <f t="shared" si="126"/>
        <v>0</v>
      </c>
      <c r="W2001">
        <f t="shared" si="127"/>
        <v>0</v>
      </c>
    </row>
    <row r="2002" spans="5:23" x14ac:dyDescent="0.25">
      <c r="E2002" s="4"/>
      <c r="F2002" s="4"/>
      <c r="G2002" s="33" t="str">
        <f>IFERROR(VLOOKUP($D2002,'Informations sur les produits'!$A$3:$H$10000,8,FALSE),"0")</f>
        <v>0</v>
      </c>
      <c r="K2002" s="4"/>
      <c r="L2002" s="33" t="str">
        <f>IFERROR(VLOOKUP($J2002,'Informations sur les produits'!$A$3:$H$10000,8,FALSE),"0")</f>
        <v>0</v>
      </c>
      <c r="N2002" s="8"/>
      <c r="O2002" s="33" t="str">
        <f>IFERROR(VLOOKUP($M2002,'Informations sur les produits'!$A$3:$H$10000,8,FALSE),"0")</f>
        <v>0</v>
      </c>
      <c r="P2002" s="33">
        <f t="shared" si="124"/>
        <v>0</v>
      </c>
      <c r="Q2002" s="31" t="str">
        <f t="shared" si="125"/>
        <v/>
      </c>
      <c r="R2002" s="32" t="str">
        <f>IFERROR(VLOOKUP($D2002,'Informations sur les produits'!$A$3:$B$15000,2,FALSE),"")</f>
        <v/>
      </c>
      <c r="V2002">
        <f t="shared" si="126"/>
        <v>0</v>
      </c>
      <c r="W2002">
        <f t="shared" si="127"/>
        <v>0</v>
      </c>
    </row>
    <row r="2003" spans="5:23" x14ac:dyDescent="0.25">
      <c r="E2003" s="4"/>
      <c r="F2003" s="4"/>
      <c r="G2003" s="33" t="str">
        <f>IFERROR(VLOOKUP($D2003,'Informations sur les produits'!$A$3:$H$10000,8,FALSE),"0")</f>
        <v>0</v>
      </c>
      <c r="K2003" s="4"/>
      <c r="L2003" s="33" t="str">
        <f>IFERROR(VLOOKUP($J2003,'Informations sur les produits'!$A$3:$H$10000,8,FALSE),"0")</f>
        <v>0</v>
      </c>
      <c r="N2003" s="8"/>
      <c r="O2003" s="33" t="str">
        <f>IFERROR(VLOOKUP($M2003,'Informations sur les produits'!$A$3:$H$10000,8,FALSE),"0")</f>
        <v>0</v>
      </c>
      <c r="P2003" s="33">
        <f t="shared" si="124"/>
        <v>0</v>
      </c>
      <c r="Q2003" s="31" t="str">
        <f t="shared" si="125"/>
        <v/>
      </c>
      <c r="R2003" s="32" t="str">
        <f>IFERROR(VLOOKUP($D2003,'Informations sur les produits'!$A$3:$B$15000,2,FALSE),"")</f>
        <v/>
      </c>
      <c r="V2003">
        <f t="shared" si="126"/>
        <v>0</v>
      </c>
      <c r="W2003">
        <f t="shared" si="127"/>
        <v>0</v>
      </c>
    </row>
    <row r="2004" spans="5:23" x14ac:dyDescent="0.25">
      <c r="E2004" s="4"/>
      <c r="F2004" s="4"/>
      <c r="G2004" s="33" t="str">
        <f>IFERROR(VLOOKUP($D2004,'Informations sur les produits'!$A$3:$H$10000,8,FALSE),"0")</f>
        <v>0</v>
      </c>
      <c r="K2004" s="4"/>
      <c r="L2004" s="33" t="str">
        <f>IFERROR(VLOOKUP($J2004,'Informations sur les produits'!$A$3:$H$10000,8,FALSE),"0")</f>
        <v>0</v>
      </c>
      <c r="N2004" s="8"/>
      <c r="O2004" s="33" t="str">
        <f>IFERROR(VLOOKUP($M2004,'Informations sur les produits'!$A$3:$H$10000,8,FALSE),"0")</f>
        <v>0</v>
      </c>
      <c r="P2004" s="33">
        <f t="shared" si="124"/>
        <v>0</v>
      </c>
      <c r="Q2004" s="31" t="str">
        <f t="shared" si="125"/>
        <v/>
      </c>
      <c r="R2004" s="32" t="str">
        <f>IFERROR(VLOOKUP($D2004,'Informations sur les produits'!$A$3:$B$15000,2,FALSE),"")</f>
        <v/>
      </c>
      <c r="V2004">
        <f t="shared" si="126"/>
        <v>0</v>
      </c>
      <c r="W2004">
        <f t="shared" si="127"/>
        <v>0</v>
      </c>
    </row>
    <row r="2005" spans="5:23" x14ac:dyDescent="0.25">
      <c r="E2005" s="4"/>
      <c r="F2005" s="4"/>
      <c r="G2005" s="33" t="str">
        <f>IFERROR(VLOOKUP($D2005,'Informations sur les produits'!$A$3:$H$10000,8,FALSE),"0")</f>
        <v>0</v>
      </c>
      <c r="K2005" s="4"/>
      <c r="L2005" s="33" t="str">
        <f>IFERROR(VLOOKUP($J2005,'Informations sur les produits'!$A$3:$H$10000,8,FALSE),"0")</f>
        <v>0</v>
      </c>
      <c r="N2005" s="8"/>
      <c r="O2005" s="33" t="str">
        <f>IFERROR(VLOOKUP($M2005,'Informations sur les produits'!$A$3:$H$10000,8,FALSE),"0")</f>
        <v>0</v>
      </c>
      <c r="P2005" s="33">
        <f t="shared" si="124"/>
        <v>0</v>
      </c>
      <c r="Q2005" s="31" t="str">
        <f t="shared" si="125"/>
        <v/>
      </c>
      <c r="R2005" s="32" t="str">
        <f>IFERROR(VLOOKUP($D2005,'Informations sur les produits'!$A$3:$B$15000,2,FALSE),"")</f>
        <v/>
      </c>
      <c r="V2005">
        <f t="shared" si="126"/>
        <v>0</v>
      </c>
      <c r="W2005">
        <f t="shared" si="127"/>
        <v>0</v>
      </c>
    </row>
    <row r="2006" spans="5:23" x14ac:dyDescent="0.25">
      <c r="E2006" s="4"/>
      <c r="F2006" s="4"/>
      <c r="G2006" s="33" t="str">
        <f>IFERROR(VLOOKUP($D2006,'Informations sur les produits'!$A$3:$H$10000,8,FALSE),"0")</f>
        <v>0</v>
      </c>
      <c r="K2006" s="4"/>
      <c r="L2006" s="33" t="str">
        <f>IFERROR(VLOOKUP($J2006,'Informations sur les produits'!$A$3:$H$10000,8,FALSE),"0")</f>
        <v>0</v>
      </c>
      <c r="N2006" s="8"/>
      <c r="O2006" s="33" t="str">
        <f>IFERROR(VLOOKUP($M2006,'Informations sur les produits'!$A$3:$H$10000,8,FALSE),"0")</f>
        <v>0</v>
      </c>
      <c r="P2006" s="33">
        <f t="shared" si="124"/>
        <v>0</v>
      </c>
      <c r="Q2006" s="31" t="str">
        <f t="shared" si="125"/>
        <v/>
      </c>
      <c r="R2006" s="32" t="str">
        <f>IFERROR(VLOOKUP($D2006,'Informations sur les produits'!$A$3:$B$15000,2,FALSE),"")</f>
        <v/>
      </c>
      <c r="V2006">
        <f t="shared" si="126"/>
        <v>0</v>
      </c>
      <c r="W2006">
        <f t="shared" si="127"/>
        <v>0</v>
      </c>
    </row>
    <row r="2007" spans="5:23" x14ac:dyDescent="0.25">
      <c r="E2007" s="4"/>
      <c r="F2007" s="4"/>
      <c r="G2007" s="33" t="str">
        <f>IFERROR(VLOOKUP($D2007,'Informations sur les produits'!$A$3:$H$10000,8,FALSE),"0")</f>
        <v>0</v>
      </c>
      <c r="K2007" s="4"/>
      <c r="L2007" s="33" t="str">
        <f>IFERROR(VLOOKUP($J2007,'Informations sur les produits'!$A$3:$H$10000,8,FALSE),"0")</f>
        <v>0</v>
      </c>
      <c r="N2007" s="8"/>
      <c r="O2007" s="33" t="str">
        <f>IFERROR(VLOOKUP($M2007,'Informations sur les produits'!$A$3:$H$10000,8,FALSE),"0")</f>
        <v>0</v>
      </c>
      <c r="P2007" s="33">
        <f t="shared" si="124"/>
        <v>0</v>
      </c>
      <c r="Q2007" s="31" t="str">
        <f t="shared" si="125"/>
        <v/>
      </c>
      <c r="R2007" s="32" t="str">
        <f>IFERROR(VLOOKUP($D2007,'Informations sur les produits'!$A$3:$B$15000,2,FALSE),"")</f>
        <v/>
      </c>
      <c r="V2007">
        <f t="shared" si="126"/>
        <v>0</v>
      </c>
      <c r="W2007">
        <f t="shared" si="127"/>
        <v>0</v>
      </c>
    </row>
    <row r="2008" spans="5:23" x14ac:dyDescent="0.25">
      <c r="E2008" s="4"/>
      <c r="F2008" s="4"/>
      <c r="G2008" s="33" t="str">
        <f>IFERROR(VLOOKUP($D2008,'Informations sur les produits'!$A$3:$H$10000,8,FALSE),"0")</f>
        <v>0</v>
      </c>
      <c r="K2008" s="4"/>
      <c r="L2008" s="33" t="str">
        <f>IFERROR(VLOOKUP($J2008,'Informations sur les produits'!$A$3:$H$10000,8,FALSE),"0")</f>
        <v>0</v>
      </c>
      <c r="N2008" s="8"/>
      <c r="O2008" s="33" t="str">
        <f>IFERROR(VLOOKUP($M2008,'Informations sur les produits'!$A$3:$H$10000,8,FALSE),"0")</f>
        <v>0</v>
      </c>
      <c r="P2008" s="33">
        <f t="shared" si="124"/>
        <v>0</v>
      </c>
      <c r="Q2008" s="31" t="str">
        <f t="shared" si="125"/>
        <v/>
      </c>
      <c r="R2008" s="32" t="str">
        <f>IFERROR(VLOOKUP($D2008,'Informations sur les produits'!$A$3:$B$15000,2,FALSE),"")</f>
        <v/>
      </c>
      <c r="V2008">
        <f t="shared" si="126"/>
        <v>0</v>
      </c>
      <c r="W2008">
        <f t="shared" si="127"/>
        <v>0</v>
      </c>
    </row>
    <row r="2009" spans="5:23" x14ac:dyDescent="0.25">
      <c r="E2009" s="4"/>
      <c r="F2009" s="4"/>
      <c r="G2009" s="33" t="str">
        <f>IFERROR(VLOOKUP($D2009,'Informations sur les produits'!$A$3:$H$10000,8,FALSE),"0")</f>
        <v>0</v>
      </c>
      <c r="K2009" s="4"/>
      <c r="L2009" s="33" t="str">
        <f>IFERROR(VLOOKUP($J2009,'Informations sur les produits'!$A$3:$H$10000,8,FALSE),"0")</f>
        <v>0</v>
      </c>
      <c r="N2009" s="8"/>
      <c r="O2009" s="33" t="str">
        <f>IFERROR(VLOOKUP($M2009,'Informations sur les produits'!$A$3:$H$10000,8,FALSE),"0")</f>
        <v>0</v>
      </c>
      <c r="P2009" s="33">
        <f t="shared" si="124"/>
        <v>0</v>
      </c>
      <c r="Q2009" s="31" t="str">
        <f t="shared" si="125"/>
        <v/>
      </c>
      <c r="R2009" s="32" t="str">
        <f>IFERROR(VLOOKUP($D2009,'Informations sur les produits'!$A$3:$B$15000,2,FALSE),"")</f>
        <v/>
      </c>
      <c r="V2009">
        <f t="shared" si="126"/>
        <v>0</v>
      </c>
      <c r="W2009">
        <f t="shared" si="127"/>
        <v>0</v>
      </c>
    </row>
    <row r="2010" spans="5:23" x14ac:dyDescent="0.25">
      <c r="E2010" s="4"/>
      <c r="F2010" s="4"/>
      <c r="G2010" s="33" t="str">
        <f>IFERROR(VLOOKUP($D2010,'Informations sur les produits'!$A$3:$H$10000,8,FALSE),"0")</f>
        <v>0</v>
      </c>
      <c r="K2010" s="4"/>
      <c r="L2010" s="33" t="str">
        <f>IFERROR(VLOOKUP($J2010,'Informations sur les produits'!$A$3:$H$10000,8,FALSE),"0")</f>
        <v>0</v>
      </c>
      <c r="N2010" s="8"/>
      <c r="O2010" s="33" t="str">
        <f>IFERROR(VLOOKUP($M2010,'Informations sur les produits'!$A$3:$H$10000,8,FALSE),"0")</f>
        <v>0</v>
      </c>
      <c r="P2010" s="33">
        <f t="shared" si="124"/>
        <v>0</v>
      </c>
      <c r="Q2010" s="31" t="str">
        <f t="shared" si="125"/>
        <v/>
      </c>
      <c r="R2010" s="32" t="str">
        <f>IFERROR(VLOOKUP($D2010,'Informations sur les produits'!$A$3:$B$15000,2,FALSE),"")</f>
        <v/>
      </c>
      <c r="V2010">
        <f t="shared" si="126"/>
        <v>0</v>
      </c>
      <c r="W2010">
        <f t="shared" si="127"/>
        <v>0</v>
      </c>
    </row>
    <row r="2011" spans="5:23" x14ac:dyDescent="0.25">
      <c r="E2011" s="4"/>
      <c r="F2011" s="4"/>
      <c r="G2011" s="33" t="str">
        <f>IFERROR(VLOOKUP($D2011,'Informations sur les produits'!$A$3:$H$10000,8,FALSE),"0")</f>
        <v>0</v>
      </c>
      <c r="K2011" s="4"/>
      <c r="L2011" s="33" t="str">
        <f>IFERROR(VLOOKUP($J2011,'Informations sur les produits'!$A$3:$H$10000,8,FALSE),"0")</f>
        <v>0</v>
      </c>
      <c r="N2011" s="8"/>
      <c r="O2011" s="33" t="str">
        <f>IFERROR(VLOOKUP($M2011,'Informations sur les produits'!$A$3:$H$10000,8,FALSE),"0")</f>
        <v>0</v>
      </c>
      <c r="P2011" s="33">
        <f t="shared" si="124"/>
        <v>0</v>
      </c>
      <c r="Q2011" s="31" t="str">
        <f t="shared" si="125"/>
        <v/>
      </c>
      <c r="R2011" s="32" t="str">
        <f>IFERROR(VLOOKUP($D2011,'Informations sur les produits'!$A$3:$B$15000,2,FALSE),"")</f>
        <v/>
      </c>
      <c r="V2011">
        <f t="shared" si="126"/>
        <v>0</v>
      </c>
      <c r="W2011">
        <f t="shared" si="127"/>
        <v>0</v>
      </c>
    </row>
    <row r="2012" spans="5:23" x14ac:dyDescent="0.25">
      <c r="E2012" s="4"/>
      <c r="F2012" s="4"/>
      <c r="G2012" s="33" t="str">
        <f>IFERROR(VLOOKUP($D2012,'Informations sur les produits'!$A$3:$H$10000,8,FALSE),"0")</f>
        <v>0</v>
      </c>
      <c r="K2012" s="4"/>
      <c r="L2012" s="33" t="str">
        <f>IFERROR(VLOOKUP($J2012,'Informations sur les produits'!$A$3:$H$10000,8,FALSE),"0")</f>
        <v>0</v>
      </c>
      <c r="N2012" s="8"/>
      <c r="O2012" s="33" t="str">
        <f>IFERROR(VLOOKUP($M2012,'Informations sur les produits'!$A$3:$H$10000,8,FALSE),"0")</f>
        <v>0</v>
      </c>
      <c r="P2012" s="33">
        <f t="shared" si="124"/>
        <v>0</v>
      </c>
      <c r="Q2012" s="31" t="str">
        <f t="shared" si="125"/>
        <v/>
      </c>
      <c r="R2012" s="32" t="str">
        <f>IFERROR(VLOOKUP($D2012,'Informations sur les produits'!$A$3:$B$15000,2,FALSE),"")</f>
        <v/>
      </c>
      <c r="V2012">
        <f t="shared" si="126"/>
        <v>0</v>
      </c>
      <c r="W2012">
        <f t="shared" si="127"/>
        <v>0</v>
      </c>
    </row>
    <row r="2013" spans="5:23" x14ac:dyDescent="0.25">
      <c r="E2013" s="4"/>
      <c r="F2013" s="4"/>
      <c r="G2013" s="33" t="str">
        <f>IFERROR(VLOOKUP($D2013,'Informations sur les produits'!$A$3:$H$10000,8,FALSE),"0")</f>
        <v>0</v>
      </c>
      <c r="K2013" s="4"/>
      <c r="L2013" s="33" t="str">
        <f>IFERROR(VLOOKUP($J2013,'Informations sur les produits'!$A$3:$H$10000,8,FALSE),"0")</f>
        <v>0</v>
      </c>
      <c r="N2013" s="8"/>
      <c r="O2013" s="33" t="str">
        <f>IFERROR(VLOOKUP($M2013,'Informations sur les produits'!$A$3:$H$10000,8,FALSE),"0")</f>
        <v>0</v>
      </c>
      <c r="P2013" s="33">
        <f t="shared" si="124"/>
        <v>0</v>
      </c>
      <c r="Q2013" s="31" t="str">
        <f t="shared" si="125"/>
        <v/>
      </c>
      <c r="R2013" s="32" t="str">
        <f>IFERROR(VLOOKUP($D2013,'Informations sur les produits'!$A$3:$B$15000,2,FALSE),"")</f>
        <v/>
      </c>
      <c r="V2013">
        <f t="shared" si="126"/>
        <v>0</v>
      </c>
      <c r="W2013">
        <f t="shared" si="127"/>
        <v>0</v>
      </c>
    </row>
    <row r="2014" spans="5:23" x14ac:dyDescent="0.25">
      <c r="E2014" s="4"/>
      <c r="F2014" s="4"/>
      <c r="G2014" s="33" t="str">
        <f>IFERROR(VLOOKUP($D2014,'Informations sur les produits'!$A$3:$H$10000,8,FALSE),"0")</f>
        <v>0</v>
      </c>
      <c r="K2014" s="4"/>
      <c r="L2014" s="33" t="str">
        <f>IFERROR(VLOOKUP($J2014,'Informations sur les produits'!$A$3:$H$10000,8,FALSE),"0")</f>
        <v>0</v>
      </c>
      <c r="N2014" s="8"/>
      <c r="O2014" s="33" t="str">
        <f>IFERROR(VLOOKUP($M2014,'Informations sur les produits'!$A$3:$H$10000,8,FALSE),"0")</f>
        <v>0</v>
      </c>
      <c r="P2014" s="33">
        <f t="shared" si="124"/>
        <v>0</v>
      </c>
      <c r="Q2014" s="31" t="str">
        <f t="shared" si="125"/>
        <v/>
      </c>
      <c r="R2014" s="32" t="str">
        <f>IFERROR(VLOOKUP($D2014,'Informations sur les produits'!$A$3:$B$15000,2,FALSE),"")</f>
        <v/>
      </c>
      <c r="V2014">
        <f t="shared" si="126"/>
        <v>0</v>
      </c>
      <c r="W2014">
        <f t="shared" si="127"/>
        <v>0</v>
      </c>
    </row>
    <row r="2015" spans="5:23" x14ac:dyDescent="0.25">
      <c r="E2015" s="4"/>
      <c r="F2015" s="4"/>
      <c r="G2015" s="33" t="str">
        <f>IFERROR(VLOOKUP($D2015,'Informations sur les produits'!$A$3:$H$10000,8,FALSE),"0")</f>
        <v>0</v>
      </c>
      <c r="K2015" s="4"/>
      <c r="L2015" s="33" t="str">
        <f>IFERROR(VLOOKUP($J2015,'Informations sur les produits'!$A$3:$H$10000,8,FALSE),"0")</f>
        <v>0</v>
      </c>
      <c r="N2015" s="8"/>
      <c r="O2015" s="33" t="str">
        <f>IFERROR(VLOOKUP($M2015,'Informations sur les produits'!$A$3:$H$10000,8,FALSE),"0")</f>
        <v>0</v>
      </c>
      <c r="P2015" s="33">
        <f t="shared" si="124"/>
        <v>0</v>
      </c>
      <c r="Q2015" s="31" t="str">
        <f t="shared" si="125"/>
        <v/>
      </c>
      <c r="R2015" s="32" t="str">
        <f>IFERROR(VLOOKUP($D2015,'Informations sur les produits'!$A$3:$B$15000,2,FALSE),"")</f>
        <v/>
      </c>
      <c r="V2015">
        <f t="shared" si="126"/>
        <v>0</v>
      </c>
      <c r="W2015">
        <f t="shared" si="127"/>
        <v>0</v>
      </c>
    </row>
    <row r="2016" spans="5:23" x14ac:dyDescent="0.25">
      <c r="E2016" s="4"/>
      <c r="F2016" s="4"/>
      <c r="G2016" s="33" t="str">
        <f>IFERROR(VLOOKUP($D2016,'Informations sur les produits'!$A$3:$H$10000,8,FALSE),"0")</f>
        <v>0</v>
      </c>
      <c r="K2016" s="4"/>
      <c r="L2016" s="33" t="str">
        <f>IFERROR(VLOOKUP($J2016,'Informations sur les produits'!$A$3:$H$10000,8,FALSE),"0")</f>
        <v>0</v>
      </c>
      <c r="N2016" s="8"/>
      <c r="O2016" s="33" t="str">
        <f>IFERROR(VLOOKUP($M2016,'Informations sur les produits'!$A$3:$H$10000,8,FALSE),"0")</f>
        <v>0</v>
      </c>
      <c r="P2016" s="33">
        <f t="shared" si="124"/>
        <v>0</v>
      </c>
      <c r="Q2016" s="31" t="str">
        <f t="shared" si="125"/>
        <v/>
      </c>
      <c r="R2016" s="32" t="str">
        <f>IFERROR(VLOOKUP($D2016,'Informations sur les produits'!$A$3:$B$15000,2,FALSE),"")</f>
        <v/>
      </c>
      <c r="V2016">
        <f t="shared" si="126"/>
        <v>0</v>
      </c>
      <c r="W2016">
        <f t="shared" si="127"/>
        <v>0</v>
      </c>
    </row>
    <row r="2017" spans="5:23" x14ac:dyDescent="0.25">
      <c r="E2017" s="4"/>
      <c r="F2017" s="4"/>
      <c r="G2017" s="33" t="str">
        <f>IFERROR(VLOOKUP($D2017,'Informations sur les produits'!$A$3:$H$10000,8,FALSE),"0")</f>
        <v>0</v>
      </c>
      <c r="K2017" s="4"/>
      <c r="L2017" s="33" t="str">
        <f>IFERROR(VLOOKUP($J2017,'Informations sur les produits'!$A$3:$H$10000,8,FALSE),"0")</f>
        <v>0</v>
      </c>
      <c r="N2017" s="8"/>
      <c r="O2017" s="33" t="str">
        <f>IFERROR(VLOOKUP($M2017,'Informations sur les produits'!$A$3:$H$10000,8,FALSE),"0")</f>
        <v>0</v>
      </c>
      <c r="P2017" s="33">
        <f t="shared" si="124"/>
        <v>0</v>
      </c>
      <c r="Q2017" s="31" t="str">
        <f t="shared" si="125"/>
        <v/>
      </c>
      <c r="R2017" s="32" t="str">
        <f>IFERROR(VLOOKUP($D2017,'Informations sur les produits'!$A$3:$B$15000,2,FALSE),"")</f>
        <v/>
      </c>
      <c r="V2017">
        <f t="shared" si="126"/>
        <v>0</v>
      </c>
      <c r="W2017">
        <f t="shared" si="127"/>
        <v>0</v>
      </c>
    </row>
    <row r="2018" spans="5:23" x14ac:dyDescent="0.25">
      <c r="E2018" s="4"/>
      <c r="F2018" s="4"/>
      <c r="G2018" s="33" t="str">
        <f>IFERROR(VLOOKUP($D2018,'Informations sur les produits'!$A$3:$H$10000,8,FALSE),"0")</f>
        <v>0</v>
      </c>
      <c r="K2018" s="4"/>
      <c r="L2018" s="33" t="str">
        <f>IFERROR(VLOOKUP($J2018,'Informations sur les produits'!$A$3:$H$10000,8,FALSE),"0")</f>
        <v>0</v>
      </c>
      <c r="N2018" s="8"/>
      <c r="O2018" s="33" t="str">
        <f>IFERROR(VLOOKUP($M2018,'Informations sur les produits'!$A$3:$H$10000,8,FALSE),"0")</f>
        <v>0</v>
      </c>
      <c r="P2018" s="33">
        <f t="shared" si="124"/>
        <v>0</v>
      </c>
      <c r="Q2018" s="31" t="str">
        <f t="shared" si="125"/>
        <v/>
      </c>
      <c r="R2018" s="32" t="str">
        <f>IFERROR(VLOOKUP($D2018,'Informations sur les produits'!$A$3:$B$15000,2,FALSE),"")</f>
        <v/>
      </c>
      <c r="V2018">
        <f t="shared" si="126"/>
        <v>0</v>
      </c>
      <c r="W2018">
        <f t="shared" si="127"/>
        <v>0</v>
      </c>
    </row>
    <row r="2019" spans="5:23" x14ac:dyDescent="0.25">
      <c r="E2019" s="4"/>
      <c r="F2019" s="4"/>
      <c r="G2019" s="33" t="str">
        <f>IFERROR(VLOOKUP($D2019,'Informations sur les produits'!$A$3:$H$10000,8,FALSE),"0")</f>
        <v>0</v>
      </c>
      <c r="K2019" s="4"/>
      <c r="L2019" s="33" t="str">
        <f>IFERROR(VLOOKUP($J2019,'Informations sur les produits'!$A$3:$H$10000,8,FALSE),"0")</f>
        <v>0</v>
      </c>
      <c r="N2019" s="8"/>
      <c r="O2019" s="33" t="str">
        <f>IFERROR(VLOOKUP($M2019,'Informations sur les produits'!$A$3:$H$10000,8,FALSE),"0")</f>
        <v>0</v>
      </c>
      <c r="P2019" s="33">
        <f t="shared" si="124"/>
        <v>0</v>
      </c>
      <c r="Q2019" s="31" t="str">
        <f t="shared" si="125"/>
        <v/>
      </c>
      <c r="R2019" s="32" t="str">
        <f>IFERROR(VLOOKUP($D2019,'Informations sur les produits'!$A$3:$B$15000,2,FALSE),"")</f>
        <v/>
      </c>
      <c r="V2019">
        <f t="shared" si="126"/>
        <v>0</v>
      </c>
      <c r="W2019">
        <f t="shared" si="127"/>
        <v>0</v>
      </c>
    </row>
    <row r="2020" spans="5:23" x14ac:dyDescent="0.25">
      <c r="E2020" s="4"/>
      <c r="F2020" s="4"/>
      <c r="G2020" s="33" t="str">
        <f>IFERROR(VLOOKUP($D2020,'Informations sur les produits'!$A$3:$H$10000,8,FALSE),"0")</f>
        <v>0</v>
      </c>
      <c r="K2020" s="4"/>
      <c r="L2020" s="33" t="str">
        <f>IFERROR(VLOOKUP($J2020,'Informations sur les produits'!$A$3:$H$10000,8,FALSE),"0")</f>
        <v>0</v>
      </c>
      <c r="N2020" s="8"/>
      <c r="O2020" s="33" t="str">
        <f>IFERROR(VLOOKUP($M2020,'Informations sur les produits'!$A$3:$H$10000,8,FALSE),"0")</f>
        <v>0</v>
      </c>
      <c r="P2020" s="33">
        <f t="shared" si="124"/>
        <v>0</v>
      </c>
      <c r="Q2020" s="31" t="str">
        <f t="shared" si="125"/>
        <v/>
      </c>
      <c r="R2020" s="32" t="str">
        <f>IFERROR(VLOOKUP($D2020,'Informations sur les produits'!$A$3:$B$15000,2,FALSE),"")</f>
        <v/>
      </c>
      <c r="V2020">
        <f t="shared" si="126"/>
        <v>0</v>
      </c>
      <c r="W2020">
        <f t="shared" si="127"/>
        <v>0</v>
      </c>
    </row>
    <row r="2021" spans="5:23" x14ac:dyDescent="0.25">
      <c r="E2021" s="4"/>
      <c r="F2021" s="4"/>
      <c r="G2021" s="33" t="str">
        <f>IFERROR(VLOOKUP($D2021,'Informations sur les produits'!$A$3:$H$10000,8,FALSE),"0")</f>
        <v>0</v>
      </c>
      <c r="K2021" s="4"/>
      <c r="L2021" s="33" t="str">
        <f>IFERROR(VLOOKUP($J2021,'Informations sur les produits'!$A$3:$H$10000,8,FALSE),"0")</f>
        <v>0</v>
      </c>
      <c r="N2021" s="8"/>
      <c r="O2021" s="33" t="str">
        <f>IFERROR(VLOOKUP($M2021,'Informations sur les produits'!$A$3:$H$10000,8,FALSE),"0")</f>
        <v>0</v>
      </c>
      <c r="P2021" s="33">
        <f t="shared" si="124"/>
        <v>0</v>
      </c>
      <c r="Q2021" s="31" t="str">
        <f t="shared" si="125"/>
        <v/>
      </c>
      <c r="R2021" s="32" t="str">
        <f>IFERROR(VLOOKUP($D2021,'Informations sur les produits'!$A$3:$B$15000,2,FALSE),"")</f>
        <v/>
      </c>
      <c r="V2021">
        <f t="shared" si="126"/>
        <v>0</v>
      </c>
      <c r="W2021">
        <f t="shared" si="127"/>
        <v>0</v>
      </c>
    </row>
    <row r="2022" spans="5:23" x14ac:dyDescent="0.25">
      <c r="E2022" s="4"/>
      <c r="F2022" s="4"/>
      <c r="G2022" s="33" t="str">
        <f>IFERROR(VLOOKUP($D2022,'Informations sur les produits'!$A$3:$H$10000,8,FALSE),"0")</f>
        <v>0</v>
      </c>
      <c r="K2022" s="4"/>
      <c r="L2022" s="33" t="str">
        <f>IFERROR(VLOOKUP($J2022,'Informations sur les produits'!$A$3:$H$10000,8,FALSE),"0")</f>
        <v>0</v>
      </c>
      <c r="N2022" s="8"/>
      <c r="O2022" s="33" t="str">
        <f>IFERROR(VLOOKUP($M2022,'Informations sur les produits'!$A$3:$H$10000,8,FALSE),"0")</f>
        <v>0</v>
      </c>
      <c r="P2022" s="33">
        <f t="shared" si="124"/>
        <v>0</v>
      </c>
      <c r="Q2022" s="31" t="str">
        <f t="shared" si="125"/>
        <v/>
      </c>
      <c r="R2022" s="32" t="str">
        <f>IFERROR(VLOOKUP($D2022,'Informations sur les produits'!$A$3:$B$15000,2,FALSE),"")</f>
        <v/>
      </c>
      <c r="V2022">
        <f t="shared" si="126"/>
        <v>0</v>
      </c>
      <c r="W2022">
        <f t="shared" si="127"/>
        <v>0</v>
      </c>
    </row>
    <row r="2023" spans="5:23" x14ac:dyDescent="0.25">
      <c r="E2023" s="4"/>
      <c r="F2023" s="4"/>
      <c r="G2023" s="33" t="str">
        <f>IFERROR(VLOOKUP($D2023,'Informations sur les produits'!$A$3:$H$10000,8,FALSE),"0")</f>
        <v>0</v>
      </c>
      <c r="K2023" s="4"/>
      <c r="L2023" s="33" t="str">
        <f>IFERROR(VLOOKUP($J2023,'Informations sur les produits'!$A$3:$H$10000,8,FALSE),"0")</f>
        <v>0</v>
      </c>
      <c r="N2023" s="8"/>
      <c r="O2023" s="33" t="str">
        <f>IFERROR(VLOOKUP($M2023,'Informations sur les produits'!$A$3:$H$10000,8,FALSE),"0")</f>
        <v>0</v>
      </c>
      <c r="P2023" s="33">
        <f t="shared" si="124"/>
        <v>0</v>
      </c>
      <c r="Q2023" s="31" t="str">
        <f t="shared" si="125"/>
        <v/>
      </c>
      <c r="R2023" s="32" t="str">
        <f>IFERROR(VLOOKUP($D2023,'Informations sur les produits'!$A$3:$B$15000,2,FALSE),"")</f>
        <v/>
      </c>
      <c r="V2023">
        <f t="shared" si="126"/>
        <v>0</v>
      </c>
      <c r="W2023">
        <f t="shared" si="127"/>
        <v>0</v>
      </c>
    </row>
    <row r="2024" spans="5:23" x14ac:dyDescent="0.25">
      <c r="E2024" s="4"/>
      <c r="F2024" s="4"/>
      <c r="G2024" s="33" t="str">
        <f>IFERROR(VLOOKUP($D2024,'Informations sur les produits'!$A$3:$H$10000,8,FALSE),"0")</f>
        <v>0</v>
      </c>
      <c r="K2024" s="4"/>
      <c r="L2024" s="33" t="str">
        <f>IFERROR(VLOOKUP($J2024,'Informations sur les produits'!$A$3:$H$10000,8,FALSE),"0")</f>
        <v>0</v>
      </c>
      <c r="N2024" s="8"/>
      <c r="O2024" s="33" t="str">
        <f>IFERROR(VLOOKUP($M2024,'Informations sur les produits'!$A$3:$H$10000,8,FALSE),"0")</f>
        <v>0</v>
      </c>
      <c r="P2024" s="33">
        <f t="shared" si="124"/>
        <v>0</v>
      </c>
      <c r="Q2024" s="31" t="str">
        <f t="shared" si="125"/>
        <v/>
      </c>
      <c r="R2024" s="32" t="str">
        <f>IFERROR(VLOOKUP($D2024,'Informations sur les produits'!$A$3:$B$15000,2,FALSE),"")</f>
        <v/>
      </c>
      <c r="V2024">
        <f t="shared" si="126"/>
        <v>0</v>
      </c>
      <c r="W2024">
        <f t="shared" si="127"/>
        <v>0</v>
      </c>
    </row>
    <row r="2025" spans="5:23" x14ac:dyDescent="0.25">
      <c r="E2025" s="4"/>
      <c r="F2025" s="4"/>
      <c r="G2025" s="33" t="str">
        <f>IFERROR(VLOOKUP($D2025,'Informations sur les produits'!$A$3:$H$10000,8,FALSE),"0")</f>
        <v>0</v>
      </c>
      <c r="K2025" s="4"/>
      <c r="L2025" s="33" t="str">
        <f>IFERROR(VLOOKUP($J2025,'Informations sur les produits'!$A$3:$H$10000,8,FALSE),"0")</f>
        <v>0</v>
      </c>
      <c r="N2025" s="8"/>
      <c r="O2025" s="33" t="str">
        <f>IFERROR(VLOOKUP($M2025,'Informations sur les produits'!$A$3:$H$10000,8,FALSE),"0")</f>
        <v>0</v>
      </c>
      <c r="P2025" s="33">
        <f t="shared" si="124"/>
        <v>0</v>
      </c>
      <c r="Q2025" s="31" t="str">
        <f t="shared" si="125"/>
        <v/>
      </c>
      <c r="R2025" s="32" t="str">
        <f>IFERROR(VLOOKUP($D2025,'Informations sur les produits'!$A$3:$B$15000,2,FALSE),"")</f>
        <v/>
      </c>
      <c r="V2025">
        <f t="shared" si="126"/>
        <v>0</v>
      </c>
      <c r="W2025">
        <f t="shared" si="127"/>
        <v>0</v>
      </c>
    </row>
    <row r="2026" spans="5:23" x14ac:dyDescent="0.25">
      <c r="E2026" s="4"/>
      <c r="F2026" s="4"/>
      <c r="G2026" s="33" t="str">
        <f>IFERROR(VLOOKUP($D2026,'Informations sur les produits'!$A$3:$H$10000,8,FALSE),"0")</f>
        <v>0</v>
      </c>
      <c r="K2026" s="4"/>
      <c r="L2026" s="33" t="str">
        <f>IFERROR(VLOOKUP($J2026,'Informations sur les produits'!$A$3:$H$10000,8,FALSE),"0")</f>
        <v>0</v>
      </c>
      <c r="N2026" s="8"/>
      <c r="O2026" s="33" t="str">
        <f>IFERROR(VLOOKUP($M2026,'Informations sur les produits'!$A$3:$H$10000,8,FALSE),"0")</f>
        <v>0</v>
      </c>
      <c r="P2026" s="33">
        <f t="shared" si="124"/>
        <v>0</v>
      </c>
      <c r="Q2026" s="31" t="str">
        <f t="shared" si="125"/>
        <v/>
      </c>
      <c r="R2026" s="32" t="str">
        <f>IFERROR(VLOOKUP($D2026,'Informations sur les produits'!$A$3:$B$15000,2,FALSE),"")</f>
        <v/>
      </c>
      <c r="V2026">
        <f t="shared" si="126"/>
        <v>0</v>
      </c>
      <c r="W2026">
        <f t="shared" si="127"/>
        <v>0</v>
      </c>
    </row>
    <row r="2027" spans="5:23" x14ac:dyDescent="0.25">
      <c r="E2027" s="4"/>
      <c r="F2027" s="4"/>
      <c r="G2027" s="33" t="str">
        <f>IFERROR(VLOOKUP($D2027,'Informations sur les produits'!$A$3:$H$10000,8,FALSE),"0")</f>
        <v>0</v>
      </c>
      <c r="K2027" s="4"/>
      <c r="L2027" s="33" t="str">
        <f>IFERROR(VLOOKUP($J2027,'Informations sur les produits'!$A$3:$H$10000,8,FALSE),"0")</f>
        <v>0</v>
      </c>
      <c r="N2027" s="8"/>
      <c r="O2027" s="33" t="str">
        <f>IFERROR(VLOOKUP($M2027,'Informations sur les produits'!$A$3:$H$10000,8,FALSE),"0")</f>
        <v>0</v>
      </c>
      <c r="P2027" s="33">
        <f t="shared" si="124"/>
        <v>0</v>
      </c>
      <c r="Q2027" s="31" t="str">
        <f t="shared" si="125"/>
        <v/>
      </c>
      <c r="R2027" s="32" t="str">
        <f>IFERROR(VLOOKUP($D2027,'Informations sur les produits'!$A$3:$B$15000,2,FALSE),"")</f>
        <v/>
      </c>
      <c r="V2027">
        <f t="shared" si="126"/>
        <v>0</v>
      </c>
      <c r="W2027">
        <f t="shared" si="127"/>
        <v>0</v>
      </c>
    </row>
    <row r="2028" spans="5:23" x14ac:dyDescent="0.25">
      <c r="E2028" s="4"/>
      <c r="F2028" s="4"/>
      <c r="G2028" s="33" t="str">
        <f>IFERROR(VLOOKUP($D2028,'Informations sur les produits'!$A$3:$H$10000,8,FALSE),"0")</f>
        <v>0</v>
      </c>
      <c r="K2028" s="4"/>
      <c r="L2028" s="33" t="str">
        <f>IFERROR(VLOOKUP($J2028,'Informations sur les produits'!$A$3:$H$10000,8,FALSE),"0")</f>
        <v>0</v>
      </c>
      <c r="N2028" s="8"/>
      <c r="O2028" s="33" t="str">
        <f>IFERROR(VLOOKUP($M2028,'Informations sur les produits'!$A$3:$H$10000,8,FALSE),"0")</f>
        <v>0</v>
      </c>
      <c r="P2028" s="33">
        <f t="shared" si="124"/>
        <v>0</v>
      </c>
      <c r="Q2028" s="31" t="str">
        <f t="shared" si="125"/>
        <v/>
      </c>
      <c r="R2028" s="32" t="str">
        <f>IFERROR(VLOOKUP($D2028,'Informations sur les produits'!$A$3:$B$15000,2,FALSE),"")</f>
        <v/>
      </c>
      <c r="V2028">
        <f t="shared" si="126"/>
        <v>0</v>
      </c>
      <c r="W2028">
        <f t="shared" si="127"/>
        <v>0</v>
      </c>
    </row>
    <row r="2029" spans="5:23" x14ac:dyDescent="0.25">
      <c r="E2029" s="4"/>
      <c r="F2029" s="4"/>
      <c r="G2029" s="33" t="str">
        <f>IFERROR(VLOOKUP($D2029,'Informations sur les produits'!$A$3:$H$10000,8,FALSE),"0")</f>
        <v>0</v>
      </c>
      <c r="K2029" s="4"/>
      <c r="L2029" s="33" t="str">
        <f>IFERROR(VLOOKUP($J2029,'Informations sur les produits'!$A$3:$H$10000,8,FALSE),"0")</f>
        <v>0</v>
      </c>
      <c r="N2029" s="8"/>
      <c r="O2029" s="33" t="str">
        <f>IFERROR(VLOOKUP($M2029,'Informations sur les produits'!$A$3:$H$10000,8,FALSE),"0")</f>
        <v>0</v>
      </c>
      <c r="P2029" s="33">
        <f t="shared" si="124"/>
        <v>0</v>
      </c>
      <c r="Q2029" s="31" t="str">
        <f t="shared" si="125"/>
        <v/>
      </c>
      <c r="R2029" s="32" t="str">
        <f>IFERROR(VLOOKUP($D2029,'Informations sur les produits'!$A$3:$B$15000,2,FALSE),"")</f>
        <v/>
      </c>
      <c r="V2029">
        <f t="shared" si="126"/>
        <v>0</v>
      </c>
      <c r="W2029">
        <f t="shared" si="127"/>
        <v>0</v>
      </c>
    </row>
    <row r="2030" spans="5:23" x14ac:dyDescent="0.25">
      <c r="E2030" s="4"/>
      <c r="F2030" s="4"/>
      <c r="G2030" s="33" t="str">
        <f>IFERROR(VLOOKUP($D2030,'Informations sur les produits'!$A$3:$H$10000,8,FALSE),"0")</f>
        <v>0</v>
      </c>
      <c r="K2030" s="4"/>
      <c r="L2030" s="33" t="str">
        <f>IFERROR(VLOOKUP($J2030,'Informations sur les produits'!$A$3:$H$10000,8,FALSE),"0")</f>
        <v>0</v>
      </c>
      <c r="N2030" s="8"/>
      <c r="O2030" s="33" t="str">
        <f>IFERROR(VLOOKUP($M2030,'Informations sur les produits'!$A$3:$H$10000,8,FALSE),"0")</f>
        <v>0</v>
      </c>
      <c r="P2030" s="33">
        <f t="shared" si="124"/>
        <v>0</v>
      </c>
      <c r="Q2030" s="31" t="str">
        <f t="shared" si="125"/>
        <v/>
      </c>
      <c r="R2030" s="32" t="str">
        <f>IFERROR(VLOOKUP($D2030,'Informations sur les produits'!$A$3:$B$15000,2,FALSE),"")</f>
        <v/>
      </c>
      <c r="V2030">
        <f t="shared" si="126"/>
        <v>0</v>
      </c>
      <c r="W2030">
        <f t="shared" si="127"/>
        <v>0</v>
      </c>
    </row>
    <row r="2031" spans="5:23" x14ac:dyDescent="0.25">
      <c r="E2031" s="4"/>
      <c r="F2031" s="4"/>
      <c r="G2031" s="33" t="str">
        <f>IFERROR(VLOOKUP($D2031,'Informations sur les produits'!$A$3:$H$10000,8,FALSE),"0")</f>
        <v>0</v>
      </c>
      <c r="K2031" s="4"/>
      <c r="L2031" s="33" t="str">
        <f>IFERROR(VLOOKUP($J2031,'Informations sur les produits'!$A$3:$H$10000,8,FALSE),"0")</f>
        <v>0</v>
      </c>
      <c r="N2031" s="8"/>
      <c r="O2031" s="33" t="str">
        <f>IFERROR(VLOOKUP($M2031,'Informations sur les produits'!$A$3:$H$10000,8,FALSE),"0")</f>
        <v>0</v>
      </c>
      <c r="P2031" s="33">
        <f t="shared" si="124"/>
        <v>0</v>
      </c>
      <c r="Q2031" s="31" t="str">
        <f t="shared" si="125"/>
        <v/>
      </c>
      <c r="R2031" s="32" t="str">
        <f>IFERROR(VLOOKUP($D2031,'Informations sur les produits'!$A$3:$B$15000,2,FALSE),"")</f>
        <v/>
      </c>
      <c r="V2031">
        <f t="shared" si="126"/>
        <v>0</v>
      </c>
      <c r="W2031">
        <f t="shared" si="127"/>
        <v>0</v>
      </c>
    </row>
    <row r="2032" spans="5:23" x14ac:dyDescent="0.25">
      <c r="E2032" s="4"/>
      <c r="F2032" s="4"/>
      <c r="G2032" s="33" t="str">
        <f>IFERROR(VLOOKUP($D2032,'Informations sur les produits'!$A$3:$H$10000,8,FALSE),"0")</f>
        <v>0</v>
      </c>
      <c r="K2032" s="4"/>
      <c r="L2032" s="33" t="str">
        <f>IFERROR(VLOOKUP($J2032,'Informations sur les produits'!$A$3:$H$10000,8,FALSE),"0")</f>
        <v>0</v>
      </c>
      <c r="N2032" s="8"/>
      <c r="O2032" s="33" t="str">
        <f>IFERROR(VLOOKUP($M2032,'Informations sur les produits'!$A$3:$H$10000,8,FALSE),"0")</f>
        <v>0</v>
      </c>
      <c r="P2032" s="33">
        <f t="shared" si="124"/>
        <v>0</v>
      </c>
      <c r="Q2032" s="31" t="str">
        <f t="shared" si="125"/>
        <v/>
      </c>
      <c r="R2032" s="32" t="str">
        <f>IFERROR(VLOOKUP($D2032,'Informations sur les produits'!$A$3:$B$15000,2,FALSE),"")</f>
        <v/>
      </c>
      <c r="V2032">
        <f t="shared" si="126"/>
        <v>0</v>
      </c>
      <c r="W2032">
        <f t="shared" si="127"/>
        <v>0</v>
      </c>
    </row>
    <row r="2033" spans="5:23" x14ac:dyDescent="0.25">
      <c r="E2033" s="4"/>
      <c r="F2033" s="4"/>
      <c r="G2033" s="33" t="str">
        <f>IFERROR(VLOOKUP($D2033,'Informations sur les produits'!$A$3:$H$10000,8,FALSE),"0")</f>
        <v>0</v>
      </c>
      <c r="K2033" s="4"/>
      <c r="L2033" s="33" t="str">
        <f>IFERROR(VLOOKUP($J2033,'Informations sur les produits'!$A$3:$H$10000,8,FALSE),"0")</f>
        <v>0</v>
      </c>
      <c r="N2033" s="8"/>
      <c r="O2033" s="33" t="str">
        <f>IFERROR(VLOOKUP($M2033,'Informations sur les produits'!$A$3:$H$10000,8,FALSE),"0")</f>
        <v>0</v>
      </c>
      <c r="P2033" s="33">
        <f t="shared" si="124"/>
        <v>0</v>
      </c>
      <c r="Q2033" s="31" t="str">
        <f t="shared" si="125"/>
        <v/>
      </c>
      <c r="R2033" s="32" t="str">
        <f>IFERROR(VLOOKUP($D2033,'Informations sur les produits'!$A$3:$B$15000,2,FALSE),"")</f>
        <v/>
      </c>
      <c r="V2033">
        <f t="shared" si="126"/>
        <v>0</v>
      </c>
      <c r="W2033">
        <f t="shared" si="127"/>
        <v>0</v>
      </c>
    </row>
    <row r="2034" spans="5:23" x14ac:dyDescent="0.25">
      <c r="E2034" s="4"/>
      <c r="F2034" s="4"/>
      <c r="G2034" s="33" t="str">
        <f>IFERROR(VLOOKUP($D2034,'Informations sur les produits'!$A$3:$H$10000,8,FALSE),"0")</f>
        <v>0</v>
      </c>
      <c r="K2034" s="4"/>
      <c r="L2034" s="33" t="str">
        <f>IFERROR(VLOOKUP($J2034,'Informations sur les produits'!$A$3:$H$10000,8,FALSE),"0")</f>
        <v>0</v>
      </c>
      <c r="N2034" s="8"/>
      <c r="O2034" s="33" t="str">
        <f>IFERROR(VLOOKUP($M2034,'Informations sur les produits'!$A$3:$H$10000,8,FALSE),"0")</f>
        <v>0</v>
      </c>
      <c r="P2034" s="33">
        <f t="shared" si="124"/>
        <v>0</v>
      </c>
      <c r="Q2034" s="31" t="str">
        <f t="shared" si="125"/>
        <v/>
      </c>
      <c r="R2034" s="32" t="str">
        <f>IFERROR(VLOOKUP($D2034,'Informations sur les produits'!$A$3:$B$15000,2,FALSE),"")</f>
        <v/>
      </c>
      <c r="V2034">
        <f t="shared" si="126"/>
        <v>0</v>
      </c>
      <c r="W2034">
        <f t="shared" si="127"/>
        <v>0</v>
      </c>
    </row>
    <row r="2035" spans="5:23" x14ac:dyDescent="0.25">
      <c r="E2035" s="4"/>
      <c r="F2035" s="4"/>
      <c r="G2035" s="33" t="str">
        <f>IFERROR(VLOOKUP($D2035,'Informations sur les produits'!$A$3:$H$10000,8,FALSE),"0")</f>
        <v>0</v>
      </c>
      <c r="K2035" s="4"/>
      <c r="L2035" s="33" t="str">
        <f>IFERROR(VLOOKUP($J2035,'Informations sur les produits'!$A$3:$H$10000,8,FALSE),"0")</f>
        <v>0</v>
      </c>
      <c r="N2035" s="8"/>
      <c r="O2035" s="33" t="str">
        <f>IFERROR(VLOOKUP($M2035,'Informations sur les produits'!$A$3:$H$10000,8,FALSE),"0")</f>
        <v>0</v>
      </c>
      <c r="P2035" s="33">
        <f t="shared" si="124"/>
        <v>0</v>
      </c>
      <c r="Q2035" s="31" t="str">
        <f t="shared" si="125"/>
        <v/>
      </c>
      <c r="R2035" s="32" t="str">
        <f>IFERROR(VLOOKUP($D2035,'Informations sur les produits'!$A$3:$B$15000,2,FALSE),"")</f>
        <v/>
      </c>
      <c r="V2035">
        <f t="shared" si="126"/>
        <v>0</v>
      </c>
      <c r="W2035">
        <f t="shared" si="127"/>
        <v>0</v>
      </c>
    </row>
    <row r="2036" spans="5:23" x14ac:dyDescent="0.25">
      <c r="E2036" s="4"/>
      <c r="F2036" s="4"/>
      <c r="G2036" s="33" t="str">
        <f>IFERROR(VLOOKUP($D2036,'Informations sur les produits'!$A$3:$H$10000,8,FALSE),"0")</f>
        <v>0</v>
      </c>
      <c r="K2036" s="4"/>
      <c r="L2036" s="33" t="str">
        <f>IFERROR(VLOOKUP($J2036,'Informations sur les produits'!$A$3:$H$10000,8,FALSE),"0")</f>
        <v>0</v>
      </c>
      <c r="N2036" s="8"/>
      <c r="O2036" s="33" t="str">
        <f>IFERROR(VLOOKUP($M2036,'Informations sur les produits'!$A$3:$H$10000,8,FALSE),"0")</f>
        <v>0</v>
      </c>
      <c r="P2036" s="33">
        <f t="shared" si="124"/>
        <v>0</v>
      </c>
      <c r="Q2036" s="31" t="str">
        <f t="shared" si="125"/>
        <v/>
      </c>
      <c r="R2036" s="32" t="str">
        <f>IFERROR(VLOOKUP($D2036,'Informations sur les produits'!$A$3:$B$15000,2,FALSE),"")</f>
        <v/>
      </c>
      <c r="V2036">
        <f t="shared" si="126"/>
        <v>0</v>
      </c>
      <c r="W2036">
        <f t="shared" si="127"/>
        <v>0</v>
      </c>
    </row>
    <row r="2037" spans="5:23" x14ac:dyDescent="0.25">
      <c r="E2037" s="4"/>
      <c r="F2037" s="4"/>
      <c r="G2037" s="33" t="str">
        <f>IFERROR(VLOOKUP($D2037,'Informations sur les produits'!$A$3:$H$10000,8,FALSE),"0")</f>
        <v>0</v>
      </c>
      <c r="K2037" s="4"/>
      <c r="L2037" s="33" t="str">
        <f>IFERROR(VLOOKUP($J2037,'Informations sur les produits'!$A$3:$H$10000,8,FALSE),"0")</f>
        <v>0</v>
      </c>
      <c r="N2037" s="8"/>
      <c r="O2037" s="33" t="str">
        <f>IFERROR(VLOOKUP($M2037,'Informations sur les produits'!$A$3:$H$10000,8,FALSE),"0")</f>
        <v>0</v>
      </c>
      <c r="P2037" s="33">
        <f t="shared" si="124"/>
        <v>0</v>
      </c>
      <c r="Q2037" s="31" t="str">
        <f t="shared" si="125"/>
        <v/>
      </c>
      <c r="R2037" s="32" t="str">
        <f>IFERROR(VLOOKUP($D2037,'Informations sur les produits'!$A$3:$B$15000,2,FALSE),"")</f>
        <v/>
      </c>
      <c r="V2037">
        <f t="shared" si="126"/>
        <v>0</v>
      </c>
      <c r="W2037">
        <f t="shared" si="127"/>
        <v>0</v>
      </c>
    </row>
    <row r="2038" spans="5:23" x14ac:dyDescent="0.25">
      <c r="E2038" s="4"/>
      <c r="F2038" s="4"/>
      <c r="G2038" s="33" t="str">
        <f>IFERROR(VLOOKUP($D2038,'Informations sur les produits'!$A$3:$H$10000,8,FALSE),"0")</f>
        <v>0</v>
      </c>
      <c r="K2038" s="4"/>
      <c r="L2038" s="33" t="str">
        <f>IFERROR(VLOOKUP($J2038,'Informations sur les produits'!$A$3:$H$10000,8,FALSE),"0")</f>
        <v>0</v>
      </c>
      <c r="N2038" s="8"/>
      <c r="O2038" s="33" t="str">
        <f>IFERROR(VLOOKUP($M2038,'Informations sur les produits'!$A$3:$H$10000,8,FALSE),"0")</f>
        <v>0</v>
      </c>
      <c r="P2038" s="33">
        <f t="shared" si="124"/>
        <v>0</v>
      </c>
      <c r="Q2038" s="31" t="str">
        <f t="shared" si="125"/>
        <v/>
      </c>
      <c r="R2038" s="32" t="str">
        <f>IFERROR(VLOOKUP($D2038,'Informations sur les produits'!$A$3:$B$15000,2,FALSE),"")</f>
        <v/>
      </c>
      <c r="V2038">
        <f t="shared" si="126"/>
        <v>0</v>
      </c>
      <c r="W2038">
        <f t="shared" si="127"/>
        <v>0</v>
      </c>
    </row>
    <row r="2039" spans="5:23" x14ac:dyDescent="0.25">
      <c r="E2039" s="4"/>
      <c r="F2039" s="4"/>
      <c r="G2039" s="33" t="str">
        <f>IFERROR(VLOOKUP($D2039,'Informations sur les produits'!$A$3:$H$10000,8,FALSE),"0")</f>
        <v>0</v>
      </c>
      <c r="K2039" s="4"/>
      <c r="L2039" s="33" t="str">
        <f>IFERROR(VLOOKUP($J2039,'Informations sur les produits'!$A$3:$H$10000,8,FALSE),"0")</f>
        <v>0</v>
      </c>
      <c r="N2039" s="8"/>
      <c r="O2039" s="33" t="str">
        <f>IFERROR(VLOOKUP($M2039,'Informations sur les produits'!$A$3:$H$10000,8,FALSE),"0")</f>
        <v>0</v>
      </c>
      <c r="P2039" s="33">
        <f t="shared" si="124"/>
        <v>0</v>
      </c>
      <c r="Q2039" s="31" t="str">
        <f t="shared" si="125"/>
        <v/>
      </c>
      <c r="R2039" s="32" t="str">
        <f>IFERROR(VLOOKUP($D2039,'Informations sur les produits'!$A$3:$B$15000,2,FALSE),"")</f>
        <v/>
      </c>
      <c r="V2039">
        <f t="shared" si="126"/>
        <v>0</v>
      </c>
      <c r="W2039">
        <f t="shared" si="127"/>
        <v>0</v>
      </c>
    </row>
    <row r="2040" spans="5:23" x14ac:dyDescent="0.25">
      <c r="E2040" s="4"/>
      <c r="F2040" s="4"/>
      <c r="G2040" s="33" t="str">
        <f>IFERROR(VLOOKUP($D2040,'Informations sur les produits'!$A$3:$H$10000,8,FALSE),"0")</f>
        <v>0</v>
      </c>
      <c r="K2040" s="4"/>
      <c r="L2040" s="33" t="str">
        <f>IFERROR(VLOOKUP($J2040,'Informations sur les produits'!$A$3:$H$10000,8,FALSE),"0")</f>
        <v>0</v>
      </c>
      <c r="N2040" s="8"/>
      <c r="O2040" s="33" t="str">
        <f>IFERROR(VLOOKUP($M2040,'Informations sur les produits'!$A$3:$H$10000,8,FALSE),"0")</f>
        <v>0</v>
      </c>
      <c r="P2040" s="33">
        <f t="shared" si="124"/>
        <v>0</v>
      </c>
      <c r="Q2040" s="31" t="str">
        <f t="shared" si="125"/>
        <v/>
      </c>
      <c r="R2040" s="32" t="str">
        <f>IFERROR(VLOOKUP($D2040,'Informations sur les produits'!$A$3:$B$15000,2,FALSE),"")</f>
        <v/>
      </c>
      <c r="V2040">
        <f t="shared" si="126"/>
        <v>0</v>
      </c>
      <c r="W2040">
        <f t="shared" si="127"/>
        <v>0</v>
      </c>
    </row>
    <row r="2041" spans="5:23" x14ac:dyDescent="0.25">
      <c r="E2041" s="4"/>
      <c r="F2041" s="4"/>
      <c r="G2041" s="33" t="str">
        <f>IFERROR(VLOOKUP($D2041,'Informations sur les produits'!$A$3:$H$10000,8,FALSE),"0")</f>
        <v>0</v>
      </c>
      <c r="K2041" s="4"/>
      <c r="L2041" s="33" t="str">
        <f>IFERROR(VLOOKUP($J2041,'Informations sur les produits'!$A$3:$H$10000,8,FALSE),"0")</f>
        <v>0</v>
      </c>
      <c r="N2041" s="8"/>
      <c r="O2041" s="33" t="str">
        <f>IFERROR(VLOOKUP($M2041,'Informations sur les produits'!$A$3:$H$10000,8,FALSE),"0")</f>
        <v>0</v>
      </c>
      <c r="P2041" s="33">
        <f t="shared" si="124"/>
        <v>0</v>
      </c>
      <c r="Q2041" s="31" t="str">
        <f t="shared" si="125"/>
        <v/>
      </c>
      <c r="R2041" s="32" t="str">
        <f>IFERROR(VLOOKUP($D2041,'Informations sur les produits'!$A$3:$B$15000,2,FALSE),"")</f>
        <v/>
      </c>
      <c r="V2041">
        <f t="shared" si="126"/>
        <v>0</v>
      </c>
      <c r="W2041">
        <f t="shared" si="127"/>
        <v>0</v>
      </c>
    </row>
    <row r="2042" spans="5:23" x14ac:dyDescent="0.25">
      <c r="E2042" s="4"/>
      <c r="F2042" s="4"/>
      <c r="G2042" s="33" t="str">
        <f>IFERROR(VLOOKUP($D2042,'Informations sur les produits'!$A$3:$H$10000,8,FALSE),"0")</f>
        <v>0</v>
      </c>
      <c r="K2042" s="4"/>
      <c r="L2042" s="33" t="str">
        <f>IFERROR(VLOOKUP($J2042,'Informations sur les produits'!$A$3:$H$10000,8,FALSE),"0")</f>
        <v>0</v>
      </c>
      <c r="N2042" s="8"/>
      <c r="O2042" s="33" t="str">
        <f>IFERROR(VLOOKUP($M2042,'Informations sur les produits'!$A$3:$H$10000,8,FALSE),"0")</f>
        <v>0</v>
      </c>
      <c r="P2042" s="33">
        <f t="shared" si="124"/>
        <v>0</v>
      </c>
      <c r="Q2042" s="31" t="str">
        <f t="shared" si="125"/>
        <v/>
      </c>
      <c r="R2042" s="32" t="str">
        <f>IFERROR(VLOOKUP($D2042,'Informations sur les produits'!$A$3:$B$15000,2,FALSE),"")</f>
        <v/>
      </c>
      <c r="V2042">
        <f t="shared" si="126"/>
        <v>0</v>
      </c>
      <c r="W2042">
        <f t="shared" si="127"/>
        <v>0</v>
      </c>
    </row>
    <row r="2043" spans="5:23" x14ac:dyDescent="0.25">
      <c r="E2043" s="4"/>
      <c r="F2043" s="4"/>
      <c r="G2043" s="33" t="str">
        <f>IFERROR(VLOOKUP($D2043,'Informations sur les produits'!$A$3:$H$10000,8,FALSE),"0")</f>
        <v>0</v>
      </c>
      <c r="K2043" s="4"/>
      <c r="L2043" s="33" t="str">
        <f>IFERROR(VLOOKUP($J2043,'Informations sur les produits'!$A$3:$H$10000,8,FALSE),"0")</f>
        <v>0</v>
      </c>
      <c r="N2043" s="8"/>
      <c r="O2043" s="33" t="str">
        <f>IFERROR(VLOOKUP($M2043,'Informations sur les produits'!$A$3:$H$10000,8,FALSE),"0")</f>
        <v>0</v>
      </c>
      <c r="P2043" s="33">
        <f t="shared" si="124"/>
        <v>0</v>
      </c>
      <c r="Q2043" s="31" t="str">
        <f t="shared" si="125"/>
        <v/>
      </c>
      <c r="R2043" s="32" t="str">
        <f>IFERROR(VLOOKUP($D2043,'Informations sur les produits'!$A$3:$B$15000,2,FALSE),"")</f>
        <v/>
      </c>
      <c r="V2043">
        <f t="shared" si="126"/>
        <v>0</v>
      </c>
      <c r="W2043">
        <f t="shared" si="127"/>
        <v>0</v>
      </c>
    </row>
    <row r="2044" spans="5:23" x14ac:dyDescent="0.25">
      <c r="E2044" s="4"/>
      <c r="F2044" s="4"/>
      <c r="G2044" s="33" t="str">
        <f>IFERROR(VLOOKUP($D2044,'Informations sur les produits'!$A$3:$H$10000,8,FALSE),"0")</f>
        <v>0</v>
      </c>
      <c r="K2044" s="4"/>
      <c r="L2044" s="33" t="str">
        <f>IFERROR(VLOOKUP($J2044,'Informations sur les produits'!$A$3:$H$10000,8,FALSE),"0")</f>
        <v>0</v>
      </c>
      <c r="N2044" s="8"/>
      <c r="O2044" s="33" t="str">
        <f>IFERROR(VLOOKUP($M2044,'Informations sur les produits'!$A$3:$H$10000,8,FALSE),"0")</f>
        <v>0</v>
      </c>
      <c r="P2044" s="33">
        <f t="shared" si="124"/>
        <v>0</v>
      </c>
      <c r="Q2044" s="31" t="str">
        <f t="shared" si="125"/>
        <v/>
      </c>
      <c r="R2044" s="32" t="str">
        <f>IFERROR(VLOOKUP($D2044,'Informations sur les produits'!$A$3:$B$15000,2,FALSE),"")</f>
        <v/>
      </c>
      <c r="V2044">
        <f t="shared" si="126"/>
        <v>0</v>
      </c>
      <c r="W2044">
        <f t="shared" si="127"/>
        <v>0</v>
      </c>
    </row>
    <row r="2045" spans="5:23" x14ac:dyDescent="0.25">
      <c r="E2045" s="4"/>
      <c r="F2045" s="4"/>
      <c r="G2045" s="33" t="str">
        <f>IFERROR(VLOOKUP($D2045,'Informations sur les produits'!$A$3:$H$10000,8,FALSE),"0")</f>
        <v>0</v>
      </c>
      <c r="K2045" s="4"/>
      <c r="L2045" s="33" t="str">
        <f>IFERROR(VLOOKUP($J2045,'Informations sur les produits'!$A$3:$H$10000,8,FALSE),"0")</f>
        <v>0</v>
      </c>
      <c r="N2045" s="8"/>
      <c r="O2045" s="33" t="str">
        <f>IFERROR(VLOOKUP($M2045,'Informations sur les produits'!$A$3:$H$10000,8,FALSE),"0")</f>
        <v>0</v>
      </c>
      <c r="P2045" s="33">
        <f t="shared" si="124"/>
        <v>0</v>
      </c>
      <c r="Q2045" s="31" t="str">
        <f t="shared" si="125"/>
        <v/>
      </c>
      <c r="R2045" s="32" t="str">
        <f>IFERROR(VLOOKUP($D2045,'Informations sur les produits'!$A$3:$B$15000,2,FALSE),"")</f>
        <v/>
      </c>
      <c r="V2045">
        <f t="shared" si="126"/>
        <v>0</v>
      </c>
      <c r="W2045">
        <f t="shared" si="127"/>
        <v>0</v>
      </c>
    </row>
    <row r="2046" spans="5:23" x14ac:dyDescent="0.25">
      <c r="E2046" s="4"/>
      <c r="F2046" s="4"/>
      <c r="G2046" s="33" t="str">
        <f>IFERROR(VLOOKUP($D2046,'Informations sur les produits'!$A$3:$H$10000,8,FALSE),"0")</f>
        <v>0</v>
      </c>
      <c r="K2046" s="4"/>
      <c r="L2046" s="33" t="str">
        <f>IFERROR(VLOOKUP($J2046,'Informations sur les produits'!$A$3:$H$10000,8,FALSE),"0")</f>
        <v>0</v>
      </c>
      <c r="N2046" s="8"/>
      <c r="O2046" s="33" t="str">
        <f>IFERROR(VLOOKUP($M2046,'Informations sur les produits'!$A$3:$H$10000,8,FALSE),"0")</f>
        <v>0</v>
      </c>
      <c r="P2046" s="33">
        <f t="shared" si="124"/>
        <v>0</v>
      </c>
      <c r="Q2046" s="31" t="str">
        <f t="shared" si="125"/>
        <v/>
      </c>
      <c r="R2046" s="32" t="str">
        <f>IFERROR(VLOOKUP($D2046,'Informations sur les produits'!$A$3:$B$15000,2,FALSE),"")</f>
        <v/>
      </c>
      <c r="V2046">
        <f t="shared" si="126"/>
        <v>0</v>
      </c>
      <c r="W2046">
        <f t="shared" si="127"/>
        <v>0</v>
      </c>
    </row>
    <row r="2047" spans="5:23" x14ac:dyDescent="0.25">
      <c r="E2047" s="4"/>
      <c r="F2047" s="4"/>
      <c r="G2047" s="33" t="str">
        <f>IFERROR(VLOOKUP($D2047,'Informations sur les produits'!$A$3:$H$10000,8,FALSE),"0")</f>
        <v>0</v>
      </c>
      <c r="K2047" s="4"/>
      <c r="L2047" s="33" t="str">
        <f>IFERROR(VLOOKUP($J2047,'Informations sur les produits'!$A$3:$H$10000,8,FALSE),"0")</f>
        <v>0</v>
      </c>
      <c r="N2047" s="8"/>
      <c r="O2047" s="33" t="str">
        <f>IFERROR(VLOOKUP($M2047,'Informations sur les produits'!$A$3:$H$10000,8,FALSE),"0")</f>
        <v>0</v>
      </c>
      <c r="P2047" s="33">
        <f t="shared" si="124"/>
        <v>0</v>
      </c>
      <c r="Q2047" s="31" t="str">
        <f t="shared" si="125"/>
        <v/>
      </c>
      <c r="R2047" s="32" t="str">
        <f>IFERROR(VLOOKUP($D2047,'Informations sur les produits'!$A$3:$B$15000,2,FALSE),"")</f>
        <v/>
      </c>
      <c r="V2047">
        <f t="shared" si="126"/>
        <v>0</v>
      </c>
      <c r="W2047">
        <f t="shared" si="127"/>
        <v>0</v>
      </c>
    </row>
    <row r="2048" spans="5:23" x14ac:dyDescent="0.25">
      <c r="E2048" s="4"/>
      <c r="F2048" s="4"/>
      <c r="G2048" s="33" t="str">
        <f>IFERROR(VLOOKUP($D2048,'Informations sur les produits'!$A$3:$H$10000,8,FALSE),"0")</f>
        <v>0</v>
      </c>
      <c r="K2048" s="4"/>
      <c r="L2048" s="33" t="str">
        <f>IFERROR(VLOOKUP($J2048,'Informations sur les produits'!$A$3:$H$10000,8,FALSE),"0")</f>
        <v>0</v>
      </c>
      <c r="N2048" s="8"/>
      <c r="O2048" s="33" t="str">
        <f>IFERROR(VLOOKUP($M2048,'Informations sur les produits'!$A$3:$H$10000,8,FALSE),"0")</f>
        <v>0</v>
      </c>
      <c r="P2048" s="33">
        <f t="shared" si="124"/>
        <v>0</v>
      </c>
      <c r="Q2048" s="31" t="str">
        <f t="shared" si="125"/>
        <v/>
      </c>
      <c r="R2048" s="32" t="str">
        <f>IFERROR(VLOOKUP($D2048,'Informations sur les produits'!$A$3:$B$15000,2,FALSE),"")</f>
        <v/>
      </c>
      <c r="V2048">
        <f t="shared" si="126"/>
        <v>0</v>
      </c>
      <c r="W2048">
        <f t="shared" si="127"/>
        <v>0</v>
      </c>
    </row>
    <row r="2049" spans="5:23" x14ac:dyDescent="0.25">
      <c r="E2049" s="4"/>
      <c r="F2049" s="4"/>
      <c r="G2049" s="33" t="str">
        <f>IFERROR(VLOOKUP($D2049,'Informations sur les produits'!$A$3:$H$10000,8,FALSE),"0")</f>
        <v>0</v>
      </c>
      <c r="K2049" s="4"/>
      <c r="L2049" s="33" t="str">
        <f>IFERROR(VLOOKUP($J2049,'Informations sur les produits'!$A$3:$H$10000,8,FALSE),"0")</f>
        <v>0</v>
      </c>
      <c r="N2049" s="8"/>
      <c r="O2049" s="33" t="str">
        <f>IFERROR(VLOOKUP($M2049,'Informations sur les produits'!$A$3:$H$10000,8,FALSE),"0")</f>
        <v>0</v>
      </c>
      <c r="P2049" s="33">
        <f t="shared" si="124"/>
        <v>0</v>
      </c>
      <c r="Q2049" s="31" t="str">
        <f t="shared" si="125"/>
        <v/>
      </c>
      <c r="R2049" s="32" t="str">
        <f>IFERROR(VLOOKUP($D2049,'Informations sur les produits'!$A$3:$B$15000,2,FALSE),"")</f>
        <v/>
      </c>
      <c r="V2049">
        <f t="shared" si="126"/>
        <v>0</v>
      </c>
      <c r="W2049">
        <f t="shared" si="127"/>
        <v>0</v>
      </c>
    </row>
    <row r="2050" spans="5:23" x14ac:dyDescent="0.25">
      <c r="E2050" s="4"/>
      <c r="F2050" s="4"/>
      <c r="G2050" s="33" t="str">
        <f>IFERROR(VLOOKUP($D2050,'Informations sur les produits'!$A$3:$H$10000,8,FALSE),"0")</f>
        <v>0</v>
      </c>
      <c r="K2050" s="4"/>
      <c r="L2050" s="33" t="str">
        <f>IFERROR(VLOOKUP($J2050,'Informations sur les produits'!$A$3:$H$10000,8,FALSE),"0")</f>
        <v>0</v>
      </c>
      <c r="N2050" s="8"/>
      <c r="O2050" s="33" t="str">
        <f>IFERROR(VLOOKUP($M2050,'Informations sur les produits'!$A$3:$H$10000,8,FALSE),"0")</f>
        <v>0</v>
      </c>
      <c r="P2050" s="33">
        <f t="shared" si="124"/>
        <v>0</v>
      </c>
      <c r="Q2050" s="31" t="str">
        <f t="shared" si="125"/>
        <v/>
      </c>
      <c r="R2050" s="32" t="str">
        <f>IFERROR(VLOOKUP($D2050,'Informations sur les produits'!$A$3:$B$15000,2,FALSE),"")</f>
        <v/>
      </c>
      <c r="V2050">
        <f t="shared" si="126"/>
        <v>0</v>
      </c>
      <c r="W2050">
        <f t="shared" si="127"/>
        <v>0</v>
      </c>
    </row>
    <row r="2051" spans="5:23" x14ac:dyDescent="0.25">
      <c r="E2051" s="4"/>
      <c r="F2051" s="4"/>
      <c r="G2051" s="33" t="str">
        <f>IFERROR(VLOOKUP($D2051,'Informations sur les produits'!$A$3:$H$10000,8,FALSE),"0")</f>
        <v>0</v>
      </c>
      <c r="K2051" s="4"/>
      <c r="L2051" s="33" t="str">
        <f>IFERROR(VLOOKUP($J2051,'Informations sur les produits'!$A$3:$H$10000,8,FALSE),"0")</f>
        <v>0</v>
      </c>
      <c r="N2051" s="8"/>
      <c r="O2051" s="33" t="str">
        <f>IFERROR(VLOOKUP($M2051,'Informations sur les produits'!$A$3:$H$10000,8,FALSE),"0")</f>
        <v>0</v>
      </c>
      <c r="P2051" s="33">
        <f t="shared" si="124"/>
        <v>0</v>
      </c>
      <c r="Q2051" s="31" t="str">
        <f t="shared" si="125"/>
        <v/>
      </c>
      <c r="R2051" s="32" t="str">
        <f>IFERROR(VLOOKUP($D2051,'Informations sur les produits'!$A$3:$B$15000,2,FALSE),"")</f>
        <v/>
      </c>
      <c r="V2051">
        <f t="shared" si="126"/>
        <v>0</v>
      </c>
      <c r="W2051">
        <f t="shared" si="127"/>
        <v>0</v>
      </c>
    </row>
    <row r="2052" spans="5:23" x14ac:dyDescent="0.25">
      <c r="E2052" s="4"/>
      <c r="F2052" s="4"/>
      <c r="G2052" s="33" t="str">
        <f>IFERROR(VLOOKUP($D2052,'Informations sur les produits'!$A$3:$H$10000,8,FALSE),"0")</f>
        <v>0</v>
      </c>
      <c r="K2052" s="4"/>
      <c r="L2052" s="33" t="str">
        <f>IFERROR(VLOOKUP($J2052,'Informations sur les produits'!$A$3:$H$10000,8,FALSE),"0")</f>
        <v>0</v>
      </c>
      <c r="N2052" s="8"/>
      <c r="O2052" s="33" t="str">
        <f>IFERROR(VLOOKUP($M2052,'Informations sur les produits'!$A$3:$H$10000,8,FALSE),"0")</f>
        <v>0</v>
      </c>
      <c r="P2052" s="33">
        <f t="shared" ref="P2052:P2115" si="128">IFERROR((($E2052-$F2052)*$G2052+$K2052*$L2052+$N2052*$O2052),"")</f>
        <v>0</v>
      </c>
      <c r="Q2052" s="31" t="str">
        <f t="shared" ref="Q2052:Q2115" si="129">IFERROR((((($E2052-$F2052)*$G2052+$K2052*$L2052+$N2052*$O2052)*1000)/(($E2052-$F2052)+$K2052+$N2052)),"")</f>
        <v/>
      </c>
      <c r="R2052" s="32" t="str">
        <f>IFERROR(VLOOKUP($D2052,'Informations sur les produits'!$A$3:$B$15000,2,FALSE),"")</f>
        <v/>
      </c>
      <c r="V2052">
        <f t="shared" ref="V2052:V2115" si="130">IFERROR(P2052*1000,"")</f>
        <v>0</v>
      </c>
      <c r="W2052">
        <f t="shared" ref="W2052:W2115" si="131">IFERROR(($E2052-$F2052)+$K2052+$N2052,"")</f>
        <v>0</v>
      </c>
    </row>
    <row r="2053" spans="5:23" x14ac:dyDescent="0.25">
      <c r="E2053" s="4"/>
      <c r="F2053" s="4"/>
      <c r="G2053" s="33" t="str">
        <f>IFERROR(VLOOKUP($D2053,'Informations sur les produits'!$A$3:$H$10000,8,FALSE),"0")</f>
        <v>0</v>
      </c>
      <c r="K2053" s="4"/>
      <c r="L2053" s="33" t="str">
        <f>IFERROR(VLOOKUP($J2053,'Informations sur les produits'!$A$3:$H$10000,8,FALSE),"0")</f>
        <v>0</v>
      </c>
      <c r="N2053" s="8"/>
      <c r="O2053" s="33" t="str">
        <f>IFERROR(VLOOKUP($M2053,'Informations sur les produits'!$A$3:$H$10000,8,FALSE),"0")</f>
        <v>0</v>
      </c>
      <c r="P2053" s="33">
        <f t="shared" si="128"/>
        <v>0</v>
      </c>
      <c r="Q2053" s="31" t="str">
        <f t="shared" si="129"/>
        <v/>
      </c>
      <c r="R2053" s="32" t="str">
        <f>IFERROR(VLOOKUP($D2053,'Informations sur les produits'!$A$3:$B$15000,2,FALSE),"")</f>
        <v/>
      </c>
      <c r="V2053">
        <f t="shared" si="130"/>
        <v>0</v>
      </c>
      <c r="W2053">
        <f t="shared" si="131"/>
        <v>0</v>
      </c>
    </row>
    <row r="2054" spans="5:23" x14ac:dyDescent="0.25">
      <c r="E2054" s="4"/>
      <c r="F2054" s="4"/>
      <c r="G2054" s="33" t="str">
        <f>IFERROR(VLOOKUP($D2054,'Informations sur les produits'!$A$3:$H$10000,8,FALSE),"0")</f>
        <v>0</v>
      </c>
      <c r="K2054" s="4"/>
      <c r="L2054" s="33" t="str">
        <f>IFERROR(VLOOKUP($J2054,'Informations sur les produits'!$A$3:$H$10000,8,FALSE),"0")</f>
        <v>0</v>
      </c>
      <c r="N2054" s="8"/>
      <c r="O2054" s="33" t="str">
        <f>IFERROR(VLOOKUP($M2054,'Informations sur les produits'!$A$3:$H$10000,8,FALSE),"0")</f>
        <v>0</v>
      </c>
      <c r="P2054" s="33">
        <f t="shared" si="128"/>
        <v>0</v>
      </c>
      <c r="Q2054" s="31" t="str">
        <f t="shared" si="129"/>
        <v/>
      </c>
      <c r="R2054" s="32" t="str">
        <f>IFERROR(VLOOKUP($D2054,'Informations sur les produits'!$A$3:$B$15000,2,FALSE),"")</f>
        <v/>
      </c>
      <c r="V2054">
        <f t="shared" si="130"/>
        <v>0</v>
      </c>
      <c r="W2054">
        <f t="shared" si="131"/>
        <v>0</v>
      </c>
    </row>
    <row r="2055" spans="5:23" x14ac:dyDescent="0.25">
      <c r="E2055" s="4"/>
      <c r="F2055" s="4"/>
      <c r="G2055" s="33" t="str">
        <f>IFERROR(VLOOKUP($D2055,'Informations sur les produits'!$A$3:$H$10000,8,FALSE),"0")</f>
        <v>0</v>
      </c>
      <c r="K2055" s="4"/>
      <c r="L2055" s="33" t="str">
        <f>IFERROR(VLOOKUP($J2055,'Informations sur les produits'!$A$3:$H$10000,8,FALSE),"0")</f>
        <v>0</v>
      </c>
      <c r="N2055" s="8"/>
      <c r="O2055" s="33" t="str">
        <f>IFERROR(VLOOKUP($M2055,'Informations sur les produits'!$A$3:$H$10000,8,FALSE),"0")</f>
        <v>0</v>
      </c>
      <c r="P2055" s="33">
        <f t="shared" si="128"/>
        <v>0</v>
      </c>
      <c r="Q2055" s="31" t="str">
        <f t="shared" si="129"/>
        <v/>
      </c>
      <c r="R2055" s="32" t="str">
        <f>IFERROR(VLOOKUP($D2055,'Informations sur les produits'!$A$3:$B$15000,2,FALSE),"")</f>
        <v/>
      </c>
      <c r="V2055">
        <f t="shared" si="130"/>
        <v>0</v>
      </c>
      <c r="W2055">
        <f t="shared" si="131"/>
        <v>0</v>
      </c>
    </row>
    <row r="2056" spans="5:23" x14ac:dyDescent="0.25">
      <c r="E2056" s="4"/>
      <c r="F2056" s="4"/>
      <c r="G2056" s="33" t="str">
        <f>IFERROR(VLOOKUP($D2056,'Informations sur les produits'!$A$3:$H$10000,8,FALSE),"0")</f>
        <v>0</v>
      </c>
      <c r="K2056" s="4"/>
      <c r="L2056" s="33" t="str">
        <f>IFERROR(VLOOKUP($J2056,'Informations sur les produits'!$A$3:$H$10000,8,FALSE),"0")</f>
        <v>0</v>
      </c>
      <c r="N2056" s="8"/>
      <c r="O2056" s="33" t="str">
        <f>IFERROR(VLOOKUP($M2056,'Informations sur les produits'!$A$3:$H$10000,8,FALSE),"0")</f>
        <v>0</v>
      </c>
      <c r="P2056" s="33">
        <f t="shared" si="128"/>
        <v>0</v>
      </c>
      <c r="Q2056" s="31" t="str">
        <f t="shared" si="129"/>
        <v/>
      </c>
      <c r="R2056" s="32" t="str">
        <f>IFERROR(VLOOKUP($D2056,'Informations sur les produits'!$A$3:$B$15000,2,FALSE),"")</f>
        <v/>
      </c>
      <c r="V2056">
        <f t="shared" si="130"/>
        <v>0</v>
      </c>
      <c r="W2056">
        <f t="shared" si="131"/>
        <v>0</v>
      </c>
    </row>
    <row r="2057" spans="5:23" x14ac:dyDescent="0.25">
      <c r="E2057" s="4"/>
      <c r="F2057" s="4"/>
      <c r="G2057" s="33" t="str">
        <f>IFERROR(VLOOKUP($D2057,'Informations sur les produits'!$A$3:$H$10000,8,FALSE),"0")</f>
        <v>0</v>
      </c>
      <c r="K2057" s="4"/>
      <c r="L2057" s="33" t="str">
        <f>IFERROR(VLOOKUP($J2057,'Informations sur les produits'!$A$3:$H$10000,8,FALSE),"0")</f>
        <v>0</v>
      </c>
      <c r="N2057" s="8"/>
      <c r="O2057" s="33" t="str">
        <f>IFERROR(VLOOKUP($M2057,'Informations sur les produits'!$A$3:$H$10000,8,FALSE),"0")</f>
        <v>0</v>
      </c>
      <c r="P2057" s="33">
        <f t="shared" si="128"/>
        <v>0</v>
      </c>
      <c r="Q2057" s="31" t="str">
        <f t="shared" si="129"/>
        <v/>
      </c>
      <c r="R2057" s="32" t="str">
        <f>IFERROR(VLOOKUP($D2057,'Informations sur les produits'!$A$3:$B$15000,2,FALSE),"")</f>
        <v/>
      </c>
      <c r="V2057">
        <f t="shared" si="130"/>
        <v>0</v>
      </c>
      <c r="W2057">
        <f t="shared" si="131"/>
        <v>0</v>
      </c>
    </row>
    <row r="2058" spans="5:23" x14ac:dyDescent="0.25">
      <c r="E2058" s="4"/>
      <c r="F2058" s="4"/>
      <c r="G2058" s="33" t="str">
        <f>IFERROR(VLOOKUP($D2058,'Informations sur les produits'!$A$3:$H$10000,8,FALSE),"0")</f>
        <v>0</v>
      </c>
      <c r="K2058" s="4"/>
      <c r="L2058" s="33" t="str">
        <f>IFERROR(VLOOKUP($J2058,'Informations sur les produits'!$A$3:$H$10000,8,FALSE),"0")</f>
        <v>0</v>
      </c>
      <c r="N2058" s="8"/>
      <c r="O2058" s="33" t="str">
        <f>IFERROR(VLOOKUP($M2058,'Informations sur les produits'!$A$3:$H$10000,8,FALSE),"0")</f>
        <v>0</v>
      </c>
      <c r="P2058" s="33">
        <f t="shared" si="128"/>
        <v>0</v>
      </c>
      <c r="Q2058" s="31" t="str">
        <f t="shared" si="129"/>
        <v/>
      </c>
      <c r="R2058" s="32" t="str">
        <f>IFERROR(VLOOKUP($D2058,'Informations sur les produits'!$A$3:$B$15000,2,FALSE),"")</f>
        <v/>
      </c>
      <c r="V2058">
        <f t="shared" si="130"/>
        <v>0</v>
      </c>
      <c r="W2058">
        <f t="shared" si="131"/>
        <v>0</v>
      </c>
    </row>
    <row r="2059" spans="5:23" x14ac:dyDescent="0.25">
      <c r="E2059" s="4"/>
      <c r="F2059" s="4"/>
      <c r="G2059" s="33" t="str">
        <f>IFERROR(VLOOKUP($D2059,'Informations sur les produits'!$A$3:$H$10000,8,FALSE),"0")</f>
        <v>0</v>
      </c>
      <c r="K2059" s="4"/>
      <c r="L2059" s="33" t="str">
        <f>IFERROR(VLOOKUP($J2059,'Informations sur les produits'!$A$3:$H$10000,8,FALSE),"0")</f>
        <v>0</v>
      </c>
      <c r="N2059" s="8"/>
      <c r="O2059" s="33" t="str">
        <f>IFERROR(VLOOKUP($M2059,'Informations sur les produits'!$A$3:$H$10000,8,FALSE),"0")</f>
        <v>0</v>
      </c>
      <c r="P2059" s="33">
        <f t="shared" si="128"/>
        <v>0</v>
      </c>
      <c r="Q2059" s="31" t="str">
        <f t="shared" si="129"/>
        <v/>
      </c>
      <c r="R2059" s="32" t="str">
        <f>IFERROR(VLOOKUP($D2059,'Informations sur les produits'!$A$3:$B$15000,2,FALSE),"")</f>
        <v/>
      </c>
      <c r="V2059">
        <f t="shared" si="130"/>
        <v>0</v>
      </c>
      <c r="W2059">
        <f t="shared" si="131"/>
        <v>0</v>
      </c>
    </row>
    <row r="2060" spans="5:23" x14ac:dyDescent="0.25">
      <c r="E2060" s="4"/>
      <c r="F2060" s="4"/>
      <c r="G2060" s="33" t="str">
        <f>IFERROR(VLOOKUP($D2060,'Informations sur les produits'!$A$3:$H$10000,8,FALSE),"0")</f>
        <v>0</v>
      </c>
      <c r="K2060" s="4"/>
      <c r="L2060" s="33" t="str">
        <f>IFERROR(VLOOKUP($J2060,'Informations sur les produits'!$A$3:$H$10000,8,FALSE),"0")</f>
        <v>0</v>
      </c>
      <c r="N2060" s="8"/>
      <c r="O2060" s="33" t="str">
        <f>IFERROR(VLOOKUP($M2060,'Informations sur les produits'!$A$3:$H$10000,8,FALSE),"0")</f>
        <v>0</v>
      </c>
      <c r="P2060" s="33">
        <f t="shared" si="128"/>
        <v>0</v>
      </c>
      <c r="Q2060" s="31" t="str">
        <f t="shared" si="129"/>
        <v/>
      </c>
      <c r="R2060" s="32" t="str">
        <f>IFERROR(VLOOKUP($D2060,'Informations sur les produits'!$A$3:$B$15000,2,FALSE),"")</f>
        <v/>
      </c>
      <c r="V2060">
        <f t="shared" si="130"/>
        <v>0</v>
      </c>
      <c r="W2060">
        <f t="shared" si="131"/>
        <v>0</v>
      </c>
    </row>
    <row r="2061" spans="5:23" x14ac:dyDescent="0.25">
      <c r="E2061" s="4"/>
      <c r="F2061" s="4"/>
      <c r="G2061" s="33" t="str">
        <f>IFERROR(VLOOKUP($D2061,'Informations sur les produits'!$A$3:$H$10000,8,FALSE),"0")</f>
        <v>0</v>
      </c>
      <c r="K2061" s="4"/>
      <c r="L2061" s="33" t="str">
        <f>IFERROR(VLOOKUP($J2061,'Informations sur les produits'!$A$3:$H$10000,8,FALSE),"0")</f>
        <v>0</v>
      </c>
      <c r="N2061" s="8"/>
      <c r="O2061" s="33" t="str">
        <f>IFERROR(VLOOKUP($M2061,'Informations sur les produits'!$A$3:$H$10000,8,FALSE),"0")</f>
        <v>0</v>
      </c>
      <c r="P2061" s="33">
        <f t="shared" si="128"/>
        <v>0</v>
      </c>
      <c r="Q2061" s="31" t="str">
        <f t="shared" si="129"/>
        <v/>
      </c>
      <c r="R2061" s="32" t="str">
        <f>IFERROR(VLOOKUP($D2061,'Informations sur les produits'!$A$3:$B$15000,2,FALSE),"")</f>
        <v/>
      </c>
      <c r="V2061">
        <f t="shared" si="130"/>
        <v>0</v>
      </c>
      <c r="W2061">
        <f t="shared" si="131"/>
        <v>0</v>
      </c>
    </row>
    <row r="2062" spans="5:23" x14ac:dyDescent="0.25">
      <c r="E2062" s="4"/>
      <c r="F2062" s="4"/>
      <c r="G2062" s="33" t="str">
        <f>IFERROR(VLOOKUP($D2062,'Informations sur les produits'!$A$3:$H$10000,8,FALSE),"0")</f>
        <v>0</v>
      </c>
      <c r="K2062" s="4"/>
      <c r="L2062" s="33" t="str">
        <f>IFERROR(VLOOKUP($J2062,'Informations sur les produits'!$A$3:$H$10000,8,FALSE),"0")</f>
        <v>0</v>
      </c>
      <c r="N2062" s="8"/>
      <c r="O2062" s="33" t="str">
        <f>IFERROR(VLOOKUP($M2062,'Informations sur les produits'!$A$3:$H$10000,8,FALSE),"0")</f>
        <v>0</v>
      </c>
      <c r="P2062" s="33">
        <f t="shared" si="128"/>
        <v>0</v>
      </c>
      <c r="Q2062" s="31" t="str">
        <f t="shared" si="129"/>
        <v/>
      </c>
      <c r="R2062" s="32" t="str">
        <f>IFERROR(VLOOKUP($D2062,'Informations sur les produits'!$A$3:$B$15000,2,FALSE),"")</f>
        <v/>
      </c>
      <c r="V2062">
        <f t="shared" si="130"/>
        <v>0</v>
      </c>
      <c r="W2062">
        <f t="shared" si="131"/>
        <v>0</v>
      </c>
    </row>
    <row r="2063" spans="5:23" x14ac:dyDescent="0.25">
      <c r="E2063" s="4"/>
      <c r="F2063" s="4"/>
      <c r="G2063" s="33" t="str">
        <f>IFERROR(VLOOKUP($D2063,'Informations sur les produits'!$A$3:$H$10000,8,FALSE),"0")</f>
        <v>0</v>
      </c>
      <c r="K2063" s="4"/>
      <c r="L2063" s="33" t="str">
        <f>IFERROR(VLOOKUP($J2063,'Informations sur les produits'!$A$3:$H$10000,8,FALSE),"0")</f>
        <v>0</v>
      </c>
      <c r="N2063" s="8"/>
      <c r="O2063" s="33" t="str">
        <f>IFERROR(VLOOKUP($M2063,'Informations sur les produits'!$A$3:$H$10000,8,FALSE),"0")</f>
        <v>0</v>
      </c>
      <c r="P2063" s="33">
        <f t="shared" si="128"/>
        <v>0</v>
      </c>
      <c r="Q2063" s="31" t="str">
        <f t="shared" si="129"/>
        <v/>
      </c>
      <c r="R2063" s="32" t="str">
        <f>IFERROR(VLOOKUP($D2063,'Informations sur les produits'!$A$3:$B$15000,2,FALSE),"")</f>
        <v/>
      </c>
      <c r="V2063">
        <f t="shared" si="130"/>
        <v>0</v>
      </c>
      <c r="W2063">
        <f t="shared" si="131"/>
        <v>0</v>
      </c>
    </row>
    <row r="2064" spans="5:23" x14ac:dyDescent="0.25">
      <c r="E2064" s="4"/>
      <c r="F2064" s="4"/>
      <c r="G2064" s="33" t="str">
        <f>IFERROR(VLOOKUP($D2064,'Informations sur les produits'!$A$3:$H$10000,8,FALSE),"0")</f>
        <v>0</v>
      </c>
      <c r="K2064" s="4"/>
      <c r="L2064" s="33" t="str">
        <f>IFERROR(VLOOKUP($J2064,'Informations sur les produits'!$A$3:$H$10000,8,FALSE),"0")</f>
        <v>0</v>
      </c>
      <c r="N2064" s="8"/>
      <c r="O2064" s="33" t="str">
        <f>IFERROR(VLOOKUP($M2064,'Informations sur les produits'!$A$3:$H$10000,8,FALSE),"0")</f>
        <v>0</v>
      </c>
      <c r="P2064" s="33">
        <f t="shared" si="128"/>
        <v>0</v>
      </c>
      <c r="Q2064" s="31" t="str">
        <f t="shared" si="129"/>
        <v/>
      </c>
      <c r="R2064" s="32" t="str">
        <f>IFERROR(VLOOKUP($D2064,'Informations sur les produits'!$A$3:$B$15000,2,FALSE),"")</f>
        <v/>
      </c>
      <c r="V2064">
        <f t="shared" si="130"/>
        <v>0</v>
      </c>
      <c r="W2064">
        <f t="shared" si="131"/>
        <v>0</v>
      </c>
    </row>
    <row r="2065" spans="5:23" x14ac:dyDescent="0.25">
      <c r="E2065" s="4"/>
      <c r="F2065" s="4"/>
      <c r="G2065" s="33" t="str">
        <f>IFERROR(VLOOKUP($D2065,'Informations sur les produits'!$A$3:$H$10000,8,FALSE),"0")</f>
        <v>0</v>
      </c>
      <c r="K2065" s="4"/>
      <c r="L2065" s="33" t="str">
        <f>IFERROR(VLOOKUP($J2065,'Informations sur les produits'!$A$3:$H$10000,8,FALSE),"0")</f>
        <v>0</v>
      </c>
      <c r="N2065" s="8"/>
      <c r="O2065" s="33" t="str">
        <f>IFERROR(VLOOKUP($M2065,'Informations sur les produits'!$A$3:$H$10000,8,FALSE),"0")</f>
        <v>0</v>
      </c>
      <c r="P2065" s="33">
        <f t="shared" si="128"/>
        <v>0</v>
      </c>
      <c r="Q2065" s="31" t="str">
        <f t="shared" si="129"/>
        <v/>
      </c>
      <c r="R2065" s="32" t="str">
        <f>IFERROR(VLOOKUP($D2065,'Informations sur les produits'!$A$3:$B$15000,2,FALSE),"")</f>
        <v/>
      </c>
      <c r="V2065">
        <f t="shared" si="130"/>
        <v>0</v>
      </c>
      <c r="W2065">
        <f t="shared" si="131"/>
        <v>0</v>
      </c>
    </row>
    <row r="2066" spans="5:23" x14ac:dyDescent="0.25">
      <c r="E2066" s="4"/>
      <c r="F2066" s="4"/>
      <c r="G2066" s="33" t="str">
        <f>IFERROR(VLOOKUP($D2066,'Informations sur les produits'!$A$3:$H$10000,8,FALSE),"0")</f>
        <v>0</v>
      </c>
      <c r="K2066" s="4"/>
      <c r="L2066" s="33" t="str">
        <f>IFERROR(VLOOKUP($J2066,'Informations sur les produits'!$A$3:$H$10000,8,FALSE),"0")</f>
        <v>0</v>
      </c>
      <c r="N2066" s="8"/>
      <c r="O2066" s="33" t="str">
        <f>IFERROR(VLOOKUP($M2066,'Informations sur les produits'!$A$3:$H$10000,8,FALSE),"0")</f>
        <v>0</v>
      </c>
      <c r="P2066" s="33">
        <f t="shared" si="128"/>
        <v>0</v>
      </c>
      <c r="Q2066" s="31" t="str">
        <f t="shared" si="129"/>
        <v/>
      </c>
      <c r="R2066" s="32" t="str">
        <f>IFERROR(VLOOKUP($D2066,'Informations sur les produits'!$A$3:$B$15000,2,FALSE),"")</f>
        <v/>
      </c>
      <c r="V2066">
        <f t="shared" si="130"/>
        <v>0</v>
      </c>
      <c r="W2066">
        <f t="shared" si="131"/>
        <v>0</v>
      </c>
    </row>
    <row r="2067" spans="5:23" x14ac:dyDescent="0.25">
      <c r="E2067" s="4"/>
      <c r="F2067" s="4"/>
      <c r="G2067" s="33" t="str">
        <f>IFERROR(VLOOKUP($D2067,'Informations sur les produits'!$A$3:$H$10000,8,FALSE),"0")</f>
        <v>0</v>
      </c>
      <c r="K2067" s="4"/>
      <c r="L2067" s="33" t="str">
        <f>IFERROR(VLOOKUP($J2067,'Informations sur les produits'!$A$3:$H$10000,8,FALSE),"0")</f>
        <v>0</v>
      </c>
      <c r="N2067" s="8"/>
      <c r="O2067" s="33" t="str">
        <f>IFERROR(VLOOKUP($M2067,'Informations sur les produits'!$A$3:$H$10000,8,FALSE),"0")</f>
        <v>0</v>
      </c>
      <c r="P2067" s="33">
        <f t="shared" si="128"/>
        <v>0</v>
      </c>
      <c r="Q2067" s="31" t="str">
        <f t="shared" si="129"/>
        <v/>
      </c>
      <c r="R2067" s="32" t="str">
        <f>IFERROR(VLOOKUP($D2067,'Informations sur les produits'!$A$3:$B$15000,2,FALSE),"")</f>
        <v/>
      </c>
      <c r="V2067">
        <f t="shared" si="130"/>
        <v>0</v>
      </c>
      <c r="W2067">
        <f t="shared" si="131"/>
        <v>0</v>
      </c>
    </row>
    <row r="2068" spans="5:23" x14ac:dyDescent="0.25">
      <c r="E2068" s="4"/>
      <c r="F2068" s="4"/>
      <c r="G2068" s="33" t="str">
        <f>IFERROR(VLOOKUP($D2068,'Informations sur les produits'!$A$3:$H$10000,8,FALSE),"0")</f>
        <v>0</v>
      </c>
      <c r="K2068" s="4"/>
      <c r="L2068" s="33" t="str">
        <f>IFERROR(VLOOKUP($J2068,'Informations sur les produits'!$A$3:$H$10000,8,FALSE),"0")</f>
        <v>0</v>
      </c>
      <c r="N2068" s="8"/>
      <c r="O2068" s="33" t="str">
        <f>IFERROR(VLOOKUP($M2068,'Informations sur les produits'!$A$3:$H$10000,8,FALSE),"0")</f>
        <v>0</v>
      </c>
      <c r="P2068" s="33">
        <f t="shared" si="128"/>
        <v>0</v>
      </c>
      <c r="Q2068" s="31" t="str">
        <f t="shared" si="129"/>
        <v/>
      </c>
      <c r="R2068" s="32" t="str">
        <f>IFERROR(VLOOKUP($D2068,'Informations sur les produits'!$A$3:$B$15000,2,FALSE),"")</f>
        <v/>
      </c>
      <c r="V2068">
        <f t="shared" si="130"/>
        <v>0</v>
      </c>
      <c r="W2068">
        <f t="shared" si="131"/>
        <v>0</v>
      </c>
    </row>
    <row r="2069" spans="5:23" x14ac:dyDescent="0.25">
      <c r="E2069" s="4"/>
      <c r="F2069" s="4"/>
      <c r="G2069" s="33" t="str">
        <f>IFERROR(VLOOKUP($D2069,'Informations sur les produits'!$A$3:$H$10000,8,FALSE),"0")</f>
        <v>0</v>
      </c>
      <c r="K2069" s="4"/>
      <c r="L2069" s="33" t="str">
        <f>IFERROR(VLOOKUP($J2069,'Informations sur les produits'!$A$3:$H$10000,8,FALSE),"0")</f>
        <v>0</v>
      </c>
      <c r="N2069" s="8"/>
      <c r="O2069" s="33" t="str">
        <f>IFERROR(VLOOKUP($M2069,'Informations sur les produits'!$A$3:$H$10000,8,FALSE),"0")</f>
        <v>0</v>
      </c>
      <c r="P2069" s="33">
        <f t="shared" si="128"/>
        <v>0</v>
      </c>
      <c r="Q2069" s="31" t="str">
        <f t="shared" si="129"/>
        <v/>
      </c>
      <c r="R2069" s="32" t="str">
        <f>IFERROR(VLOOKUP($D2069,'Informations sur les produits'!$A$3:$B$15000,2,FALSE),"")</f>
        <v/>
      </c>
      <c r="V2069">
        <f t="shared" si="130"/>
        <v>0</v>
      </c>
      <c r="W2069">
        <f t="shared" si="131"/>
        <v>0</v>
      </c>
    </row>
    <row r="2070" spans="5:23" x14ac:dyDescent="0.25">
      <c r="E2070" s="4"/>
      <c r="F2070" s="4"/>
      <c r="G2070" s="33" t="str">
        <f>IFERROR(VLOOKUP($D2070,'Informations sur les produits'!$A$3:$H$10000,8,FALSE),"0")</f>
        <v>0</v>
      </c>
      <c r="K2070" s="4"/>
      <c r="L2070" s="33" t="str">
        <f>IFERROR(VLOOKUP($J2070,'Informations sur les produits'!$A$3:$H$10000,8,FALSE),"0")</f>
        <v>0</v>
      </c>
      <c r="N2070" s="8"/>
      <c r="O2070" s="33" t="str">
        <f>IFERROR(VLOOKUP($M2070,'Informations sur les produits'!$A$3:$H$10000,8,FALSE),"0")</f>
        <v>0</v>
      </c>
      <c r="P2070" s="33">
        <f t="shared" si="128"/>
        <v>0</v>
      </c>
      <c r="Q2070" s="31" t="str">
        <f t="shared" si="129"/>
        <v/>
      </c>
      <c r="R2070" s="32" t="str">
        <f>IFERROR(VLOOKUP($D2070,'Informations sur les produits'!$A$3:$B$15000,2,FALSE),"")</f>
        <v/>
      </c>
      <c r="V2070">
        <f t="shared" si="130"/>
        <v>0</v>
      </c>
      <c r="W2070">
        <f t="shared" si="131"/>
        <v>0</v>
      </c>
    </row>
    <row r="2071" spans="5:23" x14ac:dyDescent="0.25">
      <c r="E2071" s="4"/>
      <c r="F2071" s="4"/>
      <c r="G2071" s="33" t="str">
        <f>IFERROR(VLOOKUP($D2071,'Informations sur les produits'!$A$3:$H$10000,8,FALSE),"0")</f>
        <v>0</v>
      </c>
      <c r="K2071" s="4"/>
      <c r="L2071" s="33" t="str">
        <f>IFERROR(VLOOKUP($J2071,'Informations sur les produits'!$A$3:$H$10000,8,FALSE),"0")</f>
        <v>0</v>
      </c>
      <c r="N2071" s="8"/>
      <c r="O2071" s="33" t="str">
        <f>IFERROR(VLOOKUP($M2071,'Informations sur les produits'!$A$3:$H$10000,8,FALSE),"0")</f>
        <v>0</v>
      </c>
      <c r="P2071" s="33">
        <f t="shared" si="128"/>
        <v>0</v>
      </c>
      <c r="Q2071" s="31" t="str">
        <f t="shared" si="129"/>
        <v/>
      </c>
      <c r="R2071" s="32" t="str">
        <f>IFERROR(VLOOKUP($D2071,'Informations sur les produits'!$A$3:$B$15000,2,FALSE),"")</f>
        <v/>
      </c>
      <c r="V2071">
        <f t="shared" si="130"/>
        <v>0</v>
      </c>
      <c r="W2071">
        <f t="shared" si="131"/>
        <v>0</v>
      </c>
    </row>
    <row r="2072" spans="5:23" x14ac:dyDescent="0.25">
      <c r="E2072" s="4"/>
      <c r="F2072" s="4"/>
      <c r="G2072" s="33" t="str">
        <f>IFERROR(VLOOKUP($D2072,'Informations sur les produits'!$A$3:$H$10000,8,FALSE),"0")</f>
        <v>0</v>
      </c>
      <c r="K2072" s="4"/>
      <c r="L2072" s="33" t="str">
        <f>IFERROR(VLOOKUP($J2072,'Informations sur les produits'!$A$3:$H$10000,8,FALSE),"0")</f>
        <v>0</v>
      </c>
      <c r="N2072" s="8"/>
      <c r="O2072" s="33" t="str">
        <f>IFERROR(VLOOKUP($M2072,'Informations sur les produits'!$A$3:$H$10000,8,FALSE),"0")</f>
        <v>0</v>
      </c>
      <c r="P2072" s="33">
        <f t="shared" si="128"/>
        <v>0</v>
      </c>
      <c r="Q2072" s="31" t="str">
        <f t="shared" si="129"/>
        <v/>
      </c>
      <c r="R2072" s="32" t="str">
        <f>IFERROR(VLOOKUP($D2072,'Informations sur les produits'!$A$3:$B$15000,2,FALSE),"")</f>
        <v/>
      </c>
      <c r="V2072">
        <f t="shared" si="130"/>
        <v>0</v>
      </c>
      <c r="W2072">
        <f t="shared" si="131"/>
        <v>0</v>
      </c>
    </row>
    <row r="2073" spans="5:23" x14ac:dyDescent="0.25">
      <c r="E2073" s="4"/>
      <c r="F2073" s="4"/>
      <c r="G2073" s="33" t="str">
        <f>IFERROR(VLOOKUP($D2073,'Informations sur les produits'!$A$3:$H$10000,8,FALSE),"0")</f>
        <v>0</v>
      </c>
      <c r="K2073" s="4"/>
      <c r="L2073" s="33" t="str">
        <f>IFERROR(VLOOKUP($J2073,'Informations sur les produits'!$A$3:$H$10000,8,FALSE),"0")</f>
        <v>0</v>
      </c>
      <c r="N2073" s="8"/>
      <c r="O2073" s="33" t="str">
        <f>IFERROR(VLOOKUP($M2073,'Informations sur les produits'!$A$3:$H$10000,8,FALSE),"0")</f>
        <v>0</v>
      </c>
      <c r="P2073" s="33">
        <f t="shared" si="128"/>
        <v>0</v>
      </c>
      <c r="Q2073" s="31" t="str">
        <f t="shared" si="129"/>
        <v/>
      </c>
      <c r="R2073" s="32" t="str">
        <f>IFERROR(VLOOKUP($D2073,'Informations sur les produits'!$A$3:$B$15000,2,FALSE),"")</f>
        <v/>
      </c>
      <c r="V2073">
        <f t="shared" si="130"/>
        <v>0</v>
      </c>
      <c r="W2073">
        <f t="shared" si="131"/>
        <v>0</v>
      </c>
    </row>
    <row r="2074" spans="5:23" x14ac:dyDescent="0.25">
      <c r="E2074" s="4"/>
      <c r="F2074" s="4"/>
      <c r="G2074" s="33" t="str">
        <f>IFERROR(VLOOKUP($D2074,'Informations sur les produits'!$A$3:$H$10000,8,FALSE),"0")</f>
        <v>0</v>
      </c>
      <c r="K2074" s="4"/>
      <c r="L2074" s="33" t="str">
        <f>IFERROR(VLOOKUP($J2074,'Informations sur les produits'!$A$3:$H$10000,8,FALSE),"0")</f>
        <v>0</v>
      </c>
      <c r="N2074" s="8"/>
      <c r="O2074" s="33" t="str">
        <f>IFERROR(VLOOKUP($M2074,'Informations sur les produits'!$A$3:$H$10000,8,FALSE),"0")</f>
        <v>0</v>
      </c>
      <c r="P2074" s="33">
        <f t="shared" si="128"/>
        <v>0</v>
      </c>
      <c r="Q2074" s="31" t="str">
        <f t="shared" si="129"/>
        <v/>
      </c>
      <c r="R2074" s="32" t="str">
        <f>IFERROR(VLOOKUP($D2074,'Informations sur les produits'!$A$3:$B$15000,2,FALSE),"")</f>
        <v/>
      </c>
      <c r="V2074">
        <f t="shared" si="130"/>
        <v>0</v>
      </c>
      <c r="W2074">
        <f t="shared" si="131"/>
        <v>0</v>
      </c>
    </row>
    <row r="2075" spans="5:23" x14ac:dyDescent="0.25">
      <c r="E2075" s="4"/>
      <c r="F2075" s="4"/>
      <c r="G2075" s="33" t="str">
        <f>IFERROR(VLOOKUP($D2075,'Informations sur les produits'!$A$3:$H$10000,8,FALSE),"0")</f>
        <v>0</v>
      </c>
      <c r="K2075" s="4"/>
      <c r="L2075" s="33" t="str">
        <f>IFERROR(VLOOKUP($J2075,'Informations sur les produits'!$A$3:$H$10000,8,FALSE),"0")</f>
        <v>0</v>
      </c>
      <c r="N2075" s="8"/>
      <c r="O2075" s="33" t="str">
        <f>IFERROR(VLOOKUP($M2075,'Informations sur les produits'!$A$3:$H$10000,8,FALSE),"0")</f>
        <v>0</v>
      </c>
      <c r="P2075" s="33">
        <f t="shared" si="128"/>
        <v>0</v>
      </c>
      <c r="Q2075" s="31" t="str">
        <f t="shared" si="129"/>
        <v/>
      </c>
      <c r="R2075" s="32" t="str">
        <f>IFERROR(VLOOKUP($D2075,'Informations sur les produits'!$A$3:$B$15000,2,FALSE),"")</f>
        <v/>
      </c>
      <c r="V2075">
        <f t="shared" si="130"/>
        <v>0</v>
      </c>
      <c r="W2075">
        <f t="shared" si="131"/>
        <v>0</v>
      </c>
    </row>
    <row r="2076" spans="5:23" x14ac:dyDescent="0.25">
      <c r="E2076" s="4"/>
      <c r="F2076" s="4"/>
      <c r="G2076" s="33" t="str">
        <f>IFERROR(VLOOKUP($D2076,'Informations sur les produits'!$A$3:$H$10000,8,FALSE),"0")</f>
        <v>0</v>
      </c>
      <c r="K2076" s="4"/>
      <c r="L2076" s="33" t="str">
        <f>IFERROR(VLOOKUP($J2076,'Informations sur les produits'!$A$3:$H$10000,8,FALSE),"0")</f>
        <v>0</v>
      </c>
      <c r="N2076" s="8"/>
      <c r="O2076" s="33" t="str">
        <f>IFERROR(VLOOKUP($M2076,'Informations sur les produits'!$A$3:$H$10000,8,FALSE),"0")</f>
        <v>0</v>
      </c>
      <c r="P2076" s="33">
        <f t="shared" si="128"/>
        <v>0</v>
      </c>
      <c r="Q2076" s="31" t="str">
        <f t="shared" si="129"/>
        <v/>
      </c>
      <c r="R2076" s="32" t="str">
        <f>IFERROR(VLOOKUP($D2076,'Informations sur les produits'!$A$3:$B$15000,2,FALSE),"")</f>
        <v/>
      </c>
      <c r="V2076">
        <f t="shared" si="130"/>
        <v>0</v>
      </c>
      <c r="W2076">
        <f t="shared" si="131"/>
        <v>0</v>
      </c>
    </row>
    <row r="2077" spans="5:23" x14ac:dyDescent="0.25">
      <c r="E2077" s="4"/>
      <c r="F2077" s="4"/>
      <c r="G2077" s="33" t="str">
        <f>IFERROR(VLOOKUP($D2077,'Informations sur les produits'!$A$3:$H$10000,8,FALSE),"0")</f>
        <v>0</v>
      </c>
      <c r="K2077" s="4"/>
      <c r="L2077" s="33" t="str">
        <f>IFERROR(VLOOKUP($J2077,'Informations sur les produits'!$A$3:$H$10000,8,FALSE),"0")</f>
        <v>0</v>
      </c>
      <c r="N2077" s="8"/>
      <c r="O2077" s="33" t="str">
        <f>IFERROR(VLOOKUP($M2077,'Informations sur les produits'!$A$3:$H$10000,8,FALSE),"0")</f>
        <v>0</v>
      </c>
      <c r="P2077" s="33">
        <f t="shared" si="128"/>
        <v>0</v>
      </c>
      <c r="Q2077" s="31" t="str">
        <f t="shared" si="129"/>
        <v/>
      </c>
      <c r="R2077" s="32" t="str">
        <f>IFERROR(VLOOKUP($D2077,'Informations sur les produits'!$A$3:$B$15000,2,FALSE),"")</f>
        <v/>
      </c>
      <c r="V2077">
        <f t="shared" si="130"/>
        <v>0</v>
      </c>
      <c r="W2077">
        <f t="shared" si="131"/>
        <v>0</v>
      </c>
    </row>
    <row r="2078" spans="5:23" x14ac:dyDescent="0.25">
      <c r="E2078" s="4"/>
      <c r="F2078" s="4"/>
      <c r="G2078" s="33" t="str">
        <f>IFERROR(VLOOKUP($D2078,'Informations sur les produits'!$A$3:$H$10000,8,FALSE),"0")</f>
        <v>0</v>
      </c>
      <c r="K2078" s="4"/>
      <c r="L2078" s="33" t="str">
        <f>IFERROR(VLOOKUP($J2078,'Informations sur les produits'!$A$3:$H$10000,8,FALSE),"0")</f>
        <v>0</v>
      </c>
      <c r="N2078" s="8"/>
      <c r="O2078" s="33" t="str">
        <f>IFERROR(VLOOKUP($M2078,'Informations sur les produits'!$A$3:$H$10000,8,FALSE),"0")</f>
        <v>0</v>
      </c>
      <c r="P2078" s="33">
        <f t="shared" si="128"/>
        <v>0</v>
      </c>
      <c r="Q2078" s="31" t="str">
        <f t="shared" si="129"/>
        <v/>
      </c>
      <c r="R2078" s="32" t="str">
        <f>IFERROR(VLOOKUP($D2078,'Informations sur les produits'!$A$3:$B$15000,2,FALSE),"")</f>
        <v/>
      </c>
      <c r="V2078">
        <f t="shared" si="130"/>
        <v>0</v>
      </c>
      <c r="W2078">
        <f t="shared" si="131"/>
        <v>0</v>
      </c>
    </row>
    <row r="2079" spans="5:23" x14ac:dyDescent="0.25">
      <c r="E2079" s="4"/>
      <c r="F2079" s="4"/>
      <c r="G2079" s="33" t="str">
        <f>IFERROR(VLOOKUP($D2079,'Informations sur les produits'!$A$3:$H$10000,8,FALSE),"0")</f>
        <v>0</v>
      </c>
      <c r="K2079" s="4"/>
      <c r="L2079" s="33" t="str">
        <f>IFERROR(VLOOKUP($J2079,'Informations sur les produits'!$A$3:$H$10000,8,FALSE),"0")</f>
        <v>0</v>
      </c>
      <c r="N2079" s="8"/>
      <c r="O2079" s="33" t="str">
        <f>IFERROR(VLOOKUP($M2079,'Informations sur les produits'!$A$3:$H$10000,8,FALSE),"0")</f>
        <v>0</v>
      </c>
      <c r="P2079" s="33">
        <f t="shared" si="128"/>
        <v>0</v>
      </c>
      <c r="Q2079" s="31" t="str">
        <f t="shared" si="129"/>
        <v/>
      </c>
      <c r="R2079" s="32" t="str">
        <f>IFERROR(VLOOKUP($D2079,'Informations sur les produits'!$A$3:$B$15000,2,FALSE),"")</f>
        <v/>
      </c>
      <c r="V2079">
        <f t="shared" si="130"/>
        <v>0</v>
      </c>
      <c r="W2079">
        <f t="shared" si="131"/>
        <v>0</v>
      </c>
    </row>
    <row r="2080" spans="5:23" x14ac:dyDescent="0.25">
      <c r="E2080" s="4"/>
      <c r="F2080" s="4"/>
      <c r="G2080" s="33" t="str">
        <f>IFERROR(VLOOKUP($D2080,'Informations sur les produits'!$A$3:$H$10000,8,FALSE),"0")</f>
        <v>0</v>
      </c>
      <c r="K2080" s="4"/>
      <c r="L2080" s="33" t="str">
        <f>IFERROR(VLOOKUP($J2080,'Informations sur les produits'!$A$3:$H$10000,8,FALSE),"0")</f>
        <v>0</v>
      </c>
      <c r="N2080" s="8"/>
      <c r="O2080" s="33" t="str">
        <f>IFERROR(VLOOKUP($M2080,'Informations sur les produits'!$A$3:$H$10000,8,FALSE),"0")</f>
        <v>0</v>
      </c>
      <c r="P2080" s="33">
        <f t="shared" si="128"/>
        <v>0</v>
      </c>
      <c r="Q2080" s="31" t="str">
        <f t="shared" si="129"/>
        <v/>
      </c>
      <c r="R2080" s="32" t="str">
        <f>IFERROR(VLOOKUP($D2080,'Informations sur les produits'!$A$3:$B$15000,2,FALSE),"")</f>
        <v/>
      </c>
      <c r="V2080">
        <f t="shared" si="130"/>
        <v>0</v>
      </c>
      <c r="W2080">
        <f t="shared" si="131"/>
        <v>0</v>
      </c>
    </row>
    <row r="2081" spans="5:23" x14ac:dyDescent="0.25">
      <c r="E2081" s="4"/>
      <c r="F2081" s="4"/>
      <c r="G2081" s="33" t="str">
        <f>IFERROR(VLOOKUP($D2081,'Informations sur les produits'!$A$3:$H$10000,8,FALSE),"0")</f>
        <v>0</v>
      </c>
      <c r="K2081" s="4"/>
      <c r="L2081" s="33" t="str">
        <f>IFERROR(VLOOKUP($J2081,'Informations sur les produits'!$A$3:$H$10000,8,FALSE),"0")</f>
        <v>0</v>
      </c>
      <c r="N2081" s="8"/>
      <c r="O2081" s="33" t="str">
        <f>IFERROR(VLOOKUP($M2081,'Informations sur les produits'!$A$3:$H$10000,8,FALSE),"0")</f>
        <v>0</v>
      </c>
      <c r="P2081" s="33">
        <f t="shared" si="128"/>
        <v>0</v>
      </c>
      <c r="Q2081" s="31" t="str">
        <f t="shared" si="129"/>
        <v/>
      </c>
      <c r="R2081" s="32" t="str">
        <f>IFERROR(VLOOKUP($D2081,'Informations sur les produits'!$A$3:$B$15000,2,FALSE),"")</f>
        <v/>
      </c>
      <c r="V2081">
        <f t="shared" si="130"/>
        <v>0</v>
      </c>
      <c r="W2081">
        <f t="shared" si="131"/>
        <v>0</v>
      </c>
    </row>
    <row r="2082" spans="5:23" x14ac:dyDescent="0.25">
      <c r="E2082" s="4"/>
      <c r="F2082" s="4"/>
      <c r="G2082" s="33" t="str">
        <f>IFERROR(VLOOKUP($D2082,'Informations sur les produits'!$A$3:$H$10000,8,FALSE),"0")</f>
        <v>0</v>
      </c>
      <c r="K2082" s="4"/>
      <c r="L2082" s="33" t="str">
        <f>IFERROR(VLOOKUP($J2082,'Informations sur les produits'!$A$3:$H$10000,8,FALSE),"0")</f>
        <v>0</v>
      </c>
      <c r="N2082" s="8"/>
      <c r="O2082" s="33" t="str">
        <f>IFERROR(VLOOKUP($M2082,'Informations sur les produits'!$A$3:$H$10000,8,FALSE),"0")</f>
        <v>0</v>
      </c>
      <c r="P2082" s="33">
        <f t="shared" si="128"/>
        <v>0</v>
      </c>
      <c r="Q2082" s="31" t="str">
        <f t="shared" si="129"/>
        <v/>
      </c>
      <c r="R2082" s="32" t="str">
        <f>IFERROR(VLOOKUP($D2082,'Informations sur les produits'!$A$3:$B$15000,2,FALSE),"")</f>
        <v/>
      </c>
      <c r="V2082">
        <f t="shared" si="130"/>
        <v>0</v>
      </c>
      <c r="W2082">
        <f t="shared" si="131"/>
        <v>0</v>
      </c>
    </row>
    <row r="2083" spans="5:23" x14ac:dyDescent="0.25">
      <c r="E2083" s="4"/>
      <c r="F2083" s="4"/>
      <c r="G2083" s="33" t="str">
        <f>IFERROR(VLOOKUP($D2083,'Informations sur les produits'!$A$3:$H$10000,8,FALSE),"0")</f>
        <v>0</v>
      </c>
      <c r="K2083" s="4"/>
      <c r="L2083" s="33" t="str">
        <f>IFERROR(VLOOKUP($J2083,'Informations sur les produits'!$A$3:$H$10000,8,FALSE),"0")</f>
        <v>0</v>
      </c>
      <c r="N2083" s="8"/>
      <c r="O2083" s="33" t="str">
        <f>IFERROR(VLOOKUP($M2083,'Informations sur les produits'!$A$3:$H$10000,8,FALSE),"0")</f>
        <v>0</v>
      </c>
      <c r="P2083" s="33">
        <f t="shared" si="128"/>
        <v>0</v>
      </c>
      <c r="Q2083" s="31" t="str">
        <f t="shared" si="129"/>
        <v/>
      </c>
      <c r="R2083" s="32" t="str">
        <f>IFERROR(VLOOKUP($D2083,'Informations sur les produits'!$A$3:$B$15000,2,FALSE),"")</f>
        <v/>
      </c>
      <c r="V2083">
        <f t="shared" si="130"/>
        <v>0</v>
      </c>
      <c r="W2083">
        <f t="shared" si="131"/>
        <v>0</v>
      </c>
    </row>
    <row r="2084" spans="5:23" x14ac:dyDescent="0.25">
      <c r="E2084" s="4"/>
      <c r="F2084" s="4"/>
      <c r="G2084" s="33" t="str">
        <f>IFERROR(VLOOKUP($D2084,'Informations sur les produits'!$A$3:$H$10000,8,FALSE),"0")</f>
        <v>0</v>
      </c>
      <c r="K2084" s="4"/>
      <c r="L2084" s="33" t="str">
        <f>IFERROR(VLOOKUP($J2084,'Informations sur les produits'!$A$3:$H$10000,8,FALSE),"0")</f>
        <v>0</v>
      </c>
      <c r="N2084" s="8"/>
      <c r="O2084" s="33" t="str">
        <f>IFERROR(VLOOKUP($M2084,'Informations sur les produits'!$A$3:$H$10000,8,FALSE),"0")</f>
        <v>0</v>
      </c>
      <c r="P2084" s="33">
        <f t="shared" si="128"/>
        <v>0</v>
      </c>
      <c r="Q2084" s="31" t="str">
        <f t="shared" si="129"/>
        <v/>
      </c>
      <c r="R2084" s="32" t="str">
        <f>IFERROR(VLOOKUP($D2084,'Informations sur les produits'!$A$3:$B$15000,2,FALSE),"")</f>
        <v/>
      </c>
      <c r="V2084">
        <f t="shared" si="130"/>
        <v>0</v>
      </c>
      <c r="W2084">
        <f t="shared" si="131"/>
        <v>0</v>
      </c>
    </row>
    <row r="2085" spans="5:23" x14ac:dyDescent="0.25">
      <c r="E2085" s="4"/>
      <c r="F2085" s="4"/>
      <c r="G2085" s="33" t="str">
        <f>IFERROR(VLOOKUP($D2085,'Informations sur les produits'!$A$3:$H$10000,8,FALSE),"0")</f>
        <v>0</v>
      </c>
      <c r="K2085" s="4"/>
      <c r="L2085" s="33" t="str">
        <f>IFERROR(VLOOKUP($J2085,'Informations sur les produits'!$A$3:$H$10000,8,FALSE),"0")</f>
        <v>0</v>
      </c>
      <c r="N2085" s="8"/>
      <c r="O2085" s="33" t="str">
        <f>IFERROR(VLOOKUP($M2085,'Informations sur les produits'!$A$3:$H$10000,8,FALSE),"0")</f>
        <v>0</v>
      </c>
      <c r="P2085" s="33">
        <f t="shared" si="128"/>
        <v>0</v>
      </c>
      <c r="Q2085" s="31" t="str">
        <f t="shared" si="129"/>
        <v/>
      </c>
      <c r="R2085" s="32" t="str">
        <f>IFERROR(VLOOKUP($D2085,'Informations sur les produits'!$A$3:$B$15000,2,FALSE),"")</f>
        <v/>
      </c>
      <c r="V2085">
        <f t="shared" si="130"/>
        <v>0</v>
      </c>
      <c r="W2085">
        <f t="shared" si="131"/>
        <v>0</v>
      </c>
    </row>
    <row r="2086" spans="5:23" x14ac:dyDescent="0.25">
      <c r="E2086" s="4"/>
      <c r="F2086" s="4"/>
      <c r="G2086" s="33" t="str">
        <f>IFERROR(VLOOKUP($D2086,'Informations sur les produits'!$A$3:$H$10000,8,FALSE),"0")</f>
        <v>0</v>
      </c>
      <c r="K2086" s="4"/>
      <c r="L2086" s="33" t="str">
        <f>IFERROR(VLOOKUP($J2086,'Informations sur les produits'!$A$3:$H$10000,8,FALSE),"0")</f>
        <v>0</v>
      </c>
      <c r="N2086" s="8"/>
      <c r="O2086" s="33" t="str">
        <f>IFERROR(VLOOKUP($M2086,'Informations sur les produits'!$A$3:$H$10000,8,FALSE),"0")</f>
        <v>0</v>
      </c>
      <c r="P2086" s="33">
        <f t="shared" si="128"/>
        <v>0</v>
      </c>
      <c r="Q2086" s="31" t="str">
        <f t="shared" si="129"/>
        <v/>
      </c>
      <c r="R2086" s="32" t="str">
        <f>IFERROR(VLOOKUP($D2086,'Informations sur les produits'!$A$3:$B$15000,2,FALSE),"")</f>
        <v/>
      </c>
      <c r="V2086">
        <f t="shared" si="130"/>
        <v>0</v>
      </c>
      <c r="W2086">
        <f t="shared" si="131"/>
        <v>0</v>
      </c>
    </row>
    <row r="2087" spans="5:23" x14ac:dyDescent="0.25">
      <c r="E2087" s="4"/>
      <c r="F2087" s="4"/>
      <c r="G2087" s="33" t="str">
        <f>IFERROR(VLOOKUP($D2087,'Informations sur les produits'!$A$3:$H$10000,8,FALSE),"0")</f>
        <v>0</v>
      </c>
      <c r="K2087" s="4"/>
      <c r="L2087" s="33" t="str">
        <f>IFERROR(VLOOKUP($J2087,'Informations sur les produits'!$A$3:$H$10000,8,FALSE),"0")</f>
        <v>0</v>
      </c>
      <c r="N2087" s="8"/>
      <c r="O2087" s="33" t="str">
        <f>IFERROR(VLOOKUP($M2087,'Informations sur les produits'!$A$3:$H$10000,8,FALSE),"0")</f>
        <v>0</v>
      </c>
      <c r="P2087" s="33">
        <f t="shared" si="128"/>
        <v>0</v>
      </c>
      <c r="Q2087" s="31" t="str">
        <f t="shared" si="129"/>
        <v/>
      </c>
      <c r="R2087" s="32" t="str">
        <f>IFERROR(VLOOKUP($D2087,'Informations sur les produits'!$A$3:$B$15000,2,FALSE),"")</f>
        <v/>
      </c>
      <c r="V2087">
        <f t="shared" si="130"/>
        <v>0</v>
      </c>
      <c r="W2087">
        <f t="shared" si="131"/>
        <v>0</v>
      </c>
    </row>
    <row r="2088" spans="5:23" x14ac:dyDescent="0.25">
      <c r="E2088" s="4"/>
      <c r="F2088" s="4"/>
      <c r="G2088" s="33" t="str">
        <f>IFERROR(VLOOKUP($D2088,'Informations sur les produits'!$A$3:$H$10000,8,FALSE),"0")</f>
        <v>0</v>
      </c>
      <c r="K2088" s="4"/>
      <c r="L2088" s="33" t="str">
        <f>IFERROR(VLOOKUP($J2088,'Informations sur les produits'!$A$3:$H$10000,8,FALSE),"0")</f>
        <v>0</v>
      </c>
      <c r="N2088" s="8"/>
      <c r="O2088" s="33" t="str">
        <f>IFERROR(VLOOKUP($M2088,'Informations sur les produits'!$A$3:$H$10000,8,FALSE),"0")</f>
        <v>0</v>
      </c>
      <c r="P2088" s="33">
        <f t="shared" si="128"/>
        <v>0</v>
      </c>
      <c r="Q2088" s="31" t="str">
        <f t="shared" si="129"/>
        <v/>
      </c>
      <c r="R2088" s="32" t="str">
        <f>IFERROR(VLOOKUP($D2088,'Informations sur les produits'!$A$3:$B$15000,2,FALSE),"")</f>
        <v/>
      </c>
      <c r="V2088">
        <f t="shared" si="130"/>
        <v>0</v>
      </c>
      <c r="W2088">
        <f t="shared" si="131"/>
        <v>0</v>
      </c>
    </row>
    <row r="2089" spans="5:23" x14ac:dyDescent="0.25">
      <c r="E2089" s="4"/>
      <c r="F2089" s="4"/>
      <c r="G2089" s="33" t="str">
        <f>IFERROR(VLOOKUP($D2089,'Informations sur les produits'!$A$3:$H$10000,8,FALSE),"0")</f>
        <v>0</v>
      </c>
      <c r="K2089" s="4"/>
      <c r="L2089" s="33" t="str">
        <f>IFERROR(VLOOKUP($J2089,'Informations sur les produits'!$A$3:$H$10000,8,FALSE),"0")</f>
        <v>0</v>
      </c>
      <c r="N2089" s="8"/>
      <c r="O2089" s="33" t="str">
        <f>IFERROR(VLOOKUP($M2089,'Informations sur les produits'!$A$3:$H$10000,8,FALSE),"0")</f>
        <v>0</v>
      </c>
      <c r="P2089" s="33">
        <f t="shared" si="128"/>
        <v>0</v>
      </c>
      <c r="Q2089" s="31" t="str">
        <f t="shared" si="129"/>
        <v/>
      </c>
      <c r="R2089" s="32" t="str">
        <f>IFERROR(VLOOKUP($D2089,'Informations sur les produits'!$A$3:$B$15000,2,FALSE),"")</f>
        <v/>
      </c>
      <c r="V2089">
        <f t="shared" si="130"/>
        <v>0</v>
      </c>
      <c r="W2089">
        <f t="shared" si="131"/>
        <v>0</v>
      </c>
    </row>
    <row r="2090" spans="5:23" x14ac:dyDescent="0.25">
      <c r="E2090" s="4"/>
      <c r="F2090" s="4"/>
      <c r="G2090" s="33" t="str">
        <f>IFERROR(VLOOKUP($D2090,'Informations sur les produits'!$A$3:$H$10000,8,FALSE),"0")</f>
        <v>0</v>
      </c>
      <c r="K2090" s="4"/>
      <c r="L2090" s="33" t="str">
        <f>IFERROR(VLOOKUP($J2090,'Informations sur les produits'!$A$3:$H$10000,8,FALSE),"0")</f>
        <v>0</v>
      </c>
      <c r="N2090" s="8"/>
      <c r="O2090" s="33" t="str">
        <f>IFERROR(VLOOKUP($M2090,'Informations sur les produits'!$A$3:$H$10000,8,FALSE),"0")</f>
        <v>0</v>
      </c>
      <c r="P2090" s="33">
        <f t="shared" si="128"/>
        <v>0</v>
      </c>
      <c r="Q2090" s="31" t="str">
        <f t="shared" si="129"/>
        <v/>
      </c>
      <c r="R2090" s="32" t="str">
        <f>IFERROR(VLOOKUP($D2090,'Informations sur les produits'!$A$3:$B$15000,2,FALSE),"")</f>
        <v/>
      </c>
      <c r="V2090">
        <f t="shared" si="130"/>
        <v>0</v>
      </c>
      <c r="W2090">
        <f t="shared" si="131"/>
        <v>0</v>
      </c>
    </row>
    <row r="2091" spans="5:23" x14ac:dyDescent="0.25">
      <c r="E2091" s="4"/>
      <c r="F2091" s="4"/>
      <c r="G2091" s="33" t="str">
        <f>IFERROR(VLOOKUP($D2091,'Informations sur les produits'!$A$3:$H$10000,8,FALSE),"0")</f>
        <v>0</v>
      </c>
      <c r="K2091" s="4"/>
      <c r="L2091" s="33" t="str">
        <f>IFERROR(VLOOKUP($J2091,'Informations sur les produits'!$A$3:$H$10000,8,FALSE),"0")</f>
        <v>0</v>
      </c>
      <c r="N2091" s="8"/>
      <c r="O2091" s="33" t="str">
        <f>IFERROR(VLOOKUP($M2091,'Informations sur les produits'!$A$3:$H$10000,8,FALSE),"0")</f>
        <v>0</v>
      </c>
      <c r="P2091" s="33">
        <f t="shared" si="128"/>
        <v>0</v>
      </c>
      <c r="Q2091" s="31" t="str">
        <f t="shared" si="129"/>
        <v/>
      </c>
      <c r="R2091" s="32" t="str">
        <f>IFERROR(VLOOKUP($D2091,'Informations sur les produits'!$A$3:$B$15000,2,FALSE),"")</f>
        <v/>
      </c>
      <c r="V2091">
        <f t="shared" si="130"/>
        <v>0</v>
      </c>
      <c r="W2091">
        <f t="shared" si="131"/>
        <v>0</v>
      </c>
    </row>
    <row r="2092" spans="5:23" x14ac:dyDescent="0.25">
      <c r="E2092" s="4"/>
      <c r="F2092" s="4"/>
      <c r="G2092" s="33" t="str">
        <f>IFERROR(VLOOKUP($D2092,'Informations sur les produits'!$A$3:$H$10000,8,FALSE),"0")</f>
        <v>0</v>
      </c>
      <c r="K2092" s="4"/>
      <c r="L2092" s="33" t="str">
        <f>IFERROR(VLOOKUP($J2092,'Informations sur les produits'!$A$3:$H$10000,8,FALSE),"0")</f>
        <v>0</v>
      </c>
      <c r="N2092" s="8"/>
      <c r="O2092" s="33" t="str">
        <f>IFERROR(VLOOKUP($M2092,'Informations sur les produits'!$A$3:$H$10000,8,FALSE),"0")</f>
        <v>0</v>
      </c>
      <c r="P2092" s="33">
        <f t="shared" si="128"/>
        <v>0</v>
      </c>
      <c r="Q2092" s="31" t="str">
        <f t="shared" si="129"/>
        <v/>
      </c>
      <c r="R2092" s="32" t="str">
        <f>IFERROR(VLOOKUP($D2092,'Informations sur les produits'!$A$3:$B$15000,2,FALSE),"")</f>
        <v/>
      </c>
      <c r="V2092">
        <f t="shared" si="130"/>
        <v>0</v>
      </c>
      <c r="W2092">
        <f t="shared" si="131"/>
        <v>0</v>
      </c>
    </row>
    <row r="2093" spans="5:23" x14ac:dyDescent="0.25">
      <c r="E2093" s="4"/>
      <c r="F2093" s="4"/>
      <c r="G2093" s="33" t="str">
        <f>IFERROR(VLOOKUP($D2093,'Informations sur les produits'!$A$3:$H$10000,8,FALSE),"0")</f>
        <v>0</v>
      </c>
      <c r="K2093" s="4"/>
      <c r="L2093" s="33" t="str">
        <f>IFERROR(VLOOKUP($J2093,'Informations sur les produits'!$A$3:$H$10000,8,FALSE),"0")</f>
        <v>0</v>
      </c>
      <c r="N2093" s="8"/>
      <c r="O2093" s="33" t="str">
        <f>IFERROR(VLOOKUP($M2093,'Informations sur les produits'!$A$3:$H$10000,8,FALSE),"0")</f>
        <v>0</v>
      </c>
      <c r="P2093" s="33">
        <f t="shared" si="128"/>
        <v>0</v>
      </c>
      <c r="Q2093" s="31" t="str">
        <f t="shared" si="129"/>
        <v/>
      </c>
      <c r="R2093" s="32" t="str">
        <f>IFERROR(VLOOKUP($D2093,'Informations sur les produits'!$A$3:$B$15000,2,FALSE),"")</f>
        <v/>
      </c>
      <c r="V2093">
        <f t="shared" si="130"/>
        <v>0</v>
      </c>
      <c r="W2093">
        <f t="shared" si="131"/>
        <v>0</v>
      </c>
    </row>
    <row r="2094" spans="5:23" x14ac:dyDescent="0.25">
      <c r="E2094" s="4"/>
      <c r="F2094" s="4"/>
      <c r="G2094" s="33" t="str">
        <f>IFERROR(VLOOKUP($D2094,'Informations sur les produits'!$A$3:$H$10000,8,FALSE),"0")</f>
        <v>0</v>
      </c>
      <c r="K2094" s="4"/>
      <c r="L2094" s="33" t="str">
        <f>IFERROR(VLOOKUP($J2094,'Informations sur les produits'!$A$3:$H$10000,8,FALSE),"0")</f>
        <v>0</v>
      </c>
      <c r="N2094" s="8"/>
      <c r="O2094" s="33" t="str">
        <f>IFERROR(VLOOKUP($M2094,'Informations sur les produits'!$A$3:$H$10000,8,FALSE),"0")</f>
        <v>0</v>
      </c>
      <c r="P2094" s="33">
        <f t="shared" si="128"/>
        <v>0</v>
      </c>
      <c r="Q2094" s="31" t="str">
        <f t="shared" si="129"/>
        <v/>
      </c>
      <c r="R2094" s="32" t="str">
        <f>IFERROR(VLOOKUP($D2094,'Informations sur les produits'!$A$3:$B$15000,2,FALSE),"")</f>
        <v/>
      </c>
      <c r="V2094">
        <f t="shared" si="130"/>
        <v>0</v>
      </c>
      <c r="W2094">
        <f t="shared" si="131"/>
        <v>0</v>
      </c>
    </row>
    <row r="2095" spans="5:23" x14ac:dyDescent="0.25">
      <c r="E2095" s="4"/>
      <c r="F2095" s="4"/>
      <c r="G2095" s="33" t="str">
        <f>IFERROR(VLOOKUP($D2095,'Informations sur les produits'!$A$3:$H$10000,8,FALSE),"0")</f>
        <v>0</v>
      </c>
      <c r="K2095" s="4"/>
      <c r="L2095" s="33" t="str">
        <f>IFERROR(VLOOKUP($J2095,'Informations sur les produits'!$A$3:$H$10000,8,FALSE),"0")</f>
        <v>0</v>
      </c>
      <c r="N2095" s="8"/>
      <c r="O2095" s="33" t="str">
        <f>IFERROR(VLOOKUP($M2095,'Informations sur les produits'!$A$3:$H$10000,8,FALSE),"0")</f>
        <v>0</v>
      </c>
      <c r="P2095" s="33">
        <f t="shared" si="128"/>
        <v>0</v>
      </c>
      <c r="Q2095" s="31" t="str">
        <f t="shared" si="129"/>
        <v/>
      </c>
      <c r="R2095" s="32" t="str">
        <f>IFERROR(VLOOKUP($D2095,'Informations sur les produits'!$A$3:$B$15000,2,FALSE),"")</f>
        <v/>
      </c>
      <c r="V2095">
        <f t="shared" si="130"/>
        <v>0</v>
      </c>
      <c r="W2095">
        <f t="shared" si="131"/>
        <v>0</v>
      </c>
    </row>
    <row r="2096" spans="5:23" x14ac:dyDescent="0.25">
      <c r="E2096" s="4"/>
      <c r="F2096" s="4"/>
      <c r="G2096" s="33" t="str">
        <f>IFERROR(VLOOKUP($D2096,'Informations sur les produits'!$A$3:$H$10000,8,FALSE),"0")</f>
        <v>0</v>
      </c>
      <c r="K2096" s="4"/>
      <c r="L2096" s="33" t="str">
        <f>IFERROR(VLOOKUP($J2096,'Informations sur les produits'!$A$3:$H$10000,8,FALSE),"0")</f>
        <v>0</v>
      </c>
      <c r="N2096" s="8"/>
      <c r="O2096" s="33" t="str">
        <f>IFERROR(VLOOKUP($M2096,'Informations sur les produits'!$A$3:$H$10000,8,FALSE),"0")</f>
        <v>0</v>
      </c>
      <c r="P2096" s="33">
        <f t="shared" si="128"/>
        <v>0</v>
      </c>
      <c r="Q2096" s="31" t="str">
        <f t="shared" si="129"/>
        <v/>
      </c>
      <c r="R2096" s="32" t="str">
        <f>IFERROR(VLOOKUP($D2096,'Informations sur les produits'!$A$3:$B$15000,2,FALSE),"")</f>
        <v/>
      </c>
      <c r="V2096">
        <f t="shared" si="130"/>
        <v>0</v>
      </c>
      <c r="W2096">
        <f t="shared" si="131"/>
        <v>0</v>
      </c>
    </row>
    <row r="2097" spans="5:23" x14ac:dyDescent="0.25">
      <c r="E2097" s="4"/>
      <c r="F2097" s="4"/>
      <c r="G2097" s="33" t="str">
        <f>IFERROR(VLOOKUP($D2097,'Informations sur les produits'!$A$3:$H$10000,8,FALSE),"0")</f>
        <v>0</v>
      </c>
      <c r="K2097" s="4"/>
      <c r="L2097" s="33" t="str">
        <f>IFERROR(VLOOKUP($J2097,'Informations sur les produits'!$A$3:$H$10000,8,FALSE),"0")</f>
        <v>0</v>
      </c>
      <c r="N2097" s="8"/>
      <c r="O2097" s="33" t="str">
        <f>IFERROR(VLOOKUP($M2097,'Informations sur les produits'!$A$3:$H$10000,8,FALSE),"0")</f>
        <v>0</v>
      </c>
      <c r="P2097" s="33">
        <f t="shared" si="128"/>
        <v>0</v>
      </c>
      <c r="Q2097" s="31" t="str">
        <f t="shared" si="129"/>
        <v/>
      </c>
      <c r="R2097" s="32" t="str">
        <f>IFERROR(VLOOKUP($D2097,'Informations sur les produits'!$A$3:$B$15000,2,FALSE),"")</f>
        <v/>
      </c>
      <c r="V2097">
        <f t="shared" si="130"/>
        <v>0</v>
      </c>
      <c r="W2097">
        <f t="shared" si="131"/>
        <v>0</v>
      </c>
    </row>
    <row r="2098" spans="5:23" x14ac:dyDescent="0.25">
      <c r="E2098" s="4"/>
      <c r="F2098" s="4"/>
      <c r="G2098" s="33" t="str">
        <f>IFERROR(VLOOKUP($D2098,'Informations sur les produits'!$A$3:$H$10000,8,FALSE),"0")</f>
        <v>0</v>
      </c>
      <c r="K2098" s="4"/>
      <c r="L2098" s="33" t="str">
        <f>IFERROR(VLOOKUP($J2098,'Informations sur les produits'!$A$3:$H$10000,8,FALSE),"0")</f>
        <v>0</v>
      </c>
      <c r="N2098" s="8"/>
      <c r="O2098" s="33" t="str">
        <f>IFERROR(VLOOKUP($M2098,'Informations sur les produits'!$A$3:$H$10000,8,FALSE),"0")</f>
        <v>0</v>
      </c>
      <c r="P2098" s="33">
        <f t="shared" si="128"/>
        <v>0</v>
      </c>
      <c r="Q2098" s="31" t="str">
        <f t="shared" si="129"/>
        <v/>
      </c>
      <c r="R2098" s="32" t="str">
        <f>IFERROR(VLOOKUP($D2098,'Informations sur les produits'!$A$3:$B$15000,2,FALSE),"")</f>
        <v/>
      </c>
      <c r="V2098">
        <f t="shared" si="130"/>
        <v>0</v>
      </c>
      <c r="W2098">
        <f t="shared" si="131"/>
        <v>0</v>
      </c>
    </row>
    <row r="2099" spans="5:23" x14ac:dyDescent="0.25">
      <c r="E2099" s="4"/>
      <c r="F2099" s="4"/>
      <c r="G2099" s="33" t="str">
        <f>IFERROR(VLOOKUP($D2099,'Informations sur les produits'!$A$3:$H$10000,8,FALSE),"0")</f>
        <v>0</v>
      </c>
      <c r="K2099" s="4"/>
      <c r="L2099" s="33" t="str">
        <f>IFERROR(VLOOKUP($J2099,'Informations sur les produits'!$A$3:$H$10000,8,FALSE),"0")</f>
        <v>0</v>
      </c>
      <c r="N2099" s="8"/>
      <c r="O2099" s="33" t="str">
        <f>IFERROR(VLOOKUP($M2099,'Informations sur les produits'!$A$3:$H$10000,8,FALSE),"0")</f>
        <v>0</v>
      </c>
      <c r="P2099" s="33">
        <f t="shared" si="128"/>
        <v>0</v>
      </c>
      <c r="Q2099" s="31" t="str">
        <f t="shared" si="129"/>
        <v/>
      </c>
      <c r="R2099" s="32" t="str">
        <f>IFERROR(VLOOKUP($D2099,'Informations sur les produits'!$A$3:$B$15000,2,FALSE),"")</f>
        <v/>
      </c>
      <c r="V2099">
        <f t="shared" si="130"/>
        <v>0</v>
      </c>
      <c r="W2099">
        <f t="shared" si="131"/>
        <v>0</v>
      </c>
    </row>
    <row r="2100" spans="5:23" x14ac:dyDescent="0.25">
      <c r="E2100" s="4"/>
      <c r="F2100" s="4"/>
      <c r="G2100" s="33" t="str">
        <f>IFERROR(VLOOKUP($D2100,'Informations sur les produits'!$A$3:$H$10000,8,FALSE),"0")</f>
        <v>0</v>
      </c>
      <c r="K2100" s="4"/>
      <c r="L2100" s="33" t="str">
        <f>IFERROR(VLOOKUP($J2100,'Informations sur les produits'!$A$3:$H$10000,8,FALSE),"0")</f>
        <v>0</v>
      </c>
      <c r="N2100" s="8"/>
      <c r="O2100" s="33" t="str">
        <f>IFERROR(VLOOKUP($M2100,'Informations sur les produits'!$A$3:$H$10000,8,FALSE),"0")</f>
        <v>0</v>
      </c>
      <c r="P2100" s="33">
        <f t="shared" si="128"/>
        <v>0</v>
      </c>
      <c r="Q2100" s="31" t="str">
        <f t="shared" si="129"/>
        <v/>
      </c>
      <c r="R2100" s="32" t="str">
        <f>IFERROR(VLOOKUP($D2100,'Informations sur les produits'!$A$3:$B$15000,2,FALSE),"")</f>
        <v/>
      </c>
      <c r="V2100">
        <f t="shared" si="130"/>
        <v>0</v>
      </c>
      <c r="W2100">
        <f t="shared" si="131"/>
        <v>0</v>
      </c>
    </row>
    <row r="2101" spans="5:23" x14ac:dyDescent="0.25">
      <c r="E2101" s="4"/>
      <c r="F2101" s="4"/>
      <c r="G2101" s="33" t="str">
        <f>IFERROR(VLOOKUP($D2101,'Informations sur les produits'!$A$3:$H$10000,8,FALSE),"0")</f>
        <v>0</v>
      </c>
      <c r="K2101" s="4"/>
      <c r="L2101" s="33" t="str">
        <f>IFERROR(VLOOKUP($J2101,'Informations sur les produits'!$A$3:$H$10000,8,FALSE),"0")</f>
        <v>0</v>
      </c>
      <c r="N2101" s="8"/>
      <c r="O2101" s="33" t="str">
        <f>IFERROR(VLOOKUP($M2101,'Informations sur les produits'!$A$3:$H$10000,8,FALSE),"0")</f>
        <v>0</v>
      </c>
      <c r="P2101" s="33">
        <f t="shared" si="128"/>
        <v>0</v>
      </c>
      <c r="Q2101" s="31" t="str">
        <f t="shared" si="129"/>
        <v/>
      </c>
      <c r="R2101" s="32" t="str">
        <f>IFERROR(VLOOKUP($D2101,'Informations sur les produits'!$A$3:$B$15000,2,FALSE),"")</f>
        <v/>
      </c>
      <c r="V2101">
        <f t="shared" si="130"/>
        <v>0</v>
      </c>
      <c r="W2101">
        <f t="shared" si="131"/>
        <v>0</v>
      </c>
    </row>
    <row r="2102" spans="5:23" x14ac:dyDescent="0.25">
      <c r="E2102" s="4"/>
      <c r="F2102" s="4"/>
      <c r="G2102" s="33" t="str">
        <f>IFERROR(VLOOKUP($D2102,'Informations sur les produits'!$A$3:$H$10000,8,FALSE),"0")</f>
        <v>0</v>
      </c>
      <c r="K2102" s="4"/>
      <c r="L2102" s="33" t="str">
        <f>IFERROR(VLOOKUP($J2102,'Informations sur les produits'!$A$3:$H$10000,8,FALSE),"0")</f>
        <v>0</v>
      </c>
      <c r="N2102" s="8"/>
      <c r="O2102" s="33" t="str">
        <f>IFERROR(VLOOKUP($M2102,'Informations sur les produits'!$A$3:$H$10000,8,FALSE),"0")</f>
        <v>0</v>
      </c>
      <c r="P2102" s="33">
        <f t="shared" si="128"/>
        <v>0</v>
      </c>
      <c r="Q2102" s="31" t="str">
        <f t="shared" si="129"/>
        <v/>
      </c>
      <c r="R2102" s="32" t="str">
        <f>IFERROR(VLOOKUP($D2102,'Informations sur les produits'!$A$3:$B$15000,2,FALSE),"")</f>
        <v/>
      </c>
      <c r="V2102">
        <f t="shared" si="130"/>
        <v>0</v>
      </c>
      <c r="W2102">
        <f t="shared" si="131"/>
        <v>0</v>
      </c>
    </row>
    <row r="2103" spans="5:23" x14ac:dyDescent="0.25">
      <c r="E2103" s="4"/>
      <c r="F2103" s="4"/>
      <c r="G2103" s="33" t="str">
        <f>IFERROR(VLOOKUP($D2103,'Informations sur les produits'!$A$3:$H$10000,8,FALSE),"0")</f>
        <v>0</v>
      </c>
      <c r="K2103" s="4"/>
      <c r="L2103" s="33" t="str">
        <f>IFERROR(VLOOKUP($J2103,'Informations sur les produits'!$A$3:$H$10000,8,FALSE),"0")</f>
        <v>0</v>
      </c>
      <c r="N2103" s="8"/>
      <c r="O2103" s="33" t="str">
        <f>IFERROR(VLOOKUP($M2103,'Informations sur les produits'!$A$3:$H$10000,8,FALSE),"0")</f>
        <v>0</v>
      </c>
      <c r="P2103" s="33">
        <f t="shared" si="128"/>
        <v>0</v>
      </c>
      <c r="Q2103" s="31" t="str">
        <f t="shared" si="129"/>
        <v/>
      </c>
      <c r="R2103" s="32" t="str">
        <f>IFERROR(VLOOKUP($D2103,'Informations sur les produits'!$A$3:$B$15000,2,FALSE),"")</f>
        <v/>
      </c>
      <c r="V2103">
        <f t="shared" si="130"/>
        <v>0</v>
      </c>
      <c r="W2103">
        <f t="shared" si="131"/>
        <v>0</v>
      </c>
    </row>
    <row r="2104" spans="5:23" x14ac:dyDescent="0.25">
      <c r="E2104" s="4"/>
      <c r="F2104" s="4"/>
      <c r="G2104" s="33" t="str">
        <f>IFERROR(VLOOKUP($D2104,'Informations sur les produits'!$A$3:$H$10000,8,FALSE),"0")</f>
        <v>0</v>
      </c>
      <c r="K2104" s="4"/>
      <c r="L2104" s="33" t="str">
        <f>IFERROR(VLOOKUP($J2104,'Informations sur les produits'!$A$3:$H$10000,8,FALSE),"0")</f>
        <v>0</v>
      </c>
      <c r="N2104" s="8"/>
      <c r="O2104" s="33" t="str">
        <f>IFERROR(VLOOKUP($M2104,'Informations sur les produits'!$A$3:$H$10000,8,FALSE),"0")</f>
        <v>0</v>
      </c>
      <c r="P2104" s="33">
        <f t="shared" si="128"/>
        <v>0</v>
      </c>
      <c r="Q2104" s="31" t="str">
        <f t="shared" si="129"/>
        <v/>
      </c>
      <c r="R2104" s="32" t="str">
        <f>IFERROR(VLOOKUP($D2104,'Informations sur les produits'!$A$3:$B$15000,2,FALSE),"")</f>
        <v/>
      </c>
      <c r="V2104">
        <f t="shared" si="130"/>
        <v>0</v>
      </c>
      <c r="W2104">
        <f t="shared" si="131"/>
        <v>0</v>
      </c>
    </row>
    <row r="2105" spans="5:23" x14ac:dyDescent="0.25">
      <c r="E2105" s="4"/>
      <c r="F2105" s="4"/>
      <c r="G2105" s="33" t="str">
        <f>IFERROR(VLOOKUP($D2105,'Informations sur les produits'!$A$3:$H$10000,8,FALSE),"0")</f>
        <v>0</v>
      </c>
      <c r="K2105" s="4"/>
      <c r="L2105" s="33" t="str">
        <f>IFERROR(VLOOKUP($J2105,'Informations sur les produits'!$A$3:$H$10000,8,FALSE),"0")</f>
        <v>0</v>
      </c>
      <c r="N2105" s="8"/>
      <c r="O2105" s="33" t="str">
        <f>IFERROR(VLOOKUP($M2105,'Informations sur les produits'!$A$3:$H$10000,8,FALSE),"0")</f>
        <v>0</v>
      </c>
      <c r="P2105" s="33">
        <f t="shared" si="128"/>
        <v>0</v>
      </c>
      <c r="Q2105" s="31" t="str">
        <f t="shared" si="129"/>
        <v/>
      </c>
      <c r="R2105" s="32" t="str">
        <f>IFERROR(VLOOKUP($D2105,'Informations sur les produits'!$A$3:$B$15000,2,FALSE),"")</f>
        <v/>
      </c>
      <c r="V2105">
        <f t="shared" si="130"/>
        <v>0</v>
      </c>
      <c r="W2105">
        <f t="shared" si="131"/>
        <v>0</v>
      </c>
    </row>
    <row r="2106" spans="5:23" x14ac:dyDescent="0.25">
      <c r="E2106" s="4"/>
      <c r="F2106" s="4"/>
      <c r="G2106" s="33" t="str">
        <f>IFERROR(VLOOKUP($D2106,'Informations sur les produits'!$A$3:$H$10000,8,FALSE),"0")</f>
        <v>0</v>
      </c>
      <c r="K2106" s="4"/>
      <c r="L2106" s="33" t="str">
        <f>IFERROR(VLOOKUP($J2106,'Informations sur les produits'!$A$3:$H$10000,8,FALSE),"0")</f>
        <v>0</v>
      </c>
      <c r="N2106" s="8"/>
      <c r="O2106" s="33" t="str">
        <f>IFERROR(VLOOKUP($M2106,'Informations sur les produits'!$A$3:$H$10000,8,FALSE),"0")</f>
        <v>0</v>
      </c>
      <c r="P2106" s="33">
        <f t="shared" si="128"/>
        <v>0</v>
      </c>
      <c r="Q2106" s="31" t="str">
        <f t="shared" si="129"/>
        <v/>
      </c>
      <c r="R2106" s="32" t="str">
        <f>IFERROR(VLOOKUP($D2106,'Informations sur les produits'!$A$3:$B$15000,2,FALSE),"")</f>
        <v/>
      </c>
      <c r="V2106">
        <f t="shared" si="130"/>
        <v>0</v>
      </c>
      <c r="W2106">
        <f t="shared" si="131"/>
        <v>0</v>
      </c>
    </row>
    <row r="2107" spans="5:23" x14ac:dyDescent="0.25">
      <c r="E2107" s="4"/>
      <c r="F2107" s="4"/>
      <c r="G2107" s="33" t="str">
        <f>IFERROR(VLOOKUP($D2107,'Informations sur les produits'!$A$3:$H$10000,8,FALSE),"0")</f>
        <v>0</v>
      </c>
      <c r="K2107" s="4"/>
      <c r="L2107" s="33" t="str">
        <f>IFERROR(VLOOKUP($J2107,'Informations sur les produits'!$A$3:$H$10000,8,FALSE),"0")</f>
        <v>0</v>
      </c>
      <c r="N2107" s="8"/>
      <c r="O2107" s="33" t="str">
        <f>IFERROR(VLOOKUP($M2107,'Informations sur les produits'!$A$3:$H$10000,8,FALSE),"0")</f>
        <v>0</v>
      </c>
      <c r="P2107" s="33">
        <f t="shared" si="128"/>
        <v>0</v>
      </c>
      <c r="Q2107" s="31" t="str">
        <f t="shared" si="129"/>
        <v/>
      </c>
      <c r="R2107" s="32" t="str">
        <f>IFERROR(VLOOKUP($D2107,'Informations sur les produits'!$A$3:$B$15000,2,FALSE),"")</f>
        <v/>
      </c>
      <c r="V2107">
        <f t="shared" si="130"/>
        <v>0</v>
      </c>
      <c r="W2107">
        <f t="shared" si="131"/>
        <v>0</v>
      </c>
    </row>
    <row r="2108" spans="5:23" x14ac:dyDescent="0.25">
      <c r="E2108" s="4"/>
      <c r="F2108" s="4"/>
      <c r="G2108" s="33" t="str">
        <f>IFERROR(VLOOKUP($D2108,'Informations sur les produits'!$A$3:$H$10000,8,FALSE),"0")</f>
        <v>0</v>
      </c>
      <c r="K2108" s="4"/>
      <c r="L2108" s="33" t="str">
        <f>IFERROR(VLOOKUP($J2108,'Informations sur les produits'!$A$3:$H$10000,8,FALSE),"0")</f>
        <v>0</v>
      </c>
      <c r="N2108" s="8"/>
      <c r="O2108" s="33" t="str">
        <f>IFERROR(VLOOKUP($M2108,'Informations sur les produits'!$A$3:$H$10000,8,FALSE),"0")</f>
        <v>0</v>
      </c>
      <c r="P2108" s="33">
        <f t="shared" si="128"/>
        <v>0</v>
      </c>
      <c r="Q2108" s="31" t="str">
        <f t="shared" si="129"/>
        <v/>
      </c>
      <c r="R2108" s="32" t="str">
        <f>IFERROR(VLOOKUP($D2108,'Informations sur les produits'!$A$3:$B$15000,2,FALSE),"")</f>
        <v/>
      </c>
      <c r="V2108">
        <f t="shared" si="130"/>
        <v>0</v>
      </c>
      <c r="W2108">
        <f t="shared" si="131"/>
        <v>0</v>
      </c>
    </row>
    <row r="2109" spans="5:23" x14ac:dyDescent="0.25">
      <c r="E2109" s="4"/>
      <c r="F2109" s="4"/>
      <c r="G2109" s="33" t="str">
        <f>IFERROR(VLOOKUP($D2109,'Informations sur les produits'!$A$3:$H$10000,8,FALSE),"0")</f>
        <v>0</v>
      </c>
      <c r="K2109" s="4"/>
      <c r="L2109" s="33" t="str">
        <f>IFERROR(VLOOKUP($J2109,'Informations sur les produits'!$A$3:$H$10000,8,FALSE),"0")</f>
        <v>0</v>
      </c>
      <c r="N2109" s="8"/>
      <c r="O2109" s="33" t="str">
        <f>IFERROR(VLOOKUP($M2109,'Informations sur les produits'!$A$3:$H$10000,8,FALSE),"0")</f>
        <v>0</v>
      </c>
      <c r="P2109" s="33">
        <f t="shared" si="128"/>
        <v>0</v>
      </c>
      <c r="Q2109" s="31" t="str">
        <f t="shared" si="129"/>
        <v/>
      </c>
      <c r="R2109" s="32" t="str">
        <f>IFERROR(VLOOKUP($D2109,'Informations sur les produits'!$A$3:$B$15000,2,FALSE),"")</f>
        <v/>
      </c>
      <c r="V2109">
        <f t="shared" si="130"/>
        <v>0</v>
      </c>
      <c r="W2109">
        <f t="shared" si="131"/>
        <v>0</v>
      </c>
    </row>
    <row r="2110" spans="5:23" x14ac:dyDescent="0.25">
      <c r="E2110" s="4"/>
      <c r="F2110" s="4"/>
      <c r="G2110" s="33" t="str">
        <f>IFERROR(VLOOKUP($D2110,'Informations sur les produits'!$A$3:$H$10000,8,FALSE),"0")</f>
        <v>0</v>
      </c>
      <c r="K2110" s="4"/>
      <c r="L2110" s="33" t="str">
        <f>IFERROR(VLOOKUP($J2110,'Informations sur les produits'!$A$3:$H$10000,8,FALSE),"0")</f>
        <v>0</v>
      </c>
      <c r="N2110" s="8"/>
      <c r="O2110" s="33" t="str">
        <f>IFERROR(VLOOKUP($M2110,'Informations sur les produits'!$A$3:$H$10000,8,FALSE),"0")</f>
        <v>0</v>
      </c>
      <c r="P2110" s="33">
        <f t="shared" si="128"/>
        <v>0</v>
      </c>
      <c r="Q2110" s="31" t="str">
        <f t="shared" si="129"/>
        <v/>
      </c>
      <c r="R2110" s="32" t="str">
        <f>IFERROR(VLOOKUP($D2110,'Informations sur les produits'!$A$3:$B$15000,2,FALSE),"")</f>
        <v/>
      </c>
      <c r="V2110">
        <f t="shared" si="130"/>
        <v>0</v>
      </c>
      <c r="W2110">
        <f t="shared" si="131"/>
        <v>0</v>
      </c>
    </row>
    <row r="2111" spans="5:23" x14ac:dyDescent="0.25">
      <c r="E2111" s="4"/>
      <c r="F2111" s="4"/>
      <c r="G2111" s="33" t="str">
        <f>IFERROR(VLOOKUP($D2111,'Informations sur les produits'!$A$3:$H$10000,8,FALSE),"0")</f>
        <v>0</v>
      </c>
      <c r="K2111" s="4"/>
      <c r="L2111" s="33" t="str">
        <f>IFERROR(VLOOKUP($J2111,'Informations sur les produits'!$A$3:$H$10000,8,FALSE),"0")</f>
        <v>0</v>
      </c>
      <c r="N2111" s="8"/>
      <c r="O2111" s="33" t="str">
        <f>IFERROR(VLOOKUP($M2111,'Informations sur les produits'!$A$3:$H$10000,8,FALSE),"0")</f>
        <v>0</v>
      </c>
      <c r="P2111" s="33">
        <f t="shared" si="128"/>
        <v>0</v>
      </c>
      <c r="Q2111" s="31" t="str">
        <f t="shared" si="129"/>
        <v/>
      </c>
      <c r="R2111" s="32" t="str">
        <f>IFERROR(VLOOKUP($D2111,'Informations sur les produits'!$A$3:$B$15000,2,FALSE),"")</f>
        <v/>
      </c>
      <c r="V2111">
        <f t="shared" si="130"/>
        <v>0</v>
      </c>
      <c r="W2111">
        <f t="shared" si="131"/>
        <v>0</v>
      </c>
    </row>
    <row r="2112" spans="5:23" x14ac:dyDescent="0.25">
      <c r="E2112" s="4"/>
      <c r="F2112" s="4"/>
      <c r="G2112" s="33" t="str">
        <f>IFERROR(VLOOKUP($D2112,'Informations sur les produits'!$A$3:$H$10000,8,FALSE),"0")</f>
        <v>0</v>
      </c>
      <c r="K2112" s="4"/>
      <c r="L2112" s="33" t="str">
        <f>IFERROR(VLOOKUP($J2112,'Informations sur les produits'!$A$3:$H$10000,8,FALSE),"0")</f>
        <v>0</v>
      </c>
      <c r="N2112" s="8"/>
      <c r="O2112" s="33" t="str">
        <f>IFERROR(VLOOKUP($M2112,'Informations sur les produits'!$A$3:$H$10000,8,FALSE),"0")</f>
        <v>0</v>
      </c>
      <c r="P2112" s="33">
        <f t="shared" si="128"/>
        <v>0</v>
      </c>
      <c r="Q2112" s="31" t="str">
        <f t="shared" si="129"/>
        <v/>
      </c>
      <c r="R2112" s="32" t="str">
        <f>IFERROR(VLOOKUP($D2112,'Informations sur les produits'!$A$3:$B$15000,2,FALSE),"")</f>
        <v/>
      </c>
      <c r="V2112">
        <f t="shared" si="130"/>
        <v>0</v>
      </c>
      <c r="W2112">
        <f t="shared" si="131"/>
        <v>0</v>
      </c>
    </row>
    <row r="2113" spans="5:23" x14ac:dyDescent="0.25">
      <c r="E2113" s="4"/>
      <c r="F2113" s="4"/>
      <c r="G2113" s="33" t="str">
        <f>IFERROR(VLOOKUP($D2113,'Informations sur les produits'!$A$3:$H$10000,8,FALSE),"0")</f>
        <v>0</v>
      </c>
      <c r="K2113" s="4"/>
      <c r="L2113" s="33" t="str">
        <f>IFERROR(VLOOKUP($J2113,'Informations sur les produits'!$A$3:$H$10000,8,FALSE),"0")</f>
        <v>0</v>
      </c>
      <c r="N2113" s="8"/>
      <c r="O2113" s="33" t="str">
        <f>IFERROR(VLOOKUP($M2113,'Informations sur les produits'!$A$3:$H$10000,8,FALSE),"0")</f>
        <v>0</v>
      </c>
      <c r="P2113" s="33">
        <f t="shared" si="128"/>
        <v>0</v>
      </c>
      <c r="Q2113" s="31" t="str">
        <f t="shared" si="129"/>
        <v/>
      </c>
      <c r="R2113" s="32" t="str">
        <f>IFERROR(VLOOKUP($D2113,'Informations sur les produits'!$A$3:$B$15000,2,FALSE),"")</f>
        <v/>
      </c>
      <c r="V2113">
        <f t="shared" si="130"/>
        <v>0</v>
      </c>
      <c r="W2113">
        <f t="shared" si="131"/>
        <v>0</v>
      </c>
    </row>
    <row r="2114" spans="5:23" x14ac:dyDescent="0.25">
      <c r="E2114" s="4"/>
      <c r="F2114" s="4"/>
      <c r="G2114" s="33" t="str">
        <f>IFERROR(VLOOKUP($D2114,'Informations sur les produits'!$A$3:$H$10000,8,FALSE),"0")</f>
        <v>0</v>
      </c>
      <c r="K2114" s="4"/>
      <c r="L2114" s="33" t="str">
        <f>IFERROR(VLOOKUP($J2114,'Informations sur les produits'!$A$3:$H$10000,8,FALSE),"0")</f>
        <v>0</v>
      </c>
      <c r="N2114" s="8"/>
      <c r="O2114" s="33" t="str">
        <f>IFERROR(VLOOKUP($M2114,'Informations sur les produits'!$A$3:$H$10000,8,FALSE),"0")</f>
        <v>0</v>
      </c>
      <c r="P2114" s="33">
        <f t="shared" si="128"/>
        <v>0</v>
      </c>
      <c r="Q2114" s="31" t="str">
        <f t="shared" si="129"/>
        <v/>
      </c>
      <c r="R2114" s="32" t="str">
        <f>IFERROR(VLOOKUP($D2114,'Informations sur les produits'!$A$3:$B$15000,2,FALSE),"")</f>
        <v/>
      </c>
      <c r="V2114">
        <f t="shared" si="130"/>
        <v>0</v>
      </c>
      <c r="W2114">
        <f t="shared" si="131"/>
        <v>0</v>
      </c>
    </row>
    <row r="2115" spans="5:23" x14ac:dyDescent="0.25">
      <c r="E2115" s="4"/>
      <c r="F2115" s="4"/>
      <c r="G2115" s="33" t="str">
        <f>IFERROR(VLOOKUP($D2115,'Informations sur les produits'!$A$3:$H$10000,8,FALSE),"0")</f>
        <v>0</v>
      </c>
      <c r="K2115" s="4"/>
      <c r="L2115" s="33" t="str">
        <f>IFERROR(VLOOKUP($J2115,'Informations sur les produits'!$A$3:$H$10000,8,FALSE),"0")</f>
        <v>0</v>
      </c>
      <c r="N2115" s="8"/>
      <c r="O2115" s="33" t="str">
        <f>IFERROR(VLOOKUP($M2115,'Informations sur les produits'!$A$3:$H$10000,8,FALSE),"0")</f>
        <v>0</v>
      </c>
      <c r="P2115" s="33">
        <f t="shared" si="128"/>
        <v>0</v>
      </c>
      <c r="Q2115" s="31" t="str">
        <f t="shared" si="129"/>
        <v/>
      </c>
      <c r="R2115" s="32" t="str">
        <f>IFERROR(VLOOKUP($D2115,'Informations sur les produits'!$A$3:$B$15000,2,FALSE),"")</f>
        <v/>
      </c>
      <c r="V2115">
        <f t="shared" si="130"/>
        <v>0</v>
      </c>
      <c r="W2115">
        <f t="shared" si="131"/>
        <v>0</v>
      </c>
    </row>
    <row r="2116" spans="5:23" x14ac:dyDescent="0.25">
      <c r="E2116" s="4"/>
      <c r="F2116" s="4"/>
      <c r="G2116" s="33" t="str">
        <f>IFERROR(VLOOKUP($D2116,'Informations sur les produits'!$A$3:$H$10000,8,FALSE),"0")</f>
        <v>0</v>
      </c>
      <c r="K2116" s="4"/>
      <c r="L2116" s="33" t="str">
        <f>IFERROR(VLOOKUP($J2116,'Informations sur les produits'!$A$3:$H$10000,8,FALSE),"0")</f>
        <v>0</v>
      </c>
      <c r="N2116" s="8"/>
      <c r="O2116" s="33" t="str">
        <f>IFERROR(VLOOKUP($M2116,'Informations sur les produits'!$A$3:$H$10000,8,FALSE),"0")</f>
        <v>0</v>
      </c>
      <c r="P2116" s="33">
        <f t="shared" ref="P2116:P2179" si="132">IFERROR((($E2116-$F2116)*$G2116+$K2116*$L2116+$N2116*$O2116),"")</f>
        <v>0</v>
      </c>
      <c r="Q2116" s="31" t="str">
        <f t="shared" ref="Q2116:Q2179" si="133">IFERROR((((($E2116-$F2116)*$G2116+$K2116*$L2116+$N2116*$O2116)*1000)/(($E2116-$F2116)+$K2116+$N2116)),"")</f>
        <v/>
      </c>
      <c r="R2116" s="32" t="str">
        <f>IFERROR(VLOOKUP($D2116,'Informations sur les produits'!$A$3:$B$15000,2,FALSE),"")</f>
        <v/>
      </c>
      <c r="V2116">
        <f t="shared" ref="V2116:V2179" si="134">IFERROR(P2116*1000,"")</f>
        <v>0</v>
      </c>
      <c r="W2116">
        <f t="shared" ref="W2116:W2179" si="135">IFERROR(($E2116-$F2116)+$K2116+$N2116,"")</f>
        <v>0</v>
      </c>
    </row>
    <row r="2117" spans="5:23" x14ac:dyDescent="0.25">
      <c r="E2117" s="4"/>
      <c r="F2117" s="4"/>
      <c r="G2117" s="33" t="str">
        <f>IFERROR(VLOOKUP($D2117,'Informations sur les produits'!$A$3:$H$10000,8,FALSE),"0")</f>
        <v>0</v>
      </c>
      <c r="K2117" s="4"/>
      <c r="L2117" s="33" t="str">
        <f>IFERROR(VLOOKUP($J2117,'Informations sur les produits'!$A$3:$H$10000,8,FALSE),"0")</f>
        <v>0</v>
      </c>
      <c r="N2117" s="8"/>
      <c r="O2117" s="33" t="str">
        <f>IFERROR(VLOOKUP($M2117,'Informations sur les produits'!$A$3:$H$10000,8,FALSE),"0")</f>
        <v>0</v>
      </c>
      <c r="P2117" s="33">
        <f t="shared" si="132"/>
        <v>0</v>
      </c>
      <c r="Q2117" s="31" t="str">
        <f t="shared" si="133"/>
        <v/>
      </c>
      <c r="R2117" s="32" t="str">
        <f>IFERROR(VLOOKUP($D2117,'Informations sur les produits'!$A$3:$B$15000,2,FALSE),"")</f>
        <v/>
      </c>
      <c r="V2117">
        <f t="shared" si="134"/>
        <v>0</v>
      </c>
      <c r="W2117">
        <f t="shared" si="135"/>
        <v>0</v>
      </c>
    </row>
    <row r="2118" spans="5:23" x14ac:dyDescent="0.25">
      <c r="E2118" s="4"/>
      <c r="F2118" s="4"/>
      <c r="G2118" s="33" t="str">
        <f>IFERROR(VLOOKUP($D2118,'Informations sur les produits'!$A$3:$H$10000,8,FALSE),"0")</f>
        <v>0</v>
      </c>
      <c r="K2118" s="4"/>
      <c r="L2118" s="33" t="str">
        <f>IFERROR(VLOOKUP($J2118,'Informations sur les produits'!$A$3:$H$10000,8,FALSE),"0")</f>
        <v>0</v>
      </c>
      <c r="N2118" s="8"/>
      <c r="O2118" s="33" t="str">
        <f>IFERROR(VLOOKUP($M2118,'Informations sur les produits'!$A$3:$H$10000,8,FALSE),"0")</f>
        <v>0</v>
      </c>
      <c r="P2118" s="33">
        <f t="shared" si="132"/>
        <v>0</v>
      </c>
      <c r="Q2118" s="31" t="str">
        <f t="shared" si="133"/>
        <v/>
      </c>
      <c r="R2118" s="32" t="str">
        <f>IFERROR(VLOOKUP($D2118,'Informations sur les produits'!$A$3:$B$15000,2,FALSE),"")</f>
        <v/>
      </c>
      <c r="V2118">
        <f t="shared" si="134"/>
        <v>0</v>
      </c>
      <c r="W2118">
        <f t="shared" si="135"/>
        <v>0</v>
      </c>
    </row>
    <row r="2119" spans="5:23" x14ac:dyDescent="0.25">
      <c r="E2119" s="4"/>
      <c r="F2119" s="4"/>
      <c r="G2119" s="33" t="str">
        <f>IFERROR(VLOOKUP($D2119,'Informations sur les produits'!$A$3:$H$10000,8,FALSE),"0")</f>
        <v>0</v>
      </c>
      <c r="K2119" s="4"/>
      <c r="L2119" s="33" t="str">
        <f>IFERROR(VLOOKUP($J2119,'Informations sur les produits'!$A$3:$H$10000,8,FALSE),"0")</f>
        <v>0</v>
      </c>
      <c r="N2119" s="8"/>
      <c r="O2119" s="33" t="str">
        <f>IFERROR(VLOOKUP($M2119,'Informations sur les produits'!$A$3:$H$10000,8,FALSE),"0")</f>
        <v>0</v>
      </c>
      <c r="P2119" s="33">
        <f t="shared" si="132"/>
        <v>0</v>
      </c>
      <c r="Q2119" s="31" t="str">
        <f t="shared" si="133"/>
        <v/>
      </c>
      <c r="R2119" s="32" t="str">
        <f>IFERROR(VLOOKUP($D2119,'Informations sur les produits'!$A$3:$B$15000,2,FALSE),"")</f>
        <v/>
      </c>
      <c r="V2119">
        <f t="shared" si="134"/>
        <v>0</v>
      </c>
      <c r="W2119">
        <f t="shared" si="135"/>
        <v>0</v>
      </c>
    </row>
    <row r="2120" spans="5:23" x14ac:dyDescent="0.25">
      <c r="E2120" s="4"/>
      <c r="F2120" s="4"/>
      <c r="G2120" s="33" t="str">
        <f>IFERROR(VLOOKUP($D2120,'Informations sur les produits'!$A$3:$H$10000,8,FALSE),"0")</f>
        <v>0</v>
      </c>
      <c r="K2120" s="4"/>
      <c r="L2120" s="33" t="str">
        <f>IFERROR(VLOOKUP($J2120,'Informations sur les produits'!$A$3:$H$10000,8,FALSE),"0")</f>
        <v>0</v>
      </c>
      <c r="N2120" s="8"/>
      <c r="O2120" s="33" t="str">
        <f>IFERROR(VLOOKUP($M2120,'Informations sur les produits'!$A$3:$H$10000,8,FALSE),"0")</f>
        <v>0</v>
      </c>
      <c r="P2120" s="33">
        <f t="shared" si="132"/>
        <v>0</v>
      </c>
      <c r="Q2120" s="31" t="str">
        <f t="shared" si="133"/>
        <v/>
      </c>
      <c r="R2120" s="32" t="str">
        <f>IFERROR(VLOOKUP($D2120,'Informations sur les produits'!$A$3:$B$15000,2,FALSE),"")</f>
        <v/>
      </c>
      <c r="V2120">
        <f t="shared" si="134"/>
        <v>0</v>
      </c>
      <c r="W2120">
        <f t="shared" si="135"/>
        <v>0</v>
      </c>
    </row>
    <row r="2121" spans="5:23" x14ac:dyDescent="0.25">
      <c r="E2121" s="4"/>
      <c r="F2121" s="4"/>
      <c r="G2121" s="33" t="str">
        <f>IFERROR(VLOOKUP($D2121,'Informations sur les produits'!$A$3:$H$10000,8,FALSE),"0")</f>
        <v>0</v>
      </c>
      <c r="K2121" s="4"/>
      <c r="L2121" s="33" t="str">
        <f>IFERROR(VLOOKUP($J2121,'Informations sur les produits'!$A$3:$H$10000,8,FALSE),"0")</f>
        <v>0</v>
      </c>
      <c r="N2121" s="8"/>
      <c r="O2121" s="33" t="str">
        <f>IFERROR(VLOOKUP($M2121,'Informations sur les produits'!$A$3:$H$10000,8,FALSE),"0")</f>
        <v>0</v>
      </c>
      <c r="P2121" s="33">
        <f t="shared" si="132"/>
        <v>0</v>
      </c>
      <c r="Q2121" s="31" t="str">
        <f t="shared" si="133"/>
        <v/>
      </c>
      <c r="R2121" s="32" t="str">
        <f>IFERROR(VLOOKUP($D2121,'Informations sur les produits'!$A$3:$B$15000,2,FALSE),"")</f>
        <v/>
      </c>
      <c r="V2121">
        <f t="shared" si="134"/>
        <v>0</v>
      </c>
      <c r="W2121">
        <f t="shared" si="135"/>
        <v>0</v>
      </c>
    </row>
    <row r="2122" spans="5:23" x14ac:dyDescent="0.25">
      <c r="E2122" s="4"/>
      <c r="F2122" s="4"/>
      <c r="G2122" s="33" t="str">
        <f>IFERROR(VLOOKUP($D2122,'Informations sur les produits'!$A$3:$H$10000,8,FALSE),"0")</f>
        <v>0</v>
      </c>
      <c r="K2122" s="4"/>
      <c r="L2122" s="33" t="str">
        <f>IFERROR(VLOOKUP($J2122,'Informations sur les produits'!$A$3:$H$10000,8,FALSE),"0")</f>
        <v>0</v>
      </c>
      <c r="N2122" s="8"/>
      <c r="O2122" s="33" t="str">
        <f>IFERROR(VLOOKUP($M2122,'Informations sur les produits'!$A$3:$H$10000,8,FALSE),"0")</f>
        <v>0</v>
      </c>
      <c r="P2122" s="33">
        <f t="shared" si="132"/>
        <v>0</v>
      </c>
      <c r="Q2122" s="31" t="str">
        <f t="shared" si="133"/>
        <v/>
      </c>
      <c r="R2122" s="32" t="str">
        <f>IFERROR(VLOOKUP($D2122,'Informations sur les produits'!$A$3:$B$15000,2,FALSE),"")</f>
        <v/>
      </c>
      <c r="V2122">
        <f t="shared" si="134"/>
        <v>0</v>
      </c>
      <c r="W2122">
        <f t="shared" si="135"/>
        <v>0</v>
      </c>
    </row>
    <row r="2123" spans="5:23" x14ac:dyDescent="0.25">
      <c r="E2123" s="4"/>
      <c r="F2123" s="4"/>
      <c r="G2123" s="33" t="str">
        <f>IFERROR(VLOOKUP($D2123,'Informations sur les produits'!$A$3:$H$10000,8,FALSE),"0")</f>
        <v>0</v>
      </c>
      <c r="K2123" s="4"/>
      <c r="L2123" s="33" t="str">
        <f>IFERROR(VLOOKUP($J2123,'Informations sur les produits'!$A$3:$H$10000,8,FALSE),"0")</f>
        <v>0</v>
      </c>
      <c r="N2123" s="8"/>
      <c r="O2123" s="33" t="str">
        <f>IFERROR(VLOOKUP($M2123,'Informations sur les produits'!$A$3:$H$10000,8,FALSE),"0")</f>
        <v>0</v>
      </c>
      <c r="P2123" s="33">
        <f t="shared" si="132"/>
        <v>0</v>
      </c>
      <c r="Q2123" s="31" t="str">
        <f t="shared" si="133"/>
        <v/>
      </c>
      <c r="R2123" s="32" t="str">
        <f>IFERROR(VLOOKUP($D2123,'Informations sur les produits'!$A$3:$B$15000,2,FALSE),"")</f>
        <v/>
      </c>
      <c r="V2123">
        <f t="shared" si="134"/>
        <v>0</v>
      </c>
      <c r="W2123">
        <f t="shared" si="135"/>
        <v>0</v>
      </c>
    </row>
    <row r="2124" spans="5:23" x14ac:dyDescent="0.25">
      <c r="E2124" s="4"/>
      <c r="F2124" s="4"/>
      <c r="G2124" s="33" t="str">
        <f>IFERROR(VLOOKUP($D2124,'Informations sur les produits'!$A$3:$H$10000,8,FALSE),"0")</f>
        <v>0</v>
      </c>
      <c r="K2124" s="4"/>
      <c r="L2124" s="33" t="str">
        <f>IFERROR(VLOOKUP($J2124,'Informations sur les produits'!$A$3:$H$10000,8,FALSE),"0")</f>
        <v>0</v>
      </c>
      <c r="N2124" s="8"/>
      <c r="O2124" s="33" t="str">
        <f>IFERROR(VLOOKUP($M2124,'Informations sur les produits'!$A$3:$H$10000,8,FALSE),"0")</f>
        <v>0</v>
      </c>
      <c r="P2124" s="33">
        <f t="shared" si="132"/>
        <v>0</v>
      </c>
      <c r="Q2124" s="31" t="str">
        <f t="shared" si="133"/>
        <v/>
      </c>
      <c r="R2124" s="32" t="str">
        <f>IFERROR(VLOOKUP($D2124,'Informations sur les produits'!$A$3:$B$15000,2,FALSE),"")</f>
        <v/>
      </c>
      <c r="V2124">
        <f t="shared" si="134"/>
        <v>0</v>
      </c>
      <c r="W2124">
        <f t="shared" si="135"/>
        <v>0</v>
      </c>
    </row>
    <row r="2125" spans="5:23" x14ac:dyDescent="0.25">
      <c r="E2125" s="4"/>
      <c r="F2125" s="4"/>
      <c r="G2125" s="33" t="str">
        <f>IFERROR(VLOOKUP($D2125,'Informations sur les produits'!$A$3:$H$10000,8,FALSE),"0")</f>
        <v>0</v>
      </c>
      <c r="K2125" s="4"/>
      <c r="L2125" s="33" t="str">
        <f>IFERROR(VLOOKUP($J2125,'Informations sur les produits'!$A$3:$H$10000,8,FALSE),"0")</f>
        <v>0</v>
      </c>
      <c r="N2125" s="8"/>
      <c r="O2125" s="33" t="str">
        <f>IFERROR(VLOOKUP($M2125,'Informations sur les produits'!$A$3:$H$10000,8,FALSE),"0")</f>
        <v>0</v>
      </c>
      <c r="P2125" s="33">
        <f t="shared" si="132"/>
        <v>0</v>
      </c>
      <c r="Q2125" s="31" t="str">
        <f t="shared" si="133"/>
        <v/>
      </c>
      <c r="R2125" s="32" t="str">
        <f>IFERROR(VLOOKUP($D2125,'Informations sur les produits'!$A$3:$B$15000,2,FALSE),"")</f>
        <v/>
      </c>
      <c r="V2125">
        <f t="shared" si="134"/>
        <v>0</v>
      </c>
      <c r="W2125">
        <f t="shared" si="135"/>
        <v>0</v>
      </c>
    </row>
    <row r="2126" spans="5:23" x14ac:dyDescent="0.25">
      <c r="E2126" s="4"/>
      <c r="F2126" s="4"/>
      <c r="G2126" s="33" t="str">
        <f>IFERROR(VLOOKUP($D2126,'Informations sur les produits'!$A$3:$H$10000,8,FALSE),"0")</f>
        <v>0</v>
      </c>
      <c r="K2126" s="4"/>
      <c r="L2126" s="33" t="str">
        <f>IFERROR(VLOOKUP($J2126,'Informations sur les produits'!$A$3:$H$10000,8,FALSE),"0")</f>
        <v>0</v>
      </c>
      <c r="N2126" s="8"/>
      <c r="O2126" s="33" t="str">
        <f>IFERROR(VLOOKUP($M2126,'Informations sur les produits'!$A$3:$H$10000,8,FALSE),"0")</f>
        <v>0</v>
      </c>
      <c r="P2126" s="33">
        <f t="shared" si="132"/>
        <v>0</v>
      </c>
      <c r="Q2126" s="31" t="str">
        <f t="shared" si="133"/>
        <v/>
      </c>
      <c r="R2126" s="32" t="str">
        <f>IFERROR(VLOOKUP($D2126,'Informations sur les produits'!$A$3:$B$15000,2,FALSE),"")</f>
        <v/>
      </c>
      <c r="V2126">
        <f t="shared" si="134"/>
        <v>0</v>
      </c>
      <c r="W2126">
        <f t="shared" si="135"/>
        <v>0</v>
      </c>
    </row>
    <row r="2127" spans="5:23" x14ac:dyDescent="0.25">
      <c r="E2127" s="4"/>
      <c r="F2127" s="4"/>
      <c r="G2127" s="33" t="str">
        <f>IFERROR(VLOOKUP($D2127,'Informations sur les produits'!$A$3:$H$10000,8,FALSE),"0")</f>
        <v>0</v>
      </c>
      <c r="K2127" s="4"/>
      <c r="L2127" s="33" t="str">
        <f>IFERROR(VLOOKUP($J2127,'Informations sur les produits'!$A$3:$H$10000,8,FALSE),"0")</f>
        <v>0</v>
      </c>
      <c r="N2127" s="8"/>
      <c r="O2127" s="33" t="str">
        <f>IFERROR(VLOOKUP($M2127,'Informations sur les produits'!$A$3:$H$10000,8,FALSE),"0")</f>
        <v>0</v>
      </c>
      <c r="P2127" s="33">
        <f t="shared" si="132"/>
        <v>0</v>
      </c>
      <c r="Q2127" s="31" t="str">
        <f t="shared" si="133"/>
        <v/>
      </c>
      <c r="R2127" s="32" t="str">
        <f>IFERROR(VLOOKUP($D2127,'Informations sur les produits'!$A$3:$B$15000,2,FALSE),"")</f>
        <v/>
      </c>
      <c r="V2127">
        <f t="shared" si="134"/>
        <v>0</v>
      </c>
      <c r="W2127">
        <f t="shared" si="135"/>
        <v>0</v>
      </c>
    </row>
    <row r="2128" spans="5:23" x14ac:dyDescent="0.25">
      <c r="E2128" s="4"/>
      <c r="F2128" s="4"/>
      <c r="G2128" s="33" t="str">
        <f>IFERROR(VLOOKUP($D2128,'Informations sur les produits'!$A$3:$H$10000,8,FALSE),"0")</f>
        <v>0</v>
      </c>
      <c r="K2128" s="4"/>
      <c r="L2128" s="33" t="str">
        <f>IFERROR(VLOOKUP($J2128,'Informations sur les produits'!$A$3:$H$10000,8,FALSE),"0")</f>
        <v>0</v>
      </c>
      <c r="N2128" s="8"/>
      <c r="O2128" s="33" t="str">
        <f>IFERROR(VLOOKUP($M2128,'Informations sur les produits'!$A$3:$H$10000,8,FALSE),"0")</f>
        <v>0</v>
      </c>
      <c r="P2128" s="33">
        <f t="shared" si="132"/>
        <v>0</v>
      </c>
      <c r="Q2128" s="31" t="str">
        <f t="shared" si="133"/>
        <v/>
      </c>
      <c r="R2128" s="32" t="str">
        <f>IFERROR(VLOOKUP($D2128,'Informations sur les produits'!$A$3:$B$15000,2,FALSE),"")</f>
        <v/>
      </c>
      <c r="V2128">
        <f t="shared" si="134"/>
        <v>0</v>
      </c>
      <c r="W2128">
        <f t="shared" si="135"/>
        <v>0</v>
      </c>
    </row>
    <row r="2129" spans="5:23" x14ac:dyDescent="0.25">
      <c r="E2129" s="4"/>
      <c r="F2129" s="4"/>
      <c r="G2129" s="33" t="str">
        <f>IFERROR(VLOOKUP($D2129,'Informations sur les produits'!$A$3:$H$10000,8,FALSE),"0")</f>
        <v>0</v>
      </c>
      <c r="K2129" s="4"/>
      <c r="L2129" s="33" t="str">
        <f>IFERROR(VLOOKUP($J2129,'Informations sur les produits'!$A$3:$H$10000,8,FALSE),"0")</f>
        <v>0</v>
      </c>
      <c r="N2129" s="8"/>
      <c r="O2129" s="33" t="str">
        <f>IFERROR(VLOOKUP($M2129,'Informations sur les produits'!$A$3:$H$10000,8,FALSE),"0")</f>
        <v>0</v>
      </c>
      <c r="P2129" s="33">
        <f t="shared" si="132"/>
        <v>0</v>
      </c>
      <c r="Q2129" s="31" t="str">
        <f t="shared" si="133"/>
        <v/>
      </c>
      <c r="R2129" s="32" t="str">
        <f>IFERROR(VLOOKUP($D2129,'Informations sur les produits'!$A$3:$B$15000,2,FALSE),"")</f>
        <v/>
      </c>
      <c r="V2129">
        <f t="shared" si="134"/>
        <v>0</v>
      </c>
      <c r="W2129">
        <f t="shared" si="135"/>
        <v>0</v>
      </c>
    </row>
    <row r="2130" spans="5:23" x14ac:dyDescent="0.25">
      <c r="E2130" s="4"/>
      <c r="F2130" s="4"/>
      <c r="G2130" s="33" t="str">
        <f>IFERROR(VLOOKUP($D2130,'Informations sur les produits'!$A$3:$H$10000,8,FALSE),"0")</f>
        <v>0</v>
      </c>
      <c r="K2130" s="4"/>
      <c r="L2130" s="33" t="str">
        <f>IFERROR(VLOOKUP($J2130,'Informations sur les produits'!$A$3:$H$10000,8,FALSE),"0")</f>
        <v>0</v>
      </c>
      <c r="N2130" s="8"/>
      <c r="O2130" s="33" t="str">
        <f>IFERROR(VLOOKUP($M2130,'Informations sur les produits'!$A$3:$H$10000,8,FALSE),"0")</f>
        <v>0</v>
      </c>
      <c r="P2130" s="33">
        <f t="shared" si="132"/>
        <v>0</v>
      </c>
      <c r="Q2130" s="31" t="str">
        <f t="shared" si="133"/>
        <v/>
      </c>
      <c r="R2130" s="32" t="str">
        <f>IFERROR(VLOOKUP($D2130,'Informations sur les produits'!$A$3:$B$15000,2,FALSE),"")</f>
        <v/>
      </c>
      <c r="V2130">
        <f t="shared" si="134"/>
        <v>0</v>
      </c>
      <c r="W2130">
        <f t="shared" si="135"/>
        <v>0</v>
      </c>
    </row>
    <row r="2131" spans="5:23" x14ac:dyDescent="0.25">
      <c r="E2131" s="4"/>
      <c r="F2131" s="4"/>
      <c r="G2131" s="33" t="str">
        <f>IFERROR(VLOOKUP($D2131,'Informations sur les produits'!$A$3:$H$10000,8,FALSE),"0")</f>
        <v>0</v>
      </c>
      <c r="K2131" s="4"/>
      <c r="L2131" s="33" t="str">
        <f>IFERROR(VLOOKUP($J2131,'Informations sur les produits'!$A$3:$H$10000,8,FALSE),"0")</f>
        <v>0</v>
      </c>
      <c r="N2131" s="8"/>
      <c r="O2131" s="33" t="str">
        <f>IFERROR(VLOOKUP($M2131,'Informations sur les produits'!$A$3:$H$10000,8,FALSE),"0")</f>
        <v>0</v>
      </c>
      <c r="P2131" s="33">
        <f t="shared" si="132"/>
        <v>0</v>
      </c>
      <c r="Q2131" s="31" t="str">
        <f t="shared" si="133"/>
        <v/>
      </c>
      <c r="R2131" s="32" t="str">
        <f>IFERROR(VLOOKUP($D2131,'Informations sur les produits'!$A$3:$B$15000,2,FALSE),"")</f>
        <v/>
      </c>
      <c r="V2131">
        <f t="shared" si="134"/>
        <v>0</v>
      </c>
      <c r="W2131">
        <f t="shared" si="135"/>
        <v>0</v>
      </c>
    </row>
    <row r="2132" spans="5:23" x14ac:dyDescent="0.25">
      <c r="E2132" s="4"/>
      <c r="F2132" s="4"/>
      <c r="G2132" s="33" t="str">
        <f>IFERROR(VLOOKUP($D2132,'Informations sur les produits'!$A$3:$H$10000,8,FALSE),"0")</f>
        <v>0</v>
      </c>
      <c r="K2132" s="4"/>
      <c r="L2132" s="33" t="str">
        <f>IFERROR(VLOOKUP($J2132,'Informations sur les produits'!$A$3:$H$10000,8,FALSE),"0")</f>
        <v>0</v>
      </c>
      <c r="N2132" s="8"/>
      <c r="O2132" s="33" t="str">
        <f>IFERROR(VLOOKUP($M2132,'Informations sur les produits'!$A$3:$H$10000,8,FALSE),"0")</f>
        <v>0</v>
      </c>
      <c r="P2132" s="33">
        <f t="shared" si="132"/>
        <v>0</v>
      </c>
      <c r="Q2132" s="31" t="str">
        <f t="shared" si="133"/>
        <v/>
      </c>
      <c r="R2132" s="32" t="str">
        <f>IFERROR(VLOOKUP($D2132,'Informations sur les produits'!$A$3:$B$15000,2,FALSE),"")</f>
        <v/>
      </c>
      <c r="V2132">
        <f t="shared" si="134"/>
        <v>0</v>
      </c>
      <c r="W2132">
        <f t="shared" si="135"/>
        <v>0</v>
      </c>
    </row>
    <row r="2133" spans="5:23" x14ac:dyDescent="0.25">
      <c r="E2133" s="4"/>
      <c r="F2133" s="4"/>
      <c r="G2133" s="33" t="str">
        <f>IFERROR(VLOOKUP($D2133,'Informations sur les produits'!$A$3:$H$10000,8,FALSE),"0")</f>
        <v>0</v>
      </c>
      <c r="K2133" s="4"/>
      <c r="L2133" s="33" t="str">
        <f>IFERROR(VLOOKUP($J2133,'Informations sur les produits'!$A$3:$H$10000,8,FALSE),"0")</f>
        <v>0</v>
      </c>
      <c r="N2133" s="8"/>
      <c r="O2133" s="33" t="str">
        <f>IFERROR(VLOOKUP($M2133,'Informations sur les produits'!$A$3:$H$10000,8,FALSE),"0")</f>
        <v>0</v>
      </c>
      <c r="P2133" s="33">
        <f t="shared" si="132"/>
        <v>0</v>
      </c>
      <c r="Q2133" s="31" t="str">
        <f t="shared" si="133"/>
        <v/>
      </c>
      <c r="R2133" s="32" t="str">
        <f>IFERROR(VLOOKUP($D2133,'Informations sur les produits'!$A$3:$B$15000,2,FALSE),"")</f>
        <v/>
      </c>
      <c r="V2133">
        <f t="shared" si="134"/>
        <v>0</v>
      </c>
      <c r="W2133">
        <f t="shared" si="135"/>
        <v>0</v>
      </c>
    </row>
    <row r="2134" spans="5:23" x14ac:dyDescent="0.25">
      <c r="E2134" s="4"/>
      <c r="F2134" s="4"/>
      <c r="G2134" s="33" t="str">
        <f>IFERROR(VLOOKUP($D2134,'Informations sur les produits'!$A$3:$H$10000,8,FALSE),"0")</f>
        <v>0</v>
      </c>
      <c r="K2134" s="4"/>
      <c r="L2134" s="33" t="str">
        <f>IFERROR(VLOOKUP($J2134,'Informations sur les produits'!$A$3:$H$10000,8,FALSE),"0")</f>
        <v>0</v>
      </c>
      <c r="N2134" s="8"/>
      <c r="O2134" s="33" t="str">
        <f>IFERROR(VLOOKUP($M2134,'Informations sur les produits'!$A$3:$H$10000,8,FALSE),"0")</f>
        <v>0</v>
      </c>
      <c r="P2134" s="33">
        <f t="shared" si="132"/>
        <v>0</v>
      </c>
      <c r="Q2134" s="31" t="str">
        <f t="shared" si="133"/>
        <v/>
      </c>
      <c r="R2134" s="32" t="str">
        <f>IFERROR(VLOOKUP($D2134,'Informations sur les produits'!$A$3:$B$15000,2,FALSE),"")</f>
        <v/>
      </c>
      <c r="V2134">
        <f t="shared" si="134"/>
        <v>0</v>
      </c>
      <c r="W2134">
        <f t="shared" si="135"/>
        <v>0</v>
      </c>
    </row>
    <row r="2135" spans="5:23" x14ac:dyDescent="0.25">
      <c r="E2135" s="4"/>
      <c r="F2135" s="4"/>
      <c r="G2135" s="33" t="str">
        <f>IFERROR(VLOOKUP($D2135,'Informations sur les produits'!$A$3:$H$10000,8,FALSE),"0")</f>
        <v>0</v>
      </c>
      <c r="K2135" s="4"/>
      <c r="L2135" s="33" t="str">
        <f>IFERROR(VLOOKUP($J2135,'Informations sur les produits'!$A$3:$H$10000,8,FALSE),"0")</f>
        <v>0</v>
      </c>
      <c r="N2135" s="8"/>
      <c r="O2135" s="33" t="str">
        <f>IFERROR(VLOOKUP($M2135,'Informations sur les produits'!$A$3:$H$10000,8,FALSE),"0")</f>
        <v>0</v>
      </c>
      <c r="P2135" s="33">
        <f t="shared" si="132"/>
        <v>0</v>
      </c>
      <c r="Q2135" s="31" t="str">
        <f t="shared" si="133"/>
        <v/>
      </c>
      <c r="R2135" s="32" t="str">
        <f>IFERROR(VLOOKUP($D2135,'Informations sur les produits'!$A$3:$B$15000,2,FALSE),"")</f>
        <v/>
      </c>
      <c r="V2135">
        <f t="shared" si="134"/>
        <v>0</v>
      </c>
      <c r="W2135">
        <f t="shared" si="135"/>
        <v>0</v>
      </c>
    </row>
    <row r="2136" spans="5:23" x14ac:dyDescent="0.25">
      <c r="E2136" s="4"/>
      <c r="F2136" s="4"/>
      <c r="G2136" s="33" t="str">
        <f>IFERROR(VLOOKUP($D2136,'Informations sur les produits'!$A$3:$H$10000,8,FALSE),"0")</f>
        <v>0</v>
      </c>
      <c r="K2136" s="4"/>
      <c r="L2136" s="33" t="str">
        <f>IFERROR(VLOOKUP($J2136,'Informations sur les produits'!$A$3:$H$10000,8,FALSE),"0")</f>
        <v>0</v>
      </c>
      <c r="N2136" s="8"/>
      <c r="O2136" s="33" t="str">
        <f>IFERROR(VLOOKUP($M2136,'Informations sur les produits'!$A$3:$H$10000,8,FALSE),"0")</f>
        <v>0</v>
      </c>
      <c r="P2136" s="33">
        <f t="shared" si="132"/>
        <v>0</v>
      </c>
      <c r="Q2136" s="31" t="str">
        <f t="shared" si="133"/>
        <v/>
      </c>
      <c r="R2136" s="32" t="str">
        <f>IFERROR(VLOOKUP($D2136,'Informations sur les produits'!$A$3:$B$15000,2,FALSE),"")</f>
        <v/>
      </c>
      <c r="V2136">
        <f t="shared" si="134"/>
        <v>0</v>
      </c>
      <c r="W2136">
        <f t="shared" si="135"/>
        <v>0</v>
      </c>
    </row>
    <row r="2137" spans="5:23" x14ac:dyDescent="0.25">
      <c r="E2137" s="4"/>
      <c r="F2137" s="4"/>
      <c r="G2137" s="33" t="str">
        <f>IFERROR(VLOOKUP($D2137,'Informations sur les produits'!$A$3:$H$10000,8,FALSE),"0")</f>
        <v>0</v>
      </c>
      <c r="K2137" s="4"/>
      <c r="L2137" s="33" t="str">
        <f>IFERROR(VLOOKUP($J2137,'Informations sur les produits'!$A$3:$H$10000,8,FALSE),"0")</f>
        <v>0</v>
      </c>
      <c r="N2137" s="8"/>
      <c r="O2137" s="33" t="str">
        <f>IFERROR(VLOOKUP($M2137,'Informations sur les produits'!$A$3:$H$10000,8,FALSE),"0")</f>
        <v>0</v>
      </c>
      <c r="P2137" s="33">
        <f t="shared" si="132"/>
        <v>0</v>
      </c>
      <c r="Q2137" s="31" t="str">
        <f t="shared" si="133"/>
        <v/>
      </c>
      <c r="R2137" s="32" t="str">
        <f>IFERROR(VLOOKUP($D2137,'Informations sur les produits'!$A$3:$B$15000,2,FALSE),"")</f>
        <v/>
      </c>
      <c r="V2137">
        <f t="shared" si="134"/>
        <v>0</v>
      </c>
      <c r="W2137">
        <f t="shared" si="135"/>
        <v>0</v>
      </c>
    </row>
    <row r="2138" spans="5:23" x14ac:dyDescent="0.25">
      <c r="E2138" s="4"/>
      <c r="F2138" s="4"/>
      <c r="G2138" s="33" t="str">
        <f>IFERROR(VLOOKUP($D2138,'Informations sur les produits'!$A$3:$H$10000,8,FALSE),"0")</f>
        <v>0</v>
      </c>
      <c r="K2138" s="4"/>
      <c r="L2138" s="33" t="str">
        <f>IFERROR(VLOOKUP($J2138,'Informations sur les produits'!$A$3:$H$10000,8,FALSE),"0")</f>
        <v>0</v>
      </c>
      <c r="N2138" s="8"/>
      <c r="O2138" s="33" t="str">
        <f>IFERROR(VLOOKUP($M2138,'Informations sur les produits'!$A$3:$H$10000,8,FALSE),"0")</f>
        <v>0</v>
      </c>
      <c r="P2138" s="33">
        <f t="shared" si="132"/>
        <v>0</v>
      </c>
      <c r="Q2138" s="31" t="str">
        <f t="shared" si="133"/>
        <v/>
      </c>
      <c r="R2138" s="32" t="str">
        <f>IFERROR(VLOOKUP($D2138,'Informations sur les produits'!$A$3:$B$15000,2,FALSE),"")</f>
        <v/>
      </c>
      <c r="V2138">
        <f t="shared" si="134"/>
        <v>0</v>
      </c>
      <c r="W2138">
        <f t="shared" si="135"/>
        <v>0</v>
      </c>
    </row>
    <row r="2139" spans="5:23" x14ac:dyDescent="0.25">
      <c r="E2139" s="4"/>
      <c r="F2139" s="4"/>
      <c r="G2139" s="33" t="str">
        <f>IFERROR(VLOOKUP($D2139,'Informations sur les produits'!$A$3:$H$10000,8,FALSE),"0")</f>
        <v>0</v>
      </c>
      <c r="K2139" s="4"/>
      <c r="L2139" s="33" t="str">
        <f>IFERROR(VLOOKUP($J2139,'Informations sur les produits'!$A$3:$H$10000,8,FALSE),"0")</f>
        <v>0</v>
      </c>
      <c r="N2139" s="8"/>
      <c r="O2139" s="33" t="str">
        <f>IFERROR(VLOOKUP($M2139,'Informations sur les produits'!$A$3:$H$10000,8,FALSE),"0")</f>
        <v>0</v>
      </c>
      <c r="P2139" s="33">
        <f t="shared" si="132"/>
        <v>0</v>
      </c>
      <c r="Q2139" s="31" t="str">
        <f t="shared" si="133"/>
        <v/>
      </c>
      <c r="R2139" s="32" t="str">
        <f>IFERROR(VLOOKUP($D2139,'Informations sur les produits'!$A$3:$B$15000,2,FALSE),"")</f>
        <v/>
      </c>
      <c r="V2139">
        <f t="shared" si="134"/>
        <v>0</v>
      </c>
      <c r="W2139">
        <f t="shared" si="135"/>
        <v>0</v>
      </c>
    </row>
    <row r="2140" spans="5:23" x14ac:dyDescent="0.25">
      <c r="E2140" s="4"/>
      <c r="F2140" s="4"/>
      <c r="G2140" s="33" t="str">
        <f>IFERROR(VLOOKUP($D2140,'Informations sur les produits'!$A$3:$H$10000,8,FALSE),"0")</f>
        <v>0</v>
      </c>
      <c r="K2140" s="4"/>
      <c r="L2140" s="33" t="str">
        <f>IFERROR(VLOOKUP($J2140,'Informations sur les produits'!$A$3:$H$10000,8,FALSE),"0")</f>
        <v>0</v>
      </c>
      <c r="N2140" s="8"/>
      <c r="O2140" s="33" t="str">
        <f>IFERROR(VLOOKUP($M2140,'Informations sur les produits'!$A$3:$H$10000,8,FALSE),"0")</f>
        <v>0</v>
      </c>
      <c r="P2140" s="33">
        <f t="shared" si="132"/>
        <v>0</v>
      </c>
      <c r="Q2140" s="31" t="str">
        <f t="shared" si="133"/>
        <v/>
      </c>
      <c r="R2140" s="32" t="str">
        <f>IFERROR(VLOOKUP($D2140,'Informations sur les produits'!$A$3:$B$15000,2,FALSE),"")</f>
        <v/>
      </c>
      <c r="V2140">
        <f t="shared" si="134"/>
        <v>0</v>
      </c>
      <c r="W2140">
        <f t="shared" si="135"/>
        <v>0</v>
      </c>
    </row>
    <row r="2141" spans="5:23" x14ac:dyDescent="0.25">
      <c r="E2141" s="4"/>
      <c r="F2141" s="4"/>
      <c r="G2141" s="33" t="str">
        <f>IFERROR(VLOOKUP($D2141,'Informations sur les produits'!$A$3:$H$10000,8,FALSE),"0")</f>
        <v>0</v>
      </c>
      <c r="K2141" s="4"/>
      <c r="L2141" s="33" t="str">
        <f>IFERROR(VLOOKUP($J2141,'Informations sur les produits'!$A$3:$H$10000,8,FALSE),"0")</f>
        <v>0</v>
      </c>
      <c r="N2141" s="8"/>
      <c r="O2141" s="33" t="str">
        <f>IFERROR(VLOOKUP($M2141,'Informations sur les produits'!$A$3:$H$10000,8,FALSE),"0")</f>
        <v>0</v>
      </c>
      <c r="P2141" s="33">
        <f t="shared" si="132"/>
        <v>0</v>
      </c>
      <c r="Q2141" s="31" t="str">
        <f t="shared" si="133"/>
        <v/>
      </c>
      <c r="R2141" s="32" t="str">
        <f>IFERROR(VLOOKUP($D2141,'Informations sur les produits'!$A$3:$B$15000,2,FALSE),"")</f>
        <v/>
      </c>
      <c r="V2141">
        <f t="shared" si="134"/>
        <v>0</v>
      </c>
      <c r="W2141">
        <f t="shared" si="135"/>
        <v>0</v>
      </c>
    </row>
    <row r="2142" spans="5:23" x14ac:dyDescent="0.25">
      <c r="E2142" s="4"/>
      <c r="F2142" s="4"/>
      <c r="G2142" s="33" t="str">
        <f>IFERROR(VLOOKUP($D2142,'Informations sur les produits'!$A$3:$H$10000,8,FALSE),"0")</f>
        <v>0</v>
      </c>
      <c r="K2142" s="4"/>
      <c r="L2142" s="33" t="str">
        <f>IFERROR(VLOOKUP($J2142,'Informations sur les produits'!$A$3:$H$10000,8,FALSE),"0")</f>
        <v>0</v>
      </c>
      <c r="N2142" s="8"/>
      <c r="O2142" s="33" t="str">
        <f>IFERROR(VLOOKUP($M2142,'Informations sur les produits'!$A$3:$H$10000,8,FALSE),"0")</f>
        <v>0</v>
      </c>
      <c r="P2142" s="33">
        <f t="shared" si="132"/>
        <v>0</v>
      </c>
      <c r="Q2142" s="31" t="str">
        <f t="shared" si="133"/>
        <v/>
      </c>
      <c r="R2142" s="32" t="str">
        <f>IFERROR(VLOOKUP($D2142,'Informations sur les produits'!$A$3:$B$15000,2,FALSE),"")</f>
        <v/>
      </c>
      <c r="V2142">
        <f t="shared" si="134"/>
        <v>0</v>
      </c>
      <c r="W2142">
        <f t="shared" si="135"/>
        <v>0</v>
      </c>
    </row>
    <row r="2143" spans="5:23" x14ac:dyDescent="0.25">
      <c r="E2143" s="4"/>
      <c r="F2143" s="4"/>
      <c r="G2143" s="33" t="str">
        <f>IFERROR(VLOOKUP($D2143,'Informations sur les produits'!$A$3:$H$10000,8,FALSE),"0")</f>
        <v>0</v>
      </c>
      <c r="K2143" s="4"/>
      <c r="L2143" s="33" t="str">
        <f>IFERROR(VLOOKUP($J2143,'Informations sur les produits'!$A$3:$H$10000,8,FALSE),"0")</f>
        <v>0</v>
      </c>
      <c r="N2143" s="8"/>
      <c r="O2143" s="33" t="str">
        <f>IFERROR(VLOOKUP($M2143,'Informations sur les produits'!$A$3:$H$10000,8,FALSE),"0")</f>
        <v>0</v>
      </c>
      <c r="P2143" s="33">
        <f t="shared" si="132"/>
        <v>0</v>
      </c>
      <c r="Q2143" s="31" t="str">
        <f t="shared" si="133"/>
        <v/>
      </c>
      <c r="R2143" s="32" t="str">
        <f>IFERROR(VLOOKUP($D2143,'Informations sur les produits'!$A$3:$B$15000,2,FALSE),"")</f>
        <v/>
      </c>
      <c r="V2143">
        <f t="shared" si="134"/>
        <v>0</v>
      </c>
      <c r="W2143">
        <f t="shared" si="135"/>
        <v>0</v>
      </c>
    </row>
    <row r="2144" spans="5:23" x14ac:dyDescent="0.25">
      <c r="E2144" s="4"/>
      <c r="F2144" s="4"/>
      <c r="G2144" s="33" t="str">
        <f>IFERROR(VLOOKUP($D2144,'Informations sur les produits'!$A$3:$H$10000,8,FALSE),"0")</f>
        <v>0</v>
      </c>
      <c r="K2144" s="4"/>
      <c r="L2144" s="33" t="str">
        <f>IFERROR(VLOOKUP($J2144,'Informations sur les produits'!$A$3:$H$10000,8,FALSE),"0")</f>
        <v>0</v>
      </c>
      <c r="N2144" s="8"/>
      <c r="O2144" s="33" t="str">
        <f>IFERROR(VLOOKUP($M2144,'Informations sur les produits'!$A$3:$H$10000,8,FALSE),"0")</f>
        <v>0</v>
      </c>
      <c r="P2144" s="33">
        <f t="shared" si="132"/>
        <v>0</v>
      </c>
      <c r="Q2144" s="31" t="str">
        <f t="shared" si="133"/>
        <v/>
      </c>
      <c r="R2144" s="32" t="str">
        <f>IFERROR(VLOOKUP($D2144,'Informations sur les produits'!$A$3:$B$15000,2,FALSE),"")</f>
        <v/>
      </c>
      <c r="V2144">
        <f t="shared" si="134"/>
        <v>0</v>
      </c>
      <c r="W2144">
        <f t="shared" si="135"/>
        <v>0</v>
      </c>
    </row>
    <row r="2145" spans="5:23" x14ac:dyDescent="0.25">
      <c r="E2145" s="4"/>
      <c r="F2145" s="4"/>
      <c r="G2145" s="33" t="str">
        <f>IFERROR(VLOOKUP($D2145,'Informations sur les produits'!$A$3:$H$10000,8,FALSE),"0")</f>
        <v>0</v>
      </c>
      <c r="K2145" s="4"/>
      <c r="L2145" s="33" t="str">
        <f>IFERROR(VLOOKUP($J2145,'Informations sur les produits'!$A$3:$H$10000,8,FALSE),"0")</f>
        <v>0</v>
      </c>
      <c r="N2145" s="8"/>
      <c r="O2145" s="33" t="str">
        <f>IFERROR(VLOOKUP($M2145,'Informations sur les produits'!$A$3:$H$10000,8,FALSE),"0")</f>
        <v>0</v>
      </c>
      <c r="P2145" s="33">
        <f t="shared" si="132"/>
        <v>0</v>
      </c>
      <c r="Q2145" s="31" t="str">
        <f t="shared" si="133"/>
        <v/>
      </c>
      <c r="R2145" s="32" t="str">
        <f>IFERROR(VLOOKUP($D2145,'Informations sur les produits'!$A$3:$B$15000,2,FALSE),"")</f>
        <v/>
      </c>
      <c r="V2145">
        <f t="shared" si="134"/>
        <v>0</v>
      </c>
      <c r="W2145">
        <f t="shared" si="135"/>
        <v>0</v>
      </c>
    </row>
    <row r="2146" spans="5:23" x14ac:dyDescent="0.25">
      <c r="E2146" s="4"/>
      <c r="F2146" s="4"/>
      <c r="G2146" s="33" t="str">
        <f>IFERROR(VLOOKUP($D2146,'Informations sur les produits'!$A$3:$H$10000,8,FALSE),"0")</f>
        <v>0</v>
      </c>
      <c r="K2146" s="4"/>
      <c r="L2146" s="33" t="str">
        <f>IFERROR(VLOOKUP($J2146,'Informations sur les produits'!$A$3:$H$10000,8,FALSE),"0")</f>
        <v>0</v>
      </c>
      <c r="N2146" s="8"/>
      <c r="O2146" s="33" t="str">
        <f>IFERROR(VLOOKUP($M2146,'Informations sur les produits'!$A$3:$H$10000,8,FALSE),"0")</f>
        <v>0</v>
      </c>
      <c r="P2146" s="33">
        <f t="shared" si="132"/>
        <v>0</v>
      </c>
      <c r="Q2146" s="31" t="str">
        <f t="shared" si="133"/>
        <v/>
      </c>
      <c r="R2146" s="32" t="str">
        <f>IFERROR(VLOOKUP($D2146,'Informations sur les produits'!$A$3:$B$15000,2,FALSE),"")</f>
        <v/>
      </c>
      <c r="V2146">
        <f t="shared" si="134"/>
        <v>0</v>
      </c>
      <c r="W2146">
        <f t="shared" si="135"/>
        <v>0</v>
      </c>
    </row>
    <row r="2147" spans="5:23" x14ac:dyDescent="0.25">
      <c r="E2147" s="4"/>
      <c r="F2147" s="4"/>
      <c r="G2147" s="33" t="str">
        <f>IFERROR(VLOOKUP($D2147,'Informations sur les produits'!$A$3:$H$10000,8,FALSE),"0")</f>
        <v>0</v>
      </c>
      <c r="K2147" s="4"/>
      <c r="L2147" s="33" t="str">
        <f>IFERROR(VLOOKUP($J2147,'Informations sur les produits'!$A$3:$H$10000,8,FALSE),"0")</f>
        <v>0</v>
      </c>
      <c r="N2147" s="8"/>
      <c r="O2147" s="33" t="str">
        <f>IFERROR(VLOOKUP($M2147,'Informations sur les produits'!$A$3:$H$10000,8,FALSE),"0")</f>
        <v>0</v>
      </c>
      <c r="P2147" s="33">
        <f t="shared" si="132"/>
        <v>0</v>
      </c>
      <c r="Q2147" s="31" t="str">
        <f t="shared" si="133"/>
        <v/>
      </c>
      <c r="R2147" s="32" t="str">
        <f>IFERROR(VLOOKUP($D2147,'Informations sur les produits'!$A$3:$B$15000,2,FALSE),"")</f>
        <v/>
      </c>
      <c r="V2147">
        <f t="shared" si="134"/>
        <v>0</v>
      </c>
      <c r="W2147">
        <f t="shared" si="135"/>
        <v>0</v>
      </c>
    </row>
    <row r="2148" spans="5:23" x14ac:dyDescent="0.25">
      <c r="E2148" s="4"/>
      <c r="F2148" s="4"/>
      <c r="G2148" s="33" t="str">
        <f>IFERROR(VLOOKUP($D2148,'Informations sur les produits'!$A$3:$H$10000,8,FALSE),"0")</f>
        <v>0</v>
      </c>
      <c r="K2148" s="4"/>
      <c r="L2148" s="33" t="str">
        <f>IFERROR(VLOOKUP($J2148,'Informations sur les produits'!$A$3:$H$10000,8,FALSE),"0")</f>
        <v>0</v>
      </c>
      <c r="N2148" s="8"/>
      <c r="O2148" s="33" t="str">
        <f>IFERROR(VLOOKUP($M2148,'Informations sur les produits'!$A$3:$H$10000,8,FALSE),"0")</f>
        <v>0</v>
      </c>
      <c r="P2148" s="33">
        <f t="shared" si="132"/>
        <v>0</v>
      </c>
      <c r="Q2148" s="31" t="str">
        <f t="shared" si="133"/>
        <v/>
      </c>
      <c r="R2148" s="32" t="str">
        <f>IFERROR(VLOOKUP($D2148,'Informations sur les produits'!$A$3:$B$15000,2,FALSE),"")</f>
        <v/>
      </c>
      <c r="V2148">
        <f t="shared" si="134"/>
        <v>0</v>
      </c>
      <c r="W2148">
        <f t="shared" si="135"/>
        <v>0</v>
      </c>
    </row>
    <row r="2149" spans="5:23" x14ac:dyDescent="0.25">
      <c r="E2149" s="4"/>
      <c r="F2149" s="4"/>
      <c r="G2149" s="33" t="str">
        <f>IFERROR(VLOOKUP($D2149,'Informations sur les produits'!$A$3:$H$10000,8,FALSE),"0")</f>
        <v>0</v>
      </c>
      <c r="K2149" s="4"/>
      <c r="L2149" s="33" t="str">
        <f>IFERROR(VLOOKUP($J2149,'Informations sur les produits'!$A$3:$H$10000,8,FALSE),"0")</f>
        <v>0</v>
      </c>
      <c r="N2149" s="8"/>
      <c r="O2149" s="33" t="str">
        <f>IFERROR(VLOOKUP($M2149,'Informations sur les produits'!$A$3:$H$10000,8,FALSE),"0")</f>
        <v>0</v>
      </c>
      <c r="P2149" s="33">
        <f t="shared" si="132"/>
        <v>0</v>
      </c>
      <c r="Q2149" s="31" t="str">
        <f t="shared" si="133"/>
        <v/>
      </c>
      <c r="R2149" s="32" t="str">
        <f>IFERROR(VLOOKUP($D2149,'Informations sur les produits'!$A$3:$B$15000,2,FALSE),"")</f>
        <v/>
      </c>
      <c r="V2149">
        <f t="shared" si="134"/>
        <v>0</v>
      </c>
      <c r="W2149">
        <f t="shared" si="135"/>
        <v>0</v>
      </c>
    </row>
    <row r="2150" spans="5:23" x14ac:dyDescent="0.25">
      <c r="E2150" s="4"/>
      <c r="F2150" s="4"/>
      <c r="G2150" s="33" t="str">
        <f>IFERROR(VLOOKUP($D2150,'Informations sur les produits'!$A$3:$H$10000,8,FALSE),"0")</f>
        <v>0</v>
      </c>
      <c r="K2150" s="4"/>
      <c r="L2150" s="33" t="str">
        <f>IFERROR(VLOOKUP($J2150,'Informations sur les produits'!$A$3:$H$10000,8,FALSE),"0")</f>
        <v>0</v>
      </c>
      <c r="N2150" s="8"/>
      <c r="O2150" s="33" t="str">
        <f>IFERROR(VLOOKUP($M2150,'Informations sur les produits'!$A$3:$H$10000,8,FALSE),"0")</f>
        <v>0</v>
      </c>
      <c r="P2150" s="33">
        <f t="shared" si="132"/>
        <v>0</v>
      </c>
      <c r="Q2150" s="31" t="str">
        <f t="shared" si="133"/>
        <v/>
      </c>
      <c r="R2150" s="32" t="str">
        <f>IFERROR(VLOOKUP($D2150,'Informations sur les produits'!$A$3:$B$15000,2,FALSE),"")</f>
        <v/>
      </c>
      <c r="V2150">
        <f t="shared" si="134"/>
        <v>0</v>
      </c>
      <c r="W2150">
        <f t="shared" si="135"/>
        <v>0</v>
      </c>
    </row>
    <row r="2151" spans="5:23" x14ac:dyDescent="0.25">
      <c r="E2151" s="4"/>
      <c r="F2151" s="4"/>
      <c r="G2151" s="33" t="str">
        <f>IFERROR(VLOOKUP($D2151,'Informations sur les produits'!$A$3:$H$10000,8,FALSE),"0")</f>
        <v>0</v>
      </c>
      <c r="K2151" s="4"/>
      <c r="L2151" s="33" t="str">
        <f>IFERROR(VLOOKUP($J2151,'Informations sur les produits'!$A$3:$H$10000,8,FALSE),"0")</f>
        <v>0</v>
      </c>
      <c r="N2151" s="8"/>
      <c r="O2151" s="33" t="str">
        <f>IFERROR(VLOOKUP($M2151,'Informations sur les produits'!$A$3:$H$10000,8,FALSE),"0")</f>
        <v>0</v>
      </c>
      <c r="P2151" s="33">
        <f t="shared" si="132"/>
        <v>0</v>
      </c>
      <c r="Q2151" s="31" t="str">
        <f t="shared" si="133"/>
        <v/>
      </c>
      <c r="R2151" s="32" t="str">
        <f>IFERROR(VLOOKUP($D2151,'Informations sur les produits'!$A$3:$B$15000,2,FALSE),"")</f>
        <v/>
      </c>
      <c r="V2151">
        <f t="shared" si="134"/>
        <v>0</v>
      </c>
      <c r="W2151">
        <f t="shared" si="135"/>
        <v>0</v>
      </c>
    </row>
    <row r="2152" spans="5:23" x14ac:dyDescent="0.25">
      <c r="E2152" s="4"/>
      <c r="F2152" s="4"/>
      <c r="G2152" s="33" t="str">
        <f>IFERROR(VLOOKUP($D2152,'Informations sur les produits'!$A$3:$H$10000,8,FALSE),"0")</f>
        <v>0</v>
      </c>
      <c r="K2152" s="4"/>
      <c r="L2152" s="33" t="str">
        <f>IFERROR(VLOOKUP($J2152,'Informations sur les produits'!$A$3:$H$10000,8,FALSE),"0")</f>
        <v>0</v>
      </c>
      <c r="N2152" s="8"/>
      <c r="O2152" s="33" t="str">
        <f>IFERROR(VLOOKUP($M2152,'Informations sur les produits'!$A$3:$H$10000,8,FALSE),"0")</f>
        <v>0</v>
      </c>
      <c r="P2152" s="33">
        <f t="shared" si="132"/>
        <v>0</v>
      </c>
      <c r="Q2152" s="31" t="str">
        <f t="shared" si="133"/>
        <v/>
      </c>
      <c r="R2152" s="32" t="str">
        <f>IFERROR(VLOOKUP($D2152,'Informations sur les produits'!$A$3:$B$15000,2,FALSE),"")</f>
        <v/>
      </c>
      <c r="V2152">
        <f t="shared" si="134"/>
        <v>0</v>
      </c>
      <c r="W2152">
        <f t="shared" si="135"/>
        <v>0</v>
      </c>
    </row>
    <row r="2153" spans="5:23" x14ac:dyDescent="0.25">
      <c r="E2153" s="4"/>
      <c r="F2153" s="4"/>
      <c r="G2153" s="33" t="str">
        <f>IFERROR(VLOOKUP($D2153,'Informations sur les produits'!$A$3:$H$10000,8,FALSE),"0")</f>
        <v>0</v>
      </c>
      <c r="K2153" s="4"/>
      <c r="L2153" s="33" t="str">
        <f>IFERROR(VLOOKUP($J2153,'Informations sur les produits'!$A$3:$H$10000,8,FALSE),"0")</f>
        <v>0</v>
      </c>
      <c r="N2153" s="8"/>
      <c r="O2153" s="33" t="str">
        <f>IFERROR(VLOOKUP($M2153,'Informations sur les produits'!$A$3:$H$10000,8,FALSE),"0")</f>
        <v>0</v>
      </c>
      <c r="P2153" s="33">
        <f t="shared" si="132"/>
        <v>0</v>
      </c>
      <c r="Q2153" s="31" t="str">
        <f t="shared" si="133"/>
        <v/>
      </c>
      <c r="R2153" s="32" t="str">
        <f>IFERROR(VLOOKUP($D2153,'Informations sur les produits'!$A$3:$B$15000,2,FALSE),"")</f>
        <v/>
      </c>
      <c r="V2153">
        <f t="shared" si="134"/>
        <v>0</v>
      </c>
      <c r="W2153">
        <f t="shared" si="135"/>
        <v>0</v>
      </c>
    </row>
    <row r="2154" spans="5:23" x14ac:dyDescent="0.25">
      <c r="E2154" s="4"/>
      <c r="F2154" s="4"/>
      <c r="G2154" s="33" t="str">
        <f>IFERROR(VLOOKUP($D2154,'Informations sur les produits'!$A$3:$H$10000,8,FALSE),"0")</f>
        <v>0</v>
      </c>
      <c r="K2154" s="4"/>
      <c r="L2154" s="33" t="str">
        <f>IFERROR(VLOOKUP($J2154,'Informations sur les produits'!$A$3:$H$10000,8,FALSE),"0")</f>
        <v>0</v>
      </c>
      <c r="N2154" s="8"/>
      <c r="O2154" s="33" t="str">
        <f>IFERROR(VLOOKUP($M2154,'Informations sur les produits'!$A$3:$H$10000,8,FALSE),"0")</f>
        <v>0</v>
      </c>
      <c r="P2154" s="33">
        <f t="shared" si="132"/>
        <v>0</v>
      </c>
      <c r="Q2154" s="31" t="str">
        <f t="shared" si="133"/>
        <v/>
      </c>
      <c r="R2154" s="32" t="str">
        <f>IFERROR(VLOOKUP($D2154,'Informations sur les produits'!$A$3:$B$15000,2,FALSE),"")</f>
        <v/>
      </c>
      <c r="V2154">
        <f t="shared" si="134"/>
        <v>0</v>
      </c>
      <c r="W2154">
        <f t="shared" si="135"/>
        <v>0</v>
      </c>
    </row>
    <row r="2155" spans="5:23" x14ac:dyDescent="0.25">
      <c r="E2155" s="4"/>
      <c r="F2155" s="4"/>
      <c r="G2155" s="33" t="str">
        <f>IFERROR(VLOOKUP($D2155,'Informations sur les produits'!$A$3:$H$10000,8,FALSE),"0")</f>
        <v>0</v>
      </c>
      <c r="K2155" s="4"/>
      <c r="L2155" s="33" t="str">
        <f>IFERROR(VLOOKUP($J2155,'Informations sur les produits'!$A$3:$H$10000,8,FALSE),"0")</f>
        <v>0</v>
      </c>
      <c r="N2155" s="8"/>
      <c r="O2155" s="33" t="str">
        <f>IFERROR(VLOOKUP($M2155,'Informations sur les produits'!$A$3:$H$10000,8,FALSE),"0")</f>
        <v>0</v>
      </c>
      <c r="P2155" s="33">
        <f t="shared" si="132"/>
        <v>0</v>
      </c>
      <c r="Q2155" s="31" t="str">
        <f t="shared" si="133"/>
        <v/>
      </c>
      <c r="R2155" s="32" t="str">
        <f>IFERROR(VLOOKUP($D2155,'Informations sur les produits'!$A$3:$B$15000,2,FALSE),"")</f>
        <v/>
      </c>
      <c r="V2155">
        <f t="shared" si="134"/>
        <v>0</v>
      </c>
      <c r="W2155">
        <f t="shared" si="135"/>
        <v>0</v>
      </c>
    </row>
    <row r="2156" spans="5:23" x14ac:dyDescent="0.25">
      <c r="E2156" s="4"/>
      <c r="F2156" s="4"/>
      <c r="G2156" s="33" t="str">
        <f>IFERROR(VLOOKUP($D2156,'Informations sur les produits'!$A$3:$H$10000,8,FALSE),"0")</f>
        <v>0</v>
      </c>
      <c r="K2156" s="4"/>
      <c r="L2156" s="33" t="str">
        <f>IFERROR(VLOOKUP($J2156,'Informations sur les produits'!$A$3:$H$10000,8,FALSE),"0")</f>
        <v>0</v>
      </c>
      <c r="N2156" s="8"/>
      <c r="O2156" s="33" t="str">
        <f>IFERROR(VLOOKUP($M2156,'Informations sur les produits'!$A$3:$H$10000,8,FALSE),"0")</f>
        <v>0</v>
      </c>
      <c r="P2156" s="33">
        <f t="shared" si="132"/>
        <v>0</v>
      </c>
      <c r="Q2156" s="31" t="str">
        <f t="shared" si="133"/>
        <v/>
      </c>
      <c r="R2156" s="32" t="str">
        <f>IFERROR(VLOOKUP($D2156,'Informations sur les produits'!$A$3:$B$15000,2,FALSE),"")</f>
        <v/>
      </c>
      <c r="V2156">
        <f t="shared" si="134"/>
        <v>0</v>
      </c>
      <c r="W2156">
        <f t="shared" si="135"/>
        <v>0</v>
      </c>
    </row>
    <row r="2157" spans="5:23" x14ac:dyDescent="0.25">
      <c r="E2157" s="4"/>
      <c r="F2157" s="4"/>
      <c r="G2157" s="33" t="str">
        <f>IFERROR(VLOOKUP($D2157,'Informations sur les produits'!$A$3:$H$10000,8,FALSE),"0")</f>
        <v>0</v>
      </c>
      <c r="K2157" s="4"/>
      <c r="L2157" s="33" t="str">
        <f>IFERROR(VLOOKUP($J2157,'Informations sur les produits'!$A$3:$H$10000,8,FALSE),"0")</f>
        <v>0</v>
      </c>
      <c r="N2157" s="8"/>
      <c r="O2157" s="33" t="str">
        <f>IFERROR(VLOOKUP($M2157,'Informations sur les produits'!$A$3:$H$10000,8,FALSE),"0")</f>
        <v>0</v>
      </c>
      <c r="P2157" s="33">
        <f t="shared" si="132"/>
        <v>0</v>
      </c>
      <c r="Q2157" s="31" t="str">
        <f t="shared" si="133"/>
        <v/>
      </c>
      <c r="R2157" s="32" t="str">
        <f>IFERROR(VLOOKUP($D2157,'Informations sur les produits'!$A$3:$B$15000,2,FALSE),"")</f>
        <v/>
      </c>
      <c r="V2157">
        <f t="shared" si="134"/>
        <v>0</v>
      </c>
      <c r="W2157">
        <f t="shared" si="135"/>
        <v>0</v>
      </c>
    </row>
    <row r="2158" spans="5:23" x14ac:dyDescent="0.25">
      <c r="E2158" s="4"/>
      <c r="F2158" s="4"/>
      <c r="G2158" s="33" t="str">
        <f>IFERROR(VLOOKUP($D2158,'Informations sur les produits'!$A$3:$H$10000,8,FALSE),"0")</f>
        <v>0</v>
      </c>
      <c r="K2158" s="4"/>
      <c r="L2158" s="33" t="str">
        <f>IFERROR(VLOOKUP($J2158,'Informations sur les produits'!$A$3:$H$10000,8,FALSE),"0")</f>
        <v>0</v>
      </c>
      <c r="N2158" s="8"/>
      <c r="O2158" s="33" t="str">
        <f>IFERROR(VLOOKUP($M2158,'Informations sur les produits'!$A$3:$H$10000,8,FALSE),"0")</f>
        <v>0</v>
      </c>
      <c r="P2158" s="33">
        <f t="shared" si="132"/>
        <v>0</v>
      </c>
      <c r="Q2158" s="31" t="str">
        <f t="shared" si="133"/>
        <v/>
      </c>
      <c r="R2158" s="32" t="str">
        <f>IFERROR(VLOOKUP($D2158,'Informations sur les produits'!$A$3:$B$15000,2,FALSE),"")</f>
        <v/>
      </c>
      <c r="V2158">
        <f t="shared" si="134"/>
        <v>0</v>
      </c>
      <c r="W2158">
        <f t="shared" si="135"/>
        <v>0</v>
      </c>
    </row>
    <row r="2159" spans="5:23" x14ac:dyDescent="0.25">
      <c r="E2159" s="4"/>
      <c r="F2159" s="4"/>
      <c r="G2159" s="33" t="str">
        <f>IFERROR(VLOOKUP($D2159,'Informations sur les produits'!$A$3:$H$10000,8,FALSE),"0")</f>
        <v>0</v>
      </c>
      <c r="K2159" s="4"/>
      <c r="L2159" s="33" t="str">
        <f>IFERROR(VLOOKUP($J2159,'Informations sur les produits'!$A$3:$H$10000,8,FALSE),"0")</f>
        <v>0</v>
      </c>
      <c r="N2159" s="8"/>
      <c r="O2159" s="33" t="str">
        <f>IFERROR(VLOOKUP($M2159,'Informations sur les produits'!$A$3:$H$10000,8,FALSE),"0")</f>
        <v>0</v>
      </c>
      <c r="P2159" s="33">
        <f t="shared" si="132"/>
        <v>0</v>
      </c>
      <c r="Q2159" s="31" t="str">
        <f t="shared" si="133"/>
        <v/>
      </c>
      <c r="R2159" s="32" t="str">
        <f>IFERROR(VLOOKUP($D2159,'Informations sur les produits'!$A$3:$B$15000,2,FALSE),"")</f>
        <v/>
      </c>
      <c r="V2159">
        <f t="shared" si="134"/>
        <v>0</v>
      </c>
      <c r="W2159">
        <f t="shared" si="135"/>
        <v>0</v>
      </c>
    </row>
    <row r="2160" spans="5:23" x14ac:dyDescent="0.25">
      <c r="E2160" s="4"/>
      <c r="F2160" s="4"/>
      <c r="G2160" s="33" t="str">
        <f>IFERROR(VLOOKUP($D2160,'Informations sur les produits'!$A$3:$H$10000,8,FALSE),"0")</f>
        <v>0</v>
      </c>
      <c r="K2160" s="4"/>
      <c r="L2160" s="33" t="str">
        <f>IFERROR(VLOOKUP($J2160,'Informations sur les produits'!$A$3:$H$10000,8,FALSE),"0")</f>
        <v>0</v>
      </c>
      <c r="N2160" s="8"/>
      <c r="O2160" s="33" t="str">
        <f>IFERROR(VLOOKUP($M2160,'Informations sur les produits'!$A$3:$H$10000,8,FALSE),"0")</f>
        <v>0</v>
      </c>
      <c r="P2160" s="33">
        <f t="shared" si="132"/>
        <v>0</v>
      </c>
      <c r="Q2160" s="31" t="str">
        <f t="shared" si="133"/>
        <v/>
      </c>
      <c r="R2160" s="32" t="str">
        <f>IFERROR(VLOOKUP($D2160,'Informations sur les produits'!$A$3:$B$15000,2,FALSE),"")</f>
        <v/>
      </c>
      <c r="V2160">
        <f t="shared" si="134"/>
        <v>0</v>
      </c>
      <c r="W2160">
        <f t="shared" si="135"/>
        <v>0</v>
      </c>
    </row>
    <row r="2161" spans="5:23" x14ac:dyDescent="0.25">
      <c r="E2161" s="4"/>
      <c r="F2161" s="4"/>
      <c r="G2161" s="33" t="str">
        <f>IFERROR(VLOOKUP($D2161,'Informations sur les produits'!$A$3:$H$10000,8,FALSE),"0")</f>
        <v>0</v>
      </c>
      <c r="K2161" s="4"/>
      <c r="L2161" s="33" t="str">
        <f>IFERROR(VLOOKUP($J2161,'Informations sur les produits'!$A$3:$H$10000,8,FALSE),"0")</f>
        <v>0</v>
      </c>
      <c r="N2161" s="8"/>
      <c r="O2161" s="33" t="str">
        <f>IFERROR(VLOOKUP($M2161,'Informations sur les produits'!$A$3:$H$10000,8,FALSE),"0")</f>
        <v>0</v>
      </c>
      <c r="P2161" s="33">
        <f t="shared" si="132"/>
        <v>0</v>
      </c>
      <c r="Q2161" s="31" t="str">
        <f t="shared" si="133"/>
        <v/>
      </c>
      <c r="R2161" s="32" t="str">
        <f>IFERROR(VLOOKUP($D2161,'Informations sur les produits'!$A$3:$B$15000,2,FALSE),"")</f>
        <v/>
      </c>
      <c r="V2161">
        <f t="shared" si="134"/>
        <v>0</v>
      </c>
      <c r="W2161">
        <f t="shared" si="135"/>
        <v>0</v>
      </c>
    </row>
    <row r="2162" spans="5:23" x14ac:dyDescent="0.25">
      <c r="E2162" s="4"/>
      <c r="F2162" s="4"/>
      <c r="G2162" s="33" t="str">
        <f>IFERROR(VLOOKUP($D2162,'Informations sur les produits'!$A$3:$H$10000,8,FALSE),"0")</f>
        <v>0</v>
      </c>
      <c r="K2162" s="4"/>
      <c r="L2162" s="33" t="str">
        <f>IFERROR(VLOOKUP($J2162,'Informations sur les produits'!$A$3:$H$10000,8,FALSE),"0")</f>
        <v>0</v>
      </c>
      <c r="N2162" s="8"/>
      <c r="O2162" s="33" t="str">
        <f>IFERROR(VLOOKUP($M2162,'Informations sur les produits'!$A$3:$H$10000,8,FALSE),"0")</f>
        <v>0</v>
      </c>
      <c r="P2162" s="33">
        <f t="shared" si="132"/>
        <v>0</v>
      </c>
      <c r="Q2162" s="31" t="str">
        <f t="shared" si="133"/>
        <v/>
      </c>
      <c r="R2162" s="32" t="str">
        <f>IFERROR(VLOOKUP($D2162,'Informations sur les produits'!$A$3:$B$15000,2,FALSE),"")</f>
        <v/>
      </c>
      <c r="V2162">
        <f t="shared" si="134"/>
        <v>0</v>
      </c>
      <c r="W2162">
        <f t="shared" si="135"/>
        <v>0</v>
      </c>
    </row>
    <row r="2163" spans="5:23" x14ac:dyDescent="0.25">
      <c r="E2163" s="4"/>
      <c r="F2163" s="4"/>
      <c r="G2163" s="33" t="str">
        <f>IFERROR(VLOOKUP($D2163,'Informations sur les produits'!$A$3:$H$10000,8,FALSE),"0")</f>
        <v>0</v>
      </c>
      <c r="K2163" s="4"/>
      <c r="L2163" s="33" t="str">
        <f>IFERROR(VLOOKUP($J2163,'Informations sur les produits'!$A$3:$H$10000,8,FALSE),"0")</f>
        <v>0</v>
      </c>
      <c r="N2163" s="8"/>
      <c r="O2163" s="33" t="str">
        <f>IFERROR(VLOOKUP($M2163,'Informations sur les produits'!$A$3:$H$10000,8,FALSE),"0")</f>
        <v>0</v>
      </c>
      <c r="P2163" s="33">
        <f t="shared" si="132"/>
        <v>0</v>
      </c>
      <c r="Q2163" s="31" t="str">
        <f t="shared" si="133"/>
        <v/>
      </c>
      <c r="R2163" s="32" t="str">
        <f>IFERROR(VLOOKUP($D2163,'Informations sur les produits'!$A$3:$B$15000,2,FALSE),"")</f>
        <v/>
      </c>
      <c r="V2163">
        <f t="shared" si="134"/>
        <v>0</v>
      </c>
      <c r="W2163">
        <f t="shared" si="135"/>
        <v>0</v>
      </c>
    </row>
    <row r="2164" spans="5:23" x14ac:dyDescent="0.25">
      <c r="E2164" s="4"/>
      <c r="F2164" s="4"/>
      <c r="G2164" s="33" t="str">
        <f>IFERROR(VLOOKUP($D2164,'Informations sur les produits'!$A$3:$H$10000,8,FALSE),"0")</f>
        <v>0</v>
      </c>
      <c r="K2164" s="4"/>
      <c r="L2164" s="33" t="str">
        <f>IFERROR(VLOOKUP($J2164,'Informations sur les produits'!$A$3:$H$10000,8,FALSE),"0")</f>
        <v>0</v>
      </c>
      <c r="N2164" s="8"/>
      <c r="O2164" s="33" t="str">
        <f>IFERROR(VLOOKUP($M2164,'Informations sur les produits'!$A$3:$H$10000,8,FALSE),"0")</f>
        <v>0</v>
      </c>
      <c r="P2164" s="33">
        <f t="shared" si="132"/>
        <v>0</v>
      </c>
      <c r="Q2164" s="31" t="str">
        <f t="shared" si="133"/>
        <v/>
      </c>
      <c r="R2164" s="32" t="str">
        <f>IFERROR(VLOOKUP($D2164,'Informations sur les produits'!$A$3:$B$15000,2,FALSE),"")</f>
        <v/>
      </c>
      <c r="V2164">
        <f t="shared" si="134"/>
        <v>0</v>
      </c>
      <c r="W2164">
        <f t="shared" si="135"/>
        <v>0</v>
      </c>
    </row>
    <row r="2165" spans="5:23" x14ac:dyDescent="0.25">
      <c r="E2165" s="4"/>
      <c r="F2165" s="4"/>
      <c r="G2165" s="33" t="str">
        <f>IFERROR(VLOOKUP($D2165,'Informations sur les produits'!$A$3:$H$10000,8,FALSE),"0")</f>
        <v>0</v>
      </c>
      <c r="K2165" s="4"/>
      <c r="L2165" s="33" t="str">
        <f>IFERROR(VLOOKUP($J2165,'Informations sur les produits'!$A$3:$H$10000,8,FALSE),"0")</f>
        <v>0</v>
      </c>
      <c r="N2165" s="8"/>
      <c r="O2165" s="33" t="str">
        <f>IFERROR(VLOOKUP($M2165,'Informations sur les produits'!$A$3:$H$10000,8,FALSE),"0")</f>
        <v>0</v>
      </c>
      <c r="P2165" s="33">
        <f t="shared" si="132"/>
        <v>0</v>
      </c>
      <c r="Q2165" s="31" t="str">
        <f t="shared" si="133"/>
        <v/>
      </c>
      <c r="R2165" s="32" t="str">
        <f>IFERROR(VLOOKUP($D2165,'Informations sur les produits'!$A$3:$B$15000,2,FALSE),"")</f>
        <v/>
      </c>
      <c r="V2165">
        <f t="shared" si="134"/>
        <v>0</v>
      </c>
      <c r="W2165">
        <f t="shared" si="135"/>
        <v>0</v>
      </c>
    </row>
    <row r="2166" spans="5:23" x14ac:dyDescent="0.25">
      <c r="E2166" s="4"/>
      <c r="F2166" s="4"/>
      <c r="G2166" s="33" t="str">
        <f>IFERROR(VLOOKUP($D2166,'Informations sur les produits'!$A$3:$H$10000,8,FALSE),"0")</f>
        <v>0</v>
      </c>
      <c r="K2166" s="4"/>
      <c r="L2166" s="33" t="str">
        <f>IFERROR(VLOOKUP($J2166,'Informations sur les produits'!$A$3:$H$10000,8,FALSE),"0")</f>
        <v>0</v>
      </c>
      <c r="N2166" s="8"/>
      <c r="O2166" s="33" t="str">
        <f>IFERROR(VLOOKUP($M2166,'Informations sur les produits'!$A$3:$H$10000,8,FALSE),"0")</f>
        <v>0</v>
      </c>
      <c r="P2166" s="33">
        <f t="shared" si="132"/>
        <v>0</v>
      </c>
      <c r="Q2166" s="31" t="str">
        <f t="shared" si="133"/>
        <v/>
      </c>
      <c r="R2166" s="32" t="str">
        <f>IFERROR(VLOOKUP($D2166,'Informations sur les produits'!$A$3:$B$15000,2,FALSE),"")</f>
        <v/>
      </c>
      <c r="V2166">
        <f t="shared" si="134"/>
        <v>0</v>
      </c>
      <c r="W2166">
        <f t="shared" si="135"/>
        <v>0</v>
      </c>
    </row>
    <row r="2167" spans="5:23" x14ac:dyDescent="0.25">
      <c r="E2167" s="4"/>
      <c r="F2167" s="4"/>
      <c r="G2167" s="33" t="str">
        <f>IFERROR(VLOOKUP($D2167,'Informations sur les produits'!$A$3:$H$10000,8,FALSE),"0")</f>
        <v>0</v>
      </c>
      <c r="K2167" s="4"/>
      <c r="L2167" s="33" t="str">
        <f>IFERROR(VLOOKUP($J2167,'Informations sur les produits'!$A$3:$H$10000,8,FALSE),"0")</f>
        <v>0</v>
      </c>
      <c r="N2167" s="8"/>
      <c r="O2167" s="33" t="str">
        <f>IFERROR(VLOOKUP($M2167,'Informations sur les produits'!$A$3:$H$10000,8,FALSE),"0")</f>
        <v>0</v>
      </c>
      <c r="P2167" s="33">
        <f t="shared" si="132"/>
        <v>0</v>
      </c>
      <c r="Q2167" s="31" t="str">
        <f t="shared" si="133"/>
        <v/>
      </c>
      <c r="R2167" s="32" t="str">
        <f>IFERROR(VLOOKUP($D2167,'Informations sur les produits'!$A$3:$B$15000,2,FALSE),"")</f>
        <v/>
      </c>
      <c r="V2167">
        <f t="shared" si="134"/>
        <v>0</v>
      </c>
      <c r="W2167">
        <f t="shared" si="135"/>
        <v>0</v>
      </c>
    </row>
    <row r="2168" spans="5:23" x14ac:dyDescent="0.25">
      <c r="E2168" s="4"/>
      <c r="F2168" s="4"/>
      <c r="G2168" s="33" t="str">
        <f>IFERROR(VLOOKUP($D2168,'Informations sur les produits'!$A$3:$H$10000,8,FALSE),"0")</f>
        <v>0</v>
      </c>
      <c r="K2168" s="4"/>
      <c r="L2168" s="33" t="str">
        <f>IFERROR(VLOOKUP($J2168,'Informations sur les produits'!$A$3:$H$10000,8,FALSE),"0")</f>
        <v>0</v>
      </c>
      <c r="N2168" s="8"/>
      <c r="O2168" s="33" t="str">
        <f>IFERROR(VLOOKUP($M2168,'Informations sur les produits'!$A$3:$H$10000,8,FALSE),"0")</f>
        <v>0</v>
      </c>
      <c r="P2168" s="33">
        <f t="shared" si="132"/>
        <v>0</v>
      </c>
      <c r="Q2168" s="31" t="str">
        <f t="shared" si="133"/>
        <v/>
      </c>
      <c r="R2168" s="32" t="str">
        <f>IFERROR(VLOOKUP($D2168,'Informations sur les produits'!$A$3:$B$15000,2,FALSE),"")</f>
        <v/>
      </c>
      <c r="V2168">
        <f t="shared" si="134"/>
        <v>0</v>
      </c>
      <c r="W2168">
        <f t="shared" si="135"/>
        <v>0</v>
      </c>
    </row>
    <row r="2169" spans="5:23" x14ac:dyDescent="0.25">
      <c r="E2169" s="4"/>
      <c r="F2169" s="4"/>
      <c r="G2169" s="33" t="str">
        <f>IFERROR(VLOOKUP($D2169,'Informations sur les produits'!$A$3:$H$10000,8,FALSE),"0")</f>
        <v>0</v>
      </c>
      <c r="K2169" s="4"/>
      <c r="L2169" s="33" t="str">
        <f>IFERROR(VLOOKUP($J2169,'Informations sur les produits'!$A$3:$H$10000,8,FALSE),"0")</f>
        <v>0</v>
      </c>
      <c r="N2169" s="8"/>
      <c r="O2169" s="33" t="str">
        <f>IFERROR(VLOOKUP($M2169,'Informations sur les produits'!$A$3:$H$10000,8,FALSE),"0")</f>
        <v>0</v>
      </c>
      <c r="P2169" s="33">
        <f t="shared" si="132"/>
        <v>0</v>
      </c>
      <c r="Q2169" s="31" t="str">
        <f t="shared" si="133"/>
        <v/>
      </c>
      <c r="R2169" s="32" t="str">
        <f>IFERROR(VLOOKUP($D2169,'Informations sur les produits'!$A$3:$B$15000,2,FALSE),"")</f>
        <v/>
      </c>
      <c r="V2169">
        <f t="shared" si="134"/>
        <v>0</v>
      </c>
      <c r="W2169">
        <f t="shared" si="135"/>
        <v>0</v>
      </c>
    </row>
    <row r="2170" spans="5:23" x14ac:dyDescent="0.25">
      <c r="E2170" s="4"/>
      <c r="F2170" s="4"/>
      <c r="G2170" s="33" t="str">
        <f>IFERROR(VLOOKUP($D2170,'Informations sur les produits'!$A$3:$H$10000,8,FALSE),"0")</f>
        <v>0</v>
      </c>
      <c r="K2170" s="4"/>
      <c r="L2170" s="33" t="str">
        <f>IFERROR(VLOOKUP($J2170,'Informations sur les produits'!$A$3:$H$10000,8,FALSE),"0")</f>
        <v>0</v>
      </c>
      <c r="N2170" s="8"/>
      <c r="O2170" s="33" t="str">
        <f>IFERROR(VLOOKUP($M2170,'Informations sur les produits'!$A$3:$H$10000,8,FALSE),"0")</f>
        <v>0</v>
      </c>
      <c r="P2170" s="33">
        <f t="shared" si="132"/>
        <v>0</v>
      </c>
      <c r="Q2170" s="31" t="str">
        <f t="shared" si="133"/>
        <v/>
      </c>
      <c r="R2170" s="32" t="str">
        <f>IFERROR(VLOOKUP($D2170,'Informations sur les produits'!$A$3:$B$15000,2,FALSE),"")</f>
        <v/>
      </c>
      <c r="V2170">
        <f t="shared" si="134"/>
        <v>0</v>
      </c>
      <c r="W2170">
        <f t="shared" si="135"/>
        <v>0</v>
      </c>
    </row>
    <row r="2171" spans="5:23" x14ac:dyDescent="0.25">
      <c r="E2171" s="4"/>
      <c r="F2171" s="4"/>
      <c r="G2171" s="33" t="str">
        <f>IFERROR(VLOOKUP($D2171,'Informations sur les produits'!$A$3:$H$10000,8,FALSE),"0")</f>
        <v>0</v>
      </c>
      <c r="K2171" s="4"/>
      <c r="L2171" s="33" t="str">
        <f>IFERROR(VLOOKUP($J2171,'Informations sur les produits'!$A$3:$H$10000,8,FALSE),"0")</f>
        <v>0</v>
      </c>
      <c r="N2171" s="8"/>
      <c r="O2171" s="33" t="str">
        <f>IFERROR(VLOOKUP($M2171,'Informations sur les produits'!$A$3:$H$10000,8,FALSE),"0")</f>
        <v>0</v>
      </c>
      <c r="P2171" s="33">
        <f t="shared" si="132"/>
        <v>0</v>
      </c>
      <c r="Q2171" s="31" t="str">
        <f t="shared" si="133"/>
        <v/>
      </c>
      <c r="R2171" s="32" t="str">
        <f>IFERROR(VLOOKUP($D2171,'Informations sur les produits'!$A$3:$B$15000,2,FALSE),"")</f>
        <v/>
      </c>
      <c r="V2171">
        <f t="shared" si="134"/>
        <v>0</v>
      </c>
      <c r="W2171">
        <f t="shared" si="135"/>
        <v>0</v>
      </c>
    </row>
    <row r="2172" spans="5:23" x14ac:dyDescent="0.25">
      <c r="E2172" s="4"/>
      <c r="F2172" s="4"/>
      <c r="G2172" s="33" t="str">
        <f>IFERROR(VLOOKUP($D2172,'Informations sur les produits'!$A$3:$H$10000,8,FALSE),"0")</f>
        <v>0</v>
      </c>
      <c r="K2172" s="4"/>
      <c r="L2172" s="33" t="str">
        <f>IFERROR(VLOOKUP($J2172,'Informations sur les produits'!$A$3:$H$10000,8,FALSE),"0")</f>
        <v>0</v>
      </c>
      <c r="N2172" s="8"/>
      <c r="O2172" s="33" t="str">
        <f>IFERROR(VLOOKUP($M2172,'Informations sur les produits'!$A$3:$H$10000,8,FALSE),"0")</f>
        <v>0</v>
      </c>
      <c r="P2172" s="33">
        <f t="shared" si="132"/>
        <v>0</v>
      </c>
      <c r="Q2172" s="31" t="str">
        <f t="shared" si="133"/>
        <v/>
      </c>
      <c r="R2172" s="32" t="str">
        <f>IFERROR(VLOOKUP($D2172,'Informations sur les produits'!$A$3:$B$15000,2,FALSE),"")</f>
        <v/>
      </c>
      <c r="V2172">
        <f t="shared" si="134"/>
        <v>0</v>
      </c>
      <c r="W2172">
        <f t="shared" si="135"/>
        <v>0</v>
      </c>
    </row>
    <row r="2173" spans="5:23" x14ac:dyDescent="0.25">
      <c r="E2173" s="4"/>
      <c r="F2173" s="4"/>
      <c r="G2173" s="33" t="str">
        <f>IFERROR(VLOOKUP($D2173,'Informations sur les produits'!$A$3:$H$10000,8,FALSE),"0")</f>
        <v>0</v>
      </c>
      <c r="K2173" s="4"/>
      <c r="L2173" s="33" t="str">
        <f>IFERROR(VLOOKUP($J2173,'Informations sur les produits'!$A$3:$H$10000,8,FALSE),"0")</f>
        <v>0</v>
      </c>
      <c r="N2173" s="8"/>
      <c r="O2173" s="33" t="str">
        <f>IFERROR(VLOOKUP($M2173,'Informations sur les produits'!$A$3:$H$10000,8,FALSE),"0")</f>
        <v>0</v>
      </c>
      <c r="P2173" s="33">
        <f t="shared" si="132"/>
        <v>0</v>
      </c>
      <c r="Q2173" s="31" t="str">
        <f t="shared" si="133"/>
        <v/>
      </c>
      <c r="R2173" s="32" t="str">
        <f>IFERROR(VLOOKUP($D2173,'Informations sur les produits'!$A$3:$B$15000,2,FALSE),"")</f>
        <v/>
      </c>
      <c r="V2173">
        <f t="shared" si="134"/>
        <v>0</v>
      </c>
      <c r="W2173">
        <f t="shared" si="135"/>
        <v>0</v>
      </c>
    </row>
    <row r="2174" spans="5:23" x14ac:dyDescent="0.25">
      <c r="E2174" s="4"/>
      <c r="F2174" s="4"/>
      <c r="G2174" s="33" t="str">
        <f>IFERROR(VLOOKUP($D2174,'Informations sur les produits'!$A$3:$H$10000,8,FALSE),"0")</f>
        <v>0</v>
      </c>
      <c r="K2174" s="4"/>
      <c r="L2174" s="33" t="str">
        <f>IFERROR(VLOOKUP($J2174,'Informations sur les produits'!$A$3:$H$10000,8,FALSE),"0")</f>
        <v>0</v>
      </c>
      <c r="N2174" s="8"/>
      <c r="O2174" s="33" t="str">
        <f>IFERROR(VLOOKUP($M2174,'Informations sur les produits'!$A$3:$H$10000,8,FALSE),"0")</f>
        <v>0</v>
      </c>
      <c r="P2174" s="33">
        <f t="shared" si="132"/>
        <v>0</v>
      </c>
      <c r="Q2174" s="31" t="str">
        <f t="shared" si="133"/>
        <v/>
      </c>
      <c r="R2174" s="32" t="str">
        <f>IFERROR(VLOOKUP($D2174,'Informations sur les produits'!$A$3:$B$15000,2,FALSE),"")</f>
        <v/>
      </c>
      <c r="V2174">
        <f t="shared" si="134"/>
        <v>0</v>
      </c>
      <c r="W2174">
        <f t="shared" si="135"/>
        <v>0</v>
      </c>
    </row>
    <row r="2175" spans="5:23" x14ac:dyDescent="0.25">
      <c r="E2175" s="4"/>
      <c r="F2175" s="4"/>
      <c r="G2175" s="33" t="str">
        <f>IFERROR(VLOOKUP($D2175,'Informations sur les produits'!$A$3:$H$10000,8,FALSE),"0")</f>
        <v>0</v>
      </c>
      <c r="K2175" s="4"/>
      <c r="L2175" s="33" t="str">
        <f>IFERROR(VLOOKUP($J2175,'Informations sur les produits'!$A$3:$H$10000,8,FALSE),"0")</f>
        <v>0</v>
      </c>
      <c r="N2175" s="8"/>
      <c r="O2175" s="33" t="str">
        <f>IFERROR(VLOOKUP($M2175,'Informations sur les produits'!$A$3:$H$10000,8,FALSE),"0")</f>
        <v>0</v>
      </c>
      <c r="P2175" s="33">
        <f t="shared" si="132"/>
        <v>0</v>
      </c>
      <c r="Q2175" s="31" t="str">
        <f t="shared" si="133"/>
        <v/>
      </c>
      <c r="R2175" s="32" t="str">
        <f>IFERROR(VLOOKUP($D2175,'Informations sur les produits'!$A$3:$B$15000,2,FALSE),"")</f>
        <v/>
      </c>
      <c r="V2175">
        <f t="shared" si="134"/>
        <v>0</v>
      </c>
      <c r="W2175">
        <f t="shared" si="135"/>
        <v>0</v>
      </c>
    </row>
    <row r="2176" spans="5:23" x14ac:dyDescent="0.25">
      <c r="E2176" s="4"/>
      <c r="F2176" s="4"/>
      <c r="G2176" s="33" t="str">
        <f>IFERROR(VLOOKUP($D2176,'Informations sur les produits'!$A$3:$H$10000,8,FALSE),"0")</f>
        <v>0</v>
      </c>
      <c r="K2176" s="4"/>
      <c r="L2176" s="33" t="str">
        <f>IFERROR(VLOOKUP($J2176,'Informations sur les produits'!$A$3:$H$10000,8,FALSE),"0")</f>
        <v>0</v>
      </c>
      <c r="N2176" s="8"/>
      <c r="O2176" s="33" t="str">
        <f>IFERROR(VLOOKUP($M2176,'Informations sur les produits'!$A$3:$H$10000,8,FALSE),"0")</f>
        <v>0</v>
      </c>
      <c r="P2176" s="33">
        <f t="shared" si="132"/>
        <v>0</v>
      </c>
      <c r="Q2176" s="31" t="str">
        <f t="shared" si="133"/>
        <v/>
      </c>
      <c r="R2176" s="32" t="str">
        <f>IFERROR(VLOOKUP($D2176,'Informations sur les produits'!$A$3:$B$15000,2,FALSE),"")</f>
        <v/>
      </c>
      <c r="V2176">
        <f t="shared" si="134"/>
        <v>0</v>
      </c>
      <c r="W2176">
        <f t="shared" si="135"/>
        <v>0</v>
      </c>
    </row>
    <row r="2177" spans="5:23" x14ac:dyDescent="0.25">
      <c r="E2177" s="4"/>
      <c r="F2177" s="4"/>
      <c r="G2177" s="33" t="str">
        <f>IFERROR(VLOOKUP($D2177,'Informations sur les produits'!$A$3:$H$10000,8,FALSE),"0")</f>
        <v>0</v>
      </c>
      <c r="K2177" s="4"/>
      <c r="L2177" s="33" t="str">
        <f>IFERROR(VLOOKUP($J2177,'Informations sur les produits'!$A$3:$H$10000,8,FALSE),"0")</f>
        <v>0</v>
      </c>
      <c r="N2177" s="8"/>
      <c r="O2177" s="33" t="str">
        <f>IFERROR(VLOOKUP($M2177,'Informations sur les produits'!$A$3:$H$10000,8,FALSE),"0")</f>
        <v>0</v>
      </c>
      <c r="P2177" s="33">
        <f t="shared" si="132"/>
        <v>0</v>
      </c>
      <c r="Q2177" s="31" t="str">
        <f t="shared" si="133"/>
        <v/>
      </c>
      <c r="R2177" s="32" t="str">
        <f>IFERROR(VLOOKUP($D2177,'Informations sur les produits'!$A$3:$B$15000,2,FALSE),"")</f>
        <v/>
      </c>
      <c r="V2177">
        <f t="shared" si="134"/>
        <v>0</v>
      </c>
      <c r="W2177">
        <f t="shared" si="135"/>
        <v>0</v>
      </c>
    </row>
    <row r="2178" spans="5:23" x14ac:dyDescent="0.25">
      <c r="E2178" s="4"/>
      <c r="F2178" s="4"/>
      <c r="G2178" s="33" t="str">
        <f>IFERROR(VLOOKUP($D2178,'Informations sur les produits'!$A$3:$H$10000,8,FALSE),"0")</f>
        <v>0</v>
      </c>
      <c r="K2178" s="4"/>
      <c r="L2178" s="33" t="str">
        <f>IFERROR(VLOOKUP($J2178,'Informations sur les produits'!$A$3:$H$10000,8,FALSE),"0")</f>
        <v>0</v>
      </c>
      <c r="N2178" s="8"/>
      <c r="O2178" s="33" t="str">
        <f>IFERROR(VLOOKUP($M2178,'Informations sur les produits'!$A$3:$H$10000,8,FALSE),"0")</f>
        <v>0</v>
      </c>
      <c r="P2178" s="33">
        <f t="shared" si="132"/>
        <v>0</v>
      </c>
      <c r="Q2178" s="31" t="str">
        <f t="shared" si="133"/>
        <v/>
      </c>
      <c r="R2178" s="32" t="str">
        <f>IFERROR(VLOOKUP($D2178,'Informations sur les produits'!$A$3:$B$15000,2,FALSE),"")</f>
        <v/>
      </c>
      <c r="V2178">
        <f t="shared" si="134"/>
        <v>0</v>
      </c>
      <c r="W2178">
        <f t="shared" si="135"/>
        <v>0</v>
      </c>
    </row>
    <row r="2179" spans="5:23" x14ac:dyDescent="0.25">
      <c r="E2179" s="4"/>
      <c r="F2179" s="4"/>
      <c r="G2179" s="33" t="str">
        <f>IFERROR(VLOOKUP($D2179,'Informations sur les produits'!$A$3:$H$10000,8,FALSE),"0")</f>
        <v>0</v>
      </c>
      <c r="K2179" s="4"/>
      <c r="L2179" s="33" t="str">
        <f>IFERROR(VLOOKUP($J2179,'Informations sur les produits'!$A$3:$H$10000,8,FALSE),"0")</f>
        <v>0</v>
      </c>
      <c r="N2179" s="8"/>
      <c r="O2179" s="33" t="str">
        <f>IFERROR(VLOOKUP($M2179,'Informations sur les produits'!$A$3:$H$10000,8,FALSE),"0")</f>
        <v>0</v>
      </c>
      <c r="P2179" s="33">
        <f t="shared" si="132"/>
        <v>0</v>
      </c>
      <c r="Q2179" s="31" t="str">
        <f t="shared" si="133"/>
        <v/>
      </c>
      <c r="R2179" s="32" t="str">
        <f>IFERROR(VLOOKUP($D2179,'Informations sur les produits'!$A$3:$B$15000,2,FALSE),"")</f>
        <v/>
      </c>
      <c r="V2179">
        <f t="shared" si="134"/>
        <v>0</v>
      </c>
      <c r="W2179">
        <f t="shared" si="135"/>
        <v>0</v>
      </c>
    </row>
    <row r="2180" spans="5:23" x14ac:dyDescent="0.25">
      <c r="E2180" s="4"/>
      <c r="F2180" s="4"/>
      <c r="G2180" s="33" t="str">
        <f>IFERROR(VLOOKUP($D2180,'Informations sur les produits'!$A$3:$H$10000,8,FALSE),"0")</f>
        <v>0</v>
      </c>
      <c r="K2180" s="4"/>
      <c r="L2180" s="33" t="str">
        <f>IFERROR(VLOOKUP($J2180,'Informations sur les produits'!$A$3:$H$10000,8,FALSE),"0")</f>
        <v>0</v>
      </c>
      <c r="N2180" s="8"/>
      <c r="O2180" s="33" t="str">
        <f>IFERROR(VLOOKUP($M2180,'Informations sur les produits'!$A$3:$H$10000,8,FALSE),"0")</f>
        <v>0</v>
      </c>
      <c r="P2180" s="33">
        <f t="shared" ref="P2180:P2243" si="136">IFERROR((($E2180-$F2180)*$G2180+$K2180*$L2180+$N2180*$O2180),"")</f>
        <v>0</v>
      </c>
      <c r="Q2180" s="31" t="str">
        <f t="shared" ref="Q2180:Q2243" si="137">IFERROR((((($E2180-$F2180)*$G2180+$K2180*$L2180+$N2180*$O2180)*1000)/(($E2180-$F2180)+$K2180+$N2180)),"")</f>
        <v/>
      </c>
      <c r="R2180" s="32" t="str">
        <f>IFERROR(VLOOKUP($D2180,'Informations sur les produits'!$A$3:$B$15000,2,FALSE),"")</f>
        <v/>
      </c>
      <c r="V2180">
        <f t="shared" ref="V2180:V2243" si="138">IFERROR(P2180*1000,"")</f>
        <v>0</v>
      </c>
      <c r="W2180">
        <f t="shared" ref="W2180:W2243" si="139">IFERROR(($E2180-$F2180)+$K2180+$N2180,"")</f>
        <v>0</v>
      </c>
    </row>
    <row r="2181" spans="5:23" x14ac:dyDescent="0.25">
      <c r="E2181" s="4"/>
      <c r="F2181" s="4"/>
      <c r="G2181" s="33" t="str">
        <f>IFERROR(VLOOKUP($D2181,'Informations sur les produits'!$A$3:$H$10000,8,FALSE),"0")</f>
        <v>0</v>
      </c>
      <c r="K2181" s="4"/>
      <c r="L2181" s="33" t="str">
        <f>IFERROR(VLOOKUP($J2181,'Informations sur les produits'!$A$3:$H$10000,8,FALSE),"0")</f>
        <v>0</v>
      </c>
      <c r="N2181" s="8"/>
      <c r="O2181" s="33" t="str">
        <f>IFERROR(VLOOKUP($M2181,'Informations sur les produits'!$A$3:$H$10000,8,FALSE),"0")</f>
        <v>0</v>
      </c>
      <c r="P2181" s="33">
        <f t="shared" si="136"/>
        <v>0</v>
      </c>
      <c r="Q2181" s="31" t="str">
        <f t="shared" si="137"/>
        <v/>
      </c>
      <c r="R2181" s="32" t="str">
        <f>IFERROR(VLOOKUP($D2181,'Informations sur les produits'!$A$3:$B$15000,2,FALSE),"")</f>
        <v/>
      </c>
      <c r="V2181">
        <f t="shared" si="138"/>
        <v>0</v>
      </c>
      <c r="W2181">
        <f t="shared" si="139"/>
        <v>0</v>
      </c>
    </row>
    <row r="2182" spans="5:23" x14ac:dyDescent="0.25">
      <c r="E2182" s="4"/>
      <c r="F2182" s="4"/>
      <c r="G2182" s="33" t="str">
        <f>IFERROR(VLOOKUP($D2182,'Informations sur les produits'!$A$3:$H$10000,8,FALSE),"0")</f>
        <v>0</v>
      </c>
      <c r="K2182" s="4"/>
      <c r="L2182" s="33" t="str">
        <f>IFERROR(VLOOKUP($J2182,'Informations sur les produits'!$A$3:$H$10000,8,FALSE),"0")</f>
        <v>0</v>
      </c>
      <c r="N2182" s="8"/>
      <c r="O2182" s="33" t="str">
        <f>IFERROR(VLOOKUP($M2182,'Informations sur les produits'!$A$3:$H$10000,8,FALSE),"0")</f>
        <v>0</v>
      </c>
      <c r="P2182" s="33">
        <f t="shared" si="136"/>
        <v>0</v>
      </c>
      <c r="Q2182" s="31" t="str">
        <f t="shared" si="137"/>
        <v/>
      </c>
      <c r="R2182" s="32" t="str">
        <f>IFERROR(VLOOKUP($D2182,'Informations sur les produits'!$A$3:$B$15000,2,FALSE),"")</f>
        <v/>
      </c>
      <c r="V2182">
        <f t="shared" si="138"/>
        <v>0</v>
      </c>
      <c r="W2182">
        <f t="shared" si="139"/>
        <v>0</v>
      </c>
    </row>
    <row r="2183" spans="5:23" x14ac:dyDescent="0.25">
      <c r="E2183" s="4"/>
      <c r="F2183" s="4"/>
      <c r="G2183" s="33" t="str">
        <f>IFERROR(VLOOKUP($D2183,'Informations sur les produits'!$A$3:$H$10000,8,FALSE),"0")</f>
        <v>0</v>
      </c>
      <c r="K2183" s="4"/>
      <c r="L2183" s="33" t="str">
        <f>IFERROR(VLOOKUP($J2183,'Informations sur les produits'!$A$3:$H$10000,8,FALSE),"0")</f>
        <v>0</v>
      </c>
      <c r="N2183" s="8"/>
      <c r="O2183" s="33" t="str">
        <f>IFERROR(VLOOKUP($M2183,'Informations sur les produits'!$A$3:$H$10000,8,FALSE),"0")</f>
        <v>0</v>
      </c>
      <c r="P2183" s="33">
        <f t="shared" si="136"/>
        <v>0</v>
      </c>
      <c r="Q2183" s="31" t="str">
        <f t="shared" si="137"/>
        <v/>
      </c>
      <c r="R2183" s="32" t="str">
        <f>IFERROR(VLOOKUP($D2183,'Informations sur les produits'!$A$3:$B$15000,2,FALSE),"")</f>
        <v/>
      </c>
      <c r="V2183">
        <f t="shared" si="138"/>
        <v>0</v>
      </c>
      <c r="W2183">
        <f t="shared" si="139"/>
        <v>0</v>
      </c>
    </row>
    <row r="2184" spans="5:23" x14ac:dyDescent="0.25">
      <c r="E2184" s="4"/>
      <c r="F2184" s="4"/>
      <c r="G2184" s="33" t="str">
        <f>IFERROR(VLOOKUP($D2184,'Informations sur les produits'!$A$3:$H$10000,8,FALSE),"0")</f>
        <v>0</v>
      </c>
      <c r="K2184" s="4"/>
      <c r="L2184" s="33" t="str">
        <f>IFERROR(VLOOKUP($J2184,'Informations sur les produits'!$A$3:$H$10000,8,FALSE),"0")</f>
        <v>0</v>
      </c>
      <c r="N2184" s="8"/>
      <c r="O2184" s="33" t="str">
        <f>IFERROR(VLOOKUP($M2184,'Informations sur les produits'!$A$3:$H$10000,8,FALSE),"0")</f>
        <v>0</v>
      </c>
      <c r="P2184" s="33">
        <f t="shared" si="136"/>
        <v>0</v>
      </c>
      <c r="Q2184" s="31" t="str">
        <f t="shared" si="137"/>
        <v/>
      </c>
      <c r="R2184" s="32" t="str">
        <f>IFERROR(VLOOKUP($D2184,'Informations sur les produits'!$A$3:$B$15000,2,FALSE),"")</f>
        <v/>
      </c>
      <c r="V2184">
        <f t="shared" si="138"/>
        <v>0</v>
      </c>
      <c r="W2184">
        <f t="shared" si="139"/>
        <v>0</v>
      </c>
    </row>
    <row r="2185" spans="5:23" x14ac:dyDescent="0.25">
      <c r="E2185" s="4"/>
      <c r="F2185" s="4"/>
      <c r="G2185" s="33" t="str">
        <f>IFERROR(VLOOKUP($D2185,'Informations sur les produits'!$A$3:$H$10000,8,FALSE),"0")</f>
        <v>0</v>
      </c>
      <c r="K2185" s="4"/>
      <c r="L2185" s="33" t="str">
        <f>IFERROR(VLOOKUP($J2185,'Informations sur les produits'!$A$3:$H$10000,8,FALSE),"0")</f>
        <v>0</v>
      </c>
      <c r="N2185" s="8"/>
      <c r="O2185" s="33" t="str">
        <f>IFERROR(VLOOKUP($M2185,'Informations sur les produits'!$A$3:$H$10000,8,FALSE),"0")</f>
        <v>0</v>
      </c>
      <c r="P2185" s="33">
        <f t="shared" si="136"/>
        <v>0</v>
      </c>
      <c r="Q2185" s="31" t="str">
        <f t="shared" si="137"/>
        <v/>
      </c>
      <c r="R2185" s="32" t="str">
        <f>IFERROR(VLOOKUP($D2185,'Informations sur les produits'!$A$3:$B$15000,2,FALSE),"")</f>
        <v/>
      </c>
      <c r="V2185">
        <f t="shared" si="138"/>
        <v>0</v>
      </c>
      <c r="W2185">
        <f t="shared" si="139"/>
        <v>0</v>
      </c>
    </row>
    <row r="2186" spans="5:23" x14ac:dyDescent="0.25">
      <c r="E2186" s="4"/>
      <c r="F2186" s="4"/>
      <c r="G2186" s="33" t="str">
        <f>IFERROR(VLOOKUP($D2186,'Informations sur les produits'!$A$3:$H$10000,8,FALSE),"0")</f>
        <v>0</v>
      </c>
      <c r="K2186" s="4"/>
      <c r="L2186" s="33" t="str">
        <f>IFERROR(VLOOKUP($J2186,'Informations sur les produits'!$A$3:$H$10000,8,FALSE),"0")</f>
        <v>0</v>
      </c>
      <c r="N2186" s="8"/>
      <c r="O2186" s="33" t="str">
        <f>IFERROR(VLOOKUP($M2186,'Informations sur les produits'!$A$3:$H$10000,8,FALSE),"0")</f>
        <v>0</v>
      </c>
      <c r="P2186" s="33">
        <f t="shared" si="136"/>
        <v>0</v>
      </c>
      <c r="Q2186" s="31" t="str">
        <f t="shared" si="137"/>
        <v/>
      </c>
      <c r="R2186" s="32" t="str">
        <f>IFERROR(VLOOKUP($D2186,'Informations sur les produits'!$A$3:$B$15000,2,FALSE),"")</f>
        <v/>
      </c>
      <c r="V2186">
        <f t="shared" si="138"/>
        <v>0</v>
      </c>
      <c r="W2186">
        <f t="shared" si="139"/>
        <v>0</v>
      </c>
    </row>
    <row r="2187" spans="5:23" x14ac:dyDescent="0.25">
      <c r="E2187" s="4"/>
      <c r="F2187" s="4"/>
      <c r="G2187" s="33" t="str">
        <f>IFERROR(VLOOKUP($D2187,'Informations sur les produits'!$A$3:$H$10000,8,FALSE),"0")</f>
        <v>0</v>
      </c>
      <c r="K2187" s="4"/>
      <c r="L2187" s="33" t="str">
        <f>IFERROR(VLOOKUP($J2187,'Informations sur les produits'!$A$3:$H$10000,8,FALSE),"0")</f>
        <v>0</v>
      </c>
      <c r="N2187" s="8"/>
      <c r="O2187" s="33" t="str">
        <f>IFERROR(VLOOKUP($M2187,'Informations sur les produits'!$A$3:$H$10000,8,FALSE),"0")</f>
        <v>0</v>
      </c>
      <c r="P2187" s="33">
        <f t="shared" si="136"/>
        <v>0</v>
      </c>
      <c r="Q2187" s="31" t="str">
        <f t="shared" si="137"/>
        <v/>
      </c>
      <c r="R2187" s="32" t="str">
        <f>IFERROR(VLOOKUP($D2187,'Informations sur les produits'!$A$3:$B$15000,2,FALSE),"")</f>
        <v/>
      </c>
      <c r="V2187">
        <f t="shared" si="138"/>
        <v>0</v>
      </c>
      <c r="W2187">
        <f t="shared" si="139"/>
        <v>0</v>
      </c>
    </row>
    <row r="2188" spans="5:23" x14ac:dyDescent="0.25">
      <c r="E2188" s="4"/>
      <c r="F2188" s="4"/>
      <c r="G2188" s="33" t="str">
        <f>IFERROR(VLOOKUP($D2188,'Informations sur les produits'!$A$3:$H$10000,8,FALSE),"0")</f>
        <v>0</v>
      </c>
      <c r="K2188" s="4"/>
      <c r="L2188" s="33" t="str">
        <f>IFERROR(VLOOKUP($J2188,'Informations sur les produits'!$A$3:$H$10000,8,FALSE),"0")</f>
        <v>0</v>
      </c>
      <c r="N2188" s="8"/>
      <c r="O2188" s="33" t="str">
        <f>IFERROR(VLOOKUP($M2188,'Informations sur les produits'!$A$3:$H$10000,8,FALSE),"0")</f>
        <v>0</v>
      </c>
      <c r="P2188" s="33">
        <f t="shared" si="136"/>
        <v>0</v>
      </c>
      <c r="Q2188" s="31" t="str">
        <f t="shared" si="137"/>
        <v/>
      </c>
      <c r="R2188" s="32" t="str">
        <f>IFERROR(VLOOKUP($D2188,'Informations sur les produits'!$A$3:$B$15000,2,FALSE),"")</f>
        <v/>
      </c>
      <c r="V2188">
        <f t="shared" si="138"/>
        <v>0</v>
      </c>
      <c r="W2188">
        <f t="shared" si="139"/>
        <v>0</v>
      </c>
    </row>
    <row r="2189" spans="5:23" x14ac:dyDescent="0.25">
      <c r="E2189" s="4"/>
      <c r="F2189" s="4"/>
      <c r="G2189" s="33" t="str">
        <f>IFERROR(VLOOKUP($D2189,'Informations sur les produits'!$A$3:$H$10000,8,FALSE),"0")</f>
        <v>0</v>
      </c>
      <c r="K2189" s="4"/>
      <c r="L2189" s="33" t="str">
        <f>IFERROR(VLOOKUP($J2189,'Informations sur les produits'!$A$3:$H$10000,8,FALSE),"0")</f>
        <v>0</v>
      </c>
      <c r="N2189" s="8"/>
      <c r="O2189" s="33" t="str">
        <f>IFERROR(VLOOKUP($M2189,'Informations sur les produits'!$A$3:$H$10000,8,FALSE),"0")</f>
        <v>0</v>
      </c>
      <c r="P2189" s="33">
        <f t="shared" si="136"/>
        <v>0</v>
      </c>
      <c r="Q2189" s="31" t="str">
        <f t="shared" si="137"/>
        <v/>
      </c>
      <c r="R2189" s="32" t="str">
        <f>IFERROR(VLOOKUP($D2189,'Informations sur les produits'!$A$3:$B$15000,2,FALSE),"")</f>
        <v/>
      </c>
      <c r="V2189">
        <f t="shared" si="138"/>
        <v>0</v>
      </c>
      <c r="W2189">
        <f t="shared" si="139"/>
        <v>0</v>
      </c>
    </row>
    <row r="2190" spans="5:23" x14ac:dyDescent="0.25">
      <c r="E2190" s="4"/>
      <c r="F2190" s="4"/>
      <c r="G2190" s="33" t="str">
        <f>IFERROR(VLOOKUP($D2190,'Informations sur les produits'!$A$3:$H$10000,8,FALSE),"0")</f>
        <v>0</v>
      </c>
      <c r="K2190" s="4"/>
      <c r="L2190" s="33" t="str">
        <f>IFERROR(VLOOKUP($J2190,'Informations sur les produits'!$A$3:$H$10000,8,FALSE),"0")</f>
        <v>0</v>
      </c>
      <c r="N2190" s="8"/>
      <c r="O2190" s="33" t="str">
        <f>IFERROR(VLOOKUP($M2190,'Informations sur les produits'!$A$3:$H$10000,8,FALSE),"0")</f>
        <v>0</v>
      </c>
      <c r="P2190" s="33">
        <f t="shared" si="136"/>
        <v>0</v>
      </c>
      <c r="Q2190" s="31" t="str">
        <f t="shared" si="137"/>
        <v/>
      </c>
      <c r="R2190" s="32" t="str">
        <f>IFERROR(VLOOKUP($D2190,'Informations sur les produits'!$A$3:$B$15000,2,FALSE),"")</f>
        <v/>
      </c>
      <c r="V2190">
        <f t="shared" si="138"/>
        <v>0</v>
      </c>
      <c r="W2190">
        <f t="shared" si="139"/>
        <v>0</v>
      </c>
    </row>
    <row r="2191" spans="5:23" x14ac:dyDescent="0.25">
      <c r="E2191" s="4"/>
      <c r="F2191" s="4"/>
      <c r="G2191" s="33" t="str">
        <f>IFERROR(VLOOKUP($D2191,'Informations sur les produits'!$A$3:$H$10000,8,FALSE),"0")</f>
        <v>0</v>
      </c>
      <c r="K2191" s="4"/>
      <c r="L2191" s="33" t="str">
        <f>IFERROR(VLOOKUP($J2191,'Informations sur les produits'!$A$3:$H$10000,8,FALSE),"0")</f>
        <v>0</v>
      </c>
      <c r="N2191" s="8"/>
      <c r="O2191" s="33" t="str">
        <f>IFERROR(VLOOKUP($M2191,'Informations sur les produits'!$A$3:$H$10000,8,FALSE),"0")</f>
        <v>0</v>
      </c>
      <c r="P2191" s="33">
        <f t="shared" si="136"/>
        <v>0</v>
      </c>
      <c r="Q2191" s="31" t="str">
        <f t="shared" si="137"/>
        <v/>
      </c>
      <c r="R2191" s="32" t="str">
        <f>IFERROR(VLOOKUP($D2191,'Informations sur les produits'!$A$3:$B$15000,2,FALSE),"")</f>
        <v/>
      </c>
      <c r="V2191">
        <f t="shared" si="138"/>
        <v>0</v>
      </c>
      <c r="W2191">
        <f t="shared" si="139"/>
        <v>0</v>
      </c>
    </row>
    <row r="2192" spans="5:23" x14ac:dyDescent="0.25">
      <c r="E2192" s="4"/>
      <c r="F2192" s="4"/>
      <c r="G2192" s="33" t="str">
        <f>IFERROR(VLOOKUP($D2192,'Informations sur les produits'!$A$3:$H$10000,8,FALSE),"0")</f>
        <v>0</v>
      </c>
      <c r="K2192" s="4"/>
      <c r="L2192" s="33" t="str">
        <f>IFERROR(VLOOKUP($J2192,'Informations sur les produits'!$A$3:$H$10000,8,FALSE),"0")</f>
        <v>0</v>
      </c>
      <c r="N2192" s="8"/>
      <c r="O2192" s="33" t="str">
        <f>IFERROR(VLOOKUP($M2192,'Informations sur les produits'!$A$3:$H$10000,8,FALSE),"0")</f>
        <v>0</v>
      </c>
      <c r="P2192" s="33">
        <f t="shared" si="136"/>
        <v>0</v>
      </c>
      <c r="Q2192" s="31" t="str">
        <f t="shared" si="137"/>
        <v/>
      </c>
      <c r="R2192" s="32" t="str">
        <f>IFERROR(VLOOKUP($D2192,'Informations sur les produits'!$A$3:$B$15000,2,FALSE),"")</f>
        <v/>
      </c>
      <c r="V2192">
        <f t="shared" si="138"/>
        <v>0</v>
      </c>
      <c r="W2192">
        <f t="shared" si="139"/>
        <v>0</v>
      </c>
    </row>
    <row r="2193" spans="5:23" x14ac:dyDescent="0.25">
      <c r="E2193" s="4"/>
      <c r="F2193" s="4"/>
      <c r="G2193" s="33" t="str">
        <f>IFERROR(VLOOKUP($D2193,'Informations sur les produits'!$A$3:$H$10000,8,FALSE),"0")</f>
        <v>0</v>
      </c>
      <c r="K2193" s="4"/>
      <c r="L2193" s="33" t="str">
        <f>IFERROR(VLOOKUP($J2193,'Informations sur les produits'!$A$3:$H$10000,8,FALSE),"0")</f>
        <v>0</v>
      </c>
      <c r="N2193" s="8"/>
      <c r="O2193" s="33" t="str">
        <f>IFERROR(VLOOKUP($M2193,'Informations sur les produits'!$A$3:$H$10000,8,FALSE),"0")</f>
        <v>0</v>
      </c>
      <c r="P2193" s="33">
        <f t="shared" si="136"/>
        <v>0</v>
      </c>
      <c r="Q2193" s="31" t="str">
        <f t="shared" si="137"/>
        <v/>
      </c>
      <c r="R2193" s="32" t="str">
        <f>IFERROR(VLOOKUP($D2193,'Informations sur les produits'!$A$3:$B$15000,2,FALSE),"")</f>
        <v/>
      </c>
      <c r="V2193">
        <f t="shared" si="138"/>
        <v>0</v>
      </c>
      <c r="W2193">
        <f t="shared" si="139"/>
        <v>0</v>
      </c>
    </row>
    <row r="2194" spans="5:23" x14ac:dyDescent="0.25">
      <c r="E2194" s="4"/>
      <c r="F2194" s="4"/>
      <c r="G2194" s="33" t="str">
        <f>IFERROR(VLOOKUP($D2194,'Informations sur les produits'!$A$3:$H$10000,8,FALSE),"0")</f>
        <v>0</v>
      </c>
      <c r="K2194" s="4"/>
      <c r="L2194" s="33" t="str">
        <f>IFERROR(VLOOKUP($J2194,'Informations sur les produits'!$A$3:$H$10000,8,FALSE),"0")</f>
        <v>0</v>
      </c>
      <c r="N2194" s="8"/>
      <c r="O2194" s="33" t="str">
        <f>IFERROR(VLOOKUP($M2194,'Informations sur les produits'!$A$3:$H$10000,8,FALSE),"0")</f>
        <v>0</v>
      </c>
      <c r="P2194" s="33">
        <f t="shared" si="136"/>
        <v>0</v>
      </c>
      <c r="Q2194" s="31" t="str">
        <f t="shared" si="137"/>
        <v/>
      </c>
      <c r="R2194" s="32" t="str">
        <f>IFERROR(VLOOKUP($D2194,'Informations sur les produits'!$A$3:$B$15000,2,FALSE),"")</f>
        <v/>
      </c>
      <c r="V2194">
        <f t="shared" si="138"/>
        <v>0</v>
      </c>
      <c r="W2194">
        <f t="shared" si="139"/>
        <v>0</v>
      </c>
    </row>
    <row r="2195" spans="5:23" x14ac:dyDescent="0.25">
      <c r="E2195" s="4"/>
      <c r="F2195" s="4"/>
      <c r="G2195" s="33" t="str">
        <f>IFERROR(VLOOKUP($D2195,'Informations sur les produits'!$A$3:$H$10000,8,FALSE),"0")</f>
        <v>0</v>
      </c>
      <c r="K2195" s="4"/>
      <c r="L2195" s="33" t="str">
        <f>IFERROR(VLOOKUP($J2195,'Informations sur les produits'!$A$3:$H$10000,8,FALSE),"0")</f>
        <v>0</v>
      </c>
      <c r="N2195" s="8"/>
      <c r="O2195" s="33" t="str">
        <f>IFERROR(VLOOKUP($M2195,'Informations sur les produits'!$A$3:$H$10000,8,FALSE),"0")</f>
        <v>0</v>
      </c>
      <c r="P2195" s="33">
        <f t="shared" si="136"/>
        <v>0</v>
      </c>
      <c r="Q2195" s="31" t="str">
        <f t="shared" si="137"/>
        <v/>
      </c>
      <c r="R2195" s="32" t="str">
        <f>IFERROR(VLOOKUP($D2195,'Informations sur les produits'!$A$3:$B$15000,2,FALSE),"")</f>
        <v/>
      </c>
      <c r="V2195">
        <f t="shared" si="138"/>
        <v>0</v>
      </c>
      <c r="W2195">
        <f t="shared" si="139"/>
        <v>0</v>
      </c>
    </row>
    <row r="2196" spans="5:23" x14ac:dyDescent="0.25">
      <c r="E2196" s="4"/>
      <c r="F2196" s="4"/>
      <c r="G2196" s="33" t="str">
        <f>IFERROR(VLOOKUP($D2196,'Informations sur les produits'!$A$3:$H$10000,8,FALSE),"0")</f>
        <v>0</v>
      </c>
      <c r="K2196" s="4"/>
      <c r="L2196" s="33" t="str">
        <f>IFERROR(VLOOKUP($J2196,'Informations sur les produits'!$A$3:$H$10000,8,FALSE),"0")</f>
        <v>0</v>
      </c>
      <c r="N2196" s="8"/>
      <c r="O2196" s="33" t="str">
        <f>IFERROR(VLOOKUP($M2196,'Informations sur les produits'!$A$3:$H$10000,8,FALSE),"0")</f>
        <v>0</v>
      </c>
      <c r="P2196" s="33">
        <f t="shared" si="136"/>
        <v>0</v>
      </c>
      <c r="Q2196" s="31" t="str">
        <f t="shared" si="137"/>
        <v/>
      </c>
      <c r="R2196" s="32" t="str">
        <f>IFERROR(VLOOKUP($D2196,'Informations sur les produits'!$A$3:$B$15000,2,FALSE),"")</f>
        <v/>
      </c>
      <c r="V2196">
        <f t="shared" si="138"/>
        <v>0</v>
      </c>
      <c r="W2196">
        <f t="shared" si="139"/>
        <v>0</v>
      </c>
    </row>
    <row r="2197" spans="5:23" x14ac:dyDescent="0.25">
      <c r="E2197" s="4"/>
      <c r="F2197" s="4"/>
      <c r="G2197" s="33" t="str">
        <f>IFERROR(VLOOKUP($D2197,'Informations sur les produits'!$A$3:$H$10000,8,FALSE),"0")</f>
        <v>0</v>
      </c>
      <c r="K2197" s="4"/>
      <c r="L2197" s="33" t="str">
        <f>IFERROR(VLOOKUP($J2197,'Informations sur les produits'!$A$3:$H$10000,8,FALSE),"0")</f>
        <v>0</v>
      </c>
      <c r="N2197" s="8"/>
      <c r="O2197" s="33" t="str">
        <f>IFERROR(VLOOKUP($M2197,'Informations sur les produits'!$A$3:$H$10000,8,FALSE),"0")</f>
        <v>0</v>
      </c>
      <c r="P2197" s="33">
        <f t="shared" si="136"/>
        <v>0</v>
      </c>
      <c r="Q2197" s="31" t="str">
        <f t="shared" si="137"/>
        <v/>
      </c>
      <c r="R2197" s="32" t="str">
        <f>IFERROR(VLOOKUP($D2197,'Informations sur les produits'!$A$3:$B$15000,2,FALSE),"")</f>
        <v/>
      </c>
      <c r="V2197">
        <f t="shared" si="138"/>
        <v>0</v>
      </c>
      <c r="W2197">
        <f t="shared" si="139"/>
        <v>0</v>
      </c>
    </row>
    <row r="2198" spans="5:23" x14ac:dyDescent="0.25">
      <c r="E2198" s="4"/>
      <c r="F2198" s="4"/>
      <c r="G2198" s="33" t="str">
        <f>IFERROR(VLOOKUP($D2198,'Informations sur les produits'!$A$3:$H$10000,8,FALSE),"0")</f>
        <v>0</v>
      </c>
      <c r="K2198" s="4"/>
      <c r="L2198" s="33" t="str">
        <f>IFERROR(VLOOKUP($J2198,'Informations sur les produits'!$A$3:$H$10000,8,FALSE),"0")</f>
        <v>0</v>
      </c>
      <c r="N2198" s="8"/>
      <c r="O2198" s="33" t="str">
        <f>IFERROR(VLOOKUP($M2198,'Informations sur les produits'!$A$3:$H$10000,8,FALSE),"0")</f>
        <v>0</v>
      </c>
      <c r="P2198" s="33">
        <f t="shared" si="136"/>
        <v>0</v>
      </c>
      <c r="Q2198" s="31" t="str">
        <f t="shared" si="137"/>
        <v/>
      </c>
      <c r="R2198" s="32" t="str">
        <f>IFERROR(VLOOKUP($D2198,'Informations sur les produits'!$A$3:$B$15000,2,FALSE),"")</f>
        <v/>
      </c>
      <c r="V2198">
        <f t="shared" si="138"/>
        <v>0</v>
      </c>
      <c r="W2198">
        <f t="shared" si="139"/>
        <v>0</v>
      </c>
    </row>
    <row r="2199" spans="5:23" x14ac:dyDescent="0.25">
      <c r="E2199" s="4"/>
      <c r="F2199" s="4"/>
      <c r="G2199" s="33" t="str">
        <f>IFERROR(VLOOKUP($D2199,'Informations sur les produits'!$A$3:$H$10000,8,FALSE),"0")</f>
        <v>0</v>
      </c>
      <c r="K2199" s="4"/>
      <c r="L2199" s="33" t="str">
        <f>IFERROR(VLOOKUP($J2199,'Informations sur les produits'!$A$3:$H$10000,8,FALSE),"0")</f>
        <v>0</v>
      </c>
      <c r="N2199" s="8"/>
      <c r="O2199" s="33" t="str">
        <f>IFERROR(VLOOKUP($M2199,'Informations sur les produits'!$A$3:$H$10000,8,FALSE),"0")</f>
        <v>0</v>
      </c>
      <c r="P2199" s="33">
        <f t="shared" si="136"/>
        <v>0</v>
      </c>
      <c r="Q2199" s="31" t="str">
        <f t="shared" si="137"/>
        <v/>
      </c>
      <c r="R2199" s="32" t="str">
        <f>IFERROR(VLOOKUP($D2199,'Informations sur les produits'!$A$3:$B$15000,2,FALSE),"")</f>
        <v/>
      </c>
      <c r="V2199">
        <f t="shared" si="138"/>
        <v>0</v>
      </c>
      <c r="W2199">
        <f t="shared" si="139"/>
        <v>0</v>
      </c>
    </row>
    <row r="2200" spans="5:23" x14ac:dyDescent="0.25">
      <c r="E2200" s="4"/>
      <c r="F2200" s="4"/>
      <c r="G2200" s="33" t="str">
        <f>IFERROR(VLOOKUP($D2200,'Informations sur les produits'!$A$3:$H$10000,8,FALSE),"0")</f>
        <v>0</v>
      </c>
      <c r="K2200" s="4"/>
      <c r="L2200" s="33" t="str">
        <f>IFERROR(VLOOKUP($J2200,'Informations sur les produits'!$A$3:$H$10000,8,FALSE),"0")</f>
        <v>0</v>
      </c>
      <c r="N2200" s="8"/>
      <c r="O2200" s="33" t="str">
        <f>IFERROR(VLOOKUP($M2200,'Informations sur les produits'!$A$3:$H$10000,8,FALSE),"0")</f>
        <v>0</v>
      </c>
      <c r="P2200" s="33">
        <f t="shared" si="136"/>
        <v>0</v>
      </c>
      <c r="Q2200" s="31" t="str">
        <f t="shared" si="137"/>
        <v/>
      </c>
      <c r="R2200" s="32" t="str">
        <f>IFERROR(VLOOKUP($D2200,'Informations sur les produits'!$A$3:$B$15000,2,FALSE),"")</f>
        <v/>
      </c>
      <c r="V2200">
        <f t="shared" si="138"/>
        <v>0</v>
      </c>
      <c r="W2200">
        <f t="shared" si="139"/>
        <v>0</v>
      </c>
    </row>
    <row r="2201" spans="5:23" x14ac:dyDescent="0.25">
      <c r="E2201" s="4"/>
      <c r="F2201" s="4"/>
      <c r="G2201" s="33" t="str">
        <f>IFERROR(VLOOKUP($D2201,'Informations sur les produits'!$A$3:$H$10000,8,FALSE),"0")</f>
        <v>0</v>
      </c>
      <c r="K2201" s="4"/>
      <c r="L2201" s="33" t="str">
        <f>IFERROR(VLOOKUP($J2201,'Informations sur les produits'!$A$3:$H$10000,8,FALSE),"0")</f>
        <v>0</v>
      </c>
      <c r="N2201" s="8"/>
      <c r="O2201" s="33" t="str">
        <f>IFERROR(VLOOKUP($M2201,'Informations sur les produits'!$A$3:$H$10000,8,FALSE),"0")</f>
        <v>0</v>
      </c>
      <c r="P2201" s="33">
        <f t="shared" si="136"/>
        <v>0</v>
      </c>
      <c r="Q2201" s="31" t="str">
        <f t="shared" si="137"/>
        <v/>
      </c>
      <c r="R2201" s="32" t="str">
        <f>IFERROR(VLOOKUP($D2201,'Informations sur les produits'!$A$3:$B$15000,2,FALSE),"")</f>
        <v/>
      </c>
      <c r="V2201">
        <f t="shared" si="138"/>
        <v>0</v>
      </c>
      <c r="W2201">
        <f t="shared" si="139"/>
        <v>0</v>
      </c>
    </row>
    <row r="2202" spans="5:23" x14ac:dyDescent="0.25">
      <c r="E2202" s="4"/>
      <c r="F2202" s="4"/>
      <c r="G2202" s="33" t="str">
        <f>IFERROR(VLOOKUP($D2202,'Informations sur les produits'!$A$3:$H$10000,8,FALSE),"0")</f>
        <v>0</v>
      </c>
      <c r="K2202" s="4"/>
      <c r="L2202" s="33" t="str">
        <f>IFERROR(VLOOKUP($J2202,'Informations sur les produits'!$A$3:$H$10000,8,FALSE),"0")</f>
        <v>0</v>
      </c>
      <c r="N2202" s="8"/>
      <c r="O2202" s="33" t="str">
        <f>IFERROR(VLOOKUP($M2202,'Informations sur les produits'!$A$3:$H$10000,8,FALSE),"0")</f>
        <v>0</v>
      </c>
      <c r="P2202" s="33">
        <f t="shared" si="136"/>
        <v>0</v>
      </c>
      <c r="Q2202" s="31" t="str">
        <f t="shared" si="137"/>
        <v/>
      </c>
      <c r="R2202" s="32" t="str">
        <f>IFERROR(VLOOKUP($D2202,'Informations sur les produits'!$A$3:$B$15000,2,FALSE),"")</f>
        <v/>
      </c>
      <c r="V2202">
        <f t="shared" si="138"/>
        <v>0</v>
      </c>
      <c r="W2202">
        <f t="shared" si="139"/>
        <v>0</v>
      </c>
    </row>
    <row r="2203" spans="5:23" x14ac:dyDescent="0.25">
      <c r="E2203" s="4"/>
      <c r="F2203" s="4"/>
      <c r="G2203" s="33" t="str">
        <f>IFERROR(VLOOKUP($D2203,'Informations sur les produits'!$A$3:$H$10000,8,FALSE),"0")</f>
        <v>0</v>
      </c>
      <c r="K2203" s="4"/>
      <c r="L2203" s="33" t="str">
        <f>IFERROR(VLOOKUP($J2203,'Informations sur les produits'!$A$3:$H$10000,8,FALSE),"0")</f>
        <v>0</v>
      </c>
      <c r="N2203" s="8"/>
      <c r="O2203" s="33" t="str">
        <f>IFERROR(VLOOKUP($M2203,'Informations sur les produits'!$A$3:$H$10000,8,FALSE),"0")</f>
        <v>0</v>
      </c>
      <c r="P2203" s="33">
        <f t="shared" si="136"/>
        <v>0</v>
      </c>
      <c r="Q2203" s="31" t="str">
        <f t="shared" si="137"/>
        <v/>
      </c>
      <c r="R2203" s="32" t="str">
        <f>IFERROR(VLOOKUP($D2203,'Informations sur les produits'!$A$3:$B$15000,2,FALSE),"")</f>
        <v/>
      </c>
      <c r="V2203">
        <f t="shared" si="138"/>
        <v>0</v>
      </c>
      <c r="W2203">
        <f t="shared" si="139"/>
        <v>0</v>
      </c>
    </row>
    <row r="2204" spans="5:23" x14ac:dyDescent="0.25">
      <c r="E2204" s="4"/>
      <c r="F2204" s="4"/>
      <c r="G2204" s="33" t="str">
        <f>IFERROR(VLOOKUP($D2204,'Informations sur les produits'!$A$3:$H$10000,8,FALSE),"0")</f>
        <v>0</v>
      </c>
      <c r="K2204" s="4"/>
      <c r="L2204" s="33" t="str">
        <f>IFERROR(VLOOKUP($J2204,'Informations sur les produits'!$A$3:$H$10000,8,FALSE),"0")</f>
        <v>0</v>
      </c>
      <c r="N2204" s="8"/>
      <c r="O2204" s="33" t="str">
        <f>IFERROR(VLOOKUP($M2204,'Informations sur les produits'!$A$3:$H$10000,8,FALSE),"0")</f>
        <v>0</v>
      </c>
      <c r="P2204" s="33">
        <f t="shared" si="136"/>
        <v>0</v>
      </c>
      <c r="Q2204" s="31" t="str">
        <f t="shared" si="137"/>
        <v/>
      </c>
      <c r="R2204" s="32" t="str">
        <f>IFERROR(VLOOKUP($D2204,'Informations sur les produits'!$A$3:$B$15000,2,FALSE),"")</f>
        <v/>
      </c>
      <c r="V2204">
        <f t="shared" si="138"/>
        <v>0</v>
      </c>
      <c r="W2204">
        <f t="shared" si="139"/>
        <v>0</v>
      </c>
    </row>
    <row r="2205" spans="5:23" x14ac:dyDescent="0.25">
      <c r="E2205" s="4"/>
      <c r="F2205" s="4"/>
      <c r="G2205" s="33" t="str">
        <f>IFERROR(VLOOKUP($D2205,'Informations sur les produits'!$A$3:$H$10000,8,FALSE),"0")</f>
        <v>0</v>
      </c>
      <c r="K2205" s="4"/>
      <c r="L2205" s="33" t="str">
        <f>IFERROR(VLOOKUP($J2205,'Informations sur les produits'!$A$3:$H$10000,8,FALSE),"0")</f>
        <v>0</v>
      </c>
      <c r="N2205" s="8"/>
      <c r="O2205" s="33" t="str">
        <f>IFERROR(VLOOKUP($M2205,'Informations sur les produits'!$A$3:$H$10000,8,FALSE),"0")</f>
        <v>0</v>
      </c>
      <c r="P2205" s="33">
        <f t="shared" si="136"/>
        <v>0</v>
      </c>
      <c r="Q2205" s="31" t="str">
        <f t="shared" si="137"/>
        <v/>
      </c>
      <c r="R2205" s="32" t="str">
        <f>IFERROR(VLOOKUP($D2205,'Informations sur les produits'!$A$3:$B$15000,2,FALSE),"")</f>
        <v/>
      </c>
      <c r="V2205">
        <f t="shared" si="138"/>
        <v>0</v>
      </c>
      <c r="W2205">
        <f t="shared" si="139"/>
        <v>0</v>
      </c>
    </row>
    <row r="2206" spans="5:23" x14ac:dyDescent="0.25">
      <c r="E2206" s="4"/>
      <c r="F2206" s="4"/>
      <c r="G2206" s="33" t="str">
        <f>IFERROR(VLOOKUP($D2206,'Informations sur les produits'!$A$3:$H$10000,8,FALSE),"0")</f>
        <v>0</v>
      </c>
      <c r="K2206" s="4"/>
      <c r="L2206" s="33" t="str">
        <f>IFERROR(VLOOKUP($J2206,'Informations sur les produits'!$A$3:$H$10000,8,FALSE),"0")</f>
        <v>0</v>
      </c>
      <c r="N2206" s="8"/>
      <c r="O2206" s="33" t="str">
        <f>IFERROR(VLOOKUP($M2206,'Informations sur les produits'!$A$3:$H$10000,8,FALSE),"0")</f>
        <v>0</v>
      </c>
      <c r="P2206" s="33">
        <f t="shared" si="136"/>
        <v>0</v>
      </c>
      <c r="Q2206" s="31" t="str">
        <f t="shared" si="137"/>
        <v/>
      </c>
      <c r="R2206" s="32" t="str">
        <f>IFERROR(VLOOKUP($D2206,'Informations sur les produits'!$A$3:$B$15000,2,FALSE),"")</f>
        <v/>
      </c>
      <c r="V2206">
        <f t="shared" si="138"/>
        <v>0</v>
      </c>
      <c r="W2206">
        <f t="shared" si="139"/>
        <v>0</v>
      </c>
    </row>
    <row r="2207" spans="5:23" x14ac:dyDescent="0.25">
      <c r="E2207" s="4"/>
      <c r="F2207" s="4"/>
      <c r="G2207" s="33" t="str">
        <f>IFERROR(VLOOKUP($D2207,'Informations sur les produits'!$A$3:$H$10000,8,FALSE),"0")</f>
        <v>0</v>
      </c>
      <c r="K2207" s="4"/>
      <c r="L2207" s="33" t="str">
        <f>IFERROR(VLOOKUP($J2207,'Informations sur les produits'!$A$3:$H$10000,8,FALSE),"0")</f>
        <v>0</v>
      </c>
      <c r="N2207" s="8"/>
      <c r="O2207" s="33" t="str">
        <f>IFERROR(VLOOKUP($M2207,'Informations sur les produits'!$A$3:$H$10000,8,FALSE),"0")</f>
        <v>0</v>
      </c>
      <c r="P2207" s="33">
        <f t="shared" si="136"/>
        <v>0</v>
      </c>
      <c r="Q2207" s="31" t="str">
        <f t="shared" si="137"/>
        <v/>
      </c>
      <c r="R2207" s="32" t="str">
        <f>IFERROR(VLOOKUP($D2207,'Informations sur les produits'!$A$3:$B$15000,2,FALSE),"")</f>
        <v/>
      </c>
      <c r="V2207">
        <f t="shared" si="138"/>
        <v>0</v>
      </c>
      <c r="W2207">
        <f t="shared" si="139"/>
        <v>0</v>
      </c>
    </row>
    <row r="2208" spans="5:23" x14ac:dyDescent="0.25">
      <c r="E2208" s="4"/>
      <c r="F2208" s="4"/>
      <c r="G2208" s="33" t="str">
        <f>IFERROR(VLOOKUP($D2208,'Informations sur les produits'!$A$3:$H$10000,8,FALSE),"0")</f>
        <v>0</v>
      </c>
      <c r="K2208" s="4"/>
      <c r="L2208" s="33" t="str">
        <f>IFERROR(VLOOKUP($J2208,'Informations sur les produits'!$A$3:$H$10000,8,FALSE),"0")</f>
        <v>0</v>
      </c>
      <c r="N2208" s="8"/>
      <c r="O2208" s="33" t="str">
        <f>IFERROR(VLOOKUP($M2208,'Informations sur les produits'!$A$3:$H$10000,8,FALSE),"0")</f>
        <v>0</v>
      </c>
      <c r="P2208" s="33">
        <f t="shared" si="136"/>
        <v>0</v>
      </c>
      <c r="Q2208" s="31" t="str">
        <f t="shared" si="137"/>
        <v/>
      </c>
      <c r="R2208" s="32" t="str">
        <f>IFERROR(VLOOKUP($D2208,'Informations sur les produits'!$A$3:$B$15000,2,FALSE),"")</f>
        <v/>
      </c>
      <c r="V2208">
        <f t="shared" si="138"/>
        <v>0</v>
      </c>
      <c r="W2208">
        <f t="shared" si="139"/>
        <v>0</v>
      </c>
    </row>
    <row r="2209" spans="5:23" x14ac:dyDescent="0.25">
      <c r="E2209" s="4"/>
      <c r="F2209" s="4"/>
      <c r="G2209" s="33" t="str">
        <f>IFERROR(VLOOKUP($D2209,'Informations sur les produits'!$A$3:$H$10000,8,FALSE),"0")</f>
        <v>0</v>
      </c>
      <c r="K2209" s="4"/>
      <c r="L2209" s="33" t="str">
        <f>IFERROR(VLOOKUP($J2209,'Informations sur les produits'!$A$3:$H$10000,8,FALSE),"0")</f>
        <v>0</v>
      </c>
      <c r="N2209" s="8"/>
      <c r="O2209" s="33" t="str">
        <f>IFERROR(VLOOKUP($M2209,'Informations sur les produits'!$A$3:$H$10000,8,FALSE),"0")</f>
        <v>0</v>
      </c>
      <c r="P2209" s="33">
        <f t="shared" si="136"/>
        <v>0</v>
      </c>
      <c r="Q2209" s="31" t="str">
        <f t="shared" si="137"/>
        <v/>
      </c>
      <c r="R2209" s="32" t="str">
        <f>IFERROR(VLOOKUP($D2209,'Informations sur les produits'!$A$3:$B$15000,2,FALSE),"")</f>
        <v/>
      </c>
      <c r="V2209">
        <f t="shared" si="138"/>
        <v>0</v>
      </c>
      <c r="W2209">
        <f t="shared" si="139"/>
        <v>0</v>
      </c>
    </row>
    <row r="2210" spans="5:23" x14ac:dyDescent="0.25">
      <c r="E2210" s="4"/>
      <c r="F2210" s="4"/>
      <c r="G2210" s="33" t="str">
        <f>IFERROR(VLOOKUP($D2210,'Informations sur les produits'!$A$3:$H$10000,8,FALSE),"0")</f>
        <v>0</v>
      </c>
      <c r="K2210" s="4"/>
      <c r="L2210" s="33" t="str">
        <f>IFERROR(VLOOKUP($J2210,'Informations sur les produits'!$A$3:$H$10000,8,FALSE),"0")</f>
        <v>0</v>
      </c>
      <c r="N2210" s="8"/>
      <c r="O2210" s="33" t="str">
        <f>IFERROR(VLOOKUP($M2210,'Informations sur les produits'!$A$3:$H$10000,8,FALSE),"0")</f>
        <v>0</v>
      </c>
      <c r="P2210" s="33">
        <f t="shared" si="136"/>
        <v>0</v>
      </c>
      <c r="Q2210" s="31" t="str">
        <f t="shared" si="137"/>
        <v/>
      </c>
      <c r="R2210" s="32" t="str">
        <f>IFERROR(VLOOKUP($D2210,'Informations sur les produits'!$A$3:$B$15000,2,FALSE),"")</f>
        <v/>
      </c>
      <c r="V2210">
        <f t="shared" si="138"/>
        <v>0</v>
      </c>
      <c r="W2210">
        <f t="shared" si="139"/>
        <v>0</v>
      </c>
    </row>
    <row r="2211" spans="5:23" x14ac:dyDescent="0.25">
      <c r="E2211" s="4"/>
      <c r="F2211" s="4"/>
      <c r="G2211" s="33" t="str">
        <f>IFERROR(VLOOKUP($D2211,'Informations sur les produits'!$A$3:$H$10000,8,FALSE),"0")</f>
        <v>0</v>
      </c>
      <c r="K2211" s="4"/>
      <c r="L2211" s="33" t="str">
        <f>IFERROR(VLOOKUP($J2211,'Informations sur les produits'!$A$3:$H$10000,8,FALSE),"0")</f>
        <v>0</v>
      </c>
      <c r="N2211" s="8"/>
      <c r="O2211" s="33" t="str">
        <f>IFERROR(VLOOKUP($M2211,'Informations sur les produits'!$A$3:$H$10000,8,FALSE),"0")</f>
        <v>0</v>
      </c>
      <c r="P2211" s="33">
        <f t="shared" si="136"/>
        <v>0</v>
      </c>
      <c r="Q2211" s="31" t="str">
        <f t="shared" si="137"/>
        <v/>
      </c>
      <c r="R2211" s="32" t="str">
        <f>IFERROR(VLOOKUP($D2211,'Informations sur les produits'!$A$3:$B$15000,2,FALSE),"")</f>
        <v/>
      </c>
      <c r="V2211">
        <f t="shared" si="138"/>
        <v>0</v>
      </c>
      <c r="W2211">
        <f t="shared" si="139"/>
        <v>0</v>
      </c>
    </row>
    <row r="2212" spans="5:23" x14ac:dyDescent="0.25">
      <c r="E2212" s="4"/>
      <c r="F2212" s="4"/>
      <c r="G2212" s="33" t="str">
        <f>IFERROR(VLOOKUP($D2212,'Informations sur les produits'!$A$3:$H$10000,8,FALSE),"0")</f>
        <v>0</v>
      </c>
      <c r="K2212" s="4"/>
      <c r="L2212" s="33" t="str">
        <f>IFERROR(VLOOKUP($J2212,'Informations sur les produits'!$A$3:$H$10000,8,FALSE),"0")</f>
        <v>0</v>
      </c>
      <c r="N2212" s="8"/>
      <c r="O2212" s="33" t="str">
        <f>IFERROR(VLOOKUP($M2212,'Informations sur les produits'!$A$3:$H$10000,8,FALSE),"0")</f>
        <v>0</v>
      </c>
      <c r="P2212" s="33">
        <f t="shared" si="136"/>
        <v>0</v>
      </c>
      <c r="Q2212" s="31" t="str">
        <f t="shared" si="137"/>
        <v/>
      </c>
      <c r="R2212" s="32" t="str">
        <f>IFERROR(VLOOKUP($D2212,'Informations sur les produits'!$A$3:$B$15000,2,FALSE),"")</f>
        <v/>
      </c>
      <c r="V2212">
        <f t="shared" si="138"/>
        <v>0</v>
      </c>
      <c r="W2212">
        <f t="shared" si="139"/>
        <v>0</v>
      </c>
    </row>
    <row r="2213" spans="5:23" x14ac:dyDescent="0.25">
      <c r="E2213" s="4"/>
      <c r="F2213" s="4"/>
      <c r="G2213" s="33" t="str">
        <f>IFERROR(VLOOKUP($D2213,'Informations sur les produits'!$A$3:$H$10000,8,FALSE),"0")</f>
        <v>0</v>
      </c>
      <c r="K2213" s="4"/>
      <c r="L2213" s="33" t="str">
        <f>IFERROR(VLOOKUP($J2213,'Informations sur les produits'!$A$3:$H$10000,8,FALSE),"0")</f>
        <v>0</v>
      </c>
      <c r="N2213" s="8"/>
      <c r="O2213" s="33" t="str">
        <f>IFERROR(VLOOKUP($M2213,'Informations sur les produits'!$A$3:$H$10000,8,FALSE),"0")</f>
        <v>0</v>
      </c>
      <c r="P2213" s="33">
        <f t="shared" si="136"/>
        <v>0</v>
      </c>
      <c r="Q2213" s="31" t="str">
        <f t="shared" si="137"/>
        <v/>
      </c>
      <c r="R2213" s="32" t="str">
        <f>IFERROR(VLOOKUP($D2213,'Informations sur les produits'!$A$3:$B$15000,2,FALSE),"")</f>
        <v/>
      </c>
      <c r="V2213">
        <f t="shared" si="138"/>
        <v>0</v>
      </c>
      <c r="W2213">
        <f t="shared" si="139"/>
        <v>0</v>
      </c>
    </row>
    <row r="2214" spans="5:23" x14ac:dyDescent="0.25">
      <c r="E2214" s="4"/>
      <c r="F2214" s="4"/>
      <c r="G2214" s="33" t="str">
        <f>IFERROR(VLOOKUP($D2214,'Informations sur les produits'!$A$3:$H$10000,8,FALSE),"0")</f>
        <v>0</v>
      </c>
      <c r="K2214" s="4"/>
      <c r="L2214" s="33" t="str">
        <f>IFERROR(VLOOKUP($J2214,'Informations sur les produits'!$A$3:$H$10000,8,FALSE),"0")</f>
        <v>0</v>
      </c>
      <c r="N2214" s="8"/>
      <c r="O2214" s="33" t="str">
        <f>IFERROR(VLOOKUP($M2214,'Informations sur les produits'!$A$3:$H$10000,8,FALSE),"0")</f>
        <v>0</v>
      </c>
      <c r="P2214" s="33">
        <f t="shared" si="136"/>
        <v>0</v>
      </c>
      <c r="Q2214" s="31" t="str">
        <f t="shared" si="137"/>
        <v/>
      </c>
      <c r="R2214" s="32" t="str">
        <f>IFERROR(VLOOKUP($D2214,'Informations sur les produits'!$A$3:$B$15000,2,FALSE),"")</f>
        <v/>
      </c>
      <c r="V2214">
        <f t="shared" si="138"/>
        <v>0</v>
      </c>
      <c r="W2214">
        <f t="shared" si="139"/>
        <v>0</v>
      </c>
    </row>
    <row r="2215" spans="5:23" x14ac:dyDescent="0.25">
      <c r="E2215" s="4"/>
      <c r="F2215" s="4"/>
      <c r="G2215" s="33" t="str">
        <f>IFERROR(VLOOKUP($D2215,'Informations sur les produits'!$A$3:$H$10000,8,FALSE),"0")</f>
        <v>0</v>
      </c>
      <c r="K2215" s="4"/>
      <c r="L2215" s="33" t="str">
        <f>IFERROR(VLOOKUP($J2215,'Informations sur les produits'!$A$3:$H$10000,8,FALSE),"0")</f>
        <v>0</v>
      </c>
      <c r="N2215" s="8"/>
      <c r="O2215" s="33" t="str">
        <f>IFERROR(VLOOKUP($M2215,'Informations sur les produits'!$A$3:$H$10000,8,FALSE),"0")</f>
        <v>0</v>
      </c>
      <c r="P2215" s="33">
        <f t="shared" si="136"/>
        <v>0</v>
      </c>
      <c r="Q2215" s="31" t="str">
        <f t="shared" si="137"/>
        <v/>
      </c>
      <c r="R2215" s="32" t="str">
        <f>IFERROR(VLOOKUP($D2215,'Informations sur les produits'!$A$3:$B$15000,2,FALSE),"")</f>
        <v/>
      </c>
      <c r="V2215">
        <f t="shared" si="138"/>
        <v>0</v>
      </c>
      <c r="W2215">
        <f t="shared" si="139"/>
        <v>0</v>
      </c>
    </row>
    <row r="2216" spans="5:23" x14ac:dyDescent="0.25">
      <c r="E2216" s="4"/>
      <c r="F2216" s="4"/>
      <c r="G2216" s="33" t="str">
        <f>IFERROR(VLOOKUP($D2216,'Informations sur les produits'!$A$3:$H$10000,8,FALSE),"0")</f>
        <v>0</v>
      </c>
      <c r="K2216" s="4"/>
      <c r="L2216" s="33" t="str">
        <f>IFERROR(VLOOKUP($J2216,'Informations sur les produits'!$A$3:$H$10000,8,FALSE),"0")</f>
        <v>0</v>
      </c>
      <c r="N2216" s="8"/>
      <c r="O2216" s="33" t="str">
        <f>IFERROR(VLOOKUP($M2216,'Informations sur les produits'!$A$3:$H$10000,8,FALSE),"0")</f>
        <v>0</v>
      </c>
      <c r="P2216" s="33">
        <f t="shared" si="136"/>
        <v>0</v>
      </c>
      <c r="Q2216" s="31" t="str">
        <f t="shared" si="137"/>
        <v/>
      </c>
      <c r="R2216" s="32" t="str">
        <f>IFERROR(VLOOKUP($D2216,'Informations sur les produits'!$A$3:$B$15000,2,FALSE),"")</f>
        <v/>
      </c>
      <c r="V2216">
        <f t="shared" si="138"/>
        <v>0</v>
      </c>
      <c r="W2216">
        <f t="shared" si="139"/>
        <v>0</v>
      </c>
    </row>
    <row r="2217" spans="5:23" x14ac:dyDescent="0.25">
      <c r="E2217" s="4"/>
      <c r="F2217" s="4"/>
      <c r="G2217" s="33" t="str">
        <f>IFERROR(VLOOKUP($D2217,'Informations sur les produits'!$A$3:$H$10000,8,FALSE),"0")</f>
        <v>0</v>
      </c>
      <c r="K2217" s="4"/>
      <c r="L2217" s="33" t="str">
        <f>IFERROR(VLOOKUP($J2217,'Informations sur les produits'!$A$3:$H$10000,8,FALSE),"0")</f>
        <v>0</v>
      </c>
      <c r="N2217" s="8"/>
      <c r="O2217" s="33" t="str">
        <f>IFERROR(VLOOKUP($M2217,'Informations sur les produits'!$A$3:$H$10000,8,FALSE),"0")</f>
        <v>0</v>
      </c>
      <c r="P2217" s="33">
        <f t="shared" si="136"/>
        <v>0</v>
      </c>
      <c r="Q2217" s="31" t="str">
        <f t="shared" si="137"/>
        <v/>
      </c>
      <c r="R2217" s="32" t="str">
        <f>IFERROR(VLOOKUP($D2217,'Informations sur les produits'!$A$3:$B$15000,2,FALSE),"")</f>
        <v/>
      </c>
      <c r="V2217">
        <f t="shared" si="138"/>
        <v>0</v>
      </c>
      <c r="W2217">
        <f t="shared" si="139"/>
        <v>0</v>
      </c>
    </row>
    <row r="2218" spans="5:23" x14ac:dyDescent="0.25">
      <c r="E2218" s="4"/>
      <c r="F2218" s="4"/>
      <c r="G2218" s="33" t="str">
        <f>IFERROR(VLOOKUP($D2218,'Informations sur les produits'!$A$3:$H$10000,8,FALSE),"0")</f>
        <v>0</v>
      </c>
      <c r="K2218" s="4"/>
      <c r="L2218" s="33" t="str">
        <f>IFERROR(VLOOKUP($J2218,'Informations sur les produits'!$A$3:$H$10000,8,FALSE),"0")</f>
        <v>0</v>
      </c>
      <c r="N2218" s="8"/>
      <c r="O2218" s="33" t="str">
        <f>IFERROR(VLOOKUP($M2218,'Informations sur les produits'!$A$3:$H$10000,8,FALSE),"0")</f>
        <v>0</v>
      </c>
      <c r="P2218" s="33">
        <f t="shared" si="136"/>
        <v>0</v>
      </c>
      <c r="Q2218" s="31" t="str">
        <f t="shared" si="137"/>
        <v/>
      </c>
      <c r="R2218" s="32" t="str">
        <f>IFERROR(VLOOKUP($D2218,'Informations sur les produits'!$A$3:$B$15000,2,FALSE),"")</f>
        <v/>
      </c>
      <c r="V2218">
        <f t="shared" si="138"/>
        <v>0</v>
      </c>
      <c r="W2218">
        <f t="shared" si="139"/>
        <v>0</v>
      </c>
    </row>
    <row r="2219" spans="5:23" x14ac:dyDescent="0.25">
      <c r="E2219" s="4"/>
      <c r="F2219" s="4"/>
      <c r="G2219" s="33" t="str">
        <f>IFERROR(VLOOKUP($D2219,'Informations sur les produits'!$A$3:$H$10000,8,FALSE),"0")</f>
        <v>0</v>
      </c>
      <c r="K2219" s="4"/>
      <c r="L2219" s="33" t="str">
        <f>IFERROR(VLOOKUP($J2219,'Informations sur les produits'!$A$3:$H$10000,8,FALSE),"0")</f>
        <v>0</v>
      </c>
      <c r="N2219" s="8"/>
      <c r="O2219" s="33" t="str">
        <f>IFERROR(VLOOKUP($M2219,'Informations sur les produits'!$A$3:$H$10000,8,FALSE),"0")</f>
        <v>0</v>
      </c>
      <c r="P2219" s="33">
        <f t="shared" si="136"/>
        <v>0</v>
      </c>
      <c r="Q2219" s="31" t="str">
        <f t="shared" si="137"/>
        <v/>
      </c>
      <c r="R2219" s="32" t="str">
        <f>IFERROR(VLOOKUP($D2219,'Informations sur les produits'!$A$3:$B$15000,2,FALSE),"")</f>
        <v/>
      </c>
      <c r="V2219">
        <f t="shared" si="138"/>
        <v>0</v>
      </c>
      <c r="W2219">
        <f t="shared" si="139"/>
        <v>0</v>
      </c>
    </row>
    <row r="2220" spans="5:23" x14ac:dyDescent="0.25">
      <c r="E2220" s="4"/>
      <c r="F2220" s="4"/>
      <c r="G2220" s="33" t="str">
        <f>IFERROR(VLOOKUP($D2220,'Informations sur les produits'!$A$3:$H$10000,8,FALSE),"0")</f>
        <v>0</v>
      </c>
      <c r="K2220" s="4"/>
      <c r="L2220" s="33" t="str">
        <f>IFERROR(VLOOKUP($J2220,'Informations sur les produits'!$A$3:$H$10000,8,FALSE),"0")</f>
        <v>0</v>
      </c>
      <c r="N2220" s="8"/>
      <c r="O2220" s="33" t="str">
        <f>IFERROR(VLOOKUP($M2220,'Informations sur les produits'!$A$3:$H$10000,8,FALSE),"0")</f>
        <v>0</v>
      </c>
      <c r="P2220" s="33">
        <f t="shared" si="136"/>
        <v>0</v>
      </c>
      <c r="Q2220" s="31" t="str">
        <f t="shared" si="137"/>
        <v/>
      </c>
      <c r="R2220" s="32" t="str">
        <f>IFERROR(VLOOKUP($D2220,'Informations sur les produits'!$A$3:$B$15000,2,FALSE),"")</f>
        <v/>
      </c>
      <c r="V2220">
        <f t="shared" si="138"/>
        <v>0</v>
      </c>
      <c r="W2220">
        <f t="shared" si="139"/>
        <v>0</v>
      </c>
    </row>
    <row r="2221" spans="5:23" x14ac:dyDescent="0.25">
      <c r="E2221" s="4"/>
      <c r="F2221" s="4"/>
      <c r="G2221" s="33" t="str">
        <f>IFERROR(VLOOKUP($D2221,'Informations sur les produits'!$A$3:$H$10000,8,FALSE),"0")</f>
        <v>0</v>
      </c>
      <c r="K2221" s="4"/>
      <c r="L2221" s="33" t="str">
        <f>IFERROR(VLOOKUP($J2221,'Informations sur les produits'!$A$3:$H$10000,8,FALSE),"0")</f>
        <v>0</v>
      </c>
      <c r="N2221" s="8"/>
      <c r="O2221" s="33" t="str">
        <f>IFERROR(VLOOKUP($M2221,'Informations sur les produits'!$A$3:$H$10000,8,FALSE),"0")</f>
        <v>0</v>
      </c>
      <c r="P2221" s="33">
        <f t="shared" si="136"/>
        <v>0</v>
      </c>
      <c r="Q2221" s="31" t="str">
        <f t="shared" si="137"/>
        <v/>
      </c>
      <c r="R2221" s="32" t="str">
        <f>IFERROR(VLOOKUP($D2221,'Informations sur les produits'!$A$3:$B$15000,2,FALSE),"")</f>
        <v/>
      </c>
      <c r="V2221">
        <f t="shared" si="138"/>
        <v>0</v>
      </c>
      <c r="W2221">
        <f t="shared" si="139"/>
        <v>0</v>
      </c>
    </row>
    <row r="2222" spans="5:23" x14ac:dyDescent="0.25">
      <c r="E2222" s="4"/>
      <c r="F2222" s="4"/>
      <c r="G2222" s="33" t="str">
        <f>IFERROR(VLOOKUP($D2222,'Informations sur les produits'!$A$3:$H$10000,8,FALSE),"0")</f>
        <v>0</v>
      </c>
      <c r="K2222" s="4"/>
      <c r="L2222" s="33" t="str">
        <f>IFERROR(VLOOKUP($J2222,'Informations sur les produits'!$A$3:$H$10000,8,FALSE),"0")</f>
        <v>0</v>
      </c>
      <c r="N2222" s="8"/>
      <c r="O2222" s="33" t="str">
        <f>IFERROR(VLOOKUP($M2222,'Informations sur les produits'!$A$3:$H$10000,8,FALSE),"0")</f>
        <v>0</v>
      </c>
      <c r="P2222" s="33">
        <f t="shared" si="136"/>
        <v>0</v>
      </c>
      <c r="Q2222" s="31" t="str">
        <f t="shared" si="137"/>
        <v/>
      </c>
      <c r="R2222" s="32" t="str">
        <f>IFERROR(VLOOKUP($D2222,'Informations sur les produits'!$A$3:$B$15000,2,FALSE),"")</f>
        <v/>
      </c>
      <c r="V2222">
        <f t="shared" si="138"/>
        <v>0</v>
      </c>
      <c r="W2222">
        <f t="shared" si="139"/>
        <v>0</v>
      </c>
    </row>
    <row r="2223" spans="5:23" x14ac:dyDescent="0.25">
      <c r="E2223" s="4"/>
      <c r="F2223" s="4"/>
      <c r="G2223" s="33" t="str">
        <f>IFERROR(VLOOKUP($D2223,'Informations sur les produits'!$A$3:$H$10000,8,FALSE),"0")</f>
        <v>0</v>
      </c>
      <c r="K2223" s="4"/>
      <c r="L2223" s="33" t="str">
        <f>IFERROR(VLOOKUP($J2223,'Informations sur les produits'!$A$3:$H$10000,8,FALSE),"0")</f>
        <v>0</v>
      </c>
      <c r="N2223" s="8"/>
      <c r="O2223" s="33" t="str">
        <f>IFERROR(VLOOKUP($M2223,'Informations sur les produits'!$A$3:$H$10000,8,FALSE),"0")</f>
        <v>0</v>
      </c>
      <c r="P2223" s="33">
        <f t="shared" si="136"/>
        <v>0</v>
      </c>
      <c r="Q2223" s="31" t="str">
        <f t="shared" si="137"/>
        <v/>
      </c>
      <c r="R2223" s="32" t="str">
        <f>IFERROR(VLOOKUP($D2223,'Informations sur les produits'!$A$3:$B$15000,2,FALSE),"")</f>
        <v/>
      </c>
      <c r="V2223">
        <f t="shared" si="138"/>
        <v>0</v>
      </c>
      <c r="W2223">
        <f t="shared" si="139"/>
        <v>0</v>
      </c>
    </row>
    <row r="2224" spans="5:23" x14ac:dyDescent="0.25">
      <c r="E2224" s="4"/>
      <c r="F2224" s="4"/>
      <c r="G2224" s="33" t="str">
        <f>IFERROR(VLOOKUP($D2224,'Informations sur les produits'!$A$3:$H$10000,8,FALSE),"0")</f>
        <v>0</v>
      </c>
      <c r="K2224" s="4"/>
      <c r="L2224" s="33" t="str">
        <f>IFERROR(VLOOKUP($J2224,'Informations sur les produits'!$A$3:$H$10000,8,FALSE),"0")</f>
        <v>0</v>
      </c>
      <c r="N2224" s="8"/>
      <c r="O2224" s="33" t="str">
        <f>IFERROR(VLOOKUP($M2224,'Informations sur les produits'!$A$3:$H$10000,8,FALSE),"0")</f>
        <v>0</v>
      </c>
      <c r="P2224" s="33">
        <f t="shared" si="136"/>
        <v>0</v>
      </c>
      <c r="Q2224" s="31" t="str">
        <f t="shared" si="137"/>
        <v/>
      </c>
      <c r="R2224" s="32" t="str">
        <f>IFERROR(VLOOKUP($D2224,'Informations sur les produits'!$A$3:$B$15000,2,FALSE),"")</f>
        <v/>
      </c>
      <c r="V2224">
        <f t="shared" si="138"/>
        <v>0</v>
      </c>
      <c r="W2224">
        <f t="shared" si="139"/>
        <v>0</v>
      </c>
    </row>
    <row r="2225" spans="5:23" x14ac:dyDescent="0.25">
      <c r="E2225" s="4"/>
      <c r="F2225" s="4"/>
      <c r="G2225" s="33" t="str">
        <f>IFERROR(VLOOKUP($D2225,'Informations sur les produits'!$A$3:$H$10000,8,FALSE),"0")</f>
        <v>0</v>
      </c>
      <c r="K2225" s="4"/>
      <c r="L2225" s="33" t="str">
        <f>IFERROR(VLOOKUP($J2225,'Informations sur les produits'!$A$3:$H$10000,8,FALSE),"0")</f>
        <v>0</v>
      </c>
      <c r="N2225" s="8"/>
      <c r="O2225" s="33" t="str">
        <f>IFERROR(VLOOKUP($M2225,'Informations sur les produits'!$A$3:$H$10000,8,FALSE),"0")</f>
        <v>0</v>
      </c>
      <c r="P2225" s="33">
        <f t="shared" si="136"/>
        <v>0</v>
      </c>
      <c r="Q2225" s="31" t="str">
        <f t="shared" si="137"/>
        <v/>
      </c>
      <c r="R2225" s="32" t="str">
        <f>IFERROR(VLOOKUP($D2225,'Informations sur les produits'!$A$3:$B$15000,2,FALSE),"")</f>
        <v/>
      </c>
      <c r="V2225">
        <f t="shared" si="138"/>
        <v>0</v>
      </c>
      <c r="W2225">
        <f t="shared" si="139"/>
        <v>0</v>
      </c>
    </row>
    <row r="2226" spans="5:23" x14ac:dyDescent="0.25">
      <c r="E2226" s="4"/>
      <c r="F2226" s="4"/>
      <c r="G2226" s="33" t="str">
        <f>IFERROR(VLOOKUP($D2226,'Informations sur les produits'!$A$3:$H$10000,8,FALSE),"0")</f>
        <v>0</v>
      </c>
      <c r="K2226" s="4"/>
      <c r="L2226" s="33" t="str">
        <f>IFERROR(VLOOKUP($J2226,'Informations sur les produits'!$A$3:$H$10000,8,FALSE),"0")</f>
        <v>0</v>
      </c>
      <c r="N2226" s="8"/>
      <c r="O2226" s="33" t="str">
        <f>IFERROR(VLOOKUP($M2226,'Informations sur les produits'!$A$3:$H$10000,8,FALSE),"0")</f>
        <v>0</v>
      </c>
      <c r="P2226" s="33">
        <f t="shared" si="136"/>
        <v>0</v>
      </c>
      <c r="Q2226" s="31" t="str">
        <f t="shared" si="137"/>
        <v/>
      </c>
      <c r="R2226" s="32" t="str">
        <f>IFERROR(VLOOKUP($D2226,'Informations sur les produits'!$A$3:$B$15000,2,FALSE),"")</f>
        <v/>
      </c>
      <c r="V2226">
        <f t="shared" si="138"/>
        <v>0</v>
      </c>
      <c r="W2226">
        <f t="shared" si="139"/>
        <v>0</v>
      </c>
    </row>
    <row r="2227" spans="5:23" x14ac:dyDescent="0.25">
      <c r="E2227" s="4"/>
      <c r="F2227" s="4"/>
      <c r="G2227" s="33" t="str">
        <f>IFERROR(VLOOKUP($D2227,'Informations sur les produits'!$A$3:$H$10000,8,FALSE),"0")</f>
        <v>0</v>
      </c>
      <c r="K2227" s="4"/>
      <c r="L2227" s="33" t="str">
        <f>IFERROR(VLOOKUP($J2227,'Informations sur les produits'!$A$3:$H$10000,8,FALSE),"0")</f>
        <v>0</v>
      </c>
      <c r="N2227" s="8"/>
      <c r="O2227" s="33" t="str">
        <f>IFERROR(VLOOKUP($M2227,'Informations sur les produits'!$A$3:$H$10000,8,FALSE),"0")</f>
        <v>0</v>
      </c>
      <c r="P2227" s="33">
        <f t="shared" si="136"/>
        <v>0</v>
      </c>
      <c r="Q2227" s="31" t="str">
        <f t="shared" si="137"/>
        <v/>
      </c>
      <c r="R2227" s="32" t="str">
        <f>IFERROR(VLOOKUP($D2227,'Informations sur les produits'!$A$3:$B$15000,2,FALSE),"")</f>
        <v/>
      </c>
      <c r="V2227">
        <f t="shared" si="138"/>
        <v>0</v>
      </c>
      <c r="W2227">
        <f t="shared" si="139"/>
        <v>0</v>
      </c>
    </row>
    <row r="2228" spans="5:23" x14ac:dyDescent="0.25">
      <c r="E2228" s="4"/>
      <c r="F2228" s="4"/>
      <c r="G2228" s="33" t="str">
        <f>IFERROR(VLOOKUP($D2228,'Informations sur les produits'!$A$3:$H$10000,8,FALSE),"0")</f>
        <v>0</v>
      </c>
      <c r="K2228" s="4"/>
      <c r="L2228" s="33" t="str">
        <f>IFERROR(VLOOKUP($J2228,'Informations sur les produits'!$A$3:$H$10000,8,FALSE),"0")</f>
        <v>0</v>
      </c>
      <c r="N2228" s="8"/>
      <c r="O2228" s="33" t="str">
        <f>IFERROR(VLOOKUP($M2228,'Informations sur les produits'!$A$3:$H$10000,8,FALSE),"0")</f>
        <v>0</v>
      </c>
      <c r="P2228" s="33">
        <f t="shared" si="136"/>
        <v>0</v>
      </c>
      <c r="Q2228" s="31" t="str">
        <f t="shared" si="137"/>
        <v/>
      </c>
      <c r="R2228" s="32" t="str">
        <f>IFERROR(VLOOKUP($D2228,'Informations sur les produits'!$A$3:$B$15000,2,FALSE),"")</f>
        <v/>
      </c>
      <c r="V2228">
        <f t="shared" si="138"/>
        <v>0</v>
      </c>
      <c r="W2228">
        <f t="shared" si="139"/>
        <v>0</v>
      </c>
    </row>
    <row r="2229" spans="5:23" x14ac:dyDescent="0.25">
      <c r="E2229" s="4"/>
      <c r="F2229" s="4"/>
      <c r="G2229" s="33" t="str">
        <f>IFERROR(VLOOKUP($D2229,'Informations sur les produits'!$A$3:$H$10000,8,FALSE),"0")</f>
        <v>0</v>
      </c>
      <c r="K2229" s="4"/>
      <c r="L2229" s="33" t="str">
        <f>IFERROR(VLOOKUP($J2229,'Informations sur les produits'!$A$3:$H$10000,8,FALSE),"0")</f>
        <v>0</v>
      </c>
      <c r="N2229" s="8"/>
      <c r="O2229" s="33" t="str">
        <f>IFERROR(VLOOKUP($M2229,'Informations sur les produits'!$A$3:$H$10000,8,FALSE),"0")</f>
        <v>0</v>
      </c>
      <c r="P2229" s="33">
        <f t="shared" si="136"/>
        <v>0</v>
      </c>
      <c r="Q2229" s="31" t="str">
        <f t="shared" si="137"/>
        <v/>
      </c>
      <c r="R2229" s="32" t="str">
        <f>IFERROR(VLOOKUP($D2229,'Informations sur les produits'!$A$3:$B$15000,2,FALSE),"")</f>
        <v/>
      </c>
      <c r="V2229">
        <f t="shared" si="138"/>
        <v>0</v>
      </c>
      <c r="W2229">
        <f t="shared" si="139"/>
        <v>0</v>
      </c>
    </row>
    <row r="2230" spans="5:23" x14ac:dyDescent="0.25">
      <c r="E2230" s="4"/>
      <c r="F2230" s="4"/>
      <c r="G2230" s="33" t="str">
        <f>IFERROR(VLOOKUP($D2230,'Informations sur les produits'!$A$3:$H$10000,8,FALSE),"0")</f>
        <v>0</v>
      </c>
      <c r="K2230" s="4"/>
      <c r="L2230" s="33" t="str">
        <f>IFERROR(VLOOKUP($J2230,'Informations sur les produits'!$A$3:$H$10000,8,FALSE),"0")</f>
        <v>0</v>
      </c>
      <c r="N2230" s="8"/>
      <c r="O2230" s="33" t="str">
        <f>IFERROR(VLOOKUP($M2230,'Informations sur les produits'!$A$3:$H$10000,8,FALSE),"0")</f>
        <v>0</v>
      </c>
      <c r="P2230" s="33">
        <f t="shared" si="136"/>
        <v>0</v>
      </c>
      <c r="Q2230" s="31" t="str">
        <f t="shared" si="137"/>
        <v/>
      </c>
      <c r="R2230" s="32" t="str">
        <f>IFERROR(VLOOKUP($D2230,'Informations sur les produits'!$A$3:$B$15000,2,FALSE),"")</f>
        <v/>
      </c>
      <c r="V2230">
        <f t="shared" si="138"/>
        <v>0</v>
      </c>
      <c r="W2230">
        <f t="shared" si="139"/>
        <v>0</v>
      </c>
    </row>
    <row r="2231" spans="5:23" x14ac:dyDescent="0.25">
      <c r="E2231" s="4"/>
      <c r="F2231" s="4"/>
      <c r="G2231" s="33" t="str">
        <f>IFERROR(VLOOKUP($D2231,'Informations sur les produits'!$A$3:$H$10000,8,FALSE),"0")</f>
        <v>0</v>
      </c>
      <c r="K2231" s="4"/>
      <c r="L2231" s="33" t="str">
        <f>IFERROR(VLOOKUP($J2231,'Informations sur les produits'!$A$3:$H$10000,8,FALSE),"0")</f>
        <v>0</v>
      </c>
      <c r="N2231" s="8"/>
      <c r="O2231" s="33" t="str">
        <f>IFERROR(VLOOKUP($M2231,'Informations sur les produits'!$A$3:$H$10000,8,FALSE),"0")</f>
        <v>0</v>
      </c>
      <c r="P2231" s="33">
        <f t="shared" si="136"/>
        <v>0</v>
      </c>
      <c r="Q2231" s="31" t="str">
        <f t="shared" si="137"/>
        <v/>
      </c>
      <c r="R2231" s="32" t="str">
        <f>IFERROR(VLOOKUP($D2231,'Informations sur les produits'!$A$3:$B$15000,2,FALSE),"")</f>
        <v/>
      </c>
      <c r="V2231">
        <f t="shared" si="138"/>
        <v>0</v>
      </c>
      <c r="W2231">
        <f t="shared" si="139"/>
        <v>0</v>
      </c>
    </row>
    <row r="2232" spans="5:23" x14ac:dyDescent="0.25">
      <c r="E2232" s="4"/>
      <c r="F2232" s="4"/>
      <c r="G2232" s="33" t="str">
        <f>IFERROR(VLOOKUP($D2232,'Informations sur les produits'!$A$3:$H$10000,8,FALSE),"0")</f>
        <v>0</v>
      </c>
      <c r="K2232" s="4"/>
      <c r="L2232" s="33" t="str">
        <f>IFERROR(VLOOKUP($J2232,'Informations sur les produits'!$A$3:$H$10000,8,FALSE),"0")</f>
        <v>0</v>
      </c>
      <c r="N2232" s="8"/>
      <c r="O2232" s="33" t="str">
        <f>IFERROR(VLOOKUP($M2232,'Informations sur les produits'!$A$3:$H$10000,8,FALSE),"0")</f>
        <v>0</v>
      </c>
      <c r="P2232" s="33">
        <f t="shared" si="136"/>
        <v>0</v>
      </c>
      <c r="Q2232" s="31" t="str">
        <f t="shared" si="137"/>
        <v/>
      </c>
      <c r="R2232" s="32" t="str">
        <f>IFERROR(VLOOKUP($D2232,'Informations sur les produits'!$A$3:$B$15000,2,FALSE),"")</f>
        <v/>
      </c>
      <c r="V2232">
        <f t="shared" si="138"/>
        <v>0</v>
      </c>
      <c r="W2232">
        <f t="shared" si="139"/>
        <v>0</v>
      </c>
    </row>
    <row r="2233" spans="5:23" x14ac:dyDescent="0.25">
      <c r="E2233" s="4"/>
      <c r="F2233" s="4"/>
      <c r="G2233" s="33" t="str">
        <f>IFERROR(VLOOKUP($D2233,'Informations sur les produits'!$A$3:$H$10000,8,FALSE),"0")</f>
        <v>0</v>
      </c>
      <c r="K2233" s="4"/>
      <c r="L2233" s="33" t="str">
        <f>IFERROR(VLOOKUP($J2233,'Informations sur les produits'!$A$3:$H$10000,8,FALSE),"0")</f>
        <v>0</v>
      </c>
      <c r="N2233" s="8"/>
      <c r="O2233" s="33" t="str">
        <f>IFERROR(VLOOKUP($M2233,'Informations sur les produits'!$A$3:$H$10000,8,FALSE),"0")</f>
        <v>0</v>
      </c>
      <c r="P2233" s="33">
        <f t="shared" si="136"/>
        <v>0</v>
      </c>
      <c r="Q2233" s="31" t="str">
        <f t="shared" si="137"/>
        <v/>
      </c>
      <c r="R2233" s="32" t="str">
        <f>IFERROR(VLOOKUP($D2233,'Informations sur les produits'!$A$3:$B$15000,2,FALSE),"")</f>
        <v/>
      </c>
      <c r="V2233">
        <f t="shared" si="138"/>
        <v>0</v>
      </c>
      <c r="W2233">
        <f t="shared" si="139"/>
        <v>0</v>
      </c>
    </row>
    <row r="2234" spans="5:23" x14ac:dyDescent="0.25">
      <c r="E2234" s="4"/>
      <c r="F2234" s="4"/>
      <c r="G2234" s="33" t="str">
        <f>IFERROR(VLOOKUP($D2234,'Informations sur les produits'!$A$3:$H$10000,8,FALSE),"0")</f>
        <v>0</v>
      </c>
      <c r="K2234" s="4"/>
      <c r="L2234" s="33" t="str">
        <f>IFERROR(VLOOKUP($J2234,'Informations sur les produits'!$A$3:$H$10000,8,FALSE),"0")</f>
        <v>0</v>
      </c>
      <c r="N2234" s="8"/>
      <c r="O2234" s="33" t="str">
        <f>IFERROR(VLOOKUP($M2234,'Informations sur les produits'!$A$3:$H$10000,8,FALSE),"0")</f>
        <v>0</v>
      </c>
      <c r="P2234" s="33">
        <f t="shared" si="136"/>
        <v>0</v>
      </c>
      <c r="Q2234" s="31" t="str">
        <f t="shared" si="137"/>
        <v/>
      </c>
      <c r="R2234" s="32" t="str">
        <f>IFERROR(VLOOKUP($D2234,'Informations sur les produits'!$A$3:$B$15000,2,FALSE),"")</f>
        <v/>
      </c>
      <c r="V2234">
        <f t="shared" si="138"/>
        <v>0</v>
      </c>
      <c r="W2234">
        <f t="shared" si="139"/>
        <v>0</v>
      </c>
    </row>
    <row r="2235" spans="5:23" x14ac:dyDescent="0.25">
      <c r="E2235" s="4"/>
      <c r="F2235" s="4"/>
      <c r="G2235" s="33" t="str">
        <f>IFERROR(VLOOKUP($D2235,'Informations sur les produits'!$A$3:$H$10000,8,FALSE),"0")</f>
        <v>0</v>
      </c>
      <c r="K2235" s="4"/>
      <c r="L2235" s="33" t="str">
        <f>IFERROR(VLOOKUP($J2235,'Informations sur les produits'!$A$3:$H$10000,8,FALSE),"0")</f>
        <v>0</v>
      </c>
      <c r="N2235" s="8"/>
      <c r="O2235" s="33" t="str">
        <f>IFERROR(VLOOKUP($M2235,'Informations sur les produits'!$A$3:$H$10000,8,FALSE),"0")</f>
        <v>0</v>
      </c>
      <c r="P2235" s="33">
        <f t="shared" si="136"/>
        <v>0</v>
      </c>
      <c r="Q2235" s="31" t="str">
        <f t="shared" si="137"/>
        <v/>
      </c>
      <c r="R2235" s="32" t="str">
        <f>IFERROR(VLOOKUP($D2235,'Informations sur les produits'!$A$3:$B$15000,2,FALSE),"")</f>
        <v/>
      </c>
      <c r="V2235">
        <f t="shared" si="138"/>
        <v>0</v>
      </c>
      <c r="W2235">
        <f t="shared" si="139"/>
        <v>0</v>
      </c>
    </row>
    <row r="2236" spans="5:23" x14ac:dyDescent="0.25">
      <c r="E2236" s="4"/>
      <c r="F2236" s="4"/>
      <c r="G2236" s="33" t="str">
        <f>IFERROR(VLOOKUP($D2236,'Informations sur les produits'!$A$3:$H$10000,8,FALSE),"0")</f>
        <v>0</v>
      </c>
      <c r="K2236" s="4"/>
      <c r="L2236" s="33" t="str">
        <f>IFERROR(VLOOKUP($J2236,'Informations sur les produits'!$A$3:$H$10000,8,FALSE),"0")</f>
        <v>0</v>
      </c>
      <c r="N2236" s="8"/>
      <c r="O2236" s="33" t="str">
        <f>IFERROR(VLOOKUP($M2236,'Informations sur les produits'!$A$3:$H$10000,8,FALSE),"0")</f>
        <v>0</v>
      </c>
      <c r="P2236" s="33">
        <f t="shared" si="136"/>
        <v>0</v>
      </c>
      <c r="Q2236" s="31" t="str">
        <f t="shared" si="137"/>
        <v/>
      </c>
      <c r="R2236" s="32" t="str">
        <f>IFERROR(VLOOKUP($D2236,'Informations sur les produits'!$A$3:$B$15000,2,FALSE),"")</f>
        <v/>
      </c>
      <c r="V2236">
        <f t="shared" si="138"/>
        <v>0</v>
      </c>
      <c r="W2236">
        <f t="shared" si="139"/>
        <v>0</v>
      </c>
    </row>
    <row r="2237" spans="5:23" x14ac:dyDescent="0.25">
      <c r="E2237" s="4"/>
      <c r="F2237" s="4"/>
      <c r="G2237" s="33" t="str">
        <f>IFERROR(VLOOKUP($D2237,'Informations sur les produits'!$A$3:$H$10000,8,FALSE),"0")</f>
        <v>0</v>
      </c>
      <c r="K2237" s="4"/>
      <c r="L2237" s="33" t="str">
        <f>IFERROR(VLOOKUP($J2237,'Informations sur les produits'!$A$3:$H$10000,8,FALSE),"0")</f>
        <v>0</v>
      </c>
      <c r="N2237" s="8"/>
      <c r="O2237" s="33" t="str">
        <f>IFERROR(VLOOKUP($M2237,'Informations sur les produits'!$A$3:$H$10000,8,FALSE),"0")</f>
        <v>0</v>
      </c>
      <c r="P2237" s="33">
        <f t="shared" si="136"/>
        <v>0</v>
      </c>
      <c r="Q2237" s="31" t="str">
        <f t="shared" si="137"/>
        <v/>
      </c>
      <c r="R2237" s="32" t="str">
        <f>IFERROR(VLOOKUP($D2237,'Informations sur les produits'!$A$3:$B$15000,2,FALSE),"")</f>
        <v/>
      </c>
      <c r="V2237">
        <f t="shared" si="138"/>
        <v>0</v>
      </c>
      <c r="W2237">
        <f t="shared" si="139"/>
        <v>0</v>
      </c>
    </row>
    <row r="2238" spans="5:23" x14ac:dyDescent="0.25">
      <c r="E2238" s="4"/>
      <c r="F2238" s="4"/>
      <c r="G2238" s="33" t="str">
        <f>IFERROR(VLOOKUP($D2238,'Informations sur les produits'!$A$3:$H$10000,8,FALSE),"0")</f>
        <v>0</v>
      </c>
      <c r="K2238" s="4"/>
      <c r="L2238" s="33" t="str">
        <f>IFERROR(VLOOKUP($J2238,'Informations sur les produits'!$A$3:$H$10000,8,FALSE),"0")</f>
        <v>0</v>
      </c>
      <c r="N2238" s="8"/>
      <c r="O2238" s="33" t="str">
        <f>IFERROR(VLOOKUP($M2238,'Informations sur les produits'!$A$3:$H$10000,8,FALSE),"0")</f>
        <v>0</v>
      </c>
      <c r="P2238" s="33">
        <f t="shared" si="136"/>
        <v>0</v>
      </c>
      <c r="Q2238" s="31" t="str">
        <f t="shared" si="137"/>
        <v/>
      </c>
      <c r="R2238" s="32" t="str">
        <f>IFERROR(VLOOKUP($D2238,'Informations sur les produits'!$A$3:$B$15000,2,FALSE),"")</f>
        <v/>
      </c>
      <c r="V2238">
        <f t="shared" si="138"/>
        <v>0</v>
      </c>
      <c r="W2238">
        <f t="shared" si="139"/>
        <v>0</v>
      </c>
    </row>
    <row r="2239" spans="5:23" x14ac:dyDescent="0.25">
      <c r="E2239" s="4"/>
      <c r="F2239" s="4"/>
      <c r="G2239" s="33" t="str">
        <f>IFERROR(VLOOKUP($D2239,'Informations sur les produits'!$A$3:$H$10000,8,FALSE),"0")</f>
        <v>0</v>
      </c>
      <c r="K2239" s="4"/>
      <c r="L2239" s="33" t="str">
        <f>IFERROR(VLOOKUP($J2239,'Informations sur les produits'!$A$3:$H$10000,8,FALSE),"0")</f>
        <v>0</v>
      </c>
      <c r="N2239" s="8"/>
      <c r="O2239" s="33" t="str">
        <f>IFERROR(VLOOKUP($M2239,'Informations sur les produits'!$A$3:$H$10000,8,FALSE),"0")</f>
        <v>0</v>
      </c>
      <c r="P2239" s="33">
        <f t="shared" si="136"/>
        <v>0</v>
      </c>
      <c r="Q2239" s="31" t="str">
        <f t="shared" si="137"/>
        <v/>
      </c>
      <c r="R2239" s="32" t="str">
        <f>IFERROR(VLOOKUP($D2239,'Informations sur les produits'!$A$3:$B$15000,2,FALSE),"")</f>
        <v/>
      </c>
      <c r="V2239">
        <f t="shared" si="138"/>
        <v>0</v>
      </c>
      <c r="W2239">
        <f t="shared" si="139"/>
        <v>0</v>
      </c>
    </row>
    <row r="2240" spans="5:23" x14ac:dyDescent="0.25">
      <c r="E2240" s="4"/>
      <c r="F2240" s="4"/>
      <c r="G2240" s="33" t="str">
        <f>IFERROR(VLOOKUP($D2240,'Informations sur les produits'!$A$3:$H$10000,8,FALSE),"0")</f>
        <v>0</v>
      </c>
      <c r="K2240" s="4"/>
      <c r="L2240" s="33" t="str">
        <f>IFERROR(VLOOKUP($J2240,'Informations sur les produits'!$A$3:$H$10000,8,FALSE),"0")</f>
        <v>0</v>
      </c>
      <c r="N2240" s="8"/>
      <c r="O2240" s="33" t="str">
        <f>IFERROR(VLOOKUP($M2240,'Informations sur les produits'!$A$3:$H$10000,8,FALSE),"0")</f>
        <v>0</v>
      </c>
      <c r="P2240" s="33">
        <f t="shared" si="136"/>
        <v>0</v>
      </c>
      <c r="Q2240" s="31" t="str">
        <f t="shared" si="137"/>
        <v/>
      </c>
      <c r="R2240" s="32" t="str">
        <f>IFERROR(VLOOKUP($D2240,'Informations sur les produits'!$A$3:$B$15000,2,FALSE),"")</f>
        <v/>
      </c>
      <c r="V2240">
        <f t="shared" si="138"/>
        <v>0</v>
      </c>
      <c r="W2240">
        <f t="shared" si="139"/>
        <v>0</v>
      </c>
    </row>
    <row r="2241" spans="5:23" x14ac:dyDescent="0.25">
      <c r="E2241" s="4"/>
      <c r="F2241" s="4"/>
      <c r="G2241" s="33" t="str">
        <f>IFERROR(VLOOKUP($D2241,'Informations sur les produits'!$A$3:$H$10000,8,FALSE),"0")</f>
        <v>0</v>
      </c>
      <c r="K2241" s="4"/>
      <c r="L2241" s="33" t="str">
        <f>IFERROR(VLOOKUP($J2241,'Informations sur les produits'!$A$3:$H$10000,8,FALSE),"0")</f>
        <v>0</v>
      </c>
      <c r="N2241" s="8"/>
      <c r="O2241" s="33" t="str">
        <f>IFERROR(VLOOKUP($M2241,'Informations sur les produits'!$A$3:$H$10000,8,FALSE),"0")</f>
        <v>0</v>
      </c>
      <c r="P2241" s="33">
        <f t="shared" si="136"/>
        <v>0</v>
      </c>
      <c r="Q2241" s="31" t="str">
        <f t="shared" si="137"/>
        <v/>
      </c>
      <c r="R2241" s="32" t="str">
        <f>IFERROR(VLOOKUP($D2241,'Informations sur les produits'!$A$3:$B$15000,2,FALSE),"")</f>
        <v/>
      </c>
      <c r="V2241">
        <f t="shared" si="138"/>
        <v>0</v>
      </c>
      <c r="W2241">
        <f t="shared" si="139"/>
        <v>0</v>
      </c>
    </row>
    <row r="2242" spans="5:23" x14ac:dyDescent="0.25">
      <c r="E2242" s="4"/>
      <c r="F2242" s="4"/>
      <c r="G2242" s="33" t="str">
        <f>IFERROR(VLOOKUP($D2242,'Informations sur les produits'!$A$3:$H$10000,8,FALSE),"0")</f>
        <v>0</v>
      </c>
      <c r="K2242" s="4"/>
      <c r="L2242" s="33" t="str">
        <f>IFERROR(VLOOKUP($J2242,'Informations sur les produits'!$A$3:$H$10000,8,FALSE),"0")</f>
        <v>0</v>
      </c>
      <c r="N2242" s="8"/>
      <c r="O2242" s="33" t="str">
        <f>IFERROR(VLOOKUP($M2242,'Informations sur les produits'!$A$3:$H$10000,8,FALSE),"0")</f>
        <v>0</v>
      </c>
      <c r="P2242" s="33">
        <f t="shared" si="136"/>
        <v>0</v>
      </c>
      <c r="Q2242" s="31" t="str">
        <f t="shared" si="137"/>
        <v/>
      </c>
      <c r="R2242" s="32" t="str">
        <f>IFERROR(VLOOKUP($D2242,'Informations sur les produits'!$A$3:$B$15000,2,FALSE),"")</f>
        <v/>
      </c>
      <c r="V2242">
        <f t="shared" si="138"/>
        <v>0</v>
      </c>
      <c r="W2242">
        <f t="shared" si="139"/>
        <v>0</v>
      </c>
    </row>
    <row r="2243" spans="5:23" x14ac:dyDescent="0.25">
      <c r="E2243" s="4"/>
      <c r="F2243" s="4"/>
      <c r="G2243" s="33" t="str">
        <f>IFERROR(VLOOKUP($D2243,'Informations sur les produits'!$A$3:$H$10000,8,FALSE),"0")</f>
        <v>0</v>
      </c>
      <c r="K2243" s="4"/>
      <c r="L2243" s="33" t="str">
        <f>IFERROR(VLOOKUP($J2243,'Informations sur les produits'!$A$3:$H$10000,8,FALSE),"0")</f>
        <v>0</v>
      </c>
      <c r="N2243" s="8"/>
      <c r="O2243" s="33" t="str">
        <f>IFERROR(VLOOKUP($M2243,'Informations sur les produits'!$A$3:$H$10000,8,FALSE),"0")</f>
        <v>0</v>
      </c>
      <c r="P2243" s="33">
        <f t="shared" si="136"/>
        <v>0</v>
      </c>
      <c r="Q2243" s="31" t="str">
        <f t="shared" si="137"/>
        <v/>
      </c>
      <c r="R2243" s="32" t="str">
        <f>IFERROR(VLOOKUP($D2243,'Informations sur les produits'!$A$3:$B$15000,2,FALSE),"")</f>
        <v/>
      </c>
      <c r="V2243">
        <f t="shared" si="138"/>
        <v>0</v>
      </c>
      <c r="W2243">
        <f t="shared" si="139"/>
        <v>0</v>
      </c>
    </row>
    <row r="2244" spans="5:23" x14ac:dyDescent="0.25">
      <c r="E2244" s="4"/>
      <c r="F2244" s="4"/>
      <c r="G2244" s="33" t="str">
        <f>IFERROR(VLOOKUP($D2244,'Informations sur les produits'!$A$3:$H$10000,8,FALSE),"0")</f>
        <v>0</v>
      </c>
      <c r="K2244" s="4"/>
      <c r="L2244" s="33" t="str">
        <f>IFERROR(VLOOKUP($J2244,'Informations sur les produits'!$A$3:$H$10000,8,FALSE),"0")</f>
        <v>0</v>
      </c>
      <c r="N2244" s="8"/>
      <c r="O2244" s="33" t="str">
        <f>IFERROR(VLOOKUP($M2244,'Informations sur les produits'!$A$3:$H$10000,8,FALSE),"0")</f>
        <v>0</v>
      </c>
      <c r="P2244" s="33">
        <f t="shared" ref="P2244:P2307" si="140">IFERROR((($E2244-$F2244)*$G2244+$K2244*$L2244+$N2244*$O2244),"")</f>
        <v>0</v>
      </c>
      <c r="Q2244" s="31" t="str">
        <f t="shared" ref="Q2244:Q2307" si="141">IFERROR((((($E2244-$F2244)*$G2244+$K2244*$L2244+$N2244*$O2244)*1000)/(($E2244-$F2244)+$K2244+$N2244)),"")</f>
        <v/>
      </c>
      <c r="R2244" s="32" t="str">
        <f>IFERROR(VLOOKUP($D2244,'Informations sur les produits'!$A$3:$B$15000,2,FALSE),"")</f>
        <v/>
      </c>
      <c r="V2244">
        <f t="shared" ref="V2244:V2307" si="142">IFERROR(P2244*1000,"")</f>
        <v>0</v>
      </c>
      <c r="W2244">
        <f t="shared" ref="W2244:W2307" si="143">IFERROR(($E2244-$F2244)+$K2244+$N2244,"")</f>
        <v>0</v>
      </c>
    </row>
    <row r="2245" spans="5:23" x14ac:dyDescent="0.25">
      <c r="E2245" s="4"/>
      <c r="F2245" s="4"/>
      <c r="G2245" s="33" t="str">
        <f>IFERROR(VLOOKUP($D2245,'Informations sur les produits'!$A$3:$H$10000,8,FALSE),"0")</f>
        <v>0</v>
      </c>
      <c r="K2245" s="4"/>
      <c r="L2245" s="33" t="str">
        <f>IFERROR(VLOOKUP($J2245,'Informations sur les produits'!$A$3:$H$10000,8,FALSE),"0")</f>
        <v>0</v>
      </c>
      <c r="N2245" s="8"/>
      <c r="O2245" s="33" t="str">
        <f>IFERROR(VLOOKUP($M2245,'Informations sur les produits'!$A$3:$H$10000,8,FALSE),"0")</f>
        <v>0</v>
      </c>
      <c r="P2245" s="33">
        <f t="shared" si="140"/>
        <v>0</v>
      </c>
      <c r="Q2245" s="31" t="str">
        <f t="shared" si="141"/>
        <v/>
      </c>
      <c r="R2245" s="32" t="str">
        <f>IFERROR(VLOOKUP($D2245,'Informations sur les produits'!$A$3:$B$15000,2,FALSE),"")</f>
        <v/>
      </c>
      <c r="V2245">
        <f t="shared" si="142"/>
        <v>0</v>
      </c>
      <c r="W2245">
        <f t="shared" si="143"/>
        <v>0</v>
      </c>
    </row>
    <row r="2246" spans="5:23" x14ac:dyDescent="0.25">
      <c r="E2246" s="4"/>
      <c r="F2246" s="4"/>
      <c r="G2246" s="33" t="str">
        <f>IFERROR(VLOOKUP($D2246,'Informations sur les produits'!$A$3:$H$10000,8,FALSE),"0")</f>
        <v>0</v>
      </c>
      <c r="K2246" s="4"/>
      <c r="L2246" s="33" t="str">
        <f>IFERROR(VLOOKUP($J2246,'Informations sur les produits'!$A$3:$H$10000,8,FALSE),"0")</f>
        <v>0</v>
      </c>
      <c r="N2246" s="8"/>
      <c r="O2246" s="33" t="str">
        <f>IFERROR(VLOOKUP($M2246,'Informations sur les produits'!$A$3:$H$10000,8,FALSE),"0")</f>
        <v>0</v>
      </c>
      <c r="P2246" s="33">
        <f t="shared" si="140"/>
        <v>0</v>
      </c>
      <c r="Q2246" s="31" t="str">
        <f t="shared" si="141"/>
        <v/>
      </c>
      <c r="R2246" s="32" t="str">
        <f>IFERROR(VLOOKUP($D2246,'Informations sur les produits'!$A$3:$B$15000,2,FALSE),"")</f>
        <v/>
      </c>
      <c r="V2246">
        <f t="shared" si="142"/>
        <v>0</v>
      </c>
      <c r="W2246">
        <f t="shared" si="143"/>
        <v>0</v>
      </c>
    </row>
    <row r="2247" spans="5:23" x14ac:dyDescent="0.25">
      <c r="E2247" s="4"/>
      <c r="F2247" s="4"/>
      <c r="G2247" s="33" t="str">
        <f>IFERROR(VLOOKUP($D2247,'Informations sur les produits'!$A$3:$H$10000,8,FALSE),"0")</f>
        <v>0</v>
      </c>
      <c r="K2247" s="4"/>
      <c r="L2247" s="33" t="str">
        <f>IFERROR(VLOOKUP($J2247,'Informations sur les produits'!$A$3:$H$10000,8,FALSE),"0")</f>
        <v>0</v>
      </c>
      <c r="N2247" s="8"/>
      <c r="O2247" s="33" t="str">
        <f>IFERROR(VLOOKUP($M2247,'Informations sur les produits'!$A$3:$H$10000,8,FALSE),"0")</f>
        <v>0</v>
      </c>
      <c r="P2247" s="33">
        <f t="shared" si="140"/>
        <v>0</v>
      </c>
      <c r="Q2247" s="31" t="str">
        <f t="shared" si="141"/>
        <v/>
      </c>
      <c r="R2247" s="32" t="str">
        <f>IFERROR(VLOOKUP($D2247,'Informations sur les produits'!$A$3:$B$15000,2,FALSE),"")</f>
        <v/>
      </c>
      <c r="V2247">
        <f t="shared" si="142"/>
        <v>0</v>
      </c>
      <c r="W2247">
        <f t="shared" si="143"/>
        <v>0</v>
      </c>
    </row>
    <row r="2248" spans="5:23" x14ac:dyDescent="0.25">
      <c r="E2248" s="4"/>
      <c r="F2248" s="4"/>
      <c r="G2248" s="33" t="str">
        <f>IFERROR(VLOOKUP($D2248,'Informations sur les produits'!$A$3:$H$10000,8,FALSE),"0")</f>
        <v>0</v>
      </c>
      <c r="K2248" s="4"/>
      <c r="L2248" s="33" t="str">
        <f>IFERROR(VLOOKUP($J2248,'Informations sur les produits'!$A$3:$H$10000,8,FALSE),"0")</f>
        <v>0</v>
      </c>
      <c r="N2248" s="8"/>
      <c r="O2248" s="33" t="str">
        <f>IFERROR(VLOOKUP($M2248,'Informations sur les produits'!$A$3:$H$10000,8,FALSE),"0")</f>
        <v>0</v>
      </c>
      <c r="P2248" s="33">
        <f t="shared" si="140"/>
        <v>0</v>
      </c>
      <c r="Q2248" s="31" t="str">
        <f t="shared" si="141"/>
        <v/>
      </c>
      <c r="R2248" s="32" t="str">
        <f>IFERROR(VLOOKUP($D2248,'Informations sur les produits'!$A$3:$B$15000,2,FALSE),"")</f>
        <v/>
      </c>
      <c r="V2248">
        <f t="shared" si="142"/>
        <v>0</v>
      </c>
      <c r="W2248">
        <f t="shared" si="143"/>
        <v>0</v>
      </c>
    </row>
    <row r="2249" spans="5:23" x14ac:dyDescent="0.25">
      <c r="E2249" s="4"/>
      <c r="F2249" s="4"/>
      <c r="G2249" s="33" t="str">
        <f>IFERROR(VLOOKUP($D2249,'Informations sur les produits'!$A$3:$H$10000,8,FALSE),"0")</f>
        <v>0</v>
      </c>
      <c r="K2249" s="4"/>
      <c r="L2249" s="33" t="str">
        <f>IFERROR(VLOOKUP($J2249,'Informations sur les produits'!$A$3:$H$10000,8,FALSE),"0")</f>
        <v>0</v>
      </c>
      <c r="N2249" s="8"/>
      <c r="O2249" s="33" t="str">
        <f>IFERROR(VLOOKUP($M2249,'Informations sur les produits'!$A$3:$H$10000,8,FALSE),"0")</f>
        <v>0</v>
      </c>
      <c r="P2249" s="33">
        <f t="shared" si="140"/>
        <v>0</v>
      </c>
      <c r="Q2249" s="31" t="str">
        <f t="shared" si="141"/>
        <v/>
      </c>
      <c r="R2249" s="32" t="str">
        <f>IFERROR(VLOOKUP($D2249,'Informations sur les produits'!$A$3:$B$15000,2,FALSE),"")</f>
        <v/>
      </c>
      <c r="V2249">
        <f t="shared" si="142"/>
        <v>0</v>
      </c>
      <c r="W2249">
        <f t="shared" si="143"/>
        <v>0</v>
      </c>
    </row>
    <row r="2250" spans="5:23" x14ac:dyDescent="0.25">
      <c r="E2250" s="4"/>
      <c r="F2250" s="4"/>
      <c r="G2250" s="33" t="str">
        <f>IFERROR(VLOOKUP($D2250,'Informations sur les produits'!$A$3:$H$10000,8,FALSE),"0")</f>
        <v>0</v>
      </c>
      <c r="K2250" s="4"/>
      <c r="L2250" s="33" t="str">
        <f>IFERROR(VLOOKUP($J2250,'Informations sur les produits'!$A$3:$H$10000,8,FALSE),"0")</f>
        <v>0</v>
      </c>
      <c r="N2250" s="8"/>
      <c r="O2250" s="33" t="str">
        <f>IFERROR(VLOOKUP($M2250,'Informations sur les produits'!$A$3:$H$10000,8,FALSE),"0")</f>
        <v>0</v>
      </c>
      <c r="P2250" s="33">
        <f t="shared" si="140"/>
        <v>0</v>
      </c>
      <c r="Q2250" s="31" t="str">
        <f t="shared" si="141"/>
        <v/>
      </c>
      <c r="R2250" s="32" t="str">
        <f>IFERROR(VLOOKUP($D2250,'Informations sur les produits'!$A$3:$B$15000,2,FALSE),"")</f>
        <v/>
      </c>
      <c r="V2250">
        <f t="shared" si="142"/>
        <v>0</v>
      </c>
      <c r="W2250">
        <f t="shared" si="143"/>
        <v>0</v>
      </c>
    </row>
    <row r="2251" spans="5:23" x14ac:dyDescent="0.25">
      <c r="E2251" s="4"/>
      <c r="F2251" s="4"/>
      <c r="G2251" s="33" t="str">
        <f>IFERROR(VLOOKUP($D2251,'Informations sur les produits'!$A$3:$H$10000,8,FALSE),"0")</f>
        <v>0</v>
      </c>
      <c r="K2251" s="4"/>
      <c r="L2251" s="33" t="str">
        <f>IFERROR(VLOOKUP($J2251,'Informations sur les produits'!$A$3:$H$10000,8,FALSE),"0")</f>
        <v>0</v>
      </c>
      <c r="N2251" s="8"/>
      <c r="O2251" s="33" t="str">
        <f>IFERROR(VLOOKUP($M2251,'Informations sur les produits'!$A$3:$H$10000,8,FALSE),"0")</f>
        <v>0</v>
      </c>
      <c r="P2251" s="33">
        <f t="shared" si="140"/>
        <v>0</v>
      </c>
      <c r="Q2251" s="31" t="str">
        <f t="shared" si="141"/>
        <v/>
      </c>
      <c r="R2251" s="32" t="str">
        <f>IFERROR(VLOOKUP($D2251,'Informations sur les produits'!$A$3:$B$15000,2,FALSE),"")</f>
        <v/>
      </c>
      <c r="V2251">
        <f t="shared" si="142"/>
        <v>0</v>
      </c>
      <c r="W2251">
        <f t="shared" si="143"/>
        <v>0</v>
      </c>
    </row>
    <row r="2252" spans="5:23" x14ac:dyDescent="0.25">
      <c r="E2252" s="4"/>
      <c r="F2252" s="4"/>
      <c r="G2252" s="33" t="str">
        <f>IFERROR(VLOOKUP($D2252,'Informations sur les produits'!$A$3:$H$10000,8,FALSE),"0")</f>
        <v>0</v>
      </c>
      <c r="K2252" s="4"/>
      <c r="L2252" s="33" t="str">
        <f>IFERROR(VLOOKUP($J2252,'Informations sur les produits'!$A$3:$H$10000,8,FALSE),"0")</f>
        <v>0</v>
      </c>
      <c r="N2252" s="8"/>
      <c r="O2252" s="33" t="str">
        <f>IFERROR(VLOOKUP($M2252,'Informations sur les produits'!$A$3:$H$10000,8,FALSE),"0")</f>
        <v>0</v>
      </c>
      <c r="P2252" s="33">
        <f t="shared" si="140"/>
        <v>0</v>
      </c>
      <c r="Q2252" s="31" t="str">
        <f t="shared" si="141"/>
        <v/>
      </c>
      <c r="R2252" s="32" t="str">
        <f>IFERROR(VLOOKUP($D2252,'Informations sur les produits'!$A$3:$B$15000,2,FALSE),"")</f>
        <v/>
      </c>
      <c r="V2252">
        <f t="shared" si="142"/>
        <v>0</v>
      </c>
      <c r="W2252">
        <f t="shared" si="143"/>
        <v>0</v>
      </c>
    </row>
    <row r="2253" spans="5:23" x14ac:dyDescent="0.25">
      <c r="E2253" s="4"/>
      <c r="F2253" s="4"/>
      <c r="G2253" s="33" t="str">
        <f>IFERROR(VLOOKUP($D2253,'Informations sur les produits'!$A$3:$H$10000,8,FALSE),"0")</f>
        <v>0</v>
      </c>
      <c r="K2253" s="4"/>
      <c r="L2253" s="33" t="str">
        <f>IFERROR(VLOOKUP($J2253,'Informations sur les produits'!$A$3:$H$10000,8,FALSE),"0")</f>
        <v>0</v>
      </c>
      <c r="N2253" s="8"/>
      <c r="O2253" s="33" t="str">
        <f>IFERROR(VLOOKUP($M2253,'Informations sur les produits'!$A$3:$H$10000,8,FALSE),"0")</f>
        <v>0</v>
      </c>
      <c r="P2253" s="33">
        <f t="shared" si="140"/>
        <v>0</v>
      </c>
      <c r="Q2253" s="31" t="str">
        <f t="shared" si="141"/>
        <v/>
      </c>
      <c r="R2253" s="32" t="str">
        <f>IFERROR(VLOOKUP($D2253,'Informations sur les produits'!$A$3:$B$15000,2,FALSE),"")</f>
        <v/>
      </c>
      <c r="V2253">
        <f t="shared" si="142"/>
        <v>0</v>
      </c>
      <c r="W2253">
        <f t="shared" si="143"/>
        <v>0</v>
      </c>
    </row>
    <row r="2254" spans="5:23" x14ac:dyDescent="0.25">
      <c r="E2254" s="4"/>
      <c r="F2254" s="4"/>
      <c r="G2254" s="33" t="str">
        <f>IFERROR(VLOOKUP($D2254,'Informations sur les produits'!$A$3:$H$10000,8,FALSE),"0")</f>
        <v>0</v>
      </c>
      <c r="K2254" s="4"/>
      <c r="L2254" s="33" t="str">
        <f>IFERROR(VLOOKUP($J2254,'Informations sur les produits'!$A$3:$H$10000,8,FALSE),"0")</f>
        <v>0</v>
      </c>
      <c r="N2254" s="8"/>
      <c r="O2254" s="33" t="str">
        <f>IFERROR(VLOOKUP($M2254,'Informations sur les produits'!$A$3:$H$10000,8,FALSE),"0")</f>
        <v>0</v>
      </c>
      <c r="P2254" s="33">
        <f t="shared" si="140"/>
        <v>0</v>
      </c>
      <c r="Q2254" s="31" t="str">
        <f t="shared" si="141"/>
        <v/>
      </c>
      <c r="R2254" s="32" t="str">
        <f>IFERROR(VLOOKUP($D2254,'Informations sur les produits'!$A$3:$B$15000,2,FALSE),"")</f>
        <v/>
      </c>
      <c r="V2254">
        <f t="shared" si="142"/>
        <v>0</v>
      </c>
      <c r="W2254">
        <f t="shared" si="143"/>
        <v>0</v>
      </c>
    </row>
    <row r="2255" spans="5:23" x14ac:dyDescent="0.25">
      <c r="E2255" s="4"/>
      <c r="F2255" s="4"/>
      <c r="G2255" s="33" t="str">
        <f>IFERROR(VLOOKUP($D2255,'Informations sur les produits'!$A$3:$H$10000,8,FALSE),"0")</f>
        <v>0</v>
      </c>
      <c r="K2255" s="4"/>
      <c r="L2255" s="33" t="str">
        <f>IFERROR(VLOOKUP($J2255,'Informations sur les produits'!$A$3:$H$10000,8,FALSE),"0")</f>
        <v>0</v>
      </c>
      <c r="N2255" s="8"/>
      <c r="O2255" s="33" t="str">
        <f>IFERROR(VLOOKUP($M2255,'Informations sur les produits'!$A$3:$H$10000,8,FALSE),"0")</f>
        <v>0</v>
      </c>
      <c r="P2255" s="33">
        <f t="shared" si="140"/>
        <v>0</v>
      </c>
      <c r="Q2255" s="31" t="str">
        <f t="shared" si="141"/>
        <v/>
      </c>
      <c r="R2255" s="32" t="str">
        <f>IFERROR(VLOOKUP($D2255,'Informations sur les produits'!$A$3:$B$15000,2,FALSE),"")</f>
        <v/>
      </c>
      <c r="V2255">
        <f t="shared" si="142"/>
        <v>0</v>
      </c>
      <c r="W2255">
        <f t="shared" si="143"/>
        <v>0</v>
      </c>
    </row>
    <row r="2256" spans="5:23" x14ac:dyDescent="0.25">
      <c r="E2256" s="4"/>
      <c r="F2256" s="4"/>
      <c r="G2256" s="33" t="str">
        <f>IFERROR(VLOOKUP($D2256,'Informations sur les produits'!$A$3:$H$10000,8,FALSE),"0")</f>
        <v>0</v>
      </c>
      <c r="K2256" s="4"/>
      <c r="L2256" s="33" t="str">
        <f>IFERROR(VLOOKUP($J2256,'Informations sur les produits'!$A$3:$H$10000,8,FALSE),"0")</f>
        <v>0</v>
      </c>
      <c r="N2256" s="8"/>
      <c r="O2256" s="33" t="str">
        <f>IFERROR(VLOOKUP($M2256,'Informations sur les produits'!$A$3:$H$10000,8,FALSE),"0")</f>
        <v>0</v>
      </c>
      <c r="P2256" s="33">
        <f t="shared" si="140"/>
        <v>0</v>
      </c>
      <c r="Q2256" s="31" t="str">
        <f t="shared" si="141"/>
        <v/>
      </c>
      <c r="R2256" s="32" t="str">
        <f>IFERROR(VLOOKUP($D2256,'Informations sur les produits'!$A$3:$B$15000,2,FALSE),"")</f>
        <v/>
      </c>
      <c r="V2256">
        <f t="shared" si="142"/>
        <v>0</v>
      </c>
      <c r="W2256">
        <f t="shared" si="143"/>
        <v>0</v>
      </c>
    </row>
    <row r="2257" spans="5:23" x14ac:dyDescent="0.25">
      <c r="E2257" s="4"/>
      <c r="F2257" s="4"/>
      <c r="G2257" s="33" t="str">
        <f>IFERROR(VLOOKUP($D2257,'Informations sur les produits'!$A$3:$H$10000,8,FALSE),"0")</f>
        <v>0</v>
      </c>
      <c r="K2257" s="4"/>
      <c r="L2257" s="33" t="str">
        <f>IFERROR(VLOOKUP($J2257,'Informations sur les produits'!$A$3:$H$10000,8,FALSE),"0")</f>
        <v>0</v>
      </c>
      <c r="N2257" s="8"/>
      <c r="O2257" s="33" t="str">
        <f>IFERROR(VLOOKUP($M2257,'Informations sur les produits'!$A$3:$H$10000,8,FALSE),"0")</f>
        <v>0</v>
      </c>
      <c r="P2257" s="33">
        <f t="shared" si="140"/>
        <v>0</v>
      </c>
      <c r="Q2257" s="31" t="str">
        <f t="shared" si="141"/>
        <v/>
      </c>
      <c r="R2257" s="32" t="str">
        <f>IFERROR(VLOOKUP($D2257,'Informations sur les produits'!$A$3:$B$15000,2,FALSE),"")</f>
        <v/>
      </c>
      <c r="V2257">
        <f t="shared" si="142"/>
        <v>0</v>
      </c>
      <c r="W2257">
        <f t="shared" si="143"/>
        <v>0</v>
      </c>
    </row>
    <row r="2258" spans="5:23" x14ac:dyDescent="0.25">
      <c r="E2258" s="4"/>
      <c r="F2258" s="4"/>
      <c r="G2258" s="33" t="str">
        <f>IFERROR(VLOOKUP($D2258,'Informations sur les produits'!$A$3:$H$10000,8,FALSE),"0")</f>
        <v>0</v>
      </c>
      <c r="K2258" s="4"/>
      <c r="L2258" s="33" t="str">
        <f>IFERROR(VLOOKUP($J2258,'Informations sur les produits'!$A$3:$H$10000,8,FALSE),"0")</f>
        <v>0</v>
      </c>
      <c r="N2258" s="8"/>
      <c r="O2258" s="33" t="str">
        <f>IFERROR(VLOOKUP($M2258,'Informations sur les produits'!$A$3:$H$10000,8,FALSE),"0")</f>
        <v>0</v>
      </c>
      <c r="P2258" s="33">
        <f t="shared" si="140"/>
        <v>0</v>
      </c>
      <c r="Q2258" s="31" t="str">
        <f t="shared" si="141"/>
        <v/>
      </c>
      <c r="R2258" s="32" t="str">
        <f>IFERROR(VLOOKUP($D2258,'Informations sur les produits'!$A$3:$B$15000,2,FALSE),"")</f>
        <v/>
      </c>
      <c r="V2258">
        <f t="shared" si="142"/>
        <v>0</v>
      </c>
      <c r="W2258">
        <f t="shared" si="143"/>
        <v>0</v>
      </c>
    </row>
    <row r="2259" spans="5:23" x14ac:dyDescent="0.25">
      <c r="E2259" s="4"/>
      <c r="F2259" s="4"/>
      <c r="G2259" s="33" t="str">
        <f>IFERROR(VLOOKUP($D2259,'Informations sur les produits'!$A$3:$H$10000,8,FALSE),"0")</f>
        <v>0</v>
      </c>
      <c r="K2259" s="4"/>
      <c r="L2259" s="33" t="str">
        <f>IFERROR(VLOOKUP($J2259,'Informations sur les produits'!$A$3:$H$10000,8,FALSE),"0")</f>
        <v>0</v>
      </c>
      <c r="N2259" s="8"/>
      <c r="O2259" s="33" t="str">
        <f>IFERROR(VLOOKUP($M2259,'Informations sur les produits'!$A$3:$H$10000,8,FALSE),"0")</f>
        <v>0</v>
      </c>
      <c r="P2259" s="33">
        <f t="shared" si="140"/>
        <v>0</v>
      </c>
      <c r="Q2259" s="31" t="str">
        <f t="shared" si="141"/>
        <v/>
      </c>
      <c r="R2259" s="32" t="str">
        <f>IFERROR(VLOOKUP($D2259,'Informations sur les produits'!$A$3:$B$15000,2,FALSE),"")</f>
        <v/>
      </c>
      <c r="V2259">
        <f t="shared" si="142"/>
        <v>0</v>
      </c>
      <c r="W2259">
        <f t="shared" si="143"/>
        <v>0</v>
      </c>
    </row>
    <row r="2260" spans="5:23" x14ac:dyDescent="0.25">
      <c r="E2260" s="4"/>
      <c r="F2260" s="4"/>
      <c r="G2260" s="33" t="str">
        <f>IFERROR(VLOOKUP($D2260,'Informations sur les produits'!$A$3:$H$10000,8,FALSE),"0")</f>
        <v>0</v>
      </c>
      <c r="K2260" s="4"/>
      <c r="L2260" s="33" t="str">
        <f>IFERROR(VLOOKUP($J2260,'Informations sur les produits'!$A$3:$H$10000,8,FALSE),"0")</f>
        <v>0</v>
      </c>
      <c r="N2260" s="8"/>
      <c r="O2260" s="33" t="str">
        <f>IFERROR(VLOOKUP($M2260,'Informations sur les produits'!$A$3:$H$10000,8,FALSE),"0")</f>
        <v>0</v>
      </c>
      <c r="P2260" s="33">
        <f t="shared" si="140"/>
        <v>0</v>
      </c>
      <c r="Q2260" s="31" t="str">
        <f t="shared" si="141"/>
        <v/>
      </c>
      <c r="R2260" s="32" t="str">
        <f>IFERROR(VLOOKUP($D2260,'Informations sur les produits'!$A$3:$B$15000,2,FALSE),"")</f>
        <v/>
      </c>
      <c r="V2260">
        <f t="shared" si="142"/>
        <v>0</v>
      </c>
      <c r="W2260">
        <f t="shared" si="143"/>
        <v>0</v>
      </c>
    </row>
    <row r="2261" spans="5:23" x14ac:dyDescent="0.25">
      <c r="E2261" s="4"/>
      <c r="F2261" s="4"/>
      <c r="G2261" s="33" t="str">
        <f>IFERROR(VLOOKUP($D2261,'Informations sur les produits'!$A$3:$H$10000,8,FALSE),"0")</f>
        <v>0</v>
      </c>
      <c r="K2261" s="4"/>
      <c r="L2261" s="33" t="str">
        <f>IFERROR(VLOOKUP($J2261,'Informations sur les produits'!$A$3:$H$10000,8,FALSE),"0")</f>
        <v>0</v>
      </c>
      <c r="N2261" s="8"/>
      <c r="O2261" s="33" t="str">
        <f>IFERROR(VLOOKUP($M2261,'Informations sur les produits'!$A$3:$H$10000,8,FALSE),"0")</f>
        <v>0</v>
      </c>
      <c r="P2261" s="33">
        <f t="shared" si="140"/>
        <v>0</v>
      </c>
      <c r="Q2261" s="31" t="str">
        <f t="shared" si="141"/>
        <v/>
      </c>
      <c r="R2261" s="32" t="str">
        <f>IFERROR(VLOOKUP($D2261,'Informations sur les produits'!$A$3:$B$15000,2,FALSE),"")</f>
        <v/>
      </c>
      <c r="V2261">
        <f t="shared" si="142"/>
        <v>0</v>
      </c>
      <c r="W2261">
        <f t="shared" si="143"/>
        <v>0</v>
      </c>
    </row>
    <row r="2262" spans="5:23" x14ac:dyDescent="0.25">
      <c r="E2262" s="4"/>
      <c r="F2262" s="4"/>
      <c r="G2262" s="33" t="str">
        <f>IFERROR(VLOOKUP($D2262,'Informations sur les produits'!$A$3:$H$10000,8,FALSE),"0")</f>
        <v>0</v>
      </c>
      <c r="K2262" s="4"/>
      <c r="L2262" s="33" t="str">
        <f>IFERROR(VLOOKUP($J2262,'Informations sur les produits'!$A$3:$H$10000,8,FALSE),"0")</f>
        <v>0</v>
      </c>
      <c r="N2262" s="8"/>
      <c r="O2262" s="33" t="str">
        <f>IFERROR(VLOOKUP($M2262,'Informations sur les produits'!$A$3:$H$10000,8,FALSE),"0")</f>
        <v>0</v>
      </c>
      <c r="P2262" s="33">
        <f t="shared" si="140"/>
        <v>0</v>
      </c>
      <c r="Q2262" s="31" t="str">
        <f t="shared" si="141"/>
        <v/>
      </c>
      <c r="R2262" s="32" t="str">
        <f>IFERROR(VLOOKUP($D2262,'Informations sur les produits'!$A$3:$B$15000,2,FALSE),"")</f>
        <v/>
      </c>
      <c r="V2262">
        <f t="shared" si="142"/>
        <v>0</v>
      </c>
      <c r="W2262">
        <f t="shared" si="143"/>
        <v>0</v>
      </c>
    </row>
    <row r="2263" spans="5:23" x14ac:dyDescent="0.25">
      <c r="E2263" s="4"/>
      <c r="F2263" s="4"/>
      <c r="G2263" s="33" t="str">
        <f>IFERROR(VLOOKUP($D2263,'Informations sur les produits'!$A$3:$H$10000,8,FALSE),"0")</f>
        <v>0</v>
      </c>
      <c r="K2263" s="4"/>
      <c r="L2263" s="33" t="str">
        <f>IFERROR(VLOOKUP($J2263,'Informations sur les produits'!$A$3:$H$10000,8,FALSE),"0")</f>
        <v>0</v>
      </c>
      <c r="N2263" s="8"/>
      <c r="O2263" s="33" t="str">
        <f>IFERROR(VLOOKUP($M2263,'Informations sur les produits'!$A$3:$H$10000,8,FALSE),"0")</f>
        <v>0</v>
      </c>
      <c r="P2263" s="33">
        <f t="shared" si="140"/>
        <v>0</v>
      </c>
      <c r="Q2263" s="31" t="str">
        <f t="shared" si="141"/>
        <v/>
      </c>
      <c r="R2263" s="32" t="str">
        <f>IFERROR(VLOOKUP($D2263,'Informations sur les produits'!$A$3:$B$15000,2,FALSE),"")</f>
        <v/>
      </c>
      <c r="V2263">
        <f t="shared" si="142"/>
        <v>0</v>
      </c>
      <c r="W2263">
        <f t="shared" si="143"/>
        <v>0</v>
      </c>
    </row>
    <row r="2264" spans="5:23" x14ac:dyDescent="0.25">
      <c r="E2264" s="4"/>
      <c r="F2264" s="4"/>
      <c r="G2264" s="33" t="str">
        <f>IFERROR(VLOOKUP($D2264,'Informations sur les produits'!$A$3:$H$10000,8,FALSE),"0")</f>
        <v>0</v>
      </c>
      <c r="K2264" s="4"/>
      <c r="L2264" s="33" t="str">
        <f>IFERROR(VLOOKUP($J2264,'Informations sur les produits'!$A$3:$H$10000,8,FALSE),"0")</f>
        <v>0</v>
      </c>
      <c r="N2264" s="8"/>
      <c r="O2264" s="33" t="str">
        <f>IFERROR(VLOOKUP($M2264,'Informations sur les produits'!$A$3:$H$10000,8,FALSE),"0")</f>
        <v>0</v>
      </c>
      <c r="P2264" s="33">
        <f t="shared" si="140"/>
        <v>0</v>
      </c>
      <c r="Q2264" s="31" t="str">
        <f t="shared" si="141"/>
        <v/>
      </c>
      <c r="R2264" s="32" t="str">
        <f>IFERROR(VLOOKUP($D2264,'Informations sur les produits'!$A$3:$B$15000,2,FALSE),"")</f>
        <v/>
      </c>
      <c r="V2264">
        <f t="shared" si="142"/>
        <v>0</v>
      </c>
      <c r="W2264">
        <f t="shared" si="143"/>
        <v>0</v>
      </c>
    </row>
    <row r="2265" spans="5:23" x14ac:dyDescent="0.25">
      <c r="E2265" s="4"/>
      <c r="F2265" s="4"/>
      <c r="G2265" s="33" t="str">
        <f>IFERROR(VLOOKUP($D2265,'Informations sur les produits'!$A$3:$H$10000,8,FALSE),"0")</f>
        <v>0</v>
      </c>
      <c r="K2265" s="4"/>
      <c r="L2265" s="33" t="str">
        <f>IFERROR(VLOOKUP($J2265,'Informations sur les produits'!$A$3:$H$10000,8,FALSE),"0")</f>
        <v>0</v>
      </c>
      <c r="N2265" s="8"/>
      <c r="O2265" s="33" t="str">
        <f>IFERROR(VLOOKUP($M2265,'Informations sur les produits'!$A$3:$H$10000,8,FALSE),"0")</f>
        <v>0</v>
      </c>
      <c r="P2265" s="33">
        <f t="shared" si="140"/>
        <v>0</v>
      </c>
      <c r="Q2265" s="31" t="str">
        <f t="shared" si="141"/>
        <v/>
      </c>
      <c r="R2265" s="32" t="str">
        <f>IFERROR(VLOOKUP($D2265,'Informations sur les produits'!$A$3:$B$15000,2,FALSE),"")</f>
        <v/>
      </c>
      <c r="V2265">
        <f t="shared" si="142"/>
        <v>0</v>
      </c>
      <c r="W2265">
        <f t="shared" si="143"/>
        <v>0</v>
      </c>
    </row>
    <row r="2266" spans="5:23" x14ac:dyDescent="0.25">
      <c r="E2266" s="4"/>
      <c r="F2266" s="4"/>
      <c r="G2266" s="33" t="str">
        <f>IFERROR(VLOOKUP($D2266,'Informations sur les produits'!$A$3:$H$10000,8,FALSE),"0")</f>
        <v>0</v>
      </c>
      <c r="K2266" s="4"/>
      <c r="L2266" s="33" t="str">
        <f>IFERROR(VLOOKUP($J2266,'Informations sur les produits'!$A$3:$H$10000,8,FALSE),"0")</f>
        <v>0</v>
      </c>
      <c r="N2266" s="8"/>
      <c r="O2266" s="33" t="str">
        <f>IFERROR(VLOOKUP($M2266,'Informations sur les produits'!$A$3:$H$10000,8,FALSE),"0")</f>
        <v>0</v>
      </c>
      <c r="P2266" s="33">
        <f t="shared" si="140"/>
        <v>0</v>
      </c>
      <c r="Q2266" s="31" t="str">
        <f t="shared" si="141"/>
        <v/>
      </c>
      <c r="R2266" s="32" t="str">
        <f>IFERROR(VLOOKUP($D2266,'Informations sur les produits'!$A$3:$B$15000,2,FALSE),"")</f>
        <v/>
      </c>
      <c r="V2266">
        <f t="shared" si="142"/>
        <v>0</v>
      </c>
      <c r="W2266">
        <f t="shared" si="143"/>
        <v>0</v>
      </c>
    </row>
    <row r="2267" spans="5:23" x14ac:dyDescent="0.25">
      <c r="E2267" s="4"/>
      <c r="F2267" s="4"/>
      <c r="G2267" s="33" t="str">
        <f>IFERROR(VLOOKUP($D2267,'Informations sur les produits'!$A$3:$H$10000,8,FALSE),"0")</f>
        <v>0</v>
      </c>
      <c r="K2267" s="4"/>
      <c r="L2267" s="33" t="str">
        <f>IFERROR(VLOOKUP($J2267,'Informations sur les produits'!$A$3:$H$10000,8,FALSE),"0")</f>
        <v>0</v>
      </c>
      <c r="N2267" s="8"/>
      <c r="O2267" s="33" t="str">
        <f>IFERROR(VLOOKUP($M2267,'Informations sur les produits'!$A$3:$H$10000,8,FALSE),"0")</f>
        <v>0</v>
      </c>
      <c r="P2267" s="33">
        <f t="shared" si="140"/>
        <v>0</v>
      </c>
      <c r="Q2267" s="31" t="str">
        <f t="shared" si="141"/>
        <v/>
      </c>
      <c r="R2267" s="32" t="str">
        <f>IFERROR(VLOOKUP($D2267,'Informations sur les produits'!$A$3:$B$15000,2,FALSE),"")</f>
        <v/>
      </c>
      <c r="V2267">
        <f t="shared" si="142"/>
        <v>0</v>
      </c>
      <c r="W2267">
        <f t="shared" si="143"/>
        <v>0</v>
      </c>
    </row>
    <row r="2268" spans="5:23" x14ac:dyDescent="0.25">
      <c r="E2268" s="4"/>
      <c r="F2268" s="4"/>
      <c r="G2268" s="33" t="str">
        <f>IFERROR(VLOOKUP($D2268,'Informations sur les produits'!$A$3:$H$10000,8,FALSE),"0")</f>
        <v>0</v>
      </c>
      <c r="K2268" s="4"/>
      <c r="L2268" s="33" t="str">
        <f>IFERROR(VLOOKUP($J2268,'Informations sur les produits'!$A$3:$H$10000,8,FALSE),"0")</f>
        <v>0</v>
      </c>
      <c r="N2268" s="8"/>
      <c r="O2268" s="33" t="str">
        <f>IFERROR(VLOOKUP($M2268,'Informations sur les produits'!$A$3:$H$10000,8,FALSE),"0")</f>
        <v>0</v>
      </c>
      <c r="P2268" s="33">
        <f t="shared" si="140"/>
        <v>0</v>
      </c>
      <c r="Q2268" s="31" t="str">
        <f t="shared" si="141"/>
        <v/>
      </c>
      <c r="R2268" s="32" t="str">
        <f>IFERROR(VLOOKUP($D2268,'Informations sur les produits'!$A$3:$B$15000,2,FALSE),"")</f>
        <v/>
      </c>
      <c r="V2268">
        <f t="shared" si="142"/>
        <v>0</v>
      </c>
      <c r="W2268">
        <f t="shared" si="143"/>
        <v>0</v>
      </c>
    </row>
    <row r="2269" spans="5:23" x14ac:dyDescent="0.25">
      <c r="E2269" s="4"/>
      <c r="F2269" s="4"/>
      <c r="G2269" s="33" t="str">
        <f>IFERROR(VLOOKUP($D2269,'Informations sur les produits'!$A$3:$H$10000,8,FALSE),"0")</f>
        <v>0</v>
      </c>
      <c r="K2269" s="4"/>
      <c r="L2269" s="33" t="str">
        <f>IFERROR(VLOOKUP($J2269,'Informations sur les produits'!$A$3:$H$10000,8,FALSE),"0")</f>
        <v>0</v>
      </c>
      <c r="N2269" s="8"/>
      <c r="O2269" s="33" t="str">
        <f>IFERROR(VLOOKUP($M2269,'Informations sur les produits'!$A$3:$H$10000,8,FALSE),"0")</f>
        <v>0</v>
      </c>
      <c r="P2269" s="33">
        <f t="shared" si="140"/>
        <v>0</v>
      </c>
      <c r="Q2269" s="31" t="str">
        <f t="shared" si="141"/>
        <v/>
      </c>
      <c r="R2269" s="32" t="str">
        <f>IFERROR(VLOOKUP($D2269,'Informations sur les produits'!$A$3:$B$15000,2,FALSE),"")</f>
        <v/>
      </c>
      <c r="V2269">
        <f t="shared" si="142"/>
        <v>0</v>
      </c>
      <c r="W2269">
        <f t="shared" si="143"/>
        <v>0</v>
      </c>
    </row>
    <row r="2270" spans="5:23" x14ac:dyDescent="0.25">
      <c r="E2270" s="4"/>
      <c r="F2270" s="4"/>
      <c r="G2270" s="33" t="str">
        <f>IFERROR(VLOOKUP($D2270,'Informations sur les produits'!$A$3:$H$10000,8,FALSE),"0")</f>
        <v>0</v>
      </c>
      <c r="K2270" s="4"/>
      <c r="L2270" s="33" t="str">
        <f>IFERROR(VLOOKUP($J2270,'Informations sur les produits'!$A$3:$H$10000,8,FALSE),"0")</f>
        <v>0</v>
      </c>
      <c r="N2270" s="8"/>
      <c r="O2270" s="33" t="str">
        <f>IFERROR(VLOOKUP($M2270,'Informations sur les produits'!$A$3:$H$10000,8,FALSE),"0")</f>
        <v>0</v>
      </c>
      <c r="P2270" s="33">
        <f t="shared" si="140"/>
        <v>0</v>
      </c>
      <c r="Q2270" s="31" t="str">
        <f t="shared" si="141"/>
        <v/>
      </c>
      <c r="R2270" s="32" t="str">
        <f>IFERROR(VLOOKUP($D2270,'Informations sur les produits'!$A$3:$B$15000,2,FALSE),"")</f>
        <v/>
      </c>
      <c r="V2270">
        <f t="shared" si="142"/>
        <v>0</v>
      </c>
      <c r="W2270">
        <f t="shared" si="143"/>
        <v>0</v>
      </c>
    </row>
    <row r="2271" spans="5:23" x14ac:dyDescent="0.25">
      <c r="E2271" s="4"/>
      <c r="F2271" s="4"/>
      <c r="G2271" s="33" t="str">
        <f>IFERROR(VLOOKUP($D2271,'Informations sur les produits'!$A$3:$H$10000,8,FALSE),"0")</f>
        <v>0</v>
      </c>
      <c r="K2271" s="4"/>
      <c r="L2271" s="33" t="str">
        <f>IFERROR(VLOOKUP($J2271,'Informations sur les produits'!$A$3:$H$10000,8,FALSE),"0")</f>
        <v>0</v>
      </c>
      <c r="N2271" s="8"/>
      <c r="O2271" s="33" t="str">
        <f>IFERROR(VLOOKUP($M2271,'Informations sur les produits'!$A$3:$H$10000,8,FALSE),"0")</f>
        <v>0</v>
      </c>
      <c r="P2271" s="33">
        <f t="shared" si="140"/>
        <v>0</v>
      </c>
      <c r="Q2271" s="31" t="str">
        <f t="shared" si="141"/>
        <v/>
      </c>
      <c r="R2271" s="32" t="str">
        <f>IFERROR(VLOOKUP($D2271,'Informations sur les produits'!$A$3:$B$15000,2,FALSE),"")</f>
        <v/>
      </c>
      <c r="V2271">
        <f t="shared" si="142"/>
        <v>0</v>
      </c>
      <c r="W2271">
        <f t="shared" si="143"/>
        <v>0</v>
      </c>
    </row>
    <row r="2272" spans="5:23" x14ac:dyDescent="0.25">
      <c r="E2272" s="4"/>
      <c r="F2272" s="4"/>
      <c r="G2272" s="33" t="str">
        <f>IFERROR(VLOOKUP($D2272,'Informations sur les produits'!$A$3:$H$10000,8,FALSE),"0")</f>
        <v>0</v>
      </c>
      <c r="K2272" s="4"/>
      <c r="L2272" s="33" t="str">
        <f>IFERROR(VLOOKUP($J2272,'Informations sur les produits'!$A$3:$H$10000,8,FALSE),"0")</f>
        <v>0</v>
      </c>
      <c r="N2272" s="8"/>
      <c r="O2272" s="33" t="str">
        <f>IFERROR(VLOOKUP($M2272,'Informations sur les produits'!$A$3:$H$10000,8,FALSE),"0")</f>
        <v>0</v>
      </c>
      <c r="P2272" s="33">
        <f t="shared" si="140"/>
        <v>0</v>
      </c>
      <c r="Q2272" s="31" t="str">
        <f t="shared" si="141"/>
        <v/>
      </c>
      <c r="R2272" s="32" t="str">
        <f>IFERROR(VLOOKUP($D2272,'Informations sur les produits'!$A$3:$B$15000,2,FALSE),"")</f>
        <v/>
      </c>
      <c r="V2272">
        <f t="shared" si="142"/>
        <v>0</v>
      </c>
      <c r="W2272">
        <f t="shared" si="143"/>
        <v>0</v>
      </c>
    </row>
    <row r="2273" spans="5:23" x14ac:dyDescent="0.25">
      <c r="E2273" s="4"/>
      <c r="F2273" s="4"/>
      <c r="G2273" s="33" t="str">
        <f>IFERROR(VLOOKUP($D2273,'Informations sur les produits'!$A$3:$H$10000,8,FALSE),"0")</f>
        <v>0</v>
      </c>
      <c r="K2273" s="4"/>
      <c r="L2273" s="33" t="str">
        <f>IFERROR(VLOOKUP($J2273,'Informations sur les produits'!$A$3:$H$10000,8,FALSE),"0")</f>
        <v>0</v>
      </c>
      <c r="N2273" s="8"/>
      <c r="O2273" s="33" t="str">
        <f>IFERROR(VLOOKUP($M2273,'Informations sur les produits'!$A$3:$H$10000,8,FALSE),"0")</f>
        <v>0</v>
      </c>
      <c r="P2273" s="33">
        <f t="shared" si="140"/>
        <v>0</v>
      </c>
      <c r="Q2273" s="31" t="str">
        <f t="shared" si="141"/>
        <v/>
      </c>
      <c r="R2273" s="32" t="str">
        <f>IFERROR(VLOOKUP($D2273,'Informations sur les produits'!$A$3:$B$15000,2,FALSE),"")</f>
        <v/>
      </c>
      <c r="V2273">
        <f t="shared" si="142"/>
        <v>0</v>
      </c>
      <c r="W2273">
        <f t="shared" si="143"/>
        <v>0</v>
      </c>
    </row>
    <row r="2274" spans="5:23" x14ac:dyDescent="0.25">
      <c r="E2274" s="4"/>
      <c r="F2274" s="4"/>
      <c r="G2274" s="33" t="str">
        <f>IFERROR(VLOOKUP($D2274,'Informations sur les produits'!$A$3:$H$10000,8,FALSE),"0")</f>
        <v>0</v>
      </c>
      <c r="K2274" s="4"/>
      <c r="L2274" s="33" t="str">
        <f>IFERROR(VLOOKUP($J2274,'Informations sur les produits'!$A$3:$H$10000,8,FALSE),"0")</f>
        <v>0</v>
      </c>
      <c r="N2274" s="8"/>
      <c r="O2274" s="33" t="str">
        <f>IFERROR(VLOOKUP($M2274,'Informations sur les produits'!$A$3:$H$10000,8,FALSE),"0")</f>
        <v>0</v>
      </c>
      <c r="P2274" s="33">
        <f t="shared" si="140"/>
        <v>0</v>
      </c>
      <c r="Q2274" s="31" t="str">
        <f t="shared" si="141"/>
        <v/>
      </c>
      <c r="R2274" s="32" t="str">
        <f>IFERROR(VLOOKUP($D2274,'Informations sur les produits'!$A$3:$B$15000,2,FALSE),"")</f>
        <v/>
      </c>
      <c r="V2274">
        <f t="shared" si="142"/>
        <v>0</v>
      </c>
      <c r="W2274">
        <f t="shared" si="143"/>
        <v>0</v>
      </c>
    </row>
    <row r="2275" spans="5:23" x14ac:dyDescent="0.25">
      <c r="E2275" s="4"/>
      <c r="F2275" s="4"/>
      <c r="G2275" s="33" t="str">
        <f>IFERROR(VLOOKUP($D2275,'Informations sur les produits'!$A$3:$H$10000,8,FALSE),"0")</f>
        <v>0</v>
      </c>
      <c r="K2275" s="4"/>
      <c r="L2275" s="33" t="str">
        <f>IFERROR(VLOOKUP($J2275,'Informations sur les produits'!$A$3:$H$10000,8,FALSE),"0")</f>
        <v>0</v>
      </c>
      <c r="N2275" s="8"/>
      <c r="O2275" s="33" t="str">
        <f>IFERROR(VLOOKUP($M2275,'Informations sur les produits'!$A$3:$H$10000,8,FALSE),"0")</f>
        <v>0</v>
      </c>
      <c r="P2275" s="33">
        <f t="shared" si="140"/>
        <v>0</v>
      </c>
      <c r="Q2275" s="31" t="str">
        <f t="shared" si="141"/>
        <v/>
      </c>
      <c r="R2275" s="32" t="str">
        <f>IFERROR(VLOOKUP($D2275,'Informations sur les produits'!$A$3:$B$15000,2,FALSE),"")</f>
        <v/>
      </c>
      <c r="V2275">
        <f t="shared" si="142"/>
        <v>0</v>
      </c>
      <c r="W2275">
        <f t="shared" si="143"/>
        <v>0</v>
      </c>
    </row>
    <row r="2276" spans="5:23" x14ac:dyDescent="0.25">
      <c r="E2276" s="4"/>
      <c r="F2276" s="4"/>
      <c r="G2276" s="33" t="str">
        <f>IFERROR(VLOOKUP($D2276,'Informations sur les produits'!$A$3:$H$10000,8,FALSE),"0")</f>
        <v>0</v>
      </c>
      <c r="K2276" s="4"/>
      <c r="L2276" s="33" t="str">
        <f>IFERROR(VLOOKUP($J2276,'Informations sur les produits'!$A$3:$H$10000,8,FALSE),"0")</f>
        <v>0</v>
      </c>
      <c r="N2276" s="8"/>
      <c r="O2276" s="33" t="str">
        <f>IFERROR(VLOOKUP($M2276,'Informations sur les produits'!$A$3:$H$10000,8,FALSE),"0")</f>
        <v>0</v>
      </c>
      <c r="P2276" s="33">
        <f t="shared" si="140"/>
        <v>0</v>
      </c>
      <c r="Q2276" s="31" t="str">
        <f t="shared" si="141"/>
        <v/>
      </c>
      <c r="R2276" s="32" t="str">
        <f>IFERROR(VLOOKUP($D2276,'Informations sur les produits'!$A$3:$B$15000,2,FALSE),"")</f>
        <v/>
      </c>
      <c r="V2276">
        <f t="shared" si="142"/>
        <v>0</v>
      </c>
      <c r="W2276">
        <f t="shared" si="143"/>
        <v>0</v>
      </c>
    </row>
    <row r="2277" spans="5:23" x14ac:dyDescent="0.25">
      <c r="E2277" s="4"/>
      <c r="F2277" s="4"/>
      <c r="G2277" s="33" t="str">
        <f>IFERROR(VLOOKUP($D2277,'Informations sur les produits'!$A$3:$H$10000,8,FALSE),"0")</f>
        <v>0</v>
      </c>
      <c r="K2277" s="4"/>
      <c r="L2277" s="33" t="str">
        <f>IFERROR(VLOOKUP($J2277,'Informations sur les produits'!$A$3:$H$10000,8,FALSE),"0")</f>
        <v>0</v>
      </c>
      <c r="N2277" s="8"/>
      <c r="O2277" s="33" t="str">
        <f>IFERROR(VLOOKUP($M2277,'Informations sur les produits'!$A$3:$H$10000,8,FALSE),"0")</f>
        <v>0</v>
      </c>
      <c r="P2277" s="33">
        <f t="shared" si="140"/>
        <v>0</v>
      </c>
      <c r="Q2277" s="31" t="str">
        <f t="shared" si="141"/>
        <v/>
      </c>
      <c r="R2277" s="32" t="str">
        <f>IFERROR(VLOOKUP($D2277,'Informations sur les produits'!$A$3:$B$15000,2,FALSE),"")</f>
        <v/>
      </c>
      <c r="V2277">
        <f t="shared" si="142"/>
        <v>0</v>
      </c>
      <c r="W2277">
        <f t="shared" si="143"/>
        <v>0</v>
      </c>
    </row>
    <row r="2278" spans="5:23" x14ac:dyDescent="0.25">
      <c r="E2278" s="4"/>
      <c r="F2278" s="4"/>
      <c r="G2278" s="33" t="str">
        <f>IFERROR(VLOOKUP($D2278,'Informations sur les produits'!$A$3:$H$10000,8,FALSE),"0")</f>
        <v>0</v>
      </c>
      <c r="K2278" s="4"/>
      <c r="L2278" s="33" t="str">
        <f>IFERROR(VLOOKUP($J2278,'Informations sur les produits'!$A$3:$H$10000,8,FALSE),"0")</f>
        <v>0</v>
      </c>
      <c r="N2278" s="8"/>
      <c r="O2278" s="33" t="str">
        <f>IFERROR(VLOOKUP($M2278,'Informations sur les produits'!$A$3:$H$10000,8,FALSE),"0")</f>
        <v>0</v>
      </c>
      <c r="P2278" s="33">
        <f t="shared" si="140"/>
        <v>0</v>
      </c>
      <c r="Q2278" s="31" t="str">
        <f t="shared" si="141"/>
        <v/>
      </c>
      <c r="R2278" s="32" t="str">
        <f>IFERROR(VLOOKUP($D2278,'Informations sur les produits'!$A$3:$B$15000,2,FALSE),"")</f>
        <v/>
      </c>
      <c r="V2278">
        <f t="shared" si="142"/>
        <v>0</v>
      </c>
      <c r="W2278">
        <f t="shared" si="143"/>
        <v>0</v>
      </c>
    </row>
    <row r="2279" spans="5:23" x14ac:dyDescent="0.25">
      <c r="E2279" s="4"/>
      <c r="F2279" s="4"/>
      <c r="G2279" s="33" t="str">
        <f>IFERROR(VLOOKUP($D2279,'Informations sur les produits'!$A$3:$H$10000,8,FALSE),"0")</f>
        <v>0</v>
      </c>
      <c r="K2279" s="4"/>
      <c r="L2279" s="33" t="str">
        <f>IFERROR(VLOOKUP($J2279,'Informations sur les produits'!$A$3:$H$10000,8,FALSE),"0")</f>
        <v>0</v>
      </c>
      <c r="N2279" s="8"/>
      <c r="O2279" s="33" t="str">
        <f>IFERROR(VLOOKUP($M2279,'Informations sur les produits'!$A$3:$H$10000,8,FALSE),"0")</f>
        <v>0</v>
      </c>
      <c r="P2279" s="33">
        <f t="shared" si="140"/>
        <v>0</v>
      </c>
      <c r="Q2279" s="31" t="str">
        <f t="shared" si="141"/>
        <v/>
      </c>
      <c r="R2279" s="32" t="str">
        <f>IFERROR(VLOOKUP($D2279,'Informations sur les produits'!$A$3:$B$15000,2,FALSE),"")</f>
        <v/>
      </c>
      <c r="V2279">
        <f t="shared" si="142"/>
        <v>0</v>
      </c>
      <c r="W2279">
        <f t="shared" si="143"/>
        <v>0</v>
      </c>
    </row>
    <row r="2280" spans="5:23" x14ac:dyDescent="0.25">
      <c r="E2280" s="4"/>
      <c r="F2280" s="4"/>
      <c r="G2280" s="33" t="str">
        <f>IFERROR(VLOOKUP($D2280,'Informations sur les produits'!$A$3:$H$10000,8,FALSE),"0")</f>
        <v>0</v>
      </c>
      <c r="K2280" s="4"/>
      <c r="L2280" s="33" t="str">
        <f>IFERROR(VLOOKUP($J2280,'Informations sur les produits'!$A$3:$H$10000,8,FALSE),"0")</f>
        <v>0</v>
      </c>
      <c r="N2280" s="8"/>
      <c r="O2280" s="33" t="str">
        <f>IFERROR(VLOOKUP($M2280,'Informations sur les produits'!$A$3:$H$10000,8,FALSE),"0")</f>
        <v>0</v>
      </c>
      <c r="P2280" s="33">
        <f t="shared" si="140"/>
        <v>0</v>
      </c>
      <c r="Q2280" s="31" t="str">
        <f t="shared" si="141"/>
        <v/>
      </c>
      <c r="R2280" s="32" t="str">
        <f>IFERROR(VLOOKUP($D2280,'Informations sur les produits'!$A$3:$B$15000,2,FALSE),"")</f>
        <v/>
      </c>
      <c r="V2280">
        <f t="shared" si="142"/>
        <v>0</v>
      </c>
      <c r="W2280">
        <f t="shared" si="143"/>
        <v>0</v>
      </c>
    </row>
    <row r="2281" spans="5:23" x14ac:dyDescent="0.25">
      <c r="E2281" s="4"/>
      <c r="F2281" s="4"/>
      <c r="G2281" s="33" t="str">
        <f>IFERROR(VLOOKUP($D2281,'Informations sur les produits'!$A$3:$H$10000,8,FALSE),"0")</f>
        <v>0</v>
      </c>
      <c r="K2281" s="4"/>
      <c r="L2281" s="33" t="str">
        <f>IFERROR(VLOOKUP($J2281,'Informations sur les produits'!$A$3:$H$10000,8,FALSE),"0")</f>
        <v>0</v>
      </c>
      <c r="N2281" s="8"/>
      <c r="O2281" s="33" t="str">
        <f>IFERROR(VLOOKUP($M2281,'Informations sur les produits'!$A$3:$H$10000,8,FALSE),"0")</f>
        <v>0</v>
      </c>
      <c r="P2281" s="33">
        <f t="shared" si="140"/>
        <v>0</v>
      </c>
      <c r="Q2281" s="31" t="str">
        <f t="shared" si="141"/>
        <v/>
      </c>
      <c r="R2281" s="32" t="str">
        <f>IFERROR(VLOOKUP($D2281,'Informations sur les produits'!$A$3:$B$15000,2,FALSE),"")</f>
        <v/>
      </c>
      <c r="V2281">
        <f t="shared" si="142"/>
        <v>0</v>
      </c>
      <c r="W2281">
        <f t="shared" si="143"/>
        <v>0</v>
      </c>
    </row>
    <row r="2282" spans="5:23" x14ac:dyDescent="0.25">
      <c r="E2282" s="4"/>
      <c r="F2282" s="4"/>
      <c r="G2282" s="33" t="str">
        <f>IFERROR(VLOOKUP($D2282,'Informations sur les produits'!$A$3:$H$10000,8,FALSE),"0")</f>
        <v>0</v>
      </c>
      <c r="K2282" s="4"/>
      <c r="L2282" s="33" t="str">
        <f>IFERROR(VLOOKUP($J2282,'Informations sur les produits'!$A$3:$H$10000,8,FALSE),"0")</f>
        <v>0</v>
      </c>
      <c r="N2282" s="8"/>
      <c r="O2282" s="33" t="str">
        <f>IFERROR(VLOOKUP($M2282,'Informations sur les produits'!$A$3:$H$10000,8,FALSE),"0")</f>
        <v>0</v>
      </c>
      <c r="P2282" s="33">
        <f t="shared" si="140"/>
        <v>0</v>
      </c>
      <c r="Q2282" s="31" t="str">
        <f t="shared" si="141"/>
        <v/>
      </c>
      <c r="R2282" s="32" t="str">
        <f>IFERROR(VLOOKUP($D2282,'Informations sur les produits'!$A$3:$B$15000,2,FALSE),"")</f>
        <v/>
      </c>
      <c r="V2282">
        <f t="shared" si="142"/>
        <v>0</v>
      </c>
      <c r="W2282">
        <f t="shared" si="143"/>
        <v>0</v>
      </c>
    </row>
    <row r="2283" spans="5:23" x14ac:dyDescent="0.25">
      <c r="E2283" s="4"/>
      <c r="F2283" s="4"/>
      <c r="G2283" s="33" t="str">
        <f>IFERROR(VLOOKUP($D2283,'Informations sur les produits'!$A$3:$H$10000,8,FALSE),"0")</f>
        <v>0</v>
      </c>
      <c r="K2283" s="4"/>
      <c r="L2283" s="33" t="str">
        <f>IFERROR(VLOOKUP($J2283,'Informations sur les produits'!$A$3:$H$10000,8,FALSE),"0")</f>
        <v>0</v>
      </c>
      <c r="N2283" s="8"/>
      <c r="O2283" s="33" t="str">
        <f>IFERROR(VLOOKUP($M2283,'Informations sur les produits'!$A$3:$H$10000,8,FALSE),"0")</f>
        <v>0</v>
      </c>
      <c r="P2283" s="33">
        <f t="shared" si="140"/>
        <v>0</v>
      </c>
      <c r="Q2283" s="31" t="str">
        <f t="shared" si="141"/>
        <v/>
      </c>
      <c r="R2283" s="32" t="str">
        <f>IFERROR(VLOOKUP($D2283,'Informations sur les produits'!$A$3:$B$15000,2,FALSE),"")</f>
        <v/>
      </c>
      <c r="V2283">
        <f t="shared" si="142"/>
        <v>0</v>
      </c>
      <c r="W2283">
        <f t="shared" si="143"/>
        <v>0</v>
      </c>
    </row>
    <row r="2284" spans="5:23" x14ac:dyDescent="0.25">
      <c r="E2284" s="4"/>
      <c r="F2284" s="4"/>
      <c r="G2284" s="33" t="str">
        <f>IFERROR(VLOOKUP($D2284,'Informations sur les produits'!$A$3:$H$10000,8,FALSE),"0")</f>
        <v>0</v>
      </c>
      <c r="K2284" s="4"/>
      <c r="L2284" s="33" t="str">
        <f>IFERROR(VLOOKUP($J2284,'Informations sur les produits'!$A$3:$H$10000,8,FALSE),"0")</f>
        <v>0</v>
      </c>
      <c r="N2284" s="8"/>
      <c r="O2284" s="33" t="str">
        <f>IFERROR(VLOOKUP($M2284,'Informations sur les produits'!$A$3:$H$10000,8,FALSE),"0")</f>
        <v>0</v>
      </c>
      <c r="P2284" s="33">
        <f t="shared" si="140"/>
        <v>0</v>
      </c>
      <c r="Q2284" s="31" t="str">
        <f t="shared" si="141"/>
        <v/>
      </c>
      <c r="R2284" s="32" t="str">
        <f>IFERROR(VLOOKUP($D2284,'Informations sur les produits'!$A$3:$B$15000,2,FALSE),"")</f>
        <v/>
      </c>
      <c r="V2284">
        <f t="shared" si="142"/>
        <v>0</v>
      </c>
      <c r="W2284">
        <f t="shared" si="143"/>
        <v>0</v>
      </c>
    </row>
    <row r="2285" spans="5:23" x14ac:dyDescent="0.25">
      <c r="E2285" s="4"/>
      <c r="F2285" s="4"/>
      <c r="G2285" s="33" t="str">
        <f>IFERROR(VLOOKUP($D2285,'Informations sur les produits'!$A$3:$H$10000,8,FALSE),"0")</f>
        <v>0</v>
      </c>
      <c r="K2285" s="4"/>
      <c r="L2285" s="33" t="str">
        <f>IFERROR(VLOOKUP($J2285,'Informations sur les produits'!$A$3:$H$10000,8,FALSE),"0")</f>
        <v>0</v>
      </c>
      <c r="N2285" s="8"/>
      <c r="O2285" s="33" t="str">
        <f>IFERROR(VLOOKUP($M2285,'Informations sur les produits'!$A$3:$H$10000,8,FALSE),"0")</f>
        <v>0</v>
      </c>
      <c r="P2285" s="33">
        <f t="shared" si="140"/>
        <v>0</v>
      </c>
      <c r="Q2285" s="31" t="str">
        <f t="shared" si="141"/>
        <v/>
      </c>
      <c r="R2285" s="32" t="str">
        <f>IFERROR(VLOOKUP($D2285,'Informations sur les produits'!$A$3:$B$15000,2,FALSE),"")</f>
        <v/>
      </c>
      <c r="V2285">
        <f t="shared" si="142"/>
        <v>0</v>
      </c>
      <c r="W2285">
        <f t="shared" si="143"/>
        <v>0</v>
      </c>
    </row>
    <row r="2286" spans="5:23" x14ac:dyDescent="0.25">
      <c r="E2286" s="4"/>
      <c r="F2286" s="4"/>
      <c r="G2286" s="33" t="str">
        <f>IFERROR(VLOOKUP($D2286,'Informations sur les produits'!$A$3:$H$10000,8,FALSE),"0")</f>
        <v>0</v>
      </c>
      <c r="K2286" s="4"/>
      <c r="L2286" s="33" t="str">
        <f>IFERROR(VLOOKUP($J2286,'Informations sur les produits'!$A$3:$H$10000,8,FALSE),"0")</f>
        <v>0</v>
      </c>
      <c r="N2286" s="8"/>
      <c r="O2286" s="33" t="str">
        <f>IFERROR(VLOOKUP($M2286,'Informations sur les produits'!$A$3:$H$10000,8,FALSE),"0")</f>
        <v>0</v>
      </c>
      <c r="P2286" s="33">
        <f t="shared" si="140"/>
        <v>0</v>
      </c>
      <c r="Q2286" s="31" t="str">
        <f t="shared" si="141"/>
        <v/>
      </c>
      <c r="R2286" s="32" t="str">
        <f>IFERROR(VLOOKUP($D2286,'Informations sur les produits'!$A$3:$B$15000,2,FALSE),"")</f>
        <v/>
      </c>
      <c r="V2286">
        <f t="shared" si="142"/>
        <v>0</v>
      </c>
      <c r="W2286">
        <f t="shared" si="143"/>
        <v>0</v>
      </c>
    </row>
    <row r="2287" spans="5:23" x14ac:dyDescent="0.25">
      <c r="E2287" s="4"/>
      <c r="F2287" s="4"/>
      <c r="G2287" s="33" t="str">
        <f>IFERROR(VLOOKUP($D2287,'Informations sur les produits'!$A$3:$H$10000,8,FALSE),"0")</f>
        <v>0</v>
      </c>
      <c r="K2287" s="4"/>
      <c r="L2287" s="33" t="str">
        <f>IFERROR(VLOOKUP($J2287,'Informations sur les produits'!$A$3:$H$10000,8,FALSE),"0")</f>
        <v>0</v>
      </c>
      <c r="N2287" s="8"/>
      <c r="O2287" s="33" t="str">
        <f>IFERROR(VLOOKUP($M2287,'Informations sur les produits'!$A$3:$H$10000,8,FALSE),"0")</f>
        <v>0</v>
      </c>
      <c r="P2287" s="33">
        <f t="shared" si="140"/>
        <v>0</v>
      </c>
      <c r="Q2287" s="31" t="str">
        <f t="shared" si="141"/>
        <v/>
      </c>
      <c r="R2287" s="32" t="str">
        <f>IFERROR(VLOOKUP($D2287,'Informations sur les produits'!$A$3:$B$15000,2,FALSE),"")</f>
        <v/>
      </c>
      <c r="V2287">
        <f t="shared" si="142"/>
        <v>0</v>
      </c>
      <c r="W2287">
        <f t="shared" si="143"/>
        <v>0</v>
      </c>
    </row>
    <row r="2288" spans="5:23" x14ac:dyDescent="0.25">
      <c r="E2288" s="4"/>
      <c r="F2288" s="4"/>
      <c r="G2288" s="33" t="str">
        <f>IFERROR(VLOOKUP($D2288,'Informations sur les produits'!$A$3:$H$10000,8,FALSE),"0")</f>
        <v>0</v>
      </c>
      <c r="K2288" s="4"/>
      <c r="L2288" s="33" t="str">
        <f>IFERROR(VLOOKUP($J2288,'Informations sur les produits'!$A$3:$H$10000,8,FALSE),"0")</f>
        <v>0</v>
      </c>
      <c r="N2288" s="8"/>
      <c r="O2288" s="33" t="str">
        <f>IFERROR(VLOOKUP($M2288,'Informations sur les produits'!$A$3:$H$10000,8,FALSE),"0")</f>
        <v>0</v>
      </c>
      <c r="P2288" s="33">
        <f t="shared" si="140"/>
        <v>0</v>
      </c>
      <c r="Q2288" s="31" t="str">
        <f t="shared" si="141"/>
        <v/>
      </c>
      <c r="R2288" s="32" t="str">
        <f>IFERROR(VLOOKUP($D2288,'Informations sur les produits'!$A$3:$B$15000,2,FALSE),"")</f>
        <v/>
      </c>
      <c r="V2288">
        <f t="shared" si="142"/>
        <v>0</v>
      </c>
      <c r="W2288">
        <f t="shared" si="143"/>
        <v>0</v>
      </c>
    </row>
    <row r="2289" spans="5:23" x14ac:dyDescent="0.25">
      <c r="E2289" s="4"/>
      <c r="F2289" s="4"/>
      <c r="G2289" s="33" t="str">
        <f>IFERROR(VLOOKUP($D2289,'Informations sur les produits'!$A$3:$H$10000,8,FALSE),"0")</f>
        <v>0</v>
      </c>
      <c r="K2289" s="4"/>
      <c r="L2289" s="33" t="str">
        <f>IFERROR(VLOOKUP($J2289,'Informations sur les produits'!$A$3:$H$10000,8,FALSE),"0")</f>
        <v>0</v>
      </c>
      <c r="N2289" s="8"/>
      <c r="O2289" s="33" t="str">
        <f>IFERROR(VLOOKUP($M2289,'Informations sur les produits'!$A$3:$H$10000,8,FALSE),"0")</f>
        <v>0</v>
      </c>
      <c r="P2289" s="33">
        <f t="shared" si="140"/>
        <v>0</v>
      </c>
      <c r="Q2289" s="31" t="str">
        <f t="shared" si="141"/>
        <v/>
      </c>
      <c r="R2289" s="32" t="str">
        <f>IFERROR(VLOOKUP($D2289,'Informations sur les produits'!$A$3:$B$15000,2,FALSE),"")</f>
        <v/>
      </c>
      <c r="V2289">
        <f t="shared" si="142"/>
        <v>0</v>
      </c>
      <c r="W2289">
        <f t="shared" si="143"/>
        <v>0</v>
      </c>
    </row>
    <row r="2290" spans="5:23" x14ac:dyDescent="0.25">
      <c r="E2290" s="4"/>
      <c r="F2290" s="4"/>
      <c r="G2290" s="33" t="str">
        <f>IFERROR(VLOOKUP($D2290,'Informations sur les produits'!$A$3:$H$10000,8,FALSE),"0")</f>
        <v>0</v>
      </c>
      <c r="K2290" s="4"/>
      <c r="L2290" s="33" t="str">
        <f>IFERROR(VLOOKUP($J2290,'Informations sur les produits'!$A$3:$H$10000,8,FALSE),"0")</f>
        <v>0</v>
      </c>
      <c r="N2290" s="8"/>
      <c r="O2290" s="33" t="str">
        <f>IFERROR(VLOOKUP($M2290,'Informations sur les produits'!$A$3:$H$10000,8,FALSE),"0")</f>
        <v>0</v>
      </c>
      <c r="P2290" s="33">
        <f t="shared" si="140"/>
        <v>0</v>
      </c>
      <c r="Q2290" s="31" t="str">
        <f t="shared" si="141"/>
        <v/>
      </c>
      <c r="R2290" s="32" t="str">
        <f>IFERROR(VLOOKUP($D2290,'Informations sur les produits'!$A$3:$B$15000,2,FALSE),"")</f>
        <v/>
      </c>
      <c r="V2290">
        <f t="shared" si="142"/>
        <v>0</v>
      </c>
      <c r="W2290">
        <f t="shared" si="143"/>
        <v>0</v>
      </c>
    </row>
    <row r="2291" spans="5:23" x14ac:dyDescent="0.25">
      <c r="E2291" s="4"/>
      <c r="F2291" s="4"/>
      <c r="G2291" s="33" t="str">
        <f>IFERROR(VLOOKUP($D2291,'Informations sur les produits'!$A$3:$H$10000,8,FALSE),"0")</f>
        <v>0</v>
      </c>
      <c r="K2291" s="4"/>
      <c r="L2291" s="33" t="str">
        <f>IFERROR(VLOOKUP($J2291,'Informations sur les produits'!$A$3:$H$10000,8,FALSE),"0")</f>
        <v>0</v>
      </c>
      <c r="N2291" s="8"/>
      <c r="O2291" s="33" t="str">
        <f>IFERROR(VLOOKUP($M2291,'Informations sur les produits'!$A$3:$H$10000,8,FALSE),"0")</f>
        <v>0</v>
      </c>
      <c r="P2291" s="33">
        <f t="shared" si="140"/>
        <v>0</v>
      </c>
      <c r="Q2291" s="31" t="str">
        <f t="shared" si="141"/>
        <v/>
      </c>
      <c r="R2291" s="32" t="str">
        <f>IFERROR(VLOOKUP($D2291,'Informations sur les produits'!$A$3:$B$15000,2,FALSE),"")</f>
        <v/>
      </c>
      <c r="V2291">
        <f t="shared" si="142"/>
        <v>0</v>
      </c>
      <c r="W2291">
        <f t="shared" si="143"/>
        <v>0</v>
      </c>
    </row>
    <row r="2292" spans="5:23" x14ac:dyDescent="0.25">
      <c r="E2292" s="4"/>
      <c r="F2292" s="4"/>
      <c r="G2292" s="33" t="str">
        <f>IFERROR(VLOOKUP($D2292,'Informations sur les produits'!$A$3:$H$10000,8,FALSE),"0")</f>
        <v>0</v>
      </c>
      <c r="K2292" s="4"/>
      <c r="L2292" s="33" t="str">
        <f>IFERROR(VLOOKUP($J2292,'Informations sur les produits'!$A$3:$H$10000,8,FALSE),"0")</f>
        <v>0</v>
      </c>
      <c r="N2292" s="8"/>
      <c r="O2292" s="33" t="str">
        <f>IFERROR(VLOOKUP($M2292,'Informations sur les produits'!$A$3:$H$10000,8,FALSE),"0")</f>
        <v>0</v>
      </c>
      <c r="P2292" s="33">
        <f t="shared" si="140"/>
        <v>0</v>
      </c>
      <c r="Q2292" s="31" t="str">
        <f t="shared" si="141"/>
        <v/>
      </c>
      <c r="R2292" s="32" t="str">
        <f>IFERROR(VLOOKUP($D2292,'Informations sur les produits'!$A$3:$B$15000,2,FALSE),"")</f>
        <v/>
      </c>
      <c r="V2292">
        <f t="shared" si="142"/>
        <v>0</v>
      </c>
      <c r="W2292">
        <f t="shared" si="143"/>
        <v>0</v>
      </c>
    </row>
    <row r="2293" spans="5:23" x14ac:dyDescent="0.25">
      <c r="E2293" s="4"/>
      <c r="F2293" s="4"/>
      <c r="G2293" s="33" t="str">
        <f>IFERROR(VLOOKUP($D2293,'Informations sur les produits'!$A$3:$H$10000,8,FALSE),"0")</f>
        <v>0</v>
      </c>
      <c r="K2293" s="4"/>
      <c r="L2293" s="33" t="str">
        <f>IFERROR(VLOOKUP($J2293,'Informations sur les produits'!$A$3:$H$10000,8,FALSE),"0")</f>
        <v>0</v>
      </c>
      <c r="N2293" s="8"/>
      <c r="O2293" s="33" t="str">
        <f>IFERROR(VLOOKUP($M2293,'Informations sur les produits'!$A$3:$H$10000,8,FALSE),"0")</f>
        <v>0</v>
      </c>
      <c r="P2293" s="33">
        <f t="shared" si="140"/>
        <v>0</v>
      </c>
      <c r="Q2293" s="31" t="str">
        <f t="shared" si="141"/>
        <v/>
      </c>
      <c r="R2293" s="32" t="str">
        <f>IFERROR(VLOOKUP($D2293,'Informations sur les produits'!$A$3:$B$15000,2,FALSE),"")</f>
        <v/>
      </c>
      <c r="V2293">
        <f t="shared" si="142"/>
        <v>0</v>
      </c>
      <c r="W2293">
        <f t="shared" si="143"/>
        <v>0</v>
      </c>
    </row>
    <row r="2294" spans="5:23" x14ac:dyDescent="0.25">
      <c r="E2294" s="4"/>
      <c r="F2294" s="4"/>
      <c r="G2294" s="33" t="str">
        <f>IFERROR(VLOOKUP($D2294,'Informations sur les produits'!$A$3:$H$10000,8,FALSE),"0")</f>
        <v>0</v>
      </c>
      <c r="K2294" s="4"/>
      <c r="L2294" s="33" t="str">
        <f>IFERROR(VLOOKUP($J2294,'Informations sur les produits'!$A$3:$H$10000,8,FALSE),"0")</f>
        <v>0</v>
      </c>
      <c r="N2294" s="8"/>
      <c r="O2294" s="33" t="str">
        <f>IFERROR(VLOOKUP($M2294,'Informations sur les produits'!$A$3:$H$10000,8,FALSE),"0")</f>
        <v>0</v>
      </c>
      <c r="P2294" s="33">
        <f t="shared" si="140"/>
        <v>0</v>
      </c>
      <c r="Q2294" s="31" t="str">
        <f t="shared" si="141"/>
        <v/>
      </c>
      <c r="R2294" s="32" t="str">
        <f>IFERROR(VLOOKUP($D2294,'Informations sur les produits'!$A$3:$B$15000,2,FALSE),"")</f>
        <v/>
      </c>
      <c r="V2294">
        <f t="shared" si="142"/>
        <v>0</v>
      </c>
      <c r="W2294">
        <f t="shared" si="143"/>
        <v>0</v>
      </c>
    </row>
    <row r="2295" spans="5:23" x14ac:dyDescent="0.25">
      <c r="E2295" s="4"/>
      <c r="F2295" s="4"/>
      <c r="G2295" s="33" t="str">
        <f>IFERROR(VLOOKUP($D2295,'Informations sur les produits'!$A$3:$H$10000,8,FALSE),"0")</f>
        <v>0</v>
      </c>
      <c r="K2295" s="4"/>
      <c r="L2295" s="33" t="str">
        <f>IFERROR(VLOOKUP($J2295,'Informations sur les produits'!$A$3:$H$10000,8,FALSE),"0")</f>
        <v>0</v>
      </c>
      <c r="N2295" s="8"/>
      <c r="O2295" s="33" t="str">
        <f>IFERROR(VLOOKUP($M2295,'Informations sur les produits'!$A$3:$H$10000,8,FALSE),"0")</f>
        <v>0</v>
      </c>
      <c r="P2295" s="33">
        <f t="shared" si="140"/>
        <v>0</v>
      </c>
      <c r="Q2295" s="31" t="str">
        <f t="shared" si="141"/>
        <v/>
      </c>
      <c r="R2295" s="32" t="str">
        <f>IFERROR(VLOOKUP($D2295,'Informations sur les produits'!$A$3:$B$15000,2,FALSE),"")</f>
        <v/>
      </c>
      <c r="V2295">
        <f t="shared" si="142"/>
        <v>0</v>
      </c>
      <c r="W2295">
        <f t="shared" si="143"/>
        <v>0</v>
      </c>
    </row>
    <row r="2296" spans="5:23" x14ac:dyDescent="0.25">
      <c r="E2296" s="4"/>
      <c r="F2296" s="4"/>
      <c r="G2296" s="33" t="str">
        <f>IFERROR(VLOOKUP($D2296,'Informations sur les produits'!$A$3:$H$10000,8,FALSE),"0")</f>
        <v>0</v>
      </c>
      <c r="K2296" s="4"/>
      <c r="L2296" s="33" t="str">
        <f>IFERROR(VLOOKUP($J2296,'Informations sur les produits'!$A$3:$H$10000,8,FALSE),"0")</f>
        <v>0</v>
      </c>
      <c r="N2296" s="8"/>
      <c r="O2296" s="33" t="str">
        <f>IFERROR(VLOOKUP($M2296,'Informations sur les produits'!$A$3:$H$10000,8,FALSE),"0")</f>
        <v>0</v>
      </c>
      <c r="P2296" s="33">
        <f t="shared" si="140"/>
        <v>0</v>
      </c>
      <c r="Q2296" s="31" t="str">
        <f t="shared" si="141"/>
        <v/>
      </c>
      <c r="R2296" s="32" t="str">
        <f>IFERROR(VLOOKUP($D2296,'Informations sur les produits'!$A$3:$B$15000,2,FALSE),"")</f>
        <v/>
      </c>
      <c r="V2296">
        <f t="shared" si="142"/>
        <v>0</v>
      </c>
      <c r="W2296">
        <f t="shared" si="143"/>
        <v>0</v>
      </c>
    </row>
    <row r="2297" spans="5:23" x14ac:dyDescent="0.25">
      <c r="E2297" s="4"/>
      <c r="F2297" s="4"/>
      <c r="G2297" s="33" t="str">
        <f>IFERROR(VLOOKUP($D2297,'Informations sur les produits'!$A$3:$H$10000,8,FALSE),"0")</f>
        <v>0</v>
      </c>
      <c r="K2297" s="4"/>
      <c r="L2297" s="33" t="str">
        <f>IFERROR(VLOOKUP($J2297,'Informations sur les produits'!$A$3:$H$10000,8,FALSE),"0")</f>
        <v>0</v>
      </c>
      <c r="N2297" s="8"/>
      <c r="O2297" s="33" t="str">
        <f>IFERROR(VLOOKUP($M2297,'Informations sur les produits'!$A$3:$H$10000,8,FALSE),"0")</f>
        <v>0</v>
      </c>
      <c r="P2297" s="33">
        <f t="shared" si="140"/>
        <v>0</v>
      </c>
      <c r="Q2297" s="31" t="str">
        <f t="shared" si="141"/>
        <v/>
      </c>
      <c r="R2297" s="32" t="str">
        <f>IFERROR(VLOOKUP($D2297,'Informations sur les produits'!$A$3:$B$15000,2,FALSE),"")</f>
        <v/>
      </c>
      <c r="V2297">
        <f t="shared" si="142"/>
        <v>0</v>
      </c>
      <c r="W2297">
        <f t="shared" si="143"/>
        <v>0</v>
      </c>
    </row>
    <row r="2298" spans="5:23" x14ac:dyDescent="0.25">
      <c r="E2298" s="4"/>
      <c r="F2298" s="4"/>
      <c r="G2298" s="33" t="str">
        <f>IFERROR(VLOOKUP($D2298,'Informations sur les produits'!$A$3:$H$10000,8,FALSE),"0")</f>
        <v>0</v>
      </c>
      <c r="K2298" s="4"/>
      <c r="L2298" s="33" t="str">
        <f>IFERROR(VLOOKUP($J2298,'Informations sur les produits'!$A$3:$H$10000,8,FALSE),"0")</f>
        <v>0</v>
      </c>
      <c r="N2298" s="8"/>
      <c r="O2298" s="33" t="str">
        <f>IFERROR(VLOOKUP($M2298,'Informations sur les produits'!$A$3:$H$10000,8,FALSE),"0")</f>
        <v>0</v>
      </c>
      <c r="P2298" s="33">
        <f t="shared" si="140"/>
        <v>0</v>
      </c>
      <c r="Q2298" s="31" t="str">
        <f t="shared" si="141"/>
        <v/>
      </c>
      <c r="R2298" s="32" t="str">
        <f>IFERROR(VLOOKUP($D2298,'Informations sur les produits'!$A$3:$B$15000,2,FALSE),"")</f>
        <v/>
      </c>
      <c r="V2298">
        <f t="shared" si="142"/>
        <v>0</v>
      </c>
      <c r="W2298">
        <f t="shared" si="143"/>
        <v>0</v>
      </c>
    </row>
    <row r="2299" spans="5:23" x14ac:dyDescent="0.25">
      <c r="E2299" s="4"/>
      <c r="F2299" s="4"/>
      <c r="G2299" s="33" t="str">
        <f>IFERROR(VLOOKUP($D2299,'Informations sur les produits'!$A$3:$H$10000,8,FALSE),"0")</f>
        <v>0</v>
      </c>
      <c r="K2299" s="4"/>
      <c r="L2299" s="33" t="str">
        <f>IFERROR(VLOOKUP($J2299,'Informations sur les produits'!$A$3:$H$10000,8,FALSE),"0")</f>
        <v>0</v>
      </c>
      <c r="N2299" s="8"/>
      <c r="O2299" s="33" t="str">
        <f>IFERROR(VLOOKUP($M2299,'Informations sur les produits'!$A$3:$H$10000,8,FALSE),"0")</f>
        <v>0</v>
      </c>
      <c r="P2299" s="33">
        <f t="shared" si="140"/>
        <v>0</v>
      </c>
      <c r="Q2299" s="31" t="str">
        <f t="shared" si="141"/>
        <v/>
      </c>
      <c r="R2299" s="32" t="str">
        <f>IFERROR(VLOOKUP($D2299,'Informations sur les produits'!$A$3:$B$15000,2,FALSE),"")</f>
        <v/>
      </c>
      <c r="V2299">
        <f t="shared" si="142"/>
        <v>0</v>
      </c>
      <c r="W2299">
        <f t="shared" si="143"/>
        <v>0</v>
      </c>
    </row>
    <row r="2300" spans="5:23" x14ac:dyDescent="0.25">
      <c r="E2300" s="4"/>
      <c r="F2300" s="4"/>
      <c r="G2300" s="33" t="str">
        <f>IFERROR(VLOOKUP($D2300,'Informations sur les produits'!$A$3:$H$10000,8,FALSE),"0")</f>
        <v>0</v>
      </c>
      <c r="K2300" s="4"/>
      <c r="L2300" s="33" t="str">
        <f>IFERROR(VLOOKUP($J2300,'Informations sur les produits'!$A$3:$H$10000,8,FALSE),"0")</f>
        <v>0</v>
      </c>
      <c r="N2300" s="8"/>
      <c r="O2300" s="33" t="str">
        <f>IFERROR(VLOOKUP($M2300,'Informations sur les produits'!$A$3:$H$10000,8,FALSE),"0")</f>
        <v>0</v>
      </c>
      <c r="P2300" s="33">
        <f t="shared" si="140"/>
        <v>0</v>
      </c>
      <c r="Q2300" s="31" t="str">
        <f t="shared" si="141"/>
        <v/>
      </c>
      <c r="R2300" s="32" t="str">
        <f>IFERROR(VLOOKUP($D2300,'Informations sur les produits'!$A$3:$B$15000,2,FALSE),"")</f>
        <v/>
      </c>
      <c r="V2300">
        <f t="shared" si="142"/>
        <v>0</v>
      </c>
      <c r="W2300">
        <f t="shared" si="143"/>
        <v>0</v>
      </c>
    </row>
    <row r="2301" spans="5:23" x14ac:dyDescent="0.25">
      <c r="E2301" s="4"/>
      <c r="F2301" s="4"/>
      <c r="G2301" s="33" t="str">
        <f>IFERROR(VLOOKUP($D2301,'Informations sur les produits'!$A$3:$H$10000,8,FALSE),"0")</f>
        <v>0</v>
      </c>
      <c r="K2301" s="4"/>
      <c r="L2301" s="33" t="str">
        <f>IFERROR(VLOOKUP($J2301,'Informations sur les produits'!$A$3:$H$10000,8,FALSE),"0")</f>
        <v>0</v>
      </c>
      <c r="N2301" s="8"/>
      <c r="O2301" s="33" t="str">
        <f>IFERROR(VLOOKUP($M2301,'Informations sur les produits'!$A$3:$H$10000,8,FALSE),"0")</f>
        <v>0</v>
      </c>
      <c r="P2301" s="33">
        <f t="shared" si="140"/>
        <v>0</v>
      </c>
      <c r="Q2301" s="31" t="str">
        <f t="shared" si="141"/>
        <v/>
      </c>
      <c r="R2301" s="32" t="str">
        <f>IFERROR(VLOOKUP($D2301,'Informations sur les produits'!$A$3:$B$15000,2,FALSE),"")</f>
        <v/>
      </c>
      <c r="V2301">
        <f t="shared" si="142"/>
        <v>0</v>
      </c>
      <c r="W2301">
        <f t="shared" si="143"/>
        <v>0</v>
      </c>
    </row>
    <row r="2302" spans="5:23" x14ac:dyDescent="0.25">
      <c r="E2302" s="4"/>
      <c r="F2302" s="4"/>
      <c r="G2302" s="33" t="str">
        <f>IFERROR(VLOOKUP($D2302,'Informations sur les produits'!$A$3:$H$10000,8,FALSE),"0")</f>
        <v>0</v>
      </c>
      <c r="K2302" s="4"/>
      <c r="L2302" s="33" t="str">
        <f>IFERROR(VLOOKUP($J2302,'Informations sur les produits'!$A$3:$H$10000,8,FALSE),"0")</f>
        <v>0</v>
      </c>
      <c r="N2302" s="8"/>
      <c r="O2302" s="33" t="str">
        <f>IFERROR(VLOOKUP($M2302,'Informations sur les produits'!$A$3:$H$10000,8,FALSE),"0")</f>
        <v>0</v>
      </c>
      <c r="P2302" s="33">
        <f t="shared" si="140"/>
        <v>0</v>
      </c>
      <c r="Q2302" s="31" t="str">
        <f t="shared" si="141"/>
        <v/>
      </c>
      <c r="R2302" s="32" t="str">
        <f>IFERROR(VLOOKUP($D2302,'Informations sur les produits'!$A$3:$B$15000,2,FALSE),"")</f>
        <v/>
      </c>
      <c r="V2302">
        <f t="shared" si="142"/>
        <v>0</v>
      </c>
      <c r="W2302">
        <f t="shared" si="143"/>
        <v>0</v>
      </c>
    </row>
    <row r="2303" spans="5:23" x14ac:dyDescent="0.25">
      <c r="E2303" s="4"/>
      <c r="F2303" s="4"/>
      <c r="G2303" s="33" t="str">
        <f>IFERROR(VLOOKUP($D2303,'Informations sur les produits'!$A$3:$H$10000,8,FALSE),"0")</f>
        <v>0</v>
      </c>
      <c r="K2303" s="4"/>
      <c r="L2303" s="33" t="str">
        <f>IFERROR(VLOOKUP($J2303,'Informations sur les produits'!$A$3:$H$10000,8,FALSE),"0")</f>
        <v>0</v>
      </c>
      <c r="N2303" s="8"/>
      <c r="O2303" s="33" t="str">
        <f>IFERROR(VLOOKUP($M2303,'Informations sur les produits'!$A$3:$H$10000,8,FALSE),"0")</f>
        <v>0</v>
      </c>
      <c r="P2303" s="33">
        <f t="shared" si="140"/>
        <v>0</v>
      </c>
      <c r="Q2303" s="31" t="str">
        <f t="shared" si="141"/>
        <v/>
      </c>
      <c r="R2303" s="32" t="str">
        <f>IFERROR(VLOOKUP($D2303,'Informations sur les produits'!$A$3:$B$15000,2,FALSE),"")</f>
        <v/>
      </c>
      <c r="V2303">
        <f t="shared" si="142"/>
        <v>0</v>
      </c>
      <c r="W2303">
        <f t="shared" si="143"/>
        <v>0</v>
      </c>
    </row>
    <row r="2304" spans="5:23" x14ac:dyDescent="0.25">
      <c r="E2304" s="4"/>
      <c r="F2304" s="4"/>
      <c r="G2304" s="33" t="str">
        <f>IFERROR(VLOOKUP($D2304,'Informations sur les produits'!$A$3:$H$10000,8,FALSE),"0")</f>
        <v>0</v>
      </c>
      <c r="K2304" s="4"/>
      <c r="L2304" s="33" t="str">
        <f>IFERROR(VLOOKUP($J2304,'Informations sur les produits'!$A$3:$H$10000,8,FALSE),"0")</f>
        <v>0</v>
      </c>
      <c r="N2304" s="8"/>
      <c r="O2304" s="33" t="str">
        <f>IFERROR(VLOOKUP($M2304,'Informations sur les produits'!$A$3:$H$10000,8,FALSE),"0")</f>
        <v>0</v>
      </c>
      <c r="P2304" s="33">
        <f t="shared" si="140"/>
        <v>0</v>
      </c>
      <c r="Q2304" s="31" t="str">
        <f t="shared" si="141"/>
        <v/>
      </c>
      <c r="R2304" s="32" t="str">
        <f>IFERROR(VLOOKUP($D2304,'Informations sur les produits'!$A$3:$B$15000,2,FALSE),"")</f>
        <v/>
      </c>
      <c r="V2304">
        <f t="shared" si="142"/>
        <v>0</v>
      </c>
      <c r="W2304">
        <f t="shared" si="143"/>
        <v>0</v>
      </c>
    </row>
    <row r="2305" spans="5:23" x14ac:dyDescent="0.25">
      <c r="E2305" s="4"/>
      <c r="F2305" s="4"/>
      <c r="G2305" s="33" t="str">
        <f>IFERROR(VLOOKUP($D2305,'Informations sur les produits'!$A$3:$H$10000,8,FALSE),"0")</f>
        <v>0</v>
      </c>
      <c r="K2305" s="4"/>
      <c r="L2305" s="33" t="str">
        <f>IFERROR(VLOOKUP($J2305,'Informations sur les produits'!$A$3:$H$10000,8,FALSE),"0")</f>
        <v>0</v>
      </c>
      <c r="N2305" s="8"/>
      <c r="O2305" s="33" t="str">
        <f>IFERROR(VLOOKUP($M2305,'Informations sur les produits'!$A$3:$H$10000,8,FALSE),"0")</f>
        <v>0</v>
      </c>
      <c r="P2305" s="33">
        <f t="shared" si="140"/>
        <v>0</v>
      </c>
      <c r="Q2305" s="31" t="str">
        <f t="shared" si="141"/>
        <v/>
      </c>
      <c r="R2305" s="32" t="str">
        <f>IFERROR(VLOOKUP($D2305,'Informations sur les produits'!$A$3:$B$15000,2,FALSE),"")</f>
        <v/>
      </c>
      <c r="V2305">
        <f t="shared" si="142"/>
        <v>0</v>
      </c>
      <c r="W2305">
        <f t="shared" si="143"/>
        <v>0</v>
      </c>
    </row>
    <row r="2306" spans="5:23" x14ac:dyDescent="0.25">
      <c r="E2306" s="4"/>
      <c r="F2306" s="4"/>
      <c r="G2306" s="33" t="str">
        <f>IFERROR(VLOOKUP($D2306,'Informations sur les produits'!$A$3:$H$10000,8,FALSE),"0")</f>
        <v>0</v>
      </c>
      <c r="K2306" s="4"/>
      <c r="L2306" s="33" t="str">
        <f>IFERROR(VLOOKUP($J2306,'Informations sur les produits'!$A$3:$H$10000,8,FALSE),"0")</f>
        <v>0</v>
      </c>
      <c r="N2306" s="8"/>
      <c r="O2306" s="33" t="str">
        <f>IFERROR(VLOOKUP($M2306,'Informations sur les produits'!$A$3:$H$10000,8,FALSE),"0")</f>
        <v>0</v>
      </c>
      <c r="P2306" s="33">
        <f t="shared" si="140"/>
        <v>0</v>
      </c>
      <c r="Q2306" s="31" t="str">
        <f t="shared" si="141"/>
        <v/>
      </c>
      <c r="R2306" s="32" t="str">
        <f>IFERROR(VLOOKUP($D2306,'Informations sur les produits'!$A$3:$B$15000,2,FALSE),"")</f>
        <v/>
      </c>
      <c r="V2306">
        <f t="shared" si="142"/>
        <v>0</v>
      </c>
      <c r="W2306">
        <f t="shared" si="143"/>
        <v>0</v>
      </c>
    </row>
    <row r="2307" spans="5:23" x14ac:dyDescent="0.25">
      <c r="E2307" s="4"/>
      <c r="F2307" s="4"/>
      <c r="G2307" s="33" t="str">
        <f>IFERROR(VLOOKUP($D2307,'Informations sur les produits'!$A$3:$H$10000,8,FALSE),"0")</f>
        <v>0</v>
      </c>
      <c r="K2307" s="4"/>
      <c r="L2307" s="33" t="str">
        <f>IFERROR(VLOOKUP($J2307,'Informations sur les produits'!$A$3:$H$10000,8,FALSE),"0")</f>
        <v>0</v>
      </c>
      <c r="N2307" s="8"/>
      <c r="O2307" s="33" t="str">
        <f>IFERROR(VLOOKUP($M2307,'Informations sur les produits'!$A$3:$H$10000,8,FALSE),"0")</f>
        <v>0</v>
      </c>
      <c r="P2307" s="33">
        <f t="shared" si="140"/>
        <v>0</v>
      </c>
      <c r="Q2307" s="31" t="str">
        <f t="shared" si="141"/>
        <v/>
      </c>
      <c r="R2307" s="32" t="str">
        <f>IFERROR(VLOOKUP($D2307,'Informations sur les produits'!$A$3:$B$15000,2,FALSE),"")</f>
        <v/>
      </c>
      <c r="V2307">
        <f t="shared" si="142"/>
        <v>0</v>
      </c>
      <c r="W2307">
        <f t="shared" si="143"/>
        <v>0</v>
      </c>
    </row>
    <row r="2308" spans="5:23" x14ac:dyDescent="0.25">
      <c r="E2308" s="4"/>
      <c r="F2308" s="4"/>
      <c r="G2308" s="33" t="str">
        <f>IFERROR(VLOOKUP($D2308,'Informations sur les produits'!$A$3:$H$10000,8,FALSE),"0")</f>
        <v>0</v>
      </c>
      <c r="K2308" s="4"/>
      <c r="L2308" s="33" t="str">
        <f>IFERROR(VLOOKUP($J2308,'Informations sur les produits'!$A$3:$H$10000,8,FALSE),"0")</f>
        <v>0</v>
      </c>
      <c r="N2308" s="8"/>
      <c r="O2308" s="33" t="str">
        <f>IFERROR(VLOOKUP($M2308,'Informations sur les produits'!$A$3:$H$10000,8,FALSE),"0")</f>
        <v>0</v>
      </c>
      <c r="P2308" s="33">
        <f t="shared" ref="P2308:P2371" si="144">IFERROR((($E2308-$F2308)*$G2308+$K2308*$L2308+$N2308*$O2308),"")</f>
        <v>0</v>
      </c>
      <c r="Q2308" s="31" t="str">
        <f t="shared" ref="Q2308:Q2371" si="145">IFERROR((((($E2308-$F2308)*$G2308+$K2308*$L2308+$N2308*$O2308)*1000)/(($E2308-$F2308)+$K2308+$N2308)),"")</f>
        <v/>
      </c>
      <c r="R2308" s="32" t="str">
        <f>IFERROR(VLOOKUP($D2308,'Informations sur les produits'!$A$3:$B$15000,2,FALSE),"")</f>
        <v/>
      </c>
      <c r="V2308">
        <f t="shared" ref="V2308:V2371" si="146">IFERROR(P2308*1000,"")</f>
        <v>0</v>
      </c>
      <c r="W2308">
        <f t="shared" ref="W2308:W2371" si="147">IFERROR(($E2308-$F2308)+$K2308+$N2308,"")</f>
        <v>0</v>
      </c>
    </row>
    <row r="2309" spans="5:23" x14ac:dyDescent="0.25">
      <c r="E2309" s="4"/>
      <c r="F2309" s="4"/>
      <c r="G2309" s="33" t="str">
        <f>IFERROR(VLOOKUP($D2309,'Informations sur les produits'!$A$3:$H$10000,8,FALSE),"0")</f>
        <v>0</v>
      </c>
      <c r="K2309" s="4"/>
      <c r="L2309" s="33" t="str">
        <f>IFERROR(VLOOKUP($J2309,'Informations sur les produits'!$A$3:$H$10000,8,FALSE),"0")</f>
        <v>0</v>
      </c>
      <c r="N2309" s="8"/>
      <c r="O2309" s="33" t="str">
        <f>IFERROR(VLOOKUP($M2309,'Informations sur les produits'!$A$3:$H$10000,8,FALSE),"0")</f>
        <v>0</v>
      </c>
      <c r="P2309" s="33">
        <f t="shared" si="144"/>
        <v>0</v>
      </c>
      <c r="Q2309" s="31" t="str">
        <f t="shared" si="145"/>
        <v/>
      </c>
      <c r="R2309" s="32" t="str">
        <f>IFERROR(VLOOKUP($D2309,'Informations sur les produits'!$A$3:$B$15000,2,FALSE),"")</f>
        <v/>
      </c>
      <c r="V2309">
        <f t="shared" si="146"/>
        <v>0</v>
      </c>
      <c r="W2309">
        <f t="shared" si="147"/>
        <v>0</v>
      </c>
    </row>
    <row r="2310" spans="5:23" x14ac:dyDescent="0.25">
      <c r="E2310" s="4"/>
      <c r="F2310" s="4"/>
      <c r="G2310" s="33" t="str">
        <f>IFERROR(VLOOKUP($D2310,'Informations sur les produits'!$A$3:$H$10000,8,FALSE),"0")</f>
        <v>0</v>
      </c>
      <c r="K2310" s="4"/>
      <c r="L2310" s="33" t="str">
        <f>IFERROR(VLOOKUP($J2310,'Informations sur les produits'!$A$3:$H$10000,8,FALSE),"0")</f>
        <v>0</v>
      </c>
      <c r="N2310" s="8"/>
      <c r="O2310" s="33" t="str">
        <f>IFERROR(VLOOKUP($M2310,'Informations sur les produits'!$A$3:$H$10000,8,FALSE),"0")</f>
        <v>0</v>
      </c>
      <c r="P2310" s="33">
        <f t="shared" si="144"/>
        <v>0</v>
      </c>
      <c r="Q2310" s="31" t="str">
        <f t="shared" si="145"/>
        <v/>
      </c>
      <c r="R2310" s="32" t="str">
        <f>IFERROR(VLOOKUP($D2310,'Informations sur les produits'!$A$3:$B$15000,2,FALSE),"")</f>
        <v/>
      </c>
      <c r="V2310">
        <f t="shared" si="146"/>
        <v>0</v>
      </c>
      <c r="W2310">
        <f t="shared" si="147"/>
        <v>0</v>
      </c>
    </row>
    <row r="2311" spans="5:23" x14ac:dyDescent="0.25">
      <c r="E2311" s="4"/>
      <c r="F2311" s="4"/>
      <c r="G2311" s="33" t="str">
        <f>IFERROR(VLOOKUP($D2311,'Informations sur les produits'!$A$3:$H$10000,8,FALSE),"0")</f>
        <v>0</v>
      </c>
      <c r="K2311" s="4"/>
      <c r="L2311" s="33" t="str">
        <f>IFERROR(VLOOKUP($J2311,'Informations sur les produits'!$A$3:$H$10000,8,FALSE),"0")</f>
        <v>0</v>
      </c>
      <c r="N2311" s="8"/>
      <c r="O2311" s="33" t="str">
        <f>IFERROR(VLOOKUP($M2311,'Informations sur les produits'!$A$3:$H$10000,8,FALSE),"0")</f>
        <v>0</v>
      </c>
      <c r="P2311" s="33">
        <f t="shared" si="144"/>
        <v>0</v>
      </c>
      <c r="Q2311" s="31" t="str">
        <f t="shared" si="145"/>
        <v/>
      </c>
      <c r="R2311" s="32" t="str">
        <f>IFERROR(VLOOKUP($D2311,'Informations sur les produits'!$A$3:$B$15000,2,FALSE),"")</f>
        <v/>
      </c>
      <c r="V2311">
        <f t="shared" si="146"/>
        <v>0</v>
      </c>
      <c r="W2311">
        <f t="shared" si="147"/>
        <v>0</v>
      </c>
    </row>
    <row r="2312" spans="5:23" x14ac:dyDescent="0.25">
      <c r="E2312" s="4"/>
      <c r="F2312" s="4"/>
      <c r="G2312" s="33" t="str">
        <f>IFERROR(VLOOKUP($D2312,'Informations sur les produits'!$A$3:$H$10000,8,FALSE),"0")</f>
        <v>0</v>
      </c>
      <c r="K2312" s="4"/>
      <c r="L2312" s="33" t="str">
        <f>IFERROR(VLOOKUP($J2312,'Informations sur les produits'!$A$3:$H$10000,8,FALSE),"0")</f>
        <v>0</v>
      </c>
      <c r="N2312" s="8"/>
      <c r="O2312" s="33" t="str">
        <f>IFERROR(VLOOKUP($M2312,'Informations sur les produits'!$A$3:$H$10000,8,FALSE),"0")</f>
        <v>0</v>
      </c>
      <c r="P2312" s="33">
        <f t="shared" si="144"/>
        <v>0</v>
      </c>
      <c r="Q2312" s="31" t="str">
        <f t="shared" si="145"/>
        <v/>
      </c>
      <c r="R2312" s="32" t="str">
        <f>IFERROR(VLOOKUP($D2312,'Informations sur les produits'!$A$3:$B$15000,2,FALSE),"")</f>
        <v/>
      </c>
      <c r="V2312">
        <f t="shared" si="146"/>
        <v>0</v>
      </c>
      <c r="W2312">
        <f t="shared" si="147"/>
        <v>0</v>
      </c>
    </row>
    <row r="2313" spans="5:23" x14ac:dyDescent="0.25">
      <c r="E2313" s="4"/>
      <c r="F2313" s="4"/>
      <c r="G2313" s="33" t="str">
        <f>IFERROR(VLOOKUP($D2313,'Informations sur les produits'!$A$3:$H$10000,8,FALSE),"0")</f>
        <v>0</v>
      </c>
      <c r="K2313" s="4"/>
      <c r="L2313" s="33" t="str">
        <f>IFERROR(VLOOKUP($J2313,'Informations sur les produits'!$A$3:$H$10000,8,FALSE),"0")</f>
        <v>0</v>
      </c>
      <c r="N2313" s="8"/>
      <c r="O2313" s="33" t="str">
        <f>IFERROR(VLOOKUP($M2313,'Informations sur les produits'!$A$3:$H$10000,8,FALSE),"0")</f>
        <v>0</v>
      </c>
      <c r="P2313" s="33">
        <f t="shared" si="144"/>
        <v>0</v>
      </c>
      <c r="Q2313" s="31" t="str">
        <f t="shared" si="145"/>
        <v/>
      </c>
      <c r="R2313" s="32" t="str">
        <f>IFERROR(VLOOKUP($D2313,'Informations sur les produits'!$A$3:$B$15000,2,FALSE),"")</f>
        <v/>
      </c>
      <c r="V2313">
        <f t="shared" si="146"/>
        <v>0</v>
      </c>
      <c r="W2313">
        <f t="shared" si="147"/>
        <v>0</v>
      </c>
    </row>
    <row r="2314" spans="5:23" x14ac:dyDescent="0.25">
      <c r="E2314" s="4"/>
      <c r="F2314" s="4"/>
      <c r="G2314" s="33" t="str">
        <f>IFERROR(VLOOKUP($D2314,'Informations sur les produits'!$A$3:$H$10000,8,FALSE),"0")</f>
        <v>0</v>
      </c>
      <c r="K2314" s="4"/>
      <c r="L2314" s="33" t="str">
        <f>IFERROR(VLOOKUP($J2314,'Informations sur les produits'!$A$3:$H$10000,8,FALSE),"0")</f>
        <v>0</v>
      </c>
      <c r="N2314" s="8"/>
      <c r="O2314" s="33" t="str">
        <f>IFERROR(VLOOKUP($M2314,'Informations sur les produits'!$A$3:$H$10000,8,FALSE),"0")</f>
        <v>0</v>
      </c>
      <c r="P2314" s="33">
        <f t="shared" si="144"/>
        <v>0</v>
      </c>
      <c r="Q2314" s="31" t="str">
        <f t="shared" si="145"/>
        <v/>
      </c>
      <c r="R2314" s="32" t="str">
        <f>IFERROR(VLOOKUP($D2314,'Informations sur les produits'!$A$3:$B$15000,2,FALSE),"")</f>
        <v/>
      </c>
      <c r="V2314">
        <f t="shared" si="146"/>
        <v>0</v>
      </c>
      <c r="W2314">
        <f t="shared" si="147"/>
        <v>0</v>
      </c>
    </row>
    <row r="2315" spans="5:23" x14ac:dyDescent="0.25">
      <c r="E2315" s="4"/>
      <c r="F2315" s="4"/>
      <c r="G2315" s="33" t="str">
        <f>IFERROR(VLOOKUP($D2315,'Informations sur les produits'!$A$3:$H$10000,8,FALSE),"0")</f>
        <v>0</v>
      </c>
      <c r="K2315" s="4"/>
      <c r="L2315" s="33" t="str">
        <f>IFERROR(VLOOKUP($J2315,'Informations sur les produits'!$A$3:$H$10000,8,FALSE),"0")</f>
        <v>0</v>
      </c>
      <c r="N2315" s="8"/>
      <c r="O2315" s="33" t="str">
        <f>IFERROR(VLOOKUP($M2315,'Informations sur les produits'!$A$3:$H$10000,8,FALSE),"0")</f>
        <v>0</v>
      </c>
      <c r="P2315" s="33">
        <f t="shared" si="144"/>
        <v>0</v>
      </c>
      <c r="Q2315" s="31" t="str">
        <f t="shared" si="145"/>
        <v/>
      </c>
      <c r="R2315" s="32" t="str">
        <f>IFERROR(VLOOKUP($D2315,'Informations sur les produits'!$A$3:$B$15000,2,FALSE),"")</f>
        <v/>
      </c>
      <c r="V2315">
        <f t="shared" si="146"/>
        <v>0</v>
      </c>
      <c r="W2315">
        <f t="shared" si="147"/>
        <v>0</v>
      </c>
    </row>
    <row r="2316" spans="5:23" x14ac:dyDescent="0.25">
      <c r="E2316" s="4"/>
      <c r="F2316" s="4"/>
      <c r="G2316" s="33" t="str">
        <f>IFERROR(VLOOKUP($D2316,'Informations sur les produits'!$A$3:$H$10000,8,FALSE),"0")</f>
        <v>0</v>
      </c>
      <c r="K2316" s="4"/>
      <c r="L2316" s="33" t="str">
        <f>IFERROR(VLOOKUP($J2316,'Informations sur les produits'!$A$3:$H$10000,8,FALSE),"0")</f>
        <v>0</v>
      </c>
      <c r="N2316" s="8"/>
      <c r="O2316" s="33" t="str">
        <f>IFERROR(VLOOKUP($M2316,'Informations sur les produits'!$A$3:$H$10000,8,FALSE),"0")</f>
        <v>0</v>
      </c>
      <c r="P2316" s="33">
        <f t="shared" si="144"/>
        <v>0</v>
      </c>
      <c r="Q2316" s="31" t="str">
        <f t="shared" si="145"/>
        <v/>
      </c>
      <c r="R2316" s="32" t="str">
        <f>IFERROR(VLOOKUP($D2316,'Informations sur les produits'!$A$3:$B$15000,2,FALSE),"")</f>
        <v/>
      </c>
      <c r="V2316">
        <f t="shared" si="146"/>
        <v>0</v>
      </c>
      <c r="W2316">
        <f t="shared" si="147"/>
        <v>0</v>
      </c>
    </row>
    <row r="2317" spans="5:23" x14ac:dyDescent="0.25">
      <c r="E2317" s="4"/>
      <c r="F2317" s="4"/>
      <c r="G2317" s="33" t="str">
        <f>IFERROR(VLOOKUP($D2317,'Informations sur les produits'!$A$3:$H$10000,8,FALSE),"0")</f>
        <v>0</v>
      </c>
      <c r="K2317" s="4"/>
      <c r="L2317" s="33" t="str">
        <f>IFERROR(VLOOKUP($J2317,'Informations sur les produits'!$A$3:$H$10000,8,FALSE),"0")</f>
        <v>0</v>
      </c>
      <c r="N2317" s="8"/>
      <c r="O2317" s="33" t="str">
        <f>IFERROR(VLOOKUP($M2317,'Informations sur les produits'!$A$3:$H$10000,8,FALSE),"0")</f>
        <v>0</v>
      </c>
      <c r="P2317" s="33">
        <f t="shared" si="144"/>
        <v>0</v>
      </c>
      <c r="Q2317" s="31" t="str">
        <f t="shared" si="145"/>
        <v/>
      </c>
      <c r="R2317" s="32" t="str">
        <f>IFERROR(VLOOKUP($D2317,'Informations sur les produits'!$A$3:$B$15000,2,FALSE),"")</f>
        <v/>
      </c>
      <c r="V2317">
        <f t="shared" si="146"/>
        <v>0</v>
      </c>
      <c r="W2317">
        <f t="shared" si="147"/>
        <v>0</v>
      </c>
    </row>
    <row r="2318" spans="5:23" x14ac:dyDescent="0.25">
      <c r="E2318" s="4"/>
      <c r="F2318" s="4"/>
      <c r="G2318" s="33" t="str">
        <f>IFERROR(VLOOKUP($D2318,'Informations sur les produits'!$A$3:$H$10000,8,FALSE),"0")</f>
        <v>0</v>
      </c>
      <c r="K2318" s="4"/>
      <c r="L2318" s="33" t="str">
        <f>IFERROR(VLOOKUP($J2318,'Informations sur les produits'!$A$3:$H$10000,8,FALSE),"0")</f>
        <v>0</v>
      </c>
      <c r="N2318" s="8"/>
      <c r="O2318" s="33" t="str">
        <f>IFERROR(VLOOKUP($M2318,'Informations sur les produits'!$A$3:$H$10000,8,FALSE),"0")</f>
        <v>0</v>
      </c>
      <c r="P2318" s="33">
        <f t="shared" si="144"/>
        <v>0</v>
      </c>
      <c r="Q2318" s="31" t="str">
        <f t="shared" si="145"/>
        <v/>
      </c>
      <c r="R2318" s="32" t="str">
        <f>IFERROR(VLOOKUP($D2318,'Informations sur les produits'!$A$3:$B$15000,2,FALSE),"")</f>
        <v/>
      </c>
      <c r="V2318">
        <f t="shared" si="146"/>
        <v>0</v>
      </c>
      <c r="W2318">
        <f t="shared" si="147"/>
        <v>0</v>
      </c>
    </row>
    <row r="2319" spans="5:23" x14ac:dyDescent="0.25">
      <c r="E2319" s="4"/>
      <c r="F2319" s="4"/>
      <c r="G2319" s="33" t="str">
        <f>IFERROR(VLOOKUP($D2319,'Informations sur les produits'!$A$3:$H$10000,8,FALSE),"0")</f>
        <v>0</v>
      </c>
      <c r="K2319" s="4"/>
      <c r="L2319" s="33" t="str">
        <f>IFERROR(VLOOKUP($J2319,'Informations sur les produits'!$A$3:$H$10000,8,FALSE),"0")</f>
        <v>0</v>
      </c>
      <c r="N2319" s="8"/>
      <c r="O2319" s="33" t="str">
        <f>IFERROR(VLOOKUP($M2319,'Informations sur les produits'!$A$3:$H$10000,8,FALSE),"0")</f>
        <v>0</v>
      </c>
      <c r="P2319" s="33">
        <f t="shared" si="144"/>
        <v>0</v>
      </c>
      <c r="Q2319" s="31" t="str">
        <f t="shared" si="145"/>
        <v/>
      </c>
      <c r="R2319" s="32" t="str">
        <f>IFERROR(VLOOKUP($D2319,'Informations sur les produits'!$A$3:$B$15000,2,FALSE),"")</f>
        <v/>
      </c>
      <c r="V2319">
        <f t="shared" si="146"/>
        <v>0</v>
      </c>
      <c r="W2319">
        <f t="shared" si="147"/>
        <v>0</v>
      </c>
    </row>
    <row r="2320" spans="5:23" x14ac:dyDescent="0.25">
      <c r="E2320" s="4"/>
      <c r="F2320" s="4"/>
      <c r="G2320" s="33" t="str">
        <f>IFERROR(VLOOKUP($D2320,'Informations sur les produits'!$A$3:$H$10000,8,FALSE),"0")</f>
        <v>0</v>
      </c>
      <c r="K2320" s="4"/>
      <c r="L2320" s="33" t="str">
        <f>IFERROR(VLOOKUP($J2320,'Informations sur les produits'!$A$3:$H$10000,8,FALSE),"0")</f>
        <v>0</v>
      </c>
      <c r="N2320" s="8"/>
      <c r="O2320" s="33" t="str">
        <f>IFERROR(VLOOKUP($M2320,'Informations sur les produits'!$A$3:$H$10000,8,FALSE),"0")</f>
        <v>0</v>
      </c>
      <c r="P2320" s="33">
        <f t="shared" si="144"/>
        <v>0</v>
      </c>
      <c r="Q2320" s="31" t="str">
        <f t="shared" si="145"/>
        <v/>
      </c>
      <c r="R2320" s="32" t="str">
        <f>IFERROR(VLOOKUP($D2320,'Informations sur les produits'!$A$3:$B$15000,2,FALSE),"")</f>
        <v/>
      </c>
      <c r="V2320">
        <f t="shared" si="146"/>
        <v>0</v>
      </c>
      <c r="W2320">
        <f t="shared" si="147"/>
        <v>0</v>
      </c>
    </row>
    <row r="2321" spans="5:23" x14ac:dyDescent="0.25">
      <c r="E2321" s="4"/>
      <c r="F2321" s="4"/>
      <c r="G2321" s="33" t="str">
        <f>IFERROR(VLOOKUP($D2321,'Informations sur les produits'!$A$3:$H$10000,8,FALSE),"0")</f>
        <v>0</v>
      </c>
      <c r="K2321" s="4"/>
      <c r="L2321" s="33" t="str">
        <f>IFERROR(VLOOKUP($J2321,'Informations sur les produits'!$A$3:$H$10000,8,FALSE),"0")</f>
        <v>0</v>
      </c>
      <c r="N2321" s="8"/>
      <c r="O2321" s="33" t="str">
        <f>IFERROR(VLOOKUP($M2321,'Informations sur les produits'!$A$3:$H$10000,8,FALSE),"0")</f>
        <v>0</v>
      </c>
      <c r="P2321" s="33">
        <f t="shared" si="144"/>
        <v>0</v>
      </c>
      <c r="Q2321" s="31" t="str">
        <f t="shared" si="145"/>
        <v/>
      </c>
      <c r="R2321" s="32" t="str">
        <f>IFERROR(VLOOKUP($D2321,'Informations sur les produits'!$A$3:$B$15000,2,FALSE),"")</f>
        <v/>
      </c>
      <c r="V2321">
        <f t="shared" si="146"/>
        <v>0</v>
      </c>
      <c r="W2321">
        <f t="shared" si="147"/>
        <v>0</v>
      </c>
    </row>
    <row r="2322" spans="5:23" x14ac:dyDescent="0.25">
      <c r="E2322" s="4"/>
      <c r="F2322" s="4"/>
      <c r="G2322" s="33" t="str">
        <f>IFERROR(VLOOKUP($D2322,'Informations sur les produits'!$A$3:$H$10000,8,FALSE),"0")</f>
        <v>0</v>
      </c>
      <c r="K2322" s="4"/>
      <c r="L2322" s="33" t="str">
        <f>IFERROR(VLOOKUP($J2322,'Informations sur les produits'!$A$3:$H$10000,8,FALSE),"0")</f>
        <v>0</v>
      </c>
      <c r="N2322" s="8"/>
      <c r="O2322" s="33" t="str">
        <f>IFERROR(VLOOKUP($M2322,'Informations sur les produits'!$A$3:$H$10000,8,FALSE),"0")</f>
        <v>0</v>
      </c>
      <c r="P2322" s="33">
        <f t="shared" si="144"/>
        <v>0</v>
      </c>
      <c r="Q2322" s="31" t="str">
        <f t="shared" si="145"/>
        <v/>
      </c>
      <c r="R2322" s="32" t="str">
        <f>IFERROR(VLOOKUP($D2322,'Informations sur les produits'!$A$3:$B$15000,2,FALSE),"")</f>
        <v/>
      </c>
      <c r="V2322">
        <f t="shared" si="146"/>
        <v>0</v>
      </c>
      <c r="W2322">
        <f t="shared" si="147"/>
        <v>0</v>
      </c>
    </row>
    <row r="2323" spans="5:23" x14ac:dyDescent="0.25">
      <c r="E2323" s="4"/>
      <c r="F2323" s="4"/>
      <c r="G2323" s="33" t="str">
        <f>IFERROR(VLOOKUP($D2323,'Informations sur les produits'!$A$3:$H$10000,8,FALSE),"0")</f>
        <v>0</v>
      </c>
      <c r="K2323" s="4"/>
      <c r="L2323" s="33" t="str">
        <f>IFERROR(VLOOKUP($J2323,'Informations sur les produits'!$A$3:$H$10000,8,FALSE),"0")</f>
        <v>0</v>
      </c>
      <c r="N2323" s="8"/>
      <c r="O2323" s="33" t="str">
        <f>IFERROR(VLOOKUP($M2323,'Informations sur les produits'!$A$3:$H$10000,8,FALSE),"0")</f>
        <v>0</v>
      </c>
      <c r="P2323" s="33">
        <f t="shared" si="144"/>
        <v>0</v>
      </c>
      <c r="Q2323" s="31" t="str">
        <f t="shared" si="145"/>
        <v/>
      </c>
      <c r="R2323" s="32" t="str">
        <f>IFERROR(VLOOKUP($D2323,'Informations sur les produits'!$A$3:$B$15000,2,FALSE),"")</f>
        <v/>
      </c>
      <c r="V2323">
        <f t="shared" si="146"/>
        <v>0</v>
      </c>
      <c r="W2323">
        <f t="shared" si="147"/>
        <v>0</v>
      </c>
    </row>
    <row r="2324" spans="5:23" x14ac:dyDescent="0.25">
      <c r="E2324" s="4"/>
      <c r="F2324" s="4"/>
      <c r="G2324" s="33" t="str">
        <f>IFERROR(VLOOKUP($D2324,'Informations sur les produits'!$A$3:$H$10000,8,FALSE),"0")</f>
        <v>0</v>
      </c>
      <c r="K2324" s="4"/>
      <c r="L2324" s="33" t="str">
        <f>IFERROR(VLOOKUP($J2324,'Informations sur les produits'!$A$3:$H$10000,8,FALSE),"0")</f>
        <v>0</v>
      </c>
      <c r="N2324" s="8"/>
      <c r="O2324" s="33" t="str">
        <f>IFERROR(VLOOKUP($M2324,'Informations sur les produits'!$A$3:$H$10000,8,FALSE),"0")</f>
        <v>0</v>
      </c>
      <c r="P2324" s="33">
        <f t="shared" si="144"/>
        <v>0</v>
      </c>
      <c r="Q2324" s="31" t="str">
        <f t="shared" si="145"/>
        <v/>
      </c>
      <c r="R2324" s="32" t="str">
        <f>IFERROR(VLOOKUP($D2324,'Informations sur les produits'!$A$3:$B$15000,2,FALSE),"")</f>
        <v/>
      </c>
      <c r="V2324">
        <f t="shared" si="146"/>
        <v>0</v>
      </c>
      <c r="W2324">
        <f t="shared" si="147"/>
        <v>0</v>
      </c>
    </row>
    <row r="2325" spans="5:23" x14ac:dyDescent="0.25">
      <c r="E2325" s="4"/>
      <c r="F2325" s="4"/>
      <c r="G2325" s="33" t="str">
        <f>IFERROR(VLOOKUP($D2325,'Informations sur les produits'!$A$3:$H$10000,8,FALSE),"0")</f>
        <v>0</v>
      </c>
      <c r="K2325" s="4"/>
      <c r="L2325" s="33" t="str">
        <f>IFERROR(VLOOKUP($J2325,'Informations sur les produits'!$A$3:$H$10000,8,FALSE),"0")</f>
        <v>0</v>
      </c>
      <c r="N2325" s="8"/>
      <c r="O2325" s="33" t="str">
        <f>IFERROR(VLOOKUP($M2325,'Informations sur les produits'!$A$3:$H$10000,8,FALSE),"0")</f>
        <v>0</v>
      </c>
      <c r="P2325" s="33">
        <f t="shared" si="144"/>
        <v>0</v>
      </c>
      <c r="Q2325" s="31" t="str">
        <f t="shared" si="145"/>
        <v/>
      </c>
      <c r="R2325" s="32" t="str">
        <f>IFERROR(VLOOKUP($D2325,'Informations sur les produits'!$A$3:$B$15000,2,FALSE),"")</f>
        <v/>
      </c>
      <c r="V2325">
        <f t="shared" si="146"/>
        <v>0</v>
      </c>
      <c r="W2325">
        <f t="shared" si="147"/>
        <v>0</v>
      </c>
    </row>
    <row r="2326" spans="5:23" x14ac:dyDescent="0.25">
      <c r="E2326" s="4"/>
      <c r="F2326" s="4"/>
      <c r="G2326" s="33" t="str">
        <f>IFERROR(VLOOKUP($D2326,'Informations sur les produits'!$A$3:$H$10000,8,FALSE),"0")</f>
        <v>0</v>
      </c>
      <c r="K2326" s="4"/>
      <c r="L2326" s="33" t="str">
        <f>IFERROR(VLOOKUP($J2326,'Informations sur les produits'!$A$3:$H$10000,8,FALSE),"0")</f>
        <v>0</v>
      </c>
      <c r="N2326" s="8"/>
      <c r="O2326" s="33" t="str">
        <f>IFERROR(VLOOKUP($M2326,'Informations sur les produits'!$A$3:$H$10000,8,FALSE),"0")</f>
        <v>0</v>
      </c>
      <c r="P2326" s="33">
        <f t="shared" si="144"/>
        <v>0</v>
      </c>
      <c r="Q2326" s="31" t="str">
        <f t="shared" si="145"/>
        <v/>
      </c>
      <c r="R2326" s="32" t="str">
        <f>IFERROR(VLOOKUP($D2326,'Informations sur les produits'!$A$3:$B$15000,2,FALSE),"")</f>
        <v/>
      </c>
      <c r="V2326">
        <f t="shared" si="146"/>
        <v>0</v>
      </c>
      <c r="W2326">
        <f t="shared" si="147"/>
        <v>0</v>
      </c>
    </row>
    <row r="2327" spans="5:23" x14ac:dyDescent="0.25">
      <c r="E2327" s="4"/>
      <c r="F2327" s="4"/>
      <c r="G2327" s="33" t="str">
        <f>IFERROR(VLOOKUP($D2327,'Informations sur les produits'!$A$3:$H$10000,8,FALSE),"0")</f>
        <v>0</v>
      </c>
      <c r="K2327" s="4"/>
      <c r="L2327" s="33" t="str">
        <f>IFERROR(VLOOKUP($J2327,'Informations sur les produits'!$A$3:$H$10000,8,FALSE),"0")</f>
        <v>0</v>
      </c>
      <c r="N2327" s="8"/>
      <c r="O2327" s="33" t="str">
        <f>IFERROR(VLOOKUP($M2327,'Informations sur les produits'!$A$3:$H$10000,8,FALSE),"0")</f>
        <v>0</v>
      </c>
      <c r="P2327" s="33">
        <f t="shared" si="144"/>
        <v>0</v>
      </c>
      <c r="Q2327" s="31" t="str">
        <f t="shared" si="145"/>
        <v/>
      </c>
      <c r="R2327" s="32" t="str">
        <f>IFERROR(VLOOKUP($D2327,'Informations sur les produits'!$A$3:$B$15000,2,FALSE),"")</f>
        <v/>
      </c>
      <c r="V2327">
        <f t="shared" si="146"/>
        <v>0</v>
      </c>
      <c r="W2327">
        <f t="shared" si="147"/>
        <v>0</v>
      </c>
    </row>
    <row r="2328" spans="5:23" x14ac:dyDescent="0.25">
      <c r="E2328" s="4"/>
      <c r="F2328" s="4"/>
      <c r="G2328" s="33" t="str">
        <f>IFERROR(VLOOKUP($D2328,'Informations sur les produits'!$A$3:$H$10000,8,FALSE),"0")</f>
        <v>0</v>
      </c>
      <c r="K2328" s="4"/>
      <c r="L2328" s="33" t="str">
        <f>IFERROR(VLOOKUP($J2328,'Informations sur les produits'!$A$3:$H$10000,8,FALSE),"0")</f>
        <v>0</v>
      </c>
      <c r="N2328" s="8"/>
      <c r="O2328" s="33" t="str">
        <f>IFERROR(VLOOKUP($M2328,'Informations sur les produits'!$A$3:$H$10000,8,FALSE),"0")</f>
        <v>0</v>
      </c>
      <c r="P2328" s="33">
        <f t="shared" si="144"/>
        <v>0</v>
      </c>
      <c r="Q2328" s="31" t="str">
        <f t="shared" si="145"/>
        <v/>
      </c>
      <c r="R2328" s="32" t="str">
        <f>IFERROR(VLOOKUP($D2328,'Informations sur les produits'!$A$3:$B$15000,2,FALSE),"")</f>
        <v/>
      </c>
      <c r="V2328">
        <f t="shared" si="146"/>
        <v>0</v>
      </c>
      <c r="W2328">
        <f t="shared" si="147"/>
        <v>0</v>
      </c>
    </row>
    <row r="2329" spans="5:23" x14ac:dyDescent="0.25">
      <c r="E2329" s="4"/>
      <c r="F2329" s="4"/>
      <c r="G2329" s="33" t="str">
        <f>IFERROR(VLOOKUP($D2329,'Informations sur les produits'!$A$3:$H$10000,8,FALSE),"0")</f>
        <v>0</v>
      </c>
      <c r="K2329" s="4"/>
      <c r="L2329" s="33" t="str">
        <f>IFERROR(VLOOKUP($J2329,'Informations sur les produits'!$A$3:$H$10000,8,FALSE),"0")</f>
        <v>0</v>
      </c>
      <c r="N2329" s="8"/>
      <c r="O2329" s="33" t="str">
        <f>IFERROR(VLOOKUP($M2329,'Informations sur les produits'!$A$3:$H$10000,8,FALSE),"0")</f>
        <v>0</v>
      </c>
      <c r="P2329" s="33">
        <f t="shared" si="144"/>
        <v>0</v>
      </c>
      <c r="Q2329" s="31" t="str">
        <f t="shared" si="145"/>
        <v/>
      </c>
      <c r="R2329" s="32" t="str">
        <f>IFERROR(VLOOKUP($D2329,'Informations sur les produits'!$A$3:$B$15000,2,FALSE),"")</f>
        <v/>
      </c>
      <c r="V2329">
        <f t="shared" si="146"/>
        <v>0</v>
      </c>
      <c r="W2329">
        <f t="shared" si="147"/>
        <v>0</v>
      </c>
    </row>
    <row r="2330" spans="5:23" x14ac:dyDescent="0.25">
      <c r="E2330" s="4"/>
      <c r="F2330" s="4"/>
      <c r="G2330" s="33" t="str">
        <f>IFERROR(VLOOKUP($D2330,'Informations sur les produits'!$A$3:$H$10000,8,FALSE),"0")</f>
        <v>0</v>
      </c>
      <c r="K2330" s="4"/>
      <c r="L2330" s="33" t="str">
        <f>IFERROR(VLOOKUP($J2330,'Informations sur les produits'!$A$3:$H$10000,8,FALSE),"0")</f>
        <v>0</v>
      </c>
      <c r="N2330" s="8"/>
      <c r="O2330" s="33" t="str">
        <f>IFERROR(VLOOKUP($M2330,'Informations sur les produits'!$A$3:$H$10000,8,FALSE),"0")</f>
        <v>0</v>
      </c>
      <c r="P2330" s="33">
        <f t="shared" si="144"/>
        <v>0</v>
      </c>
      <c r="Q2330" s="31" t="str">
        <f t="shared" si="145"/>
        <v/>
      </c>
      <c r="R2330" s="32" t="str">
        <f>IFERROR(VLOOKUP($D2330,'Informations sur les produits'!$A$3:$B$15000,2,FALSE),"")</f>
        <v/>
      </c>
      <c r="V2330">
        <f t="shared" si="146"/>
        <v>0</v>
      </c>
      <c r="W2330">
        <f t="shared" si="147"/>
        <v>0</v>
      </c>
    </row>
    <row r="2331" spans="5:23" x14ac:dyDescent="0.25">
      <c r="E2331" s="4"/>
      <c r="F2331" s="4"/>
      <c r="G2331" s="33" t="str">
        <f>IFERROR(VLOOKUP($D2331,'Informations sur les produits'!$A$3:$H$10000,8,FALSE),"0")</f>
        <v>0</v>
      </c>
      <c r="K2331" s="4"/>
      <c r="L2331" s="33" t="str">
        <f>IFERROR(VLOOKUP($J2331,'Informations sur les produits'!$A$3:$H$10000,8,FALSE),"0")</f>
        <v>0</v>
      </c>
      <c r="N2331" s="8"/>
      <c r="O2331" s="33" t="str">
        <f>IFERROR(VLOOKUP($M2331,'Informations sur les produits'!$A$3:$H$10000,8,FALSE),"0")</f>
        <v>0</v>
      </c>
      <c r="P2331" s="33">
        <f t="shared" si="144"/>
        <v>0</v>
      </c>
      <c r="Q2331" s="31" t="str">
        <f t="shared" si="145"/>
        <v/>
      </c>
      <c r="R2331" s="32" t="str">
        <f>IFERROR(VLOOKUP($D2331,'Informations sur les produits'!$A$3:$B$15000,2,FALSE),"")</f>
        <v/>
      </c>
      <c r="V2331">
        <f t="shared" si="146"/>
        <v>0</v>
      </c>
      <c r="W2331">
        <f t="shared" si="147"/>
        <v>0</v>
      </c>
    </row>
    <row r="2332" spans="5:23" x14ac:dyDescent="0.25">
      <c r="E2332" s="4"/>
      <c r="F2332" s="4"/>
      <c r="G2332" s="33" t="str">
        <f>IFERROR(VLOOKUP($D2332,'Informations sur les produits'!$A$3:$H$10000,8,FALSE),"0")</f>
        <v>0</v>
      </c>
      <c r="K2332" s="4"/>
      <c r="L2332" s="33" t="str">
        <f>IFERROR(VLOOKUP($J2332,'Informations sur les produits'!$A$3:$H$10000,8,FALSE),"0")</f>
        <v>0</v>
      </c>
      <c r="N2332" s="8"/>
      <c r="O2332" s="33" t="str">
        <f>IFERROR(VLOOKUP($M2332,'Informations sur les produits'!$A$3:$H$10000,8,FALSE),"0")</f>
        <v>0</v>
      </c>
      <c r="P2332" s="33">
        <f t="shared" si="144"/>
        <v>0</v>
      </c>
      <c r="Q2332" s="31" t="str">
        <f t="shared" si="145"/>
        <v/>
      </c>
      <c r="R2332" s="32" t="str">
        <f>IFERROR(VLOOKUP($D2332,'Informations sur les produits'!$A$3:$B$15000,2,FALSE),"")</f>
        <v/>
      </c>
      <c r="V2332">
        <f t="shared" si="146"/>
        <v>0</v>
      </c>
      <c r="W2332">
        <f t="shared" si="147"/>
        <v>0</v>
      </c>
    </row>
    <row r="2333" spans="5:23" x14ac:dyDescent="0.25">
      <c r="E2333" s="4"/>
      <c r="F2333" s="4"/>
      <c r="G2333" s="33" t="str">
        <f>IFERROR(VLOOKUP($D2333,'Informations sur les produits'!$A$3:$H$10000,8,FALSE),"0")</f>
        <v>0</v>
      </c>
      <c r="K2333" s="4"/>
      <c r="L2333" s="33" t="str">
        <f>IFERROR(VLOOKUP($J2333,'Informations sur les produits'!$A$3:$H$10000,8,FALSE),"0")</f>
        <v>0</v>
      </c>
      <c r="N2333" s="8"/>
      <c r="O2333" s="33" t="str">
        <f>IFERROR(VLOOKUP($M2333,'Informations sur les produits'!$A$3:$H$10000,8,FALSE),"0")</f>
        <v>0</v>
      </c>
      <c r="P2333" s="33">
        <f t="shared" si="144"/>
        <v>0</v>
      </c>
      <c r="Q2333" s="31" t="str">
        <f t="shared" si="145"/>
        <v/>
      </c>
      <c r="R2333" s="32" t="str">
        <f>IFERROR(VLOOKUP($D2333,'Informations sur les produits'!$A$3:$B$15000,2,FALSE),"")</f>
        <v/>
      </c>
      <c r="V2333">
        <f t="shared" si="146"/>
        <v>0</v>
      </c>
      <c r="W2333">
        <f t="shared" si="147"/>
        <v>0</v>
      </c>
    </row>
    <row r="2334" spans="5:23" x14ac:dyDescent="0.25">
      <c r="E2334" s="4"/>
      <c r="F2334" s="4"/>
      <c r="G2334" s="33" t="str">
        <f>IFERROR(VLOOKUP($D2334,'Informations sur les produits'!$A$3:$H$10000,8,FALSE),"0")</f>
        <v>0</v>
      </c>
      <c r="K2334" s="4"/>
      <c r="L2334" s="33" t="str">
        <f>IFERROR(VLOOKUP($J2334,'Informations sur les produits'!$A$3:$H$10000,8,FALSE),"0")</f>
        <v>0</v>
      </c>
      <c r="N2334" s="8"/>
      <c r="O2334" s="33" t="str">
        <f>IFERROR(VLOOKUP($M2334,'Informations sur les produits'!$A$3:$H$10000,8,FALSE),"0")</f>
        <v>0</v>
      </c>
      <c r="P2334" s="33">
        <f t="shared" si="144"/>
        <v>0</v>
      </c>
      <c r="Q2334" s="31" t="str">
        <f t="shared" si="145"/>
        <v/>
      </c>
      <c r="R2334" s="32" t="str">
        <f>IFERROR(VLOOKUP($D2334,'Informations sur les produits'!$A$3:$B$15000,2,FALSE),"")</f>
        <v/>
      </c>
      <c r="V2334">
        <f t="shared" si="146"/>
        <v>0</v>
      </c>
      <c r="W2334">
        <f t="shared" si="147"/>
        <v>0</v>
      </c>
    </row>
    <row r="2335" spans="5:23" x14ac:dyDescent="0.25">
      <c r="E2335" s="4"/>
      <c r="F2335" s="4"/>
      <c r="G2335" s="33" t="str">
        <f>IFERROR(VLOOKUP($D2335,'Informations sur les produits'!$A$3:$H$10000,8,FALSE),"0")</f>
        <v>0</v>
      </c>
      <c r="K2335" s="4"/>
      <c r="L2335" s="33" t="str">
        <f>IFERROR(VLOOKUP($J2335,'Informations sur les produits'!$A$3:$H$10000,8,FALSE),"0")</f>
        <v>0</v>
      </c>
      <c r="N2335" s="8"/>
      <c r="O2335" s="33" t="str">
        <f>IFERROR(VLOOKUP($M2335,'Informations sur les produits'!$A$3:$H$10000,8,FALSE),"0")</f>
        <v>0</v>
      </c>
      <c r="P2335" s="33">
        <f t="shared" si="144"/>
        <v>0</v>
      </c>
      <c r="Q2335" s="31" t="str">
        <f t="shared" si="145"/>
        <v/>
      </c>
      <c r="R2335" s="32" t="str">
        <f>IFERROR(VLOOKUP($D2335,'Informations sur les produits'!$A$3:$B$15000,2,FALSE),"")</f>
        <v/>
      </c>
      <c r="V2335">
        <f t="shared" si="146"/>
        <v>0</v>
      </c>
      <c r="W2335">
        <f t="shared" si="147"/>
        <v>0</v>
      </c>
    </row>
    <row r="2336" spans="5:23" x14ac:dyDescent="0.25">
      <c r="E2336" s="4"/>
      <c r="F2336" s="4"/>
      <c r="G2336" s="33" t="str">
        <f>IFERROR(VLOOKUP($D2336,'Informations sur les produits'!$A$3:$H$10000,8,FALSE),"0")</f>
        <v>0</v>
      </c>
      <c r="K2336" s="4"/>
      <c r="L2336" s="33" t="str">
        <f>IFERROR(VLOOKUP($J2336,'Informations sur les produits'!$A$3:$H$10000,8,FALSE),"0")</f>
        <v>0</v>
      </c>
      <c r="N2336" s="8"/>
      <c r="O2336" s="33" t="str">
        <f>IFERROR(VLOOKUP($M2336,'Informations sur les produits'!$A$3:$H$10000,8,FALSE),"0")</f>
        <v>0</v>
      </c>
      <c r="P2336" s="33">
        <f t="shared" si="144"/>
        <v>0</v>
      </c>
      <c r="Q2336" s="31" t="str">
        <f t="shared" si="145"/>
        <v/>
      </c>
      <c r="R2336" s="32" t="str">
        <f>IFERROR(VLOOKUP($D2336,'Informations sur les produits'!$A$3:$B$15000,2,FALSE),"")</f>
        <v/>
      </c>
      <c r="V2336">
        <f t="shared" si="146"/>
        <v>0</v>
      </c>
      <c r="W2336">
        <f t="shared" si="147"/>
        <v>0</v>
      </c>
    </row>
    <row r="2337" spans="5:23" x14ac:dyDescent="0.25">
      <c r="E2337" s="4"/>
      <c r="F2337" s="4"/>
      <c r="G2337" s="33" t="str">
        <f>IFERROR(VLOOKUP($D2337,'Informations sur les produits'!$A$3:$H$10000,8,FALSE),"0")</f>
        <v>0</v>
      </c>
      <c r="K2337" s="4"/>
      <c r="L2337" s="33" t="str">
        <f>IFERROR(VLOOKUP($J2337,'Informations sur les produits'!$A$3:$H$10000,8,FALSE),"0")</f>
        <v>0</v>
      </c>
      <c r="N2337" s="8"/>
      <c r="O2337" s="33" t="str">
        <f>IFERROR(VLOOKUP($M2337,'Informations sur les produits'!$A$3:$H$10000,8,FALSE),"0")</f>
        <v>0</v>
      </c>
      <c r="P2337" s="33">
        <f t="shared" si="144"/>
        <v>0</v>
      </c>
      <c r="Q2337" s="31" t="str">
        <f t="shared" si="145"/>
        <v/>
      </c>
      <c r="R2337" s="32" t="str">
        <f>IFERROR(VLOOKUP($D2337,'Informations sur les produits'!$A$3:$B$15000,2,FALSE),"")</f>
        <v/>
      </c>
      <c r="V2337">
        <f t="shared" si="146"/>
        <v>0</v>
      </c>
      <c r="W2337">
        <f t="shared" si="147"/>
        <v>0</v>
      </c>
    </row>
    <row r="2338" spans="5:23" x14ac:dyDescent="0.25">
      <c r="E2338" s="4"/>
      <c r="F2338" s="4"/>
      <c r="G2338" s="33" t="str">
        <f>IFERROR(VLOOKUP($D2338,'Informations sur les produits'!$A$3:$H$10000,8,FALSE),"0")</f>
        <v>0</v>
      </c>
      <c r="K2338" s="4"/>
      <c r="L2338" s="33" t="str">
        <f>IFERROR(VLOOKUP($J2338,'Informations sur les produits'!$A$3:$H$10000,8,FALSE),"0")</f>
        <v>0</v>
      </c>
      <c r="N2338" s="8"/>
      <c r="O2338" s="33" t="str">
        <f>IFERROR(VLOOKUP($M2338,'Informations sur les produits'!$A$3:$H$10000,8,FALSE),"0")</f>
        <v>0</v>
      </c>
      <c r="P2338" s="33">
        <f t="shared" si="144"/>
        <v>0</v>
      </c>
      <c r="Q2338" s="31" t="str">
        <f t="shared" si="145"/>
        <v/>
      </c>
      <c r="R2338" s="32" t="str">
        <f>IFERROR(VLOOKUP($D2338,'Informations sur les produits'!$A$3:$B$15000,2,FALSE),"")</f>
        <v/>
      </c>
      <c r="V2338">
        <f t="shared" si="146"/>
        <v>0</v>
      </c>
      <c r="W2338">
        <f t="shared" si="147"/>
        <v>0</v>
      </c>
    </row>
    <row r="2339" spans="5:23" x14ac:dyDescent="0.25">
      <c r="E2339" s="4"/>
      <c r="F2339" s="4"/>
      <c r="G2339" s="33" t="str">
        <f>IFERROR(VLOOKUP($D2339,'Informations sur les produits'!$A$3:$H$10000,8,FALSE),"0")</f>
        <v>0</v>
      </c>
      <c r="K2339" s="4"/>
      <c r="L2339" s="33" t="str">
        <f>IFERROR(VLOOKUP($J2339,'Informations sur les produits'!$A$3:$H$10000,8,FALSE),"0")</f>
        <v>0</v>
      </c>
      <c r="N2339" s="8"/>
      <c r="O2339" s="33" t="str">
        <f>IFERROR(VLOOKUP($M2339,'Informations sur les produits'!$A$3:$H$10000,8,FALSE),"0")</f>
        <v>0</v>
      </c>
      <c r="P2339" s="33">
        <f t="shared" si="144"/>
        <v>0</v>
      </c>
      <c r="Q2339" s="31" t="str">
        <f t="shared" si="145"/>
        <v/>
      </c>
      <c r="R2339" s="32" t="str">
        <f>IFERROR(VLOOKUP($D2339,'Informations sur les produits'!$A$3:$B$15000,2,FALSE),"")</f>
        <v/>
      </c>
      <c r="V2339">
        <f t="shared" si="146"/>
        <v>0</v>
      </c>
      <c r="W2339">
        <f t="shared" si="147"/>
        <v>0</v>
      </c>
    </row>
    <row r="2340" spans="5:23" x14ac:dyDescent="0.25">
      <c r="E2340" s="4"/>
      <c r="F2340" s="4"/>
      <c r="G2340" s="33" t="str">
        <f>IFERROR(VLOOKUP($D2340,'Informations sur les produits'!$A$3:$H$10000,8,FALSE),"0")</f>
        <v>0</v>
      </c>
      <c r="K2340" s="4"/>
      <c r="L2340" s="33" t="str">
        <f>IFERROR(VLOOKUP($J2340,'Informations sur les produits'!$A$3:$H$10000,8,FALSE),"0")</f>
        <v>0</v>
      </c>
      <c r="N2340" s="8"/>
      <c r="O2340" s="33" t="str">
        <f>IFERROR(VLOOKUP($M2340,'Informations sur les produits'!$A$3:$H$10000,8,FALSE),"0")</f>
        <v>0</v>
      </c>
      <c r="P2340" s="33">
        <f t="shared" si="144"/>
        <v>0</v>
      </c>
      <c r="Q2340" s="31" t="str">
        <f t="shared" si="145"/>
        <v/>
      </c>
      <c r="R2340" s="32" t="str">
        <f>IFERROR(VLOOKUP($D2340,'Informations sur les produits'!$A$3:$B$15000,2,FALSE),"")</f>
        <v/>
      </c>
      <c r="V2340">
        <f t="shared" si="146"/>
        <v>0</v>
      </c>
      <c r="W2340">
        <f t="shared" si="147"/>
        <v>0</v>
      </c>
    </row>
    <row r="2341" spans="5:23" x14ac:dyDescent="0.25">
      <c r="E2341" s="4"/>
      <c r="F2341" s="4"/>
      <c r="G2341" s="33" t="str">
        <f>IFERROR(VLOOKUP($D2341,'Informations sur les produits'!$A$3:$H$10000,8,FALSE),"0")</f>
        <v>0</v>
      </c>
      <c r="K2341" s="4"/>
      <c r="L2341" s="33" t="str">
        <f>IFERROR(VLOOKUP($J2341,'Informations sur les produits'!$A$3:$H$10000,8,FALSE),"0")</f>
        <v>0</v>
      </c>
      <c r="N2341" s="8"/>
      <c r="O2341" s="33" t="str">
        <f>IFERROR(VLOOKUP($M2341,'Informations sur les produits'!$A$3:$H$10000,8,FALSE),"0")</f>
        <v>0</v>
      </c>
      <c r="P2341" s="33">
        <f t="shared" si="144"/>
        <v>0</v>
      </c>
      <c r="Q2341" s="31" t="str">
        <f t="shared" si="145"/>
        <v/>
      </c>
      <c r="R2341" s="32" t="str">
        <f>IFERROR(VLOOKUP($D2341,'Informations sur les produits'!$A$3:$B$15000,2,FALSE),"")</f>
        <v/>
      </c>
      <c r="V2341">
        <f t="shared" si="146"/>
        <v>0</v>
      </c>
      <c r="W2341">
        <f t="shared" si="147"/>
        <v>0</v>
      </c>
    </row>
    <row r="2342" spans="5:23" x14ac:dyDescent="0.25">
      <c r="E2342" s="4"/>
      <c r="F2342" s="4"/>
      <c r="G2342" s="33" t="str">
        <f>IFERROR(VLOOKUP($D2342,'Informations sur les produits'!$A$3:$H$10000,8,FALSE),"0")</f>
        <v>0</v>
      </c>
      <c r="K2342" s="4"/>
      <c r="L2342" s="33" t="str">
        <f>IFERROR(VLOOKUP($J2342,'Informations sur les produits'!$A$3:$H$10000,8,FALSE),"0")</f>
        <v>0</v>
      </c>
      <c r="N2342" s="8"/>
      <c r="O2342" s="33" t="str">
        <f>IFERROR(VLOOKUP($M2342,'Informations sur les produits'!$A$3:$H$10000,8,FALSE),"0")</f>
        <v>0</v>
      </c>
      <c r="P2342" s="33">
        <f t="shared" si="144"/>
        <v>0</v>
      </c>
      <c r="Q2342" s="31" t="str">
        <f t="shared" si="145"/>
        <v/>
      </c>
      <c r="R2342" s="32" t="str">
        <f>IFERROR(VLOOKUP($D2342,'Informations sur les produits'!$A$3:$B$15000,2,FALSE),"")</f>
        <v/>
      </c>
      <c r="V2342">
        <f t="shared" si="146"/>
        <v>0</v>
      </c>
      <c r="W2342">
        <f t="shared" si="147"/>
        <v>0</v>
      </c>
    </row>
    <row r="2343" spans="5:23" x14ac:dyDescent="0.25">
      <c r="E2343" s="4"/>
      <c r="F2343" s="4"/>
      <c r="G2343" s="33" t="str">
        <f>IFERROR(VLOOKUP($D2343,'Informations sur les produits'!$A$3:$H$10000,8,FALSE),"0")</f>
        <v>0</v>
      </c>
      <c r="K2343" s="4"/>
      <c r="L2343" s="33" t="str">
        <f>IFERROR(VLOOKUP($J2343,'Informations sur les produits'!$A$3:$H$10000,8,FALSE),"0")</f>
        <v>0</v>
      </c>
      <c r="N2343" s="8"/>
      <c r="O2343" s="33" t="str">
        <f>IFERROR(VLOOKUP($M2343,'Informations sur les produits'!$A$3:$H$10000,8,FALSE),"0")</f>
        <v>0</v>
      </c>
      <c r="P2343" s="33">
        <f t="shared" si="144"/>
        <v>0</v>
      </c>
      <c r="Q2343" s="31" t="str">
        <f t="shared" si="145"/>
        <v/>
      </c>
      <c r="R2343" s="32" t="str">
        <f>IFERROR(VLOOKUP($D2343,'Informations sur les produits'!$A$3:$B$15000,2,FALSE),"")</f>
        <v/>
      </c>
      <c r="V2343">
        <f t="shared" si="146"/>
        <v>0</v>
      </c>
      <c r="W2343">
        <f t="shared" si="147"/>
        <v>0</v>
      </c>
    </row>
    <row r="2344" spans="5:23" x14ac:dyDescent="0.25">
      <c r="E2344" s="4"/>
      <c r="F2344" s="4"/>
      <c r="G2344" s="33" t="str">
        <f>IFERROR(VLOOKUP($D2344,'Informations sur les produits'!$A$3:$H$10000,8,FALSE),"0")</f>
        <v>0</v>
      </c>
      <c r="K2344" s="4"/>
      <c r="L2344" s="33" t="str">
        <f>IFERROR(VLOOKUP($J2344,'Informations sur les produits'!$A$3:$H$10000,8,FALSE),"0")</f>
        <v>0</v>
      </c>
      <c r="N2344" s="8"/>
      <c r="O2344" s="33" t="str">
        <f>IFERROR(VLOOKUP($M2344,'Informations sur les produits'!$A$3:$H$10000,8,FALSE),"0")</f>
        <v>0</v>
      </c>
      <c r="P2344" s="33">
        <f t="shared" si="144"/>
        <v>0</v>
      </c>
      <c r="Q2344" s="31" t="str">
        <f t="shared" si="145"/>
        <v/>
      </c>
      <c r="R2344" s="32" t="str">
        <f>IFERROR(VLOOKUP($D2344,'Informations sur les produits'!$A$3:$B$15000,2,FALSE),"")</f>
        <v/>
      </c>
      <c r="V2344">
        <f t="shared" si="146"/>
        <v>0</v>
      </c>
      <c r="W2344">
        <f t="shared" si="147"/>
        <v>0</v>
      </c>
    </row>
    <row r="2345" spans="5:23" x14ac:dyDescent="0.25">
      <c r="E2345" s="4"/>
      <c r="F2345" s="4"/>
      <c r="G2345" s="33" t="str">
        <f>IFERROR(VLOOKUP($D2345,'Informations sur les produits'!$A$3:$H$10000,8,FALSE),"0")</f>
        <v>0</v>
      </c>
      <c r="K2345" s="4"/>
      <c r="L2345" s="33" t="str">
        <f>IFERROR(VLOOKUP($J2345,'Informations sur les produits'!$A$3:$H$10000,8,FALSE),"0")</f>
        <v>0</v>
      </c>
      <c r="N2345" s="8"/>
      <c r="O2345" s="33" t="str">
        <f>IFERROR(VLOOKUP($M2345,'Informations sur les produits'!$A$3:$H$10000,8,FALSE),"0")</f>
        <v>0</v>
      </c>
      <c r="P2345" s="33">
        <f t="shared" si="144"/>
        <v>0</v>
      </c>
      <c r="Q2345" s="31" t="str">
        <f t="shared" si="145"/>
        <v/>
      </c>
      <c r="R2345" s="32" t="str">
        <f>IFERROR(VLOOKUP($D2345,'Informations sur les produits'!$A$3:$B$15000,2,FALSE),"")</f>
        <v/>
      </c>
      <c r="V2345">
        <f t="shared" si="146"/>
        <v>0</v>
      </c>
      <c r="W2345">
        <f t="shared" si="147"/>
        <v>0</v>
      </c>
    </row>
    <row r="2346" spans="5:23" x14ac:dyDescent="0.25">
      <c r="E2346" s="4"/>
      <c r="F2346" s="4"/>
      <c r="G2346" s="33" t="str">
        <f>IFERROR(VLOOKUP($D2346,'Informations sur les produits'!$A$3:$H$10000,8,FALSE),"0")</f>
        <v>0</v>
      </c>
      <c r="K2346" s="4"/>
      <c r="L2346" s="33" t="str">
        <f>IFERROR(VLOOKUP($J2346,'Informations sur les produits'!$A$3:$H$10000,8,FALSE),"0")</f>
        <v>0</v>
      </c>
      <c r="N2346" s="8"/>
      <c r="O2346" s="33" t="str">
        <f>IFERROR(VLOOKUP($M2346,'Informations sur les produits'!$A$3:$H$10000,8,FALSE),"0")</f>
        <v>0</v>
      </c>
      <c r="P2346" s="33">
        <f t="shared" si="144"/>
        <v>0</v>
      </c>
      <c r="Q2346" s="31" t="str">
        <f t="shared" si="145"/>
        <v/>
      </c>
      <c r="R2346" s="32" t="str">
        <f>IFERROR(VLOOKUP($D2346,'Informations sur les produits'!$A$3:$B$15000,2,FALSE),"")</f>
        <v/>
      </c>
      <c r="V2346">
        <f t="shared" si="146"/>
        <v>0</v>
      </c>
      <c r="W2346">
        <f t="shared" si="147"/>
        <v>0</v>
      </c>
    </row>
    <row r="2347" spans="5:23" x14ac:dyDescent="0.25">
      <c r="E2347" s="4"/>
      <c r="F2347" s="4"/>
      <c r="G2347" s="33" t="str">
        <f>IFERROR(VLOOKUP($D2347,'Informations sur les produits'!$A$3:$H$10000,8,FALSE),"0")</f>
        <v>0</v>
      </c>
      <c r="K2347" s="4"/>
      <c r="L2347" s="33" t="str">
        <f>IFERROR(VLOOKUP($J2347,'Informations sur les produits'!$A$3:$H$10000,8,FALSE),"0")</f>
        <v>0</v>
      </c>
      <c r="N2347" s="8"/>
      <c r="O2347" s="33" t="str">
        <f>IFERROR(VLOOKUP($M2347,'Informations sur les produits'!$A$3:$H$10000,8,FALSE),"0")</f>
        <v>0</v>
      </c>
      <c r="P2347" s="33">
        <f t="shared" si="144"/>
        <v>0</v>
      </c>
      <c r="Q2347" s="31" t="str">
        <f t="shared" si="145"/>
        <v/>
      </c>
      <c r="R2347" s="32" t="str">
        <f>IFERROR(VLOOKUP($D2347,'Informations sur les produits'!$A$3:$B$15000,2,FALSE),"")</f>
        <v/>
      </c>
      <c r="V2347">
        <f t="shared" si="146"/>
        <v>0</v>
      </c>
      <c r="W2347">
        <f t="shared" si="147"/>
        <v>0</v>
      </c>
    </row>
    <row r="2348" spans="5:23" x14ac:dyDescent="0.25">
      <c r="E2348" s="4"/>
      <c r="F2348" s="4"/>
      <c r="G2348" s="33" t="str">
        <f>IFERROR(VLOOKUP($D2348,'Informations sur les produits'!$A$3:$H$10000,8,FALSE),"0")</f>
        <v>0</v>
      </c>
      <c r="K2348" s="4"/>
      <c r="L2348" s="33" t="str">
        <f>IFERROR(VLOOKUP($J2348,'Informations sur les produits'!$A$3:$H$10000,8,FALSE),"0")</f>
        <v>0</v>
      </c>
      <c r="N2348" s="8"/>
      <c r="O2348" s="33" t="str">
        <f>IFERROR(VLOOKUP($M2348,'Informations sur les produits'!$A$3:$H$10000,8,FALSE),"0")</f>
        <v>0</v>
      </c>
      <c r="P2348" s="33">
        <f t="shared" si="144"/>
        <v>0</v>
      </c>
      <c r="Q2348" s="31" t="str">
        <f t="shared" si="145"/>
        <v/>
      </c>
      <c r="R2348" s="32" t="str">
        <f>IFERROR(VLOOKUP($D2348,'Informations sur les produits'!$A$3:$B$15000,2,FALSE),"")</f>
        <v/>
      </c>
      <c r="V2348">
        <f t="shared" si="146"/>
        <v>0</v>
      </c>
      <c r="W2348">
        <f t="shared" si="147"/>
        <v>0</v>
      </c>
    </row>
    <row r="2349" spans="5:23" x14ac:dyDescent="0.25">
      <c r="E2349" s="4"/>
      <c r="F2349" s="4"/>
      <c r="G2349" s="33" t="str">
        <f>IFERROR(VLOOKUP($D2349,'Informations sur les produits'!$A$3:$H$10000,8,FALSE),"0")</f>
        <v>0</v>
      </c>
      <c r="K2349" s="4"/>
      <c r="L2349" s="33" t="str">
        <f>IFERROR(VLOOKUP($J2349,'Informations sur les produits'!$A$3:$H$10000,8,FALSE),"0")</f>
        <v>0</v>
      </c>
      <c r="N2349" s="8"/>
      <c r="O2349" s="33" t="str">
        <f>IFERROR(VLOOKUP($M2349,'Informations sur les produits'!$A$3:$H$10000,8,FALSE),"0")</f>
        <v>0</v>
      </c>
      <c r="P2349" s="33">
        <f t="shared" si="144"/>
        <v>0</v>
      </c>
      <c r="Q2349" s="31" t="str">
        <f t="shared" si="145"/>
        <v/>
      </c>
      <c r="R2349" s="32" t="str">
        <f>IFERROR(VLOOKUP($D2349,'Informations sur les produits'!$A$3:$B$15000,2,FALSE),"")</f>
        <v/>
      </c>
      <c r="V2349">
        <f t="shared" si="146"/>
        <v>0</v>
      </c>
      <c r="W2349">
        <f t="shared" si="147"/>
        <v>0</v>
      </c>
    </row>
    <row r="2350" spans="5:23" x14ac:dyDescent="0.25">
      <c r="E2350" s="4"/>
      <c r="F2350" s="4"/>
      <c r="G2350" s="33" t="str">
        <f>IFERROR(VLOOKUP($D2350,'Informations sur les produits'!$A$3:$H$10000,8,FALSE),"0")</f>
        <v>0</v>
      </c>
      <c r="K2350" s="4"/>
      <c r="L2350" s="33" t="str">
        <f>IFERROR(VLOOKUP($J2350,'Informations sur les produits'!$A$3:$H$10000,8,FALSE),"0")</f>
        <v>0</v>
      </c>
      <c r="N2350" s="8"/>
      <c r="O2350" s="33" t="str">
        <f>IFERROR(VLOOKUP($M2350,'Informations sur les produits'!$A$3:$H$10000,8,FALSE),"0")</f>
        <v>0</v>
      </c>
      <c r="P2350" s="33">
        <f t="shared" si="144"/>
        <v>0</v>
      </c>
      <c r="Q2350" s="31" t="str">
        <f t="shared" si="145"/>
        <v/>
      </c>
      <c r="R2350" s="32" t="str">
        <f>IFERROR(VLOOKUP($D2350,'Informations sur les produits'!$A$3:$B$15000,2,FALSE),"")</f>
        <v/>
      </c>
      <c r="V2350">
        <f t="shared" si="146"/>
        <v>0</v>
      </c>
      <c r="W2350">
        <f t="shared" si="147"/>
        <v>0</v>
      </c>
    </row>
    <row r="2351" spans="5:23" x14ac:dyDescent="0.25">
      <c r="E2351" s="4"/>
      <c r="F2351" s="4"/>
      <c r="G2351" s="33" t="str">
        <f>IFERROR(VLOOKUP($D2351,'Informations sur les produits'!$A$3:$H$10000,8,FALSE),"0")</f>
        <v>0</v>
      </c>
      <c r="K2351" s="4"/>
      <c r="L2351" s="33" t="str">
        <f>IFERROR(VLOOKUP($J2351,'Informations sur les produits'!$A$3:$H$10000,8,FALSE),"0")</f>
        <v>0</v>
      </c>
      <c r="N2351" s="8"/>
      <c r="O2351" s="33" t="str">
        <f>IFERROR(VLOOKUP($M2351,'Informations sur les produits'!$A$3:$H$10000,8,FALSE),"0")</f>
        <v>0</v>
      </c>
      <c r="P2351" s="33">
        <f t="shared" si="144"/>
        <v>0</v>
      </c>
      <c r="Q2351" s="31" t="str">
        <f t="shared" si="145"/>
        <v/>
      </c>
      <c r="R2351" s="32" t="str">
        <f>IFERROR(VLOOKUP($D2351,'Informations sur les produits'!$A$3:$B$15000,2,FALSE),"")</f>
        <v/>
      </c>
      <c r="V2351">
        <f t="shared" si="146"/>
        <v>0</v>
      </c>
      <c r="W2351">
        <f t="shared" si="147"/>
        <v>0</v>
      </c>
    </row>
    <row r="2352" spans="5:23" x14ac:dyDescent="0.25">
      <c r="E2352" s="4"/>
      <c r="F2352" s="4"/>
      <c r="G2352" s="33" t="str">
        <f>IFERROR(VLOOKUP($D2352,'Informations sur les produits'!$A$3:$H$10000,8,FALSE),"0")</f>
        <v>0</v>
      </c>
      <c r="K2352" s="4"/>
      <c r="L2352" s="33" t="str">
        <f>IFERROR(VLOOKUP($J2352,'Informations sur les produits'!$A$3:$H$10000,8,FALSE),"0")</f>
        <v>0</v>
      </c>
      <c r="N2352" s="8"/>
      <c r="O2352" s="33" t="str">
        <f>IFERROR(VLOOKUP($M2352,'Informations sur les produits'!$A$3:$H$10000,8,FALSE),"0")</f>
        <v>0</v>
      </c>
      <c r="P2352" s="33">
        <f t="shared" si="144"/>
        <v>0</v>
      </c>
      <c r="Q2352" s="31" t="str">
        <f t="shared" si="145"/>
        <v/>
      </c>
      <c r="R2352" s="32" t="str">
        <f>IFERROR(VLOOKUP($D2352,'Informations sur les produits'!$A$3:$B$15000,2,FALSE),"")</f>
        <v/>
      </c>
      <c r="V2352">
        <f t="shared" si="146"/>
        <v>0</v>
      </c>
      <c r="W2352">
        <f t="shared" si="147"/>
        <v>0</v>
      </c>
    </row>
    <row r="2353" spans="5:23" x14ac:dyDescent="0.25">
      <c r="E2353" s="4"/>
      <c r="F2353" s="4"/>
      <c r="G2353" s="33" t="str">
        <f>IFERROR(VLOOKUP($D2353,'Informations sur les produits'!$A$3:$H$10000,8,FALSE),"0")</f>
        <v>0</v>
      </c>
      <c r="K2353" s="4"/>
      <c r="L2353" s="33" t="str">
        <f>IFERROR(VLOOKUP($J2353,'Informations sur les produits'!$A$3:$H$10000,8,FALSE),"0")</f>
        <v>0</v>
      </c>
      <c r="N2353" s="8"/>
      <c r="O2353" s="33" t="str">
        <f>IFERROR(VLOOKUP($M2353,'Informations sur les produits'!$A$3:$H$10000,8,FALSE),"0")</f>
        <v>0</v>
      </c>
      <c r="P2353" s="33">
        <f t="shared" si="144"/>
        <v>0</v>
      </c>
      <c r="Q2353" s="31" t="str">
        <f t="shared" si="145"/>
        <v/>
      </c>
      <c r="R2353" s="32" t="str">
        <f>IFERROR(VLOOKUP($D2353,'Informations sur les produits'!$A$3:$B$15000,2,FALSE),"")</f>
        <v/>
      </c>
      <c r="V2353">
        <f t="shared" si="146"/>
        <v>0</v>
      </c>
      <c r="W2353">
        <f t="shared" si="147"/>
        <v>0</v>
      </c>
    </row>
    <row r="2354" spans="5:23" x14ac:dyDescent="0.25">
      <c r="E2354" s="4"/>
      <c r="F2354" s="4"/>
      <c r="G2354" s="33" t="str">
        <f>IFERROR(VLOOKUP($D2354,'Informations sur les produits'!$A$3:$H$10000,8,FALSE),"0")</f>
        <v>0</v>
      </c>
      <c r="K2354" s="4"/>
      <c r="L2354" s="33" t="str">
        <f>IFERROR(VLOOKUP($J2354,'Informations sur les produits'!$A$3:$H$10000,8,FALSE),"0")</f>
        <v>0</v>
      </c>
      <c r="N2354" s="8"/>
      <c r="O2354" s="33" t="str">
        <f>IFERROR(VLOOKUP($M2354,'Informations sur les produits'!$A$3:$H$10000,8,FALSE),"0")</f>
        <v>0</v>
      </c>
      <c r="P2354" s="33">
        <f t="shared" si="144"/>
        <v>0</v>
      </c>
      <c r="Q2354" s="31" t="str">
        <f t="shared" si="145"/>
        <v/>
      </c>
      <c r="R2354" s="32" t="str">
        <f>IFERROR(VLOOKUP($D2354,'Informations sur les produits'!$A$3:$B$15000,2,FALSE),"")</f>
        <v/>
      </c>
      <c r="V2354">
        <f t="shared" si="146"/>
        <v>0</v>
      </c>
      <c r="W2354">
        <f t="shared" si="147"/>
        <v>0</v>
      </c>
    </row>
    <row r="2355" spans="5:23" x14ac:dyDescent="0.25">
      <c r="E2355" s="4"/>
      <c r="F2355" s="4"/>
      <c r="G2355" s="33" t="str">
        <f>IFERROR(VLOOKUP($D2355,'Informations sur les produits'!$A$3:$H$10000,8,FALSE),"0")</f>
        <v>0</v>
      </c>
      <c r="K2355" s="4"/>
      <c r="L2355" s="33" t="str">
        <f>IFERROR(VLOOKUP($J2355,'Informations sur les produits'!$A$3:$H$10000,8,FALSE),"0")</f>
        <v>0</v>
      </c>
      <c r="N2355" s="8"/>
      <c r="O2355" s="33" t="str">
        <f>IFERROR(VLOOKUP($M2355,'Informations sur les produits'!$A$3:$H$10000,8,FALSE),"0")</f>
        <v>0</v>
      </c>
      <c r="P2355" s="33">
        <f t="shared" si="144"/>
        <v>0</v>
      </c>
      <c r="Q2355" s="31" t="str">
        <f t="shared" si="145"/>
        <v/>
      </c>
      <c r="R2355" s="32" t="str">
        <f>IFERROR(VLOOKUP($D2355,'Informations sur les produits'!$A$3:$B$15000,2,FALSE),"")</f>
        <v/>
      </c>
      <c r="V2355">
        <f t="shared" si="146"/>
        <v>0</v>
      </c>
      <c r="W2355">
        <f t="shared" si="147"/>
        <v>0</v>
      </c>
    </row>
    <row r="2356" spans="5:23" x14ac:dyDescent="0.25">
      <c r="E2356" s="4"/>
      <c r="F2356" s="4"/>
      <c r="G2356" s="33" t="str">
        <f>IFERROR(VLOOKUP($D2356,'Informations sur les produits'!$A$3:$H$10000,8,FALSE),"0")</f>
        <v>0</v>
      </c>
      <c r="K2356" s="4"/>
      <c r="L2356" s="33" t="str">
        <f>IFERROR(VLOOKUP($J2356,'Informations sur les produits'!$A$3:$H$10000,8,FALSE),"0")</f>
        <v>0</v>
      </c>
      <c r="N2356" s="8"/>
      <c r="O2356" s="33" t="str">
        <f>IFERROR(VLOOKUP($M2356,'Informations sur les produits'!$A$3:$H$10000,8,FALSE),"0")</f>
        <v>0</v>
      </c>
      <c r="P2356" s="33">
        <f t="shared" si="144"/>
        <v>0</v>
      </c>
      <c r="Q2356" s="31" t="str">
        <f t="shared" si="145"/>
        <v/>
      </c>
      <c r="R2356" s="32" t="str">
        <f>IFERROR(VLOOKUP($D2356,'Informations sur les produits'!$A$3:$B$15000,2,FALSE),"")</f>
        <v/>
      </c>
      <c r="V2356">
        <f t="shared" si="146"/>
        <v>0</v>
      </c>
      <c r="W2356">
        <f t="shared" si="147"/>
        <v>0</v>
      </c>
    </row>
    <row r="2357" spans="5:23" x14ac:dyDescent="0.25">
      <c r="E2357" s="4"/>
      <c r="F2357" s="4"/>
      <c r="G2357" s="33" t="str">
        <f>IFERROR(VLOOKUP($D2357,'Informations sur les produits'!$A$3:$H$10000,8,FALSE),"0")</f>
        <v>0</v>
      </c>
      <c r="K2357" s="4"/>
      <c r="L2357" s="33" t="str">
        <f>IFERROR(VLOOKUP($J2357,'Informations sur les produits'!$A$3:$H$10000,8,FALSE),"0")</f>
        <v>0</v>
      </c>
      <c r="N2357" s="8"/>
      <c r="O2357" s="33" t="str">
        <f>IFERROR(VLOOKUP($M2357,'Informations sur les produits'!$A$3:$H$10000,8,FALSE),"0")</f>
        <v>0</v>
      </c>
      <c r="P2357" s="33">
        <f t="shared" si="144"/>
        <v>0</v>
      </c>
      <c r="Q2357" s="31" t="str">
        <f t="shared" si="145"/>
        <v/>
      </c>
      <c r="R2357" s="32" t="str">
        <f>IFERROR(VLOOKUP($D2357,'Informations sur les produits'!$A$3:$B$15000,2,FALSE),"")</f>
        <v/>
      </c>
      <c r="V2357">
        <f t="shared" si="146"/>
        <v>0</v>
      </c>
      <c r="W2357">
        <f t="shared" si="147"/>
        <v>0</v>
      </c>
    </row>
    <row r="2358" spans="5:23" x14ac:dyDescent="0.25">
      <c r="E2358" s="4"/>
      <c r="F2358" s="4"/>
      <c r="G2358" s="33" t="str">
        <f>IFERROR(VLOOKUP($D2358,'Informations sur les produits'!$A$3:$H$10000,8,FALSE),"0")</f>
        <v>0</v>
      </c>
      <c r="K2358" s="4"/>
      <c r="L2358" s="33" t="str">
        <f>IFERROR(VLOOKUP($J2358,'Informations sur les produits'!$A$3:$H$10000,8,FALSE),"0")</f>
        <v>0</v>
      </c>
      <c r="N2358" s="8"/>
      <c r="O2358" s="33" t="str">
        <f>IFERROR(VLOOKUP($M2358,'Informations sur les produits'!$A$3:$H$10000,8,FALSE),"0")</f>
        <v>0</v>
      </c>
      <c r="P2358" s="33">
        <f t="shared" si="144"/>
        <v>0</v>
      </c>
      <c r="Q2358" s="31" t="str">
        <f t="shared" si="145"/>
        <v/>
      </c>
      <c r="R2358" s="32" t="str">
        <f>IFERROR(VLOOKUP($D2358,'Informations sur les produits'!$A$3:$B$15000,2,FALSE),"")</f>
        <v/>
      </c>
      <c r="V2358">
        <f t="shared" si="146"/>
        <v>0</v>
      </c>
      <c r="W2358">
        <f t="shared" si="147"/>
        <v>0</v>
      </c>
    </row>
    <row r="2359" spans="5:23" x14ac:dyDescent="0.25">
      <c r="E2359" s="4"/>
      <c r="F2359" s="4"/>
      <c r="G2359" s="33" t="str">
        <f>IFERROR(VLOOKUP($D2359,'Informations sur les produits'!$A$3:$H$10000,8,FALSE),"0")</f>
        <v>0</v>
      </c>
      <c r="K2359" s="4"/>
      <c r="L2359" s="33" t="str">
        <f>IFERROR(VLOOKUP($J2359,'Informations sur les produits'!$A$3:$H$10000,8,FALSE),"0")</f>
        <v>0</v>
      </c>
      <c r="N2359" s="8"/>
      <c r="O2359" s="33" t="str">
        <f>IFERROR(VLOOKUP($M2359,'Informations sur les produits'!$A$3:$H$10000,8,FALSE),"0")</f>
        <v>0</v>
      </c>
      <c r="P2359" s="33">
        <f t="shared" si="144"/>
        <v>0</v>
      </c>
      <c r="Q2359" s="31" t="str">
        <f t="shared" si="145"/>
        <v/>
      </c>
      <c r="R2359" s="32" t="str">
        <f>IFERROR(VLOOKUP($D2359,'Informations sur les produits'!$A$3:$B$15000,2,FALSE),"")</f>
        <v/>
      </c>
      <c r="V2359">
        <f t="shared" si="146"/>
        <v>0</v>
      </c>
      <c r="W2359">
        <f t="shared" si="147"/>
        <v>0</v>
      </c>
    </row>
    <row r="2360" spans="5:23" x14ac:dyDescent="0.25">
      <c r="E2360" s="4"/>
      <c r="F2360" s="4"/>
      <c r="G2360" s="33" t="str">
        <f>IFERROR(VLOOKUP($D2360,'Informations sur les produits'!$A$3:$H$10000,8,FALSE),"0")</f>
        <v>0</v>
      </c>
      <c r="K2360" s="4"/>
      <c r="L2360" s="33" t="str">
        <f>IFERROR(VLOOKUP($J2360,'Informations sur les produits'!$A$3:$H$10000,8,FALSE),"0")</f>
        <v>0</v>
      </c>
      <c r="N2360" s="8"/>
      <c r="O2360" s="33" t="str">
        <f>IFERROR(VLOOKUP($M2360,'Informations sur les produits'!$A$3:$H$10000,8,FALSE),"0")</f>
        <v>0</v>
      </c>
      <c r="P2360" s="33">
        <f t="shared" si="144"/>
        <v>0</v>
      </c>
      <c r="Q2360" s="31" t="str">
        <f t="shared" si="145"/>
        <v/>
      </c>
      <c r="R2360" s="32" t="str">
        <f>IFERROR(VLOOKUP($D2360,'Informations sur les produits'!$A$3:$B$15000,2,FALSE),"")</f>
        <v/>
      </c>
      <c r="V2360">
        <f t="shared" si="146"/>
        <v>0</v>
      </c>
      <c r="W2360">
        <f t="shared" si="147"/>
        <v>0</v>
      </c>
    </row>
    <row r="2361" spans="5:23" x14ac:dyDescent="0.25">
      <c r="E2361" s="4"/>
      <c r="F2361" s="4"/>
      <c r="G2361" s="33" t="str">
        <f>IFERROR(VLOOKUP($D2361,'Informations sur les produits'!$A$3:$H$10000,8,FALSE),"0")</f>
        <v>0</v>
      </c>
      <c r="K2361" s="4"/>
      <c r="L2361" s="33" t="str">
        <f>IFERROR(VLOOKUP($J2361,'Informations sur les produits'!$A$3:$H$10000,8,FALSE),"0")</f>
        <v>0</v>
      </c>
      <c r="N2361" s="8"/>
      <c r="O2361" s="33" t="str">
        <f>IFERROR(VLOOKUP($M2361,'Informations sur les produits'!$A$3:$H$10000,8,FALSE),"0")</f>
        <v>0</v>
      </c>
      <c r="P2361" s="33">
        <f t="shared" si="144"/>
        <v>0</v>
      </c>
      <c r="Q2361" s="31" t="str">
        <f t="shared" si="145"/>
        <v/>
      </c>
      <c r="R2361" s="32" t="str">
        <f>IFERROR(VLOOKUP($D2361,'Informations sur les produits'!$A$3:$B$15000,2,FALSE),"")</f>
        <v/>
      </c>
      <c r="V2361">
        <f t="shared" si="146"/>
        <v>0</v>
      </c>
      <c r="W2361">
        <f t="shared" si="147"/>
        <v>0</v>
      </c>
    </row>
    <row r="2362" spans="5:23" x14ac:dyDescent="0.25">
      <c r="E2362" s="4"/>
      <c r="F2362" s="4"/>
      <c r="G2362" s="33" t="str">
        <f>IFERROR(VLOOKUP($D2362,'Informations sur les produits'!$A$3:$H$10000,8,FALSE),"0")</f>
        <v>0</v>
      </c>
      <c r="K2362" s="4"/>
      <c r="L2362" s="33" t="str">
        <f>IFERROR(VLOOKUP($J2362,'Informations sur les produits'!$A$3:$H$10000,8,FALSE),"0")</f>
        <v>0</v>
      </c>
      <c r="N2362" s="8"/>
      <c r="O2362" s="33" t="str">
        <f>IFERROR(VLOOKUP($M2362,'Informations sur les produits'!$A$3:$H$10000,8,FALSE),"0")</f>
        <v>0</v>
      </c>
      <c r="P2362" s="33">
        <f t="shared" si="144"/>
        <v>0</v>
      </c>
      <c r="Q2362" s="31" t="str">
        <f t="shared" si="145"/>
        <v/>
      </c>
      <c r="R2362" s="32" t="str">
        <f>IFERROR(VLOOKUP($D2362,'Informations sur les produits'!$A$3:$B$15000,2,FALSE),"")</f>
        <v/>
      </c>
      <c r="V2362">
        <f t="shared" si="146"/>
        <v>0</v>
      </c>
      <c r="W2362">
        <f t="shared" si="147"/>
        <v>0</v>
      </c>
    </row>
    <row r="2363" spans="5:23" x14ac:dyDescent="0.25">
      <c r="E2363" s="4"/>
      <c r="F2363" s="4"/>
      <c r="G2363" s="33" t="str">
        <f>IFERROR(VLOOKUP($D2363,'Informations sur les produits'!$A$3:$H$10000,8,FALSE),"0")</f>
        <v>0</v>
      </c>
      <c r="K2363" s="4"/>
      <c r="L2363" s="33" t="str">
        <f>IFERROR(VLOOKUP($J2363,'Informations sur les produits'!$A$3:$H$10000,8,FALSE),"0")</f>
        <v>0</v>
      </c>
      <c r="N2363" s="8"/>
      <c r="O2363" s="33" t="str">
        <f>IFERROR(VLOOKUP($M2363,'Informations sur les produits'!$A$3:$H$10000,8,FALSE),"0")</f>
        <v>0</v>
      </c>
      <c r="P2363" s="33">
        <f t="shared" si="144"/>
        <v>0</v>
      </c>
      <c r="Q2363" s="31" t="str">
        <f t="shared" si="145"/>
        <v/>
      </c>
      <c r="R2363" s="32" t="str">
        <f>IFERROR(VLOOKUP($D2363,'Informations sur les produits'!$A$3:$B$15000,2,FALSE),"")</f>
        <v/>
      </c>
      <c r="V2363">
        <f t="shared" si="146"/>
        <v>0</v>
      </c>
      <c r="W2363">
        <f t="shared" si="147"/>
        <v>0</v>
      </c>
    </row>
    <row r="2364" spans="5:23" x14ac:dyDescent="0.25">
      <c r="E2364" s="4"/>
      <c r="F2364" s="4"/>
      <c r="G2364" s="33" t="str">
        <f>IFERROR(VLOOKUP($D2364,'Informations sur les produits'!$A$3:$H$10000,8,FALSE),"0")</f>
        <v>0</v>
      </c>
      <c r="K2364" s="4"/>
      <c r="L2364" s="33" t="str">
        <f>IFERROR(VLOOKUP($J2364,'Informations sur les produits'!$A$3:$H$10000,8,FALSE),"0")</f>
        <v>0</v>
      </c>
      <c r="N2364" s="8"/>
      <c r="O2364" s="33" t="str">
        <f>IFERROR(VLOOKUP($M2364,'Informations sur les produits'!$A$3:$H$10000,8,FALSE),"0")</f>
        <v>0</v>
      </c>
      <c r="P2364" s="33">
        <f t="shared" si="144"/>
        <v>0</v>
      </c>
      <c r="Q2364" s="31" t="str">
        <f t="shared" si="145"/>
        <v/>
      </c>
      <c r="R2364" s="32" t="str">
        <f>IFERROR(VLOOKUP($D2364,'Informations sur les produits'!$A$3:$B$15000,2,FALSE),"")</f>
        <v/>
      </c>
      <c r="V2364">
        <f t="shared" si="146"/>
        <v>0</v>
      </c>
      <c r="W2364">
        <f t="shared" si="147"/>
        <v>0</v>
      </c>
    </row>
    <row r="2365" spans="5:23" x14ac:dyDescent="0.25">
      <c r="E2365" s="4"/>
      <c r="F2365" s="4"/>
      <c r="G2365" s="33" t="str">
        <f>IFERROR(VLOOKUP($D2365,'Informations sur les produits'!$A$3:$H$10000,8,FALSE),"0")</f>
        <v>0</v>
      </c>
      <c r="K2365" s="4"/>
      <c r="L2365" s="33" t="str">
        <f>IFERROR(VLOOKUP($J2365,'Informations sur les produits'!$A$3:$H$10000,8,FALSE),"0")</f>
        <v>0</v>
      </c>
      <c r="N2365" s="8"/>
      <c r="O2365" s="33" t="str">
        <f>IFERROR(VLOOKUP($M2365,'Informations sur les produits'!$A$3:$H$10000,8,FALSE),"0")</f>
        <v>0</v>
      </c>
      <c r="P2365" s="33">
        <f t="shared" si="144"/>
        <v>0</v>
      </c>
      <c r="Q2365" s="31" t="str">
        <f t="shared" si="145"/>
        <v/>
      </c>
      <c r="R2365" s="32" t="str">
        <f>IFERROR(VLOOKUP($D2365,'Informations sur les produits'!$A$3:$B$15000,2,FALSE),"")</f>
        <v/>
      </c>
      <c r="V2365">
        <f t="shared" si="146"/>
        <v>0</v>
      </c>
      <c r="W2365">
        <f t="shared" si="147"/>
        <v>0</v>
      </c>
    </row>
    <row r="2366" spans="5:23" x14ac:dyDescent="0.25">
      <c r="E2366" s="4"/>
      <c r="F2366" s="4"/>
      <c r="G2366" s="33" t="str">
        <f>IFERROR(VLOOKUP($D2366,'Informations sur les produits'!$A$3:$H$10000,8,FALSE),"0")</f>
        <v>0</v>
      </c>
      <c r="K2366" s="4"/>
      <c r="L2366" s="33" t="str">
        <f>IFERROR(VLOOKUP($J2366,'Informations sur les produits'!$A$3:$H$10000,8,FALSE),"0")</f>
        <v>0</v>
      </c>
      <c r="N2366" s="8"/>
      <c r="O2366" s="33" t="str">
        <f>IFERROR(VLOOKUP($M2366,'Informations sur les produits'!$A$3:$H$10000,8,FALSE),"0")</f>
        <v>0</v>
      </c>
      <c r="P2366" s="33">
        <f t="shared" si="144"/>
        <v>0</v>
      </c>
      <c r="Q2366" s="31" t="str">
        <f t="shared" si="145"/>
        <v/>
      </c>
      <c r="R2366" s="32" t="str">
        <f>IFERROR(VLOOKUP($D2366,'Informations sur les produits'!$A$3:$B$15000,2,FALSE),"")</f>
        <v/>
      </c>
      <c r="V2366">
        <f t="shared" si="146"/>
        <v>0</v>
      </c>
      <c r="W2366">
        <f t="shared" si="147"/>
        <v>0</v>
      </c>
    </row>
    <row r="2367" spans="5:23" x14ac:dyDescent="0.25">
      <c r="E2367" s="4"/>
      <c r="F2367" s="4"/>
      <c r="G2367" s="33" t="str">
        <f>IFERROR(VLOOKUP($D2367,'Informations sur les produits'!$A$3:$H$10000,8,FALSE),"0")</f>
        <v>0</v>
      </c>
      <c r="K2367" s="4"/>
      <c r="L2367" s="33" t="str">
        <f>IFERROR(VLOOKUP($J2367,'Informations sur les produits'!$A$3:$H$10000,8,FALSE),"0")</f>
        <v>0</v>
      </c>
      <c r="N2367" s="8"/>
      <c r="O2367" s="33" t="str">
        <f>IFERROR(VLOOKUP($M2367,'Informations sur les produits'!$A$3:$H$10000,8,FALSE),"0")</f>
        <v>0</v>
      </c>
      <c r="P2367" s="33">
        <f t="shared" si="144"/>
        <v>0</v>
      </c>
      <c r="Q2367" s="31" t="str">
        <f t="shared" si="145"/>
        <v/>
      </c>
      <c r="R2367" s="32" t="str">
        <f>IFERROR(VLOOKUP($D2367,'Informations sur les produits'!$A$3:$B$15000,2,FALSE),"")</f>
        <v/>
      </c>
      <c r="V2367">
        <f t="shared" si="146"/>
        <v>0</v>
      </c>
      <c r="W2367">
        <f t="shared" si="147"/>
        <v>0</v>
      </c>
    </row>
    <row r="2368" spans="5:23" x14ac:dyDescent="0.25">
      <c r="E2368" s="4"/>
      <c r="F2368" s="4"/>
      <c r="G2368" s="33" t="str">
        <f>IFERROR(VLOOKUP($D2368,'Informations sur les produits'!$A$3:$H$10000,8,FALSE),"0")</f>
        <v>0</v>
      </c>
      <c r="K2368" s="4"/>
      <c r="L2368" s="33" t="str">
        <f>IFERROR(VLOOKUP($J2368,'Informations sur les produits'!$A$3:$H$10000,8,FALSE),"0")</f>
        <v>0</v>
      </c>
      <c r="N2368" s="8"/>
      <c r="O2368" s="33" t="str">
        <f>IFERROR(VLOOKUP($M2368,'Informations sur les produits'!$A$3:$H$10000,8,FALSE),"0")</f>
        <v>0</v>
      </c>
      <c r="P2368" s="33">
        <f t="shared" si="144"/>
        <v>0</v>
      </c>
      <c r="Q2368" s="31" t="str">
        <f t="shared" si="145"/>
        <v/>
      </c>
      <c r="R2368" s="32" t="str">
        <f>IFERROR(VLOOKUP($D2368,'Informations sur les produits'!$A$3:$B$15000,2,FALSE),"")</f>
        <v/>
      </c>
      <c r="V2368">
        <f t="shared" si="146"/>
        <v>0</v>
      </c>
      <c r="W2368">
        <f t="shared" si="147"/>
        <v>0</v>
      </c>
    </row>
    <row r="2369" spans="5:23" x14ac:dyDescent="0.25">
      <c r="E2369" s="4"/>
      <c r="F2369" s="4"/>
      <c r="G2369" s="33" t="str">
        <f>IFERROR(VLOOKUP($D2369,'Informations sur les produits'!$A$3:$H$10000,8,FALSE),"0")</f>
        <v>0</v>
      </c>
      <c r="K2369" s="4"/>
      <c r="L2369" s="33" t="str">
        <f>IFERROR(VLOOKUP($J2369,'Informations sur les produits'!$A$3:$H$10000,8,FALSE),"0")</f>
        <v>0</v>
      </c>
      <c r="N2369" s="8"/>
      <c r="O2369" s="33" t="str">
        <f>IFERROR(VLOOKUP($M2369,'Informations sur les produits'!$A$3:$H$10000,8,FALSE),"0")</f>
        <v>0</v>
      </c>
      <c r="P2369" s="33">
        <f t="shared" si="144"/>
        <v>0</v>
      </c>
      <c r="Q2369" s="31" t="str">
        <f t="shared" si="145"/>
        <v/>
      </c>
      <c r="R2369" s="32" t="str">
        <f>IFERROR(VLOOKUP($D2369,'Informations sur les produits'!$A$3:$B$15000,2,FALSE),"")</f>
        <v/>
      </c>
      <c r="V2369">
        <f t="shared" si="146"/>
        <v>0</v>
      </c>
      <c r="W2369">
        <f t="shared" si="147"/>
        <v>0</v>
      </c>
    </row>
    <row r="2370" spans="5:23" x14ac:dyDescent="0.25">
      <c r="E2370" s="4"/>
      <c r="F2370" s="4"/>
      <c r="G2370" s="33" t="str">
        <f>IFERROR(VLOOKUP($D2370,'Informations sur les produits'!$A$3:$H$10000,8,FALSE),"0")</f>
        <v>0</v>
      </c>
      <c r="K2370" s="4"/>
      <c r="L2370" s="33" t="str">
        <f>IFERROR(VLOOKUP($J2370,'Informations sur les produits'!$A$3:$H$10000,8,FALSE),"0")</f>
        <v>0</v>
      </c>
      <c r="N2370" s="8"/>
      <c r="O2370" s="33" t="str">
        <f>IFERROR(VLOOKUP($M2370,'Informations sur les produits'!$A$3:$H$10000,8,FALSE),"0")</f>
        <v>0</v>
      </c>
      <c r="P2370" s="33">
        <f t="shared" si="144"/>
        <v>0</v>
      </c>
      <c r="Q2370" s="31" t="str">
        <f t="shared" si="145"/>
        <v/>
      </c>
      <c r="R2370" s="32" t="str">
        <f>IFERROR(VLOOKUP($D2370,'Informations sur les produits'!$A$3:$B$15000,2,FALSE),"")</f>
        <v/>
      </c>
      <c r="V2370">
        <f t="shared" si="146"/>
        <v>0</v>
      </c>
      <c r="W2370">
        <f t="shared" si="147"/>
        <v>0</v>
      </c>
    </row>
    <row r="2371" spans="5:23" x14ac:dyDescent="0.25">
      <c r="E2371" s="4"/>
      <c r="F2371" s="4"/>
      <c r="G2371" s="33" t="str">
        <f>IFERROR(VLOOKUP($D2371,'Informations sur les produits'!$A$3:$H$10000,8,FALSE),"0")</f>
        <v>0</v>
      </c>
      <c r="K2371" s="4"/>
      <c r="L2371" s="33" t="str">
        <f>IFERROR(VLOOKUP($J2371,'Informations sur les produits'!$A$3:$H$10000,8,FALSE),"0")</f>
        <v>0</v>
      </c>
      <c r="N2371" s="8"/>
      <c r="O2371" s="33" t="str">
        <f>IFERROR(VLOOKUP($M2371,'Informations sur les produits'!$A$3:$H$10000,8,FALSE),"0")</f>
        <v>0</v>
      </c>
      <c r="P2371" s="33">
        <f t="shared" si="144"/>
        <v>0</v>
      </c>
      <c r="Q2371" s="31" t="str">
        <f t="shared" si="145"/>
        <v/>
      </c>
      <c r="R2371" s="32" t="str">
        <f>IFERROR(VLOOKUP($D2371,'Informations sur les produits'!$A$3:$B$15000,2,FALSE),"")</f>
        <v/>
      </c>
      <c r="V2371">
        <f t="shared" si="146"/>
        <v>0</v>
      </c>
      <c r="W2371">
        <f t="shared" si="147"/>
        <v>0</v>
      </c>
    </row>
    <row r="2372" spans="5:23" x14ac:dyDescent="0.25">
      <c r="E2372" s="4"/>
      <c r="F2372" s="4"/>
      <c r="G2372" s="33" t="str">
        <f>IFERROR(VLOOKUP($D2372,'Informations sur les produits'!$A$3:$H$10000,8,FALSE),"0")</f>
        <v>0</v>
      </c>
      <c r="K2372" s="4"/>
      <c r="L2372" s="33" t="str">
        <f>IFERROR(VLOOKUP($J2372,'Informations sur les produits'!$A$3:$H$10000,8,FALSE),"0")</f>
        <v>0</v>
      </c>
      <c r="N2372" s="8"/>
      <c r="O2372" s="33" t="str">
        <f>IFERROR(VLOOKUP($M2372,'Informations sur les produits'!$A$3:$H$10000,8,FALSE),"0")</f>
        <v>0</v>
      </c>
      <c r="P2372" s="33">
        <f t="shared" ref="P2372:P2435" si="148">IFERROR((($E2372-$F2372)*$G2372+$K2372*$L2372+$N2372*$O2372),"")</f>
        <v>0</v>
      </c>
      <c r="Q2372" s="31" t="str">
        <f t="shared" ref="Q2372:Q2435" si="149">IFERROR((((($E2372-$F2372)*$G2372+$K2372*$L2372+$N2372*$O2372)*1000)/(($E2372-$F2372)+$K2372+$N2372)),"")</f>
        <v/>
      </c>
      <c r="R2372" s="32" t="str">
        <f>IFERROR(VLOOKUP($D2372,'Informations sur les produits'!$A$3:$B$15000,2,FALSE),"")</f>
        <v/>
      </c>
      <c r="V2372">
        <f t="shared" ref="V2372:V2435" si="150">IFERROR(P2372*1000,"")</f>
        <v>0</v>
      </c>
      <c r="W2372">
        <f t="shared" ref="W2372:W2435" si="151">IFERROR(($E2372-$F2372)+$K2372+$N2372,"")</f>
        <v>0</v>
      </c>
    </row>
    <row r="2373" spans="5:23" x14ac:dyDescent="0.25">
      <c r="E2373" s="4"/>
      <c r="F2373" s="4"/>
      <c r="G2373" s="33" t="str">
        <f>IFERROR(VLOOKUP($D2373,'Informations sur les produits'!$A$3:$H$10000,8,FALSE),"0")</f>
        <v>0</v>
      </c>
      <c r="K2373" s="4"/>
      <c r="L2373" s="33" t="str">
        <f>IFERROR(VLOOKUP($J2373,'Informations sur les produits'!$A$3:$H$10000,8,FALSE),"0")</f>
        <v>0</v>
      </c>
      <c r="N2373" s="8"/>
      <c r="O2373" s="33" t="str">
        <f>IFERROR(VLOOKUP($M2373,'Informations sur les produits'!$A$3:$H$10000,8,FALSE),"0")</f>
        <v>0</v>
      </c>
      <c r="P2373" s="33">
        <f t="shared" si="148"/>
        <v>0</v>
      </c>
      <c r="Q2373" s="31" t="str">
        <f t="shared" si="149"/>
        <v/>
      </c>
      <c r="R2373" s="32" t="str">
        <f>IFERROR(VLOOKUP($D2373,'Informations sur les produits'!$A$3:$B$15000,2,FALSE),"")</f>
        <v/>
      </c>
      <c r="V2373">
        <f t="shared" si="150"/>
        <v>0</v>
      </c>
      <c r="W2373">
        <f t="shared" si="151"/>
        <v>0</v>
      </c>
    </row>
    <row r="2374" spans="5:23" x14ac:dyDescent="0.25">
      <c r="E2374" s="4"/>
      <c r="F2374" s="4"/>
      <c r="G2374" s="33" t="str">
        <f>IFERROR(VLOOKUP($D2374,'Informations sur les produits'!$A$3:$H$10000,8,FALSE),"0")</f>
        <v>0</v>
      </c>
      <c r="K2374" s="4"/>
      <c r="L2374" s="33" t="str">
        <f>IFERROR(VLOOKUP($J2374,'Informations sur les produits'!$A$3:$H$10000,8,FALSE),"0")</f>
        <v>0</v>
      </c>
      <c r="N2374" s="8"/>
      <c r="O2374" s="33" t="str">
        <f>IFERROR(VLOOKUP($M2374,'Informations sur les produits'!$A$3:$H$10000,8,FALSE),"0")</f>
        <v>0</v>
      </c>
      <c r="P2374" s="33">
        <f t="shared" si="148"/>
        <v>0</v>
      </c>
      <c r="Q2374" s="31" t="str">
        <f t="shared" si="149"/>
        <v/>
      </c>
      <c r="R2374" s="32" t="str">
        <f>IFERROR(VLOOKUP($D2374,'Informations sur les produits'!$A$3:$B$15000,2,FALSE),"")</f>
        <v/>
      </c>
      <c r="V2374">
        <f t="shared" si="150"/>
        <v>0</v>
      </c>
      <c r="W2374">
        <f t="shared" si="151"/>
        <v>0</v>
      </c>
    </row>
    <row r="2375" spans="5:23" x14ac:dyDescent="0.25">
      <c r="E2375" s="4"/>
      <c r="F2375" s="4"/>
      <c r="G2375" s="33" t="str">
        <f>IFERROR(VLOOKUP($D2375,'Informations sur les produits'!$A$3:$H$10000,8,FALSE),"0")</f>
        <v>0</v>
      </c>
      <c r="K2375" s="4"/>
      <c r="L2375" s="33" t="str">
        <f>IFERROR(VLOOKUP($J2375,'Informations sur les produits'!$A$3:$H$10000,8,FALSE),"0")</f>
        <v>0</v>
      </c>
      <c r="N2375" s="8"/>
      <c r="O2375" s="33" t="str">
        <f>IFERROR(VLOOKUP($M2375,'Informations sur les produits'!$A$3:$H$10000,8,FALSE),"0")</f>
        <v>0</v>
      </c>
      <c r="P2375" s="33">
        <f t="shared" si="148"/>
        <v>0</v>
      </c>
      <c r="Q2375" s="31" t="str">
        <f t="shared" si="149"/>
        <v/>
      </c>
      <c r="R2375" s="32" t="str">
        <f>IFERROR(VLOOKUP($D2375,'Informations sur les produits'!$A$3:$B$15000,2,FALSE),"")</f>
        <v/>
      </c>
      <c r="V2375">
        <f t="shared" si="150"/>
        <v>0</v>
      </c>
      <c r="W2375">
        <f t="shared" si="151"/>
        <v>0</v>
      </c>
    </row>
    <row r="2376" spans="5:23" x14ac:dyDescent="0.25">
      <c r="E2376" s="4"/>
      <c r="F2376" s="4"/>
      <c r="G2376" s="33" t="str">
        <f>IFERROR(VLOOKUP($D2376,'Informations sur les produits'!$A$3:$H$10000,8,FALSE),"0")</f>
        <v>0</v>
      </c>
      <c r="K2376" s="4"/>
      <c r="L2376" s="33" t="str">
        <f>IFERROR(VLOOKUP($J2376,'Informations sur les produits'!$A$3:$H$10000,8,FALSE),"0")</f>
        <v>0</v>
      </c>
      <c r="N2376" s="8"/>
      <c r="O2376" s="33" t="str">
        <f>IFERROR(VLOOKUP($M2376,'Informations sur les produits'!$A$3:$H$10000,8,FALSE),"0")</f>
        <v>0</v>
      </c>
      <c r="P2376" s="33">
        <f t="shared" si="148"/>
        <v>0</v>
      </c>
      <c r="Q2376" s="31" t="str">
        <f t="shared" si="149"/>
        <v/>
      </c>
      <c r="R2376" s="32" t="str">
        <f>IFERROR(VLOOKUP($D2376,'Informations sur les produits'!$A$3:$B$15000,2,FALSE),"")</f>
        <v/>
      </c>
      <c r="V2376">
        <f t="shared" si="150"/>
        <v>0</v>
      </c>
      <c r="W2376">
        <f t="shared" si="151"/>
        <v>0</v>
      </c>
    </row>
    <row r="2377" spans="5:23" x14ac:dyDescent="0.25">
      <c r="E2377" s="4"/>
      <c r="F2377" s="4"/>
      <c r="G2377" s="33" t="str">
        <f>IFERROR(VLOOKUP($D2377,'Informations sur les produits'!$A$3:$H$10000,8,FALSE),"0")</f>
        <v>0</v>
      </c>
      <c r="K2377" s="4"/>
      <c r="L2377" s="33" t="str">
        <f>IFERROR(VLOOKUP($J2377,'Informations sur les produits'!$A$3:$H$10000,8,FALSE),"0")</f>
        <v>0</v>
      </c>
      <c r="N2377" s="8"/>
      <c r="O2377" s="33" t="str">
        <f>IFERROR(VLOOKUP($M2377,'Informations sur les produits'!$A$3:$H$10000,8,FALSE),"0")</f>
        <v>0</v>
      </c>
      <c r="P2377" s="33">
        <f t="shared" si="148"/>
        <v>0</v>
      </c>
      <c r="Q2377" s="31" t="str">
        <f t="shared" si="149"/>
        <v/>
      </c>
      <c r="R2377" s="32" t="str">
        <f>IFERROR(VLOOKUP($D2377,'Informations sur les produits'!$A$3:$B$15000,2,FALSE),"")</f>
        <v/>
      </c>
      <c r="V2377">
        <f t="shared" si="150"/>
        <v>0</v>
      </c>
      <c r="W2377">
        <f t="shared" si="151"/>
        <v>0</v>
      </c>
    </row>
    <row r="2378" spans="5:23" x14ac:dyDescent="0.25">
      <c r="E2378" s="4"/>
      <c r="F2378" s="4"/>
      <c r="G2378" s="33" t="str">
        <f>IFERROR(VLOOKUP($D2378,'Informations sur les produits'!$A$3:$H$10000,8,FALSE),"0")</f>
        <v>0</v>
      </c>
      <c r="K2378" s="4"/>
      <c r="L2378" s="33" t="str">
        <f>IFERROR(VLOOKUP($J2378,'Informations sur les produits'!$A$3:$H$10000,8,FALSE),"0")</f>
        <v>0</v>
      </c>
      <c r="N2378" s="8"/>
      <c r="O2378" s="33" t="str">
        <f>IFERROR(VLOOKUP($M2378,'Informations sur les produits'!$A$3:$H$10000,8,FALSE),"0")</f>
        <v>0</v>
      </c>
      <c r="P2378" s="33">
        <f t="shared" si="148"/>
        <v>0</v>
      </c>
      <c r="Q2378" s="31" t="str">
        <f t="shared" si="149"/>
        <v/>
      </c>
      <c r="R2378" s="32" t="str">
        <f>IFERROR(VLOOKUP($D2378,'Informations sur les produits'!$A$3:$B$15000,2,FALSE),"")</f>
        <v/>
      </c>
      <c r="V2378">
        <f t="shared" si="150"/>
        <v>0</v>
      </c>
      <c r="W2378">
        <f t="shared" si="151"/>
        <v>0</v>
      </c>
    </row>
    <row r="2379" spans="5:23" x14ac:dyDescent="0.25">
      <c r="E2379" s="4"/>
      <c r="F2379" s="4"/>
      <c r="G2379" s="33" t="str">
        <f>IFERROR(VLOOKUP($D2379,'Informations sur les produits'!$A$3:$H$10000,8,FALSE),"0")</f>
        <v>0</v>
      </c>
      <c r="K2379" s="4"/>
      <c r="L2379" s="33" t="str">
        <f>IFERROR(VLOOKUP($J2379,'Informations sur les produits'!$A$3:$H$10000,8,FALSE),"0")</f>
        <v>0</v>
      </c>
      <c r="N2379" s="8"/>
      <c r="O2379" s="33" t="str">
        <f>IFERROR(VLOOKUP($M2379,'Informations sur les produits'!$A$3:$H$10000,8,FALSE),"0")</f>
        <v>0</v>
      </c>
      <c r="P2379" s="33">
        <f t="shared" si="148"/>
        <v>0</v>
      </c>
      <c r="Q2379" s="31" t="str">
        <f t="shared" si="149"/>
        <v/>
      </c>
      <c r="R2379" s="32" t="str">
        <f>IFERROR(VLOOKUP($D2379,'Informations sur les produits'!$A$3:$B$15000,2,FALSE),"")</f>
        <v/>
      </c>
      <c r="V2379">
        <f t="shared" si="150"/>
        <v>0</v>
      </c>
      <c r="W2379">
        <f t="shared" si="151"/>
        <v>0</v>
      </c>
    </row>
    <row r="2380" spans="5:23" x14ac:dyDescent="0.25">
      <c r="E2380" s="4"/>
      <c r="F2380" s="4"/>
      <c r="G2380" s="33" t="str">
        <f>IFERROR(VLOOKUP($D2380,'Informations sur les produits'!$A$3:$H$10000,8,FALSE),"0")</f>
        <v>0</v>
      </c>
      <c r="K2380" s="4"/>
      <c r="L2380" s="33" t="str">
        <f>IFERROR(VLOOKUP($J2380,'Informations sur les produits'!$A$3:$H$10000,8,FALSE),"0")</f>
        <v>0</v>
      </c>
      <c r="N2380" s="8"/>
      <c r="O2380" s="33" t="str">
        <f>IFERROR(VLOOKUP($M2380,'Informations sur les produits'!$A$3:$H$10000,8,FALSE),"0")</f>
        <v>0</v>
      </c>
      <c r="P2380" s="33">
        <f t="shared" si="148"/>
        <v>0</v>
      </c>
      <c r="Q2380" s="31" t="str">
        <f t="shared" si="149"/>
        <v/>
      </c>
      <c r="R2380" s="32" t="str">
        <f>IFERROR(VLOOKUP($D2380,'Informations sur les produits'!$A$3:$B$15000,2,FALSE),"")</f>
        <v/>
      </c>
      <c r="V2380">
        <f t="shared" si="150"/>
        <v>0</v>
      </c>
      <c r="W2380">
        <f t="shared" si="151"/>
        <v>0</v>
      </c>
    </row>
    <row r="2381" spans="5:23" x14ac:dyDescent="0.25">
      <c r="E2381" s="4"/>
      <c r="F2381" s="4"/>
      <c r="G2381" s="33" t="str">
        <f>IFERROR(VLOOKUP($D2381,'Informations sur les produits'!$A$3:$H$10000,8,FALSE),"0")</f>
        <v>0</v>
      </c>
      <c r="K2381" s="4"/>
      <c r="L2381" s="33" t="str">
        <f>IFERROR(VLOOKUP($J2381,'Informations sur les produits'!$A$3:$H$10000,8,FALSE),"0")</f>
        <v>0</v>
      </c>
      <c r="N2381" s="8"/>
      <c r="O2381" s="33" t="str">
        <f>IFERROR(VLOOKUP($M2381,'Informations sur les produits'!$A$3:$H$10000,8,FALSE),"0")</f>
        <v>0</v>
      </c>
      <c r="P2381" s="33">
        <f t="shared" si="148"/>
        <v>0</v>
      </c>
      <c r="Q2381" s="31" t="str">
        <f t="shared" si="149"/>
        <v/>
      </c>
      <c r="R2381" s="32" t="str">
        <f>IFERROR(VLOOKUP($D2381,'Informations sur les produits'!$A$3:$B$15000,2,FALSE),"")</f>
        <v/>
      </c>
      <c r="V2381">
        <f t="shared" si="150"/>
        <v>0</v>
      </c>
      <c r="W2381">
        <f t="shared" si="151"/>
        <v>0</v>
      </c>
    </row>
    <row r="2382" spans="5:23" x14ac:dyDescent="0.25">
      <c r="E2382" s="4"/>
      <c r="F2382" s="4"/>
      <c r="G2382" s="33" t="str">
        <f>IFERROR(VLOOKUP($D2382,'Informations sur les produits'!$A$3:$H$10000,8,FALSE),"0")</f>
        <v>0</v>
      </c>
      <c r="K2382" s="4"/>
      <c r="L2382" s="33" t="str">
        <f>IFERROR(VLOOKUP($J2382,'Informations sur les produits'!$A$3:$H$10000,8,FALSE),"0")</f>
        <v>0</v>
      </c>
      <c r="N2382" s="8"/>
      <c r="O2382" s="33" t="str">
        <f>IFERROR(VLOOKUP($M2382,'Informations sur les produits'!$A$3:$H$10000,8,FALSE),"0")</f>
        <v>0</v>
      </c>
      <c r="P2382" s="33">
        <f t="shared" si="148"/>
        <v>0</v>
      </c>
      <c r="Q2382" s="31" t="str">
        <f t="shared" si="149"/>
        <v/>
      </c>
      <c r="R2382" s="32" t="str">
        <f>IFERROR(VLOOKUP($D2382,'Informations sur les produits'!$A$3:$B$15000,2,FALSE),"")</f>
        <v/>
      </c>
      <c r="V2382">
        <f t="shared" si="150"/>
        <v>0</v>
      </c>
      <c r="W2382">
        <f t="shared" si="151"/>
        <v>0</v>
      </c>
    </row>
    <row r="2383" spans="5:23" x14ac:dyDescent="0.25">
      <c r="E2383" s="4"/>
      <c r="F2383" s="4"/>
      <c r="G2383" s="33" t="str">
        <f>IFERROR(VLOOKUP($D2383,'Informations sur les produits'!$A$3:$H$10000,8,FALSE),"0")</f>
        <v>0</v>
      </c>
      <c r="K2383" s="4"/>
      <c r="L2383" s="33" t="str">
        <f>IFERROR(VLOOKUP($J2383,'Informations sur les produits'!$A$3:$H$10000,8,FALSE),"0")</f>
        <v>0</v>
      </c>
      <c r="N2383" s="8"/>
      <c r="O2383" s="33" t="str">
        <f>IFERROR(VLOOKUP($M2383,'Informations sur les produits'!$A$3:$H$10000,8,FALSE),"0")</f>
        <v>0</v>
      </c>
      <c r="P2383" s="33">
        <f t="shared" si="148"/>
        <v>0</v>
      </c>
      <c r="Q2383" s="31" t="str">
        <f t="shared" si="149"/>
        <v/>
      </c>
      <c r="R2383" s="32" t="str">
        <f>IFERROR(VLOOKUP($D2383,'Informations sur les produits'!$A$3:$B$15000,2,FALSE),"")</f>
        <v/>
      </c>
      <c r="V2383">
        <f t="shared" si="150"/>
        <v>0</v>
      </c>
      <c r="W2383">
        <f t="shared" si="151"/>
        <v>0</v>
      </c>
    </row>
    <row r="2384" spans="5:23" x14ac:dyDescent="0.25">
      <c r="E2384" s="4"/>
      <c r="F2384" s="4"/>
      <c r="G2384" s="33" t="str">
        <f>IFERROR(VLOOKUP($D2384,'Informations sur les produits'!$A$3:$H$10000,8,FALSE),"0")</f>
        <v>0</v>
      </c>
      <c r="K2384" s="4"/>
      <c r="L2384" s="33" t="str">
        <f>IFERROR(VLOOKUP($J2384,'Informations sur les produits'!$A$3:$H$10000,8,FALSE),"0")</f>
        <v>0</v>
      </c>
      <c r="N2384" s="8"/>
      <c r="O2384" s="33" t="str">
        <f>IFERROR(VLOOKUP($M2384,'Informations sur les produits'!$A$3:$H$10000,8,FALSE),"0")</f>
        <v>0</v>
      </c>
      <c r="P2384" s="33">
        <f t="shared" si="148"/>
        <v>0</v>
      </c>
      <c r="Q2384" s="31" t="str">
        <f t="shared" si="149"/>
        <v/>
      </c>
      <c r="R2384" s="32" t="str">
        <f>IFERROR(VLOOKUP($D2384,'Informations sur les produits'!$A$3:$B$15000,2,FALSE),"")</f>
        <v/>
      </c>
      <c r="V2384">
        <f t="shared" si="150"/>
        <v>0</v>
      </c>
      <c r="W2384">
        <f t="shared" si="151"/>
        <v>0</v>
      </c>
    </row>
    <row r="2385" spans="5:23" x14ac:dyDescent="0.25">
      <c r="E2385" s="4"/>
      <c r="F2385" s="4"/>
      <c r="G2385" s="33" t="str">
        <f>IFERROR(VLOOKUP($D2385,'Informations sur les produits'!$A$3:$H$10000,8,FALSE),"0")</f>
        <v>0</v>
      </c>
      <c r="K2385" s="4"/>
      <c r="L2385" s="33" t="str">
        <f>IFERROR(VLOOKUP($J2385,'Informations sur les produits'!$A$3:$H$10000,8,FALSE),"0")</f>
        <v>0</v>
      </c>
      <c r="N2385" s="8"/>
      <c r="O2385" s="33" t="str">
        <f>IFERROR(VLOOKUP($M2385,'Informations sur les produits'!$A$3:$H$10000,8,FALSE),"0")</f>
        <v>0</v>
      </c>
      <c r="P2385" s="33">
        <f t="shared" si="148"/>
        <v>0</v>
      </c>
      <c r="Q2385" s="31" t="str">
        <f t="shared" si="149"/>
        <v/>
      </c>
      <c r="R2385" s="32" t="str">
        <f>IFERROR(VLOOKUP($D2385,'Informations sur les produits'!$A$3:$B$15000,2,FALSE),"")</f>
        <v/>
      </c>
      <c r="V2385">
        <f t="shared" si="150"/>
        <v>0</v>
      </c>
      <c r="W2385">
        <f t="shared" si="151"/>
        <v>0</v>
      </c>
    </row>
    <row r="2386" spans="5:23" x14ac:dyDescent="0.25">
      <c r="E2386" s="4"/>
      <c r="F2386" s="4"/>
      <c r="G2386" s="33" t="str">
        <f>IFERROR(VLOOKUP($D2386,'Informations sur les produits'!$A$3:$H$10000,8,FALSE),"0")</f>
        <v>0</v>
      </c>
      <c r="K2386" s="4"/>
      <c r="L2386" s="33" t="str">
        <f>IFERROR(VLOOKUP($J2386,'Informations sur les produits'!$A$3:$H$10000,8,FALSE),"0")</f>
        <v>0</v>
      </c>
      <c r="N2386" s="8"/>
      <c r="O2386" s="33" t="str">
        <f>IFERROR(VLOOKUP($M2386,'Informations sur les produits'!$A$3:$H$10000,8,FALSE),"0")</f>
        <v>0</v>
      </c>
      <c r="P2386" s="33">
        <f t="shared" si="148"/>
        <v>0</v>
      </c>
      <c r="Q2386" s="31" t="str">
        <f t="shared" si="149"/>
        <v/>
      </c>
      <c r="R2386" s="32" t="str">
        <f>IFERROR(VLOOKUP($D2386,'Informations sur les produits'!$A$3:$B$15000,2,FALSE),"")</f>
        <v/>
      </c>
      <c r="V2386">
        <f t="shared" si="150"/>
        <v>0</v>
      </c>
      <c r="W2386">
        <f t="shared" si="151"/>
        <v>0</v>
      </c>
    </row>
    <row r="2387" spans="5:23" x14ac:dyDescent="0.25">
      <c r="E2387" s="4"/>
      <c r="F2387" s="4"/>
      <c r="G2387" s="33" t="str">
        <f>IFERROR(VLOOKUP($D2387,'Informations sur les produits'!$A$3:$H$10000,8,FALSE),"0")</f>
        <v>0</v>
      </c>
      <c r="K2387" s="4"/>
      <c r="L2387" s="33" t="str">
        <f>IFERROR(VLOOKUP($J2387,'Informations sur les produits'!$A$3:$H$10000,8,FALSE),"0")</f>
        <v>0</v>
      </c>
      <c r="N2387" s="8"/>
      <c r="O2387" s="33" t="str">
        <f>IFERROR(VLOOKUP($M2387,'Informations sur les produits'!$A$3:$H$10000,8,FALSE),"0")</f>
        <v>0</v>
      </c>
      <c r="P2387" s="33">
        <f t="shared" si="148"/>
        <v>0</v>
      </c>
      <c r="Q2387" s="31" t="str">
        <f t="shared" si="149"/>
        <v/>
      </c>
      <c r="R2387" s="32" t="str">
        <f>IFERROR(VLOOKUP($D2387,'Informations sur les produits'!$A$3:$B$15000,2,FALSE),"")</f>
        <v/>
      </c>
      <c r="V2387">
        <f t="shared" si="150"/>
        <v>0</v>
      </c>
      <c r="W2387">
        <f t="shared" si="151"/>
        <v>0</v>
      </c>
    </row>
    <row r="2388" spans="5:23" x14ac:dyDescent="0.25">
      <c r="E2388" s="4"/>
      <c r="F2388" s="4"/>
      <c r="G2388" s="33" t="str">
        <f>IFERROR(VLOOKUP($D2388,'Informations sur les produits'!$A$3:$H$10000,8,FALSE),"0")</f>
        <v>0</v>
      </c>
      <c r="K2388" s="4"/>
      <c r="L2388" s="33" t="str">
        <f>IFERROR(VLOOKUP($J2388,'Informations sur les produits'!$A$3:$H$10000,8,FALSE),"0")</f>
        <v>0</v>
      </c>
      <c r="N2388" s="8"/>
      <c r="O2388" s="33" t="str">
        <f>IFERROR(VLOOKUP($M2388,'Informations sur les produits'!$A$3:$H$10000,8,FALSE),"0")</f>
        <v>0</v>
      </c>
      <c r="P2388" s="33">
        <f t="shared" si="148"/>
        <v>0</v>
      </c>
      <c r="Q2388" s="31" t="str">
        <f t="shared" si="149"/>
        <v/>
      </c>
      <c r="R2388" s="32" t="str">
        <f>IFERROR(VLOOKUP($D2388,'Informations sur les produits'!$A$3:$B$15000,2,FALSE),"")</f>
        <v/>
      </c>
      <c r="V2388">
        <f t="shared" si="150"/>
        <v>0</v>
      </c>
      <c r="W2388">
        <f t="shared" si="151"/>
        <v>0</v>
      </c>
    </row>
    <row r="2389" spans="5:23" x14ac:dyDescent="0.25">
      <c r="E2389" s="4"/>
      <c r="F2389" s="4"/>
      <c r="G2389" s="33" t="str">
        <f>IFERROR(VLOOKUP($D2389,'Informations sur les produits'!$A$3:$H$10000,8,FALSE),"0")</f>
        <v>0</v>
      </c>
      <c r="K2389" s="4"/>
      <c r="L2389" s="33" t="str">
        <f>IFERROR(VLOOKUP($J2389,'Informations sur les produits'!$A$3:$H$10000,8,FALSE),"0")</f>
        <v>0</v>
      </c>
      <c r="N2389" s="8"/>
      <c r="O2389" s="33" t="str">
        <f>IFERROR(VLOOKUP($M2389,'Informations sur les produits'!$A$3:$H$10000,8,FALSE),"0")</f>
        <v>0</v>
      </c>
      <c r="P2389" s="33">
        <f t="shared" si="148"/>
        <v>0</v>
      </c>
      <c r="Q2389" s="31" t="str">
        <f t="shared" si="149"/>
        <v/>
      </c>
      <c r="R2389" s="32" t="str">
        <f>IFERROR(VLOOKUP($D2389,'Informations sur les produits'!$A$3:$B$15000,2,FALSE),"")</f>
        <v/>
      </c>
      <c r="V2389">
        <f t="shared" si="150"/>
        <v>0</v>
      </c>
      <c r="W2389">
        <f t="shared" si="151"/>
        <v>0</v>
      </c>
    </row>
    <row r="2390" spans="5:23" x14ac:dyDescent="0.25">
      <c r="E2390" s="4"/>
      <c r="F2390" s="4"/>
      <c r="G2390" s="33" t="str">
        <f>IFERROR(VLOOKUP($D2390,'Informations sur les produits'!$A$3:$H$10000,8,FALSE),"0")</f>
        <v>0</v>
      </c>
      <c r="K2390" s="4"/>
      <c r="L2390" s="33" t="str">
        <f>IFERROR(VLOOKUP($J2390,'Informations sur les produits'!$A$3:$H$10000,8,FALSE),"0")</f>
        <v>0</v>
      </c>
      <c r="N2390" s="8"/>
      <c r="O2390" s="33" t="str">
        <f>IFERROR(VLOOKUP($M2390,'Informations sur les produits'!$A$3:$H$10000,8,FALSE),"0")</f>
        <v>0</v>
      </c>
      <c r="P2390" s="33">
        <f t="shared" si="148"/>
        <v>0</v>
      </c>
      <c r="Q2390" s="31" t="str">
        <f t="shared" si="149"/>
        <v/>
      </c>
      <c r="R2390" s="32" t="str">
        <f>IFERROR(VLOOKUP($D2390,'Informations sur les produits'!$A$3:$B$15000,2,FALSE),"")</f>
        <v/>
      </c>
      <c r="V2390">
        <f t="shared" si="150"/>
        <v>0</v>
      </c>
      <c r="W2390">
        <f t="shared" si="151"/>
        <v>0</v>
      </c>
    </row>
    <row r="2391" spans="5:23" x14ac:dyDescent="0.25">
      <c r="E2391" s="4"/>
      <c r="F2391" s="4"/>
      <c r="G2391" s="33" t="str">
        <f>IFERROR(VLOOKUP($D2391,'Informations sur les produits'!$A$3:$H$10000,8,FALSE),"0")</f>
        <v>0</v>
      </c>
      <c r="K2391" s="4"/>
      <c r="L2391" s="33" t="str">
        <f>IFERROR(VLOOKUP($J2391,'Informations sur les produits'!$A$3:$H$10000,8,FALSE),"0")</f>
        <v>0</v>
      </c>
      <c r="N2391" s="8"/>
      <c r="O2391" s="33" t="str">
        <f>IFERROR(VLOOKUP($M2391,'Informations sur les produits'!$A$3:$H$10000,8,FALSE),"0")</f>
        <v>0</v>
      </c>
      <c r="P2391" s="33">
        <f t="shared" si="148"/>
        <v>0</v>
      </c>
      <c r="Q2391" s="31" t="str">
        <f t="shared" si="149"/>
        <v/>
      </c>
      <c r="R2391" s="32" t="str">
        <f>IFERROR(VLOOKUP($D2391,'Informations sur les produits'!$A$3:$B$15000,2,FALSE),"")</f>
        <v/>
      </c>
      <c r="V2391">
        <f t="shared" si="150"/>
        <v>0</v>
      </c>
      <c r="W2391">
        <f t="shared" si="151"/>
        <v>0</v>
      </c>
    </row>
    <row r="2392" spans="5:23" x14ac:dyDescent="0.25">
      <c r="E2392" s="4"/>
      <c r="F2392" s="4"/>
      <c r="G2392" s="33" t="str">
        <f>IFERROR(VLOOKUP($D2392,'Informations sur les produits'!$A$3:$H$10000,8,FALSE),"0")</f>
        <v>0</v>
      </c>
      <c r="K2392" s="4"/>
      <c r="L2392" s="33" t="str">
        <f>IFERROR(VLOOKUP($J2392,'Informations sur les produits'!$A$3:$H$10000,8,FALSE),"0")</f>
        <v>0</v>
      </c>
      <c r="N2392" s="8"/>
      <c r="O2392" s="33" t="str">
        <f>IFERROR(VLOOKUP($M2392,'Informations sur les produits'!$A$3:$H$10000,8,FALSE),"0")</f>
        <v>0</v>
      </c>
      <c r="P2392" s="33">
        <f t="shared" si="148"/>
        <v>0</v>
      </c>
      <c r="Q2392" s="31" t="str">
        <f t="shared" si="149"/>
        <v/>
      </c>
      <c r="R2392" s="32" t="str">
        <f>IFERROR(VLOOKUP($D2392,'Informations sur les produits'!$A$3:$B$15000,2,FALSE),"")</f>
        <v/>
      </c>
      <c r="V2392">
        <f t="shared" si="150"/>
        <v>0</v>
      </c>
      <c r="W2392">
        <f t="shared" si="151"/>
        <v>0</v>
      </c>
    </row>
    <row r="2393" spans="5:23" x14ac:dyDescent="0.25">
      <c r="E2393" s="4"/>
      <c r="F2393" s="4"/>
      <c r="G2393" s="33" t="str">
        <f>IFERROR(VLOOKUP($D2393,'Informations sur les produits'!$A$3:$H$10000,8,FALSE),"0")</f>
        <v>0</v>
      </c>
      <c r="K2393" s="4"/>
      <c r="L2393" s="33" t="str">
        <f>IFERROR(VLOOKUP($J2393,'Informations sur les produits'!$A$3:$H$10000,8,FALSE),"0")</f>
        <v>0</v>
      </c>
      <c r="N2393" s="8"/>
      <c r="O2393" s="33" t="str">
        <f>IFERROR(VLOOKUP($M2393,'Informations sur les produits'!$A$3:$H$10000,8,FALSE),"0")</f>
        <v>0</v>
      </c>
      <c r="P2393" s="33">
        <f t="shared" si="148"/>
        <v>0</v>
      </c>
      <c r="Q2393" s="31" t="str">
        <f t="shared" si="149"/>
        <v/>
      </c>
      <c r="R2393" s="32" t="str">
        <f>IFERROR(VLOOKUP($D2393,'Informations sur les produits'!$A$3:$B$15000,2,FALSE),"")</f>
        <v/>
      </c>
      <c r="V2393">
        <f t="shared" si="150"/>
        <v>0</v>
      </c>
      <c r="W2393">
        <f t="shared" si="151"/>
        <v>0</v>
      </c>
    </row>
    <row r="2394" spans="5:23" x14ac:dyDescent="0.25">
      <c r="E2394" s="4"/>
      <c r="F2394" s="4"/>
      <c r="G2394" s="33" t="str">
        <f>IFERROR(VLOOKUP($D2394,'Informations sur les produits'!$A$3:$H$10000,8,FALSE),"0")</f>
        <v>0</v>
      </c>
      <c r="K2394" s="4"/>
      <c r="L2394" s="33" t="str">
        <f>IFERROR(VLOOKUP($J2394,'Informations sur les produits'!$A$3:$H$10000,8,FALSE),"0")</f>
        <v>0</v>
      </c>
      <c r="N2394" s="8"/>
      <c r="O2394" s="33" t="str">
        <f>IFERROR(VLOOKUP($M2394,'Informations sur les produits'!$A$3:$H$10000,8,FALSE),"0")</f>
        <v>0</v>
      </c>
      <c r="P2394" s="33">
        <f t="shared" si="148"/>
        <v>0</v>
      </c>
      <c r="Q2394" s="31" t="str">
        <f t="shared" si="149"/>
        <v/>
      </c>
      <c r="R2394" s="32" t="str">
        <f>IFERROR(VLOOKUP($D2394,'Informations sur les produits'!$A$3:$B$15000,2,FALSE),"")</f>
        <v/>
      </c>
      <c r="V2394">
        <f t="shared" si="150"/>
        <v>0</v>
      </c>
      <c r="W2394">
        <f t="shared" si="151"/>
        <v>0</v>
      </c>
    </row>
    <row r="2395" spans="5:23" x14ac:dyDescent="0.25">
      <c r="E2395" s="4"/>
      <c r="F2395" s="4"/>
      <c r="G2395" s="33" t="str">
        <f>IFERROR(VLOOKUP($D2395,'Informations sur les produits'!$A$3:$H$10000,8,FALSE),"0")</f>
        <v>0</v>
      </c>
      <c r="K2395" s="4"/>
      <c r="L2395" s="33" t="str">
        <f>IFERROR(VLOOKUP($J2395,'Informations sur les produits'!$A$3:$H$10000,8,FALSE),"0")</f>
        <v>0</v>
      </c>
      <c r="N2395" s="8"/>
      <c r="O2395" s="33" t="str">
        <f>IFERROR(VLOOKUP($M2395,'Informations sur les produits'!$A$3:$H$10000,8,FALSE),"0")</f>
        <v>0</v>
      </c>
      <c r="P2395" s="33">
        <f t="shared" si="148"/>
        <v>0</v>
      </c>
      <c r="Q2395" s="31" t="str">
        <f t="shared" si="149"/>
        <v/>
      </c>
      <c r="R2395" s="32" t="str">
        <f>IFERROR(VLOOKUP($D2395,'Informations sur les produits'!$A$3:$B$15000,2,FALSE),"")</f>
        <v/>
      </c>
      <c r="V2395">
        <f t="shared" si="150"/>
        <v>0</v>
      </c>
      <c r="W2395">
        <f t="shared" si="151"/>
        <v>0</v>
      </c>
    </row>
    <row r="2396" spans="5:23" x14ac:dyDescent="0.25">
      <c r="E2396" s="4"/>
      <c r="F2396" s="4"/>
      <c r="G2396" s="33" t="str">
        <f>IFERROR(VLOOKUP($D2396,'Informations sur les produits'!$A$3:$H$10000,8,FALSE),"0")</f>
        <v>0</v>
      </c>
      <c r="K2396" s="4"/>
      <c r="L2396" s="33" t="str">
        <f>IFERROR(VLOOKUP($J2396,'Informations sur les produits'!$A$3:$H$10000,8,FALSE),"0")</f>
        <v>0</v>
      </c>
      <c r="N2396" s="8"/>
      <c r="O2396" s="33" t="str">
        <f>IFERROR(VLOOKUP($M2396,'Informations sur les produits'!$A$3:$H$10000,8,FALSE),"0")</f>
        <v>0</v>
      </c>
      <c r="P2396" s="33">
        <f t="shared" si="148"/>
        <v>0</v>
      </c>
      <c r="Q2396" s="31" t="str">
        <f t="shared" si="149"/>
        <v/>
      </c>
      <c r="R2396" s="32" t="str">
        <f>IFERROR(VLOOKUP($D2396,'Informations sur les produits'!$A$3:$B$15000,2,FALSE),"")</f>
        <v/>
      </c>
      <c r="V2396">
        <f t="shared" si="150"/>
        <v>0</v>
      </c>
      <c r="W2396">
        <f t="shared" si="151"/>
        <v>0</v>
      </c>
    </row>
    <row r="2397" spans="5:23" x14ac:dyDescent="0.25">
      <c r="E2397" s="4"/>
      <c r="F2397" s="4"/>
      <c r="G2397" s="33" t="str">
        <f>IFERROR(VLOOKUP($D2397,'Informations sur les produits'!$A$3:$H$10000,8,FALSE),"0")</f>
        <v>0</v>
      </c>
      <c r="K2397" s="4"/>
      <c r="L2397" s="33" t="str">
        <f>IFERROR(VLOOKUP($J2397,'Informations sur les produits'!$A$3:$H$10000,8,FALSE),"0")</f>
        <v>0</v>
      </c>
      <c r="N2397" s="8"/>
      <c r="O2397" s="33" t="str">
        <f>IFERROR(VLOOKUP($M2397,'Informations sur les produits'!$A$3:$H$10000,8,FALSE),"0")</f>
        <v>0</v>
      </c>
      <c r="P2397" s="33">
        <f t="shared" si="148"/>
        <v>0</v>
      </c>
      <c r="Q2397" s="31" t="str">
        <f t="shared" si="149"/>
        <v/>
      </c>
      <c r="R2397" s="32" t="str">
        <f>IFERROR(VLOOKUP($D2397,'Informations sur les produits'!$A$3:$B$15000,2,FALSE),"")</f>
        <v/>
      </c>
      <c r="V2397">
        <f t="shared" si="150"/>
        <v>0</v>
      </c>
      <c r="W2397">
        <f t="shared" si="151"/>
        <v>0</v>
      </c>
    </row>
    <row r="2398" spans="5:23" x14ac:dyDescent="0.25">
      <c r="E2398" s="4"/>
      <c r="F2398" s="4"/>
      <c r="G2398" s="33" t="str">
        <f>IFERROR(VLOOKUP($D2398,'Informations sur les produits'!$A$3:$H$10000,8,FALSE),"0")</f>
        <v>0</v>
      </c>
      <c r="K2398" s="4"/>
      <c r="L2398" s="33" t="str">
        <f>IFERROR(VLOOKUP($J2398,'Informations sur les produits'!$A$3:$H$10000,8,FALSE),"0")</f>
        <v>0</v>
      </c>
      <c r="N2398" s="8"/>
      <c r="O2398" s="33" t="str">
        <f>IFERROR(VLOOKUP($M2398,'Informations sur les produits'!$A$3:$H$10000,8,FALSE),"0")</f>
        <v>0</v>
      </c>
      <c r="P2398" s="33">
        <f t="shared" si="148"/>
        <v>0</v>
      </c>
      <c r="Q2398" s="31" t="str">
        <f t="shared" si="149"/>
        <v/>
      </c>
      <c r="R2398" s="32" t="str">
        <f>IFERROR(VLOOKUP($D2398,'Informations sur les produits'!$A$3:$B$15000,2,FALSE),"")</f>
        <v/>
      </c>
      <c r="V2398">
        <f t="shared" si="150"/>
        <v>0</v>
      </c>
      <c r="W2398">
        <f t="shared" si="151"/>
        <v>0</v>
      </c>
    </row>
    <row r="2399" spans="5:23" x14ac:dyDescent="0.25">
      <c r="E2399" s="4"/>
      <c r="F2399" s="4"/>
      <c r="G2399" s="33" t="str">
        <f>IFERROR(VLOOKUP($D2399,'Informations sur les produits'!$A$3:$H$10000,8,FALSE),"0")</f>
        <v>0</v>
      </c>
      <c r="K2399" s="4"/>
      <c r="L2399" s="33" t="str">
        <f>IFERROR(VLOOKUP($J2399,'Informations sur les produits'!$A$3:$H$10000,8,FALSE),"0")</f>
        <v>0</v>
      </c>
      <c r="N2399" s="8"/>
      <c r="O2399" s="33" t="str">
        <f>IFERROR(VLOOKUP($M2399,'Informations sur les produits'!$A$3:$H$10000,8,FALSE),"0")</f>
        <v>0</v>
      </c>
      <c r="P2399" s="33">
        <f t="shared" si="148"/>
        <v>0</v>
      </c>
      <c r="Q2399" s="31" t="str">
        <f t="shared" si="149"/>
        <v/>
      </c>
      <c r="R2399" s="32" t="str">
        <f>IFERROR(VLOOKUP($D2399,'Informations sur les produits'!$A$3:$B$15000,2,FALSE),"")</f>
        <v/>
      </c>
      <c r="V2399">
        <f t="shared" si="150"/>
        <v>0</v>
      </c>
      <c r="W2399">
        <f t="shared" si="151"/>
        <v>0</v>
      </c>
    </row>
    <row r="2400" spans="5:23" x14ac:dyDescent="0.25">
      <c r="E2400" s="4"/>
      <c r="F2400" s="4"/>
      <c r="G2400" s="33" t="str">
        <f>IFERROR(VLOOKUP($D2400,'Informations sur les produits'!$A$3:$H$10000,8,FALSE),"0")</f>
        <v>0</v>
      </c>
      <c r="K2400" s="4"/>
      <c r="L2400" s="33" t="str">
        <f>IFERROR(VLOOKUP($J2400,'Informations sur les produits'!$A$3:$H$10000,8,FALSE),"0")</f>
        <v>0</v>
      </c>
      <c r="N2400" s="8"/>
      <c r="O2400" s="33" t="str">
        <f>IFERROR(VLOOKUP($M2400,'Informations sur les produits'!$A$3:$H$10000,8,FALSE),"0")</f>
        <v>0</v>
      </c>
      <c r="P2400" s="33">
        <f t="shared" si="148"/>
        <v>0</v>
      </c>
      <c r="Q2400" s="31" t="str">
        <f t="shared" si="149"/>
        <v/>
      </c>
      <c r="R2400" s="32" t="str">
        <f>IFERROR(VLOOKUP($D2400,'Informations sur les produits'!$A$3:$B$15000,2,FALSE),"")</f>
        <v/>
      </c>
      <c r="V2400">
        <f t="shared" si="150"/>
        <v>0</v>
      </c>
      <c r="W2400">
        <f t="shared" si="151"/>
        <v>0</v>
      </c>
    </row>
    <row r="2401" spans="5:23" x14ac:dyDescent="0.25">
      <c r="E2401" s="4"/>
      <c r="F2401" s="4"/>
      <c r="G2401" s="33" t="str">
        <f>IFERROR(VLOOKUP($D2401,'Informations sur les produits'!$A$3:$H$10000,8,FALSE),"0")</f>
        <v>0</v>
      </c>
      <c r="K2401" s="4"/>
      <c r="L2401" s="33" t="str">
        <f>IFERROR(VLOOKUP($J2401,'Informations sur les produits'!$A$3:$H$10000,8,FALSE),"0")</f>
        <v>0</v>
      </c>
      <c r="N2401" s="8"/>
      <c r="O2401" s="33" t="str">
        <f>IFERROR(VLOOKUP($M2401,'Informations sur les produits'!$A$3:$H$10000,8,FALSE),"0")</f>
        <v>0</v>
      </c>
      <c r="P2401" s="33">
        <f t="shared" si="148"/>
        <v>0</v>
      </c>
      <c r="Q2401" s="31" t="str">
        <f t="shared" si="149"/>
        <v/>
      </c>
      <c r="R2401" s="32" t="str">
        <f>IFERROR(VLOOKUP($D2401,'Informations sur les produits'!$A$3:$B$15000,2,FALSE),"")</f>
        <v/>
      </c>
      <c r="V2401">
        <f t="shared" si="150"/>
        <v>0</v>
      </c>
      <c r="W2401">
        <f t="shared" si="151"/>
        <v>0</v>
      </c>
    </row>
    <row r="2402" spans="5:23" x14ac:dyDescent="0.25">
      <c r="E2402" s="4"/>
      <c r="F2402" s="4"/>
      <c r="G2402" s="33" t="str">
        <f>IFERROR(VLOOKUP($D2402,'Informations sur les produits'!$A$3:$H$10000,8,FALSE),"0")</f>
        <v>0</v>
      </c>
      <c r="K2402" s="4"/>
      <c r="L2402" s="33" t="str">
        <f>IFERROR(VLOOKUP($J2402,'Informations sur les produits'!$A$3:$H$10000,8,FALSE),"0")</f>
        <v>0</v>
      </c>
      <c r="N2402" s="8"/>
      <c r="O2402" s="33" t="str">
        <f>IFERROR(VLOOKUP($M2402,'Informations sur les produits'!$A$3:$H$10000,8,FALSE),"0")</f>
        <v>0</v>
      </c>
      <c r="P2402" s="33">
        <f t="shared" si="148"/>
        <v>0</v>
      </c>
      <c r="Q2402" s="31" t="str">
        <f t="shared" si="149"/>
        <v/>
      </c>
      <c r="R2402" s="32" t="str">
        <f>IFERROR(VLOOKUP($D2402,'Informations sur les produits'!$A$3:$B$15000,2,FALSE),"")</f>
        <v/>
      </c>
      <c r="V2402">
        <f t="shared" si="150"/>
        <v>0</v>
      </c>
      <c r="W2402">
        <f t="shared" si="151"/>
        <v>0</v>
      </c>
    </row>
    <row r="2403" spans="5:23" x14ac:dyDescent="0.25">
      <c r="E2403" s="4"/>
      <c r="F2403" s="4"/>
      <c r="G2403" s="33" t="str">
        <f>IFERROR(VLOOKUP($D2403,'Informations sur les produits'!$A$3:$H$10000,8,FALSE),"0")</f>
        <v>0</v>
      </c>
      <c r="K2403" s="4"/>
      <c r="L2403" s="33" t="str">
        <f>IFERROR(VLOOKUP($J2403,'Informations sur les produits'!$A$3:$H$10000,8,FALSE),"0")</f>
        <v>0</v>
      </c>
      <c r="N2403" s="8"/>
      <c r="O2403" s="33" t="str">
        <f>IFERROR(VLOOKUP($M2403,'Informations sur les produits'!$A$3:$H$10000,8,FALSE),"0")</f>
        <v>0</v>
      </c>
      <c r="P2403" s="33">
        <f t="shared" si="148"/>
        <v>0</v>
      </c>
      <c r="Q2403" s="31" t="str">
        <f t="shared" si="149"/>
        <v/>
      </c>
      <c r="R2403" s="32" t="str">
        <f>IFERROR(VLOOKUP($D2403,'Informations sur les produits'!$A$3:$B$15000,2,FALSE),"")</f>
        <v/>
      </c>
      <c r="V2403">
        <f t="shared" si="150"/>
        <v>0</v>
      </c>
      <c r="W2403">
        <f t="shared" si="151"/>
        <v>0</v>
      </c>
    </row>
    <row r="2404" spans="5:23" x14ac:dyDescent="0.25">
      <c r="E2404" s="4"/>
      <c r="F2404" s="4"/>
      <c r="G2404" s="33" t="str">
        <f>IFERROR(VLOOKUP($D2404,'Informations sur les produits'!$A$3:$H$10000,8,FALSE),"0")</f>
        <v>0</v>
      </c>
      <c r="K2404" s="4"/>
      <c r="L2404" s="33" t="str">
        <f>IFERROR(VLOOKUP($J2404,'Informations sur les produits'!$A$3:$H$10000,8,FALSE),"0")</f>
        <v>0</v>
      </c>
      <c r="N2404" s="8"/>
      <c r="O2404" s="33" t="str">
        <f>IFERROR(VLOOKUP($M2404,'Informations sur les produits'!$A$3:$H$10000,8,FALSE),"0")</f>
        <v>0</v>
      </c>
      <c r="P2404" s="33">
        <f t="shared" si="148"/>
        <v>0</v>
      </c>
      <c r="Q2404" s="31" t="str">
        <f t="shared" si="149"/>
        <v/>
      </c>
      <c r="R2404" s="32" t="str">
        <f>IFERROR(VLOOKUP($D2404,'Informations sur les produits'!$A$3:$B$15000,2,FALSE),"")</f>
        <v/>
      </c>
      <c r="V2404">
        <f t="shared" si="150"/>
        <v>0</v>
      </c>
      <c r="W2404">
        <f t="shared" si="151"/>
        <v>0</v>
      </c>
    </row>
    <row r="2405" spans="5:23" x14ac:dyDescent="0.25">
      <c r="E2405" s="4"/>
      <c r="F2405" s="4"/>
      <c r="G2405" s="33" t="str">
        <f>IFERROR(VLOOKUP($D2405,'Informations sur les produits'!$A$3:$H$10000,8,FALSE),"0")</f>
        <v>0</v>
      </c>
      <c r="K2405" s="4"/>
      <c r="L2405" s="33" t="str">
        <f>IFERROR(VLOOKUP($J2405,'Informations sur les produits'!$A$3:$H$10000,8,FALSE),"0")</f>
        <v>0</v>
      </c>
      <c r="N2405" s="8"/>
      <c r="O2405" s="33" t="str">
        <f>IFERROR(VLOOKUP($M2405,'Informations sur les produits'!$A$3:$H$10000,8,FALSE),"0")</f>
        <v>0</v>
      </c>
      <c r="P2405" s="33">
        <f t="shared" si="148"/>
        <v>0</v>
      </c>
      <c r="Q2405" s="31" t="str">
        <f t="shared" si="149"/>
        <v/>
      </c>
      <c r="R2405" s="32" t="str">
        <f>IFERROR(VLOOKUP($D2405,'Informations sur les produits'!$A$3:$B$15000,2,FALSE),"")</f>
        <v/>
      </c>
      <c r="V2405">
        <f t="shared" si="150"/>
        <v>0</v>
      </c>
      <c r="W2405">
        <f t="shared" si="151"/>
        <v>0</v>
      </c>
    </row>
    <row r="2406" spans="5:23" x14ac:dyDescent="0.25">
      <c r="E2406" s="4"/>
      <c r="F2406" s="4"/>
      <c r="G2406" s="33" t="str">
        <f>IFERROR(VLOOKUP($D2406,'Informations sur les produits'!$A$3:$H$10000,8,FALSE),"0")</f>
        <v>0</v>
      </c>
      <c r="K2406" s="4"/>
      <c r="L2406" s="33" t="str">
        <f>IFERROR(VLOOKUP($J2406,'Informations sur les produits'!$A$3:$H$10000,8,FALSE),"0")</f>
        <v>0</v>
      </c>
      <c r="N2406" s="8"/>
      <c r="O2406" s="33" t="str">
        <f>IFERROR(VLOOKUP($M2406,'Informations sur les produits'!$A$3:$H$10000,8,FALSE),"0")</f>
        <v>0</v>
      </c>
      <c r="P2406" s="33">
        <f t="shared" si="148"/>
        <v>0</v>
      </c>
      <c r="Q2406" s="31" t="str">
        <f t="shared" si="149"/>
        <v/>
      </c>
      <c r="R2406" s="32" t="str">
        <f>IFERROR(VLOOKUP($D2406,'Informations sur les produits'!$A$3:$B$15000,2,FALSE),"")</f>
        <v/>
      </c>
      <c r="V2406">
        <f t="shared" si="150"/>
        <v>0</v>
      </c>
      <c r="W2406">
        <f t="shared" si="151"/>
        <v>0</v>
      </c>
    </row>
    <row r="2407" spans="5:23" x14ac:dyDescent="0.25">
      <c r="E2407" s="4"/>
      <c r="F2407" s="4"/>
      <c r="G2407" s="33" t="str">
        <f>IFERROR(VLOOKUP($D2407,'Informations sur les produits'!$A$3:$H$10000,8,FALSE),"0")</f>
        <v>0</v>
      </c>
      <c r="K2407" s="4"/>
      <c r="L2407" s="33" t="str">
        <f>IFERROR(VLOOKUP($J2407,'Informations sur les produits'!$A$3:$H$10000,8,FALSE),"0")</f>
        <v>0</v>
      </c>
      <c r="N2407" s="8"/>
      <c r="O2407" s="33" t="str">
        <f>IFERROR(VLOOKUP($M2407,'Informations sur les produits'!$A$3:$H$10000,8,FALSE),"0")</f>
        <v>0</v>
      </c>
      <c r="P2407" s="33">
        <f t="shared" si="148"/>
        <v>0</v>
      </c>
      <c r="Q2407" s="31" t="str">
        <f t="shared" si="149"/>
        <v/>
      </c>
      <c r="R2407" s="32" t="str">
        <f>IFERROR(VLOOKUP($D2407,'Informations sur les produits'!$A$3:$B$15000,2,FALSE),"")</f>
        <v/>
      </c>
      <c r="V2407">
        <f t="shared" si="150"/>
        <v>0</v>
      </c>
      <c r="W2407">
        <f t="shared" si="151"/>
        <v>0</v>
      </c>
    </row>
    <row r="2408" spans="5:23" x14ac:dyDescent="0.25">
      <c r="E2408" s="4"/>
      <c r="F2408" s="4"/>
      <c r="G2408" s="33" t="str">
        <f>IFERROR(VLOOKUP($D2408,'Informations sur les produits'!$A$3:$H$10000,8,FALSE),"0")</f>
        <v>0</v>
      </c>
      <c r="K2408" s="4"/>
      <c r="L2408" s="33" t="str">
        <f>IFERROR(VLOOKUP($J2408,'Informations sur les produits'!$A$3:$H$10000,8,FALSE),"0")</f>
        <v>0</v>
      </c>
      <c r="N2408" s="8"/>
      <c r="O2408" s="33" t="str">
        <f>IFERROR(VLOOKUP($M2408,'Informations sur les produits'!$A$3:$H$10000,8,FALSE),"0")</f>
        <v>0</v>
      </c>
      <c r="P2408" s="33">
        <f t="shared" si="148"/>
        <v>0</v>
      </c>
      <c r="Q2408" s="31" t="str">
        <f t="shared" si="149"/>
        <v/>
      </c>
      <c r="R2408" s="32" t="str">
        <f>IFERROR(VLOOKUP($D2408,'Informations sur les produits'!$A$3:$B$15000,2,FALSE),"")</f>
        <v/>
      </c>
      <c r="V2408">
        <f t="shared" si="150"/>
        <v>0</v>
      </c>
      <c r="W2408">
        <f t="shared" si="151"/>
        <v>0</v>
      </c>
    </row>
    <row r="2409" spans="5:23" x14ac:dyDescent="0.25">
      <c r="E2409" s="4"/>
      <c r="F2409" s="4"/>
      <c r="G2409" s="33" t="str">
        <f>IFERROR(VLOOKUP($D2409,'Informations sur les produits'!$A$3:$H$10000,8,FALSE),"0")</f>
        <v>0</v>
      </c>
      <c r="K2409" s="4"/>
      <c r="L2409" s="33" t="str">
        <f>IFERROR(VLOOKUP($J2409,'Informations sur les produits'!$A$3:$H$10000,8,FALSE),"0")</f>
        <v>0</v>
      </c>
      <c r="N2409" s="8"/>
      <c r="O2409" s="33" t="str">
        <f>IFERROR(VLOOKUP($M2409,'Informations sur les produits'!$A$3:$H$10000,8,FALSE),"0")</f>
        <v>0</v>
      </c>
      <c r="P2409" s="33">
        <f t="shared" si="148"/>
        <v>0</v>
      </c>
      <c r="Q2409" s="31" t="str">
        <f t="shared" si="149"/>
        <v/>
      </c>
      <c r="R2409" s="32" t="str">
        <f>IFERROR(VLOOKUP($D2409,'Informations sur les produits'!$A$3:$B$15000,2,FALSE),"")</f>
        <v/>
      </c>
      <c r="V2409">
        <f t="shared" si="150"/>
        <v>0</v>
      </c>
      <c r="W2409">
        <f t="shared" si="151"/>
        <v>0</v>
      </c>
    </row>
    <row r="2410" spans="5:23" x14ac:dyDescent="0.25">
      <c r="E2410" s="4"/>
      <c r="F2410" s="4"/>
      <c r="G2410" s="33" t="str">
        <f>IFERROR(VLOOKUP($D2410,'Informations sur les produits'!$A$3:$H$10000,8,FALSE),"0")</f>
        <v>0</v>
      </c>
      <c r="K2410" s="4"/>
      <c r="L2410" s="33" t="str">
        <f>IFERROR(VLOOKUP($J2410,'Informations sur les produits'!$A$3:$H$10000,8,FALSE),"0")</f>
        <v>0</v>
      </c>
      <c r="N2410" s="8"/>
      <c r="O2410" s="33" t="str">
        <f>IFERROR(VLOOKUP($M2410,'Informations sur les produits'!$A$3:$H$10000,8,FALSE),"0")</f>
        <v>0</v>
      </c>
      <c r="P2410" s="33">
        <f t="shared" si="148"/>
        <v>0</v>
      </c>
      <c r="Q2410" s="31" t="str">
        <f t="shared" si="149"/>
        <v/>
      </c>
      <c r="R2410" s="32" t="str">
        <f>IFERROR(VLOOKUP($D2410,'Informations sur les produits'!$A$3:$B$15000,2,FALSE),"")</f>
        <v/>
      </c>
      <c r="V2410">
        <f t="shared" si="150"/>
        <v>0</v>
      </c>
      <c r="W2410">
        <f t="shared" si="151"/>
        <v>0</v>
      </c>
    </row>
    <row r="2411" spans="5:23" x14ac:dyDescent="0.25">
      <c r="E2411" s="4"/>
      <c r="F2411" s="4"/>
      <c r="G2411" s="33" t="str">
        <f>IFERROR(VLOOKUP($D2411,'Informations sur les produits'!$A$3:$H$10000,8,FALSE),"0")</f>
        <v>0</v>
      </c>
      <c r="K2411" s="4"/>
      <c r="L2411" s="33" t="str">
        <f>IFERROR(VLOOKUP($J2411,'Informations sur les produits'!$A$3:$H$10000,8,FALSE),"0")</f>
        <v>0</v>
      </c>
      <c r="N2411" s="8"/>
      <c r="O2411" s="33" t="str">
        <f>IFERROR(VLOOKUP($M2411,'Informations sur les produits'!$A$3:$H$10000,8,FALSE),"0")</f>
        <v>0</v>
      </c>
      <c r="P2411" s="33">
        <f t="shared" si="148"/>
        <v>0</v>
      </c>
      <c r="Q2411" s="31" t="str">
        <f t="shared" si="149"/>
        <v/>
      </c>
      <c r="R2411" s="32" t="str">
        <f>IFERROR(VLOOKUP($D2411,'Informations sur les produits'!$A$3:$B$15000,2,FALSE),"")</f>
        <v/>
      </c>
      <c r="V2411">
        <f t="shared" si="150"/>
        <v>0</v>
      </c>
      <c r="W2411">
        <f t="shared" si="151"/>
        <v>0</v>
      </c>
    </row>
    <row r="2412" spans="5:23" x14ac:dyDescent="0.25">
      <c r="E2412" s="4"/>
      <c r="F2412" s="4"/>
      <c r="G2412" s="33" t="str">
        <f>IFERROR(VLOOKUP($D2412,'Informations sur les produits'!$A$3:$H$10000,8,FALSE),"0")</f>
        <v>0</v>
      </c>
      <c r="K2412" s="4"/>
      <c r="L2412" s="33" t="str">
        <f>IFERROR(VLOOKUP($J2412,'Informations sur les produits'!$A$3:$H$10000,8,FALSE),"0")</f>
        <v>0</v>
      </c>
      <c r="N2412" s="8"/>
      <c r="O2412" s="33" t="str">
        <f>IFERROR(VLOOKUP($M2412,'Informations sur les produits'!$A$3:$H$10000,8,FALSE),"0")</f>
        <v>0</v>
      </c>
      <c r="P2412" s="33">
        <f t="shared" si="148"/>
        <v>0</v>
      </c>
      <c r="Q2412" s="31" t="str">
        <f t="shared" si="149"/>
        <v/>
      </c>
      <c r="R2412" s="32" t="str">
        <f>IFERROR(VLOOKUP($D2412,'Informations sur les produits'!$A$3:$B$15000,2,FALSE),"")</f>
        <v/>
      </c>
      <c r="V2412">
        <f t="shared" si="150"/>
        <v>0</v>
      </c>
      <c r="W2412">
        <f t="shared" si="151"/>
        <v>0</v>
      </c>
    </row>
    <row r="2413" spans="5:23" x14ac:dyDescent="0.25">
      <c r="E2413" s="4"/>
      <c r="F2413" s="4"/>
      <c r="G2413" s="33" t="str">
        <f>IFERROR(VLOOKUP($D2413,'Informations sur les produits'!$A$3:$H$10000,8,FALSE),"0")</f>
        <v>0</v>
      </c>
      <c r="K2413" s="4"/>
      <c r="L2413" s="33" t="str">
        <f>IFERROR(VLOOKUP($J2413,'Informations sur les produits'!$A$3:$H$10000,8,FALSE),"0")</f>
        <v>0</v>
      </c>
      <c r="N2413" s="8"/>
      <c r="O2413" s="33" t="str">
        <f>IFERROR(VLOOKUP($M2413,'Informations sur les produits'!$A$3:$H$10000,8,FALSE),"0")</f>
        <v>0</v>
      </c>
      <c r="P2413" s="33">
        <f t="shared" si="148"/>
        <v>0</v>
      </c>
      <c r="Q2413" s="31" t="str">
        <f t="shared" si="149"/>
        <v/>
      </c>
      <c r="R2413" s="32" t="str">
        <f>IFERROR(VLOOKUP($D2413,'Informations sur les produits'!$A$3:$B$15000,2,FALSE),"")</f>
        <v/>
      </c>
      <c r="V2413">
        <f t="shared" si="150"/>
        <v>0</v>
      </c>
      <c r="W2413">
        <f t="shared" si="151"/>
        <v>0</v>
      </c>
    </row>
    <row r="2414" spans="5:23" x14ac:dyDescent="0.25">
      <c r="E2414" s="4"/>
      <c r="F2414" s="4"/>
      <c r="G2414" s="33" t="str">
        <f>IFERROR(VLOOKUP($D2414,'Informations sur les produits'!$A$3:$H$10000,8,FALSE),"0")</f>
        <v>0</v>
      </c>
      <c r="K2414" s="4"/>
      <c r="L2414" s="33" t="str">
        <f>IFERROR(VLOOKUP($J2414,'Informations sur les produits'!$A$3:$H$10000,8,FALSE),"0")</f>
        <v>0</v>
      </c>
      <c r="N2414" s="8"/>
      <c r="O2414" s="33" t="str">
        <f>IFERROR(VLOOKUP($M2414,'Informations sur les produits'!$A$3:$H$10000,8,FALSE),"0")</f>
        <v>0</v>
      </c>
      <c r="P2414" s="33">
        <f t="shared" si="148"/>
        <v>0</v>
      </c>
      <c r="Q2414" s="31" t="str">
        <f t="shared" si="149"/>
        <v/>
      </c>
      <c r="R2414" s="32" t="str">
        <f>IFERROR(VLOOKUP($D2414,'Informations sur les produits'!$A$3:$B$15000,2,FALSE),"")</f>
        <v/>
      </c>
      <c r="V2414">
        <f t="shared" si="150"/>
        <v>0</v>
      </c>
      <c r="W2414">
        <f t="shared" si="151"/>
        <v>0</v>
      </c>
    </row>
    <row r="2415" spans="5:23" x14ac:dyDescent="0.25">
      <c r="E2415" s="4"/>
      <c r="F2415" s="4"/>
      <c r="G2415" s="33" t="str">
        <f>IFERROR(VLOOKUP($D2415,'Informations sur les produits'!$A$3:$H$10000,8,FALSE),"0")</f>
        <v>0</v>
      </c>
      <c r="K2415" s="4"/>
      <c r="L2415" s="33" t="str">
        <f>IFERROR(VLOOKUP($J2415,'Informations sur les produits'!$A$3:$H$10000,8,FALSE),"0")</f>
        <v>0</v>
      </c>
      <c r="N2415" s="8"/>
      <c r="O2415" s="33" t="str">
        <f>IFERROR(VLOOKUP($M2415,'Informations sur les produits'!$A$3:$H$10000,8,FALSE),"0")</f>
        <v>0</v>
      </c>
      <c r="P2415" s="33">
        <f t="shared" si="148"/>
        <v>0</v>
      </c>
      <c r="Q2415" s="31" t="str">
        <f t="shared" si="149"/>
        <v/>
      </c>
      <c r="R2415" s="32" t="str">
        <f>IFERROR(VLOOKUP($D2415,'Informations sur les produits'!$A$3:$B$15000,2,FALSE),"")</f>
        <v/>
      </c>
      <c r="V2415">
        <f t="shared" si="150"/>
        <v>0</v>
      </c>
      <c r="W2415">
        <f t="shared" si="151"/>
        <v>0</v>
      </c>
    </row>
    <row r="2416" spans="5:23" x14ac:dyDescent="0.25">
      <c r="E2416" s="4"/>
      <c r="F2416" s="4"/>
      <c r="G2416" s="33" t="str">
        <f>IFERROR(VLOOKUP($D2416,'Informations sur les produits'!$A$3:$H$10000,8,FALSE),"0")</f>
        <v>0</v>
      </c>
      <c r="K2416" s="4"/>
      <c r="L2416" s="33" t="str">
        <f>IFERROR(VLOOKUP($J2416,'Informations sur les produits'!$A$3:$H$10000,8,FALSE),"0")</f>
        <v>0</v>
      </c>
      <c r="N2416" s="8"/>
      <c r="O2416" s="33" t="str">
        <f>IFERROR(VLOOKUP($M2416,'Informations sur les produits'!$A$3:$H$10000,8,FALSE),"0")</f>
        <v>0</v>
      </c>
      <c r="P2416" s="33">
        <f t="shared" si="148"/>
        <v>0</v>
      </c>
      <c r="Q2416" s="31" t="str">
        <f t="shared" si="149"/>
        <v/>
      </c>
      <c r="R2416" s="32" t="str">
        <f>IFERROR(VLOOKUP($D2416,'Informations sur les produits'!$A$3:$B$15000,2,FALSE),"")</f>
        <v/>
      </c>
      <c r="V2416">
        <f t="shared" si="150"/>
        <v>0</v>
      </c>
      <c r="W2416">
        <f t="shared" si="151"/>
        <v>0</v>
      </c>
    </row>
    <row r="2417" spans="5:23" x14ac:dyDescent="0.25">
      <c r="E2417" s="4"/>
      <c r="F2417" s="4"/>
      <c r="G2417" s="33" t="str">
        <f>IFERROR(VLOOKUP($D2417,'Informations sur les produits'!$A$3:$H$10000,8,FALSE),"0")</f>
        <v>0</v>
      </c>
      <c r="K2417" s="4"/>
      <c r="L2417" s="33" t="str">
        <f>IFERROR(VLOOKUP($J2417,'Informations sur les produits'!$A$3:$H$10000,8,FALSE),"0")</f>
        <v>0</v>
      </c>
      <c r="N2417" s="8"/>
      <c r="O2417" s="33" t="str">
        <f>IFERROR(VLOOKUP($M2417,'Informations sur les produits'!$A$3:$H$10000,8,FALSE),"0")</f>
        <v>0</v>
      </c>
      <c r="P2417" s="33">
        <f t="shared" si="148"/>
        <v>0</v>
      </c>
      <c r="Q2417" s="31" t="str">
        <f t="shared" si="149"/>
        <v/>
      </c>
      <c r="R2417" s="32" t="str">
        <f>IFERROR(VLOOKUP($D2417,'Informations sur les produits'!$A$3:$B$15000,2,FALSE),"")</f>
        <v/>
      </c>
      <c r="V2417">
        <f t="shared" si="150"/>
        <v>0</v>
      </c>
      <c r="W2417">
        <f t="shared" si="151"/>
        <v>0</v>
      </c>
    </row>
    <row r="2418" spans="5:23" x14ac:dyDescent="0.25">
      <c r="E2418" s="4"/>
      <c r="F2418" s="4"/>
      <c r="G2418" s="33" t="str">
        <f>IFERROR(VLOOKUP($D2418,'Informations sur les produits'!$A$3:$H$10000,8,FALSE),"0")</f>
        <v>0</v>
      </c>
      <c r="K2418" s="4"/>
      <c r="L2418" s="33" t="str">
        <f>IFERROR(VLOOKUP($J2418,'Informations sur les produits'!$A$3:$H$10000,8,FALSE),"0")</f>
        <v>0</v>
      </c>
      <c r="N2418" s="8"/>
      <c r="O2418" s="33" t="str">
        <f>IFERROR(VLOOKUP($M2418,'Informations sur les produits'!$A$3:$H$10000,8,FALSE),"0")</f>
        <v>0</v>
      </c>
      <c r="P2418" s="33">
        <f t="shared" si="148"/>
        <v>0</v>
      </c>
      <c r="Q2418" s="31" t="str">
        <f t="shared" si="149"/>
        <v/>
      </c>
      <c r="R2418" s="32" t="str">
        <f>IFERROR(VLOOKUP($D2418,'Informations sur les produits'!$A$3:$B$15000,2,FALSE),"")</f>
        <v/>
      </c>
      <c r="V2418">
        <f t="shared" si="150"/>
        <v>0</v>
      </c>
      <c r="W2418">
        <f t="shared" si="151"/>
        <v>0</v>
      </c>
    </row>
    <row r="2419" spans="5:23" x14ac:dyDescent="0.25">
      <c r="E2419" s="4"/>
      <c r="F2419" s="4"/>
      <c r="G2419" s="33" t="str">
        <f>IFERROR(VLOOKUP($D2419,'Informations sur les produits'!$A$3:$H$10000,8,FALSE),"0")</f>
        <v>0</v>
      </c>
      <c r="K2419" s="4"/>
      <c r="L2419" s="33" t="str">
        <f>IFERROR(VLOOKUP($J2419,'Informations sur les produits'!$A$3:$H$10000,8,FALSE),"0")</f>
        <v>0</v>
      </c>
      <c r="N2419" s="8"/>
      <c r="O2419" s="33" t="str">
        <f>IFERROR(VLOOKUP($M2419,'Informations sur les produits'!$A$3:$H$10000,8,FALSE),"0")</f>
        <v>0</v>
      </c>
      <c r="P2419" s="33">
        <f t="shared" si="148"/>
        <v>0</v>
      </c>
      <c r="Q2419" s="31" t="str">
        <f t="shared" si="149"/>
        <v/>
      </c>
      <c r="R2419" s="32" t="str">
        <f>IFERROR(VLOOKUP($D2419,'Informations sur les produits'!$A$3:$B$15000,2,FALSE),"")</f>
        <v/>
      </c>
      <c r="V2419">
        <f t="shared" si="150"/>
        <v>0</v>
      </c>
      <c r="W2419">
        <f t="shared" si="151"/>
        <v>0</v>
      </c>
    </row>
    <row r="2420" spans="5:23" x14ac:dyDescent="0.25">
      <c r="E2420" s="4"/>
      <c r="F2420" s="4"/>
      <c r="G2420" s="33" t="str">
        <f>IFERROR(VLOOKUP($D2420,'Informations sur les produits'!$A$3:$H$10000,8,FALSE),"0")</f>
        <v>0</v>
      </c>
      <c r="K2420" s="4"/>
      <c r="L2420" s="33" t="str">
        <f>IFERROR(VLOOKUP($J2420,'Informations sur les produits'!$A$3:$H$10000,8,FALSE),"0")</f>
        <v>0</v>
      </c>
      <c r="N2420" s="8"/>
      <c r="O2420" s="33" t="str">
        <f>IFERROR(VLOOKUP($M2420,'Informations sur les produits'!$A$3:$H$10000,8,FALSE),"0")</f>
        <v>0</v>
      </c>
      <c r="P2420" s="33">
        <f t="shared" si="148"/>
        <v>0</v>
      </c>
      <c r="Q2420" s="31" t="str">
        <f t="shared" si="149"/>
        <v/>
      </c>
      <c r="R2420" s="32" t="str">
        <f>IFERROR(VLOOKUP($D2420,'Informations sur les produits'!$A$3:$B$15000,2,FALSE),"")</f>
        <v/>
      </c>
      <c r="V2420">
        <f t="shared" si="150"/>
        <v>0</v>
      </c>
      <c r="W2420">
        <f t="shared" si="151"/>
        <v>0</v>
      </c>
    </row>
    <row r="2421" spans="5:23" x14ac:dyDescent="0.25">
      <c r="E2421" s="4"/>
      <c r="F2421" s="4"/>
      <c r="G2421" s="33" t="str">
        <f>IFERROR(VLOOKUP($D2421,'Informations sur les produits'!$A$3:$H$10000,8,FALSE),"0")</f>
        <v>0</v>
      </c>
      <c r="K2421" s="4"/>
      <c r="L2421" s="33" t="str">
        <f>IFERROR(VLOOKUP($J2421,'Informations sur les produits'!$A$3:$H$10000,8,FALSE),"0")</f>
        <v>0</v>
      </c>
      <c r="N2421" s="8"/>
      <c r="O2421" s="33" t="str">
        <f>IFERROR(VLOOKUP($M2421,'Informations sur les produits'!$A$3:$H$10000,8,FALSE),"0")</f>
        <v>0</v>
      </c>
      <c r="P2421" s="33">
        <f t="shared" si="148"/>
        <v>0</v>
      </c>
      <c r="Q2421" s="31" t="str">
        <f t="shared" si="149"/>
        <v/>
      </c>
      <c r="R2421" s="32" t="str">
        <f>IFERROR(VLOOKUP($D2421,'Informations sur les produits'!$A$3:$B$15000,2,FALSE),"")</f>
        <v/>
      </c>
      <c r="V2421">
        <f t="shared" si="150"/>
        <v>0</v>
      </c>
      <c r="W2421">
        <f t="shared" si="151"/>
        <v>0</v>
      </c>
    </row>
    <row r="2422" spans="5:23" x14ac:dyDescent="0.25">
      <c r="E2422" s="4"/>
      <c r="F2422" s="4"/>
      <c r="G2422" s="33" t="str">
        <f>IFERROR(VLOOKUP($D2422,'Informations sur les produits'!$A$3:$H$10000,8,FALSE),"0")</f>
        <v>0</v>
      </c>
      <c r="K2422" s="4"/>
      <c r="L2422" s="33" t="str">
        <f>IFERROR(VLOOKUP($J2422,'Informations sur les produits'!$A$3:$H$10000,8,FALSE),"0")</f>
        <v>0</v>
      </c>
      <c r="N2422" s="8"/>
      <c r="O2422" s="33" t="str">
        <f>IFERROR(VLOOKUP($M2422,'Informations sur les produits'!$A$3:$H$10000,8,FALSE),"0")</f>
        <v>0</v>
      </c>
      <c r="P2422" s="33">
        <f t="shared" si="148"/>
        <v>0</v>
      </c>
      <c r="Q2422" s="31" t="str">
        <f t="shared" si="149"/>
        <v/>
      </c>
      <c r="R2422" s="32" t="str">
        <f>IFERROR(VLOOKUP($D2422,'Informations sur les produits'!$A$3:$B$15000,2,FALSE),"")</f>
        <v/>
      </c>
      <c r="V2422">
        <f t="shared" si="150"/>
        <v>0</v>
      </c>
      <c r="W2422">
        <f t="shared" si="151"/>
        <v>0</v>
      </c>
    </row>
    <row r="2423" spans="5:23" x14ac:dyDescent="0.25">
      <c r="E2423" s="4"/>
      <c r="F2423" s="4"/>
      <c r="G2423" s="33" t="str">
        <f>IFERROR(VLOOKUP($D2423,'Informations sur les produits'!$A$3:$H$10000,8,FALSE),"0")</f>
        <v>0</v>
      </c>
      <c r="K2423" s="4"/>
      <c r="L2423" s="33" t="str">
        <f>IFERROR(VLOOKUP($J2423,'Informations sur les produits'!$A$3:$H$10000,8,FALSE),"0")</f>
        <v>0</v>
      </c>
      <c r="N2423" s="8"/>
      <c r="O2423" s="33" t="str">
        <f>IFERROR(VLOOKUP($M2423,'Informations sur les produits'!$A$3:$H$10000,8,FALSE),"0")</f>
        <v>0</v>
      </c>
      <c r="P2423" s="33">
        <f t="shared" si="148"/>
        <v>0</v>
      </c>
      <c r="Q2423" s="31" t="str">
        <f t="shared" si="149"/>
        <v/>
      </c>
      <c r="R2423" s="32" t="str">
        <f>IFERROR(VLOOKUP($D2423,'Informations sur les produits'!$A$3:$B$15000,2,FALSE),"")</f>
        <v/>
      </c>
      <c r="V2423">
        <f t="shared" si="150"/>
        <v>0</v>
      </c>
      <c r="W2423">
        <f t="shared" si="151"/>
        <v>0</v>
      </c>
    </row>
    <row r="2424" spans="5:23" x14ac:dyDescent="0.25">
      <c r="E2424" s="4"/>
      <c r="F2424" s="4"/>
      <c r="G2424" s="33" t="str">
        <f>IFERROR(VLOOKUP($D2424,'Informations sur les produits'!$A$3:$H$10000,8,FALSE),"0")</f>
        <v>0</v>
      </c>
      <c r="K2424" s="4"/>
      <c r="L2424" s="33" t="str">
        <f>IFERROR(VLOOKUP($J2424,'Informations sur les produits'!$A$3:$H$10000,8,FALSE),"0")</f>
        <v>0</v>
      </c>
      <c r="N2424" s="8"/>
      <c r="O2424" s="33" t="str">
        <f>IFERROR(VLOOKUP($M2424,'Informations sur les produits'!$A$3:$H$10000,8,FALSE),"0")</f>
        <v>0</v>
      </c>
      <c r="P2424" s="33">
        <f t="shared" si="148"/>
        <v>0</v>
      </c>
      <c r="Q2424" s="31" t="str">
        <f t="shared" si="149"/>
        <v/>
      </c>
      <c r="R2424" s="32" t="str">
        <f>IFERROR(VLOOKUP($D2424,'Informations sur les produits'!$A$3:$B$15000,2,FALSE),"")</f>
        <v/>
      </c>
      <c r="V2424">
        <f t="shared" si="150"/>
        <v>0</v>
      </c>
      <c r="W2424">
        <f t="shared" si="151"/>
        <v>0</v>
      </c>
    </row>
    <row r="2425" spans="5:23" x14ac:dyDescent="0.25">
      <c r="E2425" s="4"/>
      <c r="F2425" s="4"/>
      <c r="G2425" s="33" t="str">
        <f>IFERROR(VLOOKUP($D2425,'Informations sur les produits'!$A$3:$H$10000,8,FALSE),"0")</f>
        <v>0</v>
      </c>
      <c r="K2425" s="4"/>
      <c r="L2425" s="33" t="str">
        <f>IFERROR(VLOOKUP($J2425,'Informations sur les produits'!$A$3:$H$10000,8,FALSE),"0")</f>
        <v>0</v>
      </c>
      <c r="N2425" s="8"/>
      <c r="O2425" s="33" t="str">
        <f>IFERROR(VLOOKUP($M2425,'Informations sur les produits'!$A$3:$H$10000,8,FALSE),"0")</f>
        <v>0</v>
      </c>
      <c r="P2425" s="33">
        <f t="shared" si="148"/>
        <v>0</v>
      </c>
      <c r="Q2425" s="31" t="str">
        <f t="shared" si="149"/>
        <v/>
      </c>
      <c r="R2425" s="32" t="str">
        <f>IFERROR(VLOOKUP($D2425,'Informations sur les produits'!$A$3:$B$15000,2,FALSE),"")</f>
        <v/>
      </c>
      <c r="V2425">
        <f t="shared" si="150"/>
        <v>0</v>
      </c>
      <c r="W2425">
        <f t="shared" si="151"/>
        <v>0</v>
      </c>
    </row>
    <row r="2426" spans="5:23" x14ac:dyDescent="0.25">
      <c r="E2426" s="4"/>
      <c r="F2426" s="4"/>
      <c r="G2426" s="33" t="str">
        <f>IFERROR(VLOOKUP($D2426,'Informations sur les produits'!$A$3:$H$10000,8,FALSE),"0")</f>
        <v>0</v>
      </c>
      <c r="K2426" s="4"/>
      <c r="L2426" s="33" t="str">
        <f>IFERROR(VLOOKUP($J2426,'Informations sur les produits'!$A$3:$H$10000,8,FALSE),"0")</f>
        <v>0</v>
      </c>
      <c r="N2426" s="8"/>
      <c r="O2426" s="33" t="str">
        <f>IFERROR(VLOOKUP($M2426,'Informations sur les produits'!$A$3:$H$10000,8,FALSE),"0")</f>
        <v>0</v>
      </c>
      <c r="P2426" s="33">
        <f t="shared" si="148"/>
        <v>0</v>
      </c>
      <c r="Q2426" s="31" t="str">
        <f t="shared" si="149"/>
        <v/>
      </c>
      <c r="R2426" s="32" t="str">
        <f>IFERROR(VLOOKUP($D2426,'Informations sur les produits'!$A$3:$B$15000,2,FALSE),"")</f>
        <v/>
      </c>
      <c r="V2426">
        <f t="shared" si="150"/>
        <v>0</v>
      </c>
      <c r="W2426">
        <f t="shared" si="151"/>
        <v>0</v>
      </c>
    </row>
    <row r="2427" spans="5:23" x14ac:dyDescent="0.25">
      <c r="E2427" s="4"/>
      <c r="F2427" s="4"/>
      <c r="G2427" s="33" t="str">
        <f>IFERROR(VLOOKUP($D2427,'Informations sur les produits'!$A$3:$H$10000,8,FALSE),"0")</f>
        <v>0</v>
      </c>
      <c r="K2427" s="4"/>
      <c r="L2427" s="33" t="str">
        <f>IFERROR(VLOOKUP($J2427,'Informations sur les produits'!$A$3:$H$10000,8,FALSE),"0")</f>
        <v>0</v>
      </c>
      <c r="N2427" s="8"/>
      <c r="O2427" s="33" t="str">
        <f>IFERROR(VLOOKUP($M2427,'Informations sur les produits'!$A$3:$H$10000,8,FALSE),"0")</f>
        <v>0</v>
      </c>
      <c r="P2427" s="33">
        <f t="shared" si="148"/>
        <v>0</v>
      </c>
      <c r="Q2427" s="31" t="str">
        <f t="shared" si="149"/>
        <v/>
      </c>
      <c r="R2427" s="32" t="str">
        <f>IFERROR(VLOOKUP($D2427,'Informations sur les produits'!$A$3:$B$15000,2,FALSE),"")</f>
        <v/>
      </c>
      <c r="V2427">
        <f t="shared" si="150"/>
        <v>0</v>
      </c>
      <c r="W2427">
        <f t="shared" si="151"/>
        <v>0</v>
      </c>
    </row>
    <row r="2428" spans="5:23" x14ac:dyDescent="0.25">
      <c r="E2428" s="4"/>
      <c r="F2428" s="4"/>
      <c r="G2428" s="33" t="str">
        <f>IFERROR(VLOOKUP($D2428,'Informations sur les produits'!$A$3:$H$10000,8,FALSE),"0")</f>
        <v>0</v>
      </c>
      <c r="K2428" s="4"/>
      <c r="L2428" s="33" t="str">
        <f>IFERROR(VLOOKUP($J2428,'Informations sur les produits'!$A$3:$H$10000,8,FALSE),"0")</f>
        <v>0</v>
      </c>
      <c r="N2428" s="8"/>
      <c r="O2428" s="33" t="str">
        <f>IFERROR(VLOOKUP($M2428,'Informations sur les produits'!$A$3:$H$10000,8,FALSE),"0")</f>
        <v>0</v>
      </c>
      <c r="P2428" s="33">
        <f t="shared" si="148"/>
        <v>0</v>
      </c>
      <c r="Q2428" s="31" t="str">
        <f t="shared" si="149"/>
        <v/>
      </c>
      <c r="R2428" s="32" t="str">
        <f>IFERROR(VLOOKUP($D2428,'Informations sur les produits'!$A$3:$B$15000,2,FALSE),"")</f>
        <v/>
      </c>
      <c r="V2428">
        <f t="shared" si="150"/>
        <v>0</v>
      </c>
      <c r="W2428">
        <f t="shared" si="151"/>
        <v>0</v>
      </c>
    </row>
    <row r="2429" spans="5:23" x14ac:dyDescent="0.25">
      <c r="E2429" s="4"/>
      <c r="F2429" s="4"/>
      <c r="G2429" s="33" t="str">
        <f>IFERROR(VLOOKUP($D2429,'Informations sur les produits'!$A$3:$H$10000,8,FALSE),"0")</f>
        <v>0</v>
      </c>
      <c r="K2429" s="4"/>
      <c r="L2429" s="33" t="str">
        <f>IFERROR(VLOOKUP($J2429,'Informations sur les produits'!$A$3:$H$10000,8,FALSE),"0")</f>
        <v>0</v>
      </c>
      <c r="N2429" s="8"/>
      <c r="O2429" s="33" t="str">
        <f>IFERROR(VLOOKUP($M2429,'Informations sur les produits'!$A$3:$H$10000,8,FALSE),"0")</f>
        <v>0</v>
      </c>
      <c r="P2429" s="33">
        <f t="shared" si="148"/>
        <v>0</v>
      </c>
      <c r="Q2429" s="31" t="str">
        <f t="shared" si="149"/>
        <v/>
      </c>
      <c r="R2429" s="32" t="str">
        <f>IFERROR(VLOOKUP($D2429,'Informations sur les produits'!$A$3:$B$15000,2,FALSE),"")</f>
        <v/>
      </c>
      <c r="V2429">
        <f t="shared" si="150"/>
        <v>0</v>
      </c>
      <c r="W2429">
        <f t="shared" si="151"/>
        <v>0</v>
      </c>
    </row>
    <row r="2430" spans="5:23" x14ac:dyDescent="0.25">
      <c r="E2430" s="4"/>
      <c r="F2430" s="4"/>
      <c r="G2430" s="33" t="str">
        <f>IFERROR(VLOOKUP($D2430,'Informations sur les produits'!$A$3:$H$10000,8,FALSE),"0")</f>
        <v>0</v>
      </c>
      <c r="K2430" s="4"/>
      <c r="L2430" s="33" t="str">
        <f>IFERROR(VLOOKUP($J2430,'Informations sur les produits'!$A$3:$H$10000,8,FALSE),"0")</f>
        <v>0</v>
      </c>
      <c r="N2430" s="8"/>
      <c r="O2430" s="33" t="str">
        <f>IFERROR(VLOOKUP($M2430,'Informations sur les produits'!$A$3:$H$10000,8,FALSE),"0")</f>
        <v>0</v>
      </c>
      <c r="P2430" s="33">
        <f t="shared" si="148"/>
        <v>0</v>
      </c>
      <c r="Q2430" s="31" t="str">
        <f t="shared" si="149"/>
        <v/>
      </c>
      <c r="R2430" s="32" t="str">
        <f>IFERROR(VLOOKUP($D2430,'Informations sur les produits'!$A$3:$B$15000,2,FALSE),"")</f>
        <v/>
      </c>
      <c r="V2430">
        <f t="shared" si="150"/>
        <v>0</v>
      </c>
      <c r="W2430">
        <f t="shared" si="151"/>
        <v>0</v>
      </c>
    </row>
    <row r="2431" spans="5:23" x14ac:dyDescent="0.25">
      <c r="E2431" s="4"/>
      <c r="F2431" s="4"/>
      <c r="G2431" s="33" t="str">
        <f>IFERROR(VLOOKUP($D2431,'Informations sur les produits'!$A$3:$H$10000,8,FALSE),"0")</f>
        <v>0</v>
      </c>
      <c r="K2431" s="4"/>
      <c r="L2431" s="33" t="str">
        <f>IFERROR(VLOOKUP($J2431,'Informations sur les produits'!$A$3:$H$10000,8,FALSE),"0")</f>
        <v>0</v>
      </c>
      <c r="N2431" s="8"/>
      <c r="O2431" s="33" t="str">
        <f>IFERROR(VLOOKUP($M2431,'Informations sur les produits'!$A$3:$H$10000,8,FALSE),"0")</f>
        <v>0</v>
      </c>
      <c r="P2431" s="33">
        <f t="shared" si="148"/>
        <v>0</v>
      </c>
      <c r="Q2431" s="31" t="str">
        <f t="shared" si="149"/>
        <v/>
      </c>
      <c r="R2431" s="32" t="str">
        <f>IFERROR(VLOOKUP($D2431,'Informations sur les produits'!$A$3:$B$15000,2,FALSE),"")</f>
        <v/>
      </c>
      <c r="V2431">
        <f t="shared" si="150"/>
        <v>0</v>
      </c>
      <c r="W2431">
        <f t="shared" si="151"/>
        <v>0</v>
      </c>
    </row>
    <row r="2432" spans="5:23" x14ac:dyDescent="0.25">
      <c r="E2432" s="4"/>
      <c r="F2432" s="4"/>
      <c r="G2432" s="33" t="str">
        <f>IFERROR(VLOOKUP($D2432,'Informations sur les produits'!$A$3:$H$10000,8,FALSE),"0")</f>
        <v>0</v>
      </c>
      <c r="K2432" s="4"/>
      <c r="L2432" s="33" t="str">
        <f>IFERROR(VLOOKUP($J2432,'Informations sur les produits'!$A$3:$H$10000,8,FALSE),"0")</f>
        <v>0</v>
      </c>
      <c r="N2432" s="8"/>
      <c r="O2432" s="33" t="str">
        <f>IFERROR(VLOOKUP($M2432,'Informations sur les produits'!$A$3:$H$10000,8,FALSE),"0")</f>
        <v>0</v>
      </c>
      <c r="P2432" s="33">
        <f t="shared" si="148"/>
        <v>0</v>
      </c>
      <c r="Q2432" s="31" t="str">
        <f t="shared" si="149"/>
        <v/>
      </c>
      <c r="R2432" s="32" t="str">
        <f>IFERROR(VLOOKUP($D2432,'Informations sur les produits'!$A$3:$B$15000,2,FALSE),"")</f>
        <v/>
      </c>
      <c r="V2432">
        <f t="shared" si="150"/>
        <v>0</v>
      </c>
      <c r="W2432">
        <f t="shared" si="151"/>
        <v>0</v>
      </c>
    </row>
    <row r="2433" spans="5:23" x14ac:dyDescent="0.25">
      <c r="E2433" s="4"/>
      <c r="F2433" s="4"/>
      <c r="G2433" s="33" t="str">
        <f>IFERROR(VLOOKUP($D2433,'Informations sur les produits'!$A$3:$H$10000,8,FALSE),"0")</f>
        <v>0</v>
      </c>
      <c r="K2433" s="4"/>
      <c r="L2433" s="33" t="str">
        <f>IFERROR(VLOOKUP($J2433,'Informations sur les produits'!$A$3:$H$10000,8,FALSE),"0")</f>
        <v>0</v>
      </c>
      <c r="N2433" s="8"/>
      <c r="O2433" s="33" t="str">
        <f>IFERROR(VLOOKUP($M2433,'Informations sur les produits'!$A$3:$H$10000,8,FALSE),"0")</f>
        <v>0</v>
      </c>
      <c r="P2433" s="33">
        <f t="shared" si="148"/>
        <v>0</v>
      </c>
      <c r="Q2433" s="31" t="str">
        <f t="shared" si="149"/>
        <v/>
      </c>
      <c r="R2433" s="32" t="str">
        <f>IFERROR(VLOOKUP($D2433,'Informations sur les produits'!$A$3:$B$15000,2,FALSE),"")</f>
        <v/>
      </c>
      <c r="V2433">
        <f t="shared" si="150"/>
        <v>0</v>
      </c>
      <c r="W2433">
        <f t="shared" si="151"/>
        <v>0</v>
      </c>
    </row>
    <row r="2434" spans="5:23" x14ac:dyDescent="0.25">
      <c r="E2434" s="4"/>
      <c r="F2434" s="4"/>
      <c r="G2434" s="33" t="str">
        <f>IFERROR(VLOOKUP($D2434,'Informations sur les produits'!$A$3:$H$10000,8,FALSE),"0")</f>
        <v>0</v>
      </c>
      <c r="K2434" s="4"/>
      <c r="L2434" s="33" t="str">
        <f>IFERROR(VLOOKUP($J2434,'Informations sur les produits'!$A$3:$H$10000,8,FALSE),"0")</f>
        <v>0</v>
      </c>
      <c r="N2434" s="8"/>
      <c r="O2434" s="33" t="str">
        <f>IFERROR(VLOOKUP($M2434,'Informations sur les produits'!$A$3:$H$10000,8,FALSE),"0")</f>
        <v>0</v>
      </c>
      <c r="P2434" s="33">
        <f t="shared" si="148"/>
        <v>0</v>
      </c>
      <c r="Q2434" s="31" t="str">
        <f t="shared" si="149"/>
        <v/>
      </c>
      <c r="R2434" s="32" t="str">
        <f>IFERROR(VLOOKUP($D2434,'Informations sur les produits'!$A$3:$B$15000,2,FALSE),"")</f>
        <v/>
      </c>
      <c r="V2434">
        <f t="shared" si="150"/>
        <v>0</v>
      </c>
      <c r="W2434">
        <f t="shared" si="151"/>
        <v>0</v>
      </c>
    </row>
    <row r="2435" spans="5:23" x14ac:dyDescent="0.25">
      <c r="E2435" s="4"/>
      <c r="F2435" s="4"/>
      <c r="G2435" s="33" t="str">
        <f>IFERROR(VLOOKUP($D2435,'Informations sur les produits'!$A$3:$H$10000,8,FALSE),"0")</f>
        <v>0</v>
      </c>
      <c r="K2435" s="4"/>
      <c r="L2435" s="33" t="str">
        <f>IFERROR(VLOOKUP($J2435,'Informations sur les produits'!$A$3:$H$10000,8,FALSE),"0")</f>
        <v>0</v>
      </c>
      <c r="N2435" s="8"/>
      <c r="O2435" s="33" t="str">
        <f>IFERROR(VLOOKUP($M2435,'Informations sur les produits'!$A$3:$H$10000,8,FALSE),"0")</f>
        <v>0</v>
      </c>
      <c r="P2435" s="33">
        <f t="shared" si="148"/>
        <v>0</v>
      </c>
      <c r="Q2435" s="31" t="str">
        <f t="shared" si="149"/>
        <v/>
      </c>
      <c r="R2435" s="32" t="str">
        <f>IFERROR(VLOOKUP($D2435,'Informations sur les produits'!$A$3:$B$15000,2,FALSE),"")</f>
        <v/>
      </c>
      <c r="V2435">
        <f t="shared" si="150"/>
        <v>0</v>
      </c>
      <c r="W2435">
        <f t="shared" si="151"/>
        <v>0</v>
      </c>
    </row>
    <row r="2436" spans="5:23" x14ac:dyDescent="0.25">
      <c r="E2436" s="4"/>
      <c r="F2436" s="4"/>
      <c r="G2436" s="33" t="str">
        <f>IFERROR(VLOOKUP($D2436,'Informations sur les produits'!$A$3:$H$10000,8,FALSE),"0")</f>
        <v>0</v>
      </c>
      <c r="K2436" s="4"/>
      <c r="L2436" s="33" t="str">
        <f>IFERROR(VLOOKUP($J2436,'Informations sur les produits'!$A$3:$H$10000,8,FALSE),"0")</f>
        <v>0</v>
      </c>
      <c r="N2436" s="8"/>
      <c r="O2436" s="33" t="str">
        <f>IFERROR(VLOOKUP($M2436,'Informations sur les produits'!$A$3:$H$10000,8,FALSE),"0")</f>
        <v>0</v>
      </c>
      <c r="P2436" s="33">
        <f t="shared" ref="P2436:P2499" si="152">IFERROR((($E2436-$F2436)*$G2436+$K2436*$L2436+$N2436*$O2436),"")</f>
        <v>0</v>
      </c>
      <c r="Q2436" s="31" t="str">
        <f t="shared" ref="Q2436:Q2499" si="153">IFERROR((((($E2436-$F2436)*$G2436+$K2436*$L2436+$N2436*$O2436)*1000)/(($E2436-$F2436)+$K2436+$N2436)),"")</f>
        <v/>
      </c>
      <c r="R2436" s="32" t="str">
        <f>IFERROR(VLOOKUP($D2436,'Informations sur les produits'!$A$3:$B$15000,2,FALSE),"")</f>
        <v/>
      </c>
      <c r="V2436">
        <f t="shared" ref="V2436:V2499" si="154">IFERROR(P2436*1000,"")</f>
        <v>0</v>
      </c>
      <c r="W2436">
        <f t="shared" ref="W2436:W2499" si="155">IFERROR(($E2436-$F2436)+$K2436+$N2436,"")</f>
        <v>0</v>
      </c>
    </row>
    <row r="2437" spans="5:23" x14ac:dyDescent="0.25">
      <c r="E2437" s="4"/>
      <c r="F2437" s="4"/>
      <c r="G2437" s="33" t="str">
        <f>IFERROR(VLOOKUP($D2437,'Informations sur les produits'!$A$3:$H$10000,8,FALSE),"0")</f>
        <v>0</v>
      </c>
      <c r="K2437" s="4"/>
      <c r="L2437" s="33" t="str">
        <f>IFERROR(VLOOKUP($J2437,'Informations sur les produits'!$A$3:$H$10000,8,FALSE),"0")</f>
        <v>0</v>
      </c>
      <c r="N2437" s="8"/>
      <c r="O2437" s="33" t="str">
        <f>IFERROR(VLOOKUP($M2437,'Informations sur les produits'!$A$3:$H$10000,8,FALSE),"0")</f>
        <v>0</v>
      </c>
      <c r="P2437" s="33">
        <f t="shared" si="152"/>
        <v>0</v>
      </c>
      <c r="Q2437" s="31" t="str">
        <f t="shared" si="153"/>
        <v/>
      </c>
      <c r="R2437" s="32" t="str">
        <f>IFERROR(VLOOKUP($D2437,'Informations sur les produits'!$A$3:$B$15000,2,FALSE),"")</f>
        <v/>
      </c>
      <c r="V2437">
        <f t="shared" si="154"/>
        <v>0</v>
      </c>
      <c r="W2437">
        <f t="shared" si="155"/>
        <v>0</v>
      </c>
    </row>
    <row r="2438" spans="5:23" x14ac:dyDescent="0.25">
      <c r="E2438" s="4"/>
      <c r="F2438" s="4"/>
      <c r="G2438" s="33" t="str">
        <f>IFERROR(VLOOKUP($D2438,'Informations sur les produits'!$A$3:$H$10000,8,FALSE),"0")</f>
        <v>0</v>
      </c>
      <c r="K2438" s="4"/>
      <c r="L2438" s="33" t="str">
        <f>IFERROR(VLOOKUP($J2438,'Informations sur les produits'!$A$3:$H$10000,8,FALSE),"0")</f>
        <v>0</v>
      </c>
      <c r="N2438" s="8"/>
      <c r="O2438" s="33" t="str">
        <f>IFERROR(VLOOKUP($M2438,'Informations sur les produits'!$A$3:$H$10000,8,FALSE),"0")</f>
        <v>0</v>
      </c>
      <c r="P2438" s="33">
        <f t="shared" si="152"/>
        <v>0</v>
      </c>
      <c r="Q2438" s="31" t="str">
        <f t="shared" si="153"/>
        <v/>
      </c>
      <c r="R2438" s="32" t="str">
        <f>IFERROR(VLOOKUP($D2438,'Informations sur les produits'!$A$3:$B$15000,2,FALSE),"")</f>
        <v/>
      </c>
      <c r="V2438">
        <f t="shared" si="154"/>
        <v>0</v>
      </c>
      <c r="W2438">
        <f t="shared" si="155"/>
        <v>0</v>
      </c>
    </row>
    <row r="2439" spans="5:23" x14ac:dyDescent="0.25">
      <c r="E2439" s="4"/>
      <c r="F2439" s="4"/>
      <c r="G2439" s="33" t="str">
        <f>IFERROR(VLOOKUP($D2439,'Informations sur les produits'!$A$3:$H$10000,8,FALSE),"0")</f>
        <v>0</v>
      </c>
      <c r="K2439" s="4"/>
      <c r="L2439" s="33" t="str">
        <f>IFERROR(VLOOKUP($J2439,'Informations sur les produits'!$A$3:$H$10000,8,FALSE),"0")</f>
        <v>0</v>
      </c>
      <c r="N2439" s="8"/>
      <c r="O2439" s="33" t="str">
        <f>IFERROR(VLOOKUP($M2439,'Informations sur les produits'!$A$3:$H$10000,8,FALSE),"0")</f>
        <v>0</v>
      </c>
      <c r="P2439" s="33">
        <f t="shared" si="152"/>
        <v>0</v>
      </c>
      <c r="Q2439" s="31" t="str">
        <f t="shared" si="153"/>
        <v/>
      </c>
      <c r="R2439" s="32" t="str">
        <f>IFERROR(VLOOKUP($D2439,'Informations sur les produits'!$A$3:$B$15000,2,FALSE),"")</f>
        <v/>
      </c>
      <c r="V2439">
        <f t="shared" si="154"/>
        <v>0</v>
      </c>
      <c r="W2439">
        <f t="shared" si="155"/>
        <v>0</v>
      </c>
    </row>
    <row r="2440" spans="5:23" x14ac:dyDescent="0.25">
      <c r="E2440" s="4"/>
      <c r="F2440" s="4"/>
      <c r="G2440" s="33" t="str">
        <f>IFERROR(VLOOKUP($D2440,'Informations sur les produits'!$A$3:$H$10000,8,FALSE),"0")</f>
        <v>0</v>
      </c>
      <c r="K2440" s="4"/>
      <c r="L2440" s="33" t="str">
        <f>IFERROR(VLOOKUP($J2440,'Informations sur les produits'!$A$3:$H$10000,8,FALSE),"0")</f>
        <v>0</v>
      </c>
      <c r="N2440" s="8"/>
      <c r="O2440" s="33" t="str">
        <f>IFERROR(VLOOKUP($M2440,'Informations sur les produits'!$A$3:$H$10000,8,FALSE),"0")</f>
        <v>0</v>
      </c>
      <c r="P2440" s="33">
        <f t="shared" si="152"/>
        <v>0</v>
      </c>
      <c r="Q2440" s="31" t="str">
        <f t="shared" si="153"/>
        <v/>
      </c>
      <c r="R2440" s="32" t="str">
        <f>IFERROR(VLOOKUP($D2440,'Informations sur les produits'!$A$3:$B$15000,2,FALSE),"")</f>
        <v/>
      </c>
      <c r="V2440">
        <f t="shared" si="154"/>
        <v>0</v>
      </c>
      <c r="W2440">
        <f t="shared" si="155"/>
        <v>0</v>
      </c>
    </row>
    <row r="2441" spans="5:23" x14ac:dyDescent="0.25">
      <c r="E2441" s="4"/>
      <c r="F2441" s="4"/>
      <c r="G2441" s="33" t="str">
        <f>IFERROR(VLOOKUP($D2441,'Informations sur les produits'!$A$3:$H$10000,8,FALSE),"0")</f>
        <v>0</v>
      </c>
      <c r="K2441" s="4"/>
      <c r="L2441" s="33" t="str">
        <f>IFERROR(VLOOKUP($J2441,'Informations sur les produits'!$A$3:$H$10000,8,FALSE),"0")</f>
        <v>0</v>
      </c>
      <c r="N2441" s="8"/>
      <c r="O2441" s="33" t="str">
        <f>IFERROR(VLOOKUP($M2441,'Informations sur les produits'!$A$3:$H$10000,8,FALSE),"0")</f>
        <v>0</v>
      </c>
      <c r="P2441" s="33">
        <f t="shared" si="152"/>
        <v>0</v>
      </c>
      <c r="Q2441" s="31" t="str">
        <f t="shared" si="153"/>
        <v/>
      </c>
      <c r="R2441" s="32" t="str">
        <f>IFERROR(VLOOKUP($D2441,'Informations sur les produits'!$A$3:$B$15000,2,FALSE),"")</f>
        <v/>
      </c>
      <c r="V2441">
        <f t="shared" si="154"/>
        <v>0</v>
      </c>
      <c r="W2441">
        <f t="shared" si="155"/>
        <v>0</v>
      </c>
    </row>
    <row r="2442" spans="5:23" x14ac:dyDescent="0.25">
      <c r="E2442" s="4"/>
      <c r="F2442" s="4"/>
      <c r="G2442" s="33" t="str">
        <f>IFERROR(VLOOKUP($D2442,'Informations sur les produits'!$A$3:$H$10000,8,FALSE),"0")</f>
        <v>0</v>
      </c>
      <c r="K2442" s="4"/>
      <c r="L2442" s="33" t="str">
        <f>IFERROR(VLOOKUP($J2442,'Informations sur les produits'!$A$3:$H$10000,8,FALSE),"0")</f>
        <v>0</v>
      </c>
      <c r="N2442" s="8"/>
      <c r="O2442" s="33" t="str">
        <f>IFERROR(VLOOKUP($M2442,'Informations sur les produits'!$A$3:$H$10000,8,FALSE),"0")</f>
        <v>0</v>
      </c>
      <c r="P2442" s="33">
        <f t="shared" si="152"/>
        <v>0</v>
      </c>
      <c r="Q2442" s="31" t="str">
        <f t="shared" si="153"/>
        <v/>
      </c>
      <c r="R2442" s="32" t="str">
        <f>IFERROR(VLOOKUP($D2442,'Informations sur les produits'!$A$3:$B$15000,2,FALSE),"")</f>
        <v/>
      </c>
      <c r="V2442">
        <f t="shared" si="154"/>
        <v>0</v>
      </c>
      <c r="W2442">
        <f t="shared" si="155"/>
        <v>0</v>
      </c>
    </row>
    <row r="2443" spans="5:23" x14ac:dyDescent="0.25">
      <c r="E2443" s="4"/>
      <c r="F2443" s="4"/>
      <c r="G2443" s="33" t="str">
        <f>IFERROR(VLOOKUP($D2443,'Informations sur les produits'!$A$3:$H$10000,8,FALSE),"0")</f>
        <v>0</v>
      </c>
      <c r="K2443" s="4"/>
      <c r="L2443" s="33" t="str">
        <f>IFERROR(VLOOKUP($J2443,'Informations sur les produits'!$A$3:$H$10000,8,FALSE),"0")</f>
        <v>0</v>
      </c>
      <c r="N2443" s="8"/>
      <c r="O2443" s="33" t="str">
        <f>IFERROR(VLOOKUP($M2443,'Informations sur les produits'!$A$3:$H$10000,8,FALSE),"0")</f>
        <v>0</v>
      </c>
      <c r="P2443" s="33">
        <f t="shared" si="152"/>
        <v>0</v>
      </c>
      <c r="Q2443" s="31" t="str">
        <f t="shared" si="153"/>
        <v/>
      </c>
      <c r="R2443" s="32" t="str">
        <f>IFERROR(VLOOKUP($D2443,'Informations sur les produits'!$A$3:$B$15000,2,FALSE),"")</f>
        <v/>
      </c>
      <c r="V2443">
        <f t="shared" si="154"/>
        <v>0</v>
      </c>
      <c r="W2443">
        <f t="shared" si="155"/>
        <v>0</v>
      </c>
    </row>
    <row r="2444" spans="5:23" x14ac:dyDescent="0.25">
      <c r="E2444" s="4"/>
      <c r="F2444" s="4"/>
      <c r="G2444" s="33" t="str">
        <f>IFERROR(VLOOKUP($D2444,'Informations sur les produits'!$A$3:$H$10000,8,FALSE),"0")</f>
        <v>0</v>
      </c>
      <c r="K2444" s="4"/>
      <c r="L2444" s="33" t="str">
        <f>IFERROR(VLOOKUP($J2444,'Informations sur les produits'!$A$3:$H$10000,8,FALSE),"0")</f>
        <v>0</v>
      </c>
      <c r="N2444" s="8"/>
      <c r="O2444" s="33" t="str">
        <f>IFERROR(VLOOKUP($M2444,'Informations sur les produits'!$A$3:$H$10000,8,FALSE),"0")</f>
        <v>0</v>
      </c>
      <c r="P2444" s="33">
        <f t="shared" si="152"/>
        <v>0</v>
      </c>
      <c r="Q2444" s="31" t="str">
        <f t="shared" si="153"/>
        <v/>
      </c>
      <c r="R2444" s="32" t="str">
        <f>IFERROR(VLOOKUP($D2444,'Informations sur les produits'!$A$3:$B$15000,2,FALSE),"")</f>
        <v/>
      </c>
      <c r="V2444">
        <f t="shared" si="154"/>
        <v>0</v>
      </c>
      <c r="W2444">
        <f t="shared" si="155"/>
        <v>0</v>
      </c>
    </row>
    <row r="2445" spans="5:23" x14ac:dyDescent="0.25">
      <c r="E2445" s="4"/>
      <c r="F2445" s="4"/>
      <c r="G2445" s="33" t="str">
        <f>IFERROR(VLOOKUP($D2445,'Informations sur les produits'!$A$3:$H$10000,8,FALSE),"0")</f>
        <v>0</v>
      </c>
      <c r="K2445" s="4"/>
      <c r="L2445" s="33" t="str">
        <f>IFERROR(VLOOKUP($J2445,'Informations sur les produits'!$A$3:$H$10000,8,FALSE),"0")</f>
        <v>0</v>
      </c>
      <c r="N2445" s="8"/>
      <c r="O2445" s="33" t="str">
        <f>IFERROR(VLOOKUP($M2445,'Informations sur les produits'!$A$3:$H$10000,8,FALSE),"0")</f>
        <v>0</v>
      </c>
      <c r="P2445" s="33">
        <f t="shared" si="152"/>
        <v>0</v>
      </c>
      <c r="Q2445" s="31" t="str">
        <f t="shared" si="153"/>
        <v/>
      </c>
      <c r="R2445" s="32" t="str">
        <f>IFERROR(VLOOKUP($D2445,'Informations sur les produits'!$A$3:$B$15000,2,FALSE),"")</f>
        <v/>
      </c>
      <c r="V2445">
        <f t="shared" si="154"/>
        <v>0</v>
      </c>
      <c r="W2445">
        <f t="shared" si="155"/>
        <v>0</v>
      </c>
    </row>
    <row r="2446" spans="5:23" x14ac:dyDescent="0.25">
      <c r="E2446" s="4"/>
      <c r="F2446" s="4"/>
      <c r="G2446" s="33" t="str">
        <f>IFERROR(VLOOKUP($D2446,'Informations sur les produits'!$A$3:$H$10000,8,FALSE),"0")</f>
        <v>0</v>
      </c>
      <c r="K2446" s="4"/>
      <c r="L2446" s="33" t="str">
        <f>IFERROR(VLOOKUP($J2446,'Informations sur les produits'!$A$3:$H$10000,8,FALSE),"0")</f>
        <v>0</v>
      </c>
      <c r="N2446" s="8"/>
      <c r="O2446" s="33" t="str">
        <f>IFERROR(VLOOKUP($M2446,'Informations sur les produits'!$A$3:$H$10000,8,FALSE),"0")</f>
        <v>0</v>
      </c>
      <c r="P2446" s="33">
        <f t="shared" si="152"/>
        <v>0</v>
      </c>
      <c r="Q2446" s="31" t="str">
        <f t="shared" si="153"/>
        <v/>
      </c>
      <c r="R2446" s="32" t="str">
        <f>IFERROR(VLOOKUP($D2446,'Informations sur les produits'!$A$3:$B$15000,2,FALSE),"")</f>
        <v/>
      </c>
      <c r="V2446">
        <f t="shared" si="154"/>
        <v>0</v>
      </c>
      <c r="W2446">
        <f t="shared" si="155"/>
        <v>0</v>
      </c>
    </row>
    <row r="2447" spans="5:23" x14ac:dyDescent="0.25">
      <c r="E2447" s="4"/>
      <c r="F2447" s="4"/>
      <c r="G2447" s="33" t="str">
        <f>IFERROR(VLOOKUP($D2447,'Informations sur les produits'!$A$3:$H$10000,8,FALSE),"0")</f>
        <v>0</v>
      </c>
      <c r="K2447" s="4"/>
      <c r="L2447" s="33" t="str">
        <f>IFERROR(VLOOKUP($J2447,'Informations sur les produits'!$A$3:$H$10000,8,FALSE),"0")</f>
        <v>0</v>
      </c>
      <c r="N2447" s="8"/>
      <c r="O2447" s="33" t="str">
        <f>IFERROR(VLOOKUP($M2447,'Informations sur les produits'!$A$3:$H$10000,8,FALSE),"0")</f>
        <v>0</v>
      </c>
      <c r="P2447" s="33">
        <f t="shared" si="152"/>
        <v>0</v>
      </c>
      <c r="Q2447" s="31" t="str">
        <f t="shared" si="153"/>
        <v/>
      </c>
      <c r="R2447" s="32" t="str">
        <f>IFERROR(VLOOKUP($D2447,'Informations sur les produits'!$A$3:$B$15000,2,FALSE),"")</f>
        <v/>
      </c>
      <c r="V2447">
        <f t="shared" si="154"/>
        <v>0</v>
      </c>
      <c r="W2447">
        <f t="shared" si="155"/>
        <v>0</v>
      </c>
    </row>
    <row r="2448" spans="5:23" x14ac:dyDescent="0.25">
      <c r="E2448" s="4"/>
      <c r="F2448" s="4"/>
      <c r="G2448" s="33" t="str">
        <f>IFERROR(VLOOKUP($D2448,'Informations sur les produits'!$A$3:$H$10000,8,FALSE),"0")</f>
        <v>0</v>
      </c>
      <c r="K2448" s="4"/>
      <c r="L2448" s="33" t="str">
        <f>IFERROR(VLOOKUP($J2448,'Informations sur les produits'!$A$3:$H$10000,8,FALSE),"0")</f>
        <v>0</v>
      </c>
      <c r="N2448" s="8"/>
      <c r="O2448" s="33" t="str">
        <f>IFERROR(VLOOKUP($M2448,'Informations sur les produits'!$A$3:$H$10000,8,FALSE),"0")</f>
        <v>0</v>
      </c>
      <c r="P2448" s="33">
        <f t="shared" si="152"/>
        <v>0</v>
      </c>
      <c r="Q2448" s="31" t="str">
        <f t="shared" si="153"/>
        <v/>
      </c>
      <c r="R2448" s="32" t="str">
        <f>IFERROR(VLOOKUP($D2448,'Informations sur les produits'!$A$3:$B$15000,2,FALSE),"")</f>
        <v/>
      </c>
      <c r="V2448">
        <f t="shared" si="154"/>
        <v>0</v>
      </c>
      <c r="W2448">
        <f t="shared" si="155"/>
        <v>0</v>
      </c>
    </row>
    <row r="2449" spans="5:23" x14ac:dyDescent="0.25">
      <c r="E2449" s="4"/>
      <c r="F2449" s="4"/>
      <c r="G2449" s="33" t="str">
        <f>IFERROR(VLOOKUP($D2449,'Informations sur les produits'!$A$3:$H$10000,8,FALSE),"0")</f>
        <v>0</v>
      </c>
      <c r="K2449" s="4"/>
      <c r="L2449" s="33" t="str">
        <f>IFERROR(VLOOKUP($J2449,'Informations sur les produits'!$A$3:$H$10000,8,FALSE),"0")</f>
        <v>0</v>
      </c>
      <c r="N2449" s="8"/>
      <c r="O2449" s="33" t="str">
        <f>IFERROR(VLOOKUP($M2449,'Informations sur les produits'!$A$3:$H$10000,8,FALSE),"0")</f>
        <v>0</v>
      </c>
      <c r="P2449" s="33">
        <f t="shared" si="152"/>
        <v>0</v>
      </c>
      <c r="Q2449" s="31" t="str">
        <f t="shared" si="153"/>
        <v/>
      </c>
      <c r="R2449" s="32" t="str">
        <f>IFERROR(VLOOKUP($D2449,'Informations sur les produits'!$A$3:$B$15000,2,FALSE),"")</f>
        <v/>
      </c>
      <c r="V2449">
        <f t="shared" si="154"/>
        <v>0</v>
      </c>
      <c r="W2449">
        <f t="shared" si="155"/>
        <v>0</v>
      </c>
    </row>
    <row r="2450" spans="5:23" x14ac:dyDescent="0.25">
      <c r="E2450" s="4"/>
      <c r="F2450" s="4"/>
      <c r="G2450" s="33" t="str">
        <f>IFERROR(VLOOKUP($D2450,'Informations sur les produits'!$A$3:$H$10000,8,FALSE),"0")</f>
        <v>0</v>
      </c>
      <c r="K2450" s="4"/>
      <c r="L2450" s="33" t="str">
        <f>IFERROR(VLOOKUP($J2450,'Informations sur les produits'!$A$3:$H$10000,8,FALSE),"0")</f>
        <v>0</v>
      </c>
      <c r="N2450" s="8"/>
      <c r="O2450" s="33" t="str">
        <f>IFERROR(VLOOKUP($M2450,'Informations sur les produits'!$A$3:$H$10000,8,FALSE),"0")</f>
        <v>0</v>
      </c>
      <c r="P2450" s="33">
        <f t="shared" si="152"/>
        <v>0</v>
      </c>
      <c r="Q2450" s="31" t="str">
        <f t="shared" si="153"/>
        <v/>
      </c>
      <c r="R2450" s="32" t="str">
        <f>IFERROR(VLOOKUP($D2450,'Informations sur les produits'!$A$3:$B$15000,2,FALSE),"")</f>
        <v/>
      </c>
      <c r="V2450">
        <f t="shared" si="154"/>
        <v>0</v>
      </c>
      <c r="W2450">
        <f t="shared" si="155"/>
        <v>0</v>
      </c>
    </row>
    <row r="2451" spans="5:23" x14ac:dyDescent="0.25">
      <c r="E2451" s="4"/>
      <c r="F2451" s="4"/>
      <c r="G2451" s="33" t="str">
        <f>IFERROR(VLOOKUP($D2451,'Informations sur les produits'!$A$3:$H$10000,8,FALSE),"0")</f>
        <v>0</v>
      </c>
      <c r="K2451" s="4"/>
      <c r="L2451" s="33" t="str">
        <f>IFERROR(VLOOKUP($J2451,'Informations sur les produits'!$A$3:$H$10000,8,FALSE),"0")</f>
        <v>0</v>
      </c>
      <c r="N2451" s="8"/>
      <c r="O2451" s="33" t="str">
        <f>IFERROR(VLOOKUP($M2451,'Informations sur les produits'!$A$3:$H$10000,8,FALSE),"0")</f>
        <v>0</v>
      </c>
      <c r="P2451" s="33">
        <f t="shared" si="152"/>
        <v>0</v>
      </c>
      <c r="Q2451" s="31" t="str">
        <f t="shared" si="153"/>
        <v/>
      </c>
      <c r="R2451" s="32" t="str">
        <f>IFERROR(VLOOKUP($D2451,'Informations sur les produits'!$A$3:$B$15000,2,FALSE),"")</f>
        <v/>
      </c>
      <c r="V2451">
        <f t="shared" si="154"/>
        <v>0</v>
      </c>
      <c r="W2451">
        <f t="shared" si="155"/>
        <v>0</v>
      </c>
    </row>
    <row r="2452" spans="5:23" x14ac:dyDescent="0.25">
      <c r="E2452" s="4"/>
      <c r="F2452" s="4"/>
      <c r="G2452" s="33" t="str">
        <f>IFERROR(VLOOKUP($D2452,'Informations sur les produits'!$A$3:$H$10000,8,FALSE),"0")</f>
        <v>0</v>
      </c>
      <c r="K2452" s="4"/>
      <c r="L2452" s="33" t="str">
        <f>IFERROR(VLOOKUP($J2452,'Informations sur les produits'!$A$3:$H$10000,8,FALSE),"0")</f>
        <v>0</v>
      </c>
      <c r="N2452" s="8"/>
      <c r="O2452" s="33" t="str">
        <f>IFERROR(VLOOKUP($M2452,'Informations sur les produits'!$A$3:$H$10000,8,FALSE),"0")</f>
        <v>0</v>
      </c>
      <c r="P2452" s="33">
        <f t="shared" si="152"/>
        <v>0</v>
      </c>
      <c r="Q2452" s="31" t="str">
        <f t="shared" si="153"/>
        <v/>
      </c>
      <c r="R2452" s="32" t="str">
        <f>IFERROR(VLOOKUP($D2452,'Informations sur les produits'!$A$3:$B$15000,2,FALSE),"")</f>
        <v/>
      </c>
      <c r="V2452">
        <f t="shared" si="154"/>
        <v>0</v>
      </c>
      <c r="W2452">
        <f t="shared" si="155"/>
        <v>0</v>
      </c>
    </row>
    <row r="2453" spans="5:23" x14ac:dyDescent="0.25">
      <c r="E2453" s="4"/>
      <c r="F2453" s="4"/>
      <c r="G2453" s="33" t="str">
        <f>IFERROR(VLOOKUP($D2453,'Informations sur les produits'!$A$3:$H$10000,8,FALSE),"0")</f>
        <v>0</v>
      </c>
      <c r="K2453" s="4"/>
      <c r="L2453" s="33" t="str">
        <f>IFERROR(VLOOKUP($J2453,'Informations sur les produits'!$A$3:$H$10000,8,FALSE),"0")</f>
        <v>0</v>
      </c>
      <c r="N2453" s="8"/>
      <c r="O2453" s="33" t="str">
        <f>IFERROR(VLOOKUP($M2453,'Informations sur les produits'!$A$3:$H$10000,8,FALSE),"0")</f>
        <v>0</v>
      </c>
      <c r="P2453" s="33">
        <f t="shared" si="152"/>
        <v>0</v>
      </c>
      <c r="Q2453" s="31" t="str">
        <f t="shared" si="153"/>
        <v/>
      </c>
      <c r="R2453" s="32" t="str">
        <f>IFERROR(VLOOKUP($D2453,'Informations sur les produits'!$A$3:$B$15000,2,FALSE),"")</f>
        <v/>
      </c>
      <c r="V2453">
        <f t="shared" si="154"/>
        <v>0</v>
      </c>
      <c r="W2453">
        <f t="shared" si="155"/>
        <v>0</v>
      </c>
    </row>
    <row r="2454" spans="5:23" x14ac:dyDescent="0.25">
      <c r="E2454" s="4"/>
      <c r="F2454" s="4"/>
      <c r="G2454" s="33" t="str">
        <f>IFERROR(VLOOKUP($D2454,'Informations sur les produits'!$A$3:$H$10000,8,FALSE),"0")</f>
        <v>0</v>
      </c>
      <c r="K2454" s="4"/>
      <c r="L2454" s="33" t="str">
        <f>IFERROR(VLOOKUP($J2454,'Informations sur les produits'!$A$3:$H$10000,8,FALSE),"0")</f>
        <v>0</v>
      </c>
      <c r="N2454" s="8"/>
      <c r="O2454" s="33" t="str">
        <f>IFERROR(VLOOKUP($M2454,'Informations sur les produits'!$A$3:$H$10000,8,FALSE),"0")</f>
        <v>0</v>
      </c>
      <c r="P2454" s="33">
        <f t="shared" si="152"/>
        <v>0</v>
      </c>
      <c r="Q2454" s="31" t="str">
        <f t="shared" si="153"/>
        <v/>
      </c>
      <c r="R2454" s="32" t="str">
        <f>IFERROR(VLOOKUP($D2454,'Informations sur les produits'!$A$3:$B$15000,2,FALSE),"")</f>
        <v/>
      </c>
      <c r="V2454">
        <f t="shared" si="154"/>
        <v>0</v>
      </c>
      <c r="W2454">
        <f t="shared" si="155"/>
        <v>0</v>
      </c>
    </row>
    <row r="2455" spans="5:23" x14ac:dyDescent="0.25">
      <c r="E2455" s="4"/>
      <c r="F2455" s="4"/>
      <c r="G2455" s="33" t="str">
        <f>IFERROR(VLOOKUP($D2455,'Informations sur les produits'!$A$3:$H$10000,8,FALSE),"0")</f>
        <v>0</v>
      </c>
      <c r="K2455" s="4"/>
      <c r="L2455" s="33" t="str">
        <f>IFERROR(VLOOKUP($J2455,'Informations sur les produits'!$A$3:$H$10000,8,FALSE),"0")</f>
        <v>0</v>
      </c>
      <c r="N2455" s="8"/>
      <c r="O2455" s="33" t="str">
        <f>IFERROR(VLOOKUP($M2455,'Informations sur les produits'!$A$3:$H$10000,8,FALSE),"0")</f>
        <v>0</v>
      </c>
      <c r="P2455" s="33">
        <f t="shared" si="152"/>
        <v>0</v>
      </c>
      <c r="Q2455" s="31" t="str">
        <f t="shared" si="153"/>
        <v/>
      </c>
      <c r="R2455" s="32" t="str">
        <f>IFERROR(VLOOKUP($D2455,'Informations sur les produits'!$A$3:$B$15000,2,FALSE),"")</f>
        <v/>
      </c>
      <c r="V2455">
        <f t="shared" si="154"/>
        <v>0</v>
      </c>
      <c r="W2455">
        <f t="shared" si="155"/>
        <v>0</v>
      </c>
    </row>
    <row r="2456" spans="5:23" x14ac:dyDescent="0.25">
      <c r="E2456" s="4"/>
      <c r="F2456" s="4"/>
      <c r="G2456" s="33" t="str">
        <f>IFERROR(VLOOKUP($D2456,'Informations sur les produits'!$A$3:$H$10000,8,FALSE),"0")</f>
        <v>0</v>
      </c>
      <c r="K2456" s="4"/>
      <c r="L2456" s="33" t="str">
        <f>IFERROR(VLOOKUP($J2456,'Informations sur les produits'!$A$3:$H$10000,8,FALSE),"0")</f>
        <v>0</v>
      </c>
      <c r="N2456" s="8"/>
      <c r="O2456" s="33" t="str">
        <f>IFERROR(VLOOKUP($M2456,'Informations sur les produits'!$A$3:$H$10000,8,FALSE),"0")</f>
        <v>0</v>
      </c>
      <c r="P2456" s="33">
        <f t="shared" si="152"/>
        <v>0</v>
      </c>
      <c r="Q2456" s="31" t="str">
        <f t="shared" si="153"/>
        <v/>
      </c>
      <c r="R2456" s="32" t="str">
        <f>IFERROR(VLOOKUP($D2456,'Informations sur les produits'!$A$3:$B$15000,2,FALSE),"")</f>
        <v/>
      </c>
      <c r="V2456">
        <f t="shared" si="154"/>
        <v>0</v>
      </c>
      <c r="W2456">
        <f t="shared" si="155"/>
        <v>0</v>
      </c>
    </row>
    <row r="2457" spans="5:23" x14ac:dyDescent="0.25">
      <c r="E2457" s="4"/>
      <c r="F2457" s="4"/>
      <c r="G2457" s="33" t="str">
        <f>IFERROR(VLOOKUP($D2457,'Informations sur les produits'!$A$3:$H$10000,8,FALSE),"0")</f>
        <v>0</v>
      </c>
      <c r="K2457" s="4"/>
      <c r="L2457" s="33" t="str">
        <f>IFERROR(VLOOKUP($J2457,'Informations sur les produits'!$A$3:$H$10000,8,FALSE),"0")</f>
        <v>0</v>
      </c>
      <c r="N2457" s="8"/>
      <c r="O2457" s="33" t="str">
        <f>IFERROR(VLOOKUP($M2457,'Informations sur les produits'!$A$3:$H$10000,8,FALSE),"0")</f>
        <v>0</v>
      </c>
      <c r="P2457" s="33">
        <f t="shared" si="152"/>
        <v>0</v>
      </c>
      <c r="Q2457" s="31" t="str">
        <f t="shared" si="153"/>
        <v/>
      </c>
      <c r="R2457" s="32" t="str">
        <f>IFERROR(VLOOKUP($D2457,'Informations sur les produits'!$A$3:$B$15000,2,FALSE),"")</f>
        <v/>
      </c>
      <c r="V2457">
        <f t="shared" si="154"/>
        <v>0</v>
      </c>
      <c r="W2457">
        <f t="shared" si="155"/>
        <v>0</v>
      </c>
    </row>
    <row r="2458" spans="5:23" x14ac:dyDescent="0.25">
      <c r="E2458" s="4"/>
      <c r="F2458" s="4"/>
      <c r="G2458" s="33" t="str">
        <f>IFERROR(VLOOKUP($D2458,'Informations sur les produits'!$A$3:$H$10000,8,FALSE),"0")</f>
        <v>0</v>
      </c>
      <c r="K2458" s="4"/>
      <c r="L2458" s="33" t="str">
        <f>IFERROR(VLOOKUP($J2458,'Informations sur les produits'!$A$3:$H$10000,8,FALSE),"0")</f>
        <v>0</v>
      </c>
      <c r="N2458" s="8"/>
      <c r="O2458" s="33" t="str">
        <f>IFERROR(VLOOKUP($M2458,'Informations sur les produits'!$A$3:$H$10000,8,FALSE),"0")</f>
        <v>0</v>
      </c>
      <c r="P2458" s="33">
        <f t="shared" si="152"/>
        <v>0</v>
      </c>
      <c r="Q2458" s="31" t="str">
        <f t="shared" si="153"/>
        <v/>
      </c>
      <c r="R2458" s="32" t="str">
        <f>IFERROR(VLOOKUP($D2458,'Informations sur les produits'!$A$3:$B$15000,2,FALSE),"")</f>
        <v/>
      </c>
      <c r="V2458">
        <f t="shared" si="154"/>
        <v>0</v>
      </c>
      <c r="W2458">
        <f t="shared" si="155"/>
        <v>0</v>
      </c>
    </row>
    <row r="2459" spans="5:23" x14ac:dyDescent="0.25">
      <c r="E2459" s="4"/>
      <c r="F2459" s="4"/>
      <c r="G2459" s="33" t="str">
        <f>IFERROR(VLOOKUP($D2459,'Informations sur les produits'!$A$3:$H$10000,8,FALSE),"0")</f>
        <v>0</v>
      </c>
      <c r="K2459" s="4"/>
      <c r="L2459" s="33" t="str">
        <f>IFERROR(VLOOKUP($J2459,'Informations sur les produits'!$A$3:$H$10000,8,FALSE),"0")</f>
        <v>0</v>
      </c>
      <c r="N2459" s="8"/>
      <c r="O2459" s="33" t="str">
        <f>IFERROR(VLOOKUP($M2459,'Informations sur les produits'!$A$3:$H$10000,8,FALSE),"0")</f>
        <v>0</v>
      </c>
      <c r="P2459" s="33">
        <f t="shared" si="152"/>
        <v>0</v>
      </c>
      <c r="Q2459" s="31" t="str">
        <f t="shared" si="153"/>
        <v/>
      </c>
      <c r="R2459" s="32" t="str">
        <f>IFERROR(VLOOKUP($D2459,'Informations sur les produits'!$A$3:$B$15000,2,FALSE),"")</f>
        <v/>
      </c>
      <c r="V2459">
        <f t="shared" si="154"/>
        <v>0</v>
      </c>
      <c r="W2459">
        <f t="shared" si="155"/>
        <v>0</v>
      </c>
    </row>
    <row r="2460" spans="5:23" x14ac:dyDescent="0.25">
      <c r="E2460" s="4"/>
      <c r="F2460" s="4"/>
      <c r="G2460" s="33" t="str">
        <f>IFERROR(VLOOKUP($D2460,'Informations sur les produits'!$A$3:$H$10000,8,FALSE),"0")</f>
        <v>0</v>
      </c>
      <c r="K2460" s="4"/>
      <c r="L2460" s="33" t="str">
        <f>IFERROR(VLOOKUP($J2460,'Informations sur les produits'!$A$3:$H$10000,8,FALSE),"0")</f>
        <v>0</v>
      </c>
      <c r="N2460" s="8"/>
      <c r="O2460" s="33" t="str">
        <f>IFERROR(VLOOKUP($M2460,'Informations sur les produits'!$A$3:$H$10000,8,FALSE),"0")</f>
        <v>0</v>
      </c>
      <c r="P2460" s="33">
        <f t="shared" si="152"/>
        <v>0</v>
      </c>
      <c r="Q2460" s="31" t="str">
        <f t="shared" si="153"/>
        <v/>
      </c>
      <c r="R2460" s="32" t="str">
        <f>IFERROR(VLOOKUP($D2460,'Informations sur les produits'!$A$3:$B$15000,2,FALSE),"")</f>
        <v/>
      </c>
      <c r="V2460">
        <f t="shared" si="154"/>
        <v>0</v>
      </c>
      <c r="W2460">
        <f t="shared" si="155"/>
        <v>0</v>
      </c>
    </row>
    <row r="2461" spans="5:23" x14ac:dyDescent="0.25">
      <c r="E2461" s="4"/>
      <c r="F2461" s="4"/>
      <c r="G2461" s="33" t="str">
        <f>IFERROR(VLOOKUP($D2461,'Informations sur les produits'!$A$3:$H$10000,8,FALSE),"0")</f>
        <v>0</v>
      </c>
      <c r="K2461" s="4"/>
      <c r="L2461" s="33" t="str">
        <f>IFERROR(VLOOKUP($J2461,'Informations sur les produits'!$A$3:$H$10000,8,FALSE),"0")</f>
        <v>0</v>
      </c>
      <c r="N2461" s="8"/>
      <c r="O2461" s="33" t="str">
        <f>IFERROR(VLOOKUP($M2461,'Informations sur les produits'!$A$3:$H$10000,8,FALSE),"0")</f>
        <v>0</v>
      </c>
      <c r="P2461" s="33">
        <f t="shared" si="152"/>
        <v>0</v>
      </c>
      <c r="Q2461" s="31" t="str">
        <f t="shared" si="153"/>
        <v/>
      </c>
      <c r="R2461" s="32" t="str">
        <f>IFERROR(VLOOKUP($D2461,'Informations sur les produits'!$A$3:$B$15000,2,FALSE),"")</f>
        <v/>
      </c>
      <c r="V2461">
        <f t="shared" si="154"/>
        <v>0</v>
      </c>
      <c r="W2461">
        <f t="shared" si="155"/>
        <v>0</v>
      </c>
    </row>
    <row r="2462" spans="5:23" x14ac:dyDescent="0.25">
      <c r="E2462" s="4"/>
      <c r="F2462" s="4"/>
      <c r="G2462" s="33" t="str">
        <f>IFERROR(VLOOKUP($D2462,'Informations sur les produits'!$A$3:$H$10000,8,FALSE),"0")</f>
        <v>0</v>
      </c>
      <c r="K2462" s="4"/>
      <c r="L2462" s="33" t="str">
        <f>IFERROR(VLOOKUP($J2462,'Informations sur les produits'!$A$3:$H$10000,8,FALSE),"0")</f>
        <v>0</v>
      </c>
      <c r="N2462" s="8"/>
      <c r="O2462" s="33" t="str">
        <f>IFERROR(VLOOKUP($M2462,'Informations sur les produits'!$A$3:$H$10000,8,FALSE),"0")</f>
        <v>0</v>
      </c>
      <c r="P2462" s="33">
        <f t="shared" si="152"/>
        <v>0</v>
      </c>
      <c r="Q2462" s="31" t="str">
        <f t="shared" si="153"/>
        <v/>
      </c>
      <c r="R2462" s="32" t="str">
        <f>IFERROR(VLOOKUP($D2462,'Informations sur les produits'!$A$3:$B$15000,2,FALSE),"")</f>
        <v/>
      </c>
      <c r="V2462">
        <f t="shared" si="154"/>
        <v>0</v>
      </c>
      <c r="W2462">
        <f t="shared" si="155"/>
        <v>0</v>
      </c>
    </row>
    <row r="2463" spans="5:23" x14ac:dyDescent="0.25">
      <c r="E2463" s="4"/>
      <c r="F2463" s="4"/>
      <c r="G2463" s="33" t="str">
        <f>IFERROR(VLOOKUP($D2463,'Informations sur les produits'!$A$3:$H$10000,8,FALSE),"0")</f>
        <v>0</v>
      </c>
      <c r="K2463" s="4"/>
      <c r="L2463" s="33" t="str">
        <f>IFERROR(VLOOKUP($J2463,'Informations sur les produits'!$A$3:$H$10000,8,FALSE),"0")</f>
        <v>0</v>
      </c>
      <c r="N2463" s="8"/>
      <c r="O2463" s="33" t="str">
        <f>IFERROR(VLOOKUP($M2463,'Informations sur les produits'!$A$3:$H$10000,8,FALSE),"0")</f>
        <v>0</v>
      </c>
      <c r="P2463" s="33">
        <f t="shared" si="152"/>
        <v>0</v>
      </c>
      <c r="Q2463" s="31" t="str">
        <f t="shared" si="153"/>
        <v/>
      </c>
      <c r="R2463" s="32" t="str">
        <f>IFERROR(VLOOKUP($D2463,'Informations sur les produits'!$A$3:$B$15000,2,FALSE),"")</f>
        <v/>
      </c>
      <c r="V2463">
        <f t="shared" si="154"/>
        <v>0</v>
      </c>
      <c r="W2463">
        <f t="shared" si="155"/>
        <v>0</v>
      </c>
    </row>
    <row r="2464" spans="5:23" x14ac:dyDescent="0.25">
      <c r="E2464" s="4"/>
      <c r="F2464" s="4"/>
      <c r="G2464" s="33" t="str">
        <f>IFERROR(VLOOKUP($D2464,'Informations sur les produits'!$A$3:$H$10000,8,FALSE),"0")</f>
        <v>0</v>
      </c>
      <c r="K2464" s="4"/>
      <c r="L2464" s="33" t="str">
        <f>IFERROR(VLOOKUP($J2464,'Informations sur les produits'!$A$3:$H$10000,8,FALSE),"0")</f>
        <v>0</v>
      </c>
      <c r="N2464" s="8"/>
      <c r="O2464" s="33" t="str">
        <f>IFERROR(VLOOKUP($M2464,'Informations sur les produits'!$A$3:$H$10000,8,FALSE),"0")</f>
        <v>0</v>
      </c>
      <c r="P2464" s="33">
        <f t="shared" si="152"/>
        <v>0</v>
      </c>
      <c r="Q2464" s="31" t="str">
        <f t="shared" si="153"/>
        <v/>
      </c>
      <c r="R2464" s="32" t="str">
        <f>IFERROR(VLOOKUP($D2464,'Informations sur les produits'!$A$3:$B$15000,2,FALSE),"")</f>
        <v/>
      </c>
      <c r="V2464">
        <f t="shared" si="154"/>
        <v>0</v>
      </c>
      <c r="W2464">
        <f t="shared" si="155"/>
        <v>0</v>
      </c>
    </row>
    <row r="2465" spans="5:23" x14ac:dyDescent="0.25">
      <c r="E2465" s="4"/>
      <c r="F2465" s="4"/>
      <c r="G2465" s="33" t="str">
        <f>IFERROR(VLOOKUP($D2465,'Informations sur les produits'!$A$3:$H$10000,8,FALSE),"0")</f>
        <v>0</v>
      </c>
      <c r="K2465" s="4"/>
      <c r="L2465" s="33" t="str">
        <f>IFERROR(VLOOKUP($J2465,'Informations sur les produits'!$A$3:$H$10000,8,FALSE),"0")</f>
        <v>0</v>
      </c>
      <c r="N2465" s="8"/>
      <c r="O2465" s="33" t="str">
        <f>IFERROR(VLOOKUP($M2465,'Informations sur les produits'!$A$3:$H$10000,8,FALSE),"0")</f>
        <v>0</v>
      </c>
      <c r="P2465" s="33">
        <f t="shared" si="152"/>
        <v>0</v>
      </c>
      <c r="Q2465" s="31" t="str">
        <f t="shared" si="153"/>
        <v/>
      </c>
      <c r="R2465" s="32" t="str">
        <f>IFERROR(VLOOKUP($D2465,'Informations sur les produits'!$A$3:$B$15000,2,FALSE),"")</f>
        <v/>
      </c>
      <c r="V2465">
        <f t="shared" si="154"/>
        <v>0</v>
      </c>
      <c r="W2465">
        <f t="shared" si="155"/>
        <v>0</v>
      </c>
    </row>
    <row r="2466" spans="5:23" x14ac:dyDescent="0.25">
      <c r="E2466" s="4"/>
      <c r="F2466" s="4"/>
      <c r="G2466" s="33" t="str">
        <f>IFERROR(VLOOKUP($D2466,'Informations sur les produits'!$A$3:$H$10000,8,FALSE),"0")</f>
        <v>0</v>
      </c>
      <c r="K2466" s="4"/>
      <c r="L2466" s="33" t="str">
        <f>IFERROR(VLOOKUP($J2466,'Informations sur les produits'!$A$3:$H$10000,8,FALSE),"0")</f>
        <v>0</v>
      </c>
      <c r="N2466" s="8"/>
      <c r="O2466" s="33" t="str">
        <f>IFERROR(VLOOKUP($M2466,'Informations sur les produits'!$A$3:$H$10000,8,FALSE),"0")</f>
        <v>0</v>
      </c>
      <c r="P2466" s="33">
        <f t="shared" si="152"/>
        <v>0</v>
      </c>
      <c r="Q2466" s="31" t="str">
        <f t="shared" si="153"/>
        <v/>
      </c>
      <c r="R2466" s="32" t="str">
        <f>IFERROR(VLOOKUP($D2466,'Informations sur les produits'!$A$3:$B$15000,2,FALSE),"")</f>
        <v/>
      </c>
      <c r="V2466">
        <f t="shared" si="154"/>
        <v>0</v>
      </c>
      <c r="W2466">
        <f t="shared" si="155"/>
        <v>0</v>
      </c>
    </row>
    <row r="2467" spans="5:23" x14ac:dyDescent="0.25">
      <c r="E2467" s="4"/>
      <c r="F2467" s="4"/>
      <c r="G2467" s="33" t="str">
        <f>IFERROR(VLOOKUP($D2467,'Informations sur les produits'!$A$3:$H$10000,8,FALSE),"0")</f>
        <v>0</v>
      </c>
      <c r="K2467" s="4"/>
      <c r="L2467" s="33" t="str">
        <f>IFERROR(VLOOKUP($J2467,'Informations sur les produits'!$A$3:$H$10000,8,FALSE),"0")</f>
        <v>0</v>
      </c>
      <c r="N2467" s="8"/>
      <c r="O2467" s="33" t="str">
        <f>IFERROR(VLOOKUP($M2467,'Informations sur les produits'!$A$3:$H$10000,8,FALSE),"0")</f>
        <v>0</v>
      </c>
      <c r="P2467" s="33">
        <f t="shared" si="152"/>
        <v>0</v>
      </c>
      <c r="Q2467" s="31" t="str">
        <f t="shared" si="153"/>
        <v/>
      </c>
      <c r="R2467" s="32" t="str">
        <f>IFERROR(VLOOKUP($D2467,'Informations sur les produits'!$A$3:$B$15000,2,FALSE),"")</f>
        <v/>
      </c>
      <c r="V2467">
        <f t="shared" si="154"/>
        <v>0</v>
      </c>
      <c r="W2467">
        <f t="shared" si="155"/>
        <v>0</v>
      </c>
    </row>
    <row r="2468" spans="5:23" x14ac:dyDescent="0.25">
      <c r="E2468" s="4"/>
      <c r="F2468" s="4"/>
      <c r="G2468" s="33" t="str">
        <f>IFERROR(VLOOKUP($D2468,'Informations sur les produits'!$A$3:$H$10000,8,FALSE),"0")</f>
        <v>0</v>
      </c>
      <c r="K2468" s="4"/>
      <c r="L2468" s="33" t="str">
        <f>IFERROR(VLOOKUP($J2468,'Informations sur les produits'!$A$3:$H$10000,8,FALSE),"0")</f>
        <v>0</v>
      </c>
      <c r="N2468" s="8"/>
      <c r="O2468" s="33" t="str">
        <f>IFERROR(VLOOKUP($M2468,'Informations sur les produits'!$A$3:$H$10000,8,FALSE),"0")</f>
        <v>0</v>
      </c>
      <c r="P2468" s="33">
        <f t="shared" si="152"/>
        <v>0</v>
      </c>
      <c r="Q2468" s="31" t="str">
        <f t="shared" si="153"/>
        <v/>
      </c>
      <c r="R2468" s="32" t="str">
        <f>IFERROR(VLOOKUP($D2468,'Informations sur les produits'!$A$3:$B$15000,2,FALSE),"")</f>
        <v/>
      </c>
      <c r="V2468">
        <f t="shared" si="154"/>
        <v>0</v>
      </c>
      <c r="W2468">
        <f t="shared" si="155"/>
        <v>0</v>
      </c>
    </row>
    <row r="2469" spans="5:23" x14ac:dyDescent="0.25">
      <c r="E2469" s="4"/>
      <c r="F2469" s="4"/>
      <c r="G2469" s="33" t="str">
        <f>IFERROR(VLOOKUP($D2469,'Informations sur les produits'!$A$3:$H$10000,8,FALSE),"0")</f>
        <v>0</v>
      </c>
      <c r="K2469" s="4"/>
      <c r="L2469" s="33" t="str">
        <f>IFERROR(VLOOKUP($J2469,'Informations sur les produits'!$A$3:$H$10000,8,FALSE),"0")</f>
        <v>0</v>
      </c>
      <c r="N2469" s="8"/>
      <c r="O2469" s="33" t="str">
        <f>IFERROR(VLOOKUP($M2469,'Informations sur les produits'!$A$3:$H$10000,8,FALSE),"0")</f>
        <v>0</v>
      </c>
      <c r="P2469" s="33">
        <f t="shared" si="152"/>
        <v>0</v>
      </c>
      <c r="Q2469" s="31" t="str">
        <f t="shared" si="153"/>
        <v/>
      </c>
      <c r="R2469" s="32" t="str">
        <f>IFERROR(VLOOKUP($D2469,'Informations sur les produits'!$A$3:$B$15000,2,FALSE),"")</f>
        <v/>
      </c>
      <c r="V2469">
        <f t="shared" si="154"/>
        <v>0</v>
      </c>
      <c r="W2469">
        <f t="shared" si="155"/>
        <v>0</v>
      </c>
    </row>
    <row r="2470" spans="5:23" x14ac:dyDescent="0.25">
      <c r="E2470" s="4"/>
      <c r="F2470" s="4"/>
      <c r="G2470" s="33" t="str">
        <f>IFERROR(VLOOKUP($D2470,'Informations sur les produits'!$A$3:$H$10000,8,FALSE),"0")</f>
        <v>0</v>
      </c>
      <c r="K2470" s="4"/>
      <c r="L2470" s="33" t="str">
        <f>IFERROR(VLOOKUP($J2470,'Informations sur les produits'!$A$3:$H$10000,8,FALSE),"0")</f>
        <v>0</v>
      </c>
      <c r="N2470" s="8"/>
      <c r="O2470" s="33" t="str">
        <f>IFERROR(VLOOKUP($M2470,'Informations sur les produits'!$A$3:$H$10000,8,FALSE),"0")</f>
        <v>0</v>
      </c>
      <c r="P2470" s="33">
        <f t="shared" si="152"/>
        <v>0</v>
      </c>
      <c r="Q2470" s="31" t="str">
        <f t="shared" si="153"/>
        <v/>
      </c>
      <c r="R2470" s="32" t="str">
        <f>IFERROR(VLOOKUP($D2470,'Informations sur les produits'!$A$3:$B$15000,2,FALSE),"")</f>
        <v/>
      </c>
      <c r="V2470">
        <f t="shared" si="154"/>
        <v>0</v>
      </c>
      <c r="W2470">
        <f t="shared" si="155"/>
        <v>0</v>
      </c>
    </row>
    <row r="2471" spans="5:23" x14ac:dyDescent="0.25">
      <c r="E2471" s="4"/>
      <c r="F2471" s="4"/>
      <c r="G2471" s="33" t="str">
        <f>IFERROR(VLOOKUP($D2471,'Informations sur les produits'!$A$3:$H$10000,8,FALSE),"0")</f>
        <v>0</v>
      </c>
      <c r="K2471" s="4"/>
      <c r="L2471" s="33" t="str">
        <f>IFERROR(VLOOKUP($J2471,'Informations sur les produits'!$A$3:$H$10000,8,FALSE),"0")</f>
        <v>0</v>
      </c>
      <c r="N2471" s="8"/>
      <c r="O2471" s="33" t="str">
        <f>IFERROR(VLOOKUP($M2471,'Informations sur les produits'!$A$3:$H$10000,8,FALSE),"0")</f>
        <v>0</v>
      </c>
      <c r="P2471" s="33">
        <f t="shared" si="152"/>
        <v>0</v>
      </c>
      <c r="Q2471" s="31" t="str">
        <f t="shared" si="153"/>
        <v/>
      </c>
      <c r="R2471" s="32" t="str">
        <f>IFERROR(VLOOKUP($D2471,'Informations sur les produits'!$A$3:$B$15000,2,FALSE),"")</f>
        <v/>
      </c>
      <c r="V2471">
        <f t="shared" si="154"/>
        <v>0</v>
      </c>
      <c r="W2471">
        <f t="shared" si="155"/>
        <v>0</v>
      </c>
    </row>
    <row r="2472" spans="5:23" x14ac:dyDescent="0.25">
      <c r="E2472" s="4"/>
      <c r="F2472" s="4"/>
      <c r="G2472" s="33" t="str">
        <f>IFERROR(VLOOKUP($D2472,'Informations sur les produits'!$A$3:$H$10000,8,FALSE),"0")</f>
        <v>0</v>
      </c>
      <c r="K2472" s="4"/>
      <c r="L2472" s="33" t="str">
        <f>IFERROR(VLOOKUP($J2472,'Informations sur les produits'!$A$3:$H$10000,8,FALSE),"0")</f>
        <v>0</v>
      </c>
      <c r="N2472" s="8"/>
      <c r="O2472" s="33" t="str">
        <f>IFERROR(VLOOKUP($M2472,'Informations sur les produits'!$A$3:$H$10000,8,FALSE),"0")</f>
        <v>0</v>
      </c>
      <c r="P2472" s="33">
        <f t="shared" si="152"/>
        <v>0</v>
      </c>
      <c r="Q2472" s="31" t="str">
        <f t="shared" si="153"/>
        <v/>
      </c>
      <c r="R2472" s="32" t="str">
        <f>IFERROR(VLOOKUP($D2472,'Informations sur les produits'!$A$3:$B$15000,2,FALSE),"")</f>
        <v/>
      </c>
      <c r="V2472">
        <f t="shared" si="154"/>
        <v>0</v>
      </c>
      <c r="W2472">
        <f t="shared" si="155"/>
        <v>0</v>
      </c>
    </row>
    <row r="2473" spans="5:23" x14ac:dyDescent="0.25">
      <c r="E2473" s="4"/>
      <c r="F2473" s="4"/>
      <c r="G2473" s="33" t="str">
        <f>IFERROR(VLOOKUP($D2473,'Informations sur les produits'!$A$3:$H$10000,8,FALSE),"0")</f>
        <v>0</v>
      </c>
      <c r="K2473" s="4"/>
      <c r="L2473" s="33" t="str">
        <f>IFERROR(VLOOKUP($J2473,'Informations sur les produits'!$A$3:$H$10000,8,FALSE),"0")</f>
        <v>0</v>
      </c>
      <c r="N2473" s="8"/>
      <c r="O2473" s="33" t="str">
        <f>IFERROR(VLOOKUP($M2473,'Informations sur les produits'!$A$3:$H$10000,8,FALSE),"0")</f>
        <v>0</v>
      </c>
      <c r="P2473" s="33">
        <f t="shared" si="152"/>
        <v>0</v>
      </c>
      <c r="Q2473" s="31" t="str">
        <f t="shared" si="153"/>
        <v/>
      </c>
      <c r="R2473" s="32" t="str">
        <f>IFERROR(VLOOKUP($D2473,'Informations sur les produits'!$A$3:$B$15000,2,FALSE),"")</f>
        <v/>
      </c>
      <c r="V2473">
        <f t="shared" si="154"/>
        <v>0</v>
      </c>
      <c r="W2473">
        <f t="shared" si="155"/>
        <v>0</v>
      </c>
    </row>
    <row r="2474" spans="5:23" x14ac:dyDescent="0.25">
      <c r="E2474" s="4"/>
      <c r="F2474" s="4"/>
      <c r="G2474" s="33" t="str">
        <f>IFERROR(VLOOKUP($D2474,'Informations sur les produits'!$A$3:$H$10000,8,FALSE),"0")</f>
        <v>0</v>
      </c>
      <c r="K2474" s="4"/>
      <c r="L2474" s="33" t="str">
        <f>IFERROR(VLOOKUP($J2474,'Informations sur les produits'!$A$3:$H$10000,8,FALSE),"0")</f>
        <v>0</v>
      </c>
      <c r="N2474" s="8"/>
      <c r="O2474" s="33" t="str">
        <f>IFERROR(VLOOKUP($M2474,'Informations sur les produits'!$A$3:$H$10000,8,FALSE),"0")</f>
        <v>0</v>
      </c>
      <c r="P2474" s="33">
        <f t="shared" si="152"/>
        <v>0</v>
      </c>
      <c r="Q2474" s="31" t="str">
        <f t="shared" si="153"/>
        <v/>
      </c>
      <c r="R2474" s="32" t="str">
        <f>IFERROR(VLOOKUP($D2474,'Informations sur les produits'!$A$3:$B$15000,2,FALSE),"")</f>
        <v/>
      </c>
      <c r="V2474">
        <f t="shared" si="154"/>
        <v>0</v>
      </c>
      <c r="W2474">
        <f t="shared" si="155"/>
        <v>0</v>
      </c>
    </row>
    <row r="2475" spans="5:23" x14ac:dyDescent="0.25">
      <c r="E2475" s="4"/>
      <c r="F2475" s="4"/>
      <c r="G2475" s="33" t="str">
        <f>IFERROR(VLOOKUP($D2475,'Informations sur les produits'!$A$3:$H$10000,8,FALSE),"0")</f>
        <v>0</v>
      </c>
      <c r="K2475" s="4"/>
      <c r="L2475" s="33" t="str">
        <f>IFERROR(VLOOKUP($J2475,'Informations sur les produits'!$A$3:$H$10000,8,FALSE),"0")</f>
        <v>0</v>
      </c>
      <c r="N2475" s="8"/>
      <c r="O2475" s="33" t="str">
        <f>IFERROR(VLOOKUP($M2475,'Informations sur les produits'!$A$3:$H$10000,8,FALSE),"0")</f>
        <v>0</v>
      </c>
      <c r="P2475" s="33">
        <f t="shared" si="152"/>
        <v>0</v>
      </c>
      <c r="Q2475" s="31" t="str">
        <f t="shared" si="153"/>
        <v/>
      </c>
      <c r="R2475" s="32" t="str">
        <f>IFERROR(VLOOKUP($D2475,'Informations sur les produits'!$A$3:$B$15000,2,FALSE),"")</f>
        <v/>
      </c>
      <c r="V2475">
        <f t="shared" si="154"/>
        <v>0</v>
      </c>
      <c r="W2475">
        <f t="shared" si="155"/>
        <v>0</v>
      </c>
    </row>
    <row r="2476" spans="5:23" x14ac:dyDescent="0.25">
      <c r="E2476" s="4"/>
      <c r="F2476" s="4"/>
      <c r="G2476" s="33" t="str">
        <f>IFERROR(VLOOKUP($D2476,'Informations sur les produits'!$A$3:$H$10000,8,FALSE),"0")</f>
        <v>0</v>
      </c>
      <c r="K2476" s="4"/>
      <c r="L2476" s="33" t="str">
        <f>IFERROR(VLOOKUP($J2476,'Informations sur les produits'!$A$3:$H$10000,8,FALSE),"0")</f>
        <v>0</v>
      </c>
      <c r="N2476" s="8"/>
      <c r="O2476" s="33" t="str">
        <f>IFERROR(VLOOKUP($M2476,'Informations sur les produits'!$A$3:$H$10000,8,FALSE),"0")</f>
        <v>0</v>
      </c>
      <c r="P2476" s="33">
        <f t="shared" si="152"/>
        <v>0</v>
      </c>
      <c r="Q2476" s="31" t="str">
        <f t="shared" si="153"/>
        <v/>
      </c>
      <c r="R2476" s="32" t="str">
        <f>IFERROR(VLOOKUP($D2476,'Informations sur les produits'!$A$3:$B$15000,2,FALSE),"")</f>
        <v/>
      </c>
      <c r="V2476">
        <f t="shared" si="154"/>
        <v>0</v>
      </c>
      <c r="W2476">
        <f t="shared" si="155"/>
        <v>0</v>
      </c>
    </row>
    <row r="2477" spans="5:23" x14ac:dyDescent="0.25">
      <c r="E2477" s="4"/>
      <c r="F2477" s="4"/>
      <c r="G2477" s="33" t="str">
        <f>IFERROR(VLOOKUP($D2477,'Informations sur les produits'!$A$3:$H$10000,8,FALSE),"0")</f>
        <v>0</v>
      </c>
      <c r="K2477" s="4"/>
      <c r="L2477" s="33" t="str">
        <f>IFERROR(VLOOKUP($J2477,'Informations sur les produits'!$A$3:$H$10000,8,FALSE),"0")</f>
        <v>0</v>
      </c>
      <c r="N2477" s="8"/>
      <c r="O2477" s="33" t="str">
        <f>IFERROR(VLOOKUP($M2477,'Informations sur les produits'!$A$3:$H$10000,8,FALSE),"0")</f>
        <v>0</v>
      </c>
      <c r="P2477" s="33">
        <f t="shared" si="152"/>
        <v>0</v>
      </c>
      <c r="Q2477" s="31" t="str">
        <f t="shared" si="153"/>
        <v/>
      </c>
      <c r="R2477" s="32" t="str">
        <f>IFERROR(VLOOKUP($D2477,'Informations sur les produits'!$A$3:$B$15000,2,FALSE),"")</f>
        <v/>
      </c>
      <c r="V2477">
        <f t="shared" si="154"/>
        <v>0</v>
      </c>
      <c r="W2477">
        <f t="shared" si="155"/>
        <v>0</v>
      </c>
    </row>
    <row r="2478" spans="5:23" x14ac:dyDescent="0.25">
      <c r="E2478" s="4"/>
      <c r="F2478" s="4"/>
      <c r="G2478" s="33" t="str">
        <f>IFERROR(VLOOKUP($D2478,'Informations sur les produits'!$A$3:$H$10000,8,FALSE),"0")</f>
        <v>0</v>
      </c>
      <c r="K2478" s="4"/>
      <c r="L2478" s="33" t="str">
        <f>IFERROR(VLOOKUP($J2478,'Informations sur les produits'!$A$3:$H$10000,8,FALSE),"0")</f>
        <v>0</v>
      </c>
      <c r="N2478" s="8"/>
      <c r="O2478" s="33" t="str">
        <f>IFERROR(VLOOKUP($M2478,'Informations sur les produits'!$A$3:$H$10000,8,FALSE),"0")</f>
        <v>0</v>
      </c>
      <c r="P2478" s="33">
        <f t="shared" si="152"/>
        <v>0</v>
      </c>
      <c r="Q2478" s="31" t="str">
        <f t="shared" si="153"/>
        <v/>
      </c>
      <c r="R2478" s="32" t="str">
        <f>IFERROR(VLOOKUP($D2478,'Informations sur les produits'!$A$3:$B$15000,2,FALSE),"")</f>
        <v/>
      </c>
      <c r="V2478">
        <f t="shared" si="154"/>
        <v>0</v>
      </c>
      <c r="W2478">
        <f t="shared" si="155"/>
        <v>0</v>
      </c>
    </row>
    <row r="2479" spans="5:23" x14ac:dyDescent="0.25">
      <c r="E2479" s="4"/>
      <c r="F2479" s="4"/>
      <c r="G2479" s="33" t="str">
        <f>IFERROR(VLOOKUP($D2479,'Informations sur les produits'!$A$3:$H$10000,8,FALSE),"0")</f>
        <v>0</v>
      </c>
      <c r="K2479" s="4"/>
      <c r="L2479" s="33" t="str">
        <f>IFERROR(VLOOKUP($J2479,'Informations sur les produits'!$A$3:$H$10000,8,FALSE),"0")</f>
        <v>0</v>
      </c>
      <c r="N2479" s="8"/>
      <c r="O2479" s="33" t="str">
        <f>IFERROR(VLOOKUP($M2479,'Informations sur les produits'!$A$3:$H$10000,8,FALSE),"0")</f>
        <v>0</v>
      </c>
      <c r="P2479" s="33">
        <f t="shared" si="152"/>
        <v>0</v>
      </c>
      <c r="Q2479" s="31" t="str">
        <f t="shared" si="153"/>
        <v/>
      </c>
      <c r="R2479" s="32" t="str">
        <f>IFERROR(VLOOKUP($D2479,'Informations sur les produits'!$A$3:$B$15000,2,FALSE),"")</f>
        <v/>
      </c>
      <c r="V2479">
        <f t="shared" si="154"/>
        <v>0</v>
      </c>
      <c r="W2479">
        <f t="shared" si="155"/>
        <v>0</v>
      </c>
    </row>
    <row r="2480" spans="5:23" x14ac:dyDescent="0.25">
      <c r="E2480" s="4"/>
      <c r="F2480" s="4"/>
      <c r="G2480" s="33" t="str">
        <f>IFERROR(VLOOKUP($D2480,'Informations sur les produits'!$A$3:$H$10000,8,FALSE),"0")</f>
        <v>0</v>
      </c>
      <c r="K2480" s="4"/>
      <c r="L2480" s="33" t="str">
        <f>IFERROR(VLOOKUP($J2480,'Informations sur les produits'!$A$3:$H$10000,8,FALSE),"0")</f>
        <v>0</v>
      </c>
      <c r="N2480" s="8"/>
      <c r="O2480" s="33" t="str">
        <f>IFERROR(VLOOKUP($M2480,'Informations sur les produits'!$A$3:$H$10000,8,FALSE),"0")</f>
        <v>0</v>
      </c>
      <c r="P2480" s="33">
        <f t="shared" si="152"/>
        <v>0</v>
      </c>
      <c r="Q2480" s="31" t="str">
        <f t="shared" si="153"/>
        <v/>
      </c>
      <c r="R2480" s="32" t="str">
        <f>IFERROR(VLOOKUP($D2480,'Informations sur les produits'!$A$3:$B$15000,2,FALSE),"")</f>
        <v/>
      </c>
      <c r="V2480">
        <f t="shared" si="154"/>
        <v>0</v>
      </c>
      <c r="W2480">
        <f t="shared" si="155"/>
        <v>0</v>
      </c>
    </row>
    <row r="2481" spans="5:23" x14ac:dyDescent="0.25">
      <c r="E2481" s="4"/>
      <c r="F2481" s="4"/>
      <c r="G2481" s="33" t="str">
        <f>IFERROR(VLOOKUP($D2481,'Informations sur les produits'!$A$3:$H$10000,8,FALSE),"0")</f>
        <v>0</v>
      </c>
      <c r="K2481" s="4"/>
      <c r="L2481" s="33" t="str">
        <f>IFERROR(VLOOKUP($J2481,'Informations sur les produits'!$A$3:$H$10000,8,FALSE),"0")</f>
        <v>0</v>
      </c>
      <c r="N2481" s="8"/>
      <c r="O2481" s="33" t="str">
        <f>IFERROR(VLOOKUP($M2481,'Informations sur les produits'!$A$3:$H$10000,8,FALSE),"0")</f>
        <v>0</v>
      </c>
      <c r="P2481" s="33">
        <f t="shared" si="152"/>
        <v>0</v>
      </c>
      <c r="Q2481" s="31" t="str">
        <f t="shared" si="153"/>
        <v/>
      </c>
      <c r="R2481" s="32" t="str">
        <f>IFERROR(VLOOKUP($D2481,'Informations sur les produits'!$A$3:$B$15000,2,FALSE),"")</f>
        <v/>
      </c>
      <c r="V2481">
        <f t="shared" si="154"/>
        <v>0</v>
      </c>
      <c r="W2481">
        <f t="shared" si="155"/>
        <v>0</v>
      </c>
    </row>
    <row r="2482" spans="5:23" x14ac:dyDescent="0.25">
      <c r="E2482" s="4"/>
      <c r="F2482" s="4"/>
      <c r="G2482" s="33" t="str">
        <f>IFERROR(VLOOKUP($D2482,'Informations sur les produits'!$A$3:$H$10000,8,FALSE),"0")</f>
        <v>0</v>
      </c>
      <c r="K2482" s="4"/>
      <c r="L2482" s="33" t="str">
        <f>IFERROR(VLOOKUP($J2482,'Informations sur les produits'!$A$3:$H$10000,8,FALSE),"0")</f>
        <v>0</v>
      </c>
      <c r="N2482" s="8"/>
      <c r="O2482" s="33" t="str">
        <f>IFERROR(VLOOKUP($M2482,'Informations sur les produits'!$A$3:$H$10000,8,FALSE),"0")</f>
        <v>0</v>
      </c>
      <c r="P2482" s="33">
        <f t="shared" si="152"/>
        <v>0</v>
      </c>
      <c r="Q2482" s="31" t="str">
        <f t="shared" si="153"/>
        <v/>
      </c>
      <c r="R2482" s="32" t="str">
        <f>IFERROR(VLOOKUP($D2482,'Informations sur les produits'!$A$3:$B$15000,2,FALSE),"")</f>
        <v/>
      </c>
      <c r="V2482">
        <f t="shared" si="154"/>
        <v>0</v>
      </c>
      <c r="W2482">
        <f t="shared" si="155"/>
        <v>0</v>
      </c>
    </row>
    <row r="2483" spans="5:23" x14ac:dyDescent="0.25">
      <c r="E2483" s="4"/>
      <c r="F2483" s="4"/>
      <c r="G2483" s="33" t="str">
        <f>IFERROR(VLOOKUP($D2483,'Informations sur les produits'!$A$3:$H$10000,8,FALSE),"0")</f>
        <v>0</v>
      </c>
      <c r="K2483" s="4"/>
      <c r="L2483" s="33" t="str">
        <f>IFERROR(VLOOKUP($J2483,'Informations sur les produits'!$A$3:$H$10000,8,FALSE),"0")</f>
        <v>0</v>
      </c>
      <c r="N2483" s="8"/>
      <c r="O2483" s="33" t="str">
        <f>IFERROR(VLOOKUP($M2483,'Informations sur les produits'!$A$3:$H$10000,8,FALSE),"0")</f>
        <v>0</v>
      </c>
      <c r="P2483" s="33">
        <f t="shared" si="152"/>
        <v>0</v>
      </c>
      <c r="Q2483" s="31" t="str">
        <f t="shared" si="153"/>
        <v/>
      </c>
      <c r="R2483" s="32" t="str">
        <f>IFERROR(VLOOKUP($D2483,'Informations sur les produits'!$A$3:$B$15000,2,FALSE),"")</f>
        <v/>
      </c>
      <c r="V2483">
        <f t="shared" si="154"/>
        <v>0</v>
      </c>
      <c r="W2483">
        <f t="shared" si="155"/>
        <v>0</v>
      </c>
    </row>
    <row r="2484" spans="5:23" x14ac:dyDescent="0.25">
      <c r="E2484" s="4"/>
      <c r="F2484" s="4"/>
      <c r="G2484" s="33" t="str">
        <f>IFERROR(VLOOKUP($D2484,'Informations sur les produits'!$A$3:$H$10000,8,FALSE),"0")</f>
        <v>0</v>
      </c>
      <c r="K2484" s="4"/>
      <c r="L2484" s="33" t="str">
        <f>IFERROR(VLOOKUP($J2484,'Informations sur les produits'!$A$3:$H$10000,8,FALSE),"0")</f>
        <v>0</v>
      </c>
      <c r="N2484" s="8"/>
      <c r="O2484" s="33" t="str">
        <f>IFERROR(VLOOKUP($M2484,'Informations sur les produits'!$A$3:$H$10000,8,FALSE),"0")</f>
        <v>0</v>
      </c>
      <c r="P2484" s="33">
        <f t="shared" si="152"/>
        <v>0</v>
      </c>
      <c r="Q2484" s="31" t="str">
        <f t="shared" si="153"/>
        <v/>
      </c>
      <c r="R2484" s="32" t="str">
        <f>IFERROR(VLOOKUP($D2484,'Informations sur les produits'!$A$3:$B$15000,2,FALSE),"")</f>
        <v/>
      </c>
      <c r="V2484">
        <f t="shared" si="154"/>
        <v>0</v>
      </c>
      <c r="W2484">
        <f t="shared" si="155"/>
        <v>0</v>
      </c>
    </row>
    <row r="2485" spans="5:23" x14ac:dyDescent="0.25">
      <c r="E2485" s="4"/>
      <c r="F2485" s="4"/>
      <c r="G2485" s="33" t="str">
        <f>IFERROR(VLOOKUP($D2485,'Informations sur les produits'!$A$3:$H$10000,8,FALSE),"0")</f>
        <v>0</v>
      </c>
      <c r="K2485" s="4"/>
      <c r="L2485" s="33" t="str">
        <f>IFERROR(VLOOKUP($J2485,'Informations sur les produits'!$A$3:$H$10000,8,FALSE),"0")</f>
        <v>0</v>
      </c>
      <c r="N2485" s="8"/>
      <c r="O2485" s="33" t="str">
        <f>IFERROR(VLOOKUP($M2485,'Informations sur les produits'!$A$3:$H$10000,8,FALSE),"0")</f>
        <v>0</v>
      </c>
      <c r="P2485" s="33">
        <f t="shared" si="152"/>
        <v>0</v>
      </c>
      <c r="Q2485" s="31" t="str">
        <f t="shared" si="153"/>
        <v/>
      </c>
      <c r="R2485" s="32" t="str">
        <f>IFERROR(VLOOKUP($D2485,'Informations sur les produits'!$A$3:$B$15000,2,FALSE),"")</f>
        <v/>
      </c>
      <c r="V2485">
        <f t="shared" si="154"/>
        <v>0</v>
      </c>
      <c r="W2485">
        <f t="shared" si="155"/>
        <v>0</v>
      </c>
    </row>
    <row r="2486" spans="5:23" x14ac:dyDescent="0.25">
      <c r="E2486" s="4"/>
      <c r="F2486" s="4"/>
      <c r="G2486" s="33" t="str">
        <f>IFERROR(VLOOKUP($D2486,'Informations sur les produits'!$A$3:$H$10000,8,FALSE),"0")</f>
        <v>0</v>
      </c>
      <c r="K2486" s="4"/>
      <c r="L2486" s="33" t="str">
        <f>IFERROR(VLOOKUP($J2486,'Informations sur les produits'!$A$3:$H$10000,8,FALSE),"0")</f>
        <v>0</v>
      </c>
      <c r="N2486" s="8"/>
      <c r="O2486" s="33" t="str">
        <f>IFERROR(VLOOKUP($M2486,'Informations sur les produits'!$A$3:$H$10000,8,FALSE),"0")</f>
        <v>0</v>
      </c>
      <c r="P2486" s="33">
        <f t="shared" si="152"/>
        <v>0</v>
      </c>
      <c r="Q2486" s="31" t="str">
        <f t="shared" si="153"/>
        <v/>
      </c>
      <c r="R2486" s="32" t="str">
        <f>IFERROR(VLOOKUP($D2486,'Informations sur les produits'!$A$3:$B$15000,2,FALSE),"")</f>
        <v/>
      </c>
      <c r="V2486">
        <f t="shared" si="154"/>
        <v>0</v>
      </c>
      <c r="W2486">
        <f t="shared" si="155"/>
        <v>0</v>
      </c>
    </row>
    <row r="2487" spans="5:23" x14ac:dyDescent="0.25">
      <c r="E2487" s="4"/>
      <c r="F2487" s="4"/>
      <c r="G2487" s="33" t="str">
        <f>IFERROR(VLOOKUP($D2487,'Informations sur les produits'!$A$3:$H$10000,8,FALSE),"0")</f>
        <v>0</v>
      </c>
      <c r="K2487" s="4"/>
      <c r="L2487" s="33" t="str">
        <f>IFERROR(VLOOKUP($J2487,'Informations sur les produits'!$A$3:$H$10000,8,FALSE),"0")</f>
        <v>0</v>
      </c>
      <c r="N2487" s="8"/>
      <c r="O2487" s="33" t="str">
        <f>IFERROR(VLOOKUP($M2487,'Informations sur les produits'!$A$3:$H$10000,8,FALSE),"0")</f>
        <v>0</v>
      </c>
      <c r="P2487" s="33">
        <f t="shared" si="152"/>
        <v>0</v>
      </c>
      <c r="Q2487" s="31" t="str">
        <f t="shared" si="153"/>
        <v/>
      </c>
      <c r="R2487" s="32" t="str">
        <f>IFERROR(VLOOKUP($D2487,'Informations sur les produits'!$A$3:$B$15000,2,FALSE),"")</f>
        <v/>
      </c>
      <c r="V2487">
        <f t="shared" si="154"/>
        <v>0</v>
      </c>
      <c r="W2487">
        <f t="shared" si="155"/>
        <v>0</v>
      </c>
    </row>
    <row r="2488" spans="5:23" x14ac:dyDescent="0.25">
      <c r="E2488" s="4"/>
      <c r="F2488" s="4"/>
      <c r="G2488" s="33" t="str">
        <f>IFERROR(VLOOKUP($D2488,'Informations sur les produits'!$A$3:$H$10000,8,FALSE),"0")</f>
        <v>0</v>
      </c>
      <c r="K2488" s="4"/>
      <c r="L2488" s="33" t="str">
        <f>IFERROR(VLOOKUP($J2488,'Informations sur les produits'!$A$3:$H$10000,8,FALSE),"0")</f>
        <v>0</v>
      </c>
      <c r="N2488" s="8"/>
      <c r="O2488" s="33" t="str">
        <f>IFERROR(VLOOKUP($M2488,'Informations sur les produits'!$A$3:$H$10000,8,FALSE),"0")</f>
        <v>0</v>
      </c>
      <c r="P2488" s="33">
        <f t="shared" si="152"/>
        <v>0</v>
      </c>
      <c r="Q2488" s="31" t="str">
        <f t="shared" si="153"/>
        <v/>
      </c>
      <c r="R2488" s="32" t="str">
        <f>IFERROR(VLOOKUP($D2488,'Informations sur les produits'!$A$3:$B$15000,2,FALSE),"")</f>
        <v/>
      </c>
      <c r="V2488">
        <f t="shared" si="154"/>
        <v>0</v>
      </c>
      <c r="W2488">
        <f t="shared" si="155"/>
        <v>0</v>
      </c>
    </row>
    <row r="2489" spans="5:23" x14ac:dyDescent="0.25">
      <c r="E2489" s="4"/>
      <c r="F2489" s="4"/>
      <c r="G2489" s="33" t="str">
        <f>IFERROR(VLOOKUP($D2489,'Informations sur les produits'!$A$3:$H$10000,8,FALSE),"0")</f>
        <v>0</v>
      </c>
      <c r="K2489" s="4"/>
      <c r="L2489" s="33" t="str">
        <f>IFERROR(VLOOKUP($J2489,'Informations sur les produits'!$A$3:$H$10000,8,FALSE),"0")</f>
        <v>0</v>
      </c>
      <c r="N2489" s="8"/>
      <c r="O2489" s="33" t="str">
        <f>IFERROR(VLOOKUP($M2489,'Informations sur les produits'!$A$3:$H$10000,8,FALSE),"0")</f>
        <v>0</v>
      </c>
      <c r="P2489" s="33">
        <f t="shared" si="152"/>
        <v>0</v>
      </c>
      <c r="Q2489" s="31" t="str">
        <f t="shared" si="153"/>
        <v/>
      </c>
      <c r="R2489" s="32" t="str">
        <f>IFERROR(VLOOKUP($D2489,'Informations sur les produits'!$A$3:$B$15000,2,FALSE),"")</f>
        <v/>
      </c>
      <c r="V2489">
        <f t="shared" si="154"/>
        <v>0</v>
      </c>
      <c r="W2489">
        <f t="shared" si="155"/>
        <v>0</v>
      </c>
    </row>
    <row r="2490" spans="5:23" x14ac:dyDescent="0.25">
      <c r="E2490" s="4"/>
      <c r="F2490" s="4"/>
      <c r="G2490" s="33" t="str">
        <f>IFERROR(VLOOKUP($D2490,'Informations sur les produits'!$A$3:$H$10000,8,FALSE),"0")</f>
        <v>0</v>
      </c>
      <c r="K2490" s="4"/>
      <c r="L2490" s="33" t="str">
        <f>IFERROR(VLOOKUP($J2490,'Informations sur les produits'!$A$3:$H$10000,8,FALSE),"0")</f>
        <v>0</v>
      </c>
      <c r="N2490" s="8"/>
      <c r="O2490" s="33" t="str">
        <f>IFERROR(VLOOKUP($M2490,'Informations sur les produits'!$A$3:$H$10000,8,FALSE),"0")</f>
        <v>0</v>
      </c>
      <c r="P2490" s="33">
        <f t="shared" si="152"/>
        <v>0</v>
      </c>
      <c r="Q2490" s="31" t="str">
        <f t="shared" si="153"/>
        <v/>
      </c>
      <c r="R2490" s="32" t="str">
        <f>IFERROR(VLOOKUP($D2490,'Informations sur les produits'!$A$3:$B$15000,2,FALSE),"")</f>
        <v/>
      </c>
      <c r="V2490">
        <f t="shared" si="154"/>
        <v>0</v>
      </c>
      <c r="W2490">
        <f t="shared" si="155"/>
        <v>0</v>
      </c>
    </row>
    <row r="2491" spans="5:23" x14ac:dyDescent="0.25">
      <c r="E2491" s="4"/>
      <c r="F2491" s="4"/>
      <c r="G2491" s="33" t="str">
        <f>IFERROR(VLOOKUP($D2491,'Informations sur les produits'!$A$3:$H$10000,8,FALSE),"0")</f>
        <v>0</v>
      </c>
      <c r="K2491" s="4"/>
      <c r="L2491" s="33" t="str">
        <f>IFERROR(VLOOKUP($J2491,'Informations sur les produits'!$A$3:$H$10000,8,FALSE),"0")</f>
        <v>0</v>
      </c>
      <c r="N2491" s="8"/>
      <c r="O2491" s="33" t="str">
        <f>IFERROR(VLOOKUP($M2491,'Informations sur les produits'!$A$3:$H$10000,8,FALSE),"0")</f>
        <v>0</v>
      </c>
      <c r="P2491" s="33">
        <f t="shared" si="152"/>
        <v>0</v>
      </c>
      <c r="Q2491" s="31" t="str">
        <f t="shared" si="153"/>
        <v/>
      </c>
      <c r="R2491" s="32" t="str">
        <f>IFERROR(VLOOKUP($D2491,'Informations sur les produits'!$A$3:$B$15000,2,FALSE),"")</f>
        <v/>
      </c>
      <c r="V2491">
        <f t="shared" si="154"/>
        <v>0</v>
      </c>
      <c r="W2491">
        <f t="shared" si="155"/>
        <v>0</v>
      </c>
    </row>
    <row r="2492" spans="5:23" x14ac:dyDescent="0.25">
      <c r="E2492" s="4"/>
      <c r="F2492" s="4"/>
      <c r="G2492" s="33" t="str">
        <f>IFERROR(VLOOKUP($D2492,'Informations sur les produits'!$A$3:$H$10000,8,FALSE),"0")</f>
        <v>0</v>
      </c>
      <c r="K2492" s="4"/>
      <c r="L2492" s="33" t="str">
        <f>IFERROR(VLOOKUP($J2492,'Informations sur les produits'!$A$3:$H$10000,8,FALSE),"0")</f>
        <v>0</v>
      </c>
      <c r="N2492" s="8"/>
      <c r="O2492" s="33" t="str">
        <f>IFERROR(VLOOKUP($M2492,'Informations sur les produits'!$A$3:$H$10000,8,FALSE),"0")</f>
        <v>0</v>
      </c>
      <c r="P2492" s="33">
        <f t="shared" si="152"/>
        <v>0</v>
      </c>
      <c r="Q2492" s="31" t="str">
        <f t="shared" si="153"/>
        <v/>
      </c>
      <c r="R2492" s="32" t="str">
        <f>IFERROR(VLOOKUP($D2492,'Informations sur les produits'!$A$3:$B$15000,2,FALSE),"")</f>
        <v/>
      </c>
      <c r="V2492">
        <f t="shared" si="154"/>
        <v>0</v>
      </c>
      <c r="W2492">
        <f t="shared" si="155"/>
        <v>0</v>
      </c>
    </row>
    <row r="2493" spans="5:23" x14ac:dyDescent="0.25">
      <c r="E2493" s="4"/>
      <c r="F2493" s="4"/>
      <c r="G2493" s="33" t="str">
        <f>IFERROR(VLOOKUP($D2493,'Informations sur les produits'!$A$3:$H$10000,8,FALSE),"0")</f>
        <v>0</v>
      </c>
      <c r="K2493" s="4"/>
      <c r="L2493" s="33" t="str">
        <f>IFERROR(VLOOKUP($J2493,'Informations sur les produits'!$A$3:$H$10000,8,FALSE),"0")</f>
        <v>0</v>
      </c>
      <c r="N2493" s="8"/>
      <c r="O2493" s="33" t="str">
        <f>IFERROR(VLOOKUP($M2493,'Informations sur les produits'!$A$3:$H$10000,8,FALSE),"0")</f>
        <v>0</v>
      </c>
      <c r="P2493" s="33">
        <f t="shared" si="152"/>
        <v>0</v>
      </c>
      <c r="Q2493" s="31" t="str">
        <f t="shared" si="153"/>
        <v/>
      </c>
      <c r="R2493" s="32" t="str">
        <f>IFERROR(VLOOKUP($D2493,'Informations sur les produits'!$A$3:$B$15000,2,FALSE),"")</f>
        <v/>
      </c>
      <c r="V2493">
        <f t="shared" si="154"/>
        <v>0</v>
      </c>
      <c r="W2493">
        <f t="shared" si="155"/>
        <v>0</v>
      </c>
    </row>
    <row r="2494" spans="5:23" x14ac:dyDescent="0.25">
      <c r="E2494" s="4"/>
      <c r="F2494" s="4"/>
      <c r="G2494" s="33" t="str">
        <f>IFERROR(VLOOKUP($D2494,'Informations sur les produits'!$A$3:$H$10000,8,FALSE),"0")</f>
        <v>0</v>
      </c>
      <c r="K2494" s="4"/>
      <c r="L2494" s="33" t="str">
        <f>IFERROR(VLOOKUP($J2494,'Informations sur les produits'!$A$3:$H$10000,8,FALSE),"0")</f>
        <v>0</v>
      </c>
      <c r="N2494" s="8"/>
      <c r="O2494" s="33" t="str">
        <f>IFERROR(VLOOKUP($M2494,'Informations sur les produits'!$A$3:$H$10000,8,FALSE),"0")</f>
        <v>0</v>
      </c>
      <c r="P2494" s="33">
        <f t="shared" si="152"/>
        <v>0</v>
      </c>
      <c r="Q2494" s="31" t="str">
        <f t="shared" si="153"/>
        <v/>
      </c>
      <c r="R2494" s="32" t="str">
        <f>IFERROR(VLOOKUP($D2494,'Informations sur les produits'!$A$3:$B$15000,2,FALSE),"")</f>
        <v/>
      </c>
      <c r="V2494">
        <f t="shared" si="154"/>
        <v>0</v>
      </c>
      <c r="W2494">
        <f t="shared" si="155"/>
        <v>0</v>
      </c>
    </row>
    <row r="2495" spans="5:23" x14ac:dyDescent="0.25">
      <c r="E2495" s="4"/>
      <c r="F2495" s="4"/>
      <c r="G2495" s="33" t="str">
        <f>IFERROR(VLOOKUP($D2495,'Informations sur les produits'!$A$3:$H$10000,8,FALSE),"0")</f>
        <v>0</v>
      </c>
      <c r="K2495" s="4"/>
      <c r="L2495" s="33" t="str">
        <f>IFERROR(VLOOKUP($J2495,'Informations sur les produits'!$A$3:$H$10000,8,FALSE),"0")</f>
        <v>0</v>
      </c>
      <c r="N2495" s="8"/>
      <c r="O2495" s="33" t="str">
        <f>IFERROR(VLOOKUP($M2495,'Informations sur les produits'!$A$3:$H$10000,8,FALSE),"0")</f>
        <v>0</v>
      </c>
      <c r="P2495" s="33">
        <f t="shared" si="152"/>
        <v>0</v>
      </c>
      <c r="Q2495" s="31" t="str">
        <f t="shared" si="153"/>
        <v/>
      </c>
      <c r="R2495" s="32" t="str">
        <f>IFERROR(VLOOKUP($D2495,'Informations sur les produits'!$A$3:$B$15000,2,FALSE),"")</f>
        <v/>
      </c>
      <c r="V2495">
        <f t="shared" si="154"/>
        <v>0</v>
      </c>
      <c r="W2495">
        <f t="shared" si="155"/>
        <v>0</v>
      </c>
    </row>
    <row r="2496" spans="5:23" x14ac:dyDescent="0.25">
      <c r="E2496" s="4"/>
      <c r="F2496" s="4"/>
      <c r="G2496" s="33" t="str">
        <f>IFERROR(VLOOKUP($D2496,'Informations sur les produits'!$A$3:$H$10000,8,FALSE),"0")</f>
        <v>0</v>
      </c>
      <c r="K2496" s="4"/>
      <c r="L2496" s="33" t="str">
        <f>IFERROR(VLOOKUP($J2496,'Informations sur les produits'!$A$3:$H$10000,8,FALSE),"0")</f>
        <v>0</v>
      </c>
      <c r="N2496" s="8"/>
      <c r="O2496" s="33" t="str">
        <f>IFERROR(VLOOKUP($M2496,'Informations sur les produits'!$A$3:$H$10000,8,FALSE),"0")</f>
        <v>0</v>
      </c>
      <c r="P2496" s="33">
        <f t="shared" si="152"/>
        <v>0</v>
      </c>
      <c r="Q2496" s="31" t="str">
        <f t="shared" si="153"/>
        <v/>
      </c>
      <c r="R2496" s="32" t="str">
        <f>IFERROR(VLOOKUP($D2496,'Informations sur les produits'!$A$3:$B$15000,2,FALSE),"")</f>
        <v/>
      </c>
      <c r="V2496">
        <f t="shared" si="154"/>
        <v>0</v>
      </c>
      <c r="W2496">
        <f t="shared" si="155"/>
        <v>0</v>
      </c>
    </row>
    <row r="2497" spans="5:23" x14ac:dyDescent="0.25">
      <c r="E2497" s="4"/>
      <c r="F2497" s="4"/>
      <c r="G2497" s="33" t="str">
        <f>IFERROR(VLOOKUP($D2497,'Informations sur les produits'!$A$3:$H$10000,8,FALSE),"0")</f>
        <v>0</v>
      </c>
      <c r="K2497" s="4"/>
      <c r="L2497" s="33" t="str">
        <f>IFERROR(VLOOKUP($J2497,'Informations sur les produits'!$A$3:$H$10000,8,FALSE),"0")</f>
        <v>0</v>
      </c>
      <c r="N2497" s="8"/>
      <c r="O2497" s="33" t="str">
        <f>IFERROR(VLOOKUP($M2497,'Informations sur les produits'!$A$3:$H$10000,8,FALSE),"0")</f>
        <v>0</v>
      </c>
      <c r="P2497" s="33">
        <f t="shared" si="152"/>
        <v>0</v>
      </c>
      <c r="Q2497" s="31" t="str">
        <f t="shared" si="153"/>
        <v/>
      </c>
      <c r="R2497" s="32" t="str">
        <f>IFERROR(VLOOKUP($D2497,'Informations sur les produits'!$A$3:$B$15000,2,FALSE),"")</f>
        <v/>
      </c>
      <c r="V2497">
        <f t="shared" si="154"/>
        <v>0</v>
      </c>
      <c r="W2497">
        <f t="shared" si="155"/>
        <v>0</v>
      </c>
    </row>
    <row r="2498" spans="5:23" x14ac:dyDescent="0.25">
      <c r="E2498" s="4"/>
      <c r="F2498" s="4"/>
      <c r="G2498" s="33" t="str">
        <f>IFERROR(VLOOKUP($D2498,'Informations sur les produits'!$A$3:$H$10000,8,FALSE),"0")</f>
        <v>0</v>
      </c>
      <c r="K2498" s="4"/>
      <c r="L2498" s="33" t="str">
        <f>IFERROR(VLOOKUP($J2498,'Informations sur les produits'!$A$3:$H$10000,8,FALSE),"0")</f>
        <v>0</v>
      </c>
      <c r="N2498" s="8"/>
      <c r="O2498" s="33" t="str">
        <f>IFERROR(VLOOKUP($M2498,'Informations sur les produits'!$A$3:$H$10000,8,FALSE),"0")</f>
        <v>0</v>
      </c>
      <c r="P2498" s="33">
        <f t="shared" si="152"/>
        <v>0</v>
      </c>
      <c r="Q2498" s="31" t="str">
        <f t="shared" si="153"/>
        <v/>
      </c>
      <c r="R2498" s="32" t="str">
        <f>IFERROR(VLOOKUP($D2498,'Informations sur les produits'!$A$3:$B$15000,2,FALSE),"")</f>
        <v/>
      </c>
      <c r="V2498">
        <f t="shared" si="154"/>
        <v>0</v>
      </c>
      <c r="W2498">
        <f t="shared" si="155"/>
        <v>0</v>
      </c>
    </row>
    <row r="2499" spans="5:23" x14ac:dyDescent="0.25">
      <c r="E2499" s="4"/>
      <c r="F2499" s="4"/>
      <c r="G2499" s="33" t="str">
        <f>IFERROR(VLOOKUP($D2499,'Informations sur les produits'!$A$3:$H$10000,8,FALSE),"0")</f>
        <v>0</v>
      </c>
      <c r="K2499" s="4"/>
      <c r="L2499" s="33" t="str">
        <f>IFERROR(VLOOKUP($J2499,'Informations sur les produits'!$A$3:$H$10000,8,FALSE),"0")</f>
        <v>0</v>
      </c>
      <c r="N2499" s="8"/>
      <c r="O2499" s="33" t="str">
        <f>IFERROR(VLOOKUP($M2499,'Informations sur les produits'!$A$3:$H$10000,8,FALSE),"0")</f>
        <v>0</v>
      </c>
      <c r="P2499" s="33">
        <f t="shared" si="152"/>
        <v>0</v>
      </c>
      <c r="Q2499" s="31" t="str">
        <f t="shared" si="153"/>
        <v/>
      </c>
      <c r="R2499" s="32" t="str">
        <f>IFERROR(VLOOKUP($D2499,'Informations sur les produits'!$A$3:$B$15000,2,FALSE),"")</f>
        <v/>
      </c>
      <c r="V2499">
        <f t="shared" si="154"/>
        <v>0</v>
      </c>
      <c r="W2499">
        <f t="shared" si="155"/>
        <v>0</v>
      </c>
    </row>
    <row r="2500" spans="5:23" x14ac:dyDescent="0.25">
      <c r="E2500" s="4"/>
      <c r="F2500" s="4"/>
      <c r="G2500" s="33" t="str">
        <f>IFERROR(VLOOKUP($D2500,'Informations sur les produits'!$A$3:$H$10000,8,FALSE),"0")</f>
        <v>0</v>
      </c>
      <c r="K2500" s="4"/>
      <c r="L2500" s="33" t="str">
        <f>IFERROR(VLOOKUP($J2500,'Informations sur les produits'!$A$3:$H$10000,8,FALSE),"0")</f>
        <v>0</v>
      </c>
      <c r="N2500" s="8"/>
      <c r="O2500" s="33" t="str">
        <f>IFERROR(VLOOKUP($M2500,'Informations sur les produits'!$A$3:$H$10000,8,FALSE),"0")</f>
        <v>0</v>
      </c>
      <c r="P2500" s="33">
        <f t="shared" ref="P2500:P2563" si="156">IFERROR((($E2500-$F2500)*$G2500+$K2500*$L2500+$N2500*$O2500),"")</f>
        <v>0</v>
      </c>
      <c r="Q2500" s="31" t="str">
        <f t="shared" ref="Q2500:Q2563" si="157">IFERROR((((($E2500-$F2500)*$G2500+$K2500*$L2500+$N2500*$O2500)*1000)/(($E2500-$F2500)+$K2500+$N2500)),"")</f>
        <v/>
      </c>
      <c r="R2500" s="32" t="str">
        <f>IFERROR(VLOOKUP($D2500,'Informations sur les produits'!$A$3:$B$15000,2,FALSE),"")</f>
        <v/>
      </c>
      <c r="V2500">
        <f t="shared" ref="V2500:V2563" si="158">IFERROR(P2500*1000,"")</f>
        <v>0</v>
      </c>
      <c r="W2500">
        <f t="shared" ref="W2500:W2563" si="159">IFERROR(($E2500-$F2500)+$K2500+$N2500,"")</f>
        <v>0</v>
      </c>
    </row>
    <row r="2501" spans="5:23" x14ac:dyDescent="0.25">
      <c r="E2501" s="4"/>
      <c r="F2501" s="4"/>
      <c r="G2501" s="33" t="str">
        <f>IFERROR(VLOOKUP($D2501,'Informations sur les produits'!$A$3:$H$10000,8,FALSE),"0")</f>
        <v>0</v>
      </c>
      <c r="K2501" s="4"/>
      <c r="L2501" s="33" t="str">
        <f>IFERROR(VLOOKUP($J2501,'Informations sur les produits'!$A$3:$H$10000,8,FALSE),"0")</f>
        <v>0</v>
      </c>
      <c r="N2501" s="8"/>
      <c r="O2501" s="33" t="str">
        <f>IFERROR(VLOOKUP($M2501,'Informations sur les produits'!$A$3:$H$10000,8,FALSE),"0")</f>
        <v>0</v>
      </c>
      <c r="P2501" s="33">
        <f t="shared" si="156"/>
        <v>0</v>
      </c>
      <c r="Q2501" s="31" t="str">
        <f t="shared" si="157"/>
        <v/>
      </c>
      <c r="R2501" s="32" t="str">
        <f>IFERROR(VLOOKUP($D2501,'Informations sur les produits'!$A$3:$B$15000,2,FALSE),"")</f>
        <v/>
      </c>
      <c r="V2501">
        <f t="shared" si="158"/>
        <v>0</v>
      </c>
      <c r="W2501">
        <f t="shared" si="159"/>
        <v>0</v>
      </c>
    </row>
    <row r="2502" spans="5:23" x14ac:dyDescent="0.25">
      <c r="E2502" s="4"/>
      <c r="F2502" s="4"/>
      <c r="G2502" s="33" t="str">
        <f>IFERROR(VLOOKUP($D2502,'Informations sur les produits'!$A$3:$H$10000,8,FALSE),"0")</f>
        <v>0</v>
      </c>
      <c r="K2502" s="4"/>
      <c r="L2502" s="33" t="str">
        <f>IFERROR(VLOOKUP($J2502,'Informations sur les produits'!$A$3:$H$10000,8,FALSE),"0")</f>
        <v>0</v>
      </c>
      <c r="N2502" s="8"/>
      <c r="O2502" s="33" t="str">
        <f>IFERROR(VLOOKUP($M2502,'Informations sur les produits'!$A$3:$H$10000,8,FALSE),"0")</f>
        <v>0</v>
      </c>
      <c r="P2502" s="33">
        <f t="shared" si="156"/>
        <v>0</v>
      </c>
      <c r="Q2502" s="31" t="str">
        <f t="shared" si="157"/>
        <v/>
      </c>
      <c r="R2502" s="32" t="str">
        <f>IFERROR(VLOOKUP($D2502,'Informations sur les produits'!$A$3:$B$15000,2,FALSE),"")</f>
        <v/>
      </c>
      <c r="V2502">
        <f t="shared" si="158"/>
        <v>0</v>
      </c>
      <c r="W2502">
        <f t="shared" si="159"/>
        <v>0</v>
      </c>
    </row>
    <row r="2503" spans="5:23" x14ac:dyDescent="0.25">
      <c r="E2503" s="4"/>
      <c r="F2503" s="4"/>
      <c r="G2503" s="33" t="str">
        <f>IFERROR(VLOOKUP($D2503,'Informations sur les produits'!$A$3:$H$10000,8,FALSE),"0")</f>
        <v>0</v>
      </c>
      <c r="K2503" s="4"/>
      <c r="L2503" s="33" t="str">
        <f>IFERROR(VLOOKUP($J2503,'Informations sur les produits'!$A$3:$H$10000,8,FALSE),"0")</f>
        <v>0</v>
      </c>
      <c r="N2503" s="8"/>
      <c r="O2503" s="33" t="str">
        <f>IFERROR(VLOOKUP($M2503,'Informations sur les produits'!$A$3:$H$10000,8,FALSE),"0")</f>
        <v>0</v>
      </c>
      <c r="P2503" s="33">
        <f t="shared" si="156"/>
        <v>0</v>
      </c>
      <c r="Q2503" s="31" t="str">
        <f t="shared" si="157"/>
        <v/>
      </c>
      <c r="R2503" s="32" t="str">
        <f>IFERROR(VLOOKUP($D2503,'Informations sur les produits'!$A$3:$B$15000,2,FALSE),"")</f>
        <v/>
      </c>
      <c r="V2503">
        <f t="shared" si="158"/>
        <v>0</v>
      </c>
      <c r="W2503">
        <f t="shared" si="159"/>
        <v>0</v>
      </c>
    </row>
    <row r="2504" spans="5:23" x14ac:dyDescent="0.25">
      <c r="E2504" s="4"/>
      <c r="F2504" s="4"/>
      <c r="G2504" s="33" t="str">
        <f>IFERROR(VLOOKUP($D2504,'Informations sur les produits'!$A$3:$H$10000,8,FALSE),"0")</f>
        <v>0</v>
      </c>
      <c r="K2504" s="4"/>
      <c r="L2504" s="33" t="str">
        <f>IFERROR(VLOOKUP($J2504,'Informations sur les produits'!$A$3:$H$10000,8,FALSE),"0")</f>
        <v>0</v>
      </c>
      <c r="N2504" s="8"/>
      <c r="O2504" s="33" t="str">
        <f>IFERROR(VLOOKUP($M2504,'Informations sur les produits'!$A$3:$H$10000,8,FALSE),"0")</f>
        <v>0</v>
      </c>
      <c r="P2504" s="33">
        <f t="shared" si="156"/>
        <v>0</v>
      </c>
      <c r="Q2504" s="31" t="str">
        <f t="shared" si="157"/>
        <v/>
      </c>
      <c r="R2504" s="32" t="str">
        <f>IFERROR(VLOOKUP($D2504,'Informations sur les produits'!$A$3:$B$15000,2,FALSE),"")</f>
        <v/>
      </c>
      <c r="V2504">
        <f t="shared" si="158"/>
        <v>0</v>
      </c>
      <c r="W2504">
        <f t="shared" si="159"/>
        <v>0</v>
      </c>
    </row>
    <row r="2505" spans="5:23" x14ac:dyDescent="0.25">
      <c r="E2505" s="4"/>
      <c r="F2505" s="4"/>
      <c r="G2505" s="33" t="str">
        <f>IFERROR(VLOOKUP($D2505,'Informations sur les produits'!$A$3:$H$10000,8,FALSE),"0")</f>
        <v>0</v>
      </c>
      <c r="K2505" s="4"/>
      <c r="L2505" s="33" t="str">
        <f>IFERROR(VLOOKUP($J2505,'Informations sur les produits'!$A$3:$H$10000,8,FALSE),"0")</f>
        <v>0</v>
      </c>
      <c r="N2505" s="8"/>
      <c r="O2505" s="33" t="str">
        <f>IFERROR(VLOOKUP($M2505,'Informations sur les produits'!$A$3:$H$10000,8,FALSE),"0")</f>
        <v>0</v>
      </c>
      <c r="P2505" s="33">
        <f t="shared" si="156"/>
        <v>0</v>
      </c>
      <c r="Q2505" s="31" t="str">
        <f t="shared" si="157"/>
        <v/>
      </c>
      <c r="R2505" s="32" t="str">
        <f>IFERROR(VLOOKUP($D2505,'Informations sur les produits'!$A$3:$B$15000,2,FALSE),"")</f>
        <v/>
      </c>
      <c r="V2505">
        <f t="shared" si="158"/>
        <v>0</v>
      </c>
      <c r="W2505">
        <f t="shared" si="159"/>
        <v>0</v>
      </c>
    </row>
    <row r="2506" spans="5:23" x14ac:dyDescent="0.25">
      <c r="E2506" s="4"/>
      <c r="F2506" s="4"/>
      <c r="G2506" s="33" t="str">
        <f>IFERROR(VLOOKUP($D2506,'Informations sur les produits'!$A$3:$H$10000,8,FALSE),"0")</f>
        <v>0</v>
      </c>
      <c r="K2506" s="4"/>
      <c r="L2506" s="33" t="str">
        <f>IFERROR(VLOOKUP($J2506,'Informations sur les produits'!$A$3:$H$10000,8,FALSE),"0")</f>
        <v>0</v>
      </c>
      <c r="N2506" s="8"/>
      <c r="O2506" s="33" t="str">
        <f>IFERROR(VLOOKUP($M2506,'Informations sur les produits'!$A$3:$H$10000,8,FALSE),"0")</f>
        <v>0</v>
      </c>
      <c r="P2506" s="33">
        <f t="shared" si="156"/>
        <v>0</v>
      </c>
      <c r="Q2506" s="31" t="str">
        <f t="shared" si="157"/>
        <v/>
      </c>
      <c r="R2506" s="32" t="str">
        <f>IFERROR(VLOOKUP($D2506,'Informations sur les produits'!$A$3:$B$15000,2,FALSE),"")</f>
        <v/>
      </c>
      <c r="V2506">
        <f t="shared" si="158"/>
        <v>0</v>
      </c>
      <c r="W2506">
        <f t="shared" si="159"/>
        <v>0</v>
      </c>
    </row>
    <row r="2507" spans="5:23" x14ac:dyDescent="0.25">
      <c r="E2507" s="4"/>
      <c r="F2507" s="4"/>
      <c r="G2507" s="33" t="str">
        <f>IFERROR(VLOOKUP($D2507,'Informations sur les produits'!$A$3:$H$10000,8,FALSE),"0")</f>
        <v>0</v>
      </c>
      <c r="K2507" s="4"/>
      <c r="L2507" s="33" t="str">
        <f>IFERROR(VLOOKUP($J2507,'Informations sur les produits'!$A$3:$H$10000,8,FALSE),"0")</f>
        <v>0</v>
      </c>
      <c r="N2507" s="8"/>
      <c r="O2507" s="33" t="str">
        <f>IFERROR(VLOOKUP($M2507,'Informations sur les produits'!$A$3:$H$10000,8,FALSE),"0")</f>
        <v>0</v>
      </c>
      <c r="P2507" s="33">
        <f t="shared" si="156"/>
        <v>0</v>
      </c>
      <c r="Q2507" s="31" t="str">
        <f t="shared" si="157"/>
        <v/>
      </c>
      <c r="R2507" s="32" t="str">
        <f>IFERROR(VLOOKUP($D2507,'Informations sur les produits'!$A$3:$B$15000,2,FALSE),"")</f>
        <v/>
      </c>
      <c r="V2507">
        <f t="shared" si="158"/>
        <v>0</v>
      </c>
      <c r="W2507">
        <f t="shared" si="159"/>
        <v>0</v>
      </c>
    </row>
    <row r="2508" spans="5:23" x14ac:dyDescent="0.25">
      <c r="E2508" s="4"/>
      <c r="F2508" s="4"/>
      <c r="G2508" s="33" t="str">
        <f>IFERROR(VLOOKUP($D2508,'Informations sur les produits'!$A$3:$H$10000,8,FALSE),"0")</f>
        <v>0</v>
      </c>
      <c r="K2508" s="4"/>
      <c r="L2508" s="33" t="str">
        <f>IFERROR(VLOOKUP($J2508,'Informations sur les produits'!$A$3:$H$10000,8,FALSE),"0")</f>
        <v>0</v>
      </c>
      <c r="N2508" s="8"/>
      <c r="O2508" s="33" t="str">
        <f>IFERROR(VLOOKUP($M2508,'Informations sur les produits'!$A$3:$H$10000,8,FALSE),"0")</f>
        <v>0</v>
      </c>
      <c r="P2508" s="33">
        <f t="shared" si="156"/>
        <v>0</v>
      </c>
      <c r="Q2508" s="31" t="str">
        <f t="shared" si="157"/>
        <v/>
      </c>
      <c r="R2508" s="32" t="str">
        <f>IFERROR(VLOOKUP($D2508,'Informations sur les produits'!$A$3:$B$15000,2,FALSE),"")</f>
        <v/>
      </c>
      <c r="V2508">
        <f t="shared" si="158"/>
        <v>0</v>
      </c>
      <c r="W2508">
        <f t="shared" si="159"/>
        <v>0</v>
      </c>
    </row>
    <row r="2509" spans="5:23" x14ac:dyDescent="0.25">
      <c r="E2509" s="4"/>
      <c r="F2509" s="4"/>
      <c r="G2509" s="33" t="str">
        <f>IFERROR(VLOOKUP($D2509,'Informations sur les produits'!$A$3:$H$10000,8,FALSE),"0")</f>
        <v>0</v>
      </c>
      <c r="K2509" s="4"/>
      <c r="L2509" s="33" t="str">
        <f>IFERROR(VLOOKUP($J2509,'Informations sur les produits'!$A$3:$H$10000,8,FALSE),"0")</f>
        <v>0</v>
      </c>
      <c r="N2509" s="8"/>
      <c r="O2509" s="33" t="str">
        <f>IFERROR(VLOOKUP($M2509,'Informations sur les produits'!$A$3:$H$10000,8,FALSE),"0")</f>
        <v>0</v>
      </c>
      <c r="P2509" s="33">
        <f t="shared" si="156"/>
        <v>0</v>
      </c>
      <c r="Q2509" s="31" t="str">
        <f t="shared" si="157"/>
        <v/>
      </c>
      <c r="R2509" s="32" t="str">
        <f>IFERROR(VLOOKUP($D2509,'Informations sur les produits'!$A$3:$B$15000,2,FALSE),"")</f>
        <v/>
      </c>
      <c r="V2509">
        <f t="shared" si="158"/>
        <v>0</v>
      </c>
      <c r="W2509">
        <f t="shared" si="159"/>
        <v>0</v>
      </c>
    </row>
    <row r="2510" spans="5:23" x14ac:dyDescent="0.25">
      <c r="E2510" s="4"/>
      <c r="F2510" s="4"/>
      <c r="G2510" s="33" t="str">
        <f>IFERROR(VLOOKUP($D2510,'Informations sur les produits'!$A$3:$H$10000,8,FALSE),"0")</f>
        <v>0</v>
      </c>
      <c r="K2510" s="4"/>
      <c r="L2510" s="33" t="str">
        <f>IFERROR(VLOOKUP($J2510,'Informations sur les produits'!$A$3:$H$10000,8,FALSE),"0")</f>
        <v>0</v>
      </c>
      <c r="N2510" s="8"/>
      <c r="O2510" s="33" t="str">
        <f>IFERROR(VLOOKUP($M2510,'Informations sur les produits'!$A$3:$H$10000,8,FALSE),"0")</f>
        <v>0</v>
      </c>
      <c r="P2510" s="33">
        <f t="shared" si="156"/>
        <v>0</v>
      </c>
      <c r="Q2510" s="31" t="str">
        <f t="shared" si="157"/>
        <v/>
      </c>
      <c r="R2510" s="32" t="str">
        <f>IFERROR(VLOOKUP($D2510,'Informations sur les produits'!$A$3:$B$15000,2,FALSE),"")</f>
        <v/>
      </c>
      <c r="V2510">
        <f t="shared" si="158"/>
        <v>0</v>
      </c>
      <c r="W2510">
        <f t="shared" si="159"/>
        <v>0</v>
      </c>
    </row>
    <row r="2511" spans="5:23" x14ac:dyDescent="0.25">
      <c r="E2511" s="4"/>
      <c r="F2511" s="4"/>
      <c r="G2511" s="33" t="str">
        <f>IFERROR(VLOOKUP($D2511,'Informations sur les produits'!$A$3:$H$10000,8,FALSE),"0")</f>
        <v>0</v>
      </c>
      <c r="K2511" s="4"/>
      <c r="L2511" s="33" t="str">
        <f>IFERROR(VLOOKUP($J2511,'Informations sur les produits'!$A$3:$H$10000,8,FALSE),"0")</f>
        <v>0</v>
      </c>
      <c r="N2511" s="8"/>
      <c r="O2511" s="33" t="str">
        <f>IFERROR(VLOOKUP($M2511,'Informations sur les produits'!$A$3:$H$10000,8,FALSE),"0")</f>
        <v>0</v>
      </c>
      <c r="P2511" s="33">
        <f t="shared" si="156"/>
        <v>0</v>
      </c>
      <c r="Q2511" s="31" t="str">
        <f t="shared" si="157"/>
        <v/>
      </c>
      <c r="R2511" s="32" t="str">
        <f>IFERROR(VLOOKUP($D2511,'Informations sur les produits'!$A$3:$B$15000,2,FALSE),"")</f>
        <v/>
      </c>
      <c r="V2511">
        <f t="shared" si="158"/>
        <v>0</v>
      </c>
      <c r="W2511">
        <f t="shared" si="159"/>
        <v>0</v>
      </c>
    </row>
    <row r="2512" spans="5:23" x14ac:dyDescent="0.25">
      <c r="E2512" s="4"/>
      <c r="F2512" s="4"/>
      <c r="G2512" s="33" t="str">
        <f>IFERROR(VLOOKUP($D2512,'Informations sur les produits'!$A$3:$H$10000,8,FALSE),"0")</f>
        <v>0</v>
      </c>
      <c r="K2512" s="4"/>
      <c r="L2512" s="33" t="str">
        <f>IFERROR(VLOOKUP($J2512,'Informations sur les produits'!$A$3:$H$10000,8,FALSE),"0")</f>
        <v>0</v>
      </c>
      <c r="N2512" s="8"/>
      <c r="O2512" s="33" t="str">
        <f>IFERROR(VLOOKUP($M2512,'Informations sur les produits'!$A$3:$H$10000,8,FALSE),"0")</f>
        <v>0</v>
      </c>
      <c r="P2512" s="33">
        <f t="shared" si="156"/>
        <v>0</v>
      </c>
      <c r="Q2512" s="31" t="str">
        <f t="shared" si="157"/>
        <v/>
      </c>
      <c r="R2512" s="32" t="str">
        <f>IFERROR(VLOOKUP($D2512,'Informations sur les produits'!$A$3:$B$15000,2,FALSE),"")</f>
        <v/>
      </c>
      <c r="V2512">
        <f t="shared" si="158"/>
        <v>0</v>
      </c>
      <c r="W2512">
        <f t="shared" si="159"/>
        <v>0</v>
      </c>
    </row>
    <row r="2513" spans="5:23" x14ac:dyDescent="0.25">
      <c r="E2513" s="4"/>
      <c r="F2513" s="4"/>
      <c r="G2513" s="33" t="str">
        <f>IFERROR(VLOOKUP($D2513,'Informations sur les produits'!$A$3:$H$10000,8,FALSE),"0")</f>
        <v>0</v>
      </c>
      <c r="K2513" s="4"/>
      <c r="L2513" s="33" t="str">
        <f>IFERROR(VLOOKUP($J2513,'Informations sur les produits'!$A$3:$H$10000,8,FALSE),"0")</f>
        <v>0</v>
      </c>
      <c r="N2513" s="8"/>
      <c r="O2513" s="33" t="str">
        <f>IFERROR(VLOOKUP($M2513,'Informations sur les produits'!$A$3:$H$10000,8,FALSE),"0")</f>
        <v>0</v>
      </c>
      <c r="P2513" s="33">
        <f t="shared" si="156"/>
        <v>0</v>
      </c>
      <c r="Q2513" s="31" t="str">
        <f t="shared" si="157"/>
        <v/>
      </c>
      <c r="R2513" s="32" t="str">
        <f>IFERROR(VLOOKUP($D2513,'Informations sur les produits'!$A$3:$B$15000,2,FALSE),"")</f>
        <v/>
      </c>
      <c r="V2513">
        <f t="shared" si="158"/>
        <v>0</v>
      </c>
      <c r="W2513">
        <f t="shared" si="159"/>
        <v>0</v>
      </c>
    </row>
    <row r="2514" spans="5:23" x14ac:dyDescent="0.25">
      <c r="E2514" s="4"/>
      <c r="F2514" s="4"/>
      <c r="G2514" s="33" t="str">
        <f>IFERROR(VLOOKUP($D2514,'Informations sur les produits'!$A$3:$H$10000,8,FALSE),"0")</f>
        <v>0</v>
      </c>
      <c r="K2514" s="4"/>
      <c r="L2514" s="33" t="str">
        <f>IFERROR(VLOOKUP($J2514,'Informations sur les produits'!$A$3:$H$10000,8,FALSE),"0")</f>
        <v>0</v>
      </c>
      <c r="N2514" s="8"/>
      <c r="O2514" s="33" t="str">
        <f>IFERROR(VLOOKUP($M2514,'Informations sur les produits'!$A$3:$H$10000,8,FALSE),"0")</f>
        <v>0</v>
      </c>
      <c r="P2514" s="33">
        <f t="shared" si="156"/>
        <v>0</v>
      </c>
      <c r="Q2514" s="31" t="str">
        <f t="shared" si="157"/>
        <v/>
      </c>
      <c r="R2514" s="32" t="str">
        <f>IFERROR(VLOOKUP($D2514,'Informations sur les produits'!$A$3:$B$15000,2,FALSE),"")</f>
        <v/>
      </c>
      <c r="V2514">
        <f t="shared" si="158"/>
        <v>0</v>
      </c>
      <c r="W2514">
        <f t="shared" si="159"/>
        <v>0</v>
      </c>
    </row>
    <row r="2515" spans="5:23" x14ac:dyDescent="0.25">
      <c r="E2515" s="4"/>
      <c r="F2515" s="4"/>
      <c r="G2515" s="33" t="str">
        <f>IFERROR(VLOOKUP($D2515,'Informations sur les produits'!$A$3:$H$10000,8,FALSE),"0")</f>
        <v>0</v>
      </c>
      <c r="K2515" s="4"/>
      <c r="L2515" s="33" t="str">
        <f>IFERROR(VLOOKUP($J2515,'Informations sur les produits'!$A$3:$H$10000,8,FALSE),"0")</f>
        <v>0</v>
      </c>
      <c r="N2515" s="8"/>
      <c r="O2515" s="33" t="str">
        <f>IFERROR(VLOOKUP($M2515,'Informations sur les produits'!$A$3:$H$10000,8,FALSE),"0")</f>
        <v>0</v>
      </c>
      <c r="P2515" s="33">
        <f t="shared" si="156"/>
        <v>0</v>
      </c>
      <c r="Q2515" s="31" t="str">
        <f t="shared" si="157"/>
        <v/>
      </c>
      <c r="R2515" s="32" t="str">
        <f>IFERROR(VLOOKUP($D2515,'Informations sur les produits'!$A$3:$B$15000,2,FALSE),"")</f>
        <v/>
      </c>
      <c r="V2515">
        <f t="shared" si="158"/>
        <v>0</v>
      </c>
      <c r="W2515">
        <f t="shared" si="159"/>
        <v>0</v>
      </c>
    </row>
    <row r="2516" spans="5:23" x14ac:dyDescent="0.25">
      <c r="E2516" s="4"/>
      <c r="F2516" s="4"/>
      <c r="G2516" s="33" t="str">
        <f>IFERROR(VLOOKUP($D2516,'Informations sur les produits'!$A$3:$H$10000,8,FALSE),"0")</f>
        <v>0</v>
      </c>
      <c r="K2516" s="4"/>
      <c r="L2516" s="33" t="str">
        <f>IFERROR(VLOOKUP($J2516,'Informations sur les produits'!$A$3:$H$10000,8,FALSE),"0")</f>
        <v>0</v>
      </c>
      <c r="N2516" s="8"/>
      <c r="O2516" s="33" t="str">
        <f>IFERROR(VLOOKUP($M2516,'Informations sur les produits'!$A$3:$H$10000,8,FALSE),"0")</f>
        <v>0</v>
      </c>
      <c r="P2516" s="33">
        <f t="shared" si="156"/>
        <v>0</v>
      </c>
      <c r="Q2516" s="31" t="str">
        <f t="shared" si="157"/>
        <v/>
      </c>
      <c r="R2516" s="32" t="str">
        <f>IFERROR(VLOOKUP($D2516,'Informations sur les produits'!$A$3:$B$15000,2,FALSE),"")</f>
        <v/>
      </c>
      <c r="V2516">
        <f t="shared" si="158"/>
        <v>0</v>
      </c>
      <c r="W2516">
        <f t="shared" si="159"/>
        <v>0</v>
      </c>
    </row>
    <row r="2517" spans="5:23" x14ac:dyDescent="0.25">
      <c r="E2517" s="4"/>
      <c r="F2517" s="4"/>
      <c r="G2517" s="33" t="str">
        <f>IFERROR(VLOOKUP($D2517,'Informations sur les produits'!$A$3:$H$10000,8,FALSE),"0")</f>
        <v>0</v>
      </c>
      <c r="K2517" s="4"/>
      <c r="L2517" s="33" t="str">
        <f>IFERROR(VLOOKUP($J2517,'Informations sur les produits'!$A$3:$H$10000,8,FALSE),"0")</f>
        <v>0</v>
      </c>
      <c r="N2517" s="8"/>
      <c r="O2517" s="33" t="str">
        <f>IFERROR(VLOOKUP($M2517,'Informations sur les produits'!$A$3:$H$10000,8,FALSE),"0")</f>
        <v>0</v>
      </c>
      <c r="P2517" s="33">
        <f t="shared" si="156"/>
        <v>0</v>
      </c>
      <c r="Q2517" s="31" t="str">
        <f t="shared" si="157"/>
        <v/>
      </c>
      <c r="R2517" s="32" t="str">
        <f>IFERROR(VLOOKUP($D2517,'Informations sur les produits'!$A$3:$B$15000,2,FALSE),"")</f>
        <v/>
      </c>
      <c r="V2517">
        <f t="shared" si="158"/>
        <v>0</v>
      </c>
      <c r="W2517">
        <f t="shared" si="159"/>
        <v>0</v>
      </c>
    </row>
    <row r="2518" spans="5:23" x14ac:dyDescent="0.25">
      <c r="E2518" s="4"/>
      <c r="F2518" s="4"/>
      <c r="G2518" s="33" t="str">
        <f>IFERROR(VLOOKUP($D2518,'Informations sur les produits'!$A$3:$H$10000,8,FALSE),"0")</f>
        <v>0</v>
      </c>
      <c r="K2518" s="4"/>
      <c r="L2518" s="33" t="str">
        <f>IFERROR(VLOOKUP($J2518,'Informations sur les produits'!$A$3:$H$10000,8,FALSE),"0")</f>
        <v>0</v>
      </c>
      <c r="N2518" s="8"/>
      <c r="O2518" s="33" t="str">
        <f>IFERROR(VLOOKUP($M2518,'Informations sur les produits'!$A$3:$H$10000,8,FALSE),"0")</f>
        <v>0</v>
      </c>
      <c r="P2518" s="33">
        <f t="shared" si="156"/>
        <v>0</v>
      </c>
      <c r="Q2518" s="31" t="str">
        <f t="shared" si="157"/>
        <v/>
      </c>
      <c r="R2518" s="32" t="str">
        <f>IFERROR(VLOOKUP($D2518,'Informations sur les produits'!$A$3:$B$15000,2,FALSE),"")</f>
        <v/>
      </c>
      <c r="V2518">
        <f t="shared" si="158"/>
        <v>0</v>
      </c>
      <c r="W2518">
        <f t="shared" si="159"/>
        <v>0</v>
      </c>
    </row>
    <row r="2519" spans="5:23" x14ac:dyDescent="0.25">
      <c r="E2519" s="4"/>
      <c r="F2519" s="4"/>
      <c r="G2519" s="33" t="str">
        <f>IFERROR(VLOOKUP($D2519,'Informations sur les produits'!$A$3:$H$10000,8,FALSE),"0")</f>
        <v>0</v>
      </c>
      <c r="K2519" s="4"/>
      <c r="L2519" s="33" t="str">
        <f>IFERROR(VLOOKUP($J2519,'Informations sur les produits'!$A$3:$H$10000,8,FALSE),"0")</f>
        <v>0</v>
      </c>
      <c r="N2519" s="8"/>
      <c r="O2519" s="33" t="str">
        <f>IFERROR(VLOOKUP($M2519,'Informations sur les produits'!$A$3:$H$10000,8,FALSE),"0")</f>
        <v>0</v>
      </c>
      <c r="P2519" s="33">
        <f t="shared" si="156"/>
        <v>0</v>
      </c>
      <c r="Q2519" s="31" t="str">
        <f t="shared" si="157"/>
        <v/>
      </c>
      <c r="R2519" s="32" t="str">
        <f>IFERROR(VLOOKUP($D2519,'Informations sur les produits'!$A$3:$B$15000,2,FALSE),"")</f>
        <v/>
      </c>
      <c r="V2519">
        <f t="shared" si="158"/>
        <v>0</v>
      </c>
      <c r="W2519">
        <f t="shared" si="159"/>
        <v>0</v>
      </c>
    </row>
    <row r="2520" spans="5:23" x14ac:dyDescent="0.25">
      <c r="E2520" s="4"/>
      <c r="F2520" s="4"/>
      <c r="G2520" s="33" t="str">
        <f>IFERROR(VLOOKUP($D2520,'Informations sur les produits'!$A$3:$H$10000,8,FALSE),"0")</f>
        <v>0</v>
      </c>
      <c r="K2520" s="4"/>
      <c r="L2520" s="33" t="str">
        <f>IFERROR(VLOOKUP($J2520,'Informations sur les produits'!$A$3:$H$10000,8,FALSE),"0")</f>
        <v>0</v>
      </c>
      <c r="N2520" s="8"/>
      <c r="O2520" s="33" t="str">
        <f>IFERROR(VLOOKUP($M2520,'Informations sur les produits'!$A$3:$H$10000,8,FALSE),"0")</f>
        <v>0</v>
      </c>
      <c r="P2520" s="33">
        <f t="shared" si="156"/>
        <v>0</v>
      </c>
      <c r="Q2520" s="31" t="str">
        <f t="shared" si="157"/>
        <v/>
      </c>
      <c r="R2520" s="32" t="str">
        <f>IFERROR(VLOOKUP($D2520,'Informations sur les produits'!$A$3:$B$15000,2,FALSE),"")</f>
        <v/>
      </c>
      <c r="V2520">
        <f t="shared" si="158"/>
        <v>0</v>
      </c>
      <c r="W2520">
        <f t="shared" si="159"/>
        <v>0</v>
      </c>
    </row>
    <row r="2521" spans="5:23" x14ac:dyDescent="0.25">
      <c r="E2521" s="4"/>
      <c r="F2521" s="4"/>
      <c r="G2521" s="33" t="str">
        <f>IFERROR(VLOOKUP($D2521,'Informations sur les produits'!$A$3:$H$10000,8,FALSE),"0")</f>
        <v>0</v>
      </c>
      <c r="K2521" s="4"/>
      <c r="L2521" s="33" t="str">
        <f>IFERROR(VLOOKUP($J2521,'Informations sur les produits'!$A$3:$H$10000,8,FALSE),"0")</f>
        <v>0</v>
      </c>
      <c r="N2521" s="8"/>
      <c r="O2521" s="33" t="str">
        <f>IFERROR(VLOOKUP($M2521,'Informations sur les produits'!$A$3:$H$10000,8,FALSE),"0")</f>
        <v>0</v>
      </c>
      <c r="P2521" s="33">
        <f t="shared" si="156"/>
        <v>0</v>
      </c>
      <c r="Q2521" s="31" t="str">
        <f t="shared" si="157"/>
        <v/>
      </c>
      <c r="R2521" s="32" t="str">
        <f>IFERROR(VLOOKUP($D2521,'Informations sur les produits'!$A$3:$B$15000,2,FALSE),"")</f>
        <v/>
      </c>
      <c r="V2521">
        <f t="shared" si="158"/>
        <v>0</v>
      </c>
      <c r="W2521">
        <f t="shared" si="159"/>
        <v>0</v>
      </c>
    </row>
    <row r="2522" spans="5:23" x14ac:dyDescent="0.25">
      <c r="E2522" s="4"/>
      <c r="F2522" s="4"/>
      <c r="G2522" s="33" t="str">
        <f>IFERROR(VLOOKUP($D2522,'Informations sur les produits'!$A$3:$H$10000,8,FALSE),"0")</f>
        <v>0</v>
      </c>
      <c r="K2522" s="4"/>
      <c r="L2522" s="33" t="str">
        <f>IFERROR(VLOOKUP($J2522,'Informations sur les produits'!$A$3:$H$10000,8,FALSE),"0")</f>
        <v>0</v>
      </c>
      <c r="N2522" s="8"/>
      <c r="O2522" s="33" t="str">
        <f>IFERROR(VLOOKUP($M2522,'Informations sur les produits'!$A$3:$H$10000,8,FALSE),"0")</f>
        <v>0</v>
      </c>
      <c r="P2522" s="33">
        <f t="shared" si="156"/>
        <v>0</v>
      </c>
      <c r="Q2522" s="31" t="str">
        <f t="shared" si="157"/>
        <v/>
      </c>
      <c r="R2522" s="32" t="str">
        <f>IFERROR(VLOOKUP($D2522,'Informations sur les produits'!$A$3:$B$15000,2,FALSE),"")</f>
        <v/>
      </c>
      <c r="V2522">
        <f t="shared" si="158"/>
        <v>0</v>
      </c>
      <c r="W2522">
        <f t="shared" si="159"/>
        <v>0</v>
      </c>
    </row>
    <row r="2523" spans="5:23" x14ac:dyDescent="0.25">
      <c r="E2523" s="4"/>
      <c r="F2523" s="4"/>
      <c r="G2523" s="33" t="str">
        <f>IFERROR(VLOOKUP($D2523,'Informations sur les produits'!$A$3:$H$10000,8,FALSE),"0")</f>
        <v>0</v>
      </c>
      <c r="K2523" s="4"/>
      <c r="L2523" s="33" t="str">
        <f>IFERROR(VLOOKUP($J2523,'Informations sur les produits'!$A$3:$H$10000,8,FALSE),"0")</f>
        <v>0</v>
      </c>
      <c r="N2523" s="8"/>
      <c r="O2523" s="33" t="str">
        <f>IFERROR(VLOOKUP($M2523,'Informations sur les produits'!$A$3:$H$10000,8,FALSE),"0")</f>
        <v>0</v>
      </c>
      <c r="P2523" s="33">
        <f t="shared" si="156"/>
        <v>0</v>
      </c>
      <c r="Q2523" s="31" t="str">
        <f t="shared" si="157"/>
        <v/>
      </c>
      <c r="R2523" s="32" t="str">
        <f>IFERROR(VLOOKUP($D2523,'Informations sur les produits'!$A$3:$B$15000,2,FALSE),"")</f>
        <v/>
      </c>
      <c r="V2523">
        <f t="shared" si="158"/>
        <v>0</v>
      </c>
      <c r="W2523">
        <f t="shared" si="159"/>
        <v>0</v>
      </c>
    </row>
    <row r="2524" spans="5:23" x14ac:dyDescent="0.25">
      <c r="E2524" s="4"/>
      <c r="F2524" s="4"/>
      <c r="G2524" s="33" t="str">
        <f>IFERROR(VLOOKUP($D2524,'Informations sur les produits'!$A$3:$H$10000,8,FALSE),"0")</f>
        <v>0</v>
      </c>
      <c r="K2524" s="4"/>
      <c r="L2524" s="33" t="str">
        <f>IFERROR(VLOOKUP($J2524,'Informations sur les produits'!$A$3:$H$10000,8,FALSE),"0")</f>
        <v>0</v>
      </c>
      <c r="N2524" s="8"/>
      <c r="O2524" s="33" t="str">
        <f>IFERROR(VLOOKUP($M2524,'Informations sur les produits'!$A$3:$H$10000,8,FALSE),"0")</f>
        <v>0</v>
      </c>
      <c r="P2524" s="33">
        <f t="shared" si="156"/>
        <v>0</v>
      </c>
      <c r="Q2524" s="31" t="str">
        <f t="shared" si="157"/>
        <v/>
      </c>
      <c r="R2524" s="32" t="str">
        <f>IFERROR(VLOOKUP($D2524,'Informations sur les produits'!$A$3:$B$15000,2,FALSE),"")</f>
        <v/>
      </c>
      <c r="V2524">
        <f t="shared" si="158"/>
        <v>0</v>
      </c>
      <c r="W2524">
        <f t="shared" si="159"/>
        <v>0</v>
      </c>
    </row>
    <row r="2525" spans="5:23" x14ac:dyDescent="0.25">
      <c r="E2525" s="4"/>
      <c r="F2525" s="4"/>
      <c r="G2525" s="33" t="str">
        <f>IFERROR(VLOOKUP($D2525,'Informations sur les produits'!$A$3:$H$10000,8,FALSE),"0")</f>
        <v>0</v>
      </c>
      <c r="K2525" s="4"/>
      <c r="L2525" s="33" t="str">
        <f>IFERROR(VLOOKUP($J2525,'Informations sur les produits'!$A$3:$H$10000,8,FALSE),"0")</f>
        <v>0</v>
      </c>
      <c r="N2525" s="8"/>
      <c r="O2525" s="33" t="str">
        <f>IFERROR(VLOOKUP($M2525,'Informations sur les produits'!$A$3:$H$10000,8,FALSE),"0")</f>
        <v>0</v>
      </c>
      <c r="P2525" s="33">
        <f t="shared" si="156"/>
        <v>0</v>
      </c>
      <c r="Q2525" s="31" t="str">
        <f t="shared" si="157"/>
        <v/>
      </c>
      <c r="R2525" s="32" t="str">
        <f>IFERROR(VLOOKUP($D2525,'Informations sur les produits'!$A$3:$B$15000,2,FALSE),"")</f>
        <v/>
      </c>
      <c r="V2525">
        <f t="shared" si="158"/>
        <v>0</v>
      </c>
      <c r="W2525">
        <f t="shared" si="159"/>
        <v>0</v>
      </c>
    </row>
    <row r="2526" spans="5:23" x14ac:dyDescent="0.25">
      <c r="E2526" s="4"/>
      <c r="F2526" s="4"/>
      <c r="G2526" s="33" t="str">
        <f>IFERROR(VLOOKUP($D2526,'Informations sur les produits'!$A$3:$H$10000,8,FALSE),"0")</f>
        <v>0</v>
      </c>
      <c r="K2526" s="4"/>
      <c r="L2526" s="33" t="str">
        <f>IFERROR(VLOOKUP($J2526,'Informations sur les produits'!$A$3:$H$10000,8,FALSE),"0")</f>
        <v>0</v>
      </c>
      <c r="N2526" s="8"/>
      <c r="O2526" s="33" t="str">
        <f>IFERROR(VLOOKUP($M2526,'Informations sur les produits'!$A$3:$H$10000,8,FALSE),"0")</f>
        <v>0</v>
      </c>
      <c r="P2526" s="33">
        <f t="shared" si="156"/>
        <v>0</v>
      </c>
      <c r="Q2526" s="31" t="str">
        <f t="shared" si="157"/>
        <v/>
      </c>
      <c r="R2526" s="32" t="str">
        <f>IFERROR(VLOOKUP($D2526,'Informations sur les produits'!$A$3:$B$15000,2,FALSE),"")</f>
        <v/>
      </c>
      <c r="V2526">
        <f t="shared" si="158"/>
        <v>0</v>
      </c>
      <c r="W2526">
        <f t="shared" si="159"/>
        <v>0</v>
      </c>
    </row>
    <row r="2527" spans="5:23" x14ac:dyDescent="0.25">
      <c r="E2527" s="4"/>
      <c r="F2527" s="4"/>
      <c r="G2527" s="33" t="str">
        <f>IFERROR(VLOOKUP($D2527,'Informations sur les produits'!$A$3:$H$10000,8,FALSE),"0")</f>
        <v>0</v>
      </c>
      <c r="K2527" s="4"/>
      <c r="L2527" s="33" t="str">
        <f>IFERROR(VLOOKUP($J2527,'Informations sur les produits'!$A$3:$H$10000,8,FALSE),"0")</f>
        <v>0</v>
      </c>
      <c r="N2527" s="8"/>
      <c r="O2527" s="33" t="str">
        <f>IFERROR(VLOOKUP($M2527,'Informations sur les produits'!$A$3:$H$10000,8,FALSE),"0")</f>
        <v>0</v>
      </c>
      <c r="P2527" s="33">
        <f t="shared" si="156"/>
        <v>0</v>
      </c>
      <c r="Q2527" s="31" t="str">
        <f t="shared" si="157"/>
        <v/>
      </c>
      <c r="R2527" s="32" t="str">
        <f>IFERROR(VLOOKUP($D2527,'Informations sur les produits'!$A$3:$B$15000,2,FALSE),"")</f>
        <v/>
      </c>
      <c r="V2527">
        <f t="shared" si="158"/>
        <v>0</v>
      </c>
      <c r="W2527">
        <f t="shared" si="159"/>
        <v>0</v>
      </c>
    </row>
    <row r="2528" spans="5:23" x14ac:dyDescent="0.25">
      <c r="E2528" s="4"/>
      <c r="F2528" s="4"/>
      <c r="G2528" s="33" t="str">
        <f>IFERROR(VLOOKUP($D2528,'Informations sur les produits'!$A$3:$H$10000,8,FALSE),"0")</f>
        <v>0</v>
      </c>
      <c r="K2528" s="4"/>
      <c r="L2528" s="33" t="str">
        <f>IFERROR(VLOOKUP($J2528,'Informations sur les produits'!$A$3:$H$10000,8,FALSE),"0")</f>
        <v>0</v>
      </c>
      <c r="N2528" s="8"/>
      <c r="O2528" s="33" t="str">
        <f>IFERROR(VLOOKUP($M2528,'Informations sur les produits'!$A$3:$H$10000,8,FALSE),"0")</f>
        <v>0</v>
      </c>
      <c r="P2528" s="33">
        <f t="shared" si="156"/>
        <v>0</v>
      </c>
      <c r="Q2528" s="31" t="str">
        <f t="shared" si="157"/>
        <v/>
      </c>
      <c r="R2528" s="32" t="str">
        <f>IFERROR(VLOOKUP($D2528,'Informations sur les produits'!$A$3:$B$15000,2,FALSE),"")</f>
        <v/>
      </c>
      <c r="V2528">
        <f t="shared" si="158"/>
        <v>0</v>
      </c>
      <c r="W2528">
        <f t="shared" si="159"/>
        <v>0</v>
      </c>
    </row>
    <row r="2529" spans="5:23" x14ac:dyDescent="0.25">
      <c r="E2529" s="4"/>
      <c r="F2529" s="4"/>
      <c r="G2529" s="33" t="str">
        <f>IFERROR(VLOOKUP($D2529,'Informations sur les produits'!$A$3:$H$10000,8,FALSE),"0")</f>
        <v>0</v>
      </c>
      <c r="K2529" s="4"/>
      <c r="L2529" s="33" t="str">
        <f>IFERROR(VLOOKUP($J2529,'Informations sur les produits'!$A$3:$H$10000,8,FALSE),"0")</f>
        <v>0</v>
      </c>
      <c r="N2529" s="8"/>
      <c r="O2529" s="33" t="str">
        <f>IFERROR(VLOOKUP($M2529,'Informations sur les produits'!$A$3:$H$10000,8,FALSE),"0")</f>
        <v>0</v>
      </c>
      <c r="P2529" s="33">
        <f t="shared" si="156"/>
        <v>0</v>
      </c>
      <c r="Q2529" s="31" t="str">
        <f t="shared" si="157"/>
        <v/>
      </c>
      <c r="R2529" s="32" t="str">
        <f>IFERROR(VLOOKUP($D2529,'Informations sur les produits'!$A$3:$B$15000,2,FALSE),"")</f>
        <v/>
      </c>
      <c r="V2529">
        <f t="shared" si="158"/>
        <v>0</v>
      </c>
      <c r="W2529">
        <f t="shared" si="159"/>
        <v>0</v>
      </c>
    </row>
    <row r="2530" spans="5:23" x14ac:dyDescent="0.25">
      <c r="E2530" s="4"/>
      <c r="F2530" s="4"/>
      <c r="G2530" s="33" t="str">
        <f>IFERROR(VLOOKUP($D2530,'Informations sur les produits'!$A$3:$H$10000,8,FALSE),"0")</f>
        <v>0</v>
      </c>
      <c r="K2530" s="4"/>
      <c r="L2530" s="33" t="str">
        <f>IFERROR(VLOOKUP($J2530,'Informations sur les produits'!$A$3:$H$10000,8,FALSE),"0")</f>
        <v>0</v>
      </c>
      <c r="N2530" s="8"/>
      <c r="O2530" s="33" t="str">
        <f>IFERROR(VLOOKUP($M2530,'Informations sur les produits'!$A$3:$H$10000,8,FALSE),"0")</f>
        <v>0</v>
      </c>
      <c r="P2530" s="33">
        <f t="shared" si="156"/>
        <v>0</v>
      </c>
      <c r="Q2530" s="31" t="str">
        <f t="shared" si="157"/>
        <v/>
      </c>
      <c r="R2530" s="32" t="str">
        <f>IFERROR(VLOOKUP($D2530,'Informations sur les produits'!$A$3:$B$15000,2,FALSE),"")</f>
        <v/>
      </c>
      <c r="V2530">
        <f t="shared" si="158"/>
        <v>0</v>
      </c>
      <c r="W2530">
        <f t="shared" si="159"/>
        <v>0</v>
      </c>
    </row>
    <row r="2531" spans="5:23" x14ac:dyDescent="0.25">
      <c r="E2531" s="4"/>
      <c r="F2531" s="4"/>
      <c r="G2531" s="33" t="str">
        <f>IFERROR(VLOOKUP($D2531,'Informations sur les produits'!$A$3:$H$10000,8,FALSE),"0")</f>
        <v>0</v>
      </c>
      <c r="K2531" s="4"/>
      <c r="L2531" s="33" t="str">
        <f>IFERROR(VLOOKUP($J2531,'Informations sur les produits'!$A$3:$H$10000,8,FALSE),"0")</f>
        <v>0</v>
      </c>
      <c r="N2531" s="8"/>
      <c r="O2531" s="33" t="str">
        <f>IFERROR(VLOOKUP($M2531,'Informations sur les produits'!$A$3:$H$10000,8,FALSE),"0")</f>
        <v>0</v>
      </c>
      <c r="P2531" s="33">
        <f t="shared" si="156"/>
        <v>0</v>
      </c>
      <c r="Q2531" s="31" t="str">
        <f t="shared" si="157"/>
        <v/>
      </c>
      <c r="R2531" s="32" t="str">
        <f>IFERROR(VLOOKUP($D2531,'Informations sur les produits'!$A$3:$B$15000,2,FALSE),"")</f>
        <v/>
      </c>
      <c r="V2531">
        <f t="shared" si="158"/>
        <v>0</v>
      </c>
      <c r="W2531">
        <f t="shared" si="159"/>
        <v>0</v>
      </c>
    </row>
    <row r="2532" spans="5:23" x14ac:dyDescent="0.25">
      <c r="E2532" s="4"/>
      <c r="F2532" s="4"/>
      <c r="G2532" s="33" t="str">
        <f>IFERROR(VLOOKUP($D2532,'Informations sur les produits'!$A$3:$H$10000,8,FALSE),"0")</f>
        <v>0</v>
      </c>
      <c r="K2532" s="4"/>
      <c r="L2532" s="33" t="str">
        <f>IFERROR(VLOOKUP($J2532,'Informations sur les produits'!$A$3:$H$10000,8,FALSE),"0")</f>
        <v>0</v>
      </c>
      <c r="N2532" s="8"/>
      <c r="O2532" s="33" t="str">
        <f>IFERROR(VLOOKUP($M2532,'Informations sur les produits'!$A$3:$H$10000,8,FALSE),"0")</f>
        <v>0</v>
      </c>
      <c r="P2532" s="33">
        <f t="shared" si="156"/>
        <v>0</v>
      </c>
      <c r="Q2532" s="31" t="str">
        <f t="shared" si="157"/>
        <v/>
      </c>
      <c r="R2532" s="32" t="str">
        <f>IFERROR(VLOOKUP($D2532,'Informations sur les produits'!$A$3:$B$15000,2,FALSE),"")</f>
        <v/>
      </c>
      <c r="V2532">
        <f t="shared" si="158"/>
        <v>0</v>
      </c>
      <c r="W2532">
        <f t="shared" si="159"/>
        <v>0</v>
      </c>
    </row>
    <row r="2533" spans="5:23" x14ac:dyDescent="0.25">
      <c r="E2533" s="4"/>
      <c r="F2533" s="4"/>
      <c r="G2533" s="33" t="str">
        <f>IFERROR(VLOOKUP($D2533,'Informations sur les produits'!$A$3:$H$10000,8,FALSE),"0")</f>
        <v>0</v>
      </c>
      <c r="K2533" s="4"/>
      <c r="L2533" s="33" t="str">
        <f>IFERROR(VLOOKUP($J2533,'Informations sur les produits'!$A$3:$H$10000,8,FALSE),"0")</f>
        <v>0</v>
      </c>
      <c r="N2533" s="8"/>
      <c r="O2533" s="33" t="str">
        <f>IFERROR(VLOOKUP($M2533,'Informations sur les produits'!$A$3:$H$10000,8,FALSE),"0")</f>
        <v>0</v>
      </c>
      <c r="P2533" s="33">
        <f t="shared" si="156"/>
        <v>0</v>
      </c>
      <c r="Q2533" s="31" t="str">
        <f t="shared" si="157"/>
        <v/>
      </c>
      <c r="R2533" s="32" t="str">
        <f>IFERROR(VLOOKUP($D2533,'Informations sur les produits'!$A$3:$B$15000,2,FALSE),"")</f>
        <v/>
      </c>
      <c r="V2533">
        <f t="shared" si="158"/>
        <v>0</v>
      </c>
      <c r="W2533">
        <f t="shared" si="159"/>
        <v>0</v>
      </c>
    </row>
    <row r="2534" spans="5:23" x14ac:dyDescent="0.25">
      <c r="E2534" s="4"/>
      <c r="F2534" s="4"/>
      <c r="G2534" s="33" t="str">
        <f>IFERROR(VLOOKUP($D2534,'Informations sur les produits'!$A$3:$H$10000,8,FALSE),"0")</f>
        <v>0</v>
      </c>
      <c r="K2534" s="4"/>
      <c r="L2534" s="33" t="str">
        <f>IFERROR(VLOOKUP($J2534,'Informations sur les produits'!$A$3:$H$10000,8,FALSE),"0")</f>
        <v>0</v>
      </c>
      <c r="N2534" s="8"/>
      <c r="O2534" s="33" t="str">
        <f>IFERROR(VLOOKUP($M2534,'Informations sur les produits'!$A$3:$H$10000,8,FALSE),"0")</f>
        <v>0</v>
      </c>
      <c r="P2534" s="33">
        <f t="shared" si="156"/>
        <v>0</v>
      </c>
      <c r="Q2534" s="31" t="str">
        <f t="shared" si="157"/>
        <v/>
      </c>
      <c r="R2534" s="32" t="str">
        <f>IFERROR(VLOOKUP($D2534,'Informations sur les produits'!$A$3:$B$15000,2,FALSE),"")</f>
        <v/>
      </c>
      <c r="V2534">
        <f t="shared" si="158"/>
        <v>0</v>
      </c>
      <c r="W2534">
        <f t="shared" si="159"/>
        <v>0</v>
      </c>
    </row>
    <row r="2535" spans="5:23" x14ac:dyDescent="0.25">
      <c r="E2535" s="4"/>
      <c r="F2535" s="4"/>
      <c r="G2535" s="33" t="str">
        <f>IFERROR(VLOOKUP($D2535,'Informations sur les produits'!$A$3:$H$10000,8,FALSE),"0")</f>
        <v>0</v>
      </c>
      <c r="K2535" s="4"/>
      <c r="L2535" s="33" t="str">
        <f>IFERROR(VLOOKUP($J2535,'Informations sur les produits'!$A$3:$H$10000,8,FALSE),"0")</f>
        <v>0</v>
      </c>
      <c r="N2535" s="8"/>
      <c r="O2535" s="33" t="str">
        <f>IFERROR(VLOOKUP($M2535,'Informations sur les produits'!$A$3:$H$10000,8,FALSE),"0")</f>
        <v>0</v>
      </c>
      <c r="P2535" s="33">
        <f t="shared" si="156"/>
        <v>0</v>
      </c>
      <c r="Q2535" s="31" t="str">
        <f t="shared" si="157"/>
        <v/>
      </c>
      <c r="R2535" s="32" t="str">
        <f>IFERROR(VLOOKUP($D2535,'Informations sur les produits'!$A$3:$B$15000,2,FALSE),"")</f>
        <v/>
      </c>
      <c r="V2535">
        <f t="shared" si="158"/>
        <v>0</v>
      </c>
      <c r="W2535">
        <f t="shared" si="159"/>
        <v>0</v>
      </c>
    </row>
    <row r="2536" spans="5:23" x14ac:dyDescent="0.25">
      <c r="E2536" s="4"/>
      <c r="F2536" s="4"/>
      <c r="G2536" s="33" t="str">
        <f>IFERROR(VLOOKUP($D2536,'Informations sur les produits'!$A$3:$H$10000,8,FALSE),"0")</f>
        <v>0</v>
      </c>
      <c r="K2536" s="4"/>
      <c r="L2536" s="33" t="str">
        <f>IFERROR(VLOOKUP($J2536,'Informations sur les produits'!$A$3:$H$10000,8,FALSE),"0")</f>
        <v>0</v>
      </c>
      <c r="N2536" s="8"/>
      <c r="O2536" s="33" t="str">
        <f>IFERROR(VLOOKUP($M2536,'Informations sur les produits'!$A$3:$H$10000,8,FALSE),"0")</f>
        <v>0</v>
      </c>
      <c r="P2536" s="33">
        <f t="shared" si="156"/>
        <v>0</v>
      </c>
      <c r="Q2536" s="31" t="str">
        <f t="shared" si="157"/>
        <v/>
      </c>
      <c r="R2536" s="32" t="str">
        <f>IFERROR(VLOOKUP($D2536,'Informations sur les produits'!$A$3:$B$15000,2,FALSE),"")</f>
        <v/>
      </c>
      <c r="V2536">
        <f t="shared" si="158"/>
        <v>0</v>
      </c>
      <c r="W2536">
        <f t="shared" si="159"/>
        <v>0</v>
      </c>
    </row>
    <row r="2537" spans="5:23" x14ac:dyDescent="0.25">
      <c r="E2537" s="4"/>
      <c r="F2537" s="4"/>
      <c r="G2537" s="33" t="str">
        <f>IFERROR(VLOOKUP($D2537,'Informations sur les produits'!$A$3:$H$10000,8,FALSE),"0")</f>
        <v>0</v>
      </c>
      <c r="K2537" s="4"/>
      <c r="L2537" s="33" t="str">
        <f>IFERROR(VLOOKUP($J2537,'Informations sur les produits'!$A$3:$H$10000,8,FALSE),"0")</f>
        <v>0</v>
      </c>
      <c r="N2537" s="8"/>
      <c r="O2537" s="33" t="str">
        <f>IFERROR(VLOOKUP($M2537,'Informations sur les produits'!$A$3:$H$10000,8,FALSE),"0")</f>
        <v>0</v>
      </c>
      <c r="P2537" s="33">
        <f t="shared" si="156"/>
        <v>0</v>
      </c>
      <c r="Q2537" s="31" t="str">
        <f t="shared" si="157"/>
        <v/>
      </c>
      <c r="R2537" s="32" t="str">
        <f>IFERROR(VLOOKUP($D2537,'Informations sur les produits'!$A$3:$B$15000,2,FALSE),"")</f>
        <v/>
      </c>
      <c r="V2537">
        <f t="shared" si="158"/>
        <v>0</v>
      </c>
      <c r="W2537">
        <f t="shared" si="159"/>
        <v>0</v>
      </c>
    </row>
    <row r="2538" spans="5:23" x14ac:dyDescent="0.25">
      <c r="E2538" s="4"/>
      <c r="F2538" s="4"/>
      <c r="G2538" s="33" t="str">
        <f>IFERROR(VLOOKUP($D2538,'Informations sur les produits'!$A$3:$H$10000,8,FALSE),"0")</f>
        <v>0</v>
      </c>
      <c r="K2538" s="4"/>
      <c r="L2538" s="33" t="str">
        <f>IFERROR(VLOOKUP($J2538,'Informations sur les produits'!$A$3:$H$10000,8,FALSE),"0")</f>
        <v>0</v>
      </c>
      <c r="N2538" s="8"/>
      <c r="O2538" s="33" t="str">
        <f>IFERROR(VLOOKUP($M2538,'Informations sur les produits'!$A$3:$H$10000,8,FALSE),"0")</f>
        <v>0</v>
      </c>
      <c r="P2538" s="33">
        <f t="shared" si="156"/>
        <v>0</v>
      </c>
      <c r="Q2538" s="31" t="str">
        <f t="shared" si="157"/>
        <v/>
      </c>
      <c r="R2538" s="32" t="str">
        <f>IFERROR(VLOOKUP($D2538,'Informations sur les produits'!$A$3:$B$15000,2,FALSE),"")</f>
        <v/>
      </c>
      <c r="V2538">
        <f t="shared" si="158"/>
        <v>0</v>
      </c>
      <c r="W2538">
        <f t="shared" si="159"/>
        <v>0</v>
      </c>
    </row>
    <row r="2539" spans="5:23" x14ac:dyDescent="0.25">
      <c r="E2539" s="4"/>
      <c r="F2539" s="4"/>
      <c r="G2539" s="33" t="str">
        <f>IFERROR(VLOOKUP($D2539,'Informations sur les produits'!$A$3:$H$10000,8,FALSE),"0")</f>
        <v>0</v>
      </c>
      <c r="K2539" s="4"/>
      <c r="L2539" s="33" t="str">
        <f>IFERROR(VLOOKUP($J2539,'Informations sur les produits'!$A$3:$H$10000,8,FALSE),"0")</f>
        <v>0</v>
      </c>
      <c r="N2539" s="8"/>
      <c r="O2539" s="33" t="str">
        <f>IFERROR(VLOOKUP($M2539,'Informations sur les produits'!$A$3:$H$10000,8,FALSE),"0")</f>
        <v>0</v>
      </c>
      <c r="P2539" s="33">
        <f t="shared" si="156"/>
        <v>0</v>
      </c>
      <c r="Q2539" s="31" t="str">
        <f t="shared" si="157"/>
        <v/>
      </c>
      <c r="R2539" s="32" t="str">
        <f>IFERROR(VLOOKUP($D2539,'Informations sur les produits'!$A$3:$B$15000,2,FALSE),"")</f>
        <v/>
      </c>
      <c r="V2539">
        <f t="shared" si="158"/>
        <v>0</v>
      </c>
      <c r="W2539">
        <f t="shared" si="159"/>
        <v>0</v>
      </c>
    </row>
    <row r="2540" spans="5:23" x14ac:dyDescent="0.25">
      <c r="E2540" s="4"/>
      <c r="F2540" s="4"/>
      <c r="G2540" s="33" t="str">
        <f>IFERROR(VLOOKUP($D2540,'Informations sur les produits'!$A$3:$H$10000,8,FALSE),"0")</f>
        <v>0</v>
      </c>
      <c r="K2540" s="4"/>
      <c r="L2540" s="33" t="str">
        <f>IFERROR(VLOOKUP($J2540,'Informations sur les produits'!$A$3:$H$10000,8,FALSE),"0")</f>
        <v>0</v>
      </c>
      <c r="N2540" s="8"/>
      <c r="O2540" s="33" t="str">
        <f>IFERROR(VLOOKUP($M2540,'Informations sur les produits'!$A$3:$H$10000,8,FALSE),"0")</f>
        <v>0</v>
      </c>
      <c r="P2540" s="33">
        <f t="shared" si="156"/>
        <v>0</v>
      </c>
      <c r="Q2540" s="31" t="str">
        <f t="shared" si="157"/>
        <v/>
      </c>
      <c r="R2540" s="32" t="str">
        <f>IFERROR(VLOOKUP($D2540,'Informations sur les produits'!$A$3:$B$15000,2,FALSE),"")</f>
        <v/>
      </c>
      <c r="V2540">
        <f t="shared" si="158"/>
        <v>0</v>
      </c>
      <c r="W2540">
        <f t="shared" si="159"/>
        <v>0</v>
      </c>
    </row>
    <row r="2541" spans="5:23" x14ac:dyDescent="0.25">
      <c r="E2541" s="4"/>
      <c r="F2541" s="4"/>
      <c r="G2541" s="33" t="str">
        <f>IFERROR(VLOOKUP($D2541,'Informations sur les produits'!$A$3:$H$10000,8,FALSE),"0")</f>
        <v>0</v>
      </c>
      <c r="K2541" s="4"/>
      <c r="L2541" s="33" t="str">
        <f>IFERROR(VLOOKUP($J2541,'Informations sur les produits'!$A$3:$H$10000,8,FALSE),"0")</f>
        <v>0</v>
      </c>
      <c r="N2541" s="8"/>
      <c r="O2541" s="33" t="str">
        <f>IFERROR(VLOOKUP($M2541,'Informations sur les produits'!$A$3:$H$10000,8,FALSE),"0")</f>
        <v>0</v>
      </c>
      <c r="P2541" s="33">
        <f t="shared" si="156"/>
        <v>0</v>
      </c>
      <c r="Q2541" s="31" t="str">
        <f t="shared" si="157"/>
        <v/>
      </c>
      <c r="R2541" s="32" t="str">
        <f>IFERROR(VLOOKUP($D2541,'Informations sur les produits'!$A$3:$B$15000,2,FALSE),"")</f>
        <v/>
      </c>
      <c r="V2541">
        <f t="shared" si="158"/>
        <v>0</v>
      </c>
      <c r="W2541">
        <f t="shared" si="159"/>
        <v>0</v>
      </c>
    </row>
    <row r="2542" spans="5:23" x14ac:dyDescent="0.25">
      <c r="E2542" s="4"/>
      <c r="F2542" s="4"/>
      <c r="G2542" s="33" t="str">
        <f>IFERROR(VLOOKUP($D2542,'Informations sur les produits'!$A$3:$H$10000,8,FALSE),"0")</f>
        <v>0</v>
      </c>
      <c r="K2542" s="4"/>
      <c r="L2542" s="33" t="str">
        <f>IFERROR(VLOOKUP($J2542,'Informations sur les produits'!$A$3:$H$10000,8,FALSE),"0")</f>
        <v>0</v>
      </c>
      <c r="N2542" s="8"/>
      <c r="O2542" s="33" t="str">
        <f>IFERROR(VLOOKUP($M2542,'Informations sur les produits'!$A$3:$H$10000,8,FALSE),"0")</f>
        <v>0</v>
      </c>
      <c r="P2542" s="33">
        <f t="shared" si="156"/>
        <v>0</v>
      </c>
      <c r="Q2542" s="31" t="str">
        <f t="shared" si="157"/>
        <v/>
      </c>
      <c r="R2542" s="32" t="str">
        <f>IFERROR(VLOOKUP($D2542,'Informations sur les produits'!$A$3:$B$15000,2,FALSE),"")</f>
        <v/>
      </c>
      <c r="V2542">
        <f t="shared" si="158"/>
        <v>0</v>
      </c>
      <c r="W2542">
        <f t="shared" si="159"/>
        <v>0</v>
      </c>
    </row>
    <row r="2543" spans="5:23" x14ac:dyDescent="0.25">
      <c r="E2543" s="4"/>
      <c r="F2543" s="4"/>
      <c r="G2543" s="33" t="str">
        <f>IFERROR(VLOOKUP($D2543,'Informations sur les produits'!$A$3:$H$10000,8,FALSE),"0")</f>
        <v>0</v>
      </c>
      <c r="K2543" s="4"/>
      <c r="L2543" s="33" t="str">
        <f>IFERROR(VLOOKUP($J2543,'Informations sur les produits'!$A$3:$H$10000,8,FALSE),"0")</f>
        <v>0</v>
      </c>
      <c r="N2543" s="8"/>
      <c r="O2543" s="33" t="str">
        <f>IFERROR(VLOOKUP($M2543,'Informations sur les produits'!$A$3:$H$10000,8,FALSE),"0")</f>
        <v>0</v>
      </c>
      <c r="P2543" s="33">
        <f t="shared" si="156"/>
        <v>0</v>
      </c>
      <c r="Q2543" s="31" t="str">
        <f t="shared" si="157"/>
        <v/>
      </c>
      <c r="R2543" s="32" t="str">
        <f>IFERROR(VLOOKUP($D2543,'Informations sur les produits'!$A$3:$B$15000,2,FALSE),"")</f>
        <v/>
      </c>
      <c r="V2543">
        <f t="shared" si="158"/>
        <v>0</v>
      </c>
      <c r="W2543">
        <f t="shared" si="159"/>
        <v>0</v>
      </c>
    </row>
    <row r="2544" spans="5:23" x14ac:dyDescent="0.25">
      <c r="E2544" s="4"/>
      <c r="F2544" s="4"/>
      <c r="G2544" s="33" t="str">
        <f>IFERROR(VLOOKUP($D2544,'Informations sur les produits'!$A$3:$H$10000,8,FALSE),"0")</f>
        <v>0</v>
      </c>
      <c r="K2544" s="4"/>
      <c r="L2544" s="33" t="str">
        <f>IFERROR(VLOOKUP($J2544,'Informations sur les produits'!$A$3:$H$10000,8,FALSE),"0")</f>
        <v>0</v>
      </c>
      <c r="N2544" s="8"/>
      <c r="O2544" s="33" t="str">
        <f>IFERROR(VLOOKUP($M2544,'Informations sur les produits'!$A$3:$H$10000,8,FALSE),"0")</f>
        <v>0</v>
      </c>
      <c r="P2544" s="33">
        <f t="shared" si="156"/>
        <v>0</v>
      </c>
      <c r="Q2544" s="31" t="str">
        <f t="shared" si="157"/>
        <v/>
      </c>
      <c r="R2544" s="32" t="str">
        <f>IFERROR(VLOOKUP($D2544,'Informations sur les produits'!$A$3:$B$15000,2,FALSE),"")</f>
        <v/>
      </c>
      <c r="V2544">
        <f t="shared" si="158"/>
        <v>0</v>
      </c>
      <c r="W2544">
        <f t="shared" si="159"/>
        <v>0</v>
      </c>
    </row>
    <row r="2545" spans="5:23" x14ac:dyDescent="0.25">
      <c r="E2545" s="4"/>
      <c r="F2545" s="4"/>
      <c r="G2545" s="33" t="str">
        <f>IFERROR(VLOOKUP($D2545,'Informations sur les produits'!$A$3:$H$10000,8,FALSE),"0")</f>
        <v>0</v>
      </c>
      <c r="K2545" s="4"/>
      <c r="L2545" s="33" t="str">
        <f>IFERROR(VLOOKUP($J2545,'Informations sur les produits'!$A$3:$H$10000,8,FALSE),"0")</f>
        <v>0</v>
      </c>
      <c r="N2545" s="8"/>
      <c r="O2545" s="33" t="str">
        <f>IFERROR(VLOOKUP($M2545,'Informations sur les produits'!$A$3:$H$10000,8,FALSE),"0")</f>
        <v>0</v>
      </c>
      <c r="P2545" s="33">
        <f t="shared" si="156"/>
        <v>0</v>
      </c>
      <c r="Q2545" s="31" t="str">
        <f t="shared" si="157"/>
        <v/>
      </c>
      <c r="R2545" s="32" t="str">
        <f>IFERROR(VLOOKUP($D2545,'Informations sur les produits'!$A$3:$B$15000,2,FALSE),"")</f>
        <v/>
      </c>
      <c r="V2545">
        <f t="shared" si="158"/>
        <v>0</v>
      </c>
      <c r="W2545">
        <f t="shared" si="159"/>
        <v>0</v>
      </c>
    </row>
    <row r="2546" spans="5:23" x14ac:dyDescent="0.25">
      <c r="E2546" s="4"/>
      <c r="F2546" s="4"/>
      <c r="G2546" s="33" t="str">
        <f>IFERROR(VLOOKUP($D2546,'Informations sur les produits'!$A$3:$H$10000,8,FALSE),"0")</f>
        <v>0</v>
      </c>
      <c r="K2546" s="4"/>
      <c r="L2546" s="33" t="str">
        <f>IFERROR(VLOOKUP($J2546,'Informations sur les produits'!$A$3:$H$10000,8,FALSE),"0")</f>
        <v>0</v>
      </c>
      <c r="N2546" s="8"/>
      <c r="O2546" s="33" t="str">
        <f>IFERROR(VLOOKUP($M2546,'Informations sur les produits'!$A$3:$H$10000,8,FALSE),"0")</f>
        <v>0</v>
      </c>
      <c r="P2546" s="33">
        <f t="shared" si="156"/>
        <v>0</v>
      </c>
      <c r="Q2546" s="31" t="str">
        <f t="shared" si="157"/>
        <v/>
      </c>
      <c r="R2546" s="32" t="str">
        <f>IFERROR(VLOOKUP($D2546,'Informations sur les produits'!$A$3:$B$15000,2,FALSE),"")</f>
        <v/>
      </c>
      <c r="V2546">
        <f t="shared" si="158"/>
        <v>0</v>
      </c>
      <c r="W2546">
        <f t="shared" si="159"/>
        <v>0</v>
      </c>
    </row>
    <row r="2547" spans="5:23" x14ac:dyDescent="0.25">
      <c r="E2547" s="4"/>
      <c r="F2547" s="4"/>
      <c r="G2547" s="33" t="str">
        <f>IFERROR(VLOOKUP($D2547,'Informations sur les produits'!$A$3:$H$10000,8,FALSE),"0")</f>
        <v>0</v>
      </c>
      <c r="K2547" s="4"/>
      <c r="L2547" s="33" t="str">
        <f>IFERROR(VLOOKUP($J2547,'Informations sur les produits'!$A$3:$H$10000,8,FALSE),"0")</f>
        <v>0</v>
      </c>
      <c r="N2547" s="8"/>
      <c r="O2547" s="33" t="str">
        <f>IFERROR(VLOOKUP($M2547,'Informations sur les produits'!$A$3:$H$10000,8,FALSE),"0")</f>
        <v>0</v>
      </c>
      <c r="P2547" s="33">
        <f t="shared" si="156"/>
        <v>0</v>
      </c>
      <c r="Q2547" s="31" t="str">
        <f t="shared" si="157"/>
        <v/>
      </c>
      <c r="R2547" s="32" t="str">
        <f>IFERROR(VLOOKUP($D2547,'Informations sur les produits'!$A$3:$B$15000,2,FALSE),"")</f>
        <v/>
      </c>
      <c r="V2547">
        <f t="shared" si="158"/>
        <v>0</v>
      </c>
      <c r="W2547">
        <f t="shared" si="159"/>
        <v>0</v>
      </c>
    </row>
    <row r="2548" spans="5:23" x14ac:dyDescent="0.25">
      <c r="E2548" s="4"/>
      <c r="F2548" s="4"/>
      <c r="G2548" s="33" t="str">
        <f>IFERROR(VLOOKUP($D2548,'Informations sur les produits'!$A$3:$H$10000,8,FALSE),"0")</f>
        <v>0</v>
      </c>
      <c r="K2548" s="4"/>
      <c r="L2548" s="33" t="str">
        <f>IFERROR(VLOOKUP($J2548,'Informations sur les produits'!$A$3:$H$10000,8,FALSE),"0")</f>
        <v>0</v>
      </c>
      <c r="N2548" s="8"/>
      <c r="O2548" s="33" t="str">
        <f>IFERROR(VLOOKUP($M2548,'Informations sur les produits'!$A$3:$H$10000,8,FALSE),"0")</f>
        <v>0</v>
      </c>
      <c r="P2548" s="33">
        <f t="shared" si="156"/>
        <v>0</v>
      </c>
      <c r="Q2548" s="31" t="str">
        <f t="shared" si="157"/>
        <v/>
      </c>
      <c r="R2548" s="32" t="str">
        <f>IFERROR(VLOOKUP($D2548,'Informations sur les produits'!$A$3:$B$15000,2,FALSE),"")</f>
        <v/>
      </c>
      <c r="V2548">
        <f t="shared" si="158"/>
        <v>0</v>
      </c>
      <c r="W2548">
        <f t="shared" si="159"/>
        <v>0</v>
      </c>
    </row>
    <row r="2549" spans="5:23" x14ac:dyDescent="0.25">
      <c r="E2549" s="4"/>
      <c r="F2549" s="4"/>
      <c r="G2549" s="33" t="str">
        <f>IFERROR(VLOOKUP($D2549,'Informations sur les produits'!$A$3:$H$10000,8,FALSE),"0")</f>
        <v>0</v>
      </c>
      <c r="K2549" s="4"/>
      <c r="L2549" s="33" t="str">
        <f>IFERROR(VLOOKUP($J2549,'Informations sur les produits'!$A$3:$H$10000,8,FALSE),"0")</f>
        <v>0</v>
      </c>
      <c r="N2549" s="8"/>
      <c r="O2549" s="33" t="str">
        <f>IFERROR(VLOOKUP($M2549,'Informations sur les produits'!$A$3:$H$10000,8,FALSE),"0")</f>
        <v>0</v>
      </c>
      <c r="P2549" s="33">
        <f t="shared" si="156"/>
        <v>0</v>
      </c>
      <c r="Q2549" s="31" t="str">
        <f t="shared" si="157"/>
        <v/>
      </c>
      <c r="R2549" s="32" t="str">
        <f>IFERROR(VLOOKUP($D2549,'Informations sur les produits'!$A$3:$B$15000,2,FALSE),"")</f>
        <v/>
      </c>
      <c r="V2549">
        <f t="shared" si="158"/>
        <v>0</v>
      </c>
      <c r="W2549">
        <f t="shared" si="159"/>
        <v>0</v>
      </c>
    </row>
    <row r="2550" spans="5:23" x14ac:dyDescent="0.25">
      <c r="E2550" s="4"/>
      <c r="F2550" s="4"/>
      <c r="G2550" s="33" t="str">
        <f>IFERROR(VLOOKUP($D2550,'Informations sur les produits'!$A$3:$H$10000,8,FALSE),"0")</f>
        <v>0</v>
      </c>
      <c r="K2550" s="4"/>
      <c r="L2550" s="33" t="str">
        <f>IFERROR(VLOOKUP($J2550,'Informations sur les produits'!$A$3:$H$10000,8,FALSE),"0")</f>
        <v>0</v>
      </c>
      <c r="N2550" s="8"/>
      <c r="O2550" s="33" t="str">
        <f>IFERROR(VLOOKUP($M2550,'Informations sur les produits'!$A$3:$H$10000,8,FALSE),"0")</f>
        <v>0</v>
      </c>
      <c r="P2550" s="33">
        <f t="shared" si="156"/>
        <v>0</v>
      </c>
      <c r="Q2550" s="31" t="str">
        <f t="shared" si="157"/>
        <v/>
      </c>
      <c r="R2550" s="32" t="str">
        <f>IFERROR(VLOOKUP($D2550,'Informations sur les produits'!$A$3:$B$15000,2,FALSE),"")</f>
        <v/>
      </c>
      <c r="V2550">
        <f t="shared" si="158"/>
        <v>0</v>
      </c>
      <c r="W2550">
        <f t="shared" si="159"/>
        <v>0</v>
      </c>
    </row>
    <row r="2551" spans="5:23" x14ac:dyDescent="0.25">
      <c r="E2551" s="4"/>
      <c r="F2551" s="4"/>
      <c r="G2551" s="33" t="str">
        <f>IFERROR(VLOOKUP($D2551,'Informations sur les produits'!$A$3:$H$10000,8,FALSE),"0")</f>
        <v>0</v>
      </c>
      <c r="K2551" s="4"/>
      <c r="L2551" s="33" t="str">
        <f>IFERROR(VLOOKUP($J2551,'Informations sur les produits'!$A$3:$H$10000,8,FALSE),"0")</f>
        <v>0</v>
      </c>
      <c r="N2551" s="8"/>
      <c r="O2551" s="33" t="str">
        <f>IFERROR(VLOOKUP($M2551,'Informations sur les produits'!$A$3:$H$10000,8,FALSE),"0")</f>
        <v>0</v>
      </c>
      <c r="P2551" s="33">
        <f t="shared" si="156"/>
        <v>0</v>
      </c>
      <c r="Q2551" s="31" t="str">
        <f t="shared" si="157"/>
        <v/>
      </c>
      <c r="R2551" s="32" t="str">
        <f>IFERROR(VLOOKUP($D2551,'Informations sur les produits'!$A$3:$B$15000,2,FALSE),"")</f>
        <v/>
      </c>
      <c r="V2551">
        <f t="shared" si="158"/>
        <v>0</v>
      </c>
      <c r="W2551">
        <f t="shared" si="159"/>
        <v>0</v>
      </c>
    </row>
    <row r="2552" spans="5:23" x14ac:dyDescent="0.25">
      <c r="E2552" s="4"/>
      <c r="F2552" s="4"/>
      <c r="G2552" s="33" t="str">
        <f>IFERROR(VLOOKUP($D2552,'Informations sur les produits'!$A$3:$H$10000,8,FALSE),"0")</f>
        <v>0</v>
      </c>
      <c r="K2552" s="4"/>
      <c r="L2552" s="33" t="str">
        <f>IFERROR(VLOOKUP($J2552,'Informations sur les produits'!$A$3:$H$10000,8,FALSE),"0")</f>
        <v>0</v>
      </c>
      <c r="N2552" s="8"/>
      <c r="O2552" s="33" t="str">
        <f>IFERROR(VLOOKUP($M2552,'Informations sur les produits'!$A$3:$H$10000,8,FALSE),"0")</f>
        <v>0</v>
      </c>
      <c r="P2552" s="33">
        <f t="shared" si="156"/>
        <v>0</v>
      </c>
      <c r="Q2552" s="31" t="str">
        <f t="shared" si="157"/>
        <v/>
      </c>
      <c r="R2552" s="32" t="str">
        <f>IFERROR(VLOOKUP($D2552,'Informations sur les produits'!$A$3:$B$15000,2,FALSE),"")</f>
        <v/>
      </c>
      <c r="V2552">
        <f t="shared" si="158"/>
        <v>0</v>
      </c>
      <c r="W2552">
        <f t="shared" si="159"/>
        <v>0</v>
      </c>
    </row>
    <row r="2553" spans="5:23" x14ac:dyDescent="0.25">
      <c r="E2553" s="4"/>
      <c r="F2553" s="4"/>
      <c r="G2553" s="33" t="str">
        <f>IFERROR(VLOOKUP($D2553,'Informations sur les produits'!$A$3:$H$10000,8,FALSE),"0")</f>
        <v>0</v>
      </c>
      <c r="K2553" s="4"/>
      <c r="L2553" s="33" t="str">
        <f>IFERROR(VLOOKUP($J2553,'Informations sur les produits'!$A$3:$H$10000,8,FALSE),"0")</f>
        <v>0</v>
      </c>
      <c r="N2553" s="8"/>
      <c r="O2553" s="33" t="str">
        <f>IFERROR(VLOOKUP($M2553,'Informations sur les produits'!$A$3:$H$10000,8,FALSE),"0")</f>
        <v>0</v>
      </c>
      <c r="P2553" s="33">
        <f t="shared" si="156"/>
        <v>0</v>
      </c>
      <c r="Q2553" s="31" t="str">
        <f t="shared" si="157"/>
        <v/>
      </c>
      <c r="R2553" s="32" t="str">
        <f>IFERROR(VLOOKUP($D2553,'Informations sur les produits'!$A$3:$B$15000,2,FALSE),"")</f>
        <v/>
      </c>
      <c r="V2553">
        <f t="shared" si="158"/>
        <v>0</v>
      </c>
      <c r="W2553">
        <f t="shared" si="159"/>
        <v>0</v>
      </c>
    </row>
    <row r="2554" spans="5:23" x14ac:dyDescent="0.25">
      <c r="E2554" s="4"/>
      <c r="F2554" s="4"/>
      <c r="G2554" s="33" t="str">
        <f>IFERROR(VLOOKUP($D2554,'Informations sur les produits'!$A$3:$H$10000,8,FALSE),"0")</f>
        <v>0</v>
      </c>
      <c r="K2554" s="4"/>
      <c r="L2554" s="33" t="str">
        <f>IFERROR(VLOOKUP($J2554,'Informations sur les produits'!$A$3:$H$10000,8,FALSE),"0")</f>
        <v>0</v>
      </c>
      <c r="N2554" s="8"/>
      <c r="O2554" s="33" t="str">
        <f>IFERROR(VLOOKUP($M2554,'Informations sur les produits'!$A$3:$H$10000,8,FALSE),"0")</f>
        <v>0</v>
      </c>
      <c r="P2554" s="33">
        <f t="shared" si="156"/>
        <v>0</v>
      </c>
      <c r="Q2554" s="31" t="str">
        <f t="shared" si="157"/>
        <v/>
      </c>
      <c r="R2554" s="32" t="str">
        <f>IFERROR(VLOOKUP($D2554,'Informations sur les produits'!$A$3:$B$15000,2,FALSE),"")</f>
        <v/>
      </c>
      <c r="V2554">
        <f t="shared" si="158"/>
        <v>0</v>
      </c>
      <c r="W2554">
        <f t="shared" si="159"/>
        <v>0</v>
      </c>
    </row>
    <row r="2555" spans="5:23" x14ac:dyDescent="0.25">
      <c r="E2555" s="4"/>
      <c r="F2555" s="4"/>
      <c r="G2555" s="33" t="str">
        <f>IFERROR(VLOOKUP($D2555,'Informations sur les produits'!$A$3:$H$10000,8,FALSE),"0")</f>
        <v>0</v>
      </c>
      <c r="K2555" s="4"/>
      <c r="L2555" s="33" t="str">
        <f>IFERROR(VLOOKUP($J2555,'Informations sur les produits'!$A$3:$H$10000,8,FALSE),"0")</f>
        <v>0</v>
      </c>
      <c r="N2555" s="8"/>
      <c r="O2555" s="33" t="str">
        <f>IFERROR(VLOOKUP($M2555,'Informations sur les produits'!$A$3:$H$10000,8,FALSE),"0")</f>
        <v>0</v>
      </c>
      <c r="P2555" s="33">
        <f t="shared" si="156"/>
        <v>0</v>
      </c>
      <c r="Q2555" s="31" t="str">
        <f t="shared" si="157"/>
        <v/>
      </c>
      <c r="R2555" s="32" t="str">
        <f>IFERROR(VLOOKUP($D2555,'Informations sur les produits'!$A$3:$B$15000,2,FALSE),"")</f>
        <v/>
      </c>
      <c r="V2555">
        <f t="shared" si="158"/>
        <v>0</v>
      </c>
      <c r="W2555">
        <f t="shared" si="159"/>
        <v>0</v>
      </c>
    </row>
    <row r="2556" spans="5:23" x14ac:dyDescent="0.25">
      <c r="E2556" s="4"/>
      <c r="F2556" s="4"/>
      <c r="G2556" s="33" t="str">
        <f>IFERROR(VLOOKUP($D2556,'Informations sur les produits'!$A$3:$H$10000,8,FALSE),"0")</f>
        <v>0</v>
      </c>
      <c r="K2556" s="4"/>
      <c r="L2556" s="33" t="str">
        <f>IFERROR(VLOOKUP($J2556,'Informations sur les produits'!$A$3:$H$10000,8,FALSE),"0")</f>
        <v>0</v>
      </c>
      <c r="N2556" s="8"/>
      <c r="O2556" s="33" t="str">
        <f>IFERROR(VLOOKUP($M2556,'Informations sur les produits'!$A$3:$H$10000,8,FALSE),"0")</f>
        <v>0</v>
      </c>
      <c r="P2556" s="33">
        <f t="shared" si="156"/>
        <v>0</v>
      </c>
      <c r="Q2556" s="31" t="str">
        <f t="shared" si="157"/>
        <v/>
      </c>
      <c r="R2556" s="32" t="str">
        <f>IFERROR(VLOOKUP($D2556,'Informations sur les produits'!$A$3:$B$15000,2,FALSE),"")</f>
        <v/>
      </c>
      <c r="V2556">
        <f t="shared" si="158"/>
        <v>0</v>
      </c>
      <c r="W2556">
        <f t="shared" si="159"/>
        <v>0</v>
      </c>
    </row>
    <row r="2557" spans="5:23" x14ac:dyDescent="0.25">
      <c r="E2557" s="4"/>
      <c r="F2557" s="4"/>
      <c r="G2557" s="33" t="str">
        <f>IFERROR(VLOOKUP($D2557,'Informations sur les produits'!$A$3:$H$10000,8,FALSE),"0")</f>
        <v>0</v>
      </c>
      <c r="K2557" s="4"/>
      <c r="L2557" s="33" t="str">
        <f>IFERROR(VLOOKUP($J2557,'Informations sur les produits'!$A$3:$H$10000,8,FALSE),"0")</f>
        <v>0</v>
      </c>
      <c r="N2557" s="8"/>
      <c r="O2557" s="33" t="str">
        <f>IFERROR(VLOOKUP($M2557,'Informations sur les produits'!$A$3:$H$10000,8,FALSE),"0")</f>
        <v>0</v>
      </c>
      <c r="P2557" s="33">
        <f t="shared" si="156"/>
        <v>0</v>
      </c>
      <c r="Q2557" s="31" t="str">
        <f t="shared" si="157"/>
        <v/>
      </c>
      <c r="R2557" s="32" t="str">
        <f>IFERROR(VLOOKUP($D2557,'Informations sur les produits'!$A$3:$B$15000,2,FALSE),"")</f>
        <v/>
      </c>
      <c r="V2557">
        <f t="shared" si="158"/>
        <v>0</v>
      </c>
      <c r="W2557">
        <f t="shared" si="159"/>
        <v>0</v>
      </c>
    </row>
    <row r="2558" spans="5:23" x14ac:dyDescent="0.25">
      <c r="E2558" s="4"/>
      <c r="F2558" s="4"/>
      <c r="G2558" s="33" t="str">
        <f>IFERROR(VLOOKUP($D2558,'Informations sur les produits'!$A$3:$H$10000,8,FALSE),"0")</f>
        <v>0</v>
      </c>
      <c r="K2558" s="4"/>
      <c r="L2558" s="33" t="str">
        <f>IFERROR(VLOOKUP($J2558,'Informations sur les produits'!$A$3:$H$10000,8,FALSE),"0")</f>
        <v>0</v>
      </c>
      <c r="N2558" s="8"/>
      <c r="O2558" s="33" t="str">
        <f>IFERROR(VLOOKUP($M2558,'Informations sur les produits'!$A$3:$H$10000,8,FALSE),"0")</f>
        <v>0</v>
      </c>
      <c r="P2558" s="33">
        <f t="shared" si="156"/>
        <v>0</v>
      </c>
      <c r="Q2558" s="31" t="str">
        <f t="shared" si="157"/>
        <v/>
      </c>
      <c r="R2558" s="32" t="str">
        <f>IFERROR(VLOOKUP($D2558,'Informations sur les produits'!$A$3:$B$15000,2,FALSE),"")</f>
        <v/>
      </c>
      <c r="V2558">
        <f t="shared" si="158"/>
        <v>0</v>
      </c>
      <c r="W2558">
        <f t="shared" si="159"/>
        <v>0</v>
      </c>
    </row>
    <row r="2559" spans="5:23" x14ac:dyDescent="0.25">
      <c r="E2559" s="4"/>
      <c r="F2559" s="4"/>
      <c r="G2559" s="33" t="str">
        <f>IFERROR(VLOOKUP($D2559,'Informations sur les produits'!$A$3:$H$10000,8,FALSE),"0")</f>
        <v>0</v>
      </c>
      <c r="K2559" s="4"/>
      <c r="L2559" s="33" t="str">
        <f>IFERROR(VLOOKUP($J2559,'Informations sur les produits'!$A$3:$H$10000,8,FALSE),"0")</f>
        <v>0</v>
      </c>
      <c r="N2559" s="8"/>
      <c r="O2559" s="33" t="str">
        <f>IFERROR(VLOOKUP($M2559,'Informations sur les produits'!$A$3:$H$10000,8,FALSE),"0")</f>
        <v>0</v>
      </c>
      <c r="P2559" s="33">
        <f t="shared" si="156"/>
        <v>0</v>
      </c>
      <c r="Q2559" s="31" t="str">
        <f t="shared" si="157"/>
        <v/>
      </c>
      <c r="R2559" s="32" t="str">
        <f>IFERROR(VLOOKUP($D2559,'Informations sur les produits'!$A$3:$B$15000,2,FALSE),"")</f>
        <v/>
      </c>
      <c r="V2559">
        <f t="shared" si="158"/>
        <v>0</v>
      </c>
      <c r="W2559">
        <f t="shared" si="159"/>
        <v>0</v>
      </c>
    </row>
    <row r="2560" spans="5:23" x14ac:dyDescent="0.25">
      <c r="E2560" s="4"/>
      <c r="F2560" s="4"/>
      <c r="G2560" s="33" t="str">
        <f>IFERROR(VLOOKUP($D2560,'Informations sur les produits'!$A$3:$H$10000,8,FALSE),"0")</f>
        <v>0</v>
      </c>
      <c r="K2560" s="4"/>
      <c r="L2560" s="33" t="str">
        <f>IFERROR(VLOOKUP($J2560,'Informations sur les produits'!$A$3:$H$10000,8,FALSE),"0")</f>
        <v>0</v>
      </c>
      <c r="N2560" s="8"/>
      <c r="O2560" s="33" t="str">
        <f>IFERROR(VLOOKUP($M2560,'Informations sur les produits'!$A$3:$H$10000,8,FALSE),"0")</f>
        <v>0</v>
      </c>
      <c r="P2560" s="33">
        <f t="shared" si="156"/>
        <v>0</v>
      </c>
      <c r="Q2560" s="31" t="str">
        <f t="shared" si="157"/>
        <v/>
      </c>
      <c r="R2560" s="32" t="str">
        <f>IFERROR(VLOOKUP($D2560,'Informations sur les produits'!$A$3:$B$15000,2,FALSE),"")</f>
        <v/>
      </c>
      <c r="V2560">
        <f t="shared" si="158"/>
        <v>0</v>
      </c>
      <c r="W2560">
        <f t="shared" si="159"/>
        <v>0</v>
      </c>
    </row>
    <row r="2561" spans="5:23" x14ac:dyDescent="0.25">
      <c r="E2561" s="4"/>
      <c r="F2561" s="4"/>
      <c r="G2561" s="33" t="str">
        <f>IFERROR(VLOOKUP($D2561,'Informations sur les produits'!$A$3:$H$10000,8,FALSE),"0")</f>
        <v>0</v>
      </c>
      <c r="K2561" s="4"/>
      <c r="L2561" s="33" t="str">
        <f>IFERROR(VLOOKUP($J2561,'Informations sur les produits'!$A$3:$H$10000,8,FALSE),"0")</f>
        <v>0</v>
      </c>
      <c r="N2561" s="8"/>
      <c r="O2561" s="33" t="str">
        <f>IFERROR(VLOOKUP($M2561,'Informations sur les produits'!$A$3:$H$10000,8,FALSE),"0")</f>
        <v>0</v>
      </c>
      <c r="P2561" s="33">
        <f t="shared" si="156"/>
        <v>0</v>
      </c>
      <c r="Q2561" s="31" t="str">
        <f t="shared" si="157"/>
        <v/>
      </c>
      <c r="R2561" s="32" t="str">
        <f>IFERROR(VLOOKUP($D2561,'Informations sur les produits'!$A$3:$B$15000,2,FALSE),"")</f>
        <v/>
      </c>
      <c r="V2561">
        <f t="shared" si="158"/>
        <v>0</v>
      </c>
      <c r="W2561">
        <f t="shared" si="159"/>
        <v>0</v>
      </c>
    </row>
    <row r="2562" spans="5:23" x14ac:dyDescent="0.25">
      <c r="E2562" s="4"/>
      <c r="F2562" s="4"/>
      <c r="G2562" s="33" t="str">
        <f>IFERROR(VLOOKUP($D2562,'Informations sur les produits'!$A$3:$H$10000,8,FALSE),"0")</f>
        <v>0</v>
      </c>
      <c r="K2562" s="4"/>
      <c r="L2562" s="33" t="str">
        <f>IFERROR(VLOOKUP($J2562,'Informations sur les produits'!$A$3:$H$10000,8,FALSE),"0")</f>
        <v>0</v>
      </c>
      <c r="N2562" s="8"/>
      <c r="O2562" s="33" t="str">
        <f>IFERROR(VLOOKUP($M2562,'Informations sur les produits'!$A$3:$H$10000,8,FALSE),"0")</f>
        <v>0</v>
      </c>
      <c r="P2562" s="33">
        <f t="shared" si="156"/>
        <v>0</v>
      </c>
      <c r="Q2562" s="31" t="str">
        <f t="shared" si="157"/>
        <v/>
      </c>
      <c r="R2562" s="32" t="str">
        <f>IFERROR(VLOOKUP($D2562,'Informations sur les produits'!$A$3:$B$15000,2,FALSE),"")</f>
        <v/>
      </c>
      <c r="V2562">
        <f t="shared" si="158"/>
        <v>0</v>
      </c>
      <c r="W2562">
        <f t="shared" si="159"/>
        <v>0</v>
      </c>
    </row>
    <row r="2563" spans="5:23" x14ac:dyDescent="0.25">
      <c r="E2563" s="4"/>
      <c r="F2563" s="4"/>
      <c r="G2563" s="33" t="str">
        <f>IFERROR(VLOOKUP($D2563,'Informations sur les produits'!$A$3:$H$10000,8,FALSE),"0")</f>
        <v>0</v>
      </c>
      <c r="K2563" s="4"/>
      <c r="L2563" s="33" t="str">
        <f>IFERROR(VLOOKUP($J2563,'Informations sur les produits'!$A$3:$H$10000,8,FALSE),"0")</f>
        <v>0</v>
      </c>
      <c r="N2563" s="8"/>
      <c r="O2563" s="33" t="str">
        <f>IFERROR(VLOOKUP($M2563,'Informations sur les produits'!$A$3:$H$10000,8,FALSE),"0")</f>
        <v>0</v>
      </c>
      <c r="P2563" s="33">
        <f t="shared" si="156"/>
        <v>0</v>
      </c>
      <c r="Q2563" s="31" t="str">
        <f t="shared" si="157"/>
        <v/>
      </c>
      <c r="R2563" s="32" t="str">
        <f>IFERROR(VLOOKUP($D2563,'Informations sur les produits'!$A$3:$B$15000,2,FALSE),"")</f>
        <v/>
      </c>
      <c r="V2563">
        <f t="shared" si="158"/>
        <v>0</v>
      </c>
      <c r="W2563">
        <f t="shared" si="159"/>
        <v>0</v>
      </c>
    </row>
    <row r="2564" spans="5:23" x14ac:dyDescent="0.25">
      <c r="E2564" s="4"/>
      <c r="F2564" s="4"/>
      <c r="G2564" s="33" t="str">
        <f>IFERROR(VLOOKUP($D2564,'Informations sur les produits'!$A$3:$H$10000,8,FALSE),"0")</f>
        <v>0</v>
      </c>
      <c r="K2564" s="4"/>
      <c r="L2564" s="33" t="str">
        <f>IFERROR(VLOOKUP($J2564,'Informations sur les produits'!$A$3:$H$10000,8,FALSE),"0")</f>
        <v>0</v>
      </c>
      <c r="N2564" s="8"/>
      <c r="O2564" s="33" t="str">
        <f>IFERROR(VLOOKUP($M2564,'Informations sur les produits'!$A$3:$H$10000,8,FALSE),"0")</f>
        <v>0</v>
      </c>
      <c r="P2564" s="33">
        <f t="shared" ref="P2564:P2627" si="160">IFERROR((($E2564-$F2564)*$G2564+$K2564*$L2564+$N2564*$O2564),"")</f>
        <v>0</v>
      </c>
      <c r="Q2564" s="31" t="str">
        <f t="shared" ref="Q2564:Q2627" si="161">IFERROR((((($E2564-$F2564)*$G2564+$K2564*$L2564+$N2564*$O2564)*1000)/(($E2564-$F2564)+$K2564+$N2564)),"")</f>
        <v/>
      </c>
      <c r="R2564" s="32" t="str">
        <f>IFERROR(VLOOKUP($D2564,'Informations sur les produits'!$A$3:$B$15000,2,FALSE),"")</f>
        <v/>
      </c>
      <c r="V2564">
        <f t="shared" ref="V2564:V2627" si="162">IFERROR(P2564*1000,"")</f>
        <v>0</v>
      </c>
      <c r="W2564">
        <f t="shared" ref="W2564:W2627" si="163">IFERROR(($E2564-$F2564)+$K2564+$N2564,"")</f>
        <v>0</v>
      </c>
    </row>
    <row r="2565" spans="5:23" x14ac:dyDescent="0.25">
      <c r="E2565" s="4"/>
      <c r="F2565" s="4"/>
      <c r="G2565" s="33" t="str">
        <f>IFERROR(VLOOKUP($D2565,'Informations sur les produits'!$A$3:$H$10000,8,FALSE),"0")</f>
        <v>0</v>
      </c>
      <c r="K2565" s="4"/>
      <c r="L2565" s="33" t="str">
        <f>IFERROR(VLOOKUP($J2565,'Informations sur les produits'!$A$3:$H$10000,8,FALSE),"0")</f>
        <v>0</v>
      </c>
      <c r="N2565" s="8"/>
      <c r="O2565" s="33" t="str">
        <f>IFERROR(VLOOKUP($M2565,'Informations sur les produits'!$A$3:$H$10000,8,FALSE),"0")</f>
        <v>0</v>
      </c>
      <c r="P2565" s="33">
        <f t="shared" si="160"/>
        <v>0</v>
      </c>
      <c r="Q2565" s="31" t="str">
        <f t="shared" si="161"/>
        <v/>
      </c>
      <c r="R2565" s="32" t="str">
        <f>IFERROR(VLOOKUP($D2565,'Informations sur les produits'!$A$3:$B$15000,2,FALSE),"")</f>
        <v/>
      </c>
      <c r="V2565">
        <f t="shared" si="162"/>
        <v>0</v>
      </c>
      <c r="W2565">
        <f t="shared" si="163"/>
        <v>0</v>
      </c>
    </row>
    <row r="2566" spans="5:23" x14ac:dyDescent="0.25">
      <c r="E2566" s="4"/>
      <c r="F2566" s="4"/>
      <c r="G2566" s="33" t="str">
        <f>IFERROR(VLOOKUP($D2566,'Informations sur les produits'!$A$3:$H$10000,8,FALSE),"0")</f>
        <v>0</v>
      </c>
      <c r="K2566" s="4"/>
      <c r="L2566" s="33" t="str">
        <f>IFERROR(VLOOKUP($J2566,'Informations sur les produits'!$A$3:$H$10000,8,FALSE),"0")</f>
        <v>0</v>
      </c>
      <c r="N2566" s="8"/>
      <c r="O2566" s="33" t="str">
        <f>IFERROR(VLOOKUP($M2566,'Informations sur les produits'!$A$3:$H$10000,8,FALSE),"0")</f>
        <v>0</v>
      </c>
      <c r="P2566" s="33">
        <f t="shared" si="160"/>
        <v>0</v>
      </c>
      <c r="Q2566" s="31" t="str">
        <f t="shared" si="161"/>
        <v/>
      </c>
      <c r="R2566" s="32" t="str">
        <f>IFERROR(VLOOKUP($D2566,'Informations sur les produits'!$A$3:$B$15000,2,FALSE),"")</f>
        <v/>
      </c>
      <c r="V2566">
        <f t="shared" si="162"/>
        <v>0</v>
      </c>
      <c r="W2566">
        <f t="shared" si="163"/>
        <v>0</v>
      </c>
    </row>
    <row r="2567" spans="5:23" x14ac:dyDescent="0.25">
      <c r="E2567" s="4"/>
      <c r="F2567" s="4"/>
      <c r="G2567" s="33" t="str">
        <f>IFERROR(VLOOKUP($D2567,'Informations sur les produits'!$A$3:$H$10000,8,FALSE),"0")</f>
        <v>0</v>
      </c>
      <c r="K2567" s="4"/>
      <c r="L2567" s="33" t="str">
        <f>IFERROR(VLOOKUP($J2567,'Informations sur les produits'!$A$3:$H$10000,8,FALSE),"0")</f>
        <v>0</v>
      </c>
      <c r="N2567" s="8"/>
      <c r="O2567" s="33" t="str">
        <f>IFERROR(VLOOKUP($M2567,'Informations sur les produits'!$A$3:$H$10000,8,FALSE),"0")</f>
        <v>0</v>
      </c>
      <c r="P2567" s="33">
        <f t="shared" si="160"/>
        <v>0</v>
      </c>
      <c r="Q2567" s="31" t="str">
        <f t="shared" si="161"/>
        <v/>
      </c>
      <c r="R2567" s="32" t="str">
        <f>IFERROR(VLOOKUP($D2567,'Informations sur les produits'!$A$3:$B$15000,2,FALSE),"")</f>
        <v/>
      </c>
      <c r="V2567">
        <f t="shared" si="162"/>
        <v>0</v>
      </c>
      <c r="W2567">
        <f t="shared" si="163"/>
        <v>0</v>
      </c>
    </row>
    <row r="2568" spans="5:23" x14ac:dyDescent="0.25">
      <c r="E2568" s="4"/>
      <c r="F2568" s="4"/>
      <c r="G2568" s="33" t="str">
        <f>IFERROR(VLOOKUP($D2568,'Informations sur les produits'!$A$3:$H$10000,8,FALSE),"0")</f>
        <v>0</v>
      </c>
      <c r="K2568" s="4"/>
      <c r="L2568" s="33" t="str">
        <f>IFERROR(VLOOKUP($J2568,'Informations sur les produits'!$A$3:$H$10000,8,FALSE),"0")</f>
        <v>0</v>
      </c>
      <c r="N2568" s="8"/>
      <c r="O2568" s="33" t="str">
        <f>IFERROR(VLOOKUP($M2568,'Informations sur les produits'!$A$3:$H$10000,8,FALSE),"0")</f>
        <v>0</v>
      </c>
      <c r="P2568" s="33">
        <f t="shared" si="160"/>
        <v>0</v>
      </c>
      <c r="Q2568" s="31" t="str">
        <f t="shared" si="161"/>
        <v/>
      </c>
      <c r="R2568" s="32" t="str">
        <f>IFERROR(VLOOKUP($D2568,'Informations sur les produits'!$A$3:$B$15000,2,FALSE),"")</f>
        <v/>
      </c>
      <c r="V2568">
        <f t="shared" si="162"/>
        <v>0</v>
      </c>
      <c r="W2568">
        <f t="shared" si="163"/>
        <v>0</v>
      </c>
    </row>
    <row r="2569" spans="5:23" x14ac:dyDescent="0.25">
      <c r="E2569" s="4"/>
      <c r="F2569" s="4"/>
      <c r="G2569" s="33" t="str">
        <f>IFERROR(VLOOKUP($D2569,'Informations sur les produits'!$A$3:$H$10000,8,FALSE),"0")</f>
        <v>0</v>
      </c>
      <c r="K2569" s="4"/>
      <c r="L2569" s="33" t="str">
        <f>IFERROR(VLOOKUP($J2569,'Informations sur les produits'!$A$3:$H$10000,8,FALSE),"0")</f>
        <v>0</v>
      </c>
      <c r="N2569" s="8"/>
      <c r="O2569" s="33" t="str">
        <f>IFERROR(VLOOKUP($M2569,'Informations sur les produits'!$A$3:$H$10000,8,FALSE),"0")</f>
        <v>0</v>
      </c>
      <c r="P2569" s="33">
        <f t="shared" si="160"/>
        <v>0</v>
      </c>
      <c r="Q2569" s="31" t="str">
        <f t="shared" si="161"/>
        <v/>
      </c>
      <c r="R2569" s="32" t="str">
        <f>IFERROR(VLOOKUP($D2569,'Informations sur les produits'!$A$3:$B$15000,2,FALSE),"")</f>
        <v/>
      </c>
      <c r="V2569">
        <f t="shared" si="162"/>
        <v>0</v>
      </c>
      <c r="W2569">
        <f t="shared" si="163"/>
        <v>0</v>
      </c>
    </row>
    <row r="2570" spans="5:23" x14ac:dyDescent="0.25">
      <c r="E2570" s="4"/>
      <c r="F2570" s="4"/>
      <c r="G2570" s="33" t="str">
        <f>IFERROR(VLOOKUP($D2570,'Informations sur les produits'!$A$3:$H$10000,8,FALSE),"0")</f>
        <v>0</v>
      </c>
      <c r="K2570" s="4"/>
      <c r="L2570" s="33" t="str">
        <f>IFERROR(VLOOKUP($J2570,'Informations sur les produits'!$A$3:$H$10000,8,FALSE),"0")</f>
        <v>0</v>
      </c>
      <c r="N2570" s="8"/>
      <c r="O2570" s="33" t="str">
        <f>IFERROR(VLOOKUP($M2570,'Informations sur les produits'!$A$3:$H$10000,8,FALSE),"0")</f>
        <v>0</v>
      </c>
      <c r="P2570" s="33">
        <f t="shared" si="160"/>
        <v>0</v>
      </c>
      <c r="Q2570" s="31" t="str">
        <f t="shared" si="161"/>
        <v/>
      </c>
      <c r="R2570" s="32" t="str">
        <f>IFERROR(VLOOKUP($D2570,'Informations sur les produits'!$A$3:$B$15000,2,FALSE),"")</f>
        <v/>
      </c>
      <c r="V2570">
        <f t="shared" si="162"/>
        <v>0</v>
      </c>
      <c r="W2570">
        <f t="shared" si="163"/>
        <v>0</v>
      </c>
    </row>
    <row r="2571" spans="5:23" x14ac:dyDescent="0.25">
      <c r="E2571" s="4"/>
      <c r="F2571" s="4"/>
      <c r="G2571" s="33" t="str">
        <f>IFERROR(VLOOKUP($D2571,'Informations sur les produits'!$A$3:$H$10000,8,FALSE),"0")</f>
        <v>0</v>
      </c>
      <c r="K2571" s="4"/>
      <c r="L2571" s="33" t="str">
        <f>IFERROR(VLOOKUP($J2571,'Informations sur les produits'!$A$3:$H$10000,8,FALSE),"0")</f>
        <v>0</v>
      </c>
      <c r="N2571" s="8"/>
      <c r="O2571" s="33" t="str">
        <f>IFERROR(VLOOKUP($M2571,'Informations sur les produits'!$A$3:$H$10000,8,FALSE),"0")</f>
        <v>0</v>
      </c>
      <c r="P2571" s="33">
        <f t="shared" si="160"/>
        <v>0</v>
      </c>
      <c r="Q2571" s="31" t="str">
        <f t="shared" si="161"/>
        <v/>
      </c>
      <c r="R2571" s="32" t="str">
        <f>IFERROR(VLOOKUP($D2571,'Informations sur les produits'!$A$3:$B$15000,2,FALSE),"")</f>
        <v/>
      </c>
      <c r="V2571">
        <f t="shared" si="162"/>
        <v>0</v>
      </c>
      <c r="W2571">
        <f t="shared" si="163"/>
        <v>0</v>
      </c>
    </row>
    <row r="2572" spans="5:23" x14ac:dyDescent="0.25">
      <c r="E2572" s="4"/>
      <c r="F2572" s="4"/>
      <c r="G2572" s="33" t="str">
        <f>IFERROR(VLOOKUP($D2572,'Informations sur les produits'!$A$3:$H$10000,8,FALSE),"0")</f>
        <v>0</v>
      </c>
      <c r="K2572" s="4"/>
      <c r="L2572" s="33" t="str">
        <f>IFERROR(VLOOKUP($J2572,'Informations sur les produits'!$A$3:$H$10000,8,FALSE),"0")</f>
        <v>0</v>
      </c>
      <c r="N2572" s="8"/>
      <c r="O2572" s="33" t="str">
        <f>IFERROR(VLOOKUP($M2572,'Informations sur les produits'!$A$3:$H$10000,8,FALSE),"0")</f>
        <v>0</v>
      </c>
      <c r="P2572" s="33">
        <f t="shared" si="160"/>
        <v>0</v>
      </c>
      <c r="Q2572" s="31" t="str">
        <f t="shared" si="161"/>
        <v/>
      </c>
      <c r="R2572" s="32" t="str">
        <f>IFERROR(VLOOKUP($D2572,'Informations sur les produits'!$A$3:$B$15000,2,FALSE),"")</f>
        <v/>
      </c>
      <c r="V2572">
        <f t="shared" si="162"/>
        <v>0</v>
      </c>
      <c r="W2572">
        <f t="shared" si="163"/>
        <v>0</v>
      </c>
    </row>
    <row r="2573" spans="5:23" x14ac:dyDescent="0.25">
      <c r="E2573" s="4"/>
      <c r="F2573" s="4"/>
      <c r="G2573" s="33" t="str">
        <f>IFERROR(VLOOKUP($D2573,'Informations sur les produits'!$A$3:$H$10000,8,FALSE),"0")</f>
        <v>0</v>
      </c>
      <c r="K2573" s="4"/>
      <c r="L2573" s="33" t="str">
        <f>IFERROR(VLOOKUP($J2573,'Informations sur les produits'!$A$3:$H$10000,8,FALSE),"0")</f>
        <v>0</v>
      </c>
      <c r="N2573" s="8"/>
      <c r="O2573" s="33" t="str">
        <f>IFERROR(VLOOKUP($M2573,'Informations sur les produits'!$A$3:$H$10000,8,FALSE),"0")</f>
        <v>0</v>
      </c>
      <c r="P2573" s="33">
        <f t="shared" si="160"/>
        <v>0</v>
      </c>
      <c r="Q2573" s="31" t="str">
        <f t="shared" si="161"/>
        <v/>
      </c>
      <c r="R2573" s="32" t="str">
        <f>IFERROR(VLOOKUP($D2573,'Informations sur les produits'!$A$3:$B$15000,2,FALSE),"")</f>
        <v/>
      </c>
      <c r="V2573">
        <f t="shared" si="162"/>
        <v>0</v>
      </c>
      <c r="W2573">
        <f t="shared" si="163"/>
        <v>0</v>
      </c>
    </row>
    <row r="2574" spans="5:23" x14ac:dyDescent="0.25">
      <c r="E2574" s="4"/>
      <c r="F2574" s="4"/>
      <c r="G2574" s="33" t="str">
        <f>IFERROR(VLOOKUP($D2574,'Informations sur les produits'!$A$3:$H$10000,8,FALSE),"0")</f>
        <v>0</v>
      </c>
      <c r="K2574" s="4"/>
      <c r="L2574" s="33" t="str">
        <f>IFERROR(VLOOKUP($J2574,'Informations sur les produits'!$A$3:$H$10000,8,FALSE),"0")</f>
        <v>0</v>
      </c>
      <c r="N2574" s="8"/>
      <c r="O2574" s="33" t="str">
        <f>IFERROR(VLOOKUP($M2574,'Informations sur les produits'!$A$3:$H$10000,8,FALSE),"0")</f>
        <v>0</v>
      </c>
      <c r="P2574" s="33">
        <f t="shared" si="160"/>
        <v>0</v>
      </c>
      <c r="Q2574" s="31" t="str">
        <f t="shared" si="161"/>
        <v/>
      </c>
      <c r="R2574" s="32" t="str">
        <f>IFERROR(VLOOKUP($D2574,'Informations sur les produits'!$A$3:$B$15000,2,FALSE),"")</f>
        <v/>
      </c>
      <c r="V2574">
        <f t="shared" si="162"/>
        <v>0</v>
      </c>
      <c r="W2574">
        <f t="shared" si="163"/>
        <v>0</v>
      </c>
    </row>
    <row r="2575" spans="5:23" x14ac:dyDescent="0.25">
      <c r="E2575" s="4"/>
      <c r="F2575" s="4"/>
      <c r="G2575" s="33" t="str">
        <f>IFERROR(VLOOKUP($D2575,'Informations sur les produits'!$A$3:$H$10000,8,FALSE),"0")</f>
        <v>0</v>
      </c>
      <c r="K2575" s="4"/>
      <c r="L2575" s="33" t="str">
        <f>IFERROR(VLOOKUP($J2575,'Informations sur les produits'!$A$3:$H$10000,8,FALSE),"0")</f>
        <v>0</v>
      </c>
      <c r="N2575" s="8"/>
      <c r="O2575" s="33" t="str">
        <f>IFERROR(VLOOKUP($M2575,'Informations sur les produits'!$A$3:$H$10000,8,FALSE),"0")</f>
        <v>0</v>
      </c>
      <c r="P2575" s="33">
        <f t="shared" si="160"/>
        <v>0</v>
      </c>
      <c r="Q2575" s="31" t="str">
        <f t="shared" si="161"/>
        <v/>
      </c>
      <c r="R2575" s="32" t="str">
        <f>IFERROR(VLOOKUP($D2575,'Informations sur les produits'!$A$3:$B$15000,2,FALSE),"")</f>
        <v/>
      </c>
      <c r="V2575">
        <f t="shared" si="162"/>
        <v>0</v>
      </c>
      <c r="W2575">
        <f t="shared" si="163"/>
        <v>0</v>
      </c>
    </row>
    <row r="2576" spans="5:23" x14ac:dyDescent="0.25">
      <c r="E2576" s="4"/>
      <c r="F2576" s="4"/>
      <c r="G2576" s="33" t="str">
        <f>IFERROR(VLOOKUP($D2576,'Informations sur les produits'!$A$3:$H$10000,8,FALSE),"0")</f>
        <v>0</v>
      </c>
      <c r="K2576" s="4"/>
      <c r="L2576" s="33" t="str">
        <f>IFERROR(VLOOKUP($J2576,'Informations sur les produits'!$A$3:$H$10000,8,FALSE),"0")</f>
        <v>0</v>
      </c>
      <c r="N2576" s="8"/>
      <c r="O2576" s="33" t="str">
        <f>IFERROR(VLOOKUP($M2576,'Informations sur les produits'!$A$3:$H$10000,8,FALSE),"0")</f>
        <v>0</v>
      </c>
      <c r="P2576" s="33">
        <f t="shared" si="160"/>
        <v>0</v>
      </c>
      <c r="Q2576" s="31" t="str">
        <f t="shared" si="161"/>
        <v/>
      </c>
      <c r="R2576" s="32" t="str">
        <f>IFERROR(VLOOKUP($D2576,'Informations sur les produits'!$A$3:$B$15000,2,FALSE),"")</f>
        <v/>
      </c>
      <c r="V2576">
        <f t="shared" si="162"/>
        <v>0</v>
      </c>
      <c r="W2576">
        <f t="shared" si="163"/>
        <v>0</v>
      </c>
    </row>
    <row r="2577" spans="5:23" x14ac:dyDescent="0.25">
      <c r="E2577" s="4"/>
      <c r="F2577" s="4"/>
      <c r="G2577" s="33" t="str">
        <f>IFERROR(VLOOKUP($D2577,'Informations sur les produits'!$A$3:$H$10000,8,FALSE),"0")</f>
        <v>0</v>
      </c>
      <c r="K2577" s="4"/>
      <c r="L2577" s="33" t="str">
        <f>IFERROR(VLOOKUP($J2577,'Informations sur les produits'!$A$3:$H$10000,8,FALSE),"0")</f>
        <v>0</v>
      </c>
      <c r="N2577" s="8"/>
      <c r="O2577" s="33" t="str">
        <f>IFERROR(VLOOKUP($M2577,'Informations sur les produits'!$A$3:$H$10000,8,FALSE),"0")</f>
        <v>0</v>
      </c>
      <c r="P2577" s="33">
        <f t="shared" si="160"/>
        <v>0</v>
      </c>
      <c r="Q2577" s="31" t="str">
        <f t="shared" si="161"/>
        <v/>
      </c>
      <c r="R2577" s="32" t="str">
        <f>IFERROR(VLOOKUP($D2577,'Informations sur les produits'!$A$3:$B$15000,2,FALSE),"")</f>
        <v/>
      </c>
      <c r="V2577">
        <f t="shared" si="162"/>
        <v>0</v>
      </c>
      <c r="W2577">
        <f t="shared" si="163"/>
        <v>0</v>
      </c>
    </row>
    <row r="2578" spans="5:23" x14ac:dyDescent="0.25">
      <c r="E2578" s="4"/>
      <c r="F2578" s="4"/>
      <c r="G2578" s="33" t="str">
        <f>IFERROR(VLOOKUP($D2578,'Informations sur les produits'!$A$3:$H$10000,8,FALSE),"0")</f>
        <v>0</v>
      </c>
      <c r="K2578" s="4"/>
      <c r="L2578" s="33" t="str">
        <f>IFERROR(VLOOKUP($J2578,'Informations sur les produits'!$A$3:$H$10000,8,FALSE),"0")</f>
        <v>0</v>
      </c>
      <c r="N2578" s="8"/>
      <c r="O2578" s="33" t="str">
        <f>IFERROR(VLOOKUP($M2578,'Informations sur les produits'!$A$3:$H$10000,8,FALSE),"0")</f>
        <v>0</v>
      </c>
      <c r="P2578" s="33">
        <f t="shared" si="160"/>
        <v>0</v>
      </c>
      <c r="Q2578" s="31" t="str">
        <f t="shared" si="161"/>
        <v/>
      </c>
      <c r="R2578" s="32" t="str">
        <f>IFERROR(VLOOKUP($D2578,'Informations sur les produits'!$A$3:$B$15000,2,FALSE),"")</f>
        <v/>
      </c>
      <c r="V2578">
        <f t="shared" si="162"/>
        <v>0</v>
      </c>
      <c r="W2578">
        <f t="shared" si="163"/>
        <v>0</v>
      </c>
    </row>
    <row r="2579" spans="5:23" x14ac:dyDescent="0.25">
      <c r="E2579" s="4"/>
      <c r="F2579" s="4"/>
      <c r="G2579" s="33" t="str">
        <f>IFERROR(VLOOKUP($D2579,'Informations sur les produits'!$A$3:$H$10000,8,FALSE),"0")</f>
        <v>0</v>
      </c>
      <c r="K2579" s="4"/>
      <c r="L2579" s="33" t="str">
        <f>IFERROR(VLOOKUP($J2579,'Informations sur les produits'!$A$3:$H$10000,8,FALSE),"0")</f>
        <v>0</v>
      </c>
      <c r="N2579" s="8"/>
      <c r="O2579" s="33" t="str">
        <f>IFERROR(VLOOKUP($M2579,'Informations sur les produits'!$A$3:$H$10000,8,FALSE),"0")</f>
        <v>0</v>
      </c>
      <c r="P2579" s="33">
        <f t="shared" si="160"/>
        <v>0</v>
      </c>
      <c r="Q2579" s="31" t="str">
        <f t="shared" si="161"/>
        <v/>
      </c>
      <c r="R2579" s="32" t="str">
        <f>IFERROR(VLOOKUP($D2579,'Informations sur les produits'!$A$3:$B$15000,2,FALSE),"")</f>
        <v/>
      </c>
      <c r="V2579">
        <f t="shared" si="162"/>
        <v>0</v>
      </c>
      <c r="W2579">
        <f t="shared" si="163"/>
        <v>0</v>
      </c>
    </row>
    <row r="2580" spans="5:23" x14ac:dyDescent="0.25">
      <c r="E2580" s="4"/>
      <c r="F2580" s="4"/>
      <c r="G2580" s="33" t="str">
        <f>IFERROR(VLOOKUP($D2580,'Informations sur les produits'!$A$3:$H$10000,8,FALSE),"0")</f>
        <v>0</v>
      </c>
      <c r="K2580" s="4"/>
      <c r="L2580" s="33" t="str">
        <f>IFERROR(VLOOKUP($J2580,'Informations sur les produits'!$A$3:$H$10000,8,FALSE),"0")</f>
        <v>0</v>
      </c>
      <c r="N2580" s="8"/>
      <c r="O2580" s="33" t="str">
        <f>IFERROR(VLOOKUP($M2580,'Informations sur les produits'!$A$3:$H$10000,8,FALSE),"0")</f>
        <v>0</v>
      </c>
      <c r="P2580" s="33">
        <f t="shared" si="160"/>
        <v>0</v>
      </c>
      <c r="Q2580" s="31" t="str">
        <f t="shared" si="161"/>
        <v/>
      </c>
      <c r="R2580" s="32" t="str">
        <f>IFERROR(VLOOKUP($D2580,'Informations sur les produits'!$A$3:$B$15000,2,FALSE),"")</f>
        <v/>
      </c>
      <c r="V2580">
        <f t="shared" si="162"/>
        <v>0</v>
      </c>
      <c r="W2580">
        <f t="shared" si="163"/>
        <v>0</v>
      </c>
    </row>
    <row r="2581" spans="5:23" x14ac:dyDescent="0.25">
      <c r="E2581" s="4"/>
      <c r="F2581" s="4"/>
      <c r="G2581" s="33" t="str">
        <f>IFERROR(VLOOKUP($D2581,'Informations sur les produits'!$A$3:$H$10000,8,FALSE),"0")</f>
        <v>0</v>
      </c>
      <c r="K2581" s="4"/>
      <c r="L2581" s="33" t="str">
        <f>IFERROR(VLOOKUP($J2581,'Informations sur les produits'!$A$3:$H$10000,8,FALSE),"0")</f>
        <v>0</v>
      </c>
      <c r="N2581" s="8"/>
      <c r="O2581" s="33" t="str">
        <f>IFERROR(VLOOKUP($M2581,'Informations sur les produits'!$A$3:$H$10000,8,FALSE),"0")</f>
        <v>0</v>
      </c>
      <c r="P2581" s="33">
        <f t="shared" si="160"/>
        <v>0</v>
      </c>
      <c r="Q2581" s="31" t="str">
        <f t="shared" si="161"/>
        <v/>
      </c>
      <c r="R2581" s="32" t="str">
        <f>IFERROR(VLOOKUP($D2581,'Informations sur les produits'!$A$3:$B$15000,2,FALSE),"")</f>
        <v/>
      </c>
      <c r="V2581">
        <f t="shared" si="162"/>
        <v>0</v>
      </c>
      <c r="W2581">
        <f t="shared" si="163"/>
        <v>0</v>
      </c>
    </row>
    <row r="2582" spans="5:23" x14ac:dyDescent="0.25">
      <c r="E2582" s="4"/>
      <c r="F2582" s="4"/>
      <c r="G2582" s="33" t="str">
        <f>IFERROR(VLOOKUP($D2582,'Informations sur les produits'!$A$3:$H$10000,8,FALSE),"0")</f>
        <v>0</v>
      </c>
      <c r="K2582" s="4"/>
      <c r="L2582" s="33" t="str">
        <f>IFERROR(VLOOKUP($J2582,'Informations sur les produits'!$A$3:$H$10000,8,FALSE),"0")</f>
        <v>0</v>
      </c>
      <c r="N2582" s="8"/>
      <c r="O2582" s="33" t="str">
        <f>IFERROR(VLOOKUP($M2582,'Informations sur les produits'!$A$3:$H$10000,8,FALSE),"0")</f>
        <v>0</v>
      </c>
      <c r="P2582" s="33">
        <f t="shared" si="160"/>
        <v>0</v>
      </c>
      <c r="Q2582" s="31" t="str">
        <f t="shared" si="161"/>
        <v/>
      </c>
      <c r="R2582" s="32" t="str">
        <f>IFERROR(VLOOKUP($D2582,'Informations sur les produits'!$A$3:$B$15000,2,FALSE),"")</f>
        <v/>
      </c>
      <c r="V2582">
        <f t="shared" si="162"/>
        <v>0</v>
      </c>
      <c r="W2582">
        <f t="shared" si="163"/>
        <v>0</v>
      </c>
    </row>
    <row r="2583" spans="5:23" x14ac:dyDescent="0.25">
      <c r="E2583" s="4"/>
      <c r="F2583" s="4"/>
      <c r="G2583" s="33" t="str">
        <f>IFERROR(VLOOKUP($D2583,'Informations sur les produits'!$A$3:$H$10000,8,FALSE),"0")</f>
        <v>0</v>
      </c>
      <c r="K2583" s="4"/>
      <c r="L2583" s="33" t="str">
        <f>IFERROR(VLOOKUP($J2583,'Informations sur les produits'!$A$3:$H$10000,8,FALSE),"0")</f>
        <v>0</v>
      </c>
      <c r="N2583" s="8"/>
      <c r="O2583" s="33" t="str">
        <f>IFERROR(VLOOKUP($M2583,'Informations sur les produits'!$A$3:$H$10000,8,FALSE),"0")</f>
        <v>0</v>
      </c>
      <c r="P2583" s="33">
        <f t="shared" si="160"/>
        <v>0</v>
      </c>
      <c r="Q2583" s="31" t="str">
        <f t="shared" si="161"/>
        <v/>
      </c>
      <c r="R2583" s="32" t="str">
        <f>IFERROR(VLOOKUP($D2583,'Informations sur les produits'!$A$3:$B$15000,2,FALSE),"")</f>
        <v/>
      </c>
      <c r="V2583">
        <f t="shared" si="162"/>
        <v>0</v>
      </c>
      <c r="W2583">
        <f t="shared" si="163"/>
        <v>0</v>
      </c>
    </row>
    <row r="2584" spans="5:23" x14ac:dyDescent="0.25">
      <c r="E2584" s="4"/>
      <c r="F2584" s="4"/>
      <c r="G2584" s="33" t="str">
        <f>IFERROR(VLOOKUP($D2584,'Informations sur les produits'!$A$3:$H$10000,8,FALSE),"0")</f>
        <v>0</v>
      </c>
      <c r="K2584" s="4"/>
      <c r="L2584" s="33" t="str">
        <f>IFERROR(VLOOKUP($J2584,'Informations sur les produits'!$A$3:$H$10000,8,FALSE),"0")</f>
        <v>0</v>
      </c>
      <c r="N2584" s="8"/>
      <c r="O2584" s="33" t="str">
        <f>IFERROR(VLOOKUP($M2584,'Informations sur les produits'!$A$3:$H$10000,8,FALSE),"0")</f>
        <v>0</v>
      </c>
      <c r="P2584" s="33">
        <f t="shared" si="160"/>
        <v>0</v>
      </c>
      <c r="Q2584" s="31" t="str">
        <f t="shared" si="161"/>
        <v/>
      </c>
      <c r="R2584" s="32" t="str">
        <f>IFERROR(VLOOKUP($D2584,'Informations sur les produits'!$A$3:$B$15000,2,FALSE),"")</f>
        <v/>
      </c>
      <c r="V2584">
        <f t="shared" si="162"/>
        <v>0</v>
      </c>
      <c r="W2584">
        <f t="shared" si="163"/>
        <v>0</v>
      </c>
    </row>
    <row r="2585" spans="5:23" x14ac:dyDescent="0.25">
      <c r="E2585" s="4"/>
      <c r="F2585" s="4"/>
      <c r="G2585" s="33" t="str">
        <f>IFERROR(VLOOKUP($D2585,'Informations sur les produits'!$A$3:$H$10000,8,FALSE),"0")</f>
        <v>0</v>
      </c>
      <c r="K2585" s="4"/>
      <c r="L2585" s="33" t="str">
        <f>IFERROR(VLOOKUP($J2585,'Informations sur les produits'!$A$3:$H$10000,8,FALSE),"0")</f>
        <v>0</v>
      </c>
      <c r="N2585" s="8"/>
      <c r="O2585" s="33" t="str">
        <f>IFERROR(VLOOKUP($M2585,'Informations sur les produits'!$A$3:$H$10000,8,FALSE),"0")</f>
        <v>0</v>
      </c>
      <c r="P2585" s="33">
        <f t="shared" si="160"/>
        <v>0</v>
      </c>
      <c r="Q2585" s="31" t="str">
        <f t="shared" si="161"/>
        <v/>
      </c>
      <c r="R2585" s="32" t="str">
        <f>IFERROR(VLOOKUP($D2585,'Informations sur les produits'!$A$3:$B$15000,2,FALSE),"")</f>
        <v/>
      </c>
      <c r="V2585">
        <f t="shared" si="162"/>
        <v>0</v>
      </c>
      <c r="W2585">
        <f t="shared" si="163"/>
        <v>0</v>
      </c>
    </row>
    <row r="2586" spans="5:23" x14ac:dyDescent="0.25">
      <c r="E2586" s="4"/>
      <c r="F2586" s="4"/>
      <c r="G2586" s="33" t="str">
        <f>IFERROR(VLOOKUP($D2586,'Informations sur les produits'!$A$3:$H$10000,8,FALSE),"0")</f>
        <v>0</v>
      </c>
      <c r="K2586" s="4"/>
      <c r="L2586" s="33" t="str">
        <f>IFERROR(VLOOKUP($J2586,'Informations sur les produits'!$A$3:$H$10000,8,FALSE),"0")</f>
        <v>0</v>
      </c>
      <c r="N2586" s="8"/>
      <c r="O2586" s="33" t="str">
        <f>IFERROR(VLOOKUP($M2586,'Informations sur les produits'!$A$3:$H$10000,8,FALSE),"0")</f>
        <v>0</v>
      </c>
      <c r="P2586" s="33">
        <f t="shared" si="160"/>
        <v>0</v>
      </c>
      <c r="Q2586" s="31" t="str">
        <f t="shared" si="161"/>
        <v/>
      </c>
      <c r="R2586" s="32" t="str">
        <f>IFERROR(VLOOKUP($D2586,'Informations sur les produits'!$A$3:$B$15000,2,FALSE),"")</f>
        <v/>
      </c>
      <c r="V2586">
        <f t="shared" si="162"/>
        <v>0</v>
      </c>
      <c r="W2586">
        <f t="shared" si="163"/>
        <v>0</v>
      </c>
    </row>
    <row r="2587" spans="5:23" x14ac:dyDescent="0.25">
      <c r="E2587" s="4"/>
      <c r="F2587" s="4"/>
      <c r="G2587" s="33" t="str">
        <f>IFERROR(VLOOKUP($D2587,'Informations sur les produits'!$A$3:$H$10000,8,FALSE),"0")</f>
        <v>0</v>
      </c>
      <c r="K2587" s="4"/>
      <c r="L2587" s="33" t="str">
        <f>IFERROR(VLOOKUP($J2587,'Informations sur les produits'!$A$3:$H$10000,8,FALSE),"0")</f>
        <v>0</v>
      </c>
      <c r="N2587" s="8"/>
      <c r="O2587" s="33" t="str">
        <f>IFERROR(VLOOKUP($M2587,'Informations sur les produits'!$A$3:$H$10000,8,FALSE),"0")</f>
        <v>0</v>
      </c>
      <c r="P2587" s="33">
        <f t="shared" si="160"/>
        <v>0</v>
      </c>
      <c r="Q2587" s="31" t="str">
        <f t="shared" si="161"/>
        <v/>
      </c>
      <c r="R2587" s="32" t="str">
        <f>IFERROR(VLOOKUP($D2587,'Informations sur les produits'!$A$3:$B$15000,2,FALSE),"")</f>
        <v/>
      </c>
      <c r="V2587">
        <f t="shared" si="162"/>
        <v>0</v>
      </c>
      <c r="W2587">
        <f t="shared" si="163"/>
        <v>0</v>
      </c>
    </row>
    <row r="2588" spans="5:23" x14ac:dyDescent="0.25">
      <c r="E2588" s="4"/>
      <c r="F2588" s="4"/>
      <c r="G2588" s="33" t="str">
        <f>IFERROR(VLOOKUP($D2588,'Informations sur les produits'!$A$3:$H$10000,8,FALSE),"0")</f>
        <v>0</v>
      </c>
      <c r="K2588" s="4"/>
      <c r="L2588" s="33" t="str">
        <f>IFERROR(VLOOKUP($J2588,'Informations sur les produits'!$A$3:$H$10000,8,FALSE),"0")</f>
        <v>0</v>
      </c>
      <c r="N2588" s="8"/>
      <c r="O2588" s="33" t="str">
        <f>IFERROR(VLOOKUP($M2588,'Informations sur les produits'!$A$3:$H$10000,8,FALSE),"0")</f>
        <v>0</v>
      </c>
      <c r="P2588" s="33">
        <f t="shared" si="160"/>
        <v>0</v>
      </c>
      <c r="Q2588" s="31" t="str">
        <f t="shared" si="161"/>
        <v/>
      </c>
      <c r="R2588" s="32" t="str">
        <f>IFERROR(VLOOKUP($D2588,'Informations sur les produits'!$A$3:$B$15000,2,FALSE),"")</f>
        <v/>
      </c>
      <c r="V2588">
        <f t="shared" si="162"/>
        <v>0</v>
      </c>
      <c r="W2588">
        <f t="shared" si="163"/>
        <v>0</v>
      </c>
    </row>
    <row r="2589" spans="5:23" x14ac:dyDescent="0.25">
      <c r="E2589" s="4"/>
      <c r="F2589" s="4"/>
      <c r="G2589" s="33" t="str">
        <f>IFERROR(VLOOKUP($D2589,'Informations sur les produits'!$A$3:$H$10000,8,FALSE),"0")</f>
        <v>0</v>
      </c>
      <c r="K2589" s="4"/>
      <c r="L2589" s="33" t="str">
        <f>IFERROR(VLOOKUP($J2589,'Informations sur les produits'!$A$3:$H$10000,8,FALSE),"0")</f>
        <v>0</v>
      </c>
      <c r="N2589" s="8"/>
      <c r="O2589" s="33" t="str">
        <f>IFERROR(VLOOKUP($M2589,'Informations sur les produits'!$A$3:$H$10000,8,FALSE),"0")</f>
        <v>0</v>
      </c>
      <c r="P2589" s="33">
        <f t="shared" si="160"/>
        <v>0</v>
      </c>
      <c r="Q2589" s="31" t="str">
        <f t="shared" si="161"/>
        <v/>
      </c>
      <c r="R2589" s="32" t="str">
        <f>IFERROR(VLOOKUP($D2589,'Informations sur les produits'!$A$3:$B$15000,2,FALSE),"")</f>
        <v/>
      </c>
      <c r="V2589">
        <f t="shared" si="162"/>
        <v>0</v>
      </c>
      <c r="W2589">
        <f t="shared" si="163"/>
        <v>0</v>
      </c>
    </row>
    <row r="2590" spans="5:23" x14ac:dyDescent="0.25">
      <c r="E2590" s="4"/>
      <c r="F2590" s="4"/>
      <c r="G2590" s="33" t="str">
        <f>IFERROR(VLOOKUP($D2590,'Informations sur les produits'!$A$3:$H$10000,8,FALSE),"0")</f>
        <v>0</v>
      </c>
      <c r="K2590" s="4"/>
      <c r="L2590" s="33" t="str">
        <f>IFERROR(VLOOKUP($J2590,'Informations sur les produits'!$A$3:$H$10000,8,FALSE),"0")</f>
        <v>0</v>
      </c>
      <c r="N2590" s="8"/>
      <c r="O2590" s="33" t="str">
        <f>IFERROR(VLOOKUP($M2590,'Informations sur les produits'!$A$3:$H$10000,8,FALSE),"0")</f>
        <v>0</v>
      </c>
      <c r="P2590" s="33">
        <f t="shared" si="160"/>
        <v>0</v>
      </c>
      <c r="Q2590" s="31" t="str">
        <f t="shared" si="161"/>
        <v/>
      </c>
      <c r="R2590" s="32" t="str">
        <f>IFERROR(VLOOKUP($D2590,'Informations sur les produits'!$A$3:$B$15000,2,FALSE),"")</f>
        <v/>
      </c>
      <c r="V2590">
        <f t="shared" si="162"/>
        <v>0</v>
      </c>
      <c r="W2590">
        <f t="shared" si="163"/>
        <v>0</v>
      </c>
    </row>
    <row r="2591" spans="5:23" x14ac:dyDescent="0.25">
      <c r="E2591" s="4"/>
      <c r="F2591" s="4"/>
      <c r="G2591" s="33" t="str">
        <f>IFERROR(VLOOKUP($D2591,'Informations sur les produits'!$A$3:$H$10000,8,FALSE),"0")</f>
        <v>0</v>
      </c>
      <c r="K2591" s="4"/>
      <c r="L2591" s="33" t="str">
        <f>IFERROR(VLOOKUP($J2591,'Informations sur les produits'!$A$3:$H$10000,8,FALSE),"0")</f>
        <v>0</v>
      </c>
      <c r="N2591" s="8"/>
      <c r="O2591" s="33" t="str">
        <f>IFERROR(VLOOKUP($M2591,'Informations sur les produits'!$A$3:$H$10000,8,FALSE),"0")</f>
        <v>0</v>
      </c>
      <c r="P2591" s="33">
        <f t="shared" si="160"/>
        <v>0</v>
      </c>
      <c r="Q2591" s="31" t="str">
        <f t="shared" si="161"/>
        <v/>
      </c>
      <c r="R2591" s="32" t="str">
        <f>IFERROR(VLOOKUP($D2591,'Informations sur les produits'!$A$3:$B$15000,2,FALSE),"")</f>
        <v/>
      </c>
      <c r="V2591">
        <f t="shared" si="162"/>
        <v>0</v>
      </c>
      <c r="W2591">
        <f t="shared" si="163"/>
        <v>0</v>
      </c>
    </row>
    <row r="2592" spans="5:23" x14ac:dyDescent="0.25">
      <c r="E2592" s="4"/>
      <c r="F2592" s="4"/>
      <c r="G2592" s="33" t="str">
        <f>IFERROR(VLOOKUP($D2592,'Informations sur les produits'!$A$3:$H$10000,8,FALSE),"0")</f>
        <v>0</v>
      </c>
      <c r="K2592" s="4"/>
      <c r="L2592" s="33" t="str">
        <f>IFERROR(VLOOKUP($J2592,'Informations sur les produits'!$A$3:$H$10000,8,FALSE),"0")</f>
        <v>0</v>
      </c>
      <c r="N2592" s="8"/>
      <c r="O2592" s="33" t="str">
        <f>IFERROR(VLOOKUP($M2592,'Informations sur les produits'!$A$3:$H$10000,8,FALSE),"0")</f>
        <v>0</v>
      </c>
      <c r="P2592" s="33">
        <f t="shared" si="160"/>
        <v>0</v>
      </c>
      <c r="Q2592" s="31" t="str">
        <f t="shared" si="161"/>
        <v/>
      </c>
      <c r="R2592" s="32" t="str">
        <f>IFERROR(VLOOKUP($D2592,'Informations sur les produits'!$A$3:$B$15000,2,FALSE),"")</f>
        <v/>
      </c>
      <c r="V2592">
        <f t="shared" si="162"/>
        <v>0</v>
      </c>
      <c r="W2592">
        <f t="shared" si="163"/>
        <v>0</v>
      </c>
    </row>
    <row r="2593" spans="5:23" x14ac:dyDescent="0.25">
      <c r="E2593" s="4"/>
      <c r="F2593" s="4"/>
      <c r="G2593" s="33" t="str">
        <f>IFERROR(VLOOKUP($D2593,'Informations sur les produits'!$A$3:$H$10000,8,FALSE),"0")</f>
        <v>0</v>
      </c>
      <c r="K2593" s="4"/>
      <c r="L2593" s="33" t="str">
        <f>IFERROR(VLOOKUP($J2593,'Informations sur les produits'!$A$3:$H$10000,8,FALSE),"0")</f>
        <v>0</v>
      </c>
      <c r="N2593" s="8"/>
      <c r="O2593" s="33" t="str">
        <f>IFERROR(VLOOKUP($M2593,'Informations sur les produits'!$A$3:$H$10000,8,FALSE),"0")</f>
        <v>0</v>
      </c>
      <c r="P2593" s="33">
        <f t="shared" si="160"/>
        <v>0</v>
      </c>
      <c r="Q2593" s="31" t="str">
        <f t="shared" si="161"/>
        <v/>
      </c>
      <c r="R2593" s="32" t="str">
        <f>IFERROR(VLOOKUP($D2593,'Informations sur les produits'!$A$3:$B$15000,2,FALSE),"")</f>
        <v/>
      </c>
      <c r="V2593">
        <f t="shared" si="162"/>
        <v>0</v>
      </c>
      <c r="W2593">
        <f t="shared" si="163"/>
        <v>0</v>
      </c>
    </row>
    <row r="2594" spans="5:23" x14ac:dyDescent="0.25">
      <c r="E2594" s="4"/>
      <c r="F2594" s="4"/>
      <c r="G2594" s="33" t="str">
        <f>IFERROR(VLOOKUP($D2594,'Informations sur les produits'!$A$3:$H$10000,8,FALSE),"0")</f>
        <v>0</v>
      </c>
      <c r="K2594" s="4"/>
      <c r="L2594" s="33" t="str">
        <f>IFERROR(VLOOKUP($J2594,'Informations sur les produits'!$A$3:$H$10000,8,FALSE),"0")</f>
        <v>0</v>
      </c>
      <c r="N2594" s="8"/>
      <c r="O2594" s="33" t="str">
        <f>IFERROR(VLOOKUP($M2594,'Informations sur les produits'!$A$3:$H$10000,8,FALSE),"0")</f>
        <v>0</v>
      </c>
      <c r="P2594" s="33">
        <f t="shared" si="160"/>
        <v>0</v>
      </c>
      <c r="Q2594" s="31" t="str">
        <f t="shared" si="161"/>
        <v/>
      </c>
      <c r="R2594" s="32" t="str">
        <f>IFERROR(VLOOKUP($D2594,'Informations sur les produits'!$A$3:$B$15000,2,FALSE),"")</f>
        <v/>
      </c>
      <c r="V2594">
        <f t="shared" si="162"/>
        <v>0</v>
      </c>
      <c r="W2594">
        <f t="shared" si="163"/>
        <v>0</v>
      </c>
    </row>
    <row r="2595" spans="5:23" x14ac:dyDescent="0.25">
      <c r="E2595" s="4"/>
      <c r="F2595" s="4"/>
      <c r="G2595" s="33" t="str">
        <f>IFERROR(VLOOKUP($D2595,'Informations sur les produits'!$A$3:$H$10000,8,FALSE),"0")</f>
        <v>0</v>
      </c>
      <c r="K2595" s="4"/>
      <c r="L2595" s="33" t="str">
        <f>IFERROR(VLOOKUP($J2595,'Informations sur les produits'!$A$3:$H$10000,8,FALSE),"0")</f>
        <v>0</v>
      </c>
      <c r="N2595" s="8"/>
      <c r="O2595" s="33" t="str">
        <f>IFERROR(VLOOKUP($M2595,'Informations sur les produits'!$A$3:$H$10000,8,FALSE),"0")</f>
        <v>0</v>
      </c>
      <c r="P2595" s="33">
        <f t="shared" si="160"/>
        <v>0</v>
      </c>
      <c r="Q2595" s="31" t="str">
        <f t="shared" si="161"/>
        <v/>
      </c>
      <c r="R2595" s="32" t="str">
        <f>IFERROR(VLOOKUP($D2595,'Informations sur les produits'!$A$3:$B$15000,2,FALSE),"")</f>
        <v/>
      </c>
      <c r="V2595">
        <f t="shared" si="162"/>
        <v>0</v>
      </c>
      <c r="W2595">
        <f t="shared" si="163"/>
        <v>0</v>
      </c>
    </row>
    <row r="2596" spans="5:23" x14ac:dyDescent="0.25">
      <c r="E2596" s="4"/>
      <c r="F2596" s="4"/>
      <c r="G2596" s="33" t="str">
        <f>IFERROR(VLOOKUP($D2596,'Informations sur les produits'!$A$3:$H$10000,8,FALSE),"0")</f>
        <v>0</v>
      </c>
      <c r="K2596" s="4"/>
      <c r="L2596" s="33" t="str">
        <f>IFERROR(VLOOKUP($J2596,'Informations sur les produits'!$A$3:$H$10000,8,FALSE),"0")</f>
        <v>0</v>
      </c>
      <c r="N2596" s="8"/>
      <c r="O2596" s="33" t="str">
        <f>IFERROR(VLOOKUP($M2596,'Informations sur les produits'!$A$3:$H$10000,8,FALSE),"0")</f>
        <v>0</v>
      </c>
      <c r="P2596" s="33">
        <f t="shared" si="160"/>
        <v>0</v>
      </c>
      <c r="Q2596" s="31" t="str">
        <f t="shared" si="161"/>
        <v/>
      </c>
      <c r="R2596" s="32" t="str">
        <f>IFERROR(VLOOKUP($D2596,'Informations sur les produits'!$A$3:$B$15000,2,FALSE),"")</f>
        <v/>
      </c>
      <c r="V2596">
        <f t="shared" si="162"/>
        <v>0</v>
      </c>
      <c r="W2596">
        <f t="shared" si="163"/>
        <v>0</v>
      </c>
    </row>
    <row r="2597" spans="5:23" x14ac:dyDescent="0.25">
      <c r="E2597" s="4"/>
      <c r="F2597" s="4"/>
      <c r="G2597" s="33" t="str">
        <f>IFERROR(VLOOKUP($D2597,'Informations sur les produits'!$A$3:$H$10000,8,FALSE),"0")</f>
        <v>0</v>
      </c>
      <c r="K2597" s="4"/>
      <c r="L2597" s="33" t="str">
        <f>IFERROR(VLOOKUP($J2597,'Informations sur les produits'!$A$3:$H$10000,8,FALSE),"0")</f>
        <v>0</v>
      </c>
      <c r="N2597" s="8"/>
      <c r="O2597" s="33" t="str">
        <f>IFERROR(VLOOKUP($M2597,'Informations sur les produits'!$A$3:$H$10000,8,FALSE),"0")</f>
        <v>0</v>
      </c>
      <c r="P2597" s="33">
        <f t="shared" si="160"/>
        <v>0</v>
      </c>
      <c r="Q2597" s="31" t="str">
        <f t="shared" si="161"/>
        <v/>
      </c>
      <c r="R2597" s="32" t="str">
        <f>IFERROR(VLOOKUP($D2597,'Informations sur les produits'!$A$3:$B$15000,2,FALSE),"")</f>
        <v/>
      </c>
      <c r="V2597">
        <f t="shared" si="162"/>
        <v>0</v>
      </c>
      <c r="W2597">
        <f t="shared" si="163"/>
        <v>0</v>
      </c>
    </row>
    <row r="2598" spans="5:23" x14ac:dyDescent="0.25">
      <c r="E2598" s="4"/>
      <c r="F2598" s="4"/>
      <c r="G2598" s="33" t="str">
        <f>IFERROR(VLOOKUP($D2598,'Informations sur les produits'!$A$3:$H$10000,8,FALSE),"0")</f>
        <v>0</v>
      </c>
      <c r="K2598" s="4"/>
      <c r="L2598" s="33" t="str">
        <f>IFERROR(VLOOKUP($J2598,'Informations sur les produits'!$A$3:$H$10000,8,FALSE),"0")</f>
        <v>0</v>
      </c>
      <c r="N2598" s="8"/>
      <c r="O2598" s="33" t="str">
        <f>IFERROR(VLOOKUP($M2598,'Informations sur les produits'!$A$3:$H$10000,8,FALSE),"0")</f>
        <v>0</v>
      </c>
      <c r="P2598" s="33">
        <f t="shared" si="160"/>
        <v>0</v>
      </c>
      <c r="Q2598" s="31" t="str">
        <f t="shared" si="161"/>
        <v/>
      </c>
      <c r="R2598" s="32" t="str">
        <f>IFERROR(VLOOKUP($D2598,'Informations sur les produits'!$A$3:$B$15000,2,FALSE),"")</f>
        <v/>
      </c>
      <c r="V2598">
        <f t="shared" si="162"/>
        <v>0</v>
      </c>
      <c r="W2598">
        <f t="shared" si="163"/>
        <v>0</v>
      </c>
    </row>
    <row r="2599" spans="5:23" x14ac:dyDescent="0.25">
      <c r="E2599" s="4"/>
      <c r="F2599" s="4"/>
      <c r="G2599" s="33" t="str">
        <f>IFERROR(VLOOKUP($D2599,'Informations sur les produits'!$A$3:$H$10000,8,FALSE),"0")</f>
        <v>0</v>
      </c>
      <c r="K2599" s="4"/>
      <c r="L2599" s="33" t="str">
        <f>IFERROR(VLOOKUP($J2599,'Informations sur les produits'!$A$3:$H$10000,8,FALSE),"0")</f>
        <v>0</v>
      </c>
      <c r="N2599" s="8"/>
      <c r="O2599" s="33" t="str">
        <f>IFERROR(VLOOKUP($M2599,'Informations sur les produits'!$A$3:$H$10000,8,FALSE),"0")</f>
        <v>0</v>
      </c>
      <c r="P2599" s="33">
        <f t="shared" si="160"/>
        <v>0</v>
      </c>
      <c r="Q2599" s="31" t="str">
        <f t="shared" si="161"/>
        <v/>
      </c>
      <c r="R2599" s="32" t="str">
        <f>IFERROR(VLOOKUP($D2599,'Informations sur les produits'!$A$3:$B$15000,2,FALSE),"")</f>
        <v/>
      </c>
      <c r="V2599">
        <f t="shared" si="162"/>
        <v>0</v>
      </c>
      <c r="W2599">
        <f t="shared" si="163"/>
        <v>0</v>
      </c>
    </row>
    <row r="2600" spans="5:23" x14ac:dyDescent="0.25">
      <c r="E2600" s="4"/>
      <c r="F2600" s="4"/>
      <c r="G2600" s="33" t="str">
        <f>IFERROR(VLOOKUP($D2600,'Informations sur les produits'!$A$3:$H$10000,8,FALSE),"0")</f>
        <v>0</v>
      </c>
      <c r="K2600" s="4"/>
      <c r="L2600" s="33" t="str">
        <f>IFERROR(VLOOKUP($J2600,'Informations sur les produits'!$A$3:$H$10000,8,FALSE),"0")</f>
        <v>0</v>
      </c>
      <c r="N2600" s="8"/>
      <c r="O2600" s="33" t="str">
        <f>IFERROR(VLOOKUP($M2600,'Informations sur les produits'!$A$3:$H$10000,8,FALSE),"0")</f>
        <v>0</v>
      </c>
      <c r="P2600" s="33">
        <f t="shared" si="160"/>
        <v>0</v>
      </c>
      <c r="Q2600" s="31" t="str">
        <f t="shared" si="161"/>
        <v/>
      </c>
      <c r="R2600" s="32" t="str">
        <f>IFERROR(VLOOKUP($D2600,'Informations sur les produits'!$A$3:$B$15000,2,FALSE),"")</f>
        <v/>
      </c>
      <c r="V2600">
        <f t="shared" si="162"/>
        <v>0</v>
      </c>
      <c r="W2600">
        <f t="shared" si="163"/>
        <v>0</v>
      </c>
    </row>
    <row r="2601" spans="5:23" x14ac:dyDescent="0.25">
      <c r="E2601" s="4"/>
      <c r="F2601" s="4"/>
      <c r="G2601" s="33" t="str">
        <f>IFERROR(VLOOKUP($D2601,'Informations sur les produits'!$A$3:$H$10000,8,FALSE),"0")</f>
        <v>0</v>
      </c>
      <c r="K2601" s="4"/>
      <c r="L2601" s="33" t="str">
        <f>IFERROR(VLOOKUP($J2601,'Informations sur les produits'!$A$3:$H$10000,8,FALSE),"0")</f>
        <v>0</v>
      </c>
      <c r="N2601" s="8"/>
      <c r="O2601" s="33" t="str">
        <f>IFERROR(VLOOKUP($M2601,'Informations sur les produits'!$A$3:$H$10000,8,FALSE),"0")</f>
        <v>0</v>
      </c>
      <c r="P2601" s="33">
        <f t="shared" si="160"/>
        <v>0</v>
      </c>
      <c r="Q2601" s="31" t="str">
        <f t="shared" si="161"/>
        <v/>
      </c>
      <c r="R2601" s="32" t="str">
        <f>IFERROR(VLOOKUP($D2601,'Informations sur les produits'!$A$3:$B$15000,2,FALSE),"")</f>
        <v/>
      </c>
      <c r="V2601">
        <f t="shared" si="162"/>
        <v>0</v>
      </c>
      <c r="W2601">
        <f t="shared" si="163"/>
        <v>0</v>
      </c>
    </row>
    <row r="2602" spans="5:23" x14ac:dyDescent="0.25">
      <c r="E2602" s="4"/>
      <c r="F2602" s="4"/>
      <c r="G2602" s="33" t="str">
        <f>IFERROR(VLOOKUP($D2602,'Informations sur les produits'!$A$3:$H$10000,8,FALSE),"0")</f>
        <v>0</v>
      </c>
      <c r="K2602" s="4"/>
      <c r="L2602" s="33" t="str">
        <f>IFERROR(VLOOKUP($J2602,'Informations sur les produits'!$A$3:$H$10000,8,FALSE),"0")</f>
        <v>0</v>
      </c>
      <c r="N2602" s="8"/>
      <c r="O2602" s="33" t="str">
        <f>IFERROR(VLOOKUP($M2602,'Informations sur les produits'!$A$3:$H$10000,8,FALSE),"0")</f>
        <v>0</v>
      </c>
      <c r="P2602" s="33">
        <f t="shared" si="160"/>
        <v>0</v>
      </c>
      <c r="Q2602" s="31" t="str">
        <f t="shared" si="161"/>
        <v/>
      </c>
      <c r="R2602" s="32" t="str">
        <f>IFERROR(VLOOKUP($D2602,'Informations sur les produits'!$A$3:$B$15000,2,FALSE),"")</f>
        <v/>
      </c>
      <c r="V2602">
        <f t="shared" si="162"/>
        <v>0</v>
      </c>
      <c r="W2602">
        <f t="shared" si="163"/>
        <v>0</v>
      </c>
    </row>
    <row r="2603" spans="5:23" x14ac:dyDescent="0.25">
      <c r="E2603" s="4"/>
      <c r="F2603" s="4"/>
      <c r="G2603" s="33" t="str">
        <f>IFERROR(VLOOKUP($D2603,'Informations sur les produits'!$A$3:$H$10000,8,FALSE),"0")</f>
        <v>0</v>
      </c>
      <c r="K2603" s="4"/>
      <c r="L2603" s="33" t="str">
        <f>IFERROR(VLOOKUP($J2603,'Informations sur les produits'!$A$3:$H$10000,8,FALSE),"0")</f>
        <v>0</v>
      </c>
      <c r="N2603" s="8"/>
      <c r="O2603" s="33" t="str">
        <f>IFERROR(VLOOKUP($M2603,'Informations sur les produits'!$A$3:$H$10000,8,FALSE),"0")</f>
        <v>0</v>
      </c>
      <c r="P2603" s="33">
        <f t="shared" si="160"/>
        <v>0</v>
      </c>
      <c r="Q2603" s="31" t="str">
        <f t="shared" si="161"/>
        <v/>
      </c>
      <c r="R2603" s="32" t="str">
        <f>IFERROR(VLOOKUP($D2603,'Informations sur les produits'!$A$3:$B$15000,2,FALSE),"")</f>
        <v/>
      </c>
      <c r="V2603">
        <f t="shared" si="162"/>
        <v>0</v>
      </c>
      <c r="W2603">
        <f t="shared" si="163"/>
        <v>0</v>
      </c>
    </row>
    <row r="2604" spans="5:23" x14ac:dyDescent="0.25">
      <c r="E2604" s="4"/>
      <c r="F2604" s="4"/>
      <c r="G2604" s="33" t="str">
        <f>IFERROR(VLOOKUP($D2604,'Informations sur les produits'!$A$3:$H$10000,8,FALSE),"0")</f>
        <v>0</v>
      </c>
      <c r="K2604" s="4"/>
      <c r="L2604" s="33" t="str">
        <f>IFERROR(VLOOKUP($J2604,'Informations sur les produits'!$A$3:$H$10000,8,FALSE),"0")</f>
        <v>0</v>
      </c>
      <c r="N2604" s="8"/>
      <c r="O2604" s="33" t="str">
        <f>IFERROR(VLOOKUP($M2604,'Informations sur les produits'!$A$3:$H$10000,8,FALSE),"0")</f>
        <v>0</v>
      </c>
      <c r="P2604" s="33">
        <f t="shared" si="160"/>
        <v>0</v>
      </c>
      <c r="Q2604" s="31" t="str">
        <f t="shared" si="161"/>
        <v/>
      </c>
      <c r="R2604" s="32" t="str">
        <f>IFERROR(VLOOKUP($D2604,'Informations sur les produits'!$A$3:$B$15000,2,FALSE),"")</f>
        <v/>
      </c>
      <c r="V2604">
        <f t="shared" si="162"/>
        <v>0</v>
      </c>
      <c r="W2604">
        <f t="shared" si="163"/>
        <v>0</v>
      </c>
    </row>
    <row r="2605" spans="5:23" x14ac:dyDescent="0.25">
      <c r="E2605" s="4"/>
      <c r="F2605" s="4"/>
      <c r="G2605" s="33" t="str">
        <f>IFERROR(VLOOKUP($D2605,'Informations sur les produits'!$A$3:$H$10000,8,FALSE),"0")</f>
        <v>0</v>
      </c>
      <c r="K2605" s="4"/>
      <c r="L2605" s="33" t="str">
        <f>IFERROR(VLOOKUP($J2605,'Informations sur les produits'!$A$3:$H$10000,8,FALSE),"0")</f>
        <v>0</v>
      </c>
      <c r="N2605" s="8"/>
      <c r="O2605" s="33" t="str">
        <f>IFERROR(VLOOKUP($M2605,'Informations sur les produits'!$A$3:$H$10000,8,FALSE),"0")</f>
        <v>0</v>
      </c>
      <c r="P2605" s="33">
        <f t="shared" si="160"/>
        <v>0</v>
      </c>
      <c r="Q2605" s="31" t="str">
        <f t="shared" si="161"/>
        <v/>
      </c>
      <c r="R2605" s="32" t="str">
        <f>IFERROR(VLOOKUP($D2605,'Informations sur les produits'!$A$3:$B$15000,2,FALSE),"")</f>
        <v/>
      </c>
      <c r="V2605">
        <f t="shared" si="162"/>
        <v>0</v>
      </c>
      <c r="W2605">
        <f t="shared" si="163"/>
        <v>0</v>
      </c>
    </row>
    <row r="2606" spans="5:23" x14ac:dyDescent="0.25">
      <c r="E2606" s="4"/>
      <c r="F2606" s="4"/>
      <c r="G2606" s="33" t="str">
        <f>IFERROR(VLOOKUP($D2606,'Informations sur les produits'!$A$3:$H$10000,8,FALSE),"0")</f>
        <v>0</v>
      </c>
      <c r="K2606" s="4"/>
      <c r="L2606" s="33" t="str">
        <f>IFERROR(VLOOKUP($J2606,'Informations sur les produits'!$A$3:$H$10000,8,FALSE),"0")</f>
        <v>0</v>
      </c>
      <c r="N2606" s="8"/>
      <c r="O2606" s="33" t="str">
        <f>IFERROR(VLOOKUP($M2606,'Informations sur les produits'!$A$3:$H$10000,8,FALSE),"0")</f>
        <v>0</v>
      </c>
      <c r="P2606" s="33">
        <f t="shared" si="160"/>
        <v>0</v>
      </c>
      <c r="Q2606" s="31" t="str">
        <f t="shared" si="161"/>
        <v/>
      </c>
      <c r="R2606" s="32" t="str">
        <f>IFERROR(VLOOKUP($D2606,'Informations sur les produits'!$A$3:$B$15000,2,FALSE),"")</f>
        <v/>
      </c>
      <c r="V2606">
        <f t="shared" si="162"/>
        <v>0</v>
      </c>
      <c r="W2606">
        <f t="shared" si="163"/>
        <v>0</v>
      </c>
    </row>
    <row r="2607" spans="5:23" x14ac:dyDescent="0.25">
      <c r="E2607" s="4"/>
      <c r="F2607" s="4"/>
      <c r="G2607" s="33" t="str">
        <f>IFERROR(VLOOKUP($D2607,'Informations sur les produits'!$A$3:$H$10000,8,FALSE),"0")</f>
        <v>0</v>
      </c>
      <c r="K2607" s="4"/>
      <c r="L2607" s="33" t="str">
        <f>IFERROR(VLOOKUP($J2607,'Informations sur les produits'!$A$3:$H$10000,8,FALSE),"0")</f>
        <v>0</v>
      </c>
      <c r="N2607" s="8"/>
      <c r="O2607" s="33" t="str">
        <f>IFERROR(VLOOKUP($M2607,'Informations sur les produits'!$A$3:$H$10000,8,FALSE),"0")</f>
        <v>0</v>
      </c>
      <c r="P2607" s="33">
        <f t="shared" si="160"/>
        <v>0</v>
      </c>
      <c r="Q2607" s="31" t="str">
        <f t="shared" si="161"/>
        <v/>
      </c>
      <c r="R2607" s="32" t="str">
        <f>IFERROR(VLOOKUP($D2607,'Informations sur les produits'!$A$3:$B$15000,2,FALSE),"")</f>
        <v/>
      </c>
      <c r="V2607">
        <f t="shared" si="162"/>
        <v>0</v>
      </c>
      <c r="W2607">
        <f t="shared" si="163"/>
        <v>0</v>
      </c>
    </row>
    <row r="2608" spans="5:23" x14ac:dyDescent="0.25">
      <c r="E2608" s="4"/>
      <c r="F2608" s="4"/>
      <c r="G2608" s="33" t="str">
        <f>IFERROR(VLOOKUP($D2608,'Informations sur les produits'!$A$3:$H$10000,8,FALSE),"0")</f>
        <v>0</v>
      </c>
      <c r="K2608" s="4"/>
      <c r="L2608" s="33" t="str">
        <f>IFERROR(VLOOKUP($J2608,'Informations sur les produits'!$A$3:$H$10000,8,FALSE),"0")</f>
        <v>0</v>
      </c>
      <c r="N2608" s="8"/>
      <c r="O2608" s="33" t="str">
        <f>IFERROR(VLOOKUP($M2608,'Informations sur les produits'!$A$3:$H$10000,8,FALSE),"0")</f>
        <v>0</v>
      </c>
      <c r="P2608" s="33">
        <f t="shared" si="160"/>
        <v>0</v>
      </c>
      <c r="Q2608" s="31" t="str">
        <f t="shared" si="161"/>
        <v/>
      </c>
      <c r="R2608" s="32" t="str">
        <f>IFERROR(VLOOKUP($D2608,'Informations sur les produits'!$A$3:$B$15000,2,FALSE),"")</f>
        <v/>
      </c>
      <c r="V2608">
        <f t="shared" si="162"/>
        <v>0</v>
      </c>
      <c r="W2608">
        <f t="shared" si="163"/>
        <v>0</v>
      </c>
    </row>
    <row r="2609" spans="5:23" x14ac:dyDescent="0.25">
      <c r="E2609" s="4"/>
      <c r="F2609" s="4"/>
      <c r="G2609" s="33" t="str">
        <f>IFERROR(VLOOKUP($D2609,'Informations sur les produits'!$A$3:$H$10000,8,FALSE),"0")</f>
        <v>0</v>
      </c>
      <c r="K2609" s="4"/>
      <c r="L2609" s="33" t="str">
        <f>IFERROR(VLOOKUP($J2609,'Informations sur les produits'!$A$3:$H$10000,8,FALSE),"0")</f>
        <v>0</v>
      </c>
      <c r="N2609" s="8"/>
      <c r="O2609" s="33" t="str">
        <f>IFERROR(VLOOKUP($M2609,'Informations sur les produits'!$A$3:$H$10000,8,FALSE),"0")</f>
        <v>0</v>
      </c>
      <c r="P2609" s="33">
        <f t="shared" si="160"/>
        <v>0</v>
      </c>
      <c r="Q2609" s="31" t="str">
        <f t="shared" si="161"/>
        <v/>
      </c>
      <c r="R2609" s="32" t="str">
        <f>IFERROR(VLOOKUP($D2609,'Informations sur les produits'!$A$3:$B$15000,2,FALSE),"")</f>
        <v/>
      </c>
      <c r="V2609">
        <f t="shared" si="162"/>
        <v>0</v>
      </c>
      <c r="W2609">
        <f t="shared" si="163"/>
        <v>0</v>
      </c>
    </row>
    <row r="2610" spans="5:23" x14ac:dyDescent="0.25">
      <c r="E2610" s="4"/>
      <c r="F2610" s="4"/>
      <c r="G2610" s="33" t="str">
        <f>IFERROR(VLOOKUP($D2610,'Informations sur les produits'!$A$3:$H$10000,8,FALSE),"0")</f>
        <v>0</v>
      </c>
      <c r="K2610" s="4"/>
      <c r="L2610" s="33" t="str">
        <f>IFERROR(VLOOKUP($J2610,'Informations sur les produits'!$A$3:$H$10000,8,FALSE),"0")</f>
        <v>0</v>
      </c>
      <c r="N2610" s="8"/>
      <c r="O2610" s="33" t="str">
        <f>IFERROR(VLOOKUP($M2610,'Informations sur les produits'!$A$3:$H$10000,8,FALSE),"0")</f>
        <v>0</v>
      </c>
      <c r="P2610" s="33">
        <f t="shared" si="160"/>
        <v>0</v>
      </c>
      <c r="Q2610" s="31" t="str">
        <f t="shared" si="161"/>
        <v/>
      </c>
      <c r="R2610" s="32" t="str">
        <f>IFERROR(VLOOKUP($D2610,'Informations sur les produits'!$A$3:$B$15000,2,FALSE),"")</f>
        <v/>
      </c>
      <c r="V2610">
        <f t="shared" si="162"/>
        <v>0</v>
      </c>
      <c r="W2610">
        <f t="shared" si="163"/>
        <v>0</v>
      </c>
    </row>
    <row r="2611" spans="5:23" x14ac:dyDescent="0.25">
      <c r="E2611" s="4"/>
      <c r="F2611" s="4"/>
      <c r="G2611" s="33" t="str">
        <f>IFERROR(VLOOKUP($D2611,'Informations sur les produits'!$A$3:$H$10000,8,FALSE),"0")</f>
        <v>0</v>
      </c>
      <c r="K2611" s="4"/>
      <c r="L2611" s="33" t="str">
        <f>IFERROR(VLOOKUP($J2611,'Informations sur les produits'!$A$3:$H$10000,8,FALSE),"0")</f>
        <v>0</v>
      </c>
      <c r="N2611" s="8"/>
      <c r="O2611" s="33" t="str">
        <f>IFERROR(VLOOKUP($M2611,'Informations sur les produits'!$A$3:$H$10000,8,FALSE),"0")</f>
        <v>0</v>
      </c>
      <c r="P2611" s="33">
        <f t="shared" si="160"/>
        <v>0</v>
      </c>
      <c r="Q2611" s="31" t="str">
        <f t="shared" si="161"/>
        <v/>
      </c>
      <c r="R2611" s="32" t="str">
        <f>IFERROR(VLOOKUP($D2611,'Informations sur les produits'!$A$3:$B$15000,2,FALSE),"")</f>
        <v/>
      </c>
      <c r="V2611">
        <f t="shared" si="162"/>
        <v>0</v>
      </c>
      <c r="W2611">
        <f t="shared" si="163"/>
        <v>0</v>
      </c>
    </row>
    <row r="2612" spans="5:23" x14ac:dyDescent="0.25">
      <c r="E2612" s="4"/>
      <c r="F2612" s="4"/>
      <c r="G2612" s="33" t="str">
        <f>IFERROR(VLOOKUP($D2612,'Informations sur les produits'!$A$3:$H$10000,8,FALSE),"0")</f>
        <v>0</v>
      </c>
      <c r="K2612" s="4"/>
      <c r="L2612" s="33" t="str">
        <f>IFERROR(VLOOKUP($J2612,'Informations sur les produits'!$A$3:$H$10000,8,FALSE),"0")</f>
        <v>0</v>
      </c>
      <c r="N2612" s="8"/>
      <c r="O2612" s="33" t="str">
        <f>IFERROR(VLOOKUP($M2612,'Informations sur les produits'!$A$3:$H$10000,8,FALSE),"0")</f>
        <v>0</v>
      </c>
      <c r="P2612" s="33">
        <f t="shared" si="160"/>
        <v>0</v>
      </c>
      <c r="Q2612" s="31" t="str">
        <f t="shared" si="161"/>
        <v/>
      </c>
      <c r="R2612" s="32" t="str">
        <f>IFERROR(VLOOKUP($D2612,'Informations sur les produits'!$A$3:$B$15000,2,FALSE),"")</f>
        <v/>
      </c>
      <c r="V2612">
        <f t="shared" si="162"/>
        <v>0</v>
      </c>
      <c r="W2612">
        <f t="shared" si="163"/>
        <v>0</v>
      </c>
    </row>
    <row r="2613" spans="5:23" x14ac:dyDescent="0.25">
      <c r="E2613" s="4"/>
      <c r="F2613" s="4"/>
      <c r="G2613" s="33" t="str">
        <f>IFERROR(VLOOKUP($D2613,'Informations sur les produits'!$A$3:$H$10000,8,FALSE),"0")</f>
        <v>0</v>
      </c>
      <c r="K2613" s="4"/>
      <c r="L2613" s="33" t="str">
        <f>IFERROR(VLOOKUP($J2613,'Informations sur les produits'!$A$3:$H$10000,8,FALSE),"0")</f>
        <v>0</v>
      </c>
      <c r="N2613" s="8"/>
      <c r="O2613" s="33" t="str">
        <f>IFERROR(VLOOKUP($M2613,'Informations sur les produits'!$A$3:$H$10000,8,FALSE),"0")</f>
        <v>0</v>
      </c>
      <c r="P2613" s="33">
        <f t="shared" si="160"/>
        <v>0</v>
      </c>
      <c r="Q2613" s="31" t="str">
        <f t="shared" si="161"/>
        <v/>
      </c>
      <c r="R2613" s="32" t="str">
        <f>IFERROR(VLOOKUP($D2613,'Informations sur les produits'!$A$3:$B$15000,2,FALSE),"")</f>
        <v/>
      </c>
      <c r="V2613">
        <f t="shared" si="162"/>
        <v>0</v>
      </c>
      <c r="W2613">
        <f t="shared" si="163"/>
        <v>0</v>
      </c>
    </row>
    <row r="2614" spans="5:23" x14ac:dyDescent="0.25">
      <c r="E2614" s="4"/>
      <c r="F2614" s="4"/>
      <c r="G2614" s="33" t="str">
        <f>IFERROR(VLOOKUP($D2614,'Informations sur les produits'!$A$3:$H$10000,8,FALSE),"0")</f>
        <v>0</v>
      </c>
      <c r="K2614" s="4"/>
      <c r="L2614" s="33" t="str">
        <f>IFERROR(VLOOKUP($J2614,'Informations sur les produits'!$A$3:$H$10000,8,FALSE),"0")</f>
        <v>0</v>
      </c>
      <c r="N2614" s="8"/>
      <c r="O2614" s="33" t="str">
        <f>IFERROR(VLOOKUP($M2614,'Informations sur les produits'!$A$3:$H$10000,8,FALSE),"0")</f>
        <v>0</v>
      </c>
      <c r="P2614" s="33">
        <f t="shared" si="160"/>
        <v>0</v>
      </c>
      <c r="Q2614" s="31" t="str">
        <f t="shared" si="161"/>
        <v/>
      </c>
      <c r="R2614" s="32" t="str">
        <f>IFERROR(VLOOKUP($D2614,'Informations sur les produits'!$A$3:$B$15000,2,FALSE),"")</f>
        <v/>
      </c>
      <c r="V2614">
        <f t="shared" si="162"/>
        <v>0</v>
      </c>
      <c r="W2614">
        <f t="shared" si="163"/>
        <v>0</v>
      </c>
    </row>
    <row r="2615" spans="5:23" x14ac:dyDescent="0.25">
      <c r="E2615" s="4"/>
      <c r="F2615" s="4"/>
      <c r="G2615" s="33" t="str">
        <f>IFERROR(VLOOKUP($D2615,'Informations sur les produits'!$A$3:$H$10000,8,FALSE),"0")</f>
        <v>0</v>
      </c>
      <c r="K2615" s="4"/>
      <c r="L2615" s="33" t="str">
        <f>IFERROR(VLOOKUP($J2615,'Informations sur les produits'!$A$3:$H$10000,8,FALSE),"0")</f>
        <v>0</v>
      </c>
      <c r="N2615" s="8"/>
      <c r="O2615" s="33" t="str">
        <f>IFERROR(VLOOKUP($M2615,'Informations sur les produits'!$A$3:$H$10000,8,FALSE),"0")</f>
        <v>0</v>
      </c>
      <c r="P2615" s="33">
        <f t="shared" si="160"/>
        <v>0</v>
      </c>
      <c r="Q2615" s="31" t="str">
        <f t="shared" si="161"/>
        <v/>
      </c>
      <c r="R2615" s="32" t="str">
        <f>IFERROR(VLOOKUP($D2615,'Informations sur les produits'!$A$3:$B$15000,2,FALSE),"")</f>
        <v/>
      </c>
      <c r="V2615">
        <f t="shared" si="162"/>
        <v>0</v>
      </c>
      <c r="W2615">
        <f t="shared" si="163"/>
        <v>0</v>
      </c>
    </row>
    <row r="2616" spans="5:23" x14ac:dyDescent="0.25">
      <c r="E2616" s="4"/>
      <c r="F2616" s="4"/>
      <c r="G2616" s="33" t="str">
        <f>IFERROR(VLOOKUP($D2616,'Informations sur les produits'!$A$3:$H$10000,8,FALSE),"0")</f>
        <v>0</v>
      </c>
      <c r="K2616" s="4"/>
      <c r="L2616" s="33" t="str">
        <f>IFERROR(VLOOKUP($J2616,'Informations sur les produits'!$A$3:$H$10000,8,FALSE),"0")</f>
        <v>0</v>
      </c>
      <c r="N2616" s="8"/>
      <c r="O2616" s="33" t="str">
        <f>IFERROR(VLOOKUP($M2616,'Informations sur les produits'!$A$3:$H$10000,8,FALSE),"0")</f>
        <v>0</v>
      </c>
      <c r="P2616" s="33">
        <f t="shared" si="160"/>
        <v>0</v>
      </c>
      <c r="Q2616" s="31" t="str">
        <f t="shared" si="161"/>
        <v/>
      </c>
      <c r="R2616" s="32" t="str">
        <f>IFERROR(VLOOKUP($D2616,'Informations sur les produits'!$A$3:$B$15000,2,FALSE),"")</f>
        <v/>
      </c>
      <c r="V2616">
        <f t="shared" si="162"/>
        <v>0</v>
      </c>
      <c r="W2616">
        <f t="shared" si="163"/>
        <v>0</v>
      </c>
    </row>
    <row r="2617" spans="5:23" x14ac:dyDescent="0.25">
      <c r="E2617" s="4"/>
      <c r="F2617" s="4"/>
      <c r="G2617" s="33" t="str">
        <f>IFERROR(VLOOKUP($D2617,'Informations sur les produits'!$A$3:$H$10000,8,FALSE),"0")</f>
        <v>0</v>
      </c>
      <c r="K2617" s="4"/>
      <c r="L2617" s="33" t="str">
        <f>IFERROR(VLOOKUP($J2617,'Informations sur les produits'!$A$3:$H$10000,8,FALSE),"0")</f>
        <v>0</v>
      </c>
      <c r="N2617" s="8"/>
      <c r="O2617" s="33" t="str">
        <f>IFERROR(VLOOKUP($M2617,'Informations sur les produits'!$A$3:$H$10000,8,FALSE),"0")</f>
        <v>0</v>
      </c>
      <c r="P2617" s="33">
        <f t="shared" si="160"/>
        <v>0</v>
      </c>
      <c r="Q2617" s="31" t="str">
        <f t="shared" si="161"/>
        <v/>
      </c>
      <c r="R2617" s="32" t="str">
        <f>IFERROR(VLOOKUP($D2617,'Informations sur les produits'!$A$3:$B$15000,2,FALSE),"")</f>
        <v/>
      </c>
      <c r="V2617">
        <f t="shared" si="162"/>
        <v>0</v>
      </c>
      <c r="W2617">
        <f t="shared" si="163"/>
        <v>0</v>
      </c>
    </row>
    <row r="2618" spans="5:23" x14ac:dyDescent="0.25">
      <c r="E2618" s="4"/>
      <c r="F2618" s="4"/>
      <c r="G2618" s="33" t="str">
        <f>IFERROR(VLOOKUP($D2618,'Informations sur les produits'!$A$3:$H$10000,8,FALSE),"0")</f>
        <v>0</v>
      </c>
      <c r="K2618" s="4"/>
      <c r="L2618" s="33" t="str">
        <f>IFERROR(VLOOKUP($J2618,'Informations sur les produits'!$A$3:$H$10000,8,FALSE),"0")</f>
        <v>0</v>
      </c>
      <c r="N2618" s="8"/>
      <c r="O2618" s="33" t="str">
        <f>IFERROR(VLOOKUP($M2618,'Informations sur les produits'!$A$3:$H$10000,8,FALSE),"0")</f>
        <v>0</v>
      </c>
      <c r="P2618" s="33">
        <f t="shared" si="160"/>
        <v>0</v>
      </c>
      <c r="Q2618" s="31" t="str">
        <f t="shared" si="161"/>
        <v/>
      </c>
      <c r="R2618" s="32" t="str">
        <f>IFERROR(VLOOKUP($D2618,'Informations sur les produits'!$A$3:$B$15000,2,FALSE),"")</f>
        <v/>
      </c>
      <c r="V2618">
        <f t="shared" si="162"/>
        <v>0</v>
      </c>
      <c r="W2618">
        <f t="shared" si="163"/>
        <v>0</v>
      </c>
    </row>
    <row r="2619" spans="5:23" x14ac:dyDescent="0.25">
      <c r="E2619" s="4"/>
      <c r="F2619" s="4"/>
      <c r="G2619" s="33" t="str">
        <f>IFERROR(VLOOKUP($D2619,'Informations sur les produits'!$A$3:$H$10000,8,FALSE),"0")</f>
        <v>0</v>
      </c>
      <c r="K2619" s="4"/>
      <c r="L2619" s="33" t="str">
        <f>IFERROR(VLOOKUP($J2619,'Informations sur les produits'!$A$3:$H$10000,8,FALSE),"0")</f>
        <v>0</v>
      </c>
      <c r="N2619" s="8"/>
      <c r="O2619" s="33" t="str">
        <f>IFERROR(VLOOKUP($M2619,'Informations sur les produits'!$A$3:$H$10000,8,FALSE),"0")</f>
        <v>0</v>
      </c>
      <c r="P2619" s="33">
        <f t="shared" si="160"/>
        <v>0</v>
      </c>
      <c r="Q2619" s="31" t="str">
        <f t="shared" si="161"/>
        <v/>
      </c>
      <c r="R2619" s="32" t="str">
        <f>IFERROR(VLOOKUP($D2619,'Informations sur les produits'!$A$3:$B$15000,2,FALSE),"")</f>
        <v/>
      </c>
      <c r="V2619">
        <f t="shared" si="162"/>
        <v>0</v>
      </c>
      <c r="W2619">
        <f t="shared" si="163"/>
        <v>0</v>
      </c>
    </row>
    <row r="2620" spans="5:23" x14ac:dyDescent="0.25">
      <c r="E2620" s="4"/>
      <c r="F2620" s="4"/>
      <c r="G2620" s="33" t="str">
        <f>IFERROR(VLOOKUP($D2620,'Informations sur les produits'!$A$3:$H$10000,8,FALSE),"0")</f>
        <v>0</v>
      </c>
      <c r="K2620" s="4"/>
      <c r="L2620" s="33" t="str">
        <f>IFERROR(VLOOKUP($J2620,'Informations sur les produits'!$A$3:$H$10000,8,FALSE),"0")</f>
        <v>0</v>
      </c>
      <c r="N2620" s="8"/>
      <c r="O2620" s="33" t="str">
        <f>IFERROR(VLOOKUP($M2620,'Informations sur les produits'!$A$3:$H$10000,8,FALSE),"0")</f>
        <v>0</v>
      </c>
      <c r="P2620" s="33">
        <f t="shared" si="160"/>
        <v>0</v>
      </c>
      <c r="Q2620" s="31" t="str">
        <f t="shared" si="161"/>
        <v/>
      </c>
      <c r="R2620" s="32" t="str">
        <f>IFERROR(VLOOKUP($D2620,'Informations sur les produits'!$A$3:$B$15000,2,FALSE),"")</f>
        <v/>
      </c>
      <c r="V2620">
        <f t="shared" si="162"/>
        <v>0</v>
      </c>
      <c r="W2620">
        <f t="shared" si="163"/>
        <v>0</v>
      </c>
    </row>
    <row r="2621" spans="5:23" x14ac:dyDescent="0.25">
      <c r="E2621" s="4"/>
      <c r="F2621" s="4"/>
      <c r="G2621" s="33" t="str">
        <f>IFERROR(VLOOKUP($D2621,'Informations sur les produits'!$A$3:$H$10000,8,FALSE),"0")</f>
        <v>0</v>
      </c>
      <c r="K2621" s="4"/>
      <c r="L2621" s="33" t="str">
        <f>IFERROR(VLOOKUP($J2621,'Informations sur les produits'!$A$3:$H$10000,8,FALSE),"0")</f>
        <v>0</v>
      </c>
      <c r="N2621" s="8"/>
      <c r="O2621" s="33" t="str">
        <f>IFERROR(VLOOKUP($M2621,'Informations sur les produits'!$A$3:$H$10000,8,FALSE),"0")</f>
        <v>0</v>
      </c>
      <c r="P2621" s="33">
        <f t="shared" si="160"/>
        <v>0</v>
      </c>
      <c r="Q2621" s="31" t="str">
        <f t="shared" si="161"/>
        <v/>
      </c>
      <c r="R2621" s="32" t="str">
        <f>IFERROR(VLOOKUP($D2621,'Informations sur les produits'!$A$3:$B$15000,2,FALSE),"")</f>
        <v/>
      </c>
      <c r="V2621">
        <f t="shared" si="162"/>
        <v>0</v>
      </c>
      <c r="W2621">
        <f t="shared" si="163"/>
        <v>0</v>
      </c>
    </row>
    <row r="2622" spans="5:23" x14ac:dyDescent="0.25">
      <c r="E2622" s="4"/>
      <c r="F2622" s="4"/>
      <c r="G2622" s="33" t="str">
        <f>IFERROR(VLOOKUP($D2622,'Informations sur les produits'!$A$3:$H$10000,8,FALSE),"0")</f>
        <v>0</v>
      </c>
      <c r="K2622" s="4"/>
      <c r="L2622" s="33" t="str">
        <f>IFERROR(VLOOKUP($J2622,'Informations sur les produits'!$A$3:$H$10000,8,FALSE),"0")</f>
        <v>0</v>
      </c>
      <c r="N2622" s="8"/>
      <c r="O2622" s="33" t="str">
        <f>IFERROR(VLOOKUP($M2622,'Informations sur les produits'!$A$3:$H$10000,8,FALSE),"0")</f>
        <v>0</v>
      </c>
      <c r="P2622" s="33">
        <f t="shared" si="160"/>
        <v>0</v>
      </c>
      <c r="Q2622" s="31" t="str">
        <f t="shared" si="161"/>
        <v/>
      </c>
      <c r="R2622" s="32" t="str">
        <f>IFERROR(VLOOKUP($D2622,'Informations sur les produits'!$A$3:$B$15000,2,FALSE),"")</f>
        <v/>
      </c>
      <c r="V2622">
        <f t="shared" si="162"/>
        <v>0</v>
      </c>
      <c r="W2622">
        <f t="shared" si="163"/>
        <v>0</v>
      </c>
    </row>
    <row r="2623" spans="5:23" x14ac:dyDescent="0.25">
      <c r="E2623" s="4"/>
      <c r="F2623" s="4"/>
      <c r="G2623" s="33" t="str">
        <f>IFERROR(VLOOKUP($D2623,'Informations sur les produits'!$A$3:$H$10000,8,FALSE),"0")</f>
        <v>0</v>
      </c>
      <c r="K2623" s="4"/>
      <c r="L2623" s="33" t="str">
        <f>IFERROR(VLOOKUP($J2623,'Informations sur les produits'!$A$3:$H$10000,8,FALSE),"0")</f>
        <v>0</v>
      </c>
      <c r="N2623" s="8"/>
      <c r="O2623" s="33" t="str">
        <f>IFERROR(VLOOKUP($M2623,'Informations sur les produits'!$A$3:$H$10000,8,FALSE),"0")</f>
        <v>0</v>
      </c>
      <c r="P2623" s="33">
        <f t="shared" si="160"/>
        <v>0</v>
      </c>
      <c r="Q2623" s="31" t="str">
        <f t="shared" si="161"/>
        <v/>
      </c>
      <c r="R2623" s="32" t="str">
        <f>IFERROR(VLOOKUP($D2623,'Informations sur les produits'!$A$3:$B$15000,2,FALSE),"")</f>
        <v/>
      </c>
      <c r="V2623">
        <f t="shared" si="162"/>
        <v>0</v>
      </c>
      <c r="W2623">
        <f t="shared" si="163"/>
        <v>0</v>
      </c>
    </row>
    <row r="2624" spans="5:23" x14ac:dyDescent="0.25">
      <c r="E2624" s="4"/>
      <c r="F2624" s="4"/>
      <c r="G2624" s="33" t="str">
        <f>IFERROR(VLOOKUP($D2624,'Informations sur les produits'!$A$3:$H$10000,8,FALSE),"0")</f>
        <v>0</v>
      </c>
      <c r="K2624" s="4"/>
      <c r="L2624" s="33" t="str">
        <f>IFERROR(VLOOKUP($J2624,'Informations sur les produits'!$A$3:$H$10000,8,FALSE),"0")</f>
        <v>0</v>
      </c>
      <c r="N2624" s="8"/>
      <c r="O2624" s="33" t="str">
        <f>IFERROR(VLOOKUP($M2624,'Informations sur les produits'!$A$3:$H$10000,8,FALSE),"0")</f>
        <v>0</v>
      </c>
      <c r="P2624" s="33">
        <f t="shared" si="160"/>
        <v>0</v>
      </c>
      <c r="Q2624" s="31" t="str">
        <f t="shared" si="161"/>
        <v/>
      </c>
      <c r="R2624" s="32" t="str">
        <f>IFERROR(VLOOKUP($D2624,'Informations sur les produits'!$A$3:$B$15000,2,FALSE),"")</f>
        <v/>
      </c>
      <c r="V2624">
        <f t="shared" si="162"/>
        <v>0</v>
      </c>
      <c r="W2624">
        <f t="shared" si="163"/>
        <v>0</v>
      </c>
    </row>
    <row r="2625" spans="5:23" x14ac:dyDescent="0.25">
      <c r="E2625" s="4"/>
      <c r="F2625" s="4"/>
      <c r="G2625" s="33" t="str">
        <f>IFERROR(VLOOKUP($D2625,'Informations sur les produits'!$A$3:$H$10000,8,FALSE),"0")</f>
        <v>0</v>
      </c>
      <c r="K2625" s="4"/>
      <c r="L2625" s="33" t="str">
        <f>IFERROR(VLOOKUP($J2625,'Informations sur les produits'!$A$3:$H$10000,8,FALSE),"0")</f>
        <v>0</v>
      </c>
      <c r="N2625" s="8"/>
      <c r="O2625" s="33" t="str">
        <f>IFERROR(VLOOKUP($M2625,'Informations sur les produits'!$A$3:$H$10000,8,FALSE),"0")</f>
        <v>0</v>
      </c>
      <c r="P2625" s="33">
        <f t="shared" si="160"/>
        <v>0</v>
      </c>
      <c r="Q2625" s="31" t="str">
        <f t="shared" si="161"/>
        <v/>
      </c>
      <c r="R2625" s="32" t="str">
        <f>IFERROR(VLOOKUP($D2625,'Informations sur les produits'!$A$3:$B$15000,2,FALSE),"")</f>
        <v/>
      </c>
      <c r="V2625">
        <f t="shared" si="162"/>
        <v>0</v>
      </c>
      <c r="W2625">
        <f t="shared" si="163"/>
        <v>0</v>
      </c>
    </row>
    <row r="2626" spans="5:23" x14ac:dyDescent="0.25">
      <c r="E2626" s="4"/>
      <c r="F2626" s="4"/>
      <c r="G2626" s="33" t="str">
        <f>IFERROR(VLOOKUP($D2626,'Informations sur les produits'!$A$3:$H$10000,8,FALSE),"0")</f>
        <v>0</v>
      </c>
      <c r="K2626" s="4"/>
      <c r="L2626" s="33" t="str">
        <f>IFERROR(VLOOKUP($J2626,'Informations sur les produits'!$A$3:$H$10000,8,FALSE),"0")</f>
        <v>0</v>
      </c>
      <c r="N2626" s="8"/>
      <c r="O2626" s="33" t="str">
        <f>IFERROR(VLOOKUP($M2626,'Informations sur les produits'!$A$3:$H$10000,8,FALSE),"0")</f>
        <v>0</v>
      </c>
      <c r="P2626" s="33">
        <f t="shared" si="160"/>
        <v>0</v>
      </c>
      <c r="Q2626" s="31" t="str">
        <f t="shared" si="161"/>
        <v/>
      </c>
      <c r="R2626" s="32" t="str">
        <f>IFERROR(VLOOKUP($D2626,'Informations sur les produits'!$A$3:$B$15000,2,FALSE),"")</f>
        <v/>
      </c>
      <c r="V2626">
        <f t="shared" si="162"/>
        <v>0</v>
      </c>
      <c r="W2626">
        <f t="shared" si="163"/>
        <v>0</v>
      </c>
    </row>
    <row r="2627" spans="5:23" x14ac:dyDescent="0.25">
      <c r="E2627" s="4"/>
      <c r="F2627" s="4"/>
      <c r="G2627" s="33" t="str">
        <f>IFERROR(VLOOKUP($D2627,'Informations sur les produits'!$A$3:$H$10000,8,FALSE),"0")</f>
        <v>0</v>
      </c>
      <c r="K2627" s="4"/>
      <c r="L2627" s="33" t="str">
        <f>IFERROR(VLOOKUP($J2627,'Informations sur les produits'!$A$3:$H$10000,8,FALSE),"0")</f>
        <v>0</v>
      </c>
      <c r="N2627" s="8"/>
      <c r="O2627" s="33" t="str">
        <f>IFERROR(VLOOKUP($M2627,'Informations sur les produits'!$A$3:$H$10000,8,FALSE),"0")</f>
        <v>0</v>
      </c>
      <c r="P2627" s="33">
        <f t="shared" si="160"/>
        <v>0</v>
      </c>
      <c r="Q2627" s="31" t="str">
        <f t="shared" si="161"/>
        <v/>
      </c>
      <c r="R2627" s="32" t="str">
        <f>IFERROR(VLOOKUP($D2627,'Informations sur les produits'!$A$3:$B$15000,2,FALSE),"")</f>
        <v/>
      </c>
      <c r="V2627">
        <f t="shared" si="162"/>
        <v>0</v>
      </c>
      <c r="W2627">
        <f t="shared" si="163"/>
        <v>0</v>
      </c>
    </row>
    <row r="2628" spans="5:23" x14ac:dyDescent="0.25">
      <c r="E2628" s="4"/>
      <c r="F2628" s="4"/>
      <c r="G2628" s="33" t="str">
        <f>IFERROR(VLOOKUP($D2628,'Informations sur les produits'!$A$3:$H$10000,8,FALSE),"0")</f>
        <v>0</v>
      </c>
      <c r="K2628" s="4"/>
      <c r="L2628" s="33" t="str">
        <f>IFERROR(VLOOKUP($J2628,'Informations sur les produits'!$A$3:$H$10000,8,FALSE),"0")</f>
        <v>0</v>
      </c>
      <c r="N2628" s="8"/>
      <c r="O2628" s="33" t="str">
        <f>IFERROR(VLOOKUP($M2628,'Informations sur les produits'!$A$3:$H$10000,8,FALSE),"0")</f>
        <v>0</v>
      </c>
      <c r="P2628" s="33">
        <f t="shared" ref="P2628:P2691" si="164">IFERROR((($E2628-$F2628)*$G2628+$K2628*$L2628+$N2628*$O2628),"")</f>
        <v>0</v>
      </c>
      <c r="Q2628" s="31" t="str">
        <f t="shared" ref="Q2628:Q2691" si="165">IFERROR((((($E2628-$F2628)*$G2628+$K2628*$L2628+$N2628*$O2628)*1000)/(($E2628-$F2628)+$K2628+$N2628)),"")</f>
        <v/>
      </c>
      <c r="R2628" s="32" t="str">
        <f>IFERROR(VLOOKUP($D2628,'Informations sur les produits'!$A$3:$B$15000,2,FALSE),"")</f>
        <v/>
      </c>
      <c r="V2628">
        <f t="shared" ref="V2628:V2691" si="166">IFERROR(P2628*1000,"")</f>
        <v>0</v>
      </c>
      <c r="W2628">
        <f t="shared" ref="W2628:W2691" si="167">IFERROR(($E2628-$F2628)+$K2628+$N2628,"")</f>
        <v>0</v>
      </c>
    </row>
    <row r="2629" spans="5:23" x14ac:dyDescent="0.25">
      <c r="E2629" s="4"/>
      <c r="F2629" s="4"/>
      <c r="G2629" s="33" t="str">
        <f>IFERROR(VLOOKUP($D2629,'Informations sur les produits'!$A$3:$H$10000,8,FALSE),"0")</f>
        <v>0</v>
      </c>
      <c r="K2629" s="4"/>
      <c r="L2629" s="33" t="str">
        <f>IFERROR(VLOOKUP($J2629,'Informations sur les produits'!$A$3:$H$10000,8,FALSE),"0")</f>
        <v>0</v>
      </c>
      <c r="N2629" s="8"/>
      <c r="O2629" s="33" t="str">
        <f>IFERROR(VLOOKUP($M2629,'Informations sur les produits'!$A$3:$H$10000,8,FALSE),"0")</f>
        <v>0</v>
      </c>
      <c r="P2629" s="33">
        <f t="shared" si="164"/>
        <v>0</v>
      </c>
      <c r="Q2629" s="31" t="str">
        <f t="shared" si="165"/>
        <v/>
      </c>
      <c r="R2629" s="32" t="str">
        <f>IFERROR(VLOOKUP($D2629,'Informations sur les produits'!$A$3:$B$15000,2,FALSE),"")</f>
        <v/>
      </c>
      <c r="V2629">
        <f t="shared" si="166"/>
        <v>0</v>
      </c>
      <c r="W2629">
        <f t="shared" si="167"/>
        <v>0</v>
      </c>
    </row>
    <row r="2630" spans="5:23" x14ac:dyDescent="0.25">
      <c r="E2630" s="4"/>
      <c r="F2630" s="4"/>
      <c r="G2630" s="33" t="str">
        <f>IFERROR(VLOOKUP($D2630,'Informations sur les produits'!$A$3:$H$10000,8,FALSE),"0")</f>
        <v>0</v>
      </c>
      <c r="K2630" s="4"/>
      <c r="L2630" s="33" t="str">
        <f>IFERROR(VLOOKUP($J2630,'Informations sur les produits'!$A$3:$H$10000,8,FALSE),"0")</f>
        <v>0</v>
      </c>
      <c r="N2630" s="8"/>
      <c r="O2630" s="33" t="str">
        <f>IFERROR(VLOOKUP($M2630,'Informations sur les produits'!$A$3:$H$10000,8,FALSE),"0")</f>
        <v>0</v>
      </c>
      <c r="P2630" s="33">
        <f t="shared" si="164"/>
        <v>0</v>
      </c>
      <c r="Q2630" s="31" t="str">
        <f t="shared" si="165"/>
        <v/>
      </c>
      <c r="R2630" s="32" t="str">
        <f>IFERROR(VLOOKUP($D2630,'Informations sur les produits'!$A$3:$B$15000,2,FALSE),"")</f>
        <v/>
      </c>
      <c r="V2630">
        <f t="shared" si="166"/>
        <v>0</v>
      </c>
      <c r="W2630">
        <f t="shared" si="167"/>
        <v>0</v>
      </c>
    </row>
    <row r="2631" spans="5:23" x14ac:dyDescent="0.25">
      <c r="E2631" s="4"/>
      <c r="F2631" s="4"/>
      <c r="G2631" s="33" t="str">
        <f>IFERROR(VLOOKUP($D2631,'Informations sur les produits'!$A$3:$H$10000,8,FALSE),"0")</f>
        <v>0</v>
      </c>
      <c r="K2631" s="4"/>
      <c r="L2631" s="33" t="str">
        <f>IFERROR(VLOOKUP($J2631,'Informations sur les produits'!$A$3:$H$10000,8,FALSE),"0")</f>
        <v>0</v>
      </c>
      <c r="N2631" s="8"/>
      <c r="O2631" s="33" t="str">
        <f>IFERROR(VLOOKUP($M2631,'Informations sur les produits'!$A$3:$H$10000,8,FALSE),"0")</f>
        <v>0</v>
      </c>
      <c r="P2631" s="33">
        <f t="shared" si="164"/>
        <v>0</v>
      </c>
      <c r="Q2631" s="31" t="str">
        <f t="shared" si="165"/>
        <v/>
      </c>
      <c r="R2631" s="32" t="str">
        <f>IFERROR(VLOOKUP($D2631,'Informations sur les produits'!$A$3:$B$15000,2,FALSE),"")</f>
        <v/>
      </c>
      <c r="V2631">
        <f t="shared" si="166"/>
        <v>0</v>
      </c>
      <c r="W2631">
        <f t="shared" si="167"/>
        <v>0</v>
      </c>
    </row>
    <row r="2632" spans="5:23" x14ac:dyDescent="0.25">
      <c r="E2632" s="4"/>
      <c r="F2632" s="4"/>
      <c r="G2632" s="33" t="str">
        <f>IFERROR(VLOOKUP($D2632,'Informations sur les produits'!$A$3:$H$10000,8,FALSE),"0")</f>
        <v>0</v>
      </c>
      <c r="K2632" s="4"/>
      <c r="L2632" s="33" t="str">
        <f>IFERROR(VLOOKUP($J2632,'Informations sur les produits'!$A$3:$H$10000,8,FALSE),"0")</f>
        <v>0</v>
      </c>
      <c r="N2632" s="8"/>
      <c r="O2632" s="33" t="str">
        <f>IFERROR(VLOOKUP($M2632,'Informations sur les produits'!$A$3:$H$10000,8,FALSE),"0")</f>
        <v>0</v>
      </c>
      <c r="P2632" s="33">
        <f t="shared" si="164"/>
        <v>0</v>
      </c>
      <c r="Q2632" s="31" t="str">
        <f t="shared" si="165"/>
        <v/>
      </c>
      <c r="R2632" s="32" t="str">
        <f>IFERROR(VLOOKUP($D2632,'Informations sur les produits'!$A$3:$B$15000,2,FALSE),"")</f>
        <v/>
      </c>
      <c r="V2632">
        <f t="shared" si="166"/>
        <v>0</v>
      </c>
      <c r="W2632">
        <f t="shared" si="167"/>
        <v>0</v>
      </c>
    </row>
    <row r="2633" spans="5:23" x14ac:dyDescent="0.25">
      <c r="E2633" s="4"/>
      <c r="F2633" s="4"/>
      <c r="G2633" s="33" t="str">
        <f>IFERROR(VLOOKUP($D2633,'Informations sur les produits'!$A$3:$H$10000,8,FALSE),"0")</f>
        <v>0</v>
      </c>
      <c r="K2633" s="4"/>
      <c r="L2633" s="33" t="str">
        <f>IFERROR(VLOOKUP($J2633,'Informations sur les produits'!$A$3:$H$10000,8,FALSE),"0")</f>
        <v>0</v>
      </c>
      <c r="N2633" s="8"/>
      <c r="O2633" s="33" t="str">
        <f>IFERROR(VLOOKUP($M2633,'Informations sur les produits'!$A$3:$H$10000,8,FALSE),"0")</f>
        <v>0</v>
      </c>
      <c r="P2633" s="33">
        <f t="shared" si="164"/>
        <v>0</v>
      </c>
      <c r="Q2633" s="31" t="str">
        <f t="shared" si="165"/>
        <v/>
      </c>
      <c r="R2633" s="32" t="str">
        <f>IFERROR(VLOOKUP($D2633,'Informations sur les produits'!$A$3:$B$15000,2,FALSE),"")</f>
        <v/>
      </c>
      <c r="V2633">
        <f t="shared" si="166"/>
        <v>0</v>
      </c>
      <c r="W2633">
        <f t="shared" si="167"/>
        <v>0</v>
      </c>
    </row>
    <row r="2634" spans="5:23" x14ac:dyDescent="0.25">
      <c r="E2634" s="4"/>
      <c r="F2634" s="4"/>
      <c r="G2634" s="33" t="str">
        <f>IFERROR(VLOOKUP($D2634,'Informations sur les produits'!$A$3:$H$10000,8,FALSE),"0")</f>
        <v>0</v>
      </c>
      <c r="K2634" s="4"/>
      <c r="L2634" s="33" t="str">
        <f>IFERROR(VLOOKUP($J2634,'Informations sur les produits'!$A$3:$H$10000,8,FALSE),"0")</f>
        <v>0</v>
      </c>
      <c r="N2634" s="8"/>
      <c r="O2634" s="33" t="str">
        <f>IFERROR(VLOOKUP($M2634,'Informations sur les produits'!$A$3:$H$10000,8,FALSE),"0")</f>
        <v>0</v>
      </c>
      <c r="P2634" s="33">
        <f t="shared" si="164"/>
        <v>0</v>
      </c>
      <c r="Q2634" s="31" t="str">
        <f t="shared" si="165"/>
        <v/>
      </c>
      <c r="R2634" s="32" t="str">
        <f>IFERROR(VLOOKUP($D2634,'Informations sur les produits'!$A$3:$B$15000,2,FALSE),"")</f>
        <v/>
      </c>
      <c r="V2634">
        <f t="shared" si="166"/>
        <v>0</v>
      </c>
      <c r="W2634">
        <f t="shared" si="167"/>
        <v>0</v>
      </c>
    </row>
    <row r="2635" spans="5:23" x14ac:dyDescent="0.25">
      <c r="E2635" s="4"/>
      <c r="F2635" s="4"/>
      <c r="G2635" s="33" t="str">
        <f>IFERROR(VLOOKUP($D2635,'Informations sur les produits'!$A$3:$H$10000,8,FALSE),"0")</f>
        <v>0</v>
      </c>
      <c r="K2635" s="4"/>
      <c r="L2635" s="33" t="str">
        <f>IFERROR(VLOOKUP($J2635,'Informations sur les produits'!$A$3:$H$10000,8,FALSE),"0")</f>
        <v>0</v>
      </c>
      <c r="N2635" s="8"/>
      <c r="O2635" s="33" t="str">
        <f>IFERROR(VLOOKUP($M2635,'Informations sur les produits'!$A$3:$H$10000,8,FALSE),"0")</f>
        <v>0</v>
      </c>
      <c r="P2635" s="33">
        <f t="shared" si="164"/>
        <v>0</v>
      </c>
      <c r="Q2635" s="31" t="str">
        <f t="shared" si="165"/>
        <v/>
      </c>
      <c r="R2635" s="32" t="str">
        <f>IFERROR(VLOOKUP($D2635,'Informations sur les produits'!$A$3:$B$15000,2,FALSE),"")</f>
        <v/>
      </c>
      <c r="V2635">
        <f t="shared" si="166"/>
        <v>0</v>
      </c>
      <c r="W2635">
        <f t="shared" si="167"/>
        <v>0</v>
      </c>
    </row>
    <row r="2636" spans="5:23" x14ac:dyDescent="0.25">
      <c r="E2636" s="4"/>
      <c r="F2636" s="4"/>
      <c r="G2636" s="33" t="str">
        <f>IFERROR(VLOOKUP($D2636,'Informations sur les produits'!$A$3:$H$10000,8,FALSE),"0")</f>
        <v>0</v>
      </c>
      <c r="K2636" s="4"/>
      <c r="L2636" s="33" t="str">
        <f>IFERROR(VLOOKUP($J2636,'Informations sur les produits'!$A$3:$H$10000,8,FALSE),"0")</f>
        <v>0</v>
      </c>
      <c r="N2636" s="8"/>
      <c r="O2636" s="33" t="str">
        <f>IFERROR(VLOOKUP($M2636,'Informations sur les produits'!$A$3:$H$10000,8,FALSE),"0")</f>
        <v>0</v>
      </c>
      <c r="P2636" s="33">
        <f t="shared" si="164"/>
        <v>0</v>
      </c>
      <c r="Q2636" s="31" t="str">
        <f t="shared" si="165"/>
        <v/>
      </c>
      <c r="R2636" s="32" t="str">
        <f>IFERROR(VLOOKUP($D2636,'Informations sur les produits'!$A$3:$B$15000,2,FALSE),"")</f>
        <v/>
      </c>
      <c r="V2636">
        <f t="shared" si="166"/>
        <v>0</v>
      </c>
      <c r="W2636">
        <f t="shared" si="167"/>
        <v>0</v>
      </c>
    </row>
    <row r="2637" spans="5:23" x14ac:dyDescent="0.25">
      <c r="E2637" s="4"/>
      <c r="F2637" s="4"/>
      <c r="G2637" s="33" t="str">
        <f>IFERROR(VLOOKUP($D2637,'Informations sur les produits'!$A$3:$H$10000,8,FALSE),"0")</f>
        <v>0</v>
      </c>
      <c r="K2637" s="4"/>
      <c r="L2637" s="33" t="str">
        <f>IFERROR(VLOOKUP($J2637,'Informations sur les produits'!$A$3:$H$10000,8,FALSE),"0")</f>
        <v>0</v>
      </c>
      <c r="N2637" s="8"/>
      <c r="O2637" s="33" t="str">
        <f>IFERROR(VLOOKUP($M2637,'Informations sur les produits'!$A$3:$H$10000,8,FALSE),"0")</f>
        <v>0</v>
      </c>
      <c r="P2637" s="33">
        <f t="shared" si="164"/>
        <v>0</v>
      </c>
      <c r="Q2637" s="31" t="str">
        <f t="shared" si="165"/>
        <v/>
      </c>
      <c r="R2637" s="32" t="str">
        <f>IFERROR(VLOOKUP($D2637,'Informations sur les produits'!$A$3:$B$15000,2,FALSE),"")</f>
        <v/>
      </c>
      <c r="V2637">
        <f t="shared" si="166"/>
        <v>0</v>
      </c>
      <c r="W2637">
        <f t="shared" si="167"/>
        <v>0</v>
      </c>
    </row>
    <row r="2638" spans="5:23" x14ac:dyDescent="0.25">
      <c r="E2638" s="4"/>
      <c r="F2638" s="4"/>
      <c r="G2638" s="33" t="str">
        <f>IFERROR(VLOOKUP($D2638,'Informations sur les produits'!$A$3:$H$10000,8,FALSE),"0")</f>
        <v>0</v>
      </c>
      <c r="K2638" s="4"/>
      <c r="L2638" s="33" t="str">
        <f>IFERROR(VLOOKUP($J2638,'Informations sur les produits'!$A$3:$H$10000,8,FALSE),"0")</f>
        <v>0</v>
      </c>
      <c r="N2638" s="8"/>
      <c r="O2638" s="33" t="str">
        <f>IFERROR(VLOOKUP($M2638,'Informations sur les produits'!$A$3:$H$10000,8,FALSE),"0")</f>
        <v>0</v>
      </c>
      <c r="P2638" s="33">
        <f t="shared" si="164"/>
        <v>0</v>
      </c>
      <c r="Q2638" s="31" t="str">
        <f t="shared" si="165"/>
        <v/>
      </c>
      <c r="R2638" s="32" t="str">
        <f>IFERROR(VLOOKUP($D2638,'Informations sur les produits'!$A$3:$B$15000,2,FALSE),"")</f>
        <v/>
      </c>
      <c r="V2638">
        <f t="shared" si="166"/>
        <v>0</v>
      </c>
      <c r="W2638">
        <f t="shared" si="167"/>
        <v>0</v>
      </c>
    </row>
    <row r="2639" spans="5:23" x14ac:dyDescent="0.25">
      <c r="E2639" s="4"/>
      <c r="F2639" s="4"/>
      <c r="G2639" s="33" t="str">
        <f>IFERROR(VLOOKUP($D2639,'Informations sur les produits'!$A$3:$H$10000,8,FALSE),"0")</f>
        <v>0</v>
      </c>
      <c r="K2639" s="4"/>
      <c r="L2639" s="33" t="str">
        <f>IFERROR(VLOOKUP($J2639,'Informations sur les produits'!$A$3:$H$10000,8,FALSE),"0")</f>
        <v>0</v>
      </c>
      <c r="N2639" s="8"/>
      <c r="O2639" s="33" t="str">
        <f>IFERROR(VLOOKUP($M2639,'Informations sur les produits'!$A$3:$H$10000,8,FALSE),"0")</f>
        <v>0</v>
      </c>
      <c r="P2639" s="33">
        <f t="shared" si="164"/>
        <v>0</v>
      </c>
      <c r="Q2639" s="31" t="str">
        <f t="shared" si="165"/>
        <v/>
      </c>
      <c r="R2639" s="32" t="str">
        <f>IFERROR(VLOOKUP($D2639,'Informations sur les produits'!$A$3:$B$15000,2,FALSE),"")</f>
        <v/>
      </c>
      <c r="V2639">
        <f t="shared" si="166"/>
        <v>0</v>
      </c>
      <c r="W2639">
        <f t="shared" si="167"/>
        <v>0</v>
      </c>
    </row>
    <row r="2640" spans="5:23" x14ac:dyDescent="0.25">
      <c r="E2640" s="4"/>
      <c r="F2640" s="4"/>
      <c r="G2640" s="33" t="str">
        <f>IFERROR(VLOOKUP($D2640,'Informations sur les produits'!$A$3:$H$10000,8,FALSE),"0")</f>
        <v>0</v>
      </c>
      <c r="K2640" s="4"/>
      <c r="L2640" s="33" t="str">
        <f>IFERROR(VLOOKUP($J2640,'Informations sur les produits'!$A$3:$H$10000,8,FALSE),"0")</f>
        <v>0</v>
      </c>
      <c r="N2640" s="8"/>
      <c r="O2640" s="33" t="str">
        <f>IFERROR(VLOOKUP($M2640,'Informations sur les produits'!$A$3:$H$10000,8,FALSE),"0")</f>
        <v>0</v>
      </c>
      <c r="P2640" s="33">
        <f t="shared" si="164"/>
        <v>0</v>
      </c>
      <c r="Q2640" s="31" t="str">
        <f t="shared" si="165"/>
        <v/>
      </c>
      <c r="R2640" s="32" t="str">
        <f>IFERROR(VLOOKUP($D2640,'Informations sur les produits'!$A$3:$B$15000,2,FALSE),"")</f>
        <v/>
      </c>
      <c r="V2640">
        <f t="shared" si="166"/>
        <v>0</v>
      </c>
      <c r="W2640">
        <f t="shared" si="167"/>
        <v>0</v>
      </c>
    </row>
    <row r="2641" spans="5:23" x14ac:dyDescent="0.25">
      <c r="E2641" s="4"/>
      <c r="F2641" s="4"/>
      <c r="G2641" s="33" t="str">
        <f>IFERROR(VLOOKUP($D2641,'Informations sur les produits'!$A$3:$H$10000,8,FALSE),"0")</f>
        <v>0</v>
      </c>
      <c r="K2641" s="4"/>
      <c r="L2641" s="33" t="str">
        <f>IFERROR(VLOOKUP($J2641,'Informations sur les produits'!$A$3:$H$10000,8,FALSE),"0")</f>
        <v>0</v>
      </c>
      <c r="N2641" s="8"/>
      <c r="O2641" s="33" t="str">
        <f>IFERROR(VLOOKUP($M2641,'Informations sur les produits'!$A$3:$H$10000,8,FALSE),"0")</f>
        <v>0</v>
      </c>
      <c r="P2641" s="33">
        <f t="shared" si="164"/>
        <v>0</v>
      </c>
      <c r="Q2641" s="31" t="str">
        <f t="shared" si="165"/>
        <v/>
      </c>
      <c r="R2641" s="32" t="str">
        <f>IFERROR(VLOOKUP($D2641,'Informations sur les produits'!$A$3:$B$15000,2,FALSE),"")</f>
        <v/>
      </c>
      <c r="V2641">
        <f t="shared" si="166"/>
        <v>0</v>
      </c>
      <c r="W2641">
        <f t="shared" si="167"/>
        <v>0</v>
      </c>
    </row>
    <row r="2642" spans="5:23" x14ac:dyDescent="0.25">
      <c r="E2642" s="4"/>
      <c r="F2642" s="4"/>
      <c r="G2642" s="33" t="str">
        <f>IFERROR(VLOOKUP($D2642,'Informations sur les produits'!$A$3:$H$10000,8,FALSE),"0")</f>
        <v>0</v>
      </c>
      <c r="K2642" s="4"/>
      <c r="L2642" s="33" t="str">
        <f>IFERROR(VLOOKUP($J2642,'Informations sur les produits'!$A$3:$H$10000,8,FALSE),"0")</f>
        <v>0</v>
      </c>
      <c r="N2642" s="8"/>
      <c r="O2642" s="33" t="str">
        <f>IFERROR(VLOOKUP($M2642,'Informations sur les produits'!$A$3:$H$10000,8,FALSE),"0")</f>
        <v>0</v>
      </c>
      <c r="P2642" s="33">
        <f t="shared" si="164"/>
        <v>0</v>
      </c>
      <c r="Q2642" s="31" t="str">
        <f t="shared" si="165"/>
        <v/>
      </c>
      <c r="R2642" s="32" t="str">
        <f>IFERROR(VLOOKUP($D2642,'Informations sur les produits'!$A$3:$B$15000,2,FALSE),"")</f>
        <v/>
      </c>
      <c r="V2642">
        <f t="shared" si="166"/>
        <v>0</v>
      </c>
      <c r="W2642">
        <f t="shared" si="167"/>
        <v>0</v>
      </c>
    </row>
    <row r="2643" spans="5:23" x14ac:dyDescent="0.25">
      <c r="E2643" s="4"/>
      <c r="F2643" s="4"/>
      <c r="G2643" s="33" t="str">
        <f>IFERROR(VLOOKUP($D2643,'Informations sur les produits'!$A$3:$H$10000,8,FALSE),"0")</f>
        <v>0</v>
      </c>
      <c r="K2643" s="4"/>
      <c r="L2643" s="33" t="str">
        <f>IFERROR(VLOOKUP($J2643,'Informations sur les produits'!$A$3:$H$10000,8,FALSE),"0")</f>
        <v>0</v>
      </c>
      <c r="N2643" s="8"/>
      <c r="O2643" s="33" t="str">
        <f>IFERROR(VLOOKUP($M2643,'Informations sur les produits'!$A$3:$H$10000,8,FALSE),"0")</f>
        <v>0</v>
      </c>
      <c r="P2643" s="33">
        <f t="shared" si="164"/>
        <v>0</v>
      </c>
      <c r="Q2643" s="31" t="str">
        <f t="shared" si="165"/>
        <v/>
      </c>
      <c r="R2643" s="32" t="str">
        <f>IFERROR(VLOOKUP($D2643,'Informations sur les produits'!$A$3:$B$15000,2,FALSE),"")</f>
        <v/>
      </c>
      <c r="V2643">
        <f t="shared" si="166"/>
        <v>0</v>
      </c>
      <c r="W2643">
        <f t="shared" si="167"/>
        <v>0</v>
      </c>
    </row>
    <row r="2644" spans="5:23" x14ac:dyDescent="0.25">
      <c r="E2644" s="4"/>
      <c r="F2644" s="4"/>
      <c r="G2644" s="33" t="str">
        <f>IFERROR(VLOOKUP($D2644,'Informations sur les produits'!$A$3:$H$10000,8,FALSE),"0")</f>
        <v>0</v>
      </c>
      <c r="K2644" s="4"/>
      <c r="L2644" s="33" t="str">
        <f>IFERROR(VLOOKUP($J2644,'Informations sur les produits'!$A$3:$H$10000,8,FALSE),"0")</f>
        <v>0</v>
      </c>
      <c r="N2644" s="8"/>
      <c r="O2644" s="33" t="str">
        <f>IFERROR(VLOOKUP($M2644,'Informations sur les produits'!$A$3:$H$10000,8,FALSE),"0")</f>
        <v>0</v>
      </c>
      <c r="P2644" s="33">
        <f t="shared" si="164"/>
        <v>0</v>
      </c>
      <c r="Q2644" s="31" t="str">
        <f t="shared" si="165"/>
        <v/>
      </c>
      <c r="R2644" s="32" t="str">
        <f>IFERROR(VLOOKUP($D2644,'Informations sur les produits'!$A$3:$B$15000,2,FALSE),"")</f>
        <v/>
      </c>
      <c r="V2644">
        <f t="shared" si="166"/>
        <v>0</v>
      </c>
      <c r="W2644">
        <f t="shared" si="167"/>
        <v>0</v>
      </c>
    </row>
    <row r="2645" spans="5:23" x14ac:dyDescent="0.25">
      <c r="E2645" s="4"/>
      <c r="F2645" s="4"/>
      <c r="G2645" s="33" t="str">
        <f>IFERROR(VLOOKUP($D2645,'Informations sur les produits'!$A$3:$H$10000,8,FALSE),"0")</f>
        <v>0</v>
      </c>
      <c r="K2645" s="4"/>
      <c r="L2645" s="33" t="str">
        <f>IFERROR(VLOOKUP($J2645,'Informations sur les produits'!$A$3:$H$10000,8,FALSE),"0")</f>
        <v>0</v>
      </c>
      <c r="N2645" s="8"/>
      <c r="O2645" s="33" t="str">
        <f>IFERROR(VLOOKUP($M2645,'Informations sur les produits'!$A$3:$H$10000,8,FALSE),"0")</f>
        <v>0</v>
      </c>
      <c r="P2645" s="33">
        <f t="shared" si="164"/>
        <v>0</v>
      </c>
      <c r="Q2645" s="31" t="str">
        <f t="shared" si="165"/>
        <v/>
      </c>
      <c r="R2645" s="32" t="str">
        <f>IFERROR(VLOOKUP($D2645,'Informations sur les produits'!$A$3:$B$15000,2,FALSE),"")</f>
        <v/>
      </c>
      <c r="V2645">
        <f t="shared" si="166"/>
        <v>0</v>
      </c>
      <c r="W2645">
        <f t="shared" si="167"/>
        <v>0</v>
      </c>
    </row>
    <row r="2646" spans="5:23" x14ac:dyDescent="0.25">
      <c r="E2646" s="4"/>
      <c r="F2646" s="4"/>
      <c r="G2646" s="33" t="str">
        <f>IFERROR(VLOOKUP($D2646,'Informations sur les produits'!$A$3:$H$10000,8,FALSE),"0")</f>
        <v>0</v>
      </c>
      <c r="K2646" s="4"/>
      <c r="L2646" s="33" t="str">
        <f>IFERROR(VLOOKUP($J2646,'Informations sur les produits'!$A$3:$H$10000,8,FALSE),"0")</f>
        <v>0</v>
      </c>
      <c r="N2646" s="8"/>
      <c r="O2646" s="33" t="str">
        <f>IFERROR(VLOOKUP($M2646,'Informations sur les produits'!$A$3:$H$10000,8,FALSE),"0")</f>
        <v>0</v>
      </c>
      <c r="P2646" s="33">
        <f t="shared" si="164"/>
        <v>0</v>
      </c>
      <c r="Q2646" s="31" t="str">
        <f t="shared" si="165"/>
        <v/>
      </c>
      <c r="R2646" s="32" t="str">
        <f>IFERROR(VLOOKUP($D2646,'Informations sur les produits'!$A$3:$B$15000,2,FALSE),"")</f>
        <v/>
      </c>
      <c r="V2646">
        <f t="shared" si="166"/>
        <v>0</v>
      </c>
      <c r="W2646">
        <f t="shared" si="167"/>
        <v>0</v>
      </c>
    </row>
    <row r="2647" spans="5:23" x14ac:dyDescent="0.25">
      <c r="E2647" s="4"/>
      <c r="F2647" s="4"/>
      <c r="G2647" s="33" t="str">
        <f>IFERROR(VLOOKUP($D2647,'Informations sur les produits'!$A$3:$H$10000,8,FALSE),"0")</f>
        <v>0</v>
      </c>
      <c r="K2647" s="4"/>
      <c r="L2647" s="33" t="str">
        <f>IFERROR(VLOOKUP($J2647,'Informations sur les produits'!$A$3:$H$10000,8,FALSE),"0")</f>
        <v>0</v>
      </c>
      <c r="N2647" s="8"/>
      <c r="O2647" s="33" t="str">
        <f>IFERROR(VLOOKUP($M2647,'Informations sur les produits'!$A$3:$H$10000,8,FALSE),"0")</f>
        <v>0</v>
      </c>
      <c r="P2647" s="33">
        <f t="shared" si="164"/>
        <v>0</v>
      </c>
      <c r="Q2647" s="31" t="str">
        <f t="shared" si="165"/>
        <v/>
      </c>
      <c r="R2647" s="32" t="str">
        <f>IFERROR(VLOOKUP($D2647,'Informations sur les produits'!$A$3:$B$15000,2,FALSE),"")</f>
        <v/>
      </c>
      <c r="V2647">
        <f t="shared" si="166"/>
        <v>0</v>
      </c>
      <c r="W2647">
        <f t="shared" si="167"/>
        <v>0</v>
      </c>
    </row>
    <row r="2648" spans="5:23" x14ac:dyDescent="0.25">
      <c r="E2648" s="4"/>
      <c r="F2648" s="4"/>
      <c r="G2648" s="33" t="str">
        <f>IFERROR(VLOOKUP($D2648,'Informations sur les produits'!$A$3:$H$10000,8,FALSE),"0")</f>
        <v>0</v>
      </c>
      <c r="K2648" s="4"/>
      <c r="L2648" s="33" t="str">
        <f>IFERROR(VLOOKUP($J2648,'Informations sur les produits'!$A$3:$H$10000,8,FALSE),"0")</f>
        <v>0</v>
      </c>
      <c r="N2648" s="8"/>
      <c r="O2648" s="33" t="str">
        <f>IFERROR(VLOOKUP($M2648,'Informations sur les produits'!$A$3:$H$10000,8,FALSE),"0")</f>
        <v>0</v>
      </c>
      <c r="P2648" s="33">
        <f t="shared" si="164"/>
        <v>0</v>
      </c>
      <c r="Q2648" s="31" t="str">
        <f t="shared" si="165"/>
        <v/>
      </c>
      <c r="R2648" s="32" t="str">
        <f>IFERROR(VLOOKUP($D2648,'Informations sur les produits'!$A$3:$B$15000,2,FALSE),"")</f>
        <v/>
      </c>
      <c r="V2648">
        <f t="shared" si="166"/>
        <v>0</v>
      </c>
      <c r="W2648">
        <f t="shared" si="167"/>
        <v>0</v>
      </c>
    </row>
    <row r="2649" spans="5:23" x14ac:dyDescent="0.25">
      <c r="E2649" s="4"/>
      <c r="F2649" s="4"/>
      <c r="G2649" s="33" t="str">
        <f>IFERROR(VLOOKUP($D2649,'Informations sur les produits'!$A$3:$H$10000,8,FALSE),"0")</f>
        <v>0</v>
      </c>
      <c r="K2649" s="4"/>
      <c r="L2649" s="33" t="str">
        <f>IFERROR(VLOOKUP($J2649,'Informations sur les produits'!$A$3:$H$10000,8,FALSE),"0")</f>
        <v>0</v>
      </c>
      <c r="N2649" s="8"/>
      <c r="O2649" s="33" t="str">
        <f>IFERROR(VLOOKUP($M2649,'Informations sur les produits'!$A$3:$H$10000,8,FALSE),"0")</f>
        <v>0</v>
      </c>
      <c r="P2649" s="33">
        <f t="shared" si="164"/>
        <v>0</v>
      </c>
      <c r="Q2649" s="31" t="str">
        <f t="shared" si="165"/>
        <v/>
      </c>
      <c r="R2649" s="32" t="str">
        <f>IFERROR(VLOOKUP($D2649,'Informations sur les produits'!$A$3:$B$15000,2,FALSE),"")</f>
        <v/>
      </c>
      <c r="V2649">
        <f t="shared" si="166"/>
        <v>0</v>
      </c>
      <c r="W2649">
        <f t="shared" si="167"/>
        <v>0</v>
      </c>
    </row>
    <row r="2650" spans="5:23" x14ac:dyDescent="0.25">
      <c r="E2650" s="4"/>
      <c r="F2650" s="4"/>
      <c r="G2650" s="33" t="str">
        <f>IFERROR(VLOOKUP($D2650,'Informations sur les produits'!$A$3:$H$10000,8,FALSE),"0")</f>
        <v>0</v>
      </c>
      <c r="K2650" s="4"/>
      <c r="L2650" s="33" t="str">
        <f>IFERROR(VLOOKUP($J2650,'Informations sur les produits'!$A$3:$H$10000,8,FALSE),"0")</f>
        <v>0</v>
      </c>
      <c r="N2650" s="8"/>
      <c r="O2650" s="33" t="str">
        <f>IFERROR(VLOOKUP($M2650,'Informations sur les produits'!$A$3:$H$10000,8,FALSE),"0")</f>
        <v>0</v>
      </c>
      <c r="P2650" s="33">
        <f t="shared" si="164"/>
        <v>0</v>
      </c>
      <c r="Q2650" s="31" t="str">
        <f t="shared" si="165"/>
        <v/>
      </c>
      <c r="R2650" s="32" t="str">
        <f>IFERROR(VLOOKUP($D2650,'Informations sur les produits'!$A$3:$B$15000,2,FALSE),"")</f>
        <v/>
      </c>
      <c r="V2650">
        <f t="shared" si="166"/>
        <v>0</v>
      </c>
      <c r="W2650">
        <f t="shared" si="167"/>
        <v>0</v>
      </c>
    </row>
    <row r="2651" spans="5:23" x14ac:dyDescent="0.25">
      <c r="E2651" s="4"/>
      <c r="F2651" s="4"/>
      <c r="G2651" s="33" t="str">
        <f>IFERROR(VLOOKUP($D2651,'Informations sur les produits'!$A$3:$H$10000,8,FALSE),"0")</f>
        <v>0</v>
      </c>
      <c r="K2651" s="4"/>
      <c r="L2651" s="33" t="str">
        <f>IFERROR(VLOOKUP($J2651,'Informations sur les produits'!$A$3:$H$10000,8,FALSE),"0")</f>
        <v>0</v>
      </c>
      <c r="N2651" s="8"/>
      <c r="O2651" s="33" t="str">
        <f>IFERROR(VLOOKUP($M2651,'Informations sur les produits'!$A$3:$H$10000,8,FALSE),"0")</f>
        <v>0</v>
      </c>
      <c r="P2651" s="33">
        <f t="shared" si="164"/>
        <v>0</v>
      </c>
      <c r="Q2651" s="31" t="str">
        <f t="shared" si="165"/>
        <v/>
      </c>
      <c r="R2651" s="32" t="str">
        <f>IFERROR(VLOOKUP($D2651,'Informations sur les produits'!$A$3:$B$15000,2,FALSE),"")</f>
        <v/>
      </c>
      <c r="V2651">
        <f t="shared" si="166"/>
        <v>0</v>
      </c>
      <c r="W2651">
        <f t="shared" si="167"/>
        <v>0</v>
      </c>
    </row>
    <row r="2652" spans="5:23" x14ac:dyDescent="0.25">
      <c r="E2652" s="4"/>
      <c r="F2652" s="4"/>
      <c r="G2652" s="33" t="str">
        <f>IFERROR(VLOOKUP($D2652,'Informations sur les produits'!$A$3:$H$10000,8,FALSE),"0")</f>
        <v>0</v>
      </c>
      <c r="K2652" s="4"/>
      <c r="L2652" s="33" t="str">
        <f>IFERROR(VLOOKUP($J2652,'Informations sur les produits'!$A$3:$H$10000,8,FALSE),"0")</f>
        <v>0</v>
      </c>
      <c r="N2652" s="8"/>
      <c r="O2652" s="33" t="str">
        <f>IFERROR(VLOOKUP($M2652,'Informations sur les produits'!$A$3:$H$10000,8,FALSE),"0")</f>
        <v>0</v>
      </c>
      <c r="P2652" s="33">
        <f t="shared" si="164"/>
        <v>0</v>
      </c>
      <c r="Q2652" s="31" t="str">
        <f t="shared" si="165"/>
        <v/>
      </c>
      <c r="R2652" s="32" t="str">
        <f>IFERROR(VLOOKUP($D2652,'Informations sur les produits'!$A$3:$B$15000,2,FALSE),"")</f>
        <v/>
      </c>
      <c r="V2652">
        <f t="shared" si="166"/>
        <v>0</v>
      </c>
      <c r="W2652">
        <f t="shared" si="167"/>
        <v>0</v>
      </c>
    </row>
    <row r="2653" spans="5:23" x14ac:dyDescent="0.25">
      <c r="E2653" s="4"/>
      <c r="F2653" s="4"/>
      <c r="G2653" s="33" t="str">
        <f>IFERROR(VLOOKUP($D2653,'Informations sur les produits'!$A$3:$H$10000,8,FALSE),"0")</f>
        <v>0</v>
      </c>
      <c r="K2653" s="4"/>
      <c r="L2653" s="33" t="str">
        <f>IFERROR(VLOOKUP($J2653,'Informations sur les produits'!$A$3:$H$10000,8,FALSE),"0")</f>
        <v>0</v>
      </c>
      <c r="N2653" s="8"/>
      <c r="O2653" s="33" t="str">
        <f>IFERROR(VLOOKUP($M2653,'Informations sur les produits'!$A$3:$H$10000,8,FALSE),"0")</f>
        <v>0</v>
      </c>
      <c r="P2653" s="33">
        <f t="shared" si="164"/>
        <v>0</v>
      </c>
      <c r="Q2653" s="31" t="str">
        <f t="shared" si="165"/>
        <v/>
      </c>
      <c r="R2653" s="32" t="str">
        <f>IFERROR(VLOOKUP($D2653,'Informations sur les produits'!$A$3:$B$15000,2,FALSE),"")</f>
        <v/>
      </c>
      <c r="V2653">
        <f t="shared" si="166"/>
        <v>0</v>
      </c>
      <c r="W2653">
        <f t="shared" si="167"/>
        <v>0</v>
      </c>
    </row>
    <row r="2654" spans="5:23" x14ac:dyDescent="0.25">
      <c r="E2654" s="4"/>
      <c r="F2654" s="4"/>
      <c r="G2654" s="33" t="str">
        <f>IFERROR(VLOOKUP($D2654,'Informations sur les produits'!$A$3:$H$10000,8,FALSE),"0")</f>
        <v>0</v>
      </c>
      <c r="K2654" s="4"/>
      <c r="L2654" s="33" t="str">
        <f>IFERROR(VLOOKUP($J2654,'Informations sur les produits'!$A$3:$H$10000,8,FALSE),"0")</f>
        <v>0</v>
      </c>
      <c r="N2654" s="8"/>
      <c r="O2654" s="33" t="str">
        <f>IFERROR(VLOOKUP($M2654,'Informations sur les produits'!$A$3:$H$10000,8,FALSE),"0")</f>
        <v>0</v>
      </c>
      <c r="P2654" s="33">
        <f t="shared" si="164"/>
        <v>0</v>
      </c>
      <c r="Q2654" s="31" t="str">
        <f t="shared" si="165"/>
        <v/>
      </c>
      <c r="R2654" s="32" t="str">
        <f>IFERROR(VLOOKUP($D2654,'Informations sur les produits'!$A$3:$B$15000,2,FALSE),"")</f>
        <v/>
      </c>
      <c r="V2654">
        <f t="shared" si="166"/>
        <v>0</v>
      </c>
      <c r="W2654">
        <f t="shared" si="167"/>
        <v>0</v>
      </c>
    </row>
    <row r="2655" spans="5:23" x14ac:dyDescent="0.25">
      <c r="E2655" s="4"/>
      <c r="F2655" s="4"/>
      <c r="G2655" s="33" t="str">
        <f>IFERROR(VLOOKUP($D2655,'Informations sur les produits'!$A$3:$H$10000,8,FALSE),"0")</f>
        <v>0</v>
      </c>
      <c r="K2655" s="4"/>
      <c r="L2655" s="33" t="str">
        <f>IFERROR(VLOOKUP($J2655,'Informations sur les produits'!$A$3:$H$10000,8,FALSE),"0")</f>
        <v>0</v>
      </c>
      <c r="N2655" s="8"/>
      <c r="O2655" s="33" t="str">
        <f>IFERROR(VLOOKUP($M2655,'Informations sur les produits'!$A$3:$H$10000,8,FALSE),"0")</f>
        <v>0</v>
      </c>
      <c r="P2655" s="33">
        <f t="shared" si="164"/>
        <v>0</v>
      </c>
      <c r="Q2655" s="31" t="str">
        <f t="shared" si="165"/>
        <v/>
      </c>
      <c r="R2655" s="32" t="str">
        <f>IFERROR(VLOOKUP($D2655,'Informations sur les produits'!$A$3:$B$15000,2,FALSE),"")</f>
        <v/>
      </c>
      <c r="V2655">
        <f t="shared" si="166"/>
        <v>0</v>
      </c>
      <c r="W2655">
        <f t="shared" si="167"/>
        <v>0</v>
      </c>
    </row>
    <row r="2656" spans="5:23" x14ac:dyDescent="0.25">
      <c r="E2656" s="4"/>
      <c r="F2656" s="4"/>
      <c r="G2656" s="33" t="str">
        <f>IFERROR(VLOOKUP($D2656,'Informations sur les produits'!$A$3:$H$10000,8,FALSE),"0")</f>
        <v>0</v>
      </c>
      <c r="K2656" s="4"/>
      <c r="L2656" s="33" t="str">
        <f>IFERROR(VLOOKUP($J2656,'Informations sur les produits'!$A$3:$H$10000,8,FALSE),"0")</f>
        <v>0</v>
      </c>
      <c r="N2656" s="8"/>
      <c r="O2656" s="33" t="str">
        <f>IFERROR(VLOOKUP($M2656,'Informations sur les produits'!$A$3:$H$10000,8,FALSE),"0")</f>
        <v>0</v>
      </c>
      <c r="P2656" s="33">
        <f t="shared" si="164"/>
        <v>0</v>
      </c>
      <c r="Q2656" s="31" t="str">
        <f t="shared" si="165"/>
        <v/>
      </c>
      <c r="R2656" s="32" t="str">
        <f>IFERROR(VLOOKUP($D2656,'Informations sur les produits'!$A$3:$B$15000,2,FALSE),"")</f>
        <v/>
      </c>
      <c r="V2656">
        <f t="shared" si="166"/>
        <v>0</v>
      </c>
      <c r="W2656">
        <f t="shared" si="167"/>
        <v>0</v>
      </c>
    </row>
    <row r="2657" spans="5:23" x14ac:dyDescent="0.25">
      <c r="E2657" s="4"/>
      <c r="F2657" s="4"/>
      <c r="G2657" s="33" t="str">
        <f>IFERROR(VLOOKUP($D2657,'Informations sur les produits'!$A$3:$H$10000,8,FALSE),"0")</f>
        <v>0</v>
      </c>
      <c r="K2657" s="4"/>
      <c r="L2657" s="33" t="str">
        <f>IFERROR(VLOOKUP($J2657,'Informations sur les produits'!$A$3:$H$10000,8,FALSE),"0")</f>
        <v>0</v>
      </c>
      <c r="N2657" s="8"/>
      <c r="O2657" s="33" t="str">
        <f>IFERROR(VLOOKUP($M2657,'Informations sur les produits'!$A$3:$H$10000,8,FALSE),"0")</f>
        <v>0</v>
      </c>
      <c r="P2657" s="33">
        <f t="shared" si="164"/>
        <v>0</v>
      </c>
      <c r="Q2657" s="31" t="str">
        <f t="shared" si="165"/>
        <v/>
      </c>
      <c r="R2657" s="32" t="str">
        <f>IFERROR(VLOOKUP($D2657,'Informations sur les produits'!$A$3:$B$15000,2,FALSE),"")</f>
        <v/>
      </c>
      <c r="V2657">
        <f t="shared" si="166"/>
        <v>0</v>
      </c>
      <c r="W2657">
        <f t="shared" si="167"/>
        <v>0</v>
      </c>
    </row>
    <row r="2658" spans="5:23" x14ac:dyDescent="0.25">
      <c r="E2658" s="4"/>
      <c r="F2658" s="4"/>
      <c r="G2658" s="33" t="str">
        <f>IFERROR(VLOOKUP($D2658,'Informations sur les produits'!$A$3:$H$10000,8,FALSE),"0")</f>
        <v>0</v>
      </c>
      <c r="K2658" s="4"/>
      <c r="L2658" s="33" t="str">
        <f>IFERROR(VLOOKUP($J2658,'Informations sur les produits'!$A$3:$H$10000,8,FALSE),"0")</f>
        <v>0</v>
      </c>
      <c r="N2658" s="8"/>
      <c r="O2658" s="33" t="str">
        <f>IFERROR(VLOOKUP($M2658,'Informations sur les produits'!$A$3:$H$10000,8,FALSE),"0")</f>
        <v>0</v>
      </c>
      <c r="P2658" s="33">
        <f t="shared" si="164"/>
        <v>0</v>
      </c>
      <c r="Q2658" s="31" t="str">
        <f t="shared" si="165"/>
        <v/>
      </c>
      <c r="R2658" s="32" t="str">
        <f>IFERROR(VLOOKUP($D2658,'Informations sur les produits'!$A$3:$B$15000,2,FALSE),"")</f>
        <v/>
      </c>
      <c r="V2658">
        <f t="shared" si="166"/>
        <v>0</v>
      </c>
      <c r="W2658">
        <f t="shared" si="167"/>
        <v>0</v>
      </c>
    </row>
    <row r="2659" spans="5:23" x14ac:dyDescent="0.25">
      <c r="E2659" s="4"/>
      <c r="F2659" s="4"/>
      <c r="G2659" s="33" t="str">
        <f>IFERROR(VLOOKUP($D2659,'Informations sur les produits'!$A$3:$H$10000,8,FALSE),"0")</f>
        <v>0</v>
      </c>
      <c r="K2659" s="4"/>
      <c r="L2659" s="33" t="str">
        <f>IFERROR(VLOOKUP($J2659,'Informations sur les produits'!$A$3:$H$10000,8,FALSE),"0")</f>
        <v>0</v>
      </c>
      <c r="N2659" s="8"/>
      <c r="O2659" s="33" t="str">
        <f>IFERROR(VLOOKUP($M2659,'Informations sur les produits'!$A$3:$H$10000,8,FALSE),"0")</f>
        <v>0</v>
      </c>
      <c r="P2659" s="33">
        <f t="shared" si="164"/>
        <v>0</v>
      </c>
      <c r="Q2659" s="31" t="str">
        <f t="shared" si="165"/>
        <v/>
      </c>
      <c r="R2659" s="32" t="str">
        <f>IFERROR(VLOOKUP($D2659,'Informations sur les produits'!$A$3:$B$15000,2,FALSE),"")</f>
        <v/>
      </c>
      <c r="V2659">
        <f t="shared" si="166"/>
        <v>0</v>
      </c>
      <c r="W2659">
        <f t="shared" si="167"/>
        <v>0</v>
      </c>
    </row>
    <row r="2660" spans="5:23" x14ac:dyDescent="0.25">
      <c r="E2660" s="4"/>
      <c r="F2660" s="4"/>
      <c r="G2660" s="33" t="str">
        <f>IFERROR(VLOOKUP($D2660,'Informations sur les produits'!$A$3:$H$10000,8,FALSE),"0")</f>
        <v>0</v>
      </c>
      <c r="K2660" s="4"/>
      <c r="L2660" s="33" t="str">
        <f>IFERROR(VLOOKUP($J2660,'Informations sur les produits'!$A$3:$H$10000,8,FALSE),"0")</f>
        <v>0</v>
      </c>
      <c r="N2660" s="8"/>
      <c r="O2660" s="33" t="str">
        <f>IFERROR(VLOOKUP($M2660,'Informations sur les produits'!$A$3:$H$10000,8,FALSE),"0")</f>
        <v>0</v>
      </c>
      <c r="P2660" s="33">
        <f t="shared" si="164"/>
        <v>0</v>
      </c>
      <c r="Q2660" s="31" t="str">
        <f t="shared" si="165"/>
        <v/>
      </c>
      <c r="R2660" s="32" t="str">
        <f>IFERROR(VLOOKUP($D2660,'Informations sur les produits'!$A$3:$B$15000,2,FALSE),"")</f>
        <v/>
      </c>
      <c r="V2660">
        <f t="shared" si="166"/>
        <v>0</v>
      </c>
      <c r="W2660">
        <f t="shared" si="167"/>
        <v>0</v>
      </c>
    </row>
    <row r="2661" spans="5:23" x14ac:dyDescent="0.25">
      <c r="E2661" s="4"/>
      <c r="F2661" s="4"/>
      <c r="G2661" s="33" t="str">
        <f>IFERROR(VLOOKUP($D2661,'Informations sur les produits'!$A$3:$H$10000,8,FALSE),"0")</f>
        <v>0</v>
      </c>
      <c r="K2661" s="4"/>
      <c r="L2661" s="33" t="str">
        <f>IFERROR(VLOOKUP($J2661,'Informations sur les produits'!$A$3:$H$10000,8,FALSE),"0")</f>
        <v>0</v>
      </c>
      <c r="N2661" s="8"/>
      <c r="O2661" s="33" t="str">
        <f>IFERROR(VLOOKUP($M2661,'Informations sur les produits'!$A$3:$H$10000,8,FALSE),"0")</f>
        <v>0</v>
      </c>
      <c r="P2661" s="33">
        <f t="shared" si="164"/>
        <v>0</v>
      </c>
      <c r="Q2661" s="31" t="str">
        <f t="shared" si="165"/>
        <v/>
      </c>
      <c r="R2661" s="32" t="str">
        <f>IFERROR(VLOOKUP($D2661,'Informations sur les produits'!$A$3:$B$15000,2,FALSE),"")</f>
        <v/>
      </c>
      <c r="V2661">
        <f t="shared" si="166"/>
        <v>0</v>
      </c>
      <c r="W2661">
        <f t="shared" si="167"/>
        <v>0</v>
      </c>
    </row>
    <row r="2662" spans="5:23" x14ac:dyDescent="0.25">
      <c r="E2662" s="4"/>
      <c r="F2662" s="4"/>
      <c r="G2662" s="33" t="str">
        <f>IFERROR(VLOOKUP($D2662,'Informations sur les produits'!$A$3:$H$10000,8,FALSE),"0")</f>
        <v>0</v>
      </c>
      <c r="K2662" s="4"/>
      <c r="L2662" s="33" t="str">
        <f>IFERROR(VLOOKUP($J2662,'Informations sur les produits'!$A$3:$H$10000,8,FALSE),"0")</f>
        <v>0</v>
      </c>
      <c r="N2662" s="8"/>
      <c r="O2662" s="33" t="str">
        <f>IFERROR(VLOOKUP($M2662,'Informations sur les produits'!$A$3:$H$10000,8,FALSE),"0")</f>
        <v>0</v>
      </c>
      <c r="P2662" s="33">
        <f t="shared" si="164"/>
        <v>0</v>
      </c>
      <c r="Q2662" s="31" t="str">
        <f t="shared" si="165"/>
        <v/>
      </c>
      <c r="R2662" s="32" t="str">
        <f>IFERROR(VLOOKUP($D2662,'Informations sur les produits'!$A$3:$B$15000,2,FALSE),"")</f>
        <v/>
      </c>
      <c r="V2662">
        <f t="shared" si="166"/>
        <v>0</v>
      </c>
      <c r="W2662">
        <f t="shared" si="167"/>
        <v>0</v>
      </c>
    </row>
    <row r="2663" spans="5:23" x14ac:dyDescent="0.25">
      <c r="E2663" s="4"/>
      <c r="F2663" s="4"/>
      <c r="G2663" s="33" t="str">
        <f>IFERROR(VLOOKUP($D2663,'Informations sur les produits'!$A$3:$H$10000,8,FALSE),"0")</f>
        <v>0</v>
      </c>
      <c r="K2663" s="4"/>
      <c r="L2663" s="33" t="str">
        <f>IFERROR(VLOOKUP($J2663,'Informations sur les produits'!$A$3:$H$10000,8,FALSE),"0")</f>
        <v>0</v>
      </c>
      <c r="N2663" s="8"/>
      <c r="O2663" s="33" t="str">
        <f>IFERROR(VLOOKUP($M2663,'Informations sur les produits'!$A$3:$H$10000,8,FALSE),"0")</f>
        <v>0</v>
      </c>
      <c r="P2663" s="33">
        <f t="shared" si="164"/>
        <v>0</v>
      </c>
      <c r="Q2663" s="31" t="str">
        <f t="shared" si="165"/>
        <v/>
      </c>
      <c r="R2663" s="32" t="str">
        <f>IFERROR(VLOOKUP($D2663,'Informations sur les produits'!$A$3:$B$15000,2,FALSE),"")</f>
        <v/>
      </c>
      <c r="V2663">
        <f t="shared" si="166"/>
        <v>0</v>
      </c>
      <c r="W2663">
        <f t="shared" si="167"/>
        <v>0</v>
      </c>
    </row>
    <row r="2664" spans="5:23" x14ac:dyDescent="0.25">
      <c r="E2664" s="4"/>
      <c r="F2664" s="4"/>
      <c r="G2664" s="33" t="str">
        <f>IFERROR(VLOOKUP($D2664,'Informations sur les produits'!$A$3:$H$10000,8,FALSE),"0")</f>
        <v>0</v>
      </c>
      <c r="K2664" s="4"/>
      <c r="L2664" s="33" t="str">
        <f>IFERROR(VLOOKUP($J2664,'Informations sur les produits'!$A$3:$H$10000,8,FALSE),"0")</f>
        <v>0</v>
      </c>
      <c r="N2664" s="8"/>
      <c r="O2664" s="33" t="str">
        <f>IFERROR(VLOOKUP($M2664,'Informations sur les produits'!$A$3:$H$10000,8,FALSE),"0")</f>
        <v>0</v>
      </c>
      <c r="P2664" s="33">
        <f t="shared" si="164"/>
        <v>0</v>
      </c>
      <c r="Q2664" s="31" t="str">
        <f t="shared" si="165"/>
        <v/>
      </c>
      <c r="R2664" s="32" t="str">
        <f>IFERROR(VLOOKUP($D2664,'Informations sur les produits'!$A$3:$B$15000,2,FALSE),"")</f>
        <v/>
      </c>
      <c r="V2664">
        <f t="shared" si="166"/>
        <v>0</v>
      </c>
      <c r="W2664">
        <f t="shared" si="167"/>
        <v>0</v>
      </c>
    </row>
    <row r="2665" spans="5:23" x14ac:dyDescent="0.25">
      <c r="E2665" s="4"/>
      <c r="F2665" s="4"/>
      <c r="G2665" s="33" t="str">
        <f>IFERROR(VLOOKUP($D2665,'Informations sur les produits'!$A$3:$H$10000,8,FALSE),"0")</f>
        <v>0</v>
      </c>
      <c r="K2665" s="4"/>
      <c r="L2665" s="33" t="str">
        <f>IFERROR(VLOOKUP($J2665,'Informations sur les produits'!$A$3:$H$10000,8,FALSE),"0")</f>
        <v>0</v>
      </c>
      <c r="N2665" s="8"/>
      <c r="O2665" s="33" t="str">
        <f>IFERROR(VLOOKUP($M2665,'Informations sur les produits'!$A$3:$H$10000,8,FALSE),"0")</f>
        <v>0</v>
      </c>
      <c r="P2665" s="33">
        <f t="shared" si="164"/>
        <v>0</v>
      </c>
      <c r="Q2665" s="31" t="str">
        <f t="shared" si="165"/>
        <v/>
      </c>
      <c r="R2665" s="32" t="str">
        <f>IFERROR(VLOOKUP($D2665,'Informations sur les produits'!$A$3:$B$15000,2,FALSE),"")</f>
        <v/>
      </c>
      <c r="V2665">
        <f t="shared" si="166"/>
        <v>0</v>
      </c>
      <c r="W2665">
        <f t="shared" si="167"/>
        <v>0</v>
      </c>
    </row>
    <row r="2666" spans="5:23" x14ac:dyDescent="0.25">
      <c r="E2666" s="4"/>
      <c r="F2666" s="4"/>
      <c r="G2666" s="33" t="str">
        <f>IFERROR(VLOOKUP($D2666,'Informations sur les produits'!$A$3:$H$10000,8,FALSE),"0")</f>
        <v>0</v>
      </c>
      <c r="K2666" s="4"/>
      <c r="L2666" s="33" t="str">
        <f>IFERROR(VLOOKUP($J2666,'Informations sur les produits'!$A$3:$H$10000,8,FALSE),"0")</f>
        <v>0</v>
      </c>
      <c r="N2666" s="8"/>
      <c r="O2666" s="33" t="str">
        <f>IFERROR(VLOOKUP($M2666,'Informations sur les produits'!$A$3:$H$10000,8,FALSE),"0")</f>
        <v>0</v>
      </c>
      <c r="P2666" s="33">
        <f t="shared" si="164"/>
        <v>0</v>
      </c>
      <c r="Q2666" s="31" t="str">
        <f t="shared" si="165"/>
        <v/>
      </c>
      <c r="R2666" s="32" t="str">
        <f>IFERROR(VLOOKUP($D2666,'Informations sur les produits'!$A$3:$B$15000,2,FALSE),"")</f>
        <v/>
      </c>
      <c r="V2666">
        <f t="shared" si="166"/>
        <v>0</v>
      </c>
      <c r="W2666">
        <f t="shared" si="167"/>
        <v>0</v>
      </c>
    </row>
    <row r="2667" spans="5:23" x14ac:dyDescent="0.25">
      <c r="E2667" s="4"/>
      <c r="F2667" s="4"/>
      <c r="G2667" s="33" t="str">
        <f>IFERROR(VLOOKUP($D2667,'Informations sur les produits'!$A$3:$H$10000,8,FALSE),"0")</f>
        <v>0</v>
      </c>
      <c r="K2667" s="4"/>
      <c r="L2667" s="33" t="str">
        <f>IFERROR(VLOOKUP($J2667,'Informations sur les produits'!$A$3:$H$10000,8,FALSE),"0")</f>
        <v>0</v>
      </c>
      <c r="N2667" s="8"/>
      <c r="O2667" s="33" t="str">
        <f>IFERROR(VLOOKUP($M2667,'Informations sur les produits'!$A$3:$H$10000,8,FALSE),"0")</f>
        <v>0</v>
      </c>
      <c r="P2667" s="33">
        <f t="shared" si="164"/>
        <v>0</v>
      </c>
      <c r="Q2667" s="31" t="str">
        <f t="shared" si="165"/>
        <v/>
      </c>
      <c r="R2667" s="32" t="str">
        <f>IFERROR(VLOOKUP($D2667,'Informations sur les produits'!$A$3:$B$15000,2,FALSE),"")</f>
        <v/>
      </c>
      <c r="V2667">
        <f t="shared" si="166"/>
        <v>0</v>
      </c>
      <c r="W2667">
        <f t="shared" si="167"/>
        <v>0</v>
      </c>
    </row>
    <row r="2668" spans="5:23" x14ac:dyDescent="0.25">
      <c r="E2668" s="4"/>
      <c r="F2668" s="4"/>
      <c r="G2668" s="33" t="str">
        <f>IFERROR(VLOOKUP($D2668,'Informations sur les produits'!$A$3:$H$10000,8,FALSE),"0")</f>
        <v>0</v>
      </c>
      <c r="K2668" s="4"/>
      <c r="L2668" s="33" t="str">
        <f>IFERROR(VLOOKUP($J2668,'Informations sur les produits'!$A$3:$H$10000,8,FALSE),"0")</f>
        <v>0</v>
      </c>
      <c r="N2668" s="8"/>
      <c r="O2668" s="33" t="str">
        <f>IFERROR(VLOOKUP($M2668,'Informations sur les produits'!$A$3:$H$10000,8,FALSE),"0")</f>
        <v>0</v>
      </c>
      <c r="P2668" s="33">
        <f t="shared" si="164"/>
        <v>0</v>
      </c>
      <c r="Q2668" s="31" t="str">
        <f t="shared" si="165"/>
        <v/>
      </c>
      <c r="R2668" s="32" t="str">
        <f>IFERROR(VLOOKUP($D2668,'Informations sur les produits'!$A$3:$B$15000,2,FALSE),"")</f>
        <v/>
      </c>
      <c r="V2668">
        <f t="shared" si="166"/>
        <v>0</v>
      </c>
      <c r="W2668">
        <f t="shared" si="167"/>
        <v>0</v>
      </c>
    </row>
    <row r="2669" spans="5:23" x14ac:dyDescent="0.25">
      <c r="E2669" s="4"/>
      <c r="F2669" s="4"/>
      <c r="G2669" s="33" t="str">
        <f>IFERROR(VLOOKUP($D2669,'Informations sur les produits'!$A$3:$H$10000,8,FALSE),"0")</f>
        <v>0</v>
      </c>
      <c r="K2669" s="4"/>
      <c r="L2669" s="33" t="str">
        <f>IFERROR(VLOOKUP($J2669,'Informations sur les produits'!$A$3:$H$10000,8,FALSE),"0")</f>
        <v>0</v>
      </c>
      <c r="N2669" s="8"/>
      <c r="O2669" s="33" t="str">
        <f>IFERROR(VLOOKUP($M2669,'Informations sur les produits'!$A$3:$H$10000,8,FALSE),"0")</f>
        <v>0</v>
      </c>
      <c r="P2669" s="33">
        <f t="shared" si="164"/>
        <v>0</v>
      </c>
      <c r="Q2669" s="31" t="str">
        <f t="shared" si="165"/>
        <v/>
      </c>
      <c r="R2669" s="32" t="str">
        <f>IFERROR(VLOOKUP($D2669,'Informations sur les produits'!$A$3:$B$15000,2,FALSE),"")</f>
        <v/>
      </c>
      <c r="V2669">
        <f t="shared" si="166"/>
        <v>0</v>
      </c>
      <c r="W2669">
        <f t="shared" si="167"/>
        <v>0</v>
      </c>
    </row>
    <row r="2670" spans="5:23" x14ac:dyDescent="0.25">
      <c r="E2670" s="4"/>
      <c r="F2670" s="4"/>
      <c r="G2670" s="33" t="str">
        <f>IFERROR(VLOOKUP($D2670,'Informations sur les produits'!$A$3:$H$10000,8,FALSE),"0")</f>
        <v>0</v>
      </c>
      <c r="K2670" s="4"/>
      <c r="L2670" s="33" t="str">
        <f>IFERROR(VLOOKUP($J2670,'Informations sur les produits'!$A$3:$H$10000,8,FALSE),"0")</f>
        <v>0</v>
      </c>
      <c r="N2670" s="8"/>
      <c r="O2670" s="33" t="str">
        <f>IFERROR(VLOOKUP($M2670,'Informations sur les produits'!$A$3:$H$10000,8,FALSE),"0")</f>
        <v>0</v>
      </c>
      <c r="P2670" s="33">
        <f t="shared" si="164"/>
        <v>0</v>
      </c>
      <c r="Q2670" s="31" t="str">
        <f t="shared" si="165"/>
        <v/>
      </c>
      <c r="R2670" s="32" t="str">
        <f>IFERROR(VLOOKUP($D2670,'Informations sur les produits'!$A$3:$B$15000,2,FALSE),"")</f>
        <v/>
      </c>
      <c r="V2670">
        <f t="shared" si="166"/>
        <v>0</v>
      </c>
      <c r="W2670">
        <f t="shared" si="167"/>
        <v>0</v>
      </c>
    </row>
    <row r="2671" spans="5:23" x14ac:dyDescent="0.25">
      <c r="E2671" s="4"/>
      <c r="F2671" s="4"/>
      <c r="G2671" s="33" t="str">
        <f>IFERROR(VLOOKUP($D2671,'Informations sur les produits'!$A$3:$H$10000,8,FALSE),"0")</f>
        <v>0</v>
      </c>
      <c r="K2671" s="4"/>
      <c r="L2671" s="33" t="str">
        <f>IFERROR(VLOOKUP($J2671,'Informations sur les produits'!$A$3:$H$10000,8,FALSE),"0")</f>
        <v>0</v>
      </c>
      <c r="N2671" s="8"/>
      <c r="O2671" s="33" t="str">
        <f>IFERROR(VLOOKUP($M2671,'Informations sur les produits'!$A$3:$H$10000,8,FALSE),"0")</f>
        <v>0</v>
      </c>
      <c r="P2671" s="33">
        <f t="shared" si="164"/>
        <v>0</v>
      </c>
      <c r="Q2671" s="31" t="str">
        <f t="shared" si="165"/>
        <v/>
      </c>
      <c r="R2671" s="32" t="str">
        <f>IFERROR(VLOOKUP($D2671,'Informations sur les produits'!$A$3:$B$15000,2,FALSE),"")</f>
        <v/>
      </c>
      <c r="V2671">
        <f t="shared" si="166"/>
        <v>0</v>
      </c>
      <c r="W2671">
        <f t="shared" si="167"/>
        <v>0</v>
      </c>
    </row>
    <row r="2672" spans="5:23" x14ac:dyDescent="0.25">
      <c r="E2672" s="4"/>
      <c r="F2672" s="4"/>
      <c r="G2672" s="33" t="str">
        <f>IFERROR(VLOOKUP($D2672,'Informations sur les produits'!$A$3:$H$10000,8,FALSE),"0")</f>
        <v>0</v>
      </c>
      <c r="K2672" s="4"/>
      <c r="L2672" s="33" t="str">
        <f>IFERROR(VLOOKUP($J2672,'Informations sur les produits'!$A$3:$H$10000,8,FALSE),"0")</f>
        <v>0</v>
      </c>
      <c r="N2672" s="8"/>
      <c r="O2672" s="33" t="str">
        <f>IFERROR(VLOOKUP($M2672,'Informations sur les produits'!$A$3:$H$10000,8,FALSE),"0")</f>
        <v>0</v>
      </c>
      <c r="P2672" s="33">
        <f t="shared" si="164"/>
        <v>0</v>
      </c>
      <c r="Q2672" s="31" t="str">
        <f t="shared" si="165"/>
        <v/>
      </c>
      <c r="R2672" s="32" t="str">
        <f>IFERROR(VLOOKUP($D2672,'Informations sur les produits'!$A$3:$B$15000,2,FALSE),"")</f>
        <v/>
      </c>
      <c r="V2672">
        <f t="shared" si="166"/>
        <v>0</v>
      </c>
      <c r="W2672">
        <f t="shared" si="167"/>
        <v>0</v>
      </c>
    </row>
    <row r="2673" spans="5:23" x14ac:dyDescent="0.25">
      <c r="E2673" s="4"/>
      <c r="F2673" s="4"/>
      <c r="G2673" s="33" t="str">
        <f>IFERROR(VLOOKUP($D2673,'Informations sur les produits'!$A$3:$H$10000,8,FALSE),"0")</f>
        <v>0</v>
      </c>
      <c r="K2673" s="4"/>
      <c r="L2673" s="33" t="str">
        <f>IFERROR(VLOOKUP($J2673,'Informations sur les produits'!$A$3:$H$10000,8,FALSE),"0")</f>
        <v>0</v>
      </c>
      <c r="N2673" s="8"/>
      <c r="O2673" s="33" t="str">
        <f>IFERROR(VLOOKUP($M2673,'Informations sur les produits'!$A$3:$H$10000,8,FALSE),"0")</f>
        <v>0</v>
      </c>
      <c r="P2673" s="33">
        <f t="shared" si="164"/>
        <v>0</v>
      </c>
      <c r="Q2673" s="31" t="str">
        <f t="shared" si="165"/>
        <v/>
      </c>
      <c r="R2673" s="32" t="str">
        <f>IFERROR(VLOOKUP($D2673,'Informations sur les produits'!$A$3:$B$15000,2,FALSE),"")</f>
        <v/>
      </c>
      <c r="V2673">
        <f t="shared" si="166"/>
        <v>0</v>
      </c>
      <c r="W2673">
        <f t="shared" si="167"/>
        <v>0</v>
      </c>
    </row>
    <row r="2674" spans="5:23" x14ac:dyDescent="0.25">
      <c r="E2674" s="4"/>
      <c r="F2674" s="4"/>
      <c r="G2674" s="33" t="str">
        <f>IFERROR(VLOOKUP($D2674,'Informations sur les produits'!$A$3:$H$10000,8,FALSE),"0")</f>
        <v>0</v>
      </c>
      <c r="K2674" s="4"/>
      <c r="L2674" s="33" t="str">
        <f>IFERROR(VLOOKUP($J2674,'Informations sur les produits'!$A$3:$H$10000,8,FALSE),"0")</f>
        <v>0</v>
      </c>
      <c r="N2674" s="8"/>
      <c r="O2674" s="33" t="str">
        <f>IFERROR(VLOOKUP($M2674,'Informations sur les produits'!$A$3:$H$10000,8,FALSE),"0")</f>
        <v>0</v>
      </c>
      <c r="P2674" s="33">
        <f t="shared" si="164"/>
        <v>0</v>
      </c>
      <c r="Q2674" s="31" t="str">
        <f t="shared" si="165"/>
        <v/>
      </c>
      <c r="R2674" s="32" t="str">
        <f>IFERROR(VLOOKUP($D2674,'Informations sur les produits'!$A$3:$B$15000,2,FALSE),"")</f>
        <v/>
      </c>
      <c r="V2674">
        <f t="shared" si="166"/>
        <v>0</v>
      </c>
      <c r="W2674">
        <f t="shared" si="167"/>
        <v>0</v>
      </c>
    </row>
    <row r="2675" spans="5:23" x14ac:dyDescent="0.25">
      <c r="E2675" s="4"/>
      <c r="F2675" s="4"/>
      <c r="G2675" s="33" t="str">
        <f>IFERROR(VLOOKUP($D2675,'Informations sur les produits'!$A$3:$H$10000,8,FALSE),"0")</f>
        <v>0</v>
      </c>
      <c r="K2675" s="4"/>
      <c r="L2675" s="33" t="str">
        <f>IFERROR(VLOOKUP($J2675,'Informations sur les produits'!$A$3:$H$10000,8,FALSE),"0")</f>
        <v>0</v>
      </c>
      <c r="N2675" s="8"/>
      <c r="O2675" s="33" t="str">
        <f>IFERROR(VLOOKUP($M2675,'Informations sur les produits'!$A$3:$H$10000,8,FALSE),"0")</f>
        <v>0</v>
      </c>
      <c r="P2675" s="33">
        <f t="shared" si="164"/>
        <v>0</v>
      </c>
      <c r="Q2675" s="31" t="str">
        <f t="shared" si="165"/>
        <v/>
      </c>
      <c r="R2675" s="32" t="str">
        <f>IFERROR(VLOOKUP($D2675,'Informations sur les produits'!$A$3:$B$15000,2,FALSE),"")</f>
        <v/>
      </c>
      <c r="V2675">
        <f t="shared" si="166"/>
        <v>0</v>
      </c>
      <c r="W2675">
        <f t="shared" si="167"/>
        <v>0</v>
      </c>
    </row>
    <row r="2676" spans="5:23" x14ac:dyDescent="0.25">
      <c r="E2676" s="4"/>
      <c r="F2676" s="4"/>
      <c r="G2676" s="33" t="str">
        <f>IFERROR(VLOOKUP($D2676,'Informations sur les produits'!$A$3:$H$10000,8,FALSE),"0")</f>
        <v>0</v>
      </c>
      <c r="K2676" s="4"/>
      <c r="L2676" s="33" t="str">
        <f>IFERROR(VLOOKUP($J2676,'Informations sur les produits'!$A$3:$H$10000,8,FALSE),"0")</f>
        <v>0</v>
      </c>
      <c r="N2676" s="8"/>
      <c r="O2676" s="33" t="str">
        <f>IFERROR(VLOOKUP($M2676,'Informations sur les produits'!$A$3:$H$10000,8,FALSE),"0")</f>
        <v>0</v>
      </c>
      <c r="P2676" s="33">
        <f t="shared" si="164"/>
        <v>0</v>
      </c>
      <c r="Q2676" s="31" t="str">
        <f t="shared" si="165"/>
        <v/>
      </c>
      <c r="R2676" s="32" t="str">
        <f>IFERROR(VLOOKUP($D2676,'Informations sur les produits'!$A$3:$B$15000,2,FALSE),"")</f>
        <v/>
      </c>
      <c r="V2676">
        <f t="shared" si="166"/>
        <v>0</v>
      </c>
      <c r="W2676">
        <f t="shared" si="167"/>
        <v>0</v>
      </c>
    </row>
    <row r="2677" spans="5:23" x14ac:dyDescent="0.25">
      <c r="E2677" s="4"/>
      <c r="F2677" s="4"/>
      <c r="G2677" s="33" t="str">
        <f>IFERROR(VLOOKUP($D2677,'Informations sur les produits'!$A$3:$H$10000,8,FALSE),"0")</f>
        <v>0</v>
      </c>
      <c r="K2677" s="4"/>
      <c r="L2677" s="33" t="str">
        <f>IFERROR(VLOOKUP($J2677,'Informations sur les produits'!$A$3:$H$10000,8,FALSE),"0")</f>
        <v>0</v>
      </c>
      <c r="N2677" s="8"/>
      <c r="O2677" s="33" t="str">
        <f>IFERROR(VLOOKUP($M2677,'Informations sur les produits'!$A$3:$H$10000,8,FALSE),"0")</f>
        <v>0</v>
      </c>
      <c r="P2677" s="33">
        <f t="shared" si="164"/>
        <v>0</v>
      </c>
      <c r="Q2677" s="31" t="str">
        <f t="shared" si="165"/>
        <v/>
      </c>
      <c r="R2677" s="32" t="str">
        <f>IFERROR(VLOOKUP($D2677,'Informations sur les produits'!$A$3:$B$15000,2,FALSE),"")</f>
        <v/>
      </c>
      <c r="V2677">
        <f t="shared" si="166"/>
        <v>0</v>
      </c>
      <c r="W2677">
        <f t="shared" si="167"/>
        <v>0</v>
      </c>
    </row>
    <row r="2678" spans="5:23" x14ac:dyDescent="0.25">
      <c r="E2678" s="4"/>
      <c r="F2678" s="4"/>
      <c r="G2678" s="33" t="str">
        <f>IFERROR(VLOOKUP($D2678,'Informations sur les produits'!$A$3:$H$10000,8,FALSE),"0")</f>
        <v>0</v>
      </c>
      <c r="K2678" s="4"/>
      <c r="L2678" s="33" t="str">
        <f>IFERROR(VLOOKUP($J2678,'Informations sur les produits'!$A$3:$H$10000,8,FALSE),"0")</f>
        <v>0</v>
      </c>
      <c r="N2678" s="8"/>
      <c r="O2678" s="33" t="str">
        <f>IFERROR(VLOOKUP($M2678,'Informations sur les produits'!$A$3:$H$10000,8,FALSE),"0")</f>
        <v>0</v>
      </c>
      <c r="P2678" s="33">
        <f t="shared" si="164"/>
        <v>0</v>
      </c>
      <c r="Q2678" s="31" t="str">
        <f t="shared" si="165"/>
        <v/>
      </c>
      <c r="R2678" s="32" t="str">
        <f>IFERROR(VLOOKUP($D2678,'Informations sur les produits'!$A$3:$B$15000,2,FALSE),"")</f>
        <v/>
      </c>
      <c r="V2678">
        <f t="shared" si="166"/>
        <v>0</v>
      </c>
      <c r="W2678">
        <f t="shared" si="167"/>
        <v>0</v>
      </c>
    </row>
    <row r="2679" spans="5:23" x14ac:dyDescent="0.25">
      <c r="E2679" s="4"/>
      <c r="F2679" s="4"/>
      <c r="G2679" s="33" t="str">
        <f>IFERROR(VLOOKUP($D2679,'Informations sur les produits'!$A$3:$H$10000,8,FALSE),"0")</f>
        <v>0</v>
      </c>
      <c r="K2679" s="4"/>
      <c r="L2679" s="33" t="str">
        <f>IFERROR(VLOOKUP($J2679,'Informations sur les produits'!$A$3:$H$10000,8,FALSE),"0")</f>
        <v>0</v>
      </c>
      <c r="N2679" s="8"/>
      <c r="O2679" s="33" t="str">
        <f>IFERROR(VLOOKUP($M2679,'Informations sur les produits'!$A$3:$H$10000,8,FALSE),"0")</f>
        <v>0</v>
      </c>
      <c r="P2679" s="33">
        <f t="shared" si="164"/>
        <v>0</v>
      </c>
      <c r="Q2679" s="31" t="str">
        <f t="shared" si="165"/>
        <v/>
      </c>
      <c r="R2679" s="32" t="str">
        <f>IFERROR(VLOOKUP($D2679,'Informations sur les produits'!$A$3:$B$15000,2,FALSE),"")</f>
        <v/>
      </c>
      <c r="V2679">
        <f t="shared" si="166"/>
        <v>0</v>
      </c>
      <c r="W2679">
        <f t="shared" si="167"/>
        <v>0</v>
      </c>
    </row>
    <row r="2680" spans="5:23" x14ac:dyDescent="0.25">
      <c r="E2680" s="4"/>
      <c r="F2680" s="4"/>
      <c r="G2680" s="33" t="str">
        <f>IFERROR(VLOOKUP($D2680,'Informations sur les produits'!$A$3:$H$10000,8,FALSE),"0")</f>
        <v>0</v>
      </c>
      <c r="K2680" s="4"/>
      <c r="L2680" s="33" t="str">
        <f>IFERROR(VLOOKUP($J2680,'Informations sur les produits'!$A$3:$H$10000,8,FALSE),"0")</f>
        <v>0</v>
      </c>
      <c r="N2680" s="8"/>
      <c r="O2680" s="33" t="str">
        <f>IFERROR(VLOOKUP($M2680,'Informations sur les produits'!$A$3:$H$10000,8,FALSE),"0")</f>
        <v>0</v>
      </c>
      <c r="P2680" s="33">
        <f t="shared" si="164"/>
        <v>0</v>
      </c>
      <c r="Q2680" s="31" t="str">
        <f t="shared" si="165"/>
        <v/>
      </c>
      <c r="R2680" s="32" t="str">
        <f>IFERROR(VLOOKUP($D2680,'Informations sur les produits'!$A$3:$B$15000,2,FALSE),"")</f>
        <v/>
      </c>
      <c r="V2680">
        <f t="shared" si="166"/>
        <v>0</v>
      </c>
      <c r="W2680">
        <f t="shared" si="167"/>
        <v>0</v>
      </c>
    </row>
    <row r="2681" spans="5:23" x14ac:dyDescent="0.25">
      <c r="E2681" s="4"/>
      <c r="F2681" s="4"/>
      <c r="G2681" s="33" t="str">
        <f>IFERROR(VLOOKUP($D2681,'Informations sur les produits'!$A$3:$H$10000,8,FALSE),"0")</f>
        <v>0</v>
      </c>
      <c r="K2681" s="4"/>
      <c r="L2681" s="33" t="str">
        <f>IFERROR(VLOOKUP($J2681,'Informations sur les produits'!$A$3:$H$10000,8,FALSE),"0")</f>
        <v>0</v>
      </c>
      <c r="N2681" s="8"/>
      <c r="O2681" s="33" t="str">
        <f>IFERROR(VLOOKUP($M2681,'Informations sur les produits'!$A$3:$H$10000,8,FALSE),"0")</f>
        <v>0</v>
      </c>
      <c r="P2681" s="33">
        <f t="shared" si="164"/>
        <v>0</v>
      </c>
      <c r="Q2681" s="31" t="str">
        <f t="shared" si="165"/>
        <v/>
      </c>
      <c r="R2681" s="32" t="str">
        <f>IFERROR(VLOOKUP($D2681,'Informations sur les produits'!$A$3:$B$15000,2,FALSE),"")</f>
        <v/>
      </c>
      <c r="V2681">
        <f t="shared" si="166"/>
        <v>0</v>
      </c>
      <c r="W2681">
        <f t="shared" si="167"/>
        <v>0</v>
      </c>
    </row>
    <row r="2682" spans="5:23" x14ac:dyDescent="0.25">
      <c r="E2682" s="4"/>
      <c r="F2682" s="4"/>
      <c r="G2682" s="33" t="str">
        <f>IFERROR(VLOOKUP($D2682,'Informations sur les produits'!$A$3:$H$10000,8,FALSE),"0")</f>
        <v>0</v>
      </c>
      <c r="K2682" s="4"/>
      <c r="L2682" s="33" t="str">
        <f>IFERROR(VLOOKUP($J2682,'Informations sur les produits'!$A$3:$H$10000,8,FALSE),"0")</f>
        <v>0</v>
      </c>
      <c r="N2682" s="8"/>
      <c r="O2682" s="33" t="str">
        <f>IFERROR(VLOOKUP($M2682,'Informations sur les produits'!$A$3:$H$10000,8,FALSE),"0")</f>
        <v>0</v>
      </c>
      <c r="P2682" s="33">
        <f t="shared" si="164"/>
        <v>0</v>
      </c>
      <c r="Q2682" s="31" t="str">
        <f t="shared" si="165"/>
        <v/>
      </c>
      <c r="R2682" s="32" t="str">
        <f>IFERROR(VLOOKUP($D2682,'Informations sur les produits'!$A$3:$B$15000,2,FALSE),"")</f>
        <v/>
      </c>
      <c r="V2682">
        <f t="shared" si="166"/>
        <v>0</v>
      </c>
      <c r="W2682">
        <f t="shared" si="167"/>
        <v>0</v>
      </c>
    </row>
    <row r="2683" spans="5:23" x14ac:dyDescent="0.25">
      <c r="E2683" s="4"/>
      <c r="F2683" s="4"/>
      <c r="G2683" s="33" t="str">
        <f>IFERROR(VLOOKUP($D2683,'Informations sur les produits'!$A$3:$H$10000,8,FALSE),"0")</f>
        <v>0</v>
      </c>
      <c r="K2683" s="4"/>
      <c r="L2683" s="33" t="str">
        <f>IFERROR(VLOOKUP($J2683,'Informations sur les produits'!$A$3:$H$10000,8,FALSE),"0")</f>
        <v>0</v>
      </c>
      <c r="N2683" s="8"/>
      <c r="O2683" s="33" t="str">
        <f>IFERROR(VLOOKUP($M2683,'Informations sur les produits'!$A$3:$H$10000,8,FALSE),"0")</f>
        <v>0</v>
      </c>
      <c r="P2683" s="33">
        <f t="shared" si="164"/>
        <v>0</v>
      </c>
      <c r="Q2683" s="31" t="str">
        <f t="shared" si="165"/>
        <v/>
      </c>
      <c r="R2683" s="32" t="str">
        <f>IFERROR(VLOOKUP($D2683,'Informations sur les produits'!$A$3:$B$15000,2,FALSE),"")</f>
        <v/>
      </c>
      <c r="V2683">
        <f t="shared" si="166"/>
        <v>0</v>
      </c>
      <c r="W2683">
        <f t="shared" si="167"/>
        <v>0</v>
      </c>
    </row>
    <row r="2684" spans="5:23" x14ac:dyDescent="0.25">
      <c r="E2684" s="4"/>
      <c r="F2684" s="4"/>
      <c r="G2684" s="33" t="str">
        <f>IFERROR(VLOOKUP($D2684,'Informations sur les produits'!$A$3:$H$10000,8,FALSE),"0")</f>
        <v>0</v>
      </c>
      <c r="K2684" s="4"/>
      <c r="L2684" s="33" t="str">
        <f>IFERROR(VLOOKUP($J2684,'Informations sur les produits'!$A$3:$H$10000,8,FALSE),"0")</f>
        <v>0</v>
      </c>
      <c r="N2684" s="8"/>
      <c r="O2684" s="33" t="str">
        <f>IFERROR(VLOOKUP($M2684,'Informations sur les produits'!$A$3:$H$10000,8,FALSE),"0")</f>
        <v>0</v>
      </c>
      <c r="P2684" s="33">
        <f t="shared" si="164"/>
        <v>0</v>
      </c>
      <c r="Q2684" s="31" t="str">
        <f t="shared" si="165"/>
        <v/>
      </c>
      <c r="R2684" s="32" t="str">
        <f>IFERROR(VLOOKUP($D2684,'Informations sur les produits'!$A$3:$B$15000,2,FALSE),"")</f>
        <v/>
      </c>
      <c r="V2684">
        <f t="shared" si="166"/>
        <v>0</v>
      </c>
      <c r="W2684">
        <f t="shared" si="167"/>
        <v>0</v>
      </c>
    </row>
    <row r="2685" spans="5:23" x14ac:dyDescent="0.25">
      <c r="E2685" s="4"/>
      <c r="F2685" s="4"/>
      <c r="G2685" s="33" t="str">
        <f>IFERROR(VLOOKUP($D2685,'Informations sur les produits'!$A$3:$H$10000,8,FALSE),"0")</f>
        <v>0</v>
      </c>
      <c r="K2685" s="4"/>
      <c r="L2685" s="33" t="str">
        <f>IFERROR(VLOOKUP($J2685,'Informations sur les produits'!$A$3:$H$10000,8,FALSE),"0")</f>
        <v>0</v>
      </c>
      <c r="N2685" s="8"/>
      <c r="O2685" s="33" t="str">
        <f>IFERROR(VLOOKUP($M2685,'Informations sur les produits'!$A$3:$H$10000,8,FALSE),"0")</f>
        <v>0</v>
      </c>
      <c r="P2685" s="33">
        <f t="shared" si="164"/>
        <v>0</v>
      </c>
      <c r="Q2685" s="31" t="str">
        <f t="shared" si="165"/>
        <v/>
      </c>
      <c r="R2685" s="32" t="str">
        <f>IFERROR(VLOOKUP($D2685,'Informations sur les produits'!$A$3:$B$15000,2,FALSE),"")</f>
        <v/>
      </c>
      <c r="V2685">
        <f t="shared" si="166"/>
        <v>0</v>
      </c>
      <c r="W2685">
        <f t="shared" si="167"/>
        <v>0</v>
      </c>
    </row>
    <row r="2686" spans="5:23" x14ac:dyDescent="0.25">
      <c r="E2686" s="4"/>
      <c r="F2686" s="4"/>
      <c r="G2686" s="33" t="str">
        <f>IFERROR(VLOOKUP($D2686,'Informations sur les produits'!$A$3:$H$10000,8,FALSE),"0")</f>
        <v>0</v>
      </c>
      <c r="K2686" s="4"/>
      <c r="L2686" s="33" t="str">
        <f>IFERROR(VLOOKUP($J2686,'Informations sur les produits'!$A$3:$H$10000,8,FALSE),"0")</f>
        <v>0</v>
      </c>
      <c r="N2686" s="8"/>
      <c r="O2686" s="33" t="str">
        <f>IFERROR(VLOOKUP($M2686,'Informations sur les produits'!$A$3:$H$10000,8,FALSE),"0")</f>
        <v>0</v>
      </c>
      <c r="P2686" s="33">
        <f t="shared" si="164"/>
        <v>0</v>
      </c>
      <c r="Q2686" s="31" t="str">
        <f t="shared" si="165"/>
        <v/>
      </c>
      <c r="R2686" s="32" t="str">
        <f>IFERROR(VLOOKUP($D2686,'Informations sur les produits'!$A$3:$B$15000,2,FALSE),"")</f>
        <v/>
      </c>
      <c r="V2686">
        <f t="shared" si="166"/>
        <v>0</v>
      </c>
      <c r="W2686">
        <f t="shared" si="167"/>
        <v>0</v>
      </c>
    </row>
    <row r="2687" spans="5:23" x14ac:dyDescent="0.25">
      <c r="E2687" s="4"/>
      <c r="F2687" s="4"/>
      <c r="G2687" s="33" t="str">
        <f>IFERROR(VLOOKUP($D2687,'Informations sur les produits'!$A$3:$H$10000,8,FALSE),"0")</f>
        <v>0</v>
      </c>
      <c r="K2687" s="4"/>
      <c r="L2687" s="33" t="str">
        <f>IFERROR(VLOOKUP($J2687,'Informations sur les produits'!$A$3:$H$10000,8,FALSE),"0")</f>
        <v>0</v>
      </c>
      <c r="N2687" s="8"/>
      <c r="O2687" s="33" t="str">
        <f>IFERROR(VLOOKUP($M2687,'Informations sur les produits'!$A$3:$H$10000,8,FALSE),"0")</f>
        <v>0</v>
      </c>
      <c r="P2687" s="33">
        <f t="shared" si="164"/>
        <v>0</v>
      </c>
      <c r="Q2687" s="31" t="str">
        <f t="shared" si="165"/>
        <v/>
      </c>
      <c r="R2687" s="32" t="str">
        <f>IFERROR(VLOOKUP($D2687,'Informations sur les produits'!$A$3:$B$15000,2,FALSE),"")</f>
        <v/>
      </c>
      <c r="V2687">
        <f t="shared" si="166"/>
        <v>0</v>
      </c>
      <c r="W2687">
        <f t="shared" si="167"/>
        <v>0</v>
      </c>
    </row>
    <row r="2688" spans="5:23" x14ac:dyDescent="0.25">
      <c r="E2688" s="4"/>
      <c r="F2688" s="4"/>
      <c r="G2688" s="33" t="str">
        <f>IFERROR(VLOOKUP($D2688,'Informations sur les produits'!$A$3:$H$10000,8,FALSE),"0")</f>
        <v>0</v>
      </c>
      <c r="K2688" s="4"/>
      <c r="L2688" s="33" t="str">
        <f>IFERROR(VLOOKUP($J2688,'Informations sur les produits'!$A$3:$H$10000,8,FALSE),"0")</f>
        <v>0</v>
      </c>
      <c r="N2688" s="8"/>
      <c r="O2688" s="33" t="str">
        <f>IFERROR(VLOOKUP($M2688,'Informations sur les produits'!$A$3:$H$10000,8,FALSE),"0")</f>
        <v>0</v>
      </c>
      <c r="P2688" s="33">
        <f t="shared" si="164"/>
        <v>0</v>
      </c>
      <c r="Q2688" s="31" t="str">
        <f t="shared" si="165"/>
        <v/>
      </c>
      <c r="R2688" s="32" t="str">
        <f>IFERROR(VLOOKUP($D2688,'Informations sur les produits'!$A$3:$B$15000,2,FALSE),"")</f>
        <v/>
      </c>
      <c r="V2688">
        <f t="shared" si="166"/>
        <v>0</v>
      </c>
      <c r="W2688">
        <f t="shared" si="167"/>
        <v>0</v>
      </c>
    </row>
    <row r="2689" spans="5:23" x14ac:dyDescent="0.25">
      <c r="E2689" s="4"/>
      <c r="F2689" s="4"/>
      <c r="G2689" s="33" t="str">
        <f>IFERROR(VLOOKUP($D2689,'Informations sur les produits'!$A$3:$H$10000,8,FALSE),"0")</f>
        <v>0</v>
      </c>
      <c r="K2689" s="4"/>
      <c r="L2689" s="33" t="str">
        <f>IFERROR(VLOOKUP($J2689,'Informations sur les produits'!$A$3:$H$10000,8,FALSE),"0")</f>
        <v>0</v>
      </c>
      <c r="N2689" s="8"/>
      <c r="O2689" s="33" t="str">
        <f>IFERROR(VLOOKUP($M2689,'Informations sur les produits'!$A$3:$H$10000,8,FALSE),"0")</f>
        <v>0</v>
      </c>
      <c r="P2689" s="33">
        <f t="shared" si="164"/>
        <v>0</v>
      </c>
      <c r="Q2689" s="31" t="str">
        <f t="shared" si="165"/>
        <v/>
      </c>
      <c r="R2689" s="32" t="str">
        <f>IFERROR(VLOOKUP($D2689,'Informations sur les produits'!$A$3:$B$15000,2,FALSE),"")</f>
        <v/>
      </c>
      <c r="V2689">
        <f t="shared" si="166"/>
        <v>0</v>
      </c>
      <c r="W2689">
        <f t="shared" si="167"/>
        <v>0</v>
      </c>
    </row>
    <row r="2690" spans="5:23" x14ac:dyDescent="0.25">
      <c r="E2690" s="4"/>
      <c r="F2690" s="4"/>
      <c r="G2690" s="33" t="str">
        <f>IFERROR(VLOOKUP($D2690,'Informations sur les produits'!$A$3:$H$10000,8,FALSE),"0")</f>
        <v>0</v>
      </c>
      <c r="K2690" s="4"/>
      <c r="L2690" s="33" t="str">
        <f>IFERROR(VLOOKUP($J2690,'Informations sur les produits'!$A$3:$H$10000,8,FALSE),"0")</f>
        <v>0</v>
      </c>
      <c r="N2690" s="8"/>
      <c r="O2690" s="33" t="str">
        <f>IFERROR(VLOOKUP($M2690,'Informations sur les produits'!$A$3:$H$10000,8,FALSE),"0")</f>
        <v>0</v>
      </c>
      <c r="P2690" s="33">
        <f t="shared" si="164"/>
        <v>0</v>
      </c>
      <c r="Q2690" s="31" t="str">
        <f t="shared" si="165"/>
        <v/>
      </c>
      <c r="R2690" s="32" t="str">
        <f>IFERROR(VLOOKUP($D2690,'Informations sur les produits'!$A$3:$B$15000,2,FALSE),"")</f>
        <v/>
      </c>
      <c r="V2690">
        <f t="shared" si="166"/>
        <v>0</v>
      </c>
      <c r="W2690">
        <f t="shared" si="167"/>
        <v>0</v>
      </c>
    </row>
    <row r="2691" spans="5:23" x14ac:dyDescent="0.25">
      <c r="E2691" s="4"/>
      <c r="F2691" s="4"/>
      <c r="G2691" s="33" t="str">
        <f>IFERROR(VLOOKUP($D2691,'Informations sur les produits'!$A$3:$H$10000,8,FALSE),"0")</f>
        <v>0</v>
      </c>
      <c r="K2691" s="4"/>
      <c r="L2691" s="33" t="str">
        <f>IFERROR(VLOOKUP($J2691,'Informations sur les produits'!$A$3:$H$10000,8,FALSE),"0")</f>
        <v>0</v>
      </c>
      <c r="N2691" s="8"/>
      <c r="O2691" s="33" t="str">
        <f>IFERROR(VLOOKUP($M2691,'Informations sur les produits'!$A$3:$H$10000,8,FALSE),"0")</f>
        <v>0</v>
      </c>
      <c r="P2691" s="33">
        <f t="shared" si="164"/>
        <v>0</v>
      </c>
      <c r="Q2691" s="31" t="str">
        <f t="shared" si="165"/>
        <v/>
      </c>
      <c r="R2691" s="32" t="str">
        <f>IFERROR(VLOOKUP($D2691,'Informations sur les produits'!$A$3:$B$15000,2,FALSE),"")</f>
        <v/>
      </c>
      <c r="V2691">
        <f t="shared" si="166"/>
        <v>0</v>
      </c>
      <c r="W2691">
        <f t="shared" si="167"/>
        <v>0</v>
      </c>
    </row>
    <row r="2692" spans="5:23" x14ac:dyDescent="0.25">
      <c r="E2692" s="4"/>
      <c r="F2692" s="4"/>
      <c r="G2692" s="33" t="str">
        <f>IFERROR(VLOOKUP($D2692,'Informations sur les produits'!$A$3:$H$10000,8,FALSE),"0")</f>
        <v>0</v>
      </c>
      <c r="K2692" s="4"/>
      <c r="L2692" s="33" t="str">
        <f>IFERROR(VLOOKUP($J2692,'Informations sur les produits'!$A$3:$H$10000,8,FALSE),"0")</f>
        <v>0</v>
      </c>
      <c r="N2692" s="8"/>
      <c r="O2692" s="33" t="str">
        <f>IFERROR(VLOOKUP($M2692,'Informations sur les produits'!$A$3:$H$10000,8,FALSE),"0")</f>
        <v>0</v>
      </c>
      <c r="P2692" s="33">
        <f t="shared" ref="P2692:P2755" si="168">IFERROR((($E2692-$F2692)*$G2692+$K2692*$L2692+$N2692*$O2692),"")</f>
        <v>0</v>
      </c>
      <c r="Q2692" s="31" t="str">
        <f t="shared" ref="Q2692:Q2755" si="169">IFERROR((((($E2692-$F2692)*$G2692+$K2692*$L2692+$N2692*$O2692)*1000)/(($E2692-$F2692)+$K2692+$N2692)),"")</f>
        <v/>
      </c>
      <c r="R2692" s="32" t="str">
        <f>IFERROR(VLOOKUP($D2692,'Informations sur les produits'!$A$3:$B$15000,2,FALSE),"")</f>
        <v/>
      </c>
      <c r="V2692">
        <f t="shared" ref="V2692:V2755" si="170">IFERROR(P2692*1000,"")</f>
        <v>0</v>
      </c>
      <c r="W2692">
        <f t="shared" ref="W2692:W2755" si="171">IFERROR(($E2692-$F2692)+$K2692+$N2692,"")</f>
        <v>0</v>
      </c>
    </row>
    <row r="2693" spans="5:23" x14ac:dyDescent="0.25">
      <c r="E2693" s="4"/>
      <c r="F2693" s="4"/>
      <c r="G2693" s="33" t="str">
        <f>IFERROR(VLOOKUP($D2693,'Informations sur les produits'!$A$3:$H$10000,8,FALSE),"0")</f>
        <v>0</v>
      </c>
      <c r="K2693" s="4"/>
      <c r="L2693" s="33" t="str">
        <f>IFERROR(VLOOKUP($J2693,'Informations sur les produits'!$A$3:$H$10000,8,FALSE),"0")</f>
        <v>0</v>
      </c>
      <c r="N2693" s="8"/>
      <c r="O2693" s="33" t="str">
        <f>IFERROR(VLOOKUP($M2693,'Informations sur les produits'!$A$3:$H$10000,8,FALSE),"0")</f>
        <v>0</v>
      </c>
      <c r="P2693" s="33">
        <f t="shared" si="168"/>
        <v>0</v>
      </c>
      <c r="Q2693" s="31" t="str">
        <f t="shared" si="169"/>
        <v/>
      </c>
      <c r="R2693" s="32" t="str">
        <f>IFERROR(VLOOKUP($D2693,'Informations sur les produits'!$A$3:$B$15000,2,FALSE),"")</f>
        <v/>
      </c>
      <c r="V2693">
        <f t="shared" si="170"/>
        <v>0</v>
      </c>
      <c r="W2693">
        <f t="shared" si="171"/>
        <v>0</v>
      </c>
    </row>
    <row r="2694" spans="5:23" x14ac:dyDescent="0.25">
      <c r="E2694" s="4"/>
      <c r="F2694" s="4"/>
      <c r="G2694" s="33" t="str">
        <f>IFERROR(VLOOKUP($D2694,'Informations sur les produits'!$A$3:$H$10000,8,FALSE),"0")</f>
        <v>0</v>
      </c>
      <c r="K2694" s="4"/>
      <c r="L2694" s="33" t="str">
        <f>IFERROR(VLOOKUP($J2694,'Informations sur les produits'!$A$3:$H$10000,8,FALSE),"0")</f>
        <v>0</v>
      </c>
      <c r="N2694" s="8"/>
      <c r="O2694" s="33" t="str">
        <f>IFERROR(VLOOKUP($M2694,'Informations sur les produits'!$A$3:$H$10000,8,FALSE),"0")</f>
        <v>0</v>
      </c>
      <c r="P2694" s="33">
        <f t="shared" si="168"/>
        <v>0</v>
      </c>
      <c r="Q2694" s="31" t="str">
        <f t="shared" si="169"/>
        <v/>
      </c>
      <c r="R2694" s="32" t="str">
        <f>IFERROR(VLOOKUP($D2694,'Informations sur les produits'!$A$3:$B$15000,2,FALSE),"")</f>
        <v/>
      </c>
      <c r="V2694">
        <f t="shared" si="170"/>
        <v>0</v>
      </c>
      <c r="W2694">
        <f t="shared" si="171"/>
        <v>0</v>
      </c>
    </row>
    <row r="2695" spans="5:23" x14ac:dyDescent="0.25">
      <c r="E2695" s="4"/>
      <c r="F2695" s="4"/>
      <c r="G2695" s="33" t="str">
        <f>IFERROR(VLOOKUP($D2695,'Informations sur les produits'!$A$3:$H$10000,8,FALSE),"0")</f>
        <v>0</v>
      </c>
      <c r="K2695" s="4"/>
      <c r="L2695" s="33" t="str">
        <f>IFERROR(VLOOKUP($J2695,'Informations sur les produits'!$A$3:$H$10000,8,FALSE),"0")</f>
        <v>0</v>
      </c>
      <c r="N2695" s="8"/>
      <c r="O2695" s="33" t="str">
        <f>IFERROR(VLOOKUP($M2695,'Informations sur les produits'!$A$3:$H$10000,8,FALSE),"0")</f>
        <v>0</v>
      </c>
      <c r="P2695" s="33">
        <f t="shared" si="168"/>
        <v>0</v>
      </c>
      <c r="Q2695" s="31" t="str">
        <f t="shared" si="169"/>
        <v/>
      </c>
      <c r="R2695" s="32" t="str">
        <f>IFERROR(VLOOKUP($D2695,'Informations sur les produits'!$A$3:$B$15000,2,FALSE),"")</f>
        <v/>
      </c>
      <c r="V2695">
        <f t="shared" si="170"/>
        <v>0</v>
      </c>
      <c r="W2695">
        <f t="shared" si="171"/>
        <v>0</v>
      </c>
    </row>
    <row r="2696" spans="5:23" x14ac:dyDescent="0.25">
      <c r="E2696" s="4"/>
      <c r="F2696" s="4"/>
      <c r="G2696" s="33" t="str">
        <f>IFERROR(VLOOKUP($D2696,'Informations sur les produits'!$A$3:$H$10000,8,FALSE),"0")</f>
        <v>0</v>
      </c>
      <c r="K2696" s="4"/>
      <c r="L2696" s="33" t="str">
        <f>IFERROR(VLOOKUP($J2696,'Informations sur les produits'!$A$3:$H$10000,8,FALSE),"0")</f>
        <v>0</v>
      </c>
      <c r="N2696" s="8"/>
      <c r="O2696" s="33" t="str">
        <f>IFERROR(VLOOKUP($M2696,'Informations sur les produits'!$A$3:$H$10000,8,FALSE),"0")</f>
        <v>0</v>
      </c>
      <c r="P2696" s="33">
        <f t="shared" si="168"/>
        <v>0</v>
      </c>
      <c r="Q2696" s="31" t="str">
        <f t="shared" si="169"/>
        <v/>
      </c>
      <c r="R2696" s="32" t="str">
        <f>IFERROR(VLOOKUP($D2696,'Informations sur les produits'!$A$3:$B$15000,2,FALSE),"")</f>
        <v/>
      </c>
      <c r="V2696">
        <f t="shared" si="170"/>
        <v>0</v>
      </c>
      <c r="W2696">
        <f t="shared" si="171"/>
        <v>0</v>
      </c>
    </row>
    <row r="2697" spans="5:23" x14ac:dyDescent="0.25">
      <c r="E2697" s="4"/>
      <c r="F2697" s="4"/>
      <c r="G2697" s="33" t="str">
        <f>IFERROR(VLOOKUP($D2697,'Informations sur les produits'!$A$3:$H$10000,8,FALSE),"0")</f>
        <v>0</v>
      </c>
      <c r="K2697" s="4"/>
      <c r="L2697" s="33" t="str">
        <f>IFERROR(VLOOKUP($J2697,'Informations sur les produits'!$A$3:$H$10000,8,FALSE),"0")</f>
        <v>0</v>
      </c>
      <c r="N2697" s="8"/>
      <c r="O2697" s="33" t="str">
        <f>IFERROR(VLOOKUP($M2697,'Informations sur les produits'!$A$3:$H$10000,8,FALSE),"0")</f>
        <v>0</v>
      </c>
      <c r="P2697" s="33">
        <f t="shared" si="168"/>
        <v>0</v>
      </c>
      <c r="Q2697" s="31" t="str">
        <f t="shared" si="169"/>
        <v/>
      </c>
      <c r="R2697" s="32" t="str">
        <f>IFERROR(VLOOKUP($D2697,'Informations sur les produits'!$A$3:$B$15000,2,FALSE),"")</f>
        <v/>
      </c>
      <c r="V2697">
        <f t="shared" si="170"/>
        <v>0</v>
      </c>
      <c r="W2697">
        <f t="shared" si="171"/>
        <v>0</v>
      </c>
    </row>
    <row r="2698" spans="5:23" x14ac:dyDescent="0.25">
      <c r="E2698" s="4"/>
      <c r="F2698" s="4"/>
      <c r="G2698" s="33" t="str">
        <f>IFERROR(VLOOKUP($D2698,'Informations sur les produits'!$A$3:$H$10000,8,FALSE),"0")</f>
        <v>0</v>
      </c>
      <c r="K2698" s="4"/>
      <c r="L2698" s="33" t="str">
        <f>IFERROR(VLOOKUP($J2698,'Informations sur les produits'!$A$3:$H$10000,8,FALSE),"0")</f>
        <v>0</v>
      </c>
      <c r="N2698" s="8"/>
      <c r="O2698" s="33" t="str">
        <f>IFERROR(VLOOKUP($M2698,'Informations sur les produits'!$A$3:$H$10000,8,FALSE),"0")</f>
        <v>0</v>
      </c>
      <c r="P2698" s="33">
        <f t="shared" si="168"/>
        <v>0</v>
      </c>
      <c r="Q2698" s="31" t="str">
        <f t="shared" si="169"/>
        <v/>
      </c>
      <c r="R2698" s="32" t="str">
        <f>IFERROR(VLOOKUP($D2698,'Informations sur les produits'!$A$3:$B$15000,2,FALSE),"")</f>
        <v/>
      </c>
      <c r="V2698">
        <f t="shared" si="170"/>
        <v>0</v>
      </c>
      <c r="W2698">
        <f t="shared" si="171"/>
        <v>0</v>
      </c>
    </row>
    <row r="2699" spans="5:23" x14ac:dyDescent="0.25">
      <c r="E2699" s="4"/>
      <c r="F2699" s="4"/>
      <c r="G2699" s="33" t="str">
        <f>IFERROR(VLOOKUP($D2699,'Informations sur les produits'!$A$3:$H$10000,8,FALSE),"0")</f>
        <v>0</v>
      </c>
      <c r="K2699" s="4"/>
      <c r="L2699" s="33" t="str">
        <f>IFERROR(VLOOKUP($J2699,'Informations sur les produits'!$A$3:$H$10000,8,FALSE),"0")</f>
        <v>0</v>
      </c>
      <c r="N2699" s="8"/>
      <c r="O2699" s="33" t="str">
        <f>IFERROR(VLOOKUP($M2699,'Informations sur les produits'!$A$3:$H$10000,8,FALSE),"0")</f>
        <v>0</v>
      </c>
      <c r="P2699" s="33">
        <f t="shared" si="168"/>
        <v>0</v>
      </c>
      <c r="Q2699" s="31" t="str">
        <f t="shared" si="169"/>
        <v/>
      </c>
      <c r="R2699" s="32" t="str">
        <f>IFERROR(VLOOKUP($D2699,'Informations sur les produits'!$A$3:$B$15000,2,FALSE),"")</f>
        <v/>
      </c>
      <c r="V2699">
        <f t="shared" si="170"/>
        <v>0</v>
      </c>
      <c r="W2699">
        <f t="shared" si="171"/>
        <v>0</v>
      </c>
    </row>
    <row r="2700" spans="5:23" x14ac:dyDescent="0.25">
      <c r="E2700" s="4"/>
      <c r="F2700" s="4"/>
      <c r="G2700" s="33" t="str">
        <f>IFERROR(VLOOKUP($D2700,'Informations sur les produits'!$A$3:$H$10000,8,FALSE),"0")</f>
        <v>0</v>
      </c>
      <c r="K2700" s="4"/>
      <c r="L2700" s="33" t="str">
        <f>IFERROR(VLOOKUP($J2700,'Informations sur les produits'!$A$3:$H$10000,8,FALSE),"0")</f>
        <v>0</v>
      </c>
      <c r="N2700" s="8"/>
      <c r="O2700" s="33" t="str">
        <f>IFERROR(VLOOKUP($M2700,'Informations sur les produits'!$A$3:$H$10000,8,FALSE),"0")</f>
        <v>0</v>
      </c>
      <c r="P2700" s="33">
        <f t="shared" si="168"/>
        <v>0</v>
      </c>
      <c r="Q2700" s="31" t="str">
        <f t="shared" si="169"/>
        <v/>
      </c>
      <c r="R2700" s="32" t="str">
        <f>IFERROR(VLOOKUP($D2700,'Informations sur les produits'!$A$3:$B$15000,2,FALSE),"")</f>
        <v/>
      </c>
      <c r="V2700">
        <f t="shared" si="170"/>
        <v>0</v>
      </c>
      <c r="W2700">
        <f t="shared" si="171"/>
        <v>0</v>
      </c>
    </row>
    <row r="2701" spans="5:23" x14ac:dyDescent="0.25">
      <c r="E2701" s="4"/>
      <c r="F2701" s="4"/>
      <c r="G2701" s="33" t="str">
        <f>IFERROR(VLOOKUP($D2701,'Informations sur les produits'!$A$3:$H$10000,8,FALSE),"0")</f>
        <v>0</v>
      </c>
      <c r="K2701" s="4"/>
      <c r="L2701" s="33" t="str">
        <f>IFERROR(VLOOKUP($J2701,'Informations sur les produits'!$A$3:$H$10000,8,FALSE),"0")</f>
        <v>0</v>
      </c>
      <c r="N2701" s="8"/>
      <c r="O2701" s="33" t="str">
        <f>IFERROR(VLOOKUP($M2701,'Informations sur les produits'!$A$3:$H$10000,8,FALSE),"0")</f>
        <v>0</v>
      </c>
      <c r="P2701" s="33">
        <f t="shared" si="168"/>
        <v>0</v>
      </c>
      <c r="Q2701" s="31" t="str">
        <f t="shared" si="169"/>
        <v/>
      </c>
      <c r="R2701" s="32" t="str">
        <f>IFERROR(VLOOKUP($D2701,'Informations sur les produits'!$A$3:$B$15000,2,FALSE),"")</f>
        <v/>
      </c>
      <c r="V2701">
        <f t="shared" si="170"/>
        <v>0</v>
      </c>
      <c r="W2701">
        <f t="shared" si="171"/>
        <v>0</v>
      </c>
    </row>
    <row r="2702" spans="5:23" x14ac:dyDescent="0.25">
      <c r="E2702" s="4"/>
      <c r="F2702" s="4"/>
      <c r="G2702" s="33" t="str">
        <f>IFERROR(VLOOKUP($D2702,'Informations sur les produits'!$A$3:$H$10000,8,FALSE),"0")</f>
        <v>0</v>
      </c>
      <c r="K2702" s="4"/>
      <c r="L2702" s="33" t="str">
        <f>IFERROR(VLOOKUP($J2702,'Informations sur les produits'!$A$3:$H$10000,8,FALSE),"0")</f>
        <v>0</v>
      </c>
      <c r="N2702" s="8"/>
      <c r="O2702" s="33" t="str">
        <f>IFERROR(VLOOKUP($M2702,'Informations sur les produits'!$A$3:$H$10000,8,FALSE),"0")</f>
        <v>0</v>
      </c>
      <c r="P2702" s="33">
        <f t="shared" si="168"/>
        <v>0</v>
      </c>
      <c r="Q2702" s="31" t="str">
        <f t="shared" si="169"/>
        <v/>
      </c>
      <c r="R2702" s="32" t="str">
        <f>IFERROR(VLOOKUP($D2702,'Informations sur les produits'!$A$3:$B$15000,2,FALSE),"")</f>
        <v/>
      </c>
      <c r="V2702">
        <f t="shared" si="170"/>
        <v>0</v>
      </c>
      <c r="W2702">
        <f t="shared" si="171"/>
        <v>0</v>
      </c>
    </row>
    <row r="2703" spans="5:23" x14ac:dyDescent="0.25">
      <c r="E2703" s="4"/>
      <c r="F2703" s="4"/>
      <c r="G2703" s="33" t="str">
        <f>IFERROR(VLOOKUP($D2703,'Informations sur les produits'!$A$3:$H$10000,8,FALSE),"0")</f>
        <v>0</v>
      </c>
      <c r="K2703" s="4"/>
      <c r="L2703" s="33" t="str">
        <f>IFERROR(VLOOKUP($J2703,'Informations sur les produits'!$A$3:$H$10000,8,FALSE),"0")</f>
        <v>0</v>
      </c>
      <c r="N2703" s="8"/>
      <c r="O2703" s="33" t="str">
        <f>IFERROR(VLOOKUP($M2703,'Informations sur les produits'!$A$3:$H$10000,8,FALSE),"0")</f>
        <v>0</v>
      </c>
      <c r="P2703" s="33">
        <f t="shared" si="168"/>
        <v>0</v>
      </c>
      <c r="Q2703" s="31" t="str">
        <f t="shared" si="169"/>
        <v/>
      </c>
      <c r="R2703" s="32" t="str">
        <f>IFERROR(VLOOKUP($D2703,'Informations sur les produits'!$A$3:$B$15000,2,FALSE),"")</f>
        <v/>
      </c>
      <c r="V2703">
        <f t="shared" si="170"/>
        <v>0</v>
      </c>
      <c r="W2703">
        <f t="shared" si="171"/>
        <v>0</v>
      </c>
    </row>
    <row r="2704" spans="5:23" x14ac:dyDescent="0.25">
      <c r="E2704" s="4"/>
      <c r="F2704" s="4"/>
      <c r="G2704" s="33" t="str">
        <f>IFERROR(VLOOKUP($D2704,'Informations sur les produits'!$A$3:$H$10000,8,FALSE),"0")</f>
        <v>0</v>
      </c>
      <c r="K2704" s="4"/>
      <c r="L2704" s="33" t="str">
        <f>IFERROR(VLOOKUP($J2704,'Informations sur les produits'!$A$3:$H$10000,8,FALSE),"0")</f>
        <v>0</v>
      </c>
      <c r="N2704" s="8"/>
      <c r="O2704" s="33" t="str">
        <f>IFERROR(VLOOKUP($M2704,'Informations sur les produits'!$A$3:$H$10000,8,FALSE),"0")</f>
        <v>0</v>
      </c>
      <c r="P2704" s="33">
        <f t="shared" si="168"/>
        <v>0</v>
      </c>
      <c r="Q2704" s="31" t="str">
        <f t="shared" si="169"/>
        <v/>
      </c>
      <c r="R2704" s="32" t="str">
        <f>IFERROR(VLOOKUP($D2704,'Informations sur les produits'!$A$3:$B$15000,2,FALSE),"")</f>
        <v/>
      </c>
      <c r="V2704">
        <f t="shared" si="170"/>
        <v>0</v>
      </c>
      <c r="W2704">
        <f t="shared" si="171"/>
        <v>0</v>
      </c>
    </row>
    <row r="2705" spans="5:23" x14ac:dyDescent="0.25">
      <c r="E2705" s="4"/>
      <c r="F2705" s="4"/>
      <c r="G2705" s="33" t="str">
        <f>IFERROR(VLOOKUP($D2705,'Informations sur les produits'!$A$3:$H$10000,8,FALSE),"0")</f>
        <v>0</v>
      </c>
      <c r="K2705" s="4"/>
      <c r="L2705" s="33" t="str">
        <f>IFERROR(VLOOKUP($J2705,'Informations sur les produits'!$A$3:$H$10000,8,FALSE),"0")</f>
        <v>0</v>
      </c>
      <c r="N2705" s="8"/>
      <c r="O2705" s="33" t="str">
        <f>IFERROR(VLOOKUP($M2705,'Informations sur les produits'!$A$3:$H$10000,8,FALSE),"0")</f>
        <v>0</v>
      </c>
      <c r="P2705" s="33">
        <f t="shared" si="168"/>
        <v>0</v>
      </c>
      <c r="Q2705" s="31" t="str">
        <f t="shared" si="169"/>
        <v/>
      </c>
      <c r="R2705" s="32" t="str">
        <f>IFERROR(VLOOKUP($D2705,'Informations sur les produits'!$A$3:$B$15000,2,FALSE),"")</f>
        <v/>
      </c>
      <c r="V2705">
        <f t="shared" si="170"/>
        <v>0</v>
      </c>
      <c r="W2705">
        <f t="shared" si="171"/>
        <v>0</v>
      </c>
    </row>
    <row r="2706" spans="5:23" x14ac:dyDescent="0.25">
      <c r="E2706" s="4"/>
      <c r="F2706" s="4"/>
      <c r="G2706" s="33" t="str">
        <f>IFERROR(VLOOKUP($D2706,'Informations sur les produits'!$A$3:$H$10000,8,FALSE),"0")</f>
        <v>0</v>
      </c>
      <c r="K2706" s="4"/>
      <c r="L2706" s="33" t="str">
        <f>IFERROR(VLOOKUP($J2706,'Informations sur les produits'!$A$3:$H$10000,8,FALSE),"0")</f>
        <v>0</v>
      </c>
      <c r="N2706" s="8"/>
      <c r="O2706" s="33" t="str">
        <f>IFERROR(VLOOKUP($M2706,'Informations sur les produits'!$A$3:$H$10000,8,FALSE),"0")</f>
        <v>0</v>
      </c>
      <c r="P2706" s="33">
        <f t="shared" si="168"/>
        <v>0</v>
      </c>
      <c r="Q2706" s="31" t="str">
        <f t="shared" si="169"/>
        <v/>
      </c>
      <c r="R2706" s="32" t="str">
        <f>IFERROR(VLOOKUP($D2706,'Informations sur les produits'!$A$3:$B$15000,2,FALSE),"")</f>
        <v/>
      </c>
      <c r="V2706">
        <f t="shared" si="170"/>
        <v>0</v>
      </c>
      <c r="W2706">
        <f t="shared" si="171"/>
        <v>0</v>
      </c>
    </row>
    <row r="2707" spans="5:23" x14ac:dyDescent="0.25">
      <c r="E2707" s="4"/>
      <c r="F2707" s="4"/>
      <c r="G2707" s="33" t="str">
        <f>IFERROR(VLOOKUP($D2707,'Informations sur les produits'!$A$3:$H$10000,8,FALSE),"0")</f>
        <v>0</v>
      </c>
      <c r="K2707" s="4"/>
      <c r="L2707" s="33" t="str">
        <f>IFERROR(VLOOKUP($J2707,'Informations sur les produits'!$A$3:$H$10000,8,FALSE),"0")</f>
        <v>0</v>
      </c>
      <c r="N2707" s="8"/>
      <c r="O2707" s="33" t="str">
        <f>IFERROR(VLOOKUP($M2707,'Informations sur les produits'!$A$3:$H$10000,8,FALSE),"0")</f>
        <v>0</v>
      </c>
      <c r="P2707" s="33">
        <f t="shared" si="168"/>
        <v>0</v>
      </c>
      <c r="Q2707" s="31" t="str">
        <f t="shared" si="169"/>
        <v/>
      </c>
      <c r="R2707" s="32" t="str">
        <f>IFERROR(VLOOKUP($D2707,'Informations sur les produits'!$A$3:$B$15000,2,FALSE),"")</f>
        <v/>
      </c>
      <c r="V2707">
        <f t="shared" si="170"/>
        <v>0</v>
      </c>
      <c r="W2707">
        <f t="shared" si="171"/>
        <v>0</v>
      </c>
    </row>
    <row r="2708" spans="5:23" x14ac:dyDescent="0.25">
      <c r="E2708" s="4"/>
      <c r="F2708" s="4"/>
      <c r="G2708" s="33" t="str">
        <f>IFERROR(VLOOKUP($D2708,'Informations sur les produits'!$A$3:$H$10000,8,FALSE),"0")</f>
        <v>0</v>
      </c>
      <c r="K2708" s="4"/>
      <c r="L2708" s="33" t="str">
        <f>IFERROR(VLOOKUP($J2708,'Informations sur les produits'!$A$3:$H$10000,8,FALSE),"0")</f>
        <v>0</v>
      </c>
      <c r="N2708" s="8"/>
      <c r="O2708" s="33" t="str">
        <f>IFERROR(VLOOKUP($M2708,'Informations sur les produits'!$A$3:$H$10000,8,FALSE),"0")</f>
        <v>0</v>
      </c>
      <c r="P2708" s="33">
        <f t="shared" si="168"/>
        <v>0</v>
      </c>
      <c r="Q2708" s="31" t="str">
        <f t="shared" si="169"/>
        <v/>
      </c>
      <c r="R2708" s="32" t="str">
        <f>IFERROR(VLOOKUP($D2708,'Informations sur les produits'!$A$3:$B$15000,2,FALSE),"")</f>
        <v/>
      </c>
      <c r="V2708">
        <f t="shared" si="170"/>
        <v>0</v>
      </c>
      <c r="W2708">
        <f t="shared" si="171"/>
        <v>0</v>
      </c>
    </row>
    <row r="2709" spans="5:23" x14ac:dyDescent="0.25">
      <c r="E2709" s="4"/>
      <c r="F2709" s="4"/>
      <c r="G2709" s="33" t="str">
        <f>IFERROR(VLOOKUP($D2709,'Informations sur les produits'!$A$3:$H$10000,8,FALSE),"0")</f>
        <v>0</v>
      </c>
      <c r="K2709" s="4"/>
      <c r="L2709" s="33" t="str">
        <f>IFERROR(VLOOKUP($J2709,'Informations sur les produits'!$A$3:$H$10000,8,FALSE),"0")</f>
        <v>0</v>
      </c>
      <c r="N2709" s="8"/>
      <c r="O2709" s="33" t="str">
        <f>IFERROR(VLOOKUP($M2709,'Informations sur les produits'!$A$3:$H$10000,8,FALSE),"0")</f>
        <v>0</v>
      </c>
      <c r="P2709" s="33">
        <f t="shared" si="168"/>
        <v>0</v>
      </c>
      <c r="Q2709" s="31" t="str">
        <f t="shared" si="169"/>
        <v/>
      </c>
      <c r="R2709" s="32" t="str">
        <f>IFERROR(VLOOKUP($D2709,'Informations sur les produits'!$A$3:$B$15000,2,FALSE),"")</f>
        <v/>
      </c>
      <c r="V2709">
        <f t="shared" si="170"/>
        <v>0</v>
      </c>
      <c r="W2709">
        <f t="shared" si="171"/>
        <v>0</v>
      </c>
    </row>
    <row r="2710" spans="5:23" x14ac:dyDescent="0.25">
      <c r="E2710" s="4"/>
      <c r="F2710" s="4"/>
      <c r="G2710" s="33" t="str">
        <f>IFERROR(VLOOKUP($D2710,'Informations sur les produits'!$A$3:$H$10000,8,FALSE),"0")</f>
        <v>0</v>
      </c>
      <c r="K2710" s="4"/>
      <c r="L2710" s="33" t="str">
        <f>IFERROR(VLOOKUP($J2710,'Informations sur les produits'!$A$3:$H$10000,8,FALSE),"0")</f>
        <v>0</v>
      </c>
      <c r="N2710" s="8"/>
      <c r="O2710" s="33" t="str">
        <f>IFERROR(VLOOKUP($M2710,'Informations sur les produits'!$A$3:$H$10000,8,FALSE),"0")</f>
        <v>0</v>
      </c>
      <c r="P2710" s="33">
        <f t="shared" si="168"/>
        <v>0</v>
      </c>
      <c r="Q2710" s="31" t="str">
        <f t="shared" si="169"/>
        <v/>
      </c>
      <c r="R2710" s="32" t="str">
        <f>IFERROR(VLOOKUP($D2710,'Informations sur les produits'!$A$3:$B$15000,2,FALSE),"")</f>
        <v/>
      </c>
      <c r="V2710">
        <f t="shared" si="170"/>
        <v>0</v>
      </c>
      <c r="W2710">
        <f t="shared" si="171"/>
        <v>0</v>
      </c>
    </row>
    <row r="2711" spans="5:23" x14ac:dyDescent="0.25">
      <c r="E2711" s="4"/>
      <c r="F2711" s="4"/>
      <c r="G2711" s="33" t="str">
        <f>IFERROR(VLOOKUP($D2711,'Informations sur les produits'!$A$3:$H$10000,8,FALSE),"0")</f>
        <v>0</v>
      </c>
      <c r="K2711" s="4"/>
      <c r="L2711" s="33" t="str">
        <f>IFERROR(VLOOKUP($J2711,'Informations sur les produits'!$A$3:$H$10000,8,FALSE),"0")</f>
        <v>0</v>
      </c>
      <c r="N2711" s="8"/>
      <c r="O2711" s="33" t="str">
        <f>IFERROR(VLOOKUP($M2711,'Informations sur les produits'!$A$3:$H$10000,8,FALSE),"0")</f>
        <v>0</v>
      </c>
      <c r="P2711" s="33">
        <f t="shared" si="168"/>
        <v>0</v>
      </c>
      <c r="Q2711" s="31" t="str">
        <f t="shared" si="169"/>
        <v/>
      </c>
      <c r="R2711" s="32" t="str">
        <f>IFERROR(VLOOKUP($D2711,'Informations sur les produits'!$A$3:$B$15000,2,FALSE),"")</f>
        <v/>
      </c>
      <c r="V2711">
        <f t="shared" si="170"/>
        <v>0</v>
      </c>
      <c r="W2711">
        <f t="shared" si="171"/>
        <v>0</v>
      </c>
    </row>
    <row r="2712" spans="5:23" x14ac:dyDescent="0.25">
      <c r="E2712" s="4"/>
      <c r="F2712" s="4"/>
      <c r="G2712" s="33" t="str">
        <f>IFERROR(VLOOKUP($D2712,'Informations sur les produits'!$A$3:$H$10000,8,FALSE),"0")</f>
        <v>0</v>
      </c>
      <c r="K2712" s="4"/>
      <c r="L2712" s="33" t="str">
        <f>IFERROR(VLOOKUP($J2712,'Informations sur les produits'!$A$3:$H$10000,8,FALSE),"0")</f>
        <v>0</v>
      </c>
      <c r="N2712" s="8"/>
      <c r="O2712" s="33" t="str">
        <f>IFERROR(VLOOKUP($M2712,'Informations sur les produits'!$A$3:$H$10000,8,FALSE),"0")</f>
        <v>0</v>
      </c>
      <c r="P2712" s="33">
        <f t="shared" si="168"/>
        <v>0</v>
      </c>
      <c r="Q2712" s="31" t="str">
        <f t="shared" si="169"/>
        <v/>
      </c>
      <c r="R2712" s="32" t="str">
        <f>IFERROR(VLOOKUP($D2712,'Informations sur les produits'!$A$3:$B$15000,2,FALSE),"")</f>
        <v/>
      </c>
      <c r="V2712">
        <f t="shared" si="170"/>
        <v>0</v>
      </c>
      <c r="W2712">
        <f t="shared" si="171"/>
        <v>0</v>
      </c>
    </row>
    <row r="2713" spans="5:23" x14ac:dyDescent="0.25">
      <c r="E2713" s="4"/>
      <c r="F2713" s="4"/>
      <c r="G2713" s="33" t="str">
        <f>IFERROR(VLOOKUP($D2713,'Informations sur les produits'!$A$3:$H$10000,8,FALSE),"0")</f>
        <v>0</v>
      </c>
      <c r="K2713" s="4"/>
      <c r="L2713" s="33" t="str">
        <f>IFERROR(VLOOKUP($J2713,'Informations sur les produits'!$A$3:$H$10000,8,FALSE),"0")</f>
        <v>0</v>
      </c>
      <c r="N2713" s="8"/>
      <c r="O2713" s="33" t="str">
        <f>IFERROR(VLOOKUP($M2713,'Informations sur les produits'!$A$3:$H$10000,8,FALSE),"0")</f>
        <v>0</v>
      </c>
      <c r="P2713" s="33">
        <f t="shared" si="168"/>
        <v>0</v>
      </c>
      <c r="Q2713" s="31" t="str">
        <f t="shared" si="169"/>
        <v/>
      </c>
      <c r="R2713" s="32" t="str">
        <f>IFERROR(VLOOKUP($D2713,'Informations sur les produits'!$A$3:$B$15000,2,FALSE),"")</f>
        <v/>
      </c>
      <c r="V2713">
        <f t="shared" si="170"/>
        <v>0</v>
      </c>
      <c r="W2713">
        <f t="shared" si="171"/>
        <v>0</v>
      </c>
    </row>
    <row r="2714" spans="5:23" x14ac:dyDescent="0.25">
      <c r="E2714" s="4"/>
      <c r="F2714" s="4"/>
      <c r="G2714" s="33" t="str">
        <f>IFERROR(VLOOKUP($D2714,'Informations sur les produits'!$A$3:$H$10000,8,FALSE),"0")</f>
        <v>0</v>
      </c>
      <c r="K2714" s="4"/>
      <c r="L2714" s="33" t="str">
        <f>IFERROR(VLOOKUP($J2714,'Informations sur les produits'!$A$3:$H$10000,8,FALSE),"0")</f>
        <v>0</v>
      </c>
      <c r="N2714" s="8"/>
      <c r="O2714" s="33" t="str">
        <f>IFERROR(VLOOKUP($M2714,'Informations sur les produits'!$A$3:$H$10000,8,FALSE),"0")</f>
        <v>0</v>
      </c>
      <c r="P2714" s="33">
        <f t="shared" si="168"/>
        <v>0</v>
      </c>
      <c r="Q2714" s="31" t="str">
        <f t="shared" si="169"/>
        <v/>
      </c>
      <c r="R2714" s="32" t="str">
        <f>IFERROR(VLOOKUP($D2714,'Informations sur les produits'!$A$3:$B$15000,2,FALSE),"")</f>
        <v/>
      </c>
      <c r="V2714">
        <f t="shared" si="170"/>
        <v>0</v>
      </c>
      <c r="W2714">
        <f t="shared" si="171"/>
        <v>0</v>
      </c>
    </row>
    <row r="2715" spans="5:23" x14ac:dyDescent="0.25">
      <c r="E2715" s="4"/>
      <c r="F2715" s="4"/>
      <c r="G2715" s="33" t="str">
        <f>IFERROR(VLOOKUP($D2715,'Informations sur les produits'!$A$3:$H$10000,8,FALSE),"0")</f>
        <v>0</v>
      </c>
      <c r="K2715" s="4"/>
      <c r="L2715" s="33" t="str">
        <f>IFERROR(VLOOKUP($J2715,'Informations sur les produits'!$A$3:$H$10000,8,FALSE),"0")</f>
        <v>0</v>
      </c>
      <c r="N2715" s="8"/>
      <c r="O2715" s="33" t="str">
        <f>IFERROR(VLOOKUP($M2715,'Informations sur les produits'!$A$3:$H$10000,8,FALSE),"0")</f>
        <v>0</v>
      </c>
      <c r="P2715" s="33">
        <f t="shared" si="168"/>
        <v>0</v>
      </c>
      <c r="Q2715" s="31" t="str">
        <f t="shared" si="169"/>
        <v/>
      </c>
      <c r="R2715" s="32" t="str">
        <f>IFERROR(VLOOKUP($D2715,'Informations sur les produits'!$A$3:$B$15000,2,FALSE),"")</f>
        <v/>
      </c>
      <c r="V2715">
        <f t="shared" si="170"/>
        <v>0</v>
      </c>
      <c r="W2715">
        <f t="shared" si="171"/>
        <v>0</v>
      </c>
    </row>
    <row r="2716" spans="5:23" x14ac:dyDescent="0.25">
      <c r="E2716" s="4"/>
      <c r="F2716" s="4"/>
      <c r="G2716" s="33" t="str">
        <f>IFERROR(VLOOKUP($D2716,'Informations sur les produits'!$A$3:$H$10000,8,FALSE),"0")</f>
        <v>0</v>
      </c>
      <c r="K2716" s="4"/>
      <c r="L2716" s="33" t="str">
        <f>IFERROR(VLOOKUP($J2716,'Informations sur les produits'!$A$3:$H$10000,8,FALSE),"0")</f>
        <v>0</v>
      </c>
      <c r="N2716" s="8"/>
      <c r="O2716" s="33" t="str">
        <f>IFERROR(VLOOKUP($M2716,'Informations sur les produits'!$A$3:$H$10000,8,FALSE),"0")</f>
        <v>0</v>
      </c>
      <c r="P2716" s="33">
        <f t="shared" si="168"/>
        <v>0</v>
      </c>
      <c r="Q2716" s="31" t="str">
        <f t="shared" si="169"/>
        <v/>
      </c>
      <c r="R2716" s="32" t="str">
        <f>IFERROR(VLOOKUP($D2716,'Informations sur les produits'!$A$3:$B$15000,2,FALSE),"")</f>
        <v/>
      </c>
      <c r="V2716">
        <f t="shared" si="170"/>
        <v>0</v>
      </c>
      <c r="W2716">
        <f t="shared" si="171"/>
        <v>0</v>
      </c>
    </row>
    <row r="2717" spans="5:23" x14ac:dyDescent="0.25">
      <c r="E2717" s="4"/>
      <c r="F2717" s="4"/>
      <c r="G2717" s="33" t="str">
        <f>IFERROR(VLOOKUP($D2717,'Informations sur les produits'!$A$3:$H$10000,8,FALSE),"0")</f>
        <v>0</v>
      </c>
      <c r="K2717" s="4"/>
      <c r="L2717" s="33" t="str">
        <f>IFERROR(VLOOKUP($J2717,'Informations sur les produits'!$A$3:$H$10000,8,FALSE),"0")</f>
        <v>0</v>
      </c>
      <c r="N2717" s="8"/>
      <c r="O2717" s="33" t="str">
        <f>IFERROR(VLOOKUP($M2717,'Informations sur les produits'!$A$3:$H$10000,8,FALSE),"0")</f>
        <v>0</v>
      </c>
      <c r="P2717" s="33">
        <f t="shared" si="168"/>
        <v>0</v>
      </c>
      <c r="Q2717" s="31" t="str">
        <f t="shared" si="169"/>
        <v/>
      </c>
      <c r="R2717" s="32" t="str">
        <f>IFERROR(VLOOKUP($D2717,'Informations sur les produits'!$A$3:$B$15000,2,FALSE),"")</f>
        <v/>
      </c>
      <c r="V2717">
        <f t="shared" si="170"/>
        <v>0</v>
      </c>
      <c r="W2717">
        <f t="shared" si="171"/>
        <v>0</v>
      </c>
    </row>
    <row r="2718" spans="5:23" x14ac:dyDescent="0.25">
      <c r="E2718" s="4"/>
      <c r="F2718" s="4"/>
      <c r="G2718" s="33" t="str">
        <f>IFERROR(VLOOKUP($D2718,'Informations sur les produits'!$A$3:$H$10000,8,FALSE),"0")</f>
        <v>0</v>
      </c>
      <c r="K2718" s="4"/>
      <c r="L2718" s="33" t="str">
        <f>IFERROR(VLOOKUP($J2718,'Informations sur les produits'!$A$3:$H$10000,8,FALSE),"0")</f>
        <v>0</v>
      </c>
      <c r="N2718" s="8"/>
      <c r="O2718" s="33" t="str">
        <f>IFERROR(VLOOKUP($M2718,'Informations sur les produits'!$A$3:$H$10000,8,FALSE),"0")</f>
        <v>0</v>
      </c>
      <c r="P2718" s="33">
        <f t="shared" si="168"/>
        <v>0</v>
      </c>
      <c r="Q2718" s="31" t="str">
        <f t="shared" si="169"/>
        <v/>
      </c>
      <c r="R2718" s="32" t="str">
        <f>IFERROR(VLOOKUP($D2718,'Informations sur les produits'!$A$3:$B$15000,2,FALSE),"")</f>
        <v/>
      </c>
      <c r="V2718">
        <f t="shared" si="170"/>
        <v>0</v>
      </c>
      <c r="W2718">
        <f t="shared" si="171"/>
        <v>0</v>
      </c>
    </row>
    <row r="2719" spans="5:23" x14ac:dyDescent="0.25">
      <c r="E2719" s="4"/>
      <c r="F2719" s="4"/>
      <c r="G2719" s="33" t="str">
        <f>IFERROR(VLOOKUP($D2719,'Informations sur les produits'!$A$3:$H$10000,8,FALSE),"0")</f>
        <v>0</v>
      </c>
      <c r="K2719" s="4"/>
      <c r="L2719" s="33" t="str">
        <f>IFERROR(VLOOKUP($J2719,'Informations sur les produits'!$A$3:$H$10000,8,FALSE),"0")</f>
        <v>0</v>
      </c>
      <c r="N2719" s="8"/>
      <c r="O2719" s="33" t="str">
        <f>IFERROR(VLOOKUP($M2719,'Informations sur les produits'!$A$3:$H$10000,8,FALSE),"0")</f>
        <v>0</v>
      </c>
      <c r="P2719" s="33">
        <f t="shared" si="168"/>
        <v>0</v>
      </c>
      <c r="Q2719" s="31" t="str">
        <f t="shared" si="169"/>
        <v/>
      </c>
      <c r="R2719" s="32" t="str">
        <f>IFERROR(VLOOKUP($D2719,'Informations sur les produits'!$A$3:$B$15000,2,FALSE),"")</f>
        <v/>
      </c>
      <c r="V2719">
        <f t="shared" si="170"/>
        <v>0</v>
      </c>
      <c r="W2719">
        <f t="shared" si="171"/>
        <v>0</v>
      </c>
    </row>
    <row r="2720" spans="5:23" x14ac:dyDescent="0.25">
      <c r="E2720" s="4"/>
      <c r="F2720" s="4"/>
      <c r="G2720" s="33" t="str">
        <f>IFERROR(VLOOKUP($D2720,'Informations sur les produits'!$A$3:$H$10000,8,FALSE),"0")</f>
        <v>0</v>
      </c>
      <c r="K2720" s="4"/>
      <c r="L2720" s="33" t="str">
        <f>IFERROR(VLOOKUP($J2720,'Informations sur les produits'!$A$3:$H$10000,8,FALSE),"0")</f>
        <v>0</v>
      </c>
      <c r="N2720" s="8"/>
      <c r="O2720" s="33" t="str">
        <f>IFERROR(VLOOKUP($M2720,'Informations sur les produits'!$A$3:$H$10000,8,FALSE),"0")</f>
        <v>0</v>
      </c>
      <c r="P2720" s="33">
        <f t="shared" si="168"/>
        <v>0</v>
      </c>
      <c r="Q2720" s="31" t="str">
        <f t="shared" si="169"/>
        <v/>
      </c>
      <c r="R2720" s="32" t="str">
        <f>IFERROR(VLOOKUP($D2720,'Informations sur les produits'!$A$3:$B$15000,2,FALSE),"")</f>
        <v/>
      </c>
      <c r="V2720">
        <f t="shared" si="170"/>
        <v>0</v>
      </c>
      <c r="W2720">
        <f t="shared" si="171"/>
        <v>0</v>
      </c>
    </row>
    <row r="2721" spans="5:23" x14ac:dyDescent="0.25">
      <c r="E2721" s="4"/>
      <c r="F2721" s="4"/>
      <c r="G2721" s="33" t="str">
        <f>IFERROR(VLOOKUP($D2721,'Informations sur les produits'!$A$3:$H$10000,8,FALSE),"0")</f>
        <v>0</v>
      </c>
      <c r="K2721" s="4"/>
      <c r="L2721" s="33" t="str">
        <f>IFERROR(VLOOKUP($J2721,'Informations sur les produits'!$A$3:$H$10000,8,FALSE),"0")</f>
        <v>0</v>
      </c>
      <c r="N2721" s="8"/>
      <c r="O2721" s="33" t="str">
        <f>IFERROR(VLOOKUP($M2721,'Informations sur les produits'!$A$3:$H$10000,8,FALSE),"0")</f>
        <v>0</v>
      </c>
      <c r="P2721" s="33">
        <f t="shared" si="168"/>
        <v>0</v>
      </c>
      <c r="Q2721" s="31" t="str">
        <f t="shared" si="169"/>
        <v/>
      </c>
      <c r="R2721" s="32" t="str">
        <f>IFERROR(VLOOKUP($D2721,'Informations sur les produits'!$A$3:$B$15000,2,FALSE),"")</f>
        <v/>
      </c>
      <c r="V2721">
        <f t="shared" si="170"/>
        <v>0</v>
      </c>
      <c r="W2721">
        <f t="shared" si="171"/>
        <v>0</v>
      </c>
    </row>
    <row r="2722" spans="5:23" x14ac:dyDescent="0.25">
      <c r="E2722" s="4"/>
      <c r="F2722" s="4"/>
      <c r="G2722" s="33" t="str">
        <f>IFERROR(VLOOKUP($D2722,'Informations sur les produits'!$A$3:$H$10000,8,FALSE),"0")</f>
        <v>0</v>
      </c>
      <c r="K2722" s="4"/>
      <c r="L2722" s="33" t="str">
        <f>IFERROR(VLOOKUP($J2722,'Informations sur les produits'!$A$3:$H$10000,8,FALSE),"0")</f>
        <v>0</v>
      </c>
      <c r="N2722" s="8"/>
      <c r="O2722" s="33" t="str">
        <f>IFERROR(VLOOKUP($M2722,'Informations sur les produits'!$A$3:$H$10000,8,FALSE),"0")</f>
        <v>0</v>
      </c>
      <c r="P2722" s="33">
        <f t="shared" si="168"/>
        <v>0</v>
      </c>
      <c r="Q2722" s="31" t="str">
        <f t="shared" si="169"/>
        <v/>
      </c>
      <c r="R2722" s="32" t="str">
        <f>IFERROR(VLOOKUP($D2722,'Informations sur les produits'!$A$3:$B$15000,2,FALSE),"")</f>
        <v/>
      </c>
      <c r="V2722">
        <f t="shared" si="170"/>
        <v>0</v>
      </c>
      <c r="W2722">
        <f t="shared" si="171"/>
        <v>0</v>
      </c>
    </row>
    <row r="2723" spans="5:23" x14ac:dyDescent="0.25">
      <c r="E2723" s="4"/>
      <c r="F2723" s="4"/>
      <c r="G2723" s="33" t="str">
        <f>IFERROR(VLOOKUP($D2723,'Informations sur les produits'!$A$3:$H$10000,8,FALSE),"0")</f>
        <v>0</v>
      </c>
      <c r="K2723" s="4"/>
      <c r="L2723" s="33" t="str">
        <f>IFERROR(VLOOKUP($J2723,'Informations sur les produits'!$A$3:$H$10000,8,FALSE),"0")</f>
        <v>0</v>
      </c>
      <c r="N2723" s="8"/>
      <c r="O2723" s="33" t="str">
        <f>IFERROR(VLOOKUP($M2723,'Informations sur les produits'!$A$3:$H$10000,8,FALSE),"0")</f>
        <v>0</v>
      </c>
      <c r="P2723" s="33">
        <f t="shared" si="168"/>
        <v>0</v>
      </c>
      <c r="Q2723" s="31" t="str">
        <f t="shared" si="169"/>
        <v/>
      </c>
      <c r="R2723" s="32" t="str">
        <f>IFERROR(VLOOKUP($D2723,'Informations sur les produits'!$A$3:$B$15000,2,FALSE),"")</f>
        <v/>
      </c>
      <c r="V2723">
        <f t="shared" si="170"/>
        <v>0</v>
      </c>
      <c r="W2723">
        <f t="shared" si="171"/>
        <v>0</v>
      </c>
    </row>
    <row r="2724" spans="5:23" x14ac:dyDescent="0.25">
      <c r="E2724" s="4"/>
      <c r="F2724" s="4"/>
      <c r="G2724" s="33" t="str">
        <f>IFERROR(VLOOKUP($D2724,'Informations sur les produits'!$A$3:$H$10000,8,FALSE),"0")</f>
        <v>0</v>
      </c>
      <c r="K2724" s="4"/>
      <c r="L2724" s="33" t="str">
        <f>IFERROR(VLOOKUP($J2724,'Informations sur les produits'!$A$3:$H$10000,8,FALSE),"0")</f>
        <v>0</v>
      </c>
      <c r="N2724" s="8"/>
      <c r="O2724" s="33" t="str">
        <f>IFERROR(VLOOKUP($M2724,'Informations sur les produits'!$A$3:$H$10000,8,FALSE),"0")</f>
        <v>0</v>
      </c>
      <c r="P2724" s="33">
        <f t="shared" si="168"/>
        <v>0</v>
      </c>
      <c r="Q2724" s="31" t="str">
        <f t="shared" si="169"/>
        <v/>
      </c>
      <c r="R2724" s="32" t="str">
        <f>IFERROR(VLOOKUP($D2724,'Informations sur les produits'!$A$3:$B$15000,2,FALSE),"")</f>
        <v/>
      </c>
      <c r="V2724">
        <f t="shared" si="170"/>
        <v>0</v>
      </c>
      <c r="W2724">
        <f t="shared" si="171"/>
        <v>0</v>
      </c>
    </row>
    <row r="2725" spans="5:23" x14ac:dyDescent="0.25">
      <c r="E2725" s="4"/>
      <c r="F2725" s="4"/>
      <c r="G2725" s="33" t="str">
        <f>IFERROR(VLOOKUP($D2725,'Informations sur les produits'!$A$3:$H$10000,8,FALSE),"0")</f>
        <v>0</v>
      </c>
      <c r="K2725" s="4"/>
      <c r="L2725" s="33" t="str">
        <f>IFERROR(VLOOKUP($J2725,'Informations sur les produits'!$A$3:$H$10000,8,FALSE),"0")</f>
        <v>0</v>
      </c>
      <c r="N2725" s="8"/>
      <c r="O2725" s="33" t="str">
        <f>IFERROR(VLOOKUP($M2725,'Informations sur les produits'!$A$3:$H$10000,8,FALSE),"0")</f>
        <v>0</v>
      </c>
      <c r="P2725" s="33">
        <f t="shared" si="168"/>
        <v>0</v>
      </c>
      <c r="Q2725" s="31" t="str">
        <f t="shared" si="169"/>
        <v/>
      </c>
      <c r="R2725" s="32" t="str">
        <f>IFERROR(VLOOKUP($D2725,'Informations sur les produits'!$A$3:$B$15000,2,FALSE),"")</f>
        <v/>
      </c>
      <c r="V2725">
        <f t="shared" si="170"/>
        <v>0</v>
      </c>
      <c r="W2725">
        <f t="shared" si="171"/>
        <v>0</v>
      </c>
    </row>
    <row r="2726" spans="5:23" x14ac:dyDescent="0.25">
      <c r="E2726" s="4"/>
      <c r="F2726" s="4"/>
      <c r="G2726" s="33" t="str">
        <f>IFERROR(VLOOKUP($D2726,'Informations sur les produits'!$A$3:$H$10000,8,FALSE),"0")</f>
        <v>0</v>
      </c>
      <c r="K2726" s="4"/>
      <c r="L2726" s="33" t="str">
        <f>IFERROR(VLOOKUP($J2726,'Informations sur les produits'!$A$3:$H$10000,8,FALSE),"0")</f>
        <v>0</v>
      </c>
      <c r="N2726" s="8"/>
      <c r="O2726" s="33" t="str">
        <f>IFERROR(VLOOKUP($M2726,'Informations sur les produits'!$A$3:$H$10000,8,FALSE),"0")</f>
        <v>0</v>
      </c>
      <c r="P2726" s="33">
        <f t="shared" si="168"/>
        <v>0</v>
      </c>
      <c r="Q2726" s="31" t="str">
        <f t="shared" si="169"/>
        <v/>
      </c>
      <c r="R2726" s="32" t="str">
        <f>IFERROR(VLOOKUP($D2726,'Informations sur les produits'!$A$3:$B$15000,2,FALSE),"")</f>
        <v/>
      </c>
      <c r="V2726">
        <f t="shared" si="170"/>
        <v>0</v>
      </c>
      <c r="W2726">
        <f t="shared" si="171"/>
        <v>0</v>
      </c>
    </row>
    <row r="2727" spans="5:23" x14ac:dyDescent="0.25">
      <c r="E2727" s="4"/>
      <c r="F2727" s="4"/>
      <c r="G2727" s="33" t="str">
        <f>IFERROR(VLOOKUP($D2727,'Informations sur les produits'!$A$3:$H$10000,8,FALSE),"0")</f>
        <v>0</v>
      </c>
      <c r="K2727" s="4"/>
      <c r="L2727" s="33" t="str">
        <f>IFERROR(VLOOKUP($J2727,'Informations sur les produits'!$A$3:$H$10000,8,FALSE),"0")</f>
        <v>0</v>
      </c>
      <c r="N2727" s="8"/>
      <c r="O2727" s="33" t="str">
        <f>IFERROR(VLOOKUP($M2727,'Informations sur les produits'!$A$3:$H$10000,8,FALSE),"0")</f>
        <v>0</v>
      </c>
      <c r="P2727" s="33">
        <f t="shared" si="168"/>
        <v>0</v>
      </c>
      <c r="Q2727" s="31" t="str">
        <f t="shared" si="169"/>
        <v/>
      </c>
      <c r="R2727" s="32" t="str">
        <f>IFERROR(VLOOKUP($D2727,'Informations sur les produits'!$A$3:$B$15000,2,FALSE),"")</f>
        <v/>
      </c>
      <c r="V2727">
        <f t="shared" si="170"/>
        <v>0</v>
      </c>
      <c r="W2727">
        <f t="shared" si="171"/>
        <v>0</v>
      </c>
    </row>
    <row r="2728" spans="5:23" x14ac:dyDescent="0.25">
      <c r="E2728" s="4"/>
      <c r="F2728" s="4"/>
      <c r="G2728" s="33" t="str">
        <f>IFERROR(VLOOKUP($D2728,'Informations sur les produits'!$A$3:$H$10000,8,FALSE),"0")</f>
        <v>0</v>
      </c>
      <c r="K2728" s="4"/>
      <c r="L2728" s="33" t="str">
        <f>IFERROR(VLOOKUP($J2728,'Informations sur les produits'!$A$3:$H$10000,8,FALSE),"0")</f>
        <v>0</v>
      </c>
      <c r="N2728" s="8"/>
      <c r="O2728" s="33" t="str">
        <f>IFERROR(VLOOKUP($M2728,'Informations sur les produits'!$A$3:$H$10000,8,FALSE),"0")</f>
        <v>0</v>
      </c>
      <c r="P2728" s="33">
        <f t="shared" si="168"/>
        <v>0</v>
      </c>
      <c r="Q2728" s="31" t="str">
        <f t="shared" si="169"/>
        <v/>
      </c>
      <c r="R2728" s="32" t="str">
        <f>IFERROR(VLOOKUP($D2728,'Informations sur les produits'!$A$3:$B$15000,2,FALSE),"")</f>
        <v/>
      </c>
      <c r="V2728">
        <f t="shared" si="170"/>
        <v>0</v>
      </c>
      <c r="W2728">
        <f t="shared" si="171"/>
        <v>0</v>
      </c>
    </row>
    <row r="2729" spans="5:23" x14ac:dyDescent="0.25">
      <c r="E2729" s="4"/>
      <c r="F2729" s="4"/>
      <c r="G2729" s="33" t="str">
        <f>IFERROR(VLOOKUP($D2729,'Informations sur les produits'!$A$3:$H$10000,8,FALSE),"0")</f>
        <v>0</v>
      </c>
      <c r="K2729" s="4"/>
      <c r="L2729" s="33" t="str">
        <f>IFERROR(VLOOKUP($J2729,'Informations sur les produits'!$A$3:$H$10000,8,FALSE),"0")</f>
        <v>0</v>
      </c>
      <c r="N2729" s="8"/>
      <c r="O2729" s="33" t="str">
        <f>IFERROR(VLOOKUP($M2729,'Informations sur les produits'!$A$3:$H$10000,8,FALSE),"0")</f>
        <v>0</v>
      </c>
      <c r="P2729" s="33">
        <f t="shared" si="168"/>
        <v>0</v>
      </c>
      <c r="Q2729" s="31" t="str">
        <f t="shared" si="169"/>
        <v/>
      </c>
      <c r="R2729" s="32" t="str">
        <f>IFERROR(VLOOKUP($D2729,'Informations sur les produits'!$A$3:$B$15000,2,FALSE),"")</f>
        <v/>
      </c>
      <c r="V2729">
        <f t="shared" si="170"/>
        <v>0</v>
      </c>
      <c r="W2729">
        <f t="shared" si="171"/>
        <v>0</v>
      </c>
    </row>
    <row r="2730" spans="5:23" x14ac:dyDescent="0.25">
      <c r="E2730" s="4"/>
      <c r="F2730" s="4"/>
      <c r="G2730" s="33" t="str">
        <f>IFERROR(VLOOKUP($D2730,'Informations sur les produits'!$A$3:$H$10000,8,FALSE),"0")</f>
        <v>0</v>
      </c>
      <c r="K2730" s="4"/>
      <c r="L2730" s="33" t="str">
        <f>IFERROR(VLOOKUP($J2730,'Informations sur les produits'!$A$3:$H$10000,8,FALSE),"0")</f>
        <v>0</v>
      </c>
      <c r="N2730" s="8"/>
      <c r="O2730" s="33" t="str">
        <f>IFERROR(VLOOKUP($M2730,'Informations sur les produits'!$A$3:$H$10000,8,FALSE),"0")</f>
        <v>0</v>
      </c>
      <c r="P2730" s="33">
        <f t="shared" si="168"/>
        <v>0</v>
      </c>
      <c r="Q2730" s="31" t="str">
        <f t="shared" si="169"/>
        <v/>
      </c>
      <c r="R2730" s="32" t="str">
        <f>IFERROR(VLOOKUP($D2730,'Informations sur les produits'!$A$3:$B$15000,2,FALSE),"")</f>
        <v/>
      </c>
      <c r="V2730">
        <f t="shared" si="170"/>
        <v>0</v>
      </c>
      <c r="W2730">
        <f t="shared" si="171"/>
        <v>0</v>
      </c>
    </row>
    <row r="2731" spans="5:23" x14ac:dyDescent="0.25">
      <c r="E2731" s="4"/>
      <c r="F2731" s="4"/>
      <c r="G2731" s="33" t="str">
        <f>IFERROR(VLOOKUP($D2731,'Informations sur les produits'!$A$3:$H$10000,8,FALSE),"0")</f>
        <v>0</v>
      </c>
      <c r="K2731" s="4"/>
      <c r="L2731" s="33" t="str">
        <f>IFERROR(VLOOKUP($J2731,'Informations sur les produits'!$A$3:$H$10000,8,FALSE),"0")</f>
        <v>0</v>
      </c>
      <c r="N2731" s="8"/>
      <c r="O2731" s="33" t="str">
        <f>IFERROR(VLOOKUP($M2731,'Informations sur les produits'!$A$3:$H$10000,8,FALSE),"0")</f>
        <v>0</v>
      </c>
      <c r="P2731" s="33">
        <f t="shared" si="168"/>
        <v>0</v>
      </c>
      <c r="Q2731" s="31" t="str">
        <f t="shared" si="169"/>
        <v/>
      </c>
      <c r="R2731" s="32" t="str">
        <f>IFERROR(VLOOKUP($D2731,'Informations sur les produits'!$A$3:$B$15000,2,FALSE),"")</f>
        <v/>
      </c>
      <c r="V2731">
        <f t="shared" si="170"/>
        <v>0</v>
      </c>
      <c r="W2731">
        <f t="shared" si="171"/>
        <v>0</v>
      </c>
    </row>
    <row r="2732" spans="5:23" x14ac:dyDescent="0.25">
      <c r="E2732" s="4"/>
      <c r="F2732" s="4"/>
      <c r="G2732" s="33" t="str">
        <f>IFERROR(VLOOKUP($D2732,'Informations sur les produits'!$A$3:$H$10000,8,FALSE),"0")</f>
        <v>0</v>
      </c>
      <c r="K2732" s="4"/>
      <c r="L2732" s="33" t="str">
        <f>IFERROR(VLOOKUP($J2732,'Informations sur les produits'!$A$3:$H$10000,8,FALSE),"0")</f>
        <v>0</v>
      </c>
      <c r="N2732" s="8"/>
      <c r="O2732" s="33" t="str">
        <f>IFERROR(VLOOKUP($M2732,'Informations sur les produits'!$A$3:$H$10000,8,FALSE),"0")</f>
        <v>0</v>
      </c>
      <c r="P2732" s="33">
        <f t="shared" si="168"/>
        <v>0</v>
      </c>
      <c r="Q2732" s="31" t="str">
        <f t="shared" si="169"/>
        <v/>
      </c>
      <c r="R2732" s="32" t="str">
        <f>IFERROR(VLOOKUP($D2732,'Informations sur les produits'!$A$3:$B$15000,2,FALSE),"")</f>
        <v/>
      </c>
      <c r="V2732">
        <f t="shared" si="170"/>
        <v>0</v>
      </c>
      <c r="W2732">
        <f t="shared" si="171"/>
        <v>0</v>
      </c>
    </row>
    <row r="2733" spans="5:23" x14ac:dyDescent="0.25">
      <c r="E2733" s="4"/>
      <c r="F2733" s="4"/>
      <c r="G2733" s="33" t="str">
        <f>IFERROR(VLOOKUP($D2733,'Informations sur les produits'!$A$3:$H$10000,8,FALSE),"0")</f>
        <v>0</v>
      </c>
      <c r="K2733" s="4"/>
      <c r="L2733" s="33" t="str">
        <f>IFERROR(VLOOKUP($J2733,'Informations sur les produits'!$A$3:$H$10000,8,FALSE),"0")</f>
        <v>0</v>
      </c>
      <c r="N2733" s="8"/>
      <c r="O2733" s="33" t="str">
        <f>IFERROR(VLOOKUP($M2733,'Informations sur les produits'!$A$3:$H$10000,8,FALSE),"0")</f>
        <v>0</v>
      </c>
      <c r="P2733" s="33">
        <f t="shared" si="168"/>
        <v>0</v>
      </c>
      <c r="Q2733" s="31" t="str">
        <f t="shared" si="169"/>
        <v/>
      </c>
      <c r="R2733" s="32" t="str">
        <f>IFERROR(VLOOKUP($D2733,'Informations sur les produits'!$A$3:$B$15000,2,FALSE),"")</f>
        <v/>
      </c>
      <c r="V2733">
        <f t="shared" si="170"/>
        <v>0</v>
      </c>
      <c r="W2733">
        <f t="shared" si="171"/>
        <v>0</v>
      </c>
    </row>
    <row r="2734" spans="5:23" x14ac:dyDescent="0.25">
      <c r="E2734" s="4"/>
      <c r="F2734" s="4"/>
      <c r="G2734" s="33" t="str">
        <f>IFERROR(VLOOKUP($D2734,'Informations sur les produits'!$A$3:$H$10000,8,FALSE),"0")</f>
        <v>0</v>
      </c>
      <c r="K2734" s="4"/>
      <c r="L2734" s="33" t="str">
        <f>IFERROR(VLOOKUP($J2734,'Informations sur les produits'!$A$3:$H$10000,8,FALSE),"0")</f>
        <v>0</v>
      </c>
      <c r="N2734" s="8"/>
      <c r="O2734" s="33" t="str">
        <f>IFERROR(VLOOKUP($M2734,'Informations sur les produits'!$A$3:$H$10000,8,FALSE),"0")</f>
        <v>0</v>
      </c>
      <c r="P2734" s="33">
        <f t="shared" si="168"/>
        <v>0</v>
      </c>
      <c r="Q2734" s="31" t="str">
        <f t="shared" si="169"/>
        <v/>
      </c>
      <c r="R2734" s="32" t="str">
        <f>IFERROR(VLOOKUP($D2734,'Informations sur les produits'!$A$3:$B$15000,2,FALSE),"")</f>
        <v/>
      </c>
      <c r="V2734">
        <f t="shared" si="170"/>
        <v>0</v>
      </c>
      <c r="W2734">
        <f t="shared" si="171"/>
        <v>0</v>
      </c>
    </row>
    <row r="2735" spans="5:23" x14ac:dyDescent="0.25">
      <c r="E2735" s="4"/>
      <c r="F2735" s="4"/>
      <c r="G2735" s="33" t="str">
        <f>IFERROR(VLOOKUP($D2735,'Informations sur les produits'!$A$3:$H$10000,8,FALSE),"0")</f>
        <v>0</v>
      </c>
      <c r="K2735" s="4"/>
      <c r="L2735" s="33" t="str">
        <f>IFERROR(VLOOKUP($J2735,'Informations sur les produits'!$A$3:$H$10000,8,FALSE),"0")</f>
        <v>0</v>
      </c>
      <c r="N2735" s="8"/>
      <c r="O2735" s="33" t="str">
        <f>IFERROR(VLOOKUP($M2735,'Informations sur les produits'!$A$3:$H$10000,8,FALSE),"0")</f>
        <v>0</v>
      </c>
      <c r="P2735" s="33">
        <f t="shared" si="168"/>
        <v>0</v>
      </c>
      <c r="Q2735" s="31" t="str">
        <f t="shared" si="169"/>
        <v/>
      </c>
      <c r="R2735" s="32" t="str">
        <f>IFERROR(VLOOKUP($D2735,'Informations sur les produits'!$A$3:$B$15000,2,FALSE),"")</f>
        <v/>
      </c>
      <c r="V2735">
        <f t="shared" si="170"/>
        <v>0</v>
      </c>
      <c r="W2735">
        <f t="shared" si="171"/>
        <v>0</v>
      </c>
    </row>
    <row r="2736" spans="5:23" x14ac:dyDescent="0.25">
      <c r="E2736" s="4"/>
      <c r="F2736" s="4"/>
      <c r="G2736" s="33" t="str">
        <f>IFERROR(VLOOKUP($D2736,'Informations sur les produits'!$A$3:$H$10000,8,FALSE),"0")</f>
        <v>0</v>
      </c>
      <c r="K2736" s="4"/>
      <c r="L2736" s="33" t="str">
        <f>IFERROR(VLOOKUP($J2736,'Informations sur les produits'!$A$3:$H$10000,8,FALSE),"0")</f>
        <v>0</v>
      </c>
      <c r="N2736" s="8"/>
      <c r="O2736" s="33" t="str">
        <f>IFERROR(VLOOKUP($M2736,'Informations sur les produits'!$A$3:$H$10000,8,FALSE),"0")</f>
        <v>0</v>
      </c>
      <c r="P2736" s="33">
        <f t="shared" si="168"/>
        <v>0</v>
      </c>
      <c r="Q2736" s="31" t="str">
        <f t="shared" si="169"/>
        <v/>
      </c>
      <c r="R2736" s="32" t="str">
        <f>IFERROR(VLOOKUP($D2736,'Informations sur les produits'!$A$3:$B$15000,2,FALSE),"")</f>
        <v/>
      </c>
      <c r="V2736">
        <f t="shared" si="170"/>
        <v>0</v>
      </c>
      <c r="W2736">
        <f t="shared" si="171"/>
        <v>0</v>
      </c>
    </row>
    <row r="2737" spans="5:23" x14ac:dyDescent="0.25">
      <c r="E2737" s="4"/>
      <c r="F2737" s="4"/>
      <c r="G2737" s="33" t="str">
        <f>IFERROR(VLOOKUP($D2737,'Informations sur les produits'!$A$3:$H$10000,8,FALSE),"0")</f>
        <v>0</v>
      </c>
      <c r="K2737" s="4"/>
      <c r="L2737" s="33" t="str">
        <f>IFERROR(VLOOKUP($J2737,'Informations sur les produits'!$A$3:$H$10000,8,FALSE),"0")</f>
        <v>0</v>
      </c>
      <c r="N2737" s="8"/>
      <c r="O2737" s="33" t="str">
        <f>IFERROR(VLOOKUP($M2737,'Informations sur les produits'!$A$3:$H$10000,8,FALSE),"0")</f>
        <v>0</v>
      </c>
      <c r="P2737" s="33">
        <f t="shared" si="168"/>
        <v>0</v>
      </c>
      <c r="Q2737" s="31" t="str">
        <f t="shared" si="169"/>
        <v/>
      </c>
      <c r="R2737" s="32" t="str">
        <f>IFERROR(VLOOKUP($D2737,'Informations sur les produits'!$A$3:$B$15000,2,FALSE),"")</f>
        <v/>
      </c>
      <c r="V2737">
        <f t="shared" si="170"/>
        <v>0</v>
      </c>
      <c r="W2737">
        <f t="shared" si="171"/>
        <v>0</v>
      </c>
    </row>
    <row r="2738" spans="5:23" x14ac:dyDescent="0.25">
      <c r="E2738" s="4"/>
      <c r="F2738" s="4"/>
      <c r="G2738" s="33" t="str">
        <f>IFERROR(VLOOKUP($D2738,'Informations sur les produits'!$A$3:$H$10000,8,FALSE),"0")</f>
        <v>0</v>
      </c>
      <c r="K2738" s="4"/>
      <c r="L2738" s="33" t="str">
        <f>IFERROR(VLOOKUP($J2738,'Informations sur les produits'!$A$3:$H$10000,8,FALSE),"0")</f>
        <v>0</v>
      </c>
      <c r="N2738" s="8"/>
      <c r="O2738" s="33" t="str">
        <f>IFERROR(VLOOKUP($M2738,'Informations sur les produits'!$A$3:$H$10000,8,FALSE),"0")</f>
        <v>0</v>
      </c>
      <c r="P2738" s="33">
        <f t="shared" si="168"/>
        <v>0</v>
      </c>
      <c r="Q2738" s="31" t="str">
        <f t="shared" si="169"/>
        <v/>
      </c>
      <c r="R2738" s="32" t="str">
        <f>IFERROR(VLOOKUP($D2738,'Informations sur les produits'!$A$3:$B$15000,2,FALSE),"")</f>
        <v/>
      </c>
      <c r="V2738">
        <f t="shared" si="170"/>
        <v>0</v>
      </c>
      <c r="W2738">
        <f t="shared" si="171"/>
        <v>0</v>
      </c>
    </row>
    <row r="2739" spans="5:23" x14ac:dyDescent="0.25">
      <c r="E2739" s="4"/>
      <c r="F2739" s="4"/>
      <c r="G2739" s="33" t="str">
        <f>IFERROR(VLOOKUP($D2739,'Informations sur les produits'!$A$3:$H$10000,8,FALSE),"0")</f>
        <v>0</v>
      </c>
      <c r="K2739" s="4"/>
      <c r="L2739" s="33" t="str">
        <f>IFERROR(VLOOKUP($J2739,'Informations sur les produits'!$A$3:$H$10000,8,FALSE),"0")</f>
        <v>0</v>
      </c>
      <c r="N2739" s="8"/>
      <c r="O2739" s="33" t="str">
        <f>IFERROR(VLOOKUP($M2739,'Informations sur les produits'!$A$3:$H$10000,8,FALSE),"0")</f>
        <v>0</v>
      </c>
      <c r="P2739" s="33">
        <f t="shared" si="168"/>
        <v>0</v>
      </c>
      <c r="Q2739" s="31" t="str">
        <f t="shared" si="169"/>
        <v/>
      </c>
      <c r="R2739" s="32" t="str">
        <f>IFERROR(VLOOKUP($D2739,'Informations sur les produits'!$A$3:$B$15000,2,FALSE),"")</f>
        <v/>
      </c>
      <c r="V2739">
        <f t="shared" si="170"/>
        <v>0</v>
      </c>
      <c r="W2739">
        <f t="shared" si="171"/>
        <v>0</v>
      </c>
    </row>
    <row r="2740" spans="5:23" x14ac:dyDescent="0.25">
      <c r="E2740" s="4"/>
      <c r="F2740" s="4"/>
      <c r="G2740" s="33" t="str">
        <f>IFERROR(VLOOKUP($D2740,'Informations sur les produits'!$A$3:$H$10000,8,FALSE),"0")</f>
        <v>0</v>
      </c>
      <c r="K2740" s="4"/>
      <c r="L2740" s="33" t="str">
        <f>IFERROR(VLOOKUP($J2740,'Informations sur les produits'!$A$3:$H$10000,8,FALSE),"0")</f>
        <v>0</v>
      </c>
      <c r="N2740" s="8"/>
      <c r="O2740" s="33" t="str">
        <f>IFERROR(VLOOKUP($M2740,'Informations sur les produits'!$A$3:$H$10000,8,FALSE),"0")</f>
        <v>0</v>
      </c>
      <c r="P2740" s="33">
        <f t="shared" si="168"/>
        <v>0</v>
      </c>
      <c r="Q2740" s="31" t="str">
        <f t="shared" si="169"/>
        <v/>
      </c>
      <c r="R2740" s="32" t="str">
        <f>IFERROR(VLOOKUP($D2740,'Informations sur les produits'!$A$3:$B$15000,2,FALSE),"")</f>
        <v/>
      </c>
      <c r="V2740">
        <f t="shared" si="170"/>
        <v>0</v>
      </c>
      <c r="W2740">
        <f t="shared" si="171"/>
        <v>0</v>
      </c>
    </row>
    <row r="2741" spans="5:23" x14ac:dyDescent="0.25">
      <c r="E2741" s="4"/>
      <c r="F2741" s="4"/>
      <c r="G2741" s="33" t="str">
        <f>IFERROR(VLOOKUP($D2741,'Informations sur les produits'!$A$3:$H$10000,8,FALSE),"0")</f>
        <v>0</v>
      </c>
      <c r="K2741" s="4"/>
      <c r="L2741" s="33" t="str">
        <f>IFERROR(VLOOKUP($J2741,'Informations sur les produits'!$A$3:$H$10000,8,FALSE),"0")</f>
        <v>0</v>
      </c>
      <c r="N2741" s="8"/>
      <c r="O2741" s="33" t="str">
        <f>IFERROR(VLOOKUP($M2741,'Informations sur les produits'!$A$3:$H$10000,8,FALSE),"0")</f>
        <v>0</v>
      </c>
      <c r="P2741" s="33">
        <f t="shared" si="168"/>
        <v>0</v>
      </c>
      <c r="Q2741" s="31" t="str">
        <f t="shared" si="169"/>
        <v/>
      </c>
      <c r="R2741" s="32" t="str">
        <f>IFERROR(VLOOKUP($D2741,'Informations sur les produits'!$A$3:$B$15000,2,FALSE),"")</f>
        <v/>
      </c>
      <c r="V2741">
        <f t="shared" si="170"/>
        <v>0</v>
      </c>
      <c r="W2741">
        <f t="shared" si="171"/>
        <v>0</v>
      </c>
    </row>
    <row r="2742" spans="5:23" x14ac:dyDescent="0.25">
      <c r="E2742" s="4"/>
      <c r="F2742" s="4"/>
      <c r="G2742" s="33" t="str">
        <f>IFERROR(VLOOKUP($D2742,'Informations sur les produits'!$A$3:$H$10000,8,FALSE),"0")</f>
        <v>0</v>
      </c>
      <c r="K2742" s="4"/>
      <c r="L2742" s="33" t="str">
        <f>IFERROR(VLOOKUP($J2742,'Informations sur les produits'!$A$3:$H$10000,8,FALSE),"0")</f>
        <v>0</v>
      </c>
      <c r="N2742" s="8"/>
      <c r="O2742" s="33" t="str">
        <f>IFERROR(VLOOKUP($M2742,'Informations sur les produits'!$A$3:$H$10000,8,FALSE),"0")</f>
        <v>0</v>
      </c>
      <c r="P2742" s="33">
        <f t="shared" si="168"/>
        <v>0</v>
      </c>
      <c r="Q2742" s="31" t="str">
        <f t="shared" si="169"/>
        <v/>
      </c>
      <c r="R2742" s="32" t="str">
        <f>IFERROR(VLOOKUP($D2742,'Informations sur les produits'!$A$3:$B$15000,2,FALSE),"")</f>
        <v/>
      </c>
      <c r="V2742">
        <f t="shared" si="170"/>
        <v>0</v>
      </c>
      <c r="W2742">
        <f t="shared" si="171"/>
        <v>0</v>
      </c>
    </row>
    <row r="2743" spans="5:23" x14ac:dyDescent="0.25">
      <c r="E2743" s="4"/>
      <c r="F2743" s="4"/>
      <c r="G2743" s="33" t="str">
        <f>IFERROR(VLOOKUP($D2743,'Informations sur les produits'!$A$3:$H$10000,8,FALSE),"0")</f>
        <v>0</v>
      </c>
      <c r="K2743" s="4"/>
      <c r="L2743" s="33" t="str">
        <f>IFERROR(VLOOKUP($J2743,'Informations sur les produits'!$A$3:$H$10000,8,FALSE),"0")</f>
        <v>0</v>
      </c>
      <c r="N2743" s="8"/>
      <c r="O2743" s="33" t="str">
        <f>IFERROR(VLOOKUP($M2743,'Informations sur les produits'!$A$3:$H$10000,8,FALSE),"0")</f>
        <v>0</v>
      </c>
      <c r="P2743" s="33">
        <f t="shared" si="168"/>
        <v>0</v>
      </c>
      <c r="Q2743" s="31" t="str">
        <f t="shared" si="169"/>
        <v/>
      </c>
      <c r="R2743" s="32" t="str">
        <f>IFERROR(VLOOKUP($D2743,'Informations sur les produits'!$A$3:$B$15000,2,FALSE),"")</f>
        <v/>
      </c>
      <c r="V2743">
        <f t="shared" si="170"/>
        <v>0</v>
      </c>
      <c r="W2743">
        <f t="shared" si="171"/>
        <v>0</v>
      </c>
    </row>
    <row r="2744" spans="5:23" x14ac:dyDescent="0.25">
      <c r="E2744" s="4"/>
      <c r="F2744" s="4"/>
      <c r="G2744" s="33" t="str">
        <f>IFERROR(VLOOKUP($D2744,'Informations sur les produits'!$A$3:$H$10000,8,FALSE),"0")</f>
        <v>0</v>
      </c>
      <c r="K2744" s="4"/>
      <c r="L2744" s="33" t="str">
        <f>IFERROR(VLOOKUP($J2744,'Informations sur les produits'!$A$3:$H$10000,8,FALSE),"0")</f>
        <v>0</v>
      </c>
      <c r="N2744" s="8"/>
      <c r="O2744" s="33" t="str">
        <f>IFERROR(VLOOKUP($M2744,'Informations sur les produits'!$A$3:$H$10000,8,FALSE),"0")</f>
        <v>0</v>
      </c>
      <c r="P2744" s="33">
        <f t="shared" si="168"/>
        <v>0</v>
      </c>
      <c r="Q2744" s="31" t="str">
        <f t="shared" si="169"/>
        <v/>
      </c>
      <c r="R2744" s="32" t="str">
        <f>IFERROR(VLOOKUP($D2744,'Informations sur les produits'!$A$3:$B$15000,2,FALSE),"")</f>
        <v/>
      </c>
      <c r="V2744">
        <f t="shared" si="170"/>
        <v>0</v>
      </c>
      <c r="W2744">
        <f t="shared" si="171"/>
        <v>0</v>
      </c>
    </row>
    <row r="2745" spans="5:23" x14ac:dyDescent="0.25">
      <c r="E2745" s="4"/>
      <c r="F2745" s="4"/>
      <c r="G2745" s="33" t="str">
        <f>IFERROR(VLOOKUP($D2745,'Informations sur les produits'!$A$3:$H$10000,8,FALSE),"0")</f>
        <v>0</v>
      </c>
      <c r="K2745" s="4"/>
      <c r="L2745" s="33" t="str">
        <f>IFERROR(VLOOKUP($J2745,'Informations sur les produits'!$A$3:$H$10000,8,FALSE),"0")</f>
        <v>0</v>
      </c>
      <c r="N2745" s="8"/>
      <c r="O2745" s="33" t="str">
        <f>IFERROR(VLOOKUP($M2745,'Informations sur les produits'!$A$3:$H$10000,8,FALSE),"0")</f>
        <v>0</v>
      </c>
      <c r="P2745" s="33">
        <f t="shared" si="168"/>
        <v>0</v>
      </c>
      <c r="Q2745" s="31" t="str">
        <f t="shared" si="169"/>
        <v/>
      </c>
      <c r="R2745" s="32" t="str">
        <f>IFERROR(VLOOKUP($D2745,'Informations sur les produits'!$A$3:$B$15000,2,FALSE),"")</f>
        <v/>
      </c>
      <c r="V2745">
        <f t="shared" si="170"/>
        <v>0</v>
      </c>
      <c r="W2745">
        <f t="shared" si="171"/>
        <v>0</v>
      </c>
    </row>
    <row r="2746" spans="5:23" x14ac:dyDescent="0.25">
      <c r="E2746" s="4"/>
      <c r="F2746" s="4"/>
      <c r="G2746" s="33" t="str">
        <f>IFERROR(VLOOKUP($D2746,'Informations sur les produits'!$A$3:$H$10000,8,FALSE),"0")</f>
        <v>0</v>
      </c>
      <c r="K2746" s="4"/>
      <c r="L2746" s="33" t="str">
        <f>IFERROR(VLOOKUP($J2746,'Informations sur les produits'!$A$3:$H$10000,8,FALSE),"0")</f>
        <v>0</v>
      </c>
      <c r="N2746" s="8"/>
      <c r="O2746" s="33" t="str">
        <f>IFERROR(VLOOKUP($M2746,'Informations sur les produits'!$A$3:$H$10000,8,FALSE),"0")</f>
        <v>0</v>
      </c>
      <c r="P2746" s="33">
        <f t="shared" si="168"/>
        <v>0</v>
      </c>
      <c r="Q2746" s="31" t="str">
        <f t="shared" si="169"/>
        <v/>
      </c>
      <c r="R2746" s="32" t="str">
        <f>IFERROR(VLOOKUP($D2746,'Informations sur les produits'!$A$3:$B$15000,2,FALSE),"")</f>
        <v/>
      </c>
      <c r="V2746">
        <f t="shared" si="170"/>
        <v>0</v>
      </c>
      <c r="W2746">
        <f t="shared" si="171"/>
        <v>0</v>
      </c>
    </row>
    <row r="2747" spans="5:23" x14ac:dyDescent="0.25">
      <c r="E2747" s="4"/>
      <c r="F2747" s="4"/>
      <c r="G2747" s="33" t="str">
        <f>IFERROR(VLOOKUP($D2747,'Informations sur les produits'!$A$3:$H$10000,8,FALSE),"0")</f>
        <v>0</v>
      </c>
      <c r="K2747" s="4"/>
      <c r="L2747" s="33" t="str">
        <f>IFERROR(VLOOKUP($J2747,'Informations sur les produits'!$A$3:$H$10000,8,FALSE),"0")</f>
        <v>0</v>
      </c>
      <c r="N2747" s="8"/>
      <c r="O2747" s="33" t="str">
        <f>IFERROR(VLOOKUP($M2747,'Informations sur les produits'!$A$3:$H$10000,8,FALSE),"0")</f>
        <v>0</v>
      </c>
      <c r="P2747" s="33">
        <f t="shared" si="168"/>
        <v>0</v>
      </c>
      <c r="Q2747" s="31" t="str">
        <f t="shared" si="169"/>
        <v/>
      </c>
      <c r="R2747" s="32" t="str">
        <f>IFERROR(VLOOKUP($D2747,'Informations sur les produits'!$A$3:$B$15000,2,FALSE),"")</f>
        <v/>
      </c>
      <c r="V2747">
        <f t="shared" si="170"/>
        <v>0</v>
      </c>
      <c r="W2747">
        <f t="shared" si="171"/>
        <v>0</v>
      </c>
    </row>
    <row r="2748" spans="5:23" x14ac:dyDescent="0.25">
      <c r="E2748" s="4"/>
      <c r="F2748" s="4"/>
      <c r="G2748" s="33" t="str">
        <f>IFERROR(VLOOKUP($D2748,'Informations sur les produits'!$A$3:$H$10000,8,FALSE),"0")</f>
        <v>0</v>
      </c>
      <c r="K2748" s="4"/>
      <c r="L2748" s="33" t="str">
        <f>IFERROR(VLOOKUP($J2748,'Informations sur les produits'!$A$3:$H$10000,8,FALSE),"0")</f>
        <v>0</v>
      </c>
      <c r="N2748" s="8"/>
      <c r="O2748" s="33" t="str">
        <f>IFERROR(VLOOKUP($M2748,'Informations sur les produits'!$A$3:$H$10000,8,FALSE),"0")</f>
        <v>0</v>
      </c>
      <c r="P2748" s="33">
        <f t="shared" si="168"/>
        <v>0</v>
      </c>
      <c r="Q2748" s="31" t="str">
        <f t="shared" si="169"/>
        <v/>
      </c>
      <c r="R2748" s="32" t="str">
        <f>IFERROR(VLOOKUP($D2748,'Informations sur les produits'!$A$3:$B$15000,2,FALSE),"")</f>
        <v/>
      </c>
      <c r="V2748">
        <f t="shared" si="170"/>
        <v>0</v>
      </c>
      <c r="W2748">
        <f t="shared" si="171"/>
        <v>0</v>
      </c>
    </row>
    <row r="2749" spans="5:23" x14ac:dyDescent="0.25">
      <c r="E2749" s="4"/>
      <c r="F2749" s="4"/>
      <c r="G2749" s="33" t="str">
        <f>IFERROR(VLOOKUP($D2749,'Informations sur les produits'!$A$3:$H$10000,8,FALSE),"0")</f>
        <v>0</v>
      </c>
      <c r="K2749" s="4"/>
      <c r="L2749" s="33" t="str">
        <f>IFERROR(VLOOKUP($J2749,'Informations sur les produits'!$A$3:$H$10000,8,FALSE),"0")</f>
        <v>0</v>
      </c>
      <c r="N2749" s="8"/>
      <c r="O2749" s="33" t="str">
        <f>IFERROR(VLOOKUP($M2749,'Informations sur les produits'!$A$3:$H$10000,8,FALSE),"0")</f>
        <v>0</v>
      </c>
      <c r="P2749" s="33">
        <f t="shared" si="168"/>
        <v>0</v>
      </c>
      <c r="Q2749" s="31" t="str">
        <f t="shared" si="169"/>
        <v/>
      </c>
      <c r="R2749" s="32" t="str">
        <f>IFERROR(VLOOKUP($D2749,'Informations sur les produits'!$A$3:$B$15000,2,FALSE),"")</f>
        <v/>
      </c>
      <c r="V2749">
        <f t="shared" si="170"/>
        <v>0</v>
      </c>
      <c r="W2749">
        <f t="shared" si="171"/>
        <v>0</v>
      </c>
    </row>
    <row r="2750" spans="5:23" x14ac:dyDescent="0.25">
      <c r="E2750" s="4"/>
      <c r="F2750" s="4"/>
      <c r="G2750" s="33" t="str">
        <f>IFERROR(VLOOKUP($D2750,'Informations sur les produits'!$A$3:$H$10000,8,FALSE),"0")</f>
        <v>0</v>
      </c>
      <c r="K2750" s="4"/>
      <c r="L2750" s="33" t="str">
        <f>IFERROR(VLOOKUP($J2750,'Informations sur les produits'!$A$3:$H$10000,8,FALSE),"0")</f>
        <v>0</v>
      </c>
      <c r="N2750" s="8"/>
      <c r="O2750" s="33" t="str">
        <f>IFERROR(VLOOKUP($M2750,'Informations sur les produits'!$A$3:$H$10000,8,FALSE),"0")</f>
        <v>0</v>
      </c>
      <c r="P2750" s="33">
        <f t="shared" si="168"/>
        <v>0</v>
      </c>
      <c r="Q2750" s="31" t="str">
        <f t="shared" si="169"/>
        <v/>
      </c>
      <c r="R2750" s="32" t="str">
        <f>IFERROR(VLOOKUP($D2750,'Informations sur les produits'!$A$3:$B$15000,2,FALSE),"")</f>
        <v/>
      </c>
      <c r="V2750">
        <f t="shared" si="170"/>
        <v>0</v>
      </c>
      <c r="W2750">
        <f t="shared" si="171"/>
        <v>0</v>
      </c>
    </row>
    <row r="2751" spans="5:23" x14ac:dyDescent="0.25">
      <c r="E2751" s="4"/>
      <c r="F2751" s="4"/>
      <c r="G2751" s="33" t="str">
        <f>IFERROR(VLOOKUP($D2751,'Informations sur les produits'!$A$3:$H$10000,8,FALSE),"0")</f>
        <v>0</v>
      </c>
      <c r="K2751" s="4"/>
      <c r="L2751" s="33" t="str">
        <f>IFERROR(VLOOKUP($J2751,'Informations sur les produits'!$A$3:$H$10000,8,FALSE),"0")</f>
        <v>0</v>
      </c>
      <c r="N2751" s="8"/>
      <c r="O2751" s="33" t="str">
        <f>IFERROR(VLOOKUP($M2751,'Informations sur les produits'!$A$3:$H$10000,8,FALSE),"0")</f>
        <v>0</v>
      </c>
      <c r="P2751" s="33">
        <f t="shared" si="168"/>
        <v>0</v>
      </c>
      <c r="Q2751" s="31" t="str">
        <f t="shared" si="169"/>
        <v/>
      </c>
      <c r="R2751" s="32" t="str">
        <f>IFERROR(VLOOKUP($D2751,'Informations sur les produits'!$A$3:$B$15000,2,FALSE),"")</f>
        <v/>
      </c>
      <c r="V2751">
        <f t="shared" si="170"/>
        <v>0</v>
      </c>
      <c r="W2751">
        <f t="shared" si="171"/>
        <v>0</v>
      </c>
    </row>
    <row r="2752" spans="5:23" x14ac:dyDescent="0.25">
      <c r="E2752" s="4"/>
      <c r="F2752" s="4"/>
      <c r="G2752" s="33" t="str">
        <f>IFERROR(VLOOKUP($D2752,'Informations sur les produits'!$A$3:$H$10000,8,FALSE),"0")</f>
        <v>0</v>
      </c>
      <c r="K2752" s="4"/>
      <c r="L2752" s="33" t="str">
        <f>IFERROR(VLOOKUP($J2752,'Informations sur les produits'!$A$3:$H$10000,8,FALSE),"0")</f>
        <v>0</v>
      </c>
      <c r="N2752" s="8"/>
      <c r="O2752" s="33" t="str">
        <f>IFERROR(VLOOKUP($M2752,'Informations sur les produits'!$A$3:$H$10000,8,FALSE),"0")</f>
        <v>0</v>
      </c>
      <c r="P2752" s="33">
        <f t="shared" si="168"/>
        <v>0</v>
      </c>
      <c r="Q2752" s="31" t="str">
        <f t="shared" si="169"/>
        <v/>
      </c>
      <c r="R2752" s="32" t="str">
        <f>IFERROR(VLOOKUP($D2752,'Informations sur les produits'!$A$3:$B$15000,2,FALSE),"")</f>
        <v/>
      </c>
      <c r="V2752">
        <f t="shared" si="170"/>
        <v>0</v>
      </c>
      <c r="W2752">
        <f t="shared" si="171"/>
        <v>0</v>
      </c>
    </row>
    <row r="2753" spans="5:23" x14ac:dyDescent="0.25">
      <c r="E2753" s="4"/>
      <c r="F2753" s="4"/>
      <c r="G2753" s="33" t="str">
        <f>IFERROR(VLOOKUP($D2753,'Informations sur les produits'!$A$3:$H$10000,8,FALSE),"0")</f>
        <v>0</v>
      </c>
      <c r="K2753" s="4"/>
      <c r="L2753" s="33" t="str">
        <f>IFERROR(VLOOKUP($J2753,'Informations sur les produits'!$A$3:$H$10000,8,FALSE),"0")</f>
        <v>0</v>
      </c>
      <c r="N2753" s="8"/>
      <c r="O2753" s="33" t="str">
        <f>IFERROR(VLOOKUP($M2753,'Informations sur les produits'!$A$3:$H$10000,8,FALSE),"0")</f>
        <v>0</v>
      </c>
      <c r="P2753" s="33">
        <f t="shared" si="168"/>
        <v>0</v>
      </c>
      <c r="Q2753" s="31" t="str">
        <f t="shared" si="169"/>
        <v/>
      </c>
      <c r="R2753" s="32" t="str">
        <f>IFERROR(VLOOKUP($D2753,'Informations sur les produits'!$A$3:$B$15000,2,FALSE),"")</f>
        <v/>
      </c>
      <c r="V2753">
        <f t="shared" si="170"/>
        <v>0</v>
      </c>
      <c r="W2753">
        <f t="shared" si="171"/>
        <v>0</v>
      </c>
    </row>
    <row r="2754" spans="5:23" x14ac:dyDescent="0.25">
      <c r="E2754" s="4"/>
      <c r="F2754" s="4"/>
      <c r="G2754" s="33" t="str">
        <f>IFERROR(VLOOKUP($D2754,'Informations sur les produits'!$A$3:$H$10000,8,FALSE),"0")</f>
        <v>0</v>
      </c>
      <c r="K2754" s="4"/>
      <c r="L2754" s="33" t="str">
        <f>IFERROR(VLOOKUP($J2754,'Informations sur les produits'!$A$3:$H$10000,8,FALSE),"0")</f>
        <v>0</v>
      </c>
      <c r="N2754" s="8"/>
      <c r="O2754" s="33" t="str">
        <f>IFERROR(VLOOKUP($M2754,'Informations sur les produits'!$A$3:$H$10000,8,FALSE),"0")</f>
        <v>0</v>
      </c>
      <c r="P2754" s="33">
        <f t="shared" si="168"/>
        <v>0</v>
      </c>
      <c r="Q2754" s="31" t="str">
        <f t="shared" si="169"/>
        <v/>
      </c>
      <c r="R2754" s="32" t="str">
        <f>IFERROR(VLOOKUP($D2754,'Informations sur les produits'!$A$3:$B$15000,2,FALSE),"")</f>
        <v/>
      </c>
      <c r="V2754">
        <f t="shared" si="170"/>
        <v>0</v>
      </c>
      <c r="W2754">
        <f t="shared" si="171"/>
        <v>0</v>
      </c>
    </row>
    <row r="2755" spans="5:23" x14ac:dyDescent="0.25">
      <c r="E2755" s="4"/>
      <c r="F2755" s="4"/>
      <c r="G2755" s="33" t="str">
        <f>IFERROR(VLOOKUP($D2755,'Informations sur les produits'!$A$3:$H$10000,8,FALSE),"0")</f>
        <v>0</v>
      </c>
      <c r="K2755" s="4"/>
      <c r="L2755" s="33" t="str">
        <f>IFERROR(VLOOKUP($J2755,'Informations sur les produits'!$A$3:$H$10000,8,FALSE),"0")</f>
        <v>0</v>
      </c>
      <c r="N2755" s="8"/>
      <c r="O2755" s="33" t="str">
        <f>IFERROR(VLOOKUP($M2755,'Informations sur les produits'!$A$3:$H$10000,8,FALSE),"0")</f>
        <v>0</v>
      </c>
      <c r="P2755" s="33">
        <f t="shared" si="168"/>
        <v>0</v>
      </c>
      <c r="Q2755" s="31" t="str">
        <f t="shared" si="169"/>
        <v/>
      </c>
      <c r="R2755" s="32" t="str">
        <f>IFERROR(VLOOKUP($D2755,'Informations sur les produits'!$A$3:$B$15000,2,FALSE),"")</f>
        <v/>
      </c>
      <c r="V2755">
        <f t="shared" si="170"/>
        <v>0</v>
      </c>
      <c r="W2755">
        <f t="shared" si="171"/>
        <v>0</v>
      </c>
    </row>
    <row r="2756" spans="5:23" x14ac:dyDescent="0.25">
      <c r="E2756" s="4"/>
      <c r="F2756" s="4"/>
      <c r="G2756" s="33" t="str">
        <f>IFERROR(VLOOKUP($D2756,'Informations sur les produits'!$A$3:$H$10000,8,FALSE),"0")</f>
        <v>0</v>
      </c>
      <c r="K2756" s="4"/>
      <c r="L2756" s="33" t="str">
        <f>IFERROR(VLOOKUP($J2756,'Informations sur les produits'!$A$3:$H$10000,8,FALSE),"0")</f>
        <v>0</v>
      </c>
      <c r="N2756" s="8"/>
      <c r="O2756" s="33" t="str">
        <f>IFERROR(VLOOKUP($M2756,'Informations sur les produits'!$A$3:$H$10000,8,FALSE),"0")</f>
        <v>0</v>
      </c>
      <c r="P2756" s="33">
        <f t="shared" ref="P2756:P2819" si="172">IFERROR((($E2756-$F2756)*$G2756+$K2756*$L2756+$N2756*$O2756),"")</f>
        <v>0</v>
      </c>
      <c r="Q2756" s="31" t="str">
        <f t="shared" ref="Q2756:Q2819" si="173">IFERROR((((($E2756-$F2756)*$G2756+$K2756*$L2756+$N2756*$O2756)*1000)/(($E2756-$F2756)+$K2756+$N2756)),"")</f>
        <v/>
      </c>
      <c r="R2756" s="32" t="str">
        <f>IFERROR(VLOOKUP($D2756,'Informations sur les produits'!$A$3:$B$15000,2,FALSE),"")</f>
        <v/>
      </c>
      <c r="V2756">
        <f t="shared" ref="V2756:V2819" si="174">IFERROR(P2756*1000,"")</f>
        <v>0</v>
      </c>
      <c r="W2756">
        <f t="shared" ref="W2756:W2819" si="175">IFERROR(($E2756-$F2756)+$K2756+$N2756,"")</f>
        <v>0</v>
      </c>
    </row>
    <row r="2757" spans="5:23" x14ac:dyDescent="0.25">
      <c r="E2757" s="4"/>
      <c r="F2757" s="4"/>
      <c r="G2757" s="33" t="str">
        <f>IFERROR(VLOOKUP($D2757,'Informations sur les produits'!$A$3:$H$10000,8,FALSE),"0")</f>
        <v>0</v>
      </c>
      <c r="K2757" s="4"/>
      <c r="L2757" s="33" t="str">
        <f>IFERROR(VLOOKUP($J2757,'Informations sur les produits'!$A$3:$H$10000,8,FALSE),"0")</f>
        <v>0</v>
      </c>
      <c r="N2757" s="8"/>
      <c r="O2757" s="33" t="str">
        <f>IFERROR(VLOOKUP($M2757,'Informations sur les produits'!$A$3:$H$10000,8,FALSE),"0")</f>
        <v>0</v>
      </c>
      <c r="P2757" s="33">
        <f t="shared" si="172"/>
        <v>0</v>
      </c>
      <c r="Q2757" s="31" t="str">
        <f t="shared" si="173"/>
        <v/>
      </c>
      <c r="R2757" s="32" t="str">
        <f>IFERROR(VLOOKUP($D2757,'Informations sur les produits'!$A$3:$B$15000,2,FALSE),"")</f>
        <v/>
      </c>
      <c r="V2757">
        <f t="shared" si="174"/>
        <v>0</v>
      </c>
      <c r="W2757">
        <f t="shared" si="175"/>
        <v>0</v>
      </c>
    </row>
    <row r="2758" spans="5:23" x14ac:dyDescent="0.25">
      <c r="E2758" s="4"/>
      <c r="F2758" s="4"/>
      <c r="G2758" s="33" t="str">
        <f>IFERROR(VLOOKUP($D2758,'Informations sur les produits'!$A$3:$H$10000,8,FALSE),"0")</f>
        <v>0</v>
      </c>
      <c r="K2758" s="4"/>
      <c r="L2758" s="33" t="str">
        <f>IFERROR(VLOOKUP($J2758,'Informations sur les produits'!$A$3:$H$10000,8,FALSE),"0")</f>
        <v>0</v>
      </c>
      <c r="N2758" s="8"/>
      <c r="O2758" s="33" t="str">
        <f>IFERROR(VLOOKUP($M2758,'Informations sur les produits'!$A$3:$H$10000,8,FALSE),"0")</f>
        <v>0</v>
      </c>
      <c r="P2758" s="33">
        <f t="shared" si="172"/>
        <v>0</v>
      </c>
      <c r="Q2758" s="31" t="str">
        <f t="shared" si="173"/>
        <v/>
      </c>
      <c r="R2758" s="32" t="str">
        <f>IFERROR(VLOOKUP($D2758,'Informations sur les produits'!$A$3:$B$15000,2,FALSE),"")</f>
        <v/>
      </c>
      <c r="V2758">
        <f t="shared" si="174"/>
        <v>0</v>
      </c>
      <c r="W2758">
        <f t="shared" si="175"/>
        <v>0</v>
      </c>
    </row>
    <row r="2759" spans="5:23" x14ac:dyDescent="0.25">
      <c r="E2759" s="4"/>
      <c r="F2759" s="4"/>
      <c r="G2759" s="33" t="str">
        <f>IFERROR(VLOOKUP($D2759,'Informations sur les produits'!$A$3:$H$10000,8,FALSE),"0")</f>
        <v>0</v>
      </c>
      <c r="K2759" s="4"/>
      <c r="L2759" s="33" t="str">
        <f>IFERROR(VLOOKUP($J2759,'Informations sur les produits'!$A$3:$H$10000,8,FALSE),"0")</f>
        <v>0</v>
      </c>
      <c r="N2759" s="8"/>
      <c r="O2759" s="33" t="str">
        <f>IFERROR(VLOOKUP($M2759,'Informations sur les produits'!$A$3:$H$10000,8,FALSE),"0")</f>
        <v>0</v>
      </c>
      <c r="P2759" s="33">
        <f t="shared" si="172"/>
        <v>0</v>
      </c>
      <c r="Q2759" s="31" t="str">
        <f t="shared" si="173"/>
        <v/>
      </c>
      <c r="R2759" s="32" t="str">
        <f>IFERROR(VLOOKUP($D2759,'Informations sur les produits'!$A$3:$B$15000,2,FALSE),"")</f>
        <v/>
      </c>
      <c r="V2759">
        <f t="shared" si="174"/>
        <v>0</v>
      </c>
      <c r="W2759">
        <f t="shared" si="175"/>
        <v>0</v>
      </c>
    </row>
    <row r="2760" spans="5:23" x14ac:dyDescent="0.25">
      <c r="E2760" s="4"/>
      <c r="F2760" s="4"/>
      <c r="G2760" s="33" t="str">
        <f>IFERROR(VLOOKUP($D2760,'Informations sur les produits'!$A$3:$H$10000,8,FALSE),"0")</f>
        <v>0</v>
      </c>
      <c r="K2760" s="4"/>
      <c r="L2760" s="33" t="str">
        <f>IFERROR(VLOOKUP($J2760,'Informations sur les produits'!$A$3:$H$10000,8,FALSE),"0")</f>
        <v>0</v>
      </c>
      <c r="N2760" s="8"/>
      <c r="O2760" s="33" t="str">
        <f>IFERROR(VLOOKUP($M2760,'Informations sur les produits'!$A$3:$H$10000,8,FALSE),"0")</f>
        <v>0</v>
      </c>
      <c r="P2760" s="33">
        <f t="shared" si="172"/>
        <v>0</v>
      </c>
      <c r="Q2760" s="31" t="str">
        <f t="shared" si="173"/>
        <v/>
      </c>
      <c r="R2760" s="32" t="str">
        <f>IFERROR(VLOOKUP($D2760,'Informations sur les produits'!$A$3:$B$15000,2,FALSE),"")</f>
        <v/>
      </c>
      <c r="V2760">
        <f t="shared" si="174"/>
        <v>0</v>
      </c>
      <c r="W2760">
        <f t="shared" si="175"/>
        <v>0</v>
      </c>
    </row>
    <row r="2761" spans="5:23" x14ac:dyDescent="0.25">
      <c r="E2761" s="4"/>
      <c r="F2761" s="4"/>
      <c r="G2761" s="33" t="str">
        <f>IFERROR(VLOOKUP($D2761,'Informations sur les produits'!$A$3:$H$10000,8,FALSE),"0")</f>
        <v>0</v>
      </c>
      <c r="K2761" s="4"/>
      <c r="L2761" s="33" t="str">
        <f>IFERROR(VLOOKUP($J2761,'Informations sur les produits'!$A$3:$H$10000,8,FALSE),"0")</f>
        <v>0</v>
      </c>
      <c r="N2761" s="8"/>
      <c r="O2761" s="33" t="str">
        <f>IFERROR(VLOOKUP($M2761,'Informations sur les produits'!$A$3:$H$10000,8,FALSE),"0")</f>
        <v>0</v>
      </c>
      <c r="P2761" s="33">
        <f t="shared" si="172"/>
        <v>0</v>
      </c>
      <c r="Q2761" s="31" t="str">
        <f t="shared" si="173"/>
        <v/>
      </c>
      <c r="R2761" s="32" t="str">
        <f>IFERROR(VLOOKUP($D2761,'Informations sur les produits'!$A$3:$B$15000,2,FALSE),"")</f>
        <v/>
      </c>
      <c r="V2761">
        <f t="shared" si="174"/>
        <v>0</v>
      </c>
      <c r="W2761">
        <f t="shared" si="175"/>
        <v>0</v>
      </c>
    </row>
    <row r="2762" spans="5:23" x14ac:dyDescent="0.25">
      <c r="E2762" s="4"/>
      <c r="F2762" s="4"/>
      <c r="G2762" s="33" t="str">
        <f>IFERROR(VLOOKUP($D2762,'Informations sur les produits'!$A$3:$H$10000,8,FALSE),"0")</f>
        <v>0</v>
      </c>
      <c r="K2762" s="4"/>
      <c r="L2762" s="33" t="str">
        <f>IFERROR(VLOOKUP($J2762,'Informations sur les produits'!$A$3:$H$10000,8,FALSE),"0")</f>
        <v>0</v>
      </c>
      <c r="N2762" s="8"/>
      <c r="O2762" s="33" t="str">
        <f>IFERROR(VLOOKUP($M2762,'Informations sur les produits'!$A$3:$H$10000,8,FALSE),"0")</f>
        <v>0</v>
      </c>
      <c r="P2762" s="33">
        <f t="shared" si="172"/>
        <v>0</v>
      </c>
      <c r="Q2762" s="31" t="str">
        <f t="shared" si="173"/>
        <v/>
      </c>
      <c r="R2762" s="32" t="str">
        <f>IFERROR(VLOOKUP($D2762,'Informations sur les produits'!$A$3:$B$15000,2,FALSE),"")</f>
        <v/>
      </c>
      <c r="V2762">
        <f t="shared" si="174"/>
        <v>0</v>
      </c>
      <c r="W2762">
        <f t="shared" si="175"/>
        <v>0</v>
      </c>
    </row>
    <row r="2763" spans="5:23" x14ac:dyDescent="0.25">
      <c r="E2763" s="4"/>
      <c r="F2763" s="4"/>
      <c r="G2763" s="33" t="str">
        <f>IFERROR(VLOOKUP($D2763,'Informations sur les produits'!$A$3:$H$10000,8,FALSE),"0")</f>
        <v>0</v>
      </c>
      <c r="K2763" s="4"/>
      <c r="L2763" s="33" t="str">
        <f>IFERROR(VLOOKUP($J2763,'Informations sur les produits'!$A$3:$H$10000,8,FALSE),"0")</f>
        <v>0</v>
      </c>
      <c r="N2763" s="8"/>
      <c r="O2763" s="33" t="str">
        <f>IFERROR(VLOOKUP($M2763,'Informations sur les produits'!$A$3:$H$10000,8,FALSE),"0")</f>
        <v>0</v>
      </c>
      <c r="P2763" s="33">
        <f t="shared" si="172"/>
        <v>0</v>
      </c>
      <c r="Q2763" s="31" t="str">
        <f t="shared" si="173"/>
        <v/>
      </c>
      <c r="R2763" s="32" t="str">
        <f>IFERROR(VLOOKUP($D2763,'Informations sur les produits'!$A$3:$B$15000,2,FALSE),"")</f>
        <v/>
      </c>
      <c r="V2763">
        <f t="shared" si="174"/>
        <v>0</v>
      </c>
      <c r="W2763">
        <f t="shared" si="175"/>
        <v>0</v>
      </c>
    </row>
    <row r="2764" spans="5:23" x14ac:dyDescent="0.25">
      <c r="E2764" s="4"/>
      <c r="F2764" s="4"/>
      <c r="G2764" s="33" t="str">
        <f>IFERROR(VLOOKUP($D2764,'Informations sur les produits'!$A$3:$H$10000,8,FALSE),"0")</f>
        <v>0</v>
      </c>
      <c r="K2764" s="4"/>
      <c r="L2764" s="33" t="str">
        <f>IFERROR(VLOOKUP($J2764,'Informations sur les produits'!$A$3:$H$10000,8,FALSE),"0")</f>
        <v>0</v>
      </c>
      <c r="N2764" s="8"/>
      <c r="O2764" s="33" t="str">
        <f>IFERROR(VLOOKUP($M2764,'Informations sur les produits'!$A$3:$H$10000,8,FALSE),"0")</f>
        <v>0</v>
      </c>
      <c r="P2764" s="33">
        <f t="shared" si="172"/>
        <v>0</v>
      </c>
      <c r="Q2764" s="31" t="str">
        <f t="shared" si="173"/>
        <v/>
      </c>
      <c r="R2764" s="32" t="str">
        <f>IFERROR(VLOOKUP($D2764,'Informations sur les produits'!$A$3:$B$15000,2,FALSE),"")</f>
        <v/>
      </c>
      <c r="V2764">
        <f t="shared" si="174"/>
        <v>0</v>
      </c>
      <c r="W2764">
        <f t="shared" si="175"/>
        <v>0</v>
      </c>
    </row>
    <row r="2765" spans="5:23" x14ac:dyDescent="0.25">
      <c r="E2765" s="4"/>
      <c r="F2765" s="4"/>
      <c r="G2765" s="33" t="str">
        <f>IFERROR(VLOOKUP($D2765,'Informations sur les produits'!$A$3:$H$10000,8,FALSE),"0")</f>
        <v>0</v>
      </c>
      <c r="K2765" s="4"/>
      <c r="L2765" s="33" t="str">
        <f>IFERROR(VLOOKUP($J2765,'Informations sur les produits'!$A$3:$H$10000,8,FALSE),"0")</f>
        <v>0</v>
      </c>
      <c r="N2765" s="8"/>
      <c r="O2765" s="33" t="str">
        <f>IFERROR(VLOOKUP($M2765,'Informations sur les produits'!$A$3:$H$10000,8,FALSE),"0")</f>
        <v>0</v>
      </c>
      <c r="P2765" s="33">
        <f t="shared" si="172"/>
        <v>0</v>
      </c>
      <c r="Q2765" s="31" t="str">
        <f t="shared" si="173"/>
        <v/>
      </c>
      <c r="R2765" s="32" t="str">
        <f>IFERROR(VLOOKUP($D2765,'Informations sur les produits'!$A$3:$B$15000,2,FALSE),"")</f>
        <v/>
      </c>
      <c r="V2765">
        <f t="shared" si="174"/>
        <v>0</v>
      </c>
      <c r="W2765">
        <f t="shared" si="175"/>
        <v>0</v>
      </c>
    </row>
    <row r="2766" spans="5:23" x14ac:dyDescent="0.25">
      <c r="E2766" s="4"/>
      <c r="F2766" s="4"/>
      <c r="G2766" s="33" t="str">
        <f>IFERROR(VLOOKUP($D2766,'Informations sur les produits'!$A$3:$H$10000,8,FALSE),"0")</f>
        <v>0</v>
      </c>
      <c r="K2766" s="4"/>
      <c r="L2766" s="33" t="str">
        <f>IFERROR(VLOOKUP($J2766,'Informations sur les produits'!$A$3:$H$10000,8,FALSE),"0")</f>
        <v>0</v>
      </c>
      <c r="N2766" s="8"/>
      <c r="O2766" s="33" t="str">
        <f>IFERROR(VLOOKUP($M2766,'Informations sur les produits'!$A$3:$H$10000,8,FALSE),"0")</f>
        <v>0</v>
      </c>
      <c r="P2766" s="33">
        <f t="shared" si="172"/>
        <v>0</v>
      </c>
      <c r="Q2766" s="31" t="str">
        <f t="shared" si="173"/>
        <v/>
      </c>
      <c r="R2766" s="32" t="str">
        <f>IFERROR(VLOOKUP($D2766,'Informations sur les produits'!$A$3:$B$15000,2,FALSE),"")</f>
        <v/>
      </c>
      <c r="V2766">
        <f t="shared" si="174"/>
        <v>0</v>
      </c>
      <c r="W2766">
        <f t="shared" si="175"/>
        <v>0</v>
      </c>
    </row>
    <row r="2767" spans="5:23" x14ac:dyDescent="0.25">
      <c r="E2767" s="4"/>
      <c r="F2767" s="4"/>
      <c r="G2767" s="33" t="str">
        <f>IFERROR(VLOOKUP($D2767,'Informations sur les produits'!$A$3:$H$10000,8,FALSE),"0")</f>
        <v>0</v>
      </c>
      <c r="K2767" s="4"/>
      <c r="L2767" s="33" t="str">
        <f>IFERROR(VLOOKUP($J2767,'Informations sur les produits'!$A$3:$H$10000,8,FALSE),"0")</f>
        <v>0</v>
      </c>
      <c r="N2767" s="8"/>
      <c r="O2767" s="33" t="str">
        <f>IFERROR(VLOOKUP($M2767,'Informations sur les produits'!$A$3:$H$10000,8,FALSE),"0")</f>
        <v>0</v>
      </c>
      <c r="P2767" s="33">
        <f t="shared" si="172"/>
        <v>0</v>
      </c>
      <c r="Q2767" s="31" t="str">
        <f t="shared" si="173"/>
        <v/>
      </c>
      <c r="R2767" s="32" t="str">
        <f>IFERROR(VLOOKUP($D2767,'Informations sur les produits'!$A$3:$B$15000,2,FALSE),"")</f>
        <v/>
      </c>
      <c r="V2767">
        <f t="shared" si="174"/>
        <v>0</v>
      </c>
      <c r="W2767">
        <f t="shared" si="175"/>
        <v>0</v>
      </c>
    </row>
    <row r="2768" spans="5:23" x14ac:dyDescent="0.25">
      <c r="E2768" s="4"/>
      <c r="F2768" s="4"/>
      <c r="G2768" s="33" t="str">
        <f>IFERROR(VLOOKUP($D2768,'Informations sur les produits'!$A$3:$H$10000,8,FALSE),"0")</f>
        <v>0</v>
      </c>
      <c r="K2768" s="4"/>
      <c r="L2768" s="33" t="str">
        <f>IFERROR(VLOOKUP($J2768,'Informations sur les produits'!$A$3:$H$10000,8,FALSE),"0")</f>
        <v>0</v>
      </c>
      <c r="N2768" s="8"/>
      <c r="O2768" s="33" t="str">
        <f>IFERROR(VLOOKUP($M2768,'Informations sur les produits'!$A$3:$H$10000,8,FALSE),"0")</f>
        <v>0</v>
      </c>
      <c r="P2768" s="33">
        <f t="shared" si="172"/>
        <v>0</v>
      </c>
      <c r="Q2768" s="31" t="str">
        <f t="shared" si="173"/>
        <v/>
      </c>
      <c r="R2768" s="32" t="str">
        <f>IFERROR(VLOOKUP($D2768,'Informations sur les produits'!$A$3:$B$15000,2,FALSE),"")</f>
        <v/>
      </c>
      <c r="V2768">
        <f t="shared" si="174"/>
        <v>0</v>
      </c>
      <c r="W2768">
        <f t="shared" si="175"/>
        <v>0</v>
      </c>
    </row>
    <row r="2769" spans="5:23" x14ac:dyDescent="0.25">
      <c r="E2769" s="4"/>
      <c r="F2769" s="4"/>
      <c r="G2769" s="33" t="str">
        <f>IFERROR(VLOOKUP($D2769,'Informations sur les produits'!$A$3:$H$10000,8,FALSE),"0")</f>
        <v>0</v>
      </c>
      <c r="K2769" s="4"/>
      <c r="L2769" s="33" t="str">
        <f>IFERROR(VLOOKUP($J2769,'Informations sur les produits'!$A$3:$H$10000,8,FALSE),"0")</f>
        <v>0</v>
      </c>
      <c r="N2769" s="8"/>
      <c r="O2769" s="33" t="str">
        <f>IFERROR(VLOOKUP($M2769,'Informations sur les produits'!$A$3:$H$10000,8,FALSE),"0")</f>
        <v>0</v>
      </c>
      <c r="P2769" s="33">
        <f t="shared" si="172"/>
        <v>0</v>
      </c>
      <c r="Q2769" s="31" t="str">
        <f t="shared" si="173"/>
        <v/>
      </c>
      <c r="R2769" s="32" t="str">
        <f>IFERROR(VLOOKUP($D2769,'Informations sur les produits'!$A$3:$B$15000,2,FALSE),"")</f>
        <v/>
      </c>
      <c r="V2769">
        <f t="shared" si="174"/>
        <v>0</v>
      </c>
      <c r="W2769">
        <f t="shared" si="175"/>
        <v>0</v>
      </c>
    </row>
    <row r="2770" spans="5:23" x14ac:dyDescent="0.25">
      <c r="E2770" s="4"/>
      <c r="F2770" s="4"/>
      <c r="G2770" s="33" t="str">
        <f>IFERROR(VLOOKUP($D2770,'Informations sur les produits'!$A$3:$H$10000,8,FALSE),"0")</f>
        <v>0</v>
      </c>
      <c r="K2770" s="4"/>
      <c r="L2770" s="33" t="str">
        <f>IFERROR(VLOOKUP($J2770,'Informations sur les produits'!$A$3:$H$10000,8,FALSE),"0")</f>
        <v>0</v>
      </c>
      <c r="N2770" s="8"/>
      <c r="O2770" s="33" t="str">
        <f>IFERROR(VLOOKUP($M2770,'Informations sur les produits'!$A$3:$H$10000,8,FALSE),"0")</f>
        <v>0</v>
      </c>
      <c r="P2770" s="33">
        <f t="shared" si="172"/>
        <v>0</v>
      </c>
      <c r="Q2770" s="31" t="str">
        <f t="shared" si="173"/>
        <v/>
      </c>
      <c r="R2770" s="32" t="str">
        <f>IFERROR(VLOOKUP($D2770,'Informations sur les produits'!$A$3:$B$15000,2,FALSE),"")</f>
        <v/>
      </c>
      <c r="V2770">
        <f t="shared" si="174"/>
        <v>0</v>
      </c>
      <c r="W2770">
        <f t="shared" si="175"/>
        <v>0</v>
      </c>
    </row>
    <row r="2771" spans="5:23" x14ac:dyDescent="0.25">
      <c r="E2771" s="4"/>
      <c r="F2771" s="4"/>
      <c r="G2771" s="33" t="str">
        <f>IFERROR(VLOOKUP($D2771,'Informations sur les produits'!$A$3:$H$10000,8,FALSE),"0")</f>
        <v>0</v>
      </c>
      <c r="K2771" s="4"/>
      <c r="L2771" s="33" t="str">
        <f>IFERROR(VLOOKUP($J2771,'Informations sur les produits'!$A$3:$H$10000,8,FALSE),"0")</f>
        <v>0</v>
      </c>
      <c r="N2771" s="8"/>
      <c r="O2771" s="33" t="str">
        <f>IFERROR(VLOOKUP($M2771,'Informations sur les produits'!$A$3:$H$10000,8,FALSE),"0")</f>
        <v>0</v>
      </c>
      <c r="P2771" s="33">
        <f t="shared" si="172"/>
        <v>0</v>
      </c>
      <c r="Q2771" s="31" t="str">
        <f t="shared" si="173"/>
        <v/>
      </c>
      <c r="R2771" s="32" t="str">
        <f>IFERROR(VLOOKUP($D2771,'Informations sur les produits'!$A$3:$B$15000,2,FALSE),"")</f>
        <v/>
      </c>
      <c r="V2771">
        <f t="shared" si="174"/>
        <v>0</v>
      </c>
      <c r="W2771">
        <f t="shared" si="175"/>
        <v>0</v>
      </c>
    </row>
    <row r="2772" spans="5:23" x14ac:dyDescent="0.25">
      <c r="E2772" s="4"/>
      <c r="F2772" s="4"/>
      <c r="G2772" s="33" t="str">
        <f>IFERROR(VLOOKUP($D2772,'Informations sur les produits'!$A$3:$H$10000,8,FALSE),"0")</f>
        <v>0</v>
      </c>
      <c r="K2772" s="4"/>
      <c r="L2772" s="33" t="str">
        <f>IFERROR(VLOOKUP($J2772,'Informations sur les produits'!$A$3:$H$10000,8,FALSE),"0")</f>
        <v>0</v>
      </c>
      <c r="N2772" s="8"/>
      <c r="O2772" s="33" t="str">
        <f>IFERROR(VLOOKUP($M2772,'Informations sur les produits'!$A$3:$H$10000,8,FALSE),"0")</f>
        <v>0</v>
      </c>
      <c r="P2772" s="33">
        <f t="shared" si="172"/>
        <v>0</v>
      </c>
      <c r="Q2772" s="31" t="str">
        <f t="shared" si="173"/>
        <v/>
      </c>
      <c r="R2772" s="32" t="str">
        <f>IFERROR(VLOOKUP($D2772,'Informations sur les produits'!$A$3:$B$15000,2,FALSE),"")</f>
        <v/>
      </c>
      <c r="V2772">
        <f t="shared" si="174"/>
        <v>0</v>
      </c>
      <c r="W2772">
        <f t="shared" si="175"/>
        <v>0</v>
      </c>
    </row>
    <row r="2773" spans="5:23" x14ac:dyDescent="0.25">
      <c r="E2773" s="4"/>
      <c r="F2773" s="4"/>
      <c r="G2773" s="33" t="str">
        <f>IFERROR(VLOOKUP($D2773,'Informations sur les produits'!$A$3:$H$10000,8,FALSE),"0")</f>
        <v>0</v>
      </c>
      <c r="K2773" s="4"/>
      <c r="L2773" s="33" t="str">
        <f>IFERROR(VLOOKUP($J2773,'Informations sur les produits'!$A$3:$H$10000,8,FALSE),"0")</f>
        <v>0</v>
      </c>
      <c r="N2773" s="8"/>
      <c r="O2773" s="33" t="str">
        <f>IFERROR(VLOOKUP($M2773,'Informations sur les produits'!$A$3:$H$10000,8,FALSE),"0")</f>
        <v>0</v>
      </c>
      <c r="P2773" s="33">
        <f t="shared" si="172"/>
        <v>0</v>
      </c>
      <c r="Q2773" s="31" t="str">
        <f t="shared" si="173"/>
        <v/>
      </c>
      <c r="R2773" s="32" t="str">
        <f>IFERROR(VLOOKUP($D2773,'Informations sur les produits'!$A$3:$B$15000,2,FALSE),"")</f>
        <v/>
      </c>
      <c r="V2773">
        <f t="shared" si="174"/>
        <v>0</v>
      </c>
      <c r="W2773">
        <f t="shared" si="175"/>
        <v>0</v>
      </c>
    </row>
    <row r="2774" spans="5:23" x14ac:dyDescent="0.25">
      <c r="E2774" s="4"/>
      <c r="F2774" s="4"/>
      <c r="G2774" s="33" t="str">
        <f>IFERROR(VLOOKUP($D2774,'Informations sur les produits'!$A$3:$H$10000,8,FALSE),"0")</f>
        <v>0</v>
      </c>
      <c r="K2774" s="4"/>
      <c r="L2774" s="33" t="str">
        <f>IFERROR(VLOOKUP($J2774,'Informations sur les produits'!$A$3:$H$10000,8,FALSE),"0")</f>
        <v>0</v>
      </c>
      <c r="N2774" s="8"/>
      <c r="O2774" s="33" t="str">
        <f>IFERROR(VLOOKUP($M2774,'Informations sur les produits'!$A$3:$H$10000,8,FALSE),"0")</f>
        <v>0</v>
      </c>
      <c r="P2774" s="33">
        <f t="shared" si="172"/>
        <v>0</v>
      </c>
      <c r="Q2774" s="31" t="str">
        <f t="shared" si="173"/>
        <v/>
      </c>
      <c r="R2774" s="32" t="str">
        <f>IFERROR(VLOOKUP($D2774,'Informations sur les produits'!$A$3:$B$15000,2,FALSE),"")</f>
        <v/>
      </c>
      <c r="V2774">
        <f t="shared" si="174"/>
        <v>0</v>
      </c>
      <c r="W2774">
        <f t="shared" si="175"/>
        <v>0</v>
      </c>
    </row>
    <row r="2775" spans="5:23" x14ac:dyDescent="0.25">
      <c r="E2775" s="4"/>
      <c r="F2775" s="4"/>
      <c r="G2775" s="33" t="str">
        <f>IFERROR(VLOOKUP($D2775,'Informations sur les produits'!$A$3:$H$10000,8,FALSE),"0")</f>
        <v>0</v>
      </c>
      <c r="K2775" s="4"/>
      <c r="L2775" s="33" t="str">
        <f>IFERROR(VLOOKUP($J2775,'Informations sur les produits'!$A$3:$H$10000,8,FALSE),"0")</f>
        <v>0</v>
      </c>
      <c r="N2775" s="8"/>
      <c r="O2775" s="33" t="str">
        <f>IFERROR(VLOOKUP($M2775,'Informations sur les produits'!$A$3:$H$10000,8,FALSE),"0")</f>
        <v>0</v>
      </c>
      <c r="P2775" s="33">
        <f t="shared" si="172"/>
        <v>0</v>
      </c>
      <c r="Q2775" s="31" t="str">
        <f t="shared" si="173"/>
        <v/>
      </c>
      <c r="R2775" s="32" t="str">
        <f>IFERROR(VLOOKUP($D2775,'Informations sur les produits'!$A$3:$B$15000,2,FALSE),"")</f>
        <v/>
      </c>
      <c r="V2775">
        <f t="shared" si="174"/>
        <v>0</v>
      </c>
      <c r="W2775">
        <f t="shared" si="175"/>
        <v>0</v>
      </c>
    </row>
    <row r="2776" spans="5:23" x14ac:dyDescent="0.25">
      <c r="E2776" s="4"/>
      <c r="F2776" s="4"/>
      <c r="G2776" s="33" t="str">
        <f>IFERROR(VLOOKUP($D2776,'Informations sur les produits'!$A$3:$H$10000,8,FALSE),"0")</f>
        <v>0</v>
      </c>
      <c r="K2776" s="4"/>
      <c r="L2776" s="33" t="str">
        <f>IFERROR(VLOOKUP($J2776,'Informations sur les produits'!$A$3:$H$10000,8,FALSE),"0")</f>
        <v>0</v>
      </c>
      <c r="N2776" s="8"/>
      <c r="O2776" s="33" t="str">
        <f>IFERROR(VLOOKUP($M2776,'Informations sur les produits'!$A$3:$H$10000,8,FALSE),"0")</f>
        <v>0</v>
      </c>
      <c r="P2776" s="33">
        <f t="shared" si="172"/>
        <v>0</v>
      </c>
      <c r="Q2776" s="31" t="str">
        <f t="shared" si="173"/>
        <v/>
      </c>
      <c r="R2776" s="32" t="str">
        <f>IFERROR(VLOOKUP($D2776,'Informations sur les produits'!$A$3:$B$15000,2,FALSE),"")</f>
        <v/>
      </c>
      <c r="V2776">
        <f t="shared" si="174"/>
        <v>0</v>
      </c>
      <c r="W2776">
        <f t="shared" si="175"/>
        <v>0</v>
      </c>
    </row>
    <row r="2777" spans="5:23" x14ac:dyDescent="0.25">
      <c r="E2777" s="4"/>
      <c r="F2777" s="4"/>
      <c r="G2777" s="33" t="str">
        <f>IFERROR(VLOOKUP($D2777,'Informations sur les produits'!$A$3:$H$10000,8,FALSE),"0")</f>
        <v>0</v>
      </c>
      <c r="K2777" s="4"/>
      <c r="L2777" s="33" t="str">
        <f>IFERROR(VLOOKUP($J2777,'Informations sur les produits'!$A$3:$H$10000,8,FALSE),"0")</f>
        <v>0</v>
      </c>
      <c r="N2777" s="8"/>
      <c r="O2777" s="33" t="str">
        <f>IFERROR(VLOOKUP($M2777,'Informations sur les produits'!$A$3:$H$10000,8,FALSE),"0")</f>
        <v>0</v>
      </c>
      <c r="P2777" s="33">
        <f t="shared" si="172"/>
        <v>0</v>
      </c>
      <c r="Q2777" s="31" t="str">
        <f t="shared" si="173"/>
        <v/>
      </c>
      <c r="R2777" s="32" t="str">
        <f>IFERROR(VLOOKUP($D2777,'Informations sur les produits'!$A$3:$B$15000,2,FALSE),"")</f>
        <v/>
      </c>
      <c r="V2777">
        <f t="shared" si="174"/>
        <v>0</v>
      </c>
      <c r="W2777">
        <f t="shared" si="175"/>
        <v>0</v>
      </c>
    </row>
    <row r="2778" spans="5:23" x14ac:dyDescent="0.25">
      <c r="E2778" s="4"/>
      <c r="F2778" s="4"/>
      <c r="G2778" s="33" t="str">
        <f>IFERROR(VLOOKUP($D2778,'Informations sur les produits'!$A$3:$H$10000,8,FALSE),"0")</f>
        <v>0</v>
      </c>
      <c r="K2778" s="4"/>
      <c r="L2778" s="33" t="str">
        <f>IFERROR(VLOOKUP($J2778,'Informations sur les produits'!$A$3:$H$10000,8,FALSE),"0")</f>
        <v>0</v>
      </c>
      <c r="N2778" s="8"/>
      <c r="O2778" s="33" t="str">
        <f>IFERROR(VLOOKUP($M2778,'Informations sur les produits'!$A$3:$H$10000,8,FALSE),"0")</f>
        <v>0</v>
      </c>
      <c r="P2778" s="33">
        <f t="shared" si="172"/>
        <v>0</v>
      </c>
      <c r="Q2778" s="31" t="str">
        <f t="shared" si="173"/>
        <v/>
      </c>
      <c r="R2778" s="32" t="str">
        <f>IFERROR(VLOOKUP($D2778,'Informations sur les produits'!$A$3:$B$15000,2,FALSE),"")</f>
        <v/>
      </c>
      <c r="V2778">
        <f t="shared" si="174"/>
        <v>0</v>
      </c>
      <c r="W2778">
        <f t="shared" si="175"/>
        <v>0</v>
      </c>
    </row>
    <row r="2779" spans="5:23" x14ac:dyDescent="0.25">
      <c r="E2779" s="4"/>
      <c r="F2779" s="4"/>
      <c r="G2779" s="33" t="str">
        <f>IFERROR(VLOOKUP($D2779,'Informations sur les produits'!$A$3:$H$10000,8,FALSE),"0")</f>
        <v>0</v>
      </c>
      <c r="K2779" s="4"/>
      <c r="L2779" s="33" t="str">
        <f>IFERROR(VLOOKUP($J2779,'Informations sur les produits'!$A$3:$H$10000,8,FALSE),"0")</f>
        <v>0</v>
      </c>
      <c r="N2779" s="8"/>
      <c r="O2779" s="33" t="str">
        <f>IFERROR(VLOOKUP($M2779,'Informations sur les produits'!$A$3:$H$10000,8,FALSE),"0")</f>
        <v>0</v>
      </c>
      <c r="P2779" s="33">
        <f t="shared" si="172"/>
        <v>0</v>
      </c>
      <c r="Q2779" s="31" t="str">
        <f t="shared" si="173"/>
        <v/>
      </c>
      <c r="R2779" s="32" t="str">
        <f>IFERROR(VLOOKUP($D2779,'Informations sur les produits'!$A$3:$B$15000,2,FALSE),"")</f>
        <v/>
      </c>
      <c r="V2779">
        <f t="shared" si="174"/>
        <v>0</v>
      </c>
      <c r="W2779">
        <f t="shared" si="175"/>
        <v>0</v>
      </c>
    </row>
    <row r="2780" spans="5:23" x14ac:dyDescent="0.25">
      <c r="E2780" s="4"/>
      <c r="F2780" s="4"/>
      <c r="G2780" s="33" t="str">
        <f>IFERROR(VLOOKUP($D2780,'Informations sur les produits'!$A$3:$H$10000,8,FALSE),"0")</f>
        <v>0</v>
      </c>
      <c r="K2780" s="4"/>
      <c r="L2780" s="33" t="str">
        <f>IFERROR(VLOOKUP($J2780,'Informations sur les produits'!$A$3:$H$10000,8,FALSE),"0")</f>
        <v>0</v>
      </c>
      <c r="N2780" s="8"/>
      <c r="O2780" s="33" t="str">
        <f>IFERROR(VLOOKUP($M2780,'Informations sur les produits'!$A$3:$H$10000,8,FALSE),"0")</f>
        <v>0</v>
      </c>
      <c r="P2780" s="33">
        <f t="shared" si="172"/>
        <v>0</v>
      </c>
      <c r="Q2780" s="31" t="str">
        <f t="shared" si="173"/>
        <v/>
      </c>
      <c r="R2780" s="32" t="str">
        <f>IFERROR(VLOOKUP($D2780,'Informations sur les produits'!$A$3:$B$15000,2,FALSE),"")</f>
        <v/>
      </c>
      <c r="V2780">
        <f t="shared" si="174"/>
        <v>0</v>
      </c>
      <c r="W2780">
        <f t="shared" si="175"/>
        <v>0</v>
      </c>
    </row>
    <row r="2781" spans="5:23" x14ac:dyDescent="0.25">
      <c r="E2781" s="4"/>
      <c r="F2781" s="4"/>
      <c r="G2781" s="33" t="str">
        <f>IFERROR(VLOOKUP($D2781,'Informations sur les produits'!$A$3:$H$10000,8,FALSE),"0")</f>
        <v>0</v>
      </c>
      <c r="K2781" s="4"/>
      <c r="L2781" s="33" t="str">
        <f>IFERROR(VLOOKUP($J2781,'Informations sur les produits'!$A$3:$H$10000,8,FALSE),"0")</f>
        <v>0</v>
      </c>
      <c r="N2781" s="8"/>
      <c r="O2781" s="33" t="str">
        <f>IFERROR(VLOOKUP($M2781,'Informations sur les produits'!$A$3:$H$10000,8,FALSE),"0")</f>
        <v>0</v>
      </c>
      <c r="P2781" s="33">
        <f t="shared" si="172"/>
        <v>0</v>
      </c>
      <c r="Q2781" s="31" t="str">
        <f t="shared" si="173"/>
        <v/>
      </c>
      <c r="R2781" s="32" t="str">
        <f>IFERROR(VLOOKUP($D2781,'Informations sur les produits'!$A$3:$B$15000,2,FALSE),"")</f>
        <v/>
      </c>
      <c r="V2781">
        <f t="shared" si="174"/>
        <v>0</v>
      </c>
      <c r="W2781">
        <f t="shared" si="175"/>
        <v>0</v>
      </c>
    </row>
    <row r="2782" spans="5:23" x14ac:dyDescent="0.25">
      <c r="E2782" s="4"/>
      <c r="F2782" s="4"/>
      <c r="G2782" s="33" t="str">
        <f>IFERROR(VLOOKUP($D2782,'Informations sur les produits'!$A$3:$H$10000,8,FALSE),"0")</f>
        <v>0</v>
      </c>
      <c r="K2782" s="4"/>
      <c r="L2782" s="33" t="str">
        <f>IFERROR(VLOOKUP($J2782,'Informations sur les produits'!$A$3:$H$10000,8,FALSE),"0")</f>
        <v>0</v>
      </c>
      <c r="N2782" s="8"/>
      <c r="O2782" s="33" t="str">
        <f>IFERROR(VLOOKUP($M2782,'Informations sur les produits'!$A$3:$H$10000,8,FALSE),"0")</f>
        <v>0</v>
      </c>
      <c r="P2782" s="33">
        <f t="shared" si="172"/>
        <v>0</v>
      </c>
      <c r="Q2782" s="31" t="str">
        <f t="shared" si="173"/>
        <v/>
      </c>
      <c r="R2782" s="32" t="str">
        <f>IFERROR(VLOOKUP($D2782,'Informations sur les produits'!$A$3:$B$15000,2,FALSE),"")</f>
        <v/>
      </c>
      <c r="V2782">
        <f t="shared" si="174"/>
        <v>0</v>
      </c>
      <c r="W2782">
        <f t="shared" si="175"/>
        <v>0</v>
      </c>
    </row>
    <row r="2783" spans="5:23" x14ac:dyDescent="0.25">
      <c r="E2783" s="4"/>
      <c r="F2783" s="4"/>
      <c r="G2783" s="33" t="str">
        <f>IFERROR(VLOOKUP($D2783,'Informations sur les produits'!$A$3:$H$10000,8,FALSE),"0")</f>
        <v>0</v>
      </c>
      <c r="K2783" s="4"/>
      <c r="L2783" s="33" t="str">
        <f>IFERROR(VLOOKUP($J2783,'Informations sur les produits'!$A$3:$H$10000,8,FALSE),"0")</f>
        <v>0</v>
      </c>
      <c r="N2783" s="8"/>
      <c r="O2783" s="33" t="str">
        <f>IFERROR(VLOOKUP($M2783,'Informations sur les produits'!$A$3:$H$10000,8,FALSE),"0")</f>
        <v>0</v>
      </c>
      <c r="P2783" s="33">
        <f t="shared" si="172"/>
        <v>0</v>
      </c>
      <c r="Q2783" s="31" t="str">
        <f t="shared" si="173"/>
        <v/>
      </c>
      <c r="R2783" s="32" t="str">
        <f>IFERROR(VLOOKUP($D2783,'Informations sur les produits'!$A$3:$B$15000,2,FALSE),"")</f>
        <v/>
      </c>
      <c r="V2783">
        <f t="shared" si="174"/>
        <v>0</v>
      </c>
      <c r="W2783">
        <f t="shared" si="175"/>
        <v>0</v>
      </c>
    </row>
    <row r="2784" spans="5:23" x14ac:dyDescent="0.25">
      <c r="E2784" s="4"/>
      <c r="F2784" s="4"/>
      <c r="G2784" s="33" t="str">
        <f>IFERROR(VLOOKUP($D2784,'Informations sur les produits'!$A$3:$H$10000,8,FALSE),"0")</f>
        <v>0</v>
      </c>
      <c r="K2784" s="4"/>
      <c r="L2784" s="33" t="str">
        <f>IFERROR(VLOOKUP($J2784,'Informations sur les produits'!$A$3:$H$10000,8,FALSE),"0")</f>
        <v>0</v>
      </c>
      <c r="N2784" s="8"/>
      <c r="O2784" s="33" t="str">
        <f>IFERROR(VLOOKUP($M2784,'Informations sur les produits'!$A$3:$H$10000,8,FALSE),"0")</f>
        <v>0</v>
      </c>
      <c r="P2784" s="33">
        <f t="shared" si="172"/>
        <v>0</v>
      </c>
      <c r="Q2784" s="31" t="str">
        <f t="shared" si="173"/>
        <v/>
      </c>
      <c r="R2784" s="32" t="str">
        <f>IFERROR(VLOOKUP($D2784,'Informations sur les produits'!$A$3:$B$15000,2,FALSE),"")</f>
        <v/>
      </c>
      <c r="V2784">
        <f t="shared" si="174"/>
        <v>0</v>
      </c>
      <c r="W2784">
        <f t="shared" si="175"/>
        <v>0</v>
      </c>
    </row>
    <row r="2785" spans="5:23" x14ac:dyDescent="0.25">
      <c r="E2785" s="4"/>
      <c r="F2785" s="4"/>
      <c r="G2785" s="33" t="str">
        <f>IFERROR(VLOOKUP($D2785,'Informations sur les produits'!$A$3:$H$10000,8,FALSE),"0")</f>
        <v>0</v>
      </c>
      <c r="K2785" s="4"/>
      <c r="L2785" s="33" t="str">
        <f>IFERROR(VLOOKUP($J2785,'Informations sur les produits'!$A$3:$H$10000,8,FALSE),"0")</f>
        <v>0</v>
      </c>
      <c r="N2785" s="8"/>
      <c r="O2785" s="33" t="str">
        <f>IFERROR(VLOOKUP($M2785,'Informations sur les produits'!$A$3:$H$10000,8,FALSE),"0")</f>
        <v>0</v>
      </c>
      <c r="P2785" s="33">
        <f t="shared" si="172"/>
        <v>0</v>
      </c>
      <c r="Q2785" s="31" t="str">
        <f t="shared" si="173"/>
        <v/>
      </c>
      <c r="R2785" s="32" t="str">
        <f>IFERROR(VLOOKUP($D2785,'Informations sur les produits'!$A$3:$B$15000,2,FALSE),"")</f>
        <v/>
      </c>
      <c r="V2785">
        <f t="shared" si="174"/>
        <v>0</v>
      </c>
      <c r="W2785">
        <f t="shared" si="175"/>
        <v>0</v>
      </c>
    </row>
    <row r="2786" spans="5:23" x14ac:dyDescent="0.25">
      <c r="E2786" s="4"/>
      <c r="F2786" s="4"/>
      <c r="G2786" s="33" t="str">
        <f>IFERROR(VLOOKUP($D2786,'Informations sur les produits'!$A$3:$H$10000,8,FALSE),"0")</f>
        <v>0</v>
      </c>
      <c r="K2786" s="4"/>
      <c r="L2786" s="33" t="str">
        <f>IFERROR(VLOOKUP($J2786,'Informations sur les produits'!$A$3:$H$10000,8,FALSE),"0")</f>
        <v>0</v>
      </c>
      <c r="N2786" s="8"/>
      <c r="O2786" s="33" t="str">
        <f>IFERROR(VLOOKUP($M2786,'Informations sur les produits'!$A$3:$H$10000,8,FALSE),"0")</f>
        <v>0</v>
      </c>
      <c r="P2786" s="33">
        <f t="shared" si="172"/>
        <v>0</v>
      </c>
      <c r="Q2786" s="31" t="str">
        <f t="shared" si="173"/>
        <v/>
      </c>
      <c r="R2786" s="32" t="str">
        <f>IFERROR(VLOOKUP($D2786,'Informations sur les produits'!$A$3:$B$15000,2,FALSE),"")</f>
        <v/>
      </c>
      <c r="V2786">
        <f t="shared" si="174"/>
        <v>0</v>
      </c>
      <c r="W2786">
        <f t="shared" si="175"/>
        <v>0</v>
      </c>
    </row>
    <row r="2787" spans="5:23" x14ac:dyDescent="0.25">
      <c r="E2787" s="4"/>
      <c r="F2787" s="4"/>
      <c r="G2787" s="33" t="str">
        <f>IFERROR(VLOOKUP($D2787,'Informations sur les produits'!$A$3:$H$10000,8,FALSE),"0")</f>
        <v>0</v>
      </c>
      <c r="K2787" s="4"/>
      <c r="L2787" s="33" t="str">
        <f>IFERROR(VLOOKUP($J2787,'Informations sur les produits'!$A$3:$H$10000,8,FALSE),"0")</f>
        <v>0</v>
      </c>
      <c r="N2787" s="8"/>
      <c r="O2787" s="33" t="str">
        <f>IFERROR(VLOOKUP($M2787,'Informations sur les produits'!$A$3:$H$10000,8,FALSE),"0")</f>
        <v>0</v>
      </c>
      <c r="P2787" s="33">
        <f t="shared" si="172"/>
        <v>0</v>
      </c>
      <c r="Q2787" s="31" t="str">
        <f t="shared" si="173"/>
        <v/>
      </c>
      <c r="R2787" s="32" t="str">
        <f>IFERROR(VLOOKUP($D2787,'Informations sur les produits'!$A$3:$B$15000,2,FALSE),"")</f>
        <v/>
      </c>
      <c r="V2787">
        <f t="shared" si="174"/>
        <v>0</v>
      </c>
      <c r="W2787">
        <f t="shared" si="175"/>
        <v>0</v>
      </c>
    </row>
    <row r="2788" spans="5:23" x14ac:dyDescent="0.25">
      <c r="E2788" s="4"/>
      <c r="F2788" s="4"/>
      <c r="G2788" s="33" t="str">
        <f>IFERROR(VLOOKUP($D2788,'Informations sur les produits'!$A$3:$H$10000,8,FALSE),"0")</f>
        <v>0</v>
      </c>
      <c r="K2788" s="4"/>
      <c r="L2788" s="33" t="str">
        <f>IFERROR(VLOOKUP($J2788,'Informations sur les produits'!$A$3:$H$10000,8,FALSE),"0")</f>
        <v>0</v>
      </c>
      <c r="N2788" s="8"/>
      <c r="O2788" s="33" t="str">
        <f>IFERROR(VLOOKUP($M2788,'Informations sur les produits'!$A$3:$H$10000,8,FALSE),"0")</f>
        <v>0</v>
      </c>
      <c r="P2788" s="33">
        <f t="shared" si="172"/>
        <v>0</v>
      </c>
      <c r="Q2788" s="31" t="str">
        <f t="shared" si="173"/>
        <v/>
      </c>
      <c r="R2788" s="32" t="str">
        <f>IFERROR(VLOOKUP($D2788,'Informations sur les produits'!$A$3:$B$15000,2,FALSE),"")</f>
        <v/>
      </c>
      <c r="V2788">
        <f t="shared" si="174"/>
        <v>0</v>
      </c>
      <c r="W2788">
        <f t="shared" si="175"/>
        <v>0</v>
      </c>
    </row>
    <row r="2789" spans="5:23" x14ac:dyDescent="0.25">
      <c r="E2789" s="4"/>
      <c r="F2789" s="4"/>
      <c r="G2789" s="33" t="str">
        <f>IFERROR(VLOOKUP($D2789,'Informations sur les produits'!$A$3:$H$10000,8,FALSE),"0")</f>
        <v>0</v>
      </c>
      <c r="K2789" s="4"/>
      <c r="L2789" s="33" t="str">
        <f>IFERROR(VLOOKUP($J2789,'Informations sur les produits'!$A$3:$H$10000,8,FALSE),"0")</f>
        <v>0</v>
      </c>
      <c r="N2789" s="8"/>
      <c r="O2789" s="33" t="str">
        <f>IFERROR(VLOOKUP($M2789,'Informations sur les produits'!$A$3:$H$10000,8,FALSE),"0")</f>
        <v>0</v>
      </c>
      <c r="P2789" s="33">
        <f t="shared" si="172"/>
        <v>0</v>
      </c>
      <c r="Q2789" s="31" t="str">
        <f t="shared" si="173"/>
        <v/>
      </c>
      <c r="R2789" s="32" t="str">
        <f>IFERROR(VLOOKUP($D2789,'Informations sur les produits'!$A$3:$B$15000,2,FALSE),"")</f>
        <v/>
      </c>
      <c r="V2789">
        <f t="shared" si="174"/>
        <v>0</v>
      </c>
      <c r="W2789">
        <f t="shared" si="175"/>
        <v>0</v>
      </c>
    </row>
    <row r="2790" spans="5:23" x14ac:dyDescent="0.25">
      <c r="E2790" s="4"/>
      <c r="F2790" s="4"/>
      <c r="G2790" s="33" t="str">
        <f>IFERROR(VLOOKUP($D2790,'Informations sur les produits'!$A$3:$H$10000,8,FALSE),"0")</f>
        <v>0</v>
      </c>
      <c r="K2790" s="4"/>
      <c r="L2790" s="33" t="str">
        <f>IFERROR(VLOOKUP($J2790,'Informations sur les produits'!$A$3:$H$10000,8,FALSE),"0")</f>
        <v>0</v>
      </c>
      <c r="N2790" s="8"/>
      <c r="O2790" s="33" t="str">
        <f>IFERROR(VLOOKUP($M2790,'Informations sur les produits'!$A$3:$H$10000,8,FALSE),"0")</f>
        <v>0</v>
      </c>
      <c r="P2790" s="33">
        <f t="shared" si="172"/>
        <v>0</v>
      </c>
      <c r="Q2790" s="31" t="str">
        <f t="shared" si="173"/>
        <v/>
      </c>
      <c r="R2790" s="32" t="str">
        <f>IFERROR(VLOOKUP($D2790,'Informations sur les produits'!$A$3:$B$15000,2,FALSE),"")</f>
        <v/>
      </c>
      <c r="V2790">
        <f t="shared" si="174"/>
        <v>0</v>
      </c>
      <c r="W2790">
        <f t="shared" si="175"/>
        <v>0</v>
      </c>
    </row>
    <row r="2791" spans="5:23" x14ac:dyDescent="0.25">
      <c r="E2791" s="4"/>
      <c r="F2791" s="4"/>
      <c r="G2791" s="33" t="str">
        <f>IFERROR(VLOOKUP($D2791,'Informations sur les produits'!$A$3:$H$10000,8,FALSE),"0")</f>
        <v>0</v>
      </c>
      <c r="K2791" s="4"/>
      <c r="L2791" s="33" t="str">
        <f>IFERROR(VLOOKUP($J2791,'Informations sur les produits'!$A$3:$H$10000,8,FALSE),"0")</f>
        <v>0</v>
      </c>
      <c r="N2791" s="8"/>
      <c r="O2791" s="33" t="str">
        <f>IFERROR(VLOOKUP($M2791,'Informations sur les produits'!$A$3:$H$10000,8,FALSE),"0")</f>
        <v>0</v>
      </c>
      <c r="P2791" s="33">
        <f t="shared" si="172"/>
        <v>0</v>
      </c>
      <c r="Q2791" s="31" t="str">
        <f t="shared" si="173"/>
        <v/>
      </c>
      <c r="R2791" s="32" t="str">
        <f>IFERROR(VLOOKUP($D2791,'Informations sur les produits'!$A$3:$B$15000,2,FALSE),"")</f>
        <v/>
      </c>
      <c r="V2791">
        <f t="shared" si="174"/>
        <v>0</v>
      </c>
      <c r="W2791">
        <f t="shared" si="175"/>
        <v>0</v>
      </c>
    </row>
    <row r="2792" spans="5:23" x14ac:dyDescent="0.25">
      <c r="E2792" s="4"/>
      <c r="F2792" s="4"/>
      <c r="G2792" s="33" t="str">
        <f>IFERROR(VLOOKUP($D2792,'Informations sur les produits'!$A$3:$H$10000,8,FALSE),"0")</f>
        <v>0</v>
      </c>
      <c r="K2792" s="4"/>
      <c r="L2792" s="33" t="str">
        <f>IFERROR(VLOOKUP($J2792,'Informations sur les produits'!$A$3:$H$10000,8,FALSE),"0")</f>
        <v>0</v>
      </c>
      <c r="N2792" s="8"/>
      <c r="O2792" s="33" t="str">
        <f>IFERROR(VLOOKUP($M2792,'Informations sur les produits'!$A$3:$H$10000,8,FALSE),"0")</f>
        <v>0</v>
      </c>
      <c r="P2792" s="33">
        <f t="shared" si="172"/>
        <v>0</v>
      </c>
      <c r="Q2792" s="31" t="str">
        <f t="shared" si="173"/>
        <v/>
      </c>
      <c r="R2792" s="32" t="str">
        <f>IFERROR(VLOOKUP($D2792,'Informations sur les produits'!$A$3:$B$15000,2,FALSE),"")</f>
        <v/>
      </c>
      <c r="V2792">
        <f t="shared" si="174"/>
        <v>0</v>
      </c>
      <c r="W2792">
        <f t="shared" si="175"/>
        <v>0</v>
      </c>
    </row>
    <row r="2793" spans="5:23" x14ac:dyDescent="0.25">
      <c r="E2793" s="4"/>
      <c r="F2793" s="4"/>
      <c r="G2793" s="33" t="str">
        <f>IFERROR(VLOOKUP($D2793,'Informations sur les produits'!$A$3:$H$10000,8,FALSE),"0")</f>
        <v>0</v>
      </c>
      <c r="K2793" s="4"/>
      <c r="L2793" s="33" t="str">
        <f>IFERROR(VLOOKUP($J2793,'Informations sur les produits'!$A$3:$H$10000,8,FALSE),"0")</f>
        <v>0</v>
      </c>
      <c r="N2793" s="8"/>
      <c r="O2793" s="33" t="str">
        <f>IFERROR(VLOOKUP($M2793,'Informations sur les produits'!$A$3:$H$10000,8,FALSE),"0")</f>
        <v>0</v>
      </c>
      <c r="P2793" s="33">
        <f t="shared" si="172"/>
        <v>0</v>
      </c>
      <c r="Q2793" s="31" t="str">
        <f t="shared" si="173"/>
        <v/>
      </c>
      <c r="R2793" s="32" t="str">
        <f>IFERROR(VLOOKUP($D2793,'Informations sur les produits'!$A$3:$B$15000,2,FALSE),"")</f>
        <v/>
      </c>
      <c r="V2793">
        <f t="shared" si="174"/>
        <v>0</v>
      </c>
      <c r="W2793">
        <f t="shared" si="175"/>
        <v>0</v>
      </c>
    </row>
    <row r="2794" spans="5:23" x14ac:dyDescent="0.25">
      <c r="E2794" s="4"/>
      <c r="F2794" s="4"/>
      <c r="G2794" s="33" t="str">
        <f>IFERROR(VLOOKUP($D2794,'Informations sur les produits'!$A$3:$H$10000,8,FALSE),"0")</f>
        <v>0</v>
      </c>
      <c r="K2794" s="4"/>
      <c r="L2794" s="33" t="str">
        <f>IFERROR(VLOOKUP($J2794,'Informations sur les produits'!$A$3:$H$10000,8,FALSE),"0")</f>
        <v>0</v>
      </c>
      <c r="N2794" s="8"/>
      <c r="O2794" s="33" t="str">
        <f>IFERROR(VLOOKUP($M2794,'Informations sur les produits'!$A$3:$H$10000,8,FALSE),"0")</f>
        <v>0</v>
      </c>
      <c r="P2794" s="33">
        <f t="shared" si="172"/>
        <v>0</v>
      </c>
      <c r="Q2794" s="31" t="str">
        <f t="shared" si="173"/>
        <v/>
      </c>
      <c r="R2794" s="32" t="str">
        <f>IFERROR(VLOOKUP($D2794,'Informations sur les produits'!$A$3:$B$15000,2,FALSE),"")</f>
        <v/>
      </c>
      <c r="V2794">
        <f t="shared" si="174"/>
        <v>0</v>
      </c>
      <c r="W2794">
        <f t="shared" si="175"/>
        <v>0</v>
      </c>
    </row>
    <row r="2795" spans="5:23" x14ac:dyDescent="0.25">
      <c r="E2795" s="4"/>
      <c r="F2795" s="4"/>
      <c r="G2795" s="33" t="str">
        <f>IFERROR(VLOOKUP($D2795,'Informations sur les produits'!$A$3:$H$10000,8,FALSE),"0")</f>
        <v>0</v>
      </c>
      <c r="K2795" s="4"/>
      <c r="L2795" s="33" t="str">
        <f>IFERROR(VLOOKUP($J2795,'Informations sur les produits'!$A$3:$H$10000,8,FALSE),"0")</f>
        <v>0</v>
      </c>
      <c r="N2795" s="8"/>
      <c r="O2795" s="33" t="str">
        <f>IFERROR(VLOOKUP($M2795,'Informations sur les produits'!$A$3:$H$10000,8,FALSE),"0")</f>
        <v>0</v>
      </c>
      <c r="P2795" s="33">
        <f t="shared" si="172"/>
        <v>0</v>
      </c>
      <c r="Q2795" s="31" t="str">
        <f t="shared" si="173"/>
        <v/>
      </c>
      <c r="R2795" s="32" t="str">
        <f>IFERROR(VLOOKUP($D2795,'Informations sur les produits'!$A$3:$B$15000,2,FALSE),"")</f>
        <v/>
      </c>
      <c r="V2795">
        <f t="shared" si="174"/>
        <v>0</v>
      </c>
      <c r="W2795">
        <f t="shared" si="175"/>
        <v>0</v>
      </c>
    </row>
    <row r="2796" spans="5:23" x14ac:dyDescent="0.25">
      <c r="E2796" s="4"/>
      <c r="F2796" s="4"/>
      <c r="G2796" s="33" t="str">
        <f>IFERROR(VLOOKUP($D2796,'Informations sur les produits'!$A$3:$H$10000,8,FALSE),"0")</f>
        <v>0</v>
      </c>
      <c r="K2796" s="4"/>
      <c r="L2796" s="33" t="str">
        <f>IFERROR(VLOOKUP($J2796,'Informations sur les produits'!$A$3:$H$10000,8,FALSE),"0")</f>
        <v>0</v>
      </c>
      <c r="N2796" s="8"/>
      <c r="O2796" s="33" t="str">
        <f>IFERROR(VLOOKUP($M2796,'Informations sur les produits'!$A$3:$H$10000,8,FALSE),"0")</f>
        <v>0</v>
      </c>
      <c r="P2796" s="33">
        <f t="shared" si="172"/>
        <v>0</v>
      </c>
      <c r="Q2796" s="31" t="str">
        <f t="shared" si="173"/>
        <v/>
      </c>
      <c r="R2796" s="32" t="str">
        <f>IFERROR(VLOOKUP($D2796,'Informations sur les produits'!$A$3:$B$15000,2,FALSE),"")</f>
        <v/>
      </c>
      <c r="V2796">
        <f t="shared" si="174"/>
        <v>0</v>
      </c>
      <c r="W2796">
        <f t="shared" si="175"/>
        <v>0</v>
      </c>
    </row>
    <row r="2797" spans="5:23" x14ac:dyDescent="0.25">
      <c r="E2797" s="4"/>
      <c r="F2797" s="4"/>
      <c r="G2797" s="33" t="str">
        <f>IFERROR(VLOOKUP($D2797,'Informations sur les produits'!$A$3:$H$10000,8,FALSE),"0")</f>
        <v>0</v>
      </c>
      <c r="K2797" s="4"/>
      <c r="L2797" s="33" t="str">
        <f>IFERROR(VLOOKUP($J2797,'Informations sur les produits'!$A$3:$H$10000,8,FALSE),"0")</f>
        <v>0</v>
      </c>
      <c r="N2797" s="8"/>
      <c r="O2797" s="33" t="str">
        <f>IFERROR(VLOOKUP($M2797,'Informations sur les produits'!$A$3:$H$10000,8,FALSE),"0")</f>
        <v>0</v>
      </c>
      <c r="P2797" s="33">
        <f t="shared" si="172"/>
        <v>0</v>
      </c>
      <c r="Q2797" s="31" t="str">
        <f t="shared" si="173"/>
        <v/>
      </c>
      <c r="R2797" s="32" t="str">
        <f>IFERROR(VLOOKUP($D2797,'Informations sur les produits'!$A$3:$B$15000,2,FALSE),"")</f>
        <v/>
      </c>
      <c r="V2797">
        <f t="shared" si="174"/>
        <v>0</v>
      </c>
      <c r="W2797">
        <f t="shared" si="175"/>
        <v>0</v>
      </c>
    </row>
    <row r="2798" spans="5:23" x14ac:dyDescent="0.25">
      <c r="E2798" s="4"/>
      <c r="F2798" s="4"/>
      <c r="G2798" s="33" t="str">
        <f>IFERROR(VLOOKUP($D2798,'Informations sur les produits'!$A$3:$H$10000,8,FALSE),"0")</f>
        <v>0</v>
      </c>
      <c r="K2798" s="4"/>
      <c r="L2798" s="33" t="str">
        <f>IFERROR(VLOOKUP($J2798,'Informations sur les produits'!$A$3:$H$10000,8,FALSE),"0")</f>
        <v>0</v>
      </c>
      <c r="N2798" s="8"/>
      <c r="O2798" s="33" t="str">
        <f>IFERROR(VLOOKUP($M2798,'Informations sur les produits'!$A$3:$H$10000,8,FALSE),"0")</f>
        <v>0</v>
      </c>
      <c r="P2798" s="33">
        <f t="shared" si="172"/>
        <v>0</v>
      </c>
      <c r="Q2798" s="31" t="str">
        <f t="shared" si="173"/>
        <v/>
      </c>
      <c r="R2798" s="32" t="str">
        <f>IFERROR(VLOOKUP($D2798,'Informations sur les produits'!$A$3:$B$15000,2,FALSE),"")</f>
        <v/>
      </c>
      <c r="V2798">
        <f t="shared" si="174"/>
        <v>0</v>
      </c>
      <c r="W2798">
        <f t="shared" si="175"/>
        <v>0</v>
      </c>
    </row>
    <row r="2799" spans="5:23" x14ac:dyDescent="0.25">
      <c r="E2799" s="4"/>
      <c r="F2799" s="4"/>
      <c r="G2799" s="33" t="str">
        <f>IFERROR(VLOOKUP($D2799,'Informations sur les produits'!$A$3:$H$10000,8,FALSE),"0")</f>
        <v>0</v>
      </c>
      <c r="K2799" s="4"/>
      <c r="L2799" s="33" t="str">
        <f>IFERROR(VLOOKUP($J2799,'Informations sur les produits'!$A$3:$H$10000,8,FALSE),"0")</f>
        <v>0</v>
      </c>
      <c r="N2799" s="8"/>
      <c r="O2799" s="33" t="str">
        <f>IFERROR(VLOOKUP($M2799,'Informations sur les produits'!$A$3:$H$10000,8,FALSE),"0")</f>
        <v>0</v>
      </c>
      <c r="P2799" s="33">
        <f t="shared" si="172"/>
        <v>0</v>
      </c>
      <c r="Q2799" s="31" t="str">
        <f t="shared" si="173"/>
        <v/>
      </c>
      <c r="R2799" s="32" t="str">
        <f>IFERROR(VLOOKUP($D2799,'Informations sur les produits'!$A$3:$B$15000,2,FALSE),"")</f>
        <v/>
      </c>
      <c r="V2799">
        <f t="shared" si="174"/>
        <v>0</v>
      </c>
      <c r="W2799">
        <f t="shared" si="175"/>
        <v>0</v>
      </c>
    </row>
    <row r="2800" spans="5:23" x14ac:dyDescent="0.25">
      <c r="E2800" s="4"/>
      <c r="F2800" s="4"/>
      <c r="G2800" s="33" t="str">
        <f>IFERROR(VLOOKUP($D2800,'Informations sur les produits'!$A$3:$H$10000,8,FALSE),"0")</f>
        <v>0</v>
      </c>
      <c r="K2800" s="4"/>
      <c r="L2800" s="33" t="str">
        <f>IFERROR(VLOOKUP($J2800,'Informations sur les produits'!$A$3:$H$10000,8,FALSE),"0")</f>
        <v>0</v>
      </c>
      <c r="N2800" s="8"/>
      <c r="O2800" s="33" t="str">
        <f>IFERROR(VLOOKUP($M2800,'Informations sur les produits'!$A$3:$H$10000,8,FALSE),"0")</f>
        <v>0</v>
      </c>
      <c r="P2800" s="33">
        <f t="shared" si="172"/>
        <v>0</v>
      </c>
      <c r="Q2800" s="31" t="str">
        <f t="shared" si="173"/>
        <v/>
      </c>
      <c r="R2800" s="32" t="str">
        <f>IFERROR(VLOOKUP($D2800,'Informations sur les produits'!$A$3:$B$15000,2,FALSE),"")</f>
        <v/>
      </c>
      <c r="V2800">
        <f t="shared" si="174"/>
        <v>0</v>
      </c>
      <c r="W2800">
        <f t="shared" si="175"/>
        <v>0</v>
      </c>
    </row>
    <row r="2801" spans="5:23" x14ac:dyDescent="0.25">
      <c r="E2801" s="4"/>
      <c r="F2801" s="4"/>
      <c r="G2801" s="33" t="str">
        <f>IFERROR(VLOOKUP($D2801,'Informations sur les produits'!$A$3:$H$10000,8,FALSE),"0")</f>
        <v>0</v>
      </c>
      <c r="K2801" s="4"/>
      <c r="L2801" s="33" t="str">
        <f>IFERROR(VLOOKUP($J2801,'Informations sur les produits'!$A$3:$H$10000,8,FALSE),"0")</f>
        <v>0</v>
      </c>
      <c r="N2801" s="8"/>
      <c r="O2801" s="33" t="str">
        <f>IFERROR(VLOOKUP($M2801,'Informations sur les produits'!$A$3:$H$10000,8,FALSE),"0")</f>
        <v>0</v>
      </c>
      <c r="P2801" s="33">
        <f t="shared" si="172"/>
        <v>0</v>
      </c>
      <c r="Q2801" s="31" t="str">
        <f t="shared" si="173"/>
        <v/>
      </c>
      <c r="R2801" s="32" t="str">
        <f>IFERROR(VLOOKUP($D2801,'Informations sur les produits'!$A$3:$B$15000,2,FALSE),"")</f>
        <v/>
      </c>
      <c r="V2801">
        <f t="shared" si="174"/>
        <v>0</v>
      </c>
      <c r="W2801">
        <f t="shared" si="175"/>
        <v>0</v>
      </c>
    </row>
    <row r="2802" spans="5:23" x14ac:dyDescent="0.25">
      <c r="E2802" s="4"/>
      <c r="F2802" s="4"/>
      <c r="G2802" s="33" t="str">
        <f>IFERROR(VLOOKUP($D2802,'Informations sur les produits'!$A$3:$H$10000,8,FALSE),"0")</f>
        <v>0</v>
      </c>
      <c r="K2802" s="4"/>
      <c r="L2802" s="33" t="str">
        <f>IFERROR(VLOOKUP($J2802,'Informations sur les produits'!$A$3:$H$10000,8,FALSE),"0")</f>
        <v>0</v>
      </c>
      <c r="N2802" s="8"/>
      <c r="O2802" s="33" t="str">
        <f>IFERROR(VLOOKUP($M2802,'Informations sur les produits'!$A$3:$H$10000,8,FALSE),"0")</f>
        <v>0</v>
      </c>
      <c r="P2802" s="33">
        <f t="shared" si="172"/>
        <v>0</v>
      </c>
      <c r="Q2802" s="31" t="str">
        <f t="shared" si="173"/>
        <v/>
      </c>
      <c r="R2802" s="32" t="str">
        <f>IFERROR(VLOOKUP($D2802,'Informations sur les produits'!$A$3:$B$15000,2,FALSE),"")</f>
        <v/>
      </c>
      <c r="V2802">
        <f t="shared" si="174"/>
        <v>0</v>
      </c>
      <c r="W2802">
        <f t="shared" si="175"/>
        <v>0</v>
      </c>
    </row>
    <row r="2803" spans="5:23" x14ac:dyDescent="0.25">
      <c r="E2803" s="4"/>
      <c r="F2803" s="4"/>
      <c r="G2803" s="33" t="str">
        <f>IFERROR(VLOOKUP($D2803,'Informations sur les produits'!$A$3:$H$10000,8,FALSE),"0")</f>
        <v>0</v>
      </c>
      <c r="K2803" s="4"/>
      <c r="L2803" s="33" t="str">
        <f>IFERROR(VLOOKUP($J2803,'Informations sur les produits'!$A$3:$H$10000,8,FALSE),"0")</f>
        <v>0</v>
      </c>
      <c r="N2803" s="8"/>
      <c r="O2803" s="33" t="str">
        <f>IFERROR(VLOOKUP($M2803,'Informations sur les produits'!$A$3:$H$10000,8,FALSE),"0")</f>
        <v>0</v>
      </c>
      <c r="P2803" s="33">
        <f t="shared" si="172"/>
        <v>0</v>
      </c>
      <c r="Q2803" s="31" t="str">
        <f t="shared" si="173"/>
        <v/>
      </c>
      <c r="R2803" s="32" t="str">
        <f>IFERROR(VLOOKUP($D2803,'Informations sur les produits'!$A$3:$B$15000,2,FALSE),"")</f>
        <v/>
      </c>
      <c r="V2803">
        <f t="shared" si="174"/>
        <v>0</v>
      </c>
      <c r="W2803">
        <f t="shared" si="175"/>
        <v>0</v>
      </c>
    </row>
    <row r="2804" spans="5:23" x14ac:dyDescent="0.25">
      <c r="E2804" s="4"/>
      <c r="F2804" s="4"/>
      <c r="G2804" s="33" t="str">
        <f>IFERROR(VLOOKUP($D2804,'Informations sur les produits'!$A$3:$H$10000,8,FALSE),"0")</f>
        <v>0</v>
      </c>
      <c r="K2804" s="4"/>
      <c r="L2804" s="33" t="str">
        <f>IFERROR(VLOOKUP($J2804,'Informations sur les produits'!$A$3:$H$10000,8,FALSE),"0")</f>
        <v>0</v>
      </c>
      <c r="N2804" s="8"/>
      <c r="O2804" s="33" t="str">
        <f>IFERROR(VLOOKUP($M2804,'Informations sur les produits'!$A$3:$H$10000,8,FALSE),"0")</f>
        <v>0</v>
      </c>
      <c r="P2804" s="33">
        <f t="shared" si="172"/>
        <v>0</v>
      </c>
      <c r="Q2804" s="31" t="str">
        <f t="shared" si="173"/>
        <v/>
      </c>
      <c r="R2804" s="32" t="str">
        <f>IFERROR(VLOOKUP($D2804,'Informations sur les produits'!$A$3:$B$15000,2,FALSE),"")</f>
        <v/>
      </c>
      <c r="V2804">
        <f t="shared" si="174"/>
        <v>0</v>
      </c>
      <c r="W2804">
        <f t="shared" si="175"/>
        <v>0</v>
      </c>
    </row>
    <row r="2805" spans="5:23" x14ac:dyDescent="0.25">
      <c r="E2805" s="4"/>
      <c r="F2805" s="4"/>
      <c r="G2805" s="33" t="str">
        <f>IFERROR(VLOOKUP($D2805,'Informations sur les produits'!$A$3:$H$10000,8,FALSE),"0")</f>
        <v>0</v>
      </c>
      <c r="K2805" s="4"/>
      <c r="L2805" s="33" t="str">
        <f>IFERROR(VLOOKUP($J2805,'Informations sur les produits'!$A$3:$H$10000,8,FALSE),"0")</f>
        <v>0</v>
      </c>
      <c r="N2805" s="8"/>
      <c r="O2805" s="33" t="str">
        <f>IFERROR(VLOOKUP($M2805,'Informations sur les produits'!$A$3:$H$10000,8,FALSE),"0")</f>
        <v>0</v>
      </c>
      <c r="P2805" s="33">
        <f t="shared" si="172"/>
        <v>0</v>
      </c>
      <c r="Q2805" s="31" t="str">
        <f t="shared" si="173"/>
        <v/>
      </c>
      <c r="R2805" s="32" t="str">
        <f>IFERROR(VLOOKUP($D2805,'Informations sur les produits'!$A$3:$B$15000,2,FALSE),"")</f>
        <v/>
      </c>
      <c r="V2805">
        <f t="shared" si="174"/>
        <v>0</v>
      </c>
      <c r="W2805">
        <f t="shared" si="175"/>
        <v>0</v>
      </c>
    </row>
    <row r="2806" spans="5:23" x14ac:dyDescent="0.25">
      <c r="E2806" s="4"/>
      <c r="F2806" s="4"/>
      <c r="G2806" s="33" t="str">
        <f>IFERROR(VLOOKUP($D2806,'Informations sur les produits'!$A$3:$H$10000,8,FALSE),"0")</f>
        <v>0</v>
      </c>
      <c r="K2806" s="4"/>
      <c r="L2806" s="33" t="str">
        <f>IFERROR(VLOOKUP($J2806,'Informations sur les produits'!$A$3:$H$10000,8,FALSE),"0")</f>
        <v>0</v>
      </c>
      <c r="N2806" s="8"/>
      <c r="O2806" s="33" t="str">
        <f>IFERROR(VLOOKUP($M2806,'Informations sur les produits'!$A$3:$H$10000,8,FALSE),"0")</f>
        <v>0</v>
      </c>
      <c r="P2806" s="33">
        <f t="shared" si="172"/>
        <v>0</v>
      </c>
      <c r="Q2806" s="31" t="str">
        <f t="shared" si="173"/>
        <v/>
      </c>
      <c r="R2806" s="32" t="str">
        <f>IFERROR(VLOOKUP($D2806,'Informations sur les produits'!$A$3:$B$15000,2,FALSE),"")</f>
        <v/>
      </c>
      <c r="V2806">
        <f t="shared" si="174"/>
        <v>0</v>
      </c>
      <c r="W2806">
        <f t="shared" si="175"/>
        <v>0</v>
      </c>
    </row>
    <row r="2807" spans="5:23" x14ac:dyDescent="0.25">
      <c r="E2807" s="4"/>
      <c r="F2807" s="4"/>
      <c r="G2807" s="33" t="str">
        <f>IFERROR(VLOOKUP($D2807,'Informations sur les produits'!$A$3:$H$10000,8,FALSE),"0")</f>
        <v>0</v>
      </c>
      <c r="K2807" s="4"/>
      <c r="L2807" s="33" t="str">
        <f>IFERROR(VLOOKUP($J2807,'Informations sur les produits'!$A$3:$H$10000,8,FALSE),"0")</f>
        <v>0</v>
      </c>
      <c r="N2807" s="8"/>
      <c r="O2807" s="33" t="str">
        <f>IFERROR(VLOOKUP($M2807,'Informations sur les produits'!$A$3:$H$10000,8,FALSE),"0")</f>
        <v>0</v>
      </c>
      <c r="P2807" s="33">
        <f t="shared" si="172"/>
        <v>0</v>
      </c>
      <c r="Q2807" s="31" t="str">
        <f t="shared" si="173"/>
        <v/>
      </c>
      <c r="R2807" s="32" t="str">
        <f>IFERROR(VLOOKUP($D2807,'Informations sur les produits'!$A$3:$B$15000,2,FALSE),"")</f>
        <v/>
      </c>
      <c r="V2807">
        <f t="shared" si="174"/>
        <v>0</v>
      </c>
      <c r="W2807">
        <f t="shared" si="175"/>
        <v>0</v>
      </c>
    </row>
    <row r="2808" spans="5:23" x14ac:dyDescent="0.25">
      <c r="E2808" s="4"/>
      <c r="F2808" s="4"/>
      <c r="G2808" s="33" t="str">
        <f>IFERROR(VLOOKUP($D2808,'Informations sur les produits'!$A$3:$H$10000,8,FALSE),"0")</f>
        <v>0</v>
      </c>
      <c r="K2808" s="4"/>
      <c r="L2808" s="33" t="str">
        <f>IFERROR(VLOOKUP($J2808,'Informations sur les produits'!$A$3:$H$10000,8,FALSE),"0")</f>
        <v>0</v>
      </c>
      <c r="N2808" s="8"/>
      <c r="O2808" s="33" t="str">
        <f>IFERROR(VLOOKUP($M2808,'Informations sur les produits'!$A$3:$H$10000,8,FALSE),"0")</f>
        <v>0</v>
      </c>
      <c r="P2808" s="33">
        <f t="shared" si="172"/>
        <v>0</v>
      </c>
      <c r="Q2808" s="31" t="str">
        <f t="shared" si="173"/>
        <v/>
      </c>
      <c r="R2808" s="32" t="str">
        <f>IFERROR(VLOOKUP($D2808,'Informations sur les produits'!$A$3:$B$15000,2,FALSE),"")</f>
        <v/>
      </c>
      <c r="V2808">
        <f t="shared" si="174"/>
        <v>0</v>
      </c>
      <c r="W2808">
        <f t="shared" si="175"/>
        <v>0</v>
      </c>
    </row>
    <row r="2809" spans="5:23" x14ac:dyDescent="0.25">
      <c r="E2809" s="4"/>
      <c r="F2809" s="4"/>
      <c r="G2809" s="33" t="str">
        <f>IFERROR(VLOOKUP($D2809,'Informations sur les produits'!$A$3:$H$10000,8,FALSE),"0")</f>
        <v>0</v>
      </c>
      <c r="K2809" s="4"/>
      <c r="L2809" s="33" t="str">
        <f>IFERROR(VLOOKUP($J2809,'Informations sur les produits'!$A$3:$H$10000,8,FALSE),"0")</f>
        <v>0</v>
      </c>
      <c r="N2809" s="8"/>
      <c r="O2809" s="33" t="str">
        <f>IFERROR(VLOOKUP($M2809,'Informations sur les produits'!$A$3:$H$10000,8,FALSE),"0")</f>
        <v>0</v>
      </c>
      <c r="P2809" s="33">
        <f t="shared" si="172"/>
        <v>0</v>
      </c>
      <c r="Q2809" s="31" t="str">
        <f t="shared" si="173"/>
        <v/>
      </c>
      <c r="R2809" s="32" t="str">
        <f>IFERROR(VLOOKUP($D2809,'Informations sur les produits'!$A$3:$B$15000,2,FALSE),"")</f>
        <v/>
      </c>
      <c r="V2809">
        <f t="shared" si="174"/>
        <v>0</v>
      </c>
      <c r="W2809">
        <f t="shared" si="175"/>
        <v>0</v>
      </c>
    </row>
    <row r="2810" spans="5:23" x14ac:dyDescent="0.25">
      <c r="E2810" s="4"/>
      <c r="F2810" s="4"/>
      <c r="G2810" s="33" t="str">
        <f>IFERROR(VLOOKUP($D2810,'Informations sur les produits'!$A$3:$H$10000,8,FALSE),"0")</f>
        <v>0</v>
      </c>
      <c r="K2810" s="4"/>
      <c r="L2810" s="33" t="str">
        <f>IFERROR(VLOOKUP($J2810,'Informations sur les produits'!$A$3:$H$10000,8,FALSE),"0")</f>
        <v>0</v>
      </c>
      <c r="N2810" s="8"/>
      <c r="O2810" s="33" t="str">
        <f>IFERROR(VLOOKUP($M2810,'Informations sur les produits'!$A$3:$H$10000,8,FALSE),"0")</f>
        <v>0</v>
      </c>
      <c r="P2810" s="33">
        <f t="shared" si="172"/>
        <v>0</v>
      </c>
      <c r="Q2810" s="31" t="str">
        <f t="shared" si="173"/>
        <v/>
      </c>
      <c r="R2810" s="32" t="str">
        <f>IFERROR(VLOOKUP($D2810,'Informations sur les produits'!$A$3:$B$15000,2,FALSE),"")</f>
        <v/>
      </c>
      <c r="V2810">
        <f t="shared" si="174"/>
        <v>0</v>
      </c>
      <c r="W2810">
        <f t="shared" si="175"/>
        <v>0</v>
      </c>
    </row>
    <row r="2811" spans="5:23" x14ac:dyDescent="0.25">
      <c r="E2811" s="4"/>
      <c r="F2811" s="4"/>
      <c r="G2811" s="33" t="str">
        <f>IFERROR(VLOOKUP($D2811,'Informations sur les produits'!$A$3:$H$10000,8,FALSE),"0")</f>
        <v>0</v>
      </c>
      <c r="K2811" s="4"/>
      <c r="L2811" s="33" t="str">
        <f>IFERROR(VLOOKUP($J2811,'Informations sur les produits'!$A$3:$H$10000,8,FALSE),"0")</f>
        <v>0</v>
      </c>
      <c r="N2811" s="8"/>
      <c r="O2811" s="33" t="str">
        <f>IFERROR(VLOOKUP($M2811,'Informations sur les produits'!$A$3:$H$10000,8,FALSE),"0")</f>
        <v>0</v>
      </c>
      <c r="P2811" s="33">
        <f t="shared" si="172"/>
        <v>0</v>
      </c>
      <c r="Q2811" s="31" t="str">
        <f t="shared" si="173"/>
        <v/>
      </c>
      <c r="R2811" s="32" t="str">
        <f>IFERROR(VLOOKUP($D2811,'Informations sur les produits'!$A$3:$B$15000,2,FALSE),"")</f>
        <v/>
      </c>
      <c r="V2811">
        <f t="shared" si="174"/>
        <v>0</v>
      </c>
      <c r="W2811">
        <f t="shared" si="175"/>
        <v>0</v>
      </c>
    </row>
    <row r="2812" spans="5:23" x14ac:dyDescent="0.25">
      <c r="E2812" s="4"/>
      <c r="F2812" s="4"/>
      <c r="G2812" s="33" t="str">
        <f>IFERROR(VLOOKUP($D2812,'Informations sur les produits'!$A$3:$H$10000,8,FALSE),"0")</f>
        <v>0</v>
      </c>
      <c r="K2812" s="4"/>
      <c r="L2812" s="33" t="str">
        <f>IFERROR(VLOOKUP($J2812,'Informations sur les produits'!$A$3:$H$10000,8,FALSE),"0")</f>
        <v>0</v>
      </c>
      <c r="N2812" s="8"/>
      <c r="O2812" s="33" t="str">
        <f>IFERROR(VLOOKUP($M2812,'Informations sur les produits'!$A$3:$H$10000,8,FALSE),"0")</f>
        <v>0</v>
      </c>
      <c r="P2812" s="33">
        <f t="shared" si="172"/>
        <v>0</v>
      </c>
      <c r="Q2812" s="31" t="str">
        <f t="shared" si="173"/>
        <v/>
      </c>
      <c r="R2812" s="32" t="str">
        <f>IFERROR(VLOOKUP($D2812,'Informations sur les produits'!$A$3:$B$15000,2,FALSE),"")</f>
        <v/>
      </c>
      <c r="V2812">
        <f t="shared" si="174"/>
        <v>0</v>
      </c>
      <c r="W2812">
        <f t="shared" si="175"/>
        <v>0</v>
      </c>
    </row>
    <row r="2813" spans="5:23" x14ac:dyDescent="0.25">
      <c r="E2813" s="4"/>
      <c r="F2813" s="4"/>
      <c r="G2813" s="33" t="str">
        <f>IFERROR(VLOOKUP($D2813,'Informations sur les produits'!$A$3:$H$10000,8,FALSE),"0")</f>
        <v>0</v>
      </c>
      <c r="K2813" s="4"/>
      <c r="L2813" s="33" t="str">
        <f>IFERROR(VLOOKUP($J2813,'Informations sur les produits'!$A$3:$H$10000,8,FALSE),"0")</f>
        <v>0</v>
      </c>
      <c r="N2813" s="8"/>
      <c r="O2813" s="33" t="str">
        <f>IFERROR(VLOOKUP($M2813,'Informations sur les produits'!$A$3:$H$10000,8,FALSE),"0")</f>
        <v>0</v>
      </c>
      <c r="P2813" s="33">
        <f t="shared" si="172"/>
        <v>0</v>
      </c>
      <c r="Q2813" s="31" t="str">
        <f t="shared" si="173"/>
        <v/>
      </c>
      <c r="R2813" s="32" t="str">
        <f>IFERROR(VLOOKUP($D2813,'Informations sur les produits'!$A$3:$B$15000,2,FALSE),"")</f>
        <v/>
      </c>
      <c r="V2813">
        <f t="shared" si="174"/>
        <v>0</v>
      </c>
      <c r="W2813">
        <f t="shared" si="175"/>
        <v>0</v>
      </c>
    </row>
    <row r="2814" spans="5:23" x14ac:dyDescent="0.25">
      <c r="E2814" s="4"/>
      <c r="F2814" s="4"/>
      <c r="G2814" s="33" t="str">
        <f>IFERROR(VLOOKUP($D2814,'Informations sur les produits'!$A$3:$H$10000,8,FALSE),"0")</f>
        <v>0</v>
      </c>
      <c r="K2814" s="4"/>
      <c r="L2814" s="33" t="str">
        <f>IFERROR(VLOOKUP($J2814,'Informations sur les produits'!$A$3:$H$10000,8,FALSE),"0")</f>
        <v>0</v>
      </c>
      <c r="N2814" s="8"/>
      <c r="O2814" s="33" t="str">
        <f>IFERROR(VLOOKUP($M2814,'Informations sur les produits'!$A$3:$H$10000,8,FALSE),"0")</f>
        <v>0</v>
      </c>
      <c r="P2814" s="33">
        <f t="shared" si="172"/>
        <v>0</v>
      </c>
      <c r="Q2814" s="31" t="str">
        <f t="shared" si="173"/>
        <v/>
      </c>
      <c r="R2814" s="32" t="str">
        <f>IFERROR(VLOOKUP($D2814,'Informations sur les produits'!$A$3:$B$15000,2,FALSE),"")</f>
        <v/>
      </c>
      <c r="V2814">
        <f t="shared" si="174"/>
        <v>0</v>
      </c>
      <c r="W2814">
        <f t="shared" si="175"/>
        <v>0</v>
      </c>
    </row>
    <row r="2815" spans="5:23" x14ac:dyDescent="0.25">
      <c r="E2815" s="4"/>
      <c r="F2815" s="4"/>
      <c r="G2815" s="33" t="str">
        <f>IFERROR(VLOOKUP($D2815,'Informations sur les produits'!$A$3:$H$10000,8,FALSE),"0")</f>
        <v>0</v>
      </c>
      <c r="K2815" s="4"/>
      <c r="L2815" s="33" t="str">
        <f>IFERROR(VLOOKUP($J2815,'Informations sur les produits'!$A$3:$H$10000,8,FALSE),"0")</f>
        <v>0</v>
      </c>
      <c r="N2815" s="8"/>
      <c r="O2815" s="33" t="str">
        <f>IFERROR(VLOOKUP($M2815,'Informations sur les produits'!$A$3:$H$10000,8,FALSE),"0")</f>
        <v>0</v>
      </c>
      <c r="P2815" s="33">
        <f t="shared" si="172"/>
        <v>0</v>
      </c>
      <c r="Q2815" s="31" t="str">
        <f t="shared" si="173"/>
        <v/>
      </c>
      <c r="R2815" s="32" t="str">
        <f>IFERROR(VLOOKUP($D2815,'Informations sur les produits'!$A$3:$B$15000,2,FALSE),"")</f>
        <v/>
      </c>
      <c r="V2815">
        <f t="shared" si="174"/>
        <v>0</v>
      </c>
      <c r="W2815">
        <f t="shared" si="175"/>
        <v>0</v>
      </c>
    </row>
    <row r="2816" spans="5:23" x14ac:dyDescent="0.25">
      <c r="E2816" s="4"/>
      <c r="F2816" s="4"/>
      <c r="G2816" s="33" t="str">
        <f>IFERROR(VLOOKUP($D2816,'Informations sur les produits'!$A$3:$H$10000,8,FALSE),"0")</f>
        <v>0</v>
      </c>
      <c r="K2816" s="4"/>
      <c r="L2816" s="33" t="str">
        <f>IFERROR(VLOOKUP($J2816,'Informations sur les produits'!$A$3:$H$10000,8,FALSE),"0")</f>
        <v>0</v>
      </c>
      <c r="N2816" s="8"/>
      <c r="O2816" s="33" t="str">
        <f>IFERROR(VLOOKUP($M2816,'Informations sur les produits'!$A$3:$H$10000,8,FALSE),"0")</f>
        <v>0</v>
      </c>
      <c r="P2816" s="33">
        <f t="shared" si="172"/>
        <v>0</v>
      </c>
      <c r="Q2816" s="31" t="str">
        <f t="shared" si="173"/>
        <v/>
      </c>
      <c r="R2816" s="32" t="str">
        <f>IFERROR(VLOOKUP($D2816,'Informations sur les produits'!$A$3:$B$15000,2,FALSE),"")</f>
        <v/>
      </c>
      <c r="V2816">
        <f t="shared" si="174"/>
        <v>0</v>
      </c>
      <c r="W2816">
        <f t="shared" si="175"/>
        <v>0</v>
      </c>
    </row>
    <row r="2817" spans="5:23" x14ac:dyDescent="0.25">
      <c r="E2817" s="4"/>
      <c r="F2817" s="4"/>
      <c r="G2817" s="33" t="str">
        <f>IFERROR(VLOOKUP($D2817,'Informations sur les produits'!$A$3:$H$10000,8,FALSE),"0")</f>
        <v>0</v>
      </c>
      <c r="K2817" s="4"/>
      <c r="L2817" s="33" t="str">
        <f>IFERROR(VLOOKUP($J2817,'Informations sur les produits'!$A$3:$H$10000,8,FALSE),"0")</f>
        <v>0</v>
      </c>
      <c r="N2817" s="8"/>
      <c r="O2817" s="33" t="str">
        <f>IFERROR(VLOOKUP($M2817,'Informations sur les produits'!$A$3:$H$10000,8,FALSE),"0")</f>
        <v>0</v>
      </c>
      <c r="P2817" s="33">
        <f t="shared" si="172"/>
        <v>0</v>
      </c>
      <c r="Q2817" s="31" t="str">
        <f t="shared" si="173"/>
        <v/>
      </c>
      <c r="R2817" s="32" t="str">
        <f>IFERROR(VLOOKUP($D2817,'Informations sur les produits'!$A$3:$B$15000,2,FALSE),"")</f>
        <v/>
      </c>
      <c r="V2817">
        <f t="shared" si="174"/>
        <v>0</v>
      </c>
      <c r="W2817">
        <f t="shared" si="175"/>
        <v>0</v>
      </c>
    </row>
    <row r="2818" spans="5:23" x14ac:dyDescent="0.25">
      <c r="E2818" s="4"/>
      <c r="F2818" s="4"/>
      <c r="G2818" s="33" t="str">
        <f>IFERROR(VLOOKUP($D2818,'Informations sur les produits'!$A$3:$H$10000,8,FALSE),"0")</f>
        <v>0</v>
      </c>
      <c r="K2818" s="4"/>
      <c r="L2818" s="33" t="str">
        <f>IFERROR(VLOOKUP($J2818,'Informations sur les produits'!$A$3:$H$10000,8,FALSE),"0")</f>
        <v>0</v>
      </c>
      <c r="N2818" s="8"/>
      <c r="O2818" s="33" t="str">
        <f>IFERROR(VLOOKUP($M2818,'Informations sur les produits'!$A$3:$H$10000,8,FALSE),"0")</f>
        <v>0</v>
      </c>
      <c r="P2818" s="33">
        <f t="shared" si="172"/>
        <v>0</v>
      </c>
      <c r="Q2818" s="31" t="str">
        <f t="shared" si="173"/>
        <v/>
      </c>
      <c r="R2818" s="32" t="str">
        <f>IFERROR(VLOOKUP($D2818,'Informations sur les produits'!$A$3:$B$15000,2,FALSE),"")</f>
        <v/>
      </c>
      <c r="V2818">
        <f t="shared" si="174"/>
        <v>0</v>
      </c>
      <c r="W2818">
        <f t="shared" si="175"/>
        <v>0</v>
      </c>
    </row>
    <row r="2819" spans="5:23" x14ac:dyDescent="0.25">
      <c r="E2819" s="4"/>
      <c r="F2819" s="4"/>
      <c r="G2819" s="33" t="str">
        <f>IFERROR(VLOOKUP($D2819,'Informations sur les produits'!$A$3:$H$10000,8,FALSE),"0")</f>
        <v>0</v>
      </c>
      <c r="K2819" s="4"/>
      <c r="L2819" s="33" t="str">
        <f>IFERROR(VLOOKUP($J2819,'Informations sur les produits'!$A$3:$H$10000,8,FALSE),"0")</f>
        <v>0</v>
      </c>
      <c r="N2819" s="8"/>
      <c r="O2819" s="33" t="str">
        <f>IFERROR(VLOOKUP($M2819,'Informations sur les produits'!$A$3:$H$10000,8,FALSE),"0")</f>
        <v>0</v>
      </c>
      <c r="P2819" s="33">
        <f t="shared" si="172"/>
        <v>0</v>
      </c>
      <c r="Q2819" s="31" t="str">
        <f t="shared" si="173"/>
        <v/>
      </c>
      <c r="R2819" s="32" t="str">
        <f>IFERROR(VLOOKUP($D2819,'Informations sur les produits'!$A$3:$B$15000,2,FALSE),"")</f>
        <v/>
      </c>
      <c r="V2819">
        <f t="shared" si="174"/>
        <v>0</v>
      </c>
      <c r="W2819">
        <f t="shared" si="175"/>
        <v>0</v>
      </c>
    </row>
    <row r="2820" spans="5:23" x14ac:dyDescent="0.25">
      <c r="E2820" s="4"/>
      <c r="F2820" s="4"/>
      <c r="G2820" s="33" t="str">
        <f>IFERROR(VLOOKUP($D2820,'Informations sur les produits'!$A$3:$H$10000,8,FALSE),"0")</f>
        <v>0</v>
      </c>
      <c r="K2820" s="4"/>
      <c r="L2820" s="33" t="str">
        <f>IFERROR(VLOOKUP($J2820,'Informations sur les produits'!$A$3:$H$10000,8,FALSE),"0")</f>
        <v>0</v>
      </c>
      <c r="N2820" s="8"/>
      <c r="O2820" s="33" t="str">
        <f>IFERROR(VLOOKUP($M2820,'Informations sur les produits'!$A$3:$H$10000,8,FALSE),"0")</f>
        <v>0</v>
      </c>
      <c r="P2820" s="33">
        <f t="shared" ref="P2820:P2883" si="176">IFERROR((($E2820-$F2820)*$G2820+$K2820*$L2820+$N2820*$O2820),"")</f>
        <v>0</v>
      </c>
      <c r="Q2820" s="31" t="str">
        <f t="shared" ref="Q2820:Q2883" si="177">IFERROR((((($E2820-$F2820)*$G2820+$K2820*$L2820+$N2820*$O2820)*1000)/(($E2820-$F2820)+$K2820+$N2820)),"")</f>
        <v/>
      </c>
      <c r="R2820" s="32" t="str">
        <f>IFERROR(VLOOKUP($D2820,'Informations sur les produits'!$A$3:$B$15000,2,FALSE),"")</f>
        <v/>
      </c>
      <c r="V2820">
        <f t="shared" ref="V2820:V2883" si="178">IFERROR(P2820*1000,"")</f>
        <v>0</v>
      </c>
      <c r="W2820">
        <f t="shared" ref="W2820:W2883" si="179">IFERROR(($E2820-$F2820)+$K2820+$N2820,"")</f>
        <v>0</v>
      </c>
    </row>
    <row r="2821" spans="5:23" x14ac:dyDescent="0.25">
      <c r="E2821" s="4"/>
      <c r="F2821" s="4"/>
      <c r="G2821" s="33" t="str">
        <f>IFERROR(VLOOKUP($D2821,'Informations sur les produits'!$A$3:$H$10000,8,FALSE),"0")</f>
        <v>0</v>
      </c>
      <c r="K2821" s="4"/>
      <c r="L2821" s="33" t="str">
        <f>IFERROR(VLOOKUP($J2821,'Informations sur les produits'!$A$3:$H$10000,8,FALSE),"0")</f>
        <v>0</v>
      </c>
      <c r="N2821" s="8"/>
      <c r="O2821" s="33" t="str">
        <f>IFERROR(VLOOKUP($M2821,'Informations sur les produits'!$A$3:$H$10000,8,FALSE),"0")</f>
        <v>0</v>
      </c>
      <c r="P2821" s="33">
        <f t="shared" si="176"/>
        <v>0</v>
      </c>
      <c r="Q2821" s="31" t="str">
        <f t="shared" si="177"/>
        <v/>
      </c>
      <c r="R2821" s="32" t="str">
        <f>IFERROR(VLOOKUP($D2821,'Informations sur les produits'!$A$3:$B$15000,2,FALSE),"")</f>
        <v/>
      </c>
      <c r="V2821">
        <f t="shared" si="178"/>
        <v>0</v>
      </c>
      <c r="W2821">
        <f t="shared" si="179"/>
        <v>0</v>
      </c>
    </row>
    <row r="2822" spans="5:23" x14ac:dyDescent="0.25">
      <c r="E2822" s="4"/>
      <c r="F2822" s="4"/>
      <c r="G2822" s="33" t="str">
        <f>IFERROR(VLOOKUP($D2822,'Informations sur les produits'!$A$3:$H$10000,8,FALSE),"0")</f>
        <v>0</v>
      </c>
      <c r="K2822" s="4"/>
      <c r="L2822" s="33" t="str">
        <f>IFERROR(VLOOKUP($J2822,'Informations sur les produits'!$A$3:$H$10000,8,FALSE),"0")</f>
        <v>0</v>
      </c>
      <c r="N2822" s="8"/>
      <c r="O2822" s="33" t="str">
        <f>IFERROR(VLOOKUP($M2822,'Informations sur les produits'!$A$3:$H$10000,8,FALSE),"0")</f>
        <v>0</v>
      </c>
      <c r="P2822" s="33">
        <f t="shared" si="176"/>
        <v>0</v>
      </c>
      <c r="Q2822" s="31" t="str">
        <f t="shared" si="177"/>
        <v/>
      </c>
      <c r="R2822" s="32" t="str">
        <f>IFERROR(VLOOKUP($D2822,'Informations sur les produits'!$A$3:$B$15000,2,FALSE),"")</f>
        <v/>
      </c>
      <c r="V2822">
        <f t="shared" si="178"/>
        <v>0</v>
      </c>
      <c r="W2822">
        <f t="shared" si="179"/>
        <v>0</v>
      </c>
    </row>
    <row r="2823" spans="5:23" x14ac:dyDescent="0.25">
      <c r="E2823" s="4"/>
      <c r="F2823" s="4"/>
      <c r="G2823" s="33" t="str">
        <f>IFERROR(VLOOKUP($D2823,'Informations sur les produits'!$A$3:$H$10000,8,FALSE),"0")</f>
        <v>0</v>
      </c>
      <c r="K2823" s="4"/>
      <c r="L2823" s="33" t="str">
        <f>IFERROR(VLOOKUP($J2823,'Informations sur les produits'!$A$3:$H$10000,8,FALSE),"0")</f>
        <v>0</v>
      </c>
      <c r="N2823" s="8"/>
      <c r="O2823" s="33" t="str">
        <f>IFERROR(VLOOKUP($M2823,'Informations sur les produits'!$A$3:$H$10000,8,FALSE),"0")</f>
        <v>0</v>
      </c>
      <c r="P2823" s="33">
        <f t="shared" si="176"/>
        <v>0</v>
      </c>
      <c r="Q2823" s="31" t="str">
        <f t="shared" si="177"/>
        <v/>
      </c>
      <c r="R2823" s="32" t="str">
        <f>IFERROR(VLOOKUP($D2823,'Informations sur les produits'!$A$3:$B$15000,2,FALSE),"")</f>
        <v/>
      </c>
      <c r="V2823">
        <f t="shared" si="178"/>
        <v>0</v>
      </c>
      <c r="W2823">
        <f t="shared" si="179"/>
        <v>0</v>
      </c>
    </row>
    <row r="2824" spans="5:23" x14ac:dyDescent="0.25">
      <c r="E2824" s="4"/>
      <c r="F2824" s="4"/>
      <c r="G2824" s="33" t="str">
        <f>IFERROR(VLOOKUP($D2824,'Informations sur les produits'!$A$3:$H$10000,8,FALSE),"0")</f>
        <v>0</v>
      </c>
      <c r="K2824" s="4"/>
      <c r="L2824" s="33" t="str">
        <f>IFERROR(VLOOKUP($J2824,'Informations sur les produits'!$A$3:$H$10000,8,FALSE),"0")</f>
        <v>0</v>
      </c>
      <c r="N2824" s="8"/>
      <c r="O2824" s="33" t="str">
        <f>IFERROR(VLOOKUP($M2824,'Informations sur les produits'!$A$3:$H$10000,8,FALSE),"0")</f>
        <v>0</v>
      </c>
      <c r="P2824" s="33">
        <f t="shared" si="176"/>
        <v>0</v>
      </c>
      <c r="Q2824" s="31" t="str">
        <f t="shared" si="177"/>
        <v/>
      </c>
      <c r="R2824" s="32" t="str">
        <f>IFERROR(VLOOKUP($D2824,'Informations sur les produits'!$A$3:$B$15000,2,FALSE),"")</f>
        <v/>
      </c>
      <c r="V2824">
        <f t="shared" si="178"/>
        <v>0</v>
      </c>
      <c r="W2824">
        <f t="shared" si="179"/>
        <v>0</v>
      </c>
    </row>
    <row r="2825" spans="5:23" x14ac:dyDescent="0.25">
      <c r="E2825" s="4"/>
      <c r="F2825" s="4"/>
      <c r="G2825" s="33" t="str">
        <f>IFERROR(VLOOKUP($D2825,'Informations sur les produits'!$A$3:$H$10000,8,FALSE),"0")</f>
        <v>0</v>
      </c>
      <c r="K2825" s="4"/>
      <c r="L2825" s="33" t="str">
        <f>IFERROR(VLOOKUP($J2825,'Informations sur les produits'!$A$3:$H$10000,8,FALSE),"0")</f>
        <v>0</v>
      </c>
      <c r="N2825" s="8"/>
      <c r="O2825" s="33" t="str">
        <f>IFERROR(VLOOKUP($M2825,'Informations sur les produits'!$A$3:$H$10000,8,FALSE),"0")</f>
        <v>0</v>
      </c>
      <c r="P2825" s="33">
        <f t="shared" si="176"/>
        <v>0</v>
      </c>
      <c r="Q2825" s="31" t="str">
        <f t="shared" si="177"/>
        <v/>
      </c>
      <c r="R2825" s="32" t="str">
        <f>IFERROR(VLOOKUP($D2825,'Informations sur les produits'!$A$3:$B$15000,2,FALSE),"")</f>
        <v/>
      </c>
      <c r="V2825">
        <f t="shared" si="178"/>
        <v>0</v>
      </c>
      <c r="W2825">
        <f t="shared" si="179"/>
        <v>0</v>
      </c>
    </row>
    <row r="2826" spans="5:23" x14ac:dyDescent="0.25">
      <c r="E2826" s="4"/>
      <c r="F2826" s="4"/>
      <c r="G2826" s="33" t="str">
        <f>IFERROR(VLOOKUP($D2826,'Informations sur les produits'!$A$3:$H$10000,8,FALSE),"0")</f>
        <v>0</v>
      </c>
      <c r="K2826" s="4"/>
      <c r="L2826" s="33" t="str">
        <f>IFERROR(VLOOKUP($J2826,'Informations sur les produits'!$A$3:$H$10000,8,FALSE),"0")</f>
        <v>0</v>
      </c>
      <c r="N2826" s="8"/>
      <c r="O2826" s="33" t="str">
        <f>IFERROR(VLOOKUP($M2826,'Informations sur les produits'!$A$3:$H$10000,8,FALSE),"0")</f>
        <v>0</v>
      </c>
      <c r="P2826" s="33">
        <f t="shared" si="176"/>
        <v>0</v>
      </c>
      <c r="Q2826" s="31" t="str">
        <f t="shared" si="177"/>
        <v/>
      </c>
      <c r="R2826" s="32" t="str">
        <f>IFERROR(VLOOKUP($D2826,'Informations sur les produits'!$A$3:$B$15000,2,FALSE),"")</f>
        <v/>
      </c>
      <c r="V2826">
        <f t="shared" si="178"/>
        <v>0</v>
      </c>
      <c r="W2826">
        <f t="shared" si="179"/>
        <v>0</v>
      </c>
    </row>
    <row r="2827" spans="5:23" x14ac:dyDescent="0.25">
      <c r="E2827" s="4"/>
      <c r="F2827" s="4"/>
      <c r="G2827" s="33" t="str">
        <f>IFERROR(VLOOKUP($D2827,'Informations sur les produits'!$A$3:$H$10000,8,FALSE),"0")</f>
        <v>0</v>
      </c>
      <c r="K2827" s="4"/>
      <c r="L2827" s="33" t="str">
        <f>IFERROR(VLOOKUP($J2827,'Informations sur les produits'!$A$3:$H$10000,8,FALSE),"0")</f>
        <v>0</v>
      </c>
      <c r="N2827" s="8"/>
      <c r="O2827" s="33" t="str">
        <f>IFERROR(VLOOKUP($M2827,'Informations sur les produits'!$A$3:$H$10000,8,FALSE),"0")</f>
        <v>0</v>
      </c>
      <c r="P2827" s="33">
        <f t="shared" si="176"/>
        <v>0</v>
      </c>
      <c r="Q2827" s="31" t="str">
        <f t="shared" si="177"/>
        <v/>
      </c>
      <c r="R2827" s="32" t="str">
        <f>IFERROR(VLOOKUP($D2827,'Informations sur les produits'!$A$3:$B$15000,2,FALSE),"")</f>
        <v/>
      </c>
      <c r="V2827">
        <f t="shared" si="178"/>
        <v>0</v>
      </c>
      <c r="W2827">
        <f t="shared" si="179"/>
        <v>0</v>
      </c>
    </row>
    <row r="2828" spans="5:23" x14ac:dyDescent="0.25">
      <c r="E2828" s="4"/>
      <c r="F2828" s="4"/>
      <c r="G2828" s="33" t="str">
        <f>IFERROR(VLOOKUP($D2828,'Informations sur les produits'!$A$3:$H$10000,8,FALSE),"0")</f>
        <v>0</v>
      </c>
      <c r="K2828" s="4"/>
      <c r="L2828" s="33" t="str">
        <f>IFERROR(VLOOKUP($J2828,'Informations sur les produits'!$A$3:$H$10000,8,FALSE),"0")</f>
        <v>0</v>
      </c>
      <c r="N2828" s="8"/>
      <c r="O2828" s="33" t="str">
        <f>IFERROR(VLOOKUP($M2828,'Informations sur les produits'!$A$3:$H$10000,8,FALSE),"0")</f>
        <v>0</v>
      </c>
      <c r="P2828" s="33">
        <f t="shared" si="176"/>
        <v>0</v>
      </c>
      <c r="Q2828" s="31" t="str">
        <f t="shared" si="177"/>
        <v/>
      </c>
      <c r="R2828" s="32" t="str">
        <f>IFERROR(VLOOKUP($D2828,'Informations sur les produits'!$A$3:$B$15000,2,FALSE),"")</f>
        <v/>
      </c>
      <c r="V2828">
        <f t="shared" si="178"/>
        <v>0</v>
      </c>
      <c r="W2828">
        <f t="shared" si="179"/>
        <v>0</v>
      </c>
    </row>
    <row r="2829" spans="5:23" x14ac:dyDescent="0.25">
      <c r="E2829" s="4"/>
      <c r="F2829" s="4"/>
      <c r="G2829" s="33" t="str">
        <f>IFERROR(VLOOKUP($D2829,'Informations sur les produits'!$A$3:$H$10000,8,FALSE),"0")</f>
        <v>0</v>
      </c>
      <c r="K2829" s="4"/>
      <c r="L2829" s="33" t="str">
        <f>IFERROR(VLOOKUP($J2829,'Informations sur les produits'!$A$3:$H$10000,8,FALSE),"0")</f>
        <v>0</v>
      </c>
      <c r="N2829" s="8"/>
      <c r="O2829" s="33" t="str">
        <f>IFERROR(VLOOKUP($M2829,'Informations sur les produits'!$A$3:$H$10000,8,FALSE),"0")</f>
        <v>0</v>
      </c>
      <c r="P2829" s="33">
        <f t="shared" si="176"/>
        <v>0</v>
      </c>
      <c r="Q2829" s="31" t="str">
        <f t="shared" si="177"/>
        <v/>
      </c>
      <c r="R2829" s="32" t="str">
        <f>IFERROR(VLOOKUP($D2829,'Informations sur les produits'!$A$3:$B$15000,2,FALSE),"")</f>
        <v/>
      </c>
      <c r="V2829">
        <f t="shared" si="178"/>
        <v>0</v>
      </c>
      <c r="W2829">
        <f t="shared" si="179"/>
        <v>0</v>
      </c>
    </row>
    <row r="2830" spans="5:23" x14ac:dyDescent="0.25">
      <c r="E2830" s="4"/>
      <c r="F2830" s="4"/>
      <c r="G2830" s="33" t="str">
        <f>IFERROR(VLOOKUP($D2830,'Informations sur les produits'!$A$3:$H$10000,8,FALSE),"0")</f>
        <v>0</v>
      </c>
      <c r="K2830" s="4"/>
      <c r="L2830" s="33" t="str">
        <f>IFERROR(VLOOKUP($J2830,'Informations sur les produits'!$A$3:$H$10000,8,FALSE),"0")</f>
        <v>0</v>
      </c>
      <c r="N2830" s="8"/>
      <c r="O2830" s="33" t="str">
        <f>IFERROR(VLOOKUP($M2830,'Informations sur les produits'!$A$3:$H$10000,8,FALSE),"0")</f>
        <v>0</v>
      </c>
      <c r="P2830" s="33">
        <f t="shared" si="176"/>
        <v>0</v>
      </c>
      <c r="Q2830" s="31" t="str">
        <f t="shared" si="177"/>
        <v/>
      </c>
      <c r="R2830" s="32" t="str">
        <f>IFERROR(VLOOKUP($D2830,'Informations sur les produits'!$A$3:$B$15000,2,FALSE),"")</f>
        <v/>
      </c>
      <c r="V2830">
        <f t="shared" si="178"/>
        <v>0</v>
      </c>
      <c r="W2830">
        <f t="shared" si="179"/>
        <v>0</v>
      </c>
    </row>
    <row r="2831" spans="5:23" x14ac:dyDescent="0.25">
      <c r="E2831" s="4"/>
      <c r="F2831" s="4"/>
      <c r="G2831" s="33" t="str">
        <f>IFERROR(VLOOKUP($D2831,'Informations sur les produits'!$A$3:$H$10000,8,FALSE),"0")</f>
        <v>0</v>
      </c>
      <c r="K2831" s="4"/>
      <c r="L2831" s="33" t="str">
        <f>IFERROR(VLOOKUP($J2831,'Informations sur les produits'!$A$3:$H$10000,8,FALSE),"0")</f>
        <v>0</v>
      </c>
      <c r="N2831" s="8"/>
      <c r="O2831" s="33" t="str">
        <f>IFERROR(VLOOKUP($M2831,'Informations sur les produits'!$A$3:$H$10000,8,FALSE),"0")</f>
        <v>0</v>
      </c>
      <c r="P2831" s="33">
        <f t="shared" si="176"/>
        <v>0</v>
      </c>
      <c r="Q2831" s="31" t="str">
        <f t="shared" si="177"/>
        <v/>
      </c>
      <c r="R2831" s="32" t="str">
        <f>IFERROR(VLOOKUP($D2831,'Informations sur les produits'!$A$3:$B$15000,2,FALSE),"")</f>
        <v/>
      </c>
      <c r="V2831">
        <f t="shared" si="178"/>
        <v>0</v>
      </c>
      <c r="W2831">
        <f t="shared" si="179"/>
        <v>0</v>
      </c>
    </row>
    <row r="2832" spans="5:23" x14ac:dyDescent="0.25">
      <c r="E2832" s="4"/>
      <c r="F2832" s="4"/>
      <c r="G2832" s="33" t="str">
        <f>IFERROR(VLOOKUP($D2832,'Informations sur les produits'!$A$3:$H$10000,8,FALSE),"0")</f>
        <v>0</v>
      </c>
      <c r="K2832" s="4"/>
      <c r="L2832" s="33" t="str">
        <f>IFERROR(VLOOKUP($J2832,'Informations sur les produits'!$A$3:$H$10000,8,FALSE),"0")</f>
        <v>0</v>
      </c>
      <c r="N2832" s="8"/>
      <c r="O2832" s="33" t="str">
        <f>IFERROR(VLOOKUP($M2832,'Informations sur les produits'!$A$3:$H$10000,8,FALSE),"0")</f>
        <v>0</v>
      </c>
      <c r="P2832" s="33">
        <f t="shared" si="176"/>
        <v>0</v>
      </c>
      <c r="Q2832" s="31" t="str">
        <f t="shared" si="177"/>
        <v/>
      </c>
      <c r="R2832" s="32" t="str">
        <f>IFERROR(VLOOKUP($D2832,'Informations sur les produits'!$A$3:$B$15000,2,FALSE),"")</f>
        <v/>
      </c>
      <c r="V2832">
        <f t="shared" si="178"/>
        <v>0</v>
      </c>
      <c r="W2832">
        <f t="shared" si="179"/>
        <v>0</v>
      </c>
    </row>
    <row r="2833" spans="5:23" x14ac:dyDescent="0.25">
      <c r="E2833" s="4"/>
      <c r="F2833" s="4"/>
      <c r="G2833" s="33" t="str">
        <f>IFERROR(VLOOKUP($D2833,'Informations sur les produits'!$A$3:$H$10000,8,FALSE),"0")</f>
        <v>0</v>
      </c>
      <c r="K2833" s="4"/>
      <c r="L2833" s="33" t="str">
        <f>IFERROR(VLOOKUP($J2833,'Informations sur les produits'!$A$3:$H$10000,8,FALSE),"0")</f>
        <v>0</v>
      </c>
      <c r="N2833" s="8"/>
      <c r="O2833" s="33" t="str">
        <f>IFERROR(VLOOKUP($M2833,'Informations sur les produits'!$A$3:$H$10000,8,FALSE),"0")</f>
        <v>0</v>
      </c>
      <c r="P2833" s="33">
        <f t="shared" si="176"/>
        <v>0</v>
      </c>
      <c r="Q2833" s="31" t="str">
        <f t="shared" si="177"/>
        <v/>
      </c>
      <c r="R2833" s="32" t="str">
        <f>IFERROR(VLOOKUP($D2833,'Informations sur les produits'!$A$3:$B$15000,2,FALSE),"")</f>
        <v/>
      </c>
      <c r="V2833">
        <f t="shared" si="178"/>
        <v>0</v>
      </c>
      <c r="W2833">
        <f t="shared" si="179"/>
        <v>0</v>
      </c>
    </row>
    <row r="2834" spans="5:23" x14ac:dyDescent="0.25">
      <c r="E2834" s="4"/>
      <c r="F2834" s="4"/>
      <c r="G2834" s="33" t="str">
        <f>IFERROR(VLOOKUP($D2834,'Informations sur les produits'!$A$3:$H$10000,8,FALSE),"0")</f>
        <v>0</v>
      </c>
      <c r="K2834" s="4"/>
      <c r="L2834" s="33" t="str">
        <f>IFERROR(VLOOKUP($J2834,'Informations sur les produits'!$A$3:$H$10000,8,FALSE),"0")</f>
        <v>0</v>
      </c>
      <c r="N2834" s="8"/>
      <c r="O2834" s="33" t="str">
        <f>IFERROR(VLOOKUP($M2834,'Informations sur les produits'!$A$3:$H$10000,8,FALSE),"0")</f>
        <v>0</v>
      </c>
      <c r="P2834" s="33">
        <f t="shared" si="176"/>
        <v>0</v>
      </c>
      <c r="Q2834" s="31" t="str">
        <f t="shared" si="177"/>
        <v/>
      </c>
      <c r="R2834" s="32" t="str">
        <f>IFERROR(VLOOKUP($D2834,'Informations sur les produits'!$A$3:$B$15000,2,FALSE),"")</f>
        <v/>
      </c>
      <c r="V2834">
        <f t="shared" si="178"/>
        <v>0</v>
      </c>
      <c r="W2834">
        <f t="shared" si="179"/>
        <v>0</v>
      </c>
    </row>
    <row r="2835" spans="5:23" x14ac:dyDescent="0.25">
      <c r="E2835" s="4"/>
      <c r="F2835" s="4"/>
      <c r="G2835" s="33" t="str">
        <f>IFERROR(VLOOKUP($D2835,'Informations sur les produits'!$A$3:$H$10000,8,FALSE),"0")</f>
        <v>0</v>
      </c>
      <c r="K2835" s="4"/>
      <c r="L2835" s="33" t="str">
        <f>IFERROR(VLOOKUP($J2835,'Informations sur les produits'!$A$3:$H$10000,8,FALSE),"0")</f>
        <v>0</v>
      </c>
      <c r="N2835" s="8"/>
      <c r="O2835" s="33" t="str">
        <f>IFERROR(VLOOKUP($M2835,'Informations sur les produits'!$A$3:$H$10000,8,FALSE),"0")</f>
        <v>0</v>
      </c>
      <c r="P2835" s="33">
        <f t="shared" si="176"/>
        <v>0</v>
      </c>
      <c r="Q2835" s="31" t="str">
        <f t="shared" si="177"/>
        <v/>
      </c>
      <c r="R2835" s="32" t="str">
        <f>IFERROR(VLOOKUP($D2835,'Informations sur les produits'!$A$3:$B$15000,2,FALSE),"")</f>
        <v/>
      </c>
      <c r="V2835">
        <f t="shared" si="178"/>
        <v>0</v>
      </c>
      <c r="W2835">
        <f t="shared" si="179"/>
        <v>0</v>
      </c>
    </row>
    <row r="2836" spans="5:23" x14ac:dyDescent="0.25">
      <c r="E2836" s="4"/>
      <c r="F2836" s="4"/>
      <c r="G2836" s="33" t="str">
        <f>IFERROR(VLOOKUP($D2836,'Informations sur les produits'!$A$3:$H$10000,8,FALSE),"0")</f>
        <v>0</v>
      </c>
      <c r="K2836" s="4"/>
      <c r="L2836" s="33" t="str">
        <f>IFERROR(VLOOKUP($J2836,'Informations sur les produits'!$A$3:$H$10000,8,FALSE),"0")</f>
        <v>0</v>
      </c>
      <c r="N2836" s="8"/>
      <c r="O2836" s="33" t="str">
        <f>IFERROR(VLOOKUP($M2836,'Informations sur les produits'!$A$3:$H$10000,8,FALSE),"0")</f>
        <v>0</v>
      </c>
      <c r="P2836" s="33">
        <f t="shared" si="176"/>
        <v>0</v>
      </c>
      <c r="Q2836" s="31" t="str">
        <f t="shared" si="177"/>
        <v/>
      </c>
      <c r="R2836" s="32" t="str">
        <f>IFERROR(VLOOKUP($D2836,'Informations sur les produits'!$A$3:$B$15000,2,FALSE),"")</f>
        <v/>
      </c>
      <c r="V2836">
        <f t="shared" si="178"/>
        <v>0</v>
      </c>
      <c r="W2836">
        <f t="shared" si="179"/>
        <v>0</v>
      </c>
    </row>
    <row r="2837" spans="5:23" x14ac:dyDescent="0.25">
      <c r="E2837" s="4"/>
      <c r="F2837" s="4"/>
      <c r="G2837" s="33" t="str">
        <f>IFERROR(VLOOKUP($D2837,'Informations sur les produits'!$A$3:$H$10000,8,FALSE),"0")</f>
        <v>0</v>
      </c>
      <c r="K2837" s="4"/>
      <c r="L2837" s="33" t="str">
        <f>IFERROR(VLOOKUP($J2837,'Informations sur les produits'!$A$3:$H$10000,8,FALSE),"0")</f>
        <v>0</v>
      </c>
      <c r="N2837" s="8"/>
      <c r="O2837" s="33" t="str">
        <f>IFERROR(VLOOKUP($M2837,'Informations sur les produits'!$A$3:$H$10000,8,FALSE),"0")</f>
        <v>0</v>
      </c>
      <c r="P2837" s="33">
        <f t="shared" si="176"/>
        <v>0</v>
      </c>
      <c r="Q2837" s="31" t="str">
        <f t="shared" si="177"/>
        <v/>
      </c>
      <c r="R2837" s="32" t="str">
        <f>IFERROR(VLOOKUP($D2837,'Informations sur les produits'!$A$3:$B$15000,2,FALSE),"")</f>
        <v/>
      </c>
      <c r="V2837">
        <f t="shared" si="178"/>
        <v>0</v>
      </c>
      <c r="W2837">
        <f t="shared" si="179"/>
        <v>0</v>
      </c>
    </row>
    <row r="2838" spans="5:23" x14ac:dyDescent="0.25">
      <c r="E2838" s="4"/>
      <c r="F2838" s="4"/>
      <c r="G2838" s="33" t="str">
        <f>IFERROR(VLOOKUP($D2838,'Informations sur les produits'!$A$3:$H$10000,8,FALSE),"0")</f>
        <v>0</v>
      </c>
      <c r="K2838" s="4"/>
      <c r="L2838" s="33" t="str">
        <f>IFERROR(VLOOKUP($J2838,'Informations sur les produits'!$A$3:$H$10000,8,FALSE),"0")</f>
        <v>0</v>
      </c>
      <c r="N2838" s="8"/>
      <c r="O2838" s="33" t="str">
        <f>IFERROR(VLOOKUP($M2838,'Informations sur les produits'!$A$3:$H$10000,8,FALSE),"0")</f>
        <v>0</v>
      </c>
      <c r="P2838" s="33">
        <f t="shared" si="176"/>
        <v>0</v>
      </c>
      <c r="Q2838" s="31" t="str">
        <f t="shared" si="177"/>
        <v/>
      </c>
      <c r="R2838" s="32" t="str">
        <f>IFERROR(VLOOKUP($D2838,'Informations sur les produits'!$A$3:$B$15000,2,FALSE),"")</f>
        <v/>
      </c>
      <c r="V2838">
        <f t="shared" si="178"/>
        <v>0</v>
      </c>
      <c r="W2838">
        <f t="shared" si="179"/>
        <v>0</v>
      </c>
    </row>
    <row r="2839" spans="5:23" x14ac:dyDescent="0.25">
      <c r="E2839" s="4"/>
      <c r="F2839" s="4"/>
      <c r="G2839" s="33" t="str">
        <f>IFERROR(VLOOKUP($D2839,'Informations sur les produits'!$A$3:$H$10000,8,FALSE),"0")</f>
        <v>0</v>
      </c>
      <c r="K2839" s="4"/>
      <c r="L2839" s="33" t="str">
        <f>IFERROR(VLOOKUP($J2839,'Informations sur les produits'!$A$3:$H$10000,8,FALSE),"0")</f>
        <v>0</v>
      </c>
      <c r="N2839" s="8"/>
      <c r="O2839" s="33" t="str">
        <f>IFERROR(VLOOKUP($M2839,'Informations sur les produits'!$A$3:$H$10000,8,FALSE),"0")</f>
        <v>0</v>
      </c>
      <c r="P2839" s="33">
        <f t="shared" si="176"/>
        <v>0</v>
      </c>
      <c r="Q2839" s="31" t="str">
        <f t="shared" si="177"/>
        <v/>
      </c>
      <c r="R2839" s="32" t="str">
        <f>IFERROR(VLOOKUP($D2839,'Informations sur les produits'!$A$3:$B$15000,2,FALSE),"")</f>
        <v/>
      </c>
      <c r="V2839">
        <f t="shared" si="178"/>
        <v>0</v>
      </c>
      <c r="W2839">
        <f t="shared" si="179"/>
        <v>0</v>
      </c>
    </row>
    <row r="2840" spans="5:23" x14ac:dyDescent="0.25">
      <c r="E2840" s="4"/>
      <c r="F2840" s="4"/>
      <c r="G2840" s="33" t="str">
        <f>IFERROR(VLOOKUP($D2840,'Informations sur les produits'!$A$3:$H$10000,8,FALSE),"0")</f>
        <v>0</v>
      </c>
      <c r="K2840" s="4"/>
      <c r="L2840" s="33" t="str">
        <f>IFERROR(VLOOKUP($J2840,'Informations sur les produits'!$A$3:$H$10000,8,FALSE),"0")</f>
        <v>0</v>
      </c>
      <c r="N2840" s="8"/>
      <c r="O2840" s="33" t="str">
        <f>IFERROR(VLOOKUP($M2840,'Informations sur les produits'!$A$3:$H$10000,8,FALSE),"0")</f>
        <v>0</v>
      </c>
      <c r="P2840" s="33">
        <f t="shared" si="176"/>
        <v>0</v>
      </c>
      <c r="Q2840" s="31" t="str">
        <f t="shared" si="177"/>
        <v/>
      </c>
      <c r="R2840" s="32" t="str">
        <f>IFERROR(VLOOKUP($D2840,'Informations sur les produits'!$A$3:$B$15000,2,FALSE),"")</f>
        <v/>
      </c>
      <c r="V2840">
        <f t="shared" si="178"/>
        <v>0</v>
      </c>
      <c r="W2840">
        <f t="shared" si="179"/>
        <v>0</v>
      </c>
    </row>
    <row r="2841" spans="5:23" x14ac:dyDescent="0.25">
      <c r="E2841" s="4"/>
      <c r="F2841" s="4"/>
      <c r="G2841" s="33" t="str">
        <f>IFERROR(VLOOKUP($D2841,'Informations sur les produits'!$A$3:$H$10000,8,FALSE),"0")</f>
        <v>0</v>
      </c>
      <c r="K2841" s="4"/>
      <c r="L2841" s="33" t="str">
        <f>IFERROR(VLOOKUP($J2841,'Informations sur les produits'!$A$3:$H$10000,8,FALSE),"0")</f>
        <v>0</v>
      </c>
      <c r="N2841" s="8"/>
      <c r="O2841" s="33" t="str">
        <f>IFERROR(VLOOKUP($M2841,'Informations sur les produits'!$A$3:$H$10000,8,FALSE),"0")</f>
        <v>0</v>
      </c>
      <c r="P2841" s="33">
        <f t="shared" si="176"/>
        <v>0</v>
      </c>
      <c r="Q2841" s="31" t="str">
        <f t="shared" si="177"/>
        <v/>
      </c>
      <c r="R2841" s="32" t="str">
        <f>IFERROR(VLOOKUP($D2841,'Informations sur les produits'!$A$3:$B$15000,2,FALSE),"")</f>
        <v/>
      </c>
      <c r="V2841">
        <f t="shared" si="178"/>
        <v>0</v>
      </c>
      <c r="W2841">
        <f t="shared" si="179"/>
        <v>0</v>
      </c>
    </row>
    <row r="2842" spans="5:23" x14ac:dyDescent="0.25">
      <c r="E2842" s="4"/>
      <c r="F2842" s="4"/>
      <c r="G2842" s="33" t="str">
        <f>IFERROR(VLOOKUP($D2842,'Informations sur les produits'!$A$3:$H$10000,8,FALSE),"0")</f>
        <v>0</v>
      </c>
      <c r="K2842" s="4"/>
      <c r="L2842" s="33" t="str">
        <f>IFERROR(VLOOKUP($J2842,'Informations sur les produits'!$A$3:$H$10000,8,FALSE),"0")</f>
        <v>0</v>
      </c>
      <c r="N2842" s="8"/>
      <c r="O2842" s="33" t="str">
        <f>IFERROR(VLOOKUP($M2842,'Informations sur les produits'!$A$3:$H$10000,8,FALSE),"0")</f>
        <v>0</v>
      </c>
      <c r="P2842" s="33">
        <f t="shared" si="176"/>
        <v>0</v>
      </c>
      <c r="Q2842" s="31" t="str">
        <f t="shared" si="177"/>
        <v/>
      </c>
      <c r="R2842" s="32" t="str">
        <f>IFERROR(VLOOKUP($D2842,'Informations sur les produits'!$A$3:$B$15000,2,FALSE),"")</f>
        <v/>
      </c>
      <c r="V2842">
        <f t="shared" si="178"/>
        <v>0</v>
      </c>
      <c r="W2842">
        <f t="shared" si="179"/>
        <v>0</v>
      </c>
    </row>
    <row r="2843" spans="5:23" x14ac:dyDescent="0.25">
      <c r="E2843" s="4"/>
      <c r="F2843" s="4"/>
      <c r="G2843" s="33" t="str">
        <f>IFERROR(VLOOKUP($D2843,'Informations sur les produits'!$A$3:$H$10000,8,FALSE),"0")</f>
        <v>0</v>
      </c>
      <c r="K2843" s="4"/>
      <c r="L2843" s="33" t="str">
        <f>IFERROR(VLOOKUP($J2843,'Informations sur les produits'!$A$3:$H$10000,8,FALSE),"0")</f>
        <v>0</v>
      </c>
      <c r="N2843" s="8"/>
      <c r="O2843" s="33" t="str">
        <f>IFERROR(VLOOKUP($M2843,'Informations sur les produits'!$A$3:$H$10000,8,FALSE),"0")</f>
        <v>0</v>
      </c>
      <c r="P2843" s="33">
        <f t="shared" si="176"/>
        <v>0</v>
      </c>
      <c r="Q2843" s="31" t="str">
        <f t="shared" si="177"/>
        <v/>
      </c>
      <c r="R2843" s="32" t="str">
        <f>IFERROR(VLOOKUP($D2843,'Informations sur les produits'!$A$3:$B$15000,2,FALSE),"")</f>
        <v/>
      </c>
      <c r="V2843">
        <f t="shared" si="178"/>
        <v>0</v>
      </c>
      <c r="W2843">
        <f t="shared" si="179"/>
        <v>0</v>
      </c>
    </row>
    <row r="2844" spans="5:23" x14ac:dyDescent="0.25">
      <c r="E2844" s="4"/>
      <c r="F2844" s="4"/>
      <c r="G2844" s="33" t="str">
        <f>IFERROR(VLOOKUP($D2844,'Informations sur les produits'!$A$3:$H$10000,8,FALSE),"0")</f>
        <v>0</v>
      </c>
      <c r="K2844" s="4"/>
      <c r="L2844" s="33" t="str">
        <f>IFERROR(VLOOKUP($J2844,'Informations sur les produits'!$A$3:$H$10000,8,FALSE),"0")</f>
        <v>0</v>
      </c>
      <c r="N2844" s="8"/>
      <c r="O2844" s="33" t="str">
        <f>IFERROR(VLOOKUP($M2844,'Informations sur les produits'!$A$3:$H$10000,8,FALSE),"0")</f>
        <v>0</v>
      </c>
      <c r="P2844" s="33">
        <f t="shared" si="176"/>
        <v>0</v>
      </c>
      <c r="Q2844" s="31" t="str">
        <f t="shared" si="177"/>
        <v/>
      </c>
      <c r="R2844" s="32" t="str">
        <f>IFERROR(VLOOKUP($D2844,'Informations sur les produits'!$A$3:$B$15000,2,FALSE),"")</f>
        <v/>
      </c>
      <c r="V2844">
        <f t="shared" si="178"/>
        <v>0</v>
      </c>
      <c r="W2844">
        <f t="shared" si="179"/>
        <v>0</v>
      </c>
    </row>
    <row r="2845" spans="5:23" x14ac:dyDescent="0.25">
      <c r="E2845" s="4"/>
      <c r="F2845" s="4"/>
      <c r="G2845" s="33" t="str">
        <f>IFERROR(VLOOKUP($D2845,'Informations sur les produits'!$A$3:$H$10000,8,FALSE),"0")</f>
        <v>0</v>
      </c>
      <c r="K2845" s="4"/>
      <c r="L2845" s="33" t="str">
        <f>IFERROR(VLOOKUP($J2845,'Informations sur les produits'!$A$3:$H$10000,8,FALSE),"0")</f>
        <v>0</v>
      </c>
      <c r="N2845" s="8"/>
      <c r="O2845" s="33" t="str">
        <f>IFERROR(VLOOKUP($M2845,'Informations sur les produits'!$A$3:$H$10000,8,FALSE),"0")</f>
        <v>0</v>
      </c>
      <c r="P2845" s="33">
        <f t="shared" si="176"/>
        <v>0</v>
      </c>
      <c r="Q2845" s="31" t="str">
        <f t="shared" si="177"/>
        <v/>
      </c>
      <c r="R2845" s="32" t="str">
        <f>IFERROR(VLOOKUP($D2845,'Informations sur les produits'!$A$3:$B$15000,2,FALSE),"")</f>
        <v/>
      </c>
      <c r="V2845">
        <f t="shared" si="178"/>
        <v>0</v>
      </c>
      <c r="W2845">
        <f t="shared" si="179"/>
        <v>0</v>
      </c>
    </row>
    <row r="2846" spans="5:23" x14ac:dyDescent="0.25">
      <c r="E2846" s="4"/>
      <c r="F2846" s="4"/>
      <c r="G2846" s="33" t="str">
        <f>IFERROR(VLOOKUP($D2846,'Informations sur les produits'!$A$3:$H$10000,8,FALSE),"0")</f>
        <v>0</v>
      </c>
      <c r="K2846" s="4"/>
      <c r="L2846" s="33" t="str">
        <f>IFERROR(VLOOKUP($J2846,'Informations sur les produits'!$A$3:$H$10000,8,FALSE),"0")</f>
        <v>0</v>
      </c>
      <c r="N2846" s="8"/>
      <c r="O2846" s="33" t="str">
        <f>IFERROR(VLOOKUP($M2846,'Informations sur les produits'!$A$3:$H$10000,8,FALSE),"0")</f>
        <v>0</v>
      </c>
      <c r="P2846" s="33">
        <f t="shared" si="176"/>
        <v>0</v>
      </c>
      <c r="Q2846" s="31" t="str">
        <f t="shared" si="177"/>
        <v/>
      </c>
      <c r="R2846" s="32" t="str">
        <f>IFERROR(VLOOKUP($D2846,'Informations sur les produits'!$A$3:$B$15000,2,FALSE),"")</f>
        <v/>
      </c>
      <c r="V2846">
        <f t="shared" si="178"/>
        <v>0</v>
      </c>
      <c r="W2846">
        <f t="shared" si="179"/>
        <v>0</v>
      </c>
    </row>
    <row r="2847" spans="5:23" x14ac:dyDescent="0.25">
      <c r="E2847" s="4"/>
      <c r="F2847" s="4"/>
      <c r="G2847" s="33" t="str">
        <f>IFERROR(VLOOKUP($D2847,'Informations sur les produits'!$A$3:$H$10000,8,FALSE),"0")</f>
        <v>0</v>
      </c>
      <c r="K2847" s="4"/>
      <c r="L2847" s="33" t="str">
        <f>IFERROR(VLOOKUP($J2847,'Informations sur les produits'!$A$3:$H$10000,8,FALSE),"0")</f>
        <v>0</v>
      </c>
      <c r="N2847" s="8"/>
      <c r="O2847" s="33" t="str">
        <f>IFERROR(VLOOKUP($M2847,'Informations sur les produits'!$A$3:$H$10000,8,FALSE),"0")</f>
        <v>0</v>
      </c>
      <c r="P2847" s="33">
        <f t="shared" si="176"/>
        <v>0</v>
      </c>
      <c r="Q2847" s="31" t="str">
        <f t="shared" si="177"/>
        <v/>
      </c>
      <c r="R2847" s="32" t="str">
        <f>IFERROR(VLOOKUP($D2847,'Informations sur les produits'!$A$3:$B$15000,2,FALSE),"")</f>
        <v/>
      </c>
      <c r="V2847">
        <f t="shared" si="178"/>
        <v>0</v>
      </c>
      <c r="W2847">
        <f t="shared" si="179"/>
        <v>0</v>
      </c>
    </row>
    <row r="2848" spans="5:23" x14ac:dyDescent="0.25">
      <c r="E2848" s="4"/>
      <c r="F2848" s="4"/>
      <c r="G2848" s="33" t="str">
        <f>IFERROR(VLOOKUP($D2848,'Informations sur les produits'!$A$3:$H$10000,8,FALSE),"0")</f>
        <v>0</v>
      </c>
      <c r="K2848" s="4"/>
      <c r="L2848" s="33" t="str">
        <f>IFERROR(VLOOKUP($J2848,'Informations sur les produits'!$A$3:$H$10000,8,FALSE),"0")</f>
        <v>0</v>
      </c>
      <c r="N2848" s="8"/>
      <c r="O2848" s="33" t="str">
        <f>IFERROR(VLOOKUP($M2848,'Informations sur les produits'!$A$3:$H$10000,8,FALSE),"0")</f>
        <v>0</v>
      </c>
      <c r="P2848" s="33">
        <f t="shared" si="176"/>
        <v>0</v>
      </c>
      <c r="Q2848" s="31" t="str">
        <f t="shared" si="177"/>
        <v/>
      </c>
      <c r="R2848" s="32" t="str">
        <f>IFERROR(VLOOKUP($D2848,'Informations sur les produits'!$A$3:$B$15000,2,FALSE),"")</f>
        <v/>
      </c>
      <c r="V2848">
        <f t="shared" si="178"/>
        <v>0</v>
      </c>
      <c r="W2848">
        <f t="shared" si="179"/>
        <v>0</v>
      </c>
    </row>
    <row r="2849" spans="5:23" x14ac:dyDescent="0.25">
      <c r="E2849" s="4"/>
      <c r="F2849" s="4"/>
      <c r="G2849" s="33" t="str">
        <f>IFERROR(VLOOKUP($D2849,'Informations sur les produits'!$A$3:$H$10000,8,FALSE),"0")</f>
        <v>0</v>
      </c>
      <c r="K2849" s="4"/>
      <c r="L2849" s="33" t="str">
        <f>IFERROR(VLOOKUP($J2849,'Informations sur les produits'!$A$3:$H$10000,8,FALSE),"0")</f>
        <v>0</v>
      </c>
      <c r="N2849" s="8"/>
      <c r="O2849" s="33" t="str">
        <f>IFERROR(VLOOKUP($M2849,'Informations sur les produits'!$A$3:$H$10000,8,FALSE),"0")</f>
        <v>0</v>
      </c>
      <c r="P2849" s="33">
        <f t="shared" si="176"/>
        <v>0</v>
      </c>
      <c r="Q2849" s="31" t="str">
        <f t="shared" si="177"/>
        <v/>
      </c>
      <c r="R2849" s="32" t="str">
        <f>IFERROR(VLOOKUP($D2849,'Informations sur les produits'!$A$3:$B$15000,2,FALSE),"")</f>
        <v/>
      </c>
      <c r="V2849">
        <f t="shared" si="178"/>
        <v>0</v>
      </c>
      <c r="W2849">
        <f t="shared" si="179"/>
        <v>0</v>
      </c>
    </row>
    <row r="2850" spans="5:23" x14ac:dyDescent="0.25">
      <c r="E2850" s="4"/>
      <c r="F2850" s="4"/>
      <c r="G2850" s="33" t="str">
        <f>IFERROR(VLOOKUP($D2850,'Informations sur les produits'!$A$3:$H$10000,8,FALSE),"0")</f>
        <v>0</v>
      </c>
      <c r="K2850" s="4"/>
      <c r="L2850" s="33" t="str">
        <f>IFERROR(VLOOKUP($J2850,'Informations sur les produits'!$A$3:$H$10000,8,FALSE),"0")</f>
        <v>0</v>
      </c>
      <c r="N2850" s="8"/>
      <c r="O2850" s="33" t="str">
        <f>IFERROR(VLOOKUP($M2850,'Informations sur les produits'!$A$3:$H$10000,8,FALSE),"0")</f>
        <v>0</v>
      </c>
      <c r="P2850" s="33">
        <f t="shared" si="176"/>
        <v>0</v>
      </c>
      <c r="Q2850" s="31" t="str">
        <f t="shared" si="177"/>
        <v/>
      </c>
      <c r="R2850" s="32" t="str">
        <f>IFERROR(VLOOKUP($D2850,'Informations sur les produits'!$A$3:$B$15000,2,FALSE),"")</f>
        <v/>
      </c>
      <c r="V2850">
        <f t="shared" si="178"/>
        <v>0</v>
      </c>
      <c r="W2850">
        <f t="shared" si="179"/>
        <v>0</v>
      </c>
    </row>
    <row r="2851" spans="5:23" x14ac:dyDescent="0.25">
      <c r="E2851" s="4"/>
      <c r="F2851" s="4"/>
      <c r="G2851" s="33" t="str">
        <f>IFERROR(VLOOKUP($D2851,'Informations sur les produits'!$A$3:$H$10000,8,FALSE),"0")</f>
        <v>0</v>
      </c>
      <c r="K2851" s="4"/>
      <c r="L2851" s="33" t="str">
        <f>IFERROR(VLOOKUP($J2851,'Informations sur les produits'!$A$3:$H$10000,8,FALSE),"0")</f>
        <v>0</v>
      </c>
      <c r="N2851" s="8"/>
      <c r="O2851" s="33" t="str">
        <f>IFERROR(VLOOKUP($M2851,'Informations sur les produits'!$A$3:$H$10000,8,FALSE),"0")</f>
        <v>0</v>
      </c>
      <c r="P2851" s="33">
        <f t="shared" si="176"/>
        <v>0</v>
      </c>
      <c r="Q2851" s="31" t="str">
        <f t="shared" si="177"/>
        <v/>
      </c>
      <c r="R2851" s="32" t="str">
        <f>IFERROR(VLOOKUP($D2851,'Informations sur les produits'!$A$3:$B$15000,2,FALSE),"")</f>
        <v/>
      </c>
      <c r="V2851">
        <f t="shared" si="178"/>
        <v>0</v>
      </c>
      <c r="W2851">
        <f t="shared" si="179"/>
        <v>0</v>
      </c>
    </row>
    <row r="2852" spans="5:23" x14ac:dyDescent="0.25">
      <c r="E2852" s="4"/>
      <c r="F2852" s="4"/>
      <c r="G2852" s="33" t="str">
        <f>IFERROR(VLOOKUP($D2852,'Informations sur les produits'!$A$3:$H$10000,8,FALSE),"0")</f>
        <v>0</v>
      </c>
      <c r="K2852" s="4"/>
      <c r="L2852" s="33" t="str">
        <f>IFERROR(VLOOKUP($J2852,'Informations sur les produits'!$A$3:$H$10000,8,FALSE),"0")</f>
        <v>0</v>
      </c>
      <c r="N2852" s="8"/>
      <c r="O2852" s="33" t="str">
        <f>IFERROR(VLOOKUP($M2852,'Informations sur les produits'!$A$3:$H$10000,8,FALSE),"0")</f>
        <v>0</v>
      </c>
      <c r="P2852" s="33">
        <f t="shared" si="176"/>
        <v>0</v>
      </c>
      <c r="Q2852" s="31" t="str">
        <f t="shared" si="177"/>
        <v/>
      </c>
      <c r="R2852" s="32" t="str">
        <f>IFERROR(VLOOKUP($D2852,'Informations sur les produits'!$A$3:$B$15000,2,FALSE),"")</f>
        <v/>
      </c>
      <c r="V2852">
        <f t="shared" si="178"/>
        <v>0</v>
      </c>
      <c r="W2852">
        <f t="shared" si="179"/>
        <v>0</v>
      </c>
    </row>
    <row r="2853" spans="5:23" x14ac:dyDescent="0.25">
      <c r="E2853" s="4"/>
      <c r="F2853" s="4"/>
      <c r="G2853" s="33" t="str">
        <f>IFERROR(VLOOKUP($D2853,'Informations sur les produits'!$A$3:$H$10000,8,FALSE),"0")</f>
        <v>0</v>
      </c>
      <c r="K2853" s="4"/>
      <c r="L2853" s="33" t="str">
        <f>IFERROR(VLOOKUP($J2853,'Informations sur les produits'!$A$3:$H$10000,8,FALSE),"0")</f>
        <v>0</v>
      </c>
      <c r="N2853" s="8"/>
      <c r="O2853" s="33" t="str">
        <f>IFERROR(VLOOKUP($M2853,'Informations sur les produits'!$A$3:$H$10000,8,FALSE),"0")</f>
        <v>0</v>
      </c>
      <c r="P2853" s="33">
        <f t="shared" si="176"/>
        <v>0</v>
      </c>
      <c r="Q2853" s="31" t="str">
        <f t="shared" si="177"/>
        <v/>
      </c>
      <c r="R2853" s="32" t="str">
        <f>IFERROR(VLOOKUP($D2853,'Informations sur les produits'!$A$3:$B$15000,2,FALSE),"")</f>
        <v/>
      </c>
      <c r="V2853">
        <f t="shared" si="178"/>
        <v>0</v>
      </c>
      <c r="W2853">
        <f t="shared" si="179"/>
        <v>0</v>
      </c>
    </row>
    <row r="2854" spans="5:23" x14ac:dyDescent="0.25">
      <c r="E2854" s="4"/>
      <c r="F2854" s="4"/>
      <c r="G2854" s="33" t="str">
        <f>IFERROR(VLOOKUP($D2854,'Informations sur les produits'!$A$3:$H$10000,8,FALSE),"0")</f>
        <v>0</v>
      </c>
      <c r="K2854" s="4"/>
      <c r="L2854" s="33" t="str">
        <f>IFERROR(VLOOKUP($J2854,'Informations sur les produits'!$A$3:$H$10000,8,FALSE),"0")</f>
        <v>0</v>
      </c>
      <c r="N2854" s="8"/>
      <c r="O2854" s="33" t="str">
        <f>IFERROR(VLOOKUP($M2854,'Informations sur les produits'!$A$3:$H$10000,8,FALSE),"0")</f>
        <v>0</v>
      </c>
      <c r="P2854" s="33">
        <f t="shared" si="176"/>
        <v>0</v>
      </c>
      <c r="Q2854" s="31" t="str">
        <f t="shared" si="177"/>
        <v/>
      </c>
      <c r="R2854" s="32" t="str">
        <f>IFERROR(VLOOKUP($D2854,'Informations sur les produits'!$A$3:$B$15000,2,FALSE),"")</f>
        <v/>
      </c>
      <c r="V2854">
        <f t="shared" si="178"/>
        <v>0</v>
      </c>
      <c r="W2854">
        <f t="shared" si="179"/>
        <v>0</v>
      </c>
    </row>
    <row r="2855" spans="5:23" x14ac:dyDescent="0.25">
      <c r="E2855" s="4"/>
      <c r="F2855" s="4"/>
      <c r="G2855" s="33" t="str">
        <f>IFERROR(VLOOKUP($D2855,'Informations sur les produits'!$A$3:$H$10000,8,FALSE),"0")</f>
        <v>0</v>
      </c>
      <c r="K2855" s="4"/>
      <c r="L2855" s="33" t="str">
        <f>IFERROR(VLOOKUP($J2855,'Informations sur les produits'!$A$3:$H$10000,8,FALSE),"0")</f>
        <v>0</v>
      </c>
      <c r="N2855" s="8"/>
      <c r="O2855" s="33" t="str">
        <f>IFERROR(VLOOKUP($M2855,'Informations sur les produits'!$A$3:$H$10000,8,FALSE),"0")</f>
        <v>0</v>
      </c>
      <c r="P2855" s="33">
        <f t="shared" si="176"/>
        <v>0</v>
      </c>
      <c r="Q2855" s="31" t="str">
        <f t="shared" si="177"/>
        <v/>
      </c>
      <c r="R2855" s="32" t="str">
        <f>IFERROR(VLOOKUP($D2855,'Informations sur les produits'!$A$3:$B$15000,2,FALSE),"")</f>
        <v/>
      </c>
      <c r="V2855">
        <f t="shared" si="178"/>
        <v>0</v>
      </c>
      <c r="W2855">
        <f t="shared" si="179"/>
        <v>0</v>
      </c>
    </row>
    <row r="2856" spans="5:23" x14ac:dyDescent="0.25">
      <c r="E2856" s="4"/>
      <c r="F2856" s="4"/>
      <c r="G2856" s="33" t="str">
        <f>IFERROR(VLOOKUP($D2856,'Informations sur les produits'!$A$3:$H$10000,8,FALSE),"0")</f>
        <v>0</v>
      </c>
      <c r="K2856" s="4"/>
      <c r="L2856" s="33" t="str">
        <f>IFERROR(VLOOKUP($J2856,'Informations sur les produits'!$A$3:$H$10000,8,FALSE),"0")</f>
        <v>0</v>
      </c>
      <c r="N2856" s="8"/>
      <c r="O2856" s="33" t="str">
        <f>IFERROR(VLOOKUP($M2856,'Informations sur les produits'!$A$3:$H$10000,8,FALSE),"0")</f>
        <v>0</v>
      </c>
      <c r="P2856" s="33">
        <f t="shared" si="176"/>
        <v>0</v>
      </c>
      <c r="Q2856" s="31" t="str">
        <f t="shared" si="177"/>
        <v/>
      </c>
      <c r="R2856" s="32" t="str">
        <f>IFERROR(VLOOKUP($D2856,'Informations sur les produits'!$A$3:$B$15000,2,FALSE),"")</f>
        <v/>
      </c>
      <c r="V2856">
        <f t="shared" si="178"/>
        <v>0</v>
      </c>
      <c r="W2856">
        <f t="shared" si="179"/>
        <v>0</v>
      </c>
    </row>
    <row r="2857" spans="5:23" x14ac:dyDescent="0.25">
      <c r="E2857" s="4"/>
      <c r="F2857" s="4"/>
      <c r="G2857" s="33" t="str">
        <f>IFERROR(VLOOKUP($D2857,'Informations sur les produits'!$A$3:$H$10000,8,FALSE),"0")</f>
        <v>0</v>
      </c>
      <c r="K2857" s="4"/>
      <c r="L2857" s="33" t="str">
        <f>IFERROR(VLOOKUP($J2857,'Informations sur les produits'!$A$3:$H$10000,8,FALSE),"0")</f>
        <v>0</v>
      </c>
      <c r="N2857" s="8"/>
      <c r="O2857" s="33" t="str">
        <f>IFERROR(VLOOKUP($M2857,'Informations sur les produits'!$A$3:$H$10000,8,FALSE),"0")</f>
        <v>0</v>
      </c>
      <c r="P2857" s="33">
        <f t="shared" si="176"/>
        <v>0</v>
      </c>
      <c r="Q2857" s="31" t="str">
        <f t="shared" si="177"/>
        <v/>
      </c>
      <c r="R2857" s="32" t="str">
        <f>IFERROR(VLOOKUP($D2857,'Informations sur les produits'!$A$3:$B$15000,2,FALSE),"")</f>
        <v/>
      </c>
      <c r="V2857">
        <f t="shared" si="178"/>
        <v>0</v>
      </c>
      <c r="W2857">
        <f t="shared" si="179"/>
        <v>0</v>
      </c>
    </row>
    <row r="2858" spans="5:23" x14ac:dyDescent="0.25">
      <c r="E2858" s="4"/>
      <c r="F2858" s="4"/>
      <c r="G2858" s="33" t="str">
        <f>IFERROR(VLOOKUP($D2858,'Informations sur les produits'!$A$3:$H$10000,8,FALSE),"0")</f>
        <v>0</v>
      </c>
      <c r="K2858" s="4"/>
      <c r="L2858" s="33" t="str">
        <f>IFERROR(VLOOKUP($J2858,'Informations sur les produits'!$A$3:$H$10000,8,FALSE),"0")</f>
        <v>0</v>
      </c>
      <c r="N2858" s="8"/>
      <c r="O2858" s="33" t="str">
        <f>IFERROR(VLOOKUP($M2858,'Informations sur les produits'!$A$3:$H$10000,8,FALSE),"0")</f>
        <v>0</v>
      </c>
      <c r="P2858" s="33">
        <f t="shared" si="176"/>
        <v>0</v>
      </c>
      <c r="Q2858" s="31" t="str">
        <f t="shared" si="177"/>
        <v/>
      </c>
      <c r="R2858" s="32" t="str">
        <f>IFERROR(VLOOKUP($D2858,'Informations sur les produits'!$A$3:$B$15000,2,FALSE),"")</f>
        <v/>
      </c>
      <c r="V2858">
        <f t="shared" si="178"/>
        <v>0</v>
      </c>
      <c r="W2858">
        <f t="shared" si="179"/>
        <v>0</v>
      </c>
    </row>
    <row r="2859" spans="5:23" x14ac:dyDescent="0.25">
      <c r="E2859" s="4"/>
      <c r="F2859" s="4"/>
      <c r="G2859" s="33" t="str">
        <f>IFERROR(VLOOKUP($D2859,'Informations sur les produits'!$A$3:$H$10000,8,FALSE),"0")</f>
        <v>0</v>
      </c>
      <c r="K2859" s="4"/>
      <c r="L2859" s="33" t="str">
        <f>IFERROR(VLOOKUP($J2859,'Informations sur les produits'!$A$3:$H$10000,8,FALSE),"0")</f>
        <v>0</v>
      </c>
      <c r="N2859" s="8"/>
      <c r="O2859" s="33" t="str">
        <f>IFERROR(VLOOKUP($M2859,'Informations sur les produits'!$A$3:$H$10000,8,FALSE),"0")</f>
        <v>0</v>
      </c>
      <c r="P2859" s="33">
        <f t="shared" si="176"/>
        <v>0</v>
      </c>
      <c r="Q2859" s="31" t="str">
        <f t="shared" si="177"/>
        <v/>
      </c>
      <c r="R2859" s="32" t="str">
        <f>IFERROR(VLOOKUP($D2859,'Informations sur les produits'!$A$3:$B$15000,2,FALSE),"")</f>
        <v/>
      </c>
      <c r="V2859">
        <f t="shared" si="178"/>
        <v>0</v>
      </c>
      <c r="W2859">
        <f t="shared" si="179"/>
        <v>0</v>
      </c>
    </row>
    <row r="2860" spans="5:23" x14ac:dyDescent="0.25">
      <c r="E2860" s="4"/>
      <c r="F2860" s="4"/>
      <c r="G2860" s="33" t="str">
        <f>IFERROR(VLOOKUP($D2860,'Informations sur les produits'!$A$3:$H$10000,8,FALSE),"0")</f>
        <v>0</v>
      </c>
      <c r="K2860" s="4"/>
      <c r="L2860" s="33" t="str">
        <f>IFERROR(VLOOKUP($J2860,'Informations sur les produits'!$A$3:$H$10000,8,FALSE),"0")</f>
        <v>0</v>
      </c>
      <c r="N2860" s="8"/>
      <c r="O2860" s="33" t="str">
        <f>IFERROR(VLOOKUP($M2860,'Informations sur les produits'!$A$3:$H$10000,8,FALSE),"0")</f>
        <v>0</v>
      </c>
      <c r="P2860" s="33">
        <f t="shared" si="176"/>
        <v>0</v>
      </c>
      <c r="Q2860" s="31" t="str">
        <f t="shared" si="177"/>
        <v/>
      </c>
      <c r="R2860" s="32" t="str">
        <f>IFERROR(VLOOKUP($D2860,'Informations sur les produits'!$A$3:$B$15000,2,FALSE),"")</f>
        <v/>
      </c>
      <c r="V2860">
        <f t="shared" si="178"/>
        <v>0</v>
      </c>
      <c r="W2860">
        <f t="shared" si="179"/>
        <v>0</v>
      </c>
    </row>
    <row r="2861" spans="5:23" x14ac:dyDescent="0.25">
      <c r="E2861" s="4"/>
      <c r="F2861" s="4"/>
      <c r="G2861" s="33" t="str">
        <f>IFERROR(VLOOKUP($D2861,'Informations sur les produits'!$A$3:$H$10000,8,FALSE),"0")</f>
        <v>0</v>
      </c>
      <c r="K2861" s="4"/>
      <c r="L2861" s="33" t="str">
        <f>IFERROR(VLOOKUP($J2861,'Informations sur les produits'!$A$3:$H$10000,8,FALSE),"0")</f>
        <v>0</v>
      </c>
      <c r="N2861" s="8"/>
      <c r="O2861" s="33" t="str">
        <f>IFERROR(VLOOKUP($M2861,'Informations sur les produits'!$A$3:$H$10000,8,FALSE),"0")</f>
        <v>0</v>
      </c>
      <c r="P2861" s="33">
        <f t="shared" si="176"/>
        <v>0</v>
      </c>
      <c r="Q2861" s="31" t="str">
        <f t="shared" si="177"/>
        <v/>
      </c>
      <c r="R2861" s="32" t="str">
        <f>IFERROR(VLOOKUP($D2861,'Informations sur les produits'!$A$3:$B$15000,2,FALSE),"")</f>
        <v/>
      </c>
      <c r="V2861">
        <f t="shared" si="178"/>
        <v>0</v>
      </c>
      <c r="W2861">
        <f t="shared" si="179"/>
        <v>0</v>
      </c>
    </row>
    <row r="2862" spans="5:23" x14ac:dyDescent="0.25">
      <c r="E2862" s="4"/>
      <c r="F2862" s="4"/>
      <c r="G2862" s="33" t="str">
        <f>IFERROR(VLOOKUP($D2862,'Informations sur les produits'!$A$3:$H$10000,8,FALSE),"0")</f>
        <v>0</v>
      </c>
      <c r="K2862" s="4"/>
      <c r="L2862" s="33" t="str">
        <f>IFERROR(VLOOKUP($J2862,'Informations sur les produits'!$A$3:$H$10000,8,FALSE),"0")</f>
        <v>0</v>
      </c>
      <c r="N2862" s="8"/>
      <c r="O2862" s="33" t="str">
        <f>IFERROR(VLOOKUP($M2862,'Informations sur les produits'!$A$3:$H$10000,8,FALSE),"0")</f>
        <v>0</v>
      </c>
      <c r="P2862" s="33">
        <f t="shared" si="176"/>
        <v>0</v>
      </c>
      <c r="Q2862" s="31" t="str">
        <f t="shared" si="177"/>
        <v/>
      </c>
      <c r="R2862" s="32" t="str">
        <f>IFERROR(VLOOKUP($D2862,'Informations sur les produits'!$A$3:$B$15000,2,FALSE),"")</f>
        <v/>
      </c>
      <c r="V2862">
        <f t="shared" si="178"/>
        <v>0</v>
      </c>
      <c r="W2862">
        <f t="shared" si="179"/>
        <v>0</v>
      </c>
    </row>
    <row r="2863" spans="5:23" x14ac:dyDescent="0.25">
      <c r="E2863" s="4"/>
      <c r="F2863" s="4"/>
      <c r="G2863" s="33" t="str">
        <f>IFERROR(VLOOKUP($D2863,'Informations sur les produits'!$A$3:$H$10000,8,FALSE),"0")</f>
        <v>0</v>
      </c>
      <c r="K2863" s="4"/>
      <c r="L2863" s="33" t="str">
        <f>IFERROR(VLOOKUP($J2863,'Informations sur les produits'!$A$3:$H$10000,8,FALSE),"0")</f>
        <v>0</v>
      </c>
      <c r="N2863" s="8"/>
      <c r="O2863" s="33" t="str">
        <f>IFERROR(VLOOKUP($M2863,'Informations sur les produits'!$A$3:$H$10000,8,FALSE),"0")</f>
        <v>0</v>
      </c>
      <c r="P2863" s="33">
        <f t="shared" si="176"/>
        <v>0</v>
      </c>
      <c r="Q2863" s="31" t="str">
        <f t="shared" si="177"/>
        <v/>
      </c>
      <c r="R2863" s="32" t="str">
        <f>IFERROR(VLOOKUP($D2863,'Informations sur les produits'!$A$3:$B$15000,2,FALSE),"")</f>
        <v/>
      </c>
      <c r="V2863">
        <f t="shared" si="178"/>
        <v>0</v>
      </c>
      <c r="W2863">
        <f t="shared" si="179"/>
        <v>0</v>
      </c>
    </row>
    <row r="2864" spans="5:23" x14ac:dyDescent="0.25">
      <c r="E2864" s="4"/>
      <c r="F2864" s="4"/>
      <c r="G2864" s="33" t="str">
        <f>IFERROR(VLOOKUP($D2864,'Informations sur les produits'!$A$3:$H$10000,8,FALSE),"0")</f>
        <v>0</v>
      </c>
      <c r="K2864" s="4"/>
      <c r="L2864" s="33" t="str">
        <f>IFERROR(VLOOKUP($J2864,'Informations sur les produits'!$A$3:$H$10000,8,FALSE),"0")</f>
        <v>0</v>
      </c>
      <c r="N2864" s="8"/>
      <c r="O2864" s="33" t="str">
        <f>IFERROR(VLOOKUP($M2864,'Informations sur les produits'!$A$3:$H$10000,8,FALSE),"0")</f>
        <v>0</v>
      </c>
      <c r="P2864" s="33">
        <f t="shared" si="176"/>
        <v>0</v>
      </c>
      <c r="Q2864" s="31" t="str">
        <f t="shared" si="177"/>
        <v/>
      </c>
      <c r="R2864" s="32" t="str">
        <f>IFERROR(VLOOKUP($D2864,'Informations sur les produits'!$A$3:$B$15000,2,FALSE),"")</f>
        <v/>
      </c>
      <c r="V2864">
        <f t="shared" si="178"/>
        <v>0</v>
      </c>
      <c r="W2864">
        <f t="shared" si="179"/>
        <v>0</v>
      </c>
    </row>
    <row r="2865" spans="5:23" x14ac:dyDescent="0.25">
      <c r="E2865" s="4"/>
      <c r="F2865" s="4"/>
      <c r="G2865" s="33" t="str">
        <f>IFERROR(VLOOKUP($D2865,'Informations sur les produits'!$A$3:$H$10000,8,FALSE),"0")</f>
        <v>0</v>
      </c>
      <c r="K2865" s="4"/>
      <c r="L2865" s="33" t="str">
        <f>IFERROR(VLOOKUP($J2865,'Informations sur les produits'!$A$3:$H$10000,8,FALSE),"0")</f>
        <v>0</v>
      </c>
      <c r="N2865" s="8"/>
      <c r="O2865" s="33" t="str">
        <f>IFERROR(VLOOKUP($M2865,'Informations sur les produits'!$A$3:$H$10000,8,FALSE),"0")</f>
        <v>0</v>
      </c>
      <c r="P2865" s="33">
        <f t="shared" si="176"/>
        <v>0</v>
      </c>
      <c r="Q2865" s="31" t="str">
        <f t="shared" si="177"/>
        <v/>
      </c>
      <c r="R2865" s="32" t="str">
        <f>IFERROR(VLOOKUP($D2865,'Informations sur les produits'!$A$3:$B$15000,2,FALSE),"")</f>
        <v/>
      </c>
      <c r="V2865">
        <f t="shared" si="178"/>
        <v>0</v>
      </c>
      <c r="W2865">
        <f t="shared" si="179"/>
        <v>0</v>
      </c>
    </row>
    <row r="2866" spans="5:23" x14ac:dyDescent="0.25">
      <c r="E2866" s="4"/>
      <c r="F2866" s="4"/>
      <c r="G2866" s="33" t="str">
        <f>IFERROR(VLOOKUP($D2866,'Informations sur les produits'!$A$3:$H$10000,8,FALSE),"0")</f>
        <v>0</v>
      </c>
      <c r="K2866" s="4"/>
      <c r="L2866" s="33" t="str">
        <f>IFERROR(VLOOKUP($J2866,'Informations sur les produits'!$A$3:$H$10000,8,FALSE),"0")</f>
        <v>0</v>
      </c>
      <c r="N2866" s="8"/>
      <c r="O2866" s="33" t="str">
        <f>IFERROR(VLOOKUP($M2866,'Informations sur les produits'!$A$3:$H$10000,8,FALSE),"0")</f>
        <v>0</v>
      </c>
      <c r="P2866" s="33">
        <f t="shared" si="176"/>
        <v>0</v>
      </c>
      <c r="Q2866" s="31" t="str">
        <f t="shared" si="177"/>
        <v/>
      </c>
      <c r="R2866" s="32" t="str">
        <f>IFERROR(VLOOKUP($D2866,'Informations sur les produits'!$A$3:$B$15000,2,FALSE),"")</f>
        <v/>
      </c>
      <c r="V2866">
        <f t="shared" si="178"/>
        <v>0</v>
      </c>
      <c r="W2866">
        <f t="shared" si="179"/>
        <v>0</v>
      </c>
    </row>
    <row r="2867" spans="5:23" x14ac:dyDescent="0.25">
      <c r="E2867" s="4"/>
      <c r="F2867" s="4"/>
      <c r="G2867" s="33" t="str">
        <f>IFERROR(VLOOKUP($D2867,'Informations sur les produits'!$A$3:$H$10000,8,FALSE),"0")</f>
        <v>0</v>
      </c>
      <c r="K2867" s="4"/>
      <c r="L2867" s="33" t="str">
        <f>IFERROR(VLOOKUP($J2867,'Informations sur les produits'!$A$3:$H$10000,8,FALSE),"0")</f>
        <v>0</v>
      </c>
      <c r="N2867" s="8"/>
      <c r="O2867" s="33" t="str">
        <f>IFERROR(VLOOKUP($M2867,'Informations sur les produits'!$A$3:$H$10000,8,FALSE),"0")</f>
        <v>0</v>
      </c>
      <c r="P2867" s="33">
        <f t="shared" si="176"/>
        <v>0</v>
      </c>
      <c r="Q2867" s="31" t="str">
        <f t="shared" si="177"/>
        <v/>
      </c>
      <c r="R2867" s="32" t="str">
        <f>IFERROR(VLOOKUP($D2867,'Informations sur les produits'!$A$3:$B$15000,2,FALSE),"")</f>
        <v/>
      </c>
      <c r="V2867">
        <f t="shared" si="178"/>
        <v>0</v>
      </c>
      <c r="W2867">
        <f t="shared" si="179"/>
        <v>0</v>
      </c>
    </row>
    <row r="2868" spans="5:23" x14ac:dyDescent="0.25">
      <c r="E2868" s="4"/>
      <c r="F2868" s="4"/>
      <c r="G2868" s="33" t="str">
        <f>IFERROR(VLOOKUP($D2868,'Informations sur les produits'!$A$3:$H$10000,8,FALSE),"0")</f>
        <v>0</v>
      </c>
      <c r="K2868" s="4"/>
      <c r="L2868" s="33" t="str">
        <f>IFERROR(VLOOKUP($J2868,'Informations sur les produits'!$A$3:$H$10000,8,FALSE),"0")</f>
        <v>0</v>
      </c>
      <c r="N2868" s="8"/>
      <c r="O2868" s="33" t="str">
        <f>IFERROR(VLOOKUP($M2868,'Informations sur les produits'!$A$3:$H$10000,8,FALSE),"0")</f>
        <v>0</v>
      </c>
      <c r="P2868" s="33">
        <f t="shared" si="176"/>
        <v>0</v>
      </c>
      <c r="Q2868" s="31" t="str">
        <f t="shared" si="177"/>
        <v/>
      </c>
      <c r="R2868" s="32" t="str">
        <f>IFERROR(VLOOKUP($D2868,'Informations sur les produits'!$A$3:$B$15000,2,FALSE),"")</f>
        <v/>
      </c>
      <c r="V2868">
        <f t="shared" si="178"/>
        <v>0</v>
      </c>
      <c r="W2868">
        <f t="shared" si="179"/>
        <v>0</v>
      </c>
    </row>
    <row r="2869" spans="5:23" x14ac:dyDescent="0.25">
      <c r="E2869" s="4"/>
      <c r="F2869" s="4"/>
      <c r="G2869" s="33" t="str">
        <f>IFERROR(VLOOKUP($D2869,'Informations sur les produits'!$A$3:$H$10000,8,FALSE),"0")</f>
        <v>0</v>
      </c>
      <c r="K2869" s="4"/>
      <c r="L2869" s="33" t="str">
        <f>IFERROR(VLOOKUP($J2869,'Informations sur les produits'!$A$3:$H$10000,8,FALSE),"0")</f>
        <v>0</v>
      </c>
      <c r="N2869" s="8"/>
      <c r="O2869" s="33" t="str">
        <f>IFERROR(VLOOKUP($M2869,'Informations sur les produits'!$A$3:$H$10000,8,FALSE),"0")</f>
        <v>0</v>
      </c>
      <c r="P2869" s="33">
        <f t="shared" si="176"/>
        <v>0</v>
      </c>
      <c r="Q2869" s="31" t="str">
        <f t="shared" si="177"/>
        <v/>
      </c>
      <c r="R2869" s="32" t="str">
        <f>IFERROR(VLOOKUP($D2869,'Informations sur les produits'!$A$3:$B$15000,2,FALSE),"")</f>
        <v/>
      </c>
      <c r="V2869">
        <f t="shared" si="178"/>
        <v>0</v>
      </c>
      <c r="W2869">
        <f t="shared" si="179"/>
        <v>0</v>
      </c>
    </row>
    <row r="2870" spans="5:23" x14ac:dyDescent="0.25">
      <c r="E2870" s="4"/>
      <c r="F2870" s="4"/>
      <c r="G2870" s="33" t="str">
        <f>IFERROR(VLOOKUP($D2870,'Informations sur les produits'!$A$3:$H$10000,8,FALSE),"0")</f>
        <v>0</v>
      </c>
      <c r="K2870" s="4"/>
      <c r="L2870" s="33" t="str">
        <f>IFERROR(VLOOKUP($J2870,'Informations sur les produits'!$A$3:$H$10000,8,FALSE),"0")</f>
        <v>0</v>
      </c>
      <c r="N2870" s="8"/>
      <c r="O2870" s="33" t="str">
        <f>IFERROR(VLOOKUP($M2870,'Informations sur les produits'!$A$3:$H$10000,8,FALSE),"0")</f>
        <v>0</v>
      </c>
      <c r="P2870" s="33">
        <f t="shared" si="176"/>
        <v>0</v>
      </c>
      <c r="Q2870" s="31" t="str">
        <f t="shared" si="177"/>
        <v/>
      </c>
      <c r="R2870" s="32" t="str">
        <f>IFERROR(VLOOKUP($D2870,'Informations sur les produits'!$A$3:$B$15000,2,FALSE),"")</f>
        <v/>
      </c>
      <c r="V2870">
        <f t="shared" si="178"/>
        <v>0</v>
      </c>
      <c r="W2870">
        <f t="shared" si="179"/>
        <v>0</v>
      </c>
    </row>
    <row r="2871" spans="5:23" x14ac:dyDescent="0.25">
      <c r="E2871" s="4"/>
      <c r="F2871" s="4"/>
      <c r="G2871" s="33" t="str">
        <f>IFERROR(VLOOKUP($D2871,'Informations sur les produits'!$A$3:$H$10000,8,FALSE),"0")</f>
        <v>0</v>
      </c>
      <c r="K2871" s="4"/>
      <c r="L2871" s="33" t="str">
        <f>IFERROR(VLOOKUP($J2871,'Informations sur les produits'!$A$3:$H$10000,8,FALSE),"0")</f>
        <v>0</v>
      </c>
      <c r="N2871" s="8"/>
      <c r="O2871" s="33" t="str">
        <f>IFERROR(VLOOKUP($M2871,'Informations sur les produits'!$A$3:$H$10000,8,FALSE),"0")</f>
        <v>0</v>
      </c>
      <c r="P2871" s="33">
        <f t="shared" si="176"/>
        <v>0</v>
      </c>
      <c r="Q2871" s="31" t="str">
        <f t="shared" si="177"/>
        <v/>
      </c>
      <c r="R2871" s="32" t="str">
        <f>IFERROR(VLOOKUP($D2871,'Informations sur les produits'!$A$3:$B$15000,2,FALSE),"")</f>
        <v/>
      </c>
      <c r="V2871">
        <f t="shared" si="178"/>
        <v>0</v>
      </c>
      <c r="W2871">
        <f t="shared" si="179"/>
        <v>0</v>
      </c>
    </row>
    <row r="2872" spans="5:23" x14ac:dyDescent="0.25">
      <c r="E2872" s="4"/>
      <c r="F2872" s="4"/>
      <c r="G2872" s="33" t="str">
        <f>IFERROR(VLOOKUP($D2872,'Informations sur les produits'!$A$3:$H$10000,8,FALSE),"0")</f>
        <v>0</v>
      </c>
      <c r="K2872" s="4"/>
      <c r="L2872" s="33" t="str">
        <f>IFERROR(VLOOKUP($J2872,'Informations sur les produits'!$A$3:$H$10000,8,FALSE),"0")</f>
        <v>0</v>
      </c>
      <c r="N2872" s="8"/>
      <c r="O2872" s="33" t="str">
        <f>IFERROR(VLOOKUP($M2872,'Informations sur les produits'!$A$3:$H$10000,8,FALSE),"0")</f>
        <v>0</v>
      </c>
      <c r="P2872" s="33">
        <f t="shared" si="176"/>
        <v>0</v>
      </c>
      <c r="Q2872" s="31" t="str">
        <f t="shared" si="177"/>
        <v/>
      </c>
      <c r="R2872" s="32" t="str">
        <f>IFERROR(VLOOKUP($D2872,'Informations sur les produits'!$A$3:$B$15000,2,FALSE),"")</f>
        <v/>
      </c>
      <c r="V2872">
        <f t="shared" si="178"/>
        <v>0</v>
      </c>
      <c r="W2872">
        <f t="shared" si="179"/>
        <v>0</v>
      </c>
    </row>
    <row r="2873" spans="5:23" x14ac:dyDescent="0.25">
      <c r="E2873" s="4"/>
      <c r="F2873" s="4"/>
      <c r="G2873" s="33" t="str">
        <f>IFERROR(VLOOKUP($D2873,'Informations sur les produits'!$A$3:$H$10000,8,FALSE),"0")</f>
        <v>0</v>
      </c>
      <c r="K2873" s="4"/>
      <c r="L2873" s="33" t="str">
        <f>IFERROR(VLOOKUP($J2873,'Informations sur les produits'!$A$3:$H$10000,8,FALSE),"0")</f>
        <v>0</v>
      </c>
      <c r="N2873" s="8"/>
      <c r="O2873" s="33" t="str">
        <f>IFERROR(VLOOKUP($M2873,'Informations sur les produits'!$A$3:$H$10000,8,FALSE),"0")</f>
        <v>0</v>
      </c>
      <c r="P2873" s="33">
        <f t="shared" si="176"/>
        <v>0</v>
      </c>
      <c r="Q2873" s="31" t="str">
        <f t="shared" si="177"/>
        <v/>
      </c>
      <c r="R2873" s="32" t="str">
        <f>IFERROR(VLOOKUP($D2873,'Informations sur les produits'!$A$3:$B$15000,2,FALSE),"")</f>
        <v/>
      </c>
      <c r="V2873">
        <f t="shared" si="178"/>
        <v>0</v>
      </c>
      <c r="W2873">
        <f t="shared" si="179"/>
        <v>0</v>
      </c>
    </row>
    <row r="2874" spans="5:23" x14ac:dyDescent="0.25">
      <c r="E2874" s="4"/>
      <c r="F2874" s="4"/>
      <c r="G2874" s="33" t="str">
        <f>IFERROR(VLOOKUP($D2874,'Informations sur les produits'!$A$3:$H$10000,8,FALSE),"0")</f>
        <v>0</v>
      </c>
      <c r="K2874" s="4"/>
      <c r="L2874" s="33" t="str">
        <f>IFERROR(VLOOKUP($J2874,'Informations sur les produits'!$A$3:$H$10000,8,FALSE),"0")</f>
        <v>0</v>
      </c>
      <c r="N2874" s="8"/>
      <c r="O2874" s="33" t="str">
        <f>IFERROR(VLOOKUP($M2874,'Informations sur les produits'!$A$3:$H$10000,8,FALSE),"0")</f>
        <v>0</v>
      </c>
      <c r="P2874" s="33">
        <f t="shared" si="176"/>
        <v>0</v>
      </c>
      <c r="Q2874" s="31" t="str">
        <f t="shared" si="177"/>
        <v/>
      </c>
      <c r="R2874" s="32" t="str">
        <f>IFERROR(VLOOKUP($D2874,'Informations sur les produits'!$A$3:$B$15000,2,FALSE),"")</f>
        <v/>
      </c>
      <c r="V2874">
        <f t="shared" si="178"/>
        <v>0</v>
      </c>
      <c r="W2874">
        <f t="shared" si="179"/>
        <v>0</v>
      </c>
    </row>
    <row r="2875" spans="5:23" x14ac:dyDescent="0.25">
      <c r="E2875" s="4"/>
      <c r="F2875" s="4"/>
      <c r="G2875" s="33" t="str">
        <f>IFERROR(VLOOKUP($D2875,'Informations sur les produits'!$A$3:$H$10000,8,FALSE),"0")</f>
        <v>0</v>
      </c>
      <c r="K2875" s="4"/>
      <c r="L2875" s="33" t="str">
        <f>IFERROR(VLOOKUP($J2875,'Informations sur les produits'!$A$3:$H$10000,8,FALSE),"0")</f>
        <v>0</v>
      </c>
      <c r="N2875" s="8"/>
      <c r="O2875" s="33" t="str">
        <f>IFERROR(VLOOKUP($M2875,'Informations sur les produits'!$A$3:$H$10000,8,FALSE),"0")</f>
        <v>0</v>
      </c>
      <c r="P2875" s="33">
        <f t="shared" si="176"/>
        <v>0</v>
      </c>
      <c r="Q2875" s="31" t="str">
        <f t="shared" si="177"/>
        <v/>
      </c>
      <c r="R2875" s="32" t="str">
        <f>IFERROR(VLOOKUP($D2875,'Informations sur les produits'!$A$3:$B$15000,2,FALSE),"")</f>
        <v/>
      </c>
      <c r="V2875">
        <f t="shared" si="178"/>
        <v>0</v>
      </c>
      <c r="W2875">
        <f t="shared" si="179"/>
        <v>0</v>
      </c>
    </row>
    <row r="2876" spans="5:23" x14ac:dyDescent="0.25">
      <c r="E2876" s="4"/>
      <c r="F2876" s="4"/>
      <c r="G2876" s="33" t="str">
        <f>IFERROR(VLOOKUP($D2876,'Informations sur les produits'!$A$3:$H$10000,8,FALSE),"0")</f>
        <v>0</v>
      </c>
      <c r="K2876" s="4"/>
      <c r="L2876" s="33" t="str">
        <f>IFERROR(VLOOKUP($J2876,'Informations sur les produits'!$A$3:$H$10000,8,FALSE),"0")</f>
        <v>0</v>
      </c>
      <c r="N2876" s="8"/>
      <c r="O2876" s="33" t="str">
        <f>IFERROR(VLOOKUP($M2876,'Informations sur les produits'!$A$3:$H$10000,8,FALSE),"0")</f>
        <v>0</v>
      </c>
      <c r="P2876" s="33">
        <f t="shared" si="176"/>
        <v>0</v>
      </c>
      <c r="Q2876" s="31" t="str">
        <f t="shared" si="177"/>
        <v/>
      </c>
      <c r="R2876" s="32" t="str">
        <f>IFERROR(VLOOKUP($D2876,'Informations sur les produits'!$A$3:$B$15000,2,FALSE),"")</f>
        <v/>
      </c>
      <c r="V2876">
        <f t="shared" si="178"/>
        <v>0</v>
      </c>
      <c r="W2876">
        <f t="shared" si="179"/>
        <v>0</v>
      </c>
    </row>
    <row r="2877" spans="5:23" x14ac:dyDescent="0.25">
      <c r="E2877" s="4"/>
      <c r="F2877" s="4"/>
      <c r="G2877" s="33" t="str">
        <f>IFERROR(VLOOKUP($D2877,'Informations sur les produits'!$A$3:$H$10000,8,FALSE),"0")</f>
        <v>0</v>
      </c>
      <c r="K2877" s="4"/>
      <c r="L2877" s="33" t="str">
        <f>IFERROR(VLOOKUP($J2877,'Informations sur les produits'!$A$3:$H$10000,8,FALSE),"0")</f>
        <v>0</v>
      </c>
      <c r="N2877" s="8"/>
      <c r="O2877" s="33" t="str">
        <f>IFERROR(VLOOKUP($M2877,'Informations sur les produits'!$A$3:$H$10000,8,FALSE),"0")</f>
        <v>0</v>
      </c>
      <c r="P2877" s="33">
        <f t="shared" si="176"/>
        <v>0</v>
      </c>
      <c r="Q2877" s="31" t="str">
        <f t="shared" si="177"/>
        <v/>
      </c>
      <c r="R2877" s="32" t="str">
        <f>IFERROR(VLOOKUP($D2877,'Informations sur les produits'!$A$3:$B$15000,2,FALSE),"")</f>
        <v/>
      </c>
      <c r="V2877">
        <f t="shared" si="178"/>
        <v>0</v>
      </c>
      <c r="W2877">
        <f t="shared" si="179"/>
        <v>0</v>
      </c>
    </row>
    <row r="2878" spans="5:23" x14ac:dyDescent="0.25">
      <c r="E2878" s="4"/>
      <c r="F2878" s="4"/>
      <c r="G2878" s="33" t="str">
        <f>IFERROR(VLOOKUP($D2878,'Informations sur les produits'!$A$3:$H$10000,8,FALSE),"0")</f>
        <v>0</v>
      </c>
      <c r="K2878" s="4"/>
      <c r="L2878" s="33" t="str">
        <f>IFERROR(VLOOKUP($J2878,'Informations sur les produits'!$A$3:$H$10000,8,FALSE),"0")</f>
        <v>0</v>
      </c>
      <c r="N2878" s="8"/>
      <c r="O2878" s="33" t="str">
        <f>IFERROR(VLOOKUP($M2878,'Informations sur les produits'!$A$3:$H$10000,8,FALSE),"0")</f>
        <v>0</v>
      </c>
      <c r="P2878" s="33">
        <f t="shared" si="176"/>
        <v>0</v>
      </c>
      <c r="Q2878" s="31" t="str">
        <f t="shared" si="177"/>
        <v/>
      </c>
      <c r="R2878" s="32" t="str">
        <f>IFERROR(VLOOKUP($D2878,'Informations sur les produits'!$A$3:$B$15000,2,FALSE),"")</f>
        <v/>
      </c>
      <c r="V2878">
        <f t="shared" si="178"/>
        <v>0</v>
      </c>
      <c r="W2878">
        <f t="shared" si="179"/>
        <v>0</v>
      </c>
    </row>
    <row r="2879" spans="5:23" x14ac:dyDescent="0.25">
      <c r="E2879" s="4"/>
      <c r="F2879" s="4"/>
      <c r="G2879" s="33" t="str">
        <f>IFERROR(VLOOKUP($D2879,'Informations sur les produits'!$A$3:$H$10000,8,FALSE),"0")</f>
        <v>0</v>
      </c>
      <c r="K2879" s="4"/>
      <c r="L2879" s="33" t="str">
        <f>IFERROR(VLOOKUP($J2879,'Informations sur les produits'!$A$3:$H$10000,8,FALSE),"0")</f>
        <v>0</v>
      </c>
      <c r="N2879" s="8"/>
      <c r="O2879" s="33" t="str">
        <f>IFERROR(VLOOKUP($M2879,'Informations sur les produits'!$A$3:$H$10000,8,FALSE),"0")</f>
        <v>0</v>
      </c>
      <c r="P2879" s="33">
        <f t="shared" si="176"/>
        <v>0</v>
      </c>
      <c r="Q2879" s="31" t="str">
        <f t="shared" si="177"/>
        <v/>
      </c>
      <c r="R2879" s="32" t="str">
        <f>IFERROR(VLOOKUP($D2879,'Informations sur les produits'!$A$3:$B$15000,2,FALSE),"")</f>
        <v/>
      </c>
      <c r="V2879">
        <f t="shared" si="178"/>
        <v>0</v>
      </c>
      <c r="W2879">
        <f t="shared" si="179"/>
        <v>0</v>
      </c>
    </row>
    <row r="2880" spans="5:23" x14ac:dyDescent="0.25">
      <c r="E2880" s="4"/>
      <c r="F2880" s="4"/>
      <c r="G2880" s="33" t="str">
        <f>IFERROR(VLOOKUP($D2880,'Informations sur les produits'!$A$3:$H$10000,8,FALSE),"0")</f>
        <v>0</v>
      </c>
      <c r="K2880" s="4"/>
      <c r="L2880" s="33" t="str">
        <f>IFERROR(VLOOKUP($J2880,'Informations sur les produits'!$A$3:$H$10000,8,FALSE),"0")</f>
        <v>0</v>
      </c>
      <c r="N2880" s="8"/>
      <c r="O2880" s="33" t="str">
        <f>IFERROR(VLOOKUP($M2880,'Informations sur les produits'!$A$3:$H$10000,8,FALSE),"0")</f>
        <v>0</v>
      </c>
      <c r="P2880" s="33">
        <f t="shared" si="176"/>
        <v>0</v>
      </c>
      <c r="Q2880" s="31" t="str">
        <f t="shared" si="177"/>
        <v/>
      </c>
      <c r="R2880" s="32" t="str">
        <f>IFERROR(VLOOKUP($D2880,'Informations sur les produits'!$A$3:$B$15000,2,FALSE),"")</f>
        <v/>
      </c>
      <c r="V2880">
        <f t="shared" si="178"/>
        <v>0</v>
      </c>
      <c r="W2880">
        <f t="shared" si="179"/>
        <v>0</v>
      </c>
    </row>
    <row r="2881" spans="5:23" x14ac:dyDescent="0.25">
      <c r="E2881" s="4"/>
      <c r="F2881" s="4"/>
      <c r="G2881" s="33" t="str">
        <f>IFERROR(VLOOKUP($D2881,'Informations sur les produits'!$A$3:$H$10000,8,FALSE),"0")</f>
        <v>0</v>
      </c>
      <c r="K2881" s="4"/>
      <c r="L2881" s="33" t="str">
        <f>IFERROR(VLOOKUP($J2881,'Informations sur les produits'!$A$3:$H$10000,8,FALSE),"0")</f>
        <v>0</v>
      </c>
      <c r="N2881" s="8"/>
      <c r="O2881" s="33" t="str">
        <f>IFERROR(VLOOKUP($M2881,'Informations sur les produits'!$A$3:$H$10000,8,FALSE),"0")</f>
        <v>0</v>
      </c>
      <c r="P2881" s="33">
        <f t="shared" si="176"/>
        <v>0</v>
      </c>
      <c r="Q2881" s="31" t="str">
        <f t="shared" si="177"/>
        <v/>
      </c>
      <c r="R2881" s="32" t="str">
        <f>IFERROR(VLOOKUP($D2881,'Informations sur les produits'!$A$3:$B$15000,2,FALSE),"")</f>
        <v/>
      </c>
      <c r="V2881">
        <f t="shared" si="178"/>
        <v>0</v>
      </c>
      <c r="W2881">
        <f t="shared" si="179"/>
        <v>0</v>
      </c>
    </row>
    <row r="2882" spans="5:23" x14ac:dyDescent="0.25">
      <c r="E2882" s="4"/>
      <c r="F2882" s="4"/>
      <c r="G2882" s="33" t="str">
        <f>IFERROR(VLOOKUP($D2882,'Informations sur les produits'!$A$3:$H$10000,8,FALSE),"0")</f>
        <v>0</v>
      </c>
      <c r="K2882" s="4"/>
      <c r="L2882" s="33" t="str">
        <f>IFERROR(VLOOKUP($J2882,'Informations sur les produits'!$A$3:$H$10000,8,FALSE),"0")</f>
        <v>0</v>
      </c>
      <c r="N2882" s="8"/>
      <c r="O2882" s="33" t="str">
        <f>IFERROR(VLOOKUP($M2882,'Informations sur les produits'!$A$3:$H$10000,8,FALSE),"0")</f>
        <v>0</v>
      </c>
      <c r="P2882" s="33">
        <f t="shared" si="176"/>
        <v>0</v>
      </c>
      <c r="Q2882" s="31" t="str">
        <f t="shared" si="177"/>
        <v/>
      </c>
      <c r="R2882" s="32" t="str">
        <f>IFERROR(VLOOKUP($D2882,'Informations sur les produits'!$A$3:$B$15000,2,FALSE),"")</f>
        <v/>
      </c>
      <c r="V2882">
        <f t="shared" si="178"/>
        <v>0</v>
      </c>
      <c r="W2882">
        <f t="shared" si="179"/>
        <v>0</v>
      </c>
    </row>
    <row r="2883" spans="5:23" x14ac:dyDescent="0.25">
      <c r="E2883" s="4"/>
      <c r="F2883" s="4"/>
      <c r="G2883" s="33" t="str">
        <f>IFERROR(VLOOKUP($D2883,'Informations sur les produits'!$A$3:$H$10000,8,FALSE),"0")</f>
        <v>0</v>
      </c>
      <c r="K2883" s="4"/>
      <c r="L2883" s="33" t="str">
        <f>IFERROR(VLOOKUP($J2883,'Informations sur les produits'!$A$3:$H$10000,8,FALSE),"0")</f>
        <v>0</v>
      </c>
      <c r="N2883" s="8"/>
      <c r="O2883" s="33" t="str">
        <f>IFERROR(VLOOKUP($M2883,'Informations sur les produits'!$A$3:$H$10000,8,FALSE),"0")</f>
        <v>0</v>
      </c>
      <c r="P2883" s="33">
        <f t="shared" si="176"/>
        <v>0</v>
      </c>
      <c r="Q2883" s="31" t="str">
        <f t="shared" si="177"/>
        <v/>
      </c>
      <c r="R2883" s="32" t="str">
        <f>IFERROR(VLOOKUP($D2883,'Informations sur les produits'!$A$3:$B$15000,2,FALSE),"")</f>
        <v/>
      </c>
      <c r="V2883">
        <f t="shared" si="178"/>
        <v>0</v>
      </c>
      <c r="W2883">
        <f t="shared" si="179"/>
        <v>0</v>
      </c>
    </row>
    <row r="2884" spans="5:23" x14ac:dyDescent="0.25">
      <c r="E2884" s="4"/>
      <c r="F2884" s="4"/>
      <c r="G2884" s="33" t="str">
        <f>IFERROR(VLOOKUP($D2884,'Informations sur les produits'!$A$3:$H$10000,8,FALSE),"0")</f>
        <v>0</v>
      </c>
      <c r="K2884" s="4"/>
      <c r="L2884" s="33" t="str">
        <f>IFERROR(VLOOKUP($J2884,'Informations sur les produits'!$A$3:$H$10000,8,FALSE),"0")</f>
        <v>0</v>
      </c>
      <c r="N2884" s="8"/>
      <c r="O2884" s="33" t="str">
        <f>IFERROR(VLOOKUP($M2884,'Informations sur les produits'!$A$3:$H$10000,8,FALSE),"0")</f>
        <v>0</v>
      </c>
      <c r="P2884" s="33">
        <f t="shared" ref="P2884:P2947" si="180">IFERROR((($E2884-$F2884)*$G2884+$K2884*$L2884+$N2884*$O2884),"")</f>
        <v>0</v>
      </c>
      <c r="Q2884" s="31" t="str">
        <f t="shared" ref="Q2884:Q2947" si="181">IFERROR((((($E2884-$F2884)*$G2884+$K2884*$L2884+$N2884*$O2884)*1000)/(($E2884-$F2884)+$K2884+$N2884)),"")</f>
        <v/>
      </c>
      <c r="R2884" s="32" t="str">
        <f>IFERROR(VLOOKUP($D2884,'Informations sur les produits'!$A$3:$B$15000,2,FALSE),"")</f>
        <v/>
      </c>
      <c r="V2884">
        <f t="shared" ref="V2884:V2947" si="182">IFERROR(P2884*1000,"")</f>
        <v>0</v>
      </c>
      <c r="W2884">
        <f t="shared" ref="W2884:W2947" si="183">IFERROR(($E2884-$F2884)+$K2884+$N2884,"")</f>
        <v>0</v>
      </c>
    </row>
    <row r="2885" spans="5:23" x14ac:dyDescent="0.25">
      <c r="E2885" s="4"/>
      <c r="F2885" s="4"/>
      <c r="G2885" s="33" t="str">
        <f>IFERROR(VLOOKUP($D2885,'Informations sur les produits'!$A$3:$H$10000,8,FALSE),"0")</f>
        <v>0</v>
      </c>
      <c r="K2885" s="4"/>
      <c r="L2885" s="33" t="str">
        <f>IFERROR(VLOOKUP($J2885,'Informations sur les produits'!$A$3:$H$10000,8,FALSE),"0")</f>
        <v>0</v>
      </c>
      <c r="N2885" s="8"/>
      <c r="O2885" s="33" t="str">
        <f>IFERROR(VLOOKUP($M2885,'Informations sur les produits'!$A$3:$H$10000,8,FALSE),"0")</f>
        <v>0</v>
      </c>
      <c r="P2885" s="33">
        <f t="shared" si="180"/>
        <v>0</v>
      </c>
      <c r="Q2885" s="31" t="str">
        <f t="shared" si="181"/>
        <v/>
      </c>
      <c r="R2885" s="32" t="str">
        <f>IFERROR(VLOOKUP($D2885,'Informations sur les produits'!$A$3:$B$15000,2,FALSE),"")</f>
        <v/>
      </c>
      <c r="V2885">
        <f t="shared" si="182"/>
        <v>0</v>
      </c>
      <c r="W2885">
        <f t="shared" si="183"/>
        <v>0</v>
      </c>
    </row>
    <row r="2886" spans="5:23" x14ac:dyDescent="0.25">
      <c r="E2886" s="4"/>
      <c r="F2886" s="4"/>
      <c r="G2886" s="33" t="str">
        <f>IFERROR(VLOOKUP($D2886,'Informations sur les produits'!$A$3:$H$10000,8,FALSE),"0")</f>
        <v>0</v>
      </c>
      <c r="K2886" s="4"/>
      <c r="L2886" s="33" t="str">
        <f>IFERROR(VLOOKUP($J2886,'Informations sur les produits'!$A$3:$H$10000,8,FALSE),"0")</f>
        <v>0</v>
      </c>
      <c r="N2886" s="8"/>
      <c r="O2886" s="33" t="str">
        <f>IFERROR(VLOOKUP($M2886,'Informations sur les produits'!$A$3:$H$10000,8,FALSE),"0")</f>
        <v>0</v>
      </c>
      <c r="P2886" s="33">
        <f t="shared" si="180"/>
        <v>0</v>
      </c>
      <c r="Q2886" s="31" t="str">
        <f t="shared" si="181"/>
        <v/>
      </c>
      <c r="R2886" s="32" t="str">
        <f>IFERROR(VLOOKUP($D2886,'Informations sur les produits'!$A$3:$B$15000,2,FALSE),"")</f>
        <v/>
      </c>
      <c r="V2886">
        <f t="shared" si="182"/>
        <v>0</v>
      </c>
      <c r="W2886">
        <f t="shared" si="183"/>
        <v>0</v>
      </c>
    </row>
    <row r="2887" spans="5:23" x14ac:dyDescent="0.25">
      <c r="E2887" s="4"/>
      <c r="F2887" s="4"/>
      <c r="G2887" s="33" t="str">
        <f>IFERROR(VLOOKUP($D2887,'Informations sur les produits'!$A$3:$H$10000,8,FALSE),"0")</f>
        <v>0</v>
      </c>
      <c r="K2887" s="4"/>
      <c r="L2887" s="33" t="str">
        <f>IFERROR(VLOOKUP($J2887,'Informations sur les produits'!$A$3:$H$10000,8,FALSE),"0")</f>
        <v>0</v>
      </c>
      <c r="N2887" s="8"/>
      <c r="O2887" s="33" t="str">
        <f>IFERROR(VLOOKUP($M2887,'Informations sur les produits'!$A$3:$H$10000,8,FALSE),"0")</f>
        <v>0</v>
      </c>
      <c r="P2887" s="33">
        <f t="shared" si="180"/>
        <v>0</v>
      </c>
      <c r="Q2887" s="31" t="str">
        <f t="shared" si="181"/>
        <v/>
      </c>
      <c r="R2887" s="32" t="str">
        <f>IFERROR(VLOOKUP($D2887,'Informations sur les produits'!$A$3:$B$15000,2,FALSE),"")</f>
        <v/>
      </c>
      <c r="V2887">
        <f t="shared" si="182"/>
        <v>0</v>
      </c>
      <c r="W2887">
        <f t="shared" si="183"/>
        <v>0</v>
      </c>
    </row>
    <row r="2888" spans="5:23" x14ac:dyDescent="0.25">
      <c r="E2888" s="4"/>
      <c r="F2888" s="4"/>
      <c r="G2888" s="33" t="str">
        <f>IFERROR(VLOOKUP($D2888,'Informations sur les produits'!$A$3:$H$10000,8,FALSE),"0")</f>
        <v>0</v>
      </c>
      <c r="K2888" s="4"/>
      <c r="L2888" s="33" t="str">
        <f>IFERROR(VLOOKUP($J2888,'Informations sur les produits'!$A$3:$H$10000,8,FALSE),"0")</f>
        <v>0</v>
      </c>
      <c r="N2888" s="8"/>
      <c r="O2888" s="33" t="str">
        <f>IFERROR(VLOOKUP($M2888,'Informations sur les produits'!$A$3:$H$10000,8,FALSE),"0")</f>
        <v>0</v>
      </c>
      <c r="P2888" s="33">
        <f t="shared" si="180"/>
        <v>0</v>
      </c>
      <c r="Q2888" s="31" t="str">
        <f t="shared" si="181"/>
        <v/>
      </c>
      <c r="R2888" s="32" t="str">
        <f>IFERROR(VLOOKUP($D2888,'Informations sur les produits'!$A$3:$B$15000,2,FALSE),"")</f>
        <v/>
      </c>
      <c r="V2888">
        <f t="shared" si="182"/>
        <v>0</v>
      </c>
      <c r="W2888">
        <f t="shared" si="183"/>
        <v>0</v>
      </c>
    </row>
    <row r="2889" spans="5:23" x14ac:dyDescent="0.25">
      <c r="E2889" s="4"/>
      <c r="F2889" s="4"/>
      <c r="G2889" s="33" t="str">
        <f>IFERROR(VLOOKUP($D2889,'Informations sur les produits'!$A$3:$H$10000,8,FALSE),"0")</f>
        <v>0</v>
      </c>
      <c r="K2889" s="4"/>
      <c r="L2889" s="33" t="str">
        <f>IFERROR(VLOOKUP($J2889,'Informations sur les produits'!$A$3:$H$10000,8,FALSE),"0")</f>
        <v>0</v>
      </c>
      <c r="N2889" s="8"/>
      <c r="O2889" s="33" t="str">
        <f>IFERROR(VLOOKUP($M2889,'Informations sur les produits'!$A$3:$H$10000,8,FALSE),"0")</f>
        <v>0</v>
      </c>
      <c r="P2889" s="33">
        <f t="shared" si="180"/>
        <v>0</v>
      </c>
      <c r="Q2889" s="31" t="str">
        <f t="shared" si="181"/>
        <v/>
      </c>
      <c r="R2889" s="32" t="str">
        <f>IFERROR(VLOOKUP($D2889,'Informations sur les produits'!$A$3:$B$15000,2,FALSE),"")</f>
        <v/>
      </c>
      <c r="V2889">
        <f t="shared" si="182"/>
        <v>0</v>
      </c>
      <c r="W2889">
        <f t="shared" si="183"/>
        <v>0</v>
      </c>
    </row>
    <row r="2890" spans="5:23" x14ac:dyDescent="0.25">
      <c r="E2890" s="4"/>
      <c r="F2890" s="4"/>
      <c r="G2890" s="33" t="str">
        <f>IFERROR(VLOOKUP($D2890,'Informations sur les produits'!$A$3:$H$10000,8,FALSE),"0")</f>
        <v>0</v>
      </c>
      <c r="K2890" s="4"/>
      <c r="L2890" s="33" t="str">
        <f>IFERROR(VLOOKUP($J2890,'Informations sur les produits'!$A$3:$H$10000,8,FALSE),"0")</f>
        <v>0</v>
      </c>
      <c r="N2890" s="8"/>
      <c r="O2890" s="33" t="str">
        <f>IFERROR(VLOOKUP($M2890,'Informations sur les produits'!$A$3:$H$10000,8,FALSE),"0")</f>
        <v>0</v>
      </c>
      <c r="P2890" s="33">
        <f t="shared" si="180"/>
        <v>0</v>
      </c>
      <c r="Q2890" s="31" t="str">
        <f t="shared" si="181"/>
        <v/>
      </c>
      <c r="R2890" s="32" t="str">
        <f>IFERROR(VLOOKUP($D2890,'Informations sur les produits'!$A$3:$B$15000,2,FALSE),"")</f>
        <v/>
      </c>
      <c r="V2890">
        <f t="shared" si="182"/>
        <v>0</v>
      </c>
      <c r="W2890">
        <f t="shared" si="183"/>
        <v>0</v>
      </c>
    </row>
    <row r="2891" spans="5:23" x14ac:dyDescent="0.25">
      <c r="E2891" s="4"/>
      <c r="F2891" s="4"/>
      <c r="G2891" s="33" t="str">
        <f>IFERROR(VLOOKUP($D2891,'Informations sur les produits'!$A$3:$H$10000,8,FALSE),"0")</f>
        <v>0</v>
      </c>
      <c r="K2891" s="4"/>
      <c r="L2891" s="33" t="str">
        <f>IFERROR(VLOOKUP($J2891,'Informations sur les produits'!$A$3:$H$10000,8,FALSE),"0")</f>
        <v>0</v>
      </c>
      <c r="N2891" s="8"/>
      <c r="O2891" s="33" t="str">
        <f>IFERROR(VLOOKUP($M2891,'Informations sur les produits'!$A$3:$H$10000,8,FALSE),"0")</f>
        <v>0</v>
      </c>
      <c r="P2891" s="33">
        <f t="shared" si="180"/>
        <v>0</v>
      </c>
      <c r="Q2891" s="31" t="str">
        <f t="shared" si="181"/>
        <v/>
      </c>
      <c r="R2891" s="32" t="str">
        <f>IFERROR(VLOOKUP($D2891,'Informations sur les produits'!$A$3:$B$15000,2,FALSE),"")</f>
        <v/>
      </c>
      <c r="V2891">
        <f t="shared" si="182"/>
        <v>0</v>
      </c>
      <c r="W2891">
        <f t="shared" si="183"/>
        <v>0</v>
      </c>
    </row>
    <row r="2892" spans="5:23" x14ac:dyDescent="0.25">
      <c r="E2892" s="4"/>
      <c r="F2892" s="4"/>
      <c r="G2892" s="33" t="str">
        <f>IFERROR(VLOOKUP($D2892,'Informations sur les produits'!$A$3:$H$10000,8,FALSE),"0")</f>
        <v>0</v>
      </c>
      <c r="K2892" s="4"/>
      <c r="L2892" s="33" t="str">
        <f>IFERROR(VLOOKUP($J2892,'Informations sur les produits'!$A$3:$H$10000,8,FALSE),"0")</f>
        <v>0</v>
      </c>
      <c r="N2892" s="8"/>
      <c r="O2892" s="33" t="str">
        <f>IFERROR(VLOOKUP($M2892,'Informations sur les produits'!$A$3:$H$10000,8,FALSE),"0")</f>
        <v>0</v>
      </c>
      <c r="P2892" s="33">
        <f t="shared" si="180"/>
        <v>0</v>
      </c>
      <c r="Q2892" s="31" t="str">
        <f t="shared" si="181"/>
        <v/>
      </c>
      <c r="R2892" s="32" t="str">
        <f>IFERROR(VLOOKUP($D2892,'Informations sur les produits'!$A$3:$B$15000,2,FALSE),"")</f>
        <v/>
      </c>
      <c r="V2892">
        <f t="shared" si="182"/>
        <v>0</v>
      </c>
      <c r="W2892">
        <f t="shared" si="183"/>
        <v>0</v>
      </c>
    </row>
    <row r="2893" spans="5:23" x14ac:dyDescent="0.25">
      <c r="E2893" s="4"/>
      <c r="F2893" s="4"/>
      <c r="G2893" s="33" t="str">
        <f>IFERROR(VLOOKUP($D2893,'Informations sur les produits'!$A$3:$H$10000,8,FALSE),"0")</f>
        <v>0</v>
      </c>
      <c r="K2893" s="4"/>
      <c r="L2893" s="33" t="str">
        <f>IFERROR(VLOOKUP($J2893,'Informations sur les produits'!$A$3:$H$10000,8,FALSE),"0")</f>
        <v>0</v>
      </c>
      <c r="N2893" s="8"/>
      <c r="O2893" s="33" t="str">
        <f>IFERROR(VLOOKUP($M2893,'Informations sur les produits'!$A$3:$H$10000,8,FALSE),"0")</f>
        <v>0</v>
      </c>
      <c r="P2893" s="33">
        <f t="shared" si="180"/>
        <v>0</v>
      </c>
      <c r="Q2893" s="31" t="str">
        <f t="shared" si="181"/>
        <v/>
      </c>
      <c r="R2893" s="32" t="str">
        <f>IFERROR(VLOOKUP($D2893,'Informations sur les produits'!$A$3:$B$15000,2,FALSE),"")</f>
        <v/>
      </c>
      <c r="V2893">
        <f t="shared" si="182"/>
        <v>0</v>
      </c>
      <c r="W2893">
        <f t="shared" si="183"/>
        <v>0</v>
      </c>
    </row>
    <row r="2894" spans="5:23" x14ac:dyDescent="0.25">
      <c r="E2894" s="4"/>
      <c r="F2894" s="4"/>
      <c r="G2894" s="33" t="str">
        <f>IFERROR(VLOOKUP($D2894,'Informations sur les produits'!$A$3:$H$10000,8,FALSE),"0")</f>
        <v>0</v>
      </c>
      <c r="K2894" s="4"/>
      <c r="L2894" s="33" t="str">
        <f>IFERROR(VLOOKUP($J2894,'Informations sur les produits'!$A$3:$H$10000,8,FALSE),"0")</f>
        <v>0</v>
      </c>
      <c r="N2894" s="8"/>
      <c r="O2894" s="33" t="str">
        <f>IFERROR(VLOOKUP($M2894,'Informations sur les produits'!$A$3:$H$10000,8,FALSE),"0")</f>
        <v>0</v>
      </c>
      <c r="P2894" s="33">
        <f t="shared" si="180"/>
        <v>0</v>
      </c>
      <c r="Q2894" s="31" t="str">
        <f t="shared" si="181"/>
        <v/>
      </c>
      <c r="R2894" s="32" t="str">
        <f>IFERROR(VLOOKUP($D2894,'Informations sur les produits'!$A$3:$B$15000,2,FALSE),"")</f>
        <v/>
      </c>
      <c r="V2894">
        <f t="shared" si="182"/>
        <v>0</v>
      </c>
      <c r="W2894">
        <f t="shared" si="183"/>
        <v>0</v>
      </c>
    </row>
    <row r="2895" spans="5:23" x14ac:dyDescent="0.25">
      <c r="E2895" s="4"/>
      <c r="F2895" s="4"/>
      <c r="G2895" s="33" t="str">
        <f>IFERROR(VLOOKUP($D2895,'Informations sur les produits'!$A$3:$H$10000,8,FALSE),"0")</f>
        <v>0</v>
      </c>
      <c r="K2895" s="4"/>
      <c r="L2895" s="33" t="str">
        <f>IFERROR(VLOOKUP($J2895,'Informations sur les produits'!$A$3:$H$10000,8,FALSE),"0")</f>
        <v>0</v>
      </c>
      <c r="N2895" s="8"/>
      <c r="O2895" s="33" t="str">
        <f>IFERROR(VLOOKUP($M2895,'Informations sur les produits'!$A$3:$H$10000,8,FALSE),"0")</f>
        <v>0</v>
      </c>
      <c r="P2895" s="33">
        <f t="shared" si="180"/>
        <v>0</v>
      </c>
      <c r="Q2895" s="31" t="str">
        <f t="shared" si="181"/>
        <v/>
      </c>
      <c r="R2895" s="32" t="str">
        <f>IFERROR(VLOOKUP($D2895,'Informations sur les produits'!$A$3:$B$15000,2,FALSE),"")</f>
        <v/>
      </c>
      <c r="V2895">
        <f t="shared" si="182"/>
        <v>0</v>
      </c>
      <c r="W2895">
        <f t="shared" si="183"/>
        <v>0</v>
      </c>
    </row>
    <row r="2896" spans="5:23" x14ac:dyDescent="0.25">
      <c r="E2896" s="4"/>
      <c r="F2896" s="4"/>
      <c r="G2896" s="33" t="str">
        <f>IFERROR(VLOOKUP($D2896,'Informations sur les produits'!$A$3:$H$10000,8,FALSE),"0")</f>
        <v>0</v>
      </c>
      <c r="K2896" s="4"/>
      <c r="L2896" s="33" t="str">
        <f>IFERROR(VLOOKUP($J2896,'Informations sur les produits'!$A$3:$H$10000,8,FALSE),"0")</f>
        <v>0</v>
      </c>
      <c r="N2896" s="8"/>
      <c r="O2896" s="33" t="str">
        <f>IFERROR(VLOOKUP($M2896,'Informations sur les produits'!$A$3:$H$10000,8,FALSE),"0")</f>
        <v>0</v>
      </c>
      <c r="P2896" s="33">
        <f t="shared" si="180"/>
        <v>0</v>
      </c>
      <c r="Q2896" s="31" t="str">
        <f t="shared" si="181"/>
        <v/>
      </c>
      <c r="R2896" s="32" t="str">
        <f>IFERROR(VLOOKUP($D2896,'Informations sur les produits'!$A$3:$B$15000,2,FALSE),"")</f>
        <v/>
      </c>
      <c r="V2896">
        <f t="shared" si="182"/>
        <v>0</v>
      </c>
      <c r="W2896">
        <f t="shared" si="183"/>
        <v>0</v>
      </c>
    </row>
    <row r="2897" spans="5:23" x14ac:dyDescent="0.25">
      <c r="E2897" s="4"/>
      <c r="F2897" s="4"/>
      <c r="G2897" s="33" t="str">
        <f>IFERROR(VLOOKUP($D2897,'Informations sur les produits'!$A$3:$H$10000,8,FALSE),"0")</f>
        <v>0</v>
      </c>
      <c r="K2897" s="4"/>
      <c r="L2897" s="33" t="str">
        <f>IFERROR(VLOOKUP($J2897,'Informations sur les produits'!$A$3:$H$10000,8,FALSE),"0")</f>
        <v>0</v>
      </c>
      <c r="N2897" s="8"/>
      <c r="O2897" s="33" t="str">
        <f>IFERROR(VLOOKUP($M2897,'Informations sur les produits'!$A$3:$H$10000,8,FALSE),"0")</f>
        <v>0</v>
      </c>
      <c r="P2897" s="33">
        <f t="shared" si="180"/>
        <v>0</v>
      </c>
      <c r="Q2897" s="31" t="str">
        <f t="shared" si="181"/>
        <v/>
      </c>
      <c r="R2897" s="32" t="str">
        <f>IFERROR(VLOOKUP($D2897,'Informations sur les produits'!$A$3:$B$15000,2,FALSE),"")</f>
        <v/>
      </c>
      <c r="V2897">
        <f t="shared" si="182"/>
        <v>0</v>
      </c>
      <c r="W2897">
        <f t="shared" si="183"/>
        <v>0</v>
      </c>
    </row>
    <row r="2898" spans="5:23" x14ac:dyDescent="0.25">
      <c r="E2898" s="4"/>
      <c r="F2898" s="4"/>
      <c r="G2898" s="33" t="str">
        <f>IFERROR(VLOOKUP($D2898,'Informations sur les produits'!$A$3:$H$10000,8,FALSE),"0")</f>
        <v>0</v>
      </c>
      <c r="K2898" s="4"/>
      <c r="L2898" s="33" t="str">
        <f>IFERROR(VLOOKUP($J2898,'Informations sur les produits'!$A$3:$H$10000,8,FALSE),"0")</f>
        <v>0</v>
      </c>
      <c r="N2898" s="8"/>
      <c r="O2898" s="33" t="str">
        <f>IFERROR(VLOOKUP($M2898,'Informations sur les produits'!$A$3:$H$10000,8,FALSE),"0")</f>
        <v>0</v>
      </c>
      <c r="P2898" s="33">
        <f t="shared" si="180"/>
        <v>0</v>
      </c>
      <c r="Q2898" s="31" t="str">
        <f t="shared" si="181"/>
        <v/>
      </c>
      <c r="R2898" s="32" t="str">
        <f>IFERROR(VLOOKUP($D2898,'Informations sur les produits'!$A$3:$B$15000,2,FALSE),"")</f>
        <v/>
      </c>
      <c r="V2898">
        <f t="shared" si="182"/>
        <v>0</v>
      </c>
      <c r="W2898">
        <f t="shared" si="183"/>
        <v>0</v>
      </c>
    </row>
    <row r="2899" spans="5:23" x14ac:dyDescent="0.25">
      <c r="E2899" s="4"/>
      <c r="F2899" s="4"/>
      <c r="G2899" s="33" t="str">
        <f>IFERROR(VLOOKUP($D2899,'Informations sur les produits'!$A$3:$H$10000,8,FALSE),"0")</f>
        <v>0</v>
      </c>
      <c r="K2899" s="4"/>
      <c r="L2899" s="33" t="str">
        <f>IFERROR(VLOOKUP($J2899,'Informations sur les produits'!$A$3:$H$10000,8,FALSE),"0")</f>
        <v>0</v>
      </c>
      <c r="N2899" s="8"/>
      <c r="O2899" s="33" t="str">
        <f>IFERROR(VLOOKUP($M2899,'Informations sur les produits'!$A$3:$H$10000,8,FALSE),"0")</f>
        <v>0</v>
      </c>
      <c r="P2899" s="33">
        <f t="shared" si="180"/>
        <v>0</v>
      </c>
      <c r="Q2899" s="31" t="str">
        <f t="shared" si="181"/>
        <v/>
      </c>
      <c r="R2899" s="32" t="str">
        <f>IFERROR(VLOOKUP($D2899,'Informations sur les produits'!$A$3:$B$15000,2,FALSE),"")</f>
        <v/>
      </c>
      <c r="V2899">
        <f t="shared" si="182"/>
        <v>0</v>
      </c>
      <c r="W2899">
        <f t="shared" si="183"/>
        <v>0</v>
      </c>
    </row>
    <row r="2900" spans="5:23" x14ac:dyDescent="0.25">
      <c r="E2900" s="4"/>
      <c r="F2900" s="4"/>
      <c r="G2900" s="33" t="str">
        <f>IFERROR(VLOOKUP($D2900,'Informations sur les produits'!$A$3:$H$10000,8,FALSE),"0")</f>
        <v>0</v>
      </c>
      <c r="K2900" s="4"/>
      <c r="L2900" s="33" t="str">
        <f>IFERROR(VLOOKUP($J2900,'Informations sur les produits'!$A$3:$H$10000,8,FALSE),"0")</f>
        <v>0</v>
      </c>
      <c r="N2900" s="8"/>
      <c r="O2900" s="33" t="str">
        <f>IFERROR(VLOOKUP($M2900,'Informations sur les produits'!$A$3:$H$10000,8,FALSE),"0")</f>
        <v>0</v>
      </c>
      <c r="P2900" s="33">
        <f t="shared" si="180"/>
        <v>0</v>
      </c>
      <c r="Q2900" s="31" t="str">
        <f t="shared" si="181"/>
        <v/>
      </c>
      <c r="R2900" s="32" t="str">
        <f>IFERROR(VLOOKUP($D2900,'Informations sur les produits'!$A$3:$B$15000,2,FALSE),"")</f>
        <v/>
      </c>
      <c r="V2900">
        <f t="shared" si="182"/>
        <v>0</v>
      </c>
      <c r="W2900">
        <f t="shared" si="183"/>
        <v>0</v>
      </c>
    </row>
    <row r="2901" spans="5:23" x14ac:dyDescent="0.25">
      <c r="E2901" s="4"/>
      <c r="F2901" s="4"/>
      <c r="G2901" s="33" t="str">
        <f>IFERROR(VLOOKUP($D2901,'Informations sur les produits'!$A$3:$H$10000,8,FALSE),"0")</f>
        <v>0</v>
      </c>
      <c r="K2901" s="4"/>
      <c r="L2901" s="33" t="str">
        <f>IFERROR(VLOOKUP($J2901,'Informations sur les produits'!$A$3:$H$10000,8,FALSE),"0")</f>
        <v>0</v>
      </c>
      <c r="N2901" s="8"/>
      <c r="O2901" s="33" t="str">
        <f>IFERROR(VLOOKUP($M2901,'Informations sur les produits'!$A$3:$H$10000,8,FALSE),"0")</f>
        <v>0</v>
      </c>
      <c r="P2901" s="33">
        <f t="shared" si="180"/>
        <v>0</v>
      </c>
      <c r="Q2901" s="31" t="str">
        <f t="shared" si="181"/>
        <v/>
      </c>
      <c r="R2901" s="32" t="str">
        <f>IFERROR(VLOOKUP($D2901,'Informations sur les produits'!$A$3:$B$15000,2,FALSE),"")</f>
        <v/>
      </c>
      <c r="V2901">
        <f t="shared" si="182"/>
        <v>0</v>
      </c>
      <c r="W2901">
        <f t="shared" si="183"/>
        <v>0</v>
      </c>
    </row>
    <row r="2902" spans="5:23" x14ac:dyDescent="0.25">
      <c r="E2902" s="4"/>
      <c r="F2902" s="4"/>
      <c r="G2902" s="33" t="str">
        <f>IFERROR(VLOOKUP($D2902,'Informations sur les produits'!$A$3:$H$10000,8,FALSE),"0")</f>
        <v>0</v>
      </c>
      <c r="K2902" s="4"/>
      <c r="L2902" s="33" t="str">
        <f>IFERROR(VLOOKUP($J2902,'Informations sur les produits'!$A$3:$H$10000,8,FALSE),"0")</f>
        <v>0</v>
      </c>
      <c r="N2902" s="8"/>
      <c r="O2902" s="33" t="str">
        <f>IFERROR(VLOOKUP($M2902,'Informations sur les produits'!$A$3:$H$10000,8,FALSE),"0")</f>
        <v>0</v>
      </c>
      <c r="P2902" s="33">
        <f t="shared" si="180"/>
        <v>0</v>
      </c>
      <c r="Q2902" s="31" t="str">
        <f t="shared" si="181"/>
        <v/>
      </c>
      <c r="R2902" s="32" t="str">
        <f>IFERROR(VLOOKUP($D2902,'Informations sur les produits'!$A$3:$B$15000,2,FALSE),"")</f>
        <v/>
      </c>
      <c r="V2902">
        <f t="shared" si="182"/>
        <v>0</v>
      </c>
      <c r="W2902">
        <f t="shared" si="183"/>
        <v>0</v>
      </c>
    </row>
    <row r="2903" spans="5:23" x14ac:dyDescent="0.25">
      <c r="E2903" s="4"/>
      <c r="F2903" s="4"/>
      <c r="G2903" s="33" t="str">
        <f>IFERROR(VLOOKUP($D2903,'Informations sur les produits'!$A$3:$H$10000,8,FALSE),"0")</f>
        <v>0</v>
      </c>
      <c r="K2903" s="4"/>
      <c r="L2903" s="33" t="str">
        <f>IFERROR(VLOOKUP($J2903,'Informations sur les produits'!$A$3:$H$10000,8,FALSE),"0")</f>
        <v>0</v>
      </c>
      <c r="N2903" s="8"/>
      <c r="O2903" s="33" t="str">
        <f>IFERROR(VLOOKUP($M2903,'Informations sur les produits'!$A$3:$H$10000,8,FALSE),"0")</f>
        <v>0</v>
      </c>
      <c r="P2903" s="33">
        <f t="shared" si="180"/>
        <v>0</v>
      </c>
      <c r="Q2903" s="31" t="str">
        <f t="shared" si="181"/>
        <v/>
      </c>
      <c r="R2903" s="32" t="str">
        <f>IFERROR(VLOOKUP($D2903,'Informations sur les produits'!$A$3:$B$15000,2,FALSE),"")</f>
        <v/>
      </c>
      <c r="V2903">
        <f t="shared" si="182"/>
        <v>0</v>
      </c>
      <c r="W2903">
        <f t="shared" si="183"/>
        <v>0</v>
      </c>
    </row>
    <row r="2904" spans="5:23" x14ac:dyDescent="0.25">
      <c r="E2904" s="4"/>
      <c r="F2904" s="4"/>
      <c r="G2904" s="33" t="str">
        <f>IFERROR(VLOOKUP($D2904,'Informations sur les produits'!$A$3:$H$10000,8,FALSE),"0")</f>
        <v>0</v>
      </c>
      <c r="K2904" s="4"/>
      <c r="L2904" s="33" t="str">
        <f>IFERROR(VLOOKUP($J2904,'Informations sur les produits'!$A$3:$H$10000,8,FALSE),"0")</f>
        <v>0</v>
      </c>
      <c r="N2904" s="8"/>
      <c r="O2904" s="33" t="str">
        <f>IFERROR(VLOOKUP($M2904,'Informations sur les produits'!$A$3:$H$10000,8,FALSE),"0")</f>
        <v>0</v>
      </c>
      <c r="P2904" s="33">
        <f t="shared" si="180"/>
        <v>0</v>
      </c>
      <c r="Q2904" s="31" t="str">
        <f t="shared" si="181"/>
        <v/>
      </c>
      <c r="R2904" s="32" t="str">
        <f>IFERROR(VLOOKUP($D2904,'Informations sur les produits'!$A$3:$B$15000,2,FALSE),"")</f>
        <v/>
      </c>
      <c r="V2904">
        <f t="shared" si="182"/>
        <v>0</v>
      </c>
      <c r="W2904">
        <f t="shared" si="183"/>
        <v>0</v>
      </c>
    </row>
    <row r="2905" spans="5:23" x14ac:dyDescent="0.25">
      <c r="E2905" s="4"/>
      <c r="F2905" s="4"/>
      <c r="G2905" s="33" t="str">
        <f>IFERROR(VLOOKUP($D2905,'Informations sur les produits'!$A$3:$H$10000,8,FALSE),"0")</f>
        <v>0</v>
      </c>
      <c r="K2905" s="4"/>
      <c r="L2905" s="33" t="str">
        <f>IFERROR(VLOOKUP($J2905,'Informations sur les produits'!$A$3:$H$10000,8,FALSE),"0")</f>
        <v>0</v>
      </c>
      <c r="N2905" s="8"/>
      <c r="O2905" s="33" t="str">
        <f>IFERROR(VLOOKUP($M2905,'Informations sur les produits'!$A$3:$H$10000,8,FALSE),"0")</f>
        <v>0</v>
      </c>
      <c r="P2905" s="33">
        <f t="shared" si="180"/>
        <v>0</v>
      </c>
      <c r="Q2905" s="31" t="str">
        <f t="shared" si="181"/>
        <v/>
      </c>
      <c r="R2905" s="32" t="str">
        <f>IFERROR(VLOOKUP($D2905,'Informations sur les produits'!$A$3:$B$15000,2,FALSE),"")</f>
        <v/>
      </c>
      <c r="V2905">
        <f t="shared" si="182"/>
        <v>0</v>
      </c>
      <c r="W2905">
        <f t="shared" si="183"/>
        <v>0</v>
      </c>
    </row>
    <row r="2906" spans="5:23" x14ac:dyDescent="0.25">
      <c r="E2906" s="4"/>
      <c r="F2906" s="4"/>
      <c r="G2906" s="33" t="str">
        <f>IFERROR(VLOOKUP($D2906,'Informations sur les produits'!$A$3:$H$10000,8,FALSE),"0")</f>
        <v>0</v>
      </c>
      <c r="K2906" s="4"/>
      <c r="L2906" s="33" t="str">
        <f>IFERROR(VLOOKUP($J2906,'Informations sur les produits'!$A$3:$H$10000,8,FALSE),"0")</f>
        <v>0</v>
      </c>
      <c r="N2906" s="8"/>
      <c r="O2906" s="33" t="str">
        <f>IFERROR(VLOOKUP($M2906,'Informations sur les produits'!$A$3:$H$10000,8,FALSE),"0")</f>
        <v>0</v>
      </c>
      <c r="P2906" s="33">
        <f t="shared" si="180"/>
        <v>0</v>
      </c>
      <c r="Q2906" s="31" t="str">
        <f t="shared" si="181"/>
        <v/>
      </c>
      <c r="R2906" s="32" t="str">
        <f>IFERROR(VLOOKUP($D2906,'Informations sur les produits'!$A$3:$B$15000,2,FALSE),"")</f>
        <v/>
      </c>
      <c r="V2906">
        <f t="shared" si="182"/>
        <v>0</v>
      </c>
      <c r="W2906">
        <f t="shared" si="183"/>
        <v>0</v>
      </c>
    </row>
    <row r="2907" spans="5:23" x14ac:dyDescent="0.25">
      <c r="E2907" s="4"/>
      <c r="F2907" s="4"/>
      <c r="G2907" s="33" t="str">
        <f>IFERROR(VLOOKUP($D2907,'Informations sur les produits'!$A$3:$H$10000,8,FALSE),"0")</f>
        <v>0</v>
      </c>
      <c r="K2907" s="4"/>
      <c r="L2907" s="33" t="str">
        <f>IFERROR(VLOOKUP($J2907,'Informations sur les produits'!$A$3:$H$10000,8,FALSE),"0")</f>
        <v>0</v>
      </c>
      <c r="N2907" s="8"/>
      <c r="O2907" s="33" t="str">
        <f>IFERROR(VLOOKUP($M2907,'Informations sur les produits'!$A$3:$H$10000,8,FALSE),"0")</f>
        <v>0</v>
      </c>
      <c r="P2907" s="33">
        <f t="shared" si="180"/>
        <v>0</v>
      </c>
      <c r="Q2907" s="31" t="str">
        <f t="shared" si="181"/>
        <v/>
      </c>
      <c r="R2907" s="32" t="str">
        <f>IFERROR(VLOOKUP($D2907,'Informations sur les produits'!$A$3:$B$15000,2,FALSE),"")</f>
        <v/>
      </c>
      <c r="V2907">
        <f t="shared" si="182"/>
        <v>0</v>
      </c>
      <c r="W2907">
        <f t="shared" si="183"/>
        <v>0</v>
      </c>
    </row>
    <row r="2908" spans="5:23" x14ac:dyDescent="0.25">
      <c r="E2908" s="4"/>
      <c r="F2908" s="4"/>
      <c r="G2908" s="33" t="str">
        <f>IFERROR(VLOOKUP($D2908,'Informations sur les produits'!$A$3:$H$10000,8,FALSE),"0")</f>
        <v>0</v>
      </c>
      <c r="K2908" s="4"/>
      <c r="L2908" s="33" t="str">
        <f>IFERROR(VLOOKUP($J2908,'Informations sur les produits'!$A$3:$H$10000,8,FALSE),"0")</f>
        <v>0</v>
      </c>
      <c r="N2908" s="8"/>
      <c r="O2908" s="33" t="str">
        <f>IFERROR(VLOOKUP($M2908,'Informations sur les produits'!$A$3:$H$10000,8,FALSE),"0")</f>
        <v>0</v>
      </c>
      <c r="P2908" s="33">
        <f t="shared" si="180"/>
        <v>0</v>
      </c>
      <c r="Q2908" s="31" t="str">
        <f t="shared" si="181"/>
        <v/>
      </c>
      <c r="R2908" s="32" t="str">
        <f>IFERROR(VLOOKUP($D2908,'Informations sur les produits'!$A$3:$B$15000,2,FALSE),"")</f>
        <v/>
      </c>
      <c r="V2908">
        <f t="shared" si="182"/>
        <v>0</v>
      </c>
      <c r="W2908">
        <f t="shared" si="183"/>
        <v>0</v>
      </c>
    </row>
    <row r="2909" spans="5:23" x14ac:dyDescent="0.25">
      <c r="E2909" s="4"/>
      <c r="F2909" s="4"/>
      <c r="G2909" s="33" t="str">
        <f>IFERROR(VLOOKUP($D2909,'Informations sur les produits'!$A$3:$H$10000,8,FALSE),"0")</f>
        <v>0</v>
      </c>
      <c r="K2909" s="4"/>
      <c r="L2909" s="33" t="str">
        <f>IFERROR(VLOOKUP($J2909,'Informations sur les produits'!$A$3:$H$10000,8,FALSE),"0")</f>
        <v>0</v>
      </c>
      <c r="N2909" s="8"/>
      <c r="O2909" s="33" t="str">
        <f>IFERROR(VLOOKUP($M2909,'Informations sur les produits'!$A$3:$H$10000,8,FALSE),"0")</f>
        <v>0</v>
      </c>
      <c r="P2909" s="33">
        <f t="shared" si="180"/>
        <v>0</v>
      </c>
      <c r="Q2909" s="31" t="str">
        <f t="shared" si="181"/>
        <v/>
      </c>
      <c r="R2909" s="32" t="str">
        <f>IFERROR(VLOOKUP($D2909,'Informations sur les produits'!$A$3:$B$15000,2,FALSE),"")</f>
        <v/>
      </c>
      <c r="V2909">
        <f t="shared" si="182"/>
        <v>0</v>
      </c>
      <c r="W2909">
        <f t="shared" si="183"/>
        <v>0</v>
      </c>
    </row>
    <row r="2910" spans="5:23" x14ac:dyDescent="0.25">
      <c r="E2910" s="4"/>
      <c r="F2910" s="4"/>
      <c r="G2910" s="33" t="str">
        <f>IFERROR(VLOOKUP($D2910,'Informations sur les produits'!$A$3:$H$10000,8,FALSE),"0")</f>
        <v>0</v>
      </c>
      <c r="K2910" s="4"/>
      <c r="L2910" s="33" t="str">
        <f>IFERROR(VLOOKUP($J2910,'Informations sur les produits'!$A$3:$H$10000,8,FALSE),"0")</f>
        <v>0</v>
      </c>
      <c r="N2910" s="8"/>
      <c r="O2910" s="33" t="str">
        <f>IFERROR(VLOOKUP($M2910,'Informations sur les produits'!$A$3:$H$10000,8,FALSE),"0")</f>
        <v>0</v>
      </c>
      <c r="P2910" s="33">
        <f t="shared" si="180"/>
        <v>0</v>
      </c>
      <c r="Q2910" s="31" t="str">
        <f t="shared" si="181"/>
        <v/>
      </c>
      <c r="R2910" s="32" t="str">
        <f>IFERROR(VLOOKUP($D2910,'Informations sur les produits'!$A$3:$B$15000,2,FALSE),"")</f>
        <v/>
      </c>
      <c r="V2910">
        <f t="shared" si="182"/>
        <v>0</v>
      </c>
      <c r="W2910">
        <f t="shared" si="183"/>
        <v>0</v>
      </c>
    </row>
    <row r="2911" spans="5:23" x14ac:dyDescent="0.25">
      <c r="E2911" s="4"/>
      <c r="F2911" s="4"/>
      <c r="G2911" s="33" t="str">
        <f>IFERROR(VLOOKUP($D2911,'Informations sur les produits'!$A$3:$H$10000,8,FALSE),"0")</f>
        <v>0</v>
      </c>
      <c r="K2911" s="4"/>
      <c r="L2911" s="33" t="str">
        <f>IFERROR(VLOOKUP($J2911,'Informations sur les produits'!$A$3:$H$10000,8,FALSE),"0")</f>
        <v>0</v>
      </c>
      <c r="N2911" s="8"/>
      <c r="O2911" s="33" t="str">
        <f>IFERROR(VLOOKUP($M2911,'Informations sur les produits'!$A$3:$H$10000,8,FALSE),"0")</f>
        <v>0</v>
      </c>
      <c r="P2911" s="33">
        <f t="shared" si="180"/>
        <v>0</v>
      </c>
      <c r="Q2911" s="31" t="str">
        <f t="shared" si="181"/>
        <v/>
      </c>
      <c r="R2911" s="32" t="str">
        <f>IFERROR(VLOOKUP($D2911,'Informations sur les produits'!$A$3:$B$15000,2,FALSE),"")</f>
        <v/>
      </c>
      <c r="V2911">
        <f t="shared" si="182"/>
        <v>0</v>
      </c>
      <c r="W2911">
        <f t="shared" si="183"/>
        <v>0</v>
      </c>
    </row>
    <row r="2912" spans="5:23" x14ac:dyDescent="0.25">
      <c r="E2912" s="4"/>
      <c r="F2912" s="4"/>
      <c r="G2912" s="33" t="str">
        <f>IFERROR(VLOOKUP($D2912,'Informations sur les produits'!$A$3:$H$10000,8,FALSE),"0")</f>
        <v>0</v>
      </c>
      <c r="K2912" s="4"/>
      <c r="L2912" s="33" t="str">
        <f>IFERROR(VLOOKUP($J2912,'Informations sur les produits'!$A$3:$H$10000,8,FALSE),"0")</f>
        <v>0</v>
      </c>
      <c r="N2912" s="8"/>
      <c r="O2912" s="33" t="str">
        <f>IFERROR(VLOOKUP($M2912,'Informations sur les produits'!$A$3:$H$10000,8,FALSE),"0")</f>
        <v>0</v>
      </c>
      <c r="P2912" s="33">
        <f t="shared" si="180"/>
        <v>0</v>
      </c>
      <c r="Q2912" s="31" t="str">
        <f t="shared" si="181"/>
        <v/>
      </c>
      <c r="R2912" s="32" t="str">
        <f>IFERROR(VLOOKUP($D2912,'Informations sur les produits'!$A$3:$B$15000,2,FALSE),"")</f>
        <v/>
      </c>
      <c r="V2912">
        <f t="shared" si="182"/>
        <v>0</v>
      </c>
      <c r="W2912">
        <f t="shared" si="183"/>
        <v>0</v>
      </c>
    </row>
    <row r="2913" spans="5:23" x14ac:dyDescent="0.25">
      <c r="E2913" s="4"/>
      <c r="F2913" s="4"/>
      <c r="G2913" s="33" t="str">
        <f>IFERROR(VLOOKUP($D2913,'Informations sur les produits'!$A$3:$H$10000,8,FALSE),"0")</f>
        <v>0</v>
      </c>
      <c r="K2913" s="4"/>
      <c r="L2913" s="33" t="str">
        <f>IFERROR(VLOOKUP($J2913,'Informations sur les produits'!$A$3:$H$10000,8,FALSE),"0")</f>
        <v>0</v>
      </c>
      <c r="N2913" s="8"/>
      <c r="O2913" s="33" t="str">
        <f>IFERROR(VLOOKUP($M2913,'Informations sur les produits'!$A$3:$H$10000,8,FALSE),"0")</f>
        <v>0</v>
      </c>
      <c r="P2913" s="33">
        <f t="shared" si="180"/>
        <v>0</v>
      </c>
      <c r="Q2913" s="31" t="str">
        <f t="shared" si="181"/>
        <v/>
      </c>
      <c r="R2913" s="32" t="str">
        <f>IFERROR(VLOOKUP($D2913,'Informations sur les produits'!$A$3:$B$15000,2,FALSE),"")</f>
        <v/>
      </c>
      <c r="V2913">
        <f t="shared" si="182"/>
        <v>0</v>
      </c>
      <c r="W2913">
        <f t="shared" si="183"/>
        <v>0</v>
      </c>
    </row>
    <row r="2914" spans="5:23" x14ac:dyDescent="0.25">
      <c r="E2914" s="4"/>
      <c r="F2914" s="4"/>
      <c r="G2914" s="33" t="str">
        <f>IFERROR(VLOOKUP($D2914,'Informations sur les produits'!$A$3:$H$10000,8,FALSE),"0")</f>
        <v>0</v>
      </c>
      <c r="K2914" s="4"/>
      <c r="L2914" s="33" t="str">
        <f>IFERROR(VLOOKUP($J2914,'Informations sur les produits'!$A$3:$H$10000,8,FALSE),"0")</f>
        <v>0</v>
      </c>
      <c r="N2914" s="8"/>
      <c r="O2914" s="33" t="str">
        <f>IFERROR(VLOOKUP($M2914,'Informations sur les produits'!$A$3:$H$10000,8,FALSE),"0")</f>
        <v>0</v>
      </c>
      <c r="P2914" s="33">
        <f t="shared" si="180"/>
        <v>0</v>
      </c>
      <c r="Q2914" s="31" t="str">
        <f t="shared" si="181"/>
        <v/>
      </c>
      <c r="R2914" s="32" t="str">
        <f>IFERROR(VLOOKUP($D2914,'Informations sur les produits'!$A$3:$B$15000,2,FALSE),"")</f>
        <v/>
      </c>
      <c r="V2914">
        <f t="shared" si="182"/>
        <v>0</v>
      </c>
      <c r="W2914">
        <f t="shared" si="183"/>
        <v>0</v>
      </c>
    </row>
    <row r="2915" spans="5:23" x14ac:dyDescent="0.25">
      <c r="E2915" s="4"/>
      <c r="F2915" s="4"/>
      <c r="G2915" s="33" t="str">
        <f>IFERROR(VLOOKUP($D2915,'Informations sur les produits'!$A$3:$H$10000,8,FALSE),"0")</f>
        <v>0</v>
      </c>
      <c r="K2915" s="4"/>
      <c r="L2915" s="33" t="str">
        <f>IFERROR(VLOOKUP($J2915,'Informations sur les produits'!$A$3:$H$10000,8,FALSE),"0")</f>
        <v>0</v>
      </c>
      <c r="N2915" s="8"/>
      <c r="O2915" s="33" t="str">
        <f>IFERROR(VLOOKUP($M2915,'Informations sur les produits'!$A$3:$H$10000,8,FALSE),"0")</f>
        <v>0</v>
      </c>
      <c r="P2915" s="33">
        <f t="shared" si="180"/>
        <v>0</v>
      </c>
      <c r="Q2915" s="31" t="str">
        <f t="shared" si="181"/>
        <v/>
      </c>
      <c r="R2915" s="32" t="str">
        <f>IFERROR(VLOOKUP($D2915,'Informations sur les produits'!$A$3:$B$15000,2,FALSE),"")</f>
        <v/>
      </c>
      <c r="V2915">
        <f t="shared" si="182"/>
        <v>0</v>
      </c>
      <c r="W2915">
        <f t="shared" si="183"/>
        <v>0</v>
      </c>
    </row>
    <row r="2916" spans="5:23" x14ac:dyDescent="0.25">
      <c r="E2916" s="4"/>
      <c r="F2916" s="4"/>
      <c r="G2916" s="33" t="str">
        <f>IFERROR(VLOOKUP($D2916,'Informations sur les produits'!$A$3:$H$10000,8,FALSE),"0")</f>
        <v>0</v>
      </c>
      <c r="K2916" s="4"/>
      <c r="L2916" s="33" t="str">
        <f>IFERROR(VLOOKUP($J2916,'Informations sur les produits'!$A$3:$H$10000,8,FALSE),"0")</f>
        <v>0</v>
      </c>
      <c r="N2916" s="8"/>
      <c r="O2916" s="33" t="str">
        <f>IFERROR(VLOOKUP($M2916,'Informations sur les produits'!$A$3:$H$10000,8,FALSE),"0")</f>
        <v>0</v>
      </c>
      <c r="P2916" s="33">
        <f t="shared" si="180"/>
        <v>0</v>
      </c>
      <c r="Q2916" s="31" t="str">
        <f t="shared" si="181"/>
        <v/>
      </c>
      <c r="R2916" s="32" t="str">
        <f>IFERROR(VLOOKUP($D2916,'Informations sur les produits'!$A$3:$B$15000,2,FALSE),"")</f>
        <v/>
      </c>
      <c r="V2916">
        <f t="shared" si="182"/>
        <v>0</v>
      </c>
      <c r="W2916">
        <f t="shared" si="183"/>
        <v>0</v>
      </c>
    </row>
    <row r="2917" spans="5:23" x14ac:dyDescent="0.25">
      <c r="E2917" s="4"/>
      <c r="F2917" s="4"/>
      <c r="G2917" s="33" t="str">
        <f>IFERROR(VLOOKUP($D2917,'Informations sur les produits'!$A$3:$H$10000,8,FALSE),"0")</f>
        <v>0</v>
      </c>
      <c r="K2917" s="4"/>
      <c r="L2917" s="33" t="str">
        <f>IFERROR(VLOOKUP($J2917,'Informations sur les produits'!$A$3:$H$10000,8,FALSE),"0")</f>
        <v>0</v>
      </c>
      <c r="N2917" s="8"/>
      <c r="O2917" s="33" t="str">
        <f>IFERROR(VLOOKUP($M2917,'Informations sur les produits'!$A$3:$H$10000,8,FALSE),"0")</f>
        <v>0</v>
      </c>
      <c r="P2917" s="33">
        <f t="shared" si="180"/>
        <v>0</v>
      </c>
      <c r="Q2917" s="31" t="str">
        <f t="shared" si="181"/>
        <v/>
      </c>
      <c r="R2917" s="32" t="str">
        <f>IFERROR(VLOOKUP($D2917,'Informations sur les produits'!$A$3:$B$15000,2,FALSE),"")</f>
        <v/>
      </c>
      <c r="V2917">
        <f t="shared" si="182"/>
        <v>0</v>
      </c>
      <c r="W2917">
        <f t="shared" si="183"/>
        <v>0</v>
      </c>
    </row>
    <row r="2918" spans="5:23" x14ac:dyDescent="0.25">
      <c r="E2918" s="4"/>
      <c r="F2918" s="4"/>
      <c r="G2918" s="33" t="str">
        <f>IFERROR(VLOOKUP($D2918,'Informations sur les produits'!$A$3:$H$10000,8,FALSE),"0")</f>
        <v>0</v>
      </c>
      <c r="K2918" s="4"/>
      <c r="L2918" s="33" t="str">
        <f>IFERROR(VLOOKUP($J2918,'Informations sur les produits'!$A$3:$H$10000,8,FALSE),"0")</f>
        <v>0</v>
      </c>
      <c r="N2918" s="8"/>
      <c r="O2918" s="33" t="str">
        <f>IFERROR(VLOOKUP($M2918,'Informations sur les produits'!$A$3:$H$10000,8,FALSE),"0")</f>
        <v>0</v>
      </c>
      <c r="P2918" s="33">
        <f t="shared" si="180"/>
        <v>0</v>
      </c>
      <c r="Q2918" s="31" t="str">
        <f t="shared" si="181"/>
        <v/>
      </c>
      <c r="R2918" s="32" t="str">
        <f>IFERROR(VLOOKUP($D2918,'Informations sur les produits'!$A$3:$B$15000,2,FALSE),"")</f>
        <v/>
      </c>
      <c r="V2918">
        <f t="shared" si="182"/>
        <v>0</v>
      </c>
      <c r="W2918">
        <f t="shared" si="183"/>
        <v>0</v>
      </c>
    </row>
    <row r="2919" spans="5:23" x14ac:dyDescent="0.25">
      <c r="E2919" s="4"/>
      <c r="F2919" s="4"/>
      <c r="G2919" s="33" t="str">
        <f>IFERROR(VLOOKUP($D2919,'Informations sur les produits'!$A$3:$H$10000,8,FALSE),"0")</f>
        <v>0</v>
      </c>
      <c r="K2919" s="4"/>
      <c r="L2919" s="33" t="str">
        <f>IFERROR(VLOOKUP($J2919,'Informations sur les produits'!$A$3:$H$10000,8,FALSE),"0")</f>
        <v>0</v>
      </c>
      <c r="N2919" s="8"/>
      <c r="O2919" s="33" t="str">
        <f>IFERROR(VLOOKUP($M2919,'Informations sur les produits'!$A$3:$H$10000,8,FALSE),"0")</f>
        <v>0</v>
      </c>
      <c r="P2919" s="33">
        <f t="shared" si="180"/>
        <v>0</v>
      </c>
      <c r="Q2919" s="31" t="str">
        <f t="shared" si="181"/>
        <v/>
      </c>
      <c r="R2919" s="32" t="str">
        <f>IFERROR(VLOOKUP($D2919,'Informations sur les produits'!$A$3:$B$15000,2,FALSE),"")</f>
        <v/>
      </c>
      <c r="V2919">
        <f t="shared" si="182"/>
        <v>0</v>
      </c>
      <c r="W2919">
        <f t="shared" si="183"/>
        <v>0</v>
      </c>
    </row>
    <row r="2920" spans="5:23" x14ac:dyDescent="0.25">
      <c r="E2920" s="4"/>
      <c r="F2920" s="4"/>
      <c r="G2920" s="33" t="str">
        <f>IFERROR(VLOOKUP($D2920,'Informations sur les produits'!$A$3:$H$10000,8,FALSE),"0")</f>
        <v>0</v>
      </c>
      <c r="K2920" s="4"/>
      <c r="L2920" s="33" t="str">
        <f>IFERROR(VLOOKUP($J2920,'Informations sur les produits'!$A$3:$H$10000,8,FALSE),"0")</f>
        <v>0</v>
      </c>
      <c r="N2920" s="8"/>
      <c r="O2920" s="33" t="str">
        <f>IFERROR(VLOOKUP($M2920,'Informations sur les produits'!$A$3:$H$10000,8,FALSE),"0")</f>
        <v>0</v>
      </c>
      <c r="P2920" s="33">
        <f t="shared" si="180"/>
        <v>0</v>
      </c>
      <c r="Q2920" s="31" t="str">
        <f t="shared" si="181"/>
        <v/>
      </c>
      <c r="R2920" s="32" t="str">
        <f>IFERROR(VLOOKUP($D2920,'Informations sur les produits'!$A$3:$B$15000,2,FALSE),"")</f>
        <v/>
      </c>
      <c r="V2920">
        <f t="shared" si="182"/>
        <v>0</v>
      </c>
      <c r="W2920">
        <f t="shared" si="183"/>
        <v>0</v>
      </c>
    </row>
    <row r="2921" spans="5:23" x14ac:dyDescent="0.25">
      <c r="E2921" s="4"/>
      <c r="F2921" s="4"/>
      <c r="G2921" s="33" t="str">
        <f>IFERROR(VLOOKUP($D2921,'Informations sur les produits'!$A$3:$H$10000,8,FALSE),"0")</f>
        <v>0</v>
      </c>
      <c r="K2921" s="4"/>
      <c r="L2921" s="33" t="str">
        <f>IFERROR(VLOOKUP($J2921,'Informations sur les produits'!$A$3:$H$10000,8,FALSE),"0")</f>
        <v>0</v>
      </c>
      <c r="N2921" s="8"/>
      <c r="O2921" s="33" t="str">
        <f>IFERROR(VLOOKUP($M2921,'Informations sur les produits'!$A$3:$H$10000,8,FALSE),"0")</f>
        <v>0</v>
      </c>
      <c r="P2921" s="33">
        <f t="shared" si="180"/>
        <v>0</v>
      </c>
      <c r="Q2921" s="31" t="str">
        <f t="shared" si="181"/>
        <v/>
      </c>
      <c r="R2921" s="32" t="str">
        <f>IFERROR(VLOOKUP($D2921,'Informations sur les produits'!$A$3:$B$15000,2,FALSE),"")</f>
        <v/>
      </c>
      <c r="V2921">
        <f t="shared" si="182"/>
        <v>0</v>
      </c>
      <c r="W2921">
        <f t="shared" si="183"/>
        <v>0</v>
      </c>
    </row>
    <row r="2922" spans="5:23" x14ac:dyDescent="0.25">
      <c r="E2922" s="4"/>
      <c r="F2922" s="4"/>
      <c r="G2922" s="33" t="str">
        <f>IFERROR(VLOOKUP($D2922,'Informations sur les produits'!$A$3:$H$10000,8,FALSE),"0")</f>
        <v>0</v>
      </c>
      <c r="K2922" s="4"/>
      <c r="L2922" s="33" t="str">
        <f>IFERROR(VLOOKUP($J2922,'Informations sur les produits'!$A$3:$H$10000,8,FALSE),"0")</f>
        <v>0</v>
      </c>
      <c r="N2922" s="8"/>
      <c r="O2922" s="33" t="str">
        <f>IFERROR(VLOOKUP($M2922,'Informations sur les produits'!$A$3:$H$10000,8,FALSE),"0")</f>
        <v>0</v>
      </c>
      <c r="P2922" s="33">
        <f t="shared" si="180"/>
        <v>0</v>
      </c>
      <c r="Q2922" s="31" t="str">
        <f t="shared" si="181"/>
        <v/>
      </c>
      <c r="R2922" s="32" t="str">
        <f>IFERROR(VLOOKUP($D2922,'Informations sur les produits'!$A$3:$B$15000,2,FALSE),"")</f>
        <v/>
      </c>
      <c r="V2922">
        <f t="shared" si="182"/>
        <v>0</v>
      </c>
      <c r="W2922">
        <f t="shared" si="183"/>
        <v>0</v>
      </c>
    </row>
    <row r="2923" spans="5:23" x14ac:dyDescent="0.25">
      <c r="E2923" s="4"/>
      <c r="F2923" s="4"/>
      <c r="G2923" s="33" t="str">
        <f>IFERROR(VLOOKUP($D2923,'Informations sur les produits'!$A$3:$H$10000,8,FALSE),"0")</f>
        <v>0</v>
      </c>
      <c r="K2923" s="4"/>
      <c r="L2923" s="33" t="str">
        <f>IFERROR(VLOOKUP($J2923,'Informations sur les produits'!$A$3:$H$10000,8,FALSE),"0")</f>
        <v>0</v>
      </c>
      <c r="N2923" s="8"/>
      <c r="O2923" s="33" t="str">
        <f>IFERROR(VLOOKUP($M2923,'Informations sur les produits'!$A$3:$H$10000,8,FALSE),"0")</f>
        <v>0</v>
      </c>
      <c r="P2923" s="33">
        <f t="shared" si="180"/>
        <v>0</v>
      </c>
      <c r="Q2923" s="31" t="str">
        <f t="shared" si="181"/>
        <v/>
      </c>
      <c r="R2923" s="32" t="str">
        <f>IFERROR(VLOOKUP($D2923,'Informations sur les produits'!$A$3:$B$15000,2,FALSE),"")</f>
        <v/>
      </c>
      <c r="V2923">
        <f t="shared" si="182"/>
        <v>0</v>
      </c>
      <c r="W2923">
        <f t="shared" si="183"/>
        <v>0</v>
      </c>
    </row>
    <row r="2924" spans="5:23" x14ac:dyDescent="0.25">
      <c r="E2924" s="4"/>
      <c r="F2924" s="4"/>
      <c r="G2924" s="33" t="str">
        <f>IFERROR(VLOOKUP($D2924,'Informations sur les produits'!$A$3:$H$10000,8,FALSE),"0")</f>
        <v>0</v>
      </c>
      <c r="K2924" s="4"/>
      <c r="L2924" s="33" t="str">
        <f>IFERROR(VLOOKUP($J2924,'Informations sur les produits'!$A$3:$H$10000,8,FALSE),"0")</f>
        <v>0</v>
      </c>
      <c r="N2924" s="8"/>
      <c r="O2924" s="33" t="str">
        <f>IFERROR(VLOOKUP($M2924,'Informations sur les produits'!$A$3:$H$10000,8,FALSE),"0")</f>
        <v>0</v>
      </c>
      <c r="P2924" s="33">
        <f t="shared" si="180"/>
        <v>0</v>
      </c>
      <c r="Q2924" s="31" t="str">
        <f t="shared" si="181"/>
        <v/>
      </c>
      <c r="R2924" s="32" t="str">
        <f>IFERROR(VLOOKUP($D2924,'Informations sur les produits'!$A$3:$B$15000,2,FALSE),"")</f>
        <v/>
      </c>
      <c r="V2924">
        <f t="shared" si="182"/>
        <v>0</v>
      </c>
      <c r="W2924">
        <f t="shared" si="183"/>
        <v>0</v>
      </c>
    </row>
    <row r="2925" spans="5:23" x14ac:dyDescent="0.25">
      <c r="E2925" s="4"/>
      <c r="F2925" s="4"/>
      <c r="G2925" s="33" t="str">
        <f>IFERROR(VLOOKUP($D2925,'Informations sur les produits'!$A$3:$H$10000,8,FALSE),"0")</f>
        <v>0</v>
      </c>
      <c r="K2925" s="4"/>
      <c r="L2925" s="33" t="str">
        <f>IFERROR(VLOOKUP($J2925,'Informations sur les produits'!$A$3:$H$10000,8,FALSE),"0")</f>
        <v>0</v>
      </c>
      <c r="N2925" s="8"/>
      <c r="O2925" s="33" t="str">
        <f>IFERROR(VLOOKUP($M2925,'Informations sur les produits'!$A$3:$H$10000,8,FALSE),"0")</f>
        <v>0</v>
      </c>
      <c r="P2925" s="33">
        <f t="shared" si="180"/>
        <v>0</v>
      </c>
      <c r="Q2925" s="31" t="str">
        <f t="shared" si="181"/>
        <v/>
      </c>
      <c r="R2925" s="32" t="str">
        <f>IFERROR(VLOOKUP($D2925,'Informations sur les produits'!$A$3:$B$15000,2,FALSE),"")</f>
        <v/>
      </c>
      <c r="V2925">
        <f t="shared" si="182"/>
        <v>0</v>
      </c>
      <c r="W2925">
        <f t="shared" si="183"/>
        <v>0</v>
      </c>
    </row>
    <row r="2926" spans="5:23" x14ac:dyDescent="0.25">
      <c r="E2926" s="4"/>
      <c r="F2926" s="4"/>
      <c r="G2926" s="33" t="str">
        <f>IFERROR(VLOOKUP($D2926,'Informations sur les produits'!$A$3:$H$10000,8,FALSE),"0")</f>
        <v>0</v>
      </c>
      <c r="K2926" s="4"/>
      <c r="L2926" s="33" t="str">
        <f>IFERROR(VLOOKUP($J2926,'Informations sur les produits'!$A$3:$H$10000,8,FALSE),"0")</f>
        <v>0</v>
      </c>
      <c r="N2926" s="8"/>
      <c r="O2926" s="33" t="str">
        <f>IFERROR(VLOOKUP($M2926,'Informations sur les produits'!$A$3:$H$10000,8,FALSE),"0")</f>
        <v>0</v>
      </c>
      <c r="P2926" s="33">
        <f t="shared" si="180"/>
        <v>0</v>
      </c>
      <c r="Q2926" s="31" t="str">
        <f t="shared" si="181"/>
        <v/>
      </c>
      <c r="R2926" s="32" t="str">
        <f>IFERROR(VLOOKUP($D2926,'Informations sur les produits'!$A$3:$B$15000,2,FALSE),"")</f>
        <v/>
      </c>
      <c r="V2926">
        <f t="shared" si="182"/>
        <v>0</v>
      </c>
      <c r="W2926">
        <f t="shared" si="183"/>
        <v>0</v>
      </c>
    </row>
    <row r="2927" spans="5:23" x14ac:dyDescent="0.25">
      <c r="E2927" s="4"/>
      <c r="F2927" s="4"/>
      <c r="G2927" s="33" t="str">
        <f>IFERROR(VLOOKUP($D2927,'Informations sur les produits'!$A$3:$H$10000,8,FALSE),"0")</f>
        <v>0</v>
      </c>
      <c r="K2927" s="4"/>
      <c r="L2927" s="33" t="str">
        <f>IFERROR(VLOOKUP($J2927,'Informations sur les produits'!$A$3:$H$10000,8,FALSE),"0")</f>
        <v>0</v>
      </c>
      <c r="N2927" s="8"/>
      <c r="O2927" s="33" t="str">
        <f>IFERROR(VLOOKUP($M2927,'Informations sur les produits'!$A$3:$H$10000,8,FALSE),"0")</f>
        <v>0</v>
      </c>
      <c r="P2927" s="33">
        <f t="shared" si="180"/>
        <v>0</v>
      </c>
      <c r="Q2927" s="31" t="str">
        <f t="shared" si="181"/>
        <v/>
      </c>
      <c r="R2927" s="32" t="str">
        <f>IFERROR(VLOOKUP($D2927,'Informations sur les produits'!$A$3:$B$15000,2,FALSE),"")</f>
        <v/>
      </c>
      <c r="V2927">
        <f t="shared" si="182"/>
        <v>0</v>
      </c>
      <c r="W2927">
        <f t="shared" si="183"/>
        <v>0</v>
      </c>
    </row>
    <row r="2928" spans="5:23" x14ac:dyDescent="0.25">
      <c r="E2928" s="4"/>
      <c r="F2928" s="4"/>
      <c r="G2928" s="33" t="str">
        <f>IFERROR(VLOOKUP($D2928,'Informations sur les produits'!$A$3:$H$10000,8,FALSE),"0")</f>
        <v>0</v>
      </c>
      <c r="K2928" s="4"/>
      <c r="L2928" s="33" t="str">
        <f>IFERROR(VLOOKUP($J2928,'Informations sur les produits'!$A$3:$H$10000,8,FALSE),"0")</f>
        <v>0</v>
      </c>
      <c r="N2928" s="8"/>
      <c r="O2928" s="33" t="str">
        <f>IFERROR(VLOOKUP($M2928,'Informations sur les produits'!$A$3:$H$10000,8,FALSE),"0")</f>
        <v>0</v>
      </c>
      <c r="P2928" s="33">
        <f t="shared" si="180"/>
        <v>0</v>
      </c>
      <c r="Q2928" s="31" t="str">
        <f t="shared" si="181"/>
        <v/>
      </c>
      <c r="R2928" s="32" t="str">
        <f>IFERROR(VLOOKUP($D2928,'Informations sur les produits'!$A$3:$B$15000,2,FALSE),"")</f>
        <v/>
      </c>
      <c r="V2928">
        <f t="shared" si="182"/>
        <v>0</v>
      </c>
      <c r="W2928">
        <f t="shared" si="183"/>
        <v>0</v>
      </c>
    </row>
    <row r="2929" spans="5:23" x14ac:dyDescent="0.25">
      <c r="E2929" s="4"/>
      <c r="F2929" s="4"/>
      <c r="G2929" s="33" t="str">
        <f>IFERROR(VLOOKUP($D2929,'Informations sur les produits'!$A$3:$H$10000,8,FALSE),"0")</f>
        <v>0</v>
      </c>
      <c r="K2929" s="4"/>
      <c r="L2929" s="33" t="str">
        <f>IFERROR(VLOOKUP($J2929,'Informations sur les produits'!$A$3:$H$10000,8,FALSE),"0")</f>
        <v>0</v>
      </c>
      <c r="N2929" s="8"/>
      <c r="O2929" s="33" t="str">
        <f>IFERROR(VLOOKUP($M2929,'Informations sur les produits'!$A$3:$H$10000,8,FALSE),"0")</f>
        <v>0</v>
      </c>
      <c r="P2929" s="33">
        <f t="shared" si="180"/>
        <v>0</v>
      </c>
      <c r="Q2929" s="31" t="str">
        <f t="shared" si="181"/>
        <v/>
      </c>
      <c r="R2929" s="32" t="str">
        <f>IFERROR(VLOOKUP($D2929,'Informations sur les produits'!$A$3:$B$15000,2,FALSE),"")</f>
        <v/>
      </c>
      <c r="V2929">
        <f t="shared" si="182"/>
        <v>0</v>
      </c>
      <c r="W2929">
        <f t="shared" si="183"/>
        <v>0</v>
      </c>
    </row>
    <row r="2930" spans="5:23" x14ac:dyDescent="0.25">
      <c r="E2930" s="4"/>
      <c r="F2930" s="4"/>
      <c r="G2930" s="33" t="str">
        <f>IFERROR(VLOOKUP($D2930,'Informations sur les produits'!$A$3:$H$10000,8,FALSE),"0")</f>
        <v>0</v>
      </c>
      <c r="K2930" s="4"/>
      <c r="L2930" s="33" t="str">
        <f>IFERROR(VLOOKUP($J2930,'Informations sur les produits'!$A$3:$H$10000,8,FALSE),"0")</f>
        <v>0</v>
      </c>
      <c r="N2930" s="8"/>
      <c r="O2930" s="33" t="str">
        <f>IFERROR(VLOOKUP($M2930,'Informations sur les produits'!$A$3:$H$10000,8,FALSE),"0")</f>
        <v>0</v>
      </c>
      <c r="P2930" s="33">
        <f t="shared" si="180"/>
        <v>0</v>
      </c>
      <c r="Q2930" s="31" t="str">
        <f t="shared" si="181"/>
        <v/>
      </c>
      <c r="R2930" s="32" t="str">
        <f>IFERROR(VLOOKUP($D2930,'Informations sur les produits'!$A$3:$B$15000,2,FALSE),"")</f>
        <v/>
      </c>
      <c r="V2930">
        <f t="shared" si="182"/>
        <v>0</v>
      </c>
      <c r="W2930">
        <f t="shared" si="183"/>
        <v>0</v>
      </c>
    </row>
    <row r="2931" spans="5:23" x14ac:dyDescent="0.25">
      <c r="E2931" s="4"/>
      <c r="F2931" s="4"/>
      <c r="G2931" s="33" t="str">
        <f>IFERROR(VLOOKUP($D2931,'Informations sur les produits'!$A$3:$H$10000,8,FALSE),"0")</f>
        <v>0</v>
      </c>
      <c r="K2931" s="4"/>
      <c r="L2931" s="33" t="str">
        <f>IFERROR(VLOOKUP($J2931,'Informations sur les produits'!$A$3:$H$10000,8,FALSE),"0")</f>
        <v>0</v>
      </c>
      <c r="N2931" s="8"/>
      <c r="O2931" s="33" t="str">
        <f>IFERROR(VLOOKUP($M2931,'Informations sur les produits'!$A$3:$H$10000,8,FALSE),"0")</f>
        <v>0</v>
      </c>
      <c r="P2931" s="33">
        <f t="shared" si="180"/>
        <v>0</v>
      </c>
      <c r="Q2931" s="31" t="str">
        <f t="shared" si="181"/>
        <v/>
      </c>
      <c r="R2931" s="32" t="str">
        <f>IFERROR(VLOOKUP($D2931,'Informations sur les produits'!$A$3:$B$15000,2,FALSE),"")</f>
        <v/>
      </c>
      <c r="V2931">
        <f t="shared" si="182"/>
        <v>0</v>
      </c>
      <c r="W2931">
        <f t="shared" si="183"/>
        <v>0</v>
      </c>
    </row>
    <row r="2932" spans="5:23" x14ac:dyDescent="0.25">
      <c r="E2932" s="4"/>
      <c r="F2932" s="4"/>
      <c r="G2932" s="33" t="str">
        <f>IFERROR(VLOOKUP($D2932,'Informations sur les produits'!$A$3:$H$10000,8,FALSE),"0")</f>
        <v>0</v>
      </c>
      <c r="K2932" s="4"/>
      <c r="L2932" s="33" t="str">
        <f>IFERROR(VLOOKUP($J2932,'Informations sur les produits'!$A$3:$H$10000,8,FALSE),"0")</f>
        <v>0</v>
      </c>
      <c r="N2932" s="8"/>
      <c r="O2932" s="33" t="str">
        <f>IFERROR(VLOOKUP($M2932,'Informations sur les produits'!$A$3:$H$10000,8,FALSE),"0")</f>
        <v>0</v>
      </c>
      <c r="P2932" s="33">
        <f t="shared" si="180"/>
        <v>0</v>
      </c>
      <c r="Q2932" s="31" t="str">
        <f t="shared" si="181"/>
        <v/>
      </c>
      <c r="R2932" s="32" t="str">
        <f>IFERROR(VLOOKUP($D2932,'Informations sur les produits'!$A$3:$B$15000,2,FALSE),"")</f>
        <v/>
      </c>
      <c r="V2932">
        <f t="shared" si="182"/>
        <v>0</v>
      </c>
      <c r="W2932">
        <f t="shared" si="183"/>
        <v>0</v>
      </c>
    </row>
    <row r="2933" spans="5:23" x14ac:dyDescent="0.25">
      <c r="E2933" s="4"/>
      <c r="F2933" s="4"/>
      <c r="G2933" s="33" t="str">
        <f>IFERROR(VLOOKUP($D2933,'Informations sur les produits'!$A$3:$H$10000,8,FALSE),"0")</f>
        <v>0</v>
      </c>
      <c r="K2933" s="4"/>
      <c r="L2933" s="33" t="str">
        <f>IFERROR(VLOOKUP($J2933,'Informations sur les produits'!$A$3:$H$10000,8,FALSE),"0")</f>
        <v>0</v>
      </c>
      <c r="N2933" s="8"/>
      <c r="O2933" s="33" t="str">
        <f>IFERROR(VLOOKUP($M2933,'Informations sur les produits'!$A$3:$H$10000,8,FALSE),"0")</f>
        <v>0</v>
      </c>
      <c r="P2933" s="33">
        <f t="shared" si="180"/>
        <v>0</v>
      </c>
      <c r="Q2933" s="31" t="str">
        <f t="shared" si="181"/>
        <v/>
      </c>
      <c r="R2933" s="32" t="str">
        <f>IFERROR(VLOOKUP($D2933,'Informations sur les produits'!$A$3:$B$15000,2,FALSE),"")</f>
        <v/>
      </c>
      <c r="V2933">
        <f t="shared" si="182"/>
        <v>0</v>
      </c>
      <c r="W2933">
        <f t="shared" si="183"/>
        <v>0</v>
      </c>
    </row>
    <row r="2934" spans="5:23" x14ac:dyDescent="0.25">
      <c r="E2934" s="4"/>
      <c r="F2934" s="4"/>
      <c r="G2934" s="33" t="str">
        <f>IFERROR(VLOOKUP($D2934,'Informations sur les produits'!$A$3:$H$10000,8,FALSE),"0")</f>
        <v>0</v>
      </c>
      <c r="K2934" s="4"/>
      <c r="L2934" s="33" t="str">
        <f>IFERROR(VLOOKUP($J2934,'Informations sur les produits'!$A$3:$H$10000,8,FALSE),"0")</f>
        <v>0</v>
      </c>
      <c r="N2934" s="8"/>
      <c r="O2934" s="33" t="str">
        <f>IFERROR(VLOOKUP($M2934,'Informations sur les produits'!$A$3:$H$10000,8,FALSE),"0")</f>
        <v>0</v>
      </c>
      <c r="P2934" s="33">
        <f t="shared" si="180"/>
        <v>0</v>
      </c>
      <c r="Q2934" s="31" t="str">
        <f t="shared" si="181"/>
        <v/>
      </c>
      <c r="R2934" s="32" t="str">
        <f>IFERROR(VLOOKUP($D2934,'Informations sur les produits'!$A$3:$B$15000,2,FALSE),"")</f>
        <v/>
      </c>
      <c r="V2934">
        <f t="shared" si="182"/>
        <v>0</v>
      </c>
      <c r="W2934">
        <f t="shared" si="183"/>
        <v>0</v>
      </c>
    </row>
    <row r="2935" spans="5:23" x14ac:dyDescent="0.25">
      <c r="E2935" s="4"/>
      <c r="F2935" s="4"/>
      <c r="G2935" s="33" t="str">
        <f>IFERROR(VLOOKUP($D2935,'Informations sur les produits'!$A$3:$H$10000,8,FALSE),"0")</f>
        <v>0</v>
      </c>
      <c r="K2935" s="4"/>
      <c r="L2935" s="33" t="str">
        <f>IFERROR(VLOOKUP($J2935,'Informations sur les produits'!$A$3:$H$10000,8,FALSE),"0")</f>
        <v>0</v>
      </c>
      <c r="N2935" s="8"/>
      <c r="O2935" s="33" t="str">
        <f>IFERROR(VLOOKUP($M2935,'Informations sur les produits'!$A$3:$H$10000,8,FALSE),"0")</f>
        <v>0</v>
      </c>
      <c r="P2935" s="33">
        <f t="shared" si="180"/>
        <v>0</v>
      </c>
      <c r="Q2935" s="31" t="str">
        <f t="shared" si="181"/>
        <v/>
      </c>
      <c r="R2935" s="32" t="str">
        <f>IFERROR(VLOOKUP($D2935,'Informations sur les produits'!$A$3:$B$15000,2,FALSE),"")</f>
        <v/>
      </c>
      <c r="V2935">
        <f t="shared" si="182"/>
        <v>0</v>
      </c>
      <c r="W2935">
        <f t="shared" si="183"/>
        <v>0</v>
      </c>
    </row>
    <row r="2936" spans="5:23" x14ac:dyDescent="0.25">
      <c r="E2936" s="4"/>
      <c r="F2936" s="4"/>
      <c r="G2936" s="33" t="str">
        <f>IFERROR(VLOOKUP($D2936,'Informations sur les produits'!$A$3:$H$10000,8,FALSE),"0")</f>
        <v>0</v>
      </c>
      <c r="K2936" s="4"/>
      <c r="L2936" s="33" t="str">
        <f>IFERROR(VLOOKUP($J2936,'Informations sur les produits'!$A$3:$H$10000,8,FALSE),"0")</f>
        <v>0</v>
      </c>
      <c r="N2936" s="8"/>
      <c r="O2936" s="33" t="str">
        <f>IFERROR(VLOOKUP($M2936,'Informations sur les produits'!$A$3:$H$10000,8,FALSE),"0")</f>
        <v>0</v>
      </c>
      <c r="P2936" s="33">
        <f t="shared" si="180"/>
        <v>0</v>
      </c>
      <c r="Q2936" s="31" t="str">
        <f t="shared" si="181"/>
        <v/>
      </c>
      <c r="R2936" s="32" t="str">
        <f>IFERROR(VLOOKUP($D2936,'Informations sur les produits'!$A$3:$B$15000,2,FALSE),"")</f>
        <v/>
      </c>
      <c r="V2936">
        <f t="shared" si="182"/>
        <v>0</v>
      </c>
      <c r="W2936">
        <f t="shared" si="183"/>
        <v>0</v>
      </c>
    </row>
    <row r="2937" spans="5:23" x14ac:dyDescent="0.25">
      <c r="E2937" s="4"/>
      <c r="F2937" s="4"/>
      <c r="G2937" s="33" t="str">
        <f>IFERROR(VLOOKUP($D2937,'Informations sur les produits'!$A$3:$H$10000,8,FALSE),"0")</f>
        <v>0</v>
      </c>
      <c r="K2937" s="4"/>
      <c r="L2937" s="33" t="str">
        <f>IFERROR(VLOOKUP($J2937,'Informations sur les produits'!$A$3:$H$10000,8,FALSE),"0")</f>
        <v>0</v>
      </c>
      <c r="N2937" s="8"/>
      <c r="O2937" s="33" t="str">
        <f>IFERROR(VLOOKUP($M2937,'Informations sur les produits'!$A$3:$H$10000,8,FALSE),"0")</f>
        <v>0</v>
      </c>
      <c r="P2937" s="33">
        <f t="shared" si="180"/>
        <v>0</v>
      </c>
      <c r="Q2937" s="31" t="str">
        <f t="shared" si="181"/>
        <v/>
      </c>
      <c r="R2937" s="32" t="str">
        <f>IFERROR(VLOOKUP($D2937,'Informations sur les produits'!$A$3:$B$15000,2,FALSE),"")</f>
        <v/>
      </c>
      <c r="V2937">
        <f t="shared" si="182"/>
        <v>0</v>
      </c>
      <c r="W2937">
        <f t="shared" si="183"/>
        <v>0</v>
      </c>
    </row>
    <row r="2938" spans="5:23" x14ac:dyDescent="0.25">
      <c r="E2938" s="4"/>
      <c r="F2938" s="4"/>
      <c r="G2938" s="33" t="str">
        <f>IFERROR(VLOOKUP($D2938,'Informations sur les produits'!$A$3:$H$10000,8,FALSE),"0")</f>
        <v>0</v>
      </c>
      <c r="K2938" s="4"/>
      <c r="L2938" s="33" t="str">
        <f>IFERROR(VLOOKUP($J2938,'Informations sur les produits'!$A$3:$H$10000,8,FALSE),"0")</f>
        <v>0</v>
      </c>
      <c r="N2938" s="8"/>
      <c r="O2938" s="33" t="str">
        <f>IFERROR(VLOOKUP($M2938,'Informations sur les produits'!$A$3:$H$10000,8,FALSE),"0")</f>
        <v>0</v>
      </c>
      <c r="P2938" s="33">
        <f t="shared" si="180"/>
        <v>0</v>
      </c>
      <c r="Q2938" s="31" t="str">
        <f t="shared" si="181"/>
        <v/>
      </c>
      <c r="R2938" s="32" t="str">
        <f>IFERROR(VLOOKUP($D2938,'Informations sur les produits'!$A$3:$B$15000,2,FALSE),"")</f>
        <v/>
      </c>
      <c r="V2938">
        <f t="shared" si="182"/>
        <v>0</v>
      </c>
      <c r="W2938">
        <f t="shared" si="183"/>
        <v>0</v>
      </c>
    </row>
    <row r="2939" spans="5:23" x14ac:dyDescent="0.25">
      <c r="E2939" s="4"/>
      <c r="F2939" s="4"/>
      <c r="G2939" s="33" t="str">
        <f>IFERROR(VLOOKUP($D2939,'Informations sur les produits'!$A$3:$H$10000,8,FALSE),"0")</f>
        <v>0</v>
      </c>
      <c r="K2939" s="4"/>
      <c r="L2939" s="33" t="str">
        <f>IFERROR(VLOOKUP($J2939,'Informations sur les produits'!$A$3:$H$10000,8,FALSE),"0")</f>
        <v>0</v>
      </c>
      <c r="N2939" s="8"/>
      <c r="O2939" s="33" t="str">
        <f>IFERROR(VLOOKUP($M2939,'Informations sur les produits'!$A$3:$H$10000,8,FALSE),"0")</f>
        <v>0</v>
      </c>
      <c r="P2939" s="33">
        <f t="shared" si="180"/>
        <v>0</v>
      </c>
      <c r="Q2939" s="31" t="str">
        <f t="shared" si="181"/>
        <v/>
      </c>
      <c r="R2939" s="32" t="str">
        <f>IFERROR(VLOOKUP($D2939,'Informations sur les produits'!$A$3:$B$15000,2,FALSE),"")</f>
        <v/>
      </c>
      <c r="V2939">
        <f t="shared" si="182"/>
        <v>0</v>
      </c>
      <c r="W2939">
        <f t="shared" si="183"/>
        <v>0</v>
      </c>
    </row>
    <row r="2940" spans="5:23" x14ac:dyDescent="0.25">
      <c r="E2940" s="4"/>
      <c r="F2940" s="4"/>
      <c r="G2940" s="33" t="str">
        <f>IFERROR(VLOOKUP($D2940,'Informations sur les produits'!$A$3:$H$10000,8,FALSE),"0")</f>
        <v>0</v>
      </c>
      <c r="K2940" s="4"/>
      <c r="L2940" s="33" t="str">
        <f>IFERROR(VLOOKUP($J2940,'Informations sur les produits'!$A$3:$H$10000,8,FALSE),"0")</f>
        <v>0</v>
      </c>
      <c r="N2940" s="8"/>
      <c r="O2940" s="33" t="str">
        <f>IFERROR(VLOOKUP($M2940,'Informations sur les produits'!$A$3:$H$10000,8,FALSE),"0")</f>
        <v>0</v>
      </c>
      <c r="P2940" s="33">
        <f t="shared" si="180"/>
        <v>0</v>
      </c>
      <c r="Q2940" s="31" t="str">
        <f t="shared" si="181"/>
        <v/>
      </c>
      <c r="R2940" s="32" t="str">
        <f>IFERROR(VLOOKUP($D2940,'Informations sur les produits'!$A$3:$B$15000,2,FALSE),"")</f>
        <v/>
      </c>
      <c r="V2940">
        <f t="shared" si="182"/>
        <v>0</v>
      </c>
      <c r="W2940">
        <f t="shared" si="183"/>
        <v>0</v>
      </c>
    </row>
    <row r="2941" spans="5:23" x14ac:dyDescent="0.25">
      <c r="E2941" s="4"/>
      <c r="F2941" s="4"/>
      <c r="G2941" s="33" t="str">
        <f>IFERROR(VLOOKUP($D2941,'Informations sur les produits'!$A$3:$H$10000,8,FALSE),"0")</f>
        <v>0</v>
      </c>
      <c r="K2941" s="4"/>
      <c r="L2941" s="33" t="str">
        <f>IFERROR(VLOOKUP($J2941,'Informations sur les produits'!$A$3:$H$10000,8,FALSE),"0")</f>
        <v>0</v>
      </c>
      <c r="N2941" s="8"/>
      <c r="O2941" s="33" t="str">
        <f>IFERROR(VLOOKUP($M2941,'Informations sur les produits'!$A$3:$H$10000,8,FALSE),"0")</f>
        <v>0</v>
      </c>
      <c r="P2941" s="33">
        <f t="shared" si="180"/>
        <v>0</v>
      </c>
      <c r="Q2941" s="31" t="str">
        <f t="shared" si="181"/>
        <v/>
      </c>
      <c r="R2941" s="32" t="str">
        <f>IFERROR(VLOOKUP($D2941,'Informations sur les produits'!$A$3:$B$15000,2,FALSE),"")</f>
        <v/>
      </c>
      <c r="V2941">
        <f t="shared" si="182"/>
        <v>0</v>
      </c>
      <c r="W2941">
        <f t="shared" si="183"/>
        <v>0</v>
      </c>
    </row>
    <row r="2942" spans="5:23" x14ac:dyDescent="0.25">
      <c r="E2942" s="4"/>
      <c r="F2942" s="4"/>
      <c r="G2942" s="33" t="str">
        <f>IFERROR(VLOOKUP($D2942,'Informations sur les produits'!$A$3:$H$10000,8,FALSE),"0")</f>
        <v>0</v>
      </c>
      <c r="K2942" s="4"/>
      <c r="L2942" s="33" t="str">
        <f>IFERROR(VLOOKUP($J2942,'Informations sur les produits'!$A$3:$H$10000,8,FALSE),"0")</f>
        <v>0</v>
      </c>
      <c r="N2942" s="8"/>
      <c r="O2942" s="33" t="str">
        <f>IFERROR(VLOOKUP($M2942,'Informations sur les produits'!$A$3:$H$10000,8,FALSE),"0")</f>
        <v>0</v>
      </c>
      <c r="P2942" s="33">
        <f t="shared" si="180"/>
        <v>0</v>
      </c>
      <c r="Q2942" s="31" t="str">
        <f t="shared" si="181"/>
        <v/>
      </c>
      <c r="R2942" s="32" t="str">
        <f>IFERROR(VLOOKUP($D2942,'Informations sur les produits'!$A$3:$B$15000,2,FALSE),"")</f>
        <v/>
      </c>
      <c r="V2942">
        <f t="shared" si="182"/>
        <v>0</v>
      </c>
      <c r="W2942">
        <f t="shared" si="183"/>
        <v>0</v>
      </c>
    </row>
    <row r="2943" spans="5:23" x14ac:dyDescent="0.25">
      <c r="E2943" s="4"/>
      <c r="F2943" s="4"/>
      <c r="G2943" s="33" t="str">
        <f>IFERROR(VLOOKUP($D2943,'Informations sur les produits'!$A$3:$H$10000,8,FALSE),"0")</f>
        <v>0</v>
      </c>
      <c r="K2943" s="4"/>
      <c r="L2943" s="33" t="str">
        <f>IFERROR(VLOOKUP($J2943,'Informations sur les produits'!$A$3:$H$10000,8,FALSE),"0")</f>
        <v>0</v>
      </c>
      <c r="N2943" s="8"/>
      <c r="O2943" s="33" t="str">
        <f>IFERROR(VLOOKUP($M2943,'Informations sur les produits'!$A$3:$H$10000,8,FALSE),"0")</f>
        <v>0</v>
      </c>
      <c r="P2943" s="33">
        <f t="shared" si="180"/>
        <v>0</v>
      </c>
      <c r="Q2943" s="31" t="str">
        <f t="shared" si="181"/>
        <v/>
      </c>
      <c r="R2943" s="32" t="str">
        <f>IFERROR(VLOOKUP($D2943,'Informations sur les produits'!$A$3:$B$15000,2,FALSE),"")</f>
        <v/>
      </c>
      <c r="V2943">
        <f t="shared" si="182"/>
        <v>0</v>
      </c>
      <c r="W2943">
        <f t="shared" si="183"/>
        <v>0</v>
      </c>
    </row>
    <row r="2944" spans="5:23" x14ac:dyDescent="0.25">
      <c r="E2944" s="4"/>
      <c r="F2944" s="4"/>
      <c r="G2944" s="33" t="str">
        <f>IFERROR(VLOOKUP($D2944,'Informations sur les produits'!$A$3:$H$10000,8,FALSE),"0")</f>
        <v>0</v>
      </c>
      <c r="K2944" s="4"/>
      <c r="L2944" s="33" t="str">
        <f>IFERROR(VLOOKUP($J2944,'Informations sur les produits'!$A$3:$H$10000,8,FALSE),"0")</f>
        <v>0</v>
      </c>
      <c r="N2944" s="8"/>
      <c r="O2944" s="33" t="str">
        <f>IFERROR(VLOOKUP($M2944,'Informations sur les produits'!$A$3:$H$10000,8,FALSE),"0")</f>
        <v>0</v>
      </c>
      <c r="P2944" s="33">
        <f t="shared" si="180"/>
        <v>0</v>
      </c>
      <c r="Q2944" s="31" t="str">
        <f t="shared" si="181"/>
        <v/>
      </c>
      <c r="R2944" s="32" t="str">
        <f>IFERROR(VLOOKUP($D2944,'Informations sur les produits'!$A$3:$B$15000,2,FALSE),"")</f>
        <v/>
      </c>
      <c r="V2944">
        <f t="shared" si="182"/>
        <v>0</v>
      </c>
      <c r="W2944">
        <f t="shared" si="183"/>
        <v>0</v>
      </c>
    </row>
    <row r="2945" spans="5:23" x14ac:dyDescent="0.25">
      <c r="E2945" s="4"/>
      <c r="F2945" s="4"/>
      <c r="G2945" s="33" t="str">
        <f>IFERROR(VLOOKUP($D2945,'Informations sur les produits'!$A$3:$H$10000,8,FALSE),"0")</f>
        <v>0</v>
      </c>
      <c r="K2945" s="4"/>
      <c r="L2945" s="33" t="str">
        <f>IFERROR(VLOOKUP($J2945,'Informations sur les produits'!$A$3:$H$10000,8,FALSE),"0")</f>
        <v>0</v>
      </c>
      <c r="N2945" s="8"/>
      <c r="O2945" s="33" t="str">
        <f>IFERROR(VLOOKUP($M2945,'Informations sur les produits'!$A$3:$H$10000,8,FALSE),"0")</f>
        <v>0</v>
      </c>
      <c r="P2945" s="33">
        <f t="shared" si="180"/>
        <v>0</v>
      </c>
      <c r="Q2945" s="31" t="str">
        <f t="shared" si="181"/>
        <v/>
      </c>
      <c r="R2945" s="32" t="str">
        <f>IFERROR(VLOOKUP($D2945,'Informations sur les produits'!$A$3:$B$15000,2,FALSE),"")</f>
        <v/>
      </c>
      <c r="V2945">
        <f t="shared" si="182"/>
        <v>0</v>
      </c>
      <c r="W2945">
        <f t="shared" si="183"/>
        <v>0</v>
      </c>
    </row>
    <row r="2946" spans="5:23" x14ac:dyDescent="0.25">
      <c r="E2946" s="4"/>
      <c r="F2946" s="4"/>
      <c r="G2946" s="33" t="str">
        <f>IFERROR(VLOOKUP($D2946,'Informations sur les produits'!$A$3:$H$10000,8,FALSE),"0")</f>
        <v>0</v>
      </c>
      <c r="K2946" s="4"/>
      <c r="L2946" s="33" t="str">
        <f>IFERROR(VLOOKUP($J2946,'Informations sur les produits'!$A$3:$H$10000,8,FALSE),"0")</f>
        <v>0</v>
      </c>
      <c r="N2946" s="8"/>
      <c r="O2946" s="33" t="str">
        <f>IFERROR(VLOOKUP($M2946,'Informations sur les produits'!$A$3:$H$10000,8,FALSE),"0")</f>
        <v>0</v>
      </c>
      <c r="P2946" s="33">
        <f t="shared" si="180"/>
        <v>0</v>
      </c>
      <c r="Q2946" s="31" t="str">
        <f t="shared" si="181"/>
        <v/>
      </c>
      <c r="R2946" s="32" t="str">
        <f>IFERROR(VLOOKUP($D2946,'Informations sur les produits'!$A$3:$B$15000,2,FALSE),"")</f>
        <v/>
      </c>
      <c r="V2946">
        <f t="shared" si="182"/>
        <v>0</v>
      </c>
      <c r="W2946">
        <f t="shared" si="183"/>
        <v>0</v>
      </c>
    </row>
    <row r="2947" spans="5:23" x14ac:dyDescent="0.25">
      <c r="E2947" s="4"/>
      <c r="F2947" s="4"/>
      <c r="G2947" s="33" t="str">
        <f>IFERROR(VLOOKUP($D2947,'Informations sur les produits'!$A$3:$H$10000,8,FALSE),"0")</f>
        <v>0</v>
      </c>
      <c r="K2947" s="4"/>
      <c r="L2947" s="33" t="str">
        <f>IFERROR(VLOOKUP($J2947,'Informations sur les produits'!$A$3:$H$10000,8,FALSE),"0")</f>
        <v>0</v>
      </c>
      <c r="N2947" s="8"/>
      <c r="O2947" s="33" t="str">
        <f>IFERROR(VLOOKUP($M2947,'Informations sur les produits'!$A$3:$H$10000,8,FALSE),"0")</f>
        <v>0</v>
      </c>
      <c r="P2947" s="33">
        <f t="shared" si="180"/>
        <v>0</v>
      </c>
      <c r="Q2947" s="31" t="str">
        <f t="shared" si="181"/>
        <v/>
      </c>
      <c r="R2947" s="32" t="str">
        <f>IFERROR(VLOOKUP($D2947,'Informations sur les produits'!$A$3:$B$15000,2,FALSE),"")</f>
        <v/>
      </c>
      <c r="V2947">
        <f t="shared" si="182"/>
        <v>0</v>
      </c>
      <c r="W2947">
        <f t="shared" si="183"/>
        <v>0</v>
      </c>
    </row>
    <row r="2948" spans="5:23" x14ac:dyDescent="0.25">
      <c r="E2948" s="4"/>
      <c r="F2948" s="4"/>
      <c r="G2948" s="33" t="str">
        <f>IFERROR(VLOOKUP($D2948,'Informations sur les produits'!$A$3:$H$10000,8,FALSE),"0")</f>
        <v>0</v>
      </c>
      <c r="K2948" s="4"/>
      <c r="L2948" s="33" t="str">
        <f>IFERROR(VLOOKUP($J2948,'Informations sur les produits'!$A$3:$H$10000,8,FALSE),"0")</f>
        <v>0</v>
      </c>
      <c r="N2948" s="8"/>
      <c r="O2948" s="33" t="str">
        <f>IFERROR(VLOOKUP($M2948,'Informations sur les produits'!$A$3:$H$10000,8,FALSE),"0")</f>
        <v>0</v>
      </c>
      <c r="P2948" s="33">
        <f t="shared" ref="P2948:P3011" si="184">IFERROR((($E2948-$F2948)*$G2948+$K2948*$L2948+$N2948*$O2948),"")</f>
        <v>0</v>
      </c>
      <c r="Q2948" s="31" t="str">
        <f t="shared" ref="Q2948:Q3011" si="185">IFERROR((((($E2948-$F2948)*$G2948+$K2948*$L2948+$N2948*$O2948)*1000)/(($E2948-$F2948)+$K2948+$N2948)),"")</f>
        <v/>
      </c>
      <c r="R2948" s="32" t="str">
        <f>IFERROR(VLOOKUP($D2948,'Informations sur les produits'!$A$3:$B$15000,2,FALSE),"")</f>
        <v/>
      </c>
      <c r="V2948">
        <f t="shared" ref="V2948:V3011" si="186">IFERROR(P2948*1000,"")</f>
        <v>0</v>
      </c>
      <c r="W2948">
        <f t="shared" ref="W2948:W3011" si="187">IFERROR(($E2948-$F2948)+$K2948+$N2948,"")</f>
        <v>0</v>
      </c>
    </row>
    <row r="2949" spans="5:23" x14ac:dyDescent="0.25">
      <c r="E2949" s="4"/>
      <c r="F2949" s="4"/>
      <c r="G2949" s="33" t="str">
        <f>IFERROR(VLOOKUP($D2949,'Informations sur les produits'!$A$3:$H$10000,8,FALSE),"0")</f>
        <v>0</v>
      </c>
      <c r="K2949" s="4"/>
      <c r="L2949" s="33" t="str">
        <f>IFERROR(VLOOKUP($J2949,'Informations sur les produits'!$A$3:$H$10000,8,FALSE),"0")</f>
        <v>0</v>
      </c>
      <c r="N2949" s="8"/>
      <c r="O2949" s="33" t="str">
        <f>IFERROR(VLOOKUP($M2949,'Informations sur les produits'!$A$3:$H$10000,8,FALSE),"0")</f>
        <v>0</v>
      </c>
      <c r="P2949" s="33">
        <f t="shared" si="184"/>
        <v>0</v>
      </c>
      <c r="Q2949" s="31" t="str">
        <f t="shared" si="185"/>
        <v/>
      </c>
      <c r="R2949" s="32" t="str">
        <f>IFERROR(VLOOKUP($D2949,'Informations sur les produits'!$A$3:$B$15000,2,FALSE),"")</f>
        <v/>
      </c>
      <c r="V2949">
        <f t="shared" si="186"/>
        <v>0</v>
      </c>
      <c r="W2949">
        <f t="shared" si="187"/>
        <v>0</v>
      </c>
    </row>
    <row r="2950" spans="5:23" x14ac:dyDescent="0.25">
      <c r="E2950" s="4"/>
      <c r="F2950" s="4"/>
      <c r="G2950" s="33" t="str">
        <f>IFERROR(VLOOKUP($D2950,'Informations sur les produits'!$A$3:$H$10000,8,FALSE),"0")</f>
        <v>0</v>
      </c>
      <c r="K2950" s="4"/>
      <c r="L2950" s="33" t="str">
        <f>IFERROR(VLOOKUP($J2950,'Informations sur les produits'!$A$3:$H$10000,8,FALSE),"0")</f>
        <v>0</v>
      </c>
      <c r="N2950" s="8"/>
      <c r="O2950" s="33" t="str">
        <f>IFERROR(VLOOKUP($M2950,'Informations sur les produits'!$A$3:$H$10000,8,FALSE),"0")</f>
        <v>0</v>
      </c>
      <c r="P2950" s="33">
        <f t="shared" si="184"/>
        <v>0</v>
      </c>
      <c r="Q2950" s="31" t="str">
        <f t="shared" si="185"/>
        <v/>
      </c>
      <c r="R2950" s="32" t="str">
        <f>IFERROR(VLOOKUP($D2950,'Informations sur les produits'!$A$3:$B$15000,2,FALSE),"")</f>
        <v/>
      </c>
      <c r="V2950">
        <f t="shared" si="186"/>
        <v>0</v>
      </c>
      <c r="W2950">
        <f t="shared" si="187"/>
        <v>0</v>
      </c>
    </row>
    <row r="2951" spans="5:23" x14ac:dyDescent="0.25">
      <c r="E2951" s="4"/>
      <c r="F2951" s="4"/>
      <c r="G2951" s="33" t="str">
        <f>IFERROR(VLOOKUP($D2951,'Informations sur les produits'!$A$3:$H$10000,8,FALSE),"0")</f>
        <v>0</v>
      </c>
      <c r="K2951" s="4"/>
      <c r="L2951" s="33" t="str">
        <f>IFERROR(VLOOKUP($J2951,'Informations sur les produits'!$A$3:$H$10000,8,FALSE),"0")</f>
        <v>0</v>
      </c>
      <c r="N2951" s="8"/>
      <c r="O2951" s="33" t="str">
        <f>IFERROR(VLOOKUP($M2951,'Informations sur les produits'!$A$3:$H$10000,8,FALSE),"0")</f>
        <v>0</v>
      </c>
      <c r="P2951" s="33">
        <f t="shared" si="184"/>
        <v>0</v>
      </c>
      <c r="Q2951" s="31" t="str">
        <f t="shared" si="185"/>
        <v/>
      </c>
      <c r="R2951" s="32" t="str">
        <f>IFERROR(VLOOKUP($D2951,'Informations sur les produits'!$A$3:$B$15000,2,FALSE),"")</f>
        <v/>
      </c>
      <c r="V2951">
        <f t="shared" si="186"/>
        <v>0</v>
      </c>
      <c r="W2951">
        <f t="shared" si="187"/>
        <v>0</v>
      </c>
    </row>
    <row r="2952" spans="5:23" x14ac:dyDescent="0.25">
      <c r="E2952" s="4"/>
      <c r="F2952" s="4"/>
      <c r="G2952" s="33" t="str">
        <f>IFERROR(VLOOKUP($D2952,'Informations sur les produits'!$A$3:$H$10000,8,FALSE),"0")</f>
        <v>0</v>
      </c>
      <c r="K2952" s="4"/>
      <c r="L2952" s="33" t="str">
        <f>IFERROR(VLOOKUP($J2952,'Informations sur les produits'!$A$3:$H$10000,8,FALSE),"0")</f>
        <v>0</v>
      </c>
      <c r="N2952" s="8"/>
      <c r="O2952" s="33" t="str">
        <f>IFERROR(VLOOKUP($M2952,'Informations sur les produits'!$A$3:$H$10000,8,FALSE),"0")</f>
        <v>0</v>
      </c>
      <c r="P2952" s="33">
        <f t="shared" si="184"/>
        <v>0</v>
      </c>
      <c r="Q2952" s="31" t="str">
        <f t="shared" si="185"/>
        <v/>
      </c>
      <c r="R2952" s="32" t="str">
        <f>IFERROR(VLOOKUP($D2952,'Informations sur les produits'!$A$3:$B$15000,2,FALSE),"")</f>
        <v/>
      </c>
      <c r="V2952">
        <f t="shared" si="186"/>
        <v>0</v>
      </c>
      <c r="W2952">
        <f t="shared" si="187"/>
        <v>0</v>
      </c>
    </row>
    <row r="2953" spans="5:23" x14ac:dyDescent="0.25">
      <c r="E2953" s="4"/>
      <c r="F2953" s="4"/>
      <c r="G2953" s="33" t="str">
        <f>IFERROR(VLOOKUP($D2953,'Informations sur les produits'!$A$3:$H$10000,8,FALSE),"0")</f>
        <v>0</v>
      </c>
      <c r="K2953" s="4"/>
      <c r="L2953" s="33" t="str">
        <f>IFERROR(VLOOKUP($J2953,'Informations sur les produits'!$A$3:$H$10000,8,FALSE),"0")</f>
        <v>0</v>
      </c>
      <c r="N2953" s="8"/>
      <c r="O2953" s="33" t="str">
        <f>IFERROR(VLOOKUP($M2953,'Informations sur les produits'!$A$3:$H$10000,8,FALSE),"0")</f>
        <v>0</v>
      </c>
      <c r="P2953" s="33">
        <f t="shared" si="184"/>
        <v>0</v>
      </c>
      <c r="Q2953" s="31" t="str">
        <f t="shared" si="185"/>
        <v/>
      </c>
      <c r="R2953" s="32" t="str">
        <f>IFERROR(VLOOKUP($D2953,'Informations sur les produits'!$A$3:$B$15000,2,FALSE),"")</f>
        <v/>
      </c>
      <c r="V2953">
        <f t="shared" si="186"/>
        <v>0</v>
      </c>
      <c r="W2953">
        <f t="shared" si="187"/>
        <v>0</v>
      </c>
    </row>
    <row r="2954" spans="5:23" x14ac:dyDescent="0.25">
      <c r="E2954" s="4"/>
      <c r="F2954" s="4"/>
      <c r="G2954" s="33" t="str">
        <f>IFERROR(VLOOKUP($D2954,'Informations sur les produits'!$A$3:$H$10000,8,FALSE),"0")</f>
        <v>0</v>
      </c>
      <c r="K2954" s="4"/>
      <c r="L2954" s="33" t="str">
        <f>IFERROR(VLOOKUP($J2954,'Informations sur les produits'!$A$3:$H$10000,8,FALSE),"0")</f>
        <v>0</v>
      </c>
      <c r="N2954" s="8"/>
      <c r="O2954" s="33" t="str">
        <f>IFERROR(VLOOKUP($M2954,'Informations sur les produits'!$A$3:$H$10000,8,FALSE),"0")</f>
        <v>0</v>
      </c>
      <c r="P2954" s="33">
        <f t="shared" si="184"/>
        <v>0</v>
      </c>
      <c r="Q2954" s="31" t="str">
        <f t="shared" si="185"/>
        <v/>
      </c>
      <c r="R2954" s="32" t="str">
        <f>IFERROR(VLOOKUP($D2954,'Informations sur les produits'!$A$3:$B$15000,2,FALSE),"")</f>
        <v/>
      </c>
      <c r="V2954">
        <f t="shared" si="186"/>
        <v>0</v>
      </c>
      <c r="W2954">
        <f t="shared" si="187"/>
        <v>0</v>
      </c>
    </row>
    <row r="2955" spans="5:23" x14ac:dyDescent="0.25">
      <c r="E2955" s="4"/>
      <c r="F2955" s="4"/>
      <c r="G2955" s="33" t="str">
        <f>IFERROR(VLOOKUP($D2955,'Informations sur les produits'!$A$3:$H$10000,8,FALSE),"0")</f>
        <v>0</v>
      </c>
      <c r="K2955" s="4"/>
      <c r="L2955" s="33" t="str">
        <f>IFERROR(VLOOKUP($J2955,'Informations sur les produits'!$A$3:$H$10000,8,FALSE),"0")</f>
        <v>0</v>
      </c>
      <c r="N2955" s="8"/>
      <c r="O2955" s="33" t="str">
        <f>IFERROR(VLOOKUP($M2955,'Informations sur les produits'!$A$3:$H$10000,8,FALSE),"0")</f>
        <v>0</v>
      </c>
      <c r="P2955" s="33">
        <f t="shared" si="184"/>
        <v>0</v>
      </c>
      <c r="Q2955" s="31" t="str">
        <f t="shared" si="185"/>
        <v/>
      </c>
      <c r="R2955" s="32" t="str">
        <f>IFERROR(VLOOKUP($D2955,'Informations sur les produits'!$A$3:$B$15000,2,FALSE),"")</f>
        <v/>
      </c>
      <c r="V2955">
        <f t="shared" si="186"/>
        <v>0</v>
      </c>
      <c r="W2955">
        <f t="shared" si="187"/>
        <v>0</v>
      </c>
    </row>
    <row r="2956" spans="5:23" x14ac:dyDescent="0.25">
      <c r="E2956" s="4"/>
      <c r="F2956" s="4"/>
      <c r="G2956" s="33" t="str">
        <f>IFERROR(VLOOKUP($D2956,'Informations sur les produits'!$A$3:$H$10000,8,FALSE),"0")</f>
        <v>0</v>
      </c>
      <c r="K2956" s="4"/>
      <c r="L2956" s="33" t="str">
        <f>IFERROR(VLOOKUP($J2956,'Informations sur les produits'!$A$3:$H$10000,8,FALSE),"0")</f>
        <v>0</v>
      </c>
      <c r="N2956" s="8"/>
      <c r="O2956" s="33" t="str">
        <f>IFERROR(VLOOKUP($M2956,'Informations sur les produits'!$A$3:$H$10000,8,FALSE),"0")</f>
        <v>0</v>
      </c>
      <c r="P2956" s="33">
        <f t="shared" si="184"/>
        <v>0</v>
      </c>
      <c r="Q2956" s="31" t="str">
        <f t="shared" si="185"/>
        <v/>
      </c>
      <c r="R2956" s="32" t="str">
        <f>IFERROR(VLOOKUP($D2956,'Informations sur les produits'!$A$3:$B$15000,2,FALSE),"")</f>
        <v/>
      </c>
      <c r="V2956">
        <f t="shared" si="186"/>
        <v>0</v>
      </c>
      <c r="W2956">
        <f t="shared" si="187"/>
        <v>0</v>
      </c>
    </row>
    <row r="2957" spans="5:23" x14ac:dyDescent="0.25">
      <c r="E2957" s="4"/>
      <c r="F2957" s="4"/>
      <c r="G2957" s="33" t="str">
        <f>IFERROR(VLOOKUP($D2957,'Informations sur les produits'!$A$3:$H$10000,8,FALSE),"0")</f>
        <v>0</v>
      </c>
      <c r="K2957" s="4"/>
      <c r="L2957" s="33" t="str">
        <f>IFERROR(VLOOKUP($J2957,'Informations sur les produits'!$A$3:$H$10000,8,FALSE),"0")</f>
        <v>0</v>
      </c>
      <c r="N2957" s="8"/>
      <c r="O2957" s="33" t="str">
        <f>IFERROR(VLOOKUP($M2957,'Informations sur les produits'!$A$3:$H$10000,8,FALSE),"0")</f>
        <v>0</v>
      </c>
      <c r="P2957" s="33">
        <f t="shared" si="184"/>
        <v>0</v>
      </c>
      <c r="Q2957" s="31" t="str">
        <f t="shared" si="185"/>
        <v/>
      </c>
      <c r="R2957" s="32" t="str">
        <f>IFERROR(VLOOKUP($D2957,'Informations sur les produits'!$A$3:$B$15000,2,FALSE),"")</f>
        <v/>
      </c>
      <c r="V2957">
        <f t="shared" si="186"/>
        <v>0</v>
      </c>
      <c r="W2957">
        <f t="shared" si="187"/>
        <v>0</v>
      </c>
    </row>
    <row r="2958" spans="5:23" x14ac:dyDescent="0.25">
      <c r="E2958" s="4"/>
      <c r="F2958" s="4"/>
      <c r="G2958" s="33" t="str">
        <f>IFERROR(VLOOKUP($D2958,'Informations sur les produits'!$A$3:$H$10000,8,FALSE),"0")</f>
        <v>0</v>
      </c>
      <c r="K2958" s="4"/>
      <c r="L2958" s="33" t="str">
        <f>IFERROR(VLOOKUP($J2958,'Informations sur les produits'!$A$3:$H$10000,8,FALSE),"0")</f>
        <v>0</v>
      </c>
      <c r="N2958" s="8"/>
      <c r="O2958" s="33" t="str">
        <f>IFERROR(VLOOKUP($M2958,'Informations sur les produits'!$A$3:$H$10000,8,FALSE),"0")</f>
        <v>0</v>
      </c>
      <c r="P2958" s="33">
        <f t="shared" si="184"/>
        <v>0</v>
      </c>
      <c r="Q2958" s="31" t="str">
        <f t="shared" si="185"/>
        <v/>
      </c>
      <c r="R2958" s="32" t="str">
        <f>IFERROR(VLOOKUP($D2958,'Informations sur les produits'!$A$3:$B$15000,2,FALSE),"")</f>
        <v/>
      </c>
      <c r="V2958">
        <f t="shared" si="186"/>
        <v>0</v>
      </c>
      <c r="W2958">
        <f t="shared" si="187"/>
        <v>0</v>
      </c>
    </row>
    <row r="2959" spans="5:23" x14ac:dyDescent="0.25">
      <c r="E2959" s="4"/>
      <c r="F2959" s="4"/>
      <c r="G2959" s="33" t="str">
        <f>IFERROR(VLOOKUP($D2959,'Informations sur les produits'!$A$3:$H$10000,8,FALSE),"0")</f>
        <v>0</v>
      </c>
      <c r="K2959" s="4"/>
      <c r="L2959" s="33" t="str">
        <f>IFERROR(VLOOKUP($J2959,'Informations sur les produits'!$A$3:$H$10000,8,FALSE),"0")</f>
        <v>0</v>
      </c>
      <c r="N2959" s="8"/>
      <c r="O2959" s="33" t="str">
        <f>IFERROR(VLOOKUP($M2959,'Informations sur les produits'!$A$3:$H$10000,8,FALSE),"0")</f>
        <v>0</v>
      </c>
      <c r="P2959" s="33">
        <f t="shared" si="184"/>
        <v>0</v>
      </c>
      <c r="Q2959" s="31" t="str">
        <f t="shared" si="185"/>
        <v/>
      </c>
      <c r="R2959" s="32" t="str">
        <f>IFERROR(VLOOKUP($D2959,'Informations sur les produits'!$A$3:$B$15000,2,FALSE),"")</f>
        <v/>
      </c>
      <c r="V2959">
        <f t="shared" si="186"/>
        <v>0</v>
      </c>
      <c r="W2959">
        <f t="shared" si="187"/>
        <v>0</v>
      </c>
    </row>
    <row r="2960" spans="5:23" x14ac:dyDescent="0.25">
      <c r="E2960" s="4"/>
      <c r="F2960" s="4"/>
      <c r="G2960" s="33" t="str">
        <f>IFERROR(VLOOKUP($D2960,'Informations sur les produits'!$A$3:$H$10000,8,FALSE),"0")</f>
        <v>0</v>
      </c>
      <c r="K2960" s="4"/>
      <c r="L2960" s="33" t="str">
        <f>IFERROR(VLOOKUP($J2960,'Informations sur les produits'!$A$3:$H$10000,8,FALSE),"0")</f>
        <v>0</v>
      </c>
      <c r="N2960" s="8"/>
      <c r="O2960" s="33" t="str">
        <f>IFERROR(VLOOKUP($M2960,'Informations sur les produits'!$A$3:$H$10000,8,FALSE),"0")</f>
        <v>0</v>
      </c>
      <c r="P2960" s="33">
        <f t="shared" si="184"/>
        <v>0</v>
      </c>
      <c r="Q2960" s="31" t="str">
        <f t="shared" si="185"/>
        <v/>
      </c>
      <c r="R2960" s="32" t="str">
        <f>IFERROR(VLOOKUP($D2960,'Informations sur les produits'!$A$3:$B$15000,2,FALSE),"")</f>
        <v/>
      </c>
      <c r="V2960">
        <f t="shared" si="186"/>
        <v>0</v>
      </c>
      <c r="W2960">
        <f t="shared" si="187"/>
        <v>0</v>
      </c>
    </row>
    <row r="2961" spans="5:23" x14ac:dyDescent="0.25">
      <c r="E2961" s="4"/>
      <c r="F2961" s="4"/>
      <c r="G2961" s="33" t="str">
        <f>IFERROR(VLOOKUP($D2961,'Informations sur les produits'!$A$3:$H$10000,8,FALSE),"0")</f>
        <v>0</v>
      </c>
      <c r="K2961" s="4"/>
      <c r="L2961" s="33" t="str">
        <f>IFERROR(VLOOKUP($J2961,'Informations sur les produits'!$A$3:$H$10000,8,FALSE),"0")</f>
        <v>0</v>
      </c>
      <c r="N2961" s="8"/>
      <c r="O2961" s="33" t="str">
        <f>IFERROR(VLOOKUP($M2961,'Informations sur les produits'!$A$3:$H$10000,8,FALSE),"0")</f>
        <v>0</v>
      </c>
      <c r="P2961" s="33">
        <f t="shared" si="184"/>
        <v>0</v>
      </c>
      <c r="Q2961" s="31" t="str">
        <f t="shared" si="185"/>
        <v/>
      </c>
      <c r="R2961" s="32" t="str">
        <f>IFERROR(VLOOKUP($D2961,'Informations sur les produits'!$A$3:$B$15000,2,FALSE),"")</f>
        <v/>
      </c>
      <c r="V2961">
        <f t="shared" si="186"/>
        <v>0</v>
      </c>
      <c r="W2961">
        <f t="shared" si="187"/>
        <v>0</v>
      </c>
    </row>
    <row r="2962" spans="5:23" x14ac:dyDescent="0.25">
      <c r="E2962" s="4"/>
      <c r="F2962" s="4"/>
      <c r="G2962" s="33" t="str">
        <f>IFERROR(VLOOKUP($D2962,'Informations sur les produits'!$A$3:$H$10000,8,FALSE),"0")</f>
        <v>0</v>
      </c>
      <c r="K2962" s="4"/>
      <c r="L2962" s="33" t="str">
        <f>IFERROR(VLOOKUP($J2962,'Informations sur les produits'!$A$3:$H$10000,8,FALSE),"0")</f>
        <v>0</v>
      </c>
      <c r="N2962" s="8"/>
      <c r="O2962" s="33" t="str">
        <f>IFERROR(VLOOKUP($M2962,'Informations sur les produits'!$A$3:$H$10000,8,FALSE),"0")</f>
        <v>0</v>
      </c>
      <c r="P2962" s="33">
        <f t="shared" si="184"/>
        <v>0</v>
      </c>
      <c r="Q2962" s="31" t="str">
        <f t="shared" si="185"/>
        <v/>
      </c>
      <c r="R2962" s="32" t="str">
        <f>IFERROR(VLOOKUP($D2962,'Informations sur les produits'!$A$3:$B$15000,2,FALSE),"")</f>
        <v/>
      </c>
      <c r="V2962">
        <f t="shared" si="186"/>
        <v>0</v>
      </c>
      <c r="W2962">
        <f t="shared" si="187"/>
        <v>0</v>
      </c>
    </row>
    <row r="2963" spans="5:23" x14ac:dyDescent="0.25">
      <c r="E2963" s="4"/>
      <c r="F2963" s="4"/>
      <c r="G2963" s="33" t="str">
        <f>IFERROR(VLOOKUP($D2963,'Informations sur les produits'!$A$3:$H$10000,8,FALSE),"0")</f>
        <v>0</v>
      </c>
      <c r="K2963" s="4"/>
      <c r="L2963" s="33" t="str">
        <f>IFERROR(VLOOKUP($J2963,'Informations sur les produits'!$A$3:$H$10000,8,FALSE),"0")</f>
        <v>0</v>
      </c>
      <c r="N2963" s="8"/>
      <c r="O2963" s="33" t="str">
        <f>IFERROR(VLOOKUP($M2963,'Informations sur les produits'!$A$3:$H$10000,8,FALSE),"0")</f>
        <v>0</v>
      </c>
      <c r="P2963" s="33">
        <f t="shared" si="184"/>
        <v>0</v>
      </c>
      <c r="Q2963" s="31" t="str">
        <f t="shared" si="185"/>
        <v/>
      </c>
      <c r="R2963" s="32" t="str">
        <f>IFERROR(VLOOKUP($D2963,'Informations sur les produits'!$A$3:$B$15000,2,FALSE),"")</f>
        <v/>
      </c>
      <c r="V2963">
        <f t="shared" si="186"/>
        <v>0</v>
      </c>
      <c r="W2963">
        <f t="shared" si="187"/>
        <v>0</v>
      </c>
    </row>
    <row r="2964" spans="5:23" x14ac:dyDescent="0.25">
      <c r="E2964" s="4"/>
      <c r="F2964" s="4"/>
      <c r="G2964" s="33" t="str">
        <f>IFERROR(VLOOKUP($D2964,'Informations sur les produits'!$A$3:$H$10000,8,FALSE),"0")</f>
        <v>0</v>
      </c>
      <c r="K2964" s="4"/>
      <c r="L2964" s="33" t="str">
        <f>IFERROR(VLOOKUP($J2964,'Informations sur les produits'!$A$3:$H$10000,8,FALSE),"0")</f>
        <v>0</v>
      </c>
      <c r="N2964" s="8"/>
      <c r="O2964" s="33" t="str">
        <f>IFERROR(VLOOKUP($M2964,'Informations sur les produits'!$A$3:$H$10000,8,FALSE),"0")</f>
        <v>0</v>
      </c>
      <c r="P2964" s="33">
        <f t="shared" si="184"/>
        <v>0</v>
      </c>
      <c r="Q2964" s="31" t="str">
        <f t="shared" si="185"/>
        <v/>
      </c>
      <c r="R2964" s="32" t="str">
        <f>IFERROR(VLOOKUP($D2964,'Informations sur les produits'!$A$3:$B$15000,2,FALSE),"")</f>
        <v/>
      </c>
      <c r="V2964">
        <f t="shared" si="186"/>
        <v>0</v>
      </c>
      <c r="W2964">
        <f t="shared" si="187"/>
        <v>0</v>
      </c>
    </row>
    <row r="2965" spans="5:23" x14ac:dyDescent="0.25">
      <c r="E2965" s="4"/>
      <c r="F2965" s="4"/>
      <c r="G2965" s="33" t="str">
        <f>IFERROR(VLOOKUP($D2965,'Informations sur les produits'!$A$3:$H$10000,8,FALSE),"0")</f>
        <v>0</v>
      </c>
      <c r="K2965" s="4"/>
      <c r="L2965" s="33" t="str">
        <f>IFERROR(VLOOKUP($J2965,'Informations sur les produits'!$A$3:$H$10000,8,FALSE),"0")</f>
        <v>0</v>
      </c>
      <c r="N2965" s="8"/>
      <c r="O2965" s="33" t="str">
        <f>IFERROR(VLOOKUP($M2965,'Informations sur les produits'!$A$3:$H$10000,8,FALSE),"0")</f>
        <v>0</v>
      </c>
      <c r="P2965" s="33">
        <f t="shared" si="184"/>
        <v>0</v>
      </c>
      <c r="Q2965" s="31" t="str">
        <f t="shared" si="185"/>
        <v/>
      </c>
      <c r="R2965" s="32" t="str">
        <f>IFERROR(VLOOKUP($D2965,'Informations sur les produits'!$A$3:$B$15000,2,FALSE),"")</f>
        <v/>
      </c>
      <c r="V2965">
        <f t="shared" si="186"/>
        <v>0</v>
      </c>
      <c r="W2965">
        <f t="shared" si="187"/>
        <v>0</v>
      </c>
    </row>
    <row r="2966" spans="5:23" x14ac:dyDescent="0.25">
      <c r="E2966" s="4"/>
      <c r="F2966" s="4"/>
      <c r="G2966" s="33" t="str">
        <f>IFERROR(VLOOKUP($D2966,'Informations sur les produits'!$A$3:$H$10000,8,FALSE),"0")</f>
        <v>0</v>
      </c>
      <c r="K2966" s="4"/>
      <c r="L2966" s="33" t="str">
        <f>IFERROR(VLOOKUP($J2966,'Informations sur les produits'!$A$3:$H$10000,8,FALSE),"0")</f>
        <v>0</v>
      </c>
      <c r="N2966" s="8"/>
      <c r="O2966" s="33" t="str">
        <f>IFERROR(VLOOKUP($M2966,'Informations sur les produits'!$A$3:$H$10000,8,FALSE),"0")</f>
        <v>0</v>
      </c>
      <c r="P2966" s="33">
        <f t="shared" si="184"/>
        <v>0</v>
      </c>
      <c r="Q2966" s="31" t="str">
        <f t="shared" si="185"/>
        <v/>
      </c>
      <c r="R2966" s="32" t="str">
        <f>IFERROR(VLOOKUP($D2966,'Informations sur les produits'!$A$3:$B$15000,2,FALSE),"")</f>
        <v/>
      </c>
      <c r="V2966">
        <f t="shared" si="186"/>
        <v>0</v>
      </c>
      <c r="W2966">
        <f t="shared" si="187"/>
        <v>0</v>
      </c>
    </row>
    <row r="2967" spans="5:23" x14ac:dyDescent="0.25">
      <c r="E2967" s="4"/>
      <c r="F2967" s="4"/>
      <c r="G2967" s="33" t="str">
        <f>IFERROR(VLOOKUP($D2967,'Informations sur les produits'!$A$3:$H$10000,8,FALSE),"0")</f>
        <v>0</v>
      </c>
      <c r="K2967" s="4"/>
      <c r="L2967" s="33" t="str">
        <f>IFERROR(VLOOKUP($J2967,'Informations sur les produits'!$A$3:$H$10000,8,FALSE),"0")</f>
        <v>0</v>
      </c>
      <c r="N2967" s="8"/>
      <c r="O2967" s="33" t="str">
        <f>IFERROR(VLOOKUP($M2967,'Informations sur les produits'!$A$3:$H$10000,8,FALSE),"0")</f>
        <v>0</v>
      </c>
      <c r="P2967" s="33">
        <f t="shared" si="184"/>
        <v>0</v>
      </c>
      <c r="Q2967" s="31" t="str">
        <f t="shared" si="185"/>
        <v/>
      </c>
      <c r="R2967" s="32" t="str">
        <f>IFERROR(VLOOKUP($D2967,'Informations sur les produits'!$A$3:$B$15000,2,FALSE),"")</f>
        <v/>
      </c>
      <c r="V2967">
        <f t="shared" si="186"/>
        <v>0</v>
      </c>
      <c r="W2967">
        <f t="shared" si="187"/>
        <v>0</v>
      </c>
    </row>
    <row r="2968" spans="5:23" x14ac:dyDescent="0.25">
      <c r="E2968" s="4"/>
      <c r="F2968" s="4"/>
      <c r="G2968" s="33" t="str">
        <f>IFERROR(VLOOKUP($D2968,'Informations sur les produits'!$A$3:$H$10000,8,FALSE),"0")</f>
        <v>0</v>
      </c>
      <c r="K2968" s="4"/>
      <c r="L2968" s="33" t="str">
        <f>IFERROR(VLOOKUP($J2968,'Informations sur les produits'!$A$3:$H$10000,8,FALSE),"0")</f>
        <v>0</v>
      </c>
      <c r="N2968" s="8"/>
      <c r="O2968" s="33" t="str">
        <f>IFERROR(VLOOKUP($M2968,'Informations sur les produits'!$A$3:$H$10000,8,FALSE),"0")</f>
        <v>0</v>
      </c>
      <c r="P2968" s="33">
        <f t="shared" si="184"/>
        <v>0</v>
      </c>
      <c r="Q2968" s="31" t="str">
        <f t="shared" si="185"/>
        <v/>
      </c>
      <c r="R2968" s="32" t="str">
        <f>IFERROR(VLOOKUP($D2968,'Informations sur les produits'!$A$3:$B$15000,2,FALSE),"")</f>
        <v/>
      </c>
      <c r="V2968">
        <f t="shared" si="186"/>
        <v>0</v>
      </c>
      <c r="W2968">
        <f t="shared" si="187"/>
        <v>0</v>
      </c>
    </row>
    <row r="2969" spans="5:23" x14ac:dyDescent="0.25">
      <c r="E2969" s="4"/>
      <c r="F2969" s="4"/>
      <c r="G2969" s="33" t="str">
        <f>IFERROR(VLOOKUP($D2969,'Informations sur les produits'!$A$3:$H$10000,8,FALSE),"0")</f>
        <v>0</v>
      </c>
      <c r="K2969" s="4"/>
      <c r="L2969" s="33" t="str">
        <f>IFERROR(VLOOKUP($J2969,'Informations sur les produits'!$A$3:$H$10000,8,FALSE),"0")</f>
        <v>0</v>
      </c>
      <c r="N2969" s="8"/>
      <c r="O2969" s="33" t="str">
        <f>IFERROR(VLOOKUP($M2969,'Informations sur les produits'!$A$3:$H$10000,8,FALSE),"0")</f>
        <v>0</v>
      </c>
      <c r="P2969" s="33">
        <f t="shared" si="184"/>
        <v>0</v>
      </c>
      <c r="Q2969" s="31" t="str">
        <f t="shared" si="185"/>
        <v/>
      </c>
      <c r="R2969" s="32" t="str">
        <f>IFERROR(VLOOKUP($D2969,'Informations sur les produits'!$A$3:$B$15000,2,FALSE),"")</f>
        <v/>
      </c>
      <c r="V2969">
        <f t="shared" si="186"/>
        <v>0</v>
      </c>
      <c r="W2969">
        <f t="shared" si="187"/>
        <v>0</v>
      </c>
    </row>
    <row r="2970" spans="5:23" x14ac:dyDescent="0.25">
      <c r="E2970" s="4"/>
      <c r="F2970" s="4"/>
      <c r="G2970" s="33" t="str">
        <f>IFERROR(VLOOKUP($D2970,'Informations sur les produits'!$A$3:$H$10000,8,FALSE),"0")</f>
        <v>0</v>
      </c>
      <c r="K2970" s="4"/>
      <c r="L2970" s="33" t="str">
        <f>IFERROR(VLOOKUP($J2970,'Informations sur les produits'!$A$3:$H$10000,8,FALSE),"0")</f>
        <v>0</v>
      </c>
      <c r="N2970" s="8"/>
      <c r="O2970" s="33" t="str">
        <f>IFERROR(VLOOKUP($M2970,'Informations sur les produits'!$A$3:$H$10000,8,FALSE),"0")</f>
        <v>0</v>
      </c>
      <c r="P2970" s="33">
        <f t="shared" si="184"/>
        <v>0</v>
      </c>
      <c r="Q2970" s="31" t="str">
        <f t="shared" si="185"/>
        <v/>
      </c>
      <c r="R2970" s="32" t="str">
        <f>IFERROR(VLOOKUP($D2970,'Informations sur les produits'!$A$3:$B$15000,2,FALSE),"")</f>
        <v/>
      </c>
      <c r="V2970">
        <f t="shared" si="186"/>
        <v>0</v>
      </c>
      <c r="W2970">
        <f t="shared" si="187"/>
        <v>0</v>
      </c>
    </row>
    <row r="2971" spans="5:23" x14ac:dyDescent="0.25">
      <c r="E2971" s="4"/>
      <c r="F2971" s="4"/>
      <c r="G2971" s="33" t="str">
        <f>IFERROR(VLOOKUP($D2971,'Informations sur les produits'!$A$3:$H$10000,8,FALSE),"0")</f>
        <v>0</v>
      </c>
      <c r="K2971" s="4"/>
      <c r="L2971" s="33" t="str">
        <f>IFERROR(VLOOKUP($J2971,'Informations sur les produits'!$A$3:$H$10000,8,FALSE),"0")</f>
        <v>0</v>
      </c>
      <c r="N2971" s="8"/>
      <c r="O2971" s="33" t="str">
        <f>IFERROR(VLOOKUP($M2971,'Informations sur les produits'!$A$3:$H$10000,8,FALSE),"0")</f>
        <v>0</v>
      </c>
      <c r="P2971" s="33">
        <f t="shared" si="184"/>
        <v>0</v>
      </c>
      <c r="Q2971" s="31" t="str">
        <f t="shared" si="185"/>
        <v/>
      </c>
      <c r="R2971" s="32" t="str">
        <f>IFERROR(VLOOKUP($D2971,'Informations sur les produits'!$A$3:$B$15000,2,FALSE),"")</f>
        <v/>
      </c>
      <c r="V2971">
        <f t="shared" si="186"/>
        <v>0</v>
      </c>
      <c r="W2971">
        <f t="shared" si="187"/>
        <v>0</v>
      </c>
    </row>
    <row r="2972" spans="5:23" x14ac:dyDescent="0.25">
      <c r="E2972" s="4"/>
      <c r="F2972" s="4"/>
      <c r="G2972" s="33" t="str">
        <f>IFERROR(VLOOKUP($D2972,'Informations sur les produits'!$A$3:$H$10000,8,FALSE),"0")</f>
        <v>0</v>
      </c>
      <c r="K2972" s="4"/>
      <c r="L2972" s="33" t="str">
        <f>IFERROR(VLOOKUP($J2972,'Informations sur les produits'!$A$3:$H$10000,8,FALSE),"0")</f>
        <v>0</v>
      </c>
      <c r="N2972" s="8"/>
      <c r="O2972" s="33" t="str">
        <f>IFERROR(VLOOKUP($M2972,'Informations sur les produits'!$A$3:$H$10000,8,FALSE),"0")</f>
        <v>0</v>
      </c>
      <c r="P2972" s="33">
        <f t="shared" si="184"/>
        <v>0</v>
      </c>
      <c r="Q2972" s="31" t="str">
        <f t="shared" si="185"/>
        <v/>
      </c>
      <c r="R2972" s="32" t="str">
        <f>IFERROR(VLOOKUP($D2972,'Informations sur les produits'!$A$3:$B$15000,2,FALSE),"")</f>
        <v/>
      </c>
      <c r="V2972">
        <f t="shared" si="186"/>
        <v>0</v>
      </c>
      <c r="W2972">
        <f t="shared" si="187"/>
        <v>0</v>
      </c>
    </row>
    <row r="2973" spans="5:23" x14ac:dyDescent="0.25">
      <c r="E2973" s="4"/>
      <c r="F2973" s="4"/>
      <c r="G2973" s="33" t="str">
        <f>IFERROR(VLOOKUP($D2973,'Informations sur les produits'!$A$3:$H$10000,8,FALSE),"0")</f>
        <v>0</v>
      </c>
      <c r="K2973" s="4"/>
      <c r="L2973" s="33" t="str">
        <f>IFERROR(VLOOKUP($J2973,'Informations sur les produits'!$A$3:$H$10000,8,FALSE),"0")</f>
        <v>0</v>
      </c>
      <c r="N2973" s="8"/>
      <c r="O2973" s="33" t="str">
        <f>IFERROR(VLOOKUP($M2973,'Informations sur les produits'!$A$3:$H$10000,8,FALSE),"0")</f>
        <v>0</v>
      </c>
      <c r="P2973" s="33">
        <f t="shared" si="184"/>
        <v>0</v>
      </c>
      <c r="Q2973" s="31" t="str">
        <f t="shared" si="185"/>
        <v/>
      </c>
      <c r="R2973" s="32" t="str">
        <f>IFERROR(VLOOKUP($D2973,'Informations sur les produits'!$A$3:$B$15000,2,FALSE),"")</f>
        <v/>
      </c>
      <c r="V2973">
        <f t="shared" si="186"/>
        <v>0</v>
      </c>
      <c r="W2973">
        <f t="shared" si="187"/>
        <v>0</v>
      </c>
    </row>
    <row r="2974" spans="5:23" x14ac:dyDescent="0.25">
      <c r="E2974" s="4"/>
      <c r="F2974" s="4"/>
      <c r="G2974" s="33" t="str">
        <f>IFERROR(VLOOKUP($D2974,'Informations sur les produits'!$A$3:$H$10000,8,FALSE),"0")</f>
        <v>0</v>
      </c>
      <c r="K2974" s="4"/>
      <c r="L2974" s="33" t="str">
        <f>IFERROR(VLOOKUP($J2974,'Informations sur les produits'!$A$3:$H$10000,8,FALSE),"0")</f>
        <v>0</v>
      </c>
      <c r="N2974" s="8"/>
      <c r="O2974" s="33" t="str">
        <f>IFERROR(VLOOKUP($M2974,'Informations sur les produits'!$A$3:$H$10000,8,FALSE),"0")</f>
        <v>0</v>
      </c>
      <c r="P2974" s="33">
        <f t="shared" si="184"/>
        <v>0</v>
      </c>
      <c r="Q2974" s="31" t="str">
        <f t="shared" si="185"/>
        <v/>
      </c>
      <c r="R2974" s="32" t="str">
        <f>IFERROR(VLOOKUP($D2974,'Informations sur les produits'!$A$3:$B$15000,2,FALSE),"")</f>
        <v/>
      </c>
      <c r="V2974">
        <f t="shared" si="186"/>
        <v>0</v>
      </c>
      <c r="W2974">
        <f t="shared" si="187"/>
        <v>0</v>
      </c>
    </row>
    <row r="2975" spans="5:23" x14ac:dyDescent="0.25">
      <c r="E2975" s="4"/>
      <c r="F2975" s="4"/>
      <c r="G2975" s="33" t="str">
        <f>IFERROR(VLOOKUP($D2975,'Informations sur les produits'!$A$3:$H$10000,8,FALSE),"0")</f>
        <v>0</v>
      </c>
      <c r="K2975" s="4"/>
      <c r="L2975" s="33" t="str">
        <f>IFERROR(VLOOKUP($J2975,'Informations sur les produits'!$A$3:$H$10000,8,FALSE),"0")</f>
        <v>0</v>
      </c>
      <c r="N2975" s="8"/>
      <c r="O2975" s="33" t="str">
        <f>IFERROR(VLOOKUP($M2975,'Informations sur les produits'!$A$3:$H$10000,8,FALSE),"0")</f>
        <v>0</v>
      </c>
      <c r="P2975" s="33">
        <f t="shared" si="184"/>
        <v>0</v>
      </c>
      <c r="Q2975" s="31" t="str">
        <f t="shared" si="185"/>
        <v/>
      </c>
      <c r="R2975" s="32" t="str">
        <f>IFERROR(VLOOKUP($D2975,'Informations sur les produits'!$A$3:$B$15000,2,FALSE),"")</f>
        <v/>
      </c>
      <c r="V2975">
        <f t="shared" si="186"/>
        <v>0</v>
      </c>
      <c r="W2975">
        <f t="shared" si="187"/>
        <v>0</v>
      </c>
    </row>
    <row r="2976" spans="5:23" x14ac:dyDescent="0.25">
      <c r="E2976" s="4"/>
      <c r="F2976" s="4"/>
      <c r="G2976" s="33" t="str">
        <f>IFERROR(VLOOKUP($D2976,'Informations sur les produits'!$A$3:$H$10000,8,FALSE),"0")</f>
        <v>0</v>
      </c>
      <c r="K2976" s="4"/>
      <c r="L2976" s="33" t="str">
        <f>IFERROR(VLOOKUP($J2976,'Informations sur les produits'!$A$3:$H$10000,8,FALSE),"0")</f>
        <v>0</v>
      </c>
      <c r="N2976" s="8"/>
      <c r="O2976" s="33" t="str">
        <f>IFERROR(VLOOKUP($M2976,'Informations sur les produits'!$A$3:$H$10000,8,FALSE),"0")</f>
        <v>0</v>
      </c>
      <c r="P2976" s="33">
        <f t="shared" si="184"/>
        <v>0</v>
      </c>
      <c r="Q2976" s="31" t="str">
        <f t="shared" si="185"/>
        <v/>
      </c>
      <c r="R2976" s="32" t="str">
        <f>IFERROR(VLOOKUP($D2976,'Informations sur les produits'!$A$3:$B$15000,2,FALSE),"")</f>
        <v/>
      </c>
      <c r="V2976">
        <f t="shared" si="186"/>
        <v>0</v>
      </c>
      <c r="W2976">
        <f t="shared" si="187"/>
        <v>0</v>
      </c>
    </row>
    <row r="2977" spans="5:23" x14ac:dyDescent="0.25">
      <c r="E2977" s="4"/>
      <c r="F2977" s="4"/>
      <c r="G2977" s="33" t="str">
        <f>IFERROR(VLOOKUP($D2977,'Informations sur les produits'!$A$3:$H$10000,8,FALSE),"0")</f>
        <v>0</v>
      </c>
      <c r="K2977" s="4"/>
      <c r="L2977" s="33" t="str">
        <f>IFERROR(VLOOKUP($J2977,'Informations sur les produits'!$A$3:$H$10000,8,FALSE),"0")</f>
        <v>0</v>
      </c>
      <c r="N2977" s="8"/>
      <c r="O2977" s="33" t="str">
        <f>IFERROR(VLOOKUP($M2977,'Informations sur les produits'!$A$3:$H$10000,8,FALSE),"0")</f>
        <v>0</v>
      </c>
      <c r="P2977" s="33">
        <f t="shared" si="184"/>
        <v>0</v>
      </c>
      <c r="Q2977" s="31" t="str">
        <f t="shared" si="185"/>
        <v/>
      </c>
      <c r="R2977" s="32" t="str">
        <f>IFERROR(VLOOKUP($D2977,'Informations sur les produits'!$A$3:$B$15000,2,FALSE),"")</f>
        <v/>
      </c>
      <c r="V2977">
        <f t="shared" si="186"/>
        <v>0</v>
      </c>
      <c r="W2977">
        <f t="shared" si="187"/>
        <v>0</v>
      </c>
    </row>
    <row r="2978" spans="5:23" x14ac:dyDescent="0.25">
      <c r="E2978" s="4"/>
      <c r="F2978" s="4"/>
      <c r="G2978" s="33" t="str">
        <f>IFERROR(VLOOKUP($D2978,'Informations sur les produits'!$A$3:$H$10000,8,FALSE),"0")</f>
        <v>0</v>
      </c>
      <c r="K2978" s="4"/>
      <c r="L2978" s="33" t="str">
        <f>IFERROR(VLOOKUP($J2978,'Informations sur les produits'!$A$3:$H$10000,8,FALSE),"0")</f>
        <v>0</v>
      </c>
      <c r="N2978" s="8"/>
      <c r="O2978" s="33" t="str">
        <f>IFERROR(VLOOKUP($M2978,'Informations sur les produits'!$A$3:$H$10000,8,FALSE),"0")</f>
        <v>0</v>
      </c>
      <c r="P2978" s="33">
        <f t="shared" si="184"/>
        <v>0</v>
      </c>
      <c r="Q2978" s="31" t="str">
        <f t="shared" si="185"/>
        <v/>
      </c>
      <c r="R2978" s="32" t="str">
        <f>IFERROR(VLOOKUP($D2978,'Informations sur les produits'!$A$3:$B$15000,2,FALSE),"")</f>
        <v/>
      </c>
      <c r="V2978">
        <f t="shared" si="186"/>
        <v>0</v>
      </c>
      <c r="W2978">
        <f t="shared" si="187"/>
        <v>0</v>
      </c>
    </row>
    <row r="2979" spans="5:23" x14ac:dyDescent="0.25">
      <c r="E2979" s="4"/>
      <c r="F2979" s="4"/>
      <c r="G2979" s="33" t="str">
        <f>IFERROR(VLOOKUP($D2979,'Informations sur les produits'!$A$3:$H$10000,8,FALSE),"0")</f>
        <v>0</v>
      </c>
      <c r="K2979" s="4"/>
      <c r="L2979" s="33" t="str">
        <f>IFERROR(VLOOKUP($J2979,'Informations sur les produits'!$A$3:$H$10000,8,FALSE),"0")</f>
        <v>0</v>
      </c>
      <c r="N2979" s="8"/>
      <c r="O2979" s="33" t="str">
        <f>IFERROR(VLOOKUP($M2979,'Informations sur les produits'!$A$3:$H$10000,8,FALSE),"0")</f>
        <v>0</v>
      </c>
      <c r="P2979" s="33">
        <f t="shared" si="184"/>
        <v>0</v>
      </c>
      <c r="Q2979" s="31" t="str">
        <f t="shared" si="185"/>
        <v/>
      </c>
      <c r="R2979" s="32" t="str">
        <f>IFERROR(VLOOKUP($D2979,'Informations sur les produits'!$A$3:$B$15000,2,FALSE),"")</f>
        <v/>
      </c>
      <c r="V2979">
        <f t="shared" si="186"/>
        <v>0</v>
      </c>
      <c r="W2979">
        <f t="shared" si="187"/>
        <v>0</v>
      </c>
    </row>
    <row r="2980" spans="5:23" x14ac:dyDescent="0.25">
      <c r="E2980" s="4"/>
      <c r="F2980" s="4"/>
      <c r="G2980" s="33" t="str">
        <f>IFERROR(VLOOKUP($D2980,'Informations sur les produits'!$A$3:$H$10000,8,FALSE),"0")</f>
        <v>0</v>
      </c>
      <c r="K2980" s="4"/>
      <c r="L2980" s="33" t="str">
        <f>IFERROR(VLOOKUP($J2980,'Informations sur les produits'!$A$3:$H$10000,8,FALSE),"0")</f>
        <v>0</v>
      </c>
      <c r="N2980" s="8"/>
      <c r="O2980" s="33" t="str">
        <f>IFERROR(VLOOKUP($M2980,'Informations sur les produits'!$A$3:$H$10000,8,FALSE),"0")</f>
        <v>0</v>
      </c>
      <c r="P2980" s="33">
        <f t="shared" si="184"/>
        <v>0</v>
      </c>
      <c r="Q2980" s="31" t="str">
        <f t="shared" si="185"/>
        <v/>
      </c>
      <c r="R2980" s="32" t="str">
        <f>IFERROR(VLOOKUP($D2980,'Informations sur les produits'!$A$3:$B$15000,2,FALSE),"")</f>
        <v/>
      </c>
      <c r="V2980">
        <f t="shared" si="186"/>
        <v>0</v>
      </c>
      <c r="W2980">
        <f t="shared" si="187"/>
        <v>0</v>
      </c>
    </row>
    <row r="2981" spans="5:23" x14ac:dyDescent="0.25">
      <c r="E2981" s="4"/>
      <c r="F2981" s="4"/>
      <c r="G2981" s="33" t="str">
        <f>IFERROR(VLOOKUP($D2981,'Informations sur les produits'!$A$3:$H$10000,8,FALSE),"0")</f>
        <v>0</v>
      </c>
      <c r="K2981" s="4"/>
      <c r="L2981" s="33" t="str">
        <f>IFERROR(VLOOKUP($J2981,'Informations sur les produits'!$A$3:$H$10000,8,FALSE),"0")</f>
        <v>0</v>
      </c>
      <c r="N2981" s="8"/>
      <c r="O2981" s="33" t="str">
        <f>IFERROR(VLOOKUP($M2981,'Informations sur les produits'!$A$3:$H$10000,8,FALSE),"0")</f>
        <v>0</v>
      </c>
      <c r="P2981" s="33">
        <f t="shared" si="184"/>
        <v>0</v>
      </c>
      <c r="Q2981" s="31" t="str">
        <f t="shared" si="185"/>
        <v/>
      </c>
      <c r="R2981" s="32" t="str">
        <f>IFERROR(VLOOKUP($D2981,'Informations sur les produits'!$A$3:$B$15000,2,FALSE),"")</f>
        <v/>
      </c>
      <c r="V2981">
        <f t="shared" si="186"/>
        <v>0</v>
      </c>
      <c r="W2981">
        <f t="shared" si="187"/>
        <v>0</v>
      </c>
    </row>
    <row r="2982" spans="5:23" x14ac:dyDescent="0.25">
      <c r="E2982" s="4"/>
      <c r="F2982" s="4"/>
      <c r="G2982" s="33" t="str">
        <f>IFERROR(VLOOKUP($D2982,'Informations sur les produits'!$A$3:$H$10000,8,FALSE),"0")</f>
        <v>0</v>
      </c>
      <c r="K2982" s="4"/>
      <c r="L2982" s="33" t="str">
        <f>IFERROR(VLOOKUP($J2982,'Informations sur les produits'!$A$3:$H$10000,8,FALSE),"0")</f>
        <v>0</v>
      </c>
      <c r="N2982" s="8"/>
      <c r="O2982" s="33" t="str">
        <f>IFERROR(VLOOKUP($M2982,'Informations sur les produits'!$A$3:$H$10000,8,FALSE),"0")</f>
        <v>0</v>
      </c>
      <c r="P2982" s="33">
        <f t="shared" si="184"/>
        <v>0</v>
      </c>
      <c r="Q2982" s="31" t="str">
        <f t="shared" si="185"/>
        <v/>
      </c>
      <c r="R2982" s="32" t="str">
        <f>IFERROR(VLOOKUP($D2982,'Informations sur les produits'!$A$3:$B$15000,2,FALSE),"")</f>
        <v/>
      </c>
      <c r="V2982">
        <f t="shared" si="186"/>
        <v>0</v>
      </c>
      <c r="W2982">
        <f t="shared" si="187"/>
        <v>0</v>
      </c>
    </row>
    <row r="2983" spans="5:23" x14ac:dyDescent="0.25">
      <c r="E2983" s="4"/>
      <c r="F2983" s="4"/>
      <c r="G2983" s="33" t="str">
        <f>IFERROR(VLOOKUP($D2983,'Informations sur les produits'!$A$3:$H$10000,8,FALSE),"0")</f>
        <v>0</v>
      </c>
      <c r="K2983" s="4"/>
      <c r="L2983" s="33" t="str">
        <f>IFERROR(VLOOKUP($J2983,'Informations sur les produits'!$A$3:$H$10000,8,FALSE),"0")</f>
        <v>0</v>
      </c>
      <c r="N2983" s="8"/>
      <c r="O2983" s="33" t="str">
        <f>IFERROR(VLOOKUP($M2983,'Informations sur les produits'!$A$3:$H$10000,8,FALSE),"0")</f>
        <v>0</v>
      </c>
      <c r="P2983" s="33">
        <f t="shared" si="184"/>
        <v>0</v>
      </c>
      <c r="Q2983" s="31" t="str">
        <f t="shared" si="185"/>
        <v/>
      </c>
      <c r="R2983" s="32" t="str">
        <f>IFERROR(VLOOKUP($D2983,'Informations sur les produits'!$A$3:$B$15000,2,FALSE),"")</f>
        <v/>
      </c>
      <c r="V2983">
        <f t="shared" si="186"/>
        <v>0</v>
      </c>
      <c r="W2983">
        <f t="shared" si="187"/>
        <v>0</v>
      </c>
    </row>
    <row r="2984" spans="5:23" x14ac:dyDescent="0.25">
      <c r="E2984" s="4"/>
      <c r="F2984" s="4"/>
      <c r="G2984" s="33" t="str">
        <f>IFERROR(VLOOKUP($D2984,'Informations sur les produits'!$A$3:$H$10000,8,FALSE),"0")</f>
        <v>0</v>
      </c>
      <c r="K2984" s="4"/>
      <c r="L2984" s="33" t="str">
        <f>IFERROR(VLOOKUP($J2984,'Informations sur les produits'!$A$3:$H$10000,8,FALSE),"0")</f>
        <v>0</v>
      </c>
      <c r="N2984" s="8"/>
      <c r="O2984" s="33" t="str">
        <f>IFERROR(VLOOKUP($M2984,'Informations sur les produits'!$A$3:$H$10000,8,FALSE),"0")</f>
        <v>0</v>
      </c>
      <c r="P2984" s="33">
        <f t="shared" si="184"/>
        <v>0</v>
      </c>
      <c r="Q2984" s="31" t="str">
        <f t="shared" si="185"/>
        <v/>
      </c>
      <c r="R2984" s="32" t="str">
        <f>IFERROR(VLOOKUP($D2984,'Informations sur les produits'!$A$3:$B$15000,2,FALSE),"")</f>
        <v/>
      </c>
      <c r="V2984">
        <f t="shared" si="186"/>
        <v>0</v>
      </c>
      <c r="W2984">
        <f t="shared" si="187"/>
        <v>0</v>
      </c>
    </row>
    <row r="2985" spans="5:23" x14ac:dyDescent="0.25">
      <c r="E2985" s="4"/>
      <c r="F2985" s="4"/>
      <c r="G2985" s="33" t="str">
        <f>IFERROR(VLOOKUP($D2985,'Informations sur les produits'!$A$3:$H$10000,8,FALSE),"0")</f>
        <v>0</v>
      </c>
      <c r="K2985" s="4"/>
      <c r="L2985" s="33" t="str">
        <f>IFERROR(VLOOKUP($J2985,'Informations sur les produits'!$A$3:$H$10000,8,FALSE),"0")</f>
        <v>0</v>
      </c>
      <c r="N2985" s="8"/>
      <c r="O2985" s="33" t="str">
        <f>IFERROR(VLOOKUP($M2985,'Informations sur les produits'!$A$3:$H$10000,8,FALSE),"0")</f>
        <v>0</v>
      </c>
      <c r="P2985" s="33">
        <f t="shared" si="184"/>
        <v>0</v>
      </c>
      <c r="Q2985" s="31" t="str">
        <f t="shared" si="185"/>
        <v/>
      </c>
      <c r="R2985" s="32" t="str">
        <f>IFERROR(VLOOKUP($D2985,'Informations sur les produits'!$A$3:$B$15000,2,FALSE),"")</f>
        <v/>
      </c>
      <c r="V2985">
        <f t="shared" si="186"/>
        <v>0</v>
      </c>
      <c r="W2985">
        <f t="shared" si="187"/>
        <v>0</v>
      </c>
    </row>
    <row r="2986" spans="5:23" x14ac:dyDescent="0.25">
      <c r="E2986" s="4"/>
      <c r="F2986" s="4"/>
      <c r="G2986" s="33" t="str">
        <f>IFERROR(VLOOKUP($D2986,'Informations sur les produits'!$A$3:$H$10000,8,FALSE),"0")</f>
        <v>0</v>
      </c>
      <c r="K2986" s="4"/>
      <c r="L2986" s="33" t="str">
        <f>IFERROR(VLOOKUP($J2986,'Informations sur les produits'!$A$3:$H$10000,8,FALSE),"0")</f>
        <v>0</v>
      </c>
      <c r="N2986" s="8"/>
      <c r="O2986" s="33" t="str">
        <f>IFERROR(VLOOKUP($M2986,'Informations sur les produits'!$A$3:$H$10000,8,FALSE),"0")</f>
        <v>0</v>
      </c>
      <c r="P2986" s="33">
        <f t="shared" si="184"/>
        <v>0</v>
      </c>
      <c r="Q2986" s="31" t="str">
        <f t="shared" si="185"/>
        <v/>
      </c>
      <c r="R2986" s="32" t="str">
        <f>IFERROR(VLOOKUP($D2986,'Informations sur les produits'!$A$3:$B$15000,2,FALSE),"")</f>
        <v/>
      </c>
      <c r="V2986">
        <f t="shared" si="186"/>
        <v>0</v>
      </c>
      <c r="W2986">
        <f t="shared" si="187"/>
        <v>0</v>
      </c>
    </row>
    <row r="2987" spans="5:23" x14ac:dyDescent="0.25">
      <c r="E2987" s="4"/>
      <c r="F2987" s="4"/>
      <c r="G2987" s="33" t="str">
        <f>IFERROR(VLOOKUP($D2987,'Informations sur les produits'!$A$3:$H$10000,8,FALSE),"0")</f>
        <v>0</v>
      </c>
      <c r="K2987" s="4"/>
      <c r="L2987" s="33" t="str">
        <f>IFERROR(VLOOKUP($J2987,'Informations sur les produits'!$A$3:$H$10000,8,FALSE),"0")</f>
        <v>0</v>
      </c>
      <c r="N2987" s="8"/>
      <c r="O2987" s="33" t="str">
        <f>IFERROR(VLOOKUP($M2987,'Informations sur les produits'!$A$3:$H$10000,8,FALSE),"0")</f>
        <v>0</v>
      </c>
      <c r="P2987" s="33">
        <f t="shared" si="184"/>
        <v>0</v>
      </c>
      <c r="Q2987" s="31" t="str">
        <f t="shared" si="185"/>
        <v/>
      </c>
      <c r="R2987" s="32" t="str">
        <f>IFERROR(VLOOKUP($D2987,'Informations sur les produits'!$A$3:$B$15000,2,FALSE),"")</f>
        <v/>
      </c>
      <c r="V2987">
        <f t="shared" si="186"/>
        <v>0</v>
      </c>
      <c r="W2987">
        <f t="shared" si="187"/>
        <v>0</v>
      </c>
    </row>
    <row r="2988" spans="5:23" x14ac:dyDescent="0.25">
      <c r="E2988" s="4"/>
      <c r="F2988" s="4"/>
      <c r="G2988" s="33" t="str">
        <f>IFERROR(VLOOKUP($D2988,'Informations sur les produits'!$A$3:$H$10000,8,FALSE),"0")</f>
        <v>0</v>
      </c>
      <c r="K2988" s="4"/>
      <c r="L2988" s="33" t="str">
        <f>IFERROR(VLOOKUP($J2988,'Informations sur les produits'!$A$3:$H$10000,8,FALSE),"0")</f>
        <v>0</v>
      </c>
      <c r="N2988" s="8"/>
      <c r="O2988" s="33" t="str">
        <f>IFERROR(VLOOKUP($M2988,'Informations sur les produits'!$A$3:$H$10000,8,FALSE),"0")</f>
        <v>0</v>
      </c>
      <c r="P2988" s="33">
        <f t="shared" si="184"/>
        <v>0</v>
      </c>
      <c r="Q2988" s="31" t="str">
        <f t="shared" si="185"/>
        <v/>
      </c>
      <c r="R2988" s="32" t="str">
        <f>IFERROR(VLOOKUP($D2988,'Informations sur les produits'!$A$3:$B$15000,2,FALSE),"")</f>
        <v/>
      </c>
      <c r="V2988">
        <f t="shared" si="186"/>
        <v>0</v>
      </c>
      <c r="W2988">
        <f t="shared" si="187"/>
        <v>0</v>
      </c>
    </row>
    <row r="2989" spans="5:23" x14ac:dyDescent="0.25">
      <c r="E2989" s="4"/>
      <c r="F2989" s="4"/>
      <c r="G2989" s="33" t="str">
        <f>IFERROR(VLOOKUP($D2989,'Informations sur les produits'!$A$3:$H$10000,8,FALSE),"0")</f>
        <v>0</v>
      </c>
      <c r="K2989" s="4"/>
      <c r="L2989" s="33" t="str">
        <f>IFERROR(VLOOKUP($J2989,'Informations sur les produits'!$A$3:$H$10000,8,FALSE),"0")</f>
        <v>0</v>
      </c>
      <c r="N2989" s="8"/>
      <c r="O2989" s="33" t="str">
        <f>IFERROR(VLOOKUP($M2989,'Informations sur les produits'!$A$3:$H$10000,8,FALSE),"0")</f>
        <v>0</v>
      </c>
      <c r="P2989" s="33">
        <f t="shared" si="184"/>
        <v>0</v>
      </c>
      <c r="Q2989" s="31" t="str">
        <f t="shared" si="185"/>
        <v/>
      </c>
      <c r="R2989" s="32" t="str">
        <f>IFERROR(VLOOKUP($D2989,'Informations sur les produits'!$A$3:$B$15000,2,FALSE),"")</f>
        <v/>
      </c>
      <c r="V2989">
        <f t="shared" si="186"/>
        <v>0</v>
      </c>
      <c r="W2989">
        <f t="shared" si="187"/>
        <v>0</v>
      </c>
    </row>
    <row r="2990" spans="5:23" x14ac:dyDescent="0.25">
      <c r="E2990" s="4"/>
      <c r="F2990" s="4"/>
      <c r="G2990" s="33" t="str">
        <f>IFERROR(VLOOKUP($D2990,'Informations sur les produits'!$A$3:$H$10000,8,FALSE),"0")</f>
        <v>0</v>
      </c>
      <c r="K2990" s="4"/>
      <c r="L2990" s="33" t="str">
        <f>IFERROR(VLOOKUP($J2990,'Informations sur les produits'!$A$3:$H$10000,8,FALSE),"0")</f>
        <v>0</v>
      </c>
      <c r="N2990" s="8"/>
      <c r="O2990" s="33" t="str">
        <f>IFERROR(VLOOKUP($M2990,'Informations sur les produits'!$A$3:$H$10000,8,FALSE),"0")</f>
        <v>0</v>
      </c>
      <c r="P2990" s="33">
        <f t="shared" si="184"/>
        <v>0</v>
      </c>
      <c r="Q2990" s="31" t="str">
        <f t="shared" si="185"/>
        <v/>
      </c>
      <c r="R2990" s="32" t="str">
        <f>IFERROR(VLOOKUP($D2990,'Informations sur les produits'!$A$3:$B$15000,2,FALSE),"")</f>
        <v/>
      </c>
      <c r="V2990">
        <f t="shared" si="186"/>
        <v>0</v>
      </c>
      <c r="W2990">
        <f t="shared" si="187"/>
        <v>0</v>
      </c>
    </row>
    <row r="2991" spans="5:23" x14ac:dyDescent="0.25">
      <c r="E2991" s="4"/>
      <c r="F2991" s="4"/>
      <c r="G2991" s="33" t="str">
        <f>IFERROR(VLOOKUP($D2991,'Informations sur les produits'!$A$3:$H$10000,8,FALSE),"0")</f>
        <v>0</v>
      </c>
      <c r="K2991" s="4"/>
      <c r="L2991" s="33" t="str">
        <f>IFERROR(VLOOKUP($J2991,'Informations sur les produits'!$A$3:$H$10000,8,FALSE),"0")</f>
        <v>0</v>
      </c>
      <c r="N2991" s="8"/>
      <c r="O2991" s="33" t="str">
        <f>IFERROR(VLOOKUP($M2991,'Informations sur les produits'!$A$3:$H$10000,8,FALSE),"0")</f>
        <v>0</v>
      </c>
      <c r="P2991" s="33">
        <f t="shared" si="184"/>
        <v>0</v>
      </c>
      <c r="Q2991" s="31" t="str">
        <f t="shared" si="185"/>
        <v/>
      </c>
      <c r="R2991" s="32" t="str">
        <f>IFERROR(VLOOKUP($D2991,'Informations sur les produits'!$A$3:$B$15000,2,FALSE),"")</f>
        <v/>
      </c>
      <c r="V2991">
        <f t="shared" si="186"/>
        <v>0</v>
      </c>
      <c r="W2991">
        <f t="shared" si="187"/>
        <v>0</v>
      </c>
    </row>
    <row r="2992" spans="5:23" x14ac:dyDescent="0.25">
      <c r="E2992" s="4"/>
      <c r="F2992" s="4"/>
      <c r="G2992" s="33" t="str">
        <f>IFERROR(VLOOKUP($D2992,'Informations sur les produits'!$A$3:$H$10000,8,FALSE),"0")</f>
        <v>0</v>
      </c>
      <c r="K2992" s="4"/>
      <c r="L2992" s="33" t="str">
        <f>IFERROR(VLOOKUP($J2992,'Informations sur les produits'!$A$3:$H$10000,8,FALSE),"0")</f>
        <v>0</v>
      </c>
      <c r="N2992" s="8"/>
      <c r="O2992" s="33" t="str">
        <f>IFERROR(VLOOKUP($M2992,'Informations sur les produits'!$A$3:$H$10000,8,FALSE),"0")</f>
        <v>0</v>
      </c>
      <c r="P2992" s="33">
        <f t="shared" si="184"/>
        <v>0</v>
      </c>
      <c r="Q2992" s="31" t="str">
        <f t="shared" si="185"/>
        <v/>
      </c>
      <c r="R2992" s="32" t="str">
        <f>IFERROR(VLOOKUP($D2992,'Informations sur les produits'!$A$3:$B$15000,2,FALSE),"")</f>
        <v/>
      </c>
      <c r="V2992">
        <f t="shared" si="186"/>
        <v>0</v>
      </c>
      <c r="W2992">
        <f t="shared" si="187"/>
        <v>0</v>
      </c>
    </row>
    <row r="2993" spans="5:23" x14ac:dyDescent="0.25">
      <c r="E2993" s="4"/>
      <c r="F2993" s="4"/>
      <c r="G2993" s="33" t="str">
        <f>IFERROR(VLOOKUP($D2993,'Informations sur les produits'!$A$3:$H$10000,8,FALSE),"0")</f>
        <v>0</v>
      </c>
      <c r="K2993" s="4"/>
      <c r="L2993" s="33" t="str">
        <f>IFERROR(VLOOKUP($J2993,'Informations sur les produits'!$A$3:$H$10000,8,FALSE),"0")</f>
        <v>0</v>
      </c>
      <c r="N2993" s="8"/>
      <c r="O2993" s="33" t="str">
        <f>IFERROR(VLOOKUP($M2993,'Informations sur les produits'!$A$3:$H$10000,8,FALSE),"0")</f>
        <v>0</v>
      </c>
      <c r="P2993" s="33">
        <f t="shared" si="184"/>
        <v>0</v>
      </c>
      <c r="Q2993" s="31" t="str">
        <f t="shared" si="185"/>
        <v/>
      </c>
      <c r="R2993" s="32" t="str">
        <f>IFERROR(VLOOKUP($D2993,'Informations sur les produits'!$A$3:$B$15000,2,FALSE),"")</f>
        <v/>
      </c>
      <c r="V2993">
        <f t="shared" si="186"/>
        <v>0</v>
      </c>
      <c r="W2993">
        <f t="shared" si="187"/>
        <v>0</v>
      </c>
    </row>
    <row r="2994" spans="5:23" x14ac:dyDescent="0.25">
      <c r="E2994" s="4"/>
      <c r="F2994" s="4"/>
      <c r="G2994" s="33" t="str">
        <f>IFERROR(VLOOKUP($D2994,'Informations sur les produits'!$A$3:$H$10000,8,FALSE),"0")</f>
        <v>0</v>
      </c>
      <c r="K2994" s="4"/>
      <c r="L2994" s="33" t="str">
        <f>IFERROR(VLOOKUP($J2994,'Informations sur les produits'!$A$3:$H$10000,8,FALSE),"0")</f>
        <v>0</v>
      </c>
      <c r="N2994" s="8"/>
      <c r="O2994" s="33" t="str">
        <f>IFERROR(VLOOKUP($M2994,'Informations sur les produits'!$A$3:$H$10000,8,FALSE),"0")</f>
        <v>0</v>
      </c>
      <c r="P2994" s="33">
        <f t="shared" si="184"/>
        <v>0</v>
      </c>
      <c r="Q2994" s="31" t="str">
        <f t="shared" si="185"/>
        <v/>
      </c>
      <c r="R2994" s="32" t="str">
        <f>IFERROR(VLOOKUP($D2994,'Informations sur les produits'!$A$3:$B$15000,2,FALSE),"")</f>
        <v/>
      </c>
      <c r="V2994">
        <f t="shared" si="186"/>
        <v>0</v>
      </c>
      <c r="W2994">
        <f t="shared" si="187"/>
        <v>0</v>
      </c>
    </row>
    <row r="2995" spans="5:23" x14ac:dyDescent="0.25">
      <c r="E2995" s="4"/>
      <c r="F2995" s="4"/>
      <c r="G2995" s="33" t="str">
        <f>IFERROR(VLOOKUP($D2995,'Informations sur les produits'!$A$3:$H$10000,8,FALSE),"0")</f>
        <v>0</v>
      </c>
      <c r="K2995" s="4"/>
      <c r="L2995" s="33" t="str">
        <f>IFERROR(VLOOKUP($J2995,'Informations sur les produits'!$A$3:$H$10000,8,FALSE),"0")</f>
        <v>0</v>
      </c>
      <c r="N2995" s="8"/>
      <c r="O2995" s="33" t="str">
        <f>IFERROR(VLOOKUP($M2995,'Informations sur les produits'!$A$3:$H$10000,8,FALSE),"0")</f>
        <v>0</v>
      </c>
      <c r="P2995" s="33">
        <f t="shared" si="184"/>
        <v>0</v>
      </c>
      <c r="Q2995" s="31" t="str">
        <f t="shared" si="185"/>
        <v/>
      </c>
      <c r="R2995" s="32" t="str">
        <f>IFERROR(VLOOKUP($D2995,'Informations sur les produits'!$A$3:$B$15000,2,FALSE),"")</f>
        <v/>
      </c>
      <c r="V2995">
        <f t="shared" si="186"/>
        <v>0</v>
      </c>
      <c r="W2995">
        <f t="shared" si="187"/>
        <v>0</v>
      </c>
    </row>
    <row r="2996" spans="5:23" x14ac:dyDescent="0.25">
      <c r="E2996" s="4"/>
      <c r="F2996" s="4"/>
      <c r="G2996" s="33" t="str">
        <f>IFERROR(VLOOKUP($D2996,'Informations sur les produits'!$A$3:$H$10000,8,FALSE),"0")</f>
        <v>0</v>
      </c>
      <c r="K2996" s="4"/>
      <c r="L2996" s="33" t="str">
        <f>IFERROR(VLOOKUP($J2996,'Informations sur les produits'!$A$3:$H$10000,8,FALSE),"0")</f>
        <v>0</v>
      </c>
      <c r="N2996" s="8"/>
      <c r="O2996" s="33" t="str">
        <f>IFERROR(VLOOKUP($M2996,'Informations sur les produits'!$A$3:$H$10000,8,FALSE),"0")</f>
        <v>0</v>
      </c>
      <c r="P2996" s="33">
        <f t="shared" si="184"/>
        <v>0</v>
      </c>
      <c r="Q2996" s="31" t="str">
        <f t="shared" si="185"/>
        <v/>
      </c>
      <c r="R2996" s="32" t="str">
        <f>IFERROR(VLOOKUP($D2996,'Informations sur les produits'!$A$3:$B$15000,2,FALSE),"")</f>
        <v/>
      </c>
      <c r="V2996">
        <f t="shared" si="186"/>
        <v>0</v>
      </c>
      <c r="W2996">
        <f t="shared" si="187"/>
        <v>0</v>
      </c>
    </row>
    <row r="2997" spans="5:23" x14ac:dyDescent="0.25">
      <c r="E2997" s="4"/>
      <c r="F2997" s="4"/>
      <c r="G2997" s="33" t="str">
        <f>IFERROR(VLOOKUP($D2997,'Informations sur les produits'!$A$3:$H$10000,8,FALSE),"0")</f>
        <v>0</v>
      </c>
      <c r="K2997" s="4"/>
      <c r="L2997" s="33" t="str">
        <f>IFERROR(VLOOKUP($J2997,'Informations sur les produits'!$A$3:$H$10000,8,FALSE),"0")</f>
        <v>0</v>
      </c>
      <c r="N2997" s="8"/>
      <c r="O2997" s="33" t="str">
        <f>IFERROR(VLOOKUP($M2997,'Informations sur les produits'!$A$3:$H$10000,8,FALSE),"0")</f>
        <v>0</v>
      </c>
      <c r="P2997" s="33">
        <f t="shared" si="184"/>
        <v>0</v>
      </c>
      <c r="Q2997" s="31" t="str">
        <f t="shared" si="185"/>
        <v/>
      </c>
      <c r="R2997" s="32" t="str">
        <f>IFERROR(VLOOKUP($D2997,'Informations sur les produits'!$A$3:$B$15000,2,FALSE),"")</f>
        <v/>
      </c>
      <c r="V2997">
        <f t="shared" si="186"/>
        <v>0</v>
      </c>
      <c r="W2997">
        <f t="shared" si="187"/>
        <v>0</v>
      </c>
    </row>
    <row r="2998" spans="5:23" x14ac:dyDescent="0.25">
      <c r="E2998" s="4"/>
      <c r="F2998" s="4"/>
      <c r="G2998" s="33" t="str">
        <f>IFERROR(VLOOKUP($D2998,'Informations sur les produits'!$A$3:$H$10000,8,FALSE),"0")</f>
        <v>0</v>
      </c>
      <c r="K2998" s="4"/>
      <c r="L2998" s="33" t="str">
        <f>IFERROR(VLOOKUP($J2998,'Informations sur les produits'!$A$3:$H$10000,8,FALSE),"0")</f>
        <v>0</v>
      </c>
      <c r="N2998" s="8"/>
      <c r="O2998" s="33" t="str">
        <f>IFERROR(VLOOKUP($M2998,'Informations sur les produits'!$A$3:$H$10000,8,FALSE),"0")</f>
        <v>0</v>
      </c>
      <c r="P2998" s="33">
        <f t="shared" si="184"/>
        <v>0</v>
      </c>
      <c r="Q2998" s="31" t="str">
        <f t="shared" si="185"/>
        <v/>
      </c>
      <c r="R2998" s="32" t="str">
        <f>IFERROR(VLOOKUP($D2998,'Informations sur les produits'!$A$3:$B$15000,2,FALSE),"")</f>
        <v/>
      </c>
      <c r="V2998">
        <f t="shared" si="186"/>
        <v>0</v>
      </c>
      <c r="W2998">
        <f t="shared" si="187"/>
        <v>0</v>
      </c>
    </row>
    <row r="2999" spans="5:23" x14ac:dyDescent="0.25">
      <c r="E2999" s="4"/>
      <c r="F2999" s="4"/>
      <c r="G2999" s="33" t="str">
        <f>IFERROR(VLOOKUP($D2999,'Informations sur les produits'!$A$3:$H$10000,8,FALSE),"0")</f>
        <v>0</v>
      </c>
      <c r="K2999" s="4"/>
      <c r="L2999" s="33" t="str">
        <f>IFERROR(VLOOKUP($J2999,'Informations sur les produits'!$A$3:$H$10000,8,FALSE),"0")</f>
        <v>0</v>
      </c>
      <c r="N2999" s="8"/>
      <c r="O2999" s="33" t="str">
        <f>IFERROR(VLOOKUP($M2999,'Informations sur les produits'!$A$3:$H$10000,8,FALSE),"0")</f>
        <v>0</v>
      </c>
      <c r="P2999" s="33">
        <f t="shared" si="184"/>
        <v>0</v>
      </c>
      <c r="Q2999" s="31" t="str">
        <f t="shared" si="185"/>
        <v/>
      </c>
      <c r="R2999" s="32" t="str">
        <f>IFERROR(VLOOKUP($D2999,'Informations sur les produits'!$A$3:$B$15000,2,FALSE),"")</f>
        <v/>
      </c>
      <c r="V2999">
        <f t="shared" si="186"/>
        <v>0</v>
      </c>
      <c r="W2999">
        <f t="shared" si="187"/>
        <v>0</v>
      </c>
    </row>
    <row r="3000" spans="5:23" x14ac:dyDescent="0.25">
      <c r="E3000" s="4"/>
      <c r="F3000" s="4"/>
      <c r="G3000" s="33" t="str">
        <f>IFERROR(VLOOKUP($D3000,'Informations sur les produits'!$A$3:$H$10000,8,FALSE),"0")</f>
        <v>0</v>
      </c>
      <c r="K3000" s="4"/>
      <c r="L3000" s="33" t="str">
        <f>IFERROR(VLOOKUP($J3000,'Informations sur les produits'!$A$3:$H$10000,8,FALSE),"0")</f>
        <v>0</v>
      </c>
      <c r="N3000" s="8"/>
      <c r="O3000" s="33" t="str">
        <f>IFERROR(VLOOKUP($M3000,'Informations sur les produits'!$A$3:$H$10000,8,FALSE),"0")</f>
        <v>0</v>
      </c>
      <c r="P3000" s="33">
        <f t="shared" si="184"/>
        <v>0</v>
      </c>
      <c r="Q3000" s="31" t="str">
        <f t="shared" si="185"/>
        <v/>
      </c>
      <c r="R3000" s="32" t="str">
        <f>IFERROR(VLOOKUP($D3000,'Informations sur les produits'!$A$3:$B$15000,2,FALSE),"")</f>
        <v/>
      </c>
      <c r="V3000">
        <f t="shared" si="186"/>
        <v>0</v>
      </c>
      <c r="W3000">
        <f t="shared" si="187"/>
        <v>0</v>
      </c>
    </row>
    <row r="3001" spans="5:23" x14ac:dyDescent="0.25">
      <c r="E3001" s="4"/>
      <c r="F3001" s="4"/>
      <c r="G3001" s="33" t="str">
        <f>IFERROR(VLOOKUP($D3001,'Informations sur les produits'!$A$3:$H$10000,8,FALSE),"0")</f>
        <v>0</v>
      </c>
      <c r="K3001" s="4"/>
      <c r="L3001" s="33" t="str">
        <f>IFERROR(VLOOKUP($J3001,'Informations sur les produits'!$A$3:$H$10000,8,FALSE),"0")</f>
        <v>0</v>
      </c>
      <c r="N3001" s="8"/>
      <c r="O3001" s="33" t="str">
        <f>IFERROR(VLOOKUP($M3001,'Informations sur les produits'!$A$3:$H$10000,8,FALSE),"0")</f>
        <v>0</v>
      </c>
      <c r="P3001" s="33">
        <f t="shared" si="184"/>
        <v>0</v>
      </c>
      <c r="Q3001" s="31" t="str">
        <f t="shared" si="185"/>
        <v/>
      </c>
      <c r="R3001" s="32" t="str">
        <f>IFERROR(VLOOKUP($D3001,'Informations sur les produits'!$A$3:$B$15000,2,FALSE),"")</f>
        <v/>
      </c>
      <c r="V3001">
        <f t="shared" si="186"/>
        <v>0</v>
      </c>
      <c r="W3001">
        <f t="shared" si="187"/>
        <v>0</v>
      </c>
    </row>
    <row r="3002" spans="5:23" x14ac:dyDescent="0.25">
      <c r="E3002" s="4"/>
      <c r="F3002" s="4"/>
      <c r="G3002" s="33" t="str">
        <f>IFERROR(VLOOKUP($D3002,'Informations sur les produits'!$A$3:$H$10000,8,FALSE),"0")</f>
        <v>0</v>
      </c>
      <c r="K3002" s="4"/>
      <c r="L3002" s="33" t="str">
        <f>IFERROR(VLOOKUP($J3002,'Informations sur les produits'!$A$3:$H$10000,8,FALSE),"0")</f>
        <v>0</v>
      </c>
      <c r="N3002" s="8"/>
      <c r="O3002" s="33" t="str">
        <f>IFERROR(VLOOKUP($M3002,'Informations sur les produits'!$A$3:$H$10000,8,FALSE),"0")</f>
        <v>0</v>
      </c>
      <c r="P3002" s="33">
        <f t="shared" si="184"/>
        <v>0</v>
      </c>
      <c r="Q3002" s="31" t="str">
        <f t="shared" si="185"/>
        <v/>
      </c>
      <c r="R3002" s="32" t="str">
        <f>IFERROR(VLOOKUP($D3002,'Informations sur les produits'!$A$3:$B$15000,2,FALSE),"")</f>
        <v/>
      </c>
      <c r="V3002">
        <f t="shared" si="186"/>
        <v>0</v>
      </c>
      <c r="W3002">
        <f t="shared" si="187"/>
        <v>0</v>
      </c>
    </row>
    <row r="3003" spans="5:23" x14ac:dyDescent="0.25">
      <c r="E3003" s="4"/>
      <c r="F3003" s="4"/>
      <c r="G3003" s="33" t="str">
        <f>IFERROR(VLOOKUP($D3003,'Informations sur les produits'!$A$3:$H$10000,8,FALSE),"0")</f>
        <v>0</v>
      </c>
      <c r="K3003" s="4"/>
      <c r="L3003" s="33" t="str">
        <f>IFERROR(VLOOKUP($J3003,'Informations sur les produits'!$A$3:$H$10000,8,FALSE),"0")</f>
        <v>0</v>
      </c>
      <c r="N3003" s="8"/>
      <c r="O3003" s="33" t="str">
        <f>IFERROR(VLOOKUP($M3003,'Informations sur les produits'!$A$3:$H$10000,8,FALSE),"0")</f>
        <v>0</v>
      </c>
      <c r="P3003" s="33">
        <f t="shared" si="184"/>
        <v>0</v>
      </c>
      <c r="Q3003" s="31" t="str">
        <f t="shared" si="185"/>
        <v/>
      </c>
      <c r="R3003" s="32" t="str">
        <f>IFERROR(VLOOKUP($D3003,'Informations sur les produits'!$A$3:$B$15000,2,FALSE),"")</f>
        <v/>
      </c>
      <c r="V3003">
        <f t="shared" si="186"/>
        <v>0</v>
      </c>
      <c r="W3003">
        <f t="shared" si="187"/>
        <v>0</v>
      </c>
    </row>
    <row r="3004" spans="5:23" x14ac:dyDescent="0.25">
      <c r="E3004" s="4"/>
      <c r="F3004" s="4"/>
      <c r="G3004" s="33" t="str">
        <f>IFERROR(VLOOKUP($D3004,'Informations sur les produits'!$A$3:$H$10000,8,FALSE),"0")</f>
        <v>0</v>
      </c>
      <c r="K3004" s="4"/>
      <c r="L3004" s="33" t="str">
        <f>IFERROR(VLOOKUP($J3004,'Informations sur les produits'!$A$3:$H$10000,8,FALSE),"0")</f>
        <v>0</v>
      </c>
      <c r="N3004" s="8"/>
      <c r="O3004" s="33" t="str">
        <f>IFERROR(VLOOKUP($M3004,'Informations sur les produits'!$A$3:$H$10000,8,FALSE),"0")</f>
        <v>0</v>
      </c>
      <c r="P3004" s="33">
        <f t="shared" si="184"/>
        <v>0</v>
      </c>
      <c r="Q3004" s="31" t="str">
        <f t="shared" si="185"/>
        <v/>
      </c>
      <c r="R3004" s="32" t="str">
        <f>IFERROR(VLOOKUP($D3004,'Informations sur les produits'!$A$3:$B$15000,2,FALSE),"")</f>
        <v/>
      </c>
      <c r="V3004">
        <f t="shared" si="186"/>
        <v>0</v>
      </c>
      <c r="W3004">
        <f t="shared" si="187"/>
        <v>0</v>
      </c>
    </row>
    <row r="3005" spans="5:23" x14ac:dyDescent="0.25">
      <c r="E3005" s="4"/>
      <c r="F3005" s="4"/>
      <c r="G3005" s="33" t="str">
        <f>IFERROR(VLOOKUP($D3005,'Informations sur les produits'!$A$3:$H$10000,8,FALSE),"0")</f>
        <v>0</v>
      </c>
      <c r="K3005" s="4"/>
      <c r="L3005" s="33" t="str">
        <f>IFERROR(VLOOKUP($J3005,'Informations sur les produits'!$A$3:$H$10000,8,FALSE),"0")</f>
        <v>0</v>
      </c>
      <c r="N3005" s="8"/>
      <c r="O3005" s="33" t="str">
        <f>IFERROR(VLOOKUP($M3005,'Informations sur les produits'!$A$3:$H$10000,8,FALSE),"0")</f>
        <v>0</v>
      </c>
      <c r="P3005" s="33">
        <f t="shared" si="184"/>
        <v>0</v>
      </c>
      <c r="Q3005" s="31" t="str">
        <f t="shared" si="185"/>
        <v/>
      </c>
      <c r="R3005" s="32" t="str">
        <f>IFERROR(VLOOKUP($D3005,'Informations sur les produits'!$A$3:$B$15000,2,FALSE),"")</f>
        <v/>
      </c>
      <c r="V3005">
        <f t="shared" si="186"/>
        <v>0</v>
      </c>
      <c r="W3005">
        <f t="shared" si="187"/>
        <v>0</v>
      </c>
    </row>
    <row r="3006" spans="5:23" x14ac:dyDescent="0.25">
      <c r="E3006" s="4"/>
      <c r="F3006" s="4"/>
      <c r="G3006" s="33" t="str">
        <f>IFERROR(VLOOKUP($D3006,'Informations sur les produits'!$A$3:$H$10000,8,FALSE),"0")</f>
        <v>0</v>
      </c>
      <c r="K3006" s="4"/>
      <c r="L3006" s="33" t="str">
        <f>IFERROR(VLOOKUP($J3006,'Informations sur les produits'!$A$3:$H$10000,8,FALSE),"0")</f>
        <v>0</v>
      </c>
      <c r="N3006" s="8"/>
      <c r="O3006" s="33" t="str">
        <f>IFERROR(VLOOKUP($M3006,'Informations sur les produits'!$A$3:$H$10000,8,FALSE),"0")</f>
        <v>0</v>
      </c>
      <c r="P3006" s="33">
        <f t="shared" si="184"/>
        <v>0</v>
      </c>
      <c r="Q3006" s="31" t="str">
        <f t="shared" si="185"/>
        <v/>
      </c>
      <c r="R3006" s="32" t="str">
        <f>IFERROR(VLOOKUP($D3006,'Informations sur les produits'!$A$3:$B$15000,2,FALSE),"")</f>
        <v/>
      </c>
      <c r="V3006">
        <f t="shared" si="186"/>
        <v>0</v>
      </c>
      <c r="W3006">
        <f t="shared" si="187"/>
        <v>0</v>
      </c>
    </row>
    <row r="3007" spans="5:23" x14ac:dyDescent="0.25">
      <c r="E3007" s="4"/>
      <c r="F3007" s="4"/>
      <c r="G3007" s="33" t="str">
        <f>IFERROR(VLOOKUP($D3007,'Informations sur les produits'!$A$3:$H$10000,8,FALSE),"0")</f>
        <v>0</v>
      </c>
      <c r="K3007" s="4"/>
      <c r="L3007" s="33" t="str">
        <f>IFERROR(VLOOKUP($J3007,'Informations sur les produits'!$A$3:$H$10000,8,FALSE),"0")</f>
        <v>0</v>
      </c>
      <c r="N3007" s="8"/>
      <c r="O3007" s="33" t="str">
        <f>IFERROR(VLOOKUP($M3007,'Informations sur les produits'!$A$3:$H$10000,8,FALSE),"0")</f>
        <v>0</v>
      </c>
      <c r="P3007" s="33">
        <f t="shared" si="184"/>
        <v>0</v>
      </c>
      <c r="Q3007" s="31" t="str">
        <f t="shared" si="185"/>
        <v/>
      </c>
      <c r="R3007" s="32" t="str">
        <f>IFERROR(VLOOKUP($D3007,'Informations sur les produits'!$A$3:$B$15000,2,FALSE),"")</f>
        <v/>
      </c>
      <c r="V3007">
        <f t="shared" si="186"/>
        <v>0</v>
      </c>
      <c r="W3007">
        <f t="shared" si="187"/>
        <v>0</v>
      </c>
    </row>
    <row r="3008" spans="5:23" x14ac:dyDescent="0.25">
      <c r="E3008" s="4"/>
      <c r="F3008" s="4"/>
      <c r="G3008" s="33" t="str">
        <f>IFERROR(VLOOKUP($D3008,'Informations sur les produits'!$A$3:$H$10000,8,FALSE),"0")</f>
        <v>0</v>
      </c>
      <c r="K3008" s="4"/>
      <c r="L3008" s="33" t="str">
        <f>IFERROR(VLOOKUP($J3008,'Informations sur les produits'!$A$3:$H$10000,8,FALSE),"0")</f>
        <v>0</v>
      </c>
      <c r="N3008" s="8"/>
      <c r="O3008" s="33" t="str">
        <f>IFERROR(VLOOKUP($M3008,'Informations sur les produits'!$A$3:$H$10000,8,FALSE),"0")</f>
        <v>0</v>
      </c>
      <c r="P3008" s="33">
        <f t="shared" si="184"/>
        <v>0</v>
      </c>
      <c r="Q3008" s="31" t="str">
        <f t="shared" si="185"/>
        <v/>
      </c>
      <c r="R3008" s="32" t="str">
        <f>IFERROR(VLOOKUP($D3008,'Informations sur les produits'!$A$3:$B$15000,2,FALSE),"")</f>
        <v/>
      </c>
      <c r="V3008">
        <f t="shared" si="186"/>
        <v>0</v>
      </c>
      <c r="W3008">
        <f t="shared" si="187"/>
        <v>0</v>
      </c>
    </row>
    <row r="3009" spans="5:23" x14ac:dyDescent="0.25">
      <c r="E3009" s="4"/>
      <c r="F3009" s="4"/>
      <c r="G3009" s="33" t="str">
        <f>IFERROR(VLOOKUP($D3009,'Informations sur les produits'!$A$3:$H$10000,8,FALSE),"0")</f>
        <v>0</v>
      </c>
      <c r="K3009" s="4"/>
      <c r="L3009" s="33" t="str">
        <f>IFERROR(VLOOKUP($J3009,'Informations sur les produits'!$A$3:$H$10000,8,FALSE),"0")</f>
        <v>0</v>
      </c>
      <c r="N3009" s="8"/>
      <c r="O3009" s="33" t="str">
        <f>IFERROR(VLOOKUP($M3009,'Informations sur les produits'!$A$3:$H$10000,8,FALSE),"0")</f>
        <v>0</v>
      </c>
      <c r="P3009" s="33">
        <f t="shared" si="184"/>
        <v>0</v>
      </c>
      <c r="Q3009" s="31" t="str">
        <f t="shared" si="185"/>
        <v/>
      </c>
      <c r="R3009" s="32" t="str">
        <f>IFERROR(VLOOKUP($D3009,'Informations sur les produits'!$A$3:$B$15000,2,FALSE),"")</f>
        <v/>
      </c>
      <c r="V3009">
        <f t="shared" si="186"/>
        <v>0</v>
      </c>
      <c r="W3009">
        <f t="shared" si="187"/>
        <v>0</v>
      </c>
    </row>
    <row r="3010" spans="5:23" x14ac:dyDescent="0.25">
      <c r="E3010" s="4"/>
      <c r="F3010" s="4"/>
      <c r="G3010" s="33" t="str">
        <f>IFERROR(VLOOKUP($D3010,'Informations sur les produits'!$A$3:$H$10000,8,FALSE),"0")</f>
        <v>0</v>
      </c>
      <c r="K3010" s="4"/>
      <c r="L3010" s="33" t="str">
        <f>IFERROR(VLOOKUP($J3010,'Informations sur les produits'!$A$3:$H$10000,8,FALSE),"0")</f>
        <v>0</v>
      </c>
      <c r="N3010" s="8"/>
      <c r="O3010" s="33" t="str">
        <f>IFERROR(VLOOKUP($M3010,'Informations sur les produits'!$A$3:$H$10000,8,FALSE),"0")</f>
        <v>0</v>
      </c>
      <c r="P3010" s="33">
        <f t="shared" si="184"/>
        <v>0</v>
      </c>
      <c r="Q3010" s="31" t="str">
        <f t="shared" si="185"/>
        <v/>
      </c>
      <c r="R3010" s="32" t="str">
        <f>IFERROR(VLOOKUP($D3010,'Informations sur les produits'!$A$3:$B$15000,2,FALSE),"")</f>
        <v/>
      </c>
      <c r="V3010">
        <f t="shared" si="186"/>
        <v>0</v>
      </c>
      <c r="W3010">
        <f t="shared" si="187"/>
        <v>0</v>
      </c>
    </row>
    <row r="3011" spans="5:23" x14ac:dyDescent="0.25">
      <c r="E3011" s="4"/>
      <c r="F3011" s="4"/>
      <c r="G3011" s="33" t="str">
        <f>IFERROR(VLOOKUP($D3011,'Informations sur les produits'!$A$3:$H$10000,8,FALSE),"0")</f>
        <v>0</v>
      </c>
      <c r="K3011" s="4"/>
      <c r="L3011" s="33" t="str">
        <f>IFERROR(VLOOKUP($J3011,'Informations sur les produits'!$A$3:$H$10000,8,FALSE),"0")</f>
        <v>0</v>
      </c>
      <c r="N3011" s="8"/>
      <c r="O3011" s="33" t="str">
        <f>IFERROR(VLOOKUP($M3011,'Informations sur les produits'!$A$3:$H$10000,8,FALSE),"0")</f>
        <v>0</v>
      </c>
      <c r="P3011" s="33">
        <f t="shared" si="184"/>
        <v>0</v>
      </c>
      <c r="Q3011" s="31" t="str">
        <f t="shared" si="185"/>
        <v/>
      </c>
      <c r="R3011" s="32" t="str">
        <f>IFERROR(VLOOKUP($D3011,'Informations sur les produits'!$A$3:$B$15000,2,FALSE),"")</f>
        <v/>
      </c>
      <c r="V3011">
        <f t="shared" si="186"/>
        <v>0</v>
      </c>
      <c r="W3011">
        <f t="shared" si="187"/>
        <v>0</v>
      </c>
    </row>
    <row r="3012" spans="5:23" x14ac:dyDescent="0.25">
      <c r="E3012" s="4"/>
      <c r="F3012" s="4"/>
      <c r="G3012" s="33" t="str">
        <f>IFERROR(VLOOKUP($D3012,'Informations sur les produits'!$A$3:$H$10000,8,FALSE),"0")</f>
        <v>0</v>
      </c>
      <c r="K3012" s="4"/>
      <c r="L3012" s="33" t="str">
        <f>IFERROR(VLOOKUP($J3012,'Informations sur les produits'!$A$3:$H$10000,8,FALSE),"0")</f>
        <v>0</v>
      </c>
      <c r="N3012" s="8"/>
      <c r="O3012" s="33" t="str">
        <f>IFERROR(VLOOKUP($M3012,'Informations sur les produits'!$A$3:$H$10000,8,FALSE),"0")</f>
        <v>0</v>
      </c>
      <c r="P3012" s="33">
        <f t="shared" ref="P3012:P3075" si="188">IFERROR((($E3012-$F3012)*$G3012+$K3012*$L3012+$N3012*$O3012),"")</f>
        <v>0</v>
      </c>
      <c r="Q3012" s="31" t="str">
        <f t="shared" ref="Q3012:Q3075" si="189">IFERROR((((($E3012-$F3012)*$G3012+$K3012*$L3012+$N3012*$O3012)*1000)/(($E3012-$F3012)+$K3012+$N3012)),"")</f>
        <v/>
      </c>
      <c r="R3012" s="32" t="str">
        <f>IFERROR(VLOOKUP($D3012,'Informations sur les produits'!$A$3:$B$15000,2,FALSE),"")</f>
        <v/>
      </c>
      <c r="V3012">
        <f t="shared" ref="V3012:V3075" si="190">IFERROR(P3012*1000,"")</f>
        <v>0</v>
      </c>
      <c r="W3012">
        <f t="shared" ref="W3012:W3075" si="191">IFERROR(($E3012-$F3012)+$K3012+$N3012,"")</f>
        <v>0</v>
      </c>
    </row>
    <row r="3013" spans="5:23" x14ac:dyDescent="0.25">
      <c r="E3013" s="4"/>
      <c r="F3013" s="4"/>
      <c r="G3013" s="33" t="str">
        <f>IFERROR(VLOOKUP($D3013,'Informations sur les produits'!$A$3:$H$10000,8,FALSE),"0")</f>
        <v>0</v>
      </c>
      <c r="K3013" s="4"/>
      <c r="L3013" s="33" t="str">
        <f>IFERROR(VLOOKUP($J3013,'Informations sur les produits'!$A$3:$H$10000,8,FALSE),"0")</f>
        <v>0</v>
      </c>
      <c r="N3013" s="8"/>
      <c r="O3013" s="33" t="str">
        <f>IFERROR(VLOOKUP($M3013,'Informations sur les produits'!$A$3:$H$10000,8,FALSE),"0")</f>
        <v>0</v>
      </c>
      <c r="P3013" s="33">
        <f t="shared" si="188"/>
        <v>0</v>
      </c>
      <c r="Q3013" s="31" t="str">
        <f t="shared" si="189"/>
        <v/>
      </c>
      <c r="R3013" s="32" t="str">
        <f>IFERROR(VLOOKUP($D3013,'Informations sur les produits'!$A$3:$B$15000,2,FALSE),"")</f>
        <v/>
      </c>
      <c r="V3013">
        <f t="shared" si="190"/>
        <v>0</v>
      </c>
      <c r="W3013">
        <f t="shared" si="191"/>
        <v>0</v>
      </c>
    </row>
    <row r="3014" spans="5:23" x14ac:dyDescent="0.25">
      <c r="E3014" s="4"/>
      <c r="F3014" s="4"/>
      <c r="G3014" s="33" t="str">
        <f>IFERROR(VLOOKUP($D3014,'Informations sur les produits'!$A$3:$H$10000,8,FALSE),"0")</f>
        <v>0</v>
      </c>
      <c r="K3014" s="4"/>
      <c r="L3014" s="33" t="str">
        <f>IFERROR(VLOOKUP($J3014,'Informations sur les produits'!$A$3:$H$10000,8,FALSE),"0")</f>
        <v>0</v>
      </c>
      <c r="N3014" s="8"/>
      <c r="O3014" s="33" t="str">
        <f>IFERROR(VLOOKUP($M3014,'Informations sur les produits'!$A$3:$H$10000,8,FALSE),"0")</f>
        <v>0</v>
      </c>
      <c r="P3014" s="33">
        <f t="shared" si="188"/>
        <v>0</v>
      </c>
      <c r="Q3014" s="31" t="str">
        <f t="shared" si="189"/>
        <v/>
      </c>
      <c r="R3014" s="32" t="str">
        <f>IFERROR(VLOOKUP($D3014,'Informations sur les produits'!$A$3:$B$15000,2,FALSE),"")</f>
        <v/>
      </c>
      <c r="V3014">
        <f t="shared" si="190"/>
        <v>0</v>
      </c>
      <c r="W3014">
        <f t="shared" si="191"/>
        <v>0</v>
      </c>
    </row>
    <row r="3015" spans="5:23" x14ac:dyDescent="0.25">
      <c r="E3015" s="4"/>
      <c r="F3015" s="4"/>
      <c r="G3015" s="33" t="str">
        <f>IFERROR(VLOOKUP($D3015,'Informations sur les produits'!$A$3:$H$10000,8,FALSE),"0")</f>
        <v>0</v>
      </c>
      <c r="K3015" s="4"/>
      <c r="L3015" s="33" t="str">
        <f>IFERROR(VLOOKUP($J3015,'Informations sur les produits'!$A$3:$H$10000,8,FALSE),"0")</f>
        <v>0</v>
      </c>
      <c r="N3015" s="8"/>
      <c r="O3015" s="33" t="str">
        <f>IFERROR(VLOOKUP($M3015,'Informations sur les produits'!$A$3:$H$10000,8,FALSE),"0")</f>
        <v>0</v>
      </c>
      <c r="P3015" s="33">
        <f t="shared" si="188"/>
        <v>0</v>
      </c>
      <c r="Q3015" s="31" t="str">
        <f t="shared" si="189"/>
        <v/>
      </c>
      <c r="R3015" s="32" t="str">
        <f>IFERROR(VLOOKUP($D3015,'Informations sur les produits'!$A$3:$B$15000,2,FALSE),"")</f>
        <v/>
      </c>
      <c r="V3015">
        <f t="shared" si="190"/>
        <v>0</v>
      </c>
      <c r="W3015">
        <f t="shared" si="191"/>
        <v>0</v>
      </c>
    </row>
    <row r="3016" spans="5:23" x14ac:dyDescent="0.25">
      <c r="E3016" s="4"/>
      <c r="F3016" s="4"/>
      <c r="G3016" s="33" t="str">
        <f>IFERROR(VLOOKUP($D3016,'Informations sur les produits'!$A$3:$H$10000,8,FALSE),"0")</f>
        <v>0</v>
      </c>
      <c r="K3016" s="4"/>
      <c r="L3016" s="33" t="str">
        <f>IFERROR(VLOOKUP($J3016,'Informations sur les produits'!$A$3:$H$10000,8,FALSE),"0")</f>
        <v>0</v>
      </c>
      <c r="N3016" s="8"/>
      <c r="O3016" s="33" t="str">
        <f>IFERROR(VLOOKUP($M3016,'Informations sur les produits'!$A$3:$H$10000,8,FALSE),"0")</f>
        <v>0</v>
      </c>
      <c r="P3016" s="33">
        <f t="shared" si="188"/>
        <v>0</v>
      </c>
      <c r="Q3016" s="31" t="str">
        <f t="shared" si="189"/>
        <v/>
      </c>
      <c r="R3016" s="32" t="str">
        <f>IFERROR(VLOOKUP($D3016,'Informations sur les produits'!$A$3:$B$15000,2,FALSE),"")</f>
        <v/>
      </c>
      <c r="V3016">
        <f t="shared" si="190"/>
        <v>0</v>
      </c>
      <c r="W3016">
        <f t="shared" si="191"/>
        <v>0</v>
      </c>
    </row>
    <row r="3017" spans="5:23" x14ac:dyDescent="0.25">
      <c r="E3017" s="4"/>
      <c r="F3017" s="4"/>
      <c r="G3017" s="33" t="str">
        <f>IFERROR(VLOOKUP($D3017,'Informations sur les produits'!$A$3:$H$10000,8,FALSE),"0")</f>
        <v>0</v>
      </c>
      <c r="K3017" s="4"/>
      <c r="L3017" s="33" t="str">
        <f>IFERROR(VLOOKUP($J3017,'Informations sur les produits'!$A$3:$H$10000,8,FALSE),"0")</f>
        <v>0</v>
      </c>
      <c r="N3017" s="8"/>
      <c r="O3017" s="33" t="str">
        <f>IFERROR(VLOOKUP($M3017,'Informations sur les produits'!$A$3:$H$10000,8,FALSE),"0")</f>
        <v>0</v>
      </c>
      <c r="P3017" s="33">
        <f t="shared" si="188"/>
        <v>0</v>
      </c>
      <c r="Q3017" s="31" t="str">
        <f t="shared" si="189"/>
        <v/>
      </c>
      <c r="R3017" s="32" t="str">
        <f>IFERROR(VLOOKUP($D3017,'Informations sur les produits'!$A$3:$B$15000,2,FALSE),"")</f>
        <v/>
      </c>
      <c r="V3017">
        <f t="shared" si="190"/>
        <v>0</v>
      </c>
      <c r="W3017">
        <f t="shared" si="191"/>
        <v>0</v>
      </c>
    </row>
    <row r="3018" spans="5:23" x14ac:dyDescent="0.25">
      <c r="E3018" s="4"/>
      <c r="F3018" s="4"/>
      <c r="G3018" s="33" t="str">
        <f>IFERROR(VLOOKUP($D3018,'Informations sur les produits'!$A$3:$H$10000,8,FALSE),"0")</f>
        <v>0</v>
      </c>
      <c r="K3018" s="4"/>
      <c r="L3018" s="33" t="str">
        <f>IFERROR(VLOOKUP($J3018,'Informations sur les produits'!$A$3:$H$10000,8,FALSE),"0")</f>
        <v>0</v>
      </c>
      <c r="N3018" s="8"/>
      <c r="O3018" s="33" t="str">
        <f>IFERROR(VLOOKUP($M3018,'Informations sur les produits'!$A$3:$H$10000,8,FALSE),"0")</f>
        <v>0</v>
      </c>
      <c r="P3018" s="33">
        <f t="shared" si="188"/>
        <v>0</v>
      </c>
      <c r="Q3018" s="31" t="str">
        <f t="shared" si="189"/>
        <v/>
      </c>
      <c r="R3018" s="32" t="str">
        <f>IFERROR(VLOOKUP($D3018,'Informations sur les produits'!$A$3:$B$15000,2,FALSE),"")</f>
        <v/>
      </c>
      <c r="V3018">
        <f t="shared" si="190"/>
        <v>0</v>
      </c>
      <c r="W3018">
        <f t="shared" si="191"/>
        <v>0</v>
      </c>
    </row>
    <row r="3019" spans="5:23" x14ac:dyDescent="0.25">
      <c r="E3019" s="4"/>
      <c r="F3019" s="4"/>
      <c r="G3019" s="33" t="str">
        <f>IFERROR(VLOOKUP($D3019,'Informations sur les produits'!$A$3:$H$10000,8,FALSE),"0")</f>
        <v>0</v>
      </c>
      <c r="K3019" s="4"/>
      <c r="L3019" s="33" t="str">
        <f>IFERROR(VLOOKUP($J3019,'Informations sur les produits'!$A$3:$H$10000,8,FALSE),"0")</f>
        <v>0</v>
      </c>
      <c r="N3019" s="8"/>
      <c r="O3019" s="33" t="str">
        <f>IFERROR(VLOOKUP($M3019,'Informations sur les produits'!$A$3:$H$10000,8,FALSE),"0")</f>
        <v>0</v>
      </c>
      <c r="P3019" s="33">
        <f t="shared" si="188"/>
        <v>0</v>
      </c>
      <c r="Q3019" s="31" t="str">
        <f t="shared" si="189"/>
        <v/>
      </c>
      <c r="R3019" s="32" t="str">
        <f>IFERROR(VLOOKUP($D3019,'Informations sur les produits'!$A$3:$B$15000,2,FALSE),"")</f>
        <v/>
      </c>
      <c r="V3019">
        <f t="shared" si="190"/>
        <v>0</v>
      </c>
      <c r="W3019">
        <f t="shared" si="191"/>
        <v>0</v>
      </c>
    </row>
    <row r="3020" spans="5:23" x14ac:dyDescent="0.25">
      <c r="E3020" s="4"/>
      <c r="F3020" s="4"/>
      <c r="G3020" s="33" t="str">
        <f>IFERROR(VLOOKUP($D3020,'Informations sur les produits'!$A$3:$H$10000,8,FALSE),"0")</f>
        <v>0</v>
      </c>
      <c r="K3020" s="4"/>
      <c r="L3020" s="33" t="str">
        <f>IFERROR(VLOOKUP($J3020,'Informations sur les produits'!$A$3:$H$10000,8,FALSE),"0")</f>
        <v>0</v>
      </c>
      <c r="N3020" s="8"/>
      <c r="O3020" s="33" t="str">
        <f>IFERROR(VLOOKUP($M3020,'Informations sur les produits'!$A$3:$H$10000,8,FALSE),"0")</f>
        <v>0</v>
      </c>
      <c r="P3020" s="33">
        <f t="shared" si="188"/>
        <v>0</v>
      </c>
      <c r="Q3020" s="31" t="str">
        <f t="shared" si="189"/>
        <v/>
      </c>
      <c r="R3020" s="32" t="str">
        <f>IFERROR(VLOOKUP($D3020,'Informations sur les produits'!$A$3:$B$15000,2,FALSE),"")</f>
        <v/>
      </c>
      <c r="V3020">
        <f t="shared" si="190"/>
        <v>0</v>
      </c>
      <c r="W3020">
        <f t="shared" si="191"/>
        <v>0</v>
      </c>
    </row>
    <row r="3021" spans="5:23" x14ac:dyDescent="0.25">
      <c r="E3021" s="4"/>
      <c r="F3021" s="4"/>
      <c r="G3021" s="33" t="str">
        <f>IFERROR(VLOOKUP($D3021,'Informations sur les produits'!$A$3:$H$10000,8,FALSE),"0")</f>
        <v>0</v>
      </c>
      <c r="K3021" s="4"/>
      <c r="L3021" s="33" t="str">
        <f>IFERROR(VLOOKUP($J3021,'Informations sur les produits'!$A$3:$H$10000,8,FALSE),"0")</f>
        <v>0</v>
      </c>
      <c r="N3021" s="8"/>
      <c r="O3021" s="33" t="str">
        <f>IFERROR(VLOOKUP($M3021,'Informations sur les produits'!$A$3:$H$10000,8,FALSE),"0")</f>
        <v>0</v>
      </c>
      <c r="P3021" s="33">
        <f t="shared" si="188"/>
        <v>0</v>
      </c>
      <c r="Q3021" s="31" t="str">
        <f t="shared" si="189"/>
        <v/>
      </c>
      <c r="R3021" s="32" t="str">
        <f>IFERROR(VLOOKUP($D3021,'Informations sur les produits'!$A$3:$B$15000,2,FALSE),"")</f>
        <v/>
      </c>
      <c r="V3021">
        <f t="shared" si="190"/>
        <v>0</v>
      </c>
      <c r="W3021">
        <f t="shared" si="191"/>
        <v>0</v>
      </c>
    </row>
    <row r="3022" spans="5:23" x14ac:dyDescent="0.25">
      <c r="E3022" s="4"/>
      <c r="F3022" s="4"/>
      <c r="G3022" s="33" t="str">
        <f>IFERROR(VLOOKUP($D3022,'Informations sur les produits'!$A$3:$H$10000,8,FALSE),"0")</f>
        <v>0</v>
      </c>
      <c r="K3022" s="4"/>
      <c r="L3022" s="33" t="str">
        <f>IFERROR(VLOOKUP($J3022,'Informations sur les produits'!$A$3:$H$10000,8,FALSE),"0")</f>
        <v>0</v>
      </c>
      <c r="N3022" s="8"/>
      <c r="O3022" s="33" t="str">
        <f>IFERROR(VLOOKUP($M3022,'Informations sur les produits'!$A$3:$H$10000,8,FALSE),"0")</f>
        <v>0</v>
      </c>
      <c r="P3022" s="33">
        <f t="shared" si="188"/>
        <v>0</v>
      </c>
      <c r="Q3022" s="31" t="str">
        <f t="shared" si="189"/>
        <v/>
      </c>
      <c r="R3022" s="32" t="str">
        <f>IFERROR(VLOOKUP($D3022,'Informations sur les produits'!$A$3:$B$15000,2,FALSE),"")</f>
        <v/>
      </c>
      <c r="V3022">
        <f t="shared" si="190"/>
        <v>0</v>
      </c>
      <c r="W3022">
        <f t="shared" si="191"/>
        <v>0</v>
      </c>
    </row>
    <row r="3023" spans="5:23" x14ac:dyDescent="0.25">
      <c r="E3023" s="4"/>
      <c r="F3023" s="4"/>
      <c r="G3023" s="33" t="str">
        <f>IFERROR(VLOOKUP($D3023,'Informations sur les produits'!$A$3:$H$10000,8,FALSE),"0")</f>
        <v>0</v>
      </c>
      <c r="K3023" s="4"/>
      <c r="L3023" s="33" t="str">
        <f>IFERROR(VLOOKUP($J3023,'Informations sur les produits'!$A$3:$H$10000,8,FALSE),"0")</f>
        <v>0</v>
      </c>
      <c r="N3023" s="8"/>
      <c r="O3023" s="33" t="str">
        <f>IFERROR(VLOOKUP($M3023,'Informations sur les produits'!$A$3:$H$10000,8,FALSE),"0")</f>
        <v>0</v>
      </c>
      <c r="P3023" s="33">
        <f t="shared" si="188"/>
        <v>0</v>
      </c>
      <c r="Q3023" s="31" t="str">
        <f t="shared" si="189"/>
        <v/>
      </c>
      <c r="R3023" s="32" t="str">
        <f>IFERROR(VLOOKUP($D3023,'Informations sur les produits'!$A$3:$B$15000,2,FALSE),"")</f>
        <v/>
      </c>
      <c r="V3023">
        <f t="shared" si="190"/>
        <v>0</v>
      </c>
      <c r="W3023">
        <f t="shared" si="191"/>
        <v>0</v>
      </c>
    </row>
    <row r="3024" spans="5:23" x14ac:dyDescent="0.25">
      <c r="E3024" s="4"/>
      <c r="F3024" s="4"/>
      <c r="G3024" s="33" t="str">
        <f>IFERROR(VLOOKUP($D3024,'Informations sur les produits'!$A$3:$H$10000,8,FALSE),"0")</f>
        <v>0</v>
      </c>
      <c r="K3024" s="4"/>
      <c r="L3024" s="33" t="str">
        <f>IFERROR(VLOOKUP($J3024,'Informations sur les produits'!$A$3:$H$10000,8,FALSE),"0")</f>
        <v>0</v>
      </c>
      <c r="N3024" s="8"/>
      <c r="O3024" s="33" t="str">
        <f>IFERROR(VLOOKUP($M3024,'Informations sur les produits'!$A$3:$H$10000,8,FALSE),"0")</f>
        <v>0</v>
      </c>
      <c r="P3024" s="33">
        <f t="shared" si="188"/>
        <v>0</v>
      </c>
      <c r="Q3024" s="31" t="str">
        <f t="shared" si="189"/>
        <v/>
      </c>
      <c r="R3024" s="32" t="str">
        <f>IFERROR(VLOOKUP($D3024,'Informations sur les produits'!$A$3:$B$15000,2,FALSE),"")</f>
        <v/>
      </c>
      <c r="V3024">
        <f t="shared" si="190"/>
        <v>0</v>
      </c>
      <c r="W3024">
        <f t="shared" si="191"/>
        <v>0</v>
      </c>
    </row>
    <row r="3025" spans="5:23" x14ac:dyDescent="0.25">
      <c r="E3025" s="4"/>
      <c r="F3025" s="4"/>
      <c r="G3025" s="33" t="str">
        <f>IFERROR(VLOOKUP($D3025,'Informations sur les produits'!$A$3:$H$10000,8,FALSE),"0")</f>
        <v>0</v>
      </c>
      <c r="K3025" s="4"/>
      <c r="L3025" s="33" t="str">
        <f>IFERROR(VLOOKUP($J3025,'Informations sur les produits'!$A$3:$H$10000,8,FALSE),"0")</f>
        <v>0</v>
      </c>
      <c r="N3025" s="8"/>
      <c r="O3025" s="33" t="str">
        <f>IFERROR(VLOOKUP($M3025,'Informations sur les produits'!$A$3:$H$10000,8,FALSE),"0")</f>
        <v>0</v>
      </c>
      <c r="P3025" s="33">
        <f t="shared" si="188"/>
        <v>0</v>
      </c>
      <c r="Q3025" s="31" t="str">
        <f t="shared" si="189"/>
        <v/>
      </c>
      <c r="R3025" s="32" t="str">
        <f>IFERROR(VLOOKUP($D3025,'Informations sur les produits'!$A$3:$B$15000,2,FALSE),"")</f>
        <v/>
      </c>
      <c r="V3025">
        <f t="shared" si="190"/>
        <v>0</v>
      </c>
      <c r="W3025">
        <f t="shared" si="191"/>
        <v>0</v>
      </c>
    </row>
    <row r="3026" spans="5:23" x14ac:dyDescent="0.25">
      <c r="E3026" s="4"/>
      <c r="F3026" s="4"/>
      <c r="G3026" s="33" t="str">
        <f>IFERROR(VLOOKUP($D3026,'Informations sur les produits'!$A$3:$H$10000,8,FALSE),"0")</f>
        <v>0</v>
      </c>
      <c r="K3026" s="4"/>
      <c r="L3026" s="33" t="str">
        <f>IFERROR(VLOOKUP($J3026,'Informations sur les produits'!$A$3:$H$10000,8,FALSE),"0")</f>
        <v>0</v>
      </c>
      <c r="N3026" s="8"/>
      <c r="O3026" s="33" t="str">
        <f>IFERROR(VLOOKUP($M3026,'Informations sur les produits'!$A$3:$H$10000,8,FALSE),"0")</f>
        <v>0</v>
      </c>
      <c r="P3026" s="33">
        <f t="shared" si="188"/>
        <v>0</v>
      </c>
      <c r="Q3026" s="31" t="str">
        <f t="shared" si="189"/>
        <v/>
      </c>
      <c r="R3026" s="32" t="str">
        <f>IFERROR(VLOOKUP($D3026,'Informations sur les produits'!$A$3:$B$15000,2,FALSE),"")</f>
        <v/>
      </c>
      <c r="V3026">
        <f t="shared" si="190"/>
        <v>0</v>
      </c>
      <c r="W3026">
        <f t="shared" si="191"/>
        <v>0</v>
      </c>
    </row>
    <row r="3027" spans="5:23" x14ac:dyDescent="0.25">
      <c r="E3027" s="4"/>
      <c r="F3027" s="4"/>
      <c r="G3027" s="33" t="str">
        <f>IFERROR(VLOOKUP($D3027,'Informations sur les produits'!$A$3:$H$10000,8,FALSE),"0")</f>
        <v>0</v>
      </c>
      <c r="K3027" s="4"/>
      <c r="L3027" s="33" t="str">
        <f>IFERROR(VLOOKUP($J3027,'Informations sur les produits'!$A$3:$H$10000,8,FALSE),"0")</f>
        <v>0</v>
      </c>
      <c r="N3027" s="8"/>
      <c r="O3027" s="33" t="str">
        <f>IFERROR(VLOOKUP($M3027,'Informations sur les produits'!$A$3:$H$10000,8,FALSE),"0")</f>
        <v>0</v>
      </c>
      <c r="P3027" s="33">
        <f t="shared" si="188"/>
        <v>0</v>
      </c>
      <c r="Q3027" s="31" t="str">
        <f t="shared" si="189"/>
        <v/>
      </c>
      <c r="R3027" s="32" t="str">
        <f>IFERROR(VLOOKUP($D3027,'Informations sur les produits'!$A$3:$B$15000,2,FALSE),"")</f>
        <v/>
      </c>
      <c r="V3027">
        <f t="shared" si="190"/>
        <v>0</v>
      </c>
      <c r="W3027">
        <f t="shared" si="191"/>
        <v>0</v>
      </c>
    </row>
    <row r="3028" spans="5:23" x14ac:dyDescent="0.25">
      <c r="E3028" s="4"/>
      <c r="F3028" s="4"/>
      <c r="G3028" s="33" t="str">
        <f>IFERROR(VLOOKUP($D3028,'Informations sur les produits'!$A$3:$H$10000,8,FALSE),"0")</f>
        <v>0</v>
      </c>
      <c r="K3028" s="4"/>
      <c r="L3028" s="33" t="str">
        <f>IFERROR(VLOOKUP($J3028,'Informations sur les produits'!$A$3:$H$10000,8,FALSE),"0")</f>
        <v>0</v>
      </c>
      <c r="N3028" s="8"/>
      <c r="O3028" s="33" t="str">
        <f>IFERROR(VLOOKUP($M3028,'Informations sur les produits'!$A$3:$H$10000,8,FALSE),"0")</f>
        <v>0</v>
      </c>
      <c r="P3028" s="33">
        <f t="shared" si="188"/>
        <v>0</v>
      </c>
      <c r="Q3028" s="31" t="str">
        <f t="shared" si="189"/>
        <v/>
      </c>
      <c r="R3028" s="32" t="str">
        <f>IFERROR(VLOOKUP($D3028,'Informations sur les produits'!$A$3:$B$15000,2,FALSE),"")</f>
        <v/>
      </c>
      <c r="V3028">
        <f t="shared" si="190"/>
        <v>0</v>
      </c>
      <c r="W3028">
        <f t="shared" si="191"/>
        <v>0</v>
      </c>
    </row>
    <row r="3029" spans="5:23" x14ac:dyDescent="0.25">
      <c r="E3029" s="4"/>
      <c r="F3029" s="4"/>
      <c r="G3029" s="33" t="str">
        <f>IFERROR(VLOOKUP($D3029,'Informations sur les produits'!$A$3:$H$10000,8,FALSE),"0")</f>
        <v>0</v>
      </c>
      <c r="K3029" s="4"/>
      <c r="L3029" s="33" t="str">
        <f>IFERROR(VLOOKUP($J3029,'Informations sur les produits'!$A$3:$H$10000,8,FALSE),"0")</f>
        <v>0</v>
      </c>
      <c r="N3029" s="8"/>
      <c r="O3029" s="33" t="str">
        <f>IFERROR(VLOOKUP($M3029,'Informations sur les produits'!$A$3:$H$10000,8,FALSE),"0")</f>
        <v>0</v>
      </c>
      <c r="P3029" s="33">
        <f t="shared" si="188"/>
        <v>0</v>
      </c>
      <c r="Q3029" s="31" t="str">
        <f t="shared" si="189"/>
        <v/>
      </c>
      <c r="R3029" s="32" t="str">
        <f>IFERROR(VLOOKUP($D3029,'Informations sur les produits'!$A$3:$B$15000,2,FALSE),"")</f>
        <v/>
      </c>
      <c r="V3029">
        <f t="shared" si="190"/>
        <v>0</v>
      </c>
      <c r="W3029">
        <f t="shared" si="191"/>
        <v>0</v>
      </c>
    </row>
    <row r="3030" spans="5:23" x14ac:dyDescent="0.25">
      <c r="E3030" s="4"/>
      <c r="F3030" s="4"/>
      <c r="G3030" s="33" t="str">
        <f>IFERROR(VLOOKUP($D3030,'Informations sur les produits'!$A$3:$H$10000,8,FALSE),"0")</f>
        <v>0</v>
      </c>
      <c r="K3030" s="4"/>
      <c r="L3030" s="33" t="str">
        <f>IFERROR(VLOOKUP($J3030,'Informations sur les produits'!$A$3:$H$10000,8,FALSE),"0")</f>
        <v>0</v>
      </c>
      <c r="N3030" s="8"/>
      <c r="O3030" s="33" t="str">
        <f>IFERROR(VLOOKUP($M3030,'Informations sur les produits'!$A$3:$H$10000,8,FALSE),"0")</f>
        <v>0</v>
      </c>
      <c r="P3030" s="33">
        <f t="shared" si="188"/>
        <v>0</v>
      </c>
      <c r="Q3030" s="31" t="str">
        <f t="shared" si="189"/>
        <v/>
      </c>
      <c r="R3030" s="32" t="str">
        <f>IFERROR(VLOOKUP($D3030,'Informations sur les produits'!$A$3:$B$15000,2,FALSE),"")</f>
        <v/>
      </c>
      <c r="V3030">
        <f t="shared" si="190"/>
        <v>0</v>
      </c>
      <c r="W3030">
        <f t="shared" si="191"/>
        <v>0</v>
      </c>
    </row>
    <row r="3031" spans="5:23" x14ac:dyDescent="0.25">
      <c r="E3031" s="4"/>
      <c r="F3031" s="4"/>
      <c r="G3031" s="33" t="str">
        <f>IFERROR(VLOOKUP($D3031,'Informations sur les produits'!$A$3:$H$10000,8,FALSE),"0")</f>
        <v>0</v>
      </c>
      <c r="K3031" s="4"/>
      <c r="L3031" s="33" t="str">
        <f>IFERROR(VLOOKUP($J3031,'Informations sur les produits'!$A$3:$H$10000,8,FALSE),"0")</f>
        <v>0</v>
      </c>
      <c r="N3031" s="8"/>
      <c r="O3031" s="33" t="str">
        <f>IFERROR(VLOOKUP($M3031,'Informations sur les produits'!$A$3:$H$10000,8,FALSE),"0")</f>
        <v>0</v>
      </c>
      <c r="P3031" s="33">
        <f t="shared" si="188"/>
        <v>0</v>
      </c>
      <c r="Q3031" s="31" t="str">
        <f t="shared" si="189"/>
        <v/>
      </c>
      <c r="R3031" s="32" t="str">
        <f>IFERROR(VLOOKUP($D3031,'Informations sur les produits'!$A$3:$B$15000,2,FALSE),"")</f>
        <v/>
      </c>
      <c r="V3031">
        <f t="shared" si="190"/>
        <v>0</v>
      </c>
      <c r="W3031">
        <f t="shared" si="191"/>
        <v>0</v>
      </c>
    </row>
    <row r="3032" spans="5:23" x14ac:dyDescent="0.25">
      <c r="E3032" s="4"/>
      <c r="F3032" s="4"/>
      <c r="G3032" s="33" t="str">
        <f>IFERROR(VLOOKUP($D3032,'Informations sur les produits'!$A$3:$H$10000,8,FALSE),"0")</f>
        <v>0</v>
      </c>
      <c r="K3032" s="4"/>
      <c r="L3032" s="33" t="str">
        <f>IFERROR(VLOOKUP($J3032,'Informations sur les produits'!$A$3:$H$10000,8,FALSE),"0")</f>
        <v>0</v>
      </c>
      <c r="N3032" s="8"/>
      <c r="O3032" s="33" t="str">
        <f>IFERROR(VLOOKUP($M3032,'Informations sur les produits'!$A$3:$H$10000,8,FALSE),"0")</f>
        <v>0</v>
      </c>
      <c r="P3032" s="33">
        <f t="shared" si="188"/>
        <v>0</v>
      </c>
      <c r="Q3032" s="31" t="str">
        <f t="shared" si="189"/>
        <v/>
      </c>
      <c r="R3032" s="32" t="str">
        <f>IFERROR(VLOOKUP($D3032,'Informations sur les produits'!$A$3:$B$15000,2,FALSE),"")</f>
        <v/>
      </c>
      <c r="V3032">
        <f t="shared" si="190"/>
        <v>0</v>
      </c>
      <c r="W3032">
        <f t="shared" si="191"/>
        <v>0</v>
      </c>
    </row>
    <row r="3033" spans="5:23" x14ac:dyDescent="0.25">
      <c r="E3033" s="4"/>
      <c r="F3033" s="4"/>
      <c r="G3033" s="33" t="str">
        <f>IFERROR(VLOOKUP($D3033,'Informations sur les produits'!$A$3:$H$10000,8,FALSE),"0")</f>
        <v>0</v>
      </c>
      <c r="K3033" s="4"/>
      <c r="L3033" s="33" t="str">
        <f>IFERROR(VLOOKUP($J3033,'Informations sur les produits'!$A$3:$H$10000,8,FALSE),"0")</f>
        <v>0</v>
      </c>
      <c r="N3033" s="8"/>
      <c r="O3033" s="33" t="str">
        <f>IFERROR(VLOOKUP($M3033,'Informations sur les produits'!$A$3:$H$10000,8,FALSE),"0")</f>
        <v>0</v>
      </c>
      <c r="P3033" s="33">
        <f t="shared" si="188"/>
        <v>0</v>
      </c>
      <c r="Q3033" s="31" t="str">
        <f t="shared" si="189"/>
        <v/>
      </c>
      <c r="R3033" s="32" t="str">
        <f>IFERROR(VLOOKUP($D3033,'Informations sur les produits'!$A$3:$B$15000,2,FALSE),"")</f>
        <v/>
      </c>
      <c r="V3033">
        <f t="shared" si="190"/>
        <v>0</v>
      </c>
      <c r="W3033">
        <f t="shared" si="191"/>
        <v>0</v>
      </c>
    </row>
    <row r="3034" spans="5:23" x14ac:dyDescent="0.25">
      <c r="E3034" s="4"/>
      <c r="F3034" s="4"/>
      <c r="G3034" s="33" t="str">
        <f>IFERROR(VLOOKUP($D3034,'Informations sur les produits'!$A$3:$H$10000,8,FALSE),"0")</f>
        <v>0</v>
      </c>
      <c r="K3034" s="4"/>
      <c r="L3034" s="33" t="str">
        <f>IFERROR(VLOOKUP($J3034,'Informations sur les produits'!$A$3:$H$10000,8,FALSE),"0")</f>
        <v>0</v>
      </c>
      <c r="N3034" s="8"/>
      <c r="O3034" s="33" t="str">
        <f>IFERROR(VLOOKUP($M3034,'Informations sur les produits'!$A$3:$H$10000,8,FALSE),"0")</f>
        <v>0</v>
      </c>
      <c r="P3034" s="33">
        <f t="shared" si="188"/>
        <v>0</v>
      </c>
      <c r="Q3034" s="31" t="str">
        <f t="shared" si="189"/>
        <v/>
      </c>
      <c r="R3034" s="32" t="str">
        <f>IFERROR(VLOOKUP($D3034,'Informations sur les produits'!$A$3:$B$15000,2,FALSE),"")</f>
        <v/>
      </c>
      <c r="V3034">
        <f t="shared" si="190"/>
        <v>0</v>
      </c>
      <c r="W3034">
        <f t="shared" si="191"/>
        <v>0</v>
      </c>
    </row>
    <row r="3035" spans="5:23" x14ac:dyDescent="0.25">
      <c r="E3035" s="4"/>
      <c r="F3035" s="4"/>
      <c r="G3035" s="33" t="str">
        <f>IFERROR(VLOOKUP($D3035,'Informations sur les produits'!$A$3:$H$10000,8,FALSE),"0")</f>
        <v>0</v>
      </c>
      <c r="K3035" s="4"/>
      <c r="L3035" s="33" t="str">
        <f>IFERROR(VLOOKUP($J3035,'Informations sur les produits'!$A$3:$H$10000,8,FALSE),"0")</f>
        <v>0</v>
      </c>
      <c r="N3035" s="8"/>
      <c r="O3035" s="33" t="str">
        <f>IFERROR(VLOOKUP($M3035,'Informations sur les produits'!$A$3:$H$10000,8,FALSE),"0")</f>
        <v>0</v>
      </c>
      <c r="P3035" s="33">
        <f t="shared" si="188"/>
        <v>0</v>
      </c>
      <c r="Q3035" s="31" t="str">
        <f t="shared" si="189"/>
        <v/>
      </c>
      <c r="R3035" s="32" t="str">
        <f>IFERROR(VLOOKUP($D3035,'Informations sur les produits'!$A$3:$B$15000,2,FALSE),"")</f>
        <v/>
      </c>
      <c r="V3035">
        <f t="shared" si="190"/>
        <v>0</v>
      </c>
      <c r="W3035">
        <f t="shared" si="191"/>
        <v>0</v>
      </c>
    </row>
    <row r="3036" spans="5:23" x14ac:dyDescent="0.25">
      <c r="E3036" s="4"/>
      <c r="F3036" s="4"/>
      <c r="G3036" s="33" t="str">
        <f>IFERROR(VLOOKUP($D3036,'Informations sur les produits'!$A$3:$H$10000,8,FALSE),"0")</f>
        <v>0</v>
      </c>
      <c r="K3036" s="4"/>
      <c r="L3036" s="33" t="str">
        <f>IFERROR(VLOOKUP($J3036,'Informations sur les produits'!$A$3:$H$10000,8,FALSE),"0")</f>
        <v>0</v>
      </c>
      <c r="N3036" s="8"/>
      <c r="O3036" s="33" t="str">
        <f>IFERROR(VLOOKUP($M3036,'Informations sur les produits'!$A$3:$H$10000,8,FALSE),"0")</f>
        <v>0</v>
      </c>
      <c r="P3036" s="33">
        <f t="shared" si="188"/>
        <v>0</v>
      </c>
      <c r="Q3036" s="31" t="str">
        <f t="shared" si="189"/>
        <v/>
      </c>
      <c r="R3036" s="32" t="str">
        <f>IFERROR(VLOOKUP($D3036,'Informations sur les produits'!$A$3:$B$15000,2,FALSE),"")</f>
        <v/>
      </c>
      <c r="V3036">
        <f t="shared" si="190"/>
        <v>0</v>
      </c>
      <c r="W3036">
        <f t="shared" si="191"/>
        <v>0</v>
      </c>
    </row>
    <row r="3037" spans="5:23" x14ac:dyDescent="0.25">
      <c r="E3037" s="4"/>
      <c r="F3037" s="4"/>
      <c r="G3037" s="33" t="str">
        <f>IFERROR(VLOOKUP($D3037,'Informations sur les produits'!$A$3:$H$10000,8,FALSE),"0")</f>
        <v>0</v>
      </c>
      <c r="K3037" s="4"/>
      <c r="L3037" s="33" t="str">
        <f>IFERROR(VLOOKUP($J3037,'Informations sur les produits'!$A$3:$H$10000,8,FALSE),"0")</f>
        <v>0</v>
      </c>
      <c r="N3037" s="8"/>
      <c r="O3037" s="33" t="str">
        <f>IFERROR(VLOOKUP($M3037,'Informations sur les produits'!$A$3:$H$10000,8,FALSE),"0")</f>
        <v>0</v>
      </c>
      <c r="P3037" s="33">
        <f t="shared" si="188"/>
        <v>0</v>
      </c>
      <c r="Q3037" s="31" t="str">
        <f t="shared" si="189"/>
        <v/>
      </c>
      <c r="R3037" s="32" t="str">
        <f>IFERROR(VLOOKUP($D3037,'Informations sur les produits'!$A$3:$B$15000,2,FALSE),"")</f>
        <v/>
      </c>
      <c r="V3037">
        <f t="shared" si="190"/>
        <v>0</v>
      </c>
      <c r="W3037">
        <f t="shared" si="191"/>
        <v>0</v>
      </c>
    </row>
    <row r="3038" spans="5:23" x14ac:dyDescent="0.25">
      <c r="E3038" s="4"/>
      <c r="F3038" s="4"/>
      <c r="G3038" s="33" t="str">
        <f>IFERROR(VLOOKUP($D3038,'Informations sur les produits'!$A$3:$H$10000,8,FALSE),"0")</f>
        <v>0</v>
      </c>
      <c r="K3038" s="4"/>
      <c r="L3038" s="33" t="str">
        <f>IFERROR(VLOOKUP($J3038,'Informations sur les produits'!$A$3:$H$10000,8,FALSE),"0")</f>
        <v>0</v>
      </c>
      <c r="N3038" s="8"/>
      <c r="O3038" s="33" t="str">
        <f>IFERROR(VLOOKUP($M3038,'Informations sur les produits'!$A$3:$H$10000,8,FALSE),"0")</f>
        <v>0</v>
      </c>
      <c r="P3038" s="33">
        <f t="shared" si="188"/>
        <v>0</v>
      </c>
      <c r="Q3038" s="31" t="str">
        <f t="shared" si="189"/>
        <v/>
      </c>
      <c r="R3038" s="32" t="str">
        <f>IFERROR(VLOOKUP($D3038,'Informations sur les produits'!$A$3:$B$15000,2,FALSE),"")</f>
        <v/>
      </c>
      <c r="V3038">
        <f t="shared" si="190"/>
        <v>0</v>
      </c>
      <c r="W3038">
        <f t="shared" si="191"/>
        <v>0</v>
      </c>
    </row>
    <row r="3039" spans="5:23" x14ac:dyDescent="0.25">
      <c r="E3039" s="4"/>
      <c r="F3039" s="4"/>
      <c r="G3039" s="33" t="str">
        <f>IFERROR(VLOOKUP($D3039,'Informations sur les produits'!$A$3:$H$10000,8,FALSE),"0")</f>
        <v>0</v>
      </c>
      <c r="K3039" s="4"/>
      <c r="L3039" s="33" t="str">
        <f>IFERROR(VLOOKUP($J3039,'Informations sur les produits'!$A$3:$H$10000,8,FALSE),"0")</f>
        <v>0</v>
      </c>
      <c r="N3039" s="8"/>
      <c r="O3039" s="33" t="str">
        <f>IFERROR(VLOOKUP($M3039,'Informations sur les produits'!$A$3:$H$10000,8,FALSE),"0")</f>
        <v>0</v>
      </c>
      <c r="P3039" s="33">
        <f t="shared" si="188"/>
        <v>0</v>
      </c>
      <c r="Q3039" s="31" t="str">
        <f t="shared" si="189"/>
        <v/>
      </c>
      <c r="R3039" s="32" t="str">
        <f>IFERROR(VLOOKUP($D3039,'Informations sur les produits'!$A$3:$B$15000,2,FALSE),"")</f>
        <v/>
      </c>
      <c r="V3039">
        <f t="shared" si="190"/>
        <v>0</v>
      </c>
      <c r="W3039">
        <f t="shared" si="191"/>
        <v>0</v>
      </c>
    </row>
    <row r="3040" spans="5:23" x14ac:dyDescent="0.25">
      <c r="E3040" s="4"/>
      <c r="F3040" s="4"/>
      <c r="G3040" s="33" t="str">
        <f>IFERROR(VLOOKUP($D3040,'Informations sur les produits'!$A$3:$H$10000,8,FALSE),"0")</f>
        <v>0</v>
      </c>
      <c r="K3040" s="4"/>
      <c r="L3040" s="33" t="str">
        <f>IFERROR(VLOOKUP($J3040,'Informations sur les produits'!$A$3:$H$10000,8,FALSE),"0")</f>
        <v>0</v>
      </c>
      <c r="N3040" s="8"/>
      <c r="O3040" s="33" t="str">
        <f>IFERROR(VLOOKUP($M3040,'Informations sur les produits'!$A$3:$H$10000,8,FALSE),"0")</f>
        <v>0</v>
      </c>
      <c r="P3040" s="33">
        <f t="shared" si="188"/>
        <v>0</v>
      </c>
      <c r="Q3040" s="31" t="str">
        <f t="shared" si="189"/>
        <v/>
      </c>
      <c r="R3040" s="32" t="str">
        <f>IFERROR(VLOOKUP($D3040,'Informations sur les produits'!$A$3:$B$15000,2,FALSE),"")</f>
        <v/>
      </c>
      <c r="V3040">
        <f t="shared" si="190"/>
        <v>0</v>
      </c>
      <c r="W3040">
        <f t="shared" si="191"/>
        <v>0</v>
      </c>
    </row>
    <row r="3041" spans="5:23" x14ac:dyDescent="0.25">
      <c r="E3041" s="4"/>
      <c r="F3041" s="4"/>
      <c r="G3041" s="33" t="str">
        <f>IFERROR(VLOOKUP($D3041,'Informations sur les produits'!$A$3:$H$10000,8,FALSE),"0")</f>
        <v>0</v>
      </c>
      <c r="K3041" s="4"/>
      <c r="L3041" s="33" t="str">
        <f>IFERROR(VLOOKUP($J3041,'Informations sur les produits'!$A$3:$H$10000,8,FALSE),"0")</f>
        <v>0</v>
      </c>
      <c r="N3041" s="8"/>
      <c r="O3041" s="33" t="str">
        <f>IFERROR(VLOOKUP($M3041,'Informations sur les produits'!$A$3:$H$10000,8,FALSE),"0")</f>
        <v>0</v>
      </c>
      <c r="P3041" s="33">
        <f t="shared" si="188"/>
        <v>0</v>
      </c>
      <c r="Q3041" s="31" t="str">
        <f t="shared" si="189"/>
        <v/>
      </c>
      <c r="R3041" s="32" t="str">
        <f>IFERROR(VLOOKUP($D3041,'Informations sur les produits'!$A$3:$B$15000,2,FALSE),"")</f>
        <v/>
      </c>
      <c r="V3041">
        <f t="shared" si="190"/>
        <v>0</v>
      </c>
      <c r="W3041">
        <f t="shared" si="191"/>
        <v>0</v>
      </c>
    </row>
    <row r="3042" spans="5:23" x14ac:dyDescent="0.25">
      <c r="E3042" s="4"/>
      <c r="F3042" s="4"/>
      <c r="G3042" s="33" t="str">
        <f>IFERROR(VLOOKUP($D3042,'Informations sur les produits'!$A$3:$H$10000,8,FALSE),"0")</f>
        <v>0</v>
      </c>
      <c r="K3042" s="4"/>
      <c r="L3042" s="33" t="str">
        <f>IFERROR(VLOOKUP($J3042,'Informations sur les produits'!$A$3:$H$10000,8,FALSE),"0")</f>
        <v>0</v>
      </c>
      <c r="N3042" s="8"/>
      <c r="O3042" s="33" t="str">
        <f>IFERROR(VLOOKUP($M3042,'Informations sur les produits'!$A$3:$H$10000,8,FALSE),"0")</f>
        <v>0</v>
      </c>
      <c r="P3042" s="33">
        <f t="shared" si="188"/>
        <v>0</v>
      </c>
      <c r="Q3042" s="31" t="str">
        <f t="shared" si="189"/>
        <v/>
      </c>
      <c r="R3042" s="32" t="str">
        <f>IFERROR(VLOOKUP($D3042,'Informations sur les produits'!$A$3:$B$15000,2,FALSE),"")</f>
        <v/>
      </c>
      <c r="V3042">
        <f t="shared" si="190"/>
        <v>0</v>
      </c>
      <c r="W3042">
        <f t="shared" si="191"/>
        <v>0</v>
      </c>
    </row>
    <row r="3043" spans="5:23" x14ac:dyDescent="0.25">
      <c r="E3043" s="4"/>
      <c r="F3043" s="4"/>
      <c r="G3043" s="33" t="str">
        <f>IFERROR(VLOOKUP($D3043,'Informations sur les produits'!$A$3:$H$10000,8,FALSE),"0")</f>
        <v>0</v>
      </c>
      <c r="K3043" s="4"/>
      <c r="L3043" s="33" t="str">
        <f>IFERROR(VLOOKUP($J3043,'Informations sur les produits'!$A$3:$H$10000,8,FALSE),"0")</f>
        <v>0</v>
      </c>
      <c r="N3043" s="8"/>
      <c r="O3043" s="33" t="str">
        <f>IFERROR(VLOOKUP($M3043,'Informations sur les produits'!$A$3:$H$10000,8,FALSE),"0")</f>
        <v>0</v>
      </c>
      <c r="P3043" s="33">
        <f t="shared" si="188"/>
        <v>0</v>
      </c>
      <c r="Q3043" s="31" t="str">
        <f t="shared" si="189"/>
        <v/>
      </c>
      <c r="R3043" s="32" t="str">
        <f>IFERROR(VLOOKUP($D3043,'Informations sur les produits'!$A$3:$B$15000,2,FALSE),"")</f>
        <v/>
      </c>
      <c r="V3043">
        <f t="shared" si="190"/>
        <v>0</v>
      </c>
      <c r="W3043">
        <f t="shared" si="191"/>
        <v>0</v>
      </c>
    </row>
    <row r="3044" spans="5:23" x14ac:dyDescent="0.25">
      <c r="E3044" s="4"/>
      <c r="F3044" s="4"/>
      <c r="G3044" s="33" t="str">
        <f>IFERROR(VLOOKUP($D3044,'Informations sur les produits'!$A$3:$H$10000,8,FALSE),"0")</f>
        <v>0</v>
      </c>
      <c r="K3044" s="4"/>
      <c r="L3044" s="33" t="str">
        <f>IFERROR(VLOOKUP($J3044,'Informations sur les produits'!$A$3:$H$10000,8,FALSE),"0")</f>
        <v>0</v>
      </c>
      <c r="N3044" s="8"/>
      <c r="O3044" s="33" t="str">
        <f>IFERROR(VLOOKUP($M3044,'Informations sur les produits'!$A$3:$H$10000,8,FALSE),"0")</f>
        <v>0</v>
      </c>
      <c r="P3044" s="33">
        <f t="shared" si="188"/>
        <v>0</v>
      </c>
      <c r="Q3044" s="31" t="str">
        <f t="shared" si="189"/>
        <v/>
      </c>
      <c r="R3044" s="32" t="str">
        <f>IFERROR(VLOOKUP($D3044,'Informations sur les produits'!$A$3:$B$15000,2,FALSE),"")</f>
        <v/>
      </c>
      <c r="V3044">
        <f t="shared" si="190"/>
        <v>0</v>
      </c>
      <c r="W3044">
        <f t="shared" si="191"/>
        <v>0</v>
      </c>
    </row>
    <row r="3045" spans="5:23" x14ac:dyDescent="0.25">
      <c r="E3045" s="4"/>
      <c r="F3045" s="4"/>
      <c r="G3045" s="33" t="str">
        <f>IFERROR(VLOOKUP($D3045,'Informations sur les produits'!$A$3:$H$10000,8,FALSE),"0")</f>
        <v>0</v>
      </c>
      <c r="K3045" s="4"/>
      <c r="L3045" s="33" t="str">
        <f>IFERROR(VLOOKUP($J3045,'Informations sur les produits'!$A$3:$H$10000,8,FALSE),"0")</f>
        <v>0</v>
      </c>
      <c r="N3045" s="8"/>
      <c r="O3045" s="33" t="str">
        <f>IFERROR(VLOOKUP($M3045,'Informations sur les produits'!$A$3:$H$10000,8,FALSE),"0")</f>
        <v>0</v>
      </c>
      <c r="P3045" s="33">
        <f t="shared" si="188"/>
        <v>0</v>
      </c>
      <c r="Q3045" s="31" t="str">
        <f t="shared" si="189"/>
        <v/>
      </c>
      <c r="R3045" s="32" t="str">
        <f>IFERROR(VLOOKUP($D3045,'Informations sur les produits'!$A$3:$B$15000,2,FALSE),"")</f>
        <v/>
      </c>
      <c r="V3045">
        <f t="shared" si="190"/>
        <v>0</v>
      </c>
      <c r="W3045">
        <f t="shared" si="191"/>
        <v>0</v>
      </c>
    </row>
    <row r="3046" spans="5:23" x14ac:dyDescent="0.25">
      <c r="E3046" s="4"/>
      <c r="F3046" s="4"/>
      <c r="G3046" s="33" t="str">
        <f>IFERROR(VLOOKUP($D3046,'Informations sur les produits'!$A$3:$H$10000,8,FALSE),"0")</f>
        <v>0</v>
      </c>
      <c r="K3046" s="4"/>
      <c r="L3046" s="33" t="str">
        <f>IFERROR(VLOOKUP($J3046,'Informations sur les produits'!$A$3:$H$10000,8,FALSE),"0")</f>
        <v>0</v>
      </c>
      <c r="N3046" s="8"/>
      <c r="O3046" s="33" t="str">
        <f>IFERROR(VLOOKUP($M3046,'Informations sur les produits'!$A$3:$H$10000,8,FALSE),"0")</f>
        <v>0</v>
      </c>
      <c r="P3046" s="33">
        <f t="shared" si="188"/>
        <v>0</v>
      </c>
      <c r="Q3046" s="31" t="str">
        <f t="shared" si="189"/>
        <v/>
      </c>
      <c r="R3046" s="32" t="str">
        <f>IFERROR(VLOOKUP($D3046,'Informations sur les produits'!$A$3:$B$15000,2,FALSE),"")</f>
        <v/>
      </c>
      <c r="V3046">
        <f t="shared" si="190"/>
        <v>0</v>
      </c>
      <c r="W3046">
        <f t="shared" si="191"/>
        <v>0</v>
      </c>
    </row>
    <row r="3047" spans="5:23" x14ac:dyDescent="0.25">
      <c r="E3047" s="4"/>
      <c r="F3047" s="4"/>
      <c r="G3047" s="33" t="str">
        <f>IFERROR(VLOOKUP($D3047,'Informations sur les produits'!$A$3:$H$10000,8,FALSE),"0")</f>
        <v>0</v>
      </c>
      <c r="K3047" s="4"/>
      <c r="L3047" s="33" t="str">
        <f>IFERROR(VLOOKUP($J3047,'Informations sur les produits'!$A$3:$H$10000,8,FALSE),"0")</f>
        <v>0</v>
      </c>
      <c r="N3047" s="8"/>
      <c r="O3047" s="33" t="str">
        <f>IFERROR(VLOOKUP($M3047,'Informations sur les produits'!$A$3:$H$10000,8,FALSE),"0")</f>
        <v>0</v>
      </c>
      <c r="P3047" s="33">
        <f t="shared" si="188"/>
        <v>0</v>
      </c>
      <c r="Q3047" s="31" t="str">
        <f t="shared" si="189"/>
        <v/>
      </c>
      <c r="R3047" s="32" t="str">
        <f>IFERROR(VLOOKUP($D3047,'Informations sur les produits'!$A$3:$B$15000,2,FALSE),"")</f>
        <v/>
      </c>
      <c r="V3047">
        <f t="shared" si="190"/>
        <v>0</v>
      </c>
      <c r="W3047">
        <f t="shared" si="191"/>
        <v>0</v>
      </c>
    </row>
    <row r="3048" spans="5:23" x14ac:dyDescent="0.25">
      <c r="E3048" s="4"/>
      <c r="F3048" s="4"/>
      <c r="G3048" s="33" t="str">
        <f>IFERROR(VLOOKUP($D3048,'Informations sur les produits'!$A$3:$H$10000,8,FALSE),"0")</f>
        <v>0</v>
      </c>
      <c r="K3048" s="4"/>
      <c r="L3048" s="33" t="str">
        <f>IFERROR(VLOOKUP($J3048,'Informations sur les produits'!$A$3:$H$10000,8,FALSE),"0")</f>
        <v>0</v>
      </c>
      <c r="N3048" s="8"/>
      <c r="O3048" s="33" t="str">
        <f>IFERROR(VLOOKUP($M3048,'Informations sur les produits'!$A$3:$H$10000,8,FALSE),"0")</f>
        <v>0</v>
      </c>
      <c r="P3048" s="33">
        <f t="shared" si="188"/>
        <v>0</v>
      </c>
      <c r="Q3048" s="31" t="str">
        <f t="shared" si="189"/>
        <v/>
      </c>
      <c r="R3048" s="32" t="str">
        <f>IFERROR(VLOOKUP($D3048,'Informations sur les produits'!$A$3:$B$15000,2,FALSE),"")</f>
        <v/>
      </c>
      <c r="V3048">
        <f t="shared" si="190"/>
        <v>0</v>
      </c>
      <c r="W3048">
        <f t="shared" si="191"/>
        <v>0</v>
      </c>
    </row>
    <row r="3049" spans="5:23" x14ac:dyDescent="0.25">
      <c r="E3049" s="4"/>
      <c r="F3049" s="4"/>
      <c r="G3049" s="33" t="str">
        <f>IFERROR(VLOOKUP($D3049,'Informations sur les produits'!$A$3:$H$10000,8,FALSE),"0")</f>
        <v>0</v>
      </c>
      <c r="K3049" s="4"/>
      <c r="L3049" s="33" t="str">
        <f>IFERROR(VLOOKUP($J3049,'Informations sur les produits'!$A$3:$H$10000,8,FALSE),"0")</f>
        <v>0</v>
      </c>
      <c r="N3049" s="8"/>
      <c r="O3049" s="33" t="str">
        <f>IFERROR(VLOOKUP($M3049,'Informations sur les produits'!$A$3:$H$10000,8,FALSE),"0")</f>
        <v>0</v>
      </c>
      <c r="P3049" s="33">
        <f t="shared" si="188"/>
        <v>0</v>
      </c>
      <c r="Q3049" s="31" t="str">
        <f t="shared" si="189"/>
        <v/>
      </c>
      <c r="R3049" s="32" t="str">
        <f>IFERROR(VLOOKUP($D3049,'Informations sur les produits'!$A$3:$B$15000,2,FALSE),"")</f>
        <v/>
      </c>
      <c r="V3049">
        <f t="shared" si="190"/>
        <v>0</v>
      </c>
      <c r="W3049">
        <f t="shared" si="191"/>
        <v>0</v>
      </c>
    </row>
    <row r="3050" spans="5:23" x14ac:dyDescent="0.25">
      <c r="E3050" s="4"/>
      <c r="F3050" s="4"/>
      <c r="G3050" s="33" t="str">
        <f>IFERROR(VLOOKUP($D3050,'Informations sur les produits'!$A$3:$H$10000,8,FALSE),"0")</f>
        <v>0</v>
      </c>
      <c r="K3050" s="4"/>
      <c r="L3050" s="33" t="str">
        <f>IFERROR(VLOOKUP($J3050,'Informations sur les produits'!$A$3:$H$10000,8,FALSE),"0")</f>
        <v>0</v>
      </c>
      <c r="N3050" s="8"/>
      <c r="O3050" s="33" t="str">
        <f>IFERROR(VLOOKUP($M3050,'Informations sur les produits'!$A$3:$H$10000,8,FALSE),"0")</f>
        <v>0</v>
      </c>
      <c r="P3050" s="33">
        <f t="shared" si="188"/>
        <v>0</v>
      </c>
      <c r="Q3050" s="31" t="str">
        <f t="shared" si="189"/>
        <v/>
      </c>
      <c r="R3050" s="32" t="str">
        <f>IFERROR(VLOOKUP($D3050,'Informations sur les produits'!$A$3:$B$15000,2,FALSE),"")</f>
        <v/>
      </c>
      <c r="V3050">
        <f t="shared" si="190"/>
        <v>0</v>
      </c>
      <c r="W3050">
        <f t="shared" si="191"/>
        <v>0</v>
      </c>
    </row>
    <row r="3051" spans="5:23" x14ac:dyDescent="0.25">
      <c r="E3051" s="4"/>
      <c r="F3051" s="4"/>
      <c r="G3051" s="33" t="str">
        <f>IFERROR(VLOOKUP($D3051,'Informations sur les produits'!$A$3:$H$10000,8,FALSE),"0")</f>
        <v>0</v>
      </c>
      <c r="K3051" s="4"/>
      <c r="L3051" s="33" t="str">
        <f>IFERROR(VLOOKUP($J3051,'Informations sur les produits'!$A$3:$H$10000,8,FALSE),"0")</f>
        <v>0</v>
      </c>
      <c r="N3051" s="8"/>
      <c r="O3051" s="33" t="str">
        <f>IFERROR(VLOOKUP($M3051,'Informations sur les produits'!$A$3:$H$10000,8,FALSE),"0")</f>
        <v>0</v>
      </c>
      <c r="P3051" s="33">
        <f t="shared" si="188"/>
        <v>0</v>
      </c>
      <c r="Q3051" s="31" t="str">
        <f t="shared" si="189"/>
        <v/>
      </c>
      <c r="R3051" s="32" t="str">
        <f>IFERROR(VLOOKUP($D3051,'Informations sur les produits'!$A$3:$B$15000,2,FALSE),"")</f>
        <v/>
      </c>
      <c r="V3051">
        <f t="shared" si="190"/>
        <v>0</v>
      </c>
      <c r="W3051">
        <f t="shared" si="191"/>
        <v>0</v>
      </c>
    </row>
    <row r="3052" spans="5:23" x14ac:dyDescent="0.25">
      <c r="E3052" s="4"/>
      <c r="F3052" s="4"/>
      <c r="G3052" s="33" t="str">
        <f>IFERROR(VLOOKUP($D3052,'Informations sur les produits'!$A$3:$H$10000,8,FALSE),"0")</f>
        <v>0</v>
      </c>
      <c r="K3052" s="4"/>
      <c r="L3052" s="33" t="str">
        <f>IFERROR(VLOOKUP($J3052,'Informations sur les produits'!$A$3:$H$10000,8,FALSE),"0")</f>
        <v>0</v>
      </c>
      <c r="N3052" s="8"/>
      <c r="O3052" s="33" t="str">
        <f>IFERROR(VLOOKUP($M3052,'Informations sur les produits'!$A$3:$H$10000,8,FALSE),"0")</f>
        <v>0</v>
      </c>
      <c r="P3052" s="33">
        <f t="shared" si="188"/>
        <v>0</v>
      </c>
      <c r="Q3052" s="31" t="str">
        <f t="shared" si="189"/>
        <v/>
      </c>
      <c r="R3052" s="32" t="str">
        <f>IFERROR(VLOOKUP($D3052,'Informations sur les produits'!$A$3:$B$15000,2,FALSE),"")</f>
        <v/>
      </c>
      <c r="V3052">
        <f t="shared" si="190"/>
        <v>0</v>
      </c>
      <c r="W3052">
        <f t="shared" si="191"/>
        <v>0</v>
      </c>
    </row>
    <row r="3053" spans="5:23" x14ac:dyDescent="0.25">
      <c r="E3053" s="4"/>
      <c r="F3053" s="4"/>
      <c r="G3053" s="33" t="str">
        <f>IFERROR(VLOOKUP($D3053,'Informations sur les produits'!$A$3:$H$10000,8,FALSE),"0")</f>
        <v>0</v>
      </c>
      <c r="K3053" s="4"/>
      <c r="L3053" s="33" t="str">
        <f>IFERROR(VLOOKUP($J3053,'Informations sur les produits'!$A$3:$H$10000,8,FALSE),"0")</f>
        <v>0</v>
      </c>
      <c r="N3053" s="8"/>
      <c r="O3053" s="33" t="str">
        <f>IFERROR(VLOOKUP($M3053,'Informations sur les produits'!$A$3:$H$10000,8,FALSE),"0")</f>
        <v>0</v>
      </c>
      <c r="P3053" s="33">
        <f t="shared" si="188"/>
        <v>0</v>
      </c>
      <c r="Q3053" s="31" t="str">
        <f t="shared" si="189"/>
        <v/>
      </c>
      <c r="R3053" s="32" t="str">
        <f>IFERROR(VLOOKUP($D3053,'Informations sur les produits'!$A$3:$B$15000,2,FALSE),"")</f>
        <v/>
      </c>
      <c r="V3053">
        <f t="shared" si="190"/>
        <v>0</v>
      </c>
      <c r="W3053">
        <f t="shared" si="191"/>
        <v>0</v>
      </c>
    </row>
    <row r="3054" spans="5:23" x14ac:dyDescent="0.25">
      <c r="E3054" s="4"/>
      <c r="F3054" s="4"/>
      <c r="G3054" s="33" t="str">
        <f>IFERROR(VLOOKUP($D3054,'Informations sur les produits'!$A$3:$H$10000,8,FALSE),"0")</f>
        <v>0</v>
      </c>
      <c r="K3054" s="4"/>
      <c r="L3054" s="33" t="str">
        <f>IFERROR(VLOOKUP($J3054,'Informations sur les produits'!$A$3:$H$10000,8,FALSE),"0")</f>
        <v>0</v>
      </c>
      <c r="N3054" s="8"/>
      <c r="O3054" s="33" t="str">
        <f>IFERROR(VLOOKUP($M3054,'Informations sur les produits'!$A$3:$H$10000,8,FALSE),"0")</f>
        <v>0</v>
      </c>
      <c r="P3054" s="33">
        <f t="shared" si="188"/>
        <v>0</v>
      </c>
      <c r="Q3054" s="31" t="str">
        <f t="shared" si="189"/>
        <v/>
      </c>
      <c r="R3054" s="32" t="str">
        <f>IFERROR(VLOOKUP($D3054,'Informations sur les produits'!$A$3:$B$15000,2,FALSE),"")</f>
        <v/>
      </c>
      <c r="V3054">
        <f t="shared" si="190"/>
        <v>0</v>
      </c>
      <c r="W3054">
        <f t="shared" si="191"/>
        <v>0</v>
      </c>
    </row>
    <row r="3055" spans="5:23" x14ac:dyDescent="0.25">
      <c r="E3055" s="4"/>
      <c r="F3055" s="4"/>
      <c r="G3055" s="33" t="str">
        <f>IFERROR(VLOOKUP($D3055,'Informations sur les produits'!$A$3:$H$10000,8,FALSE),"0")</f>
        <v>0</v>
      </c>
      <c r="K3055" s="4"/>
      <c r="L3055" s="33" t="str">
        <f>IFERROR(VLOOKUP($J3055,'Informations sur les produits'!$A$3:$H$10000,8,FALSE),"0")</f>
        <v>0</v>
      </c>
      <c r="N3055" s="8"/>
      <c r="O3055" s="33" t="str">
        <f>IFERROR(VLOOKUP($M3055,'Informations sur les produits'!$A$3:$H$10000,8,FALSE),"0")</f>
        <v>0</v>
      </c>
      <c r="P3055" s="33">
        <f t="shared" si="188"/>
        <v>0</v>
      </c>
      <c r="Q3055" s="31" t="str">
        <f t="shared" si="189"/>
        <v/>
      </c>
      <c r="R3055" s="32" t="str">
        <f>IFERROR(VLOOKUP($D3055,'Informations sur les produits'!$A$3:$B$15000,2,FALSE),"")</f>
        <v/>
      </c>
      <c r="V3055">
        <f t="shared" si="190"/>
        <v>0</v>
      </c>
      <c r="W3055">
        <f t="shared" si="191"/>
        <v>0</v>
      </c>
    </row>
    <row r="3056" spans="5:23" x14ac:dyDescent="0.25">
      <c r="E3056" s="4"/>
      <c r="F3056" s="4"/>
      <c r="G3056" s="33" t="str">
        <f>IFERROR(VLOOKUP($D3056,'Informations sur les produits'!$A$3:$H$10000,8,FALSE),"0")</f>
        <v>0</v>
      </c>
      <c r="K3056" s="4"/>
      <c r="L3056" s="33" t="str">
        <f>IFERROR(VLOOKUP($J3056,'Informations sur les produits'!$A$3:$H$10000,8,FALSE),"0")</f>
        <v>0</v>
      </c>
      <c r="N3056" s="8"/>
      <c r="O3056" s="33" t="str">
        <f>IFERROR(VLOOKUP($M3056,'Informations sur les produits'!$A$3:$H$10000,8,FALSE),"0")</f>
        <v>0</v>
      </c>
      <c r="P3056" s="33">
        <f t="shared" si="188"/>
        <v>0</v>
      </c>
      <c r="Q3056" s="31" t="str">
        <f t="shared" si="189"/>
        <v/>
      </c>
      <c r="R3056" s="32" t="str">
        <f>IFERROR(VLOOKUP($D3056,'Informations sur les produits'!$A$3:$B$15000,2,FALSE),"")</f>
        <v/>
      </c>
      <c r="V3056">
        <f t="shared" si="190"/>
        <v>0</v>
      </c>
      <c r="W3056">
        <f t="shared" si="191"/>
        <v>0</v>
      </c>
    </row>
    <row r="3057" spans="5:23" x14ac:dyDescent="0.25">
      <c r="E3057" s="4"/>
      <c r="F3057" s="4"/>
      <c r="G3057" s="33" t="str">
        <f>IFERROR(VLOOKUP($D3057,'Informations sur les produits'!$A$3:$H$10000,8,FALSE),"0")</f>
        <v>0</v>
      </c>
      <c r="K3057" s="4"/>
      <c r="L3057" s="33" t="str">
        <f>IFERROR(VLOOKUP($J3057,'Informations sur les produits'!$A$3:$H$10000,8,FALSE),"0")</f>
        <v>0</v>
      </c>
      <c r="N3057" s="8"/>
      <c r="O3057" s="33" t="str">
        <f>IFERROR(VLOOKUP($M3057,'Informations sur les produits'!$A$3:$H$10000,8,FALSE),"0")</f>
        <v>0</v>
      </c>
      <c r="P3057" s="33">
        <f t="shared" si="188"/>
        <v>0</v>
      </c>
      <c r="Q3057" s="31" t="str">
        <f t="shared" si="189"/>
        <v/>
      </c>
      <c r="R3057" s="32" t="str">
        <f>IFERROR(VLOOKUP($D3057,'Informations sur les produits'!$A$3:$B$15000,2,FALSE),"")</f>
        <v/>
      </c>
      <c r="V3057">
        <f t="shared" si="190"/>
        <v>0</v>
      </c>
      <c r="W3057">
        <f t="shared" si="191"/>
        <v>0</v>
      </c>
    </row>
    <row r="3058" spans="5:23" x14ac:dyDescent="0.25">
      <c r="E3058" s="4"/>
      <c r="F3058" s="4"/>
      <c r="G3058" s="33" t="str">
        <f>IFERROR(VLOOKUP($D3058,'Informations sur les produits'!$A$3:$H$10000,8,FALSE),"0")</f>
        <v>0</v>
      </c>
      <c r="K3058" s="4"/>
      <c r="L3058" s="33" t="str">
        <f>IFERROR(VLOOKUP($J3058,'Informations sur les produits'!$A$3:$H$10000,8,FALSE),"0")</f>
        <v>0</v>
      </c>
      <c r="N3058" s="8"/>
      <c r="O3058" s="33" t="str">
        <f>IFERROR(VLOOKUP($M3058,'Informations sur les produits'!$A$3:$H$10000,8,FALSE),"0")</f>
        <v>0</v>
      </c>
      <c r="P3058" s="33">
        <f t="shared" si="188"/>
        <v>0</v>
      </c>
      <c r="Q3058" s="31" t="str">
        <f t="shared" si="189"/>
        <v/>
      </c>
      <c r="R3058" s="32" t="str">
        <f>IFERROR(VLOOKUP($D3058,'Informations sur les produits'!$A$3:$B$15000,2,FALSE),"")</f>
        <v/>
      </c>
      <c r="V3058">
        <f t="shared" si="190"/>
        <v>0</v>
      </c>
      <c r="W3058">
        <f t="shared" si="191"/>
        <v>0</v>
      </c>
    </row>
    <row r="3059" spans="5:23" x14ac:dyDescent="0.25">
      <c r="E3059" s="4"/>
      <c r="F3059" s="4"/>
      <c r="G3059" s="33" t="str">
        <f>IFERROR(VLOOKUP($D3059,'Informations sur les produits'!$A$3:$H$10000,8,FALSE),"0")</f>
        <v>0</v>
      </c>
      <c r="K3059" s="4"/>
      <c r="L3059" s="33" t="str">
        <f>IFERROR(VLOOKUP($J3059,'Informations sur les produits'!$A$3:$H$10000,8,FALSE),"0")</f>
        <v>0</v>
      </c>
      <c r="N3059" s="8"/>
      <c r="O3059" s="33" t="str">
        <f>IFERROR(VLOOKUP($M3059,'Informations sur les produits'!$A$3:$H$10000,8,FALSE),"0")</f>
        <v>0</v>
      </c>
      <c r="P3059" s="33">
        <f t="shared" si="188"/>
        <v>0</v>
      </c>
      <c r="Q3059" s="31" t="str">
        <f t="shared" si="189"/>
        <v/>
      </c>
      <c r="R3059" s="32" t="str">
        <f>IFERROR(VLOOKUP($D3059,'Informations sur les produits'!$A$3:$B$15000,2,FALSE),"")</f>
        <v/>
      </c>
      <c r="V3059">
        <f t="shared" si="190"/>
        <v>0</v>
      </c>
      <c r="W3059">
        <f t="shared" si="191"/>
        <v>0</v>
      </c>
    </row>
    <row r="3060" spans="5:23" x14ac:dyDescent="0.25">
      <c r="E3060" s="4"/>
      <c r="F3060" s="4"/>
      <c r="G3060" s="33" t="str">
        <f>IFERROR(VLOOKUP($D3060,'Informations sur les produits'!$A$3:$H$10000,8,FALSE),"0")</f>
        <v>0</v>
      </c>
      <c r="K3060" s="4"/>
      <c r="L3060" s="33" t="str">
        <f>IFERROR(VLOOKUP($J3060,'Informations sur les produits'!$A$3:$H$10000,8,FALSE),"0")</f>
        <v>0</v>
      </c>
      <c r="N3060" s="8"/>
      <c r="O3060" s="33" t="str">
        <f>IFERROR(VLOOKUP($M3060,'Informations sur les produits'!$A$3:$H$10000,8,FALSE),"0")</f>
        <v>0</v>
      </c>
      <c r="P3060" s="33">
        <f t="shared" si="188"/>
        <v>0</v>
      </c>
      <c r="Q3060" s="31" t="str">
        <f t="shared" si="189"/>
        <v/>
      </c>
      <c r="R3060" s="32" t="str">
        <f>IFERROR(VLOOKUP($D3060,'Informations sur les produits'!$A$3:$B$15000,2,FALSE),"")</f>
        <v/>
      </c>
      <c r="V3060">
        <f t="shared" si="190"/>
        <v>0</v>
      </c>
      <c r="W3060">
        <f t="shared" si="191"/>
        <v>0</v>
      </c>
    </row>
    <row r="3061" spans="5:23" x14ac:dyDescent="0.25">
      <c r="E3061" s="4"/>
      <c r="F3061" s="4"/>
      <c r="G3061" s="33" t="str">
        <f>IFERROR(VLOOKUP($D3061,'Informations sur les produits'!$A$3:$H$10000,8,FALSE),"0")</f>
        <v>0</v>
      </c>
      <c r="K3061" s="4"/>
      <c r="L3061" s="33" t="str">
        <f>IFERROR(VLOOKUP($J3061,'Informations sur les produits'!$A$3:$H$10000,8,FALSE),"0")</f>
        <v>0</v>
      </c>
      <c r="N3061" s="8"/>
      <c r="O3061" s="33" t="str">
        <f>IFERROR(VLOOKUP($M3061,'Informations sur les produits'!$A$3:$H$10000,8,FALSE),"0")</f>
        <v>0</v>
      </c>
      <c r="P3061" s="33">
        <f t="shared" si="188"/>
        <v>0</v>
      </c>
      <c r="Q3061" s="31" t="str">
        <f t="shared" si="189"/>
        <v/>
      </c>
      <c r="R3061" s="32" t="str">
        <f>IFERROR(VLOOKUP($D3061,'Informations sur les produits'!$A$3:$B$15000,2,FALSE),"")</f>
        <v/>
      </c>
      <c r="V3061">
        <f t="shared" si="190"/>
        <v>0</v>
      </c>
      <c r="W3061">
        <f t="shared" si="191"/>
        <v>0</v>
      </c>
    </row>
    <row r="3062" spans="5:23" x14ac:dyDescent="0.25">
      <c r="E3062" s="4"/>
      <c r="F3062" s="4"/>
      <c r="G3062" s="33" t="str">
        <f>IFERROR(VLOOKUP($D3062,'Informations sur les produits'!$A$3:$H$10000,8,FALSE),"0")</f>
        <v>0</v>
      </c>
      <c r="K3062" s="4"/>
      <c r="L3062" s="33" t="str">
        <f>IFERROR(VLOOKUP($J3062,'Informations sur les produits'!$A$3:$H$10000,8,FALSE),"0")</f>
        <v>0</v>
      </c>
      <c r="N3062" s="8"/>
      <c r="O3062" s="33" t="str">
        <f>IFERROR(VLOOKUP($M3062,'Informations sur les produits'!$A$3:$H$10000,8,FALSE),"0")</f>
        <v>0</v>
      </c>
      <c r="P3062" s="33">
        <f t="shared" si="188"/>
        <v>0</v>
      </c>
      <c r="Q3062" s="31" t="str">
        <f t="shared" si="189"/>
        <v/>
      </c>
      <c r="R3062" s="32" t="str">
        <f>IFERROR(VLOOKUP($D3062,'Informations sur les produits'!$A$3:$B$15000,2,FALSE),"")</f>
        <v/>
      </c>
      <c r="V3062">
        <f t="shared" si="190"/>
        <v>0</v>
      </c>
      <c r="W3062">
        <f t="shared" si="191"/>
        <v>0</v>
      </c>
    </row>
    <row r="3063" spans="5:23" x14ac:dyDescent="0.25">
      <c r="E3063" s="4"/>
      <c r="F3063" s="4"/>
      <c r="G3063" s="33" t="str">
        <f>IFERROR(VLOOKUP($D3063,'Informations sur les produits'!$A$3:$H$10000,8,FALSE),"0")</f>
        <v>0</v>
      </c>
      <c r="K3063" s="4"/>
      <c r="L3063" s="33" t="str">
        <f>IFERROR(VLOOKUP($J3063,'Informations sur les produits'!$A$3:$H$10000,8,FALSE),"0")</f>
        <v>0</v>
      </c>
      <c r="N3063" s="8"/>
      <c r="O3063" s="33" t="str">
        <f>IFERROR(VLOOKUP($M3063,'Informations sur les produits'!$A$3:$H$10000,8,FALSE),"0")</f>
        <v>0</v>
      </c>
      <c r="P3063" s="33">
        <f t="shared" si="188"/>
        <v>0</v>
      </c>
      <c r="Q3063" s="31" t="str">
        <f t="shared" si="189"/>
        <v/>
      </c>
      <c r="R3063" s="32" t="str">
        <f>IFERROR(VLOOKUP($D3063,'Informations sur les produits'!$A$3:$B$15000,2,FALSE),"")</f>
        <v/>
      </c>
      <c r="V3063">
        <f t="shared" si="190"/>
        <v>0</v>
      </c>
      <c r="W3063">
        <f t="shared" si="191"/>
        <v>0</v>
      </c>
    </row>
    <row r="3064" spans="5:23" x14ac:dyDescent="0.25">
      <c r="E3064" s="4"/>
      <c r="F3064" s="4"/>
      <c r="G3064" s="33" t="str">
        <f>IFERROR(VLOOKUP($D3064,'Informations sur les produits'!$A$3:$H$10000,8,FALSE),"0")</f>
        <v>0</v>
      </c>
      <c r="K3064" s="4"/>
      <c r="L3064" s="33" t="str">
        <f>IFERROR(VLOOKUP($J3064,'Informations sur les produits'!$A$3:$H$10000,8,FALSE),"0")</f>
        <v>0</v>
      </c>
      <c r="N3064" s="8"/>
      <c r="O3064" s="33" t="str">
        <f>IFERROR(VLOOKUP($M3064,'Informations sur les produits'!$A$3:$H$10000,8,FALSE),"0")</f>
        <v>0</v>
      </c>
      <c r="P3064" s="33">
        <f t="shared" si="188"/>
        <v>0</v>
      </c>
      <c r="Q3064" s="31" t="str">
        <f t="shared" si="189"/>
        <v/>
      </c>
      <c r="R3064" s="32" t="str">
        <f>IFERROR(VLOOKUP($D3064,'Informations sur les produits'!$A$3:$B$15000,2,FALSE),"")</f>
        <v/>
      </c>
      <c r="V3064">
        <f t="shared" si="190"/>
        <v>0</v>
      </c>
      <c r="W3064">
        <f t="shared" si="191"/>
        <v>0</v>
      </c>
    </row>
    <row r="3065" spans="5:23" x14ac:dyDescent="0.25">
      <c r="E3065" s="4"/>
      <c r="F3065" s="4"/>
      <c r="G3065" s="33" t="str">
        <f>IFERROR(VLOOKUP($D3065,'Informations sur les produits'!$A$3:$H$10000,8,FALSE),"0")</f>
        <v>0</v>
      </c>
      <c r="K3065" s="4"/>
      <c r="L3065" s="33" t="str">
        <f>IFERROR(VLOOKUP($J3065,'Informations sur les produits'!$A$3:$H$10000,8,FALSE),"0")</f>
        <v>0</v>
      </c>
      <c r="N3065" s="8"/>
      <c r="O3065" s="33" t="str">
        <f>IFERROR(VLOOKUP($M3065,'Informations sur les produits'!$A$3:$H$10000,8,FALSE),"0")</f>
        <v>0</v>
      </c>
      <c r="P3065" s="33">
        <f t="shared" si="188"/>
        <v>0</v>
      </c>
      <c r="Q3065" s="31" t="str">
        <f t="shared" si="189"/>
        <v/>
      </c>
      <c r="R3065" s="32" t="str">
        <f>IFERROR(VLOOKUP($D3065,'Informations sur les produits'!$A$3:$B$15000,2,FALSE),"")</f>
        <v/>
      </c>
      <c r="V3065">
        <f t="shared" si="190"/>
        <v>0</v>
      </c>
      <c r="W3065">
        <f t="shared" si="191"/>
        <v>0</v>
      </c>
    </row>
    <row r="3066" spans="5:23" x14ac:dyDescent="0.25">
      <c r="E3066" s="4"/>
      <c r="F3066" s="4"/>
      <c r="G3066" s="33" t="str">
        <f>IFERROR(VLOOKUP($D3066,'Informations sur les produits'!$A$3:$H$10000,8,FALSE),"0")</f>
        <v>0</v>
      </c>
      <c r="K3066" s="4"/>
      <c r="L3066" s="33" t="str">
        <f>IFERROR(VLOOKUP($J3066,'Informations sur les produits'!$A$3:$H$10000,8,FALSE),"0")</f>
        <v>0</v>
      </c>
      <c r="N3066" s="8"/>
      <c r="O3066" s="33" t="str">
        <f>IFERROR(VLOOKUP($M3066,'Informations sur les produits'!$A$3:$H$10000,8,FALSE),"0")</f>
        <v>0</v>
      </c>
      <c r="P3066" s="33">
        <f t="shared" si="188"/>
        <v>0</v>
      </c>
      <c r="Q3066" s="31" t="str">
        <f t="shared" si="189"/>
        <v/>
      </c>
      <c r="R3066" s="32" t="str">
        <f>IFERROR(VLOOKUP($D3066,'Informations sur les produits'!$A$3:$B$15000,2,FALSE),"")</f>
        <v/>
      </c>
      <c r="V3066">
        <f t="shared" si="190"/>
        <v>0</v>
      </c>
      <c r="W3066">
        <f t="shared" si="191"/>
        <v>0</v>
      </c>
    </row>
    <row r="3067" spans="5:23" x14ac:dyDescent="0.25">
      <c r="E3067" s="4"/>
      <c r="F3067" s="4"/>
      <c r="G3067" s="33" t="str">
        <f>IFERROR(VLOOKUP($D3067,'Informations sur les produits'!$A$3:$H$10000,8,FALSE),"0")</f>
        <v>0</v>
      </c>
      <c r="K3067" s="4"/>
      <c r="L3067" s="33" t="str">
        <f>IFERROR(VLOOKUP($J3067,'Informations sur les produits'!$A$3:$H$10000,8,FALSE),"0")</f>
        <v>0</v>
      </c>
      <c r="N3067" s="8"/>
      <c r="O3067" s="33" t="str">
        <f>IFERROR(VLOOKUP($M3067,'Informations sur les produits'!$A$3:$H$10000,8,FALSE),"0")</f>
        <v>0</v>
      </c>
      <c r="P3067" s="33">
        <f t="shared" si="188"/>
        <v>0</v>
      </c>
      <c r="Q3067" s="31" t="str">
        <f t="shared" si="189"/>
        <v/>
      </c>
      <c r="R3067" s="32" t="str">
        <f>IFERROR(VLOOKUP($D3067,'Informations sur les produits'!$A$3:$B$15000,2,FALSE),"")</f>
        <v/>
      </c>
      <c r="V3067">
        <f t="shared" si="190"/>
        <v>0</v>
      </c>
      <c r="W3067">
        <f t="shared" si="191"/>
        <v>0</v>
      </c>
    </row>
    <row r="3068" spans="5:23" x14ac:dyDescent="0.25">
      <c r="E3068" s="4"/>
      <c r="F3068" s="4"/>
      <c r="G3068" s="33" t="str">
        <f>IFERROR(VLOOKUP($D3068,'Informations sur les produits'!$A$3:$H$10000,8,FALSE),"0")</f>
        <v>0</v>
      </c>
      <c r="K3068" s="4"/>
      <c r="L3068" s="33" t="str">
        <f>IFERROR(VLOOKUP($J3068,'Informations sur les produits'!$A$3:$H$10000,8,FALSE),"0")</f>
        <v>0</v>
      </c>
      <c r="N3068" s="8"/>
      <c r="O3068" s="33" t="str">
        <f>IFERROR(VLOOKUP($M3068,'Informations sur les produits'!$A$3:$H$10000,8,FALSE),"0")</f>
        <v>0</v>
      </c>
      <c r="P3068" s="33">
        <f t="shared" si="188"/>
        <v>0</v>
      </c>
      <c r="Q3068" s="31" t="str">
        <f t="shared" si="189"/>
        <v/>
      </c>
      <c r="R3068" s="32" t="str">
        <f>IFERROR(VLOOKUP($D3068,'Informations sur les produits'!$A$3:$B$15000,2,FALSE),"")</f>
        <v/>
      </c>
      <c r="V3068">
        <f t="shared" si="190"/>
        <v>0</v>
      </c>
      <c r="W3068">
        <f t="shared" si="191"/>
        <v>0</v>
      </c>
    </row>
    <row r="3069" spans="5:23" x14ac:dyDescent="0.25">
      <c r="E3069" s="4"/>
      <c r="F3069" s="4"/>
      <c r="G3069" s="33" t="str">
        <f>IFERROR(VLOOKUP($D3069,'Informations sur les produits'!$A$3:$H$10000,8,FALSE),"0")</f>
        <v>0</v>
      </c>
      <c r="K3069" s="4"/>
      <c r="L3069" s="33" t="str">
        <f>IFERROR(VLOOKUP($J3069,'Informations sur les produits'!$A$3:$H$10000,8,FALSE),"0")</f>
        <v>0</v>
      </c>
      <c r="N3069" s="8"/>
      <c r="O3069" s="33" t="str">
        <f>IFERROR(VLOOKUP($M3069,'Informations sur les produits'!$A$3:$H$10000,8,FALSE),"0")</f>
        <v>0</v>
      </c>
      <c r="P3069" s="33">
        <f t="shared" si="188"/>
        <v>0</v>
      </c>
      <c r="Q3069" s="31" t="str">
        <f t="shared" si="189"/>
        <v/>
      </c>
      <c r="R3069" s="32" t="str">
        <f>IFERROR(VLOOKUP($D3069,'Informations sur les produits'!$A$3:$B$15000,2,FALSE),"")</f>
        <v/>
      </c>
      <c r="V3069">
        <f t="shared" si="190"/>
        <v>0</v>
      </c>
      <c r="W3069">
        <f t="shared" si="191"/>
        <v>0</v>
      </c>
    </row>
    <row r="3070" spans="5:23" x14ac:dyDescent="0.25">
      <c r="E3070" s="4"/>
      <c r="F3070" s="4"/>
      <c r="G3070" s="33" t="str">
        <f>IFERROR(VLOOKUP($D3070,'Informations sur les produits'!$A$3:$H$10000,8,FALSE),"0")</f>
        <v>0</v>
      </c>
      <c r="K3070" s="4"/>
      <c r="L3070" s="33" t="str">
        <f>IFERROR(VLOOKUP($J3070,'Informations sur les produits'!$A$3:$H$10000,8,FALSE),"0")</f>
        <v>0</v>
      </c>
      <c r="N3070" s="8"/>
      <c r="O3070" s="33" t="str">
        <f>IFERROR(VLOOKUP($M3070,'Informations sur les produits'!$A$3:$H$10000,8,FALSE),"0")</f>
        <v>0</v>
      </c>
      <c r="P3070" s="33">
        <f t="shared" si="188"/>
        <v>0</v>
      </c>
      <c r="Q3070" s="31" t="str">
        <f t="shared" si="189"/>
        <v/>
      </c>
      <c r="R3070" s="32" t="str">
        <f>IFERROR(VLOOKUP($D3070,'Informations sur les produits'!$A$3:$B$15000,2,FALSE),"")</f>
        <v/>
      </c>
      <c r="V3070">
        <f t="shared" si="190"/>
        <v>0</v>
      </c>
      <c r="W3070">
        <f t="shared" si="191"/>
        <v>0</v>
      </c>
    </row>
    <row r="3071" spans="5:23" x14ac:dyDescent="0.25">
      <c r="E3071" s="4"/>
      <c r="F3071" s="4"/>
      <c r="G3071" s="33" t="str">
        <f>IFERROR(VLOOKUP($D3071,'Informations sur les produits'!$A$3:$H$10000,8,FALSE),"0")</f>
        <v>0</v>
      </c>
      <c r="K3071" s="4"/>
      <c r="L3071" s="33" t="str">
        <f>IFERROR(VLOOKUP($J3071,'Informations sur les produits'!$A$3:$H$10000,8,FALSE),"0")</f>
        <v>0</v>
      </c>
      <c r="N3071" s="8"/>
      <c r="O3071" s="33" t="str">
        <f>IFERROR(VLOOKUP($M3071,'Informations sur les produits'!$A$3:$H$10000,8,FALSE),"0")</f>
        <v>0</v>
      </c>
      <c r="P3071" s="33">
        <f t="shared" si="188"/>
        <v>0</v>
      </c>
      <c r="Q3071" s="31" t="str">
        <f t="shared" si="189"/>
        <v/>
      </c>
      <c r="R3071" s="32" t="str">
        <f>IFERROR(VLOOKUP($D3071,'Informations sur les produits'!$A$3:$B$15000,2,FALSE),"")</f>
        <v/>
      </c>
      <c r="V3071">
        <f t="shared" si="190"/>
        <v>0</v>
      </c>
      <c r="W3071">
        <f t="shared" si="191"/>
        <v>0</v>
      </c>
    </row>
    <row r="3072" spans="5:23" x14ac:dyDescent="0.25">
      <c r="E3072" s="4"/>
      <c r="F3072" s="4"/>
      <c r="G3072" s="33" t="str">
        <f>IFERROR(VLOOKUP($D3072,'Informations sur les produits'!$A$3:$H$10000,8,FALSE),"0")</f>
        <v>0</v>
      </c>
      <c r="K3072" s="4"/>
      <c r="L3072" s="33" t="str">
        <f>IFERROR(VLOOKUP($J3072,'Informations sur les produits'!$A$3:$H$10000,8,FALSE),"0")</f>
        <v>0</v>
      </c>
      <c r="N3072" s="8"/>
      <c r="O3072" s="33" t="str">
        <f>IFERROR(VLOOKUP($M3072,'Informations sur les produits'!$A$3:$H$10000,8,FALSE),"0")</f>
        <v>0</v>
      </c>
      <c r="P3072" s="33">
        <f t="shared" si="188"/>
        <v>0</v>
      </c>
      <c r="Q3072" s="31" t="str">
        <f t="shared" si="189"/>
        <v/>
      </c>
      <c r="R3072" s="32" t="str">
        <f>IFERROR(VLOOKUP($D3072,'Informations sur les produits'!$A$3:$B$15000,2,FALSE),"")</f>
        <v/>
      </c>
      <c r="V3072">
        <f t="shared" si="190"/>
        <v>0</v>
      </c>
      <c r="W3072">
        <f t="shared" si="191"/>
        <v>0</v>
      </c>
    </row>
    <row r="3073" spans="5:23" x14ac:dyDescent="0.25">
      <c r="E3073" s="4"/>
      <c r="F3073" s="4"/>
      <c r="G3073" s="33" t="str">
        <f>IFERROR(VLOOKUP($D3073,'Informations sur les produits'!$A$3:$H$10000,8,FALSE),"0")</f>
        <v>0</v>
      </c>
      <c r="K3073" s="4"/>
      <c r="L3073" s="33" t="str">
        <f>IFERROR(VLOOKUP($J3073,'Informations sur les produits'!$A$3:$H$10000,8,FALSE),"0")</f>
        <v>0</v>
      </c>
      <c r="N3073" s="8"/>
      <c r="O3073" s="33" t="str">
        <f>IFERROR(VLOOKUP($M3073,'Informations sur les produits'!$A$3:$H$10000,8,FALSE),"0")</f>
        <v>0</v>
      </c>
      <c r="P3073" s="33">
        <f t="shared" si="188"/>
        <v>0</v>
      </c>
      <c r="Q3073" s="31" t="str">
        <f t="shared" si="189"/>
        <v/>
      </c>
      <c r="R3073" s="32" t="str">
        <f>IFERROR(VLOOKUP($D3073,'Informations sur les produits'!$A$3:$B$15000,2,FALSE),"")</f>
        <v/>
      </c>
      <c r="V3073">
        <f t="shared" si="190"/>
        <v>0</v>
      </c>
      <c r="W3073">
        <f t="shared" si="191"/>
        <v>0</v>
      </c>
    </row>
    <row r="3074" spans="5:23" x14ac:dyDescent="0.25">
      <c r="E3074" s="4"/>
      <c r="F3074" s="4"/>
      <c r="G3074" s="33" t="str">
        <f>IFERROR(VLOOKUP($D3074,'Informations sur les produits'!$A$3:$H$10000,8,FALSE),"0")</f>
        <v>0</v>
      </c>
      <c r="K3074" s="4"/>
      <c r="L3074" s="33" t="str">
        <f>IFERROR(VLOOKUP($J3074,'Informations sur les produits'!$A$3:$H$10000,8,FALSE),"0")</f>
        <v>0</v>
      </c>
      <c r="N3074" s="8"/>
      <c r="O3074" s="33" t="str">
        <f>IFERROR(VLOOKUP($M3074,'Informations sur les produits'!$A$3:$H$10000,8,FALSE),"0")</f>
        <v>0</v>
      </c>
      <c r="P3074" s="33">
        <f t="shared" si="188"/>
        <v>0</v>
      </c>
      <c r="Q3074" s="31" t="str">
        <f t="shared" si="189"/>
        <v/>
      </c>
      <c r="R3074" s="32" t="str">
        <f>IFERROR(VLOOKUP($D3074,'Informations sur les produits'!$A$3:$B$15000,2,FALSE),"")</f>
        <v/>
      </c>
      <c r="V3074">
        <f t="shared" si="190"/>
        <v>0</v>
      </c>
      <c r="W3074">
        <f t="shared" si="191"/>
        <v>0</v>
      </c>
    </row>
    <row r="3075" spans="5:23" x14ac:dyDescent="0.25">
      <c r="E3075" s="4"/>
      <c r="F3075" s="4"/>
      <c r="G3075" s="33" t="str">
        <f>IFERROR(VLOOKUP($D3075,'Informations sur les produits'!$A$3:$H$10000,8,FALSE),"0")</f>
        <v>0</v>
      </c>
      <c r="K3075" s="4"/>
      <c r="L3075" s="33" t="str">
        <f>IFERROR(VLOOKUP($J3075,'Informations sur les produits'!$A$3:$H$10000,8,FALSE),"0")</f>
        <v>0</v>
      </c>
      <c r="N3075" s="8"/>
      <c r="O3075" s="33" t="str">
        <f>IFERROR(VLOOKUP($M3075,'Informations sur les produits'!$A$3:$H$10000,8,FALSE),"0")</f>
        <v>0</v>
      </c>
      <c r="P3075" s="33">
        <f t="shared" si="188"/>
        <v>0</v>
      </c>
      <c r="Q3075" s="31" t="str">
        <f t="shared" si="189"/>
        <v/>
      </c>
      <c r="R3075" s="32" t="str">
        <f>IFERROR(VLOOKUP($D3075,'Informations sur les produits'!$A$3:$B$15000,2,FALSE),"")</f>
        <v/>
      </c>
      <c r="V3075">
        <f t="shared" si="190"/>
        <v>0</v>
      </c>
      <c r="W3075">
        <f t="shared" si="191"/>
        <v>0</v>
      </c>
    </row>
    <row r="3076" spans="5:23" x14ac:dyDescent="0.25">
      <c r="E3076" s="4"/>
      <c r="F3076" s="4"/>
      <c r="G3076" s="33" t="str">
        <f>IFERROR(VLOOKUP($D3076,'Informations sur les produits'!$A$3:$H$10000,8,FALSE),"0")</f>
        <v>0</v>
      </c>
      <c r="K3076" s="4"/>
      <c r="L3076" s="33" t="str">
        <f>IFERROR(VLOOKUP($J3076,'Informations sur les produits'!$A$3:$H$10000,8,FALSE),"0")</f>
        <v>0</v>
      </c>
      <c r="N3076" s="8"/>
      <c r="O3076" s="33" t="str">
        <f>IFERROR(VLOOKUP($M3076,'Informations sur les produits'!$A$3:$H$10000,8,FALSE),"0")</f>
        <v>0</v>
      </c>
      <c r="P3076" s="33">
        <f t="shared" ref="P3076:P3139" si="192">IFERROR((($E3076-$F3076)*$G3076+$K3076*$L3076+$N3076*$O3076),"")</f>
        <v>0</v>
      </c>
      <c r="Q3076" s="31" t="str">
        <f t="shared" ref="Q3076:Q3139" si="193">IFERROR((((($E3076-$F3076)*$G3076+$K3076*$L3076+$N3076*$O3076)*1000)/(($E3076-$F3076)+$K3076+$N3076)),"")</f>
        <v/>
      </c>
      <c r="R3076" s="32" t="str">
        <f>IFERROR(VLOOKUP($D3076,'Informations sur les produits'!$A$3:$B$15000,2,FALSE),"")</f>
        <v/>
      </c>
      <c r="V3076">
        <f t="shared" ref="V3076:V3139" si="194">IFERROR(P3076*1000,"")</f>
        <v>0</v>
      </c>
      <c r="W3076">
        <f t="shared" ref="W3076:W3139" si="195">IFERROR(($E3076-$F3076)+$K3076+$N3076,"")</f>
        <v>0</v>
      </c>
    </row>
    <row r="3077" spans="5:23" x14ac:dyDescent="0.25">
      <c r="E3077" s="4"/>
      <c r="F3077" s="4"/>
      <c r="G3077" s="33" t="str">
        <f>IFERROR(VLOOKUP($D3077,'Informations sur les produits'!$A$3:$H$10000,8,FALSE),"0")</f>
        <v>0</v>
      </c>
      <c r="K3077" s="4"/>
      <c r="L3077" s="33" t="str">
        <f>IFERROR(VLOOKUP($J3077,'Informations sur les produits'!$A$3:$H$10000,8,FALSE),"0")</f>
        <v>0</v>
      </c>
      <c r="N3077" s="8"/>
      <c r="O3077" s="33" t="str">
        <f>IFERROR(VLOOKUP($M3077,'Informations sur les produits'!$A$3:$H$10000,8,FALSE),"0")</f>
        <v>0</v>
      </c>
      <c r="P3077" s="33">
        <f t="shared" si="192"/>
        <v>0</v>
      </c>
      <c r="Q3077" s="31" t="str">
        <f t="shared" si="193"/>
        <v/>
      </c>
      <c r="R3077" s="32" t="str">
        <f>IFERROR(VLOOKUP($D3077,'Informations sur les produits'!$A$3:$B$15000,2,FALSE),"")</f>
        <v/>
      </c>
      <c r="V3077">
        <f t="shared" si="194"/>
        <v>0</v>
      </c>
      <c r="W3077">
        <f t="shared" si="195"/>
        <v>0</v>
      </c>
    </row>
    <row r="3078" spans="5:23" x14ac:dyDescent="0.25">
      <c r="E3078" s="4"/>
      <c r="F3078" s="4"/>
      <c r="G3078" s="33" t="str">
        <f>IFERROR(VLOOKUP($D3078,'Informations sur les produits'!$A$3:$H$10000,8,FALSE),"0")</f>
        <v>0</v>
      </c>
      <c r="K3078" s="4"/>
      <c r="L3078" s="33" t="str">
        <f>IFERROR(VLOOKUP($J3078,'Informations sur les produits'!$A$3:$H$10000,8,FALSE),"0")</f>
        <v>0</v>
      </c>
      <c r="N3078" s="8"/>
      <c r="O3078" s="33" t="str">
        <f>IFERROR(VLOOKUP($M3078,'Informations sur les produits'!$A$3:$H$10000,8,FALSE),"0")</f>
        <v>0</v>
      </c>
      <c r="P3078" s="33">
        <f t="shared" si="192"/>
        <v>0</v>
      </c>
      <c r="Q3078" s="31" t="str">
        <f t="shared" si="193"/>
        <v/>
      </c>
      <c r="R3078" s="32" t="str">
        <f>IFERROR(VLOOKUP($D3078,'Informations sur les produits'!$A$3:$B$15000,2,FALSE),"")</f>
        <v/>
      </c>
      <c r="V3078">
        <f t="shared" si="194"/>
        <v>0</v>
      </c>
      <c r="W3078">
        <f t="shared" si="195"/>
        <v>0</v>
      </c>
    </row>
    <row r="3079" spans="5:23" x14ac:dyDescent="0.25">
      <c r="E3079" s="4"/>
      <c r="F3079" s="4"/>
      <c r="G3079" s="33" t="str">
        <f>IFERROR(VLOOKUP($D3079,'Informations sur les produits'!$A$3:$H$10000,8,FALSE),"0")</f>
        <v>0</v>
      </c>
      <c r="K3079" s="4"/>
      <c r="L3079" s="33" t="str">
        <f>IFERROR(VLOOKUP($J3079,'Informations sur les produits'!$A$3:$H$10000,8,FALSE),"0")</f>
        <v>0</v>
      </c>
      <c r="N3079" s="8"/>
      <c r="O3079" s="33" t="str">
        <f>IFERROR(VLOOKUP($M3079,'Informations sur les produits'!$A$3:$H$10000,8,FALSE),"0")</f>
        <v>0</v>
      </c>
      <c r="P3079" s="33">
        <f t="shared" si="192"/>
        <v>0</v>
      </c>
      <c r="Q3079" s="31" t="str">
        <f t="shared" si="193"/>
        <v/>
      </c>
      <c r="R3079" s="32" t="str">
        <f>IFERROR(VLOOKUP($D3079,'Informations sur les produits'!$A$3:$B$15000,2,FALSE),"")</f>
        <v/>
      </c>
      <c r="V3079">
        <f t="shared" si="194"/>
        <v>0</v>
      </c>
      <c r="W3079">
        <f t="shared" si="195"/>
        <v>0</v>
      </c>
    </row>
    <row r="3080" spans="5:23" x14ac:dyDescent="0.25">
      <c r="E3080" s="4"/>
      <c r="F3080" s="4"/>
      <c r="G3080" s="33" t="str">
        <f>IFERROR(VLOOKUP($D3080,'Informations sur les produits'!$A$3:$H$10000,8,FALSE),"0")</f>
        <v>0</v>
      </c>
      <c r="K3080" s="4"/>
      <c r="L3080" s="33" t="str">
        <f>IFERROR(VLOOKUP($J3080,'Informations sur les produits'!$A$3:$H$10000,8,FALSE),"0")</f>
        <v>0</v>
      </c>
      <c r="N3080" s="8"/>
      <c r="O3080" s="33" t="str">
        <f>IFERROR(VLOOKUP($M3080,'Informations sur les produits'!$A$3:$H$10000,8,FALSE),"0")</f>
        <v>0</v>
      </c>
      <c r="P3080" s="33">
        <f t="shared" si="192"/>
        <v>0</v>
      </c>
      <c r="Q3080" s="31" t="str">
        <f t="shared" si="193"/>
        <v/>
      </c>
      <c r="R3080" s="32" t="str">
        <f>IFERROR(VLOOKUP($D3080,'Informations sur les produits'!$A$3:$B$15000,2,FALSE),"")</f>
        <v/>
      </c>
      <c r="V3080">
        <f t="shared" si="194"/>
        <v>0</v>
      </c>
      <c r="W3080">
        <f t="shared" si="195"/>
        <v>0</v>
      </c>
    </row>
    <row r="3081" spans="5:23" x14ac:dyDescent="0.25">
      <c r="E3081" s="4"/>
      <c r="F3081" s="4"/>
      <c r="G3081" s="33" t="str">
        <f>IFERROR(VLOOKUP($D3081,'Informations sur les produits'!$A$3:$H$10000,8,FALSE),"0")</f>
        <v>0</v>
      </c>
      <c r="K3081" s="4"/>
      <c r="L3081" s="33" t="str">
        <f>IFERROR(VLOOKUP($J3081,'Informations sur les produits'!$A$3:$H$10000,8,FALSE),"0")</f>
        <v>0</v>
      </c>
      <c r="N3081" s="8"/>
      <c r="O3081" s="33" t="str">
        <f>IFERROR(VLOOKUP($M3081,'Informations sur les produits'!$A$3:$H$10000,8,FALSE),"0")</f>
        <v>0</v>
      </c>
      <c r="P3081" s="33">
        <f t="shared" si="192"/>
        <v>0</v>
      </c>
      <c r="Q3081" s="31" t="str">
        <f t="shared" si="193"/>
        <v/>
      </c>
      <c r="R3081" s="32" t="str">
        <f>IFERROR(VLOOKUP($D3081,'Informations sur les produits'!$A$3:$B$15000,2,FALSE),"")</f>
        <v/>
      </c>
      <c r="V3081">
        <f t="shared" si="194"/>
        <v>0</v>
      </c>
      <c r="W3081">
        <f t="shared" si="195"/>
        <v>0</v>
      </c>
    </row>
    <row r="3082" spans="5:23" x14ac:dyDescent="0.25">
      <c r="E3082" s="4"/>
      <c r="F3082" s="4"/>
      <c r="G3082" s="33" t="str">
        <f>IFERROR(VLOOKUP($D3082,'Informations sur les produits'!$A$3:$H$10000,8,FALSE),"0")</f>
        <v>0</v>
      </c>
      <c r="K3082" s="4"/>
      <c r="L3082" s="33" t="str">
        <f>IFERROR(VLOOKUP($J3082,'Informations sur les produits'!$A$3:$H$10000,8,FALSE),"0")</f>
        <v>0</v>
      </c>
      <c r="N3082" s="8"/>
      <c r="O3082" s="33" t="str">
        <f>IFERROR(VLOOKUP($M3082,'Informations sur les produits'!$A$3:$H$10000,8,FALSE),"0")</f>
        <v>0</v>
      </c>
      <c r="P3082" s="33">
        <f t="shared" si="192"/>
        <v>0</v>
      </c>
      <c r="Q3082" s="31" t="str">
        <f t="shared" si="193"/>
        <v/>
      </c>
      <c r="R3082" s="32" t="str">
        <f>IFERROR(VLOOKUP($D3082,'Informations sur les produits'!$A$3:$B$15000,2,FALSE),"")</f>
        <v/>
      </c>
      <c r="V3082">
        <f t="shared" si="194"/>
        <v>0</v>
      </c>
      <c r="W3082">
        <f t="shared" si="195"/>
        <v>0</v>
      </c>
    </row>
    <row r="3083" spans="5:23" x14ac:dyDescent="0.25">
      <c r="E3083" s="4"/>
      <c r="F3083" s="4"/>
      <c r="G3083" s="33" t="str">
        <f>IFERROR(VLOOKUP($D3083,'Informations sur les produits'!$A$3:$H$10000,8,FALSE),"0")</f>
        <v>0</v>
      </c>
      <c r="K3083" s="4"/>
      <c r="L3083" s="33" t="str">
        <f>IFERROR(VLOOKUP($J3083,'Informations sur les produits'!$A$3:$H$10000,8,FALSE),"0")</f>
        <v>0</v>
      </c>
      <c r="N3083" s="8"/>
      <c r="O3083" s="33" t="str">
        <f>IFERROR(VLOOKUP($M3083,'Informations sur les produits'!$A$3:$H$10000,8,FALSE),"0")</f>
        <v>0</v>
      </c>
      <c r="P3083" s="33">
        <f t="shared" si="192"/>
        <v>0</v>
      </c>
      <c r="Q3083" s="31" t="str">
        <f t="shared" si="193"/>
        <v/>
      </c>
      <c r="R3083" s="32" t="str">
        <f>IFERROR(VLOOKUP($D3083,'Informations sur les produits'!$A$3:$B$15000,2,FALSE),"")</f>
        <v/>
      </c>
      <c r="V3083">
        <f t="shared" si="194"/>
        <v>0</v>
      </c>
      <c r="W3083">
        <f t="shared" si="195"/>
        <v>0</v>
      </c>
    </row>
    <row r="3084" spans="5:23" x14ac:dyDescent="0.25">
      <c r="E3084" s="4"/>
      <c r="F3084" s="4"/>
      <c r="G3084" s="33" t="str">
        <f>IFERROR(VLOOKUP($D3084,'Informations sur les produits'!$A$3:$H$10000,8,FALSE),"0")</f>
        <v>0</v>
      </c>
      <c r="K3084" s="4"/>
      <c r="L3084" s="33" t="str">
        <f>IFERROR(VLOOKUP($J3084,'Informations sur les produits'!$A$3:$H$10000,8,FALSE),"0")</f>
        <v>0</v>
      </c>
      <c r="N3084" s="8"/>
      <c r="O3084" s="33" t="str">
        <f>IFERROR(VLOOKUP($M3084,'Informations sur les produits'!$A$3:$H$10000,8,FALSE),"0")</f>
        <v>0</v>
      </c>
      <c r="P3084" s="33">
        <f t="shared" si="192"/>
        <v>0</v>
      </c>
      <c r="Q3084" s="31" t="str">
        <f t="shared" si="193"/>
        <v/>
      </c>
      <c r="R3084" s="32" t="str">
        <f>IFERROR(VLOOKUP($D3084,'Informations sur les produits'!$A$3:$B$15000,2,FALSE),"")</f>
        <v/>
      </c>
      <c r="V3084">
        <f t="shared" si="194"/>
        <v>0</v>
      </c>
      <c r="W3084">
        <f t="shared" si="195"/>
        <v>0</v>
      </c>
    </row>
    <row r="3085" spans="5:23" x14ac:dyDescent="0.25">
      <c r="E3085" s="4"/>
      <c r="F3085" s="4"/>
      <c r="G3085" s="33" t="str">
        <f>IFERROR(VLOOKUP($D3085,'Informations sur les produits'!$A$3:$H$10000,8,FALSE),"0")</f>
        <v>0</v>
      </c>
      <c r="K3085" s="4"/>
      <c r="L3085" s="33" t="str">
        <f>IFERROR(VLOOKUP($J3085,'Informations sur les produits'!$A$3:$H$10000,8,FALSE),"0")</f>
        <v>0</v>
      </c>
      <c r="N3085" s="8"/>
      <c r="O3085" s="33" t="str">
        <f>IFERROR(VLOOKUP($M3085,'Informations sur les produits'!$A$3:$H$10000,8,FALSE),"0")</f>
        <v>0</v>
      </c>
      <c r="P3085" s="33">
        <f t="shared" si="192"/>
        <v>0</v>
      </c>
      <c r="Q3085" s="31" t="str">
        <f t="shared" si="193"/>
        <v/>
      </c>
      <c r="R3085" s="32" t="str">
        <f>IFERROR(VLOOKUP($D3085,'Informations sur les produits'!$A$3:$B$15000,2,FALSE),"")</f>
        <v/>
      </c>
      <c r="V3085">
        <f t="shared" si="194"/>
        <v>0</v>
      </c>
      <c r="W3085">
        <f t="shared" si="195"/>
        <v>0</v>
      </c>
    </row>
    <row r="3086" spans="5:23" x14ac:dyDescent="0.25">
      <c r="E3086" s="4"/>
      <c r="F3086" s="4"/>
      <c r="G3086" s="33" t="str">
        <f>IFERROR(VLOOKUP($D3086,'Informations sur les produits'!$A$3:$H$10000,8,FALSE),"0")</f>
        <v>0</v>
      </c>
      <c r="K3086" s="4"/>
      <c r="L3086" s="33" t="str">
        <f>IFERROR(VLOOKUP($J3086,'Informations sur les produits'!$A$3:$H$10000,8,FALSE),"0")</f>
        <v>0</v>
      </c>
      <c r="N3086" s="8"/>
      <c r="O3086" s="33" t="str">
        <f>IFERROR(VLOOKUP($M3086,'Informations sur les produits'!$A$3:$H$10000,8,FALSE),"0")</f>
        <v>0</v>
      </c>
      <c r="P3086" s="33">
        <f t="shared" si="192"/>
        <v>0</v>
      </c>
      <c r="Q3086" s="31" t="str">
        <f t="shared" si="193"/>
        <v/>
      </c>
      <c r="R3086" s="32" t="str">
        <f>IFERROR(VLOOKUP($D3086,'Informations sur les produits'!$A$3:$B$15000,2,FALSE),"")</f>
        <v/>
      </c>
      <c r="V3086">
        <f t="shared" si="194"/>
        <v>0</v>
      </c>
      <c r="W3086">
        <f t="shared" si="195"/>
        <v>0</v>
      </c>
    </row>
    <row r="3087" spans="5:23" x14ac:dyDescent="0.25">
      <c r="E3087" s="4"/>
      <c r="F3087" s="4"/>
      <c r="G3087" s="33" t="str">
        <f>IFERROR(VLOOKUP($D3087,'Informations sur les produits'!$A$3:$H$10000,8,FALSE),"0")</f>
        <v>0</v>
      </c>
      <c r="K3087" s="4"/>
      <c r="L3087" s="33" t="str">
        <f>IFERROR(VLOOKUP($J3087,'Informations sur les produits'!$A$3:$H$10000,8,FALSE),"0")</f>
        <v>0</v>
      </c>
      <c r="N3087" s="8"/>
      <c r="O3087" s="33" t="str">
        <f>IFERROR(VLOOKUP($M3087,'Informations sur les produits'!$A$3:$H$10000,8,FALSE),"0")</f>
        <v>0</v>
      </c>
      <c r="P3087" s="33">
        <f t="shared" si="192"/>
        <v>0</v>
      </c>
      <c r="Q3087" s="31" t="str">
        <f t="shared" si="193"/>
        <v/>
      </c>
      <c r="R3087" s="32" t="str">
        <f>IFERROR(VLOOKUP($D3087,'Informations sur les produits'!$A$3:$B$15000,2,FALSE),"")</f>
        <v/>
      </c>
      <c r="V3087">
        <f t="shared" si="194"/>
        <v>0</v>
      </c>
      <c r="W3087">
        <f t="shared" si="195"/>
        <v>0</v>
      </c>
    </row>
    <row r="3088" spans="5:23" x14ac:dyDescent="0.25">
      <c r="E3088" s="4"/>
      <c r="F3088" s="4"/>
      <c r="G3088" s="33" t="str">
        <f>IFERROR(VLOOKUP($D3088,'Informations sur les produits'!$A$3:$H$10000,8,FALSE),"0")</f>
        <v>0</v>
      </c>
      <c r="K3088" s="4"/>
      <c r="L3088" s="33" t="str">
        <f>IFERROR(VLOOKUP($J3088,'Informations sur les produits'!$A$3:$H$10000,8,FALSE),"0")</f>
        <v>0</v>
      </c>
      <c r="N3088" s="8"/>
      <c r="O3088" s="33" t="str">
        <f>IFERROR(VLOOKUP($M3088,'Informations sur les produits'!$A$3:$H$10000,8,FALSE),"0")</f>
        <v>0</v>
      </c>
      <c r="P3088" s="33">
        <f t="shared" si="192"/>
        <v>0</v>
      </c>
      <c r="Q3088" s="31" t="str">
        <f t="shared" si="193"/>
        <v/>
      </c>
      <c r="R3088" s="32" t="str">
        <f>IFERROR(VLOOKUP($D3088,'Informations sur les produits'!$A$3:$B$15000,2,FALSE),"")</f>
        <v/>
      </c>
      <c r="V3088">
        <f t="shared" si="194"/>
        <v>0</v>
      </c>
      <c r="W3088">
        <f t="shared" si="195"/>
        <v>0</v>
      </c>
    </row>
    <row r="3089" spans="5:23" x14ac:dyDescent="0.25">
      <c r="E3089" s="4"/>
      <c r="F3089" s="4"/>
      <c r="G3089" s="33" t="str">
        <f>IFERROR(VLOOKUP($D3089,'Informations sur les produits'!$A$3:$H$10000,8,FALSE),"0")</f>
        <v>0</v>
      </c>
      <c r="K3089" s="4"/>
      <c r="L3089" s="33" t="str">
        <f>IFERROR(VLOOKUP($J3089,'Informations sur les produits'!$A$3:$H$10000,8,FALSE),"0")</f>
        <v>0</v>
      </c>
      <c r="N3089" s="8"/>
      <c r="O3089" s="33" t="str">
        <f>IFERROR(VLOOKUP($M3089,'Informations sur les produits'!$A$3:$H$10000,8,FALSE),"0")</f>
        <v>0</v>
      </c>
      <c r="P3089" s="33">
        <f t="shared" si="192"/>
        <v>0</v>
      </c>
      <c r="Q3089" s="31" t="str">
        <f t="shared" si="193"/>
        <v/>
      </c>
      <c r="R3089" s="32" t="str">
        <f>IFERROR(VLOOKUP($D3089,'Informations sur les produits'!$A$3:$B$15000,2,FALSE),"")</f>
        <v/>
      </c>
      <c r="V3089">
        <f t="shared" si="194"/>
        <v>0</v>
      </c>
      <c r="W3089">
        <f t="shared" si="195"/>
        <v>0</v>
      </c>
    </row>
    <row r="3090" spans="5:23" x14ac:dyDescent="0.25">
      <c r="E3090" s="4"/>
      <c r="F3090" s="4"/>
      <c r="G3090" s="33" t="str">
        <f>IFERROR(VLOOKUP($D3090,'Informations sur les produits'!$A$3:$H$10000,8,FALSE),"0")</f>
        <v>0</v>
      </c>
      <c r="K3090" s="4"/>
      <c r="L3090" s="33" t="str">
        <f>IFERROR(VLOOKUP($J3090,'Informations sur les produits'!$A$3:$H$10000,8,FALSE),"0")</f>
        <v>0</v>
      </c>
      <c r="N3090" s="8"/>
      <c r="O3090" s="33" t="str">
        <f>IFERROR(VLOOKUP($M3090,'Informations sur les produits'!$A$3:$H$10000,8,FALSE),"0")</f>
        <v>0</v>
      </c>
      <c r="P3090" s="33">
        <f t="shared" si="192"/>
        <v>0</v>
      </c>
      <c r="Q3090" s="31" t="str">
        <f t="shared" si="193"/>
        <v/>
      </c>
      <c r="R3090" s="32" t="str">
        <f>IFERROR(VLOOKUP($D3090,'Informations sur les produits'!$A$3:$B$15000,2,FALSE),"")</f>
        <v/>
      </c>
      <c r="V3090">
        <f t="shared" si="194"/>
        <v>0</v>
      </c>
      <c r="W3090">
        <f t="shared" si="195"/>
        <v>0</v>
      </c>
    </row>
    <row r="3091" spans="5:23" x14ac:dyDescent="0.25">
      <c r="E3091" s="4"/>
      <c r="F3091" s="4"/>
      <c r="G3091" s="33" t="str">
        <f>IFERROR(VLOOKUP($D3091,'Informations sur les produits'!$A$3:$H$10000,8,FALSE),"0")</f>
        <v>0</v>
      </c>
      <c r="K3091" s="4"/>
      <c r="L3091" s="33" t="str">
        <f>IFERROR(VLOOKUP($J3091,'Informations sur les produits'!$A$3:$H$10000,8,FALSE),"0")</f>
        <v>0</v>
      </c>
      <c r="N3091" s="8"/>
      <c r="O3091" s="33" t="str">
        <f>IFERROR(VLOOKUP($M3091,'Informations sur les produits'!$A$3:$H$10000,8,FALSE),"0")</f>
        <v>0</v>
      </c>
      <c r="P3091" s="33">
        <f t="shared" si="192"/>
        <v>0</v>
      </c>
      <c r="Q3091" s="31" t="str">
        <f t="shared" si="193"/>
        <v/>
      </c>
      <c r="R3091" s="32" t="str">
        <f>IFERROR(VLOOKUP($D3091,'Informations sur les produits'!$A$3:$B$15000,2,FALSE),"")</f>
        <v/>
      </c>
      <c r="V3091">
        <f t="shared" si="194"/>
        <v>0</v>
      </c>
      <c r="W3091">
        <f t="shared" si="195"/>
        <v>0</v>
      </c>
    </row>
    <row r="3092" spans="5:23" x14ac:dyDescent="0.25">
      <c r="E3092" s="4"/>
      <c r="F3092" s="4"/>
      <c r="G3092" s="33" t="str">
        <f>IFERROR(VLOOKUP($D3092,'Informations sur les produits'!$A$3:$H$10000,8,FALSE),"0")</f>
        <v>0</v>
      </c>
      <c r="K3092" s="4"/>
      <c r="L3092" s="33" t="str">
        <f>IFERROR(VLOOKUP($J3092,'Informations sur les produits'!$A$3:$H$10000,8,FALSE),"0")</f>
        <v>0</v>
      </c>
      <c r="N3092" s="8"/>
      <c r="O3092" s="33" t="str">
        <f>IFERROR(VLOOKUP($M3092,'Informations sur les produits'!$A$3:$H$10000,8,FALSE),"0")</f>
        <v>0</v>
      </c>
      <c r="P3092" s="33">
        <f t="shared" si="192"/>
        <v>0</v>
      </c>
      <c r="Q3092" s="31" t="str">
        <f t="shared" si="193"/>
        <v/>
      </c>
      <c r="R3092" s="32" t="str">
        <f>IFERROR(VLOOKUP($D3092,'Informations sur les produits'!$A$3:$B$15000,2,FALSE),"")</f>
        <v/>
      </c>
      <c r="V3092">
        <f t="shared" si="194"/>
        <v>0</v>
      </c>
      <c r="W3092">
        <f t="shared" si="195"/>
        <v>0</v>
      </c>
    </row>
    <row r="3093" spans="5:23" x14ac:dyDescent="0.25">
      <c r="E3093" s="4"/>
      <c r="F3093" s="4"/>
      <c r="G3093" s="33" t="str">
        <f>IFERROR(VLOOKUP($D3093,'Informations sur les produits'!$A$3:$H$10000,8,FALSE),"0")</f>
        <v>0</v>
      </c>
      <c r="K3093" s="4"/>
      <c r="L3093" s="33" t="str">
        <f>IFERROR(VLOOKUP($J3093,'Informations sur les produits'!$A$3:$H$10000,8,FALSE),"0")</f>
        <v>0</v>
      </c>
      <c r="N3093" s="8"/>
      <c r="O3093" s="33" t="str">
        <f>IFERROR(VLOOKUP($M3093,'Informations sur les produits'!$A$3:$H$10000,8,FALSE),"0")</f>
        <v>0</v>
      </c>
      <c r="P3093" s="33">
        <f t="shared" si="192"/>
        <v>0</v>
      </c>
      <c r="Q3093" s="31" t="str">
        <f t="shared" si="193"/>
        <v/>
      </c>
      <c r="R3093" s="32" t="str">
        <f>IFERROR(VLOOKUP($D3093,'Informations sur les produits'!$A$3:$B$15000,2,FALSE),"")</f>
        <v/>
      </c>
      <c r="V3093">
        <f t="shared" si="194"/>
        <v>0</v>
      </c>
      <c r="W3093">
        <f t="shared" si="195"/>
        <v>0</v>
      </c>
    </row>
    <row r="3094" spans="5:23" x14ac:dyDescent="0.25">
      <c r="E3094" s="4"/>
      <c r="F3094" s="4"/>
      <c r="G3094" s="33" t="str">
        <f>IFERROR(VLOOKUP($D3094,'Informations sur les produits'!$A$3:$H$10000,8,FALSE),"0")</f>
        <v>0</v>
      </c>
      <c r="K3094" s="4"/>
      <c r="L3094" s="33" t="str">
        <f>IFERROR(VLOOKUP($J3094,'Informations sur les produits'!$A$3:$H$10000,8,FALSE),"0")</f>
        <v>0</v>
      </c>
      <c r="N3094" s="8"/>
      <c r="O3094" s="33" t="str">
        <f>IFERROR(VLOOKUP($M3094,'Informations sur les produits'!$A$3:$H$10000,8,FALSE),"0")</f>
        <v>0</v>
      </c>
      <c r="P3094" s="33">
        <f t="shared" si="192"/>
        <v>0</v>
      </c>
      <c r="Q3094" s="31" t="str">
        <f t="shared" si="193"/>
        <v/>
      </c>
      <c r="R3094" s="32" t="str">
        <f>IFERROR(VLOOKUP($D3094,'Informations sur les produits'!$A$3:$B$15000,2,FALSE),"")</f>
        <v/>
      </c>
      <c r="V3094">
        <f t="shared" si="194"/>
        <v>0</v>
      </c>
      <c r="W3094">
        <f t="shared" si="195"/>
        <v>0</v>
      </c>
    </row>
    <row r="3095" spans="5:23" x14ac:dyDescent="0.25">
      <c r="E3095" s="4"/>
      <c r="F3095" s="4"/>
      <c r="G3095" s="33" t="str">
        <f>IFERROR(VLOOKUP($D3095,'Informations sur les produits'!$A$3:$H$10000,8,FALSE),"0")</f>
        <v>0</v>
      </c>
      <c r="K3095" s="4"/>
      <c r="L3095" s="33" t="str">
        <f>IFERROR(VLOOKUP($J3095,'Informations sur les produits'!$A$3:$H$10000,8,FALSE),"0")</f>
        <v>0</v>
      </c>
      <c r="N3095" s="8"/>
      <c r="O3095" s="33" t="str">
        <f>IFERROR(VLOOKUP($M3095,'Informations sur les produits'!$A$3:$H$10000,8,FALSE),"0")</f>
        <v>0</v>
      </c>
      <c r="P3095" s="33">
        <f t="shared" si="192"/>
        <v>0</v>
      </c>
      <c r="Q3095" s="31" t="str">
        <f t="shared" si="193"/>
        <v/>
      </c>
      <c r="R3095" s="32" t="str">
        <f>IFERROR(VLOOKUP($D3095,'Informations sur les produits'!$A$3:$B$15000,2,FALSE),"")</f>
        <v/>
      </c>
      <c r="V3095">
        <f t="shared" si="194"/>
        <v>0</v>
      </c>
      <c r="W3095">
        <f t="shared" si="195"/>
        <v>0</v>
      </c>
    </row>
    <row r="3096" spans="5:23" x14ac:dyDescent="0.25">
      <c r="E3096" s="4"/>
      <c r="F3096" s="4"/>
      <c r="G3096" s="33" t="str">
        <f>IFERROR(VLOOKUP($D3096,'Informations sur les produits'!$A$3:$H$10000,8,FALSE),"0")</f>
        <v>0</v>
      </c>
      <c r="K3096" s="4"/>
      <c r="L3096" s="33" t="str">
        <f>IFERROR(VLOOKUP($J3096,'Informations sur les produits'!$A$3:$H$10000,8,FALSE),"0")</f>
        <v>0</v>
      </c>
      <c r="N3096" s="8"/>
      <c r="O3096" s="33" t="str">
        <f>IFERROR(VLOOKUP($M3096,'Informations sur les produits'!$A$3:$H$10000,8,FALSE),"0")</f>
        <v>0</v>
      </c>
      <c r="P3096" s="33">
        <f t="shared" si="192"/>
        <v>0</v>
      </c>
      <c r="Q3096" s="31" t="str">
        <f t="shared" si="193"/>
        <v/>
      </c>
      <c r="R3096" s="32" t="str">
        <f>IFERROR(VLOOKUP($D3096,'Informations sur les produits'!$A$3:$B$15000,2,FALSE),"")</f>
        <v/>
      </c>
      <c r="V3096">
        <f t="shared" si="194"/>
        <v>0</v>
      </c>
      <c r="W3096">
        <f t="shared" si="195"/>
        <v>0</v>
      </c>
    </row>
    <row r="3097" spans="5:23" x14ac:dyDescent="0.25">
      <c r="E3097" s="4"/>
      <c r="F3097" s="4"/>
      <c r="G3097" s="33" t="str">
        <f>IFERROR(VLOOKUP($D3097,'Informations sur les produits'!$A$3:$H$10000,8,FALSE),"0")</f>
        <v>0</v>
      </c>
      <c r="K3097" s="4"/>
      <c r="L3097" s="33" t="str">
        <f>IFERROR(VLOOKUP($J3097,'Informations sur les produits'!$A$3:$H$10000,8,FALSE),"0")</f>
        <v>0</v>
      </c>
      <c r="N3097" s="8"/>
      <c r="O3097" s="33" t="str">
        <f>IFERROR(VLOOKUP($M3097,'Informations sur les produits'!$A$3:$H$10000,8,FALSE),"0")</f>
        <v>0</v>
      </c>
      <c r="P3097" s="33">
        <f t="shared" si="192"/>
        <v>0</v>
      </c>
      <c r="Q3097" s="31" t="str">
        <f t="shared" si="193"/>
        <v/>
      </c>
      <c r="R3097" s="32" t="str">
        <f>IFERROR(VLOOKUP($D3097,'Informations sur les produits'!$A$3:$B$15000,2,FALSE),"")</f>
        <v/>
      </c>
      <c r="V3097">
        <f t="shared" si="194"/>
        <v>0</v>
      </c>
      <c r="W3097">
        <f t="shared" si="195"/>
        <v>0</v>
      </c>
    </row>
    <row r="3098" spans="5:23" x14ac:dyDescent="0.25">
      <c r="E3098" s="4"/>
      <c r="F3098" s="4"/>
      <c r="G3098" s="33" t="str">
        <f>IFERROR(VLOOKUP($D3098,'Informations sur les produits'!$A$3:$H$10000,8,FALSE),"0")</f>
        <v>0</v>
      </c>
      <c r="K3098" s="4"/>
      <c r="L3098" s="33" t="str">
        <f>IFERROR(VLOOKUP($J3098,'Informations sur les produits'!$A$3:$H$10000,8,FALSE),"0")</f>
        <v>0</v>
      </c>
      <c r="N3098" s="8"/>
      <c r="O3098" s="33" t="str">
        <f>IFERROR(VLOOKUP($M3098,'Informations sur les produits'!$A$3:$H$10000,8,FALSE),"0")</f>
        <v>0</v>
      </c>
      <c r="P3098" s="33">
        <f t="shared" si="192"/>
        <v>0</v>
      </c>
      <c r="Q3098" s="31" t="str">
        <f t="shared" si="193"/>
        <v/>
      </c>
      <c r="R3098" s="32" t="str">
        <f>IFERROR(VLOOKUP($D3098,'Informations sur les produits'!$A$3:$B$15000,2,FALSE),"")</f>
        <v/>
      </c>
      <c r="V3098">
        <f t="shared" si="194"/>
        <v>0</v>
      </c>
      <c r="W3098">
        <f t="shared" si="195"/>
        <v>0</v>
      </c>
    </row>
    <row r="3099" spans="5:23" x14ac:dyDescent="0.25">
      <c r="E3099" s="4"/>
      <c r="F3099" s="4"/>
      <c r="G3099" s="33" t="str">
        <f>IFERROR(VLOOKUP($D3099,'Informations sur les produits'!$A$3:$H$10000,8,FALSE),"0")</f>
        <v>0</v>
      </c>
      <c r="K3099" s="4"/>
      <c r="L3099" s="33" t="str">
        <f>IFERROR(VLOOKUP($J3099,'Informations sur les produits'!$A$3:$H$10000,8,FALSE),"0")</f>
        <v>0</v>
      </c>
      <c r="N3099" s="8"/>
      <c r="O3099" s="33" t="str">
        <f>IFERROR(VLOOKUP($M3099,'Informations sur les produits'!$A$3:$H$10000,8,FALSE),"0")</f>
        <v>0</v>
      </c>
      <c r="P3099" s="33">
        <f t="shared" si="192"/>
        <v>0</v>
      </c>
      <c r="Q3099" s="31" t="str">
        <f t="shared" si="193"/>
        <v/>
      </c>
      <c r="R3099" s="32" t="str">
        <f>IFERROR(VLOOKUP($D3099,'Informations sur les produits'!$A$3:$B$15000,2,FALSE),"")</f>
        <v/>
      </c>
      <c r="V3099">
        <f t="shared" si="194"/>
        <v>0</v>
      </c>
      <c r="W3099">
        <f t="shared" si="195"/>
        <v>0</v>
      </c>
    </row>
    <row r="3100" spans="5:23" x14ac:dyDescent="0.25">
      <c r="E3100" s="4"/>
      <c r="F3100" s="4"/>
      <c r="G3100" s="33" t="str">
        <f>IFERROR(VLOOKUP($D3100,'Informations sur les produits'!$A$3:$H$10000,8,FALSE),"0")</f>
        <v>0</v>
      </c>
      <c r="K3100" s="4"/>
      <c r="L3100" s="33" t="str">
        <f>IFERROR(VLOOKUP($J3100,'Informations sur les produits'!$A$3:$H$10000,8,FALSE),"0")</f>
        <v>0</v>
      </c>
      <c r="N3100" s="8"/>
      <c r="O3100" s="33" t="str">
        <f>IFERROR(VLOOKUP($M3100,'Informations sur les produits'!$A$3:$H$10000,8,FALSE),"0")</f>
        <v>0</v>
      </c>
      <c r="P3100" s="33">
        <f t="shared" si="192"/>
        <v>0</v>
      </c>
      <c r="Q3100" s="31" t="str">
        <f t="shared" si="193"/>
        <v/>
      </c>
      <c r="R3100" s="32" t="str">
        <f>IFERROR(VLOOKUP($D3100,'Informations sur les produits'!$A$3:$B$15000,2,FALSE),"")</f>
        <v/>
      </c>
      <c r="V3100">
        <f t="shared" si="194"/>
        <v>0</v>
      </c>
      <c r="W3100">
        <f t="shared" si="195"/>
        <v>0</v>
      </c>
    </row>
    <row r="3101" spans="5:23" x14ac:dyDescent="0.25">
      <c r="E3101" s="4"/>
      <c r="F3101" s="4"/>
      <c r="G3101" s="33" t="str">
        <f>IFERROR(VLOOKUP($D3101,'Informations sur les produits'!$A$3:$H$10000,8,FALSE),"0")</f>
        <v>0</v>
      </c>
      <c r="K3101" s="4"/>
      <c r="L3101" s="33" t="str">
        <f>IFERROR(VLOOKUP($J3101,'Informations sur les produits'!$A$3:$H$10000,8,FALSE),"0")</f>
        <v>0</v>
      </c>
      <c r="N3101" s="8"/>
      <c r="O3101" s="33" t="str">
        <f>IFERROR(VLOOKUP($M3101,'Informations sur les produits'!$A$3:$H$10000,8,FALSE),"0")</f>
        <v>0</v>
      </c>
      <c r="P3101" s="33">
        <f t="shared" si="192"/>
        <v>0</v>
      </c>
      <c r="Q3101" s="31" t="str">
        <f t="shared" si="193"/>
        <v/>
      </c>
      <c r="R3101" s="32" t="str">
        <f>IFERROR(VLOOKUP($D3101,'Informations sur les produits'!$A$3:$B$15000,2,FALSE),"")</f>
        <v/>
      </c>
      <c r="V3101">
        <f t="shared" si="194"/>
        <v>0</v>
      </c>
      <c r="W3101">
        <f t="shared" si="195"/>
        <v>0</v>
      </c>
    </row>
    <row r="3102" spans="5:23" x14ac:dyDescent="0.25">
      <c r="E3102" s="4"/>
      <c r="F3102" s="4"/>
      <c r="G3102" s="33" t="str">
        <f>IFERROR(VLOOKUP($D3102,'Informations sur les produits'!$A$3:$H$10000,8,FALSE),"0")</f>
        <v>0</v>
      </c>
      <c r="K3102" s="4"/>
      <c r="L3102" s="33" t="str">
        <f>IFERROR(VLOOKUP($J3102,'Informations sur les produits'!$A$3:$H$10000,8,FALSE),"0")</f>
        <v>0</v>
      </c>
      <c r="N3102" s="8"/>
      <c r="O3102" s="33" t="str">
        <f>IFERROR(VLOOKUP($M3102,'Informations sur les produits'!$A$3:$H$10000,8,FALSE),"0")</f>
        <v>0</v>
      </c>
      <c r="P3102" s="33">
        <f t="shared" si="192"/>
        <v>0</v>
      </c>
      <c r="Q3102" s="31" t="str">
        <f t="shared" si="193"/>
        <v/>
      </c>
      <c r="R3102" s="32" t="str">
        <f>IFERROR(VLOOKUP($D3102,'Informations sur les produits'!$A$3:$B$15000,2,FALSE),"")</f>
        <v/>
      </c>
      <c r="V3102">
        <f t="shared" si="194"/>
        <v>0</v>
      </c>
      <c r="W3102">
        <f t="shared" si="195"/>
        <v>0</v>
      </c>
    </row>
    <row r="3103" spans="5:23" x14ac:dyDescent="0.25">
      <c r="E3103" s="4"/>
      <c r="F3103" s="4"/>
      <c r="G3103" s="33" t="str">
        <f>IFERROR(VLOOKUP($D3103,'Informations sur les produits'!$A$3:$H$10000,8,FALSE),"0")</f>
        <v>0</v>
      </c>
      <c r="K3103" s="4"/>
      <c r="L3103" s="33" t="str">
        <f>IFERROR(VLOOKUP($J3103,'Informations sur les produits'!$A$3:$H$10000,8,FALSE),"0")</f>
        <v>0</v>
      </c>
      <c r="N3103" s="8"/>
      <c r="O3103" s="33" t="str">
        <f>IFERROR(VLOOKUP($M3103,'Informations sur les produits'!$A$3:$H$10000,8,FALSE),"0")</f>
        <v>0</v>
      </c>
      <c r="P3103" s="33">
        <f t="shared" si="192"/>
        <v>0</v>
      </c>
      <c r="Q3103" s="31" t="str">
        <f t="shared" si="193"/>
        <v/>
      </c>
      <c r="R3103" s="32" t="str">
        <f>IFERROR(VLOOKUP($D3103,'Informations sur les produits'!$A$3:$B$15000,2,FALSE),"")</f>
        <v/>
      </c>
      <c r="V3103">
        <f t="shared" si="194"/>
        <v>0</v>
      </c>
      <c r="W3103">
        <f t="shared" si="195"/>
        <v>0</v>
      </c>
    </row>
    <row r="3104" spans="5:23" x14ac:dyDescent="0.25">
      <c r="E3104" s="4"/>
      <c r="F3104" s="4"/>
      <c r="G3104" s="33" t="str">
        <f>IFERROR(VLOOKUP($D3104,'Informations sur les produits'!$A$3:$H$10000,8,FALSE),"0")</f>
        <v>0</v>
      </c>
      <c r="K3104" s="4"/>
      <c r="L3104" s="33" t="str">
        <f>IFERROR(VLOOKUP($J3104,'Informations sur les produits'!$A$3:$H$10000,8,FALSE),"0")</f>
        <v>0</v>
      </c>
      <c r="N3104" s="8"/>
      <c r="O3104" s="33" t="str">
        <f>IFERROR(VLOOKUP($M3104,'Informations sur les produits'!$A$3:$H$10000,8,FALSE),"0")</f>
        <v>0</v>
      </c>
      <c r="P3104" s="33">
        <f t="shared" si="192"/>
        <v>0</v>
      </c>
      <c r="Q3104" s="31" t="str">
        <f t="shared" si="193"/>
        <v/>
      </c>
      <c r="R3104" s="32" t="str">
        <f>IFERROR(VLOOKUP($D3104,'Informations sur les produits'!$A$3:$B$15000,2,FALSE),"")</f>
        <v/>
      </c>
      <c r="V3104">
        <f t="shared" si="194"/>
        <v>0</v>
      </c>
      <c r="W3104">
        <f t="shared" si="195"/>
        <v>0</v>
      </c>
    </row>
    <row r="3105" spans="5:23" x14ac:dyDescent="0.25">
      <c r="E3105" s="4"/>
      <c r="F3105" s="4"/>
      <c r="G3105" s="33" t="str">
        <f>IFERROR(VLOOKUP($D3105,'Informations sur les produits'!$A$3:$H$10000,8,FALSE),"0")</f>
        <v>0</v>
      </c>
      <c r="K3105" s="4"/>
      <c r="L3105" s="33" t="str">
        <f>IFERROR(VLOOKUP($J3105,'Informations sur les produits'!$A$3:$H$10000,8,FALSE),"0")</f>
        <v>0</v>
      </c>
      <c r="N3105" s="8"/>
      <c r="O3105" s="33" t="str">
        <f>IFERROR(VLOOKUP($M3105,'Informations sur les produits'!$A$3:$H$10000,8,FALSE),"0")</f>
        <v>0</v>
      </c>
      <c r="P3105" s="33">
        <f t="shared" si="192"/>
        <v>0</v>
      </c>
      <c r="Q3105" s="31" t="str">
        <f t="shared" si="193"/>
        <v/>
      </c>
      <c r="R3105" s="32" t="str">
        <f>IFERROR(VLOOKUP($D3105,'Informations sur les produits'!$A$3:$B$15000,2,FALSE),"")</f>
        <v/>
      </c>
      <c r="V3105">
        <f t="shared" si="194"/>
        <v>0</v>
      </c>
      <c r="W3105">
        <f t="shared" si="195"/>
        <v>0</v>
      </c>
    </row>
    <row r="3106" spans="5:23" x14ac:dyDescent="0.25">
      <c r="E3106" s="4"/>
      <c r="F3106" s="4"/>
      <c r="G3106" s="33" t="str">
        <f>IFERROR(VLOOKUP($D3106,'Informations sur les produits'!$A$3:$H$10000,8,FALSE),"0")</f>
        <v>0</v>
      </c>
      <c r="K3106" s="4"/>
      <c r="L3106" s="33" t="str">
        <f>IFERROR(VLOOKUP($J3106,'Informations sur les produits'!$A$3:$H$10000,8,FALSE),"0")</f>
        <v>0</v>
      </c>
      <c r="N3106" s="8"/>
      <c r="O3106" s="33" t="str">
        <f>IFERROR(VLOOKUP($M3106,'Informations sur les produits'!$A$3:$H$10000,8,FALSE),"0")</f>
        <v>0</v>
      </c>
      <c r="P3106" s="33">
        <f t="shared" si="192"/>
        <v>0</v>
      </c>
      <c r="Q3106" s="31" t="str">
        <f t="shared" si="193"/>
        <v/>
      </c>
      <c r="R3106" s="32" t="str">
        <f>IFERROR(VLOOKUP($D3106,'Informations sur les produits'!$A$3:$B$15000,2,FALSE),"")</f>
        <v/>
      </c>
      <c r="V3106">
        <f t="shared" si="194"/>
        <v>0</v>
      </c>
      <c r="W3106">
        <f t="shared" si="195"/>
        <v>0</v>
      </c>
    </row>
    <row r="3107" spans="5:23" x14ac:dyDescent="0.25">
      <c r="E3107" s="4"/>
      <c r="F3107" s="4"/>
      <c r="G3107" s="33" t="str">
        <f>IFERROR(VLOOKUP($D3107,'Informations sur les produits'!$A$3:$H$10000,8,FALSE),"0")</f>
        <v>0</v>
      </c>
      <c r="K3107" s="4"/>
      <c r="L3107" s="33" t="str">
        <f>IFERROR(VLOOKUP($J3107,'Informations sur les produits'!$A$3:$H$10000,8,FALSE),"0")</f>
        <v>0</v>
      </c>
      <c r="N3107" s="8"/>
      <c r="O3107" s="33" t="str">
        <f>IFERROR(VLOOKUP($M3107,'Informations sur les produits'!$A$3:$H$10000,8,FALSE),"0")</f>
        <v>0</v>
      </c>
      <c r="P3107" s="33">
        <f t="shared" si="192"/>
        <v>0</v>
      </c>
      <c r="Q3107" s="31" t="str">
        <f t="shared" si="193"/>
        <v/>
      </c>
      <c r="R3107" s="32" t="str">
        <f>IFERROR(VLOOKUP($D3107,'Informations sur les produits'!$A$3:$B$15000,2,FALSE),"")</f>
        <v/>
      </c>
      <c r="V3107">
        <f t="shared" si="194"/>
        <v>0</v>
      </c>
      <c r="W3107">
        <f t="shared" si="195"/>
        <v>0</v>
      </c>
    </row>
    <row r="3108" spans="5:23" x14ac:dyDescent="0.25">
      <c r="E3108" s="4"/>
      <c r="F3108" s="4"/>
      <c r="G3108" s="33" t="str">
        <f>IFERROR(VLOOKUP($D3108,'Informations sur les produits'!$A$3:$H$10000,8,FALSE),"0")</f>
        <v>0</v>
      </c>
      <c r="K3108" s="4"/>
      <c r="L3108" s="33" t="str">
        <f>IFERROR(VLOOKUP($J3108,'Informations sur les produits'!$A$3:$H$10000,8,FALSE),"0")</f>
        <v>0</v>
      </c>
      <c r="N3108" s="8"/>
      <c r="O3108" s="33" t="str">
        <f>IFERROR(VLOOKUP($M3108,'Informations sur les produits'!$A$3:$H$10000,8,FALSE),"0")</f>
        <v>0</v>
      </c>
      <c r="P3108" s="33">
        <f t="shared" si="192"/>
        <v>0</v>
      </c>
      <c r="Q3108" s="31" t="str">
        <f t="shared" si="193"/>
        <v/>
      </c>
      <c r="R3108" s="32" t="str">
        <f>IFERROR(VLOOKUP($D3108,'Informations sur les produits'!$A$3:$B$15000,2,FALSE),"")</f>
        <v/>
      </c>
      <c r="V3108">
        <f t="shared" si="194"/>
        <v>0</v>
      </c>
      <c r="W3108">
        <f t="shared" si="195"/>
        <v>0</v>
      </c>
    </row>
    <row r="3109" spans="5:23" x14ac:dyDescent="0.25">
      <c r="E3109" s="4"/>
      <c r="F3109" s="4"/>
      <c r="G3109" s="33" t="str">
        <f>IFERROR(VLOOKUP($D3109,'Informations sur les produits'!$A$3:$H$10000,8,FALSE),"0")</f>
        <v>0</v>
      </c>
      <c r="K3109" s="4"/>
      <c r="L3109" s="33" t="str">
        <f>IFERROR(VLOOKUP($J3109,'Informations sur les produits'!$A$3:$H$10000,8,FALSE),"0")</f>
        <v>0</v>
      </c>
      <c r="N3109" s="8"/>
      <c r="O3109" s="33" t="str">
        <f>IFERROR(VLOOKUP($M3109,'Informations sur les produits'!$A$3:$H$10000,8,FALSE),"0")</f>
        <v>0</v>
      </c>
      <c r="P3109" s="33">
        <f t="shared" si="192"/>
        <v>0</v>
      </c>
      <c r="Q3109" s="31" t="str">
        <f t="shared" si="193"/>
        <v/>
      </c>
      <c r="R3109" s="32" t="str">
        <f>IFERROR(VLOOKUP($D3109,'Informations sur les produits'!$A$3:$B$15000,2,FALSE),"")</f>
        <v/>
      </c>
      <c r="V3109">
        <f t="shared" si="194"/>
        <v>0</v>
      </c>
      <c r="W3109">
        <f t="shared" si="195"/>
        <v>0</v>
      </c>
    </row>
    <row r="3110" spans="5:23" x14ac:dyDescent="0.25">
      <c r="E3110" s="4"/>
      <c r="F3110" s="4"/>
      <c r="G3110" s="33" t="str">
        <f>IFERROR(VLOOKUP($D3110,'Informations sur les produits'!$A$3:$H$10000,8,FALSE),"0")</f>
        <v>0</v>
      </c>
      <c r="K3110" s="4"/>
      <c r="L3110" s="33" t="str">
        <f>IFERROR(VLOOKUP($J3110,'Informations sur les produits'!$A$3:$H$10000,8,FALSE),"0")</f>
        <v>0</v>
      </c>
      <c r="N3110" s="8"/>
      <c r="O3110" s="33" t="str">
        <f>IFERROR(VLOOKUP($M3110,'Informations sur les produits'!$A$3:$H$10000,8,FALSE),"0")</f>
        <v>0</v>
      </c>
      <c r="P3110" s="33">
        <f t="shared" si="192"/>
        <v>0</v>
      </c>
      <c r="Q3110" s="31" t="str">
        <f t="shared" si="193"/>
        <v/>
      </c>
      <c r="R3110" s="32" t="str">
        <f>IFERROR(VLOOKUP($D3110,'Informations sur les produits'!$A$3:$B$15000,2,FALSE),"")</f>
        <v/>
      </c>
      <c r="V3110">
        <f t="shared" si="194"/>
        <v>0</v>
      </c>
      <c r="W3110">
        <f t="shared" si="195"/>
        <v>0</v>
      </c>
    </row>
    <row r="3111" spans="5:23" x14ac:dyDescent="0.25">
      <c r="E3111" s="4"/>
      <c r="F3111" s="4"/>
      <c r="G3111" s="33" t="str">
        <f>IFERROR(VLOOKUP($D3111,'Informations sur les produits'!$A$3:$H$10000,8,FALSE),"0")</f>
        <v>0</v>
      </c>
      <c r="K3111" s="4"/>
      <c r="L3111" s="33" t="str">
        <f>IFERROR(VLOOKUP($J3111,'Informations sur les produits'!$A$3:$H$10000,8,FALSE),"0")</f>
        <v>0</v>
      </c>
      <c r="N3111" s="8"/>
      <c r="O3111" s="33" t="str">
        <f>IFERROR(VLOOKUP($M3111,'Informations sur les produits'!$A$3:$H$10000,8,FALSE),"0")</f>
        <v>0</v>
      </c>
      <c r="P3111" s="33">
        <f t="shared" si="192"/>
        <v>0</v>
      </c>
      <c r="Q3111" s="31" t="str">
        <f t="shared" si="193"/>
        <v/>
      </c>
      <c r="R3111" s="32" t="str">
        <f>IFERROR(VLOOKUP($D3111,'Informations sur les produits'!$A$3:$B$15000,2,FALSE),"")</f>
        <v/>
      </c>
      <c r="V3111">
        <f t="shared" si="194"/>
        <v>0</v>
      </c>
      <c r="W3111">
        <f t="shared" si="195"/>
        <v>0</v>
      </c>
    </row>
    <row r="3112" spans="5:23" x14ac:dyDescent="0.25">
      <c r="E3112" s="4"/>
      <c r="F3112" s="4"/>
      <c r="G3112" s="33" t="str">
        <f>IFERROR(VLOOKUP($D3112,'Informations sur les produits'!$A$3:$H$10000,8,FALSE),"0")</f>
        <v>0</v>
      </c>
      <c r="K3112" s="4"/>
      <c r="L3112" s="33" t="str">
        <f>IFERROR(VLOOKUP($J3112,'Informations sur les produits'!$A$3:$H$10000,8,FALSE),"0")</f>
        <v>0</v>
      </c>
      <c r="N3112" s="8"/>
      <c r="O3112" s="33" t="str">
        <f>IFERROR(VLOOKUP($M3112,'Informations sur les produits'!$A$3:$H$10000,8,FALSE),"0")</f>
        <v>0</v>
      </c>
      <c r="P3112" s="33">
        <f t="shared" si="192"/>
        <v>0</v>
      </c>
      <c r="Q3112" s="31" t="str">
        <f t="shared" si="193"/>
        <v/>
      </c>
      <c r="R3112" s="32" t="str">
        <f>IFERROR(VLOOKUP($D3112,'Informations sur les produits'!$A$3:$B$15000,2,FALSE),"")</f>
        <v/>
      </c>
      <c r="V3112">
        <f t="shared" si="194"/>
        <v>0</v>
      </c>
      <c r="W3112">
        <f t="shared" si="195"/>
        <v>0</v>
      </c>
    </row>
    <row r="3113" spans="5:23" x14ac:dyDescent="0.25">
      <c r="E3113" s="4"/>
      <c r="F3113" s="4"/>
      <c r="G3113" s="33" t="str">
        <f>IFERROR(VLOOKUP($D3113,'Informations sur les produits'!$A$3:$H$10000,8,FALSE),"0")</f>
        <v>0</v>
      </c>
      <c r="K3113" s="4"/>
      <c r="L3113" s="33" t="str">
        <f>IFERROR(VLOOKUP($J3113,'Informations sur les produits'!$A$3:$H$10000,8,FALSE),"0")</f>
        <v>0</v>
      </c>
      <c r="N3113" s="8"/>
      <c r="O3113" s="33" t="str">
        <f>IFERROR(VLOOKUP($M3113,'Informations sur les produits'!$A$3:$H$10000,8,FALSE),"0")</f>
        <v>0</v>
      </c>
      <c r="P3113" s="33">
        <f t="shared" si="192"/>
        <v>0</v>
      </c>
      <c r="Q3113" s="31" t="str">
        <f t="shared" si="193"/>
        <v/>
      </c>
      <c r="R3113" s="32" t="str">
        <f>IFERROR(VLOOKUP($D3113,'Informations sur les produits'!$A$3:$B$15000,2,FALSE),"")</f>
        <v/>
      </c>
      <c r="V3113">
        <f t="shared" si="194"/>
        <v>0</v>
      </c>
      <c r="W3113">
        <f t="shared" si="195"/>
        <v>0</v>
      </c>
    </row>
    <row r="3114" spans="5:23" x14ac:dyDescent="0.25">
      <c r="E3114" s="4"/>
      <c r="F3114" s="4"/>
      <c r="G3114" s="33" t="str">
        <f>IFERROR(VLOOKUP($D3114,'Informations sur les produits'!$A$3:$H$10000,8,FALSE),"0")</f>
        <v>0</v>
      </c>
      <c r="K3114" s="4"/>
      <c r="L3114" s="33" t="str">
        <f>IFERROR(VLOOKUP($J3114,'Informations sur les produits'!$A$3:$H$10000,8,FALSE),"0")</f>
        <v>0</v>
      </c>
      <c r="N3114" s="8"/>
      <c r="O3114" s="33" t="str">
        <f>IFERROR(VLOOKUP($M3114,'Informations sur les produits'!$A$3:$H$10000,8,FALSE),"0")</f>
        <v>0</v>
      </c>
      <c r="P3114" s="33">
        <f t="shared" si="192"/>
        <v>0</v>
      </c>
      <c r="Q3114" s="31" t="str">
        <f t="shared" si="193"/>
        <v/>
      </c>
      <c r="R3114" s="32" t="str">
        <f>IFERROR(VLOOKUP($D3114,'Informations sur les produits'!$A$3:$B$15000,2,FALSE),"")</f>
        <v/>
      </c>
      <c r="V3114">
        <f t="shared" si="194"/>
        <v>0</v>
      </c>
      <c r="W3114">
        <f t="shared" si="195"/>
        <v>0</v>
      </c>
    </row>
    <row r="3115" spans="5:23" x14ac:dyDescent="0.25">
      <c r="E3115" s="4"/>
      <c r="F3115" s="4"/>
      <c r="G3115" s="33" t="str">
        <f>IFERROR(VLOOKUP($D3115,'Informations sur les produits'!$A$3:$H$10000,8,FALSE),"0")</f>
        <v>0</v>
      </c>
      <c r="K3115" s="4"/>
      <c r="L3115" s="33" t="str">
        <f>IFERROR(VLOOKUP($J3115,'Informations sur les produits'!$A$3:$H$10000,8,FALSE),"0")</f>
        <v>0</v>
      </c>
      <c r="N3115" s="8"/>
      <c r="O3115" s="33" t="str">
        <f>IFERROR(VLOOKUP($M3115,'Informations sur les produits'!$A$3:$H$10000,8,FALSE),"0")</f>
        <v>0</v>
      </c>
      <c r="P3115" s="33">
        <f t="shared" si="192"/>
        <v>0</v>
      </c>
      <c r="Q3115" s="31" t="str">
        <f t="shared" si="193"/>
        <v/>
      </c>
      <c r="R3115" s="32" t="str">
        <f>IFERROR(VLOOKUP($D3115,'Informations sur les produits'!$A$3:$B$15000,2,FALSE),"")</f>
        <v/>
      </c>
      <c r="V3115">
        <f t="shared" si="194"/>
        <v>0</v>
      </c>
      <c r="W3115">
        <f t="shared" si="195"/>
        <v>0</v>
      </c>
    </row>
    <row r="3116" spans="5:23" x14ac:dyDescent="0.25">
      <c r="E3116" s="4"/>
      <c r="F3116" s="4"/>
      <c r="G3116" s="33" t="str">
        <f>IFERROR(VLOOKUP($D3116,'Informations sur les produits'!$A$3:$H$10000,8,FALSE),"0")</f>
        <v>0</v>
      </c>
      <c r="K3116" s="4"/>
      <c r="L3116" s="33" t="str">
        <f>IFERROR(VLOOKUP($J3116,'Informations sur les produits'!$A$3:$H$10000,8,FALSE),"0")</f>
        <v>0</v>
      </c>
      <c r="N3116" s="8"/>
      <c r="O3116" s="33" t="str">
        <f>IFERROR(VLOOKUP($M3116,'Informations sur les produits'!$A$3:$H$10000,8,FALSE),"0")</f>
        <v>0</v>
      </c>
      <c r="P3116" s="33">
        <f t="shared" si="192"/>
        <v>0</v>
      </c>
      <c r="Q3116" s="31" t="str">
        <f t="shared" si="193"/>
        <v/>
      </c>
      <c r="R3116" s="32" t="str">
        <f>IFERROR(VLOOKUP($D3116,'Informations sur les produits'!$A$3:$B$15000,2,FALSE),"")</f>
        <v/>
      </c>
      <c r="V3116">
        <f t="shared" si="194"/>
        <v>0</v>
      </c>
      <c r="W3116">
        <f t="shared" si="195"/>
        <v>0</v>
      </c>
    </row>
    <row r="3117" spans="5:23" x14ac:dyDescent="0.25">
      <c r="E3117" s="4"/>
      <c r="F3117" s="4"/>
      <c r="G3117" s="33" t="str">
        <f>IFERROR(VLOOKUP($D3117,'Informations sur les produits'!$A$3:$H$10000,8,FALSE),"0")</f>
        <v>0</v>
      </c>
      <c r="K3117" s="4"/>
      <c r="L3117" s="33" t="str">
        <f>IFERROR(VLOOKUP($J3117,'Informations sur les produits'!$A$3:$H$10000,8,FALSE),"0")</f>
        <v>0</v>
      </c>
      <c r="N3117" s="8"/>
      <c r="O3117" s="33" t="str">
        <f>IFERROR(VLOOKUP($M3117,'Informations sur les produits'!$A$3:$H$10000,8,FALSE),"0")</f>
        <v>0</v>
      </c>
      <c r="P3117" s="33">
        <f t="shared" si="192"/>
        <v>0</v>
      </c>
      <c r="Q3117" s="31" t="str">
        <f t="shared" si="193"/>
        <v/>
      </c>
      <c r="R3117" s="32" t="str">
        <f>IFERROR(VLOOKUP($D3117,'Informations sur les produits'!$A$3:$B$15000,2,FALSE),"")</f>
        <v/>
      </c>
      <c r="V3117">
        <f t="shared" si="194"/>
        <v>0</v>
      </c>
      <c r="W3117">
        <f t="shared" si="195"/>
        <v>0</v>
      </c>
    </row>
    <row r="3118" spans="5:23" x14ac:dyDescent="0.25">
      <c r="E3118" s="4"/>
      <c r="F3118" s="4"/>
      <c r="G3118" s="33" t="str">
        <f>IFERROR(VLOOKUP($D3118,'Informations sur les produits'!$A$3:$H$10000,8,FALSE),"0")</f>
        <v>0</v>
      </c>
      <c r="K3118" s="4"/>
      <c r="L3118" s="33" t="str">
        <f>IFERROR(VLOOKUP($J3118,'Informations sur les produits'!$A$3:$H$10000,8,FALSE),"0")</f>
        <v>0</v>
      </c>
      <c r="N3118" s="8"/>
      <c r="O3118" s="33" t="str">
        <f>IFERROR(VLOOKUP($M3118,'Informations sur les produits'!$A$3:$H$10000,8,FALSE),"0")</f>
        <v>0</v>
      </c>
      <c r="P3118" s="33">
        <f t="shared" si="192"/>
        <v>0</v>
      </c>
      <c r="Q3118" s="31" t="str">
        <f t="shared" si="193"/>
        <v/>
      </c>
      <c r="R3118" s="32" t="str">
        <f>IFERROR(VLOOKUP($D3118,'Informations sur les produits'!$A$3:$B$15000,2,FALSE),"")</f>
        <v/>
      </c>
      <c r="V3118">
        <f t="shared" si="194"/>
        <v>0</v>
      </c>
      <c r="W3118">
        <f t="shared" si="195"/>
        <v>0</v>
      </c>
    </row>
    <row r="3119" spans="5:23" x14ac:dyDescent="0.25">
      <c r="E3119" s="4"/>
      <c r="F3119" s="4"/>
      <c r="G3119" s="33" t="str">
        <f>IFERROR(VLOOKUP($D3119,'Informations sur les produits'!$A$3:$H$10000,8,FALSE),"0")</f>
        <v>0</v>
      </c>
      <c r="K3119" s="4"/>
      <c r="L3119" s="33" t="str">
        <f>IFERROR(VLOOKUP($J3119,'Informations sur les produits'!$A$3:$H$10000,8,FALSE),"0")</f>
        <v>0</v>
      </c>
      <c r="N3119" s="8"/>
      <c r="O3119" s="33" t="str">
        <f>IFERROR(VLOOKUP($M3119,'Informations sur les produits'!$A$3:$H$10000,8,FALSE),"0")</f>
        <v>0</v>
      </c>
      <c r="P3119" s="33">
        <f t="shared" si="192"/>
        <v>0</v>
      </c>
      <c r="Q3119" s="31" t="str">
        <f t="shared" si="193"/>
        <v/>
      </c>
      <c r="R3119" s="32" t="str">
        <f>IFERROR(VLOOKUP($D3119,'Informations sur les produits'!$A$3:$B$15000,2,FALSE),"")</f>
        <v/>
      </c>
      <c r="V3119">
        <f t="shared" si="194"/>
        <v>0</v>
      </c>
      <c r="W3119">
        <f t="shared" si="195"/>
        <v>0</v>
      </c>
    </row>
    <row r="3120" spans="5:23" x14ac:dyDescent="0.25">
      <c r="E3120" s="4"/>
      <c r="F3120" s="4"/>
      <c r="G3120" s="33" t="str">
        <f>IFERROR(VLOOKUP($D3120,'Informations sur les produits'!$A$3:$H$10000,8,FALSE),"0")</f>
        <v>0</v>
      </c>
      <c r="K3120" s="4"/>
      <c r="L3120" s="33" t="str">
        <f>IFERROR(VLOOKUP($J3120,'Informations sur les produits'!$A$3:$H$10000,8,FALSE),"0")</f>
        <v>0</v>
      </c>
      <c r="N3120" s="8"/>
      <c r="O3120" s="33" t="str">
        <f>IFERROR(VLOOKUP($M3120,'Informations sur les produits'!$A$3:$H$10000,8,FALSE),"0")</f>
        <v>0</v>
      </c>
      <c r="P3120" s="33">
        <f t="shared" si="192"/>
        <v>0</v>
      </c>
      <c r="Q3120" s="31" t="str">
        <f t="shared" si="193"/>
        <v/>
      </c>
      <c r="R3120" s="32" t="str">
        <f>IFERROR(VLOOKUP($D3120,'Informations sur les produits'!$A$3:$B$15000,2,FALSE),"")</f>
        <v/>
      </c>
      <c r="V3120">
        <f t="shared" si="194"/>
        <v>0</v>
      </c>
      <c r="W3120">
        <f t="shared" si="195"/>
        <v>0</v>
      </c>
    </row>
    <row r="3121" spans="5:23" x14ac:dyDescent="0.25">
      <c r="E3121" s="4"/>
      <c r="F3121" s="4"/>
      <c r="G3121" s="33" t="str">
        <f>IFERROR(VLOOKUP($D3121,'Informations sur les produits'!$A$3:$H$10000,8,FALSE),"0")</f>
        <v>0</v>
      </c>
      <c r="K3121" s="4"/>
      <c r="L3121" s="33" t="str">
        <f>IFERROR(VLOOKUP($J3121,'Informations sur les produits'!$A$3:$H$10000,8,FALSE),"0")</f>
        <v>0</v>
      </c>
      <c r="N3121" s="8"/>
      <c r="O3121" s="33" t="str">
        <f>IFERROR(VLOOKUP($M3121,'Informations sur les produits'!$A$3:$H$10000,8,FALSE),"0")</f>
        <v>0</v>
      </c>
      <c r="P3121" s="33">
        <f t="shared" si="192"/>
        <v>0</v>
      </c>
      <c r="Q3121" s="31" t="str">
        <f t="shared" si="193"/>
        <v/>
      </c>
      <c r="R3121" s="32" t="str">
        <f>IFERROR(VLOOKUP($D3121,'Informations sur les produits'!$A$3:$B$15000,2,FALSE),"")</f>
        <v/>
      </c>
      <c r="V3121">
        <f t="shared" si="194"/>
        <v>0</v>
      </c>
      <c r="W3121">
        <f t="shared" si="195"/>
        <v>0</v>
      </c>
    </row>
    <row r="3122" spans="5:23" x14ac:dyDescent="0.25">
      <c r="E3122" s="4"/>
      <c r="F3122" s="4"/>
      <c r="G3122" s="33" t="str">
        <f>IFERROR(VLOOKUP($D3122,'Informations sur les produits'!$A$3:$H$10000,8,FALSE),"0")</f>
        <v>0</v>
      </c>
      <c r="K3122" s="4"/>
      <c r="L3122" s="33" t="str">
        <f>IFERROR(VLOOKUP($J3122,'Informations sur les produits'!$A$3:$H$10000,8,FALSE),"0")</f>
        <v>0</v>
      </c>
      <c r="N3122" s="8"/>
      <c r="O3122" s="33" t="str">
        <f>IFERROR(VLOOKUP($M3122,'Informations sur les produits'!$A$3:$H$10000,8,FALSE),"0")</f>
        <v>0</v>
      </c>
      <c r="P3122" s="33">
        <f t="shared" si="192"/>
        <v>0</v>
      </c>
      <c r="Q3122" s="31" t="str">
        <f t="shared" si="193"/>
        <v/>
      </c>
      <c r="R3122" s="32" t="str">
        <f>IFERROR(VLOOKUP($D3122,'Informations sur les produits'!$A$3:$B$15000,2,FALSE),"")</f>
        <v/>
      </c>
      <c r="V3122">
        <f t="shared" si="194"/>
        <v>0</v>
      </c>
      <c r="W3122">
        <f t="shared" si="195"/>
        <v>0</v>
      </c>
    </row>
    <row r="3123" spans="5:23" x14ac:dyDescent="0.25">
      <c r="E3123" s="4"/>
      <c r="F3123" s="4"/>
      <c r="G3123" s="33" t="str">
        <f>IFERROR(VLOOKUP($D3123,'Informations sur les produits'!$A$3:$H$10000,8,FALSE),"0")</f>
        <v>0</v>
      </c>
      <c r="K3123" s="4"/>
      <c r="L3123" s="33" t="str">
        <f>IFERROR(VLOOKUP($J3123,'Informations sur les produits'!$A$3:$H$10000,8,FALSE),"0")</f>
        <v>0</v>
      </c>
      <c r="N3123" s="8"/>
      <c r="O3123" s="33" t="str">
        <f>IFERROR(VLOOKUP($M3123,'Informations sur les produits'!$A$3:$H$10000,8,FALSE),"0")</f>
        <v>0</v>
      </c>
      <c r="P3123" s="33">
        <f t="shared" si="192"/>
        <v>0</v>
      </c>
      <c r="Q3123" s="31" t="str">
        <f t="shared" si="193"/>
        <v/>
      </c>
      <c r="R3123" s="32" t="str">
        <f>IFERROR(VLOOKUP($D3123,'Informations sur les produits'!$A$3:$B$15000,2,FALSE),"")</f>
        <v/>
      </c>
      <c r="V3123">
        <f t="shared" si="194"/>
        <v>0</v>
      </c>
      <c r="W3123">
        <f t="shared" si="195"/>
        <v>0</v>
      </c>
    </row>
    <row r="3124" spans="5:23" x14ac:dyDescent="0.25">
      <c r="E3124" s="4"/>
      <c r="F3124" s="4"/>
      <c r="G3124" s="33" t="str">
        <f>IFERROR(VLOOKUP($D3124,'Informations sur les produits'!$A$3:$H$10000,8,FALSE),"0")</f>
        <v>0</v>
      </c>
      <c r="K3124" s="4"/>
      <c r="L3124" s="33" t="str">
        <f>IFERROR(VLOOKUP($J3124,'Informations sur les produits'!$A$3:$H$10000,8,FALSE),"0")</f>
        <v>0</v>
      </c>
      <c r="N3124" s="8"/>
      <c r="O3124" s="33" t="str">
        <f>IFERROR(VLOOKUP($M3124,'Informations sur les produits'!$A$3:$H$10000,8,FALSE),"0")</f>
        <v>0</v>
      </c>
      <c r="P3124" s="33">
        <f t="shared" si="192"/>
        <v>0</v>
      </c>
      <c r="Q3124" s="31" t="str">
        <f t="shared" si="193"/>
        <v/>
      </c>
      <c r="R3124" s="32" t="str">
        <f>IFERROR(VLOOKUP($D3124,'Informations sur les produits'!$A$3:$B$15000,2,FALSE),"")</f>
        <v/>
      </c>
      <c r="V3124">
        <f t="shared" si="194"/>
        <v>0</v>
      </c>
      <c r="W3124">
        <f t="shared" si="195"/>
        <v>0</v>
      </c>
    </row>
    <row r="3125" spans="5:23" x14ac:dyDescent="0.25">
      <c r="E3125" s="4"/>
      <c r="F3125" s="4"/>
      <c r="G3125" s="33" t="str">
        <f>IFERROR(VLOOKUP($D3125,'Informations sur les produits'!$A$3:$H$10000,8,FALSE),"0")</f>
        <v>0</v>
      </c>
      <c r="K3125" s="4"/>
      <c r="L3125" s="33" t="str">
        <f>IFERROR(VLOOKUP($J3125,'Informations sur les produits'!$A$3:$H$10000,8,FALSE),"0")</f>
        <v>0</v>
      </c>
      <c r="N3125" s="8"/>
      <c r="O3125" s="33" t="str">
        <f>IFERROR(VLOOKUP($M3125,'Informations sur les produits'!$A$3:$H$10000,8,FALSE),"0")</f>
        <v>0</v>
      </c>
      <c r="P3125" s="33">
        <f t="shared" si="192"/>
        <v>0</v>
      </c>
      <c r="Q3125" s="31" t="str">
        <f t="shared" si="193"/>
        <v/>
      </c>
      <c r="R3125" s="32" t="str">
        <f>IFERROR(VLOOKUP($D3125,'Informations sur les produits'!$A$3:$B$15000,2,FALSE),"")</f>
        <v/>
      </c>
      <c r="V3125">
        <f t="shared" si="194"/>
        <v>0</v>
      </c>
      <c r="W3125">
        <f t="shared" si="195"/>
        <v>0</v>
      </c>
    </row>
    <row r="3126" spans="5:23" x14ac:dyDescent="0.25">
      <c r="E3126" s="4"/>
      <c r="F3126" s="4"/>
      <c r="G3126" s="33" t="str">
        <f>IFERROR(VLOOKUP($D3126,'Informations sur les produits'!$A$3:$H$10000,8,FALSE),"0")</f>
        <v>0</v>
      </c>
      <c r="K3126" s="4"/>
      <c r="L3126" s="33" t="str">
        <f>IFERROR(VLOOKUP($J3126,'Informations sur les produits'!$A$3:$H$10000,8,FALSE),"0")</f>
        <v>0</v>
      </c>
      <c r="N3126" s="8"/>
      <c r="O3126" s="33" t="str">
        <f>IFERROR(VLOOKUP($M3126,'Informations sur les produits'!$A$3:$H$10000,8,FALSE),"0")</f>
        <v>0</v>
      </c>
      <c r="P3126" s="33">
        <f t="shared" si="192"/>
        <v>0</v>
      </c>
      <c r="Q3126" s="31" t="str">
        <f t="shared" si="193"/>
        <v/>
      </c>
      <c r="R3126" s="32" t="str">
        <f>IFERROR(VLOOKUP($D3126,'Informations sur les produits'!$A$3:$B$15000,2,FALSE),"")</f>
        <v/>
      </c>
      <c r="V3126">
        <f t="shared" si="194"/>
        <v>0</v>
      </c>
      <c r="W3126">
        <f t="shared" si="195"/>
        <v>0</v>
      </c>
    </row>
    <row r="3127" spans="5:23" x14ac:dyDescent="0.25">
      <c r="E3127" s="4"/>
      <c r="F3127" s="4"/>
      <c r="G3127" s="33" t="str">
        <f>IFERROR(VLOOKUP($D3127,'Informations sur les produits'!$A$3:$H$10000,8,FALSE),"0")</f>
        <v>0</v>
      </c>
      <c r="K3127" s="4"/>
      <c r="L3127" s="33" t="str">
        <f>IFERROR(VLOOKUP($J3127,'Informations sur les produits'!$A$3:$H$10000,8,FALSE),"0")</f>
        <v>0</v>
      </c>
      <c r="N3127" s="8"/>
      <c r="O3127" s="33" t="str">
        <f>IFERROR(VLOOKUP($M3127,'Informations sur les produits'!$A$3:$H$10000,8,FALSE),"0")</f>
        <v>0</v>
      </c>
      <c r="P3127" s="33">
        <f t="shared" si="192"/>
        <v>0</v>
      </c>
      <c r="Q3127" s="31" t="str">
        <f t="shared" si="193"/>
        <v/>
      </c>
      <c r="R3127" s="32" t="str">
        <f>IFERROR(VLOOKUP($D3127,'Informations sur les produits'!$A$3:$B$15000,2,FALSE),"")</f>
        <v/>
      </c>
      <c r="V3127">
        <f t="shared" si="194"/>
        <v>0</v>
      </c>
      <c r="W3127">
        <f t="shared" si="195"/>
        <v>0</v>
      </c>
    </row>
    <row r="3128" spans="5:23" x14ac:dyDescent="0.25">
      <c r="E3128" s="4"/>
      <c r="F3128" s="4"/>
      <c r="G3128" s="33" t="str">
        <f>IFERROR(VLOOKUP($D3128,'Informations sur les produits'!$A$3:$H$10000,8,FALSE),"0")</f>
        <v>0</v>
      </c>
      <c r="K3128" s="4"/>
      <c r="L3128" s="33" t="str">
        <f>IFERROR(VLOOKUP($J3128,'Informations sur les produits'!$A$3:$H$10000,8,FALSE),"0")</f>
        <v>0</v>
      </c>
      <c r="N3128" s="8"/>
      <c r="O3128" s="33" t="str">
        <f>IFERROR(VLOOKUP($M3128,'Informations sur les produits'!$A$3:$H$10000,8,FALSE),"0")</f>
        <v>0</v>
      </c>
      <c r="P3128" s="33">
        <f t="shared" si="192"/>
        <v>0</v>
      </c>
      <c r="Q3128" s="31" t="str">
        <f t="shared" si="193"/>
        <v/>
      </c>
      <c r="R3128" s="32" t="str">
        <f>IFERROR(VLOOKUP($D3128,'Informations sur les produits'!$A$3:$B$15000,2,FALSE),"")</f>
        <v/>
      </c>
      <c r="V3128">
        <f t="shared" si="194"/>
        <v>0</v>
      </c>
      <c r="W3128">
        <f t="shared" si="195"/>
        <v>0</v>
      </c>
    </row>
    <row r="3129" spans="5:23" x14ac:dyDescent="0.25">
      <c r="E3129" s="4"/>
      <c r="F3129" s="4"/>
      <c r="G3129" s="33" t="str">
        <f>IFERROR(VLOOKUP($D3129,'Informations sur les produits'!$A$3:$H$10000,8,FALSE),"0")</f>
        <v>0</v>
      </c>
      <c r="K3129" s="4"/>
      <c r="L3129" s="33" t="str">
        <f>IFERROR(VLOOKUP($J3129,'Informations sur les produits'!$A$3:$H$10000,8,FALSE),"0")</f>
        <v>0</v>
      </c>
      <c r="N3129" s="8"/>
      <c r="O3129" s="33" t="str">
        <f>IFERROR(VLOOKUP($M3129,'Informations sur les produits'!$A$3:$H$10000,8,FALSE),"0")</f>
        <v>0</v>
      </c>
      <c r="P3129" s="33">
        <f t="shared" si="192"/>
        <v>0</v>
      </c>
      <c r="Q3129" s="31" t="str">
        <f t="shared" si="193"/>
        <v/>
      </c>
      <c r="R3129" s="32" t="str">
        <f>IFERROR(VLOOKUP($D3129,'Informations sur les produits'!$A$3:$B$15000,2,FALSE),"")</f>
        <v/>
      </c>
      <c r="V3129">
        <f t="shared" si="194"/>
        <v>0</v>
      </c>
      <c r="W3129">
        <f t="shared" si="195"/>
        <v>0</v>
      </c>
    </row>
    <row r="3130" spans="5:23" x14ac:dyDescent="0.25">
      <c r="E3130" s="4"/>
      <c r="F3130" s="4"/>
      <c r="G3130" s="33" t="str">
        <f>IFERROR(VLOOKUP($D3130,'Informations sur les produits'!$A$3:$H$10000,8,FALSE),"0")</f>
        <v>0</v>
      </c>
      <c r="K3130" s="4"/>
      <c r="L3130" s="33" t="str">
        <f>IFERROR(VLOOKUP($J3130,'Informations sur les produits'!$A$3:$H$10000,8,FALSE),"0")</f>
        <v>0</v>
      </c>
      <c r="N3130" s="8"/>
      <c r="O3130" s="33" t="str">
        <f>IFERROR(VLOOKUP($M3130,'Informations sur les produits'!$A$3:$H$10000,8,FALSE),"0")</f>
        <v>0</v>
      </c>
      <c r="P3130" s="33">
        <f t="shared" si="192"/>
        <v>0</v>
      </c>
      <c r="Q3130" s="31" t="str">
        <f t="shared" si="193"/>
        <v/>
      </c>
      <c r="R3130" s="32" t="str">
        <f>IFERROR(VLOOKUP($D3130,'Informations sur les produits'!$A$3:$B$15000,2,FALSE),"")</f>
        <v/>
      </c>
      <c r="V3130">
        <f t="shared" si="194"/>
        <v>0</v>
      </c>
      <c r="W3130">
        <f t="shared" si="195"/>
        <v>0</v>
      </c>
    </row>
    <row r="3131" spans="5:23" x14ac:dyDescent="0.25">
      <c r="E3131" s="4"/>
      <c r="F3131" s="4"/>
      <c r="G3131" s="33" t="str">
        <f>IFERROR(VLOOKUP($D3131,'Informations sur les produits'!$A$3:$H$10000,8,FALSE),"0")</f>
        <v>0</v>
      </c>
      <c r="K3131" s="4"/>
      <c r="L3131" s="33" t="str">
        <f>IFERROR(VLOOKUP($J3131,'Informations sur les produits'!$A$3:$H$10000,8,FALSE),"0")</f>
        <v>0</v>
      </c>
      <c r="N3131" s="8"/>
      <c r="O3131" s="33" t="str">
        <f>IFERROR(VLOOKUP($M3131,'Informations sur les produits'!$A$3:$H$10000,8,FALSE),"0")</f>
        <v>0</v>
      </c>
      <c r="P3131" s="33">
        <f t="shared" si="192"/>
        <v>0</v>
      </c>
      <c r="Q3131" s="31" t="str">
        <f t="shared" si="193"/>
        <v/>
      </c>
      <c r="R3131" s="32" t="str">
        <f>IFERROR(VLOOKUP($D3131,'Informations sur les produits'!$A$3:$B$15000,2,FALSE),"")</f>
        <v/>
      </c>
      <c r="V3131">
        <f t="shared" si="194"/>
        <v>0</v>
      </c>
      <c r="W3131">
        <f t="shared" si="195"/>
        <v>0</v>
      </c>
    </row>
    <row r="3132" spans="5:23" x14ac:dyDescent="0.25">
      <c r="E3132" s="4"/>
      <c r="F3132" s="4"/>
      <c r="G3132" s="33" t="str">
        <f>IFERROR(VLOOKUP($D3132,'Informations sur les produits'!$A$3:$H$10000,8,FALSE),"0")</f>
        <v>0</v>
      </c>
      <c r="K3132" s="4"/>
      <c r="L3132" s="33" t="str">
        <f>IFERROR(VLOOKUP($J3132,'Informations sur les produits'!$A$3:$H$10000,8,FALSE),"0")</f>
        <v>0</v>
      </c>
      <c r="N3132" s="8"/>
      <c r="O3132" s="33" t="str">
        <f>IFERROR(VLOOKUP($M3132,'Informations sur les produits'!$A$3:$H$10000,8,FALSE),"0")</f>
        <v>0</v>
      </c>
      <c r="P3132" s="33">
        <f t="shared" si="192"/>
        <v>0</v>
      </c>
      <c r="Q3132" s="31" t="str">
        <f t="shared" si="193"/>
        <v/>
      </c>
      <c r="R3132" s="32" t="str">
        <f>IFERROR(VLOOKUP($D3132,'Informations sur les produits'!$A$3:$B$15000,2,FALSE),"")</f>
        <v/>
      </c>
      <c r="V3132">
        <f t="shared" si="194"/>
        <v>0</v>
      </c>
      <c r="W3132">
        <f t="shared" si="195"/>
        <v>0</v>
      </c>
    </row>
    <row r="3133" spans="5:23" x14ac:dyDescent="0.25">
      <c r="E3133" s="4"/>
      <c r="F3133" s="4"/>
      <c r="G3133" s="33" t="str">
        <f>IFERROR(VLOOKUP($D3133,'Informations sur les produits'!$A$3:$H$10000,8,FALSE),"0")</f>
        <v>0</v>
      </c>
      <c r="K3133" s="4"/>
      <c r="L3133" s="33" t="str">
        <f>IFERROR(VLOOKUP($J3133,'Informations sur les produits'!$A$3:$H$10000,8,FALSE),"0")</f>
        <v>0</v>
      </c>
      <c r="N3133" s="8"/>
      <c r="O3133" s="33" t="str">
        <f>IFERROR(VLOOKUP($M3133,'Informations sur les produits'!$A$3:$H$10000,8,FALSE),"0")</f>
        <v>0</v>
      </c>
      <c r="P3133" s="33">
        <f t="shared" si="192"/>
        <v>0</v>
      </c>
      <c r="Q3133" s="31" t="str">
        <f t="shared" si="193"/>
        <v/>
      </c>
      <c r="R3133" s="32" t="str">
        <f>IFERROR(VLOOKUP($D3133,'Informations sur les produits'!$A$3:$B$15000,2,FALSE),"")</f>
        <v/>
      </c>
      <c r="V3133">
        <f t="shared" si="194"/>
        <v>0</v>
      </c>
      <c r="W3133">
        <f t="shared" si="195"/>
        <v>0</v>
      </c>
    </row>
    <row r="3134" spans="5:23" x14ac:dyDescent="0.25">
      <c r="E3134" s="4"/>
      <c r="F3134" s="4"/>
      <c r="G3134" s="33" t="str">
        <f>IFERROR(VLOOKUP($D3134,'Informations sur les produits'!$A$3:$H$10000,8,FALSE),"0")</f>
        <v>0</v>
      </c>
      <c r="K3134" s="4"/>
      <c r="L3134" s="33" t="str">
        <f>IFERROR(VLOOKUP($J3134,'Informations sur les produits'!$A$3:$H$10000,8,FALSE),"0")</f>
        <v>0</v>
      </c>
      <c r="N3134" s="8"/>
      <c r="O3134" s="33" t="str">
        <f>IFERROR(VLOOKUP($M3134,'Informations sur les produits'!$A$3:$H$10000,8,FALSE),"0")</f>
        <v>0</v>
      </c>
      <c r="P3134" s="33">
        <f t="shared" si="192"/>
        <v>0</v>
      </c>
      <c r="Q3134" s="31" t="str">
        <f t="shared" si="193"/>
        <v/>
      </c>
      <c r="R3134" s="32" t="str">
        <f>IFERROR(VLOOKUP($D3134,'Informations sur les produits'!$A$3:$B$15000,2,FALSE),"")</f>
        <v/>
      </c>
      <c r="V3134">
        <f t="shared" si="194"/>
        <v>0</v>
      </c>
      <c r="W3134">
        <f t="shared" si="195"/>
        <v>0</v>
      </c>
    </row>
    <row r="3135" spans="5:23" x14ac:dyDescent="0.25">
      <c r="E3135" s="4"/>
      <c r="F3135" s="4"/>
      <c r="G3135" s="33" t="str">
        <f>IFERROR(VLOOKUP($D3135,'Informations sur les produits'!$A$3:$H$10000,8,FALSE),"0")</f>
        <v>0</v>
      </c>
      <c r="K3135" s="4"/>
      <c r="L3135" s="33" t="str">
        <f>IFERROR(VLOOKUP($J3135,'Informations sur les produits'!$A$3:$H$10000,8,FALSE),"0")</f>
        <v>0</v>
      </c>
      <c r="N3135" s="8"/>
      <c r="O3135" s="33" t="str">
        <f>IFERROR(VLOOKUP($M3135,'Informations sur les produits'!$A$3:$H$10000,8,FALSE),"0")</f>
        <v>0</v>
      </c>
      <c r="P3135" s="33">
        <f t="shared" si="192"/>
        <v>0</v>
      </c>
      <c r="Q3135" s="31" t="str">
        <f t="shared" si="193"/>
        <v/>
      </c>
      <c r="R3135" s="32" t="str">
        <f>IFERROR(VLOOKUP($D3135,'Informations sur les produits'!$A$3:$B$15000,2,FALSE),"")</f>
        <v/>
      </c>
      <c r="V3135">
        <f t="shared" si="194"/>
        <v>0</v>
      </c>
      <c r="W3135">
        <f t="shared" si="195"/>
        <v>0</v>
      </c>
    </row>
    <row r="3136" spans="5:23" x14ac:dyDescent="0.25">
      <c r="E3136" s="4"/>
      <c r="F3136" s="4"/>
      <c r="G3136" s="33" t="str">
        <f>IFERROR(VLOOKUP($D3136,'Informations sur les produits'!$A$3:$H$10000,8,FALSE),"0")</f>
        <v>0</v>
      </c>
      <c r="K3136" s="4"/>
      <c r="L3136" s="33" t="str">
        <f>IFERROR(VLOOKUP($J3136,'Informations sur les produits'!$A$3:$H$10000,8,FALSE),"0")</f>
        <v>0</v>
      </c>
      <c r="N3136" s="8"/>
      <c r="O3136" s="33" t="str">
        <f>IFERROR(VLOOKUP($M3136,'Informations sur les produits'!$A$3:$H$10000,8,FALSE),"0")</f>
        <v>0</v>
      </c>
      <c r="P3136" s="33">
        <f t="shared" si="192"/>
        <v>0</v>
      </c>
      <c r="Q3136" s="31" t="str">
        <f t="shared" si="193"/>
        <v/>
      </c>
      <c r="R3136" s="32" t="str">
        <f>IFERROR(VLOOKUP($D3136,'Informations sur les produits'!$A$3:$B$15000,2,FALSE),"")</f>
        <v/>
      </c>
      <c r="V3136">
        <f t="shared" si="194"/>
        <v>0</v>
      </c>
      <c r="W3136">
        <f t="shared" si="195"/>
        <v>0</v>
      </c>
    </row>
    <row r="3137" spans="5:23" x14ac:dyDescent="0.25">
      <c r="E3137" s="4"/>
      <c r="F3137" s="4"/>
      <c r="G3137" s="33" t="str">
        <f>IFERROR(VLOOKUP($D3137,'Informations sur les produits'!$A$3:$H$10000,8,FALSE),"0")</f>
        <v>0</v>
      </c>
      <c r="K3137" s="4"/>
      <c r="L3137" s="33" t="str">
        <f>IFERROR(VLOOKUP($J3137,'Informations sur les produits'!$A$3:$H$10000,8,FALSE),"0")</f>
        <v>0</v>
      </c>
      <c r="N3137" s="8"/>
      <c r="O3137" s="33" t="str">
        <f>IFERROR(VLOOKUP($M3137,'Informations sur les produits'!$A$3:$H$10000,8,FALSE),"0")</f>
        <v>0</v>
      </c>
      <c r="P3137" s="33">
        <f t="shared" si="192"/>
        <v>0</v>
      </c>
      <c r="Q3137" s="31" t="str">
        <f t="shared" si="193"/>
        <v/>
      </c>
      <c r="R3137" s="32" t="str">
        <f>IFERROR(VLOOKUP($D3137,'Informations sur les produits'!$A$3:$B$15000,2,FALSE),"")</f>
        <v/>
      </c>
      <c r="V3137">
        <f t="shared" si="194"/>
        <v>0</v>
      </c>
      <c r="W3137">
        <f t="shared" si="195"/>
        <v>0</v>
      </c>
    </row>
    <row r="3138" spans="5:23" x14ac:dyDescent="0.25">
      <c r="E3138" s="4"/>
      <c r="F3138" s="4"/>
      <c r="G3138" s="33" t="str">
        <f>IFERROR(VLOOKUP($D3138,'Informations sur les produits'!$A$3:$H$10000,8,FALSE),"0")</f>
        <v>0</v>
      </c>
      <c r="K3138" s="4"/>
      <c r="L3138" s="33" t="str">
        <f>IFERROR(VLOOKUP($J3138,'Informations sur les produits'!$A$3:$H$10000,8,FALSE),"0")</f>
        <v>0</v>
      </c>
      <c r="N3138" s="8"/>
      <c r="O3138" s="33" t="str">
        <f>IFERROR(VLOOKUP($M3138,'Informations sur les produits'!$A$3:$H$10000,8,FALSE),"0")</f>
        <v>0</v>
      </c>
      <c r="P3138" s="33">
        <f t="shared" si="192"/>
        <v>0</v>
      </c>
      <c r="Q3138" s="31" t="str">
        <f t="shared" si="193"/>
        <v/>
      </c>
      <c r="R3138" s="32" t="str">
        <f>IFERROR(VLOOKUP($D3138,'Informations sur les produits'!$A$3:$B$15000,2,FALSE),"")</f>
        <v/>
      </c>
      <c r="V3138">
        <f t="shared" si="194"/>
        <v>0</v>
      </c>
      <c r="W3138">
        <f t="shared" si="195"/>
        <v>0</v>
      </c>
    </row>
    <row r="3139" spans="5:23" x14ac:dyDescent="0.25">
      <c r="E3139" s="4"/>
      <c r="F3139" s="4"/>
      <c r="G3139" s="33" t="str">
        <f>IFERROR(VLOOKUP($D3139,'Informations sur les produits'!$A$3:$H$10000,8,FALSE),"0")</f>
        <v>0</v>
      </c>
      <c r="K3139" s="4"/>
      <c r="L3139" s="33" t="str">
        <f>IFERROR(VLOOKUP($J3139,'Informations sur les produits'!$A$3:$H$10000,8,FALSE),"0")</f>
        <v>0</v>
      </c>
      <c r="N3139" s="8"/>
      <c r="O3139" s="33" t="str">
        <f>IFERROR(VLOOKUP($M3139,'Informations sur les produits'!$A$3:$H$10000,8,FALSE),"0")</f>
        <v>0</v>
      </c>
      <c r="P3139" s="33">
        <f t="shared" si="192"/>
        <v>0</v>
      </c>
      <c r="Q3139" s="31" t="str">
        <f t="shared" si="193"/>
        <v/>
      </c>
      <c r="R3139" s="32" t="str">
        <f>IFERROR(VLOOKUP($D3139,'Informations sur les produits'!$A$3:$B$15000,2,FALSE),"")</f>
        <v/>
      </c>
      <c r="V3139">
        <f t="shared" si="194"/>
        <v>0</v>
      </c>
      <c r="W3139">
        <f t="shared" si="195"/>
        <v>0</v>
      </c>
    </row>
    <row r="3140" spans="5:23" x14ac:dyDescent="0.25">
      <c r="E3140" s="4"/>
      <c r="F3140" s="4"/>
      <c r="G3140" s="33" t="str">
        <f>IFERROR(VLOOKUP($D3140,'Informations sur les produits'!$A$3:$H$10000,8,FALSE),"0")</f>
        <v>0</v>
      </c>
      <c r="K3140" s="4"/>
      <c r="L3140" s="33" t="str">
        <f>IFERROR(VLOOKUP($J3140,'Informations sur les produits'!$A$3:$H$10000,8,FALSE),"0")</f>
        <v>0</v>
      </c>
      <c r="N3140" s="8"/>
      <c r="O3140" s="33" t="str">
        <f>IFERROR(VLOOKUP($M3140,'Informations sur les produits'!$A$3:$H$10000,8,FALSE),"0")</f>
        <v>0</v>
      </c>
      <c r="P3140" s="33">
        <f t="shared" ref="P3140:P3203" si="196">IFERROR((($E3140-$F3140)*$G3140+$K3140*$L3140+$N3140*$O3140),"")</f>
        <v>0</v>
      </c>
      <c r="Q3140" s="31" t="str">
        <f t="shared" ref="Q3140:Q3203" si="197">IFERROR((((($E3140-$F3140)*$G3140+$K3140*$L3140+$N3140*$O3140)*1000)/(($E3140-$F3140)+$K3140+$N3140)),"")</f>
        <v/>
      </c>
      <c r="R3140" s="32" t="str">
        <f>IFERROR(VLOOKUP($D3140,'Informations sur les produits'!$A$3:$B$15000,2,FALSE),"")</f>
        <v/>
      </c>
      <c r="V3140">
        <f t="shared" ref="V3140:V3203" si="198">IFERROR(P3140*1000,"")</f>
        <v>0</v>
      </c>
      <c r="W3140">
        <f t="shared" ref="W3140:W3203" si="199">IFERROR(($E3140-$F3140)+$K3140+$N3140,"")</f>
        <v>0</v>
      </c>
    </row>
    <row r="3141" spans="5:23" x14ac:dyDescent="0.25">
      <c r="E3141" s="4"/>
      <c r="F3141" s="4"/>
      <c r="G3141" s="33" t="str">
        <f>IFERROR(VLOOKUP($D3141,'Informations sur les produits'!$A$3:$H$10000,8,FALSE),"0")</f>
        <v>0</v>
      </c>
      <c r="K3141" s="4"/>
      <c r="L3141" s="33" t="str">
        <f>IFERROR(VLOOKUP($J3141,'Informations sur les produits'!$A$3:$H$10000,8,FALSE),"0")</f>
        <v>0</v>
      </c>
      <c r="N3141" s="8"/>
      <c r="O3141" s="33" t="str">
        <f>IFERROR(VLOOKUP($M3141,'Informations sur les produits'!$A$3:$H$10000,8,FALSE),"0")</f>
        <v>0</v>
      </c>
      <c r="P3141" s="33">
        <f t="shared" si="196"/>
        <v>0</v>
      </c>
      <c r="Q3141" s="31" t="str">
        <f t="shared" si="197"/>
        <v/>
      </c>
      <c r="R3141" s="32" t="str">
        <f>IFERROR(VLOOKUP($D3141,'Informations sur les produits'!$A$3:$B$15000,2,FALSE),"")</f>
        <v/>
      </c>
      <c r="V3141">
        <f t="shared" si="198"/>
        <v>0</v>
      </c>
      <c r="W3141">
        <f t="shared" si="199"/>
        <v>0</v>
      </c>
    </row>
    <row r="3142" spans="5:23" x14ac:dyDescent="0.25">
      <c r="E3142" s="4"/>
      <c r="F3142" s="4"/>
      <c r="G3142" s="33" t="str">
        <f>IFERROR(VLOOKUP($D3142,'Informations sur les produits'!$A$3:$H$10000,8,FALSE),"0")</f>
        <v>0</v>
      </c>
      <c r="K3142" s="4"/>
      <c r="L3142" s="33" t="str">
        <f>IFERROR(VLOOKUP($J3142,'Informations sur les produits'!$A$3:$H$10000,8,FALSE),"0")</f>
        <v>0</v>
      </c>
      <c r="N3142" s="8"/>
      <c r="O3142" s="33" t="str">
        <f>IFERROR(VLOOKUP($M3142,'Informations sur les produits'!$A$3:$H$10000,8,FALSE),"0")</f>
        <v>0</v>
      </c>
      <c r="P3142" s="33">
        <f t="shared" si="196"/>
        <v>0</v>
      </c>
      <c r="Q3142" s="31" t="str">
        <f t="shared" si="197"/>
        <v/>
      </c>
      <c r="R3142" s="32" t="str">
        <f>IFERROR(VLOOKUP($D3142,'Informations sur les produits'!$A$3:$B$15000,2,FALSE),"")</f>
        <v/>
      </c>
      <c r="V3142">
        <f t="shared" si="198"/>
        <v>0</v>
      </c>
      <c r="W3142">
        <f t="shared" si="199"/>
        <v>0</v>
      </c>
    </row>
    <row r="3143" spans="5:23" x14ac:dyDescent="0.25">
      <c r="E3143" s="4"/>
      <c r="F3143" s="4"/>
      <c r="G3143" s="33" t="str">
        <f>IFERROR(VLOOKUP($D3143,'Informations sur les produits'!$A$3:$H$10000,8,FALSE),"0")</f>
        <v>0</v>
      </c>
      <c r="K3143" s="4"/>
      <c r="L3143" s="33" t="str">
        <f>IFERROR(VLOOKUP($J3143,'Informations sur les produits'!$A$3:$H$10000,8,FALSE),"0")</f>
        <v>0</v>
      </c>
      <c r="N3143" s="8"/>
      <c r="O3143" s="33" t="str">
        <f>IFERROR(VLOOKUP($M3143,'Informations sur les produits'!$A$3:$H$10000,8,FALSE),"0")</f>
        <v>0</v>
      </c>
      <c r="P3143" s="33">
        <f t="shared" si="196"/>
        <v>0</v>
      </c>
      <c r="Q3143" s="31" t="str">
        <f t="shared" si="197"/>
        <v/>
      </c>
      <c r="R3143" s="32" t="str">
        <f>IFERROR(VLOOKUP($D3143,'Informations sur les produits'!$A$3:$B$15000,2,FALSE),"")</f>
        <v/>
      </c>
      <c r="V3143">
        <f t="shared" si="198"/>
        <v>0</v>
      </c>
      <c r="W3143">
        <f t="shared" si="199"/>
        <v>0</v>
      </c>
    </row>
    <row r="3144" spans="5:23" x14ac:dyDescent="0.25">
      <c r="E3144" s="4"/>
      <c r="F3144" s="4"/>
      <c r="G3144" s="33" t="str">
        <f>IFERROR(VLOOKUP($D3144,'Informations sur les produits'!$A$3:$H$10000,8,FALSE),"0")</f>
        <v>0</v>
      </c>
      <c r="K3144" s="4"/>
      <c r="L3144" s="33" t="str">
        <f>IFERROR(VLOOKUP($J3144,'Informations sur les produits'!$A$3:$H$10000,8,FALSE),"0")</f>
        <v>0</v>
      </c>
      <c r="N3144" s="8"/>
      <c r="O3144" s="33" t="str">
        <f>IFERROR(VLOOKUP($M3144,'Informations sur les produits'!$A$3:$H$10000,8,FALSE),"0")</f>
        <v>0</v>
      </c>
      <c r="P3144" s="33">
        <f t="shared" si="196"/>
        <v>0</v>
      </c>
      <c r="Q3144" s="31" t="str">
        <f t="shared" si="197"/>
        <v/>
      </c>
      <c r="R3144" s="32" t="str">
        <f>IFERROR(VLOOKUP($D3144,'Informations sur les produits'!$A$3:$B$15000,2,FALSE),"")</f>
        <v/>
      </c>
      <c r="V3144">
        <f t="shared" si="198"/>
        <v>0</v>
      </c>
      <c r="W3144">
        <f t="shared" si="199"/>
        <v>0</v>
      </c>
    </row>
    <row r="3145" spans="5:23" x14ac:dyDescent="0.25">
      <c r="E3145" s="4"/>
      <c r="F3145" s="4"/>
      <c r="G3145" s="33" t="str">
        <f>IFERROR(VLOOKUP($D3145,'Informations sur les produits'!$A$3:$H$10000,8,FALSE),"0")</f>
        <v>0</v>
      </c>
      <c r="K3145" s="4"/>
      <c r="L3145" s="33" t="str">
        <f>IFERROR(VLOOKUP($J3145,'Informations sur les produits'!$A$3:$H$10000,8,FALSE),"0")</f>
        <v>0</v>
      </c>
      <c r="N3145" s="8"/>
      <c r="O3145" s="33" t="str">
        <f>IFERROR(VLOOKUP($M3145,'Informations sur les produits'!$A$3:$H$10000,8,FALSE),"0")</f>
        <v>0</v>
      </c>
      <c r="P3145" s="33">
        <f t="shared" si="196"/>
        <v>0</v>
      </c>
      <c r="Q3145" s="31" t="str">
        <f t="shared" si="197"/>
        <v/>
      </c>
      <c r="R3145" s="32" t="str">
        <f>IFERROR(VLOOKUP($D3145,'Informations sur les produits'!$A$3:$B$15000,2,FALSE),"")</f>
        <v/>
      </c>
      <c r="V3145">
        <f t="shared" si="198"/>
        <v>0</v>
      </c>
      <c r="W3145">
        <f t="shared" si="199"/>
        <v>0</v>
      </c>
    </row>
    <row r="3146" spans="5:23" x14ac:dyDescent="0.25">
      <c r="E3146" s="4"/>
      <c r="F3146" s="4"/>
      <c r="G3146" s="33" t="str">
        <f>IFERROR(VLOOKUP($D3146,'Informations sur les produits'!$A$3:$H$10000,8,FALSE),"0")</f>
        <v>0</v>
      </c>
      <c r="K3146" s="4"/>
      <c r="L3146" s="33" t="str">
        <f>IFERROR(VLOOKUP($J3146,'Informations sur les produits'!$A$3:$H$10000,8,FALSE),"0")</f>
        <v>0</v>
      </c>
      <c r="N3146" s="8"/>
      <c r="O3146" s="33" t="str">
        <f>IFERROR(VLOOKUP($M3146,'Informations sur les produits'!$A$3:$H$10000,8,FALSE),"0")</f>
        <v>0</v>
      </c>
      <c r="P3146" s="33">
        <f t="shared" si="196"/>
        <v>0</v>
      </c>
      <c r="Q3146" s="31" t="str">
        <f t="shared" si="197"/>
        <v/>
      </c>
      <c r="R3146" s="32" t="str">
        <f>IFERROR(VLOOKUP($D3146,'Informations sur les produits'!$A$3:$B$15000,2,FALSE),"")</f>
        <v/>
      </c>
      <c r="V3146">
        <f t="shared" si="198"/>
        <v>0</v>
      </c>
      <c r="W3146">
        <f t="shared" si="199"/>
        <v>0</v>
      </c>
    </row>
    <row r="3147" spans="5:23" x14ac:dyDescent="0.25">
      <c r="E3147" s="4"/>
      <c r="F3147" s="4"/>
      <c r="G3147" s="33" t="str">
        <f>IFERROR(VLOOKUP($D3147,'Informations sur les produits'!$A$3:$H$10000,8,FALSE),"0")</f>
        <v>0</v>
      </c>
      <c r="K3147" s="4"/>
      <c r="L3147" s="33" t="str">
        <f>IFERROR(VLOOKUP($J3147,'Informations sur les produits'!$A$3:$H$10000,8,FALSE),"0")</f>
        <v>0</v>
      </c>
      <c r="N3147" s="8"/>
      <c r="O3147" s="33" t="str">
        <f>IFERROR(VLOOKUP($M3147,'Informations sur les produits'!$A$3:$H$10000,8,FALSE),"0")</f>
        <v>0</v>
      </c>
      <c r="P3147" s="33">
        <f t="shared" si="196"/>
        <v>0</v>
      </c>
      <c r="Q3147" s="31" t="str">
        <f t="shared" si="197"/>
        <v/>
      </c>
      <c r="R3147" s="32" t="str">
        <f>IFERROR(VLOOKUP($D3147,'Informations sur les produits'!$A$3:$B$15000,2,FALSE),"")</f>
        <v/>
      </c>
      <c r="V3147">
        <f t="shared" si="198"/>
        <v>0</v>
      </c>
      <c r="W3147">
        <f t="shared" si="199"/>
        <v>0</v>
      </c>
    </row>
    <row r="3148" spans="5:23" x14ac:dyDescent="0.25">
      <c r="E3148" s="4"/>
      <c r="F3148" s="4"/>
      <c r="G3148" s="33" t="str">
        <f>IFERROR(VLOOKUP($D3148,'Informations sur les produits'!$A$3:$H$10000,8,FALSE),"0")</f>
        <v>0</v>
      </c>
      <c r="K3148" s="4"/>
      <c r="L3148" s="33" t="str">
        <f>IFERROR(VLOOKUP($J3148,'Informations sur les produits'!$A$3:$H$10000,8,FALSE),"0")</f>
        <v>0</v>
      </c>
      <c r="N3148" s="8"/>
      <c r="O3148" s="33" t="str">
        <f>IFERROR(VLOOKUP($M3148,'Informations sur les produits'!$A$3:$H$10000,8,FALSE),"0")</f>
        <v>0</v>
      </c>
      <c r="P3148" s="33">
        <f t="shared" si="196"/>
        <v>0</v>
      </c>
      <c r="Q3148" s="31" t="str">
        <f t="shared" si="197"/>
        <v/>
      </c>
      <c r="R3148" s="32" t="str">
        <f>IFERROR(VLOOKUP($D3148,'Informations sur les produits'!$A$3:$B$15000,2,FALSE),"")</f>
        <v/>
      </c>
      <c r="V3148">
        <f t="shared" si="198"/>
        <v>0</v>
      </c>
      <c r="W3148">
        <f t="shared" si="199"/>
        <v>0</v>
      </c>
    </row>
    <row r="3149" spans="5:23" x14ac:dyDescent="0.25">
      <c r="E3149" s="4"/>
      <c r="F3149" s="4"/>
      <c r="G3149" s="33" t="str">
        <f>IFERROR(VLOOKUP($D3149,'Informations sur les produits'!$A$3:$H$10000,8,FALSE),"0")</f>
        <v>0</v>
      </c>
      <c r="K3149" s="4"/>
      <c r="L3149" s="33" t="str">
        <f>IFERROR(VLOOKUP($J3149,'Informations sur les produits'!$A$3:$H$10000,8,FALSE),"0")</f>
        <v>0</v>
      </c>
      <c r="N3149" s="8"/>
      <c r="O3149" s="33" t="str">
        <f>IFERROR(VLOOKUP($M3149,'Informations sur les produits'!$A$3:$H$10000,8,FALSE),"0")</f>
        <v>0</v>
      </c>
      <c r="P3149" s="33">
        <f t="shared" si="196"/>
        <v>0</v>
      </c>
      <c r="Q3149" s="31" t="str">
        <f t="shared" si="197"/>
        <v/>
      </c>
      <c r="R3149" s="32" t="str">
        <f>IFERROR(VLOOKUP($D3149,'Informations sur les produits'!$A$3:$B$15000,2,FALSE),"")</f>
        <v/>
      </c>
      <c r="V3149">
        <f t="shared" si="198"/>
        <v>0</v>
      </c>
      <c r="W3149">
        <f t="shared" si="199"/>
        <v>0</v>
      </c>
    </row>
    <row r="3150" spans="5:23" x14ac:dyDescent="0.25">
      <c r="E3150" s="4"/>
      <c r="F3150" s="4"/>
      <c r="G3150" s="33" t="str">
        <f>IFERROR(VLOOKUP($D3150,'Informations sur les produits'!$A$3:$H$10000,8,FALSE),"0")</f>
        <v>0</v>
      </c>
      <c r="K3150" s="4"/>
      <c r="L3150" s="33" t="str">
        <f>IFERROR(VLOOKUP($J3150,'Informations sur les produits'!$A$3:$H$10000,8,FALSE),"0")</f>
        <v>0</v>
      </c>
      <c r="N3150" s="8"/>
      <c r="O3150" s="33" t="str">
        <f>IFERROR(VLOOKUP($M3150,'Informations sur les produits'!$A$3:$H$10000,8,FALSE),"0")</f>
        <v>0</v>
      </c>
      <c r="P3150" s="33">
        <f t="shared" si="196"/>
        <v>0</v>
      </c>
      <c r="Q3150" s="31" t="str">
        <f t="shared" si="197"/>
        <v/>
      </c>
      <c r="R3150" s="32" t="str">
        <f>IFERROR(VLOOKUP($D3150,'Informations sur les produits'!$A$3:$B$15000,2,FALSE),"")</f>
        <v/>
      </c>
      <c r="V3150">
        <f t="shared" si="198"/>
        <v>0</v>
      </c>
      <c r="W3150">
        <f t="shared" si="199"/>
        <v>0</v>
      </c>
    </row>
    <row r="3151" spans="5:23" x14ac:dyDescent="0.25">
      <c r="E3151" s="4"/>
      <c r="F3151" s="4"/>
      <c r="G3151" s="33" t="str">
        <f>IFERROR(VLOOKUP($D3151,'Informations sur les produits'!$A$3:$H$10000,8,FALSE),"0")</f>
        <v>0</v>
      </c>
      <c r="K3151" s="4"/>
      <c r="L3151" s="33" t="str">
        <f>IFERROR(VLOOKUP($J3151,'Informations sur les produits'!$A$3:$H$10000,8,FALSE),"0")</f>
        <v>0</v>
      </c>
      <c r="N3151" s="8"/>
      <c r="O3151" s="33" t="str">
        <f>IFERROR(VLOOKUP($M3151,'Informations sur les produits'!$A$3:$H$10000,8,FALSE),"0")</f>
        <v>0</v>
      </c>
      <c r="P3151" s="33">
        <f t="shared" si="196"/>
        <v>0</v>
      </c>
      <c r="Q3151" s="31" t="str">
        <f t="shared" si="197"/>
        <v/>
      </c>
      <c r="R3151" s="32" t="str">
        <f>IFERROR(VLOOKUP($D3151,'Informations sur les produits'!$A$3:$B$15000,2,FALSE),"")</f>
        <v/>
      </c>
      <c r="V3151">
        <f t="shared" si="198"/>
        <v>0</v>
      </c>
      <c r="W3151">
        <f t="shared" si="199"/>
        <v>0</v>
      </c>
    </row>
    <row r="3152" spans="5:23" x14ac:dyDescent="0.25">
      <c r="E3152" s="4"/>
      <c r="F3152" s="4"/>
      <c r="G3152" s="33" t="str">
        <f>IFERROR(VLOOKUP($D3152,'Informations sur les produits'!$A$3:$H$10000,8,FALSE),"0")</f>
        <v>0</v>
      </c>
      <c r="K3152" s="4"/>
      <c r="L3152" s="33" t="str">
        <f>IFERROR(VLOOKUP($J3152,'Informations sur les produits'!$A$3:$H$10000,8,FALSE),"0")</f>
        <v>0</v>
      </c>
      <c r="N3152" s="8"/>
      <c r="O3152" s="33" t="str">
        <f>IFERROR(VLOOKUP($M3152,'Informations sur les produits'!$A$3:$H$10000,8,FALSE),"0")</f>
        <v>0</v>
      </c>
      <c r="P3152" s="33">
        <f t="shared" si="196"/>
        <v>0</v>
      </c>
      <c r="Q3152" s="31" t="str">
        <f t="shared" si="197"/>
        <v/>
      </c>
      <c r="R3152" s="32" t="str">
        <f>IFERROR(VLOOKUP($D3152,'Informations sur les produits'!$A$3:$B$15000,2,FALSE),"")</f>
        <v/>
      </c>
      <c r="V3152">
        <f t="shared" si="198"/>
        <v>0</v>
      </c>
      <c r="W3152">
        <f t="shared" si="199"/>
        <v>0</v>
      </c>
    </row>
    <row r="3153" spans="5:23" x14ac:dyDescent="0.25">
      <c r="E3153" s="4"/>
      <c r="F3153" s="4"/>
      <c r="G3153" s="33" t="str">
        <f>IFERROR(VLOOKUP($D3153,'Informations sur les produits'!$A$3:$H$10000,8,FALSE),"0")</f>
        <v>0</v>
      </c>
      <c r="K3153" s="4"/>
      <c r="L3153" s="33" t="str">
        <f>IFERROR(VLOOKUP($J3153,'Informations sur les produits'!$A$3:$H$10000,8,FALSE),"0")</f>
        <v>0</v>
      </c>
      <c r="N3153" s="8"/>
      <c r="O3153" s="33" t="str">
        <f>IFERROR(VLOOKUP($M3153,'Informations sur les produits'!$A$3:$H$10000,8,FALSE),"0")</f>
        <v>0</v>
      </c>
      <c r="P3153" s="33">
        <f t="shared" si="196"/>
        <v>0</v>
      </c>
      <c r="Q3153" s="31" t="str">
        <f t="shared" si="197"/>
        <v/>
      </c>
      <c r="R3153" s="32" t="str">
        <f>IFERROR(VLOOKUP($D3153,'Informations sur les produits'!$A$3:$B$15000,2,FALSE),"")</f>
        <v/>
      </c>
      <c r="V3153">
        <f t="shared" si="198"/>
        <v>0</v>
      </c>
      <c r="W3153">
        <f t="shared" si="199"/>
        <v>0</v>
      </c>
    </row>
    <row r="3154" spans="5:23" x14ac:dyDescent="0.25">
      <c r="E3154" s="4"/>
      <c r="F3154" s="4"/>
      <c r="G3154" s="33" t="str">
        <f>IFERROR(VLOOKUP($D3154,'Informations sur les produits'!$A$3:$H$10000,8,FALSE),"0")</f>
        <v>0</v>
      </c>
      <c r="K3154" s="4"/>
      <c r="L3154" s="33" t="str">
        <f>IFERROR(VLOOKUP($J3154,'Informations sur les produits'!$A$3:$H$10000,8,FALSE),"0")</f>
        <v>0</v>
      </c>
      <c r="N3154" s="8"/>
      <c r="O3154" s="33" t="str">
        <f>IFERROR(VLOOKUP($M3154,'Informations sur les produits'!$A$3:$H$10000,8,FALSE),"0")</f>
        <v>0</v>
      </c>
      <c r="P3154" s="33">
        <f t="shared" si="196"/>
        <v>0</v>
      </c>
      <c r="Q3154" s="31" t="str">
        <f t="shared" si="197"/>
        <v/>
      </c>
      <c r="R3154" s="32" t="str">
        <f>IFERROR(VLOOKUP($D3154,'Informations sur les produits'!$A$3:$B$15000,2,FALSE),"")</f>
        <v/>
      </c>
      <c r="V3154">
        <f t="shared" si="198"/>
        <v>0</v>
      </c>
      <c r="W3154">
        <f t="shared" si="199"/>
        <v>0</v>
      </c>
    </row>
    <row r="3155" spans="5:23" x14ac:dyDescent="0.25">
      <c r="E3155" s="4"/>
      <c r="F3155" s="4"/>
      <c r="G3155" s="33" t="str">
        <f>IFERROR(VLOOKUP($D3155,'Informations sur les produits'!$A$3:$H$10000,8,FALSE),"0")</f>
        <v>0</v>
      </c>
      <c r="K3155" s="4"/>
      <c r="L3155" s="33" t="str">
        <f>IFERROR(VLOOKUP($J3155,'Informations sur les produits'!$A$3:$H$10000,8,FALSE),"0")</f>
        <v>0</v>
      </c>
      <c r="N3155" s="8"/>
      <c r="O3155" s="33" t="str">
        <f>IFERROR(VLOOKUP($M3155,'Informations sur les produits'!$A$3:$H$10000,8,FALSE),"0")</f>
        <v>0</v>
      </c>
      <c r="P3155" s="33">
        <f t="shared" si="196"/>
        <v>0</v>
      </c>
      <c r="Q3155" s="31" t="str">
        <f t="shared" si="197"/>
        <v/>
      </c>
      <c r="R3155" s="32" t="str">
        <f>IFERROR(VLOOKUP($D3155,'Informations sur les produits'!$A$3:$B$15000,2,FALSE),"")</f>
        <v/>
      </c>
      <c r="V3155">
        <f t="shared" si="198"/>
        <v>0</v>
      </c>
      <c r="W3155">
        <f t="shared" si="199"/>
        <v>0</v>
      </c>
    </row>
    <row r="3156" spans="5:23" x14ac:dyDescent="0.25">
      <c r="E3156" s="4"/>
      <c r="F3156" s="4"/>
      <c r="G3156" s="33" t="str">
        <f>IFERROR(VLOOKUP($D3156,'Informations sur les produits'!$A$3:$H$10000,8,FALSE),"0")</f>
        <v>0</v>
      </c>
      <c r="K3156" s="4"/>
      <c r="L3156" s="33" t="str">
        <f>IFERROR(VLOOKUP($J3156,'Informations sur les produits'!$A$3:$H$10000,8,FALSE),"0")</f>
        <v>0</v>
      </c>
      <c r="N3156" s="8"/>
      <c r="O3156" s="33" t="str">
        <f>IFERROR(VLOOKUP($M3156,'Informations sur les produits'!$A$3:$H$10000,8,FALSE),"0")</f>
        <v>0</v>
      </c>
      <c r="P3156" s="33">
        <f t="shared" si="196"/>
        <v>0</v>
      </c>
      <c r="Q3156" s="31" t="str">
        <f t="shared" si="197"/>
        <v/>
      </c>
      <c r="R3156" s="32" t="str">
        <f>IFERROR(VLOOKUP($D3156,'Informations sur les produits'!$A$3:$B$15000,2,FALSE),"")</f>
        <v/>
      </c>
      <c r="V3156">
        <f t="shared" si="198"/>
        <v>0</v>
      </c>
      <c r="W3156">
        <f t="shared" si="199"/>
        <v>0</v>
      </c>
    </row>
    <row r="3157" spans="5:23" x14ac:dyDescent="0.25">
      <c r="E3157" s="4"/>
      <c r="F3157" s="4"/>
      <c r="G3157" s="33" t="str">
        <f>IFERROR(VLOOKUP($D3157,'Informations sur les produits'!$A$3:$H$10000,8,FALSE),"0")</f>
        <v>0</v>
      </c>
      <c r="K3157" s="4"/>
      <c r="L3157" s="33" t="str">
        <f>IFERROR(VLOOKUP($J3157,'Informations sur les produits'!$A$3:$H$10000,8,FALSE),"0")</f>
        <v>0</v>
      </c>
      <c r="N3157" s="8"/>
      <c r="O3157" s="33" t="str">
        <f>IFERROR(VLOOKUP($M3157,'Informations sur les produits'!$A$3:$H$10000,8,FALSE),"0")</f>
        <v>0</v>
      </c>
      <c r="P3157" s="33">
        <f t="shared" si="196"/>
        <v>0</v>
      </c>
      <c r="Q3157" s="31" t="str">
        <f t="shared" si="197"/>
        <v/>
      </c>
      <c r="R3157" s="32" t="str">
        <f>IFERROR(VLOOKUP($D3157,'Informations sur les produits'!$A$3:$B$15000,2,FALSE),"")</f>
        <v/>
      </c>
      <c r="V3157">
        <f t="shared" si="198"/>
        <v>0</v>
      </c>
      <c r="W3157">
        <f t="shared" si="199"/>
        <v>0</v>
      </c>
    </row>
    <row r="3158" spans="5:23" x14ac:dyDescent="0.25">
      <c r="E3158" s="4"/>
      <c r="F3158" s="4"/>
      <c r="G3158" s="33" t="str">
        <f>IFERROR(VLOOKUP($D3158,'Informations sur les produits'!$A$3:$H$10000,8,FALSE),"0")</f>
        <v>0</v>
      </c>
      <c r="K3158" s="4"/>
      <c r="L3158" s="33" t="str">
        <f>IFERROR(VLOOKUP($J3158,'Informations sur les produits'!$A$3:$H$10000,8,FALSE),"0")</f>
        <v>0</v>
      </c>
      <c r="N3158" s="8"/>
      <c r="O3158" s="33" t="str">
        <f>IFERROR(VLOOKUP($M3158,'Informations sur les produits'!$A$3:$H$10000,8,FALSE),"0")</f>
        <v>0</v>
      </c>
      <c r="P3158" s="33">
        <f t="shared" si="196"/>
        <v>0</v>
      </c>
      <c r="Q3158" s="31" t="str">
        <f t="shared" si="197"/>
        <v/>
      </c>
      <c r="R3158" s="32" t="str">
        <f>IFERROR(VLOOKUP($D3158,'Informations sur les produits'!$A$3:$B$15000,2,FALSE),"")</f>
        <v/>
      </c>
      <c r="V3158">
        <f t="shared" si="198"/>
        <v>0</v>
      </c>
      <c r="W3158">
        <f t="shared" si="199"/>
        <v>0</v>
      </c>
    </row>
    <row r="3159" spans="5:23" x14ac:dyDescent="0.25">
      <c r="E3159" s="4"/>
      <c r="F3159" s="4"/>
      <c r="G3159" s="33" t="str">
        <f>IFERROR(VLOOKUP($D3159,'Informations sur les produits'!$A$3:$H$10000,8,FALSE),"0")</f>
        <v>0</v>
      </c>
      <c r="K3159" s="4"/>
      <c r="L3159" s="33" t="str">
        <f>IFERROR(VLOOKUP($J3159,'Informations sur les produits'!$A$3:$H$10000,8,FALSE),"0")</f>
        <v>0</v>
      </c>
      <c r="N3159" s="8"/>
      <c r="O3159" s="33" t="str">
        <f>IFERROR(VLOOKUP($M3159,'Informations sur les produits'!$A$3:$H$10000,8,FALSE),"0")</f>
        <v>0</v>
      </c>
      <c r="P3159" s="33">
        <f t="shared" si="196"/>
        <v>0</v>
      </c>
      <c r="Q3159" s="31" t="str">
        <f t="shared" si="197"/>
        <v/>
      </c>
      <c r="R3159" s="32" t="str">
        <f>IFERROR(VLOOKUP($D3159,'Informations sur les produits'!$A$3:$B$15000,2,FALSE),"")</f>
        <v/>
      </c>
      <c r="V3159">
        <f t="shared" si="198"/>
        <v>0</v>
      </c>
      <c r="W3159">
        <f t="shared" si="199"/>
        <v>0</v>
      </c>
    </row>
    <row r="3160" spans="5:23" x14ac:dyDescent="0.25">
      <c r="E3160" s="4"/>
      <c r="F3160" s="4"/>
      <c r="G3160" s="33" t="str">
        <f>IFERROR(VLOOKUP($D3160,'Informations sur les produits'!$A$3:$H$10000,8,FALSE),"0")</f>
        <v>0</v>
      </c>
      <c r="K3160" s="4"/>
      <c r="L3160" s="33" t="str">
        <f>IFERROR(VLOOKUP($J3160,'Informations sur les produits'!$A$3:$H$10000,8,FALSE),"0")</f>
        <v>0</v>
      </c>
      <c r="N3160" s="8"/>
      <c r="O3160" s="33" t="str">
        <f>IFERROR(VLOOKUP($M3160,'Informations sur les produits'!$A$3:$H$10000,8,FALSE),"0")</f>
        <v>0</v>
      </c>
      <c r="P3160" s="33">
        <f t="shared" si="196"/>
        <v>0</v>
      </c>
      <c r="Q3160" s="31" t="str">
        <f t="shared" si="197"/>
        <v/>
      </c>
      <c r="R3160" s="32" t="str">
        <f>IFERROR(VLOOKUP($D3160,'Informations sur les produits'!$A$3:$B$15000,2,FALSE),"")</f>
        <v/>
      </c>
      <c r="V3160">
        <f t="shared" si="198"/>
        <v>0</v>
      </c>
      <c r="W3160">
        <f t="shared" si="199"/>
        <v>0</v>
      </c>
    </row>
    <row r="3161" spans="5:23" x14ac:dyDescent="0.25">
      <c r="E3161" s="4"/>
      <c r="F3161" s="4"/>
      <c r="G3161" s="33" t="str">
        <f>IFERROR(VLOOKUP($D3161,'Informations sur les produits'!$A$3:$H$10000,8,FALSE),"0")</f>
        <v>0</v>
      </c>
      <c r="K3161" s="4"/>
      <c r="L3161" s="33" t="str">
        <f>IFERROR(VLOOKUP($J3161,'Informations sur les produits'!$A$3:$H$10000,8,FALSE),"0")</f>
        <v>0</v>
      </c>
      <c r="N3161" s="8"/>
      <c r="O3161" s="33" t="str">
        <f>IFERROR(VLOOKUP($M3161,'Informations sur les produits'!$A$3:$H$10000,8,FALSE),"0")</f>
        <v>0</v>
      </c>
      <c r="P3161" s="33">
        <f t="shared" si="196"/>
        <v>0</v>
      </c>
      <c r="Q3161" s="31" t="str">
        <f t="shared" si="197"/>
        <v/>
      </c>
      <c r="R3161" s="32" t="str">
        <f>IFERROR(VLOOKUP($D3161,'Informations sur les produits'!$A$3:$B$15000,2,FALSE),"")</f>
        <v/>
      </c>
      <c r="V3161">
        <f t="shared" si="198"/>
        <v>0</v>
      </c>
      <c r="W3161">
        <f t="shared" si="199"/>
        <v>0</v>
      </c>
    </row>
    <row r="3162" spans="5:23" x14ac:dyDescent="0.25">
      <c r="E3162" s="4"/>
      <c r="F3162" s="4"/>
      <c r="G3162" s="33" t="str">
        <f>IFERROR(VLOOKUP($D3162,'Informations sur les produits'!$A$3:$H$10000,8,FALSE),"0")</f>
        <v>0</v>
      </c>
      <c r="K3162" s="4"/>
      <c r="L3162" s="33" t="str">
        <f>IFERROR(VLOOKUP($J3162,'Informations sur les produits'!$A$3:$H$10000,8,FALSE),"0")</f>
        <v>0</v>
      </c>
      <c r="N3162" s="8"/>
      <c r="O3162" s="33" t="str">
        <f>IFERROR(VLOOKUP($M3162,'Informations sur les produits'!$A$3:$H$10000,8,FALSE),"0")</f>
        <v>0</v>
      </c>
      <c r="P3162" s="33">
        <f t="shared" si="196"/>
        <v>0</v>
      </c>
      <c r="Q3162" s="31" t="str">
        <f t="shared" si="197"/>
        <v/>
      </c>
      <c r="R3162" s="32" t="str">
        <f>IFERROR(VLOOKUP($D3162,'Informations sur les produits'!$A$3:$B$15000,2,FALSE),"")</f>
        <v/>
      </c>
      <c r="V3162">
        <f t="shared" si="198"/>
        <v>0</v>
      </c>
      <c r="W3162">
        <f t="shared" si="199"/>
        <v>0</v>
      </c>
    </row>
    <row r="3163" spans="5:23" x14ac:dyDescent="0.25">
      <c r="E3163" s="4"/>
      <c r="F3163" s="4"/>
      <c r="G3163" s="33" t="str">
        <f>IFERROR(VLOOKUP($D3163,'Informations sur les produits'!$A$3:$H$10000,8,FALSE),"0")</f>
        <v>0</v>
      </c>
      <c r="K3163" s="4"/>
      <c r="L3163" s="33" t="str">
        <f>IFERROR(VLOOKUP($J3163,'Informations sur les produits'!$A$3:$H$10000,8,FALSE),"0")</f>
        <v>0</v>
      </c>
      <c r="N3163" s="8"/>
      <c r="O3163" s="33" t="str">
        <f>IFERROR(VLOOKUP($M3163,'Informations sur les produits'!$A$3:$H$10000,8,FALSE),"0")</f>
        <v>0</v>
      </c>
      <c r="P3163" s="33">
        <f t="shared" si="196"/>
        <v>0</v>
      </c>
      <c r="Q3163" s="31" t="str">
        <f t="shared" si="197"/>
        <v/>
      </c>
      <c r="R3163" s="32" t="str">
        <f>IFERROR(VLOOKUP($D3163,'Informations sur les produits'!$A$3:$B$15000,2,FALSE),"")</f>
        <v/>
      </c>
      <c r="V3163">
        <f t="shared" si="198"/>
        <v>0</v>
      </c>
      <c r="W3163">
        <f t="shared" si="199"/>
        <v>0</v>
      </c>
    </row>
    <row r="3164" spans="5:23" x14ac:dyDescent="0.25">
      <c r="E3164" s="4"/>
      <c r="F3164" s="4"/>
      <c r="G3164" s="33" t="str">
        <f>IFERROR(VLOOKUP($D3164,'Informations sur les produits'!$A$3:$H$10000,8,FALSE),"0")</f>
        <v>0</v>
      </c>
      <c r="K3164" s="4"/>
      <c r="L3164" s="33" t="str">
        <f>IFERROR(VLOOKUP($J3164,'Informations sur les produits'!$A$3:$H$10000,8,FALSE),"0")</f>
        <v>0</v>
      </c>
      <c r="N3164" s="8"/>
      <c r="O3164" s="33" t="str">
        <f>IFERROR(VLOOKUP($M3164,'Informations sur les produits'!$A$3:$H$10000,8,FALSE),"0")</f>
        <v>0</v>
      </c>
      <c r="P3164" s="33">
        <f t="shared" si="196"/>
        <v>0</v>
      </c>
      <c r="Q3164" s="31" t="str">
        <f t="shared" si="197"/>
        <v/>
      </c>
      <c r="R3164" s="32" t="str">
        <f>IFERROR(VLOOKUP($D3164,'Informations sur les produits'!$A$3:$B$15000,2,FALSE),"")</f>
        <v/>
      </c>
      <c r="V3164">
        <f t="shared" si="198"/>
        <v>0</v>
      </c>
      <c r="W3164">
        <f t="shared" si="199"/>
        <v>0</v>
      </c>
    </row>
    <row r="3165" spans="5:23" x14ac:dyDescent="0.25">
      <c r="E3165" s="4"/>
      <c r="F3165" s="4"/>
      <c r="G3165" s="33" t="str">
        <f>IFERROR(VLOOKUP($D3165,'Informations sur les produits'!$A$3:$H$10000,8,FALSE),"0")</f>
        <v>0</v>
      </c>
      <c r="K3165" s="4"/>
      <c r="L3165" s="33" t="str">
        <f>IFERROR(VLOOKUP($J3165,'Informations sur les produits'!$A$3:$H$10000,8,FALSE),"0")</f>
        <v>0</v>
      </c>
      <c r="N3165" s="8"/>
      <c r="O3165" s="33" t="str">
        <f>IFERROR(VLOOKUP($M3165,'Informations sur les produits'!$A$3:$H$10000,8,FALSE),"0")</f>
        <v>0</v>
      </c>
      <c r="P3165" s="33">
        <f t="shared" si="196"/>
        <v>0</v>
      </c>
      <c r="Q3165" s="31" t="str">
        <f t="shared" si="197"/>
        <v/>
      </c>
      <c r="R3165" s="32" t="str">
        <f>IFERROR(VLOOKUP($D3165,'Informations sur les produits'!$A$3:$B$15000,2,FALSE),"")</f>
        <v/>
      </c>
      <c r="V3165">
        <f t="shared" si="198"/>
        <v>0</v>
      </c>
      <c r="W3165">
        <f t="shared" si="199"/>
        <v>0</v>
      </c>
    </row>
    <row r="3166" spans="5:23" x14ac:dyDescent="0.25">
      <c r="E3166" s="4"/>
      <c r="F3166" s="4"/>
      <c r="G3166" s="33" t="str">
        <f>IFERROR(VLOOKUP($D3166,'Informations sur les produits'!$A$3:$H$10000,8,FALSE),"0")</f>
        <v>0</v>
      </c>
      <c r="K3166" s="4"/>
      <c r="L3166" s="33" t="str">
        <f>IFERROR(VLOOKUP($J3166,'Informations sur les produits'!$A$3:$H$10000,8,FALSE),"0")</f>
        <v>0</v>
      </c>
      <c r="N3166" s="8"/>
      <c r="O3166" s="33" t="str">
        <f>IFERROR(VLOOKUP($M3166,'Informations sur les produits'!$A$3:$H$10000,8,FALSE),"0")</f>
        <v>0</v>
      </c>
      <c r="P3166" s="33">
        <f t="shared" si="196"/>
        <v>0</v>
      </c>
      <c r="Q3166" s="31" t="str">
        <f t="shared" si="197"/>
        <v/>
      </c>
      <c r="R3166" s="32" t="str">
        <f>IFERROR(VLOOKUP($D3166,'Informations sur les produits'!$A$3:$B$15000,2,FALSE),"")</f>
        <v/>
      </c>
      <c r="V3166">
        <f t="shared" si="198"/>
        <v>0</v>
      </c>
      <c r="W3166">
        <f t="shared" si="199"/>
        <v>0</v>
      </c>
    </row>
    <row r="3167" spans="5:23" x14ac:dyDescent="0.25">
      <c r="E3167" s="4"/>
      <c r="F3167" s="4"/>
      <c r="G3167" s="33" t="str">
        <f>IFERROR(VLOOKUP($D3167,'Informations sur les produits'!$A$3:$H$10000,8,FALSE),"0")</f>
        <v>0</v>
      </c>
      <c r="K3167" s="4"/>
      <c r="L3167" s="33" t="str">
        <f>IFERROR(VLOOKUP($J3167,'Informations sur les produits'!$A$3:$H$10000,8,FALSE),"0")</f>
        <v>0</v>
      </c>
      <c r="N3167" s="8"/>
      <c r="O3167" s="33" t="str">
        <f>IFERROR(VLOOKUP($M3167,'Informations sur les produits'!$A$3:$H$10000,8,FALSE),"0")</f>
        <v>0</v>
      </c>
      <c r="P3167" s="33">
        <f t="shared" si="196"/>
        <v>0</v>
      </c>
      <c r="Q3167" s="31" t="str">
        <f t="shared" si="197"/>
        <v/>
      </c>
      <c r="R3167" s="32" t="str">
        <f>IFERROR(VLOOKUP($D3167,'Informations sur les produits'!$A$3:$B$15000,2,FALSE),"")</f>
        <v/>
      </c>
      <c r="V3167">
        <f t="shared" si="198"/>
        <v>0</v>
      </c>
      <c r="W3167">
        <f t="shared" si="199"/>
        <v>0</v>
      </c>
    </row>
    <row r="3168" spans="5:23" x14ac:dyDescent="0.25">
      <c r="E3168" s="4"/>
      <c r="F3168" s="4"/>
      <c r="G3168" s="33" t="str">
        <f>IFERROR(VLOOKUP($D3168,'Informations sur les produits'!$A$3:$H$10000,8,FALSE),"0")</f>
        <v>0</v>
      </c>
      <c r="K3168" s="4"/>
      <c r="L3168" s="33" t="str">
        <f>IFERROR(VLOOKUP($J3168,'Informations sur les produits'!$A$3:$H$10000,8,FALSE),"0")</f>
        <v>0</v>
      </c>
      <c r="N3168" s="8"/>
      <c r="O3168" s="33" t="str">
        <f>IFERROR(VLOOKUP($M3168,'Informations sur les produits'!$A$3:$H$10000,8,FALSE),"0")</f>
        <v>0</v>
      </c>
      <c r="P3168" s="33">
        <f t="shared" si="196"/>
        <v>0</v>
      </c>
      <c r="Q3168" s="31" t="str">
        <f t="shared" si="197"/>
        <v/>
      </c>
      <c r="R3168" s="32" t="str">
        <f>IFERROR(VLOOKUP($D3168,'Informations sur les produits'!$A$3:$B$15000,2,FALSE),"")</f>
        <v/>
      </c>
      <c r="V3168">
        <f t="shared" si="198"/>
        <v>0</v>
      </c>
      <c r="W3168">
        <f t="shared" si="199"/>
        <v>0</v>
      </c>
    </row>
    <row r="3169" spans="5:23" x14ac:dyDescent="0.25">
      <c r="E3169" s="4"/>
      <c r="F3169" s="4"/>
      <c r="G3169" s="33" t="str">
        <f>IFERROR(VLOOKUP($D3169,'Informations sur les produits'!$A$3:$H$10000,8,FALSE),"0")</f>
        <v>0</v>
      </c>
      <c r="K3169" s="4"/>
      <c r="L3169" s="33" t="str">
        <f>IFERROR(VLOOKUP($J3169,'Informations sur les produits'!$A$3:$H$10000,8,FALSE),"0")</f>
        <v>0</v>
      </c>
      <c r="N3169" s="8"/>
      <c r="O3169" s="33" t="str">
        <f>IFERROR(VLOOKUP($M3169,'Informations sur les produits'!$A$3:$H$10000,8,FALSE),"0")</f>
        <v>0</v>
      </c>
      <c r="P3169" s="33">
        <f t="shared" si="196"/>
        <v>0</v>
      </c>
      <c r="Q3169" s="31" t="str">
        <f t="shared" si="197"/>
        <v/>
      </c>
      <c r="R3169" s="32" t="str">
        <f>IFERROR(VLOOKUP($D3169,'Informations sur les produits'!$A$3:$B$15000,2,FALSE),"")</f>
        <v/>
      </c>
      <c r="V3169">
        <f t="shared" si="198"/>
        <v>0</v>
      </c>
      <c r="W3169">
        <f t="shared" si="199"/>
        <v>0</v>
      </c>
    </row>
    <row r="3170" spans="5:23" x14ac:dyDescent="0.25">
      <c r="E3170" s="4"/>
      <c r="F3170" s="4"/>
      <c r="G3170" s="33" t="str">
        <f>IFERROR(VLOOKUP($D3170,'Informations sur les produits'!$A$3:$H$10000,8,FALSE),"0")</f>
        <v>0</v>
      </c>
      <c r="K3170" s="4"/>
      <c r="L3170" s="33" t="str">
        <f>IFERROR(VLOOKUP($J3170,'Informations sur les produits'!$A$3:$H$10000,8,FALSE),"0")</f>
        <v>0</v>
      </c>
      <c r="N3170" s="8"/>
      <c r="O3170" s="33" t="str">
        <f>IFERROR(VLOOKUP($M3170,'Informations sur les produits'!$A$3:$H$10000,8,FALSE),"0")</f>
        <v>0</v>
      </c>
      <c r="P3170" s="33">
        <f t="shared" si="196"/>
        <v>0</v>
      </c>
      <c r="Q3170" s="31" t="str">
        <f t="shared" si="197"/>
        <v/>
      </c>
      <c r="R3170" s="32" t="str">
        <f>IFERROR(VLOOKUP($D3170,'Informations sur les produits'!$A$3:$B$15000,2,FALSE),"")</f>
        <v/>
      </c>
      <c r="V3170">
        <f t="shared" si="198"/>
        <v>0</v>
      </c>
      <c r="W3170">
        <f t="shared" si="199"/>
        <v>0</v>
      </c>
    </row>
    <row r="3171" spans="5:23" x14ac:dyDescent="0.25">
      <c r="E3171" s="4"/>
      <c r="F3171" s="4"/>
      <c r="G3171" s="33" t="str">
        <f>IFERROR(VLOOKUP($D3171,'Informations sur les produits'!$A$3:$H$10000,8,FALSE),"0")</f>
        <v>0</v>
      </c>
      <c r="K3171" s="4"/>
      <c r="L3171" s="33" t="str">
        <f>IFERROR(VLOOKUP($J3171,'Informations sur les produits'!$A$3:$H$10000,8,FALSE),"0")</f>
        <v>0</v>
      </c>
      <c r="N3171" s="8"/>
      <c r="O3171" s="33" t="str">
        <f>IFERROR(VLOOKUP($M3171,'Informations sur les produits'!$A$3:$H$10000,8,FALSE),"0")</f>
        <v>0</v>
      </c>
      <c r="P3171" s="33">
        <f t="shared" si="196"/>
        <v>0</v>
      </c>
      <c r="Q3171" s="31" t="str">
        <f t="shared" si="197"/>
        <v/>
      </c>
      <c r="R3171" s="32" t="str">
        <f>IFERROR(VLOOKUP($D3171,'Informations sur les produits'!$A$3:$B$15000,2,FALSE),"")</f>
        <v/>
      </c>
      <c r="V3171">
        <f t="shared" si="198"/>
        <v>0</v>
      </c>
      <c r="W3171">
        <f t="shared" si="199"/>
        <v>0</v>
      </c>
    </row>
    <row r="3172" spans="5:23" x14ac:dyDescent="0.25">
      <c r="E3172" s="4"/>
      <c r="F3172" s="4"/>
      <c r="G3172" s="33" t="str">
        <f>IFERROR(VLOOKUP($D3172,'Informations sur les produits'!$A$3:$H$10000,8,FALSE),"0")</f>
        <v>0</v>
      </c>
      <c r="K3172" s="4"/>
      <c r="L3172" s="33" t="str">
        <f>IFERROR(VLOOKUP($J3172,'Informations sur les produits'!$A$3:$H$10000,8,FALSE),"0")</f>
        <v>0</v>
      </c>
      <c r="N3172" s="8"/>
      <c r="O3172" s="33" t="str">
        <f>IFERROR(VLOOKUP($M3172,'Informations sur les produits'!$A$3:$H$10000,8,FALSE),"0")</f>
        <v>0</v>
      </c>
      <c r="P3172" s="33">
        <f t="shared" si="196"/>
        <v>0</v>
      </c>
      <c r="Q3172" s="31" t="str">
        <f t="shared" si="197"/>
        <v/>
      </c>
      <c r="R3172" s="32" t="str">
        <f>IFERROR(VLOOKUP($D3172,'Informations sur les produits'!$A$3:$B$15000,2,FALSE),"")</f>
        <v/>
      </c>
      <c r="V3172">
        <f t="shared" si="198"/>
        <v>0</v>
      </c>
      <c r="W3172">
        <f t="shared" si="199"/>
        <v>0</v>
      </c>
    </row>
    <row r="3173" spans="5:23" x14ac:dyDescent="0.25">
      <c r="E3173" s="4"/>
      <c r="F3173" s="4"/>
      <c r="G3173" s="33" t="str">
        <f>IFERROR(VLOOKUP($D3173,'Informations sur les produits'!$A$3:$H$10000,8,FALSE),"0")</f>
        <v>0</v>
      </c>
      <c r="K3173" s="4"/>
      <c r="L3173" s="33" t="str">
        <f>IFERROR(VLOOKUP($J3173,'Informations sur les produits'!$A$3:$H$10000,8,FALSE),"0")</f>
        <v>0</v>
      </c>
      <c r="N3173" s="8"/>
      <c r="O3173" s="33" t="str">
        <f>IFERROR(VLOOKUP($M3173,'Informations sur les produits'!$A$3:$H$10000,8,FALSE),"0")</f>
        <v>0</v>
      </c>
      <c r="P3173" s="33">
        <f t="shared" si="196"/>
        <v>0</v>
      </c>
      <c r="Q3173" s="31" t="str">
        <f t="shared" si="197"/>
        <v/>
      </c>
      <c r="R3173" s="32" t="str">
        <f>IFERROR(VLOOKUP($D3173,'Informations sur les produits'!$A$3:$B$15000,2,FALSE),"")</f>
        <v/>
      </c>
      <c r="V3173">
        <f t="shared" si="198"/>
        <v>0</v>
      </c>
      <c r="W3173">
        <f t="shared" si="199"/>
        <v>0</v>
      </c>
    </row>
    <row r="3174" spans="5:23" x14ac:dyDescent="0.25">
      <c r="E3174" s="4"/>
      <c r="F3174" s="4"/>
      <c r="G3174" s="33" t="str">
        <f>IFERROR(VLOOKUP($D3174,'Informations sur les produits'!$A$3:$H$10000,8,FALSE),"0")</f>
        <v>0</v>
      </c>
      <c r="K3174" s="4"/>
      <c r="L3174" s="33" t="str">
        <f>IFERROR(VLOOKUP($J3174,'Informations sur les produits'!$A$3:$H$10000,8,FALSE),"0")</f>
        <v>0</v>
      </c>
      <c r="N3174" s="8"/>
      <c r="O3174" s="33" t="str">
        <f>IFERROR(VLOOKUP($M3174,'Informations sur les produits'!$A$3:$H$10000,8,FALSE),"0")</f>
        <v>0</v>
      </c>
      <c r="P3174" s="33">
        <f t="shared" si="196"/>
        <v>0</v>
      </c>
      <c r="Q3174" s="31" t="str">
        <f t="shared" si="197"/>
        <v/>
      </c>
      <c r="R3174" s="32" t="str">
        <f>IFERROR(VLOOKUP($D3174,'Informations sur les produits'!$A$3:$B$15000,2,FALSE),"")</f>
        <v/>
      </c>
      <c r="V3174">
        <f t="shared" si="198"/>
        <v>0</v>
      </c>
      <c r="W3174">
        <f t="shared" si="199"/>
        <v>0</v>
      </c>
    </row>
    <row r="3175" spans="5:23" x14ac:dyDescent="0.25">
      <c r="E3175" s="4"/>
      <c r="F3175" s="4"/>
      <c r="G3175" s="33" t="str">
        <f>IFERROR(VLOOKUP($D3175,'Informations sur les produits'!$A$3:$H$10000,8,FALSE),"0")</f>
        <v>0</v>
      </c>
      <c r="K3175" s="4"/>
      <c r="L3175" s="33" t="str">
        <f>IFERROR(VLOOKUP($J3175,'Informations sur les produits'!$A$3:$H$10000,8,FALSE),"0")</f>
        <v>0</v>
      </c>
      <c r="N3175" s="8"/>
      <c r="O3175" s="33" t="str">
        <f>IFERROR(VLOOKUP($M3175,'Informations sur les produits'!$A$3:$H$10000,8,FALSE),"0")</f>
        <v>0</v>
      </c>
      <c r="P3175" s="33">
        <f t="shared" si="196"/>
        <v>0</v>
      </c>
      <c r="Q3175" s="31" t="str">
        <f t="shared" si="197"/>
        <v/>
      </c>
      <c r="R3175" s="32" t="str">
        <f>IFERROR(VLOOKUP($D3175,'Informations sur les produits'!$A$3:$B$15000,2,FALSE),"")</f>
        <v/>
      </c>
      <c r="V3175">
        <f t="shared" si="198"/>
        <v>0</v>
      </c>
      <c r="W3175">
        <f t="shared" si="199"/>
        <v>0</v>
      </c>
    </row>
    <row r="3176" spans="5:23" x14ac:dyDescent="0.25">
      <c r="E3176" s="4"/>
      <c r="F3176" s="4"/>
      <c r="G3176" s="33" t="str">
        <f>IFERROR(VLOOKUP($D3176,'Informations sur les produits'!$A$3:$H$10000,8,FALSE),"0")</f>
        <v>0</v>
      </c>
      <c r="K3176" s="4"/>
      <c r="L3176" s="33" t="str">
        <f>IFERROR(VLOOKUP($J3176,'Informations sur les produits'!$A$3:$H$10000,8,FALSE),"0")</f>
        <v>0</v>
      </c>
      <c r="N3176" s="8"/>
      <c r="O3176" s="33" t="str">
        <f>IFERROR(VLOOKUP($M3176,'Informations sur les produits'!$A$3:$H$10000,8,FALSE),"0")</f>
        <v>0</v>
      </c>
      <c r="P3176" s="33">
        <f t="shared" si="196"/>
        <v>0</v>
      </c>
      <c r="Q3176" s="31" t="str">
        <f t="shared" si="197"/>
        <v/>
      </c>
      <c r="R3176" s="32" t="str">
        <f>IFERROR(VLOOKUP($D3176,'Informations sur les produits'!$A$3:$B$15000,2,FALSE),"")</f>
        <v/>
      </c>
      <c r="V3176">
        <f t="shared" si="198"/>
        <v>0</v>
      </c>
      <c r="W3176">
        <f t="shared" si="199"/>
        <v>0</v>
      </c>
    </row>
    <row r="3177" spans="5:23" x14ac:dyDescent="0.25">
      <c r="E3177" s="4"/>
      <c r="F3177" s="4"/>
      <c r="G3177" s="33" t="str">
        <f>IFERROR(VLOOKUP($D3177,'Informations sur les produits'!$A$3:$H$10000,8,FALSE),"0")</f>
        <v>0</v>
      </c>
      <c r="K3177" s="4"/>
      <c r="L3177" s="33" t="str">
        <f>IFERROR(VLOOKUP($J3177,'Informations sur les produits'!$A$3:$H$10000,8,FALSE),"0")</f>
        <v>0</v>
      </c>
      <c r="N3177" s="8"/>
      <c r="O3177" s="33" t="str">
        <f>IFERROR(VLOOKUP($M3177,'Informations sur les produits'!$A$3:$H$10000,8,FALSE),"0")</f>
        <v>0</v>
      </c>
      <c r="P3177" s="33">
        <f t="shared" si="196"/>
        <v>0</v>
      </c>
      <c r="Q3177" s="31" t="str">
        <f t="shared" si="197"/>
        <v/>
      </c>
      <c r="R3177" s="32" t="str">
        <f>IFERROR(VLOOKUP($D3177,'Informations sur les produits'!$A$3:$B$15000,2,FALSE),"")</f>
        <v/>
      </c>
      <c r="V3177">
        <f t="shared" si="198"/>
        <v>0</v>
      </c>
      <c r="W3177">
        <f t="shared" si="199"/>
        <v>0</v>
      </c>
    </row>
    <row r="3178" spans="5:23" x14ac:dyDescent="0.25">
      <c r="E3178" s="4"/>
      <c r="F3178" s="4"/>
      <c r="G3178" s="33" t="str">
        <f>IFERROR(VLOOKUP($D3178,'Informations sur les produits'!$A$3:$H$10000,8,FALSE),"0")</f>
        <v>0</v>
      </c>
      <c r="K3178" s="4"/>
      <c r="L3178" s="33" t="str">
        <f>IFERROR(VLOOKUP($J3178,'Informations sur les produits'!$A$3:$H$10000,8,FALSE),"0")</f>
        <v>0</v>
      </c>
      <c r="N3178" s="8"/>
      <c r="O3178" s="33" t="str">
        <f>IFERROR(VLOOKUP($M3178,'Informations sur les produits'!$A$3:$H$10000,8,FALSE),"0")</f>
        <v>0</v>
      </c>
      <c r="P3178" s="33">
        <f t="shared" si="196"/>
        <v>0</v>
      </c>
      <c r="Q3178" s="31" t="str">
        <f t="shared" si="197"/>
        <v/>
      </c>
      <c r="R3178" s="32" t="str">
        <f>IFERROR(VLOOKUP($D3178,'Informations sur les produits'!$A$3:$B$15000,2,FALSE),"")</f>
        <v/>
      </c>
      <c r="V3178">
        <f t="shared" si="198"/>
        <v>0</v>
      </c>
      <c r="W3178">
        <f t="shared" si="199"/>
        <v>0</v>
      </c>
    </row>
    <row r="3179" spans="5:23" x14ac:dyDescent="0.25">
      <c r="E3179" s="4"/>
      <c r="F3179" s="4"/>
      <c r="G3179" s="33" t="str">
        <f>IFERROR(VLOOKUP($D3179,'Informations sur les produits'!$A$3:$H$10000,8,FALSE),"0")</f>
        <v>0</v>
      </c>
      <c r="K3179" s="4"/>
      <c r="L3179" s="33" t="str">
        <f>IFERROR(VLOOKUP($J3179,'Informations sur les produits'!$A$3:$H$10000,8,FALSE),"0")</f>
        <v>0</v>
      </c>
      <c r="N3179" s="8"/>
      <c r="O3179" s="33" t="str">
        <f>IFERROR(VLOOKUP($M3179,'Informations sur les produits'!$A$3:$H$10000,8,FALSE),"0")</f>
        <v>0</v>
      </c>
      <c r="P3179" s="33">
        <f t="shared" si="196"/>
        <v>0</v>
      </c>
      <c r="Q3179" s="31" t="str">
        <f t="shared" si="197"/>
        <v/>
      </c>
      <c r="R3179" s="32" t="str">
        <f>IFERROR(VLOOKUP($D3179,'Informations sur les produits'!$A$3:$B$15000,2,FALSE),"")</f>
        <v/>
      </c>
      <c r="V3179">
        <f t="shared" si="198"/>
        <v>0</v>
      </c>
      <c r="W3179">
        <f t="shared" si="199"/>
        <v>0</v>
      </c>
    </row>
    <row r="3180" spans="5:23" x14ac:dyDescent="0.25">
      <c r="E3180" s="4"/>
      <c r="F3180" s="4"/>
      <c r="G3180" s="33" t="str">
        <f>IFERROR(VLOOKUP($D3180,'Informations sur les produits'!$A$3:$H$10000,8,FALSE),"0")</f>
        <v>0</v>
      </c>
      <c r="K3180" s="4"/>
      <c r="L3180" s="33" t="str">
        <f>IFERROR(VLOOKUP($J3180,'Informations sur les produits'!$A$3:$H$10000,8,FALSE),"0")</f>
        <v>0</v>
      </c>
      <c r="N3180" s="8"/>
      <c r="O3180" s="33" t="str">
        <f>IFERROR(VLOOKUP($M3180,'Informations sur les produits'!$A$3:$H$10000,8,FALSE),"0")</f>
        <v>0</v>
      </c>
      <c r="P3180" s="33">
        <f t="shared" si="196"/>
        <v>0</v>
      </c>
      <c r="Q3180" s="31" t="str">
        <f t="shared" si="197"/>
        <v/>
      </c>
      <c r="R3180" s="32" t="str">
        <f>IFERROR(VLOOKUP($D3180,'Informations sur les produits'!$A$3:$B$15000,2,FALSE),"")</f>
        <v/>
      </c>
      <c r="V3180">
        <f t="shared" si="198"/>
        <v>0</v>
      </c>
      <c r="W3180">
        <f t="shared" si="199"/>
        <v>0</v>
      </c>
    </row>
    <row r="3181" spans="5:23" x14ac:dyDescent="0.25">
      <c r="E3181" s="4"/>
      <c r="F3181" s="4"/>
      <c r="G3181" s="33" t="str">
        <f>IFERROR(VLOOKUP($D3181,'Informations sur les produits'!$A$3:$H$10000,8,FALSE),"0")</f>
        <v>0</v>
      </c>
      <c r="K3181" s="4"/>
      <c r="L3181" s="33" t="str">
        <f>IFERROR(VLOOKUP($J3181,'Informations sur les produits'!$A$3:$H$10000,8,FALSE),"0")</f>
        <v>0</v>
      </c>
      <c r="N3181" s="8"/>
      <c r="O3181" s="33" t="str">
        <f>IFERROR(VLOOKUP($M3181,'Informations sur les produits'!$A$3:$H$10000,8,FALSE),"0")</f>
        <v>0</v>
      </c>
      <c r="P3181" s="33">
        <f t="shared" si="196"/>
        <v>0</v>
      </c>
      <c r="Q3181" s="31" t="str">
        <f t="shared" si="197"/>
        <v/>
      </c>
      <c r="R3181" s="32" t="str">
        <f>IFERROR(VLOOKUP($D3181,'Informations sur les produits'!$A$3:$B$15000,2,FALSE),"")</f>
        <v/>
      </c>
      <c r="V3181">
        <f t="shared" si="198"/>
        <v>0</v>
      </c>
      <c r="W3181">
        <f t="shared" si="199"/>
        <v>0</v>
      </c>
    </row>
    <row r="3182" spans="5:23" x14ac:dyDescent="0.25">
      <c r="E3182" s="4"/>
      <c r="F3182" s="4"/>
      <c r="G3182" s="33" t="str">
        <f>IFERROR(VLOOKUP($D3182,'Informations sur les produits'!$A$3:$H$10000,8,FALSE),"0")</f>
        <v>0</v>
      </c>
      <c r="K3182" s="4"/>
      <c r="L3182" s="33" t="str">
        <f>IFERROR(VLOOKUP($J3182,'Informations sur les produits'!$A$3:$H$10000,8,FALSE),"0")</f>
        <v>0</v>
      </c>
      <c r="N3182" s="8"/>
      <c r="O3182" s="33" t="str">
        <f>IFERROR(VLOOKUP($M3182,'Informations sur les produits'!$A$3:$H$10000,8,FALSE),"0")</f>
        <v>0</v>
      </c>
      <c r="P3182" s="33">
        <f t="shared" si="196"/>
        <v>0</v>
      </c>
      <c r="Q3182" s="31" t="str">
        <f t="shared" si="197"/>
        <v/>
      </c>
      <c r="R3182" s="32" t="str">
        <f>IFERROR(VLOOKUP($D3182,'Informations sur les produits'!$A$3:$B$15000,2,FALSE),"")</f>
        <v/>
      </c>
      <c r="V3182">
        <f t="shared" si="198"/>
        <v>0</v>
      </c>
      <c r="W3182">
        <f t="shared" si="199"/>
        <v>0</v>
      </c>
    </row>
    <row r="3183" spans="5:23" x14ac:dyDescent="0.25">
      <c r="E3183" s="4"/>
      <c r="F3183" s="4"/>
      <c r="G3183" s="33" t="str">
        <f>IFERROR(VLOOKUP($D3183,'Informations sur les produits'!$A$3:$H$10000,8,FALSE),"0")</f>
        <v>0</v>
      </c>
      <c r="K3183" s="4"/>
      <c r="L3183" s="33" t="str">
        <f>IFERROR(VLOOKUP($J3183,'Informations sur les produits'!$A$3:$H$10000,8,FALSE),"0")</f>
        <v>0</v>
      </c>
      <c r="N3183" s="8"/>
      <c r="O3183" s="33" t="str">
        <f>IFERROR(VLOOKUP($M3183,'Informations sur les produits'!$A$3:$H$10000,8,FALSE),"0")</f>
        <v>0</v>
      </c>
      <c r="P3183" s="33">
        <f t="shared" si="196"/>
        <v>0</v>
      </c>
      <c r="Q3183" s="31" t="str">
        <f t="shared" si="197"/>
        <v/>
      </c>
      <c r="R3183" s="32" t="str">
        <f>IFERROR(VLOOKUP($D3183,'Informations sur les produits'!$A$3:$B$15000,2,FALSE),"")</f>
        <v/>
      </c>
      <c r="V3183">
        <f t="shared" si="198"/>
        <v>0</v>
      </c>
      <c r="W3183">
        <f t="shared" si="199"/>
        <v>0</v>
      </c>
    </row>
    <row r="3184" spans="5:23" x14ac:dyDescent="0.25">
      <c r="E3184" s="4"/>
      <c r="F3184" s="4"/>
      <c r="G3184" s="33" t="str">
        <f>IFERROR(VLOOKUP($D3184,'Informations sur les produits'!$A$3:$H$10000,8,FALSE),"0")</f>
        <v>0</v>
      </c>
      <c r="K3184" s="4"/>
      <c r="L3184" s="33" t="str">
        <f>IFERROR(VLOOKUP($J3184,'Informations sur les produits'!$A$3:$H$10000,8,FALSE),"0")</f>
        <v>0</v>
      </c>
      <c r="N3184" s="8"/>
      <c r="O3184" s="33" t="str">
        <f>IFERROR(VLOOKUP($M3184,'Informations sur les produits'!$A$3:$H$10000,8,FALSE),"0")</f>
        <v>0</v>
      </c>
      <c r="P3184" s="33">
        <f t="shared" si="196"/>
        <v>0</v>
      </c>
      <c r="Q3184" s="31" t="str">
        <f t="shared" si="197"/>
        <v/>
      </c>
      <c r="R3184" s="32" t="str">
        <f>IFERROR(VLOOKUP($D3184,'Informations sur les produits'!$A$3:$B$15000,2,FALSE),"")</f>
        <v/>
      </c>
      <c r="V3184">
        <f t="shared" si="198"/>
        <v>0</v>
      </c>
      <c r="W3184">
        <f t="shared" si="199"/>
        <v>0</v>
      </c>
    </row>
    <row r="3185" spans="5:23" x14ac:dyDescent="0.25">
      <c r="E3185" s="4"/>
      <c r="F3185" s="4"/>
      <c r="G3185" s="33" t="str">
        <f>IFERROR(VLOOKUP($D3185,'Informations sur les produits'!$A$3:$H$10000,8,FALSE),"0")</f>
        <v>0</v>
      </c>
      <c r="K3185" s="4"/>
      <c r="L3185" s="33" t="str">
        <f>IFERROR(VLOOKUP($J3185,'Informations sur les produits'!$A$3:$H$10000,8,FALSE),"0")</f>
        <v>0</v>
      </c>
      <c r="N3185" s="8"/>
      <c r="O3185" s="33" t="str">
        <f>IFERROR(VLOOKUP($M3185,'Informations sur les produits'!$A$3:$H$10000,8,FALSE),"0")</f>
        <v>0</v>
      </c>
      <c r="P3185" s="33">
        <f t="shared" si="196"/>
        <v>0</v>
      </c>
      <c r="Q3185" s="31" t="str">
        <f t="shared" si="197"/>
        <v/>
      </c>
      <c r="R3185" s="32" t="str">
        <f>IFERROR(VLOOKUP($D3185,'Informations sur les produits'!$A$3:$B$15000,2,FALSE),"")</f>
        <v/>
      </c>
      <c r="V3185">
        <f t="shared" si="198"/>
        <v>0</v>
      </c>
      <c r="W3185">
        <f t="shared" si="199"/>
        <v>0</v>
      </c>
    </row>
    <row r="3186" spans="5:23" x14ac:dyDescent="0.25">
      <c r="E3186" s="4"/>
      <c r="F3186" s="4"/>
      <c r="G3186" s="33" t="str">
        <f>IFERROR(VLOOKUP($D3186,'Informations sur les produits'!$A$3:$H$10000,8,FALSE),"0")</f>
        <v>0</v>
      </c>
      <c r="K3186" s="4"/>
      <c r="L3186" s="33" t="str">
        <f>IFERROR(VLOOKUP($J3186,'Informations sur les produits'!$A$3:$H$10000,8,FALSE),"0")</f>
        <v>0</v>
      </c>
      <c r="N3186" s="8"/>
      <c r="O3186" s="33" t="str">
        <f>IFERROR(VLOOKUP($M3186,'Informations sur les produits'!$A$3:$H$10000,8,FALSE),"0")</f>
        <v>0</v>
      </c>
      <c r="P3186" s="33">
        <f t="shared" si="196"/>
        <v>0</v>
      </c>
      <c r="Q3186" s="31" t="str">
        <f t="shared" si="197"/>
        <v/>
      </c>
      <c r="R3186" s="32" t="str">
        <f>IFERROR(VLOOKUP($D3186,'Informations sur les produits'!$A$3:$B$15000,2,FALSE),"")</f>
        <v/>
      </c>
      <c r="V3186">
        <f t="shared" si="198"/>
        <v>0</v>
      </c>
      <c r="W3186">
        <f t="shared" si="199"/>
        <v>0</v>
      </c>
    </row>
    <row r="3187" spans="5:23" x14ac:dyDescent="0.25">
      <c r="E3187" s="4"/>
      <c r="F3187" s="4"/>
      <c r="G3187" s="33" t="str">
        <f>IFERROR(VLOOKUP($D3187,'Informations sur les produits'!$A$3:$H$10000,8,FALSE),"0")</f>
        <v>0</v>
      </c>
      <c r="K3187" s="4"/>
      <c r="L3187" s="33" t="str">
        <f>IFERROR(VLOOKUP($J3187,'Informations sur les produits'!$A$3:$H$10000,8,FALSE),"0")</f>
        <v>0</v>
      </c>
      <c r="N3187" s="8"/>
      <c r="O3187" s="33" t="str">
        <f>IFERROR(VLOOKUP($M3187,'Informations sur les produits'!$A$3:$H$10000,8,FALSE),"0")</f>
        <v>0</v>
      </c>
      <c r="P3187" s="33">
        <f t="shared" si="196"/>
        <v>0</v>
      </c>
      <c r="Q3187" s="31" t="str">
        <f t="shared" si="197"/>
        <v/>
      </c>
      <c r="R3187" s="32" t="str">
        <f>IFERROR(VLOOKUP($D3187,'Informations sur les produits'!$A$3:$B$15000,2,FALSE),"")</f>
        <v/>
      </c>
      <c r="V3187">
        <f t="shared" si="198"/>
        <v>0</v>
      </c>
      <c r="W3187">
        <f t="shared" si="199"/>
        <v>0</v>
      </c>
    </row>
    <row r="3188" spans="5:23" x14ac:dyDescent="0.25">
      <c r="E3188" s="4"/>
      <c r="F3188" s="4"/>
      <c r="G3188" s="33" t="str">
        <f>IFERROR(VLOOKUP($D3188,'Informations sur les produits'!$A$3:$H$10000,8,FALSE),"0")</f>
        <v>0</v>
      </c>
      <c r="K3188" s="4"/>
      <c r="L3188" s="33" t="str">
        <f>IFERROR(VLOOKUP($J3188,'Informations sur les produits'!$A$3:$H$10000,8,FALSE),"0")</f>
        <v>0</v>
      </c>
      <c r="N3188" s="8"/>
      <c r="O3188" s="33" t="str">
        <f>IFERROR(VLOOKUP($M3188,'Informations sur les produits'!$A$3:$H$10000,8,FALSE),"0")</f>
        <v>0</v>
      </c>
      <c r="P3188" s="33">
        <f t="shared" si="196"/>
        <v>0</v>
      </c>
      <c r="Q3188" s="31" t="str">
        <f t="shared" si="197"/>
        <v/>
      </c>
      <c r="R3188" s="32" t="str">
        <f>IFERROR(VLOOKUP($D3188,'Informations sur les produits'!$A$3:$B$15000,2,FALSE),"")</f>
        <v/>
      </c>
      <c r="V3188">
        <f t="shared" si="198"/>
        <v>0</v>
      </c>
      <c r="W3188">
        <f t="shared" si="199"/>
        <v>0</v>
      </c>
    </row>
    <row r="3189" spans="5:23" x14ac:dyDescent="0.25">
      <c r="E3189" s="4"/>
      <c r="F3189" s="4"/>
      <c r="G3189" s="33" t="str">
        <f>IFERROR(VLOOKUP($D3189,'Informations sur les produits'!$A$3:$H$10000,8,FALSE),"0")</f>
        <v>0</v>
      </c>
      <c r="K3189" s="4"/>
      <c r="L3189" s="33" t="str">
        <f>IFERROR(VLOOKUP($J3189,'Informations sur les produits'!$A$3:$H$10000,8,FALSE),"0")</f>
        <v>0</v>
      </c>
      <c r="N3189" s="8"/>
      <c r="O3189" s="33" t="str">
        <f>IFERROR(VLOOKUP($M3189,'Informations sur les produits'!$A$3:$H$10000,8,FALSE),"0")</f>
        <v>0</v>
      </c>
      <c r="P3189" s="33">
        <f t="shared" si="196"/>
        <v>0</v>
      </c>
      <c r="Q3189" s="31" t="str">
        <f t="shared" si="197"/>
        <v/>
      </c>
      <c r="R3189" s="32" t="str">
        <f>IFERROR(VLOOKUP($D3189,'Informations sur les produits'!$A$3:$B$15000,2,FALSE),"")</f>
        <v/>
      </c>
      <c r="V3189">
        <f t="shared" si="198"/>
        <v>0</v>
      </c>
      <c r="W3189">
        <f t="shared" si="199"/>
        <v>0</v>
      </c>
    </row>
    <row r="3190" spans="5:23" x14ac:dyDescent="0.25">
      <c r="E3190" s="4"/>
      <c r="F3190" s="4"/>
      <c r="G3190" s="33" t="str">
        <f>IFERROR(VLOOKUP($D3190,'Informations sur les produits'!$A$3:$H$10000,8,FALSE),"0")</f>
        <v>0</v>
      </c>
      <c r="K3190" s="4"/>
      <c r="L3190" s="33" t="str">
        <f>IFERROR(VLOOKUP($J3190,'Informations sur les produits'!$A$3:$H$10000,8,FALSE),"0")</f>
        <v>0</v>
      </c>
      <c r="N3190" s="8"/>
      <c r="O3190" s="33" t="str">
        <f>IFERROR(VLOOKUP($M3190,'Informations sur les produits'!$A$3:$H$10000,8,FALSE),"0")</f>
        <v>0</v>
      </c>
      <c r="P3190" s="33">
        <f t="shared" si="196"/>
        <v>0</v>
      </c>
      <c r="Q3190" s="31" t="str">
        <f t="shared" si="197"/>
        <v/>
      </c>
      <c r="R3190" s="32" t="str">
        <f>IFERROR(VLOOKUP($D3190,'Informations sur les produits'!$A$3:$B$15000,2,FALSE),"")</f>
        <v/>
      </c>
      <c r="V3190">
        <f t="shared" si="198"/>
        <v>0</v>
      </c>
      <c r="W3190">
        <f t="shared" si="199"/>
        <v>0</v>
      </c>
    </row>
    <row r="3191" spans="5:23" x14ac:dyDescent="0.25">
      <c r="E3191" s="4"/>
      <c r="F3191" s="4"/>
      <c r="G3191" s="33" t="str">
        <f>IFERROR(VLOOKUP($D3191,'Informations sur les produits'!$A$3:$H$10000,8,FALSE),"0")</f>
        <v>0</v>
      </c>
      <c r="K3191" s="4"/>
      <c r="L3191" s="33" t="str">
        <f>IFERROR(VLOOKUP($J3191,'Informations sur les produits'!$A$3:$H$10000,8,FALSE),"0")</f>
        <v>0</v>
      </c>
      <c r="N3191" s="8"/>
      <c r="O3191" s="33" t="str">
        <f>IFERROR(VLOOKUP($M3191,'Informations sur les produits'!$A$3:$H$10000,8,FALSE),"0")</f>
        <v>0</v>
      </c>
      <c r="P3191" s="33">
        <f t="shared" si="196"/>
        <v>0</v>
      </c>
      <c r="Q3191" s="31" t="str">
        <f t="shared" si="197"/>
        <v/>
      </c>
      <c r="R3191" s="32" t="str">
        <f>IFERROR(VLOOKUP($D3191,'Informations sur les produits'!$A$3:$B$15000,2,FALSE),"")</f>
        <v/>
      </c>
      <c r="V3191">
        <f t="shared" si="198"/>
        <v>0</v>
      </c>
      <c r="W3191">
        <f t="shared" si="199"/>
        <v>0</v>
      </c>
    </row>
    <row r="3192" spans="5:23" x14ac:dyDescent="0.25">
      <c r="E3192" s="4"/>
      <c r="F3192" s="4"/>
      <c r="G3192" s="33" t="str">
        <f>IFERROR(VLOOKUP($D3192,'Informations sur les produits'!$A$3:$H$10000,8,FALSE),"0")</f>
        <v>0</v>
      </c>
      <c r="K3192" s="4"/>
      <c r="L3192" s="33" t="str">
        <f>IFERROR(VLOOKUP($J3192,'Informations sur les produits'!$A$3:$H$10000,8,FALSE),"0")</f>
        <v>0</v>
      </c>
      <c r="N3192" s="8"/>
      <c r="O3192" s="33" t="str">
        <f>IFERROR(VLOOKUP($M3192,'Informations sur les produits'!$A$3:$H$10000,8,FALSE),"0")</f>
        <v>0</v>
      </c>
      <c r="P3192" s="33">
        <f t="shared" si="196"/>
        <v>0</v>
      </c>
      <c r="Q3192" s="31" t="str">
        <f t="shared" si="197"/>
        <v/>
      </c>
      <c r="R3192" s="32" t="str">
        <f>IFERROR(VLOOKUP($D3192,'Informations sur les produits'!$A$3:$B$15000,2,FALSE),"")</f>
        <v/>
      </c>
      <c r="V3192">
        <f t="shared" si="198"/>
        <v>0</v>
      </c>
      <c r="W3192">
        <f t="shared" si="199"/>
        <v>0</v>
      </c>
    </row>
    <row r="3193" spans="5:23" x14ac:dyDescent="0.25">
      <c r="E3193" s="4"/>
      <c r="F3193" s="4"/>
      <c r="G3193" s="33" t="str">
        <f>IFERROR(VLOOKUP($D3193,'Informations sur les produits'!$A$3:$H$10000,8,FALSE),"0")</f>
        <v>0</v>
      </c>
      <c r="K3193" s="4"/>
      <c r="L3193" s="33" t="str">
        <f>IFERROR(VLOOKUP($J3193,'Informations sur les produits'!$A$3:$H$10000,8,FALSE),"0")</f>
        <v>0</v>
      </c>
      <c r="N3193" s="8"/>
      <c r="O3193" s="33" t="str">
        <f>IFERROR(VLOOKUP($M3193,'Informations sur les produits'!$A$3:$H$10000,8,FALSE),"0")</f>
        <v>0</v>
      </c>
      <c r="P3193" s="33">
        <f t="shared" si="196"/>
        <v>0</v>
      </c>
      <c r="Q3193" s="31" t="str">
        <f t="shared" si="197"/>
        <v/>
      </c>
      <c r="R3193" s="32" t="str">
        <f>IFERROR(VLOOKUP($D3193,'Informations sur les produits'!$A$3:$B$15000,2,FALSE),"")</f>
        <v/>
      </c>
      <c r="V3193">
        <f t="shared" si="198"/>
        <v>0</v>
      </c>
      <c r="W3193">
        <f t="shared" si="199"/>
        <v>0</v>
      </c>
    </row>
    <row r="3194" spans="5:23" x14ac:dyDescent="0.25">
      <c r="E3194" s="4"/>
      <c r="F3194" s="4"/>
      <c r="G3194" s="33" t="str">
        <f>IFERROR(VLOOKUP($D3194,'Informations sur les produits'!$A$3:$H$10000,8,FALSE),"0")</f>
        <v>0</v>
      </c>
      <c r="K3194" s="4"/>
      <c r="L3194" s="33" t="str">
        <f>IFERROR(VLOOKUP($J3194,'Informations sur les produits'!$A$3:$H$10000,8,FALSE),"0")</f>
        <v>0</v>
      </c>
      <c r="N3194" s="8"/>
      <c r="O3194" s="33" t="str">
        <f>IFERROR(VLOOKUP($M3194,'Informations sur les produits'!$A$3:$H$10000,8,FALSE),"0")</f>
        <v>0</v>
      </c>
      <c r="P3194" s="33">
        <f t="shared" si="196"/>
        <v>0</v>
      </c>
      <c r="Q3194" s="31" t="str">
        <f t="shared" si="197"/>
        <v/>
      </c>
      <c r="R3194" s="32" t="str">
        <f>IFERROR(VLOOKUP($D3194,'Informations sur les produits'!$A$3:$B$15000,2,FALSE),"")</f>
        <v/>
      </c>
      <c r="V3194">
        <f t="shared" si="198"/>
        <v>0</v>
      </c>
      <c r="W3194">
        <f t="shared" si="199"/>
        <v>0</v>
      </c>
    </row>
    <row r="3195" spans="5:23" x14ac:dyDescent="0.25">
      <c r="E3195" s="4"/>
      <c r="F3195" s="4"/>
      <c r="G3195" s="33" t="str">
        <f>IFERROR(VLOOKUP($D3195,'Informations sur les produits'!$A$3:$H$10000,8,FALSE),"0")</f>
        <v>0</v>
      </c>
      <c r="K3195" s="4"/>
      <c r="L3195" s="33" t="str">
        <f>IFERROR(VLOOKUP($J3195,'Informations sur les produits'!$A$3:$H$10000,8,FALSE),"0")</f>
        <v>0</v>
      </c>
      <c r="N3195" s="8"/>
      <c r="O3195" s="33" t="str">
        <f>IFERROR(VLOOKUP($M3195,'Informations sur les produits'!$A$3:$H$10000,8,FALSE),"0")</f>
        <v>0</v>
      </c>
      <c r="P3195" s="33">
        <f t="shared" si="196"/>
        <v>0</v>
      </c>
      <c r="Q3195" s="31" t="str">
        <f t="shared" si="197"/>
        <v/>
      </c>
      <c r="R3195" s="32" t="str">
        <f>IFERROR(VLOOKUP($D3195,'Informations sur les produits'!$A$3:$B$15000,2,FALSE),"")</f>
        <v/>
      </c>
      <c r="V3195">
        <f t="shared" si="198"/>
        <v>0</v>
      </c>
      <c r="W3195">
        <f t="shared" si="199"/>
        <v>0</v>
      </c>
    </row>
    <row r="3196" spans="5:23" x14ac:dyDescent="0.25">
      <c r="E3196" s="4"/>
      <c r="F3196" s="4"/>
      <c r="G3196" s="33" t="str">
        <f>IFERROR(VLOOKUP($D3196,'Informations sur les produits'!$A$3:$H$10000,8,FALSE),"0")</f>
        <v>0</v>
      </c>
      <c r="K3196" s="4"/>
      <c r="L3196" s="33" t="str">
        <f>IFERROR(VLOOKUP($J3196,'Informations sur les produits'!$A$3:$H$10000,8,FALSE),"0")</f>
        <v>0</v>
      </c>
      <c r="N3196" s="8"/>
      <c r="O3196" s="33" t="str">
        <f>IFERROR(VLOOKUP($M3196,'Informations sur les produits'!$A$3:$H$10000,8,FALSE),"0")</f>
        <v>0</v>
      </c>
      <c r="P3196" s="33">
        <f t="shared" si="196"/>
        <v>0</v>
      </c>
      <c r="Q3196" s="31" t="str">
        <f t="shared" si="197"/>
        <v/>
      </c>
      <c r="R3196" s="32" t="str">
        <f>IFERROR(VLOOKUP($D3196,'Informations sur les produits'!$A$3:$B$15000,2,FALSE),"")</f>
        <v/>
      </c>
      <c r="V3196">
        <f t="shared" si="198"/>
        <v>0</v>
      </c>
      <c r="W3196">
        <f t="shared" si="199"/>
        <v>0</v>
      </c>
    </row>
    <row r="3197" spans="5:23" x14ac:dyDescent="0.25">
      <c r="E3197" s="4"/>
      <c r="F3197" s="4"/>
      <c r="G3197" s="33" t="str">
        <f>IFERROR(VLOOKUP($D3197,'Informations sur les produits'!$A$3:$H$10000,8,FALSE),"0")</f>
        <v>0</v>
      </c>
      <c r="K3197" s="4"/>
      <c r="L3197" s="33" t="str">
        <f>IFERROR(VLOOKUP($J3197,'Informations sur les produits'!$A$3:$H$10000,8,FALSE),"0")</f>
        <v>0</v>
      </c>
      <c r="N3197" s="8"/>
      <c r="O3197" s="33" t="str">
        <f>IFERROR(VLOOKUP($M3197,'Informations sur les produits'!$A$3:$H$10000,8,FALSE),"0")</f>
        <v>0</v>
      </c>
      <c r="P3197" s="33">
        <f t="shared" si="196"/>
        <v>0</v>
      </c>
      <c r="Q3197" s="31" t="str">
        <f t="shared" si="197"/>
        <v/>
      </c>
      <c r="R3197" s="32" t="str">
        <f>IFERROR(VLOOKUP($D3197,'Informations sur les produits'!$A$3:$B$15000,2,FALSE),"")</f>
        <v/>
      </c>
      <c r="V3197">
        <f t="shared" si="198"/>
        <v>0</v>
      </c>
      <c r="W3197">
        <f t="shared" si="199"/>
        <v>0</v>
      </c>
    </row>
    <row r="3198" spans="5:23" x14ac:dyDescent="0.25">
      <c r="E3198" s="4"/>
      <c r="F3198" s="4"/>
      <c r="G3198" s="33" t="str">
        <f>IFERROR(VLOOKUP($D3198,'Informations sur les produits'!$A$3:$H$10000,8,FALSE),"0")</f>
        <v>0</v>
      </c>
      <c r="K3198" s="4"/>
      <c r="L3198" s="33" t="str">
        <f>IFERROR(VLOOKUP($J3198,'Informations sur les produits'!$A$3:$H$10000,8,FALSE),"0")</f>
        <v>0</v>
      </c>
      <c r="N3198" s="8"/>
      <c r="O3198" s="33" t="str">
        <f>IFERROR(VLOOKUP($M3198,'Informations sur les produits'!$A$3:$H$10000,8,FALSE),"0")</f>
        <v>0</v>
      </c>
      <c r="P3198" s="33">
        <f t="shared" si="196"/>
        <v>0</v>
      </c>
      <c r="Q3198" s="31" t="str">
        <f t="shared" si="197"/>
        <v/>
      </c>
      <c r="R3198" s="32" t="str">
        <f>IFERROR(VLOOKUP($D3198,'Informations sur les produits'!$A$3:$B$15000,2,FALSE),"")</f>
        <v/>
      </c>
      <c r="V3198">
        <f t="shared" si="198"/>
        <v>0</v>
      </c>
      <c r="W3198">
        <f t="shared" si="199"/>
        <v>0</v>
      </c>
    </row>
    <row r="3199" spans="5:23" x14ac:dyDescent="0.25">
      <c r="E3199" s="4"/>
      <c r="F3199" s="4"/>
      <c r="G3199" s="33" t="str">
        <f>IFERROR(VLOOKUP($D3199,'Informations sur les produits'!$A$3:$H$10000,8,FALSE),"0")</f>
        <v>0</v>
      </c>
      <c r="K3199" s="4"/>
      <c r="L3199" s="33" t="str">
        <f>IFERROR(VLOOKUP($J3199,'Informations sur les produits'!$A$3:$H$10000,8,FALSE),"0")</f>
        <v>0</v>
      </c>
      <c r="N3199" s="8"/>
      <c r="O3199" s="33" t="str">
        <f>IFERROR(VLOOKUP($M3199,'Informations sur les produits'!$A$3:$H$10000,8,FALSE),"0")</f>
        <v>0</v>
      </c>
      <c r="P3199" s="33">
        <f t="shared" si="196"/>
        <v>0</v>
      </c>
      <c r="Q3199" s="31" t="str">
        <f t="shared" si="197"/>
        <v/>
      </c>
      <c r="R3199" s="32" t="str">
        <f>IFERROR(VLOOKUP($D3199,'Informations sur les produits'!$A$3:$B$15000,2,FALSE),"")</f>
        <v/>
      </c>
      <c r="V3199">
        <f t="shared" si="198"/>
        <v>0</v>
      </c>
      <c r="W3199">
        <f t="shared" si="199"/>
        <v>0</v>
      </c>
    </row>
    <row r="3200" spans="5:23" x14ac:dyDescent="0.25">
      <c r="E3200" s="4"/>
      <c r="F3200" s="4"/>
      <c r="G3200" s="33" t="str">
        <f>IFERROR(VLOOKUP($D3200,'Informations sur les produits'!$A$3:$H$10000,8,FALSE),"0")</f>
        <v>0</v>
      </c>
      <c r="K3200" s="4"/>
      <c r="L3200" s="33" t="str">
        <f>IFERROR(VLOOKUP($J3200,'Informations sur les produits'!$A$3:$H$10000,8,FALSE),"0")</f>
        <v>0</v>
      </c>
      <c r="N3200" s="8"/>
      <c r="O3200" s="33" t="str">
        <f>IFERROR(VLOOKUP($M3200,'Informations sur les produits'!$A$3:$H$10000,8,FALSE),"0")</f>
        <v>0</v>
      </c>
      <c r="P3200" s="33">
        <f t="shared" si="196"/>
        <v>0</v>
      </c>
      <c r="Q3200" s="31" t="str">
        <f t="shared" si="197"/>
        <v/>
      </c>
      <c r="R3200" s="32" t="str">
        <f>IFERROR(VLOOKUP($D3200,'Informations sur les produits'!$A$3:$B$15000,2,FALSE),"")</f>
        <v/>
      </c>
      <c r="V3200">
        <f t="shared" si="198"/>
        <v>0</v>
      </c>
      <c r="W3200">
        <f t="shared" si="199"/>
        <v>0</v>
      </c>
    </row>
    <row r="3201" spans="5:23" x14ac:dyDescent="0.25">
      <c r="E3201" s="4"/>
      <c r="F3201" s="4"/>
      <c r="G3201" s="33" t="str">
        <f>IFERROR(VLOOKUP($D3201,'Informations sur les produits'!$A$3:$H$10000,8,FALSE),"0")</f>
        <v>0</v>
      </c>
      <c r="K3201" s="4"/>
      <c r="L3201" s="33" t="str">
        <f>IFERROR(VLOOKUP($J3201,'Informations sur les produits'!$A$3:$H$10000,8,FALSE),"0")</f>
        <v>0</v>
      </c>
      <c r="N3201" s="8"/>
      <c r="O3201" s="33" t="str">
        <f>IFERROR(VLOOKUP($M3201,'Informations sur les produits'!$A$3:$H$10000,8,FALSE),"0")</f>
        <v>0</v>
      </c>
      <c r="P3201" s="33">
        <f t="shared" si="196"/>
        <v>0</v>
      </c>
      <c r="Q3201" s="31" t="str">
        <f t="shared" si="197"/>
        <v/>
      </c>
      <c r="R3201" s="32" t="str">
        <f>IFERROR(VLOOKUP($D3201,'Informations sur les produits'!$A$3:$B$15000,2,FALSE),"")</f>
        <v/>
      </c>
      <c r="V3201">
        <f t="shared" si="198"/>
        <v>0</v>
      </c>
      <c r="W3201">
        <f t="shared" si="199"/>
        <v>0</v>
      </c>
    </row>
    <row r="3202" spans="5:23" x14ac:dyDescent="0.25">
      <c r="E3202" s="4"/>
      <c r="F3202" s="4"/>
      <c r="G3202" s="33" t="str">
        <f>IFERROR(VLOOKUP($D3202,'Informations sur les produits'!$A$3:$H$10000,8,FALSE),"0")</f>
        <v>0</v>
      </c>
      <c r="K3202" s="4"/>
      <c r="L3202" s="33" t="str">
        <f>IFERROR(VLOOKUP($J3202,'Informations sur les produits'!$A$3:$H$10000,8,FALSE),"0")</f>
        <v>0</v>
      </c>
      <c r="N3202" s="8"/>
      <c r="O3202" s="33" t="str">
        <f>IFERROR(VLOOKUP($M3202,'Informations sur les produits'!$A$3:$H$10000,8,FALSE),"0")</f>
        <v>0</v>
      </c>
      <c r="P3202" s="33">
        <f t="shared" si="196"/>
        <v>0</v>
      </c>
      <c r="Q3202" s="31" t="str">
        <f t="shared" si="197"/>
        <v/>
      </c>
      <c r="R3202" s="32" t="str">
        <f>IFERROR(VLOOKUP($D3202,'Informations sur les produits'!$A$3:$B$15000,2,FALSE),"")</f>
        <v/>
      </c>
      <c r="V3202">
        <f t="shared" si="198"/>
        <v>0</v>
      </c>
      <c r="W3202">
        <f t="shared" si="199"/>
        <v>0</v>
      </c>
    </row>
    <row r="3203" spans="5:23" x14ac:dyDescent="0.25">
      <c r="E3203" s="4"/>
      <c r="F3203" s="4"/>
      <c r="G3203" s="33" t="str">
        <f>IFERROR(VLOOKUP($D3203,'Informations sur les produits'!$A$3:$H$10000,8,FALSE),"0")</f>
        <v>0</v>
      </c>
      <c r="K3203" s="4"/>
      <c r="L3203" s="33" t="str">
        <f>IFERROR(VLOOKUP($J3203,'Informations sur les produits'!$A$3:$H$10000,8,FALSE),"0")</f>
        <v>0</v>
      </c>
      <c r="N3203" s="8"/>
      <c r="O3203" s="33" t="str">
        <f>IFERROR(VLOOKUP($M3203,'Informations sur les produits'!$A$3:$H$10000,8,FALSE),"0")</f>
        <v>0</v>
      </c>
      <c r="P3203" s="33">
        <f t="shared" si="196"/>
        <v>0</v>
      </c>
      <c r="Q3203" s="31" t="str">
        <f t="shared" si="197"/>
        <v/>
      </c>
      <c r="R3203" s="32" t="str">
        <f>IFERROR(VLOOKUP($D3203,'Informations sur les produits'!$A$3:$B$15000,2,FALSE),"")</f>
        <v/>
      </c>
      <c r="V3203">
        <f t="shared" si="198"/>
        <v>0</v>
      </c>
      <c r="W3203">
        <f t="shared" si="199"/>
        <v>0</v>
      </c>
    </row>
    <row r="3204" spans="5:23" x14ac:dyDescent="0.25">
      <c r="E3204" s="4"/>
      <c r="F3204" s="4"/>
      <c r="G3204" s="33" t="str">
        <f>IFERROR(VLOOKUP($D3204,'Informations sur les produits'!$A$3:$H$10000,8,FALSE),"0")</f>
        <v>0</v>
      </c>
      <c r="K3204" s="4"/>
      <c r="L3204" s="33" t="str">
        <f>IFERROR(VLOOKUP($J3204,'Informations sur les produits'!$A$3:$H$10000,8,FALSE),"0")</f>
        <v>0</v>
      </c>
      <c r="N3204" s="8"/>
      <c r="O3204" s="33" t="str">
        <f>IFERROR(VLOOKUP($M3204,'Informations sur les produits'!$A$3:$H$10000,8,FALSE),"0")</f>
        <v>0</v>
      </c>
      <c r="P3204" s="33">
        <f t="shared" ref="P3204:P3267" si="200">IFERROR((($E3204-$F3204)*$G3204+$K3204*$L3204+$N3204*$O3204),"")</f>
        <v>0</v>
      </c>
      <c r="Q3204" s="31" t="str">
        <f t="shared" ref="Q3204:Q3267" si="201">IFERROR((((($E3204-$F3204)*$G3204+$K3204*$L3204+$N3204*$O3204)*1000)/(($E3204-$F3204)+$K3204+$N3204)),"")</f>
        <v/>
      </c>
      <c r="R3204" s="32" t="str">
        <f>IFERROR(VLOOKUP($D3204,'Informations sur les produits'!$A$3:$B$15000,2,FALSE),"")</f>
        <v/>
      </c>
      <c r="V3204">
        <f t="shared" ref="V3204:V3267" si="202">IFERROR(P3204*1000,"")</f>
        <v>0</v>
      </c>
      <c r="W3204">
        <f t="shared" ref="W3204:W3267" si="203">IFERROR(($E3204-$F3204)+$K3204+$N3204,"")</f>
        <v>0</v>
      </c>
    </row>
    <row r="3205" spans="5:23" x14ac:dyDescent="0.25">
      <c r="E3205" s="4"/>
      <c r="F3205" s="4"/>
      <c r="G3205" s="33" t="str">
        <f>IFERROR(VLOOKUP($D3205,'Informations sur les produits'!$A$3:$H$10000,8,FALSE),"0")</f>
        <v>0</v>
      </c>
      <c r="K3205" s="4"/>
      <c r="L3205" s="33" t="str">
        <f>IFERROR(VLOOKUP($J3205,'Informations sur les produits'!$A$3:$H$10000,8,FALSE),"0")</f>
        <v>0</v>
      </c>
      <c r="N3205" s="8"/>
      <c r="O3205" s="33" t="str">
        <f>IFERROR(VLOOKUP($M3205,'Informations sur les produits'!$A$3:$H$10000,8,FALSE),"0")</f>
        <v>0</v>
      </c>
      <c r="P3205" s="33">
        <f t="shared" si="200"/>
        <v>0</v>
      </c>
      <c r="Q3205" s="31" t="str">
        <f t="shared" si="201"/>
        <v/>
      </c>
      <c r="R3205" s="32" t="str">
        <f>IFERROR(VLOOKUP($D3205,'Informations sur les produits'!$A$3:$B$15000,2,FALSE),"")</f>
        <v/>
      </c>
      <c r="V3205">
        <f t="shared" si="202"/>
        <v>0</v>
      </c>
      <c r="W3205">
        <f t="shared" si="203"/>
        <v>0</v>
      </c>
    </row>
    <row r="3206" spans="5:23" x14ac:dyDescent="0.25">
      <c r="E3206" s="4"/>
      <c r="F3206" s="4"/>
      <c r="G3206" s="33" t="str">
        <f>IFERROR(VLOOKUP($D3206,'Informations sur les produits'!$A$3:$H$10000,8,FALSE),"0")</f>
        <v>0</v>
      </c>
      <c r="K3206" s="4"/>
      <c r="L3206" s="33" t="str">
        <f>IFERROR(VLOOKUP($J3206,'Informations sur les produits'!$A$3:$H$10000,8,FALSE),"0")</f>
        <v>0</v>
      </c>
      <c r="N3206" s="8"/>
      <c r="O3206" s="33" t="str">
        <f>IFERROR(VLOOKUP($M3206,'Informations sur les produits'!$A$3:$H$10000,8,FALSE),"0")</f>
        <v>0</v>
      </c>
      <c r="P3206" s="33">
        <f t="shared" si="200"/>
        <v>0</v>
      </c>
      <c r="Q3206" s="31" t="str">
        <f t="shared" si="201"/>
        <v/>
      </c>
      <c r="R3206" s="32" t="str">
        <f>IFERROR(VLOOKUP($D3206,'Informations sur les produits'!$A$3:$B$15000,2,FALSE),"")</f>
        <v/>
      </c>
      <c r="V3206">
        <f t="shared" si="202"/>
        <v>0</v>
      </c>
      <c r="W3206">
        <f t="shared" si="203"/>
        <v>0</v>
      </c>
    </row>
    <row r="3207" spans="5:23" x14ac:dyDescent="0.25">
      <c r="E3207" s="4"/>
      <c r="F3207" s="4"/>
      <c r="G3207" s="33" t="str">
        <f>IFERROR(VLOOKUP($D3207,'Informations sur les produits'!$A$3:$H$10000,8,FALSE),"0")</f>
        <v>0</v>
      </c>
      <c r="K3207" s="4"/>
      <c r="L3207" s="33" t="str">
        <f>IFERROR(VLOOKUP($J3207,'Informations sur les produits'!$A$3:$H$10000,8,FALSE),"0")</f>
        <v>0</v>
      </c>
      <c r="N3207" s="8"/>
      <c r="O3207" s="33" t="str">
        <f>IFERROR(VLOOKUP($M3207,'Informations sur les produits'!$A$3:$H$10000,8,FALSE),"0")</f>
        <v>0</v>
      </c>
      <c r="P3207" s="33">
        <f t="shared" si="200"/>
        <v>0</v>
      </c>
      <c r="Q3207" s="31" t="str">
        <f t="shared" si="201"/>
        <v/>
      </c>
      <c r="R3207" s="32" t="str">
        <f>IFERROR(VLOOKUP($D3207,'Informations sur les produits'!$A$3:$B$15000,2,FALSE),"")</f>
        <v/>
      </c>
      <c r="V3207">
        <f t="shared" si="202"/>
        <v>0</v>
      </c>
      <c r="W3207">
        <f t="shared" si="203"/>
        <v>0</v>
      </c>
    </row>
    <row r="3208" spans="5:23" x14ac:dyDescent="0.25">
      <c r="E3208" s="4"/>
      <c r="F3208" s="4"/>
      <c r="G3208" s="33" t="str">
        <f>IFERROR(VLOOKUP($D3208,'Informations sur les produits'!$A$3:$H$10000,8,FALSE),"0")</f>
        <v>0</v>
      </c>
      <c r="K3208" s="4"/>
      <c r="L3208" s="33" t="str">
        <f>IFERROR(VLOOKUP($J3208,'Informations sur les produits'!$A$3:$H$10000,8,FALSE),"0")</f>
        <v>0</v>
      </c>
      <c r="N3208" s="8"/>
      <c r="O3208" s="33" t="str">
        <f>IFERROR(VLOOKUP($M3208,'Informations sur les produits'!$A$3:$H$10000,8,FALSE),"0")</f>
        <v>0</v>
      </c>
      <c r="P3208" s="33">
        <f t="shared" si="200"/>
        <v>0</v>
      </c>
      <c r="Q3208" s="31" t="str">
        <f t="shared" si="201"/>
        <v/>
      </c>
      <c r="R3208" s="32" t="str">
        <f>IFERROR(VLOOKUP($D3208,'Informations sur les produits'!$A$3:$B$15000,2,FALSE),"")</f>
        <v/>
      </c>
      <c r="V3208">
        <f t="shared" si="202"/>
        <v>0</v>
      </c>
      <c r="W3208">
        <f t="shared" si="203"/>
        <v>0</v>
      </c>
    </row>
    <row r="3209" spans="5:23" x14ac:dyDescent="0.25">
      <c r="E3209" s="4"/>
      <c r="F3209" s="4"/>
      <c r="G3209" s="33" t="str">
        <f>IFERROR(VLOOKUP($D3209,'Informations sur les produits'!$A$3:$H$10000,8,FALSE),"0")</f>
        <v>0</v>
      </c>
      <c r="K3209" s="4"/>
      <c r="L3209" s="33" t="str">
        <f>IFERROR(VLOOKUP($J3209,'Informations sur les produits'!$A$3:$H$10000,8,FALSE),"0")</f>
        <v>0</v>
      </c>
      <c r="N3209" s="8"/>
      <c r="O3209" s="33" t="str">
        <f>IFERROR(VLOOKUP($M3209,'Informations sur les produits'!$A$3:$H$10000,8,FALSE),"0")</f>
        <v>0</v>
      </c>
      <c r="P3209" s="33">
        <f t="shared" si="200"/>
        <v>0</v>
      </c>
      <c r="Q3209" s="31" t="str">
        <f t="shared" si="201"/>
        <v/>
      </c>
      <c r="R3209" s="32" t="str">
        <f>IFERROR(VLOOKUP($D3209,'Informations sur les produits'!$A$3:$B$15000,2,FALSE),"")</f>
        <v/>
      </c>
      <c r="V3209">
        <f t="shared" si="202"/>
        <v>0</v>
      </c>
      <c r="W3209">
        <f t="shared" si="203"/>
        <v>0</v>
      </c>
    </row>
    <row r="3210" spans="5:23" x14ac:dyDescent="0.25">
      <c r="E3210" s="4"/>
      <c r="F3210" s="4"/>
      <c r="G3210" s="33" t="str">
        <f>IFERROR(VLOOKUP($D3210,'Informations sur les produits'!$A$3:$H$10000,8,FALSE),"0")</f>
        <v>0</v>
      </c>
      <c r="K3210" s="4"/>
      <c r="L3210" s="33" t="str">
        <f>IFERROR(VLOOKUP($J3210,'Informations sur les produits'!$A$3:$H$10000,8,FALSE),"0")</f>
        <v>0</v>
      </c>
      <c r="N3210" s="8"/>
      <c r="O3210" s="33" t="str">
        <f>IFERROR(VLOOKUP($M3210,'Informations sur les produits'!$A$3:$H$10000,8,FALSE),"0")</f>
        <v>0</v>
      </c>
      <c r="P3210" s="33">
        <f t="shared" si="200"/>
        <v>0</v>
      </c>
      <c r="Q3210" s="31" t="str">
        <f t="shared" si="201"/>
        <v/>
      </c>
      <c r="R3210" s="32" t="str">
        <f>IFERROR(VLOOKUP($D3210,'Informations sur les produits'!$A$3:$B$15000,2,FALSE),"")</f>
        <v/>
      </c>
      <c r="V3210">
        <f t="shared" si="202"/>
        <v>0</v>
      </c>
      <c r="W3210">
        <f t="shared" si="203"/>
        <v>0</v>
      </c>
    </row>
    <row r="3211" spans="5:23" x14ac:dyDescent="0.25">
      <c r="E3211" s="4"/>
      <c r="F3211" s="4"/>
      <c r="G3211" s="33" t="str">
        <f>IFERROR(VLOOKUP($D3211,'Informations sur les produits'!$A$3:$H$10000,8,FALSE),"0")</f>
        <v>0</v>
      </c>
      <c r="K3211" s="4"/>
      <c r="L3211" s="33" t="str">
        <f>IFERROR(VLOOKUP($J3211,'Informations sur les produits'!$A$3:$H$10000,8,FALSE),"0")</f>
        <v>0</v>
      </c>
      <c r="N3211" s="8"/>
      <c r="O3211" s="33" t="str">
        <f>IFERROR(VLOOKUP($M3211,'Informations sur les produits'!$A$3:$H$10000,8,FALSE),"0")</f>
        <v>0</v>
      </c>
      <c r="P3211" s="33">
        <f t="shared" si="200"/>
        <v>0</v>
      </c>
      <c r="Q3211" s="31" t="str">
        <f t="shared" si="201"/>
        <v/>
      </c>
      <c r="R3211" s="32" t="str">
        <f>IFERROR(VLOOKUP($D3211,'Informations sur les produits'!$A$3:$B$15000,2,FALSE),"")</f>
        <v/>
      </c>
      <c r="V3211">
        <f t="shared" si="202"/>
        <v>0</v>
      </c>
      <c r="W3211">
        <f t="shared" si="203"/>
        <v>0</v>
      </c>
    </row>
    <row r="3212" spans="5:23" x14ac:dyDescent="0.25">
      <c r="E3212" s="4"/>
      <c r="F3212" s="4"/>
      <c r="G3212" s="33" t="str">
        <f>IFERROR(VLOOKUP($D3212,'Informations sur les produits'!$A$3:$H$10000,8,FALSE),"0")</f>
        <v>0</v>
      </c>
      <c r="K3212" s="4"/>
      <c r="L3212" s="33" t="str">
        <f>IFERROR(VLOOKUP($J3212,'Informations sur les produits'!$A$3:$H$10000,8,FALSE),"0")</f>
        <v>0</v>
      </c>
      <c r="N3212" s="8"/>
      <c r="O3212" s="33" t="str">
        <f>IFERROR(VLOOKUP($M3212,'Informations sur les produits'!$A$3:$H$10000,8,FALSE),"0")</f>
        <v>0</v>
      </c>
      <c r="P3212" s="33">
        <f t="shared" si="200"/>
        <v>0</v>
      </c>
      <c r="Q3212" s="31" t="str">
        <f t="shared" si="201"/>
        <v/>
      </c>
      <c r="R3212" s="32" t="str">
        <f>IFERROR(VLOOKUP($D3212,'Informations sur les produits'!$A$3:$B$15000,2,FALSE),"")</f>
        <v/>
      </c>
      <c r="V3212">
        <f t="shared" si="202"/>
        <v>0</v>
      </c>
      <c r="W3212">
        <f t="shared" si="203"/>
        <v>0</v>
      </c>
    </row>
    <row r="3213" spans="5:23" x14ac:dyDescent="0.25">
      <c r="E3213" s="4"/>
      <c r="F3213" s="4"/>
      <c r="G3213" s="33" t="str">
        <f>IFERROR(VLOOKUP($D3213,'Informations sur les produits'!$A$3:$H$10000,8,FALSE),"0")</f>
        <v>0</v>
      </c>
      <c r="K3213" s="4"/>
      <c r="L3213" s="33" t="str">
        <f>IFERROR(VLOOKUP($J3213,'Informations sur les produits'!$A$3:$H$10000,8,FALSE),"0")</f>
        <v>0</v>
      </c>
      <c r="N3213" s="8"/>
      <c r="O3213" s="33" t="str">
        <f>IFERROR(VLOOKUP($M3213,'Informations sur les produits'!$A$3:$H$10000,8,FALSE),"0")</f>
        <v>0</v>
      </c>
      <c r="P3213" s="33">
        <f t="shared" si="200"/>
        <v>0</v>
      </c>
      <c r="Q3213" s="31" t="str">
        <f t="shared" si="201"/>
        <v/>
      </c>
      <c r="R3213" s="32" t="str">
        <f>IFERROR(VLOOKUP($D3213,'Informations sur les produits'!$A$3:$B$15000,2,FALSE),"")</f>
        <v/>
      </c>
      <c r="V3213">
        <f t="shared" si="202"/>
        <v>0</v>
      </c>
      <c r="W3213">
        <f t="shared" si="203"/>
        <v>0</v>
      </c>
    </row>
    <row r="3214" spans="5:23" x14ac:dyDescent="0.25">
      <c r="E3214" s="4"/>
      <c r="F3214" s="4"/>
      <c r="G3214" s="33" t="str">
        <f>IFERROR(VLOOKUP($D3214,'Informations sur les produits'!$A$3:$H$10000,8,FALSE),"0")</f>
        <v>0</v>
      </c>
      <c r="K3214" s="4"/>
      <c r="L3214" s="33" t="str">
        <f>IFERROR(VLOOKUP($J3214,'Informations sur les produits'!$A$3:$H$10000,8,FALSE),"0")</f>
        <v>0</v>
      </c>
      <c r="N3214" s="8"/>
      <c r="O3214" s="33" t="str">
        <f>IFERROR(VLOOKUP($M3214,'Informations sur les produits'!$A$3:$H$10000,8,FALSE),"0")</f>
        <v>0</v>
      </c>
      <c r="P3214" s="33">
        <f t="shared" si="200"/>
        <v>0</v>
      </c>
      <c r="Q3214" s="31" t="str">
        <f t="shared" si="201"/>
        <v/>
      </c>
      <c r="R3214" s="32" t="str">
        <f>IFERROR(VLOOKUP($D3214,'Informations sur les produits'!$A$3:$B$15000,2,FALSE),"")</f>
        <v/>
      </c>
      <c r="V3214">
        <f t="shared" si="202"/>
        <v>0</v>
      </c>
      <c r="W3214">
        <f t="shared" si="203"/>
        <v>0</v>
      </c>
    </row>
    <row r="3215" spans="5:23" x14ac:dyDescent="0.25">
      <c r="E3215" s="4"/>
      <c r="F3215" s="4"/>
      <c r="G3215" s="33" t="str">
        <f>IFERROR(VLOOKUP($D3215,'Informations sur les produits'!$A$3:$H$10000,8,FALSE),"0")</f>
        <v>0</v>
      </c>
      <c r="K3215" s="4"/>
      <c r="L3215" s="33" t="str">
        <f>IFERROR(VLOOKUP($J3215,'Informations sur les produits'!$A$3:$H$10000,8,FALSE),"0")</f>
        <v>0</v>
      </c>
      <c r="N3215" s="8"/>
      <c r="O3215" s="33" t="str">
        <f>IFERROR(VLOOKUP($M3215,'Informations sur les produits'!$A$3:$H$10000,8,FALSE),"0")</f>
        <v>0</v>
      </c>
      <c r="P3215" s="33">
        <f t="shared" si="200"/>
        <v>0</v>
      </c>
      <c r="Q3215" s="31" t="str">
        <f t="shared" si="201"/>
        <v/>
      </c>
      <c r="R3215" s="32" t="str">
        <f>IFERROR(VLOOKUP($D3215,'Informations sur les produits'!$A$3:$B$15000,2,FALSE),"")</f>
        <v/>
      </c>
      <c r="V3215">
        <f t="shared" si="202"/>
        <v>0</v>
      </c>
      <c r="W3215">
        <f t="shared" si="203"/>
        <v>0</v>
      </c>
    </row>
    <row r="3216" spans="5:23" x14ac:dyDescent="0.25">
      <c r="E3216" s="4"/>
      <c r="F3216" s="4"/>
      <c r="G3216" s="33" t="str">
        <f>IFERROR(VLOOKUP($D3216,'Informations sur les produits'!$A$3:$H$10000,8,FALSE),"0")</f>
        <v>0</v>
      </c>
      <c r="K3216" s="4"/>
      <c r="L3216" s="33" t="str">
        <f>IFERROR(VLOOKUP($J3216,'Informations sur les produits'!$A$3:$H$10000,8,FALSE),"0")</f>
        <v>0</v>
      </c>
      <c r="N3216" s="8"/>
      <c r="O3216" s="33" t="str">
        <f>IFERROR(VLOOKUP($M3216,'Informations sur les produits'!$A$3:$H$10000,8,FALSE),"0")</f>
        <v>0</v>
      </c>
      <c r="P3216" s="33">
        <f t="shared" si="200"/>
        <v>0</v>
      </c>
      <c r="Q3216" s="31" t="str">
        <f t="shared" si="201"/>
        <v/>
      </c>
      <c r="R3216" s="32" t="str">
        <f>IFERROR(VLOOKUP($D3216,'Informations sur les produits'!$A$3:$B$15000,2,FALSE),"")</f>
        <v/>
      </c>
      <c r="V3216">
        <f t="shared" si="202"/>
        <v>0</v>
      </c>
      <c r="W3216">
        <f t="shared" si="203"/>
        <v>0</v>
      </c>
    </row>
    <row r="3217" spans="5:23" x14ac:dyDescent="0.25">
      <c r="E3217" s="4"/>
      <c r="F3217" s="4"/>
      <c r="G3217" s="33" t="str">
        <f>IFERROR(VLOOKUP($D3217,'Informations sur les produits'!$A$3:$H$10000,8,FALSE),"0")</f>
        <v>0</v>
      </c>
      <c r="K3217" s="4"/>
      <c r="L3217" s="33" t="str">
        <f>IFERROR(VLOOKUP($J3217,'Informations sur les produits'!$A$3:$H$10000,8,FALSE),"0")</f>
        <v>0</v>
      </c>
      <c r="N3217" s="8"/>
      <c r="O3217" s="33" t="str">
        <f>IFERROR(VLOOKUP($M3217,'Informations sur les produits'!$A$3:$H$10000,8,FALSE),"0")</f>
        <v>0</v>
      </c>
      <c r="P3217" s="33">
        <f t="shared" si="200"/>
        <v>0</v>
      </c>
      <c r="Q3217" s="31" t="str">
        <f t="shared" si="201"/>
        <v/>
      </c>
      <c r="R3217" s="32" t="str">
        <f>IFERROR(VLOOKUP($D3217,'Informations sur les produits'!$A$3:$B$15000,2,FALSE),"")</f>
        <v/>
      </c>
      <c r="V3217">
        <f t="shared" si="202"/>
        <v>0</v>
      </c>
      <c r="W3217">
        <f t="shared" si="203"/>
        <v>0</v>
      </c>
    </row>
    <row r="3218" spans="5:23" x14ac:dyDescent="0.25">
      <c r="E3218" s="4"/>
      <c r="F3218" s="4"/>
      <c r="G3218" s="33" t="str">
        <f>IFERROR(VLOOKUP($D3218,'Informations sur les produits'!$A$3:$H$10000,8,FALSE),"0")</f>
        <v>0</v>
      </c>
      <c r="K3218" s="4"/>
      <c r="L3218" s="33" t="str">
        <f>IFERROR(VLOOKUP($J3218,'Informations sur les produits'!$A$3:$H$10000,8,FALSE),"0")</f>
        <v>0</v>
      </c>
      <c r="N3218" s="8"/>
      <c r="O3218" s="33" t="str">
        <f>IFERROR(VLOOKUP($M3218,'Informations sur les produits'!$A$3:$H$10000,8,FALSE),"0")</f>
        <v>0</v>
      </c>
      <c r="P3218" s="33">
        <f t="shared" si="200"/>
        <v>0</v>
      </c>
      <c r="Q3218" s="31" t="str">
        <f t="shared" si="201"/>
        <v/>
      </c>
      <c r="R3218" s="32" t="str">
        <f>IFERROR(VLOOKUP($D3218,'Informations sur les produits'!$A$3:$B$15000,2,FALSE),"")</f>
        <v/>
      </c>
      <c r="V3218">
        <f t="shared" si="202"/>
        <v>0</v>
      </c>
      <c r="W3218">
        <f t="shared" si="203"/>
        <v>0</v>
      </c>
    </row>
    <row r="3219" spans="5:23" x14ac:dyDescent="0.25">
      <c r="E3219" s="4"/>
      <c r="F3219" s="4"/>
      <c r="G3219" s="33" t="str">
        <f>IFERROR(VLOOKUP($D3219,'Informations sur les produits'!$A$3:$H$10000,8,FALSE),"0")</f>
        <v>0</v>
      </c>
      <c r="K3219" s="4"/>
      <c r="L3219" s="33" t="str">
        <f>IFERROR(VLOOKUP($J3219,'Informations sur les produits'!$A$3:$H$10000,8,FALSE),"0")</f>
        <v>0</v>
      </c>
      <c r="N3219" s="8"/>
      <c r="O3219" s="33" t="str">
        <f>IFERROR(VLOOKUP($M3219,'Informations sur les produits'!$A$3:$H$10000,8,FALSE),"0")</f>
        <v>0</v>
      </c>
      <c r="P3219" s="33">
        <f t="shared" si="200"/>
        <v>0</v>
      </c>
      <c r="Q3219" s="31" t="str">
        <f t="shared" si="201"/>
        <v/>
      </c>
      <c r="R3219" s="32" t="str">
        <f>IFERROR(VLOOKUP($D3219,'Informations sur les produits'!$A$3:$B$15000,2,FALSE),"")</f>
        <v/>
      </c>
      <c r="V3219">
        <f t="shared" si="202"/>
        <v>0</v>
      </c>
      <c r="W3219">
        <f t="shared" si="203"/>
        <v>0</v>
      </c>
    </row>
    <row r="3220" spans="5:23" x14ac:dyDescent="0.25">
      <c r="E3220" s="4"/>
      <c r="F3220" s="4"/>
      <c r="G3220" s="33" t="str">
        <f>IFERROR(VLOOKUP($D3220,'Informations sur les produits'!$A$3:$H$10000,8,FALSE),"0")</f>
        <v>0</v>
      </c>
      <c r="K3220" s="4"/>
      <c r="L3220" s="33" t="str">
        <f>IFERROR(VLOOKUP($J3220,'Informations sur les produits'!$A$3:$H$10000,8,FALSE),"0")</f>
        <v>0</v>
      </c>
      <c r="N3220" s="8"/>
      <c r="O3220" s="33" t="str">
        <f>IFERROR(VLOOKUP($M3220,'Informations sur les produits'!$A$3:$H$10000,8,FALSE),"0")</f>
        <v>0</v>
      </c>
      <c r="P3220" s="33">
        <f t="shared" si="200"/>
        <v>0</v>
      </c>
      <c r="Q3220" s="31" t="str">
        <f t="shared" si="201"/>
        <v/>
      </c>
      <c r="R3220" s="32" t="str">
        <f>IFERROR(VLOOKUP($D3220,'Informations sur les produits'!$A$3:$B$15000,2,FALSE),"")</f>
        <v/>
      </c>
      <c r="V3220">
        <f t="shared" si="202"/>
        <v>0</v>
      </c>
      <c r="W3220">
        <f t="shared" si="203"/>
        <v>0</v>
      </c>
    </row>
    <row r="3221" spans="5:23" x14ac:dyDescent="0.25">
      <c r="E3221" s="4"/>
      <c r="F3221" s="4"/>
      <c r="G3221" s="33" t="str">
        <f>IFERROR(VLOOKUP($D3221,'Informations sur les produits'!$A$3:$H$10000,8,FALSE),"0")</f>
        <v>0</v>
      </c>
      <c r="K3221" s="4"/>
      <c r="L3221" s="33" t="str">
        <f>IFERROR(VLOOKUP($J3221,'Informations sur les produits'!$A$3:$H$10000,8,FALSE),"0")</f>
        <v>0</v>
      </c>
      <c r="N3221" s="8"/>
      <c r="O3221" s="33" t="str">
        <f>IFERROR(VLOOKUP($M3221,'Informations sur les produits'!$A$3:$H$10000,8,FALSE),"0")</f>
        <v>0</v>
      </c>
      <c r="P3221" s="33">
        <f t="shared" si="200"/>
        <v>0</v>
      </c>
      <c r="Q3221" s="31" t="str">
        <f t="shared" si="201"/>
        <v/>
      </c>
      <c r="R3221" s="32" t="str">
        <f>IFERROR(VLOOKUP($D3221,'Informations sur les produits'!$A$3:$B$15000,2,FALSE),"")</f>
        <v/>
      </c>
      <c r="V3221">
        <f t="shared" si="202"/>
        <v>0</v>
      </c>
      <c r="W3221">
        <f t="shared" si="203"/>
        <v>0</v>
      </c>
    </row>
    <row r="3222" spans="5:23" x14ac:dyDescent="0.25">
      <c r="E3222" s="4"/>
      <c r="F3222" s="4"/>
      <c r="G3222" s="33" t="str">
        <f>IFERROR(VLOOKUP($D3222,'Informations sur les produits'!$A$3:$H$10000,8,FALSE),"0")</f>
        <v>0</v>
      </c>
      <c r="K3222" s="4"/>
      <c r="L3222" s="33" t="str">
        <f>IFERROR(VLOOKUP($J3222,'Informations sur les produits'!$A$3:$H$10000,8,FALSE),"0")</f>
        <v>0</v>
      </c>
      <c r="N3222" s="8"/>
      <c r="O3222" s="33" t="str">
        <f>IFERROR(VLOOKUP($M3222,'Informations sur les produits'!$A$3:$H$10000,8,FALSE),"0")</f>
        <v>0</v>
      </c>
      <c r="P3222" s="33">
        <f t="shared" si="200"/>
        <v>0</v>
      </c>
      <c r="Q3222" s="31" t="str">
        <f t="shared" si="201"/>
        <v/>
      </c>
      <c r="R3222" s="32" t="str">
        <f>IFERROR(VLOOKUP($D3222,'Informations sur les produits'!$A$3:$B$15000,2,FALSE),"")</f>
        <v/>
      </c>
      <c r="V3222">
        <f t="shared" si="202"/>
        <v>0</v>
      </c>
      <c r="W3222">
        <f t="shared" si="203"/>
        <v>0</v>
      </c>
    </row>
    <row r="3223" spans="5:23" x14ac:dyDescent="0.25">
      <c r="E3223" s="4"/>
      <c r="F3223" s="4"/>
      <c r="G3223" s="33" t="str">
        <f>IFERROR(VLOOKUP($D3223,'Informations sur les produits'!$A$3:$H$10000,8,FALSE),"0")</f>
        <v>0</v>
      </c>
      <c r="K3223" s="4"/>
      <c r="L3223" s="33" t="str">
        <f>IFERROR(VLOOKUP($J3223,'Informations sur les produits'!$A$3:$H$10000,8,FALSE),"0")</f>
        <v>0</v>
      </c>
      <c r="N3223" s="8"/>
      <c r="O3223" s="33" t="str">
        <f>IFERROR(VLOOKUP($M3223,'Informations sur les produits'!$A$3:$H$10000,8,FALSE),"0")</f>
        <v>0</v>
      </c>
      <c r="P3223" s="33">
        <f t="shared" si="200"/>
        <v>0</v>
      </c>
      <c r="Q3223" s="31" t="str">
        <f t="shared" si="201"/>
        <v/>
      </c>
      <c r="R3223" s="32" t="str">
        <f>IFERROR(VLOOKUP($D3223,'Informations sur les produits'!$A$3:$B$15000,2,FALSE),"")</f>
        <v/>
      </c>
      <c r="V3223">
        <f t="shared" si="202"/>
        <v>0</v>
      </c>
      <c r="W3223">
        <f t="shared" si="203"/>
        <v>0</v>
      </c>
    </row>
    <row r="3224" spans="5:23" x14ac:dyDescent="0.25">
      <c r="E3224" s="4"/>
      <c r="F3224" s="4"/>
      <c r="G3224" s="33" t="str">
        <f>IFERROR(VLOOKUP($D3224,'Informations sur les produits'!$A$3:$H$10000,8,FALSE),"0")</f>
        <v>0</v>
      </c>
      <c r="K3224" s="4"/>
      <c r="L3224" s="33" t="str">
        <f>IFERROR(VLOOKUP($J3224,'Informations sur les produits'!$A$3:$H$10000,8,FALSE),"0")</f>
        <v>0</v>
      </c>
      <c r="N3224" s="8"/>
      <c r="O3224" s="33" t="str">
        <f>IFERROR(VLOOKUP($M3224,'Informations sur les produits'!$A$3:$H$10000,8,FALSE),"0")</f>
        <v>0</v>
      </c>
      <c r="P3224" s="33">
        <f t="shared" si="200"/>
        <v>0</v>
      </c>
      <c r="Q3224" s="31" t="str">
        <f t="shared" si="201"/>
        <v/>
      </c>
      <c r="R3224" s="32" t="str">
        <f>IFERROR(VLOOKUP($D3224,'Informations sur les produits'!$A$3:$B$15000,2,FALSE),"")</f>
        <v/>
      </c>
      <c r="V3224">
        <f t="shared" si="202"/>
        <v>0</v>
      </c>
      <c r="W3224">
        <f t="shared" si="203"/>
        <v>0</v>
      </c>
    </row>
    <row r="3225" spans="5:23" x14ac:dyDescent="0.25">
      <c r="E3225" s="4"/>
      <c r="F3225" s="4"/>
      <c r="G3225" s="33" t="str">
        <f>IFERROR(VLOOKUP($D3225,'Informations sur les produits'!$A$3:$H$10000,8,FALSE),"0")</f>
        <v>0</v>
      </c>
      <c r="K3225" s="4"/>
      <c r="L3225" s="33" t="str">
        <f>IFERROR(VLOOKUP($J3225,'Informations sur les produits'!$A$3:$H$10000,8,FALSE),"0")</f>
        <v>0</v>
      </c>
      <c r="N3225" s="8"/>
      <c r="O3225" s="33" t="str">
        <f>IFERROR(VLOOKUP($M3225,'Informations sur les produits'!$A$3:$H$10000,8,FALSE),"0")</f>
        <v>0</v>
      </c>
      <c r="P3225" s="33">
        <f t="shared" si="200"/>
        <v>0</v>
      </c>
      <c r="Q3225" s="31" t="str">
        <f t="shared" si="201"/>
        <v/>
      </c>
      <c r="R3225" s="32" t="str">
        <f>IFERROR(VLOOKUP($D3225,'Informations sur les produits'!$A$3:$B$15000,2,FALSE),"")</f>
        <v/>
      </c>
      <c r="V3225">
        <f t="shared" si="202"/>
        <v>0</v>
      </c>
      <c r="W3225">
        <f t="shared" si="203"/>
        <v>0</v>
      </c>
    </row>
    <row r="3226" spans="5:23" x14ac:dyDescent="0.25">
      <c r="E3226" s="4"/>
      <c r="F3226" s="4"/>
      <c r="G3226" s="33" t="str">
        <f>IFERROR(VLOOKUP($D3226,'Informations sur les produits'!$A$3:$H$10000,8,FALSE),"0")</f>
        <v>0</v>
      </c>
      <c r="K3226" s="4"/>
      <c r="L3226" s="33" t="str">
        <f>IFERROR(VLOOKUP($J3226,'Informations sur les produits'!$A$3:$H$10000,8,FALSE),"0")</f>
        <v>0</v>
      </c>
      <c r="N3226" s="8"/>
      <c r="O3226" s="33" t="str">
        <f>IFERROR(VLOOKUP($M3226,'Informations sur les produits'!$A$3:$H$10000,8,FALSE),"0")</f>
        <v>0</v>
      </c>
      <c r="P3226" s="33">
        <f t="shared" si="200"/>
        <v>0</v>
      </c>
      <c r="Q3226" s="31" t="str">
        <f t="shared" si="201"/>
        <v/>
      </c>
      <c r="R3226" s="32" t="str">
        <f>IFERROR(VLOOKUP($D3226,'Informations sur les produits'!$A$3:$B$15000,2,FALSE),"")</f>
        <v/>
      </c>
      <c r="V3226">
        <f t="shared" si="202"/>
        <v>0</v>
      </c>
      <c r="W3226">
        <f t="shared" si="203"/>
        <v>0</v>
      </c>
    </row>
    <row r="3227" spans="5:23" x14ac:dyDescent="0.25">
      <c r="E3227" s="4"/>
      <c r="F3227" s="4"/>
      <c r="G3227" s="33" t="str">
        <f>IFERROR(VLOOKUP($D3227,'Informations sur les produits'!$A$3:$H$10000,8,FALSE),"0")</f>
        <v>0</v>
      </c>
      <c r="K3227" s="4"/>
      <c r="L3227" s="33" t="str">
        <f>IFERROR(VLOOKUP($J3227,'Informations sur les produits'!$A$3:$H$10000,8,FALSE),"0")</f>
        <v>0</v>
      </c>
      <c r="N3227" s="8"/>
      <c r="O3227" s="33" t="str">
        <f>IFERROR(VLOOKUP($M3227,'Informations sur les produits'!$A$3:$H$10000,8,FALSE),"0")</f>
        <v>0</v>
      </c>
      <c r="P3227" s="33">
        <f t="shared" si="200"/>
        <v>0</v>
      </c>
      <c r="Q3227" s="31" t="str">
        <f t="shared" si="201"/>
        <v/>
      </c>
      <c r="R3227" s="32" t="str">
        <f>IFERROR(VLOOKUP($D3227,'Informations sur les produits'!$A$3:$B$15000,2,FALSE),"")</f>
        <v/>
      </c>
      <c r="V3227">
        <f t="shared" si="202"/>
        <v>0</v>
      </c>
      <c r="W3227">
        <f t="shared" si="203"/>
        <v>0</v>
      </c>
    </row>
    <row r="3228" spans="5:23" x14ac:dyDescent="0.25">
      <c r="E3228" s="4"/>
      <c r="F3228" s="4"/>
      <c r="G3228" s="33" t="str">
        <f>IFERROR(VLOOKUP($D3228,'Informations sur les produits'!$A$3:$H$10000,8,FALSE),"0")</f>
        <v>0</v>
      </c>
      <c r="K3228" s="4"/>
      <c r="L3228" s="33" t="str">
        <f>IFERROR(VLOOKUP($J3228,'Informations sur les produits'!$A$3:$H$10000,8,FALSE),"0")</f>
        <v>0</v>
      </c>
      <c r="N3228" s="8"/>
      <c r="O3228" s="33" t="str">
        <f>IFERROR(VLOOKUP($M3228,'Informations sur les produits'!$A$3:$H$10000,8,FALSE),"0")</f>
        <v>0</v>
      </c>
      <c r="P3228" s="33">
        <f t="shared" si="200"/>
        <v>0</v>
      </c>
      <c r="Q3228" s="31" t="str">
        <f t="shared" si="201"/>
        <v/>
      </c>
      <c r="R3228" s="32" t="str">
        <f>IFERROR(VLOOKUP($D3228,'Informations sur les produits'!$A$3:$B$15000,2,FALSE),"")</f>
        <v/>
      </c>
      <c r="V3228">
        <f t="shared" si="202"/>
        <v>0</v>
      </c>
      <c r="W3228">
        <f t="shared" si="203"/>
        <v>0</v>
      </c>
    </row>
    <row r="3229" spans="5:23" x14ac:dyDescent="0.25">
      <c r="E3229" s="4"/>
      <c r="F3229" s="4"/>
      <c r="G3229" s="33" t="str">
        <f>IFERROR(VLOOKUP($D3229,'Informations sur les produits'!$A$3:$H$10000,8,FALSE),"0")</f>
        <v>0</v>
      </c>
      <c r="K3229" s="4"/>
      <c r="L3229" s="33" t="str">
        <f>IFERROR(VLOOKUP($J3229,'Informations sur les produits'!$A$3:$H$10000,8,FALSE),"0")</f>
        <v>0</v>
      </c>
      <c r="N3229" s="8"/>
      <c r="O3229" s="33" t="str">
        <f>IFERROR(VLOOKUP($M3229,'Informations sur les produits'!$A$3:$H$10000,8,FALSE),"0")</f>
        <v>0</v>
      </c>
      <c r="P3229" s="33">
        <f t="shared" si="200"/>
        <v>0</v>
      </c>
      <c r="Q3229" s="31" t="str">
        <f t="shared" si="201"/>
        <v/>
      </c>
      <c r="R3229" s="32" t="str">
        <f>IFERROR(VLOOKUP($D3229,'Informations sur les produits'!$A$3:$B$15000,2,FALSE),"")</f>
        <v/>
      </c>
      <c r="V3229">
        <f t="shared" si="202"/>
        <v>0</v>
      </c>
      <c r="W3229">
        <f t="shared" si="203"/>
        <v>0</v>
      </c>
    </row>
    <row r="3230" spans="5:23" x14ac:dyDescent="0.25">
      <c r="E3230" s="4"/>
      <c r="F3230" s="4"/>
      <c r="G3230" s="33" t="str">
        <f>IFERROR(VLOOKUP($D3230,'Informations sur les produits'!$A$3:$H$10000,8,FALSE),"0")</f>
        <v>0</v>
      </c>
      <c r="K3230" s="4"/>
      <c r="L3230" s="33" t="str">
        <f>IFERROR(VLOOKUP($J3230,'Informations sur les produits'!$A$3:$H$10000,8,FALSE),"0")</f>
        <v>0</v>
      </c>
      <c r="N3230" s="8"/>
      <c r="O3230" s="33" t="str">
        <f>IFERROR(VLOOKUP($M3230,'Informations sur les produits'!$A$3:$H$10000,8,FALSE),"0")</f>
        <v>0</v>
      </c>
      <c r="P3230" s="33">
        <f t="shared" si="200"/>
        <v>0</v>
      </c>
      <c r="Q3230" s="31" t="str">
        <f t="shared" si="201"/>
        <v/>
      </c>
      <c r="R3230" s="32" t="str">
        <f>IFERROR(VLOOKUP($D3230,'Informations sur les produits'!$A$3:$B$15000,2,FALSE),"")</f>
        <v/>
      </c>
      <c r="V3230">
        <f t="shared" si="202"/>
        <v>0</v>
      </c>
      <c r="W3230">
        <f t="shared" si="203"/>
        <v>0</v>
      </c>
    </row>
    <row r="3231" spans="5:23" x14ac:dyDescent="0.25">
      <c r="E3231" s="4"/>
      <c r="F3231" s="4"/>
      <c r="G3231" s="33" t="str">
        <f>IFERROR(VLOOKUP($D3231,'Informations sur les produits'!$A$3:$H$10000,8,FALSE),"0")</f>
        <v>0</v>
      </c>
      <c r="K3231" s="4"/>
      <c r="L3231" s="33" t="str">
        <f>IFERROR(VLOOKUP($J3231,'Informations sur les produits'!$A$3:$H$10000,8,FALSE),"0")</f>
        <v>0</v>
      </c>
      <c r="N3231" s="8"/>
      <c r="O3231" s="33" t="str">
        <f>IFERROR(VLOOKUP($M3231,'Informations sur les produits'!$A$3:$H$10000,8,FALSE),"0")</f>
        <v>0</v>
      </c>
      <c r="P3231" s="33">
        <f t="shared" si="200"/>
        <v>0</v>
      </c>
      <c r="Q3231" s="31" t="str">
        <f t="shared" si="201"/>
        <v/>
      </c>
      <c r="R3231" s="32" t="str">
        <f>IFERROR(VLOOKUP($D3231,'Informations sur les produits'!$A$3:$B$15000,2,FALSE),"")</f>
        <v/>
      </c>
      <c r="V3231">
        <f t="shared" si="202"/>
        <v>0</v>
      </c>
      <c r="W3231">
        <f t="shared" si="203"/>
        <v>0</v>
      </c>
    </row>
    <row r="3232" spans="5:23" x14ac:dyDescent="0.25">
      <c r="E3232" s="4"/>
      <c r="F3232" s="4"/>
      <c r="G3232" s="33" t="str">
        <f>IFERROR(VLOOKUP($D3232,'Informations sur les produits'!$A$3:$H$10000,8,FALSE),"0")</f>
        <v>0</v>
      </c>
      <c r="K3232" s="4"/>
      <c r="L3232" s="33" t="str">
        <f>IFERROR(VLOOKUP($J3232,'Informations sur les produits'!$A$3:$H$10000,8,FALSE),"0")</f>
        <v>0</v>
      </c>
      <c r="N3232" s="8"/>
      <c r="O3232" s="33" t="str">
        <f>IFERROR(VLOOKUP($M3232,'Informations sur les produits'!$A$3:$H$10000,8,FALSE),"0")</f>
        <v>0</v>
      </c>
      <c r="P3232" s="33">
        <f t="shared" si="200"/>
        <v>0</v>
      </c>
      <c r="Q3232" s="31" t="str">
        <f t="shared" si="201"/>
        <v/>
      </c>
      <c r="R3232" s="32" t="str">
        <f>IFERROR(VLOOKUP($D3232,'Informations sur les produits'!$A$3:$B$15000,2,FALSE),"")</f>
        <v/>
      </c>
      <c r="V3232">
        <f t="shared" si="202"/>
        <v>0</v>
      </c>
      <c r="W3232">
        <f t="shared" si="203"/>
        <v>0</v>
      </c>
    </row>
    <row r="3233" spans="5:23" x14ac:dyDescent="0.25">
      <c r="E3233" s="4"/>
      <c r="F3233" s="4"/>
      <c r="G3233" s="33" t="str">
        <f>IFERROR(VLOOKUP($D3233,'Informations sur les produits'!$A$3:$H$10000,8,FALSE),"0")</f>
        <v>0</v>
      </c>
      <c r="K3233" s="4"/>
      <c r="L3233" s="33" t="str">
        <f>IFERROR(VLOOKUP($J3233,'Informations sur les produits'!$A$3:$H$10000,8,FALSE),"0")</f>
        <v>0</v>
      </c>
      <c r="N3233" s="8"/>
      <c r="O3233" s="33" t="str">
        <f>IFERROR(VLOOKUP($M3233,'Informations sur les produits'!$A$3:$H$10000,8,FALSE),"0")</f>
        <v>0</v>
      </c>
      <c r="P3233" s="33">
        <f t="shared" si="200"/>
        <v>0</v>
      </c>
      <c r="Q3233" s="31" t="str">
        <f t="shared" si="201"/>
        <v/>
      </c>
      <c r="R3233" s="32" t="str">
        <f>IFERROR(VLOOKUP($D3233,'Informations sur les produits'!$A$3:$B$15000,2,FALSE),"")</f>
        <v/>
      </c>
      <c r="V3233">
        <f t="shared" si="202"/>
        <v>0</v>
      </c>
      <c r="W3233">
        <f t="shared" si="203"/>
        <v>0</v>
      </c>
    </row>
    <row r="3234" spans="5:23" x14ac:dyDescent="0.25">
      <c r="E3234" s="4"/>
      <c r="F3234" s="4"/>
      <c r="G3234" s="33" t="str">
        <f>IFERROR(VLOOKUP($D3234,'Informations sur les produits'!$A$3:$H$10000,8,FALSE),"0")</f>
        <v>0</v>
      </c>
      <c r="K3234" s="4"/>
      <c r="L3234" s="33" t="str">
        <f>IFERROR(VLOOKUP($J3234,'Informations sur les produits'!$A$3:$H$10000,8,FALSE),"0")</f>
        <v>0</v>
      </c>
      <c r="N3234" s="8"/>
      <c r="O3234" s="33" t="str">
        <f>IFERROR(VLOOKUP($M3234,'Informations sur les produits'!$A$3:$H$10000,8,FALSE),"0")</f>
        <v>0</v>
      </c>
      <c r="P3234" s="33">
        <f t="shared" si="200"/>
        <v>0</v>
      </c>
      <c r="Q3234" s="31" t="str">
        <f t="shared" si="201"/>
        <v/>
      </c>
      <c r="R3234" s="32" t="str">
        <f>IFERROR(VLOOKUP($D3234,'Informations sur les produits'!$A$3:$B$15000,2,FALSE),"")</f>
        <v/>
      </c>
      <c r="V3234">
        <f t="shared" si="202"/>
        <v>0</v>
      </c>
      <c r="W3234">
        <f t="shared" si="203"/>
        <v>0</v>
      </c>
    </row>
    <row r="3235" spans="5:23" x14ac:dyDescent="0.25">
      <c r="E3235" s="4"/>
      <c r="F3235" s="4"/>
      <c r="G3235" s="33" t="str">
        <f>IFERROR(VLOOKUP($D3235,'Informations sur les produits'!$A$3:$H$10000,8,FALSE),"0")</f>
        <v>0</v>
      </c>
      <c r="K3235" s="4"/>
      <c r="L3235" s="33" t="str">
        <f>IFERROR(VLOOKUP($J3235,'Informations sur les produits'!$A$3:$H$10000,8,FALSE),"0")</f>
        <v>0</v>
      </c>
      <c r="N3235" s="8"/>
      <c r="O3235" s="33" t="str">
        <f>IFERROR(VLOOKUP($M3235,'Informations sur les produits'!$A$3:$H$10000,8,FALSE),"0")</f>
        <v>0</v>
      </c>
      <c r="P3235" s="33">
        <f t="shared" si="200"/>
        <v>0</v>
      </c>
      <c r="Q3235" s="31" t="str">
        <f t="shared" si="201"/>
        <v/>
      </c>
      <c r="R3235" s="32" t="str">
        <f>IFERROR(VLOOKUP($D3235,'Informations sur les produits'!$A$3:$B$15000,2,FALSE),"")</f>
        <v/>
      </c>
      <c r="V3235">
        <f t="shared" si="202"/>
        <v>0</v>
      </c>
      <c r="W3235">
        <f t="shared" si="203"/>
        <v>0</v>
      </c>
    </row>
    <row r="3236" spans="5:23" x14ac:dyDescent="0.25">
      <c r="E3236" s="4"/>
      <c r="F3236" s="4"/>
      <c r="G3236" s="33" t="str">
        <f>IFERROR(VLOOKUP($D3236,'Informations sur les produits'!$A$3:$H$10000,8,FALSE),"0")</f>
        <v>0</v>
      </c>
      <c r="K3236" s="4"/>
      <c r="L3236" s="33" t="str">
        <f>IFERROR(VLOOKUP($J3236,'Informations sur les produits'!$A$3:$H$10000,8,FALSE),"0")</f>
        <v>0</v>
      </c>
      <c r="N3236" s="8"/>
      <c r="O3236" s="33" t="str">
        <f>IFERROR(VLOOKUP($M3236,'Informations sur les produits'!$A$3:$H$10000,8,FALSE),"0")</f>
        <v>0</v>
      </c>
      <c r="P3236" s="33">
        <f t="shared" si="200"/>
        <v>0</v>
      </c>
      <c r="Q3236" s="31" t="str">
        <f t="shared" si="201"/>
        <v/>
      </c>
      <c r="R3236" s="32" t="str">
        <f>IFERROR(VLOOKUP($D3236,'Informations sur les produits'!$A$3:$B$15000,2,FALSE),"")</f>
        <v/>
      </c>
      <c r="V3236">
        <f t="shared" si="202"/>
        <v>0</v>
      </c>
      <c r="W3236">
        <f t="shared" si="203"/>
        <v>0</v>
      </c>
    </row>
    <row r="3237" spans="5:23" x14ac:dyDescent="0.25">
      <c r="E3237" s="4"/>
      <c r="F3237" s="4"/>
      <c r="G3237" s="33" t="str">
        <f>IFERROR(VLOOKUP($D3237,'Informations sur les produits'!$A$3:$H$10000,8,FALSE),"0")</f>
        <v>0</v>
      </c>
      <c r="K3237" s="4"/>
      <c r="L3237" s="33" t="str">
        <f>IFERROR(VLOOKUP($J3237,'Informations sur les produits'!$A$3:$H$10000,8,FALSE),"0")</f>
        <v>0</v>
      </c>
      <c r="N3237" s="8"/>
      <c r="O3237" s="33" t="str">
        <f>IFERROR(VLOOKUP($M3237,'Informations sur les produits'!$A$3:$H$10000,8,FALSE),"0")</f>
        <v>0</v>
      </c>
      <c r="P3237" s="33">
        <f t="shared" si="200"/>
        <v>0</v>
      </c>
      <c r="Q3237" s="31" t="str">
        <f t="shared" si="201"/>
        <v/>
      </c>
      <c r="R3237" s="32" t="str">
        <f>IFERROR(VLOOKUP($D3237,'Informations sur les produits'!$A$3:$B$15000,2,FALSE),"")</f>
        <v/>
      </c>
      <c r="V3237">
        <f t="shared" si="202"/>
        <v>0</v>
      </c>
      <c r="W3237">
        <f t="shared" si="203"/>
        <v>0</v>
      </c>
    </row>
    <row r="3238" spans="5:23" x14ac:dyDescent="0.25">
      <c r="E3238" s="4"/>
      <c r="F3238" s="4"/>
      <c r="G3238" s="33" t="str">
        <f>IFERROR(VLOOKUP($D3238,'Informations sur les produits'!$A$3:$H$10000,8,FALSE),"0")</f>
        <v>0</v>
      </c>
      <c r="K3238" s="4"/>
      <c r="L3238" s="33" t="str">
        <f>IFERROR(VLOOKUP($J3238,'Informations sur les produits'!$A$3:$H$10000,8,FALSE),"0")</f>
        <v>0</v>
      </c>
      <c r="N3238" s="8"/>
      <c r="O3238" s="33" t="str">
        <f>IFERROR(VLOOKUP($M3238,'Informations sur les produits'!$A$3:$H$10000,8,FALSE),"0")</f>
        <v>0</v>
      </c>
      <c r="P3238" s="33">
        <f t="shared" si="200"/>
        <v>0</v>
      </c>
      <c r="Q3238" s="31" t="str">
        <f t="shared" si="201"/>
        <v/>
      </c>
      <c r="R3238" s="32" t="str">
        <f>IFERROR(VLOOKUP($D3238,'Informations sur les produits'!$A$3:$B$15000,2,FALSE),"")</f>
        <v/>
      </c>
      <c r="V3238">
        <f t="shared" si="202"/>
        <v>0</v>
      </c>
      <c r="W3238">
        <f t="shared" si="203"/>
        <v>0</v>
      </c>
    </row>
    <row r="3239" spans="5:23" x14ac:dyDescent="0.25">
      <c r="E3239" s="4"/>
      <c r="F3239" s="4"/>
      <c r="G3239" s="33" t="str">
        <f>IFERROR(VLOOKUP($D3239,'Informations sur les produits'!$A$3:$H$10000,8,FALSE),"0")</f>
        <v>0</v>
      </c>
      <c r="K3239" s="4"/>
      <c r="L3239" s="33" t="str">
        <f>IFERROR(VLOOKUP($J3239,'Informations sur les produits'!$A$3:$H$10000,8,FALSE),"0")</f>
        <v>0</v>
      </c>
      <c r="N3239" s="8"/>
      <c r="O3239" s="33" t="str">
        <f>IFERROR(VLOOKUP($M3239,'Informations sur les produits'!$A$3:$H$10000,8,FALSE),"0")</f>
        <v>0</v>
      </c>
      <c r="P3239" s="33">
        <f t="shared" si="200"/>
        <v>0</v>
      </c>
      <c r="Q3239" s="31" t="str">
        <f t="shared" si="201"/>
        <v/>
      </c>
      <c r="R3239" s="32" t="str">
        <f>IFERROR(VLOOKUP($D3239,'Informations sur les produits'!$A$3:$B$15000,2,FALSE),"")</f>
        <v/>
      </c>
      <c r="V3239">
        <f t="shared" si="202"/>
        <v>0</v>
      </c>
      <c r="W3239">
        <f t="shared" si="203"/>
        <v>0</v>
      </c>
    </row>
    <row r="3240" spans="5:23" x14ac:dyDescent="0.25">
      <c r="E3240" s="4"/>
      <c r="F3240" s="4"/>
      <c r="G3240" s="33" t="str">
        <f>IFERROR(VLOOKUP($D3240,'Informations sur les produits'!$A$3:$H$10000,8,FALSE),"0")</f>
        <v>0</v>
      </c>
      <c r="K3240" s="4"/>
      <c r="L3240" s="33" t="str">
        <f>IFERROR(VLOOKUP($J3240,'Informations sur les produits'!$A$3:$H$10000,8,FALSE),"0")</f>
        <v>0</v>
      </c>
      <c r="N3240" s="8"/>
      <c r="O3240" s="33" t="str">
        <f>IFERROR(VLOOKUP($M3240,'Informations sur les produits'!$A$3:$H$10000,8,FALSE),"0")</f>
        <v>0</v>
      </c>
      <c r="P3240" s="33">
        <f t="shared" si="200"/>
        <v>0</v>
      </c>
      <c r="Q3240" s="31" t="str">
        <f t="shared" si="201"/>
        <v/>
      </c>
      <c r="R3240" s="32" t="str">
        <f>IFERROR(VLOOKUP($D3240,'Informations sur les produits'!$A$3:$B$15000,2,FALSE),"")</f>
        <v/>
      </c>
      <c r="V3240">
        <f t="shared" si="202"/>
        <v>0</v>
      </c>
      <c r="W3240">
        <f t="shared" si="203"/>
        <v>0</v>
      </c>
    </row>
    <row r="3241" spans="5:23" x14ac:dyDescent="0.25">
      <c r="E3241" s="4"/>
      <c r="F3241" s="4"/>
      <c r="G3241" s="33" t="str">
        <f>IFERROR(VLOOKUP($D3241,'Informations sur les produits'!$A$3:$H$10000,8,FALSE),"0")</f>
        <v>0</v>
      </c>
      <c r="K3241" s="4"/>
      <c r="L3241" s="33" t="str">
        <f>IFERROR(VLOOKUP($J3241,'Informations sur les produits'!$A$3:$H$10000,8,FALSE),"0")</f>
        <v>0</v>
      </c>
      <c r="N3241" s="8"/>
      <c r="O3241" s="33" t="str">
        <f>IFERROR(VLOOKUP($M3241,'Informations sur les produits'!$A$3:$H$10000,8,FALSE),"0")</f>
        <v>0</v>
      </c>
      <c r="P3241" s="33">
        <f t="shared" si="200"/>
        <v>0</v>
      </c>
      <c r="Q3241" s="31" t="str">
        <f t="shared" si="201"/>
        <v/>
      </c>
      <c r="R3241" s="32" t="str">
        <f>IFERROR(VLOOKUP($D3241,'Informations sur les produits'!$A$3:$B$15000,2,FALSE),"")</f>
        <v/>
      </c>
      <c r="V3241">
        <f t="shared" si="202"/>
        <v>0</v>
      </c>
      <c r="W3241">
        <f t="shared" si="203"/>
        <v>0</v>
      </c>
    </row>
    <row r="3242" spans="5:23" x14ac:dyDescent="0.25">
      <c r="E3242" s="4"/>
      <c r="F3242" s="4"/>
      <c r="G3242" s="33" t="str">
        <f>IFERROR(VLOOKUP($D3242,'Informations sur les produits'!$A$3:$H$10000,8,FALSE),"0")</f>
        <v>0</v>
      </c>
      <c r="K3242" s="4"/>
      <c r="L3242" s="33" t="str">
        <f>IFERROR(VLOOKUP($J3242,'Informations sur les produits'!$A$3:$H$10000,8,FALSE),"0")</f>
        <v>0</v>
      </c>
      <c r="N3242" s="8"/>
      <c r="O3242" s="33" t="str">
        <f>IFERROR(VLOOKUP($M3242,'Informations sur les produits'!$A$3:$H$10000,8,FALSE),"0")</f>
        <v>0</v>
      </c>
      <c r="P3242" s="33">
        <f t="shared" si="200"/>
        <v>0</v>
      </c>
      <c r="Q3242" s="31" t="str">
        <f t="shared" si="201"/>
        <v/>
      </c>
      <c r="R3242" s="32" t="str">
        <f>IFERROR(VLOOKUP($D3242,'Informations sur les produits'!$A$3:$B$15000,2,FALSE),"")</f>
        <v/>
      </c>
      <c r="V3242">
        <f t="shared" si="202"/>
        <v>0</v>
      </c>
      <c r="W3242">
        <f t="shared" si="203"/>
        <v>0</v>
      </c>
    </row>
    <row r="3243" spans="5:23" x14ac:dyDescent="0.25">
      <c r="E3243" s="4"/>
      <c r="F3243" s="4"/>
      <c r="G3243" s="33" t="str">
        <f>IFERROR(VLOOKUP($D3243,'Informations sur les produits'!$A$3:$H$10000,8,FALSE),"0")</f>
        <v>0</v>
      </c>
      <c r="K3243" s="4"/>
      <c r="L3243" s="33" t="str">
        <f>IFERROR(VLOOKUP($J3243,'Informations sur les produits'!$A$3:$H$10000,8,FALSE),"0")</f>
        <v>0</v>
      </c>
      <c r="N3243" s="8"/>
      <c r="O3243" s="33" t="str">
        <f>IFERROR(VLOOKUP($M3243,'Informations sur les produits'!$A$3:$H$10000,8,FALSE),"0")</f>
        <v>0</v>
      </c>
      <c r="P3243" s="33">
        <f t="shared" si="200"/>
        <v>0</v>
      </c>
      <c r="Q3243" s="31" t="str">
        <f t="shared" si="201"/>
        <v/>
      </c>
      <c r="R3243" s="32" t="str">
        <f>IFERROR(VLOOKUP($D3243,'Informations sur les produits'!$A$3:$B$15000,2,FALSE),"")</f>
        <v/>
      </c>
      <c r="V3243">
        <f t="shared" si="202"/>
        <v>0</v>
      </c>
      <c r="W3243">
        <f t="shared" si="203"/>
        <v>0</v>
      </c>
    </row>
    <row r="3244" spans="5:23" x14ac:dyDescent="0.25">
      <c r="E3244" s="4"/>
      <c r="F3244" s="4"/>
      <c r="G3244" s="33" t="str">
        <f>IFERROR(VLOOKUP($D3244,'Informations sur les produits'!$A$3:$H$10000,8,FALSE),"0")</f>
        <v>0</v>
      </c>
      <c r="K3244" s="4"/>
      <c r="L3244" s="33" t="str">
        <f>IFERROR(VLOOKUP($J3244,'Informations sur les produits'!$A$3:$H$10000,8,FALSE),"0")</f>
        <v>0</v>
      </c>
      <c r="N3244" s="8"/>
      <c r="O3244" s="33" t="str">
        <f>IFERROR(VLOOKUP($M3244,'Informations sur les produits'!$A$3:$H$10000,8,FALSE),"0")</f>
        <v>0</v>
      </c>
      <c r="P3244" s="33">
        <f t="shared" si="200"/>
        <v>0</v>
      </c>
      <c r="Q3244" s="31" t="str">
        <f t="shared" si="201"/>
        <v/>
      </c>
      <c r="R3244" s="32" t="str">
        <f>IFERROR(VLOOKUP($D3244,'Informations sur les produits'!$A$3:$B$15000,2,FALSE),"")</f>
        <v/>
      </c>
      <c r="V3244">
        <f t="shared" si="202"/>
        <v>0</v>
      </c>
      <c r="W3244">
        <f t="shared" si="203"/>
        <v>0</v>
      </c>
    </row>
    <row r="3245" spans="5:23" x14ac:dyDescent="0.25">
      <c r="E3245" s="4"/>
      <c r="F3245" s="4"/>
      <c r="G3245" s="33" t="str">
        <f>IFERROR(VLOOKUP($D3245,'Informations sur les produits'!$A$3:$H$10000,8,FALSE),"0")</f>
        <v>0</v>
      </c>
      <c r="K3245" s="4"/>
      <c r="L3245" s="33" t="str">
        <f>IFERROR(VLOOKUP($J3245,'Informations sur les produits'!$A$3:$H$10000,8,FALSE),"0")</f>
        <v>0</v>
      </c>
      <c r="N3245" s="8"/>
      <c r="O3245" s="33" t="str">
        <f>IFERROR(VLOOKUP($M3245,'Informations sur les produits'!$A$3:$H$10000,8,FALSE),"0")</f>
        <v>0</v>
      </c>
      <c r="P3245" s="33">
        <f t="shared" si="200"/>
        <v>0</v>
      </c>
      <c r="Q3245" s="31" t="str">
        <f t="shared" si="201"/>
        <v/>
      </c>
      <c r="R3245" s="32" t="str">
        <f>IFERROR(VLOOKUP($D3245,'Informations sur les produits'!$A$3:$B$15000,2,FALSE),"")</f>
        <v/>
      </c>
      <c r="V3245">
        <f t="shared" si="202"/>
        <v>0</v>
      </c>
      <c r="W3245">
        <f t="shared" si="203"/>
        <v>0</v>
      </c>
    </row>
    <row r="3246" spans="5:23" x14ac:dyDescent="0.25">
      <c r="E3246" s="4"/>
      <c r="F3246" s="4"/>
      <c r="G3246" s="33" t="str">
        <f>IFERROR(VLOOKUP($D3246,'Informations sur les produits'!$A$3:$H$10000,8,FALSE),"0")</f>
        <v>0</v>
      </c>
      <c r="K3246" s="4"/>
      <c r="L3246" s="33" t="str">
        <f>IFERROR(VLOOKUP($J3246,'Informations sur les produits'!$A$3:$H$10000,8,FALSE),"0")</f>
        <v>0</v>
      </c>
      <c r="N3246" s="8"/>
      <c r="O3246" s="33" t="str">
        <f>IFERROR(VLOOKUP($M3246,'Informations sur les produits'!$A$3:$H$10000,8,FALSE),"0")</f>
        <v>0</v>
      </c>
      <c r="P3246" s="33">
        <f t="shared" si="200"/>
        <v>0</v>
      </c>
      <c r="Q3246" s="31" t="str">
        <f t="shared" si="201"/>
        <v/>
      </c>
      <c r="R3246" s="32" t="str">
        <f>IFERROR(VLOOKUP($D3246,'Informations sur les produits'!$A$3:$B$15000,2,FALSE),"")</f>
        <v/>
      </c>
      <c r="V3246">
        <f t="shared" si="202"/>
        <v>0</v>
      </c>
      <c r="W3246">
        <f t="shared" si="203"/>
        <v>0</v>
      </c>
    </row>
    <row r="3247" spans="5:23" x14ac:dyDescent="0.25">
      <c r="E3247" s="4"/>
      <c r="F3247" s="4"/>
      <c r="G3247" s="33" t="str">
        <f>IFERROR(VLOOKUP($D3247,'Informations sur les produits'!$A$3:$H$10000,8,FALSE),"0")</f>
        <v>0</v>
      </c>
      <c r="K3247" s="4"/>
      <c r="L3247" s="33" t="str">
        <f>IFERROR(VLOOKUP($J3247,'Informations sur les produits'!$A$3:$H$10000,8,FALSE),"0")</f>
        <v>0</v>
      </c>
      <c r="N3247" s="8"/>
      <c r="O3247" s="33" t="str">
        <f>IFERROR(VLOOKUP($M3247,'Informations sur les produits'!$A$3:$H$10000,8,FALSE),"0")</f>
        <v>0</v>
      </c>
      <c r="P3247" s="33">
        <f t="shared" si="200"/>
        <v>0</v>
      </c>
      <c r="Q3247" s="31" t="str">
        <f t="shared" si="201"/>
        <v/>
      </c>
      <c r="R3247" s="32" t="str">
        <f>IFERROR(VLOOKUP($D3247,'Informations sur les produits'!$A$3:$B$15000,2,FALSE),"")</f>
        <v/>
      </c>
      <c r="V3247">
        <f t="shared" si="202"/>
        <v>0</v>
      </c>
      <c r="W3247">
        <f t="shared" si="203"/>
        <v>0</v>
      </c>
    </row>
    <row r="3248" spans="5:23" x14ac:dyDescent="0.25">
      <c r="E3248" s="4"/>
      <c r="F3248" s="4"/>
      <c r="G3248" s="33" t="str">
        <f>IFERROR(VLOOKUP($D3248,'Informations sur les produits'!$A$3:$H$10000,8,FALSE),"0")</f>
        <v>0</v>
      </c>
      <c r="K3248" s="4"/>
      <c r="L3248" s="33" t="str">
        <f>IFERROR(VLOOKUP($J3248,'Informations sur les produits'!$A$3:$H$10000,8,FALSE),"0")</f>
        <v>0</v>
      </c>
      <c r="N3248" s="8"/>
      <c r="O3248" s="33" t="str">
        <f>IFERROR(VLOOKUP($M3248,'Informations sur les produits'!$A$3:$H$10000,8,FALSE),"0")</f>
        <v>0</v>
      </c>
      <c r="P3248" s="33">
        <f t="shared" si="200"/>
        <v>0</v>
      </c>
      <c r="Q3248" s="31" t="str">
        <f t="shared" si="201"/>
        <v/>
      </c>
      <c r="R3248" s="32" t="str">
        <f>IFERROR(VLOOKUP($D3248,'Informations sur les produits'!$A$3:$B$15000,2,FALSE),"")</f>
        <v/>
      </c>
      <c r="V3248">
        <f t="shared" si="202"/>
        <v>0</v>
      </c>
      <c r="W3248">
        <f t="shared" si="203"/>
        <v>0</v>
      </c>
    </row>
    <row r="3249" spans="5:23" x14ac:dyDescent="0.25">
      <c r="E3249" s="4"/>
      <c r="F3249" s="4"/>
      <c r="G3249" s="33" t="str">
        <f>IFERROR(VLOOKUP($D3249,'Informations sur les produits'!$A$3:$H$10000,8,FALSE),"0")</f>
        <v>0</v>
      </c>
      <c r="K3249" s="4"/>
      <c r="L3249" s="33" t="str">
        <f>IFERROR(VLOOKUP($J3249,'Informations sur les produits'!$A$3:$H$10000,8,FALSE),"0")</f>
        <v>0</v>
      </c>
      <c r="N3249" s="8"/>
      <c r="O3249" s="33" t="str">
        <f>IFERROR(VLOOKUP($M3249,'Informations sur les produits'!$A$3:$H$10000,8,FALSE),"0")</f>
        <v>0</v>
      </c>
      <c r="P3249" s="33">
        <f t="shared" si="200"/>
        <v>0</v>
      </c>
      <c r="Q3249" s="31" t="str">
        <f t="shared" si="201"/>
        <v/>
      </c>
      <c r="R3249" s="32" t="str">
        <f>IFERROR(VLOOKUP($D3249,'Informations sur les produits'!$A$3:$B$15000,2,FALSE),"")</f>
        <v/>
      </c>
      <c r="V3249">
        <f t="shared" si="202"/>
        <v>0</v>
      </c>
      <c r="W3249">
        <f t="shared" si="203"/>
        <v>0</v>
      </c>
    </row>
    <row r="3250" spans="5:23" x14ac:dyDescent="0.25">
      <c r="E3250" s="4"/>
      <c r="F3250" s="4"/>
      <c r="G3250" s="33" t="str">
        <f>IFERROR(VLOOKUP($D3250,'Informations sur les produits'!$A$3:$H$10000,8,FALSE),"0")</f>
        <v>0</v>
      </c>
      <c r="K3250" s="4"/>
      <c r="L3250" s="33" t="str">
        <f>IFERROR(VLOOKUP($J3250,'Informations sur les produits'!$A$3:$H$10000,8,FALSE),"0")</f>
        <v>0</v>
      </c>
      <c r="N3250" s="8"/>
      <c r="O3250" s="33" t="str">
        <f>IFERROR(VLOOKUP($M3250,'Informations sur les produits'!$A$3:$H$10000,8,FALSE),"0")</f>
        <v>0</v>
      </c>
      <c r="P3250" s="33">
        <f t="shared" si="200"/>
        <v>0</v>
      </c>
      <c r="Q3250" s="31" t="str">
        <f t="shared" si="201"/>
        <v/>
      </c>
      <c r="R3250" s="32" t="str">
        <f>IFERROR(VLOOKUP($D3250,'Informations sur les produits'!$A$3:$B$15000,2,FALSE),"")</f>
        <v/>
      </c>
      <c r="V3250">
        <f t="shared" si="202"/>
        <v>0</v>
      </c>
      <c r="W3250">
        <f t="shared" si="203"/>
        <v>0</v>
      </c>
    </row>
    <row r="3251" spans="5:23" x14ac:dyDescent="0.25">
      <c r="E3251" s="4"/>
      <c r="F3251" s="4"/>
      <c r="G3251" s="33" t="str">
        <f>IFERROR(VLOOKUP($D3251,'Informations sur les produits'!$A$3:$H$10000,8,FALSE),"0")</f>
        <v>0</v>
      </c>
      <c r="K3251" s="4"/>
      <c r="L3251" s="33" t="str">
        <f>IFERROR(VLOOKUP($J3251,'Informations sur les produits'!$A$3:$H$10000,8,FALSE),"0")</f>
        <v>0</v>
      </c>
      <c r="N3251" s="8"/>
      <c r="O3251" s="33" t="str">
        <f>IFERROR(VLOOKUP($M3251,'Informations sur les produits'!$A$3:$H$10000,8,FALSE),"0")</f>
        <v>0</v>
      </c>
      <c r="P3251" s="33">
        <f t="shared" si="200"/>
        <v>0</v>
      </c>
      <c r="Q3251" s="31" t="str">
        <f t="shared" si="201"/>
        <v/>
      </c>
      <c r="R3251" s="32" t="str">
        <f>IFERROR(VLOOKUP($D3251,'Informations sur les produits'!$A$3:$B$15000,2,FALSE),"")</f>
        <v/>
      </c>
      <c r="V3251">
        <f t="shared" si="202"/>
        <v>0</v>
      </c>
      <c r="W3251">
        <f t="shared" si="203"/>
        <v>0</v>
      </c>
    </row>
    <row r="3252" spans="5:23" x14ac:dyDescent="0.25">
      <c r="E3252" s="4"/>
      <c r="F3252" s="4"/>
      <c r="G3252" s="33" t="str">
        <f>IFERROR(VLOOKUP($D3252,'Informations sur les produits'!$A$3:$H$10000,8,FALSE),"0")</f>
        <v>0</v>
      </c>
      <c r="K3252" s="4"/>
      <c r="L3252" s="33" t="str">
        <f>IFERROR(VLOOKUP($J3252,'Informations sur les produits'!$A$3:$H$10000,8,FALSE),"0")</f>
        <v>0</v>
      </c>
      <c r="N3252" s="8"/>
      <c r="O3252" s="33" t="str">
        <f>IFERROR(VLOOKUP($M3252,'Informations sur les produits'!$A$3:$H$10000,8,FALSE),"0")</f>
        <v>0</v>
      </c>
      <c r="P3252" s="33">
        <f t="shared" si="200"/>
        <v>0</v>
      </c>
      <c r="Q3252" s="31" t="str">
        <f t="shared" si="201"/>
        <v/>
      </c>
      <c r="R3252" s="32" t="str">
        <f>IFERROR(VLOOKUP($D3252,'Informations sur les produits'!$A$3:$B$15000,2,FALSE),"")</f>
        <v/>
      </c>
      <c r="V3252">
        <f t="shared" si="202"/>
        <v>0</v>
      </c>
      <c r="W3252">
        <f t="shared" si="203"/>
        <v>0</v>
      </c>
    </row>
    <row r="3253" spans="5:23" x14ac:dyDescent="0.25">
      <c r="E3253" s="4"/>
      <c r="F3253" s="4"/>
      <c r="G3253" s="33" t="str">
        <f>IFERROR(VLOOKUP($D3253,'Informations sur les produits'!$A$3:$H$10000,8,FALSE),"0")</f>
        <v>0</v>
      </c>
      <c r="K3253" s="4"/>
      <c r="L3253" s="33" t="str">
        <f>IFERROR(VLOOKUP($J3253,'Informations sur les produits'!$A$3:$H$10000,8,FALSE),"0")</f>
        <v>0</v>
      </c>
      <c r="N3253" s="8"/>
      <c r="O3253" s="33" t="str">
        <f>IFERROR(VLOOKUP($M3253,'Informations sur les produits'!$A$3:$H$10000,8,FALSE),"0")</f>
        <v>0</v>
      </c>
      <c r="P3253" s="33">
        <f t="shared" si="200"/>
        <v>0</v>
      </c>
      <c r="Q3253" s="31" t="str">
        <f t="shared" si="201"/>
        <v/>
      </c>
      <c r="R3253" s="32" t="str">
        <f>IFERROR(VLOOKUP($D3253,'Informations sur les produits'!$A$3:$B$15000,2,FALSE),"")</f>
        <v/>
      </c>
      <c r="V3253">
        <f t="shared" si="202"/>
        <v>0</v>
      </c>
      <c r="W3253">
        <f t="shared" si="203"/>
        <v>0</v>
      </c>
    </row>
    <row r="3254" spans="5:23" x14ac:dyDescent="0.25">
      <c r="E3254" s="4"/>
      <c r="F3254" s="4"/>
      <c r="G3254" s="33" t="str">
        <f>IFERROR(VLOOKUP($D3254,'Informations sur les produits'!$A$3:$H$10000,8,FALSE),"0")</f>
        <v>0</v>
      </c>
      <c r="K3254" s="4"/>
      <c r="L3254" s="33" t="str">
        <f>IFERROR(VLOOKUP($J3254,'Informations sur les produits'!$A$3:$H$10000,8,FALSE),"0")</f>
        <v>0</v>
      </c>
      <c r="N3254" s="8"/>
      <c r="O3254" s="33" t="str">
        <f>IFERROR(VLOOKUP($M3254,'Informations sur les produits'!$A$3:$H$10000,8,FALSE),"0")</f>
        <v>0</v>
      </c>
      <c r="P3254" s="33">
        <f t="shared" si="200"/>
        <v>0</v>
      </c>
      <c r="Q3254" s="31" t="str">
        <f t="shared" si="201"/>
        <v/>
      </c>
      <c r="R3254" s="32" t="str">
        <f>IFERROR(VLOOKUP($D3254,'Informations sur les produits'!$A$3:$B$15000,2,FALSE),"")</f>
        <v/>
      </c>
      <c r="V3254">
        <f t="shared" si="202"/>
        <v>0</v>
      </c>
      <c r="W3254">
        <f t="shared" si="203"/>
        <v>0</v>
      </c>
    </row>
    <row r="3255" spans="5:23" x14ac:dyDescent="0.25">
      <c r="E3255" s="4"/>
      <c r="F3255" s="4"/>
      <c r="G3255" s="33" t="str">
        <f>IFERROR(VLOOKUP($D3255,'Informations sur les produits'!$A$3:$H$10000,8,FALSE),"0")</f>
        <v>0</v>
      </c>
      <c r="K3255" s="4"/>
      <c r="L3255" s="33" t="str">
        <f>IFERROR(VLOOKUP($J3255,'Informations sur les produits'!$A$3:$H$10000,8,FALSE),"0")</f>
        <v>0</v>
      </c>
      <c r="N3255" s="8"/>
      <c r="O3255" s="33" t="str">
        <f>IFERROR(VLOOKUP($M3255,'Informations sur les produits'!$A$3:$H$10000,8,FALSE),"0")</f>
        <v>0</v>
      </c>
      <c r="P3255" s="33">
        <f t="shared" si="200"/>
        <v>0</v>
      </c>
      <c r="Q3255" s="31" t="str">
        <f t="shared" si="201"/>
        <v/>
      </c>
      <c r="R3255" s="32" t="str">
        <f>IFERROR(VLOOKUP($D3255,'Informations sur les produits'!$A$3:$B$15000,2,FALSE),"")</f>
        <v/>
      </c>
      <c r="V3255">
        <f t="shared" si="202"/>
        <v>0</v>
      </c>
      <c r="W3255">
        <f t="shared" si="203"/>
        <v>0</v>
      </c>
    </row>
    <row r="3256" spans="5:23" x14ac:dyDescent="0.25">
      <c r="E3256" s="4"/>
      <c r="F3256" s="4"/>
      <c r="G3256" s="33" t="str">
        <f>IFERROR(VLOOKUP($D3256,'Informations sur les produits'!$A$3:$H$10000,8,FALSE),"0")</f>
        <v>0</v>
      </c>
      <c r="K3256" s="4"/>
      <c r="L3256" s="33" t="str">
        <f>IFERROR(VLOOKUP($J3256,'Informations sur les produits'!$A$3:$H$10000,8,FALSE),"0")</f>
        <v>0</v>
      </c>
      <c r="N3256" s="8"/>
      <c r="O3256" s="33" t="str">
        <f>IFERROR(VLOOKUP($M3256,'Informations sur les produits'!$A$3:$H$10000,8,FALSE),"0")</f>
        <v>0</v>
      </c>
      <c r="P3256" s="33">
        <f t="shared" si="200"/>
        <v>0</v>
      </c>
      <c r="Q3256" s="31" t="str">
        <f t="shared" si="201"/>
        <v/>
      </c>
      <c r="R3256" s="32" t="str">
        <f>IFERROR(VLOOKUP($D3256,'Informations sur les produits'!$A$3:$B$15000,2,FALSE),"")</f>
        <v/>
      </c>
      <c r="V3256">
        <f t="shared" si="202"/>
        <v>0</v>
      </c>
      <c r="W3256">
        <f t="shared" si="203"/>
        <v>0</v>
      </c>
    </row>
    <row r="3257" spans="5:23" x14ac:dyDescent="0.25">
      <c r="E3257" s="4"/>
      <c r="F3257" s="4"/>
      <c r="G3257" s="33" t="str">
        <f>IFERROR(VLOOKUP($D3257,'Informations sur les produits'!$A$3:$H$10000,8,FALSE),"0")</f>
        <v>0</v>
      </c>
      <c r="K3257" s="4"/>
      <c r="L3257" s="33" t="str">
        <f>IFERROR(VLOOKUP($J3257,'Informations sur les produits'!$A$3:$H$10000,8,FALSE),"0")</f>
        <v>0</v>
      </c>
      <c r="N3257" s="8"/>
      <c r="O3257" s="33" t="str">
        <f>IFERROR(VLOOKUP($M3257,'Informations sur les produits'!$A$3:$H$10000,8,FALSE),"0")</f>
        <v>0</v>
      </c>
      <c r="P3257" s="33">
        <f t="shared" si="200"/>
        <v>0</v>
      </c>
      <c r="Q3257" s="31" t="str">
        <f t="shared" si="201"/>
        <v/>
      </c>
      <c r="R3257" s="32" t="str">
        <f>IFERROR(VLOOKUP($D3257,'Informations sur les produits'!$A$3:$B$15000,2,FALSE),"")</f>
        <v/>
      </c>
      <c r="V3257">
        <f t="shared" si="202"/>
        <v>0</v>
      </c>
      <c r="W3257">
        <f t="shared" si="203"/>
        <v>0</v>
      </c>
    </row>
    <row r="3258" spans="5:23" x14ac:dyDescent="0.25">
      <c r="E3258" s="4"/>
      <c r="F3258" s="4"/>
      <c r="G3258" s="33" t="str">
        <f>IFERROR(VLOOKUP($D3258,'Informations sur les produits'!$A$3:$H$10000,8,FALSE),"0")</f>
        <v>0</v>
      </c>
      <c r="K3258" s="4"/>
      <c r="L3258" s="33" t="str">
        <f>IFERROR(VLOOKUP($J3258,'Informations sur les produits'!$A$3:$H$10000,8,FALSE),"0")</f>
        <v>0</v>
      </c>
      <c r="N3258" s="8"/>
      <c r="O3258" s="33" t="str">
        <f>IFERROR(VLOOKUP($M3258,'Informations sur les produits'!$A$3:$H$10000,8,FALSE),"0")</f>
        <v>0</v>
      </c>
      <c r="P3258" s="33">
        <f t="shared" si="200"/>
        <v>0</v>
      </c>
      <c r="Q3258" s="31" t="str">
        <f t="shared" si="201"/>
        <v/>
      </c>
      <c r="R3258" s="32" t="str">
        <f>IFERROR(VLOOKUP($D3258,'Informations sur les produits'!$A$3:$B$15000,2,FALSE),"")</f>
        <v/>
      </c>
      <c r="V3258">
        <f t="shared" si="202"/>
        <v>0</v>
      </c>
      <c r="W3258">
        <f t="shared" si="203"/>
        <v>0</v>
      </c>
    </row>
    <row r="3259" spans="5:23" x14ac:dyDescent="0.25">
      <c r="E3259" s="4"/>
      <c r="F3259" s="4"/>
      <c r="G3259" s="33" t="str">
        <f>IFERROR(VLOOKUP($D3259,'Informations sur les produits'!$A$3:$H$10000,8,FALSE),"0")</f>
        <v>0</v>
      </c>
      <c r="K3259" s="4"/>
      <c r="L3259" s="33" t="str">
        <f>IFERROR(VLOOKUP($J3259,'Informations sur les produits'!$A$3:$H$10000,8,FALSE),"0")</f>
        <v>0</v>
      </c>
      <c r="N3259" s="8"/>
      <c r="O3259" s="33" t="str">
        <f>IFERROR(VLOOKUP($M3259,'Informations sur les produits'!$A$3:$H$10000,8,FALSE),"0")</f>
        <v>0</v>
      </c>
      <c r="P3259" s="33">
        <f t="shared" si="200"/>
        <v>0</v>
      </c>
      <c r="Q3259" s="31" t="str">
        <f t="shared" si="201"/>
        <v/>
      </c>
      <c r="R3259" s="32" t="str">
        <f>IFERROR(VLOOKUP($D3259,'Informations sur les produits'!$A$3:$B$15000,2,FALSE),"")</f>
        <v/>
      </c>
      <c r="V3259">
        <f t="shared" si="202"/>
        <v>0</v>
      </c>
      <c r="W3259">
        <f t="shared" si="203"/>
        <v>0</v>
      </c>
    </row>
    <row r="3260" spans="5:23" x14ac:dyDescent="0.25">
      <c r="E3260" s="4"/>
      <c r="F3260" s="4"/>
      <c r="G3260" s="33" t="str">
        <f>IFERROR(VLOOKUP($D3260,'Informations sur les produits'!$A$3:$H$10000,8,FALSE),"0")</f>
        <v>0</v>
      </c>
      <c r="K3260" s="4"/>
      <c r="L3260" s="33" t="str">
        <f>IFERROR(VLOOKUP($J3260,'Informations sur les produits'!$A$3:$H$10000,8,FALSE),"0")</f>
        <v>0</v>
      </c>
      <c r="N3260" s="8"/>
      <c r="O3260" s="33" t="str">
        <f>IFERROR(VLOOKUP($M3260,'Informations sur les produits'!$A$3:$H$10000,8,FALSE),"0")</f>
        <v>0</v>
      </c>
      <c r="P3260" s="33">
        <f t="shared" si="200"/>
        <v>0</v>
      </c>
      <c r="Q3260" s="31" t="str">
        <f t="shared" si="201"/>
        <v/>
      </c>
      <c r="R3260" s="32" t="str">
        <f>IFERROR(VLOOKUP($D3260,'Informations sur les produits'!$A$3:$B$15000,2,FALSE),"")</f>
        <v/>
      </c>
      <c r="V3260">
        <f t="shared" si="202"/>
        <v>0</v>
      </c>
      <c r="W3260">
        <f t="shared" si="203"/>
        <v>0</v>
      </c>
    </row>
    <row r="3261" spans="5:23" x14ac:dyDescent="0.25">
      <c r="E3261" s="4"/>
      <c r="F3261" s="4"/>
      <c r="G3261" s="33" t="str">
        <f>IFERROR(VLOOKUP($D3261,'Informations sur les produits'!$A$3:$H$10000,8,FALSE),"0")</f>
        <v>0</v>
      </c>
      <c r="K3261" s="4"/>
      <c r="L3261" s="33" t="str">
        <f>IFERROR(VLOOKUP($J3261,'Informations sur les produits'!$A$3:$H$10000,8,FALSE),"0")</f>
        <v>0</v>
      </c>
      <c r="N3261" s="8"/>
      <c r="O3261" s="33" t="str">
        <f>IFERROR(VLOOKUP($M3261,'Informations sur les produits'!$A$3:$H$10000,8,FALSE),"0")</f>
        <v>0</v>
      </c>
      <c r="P3261" s="33">
        <f t="shared" si="200"/>
        <v>0</v>
      </c>
      <c r="Q3261" s="31" t="str">
        <f t="shared" si="201"/>
        <v/>
      </c>
      <c r="R3261" s="32" t="str">
        <f>IFERROR(VLOOKUP($D3261,'Informations sur les produits'!$A$3:$B$15000,2,FALSE),"")</f>
        <v/>
      </c>
      <c r="V3261">
        <f t="shared" si="202"/>
        <v>0</v>
      </c>
      <c r="W3261">
        <f t="shared" si="203"/>
        <v>0</v>
      </c>
    </row>
    <row r="3262" spans="5:23" x14ac:dyDescent="0.25">
      <c r="E3262" s="4"/>
      <c r="F3262" s="4"/>
      <c r="G3262" s="33" t="str">
        <f>IFERROR(VLOOKUP($D3262,'Informations sur les produits'!$A$3:$H$10000,8,FALSE),"0")</f>
        <v>0</v>
      </c>
      <c r="K3262" s="4"/>
      <c r="L3262" s="33" t="str">
        <f>IFERROR(VLOOKUP($J3262,'Informations sur les produits'!$A$3:$H$10000,8,FALSE),"0")</f>
        <v>0</v>
      </c>
      <c r="N3262" s="8"/>
      <c r="O3262" s="33" t="str">
        <f>IFERROR(VLOOKUP($M3262,'Informations sur les produits'!$A$3:$H$10000,8,FALSE),"0")</f>
        <v>0</v>
      </c>
      <c r="P3262" s="33">
        <f t="shared" si="200"/>
        <v>0</v>
      </c>
      <c r="Q3262" s="31" t="str">
        <f t="shared" si="201"/>
        <v/>
      </c>
      <c r="R3262" s="32" t="str">
        <f>IFERROR(VLOOKUP($D3262,'Informations sur les produits'!$A$3:$B$15000,2,FALSE),"")</f>
        <v/>
      </c>
      <c r="V3262">
        <f t="shared" si="202"/>
        <v>0</v>
      </c>
      <c r="W3262">
        <f t="shared" si="203"/>
        <v>0</v>
      </c>
    </row>
    <row r="3263" spans="5:23" x14ac:dyDescent="0.25">
      <c r="E3263" s="4"/>
      <c r="F3263" s="4"/>
      <c r="G3263" s="33" t="str">
        <f>IFERROR(VLOOKUP($D3263,'Informations sur les produits'!$A$3:$H$10000,8,FALSE),"0")</f>
        <v>0</v>
      </c>
      <c r="K3263" s="4"/>
      <c r="L3263" s="33" t="str">
        <f>IFERROR(VLOOKUP($J3263,'Informations sur les produits'!$A$3:$H$10000,8,FALSE),"0")</f>
        <v>0</v>
      </c>
      <c r="N3263" s="8"/>
      <c r="O3263" s="33" t="str">
        <f>IFERROR(VLOOKUP($M3263,'Informations sur les produits'!$A$3:$H$10000,8,FALSE),"0")</f>
        <v>0</v>
      </c>
      <c r="P3263" s="33">
        <f t="shared" si="200"/>
        <v>0</v>
      </c>
      <c r="Q3263" s="31" t="str">
        <f t="shared" si="201"/>
        <v/>
      </c>
      <c r="R3263" s="32" t="str">
        <f>IFERROR(VLOOKUP($D3263,'Informations sur les produits'!$A$3:$B$15000,2,FALSE),"")</f>
        <v/>
      </c>
      <c r="V3263">
        <f t="shared" si="202"/>
        <v>0</v>
      </c>
      <c r="W3263">
        <f t="shared" si="203"/>
        <v>0</v>
      </c>
    </row>
    <row r="3264" spans="5:23" x14ac:dyDescent="0.25">
      <c r="E3264" s="4"/>
      <c r="F3264" s="4"/>
      <c r="G3264" s="33" t="str">
        <f>IFERROR(VLOOKUP($D3264,'Informations sur les produits'!$A$3:$H$10000,8,FALSE),"0")</f>
        <v>0</v>
      </c>
      <c r="K3264" s="4"/>
      <c r="L3264" s="33" t="str">
        <f>IFERROR(VLOOKUP($J3264,'Informations sur les produits'!$A$3:$H$10000,8,FALSE),"0")</f>
        <v>0</v>
      </c>
      <c r="N3264" s="8"/>
      <c r="O3264" s="33" t="str">
        <f>IFERROR(VLOOKUP($M3264,'Informations sur les produits'!$A$3:$H$10000,8,FALSE),"0")</f>
        <v>0</v>
      </c>
      <c r="P3264" s="33">
        <f t="shared" si="200"/>
        <v>0</v>
      </c>
      <c r="Q3264" s="31" t="str">
        <f t="shared" si="201"/>
        <v/>
      </c>
      <c r="R3264" s="32" t="str">
        <f>IFERROR(VLOOKUP($D3264,'Informations sur les produits'!$A$3:$B$15000,2,FALSE),"")</f>
        <v/>
      </c>
      <c r="V3264">
        <f t="shared" si="202"/>
        <v>0</v>
      </c>
      <c r="W3264">
        <f t="shared" si="203"/>
        <v>0</v>
      </c>
    </row>
    <row r="3265" spans="5:23" x14ac:dyDescent="0.25">
      <c r="E3265" s="4"/>
      <c r="F3265" s="4"/>
      <c r="G3265" s="33" t="str">
        <f>IFERROR(VLOOKUP($D3265,'Informations sur les produits'!$A$3:$H$10000,8,FALSE),"0")</f>
        <v>0</v>
      </c>
      <c r="K3265" s="4"/>
      <c r="L3265" s="33" t="str">
        <f>IFERROR(VLOOKUP($J3265,'Informations sur les produits'!$A$3:$H$10000,8,FALSE),"0")</f>
        <v>0</v>
      </c>
      <c r="N3265" s="8"/>
      <c r="O3265" s="33" t="str">
        <f>IFERROR(VLOOKUP($M3265,'Informations sur les produits'!$A$3:$H$10000,8,FALSE),"0")</f>
        <v>0</v>
      </c>
      <c r="P3265" s="33">
        <f t="shared" si="200"/>
        <v>0</v>
      </c>
      <c r="Q3265" s="31" t="str">
        <f t="shared" si="201"/>
        <v/>
      </c>
      <c r="R3265" s="32" t="str">
        <f>IFERROR(VLOOKUP($D3265,'Informations sur les produits'!$A$3:$B$15000,2,FALSE),"")</f>
        <v/>
      </c>
      <c r="V3265">
        <f t="shared" si="202"/>
        <v>0</v>
      </c>
      <c r="W3265">
        <f t="shared" si="203"/>
        <v>0</v>
      </c>
    </row>
    <row r="3266" spans="5:23" x14ac:dyDescent="0.25">
      <c r="E3266" s="4"/>
      <c r="F3266" s="4"/>
      <c r="G3266" s="33" t="str">
        <f>IFERROR(VLOOKUP($D3266,'Informations sur les produits'!$A$3:$H$10000,8,FALSE),"0")</f>
        <v>0</v>
      </c>
      <c r="K3266" s="4"/>
      <c r="L3266" s="33" t="str">
        <f>IFERROR(VLOOKUP($J3266,'Informations sur les produits'!$A$3:$H$10000,8,FALSE),"0")</f>
        <v>0</v>
      </c>
      <c r="N3266" s="8"/>
      <c r="O3266" s="33" t="str">
        <f>IFERROR(VLOOKUP($M3266,'Informations sur les produits'!$A$3:$H$10000,8,FALSE),"0")</f>
        <v>0</v>
      </c>
      <c r="P3266" s="33">
        <f t="shared" si="200"/>
        <v>0</v>
      </c>
      <c r="Q3266" s="31" t="str">
        <f t="shared" si="201"/>
        <v/>
      </c>
      <c r="R3266" s="32" t="str">
        <f>IFERROR(VLOOKUP($D3266,'Informations sur les produits'!$A$3:$B$15000,2,FALSE),"")</f>
        <v/>
      </c>
      <c r="V3266">
        <f t="shared" si="202"/>
        <v>0</v>
      </c>
      <c r="W3266">
        <f t="shared" si="203"/>
        <v>0</v>
      </c>
    </row>
    <row r="3267" spans="5:23" x14ac:dyDescent="0.25">
      <c r="E3267" s="4"/>
      <c r="F3267" s="4"/>
      <c r="G3267" s="33" t="str">
        <f>IFERROR(VLOOKUP($D3267,'Informations sur les produits'!$A$3:$H$10000,8,FALSE),"0")</f>
        <v>0</v>
      </c>
      <c r="K3267" s="4"/>
      <c r="L3267" s="33" t="str">
        <f>IFERROR(VLOOKUP($J3267,'Informations sur les produits'!$A$3:$H$10000,8,FALSE),"0")</f>
        <v>0</v>
      </c>
      <c r="N3267" s="8"/>
      <c r="O3267" s="33" t="str">
        <f>IFERROR(VLOOKUP($M3267,'Informations sur les produits'!$A$3:$H$10000,8,FALSE),"0")</f>
        <v>0</v>
      </c>
      <c r="P3267" s="33">
        <f t="shared" si="200"/>
        <v>0</v>
      </c>
      <c r="Q3267" s="31" t="str">
        <f t="shared" si="201"/>
        <v/>
      </c>
      <c r="R3267" s="32" t="str">
        <f>IFERROR(VLOOKUP($D3267,'Informations sur les produits'!$A$3:$B$15000,2,FALSE),"")</f>
        <v/>
      </c>
      <c r="V3267">
        <f t="shared" si="202"/>
        <v>0</v>
      </c>
      <c r="W3267">
        <f t="shared" si="203"/>
        <v>0</v>
      </c>
    </row>
    <row r="3268" spans="5:23" x14ac:dyDescent="0.25">
      <c r="E3268" s="4"/>
      <c r="F3268" s="4"/>
      <c r="G3268" s="33" t="str">
        <f>IFERROR(VLOOKUP($D3268,'Informations sur les produits'!$A$3:$H$10000,8,FALSE),"0")</f>
        <v>0</v>
      </c>
      <c r="K3268" s="4"/>
      <c r="L3268" s="33" t="str">
        <f>IFERROR(VLOOKUP($J3268,'Informations sur les produits'!$A$3:$H$10000,8,FALSE),"0")</f>
        <v>0</v>
      </c>
      <c r="N3268" s="8"/>
      <c r="O3268" s="33" t="str">
        <f>IFERROR(VLOOKUP($M3268,'Informations sur les produits'!$A$3:$H$10000,8,FALSE),"0")</f>
        <v>0</v>
      </c>
      <c r="P3268" s="33">
        <f t="shared" ref="P3268:P3331" si="204">IFERROR((($E3268-$F3268)*$G3268+$K3268*$L3268+$N3268*$O3268),"")</f>
        <v>0</v>
      </c>
      <c r="Q3268" s="31" t="str">
        <f t="shared" ref="Q3268:Q3331" si="205">IFERROR((((($E3268-$F3268)*$G3268+$K3268*$L3268+$N3268*$O3268)*1000)/(($E3268-$F3268)+$K3268+$N3268)),"")</f>
        <v/>
      </c>
      <c r="R3268" s="32" t="str">
        <f>IFERROR(VLOOKUP($D3268,'Informations sur les produits'!$A$3:$B$15000,2,FALSE),"")</f>
        <v/>
      </c>
      <c r="V3268">
        <f t="shared" ref="V3268:V3331" si="206">IFERROR(P3268*1000,"")</f>
        <v>0</v>
      </c>
      <c r="W3268">
        <f t="shared" ref="W3268:W3331" si="207">IFERROR(($E3268-$F3268)+$K3268+$N3268,"")</f>
        <v>0</v>
      </c>
    </row>
    <row r="3269" spans="5:23" x14ac:dyDescent="0.25">
      <c r="E3269" s="4"/>
      <c r="F3269" s="4"/>
      <c r="G3269" s="33" t="str">
        <f>IFERROR(VLOOKUP($D3269,'Informations sur les produits'!$A$3:$H$10000,8,FALSE),"0")</f>
        <v>0</v>
      </c>
      <c r="K3269" s="4"/>
      <c r="L3269" s="33" t="str">
        <f>IFERROR(VLOOKUP($J3269,'Informations sur les produits'!$A$3:$H$10000,8,FALSE),"0")</f>
        <v>0</v>
      </c>
      <c r="N3269" s="8"/>
      <c r="O3269" s="33" t="str">
        <f>IFERROR(VLOOKUP($M3269,'Informations sur les produits'!$A$3:$H$10000,8,FALSE),"0")</f>
        <v>0</v>
      </c>
      <c r="P3269" s="33">
        <f t="shared" si="204"/>
        <v>0</v>
      </c>
      <c r="Q3269" s="31" t="str">
        <f t="shared" si="205"/>
        <v/>
      </c>
      <c r="R3269" s="32" t="str">
        <f>IFERROR(VLOOKUP($D3269,'Informations sur les produits'!$A$3:$B$15000,2,FALSE),"")</f>
        <v/>
      </c>
      <c r="V3269">
        <f t="shared" si="206"/>
        <v>0</v>
      </c>
      <c r="W3269">
        <f t="shared" si="207"/>
        <v>0</v>
      </c>
    </row>
    <row r="3270" spans="5:23" x14ac:dyDescent="0.25">
      <c r="E3270" s="4"/>
      <c r="F3270" s="4"/>
      <c r="G3270" s="33" t="str">
        <f>IFERROR(VLOOKUP($D3270,'Informations sur les produits'!$A$3:$H$10000,8,FALSE),"0")</f>
        <v>0</v>
      </c>
      <c r="K3270" s="4"/>
      <c r="L3270" s="33" t="str">
        <f>IFERROR(VLOOKUP($J3270,'Informations sur les produits'!$A$3:$H$10000,8,FALSE),"0")</f>
        <v>0</v>
      </c>
      <c r="N3270" s="8"/>
      <c r="O3270" s="33" t="str">
        <f>IFERROR(VLOOKUP($M3270,'Informations sur les produits'!$A$3:$H$10000,8,FALSE),"0")</f>
        <v>0</v>
      </c>
      <c r="P3270" s="33">
        <f t="shared" si="204"/>
        <v>0</v>
      </c>
      <c r="Q3270" s="31" t="str">
        <f t="shared" si="205"/>
        <v/>
      </c>
      <c r="R3270" s="32" t="str">
        <f>IFERROR(VLOOKUP($D3270,'Informations sur les produits'!$A$3:$B$15000,2,FALSE),"")</f>
        <v/>
      </c>
      <c r="V3270">
        <f t="shared" si="206"/>
        <v>0</v>
      </c>
      <c r="W3270">
        <f t="shared" si="207"/>
        <v>0</v>
      </c>
    </row>
    <row r="3271" spans="5:23" x14ac:dyDescent="0.25">
      <c r="E3271" s="4"/>
      <c r="F3271" s="4"/>
      <c r="G3271" s="33" t="str">
        <f>IFERROR(VLOOKUP($D3271,'Informations sur les produits'!$A$3:$H$10000,8,FALSE),"0")</f>
        <v>0</v>
      </c>
      <c r="K3271" s="4"/>
      <c r="L3271" s="33" t="str">
        <f>IFERROR(VLOOKUP($J3271,'Informations sur les produits'!$A$3:$H$10000,8,FALSE),"0")</f>
        <v>0</v>
      </c>
      <c r="N3271" s="8"/>
      <c r="O3271" s="33" t="str">
        <f>IFERROR(VLOOKUP($M3271,'Informations sur les produits'!$A$3:$H$10000,8,FALSE),"0")</f>
        <v>0</v>
      </c>
      <c r="P3271" s="33">
        <f t="shared" si="204"/>
        <v>0</v>
      </c>
      <c r="Q3271" s="31" t="str">
        <f t="shared" si="205"/>
        <v/>
      </c>
      <c r="R3271" s="32" t="str">
        <f>IFERROR(VLOOKUP($D3271,'Informations sur les produits'!$A$3:$B$15000,2,FALSE),"")</f>
        <v/>
      </c>
      <c r="V3271">
        <f t="shared" si="206"/>
        <v>0</v>
      </c>
      <c r="W3271">
        <f t="shared" si="207"/>
        <v>0</v>
      </c>
    </row>
    <row r="3272" spans="5:23" x14ac:dyDescent="0.25">
      <c r="E3272" s="4"/>
      <c r="F3272" s="4"/>
      <c r="G3272" s="33" t="str">
        <f>IFERROR(VLOOKUP($D3272,'Informations sur les produits'!$A$3:$H$10000,8,FALSE),"0")</f>
        <v>0</v>
      </c>
      <c r="K3272" s="4"/>
      <c r="L3272" s="33" t="str">
        <f>IFERROR(VLOOKUP($J3272,'Informations sur les produits'!$A$3:$H$10000,8,FALSE),"0")</f>
        <v>0</v>
      </c>
      <c r="N3272" s="8"/>
      <c r="O3272" s="33" t="str">
        <f>IFERROR(VLOOKUP($M3272,'Informations sur les produits'!$A$3:$H$10000,8,FALSE),"0")</f>
        <v>0</v>
      </c>
      <c r="P3272" s="33">
        <f t="shared" si="204"/>
        <v>0</v>
      </c>
      <c r="Q3272" s="31" t="str">
        <f t="shared" si="205"/>
        <v/>
      </c>
      <c r="R3272" s="32" t="str">
        <f>IFERROR(VLOOKUP($D3272,'Informations sur les produits'!$A$3:$B$15000,2,FALSE),"")</f>
        <v/>
      </c>
      <c r="V3272">
        <f t="shared" si="206"/>
        <v>0</v>
      </c>
      <c r="W3272">
        <f t="shared" si="207"/>
        <v>0</v>
      </c>
    </row>
    <row r="3273" spans="5:23" x14ac:dyDescent="0.25">
      <c r="E3273" s="4"/>
      <c r="F3273" s="4"/>
      <c r="G3273" s="33" t="str">
        <f>IFERROR(VLOOKUP($D3273,'Informations sur les produits'!$A$3:$H$10000,8,FALSE),"0")</f>
        <v>0</v>
      </c>
      <c r="K3273" s="4"/>
      <c r="L3273" s="33" t="str">
        <f>IFERROR(VLOOKUP($J3273,'Informations sur les produits'!$A$3:$H$10000,8,FALSE),"0")</f>
        <v>0</v>
      </c>
      <c r="N3273" s="8"/>
      <c r="O3273" s="33" t="str">
        <f>IFERROR(VLOOKUP($M3273,'Informations sur les produits'!$A$3:$H$10000,8,FALSE),"0")</f>
        <v>0</v>
      </c>
      <c r="P3273" s="33">
        <f t="shared" si="204"/>
        <v>0</v>
      </c>
      <c r="Q3273" s="31" t="str">
        <f t="shared" si="205"/>
        <v/>
      </c>
      <c r="R3273" s="32" t="str">
        <f>IFERROR(VLOOKUP($D3273,'Informations sur les produits'!$A$3:$B$15000,2,FALSE),"")</f>
        <v/>
      </c>
      <c r="V3273">
        <f t="shared" si="206"/>
        <v>0</v>
      </c>
      <c r="W3273">
        <f t="shared" si="207"/>
        <v>0</v>
      </c>
    </row>
    <row r="3274" spans="5:23" x14ac:dyDescent="0.25">
      <c r="E3274" s="4"/>
      <c r="F3274" s="4"/>
      <c r="G3274" s="33" t="str">
        <f>IFERROR(VLOOKUP($D3274,'Informations sur les produits'!$A$3:$H$10000,8,FALSE),"0")</f>
        <v>0</v>
      </c>
      <c r="K3274" s="4"/>
      <c r="L3274" s="33" t="str">
        <f>IFERROR(VLOOKUP($J3274,'Informations sur les produits'!$A$3:$H$10000,8,FALSE),"0")</f>
        <v>0</v>
      </c>
      <c r="N3274" s="8"/>
      <c r="O3274" s="33" t="str">
        <f>IFERROR(VLOOKUP($M3274,'Informations sur les produits'!$A$3:$H$10000,8,FALSE),"0")</f>
        <v>0</v>
      </c>
      <c r="P3274" s="33">
        <f t="shared" si="204"/>
        <v>0</v>
      </c>
      <c r="Q3274" s="31" t="str">
        <f t="shared" si="205"/>
        <v/>
      </c>
      <c r="R3274" s="32" t="str">
        <f>IFERROR(VLOOKUP($D3274,'Informations sur les produits'!$A$3:$B$15000,2,FALSE),"")</f>
        <v/>
      </c>
      <c r="V3274">
        <f t="shared" si="206"/>
        <v>0</v>
      </c>
      <c r="W3274">
        <f t="shared" si="207"/>
        <v>0</v>
      </c>
    </row>
    <row r="3275" spans="5:23" x14ac:dyDescent="0.25">
      <c r="E3275" s="4"/>
      <c r="F3275" s="4"/>
      <c r="G3275" s="33" t="str">
        <f>IFERROR(VLOOKUP($D3275,'Informations sur les produits'!$A$3:$H$10000,8,FALSE),"0")</f>
        <v>0</v>
      </c>
      <c r="K3275" s="4"/>
      <c r="L3275" s="33" t="str">
        <f>IFERROR(VLOOKUP($J3275,'Informations sur les produits'!$A$3:$H$10000,8,FALSE),"0")</f>
        <v>0</v>
      </c>
      <c r="N3275" s="8"/>
      <c r="O3275" s="33" t="str">
        <f>IFERROR(VLOOKUP($M3275,'Informations sur les produits'!$A$3:$H$10000,8,FALSE),"0")</f>
        <v>0</v>
      </c>
      <c r="P3275" s="33">
        <f t="shared" si="204"/>
        <v>0</v>
      </c>
      <c r="Q3275" s="31" t="str">
        <f t="shared" si="205"/>
        <v/>
      </c>
      <c r="R3275" s="32" t="str">
        <f>IFERROR(VLOOKUP($D3275,'Informations sur les produits'!$A$3:$B$15000,2,FALSE),"")</f>
        <v/>
      </c>
      <c r="V3275">
        <f t="shared" si="206"/>
        <v>0</v>
      </c>
      <c r="W3275">
        <f t="shared" si="207"/>
        <v>0</v>
      </c>
    </row>
    <row r="3276" spans="5:23" x14ac:dyDescent="0.25">
      <c r="E3276" s="4"/>
      <c r="F3276" s="4"/>
      <c r="G3276" s="33" t="str">
        <f>IFERROR(VLOOKUP($D3276,'Informations sur les produits'!$A$3:$H$10000,8,FALSE),"0")</f>
        <v>0</v>
      </c>
      <c r="K3276" s="4"/>
      <c r="L3276" s="33" t="str">
        <f>IFERROR(VLOOKUP($J3276,'Informations sur les produits'!$A$3:$H$10000,8,FALSE),"0")</f>
        <v>0</v>
      </c>
      <c r="N3276" s="8"/>
      <c r="O3276" s="33" t="str">
        <f>IFERROR(VLOOKUP($M3276,'Informations sur les produits'!$A$3:$H$10000,8,FALSE),"0")</f>
        <v>0</v>
      </c>
      <c r="P3276" s="33">
        <f t="shared" si="204"/>
        <v>0</v>
      </c>
      <c r="Q3276" s="31" t="str">
        <f t="shared" si="205"/>
        <v/>
      </c>
      <c r="R3276" s="32" t="str">
        <f>IFERROR(VLOOKUP($D3276,'Informations sur les produits'!$A$3:$B$15000,2,FALSE),"")</f>
        <v/>
      </c>
      <c r="V3276">
        <f t="shared" si="206"/>
        <v>0</v>
      </c>
      <c r="W3276">
        <f t="shared" si="207"/>
        <v>0</v>
      </c>
    </row>
    <row r="3277" spans="5:23" x14ac:dyDescent="0.25">
      <c r="E3277" s="4"/>
      <c r="F3277" s="4"/>
      <c r="G3277" s="33" t="str">
        <f>IFERROR(VLOOKUP($D3277,'Informations sur les produits'!$A$3:$H$10000,8,FALSE),"0")</f>
        <v>0</v>
      </c>
      <c r="K3277" s="4"/>
      <c r="L3277" s="33" t="str">
        <f>IFERROR(VLOOKUP($J3277,'Informations sur les produits'!$A$3:$H$10000,8,FALSE),"0")</f>
        <v>0</v>
      </c>
      <c r="N3277" s="8"/>
      <c r="O3277" s="33" t="str">
        <f>IFERROR(VLOOKUP($M3277,'Informations sur les produits'!$A$3:$H$10000,8,FALSE),"0")</f>
        <v>0</v>
      </c>
      <c r="P3277" s="33">
        <f t="shared" si="204"/>
        <v>0</v>
      </c>
      <c r="Q3277" s="31" t="str">
        <f t="shared" si="205"/>
        <v/>
      </c>
      <c r="R3277" s="32" t="str">
        <f>IFERROR(VLOOKUP($D3277,'Informations sur les produits'!$A$3:$B$15000,2,FALSE),"")</f>
        <v/>
      </c>
      <c r="V3277">
        <f t="shared" si="206"/>
        <v>0</v>
      </c>
      <c r="W3277">
        <f t="shared" si="207"/>
        <v>0</v>
      </c>
    </row>
    <row r="3278" spans="5:23" x14ac:dyDescent="0.25">
      <c r="E3278" s="4"/>
      <c r="F3278" s="4"/>
      <c r="G3278" s="33" t="str">
        <f>IFERROR(VLOOKUP($D3278,'Informations sur les produits'!$A$3:$H$10000,8,FALSE),"0")</f>
        <v>0</v>
      </c>
      <c r="K3278" s="4"/>
      <c r="L3278" s="33" t="str">
        <f>IFERROR(VLOOKUP($J3278,'Informations sur les produits'!$A$3:$H$10000,8,FALSE),"0")</f>
        <v>0</v>
      </c>
      <c r="N3278" s="8"/>
      <c r="O3278" s="33" t="str">
        <f>IFERROR(VLOOKUP($M3278,'Informations sur les produits'!$A$3:$H$10000,8,FALSE),"0")</f>
        <v>0</v>
      </c>
      <c r="P3278" s="33">
        <f t="shared" si="204"/>
        <v>0</v>
      </c>
      <c r="Q3278" s="31" t="str">
        <f t="shared" si="205"/>
        <v/>
      </c>
      <c r="R3278" s="32" t="str">
        <f>IFERROR(VLOOKUP($D3278,'Informations sur les produits'!$A$3:$B$15000,2,FALSE),"")</f>
        <v/>
      </c>
      <c r="V3278">
        <f t="shared" si="206"/>
        <v>0</v>
      </c>
      <c r="W3278">
        <f t="shared" si="207"/>
        <v>0</v>
      </c>
    </row>
    <row r="3279" spans="5:23" x14ac:dyDescent="0.25">
      <c r="E3279" s="4"/>
      <c r="F3279" s="4"/>
      <c r="G3279" s="33" t="str">
        <f>IFERROR(VLOOKUP($D3279,'Informations sur les produits'!$A$3:$H$10000,8,FALSE),"0")</f>
        <v>0</v>
      </c>
      <c r="K3279" s="4"/>
      <c r="L3279" s="33" t="str">
        <f>IFERROR(VLOOKUP($J3279,'Informations sur les produits'!$A$3:$H$10000,8,FALSE),"0")</f>
        <v>0</v>
      </c>
      <c r="N3279" s="8"/>
      <c r="O3279" s="33" t="str">
        <f>IFERROR(VLOOKUP($M3279,'Informations sur les produits'!$A$3:$H$10000,8,FALSE),"0")</f>
        <v>0</v>
      </c>
      <c r="P3279" s="33">
        <f t="shared" si="204"/>
        <v>0</v>
      </c>
      <c r="Q3279" s="31" t="str">
        <f t="shared" si="205"/>
        <v/>
      </c>
      <c r="R3279" s="32" t="str">
        <f>IFERROR(VLOOKUP($D3279,'Informations sur les produits'!$A$3:$B$15000,2,FALSE),"")</f>
        <v/>
      </c>
      <c r="V3279">
        <f t="shared" si="206"/>
        <v>0</v>
      </c>
      <c r="W3279">
        <f t="shared" si="207"/>
        <v>0</v>
      </c>
    </row>
    <row r="3280" spans="5:23" x14ac:dyDescent="0.25">
      <c r="E3280" s="4"/>
      <c r="F3280" s="4"/>
      <c r="G3280" s="33" t="str">
        <f>IFERROR(VLOOKUP($D3280,'Informations sur les produits'!$A$3:$H$10000,8,FALSE),"0")</f>
        <v>0</v>
      </c>
      <c r="K3280" s="4"/>
      <c r="L3280" s="33" t="str">
        <f>IFERROR(VLOOKUP($J3280,'Informations sur les produits'!$A$3:$H$10000,8,FALSE),"0")</f>
        <v>0</v>
      </c>
      <c r="N3280" s="8"/>
      <c r="O3280" s="33" t="str">
        <f>IFERROR(VLOOKUP($M3280,'Informations sur les produits'!$A$3:$H$10000,8,FALSE),"0")</f>
        <v>0</v>
      </c>
      <c r="P3280" s="33">
        <f t="shared" si="204"/>
        <v>0</v>
      </c>
      <c r="Q3280" s="31" t="str">
        <f t="shared" si="205"/>
        <v/>
      </c>
      <c r="R3280" s="32" t="str">
        <f>IFERROR(VLOOKUP($D3280,'Informations sur les produits'!$A$3:$B$15000,2,FALSE),"")</f>
        <v/>
      </c>
      <c r="V3280">
        <f t="shared" si="206"/>
        <v>0</v>
      </c>
      <c r="W3280">
        <f t="shared" si="207"/>
        <v>0</v>
      </c>
    </row>
    <row r="3281" spans="5:23" x14ac:dyDescent="0.25">
      <c r="E3281" s="4"/>
      <c r="F3281" s="4"/>
      <c r="G3281" s="33" t="str">
        <f>IFERROR(VLOOKUP($D3281,'Informations sur les produits'!$A$3:$H$10000,8,FALSE),"0")</f>
        <v>0</v>
      </c>
      <c r="K3281" s="4"/>
      <c r="L3281" s="33" t="str">
        <f>IFERROR(VLOOKUP($J3281,'Informations sur les produits'!$A$3:$H$10000,8,FALSE),"0")</f>
        <v>0</v>
      </c>
      <c r="N3281" s="8"/>
      <c r="O3281" s="33" t="str">
        <f>IFERROR(VLOOKUP($M3281,'Informations sur les produits'!$A$3:$H$10000,8,FALSE),"0")</f>
        <v>0</v>
      </c>
      <c r="P3281" s="33">
        <f t="shared" si="204"/>
        <v>0</v>
      </c>
      <c r="Q3281" s="31" t="str">
        <f t="shared" si="205"/>
        <v/>
      </c>
      <c r="R3281" s="32" t="str">
        <f>IFERROR(VLOOKUP($D3281,'Informations sur les produits'!$A$3:$B$15000,2,FALSE),"")</f>
        <v/>
      </c>
      <c r="V3281">
        <f t="shared" si="206"/>
        <v>0</v>
      </c>
      <c r="W3281">
        <f t="shared" si="207"/>
        <v>0</v>
      </c>
    </row>
    <row r="3282" spans="5:23" x14ac:dyDescent="0.25">
      <c r="E3282" s="4"/>
      <c r="F3282" s="4"/>
      <c r="G3282" s="33" t="str">
        <f>IFERROR(VLOOKUP($D3282,'Informations sur les produits'!$A$3:$H$10000,8,FALSE),"0")</f>
        <v>0</v>
      </c>
      <c r="K3282" s="4"/>
      <c r="L3282" s="33" t="str">
        <f>IFERROR(VLOOKUP($J3282,'Informations sur les produits'!$A$3:$H$10000,8,FALSE),"0")</f>
        <v>0</v>
      </c>
      <c r="N3282" s="8"/>
      <c r="O3282" s="33" t="str">
        <f>IFERROR(VLOOKUP($M3282,'Informations sur les produits'!$A$3:$H$10000,8,FALSE),"0")</f>
        <v>0</v>
      </c>
      <c r="P3282" s="33">
        <f t="shared" si="204"/>
        <v>0</v>
      </c>
      <c r="Q3282" s="31" t="str">
        <f t="shared" si="205"/>
        <v/>
      </c>
      <c r="R3282" s="32" t="str">
        <f>IFERROR(VLOOKUP($D3282,'Informations sur les produits'!$A$3:$B$15000,2,FALSE),"")</f>
        <v/>
      </c>
      <c r="V3282">
        <f t="shared" si="206"/>
        <v>0</v>
      </c>
      <c r="W3282">
        <f t="shared" si="207"/>
        <v>0</v>
      </c>
    </row>
    <row r="3283" spans="5:23" x14ac:dyDescent="0.25">
      <c r="E3283" s="4"/>
      <c r="F3283" s="4"/>
      <c r="G3283" s="33" t="str">
        <f>IFERROR(VLOOKUP($D3283,'Informations sur les produits'!$A$3:$H$10000,8,FALSE),"0")</f>
        <v>0</v>
      </c>
      <c r="K3283" s="4"/>
      <c r="L3283" s="33" t="str">
        <f>IFERROR(VLOOKUP($J3283,'Informations sur les produits'!$A$3:$H$10000,8,FALSE),"0")</f>
        <v>0</v>
      </c>
      <c r="N3283" s="8"/>
      <c r="O3283" s="33" t="str">
        <f>IFERROR(VLOOKUP($M3283,'Informations sur les produits'!$A$3:$H$10000,8,FALSE),"0")</f>
        <v>0</v>
      </c>
      <c r="P3283" s="33">
        <f t="shared" si="204"/>
        <v>0</v>
      </c>
      <c r="Q3283" s="31" t="str">
        <f t="shared" si="205"/>
        <v/>
      </c>
      <c r="R3283" s="32" t="str">
        <f>IFERROR(VLOOKUP($D3283,'Informations sur les produits'!$A$3:$B$15000,2,FALSE),"")</f>
        <v/>
      </c>
      <c r="V3283">
        <f t="shared" si="206"/>
        <v>0</v>
      </c>
      <c r="W3283">
        <f t="shared" si="207"/>
        <v>0</v>
      </c>
    </row>
    <row r="3284" spans="5:23" x14ac:dyDescent="0.25">
      <c r="E3284" s="4"/>
      <c r="F3284" s="4"/>
      <c r="G3284" s="33" t="str">
        <f>IFERROR(VLOOKUP($D3284,'Informations sur les produits'!$A$3:$H$10000,8,FALSE),"0")</f>
        <v>0</v>
      </c>
      <c r="K3284" s="4"/>
      <c r="L3284" s="33" t="str">
        <f>IFERROR(VLOOKUP($J3284,'Informations sur les produits'!$A$3:$H$10000,8,FALSE),"0")</f>
        <v>0</v>
      </c>
      <c r="N3284" s="8"/>
      <c r="O3284" s="33" t="str">
        <f>IFERROR(VLOOKUP($M3284,'Informations sur les produits'!$A$3:$H$10000,8,FALSE),"0")</f>
        <v>0</v>
      </c>
      <c r="P3284" s="33">
        <f t="shared" si="204"/>
        <v>0</v>
      </c>
      <c r="Q3284" s="31" t="str">
        <f t="shared" si="205"/>
        <v/>
      </c>
      <c r="R3284" s="32" t="str">
        <f>IFERROR(VLOOKUP($D3284,'Informations sur les produits'!$A$3:$B$15000,2,FALSE),"")</f>
        <v/>
      </c>
      <c r="V3284">
        <f t="shared" si="206"/>
        <v>0</v>
      </c>
      <c r="W3284">
        <f t="shared" si="207"/>
        <v>0</v>
      </c>
    </row>
    <row r="3285" spans="5:23" x14ac:dyDescent="0.25">
      <c r="E3285" s="4"/>
      <c r="F3285" s="4"/>
      <c r="G3285" s="33" t="str">
        <f>IFERROR(VLOOKUP($D3285,'Informations sur les produits'!$A$3:$H$10000,8,FALSE),"0")</f>
        <v>0</v>
      </c>
      <c r="K3285" s="4"/>
      <c r="L3285" s="33" t="str">
        <f>IFERROR(VLOOKUP($J3285,'Informations sur les produits'!$A$3:$H$10000,8,FALSE),"0")</f>
        <v>0</v>
      </c>
      <c r="N3285" s="8"/>
      <c r="O3285" s="33" t="str">
        <f>IFERROR(VLOOKUP($M3285,'Informations sur les produits'!$A$3:$H$10000,8,FALSE),"0")</f>
        <v>0</v>
      </c>
      <c r="P3285" s="33">
        <f t="shared" si="204"/>
        <v>0</v>
      </c>
      <c r="Q3285" s="31" t="str">
        <f t="shared" si="205"/>
        <v/>
      </c>
      <c r="R3285" s="32" t="str">
        <f>IFERROR(VLOOKUP($D3285,'Informations sur les produits'!$A$3:$B$15000,2,FALSE),"")</f>
        <v/>
      </c>
      <c r="V3285">
        <f t="shared" si="206"/>
        <v>0</v>
      </c>
      <c r="W3285">
        <f t="shared" si="207"/>
        <v>0</v>
      </c>
    </row>
    <row r="3286" spans="5:23" x14ac:dyDescent="0.25">
      <c r="E3286" s="4"/>
      <c r="F3286" s="4"/>
      <c r="G3286" s="33" t="str">
        <f>IFERROR(VLOOKUP($D3286,'Informations sur les produits'!$A$3:$H$10000,8,FALSE),"0")</f>
        <v>0</v>
      </c>
      <c r="K3286" s="4"/>
      <c r="L3286" s="33" t="str">
        <f>IFERROR(VLOOKUP($J3286,'Informations sur les produits'!$A$3:$H$10000,8,FALSE),"0")</f>
        <v>0</v>
      </c>
      <c r="N3286" s="8"/>
      <c r="O3286" s="33" t="str">
        <f>IFERROR(VLOOKUP($M3286,'Informations sur les produits'!$A$3:$H$10000,8,FALSE),"0")</f>
        <v>0</v>
      </c>
      <c r="P3286" s="33">
        <f t="shared" si="204"/>
        <v>0</v>
      </c>
      <c r="Q3286" s="31" t="str">
        <f t="shared" si="205"/>
        <v/>
      </c>
      <c r="R3286" s="32" t="str">
        <f>IFERROR(VLOOKUP($D3286,'Informations sur les produits'!$A$3:$B$15000,2,FALSE),"")</f>
        <v/>
      </c>
      <c r="V3286">
        <f t="shared" si="206"/>
        <v>0</v>
      </c>
      <c r="W3286">
        <f t="shared" si="207"/>
        <v>0</v>
      </c>
    </row>
    <row r="3287" spans="5:23" x14ac:dyDescent="0.25">
      <c r="E3287" s="4"/>
      <c r="F3287" s="4"/>
      <c r="G3287" s="33" t="str">
        <f>IFERROR(VLOOKUP($D3287,'Informations sur les produits'!$A$3:$H$10000,8,FALSE),"0")</f>
        <v>0</v>
      </c>
      <c r="K3287" s="4"/>
      <c r="L3287" s="33" t="str">
        <f>IFERROR(VLOOKUP($J3287,'Informations sur les produits'!$A$3:$H$10000,8,FALSE),"0")</f>
        <v>0</v>
      </c>
      <c r="N3287" s="8"/>
      <c r="O3287" s="33" t="str">
        <f>IFERROR(VLOOKUP($M3287,'Informations sur les produits'!$A$3:$H$10000,8,FALSE),"0")</f>
        <v>0</v>
      </c>
      <c r="P3287" s="33">
        <f t="shared" si="204"/>
        <v>0</v>
      </c>
      <c r="Q3287" s="31" t="str">
        <f t="shared" si="205"/>
        <v/>
      </c>
      <c r="R3287" s="32" t="str">
        <f>IFERROR(VLOOKUP($D3287,'Informations sur les produits'!$A$3:$B$15000,2,FALSE),"")</f>
        <v/>
      </c>
      <c r="V3287">
        <f t="shared" si="206"/>
        <v>0</v>
      </c>
      <c r="W3287">
        <f t="shared" si="207"/>
        <v>0</v>
      </c>
    </row>
    <row r="3288" spans="5:23" x14ac:dyDescent="0.25">
      <c r="E3288" s="4"/>
      <c r="F3288" s="4"/>
      <c r="G3288" s="33" t="str">
        <f>IFERROR(VLOOKUP($D3288,'Informations sur les produits'!$A$3:$H$10000,8,FALSE),"0")</f>
        <v>0</v>
      </c>
      <c r="K3288" s="4"/>
      <c r="L3288" s="33" t="str">
        <f>IFERROR(VLOOKUP($J3288,'Informations sur les produits'!$A$3:$H$10000,8,FALSE),"0")</f>
        <v>0</v>
      </c>
      <c r="N3288" s="8"/>
      <c r="O3288" s="33" t="str">
        <f>IFERROR(VLOOKUP($M3288,'Informations sur les produits'!$A$3:$H$10000,8,FALSE),"0")</f>
        <v>0</v>
      </c>
      <c r="P3288" s="33">
        <f t="shared" si="204"/>
        <v>0</v>
      </c>
      <c r="Q3288" s="31" t="str">
        <f t="shared" si="205"/>
        <v/>
      </c>
      <c r="R3288" s="32" t="str">
        <f>IFERROR(VLOOKUP($D3288,'Informations sur les produits'!$A$3:$B$15000,2,FALSE),"")</f>
        <v/>
      </c>
      <c r="V3288">
        <f t="shared" si="206"/>
        <v>0</v>
      </c>
      <c r="W3288">
        <f t="shared" si="207"/>
        <v>0</v>
      </c>
    </row>
    <row r="3289" spans="5:23" x14ac:dyDescent="0.25">
      <c r="E3289" s="4"/>
      <c r="F3289" s="4"/>
      <c r="G3289" s="33" t="str">
        <f>IFERROR(VLOOKUP($D3289,'Informations sur les produits'!$A$3:$H$10000,8,FALSE),"0")</f>
        <v>0</v>
      </c>
      <c r="K3289" s="4"/>
      <c r="L3289" s="33" t="str">
        <f>IFERROR(VLOOKUP($J3289,'Informations sur les produits'!$A$3:$H$10000,8,FALSE),"0")</f>
        <v>0</v>
      </c>
      <c r="N3289" s="8"/>
      <c r="O3289" s="33" t="str">
        <f>IFERROR(VLOOKUP($M3289,'Informations sur les produits'!$A$3:$H$10000,8,FALSE),"0")</f>
        <v>0</v>
      </c>
      <c r="P3289" s="33">
        <f t="shared" si="204"/>
        <v>0</v>
      </c>
      <c r="Q3289" s="31" t="str">
        <f t="shared" si="205"/>
        <v/>
      </c>
      <c r="R3289" s="32" t="str">
        <f>IFERROR(VLOOKUP($D3289,'Informations sur les produits'!$A$3:$B$15000,2,FALSE),"")</f>
        <v/>
      </c>
      <c r="V3289">
        <f t="shared" si="206"/>
        <v>0</v>
      </c>
      <c r="W3289">
        <f t="shared" si="207"/>
        <v>0</v>
      </c>
    </row>
    <row r="3290" spans="5:23" x14ac:dyDescent="0.25">
      <c r="E3290" s="4"/>
      <c r="F3290" s="4"/>
      <c r="G3290" s="33" t="str">
        <f>IFERROR(VLOOKUP($D3290,'Informations sur les produits'!$A$3:$H$10000,8,FALSE),"0")</f>
        <v>0</v>
      </c>
      <c r="K3290" s="4"/>
      <c r="L3290" s="33" t="str">
        <f>IFERROR(VLOOKUP($J3290,'Informations sur les produits'!$A$3:$H$10000,8,FALSE),"0")</f>
        <v>0</v>
      </c>
      <c r="N3290" s="8"/>
      <c r="O3290" s="33" t="str">
        <f>IFERROR(VLOOKUP($M3290,'Informations sur les produits'!$A$3:$H$10000,8,FALSE),"0")</f>
        <v>0</v>
      </c>
      <c r="P3290" s="33">
        <f t="shared" si="204"/>
        <v>0</v>
      </c>
      <c r="Q3290" s="31" t="str">
        <f t="shared" si="205"/>
        <v/>
      </c>
      <c r="R3290" s="32" t="str">
        <f>IFERROR(VLOOKUP($D3290,'Informations sur les produits'!$A$3:$B$15000,2,FALSE),"")</f>
        <v/>
      </c>
      <c r="V3290">
        <f t="shared" si="206"/>
        <v>0</v>
      </c>
      <c r="W3290">
        <f t="shared" si="207"/>
        <v>0</v>
      </c>
    </row>
    <row r="3291" spans="5:23" x14ac:dyDescent="0.25">
      <c r="E3291" s="4"/>
      <c r="F3291" s="4"/>
      <c r="G3291" s="33" t="str">
        <f>IFERROR(VLOOKUP($D3291,'Informations sur les produits'!$A$3:$H$10000,8,FALSE),"0")</f>
        <v>0</v>
      </c>
      <c r="K3291" s="4"/>
      <c r="L3291" s="33" t="str">
        <f>IFERROR(VLOOKUP($J3291,'Informations sur les produits'!$A$3:$H$10000,8,FALSE),"0")</f>
        <v>0</v>
      </c>
      <c r="N3291" s="8"/>
      <c r="O3291" s="33" t="str">
        <f>IFERROR(VLOOKUP($M3291,'Informations sur les produits'!$A$3:$H$10000,8,FALSE),"0")</f>
        <v>0</v>
      </c>
      <c r="P3291" s="33">
        <f t="shared" si="204"/>
        <v>0</v>
      </c>
      <c r="Q3291" s="31" t="str">
        <f t="shared" si="205"/>
        <v/>
      </c>
      <c r="R3291" s="32" t="str">
        <f>IFERROR(VLOOKUP($D3291,'Informations sur les produits'!$A$3:$B$15000,2,FALSE),"")</f>
        <v/>
      </c>
      <c r="V3291">
        <f t="shared" si="206"/>
        <v>0</v>
      </c>
      <c r="W3291">
        <f t="shared" si="207"/>
        <v>0</v>
      </c>
    </row>
    <row r="3292" spans="5:23" x14ac:dyDescent="0.25">
      <c r="E3292" s="4"/>
      <c r="F3292" s="4"/>
      <c r="G3292" s="33" t="str">
        <f>IFERROR(VLOOKUP($D3292,'Informations sur les produits'!$A$3:$H$10000,8,FALSE),"0")</f>
        <v>0</v>
      </c>
      <c r="K3292" s="4"/>
      <c r="L3292" s="33" t="str">
        <f>IFERROR(VLOOKUP($J3292,'Informations sur les produits'!$A$3:$H$10000,8,FALSE),"0")</f>
        <v>0</v>
      </c>
      <c r="N3292" s="8"/>
      <c r="O3292" s="33" t="str">
        <f>IFERROR(VLOOKUP($M3292,'Informations sur les produits'!$A$3:$H$10000,8,FALSE),"0")</f>
        <v>0</v>
      </c>
      <c r="P3292" s="33">
        <f t="shared" si="204"/>
        <v>0</v>
      </c>
      <c r="Q3292" s="31" t="str">
        <f t="shared" si="205"/>
        <v/>
      </c>
      <c r="R3292" s="32" t="str">
        <f>IFERROR(VLOOKUP($D3292,'Informations sur les produits'!$A$3:$B$15000,2,FALSE),"")</f>
        <v/>
      </c>
      <c r="V3292">
        <f t="shared" si="206"/>
        <v>0</v>
      </c>
      <c r="W3292">
        <f t="shared" si="207"/>
        <v>0</v>
      </c>
    </row>
    <row r="3293" spans="5:23" x14ac:dyDescent="0.25">
      <c r="E3293" s="4"/>
      <c r="F3293" s="4"/>
      <c r="G3293" s="33" t="str">
        <f>IFERROR(VLOOKUP($D3293,'Informations sur les produits'!$A$3:$H$10000,8,FALSE),"0")</f>
        <v>0</v>
      </c>
      <c r="K3293" s="4"/>
      <c r="L3293" s="33" t="str">
        <f>IFERROR(VLOOKUP($J3293,'Informations sur les produits'!$A$3:$H$10000,8,FALSE),"0")</f>
        <v>0</v>
      </c>
      <c r="N3293" s="8"/>
      <c r="O3293" s="33" t="str">
        <f>IFERROR(VLOOKUP($M3293,'Informations sur les produits'!$A$3:$H$10000,8,FALSE),"0")</f>
        <v>0</v>
      </c>
      <c r="P3293" s="33">
        <f t="shared" si="204"/>
        <v>0</v>
      </c>
      <c r="Q3293" s="31" t="str">
        <f t="shared" si="205"/>
        <v/>
      </c>
      <c r="R3293" s="32" t="str">
        <f>IFERROR(VLOOKUP($D3293,'Informations sur les produits'!$A$3:$B$15000,2,FALSE),"")</f>
        <v/>
      </c>
      <c r="V3293">
        <f t="shared" si="206"/>
        <v>0</v>
      </c>
      <c r="W3293">
        <f t="shared" si="207"/>
        <v>0</v>
      </c>
    </row>
    <row r="3294" spans="5:23" x14ac:dyDescent="0.25">
      <c r="E3294" s="4"/>
      <c r="F3294" s="4"/>
      <c r="G3294" s="33" t="str">
        <f>IFERROR(VLOOKUP($D3294,'Informations sur les produits'!$A$3:$H$10000,8,FALSE),"0")</f>
        <v>0</v>
      </c>
      <c r="K3294" s="4"/>
      <c r="L3294" s="33" t="str">
        <f>IFERROR(VLOOKUP($J3294,'Informations sur les produits'!$A$3:$H$10000,8,FALSE),"0")</f>
        <v>0</v>
      </c>
      <c r="N3294" s="8"/>
      <c r="O3294" s="33" t="str">
        <f>IFERROR(VLOOKUP($M3294,'Informations sur les produits'!$A$3:$H$10000,8,FALSE),"0")</f>
        <v>0</v>
      </c>
      <c r="P3294" s="33">
        <f t="shared" si="204"/>
        <v>0</v>
      </c>
      <c r="Q3294" s="31" t="str">
        <f t="shared" si="205"/>
        <v/>
      </c>
      <c r="R3294" s="32" t="str">
        <f>IFERROR(VLOOKUP($D3294,'Informations sur les produits'!$A$3:$B$15000,2,FALSE),"")</f>
        <v/>
      </c>
      <c r="V3294">
        <f t="shared" si="206"/>
        <v>0</v>
      </c>
      <c r="W3294">
        <f t="shared" si="207"/>
        <v>0</v>
      </c>
    </row>
    <row r="3295" spans="5:23" x14ac:dyDescent="0.25">
      <c r="E3295" s="4"/>
      <c r="F3295" s="4"/>
      <c r="G3295" s="33" t="str">
        <f>IFERROR(VLOOKUP($D3295,'Informations sur les produits'!$A$3:$H$10000,8,FALSE),"0")</f>
        <v>0</v>
      </c>
      <c r="K3295" s="4"/>
      <c r="L3295" s="33" t="str">
        <f>IFERROR(VLOOKUP($J3295,'Informations sur les produits'!$A$3:$H$10000,8,FALSE),"0")</f>
        <v>0</v>
      </c>
      <c r="N3295" s="8"/>
      <c r="O3295" s="33" t="str">
        <f>IFERROR(VLOOKUP($M3295,'Informations sur les produits'!$A$3:$H$10000,8,FALSE),"0")</f>
        <v>0</v>
      </c>
      <c r="P3295" s="33">
        <f t="shared" si="204"/>
        <v>0</v>
      </c>
      <c r="Q3295" s="31" t="str">
        <f t="shared" si="205"/>
        <v/>
      </c>
      <c r="R3295" s="32" t="str">
        <f>IFERROR(VLOOKUP($D3295,'Informations sur les produits'!$A$3:$B$15000,2,FALSE),"")</f>
        <v/>
      </c>
      <c r="V3295">
        <f t="shared" si="206"/>
        <v>0</v>
      </c>
      <c r="W3295">
        <f t="shared" si="207"/>
        <v>0</v>
      </c>
    </row>
    <row r="3296" spans="5:23" x14ac:dyDescent="0.25">
      <c r="E3296" s="4"/>
      <c r="F3296" s="4"/>
      <c r="G3296" s="33" t="str">
        <f>IFERROR(VLOOKUP($D3296,'Informations sur les produits'!$A$3:$H$10000,8,FALSE),"0")</f>
        <v>0</v>
      </c>
      <c r="K3296" s="4"/>
      <c r="L3296" s="33" t="str">
        <f>IFERROR(VLOOKUP($J3296,'Informations sur les produits'!$A$3:$H$10000,8,FALSE),"0")</f>
        <v>0</v>
      </c>
      <c r="N3296" s="8"/>
      <c r="O3296" s="33" t="str">
        <f>IFERROR(VLOOKUP($M3296,'Informations sur les produits'!$A$3:$H$10000,8,FALSE),"0")</f>
        <v>0</v>
      </c>
      <c r="P3296" s="33">
        <f t="shared" si="204"/>
        <v>0</v>
      </c>
      <c r="Q3296" s="31" t="str">
        <f t="shared" si="205"/>
        <v/>
      </c>
      <c r="R3296" s="32" t="str">
        <f>IFERROR(VLOOKUP($D3296,'Informations sur les produits'!$A$3:$B$15000,2,FALSE),"")</f>
        <v/>
      </c>
      <c r="V3296">
        <f t="shared" si="206"/>
        <v>0</v>
      </c>
      <c r="W3296">
        <f t="shared" si="207"/>
        <v>0</v>
      </c>
    </row>
    <row r="3297" spans="5:23" x14ac:dyDescent="0.25">
      <c r="E3297" s="4"/>
      <c r="F3297" s="4"/>
      <c r="G3297" s="33" t="str">
        <f>IFERROR(VLOOKUP($D3297,'Informations sur les produits'!$A$3:$H$10000,8,FALSE),"0")</f>
        <v>0</v>
      </c>
      <c r="K3297" s="4"/>
      <c r="L3297" s="33" t="str">
        <f>IFERROR(VLOOKUP($J3297,'Informations sur les produits'!$A$3:$H$10000,8,FALSE),"0")</f>
        <v>0</v>
      </c>
      <c r="N3297" s="8"/>
      <c r="O3297" s="33" t="str">
        <f>IFERROR(VLOOKUP($M3297,'Informations sur les produits'!$A$3:$H$10000,8,FALSE),"0")</f>
        <v>0</v>
      </c>
      <c r="P3297" s="33">
        <f t="shared" si="204"/>
        <v>0</v>
      </c>
      <c r="Q3297" s="31" t="str">
        <f t="shared" si="205"/>
        <v/>
      </c>
      <c r="R3297" s="32" t="str">
        <f>IFERROR(VLOOKUP($D3297,'Informations sur les produits'!$A$3:$B$15000,2,FALSE),"")</f>
        <v/>
      </c>
      <c r="V3297">
        <f t="shared" si="206"/>
        <v>0</v>
      </c>
      <c r="W3297">
        <f t="shared" si="207"/>
        <v>0</v>
      </c>
    </row>
    <row r="3298" spans="5:23" x14ac:dyDescent="0.25">
      <c r="E3298" s="4"/>
      <c r="F3298" s="4"/>
      <c r="G3298" s="33" t="str">
        <f>IFERROR(VLOOKUP($D3298,'Informations sur les produits'!$A$3:$H$10000,8,FALSE),"0")</f>
        <v>0</v>
      </c>
      <c r="K3298" s="4"/>
      <c r="L3298" s="33" t="str">
        <f>IFERROR(VLOOKUP($J3298,'Informations sur les produits'!$A$3:$H$10000,8,FALSE),"0")</f>
        <v>0</v>
      </c>
      <c r="N3298" s="8"/>
      <c r="O3298" s="33" t="str">
        <f>IFERROR(VLOOKUP($M3298,'Informations sur les produits'!$A$3:$H$10000,8,FALSE),"0")</f>
        <v>0</v>
      </c>
      <c r="P3298" s="33">
        <f t="shared" si="204"/>
        <v>0</v>
      </c>
      <c r="Q3298" s="31" t="str">
        <f t="shared" si="205"/>
        <v/>
      </c>
      <c r="R3298" s="32" t="str">
        <f>IFERROR(VLOOKUP($D3298,'Informations sur les produits'!$A$3:$B$15000,2,FALSE),"")</f>
        <v/>
      </c>
      <c r="V3298">
        <f t="shared" si="206"/>
        <v>0</v>
      </c>
      <c r="W3298">
        <f t="shared" si="207"/>
        <v>0</v>
      </c>
    </row>
    <row r="3299" spans="5:23" x14ac:dyDescent="0.25">
      <c r="E3299" s="4"/>
      <c r="F3299" s="4"/>
      <c r="G3299" s="33" t="str">
        <f>IFERROR(VLOOKUP($D3299,'Informations sur les produits'!$A$3:$H$10000,8,FALSE),"0")</f>
        <v>0</v>
      </c>
      <c r="K3299" s="4"/>
      <c r="L3299" s="33" t="str">
        <f>IFERROR(VLOOKUP($J3299,'Informations sur les produits'!$A$3:$H$10000,8,FALSE),"0")</f>
        <v>0</v>
      </c>
      <c r="N3299" s="8"/>
      <c r="O3299" s="33" t="str">
        <f>IFERROR(VLOOKUP($M3299,'Informations sur les produits'!$A$3:$H$10000,8,FALSE),"0")</f>
        <v>0</v>
      </c>
      <c r="P3299" s="33">
        <f t="shared" si="204"/>
        <v>0</v>
      </c>
      <c r="Q3299" s="31" t="str">
        <f t="shared" si="205"/>
        <v/>
      </c>
      <c r="R3299" s="32" t="str">
        <f>IFERROR(VLOOKUP($D3299,'Informations sur les produits'!$A$3:$B$15000,2,FALSE),"")</f>
        <v/>
      </c>
      <c r="V3299">
        <f t="shared" si="206"/>
        <v>0</v>
      </c>
      <c r="W3299">
        <f t="shared" si="207"/>
        <v>0</v>
      </c>
    </row>
    <row r="3300" spans="5:23" x14ac:dyDescent="0.25">
      <c r="E3300" s="4"/>
      <c r="F3300" s="4"/>
      <c r="G3300" s="33" t="str">
        <f>IFERROR(VLOOKUP($D3300,'Informations sur les produits'!$A$3:$H$10000,8,FALSE),"0")</f>
        <v>0</v>
      </c>
      <c r="K3300" s="4"/>
      <c r="L3300" s="33" t="str">
        <f>IFERROR(VLOOKUP($J3300,'Informations sur les produits'!$A$3:$H$10000,8,FALSE),"0")</f>
        <v>0</v>
      </c>
      <c r="N3300" s="8"/>
      <c r="O3300" s="33" t="str">
        <f>IFERROR(VLOOKUP($M3300,'Informations sur les produits'!$A$3:$H$10000,8,FALSE),"0")</f>
        <v>0</v>
      </c>
      <c r="P3300" s="33">
        <f t="shared" si="204"/>
        <v>0</v>
      </c>
      <c r="Q3300" s="31" t="str">
        <f t="shared" si="205"/>
        <v/>
      </c>
      <c r="R3300" s="32" t="str">
        <f>IFERROR(VLOOKUP($D3300,'Informations sur les produits'!$A$3:$B$15000,2,FALSE),"")</f>
        <v/>
      </c>
      <c r="V3300">
        <f t="shared" si="206"/>
        <v>0</v>
      </c>
      <c r="W3300">
        <f t="shared" si="207"/>
        <v>0</v>
      </c>
    </row>
    <row r="3301" spans="5:23" x14ac:dyDescent="0.25">
      <c r="E3301" s="4"/>
      <c r="F3301" s="4"/>
      <c r="G3301" s="33" t="str">
        <f>IFERROR(VLOOKUP($D3301,'Informations sur les produits'!$A$3:$H$10000,8,FALSE),"0")</f>
        <v>0</v>
      </c>
      <c r="K3301" s="4"/>
      <c r="L3301" s="33" t="str">
        <f>IFERROR(VLOOKUP($J3301,'Informations sur les produits'!$A$3:$H$10000,8,FALSE),"0")</f>
        <v>0</v>
      </c>
      <c r="N3301" s="8"/>
      <c r="O3301" s="33" t="str">
        <f>IFERROR(VLOOKUP($M3301,'Informations sur les produits'!$A$3:$H$10000,8,FALSE),"0")</f>
        <v>0</v>
      </c>
      <c r="P3301" s="33">
        <f t="shared" si="204"/>
        <v>0</v>
      </c>
      <c r="Q3301" s="31" t="str">
        <f t="shared" si="205"/>
        <v/>
      </c>
      <c r="R3301" s="32" t="str">
        <f>IFERROR(VLOOKUP($D3301,'Informations sur les produits'!$A$3:$B$15000,2,FALSE),"")</f>
        <v/>
      </c>
      <c r="V3301">
        <f t="shared" si="206"/>
        <v>0</v>
      </c>
      <c r="W3301">
        <f t="shared" si="207"/>
        <v>0</v>
      </c>
    </row>
    <row r="3302" spans="5:23" x14ac:dyDescent="0.25">
      <c r="E3302" s="4"/>
      <c r="F3302" s="4"/>
      <c r="G3302" s="33" t="str">
        <f>IFERROR(VLOOKUP($D3302,'Informations sur les produits'!$A$3:$H$10000,8,FALSE),"0")</f>
        <v>0</v>
      </c>
      <c r="K3302" s="4"/>
      <c r="L3302" s="33" t="str">
        <f>IFERROR(VLOOKUP($J3302,'Informations sur les produits'!$A$3:$H$10000,8,FALSE),"0")</f>
        <v>0</v>
      </c>
      <c r="N3302" s="8"/>
      <c r="O3302" s="33" t="str">
        <f>IFERROR(VLOOKUP($M3302,'Informations sur les produits'!$A$3:$H$10000,8,FALSE),"0")</f>
        <v>0</v>
      </c>
      <c r="P3302" s="33">
        <f t="shared" si="204"/>
        <v>0</v>
      </c>
      <c r="Q3302" s="31" t="str">
        <f t="shared" si="205"/>
        <v/>
      </c>
      <c r="R3302" s="32" t="str">
        <f>IFERROR(VLOOKUP($D3302,'Informations sur les produits'!$A$3:$B$15000,2,FALSE),"")</f>
        <v/>
      </c>
      <c r="V3302">
        <f t="shared" si="206"/>
        <v>0</v>
      </c>
      <c r="W3302">
        <f t="shared" si="207"/>
        <v>0</v>
      </c>
    </row>
    <row r="3303" spans="5:23" x14ac:dyDescent="0.25">
      <c r="E3303" s="4"/>
      <c r="F3303" s="4"/>
      <c r="G3303" s="33" t="str">
        <f>IFERROR(VLOOKUP($D3303,'Informations sur les produits'!$A$3:$H$10000,8,FALSE),"0")</f>
        <v>0</v>
      </c>
      <c r="K3303" s="4"/>
      <c r="L3303" s="33" t="str">
        <f>IFERROR(VLOOKUP($J3303,'Informations sur les produits'!$A$3:$H$10000,8,FALSE),"0")</f>
        <v>0</v>
      </c>
      <c r="N3303" s="8"/>
      <c r="O3303" s="33" t="str">
        <f>IFERROR(VLOOKUP($M3303,'Informations sur les produits'!$A$3:$H$10000,8,FALSE),"0")</f>
        <v>0</v>
      </c>
      <c r="P3303" s="33">
        <f t="shared" si="204"/>
        <v>0</v>
      </c>
      <c r="Q3303" s="31" t="str">
        <f t="shared" si="205"/>
        <v/>
      </c>
      <c r="R3303" s="32" t="str">
        <f>IFERROR(VLOOKUP($D3303,'Informations sur les produits'!$A$3:$B$15000,2,FALSE),"")</f>
        <v/>
      </c>
      <c r="V3303">
        <f t="shared" si="206"/>
        <v>0</v>
      </c>
      <c r="W3303">
        <f t="shared" si="207"/>
        <v>0</v>
      </c>
    </row>
    <row r="3304" spans="5:23" x14ac:dyDescent="0.25">
      <c r="E3304" s="4"/>
      <c r="F3304" s="4"/>
      <c r="G3304" s="33" t="str">
        <f>IFERROR(VLOOKUP($D3304,'Informations sur les produits'!$A$3:$H$10000,8,FALSE),"0")</f>
        <v>0</v>
      </c>
      <c r="K3304" s="4"/>
      <c r="L3304" s="33" t="str">
        <f>IFERROR(VLOOKUP($J3304,'Informations sur les produits'!$A$3:$H$10000,8,FALSE),"0")</f>
        <v>0</v>
      </c>
      <c r="N3304" s="8"/>
      <c r="O3304" s="33" t="str">
        <f>IFERROR(VLOOKUP($M3304,'Informations sur les produits'!$A$3:$H$10000,8,FALSE),"0")</f>
        <v>0</v>
      </c>
      <c r="P3304" s="33">
        <f t="shared" si="204"/>
        <v>0</v>
      </c>
      <c r="Q3304" s="31" t="str">
        <f t="shared" si="205"/>
        <v/>
      </c>
      <c r="R3304" s="32" t="str">
        <f>IFERROR(VLOOKUP($D3304,'Informations sur les produits'!$A$3:$B$15000,2,FALSE),"")</f>
        <v/>
      </c>
      <c r="V3304">
        <f t="shared" si="206"/>
        <v>0</v>
      </c>
      <c r="W3304">
        <f t="shared" si="207"/>
        <v>0</v>
      </c>
    </row>
    <row r="3305" spans="5:23" x14ac:dyDescent="0.25">
      <c r="E3305" s="4"/>
      <c r="F3305" s="4"/>
      <c r="G3305" s="33" t="str">
        <f>IFERROR(VLOOKUP($D3305,'Informations sur les produits'!$A$3:$H$10000,8,FALSE),"0")</f>
        <v>0</v>
      </c>
      <c r="K3305" s="4"/>
      <c r="L3305" s="33" t="str">
        <f>IFERROR(VLOOKUP($J3305,'Informations sur les produits'!$A$3:$H$10000,8,FALSE),"0")</f>
        <v>0</v>
      </c>
      <c r="N3305" s="8"/>
      <c r="O3305" s="33" t="str">
        <f>IFERROR(VLOOKUP($M3305,'Informations sur les produits'!$A$3:$H$10000,8,FALSE),"0")</f>
        <v>0</v>
      </c>
      <c r="P3305" s="33">
        <f t="shared" si="204"/>
        <v>0</v>
      </c>
      <c r="Q3305" s="31" t="str">
        <f t="shared" si="205"/>
        <v/>
      </c>
      <c r="R3305" s="32" t="str">
        <f>IFERROR(VLOOKUP($D3305,'Informations sur les produits'!$A$3:$B$15000,2,FALSE),"")</f>
        <v/>
      </c>
      <c r="V3305">
        <f t="shared" si="206"/>
        <v>0</v>
      </c>
      <c r="W3305">
        <f t="shared" si="207"/>
        <v>0</v>
      </c>
    </row>
    <row r="3306" spans="5:23" x14ac:dyDescent="0.25">
      <c r="E3306" s="4"/>
      <c r="F3306" s="4"/>
      <c r="G3306" s="33" t="str">
        <f>IFERROR(VLOOKUP($D3306,'Informations sur les produits'!$A$3:$H$10000,8,FALSE),"0")</f>
        <v>0</v>
      </c>
      <c r="K3306" s="4"/>
      <c r="L3306" s="33" t="str">
        <f>IFERROR(VLOOKUP($J3306,'Informations sur les produits'!$A$3:$H$10000,8,FALSE),"0")</f>
        <v>0</v>
      </c>
      <c r="N3306" s="8"/>
      <c r="O3306" s="33" t="str">
        <f>IFERROR(VLOOKUP($M3306,'Informations sur les produits'!$A$3:$H$10000,8,FALSE),"0")</f>
        <v>0</v>
      </c>
      <c r="P3306" s="33">
        <f t="shared" si="204"/>
        <v>0</v>
      </c>
      <c r="Q3306" s="31" t="str">
        <f t="shared" si="205"/>
        <v/>
      </c>
      <c r="R3306" s="32" t="str">
        <f>IFERROR(VLOOKUP($D3306,'Informations sur les produits'!$A$3:$B$15000,2,FALSE),"")</f>
        <v/>
      </c>
      <c r="V3306">
        <f t="shared" si="206"/>
        <v>0</v>
      </c>
      <c r="W3306">
        <f t="shared" si="207"/>
        <v>0</v>
      </c>
    </row>
    <row r="3307" spans="5:23" x14ac:dyDescent="0.25">
      <c r="E3307" s="4"/>
      <c r="F3307" s="4"/>
      <c r="G3307" s="33" t="str">
        <f>IFERROR(VLOOKUP($D3307,'Informations sur les produits'!$A$3:$H$10000,8,FALSE),"0")</f>
        <v>0</v>
      </c>
      <c r="K3307" s="4"/>
      <c r="L3307" s="33" t="str">
        <f>IFERROR(VLOOKUP($J3307,'Informations sur les produits'!$A$3:$H$10000,8,FALSE),"0")</f>
        <v>0</v>
      </c>
      <c r="N3307" s="8"/>
      <c r="O3307" s="33" t="str">
        <f>IFERROR(VLOOKUP($M3307,'Informations sur les produits'!$A$3:$H$10000,8,FALSE),"0")</f>
        <v>0</v>
      </c>
      <c r="P3307" s="33">
        <f t="shared" si="204"/>
        <v>0</v>
      </c>
      <c r="Q3307" s="31" t="str">
        <f t="shared" si="205"/>
        <v/>
      </c>
      <c r="R3307" s="32" t="str">
        <f>IFERROR(VLOOKUP($D3307,'Informations sur les produits'!$A$3:$B$15000,2,FALSE),"")</f>
        <v/>
      </c>
      <c r="V3307">
        <f t="shared" si="206"/>
        <v>0</v>
      </c>
      <c r="W3307">
        <f t="shared" si="207"/>
        <v>0</v>
      </c>
    </row>
    <row r="3308" spans="5:23" x14ac:dyDescent="0.25">
      <c r="E3308" s="4"/>
      <c r="F3308" s="4"/>
      <c r="G3308" s="33" t="str">
        <f>IFERROR(VLOOKUP($D3308,'Informations sur les produits'!$A$3:$H$10000,8,FALSE),"0")</f>
        <v>0</v>
      </c>
      <c r="K3308" s="4"/>
      <c r="L3308" s="33" t="str">
        <f>IFERROR(VLOOKUP($J3308,'Informations sur les produits'!$A$3:$H$10000,8,FALSE),"0")</f>
        <v>0</v>
      </c>
      <c r="N3308" s="8"/>
      <c r="O3308" s="33" t="str">
        <f>IFERROR(VLOOKUP($M3308,'Informations sur les produits'!$A$3:$H$10000,8,FALSE),"0")</f>
        <v>0</v>
      </c>
      <c r="P3308" s="33">
        <f t="shared" si="204"/>
        <v>0</v>
      </c>
      <c r="Q3308" s="31" t="str">
        <f t="shared" si="205"/>
        <v/>
      </c>
      <c r="R3308" s="32" t="str">
        <f>IFERROR(VLOOKUP($D3308,'Informations sur les produits'!$A$3:$B$15000,2,FALSE),"")</f>
        <v/>
      </c>
      <c r="V3308">
        <f t="shared" si="206"/>
        <v>0</v>
      </c>
      <c r="W3308">
        <f t="shared" si="207"/>
        <v>0</v>
      </c>
    </row>
    <row r="3309" spans="5:23" x14ac:dyDescent="0.25">
      <c r="E3309" s="4"/>
      <c r="F3309" s="4"/>
      <c r="G3309" s="33" t="str">
        <f>IFERROR(VLOOKUP($D3309,'Informations sur les produits'!$A$3:$H$10000,8,FALSE),"0")</f>
        <v>0</v>
      </c>
      <c r="K3309" s="4"/>
      <c r="L3309" s="33" t="str">
        <f>IFERROR(VLOOKUP($J3309,'Informations sur les produits'!$A$3:$H$10000,8,FALSE),"0")</f>
        <v>0</v>
      </c>
      <c r="N3309" s="8"/>
      <c r="O3309" s="33" t="str">
        <f>IFERROR(VLOOKUP($M3309,'Informations sur les produits'!$A$3:$H$10000,8,FALSE),"0")</f>
        <v>0</v>
      </c>
      <c r="P3309" s="33">
        <f t="shared" si="204"/>
        <v>0</v>
      </c>
      <c r="Q3309" s="31" t="str">
        <f t="shared" si="205"/>
        <v/>
      </c>
      <c r="R3309" s="32" t="str">
        <f>IFERROR(VLOOKUP($D3309,'Informations sur les produits'!$A$3:$B$15000,2,FALSE),"")</f>
        <v/>
      </c>
      <c r="V3309">
        <f t="shared" si="206"/>
        <v>0</v>
      </c>
      <c r="W3309">
        <f t="shared" si="207"/>
        <v>0</v>
      </c>
    </row>
    <row r="3310" spans="5:23" x14ac:dyDescent="0.25">
      <c r="E3310" s="4"/>
      <c r="F3310" s="4"/>
      <c r="G3310" s="33" t="str">
        <f>IFERROR(VLOOKUP($D3310,'Informations sur les produits'!$A$3:$H$10000,8,FALSE),"0")</f>
        <v>0</v>
      </c>
      <c r="K3310" s="4"/>
      <c r="L3310" s="33" t="str">
        <f>IFERROR(VLOOKUP($J3310,'Informations sur les produits'!$A$3:$H$10000,8,FALSE),"0")</f>
        <v>0</v>
      </c>
      <c r="N3310" s="8"/>
      <c r="O3310" s="33" t="str">
        <f>IFERROR(VLOOKUP($M3310,'Informations sur les produits'!$A$3:$H$10000,8,FALSE),"0")</f>
        <v>0</v>
      </c>
      <c r="P3310" s="33">
        <f t="shared" si="204"/>
        <v>0</v>
      </c>
      <c r="Q3310" s="31" t="str">
        <f t="shared" si="205"/>
        <v/>
      </c>
      <c r="R3310" s="32" t="str">
        <f>IFERROR(VLOOKUP($D3310,'Informations sur les produits'!$A$3:$B$15000,2,FALSE),"")</f>
        <v/>
      </c>
      <c r="V3310">
        <f t="shared" si="206"/>
        <v>0</v>
      </c>
      <c r="W3310">
        <f t="shared" si="207"/>
        <v>0</v>
      </c>
    </row>
    <row r="3311" spans="5:23" x14ac:dyDescent="0.25">
      <c r="E3311" s="4"/>
      <c r="F3311" s="4"/>
      <c r="G3311" s="33" t="str">
        <f>IFERROR(VLOOKUP($D3311,'Informations sur les produits'!$A$3:$H$10000,8,FALSE),"0")</f>
        <v>0</v>
      </c>
      <c r="K3311" s="4"/>
      <c r="L3311" s="33" t="str">
        <f>IFERROR(VLOOKUP($J3311,'Informations sur les produits'!$A$3:$H$10000,8,FALSE),"0")</f>
        <v>0</v>
      </c>
      <c r="N3311" s="8"/>
      <c r="O3311" s="33" t="str">
        <f>IFERROR(VLOOKUP($M3311,'Informations sur les produits'!$A$3:$H$10000,8,FALSE),"0")</f>
        <v>0</v>
      </c>
      <c r="P3311" s="33">
        <f t="shared" si="204"/>
        <v>0</v>
      </c>
      <c r="Q3311" s="31" t="str">
        <f t="shared" si="205"/>
        <v/>
      </c>
      <c r="R3311" s="32" t="str">
        <f>IFERROR(VLOOKUP($D3311,'Informations sur les produits'!$A$3:$B$15000,2,FALSE),"")</f>
        <v/>
      </c>
      <c r="V3311">
        <f t="shared" si="206"/>
        <v>0</v>
      </c>
      <c r="W3311">
        <f t="shared" si="207"/>
        <v>0</v>
      </c>
    </row>
    <row r="3312" spans="5:23" x14ac:dyDescent="0.25">
      <c r="E3312" s="4"/>
      <c r="F3312" s="4"/>
      <c r="G3312" s="33" t="str">
        <f>IFERROR(VLOOKUP($D3312,'Informations sur les produits'!$A$3:$H$10000,8,FALSE),"0")</f>
        <v>0</v>
      </c>
      <c r="K3312" s="4"/>
      <c r="L3312" s="33" t="str">
        <f>IFERROR(VLOOKUP($J3312,'Informations sur les produits'!$A$3:$H$10000,8,FALSE),"0")</f>
        <v>0</v>
      </c>
      <c r="N3312" s="8"/>
      <c r="O3312" s="33" t="str">
        <f>IFERROR(VLOOKUP($M3312,'Informations sur les produits'!$A$3:$H$10000,8,FALSE),"0")</f>
        <v>0</v>
      </c>
      <c r="P3312" s="33">
        <f t="shared" si="204"/>
        <v>0</v>
      </c>
      <c r="Q3312" s="31" t="str">
        <f t="shared" si="205"/>
        <v/>
      </c>
      <c r="R3312" s="32" t="str">
        <f>IFERROR(VLOOKUP($D3312,'Informations sur les produits'!$A$3:$B$15000,2,FALSE),"")</f>
        <v/>
      </c>
      <c r="V3312">
        <f t="shared" si="206"/>
        <v>0</v>
      </c>
      <c r="W3312">
        <f t="shared" si="207"/>
        <v>0</v>
      </c>
    </row>
    <row r="3313" spans="5:23" x14ac:dyDescent="0.25">
      <c r="E3313" s="4"/>
      <c r="F3313" s="4"/>
      <c r="G3313" s="33" t="str">
        <f>IFERROR(VLOOKUP($D3313,'Informations sur les produits'!$A$3:$H$10000,8,FALSE),"0")</f>
        <v>0</v>
      </c>
      <c r="K3313" s="4"/>
      <c r="L3313" s="33" t="str">
        <f>IFERROR(VLOOKUP($J3313,'Informations sur les produits'!$A$3:$H$10000,8,FALSE),"0")</f>
        <v>0</v>
      </c>
      <c r="N3313" s="8"/>
      <c r="O3313" s="33" t="str">
        <f>IFERROR(VLOOKUP($M3313,'Informations sur les produits'!$A$3:$H$10000,8,FALSE),"0")</f>
        <v>0</v>
      </c>
      <c r="P3313" s="33">
        <f t="shared" si="204"/>
        <v>0</v>
      </c>
      <c r="Q3313" s="31" t="str">
        <f t="shared" si="205"/>
        <v/>
      </c>
      <c r="R3313" s="32" t="str">
        <f>IFERROR(VLOOKUP($D3313,'Informations sur les produits'!$A$3:$B$15000,2,FALSE),"")</f>
        <v/>
      </c>
      <c r="V3313">
        <f t="shared" si="206"/>
        <v>0</v>
      </c>
      <c r="W3313">
        <f t="shared" si="207"/>
        <v>0</v>
      </c>
    </row>
    <row r="3314" spans="5:23" x14ac:dyDescent="0.25">
      <c r="E3314" s="4"/>
      <c r="F3314" s="4"/>
      <c r="G3314" s="33" t="str">
        <f>IFERROR(VLOOKUP($D3314,'Informations sur les produits'!$A$3:$H$10000,8,FALSE),"0")</f>
        <v>0</v>
      </c>
      <c r="K3314" s="4"/>
      <c r="L3314" s="33" t="str">
        <f>IFERROR(VLOOKUP($J3314,'Informations sur les produits'!$A$3:$H$10000,8,FALSE),"0")</f>
        <v>0</v>
      </c>
      <c r="N3314" s="8"/>
      <c r="O3314" s="33" t="str">
        <f>IFERROR(VLOOKUP($M3314,'Informations sur les produits'!$A$3:$H$10000,8,FALSE),"0")</f>
        <v>0</v>
      </c>
      <c r="P3314" s="33">
        <f t="shared" si="204"/>
        <v>0</v>
      </c>
      <c r="Q3314" s="31" t="str">
        <f t="shared" si="205"/>
        <v/>
      </c>
      <c r="R3314" s="32" t="str">
        <f>IFERROR(VLOOKUP($D3314,'Informations sur les produits'!$A$3:$B$15000,2,FALSE),"")</f>
        <v/>
      </c>
      <c r="V3314">
        <f t="shared" si="206"/>
        <v>0</v>
      </c>
      <c r="W3314">
        <f t="shared" si="207"/>
        <v>0</v>
      </c>
    </row>
    <row r="3315" spans="5:23" x14ac:dyDescent="0.25">
      <c r="E3315" s="4"/>
      <c r="F3315" s="4"/>
      <c r="G3315" s="33" t="str">
        <f>IFERROR(VLOOKUP($D3315,'Informations sur les produits'!$A$3:$H$10000,8,FALSE),"0")</f>
        <v>0</v>
      </c>
      <c r="K3315" s="4"/>
      <c r="L3315" s="33" t="str">
        <f>IFERROR(VLOOKUP($J3315,'Informations sur les produits'!$A$3:$H$10000,8,FALSE),"0")</f>
        <v>0</v>
      </c>
      <c r="N3315" s="8"/>
      <c r="O3315" s="33" t="str">
        <f>IFERROR(VLOOKUP($M3315,'Informations sur les produits'!$A$3:$H$10000,8,FALSE),"0")</f>
        <v>0</v>
      </c>
      <c r="P3315" s="33">
        <f t="shared" si="204"/>
        <v>0</v>
      </c>
      <c r="Q3315" s="31" t="str">
        <f t="shared" si="205"/>
        <v/>
      </c>
      <c r="R3315" s="32" t="str">
        <f>IFERROR(VLOOKUP($D3315,'Informations sur les produits'!$A$3:$B$15000,2,FALSE),"")</f>
        <v/>
      </c>
      <c r="V3315">
        <f t="shared" si="206"/>
        <v>0</v>
      </c>
      <c r="W3315">
        <f t="shared" si="207"/>
        <v>0</v>
      </c>
    </row>
    <row r="3316" spans="5:23" x14ac:dyDescent="0.25">
      <c r="E3316" s="4"/>
      <c r="F3316" s="4"/>
      <c r="G3316" s="33" t="str">
        <f>IFERROR(VLOOKUP($D3316,'Informations sur les produits'!$A$3:$H$10000,8,FALSE),"0")</f>
        <v>0</v>
      </c>
      <c r="K3316" s="4"/>
      <c r="L3316" s="33" t="str">
        <f>IFERROR(VLOOKUP($J3316,'Informations sur les produits'!$A$3:$H$10000,8,FALSE),"0")</f>
        <v>0</v>
      </c>
      <c r="N3316" s="8"/>
      <c r="O3316" s="33" t="str">
        <f>IFERROR(VLOOKUP($M3316,'Informations sur les produits'!$A$3:$H$10000,8,FALSE),"0")</f>
        <v>0</v>
      </c>
      <c r="P3316" s="33">
        <f t="shared" si="204"/>
        <v>0</v>
      </c>
      <c r="Q3316" s="31" t="str">
        <f t="shared" si="205"/>
        <v/>
      </c>
      <c r="R3316" s="32" t="str">
        <f>IFERROR(VLOOKUP($D3316,'Informations sur les produits'!$A$3:$B$15000,2,FALSE),"")</f>
        <v/>
      </c>
      <c r="V3316">
        <f t="shared" si="206"/>
        <v>0</v>
      </c>
      <c r="W3316">
        <f t="shared" si="207"/>
        <v>0</v>
      </c>
    </row>
    <row r="3317" spans="5:23" x14ac:dyDescent="0.25">
      <c r="E3317" s="4"/>
      <c r="F3317" s="4"/>
      <c r="G3317" s="33" t="str">
        <f>IFERROR(VLOOKUP($D3317,'Informations sur les produits'!$A$3:$H$10000,8,FALSE),"0")</f>
        <v>0</v>
      </c>
      <c r="K3317" s="4"/>
      <c r="L3317" s="33" t="str">
        <f>IFERROR(VLOOKUP($J3317,'Informations sur les produits'!$A$3:$H$10000,8,FALSE),"0")</f>
        <v>0</v>
      </c>
      <c r="N3317" s="8"/>
      <c r="O3317" s="33" t="str">
        <f>IFERROR(VLOOKUP($M3317,'Informations sur les produits'!$A$3:$H$10000,8,FALSE),"0")</f>
        <v>0</v>
      </c>
      <c r="P3317" s="33">
        <f t="shared" si="204"/>
        <v>0</v>
      </c>
      <c r="Q3317" s="31" t="str">
        <f t="shared" si="205"/>
        <v/>
      </c>
      <c r="R3317" s="32" t="str">
        <f>IFERROR(VLOOKUP($D3317,'Informations sur les produits'!$A$3:$B$15000,2,FALSE),"")</f>
        <v/>
      </c>
      <c r="V3317">
        <f t="shared" si="206"/>
        <v>0</v>
      </c>
      <c r="W3317">
        <f t="shared" si="207"/>
        <v>0</v>
      </c>
    </row>
    <row r="3318" spans="5:23" x14ac:dyDescent="0.25">
      <c r="E3318" s="4"/>
      <c r="F3318" s="4"/>
      <c r="G3318" s="33" t="str">
        <f>IFERROR(VLOOKUP($D3318,'Informations sur les produits'!$A$3:$H$10000,8,FALSE),"0")</f>
        <v>0</v>
      </c>
      <c r="K3318" s="4"/>
      <c r="L3318" s="33" t="str">
        <f>IFERROR(VLOOKUP($J3318,'Informations sur les produits'!$A$3:$H$10000,8,FALSE),"0")</f>
        <v>0</v>
      </c>
      <c r="N3318" s="8"/>
      <c r="O3318" s="33" t="str">
        <f>IFERROR(VLOOKUP($M3318,'Informations sur les produits'!$A$3:$H$10000,8,FALSE),"0")</f>
        <v>0</v>
      </c>
      <c r="P3318" s="33">
        <f t="shared" si="204"/>
        <v>0</v>
      </c>
      <c r="Q3318" s="31" t="str">
        <f t="shared" si="205"/>
        <v/>
      </c>
      <c r="R3318" s="32" t="str">
        <f>IFERROR(VLOOKUP($D3318,'Informations sur les produits'!$A$3:$B$15000,2,FALSE),"")</f>
        <v/>
      </c>
      <c r="V3318">
        <f t="shared" si="206"/>
        <v>0</v>
      </c>
      <c r="W3318">
        <f t="shared" si="207"/>
        <v>0</v>
      </c>
    </row>
    <row r="3319" spans="5:23" x14ac:dyDescent="0.25">
      <c r="E3319" s="4"/>
      <c r="F3319" s="4"/>
      <c r="G3319" s="33" t="str">
        <f>IFERROR(VLOOKUP($D3319,'Informations sur les produits'!$A$3:$H$10000,8,FALSE),"0")</f>
        <v>0</v>
      </c>
      <c r="K3319" s="4"/>
      <c r="L3319" s="33" t="str">
        <f>IFERROR(VLOOKUP($J3319,'Informations sur les produits'!$A$3:$H$10000,8,FALSE),"0")</f>
        <v>0</v>
      </c>
      <c r="N3319" s="8"/>
      <c r="O3319" s="33" t="str">
        <f>IFERROR(VLOOKUP($M3319,'Informations sur les produits'!$A$3:$H$10000,8,FALSE),"0")</f>
        <v>0</v>
      </c>
      <c r="P3319" s="33">
        <f t="shared" si="204"/>
        <v>0</v>
      </c>
      <c r="Q3319" s="31" t="str">
        <f t="shared" si="205"/>
        <v/>
      </c>
      <c r="R3319" s="32" t="str">
        <f>IFERROR(VLOOKUP($D3319,'Informations sur les produits'!$A$3:$B$15000,2,FALSE),"")</f>
        <v/>
      </c>
      <c r="V3319">
        <f t="shared" si="206"/>
        <v>0</v>
      </c>
      <c r="W3319">
        <f t="shared" si="207"/>
        <v>0</v>
      </c>
    </row>
    <row r="3320" spans="5:23" x14ac:dyDescent="0.25">
      <c r="E3320" s="4"/>
      <c r="F3320" s="4"/>
      <c r="G3320" s="33" t="str">
        <f>IFERROR(VLOOKUP($D3320,'Informations sur les produits'!$A$3:$H$10000,8,FALSE),"0")</f>
        <v>0</v>
      </c>
      <c r="K3320" s="4"/>
      <c r="L3320" s="33" t="str">
        <f>IFERROR(VLOOKUP($J3320,'Informations sur les produits'!$A$3:$H$10000,8,FALSE),"0")</f>
        <v>0</v>
      </c>
      <c r="N3320" s="8"/>
      <c r="O3320" s="33" t="str">
        <f>IFERROR(VLOOKUP($M3320,'Informations sur les produits'!$A$3:$H$10000,8,FALSE),"0")</f>
        <v>0</v>
      </c>
      <c r="P3320" s="33">
        <f t="shared" si="204"/>
        <v>0</v>
      </c>
      <c r="Q3320" s="31" t="str">
        <f t="shared" si="205"/>
        <v/>
      </c>
      <c r="R3320" s="32" t="str">
        <f>IFERROR(VLOOKUP($D3320,'Informations sur les produits'!$A$3:$B$15000,2,FALSE),"")</f>
        <v/>
      </c>
      <c r="V3320">
        <f t="shared" si="206"/>
        <v>0</v>
      </c>
      <c r="W3320">
        <f t="shared" si="207"/>
        <v>0</v>
      </c>
    </row>
    <row r="3321" spans="5:23" x14ac:dyDescent="0.25">
      <c r="E3321" s="4"/>
      <c r="F3321" s="4"/>
      <c r="G3321" s="33" t="str">
        <f>IFERROR(VLOOKUP($D3321,'Informations sur les produits'!$A$3:$H$10000,8,FALSE),"0")</f>
        <v>0</v>
      </c>
      <c r="K3321" s="4"/>
      <c r="L3321" s="33" t="str">
        <f>IFERROR(VLOOKUP($J3321,'Informations sur les produits'!$A$3:$H$10000,8,FALSE),"0")</f>
        <v>0</v>
      </c>
      <c r="N3321" s="8"/>
      <c r="O3321" s="33" t="str">
        <f>IFERROR(VLOOKUP($M3321,'Informations sur les produits'!$A$3:$H$10000,8,FALSE),"0")</f>
        <v>0</v>
      </c>
      <c r="P3321" s="33">
        <f t="shared" si="204"/>
        <v>0</v>
      </c>
      <c r="Q3321" s="31" t="str">
        <f t="shared" si="205"/>
        <v/>
      </c>
      <c r="R3321" s="32" t="str">
        <f>IFERROR(VLOOKUP($D3321,'Informations sur les produits'!$A$3:$B$15000,2,FALSE),"")</f>
        <v/>
      </c>
      <c r="V3321">
        <f t="shared" si="206"/>
        <v>0</v>
      </c>
      <c r="W3321">
        <f t="shared" si="207"/>
        <v>0</v>
      </c>
    </row>
    <row r="3322" spans="5:23" x14ac:dyDescent="0.25">
      <c r="E3322" s="4"/>
      <c r="F3322" s="4"/>
      <c r="G3322" s="33" t="str">
        <f>IFERROR(VLOOKUP($D3322,'Informations sur les produits'!$A$3:$H$10000,8,FALSE),"0")</f>
        <v>0</v>
      </c>
      <c r="K3322" s="4"/>
      <c r="L3322" s="33" t="str">
        <f>IFERROR(VLOOKUP($J3322,'Informations sur les produits'!$A$3:$H$10000,8,FALSE),"0")</f>
        <v>0</v>
      </c>
      <c r="N3322" s="8"/>
      <c r="O3322" s="33" t="str">
        <f>IFERROR(VLOOKUP($M3322,'Informations sur les produits'!$A$3:$H$10000,8,FALSE),"0")</f>
        <v>0</v>
      </c>
      <c r="P3322" s="33">
        <f t="shared" si="204"/>
        <v>0</v>
      </c>
      <c r="Q3322" s="31" t="str">
        <f t="shared" si="205"/>
        <v/>
      </c>
      <c r="R3322" s="32" t="str">
        <f>IFERROR(VLOOKUP($D3322,'Informations sur les produits'!$A$3:$B$15000,2,FALSE),"")</f>
        <v/>
      </c>
      <c r="V3322">
        <f t="shared" si="206"/>
        <v>0</v>
      </c>
      <c r="W3322">
        <f t="shared" si="207"/>
        <v>0</v>
      </c>
    </row>
    <row r="3323" spans="5:23" x14ac:dyDescent="0.25">
      <c r="E3323" s="4"/>
      <c r="F3323" s="4"/>
      <c r="G3323" s="33" t="str">
        <f>IFERROR(VLOOKUP($D3323,'Informations sur les produits'!$A$3:$H$10000,8,FALSE),"0")</f>
        <v>0</v>
      </c>
      <c r="K3323" s="4"/>
      <c r="L3323" s="33" t="str">
        <f>IFERROR(VLOOKUP($J3323,'Informations sur les produits'!$A$3:$H$10000,8,FALSE),"0")</f>
        <v>0</v>
      </c>
      <c r="N3323" s="8"/>
      <c r="O3323" s="33" t="str">
        <f>IFERROR(VLOOKUP($M3323,'Informations sur les produits'!$A$3:$H$10000,8,FALSE),"0")</f>
        <v>0</v>
      </c>
      <c r="P3323" s="33">
        <f t="shared" si="204"/>
        <v>0</v>
      </c>
      <c r="Q3323" s="31" t="str">
        <f t="shared" si="205"/>
        <v/>
      </c>
      <c r="R3323" s="32" t="str">
        <f>IFERROR(VLOOKUP($D3323,'Informations sur les produits'!$A$3:$B$15000,2,FALSE),"")</f>
        <v/>
      </c>
      <c r="V3323">
        <f t="shared" si="206"/>
        <v>0</v>
      </c>
      <c r="W3323">
        <f t="shared" si="207"/>
        <v>0</v>
      </c>
    </row>
    <row r="3324" spans="5:23" x14ac:dyDescent="0.25">
      <c r="E3324" s="4"/>
      <c r="F3324" s="4"/>
      <c r="G3324" s="33" t="str">
        <f>IFERROR(VLOOKUP($D3324,'Informations sur les produits'!$A$3:$H$10000,8,FALSE),"0")</f>
        <v>0</v>
      </c>
      <c r="K3324" s="4"/>
      <c r="L3324" s="33" t="str">
        <f>IFERROR(VLOOKUP($J3324,'Informations sur les produits'!$A$3:$H$10000,8,FALSE),"0")</f>
        <v>0</v>
      </c>
      <c r="N3324" s="8"/>
      <c r="O3324" s="33" t="str">
        <f>IFERROR(VLOOKUP($M3324,'Informations sur les produits'!$A$3:$H$10000,8,FALSE),"0")</f>
        <v>0</v>
      </c>
      <c r="P3324" s="33">
        <f t="shared" si="204"/>
        <v>0</v>
      </c>
      <c r="Q3324" s="31" t="str">
        <f t="shared" si="205"/>
        <v/>
      </c>
      <c r="R3324" s="32" t="str">
        <f>IFERROR(VLOOKUP($D3324,'Informations sur les produits'!$A$3:$B$15000,2,FALSE),"")</f>
        <v/>
      </c>
      <c r="V3324">
        <f t="shared" si="206"/>
        <v>0</v>
      </c>
      <c r="W3324">
        <f t="shared" si="207"/>
        <v>0</v>
      </c>
    </row>
    <row r="3325" spans="5:23" x14ac:dyDescent="0.25">
      <c r="E3325" s="4"/>
      <c r="F3325" s="4"/>
      <c r="G3325" s="33" t="str">
        <f>IFERROR(VLOOKUP($D3325,'Informations sur les produits'!$A$3:$H$10000,8,FALSE),"0")</f>
        <v>0</v>
      </c>
      <c r="K3325" s="4"/>
      <c r="L3325" s="33" t="str">
        <f>IFERROR(VLOOKUP($J3325,'Informations sur les produits'!$A$3:$H$10000,8,FALSE),"0")</f>
        <v>0</v>
      </c>
      <c r="N3325" s="8"/>
      <c r="O3325" s="33" t="str">
        <f>IFERROR(VLOOKUP($M3325,'Informations sur les produits'!$A$3:$H$10000,8,FALSE),"0")</f>
        <v>0</v>
      </c>
      <c r="P3325" s="33">
        <f t="shared" si="204"/>
        <v>0</v>
      </c>
      <c r="Q3325" s="31" t="str">
        <f t="shared" si="205"/>
        <v/>
      </c>
      <c r="R3325" s="32" t="str">
        <f>IFERROR(VLOOKUP($D3325,'Informations sur les produits'!$A$3:$B$15000,2,FALSE),"")</f>
        <v/>
      </c>
      <c r="V3325">
        <f t="shared" si="206"/>
        <v>0</v>
      </c>
      <c r="W3325">
        <f t="shared" si="207"/>
        <v>0</v>
      </c>
    </row>
    <row r="3326" spans="5:23" x14ac:dyDescent="0.25">
      <c r="E3326" s="4"/>
      <c r="F3326" s="4"/>
      <c r="G3326" s="33" t="str">
        <f>IFERROR(VLOOKUP($D3326,'Informations sur les produits'!$A$3:$H$10000,8,FALSE),"0")</f>
        <v>0</v>
      </c>
      <c r="K3326" s="4"/>
      <c r="L3326" s="33" t="str">
        <f>IFERROR(VLOOKUP($J3326,'Informations sur les produits'!$A$3:$H$10000,8,FALSE),"0")</f>
        <v>0</v>
      </c>
      <c r="N3326" s="8"/>
      <c r="O3326" s="33" t="str">
        <f>IFERROR(VLOOKUP($M3326,'Informations sur les produits'!$A$3:$H$10000,8,FALSE),"0")</f>
        <v>0</v>
      </c>
      <c r="P3326" s="33">
        <f t="shared" si="204"/>
        <v>0</v>
      </c>
      <c r="Q3326" s="31" t="str">
        <f t="shared" si="205"/>
        <v/>
      </c>
      <c r="R3326" s="32" t="str">
        <f>IFERROR(VLOOKUP($D3326,'Informations sur les produits'!$A$3:$B$15000,2,FALSE),"")</f>
        <v/>
      </c>
      <c r="V3326">
        <f t="shared" si="206"/>
        <v>0</v>
      </c>
      <c r="W3326">
        <f t="shared" si="207"/>
        <v>0</v>
      </c>
    </row>
    <row r="3327" spans="5:23" x14ac:dyDescent="0.25">
      <c r="E3327" s="4"/>
      <c r="F3327" s="4"/>
      <c r="G3327" s="33" t="str">
        <f>IFERROR(VLOOKUP($D3327,'Informations sur les produits'!$A$3:$H$10000,8,FALSE),"0")</f>
        <v>0</v>
      </c>
      <c r="K3327" s="4"/>
      <c r="L3327" s="33" t="str">
        <f>IFERROR(VLOOKUP($J3327,'Informations sur les produits'!$A$3:$H$10000,8,FALSE),"0")</f>
        <v>0</v>
      </c>
      <c r="N3327" s="8"/>
      <c r="O3327" s="33" t="str">
        <f>IFERROR(VLOOKUP($M3327,'Informations sur les produits'!$A$3:$H$10000,8,FALSE),"0")</f>
        <v>0</v>
      </c>
      <c r="P3327" s="33">
        <f t="shared" si="204"/>
        <v>0</v>
      </c>
      <c r="Q3327" s="31" t="str">
        <f t="shared" si="205"/>
        <v/>
      </c>
      <c r="R3327" s="32" t="str">
        <f>IFERROR(VLOOKUP($D3327,'Informations sur les produits'!$A$3:$B$15000,2,FALSE),"")</f>
        <v/>
      </c>
      <c r="V3327">
        <f t="shared" si="206"/>
        <v>0</v>
      </c>
      <c r="W3327">
        <f t="shared" si="207"/>
        <v>0</v>
      </c>
    </row>
    <row r="3328" spans="5:23" x14ac:dyDescent="0.25">
      <c r="E3328" s="4"/>
      <c r="F3328" s="4"/>
      <c r="G3328" s="33" t="str">
        <f>IFERROR(VLOOKUP($D3328,'Informations sur les produits'!$A$3:$H$10000,8,FALSE),"0")</f>
        <v>0</v>
      </c>
      <c r="K3328" s="4"/>
      <c r="L3328" s="33" t="str">
        <f>IFERROR(VLOOKUP($J3328,'Informations sur les produits'!$A$3:$H$10000,8,FALSE),"0")</f>
        <v>0</v>
      </c>
      <c r="N3328" s="8"/>
      <c r="O3328" s="33" t="str">
        <f>IFERROR(VLOOKUP($M3328,'Informations sur les produits'!$A$3:$H$10000,8,FALSE),"0")</f>
        <v>0</v>
      </c>
      <c r="P3328" s="33">
        <f t="shared" si="204"/>
        <v>0</v>
      </c>
      <c r="Q3328" s="31" t="str">
        <f t="shared" si="205"/>
        <v/>
      </c>
      <c r="R3328" s="32" t="str">
        <f>IFERROR(VLOOKUP($D3328,'Informations sur les produits'!$A$3:$B$15000,2,FALSE),"")</f>
        <v/>
      </c>
      <c r="V3328">
        <f t="shared" si="206"/>
        <v>0</v>
      </c>
      <c r="W3328">
        <f t="shared" si="207"/>
        <v>0</v>
      </c>
    </row>
    <row r="3329" spans="5:23" x14ac:dyDescent="0.25">
      <c r="E3329" s="4"/>
      <c r="F3329" s="4"/>
      <c r="G3329" s="33" t="str">
        <f>IFERROR(VLOOKUP($D3329,'Informations sur les produits'!$A$3:$H$10000,8,FALSE),"0")</f>
        <v>0</v>
      </c>
      <c r="K3329" s="4"/>
      <c r="L3329" s="33" t="str">
        <f>IFERROR(VLOOKUP($J3329,'Informations sur les produits'!$A$3:$H$10000,8,FALSE),"0")</f>
        <v>0</v>
      </c>
      <c r="N3329" s="8"/>
      <c r="O3329" s="33" t="str">
        <f>IFERROR(VLOOKUP($M3329,'Informations sur les produits'!$A$3:$H$10000,8,FALSE),"0")</f>
        <v>0</v>
      </c>
      <c r="P3329" s="33">
        <f t="shared" si="204"/>
        <v>0</v>
      </c>
      <c r="Q3329" s="31" t="str">
        <f t="shared" si="205"/>
        <v/>
      </c>
      <c r="R3329" s="32" t="str">
        <f>IFERROR(VLOOKUP($D3329,'Informations sur les produits'!$A$3:$B$15000,2,FALSE),"")</f>
        <v/>
      </c>
      <c r="V3329">
        <f t="shared" si="206"/>
        <v>0</v>
      </c>
      <c r="W3329">
        <f t="shared" si="207"/>
        <v>0</v>
      </c>
    </row>
    <row r="3330" spans="5:23" x14ac:dyDescent="0.25">
      <c r="E3330" s="4"/>
      <c r="F3330" s="4"/>
      <c r="G3330" s="33" t="str">
        <f>IFERROR(VLOOKUP($D3330,'Informations sur les produits'!$A$3:$H$10000,8,FALSE),"0")</f>
        <v>0</v>
      </c>
      <c r="K3330" s="4"/>
      <c r="L3330" s="33" t="str">
        <f>IFERROR(VLOOKUP($J3330,'Informations sur les produits'!$A$3:$H$10000,8,FALSE),"0")</f>
        <v>0</v>
      </c>
      <c r="N3330" s="8"/>
      <c r="O3330" s="33" t="str">
        <f>IFERROR(VLOOKUP($M3330,'Informations sur les produits'!$A$3:$H$10000,8,FALSE),"0")</f>
        <v>0</v>
      </c>
      <c r="P3330" s="33">
        <f t="shared" si="204"/>
        <v>0</v>
      </c>
      <c r="Q3330" s="31" t="str">
        <f t="shared" si="205"/>
        <v/>
      </c>
      <c r="R3330" s="32" t="str">
        <f>IFERROR(VLOOKUP($D3330,'Informations sur les produits'!$A$3:$B$15000,2,FALSE),"")</f>
        <v/>
      </c>
      <c r="V3330">
        <f t="shared" si="206"/>
        <v>0</v>
      </c>
      <c r="W3330">
        <f t="shared" si="207"/>
        <v>0</v>
      </c>
    </row>
    <row r="3331" spans="5:23" x14ac:dyDescent="0.25">
      <c r="E3331" s="4"/>
      <c r="F3331" s="4"/>
      <c r="G3331" s="33" t="str">
        <f>IFERROR(VLOOKUP($D3331,'Informations sur les produits'!$A$3:$H$10000,8,FALSE),"0")</f>
        <v>0</v>
      </c>
      <c r="K3331" s="4"/>
      <c r="L3331" s="33" t="str">
        <f>IFERROR(VLOOKUP($J3331,'Informations sur les produits'!$A$3:$H$10000,8,FALSE),"0")</f>
        <v>0</v>
      </c>
      <c r="N3331" s="8"/>
      <c r="O3331" s="33" t="str">
        <f>IFERROR(VLOOKUP($M3331,'Informations sur les produits'!$A$3:$H$10000,8,FALSE),"0")</f>
        <v>0</v>
      </c>
      <c r="P3331" s="33">
        <f t="shared" si="204"/>
        <v>0</v>
      </c>
      <c r="Q3331" s="31" t="str">
        <f t="shared" si="205"/>
        <v/>
      </c>
      <c r="R3331" s="32" t="str">
        <f>IFERROR(VLOOKUP($D3331,'Informations sur les produits'!$A$3:$B$15000,2,FALSE),"")</f>
        <v/>
      </c>
      <c r="V3331">
        <f t="shared" si="206"/>
        <v>0</v>
      </c>
      <c r="W3331">
        <f t="shared" si="207"/>
        <v>0</v>
      </c>
    </row>
    <row r="3332" spans="5:23" x14ac:dyDescent="0.25">
      <c r="E3332" s="4"/>
      <c r="F3332" s="4"/>
      <c r="G3332" s="33" t="str">
        <f>IFERROR(VLOOKUP($D3332,'Informations sur les produits'!$A$3:$H$10000,8,FALSE),"0")</f>
        <v>0</v>
      </c>
      <c r="K3332" s="4"/>
      <c r="L3332" s="33" t="str">
        <f>IFERROR(VLOOKUP($J3332,'Informations sur les produits'!$A$3:$H$10000,8,FALSE),"0")</f>
        <v>0</v>
      </c>
      <c r="N3332" s="8"/>
      <c r="O3332" s="33" t="str">
        <f>IFERROR(VLOOKUP($M3332,'Informations sur les produits'!$A$3:$H$10000,8,FALSE),"0")</f>
        <v>0</v>
      </c>
      <c r="P3332" s="33">
        <f t="shared" ref="P3332:P3395" si="208">IFERROR((($E3332-$F3332)*$G3332+$K3332*$L3332+$N3332*$O3332),"")</f>
        <v>0</v>
      </c>
      <c r="Q3332" s="31" t="str">
        <f t="shared" ref="Q3332:Q3395" si="209">IFERROR((((($E3332-$F3332)*$G3332+$K3332*$L3332+$N3332*$O3332)*1000)/(($E3332-$F3332)+$K3332+$N3332)),"")</f>
        <v/>
      </c>
      <c r="R3332" s="32" t="str">
        <f>IFERROR(VLOOKUP($D3332,'Informations sur les produits'!$A$3:$B$15000,2,FALSE),"")</f>
        <v/>
      </c>
      <c r="V3332">
        <f t="shared" ref="V3332:V3395" si="210">IFERROR(P3332*1000,"")</f>
        <v>0</v>
      </c>
      <c r="W3332">
        <f t="shared" ref="W3332:W3395" si="211">IFERROR(($E3332-$F3332)+$K3332+$N3332,"")</f>
        <v>0</v>
      </c>
    </row>
    <row r="3333" spans="5:23" x14ac:dyDescent="0.25">
      <c r="E3333" s="4"/>
      <c r="F3333" s="4"/>
      <c r="G3333" s="33" t="str">
        <f>IFERROR(VLOOKUP($D3333,'Informations sur les produits'!$A$3:$H$10000,8,FALSE),"0")</f>
        <v>0</v>
      </c>
      <c r="K3333" s="4"/>
      <c r="L3333" s="33" t="str">
        <f>IFERROR(VLOOKUP($J3333,'Informations sur les produits'!$A$3:$H$10000,8,FALSE),"0")</f>
        <v>0</v>
      </c>
      <c r="N3333" s="8"/>
      <c r="O3333" s="33" t="str">
        <f>IFERROR(VLOOKUP($M3333,'Informations sur les produits'!$A$3:$H$10000,8,FALSE),"0")</f>
        <v>0</v>
      </c>
      <c r="P3333" s="33">
        <f t="shared" si="208"/>
        <v>0</v>
      </c>
      <c r="Q3333" s="31" t="str">
        <f t="shared" si="209"/>
        <v/>
      </c>
      <c r="R3333" s="32" t="str">
        <f>IFERROR(VLOOKUP($D3333,'Informations sur les produits'!$A$3:$B$15000,2,FALSE),"")</f>
        <v/>
      </c>
      <c r="V3333">
        <f t="shared" si="210"/>
        <v>0</v>
      </c>
      <c r="W3333">
        <f t="shared" si="211"/>
        <v>0</v>
      </c>
    </row>
    <row r="3334" spans="5:23" x14ac:dyDescent="0.25">
      <c r="E3334" s="4"/>
      <c r="F3334" s="4"/>
      <c r="G3334" s="33" t="str">
        <f>IFERROR(VLOOKUP($D3334,'Informations sur les produits'!$A$3:$H$10000,8,FALSE),"0")</f>
        <v>0</v>
      </c>
      <c r="K3334" s="4"/>
      <c r="L3334" s="33" t="str">
        <f>IFERROR(VLOOKUP($J3334,'Informations sur les produits'!$A$3:$H$10000,8,FALSE),"0")</f>
        <v>0</v>
      </c>
      <c r="N3334" s="8"/>
      <c r="O3334" s="33" t="str">
        <f>IFERROR(VLOOKUP($M3334,'Informations sur les produits'!$A$3:$H$10000,8,FALSE),"0")</f>
        <v>0</v>
      </c>
      <c r="P3334" s="33">
        <f t="shared" si="208"/>
        <v>0</v>
      </c>
      <c r="Q3334" s="31" t="str">
        <f t="shared" si="209"/>
        <v/>
      </c>
      <c r="R3334" s="32" t="str">
        <f>IFERROR(VLOOKUP($D3334,'Informations sur les produits'!$A$3:$B$15000,2,FALSE),"")</f>
        <v/>
      </c>
      <c r="V3334">
        <f t="shared" si="210"/>
        <v>0</v>
      </c>
      <c r="W3334">
        <f t="shared" si="211"/>
        <v>0</v>
      </c>
    </row>
    <row r="3335" spans="5:23" x14ac:dyDescent="0.25">
      <c r="E3335" s="4"/>
      <c r="F3335" s="4"/>
      <c r="G3335" s="33" t="str">
        <f>IFERROR(VLOOKUP($D3335,'Informations sur les produits'!$A$3:$H$10000,8,FALSE),"0")</f>
        <v>0</v>
      </c>
      <c r="K3335" s="4"/>
      <c r="L3335" s="33" t="str">
        <f>IFERROR(VLOOKUP($J3335,'Informations sur les produits'!$A$3:$H$10000,8,FALSE),"0")</f>
        <v>0</v>
      </c>
      <c r="N3335" s="8"/>
      <c r="O3335" s="33" t="str">
        <f>IFERROR(VLOOKUP($M3335,'Informations sur les produits'!$A$3:$H$10000,8,FALSE),"0")</f>
        <v>0</v>
      </c>
      <c r="P3335" s="33">
        <f t="shared" si="208"/>
        <v>0</v>
      </c>
      <c r="Q3335" s="31" t="str">
        <f t="shared" si="209"/>
        <v/>
      </c>
      <c r="R3335" s="32" t="str">
        <f>IFERROR(VLOOKUP($D3335,'Informations sur les produits'!$A$3:$B$15000,2,FALSE),"")</f>
        <v/>
      </c>
      <c r="V3335">
        <f t="shared" si="210"/>
        <v>0</v>
      </c>
      <c r="W3335">
        <f t="shared" si="211"/>
        <v>0</v>
      </c>
    </row>
    <row r="3336" spans="5:23" x14ac:dyDescent="0.25">
      <c r="E3336" s="4"/>
      <c r="F3336" s="4"/>
      <c r="G3336" s="33" t="str">
        <f>IFERROR(VLOOKUP($D3336,'Informations sur les produits'!$A$3:$H$10000,8,FALSE),"0")</f>
        <v>0</v>
      </c>
      <c r="K3336" s="4"/>
      <c r="L3336" s="33" t="str">
        <f>IFERROR(VLOOKUP($J3336,'Informations sur les produits'!$A$3:$H$10000,8,FALSE),"0")</f>
        <v>0</v>
      </c>
      <c r="N3336" s="8"/>
      <c r="O3336" s="33" t="str">
        <f>IFERROR(VLOOKUP($M3336,'Informations sur les produits'!$A$3:$H$10000,8,FALSE),"0")</f>
        <v>0</v>
      </c>
      <c r="P3336" s="33">
        <f t="shared" si="208"/>
        <v>0</v>
      </c>
      <c r="Q3336" s="31" t="str">
        <f t="shared" si="209"/>
        <v/>
      </c>
      <c r="R3336" s="32" t="str">
        <f>IFERROR(VLOOKUP($D3336,'Informations sur les produits'!$A$3:$B$15000,2,FALSE),"")</f>
        <v/>
      </c>
      <c r="V3336">
        <f t="shared" si="210"/>
        <v>0</v>
      </c>
      <c r="W3336">
        <f t="shared" si="211"/>
        <v>0</v>
      </c>
    </row>
    <row r="3337" spans="5:23" x14ac:dyDescent="0.25">
      <c r="E3337" s="4"/>
      <c r="F3337" s="4"/>
      <c r="G3337" s="33" t="str">
        <f>IFERROR(VLOOKUP($D3337,'Informations sur les produits'!$A$3:$H$10000,8,FALSE),"0")</f>
        <v>0</v>
      </c>
      <c r="K3337" s="4"/>
      <c r="L3337" s="33" t="str">
        <f>IFERROR(VLOOKUP($J3337,'Informations sur les produits'!$A$3:$H$10000,8,FALSE),"0")</f>
        <v>0</v>
      </c>
      <c r="N3337" s="8"/>
      <c r="O3337" s="33" t="str">
        <f>IFERROR(VLOOKUP($M3337,'Informations sur les produits'!$A$3:$H$10000,8,FALSE),"0")</f>
        <v>0</v>
      </c>
      <c r="P3337" s="33">
        <f t="shared" si="208"/>
        <v>0</v>
      </c>
      <c r="Q3337" s="31" t="str">
        <f t="shared" si="209"/>
        <v/>
      </c>
      <c r="R3337" s="32" t="str">
        <f>IFERROR(VLOOKUP($D3337,'Informations sur les produits'!$A$3:$B$15000,2,FALSE),"")</f>
        <v/>
      </c>
      <c r="V3337">
        <f t="shared" si="210"/>
        <v>0</v>
      </c>
      <c r="W3337">
        <f t="shared" si="211"/>
        <v>0</v>
      </c>
    </row>
    <row r="3338" spans="5:23" x14ac:dyDescent="0.25">
      <c r="E3338" s="4"/>
      <c r="F3338" s="4"/>
      <c r="G3338" s="33" t="str">
        <f>IFERROR(VLOOKUP($D3338,'Informations sur les produits'!$A$3:$H$10000,8,FALSE),"0")</f>
        <v>0</v>
      </c>
      <c r="K3338" s="4"/>
      <c r="L3338" s="33" t="str">
        <f>IFERROR(VLOOKUP($J3338,'Informations sur les produits'!$A$3:$H$10000,8,FALSE),"0")</f>
        <v>0</v>
      </c>
      <c r="N3338" s="8"/>
      <c r="O3338" s="33" t="str">
        <f>IFERROR(VLOOKUP($M3338,'Informations sur les produits'!$A$3:$H$10000,8,FALSE),"0")</f>
        <v>0</v>
      </c>
      <c r="P3338" s="33">
        <f t="shared" si="208"/>
        <v>0</v>
      </c>
      <c r="Q3338" s="31" t="str">
        <f t="shared" si="209"/>
        <v/>
      </c>
      <c r="R3338" s="32" t="str">
        <f>IFERROR(VLOOKUP($D3338,'Informations sur les produits'!$A$3:$B$15000,2,FALSE),"")</f>
        <v/>
      </c>
      <c r="V3338">
        <f t="shared" si="210"/>
        <v>0</v>
      </c>
      <c r="W3338">
        <f t="shared" si="211"/>
        <v>0</v>
      </c>
    </row>
    <row r="3339" spans="5:23" x14ac:dyDescent="0.25">
      <c r="E3339" s="4"/>
      <c r="F3339" s="4"/>
      <c r="G3339" s="33" t="str">
        <f>IFERROR(VLOOKUP($D3339,'Informations sur les produits'!$A$3:$H$10000,8,FALSE),"0")</f>
        <v>0</v>
      </c>
      <c r="K3339" s="4"/>
      <c r="L3339" s="33" t="str">
        <f>IFERROR(VLOOKUP($J3339,'Informations sur les produits'!$A$3:$H$10000,8,FALSE),"0")</f>
        <v>0</v>
      </c>
      <c r="N3339" s="8"/>
      <c r="O3339" s="33" t="str">
        <f>IFERROR(VLOOKUP($M3339,'Informations sur les produits'!$A$3:$H$10000,8,FALSE),"0")</f>
        <v>0</v>
      </c>
      <c r="P3339" s="33">
        <f t="shared" si="208"/>
        <v>0</v>
      </c>
      <c r="Q3339" s="31" t="str">
        <f t="shared" si="209"/>
        <v/>
      </c>
      <c r="R3339" s="32" t="str">
        <f>IFERROR(VLOOKUP($D3339,'Informations sur les produits'!$A$3:$B$15000,2,FALSE),"")</f>
        <v/>
      </c>
      <c r="V3339">
        <f t="shared" si="210"/>
        <v>0</v>
      </c>
      <c r="W3339">
        <f t="shared" si="211"/>
        <v>0</v>
      </c>
    </row>
    <row r="3340" spans="5:23" x14ac:dyDescent="0.25">
      <c r="E3340" s="4"/>
      <c r="F3340" s="4"/>
      <c r="G3340" s="33" t="str">
        <f>IFERROR(VLOOKUP($D3340,'Informations sur les produits'!$A$3:$H$10000,8,FALSE),"0")</f>
        <v>0</v>
      </c>
      <c r="K3340" s="4"/>
      <c r="L3340" s="33" t="str">
        <f>IFERROR(VLOOKUP($J3340,'Informations sur les produits'!$A$3:$H$10000,8,FALSE),"0")</f>
        <v>0</v>
      </c>
      <c r="N3340" s="8"/>
      <c r="O3340" s="33" t="str">
        <f>IFERROR(VLOOKUP($M3340,'Informations sur les produits'!$A$3:$H$10000,8,FALSE),"0")</f>
        <v>0</v>
      </c>
      <c r="P3340" s="33">
        <f t="shared" si="208"/>
        <v>0</v>
      </c>
      <c r="Q3340" s="31" t="str">
        <f t="shared" si="209"/>
        <v/>
      </c>
      <c r="R3340" s="32" t="str">
        <f>IFERROR(VLOOKUP($D3340,'Informations sur les produits'!$A$3:$B$15000,2,FALSE),"")</f>
        <v/>
      </c>
      <c r="V3340">
        <f t="shared" si="210"/>
        <v>0</v>
      </c>
      <c r="W3340">
        <f t="shared" si="211"/>
        <v>0</v>
      </c>
    </row>
    <row r="3341" spans="5:23" x14ac:dyDescent="0.25">
      <c r="E3341" s="4"/>
      <c r="F3341" s="4"/>
      <c r="G3341" s="33" t="str">
        <f>IFERROR(VLOOKUP($D3341,'Informations sur les produits'!$A$3:$H$10000,8,FALSE),"0")</f>
        <v>0</v>
      </c>
      <c r="K3341" s="4"/>
      <c r="L3341" s="33" t="str">
        <f>IFERROR(VLOOKUP($J3341,'Informations sur les produits'!$A$3:$H$10000,8,FALSE),"0")</f>
        <v>0</v>
      </c>
      <c r="N3341" s="8"/>
      <c r="O3341" s="33" t="str">
        <f>IFERROR(VLOOKUP($M3341,'Informations sur les produits'!$A$3:$H$10000,8,FALSE),"0")</f>
        <v>0</v>
      </c>
      <c r="P3341" s="33">
        <f t="shared" si="208"/>
        <v>0</v>
      </c>
      <c r="Q3341" s="31" t="str">
        <f t="shared" si="209"/>
        <v/>
      </c>
      <c r="R3341" s="32" t="str">
        <f>IFERROR(VLOOKUP($D3341,'Informations sur les produits'!$A$3:$B$15000,2,FALSE),"")</f>
        <v/>
      </c>
      <c r="V3341">
        <f t="shared" si="210"/>
        <v>0</v>
      </c>
      <c r="W3341">
        <f t="shared" si="211"/>
        <v>0</v>
      </c>
    </row>
    <row r="3342" spans="5:23" x14ac:dyDescent="0.25">
      <c r="E3342" s="4"/>
      <c r="F3342" s="4"/>
      <c r="G3342" s="33" t="str">
        <f>IFERROR(VLOOKUP($D3342,'Informations sur les produits'!$A$3:$H$10000,8,FALSE),"0")</f>
        <v>0</v>
      </c>
      <c r="K3342" s="4"/>
      <c r="L3342" s="33" t="str">
        <f>IFERROR(VLOOKUP($J3342,'Informations sur les produits'!$A$3:$H$10000,8,FALSE),"0")</f>
        <v>0</v>
      </c>
      <c r="N3342" s="8"/>
      <c r="O3342" s="33" t="str">
        <f>IFERROR(VLOOKUP($M3342,'Informations sur les produits'!$A$3:$H$10000,8,FALSE),"0")</f>
        <v>0</v>
      </c>
      <c r="P3342" s="33">
        <f t="shared" si="208"/>
        <v>0</v>
      </c>
      <c r="Q3342" s="31" t="str">
        <f t="shared" si="209"/>
        <v/>
      </c>
      <c r="R3342" s="32" t="str">
        <f>IFERROR(VLOOKUP($D3342,'Informations sur les produits'!$A$3:$B$15000,2,FALSE),"")</f>
        <v/>
      </c>
      <c r="V3342">
        <f t="shared" si="210"/>
        <v>0</v>
      </c>
      <c r="W3342">
        <f t="shared" si="211"/>
        <v>0</v>
      </c>
    </row>
    <row r="3343" spans="5:23" x14ac:dyDescent="0.25">
      <c r="E3343" s="4"/>
      <c r="F3343" s="4"/>
      <c r="G3343" s="33" t="str">
        <f>IFERROR(VLOOKUP($D3343,'Informations sur les produits'!$A$3:$H$10000,8,FALSE),"0")</f>
        <v>0</v>
      </c>
      <c r="K3343" s="4"/>
      <c r="L3343" s="33" t="str">
        <f>IFERROR(VLOOKUP($J3343,'Informations sur les produits'!$A$3:$H$10000,8,FALSE),"0")</f>
        <v>0</v>
      </c>
      <c r="N3343" s="8"/>
      <c r="O3343" s="33" t="str">
        <f>IFERROR(VLOOKUP($M3343,'Informations sur les produits'!$A$3:$H$10000,8,FALSE),"0")</f>
        <v>0</v>
      </c>
      <c r="P3343" s="33">
        <f t="shared" si="208"/>
        <v>0</v>
      </c>
      <c r="Q3343" s="31" t="str">
        <f t="shared" si="209"/>
        <v/>
      </c>
      <c r="R3343" s="32" t="str">
        <f>IFERROR(VLOOKUP($D3343,'Informations sur les produits'!$A$3:$B$15000,2,FALSE),"")</f>
        <v/>
      </c>
      <c r="V3343">
        <f t="shared" si="210"/>
        <v>0</v>
      </c>
      <c r="W3343">
        <f t="shared" si="211"/>
        <v>0</v>
      </c>
    </row>
    <row r="3344" spans="5:23" x14ac:dyDescent="0.25">
      <c r="E3344" s="4"/>
      <c r="F3344" s="4"/>
      <c r="G3344" s="33" t="str">
        <f>IFERROR(VLOOKUP($D3344,'Informations sur les produits'!$A$3:$H$10000,8,FALSE),"0")</f>
        <v>0</v>
      </c>
      <c r="K3344" s="4"/>
      <c r="L3344" s="33" t="str">
        <f>IFERROR(VLOOKUP($J3344,'Informations sur les produits'!$A$3:$H$10000,8,FALSE),"0")</f>
        <v>0</v>
      </c>
      <c r="N3344" s="8"/>
      <c r="O3344" s="33" t="str">
        <f>IFERROR(VLOOKUP($M3344,'Informations sur les produits'!$A$3:$H$10000,8,FALSE),"0")</f>
        <v>0</v>
      </c>
      <c r="P3344" s="33">
        <f t="shared" si="208"/>
        <v>0</v>
      </c>
      <c r="Q3344" s="31" t="str">
        <f t="shared" si="209"/>
        <v/>
      </c>
      <c r="R3344" s="32" t="str">
        <f>IFERROR(VLOOKUP($D3344,'Informations sur les produits'!$A$3:$B$15000,2,FALSE),"")</f>
        <v/>
      </c>
      <c r="V3344">
        <f t="shared" si="210"/>
        <v>0</v>
      </c>
      <c r="W3344">
        <f t="shared" si="211"/>
        <v>0</v>
      </c>
    </row>
    <row r="3345" spans="5:23" x14ac:dyDescent="0.25">
      <c r="E3345" s="4"/>
      <c r="F3345" s="4"/>
      <c r="G3345" s="33" t="str">
        <f>IFERROR(VLOOKUP($D3345,'Informations sur les produits'!$A$3:$H$10000,8,FALSE),"0")</f>
        <v>0</v>
      </c>
      <c r="K3345" s="4"/>
      <c r="L3345" s="33" t="str">
        <f>IFERROR(VLOOKUP($J3345,'Informations sur les produits'!$A$3:$H$10000,8,FALSE),"0")</f>
        <v>0</v>
      </c>
      <c r="N3345" s="8"/>
      <c r="O3345" s="33" t="str">
        <f>IFERROR(VLOOKUP($M3345,'Informations sur les produits'!$A$3:$H$10000,8,FALSE),"0")</f>
        <v>0</v>
      </c>
      <c r="P3345" s="33">
        <f t="shared" si="208"/>
        <v>0</v>
      </c>
      <c r="Q3345" s="31" t="str">
        <f t="shared" si="209"/>
        <v/>
      </c>
      <c r="R3345" s="32" t="str">
        <f>IFERROR(VLOOKUP($D3345,'Informations sur les produits'!$A$3:$B$15000,2,FALSE),"")</f>
        <v/>
      </c>
      <c r="V3345">
        <f t="shared" si="210"/>
        <v>0</v>
      </c>
      <c r="W3345">
        <f t="shared" si="211"/>
        <v>0</v>
      </c>
    </row>
    <row r="3346" spans="5:23" x14ac:dyDescent="0.25">
      <c r="E3346" s="4"/>
      <c r="F3346" s="4"/>
      <c r="G3346" s="33" t="str">
        <f>IFERROR(VLOOKUP($D3346,'Informations sur les produits'!$A$3:$H$10000,8,FALSE),"0")</f>
        <v>0</v>
      </c>
      <c r="K3346" s="4"/>
      <c r="L3346" s="33" t="str">
        <f>IFERROR(VLOOKUP($J3346,'Informations sur les produits'!$A$3:$H$10000,8,FALSE),"0")</f>
        <v>0</v>
      </c>
      <c r="N3346" s="8"/>
      <c r="O3346" s="33" t="str">
        <f>IFERROR(VLOOKUP($M3346,'Informations sur les produits'!$A$3:$H$10000,8,FALSE),"0")</f>
        <v>0</v>
      </c>
      <c r="P3346" s="33">
        <f t="shared" si="208"/>
        <v>0</v>
      </c>
      <c r="Q3346" s="31" t="str">
        <f t="shared" si="209"/>
        <v/>
      </c>
      <c r="R3346" s="32" t="str">
        <f>IFERROR(VLOOKUP($D3346,'Informations sur les produits'!$A$3:$B$15000,2,FALSE),"")</f>
        <v/>
      </c>
      <c r="V3346">
        <f t="shared" si="210"/>
        <v>0</v>
      </c>
      <c r="W3346">
        <f t="shared" si="211"/>
        <v>0</v>
      </c>
    </row>
    <row r="3347" spans="5:23" x14ac:dyDescent="0.25">
      <c r="E3347" s="4"/>
      <c r="F3347" s="4"/>
      <c r="G3347" s="33" t="str">
        <f>IFERROR(VLOOKUP($D3347,'Informations sur les produits'!$A$3:$H$10000,8,FALSE),"0")</f>
        <v>0</v>
      </c>
      <c r="K3347" s="4"/>
      <c r="L3347" s="33" t="str">
        <f>IFERROR(VLOOKUP($J3347,'Informations sur les produits'!$A$3:$H$10000,8,FALSE),"0")</f>
        <v>0</v>
      </c>
      <c r="N3347" s="8"/>
      <c r="O3347" s="33" t="str">
        <f>IFERROR(VLOOKUP($M3347,'Informations sur les produits'!$A$3:$H$10000,8,FALSE),"0")</f>
        <v>0</v>
      </c>
      <c r="P3347" s="33">
        <f t="shared" si="208"/>
        <v>0</v>
      </c>
      <c r="Q3347" s="31" t="str">
        <f t="shared" si="209"/>
        <v/>
      </c>
      <c r="R3347" s="32" t="str">
        <f>IFERROR(VLOOKUP($D3347,'Informations sur les produits'!$A$3:$B$15000,2,FALSE),"")</f>
        <v/>
      </c>
      <c r="V3347">
        <f t="shared" si="210"/>
        <v>0</v>
      </c>
      <c r="W3347">
        <f t="shared" si="211"/>
        <v>0</v>
      </c>
    </row>
    <row r="3348" spans="5:23" x14ac:dyDescent="0.25">
      <c r="E3348" s="4"/>
      <c r="F3348" s="4"/>
      <c r="G3348" s="33" t="str">
        <f>IFERROR(VLOOKUP($D3348,'Informations sur les produits'!$A$3:$H$10000,8,FALSE),"0")</f>
        <v>0</v>
      </c>
      <c r="K3348" s="4"/>
      <c r="L3348" s="33" t="str">
        <f>IFERROR(VLOOKUP($J3348,'Informations sur les produits'!$A$3:$H$10000,8,FALSE),"0")</f>
        <v>0</v>
      </c>
      <c r="N3348" s="8"/>
      <c r="O3348" s="33" t="str">
        <f>IFERROR(VLOOKUP($M3348,'Informations sur les produits'!$A$3:$H$10000,8,FALSE),"0")</f>
        <v>0</v>
      </c>
      <c r="P3348" s="33">
        <f t="shared" si="208"/>
        <v>0</v>
      </c>
      <c r="Q3348" s="31" t="str">
        <f t="shared" si="209"/>
        <v/>
      </c>
      <c r="R3348" s="32" t="str">
        <f>IFERROR(VLOOKUP($D3348,'Informations sur les produits'!$A$3:$B$15000,2,FALSE),"")</f>
        <v/>
      </c>
      <c r="V3348">
        <f t="shared" si="210"/>
        <v>0</v>
      </c>
      <c r="W3348">
        <f t="shared" si="211"/>
        <v>0</v>
      </c>
    </row>
    <row r="3349" spans="5:23" x14ac:dyDescent="0.25">
      <c r="E3349" s="4"/>
      <c r="F3349" s="4"/>
      <c r="G3349" s="33" t="str">
        <f>IFERROR(VLOOKUP($D3349,'Informations sur les produits'!$A$3:$H$10000,8,FALSE),"0")</f>
        <v>0</v>
      </c>
      <c r="K3349" s="4"/>
      <c r="L3349" s="33" t="str">
        <f>IFERROR(VLOOKUP($J3349,'Informations sur les produits'!$A$3:$H$10000,8,FALSE),"0")</f>
        <v>0</v>
      </c>
      <c r="N3349" s="8"/>
      <c r="O3349" s="33" t="str">
        <f>IFERROR(VLOOKUP($M3349,'Informations sur les produits'!$A$3:$H$10000,8,FALSE),"0")</f>
        <v>0</v>
      </c>
      <c r="P3349" s="33">
        <f t="shared" si="208"/>
        <v>0</v>
      </c>
      <c r="Q3349" s="31" t="str">
        <f t="shared" si="209"/>
        <v/>
      </c>
      <c r="R3349" s="32" t="str">
        <f>IFERROR(VLOOKUP($D3349,'Informations sur les produits'!$A$3:$B$15000,2,FALSE),"")</f>
        <v/>
      </c>
      <c r="V3349">
        <f t="shared" si="210"/>
        <v>0</v>
      </c>
      <c r="W3349">
        <f t="shared" si="211"/>
        <v>0</v>
      </c>
    </row>
    <row r="3350" spans="5:23" x14ac:dyDescent="0.25">
      <c r="E3350" s="4"/>
      <c r="F3350" s="4"/>
      <c r="G3350" s="33" t="str">
        <f>IFERROR(VLOOKUP($D3350,'Informations sur les produits'!$A$3:$H$10000,8,FALSE),"0")</f>
        <v>0</v>
      </c>
      <c r="K3350" s="4"/>
      <c r="L3350" s="33" t="str">
        <f>IFERROR(VLOOKUP($J3350,'Informations sur les produits'!$A$3:$H$10000,8,FALSE),"0")</f>
        <v>0</v>
      </c>
      <c r="N3350" s="8"/>
      <c r="O3350" s="33" t="str">
        <f>IFERROR(VLOOKUP($M3350,'Informations sur les produits'!$A$3:$H$10000,8,FALSE),"0")</f>
        <v>0</v>
      </c>
      <c r="P3350" s="33">
        <f t="shared" si="208"/>
        <v>0</v>
      </c>
      <c r="Q3350" s="31" t="str">
        <f t="shared" si="209"/>
        <v/>
      </c>
      <c r="R3350" s="32" t="str">
        <f>IFERROR(VLOOKUP($D3350,'Informations sur les produits'!$A$3:$B$15000,2,FALSE),"")</f>
        <v/>
      </c>
      <c r="V3350">
        <f t="shared" si="210"/>
        <v>0</v>
      </c>
      <c r="W3350">
        <f t="shared" si="211"/>
        <v>0</v>
      </c>
    </row>
    <row r="3351" spans="5:23" x14ac:dyDescent="0.25">
      <c r="E3351" s="4"/>
      <c r="F3351" s="4"/>
      <c r="G3351" s="33" t="str">
        <f>IFERROR(VLOOKUP($D3351,'Informations sur les produits'!$A$3:$H$10000,8,FALSE),"0")</f>
        <v>0</v>
      </c>
      <c r="K3351" s="4"/>
      <c r="L3351" s="33" t="str">
        <f>IFERROR(VLOOKUP($J3351,'Informations sur les produits'!$A$3:$H$10000,8,FALSE),"0")</f>
        <v>0</v>
      </c>
      <c r="N3351" s="8"/>
      <c r="O3351" s="33" t="str">
        <f>IFERROR(VLOOKUP($M3351,'Informations sur les produits'!$A$3:$H$10000,8,FALSE),"0")</f>
        <v>0</v>
      </c>
      <c r="P3351" s="33">
        <f t="shared" si="208"/>
        <v>0</v>
      </c>
      <c r="Q3351" s="31" t="str">
        <f t="shared" si="209"/>
        <v/>
      </c>
      <c r="R3351" s="32" t="str">
        <f>IFERROR(VLOOKUP($D3351,'Informations sur les produits'!$A$3:$B$15000,2,FALSE),"")</f>
        <v/>
      </c>
      <c r="V3351">
        <f t="shared" si="210"/>
        <v>0</v>
      </c>
      <c r="W3351">
        <f t="shared" si="211"/>
        <v>0</v>
      </c>
    </row>
    <row r="3352" spans="5:23" x14ac:dyDescent="0.25">
      <c r="E3352" s="4"/>
      <c r="F3352" s="4"/>
      <c r="G3352" s="33" t="str">
        <f>IFERROR(VLOOKUP($D3352,'Informations sur les produits'!$A$3:$H$10000,8,FALSE),"0")</f>
        <v>0</v>
      </c>
      <c r="K3352" s="4"/>
      <c r="L3352" s="33" t="str">
        <f>IFERROR(VLOOKUP($J3352,'Informations sur les produits'!$A$3:$H$10000,8,FALSE),"0")</f>
        <v>0</v>
      </c>
      <c r="N3352" s="8"/>
      <c r="O3352" s="33" t="str">
        <f>IFERROR(VLOOKUP($M3352,'Informations sur les produits'!$A$3:$H$10000,8,FALSE),"0")</f>
        <v>0</v>
      </c>
      <c r="P3352" s="33">
        <f t="shared" si="208"/>
        <v>0</v>
      </c>
      <c r="Q3352" s="31" t="str">
        <f t="shared" si="209"/>
        <v/>
      </c>
      <c r="R3352" s="32" t="str">
        <f>IFERROR(VLOOKUP($D3352,'Informations sur les produits'!$A$3:$B$15000,2,FALSE),"")</f>
        <v/>
      </c>
      <c r="V3352">
        <f t="shared" si="210"/>
        <v>0</v>
      </c>
      <c r="W3352">
        <f t="shared" si="211"/>
        <v>0</v>
      </c>
    </row>
    <row r="3353" spans="5:23" x14ac:dyDescent="0.25">
      <c r="E3353" s="4"/>
      <c r="F3353" s="4"/>
      <c r="G3353" s="33" t="str">
        <f>IFERROR(VLOOKUP($D3353,'Informations sur les produits'!$A$3:$H$10000,8,FALSE),"0")</f>
        <v>0</v>
      </c>
      <c r="K3353" s="4"/>
      <c r="L3353" s="33" t="str">
        <f>IFERROR(VLOOKUP($J3353,'Informations sur les produits'!$A$3:$H$10000,8,FALSE),"0")</f>
        <v>0</v>
      </c>
      <c r="N3353" s="8"/>
      <c r="O3353" s="33" t="str">
        <f>IFERROR(VLOOKUP($M3353,'Informations sur les produits'!$A$3:$H$10000,8,FALSE),"0")</f>
        <v>0</v>
      </c>
      <c r="P3353" s="33">
        <f t="shared" si="208"/>
        <v>0</v>
      </c>
      <c r="Q3353" s="31" t="str">
        <f t="shared" si="209"/>
        <v/>
      </c>
      <c r="R3353" s="32" t="str">
        <f>IFERROR(VLOOKUP($D3353,'Informations sur les produits'!$A$3:$B$15000,2,FALSE),"")</f>
        <v/>
      </c>
      <c r="V3353">
        <f t="shared" si="210"/>
        <v>0</v>
      </c>
      <c r="W3353">
        <f t="shared" si="211"/>
        <v>0</v>
      </c>
    </row>
    <row r="3354" spans="5:23" x14ac:dyDescent="0.25">
      <c r="E3354" s="4"/>
      <c r="F3354" s="4"/>
      <c r="G3354" s="33" t="str">
        <f>IFERROR(VLOOKUP($D3354,'Informations sur les produits'!$A$3:$H$10000,8,FALSE),"0")</f>
        <v>0</v>
      </c>
      <c r="K3354" s="4"/>
      <c r="L3354" s="33" t="str">
        <f>IFERROR(VLOOKUP($J3354,'Informations sur les produits'!$A$3:$H$10000,8,FALSE),"0")</f>
        <v>0</v>
      </c>
      <c r="N3354" s="8"/>
      <c r="O3354" s="33" t="str">
        <f>IFERROR(VLOOKUP($M3354,'Informations sur les produits'!$A$3:$H$10000,8,FALSE),"0")</f>
        <v>0</v>
      </c>
      <c r="P3354" s="33">
        <f t="shared" si="208"/>
        <v>0</v>
      </c>
      <c r="Q3354" s="31" t="str">
        <f t="shared" si="209"/>
        <v/>
      </c>
      <c r="R3354" s="32" t="str">
        <f>IFERROR(VLOOKUP($D3354,'Informations sur les produits'!$A$3:$B$15000,2,FALSE),"")</f>
        <v/>
      </c>
      <c r="V3354">
        <f t="shared" si="210"/>
        <v>0</v>
      </c>
      <c r="W3354">
        <f t="shared" si="211"/>
        <v>0</v>
      </c>
    </row>
    <row r="3355" spans="5:23" x14ac:dyDescent="0.25">
      <c r="E3355" s="4"/>
      <c r="F3355" s="4"/>
      <c r="G3355" s="33" t="str">
        <f>IFERROR(VLOOKUP($D3355,'Informations sur les produits'!$A$3:$H$10000,8,FALSE),"0")</f>
        <v>0</v>
      </c>
      <c r="K3355" s="4"/>
      <c r="L3355" s="33" t="str">
        <f>IFERROR(VLOOKUP($J3355,'Informations sur les produits'!$A$3:$H$10000,8,FALSE),"0")</f>
        <v>0</v>
      </c>
      <c r="N3355" s="8"/>
      <c r="O3355" s="33" t="str">
        <f>IFERROR(VLOOKUP($M3355,'Informations sur les produits'!$A$3:$H$10000,8,FALSE),"0")</f>
        <v>0</v>
      </c>
      <c r="P3355" s="33">
        <f t="shared" si="208"/>
        <v>0</v>
      </c>
      <c r="Q3355" s="31" t="str">
        <f t="shared" si="209"/>
        <v/>
      </c>
      <c r="R3355" s="32" t="str">
        <f>IFERROR(VLOOKUP($D3355,'Informations sur les produits'!$A$3:$B$15000,2,FALSE),"")</f>
        <v/>
      </c>
      <c r="V3355">
        <f t="shared" si="210"/>
        <v>0</v>
      </c>
      <c r="W3355">
        <f t="shared" si="211"/>
        <v>0</v>
      </c>
    </row>
    <row r="3356" spans="5:23" x14ac:dyDescent="0.25">
      <c r="E3356" s="4"/>
      <c r="F3356" s="4"/>
      <c r="G3356" s="33" t="str">
        <f>IFERROR(VLOOKUP($D3356,'Informations sur les produits'!$A$3:$H$10000,8,FALSE),"0")</f>
        <v>0</v>
      </c>
      <c r="K3356" s="4"/>
      <c r="L3356" s="33" t="str">
        <f>IFERROR(VLOOKUP($J3356,'Informations sur les produits'!$A$3:$H$10000,8,FALSE),"0")</f>
        <v>0</v>
      </c>
      <c r="N3356" s="8"/>
      <c r="O3356" s="33" t="str">
        <f>IFERROR(VLOOKUP($M3356,'Informations sur les produits'!$A$3:$H$10000,8,FALSE),"0")</f>
        <v>0</v>
      </c>
      <c r="P3356" s="33">
        <f t="shared" si="208"/>
        <v>0</v>
      </c>
      <c r="Q3356" s="31" t="str">
        <f t="shared" si="209"/>
        <v/>
      </c>
      <c r="R3356" s="32" t="str">
        <f>IFERROR(VLOOKUP($D3356,'Informations sur les produits'!$A$3:$B$15000,2,FALSE),"")</f>
        <v/>
      </c>
      <c r="V3356">
        <f t="shared" si="210"/>
        <v>0</v>
      </c>
      <c r="W3356">
        <f t="shared" si="211"/>
        <v>0</v>
      </c>
    </row>
    <row r="3357" spans="5:23" x14ac:dyDescent="0.25">
      <c r="E3357" s="4"/>
      <c r="F3357" s="4"/>
      <c r="G3357" s="33" t="str">
        <f>IFERROR(VLOOKUP($D3357,'Informations sur les produits'!$A$3:$H$10000,8,FALSE),"0")</f>
        <v>0</v>
      </c>
      <c r="K3357" s="4"/>
      <c r="L3357" s="33" t="str">
        <f>IFERROR(VLOOKUP($J3357,'Informations sur les produits'!$A$3:$H$10000,8,FALSE),"0")</f>
        <v>0</v>
      </c>
      <c r="N3357" s="8"/>
      <c r="O3357" s="33" t="str">
        <f>IFERROR(VLOOKUP($M3357,'Informations sur les produits'!$A$3:$H$10000,8,FALSE),"0")</f>
        <v>0</v>
      </c>
      <c r="P3357" s="33">
        <f t="shared" si="208"/>
        <v>0</v>
      </c>
      <c r="Q3357" s="31" t="str">
        <f t="shared" si="209"/>
        <v/>
      </c>
      <c r="R3357" s="32" t="str">
        <f>IFERROR(VLOOKUP($D3357,'Informations sur les produits'!$A$3:$B$15000,2,FALSE),"")</f>
        <v/>
      </c>
      <c r="V3357">
        <f t="shared" si="210"/>
        <v>0</v>
      </c>
      <c r="W3357">
        <f t="shared" si="211"/>
        <v>0</v>
      </c>
    </row>
    <row r="3358" spans="5:23" x14ac:dyDescent="0.25">
      <c r="E3358" s="4"/>
      <c r="F3358" s="4"/>
      <c r="G3358" s="33" t="str">
        <f>IFERROR(VLOOKUP($D3358,'Informations sur les produits'!$A$3:$H$10000,8,FALSE),"0")</f>
        <v>0</v>
      </c>
      <c r="K3358" s="4"/>
      <c r="L3358" s="33" t="str">
        <f>IFERROR(VLOOKUP($J3358,'Informations sur les produits'!$A$3:$H$10000,8,FALSE),"0")</f>
        <v>0</v>
      </c>
      <c r="N3358" s="8"/>
      <c r="O3358" s="33" t="str">
        <f>IFERROR(VLOOKUP($M3358,'Informations sur les produits'!$A$3:$H$10000,8,FALSE),"0")</f>
        <v>0</v>
      </c>
      <c r="P3358" s="33">
        <f t="shared" si="208"/>
        <v>0</v>
      </c>
      <c r="Q3358" s="31" t="str">
        <f t="shared" si="209"/>
        <v/>
      </c>
      <c r="R3358" s="32" t="str">
        <f>IFERROR(VLOOKUP($D3358,'Informations sur les produits'!$A$3:$B$15000,2,FALSE),"")</f>
        <v/>
      </c>
      <c r="V3358">
        <f t="shared" si="210"/>
        <v>0</v>
      </c>
      <c r="W3358">
        <f t="shared" si="211"/>
        <v>0</v>
      </c>
    </row>
    <row r="3359" spans="5:23" x14ac:dyDescent="0.25">
      <c r="E3359" s="4"/>
      <c r="F3359" s="4"/>
      <c r="G3359" s="33" t="str">
        <f>IFERROR(VLOOKUP($D3359,'Informations sur les produits'!$A$3:$H$10000,8,FALSE),"0")</f>
        <v>0</v>
      </c>
      <c r="K3359" s="4"/>
      <c r="L3359" s="33" t="str">
        <f>IFERROR(VLOOKUP($J3359,'Informations sur les produits'!$A$3:$H$10000,8,FALSE),"0")</f>
        <v>0</v>
      </c>
      <c r="N3359" s="8"/>
      <c r="O3359" s="33" t="str">
        <f>IFERROR(VLOOKUP($M3359,'Informations sur les produits'!$A$3:$H$10000,8,FALSE),"0")</f>
        <v>0</v>
      </c>
      <c r="P3359" s="33">
        <f t="shared" si="208"/>
        <v>0</v>
      </c>
      <c r="Q3359" s="31" t="str">
        <f t="shared" si="209"/>
        <v/>
      </c>
      <c r="R3359" s="32" t="str">
        <f>IFERROR(VLOOKUP($D3359,'Informations sur les produits'!$A$3:$B$15000,2,FALSE),"")</f>
        <v/>
      </c>
      <c r="V3359">
        <f t="shared" si="210"/>
        <v>0</v>
      </c>
      <c r="W3359">
        <f t="shared" si="211"/>
        <v>0</v>
      </c>
    </row>
    <row r="3360" spans="5:23" x14ac:dyDescent="0.25">
      <c r="E3360" s="4"/>
      <c r="F3360" s="4"/>
      <c r="G3360" s="33" t="str">
        <f>IFERROR(VLOOKUP($D3360,'Informations sur les produits'!$A$3:$H$10000,8,FALSE),"0")</f>
        <v>0</v>
      </c>
      <c r="K3360" s="4"/>
      <c r="L3360" s="33" t="str">
        <f>IFERROR(VLOOKUP($J3360,'Informations sur les produits'!$A$3:$H$10000,8,FALSE),"0")</f>
        <v>0</v>
      </c>
      <c r="N3360" s="8"/>
      <c r="O3360" s="33" t="str">
        <f>IFERROR(VLOOKUP($M3360,'Informations sur les produits'!$A$3:$H$10000,8,FALSE),"0")</f>
        <v>0</v>
      </c>
      <c r="P3360" s="33">
        <f t="shared" si="208"/>
        <v>0</v>
      </c>
      <c r="Q3360" s="31" t="str">
        <f t="shared" si="209"/>
        <v/>
      </c>
      <c r="R3360" s="32" t="str">
        <f>IFERROR(VLOOKUP($D3360,'Informations sur les produits'!$A$3:$B$15000,2,FALSE),"")</f>
        <v/>
      </c>
      <c r="V3360">
        <f t="shared" si="210"/>
        <v>0</v>
      </c>
      <c r="W3360">
        <f t="shared" si="211"/>
        <v>0</v>
      </c>
    </row>
    <row r="3361" spans="5:23" x14ac:dyDescent="0.25">
      <c r="E3361" s="4"/>
      <c r="F3361" s="4"/>
      <c r="G3361" s="33" t="str">
        <f>IFERROR(VLOOKUP($D3361,'Informations sur les produits'!$A$3:$H$10000,8,FALSE),"0")</f>
        <v>0</v>
      </c>
      <c r="K3361" s="4"/>
      <c r="L3361" s="33" t="str">
        <f>IFERROR(VLOOKUP($J3361,'Informations sur les produits'!$A$3:$H$10000,8,FALSE),"0")</f>
        <v>0</v>
      </c>
      <c r="N3361" s="8"/>
      <c r="O3361" s="33" t="str">
        <f>IFERROR(VLOOKUP($M3361,'Informations sur les produits'!$A$3:$H$10000,8,FALSE),"0")</f>
        <v>0</v>
      </c>
      <c r="P3361" s="33">
        <f t="shared" si="208"/>
        <v>0</v>
      </c>
      <c r="Q3361" s="31" t="str">
        <f t="shared" si="209"/>
        <v/>
      </c>
      <c r="R3361" s="32" t="str">
        <f>IFERROR(VLOOKUP($D3361,'Informations sur les produits'!$A$3:$B$15000,2,FALSE),"")</f>
        <v/>
      </c>
      <c r="V3361">
        <f t="shared" si="210"/>
        <v>0</v>
      </c>
      <c r="W3361">
        <f t="shared" si="211"/>
        <v>0</v>
      </c>
    </row>
    <row r="3362" spans="5:23" x14ac:dyDescent="0.25">
      <c r="E3362" s="4"/>
      <c r="F3362" s="4"/>
      <c r="G3362" s="33" t="str">
        <f>IFERROR(VLOOKUP($D3362,'Informations sur les produits'!$A$3:$H$10000,8,FALSE),"0")</f>
        <v>0</v>
      </c>
      <c r="K3362" s="4"/>
      <c r="L3362" s="33" t="str">
        <f>IFERROR(VLOOKUP($J3362,'Informations sur les produits'!$A$3:$H$10000,8,FALSE),"0")</f>
        <v>0</v>
      </c>
      <c r="N3362" s="8"/>
      <c r="O3362" s="33" t="str">
        <f>IFERROR(VLOOKUP($M3362,'Informations sur les produits'!$A$3:$H$10000,8,FALSE),"0")</f>
        <v>0</v>
      </c>
      <c r="P3362" s="33">
        <f t="shared" si="208"/>
        <v>0</v>
      </c>
      <c r="Q3362" s="31" t="str">
        <f t="shared" si="209"/>
        <v/>
      </c>
      <c r="R3362" s="32" t="str">
        <f>IFERROR(VLOOKUP($D3362,'Informations sur les produits'!$A$3:$B$15000,2,FALSE),"")</f>
        <v/>
      </c>
      <c r="V3362">
        <f t="shared" si="210"/>
        <v>0</v>
      </c>
      <c r="W3362">
        <f t="shared" si="211"/>
        <v>0</v>
      </c>
    </row>
    <row r="3363" spans="5:23" x14ac:dyDescent="0.25">
      <c r="E3363" s="4"/>
      <c r="F3363" s="4"/>
      <c r="G3363" s="33" t="str">
        <f>IFERROR(VLOOKUP($D3363,'Informations sur les produits'!$A$3:$H$10000,8,FALSE),"0")</f>
        <v>0</v>
      </c>
      <c r="K3363" s="4"/>
      <c r="L3363" s="33" t="str">
        <f>IFERROR(VLOOKUP($J3363,'Informations sur les produits'!$A$3:$H$10000,8,FALSE),"0")</f>
        <v>0</v>
      </c>
      <c r="N3363" s="8"/>
      <c r="O3363" s="33" t="str">
        <f>IFERROR(VLOOKUP($M3363,'Informations sur les produits'!$A$3:$H$10000,8,FALSE),"0")</f>
        <v>0</v>
      </c>
      <c r="P3363" s="33">
        <f t="shared" si="208"/>
        <v>0</v>
      </c>
      <c r="Q3363" s="31" t="str">
        <f t="shared" si="209"/>
        <v/>
      </c>
      <c r="R3363" s="32" t="str">
        <f>IFERROR(VLOOKUP($D3363,'Informations sur les produits'!$A$3:$B$15000,2,FALSE),"")</f>
        <v/>
      </c>
      <c r="V3363">
        <f t="shared" si="210"/>
        <v>0</v>
      </c>
      <c r="W3363">
        <f t="shared" si="211"/>
        <v>0</v>
      </c>
    </row>
    <row r="3364" spans="5:23" x14ac:dyDescent="0.25">
      <c r="E3364" s="4"/>
      <c r="F3364" s="4"/>
      <c r="G3364" s="33" t="str">
        <f>IFERROR(VLOOKUP($D3364,'Informations sur les produits'!$A$3:$H$10000,8,FALSE),"0")</f>
        <v>0</v>
      </c>
      <c r="K3364" s="4"/>
      <c r="L3364" s="33" t="str">
        <f>IFERROR(VLOOKUP($J3364,'Informations sur les produits'!$A$3:$H$10000,8,FALSE),"0")</f>
        <v>0</v>
      </c>
      <c r="N3364" s="8"/>
      <c r="O3364" s="33" t="str">
        <f>IFERROR(VLOOKUP($M3364,'Informations sur les produits'!$A$3:$H$10000,8,FALSE),"0")</f>
        <v>0</v>
      </c>
      <c r="P3364" s="33">
        <f t="shared" si="208"/>
        <v>0</v>
      </c>
      <c r="Q3364" s="31" t="str">
        <f t="shared" si="209"/>
        <v/>
      </c>
      <c r="R3364" s="32" t="str">
        <f>IFERROR(VLOOKUP($D3364,'Informations sur les produits'!$A$3:$B$15000,2,FALSE),"")</f>
        <v/>
      </c>
      <c r="V3364">
        <f t="shared" si="210"/>
        <v>0</v>
      </c>
      <c r="W3364">
        <f t="shared" si="211"/>
        <v>0</v>
      </c>
    </row>
    <row r="3365" spans="5:23" x14ac:dyDescent="0.25">
      <c r="E3365" s="4"/>
      <c r="F3365" s="4"/>
      <c r="G3365" s="33" t="str">
        <f>IFERROR(VLOOKUP($D3365,'Informations sur les produits'!$A$3:$H$10000,8,FALSE),"0")</f>
        <v>0</v>
      </c>
      <c r="K3365" s="4"/>
      <c r="L3365" s="33" t="str">
        <f>IFERROR(VLOOKUP($J3365,'Informations sur les produits'!$A$3:$H$10000,8,FALSE),"0")</f>
        <v>0</v>
      </c>
      <c r="N3365" s="8"/>
      <c r="O3365" s="33" t="str">
        <f>IFERROR(VLOOKUP($M3365,'Informations sur les produits'!$A$3:$H$10000,8,FALSE),"0")</f>
        <v>0</v>
      </c>
      <c r="P3365" s="33">
        <f t="shared" si="208"/>
        <v>0</v>
      </c>
      <c r="Q3365" s="31" t="str">
        <f t="shared" si="209"/>
        <v/>
      </c>
      <c r="R3365" s="32" t="str">
        <f>IFERROR(VLOOKUP($D3365,'Informations sur les produits'!$A$3:$B$15000,2,FALSE),"")</f>
        <v/>
      </c>
      <c r="V3365">
        <f t="shared" si="210"/>
        <v>0</v>
      </c>
      <c r="W3365">
        <f t="shared" si="211"/>
        <v>0</v>
      </c>
    </row>
    <row r="3366" spans="5:23" x14ac:dyDescent="0.25">
      <c r="E3366" s="4"/>
      <c r="F3366" s="4"/>
      <c r="G3366" s="33" t="str">
        <f>IFERROR(VLOOKUP($D3366,'Informations sur les produits'!$A$3:$H$10000,8,FALSE),"0")</f>
        <v>0</v>
      </c>
      <c r="K3366" s="4"/>
      <c r="L3366" s="33" t="str">
        <f>IFERROR(VLOOKUP($J3366,'Informations sur les produits'!$A$3:$H$10000,8,FALSE),"0")</f>
        <v>0</v>
      </c>
      <c r="N3366" s="8"/>
      <c r="O3366" s="33" t="str">
        <f>IFERROR(VLOOKUP($M3366,'Informations sur les produits'!$A$3:$H$10000,8,FALSE),"0")</f>
        <v>0</v>
      </c>
      <c r="P3366" s="33">
        <f t="shared" si="208"/>
        <v>0</v>
      </c>
      <c r="Q3366" s="31" t="str">
        <f t="shared" si="209"/>
        <v/>
      </c>
      <c r="R3366" s="32" t="str">
        <f>IFERROR(VLOOKUP($D3366,'Informations sur les produits'!$A$3:$B$15000,2,FALSE),"")</f>
        <v/>
      </c>
      <c r="V3366">
        <f t="shared" si="210"/>
        <v>0</v>
      </c>
      <c r="W3366">
        <f t="shared" si="211"/>
        <v>0</v>
      </c>
    </row>
    <row r="3367" spans="5:23" x14ac:dyDescent="0.25">
      <c r="E3367" s="4"/>
      <c r="F3367" s="4"/>
      <c r="G3367" s="33" t="str">
        <f>IFERROR(VLOOKUP($D3367,'Informations sur les produits'!$A$3:$H$10000,8,FALSE),"0")</f>
        <v>0</v>
      </c>
      <c r="K3367" s="4"/>
      <c r="L3367" s="33" t="str">
        <f>IFERROR(VLOOKUP($J3367,'Informations sur les produits'!$A$3:$H$10000,8,FALSE),"0")</f>
        <v>0</v>
      </c>
      <c r="N3367" s="8"/>
      <c r="O3367" s="33" t="str">
        <f>IFERROR(VLOOKUP($M3367,'Informations sur les produits'!$A$3:$H$10000,8,FALSE),"0")</f>
        <v>0</v>
      </c>
      <c r="P3367" s="33">
        <f t="shared" si="208"/>
        <v>0</v>
      </c>
      <c r="Q3367" s="31" t="str">
        <f t="shared" si="209"/>
        <v/>
      </c>
      <c r="R3367" s="32" t="str">
        <f>IFERROR(VLOOKUP($D3367,'Informations sur les produits'!$A$3:$B$15000,2,FALSE),"")</f>
        <v/>
      </c>
      <c r="V3367">
        <f t="shared" si="210"/>
        <v>0</v>
      </c>
      <c r="W3367">
        <f t="shared" si="211"/>
        <v>0</v>
      </c>
    </row>
    <row r="3368" spans="5:23" x14ac:dyDescent="0.25">
      <c r="E3368" s="4"/>
      <c r="F3368" s="4"/>
      <c r="G3368" s="33" t="str">
        <f>IFERROR(VLOOKUP($D3368,'Informations sur les produits'!$A$3:$H$10000,8,FALSE),"0")</f>
        <v>0</v>
      </c>
      <c r="K3368" s="4"/>
      <c r="L3368" s="33" t="str">
        <f>IFERROR(VLOOKUP($J3368,'Informations sur les produits'!$A$3:$H$10000,8,FALSE),"0")</f>
        <v>0</v>
      </c>
      <c r="N3368" s="8"/>
      <c r="O3368" s="33" t="str">
        <f>IFERROR(VLOOKUP($M3368,'Informations sur les produits'!$A$3:$H$10000,8,FALSE),"0")</f>
        <v>0</v>
      </c>
      <c r="P3368" s="33">
        <f t="shared" si="208"/>
        <v>0</v>
      </c>
      <c r="Q3368" s="31" t="str">
        <f t="shared" si="209"/>
        <v/>
      </c>
      <c r="R3368" s="32" t="str">
        <f>IFERROR(VLOOKUP($D3368,'Informations sur les produits'!$A$3:$B$15000,2,FALSE),"")</f>
        <v/>
      </c>
      <c r="V3368">
        <f t="shared" si="210"/>
        <v>0</v>
      </c>
      <c r="W3368">
        <f t="shared" si="211"/>
        <v>0</v>
      </c>
    </row>
    <row r="3369" spans="5:23" x14ac:dyDescent="0.25">
      <c r="E3369" s="4"/>
      <c r="F3369" s="4"/>
      <c r="G3369" s="33" t="str">
        <f>IFERROR(VLOOKUP($D3369,'Informations sur les produits'!$A$3:$H$10000,8,FALSE),"0")</f>
        <v>0</v>
      </c>
      <c r="K3369" s="4"/>
      <c r="L3369" s="33" t="str">
        <f>IFERROR(VLOOKUP($J3369,'Informations sur les produits'!$A$3:$H$10000,8,FALSE),"0")</f>
        <v>0</v>
      </c>
      <c r="N3369" s="8"/>
      <c r="O3369" s="33" t="str">
        <f>IFERROR(VLOOKUP($M3369,'Informations sur les produits'!$A$3:$H$10000,8,FALSE),"0")</f>
        <v>0</v>
      </c>
      <c r="P3369" s="33">
        <f t="shared" si="208"/>
        <v>0</v>
      </c>
      <c r="Q3369" s="31" t="str">
        <f t="shared" si="209"/>
        <v/>
      </c>
      <c r="R3369" s="32" t="str">
        <f>IFERROR(VLOOKUP($D3369,'Informations sur les produits'!$A$3:$B$15000,2,FALSE),"")</f>
        <v/>
      </c>
      <c r="V3369">
        <f t="shared" si="210"/>
        <v>0</v>
      </c>
      <c r="W3369">
        <f t="shared" si="211"/>
        <v>0</v>
      </c>
    </row>
    <row r="3370" spans="5:23" x14ac:dyDescent="0.25">
      <c r="E3370" s="4"/>
      <c r="F3370" s="4"/>
      <c r="G3370" s="33" t="str">
        <f>IFERROR(VLOOKUP($D3370,'Informations sur les produits'!$A$3:$H$10000,8,FALSE),"0")</f>
        <v>0</v>
      </c>
      <c r="K3370" s="4"/>
      <c r="L3370" s="33" t="str">
        <f>IFERROR(VLOOKUP($J3370,'Informations sur les produits'!$A$3:$H$10000,8,FALSE),"0")</f>
        <v>0</v>
      </c>
      <c r="N3370" s="8"/>
      <c r="O3370" s="33" t="str">
        <f>IFERROR(VLOOKUP($M3370,'Informations sur les produits'!$A$3:$H$10000,8,FALSE),"0")</f>
        <v>0</v>
      </c>
      <c r="P3370" s="33">
        <f t="shared" si="208"/>
        <v>0</v>
      </c>
      <c r="Q3370" s="31" t="str">
        <f t="shared" si="209"/>
        <v/>
      </c>
      <c r="R3370" s="32" t="str">
        <f>IFERROR(VLOOKUP($D3370,'Informations sur les produits'!$A$3:$B$15000,2,FALSE),"")</f>
        <v/>
      </c>
      <c r="V3370">
        <f t="shared" si="210"/>
        <v>0</v>
      </c>
      <c r="W3370">
        <f t="shared" si="211"/>
        <v>0</v>
      </c>
    </row>
    <row r="3371" spans="5:23" x14ac:dyDescent="0.25">
      <c r="E3371" s="4"/>
      <c r="F3371" s="4"/>
      <c r="G3371" s="33" t="str">
        <f>IFERROR(VLOOKUP($D3371,'Informations sur les produits'!$A$3:$H$10000,8,FALSE),"0")</f>
        <v>0</v>
      </c>
      <c r="K3371" s="4"/>
      <c r="L3371" s="33" t="str">
        <f>IFERROR(VLOOKUP($J3371,'Informations sur les produits'!$A$3:$H$10000,8,FALSE),"0")</f>
        <v>0</v>
      </c>
      <c r="N3371" s="8"/>
      <c r="O3371" s="33" t="str">
        <f>IFERROR(VLOOKUP($M3371,'Informations sur les produits'!$A$3:$H$10000,8,FALSE),"0")</f>
        <v>0</v>
      </c>
      <c r="P3371" s="33">
        <f t="shared" si="208"/>
        <v>0</v>
      </c>
      <c r="Q3371" s="31" t="str">
        <f t="shared" si="209"/>
        <v/>
      </c>
      <c r="R3371" s="32" t="str">
        <f>IFERROR(VLOOKUP($D3371,'Informations sur les produits'!$A$3:$B$15000,2,FALSE),"")</f>
        <v/>
      </c>
      <c r="V3371">
        <f t="shared" si="210"/>
        <v>0</v>
      </c>
      <c r="W3371">
        <f t="shared" si="211"/>
        <v>0</v>
      </c>
    </row>
    <row r="3372" spans="5:23" x14ac:dyDescent="0.25">
      <c r="E3372" s="4"/>
      <c r="F3372" s="4"/>
      <c r="G3372" s="33" t="str">
        <f>IFERROR(VLOOKUP($D3372,'Informations sur les produits'!$A$3:$H$10000,8,FALSE),"0")</f>
        <v>0</v>
      </c>
      <c r="K3372" s="4"/>
      <c r="L3372" s="33" t="str">
        <f>IFERROR(VLOOKUP($J3372,'Informations sur les produits'!$A$3:$H$10000,8,FALSE),"0")</f>
        <v>0</v>
      </c>
      <c r="N3372" s="8"/>
      <c r="O3372" s="33" t="str">
        <f>IFERROR(VLOOKUP($M3372,'Informations sur les produits'!$A$3:$H$10000,8,FALSE),"0")</f>
        <v>0</v>
      </c>
      <c r="P3372" s="33">
        <f t="shared" si="208"/>
        <v>0</v>
      </c>
      <c r="Q3372" s="31" t="str">
        <f t="shared" si="209"/>
        <v/>
      </c>
      <c r="R3372" s="32" t="str">
        <f>IFERROR(VLOOKUP($D3372,'Informations sur les produits'!$A$3:$B$15000,2,FALSE),"")</f>
        <v/>
      </c>
      <c r="V3372">
        <f t="shared" si="210"/>
        <v>0</v>
      </c>
      <c r="W3372">
        <f t="shared" si="211"/>
        <v>0</v>
      </c>
    </row>
    <row r="3373" spans="5:23" x14ac:dyDescent="0.25">
      <c r="E3373" s="4"/>
      <c r="F3373" s="4"/>
      <c r="G3373" s="33" t="str">
        <f>IFERROR(VLOOKUP($D3373,'Informations sur les produits'!$A$3:$H$10000,8,FALSE),"0")</f>
        <v>0</v>
      </c>
      <c r="K3373" s="4"/>
      <c r="L3373" s="33" t="str">
        <f>IFERROR(VLOOKUP($J3373,'Informations sur les produits'!$A$3:$H$10000,8,FALSE),"0")</f>
        <v>0</v>
      </c>
      <c r="N3373" s="8"/>
      <c r="O3373" s="33" t="str">
        <f>IFERROR(VLOOKUP($M3373,'Informations sur les produits'!$A$3:$H$10000,8,FALSE),"0")</f>
        <v>0</v>
      </c>
      <c r="P3373" s="33">
        <f t="shared" si="208"/>
        <v>0</v>
      </c>
      <c r="Q3373" s="31" t="str">
        <f t="shared" si="209"/>
        <v/>
      </c>
      <c r="R3373" s="32" t="str">
        <f>IFERROR(VLOOKUP($D3373,'Informations sur les produits'!$A$3:$B$15000,2,FALSE),"")</f>
        <v/>
      </c>
      <c r="V3373">
        <f t="shared" si="210"/>
        <v>0</v>
      </c>
      <c r="W3373">
        <f t="shared" si="211"/>
        <v>0</v>
      </c>
    </row>
    <row r="3374" spans="5:23" x14ac:dyDescent="0.25">
      <c r="E3374" s="4"/>
      <c r="F3374" s="4"/>
      <c r="G3374" s="33" t="str">
        <f>IFERROR(VLOOKUP($D3374,'Informations sur les produits'!$A$3:$H$10000,8,FALSE),"0")</f>
        <v>0</v>
      </c>
      <c r="K3374" s="4"/>
      <c r="L3374" s="33" t="str">
        <f>IFERROR(VLOOKUP($J3374,'Informations sur les produits'!$A$3:$H$10000,8,FALSE),"0")</f>
        <v>0</v>
      </c>
      <c r="N3374" s="8"/>
      <c r="O3374" s="33" t="str">
        <f>IFERROR(VLOOKUP($M3374,'Informations sur les produits'!$A$3:$H$10000,8,FALSE),"0")</f>
        <v>0</v>
      </c>
      <c r="P3374" s="33">
        <f t="shared" si="208"/>
        <v>0</v>
      </c>
      <c r="Q3374" s="31" t="str">
        <f t="shared" si="209"/>
        <v/>
      </c>
      <c r="R3374" s="32" t="str">
        <f>IFERROR(VLOOKUP($D3374,'Informations sur les produits'!$A$3:$B$15000,2,FALSE),"")</f>
        <v/>
      </c>
      <c r="V3374">
        <f t="shared" si="210"/>
        <v>0</v>
      </c>
      <c r="W3374">
        <f t="shared" si="211"/>
        <v>0</v>
      </c>
    </row>
    <row r="3375" spans="5:23" x14ac:dyDescent="0.25">
      <c r="E3375" s="4"/>
      <c r="F3375" s="4"/>
      <c r="G3375" s="33" t="str">
        <f>IFERROR(VLOOKUP($D3375,'Informations sur les produits'!$A$3:$H$10000,8,FALSE),"0")</f>
        <v>0</v>
      </c>
      <c r="K3375" s="4"/>
      <c r="L3375" s="33" t="str">
        <f>IFERROR(VLOOKUP($J3375,'Informations sur les produits'!$A$3:$H$10000,8,FALSE),"0")</f>
        <v>0</v>
      </c>
      <c r="N3375" s="8"/>
      <c r="O3375" s="33" t="str">
        <f>IFERROR(VLOOKUP($M3375,'Informations sur les produits'!$A$3:$H$10000,8,FALSE),"0")</f>
        <v>0</v>
      </c>
      <c r="P3375" s="33">
        <f t="shared" si="208"/>
        <v>0</v>
      </c>
      <c r="Q3375" s="31" t="str">
        <f t="shared" si="209"/>
        <v/>
      </c>
      <c r="R3375" s="32" t="str">
        <f>IFERROR(VLOOKUP($D3375,'Informations sur les produits'!$A$3:$B$15000,2,FALSE),"")</f>
        <v/>
      </c>
      <c r="V3375">
        <f t="shared" si="210"/>
        <v>0</v>
      </c>
      <c r="W3375">
        <f t="shared" si="211"/>
        <v>0</v>
      </c>
    </row>
    <row r="3376" spans="5:23" x14ac:dyDescent="0.25">
      <c r="E3376" s="4"/>
      <c r="F3376" s="4"/>
      <c r="G3376" s="33" t="str">
        <f>IFERROR(VLOOKUP($D3376,'Informations sur les produits'!$A$3:$H$10000,8,FALSE),"0")</f>
        <v>0</v>
      </c>
      <c r="K3376" s="4"/>
      <c r="L3376" s="33" t="str">
        <f>IFERROR(VLOOKUP($J3376,'Informations sur les produits'!$A$3:$H$10000,8,FALSE),"0")</f>
        <v>0</v>
      </c>
      <c r="N3376" s="8"/>
      <c r="O3376" s="33" t="str">
        <f>IFERROR(VLOOKUP($M3376,'Informations sur les produits'!$A$3:$H$10000,8,FALSE),"0")</f>
        <v>0</v>
      </c>
      <c r="P3376" s="33">
        <f t="shared" si="208"/>
        <v>0</v>
      </c>
      <c r="Q3376" s="31" t="str">
        <f t="shared" si="209"/>
        <v/>
      </c>
      <c r="R3376" s="32" t="str">
        <f>IFERROR(VLOOKUP($D3376,'Informations sur les produits'!$A$3:$B$15000,2,FALSE),"")</f>
        <v/>
      </c>
      <c r="V3376">
        <f t="shared" si="210"/>
        <v>0</v>
      </c>
      <c r="W3376">
        <f t="shared" si="211"/>
        <v>0</v>
      </c>
    </row>
    <row r="3377" spans="5:23" x14ac:dyDescent="0.25">
      <c r="E3377" s="4"/>
      <c r="F3377" s="4"/>
      <c r="G3377" s="33" t="str">
        <f>IFERROR(VLOOKUP($D3377,'Informations sur les produits'!$A$3:$H$10000,8,FALSE),"0")</f>
        <v>0</v>
      </c>
      <c r="K3377" s="4"/>
      <c r="L3377" s="33" t="str">
        <f>IFERROR(VLOOKUP($J3377,'Informations sur les produits'!$A$3:$H$10000,8,FALSE),"0")</f>
        <v>0</v>
      </c>
      <c r="N3377" s="8"/>
      <c r="O3377" s="33" t="str">
        <f>IFERROR(VLOOKUP($M3377,'Informations sur les produits'!$A$3:$H$10000,8,FALSE),"0")</f>
        <v>0</v>
      </c>
      <c r="P3377" s="33">
        <f t="shared" si="208"/>
        <v>0</v>
      </c>
      <c r="Q3377" s="31" t="str">
        <f t="shared" si="209"/>
        <v/>
      </c>
      <c r="R3377" s="32" t="str">
        <f>IFERROR(VLOOKUP($D3377,'Informations sur les produits'!$A$3:$B$15000,2,FALSE),"")</f>
        <v/>
      </c>
      <c r="V3377">
        <f t="shared" si="210"/>
        <v>0</v>
      </c>
      <c r="W3377">
        <f t="shared" si="211"/>
        <v>0</v>
      </c>
    </row>
    <row r="3378" spans="5:23" x14ac:dyDescent="0.25">
      <c r="E3378" s="4"/>
      <c r="F3378" s="4"/>
      <c r="G3378" s="33" t="str">
        <f>IFERROR(VLOOKUP($D3378,'Informations sur les produits'!$A$3:$H$10000,8,FALSE),"0")</f>
        <v>0</v>
      </c>
      <c r="K3378" s="4"/>
      <c r="L3378" s="33" t="str">
        <f>IFERROR(VLOOKUP($J3378,'Informations sur les produits'!$A$3:$H$10000,8,FALSE),"0")</f>
        <v>0</v>
      </c>
      <c r="N3378" s="8"/>
      <c r="O3378" s="33" t="str">
        <f>IFERROR(VLOOKUP($M3378,'Informations sur les produits'!$A$3:$H$10000,8,FALSE),"0")</f>
        <v>0</v>
      </c>
      <c r="P3378" s="33">
        <f t="shared" si="208"/>
        <v>0</v>
      </c>
      <c r="Q3378" s="31" t="str">
        <f t="shared" si="209"/>
        <v/>
      </c>
      <c r="R3378" s="32" t="str">
        <f>IFERROR(VLOOKUP($D3378,'Informations sur les produits'!$A$3:$B$15000,2,FALSE),"")</f>
        <v/>
      </c>
      <c r="V3378">
        <f t="shared" si="210"/>
        <v>0</v>
      </c>
      <c r="W3378">
        <f t="shared" si="211"/>
        <v>0</v>
      </c>
    </row>
    <row r="3379" spans="5:23" x14ac:dyDescent="0.25">
      <c r="E3379" s="4"/>
      <c r="F3379" s="4"/>
      <c r="G3379" s="33" t="str">
        <f>IFERROR(VLOOKUP($D3379,'Informations sur les produits'!$A$3:$H$10000,8,FALSE),"0")</f>
        <v>0</v>
      </c>
      <c r="K3379" s="4"/>
      <c r="L3379" s="33" t="str">
        <f>IFERROR(VLOOKUP($J3379,'Informations sur les produits'!$A$3:$H$10000,8,FALSE),"0")</f>
        <v>0</v>
      </c>
      <c r="N3379" s="8"/>
      <c r="O3379" s="33" t="str">
        <f>IFERROR(VLOOKUP($M3379,'Informations sur les produits'!$A$3:$H$10000,8,FALSE),"0")</f>
        <v>0</v>
      </c>
      <c r="P3379" s="33">
        <f t="shared" si="208"/>
        <v>0</v>
      </c>
      <c r="Q3379" s="31" t="str">
        <f t="shared" si="209"/>
        <v/>
      </c>
      <c r="R3379" s="32" t="str">
        <f>IFERROR(VLOOKUP($D3379,'Informations sur les produits'!$A$3:$B$15000,2,FALSE),"")</f>
        <v/>
      </c>
      <c r="V3379">
        <f t="shared" si="210"/>
        <v>0</v>
      </c>
      <c r="W3379">
        <f t="shared" si="211"/>
        <v>0</v>
      </c>
    </row>
    <row r="3380" spans="5:23" x14ac:dyDescent="0.25">
      <c r="E3380" s="4"/>
      <c r="F3380" s="4"/>
      <c r="G3380" s="33" t="str">
        <f>IFERROR(VLOOKUP($D3380,'Informations sur les produits'!$A$3:$H$10000,8,FALSE),"0")</f>
        <v>0</v>
      </c>
      <c r="K3380" s="4"/>
      <c r="L3380" s="33" t="str">
        <f>IFERROR(VLOOKUP($J3380,'Informations sur les produits'!$A$3:$H$10000,8,FALSE),"0")</f>
        <v>0</v>
      </c>
      <c r="N3380" s="8"/>
      <c r="O3380" s="33" t="str">
        <f>IFERROR(VLOOKUP($M3380,'Informations sur les produits'!$A$3:$H$10000,8,FALSE),"0")</f>
        <v>0</v>
      </c>
      <c r="P3380" s="33">
        <f t="shared" si="208"/>
        <v>0</v>
      </c>
      <c r="Q3380" s="31" t="str">
        <f t="shared" si="209"/>
        <v/>
      </c>
      <c r="R3380" s="32" t="str">
        <f>IFERROR(VLOOKUP($D3380,'Informations sur les produits'!$A$3:$B$15000,2,FALSE),"")</f>
        <v/>
      </c>
      <c r="V3380">
        <f t="shared" si="210"/>
        <v>0</v>
      </c>
      <c r="W3380">
        <f t="shared" si="211"/>
        <v>0</v>
      </c>
    </row>
    <row r="3381" spans="5:23" x14ac:dyDescent="0.25">
      <c r="E3381" s="4"/>
      <c r="F3381" s="4"/>
      <c r="G3381" s="33" t="str">
        <f>IFERROR(VLOOKUP($D3381,'Informations sur les produits'!$A$3:$H$10000,8,FALSE),"0")</f>
        <v>0</v>
      </c>
      <c r="K3381" s="4"/>
      <c r="L3381" s="33" t="str">
        <f>IFERROR(VLOOKUP($J3381,'Informations sur les produits'!$A$3:$H$10000,8,FALSE),"0")</f>
        <v>0</v>
      </c>
      <c r="N3381" s="8"/>
      <c r="O3381" s="33" t="str">
        <f>IFERROR(VLOOKUP($M3381,'Informations sur les produits'!$A$3:$H$10000,8,FALSE),"0")</f>
        <v>0</v>
      </c>
      <c r="P3381" s="33">
        <f t="shared" si="208"/>
        <v>0</v>
      </c>
      <c r="Q3381" s="31" t="str">
        <f t="shared" si="209"/>
        <v/>
      </c>
      <c r="R3381" s="32" t="str">
        <f>IFERROR(VLOOKUP($D3381,'Informations sur les produits'!$A$3:$B$15000,2,FALSE),"")</f>
        <v/>
      </c>
      <c r="V3381">
        <f t="shared" si="210"/>
        <v>0</v>
      </c>
      <c r="W3381">
        <f t="shared" si="211"/>
        <v>0</v>
      </c>
    </row>
    <row r="3382" spans="5:23" x14ac:dyDescent="0.25">
      <c r="E3382" s="4"/>
      <c r="F3382" s="4"/>
      <c r="G3382" s="33" t="str">
        <f>IFERROR(VLOOKUP($D3382,'Informations sur les produits'!$A$3:$H$10000,8,FALSE),"0")</f>
        <v>0</v>
      </c>
      <c r="K3382" s="4"/>
      <c r="L3382" s="33" t="str">
        <f>IFERROR(VLOOKUP($J3382,'Informations sur les produits'!$A$3:$H$10000,8,FALSE),"0")</f>
        <v>0</v>
      </c>
      <c r="N3382" s="8"/>
      <c r="O3382" s="33" t="str">
        <f>IFERROR(VLOOKUP($M3382,'Informations sur les produits'!$A$3:$H$10000,8,FALSE),"0")</f>
        <v>0</v>
      </c>
      <c r="P3382" s="33">
        <f t="shared" si="208"/>
        <v>0</v>
      </c>
      <c r="Q3382" s="31" t="str">
        <f t="shared" si="209"/>
        <v/>
      </c>
      <c r="R3382" s="32" t="str">
        <f>IFERROR(VLOOKUP($D3382,'Informations sur les produits'!$A$3:$B$15000,2,FALSE),"")</f>
        <v/>
      </c>
      <c r="V3382">
        <f t="shared" si="210"/>
        <v>0</v>
      </c>
      <c r="W3382">
        <f t="shared" si="211"/>
        <v>0</v>
      </c>
    </row>
    <row r="3383" spans="5:23" x14ac:dyDescent="0.25">
      <c r="E3383" s="4"/>
      <c r="F3383" s="4"/>
      <c r="G3383" s="33" t="str">
        <f>IFERROR(VLOOKUP($D3383,'Informations sur les produits'!$A$3:$H$10000,8,FALSE),"0")</f>
        <v>0</v>
      </c>
      <c r="K3383" s="4"/>
      <c r="L3383" s="33" t="str">
        <f>IFERROR(VLOOKUP($J3383,'Informations sur les produits'!$A$3:$H$10000,8,FALSE),"0")</f>
        <v>0</v>
      </c>
      <c r="N3383" s="8"/>
      <c r="O3383" s="33" t="str">
        <f>IFERROR(VLOOKUP($M3383,'Informations sur les produits'!$A$3:$H$10000,8,FALSE),"0")</f>
        <v>0</v>
      </c>
      <c r="P3383" s="33">
        <f t="shared" si="208"/>
        <v>0</v>
      </c>
      <c r="Q3383" s="31" t="str">
        <f t="shared" si="209"/>
        <v/>
      </c>
      <c r="R3383" s="32" t="str">
        <f>IFERROR(VLOOKUP($D3383,'Informations sur les produits'!$A$3:$B$15000,2,FALSE),"")</f>
        <v/>
      </c>
      <c r="V3383">
        <f t="shared" si="210"/>
        <v>0</v>
      </c>
      <c r="W3383">
        <f t="shared" si="211"/>
        <v>0</v>
      </c>
    </row>
    <row r="3384" spans="5:23" x14ac:dyDescent="0.25">
      <c r="E3384" s="4"/>
      <c r="F3384" s="4"/>
      <c r="G3384" s="33" t="str">
        <f>IFERROR(VLOOKUP($D3384,'Informations sur les produits'!$A$3:$H$10000,8,FALSE),"0")</f>
        <v>0</v>
      </c>
      <c r="K3384" s="4"/>
      <c r="L3384" s="33" t="str">
        <f>IFERROR(VLOOKUP($J3384,'Informations sur les produits'!$A$3:$H$10000,8,FALSE),"0")</f>
        <v>0</v>
      </c>
      <c r="N3384" s="8"/>
      <c r="O3384" s="33" t="str">
        <f>IFERROR(VLOOKUP($M3384,'Informations sur les produits'!$A$3:$H$10000,8,FALSE),"0")</f>
        <v>0</v>
      </c>
      <c r="P3384" s="33">
        <f t="shared" si="208"/>
        <v>0</v>
      </c>
      <c r="Q3384" s="31" t="str">
        <f t="shared" si="209"/>
        <v/>
      </c>
      <c r="R3384" s="32" t="str">
        <f>IFERROR(VLOOKUP($D3384,'Informations sur les produits'!$A$3:$B$15000,2,FALSE),"")</f>
        <v/>
      </c>
      <c r="V3384">
        <f t="shared" si="210"/>
        <v>0</v>
      </c>
      <c r="W3384">
        <f t="shared" si="211"/>
        <v>0</v>
      </c>
    </row>
    <row r="3385" spans="5:23" x14ac:dyDescent="0.25">
      <c r="E3385" s="4"/>
      <c r="F3385" s="4"/>
      <c r="G3385" s="33" t="str">
        <f>IFERROR(VLOOKUP($D3385,'Informations sur les produits'!$A$3:$H$10000,8,FALSE),"0")</f>
        <v>0</v>
      </c>
      <c r="K3385" s="4"/>
      <c r="L3385" s="33" t="str">
        <f>IFERROR(VLOOKUP($J3385,'Informations sur les produits'!$A$3:$H$10000,8,FALSE),"0")</f>
        <v>0</v>
      </c>
      <c r="N3385" s="8"/>
      <c r="O3385" s="33" t="str">
        <f>IFERROR(VLOOKUP($M3385,'Informations sur les produits'!$A$3:$H$10000,8,FALSE),"0")</f>
        <v>0</v>
      </c>
      <c r="P3385" s="33">
        <f t="shared" si="208"/>
        <v>0</v>
      </c>
      <c r="Q3385" s="31" t="str">
        <f t="shared" si="209"/>
        <v/>
      </c>
      <c r="R3385" s="32" t="str">
        <f>IFERROR(VLOOKUP($D3385,'Informations sur les produits'!$A$3:$B$15000,2,FALSE),"")</f>
        <v/>
      </c>
      <c r="V3385">
        <f t="shared" si="210"/>
        <v>0</v>
      </c>
      <c r="W3385">
        <f t="shared" si="211"/>
        <v>0</v>
      </c>
    </row>
    <row r="3386" spans="5:23" x14ac:dyDescent="0.25">
      <c r="E3386" s="4"/>
      <c r="F3386" s="4"/>
      <c r="G3386" s="33" t="str">
        <f>IFERROR(VLOOKUP($D3386,'Informations sur les produits'!$A$3:$H$10000,8,FALSE),"0")</f>
        <v>0</v>
      </c>
      <c r="K3386" s="4"/>
      <c r="L3386" s="33" t="str">
        <f>IFERROR(VLOOKUP($J3386,'Informations sur les produits'!$A$3:$H$10000,8,FALSE),"0")</f>
        <v>0</v>
      </c>
      <c r="N3386" s="8"/>
      <c r="O3386" s="33" t="str">
        <f>IFERROR(VLOOKUP($M3386,'Informations sur les produits'!$A$3:$H$10000,8,FALSE),"0")</f>
        <v>0</v>
      </c>
      <c r="P3386" s="33">
        <f t="shared" si="208"/>
        <v>0</v>
      </c>
      <c r="Q3386" s="31" t="str">
        <f t="shared" si="209"/>
        <v/>
      </c>
      <c r="R3386" s="32" t="str">
        <f>IFERROR(VLOOKUP($D3386,'Informations sur les produits'!$A$3:$B$15000,2,FALSE),"")</f>
        <v/>
      </c>
      <c r="V3386">
        <f t="shared" si="210"/>
        <v>0</v>
      </c>
      <c r="W3386">
        <f t="shared" si="211"/>
        <v>0</v>
      </c>
    </row>
    <row r="3387" spans="5:23" x14ac:dyDescent="0.25">
      <c r="E3387" s="4"/>
      <c r="F3387" s="4"/>
      <c r="G3387" s="33" t="str">
        <f>IFERROR(VLOOKUP($D3387,'Informations sur les produits'!$A$3:$H$10000,8,FALSE),"0")</f>
        <v>0</v>
      </c>
      <c r="K3387" s="4"/>
      <c r="L3387" s="33" t="str">
        <f>IFERROR(VLOOKUP($J3387,'Informations sur les produits'!$A$3:$H$10000,8,FALSE),"0")</f>
        <v>0</v>
      </c>
      <c r="N3387" s="8"/>
      <c r="O3387" s="33" t="str">
        <f>IFERROR(VLOOKUP($M3387,'Informations sur les produits'!$A$3:$H$10000,8,FALSE),"0")</f>
        <v>0</v>
      </c>
      <c r="P3387" s="33">
        <f t="shared" si="208"/>
        <v>0</v>
      </c>
      <c r="Q3387" s="31" t="str">
        <f t="shared" si="209"/>
        <v/>
      </c>
      <c r="R3387" s="32" t="str">
        <f>IFERROR(VLOOKUP($D3387,'Informations sur les produits'!$A$3:$B$15000,2,FALSE),"")</f>
        <v/>
      </c>
      <c r="V3387">
        <f t="shared" si="210"/>
        <v>0</v>
      </c>
      <c r="W3387">
        <f t="shared" si="211"/>
        <v>0</v>
      </c>
    </row>
    <row r="3388" spans="5:23" x14ac:dyDescent="0.25">
      <c r="E3388" s="4"/>
      <c r="F3388" s="4"/>
      <c r="G3388" s="33" t="str">
        <f>IFERROR(VLOOKUP($D3388,'Informations sur les produits'!$A$3:$H$10000,8,FALSE),"0")</f>
        <v>0</v>
      </c>
      <c r="K3388" s="4"/>
      <c r="L3388" s="33" t="str">
        <f>IFERROR(VLOOKUP($J3388,'Informations sur les produits'!$A$3:$H$10000,8,FALSE),"0")</f>
        <v>0</v>
      </c>
      <c r="N3388" s="8"/>
      <c r="O3388" s="33" t="str">
        <f>IFERROR(VLOOKUP($M3388,'Informations sur les produits'!$A$3:$H$10000,8,FALSE),"0")</f>
        <v>0</v>
      </c>
      <c r="P3388" s="33">
        <f t="shared" si="208"/>
        <v>0</v>
      </c>
      <c r="Q3388" s="31" t="str">
        <f t="shared" si="209"/>
        <v/>
      </c>
      <c r="R3388" s="32" t="str">
        <f>IFERROR(VLOOKUP($D3388,'Informations sur les produits'!$A$3:$B$15000,2,FALSE),"")</f>
        <v/>
      </c>
      <c r="V3388">
        <f t="shared" si="210"/>
        <v>0</v>
      </c>
      <c r="W3388">
        <f t="shared" si="211"/>
        <v>0</v>
      </c>
    </row>
    <row r="3389" spans="5:23" x14ac:dyDescent="0.25">
      <c r="E3389" s="4"/>
      <c r="F3389" s="4"/>
      <c r="G3389" s="33" t="str">
        <f>IFERROR(VLOOKUP($D3389,'Informations sur les produits'!$A$3:$H$10000,8,FALSE),"0")</f>
        <v>0</v>
      </c>
      <c r="K3389" s="4"/>
      <c r="L3389" s="33" t="str">
        <f>IFERROR(VLOOKUP($J3389,'Informations sur les produits'!$A$3:$H$10000,8,FALSE),"0")</f>
        <v>0</v>
      </c>
      <c r="N3389" s="8"/>
      <c r="O3389" s="33" t="str">
        <f>IFERROR(VLOOKUP($M3389,'Informations sur les produits'!$A$3:$H$10000,8,FALSE),"0")</f>
        <v>0</v>
      </c>
      <c r="P3389" s="33">
        <f t="shared" si="208"/>
        <v>0</v>
      </c>
      <c r="Q3389" s="31" t="str">
        <f t="shared" si="209"/>
        <v/>
      </c>
      <c r="R3389" s="32" t="str">
        <f>IFERROR(VLOOKUP($D3389,'Informations sur les produits'!$A$3:$B$15000,2,FALSE),"")</f>
        <v/>
      </c>
      <c r="V3389">
        <f t="shared" si="210"/>
        <v>0</v>
      </c>
      <c r="W3389">
        <f t="shared" si="211"/>
        <v>0</v>
      </c>
    </row>
    <row r="3390" spans="5:23" x14ac:dyDescent="0.25">
      <c r="E3390" s="4"/>
      <c r="F3390" s="4"/>
      <c r="G3390" s="33" t="str">
        <f>IFERROR(VLOOKUP($D3390,'Informations sur les produits'!$A$3:$H$10000,8,FALSE),"0")</f>
        <v>0</v>
      </c>
      <c r="K3390" s="4"/>
      <c r="L3390" s="33" t="str">
        <f>IFERROR(VLOOKUP($J3390,'Informations sur les produits'!$A$3:$H$10000,8,FALSE),"0")</f>
        <v>0</v>
      </c>
      <c r="N3390" s="8"/>
      <c r="O3390" s="33" t="str">
        <f>IFERROR(VLOOKUP($M3390,'Informations sur les produits'!$A$3:$H$10000,8,FALSE),"0")</f>
        <v>0</v>
      </c>
      <c r="P3390" s="33">
        <f t="shared" si="208"/>
        <v>0</v>
      </c>
      <c r="Q3390" s="31" t="str">
        <f t="shared" si="209"/>
        <v/>
      </c>
      <c r="R3390" s="32" t="str">
        <f>IFERROR(VLOOKUP($D3390,'Informations sur les produits'!$A$3:$B$15000,2,FALSE),"")</f>
        <v/>
      </c>
      <c r="V3390">
        <f t="shared" si="210"/>
        <v>0</v>
      </c>
      <c r="W3390">
        <f t="shared" si="211"/>
        <v>0</v>
      </c>
    </row>
    <row r="3391" spans="5:23" x14ac:dyDescent="0.25">
      <c r="E3391" s="4"/>
      <c r="F3391" s="4"/>
      <c r="G3391" s="33" t="str">
        <f>IFERROR(VLOOKUP($D3391,'Informations sur les produits'!$A$3:$H$10000,8,FALSE),"0")</f>
        <v>0</v>
      </c>
      <c r="K3391" s="4"/>
      <c r="L3391" s="33" t="str">
        <f>IFERROR(VLOOKUP($J3391,'Informations sur les produits'!$A$3:$H$10000,8,FALSE),"0")</f>
        <v>0</v>
      </c>
      <c r="N3391" s="8"/>
      <c r="O3391" s="33" t="str">
        <f>IFERROR(VLOOKUP($M3391,'Informations sur les produits'!$A$3:$H$10000,8,FALSE),"0")</f>
        <v>0</v>
      </c>
      <c r="P3391" s="33">
        <f t="shared" si="208"/>
        <v>0</v>
      </c>
      <c r="Q3391" s="31" t="str">
        <f t="shared" si="209"/>
        <v/>
      </c>
      <c r="R3391" s="32" t="str">
        <f>IFERROR(VLOOKUP($D3391,'Informations sur les produits'!$A$3:$B$15000,2,FALSE),"")</f>
        <v/>
      </c>
      <c r="V3391">
        <f t="shared" si="210"/>
        <v>0</v>
      </c>
      <c r="W3391">
        <f t="shared" si="211"/>
        <v>0</v>
      </c>
    </row>
    <row r="3392" spans="5:23" x14ac:dyDescent="0.25">
      <c r="E3392" s="4"/>
      <c r="F3392" s="4"/>
      <c r="G3392" s="33" t="str">
        <f>IFERROR(VLOOKUP($D3392,'Informations sur les produits'!$A$3:$H$10000,8,FALSE),"0")</f>
        <v>0</v>
      </c>
      <c r="K3392" s="4"/>
      <c r="L3392" s="33" t="str">
        <f>IFERROR(VLOOKUP($J3392,'Informations sur les produits'!$A$3:$H$10000,8,FALSE),"0")</f>
        <v>0</v>
      </c>
      <c r="N3392" s="8"/>
      <c r="O3392" s="33" t="str">
        <f>IFERROR(VLOOKUP($M3392,'Informations sur les produits'!$A$3:$H$10000,8,FALSE),"0")</f>
        <v>0</v>
      </c>
      <c r="P3392" s="33">
        <f t="shared" si="208"/>
        <v>0</v>
      </c>
      <c r="Q3392" s="31" t="str">
        <f t="shared" si="209"/>
        <v/>
      </c>
      <c r="R3392" s="32" t="str">
        <f>IFERROR(VLOOKUP($D3392,'Informations sur les produits'!$A$3:$B$15000,2,FALSE),"")</f>
        <v/>
      </c>
      <c r="V3392">
        <f t="shared" si="210"/>
        <v>0</v>
      </c>
      <c r="W3392">
        <f t="shared" si="211"/>
        <v>0</v>
      </c>
    </row>
    <row r="3393" spans="5:23" x14ac:dyDescent="0.25">
      <c r="E3393" s="4"/>
      <c r="F3393" s="4"/>
      <c r="G3393" s="33" t="str">
        <f>IFERROR(VLOOKUP($D3393,'Informations sur les produits'!$A$3:$H$10000,8,FALSE),"0")</f>
        <v>0</v>
      </c>
      <c r="K3393" s="4"/>
      <c r="L3393" s="33" t="str">
        <f>IFERROR(VLOOKUP($J3393,'Informations sur les produits'!$A$3:$H$10000,8,FALSE),"0")</f>
        <v>0</v>
      </c>
      <c r="N3393" s="8"/>
      <c r="O3393" s="33" t="str">
        <f>IFERROR(VLOOKUP($M3393,'Informations sur les produits'!$A$3:$H$10000,8,FALSE),"0")</f>
        <v>0</v>
      </c>
      <c r="P3393" s="33">
        <f t="shared" si="208"/>
        <v>0</v>
      </c>
      <c r="Q3393" s="31" t="str">
        <f t="shared" si="209"/>
        <v/>
      </c>
      <c r="R3393" s="32" t="str">
        <f>IFERROR(VLOOKUP($D3393,'Informations sur les produits'!$A$3:$B$15000,2,FALSE),"")</f>
        <v/>
      </c>
      <c r="V3393">
        <f t="shared" si="210"/>
        <v>0</v>
      </c>
      <c r="W3393">
        <f t="shared" si="211"/>
        <v>0</v>
      </c>
    </row>
    <row r="3394" spans="5:23" x14ac:dyDescent="0.25">
      <c r="E3394" s="4"/>
      <c r="F3394" s="4"/>
      <c r="G3394" s="33" t="str">
        <f>IFERROR(VLOOKUP($D3394,'Informations sur les produits'!$A$3:$H$10000,8,FALSE),"0")</f>
        <v>0</v>
      </c>
      <c r="K3394" s="4"/>
      <c r="L3394" s="33" t="str">
        <f>IFERROR(VLOOKUP($J3394,'Informations sur les produits'!$A$3:$H$10000,8,FALSE),"0")</f>
        <v>0</v>
      </c>
      <c r="N3394" s="8"/>
      <c r="O3394" s="33" t="str">
        <f>IFERROR(VLOOKUP($M3394,'Informations sur les produits'!$A$3:$H$10000,8,FALSE),"0")</f>
        <v>0</v>
      </c>
      <c r="P3394" s="33">
        <f t="shared" si="208"/>
        <v>0</v>
      </c>
      <c r="Q3394" s="31" t="str">
        <f t="shared" si="209"/>
        <v/>
      </c>
      <c r="R3394" s="32" t="str">
        <f>IFERROR(VLOOKUP($D3394,'Informations sur les produits'!$A$3:$B$15000,2,FALSE),"")</f>
        <v/>
      </c>
      <c r="V3394">
        <f t="shared" si="210"/>
        <v>0</v>
      </c>
      <c r="W3394">
        <f t="shared" si="211"/>
        <v>0</v>
      </c>
    </row>
    <row r="3395" spans="5:23" x14ac:dyDescent="0.25">
      <c r="E3395" s="4"/>
      <c r="F3395" s="4"/>
      <c r="G3395" s="33" t="str">
        <f>IFERROR(VLOOKUP($D3395,'Informations sur les produits'!$A$3:$H$10000,8,FALSE),"0")</f>
        <v>0</v>
      </c>
      <c r="K3395" s="4"/>
      <c r="L3395" s="33" t="str">
        <f>IFERROR(VLOOKUP($J3395,'Informations sur les produits'!$A$3:$H$10000,8,FALSE),"0")</f>
        <v>0</v>
      </c>
      <c r="N3395" s="8"/>
      <c r="O3395" s="33" t="str">
        <f>IFERROR(VLOOKUP($M3395,'Informations sur les produits'!$A$3:$H$10000,8,FALSE),"0")</f>
        <v>0</v>
      </c>
      <c r="P3395" s="33">
        <f t="shared" si="208"/>
        <v>0</v>
      </c>
      <c r="Q3395" s="31" t="str">
        <f t="shared" si="209"/>
        <v/>
      </c>
      <c r="R3395" s="32" t="str">
        <f>IFERROR(VLOOKUP($D3395,'Informations sur les produits'!$A$3:$B$15000,2,FALSE),"")</f>
        <v/>
      </c>
      <c r="V3395">
        <f t="shared" si="210"/>
        <v>0</v>
      </c>
      <c r="W3395">
        <f t="shared" si="211"/>
        <v>0</v>
      </c>
    </row>
    <row r="3396" spans="5:23" x14ac:dyDescent="0.25">
      <c r="E3396" s="4"/>
      <c r="F3396" s="4"/>
      <c r="G3396" s="33" t="str">
        <f>IFERROR(VLOOKUP($D3396,'Informations sur les produits'!$A$3:$H$10000,8,FALSE),"0")</f>
        <v>0</v>
      </c>
      <c r="K3396" s="4"/>
      <c r="L3396" s="33" t="str">
        <f>IFERROR(VLOOKUP($J3396,'Informations sur les produits'!$A$3:$H$10000,8,FALSE),"0")</f>
        <v>0</v>
      </c>
      <c r="N3396" s="8"/>
      <c r="O3396" s="33" t="str">
        <f>IFERROR(VLOOKUP($M3396,'Informations sur les produits'!$A$3:$H$10000,8,FALSE),"0")</f>
        <v>0</v>
      </c>
      <c r="P3396" s="33">
        <f t="shared" ref="P3396:P3459" si="212">IFERROR((($E3396-$F3396)*$G3396+$K3396*$L3396+$N3396*$O3396),"")</f>
        <v>0</v>
      </c>
      <c r="Q3396" s="31" t="str">
        <f t="shared" ref="Q3396:Q3459" si="213">IFERROR((((($E3396-$F3396)*$G3396+$K3396*$L3396+$N3396*$O3396)*1000)/(($E3396-$F3396)+$K3396+$N3396)),"")</f>
        <v/>
      </c>
      <c r="R3396" s="32" t="str">
        <f>IFERROR(VLOOKUP($D3396,'Informations sur les produits'!$A$3:$B$15000,2,FALSE),"")</f>
        <v/>
      </c>
      <c r="V3396">
        <f t="shared" ref="V3396:V3459" si="214">IFERROR(P3396*1000,"")</f>
        <v>0</v>
      </c>
      <c r="W3396">
        <f t="shared" ref="W3396:W3459" si="215">IFERROR(($E3396-$F3396)+$K3396+$N3396,"")</f>
        <v>0</v>
      </c>
    </row>
    <row r="3397" spans="5:23" x14ac:dyDescent="0.25">
      <c r="E3397" s="4"/>
      <c r="F3397" s="4"/>
      <c r="G3397" s="33" t="str">
        <f>IFERROR(VLOOKUP($D3397,'Informations sur les produits'!$A$3:$H$10000,8,FALSE),"0")</f>
        <v>0</v>
      </c>
      <c r="K3397" s="4"/>
      <c r="L3397" s="33" t="str">
        <f>IFERROR(VLOOKUP($J3397,'Informations sur les produits'!$A$3:$H$10000,8,FALSE),"0")</f>
        <v>0</v>
      </c>
      <c r="N3397" s="8"/>
      <c r="O3397" s="33" t="str">
        <f>IFERROR(VLOOKUP($M3397,'Informations sur les produits'!$A$3:$H$10000,8,FALSE),"0")</f>
        <v>0</v>
      </c>
      <c r="P3397" s="33">
        <f t="shared" si="212"/>
        <v>0</v>
      </c>
      <c r="Q3397" s="31" t="str">
        <f t="shared" si="213"/>
        <v/>
      </c>
      <c r="R3397" s="32" t="str">
        <f>IFERROR(VLOOKUP($D3397,'Informations sur les produits'!$A$3:$B$15000,2,FALSE),"")</f>
        <v/>
      </c>
      <c r="V3397">
        <f t="shared" si="214"/>
        <v>0</v>
      </c>
      <c r="W3397">
        <f t="shared" si="215"/>
        <v>0</v>
      </c>
    </row>
    <row r="3398" spans="5:23" x14ac:dyDescent="0.25">
      <c r="E3398" s="4"/>
      <c r="F3398" s="4"/>
      <c r="G3398" s="33" t="str">
        <f>IFERROR(VLOOKUP($D3398,'Informations sur les produits'!$A$3:$H$10000,8,FALSE),"0")</f>
        <v>0</v>
      </c>
      <c r="K3398" s="4"/>
      <c r="L3398" s="33" t="str">
        <f>IFERROR(VLOOKUP($J3398,'Informations sur les produits'!$A$3:$H$10000,8,FALSE),"0")</f>
        <v>0</v>
      </c>
      <c r="N3398" s="8"/>
      <c r="O3398" s="33" t="str">
        <f>IFERROR(VLOOKUP($M3398,'Informations sur les produits'!$A$3:$H$10000,8,FALSE),"0")</f>
        <v>0</v>
      </c>
      <c r="P3398" s="33">
        <f t="shared" si="212"/>
        <v>0</v>
      </c>
      <c r="Q3398" s="31" t="str">
        <f t="shared" si="213"/>
        <v/>
      </c>
      <c r="R3398" s="32" t="str">
        <f>IFERROR(VLOOKUP($D3398,'Informations sur les produits'!$A$3:$B$15000,2,FALSE),"")</f>
        <v/>
      </c>
      <c r="V3398">
        <f t="shared" si="214"/>
        <v>0</v>
      </c>
      <c r="W3398">
        <f t="shared" si="215"/>
        <v>0</v>
      </c>
    </row>
    <row r="3399" spans="5:23" x14ac:dyDescent="0.25">
      <c r="E3399" s="4"/>
      <c r="F3399" s="4"/>
      <c r="G3399" s="33" t="str">
        <f>IFERROR(VLOOKUP($D3399,'Informations sur les produits'!$A$3:$H$10000,8,FALSE),"0")</f>
        <v>0</v>
      </c>
      <c r="K3399" s="4"/>
      <c r="L3399" s="33" t="str">
        <f>IFERROR(VLOOKUP($J3399,'Informations sur les produits'!$A$3:$H$10000,8,FALSE),"0")</f>
        <v>0</v>
      </c>
      <c r="N3399" s="8"/>
      <c r="O3399" s="33" t="str">
        <f>IFERROR(VLOOKUP($M3399,'Informations sur les produits'!$A$3:$H$10000,8,FALSE),"0")</f>
        <v>0</v>
      </c>
      <c r="P3399" s="33">
        <f t="shared" si="212"/>
        <v>0</v>
      </c>
      <c r="Q3399" s="31" t="str">
        <f t="shared" si="213"/>
        <v/>
      </c>
      <c r="R3399" s="32" t="str">
        <f>IFERROR(VLOOKUP($D3399,'Informations sur les produits'!$A$3:$B$15000,2,FALSE),"")</f>
        <v/>
      </c>
      <c r="V3399">
        <f t="shared" si="214"/>
        <v>0</v>
      </c>
      <c r="W3399">
        <f t="shared" si="215"/>
        <v>0</v>
      </c>
    </row>
    <row r="3400" spans="5:23" x14ac:dyDescent="0.25">
      <c r="E3400" s="4"/>
      <c r="F3400" s="4"/>
      <c r="G3400" s="33" t="str">
        <f>IFERROR(VLOOKUP($D3400,'Informations sur les produits'!$A$3:$H$10000,8,FALSE),"0")</f>
        <v>0</v>
      </c>
      <c r="K3400" s="4"/>
      <c r="L3400" s="33" t="str">
        <f>IFERROR(VLOOKUP($J3400,'Informations sur les produits'!$A$3:$H$10000,8,FALSE),"0")</f>
        <v>0</v>
      </c>
      <c r="N3400" s="8"/>
      <c r="O3400" s="33" t="str">
        <f>IFERROR(VLOOKUP($M3400,'Informations sur les produits'!$A$3:$H$10000,8,FALSE),"0")</f>
        <v>0</v>
      </c>
      <c r="P3400" s="33">
        <f t="shared" si="212"/>
        <v>0</v>
      </c>
      <c r="Q3400" s="31" t="str">
        <f t="shared" si="213"/>
        <v/>
      </c>
      <c r="R3400" s="32" t="str">
        <f>IFERROR(VLOOKUP($D3400,'Informations sur les produits'!$A$3:$B$15000,2,FALSE),"")</f>
        <v/>
      </c>
      <c r="V3400">
        <f t="shared" si="214"/>
        <v>0</v>
      </c>
      <c r="W3400">
        <f t="shared" si="215"/>
        <v>0</v>
      </c>
    </row>
    <row r="3401" spans="5:23" x14ac:dyDescent="0.25">
      <c r="E3401" s="4"/>
      <c r="F3401" s="4"/>
      <c r="G3401" s="33" t="str">
        <f>IFERROR(VLOOKUP($D3401,'Informations sur les produits'!$A$3:$H$10000,8,FALSE),"0")</f>
        <v>0</v>
      </c>
      <c r="K3401" s="4"/>
      <c r="L3401" s="33" t="str">
        <f>IFERROR(VLOOKUP($J3401,'Informations sur les produits'!$A$3:$H$10000,8,FALSE),"0")</f>
        <v>0</v>
      </c>
      <c r="N3401" s="8"/>
      <c r="O3401" s="33" t="str">
        <f>IFERROR(VLOOKUP($M3401,'Informations sur les produits'!$A$3:$H$10000,8,FALSE),"0")</f>
        <v>0</v>
      </c>
      <c r="P3401" s="33">
        <f t="shared" si="212"/>
        <v>0</v>
      </c>
      <c r="Q3401" s="31" t="str">
        <f t="shared" si="213"/>
        <v/>
      </c>
      <c r="R3401" s="32" t="str">
        <f>IFERROR(VLOOKUP($D3401,'Informations sur les produits'!$A$3:$B$15000,2,FALSE),"")</f>
        <v/>
      </c>
      <c r="V3401">
        <f t="shared" si="214"/>
        <v>0</v>
      </c>
      <c r="W3401">
        <f t="shared" si="215"/>
        <v>0</v>
      </c>
    </row>
    <row r="3402" spans="5:23" x14ac:dyDescent="0.25">
      <c r="E3402" s="4"/>
      <c r="F3402" s="4"/>
      <c r="G3402" s="33" t="str">
        <f>IFERROR(VLOOKUP($D3402,'Informations sur les produits'!$A$3:$H$10000,8,FALSE),"0")</f>
        <v>0</v>
      </c>
      <c r="K3402" s="4"/>
      <c r="L3402" s="33" t="str">
        <f>IFERROR(VLOOKUP($J3402,'Informations sur les produits'!$A$3:$H$10000,8,FALSE),"0")</f>
        <v>0</v>
      </c>
      <c r="N3402" s="8"/>
      <c r="O3402" s="33" t="str">
        <f>IFERROR(VLOOKUP($M3402,'Informations sur les produits'!$A$3:$H$10000,8,FALSE),"0")</f>
        <v>0</v>
      </c>
      <c r="P3402" s="33">
        <f t="shared" si="212"/>
        <v>0</v>
      </c>
      <c r="Q3402" s="31" t="str">
        <f t="shared" si="213"/>
        <v/>
      </c>
      <c r="R3402" s="32" t="str">
        <f>IFERROR(VLOOKUP($D3402,'Informations sur les produits'!$A$3:$B$15000,2,FALSE),"")</f>
        <v/>
      </c>
      <c r="V3402">
        <f t="shared" si="214"/>
        <v>0</v>
      </c>
      <c r="W3402">
        <f t="shared" si="215"/>
        <v>0</v>
      </c>
    </row>
    <row r="3403" spans="5:23" x14ac:dyDescent="0.25">
      <c r="E3403" s="4"/>
      <c r="F3403" s="4"/>
      <c r="G3403" s="33" t="str">
        <f>IFERROR(VLOOKUP($D3403,'Informations sur les produits'!$A$3:$H$10000,8,FALSE),"0")</f>
        <v>0</v>
      </c>
      <c r="K3403" s="4"/>
      <c r="L3403" s="33" t="str">
        <f>IFERROR(VLOOKUP($J3403,'Informations sur les produits'!$A$3:$H$10000,8,FALSE),"0")</f>
        <v>0</v>
      </c>
      <c r="N3403" s="8"/>
      <c r="O3403" s="33" t="str">
        <f>IFERROR(VLOOKUP($M3403,'Informations sur les produits'!$A$3:$H$10000,8,FALSE),"0")</f>
        <v>0</v>
      </c>
      <c r="P3403" s="33">
        <f t="shared" si="212"/>
        <v>0</v>
      </c>
      <c r="Q3403" s="31" t="str">
        <f t="shared" si="213"/>
        <v/>
      </c>
      <c r="R3403" s="32" t="str">
        <f>IFERROR(VLOOKUP($D3403,'Informations sur les produits'!$A$3:$B$15000,2,FALSE),"")</f>
        <v/>
      </c>
      <c r="V3403">
        <f t="shared" si="214"/>
        <v>0</v>
      </c>
      <c r="W3403">
        <f t="shared" si="215"/>
        <v>0</v>
      </c>
    </row>
    <row r="3404" spans="5:23" x14ac:dyDescent="0.25">
      <c r="E3404" s="4"/>
      <c r="F3404" s="4"/>
      <c r="G3404" s="33" t="str">
        <f>IFERROR(VLOOKUP($D3404,'Informations sur les produits'!$A$3:$H$10000,8,FALSE),"0")</f>
        <v>0</v>
      </c>
      <c r="K3404" s="4"/>
      <c r="L3404" s="33" t="str">
        <f>IFERROR(VLOOKUP($J3404,'Informations sur les produits'!$A$3:$H$10000,8,FALSE),"0")</f>
        <v>0</v>
      </c>
      <c r="N3404" s="8"/>
      <c r="O3404" s="33" t="str">
        <f>IFERROR(VLOOKUP($M3404,'Informations sur les produits'!$A$3:$H$10000,8,FALSE),"0")</f>
        <v>0</v>
      </c>
      <c r="P3404" s="33">
        <f t="shared" si="212"/>
        <v>0</v>
      </c>
      <c r="Q3404" s="31" t="str">
        <f t="shared" si="213"/>
        <v/>
      </c>
      <c r="R3404" s="32" t="str">
        <f>IFERROR(VLOOKUP($D3404,'Informations sur les produits'!$A$3:$B$15000,2,FALSE),"")</f>
        <v/>
      </c>
      <c r="V3404">
        <f t="shared" si="214"/>
        <v>0</v>
      </c>
      <c r="W3404">
        <f t="shared" si="215"/>
        <v>0</v>
      </c>
    </row>
    <row r="3405" spans="5:23" x14ac:dyDescent="0.25">
      <c r="E3405" s="4"/>
      <c r="F3405" s="4"/>
      <c r="G3405" s="33" t="str">
        <f>IFERROR(VLOOKUP($D3405,'Informations sur les produits'!$A$3:$H$10000,8,FALSE),"0")</f>
        <v>0</v>
      </c>
      <c r="K3405" s="4"/>
      <c r="L3405" s="33" t="str">
        <f>IFERROR(VLOOKUP($J3405,'Informations sur les produits'!$A$3:$H$10000,8,FALSE),"0")</f>
        <v>0</v>
      </c>
      <c r="N3405" s="8"/>
      <c r="O3405" s="33" t="str">
        <f>IFERROR(VLOOKUP($M3405,'Informations sur les produits'!$A$3:$H$10000,8,FALSE),"0")</f>
        <v>0</v>
      </c>
      <c r="P3405" s="33">
        <f t="shared" si="212"/>
        <v>0</v>
      </c>
      <c r="Q3405" s="31" t="str">
        <f t="shared" si="213"/>
        <v/>
      </c>
      <c r="R3405" s="32" t="str">
        <f>IFERROR(VLOOKUP($D3405,'Informations sur les produits'!$A$3:$B$15000,2,FALSE),"")</f>
        <v/>
      </c>
      <c r="V3405">
        <f t="shared" si="214"/>
        <v>0</v>
      </c>
      <c r="W3405">
        <f t="shared" si="215"/>
        <v>0</v>
      </c>
    </row>
    <row r="3406" spans="5:23" x14ac:dyDescent="0.25">
      <c r="E3406" s="4"/>
      <c r="F3406" s="4"/>
      <c r="G3406" s="33" t="str">
        <f>IFERROR(VLOOKUP($D3406,'Informations sur les produits'!$A$3:$H$10000,8,FALSE),"0")</f>
        <v>0</v>
      </c>
      <c r="K3406" s="4"/>
      <c r="L3406" s="33" t="str">
        <f>IFERROR(VLOOKUP($J3406,'Informations sur les produits'!$A$3:$H$10000,8,FALSE),"0")</f>
        <v>0</v>
      </c>
      <c r="N3406" s="8"/>
      <c r="O3406" s="33" t="str">
        <f>IFERROR(VLOOKUP($M3406,'Informations sur les produits'!$A$3:$H$10000,8,FALSE),"0")</f>
        <v>0</v>
      </c>
      <c r="P3406" s="33">
        <f t="shared" si="212"/>
        <v>0</v>
      </c>
      <c r="Q3406" s="31" t="str">
        <f t="shared" si="213"/>
        <v/>
      </c>
      <c r="R3406" s="32" t="str">
        <f>IFERROR(VLOOKUP($D3406,'Informations sur les produits'!$A$3:$B$15000,2,FALSE),"")</f>
        <v/>
      </c>
      <c r="V3406">
        <f t="shared" si="214"/>
        <v>0</v>
      </c>
      <c r="W3406">
        <f t="shared" si="215"/>
        <v>0</v>
      </c>
    </row>
    <row r="3407" spans="5:23" x14ac:dyDescent="0.25">
      <c r="E3407" s="4"/>
      <c r="F3407" s="4"/>
      <c r="G3407" s="33" t="str">
        <f>IFERROR(VLOOKUP($D3407,'Informations sur les produits'!$A$3:$H$10000,8,FALSE),"0")</f>
        <v>0</v>
      </c>
      <c r="K3407" s="4"/>
      <c r="L3407" s="33" t="str">
        <f>IFERROR(VLOOKUP($J3407,'Informations sur les produits'!$A$3:$H$10000,8,FALSE),"0")</f>
        <v>0</v>
      </c>
      <c r="N3407" s="8"/>
      <c r="O3407" s="33" t="str">
        <f>IFERROR(VLOOKUP($M3407,'Informations sur les produits'!$A$3:$H$10000,8,FALSE),"0")</f>
        <v>0</v>
      </c>
      <c r="P3407" s="33">
        <f t="shared" si="212"/>
        <v>0</v>
      </c>
      <c r="Q3407" s="31" t="str">
        <f t="shared" si="213"/>
        <v/>
      </c>
      <c r="R3407" s="32" t="str">
        <f>IFERROR(VLOOKUP($D3407,'Informations sur les produits'!$A$3:$B$15000,2,FALSE),"")</f>
        <v/>
      </c>
      <c r="V3407">
        <f t="shared" si="214"/>
        <v>0</v>
      </c>
      <c r="W3407">
        <f t="shared" si="215"/>
        <v>0</v>
      </c>
    </row>
    <row r="3408" spans="5:23" x14ac:dyDescent="0.25">
      <c r="E3408" s="4"/>
      <c r="F3408" s="4"/>
      <c r="G3408" s="33" t="str">
        <f>IFERROR(VLOOKUP($D3408,'Informations sur les produits'!$A$3:$H$10000,8,FALSE),"0")</f>
        <v>0</v>
      </c>
      <c r="K3408" s="4"/>
      <c r="L3408" s="33" t="str">
        <f>IFERROR(VLOOKUP($J3408,'Informations sur les produits'!$A$3:$H$10000,8,FALSE),"0")</f>
        <v>0</v>
      </c>
      <c r="N3408" s="8"/>
      <c r="O3408" s="33" t="str">
        <f>IFERROR(VLOOKUP($M3408,'Informations sur les produits'!$A$3:$H$10000,8,FALSE),"0")</f>
        <v>0</v>
      </c>
      <c r="P3408" s="33">
        <f t="shared" si="212"/>
        <v>0</v>
      </c>
      <c r="Q3408" s="31" t="str">
        <f t="shared" si="213"/>
        <v/>
      </c>
      <c r="R3408" s="32" t="str">
        <f>IFERROR(VLOOKUP($D3408,'Informations sur les produits'!$A$3:$B$15000,2,FALSE),"")</f>
        <v/>
      </c>
      <c r="V3408">
        <f t="shared" si="214"/>
        <v>0</v>
      </c>
      <c r="W3408">
        <f t="shared" si="215"/>
        <v>0</v>
      </c>
    </row>
    <row r="3409" spans="5:23" x14ac:dyDescent="0.25">
      <c r="E3409" s="4"/>
      <c r="F3409" s="4"/>
      <c r="G3409" s="33" t="str">
        <f>IFERROR(VLOOKUP($D3409,'Informations sur les produits'!$A$3:$H$10000,8,FALSE),"0")</f>
        <v>0</v>
      </c>
      <c r="K3409" s="4"/>
      <c r="L3409" s="33" t="str">
        <f>IFERROR(VLOOKUP($J3409,'Informations sur les produits'!$A$3:$H$10000,8,FALSE),"0")</f>
        <v>0</v>
      </c>
      <c r="N3409" s="8"/>
      <c r="O3409" s="33" t="str">
        <f>IFERROR(VLOOKUP($M3409,'Informations sur les produits'!$A$3:$H$10000,8,FALSE),"0")</f>
        <v>0</v>
      </c>
      <c r="P3409" s="33">
        <f t="shared" si="212"/>
        <v>0</v>
      </c>
      <c r="Q3409" s="31" t="str">
        <f t="shared" si="213"/>
        <v/>
      </c>
      <c r="R3409" s="32" t="str">
        <f>IFERROR(VLOOKUP($D3409,'Informations sur les produits'!$A$3:$B$15000,2,FALSE),"")</f>
        <v/>
      </c>
      <c r="V3409">
        <f t="shared" si="214"/>
        <v>0</v>
      </c>
      <c r="W3409">
        <f t="shared" si="215"/>
        <v>0</v>
      </c>
    </row>
    <row r="3410" spans="5:23" x14ac:dyDescent="0.25">
      <c r="E3410" s="4"/>
      <c r="F3410" s="4"/>
      <c r="G3410" s="33" t="str">
        <f>IFERROR(VLOOKUP($D3410,'Informations sur les produits'!$A$3:$H$10000,8,FALSE),"0")</f>
        <v>0</v>
      </c>
      <c r="K3410" s="4"/>
      <c r="L3410" s="33" t="str">
        <f>IFERROR(VLOOKUP($J3410,'Informations sur les produits'!$A$3:$H$10000,8,FALSE),"0")</f>
        <v>0</v>
      </c>
      <c r="N3410" s="8"/>
      <c r="O3410" s="33" t="str">
        <f>IFERROR(VLOOKUP($M3410,'Informations sur les produits'!$A$3:$H$10000,8,FALSE),"0")</f>
        <v>0</v>
      </c>
      <c r="P3410" s="33">
        <f t="shared" si="212"/>
        <v>0</v>
      </c>
      <c r="Q3410" s="31" t="str">
        <f t="shared" si="213"/>
        <v/>
      </c>
      <c r="R3410" s="32" t="str">
        <f>IFERROR(VLOOKUP($D3410,'Informations sur les produits'!$A$3:$B$15000,2,FALSE),"")</f>
        <v/>
      </c>
      <c r="V3410">
        <f t="shared" si="214"/>
        <v>0</v>
      </c>
      <c r="W3410">
        <f t="shared" si="215"/>
        <v>0</v>
      </c>
    </row>
    <row r="3411" spans="5:23" x14ac:dyDescent="0.25">
      <c r="E3411" s="4"/>
      <c r="F3411" s="4"/>
      <c r="G3411" s="33" t="str">
        <f>IFERROR(VLOOKUP($D3411,'Informations sur les produits'!$A$3:$H$10000,8,FALSE),"0")</f>
        <v>0</v>
      </c>
      <c r="K3411" s="4"/>
      <c r="L3411" s="33" t="str">
        <f>IFERROR(VLOOKUP($J3411,'Informations sur les produits'!$A$3:$H$10000,8,FALSE),"0")</f>
        <v>0</v>
      </c>
      <c r="N3411" s="8"/>
      <c r="O3411" s="33" t="str">
        <f>IFERROR(VLOOKUP($M3411,'Informations sur les produits'!$A$3:$H$10000,8,FALSE),"0")</f>
        <v>0</v>
      </c>
      <c r="P3411" s="33">
        <f t="shared" si="212"/>
        <v>0</v>
      </c>
      <c r="Q3411" s="31" t="str">
        <f t="shared" si="213"/>
        <v/>
      </c>
      <c r="R3411" s="32" t="str">
        <f>IFERROR(VLOOKUP($D3411,'Informations sur les produits'!$A$3:$B$15000,2,FALSE),"")</f>
        <v/>
      </c>
      <c r="V3411">
        <f t="shared" si="214"/>
        <v>0</v>
      </c>
      <c r="W3411">
        <f t="shared" si="215"/>
        <v>0</v>
      </c>
    </row>
    <row r="3412" spans="5:23" x14ac:dyDescent="0.25">
      <c r="E3412" s="4"/>
      <c r="F3412" s="4"/>
      <c r="G3412" s="33" t="str">
        <f>IFERROR(VLOOKUP($D3412,'Informations sur les produits'!$A$3:$H$10000,8,FALSE),"0")</f>
        <v>0</v>
      </c>
      <c r="K3412" s="4"/>
      <c r="L3412" s="33" t="str">
        <f>IFERROR(VLOOKUP($J3412,'Informations sur les produits'!$A$3:$H$10000,8,FALSE),"0")</f>
        <v>0</v>
      </c>
      <c r="N3412" s="8"/>
      <c r="O3412" s="33" t="str">
        <f>IFERROR(VLOOKUP($M3412,'Informations sur les produits'!$A$3:$H$10000,8,FALSE),"0")</f>
        <v>0</v>
      </c>
      <c r="P3412" s="33">
        <f t="shared" si="212"/>
        <v>0</v>
      </c>
      <c r="Q3412" s="31" t="str">
        <f t="shared" si="213"/>
        <v/>
      </c>
      <c r="R3412" s="32" t="str">
        <f>IFERROR(VLOOKUP($D3412,'Informations sur les produits'!$A$3:$B$15000,2,FALSE),"")</f>
        <v/>
      </c>
      <c r="V3412">
        <f t="shared" si="214"/>
        <v>0</v>
      </c>
      <c r="W3412">
        <f t="shared" si="215"/>
        <v>0</v>
      </c>
    </row>
    <row r="3413" spans="5:23" x14ac:dyDescent="0.25">
      <c r="E3413" s="4"/>
      <c r="F3413" s="4"/>
      <c r="G3413" s="33" t="str">
        <f>IFERROR(VLOOKUP($D3413,'Informations sur les produits'!$A$3:$H$10000,8,FALSE),"0")</f>
        <v>0</v>
      </c>
      <c r="K3413" s="4"/>
      <c r="L3413" s="33" t="str">
        <f>IFERROR(VLOOKUP($J3413,'Informations sur les produits'!$A$3:$H$10000,8,FALSE),"0")</f>
        <v>0</v>
      </c>
      <c r="N3413" s="8"/>
      <c r="O3413" s="33" t="str">
        <f>IFERROR(VLOOKUP($M3413,'Informations sur les produits'!$A$3:$H$10000,8,FALSE),"0")</f>
        <v>0</v>
      </c>
      <c r="P3413" s="33">
        <f t="shared" si="212"/>
        <v>0</v>
      </c>
      <c r="Q3413" s="31" t="str">
        <f t="shared" si="213"/>
        <v/>
      </c>
      <c r="R3413" s="32" t="str">
        <f>IFERROR(VLOOKUP($D3413,'Informations sur les produits'!$A$3:$B$15000,2,FALSE),"")</f>
        <v/>
      </c>
      <c r="V3413">
        <f t="shared" si="214"/>
        <v>0</v>
      </c>
      <c r="W3413">
        <f t="shared" si="215"/>
        <v>0</v>
      </c>
    </row>
    <row r="3414" spans="5:23" x14ac:dyDescent="0.25">
      <c r="E3414" s="4"/>
      <c r="F3414" s="4"/>
      <c r="G3414" s="33" t="str">
        <f>IFERROR(VLOOKUP($D3414,'Informations sur les produits'!$A$3:$H$10000,8,FALSE),"0")</f>
        <v>0</v>
      </c>
      <c r="K3414" s="4"/>
      <c r="L3414" s="33" t="str">
        <f>IFERROR(VLOOKUP($J3414,'Informations sur les produits'!$A$3:$H$10000,8,FALSE),"0")</f>
        <v>0</v>
      </c>
      <c r="N3414" s="8"/>
      <c r="O3414" s="33" t="str">
        <f>IFERROR(VLOOKUP($M3414,'Informations sur les produits'!$A$3:$H$10000,8,FALSE),"0")</f>
        <v>0</v>
      </c>
      <c r="P3414" s="33">
        <f t="shared" si="212"/>
        <v>0</v>
      </c>
      <c r="Q3414" s="31" t="str">
        <f t="shared" si="213"/>
        <v/>
      </c>
      <c r="R3414" s="32" t="str">
        <f>IFERROR(VLOOKUP($D3414,'Informations sur les produits'!$A$3:$B$15000,2,FALSE),"")</f>
        <v/>
      </c>
      <c r="V3414">
        <f t="shared" si="214"/>
        <v>0</v>
      </c>
      <c r="W3414">
        <f t="shared" si="215"/>
        <v>0</v>
      </c>
    </row>
    <row r="3415" spans="5:23" x14ac:dyDescent="0.25">
      <c r="E3415" s="4"/>
      <c r="F3415" s="4"/>
      <c r="G3415" s="33" t="str">
        <f>IFERROR(VLOOKUP($D3415,'Informations sur les produits'!$A$3:$H$10000,8,FALSE),"0")</f>
        <v>0</v>
      </c>
      <c r="K3415" s="4"/>
      <c r="L3415" s="33" t="str">
        <f>IFERROR(VLOOKUP($J3415,'Informations sur les produits'!$A$3:$H$10000,8,FALSE),"0")</f>
        <v>0</v>
      </c>
      <c r="N3415" s="8"/>
      <c r="O3415" s="33" t="str">
        <f>IFERROR(VLOOKUP($M3415,'Informations sur les produits'!$A$3:$H$10000,8,FALSE),"0")</f>
        <v>0</v>
      </c>
      <c r="P3415" s="33">
        <f t="shared" si="212"/>
        <v>0</v>
      </c>
      <c r="Q3415" s="31" t="str">
        <f t="shared" si="213"/>
        <v/>
      </c>
      <c r="R3415" s="32" t="str">
        <f>IFERROR(VLOOKUP($D3415,'Informations sur les produits'!$A$3:$B$15000,2,FALSE),"")</f>
        <v/>
      </c>
      <c r="V3415">
        <f t="shared" si="214"/>
        <v>0</v>
      </c>
      <c r="W3415">
        <f t="shared" si="215"/>
        <v>0</v>
      </c>
    </row>
    <row r="3416" spans="5:23" x14ac:dyDescent="0.25">
      <c r="E3416" s="4"/>
      <c r="F3416" s="4"/>
      <c r="G3416" s="33" t="str">
        <f>IFERROR(VLOOKUP($D3416,'Informations sur les produits'!$A$3:$H$10000,8,FALSE),"0")</f>
        <v>0</v>
      </c>
      <c r="K3416" s="4"/>
      <c r="L3416" s="33" t="str">
        <f>IFERROR(VLOOKUP($J3416,'Informations sur les produits'!$A$3:$H$10000,8,FALSE),"0")</f>
        <v>0</v>
      </c>
      <c r="N3416" s="8"/>
      <c r="O3416" s="33" t="str">
        <f>IFERROR(VLOOKUP($M3416,'Informations sur les produits'!$A$3:$H$10000,8,FALSE),"0")</f>
        <v>0</v>
      </c>
      <c r="P3416" s="33">
        <f t="shared" si="212"/>
        <v>0</v>
      </c>
      <c r="Q3416" s="31" t="str">
        <f t="shared" si="213"/>
        <v/>
      </c>
      <c r="R3416" s="32" t="str">
        <f>IFERROR(VLOOKUP($D3416,'Informations sur les produits'!$A$3:$B$15000,2,FALSE),"")</f>
        <v/>
      </c>
      <c r="V3416">
        <f t="shared" si="214"/>
        <v>0</v>
      </c>
      <c r="W3416">
        <f t="shared" si="215"/>
        <v>0</v>
      </c>
    </row>
    <row r="3417" spans="5:23" x14ac:dyDescent="0.25">
      <c r="E3417" s="4"/>
      <c r="F3417" s="4"/>
      <c r="G3417" s="33" t="str">
        <f>IFERROR(VLOOKUP($D3417,'Informations sur les produits'!$A$3:$H$10000,8,FALSE),"0")</f>
        <v>0</v>
      </c>
      <c r="K3417" s="4"/>
      <c r="L3417" s="33" t="str">
        <f>IFERROR(VLOOKUP($J3417,'Informations sur les produits'!$A$3:$H$10000,8,FALSE),"0")</f>
        <v>0</v>
      </c>
      <c r="N3417" s="8"/>
      <c r="O3417" s="33" t="str">
        <f>IFERROR(VLOOKUP($M3417,'Informations sur les produits'!$A$3:$H$10000,8,FALSE),"0")</f>
        <v>0</v>
      </c>
      <c r="P3417" s="33">
        <f t="shared" si="212"/>
        <v>0</v>
      </c>
      <c r="Q3417" s="31" t="str">
        <f t="shared" si="213"/>
        <v/>
      </c>
      <c r="R3417" s="32" t="str">
        <f>IFERROR(VLOOKUP($D3417,'Informations sur les produits'!$A$3:$B$15000,2,FALSE),"")</f>
        <v/>
      </c>
      <c r="V3417">
        <f t="shared" si="214"/>
        <v>0</v>
      </c>
      <c r="W3417">
        <f t="shared" si="215"/>
        <v>0</v>
      </c>
    </row>
    <row r="3418" spans="5:23" x14ac:dyDescent="0.25">
      <c r="E3418" s="4"/>
      <c r="F3418" s="4"/>
      <c r="G3418" s="33" t="str">
        <f>IFERROR(VLOOKUP($D3418,'Informations sur les produits'!$A$3:$H$10000,8,FALSE),"0")</f>
        <v>0</v>
      </c>
      <c r="K3418" s="4"/>
      <c r="L3418" s="33" t="str">
        <f>IFERROR(VLOOKUP($J3418,'Informations sur les produits'!$A$3:$H$10000,8,FALSE),"0")</f>
        <v>0</v>
      </c>
      <c r="N3418" s="8"/>
      <c r="O3418" s="33" t="str">
        <f>IFERROR(VLOOKUP($M3418,'Informations sur les produits'!$A$3:$H$10000,8,FALSE),"0")</f>
        <v>0</v>
      </c>
      <c r="P3418" s="33">
        <f t="shared" si="212"/>
        <v>0</v>
      </c>
      <c r="Q3418" s="31" t="str">
        <f t="shared" si="213"/>
        <v/>
      </c>
      <c r="R3418" s="32" t="str">
        <f>IFERROR(VLOOKUP($D3418,'Informations sur les produits'!$A$3:$B$15000,2,FALSE),"")</f>
        <v/>
      </c>
      <c r="V3418">
        <f t="shared" si="214"/>
        <v>0</v>
      </c>
      <c r="W3418">
        <f t="shared" si="215"/>
        <v>0</v>
      </c>
    </row>
    <row r="3419" spans="5:23" x14ac:dyDescent="0.25">
      <c r="E3419" s="4"/>
      <c r="F3419" s="4"/>
      <c r="G3419" s="33" t="str">
        <f>IFERROR(VLOOKUP($D3419,'Informations sur les produits'!$A$3:$H$10000,8,FALSE),"0")</f>
        <v>0</v>
      </c>
      <c r="K3419" s="4"/>
      <c r="L3419" s="33" t="str">
        <f>IFERROR(VLOOKUP($J3419,'Informations sur les produits'!$A$3:$H$10000,8,FALSE),"0")</f>
        <v>0</v>
      </c>
      <c r="N3419" s="8"/>
      <c r="O3419" s="33" t="str">
        <f>IFERROR(VLOOKUP($M3419,'Informations sur les produits'!$A$3:$H$10000,8,FALSE),"0")</f>
        <v>0</v>
      </c>
      <c r="P3419" s="33">
        <f t="shared" si="212"/>
        <v>0</v>
      </c>
      <c r="Q3419" s="31" t="str">
        <f t="shared" si="213"/>
        <v/>
      </c>
      <c r="R3419" s="32" t="str">
        <f>IFERROR(VLOOKUP($D3419,'Informations sur les produits'!$A$3:$B$15000,2,FALSE),"")</f>
        <v/>
      </c>
      <c r="V3419">
        <f t="shared" si="214"/>
        <v>0</v>
      </c>
      <c r="W3419">
        <f t="shared" si="215"/>
        <v>0</v>
      </c>
    </row>
    <row r="3420" spans="5:23" x14ac:dyDescent="0.25">
      <c r="E3420" s="4"/>
      <c r="F3420" s="4"/>
      <c r="G3420" s="33" t="str">
        <f>IFERROR(VLOOKUP($D3420,'Informations sur les produits'!$A$3:$H$10000,8,FALSE),"0")</f>
        <v>0</v>
      </c>
      <c r="K3420" s="4"/>
      <c r="L3420" s="33" t="str">
        <f>IFERROR(VLOOKUP($J3420,'Informations sur les produits'!$A$3:$H$10000,8,FALSE),"0")</f>
        <v>0</v>
      </c>
      <c r="N3420" s="8"/>
      <c r="O3420" s="33" t="str">
        <f>IFERROR(VLOOKUP($M3420,'Informations sur les produits'!$A$3:$H$10000,8,FALSE),"0")</f>
        <v>0</v>
      </c>
      <c r="P3420" s="33">
        <f t="shared" si="212"/>
        <v>0</v>
      </c>
      <c r="Q3420" s="31" t="str">
        <f t="shared" si="213"/>
        <v/>
      </c>
      <c r="R3420" s="32" t="str">
        <f>IFERROR(VLOOKUP($D3420,'Informations sur les produits'!$A$3:$B$15000,2,FALSE),"")</f>
        <v/>
      </c>
      <c r="V3420">
        <f t="shared" si="214"/>
        <v>0</v>
      </c>
      <c r="W3420">
        <f t="shared" si="215"/>
        <v>0</v>
      </c>
    </row>
    <row r="3421" spans="5:23" x14ac:dyDescent="0.25">
      <c r="E3421" s="4"/>
      <c r="F3421" s="4"/>
      <c r="G3421" s="33" t="str">
        <f>IFERROR(VLOOKUP($D3421,'Informations sur les produits'!$A$3:$H$10000,8,FALSE),"0")</f>
        <v>0</v>
      </c>
      <c r="K3421" s="4"/>
      <c r="L3421" s="33" t="str">
        <f>IFERROR(VLOOKUP($J3421,'Informations sur les produits'!$A$3:$H$10000,8,FALSE),"0")</f>
        <v>0</v>
      </c>
      <c r="N3421" s="8"/>
      <c r="O3421" s="33" t="str">
        <f>IFERROR(VLOOKUP($M3421,'Informations sur les produits'!$A$3:$H$10000,8,FALSE),"0")</f>
        <v>0</v>
      </c>
      <c r="P3421" s="33">
        <f t="shared" si="212"/>
        <v>0</v>
      </c>
      <c r="Q3421" s="31" t="str">
        <f t="shared" si="213"/>
        <v/>
      </c>
      <c r="R3421" s="32" t="str">
        <f>IFERROR(VLOOKUP($D3421,'Informations sur les produits'!$A$3:$B$15000,2,FALSE),"")</f>
        <v/>
      </c>
      <c r="V3421">
        <f t="shared" si="214"/>
        <v>0</v>
      </c>
      <c r="W3421">
        <f t="shared" si="215"/>
        <v>0</v>
      </c>
    </row>
    <row r="3422" spans="5:23" x14ac:dyDescent="0.25">
      <c r="E3422" s="4"/>
      <c r="F3422" s="4"/>
      <c r="G3422" s="33" t="str">
        <f>IFERROR(VLOOKUP($D3422,'Informations sur les produits'!$A$3:$H$10000,8,FALSE),"0")</f>
        <v>0</v>
      </c>
      <c r="K3422" s="4"/>
      <c r="L3422" s="33" t="str">
        <f>IFERROR(VLOOKUP($J3422,'Informations sur les produits'!$A$3:$H$10000,8,FALSE),"0")</f>
        <v>0</v>
      </c>
      <c r="N3422" s="8"/>
      <c r="O3422" s="33" t="str">
        <f>IFERROR(VLOOKUP($M3422,'Informations sur les produits'!$A$3:$H$10000,8,FALSE),"0")</f>
        <v>0</v>
      </c>
      <c r="P3422" s="33">
        <f t="shared" si="212"/>
        <v>0</v>
      </c>
      <c r="Q3422" s="31" t="str">
        <f t="shared" si="213"/>
        <v/>
      </c>
      <c r="R3422" s="32" t="str">
        <f>IFERROR(VLOOKUP($D3422,'Informations sur les produits'!$A$3:$B$15000,2,FALSE),"")</f>
        <v/>
      </c>
      <c r="V3422">
        <f t="shared" si="214"/>
        <v>0</v>
      </c>
      <c r="W3422">
        <f t="shared" si="215"/>
        <v>0</v>
      </c>
    </row>
    <row r="3423" spans="5:23" x14ac:dyDescent="0.25">
      <c r="E3423" s="4"/>
      <c r="F3423" s="4"/>
      <c r="G3423" s="33" t="str">
        <f>IFERROR(VLOOKUP($D3423,'Informations sur les produits'!$A$3:$H$10000,8,FALSE),"0")</f>
        <v>0</v>
      </c>
      <c r="K3423" s="4"/>
      <c r="L3423" s="33" t="str">
        <f>IFERROR(VLOOKUP($J3423,'Informations sur les produits'!$A$3:$H$10000,8,FALSE),"0")</f>
        <v>0</v>
      </c>
      <c r="N3423" s="8"/>
      <c r="O3423" s="33" t="str">
        <f>IFERROR(VLOOKUP($M3423,'Informations sur les produits'!$A$3:$H$10000,8,FALSE),"0")</f>
        <v>0</v>
      </c>
      <c r="P3423" s="33">
        <f t="shared" si="212"/>
        <v>0</v>
      </c>
      <c r="Q3423" s="31" t="str">
        <f t="shared" si="213"/>
        <v/>
      </c>
      <c r="R3423" s="32" t="str">
        <f>IFERROR(VLOOKUP($D3423,'Informations sur les produits'!$A$3:$B$15000,2,FALSE),"")</f>
        <v/>
      </c>
      <c r="V3423">
        <f t="shared" si="214"/>
        <v>0</v>
      </c>
      <c r="W3423">
        <f t="shared" si="215"/>
        <v>0</v>
      </c>
    </row>
    <row r="3424" spans="5:23" x14ac:dyDescent="0.25">
      <c r="E3424" s="4"/>
      <c r="F3424" s="4"/>
      <c r="G3424" s="33" t="str">
        <f>IFERROR(VLOOKUP($D3424,'Informations sur les produits'!$A$3:$H$10000,8,FALSE),"0")</f>
        <v>0</v>
      </c>
      <c r="K3424" s="4"/>
      <c r="L3424" s="33" t="str">
        <f>IFERROR(VLOOKUP($J3424,'Informations sur les produits'!$A$3:$H$10000,8,FALSE),"0")</f>
        <v>0</v>
      </c>
      <c r="N3424" s="8"/>
      <c r="O3424" s="33" t="str">
        <f>IFERROR(VLOOKUP($M3424,'Informations sur les produits'!$A$3:$H$10000,8,FALSE),"0")</f>
        <v>0</v>
      </c>
      <c r="P3424" s="33">
        <f t="shared" si="212"/>
        <v>0</v>
      </c>
      <c r="Q3424" s="31" t="str">
        <f t="shared" si="213"/>
        <v/>
      </c>
      <c r="R3424" s="32" t="str">
        <f>IFERROR(VLOOKUP($D3424,'Informations sur les produits'!$A$3:$B$15000,2,FALSE),"")</f>
        <v/>
      </c>
      <c r="V3424">
        <f t="shared" si="214"/>
        <v>0</v>
      </c>
      <c r="W3424">
        <f t="shared" si="215"/>
        <v>0</v>
      </c>
    </row>
    <row r="3425" spans="5:23" x14ac:dyDescent="0.25">
      <c r="E3425" s="4"/>
      <c r="F3425" s="4"/>
      <c r="G3425" s="33" t="str">
        <f>IFERROR(VLOOKUP($D3425,'Informations sur les produits'!$A$3:$H$10000,8,FALSE),"0")</f>
        <v>0</v>
      </c>
      <c r="K3425" s="4"/>
      <c r="L3425" s="33" t="str">
        <f>IFERROR(VLOOKUP($J3425,'Informations sur les produits'!$A$3:$H$10000,8,FALSE),"0")</f>
        <v>0</v>
      </c>
      <c r="N3425" s="8"/>
      <c r="O3425" s="33" t="str">
        <f>IFERROR(VLOOKUP($M3425,'Informations sur les produits'!$A$3:$H$10000,8,FALSE),"0")</f>
        <v>0</v>
      </c>
      <c r="P3425" s="33">
        <f t="shared" si="212"/>
        <v>0</v>
      </c>
      <c r="Q3425" s="31" t="str">
        <f t="shared" si="213"/>
        <v/>
      </c>
      <c r="R3425" s="32" t="str">
        <f>IFERROR(VLOOKUP($D3425,'Informations sur les produits'!$A$3:$B$15000,2,FALSE),"")</f>
        <v/>
      </c>
      <c r="V3425">
        <f t="shared" si="214"/>
        <v>0</v>
      </c>
      <c r="W3425">
        <f t="shared" si="215"/>
        <v>0</v>
      </c>
    </row>
    <row r="3426" spans="5:23" x14ac:dyDescent="0.25">
      <c r="E3426" s="4"/>
      <c r="F3426" s="4"/>
      <c r="G3426" s="33" t="str">
        <f>IFERROR(VLOOKUP($D3426,'Informations sur les produits'!$A$3:$H$10000,8,FALSE),"0")</f>
        <v>0</v>
      </c>
      <c r="K3426" s="4"/>
      <c r="L3426" s="33" t="str">
        <f>IFERROR(VLOOKUP($J3426,'Informations sur les produits'!$A$3:$H$10000,8,FALSE),"0")</f>
        <v>0</v>
      </c>
      <c r="N3426" s="8"/>
      <c r="O3426" s="33" t="str">
        <f>IFERROR(VLOOKUP($M3426,'Informations sur les produits'!$A$3:$H$10000,8,FALSE),"0")</f>
        <v>0</v>
      </c>
      <c r="P3426" s="33">
        <f t="shared" si="212"/>
        <v>0</v>
      </c>
      <c r="Q3426" s="31" t="str">
        <f t="shared" si="213"/>
        <v/>
      </c>
      <c r="R3426" s="32" t="str">
        <f>IFERROR(VLOOKUP($D3426,'Informations sur les produits'!$A$3:$B$15000,2,FALSE),"")</f>
        <v/>
      </c>
      <c r="V3426">
        <f t="shared" si="214"/>
        <v>0</v>
      </c>
      <c r="W3426">
        <f t="shared" si="215"/>
        <v>0</v>
      </c>
    </row>
    <row r="3427" spans="5:23" x14ac:dyDescent="0.25">
      <c r="E3427" s="4"/>
      <c r="F3427" s="4"/>
      <c r="G3427" s="33" t="str">
        <f>IFERROR(VLOOKUP($D3427,'Informations sur les produits'!$A$3:$H$10000,8,FALSE),"0")</f>
        <v>0</v>
      </c>
      <c r="K3427" s="4"/>
      <c r="L3427" s="33" t="str">
        <f>IFERROR(VLOOKUP($J3427,'Informations sur les produits'!$A$3:$H$10000,8,FALSE),"0")</f>
        <v>0</v>
      </c>
      <c r="N3427" s="8"/>
      <c r="O3427" s="33" t="str">
        <f>IFERROR(VLOOKUP($M3427,'Informations sur les produits'!$A$3:$H$10000,8,FALSE),"0")</f>
        <v>0</v>
      </c>
      <c r="P3427" s="33">
        <f t="shared" si="212"/>
        <v>0</v>
      </c>
      <c r="Q3427" s="31" t="str">
        <f t="shared" si="213"/>
        <v/>
      </c>
      <c r="R3427" s="32" t="str">
        <f>IFERROR(VLOOKUP($D3427,'Informations sur les produits'!$A$3:$B$15000,2,FALSE),"")</f>
        <v/>
      </c>
      <c r="V3427">
        <f t="shared" si="214"/>
        <v>0</v>
      </c>
      <c r="W3427">
        <f t="shared" si="215"/>
        <v>0</v>
      </c>
    </row>
    <row r="3428" spans="5:23" x14ac:dyDescent="0.25">
      <c r="E3428" s="4"/>
      <c r="F3428" s="4"/>
      <c r="G3428" s="33" t="str">
        <f>IFERROR(VLOOKUP($D3428,'Informations sur les produits'!$A$3:$H$10000,8,FALSE),"0")</f>
        <v>0</v>
      </c>
      <c r="K3428" s="4"/>
      <c r="L3428" s="33" t="str">
        <f>IFERROR(VLOOKUP($J3428,'Informations sur les produits'!$A$3:$H$10000,8,FALSE),"0")</f>
        <v>0</v>
      </c>
      <c r="N3428" s="8"/>
      <c r="O3428" s="33" t="str">
        <f>IFERROR(VLOOKUP($M3428,'Informations sur les produits'!$A$3:$H$10000,8,FALSE),"0")</f>
        <v>0</v>
      </c>
      <c r="P3428" s="33">
        <f t="shared" si="212"/>
        <v>0</v>
      </c>
      <c r="Q3428" s="31" t="str">
        <f t="shared" si="213"/>
        <v/>
      </c>
      <c r="R3428" s="32" t="str">
        <f>IFERROR(VLOOKUP($D3428,'Informations sur les produits'!$A$3:$B$15000,2,FALSE),"")</f>
        <v/>
      </c>
      <c r="V3428">
        <f t="shared" si="214"/>
        <v>0</v>
      </c>
      <c r="W3428">
        <f t="shared" si="215"/>
        <v>0</v>
      </c>
    </row>
    <row r="3429" spans="5:23" x14ac:dyDescent="0.25">
      <c r="E3429" s="4"/>
      <c r="F3429" s="4"/>
      <c r="G3429" s="33" t="str">
        <f>IFERROR(VLOOKUP($D3429,'Informations sur les produits'!$A$3:$H$10000,8,FALSE),"0")</f>
        <v>0</v>
      </c>
      <c r="K3429" s="4"/>
      <c r="L3429" s="33" t="str">
        <f>IFERROR(VLOOKUP($J3429,'Informations sur les produits'!$A$3:$H$10000,8,FALSE),"0")</f>
        <v>0</v>
      </c>
      <c r="N3429" s="8"/>
      <c r="O3429" s="33" t="str">
        <f>IFERROR(VLOOKUP($M3429,'Informations sur les produits'!$A$3:$H$10000,8,FALSE),"0")</f>
        <v>0</v>
      </c>
      <c r="P3429" s="33">
        <f t="shared" si="212"/>
        <v>0</v>
      </c>
      <c r="Q3429" s="31" t="str">
        <f t="shared" si="213"/>
        <v/>
      </c>
      <c r="R3429" s="32" t="str">
        <f>IFERROR(VLOOKUP($D3429,'Informations sur les produits'!$A$3:$B$15000,2,FALSE),"")</f>
        <v/>
      </c>
      <c r="V3429">
        <f t="shared" si="214"/>
        <v>0</v>
      </c>
      <c r="W3429">
        <f t="shared" si="215"/>
        <v>0</v>
      </c>
    </row>
    <row r="3430" spans="5:23" x14ac:dyDescent="0.25">
      <c r="E3430" s="4"/>
      <c r="F3430" s="4"/>
      <c r="G3430" s="33" t="str">
        <f>IFERROR(VLOOKUP($D3430,'Informations sur les produits'!$A$3:$H$10000,8,FALSE),"0")</f>
        <v>0</v>
      </c>
      <c r="K3430" s="4"/>
      <c r="L3430" s="33" t="str">
        <f>IFERROR(VLOOKUP($J3430,'Informations sur les produits'!$A$3:$H$10000,8,FALSE),"0")</f>
        <v>0</v>
      </c>
      <c r="N3430" s="8"/>
      <c r="O3430" s="33" t="str">
        <f>IFERROR(VLOOKUP($M3430,'Informations sur les produits'!$A$3:$H$10000,8,FALSE),"0")</f>
        <v>0</v>
      </c>
      <c r="P3430" s="33">
        <f t="shared" si="212"/>
        <v>0</v>
      </c>
      <c r="Q3430" s="31" t="str">
        <f t="shared" si="213"/>
        <v/>
      </c>
      <c r="R3430" s="32" t="str">
        <f>IFERROR(VLOOKUP($D3430,'Informations sur les produits'!$A$3:$B$15000,2,FALSE),"")</f>
        <v/>
      </c>
      <c r="V3430">
        <f t="shared" si="214"/>
        <v>0</v>
      </c>
      <c r="W3430">
        <f t="shared" si="215"/>
        <v>0</v>
      </c>
    </row>
    <row r="3431" spans="5:23" x14ac:dyDescent="0.25">
      <c r="E3431" s="4"/>
      <c r="F3431" s="4"/>
      <c r="G3431" s="33" t="str">
        <f>IFERROR(VLOOKUP($D3431,'Informations sur les produits'!$A$3:$H$10000,8,FALSE),"0")</f>
        <v>0</v>
      </c>
      <c r="K3431" s="4"/>
      <c r="L3431" s="33" t="str">
        <f>IFERROR(VLOOKUP($J3431,'Informations sur les produits'!$A$3:$H$10000,8,FALSE),"0")</f>
        <v>0</v>
      </c>
      <c r="N3431" s="8"/>
      <c r="O3431" s="33" t="str">
        <f>IFERROR(VLOOKUP($M3431,'Informations sur les produits'!$A$3:$H$10000,8,FALSE),"0")</f>
        <v>0</v>
      </c>
      <c r="P3431" s="33">
        <f t="shared" si="212"/>
        <v>0</v>
      </c>
      <c r="Q3431" s="31" t="str">
        <f t="shared" si="213"/>
        <v/>
      </c>
      <c r="R3431" s="32" t="str">
        <f>IFERROR(VLOOKUP($D3431,'Informations sur les produits'!$A$3:$B$15000,2,FALSE),"")</f>
        <v/>
      </c>
      <c r="V3431">
        <f t="shared" si="214"/>
        <v>0</v>
      </c>
      <c r="W3431">
        <f t="shared" si="215"/>
        <v>0</v>
      </c>
    </row>
    <row r="3432" spans="5:23" x14ac:dyDescent="0.25">
      <c r="E3432" s="4"/>
      <c r="F3432" s="4"/>
      <c r="G3432" s="33" t="str">
        <f>IFERROR(VLOOKUP($D3432,'Informations sur les produits'!$A$3:$H$10000,8,FALSE),"0")</f>
        <v>0</v>
      </c>
      <c r="K3432" s="4"/>
      <c r="L3432" s="33" t="str">
        <f>IFERROR(VLOOKUP($J3432,'Informations sur les produits'!$A$3:$H$10000,8,FALSE),"0")</f>
        <v>0</v>
      </c>
      <c r="N3432" s="8"/>
      <c r="O3432" s="33" t="str">
        <f>IFERROR(VLOOKUP($M3432,'Informations sur les produits'!$A$3:$H$10000,8,FALSE),"0")</f>
        <v>0</v>
      </c>
      <c r="P3432" s="33">
        <f t="shared" si="212"/>
        <v>0</v>
      </c>
      <c r="Q3432" s="31" t="str">
        <f t="shared" si="213"/>
        <v/>
      </c>
      <c r="R3432" s="32" t="str">
        <f>IFERROR(VLOOKUP($D3432,'Informations sur les produits'!$A$3:$B$15000,2,FALSE),"")</f>
        <v/>
      </c>
      <c r="V3432">
        <f t="shared" si="214"/>
        <v>0</v>
      </c>
      <c r="W3432">
        <f t="shared" si="215"/>
        <v>0</v>
      </c>
    </row>
    <row r="3433" spans="5:23" x14ac:dyDescent="0.25">
      <c r="E3433" s="4"/>
      <c r="F3433" s="4"/>
      <c r="G3433" s="33" t="str">
        <f>IFERROR(VLOOKUP($D3433,'Informations sur les produits'!$A$3:$H$10000,8,FALSE),"0")</f>
        <v>0</v>
      </c>
      <c r="K3433" s="4"/>
      <c r="L3433" s="33" t="str">
        <f>IFERROR(VLOOKUP($J3433,'Informations sur les produits'!$A$3:$H$10000,8,FALSE),"0")</f>
        <v>0</v>
      </c>
      <c r="N3433" s="8"/>
      <c r="O3433" s="33" t="str">
        <f>IFERROR(VLOOKUP($M3433,'Informations sur les produits'!$A$3:$H$10000,8,FALSE),"0")</f>
        <v>0</v>
      </c>
      <c r="P3433" s="33">
        <f t="shared" si="212"/>
        <v>0</v>
      </c>
      <c r="Q3433" s="31" t="str">
        <f t="shared" si="213"/>
        <v/>
      </c>
      <c r="R3433" s="32" t="str">
        <f>IFERROR(VLOOKUP($D3433,'Informations sur les produits'!$A$3:$B$15000,2,FALSE),"")</f>
        <v/>
      </c>
      <c r="V3433">
        <f t="shared" si="214"/>
        <v>0</v>
      </c>
      <c r="W3433">
        <f t="shared" si="215"/>
        <v>0</v>
      </c>
    </row>
    <row r="3434" spans="5:23" x14ac:dyDescent="0.25">
      <c r="E3434" s="4"/>
      <c r="F3434" s="4"/>
      <c r="G3434" s="33" t="str">
        <f>IFERROR(VLOOKUP($D3434,'Informations sur les produits'!$A$3:$H$10000,8,FALSE),"0")</f>
        <v>0</v>
      </c>
      <c r="K3434" s="4"/>
      <c r="L3434" s="33" t="str">
        <f>IFERROR(VLOOKUP($J3434,'Informations sur les produits'!$A$3:$H$10000,8,FALSE),"0")</f>
        <v>0</v>
      </c>
      <c r="N3434" s="8"/>
      <c r="O3434" s="33" t="str">
        <f>IFERROR(VLOOKUP($M3434,'Informations sur les produits'!$A$3:$H$10000,8,FALSE),"0")</f>
        <v>0</v>
      </c>
      <c r="P3434" s="33">
        <f t="shared" si="212"/>
        <v>0</v>
      </c>
      <c r="Q3434" s="31" t="str">
        <f t="shared" si="213"/>
        <v/>
      </c>
      <c r="R3434" s="32" t="str">
        <f>IFERROR(VLOOKUP($D3434,'Informations sur les produits'!$A$3:$B$15000,2,FALSE),"")</f>
        <v/>
      </c>
      <c r="V3434">
        <f t="shared" si="214"/>
        <v>0</v>
      </c>
      <c r="W3434">
        <f t="shared" si="215"/>
        <v>0</v>
      </c>
    </row>
    <row r="3435" spans="5:23" x14ac:dyDescent="0.25">
      <c r="E3435" s="4"/>
      <c r="F3435" s="4"/>
      <c r="G3435" s="33" t="str">
        <f>IFERROR(VLOOKUP($D3435,'Informations sur les produits'!$A$3:$H$10000,8,FALSE),"0")</f>
        <v>0</v>
      </c>
      <c r="K3435" s="4"/>
      <c r="L3435" s="33" t="str">
        <f>IFERROR(VLOOKUP($J3435,'Informations sur les produits'!$A$3:$H$10000,8,FALSE),"0")</f>
        <v>0</v>
      </c>
      <c r="N3435" s="8"/>
      <c r="O3435" s="33" t="str">
        <f>IFERROR(VLOOKUP($M3435,'Informations sur les produits'!$A$3:$H$10000,8,FALSE),"0")</f>
        <v>0</v>
      </c>
      <c r="P3435" s="33">
        <f t="shared" si="212"/>
        <v>0</v>
      </c>
      <c r="Q3435" s="31" t="str">
        <f t="shared" si="213"/>
        <v/>
      </c>
      <c r="R3435" s="32" t="str">
        <f>IFERROR(VLOOKUP($D3435,'Informations sur les produits'!$A$3:$B$15000,2,FALSE),"")</f>
        <v/>
      </c>
      <c r="V3435">
        <f t="shared" si="214"/>
        <v>0</v>
      </c>
      <c r="W3435">
        <f t="shared" si="215"/>
        <v>0</v>
      </c>
    </row>
    <row r="3436" spans="5:23" x14ac:dyDescent="0.25">
      <c r="E3436" s="4"/>
      <c r="F3436" s="4"/>
      <c r="G3436" s="33" t="str">
        <f>IFERROR(VLOOKUP($D3436,'Informations sur les produits'!$A$3:$H$10000,8,FALSE),"0")</f>
        <v>0</v>
      </c>
      <c r="K3436" s="4"/>
      <c r="L3436" s="33" t="str">
        <f>IFERROR(VLOOKUP($J3436,'Informations sur les produits'!$A$3:$H$10000,8,FALSE),"0")</f>
        <v>0</v>
      </c>
      <c r="N3436" s="8"/>
      <c r="O3436" s="33" t="str">
        <f>IFERROR(VLOOKUP($M3436,'Informations sur les produits'!$A$3:$H$10000,8,FALSE),"0")</f>
        <v>0</v>
      </c>
      <c r="P3436" s="33">
        <f t="shared" si="212"/>
        <v>0</v>
      </c>
      <c r="Q3436" s="31" t="str">
        <f t="shared" si="213"/>
        <v/>
      </c>
      <c r="R3436" s="32" t="str">
        <f>IFERROR(VLOOKUP($D3436,'Informations sur les produits'!$A$3:$B$15000,2,FALSE),"")</f>
        <v/>
      </c>
      <c r="V3436">
        <f t="shared" si="214"/>
        <v>0</v>
      </c>
      <c r="W3436">
        <f t="shared" si="215"/>
        <v>0</v>
      </c>
    </row>
    <row r="3437" spans="5:23" x14ac:dyDescent="0.25">
      <c r="E3437" s="4"/>
      <c r="F3437" s="4"/>
      <c r="G3437" s="33" t="str">
        <f>IFERROR(VLOOKUP($D3437,'Informations sur les produits'!$A$3:$H$10000,8,FALSE),"0")</f>
        <v>0</v>
      </c>
      <c r="K3437" s="4"/>
      <c r="L3437" s="33" t="str">
        <f>IFERROR(VLOOKUP($J3437,'Informations sur les produits'!$A$3:$H$10000,8,FALSE),"0")</f>
        <v>0</v>
      </c>
      <c r="N3437" s="8"/>
      <c r="O3437" s="33" t="str">
        <f>IFERROR(VLOOKUP($M3437,'Informations sur les produits'!$A$3:$H$10000,8,FALSE),"0")</f>
        <v>0</v>
      </c>
      <c r="P3437" s="33">
        <f t="shared" si="212"/>
        <v>0</v>
      </c>
      <c r="Q3437" s="31" t="str">
        <f t="shared" si="213"/>
        <v/>
      </c>
      <c r="R3437" s="32" t="str">
        <f>IFERROR(VLOOKUP($D3437,'Informations sur les produits'!$A$3:$B$15000,2,FALSE),"")</f>
        <v/>
      </c>
      <c r="V3437">
        <f t="shared" si="214"/>
        <v>0</v>
      </c>
      <c r="W3437">
        <f t="shared" si="215"/>
        <v>0</v>
      </c>
    </row>
    <row r="3438" spans="5:23" x14ac:dyDescent="0.25">
      <c r="E3438" s="4"/>
      <c r="F3438" s="4"/>
      <c r="G3438" s="33" t="str">
        <f>IFERROR(VLOOKUP($D3438,'Informations sur les produits'!$A$3:$H$10000,8,FALSE),"0")</f>
        <v>0</v>
      </c>
      <c r="K3438" s="4"/>
      <c r="L3438" s="33" t="str">
        <f>IFERROR(VLOOKUP($J3438,'Informations sur les produits'!$A$3:$H$10000,8,FALSE),"0")</f>
        <v>0</v>
      </c>
      <c r="N3438" s="8"/>
      <c r="O3438" s="33" t="str">
        <f>IFERROR(VLOOKUP($M3438,'Informations sur les produits'!$A$3:$H$10000,8,FALSE),"0")</f>
        <v>0</v>
      </c>
      <c r="P3438" s="33">
        <f t="shared" si="212"/>
        <v>0</v>
      </c>
      <c r="Q3438" s="31" t="str">
        <f t="shared" si="213"/>
        <v/>
      </c>
      <c r="R3438" s="32" t="str">
        <f>IFERROR(VLOOKUP($D3438,'Informations sur les produits'!$A$3:$B$15000,2,FALSE),"")</f>
        <v/>
      </c>
      <c r="V3438">
        <f t="shared" si="214"/>
        <v>0</v>
      </c>
      <c r="W3438">
        <f t="shared" si="215"/>
        <v>0</v>
      </c>
    </row>
    <row r="3439" spans="5:23" x14ac:dyDescent="0.25">
      <c r="E3439" s="4"/>
      <c r="F3439" s="4"/>
      <c r="G3439" s="33" t="str">
        <f>IFERROR(VLOOKUP($D3439,'Informations sur les produits'!$A$3:$H$10000,8,FALSE),"0")</f>
        <v>0</v>
      </c>
      <c r="K3439" s="4"/>
      <c r="L3439" s="33" t="str">
        <f>IFERROR(VLOOKUP($J3439,'Informations sur les produits'!$A$3:$H$10000,8,FALSE),"0")</f>
        <v>0</v>
      </c>
      <c r="N3439" s="8"/>
      <c r="O3439" s="33" t="str">
        <f>IFERROR(VLOOKUP($M3439,'Informations sur les produits'!$A$3:$H$10000,8,FALSE),"0")</f>
        <v>0</v>
      </c>
      <c r="P3439" s="33">
        <f t="shared" si="212"/>
        <v>0</v>
      </c>
      <c r="Q3439" s="31" t="str">
        <f t="shared" si="213"/>
        <v/>
      </c>
      <c r="R3439" s="32" t="str">
        <f>IFERROR(VLOOKUP($D3439,'Informations sur les produits'!$A$3:$B$15000,2,FALSE),"")</f>
        <v/>
      </c>
      <c r="V3439">
        <f t="shared" si="214"/>
        <v>0</v>
      </c>
      <c r="W3439">
        <f t="shared" si="215"/>
        <v>0</v>
      </c>
    </row>
    <row r="3440" spans="5:23" x14ac:dyDescent="0.25">
      <c r="E3440" s="4"/>
      <c r="F3440" s="4"/>
      <c r="G3440" s="33" t="str">
        <f>IFERROR(VLOOKUP($D3440,'Informations sur les produits'!$A$3:$H$10000,8,FALSE),"0")</f>
        <v>0</v>
      </c>
      <c r="K3440" s="4"/>
      <c r="L3440" s="33" t="str">
        <f>IFERROR(VLOOKUP($J3440,'Informations sur les produits'!$A$3:$H$10000,8,FALSE),"0")</f>
        <v>0</v>
      </c>
      <c r="N3440" s="8"/>
      <c r="O3440" s="33" t="str">
        <f>IFERROR(VLOOKUP($M3440,'Informations sur les produits'!$A$3:$H$10000,8,FALSE),"0")</f>
        <v>0</v>
      </c>
      <c r="P3440" s="33">
        <f t="shared" si="212"/>
        <v>0</v>
      </c>
      <c r="Q3440" s="31" t="str">
        <f t="shared" si="213"/>
        <v/>
      </c>
      <c r="R3440" s="32" t="str">
        <f>IFERROR(VLOOKUP($D3440,'Informations sur les produits'!$A$3:$B$15000,2,FALSE),"")</f>
        <v/>
      </c>
      <c r="V3440">
        <f t="shared" si="214"/>
        <v>0</v>
      </c>
      <c r="W3440">
        <f t="shared" si="215"/>
        <v>0</v>
      </c>
    </row>
    <row r="3441" spans="5:23" x14ac:dyDescent="0.25">
      <c r="E3441" s="4"/>
      <c r="F3441" s="4"/>
      <c r="G3441" s="33" t="str">
        <f>IFERROR(VLOOKUP($D3441,'Informations sur les produits'!$A$3:$H$10000,8,FALSE),"0")</f>
        <v>0</v>
      </c>
      <c r="K3441" s="4"/>
      <c r="L3441" s="33" t="str">
        <f>IFERROR(VLOOKUP($J3441,'Informations sur les produits'!$A$3:$H$10000,8,FALSE),"0")</f>
        <v>0</v>
      </c>
      <c r="N3441" s="8"/>
      <c r="O3441" s="33" t="str">
        <f>IFERROR(VLOOKUP($M3441,'Informations sur les produits'!$A$3:$H$10000,8,FALSE),"0")</f>
        <v>0</v>
      </c>
      <c r="P3441" s="33">
        <f t="shared" si="212"/>
        <v>0</v>
      </c>
      <c r="Q3441" s="31" t="str">
        <f t="shared" si="213"/>
        <v/>
      </c>
      <c r="R3441" s="32" t="str">
        <f>IFERROR(VLOOKUP($D3441,'Informations sur les produits'!$A$3:$B$15000,2,FALSE),"")</f>
        <v/>
      </c>
      <c r="V3441">
        <f t="shared" si="214"/>
        <v>0</v>
      </c>
      <c r="W3441">
        <f t="shared" si="215"/>
        <v>0</v>
      </c>
    </row>
    <row r="3442" spans="5:23" x14ac:dyDescent="0.25">
      <c r="E3442" s="4"/>
      <c r="F3442" s="4"/>
      <c r="G3442" s="33" t="str">
        <f>IFERROR(VLOOKUP($D3442,'Informations sur les produits'!$A$3:$H$10000,8,FALSE),"0")</f>
        <v>0</v>
      </c>
      <c r="K3442" s="4"/>
      <c r="L3442" s="33" t="str">
        <f>IFERROR(VLOOKUP($J3442,'Informations sur les produits'!$A$3:$H$10000,8,FALSE),"0")</f>
        <v>0</v>
      </c>
      <c r="N3442" s="8"/>
      <c r="O3442" s="33" t="str">
        <f>IFERROR(VLOOKUP($M3442,'Informations sur les produits'!$A$3:$H$10000,8,FALSE),"0")</f>
        <v>0</v>
      </c>
      <c r="P3442" s="33">
        <f t="shared" si="212"/>
        <v>0</v>
      </c>
      <c r="Q3442" s="31" t="str">
        <f t="shared" si="213"/>
        <v/>
      </c>
      <c r="R3442" s="32" t="str">
        <f>IFERROR(VLOOKUP($D3442,'Informations sur les produits'!$A$3:$B$15000,2,FALSE),"")</f>
        <v/>
      </c>
      <c r="V3442">
        <f t="shared" si="214"/>
        <v>0</v>
      </c>
      <c r="W3442">
        <f t="shared" si="215"/>
        <v>0</v>
      </c>
    </row>
    <row r="3443" spans="5:23" x14ac:dyDescent="0.25">
      <c r="E3443" s="4"/>
      <c r="F3443" s="4"/>
      <c r="G3443" s="33" t="str">
        <f>IFERROR(VLOOKUP($D3443,'Informations sur les produits'!$A$3:$H$10000,8,FALSE),"0")</f>
        <v>0</v>
      </c>
      <c r="K3443" s="4"/>
      <c r="L3443" s="33" t="str">
        <f>IFERROR(VLOOKUP($J3443,'Informations sur les produits'!$A$3:$H$10000,8,FALSE),"0")</f>
        <v>0</v>
      </c>
      <c r="N3443" s="8"/>
      <c r="O3443" s="33" t="str">
        <f>IFERROR(VLOOKUP($M3443,'Informations sur les produits'!$A$3:$H$10000,8,FALSE),"0")</f>
        <v>0</v>
      </c>
      <c r="P3443" s="33">
        <f t="shared" si="212"/>
        <v>0</v>
      </c>
      <c r="Q3443" s="31" t="str">
        <f t="shared" si="213"/>
        <v/>
      </c>
      <c r="R3443" s="32" t="str">
        <f>IFERROR(VLOOKUP($D3443,'Informations sur les produits'!$A$3:$B$15000,2,FALSE),"")</f>
        <v/>
      </c>
      <c r="V3443">
        <f t="shared" si="214"/>
        <v>0</v>
      </c>
      <c r="W3443">
        <f t="shared" si="215"/>
        <v>0</v>
      </c>
    </row>
    <row r="3444" spans="5:23" x14ac:dyDescent="0.25">
      <c r="E3444" s="4"/>
      <c r="F3444" s="4"/>
      <c r="G3444" s="33" t="str">
        <f>IFERROR(VLOOKUP($D3444,'Informations sur les produits'!$A$3:$H$10000,8,FALSE),"0")</f>
        <v>0</v>
      </c>
      <c r="K3444" s="4"/>
      <c r="L3444" s="33" t="str">
        <f>IFERROR(VLOOKUP($J3444,'Informations sur les produits'!$A$3:$H$10000,8,FALSE),"0")</f>
        <v>0</v>
      </c>
      <c r="N3444" s="8"/>
      <c r="O3444" s="33" t="str">
        <f>IFERROR(VLOOKUP($M3444,'Informations sur les produits'!$A$3:$H$10000,8,FALSE),"0")</f>
        <v>0</v>
      </c>
      <c r="P3444" s="33">
        <f t="shared" si="212"/>
        <v>0</v>
      </c>
      <c r="Q3444" s="31" t="str">
        <f t="shared" si="213"/>
        <v/>
      </c>
      <c r="R3444" s="32" t="str">
        <f>IFERROR(VLOOKUP($D3444,'Informations sur les produits'!$A$3:$B$15000,2,FALSE),"")</f>
        <v/>
      </c>
      <c r="V3444">
        <f t="shared" si="214"/>
        <v>0</v>
      </c>
      <c r="W3444">
        <f t="shared" si="215"/>
        <v>0</v>
      </c>
    </row>
    <row r="3445" spans="5:23" x14ac:dyDescent="0.25">
      <c r="E3445" s="4"/>
      <c r="F3445" s="4"/>
      <c r="G3445" s="33" t="str">
        <f>IFERROR(VLOOKUP($D3445,'Informations sur les produits'!$A$3:$H$10000,8,FALSE),"0")</f>
        <v>0</v>
      </c>
      <c r="K3445" s="4"/>
      <c r="L3445" s="33" t="str">
        <f>IFERROR(VLOOKUP($J3445,'Informations sur les produits'!$A$3:$H$10000,8,FALSE),"0")</f>
        <v>0</v>
      </c>
      <c r="N3445" s="8"/>
      <c r="O3445" s="33" t="str">
        <f>IFERROR(VLOOKUP($M3445,'Informations sur les produits'!$A$3:$H$10000,8,FALSE),"0")</f>
        <v>0</v>
      </c>
      <c r="P3445" s="33">
        <f t="shared" si="212"/>
        <v>0</v>
      </c>
      <c r="Q3445" s="31" t="str">
        <f t="shared" si="213"/>
        <v/>
      </c>
      <c r="R3445" s="32" t="str">
        <f>IFERROR(VLOOKUP($D3445,'Informations sur les produits'!$A$3:$B$15000,2,FALSE),"")</f>
        <v/>
      </c>
      <c r="V3445">
        <f t="shared" si="214"/>
        <v>0</v>
      </c>
      <c r="W3445">
        <f t="shared" si="215"/>
        <v>0</v>
      </c>
    </row>
    <row r="3446" spans="5:23" x14ac:dyDescent="0.25">
      <c r="E3446" s="4"/>
      <c r="F3446" s="4"/>
      <c r="G3446" s="33" t="str">
        <f>IFERROR(VLOOKUP($D3446,'Informations sur les produits'!$A$3:$H$10000,8,FALSE),"0")</f>
        <v>0</v>
      </c>
      <c r="K3446" s="4"/>
      <c r="L3446" s="33" t="str">
        <f>IFERROR(VLOOKUP($J3446,'Informations sur les produits'!$A$3:$H$10000,8,FALSE),"0")</f>
        <v>0</v>
      </c>
      <c r="N3446" s="8"/>
      <c r="O3446" s="33" t="str">
        <f>IFERROR(VLOOKUP($M3446,'Informations sur les produits'!$A$3:$H$10000,8,FALSE),"0")</f>
        <v>0</v>
      </c>
      <c r="P3446" s="33">
        <f t="shared" si="212"/>
        <v>0</v>
      </c>
      <c r="Q3446" s="31" t="str">
        <f t="shared" si="213"/>
        <v/>
      </c>
      <c r="R3446" s="32" t="str">
        <f>IFERROR(VLOOKUP($D3446,'Informations sur les produits'!$A$3:$B$15000,2,FALSE),"")</f>
        <v/>
      </c>
      <c r="V3446">
        <f t="shared" si="214"/>
        <v>0</v>
      </c>
      <c r="W3446">
        <f t="shared" si="215"/>
        <v>0</v>
      </c>
    </row>
    <row r="3447" spans="5:23" x14ac:dyDescent="0.25">
      <c r="E3447" s="4"/>
      <c r="F3447" s="4"/>
      <c r="G3447" s="33" t="str">
        <f>IFERROR(VLOOKUP($D3447,'Informations sur les produits'!$A$3:$H$10000,8,FALSE),"0")</f>
        <v>0</v>
      </c>
      <c r="K3447" s="4"/>
      <c r="L3447" s="33" t="str">
        <f>IFERROR(VLOOKUP($J3447,'Informations sur les produits'!$A$3:$H$10000,8,FALSE),"0")</f>
        <v>0</v>
      </c>
      <c r="N3447" s="8"/>
      <c r="O3447" s="33" t="str">
        <f>IFERROR(VLOOKUP($M3447,'Informations sur les produits'!$A$3:$H$10000,8,FALSE),"0")</f>
        <v>0</v>
      </c>
      <c r="P3447" s="33">
        <f t="shared" si="212"/>
        <v>0</v>
      </c>
      <c r="Q3447" s="31" t="str">
        <f t="shared" si="213"/>
        <v/>
      </c>
      <c r="R3447" s="32" t="str">
        <f>IFERROR(VLOOKUP($D3447,'Informations sur les produits'!$A$3:$B$15000,2,FALSE),"")</f>
        <v/>
      </c>
      <c r="V3447">
        <f t="shared" si="214"/>
        <v>0</v>
      </c>
      <c r="W3447">
        <f t="shared" si="215"/>
        <v>0</v>
      </c>
    </row>
    <row r="3448" spans="5:23" x14ac:dyDescent="0.25">
      <c r="E3448" s="4"/>
      <c r="F3448" s="4"/>
      <c r="G3448" s="33" t="str">
        <f>IFERROR(VLOOKUP($D3448,'Informations sur les produits'!$A$3:$H$10000,8,FALSE),"0")</f>
        <v>0</v>
      </c>
      <c r="K3448" s="4"/>
      <c r="L3448" s="33" t="str">
        <f>IFERROR(VLOOKUP($J3448,'Informations sur les produits'!$A$3:$H$10000,8,FALSE),"0")</f>
        <v>0</v>
      </c>
      <c r="N3448" s="8"/>
      <c r="O3448" s="33" t="str">
        <f>IFERROR(VLOOKUP($M3448,'Informations sur les produits'!$A$3:$H$10000,8,FALSE),"0")</f>
        <v>0</v>
      </c>
      <c r="P3448" s="33">
        <f t="shared" si="212"/>
        <v>0</v>
      </c>
      <c r="Q3448" s="31" t="str">
        <f t="shared" si="213"/>
        <v/>
      </c>
      <c r="R3448" s="32" t="str">
        <f>IFERROR(VLOOKUP($D3448,'Informations sur les produits'!$A$3:$B$15000,2,FALSE),"")</f>
        <v/>
      </c>
      <c r="V3448">
        <f t="shared" si="214"/>
        <v>0</v>
      </c>
      <c r="W3448">
        <f t="shared" si="215"/>
        <v>0</v>
      </c>
    </row>
    <row r="3449" spans="5:23" x14ac:dyDescent="0.25">
      <c r="E3449" s="4"/>
      <c r="F3449" s="4"/>
      <c r="G3449" s="33" t="str">
        <f>IFERROR(VLOOKUP($D3449,'Informations sur les produits'!$A$3:$H$10000,8,FALSE),"0")</f>
        <v>0</v>
      </c>
      <c r="K3449" s="4"/>
      <c r="L3449" s="33" t="str">
        <f>IFERROR(VLOOKUP($J3449,'Informations sur les produits'!$A$3:$H$10000,8,FALSE),"0")</f>
        <v>0</v>
      </c>
      <c r="N3449" s="8"/>
      <c r="O3449" s="33" t="str">
        <f>IFERROR(VLOOKUP($M3449,'Informations sur les produits'!$A$3:$H$10000,8,FALSE),"0")</f>
        <v>0</v>
      </c>
      <c r="P3449" s="33">
        <f t="shared" si="212"/>
        <v>0</v>
      </c>
      <c r="Q3449" s="31" t="str">
        <f t="shared" si="213"/>
        <v/>
      </c>
      <c r="R3449" s="32" t="str">
        <f>IFERROR(VLOOKUP($D3449,'Informations sur les produits'!$A$3:$B$15000,2,FALSE),"")</f>
        <v/>
      </c>
      <c r="V3449">
        <f t="shared" si="214"/>
        <v>0</v>
      </c>
      <c r="W3449">
        <f t="shared" si="215"/>
        <v>0</v>
      </c>
    </row>
    <row r="3450" spans="5:23" x14ac:dyDescent="0.25">
      <c r="E3450" s="4"/>
      <c r="F3450" s="4"/>
      <c r="G3450" s="33" t="str">
        <f>IFERROR(VLOOKUP($D3450,'Informations sur les produits'!$A$3:$H$10000,8,FALSE),"0")</f>
        <v>0</v>
      </c>
      <c r="K3450" s="4"/>
      <c r="L3450" s="33" t="str">
        <f>IFERROR(VLOOKUP($J3450,'Informations sur les produits'!$A$3:$H$10000,8,FALSE),"0")</f>
        <v>0</v>
      </c>
      <c r="N3450" s="8"/>
      <c r="O3450" s="33" t="str">
        <f>IFERROR(VLOOKUP($M3450,'Informations sur les produits'!$A$3:$H$10000,8,FALSE),"0")</f>
        <v>0</v>
      </c>
      <c r="P3450" s="33">
        <f t="shared" si="212"/>
        <v>0</v>
      </c>
      <c r="Q3450" s="31" t="str">
        <f t="shared" si="213"/>
        <v/>
      </c>
      <c r="R3450" s="32" t="str">
        <f>IFERROR(VLOOKUP($D3450,'Informations sur les produits'!$A$3:$B$15000,2,FALSE),"")</f>
        <v/>
      </c>
      <c r="V3450">
        <f t="shared" si="214"/>
        <v>0</v>
      </c>
      <c r="W3450">
        <f t="shared" si="215"/>
        <v>0</v>
      </c>
    </row>
    <row r="3451" spans="5:23" x14ac:dyDescent="0.25">
      <c r="E3451" s="4"/>
      <c r="F3451" s="4"/>
      <c r="G3451" s="33" t="str">
        <f>IFERROR(VLOOKUP($D3451,'Informations sur les produits'!$A$3:$H$10000,8,FALSE),"0")</f>
        <v>0</v>
      </c>
      <c r="K3451" s="4"/>
      <c r="L3451" s="33" t="str">
        <f>IFERROR(VLOOKUP($J3451,'Informations sur les produits'!$A$3:$H$10000,8,FALSE),"0")</f>
        <v>0</v>
      </c>
      <c r="N3451" s="8"/>
      <c r="O3451" s="33" t="str">
        <f>IFERROR(VLOOKUP($M3451,'Informations sur les produits'!$A$3:$H$10000,8,FALSE),"0")</f>
        <v>0</v>
      </c>
      <c r="P3451" s="33">
        <f t="shared" si="212"/>
        <v>0</v>
      </c>
      <c r="Q3451" s="31" t="str">
        <f t="shared" si="213"/>
        <v/>
      </c>
      <c r="R3451" s="32" t="str">
        <f>IFERROR(VLOOKUP($D3451,'Informations sur les produits'!$A$3:$B$15000,2,FALSE),"")</f>
        <v/>
      </c>
      <c r="V3451">
        <f t="shared" si="214"/>
        <v>0</v>
      </c>
      <c r="W3451">
        <f t="shared" si="215"/>
        <v>0</v>
      </c>
    </row>
    <row r="3452" spans="5:23" x14ac:dyDescent="0.25">
      <c r="E3452" s="4"/>
      <c r="F3452" s="4"/>
      <c r="G3452" s="33" t="str">
        <f>IFERROR(VLOOKUP($D3452,'Informations sur les produits'!$A$3:$H$10000,8,FALSE),"0")</f>
        <v>0</v>
      </c>
      <c r="K3452" s="4"/>
      <c r="L3452" s="33" t="str">
        <f>IFERROR(VLOOKUP($J3452,'Informations sur les produits'!$A$3:$H$10000,8,FALSE),"0")</f>
        <v>0</v>
      </c>
      <c r="N3452" s="8"/>
      <c r="O3452" s="33" t="str">
        <f>IFERROR(VLOOKUP($M3452,'Informations sur les produits'!$A$3:$H$10000,8,FALSE),"0")</f>
        <v>0</v>
      </c>
      <c r="P3452" s="33">
        <f t="shared" si="212"/>
        <v>0</v>
      </c>
      <c r="Q3452" s="31" t="str">
        <f t="shared" si="213"/>
        <v/>
      </c>
      <c r="R3452" s="32" t="str">
        <f>IFERROR(VLOOKUP($D3452,'Informations sur les produits'!$A$3:$B$15000,2,FALSE),"")</f>
        <v/>
      </c>
      <c r="V3452">
        <f t="shared" si="214"/>
        <v>0</v>
      </c>
      <c r="W3452">
        <f t="shared" si="215"/>
        <v>0</v>
      </c>
    </row>
    <row r="3453" spans="5:23" x14ac:dyDescent="0.25">
      <c r="E3453" s="4"/>
      <c r="F3453" s="4"/>
      <c r="G3453" s="33" t="str">
        <f>IFERROR(VLOOKUP($D3453,'Informations sur les produits'!$A$3:$H$10000,8,FALSE),"0")</f>
        <v>0</v>
      </c>
      <c r="K3453" s="4"/>
      <c r="L3453" s="33" t="str">
        <f>IFERROR(VLOOKUP($J3453,'Informations sur les produits'!$A$3:$H$10000,8,FALSE),"0")</f>
        <v>0</v>
      </c>
      <c r="N3453" s="8"/>
      <c r="O3453" s="33" t="str">
        <f>IFERROR(VLOOKUP($M3453,'Informations sur les produits'!$A$3:$H$10000,8,FALSE),"0")</f>
        <v>0</v>
      </c>
      <c r="P3453" s="33">
        <f t="shared" si="212"/>
        <v>0</v>
      </c>
      <c r="Q3453" s="31" t="str">
        <f t="shared" si="213"/>
        <v/>
      </c>
      <c r="R3453" s="32" t="str">
        <f>IFERROR(VLOOKUP($D3453,'Informations sur les produits'!$A$3:$B$15000,2,FALSE),"")</f>
        <v/>
      </c>
      <c r="V3453">
        <f t="shared" si="214"/>
        <v>0</v>
      </c>
      <c r="W3453">
        <f t="shared" si="215"/>
        <v>0</v>
      </c>
    </row>
    <row r="3454" spans="5:23" x14ac:dyDescent="0.25">
      <c r="E3454" s="4"/>
      <c r="F3454" s="4"/>
      <c r="G3454" s="33" t="str">
        <f>IFERROR(VLOOKUP($D3454,'Informations sur les produits'!$A$3:$H$10000,8,FALSE),"0")</f>
        <v>0</v>
      </c>
      <c r="K3454" s="4"/>
      <c r="L3454" s="33" t="str">
        <f>IFERROR(VLOOKUP($J3454,'Informations sur les produits'!$A$3:$H$10000,8,FALSE),"0")</f>
        <v>0</v>
      </c>
      <c r="N3454" s="8"/>
      <c r="O3454" s="33" t="str">
        <f>IFERROR(VLOOKUP($M3454,'Informations sur les produits'!$A$3:$H$10000,8,FALSE),"0")</f>
        <v>0</v>
      </c>
      <c r="P3454" s="33">
        <f t="shared" si="212"/>
        <v>0</v>
      </c>
      <c r="Q3454" s="31" t="str">
        <f t="shared" si="213"/>
        <v/>
      </c>
      <c r="R3454" s="32" t="str">
        <f>IFERROR(VLOOKUP($D3454,'Informations sur les produits'!$A$3:$B$15000,2,FALSE),"")</f>
        <v/>
      </c>
      <c r="V3454">
        <f t="shared" si="214"/>
        <v>0</v>
      </c>
      <c r="W3454">
        <f t="shared" si="215"/>
        <v>0</v>
      </c>
    </row>
    <row r="3455" spans="5:23" x14ac:dyDescent="0.25">
      <c r="E3455" s="4"/>
      <c r="F3455" s="4"/>
      <c r="G3455" s="33" t="str">
        <f>IFERROR(VLOOKUP($D3455,'Informations sur les produits'!$A$3:$H$10000,8,FALSE),"0")</f>
        <v>0</v>
      </c>
      <c r="K3455" s="4"/>
      <c r="L3455" s="33" t="str">
        <f>IFERROR(VLOOKUP($J3455,'Informations sur les produits'!$A$3:$H$10000,8,FALSE),"0")</f>
        <v>0</v>
      </c>
      <c r="N3455" s="8"/>
      <c r="O3455" s="33" t="str">
        <f>IFERROR(VLOOKUP($M3455,'Informations sur les produits'!$A$3:$H$10000,8,FALSE),"0")</f>
        <v>0</v>
      </c>
      <c r="P3455" s="33">
        <f t="shared" si="212"/>
        <v>0</v>
      </c>
      <c r="Q3455" s="31" t="str">
        <f t="shared" si="213"/>
        <v/>
      </c>
      <c r="R3455" s="32" t="str">
        <f>IFERROR(VLOOKUP($D3455,'Informations sur les produits'!$A$3:$B$15000,2,FALSE),"")</f>
        <v/>
      </c>
      <c r="V3455">
        <f t="shared" si="214"/>
        <v>0</v>
      </c>
      <c r="W3455">
        <f t="shared" si="215"/>
        <v>0</v>
      </c>
    </row>
    <row r="3456" spans="5:23" x14ac:dyDescent="0.25">
      <c r="E3456" s="4"/>
      <c r="F3456" s="4"/>
      <c r="G3456" s="33" t="str">
        <f>IFERROR(VLOOKUP($D3456,'Informations sur les produits'!$A$3:$H$10000,8,FALSE),"0")</f>
        <v>0</v>
      </c>
      <c r="K3456" s="4"/>
      <c r="L3456" s="33" t="str">
        <f>IFERROR(VLOOKUP($J3456,'Informations sur les produits'!$A$3:$H$10000,8,FALSE),"0")</f>
        <v>0</v>
      </c>
      <c r="N3456" s="8"/>
      <c r="O3456" s="33" t="str">
        <f>IFERROR(VLOOKUP($M3456,'Informations sur les produits'!$A$3:$H$10000,8,FALSE),"0")</f>
        <v>0</v>
      </c>
      <c r="P3456" s="33">
        <f t="shared" si="212"/>
        <v>0</v>
      </c>
      <c r="Q3456" s="31" t="str">
        <f t="shared" si="213"/>
        <v/>
      </c>
      <c r="R3456" s="32" t="str">
        <f>IFERROR(VLOOKUP($D3456,'Informations sur les produits'!$A$3:$B$15000,2,FALSE),"")</f>
        <v/>
      </c>
      <c r="V3456">
        <f t="shared" si="214"/>
        <v>0</v>
      </c>
      <c r="W3456">
        <f t="shared" si="215"/>
        <v>0</v>
      </c>
    </row>
    <row r="3457" spans="5:23" x14ac:dyDescent="0.25">
      <c r="E3457" s="4"/>
      <c r="F3457" s="4"/>
      <c r="G3457" s="33" t="str">
        <f>IFERROR(VLOOKUP($D3457,'Informations sur les produits'!$A$3:$H$10000,8,FALSE),"0")</f>
        <v>0</v>
      </c>
      <c r="K3457" s="4"/>
      <c r="L3457" s="33" t="str">
        <f>IFERROR(VLOOKUP($J3457,'Informations sur les produits'!$A$3:$H$10000,8,FALSE),"0")</f>
        <v>0</v>
      </c>
      <c r="N3457" s="8"/>
      <c r="O3457" s="33" t="str">
        <f>IFERROR(VLOOKUP($M3457,'Informations sur les produits'!$A$3:$H$10000,8,FALSE),"0")</f>
        <v>0</v>
      </c>
      <c r="P3457" s="33">
        <f t="shared" si="212"/>
        <v>0</v>
      </c>
      <c r="Q3457" s="31" t="str">
        <f t="shared" si="213"/>
        <v/>
      </c>
      <c r="R3457" s="32" t="str">
        <f>IFERROR(VLOOKUP($D3457,'Informations sur les produits'!$A$3:$B$15000,2,FALSE),"")</f>
        <v/>
      </c>
      <c r="V3457">
        <f t="shared" si="214"/>
        <v>0</v>
      </c>
      <c r="W3457">
        <f t="shared" si="215"/>
        <v>0</v>
      </c>
    </row>
    <row r="3458" spans="5:23" x14ac:dyDescent="0.25">
      <c r="E3458" s="4"/>
      <c r="F3458" s="4"/>
      <c r="G3458" s="33" t="str">
        <f>IFERROR(VLOOKUP($D3458,'Informations sur les produits'!$A$3:$H$10000,8,FALSE),"0")</f>
        <v>0</v>
      </c>
      <c r="K3458" s="4"/>
      <c r="L3458" s="33" t="str">
        <f>IFERROR(VLOOKUP($J3458,'Informations sur les produits'!$A$3:$H$10000,8,FALSE),"0")</f>
        <v>0</v>
      </c>
      <c r="N3458" s="8"/>
      <c r="O3458" s="33" t="str">
        <f>IFERROR(VLOOKUP($M3458,'Informations sur les produits'!$A$3:$H$10000,8,FALSE),"0")</f>
        <v>0</v>
      </c>
      <c r="P3458" s="33">
        <f t="shared" si="212"/>
        <v>0</v>
      </c>
      <c r="Q3458" s="31" t="str">
        <f t="shared" si="213"/>
        <v/>
      </c>
      <c r="R3458" s="32" t="str">
        <f>IFERROR(VLOOKUP($D3458,'Informations sur les produits'!$A$3:$B$15000,2,FALSE),"")</f>
        <v/>
      </c>
      <c r="V3458">
        <f t="shared" si="214"/>
        <v>0</v>
      </c>
      <c r="W3458">
        <f t="shared" si="215"/>
        <v>0</v>
      </c>
    </row>
    <row r="3459" spans="5:23" x14ac:dyDescent="0.25">
      <c r="E3459" s="4"/>
      <c r="F3459" s="4"/>
      <c r="G3459" s="33" t="str">
        <f>IFERROR(VLOOKUP($D3459,'Informations sur les produits'!$A$3:$H$10000,8,FALSE),"0")</f>
        <v>0</v>
      </c>
      <c r="K3459" s="4"/>
      <c r="L3459" s="33" t="str">
        <f>IFERROR(VLOOKUP($J3459,'Informations sur les produits'!$A$3:$H$10000,8,FALSE),"0")</f>
        <v>0</v>
      </c>
      <c r="N3459" s="8"/>
      <c r="O3459" s="33" t="str">
        <f>IFERROR(VLOOKUP($M3459,'Informations sur les produits'!$A$3:$H$10000,8,FALSE),"0")</f>
        <v>0</v>
      </c>
      <c r="P3459" s="33">
        <f t="shared" si="212"/>
        <v>0</v>
      </c>
      <c r="Q3459" s="31" t="str">
        <f t="shared" si="213"/>
        <v/>
      </c>
      <c r="R3459" s="32" t="str">
        <f>IFERROR(VLOOKUP($D3459,'Informations sur les produits'!$A$3:$B$15000,2,FALSE),"")</f>
        <v/>
      </c>
      <c r="V3459">
        <f t="shared" si="214"/>
        <v>0</v>
      </c>
      <c r="W3459">
        <f t="shared" si="215"/>
        <v>0</v>
      </c>
    </row>
    <row r="3460" spans="5:23" x14ac:dyDescent="0.25">
      <c r="E3460" s="4"/>
      <c r="F3460" s="4"/>
      <c r="G3460" s="33" t="str">
        <f>IFERROR(VLOOKUP($D3460,'Informations sur les produits'!$A$3:$H$10000,8,FALSE),"0")</f>
        <v>0</v>
      </c>
      <c r="K3460" s="4"/>
      <c r="L3460" s="33" t="str">
        <f>IFERROR(VLOOKUP($J3460,'Informations sur les produits'!$A$3:$H$10000,8,FALSE),"0")</f>
        <v>0</v>
      </c>
      <c r="N3460" s="8"/>
      <c r="O3460" s="33" t="str">
        <f>IFERROR(VLOOKUP($M3460,'Informations sur les produits'!$A$3:$H$10000,8,FALSE),"0")</f>
        <v>0</v>
      </c>
      <c r="P3460" s="33">
        <f t="shared" ref="P3460:P3523" si="216">IFERROR((($E3460-$F3460)*$G3460+$K3460*$L3460+$N3460*$O3460),"")</f>
        <v>0</v>
      </c>
      <c r="Q3460" s="31" t="str">
        <f t="shared" ref="Q3460:Q3523" si="217">IFERROR((((($E3460-$F3460)*$G3460+$K3460*$L3460+$N3460*$O3460)*1000)/(($E3460-$F3460)+$K3460+$N3460)),"")</f>
        <v/>
      </c>
      <c r="R3460" s="32" t="str">
        <f>IFERROR(VLOOKUP($D3460,'Informations sur les produits'!$A$3:$B$15000,2,FALSE),"")</f>
        <v/>
      </c>
      <c r="V3460">
        <f t="shared" ref="V3460:V3523" si="218">IFERROR(P3460*1000,"")</f>
        <v>0</v>
      </c>
      <c r="W3460">
        <f t="shared" ref="W3460:W3523" si="219">IFERROR(($E3460-$F3460)+$K3460+$N3460,"")</f>
        <v>0</v>
      </c>
    </row>
    <row r="3461" spans="5:23" x14ac:dyDescent="0.25">
      <c r="E3461" s="4"/>
      <c r="F3461" s="4"/>
      <c r="G3461" s="33" t="str">
        <f>IFERROR(VLOOKUP($D3461,'Informations sur les produits'!$A$3:$H$10000,8,FALSE),"0")</f>
        <v>0</v>
      </c>
      <c r="K3461" s="4"/>
      <c r="L3461" s="33" t="str">
        <f>IFERROR(VLOOKUP($J3461,'Informations sur les produits'!$A$3:$H$10000,8,FALSE),"0")</f>
        <v>0</v>
      </c>
      <c r="N3461" s="8"/>
      <c r="O3461" s="33" t="str">
        <f>IFERROR(VLOOKUP($M3461,'Informations sur les produits'!$A$3:$H$10000,8,FALSE),"0")</f>
        <v>0</v>
      </c>
      <c r="P3461" s="33">
        <f t="shared" si="216"/>
        <v>0</v>
      </c>
      <c r="Q3461" s="31" t="str">
        <f t="shared" si="217"/>
        <v/>
      </c>
      <c r="R3461" s="32" t="str">
        <f>IFERROR(VLOOKUP($D3461,'Informations sur les produits'!$A$3:$B$15000,2,FALSE),"")</f>
        <v/>
      </c>
      <c r="V3461">
        <f t="shared" si="218"/>
        <v>0</v>
      </c>
      <c r="W3461">
        <f t="shared" si="219"/>
        <v>0</v>
      </c>
    </row>
    <row r="3462" spans="5:23" x14ac:dyDescent="0.25">
      <c r="E3462" s="4"/>
      <c r="F3462" s="4"/>
      <c r="G3462" s="33" t="str">
        <f>IFERROR(VLOOKUP($D3462,'Informations sur les produits'!$A$3:$H$10000,8,FALSE),"0")</f>
        <v>0</v>
      </c>
      <c r="K3462" s="4"/>
      <c r="L3462" s="33" t="str">
        <f>IFERROR(VLOOKUP($J3462,'Informations sur les produits'!$A$3:$H$10000,8,FALSE),"0")</f>
        <v>0</v>
      </c>
      <c r="N3462" s="8"/>
      <c r="O3462" s="33" t="str">
        <f>IFERROR(VLOOKUP($M3462,'Informations sur les produits'!$A$3:$H$10000,8,FALSE),"0")</f>
        <v>0</v>
      </c>
      <c r="P3462" s="33">
        <f t="shared" si="216"/>
        <v>0</v>
      </c>
      <c r="Q3462" s="31" t="str">
        <f t="shared" si="217"/>
        <v/>
      </c>
      <c r="R3462" s="32" t="str">
        <f>IFERROR(VLOOKUP($D3462,'Informations sur les produits'!$A$3:$B$15000,2,FALSE),"")</f>
        <v/>
      </c>
      <c r="V3462">
        <f t="shared" si="218"/>
        <v>0</v>
      </c>
      <c r="W3462">
        <f t="shared" si="219"/>
        <v>0</v>
      </c>
    </row>
    <row r="3463" spans="5:23" x14ac:dyDescent="0.25">
      <c r="E3463" s="4"/>
      <c r="F3463" s="4"/>
      <c r="G3463" s="33" t="str">
        <f>IFERROR(VLOOKUP($D3463,'Informations sur les produits'!$A$3:$H$10000,8,FALSE),"0")</f>
        <v>0</v>
      </c>
      <c r="K3463" s="4"/>
      <c r="L3463" s="33" t="str">
        <f>IFERROR(VLOOKUP($J3463,'Informations sur les produits'!$A$3:$H$10000,8,FALSE),"0")</f>
        <v>0</v>
      </c>
      <c r="N3463" s="8"/>
      <c r="O3463" s="33" t="str">
        <f>IFERROR(VLOOKUP($M3463,'Informations sur les produits'!$A$3:$H$10000,8,FALSE),"0")</f>
        <v>0</v>
      </c>
      <c r="P3463" s="33">
        <f t="shared" si="216"/>
        <v>0</v>
      </c>
      <c r="Q3463" s="31" t="str">
        <f t="shared" si="217"/>
        <v/>
      </c>
      <c r="R3463" s="32" t="str">
        <f>IFERROR(VLOOKUP($D3463,'Informations sur les produits'!$A$3:$B$15000,2,FALSE),"")</f>
        <v/>
      </c>
      <c r="V3463">
        <f t="shared" si="218"/>
        <v>0</v>
      </c>
      <c r="W3463">
        <f t="shared" si="219"/>
        <v>0</v>
      </c>
    </row>
    <row r="3464" spans="5:23" x14ac:dyDescent="0.25">
      <c r="E3464" s="4"/>
      <c r="F3464" s="4"/>
      <c r="G3464" s="33" t="str">
        <f>IFERROR(VLOOKUP($D3464,'Informations sur les produits'!$A$3:$H$10000,8,FALSE),"0")</f>
        <v>0</v>
      </c>
      <c r="K3464" s="4"/>
      <c r="L3464" s="33" t="str">
        <f>IFERROR(VLOOKUP($J3464,'Informations sur les produits'!$A$3:$H$10000,8,FALSE),"0")</f>
        <v>0</v>
      </c>
      <c r="N3464" s="8"/>
      <c r="O3464" s="33" t="str">
        <f>IFERROR(VLOOKUP($M3464,'Informations sur les produits'!$A$3:$H$10000,8,FALSE),"0")</f>
        <v>0</v>
      </c>
      <c r="P3464" s="33">
        <f t="shared" si="216"/>
        <v>0</v>
      </c>
      <c r="Q3464" s="31" t="str">
        <f t="shared" si="217"/>
        <v/>
      </c>
      <c r="R3464" s="32" t="str">
        <f>IFERROR(VLOOKUP($D3464,'Informations sur les produits'!$A$3:$B$15000,2,FALSE),"")</f>
        <v/>
      </c>
      <c r="V3464">
        <f t="shared" si="218"/>
        <v>0</v>
      </c>
      <c r="W3464">
        <f t="shared" si="219"/>
        <v>0</v>
      </c>
    </row>
    <row r="3465" spans="5:23" x14ac:dyDescent="0.25">
      <c r="E3465" s="4"/>
      <c r="F3465" s="4"/>
      <c r="G3465" s="33" t="str">
        <f>IFERROR(VLOOKUP($D3465,'Informations sur les produits'!$A$3:$H$10000,8,FALSE),"0")</f>
        <v>0</v>
      </c>
      <c r="K3465" s="4"/>
      <c r="L3465" s="33" t="str">
        <f>IFERROR(VLOOKUP($J3465,'Informations sur les produits'!$A$3:$H$10000,8,FALSE),"0")</f>
        <v>0</v>
      </c>
      <c r="N3465" s="8"/>
      <c r="O3465" s="33" t="str">
        <f>IFERROR(VLOOKUP($M3465,'Informations sur les produits'!$A$3:$H$10000,8,FALSE),"0")</f>
        <v>0</v>
      </c>
      <c r="P3465" s="33">
        <f t="shared" si="216"/>
        <v>0</v>
      </c>
      <c r="Q3465" s="31" t="str">
        <f t="shared" si="217"/>
        <v/>
      </c>
      <c r="R3465" s="32" t="str">
        <f>IFERROR(VLOOKUP($D3465,'Informations sur les produits'!$A$3:$B$15000,2,FALSE),"")</f>
        <v/>
      </c>
      <c r="V3465">
        <f t="shared" si="218"/>
        <v>0</v>
      </c>
      <c r="W3465">
        <f t="shared" si="219"/>
        <v>0</v>
      </c>
    </row>
    <row r="3466" spans="5:23" x14ac:dyDescent="0.25">
      <c r="E3466" s="4"/>
      <c r="F3466" s="4"/>
      <c r="G3466" s="33" t="str">
        <f>IFERROR(VLOOKUP($D3466,'Informations sur les produits'!$A$3:$H$10000,8,FALSE),"0")</f>
        <v>0</v>
      </c>
      <c r="K3466" s="4"/>
      <c r="L3466" s="33" t="str">
        <f>IFERROR(VLOOKUP($J3466,'Informations sur les produits'!$A$3:$H$10000,8,FALSE),"0")</f>
        <v>0</v>
      </c>
      <c r="N3466" s="8"/>
      <c r="O3466" s="33" t="str">
        <f>IFERROR(VLOOKUP($M3466,'Informations sur les produits'!$A$3:$H$10000,8,FALSE),"0")</f>
        <v>0</v>
      </c>
      <c r="P3466" s="33">
        <f t="shared" si="216"/>
        <v>0</v>
      </c>
      <c r="Q3466" s="31" t="str">
        <f t="shared" si="217"/>
        <v/>
      </c>
      <c r="R3466" s="32" t="str">
        <f>IFERROR(VLOOKUP($D3466,'Informations sur les produits'!$A$3:$B$15000,2,FALSE),"")</f>
        <v/>
      </c>
      <c r="V3466">
        <f t="shared" si="218"/>
        <v>0</v>
      </c>
      <c r="W3466">
        <f t="shared" si="219"/>
        <v>0</v>
      </c>
    </row>
    <row r="3467" spans="5:23" x14ac:dyDescent="0.25">
      <c r="E3467" s="4"/>
      <c r="F3467" s="4"/>
      <c r="G3467" s="33" t="str">
        <f>IFERROR(VLOOKUP($D3467,'Informations sur les produits'!$A$3:$H$10000,8,FALSE),"0")</f>
        <v>0</v>
      </c>
      <c r="K3467" s="4"/>
      <c r="L3467" s="33" t="str">
        <f>IFERROR(VLOOKUP($J3467,'Informations sur les produits'!$A$3:$H$10000,8,FALSE),"0")</f>
        <v>0</v>
      </c>
      <c r="N3467" s="8"/>
      <c r="O3467" s="33" t="str">
        <f>IFERROR(VLOOKUP($M3467,'Informations sur les produits'!$A$3:$H$10000,8,FALSE),"0")</f>
        <v>0</v>
      </c>
      <c r="P3467" s="33">
        <f t="shared" si="216"/>
        <v>0</v>
      </c>
      <c r="Q3467" s="31" t="str">
        <f t="shared" si="217"/>
        <v/>
      </c>
      <c r="R3467" s="32" t="str">
        <f>IFERROR(VLOOKUP($D3467,'Informations sur les produits'!$A$3:$B$15000,2,FALSE),"")</f>
        <v/>
      </c>
      <c r="V3467">
        <f t="shared" si="218"/>
        <v>0</v>
      </c>
      <c r="W3467">
        <f t="shared" si="219"/>
        <v>0</v>
      </c>
    </row>
    <row r="3468" spans="5:23" x14ac:dyDescent="0.25">
      <c r="E3468" s="4"/>
      <c r="F3468" s="4"/>
      <c r="G3468" s="33" t="str">
        <f>IFERROR(VLOOKUP($D3468,'Informations sur les produits'!$A$3:$H$10000,8,FALSE),"0")</f>
        <v>0</v>
      </c>
      <c r="K3468" s="4"/>
      <c r="L3468" s="33" t="str">
        <f>IFERROR(VLOOKUP($J3468,'Informations sur les produits'!$A$3:$H$10000,8,FALSE),"0")</f>
        <v>0</v>
      </c>
      <c r="N3468" s="8"/>
      <c r="O3468" s="33" t="str">
        <f>IFERROR(VLOOKUP($M3468,'Informations sur les produits'!$A$3:$H$10000,8,FALSE),"0")</f>
        <v>0</v>
      </c>
      <c r="P3468" s="33">
        <f t="shared" si="216"/>
        <v>0</v>
      </c>
      <c r="Q3468" s="31" t="str">
        <f t="shared" si="217"/>
        <v/>
      </c>
      <c r="R3468" s="32" t="str">
        <f>IFERROR(VLOOKUP($D3468,'Informations sur les produits'!$A$3:$B$15000,2,FALSE),"")</f>
        <v/>
      </c>
      <c r="V3468">
        <f t="shared" si="218"/>
        <v>0</v>
      </c>
      <c r="W3468">
        <f t="shared" si="219"/>
        <v>0</v>
      </c>
    </row>
    <row r="3469" spans="5:23" x14ac:dyDescent="0.25">
      <c r="E3469" s="4"/>
      <c r="F3469" s="4"/>
      <c r="G3469" s="33" t="str">
        <f>IFERROR(VLOOKUP($D3469,'Informations sur les produits'!$A$3:$H$10000,8,FALSE),"0")</f>
        <v>0</v>
      </c>
      <c r="K3469" s="4"/>
      <c r="L3469" s="33" t="str">
        <f>IFERROR(VLOOKUP($J3469,'Informations sur les produits'!$A$3:$H$10000,8,FALSE),"0")</f>
        <v>0</v>
      </c>
      <c r="N3469" s="8"/>
      <c r="O3469" s="33" t="str">
        <f>IFERROR(VLOOKUP($M3469,'Informations sur les produits'!$A$3:$H$10000,8,FALSE),"0")</f>
        <v>0</v>
      </c>
      <c r="P3469" s="33">
        <f t="shared" si="216"/>
        <v>0</v>
      </c>
      <c r="Q3469" s="31" t="str">
        <f t="shared" si="217"/>
        <v/>
      </c>
      <c r="R3469" s="32" t="str">
        <f>IFERROR(VLOOKUP($D3469,'Informations sur les produits'!$A$3:$B$15000,2,FALSE),"")</f>
        <v/>
      </c>
      <c r="V3469">
        <f t="shared" si="218"/>
        <v>0</v>
      </c>
      <c r="W3469">
        <f t="shared" si="219"/>
        <v>0</v>
      </c>
    </row>
    <row r="3470" spans="5:23" x14ac:dyDescent="0.25">
      <c r="E3470" s="4"/>
      <c r="F3470" s="4"/>
      <c r="G3470" s="33" t="str">
        <f>IFERROR(VLOOKUP($D3470,'Informations sur les produits'!$A$3:$H$10000,8,FALSE),"0")</f>
        <v>0</v>
      </c>
      <c r="K3470" s="4"/>
      <c r="L3470" s="33" t="str">
        <f>IFERROR(VLOOKUP($J3470,'Informations sur les produits'!$A$3:$H$10000,8,FALSE),"0")</f>
        <v>0</v>
      </c>
      <c r="N3470" s="8"/>
      <c r="O3470" s="33" t="str">
        <f>IFERROR(VLOOKUP($M3470,'Informations sur les produits'!$A$3:$H$10000,8,FALSE),"0")</f>
        <v>0</v>
      </c>
      <c r="P3470" s="33">
        <f t="shared" si="216"/>
        <v>0</v>
      </c>
      <c r="Q3470" s="31" t="str">
        <f t="shared" si="217"/>
        <v/>
      </c>
      <c r="R3470" s="32" t="str">
        <f>IFERROR(VLOOKUP($D3470,'Informations sur les produits'!$A$3:$B$15000,2,FALSE),"")</f>
        <v/>
      </c>
      <c r="V3470">
        <f t="shared" si="218"/>
        <v>0</v>
      </c>
      <c r="W3470">
        <f t="shared" si="219"/>
        <v>0</v>
      </c>
    </row>
    <row r="3471" spans="5:23" x14ac:dyDescent="0.25">
      <c r="E3471" s="4"/>
      <c r="F3471" s="4"/>
      <c r="G3471" s="33" t="str">
        <f>IFERROR(VLOOKUP($D3471,'Informations sur les produits'!$A$3:$H$10000,8,FALSE),"0")</f>
        <v>0</v>
      </c>
      <c r="K3471" s="4"/>
      <c r="L3471" s="33" t="str">
        <f>IFERROR(VLOOKUP($J3471,'Informations sur les produits'!$A$3:$H$10000,8,FALSE),"0")</f>
        <v>0</v>
      </c>
      <c r="N3471" s="8"/>
      <c r="O3471" s="33" t="str">
        <f>IFERROR(VLOOKUP($M3471,'Informations sur les produits'!$A$3:$H$10000,8,FALSE),"0")</f>
        <v>0</v>
      </c>
      <c r="P3471" s="33">
        <f t="shared" si="216"/>
        <v>0</v>
      </c>
      <c r="Q3471" s="31" t="str">
        <f t="shared" si="217"/>
        <v/>
      </c>
      <c r="R3471" s="32" t="str">
        <f>IFERROR(VLOOKUP($D3471,'Informations sur les produits'!$A$3:$B$15000,2,FALSE),"")</f>
        <v/>
      </c>
      <c r="V3471">
        <f t="shared" si="218"/>
        <v>0</v>
      </c>
      <c r="W3471">
        <f t="shared" si="219"/>
        <v>0</v>
      </c>
    </row>
    <row r="3472" spans="5:23" x14ac:dyDescent="0.25">
      <c r="E3472" s="4"/>
      <c r="F3472" s="4"/>
      <c r="G3472" s="33" t="str">
        <f>IFERROR(VLOOKUP($D3472,'Informations sur les produits'!$A$3:$H$10000,8,FALSE),"0")</f>
        <v>0</v>
      </c>
      <c r="K3472" s="4"/>
      <c r="L3472" s="33" t="str">
        <f>IFERROR(VLOOKUP($J3472,'Informations sur les produits'!$A$3:$H$10000,8,FALSE),"0")</f>
        <v>0</v>
      </c>
      <c r="N3472" s="8"/>
      <c r="O3472" s="33" t="str">
        <f>IFERROR(VLOOKUP($M3472,'Informations sur les produits'!$A$3:$H$10000,8,FALSE),"0")</f>
        <v>0</v>
      </c>
      <c r="P3472" s="33">
        <f t="shared" si="216"/>
        <v>0</v>
      </c>
      <c r="Q3472" s="31" t="str">
        <f t="shared" si="217"/>
        <v/>
      </c>
      <c r="R3472" s="32" t="str">
        <f>IFERROR(VLOOKUP($D3472,'Informations sur les produits'!$A$3:$B$15000,2,FALSE),"")</f>
        <v/>
      </c>
      <c r="V3472">
        <f t="shared" si="218"/>
        <v>0</v>
      </c>
      <c r="W3472">
        <f t="shared" si="219"/>
        <v>0</v>
      </c>
    </row>
    <row r="3473" spans="5:23" x14ac:dyDescent="0.25">
      <c r="E3473" s="4"/>
      <c r="F3473" s="4"/>
      <c r="G3473" s="33" t="str">
        <f>IFERROR(VLOOKUP($D3473,'Informations sur les produits'!$A$3:$H$10000,8,FALSE),"0")</f>
        <v>0</v>
      </c>
      <c r="K3473" s="4"/>
      <c r="L3473" s="33" t="str">
        <f>IFERROR(VLOOKUP($J3473,'Informations sur les produits'!$A$3:$H$10000,8,FALSE),"0")</f>
        <v>0</v>
      </c>
      <c r="N3473" s="8"/>
      <c r="O3473" s="33" t="str">
        <f>IFERROR(VLOOKUP($M3473,'Informations sur les produits'!$A$3:$H$10000,8,FALSE),"0")</f>
        <v>0</v>
      </c>
      <c r="P3473" s="33">
        <f t="shared" si="216"/>
        <v>0</v>
      </c>
      <c r="Q3473" s="31" t="str">
        <f t="shared" si="217"/>
        <v/>
      </c>
      <c r="R3473" s="32" t="str">
        <f>IFERROR(VLOOKUP($D3473,'Informations sur les produits'!$A$3:$B$15000,2,FALSE),"")</f>
        <v/>
      </c>
      <c r="V3473">
        <f t="shared" si="218"/>
        <v>0</v>
      </c>
      <c r="W3473">
        <f t="shared" si="219"/>
        <v>0</v>
      </c>
    </row>
    <row r="3474" spans="5:23" x14ac:dyDescent="0.25">
      <c r="E3474" s="4"/>
      <c r="F3474" s="4"/>
      <c r="G3474" s="33" t="str">
        <f>IFERROR(VLOOKUP($D3474,'Informations sur les produits'!$A$3:$H$10000,8,FALSE),"0")</f>
        <v>0</v>
      </c>
      <c r="K3474" s="4"/>
      <c r="L3474" s="33" t="str">
        <f>IFERROR(VLOOKUP($J3474,'Informations sur les produits'!$A$3:$H$10000,8,FALSE),"0")</f>
        <v>0</v>
      </c>
      <c r="N3474" s="8"/>
      <c r="O3474" s="33" t="str">
        <f>IFERROR(VLOOKUP($M3474,'Informations sur les produits'!$A$3:$H$10000,8,FALSE),"0")</f>
        <v>0</v>
      </c>
      <c r="P3474" s="33">
        <f t="shared" si="216"/>
        <v>0</v>
      </c>
      <c r="Q3474" s="31" t="str">
        <f t="shared" si="217"/>
        <v/>
      </c>
      <c r="R3474" s="32" t="str">
        <f>IFERROR(VLOOKUP($D3474,'Informations sur les produits'!$A$3:$B$15000,2,FALSE),"")</f>
        <v/>
      </c>
      <c r="V3474">
        <f t="shared" si="218"/>
        <v>0</v>
      </c>
      <c r="W3474">
        <f t="shared" si="219"/>
        <v>0</v>
      </c>
    </row>
    <row r="3475" spans="5:23" x14ac:dyDescent="0.25">
      <c r="E3475" s="4"/>
      <c r="F3475" s="4"/>
      <c r="G3475" s="33" t="str">
        <f>IFERROR(VLOOKUP($D3475,'Informations sur les produits'!$A$3:$H$10000,8,FALSE),"0")</f>
        <v>0</v>
      </c>
      <c r="K3475" s="4"/>
      <c r="L3475" s="33" t="str">
        <f>IFERROR(VLOOKUP($J3475,'Informations sur les produits'!$A$3:$H$10000,8,FALSE),"0")</f>
        <v>0</v>
      </c>
      <c r="N3475" s="8"/>
      <c r="O3475" s="33" t="str">
        <f>IFERROR(VLOOKUP($M3475,'Informations sur les produits'!$A$3:$H$10000,8,FALSE),"0")</f>
        <v>0</v>
      </c>
      <c r="P3475" s="33">
        <f t="shared" si="216"/>
        <v>0</v>
      </c>
      <c r="Q3475" s="31" t="str">
        <f t="shared" si="217"/>
        <v/>
      </c>
      <c r="R3475" s="32" t="str">
        <f>IFERROR(VLOOKUP($D3475,'Informations sur les produits'!$A$3:$B$15000,2,FALSE),"")</f>
        <v/>
      </c>
      <c r="V3475">
        <f t="shared" si="218"/>
        <v>0</v>
      </c>
      <c r="W3475">
        <f t="shared" si="219"/>
        <v>0</v>
      </c>
    </row>
    <row r="3476" spans="5:23" x14ac:dyDescent="0.25">
      <c r="E3476" s="4"/>
      <c r="F3476" s="4"/>
      <c r="G3476" s="33" t="str">
        <f>IFERROR(VLOOKUP($D3476,'Informations sur les produits'!$A$3:$H$10000,8,FALSE),"0")</f>
        <v>0</v>
      </c>
      <c r="K3476" s="4"/>
      <c r="L3476" s="33" t="str">
        <f>IFERROR(VLOOKUP($J3476,'Informations sur les produits'!$A$3:$H$10000,8,FALSE),"0")</f>
        <v>0</v>
      </c>
      <c r="N3476" s="8"/>
      <c r="O3476" s="33" t="str">
        <f>IFERROR(VLOOKUP($M3476,'Informations sur les produits'!$A$3:$H$10000,8,FALSE),"0")</f>
        <v>0</v>
      </c>
      <c r="P3476" s="33">
        <f t="shared" si="216"/>
        <v>0</v>
      </c>
      <c r="Q3476" s="31" t="str">
        <f t="shared" si="217"/>
        <v/>
      </c>
      <c r="R3476" s="32" t="str">
        <f>IFERROR(VLOOKUP($D3476,'Informations sur les produits'!$A$3:$B$15000,2,FALSE),"")</f>
        <v/>
      </c>
      <c r="V3476">
        <f t="shared" si="218"/>
        <v>0</v>
      </c>
      <c r="W3476">
        <f t="shared" si="219"/>
        <v>0</v>
      </c>
    </row>
    <row r="3477" spans="5:23" x14ac:dyDescent="0.25">
      <c r="E3477" s="4"/>
      <c r="F3477" s="4"/>
      <c r="G3477" s="33" t="str">
        <f>IFERROR(VLOOKUP($D3477,'Informations sur les produits'!$A$3:$H$10000,8,FALSE),"0")</f>
        <v>0</v>
      </c>
      <c r="K3477" s="4"/>
      <c r="L3477" s="33" t="str">
        <f>IFERROR(VLOOKUP($J3477,'Informations sur les produits'!$A$3:$H$10000,8,FALSE),"0")</f>
        <v>0</v>
      </c>
      <c r="N3477" s="8"/>
      <c r="O3477" s="33" t="str">
        <f>IFERROR(VLOOKUP($M3477,'Informations sur les produits'!$A$3:$H$10000,8,FALSE),"0")</f>
        <v>0</v>
      </c>
      <c r="P3477" s="33">
        <f t="shared" si="216"/>
        <v>0</v>
      </c>
      <c r="Q3477" s="31" t="str">
        <f t="shared" si="217"/>
        <v/>
      </c>
      <c r="R3477" s="32" t="str">
        <f>IFERROR(VLOOKUP($D3477,'Informations sur les produits'!$A$3:$B$15000,2,FALSE),"")</f>
        <v/>
      </c>
      <c r="V3477">
        <f t="shared" si="218"/>
        <v>0</v>
      </c>
      <c r="W3477">
        <f t="shared" si="219"/>
        <v>0</v>
      </c>
    </row>
    <row r="3478" spans="5:23" x14ac:dyDescent="0.25">
      <c r="E3478" s="4"/>
      <c r="F3478" s="4"/>
      <c r="G3478" s="33" t="str">
        <f>IFERROR(VLOOKUP($D3478,'Informations sur les produits'!$A$3:$H$10000,8,FALSE),"0")</f>
        <v>0</v>
      </c>
      <c r="K3478" s="4"/>
      <c r="L3478" s="33" t="str">
        <f>IFERROR(VLOOKUP($J3478,'Informations sur les produits'!$A$3:$H$10000,8,FALSE),"0")</f>
        <v>0</v>
      </c>
      <c r="N3478" s="8"/>
      <c r="O3478" s="33" t="str">
        <f>IFERROR(VLOOKUP($M3478,'Informations sur les produits'!$A$3:$H$10000,8,FALSE),"0")</f>
        <v>0</v>
      </c>
      <c r="P3478" s="33">
        <f t="shared" si="216"/>
        <v>0</v>
      </c>
      <c r="Q3478" s="31" t="str">
        <f t="shared" si="217"/>
        <v/>
      </c>
      <c r="R3478" s="32" t="str">
        <f>IFERROR(VLOOKUP($D3478,'Informations sur les produits'!$A$3:$B$15000,2,FALSE),"")</f>
        <v/>
      </c>
      <c r="V3478">
        <f t="shared" si="218"/>
        <v>0</v>
      </c>
      <c r="W3478">
        <f t="shared" si="219"/>
        <v>0</v>
      </c>
    </row>
    <row r="3479" spans="5:23" x14ac:dyDescent="0.25">
      <c r="E3479" s="4"/>
      <c r="F3479" s="4"/>
      <c r="G3479" s="33" t="str">
        <f>IFERROR(VLOOKUP($D3479,'Informations sur les produits'!$A$3:$H$10000,8,FALSE),"0")</f>
        <v>0</v>
      </c>
      <c r="K3479" s="4"/>
      <c r="L3479" s="33" t="str">
        <f>IFERROR(VLOOKUP($J3479,'Informations sur les produits'!$A$3:$H$10000,8,FALSE),"0")</f>
        <v>0</v>
      </c>
      <c r="N3479" s="8"/>
      <c r="O3479" s="33" t="str">
        <f>IFERROR(VLOOKUP($M3479,'Informations sur les produits'!$A$3:$H$10000,8,FALSE),"0")</f>
        <v>0</v>
      </c>
      <c r="P3479" s="33">
        <f t="shared" si="216"/>
        <v>0</v>
      </c>
      <c r="Q3479" s="31" t="str">
        <f t="shared" si="217"/>
        <v/>
      </c>
      <c r="R3479" s="32" t="str">
        <f>IFERROR(VLOOKUP($D3479,'Informations sur les produits'!$A$3:$B$15000,2,FALSE),"")</f>
        <v/>
      </c>
      <c r="V3479">
        <f t="shared" si="218"/>
        <v>0</v>
      </c>
      <c r="W3479">
        <f t="shared" si="219"/>
        <v>0</v>
      </c>
    </row>
    <row r="3480" spans="5:23" x14ac:dyDescent="0.25">
      <c r="E3480" s="4"/>
      <c r="F3480" s="4"/>
      <c r="G3480" s="33" t="str">
        <f>IFERROR(VLOOKUP($D3480,'Informations sur les produits'!$A$3:$H$10000,8,FALSE),"0")</f>
        <v>0</v>
      </c>
      <c r="K3480" s="4"/>
      <c r="L3480" s="33" t="str">
        <f>IFERROR(VLOOKUP($J3480,'Informations sur les produits'!$A$3:$H$10000,8,FALSE),"0")</f>
        <v>0</v>
      </c>
      <c r="N3480" s="8"/>
      <c r="O3480" s="33" t="str">
        <f>IFERROR(VLOOKUP($M3480,'Informations sur les produits'!$A$3:$H$10000,8,FALSE),"0")</f>
        <v>0</v>
      </c>
      <c r="P3480" s="33">
        <f t="shared" si="216"/>
        <v>0</v>
      </c>
      <c r="Q3480" s="31" t="str">
        <f t="shared" si="217"/>
        <v/>
      </c>
      <c r="R3480" s="32" t="str">
        <f>IFERROR(VLOOKUP($D3480,'Informations sur les produits'!$A$3:$B$15000,2,FALSE),"")</f>
        <v/>
      </c>
      <c r="V3480">
        <f t="shared" si="218"/>
        <v>0</v>
      </c>
      <c r="W3480">
        <f t="shared" si="219"/>
        <v>0</v>
      </c>
    </row>
    <row r="3481" spans="5:23" x14ac:dyDescent="0.25">
      <c r="E3481" s="4"/>
      <c r="F3481" s="4"/>
      <c r="G3481" s="33" t="str">
        <f>IFERROR(VLOOKUP($D3481,'Informations sur les produits'!$A$3:$H$10000,8,FALSE),"0")</f>
        <v>0</v>
      </c>
      <c r="K3481" s="4"/>
      <c r="L3481" s="33" t="str">
        <f>IFERROR(VLOOKUP($J3481,'Informations sur les produits'!$A$3:$H$10000,8,FALSE),"0")</f>
        <v>0</v>
      </c>
      <c r="N3481" s="8"/>
      <c r="O3481" s="33" t="str">
        <f>IFERROR(VLOOKUP($M3481,'Informations sur les produits'!$A$3:$H$10000,8,FALSE),"0")</f>
        <v>0</v>
      </c>
      <c r="P3481" s="33">
        <f t="shared" si="216"/>
        <v>0</v>
      </c>
      <c r="Q3481" s="31" t="str">
        <f t="shared" si="217"/>
        <v/>
      </c>
      <c r="R3481" s="32" t="str">
        <f>IFERROR(VLOOKUP($D3481,'Informations sur les produits'!$A$3:$B$15000,2,FALSE),"")</f>
        <v/>
      </c>
      <c r="V3481">
        <f t="shared" si="218"/>
        <v>0</v>
      </c>
      <c r="W3481">
        <f t="shared" si="219"/>
        <v>0</v>
      </c>
    </row>
    <row r="3482" spans="5:23" x14ac:dyDescent="0.25">
      <c r="E3482" s="4"/>
      <c r="F3482" s="4"/>
      <c r="G3482" s="33" t="str">
        <f>IFERROR(VLOOKUP($D3482,'Informations sur les produits'!$A$3:$H$10000,8,FALSE),"0")</f>
        <v>0</v>
      </c>
      <c r="K3482" s="4"/>
      <c r="L3482" s="33" t="str">
        <f>IFERROR(VLOOKUP($J3482,'Informations sur les produits'!$A$3:$H$10000,8,FALSE),"0")</f>
        <v>0</v>
      </c>
      <c r="N3482" s="8"/>
      <c r="O3482" s="33" t="str">
        <f>IFERROR(VLOOKUP($M3482,'Informations sur les produits'!$A$3:$H$10000,8,FALSE),"0")</f>
        <v>0</v>
      </c>
      <c r="P3482" s="33">
        <f t="shared" si="216"/>
        <v>0</v>
      </c>
      <c r="Q3482" s="31" t="str">
        <f t="shared" si="217"/>
        <v/>
      </c>
      <c r="R3482" s="32" t="str">
        <f>IFERROR(VLOOKUP($D3482,'Informations sur les produits'!$A$3:$B$15000,2,FALSE),"")</f>
        <v/>
      </c>
      <c r="V3482">
        <f t="shared" si="218"/>
        <v>0</v>
      </c>
      <c r="W3482">
        <f t="shared" si="219"/>
        <v>0</v>
      </c>
    </row>
    <row r="3483" spans="5:23" x14ac:dyDescent="0.25">
      <c r="E3483" s="4"/>
      <c r="F3483" s="4"/>
      <c r="G3483" s="33" t="str">
        <f>IFERROR(VLOOKUP($D3483,'Informations sur les produits'!$A$3:$H$10000,8,FALSE),"0")</f>
        <v>0</v>
      </c>
      <c r="K3483" s="4"/>
      <c r="L3483" s="33" t="str">
        <f>IFERROR(VLOOKUP($J3483,'Informations sur les produits'!$A$3:$H$10000,8,FALSE),"0")</f>
        <v>0</v>
      </c>
      <c r="N3483" s="8"/>
      <c r="O3483" s="33" t="str">
        <f>IFERROR(VLOOKUP($M3483,'Informations sur les produits'!$A$3:$H$10000,8,FALSE),"0")</f>
        <v>0</v>
      </c>
      <c r="P3483" s="33">
        <f t="shared" si="216"/>
        <v>0</v>
      </c>
      <c r="Q3483" s="31" t="str">
        <f t="shared" si="217"/>
        <v/>
      </c>
      <c r="R3483" s="32" t="str">
        <f>IFERROR(VLOOKUP($D3483,'Informations sur les produits'!$A$3:$B$15000,2,FALSE),"")</f>
        <v/>
      </c>
      <c r="V3483">
        <f t="shared" si="218"/>
        <v>0</v>
      </c>
      <c r="W3483">
        <f t="shared" si="219"/>
        <v>0</v>
      </c>
    </row>
    <row r="3484" spans="5:23" x14ac:dyDescent="0.25">
      <c r="E3484" s="4"/>
      <c r="F3484" s="4"/>
      <c r="G3484" s="33" t="str">
        <f>IFERROR(VLOOKUP($D3484,'Informations sur les produits'!$A$3:$H$10000,8,FALSE),"0")</f>
        <v>0</v>
      </c>
      <c r="K3484" s="4"/>
      <c r="L3484" s="33" t="str">
        <f>IFERROR(VLOOKUP($J3484,'Informations sur les produits'!$A$3:$H$10000,8,FALSE),"0")</f>
        <v>0</v>
      </c>
      <c r="N3484" s="8"/>
      <c r="O3484" s="33" t="str">
        <f>IFERROR(VLOOKUP($M3484,'Informations sur les produits'!$A$3:$H$10000,8,FALSE),"0")</f>
        <v>0</v>
      </c>
      <c r="P3484" s="33">
        <f t="shared" si="216"/>
        <v>0</v>
      </c>
      <c r="Q3484" s="31" t="str">
        <f t="shared" si="217"/>
        <v/>
      </c>
      <c r="R3484" s="32" t="str">
        <f>IFERROR(VLOOKUP($D3484,'Informations sur les produits'!$A$3:$B$15000,2,FALSE),"")</f>
        <v/>
      </c>
      <c r="V3484">
        <f t="shared" si="218"/>
        <v>0</v>
      </c>
      <c r="W3484">
        <f t="shared" si="219"/>
        <v>0</v>
      </c>
    </row>
    <row r="3485" spans="5:23" x14ac:dyDescent="0.25">
      <c r="E3485" s="4"/>
      <c r="F3485" s="4"/>
      <c r="G3485" s="33" t="str">
        <f>IFERROR(VLOOKUP($D3485,'Informations sur les produits'!$A$3:$H$10000,8,FALSE),"0")</f>
        <v>0</v>
      </c>
      <c r="K3485" s="4"/>
      <c r="L3485" s="33" t="str">
        <f>IFERROR(VLOOKUP($J3485,'Informations sur les produits'!$A$3:$H$10000,8,FALSE),"0")</f>
        <v>0</v>
      </c>
      <c r="N3485" s="8"/>
      <c r="O3485" s="33" t="str">
        <f>IFERROR(VLOOKUP($M3485,'Informations sur les produits'!$A$3:$H$10000,8,FALSE),"0")</f>
        <v>0</v>
      </c>
      <c r="P3485" s="33">
        <f t="shared" si="216"/>
        <v>0</v>
      </c>
      <c r="Q3485" s="31" t="str">
        <f t="shared" si="217"/>
        <v/>
      </c>
      <c r="R3485" s="32" t="str">
        <f>IFERROR(VLOOKUP($D3485,'Informations sur les produits'!$A$3:$B$15000,2,FALSE),"")</f>
        <v/>
      </c>
      <c r="V3485">
        <f t="shared" si="218"/>
        <v>0</v>
      </c>
      <c r="W3485">
        <f t="shared" si="219"/>
        <v>0</v>
      </c>
    </row>
    <row r="3486" spans="5:23" x14ac:dyDescent="0.25">
      <c r="E3486" s="4"/>
      <c r="F3486" s="4"/>
      <c r="G3486" s="33" t="str">
        <f>IFERROR(VLOOKUP($D3486,'Informations sur les produits'!$A$3:$H$10000,8,FALSE),"0")</f>
        <v>0</v>
      </c>
      <c r="K3486" s="4"/>
      <c r="L3486" s="33" t="str">
        <f>IFERROR(VLOOKUP($J3486,'Informations sur les produits'!$A$3:$H$10000,8,FALSE),"0")</f>
        <v>0</v>
      </c>
      <c r="N3486" s="8"/>
      <c r="O3486" s="33" t="str">
        <f>IFERROR(VLOOKUP($M3486,'Informations sur les produits'!$A$3:$H$10000,8,FALSE),"0")</f>
        <v>0</v>
      </c>
      <c r="P3486" s="33">
        <f t="shared" si="216"/>
        <v>0</v>
      </c>
      <c r="Q3486" s="31" t="str">
        <f t="shared" si="217"/>
        <v/>
      </c>
      <c r="R3486" s="32" t="str">
        <f>IFERROR(VLOOKUP($D3486,'Informations sur les produits'!$A$3:$B$15000,2,FALSE),"")</f>
        <v/>
      </c>
      <c r="V3486">
        <f t="shared" si="218"/>
        <v>0</v>
      </c>
      <c r="W3486">
        <f t="shared" si="219"/>
        <v>0</v>
      </c>
    </row>
    <row r="3487" spans="5:23" x14ac:dyDescent="0.25">
      <c r="E3487" s="4"/>
      <c r="F3487" s="4"/>
      <c r="G3487" s="33" t="str">
        <f>IFERROR(VLOOKUP($D3487,'Informations sur les produits'!$A$3:$H$10000,8,FALSE),"0")</f>
        <v>0</v>
      </c>
      <c r="K3487" s="4"/>
      <c r="L3487" s="33" t="str">
        <f>IFERROR(VLOOKUP($J3487,'Informations sur les produits'!$A$3:$H$10000,8,FALSE),"0")</f>
        <v>0</v>
      </c>
      <c r="N3487" s="8"/>
      <c r="O3487" s="33" t="str">
        <f>IFERROR(VLOOKUP($M3487,'Informations sur les produits'!$A$3:$H$10000,8,FALSE),"0")</f>
        <v>0</v>
      </c>
      <c r="P3487" s="33">
        <f t="shared" si="216"/>
        <v>0</v>
      </c>
      <c r="Q3487" s="31" t="str">
        <f t="shared" si="217"/>
        <v/>
      </c>
      <c r="R3487" s="32" t="str">
        <f>IFERROR(VLOOKUP($D3487,'Informations sur les produits'!$A$3:$B$15000,2,FALSE),"")</f>
        <v/>
      </c>
      <c r="V3487">
        <f t="shared" si="218"/>
        <v>0</v>
      </c>
      <c r="W3487">
        <f t="shared" si="219"/>
        <v>0</v>
      </c>
    </row>
    <row r="3488" spans="5:23" x14ac:dyDescent="0.25">
      <c r="E3488" s="4"/>
      <c r="F3488" s="4"/>
      <c r="G3488" s="33" t="str">
        <f>IFERROR(VLOOKUP($D3488,'Informations sur les produits'!$A$3:$H$10000,8,FALSE),"0")</f>
        <v>0</v>
      </c>
      <c r="K3488" s="4"/>
      <c r="L3488" s="33" t="str">
        <f>IFERROR(VLOOKUP($J3488,'Informations sur les produits'!$A$3:$H$10000,8,FALSE),"0")</f>
        <v>0</v>
      </c>
      <c r="N3488" s="8"/>
      <c r="O3488" s="33" t="str">
        <f>IFERROR(VLOOKUP($M3488,'Informations sur les produits'!$A$3:$H$10000,8,FALSE),"0")</f>
        <v>0</v>
      </c>
      <c r="P3488" s="33">
        <f t="shared" si="216"/>
        <v>0</v>
      </c>
      <c r="Q3488" s="31" t="str">
        <f t="shared" si="217"/>
        <v/>
      </c>
      <c r="R3488" s="32" t="str">
        <f>IFERROR(VLOOKUP($D3488,'Informations sur les produits'!$A$3:$B$15000,2,FALSE),"")</f>
        <v/>
      </c>
      <c r="V3488">
        <f t="shared" si="218"/>
        <v>0</v>
      </c>
      <c r="W3488">
        <f t="shared" si="219"/>
        <v>0</v>
      </c>
    </row>
    <row r="3489" spans="5:23" x14ac:dyDescent="0.25">
      <c r="E3489" s="4"/>
      <c r="F3489" s="4"/>
      <c r="G3489" s="33" t="str">
        <f>IFERROR(VLOOKUP($D3489,'Informations sur les produits'!$A$3:$H$10000,8,FALSE),"0")</f>
        <v>0</v>
      </c>
      <c r="K3489" s="4"/>
      <c r="L3489" s="33" t="str">
        <f>IFERROR(VLOOKUP($J3489,'Informations sur les produits'!$A$3:$H$10000,8,FALSE),"0")</f>
        <v>0</v>
      </c>
      <c r="N3489" s="8"/>
      <c r="O3489" s="33" t="str">
        <f>IFERROR(VLOOKUP($M3489,'Informations sur les produits'!$A$3:$H$10000,8,FALSE),"0")</f>
        <v>0</v>
      </c>
      <c r="P3489" s="33">
        <f t="shared" si="216"/>
        <v>0</v>
      </c>
      <c r="Q3489" s="31" t="str">
        <f t="shared" si="217"/>
        <v/>
      </c>
      <c r="R3489" s="32" t="str">
        <f>IFERROR(VLOOKUP($D3489,'Informations sur les produits'!$A$3:$B$15000,2,FALSE),"")</f>
        <v/>
      </c>
      <c r="V3489">
        <f t="shared" si="218"/>
        <v>0</v>
      </c>
      <c r="W3489">
        <f t="shared" si="219"/>
        <v>0</v>
      </c>
    </row>
    <row r="3490" spans="5:23" x14ac:dyDescent="0.25">
      <c r="E3490" s="4"/>
      <c r="F3490" s="4"/>
      <c r="G3490" s="33" t="str">
        <f>IFERROR(VLOOKUP($D3490,'Informations sur les produits'!$A$3:$H$10000,8,FALSE),"0")</f>
        <v>0</v>
      </c>
      <c r="K3490" s="4"/>
      <c r="L3490" s="33" t="str">
        <f>IFERROR(VLOOKUP($J3490,'Informations sur les produits'!$A$3:$H$10000,8,FALSE),"0")</f>
        <v>0</v>
      </c>
      <c r="N3490" s="8"/>
      <c r="O3490" s="33" t="str">
        <f>IFERROR(VLOOKUP($M3490,'Informations sur les produits'!$A$3:$H$10000,8,FALSE),"0")</f>
        <v>0</v>
      </c>
      <c r="P3490" s="33">
        <f t="shared" si="216"/>
        <v>0</v>
      </c>
      <c r="Q3490" s="31" t="str">
        <f t="shared" si="217"/>
        <v/>
      </c>
      <c r="R3490" s="32" t="str">
        <f>IFERROR(VLOOKUP($D3490,'Informations sur les produits'!$A$3:$B$15000,2,FALSE),"")</f>
        <v/>
      </c>
      <c r="V3490">
        <f t="shared" si="218"/>
        <v>0</v>
      </c>
      <c r="W3490">
        <f t="shared" si="219"/>
        <v>0</v>
      </c>
    </row>
    <row r="3491" spans="5:23" x14ac:dyDescent="0.25">
      <c r="E3491" s="4"/>
      <c r="F3491" s="4"/>
      <c r="G3491" s="33" t="str">
        <f>IFERROR(VLOOKUP($D3491,'Informations sur les produits'!$A$3:$H$10000,8,FALSE),"0")</f>
        <v>0</v>
      </c>
      <c r="K3491" s="4"/>
      <c r="L3491" s="33" t="str">
        <f>IFERROR(VLOOKUP($J3491,'Informations sur les produits'!$A$3:$H$10000,8,FALSE),"0")</f>
        <v>0</v>
      </c>
      <c r="N3491" s="8"/>
      <c r="O3491" s="33" t="str">
        <f>IFERROR(VLOOKUP($M3491,'Informations sur les produits'!$A$3:$H$10000,8,FALSE),"0")</f>
        <v>0</v>
      </c>
      <c r="P3491" s="33">
        <f t="shared" si="216"/>
        <v>0</v>
      </c>
      <c r="Q3491" s="31" t="str">
        <f t="shared" si="217"/>
        <v/>
      </c>
      <c r="R3491" s="32" t="str">
        <f>IFERROR(VLOOKUP($D3491,'Informations sur les produits'!$A$3:$B$15000,2,FALSE),"")</f>
        <v/>
      </c>
      <c r="V3491">
        <f t="shared" si="218"/>
        <v>0</v>
      </c>
      <c r="W3491">
        <f t="shared" si="219"/>
        <v>0</v>
      </c>
    </row>
    <row r="3492" spans="5:23" x14ac:dyDescent="0.25">
      <c r="E3492" s="4"/>
      <c r="F3492" s="4"/>
      <c r="G3492" s="33" t="str">
        <f>IFERROR(VLOOKUP($D3492,'Informations sur les produits'!$A$3:$H$10000,8,FALSE),"0")</f>
        <v>0</v>
      </c>
      <c r="K3492" s="4"/>
      <c r="L3492" s="33" t="str">
        <f>IFERROR(VLOOKUP($J3492,'Informations sur les produits'!$A$3:$H$10000,8,FALSE),"0")</f>
        <v>0</v>
      </c>
      <c r="N3492" s="8"/>
      <c r="O3492" s="33" t="str">
        <f>IFERROR(VLOOKUP($M3492,'Informations sur les produits'!$A$3:$H$10000,8,FALSE),"0")</f>
        <v>0</v>
      </c>
      <c r="P3492" s="33">
        <f t="shared" si="216"/>
        <v>0</v>
      </c>
      <c r="Q3492" s="31" t="str">
        <f t="shared" si="217"/>
        <v/>
      </c>
      <c r="R3492" s="32" t="str">
        <f>IFERROR(VLOOKUP($D3492,'Informations sur les produits'!$A$3:$B$15000,2,FALSE),"")</f>
        <v/>
      </c>
      <c r="V3492">
        <f t="shared" si="218"/>
        <v>0</v>
      </c>
      <c r="W3492">
        <f t="shared" si="219"/>
        <v>0</v>
      </c>
    </row>
    <row r="3493" spans="5:23" x14ac:dyDescent="0.25">
      <c r="E3493" s="4"/>
      <c r="F3493" s="4"/>
      <c r="G3493" s="33" t="str">
        <f>IFERROR(VLOOKUP($D3493,'Informations sur les produits'!$A$3:$H$10000,8,FALSE),"0")</f>
        <v>0</v>
      </c>
      <c r="K3493" s="4"/>
      <c r="L3493" s="33" t="str">
        <f>IFERROR(VLOOKUP($J3493,'Informations sur les produits'!$A$3:$H$10000,8,FALSE),"0")</f>
        <v>0</v>
      </c>
      <c r="N3493" s="8"/>
      <c r="O3493" s="33" t="str">
        <f>IFERROR(VLOOKUP($M3493,'Informations sur les produits'!$A$3:$H$10000,8,FALSE),"0")</f>
        <v>0</v>
      </c>
      <c r="P3493" s="33">
        <f t="shared" si="216"/>
        <v>0</v>
      </c>
      <c r="Q3493" s="31" t="str">
        <f t="shared" si="217"/>
        <v/>
      </c>
      <c r="R3493" s="32" t="str">
        <f>IFERROR(VLOOKUP($D3493,'Informations sur les produits'!$A$3:$B$15000,2,FALSE),"")</f>
        <v/>
      </c>
      <c r="V3493">
        <f t="shared" si="218"/>
        <v>0</v>
      </c>
      <c r="W3493">
        <f t="shared" si="219"/>
        <v>0</v>
      </c>
    </row>
    <row r="3494" spans="5:23" x14ac:dyDescent="0.25">
      <c r="E3494" s="4"/>
      <c r="F3494" s="4"/>
      <c r="G3494" s="33" t="str">
        <f>IFERROR(VLOOKUP($D3494,'Informations sur les produits'!$A$3:$H$10000,8,FALSE),"0")</f>
        <v>0</v>
      </c>
      <c r="K3494" s="4"/>
      <c r="L3494" s="33" t="str">
        <f>IFERROR(VLOOKUP($J3494,'Informations sur les produits'!$A$3:$H$10000,8,FALSE),"0")</f>
        <v>0</v>
      </c>
      <c r="N3494" s="8"/>
      <c r="O3494" s="33" t="str">
        <f>IFERROR(VLOOKUP($M3494,'Informations sur les produits'!$A$3:$H$10000,8,FALSE),"0")</f>
        <v>0</v>
      </c>
      <c r="P3494" s="33">
        <f t="shared" si="216"/>
        <v>0</v>
      </c>
      <c r="Q3494" s="31" t="str">
        <f t="shared" si="217"/>
        <v/>
      </c>
      <c r="R3494" s="32" t="str">
        <f>IFERROR(VLOOKUP($D3494,'Informations sur les produits'!$A$3:$B$15000,2,FALSE),"")</f>
        <v/>
      </c>
      <c r="V3494">
        <f t="shared" si="218"/>
        <v>0</v>
      </c>
      <c r="W3494">
        <f t="shared" si="219"/>
        <v>0</v>
      </c>
    </row>
    <row r="3495" spans="5:23" x14ac:dyDescent="0.25">
      <c r="E3495" s="4"/>
      <c r="F3495" s="4"/>
      <c r="G3495" s="33" t="str">
        <f>IFERROR(VLOOKUP($D3495,'Informations sur les produits'!$A$3:$H$10000,8,FALSE),"0")</f>
        <v>0</v>
      </c>
      <c r="K3495" s="4"/>
      <c r="L3495" s="33" t="str">
        <f>IFERROR(VLOOKUP($J3495,'Informations sur les produits'!$A$3:$H$10000,8,FALSE),"0")</f>
        <v>0</v>
      </c>
      <c r="N3495" s="8"/>
      <c r="O3495" s="33" t="str">
        <f>IFERROR(VLOOKUP($M3495,'Informations sur les produits'!$A$3:$H$10000,8,FALSE),"0")</f>
        <v>0</v>
      </c>
      <c r="P3495" s="33">
        <f t="shared" si="216"/>
        <v>0</v>
      </c>
      <c r="Q3495" s="31" t="str">
        <f t="shared" si="217"/>
        <v/>
      </c>
      <c r="R3495" s="32" t="str">
        <f>IFERROR(VLOOKUP($D3495,'Informations sur les produits'!$A$3:$B$15000,2,FALSE),"")</f>
        <v/>
      </c>
      <c r="V3495">
        <f t="shared" si="218"/>
        <v>0</v>
      </c>
      <c r="W3495">
        <f t="shared" si="219"/>
        <v>0</v>
      </c>
    </row>
    <row r="3496" spans="5:23" x14ac:dyDescent="0.25">
      <c r="E3496" s="4"/>
      <c r="F3496" s="4"/>
      <c r="G3496" s="33" t="str">
        <f>IFERROR(VLOOKUP($D3496,'Informations sur les produits'!$A$3:$H$10000,8,FALSE),"0")</f>
        <v>0</v>
      </c>
      <c r="K3496" s="4"/>
      <c r="L3496" s="33" t="str">
        <f>IFERROR(VLOOKUP($J3496,'Informations sur les produits'!$A$3:$H$10000,8,FALSE),"0")</f>
        <v>0</v>
      </c>
      <c r="N3496" s="8"/>
      <c r="O3496" s="33" t="str">
        <f>IFERROR(VLOOKUP($M3496,'Informations sur les produits'!$A$3:$H$10000,8,FALSE),"0")</f>
        <v>0</v>
      </c>
      <c r="P3496" s="33">
        <f t="shared" si="216"/>
        <v>0</v>
      </c>
      <c r="Q3496" s="31" t="str">
        <f t="shared" si="217"/>
        <v/>
      </c>
      <c r="R3496" s="32" t="str">
        <f>IFERROR(VLOOKUP($D3496,'Informations sur les produits'!$A$3:$B$15000,2,FALSE),"")</f>
        <v/>
      </c>
      <c r="V3496">
        <f t="shared" si="218"/>
        <v>0</v>
      </c>
      <c r="W3496">
        <f t="shared" si="219"/>
        <v>0</v>
      </c>
    </row>
    <row r="3497" spans="5:23" x14ac:dyDescent="0.25">
      <c r="E3497" s="4"/>
      <c r="F3497" s="4"/>
      <c r="G3497" s="33" t="str">
        <f>IFERROR(VLOOKUP($D3497,'Informations sur les produits'!$A$3:$H$10000,8,FALSE),"0")</f>
        <v>0</v>
      </c>
      <c r="K3497" s="4"/>
      <c r="L3497" s="33" t="str">
        <f>IFERROR(VLOOKUP($J3497,'Informations sur les produits'!$A$3:$H$10000,8,FALSE),"0")</f>
        <v>0</v>
      </c>
      <c r="N3497" s="8"/>
      <c r="O3497" s="33" t="str">
        <f>IFERROR(VLOOKUP($M3497,'Informations sur les produits'!$A$3:$H$10000,8,FALSE),"0")</f>
        <v>0</v>
      </c>
      <c r="P3497" s="33">
        <f t="shared" si="216"/>
        <v>0</v>
      </c>
      <c r="Q3497" s="31" t="str">
        <f t="shared" si="217"/>
        <v/>
      </c>
      <c r="R3497" s="32" t="str">
        <f>IFERROR(VLOOKUP($D3497,'Informations sur les produits'!$A$3:$B$15000,2,FALSE),"")</f>
        <v/>
      </c>
      <c r="V3497">
        <f t="shared" si="218"/>
        <v>0</v>
      </c>
      <c r="W3497">
        <f t="shared" si="219"/>
        <v>0</v>
      </c>
    </row>
    <row r="3498" spans="5:23" x14ac:dyDescent="0.25">
      <c r="E3498" s="4"/>
      <c r="F3498" s="4"/>
      <c r="G3498" s="33" t="str">
        <f>IFERROR(VLOOKUP($D3498,'Informations sur les produits'!$A$3:$H$10000,8,FALSE),"0")</f>
        <v>0</v>
      </c>
      <c r="K3498" s="4"/>
      <c r="L3498" s="33" t="str">
        <f>IFERROR(VLOOKUP($J3498,'Informations sur les produits'!$A$3:$H$10000,8,FALSE),"0")</f>
        <v>0</v>
      </c>
      <c r="N3498" s="8"/>
      <c r="O3498" s="33" t="str">
        <f>IFERROR(VLOOKUP($M3498,'Informations sur les produits'!$A$3:$H$10000,8,FALSE),"0")</f>
        <v>0</v>
      </c>
      <c r="P3498" s="33">
        <f t="shared" si="216"/>
        <v>0</v>
      </c>
      <c r="Q3498" s="31" t="str">
        <f t="shared" si="217"/>
        <v/>
      </c>
      <c r="R3498" s="32" t="str">
        <f>IFERROR(VLOOKUP($D3498,'Informations sur les produits'!$A$3:$B$15000,2,FALSE),"")</f>
        <v/>
      </c>
      <c r="V3498">
        <f t="shared" si="218"/>
        <v>0</v>
      </c>
      <c r="W3498">
        <f t="shared" si="219"/>
        <v>0</v>
      </c>
    </row>
    <row r="3499" spans="5:23" x14ac:dyDescent="0.25">
      <c r="E3499" s="4"/>
      <c r="F3499" s="4"/>
      <c r="G3499" s="33" t="str">
        <f>IFERROR(VLOOKUP($D3499,'Informations sur les produits'!$A$3:$H$10000,8,FALSE),"0")</f>
        <v>0</v>
      </c>
      <c r="K3499" s="4"/>
      <c r="L3499" s="33" t="str">
        <f>IFERROR(VLOOKUP($J3499,'Informations sur les produits'!$A$3:$H$10000,8,FALSE),"0")</f>
        <v>0</v>
      </c>
      <c r="N3499" s="8"/>
      <c r="O3499" s="33" t="str">
        <f>IFERROR(VLOOKUP($M3499,'Informations sur les produits'!$A$3:$H$10000,8,FALSE),"0")</f>
        <v>0</v>
      </c>
      <c r="P3499" s="33">
        <f t="shared" si="216"/>
        <v>0</v>
      </c>
      <c r="Q3499" s="31" t="str">
        <f t="shared" si="217"/>
        <v/>
      </c>
      <c r="R3499" s="32" t="str">
        <f>IFERROR(VLOOKUP($D3499,'Informations sur les produits'!$A$3:$B$15000,2,FALSE),"")</f>
        <v/>
      </c>
      <c r="V3499">
        <f t="shared" si="218"/>
        <v>0</v>
      </c>
      <c r="W3499">
        <f t="shared" si="219"/>
        <v>0</v>
      </c>
    </row>
    <row r="3500" spans="5:23" x14ac:dyDescent="0.25">
      <c r="E3500" s="4"/>
      <c r="F3500" s="4"/>
      <c r="G3500" s="33" t="str">
        <f>IFERROR(VLOOKUP($D3500,'Informations sur les produits'!$A$3:$H$10000,8,FALSE),"0")</f>
        <v>0</v>
      </c>
      <c r="K3500" s="4"/>
      <c r="L3500" s="33" t="str">
        <f>IFERROR(VLOOKUP($J3500,'Informations sur les produits'!$A$3:$H$10000,8,FALSE),"0")</f>
        <v>0</v>
      </c>
      <c r="N3500" s="8"/>
      <c r="O3500" s="33" t="str">
        <f>IFERROR(VLOOKUP($M3500,'Informations sur les produits'!$A$3:$H$10000,8,FALSE),"0")</f>
        <v>0</v>
      </c>
      <c r="P3500" s="33">
        <f t="shared" si="216"/>
        <v>0</v>
      </c>
      <c r="Q3500" s="31" t="str">
        <f t="shared" si="217"/>
        <v/>
      </c>
      <c r="R3500" s="32" t="str">
        <f>IFERROR(VLOOKUP($D3500,'Informations sur les produits'!$A$3:$B$15000,2,FALSE),"")</f>
        <v/>
      </c>
      <c r="V3500">
        <f t="shared" si="218"/>
        <v>0</v>
      </c>
      <c r="W3500">
        <f t="shared" si="219"/>
        <v>0</v>
      </c>
    </row>
    <row r="3501" spans="5:23" x14ac:dyDescent="0.25">
      <c r="E3501" s="4"/>
      <c r="F3501" s="4"/>
      <c r="G3501" s="33" t="str">
        <f>IFERROR(VLOOKUP($D3501,'Informations sur les produits'!$A$3:$H$10000,8,FALSE),"0")</f>
        <v>0</v>
      </c>
      <c r="K3501" s="4"/>
      <c r="L3501" s="33" t="str">
        <f>IFERROR(VLOOKUP($J3501,'Informations sur les produits'!$A$3:$H$10000,8,FALSE),"0")</f>
        <v>0</v>
      </c>
      <c r="N3501" s="8"/>
      <c r="O3501" s="33" t="str">
        <f>IFERROR(VLOOKUP($M3501,'Informations sur les produits'!$A$3:$H$10000,8,FALSE),"0")</f>
        <v>0</v>
      </c>
      <c r="P3501" s="33">
        <f t="shared" si="216"/>
        <v>0</v>
      </c>
      <c r="Q3501" s="31" t="str">
        <f t="shared" si="217"/>
        <v/>
      </c>
      <c r="R3501" s="32" t="str">
        <f>IFERROR(VLOOKUP($D3501,'Informations sur les produits'!$A$3:$B$15000,2,FALSE),"")</f>
        <v/>
      </c>
      <c r="V3501">
        <f t="shared" si="218"/>
        <v>0</v>
      </c>
      <c r="W3501">
        <f t="shared" si="219"/>
        <v>0</v>
      </c>
    </row>
    <row r="3502" spans="5:23" x14ac:dyDescent="0.25">
      <c r="E3502" s="4"/>
      <c r="F3502" s="4"/>
      <c r="G3502" s="33" t="str">
        <f>IFERROR(VLOOKUP($D3502,'Informations sur les produits'!$A$3:$H$10000,8,FALSE),"0")</f>
        <v>0</v>
      </c>
      <c r="K3502" s="4"/>
      <c r="L3502" s="33" t="str">
        <f>IFERROR(VLOOKUP($J3502,'Informations sur les produits'!$A$3:$H$10000,8,FALSE),"0")</f>
        <v>0</v>
      </c>
      <c r="N3502" s="8"/>
      <c r="O3502" s="33" t="str">
        <f>IFERROR(VLOOKUP($M3502,'Informations sur les produits'!$A$3:$H$10000,8,FALSE),"0")</f>
        <v>0</v>
      </c>
      <c r="P3502" s="33">
        <f t="shared" si="216"/>
        <v>0</v>
      </c>
      <c r="Q3502" s="31" t="str">
        <f t="shared" si="217"/>
        <v/>
      </c>
      <c r="R3502" s="32" t="str">
        <f>IFERROR(VLOOKUP($D3502,'Informations sur les produits'!$A$3:$B$15000,2,FALSE),"")</f>
        <v/>
      </c>
      <c r="V3502">
        <f t="shared" si="218"/>
        <v>0</v>
      </c>
      <c r="W3502">
        <f t="shared" si="219"/>
        <v>0</v>
      </c>
    </row>
    <row r="3503" spans="5:23" x14ac:dyDescent="0.25">
      <c r="E3503" s="4"/>
      <c r="F3503" s="4"/>
      <c r="G3503" s="33" t="str">
        <f>IFERROR(VLOOKUP($D3503,'Informations sur les produits'!$A$3:$H$10000,8,FALSE),"0")</f>
        <v>0</v>
      </c>
      <c r="K3503" s="4"/>
      <c r="L3503" s="33" t="str">
        <f>IFERROR(VLOOKUP($J3503,'Informations sur les produits'!$A$3:$H$10000,8,FALSE),"0")</f>
        <v>0</v>
      </c>
      <c r="N3503" s="8"/>
      <c r="O3503" s="33" t="str">
        <f>IFERROR(VLOOKUP($M3503,'Informations sur les produits'!$A$3:$H$10000,8,FALSE),"0")</f>
        <v>0</v>
      </c>
      <c r="P3503" s="33">
        <f t="shared" si="216"/>
        <v>0</v>
      </c>
      <c r="Q3503" s="31" t="str">
        <f t="shared" si="217"/>
        <v/>
      </c>
      <c r="R3503" s="32" t="str">
        <f>IFERROR(VLOOKUP($D3503,'Informations sur les produits'!$A$3:$B$15000,2,FALSE),"")</f>
        <v/>
      </c>
      <c r="V3503">
        <f t="shared" si="218"/>
        <v>0</v>
      </c>
      <c r="W3503">
        <f t="shared" si="219"/>
        <v>0</v>
      </c>
    </row>
    <row r="3504" spans="5:23" x14ac:dyDescent="0.25">
      <c r="E3504" s="4"/>
      <c r="F3504" s="4"/>
      <c r="G3504" s="33" t="str">
        <f>IFERROR(VLOOKUP($D3504,'Informations sur les produits'!$A$3:$H$10000,8,FALSE),"0")</f>
        <v>0</v>
      </c>
      <c r="K3504" s="4"/>
      <c r="L3504" s="33" t="str">
        <f>IFERROR(VLOOKUP($J3504,'Informations sur les produits'!$A$3:$H$10000,8,FALSE),"0")</f>
        <v>0</v>
      </c>
      <c r="N3504" s="8"/>
      <c r="O3504" s="33" t="str">
        <f>IFERROR(VLOOKUP($M3504,'Informations sur les produits'!$A$3:$H$10000,8,FALSE),"0")</f>
        <v>0</v>
      </c>
      <c r="P3504" s="33">
        <f t="shared" si="216"/>
        <v>0</v>
      </c>
      <c r="Q3504" s="31" t="str">
        <f t="shared" si="217"/>
        <v/>
      </c>
      <c r="R3504" s="32" t="str">
        <f>IFERROR(VLOOKUP($D3504,'Informations sur les produits'!$A$3:$B$15000,2,FALSE),"")</f>
        <v/>
      </c>
      <c r="V3504">
        <f t="shared" si="218"/>
        <v>0</v>
      </c>
      <c r="W3504">
        <f t="shared" si="219"/>
        <v>0</v>
      </c>
    </row>
    <row r="3505" spans="5:23" x14ac:dyDescent="0.25">
      <c r="E3505" s="4"/>
      <c r="F3505" s="4"/>
      <c r="G3505" s="33" t="str">
        <f>IFERROR(VLOOKUP($D3505,'Informations sur les produits'!$A$3:$H$10000,8,FALSE),"0")</f>
        <v>0</v>
      </c>
      <c r="K3505" s="4"/>
      <c r="L3505" s="33" t="str">
        <f>IFERROR(VLOOKUP($J3505,'Informations sur les produits'!$A$3:$H$10000,8,FALSE),"0")</f>
        <v>0</v>
      </c>
      <c r="N3505" s="8"/>
      <c r="O3505" s="33" t="str">
        <f>IFERROR(VLOOKUP($M3505,'Informations sur les produits'!$A$3:$H$10000,8,FALSE),"0")</f>
        <v>0</v>
      </c>
      <c r="P3505" s="33">
        <f t="shared" si="216"/>
        <v>0</v>
      </c>
      <c r="Q3505" s="31" t="str">
        <f t="shared" si="217"/>
        <v/>
      </c>
      <c r="R3505" s="32" t="str">
        <f>IFERROR(VLOOKUP($D3505,'Informations sur les produits'!$A$3:$B$15000,2,FALSE),"")</f>
        <v/>
      </c>
      <c r="V3505">
        <f t="shared" si="218"/>
        <v>0</v>
      </c>
      <c r="W3505">
        <f t="shared" si="219"/>
        <v>0</v>
      </c>
    </row>
    <row r="3506" spans="5:23" x14ac:dyDescent="0.25">
      <c r="E3506" s="4"/>
      <c r="F3506" s="4"/>
      <c r="G3506" s="33" t="str">
        <f>IFERROR(VLOOKUP($D3506,'Informations sur les produits'!$A$3:$H$10000,8,FALSE),"0")</f>
        <v>0</v>
      </c>
      <c r="K3506" s="4"/>
      <c r="L3506" s="33" t="str">
        <f>IFERROR(VLOOKUP($J3506,'Informations sur les produits'!$A$3:$H$10000,8,FALSE),"0")</f>
        <v>0</v>
      </c>
      <c r="N3506" s="8"/>
      <c r="O3506" s="33" t="str">
        <f>IFERROR(VLOOKUP($M3506,'Informations sur les produits'!$A$3:$H$10000,8,FALSE),"0")</f>
        <v>0</v>
      </c>
      <c r="P3506" s="33">
        <f t="shared" si="216"/>
        <v>0</v>
      </c>
      <c r="Q3506" s="31" t="str">
        <f t="shared" si="217"/>
        <v/>
      </c>
      <c r="R3506" s="32" t="str">
        <f>IFERROR(VLOOKUP($D3506,'Informations sur les produits'!$A$3:$B$15000,2,FALSE),"")</f>
        <v/>
      </c>
      <c r="V3506">
        <f t="shared" si="218"/>
        <v>0</v>
      </c>
      <c r="W3506">
        <f t="shared" si="219"/>
        <v>0</v>
      </c>
    </row>
    <row r="3507" spans="5:23" x14ac:dyDescent="0.25">
      <c r="E3507" s="4"/>
      <c r="F3507" s="4"/>
      <c r="G3507" s="33" t="str">
        <f>IFERROR(VLOOKUP($D3507,'Informations sur les produits'!$A$3:$H$10000,8,FALSE),"0")</f>
        <v>0</v>
      </c>
      <c r="K3507" s="4"/>
      <c r="L3507" s="33" t="str">
        <f>IFERROR(VLOOKUP($J3507,'Informations sur les produits'!$A$3:$H$10000,8,FALSE),"0")</f>
        <v>0</v>
      </c>
      <c r="N3507" s="8"/>
      <c r="O3507" s="33" t="str">
        <f>IFERROR(VLOOKUP($M3507,'Informations sur les produits'!$A$3:$H$10000,8,FALSE),"0")</f>
        <v>0</v>
      </c>
      <c r="P3507" s="33">
        <f t="shared" si="216"/>
        <v>0</v>
      </c>
      <c r="Q3507" s="31" t="str">
        <f t="shared" si="217"/>
        <v/>
      </c>
      <c r="R3507" s="32" t="str">
        <f>IFERROR(VLOOKUP($D3507,'Informations sur les produits'!$A$3:$B$15000,2,FALSE),"")</f>
        <v/>
      </c>
      <c r="V3507">
        <f t="shared" si="218"/>
        <v>0</v>
      </c>
      <c r="W3507">
        <f t="shared" si="219"/>
        <v>0</v>
      </c>
    </row>
    <row r="3508" spans="5:23" x14ac:dyDescent="0.25">
      <c r="E3508" s="4"/>
      <c r="F3508" s="4"/>
      <c r="G3508" s="33" t="str">
        <f>IFERROR(VLOOKUP($D3508,'Informations sur les produits'!$A$3:$H$10000,8,FALSE),"0")</f>
        <v>0</v>
      </c>
      <c r="K3508" s="4"/>
      <c r="L3508" s="33" t="str">
        <f>IFERROR(VLOOKUP($J3508,'Informations sur les produits'!$A$3:$H$10000,8,FALSE),"0")</f>
        <v>0</v>
      </c>
      <c r="N3508" s="8"/>
      <c r="O3508" s="33" t="str">
        <f>IFERROR(VLOOKUP($M3508,'Informations sur les produits'!$A$3:$H$10000,8,FALSE),"0")</f>
        <v>0</v>
      </c>
      <c r="P3508" s="33">
        <f t="shared" si="216"/>
        <v>0</v>
      </c>
      <c r="Q3508" s="31" t="str">
        <f t="shared" si="217"/>
        <v/>
      </c>
      <c r="R3508" s="32" t="str">
        <f>IFERROR(VLOOKUP($D3508,'Informations sur les produits'!$A$3:$B$15000,2,FALSE),"")</f>
        <v/>
      </c>
      <c r="V3508">
        <f t="shared" si="218"/>
        <v>0</v>
      </c>
      <c r="W3508">
        <f t="shared" si="219"/>
        <v>0</v>
      </c>
    </row>
    <row r="3509" spans="5:23" x14ac:dyDescent="0.25">
      <c r="E3509" s="4"/>
      <c r="F3509" s="4"/>
      <c r="G3509" s="33" t="str">
        <f>IFERROR(VLOOKUP($D3509,'Informations sur les produits'!$A$3:$H$10000,8,FALSE),"0")</f>
        <v>0</v>
      </c>
      <c r="K3509" s="4"/>
      <c r="L3509" s="33" t="str">
        <f>IFERROR(VLOOKUP($J3509,'Informations sur les produits'!$A$3:$H$10000,8,FALSE),"0")</f>
        <v>0</v>
      </c>
      <c r="N3509" s="8"/>
      <c r="O3509" s="33" t="str">
        <f>IFERROR(VLOOKUP($M3509,'Informations sur les produits'!$A$3:$H$10000,8,FALSE),"0")</f>
        <v>0</v>
      </c>
      <c r="P3509" s="33">
        <f t="shared" si="216"/>
        <v>0</v>
      </c>
      <c r="Q3509" s="31" t="str">
        <f t="shared" si="217"/>
        <v/>
      </c>
      <c r="R3509" s="32" t="str">
        <f>IFERROR(VLOOKUP($D3509,'Informations sur les produits'!$A$3:$B$15000,2,FALSE),"")</f>
        <v/>
      </c>
      <c r="V3509">
        <f t="shared" si="218"/>
        <v>0</v>
      </c>
      <c r="W3509">
        <f t="shared" si="219"/>
        <v>0</v>
      </c>
    </row>
    <row r="3510" spans="5:23" x14ac:dyDescent="0.25">
      <c r="E3510" s="4"/>
      <c r="F3510" s="4"/>
      <c r="G3510" s="33" t="str">
        <f>IFERROR(VLOOKUP($D3510,'Informations sur les produits'!$A$3:$H$10000,8,FALSE),"0")</f>
        <v>0</v>
      </c>
      <c r="K3510" s="4"/>
      <c r="L3510" s="33" t="str">
        <f>IFERROR(VLOOKUP($J3510,'Informations sur les produits'!$A$3:$H$10000,8,FALSE),"0")</f>
        <v>0</v>
      </c>
      <c r="N3510" s="8"/>
      <c r="O3510" s="33" t="str">
        <f>IFERROR(VLOOKUP($M3510,'Informations sur les produits'!$A$3:$H$10000,8,FALSE),"0")</f>
        <v>0</v>
      </c>
      <c r="P3510" s="33">
        <f t="shared" si="216"/>
        <v>0</v>
      </c>
      <c r="Q3510" s="31" t="str">
        <f t="shared" si="217"/>
        <v/>
      </c>
      <c r="R3510" s="32" t="str">
        <f>IFERROR(VLOOKUP($D3510,'Informations sur les produits'!$A$3:$B$15000,2,FALSE),"")</f>
        <v/>
      </c>
      <c r="V3510">
        <f t="shared" si="218"/>
        <v>0</v>
      </c>
      <c r="W3510">
        <f t="shared" si="219"/>
        <v>0</v>
      </c>
    </row>
    <row r="3511" spans="5:23" x14ac:dyDescent="0.25">
      <c r="E3511" s="4"/>
      <c r="F3511" s="4"/>
      <c r="G3511" s="33" t="str">
        <f>IFERROR(VLOOKUP($D3511,'Informations sur les produits'!$A$3:$H$10000,8,FALSE),"0")</f>
        <v>0</v>
      </c>
      <c r="K3511" s="4"/>
      <c r="L3511" s="33" t="str">
        <f>IFERROR(VLOOKUP($J3511,'Informations sur les produits'!$A$3:$H$10000,8,FALSE),"0")</f>
        <v>0</v>
      </c>
      <c r="N3511" s="8"/>
      <c r="O3511" s="33" t="str">
        <f>IFERROR(VLOOKUP($M3511,'Informations sur les produits'!$A$3:$H$10000,8,FALSE),"0")</f>
        <v>0</v>
      </c>
      <c r="P3511" s="33">
        <f t="shared" si="216"/>
        <v>0</v>
      </c>
      <c r="Q3511" s="31" t="str">
        <f t="shared" si="217"/>
        <v/>
      </c>
      <c r="R3511" s="32" t="str">
        <f>IFERROR(VLOOKUP($D3511,'Informations sur les produits'!$A$3:$B$15000,2,FALSE),"")</f>
        <v/>
      </c>
      <c r="V3511">
        <f t="shared" si="218"/>
        <v>0</v>
      </c>
      <c r="W3511">
        <f t="shared" si="219"/>
        <v>0</v>
      </c>
    </row>
    <row r="3512" spans="5:23" x14ac:dyDescent="0.25">
      <c r="E3512" s="4"/>
      <c r="F3512" s="4"/>
      <c r="G3512" s="33" t="str">
        <f>IFERROR(VLOOKUP($D3512,'Informations sur les produits'!$A$3:$H$10000,8,FALSE),"0")</f>
        <v>0</v>
      </c>
      <c r="K3512" s="4"/>
      <c r="L3512" s="33" t="str">
        <f>IFERROR(VLOOKUP($J3512,'Informations sur les produits'!$A$3:$H$10000,8,FALSE),"0")</f>
        <v>0</v>
      </c>
      <c r="N3512" s="8"/>
      <c r="O3512" s="33" t="str">
        <f>IFERROR(VLOOKUP($M3512,'Informations sur les produits'!$A$3:$H$10000,8,FALSE),"0")</f>
        <v>0</v>
      </c>
      <c r="P3512" s="33">
        <f t="shared" si="216"/>
        <v>0</v>
      </c>
      <c r="Q3512" s="31" t="str">
        <f t="shared" si="217"/>
        <v/>
      </c>
      <c r="R3512" s="32" t="str">
        <f>IFERROR(VLOOKUP($D3512,'Informations sur les produits'!$A$3:$B$15000,2,FALSE),"")</f>
        <v/>
      </c>
      <c r="V3512">
        <f t="shared" si="218"/>
        <v>0</v>
      </c>
      <c r="W3512">
        <f t="shared" si="219"/>
        <v>0</v>
      </c>
    </row>
    <row r="3513" spans="5:23" x14ac:dyDescent="0.25">
      <c r="E3513" s="4"/>
      <c r="F3513" s="4"/>
      <c r="G3513" s="33" t="str">
        <f>IFERROR(VLOOKUP($D3513,'Informations sur les produits'!$A$3:$H$10000,8,FALSE),"0")</f>
        <v>0</v>
      </c>
      <c r="K3513" s="4"/>
      <c r="L3513" s="33" t="str">
        <f>IFERROR(VLOOKUP($J3513,'Informations sur les produits'!$A$3:$H$10000,8,FALSE),"0")</f>
        <v>0</v>
      </c>
      <c r="N3513" s="8"/>
      <c r="O3513" s="33" t="str">
        <f>IFERROR(VLOOKUP($M3513,'Informations sur les produits'!$A$3:$H$10000,8,FALSE),"0")</f>
        <v>0</v>
      </c>
      <c r="P3513" s="33">
        <f t="shared" si="216"/>
        <v>0</v>
      </c>
      <c r="Q3513" s="31" t="str">
        <f t="shared" si="217"/>
        <v/>
      </c>
      <c r="R3513" s="32" t="str">
        <f>IFERROR(VLOOKUP($D3513,'Informations sur les produits'!$A$3:$B$15000,2,FALSE),"")</f>
        <v/>
      </c>
      <c r="V3513">
        <f t="shared" si="218"/>
        <v>0</v>
      </c>
      <c r="W3513">
        <f t="shared" si="219"/>
        <v>0</v>
      </c>
    </row>
    <row r="3514" spans="5:23" x14ac:dyDescent="0.25">
      <c r="E3514" s="4"/>
      <c r="F3514" s="4"/>
      <c r="G3514" s="33" t="str">
        <f>IFERROR(VLOOKUP($D3514,'Informations sur les produits'!$A$3:$H$10000,8,FALSE),"0")</f>
        <v>0</v>
      </c>
      <c r="K3514" s="4"/>
      <c r="L3514" s="33" t="str">
        <f>IFERROR(VLOOKUP($J3514,'Informations sur les produits'!$A$3:$H$10000,8,FALSE),"0")</f>
        <v>0</v>
      </c>
      <c r="N3514" s="8"/>
      <c r="O3514" s="33" t="str">
        <f>IFERROR(VLOOKUP($M3514,'Informations sur les produits'!$A$3:$H$10000,8,FALSE),"0")</f>
        <v>0</v>
      </c>
      <c r="P3514" s="33">
        <f t="shared" si="216"/>
        <v>0</v>
      </c>
      <c r="Q3514" s="31" t="str">
        <f t="shared" si="217"/>
        <v/>
      </c>
      <c r="R3514" s="32" t="str">
        <f>IFERROR(VLOOKUP($D3514,'Informations sur les produits'!$A$3:$B$15000,2,FALSE),"")</f>
        <v/>
      </c>
      <c r="V3514">
        <f t="shared" si="218"/>
        <v>0</v>
      </c>
      <c r="W3514">
        <f t="shared" si="219"/>
        <v>0</v>
      </c>
    </row>
    <row r="3515" spans="5:23" x14ac:dyDescent="0.25">
      <c r="E3515" s="4"/>
      <c r="F3515" s="4"/>
      <c r="G3515" s="33" t="str">
        <f>IFERROR(VLOOKUP($D3515,'Informations sur les produits'!$A$3:$H$10000,8,FALSE),"0")</f>
        <v>0</v>
      </c>
      <c r="K3515" s="4"/>
      <c r="L3515" s="33" t="str">
        <f>IFERROR(VLOOKUP($J3515,'Informations sur les produits'!$A$3:$H$10000,8,FALSE),"0")</f>
        <v>0</v>
      </c>
      <c r="N3515" s="8"/>
      <c r="O3515" s="33" t="str">
        <f>IFERROR(VLOOKUP($M3515,'Informations sur les produits'!$A$3:$H$10000,8,FALSE),"0")</f>
        <v>0</v>
      </c>
      <c r="P3515" s="33">
        <f t="shared" si="216"/>
        <v>0</v>
      </c>
      <c r="Q3515" s="31" t="str">
        <f t="shared" si="217"/>
        <v/>
      </c>
      <c r="R3515" s="32" t="str">
        <f>IFERROR(VLOOKUP($D3515,'Informations sur les produits'!$A$3:$B$15000,2,FALSE),"")</f>
        <v/>
      </c>
      <c r="V3515">
        <f t="shared" si="218"/>
        <v>0</v>
      </c>
      <c r="W3515">
        <f t="shared" si="219"/>
        <v>0</v>
      </c>
    </row>
    <row r="3516" spans="5:23" x14ac:dyDescent="0.25">
      <c r="E3516" s="4"/>
      <c r="F3516" s="4"/>
      <c r="G3516" s="33" t="str">
        <f>IFERROR(VLOOKUP($D3516,'Informations sur les produits'!$A$3:$H$10000,8,FALSE),"0")</f>
        <v>0</v>
      </c>
      <c r="K3516" s="4"/>
      <c r="L3516" s="33" t="str">
        <f>IFERROR(VLOOKUP($J3516,'Informations sur les produits'!$A$3:$H$10000,8,FALSE),"0")</f>
        <v>0</v>
      </c>
      <c r="N3516" s="8"/>
      <c r="O3516" s="33" t="str">
        <f>IFERROR(VLOOKUP($M3516,'Informations sur les produits'!$A$3:$H$10000,8,FALSE),"0")</f>
        <v>0</v>
      </c>
      <c r="P3516" s="33">
        <f t="shared" si="216"/>
        <v>0</v>
      </c>
      <c r="Q3516" s="31" t="str">
        <f t="shared" si="217"/>
        <v/>
      </c>
      <c r="R3516" s="32" t="str">
        <f>IFERROR(VLOOKUP($D3516,'Informations sur les produits'!$A$3:$B$15000,2,FALSE),"")</f>
        <v/>
      </c>
      <c r="V3516">
        <f t="shared" si="218"/>
        <v>0</v>
      </c>
      <c r="W3516">
        <f t="shared" si="219"/>
        <v>0</v>
      </c>
    </row>
    <row r="3517" spans="5:23" x14ac:dyDescent="0.25">
      <c r="E3517" s="4"/>
      <c r="F3517" s="4"/>
      <c r="G3517" s="33" t="str">
        <f>IFERROR(VLOOKUP($D3517,'Informations sur les produits'!$A$3:$H$10000,8,FALSE),"0")</f>
        <v>0</v>
      </c>
      <c r="K3517" s="4"/>
      <c r="L3517" s="33" t="str">
        <f>IFERROR(VLOOKUP($J3517,'Informations sur les produits'!$A$3:$H$10000,8,FALSE),"0")</f>
        <v>0</v>
      </c>
      <c r="N3517" s="8"/>
      <c r="O3517" s="33" t="str">
        <f>IFERROR(VLOOKUP($M3517,'Informations sur les produits'!$A$3:$H$10000,8,FALSE),"0")</f>
        <v>0</v>
      </c>
      <c r="P3517" s="33">
        <f t="shared" si="216"/>
        <v>0</v>
      </c>
      <c r="Q3517" s="31" t="str">
        <f t="shared" si="217"/>
        <v/>
      </c>
      <c r="R3517" s="32" t="str">
        <f>IFERROR(VLOOKUP($D3517,'Informations sur les produits'!$A$3:$B$15000,2,FALSE),"")</f>
        <v/>
      </c>
      <c r="V3517">
        <f t="shared" si="218"/>
        <v>0</v>
      </c>
      <c r="W3517">
        <f t="shared" si="219"/>
        <v>0</v>
      </c>
    </row>
    <row r="3518" spans="5:23" x14ac:dyDescent="0.25">
      <c r="E3518" s="4"/>
      <c r="F3518" s="4"/>
      <c r="G3518" s="33" t="str">
        <f>IFERROR(VLOOKUP($D3518,'Informations sur les produits'!$A$3:$H$10000,8,FALSE),"0")</f>
        <v>0</v>
      </c>
      <c r="K3518" s="4"/>
      <c r="L3518" s="33" t="str">
        <f>IFERROR(VLOOKUP($J3518,'Informations sur les produits'!$A$3:$H$10000,8,FALSE),"0")</f>
        <v>0</v>
      </c>
      <c r="N3518" s="8"/>
      <c r="O3518" s="33" t="str">
        <f>IFERROR(VLOOKUP($M3518,'Informations sur les produits'!$A$3:$H$10000,8,FALSE),"0")</f>
        <v>0</v>
      </c>
      <c r="P3518" s="33">
        <f t="shared" si="216"/>
        <v>0</v>
      </c>
      <c r="Q3518" s="31" t="str">
        <f t="shared" si="217"/>
        <v/>
      </c>
      <c r="R3518" s="32" t="str">
        <f>IFERROR(VLOOKUP($D3518,'Informations sur les produits'!$A$3:$B$15000,2,FALSE),"")</f>
        <v/>
      </c>
      <c r="V3518">
        <f t="shared" si="218"/>
        <v>0</v>
      </c>
      <c r="W3518">
        <f t="shared" si="219"/>
        <v>0</v>
      </c>
    </row>
    <row r="3519" spans="5:23" x14ac:dyDescent="0.25">
      <c r="E3519" s="4"/>
      <c r="F3519" s="4"/>
      <c r="G3519" s="33" t="str">
        <f>IFERROR(VLOOKUP($D3519,'Informations sur les produits'!$A$3:$H$10000,8,FALSE),"0")</f>
        <v>0</v>
      </c>
      <c r="K3519" s="4"/>
      <c r="L3519" s="33" t="str">
        <f>IFERROR(VLOOKUP($J3519,'Informations sur les produits'!$A$3:$H$10000,8,FALSE),"0")</f>
        <v>0</v>
      </c>
      <c r="N3519" s="8"/>
      <c r="O3519" s="33" t="str">
        <f>IFERROR(VLOOKUP($M3519,'Informations sur les produits'!$A$3:$H$10000,8,FALSE),"0")</f>
        <v>0</v>
      </c>
      <c r="P3519" s="33">
        <f t="shared" si="216"/>
        <v>0</v>
      </c>
      <c r="Q3519" s="31" t="str">
        <f t="shared" si="217"/>
        <v/>
      </c>
      <c r="R3519" s="32" t="str">
        <f>IFERROR(VLOOKUP($D3519,'Informations sur les produits'!$A$3:$B$15000,2,FALSE),"")</f>
        <v/>
      </c>
      <c r="V3519">
        <f t="shared" si="218"/>
        <v>0</v>
      </c>
      <c r="W3519">
        <f t="shared" si="219"/>
        <v>0</v>
      </c>
    </row>
    <row r="3520" spans="5:23" x14ac:dyDescent="0.25">
      <c r="E3520" s="4"/>
      <c r="F3520" s="4"/>
      <c r="G3520" s="33" t="str">
        <f>IFERROR(VLOOKUP($D3520,'Informations sur les produits'!$A$3:$H$10000,8,FALSE),"0")</f>
        <v>0</v>
      </c>
      <c r="K3520" s="4"/>
      <c r="L3520" s="33" t="str">
        <f>IFERROR(VLOOKUP($J3520,'Informations sur les produits'!$A$3:$H$10000,8,FALSE),"0")</f>
        <v>0</v>
      </c>
      <c r="N3520" s="8"/>
      <c r="O3520" s="33" t="str">
        <f>IFERROR(VLOOKUP($M3520,'Informations sur les produits'!$A$3:$H$10000,8,FALSE),"0")</f>
        <v>0</v>
      </c>
      <c r="P3520" s="33">
        <f t="shared" si="216"/>
        <v>0</v>
      </c>
      <c r="Q3520" s="31" t="str">
        <f t="shared" si="217"/>
        <v/>
      </c>
      <c r="R3520" s="32" t="str">
        <f>IFERROR(VLOOKUP($D3520,'Informations sur les produits'!$A$3:$B$15000,2,FALSE),"")</f>
        <v/>
      </c>
      <c r="V3520">
        <f t="shared" si="218"/>
        <v>0</v>
      </c>
      <c r="W3520">
        <f t="shared" si="219"/>
        <v>0</v>
      </c>
    </row>
    <row r="3521" spans="5:23" x14ac:dyDescent="0.25">
      <c r="E3521" s="4"/>
      <c r="F3521" s="4"/>
      <c r="G3521" s="33" t="str">
        <f>IFERROR(VLOOKUP($D3521,'Informations sur les produits'!$A$3:$H$10000,8,FALSE),"0")</f>
        <v>0</v>
      </c>
      <c r="K3521" s="4"/>
      <c r="L3521" s="33" t="str">
        <f>IFERROR(VLOOKUP($J3521,'Informations sur les produits'!$A$3:$H$10000,8,FALSE),"0")</f>
        <v>0</v>
      </c>
      <c r="N3521" s="8"/>
      <c r="O3521" s="33" t="str">
        <f>IFERROR(VLOOKUP($M3521,'Informations sur les produits'!$A$3:$H$10000,8,FALSE),"0")</f>
        <v>0</v>
      </c>
      <c r="P3521" s="33">
        <f t="shared" si="216"/>
        <v>0</v>
      </c>
      <c r="Q3521" s="31" t="str">
        <f t="shared" si="217"/>
        <v/>
      </c>
      <c r="R3521" s="32" t="str">
        <f>IFERROR(VLOOKUP($D3521,'Informations sur les produits'!$A$3:$B$15000,2,FALSE),"")</f>
        <v/>
      </c>
      <c r="V3521">
        <f t="shared" si="218"/>
        <v>0</v>
      </c>
      <c r="W3521">
        <f t="shared" si="219"/>
        <v>0</v>
      </c>
    </row>
    <row r="3522" spans="5:23" x14ac:dyDescent="0.25">
      <c r="E3522" s="4"/>
      <c r="F3522" s="4"/>
      <c r="G3522" s="33" t="str">
        <f>IFERROR(VLOOKUP($D3522,'Informations sur les produits'!$A$3:$H$10000,8,FALSE),"0")</f>
        <v>0</v>
      </c>
      <c r="K3522" s="4"/>
      <c r="L3522" s="33" t="str">
        <f>IFERROR(VLOOKUP($J3522,'Informations sur les produits'!$A$3:$H$10000,8,FALSE),"0")</f>
        <v>0</v>
      </c>
      <c r="N3522" s="8"/>
      <c r="O3522" s="33" t="str">
        <f>IFERROR(VLOOKUP($M3522,'Informations sur les produits'!$A$3:$H$10000,8,FALSE),"0")</f>
        <v>0</v>
      </c>
      <c r="P3522" s="33">
        <f t="shared" si="216"/>
        <v>0</v>
      </c>
      <c r="Q3522" s="31" t="str">
        <f t="shared" si="217"/>
        <v/>
      </c>
      <c r="R3522" s="32" t="str">
        <f>IFERROR(VLOOKUP($D3522,'Informations sur les produits'!$A$3:$B$15000,2,FALSE),"")</f>
        <v/>
      </c>
      <c r="V3522">
        <f t="shared" si="218"/>
        <v>0</v>
      </c>
      <c r="W3522">
        <f t="shared" si="219"/>
        <v>0</v>
      </c>
    </row>
    <row r="3523" spans="5:23" x14ac:dyDescent="0.25">
      <c r="E3523" s="4"/>
      <c r="F3523" s="4"/>
      <c r="G3523" s="33" t="str">
        <f>IFERROR(VLOOKUP($D3523,'Informations sur les produits'!$A$3:$H$10000,8,FALSE),"0")</f>
        <v>0</v>
      </c>
      <c r="K3523" s="4"/>
      <c r="L3523" s="33" t="str">
        <f>IFERROR(VLOOKUP($J3523,'Informations sur les produits'!$A$3:$H$10000,8,FALSE),"0")</f>
        <v>0</v>
      </c>
      <c r="N3523" s="8"/>
      <c r="O3523" s="33" t="str">
        <f>IFERROR(VLOOKUP($M3523,'Informations sur les produits'!$A$3:$H$10000,8,FALSE),"0")</f>
        <v>0</v>
      </c>
      <c r="P3523" s="33">
        <f t="shared" si="216"/>
        <v>0</v>
      </c>
      <c r="Q3523" s="31" t="str">
        <f t="shared" si="217"/>
        <v/>
      </c>
      <c r="R3523" s="32" t="str">
        <f>IFERROR(VLOOKUP($D3523,'Informations sur les produits'!$A$3:$B$15000,2,FALSE),"")</f>
        <v/>
      </c>
      <c r="V3523">
        <f t="shared" si="218"/>
        <v>0</v>
      </c>
      <c r="W3523">
        <f t="shared" si="219"/>
        <v>0</v>
      </c>
    </row>
    <row r="3524" spans="5:23" x14ac:dyDescent="0.25">
      <c r="E3524" s="4"/>
      <c r="F3524" s="4"/>
      <c r="G3524" s="33" t="str">
        <f>IFERROR(VLOOKUP($D3524,'Informations sur les produits'!$A$3:$H$10000,8,FALSE),"0")</f>
        <v>0</v>
      </c>
      <c r="K3524" s="4"/>
      <c r="L3524" s="33" t="str">
        <f>IFERROR(VLOOKUP($J3524,'Informations sur les produits'!$A$3:$H$10000,8,FALSE),"0")</f>
        <v>0</v>
      </c>
      <c r="N3524" s="8"/>
      <c r="O3524" s="33" t="str">
        <f>IFERROR(VLOOKUP($M3524,'Informations sur les produits'!$A$3:$H$10000,8,FALSE),"0")</f>
        <v>0</v>
      </c>
      <c r="P3524" s="33">
        <f t="shared" ref="P3524:P3587" si="220">IFERROR((($E3524-$F3524)*$G3524+$K3524*$L3524+$N3524*$O3524),"")</f>
        <v>0</v>
      </c>
      <c r="Q3524" s="31" t="str">
        <f t="shared" ref="Q3524:Q3587" si="221">IFERROR((((($E3524-$F3524)*$G3524+$K3524*$L3524+$N3524*$O3524)*1000)/(($E3524-$F3524)+$K3524+$N3524)),"")</f>
        <v/>
      </c>
      <c r="R3524" s="32" t="str">
        <f>IFERROR(VLOOKUP($D3524,'Informations sur les produits'!$A$3:$B$15000,2,FALSE),"")</f>
        <v/>
      </c>
      <c r="V3524">
        <f t="shared" ref="V3524:V3587" si="222">IFERROR(P3524*1000,"")</f>
        <v>0</v>
      </c>
      <c r="W3524">
        <f t="shared" ref="W3524:W3587" si="223">IFERROR(($E3524-$F3524)+$K3524+$N3524,"")</f>
        <v>0</v>
      </c>
    </row>
    <row r="3525" spans="5:23" x14ac:dyDescent="0.25">
      <c r="E3525" s="4"/>
      <c r="F3525" s="4"/>
      <c r="G3525" s="33" t="str">
        <f>IFERROR(VLOOKUP($D3525,'Informations sur les produits'!$A$3:$H$10000,8,FALSE),"0")</f>
        <v>0</v>
      </c>
      <c r="K3525" s="4"/>
      <c r="L3525" s="33" t="str">
        <f>IFERROR(VLOOKUP($J3525,'Informations sur les produits'!$A$3:$H$10000,8,FALSE),"0")</f>
        <v>0</v>
      </c>
      <c r="N3525" s="8"/>
      <c r="O3525" s="33" t="str">
        <f>IFERROR(VLOOKUP($M3525,'Informations sur les produits'!$A$3:$H$10000,8,FALSE),"0")</f>
        <v>0</v>
      </c>
      <c r="P3525" s="33">
        <f t="shared" si="220"/>
        <v>0</v>
      </c>
      <c r="Q3525" s="31" t="str">
        <f t="shared" si="221"/>
        <v/>
      </c>
      <c r="R3525" s="32" t="str">
        <f>IFERROR(VLOOKUP($D3525,'Informations sur les produits'!$A$3:$B$15000,2,FALSE),"")</f>
        <v/>
      </c>
      <c r="V3525">
        <f t="shared" si="222"/>
        <v>0</v>
      </c>
      <c r="W3525">
        <f t="shared" si="223"/>
        <v>0</v>
      </c>
    </row>
    <row r="3526" spans="5:23" x14ac:dyDescent="0.25">
      <c r="E3526" s="4"/>
      <c r="F3526" s="4"/>
      <c r="G3526" s="33" t="str">
        <f>IFERROR(VLOOKUP($D3526,'Informations sur les produits'!$A$3:$H$10000,8,FALSE),"0")</f>
        <v>0</v>
      </c>
      <c r="K3526" s="4"/>
      <c r="L3526" s="33" t="str">
        <f>IFERROR(VLOOKUP($J3526,'Informations sur les produits'!$A$3:$H$10000,8,FALSE),"0")</f>
        <v>0</v>
      </c>
      <c r="N3526" s="8"/>
      <c r="O3526" s="33" t="str">
        <f>IFERROR(VLOOKUP($M3526,'Informations sur les produits'!$A$3:$H$10000,8,FALSE),"0")</f>
        <v>0</v>
      </c>
      <c r="P3526" s="33">
        <f t="shared" si="220"/>
        <v>0</v>
      </c>
      <c r="Q3526" s="31" t="str">
        <f t="shared" si="221"/>
        <v/>
      </c>
      <c r="R3526" s="32" t="str">
        <f>IFERROR(VLOOKUP($D3526,'Informations sur les produits'!$A$3:$B$15000,2,FALSE),"")</f>
        <v/>
      </c>
      <c r="V3526">
        <f t="shared" si="222"/>
        <v>0</v>
      </c>
      <c r="W3526">
        <f t="shared" si="223"/>
        <v>0</v>
      </c>
    </row>
    <row r="3527" spans="5:23" x14ac:dyDescent="0.25">
      <c r="E3527" s="4"/>
      <c r="F3527" s="4"/>
      <c r="G3527" s="33" t="str">
        <f>IFERROR(VLOOKUP($D3527,'Informations sur les produits'!$A$3:$H$10000,8,FALSE),"0")</f>
        <v>0</v>
      </c>
      <c r="K3527" s="4"/>
      <c r="L3527" s="33" t="str">
        <f>IFERROR(VLOOKUP($J3527,'Informations sur les produits'!$A$3:$H$10000,8,FALSE),"0")</f>
        <v>0</v>
      </c>
      <c r="N3527" s="8"/>
      <c r="O3527" s="33" t="str">
        <f>IFERROR(VLOOKUP($M3527,'Informations sur les produits'!$A$3:$H$10000,8,FALSE),"0")</f>
        <v>0</v>
      </c>
      <c r="P3527" s="33">
        <f t="shared" si="220"/>
        <v>0</v>
      </c>
      <c r="Q3527" s="31" t="str">
        <f t="shared" si="221"/>
        <v/>
      </c>
      <c r="R3527" s="32" t="str">
        <f>IFERROR(VLOOKUP($D3527,'Informations sur les produits'!$A$3:$B$15000,2,FALSE),"")</f>
        <v/>
      </c>
      <c r="V3527">
        <f t="shared" si="222"/>
        <v>0</v>
      </c>
      <c r="W3527">
        <f t="shared" si="223"/>
        <v>0</v>
      </c>
    </row>
    <row r="3528" spans="5:23" x14ac:dyDescent="0.25">
      <c r="E3528" s="4"/>
      <c r="F3528" s="4"/>
      <c r="G3528" s="33" t="str">
        <f>IFERROR(VLOOKUP($D3528,'Informations sur les produits'!$A$3:$H$10000,8,FALSE),"0")</f>
        <v>0</v>
      </c>
      <c r="K3528" s="4"/>
      <c r="L3528" s="33" t="str">
        <f>IFERROR(VLOOKUP($J3528,'Informations sur les produits'!$A$3:$H$10000,8,FALSE),"0")</f>
        <v>0</v>
      </c>
      <c r="N3528" s="8"/>
      <c r="O3528" s="33" t="str">
        <f>IFERROR(VLOOKUP($M3528,'Informations sur les produits'!$A$3:$H$10000,8,FALSE),"0")</f>
        <v>0</v>
      </c>
      <c r="P3528" s="33">
        <f t="shared" si="220"/>
        <v>0</v>
      </c>
      <c r="Q3528" s="31" t="str">
        <f t="shared" si="221"/>
        <v/>
      </c>
      <c r="R3528" s="32" t="str">
        <f>IFERROR(VLOOKUP($D3528,'Informations sur les produits'!$A$3:$B$15000,2,FALSE),"")</f>
        <v/>
      </c>
      <c r="V3528">
        <f t="shared" si="222"/>
        <v>0</v>
      </c>
      <c r="W3528">
        <f t="shared" si="223"/>
        <v>0</v>
      </c>
    </row>
    <row r="3529" spans="5:23" x14ac:dyDescent="0.25">
      <c r="E3529" s="4"/>
      <c r="F3529" s="4"/>
      <c r="G3529" s="33" t="str">
        <f>IFERROR(VLOOKUP($D3529,'Informations sur les produits'!$A$3:$H$10000,8,FALSE),"0")</f>
        <v>0</v>
      </c>
      <c r="K3529" s="4"/>
      <c r="L3529" s="33" t="str">
        <f>IFERROR(VLOOKUP($J3529,'Informations sur les produits'!$A$3:$H$10000,8,FALSE),"0")</f>
        <v>0</v>
      </c>
      <c r="N3529" s="8"/>
      <c r="O3529" s="33" t="str">
        <f>IFERROR(VLOOKUP($M3529,'Informations sur les produits'!$A$3:$H$10000,8,FALSE),"0")</f>
        <v>0</v>
      </c>
      <c r="P3529" s="33">
        <f t="shared" si="220"/>
        <v>0</v>
      </c>
      <c r="Q3529" s="31" t="str">
        <f t="shared" si="221"/>
        <v/>
      </c>
      <c r="R3529" s="32" t="str">
        <f>IFERROR(VLOOKUP($D3529,'Informations sur les produits'!$A$3:$B$15000,2,FALSE),"")</f>
        <v/>
      </c>
      <c r="V3529">
        <f t="shared" si="222"/>
        <v>0</v>
      </c>
      <c r="W3529">
        <f t="shared" si="223"/>
        <v>0</v>
      </c>
    </row>
    <row r="3530" spans="5:23" x14ac:dyDescent="0.25">
      <c r="E3530" s="4"/>
      <c r="F3530" s="4"/>
      <c r="G3530" s="33" t="str">
        <f>IFERROR(VLOOKUP($D3530,'Informations sur les produits'!$A$3:$H$10000,8,FALSE),"0")</f>
        <v>0</v>
      </c>
      <c r="K3530" s="4"/>
      <c r="L3530" s="33" t="str">
        <f>IFERROR(VLOOKUP($J3530,'Informations sur les produits'!$A$3:$H$10000,8,FALSE),"0")</f>
        <v>0</v>
      </c>
      <c r="N3530" s="8"/>
      <c r="O3530" s="33" t="str">
        <f>IFERROR(VLOOKUP($M3530,'Informations sur les produits'!$A$3:$H$10000,8,FALSE),"0")</f>
        <v>0</v>
      </c>
      <c r="P3530" s="33">
        <f t="shared" si="220"/>
        <v>0</v>
      </c>
      <c r="Q3530" s="31" t="str">
        <f t="shared" si="221"/>
        <v/>
      </c>
      <c r="R3530" s="32" t="str">
        <f>IFERROR(VLOOKUP($D3530,'Informations sur les produits'!$A$3:$B$15000,2,FALSE),"")</f>
        <v/>
      </c>
      <c r="V3530">
        <f t="shared" si="222"/>
        <v>0</v>
      </c>
      <c r="W3530">
        <f t="shared" si="223"/>
        <v>0</v>
      </c>
    </row>
    <row r="3531" spans="5:23" x14ac:dyDescent="0.25">
      <c r="E3531" s="4"/>
      <c r="F3531" s="4"/>
      <c r="G3531" s="33" t="str">
        <f>IFERROR(VLOOKUP($D3531,'Informations sur les produits'!$A$3:$H$10000,8,FALSE),"0")</f>
        <v>0</v>
      </c>
      <c r="K3531" s="4"/>
      <c r="L3531" s="33" t="str">
        <f>IFERROR(VLOOKUP($J3531,'Informations sur les produits'!$A$3:$H$10000,8,FALSE),"0")</f>
        <v>0</v>
      </c>
      <c r="N3531" s="8"/>
      <c r="O3531" s="33" t="str">
        <f>IFERROR(VLOOKUP($M3531,'Informations sur les produits'!$A$3:$H$10000,8,FALSE),"0")</f>
        <v>0</v>
      </c>
      <c r="P3531" s="33">
        <f t="shared" si="220"/>
        <v>0</v>
      </c>
      <c r="Q3531" s="31" t="str">
        <f t="shared" si="221"/>
        <v/>
      </c>
      <c r="R3531" s="32" t="str">
        <f>IFERROR(VLOOKUP($D3531,'Informations sur les produits'!$A$3:$B$15000,2,FALSE),"")</f>
        <v/>
      </c>
      <c r="V3531">
        <f t="shared" si="222"/>
        <v>0</v>
      </c>
      <c r="W3531">
        <f t="shared" si="223"/>
        <v>0</v>
      </c>
    </row>
    <row r="3532" spans="5:23" x14ac:dyDescent="0.25">
      <c r="E3532" s="4"/>
      <c r="F3532" s="4"/>
      <c r="G3532" s="33" t="str">
        <f>IFERROR(VLOOKUP($D3532,'Informations sur les produits'!$A$3:$H$10000,8,FALSE),"0")</f>
        <v>0</v>
      </c>
      <c r="K3532" s="4"/>
      <c r="L3532" s="33" t="str">
        <f>IFERROR(VLOOKUP($J3532,'Informations sur les produits'!$A$3:$H$10000,8,FALSE),"0")</f>
        <v>0</v>
      </c>
      <c r="N3532" s="8"/>
      <c r="O3532" s="33" t="str">
        <f>IFERROR(VLOOKUP($M3532,'Informations sur les produits'!$A$3:$H$10000,8,FALSE),"0")</f>
        <v>0</v>
      </c>
      <c r="P3532" s="33">
        <f t="shared" si="220"/>
        <v>0</v>
      </c>
      <c r="Q3532" s="31" t="str">
        <f t="shared" si="221"/>
        <v/>
      </c>
      <c r="R3532" s="32" t="str">
        <f>IFERROR(VLOOKUP($D3532,'Informations sur les produits'!$A$3:$B$15000,2,FALSE),"")</f>
        <v/>
      </c>
      <c r="V3532">
        <f t="shared" si="222"/>
        <v>0</v>
      </c>
      <c r="W3532">
        <f t="shared" si="223"/>
        <v>0</v>
      </c>
    </row>
    <row r="3533" spans="5:23" x14ac:dyDescent="0.25">
      <c r="E3533" s="4"/>
      <c r="F3533" s="4"/>
      <c r="G3533" s="33" t="str">
        <f>IFERROR(VLOOKUP($D3533,'Informations sur les produits'!$A$3:$H$10000,8,FALSE),"0")</f>
        <v>0</v>
      </c>
      <c r="K3533" s="4"/>
      <c r="L3533" s="33" t="str">
        <f>IFERROR(VLOOKUP($J3533,'Informations sur les produits'!$A$3:$H$10000,8,FALSE),"0")</f>
        <v>0</v>
      </c>
      <c r="N3533" s="8"/>
      <c r="O3533" s="33" t="str">
        <f>IFERROR(VLOOKUP($M3533,'Informations sur les produits'!$A$3:$H$10000,8,FALSE),"0")</f>
        <v>0</v>
      </c>
      <c r="P3533" s="33">
        <f t="shared" si="220"/>
        <v>0</v>
      </c>
      <c r="Q3533" s="31" t="str">
        <f t="shared" si="221"/>
        <v/>
      </c>
      <c r="R3533" s="32" t="str">
        <f>IFERROR(VLOOKUP($D3533,'Informations sur les produits'!$A$3:$B$15000,2,FALSE),"")</f>
        <v/>
      </c>
      <c r="V3533">
        <f t="shared" si="222"/>
        <v>0</v>
      </c>
      <c r="W3533">
        <f t="shared" si="223"/>
        <v>0</v>
      </c>
    </row>
    <row r="3534" spans="5:23" x14ac:dyDescent="0.25">
      <c r="E3534" s="4"/>
      <c r="F3534" s="4"/>
      <c r="G3534" s="33" t="str">
        <f>IFERROR(VLOOKUP($D3534,'Informations sur les produits'!$A$3:$H$10000,8,FALSE),"0")</f>
        <v>0</v>
      </c>
      <c r="K3534" s="4"/>
      <c r="L3534" s="33" t="str">
        <f>IFERROR(VLOOKUP($J3534,'Informations sur les produits'!$A$3:$H$10000,8,FALSE),"0")</f>
        <v>0</v>
      </c>
      <c r="N3534" s="8"/>
      <c r="O3534" s="33" t="str">
        <f>IFERROR(VLOOKUP($M3534,'Informations sur les produits'!$A$3:$H$10000,8,FALSE),"0")</f>
        <v>0</v>
      </c>
      <c r="P3534" s="33">
        <f t="shared" si="220"/>
        <v>0</v>
      </c>
      <c r="Q3534" s="31" t="str">
        <f t="shared" si="221"/>
        <v/>
      </c>
      <c r="R3534" s="32" t="str">
        <f>IFERROR(VLOOKUP($D3534,'Informations sur les produits'!$A$3:$B$15000,2,FALSE),"")</f>
        <v/>
      </c>
      <c r="V3534">
        <f t="shared" si="222"/>
        <v>0</v>
      </c>
      <c r="W3534">
        <f t="shared" si="223"/>
        <v>0</v>
      </c>
    </row>
    <row r="3535" spans="5:23" x14ac:dyDescent="0.25">
      <c r="E3535" s="4"/>
      <c r="F3535" s="4"/>
      <c r="G3535" s="33" t="str">
        <f>IFERROR(VLOOKUP($D3535,'Informations sur les produits'!$A$3:$H$10000,8,FALSE),"0")</f>
        <v>0</v>
      </c>
      <c r="K3535" s="4"/>
      <c r="L3535" s="33" t="str">
        <f>IFERROR(VLOOKUP($J3535,'Informations sur les produits'!$A$3:$H$10000,8,FALSE),"0")</f>
        <v>0</v>
      </c>
      <c r="N3535" s="8"/>
      <c r="O3535" s="33" t="str">
        <f>IFERROR(VLOOKUP($M3535,'Informations sur les produits'!$A$3:$H$10000,8,FALSE),"0")</f>
        <v>0</v>
      </c>
      <c r="P3535" s="33">
        <f t="shared" si="220"/>
        <v>0</v>
      </c>
      <c r="Q3535" s="31" t="str">
        <f t="shared" si="221"/>
        <v/>
      </c>
      <c r="R3535" s="32" t="str">
        <f>IFERROR(VLOOKUP($D3535,'Informations sur les produits'!$A$3:$B$15000,2,FALSE),"")</f>
        <v/>
      </c>
      <c r="V3535">
        <f t="shared" si="222"/>
        <v>0</v>
      </c>
      <c r="W3535">
        <f t="shared" si="223"/>
        <v>0</v>
      </c>
    </row>
    <row r="3536" spans="5:23" x14ac:dyDescent="0.25">
      <c r="E3536" s="4"/>
      <c r="F3536" s="4"/>
      <c r="G3536" s="33" t="str">
        <f>IFERROR(VLOOKUP($D3536,'Informations sur les produits'!$A$3:$H$10000,8,FALSE),"0")</f>
        <v>0</v>
      </c>
      <c r="K3536" s="4"/>
      <c r="L3536" s="33" t="str">
        <f>IFERROR(VLOOKUP($J3536,'Informations sur les produits'!$A$3:$H$10000,8,FALSE),"0")</f>
        <v>0</v>
      </c>
      <c r="N3536" s="8"/>
      <c r="O3536" s="33" t="str">
        <f>IFERROR(VLOOKUP($M3536,'Informations sur les produits'!$A$3:$H$10000,8,FALSE),"0")</f>
        <v>0</v>
      </c>
      <c r="P3536" s="33">
        <f t="shared" si="220"/>
        <v>0</v>
      </c>
      <c r="Q3536" s="31" t="str">
        <f t="shared" si="221"/>
        <v/>
      </c>
      <c r="R3536" s="32" t="str">
        <f>IFERROR(VLOOKUP($D3536,'Informations sur les produits'!$A$3:$B$15000,2,FALSE),"")</f>
        <v/>
      </c>
      <c r="V3536">
        <f t="shared" si="222"/>
        <v>0</v>
      </c>
      <c r="W3536">
        <f t="shared" si="223"/>
        <v>0</v>
      </c>
    </row>
    <row r="3537" spans="5:23" x14ac:dyDescent="0.25">
      <c r="E3537" s="4"/>
      <c r="F3537" s="4"/>
      <c r="G3537" s="33" t="str">
        <f>IFERROR(VLOOKUP($D3537,'Informations sur les produits'!$A$3:$H$10000,8,FALSE),"0")</f>
        <v>0</v>
      </c>
      <c r="K3537" s="4"/>
      <c r="L3537" s="33" t="str">
        <f>IFERROR(VLOOKUP($J3537,'Informations sur les produits'!$A$3:$H$10000,8,FALSE),"0")</f>
        <v>0</v>
      </c>
      <c r="N3537" s="8"/>
      <c r="O3537" s="33" t="str">
        <f>IFERROR(VLOOKUP($M3537,'Informations sur les produits'!$A$3:$H$10000,8,FALSE),"0")</f>
        <v>0</v>
      </c>
      <c r="P3537" s="33">
        <f t="shared" si="220"/>
        <v>0</v>
      </c>
      <c r="Q3537" s="31" t="str">
        <f t="shared" si="221"/>
        <v/>
      </c>
      <c r="R3537" s="32" t="str">
        <f>IFERROR(VLOOKUP($D3537,'Informations sur les produits'!$A$3:$B$15000,2,FALSE),"")</f>
        <v/>
      </c>
      <c r="V3537">
        <f t="shared" si="222"/>
        <v>0</v>
      </c>
      <c r="W3537">
        <f t="shared" si="223"/>
        <v>0</v>
      </c>
    </row>
    <row r="3538" spans="5:23" x14ac:dyDescent="0.25">
      <c r="E3538" s="4"/>
      <c r="F3538" s="4"/>
      <c r="G3538" s="33" t="str">
        <f>IFERROR(VLOOKUP($D3538,'Informations sur les produits'!$A$3:$H$10000,8,FALSE),"0")</f>
        <v>0</v>
      </c>
      <c r="K3538" s="4"/>
      <c r="L3538" s="33" t="str">
        <f>IFERROR(VLOOKUP($J3538,'Informations sur les produits'!$A$3:$H$10000,8,FALSE),"0")</f>
        <v>0</v>
      </c>
      <c r="N3538" s="8"/>
      <c r="O3538" s="33" t="str">
        <f>IFERROR(VLOOKUP($M3538,'Informations sur les produits'!$A$3:$H$10000,8,FALSE),"0")</f>
        <v>0</v>
      </c>
      <c r="P3538" s="33">
        <f t="shared" si="220"/>
        <v>0</v>
      </c>
      <c r="Q3538" s="31" t="str">
        <f t="shared" si="221"/>
        <v/>
      </c>
      <c r="R3538" s="32" t="str">
        <f>IFERROR(VLOOKUP($D3538,'Informations sur les produits'!$A$3:$B$15000,2,FALSE),"")</f>
        <v/>
      </c>
      <c r="V3538">
        <f t="shared" si="222"/>
        <v>0</v>
      </c>
      <c r="W3538">
        <f t="shared" si="223"/>
        <v>0</v>
      </c>
    </row>
    <row r="3539" spans="5:23" x14ac:dyDescent="0.25">
      <c r="E3539" s="4"/>
      <c r="F3539" s="4"/>
      <c r="G3539" s="33" t="str">
        <f>IFERROR(VLOOKUP($D3539,'Informations sur les produits'!$A$3:$H$10000,8,FALSE),"0")</f>
        <v>0</v>
      </c>
      <c r="K3539" s="4"/>
      <c r="L3539" s="33" t="str">
        <f>IFERROR(VLOOKUP($J3539,'Informations sur les produits'!$A$3:$H$10000,8,FALSE),"0")</f>
        <v>0</v>
      </c>
      <c r="N3539" s="8"/>
      <c r="O3539" s="33" t="str">
        <f>IFERROR(VLOOKUP($M3539,'Informations sur les produits'!$A$3:$H$10000,8,FALSE),"0")</f>
        <v>0</v>
      </c>
      <c r="P3539" s="33">
        <f t="shared" si="220"/>
        <v>0</v>
      </c>
      <c r="Q3539" s="31" t="str">
        <f t="shared" si="221"/>
        <v/>
      </c>
      <c r="R3539" s="32" t="str">
        <f>IFERROR(VLOOKUP($D3539,'Informations sur les produits'!$A$3:$B$15000,2,FALSE),"")</f>
        <v/>
      </c>
      <c r="V3539">
        <f t="shared" si="222"/>
        <v>0</v>
      </c>
      <c r="W3539">
        <f t="shared" si="223"/>
        <v>0</v>
      </c>
    </row>
    <row r="3540" spans="5:23" x14ac:dyDescent="0.25">
      <c r="E3540" s="4"/>
      <c r="F3540" s="4"/>
      <c r="G3540" s="33" t="str">
        <f>IFERROR(VLOOKUP($D3540,'Informations sur les produits'!$A$3:$H$10000,8,FALSE),"0")</f>
        <v>0</v>
      </c>
      <c r="K3540" s="4"/>
      <c r="L3540" s="33" t="str">
        <f>IFERROR(VLOOKUP($J3540,'Informations sur les produits'!$A$3:$H$10000,8,FALSE),"0")</f>
        <v>0</v>
      </c>
      <c r="N3540" s="8"/>
      <c r="O3540" s="33" t="str">
        <f>IFERROR(VLOOKUP($M3540,'Informations sur les produits'!$A$3:$H$10000,8,FALSE),"0")</f>
        <v>0</v>
      </c>
      <c r="P3540" s="33">
        <f t="shared" si="220"/>
        <v>0</v>
      </c>
      <c r="Q3540" s="31" t="str">
        <f t="shared" si="221"/>
        <v/>
      </c>
      <c r="R3540" s="32" t="str">
        <f>IFERROR(VLOOKUP($D3540,'Informations sur les produits'!$A$3:$B$15000,2,FALSE),"")</f>
        <v/>
      </c>
      <c r="V3540">
        <f t="shared" si="222"/>
        <v>0</v>
      </c>
      <c r="W3540">
        <f t="shared" si="223"/>
        <v>0</v>
      </c>
    </row>
    <row r="3541" spans="5:23" x14ac:dyDescent="0.25">
      <c r="E3541" s="4"/>
      <c r="F3541" s="4"/>
      <c r="G3541" s="33" t="str">
        <f>IFERROR(VLOOKUP($D3541,'Informations sur les produits'!$A$3:$H$10000,8,FALSE),"0")</f>
        <v>0</v>
      </c>
      <c r="K3541" s="4"/>
      <c r="L3541" s="33" t="str">
        <f>IFERROR(VLOOKUP($J3541,'Informations sur les produits'!$A$3:$H$10000,8,FALSE),"0")</f>
        <v>0</v>
      </c>
      <c r="N3541" s="8"/>
      <c r="O3541" s="33" t="str">
        <f>IFERROR(VLOOKUP($M3541,'Informations sur les produits'!$A$3:$H$10000,8,FALSE),"0")</f>
        <v>0</v>
      </c>
      <c r="P3541" s="33">
        <f t="shared" si="220"/>
        <v>0</v>
      </c>
      <c r="Q3541" s="31" t="str">
        <f t="shared" si="221"/>
        <v/>
      </c>
      <c r="R3541" s="32" t="str">
        <f>IFERROR(VLOOKUP($D3541,'Informations sur les produits'!$A$3:$B$15000,2,FALSE),"")</f>
        <v/>
      </c>
      <c r="V3541">
        <f t="shared" si="222"/>
        <v>0</v>
      </c>
      <c r="W3541">
        <f t="shared" si="223"/>
        <v>0</v>
      </c>
    </row>
    <row r="3542" spans="5:23" x14ac:dyDescent="0.25">
      <c r="E3542" s="4"/>
      <c r="F3542" s="4"/>
      <c r="G3542" s="33" t="str">
        <f>IFERROR(VLOOKUP($D3542,'Informations sur les produits'!$A$3:$H$10000,8,FALSE),"0")</f>
        <v>0</v>
      </c>
      <c r="K3542" s="4"/>
      <c r="L3542" s="33" t="str">
        <f>IFERROR(VLOOKUP($J3542,'Informations sur les produits'!$A$3:$H$10000,8,FALSE),"0")</f>
        <v>0</v>
      </c>
      <c r="N3542" s="8"/>
      <c r="O3542" s="33" t="str">
        <f>IFERROR(VLOOKUP($M3542,'Informations sur les produits'!$A$3:$H$10000,8,FALSE),"0")</f>
        <v>0</v>
      </c>
      <c r="P3542" s="33">
        <f t="shared" si="220"/>
        <v>0</v>
      </c>
      <c r="Q3542" s="31" t="str">
        <f t="shared" si="221"/>
        <v/>
      </c>
      <c r="R3542" s="32" t="str">
        <f>IFERROR(VLOOKUP($D3542,'Informations sur les produits'!$A$3:$B$15000,2,FALSE),"")</f>
        <v/>
      </c>
      <c r="V3542">
        <f t="shared" si="222"/>
        <v>0</v>
      </c>
      <c r="W3542">
        <f t="shared" si="223"/>
        <v>0</v>
      </c>
    </row>
    <row r="3543" spans="5:23" x14ac:dyDescent="0.25">
      <c r="E3543" s="4"/>
      <c r="F3543" s="4"/>
      <c r="G3543" s="33" t="str">
        <f>IFERROR(VLOOKUP($D3543,'Informations sur les produits'!$A$3:$H$10000,8,FALSE),"0")</f>
        <v>0</v>
      </c>
      <c r="K3543" s="4"/>
      <c r="L3543" s="33" t="str">
        <f>IFERROR(VLOOKUP($J3543,'Informations sur les produits'!$A$3:$H$10000,8,FALSE),"0")</f>
        <v>0</v>
      </c>
      <c r="N3543" s="8"/>
      <c r="O3543" s="33" t="str">
        <f>IFERROR(VLOOKUP($M3543,'Informations sur les produits'!$A$3:$H$10000,8,FALSE),"0")</f>
        <v>0</v>
      </c>
      <c r="P3543" s="33">
        <f t="shared" si="220"/>
        <v>0</v>
      </c>
      <c r="Q3543" s="31" t="str">
        <f t="shared" si="221"/>
        <v/>
      </c>
      <c r="R3543" s="32" t="str">
        <f>IFERROR(VLOOKUP($D3543,'Informations sur les produits'!$A$3:$B$15000,2,FALSE),"")</f>
        <v/>
      </c>
      <c r="V3543">
        <f t="shared" si="222"/>
        <v>0</v>
      </c>
      <c r="W3543">
        <f t="shared" si="223"/>
        <v>0</v>
      </c>
    </row>
    <row r="3544" spans="5:23" x14ac:dyDescent="0.25">
      <c r="E3544" s="4"/>
      <c r="F3544" s="4"/>
      <c r="G3544" s="33" t="str">
        <f>IFERROR(VLOOKUP($D3544,'Informations sur les produits'!$A$3:$H$10000,8,FALSE),"0")</f>
        <v>0</v>
      </c>
      <c r="K3544" s="4"/>
      <c r="L3544" s="33" t="str">
        <f>IFERROR(VLOOKUP($J3544,'Informations sur les produits'!$A$3:$H$10000,8,FALSE),"0")</f>
        <v>0</v>
      </c>
      <c r="N3544" s="8"/>
      <c r="O3544" s="33" t="str">
        <f>IFERROR(VLOOKUP($M3544,'Informations sur les produits'!$A$3:$H$10000,8,FALSE),"0")</f>
        <v>0</v>
      </c>
      <c r="P3544" s="33">
        <f t="shared" si="220"/>
        <v>0</v>
      </c>
      <c r="Q3544" s="31" t="str">
        <f t="shared" si="221"/>
        <v/>
      </c>
      <c r="R3544" s="32" t="str">
        <f>IFERROR(VLOOKUP($D3544,'Informations sur les produits'!$A$3:$B$15000,2,FALSE),"")</f>
        <v/>
      </c>
      <c r="V3544">
        <f t="shared" si="222"/>
        <v>0</v>
      </c>
      <c r="W3544">
        <f t="shared" si="223"/>
        <v>0</v>
      </c>
    </row>
    <row r="3545" spans="5:23" x14ac:dyDescent="0.25">
      <c r="E3545" s="4"/>
      <c r="F3545" s="4"/>
      <c r="G3545" s="33" t="str">
        <f>IFERROR(VLOOKUP($D3545,'Informations sur les produits'!$A$3:$H$10000,8,FALSE),"0")</f>
        <v>0</v>
      </c>
      <c r="K3545" s="4"/>
      <c r="L3545" s="33" t="str">
        <f>IFERROR(VLOOKUP($J3545,'Informations sur les produits'!$A$3:$H$10000,8,FALSE),"0")</f>
        <v>0</v>
      </c>
      <c r="N3545" s="8"/>
      <c r="O3545" s="33" t="str">
        <f>IFERROR(VLOOKUP($M3545,'Informations sur les produits'!$A$3:$H$10000,8,FALSE),"0")</f>
        <v>0</v>
      </c>
      <c r="P3545" s="33">
        <f t="shared" si="220"/>
        <v>0</v>
      </c>
      <c r="Q3545" s="31" t="str">
        <f t="shared" si="221"/>
        <v/>
      </c>
      <c r="R3545" s="32" t="str">
        <f>IFERROR(VLOOKUP($D3545,'Informations sur les produits'!$A$3:$B$15000,2,FALSE),"")</f>
        <v/>
      </c>
      <c r="V3545">
        <f t="shared" si="222"/>
        <v>0</v>
      </c>
      <c r="W3545">
        <f t="shared" si="223"/>
        <v>0</v>
      </c>
    </row>
    <row r="3546" spans="5:23" x14ac:dyDescent="0.25">
      <c r="E3546" s="4"/>
      <c r="F3546" s="4"/>
      <c r="G3546" s="33" t="str">
        <f>IFERROR(VLOOKUP($D3546,'Informations sur les produits'!$A$3:$H$10000,8,FALSE),"0")</f>
        <v>0</v>
      </c>
      <c r="K3546" s="4"/>
      <c r="L3546" s="33" t="str">
        <f>IFERROR(VLOOKUP($J3546,'Informations sur les produits'!$A$3:$H$10000,8,FALSE),"0")</f>
        <v>0</v>
      </c>
      <c r="N3546" s="8"/>
      <c r="O3546" s="33" t="str">
        <f>IFERROR(VLOOKUP($M3546,'Informations sur les produits'!$A$3:$H$10000,8,FALSE),"0")</f>
        <v>0</v>
      </c>
      <c r="P3546" s="33">
        <f t="shared" si="220"/>
        <v>0</v>
      </c>
      <c r="Q3546" s="31" t="str">
        <f t="shared" si="221"/>
        <v/>
      </c>
      <c r="R3546" s="32" t="str">
        <f>IFERROR(VLOOKUP($D3546,'Informations sur les produits'!$A$3:$B$15000,2,FALSE),"")</f>
        <v/>
      </c>
      <c r="V3546">
        <f t="shared" si="222"/>
        <v>0</v>
      </c>
      <c r="W3546">
        <f t="shared" si="223"/>
        <v>0</v>
      </c>
    </row>
    <row r="3547" spans="5:23" x14ac:dyDescent="0.25">
      <c r="E3547" s="4"/>
      <c r="F3547" s="4"/>
      <c r="G3547" s="33" t="str">
        <f>IFERROR(VLOOKUP($D3547,'Informations sur les produits'!$A$3:$H$10000,8,FALSE),"0")</f>
        <v>0</v>
      </c>
      <c r="K3547" s="4"/>
      <c r="L3547" s="33" t="str">
        <f>IFERROR(VLOOKUP($J3547,'Informations sur les produits'!$A$3:$H$10000,8,FALSE),"0")</f>
        <v>0</v>
      </c>
      <c r="N3547" s="8"/>
      <c r="O3547" s="33" t="str">
        <f>IFERROR(VLOOKUP($M3547,'Informations sur les produits'!$A$3:$H$10000,8,FALSE),"0")</f>
        <v>0</v>
      </c>
      <c r="P3547" s="33">
        <f t="shared" si="220"/>
        <v>0</v>
      </c>
      <c r="Q3547" s="31" t="str">
        <f t="shared" si="221"/>
        <v/>
      </c>
      <c r="R3547" s="32" t="str">
        <f>IFERROR(VLOOKUP($D3547,'Informations sur les produits'!$A$3:$B$15000,2,FALSE),"")</f>
        <v/>
      </c>
      <c r="V3547">
        <f t="shared" si="222"/>
        <v>0</v>
      </c>
      <c r="W3547">
        <f t="shared" si="223"/>
        <v>0</v>
      </c>
    </row>
    <row r="3548" spans="5:23" x14ac:dyDescent="0.25">
      <c r="E3548" s="4"/>
      <c r="F3548" s="4"/>
      <c r="G3548" s="33" t="str">
        <f>IFERROR(VLOOKUP($D3548,'Informations sur les produits'!$A$3:$H$10000,8,FALSE),"0")</f>
        <v>0</v>
      </c>
      <c r="K3548" s="4"/>
      <c r="L3548" s="33" t="str">
        <f>IFERROR(VLOOKUP($J3548,'Informations sur les produits'!$A$3:$H$10000,8,FALSE),"0")</f>
        <v>0</v>
      </c>
      <c r="N3548" s="8"/>
      <c r="O3548" s="33" t="str">
        <f>IFERROR(VLOOKUP($M3548,'Informations sur les produits'!$A$3:$H$10000,8,FALSE),"0")</f>
        <v>0</v>
      </c>
      <c r="P3548" s="33">
        <f t="shared" si="220"/>
        <v>0</v>
      </c>
      <c r="Q3548" s="31" t="str">
        <f t="shared" si="221"/>
        <v/>
      </c>
      <c r="R3548" s="32" t="str">
        <f>IFERROR(VLOOKUP($D3548,'Informations sur les produits'!$A$3:$B$15000,2,FALSE),"")</f>
        <v/>
      </c>
      <c r="V3548">
        <f t="shared" si="222"/>
        <v>0</v>
      </c>
      <c r="W3548">
        <f t="shared" si="223"/>
        <v>0</v>
      </c>
    </row>
    <row r="3549" spans="5:23" x14ac:dyDescent="0.25">
      <c r="E3549" s="4"/>
      <c r="F3549" s="4"/>
      <c r="G3549" s="33" t="str">
        <f>IFERROR(VLOOKUP($D3549,'Informations sur les produits'!$A$3:$H$10000,8,FALSE),"0")</f>
        <v>0</v>
      </c>
      <c r="K3549" s="4"/>
      <c r="L3549" s="33" t="str">
        <f>IFERROR(VLOOKUP($J3549,'Informations sur les produits'!$A$3:$H$10000,8,FALSE),"0")</f>
        <v>0</v>
      </c>
      <c r="N3549" s="8"/>
      <c r="O3549" s="33" t="str">
        <f>IFERROR(VLOOKUP($M3549,'Informations sur les produits'!$A$3:$H$10000,8,FALSE),"0")</f>
        <v>0</v>
      </c>
      <c r="P3549" s="33">
        <f t="shared" si="220"/>
        <v>0</v>
      </c>
      <c r="Q3549" s="31" t="str">
        <f t="shared" si="221"/>
        <v/>
      </c>
      <c r="R3549" s="32" t="str">
        <f>IFERROR(VLOOKUP($D3549,'Informations sur les produits'!$A$3:$B$15000,2,FALSE),"")</f>
        <v/>
      </c>
      <c r="V3549">
        <f t="shared" si="222"/>
        <v>0</v>
      </c>
      <c r="W3549">
        <f t="shared" si="223"/>
        <v>0</v>
      </c>
    </row>
    <row r="3550" spans="5:23" x14ac:dyDescent="0.25">
      <c r="E3550" s="4"/>
      <c r="F3550" s="4"/>
      <c r="G3550" s="33" t="str">
        <f>IFERROR(VLOOKUP($D3550,'Informations sur les produits'!$A$3:$H$10000,8,FALSE),"0")</f>
        <v>0</v>
      </c>
      <c r="K3550" s="4"/>
      <c r="L3550" s="33" t="str">
        <f>IFERROR(VLOOKUP($J3550,'Informations sur les produits'!$A$3:$H$10000,8,FALSE),"0")</f>
        <v>0</v>
      </c>
      <c r="N3550" s="8"/>
      <c r="O3550" s="33" t="str">
        <f>IFERROR(VLOOKUP($M3550,'Informations sur les produits'!$A$3:$H$10000,8,FALSE),"0")</f>
        <v>0</v>
      </c>
      <c r="P3550" s="33">
        <f t="shared" si="220"/>
        <v>0</v>
      </c>
      <c r="Q3550" s="31" t="str">
        <f t="shared" si="221"/>
        <v/>
      </c>
      <c r="R3550" s="32" t="str">
        <f>IFERROR(VLOOKUP($D3550,'Informations sur les produits'!$A$3:$B$15000,2,FALSE),"")</f>
        <v/>
      </c>
      <c r="V3550">
        <f t="shared" si="222"/>
        <v>0</v>
      </c>
      <c r="W3550">
        <f t="shared" si="223"/>
        <v>0</v>
      </c>
    </row>
    <row r="3551" spans="5:23" x14ac:dyDescent="0.25">
      <c r="E3551" s="4"/>
      <c r="F3551" s="4"/>
      <c r="G3551" s="33" t="str">
        <f>IFERROR(VLOOKUP($D3551,'Informations sur les produits'!$A$3:$H$10000,8,FALSE),"0")</f>
        <v>0</v>
      </c>
      <c r="K3551" s="4"/>
      <c r="L3551" s="33" t="str">
        <f>IFERROR(VLOOKUP($J3551,'Informations sur les produits'!$A$3:$H$10000,8,FALSE),"0")</f>
        <v>0</v>
      </c>
      <c r="N3551" s="8"/>
      <c r="O3551" s="33" t="str">
        <f>IFERROR(VLOOKUP($M3551,'Informations sur les produits'!$A$3:$H$10000,8,FALSE),"0")</f>
        <v>0</v>
      </c>
      <c r="P3551" s="33">
        <f t="shared" si="220"/>
        <v>0</v>
      </c>
      <c r="Q3551" s="31" t="str">
        <f t="shared" si="221"/>
        <v/>
      </c>
      <c r="R3551" s="32" t="str">
        <f>IFERROR(VLOOKUP($D3551,'Informations sur les produits'!$A$3:$B$15000,2,FALSE),"")</f>
        <v/>
      </c>
      <c r="V3551">
        <f t="shared" si="222"/>
        <v>0</v>
      </c>
      <c r="W3551">
        <f t="shared" si="223"/>
        <v>0</v>
      </c>
    </row>
    <row r="3552" spans="5:23" x14ac:dyDescent="0.25">
      <c r="E3552" s="4"/>
      <c r="F3552" s="4"/>
      <c r="G3552" s="33" t="str">
        <f>IFERROR(VLOOKUP($D3552,'Informations sur les produits'!$A$3:$H$10000,8,FALSE),"0")</f>
        <v>0</v>
      </c>
      <c r="K3552" s="4"/>
      <c r="L3552" s="33" t="str">
        <f>IFERROR(VLOOKUP($J3552,'Informations sur les produits'!$A$3:$H$10000,8,FALSE),"0")</f>
        <v>0</v>
      </c>
      <c r="N3552" s="8"/>
      <c r="O3552" s="33" t="str">
        <f>IFERROR(VLOOKUP($M3552,'Informations sur les produits'!$A$3:$H$10000,8,FALSE),"0")</f>
        <v>0</v>
      </c>
      <c r="P3552" s="33">
        <f t="shared" si="220"/>
        <v>0</v>
      </c>
      <c r="Q3552" s="31" t="str">
        <f t="shared" si="221"/>
        <v/>
      </c>
      <c r="R3552" s="32" t="str">
        <f>IFERROR(VLOOKUP($D3552,'Informations sur les produits'!$A$3:$B$15000,2,FALSE),"")</f>
        <v/>
      </c>
      <c r="V3552">
        <f t="shared" si="222"/>
        <v>0</v>
      </c>
      <c r="W3552">
        <f t="shared" si="223"/>
        <v>0</v>
      </c>
    </row>
    <row r="3553" spans="5:23" x14ac:dyDescent="0.25">
      <c r="E3553" s="4"/>
      <c r="F3553" s="4"/>
      <c r="G3553" s="33" t="str">
        <f>IFERROR(VLOOKUP($D3553,'Informations sur les produits'!$A$3:$H$10000,8,FALSE),"0")</f>
        <v>0</v>
      </c>
      <c r="K3553" s="4"/>
      <c r="L3553" s="33" t="str">
        <f>IFERROR(VLOOKUP($J3553,'Informations sur les produits'!$A$3:$H$10000,8,FALSE),"0")</f>
        <v>0</v>
      </c>
      <c r="N3553" s="8"/>
      <c r="O3553" s="33" t="str">
        <f>IFERROR(VLOOKUP($M3553,'Informations sur les produits'!$A$3:$H$10000,8,FALSE),"0")</f>
        <v>0</v>
      </c>
      <c r="P3553" s="33">
        <f t="shared" si="220"/>
        <v>0</v>
      </c>
      <c r="Q3553" s="31" t="str">
        <f t="shared" si="221"/>
        <v/>
      </c>
      <c r="R3553" s="32" t="str">
        <f>IFERROR(VLOOKUP($D3553,'Informations sur les produits'!$A$3:$B$15000,2,FALSE),"")</f>
        <v/>
      </c>
      <c r="V3553">
        <f t="shared" si="222"/>
        <v>0</v>
      </c>
      <c r="W3553">
        <f t="shared" si="223"/>
        <v>0</v>
      </c>
    </row>
    <row r="3554" spans="5:23" x14ac:dyDescent="0.25">
      <c r="E3554" s="4"/>
      <c r="F3554" s="4"/>
      <c r="G3554" s="33" t="str">
        <f>IFERROR(VLOOKUP($D3554,'Informations sur les produits'!$A$3:$H$10000,8,FALSE),"0")</f>
        <v>0</v>
      </c>
      <c r="K3554" s="4"/>
      <c r="L3554" s="33" t="str">
        <f>IFERROR(VLOOKUP($J3554,'Informations sur les produits'!$A$3:$H$10000,8,FALSE),"0")</f>
        <v>0</v>
      </c>
      <c r="N3554" s="8"/>
      <c r="O3554" s="33" t="str">
        <f>IFERROR(VLOOKUP($M3554,'Informations sur les produits'!$A$3:$H$10000,8,FALSE),"0")</f>
        <v>0</v>
      </c>
      <c r="P3554" s="33">
        <f t="shared" si="220"/>
        <v>0</v>
      </c>
      <c r="Q3554" s="31" t="str">
        <f t="shared" si="221"/>
        <v/>
      </c>
      <c r="R3554" s="32" t="str">
        <f>IFERROR(VLOOKUP($D3554,'Informations sur les produits'!$A$3:$B$15000,2,FALSE),"")</f>
        <v/>
      </c>
      <c r="V3554">
        <f t="shared" si="222"/>
        <v>0</v>
      </c>
      <c r="W3554">
        <f t="shared" si="223"/>
        <v>0</v>
      </c>
    </row>
    <row r="3555" spans="5:23" x14ac:dyDescent="0.25">
      <c r="E3555" s="4"/>
      <c r="F3555" s="4"/>
      <c r="G3555" s="33" t="str">
        <f>IFERROR(VLOOKUP($D3555,'Informations sur les produits'!$A$3:$H$10000,8,FALSE),"0")</f>
        <v>0</v>
      </c>
      <c r="K3555" s="4"/>
      <c r="L3555" s="33" t="str">
        <f>IFERROR(VLOOKUP($J3555,'Informations sur les produits'!$A$3:$H$10000,8,FALSE),"0")</f>
        <v>0</v>
      </c>
      <c r="N3555" s="8"/>
      <c r="O3555" s="33" t="str">
        <f>IFERROR(VLOOKUP($M3555,'Informations sur les produits'!$A$3:$H$10000,8,FALSE),"0")</f>
        <v>0</v>
      </c>
      <c r="P3555" s="33">
        <f t="shared" si="220"/>
        <v>0</v>
      </c>
      <c r="Q3555" s="31" t="str">
        <f t="shared" si="221"/>
        <v/>
      </c>
      <c r="R3555" s="32" t="str">
        <f>IFERROR(VLOOKUP($D3555,'Informations sur les produits'!$A$3:$B$15000,2,FALSE),"")</f>
        <v/>
      </c>
      <c r="V3555">
        <f t="shared" si="222"/>
        <v>0</v>
      </c>
      <c r="W3555">
        <f t="shared" si="223"/>
        <v>0</v>
      </c>
    </row>
    <row r="3556" spans="5:23" x14ac:dyDescent="0.25">
      <c r="E3556" s="4"/>
      <c r="F3556" s="4"/>
      <c r="G3556" s="33" t="str">
        <f>IFERROR(VLOOKUP($D3556,'Informations sur les produits'!$A$3:$H$10000,8,FALSE),"0")</f>
        <v>0</v>
      </c>
      <c r="K3556" s="4"/>
      <c r="L3556" s="33" t="str">
        <f>IFERROR(VLOOKUP($J3556,'Informations sur les produits'!$A$3:$H$10000,8,FALSE),"0")</f>
        <v>0</v>
      </c>
      <c r="N3556" s="8"/>
      <c r="O3556" s="33" t="str">
        <f>IFERROR(VLOOKUP($M3556,'Informations sur les produits'!$A$3:$H$10000,8,FALSE),"0")</f>
        <v>0</v>
      </c>
      <c r="P3556" s="33">
        <f t="shared" si="220"/>
        <v>0</v>
      </c>
      <c r="Q3556" s="31" t="str">
        <f t="shared" si="221"/>
        <v/>
      </c>
      <c r="R3556" s="32" t="str">
        <f>IFERROR(VLOOKUP($D3556,'Informations sur les produits'!$A$3:$B$15000,2,FALSE),"")</f>
        <v/>
      </c>
      <c r="V3556">
        <f t="shared" si="222"/>
        <v>0</v>
      </c>
      <c r="W3556">
        <f t="shared" si="223"/>
        <v>0</v>
      </c>
    </row>
    <row r="3557" spans="5:23" x14ac:dyDescent="0.25">
      <c r="E3557" s="4"/>
      <c r="F3557" s="4"/>
      <c r="G3557" s="33" t="str">
        <f>IFERROR(VLOOKUP($D3557,'Informations sur les produits'!$A$3:$H$10000,8,FALSE),"0")</f>
        <v>0</v>
      </c>
      <c r="K3557" s="4"/>
      <c r="L3557" s="33" t="str">
        <f>IFERROR(VLOOKUP($J3557,'Informations sur les produits'!$A$3:$H$10000,8,FALSE),"0")</f>
        <v>0</v>
      </c>
      <c r="N3557" s="8"/>
      <c r="O3557" s="33" t="str">
        <f>IFERROR(VLOOKUP($M3557,'Informations sur les produits'!$A$3:$H$10000,8,FALSE),"0")</f>
        <v>0</v>
      </c>
      <c r="P3557" s="33">
        <f t="shared" si="220"/>
        <v>0</v>
      </c>
      <c r="Q3557" s="31" t="str">
        <f t="shared" si="221"/>
        <v/>
      </c>
      <c r="R3557" s="32" t="str">
        <f>IFERROR(VLOOKUP($D3557,'Informations sur les produits'!$A$3:$B$15000,2,FALSE),"")</f>
        <v/>
      </c>
      <c r="V3557">
        <f t="shared" si="222"/>
        <v>0</v>
      </c>
      <c r="W3557">
        <f t="shared" si="223"/>
        <v>0</v>
      </c>
    </row>
    <row r="3558" spans="5:23" x14ac:dyDescent="0.25">
      <c r="E3558" s="4"/>
      <c r="F3558" s="4"/>
      <c r="G3558" s="33" t="str">
        <f>IFERROR(VLOOKUP($D3558,'Informations sur les produits'!$A$3:$H$10000,8,FALSE),"0")</f>
        <v>0</v>
      </c>
      <c r="K3558" s="4"/>
      <c r="L3558" s="33" t="str">
        <f>IFERROR(VLOOKUP($J3558,'Informations sur les produits'!$A$3:$H$10000,8,FALSE),"0")</f>
        <v>0</v>
      </c>
      <c r="N3558" s="8"/>
      <c r="O3558" s="33" t="str">
        <f>IFERROR(VLOOKUP($M3558,'Informations sur les produits'!$A$3:$H$10000,8,FALSE),"0")</f>
        <v>0</v>
      </c>
      <c r="P3558" s="33">
        <f t="shared" si="220"/>
        <v>0</v>
      </c>
      <c r="Q3558" s="31" t="str">
        <f t="shared" si="221"/>
        <v/>
      </c>
      <c r="R3558" s="32" t="str">
        <f>IFERROR(VLOOKUP($D3558,'Informations sur les produits'!$A$3:$B$15000,2,FALSE),"")</f>
        <v/>
      </c>
      <c r="V3558">
        <f t="shared" si="222"/>
        <v>0</v>
      </c>
      <c r="W3558">
        <f t="shared" si="223"/>
        <v>0</v>
      </c>
    </row>
    <row r="3559" spans="5:23" x14ac:dyDescent="0.25">
      <c r="E3559" s="4"/>
      <c r="F3559" s="4"/>
      <c r="G3559" s="33" t="str">
        <f>IFERROR(VLOOKUP($D3559,'Informations sur les produits'!$A$3:$H$10000,8,FALSE),"0")</f>
        <v>0</v>
      </c>
      <c r="K3559" s="4"/>
      <c r="L3559" s="33" t="str">
        <f>IFERROR(VLOOKUP($J3559,'Informations sur les produits'!$A$3:$H$10000,8,FALSE),"0")</f>
        <v>0</v>
      </c>
      <c r="N3559" s="8"/>
      <c r="O3559" s="33" t="str">
        <f>IFERROR(VLOOKUP($M3559,'Informations sur les produits'!$A$3:$H$10000,8,FALSE),"0")</f>
        <v>0</v>
      </c>
      <c r="P3559" s="33">
        <f t="shared" si="220"/>
        <v>0</v>
      </c>
      <c r="Q3559" s="31" t="str">
        <f t="shared" si="221"/>
        <v/>
      </c>
      <c r="R3559" s="32" t="str">
        <f>IFERROR(VLOOKUP($D3559,'Informations sur les produits'!$A$3:$B$15000,2,FALSE),"")</f>
        <v/>
      </c>
      <c r="V3559">
        <f t="shared" si="222"/>
        <v>0</v>
      </c>
      <c r="W3559">
        <f t="shared" si="223"/>
        <v>0</v>
      </c>
    </row>
    <row r="3560" spans="5:23" x14ac:dyDescent="0.25">
      <c r="E3560" s="4"/>
      <c r="F3560" s="4"/>
      <c r="G3560" s="33" t="str">
        <f>IFERROR(VLOOKUP($D3560,'Informations sur les produits'!$A$3:$H$10000,8,FALSE),"0")</f>
        <v>0</v>
      </c>
      <c r="K3560" s="4"/>
      <c r="L3560" s="33" t="str">
        <f>IFERROR(VLOOKUP($J3560,'Informations sur les produits'!$A$3:$H$10000,8,FALSE),"0")</f>
        <v>0</v>
      </c>
      <c r="N3560" s="8"/>
      <c r="O3560" s="33" t="str">
        <f>IFERROR(VLOOKUP($M3560,'Informations sur les produits'!$A$3:$H$10000,8,FALSE),"0")</f>
        <v>0</v>
      </c>
      <c r="P3560" s="33">
        <f t="shared" si="220"/>
        <v>0</v>
      </c>
      <c r="Q3560" s="31" t="str">
        <f t="shared" si="221"/>
        <v/>
      </c>
      <c r="R3560" s="32" t="str">
        <f>IFERROR(VLOOKUP($D3560,'Informations sur les produits'!$A$3:$B$15000,2,FALSE),"")</f>
        <v/>
      </c>
      <c r="V3560">
        <f t="shared" si="222"/>
        <v>0</v>
      </c>
      <c r="W3560">
        <f t="shared" si="223"/>
        <v>0</v>
      </c>
    </row>
    <row r="3561" spans="5:23" x14ac:dyDescent="0.25">
      <c r="E3561" s="4"/>
      <c r="F3561" s="4"/>
      <c r="G3561" s="33" t="str">
        <f>IFERROR(VLOOKUP($D3561,'Informations sur les produits'!$A$3:$H$10000,8,FALSE),"0")</f>
        <v>0</v>
      </c>
      <c r="K3561" s="4"/>
      <c r="L3561" s="33" t="str">
        <f>IFERROR(VLOOKUP($J3561,'Informations sur les produits'!$A$3:$H$10000,8,FALSE),"0")</f>
        <v>0</v>
      </c>
      <c r="N3561" s="8"/>
      <c r="O3561" s="33" t="str">
        <f>IFERROR(VLOOKUP($M3561,'Informations sur les produits'!$A$3:$H$10000,8,FALSE),"0")</f>
        <v>0</v>
      </c>
      <c r="P3561" s="33">
        <f t="shared" si="220"/>
        <v>0</v>
      </c>
      <c r="Q3561" s="31" t="str">
        <f t="shared" si="221"/>
        <v/>
      </c>
      <c r="R3561" s="32" t="str">
        <f>IFERROR(VLOOKUP($D3561,'Informations sur les produits'!$A$3:$B$15000,2,FALSE),"")</f>
        <v/>
      </c>
      <c r="V3561">
        <f t="shared" si="222"/>
        <v>0</v>
      </c>
      <c r="W3561">
        <f t="shared" si="223"/>
        <v>0</v>
      </c>
    </row>
    <row r="3562" spans="5:23" x14ac:dyDescent="0.25">
      <c r="E3562" s="4"/>
      <c r="F3562" s="4"/>
      <c r="G3562" s="33" t="str">
        <f>IFERROR(VLOOKUP($D3562,'Informations sur les produits'!$A$3:$H$10000,8,FALSE),"0")</f>
        <v>0</v>
      </c>
      <c r="K3562" s="4"/>
      <c r="L3562" s="33" t="str">
        <f>IFERROR(VLOOKUP($J3562,'Informations sur les produits'!$A$3:$H$10000,8,FALSE),"0")</f>
        <v>0</v>
      </c>
      <c r="N3562" s="8"/>
      <c r="O3562" s="33" t="str">
        <f>IFERROR(VLOOKUP($M3562,'Informations sur les produits'!$A$3:$H$10000,8,FALSE),"0")</f>
        <v>0</v>
      </c>
      <c r="P3562" s="33">
        <f t="shared" si="220"/>
        <v>0</v>
      </c>
      <c r="Q3562" s="31" t="str">
        <f t="shared" si="221"/>
        <v/>
      </c>
      <c r="R3562" s="32" t="str">
        <f>IFERROR(VLOOKUP($D3562,'Informations sur les produits'!$A$3:$B$15000,2,FALSE),"")</f>
        <v/>
      </c>
      <c r="V3562">
        <f t="shared" si="222"/>
        <v>0</v>
      </c>
      <c r="W3562">
        <f t="shared" si="223"/>
        <v>0</v>
      </c>
    </row>
    <row r="3563" spans="5:23" x14ac:dyDescent="0.25">
      <c r="E3563" s="4"/>
      <c r="F3563" s="4"/>
      <c r="G3563" s="33" t="str">
        <f>IFERROR(VLOOKUP($D3563,'Informations sur les produits'!$A$3:$H$10000,8,FALSE),"0")</f>
        <v>0</v>
      </c>
      <c r="K3563" s="4"/>
      <c r="L3563" s="33" t="str">
        <f>IFERROR(VLOOKUP($J3563,'Informations sur les produits'!$A$3:$H$10000,8,FALSE),"0")</f>
        <v>0</v>
      </c>
      <c r="N3563" s="8"/>
      <c r="O3563" s="33" t="str">
        <f>IFERROR(VLOOKUP($M3563,'Informations sur les produits'!$A$3:$H$10000,8,FALSE),"0")</f>
        <v>0</v>
      </c>
      <c r="P3563" s="33">
        <f t="shared" si="220"/>
        <v>0</v>
      </c>
      <c r="Q3563" s="31" t="str">
        <f t="shared" si="221"/>
        <v/>
      </c>
      <c r="R3563" s="32" t="str">
        <f>IFERROR(VLOOKUP($D3563,'Informations sur les produits'!$A$3:$B$15000,2,FALSE),"")</f>
        <v/>
      </c>
      <c r="V3563">
        <f t="shared" si="222"/>
        <v>0</v>
      </c>
      <c r="W3563">
        <f t="shared" si="223"/>
        <v>0</v>
      </c>
    </row>
    <row r="3564" spans="5:23" x14ac:dyDescent="0.25">
      <c r="E3564" s="4"/>
      <c r="F3564" s="4"/>
      <c r="G3564" s="33" t="str">
        <f>IFERROR(VLOOKUP($D3564,'Informations sur les produits'!$A$3:$H$10000,8,FALSE),"0")</f>
        <v>0</v>
      </c>
      <c r="K3564" s="4"/>
      <c r="L3564" s="33" t="str">
        <f>IFERROR(VLOOKUP($J3564,'Informations sur les produits'!$A$3:$H$10000,8,FALSE),"0")</f>
        <v>0</v>
      </c>
      <c r="N3564" s="8"/>
      <c r="O3564" s="33" t="str">
        <f>IFERROR(VLOOKUP($M3564,'Informations sur les produits'!$A$3:$H$10000,8,FALSE),"0")</f>
        <v>0</v>
      </c>
      <c r="P3564" s="33">
        <f t="shared" si="220"/>
        <v>0</v>
      </c>
      <c r="Q3564" s="31" t="str">
        <f t="shared" si="221"/>
        <v/>
      </c>
      <c r="R3564" s="32" t="str">
        <f>IFERROR(VLOOKUP($D3564,'Informations sur les produits'!$A$3:$B$15000,2,FALSE),"")</f>
        <v/>
      </c>
      <c r="V3564">
        <f t="shared" si="222"/>
        <v>0</v>
      </c>
      <c r="W3564">
        <f t="shared" si="223"/>
        <v>0</v>
      </c>
    </row>
    <row r="3565" spans="5:23" x14ac:dyDescent="0.25">
      <c r="E3565" s="4"/>
      <c r="F3565" s="4"/>
      <c r="G3565" s="33" t="str">
        <f>IFERROR(VLOOKUP($D3565,'Informations sur les produits'!$A$3:$H$10000,8,FALSE),"0")</f>
        <v>0</v>
      </c>
      <c r="K3565" s="4"/>
      <c r="L3565" s="33" t="str">
        <f>IFERROR(VLOOKUP($J3565,'Informations sur les produits'!$A$3:$H$10000,8,FALSE),"0")</f>
        <v>0</v>
      </c>
      <c r="N3565" s="8"/>
      <c r="O3565" s="33" t="str">
        <f>IFERROR(VLOOKUP($M3565,'Informations sur les produits'!$A$3:$H$10000,8,FALSE),"0")</f>
        <v>0</v>
      </c>
      <c r="P3565" s="33">
        <f t="shared" si="220"/>
        <v>0</v>
      </c>
      <c r="Q3565" s="31" t="str">
        <f t="shared" si="221"/>
        <v/>
      </c>
      <c r="R3565" s="32" t="str">
        <f>IFERROR(VLOOKUP($D3565,'Informations sur les produits'!$A$3:$B$15000,2,FALSE),"")</f>
        <v/>
      </c>
      <c r="V3565">
        <f t="shared" si="222"/>
        <v>0</v>
      </c>
      <c r="W3565">
        <f t="shared" si="223"/>
        <v>0</v>
      </c>
    </row>
    <row r="3566" spans="5:23" x14ac:dyDescent="0.25">
      <c r="E3566" s="4"/>
      <c r="F3566" s="4"/>
      <c r="G3566" s="33" t="str">
        <f>IFERROR(VLOOKUP($D3566,'Informations sur les produits'!$A$3:$H$10000,8,FALSE),"0")</f>
        <v>0</v>
      </c>
      <c r="K3566" s="4"/>
      <c r="L3566" s="33" t="str">
        <f>IFERROR(VLOOKUP($J3566,'Informations sur les produits'!$A$3:$H$10000,8,FALSE),"0")</f>
        <v>0</v>
      </c>
      <c r="N3566" s="8"/>
      <c r="O3566" s="33" t="str">
        <f>IFERROR(VLOOKUP($M3566,'Informations sur les produits'!$A$3:$H$10000,8,FALSE),"0")</f>
        <v>0</v>
      </c>
      <c r="P3566" s="33">
        <f t="shared" si="220"/>
        <v>0</v>
      </c>
      <c r="Q3566" s="31" t="str">
        <f t="shared" si="221"/>
        <v/>
      </c>
      <c r="R3566" s="32" t="str">
        <f>IFERROR(VLOOKUP($D3566,'Informations sur les produits'!$A$3:$B$15000,2,FALSE),"")</f>
        <v/>
      </c>
      <c r="V3566">
        <f t="shared" si="222"/>
        <v>0</v>
      </c>
      <c r="W3566">
        <f t="shared" si="223"/>
        <v>0</v>
      </c>
    </row>
    <row r="3567" spans="5:23" x14ac:dyDescent="0.25">
      <c r="E3567" s="4"/>
      <c r="F3567" s="4"/>
      <c r="G3567" s="33" t="str">
        <f>IFERROR(VLOOKUP($D3567,'Informations sur les produits'!$A$3:$H$10000,8,FALSE),"0")</f>
        <v>0</v>
      </c>
      <c r="K3567" s="4"/>
      <c r="L3567" s="33" t="str">
        <f>IFERROR(VLOOKUP($J3567,'Informations sur les produits'!$A$3:$H$10000,8,FALSE),"0")</f>
        <v>0</v>
      </c>
      <c r="N3567" s="8"/>
      <c r="O3567" s="33" t="str">
        <f>IFERROR(VLOOKUP($M3567,'Informations sur les produits'!$A$3:$H$10000,8,FALSE),"0")</f>
        <v>0</v>
      </c>
      <c r="P3567" s="33">
        <f t="shared" si="220"/>
        <v>0</v>
      </c>
      <c r="Q3567" s="31" t="str">
        <f t="shared" si="221"/>
        <v/>
      </c>
      <c r="R3567" s="32" t="str">
        <f>IFERROR(VLOOKUP($D3567,'Informations sur les produits'!$A$3:$B$15000,2,FALSE),"")</f>
        <v/>
      </c>
      <c r="V3567">
        <f t="shared" si="222"/>
        <v>0</v>
      </c>
      <c r="W3567">
        <f t="shared" si="223"/>
        <v>0</v>
      </c>
    </row>
    <row r="3568" spans="5:23" x14ac:dyDescent="0.25">
      <c r="E3568" s="4"/>
      <c r="F3568" s="4"/>
      <c r="G3568" s="33" t="str">
        <f>IFERROR(VLOOKUP($D3568,'Informations sur les produits'!$A$3:$H$10000,8,FALSE),"0")</f>
        <v>0</v>
      </c>
      <c r="K3568" s="4"/>
      <c r="L3568" s="33" t="str">
        <f>IFERROR(VLOOKUP($J3568,'Informations sur les produits'!$A$3:$H$10000,8,FALSE),"0")</f>
        <v>0</v>
      </c>
      <c r="N3568" s="8"/>
      <c r="O3568" s="33" t="str">
        <f>IFERROR(VLOOKUP($M3568,'Informations sur les produits'!$A$3:$H$10000,8,FALSE),"0")</f>
        <v>0</v>
      </c>
      <c r="P3568" s="33">
        <f t="shared" si="220"/>
        <v>0</v>
      </c>
      <c r="Q3568" s="31" t="str">
        <f t="shared" si="221"/>
        <v/>
      </c>
      <c r="R3568" s="32" t="str">
        <f>IFERROR(VLOOKUP($D3568,'Informations sur les produits'!$A$3:$B$15000,2,FALSE),"")</f>
        <v/>
      </c>
      <c r="V3568">
        <f t="shared" si="222"/>
        <v>0</v>
      </c>
      <c r="W3568">
        <f t="shared" si="223"/>
        <v>0</v>
      </c>
    </row>
    <row r="3569" spans="5:23" x14ac:dyDescent="0.25">
      <c r="E3569" s="4"/>
      <c r="F3569" s="4"/>
      <c r="G3569" s="33" t="str">
        <f>IFERROR(VLOOKUP($D3569,'Informations sur les produits'!$A$3:$H$10000,8,FALSE),"0")</f>
        <v>0</v>
      </c>
      <c r="K3569" s="4"/>
      <c r="L3569" s="33" t="str">
        <f>IFERROR(VLOOKUP($J3569,'Informations sur les produits'!$A$3:$H$10000,8,FALSE),"0")</f>
        <v>0</v>
      </c>
      <c r="N3569" s="8"/>
      <c r="O3569" s="33" t="str">
        <f>IFERROR(VLOOKUP($M3569,'Informations sur les produits'!$A$3:$H$10000,8,FALSE),"0")</f>
        <v>0</v>
      </c>
      <c r="P3569" s="33">
        <f t="shared" si="220"/>
        <v>0</v>
      </c>
      <c r="Q3569" s="31" t="str">
        <f t="shared" si="221"/>
        <v/>
      </c>
      <c r="R3569" s="32" t="str">
        <f>IFERROR(VLOOKUP($D3569,'Informations sur les produits'!$A$3:$B$15000,2,FALSE),"")</f>
        <v/>
      </c>
      <c r="V3569">
        <f t="shared" si="222"/>
        <v>0</v>
      </c>
      <c r="W3569">
        <f t="shared" si="223"/>
        <v>0</v>
      </c>
    </row>
    <row r="3570" spans="5:23" x14ac:dyDescent="0.25">
      <c r="E3570" s="4"/>
      <c r="F3570" s="4"/>
      <c r="G3570" s="33" t="str">
        <f>IFERROR(VLOOKUP($D3570,'Informations sur les produits'!$A$3:$H$10000,8,FALSE),"0")</f>
        <v>0</v>
      </c>
      <c r="K3570" s="4"/>
      <c r="L3570" s="33" t="str">
        <f>IFERROR(VLOOKUP($J3570,'Informations sur les produits'!$A$3:$H$10000,8,FALSE),"0")</f>
        <v>0</v>
      </c>
      <c r="N3570" s="8"/>
      <c r="O3570" s="33" t="str">
        <f>IFERROR(VLOOKUP($M3570,'Informations sur les produits'!$A$3:$H$10000,8,FALSE),"0")</f>
        <v>0</v>
      </c>
      <c r="P3570" s="33">
        <f t="shared" si="220"/>
        <v>0</v>
      </c>
      <c r="Q3570" s="31" t="str">
        <f t="shared" si="221"/>
        <v/>
      </c>
      <c r="R3570" s="32" t="str">
        <f>IFERROR(VLOOKUP($D3570,'Informations sur les produits'!$A$3:$B$15000,2,FALSE),"")</f>
        <v/>
      </c>
      <c r="V3570">
        <f t="shared" si="222"/>
        <v>0</v>
      </c>
      <c r="W3570">
        <f t="shared" si="223"/>
        <v>0</v>
      </c>
    </row>
    <row r="3571" spans="5:23" x14ac:dyDescent="0.25">
      <c r="E3571" s="4"/>
      <c r="F3571" s="4"/>
      <c r="G3571" s="33" t="str">
        <f>IFERROR(VLOOKUP($D3571,'Informations sur les produits'!$A$3:$H$10000,8,FALSE),"0")</f>
        <v>0</v>
      </c>
      <c r="K3571" s="4"/>
      <c r="L3571" s="33" t="str">
        <f>IFERROR(VLOOKUP($J3571,'Informations sur les produits'!$A$3:$H$10000,8,FALSE),"0")</f>
        <v>0</v>
      </c>
      <c r="N3571" s="8"/>
      <c r="O3571" s="33" t="str">
        <f>IFERROR(VLOOKUP($M3571,'Informations sur les produits'!$A$3:$H$10000,8,FALSE),"0")</f>
        <v>0</v>
      </c>
      <c r="P3571" s="33">
        <f t="shared" si="220"/>
        <v>0</v>
      </c>
      <c r="Q3571" s="31" t="str">
        <f t="shared" si="221"/>
        <v/>
      </c>
      <c r="R3571" s="32" t="str">
        <f>IFERROR(VLOOKUP($D3571,'Informations sur les produits'!$A$3:$B$15000,2,FALSE),"")</f>
        <v/>
      </c>
      <c r="V3571">
        <f t="shared" si="222"/>
        <v>0</v>
      </c>
      <c r="W3571">
        <f t="shared" si="223"/>
        <v>0</v>
      </c>
    </row>
    <row r="3572" spans="5:23" x14ac:dyDescent="0.25">
      <c r="E3572" s="4"/>
      <c r="F3572" s="4"/>
      <c r="G3572" s="33" t="str">
        <f>IFERROR(VLOOKUP($D3572,'Informations sur les produits'!$A$3:$H$10000,8,FALSE),"0")</f>
        <v>0</v>
      </c>
      <c r="K3572" s="4"/>
      <c r="L3572" s="33" t="str">
        <f>IFERROR(VLOOKUP($J3572,'Informations sur les produits'!$A$3:$H$10000,8,FALSE),"0")</f>
        <v>0</v>
      </c>
      <c r="N3572" s="8"/>
      <c r="O3572" s="33" t="str">
        <f>IFERROR(VLOOKUP($M3572,'Informations sur les produits'!$A$3:$H$10000,8,FALSE),"0")</f>
        <v>0</v>
      </c>
      <c r="P3572" s="33">
        <f t="shared" si="220"/>
        <v>0</v>
      </c>
      <c r="Q3572" s="31" t="str">
        <f t="shared" si="221"/>
        <v/>
      </c>
      <c r="R3572" s="32" t="str">
        <f>IFERROR(VLOOKUP($D3572,'Informations sur les produits'!$A$3:$B$15000,2,FALSE),"")</f>
        <v/>
      </c>
      <c r="V3572">
        <f t="shared" si="222"/>
        <v>0</v>
      </c>
      <c r="W3572">
        <f t="shared" si="223"/>
        <v>0</v>
      </c>
    </row>
    <row r="3573" spans="5:23" x14ac:dyDescent="0.25">
      <c r="E3573" s="4"/>
      <c r="F3573" s="4"/>
      <c r="G3573" s="33" t="str">
        <f>IFERROR(VLOOKUP($D3573,'Informations sur les produits'!$A$3:$H$10000,8,FALSE),"0")</f>
        <v>0</v>
      </c>
      <c r="K3573" s="4"/>
      <c r="L3573" s="33" t="str">
        <f>IFERROR(VLOOKUP($J3573,'Informations sur les produits'!$A$3:$H$10000,8,FALSE),"0")</f>
        <v>0</v>
      </c>
      <c r="N3573" s="8"/>
      <c r="O3573" s="33" t="str">
        <f>IFERROR(VLOOKUP($M3573,'Informations sur les produits'!$A$3:$H$10000,8,FALSE),"0")</f>
        <v>0</v>
      </c>
      <c r="P3573" s="33">
        <f t="shared" si="220"/>
        <v>0</v>
      </c>
      <c r="Q3573" s="31" t="str">
        <f t="shared" si="221"/>
        <v/>
      </c>
      <c r="R3573" s="32" t="str">
        <f>IFERROR(VLOOKUP($D3573,'Informations sur les produits'!$A$3:$B$15000,2,FALSE),"")</f>
        <v/>
      </c>
      <c r="V3573">
        <f t="shared" si="222"/>
        <v>0</v>
      </c>
      <c r="W3573">
        <f t="shared" si="223"/>
        <v>0</v>
      </c>
    </row>
    <row r="3574" spans="5:23" x14ac:dyDescent="0.25">
      <c r="E3574" s="4"/>
      <c r="F3574" s="4"/>
      <c r="G3574" s="33" t="str">
        <f>IFERROR(VLOOKUP($D3574,'Informations sur les produits'!$A$3:$H$10000,8,FALSE),"0")</f>
        <v>0</v>
      </c>
      <c r="K3574" s="4"/>
      <c r="L3574" s="33" t="str">
        <f>IFERROR(VLOOKUP($J3574,'Informations sur les produits'!$A$3:$H$10000,8,FALSE),"0")</f>
        <v>0</v>
      </c>
      <c r="N3574" s="8"/>
      <c r="O3574" s="33" t="str">
        <f>IFERROR(VLOOKUP($M3574,'Informations sur les produits'!$A$3:$H$10000,8,FALSE),"0")</f>
        <v>0</v>
      </c>
      <c r="P3574" s="33">
        <f t="shared" si="220"/>
        <v>0</v>
      </c>
      <c r="Q3574" s="31" t="str">
        <f t="shared" si="221"/>
        <v/>
      </c>
      <c r="R3574" s="32" t="str">
        <f>IFERROR(VLOOKUP($D3574,'Informations sur les produits'!$A$3:$B$15000,2,FALSE),"")</f>
        <v/>
      </c>
      <c r="V3574">
        <f t="shared" si="222"/>
        <v>0</v>
      </c>
      <c r="W3574">
        <f t="shared" si="223"/>
        <v>0</v>
      </c>
    </row>
    <row r="3575" spans="5:23" x14ac:dyDescent="0.25">
      <c r="E3575" s="4"/>
      <c r="F3575" s="4"/>
      <c r="G3575" s="33" t="str">
        <f>IFERROR(VLOOKUP($D3575,'Informations sur les produits'!$A$3:$H$10000,8,FALSE),"0")</f>
        <v>0</v>
      </c>
      <c r="K3575" s="4"/>
      <c r="L3575" s="33" t="str">
        <f>IFERROR(VLOOKUP($J3575,'Informations sur les produits'!$A$3:$H$10000,8,FALSE),"0")</f>
        <v>0</v>
      </c>
      <c r="N3575" s="8"/>
      <c r="O3575" s="33" t="str">
        <f>IFERROR(VLOOKUP($M3575,'Informations sur les produits'!$A$3:$H$10000,8,FALSE),"0")</f>
        <v>0</v>
      </c>
      <c r="P3575" s="33">
        <f t="shared" si="220"/>
        <v>0</v>
      </c>
      <c r="Q3575" s="31" t="str">
        <f t="shared" si="221"/>
        <v/>
      </c>
      <c r="R3575" s="32" t="str">
        <f>IFERROR(VLOOKUP($D3575,'Informations sur les produits'!$A$3:$B$15000,2,FALSE),"")</f>
        <v/>
      </c>
      <c r="V3575">
        <f t="shared" si="222"/>
        <v>0</v>
      </c>
      <c r="W3575">
        <f t="shared" si="223"/>
        <v>0</v>
      </c>
    </row>
    <row r="3576" spans="5:23" x14ac:dyDescent="0.25">
      <c r="E3576" s="4"/>
      <c r="F3576" s="4"/>
      <c r="G3576" s="33" t="str">
        <f>IFERROR(VLOOKUP($D3576,'Informations sur les produits'!$A$3:$H$10000,8,FALSE),"0")</f>
        <v>0</v>
      </c>
      <c r="K3576" s="4"/>
      <c r="L3576" s="33" t="str">
        <f>IFERROR(VLOOKUP($J3576,'Informations sur les produits'!$A$3:$H$10000,8,FALSE),"0")</f>
        <v>0</v>
      </c>
      <c r="N3576" s="8"/>
      <c r="O3576" s="33" t="str">
        <f>IFERROR(VLOOKUP($M3576,'Informations sur les produits'!$A$3:$H$10000,8,FALSE),"0")</f>
        <v>0</v>
      </c>
      <c r="P3576" s="33">
        <f t="shared" si="220"/>
        <v>0</v>
      </c>
      <c r="Q3576" s="31" t="str">
        <f t="shared" si="221"/>
        <v/>
      </c>
      <c r="R3576" s="32" t="str">
        <f>IFERROR(VLOOKUP($D3576,'Informations sur les produits'!$A$3:$B$15000,2,FALSE),"")</f>
        <v/>
      </c>
      <c r="V3576">
        <f t="shared" si="222"/>
        <v>0</v>
      </c>
      <c r="W3576">
        <f t="shared" si="223"/>
        <v>0</v>
      </c>
    </row>
    <row r="3577" spans="5:23" x14ac:dyDescent="0.25">
      <c r="E3577" s="4"/>
      <c r="F3577" s="4"/>
      <c r="G3577" s="33" t="str">
        <f>IFERROR(VLOOKUP($D3577,'Informations sur les produits'!$A$3:$H$10000,8,FALSE),"0")</f>
        <v>0</v>
      </c>
      <c r="K3577" s="4"/>
      <c r="L3577" s="33" t="str">
        <f>IFERROR(VLOOKUP($J3577,'Informations sur les produits'!$A$3:$H$10000,8,FALSE),"0")</f>
        <v>0</v>
      </c>
      <c r="N3577" s="8"/>
      <c r="O3577" s="33" t="str">
        <f>IFERROR(VLOOKUP($M3577,'Informations sur les produits'!$A$3:$H$10000,8,FALSE),"0")</f>
        <v>0</v>
      </c>
      <c r="P3577" s="33">
        <f t="shared" si="220"/>
        <v>0</v>
      </c>
      <c r="Q3577" s="31" t="str">
        <f t="shared" si="221"/>
        <v/>
      </c>
      <c r="R3577" s="32" t="str">
        <f>IFERROR(VLOOKUP($D3577,'Informations sur les produits'!$A$3:$B$15000,2,FALSE),"")</f>
        <v/>
      </c>
      <c r="V3577">
        <f t="shared" si="222"/>
        <v>0</v>
      </c>
      <c r="W3577">
        <f t="shared" si="223"/>
        <v>0</v>
      </c>
    </row>
    <row r="3578" spans="5:23" x14ac:dyDescent="0.25">
      <c r="E3578" s="4"/>
      <c r="F3578" s="4"/>
      <c r="G3578" s="33" t="str">
        <f>IFERROR(VLOOKUP($D3578,'Informations sur les produits'!$A$3:$H$10000,8,FALSE),"0")</f>
        <v>0</v>
      </c>
      <c r="K3578" s="4"/>
      <c r="L3578" s="33" t="str">
        <f>IFERROR(VLOOKUP($J3578,'Informations sur les produits'!$A$3:$H$10000,8,FALSE),"0")</f>
        <v>0</v>
      </c>
      <c r="N3578" s="8"/>
      <c r="O3578" s="33" t="str">
        <f>IFERROR(VLOOKUP($M3578,'Informations sur les produits'!$A$3:$H$10000,8,FALSE),"0")</f>
        <v>0</v>
      </c>
      <c r="P3578" s="33">
        <f t="shared" si="220"/>
        <v>0</v>
      </c>
      <c r="Q3578" s="31" t="str">
        <f t="shared" si="221"/>
        <v/>
      </c>
      <c r="R3578" s="32" t="str">
        <f>IFERROR(VLOOKUP($D3578,'Informations sur les produits'!$A$3:$B$15000,2,FALSE),"")</f>
        <v/>
      </c>
      <c r="V3578">
        <f t="shared" si="222"/>
        <v>0</v>
      </c>
      <c r="W3578">
        <f t="shared" si="223"/>
        <v>0</v>
      </c>
    </row>
    <row r="3579" spans="5:23" x14ac:dyDescent="0.25">
      <c r="E3579" s="4"/>
      <c r="F3579" s="4"/>
      <c r="G3579" s="33" t="str">
        <f>IFERROR(VLOOKUP($D3579,'Informations sur les produits'!$A$3:$H$10000,8,FALSE),"0")</f>
        <v>0</v>
      </c>
      <c r="K3579" s="4"/>
      <c r="L3579" s="33" t="str">
        <f>IFERROR(VLOOKUP($J3579,'Informations sur les produits'!$A$3:$H$10000,8,FALSE),"0")</f>
        <v>0</v>
      </c>
      <c r="N3579" s="8"/>
      <c r="O3579" s="33" t="str">
        <f>IFERROR(VLOOKUP($M3579,'Informations sur les produits'!$A$3:$H$10000,8,FALSE),"0")</f>
        <v>0</v>
      </c>
      <c r="P3579" s="33">
        <f t="shared" si="220"/>
        <v>0</v>
      </c>
      <c r="Q3579" s="31" t="str">
        <f t="shared" si="221"/>
        <v/>
      </c>
      <c r="R3579" s="32" t="str">
        <f>IFERROR(VLOOKUP($D3579,'Informations sur les produits'!$A$3:$B$15000,2,FALSE),"")</f>
        <v/>
      </c>
      <c r="V3579">
        <f t="shared" si="222"/>
        <v>0</v>
      </c>
      <c r="W3579">
        <f t="shared" si="223"/>
        <v>0</v>
      </c>
    </row>
    <row r="3580" spans="5:23" x14ac:dyDescent="0.25">
      <c r="E3580" s="4"/>
      <c r="F3580" s="4"/>
      <c r="G3580" s="33" t="str">
        <f>IFERROR(VLOOKUP($D3580,'Informations sur les produits'!$A$3:$H$10000,8,FALSE),"0")</f>
        <v>0</v>
      </c>
      <c r="K3580" s="4"/>
      <c r="L3580" s="33" t="str">
        <f>IFERROR(VLOOKUP($J3580,'Informations sur les produits'!$A$3:$H$10000,8,FALSE),"0")</f>
        <v>0</v>
      </c>
      <c r="N3580" s="8"/>
      <c r="O3580" s="33" t="str">
        <f>IFERROR(VLOOKUP($M3580,'Informations sur les produits'!$A$3:$H$10000,8,FALSE),"0")</f>
        <v>0</v>
      </c>
      <c r="P3580" s="33">
        <f t="shared" si="220"/>
        <v>0</v>
      </c>
      <c r="Q3580" s="31" t="str">
        <f t="shared" si="221"/>
        <v/>
      </c>
      <c r="R3580" s="32" t="str">
        <f>IFERROR(VLOOKUP($D3580,'Informations sur les produits'!$A$3:$B$15000,2,FALSE),"")</f>
        <v/>
      </c>
      <c r="V3580">
        <f t="shared" si="222"/>
        <v>0</v>
      </c>
      <c r="W3580">
        <f t="shared" si="223"/>
        <v>0</v>
      </c>
    </row>
    <row r="3581" spans="5:23" x14ac:dyDescent="0.25">
      <c r="E3581" s="4"/>
      <c r="F3581" s="4"/>
      <c r="G3581" s="33" t="str">
        <f>IFERROR(VLOOKUP($D3581,'Informations sur les produits'!$A$3:$H$10000,8,FALSE),"0")</f>
        <v>0</v>
      </c>
      <c r="K3581" s="4"/>
      <c r="L3581" s="33" t="str">
        <f>IFERROR(VLOOKUP($J3581,'Informations sur les produits'!$A$3:$H$10000,8,FALSE),"0")</f>
        <v>0</v>
      </c>
      <c r="N3581" s="8"/>
      <c r="O3581" s="33" t="str">
        <f>IFERROR(VLOOKUP($M3581,'Informations sur les produits'!$A$3:$H$10000,8,FALSE),"0")</f>
        <v>0</v>
      </c>
      <c r="P3581" s="33">
        <f t="shared" si="220"/>
        <v>0</v>
      </c>
      <c r="Q3581" s="31" t="str">
        <f t="shared" si="221"/>
        <v/>
      </c>
      <c r="R3581" s="32" t="str">
        <f>IFERROR(VLOOKUP($D3581,'Informations sur les produits'!$A$3:$B$15000,2,FALSE),"")</f>
        <v/>
      </c>
      <c r="V3581">
        <f t="shared" si="222"/>
        <v>0</v>
      </c>
      <c r="W3581">
        <f t="shared" si="223"/>
        <v>0</v>
      </c>
    </row>
    <row r="3582" spans="5:23" x14ac:dyDescent="0.25">
      <c r="E3582" s="4"/>
      <c r="F3582" s="4"/>
      <c r="G3582" s="33" t="str">
        <f>IFERROR(VLOOKUP($D3582,'Informations sur les produits'!$A$3:$H$10000,8,FALSE),"0")</f>
        <v>0</v>
      </c>
      <c r="K3582" s="4"/>
      <c r="L3582" s="33" t="str">
        <f>IFERROR(VLOOKUP($J3582,'Informations sur les produits'!$A$3:$H$10000,8,FALSE),"0")</f>
        <v>0</v>
      </c>
      <c r="N3582" s="8"/>
      <c r="O3582" s="33" t="str">
        <f>IFERROR(VLOOKUP($M3582,'Informations sur les produits'!$A$3:$H$10000,8,FALSE),"0")</f>
        <v>0</v>
      </c>
      <c r="P3582" s="33">
        <f t="shared" si="220"/>
        <v>0</v>
      </c>
      <c r="Q3582" s="31" t="str">
        <f t="shared" si="221"/>
        <v/>
      </c>
      <c r="R3582" s="32" t="str">
        <f>IFERROR(VLOOKUP($D3582,'Informations sur les produits'!$A$3:$B$15000,2,FALSE),"")</f>
        <v/>
      </c>
      <c r="V3582">
        <f t="shared" si="222"/>
        <v>0</v>
      </c>
      <c r="W3582">
        <f t="shared" si="223"/>
        <v>0</v>
      </c>
    </row>
    <row r="3583" spans="5:23" x14ac:dyDescent="0.25">
      <c r="E3583" s="4"/>
      <c r="F3583" s="4"/>
      <c r="G3583" s="33" t="str">
        <f>IFERROR(VLOOKUP($D3583,'Informations sur les produits'!$A$3:$H$10000,8,FALSE),"0")</f>
        <v>0</v>
      </c>
      <c r="K3583" s="4"/>
      <c r="L3583" s="33" t="str">
        <f>IFERROR(VLOOKUP($J3583,'Informations sur les produits'!$A$3:$H$10000,8,FALSE),"0")</f>
        <v>0</v>
      </c>
      <c r="N3583" s="8"/>
      <c r="O3583" s="33" t="str">
        <f>IFERROR(VLOOKUP($M3583,'Informations sur les produits'!$A$3:$H$10000,8,FALSE),"0")</f>
        <v>0</v>
      </c>
      <c r="P3583" s="33">
        <f t="shared" si="220"/>
        <v>0</v>
      </c>
      <c r="Q3583" s="31" t="str">
        <f t="shared" si="221"/>
        <v/>
      </c>
      <c r="R3583" s="32" t="str">
        <f>IFERROR(VLOOKUP($D3583,'Informations sur les produits'!$A$3:$B$15000,2,FALSE),"")</f>
        <v/>
      </c>
      <c r="V3583">
        <f t="shared" si="222"/>
        <v>0</v>
      </c>
      <c r="W3583">
        <f t="shared" si="223"/>
        <v>0</v>
      </c>
    </row>
    <row r="3584" spans="5:23" x14ac:dyDescent="0.25">
      <c r="E3584" s="4"/>
      <c r="F3584" s="4"/>
      <c r="G3584" s="33" t="str">
        <f>IFERROR(VLOOKUP($D3584,'Informations sur les produits'!$A$3:$H$10000,8,FALSE),"0")</f>
        <v>0</v>
      </c>
      <c r="K3584" s="4"/>
      <c r="L3584" s="33" t="str">
        <f>IFERROR(VLOOKUP($J3584,'Informations sur les produits'!$A$3:$H$10000,8,FALSE),"0")</f>
        <v>0</v>
      </c>
      <c r="N3584" s="8"/>
      <c r="O3584" s="33" t="str">
        <f>IFERROR(VLOOKUP($M3584,'Informations sur les produits'!$A$3:$H$10000,8,FALSE),"0")</f>
        <v>0</v>
      </c>
      <c r="P3584" s="33">
        <f t="shared" si="220"/>
        <v>0</v>
      </c>
      <c r="Q3584" s="31" t="str">
        <f t="shared" si="221"/>
        <v/>
      </c>
      <c r="R3584" s="32" t="str">
        <f>IFERROR(VLOOKUP($D3584,'Informations sur les produits'!$A$3:$B$15000,2,FALSE),"")</f>
        <v/>
      </c>
      <c r="V3584">
        <f t="shared" si="222"/>
        <v>0</v>
      </c>
      <c r="W3584">
        <f t="shared" si="223"/>
        <v>0</v>
      </c>
    </row>
    <row r="3585" spans="5:23" x14ac:dyDescent="0.25">
      <c r="E3585" s="4"/>
      <c r="F3585" s="4"/>
      <c r="G3585" s="33" t="str">
        <f>IFERROR(VLOOKUP($D3585,'Informations sur les produits'!$A$3:$H$10000,8,FALSE),"0")</f>
        <v>0</v>
      </c>
      <c r="K3585" s="4"/>
      <c r="L3585" s="33" t="str">
        <f>IFERROR(VLOOKUP($J3585,'Informations sur les produits'!$A$3:$H$10000,8,FALSE),"0")</f>
        <v>0</v>
      </c>
      <c r="N3585" s="8"/>
      <c r="O3585" s="33" t="str">
        <f>IFERROR(VLOOKUP($M3585,'Informations sur les produits'!$A$3:$H$10000,8,FALSE),"0")</f>
        <v>0</v>
      </c>
      <c r="P3585" s="33">
        <f t="shared" si="220"/>
        <v>0</v>
      </c>
      <c r="Q3585" s="31" t="str">
        <f t="shared" si="221"/>
        <v/>
      </c>
      <c r="R3585" s="32" t="str">
        <f>IFERROR(VLOOKUP($D3585,'Informations sur les produits'!$A$3:$B$15000,2,FALSE),"")</f>
        <v/>
      </c>
      <c r="V3585">
        <f t="shared" si="222"/>
        <v>0</v>
      </c>
      <c r="W3585">
        <f t="shared" si="223"/>
        <v>0</v>
      </c>
    </row>
    <row r="3586" spans="5:23" x14ac:dyDescent="0.25">
      <c r="E3586" s="4"/>
      <c r="F3586" s="4"/>
      <c r="G3586" s="33" t="str">
        <f>IFERROR(VLOOKUP($D3586,'Informations sur les produits'!$A$3:$H$10000,8,FALSE),"0")</f>
        <v>0</v>
      </c>
      <c r="K3586" s="4"/>
      <c r="L3586" s="33" t="str">
        <f>IFERROR(VLOOKUP($J3586,'Informations sur les produits'!$A$3:$H$10000,8,FALSE),"0")</f>
        <v>0</v>
      </c>
      <c r="N3586" s="8"/>
      <c r="O3586" s="33" t="str">
        <f>IFERROR(VLOOKUP($M3586,'Informations sur les produits'!$A$3:$H$10000,8,FALSE),"0")</f>
        <v>0</v>
      </c>
      <c r="P3586" s="33">
        <f t="shared" si="220"/>
        <v>0</v>
      </c>
      <c r="Q3586" s="31" t="str">
        <f t="shared" si="221"/>
        <v/>
      </c>
      <c r="R3586" s="32" t="str">
        <f>IFERROR(VLOOKUP($D3586,'Informations sur les produits'!$A$3:$B$15000,2,FALSE),"")</f>
        <v/>
      </c>
      <c r="V3586">
        <f t="shared" si="222"/>
        <v>0</v>
      </c>
      <c r="W3586">
        <f t="shared" si="223"/>
        <v>0</v>
      </c>
    </row>
    <row r="3587" spans="5:23" x14ac:dyDescent="0.25">
      <c r="E3587" s="4"/>
      <c r="F3587" s="4"/>
      <c r="G3587" s="33" t="str">
        <f>IFERROR(VLOOKUP($D3587,'Informations sur les produits'!$A$3:$H$10000,8,FALSE),"0")</f>
        <v>0</v>
      </c>
      <c r="K3587" s="4"/>
      <c r="L3587" s="33" t="str">
        <f>IFERROR(VLOOKUP($J3587,'Informations sur les produits'!$A$3:$H$10000,8,FALSE),"0")</f>
        <v>0</v>
      </c>
      <c r="N3587" s="8"/>
      <c r="O3587" s="33" t="str">
        <f>IFERROR(VLOOKUP($M3587,'Informations sur les produits'!$A$3:$H$10000,8,FALSE),"0")</f>
        <v>0</v>
      </c>
      <c r="P3587" s="33">
        <f t="shared" si="220"/>
        <v>0</v>
      </c>
      <c r="Q3587" s="31" t="str">
        <f t="shared" si="221"/>
        <v/>
      </c>
      <c r="R3587" s="32" t="str">
        <f>IFERROR(VLOOKUP($D3587,'Informations sur les produits'!$A$3:$B$15000,2,FALSE),"")</f>
        <v/>
      </c>
      <c r="V3587">
        <f t="shared" si="222"/>
        <v>0</v>
      </c>
      <c r="W3587">
        <f t="shared" si="223"/>
        <v>0</v>
      </c>
    </row>
    <row r="3588" spans="5:23" x14ac:dyDescent="0.25">
      <c r="E3588" s="4"/>
      <c r="F3588" s="4"/>
      <c r="G3588" s="33" t="str">
        <f>IFERROR(VLOOKUP($D3588,'Informations sur les produits'!$A$3:$H$10000,8,FALSE),"0")</f>
        <v>0</v>
      </c>
      <c r="K3588" s="4"/>
      <c r="L3588" s="33" t="str">
        <f>IFERROR(VLOOKUP($J3588,'Informations sur les produits'!$A$3:$H$10000,8,FALSE),"0")</f>
        <v>0</v>
      </c>
      <c r="N3588" s="8"/>
      <c r="O3588" s="33" t="str">
        <f>IFERROR(VLOOKUP($M3588,'Informations sur les produits'!$A$3:$H$10000,8,FALSE),"0")</f>
        <v>0</v>
      </c>
      <c r="P3588" s="33">
        <f t="shared" ref="P3588:P3651" si="224">IFERROR((($E3588-$F3588)*$G3588+$K3588*$L3588+$N3588*$O3588),"")</f>
        <v>0</v>
      </c>
      <c r="Q3588" s="31" t="str">
        <f t="shared" ref="Q3588:Q3651" si="225">IFERROR((((($E3588-$F3588)*$G3588+$K3588*$L3588+$N3588*$O3588)*1000)/(($E3588-$F3588)+$K3588+$N3588)),"")</f>
        <v/>
      </c>
      <c r="R3588" s="32" t="str">
        <f>IFERROR(VLOOKUP($D3588,'Informations sur les produits'!$A$3:$B$15000,2,FALSE),"")</f>
        <v/>
      </c>
      <c r="V3588">
        <f t="shared" ref="V3588:V3651" si="226">IFERROR(P3588*1000,"")</f>
        <v>0</v>
      </c>
      <c r="W3588">
        <f t="shared" ref="W3588:W3651" si="227">IFERROR(($E3588-$F3588)+$K3588+$N3588,"")</f>
        <v>0</v>
      </c>
    </row>
    <row r="3589" spans="5:23" x14ac:dyDescent="0.25">
      <c r="E3589" s="4"/>
      <c r="F3589" s="4"/>
      <c r="G3589" s="33" t="str">
        <f>IFERROR(VLOOKUP($D3589,'Informations sur les produits'!$A$3:$H$10000,8,FALSE),"0")</f>
        <v>0</v>
      </c>
      <c r="K3589" s="4"/>
      <c r="L3589" s="33" t="str">
        <f>IFERROR(VLOOKUP($J3589,'Informations sur les produits'!$A$3:$H$10000,8,FALSE),"0")</f>
        <v>0</v>
      </c>
      <c r="N3589" s="8"/>
      <c r="O3589" s="33" t="str">
        <f>IFERROR(VLOOKUP($M3589,'Informations sur les produits'!$A$3:$H$10000,8,FALSE),"0")</f>
        <v>0</v>
      </c>
      <c r="P3589" s="33">
        <f t="shared" si="224"/>
        <v>0</v>
      </c>
      <c r="Q3589" s="31" t="str">
        <f t="shared" si="225"/>
        <v/>
      </c>
      <c r="R3589" s="32" t="str">
        <f>IFERROR(VLOOKUP($D3589,'Informations sur les produits'!$A$3:$B$15000,2,FALSE),"")</f>
        <v/>
      </c>
      <c r="V3589">
        <f t="shared" si="226"/>
        <v>0</v>
      </c>
      <c r="W3589">
        <f t="shared" si="227"/>
        <v>0</v>
      </c>
    </row>
    <row r="3590" spans="5:23" x14ac:dyDescent="0.25">
      <c r="E3590" s="4"/>
      <c r="F3590" s="4"/>
      <c r="G3590" s="33" t="str">
        <f>IFERROR(VLOOKUP($D3590,'Informations sur les produits'!$A$3:$H$10000,8,FALSE),"0")</f>
        <v>0</v>
      </c>
      <c r="K3590" s="4"/>
      <c r="L3590" s="33" t="str">
        <f>IFERROR(VLOOKUP($J3590,'Informations sur les produits'!$A$3:$H$10000,8,FALSE),"0")</f>
        <v>0</v>
      </c>
      <c r="N3590" s="8"/>
      <c r="O3590" s="33" t="str">
        <f>IFERROR(VLOOKUP($M3590,'Informations sur les produits'!$A$3:$H$10000,8,FALSE),"0")</f>
        <v>0</v>
      </c>
      <c r="P3590" s="33">
        <f t="shared" si="224"/>
        <v>0</v>
      </c>
      <c r="Q3590" s="31" t="str">
        <f t="shared" si="225"/>
        <v/>
      </c>
      <c r="R3590" s="32" t="str">
        <f>IFERROR(VLOOKUP($D3590,'Informations sur les produits'!$A$3:$B$15000,2,FALSE),"")</f>
        <v/>
      </c>
      <c r="V3590">
        <f t="shared" si="226"/>
        <v>0</v>
      </c>
      <c r="W3590">
        <f t="shared" si="227"/>
        <v>0</v>
      </c>
    </row>
    <row r="3591" spans="5:23" x14ac:dyDescent="0.25">
      <c r="E3591" s="4"/>
      <c r="F3591" s="4"/>
      <c r="G3591" s="33" t="str">
        <f>IFERROR(VLOOKUP($D3591,'Informations sur les produits'!$A$3:$H$10000,8,FALSE),"0")</f>
        <v>0</v>
      </c>
      <c r="K3591" s="4"/>
      <c r="L3591" s="33" t="str">
        <f>IFERROR(VLOOKUP($J3591,'Informations sur les produits'!$A$3:$H$10000,8,FALSE),"0")</f>
        <v>0</v>
      </c>
      <c r="N3591" s="8"/>
      <c r="O3591" s="33" t="str">
        <f>IFERROR(VLOOKUP($M3591,'Informations sur les produits'!$A$3:$H$10000,8,FALSE),"0")</f>
        <v>0</v>
      </c>
      <c r="P3591" s="33">
        <f t="shared" si="224"/>
        <v>0</v>
      </c>
      <c r="Q3591" s="31" t="str">
        <f t="shared" si="225"/>
        <v/>
      </c>
      <c r="R3591" s="32" t="str">
        <f>IFERROR(VLOOKUP($D3591,'Informations sur les produits'!$A$3:$B$15000,2,FALSE),"")</f>
        <v/>
      </c>
      <c r="V3591">
        <f t="shared" si="226"/>
        <v>0</v>
      </c>
      <c r="W3591">
        <f t="shared" si="227"/>
        <v>0</v>
      </c>
    </row>
    <row r="3592" spans="5:23" x14ac:dyDescent="0.25">
      <c r="E3592" s="4"/>
      <c r="F3592" s="4"/>
      <c r="G3592" s="33" t="str">
        <f>IFERROR(VLOOKUP($D3592,'Informations sur les produits'!$A$3:$H$10000,8,FALSE),"0")</f>
        <v>0</v>
      </c>
      <c r="K3592" s="4"/>
      <c r="L3592" s="33" t="str">
        <f>IFERROR(VLOOKUP($J3592,'Informations sur les produits'!$A$3:$H$10000,8,FALSE),"0")</f>
        <v>0</v>
      </c>
      <c r="N3592" s="8"/>
      <c r="O3592" s="33" t="str">
        <f>IFERROR(VLOOKUP($M3592,'Informations sur les produits'!$A$3:$H$10000,8,FALSE),"0")</f>
        <v>0</v>
      </c>
      <c r="P3592" s="33">
        <f t="shared" si="224"/>
        <v>0</v>
      </c>
      <c r="Q3592" s="31" t="str">
        <f t="shared" si="225"/>
        <v/>
      </c>
      <c r="R3592" s="32" t="str">
        <f>IFERROR(VLOOKUP($D3592,'Informations sur les produits'!$A$3:$B$15000,2,FALSE),"")</f>
        <v/>
      </c>
      <c r="V3592">
        <f t="shared" si="226"/>
        <v>0</v>
      </c>
      <c r="W3592">
        <f t="shared" si="227"/>
        <v>0</v>
      </c>
    </row>
    <row r="3593" spans="5:23" x14ac:dyDescent="0.25">
      <c r="E3593" s="4"/>
      <c r="F3593" s="4"/>
      <c r="G3593" s="33" t="str">
        <f>IFERROR(VLOOKUP($D3593,'Informations sur les produits'!$A$3:$H$10000,8,FALSE),"0")</f>
        <v>0</v>
      </c>
      <c r="K3593" s="4"/>
      <c r="L3593" s="33" t="str">
        <f>IFERROR(VLOOKUP($J3593,'Informations sur les produits'!$A$3:$H$10000,8,FALSE),"0")</f>
        <v>0</v>
      </c>
      <c r="N3593" s="8"/>
      <c r="O3593" s="33" t="str">
        <f>IFERROR(VLOOKUP($M3593,'Informations sur les produits'!$A$3:$H$10000,8,FALSE),"0")</f>
        <v>0</v>
      </c>
      <c r="P3593" s="33">
        <f t="shared" si="224"/>
        <v>0</v>
      </c>
      <c r="Q3593" s="31" t="str">
        <f t="shared" si="225"/>
        <v/>
      </c>
      <c r="R3593" s="32" t="str">
        <f>IFERROR(VLOOKUP($D3593,'Informations sur les produits'!$A$3:$B$15000,2,FALSE),"")</f>
        <v/>
      </c>
      <c r="V3593">
        <f t="shared" si="226"/>
        <v>0</v>
      </c>
      <c r="W3593">
        <f t="shared" si="227"/>
        <v>0</v>
      </c>
    </row>
    <row r="3594" spans="5:23" x14ac:dyDescent="0.25">
      <c r="E3594" s="4"/>
      <c r="F3594" s="4"/>
      <c r="G3594" s="33" t="str">
        <f>IFERROR(VLOOKUP($D3594,'Informations sur les produits'!$A$3:$H$10000,8,FALSE),"0")</f>
        <v>0</v>
      </c>
      <c r="K3594" s="4"/>
      <c r="L3594" s="33" t="str">
        <f>IFERROR(VLOOKUP($J3594,'Informations sur les produits'!$A$3:$H$10000,8,FALSE),"0")</f>
        <v>0</v>
      </c>
      <c r="N3594" s="8"/>
      <c r="O3594" s="33" t="str">
        <f>IFERROR(VLOOKUP($M3594,'Informations sur les produits'!$A$3:$H$10000,8,FALSE),"0")</f>
        <v>0</v>
      </c>
      <c r="P3594" s="33">
        <f t="shared" si="224"/>
        <v>0</v>
      </c>
      <c r="Q3594" s="31" t="str">
        <f t="shared" si="225"/>
        <v/>
      </c>
      <c r="R3594" s="32" t="str">
        <f>IFERROR(VLOOKUP($D3594,'Informations sur les produits'!$A$3:$B$15000,2,FALSE),"")</f>
        <v/>
      </c>
      <c r="V3594">
        <f t="shared" si="226"/>
        <v>0</v>
      </c>
      <c r="W3594">
        <f t="shared" si="227"/>
        <v>0</v>
      </c>
    </row>
    <row r="3595" spans="5:23" x14ac:dyDescent="0.25">
      <c r="E3595" s="4"/>
      <c r="F3595" s="4"/>
      <c r="G3595" s="33" t="str">
        <f>IFERROR(VLOOKUP($D3595,'Informations sur les produits'!$A$3:$H$10000,8,FALSE),"0")</f>
        <v>0</v>
      </c>
      <c r="K3595" s="4"/>
      <c r="L3595" s="33" t="str">
        <f>IFERROR(VLOOKUP($J3595,'Informations sur les produits'!$A$3:$H$10000,8,FALSE),"0")</f>
        <v>0</v>
      </c>
      <c r="N3595" s="8"/>
      <c r="O3595" s="33" t="str">
        <f>IFERROR(VLOOKUP($M3595,'Informations sur les produits'!$A$3:$H$10000,8,FALSE),"0")</f>
        <v>0</v>
      </c>
      <c r="P3595" s="33">
        <f t="shared" si="224"/>
        <v>0</v>
      </c>
      <c r="Q3595" s="31" t="str">
        <f t="shared" si="225"/>
        <v/>
      </c>
      <c r="R3595" s="32" t="str">
        <f>IFERROR(VLOOKUP($D3595,'Informations sur les produits'!$A$3:$B$15000,2,FALSE),"")</f>
        <v/>
      </c>
      <c r="V3595">
        <f t="shared" si="226"/>
        <v>0</v>
      </c>
      <c r="W3595">
        <f t="shared" si="227"/>
        <v>0</v>
      </c>
    </row>
    <row r="3596" spans="5:23" x14ac:dyDescent="0.25">
      <c r="E3596" s="4"/>
      <c r="F3596" s="4"/>
      <c r="G3596" s="33" t="str">
        <f>IFERROR(VLOOKUP($D3596,'Informations sur les produits'!$A$3:$H$10000,8,FALSE),"0")</f>
        <v>0</v>
      </c>
      <c r="K3596" s="4"/>
      <c r="L3596" s="33" t="str">
        <f>IFERROR(VLOOKUP($J3596,'Informations sur les produits'!$A$3:$H$10000,8,FALSE),"0")</f>
        <v>0</v>
      </c>
      <c r="N3596" s="8"/>
      <c r="O3596" s="33" t="str">
        <f>IFERROR(VLOOKUP($M3596,'Informations sur les produits'!$A$3:$H$10000,8,FALSE),"0")</f>
        <v>0</v>
      </c>
      <c r="P3596" s="33">
        <f t="shared" si="224"/>
        <v>0</v>
      </c>
      <c r="Q3596" s="31" t="str">
        <f t="shared" si="225"/>
        <v/>
      </c>
      <c r="R3596" s="32" t="str">
        <f>IFERROR(VLOOKUP($D3596,'Informations sur les produits'!$A$3:$B$15000,2,FALSE),"")</f>
        <v/>
      </c>
      <c r="V3596">
        <f t="shared" si="226"/>
        <v>0</v>
      </c>
      <c r="W3596">
        <f t="shared" si="227"/>
        <v>0</v>
      </c>
    </row>
    <row r="3597" spans="5:23" x14ac:dyDescent="0.25">
      <c r="E3597" s="4"/>
      <c r="F3597" s="4"/>
      <c r="G3597" s="33" t="str">
        <f>IFERROR(VLOOKUP($D3597,'Informations sur les produits'!$A$3:$H$10000,8,FALSE),"0")</f>
        <v>0</v>
      </c>
      <c r="K3597" s="4"/>
      <c r="L3597" s="33" t="str">
        <f>IFERROR(VLOOKUP($J3597,'Informations sur les produits'!$A$3:$H$10000,8,FALSE),"0")</f>
        <v>0</v>
      </c>
      <c r="N3597" s="8"/>
      <c r="O3597" s="33" t="str">
        <f>IFERROR(VLOOKUP($M3597,'Informations sur les produits'!$A$3:$H$10000,8,FALSE),"0")</f>
        <v>0</v>
      </c>
      <c r="P3597" s="33">
        <f t="shared" si="224"/>
        <v>0</v>
      </c>
      <c r="Q3597" s="31" t="str">
        <f t="shared" si="225"/>
        <v/>
      </c>
      <c r="R3597" s="32" t="str">
        <f>IFERROR(VLOOKUP($D3597,'Informations sur les produits'!$A$3:$B$15000,2,FALSE),"")</f>
        <v/>
      </c>
      <c r="V3597">
        <f t="shared" si="226"/>
        <v>0</v>
      </c>
      <c r="W3597">
        <f t="shared" si="227"/>
        <v>0</v>
      </c>
    </row>
    <row r="3598" spans="5:23" x14ac:dyDescent="0.25">
      <c r="E3598" s="4"/>
      <c r="F3598" s="4"/>
      <c r="G3598" s="33" t="str">
        <f>IFERROR(VLOOKUP($D3598,'Informations sur les produits'!$A$3:$H$10000,8,FALSE),"0")</f>
        <v>0</v>
      </c>
      <c r="K3598" s="4"/>
      <c r="L3598" s="33" t="str">
        <f>IFERROR(VLOOKUP($J3598,'Informations sur les produits'!$A$3:$H$10000,8,FALSE),"0")</f>
        <v>0</v>
      </c>
      <c r="N3598" s="8"/>
      <c r="O3598" s="33" t="str">
        <f>IFERROR(VLOOKUP($M3598,'Informations sur les produits'!$A$3:$H$10000,8,FALSE),"0")</f>
        <v>0</v>
      </c>
      <c r="P3598" s="33">
        <f t="shared" si="224"/>
        <v>0</v>
      </c>
      <c r="Q3598" s="31" t="str">
        <f t="shared" si="225"/>
        <v/>
      </c>
      <c r="R3598" s="32" t="str">
        <f>IFERROR(VLOOKUP($D3598,'Informations sur les produits'!$A$3:$B$15000,2,FALSE),"")</f>
        <v/>
      </c>
      <c r="V3598">
        <f t="shared" si="226"/>
        <v>0</v>
      </c>
      <c r="W3598">
        <f t="shared" si="227"/>
        <v>0</v>
      </c>
    </row>
    <row r="3599" spans="5:23" x14ac:dyDescent="0.25">
      <c r="E3599" s="4"/>
      <c r="F3599" s="4"/>
      <c r="G3599" s="33" t="str">
        <f>IFERROR(VLOOKUP($D3599,'Informations sur les produits'!$A$3:$H$10000,8,FALSE),"0")</f>
        <v>0</v>
      </c>
      <c r="K3599" s="4"/>
      <c r="L3599" s="33" t="str">
        <f>IFERROR(VLOOKUP($J3599,'Informations sur les produits'!$A$3:$H$10000,8,FALSE),"0")</f>
        <v>0</v>
      </c>
      <c r="N3599" s="8"/>
      <c r="O3599" s="33" t="str">
        <f>IFERROR(VLOOKUP($M3599,'Informations sur les produits'!$A$3:$H$10000,8,FALSE),"0")</f>
        <v>0</v>
      </c>
      <c r="P3599" s="33">
        <f t="shared" si="224"/>
        <v>0</v>
      </c>
      <c r="Q3599" s="31" t="str">
        <f t="shared" si="225"/>
        <v/>
      </c>
      <c r="R3599" s="32" t="str">
        <f>IFERROR(VLOOKUP($D3599,'Informations sur les produits'!$A$3:$B$15000,2,FALSE),"")</f>
        <v/>
      </c>
      <c r="V3599">
        <f t="shared" si="226"/>
        <v>0</v>
      </c>
      <c r="W3599">
        <f t="shared" si="227"/>
        <v>0</v>
      </c>
    </row>
    <row r="3600" spans="5:23" x14ac:dyDescent="0.25">
      <c r="E3600" s="4"/>
      <c r="F3600" s="4"/>
      <c r="G3600" s="33" t="str">
        <f>IFERROR(VLOOKUP($D3600,'Informations sur les produits'!$A$3:$H$10000,8,FALSE),"0")</f>
        <v>0</v>
      </c>
      <c r="K3600" s="4"/>
      <c r="L3600" s="33" t="str">
        <f>IFERROR(VLOOKUP($J3600,'Informations sur les produits'!$A$3:$H$10000,8,FALSE),"0")</f>
        <v>0</v>
      </c>
      <c r="N3600" s="8"/>
      <c r="O3600" s="33" t="str">
        <f>IFERROR(VLOOKUP($M3600,'Informations sur les produits'!$A$3:$H$10000,8,FALSE),"0")</f>
        <v>0</v>
      </c>
      <c r="P3600" s="33">
        <f t="shared" si="224"/>
        <v>0</v>
      </c>
      <c r="Q3600" s="31" t="str">
        <f t="shared" si="225"/>
        <v/>
      </c>
      <c r="R3600" s="32" t="str">
        <f>IFERROR(VLOOKUP($D3600,'Informations sur les produits'!$A$3:$B$15000,2,FALSE),"")</f>
        <v/>
      </c>
      <c r="V3600">
        <f t="shared" si="226"/>
        <v>0</v>
      </c>
      <c r="W3600">
        <f t="shared" si="227"/>
        <v>0</v>
      </c>
    </row>
    <row r="3601" spans="5:23" x14ac:dyDescent="0.25">
      <c r="E3601" s="4"/>
      <c r="F3601" s="4"/>
      <c r="G3601" s="33" t="str">
        <f>IFERROR(VLOOKUP($D3601,'Informations sur les produits'!$A$3:$H$10000,8,FALSE),"0")</f>
        <v>0</v>
      </c>
      <c r="K3601" s="4"/>
      <c r="L3601" s="33" t="str">
        <f>IFERROR(VLOOKUP($J3601,'Informations sur les produits'!$A$3:$H$10000,8,FALSE),"0")</f>
        <v>0</v>
      </c>
      <c r="N3601" s="8"/>
      <c r="O3601" s="33" t="str">
        <f>IFERROR(VLOOKUP($M3601,'Informations sur les produits'!$A$3:$H$10000,8,FALSE),"0")</f>
        <v>0</v>
      </c>
      <c r="P3601" s="33">
        <f t="shared" si="224"/>
        <v>0</v>
      </c>
      <c r="Q3601" s="31" t="str">
        <f t="shared" si="225"/>
        <v/>
      </c>
      <c r="R3601" s="32" t="str">
        <f>IFERROR(VLOOKUP($D3601,'Informations sur les produits'!$A$3:$B$15000,2,FALSE),"")</f>
        <v/>
      </c>
      <c r="V3601">
        <f t="shared" si="226"/>
        <v>0</v>
      </c>
      <c r="W3601">
        <f t="shared" si="227"/>
        <v>0</v>
      </c>
    </row>
    <row r="3602" spans="5:23" x14ac:dyDescent="0.25">
      <c r="E3602" s="4"/>
      <c r="F3602" s="4"/>
      <c r="G3602" s="33" t="str">
        <f>IFERROR(VLOOKUP($D3602,'Informations sur les produits'!$A$3:$H$10000,8,FALSE),"0")</f>
        <v>0</v>
      </c>
      <c r="K3602" s="4"/>
      <c r="L3602" s="33" t="str">
        <f>IFERROR(VLOOKUP($J3602,'Informations sur les produits'!$A$3:$H$10000,8,FALSE),"0")</f>
        <v>0</v>
      </c>
      <c r="N3602" s="8"/>
      <c r="O3602" s="33" t="str">
        <f>IFERROR(VLOOKUP($M3602,'Informations sur les produits'!$A$3:$H$10000,8,FALSE),"0")</f>
        <v>0</v>
      </c>
      <c r="P3602" s="33">
        <f t="shared" si="224"/>
        <v>0</v>
      </c>
      <c r="Q3602" s="31" t="str">
        <f t="shared" si="225"/>
        <v/>
      </c>
      <c r="R3602" s="32" t="str">
        <f>IFERROR(VLOOKUP($D3602,'Informations sur les produits'!$A$3:$B$15000,2,FALSE),"")</f>
        <v/>
      </c>
      <c r="V3602">
        <f t="shared" si="226"/>
        <v>0</v>
      </c>
      <c r="W3602">
        <f t="shared" si="227"/>
        <v>0</v>
      </c>
    </row>
    <row r="3603" spans="5:23" x14ac:dyDescent="0.25">
      <c r="E3603" s="4"/>
      <c r="F3603" s="4"/>
      <c r="G3603" s="33" t="str">
        <f>IFERROR(VLOOKUP($D3603,'Informations sur les produits'!$A$3:$H$10000,8,FALSE),"0")</f>
        <v>0</v>
      </c>
      <c r="K3603" s="4"/>
      <c r="L3603" s="33" t="str">
        <f>IFERROR(VLOOKUP($J3603,'Informations sur les produits'!$A$3:$H$10000,8,FALSE),"0")</f>
        <v>0</v>
      </c>
      <c r="N3603" s="8"/>
      <c r="O3603" s="33" t="str">
        <f>IFERROR(VLOOKUP($M3603,'Informations sur les produits'!$A$3:$H$10000,8,FALSE),"0")</f>
        <v>0</v>
      </c>
      <c r="P3603" s="33">
        <f t="shared" si="224"/>
        <v>0</v>
      </c>
      <c r="Q3603" s="31" t="str">
        <f t="shared" si="225"/>
        <v/>
      </c>
      <c r="R3603" s="32" t="str">
        <f>IFERROR(VLOOKUP($D3603,'Informations sur les produits'!$A$3:$B$15000,2,FALSE),"")</f>
        <v/>
      </c>
      <c r="V3603">
        <f t="shared" si="226"/>
        <v>0</v>
      </c>
      <c r="W3603">
        <f t="shared" si="227"/>
        <v>0</v>
      </c>
    </row>
    <row r="3604" spans="5:23" x14ac:dyDescent="0.25">
      <c r="E3604" s="4"/>
      <c r="F3604" s="4"/>
      <c r="G3604" s="33" t="str">
        <f>IFERROR(VLOOKUP($D3604,'Informations sur les produits'!$A$3:$H$10000,8,FALSE),"0")</f>
        <v>0</v>
      </c>
      <c r="K3604" s="4"/>
      <c r="L3604" s="33" t="str">
        <f>IFERROR(VLOOKUP($J3604,'Informations sur les produits'!$A$3:$H$10000,8,FALSE),"0")</f>
        <v>0</v>
      </c>
      <c r="N3604" s="8"/>
      <c r="O3604" s="33" t="str">
        <f>IFERROR(VLOOKUP($M3604,'Informations sur les produits'!$A$3:$H$10000,8,FALSE),"0")</f>
        <v>0</v>
      </c>
      <c r="P3604" s="33">
        <f t="shared" si="224"/>
        <v>0</v>
      </c>
      <c r="Q3604" s="31" t="str">
        <f t="shared" si="225"/>
        <v/>
      </c>
      <c r="R3604" s="32" t="str">
        <f>IFERROR(VLOOKUP($D3604,'Informations sur les produits'!$A$3:$B$15000,2,FALSE),"")</f>
        <v/>
      </c>
      <c r="V3604">
        <f t="shared" si="226"/>
        <v>0</v>
      </c>
      <c r="W3604">
        <f t="shared" si="227"/>
        <v>0</v>
      </c>
    </row>
    <row r="3605" spans="5:23" x14ac:dyDescent="0.25">
      <c r="E3605" s="4"/>
      <c r="F3605" s="4"/>
      <c r="G3605" s="33" t="str">
        <f>IFERROR(VLOOKUP($D3605,'Informations sur les produits'!$A$3:$H$10000,8,FALSE),"0")</f>
        <v>0</v>
      </c>
      <c r="K3605" s="4"/>
      <c r="L3605" s="33" t="str">
        <f>IFERROR(VLOOKUP($J3605,'Informations sur les produits'!$A$3:$H$10000,8,FALSE),"0")</f>
        <v>0</v>
      </c>
      <c r="N3605" s="8"/>
      <c r="O3605" s="33" t="str">
        <f>IFERROR(VLOOKUP($M3605,'Informations sur les produits'!$A$3:$H$10000,8,FALSE),"0")</f>
        <v>0</v>
      </c>
      <c r="P3605" s="33">
        <f t="shared" si="224"/>
        <v>0</v>
      </c>
      <c r="Q3605" s="31" t="str">
        <f t="shared" si="225"/>
        <v/>
      </c>
      <c r="R3605" s="32" t="str">
        <f>IFERROR(VLOOKUP($D3605,'Informations sur les produits'!$A$3:$B$15000,2,FALSE),"")</f>
        <v/>
      </c>
      <c r="V3605">
        <f t="shared" si="226"/>
        <v>0</v>
      </c>
      <c r="W3605">
        <f t="shared" si="227"/>
        <v>0</v>
      </c>
    </row>
    <row r="3606" spans="5:23" x14ac:dyDescent="0.25">
      <c r="E3606" s="4"/>
      <c r="F3606" s="4"/>
      <c r="G3606" s="33" t="str">
        <f>IFERROR(VLOOKUP($D3606,'Informations sur les produits'!$A$3:$H$10000,8,FALSE),"0")</f>
        <v>0</v>
      </c>
      <c r="K3606" s="4"/>
      <c r="L3606" s="33" t="str">
        <f>IFERROR(VLOOKUP($J3606,'Informations sur les produits'!$A$3:$H$10000,8,FALSE),"0")</f>
        <v>0</v>
      </c>
      <c r="N3606" s="8"/>
      <c r="O3606" s="33" t="str">
        <f>IFERROR(VLOOKUP($M3606,'Informations sur les produits'!$A$3:$H$10000,8,FALSE),"0")</f>
        <v>0</v>
      </c>
      <c r="P3606" s="33">
        <f t="shared" si="224"/>
        <v>0</v>
      </c>
      <c r="Q3606" s="31" t="str">
        <f t="shared" si="225"/>
        <v/>
      </c>
      <c r="R3606" s="32" t="str">
        <f>IFERROR(VLOOKUP($D3606,'Informations sur les produits'!$A$3:$B$15000,2,FALSE),"")</f>
        <v/>
      </c>
      <c r="V3606">
        <f t="shared" si="226"/>
        <v>0</v>
      </c>
      <c r="W3606">
        <f t="shared" si="227"/>
        <v>0</v>
      </c>
    </row>
    <row r="3607" spans="5:23" x14ac:dyDescent="0.25">
      <c r="E3607" s="4"/>
      <c r="F3607" s="4"/>
      <c r="G3607" s="33" t="str">
        <f>IFERROR(VLOOKUP($D3607,'Informations sur les produits'!$A$3:$H$10000,8,FALSE),"0")</f>
        <v>0</v>
      </c>
      <c r="K3607" s="4"/>
      <c r="L3607" s="33" t="str">
        <f>IFERROR(VLOOKUP($J3607,'Informations sur les produits'!$A$3:$H$10000,8,FALSE),"0")</f>
        <v>0</v>
      </c>
      <c r="N3607" s="8"/>
      <c r="O3607" s="33" t="str">
        <f>IFERROR(VLOOKUP($M3607,'Informations sur les produits'!$A$3:$H$10000,8,FALSE),"0")</f>
        <v>0</v>
      </c>
      <c r="P3607" s="33">
        <f t="shared" si="224"/>
        <v>0</v>
      </c>
      <c r="Q3607" s="31" t="str">
        <f t="shared" si="225"/>
        <v/>
      </c>
      <c r="R3607" s="32" t="str">
        <f>IFERROR(VLOOKUP($D3607,'Informations sur les produits'!$A$3:$B$15000,2,FALSE),"")</f>
        <v/>
      </c>
      <c r="V3607">
        <f t="shared" si="226"/>
        <v>0</v>
      </c>
      <c r="W3607">
        <f t="shared" si="227"/>
        <v>0</v>
      </c>
    </row>
    <row r="3608" spans="5:23" x14ac:dyDescent="0.25">
      <c r="E3608" s="4"/>
      <c r="F3608" s="4"/>
      <c r="G3608" s="33" t="str">
        <f>IFERROR(VLOOKUP($D3608,'Informations sur les produits'!$A$3:$H$10000,8,FALSE),"0")</f>
        <v>0</v>
      </c>
      <c r="K3608" s="4"/>
      <c r="L3608" s="33" t="str">
        <f>IFERROR(VLOOKUP($J3608,'Informations sur les produits'!$A$3:$H$10000,8,FALSE),"0")</f>
        <v>0</v>
      </c>
      <c r="N3608" s="8"/>
      <c r="O3608" s="33" t="str">
        <f>IFERROR(VLOOKUP($M3608,'Informations sur les produits'!$A$3:$H$10000,8,FALSE),"0")</f>
        <v>0</v>
      </c>
      <c r="P3608" s="33">
        <f t="shared" si="224"/>
        <v>0</v>
      </c>
      <c r="Q3608" s="31" t="str">
        <f t="shared" si="225"/>
        <v/>
      </c>
      <c r="R3608" s="32" t="str">
        <f>IFERROR(VLOOKUP($D3608,'Informations sur les produits'!$A$3:$B$15000,2,FALSE),"")</f>
        <v/>
      </c>
      <c r="V3608">
        <f t="shared" si="226"/>
        <v>0</v>
      </c>
      <c r="W3608">
        <f t="shared" si="227"/>
        <v>0</v>
      </c>
    </row>
    <row r="3609" spans="5:23" x14ac:dyDescent="0.25">
      <c r="E3609" s="4"/>
      <c r="F3609" s="4"/>
      <c r="G3609" s="33" t="str">
        <f>IFERROR(VLOOKUP($D3609,'Informations sur les produits'!$A$3:$H$10000,8,FALSE),"0")</f>
        <v>0</v>
      </c>
      <c r="K3609" s="4"/>
      <c r="L3609" s="33" t="str">
        <f>IFERROR(VLOOKUP($J3609,'Informations sur les produits'!$A$3:$H$10000,8,FALSE),"0")</f>
        <v>0</v>
      </c>
      <c r="N3609" s="8"/>
      <c r="O3609" s="33" t="str">
        <f>IFERROR(VLOOKUP($M3609,'Informations sur les produits'!$A$3:$H$10000,8,FALSE),"0")</f>
        <v>0</v>
      </c>
      <c r="P3609" s="33">
        <f t="shared" si="224"/>
        <v>0</v>
      </c>
      <c r="Q3609" s="31" t="str">
        <f t="shared" si="225"/>
        <v/>
      </c>
      <c r="R3609" s="32" t="str">
        <f>IFERROR(VLOOKUP($D3609,'Informations sur les produits'!$A$3:$B$15000,2,FALSE),"")</f>
        <v/>
      </c>
      <c r="V3609">
        <f t="shared" si="226"/>
        <v>0</v>
      </c>
      <c r="W3609">
        <f t="shared" si="227"/>
        <v>0</v>
      </c>
    </row>
    <row r="3610" spans="5:23" x14ac:dyDescent="0.25">
      <c r="E3610" s="4"/>
      <c r="F3610" s="4"/>
      <c r="G3610" s="33" t="str">
        <f>IFERROR(VLOOKUP($D3610,'Informations sur les produits'!$A$3:$H$10000,8,FALSE),"0")</f>
        <v>0</v>
      </c>
      <c r="K3610" s="4"/>
      <c r="L3610" s="33" t="str">
        <f>IFERROR(VLOOKUP($J3610,'Informations sur les produits'!$A$3:$H$10000,8,FALSE),"0")</f>
        <v>0</v>
      </c>
      <c r="N3610" s="8"/>
      <c r="O3610" s="33" t="str">
        <f>IFERROR(VLOOKUP($M3610,'Informations sur les produits'!$A$3:$H$10000,8,FALSE),"0")</f>
        <v>0</v>
      </c>
      <c r="P3610" s="33">
        <f t="shared" si="224"/>
        <v>0</v>
      </c>
      <c r="Q3610" s="31" t="str">
        <f t="shared" si="225"/>
        <v/>
      </c>
      <c r="R3610" s="32" t="str">
        <f>IFERROR(VLOOKUP($D3610,'Informations sur les produits'!$A$3:$B$15000,2,FALSE),"")</f>
        <v/>
      </c>
      <c r="V3610">
        <f t="shared" si="226"/>
        <v>0</v>
      </c>
      <c r="W3610">
        <f t="shared" si="227"/>
        <v>0</v>
      </c>
    </row>
    <row r="3611" spans="5:23" x14ac:dyDescent="0.25">
      <c r="E3611" s="4"/>
      <c r="F3611" s="4"/>
      <c r="G3611" s="33" t="str">
        <f>IFERROR(VLOOKUP($D3611,'Informations sur les produits'!$A$3:$H$10000,8,FALSE),"0")</f>
        <v>0</v>
      </c>
      <c r="K3611" s="4"/>
      <c r="L3611" s="33" t="str">
        <f>IFERROR(VLOOKUP($J3611,'Informations sur les produits'!$A$3:$H$10000,8,FALSE),"0")</f>
        <v>0</v>
      </c>
      <c r="N3611" s="8"/>
      <c r="O3611" s="33" t="str">
        <f>IFERROR(VLOOKUP($M3611,'Informations sur les produits'!$A$3:$H$10000,8,FALSE),"0")</f>
        <v>0</v>
      </c>
      <c r="P3611" s="33">
        <f t="shared" si="224"/>
        <v>0</v>
      </c>
      <c r="Q3611" s="31" t="str">
        <f t="shared" si="225"/>
        <v/>
      </c>
      <c r="R3611" s="32" t="str">
        <f>IFERROR(VLOOKUP($D3611,'Informations sur les produits'!$A$3:$B$15000,2,FALSE),"")</f>
        <v/>
      </c>
      <c r="V3611">
        <f t="shared" si="226"/>
        <v>0</v>
      </c>
      <c r="W3611">
        <f t="shared" si="227"/>
        <v>0</v>
      </c>
    </row>
    <row r="3612" spans="5:23" x14ac:dyDescent="0.25">
      <c r="E3612" s="4"/>
      <c r="F3612" s="4"/>
      <c r="G3612" s="33" t="str">
        <f>IFERROR(VLOOKUP($D3612,'Informations sur les produits'!$A$3:$H$10000,8,FALSE),"0")</f>
        <v>0</v>
      </c>
      <c r="K3612" s="4"/>
      <c r="L3612" s="33" t="str">
        <f>IFERROR(VLOOKUP($J3612,'Informations sur les produits'!$A$3:$H$10000,8,FALSE),"0")</f>
        <v>0</v>
      </c>
      <c r="N3612" s="8"/>
      <c r="O3612" s="33" t="str">
        <f>IFERROR(VLOOKUP($M3612,'Informations sur les produits'!$A$3:$H$10000,8,FALSE),"0")</f>
        <v>0</v>
      </c>
      <c r="P3612" s="33">
        <f t="shared" si="224"/>
        <v>0</v>
      </c>
      <c r="Q3612" s="31" t="str">
        <f t="shared" si="225"/>
        <v/>
      </c>
      <c r="R3612" s="32" t="str">
        <f>IFERROR(VLOOKUP($D3612,'Informations sur les produits'!$A$3:$B$15000,2,FALSE),"")</f>
        <v/>
      </c>
      <c r="V3612">
        <f t="shared" si="226"/>
        <v>0</v>
      </c>
      <c r="W3612">
        <f t="shared" si="227"/>
        <v>0</v>
      </c>
    </row>
    <row r="3613" spans="5:23" x14ac:dyDescent="0.25">
      <c r="E3613" s="4"/>
      <c r="F3613" s="4"/>
      <c r="G3613" s="33" t="str">
        <f>IFERROR(VLOOKUP($D3613,'Informations sur les produits'!$A$3:$H$10000,8,FALSE),"0")</f>
        <v>0</v>
      </c>
      <c r="K3613" s="4"/>
      <c r="L3613" s="33" t="str">
        <f>IFERROR(VLOOKUP($J3613,'Informations sur les produits'!$A$3:$H$10000,8,FALSE),"0")</f>
        <v>0</v>
      </c>
      <c r="N3613" s="8"/>
      <c r="O3613" s="33" t="str">
        <f>IFERROR(VLOOKUP($M3613,'Informations sur les produits'!$A$3:$H$10000,8,FALSE),"0")</f>
        <v>0</v>
      </c>
      <c r="P3613" s="33">
        <f t="shared" si="224"/>
        <v>0</v>
      </c>
      <c r="Q3613" s="31" t="str">
        <f t="shared" si="225"/>
        <v/>
      </c>
      <c r="R3613" s="32" t="str">
        <f>IFERROR(VLOOKUP($D3613,'Informations sur les produits'!$A$3:$B$15000,2,FALSE),"")</f>
        <v/>
      </c>
      <c r="V3613">
        <f t="shared" si="226"/>
        <v>0</v>
      </c>
      <c r="W3613">
        <f t="shared" si="227"/>
        <v>0</v>
      </c>
    </row>
    <row r="3614" spans="5:23" x14ac:dyDescent="0.25">
      <c r="E3614" s="4"/>
      <c r="F3614" s="4"/>
      <c r="G3614" s="33" t="str">
        <f>IFERROR(VLOOKUP($D3614,'Informations sur les produits'!$A$3:$H$10000,8,FALSE),"0")</f>
        <v>0</v>
      </c>
      <c r="K3614" s="4"/>
      <c r="L3614" s="33" t="str">
        <f>IFERROR(VLOOKUP($J3614,'Informations sur les produits'!$A$3:$H$10000,8,FALSE),"0")</f>
        <v>0</v>
      </c>
      <c r="N3614" s="8"/>
      <c r="O3614" s="33" t="str">
        <f>IFERROR(VLOOKUP($M3614,'Informations sur les produits'!$A$3:$H$10000,8,FALSE),"0")</f>
        <v>0</v>
      </c>
      <c r="P3614" s="33">
        <f t="shared" si="224"/>
        <v>0</v>
      </c>
      <c r="Q3614" s="31" t="str">
        <f t="shared" si="225"/>
        <v/>
      </c>
      <c r="R3614" s="32" t="str">
        <f>IFERROR(VLOOKUP($D3614,'Informations sur les produits'!$A$3:$B$15000,2,FALSE),"")</f>
        <v/>
      </c>
      <c r="V3614">
        <f t="shared" si="226"/>
        <v>0</v>
      </c>
      <c r="W3614">
        <f t="shared" si="227"/>
        <v>0</v>
      </c>
    </row>
    <row r="3615" spans="5:23" x14ac:dyDescent="0.25">
      <c r="E3615" s="4"/>
      <c r="F3615" s="4"/>
      <c r="G3615" s="33" t="str">
        <f>IFERROR(VLOOKUP($D3615,'Informations sur les produits'!$A$3:$H$10000,8,FALSE),"0")</f>
        <v>0</v>
      </c>
      <c r="K3615" s="4"/>
      <c r="L3615" s="33" t="str">
        <f>IFERROR(VLOOKUP($J3615,'Informations sur les produits'!$A$3:$H$10000,8,FALSE),"0")</f>
        <v>0</v>
      </c>
      <c r="N3615" s="8"/>
      <c r="O3615" s="33" t="str">
        <f>IFERROR(VLOOKUP($M3615,'Informations sur les produits'!$A$3:$H$10000,8,FALSE),"0")</f>
        <v>0</v>
      </c>
      <c r="P3615" s="33">
        <f t="shared" si="224"/>
        <v>0</v>
      </c>
      <c r="Q3615" s="31" t="str">
        <f t="shared" si="225"/>
        <v/>
      </c>
      <c r="R3615" s="32" t="str">
        <f>IFERROR(VLOOKUP($D3615,'Informations sur les produits'!$A$3:$B$15000,2,FALSE),"")</f>
        <v/>
      </c>
      <c r="V3615">
        <f t="shared" si="226"/>
        <v>0</v>
      </c>
      <c r="W3615">
        <f t="shared" si="227"/>
        <v>0</v>
      </c>
    </row>
    <row r="3616" spans="5:23" x14ac:dyDescent="0.25">
      <c r="E3616" s="4"/>
      <c r="F3616" s="4"/>
      <c r="G3616" s="33" t="str">
        <f>IFERROR(VLOOKUP($D3616,'Informations sur les produits'!$A$3:$H$10000,8,FALSE),"0")</f>
        <v>0</v>
      </c>
      <c r="K3616" s="4"/>
      <c r="L3616" s="33" t="str">
        <f>IFERROR(VLOOKUP($J3616,'Informations sur les produits'!$A$3:$H$10000,8,FALSE),"0")</f>
        <v>0</v>
      </c>
      <c r="N3616" s="8"/>
      <c r="O3616" s="33" t="str">
        <f>IFERROR(VLOOKUP($M3616,'Informations sur les produits'!$A$3:$H$10000,8,FALSE),"0")</f>
        <v>0</v>
      </c>
      <c r="P3616" s="33">
        <f t="shared" si="224"/>
        <v>0</v>
      </c>
      <c r="Q3616" s="31" t="str">
        <f t="shared" si="225"/>
        <v/>
      </c>
      <c r="R3616" s="32" t="str">
        <f>IFERROR(VLOOKUP($D3616,'Informations sur les produits'!$A$3:$B$15000,2,FALSE),"")</f>
        <v/>
      </c>
      <c r="V3616">
        <f t="shared" si="226"/>
        <v>0</v>
      </c>
      <c r="W3616">
        <f t="shared" si="227"/>
        <v>0</v>
      </c>
    </row>
    <row r="3617" spans="5:23" x14ac:dyDescent="0.25">
      <c r="E3617" s="4"/>
      <c r="F3617" s="4"/>
      <c r="G3617" s="33" t="str">
        <f>IFERROR(VLOOKUP($D3617,'Informations sur les produits'!$A$3:$H$10000,8,FALSE),"0")</f>
        <v>0</v>
      </c>
      <c r="K3617" s="4"/>
      <c r="L3617" s="33" t="str">
        <f>IFERROR(VLOOKUP($J3617,'Informations sur les produits'!$A$3:$H$10000,8,FALSE),"0")</f>
        <v>0</v>
      </c>
      <c r="N3617" s="8"/>
      <c r="O3617" s="33" t="str">
        <f>IFERROR(VLOOKUP($M3617,'Informations sur les produits'!$A$3:$H$10000,8,FALSE),"0")</f>
        <v>0</v>
      </c>
      <c r="P3617" s="33">
        <f t="shared" si="224"/>
        <v>0</v>
      </c>
      <c r="Q3617" s="31" t="str">
        <f t="shared" si="225"/>
        <v/>
      </c>
      <c r="R3617" s="32" t="str">
        <f>IFERROR(VLOOKUP($D3617,'Informations sur les produits'!$A$3:$B$15000,2,FALSE),"")</f>
        <v/>
      </c>
      <c r="V3617">
        <f t="shared" si="226"/>
        <v>0</v>
      </c>
      <c r="W3617">
        <f t="shared" si="227"/>
        <v>0</v>
      </c>
    </row>
    <row r="3618" spans="5:23" x14ac:dyDescent="0.25">
      <c r="E3618" s="4"/>
      <c r="F3618" s="4"/>
      <c r="G3618" s="33" t="str">
        <f>IFERROR(VLOOKUP($D3618,'Informations sur les produits'!$A$3:$H$10000,8,FALSE),"0")</f>
        <v>0</v>
      </c>
      <c r="K3618" s="4"/>
      <c r="L3618" s="33" t="str">
        <f>IFERROR(VLOOKUP($J3618,'Informations sur les produits'!$A$3:$H$10000,8,FALSE),"0")</f>
        <v>0</v>
      </c>
      <c r="N3618" s="8"/>
      <c r="O3618" s="33" t="str">
        <f>IFERROR(VLOOKUP($M3618,'Informations sur les produits'!$A$3:$H$10000,8,FALSE),"0")</f>
        <v>0</v>
      </c>
      <c r="P3618" s="33">
        <f t="shared" si="224"/>
        <v>0</v>
      </c>
      <c r="Q3618" s="31" t="str">
        <f t="shared" si="225"/>
        <v/>
      </c>
      <c r="R3618" s="32" t="str">
        <f>IFERROR(VLOOKUP($D3618,'Informations sur les produits'!$A$3:$B$15000,2,FALSE),"")</f>
        <v/>
      </c>
      <c r="V3618">
        <f t="shared" si="226"/>
        <v>0</v>
      </c>
      <c r="W3618">
        <f t="shared" si="227"/>
        <v>0</v>
      </c>
    </row>
    <row r="3619" spans="5:23" x14ac:dyDescent="0.25">
      <c r="E3619" s="4"/>
      <c r="F3619" s="4"/>
      <c r="G3619" s="33" t="str">
        <f>IFERROR(VLOOKUP($D3619,'Informations sur les produits'!$A$3:$H$10000,8,FALSE),"0")</f>
        <v>0</v>
      </c>
      <c r="K3619" s="4"/>
      <c r="L3619" s="33" t="str">
        <f>IFERROR(VLOOKUP($J3619,'Informations sur les produits'!$A$3:$H$10000,8,FALSE),"0")</f>
        <v>0</v>
      </c>
      <c r="N3619" s="8"/>
      <c r="O3619" s="33" t="str">
        <f>IFERROR(VLOOKUP($M3619,'Informations sur les produits'!$A$3:$H$10000,8,FALSE),"0")</f>
        <v>0</v>
      </c>
      <c r="P3619" s="33">
        <f t="shared" si="224"/>
        <v>0</v>
      </c>
      <c r="Q3619" s="31" t="str">
        <f t="shared" si="225"/>
        <v/>
      </c>
      <c r="R3619" s="32" t="str">
        <f>IFERROR(VLOOKUP($D3619,'Informations sur les produits'!$A$3:$B$15000,2,FALSE),"")</f>
        <v/>
      </c>
      <c r="V3619">
        <f t="shared" si="226"/>
        <v>0</v>
      </c>
      <c r="W3619">
        <f t="shared" si="227"/>
        <v>0</v>
      </c>
    </row>
    <row r="3620" spans="5:23" x14ac:dyDescent="0.25">
      <c r="E3620" s="4"/>
      <c r="F3620" s="4"/>
      <c r="G3620" s="33" t="str">
        <f>IFERROR(VLOOKUP($D3620,'Informations sur les produits'!$A$3:$H$10000,8,FALSE),"0")</f>
        <v>0</v>
      </c>
      <c r="K3620" s="4"/>
      <c r="L3620" s="33" t="str">
        <f>IFERROR(VLOOKUP($J3620,'Informations sur les produits'!$A$3:$H$10000,8,FALSE),"0")</f>
        <v>0</v>
      </c>
      <c r="N3620" s="8"/>
      <c r="O3620" s="33" t="str">
        <f>IFERROR(VLOOKUP($M3620,'Informations sur les produits'!$A$3:$H$10000,8,FALSE),"0")</f>
        <v>0</v>
      </c>
      <c r="P3620" s="33">
        <f t="shared" si="224"/>
        <v>0</v>
      </c>
      <c r="Q3620" s="31" t="str">
        <f t="shared" si="225"/>
        <v/>
      </c>
      <c r="R3620" s="32" t="str">
        <f>IFERROR(VLOOKUP($D3620,'Informations sur les produits'!$A$3:$B$15000,2,FALSE),"")</f>
        <v/>
      </c>
      <c r="V3620">
        <f t="shared" si="226"/>
        <v>0</v>
      </c>
      <c r="W3620">
        <f t="shared" si="227"/>
        <v>0</v>
      </c>
    </row>
    <row r="3621" spans="5:23" x14ac:dyDescent="0.25">
      <c r="E3621" s="4"/>
      <c r="F3621" s="4"/>
      <c r="G3621" s="33" t="str">
        <f>IFERROR(VLOOKUP($D3621,'Informations sur les produits'!$A$3:$H$10000,8,FALSE),"0")</f>
        <v>0</v>
      </c>
      <c r="K3621" s="4"/>
      <c r="L3621" s="33" t="str">
        <f>IFERROR(VLOOKUP($J3621,'Informations sur les produits'!$A$3:$H$10000,8,FALSE),"0")</f>
        <v>0</v>
      </c>
      <c r="N3621" s="8"/>
      <c r="O3621" s="33" t="str">
        <f>IFERROR(VLOOKUP($M3621,'Informations sur les produits'!$A$3:$H$10000,8,FALSE),"0")</f>
        <v>0</v>
      </c>
      <c r="P3621" s="33">
        <f t="shared" si="224"/>
        <v>0</v>
      </c>
      <c r="Q3621" s="31" t="str">
        <f t="shared" si="225"/>
        <v/>
      </c>
      <c r="R3621" s="32" t="str">
        <f>IFERROR(VLOOKUP($D3621,'Informations sur les produits'!$A$3:$B$15000,2,FALSE),"")</f>
        <v/>
      </c>
      <c r="V3621">
        <f t="shared" si="226"/>
        <v>0</v>
      </c>
      <c r="W3621">
        <f t="shared" si="227"/>
        <v>0</v>
      </c>
    </row>
    <row r="3622" spans="5:23" x14ac:dyDescent="0.25">
      <c r="E3622" s="4"/>
      <c r="F3622" s="4"/>
      <c r="G3622" s="33" t="str">
        <f>IFERROR(VLOOKUP($D3622,'Informations sur les produits'!$A$3:$H$10000,8,FALSE),"0")</f>
        <v>0</v>
      </c>
      <c r="K3622" s="4"/>
      <c r="L3622" s="33" t="str">
        <f>IFERROR(VLOOKUP($J3622,'Informations sur les produits'!$A$3:$H$10000,8,FALSE),"0")</f>
        <v>0</v>
      </c>
      <c r="N3622" s="8"/>
      <c r="O3622" s="33" t="str">
        <f>IFERROR(VLOOKUP($M3622,'Informations sur les produits'!$A$3:$H$10000,8,FALSE),"0")</f>
        <v>0</v>
      </c>
      <c r="P3622" s="33">
        <f t="shared" si="224"/>
        <v>0</v>
      </c>
      <c r="Q3622" s="31" t="str">
        <f t="shared" si="225"/>
        <v/>
      </c>
      <c r="R3622" s="32" t="str">
        <f>IFERROR(VLOOKUP($D3622,'Informations sur les produits'!$A$3:$B$15000,2,FALSE),"")</f>
        <v/>
      </c>
      <c r="V3622">
        <f t="shared" si="226"/>
        <v>0</v>
      </c>
      <c r="W3622">
        <f t="shared" si="227"/>
        <v>0</v>
      </c>
    </row>
    <row r="3623" spans="5:23" x14ac:dyDescent="0.25">
      <c r="E3623" s="4"/>
      <c r="F3623" s="4"/>
      <c r="G3623" s="33" t="str">
        <f>IFERROR(VLOOKUP($D3623,'Informations sur les produits'!$A$3:$H$10000,8,FALSE),"0")</f>
        <v>0</v>
      </c>
      <c r="K3623" s="4"/>
      <c r="L3623" s="33" t="str">
        <f>IFERROR(VLOOKUP($J3623,'Informations sur les produits'!$A$3:$H$10000,8,FALSE),"0")</f>
        <v>0</v>
      </c>
      <c r="N3623" s="8"/>
      <c r="O3623" s="33" t="str">
        <f>IFERROR(VLOOKUP($M3623,'Informations sur les produits'!$A$3:$H$10000,8,FALSE),"0")</f>
        <v>0</v>
      </c>
      <c r="P3623" s="33">
        <f t="shared" si="224"/>
        <v>0</v>
      </c>
      <c r="Q3623" s="31" t="str">
        <f t="shared" si="225"/>
        <v/>
      </c>
      <c r="R3623" s="32" t="str">
        <f>IFERROR(VLOOKUP($D3623,'Informations sur les produits'!$A$3:$B$15000,2,FALSE),"")</f>
        <v/>
      </c>
      <c r="V3623">
        <f t="shared" si="226"/>
        <v>0</v>
      </c>
      <c r="W3623">
        <f t="shared" si="227"/>
        <v>0</v>
      </c>
    </row>
    <row r="3624" spans="5:23" x14ac:dyDescent="0.25">
      <c r="E3624" s="4"/>
      <c r="F3624" s="4"/>
      <c r="G3624" s="33" t="str">
        <f>IFERROR(VLOOKUP($D3624,'Informations sur les produits'!$A$3:$H$10000,8,FALSE),"0")</f>
        <v>0</v>
      </c>
      <c r="K3624" s="4"/>
      <c r="L3624" s="33" t="str">
        <f>IFERROR(VLOOKUP($J3624,'Informations sur les produits'!$A$3:$H$10000,8,FALSE),"0")</f>
        <v>0</v>
      </c>
      <c r="N3624" s="8"/>
      <c r="O3624" s="33" t="str">
        <f>IFERROR(VLOOKUP($M3624,'Informations sur les produits'!$A$3:$H$10000,8,FALSE),"0")</f>
        <v>0</v>
      </c>
      <c r="P3624" s="33">
        <f t="shared" si="224"/>
        <v>0</v>
      </c>
      <c r="Q3624" s="31" t="str">
        <f t="shared" si="225"/>
        <v/>
      </c>
      <c r="R3624" s="32" t="str">
        <f>IFERROR(VLOOKUP($D3624,'Informations sur les produits'!$A$3:$B$15000,2,FALSE),"")</f>
        <v/>
      </c>
      <c r="V3624">
        <f t="shared" si="226"/>
        <v>0</v>
      </c>
      <c r="W3624">
        <f t="shared" si="227"/>
        <v>0</v>
      </c>
    </row>
    <row r="3625" spans="5:23" x14ac:dyDescent="0.25">
      <c r="E3625" s="4"/>
      <c r="F3625" s="4"/>
      <c r="G3625" s="33" t="str">
        <f>IFERROR(VLOOKUP($D3625,'Informations sur les produits'!$A$3:$H$10000,8,FALSE),"0")</f>
        <v>0</v>
      </c>
      <c r="K3625" s="4"/>
      <c r="L3625" s="33" t="str">
        <f>IFERROR(VLOOKUP($J3625,'Informations sur les produits'!$A$3:$H$10000,8,FALSE),"0")</f>
        <v>0</v>
      </c>
      <c r="N3625" s="8"/>
      <c r="O3625" s="33" t="str">
        <f>IFERROR(VLOOKUP($M3625,'Informations sur les produits'!$A$3:$H$10000,8,FALSE),"0")</f>
        <v>0</v>
      </c>
      <c r="P3625" s="33">
        <f t="shared" si="224"/>
        <v>0</v>
      </c>
      <c r="Q3625" s="31" t="str">
        <f t="shared" si="225"/>
        <v/>
      </c>
      <c r="R3625" s="32" t="str">
        <f>IFERROR(VLOOKUP($D3625,'Informations sur les produits'!$A$3:$B$15000,2,FALSE),"")</f>
        <v/>
      </c>
      <c r="V3625">
        <f t="shared" si="226"/>
        <v>0</v>
      </c>
      <c r="W3625">
        <f t="shared" si="227"/>
        <v>0</v>
      </c>
    </row>
    <row r="3626" spans="5:23" x14ac:dyDescent="0.25">
      <c r="E3626" s="4"/>
      <c r="F3626" s="4"/>
      <c r="G3626" s="33" t="str">
        <f>IFERROR(VLOOKUP($D3626,'Informations sur les produits'!$A$3:$H$10000,8,FALSE),"0")</f>
        <v>0</v>
      </c>
      <c r="K3626" s="4"/>
      <c r="L3626" s="33" t="str">
        <f>IFERROR(VLOOKUP($J3626,'Informations sur les produits'!$A$3:$H$10000,8,FALSE),"0")</f>
        <v>0</v>
      </c>
      <c r="N3626" s="8"/>
      <c r="O3626" s="33" t="str">
        <f>IFERROR(VLOOKUP($M3626,'Informations sur les produits'!$A$3:$H$10000,8,FALSE),"0")</f>
        <v>0</v>
      </c>
      <c r="P3626" s="33">
        <f t="shared" si="224"/>
        <v>0</v>
      </c>
      <c r="Q3626" s="31" t="str">
        <f t="shared" si="225"/>
        <v/>
      </c>
      <c r="R3626" s="32" t="str">
        <f>IFERROR(VLOOKUP($D3626,'Informations sur les produits'!$A$3:$B$15000,2,FALSE),"")</f>
        <v/>
      </c>
      <c r="V3626">
        <f t="shared" si="226"/>
        <v>0</v>
      </c>
      <c r="W3626">
        <f t="shared" si="227"/>
        <v>0</v>
      </c>
    </row>
    <row r="3627" spans="5:23" x14ac:dyDescent="0.25">
      <c r="E3627" s="4"/>
      <c r="F3627" s="4"/>
      <c r="G3627" s="33" t="str">
        <f>IFERROR(VLOOKUP($D3627,'Informations sur les produits'!$A$3:$H$10000,8,FALSE),"0")</f>
        <v>0</v>
      </c>
      <c r="K3627" s="4"/>
      <c r="L3627" s="33" t="str">
        <f>IFERROR(VLOOKUP($J3627,'Informations sur les produits'!$A$3:$H$10000,8,FALSE),"0")</f>
        <v>0</v>
      </c>
      <c r="N3627" s="8"/>
      <c r="O3627" s="33" t="str">
        <f>IFERROR(VLOOKUP($M3627,'Informations sur les produits'!$A$3:$H$10000,8,FALSE),"0")</f>
        <v>0</v>
      </c>
      <c r="P3627" s="33">
        <f t="shared" si="224"/>
        <v>0</v>
      </c>
      <c r="Q3627" s="31" t="str">
        <f t="shared" si="225"/>
        <v/>
      </c>
      <c r="R3627" s="32" t="str">
        <f>IFERROR(VLOOKUP($D3627,'Informations sur les produits'!$A$3:$B$15000,2,FALSE),"")</f>
        <v/>
      </c>
      <c r="V3627">
        <f t="shared" si="226"/>
        <v>0</v>
      </c>
      <c r="W3627">
        <f t="shared" si="227"/>
        <v>0</v>
      </c>
    </row>
    <row r="3628" spans="5:23" x14ac:dyDescent="0.25">
      <c r="E3628" s="4"/>
      <c r="F3628" s="4"/>
      <c r="G3628" s="33" t="str">
        <f>IFERROR(VLOOKUP($D3628,'Informations sur les produits'!$A$3:$H$10000,8,FALSE),"0")</f>
        <v>0</v>
      </c>
      <c r="K3628" s="4"/>
      <c r="L3628" s="33" t="str">
        <f>IFERROR(VLOOKUP($J3628,'Informations sur les produits'!$A$3:$H$10000,8,FALSE),"0")</f>
        <v>0</v>
      </c>
      <c r="N3628" s="8"/>
      <c r="O3628" s="33" t="str">
        <f>IFERROR(VLOOKUP($M3628,'Informations sur les produits'!$A$3:$H$10000,8,FALSE),"0")</f>
        <v>0</v>
      </c>
      <c r="P3628" s="33">
        <f t="shared" si="224"/>
        <v>0</v>
      </c>
      <c r="Q3628" s="31" t="str">
        <f t="shared" si="225"/>
        <v/>
      </c>
      <c r="R3628" s="32" t="str">
        <f>IFERROR(VLOOKUP($D3628,'Informations sur les produits'!$A$3:$B$15000,2,FALSE),"")</f>
        <v/>
      </c>
      <c r="V3628">
        <f t="shared" si="226"/>
        <v>0</v>
      </c>
      <c r="W3628">
        <f t="shared" si="227"/>
        <v>0</v>
      </c>
    </row>
    <row r="3629" spans="5:23" x14ac:dyDescent="0.25">
      <c r="E3629" s="4"/>
      <c r="F3629" s="4"/>
      <c r="G3629" s="33" t="str">
        <f>IFERROR(VLOOKUP($D3629,'Informations sur les produits'!$A$3:$H$10000,8,FALSE),"0")</f>
        <v>0</v>
      </c>
      <c r="K3629" s="4"/>
      <c r="L3629" s="33" t="str">
        <f>IFERROR(VLOOKUP($J3629,'Informations sur les produits'!$A$3:$H$10000,8,FALSE),"0")</f>
        <v>0</v>
      </c>
      <c r="N3629" s="8"/>
      <c r="O3629" s="33" t="str">
        <f>IFERROR(VLOOKUP($M3629,'Informations sur les produits'!$A$3:$H$10000,8,FALSE),"0")</f>
        <v>0</v>
      </c>
      <c r="P3629" s="33">
        <f t="shared" si="224"/>
        <v>0</v>
      </c>
      <c r="Q3629" s="31" t="str">
        <f t="shared" si="225"/>
        <v/>
      </c>
      <c r="R3629" s="32" t="str">
        <f>IFERROR(VLOOKUP($D3629,'Informations sur les produits'!$A$3:$B$15000,2,FALSE),"")</f>
        <v/>
      </c>
      <c r="V3629">
        <f t="shared" si="226"/>
        <v>0</v>
      </c>
      <c r="W3629">
        <f t="shared" si="227"/>
        <v>0</v>
      </c>
    </row>
    <row r="3630" spans="5:23" x14ac:dyDescent="0.25">
      <c r="E3630" s="4"/>
      <c r="F3630" s="4"/>
      <c r="G3630" s="33" t="str">
        <f>IFERROR(VLOOKUP($D3630,'Informations sur les produits'!$A$3:$H$10000,8,FALSE),"0")</f>
        <v>0</v>
      </c>
      <c r="K3630" s="4"/>
      <c r="L3630" s="33" t="str">
        <f>IFERROR(VLOOKUP($J3630,'Informations sur les produits'!$A$3:$H$10000,8,FALSE),"0")</f>
        <v>0</v>
      </c>
      <c r="N3630" s="8"/>
      <c r="O3630" s="33" t="str">
        <f>IFERROR(VLOOKUP($M3630,'Informations sur les produits'!$A$3:$H$10000,8,FALSE),"0")</f>
        <v>0</v>
      </c>
      <c r="P3630" s="33">
        <f t="shared" si="224"/>
        <v>0</v>
      </c>
      <c r="Q3630" s="31" t="str">
        <f t="shared" si="225"/>
        <v/>
      </c>
      <c r="R3630" s="32" t="str">
        <f>IFERROR(VLOOKUP($D3630,'Informations sur les produits'!$A$3:$B$15000,2,FALSE),"")</f>
        <v/>
      </c>
      <c r="V3630">
        <f t="shared" si="226"/>
        <v>0</v>
      </c>
      <c r="W3630">
        <f t="shared" si="227"/>
        <v>0</v>
      </c>
    </row>
    <row r="3631" spans="5:23" x14ac:dyDescent="0.25">
      <c r="E3631" s="4"/>
      <c r="F3631" s="4"/>
      <c r="G3631" s="33" t="str">
        <f>IFERROR(VLOOKUP($D3631,'Informations sur les produits'!$A$3:$H$10000,8,FALSE),"0")</f>
        <v>0</v>
      </c>
      <c r="K3631" s="4"/>
      <c r="L3631" s="33" t="str">
        <f>IFERROR(VLOOKUP($J3631,'Informations sur les produits'!$A$3:$H$10000,8,FALSE),"0")</f>
        <v>0</v>
      </c>
      <c r="N3631" s="8"/>
      <c r="O3631" s="33" t="str">
        <f>IFERROR(VLOOKUP($M3631,'Informations sur les produits'!$A$3:$H$10000,8,FALSE),"0")</f>
        <v>0</v>
      </c>
      <c r="P3631" s="33">
        <f t="shared" si="224"/>
        <v>0</v>
      </c>
      <c r="Q3631" s="31" t="str">
        <f t="shared" si="225"/>
        <v/>
      </c>
      <c r="R3631" s="32" t="str">
        <f>IFERROR(VLOOKUP($D3631,'Informations sur les produits'!$A$3:$B$15000,2,FALSE),"")</f>
        <v/>
      </c>
      <c r="V3631">
        <f t="shared" si="226"/>
        <v>0</v>
      </c>
      <c r="W3631">
        <f t="shared" si="227"/>
        <v>0</v>
      </c>
    </row>
    <row r="3632" spans="5:23" x14ac:dyDescent="0.25">
      <c r="E3632" s="4"/>
      <c r="F3632" s="4"/>
      <c r="G3632" s="33" t="str">
        <f>IFERROR(VLOOKUP($D3632,'Informations sur les produits'!$A$3:$H$10000,8,FALSE),"0")</f>
        <v>0</v>
      </c>
      <c r="K3632" s="4"/>
      <c r="L3632" s="33" t="str">
        <f>IFERROR(VLOOKUP($J3632,'Informations sur les produits'!$A$3:$H$10000,8,FALSE),"0")</f>
        <v>0</v>
      </c>
      <c r="N3632" s="8"/>
      <c r="O3632" s="33" t="str">
        <f>IFERROR(VLOOKUP($M3632,'Informations sur les produits'!$A$3:$H$10000,8,FALSE),"0")</f>
        <v>0</v>
      </c>
      <c r="P3632" s="33">
        <f t="shared" si="224"/>
        <v>0</v>
      </c>
      <c r="Q3632" s="31" t="str">
        <f t="shared" si="225"/>
        <v/>
      </c>
      <c r="R3632" s="32" t="str">
        <f>IFERROR(VLOOKUP($D3632,'Informations sur les produits'!$A$3:$B$15000,2,FALSE),"")</f>
        <v/>
      </c>
      <c r="V3632">
        <f t="shared" si="226"/>
        <v>0</v>
      </c>
      <c r="W3632">
        <f t="shared" si="227"/>
        <v>0</v>
      </c>
    </row>
    <row r="3633" spans="5:23" x14ac:dyDescent="0.25">
      <c r="E3633" s="4"/>
      <c r="F3633" s="4"/>
      <c r="G3633" s="33" t="str">
        <f>IFERROR(VLOOKUP($D3633,'Informations sur les produits'!$A$3:$H$10000,8,FALSE),"0")</f>
        <v>0</v>
      </c>
      <c r="K3633" s="4"/>
      <c r="L3633" s="33" t="str">
        <f>IFERROR(VLOOKUP($J3633,'Informations sur les produits'!$A$3:$H$10000,8,FALSE),"0")</f>
        <v>0</v>
      </c>
      <c r="N3633" s="8"/>
      <c r="O3633" s="33" t="str">
        <f>IFERROR(VLOOKUP($M3633,'Informations sur les produits'!$A$3:$H$10000,8,FALSE),"0")</f>
        <v>0</v>
      </c>
      <c r="P3633" s="33">
        <f t="shared" si="224"/>
        <v>0</v>
      </c>
      <c r="Q3633" s="31" t="str">
        <f t="shared" si="225"/>
        <v/>
      </c>
      <c r="R3633" s="32" t="str">
        <f>IFERROR(VLOOKUP($D3633,'Informations sur les produits'!$A$3:$B$15000,2,FALSE),"")</f>
        <v/>
      </c>
      <c r="V3633">
        <f t="shared" si="226"/>
        <v>0</v>
      </c>
      <c r="W3633">
        <f t="shared" si="227"/>
        <v>0</v>
      </c>
    </row>
    <row r="3634" spans="5:23" x14ac:dyDescent="0.25">
      <c r="E3634" s="4"/>
      <c r="F3634" s="4"/>
      <c r="G3634" s="33" t="str">
        <f>IFERROR(VLOOKUP($D3634,'Informations sur les produits'!$A$3:$H$10000,8,FALSE),"0")</f>
        <v>0</v>
      </c>
      <c r="K3634" s="4"/>
      <c r="L3634" s="33" t="str">
        <f>IFERROR(VLOOKUP($J3634,'Informations sur les produits'!$A$3:$H$10000,8,FALSE),"0")</f>
        <v>0</v>
      </c>
      <c r="N3634" s="8"/>
      <c r="O3634" s="33" t="str">
        <f>IFERROR(VLOOKUP($M3634,'Informations sur les produits'!$A$3:$H$10000,8,FALSE),"0")</f>
        <v>0</v>
      </c>
      <c r="P3634" s="33">
        <f t="shared" si="224"/>
        <v>0</v>
      </c>
      <c r="Q3634" s="31" t="str">
        <f t="shared" si="225"/>
        <v/>
      </c>
      <c r="R3634" s="32" t="str">
        <f>IFERROR(VLOOKUP($D3634,'Informations sur les produits'!$A$3:$B$15000,2,FALSE),"")</f>
        <v/>
      </c>
      <c r="V3634">
        <f t="shared" si="226"/>
        <v>0</v>
      </c>
      <c r="W3634">
        <f t="shared" si="227"/>
        <v>0</v>
      </c>
    </row>
    <row r="3635" spans="5:23" x14ac:dyDescent="0.25">
      <c r="E3635" s="4"/>
      <c r="F3635" s="4"/>
      <c r="G3635" s="33" t="str">
        <f>IFERROR(VLOOKUP($D3635,'Informations sur les produits'!$A$3:$H$10000,8,FALSE),"0")</f>
        <v>0</v>
      </c>
      <c r="K3635" s="4"/>
      <c r="L3635" s="33" t="str">
        <f>IFERROR(VLOOKUP($J3635,'Informations sur les produits'!$A$3:$H$10000,8,FALSE),"0")</f>
        <v>0</v>
      </c>
      <c r="N3635" s="8"/>
      <c r="O3635" s="33" t="str">
        <f>IFERROR(VLOOKUP($M3635,'Informations sur les produits'!$A$3:$H$10000,8,FALSE),"0")</f>
        <v>0</v>
      </c>
      <c r="P3635" s="33">
        <f t="shared" si="224"/>
        <v>0</v>
      </c>
      <c r="Q3635" s="31" t="str">
        <f t="shared" si="225"/>
        <v/>
      </c>
      <c r="R3635" s="32" t="str">
        <f>IFERROR(VLOOKUP($D3635,'Informations sur les produits'!$A$3:$B$15000,2,FALSE),"")</f>
        <v/>
      </c>
      <c r="V3635">
        <f t="shared" si="226"/>
        <v>0</v>
      </c>
      <c r="W3635">
        <f t="shared" si="227"/>
        <v>0</v>
      </c>
    </row>
    <row r="3636" spans="5:23" x14ac:dyDescent="0.25">
      <c r="E3636" s="4"/>
      <c r="F3636" s="4"/>
      <c r="G3636" s="33" t="str">
        <f>IFERROR(VLOOKUP($D3636,'Informations sur les produits'!$A$3:$H$10000,8,FALSE),"0")</f>
        <v>0</v>
      </c>
      <c r="K3636" s="4"/>
      <c r="L3636" s="33" t="str">
        <f>IFERROR(VLOOKUP($J3636,'Informations sur les produits'!$A$3:$H$10000,8,FALSE),"0")</f>
        <v>0</v>
      </c>
      <c r="N3636" s="8"/>
      <c r="O3636" s="33" t="str">
        <f>IFERROR(VLOOKUP($M3636,'Informations sur les produits'!$A$3:$H$10000,8,FALSE),"0")</f>
        <v>0</v>
      </c>
      <c r="P3636" s="33">
        <f t="shared" si="224"/>
        <v>0</v>
      </c>
      <c r="Q3636" s="31" t="str">
        <f t="shared" si="225"/>
        <v/>
      </c>
      <c r="R3636" s="32" t="str">
        <f>IFERROR(VLOOKUP($D3636,'Informations sur les produits'!$A$3:$B$15000,2,FALSE),"")</f>
        <v/>
      </c>
      <c r="V3636">
        <f t="shared" si="226"/>
        <v>0</v>
      </c>
      <c r="W3636">
        <f t="shared" si="227"/>
        <v>0</v>
      </c>
    </row>
    <row r="3637" spans="5:23" x14ac:dyDescent="0.25">
      <c r="E3637" s="4"/>
      <c r="F3637" s="4"/>
      <c r="G3637" s="33" t="str">
        <f>IFERROR(VLOOKUP($D3637,'Informations sur les produits'!$A$3:$H$10000,8,FALSE),"0")</f>
        <v>0</v>
      </c>
      <c r="K3637" s="4"/>
      <c r="L3637" s="33" t="str">
        <f>IFERROR(VLOOKUP($J3637,'Informations sur les produits'!$A$3:$H$10000,8,FALSE),"0")</f>
        <v>0</v>
      </c>
      <c r="N3637" s="8"/>
      <c r="O3637" s="33" t="str">
        <f>IFERROR(VLOOKUP($M3637,'Informations sur les produits'!$A$3:$H$10000,8,FALSE),"0")</f>
        <v>0</v>
      </c>
      <c r="P3637" s="33">
        <f t="shared" si="224"/>
        <v>0</v>
      </c>
      <c r="Q3637" s="31" t="str">
        <f t="shared" si="225"/>
        <v/>
      </c>
      <c r="R3637" s="32" t="str">
        <f>IFERROR(VLOOKUP($D3637,'Informations sur les produits'!$A$3:$B$15000,2,FALSE),"")</f>
        <v/>
      </c>
      <c r="V3637">
        <f t="shared" si="226"/>
        <v>0</v>
      </c>
      <c r="W3637">
        <f t="shared" si="227"/>
        <v>0</v>
      </c>
    </row>
    <row r="3638" spans="5:23" x14ac:dyDescent="0.25">
      <c r="E3638" s="4"/>
      <c r="F3638" s="4"/>
      <c r="G3638" s="33" t="str">
        <f>IFERROR(VLOOKUP($D3638,'Informations sur les produits'!$A$3:$H$10000,8,FALSE),"0")</f>
        <v>0</v>
      </c>
      <c r="K3638" s="4"/>
      <c r="L3638" s="33" t="str">
        <f>IFERROR(VLOOKUP($J3638,'Informations sur les produits'!$A$3:$H$10000,8,FALSE),"0")</f>
        <v>0</v>
      </c>
      <c r="N3638" s="8"/>
      <c r="O3638" s="33" t="str">
        <f>IFERROR(VLOOKUP($M3638,'Informations sur les produits'!$A$3:$H$10000,8,FALSE),"0")</f>
        <v>0</v>
      </c>
      <c r="P3638" s="33">
        <f t="shared" si="224"/>
        <v>0</v>
      </c>
      <c r="Q3638" s="31" t="str">
        <f t="shared" si="225"/>
        <v/>
      </c>
      <c r="R3638" s="32" t="str">
        <f>IFERROR(VLOOKUP($D3638,'Informations sur les produits'!$A$3:$B$15000,2,FALSE),"")</f>
        <v/>
      </c>
      <c r="V3638">
        <f t="shared" si="226"/>
        <v>0</v>
      </c>
      <c r="W3638">
        <f t="shared" si="227"/>
        <v>0</v>
      </c>
    </row>
    <row r="3639" spans="5:23" x14ac:dyDescent="0.25">
      <c r="E3639" s="4"/>
      <c r="F3639" s="4"/>
      <c r="G3639" s="33" t="str">
        <f>IFERROR(VLOOKUP($D3639,'Informations sur les produits'!$A$3:$H$10000,8,FALSE),"0")</f>
        <v>0</v>
      </c>
      <c r="K3639" s="4"/>
      <c r="L3639" s="33" t="str">
        <f>IFERROR(VLOOKUP($J3639,'Informations sur les produits'!$A$3:$H$10000,8,FALSE),"0")</f>
        <v>0</v>
      </c>
      <c r="N3639" s="8"/>
      <c r="O3639" s="33" t="str">
        <f>IFERROR(VLOOKUP($M3639,'Informations sur les produits'!$A$3:$H$10000,8,FALSE),"0")</f>
        <v>0</v>
      </c>
      <c r="P3639" s="33">
        <f t="shared" si="224"/>
        <v>0</v>
      </c>
      <c r="Q3639" s="31" t="str">
        <f t="shared" si="225"/>
        <v/>
      </c>
      <c r="R3639" s="32" t="str">
        <f>IFERROR(VLOOKUP($D3639,'Informations sur les produits'!$A$3:$B$15000,2,FALSE),"")</f>
        <v/>
      </c>
      <c r="V3639">
        <f t="shared" si="226"/>
        <v>0</v>
      </c>
      <c r="W3639">
        <f t="shared" si="227"/>
        <v>0</v>
      </c>
    </row>
    <row r="3640" spans="5:23" x14ac:dyDescent="0.25">
      <c r="E3640" s="4"/>
      <c r="F3640" s="4"/>
      <c r="G3640" s="33" t="str">
        <f>IFERROR(VLOOKUP($D3640,'Informations sur les produits'!$A$3:$H$10000,8,FALSE),"0")</f>
        <v>0</v>
      </c>
      <c r="K3640" s="4"/>
      <c r="L3640" s="33" t="str">
        <f>IFERROR(VLOOKUP($J3640,'Informations sur les produits'!$A$3:$H$10000,8,FALSE),"0")</f>
        <v>0</v>
      </c>
      <c r="N3640" s="8"/>
      <c r="O3640" s="33" t="str">
        <f>IFERROR(VLOOKUP($M3640,'Informations sur les produits'!$A$3:$H$10000,8,FALSE),"0")</f>
        <v>0</v>
      </c>
      <c r="P3640" s="33">
        <f t="shared" si="224"/>
        <v>0</v>
      </c>
      <c r="Q3640" s="31" t="str">
        <f t="shared" si="225"/>
        <v/>
      </c>
      <c r="R3640" s="32" t="str">
        <f>IFERROR(VLOOKUP($D3640,'Informations sur les produits'!$A$3:$B$15000,2,FALSE),"")</f>
        <v/>
      </c>
      <c r="V3640">
        <f t="shared" si="226"/>
        <v>0</v>
      </c>
      <c r="W3640">
        <f t="shared" si="227"/>
        <v>0</v>
      </c>
    </row>
    <row r="3641" spans="5:23" x14ac:dyDescent="0.25">
      <c r="E3641" s="4"/>
      <c r="F3641" s="4"/>
      <c r="G3641" s="33" t="str">
        <f>IFERROR(VLOOKUP($D3641,'Informations sur les produits'!$A$3:$H$10000,8,FALSE),"0")</f>
        <v>0</v>
      </c>
      <c r="K3641" s="4"/>
      <c r="L3641" s="33" t="str">
        <f>IFERROR(VLOOKUP($J3641,'Informations sur les produits'!$A$3:$H$10000,8,FALSE),"0")</f>
        <v>0</v>
      </c>
      <c r="N3641" s="8"/>
      <c r="O3641" s="33" t="str">
        <f>IFERROR(VLOOKUP($M3641,'Informations sur les produits'!$A$3:$H$10000,8,FALSE),"0")</f>
        <v>0</v>
      </c>
      <c r="P3641" s="33">
        <f t="shared" si="224"/>
        <v>0</v>
      </c>
      <c r="Q3641" s="31" t="str">
        <f t="shared" si="225"/>
        <v/>
      </c>
      <c r="R3641" s="32" t="str">
        <f>IFERROR(VLOOKUP($D3641,'Informations sur les produits'!$A$3:$B$15000,2,FALSE),"")</f>
        <v/>
      </c>
      <c r="V3641">
        <f t="shared" si="226"/>
        <v>0</v>
      </c>
      <c r="W3641">
        <f t="shared" si="227"/>
        <v>0</v>
      </c>
    </row>
    <row r="3642" spans="5:23" x14ac:dyDescent="0.25">
      <c r="E3642" s="4"/>
      <c r="F3642" s="4"/>
      <c r="G3642" s="33" t="str">
        <f>IFERROR(VLOOKUP($D3642,'Informations sur les produits'!$A$3:$H$10000,8,FALSE),"0")</f>
        <v>0</v>
      </c>
      <c r="K3642" s="4"/>
      <c r="L3642" s="33" t="str">
        <f>IFERROR(VLOOKUP($J3642,'Informations sur les produits'!$A$3:$H$10000,8,FALSE),"0")</f>
        <v>0</v>
      </c>
      <c r="N3642" s="8"/>
      <c r="O3642" s="33" t="str">
        <f>IFERROR(VLOOKUP($M3642,'Informations sur les produits'!$A$3:$H$10000,8,FALSE),"0")</f>
        <v>0</v>
      </c>
      <c r="P3642" s="33">
        <f t="shared" si="224"/>
        <v>0</v>
      </c>
      <c r="Q3642" s="31" t="str">
        <f t="shared" si="225"/>
        <v/>
      </c>
      <c r="R3642" s="32" t="str">
        <f>IFERROR(VLOOKUP($D3642,'Informations sur les produits'!$A$3:$B$15000,2,FALSE),"")</f>
        <v/>
      </c>
      <c r="V3642">
        <f t="shared" si="226"/>
        <v>0</v>
      </c>
      <c r="W3642">
        <f t="shared" si="227"/>
        <v>0</v>
      </c>
    </row>
    <row r="3643" spans="5:23" x14ac:dyDescent="0.25">
      <c r="E3643" s="4"/>
      <c r="F3643" s="4"/>
      <c r="G3643" s="33" t="str">
        <f>IFERROR(VLOOKUP($D3643,'Informations sur les produits'!$A$3:$H$10000,8,FALSE),"0")</f>
        <v>0</v>
      </c>
      <c r="K3643" s="4"/>
      <c r="L3643" s="33" t="str">
        <f>IFERROR(VLOOKUP($J3643,'Informations sur les produits'!$A$3:$H$10000,8,FALSE),"0")</f>
        <v>0</v>
      </c>
      <c r="N3643" s="8"/>
      <c r="O3643" s="33" t="str">
        <f>IFERROR(VLOOKUP($M3643,'Informations sur les produits'!$A$3:$H$10000,8,FALSE),"0")</f>
        <v>0</v>
      </c>
      <c r="P3643" s="33">
        <f t="shared" si="224"/>
        <v>0</v>
      </c>
      <c r="Q3643" s="31" t="str">
        <f t="shared" si="225"/>
        <v/>
      </c>
      <c r="R3643" s="32" t="str">
        <f>IFERROR(VLOOKUP($D3643,'Informations sur les produits'!$A$3:$B$15000,2,FALSE),"")</f>
        <v/>
      </c>
      <c r="V3643">
        <f t="shared" si="226"/>
        <v>0</v>
      </c>
      <c r="W3643">
        <f t="shared" si="227"/>
        <v>0</v>
      </c>
    </row>
    <row r="3644" spans="5:23" x14ac:dyDescent="0.25">
      <c r="E3644" s="4"/>
      <c r="F3644" s="4"/>
      <c r="G3644" s="33" t="str">
        <f>IFERROR(VLOOKUP($D3644,'Informations sur les produits'!$A$3:$H$10000,8,FALSE),"0")</f>
        <v>0</v>
      </c>
      <c r="K3644" s="4"/>
      <c r="L3644" s="33" t="str">
        <f>IFERROR(VLOOKUP($J3644,'Informations sur les produits'!$A$3:$H$10000,8,FALSE),"0")</f>
        <v>0</v>
      </c>
      <c r="N3644" s="8"/>
      <c r="O3644" s="33" t="str">
        <f>IFERROR(VLOOKUP($M3644,'Informations sur les produits'!$A$3:$H$10000,8,FALSE),"0")</f>
        <v>0</v>
      </c>
      <c r="P3644" s="33">
        <f t="shared" si="224"/>
        <v>0</v>
      </c>
      <c r="Q3644" s="31" t="str">
        <f t="shared" si="225"/>
        <v/>
      </c>
      <c r="R3644" s="32" t="str">
        <f>IFERROR(VLOOKUP($D3644,'Informations sur les produits'!$A$3:$B$15000,2,FALSE),"")</f>
        <v/>
      </c>
      <c r="V3644">
        <f t="shared" si="226"/>
        <v>0</v>
      </c>
      <c r="W3644">
        <f t="shared" si="227"/>
        <v>0</v>
      </c>
    </row>
    <row r="3645" spans="5:23" x14ac:dyDescent="0.25">
      <c r="E3645" s="4"/>
      <c r="F3645" s="4"/>
      <c r="G3645" s="33" t="str">
        <f>IFERROR(VLOOKUP($D3645,'Informations sur les produits'!$A$3:$H$10000,8,FALSE),"0")</f>
        <v>0</v>
      </c>
      <c r="K3645" s="4"/>
      <c r="L3645" s="33" t="str">
        <f>IFERROR(VLOOKUP($J3645,'Informations sur les produits'!$A$3:$H$10000,8,FALSE),"0")</f>
        <v>0</v>
      </c>
      <c r="N3645" s="8"/>
      <c r="O3645" s="33" t="str">
        <f>IFERROR(VLOOKUP($M3645,'Informations sur les produits'!$A$3:$H$10000,8,FALSE),"0")</f>
        <v>0</v>
      </c>
      <c r="P3645" s="33">
        <f t="shared" si="224"/>
        <v>0</v>
      </c>
      <c r="Q3645" s="31" t="str">
        <f t="shared" si="225"/>
        <v/>
      </c>
      <c r="R3645" s="32" t="str">
        <f>IFERROR(VLOOKUP($D3645,'Informations sur les produits'!$A$3:$B$15000,2,FALSE),"")</f>
        <v/>
      </c>
      <c r="V3645">
        <f t="shared" si="226"/>
        <v>0</v>
      </c>
      <c r="W3645">
        <f t="shared" si="227"/>
        <v>0</v>
      </c>
    </row>
    <row r="3646" spans="5:23" x14ac:dyDescent="0.25">
      <c r="E3646" s="4"/>
      <c r="F3646" s="4"/>
      <c r="G3646" s="33" t="str">
        <f>IFERROR(VLOOKUP($D3646,'Informations sur les produits'!$A$3:$H$10000,8,FALSE),"0")</f>
        <v>0</v>
      </c>
      <c r="K3646" s="4"/>
      <c r="L3646" s="33" t="str">
        <f>IFERROR(VLOOKUP($J3646,'Informations sur les produits'!$A$3:$H$10000,8,FALSE),"0")</f>
        <v>0</v>
      </c>
      <c r="N3646" s="8"/>
      <c r="O3646" s="33" t="str">
        <f>IFERROR(VLOOKUP($M3646,'Informations sur les produits'!$A$3:$H$10000,8,FALSE),"0")</f>
        <v>0</v>
      </c>
      <c r="P3646" s="33">
        <f t="shared" si="224"/>
        <v>0</v>
      </c>
      <c r="Q3646" s="31" t="str">
        <f t="shared" si="225"/>
        <v/>
      </c>
      <c r="R3646" s="32" t="str">
        <f>IFERROR(VLOOKUP($D3646,'Informations sur les produits'!$A$3:$B$15000,2,FALSE),"")</f>
        <v/>
      </c>
      <c r="V3646">
        <f t="shared" si="226"/>
        <v>0</v>
      </c>
      <c r="W3646">
        <f t="shared" si="227"/>
        <v>0</v>
      </c>
    </row>
    <row r="3647" spans="5:23" x14ac:dyDescent="0.25">
      <c r="E3647" s="4"/>
      <c r="F3647" s="4"/>
      <c r="G3647" s="33" t="str">
        <f>IFERROR(VLOOKUP($D3647,'Informations sur les produits'!$A$3:$H$10000,8,FALSE),"0")</f>
        <v>0</v>
      </c>
      <c r="K3647" s="4"/>
      <c r="L3647" s="33" t="str">
        <f>IFERROR(VLOOKUP($J3647,'Informations sur les produits'!$A$3:$H$10000,8,FALSE),"0")</f>
        <v>0</v>
      </c>
      <c r="N3647" s="8"/>
      <c r="O3647" s="33" t="str">
        <f>IFERROR(VLOOKUP($M3647,'Informations sur les produits'!$A$3:$H$10000,8,FALSE),"0")</f>
        <v>0</v>
      </c>
      <c r="P3647" s="33">
        <f t="shared" si="224"/>
        <v>0</v>
      </c>
      <c r="Q3647" s="31" t="str">
        <f t="shared" si="225"/>
        <v/>
      </c>
      <c r="R3647" s="32" t="str">
        <f>IFERROR(VLOOKUP($D3647,'Informations sur les produits'!$A$3:$B$15000,2,FALSE),"")</f>
        <v/>
      </c>
      <c r="V3647">
        <f t="shared" si="226"/>
        <v>0</v>
      </c>
      <c r="W3647">
        <f t="shared" si="227"/>
        <v>0</v>
      </c>
    </row>
    <row r="3648" spans="5:23" x14ac:dyDescent="0.25">
      <c r="E3648" s="4"/>
      <c r="F3648" s="4"/>
      <c r="G3648" s="33" t="str">
        <f>IFERROR(VLOOKUP($D3648,'Informations sur les produits'!$A$3:$H$10000,8,FALSE),"0")</f>
        <v>0</v>
      </c>
      <c r="K3648" s="4"/>
      <c r="L3648" s="33" t="str">
        <f>IFERROR(VLOOKUP($J3648,'Informations sur les produits'!$A$3:$H$10000,8,FALSE),"0")</f>
        <v>0</v>
      </c>
      <c r="N3648" s="8"/>
      <c r="O3648" s="33" t="str">
        <f>IFERROR(VLOOKUP($M3648,'Informations sur les produits'!$A$3:$H$10000,8,FALSE),"0")</f>
        <v>0</v>
      </c>
      <c r="P3648" s="33">
        <f t="shared" si="224"/>
        <v>0</v>
      </c>
      <c r="Q3648" s="31" t="str">
        <f t="shared" si="225"/>
        <v/>
      </c>
      <c r="R3648" s="32" t="str">
        <f>IFERROR(VLOOKUP($D3648,'Informations sur les produits'!$A$3:$B$15000,2,FALSE),"")</f>
        <v/>
      </c>
      <c r="V3648">
        <f t="shared" si="226"/>
        <v>0</v>
      </c>
      <c r="W3648">
        <f t="shared" si="227"/>
        <v>0</v>
      </c>
    </row>
    <row r="3649" spans="5:23" x14ac:dyDescent="0.25">
      <c r="E3649" s="4"/>
      <c r="F3649" s="4"/>
      <c r="G3649" s="33" t="str">
        <f>IFERROR(VLOOKUP($D3649,'Informations sur les produits'!$A$3:$H$10000,8,FALSE),"0")</f>
        <v>0</v>
      </c>
      <c r="K3649" s="4"/>
      <c r="L3649" s="33" t="str">
        <f>IFERROR(VLOOKUP($J3649,'Informations sur les produits'!$A$3:$H$10000,8,FALSE),"0")</f>
        <v>0</v>
      </c>
      <c r="N3649" s="8"/>
      <c r="O3649" s="33" t="str">
        <f>IFERROR(VLOOKUP($M3649,'Informations sur les produits'!$A$3:$H$10000,8,FALSE),"0")</f>
        <v>0</v>
      </c>
      <c r="P3649" s="33">
        <f t="shared" si="224"/>
        <v>0</v>
      </c>
      <c r="Q3649" s="31" t="str">
        <f t="shared" si="225"/>
        <v/>
      </c>
      <c r="R3649" s="32" t="str">
        <f>IFERROR(VLOOKUP($D3649,'Informations sur les produits'!$A$3:$B$15000,2,FALSE),"")</f>
        <v/>
      </c>
      <c r="V3649">
        <f t="shared" si="226"/>
        <v>0</v>
      </c>
      <c r="W3649">
        <f t="shared" si="227"/>
        <v>0</v>
      </c>
    </row>
    <row r="3650" spans="5:23" x14ac:dyDescent="0.25">
      <c r="E3650" s="4"/>
      <c r="F3650" s="4"/>
      <c r="G3650" s="33" t="str">
        <f>IFERROR(VLOOKUP($D3650,'Informations sur les produits'!$A$3:$H$10000,8,FALSE),"0")</f>
        <v>0</v>
      </c>
      <c r="K3650" s="4"/>
      <c r="L3650" s="33" t="str">
        <f>IFERROR(VLOOKUP($J3650,'Informations sur les produits'!$A$3:$H$10000,8,FALSE),"0")</f>
        <v>0</v>
      </c>
      <c r="N3650" s="8"/>
      <c r="O3650" s="33" t="str">
        <f>IFERROR(VLOOKUP($M3650,'Informations sur les produits'!$A$3:$H$10000,8,FALSE),"0")</f>
        <v>0</v>
      </c>
      <c r="P3650" s="33">
        <f t="shared" si="224"/>
        <v>0</v>
      </c>
      <c r="Q3650" s="31" t="str">
        <f t="shared" si="225"/>
        <v/>
      </c>
      <c r="R3650" s="32" t="str">
        <f>IFERROR(VLOOKUP($D3650,'Informations sur les produits'!$A$3:$B$15000,2,FALSE),"")</f>
        <v/>
      </c>
      <c r="V3650">
        <f t="shared" si="226"/>
        <v>0</v>
      </c>
      <c r="W3650">
        <f t="shared" si="227"/>
        <v>0</v>
      </c>
    </row>
    <row r="3651" spans="5:23" x14ac:dyDescent="0.25">
      <c r="E3651" s="4"/>
      <c r="F3651" s="4"/>
      <c r="G3651" s="33" t="str">
        <f>IFERROR(VLOOKUP($D3651,'Informations sur les produits'!$A$3:$H$10000,8,FALSE),"0")</f>
        <v>0</v>
      </c>
      <c r="K3651" s="4"/>
      <c r="L3651" s="33" t="str">
        <f>IFERROR(VLOOKUP($J3651,'Informations sur les produits'!$A$3:$H$10000,8,FALSE),"0")</f>
        <v>0</v>
      </c>
      <c r="N3651" s="8"/>
      <c r="O3651" s="33" t="str">
        <f>IFERROR(VLOOKUP($M3651,'Informations sur les produits'!$A$3:$H$10000,8,FALSE),"0")</f>
        <v>0</v>
      </c>
      <c r="P3651" s="33">
        <f t="shared" si="224"/>
        <v>0</v>
      </c>
      <c r="Q3651" s="31" t="str">
        <f t="shared" si="225"/>
        <v/>
      </c>
      <c r="R3651" s="32" t="str">
        <f>IFERROR(VLOOKUP($D3651,'Informations sur les produits'!$A$3:$B$15000,2,FALSE),"")</f>
        <v/>
      </c>
      <c r="V3651">
        <f t="shared" si="226"/>
        <v>0</v>
      </c>
      <c r="W3651">
        <f t="shared" si="227"/>
        <v>0</v>
      </c>
    </row>
    <row r="3652" spans="5:23" x14ac:dyDescent="0.25">
      <c r="E3652" s="4"/>
      <c r="F3652" s="4"/>
      <c r="G3652" s="33" t="str">
        <f>IFERROR(VLOOKUP($D3652,'Informations sur les produits'!$A$3:$H$10000,8,FALSE),"0")</f>
        <v>0</v>
      </c>
      <c r="K3652" s="4"/>
      <c r="L3652" s="33" t="str">
        <f>IFERROR(VLOOKUP($J3652,'Informations sur les produits'!$A$3:$H$10000,8,FALSE),"0")</f>
        <v>0</v>
      </c>
      <c r="N3652" s="8"/>
      <c r="O3652" s="33" t="str">
        <f>IFERROR(VLOOKUP($M3652,'Informations sur les produits'!$A$3:$H$10000,8,FALSE),"0")</f>
        <v>0</v>
      </c>
      <c r="P3652" s="33">
        <f t="shared" ref="P3652:P3715" si="228">IFERROR((($E3652-$F3652)*$G3652+$K3652*$L3652+$N3652*$O3652),"")</f>
        <v>0</v>
      </c>
      <c r="Q3652" s="31" t="str">
        <f t="shared" ref="Q3652:Q3715" si="229">IFERROR((((($E3652-$F3652)*$G3652+$K3652*$L3652+$N3652*$O3652)*1000)/(($E3652-$F3652)+$K3652+$N3652)),"")</f>
        <v/>
      </c>
      <c r="R3652" s="32" t="str">
        <f>IFERROR(VLOOKUP($D3652,'Informations sur les produits'!$A$3:$B$15000,2,FALSE),"")</f>
        <v/>
      </c>
      <c r="V3652">
        <f t="shared" ref="V3652:V3715" si="230">IFERROR(P3652*1000,"")</f>
        <v>0</v>
      </c>
      <c r="W3652">
        <f t="shared" ref="W3652:W3715" si="231">IFERROR(($E3652-$F3652)+$K3652+$N3652,"")</f>
        <v>0</v>
      </c>
    </row>
    <row r="3653" spans="5:23" x14ac:dyDescent="0.25">
      <c r="E3653" s="4"/>
      <c r="F3653" s="4"/>
      <c r="G3653" s="33" t="str">
        <f>IFERROR(VLOOKUP($D3653,'Informations sur les produits'!$A$3:$H$10000,8,FALSE),"0")</f>
        <v>0</v>
      </c>
      <c r="K3653" s="4"/>
      <c r="L3653" s="33" t="str">
        <f>IFERROR(VLOOKUP($J3653,'Informations sur les produits'!$A$3:$H$10000,8,FALSE),"0")</f>
        <v>0</v>
      </c>
      <c r="N3653" s="8"/>
      <c r="O3653" s="33" t="str">
        <f>IFERROR(VLOOKUP($M3653,'Informations sur les produits'!$A$3:$H$10000,8,FALSE),"0")</f>
        <v>0</v>
      </c>
      <c r="P3653" s="33">
        <f t="shared" si="228"/>
        <v>0</v>
      </c>
      <c r="Q3653" s="31" t="str">
        <f t="shared" si="229"/>
        <v/>
      </c>
      <c r="R3653" s="32" t="str">
        <f>IFERROR(VLOOKUP($D3653,'Informations sur les produits'!$A$3:$B$15000,2,FALSE),"")</f>
        <v/>
      </c>
      <c r="V3653">
        <f t="shared" si="230"/>
        <v>0</v>
      </c>
      <c r="W3653">
        <f t="shared" si="231"/>
        <v>0</v>
      </c>
    </row>
    <row r="3654" spans="5:23" x14ac:dyDescent="0.25">
      <c r="E3654" s="4"/>
      <c r="F3654" s="4"/>
      <c r="G3654" s="33" t="str">
        <f>IFERROR(VLOOKUP($D3654,'Informations sur les produits'!$A$3:$H$10000,8,FALSE),"0")</f>
        <v>0</v>
      </c>
      <c r="K3654" s="4"/>
      <c r="L3654" s="33" t="str">
        <f>IFERROR(VLOOKUP($J3654,'Informations sur les produits'!$A$3:$H$10000,8,FALSE),"0")</f>
        <v>0</v>
      </c>
      <c r="N3654" s="8"/>
      <c r="O3654" s="33" t="str">
        <f>IFERROR(VLOOKUP($M3654,'Informations sur les produits'!$A$3:$H$10000,8,FALSE),"0")</f>
        <v>0</v>
      </c>
      <c r="P3654" s="33">
        <f t="shared" si="228"/>
        <v>0</v>
      </c>
      <c r="Q3654" s="31" t="str">
        <f t="shared" si="229"/>
        <v/>
      </c>
      <c r="R3654" s="32" t="str">
        <f>IFERROR(VLOOKUP($D3654,'Informations sur les produits'!$A$3:$B$15000,2,FALSE),"")</f>
        <v/>
      </c>
      <c r="V3654">
        <f t="shared" si="230"/>
        <v>0</v>
      </c>
      <c r="W3654">
        <f t="shared" si="231"/>
        <v>0</v>
      </c>
    </row>
    <row r="3655" spans="5:23" x14ac:dyDescent="0.25">
      <c r="E3655" s="4"/>
      <c r="F3655" s="4"/>
      <c r="G3655" s="33" t="str">
        <f>IFERROR(VLOOKUP($D3655,'Informations sur les produits'!$A$3:$H$10000,8,FALSE),"0")</f>
        <v>0</v>
      </c>
      <c r="K3655" s="4"/>
      <c r="L3655" s="33" t="str">
        <f>IFERROR(VLOOKUP($J3655,'Informations sur les produits'!$A$3:$H$10000,8,FALSE),"0")</f>
        <v>0</v>
      </c>
      <c r="N3655" s="8"/>
      <c r="O3655" s="33" t="str">
        <f>IFERROR(VLOOKUP($M3655,'Informations sur les produits'!$A$3:$H$10000,8,FALSE),"0")</f>
        <v>0</v>
      </c>
      <c r="P3655" s="33">
        <f t="shared" si="228"/>
        <v>0</v>
      </c>
      <c r="Q3655" s="31" t="str">
        <f t="shared" si="229"/>
        <v/>
      </c>
      <c r="R3655" s="32" t="str">
        <f>IFERROR(VLOOKUP($D3655,'Informations sur les produits'!$A$3:$B$15000,2,FALSE),"")</f>
        <v/>
      </c>
      <c r="V3655">
        <f t="shared" si="230"/>
        <v>0</v>
      </c>
      <c r="W3655">
        <f t="shared" si="231"/>
        <v>0</v>
      </c>
    </row>
    <row r="3656" spans="5:23" x14ac:dyDescent="0.25">
      <c r="E3656" s="4"/>
      <c r="F3656" s="4"/>
      <c r="G3656" s="33" t="str">
        <f>IFERROR(VLOOKUP($D3656,'Informations sur les produits'!$A$3:$H$10000,8,FALSE),"0")</f>
        <v>0</v>
      </c>
      <c r="K3656" s="4"/>
      <c r="L3656" s="33" t="str">
        <f>IFERROR(VLOOKUP($J3656,'Informations sur les produits'!$A$3:$H$10000,8,FALSE),"0")</f>
        <v>0</v>
      </c>
      <c r="N3656" s="8"/>
      <c r="O3656" s="33" t="str">
        <f>IFERROR(VLOOKUP($M3656,'Informations sur les produits'!$A$3:$H$10000,8,FALSE),"0")</f>
        <v>0</v>
      </c>
      <c r="P3656" s="33">
        <f t="shared" si="228"/>
        <v>0</v>
      </c>
      <c r="Q3656" s="31" t="str">
        <f t="shared" si="229"/>
        <v/>
      </c>
      <c r="R3656" s="32" t="str">
        <f>IFERROR(VLOOKUP($D3656,'Informations sur les produits'!$A$3:$B$15000,2,FALSE),"")</f>
        <v/>
      </c>
      <c r="V3656">
        <f t="shared" si="230"/>
        <v>0</v>
      </c>
      <c r="W3656">
        <f t="shared" si="231"/>
        <v>0</v>
      </c>
    </row>
    <row r="3657" spans="5:23" x14ac:dyDescent="0.25">
      <c r="E3657" s="4"/>
      <c r="F3657" s="4"/>
      <c r="G3657" s="33" t="str">
        <f>IFERROR(VLOOKUP($D3657,'Informations sur les produits'!$A$3:$H$10000,8,FALSE),"0")</f>
        <v>0</v>
      </c>
      <c r="K3657" s="4"/>
      <c r="L3657" s="33" t="str">
        <f>IFERROR(VLOOKUP($J3657,'Informations sur les produits'!$A$3:$H$10000,8,FALSE),"0")</f>
        <v>0</v>
      </c>
      <c r="N3657" s="8"/>
      <c r="O3657" s="33" t="str">
        <f>IFERROR(VLOOKUP($M3657,'Informations sur les produits'!$A$3:$H$10000,8,FALSE),"0")</f>
        <v>0</v>
      </c>
      <c r="P3657" s="33">
        <f t="shared" si="228"/>
        <v>0</v>
      </c>
      <c r="Q3657" s="31" t="str">
        <f t="shared" si="229"/>
        <v/>
      </c>
      <c r="R3657" s="32" t="str">
        <f>IFERROR(VLOOKUP($D3657,'Informations sur les produits'!$A$3:$B$15000,2,FALSE),"")</f>
        <v/>
      </c>
      <c r="V3657">
        <f t="shared" si="230"/>
        <v>0</v>
      </c>
      <c r="W3657">
        <f t="shared" si="231"/>
        <v>0</v>
      </c>
    </row>
    <row r="3658" spans="5:23" x14ac:dyDescent="0.25">
      <c r="E3658" s="4"/>
      <c r="F3658" s="4"/>
      <c r="G3658" s="33" t="str">
        <f>IFERROR(VLOOKUP($D3658,'Informations sur les produits'!$A$3:$H$10000,8,FALSE),"0")</f>
        <v>0</v>
      </c>
      <c r="K3658" s="4"/>
      <c r="L3658" s="33" t="str">
        <f>IFERROR(VLOOKUP($J3658,'Informations sur les produits'!$A$3:$H$10000,8,FALSE),"0")</f>
        <v>0</v>
      </c>
      <c r="N3658" s="8"/>
      <c r="O3658" s="33" t="str">
        <f>IFERROR(VLOOKUP($M3658,'Informations sur les produits'!$A$3:$H$10000,8,FALSE),"0")</f>
        <v>0</v>
      </c>
      <c r="P3658" s="33">
        <f t="shared" si="228"/>
        <v>0</v>
      </c>
      <c r="Q3658" s="31" t="str">
        <f t="shared" si="229"/>
        <v/>
      </c>
      <c r="R3658" s="32" t="str">
        <f>IFERROR(VLOOKUP($D3658,'Informations sur les produits'!$A$3:$B$15000,2,FALSE),"")</f>
        <v/>
      </c>
      <c r="V3658">
        <f t="shared" si="230"/>
        <v>0</v>
      </c>
      <c r="W3658">
        <f t="shared" si="231"/>
        <v>0</v>
      </c>
    </row>
    <row r="3659" spans="5:23" x14ac:dyDescent="0.25">
      <c r="E3659" s="4"/>
      <c r="F3659" s="4"/>
      <c r="G3659" s="33" t="str">
        <f>IFERROR(VLOOKUP($D3659,'Informations sur les produits'!$A$3:$H$10000,8,FALSE),"0")</f>
        <v>0</v>
      </c>
      <c r="K3659" s="4"/>
      <c r="L3659" s="33" t="str">
        <f>IFERROR(VLOOKUP($J3659,'Informations sur les produits'!$A$3:$H$10000,8,FALSE),"0")</f>
        <v>0</v>
      </c>
      <c r="N3659" s="8"/>
      <c r="O3659" s="33" t="str">
        <f>IFERROR(VLOOKUP($M3659,'Informations sur les produits'!$A$3:$H$10000,8,FALSE),"0")</f>
        <v>0</v>
      </c>
      <c r="P3659" s="33">
        <f t="shared" si="228"/>
        <v>0</v>
      </c>
      <c r="Q3659" s="31" t="str">
        <f t="shared" si="229"/>
        <v/>
      </c>
      <c r="R3659" s="32" t="str">
        <f>IFERROR(VLOOKUP($D3659,'Informations sur les produits'!$A$3:$B$15000,2,FALSE),"")</f>
        <v/>
      </c>
      <c r="V3659">
        <f t="shared" si="230"/>
        <v>0</v>
      </c>
      <c r="W3659">
        <f t="shared" si="231"/>
        <v>0</v>
      </c>
    </row>
    <row r="3660" spans="5:23" x14ac:dyDescent="0.25">
      <c r="E3660" s="4"/>
      <c r="F3660" s="4"/>
      <c r="G3660" s="33" t="str">
        <f>IFERROR(VLOOKUP($D3660,'Informations sur les produits'!$A$3:$H$10000,8,FALSE),"0")</f>
        <v>0</v>
      </c>
      <c r="K3660" s="4"/>
      <c r="L3660" s="33" t="str">
        <f>IFERROR(VLOOKUP($J3660,'Informations sur les produits'!$A$3:$H$10000,8,FALSE),"0")</f>
        <v>0</v>
      </c>
      <c r="N3660" s="8"/>
      <c r="O3660" s="33" t="str">
        <f>IFERROR(VLOOKUP($M3660,'Informations sur les produits'!$A$3:$H$10000,8,FALSE),"0")</f>
        <v>0</v>
      </c>
      <c r="P3660" s="33">
        <f t="shared" si="228"/>
        <v>0</v>
      </c>
      <c r="Q3660" s="31" t="str">
        <f t="shared" si="229"/>
        <v/>
      </c>
      <c r="R3660" s="32" t="str">
        <f>IFERROR(VLOOKUP($D3660,'Informations sur les produits'!$A$3:$B$15000,2,FALSE),"")</f>
        <v/>
      </c>
      <c r="V3660">
        <f t="shared" si="230"/>
        <v>0</v>
      </c>
      <c r="W3660">
        <f t="shared" si="231"/>
        <v>0</v>
      </c>
    </row>
    <row r="3661" spans="5:23" x14ac:dyDescent="0.25">
      <c r="E3661" s="4"/>
      <c r="F3661" s="4"/>
      <c r="G3661" s="33" t="str">
        <f>IFERROR(VLOOKUP($D3661,'Informations sur les produits'!$A$3:$H$10000,8,FALSE),"0")</f>
        <v>0</v>
      </c>
      <c r="K3661" s="4"/>
      <c r="L3661" s="33" t="str">
        <f>IFERROR(VLOOKUP($J3661,'Informations sur les produits'!$A$3:$H$10000,8,FALSE),"0")</f>
        <v>0</v>
      </c>
      <c r="N3661" s="8"/>
      <c r="O3661" s="33" t="str">
        <f>IFERROR(VLOOKUP($M3661,'Informations sur les produits'!$A$3:$H$10000,8,FALSE),"0")</f>
        <v>0</v>
      </c>
      <c r="P3661" s="33">
        <f t="shared" si="228"/>
        <v>0</v>
      </c>
      <c r="Q3661" s="31" t="str">
        <f t="shared" si="229"/>
        <v/>
      </c>
      <c r="R3661" s="32" t="str">
        <f>IFERROR(VLOOKUP($D3661,'Informations sur les produits'!$A$3:$B$15000,2,FALSE),"")</f>
        <v/>
      </c>
      <c r="V3661">
        <f t="shared" si="230"/>
        <v>0</v>
      </c>
      <c r="W3661">
        <f t="shared" si="231"/>
        <v>0</v>
      </c>
    </row>
    <row r="3662" spans="5:23" x14ac:dyDescent="0.25">
      <c r="E3662" s="4"/>
      <c r="F3662" s="4"/>
      <c r="G3662" s="33" t="str">
        <f>IFERROR(VLOOKUP($D3662,'Informations sur les produits'!$A$3:$H$10000,8,FALSE),"0")</f>
        <v>0</v>
      </c>
      <c r="K3662" s="4"/>
      <c r="L3662" s="33" t="str">
        <f>IFERROR(VLOOKUP($J3662,'Informations sur les produits'!$A$3:$H$10000,8,FALSE),"0")</f>
        <v>0</v>
      </c>
      <c r="N3662" s="8"/>
      <c r="O3662" s="33" t="str">
        <f>IFERROR(VLOOKUP($M3662,'Informations sur les produits'!$A$3:$H$10000,8,FALSE),"0")</f>
        <v>0</v>
      </c>
      <c r="P3662" s="33">
        <f t="shared" si="228"/>
        <v>0</v>
      </c>
      <c r="Q3662" s="31" t="str">
        <f t="shared" si="229"/>
        <v/>
      </c>
      <c r="R3662" s="32" t="str">
        <f>IFERROR(VLOOKUP($D3662,'Informations sur les produits'!$A$3:$B$15000,2,FALSE),"")</f>
        <v/>
      </c>
      <c r="V3662">
        <f t="shared" si="230"/>
        <v>0</v>
      </c>
      <c r="W3662">
        <f t="shared" si="231"/>
        <v>0</v>
      </c>
    </row>
    <row r="3663" spans="5:23" x14ac:dyDescent="0.25">
      <c r="E3663" s="4"/>
      <c r="F3663" s="4"/>
      <c r="G3663" s="33" t="str">
        <f>IFERROR(VLOOKUP($D3663,'Informations sur les produits'!$A$3:$H$10000,8,FALSE),"0")</f>
        <v>0</v>
      </c>
      <c r="K3663" s="4"/>
      <c r="L3663" s="33" t="str">
        <f>IFERROR(VLOOKUP($J3663,'Informations sur les produits'!$A$3:$H$10000,8,FALSE),"0")</f>
        <v>0</v>
      </c>
      <c r="N3663" s="8"/>
      <c r="O3663" s="33" t="str">
        <f>IFERROR(VLOOKUP($M3663,'Informations sur les produits'!$A$3:$H$10000,8,FALSE),"0")</f>
        <v>0</v>
      </c>
      <c r="P3663" s="33">
        <f t="shared" si="228"/>
        <v>0</v>
      </c>
      <c r="Q3663" s="31" t="str">
        <f t="shared" si="229"/>
        <v/>
      </c>
      <c r="R3663" s="32" t="str">
        <f>IFERROR(VLOOKUP($D3663,'Informations sur les produits'!$A$3:$B$15000,2,FALSE),"")</f>
        <v/>
      </c>
      <c r="V3663">
        <f t="shared" si="230"/>
        <v>0</v>
      </c>
      <c r="W3663">
        <f t="shared" si="231"/>
        <v>0</v>
      </c>
    </row>
    <row r="3664" spans="5:23" x14ac:dyDescent="0.25">
      <c r="E3664" s="4"/>
      <c r="F3664" s="4"/>
      <c r="G3664" s="33" t="str">
        <f>IFERROR(VLOOKUP($D3664,'Informations sur les produits'!$A$3:$H$10000,8,FALSE),"0")</f>
        <v>0</v>
      </c>
      <c r="K3664" s="4"/>
      <c r="L3664" s="33" t="str">
        <f>IFERROR(VLOOKUP($J3664,'Informations sur les produits'!$A$3:$H$10000,8,FALSE),"0")</f>
        <v>0</v>
      </c>
      <c r="N3664" s="8"/>
      <c r="O3664" s="33" t="str">
        <f>IFERROR(VLOOKUP($M3664,'Informations sur les produits'!$A$3:$H$10000,8,FALSE),"0")</f>
        <v>0</v>
      </c>
      <c r="P3664" s="33">
        <f t="shared" si="228"/>
        <v>0</v>
      </c>
      <c r="Q3664" s="31" t="str">
        <f t="shared" si="229"/>
        <v/>
      </c>
      <c r="R3664" s="32" t="str">
        <f>IFERROR(VLOOKUP($D3664,'Informations sur les produits'!$A$3:$B$15000,2,FALSE),"")</f>
        <v/>
      </c>
      <c r="V3664">
        <f t="shared" si="230"/>
        <v>0</v>
      </c>
      <c r="W3664">
        <f t="shared" si="231"/>
        <v>0</v>
      </c>
    </row>
    <row r="3665" spans="5:23" x14ac:dyDescent="0.25">
      <c r="E3665" s="4"/>
      <c r="F3665" s="4"/>
      <c r="G3665" s="33" t="str">
        <f>IFERROR(VLOOKUP($D3665,'Informations sur les produits'!$A$3:$H$10000,8,FALSE),"0")</f>
        <v>0</v>
      </c>
      <c r="K3665" s="4"/>
      <c r="L3665" s="33" t="str">
        <f>IFERROR(VLOOKUP($J3665,'Informations sur les produits'!$A$3:$H$10000,8,FALSE),"0")</f>
        <v>0</v>
      </c>
      <c r="N3665" s="8"/>
      <c r="O3665" s="33" t="str">
        <f>IFERROR(VLOOKUP($M3665,'Informations sur les produits'!$A$3:$H$10000,8,FALSE),"0")</f>
        <v>0</v>
      </c>
      <c r="P3665" s="33">
        <f t="shared" si="228"/>
        <v>0</v>
      </c>
      <c r="Q3665" s="31" t="str">
        <f t="shared" si="229"/>
        <v/>
      </c>
      <c r="R3665" s="32" t="str">
        <f>IFERROR(VLOOKUP($D3665,'Informations sur les produits'!$A$3:$B$15000,2,FALSE),"")</f>
        <v/>
      </c>
      <c r="V3665">
        <f t="shared" si="230"/>
        <v>0</v>
      </c>
      <c r="W3665">
        <f t="shared" si="231"/>
        <v>0</v>
      </c>
    </row>
    <row r="3666" spans="5:23" x14ac:dyDescent="0.25">
      <c r="E3666" s="4"/>
      <c r="F3666" s="4"/>
      <c r="G3666" s="33" t="str">
        <f>IFERROR(VLOOKUP($D3666,'Informations sur les produits'!$A$3:$H$10000,8,FALSE),"0")</f>
        <v>0</v>
      </c>
      <c r="K3666" s="4"/>
      <c r="L3666" s="33" t="str">
        <f>IFERROR(VLOOKUP($J3666,'Informations sur les produits'!$A$3:$H$10000,8,FALSE),"0")</f>
        <v>0</v>
      </c>
      <c r="N3666" s="8"/>
      <c r="O3666" s="33" t="str">
        <f>IFERROR(VLOOKUP($M3666,'Informations sur les produits'!$A$3:$H$10000,8,FALSE),"0")</f>
        <v>0</v>
      </c>
      <c r="P3666" s="33">
        <f t="shared" si="228"/>
        <v>0</v>
      </c>
      <c r="Q3666" s="31" t="str">
        <f t="shared" si="229"/>
        <v/>
      </c>
      <c r="R3666" s="32" t="str">
        <f>IFERROR(VLOOKUP($D3666,'Informations sur les produits'!$A$3:$B$15000,2,FALSE),"")</f>
        <v/>
      </c>
      <c r="V3666">
        <f t="shared" si="230"/>
        <v>0</v>
      </c>
      <c r="W3666">
        <f t="shared" si="231"/>
        <v>0</v>
      </c>
    </row>
    <row r="3667" spans="5:23" x14ac:dyDescent="0.25">
      <c r="E3667" s="4"/>
      <c r="F3667" s="4"/>
      <c r="G3667" s="33" t="str">
        <f>IFERROR(VLOOKUP($D3667,'Informations sur les produits'!$A$3:$H$10000,8,FALSE),"0")</f>
        <v>0</v>
      </c>
      <c r="K3667" s="4"/>
      <c r="L3667" s="33" t="str">
        <f>IFERROR(VLOOKUP($J3667,'Informations sur les produits'!$A$3:$H$10000,8,FALSE),"0")</f>
        <v>0</v>
      </c>
      <c r="N3667" s="8"/>
      <c r="O3667" s="33" t="str">
        <f>IFERROR(VLOOKUP($M3667,'Informations sur les produits'!$A$3:$H$10000,8,FALSE),"0")</f>
        <v>0</v>
      </c>
      <c r="P3667" s="33">
        <f t="shared" si="228"/>
        <v>0</v>
      </c>
      <c r="Q3667" s="31" t="str">
        <f t="shared" si="229"/>
        <v/>
      </c>
      <c r="R3667" s="32" t="str">
        <f>IFERROR(VLOOKUP($D3667,'Informations sur les produits'!$A$3:$B$15000,2,FALSE),"")</f>
        <v/>
      </c>
      <c r="V3667">
        <f t="shared" si="230"/>
        <v>0</v>
      </c>
      <c r="W3667">
        <f t="shared" si="231"/>
        <v>0</v>
      </c>
    </row>
    <row r="3668" spans="5:23" x14ac:dyDescent="0.25">
      <c r="E3668" s="4"/>
      <c r="F3668" s="4"/>
      <c r="G3668" s="33" t="str">
        <f>IFERROR(VLOOKUP($D3668,'Informations sur les produits'!$A$3:$H$10000,8,FALSE),"0")</f>
        <v>0</v>
      </c>
      <c r="K3668" s="4"/>
      <c r="L3668" s="33" t="str">
        <f>IFERROR(VLOOKUP($J3668,'Informations sur les produits'!$A$3:$H$10000,8,FALSE),"0")</f>
        <v>0</v>
      </c>
      <c r="N3668" s="8"/>
      <c r="O3668" s="33" t="str">
        <f>IFERROR(VLOOKUP($M3668,'Informations sur les produits'!$A$3:$H$10000,8,FALSE),"0")</f>
        <v>0</v>
      </c>
      <c r="P3668" s="33">
        <f t="shared" si="228"/>
        <v>0</v>
      </c>
      <c r="Q3668" s="31" t="str">
        <f t="shared" si="229"/>
        <v/>
      </c>
      <c r="R3668" s="32" t="str">
        <f>IFERROR(VLOOKUP($D3668,'Informations sur les produits'!$A$3:$B$15000,2,FALSE),"")</f>
        <v/>
      </c>
      <c r="V3668">
        <f t="shared" si="230"/>
        <v>0</v>
      </c>
      <c r="W3668">
        <f t="shared" si="231"/>
        <v>0</v>
      </c>
    </row>
    <row r="3669" spans="5:23" x14ac:dyDescent="0.25">
      <c r="E3669" s="4"/>
      <c r="F3669" s="4"/>
      <c r="G3669" s="33" t="str">
        <f>IFERROR(VLOOKUP($D3669,'Informations sur les produits'!$A$3:$H$10000,8,FALSE),"0")</f>
        <v>0</v>
      </c>
      <c r="K3669" s="4"/>
      <c r="L3669" s="33" t="str">
        <f>IFERROR(VLOOKUP($J3669,'Informations sur les produits'!$A$3:$H$10000,8,FALSE),"0")</f>
        <v>0</v>
      </c>
      <c r="N3669" s="8"/>
      <c r="O3669" s="33" t="str">
        <f>IFERROR(VLOOKUP($M3669,'Informations sur les produits'!$A$3:$H$10000,8,FALSE),"0")</f>
        <v>0</v>
      </c>
      <c r="P3669" s="33">
        <f t="shared" si="228"/>
        <v>0</v>
      </c>
      <c r="Q3669" s="31" t="str">
        <f t="shared" si="229"/>
        <v/>
      </c>
      <c r="R3669" s="32" t="str">
        <f>IFERROR(VLOOKUP($D3669,'Informations sur les produits'!$A$3:$B$15000,2,FALSE),"")</f>
        <v/>
      </c>
      <c r="V3669">
        <f t="shared" si="230"/>
        <v>0</v>
      </c>
      <c r="W3669">
        <f t="shared" si="231"/>
        <v>0</v>
      </c>
    </row>
    <row r="3670" spans="5:23" x14ac:dyDescent="0.25">
      <c r="E3670" s="4"/>
      <c r="F3670" s="4"/>
      <c r="G3670" s="33" t="str">
        <f>IFERROR(VLOOKUP($D3670,'Informations sur les produits'!$A$3:$H$10000,8,FALSE),"0")</f>
        <v>0</v>
      </c>
      <c r="K3670" s="4"/>
      <c r="L3670" s="33" t="str">
        <f>IFERROR(VLOOKUP($J3670,'Informations sur les produits'!$A$3:$H$10000,8,FALSE),"0")</f>
        <v>0</v>
      </c>
      <c r="N3670" s="8"/>
      <c r="O3670" s="33" t="str">
        <f>IFERROR(VLOOKUP($M3670,'Informations sur les produits'!$A$3:$H$10000,8,FALSE),"0")</f>
        <v>0</v>
      </c>
      <c r="P3670" s="33">
        <f t="shared" si="228"/>
        <v>0</v>
      </c>
      <c r="Q3670" s="31" t="str">
        <f t="shared" si="229"/>
        <v/>
      </c>
      <c r="R3670" s="32" t="str">
        <f>IFERROR(VLOOKUP($D3670,'Informations sur les produits'!$A$3:$B$15000,2,FALSE),"")</f>
        <v/>
      </c>
      <c r="V3670">
        <f t="shared" si="230"/>
        <v>0</v>
      </c>
      <c r="W3670">
        <f t="shared" si="231"/>
        <v>0</v>
      </c>
    </row>
    <row r="3671" spans="5:23" x14ac:dyDescent="0.25">
      <c r="E3671" s="4"/>
      <c r="F3671" s="4"/>
      <c r="G3671" s="33" t="str">
        <f>IFERROR(VLOOKUP($D3671,'Informations sur les produits'!$A$3:$H$10000,8,FALSE),"0")</f>
        <v>0</v>
      </c>
      <c r="K3671" s="4"/>
      <c r="L3671" s="33" t="str">
        <f>IFERROR(VLOOKUP($J3671,'Informations sur les produits'!$A$3:$H$10000,8,FALSE),"0")</f>
        <v>0</v>
      </c>
      <c r="N3671" s="8"/>
      <c r="O3671" s="33" t="str">
        <f>IFERROR(VLOOKUP($M3671,'Informations sur les produits'!$A$3:$H$10000,8,FALSE),"0")</f>
        <v>0</v>
      </c>
      <c r="P3671" s="33">
        <f t="shared" si="228"/>
        <v>0</v>
      </c>
      <c r="Q3671" s="31" t="str">
        <f t="shared" si="229"/>
        <v/>
      </c>
      <c r="R3671" s="32" t="str">
        <f>IFERROR(VLOOKUP($D3671,'Informations sur les produits'!$A$3:$B$15000,2,FALSE),"")</f>
        <v/>
      </c>
      <c r="V3671">
        <f t="shared" si="230"/>
        <v>0</v>
      </c>
      <c r="W3671">
        <f t="shared" si="231"/>
        <v>0</v>
      </c>
    </row>
    <row r="3672" spans="5:23" x14ac:dyDescent="0.25">
      <c r="E3672" s="4"/>
      <c r="F3672" s="4"/>
      <c r="G3672" s="33" t="str">
        <f>IFERROR(VLOOKUP($D3672,'Informations sur les produits'!$A$3:$H$10000,8,FALSE),"0")</f>
        <v>0</v>
      </c>
      <c r="K3672" s="4"/>
      <c r="L3672" s="33" t="str">
        <f>IFERROR(VLOOKUP($J3672,'Informations sur les produits'!$A$3:$H$10000,8,FALSE),"0")</f>
        <v>0</v>
      </c>
      <c r="N3672" s="8"/>
      <c r="O3672" s="33" t="str">
        <f>IFERROR(VLOOKUP($M3672,'Informations sur les produits'!$A$3:$H$10000,8,FALSE),"0")</f>
        <v>0</v>
      </c>
      <c r="P3672" s="33">
        <f t="shared" si="228"/>
        <v>0</v>
      </c>
      <c r="Q3672" s="31" t="str">
        <f t="shared" si="229"/>
        <v/>
      </c>
      <c r="R3672" s="32" t="str">
        <f>IFERROR(VLOOKUP($D3672,'Informations sur les produits'!$A$3:$B$15000,2,FALSE),"")</f>
        <v/>
      </c>
      <c r="V3672">
        <f t="shared" si="230"/>
        <v>0</v>
      </c>
      <c r="W3672">
        <f t="shared" si="231"/>
        <v>0</v>
      </c>
    </row>
    <row r="3673" spans="5:23" x14ac:dyDescent="0.25">
      <c r="E3673" s="4"/>
      <c r="F3673" s="4"/>
      <c r="G3673" s="33" t="str">
        <f>IFERROR(VLOOKUP($D3673,'Informations sur les produits'!$A$3:$H$10000,8,FALSE),"0")</f>
        <v>0</v>
      </c>
      <c r="K3673" s="4"/>
      <c r="L3673" s="33" t="str">
        <f>IFERROR(VLOOKUP($J3673,'Informations sur les produits'!$A$3:$H$10000,8,FALSE),"0")</f>
        <v>0</v>
      </c>
      <c r="N3673" s="8"/>
      <c r="O3673" s="33" t="str">
        <f>IFERROR(VLOOKUP($M3673,'Informations sur les produits'!$A$3:$H$10000,8,FALSE),"0")</f>
        <v>0</v>
      </c>
      <c r="P3673" s="33">
        <f t="shared" si="228"/>
        <v>0</v>
      </c>
      <c r="Q3673" s="31" t="str">
        <f t="shared" si="229"/>
        <v/>
      </c>
      <c r="R3673" s="32" t="str">
        <f>IFERROR(VLOOKUP($D3673,'Informations sur les produits'!$A$3:$B$15000,2,FALSE),"")</f>
        <v/>
      </c>
      <c r="V3673">
        <f t="shared" si="230"/>
        <v>0</v>
      </c>
      <c r="W3673">
        <f t="shared" si="231"/>
        <v>0</v>
      </c>
    </row>
    <row r="3674" spans="5:23" x14ac:dyDescent="0.25">
      <c r="E3674" s="4"/>
      <c r="F3674" s="4"/>
      <c r="G3674" s="33" t="str">
        <f>IFERROR(VLOOKUP($D3674,'Informations sur les produits'!$A$3:$H$10000,8,FALSE),"0")</f>
        <v>0</v>
      </c>
      <c r="K3674" s="4"/>
      <c r="L3674" s="33" t="str">
        <f>IFERROR(VLOOKUP($J3674,'Informations sur les produits'!$A$3:$H$10000,8,FALSE),"0")</f>
        <v>0</v>
      </c>
      <c r="N3674" s="8"/>
      <c r="O3674" s="33" t="str">
        <f>IFERROR(VLOOKUP($M3674,'Informations sur les produits'!$A$3:$H$10000,8,FALSE),"0")</f>
        <v>0</v>
      </c>
      <c r="P3674" s="33">
        <f t="shared" si="228"/>
        <v>0</v>
      </c>
      <c r="Q3674" s="31" t="str">
        <f t="shared" si="229"/>
        <v/>
      </c>
      <c r="R3674" s="32" t="str">
        <f>IFERROR(VLOOKUP($D3674,'Informations sur les produits'!$A$3:$B$15000,2,FALSE),"")</f>
        <v/>
      </c>
      <c r="V3674">
        <f t="shared" si="230"/>
        <v>0</v>
      </c>
      <c r="W3674">
        <f t="shared" si="231"/>
        <v>0</v>
      </c>
    </row>
    <row r="3675" spans="5:23" x14ac:dyDescent="0.25">
      <c r="E3675" s="4"/>
      <c r="F3675" s="4"/>
      <c r="G3675" s="33" t="str">
        <f>IFERROR(VLOOKUP($D3675,'Informations sur les produits'!$A$3:$H$10000,8,FALSE),"0")</f>
        <v>0</v>
      </c>
      <c r="K3675" s="4"/>
      <c r="L3675" s="33" t="str">
        <f>IFERROR(VLOOKUP($J3675,'Informations sur les produits'!$A$3:$H$10000,8,FALSE),"0")</f>
        <v>0</v>
      </c>
      <c r="N3675" s="8"/>
      <c r="O3675" s="33" t="str">
        <f>IFERROR(VLOOKUP($M3675,'Informations sur les produits'!$A$3:$H$10000,8,FALSE),"0")</f>
        <v>0</v>
      </c>
      <c r="P3675" s="33">
        <f t="shared" si="228"/>
        <v>0</v>
      </c>
      <c r="Q3675" s="31" t="str">
        <f t="shared" si="229"/>
        <v/>
      </c>
      <c r="R3675" s="32" t="str">
        <f>IFERROR(VLOOKUP($D3675,'Informations sur les produits'!$A$3:$B$15000,2,FALSE),"")</f>
        <v/>
      </c>
      <c r="V3675">
        <f t="shared" si="230"/>
        <v>0</v>
      </c>
      <c r="W3675">
        <f t="shared" si="231"/>
        <v>0</v>
      </c>
    </row>
    <row r="3676" spans="5:23" x14ac:dyDescent="0.25">
      <c r="E3676" s="4"/>
      <c r="F3676" s="4"/>
      <c r="G3676" s="33" t="str">
        <f>IFERROR(VLOOKUP($D3676,'Informations sur les produits'!$A$3:$H$10000,8,FALSE),"0")</f>
        <v>0</v>
      </c>
      <c r="K3676" s="4"/>
      <c r="L3676" s="33" t="str">
        <f>IFERROR(VLOOKUP($J3676,'Informations sur les produits'!$A$3:$H$10000,8,FALSE),"0")</f>
        <v>0</v>
      </c>
      <c r="N3676" s="8"/>
      <c r="O3676" s="33" t="str">
        <f>IFERROR(VLOOKUP($M3676,'Informations sur les produits'!$A$3:$H$10000,8,FALSE),"0")</f>
        <v>0</v>
      </c>
      <c r="P3676" s="33">
        <f t="shared" si="228"/>
        <v>0</v>
      </c>
      <c r="Q3676" s="31" t="str">
        <f t="shared" si="229"/>
        <v/>
      </c>
      <c r="R3676" s="32" t="str">
        <f>IFERROR(VLOOKUP($D3676,'Informations sur les produits'!$A$3:$B$15000,2,FALSE),"")</f>
        <v/>
      </c>
      <c r="V3676">
        <f t="shared" si="230"/>
        <v>0</v>
      </c>
      <c r="W3676">
        <f t="shared" si="231"/>
        <v>0</v>
      </c>
    </row>
    <row r="3677" spans="5:23" x14ac:dyDescent="0.25">
      <c r="E3677" s="4"/>
      <c r="F3677" s="4"/>
      <c r="G3677" s="33" t="str">
        <f>IFERROR(VLOOKUP($D3677,'Informations sur les produits'!$A$3:$H$10000,8,FALSE),"0")</f>
        <v>0</v>
      </c>
      <c r="K3677" s="4"/>
      <c r="L3677" s="33" t="str">
        <f>IFERROR(VLOOKUP($J3677,'Informations sur les produits'!$A$3:$H$10000,8,FALSE),"0")</f>
        <v>0</v>
      </c>
      <c r="N3677" s="8"/>
      <c r="O3677" s="33" t="str">
        <f>IFERROR(VLOOKUP($M3677,'Informations sur les produits'!$A$3:$H$10000,8,FALSE),"0")</f>
        <v>0</v>
      </c>
      <c r="P3677" s="33">
        <f t="shared" si="228"/>
        <v>0</v>
      </c>
      <c r="Q3677" s="31" t="str">
        <f t="shared" si="229"/>
        <v/>
      </c>
      <c r="R3677" s="32" t="str">
        <f>IFERROR(VLOOKUP($D3677,'Informations sur les produits'!$A$3:$B$15000,2,FALSE),"")</f>
        <v/>
      </c>
      <c r="V3677">
        <f t="shared" si="230"/>
        <v>0</v>
      </c>
      <c r="W3677">
        <f t="shared" si="231"/>
        <v>0</v>
      </c>
    </row>
    <row r="3678" spans="5:23" x14ac:dyDescent="0.25">
      <c r="E3678" s="4"/>
      <c r="F3678" s="4"/>
      <c r="G3678" s="33" t="str">
        <f>IFERROR(VLOOKUP($D3678,'Informations sur les produits'!$A$3:$H$10000,8,FALSE),"0")</f>
        <v>0</v>
      </c>
      <c r="K3678" s="4"/>
      <c r="L3678" s="33" t="str">
        <f>IFERROR(VLOOKUP($J3678,'Informations sur les produits'!$A$3:$H$10000,8,FALSE),"0")</f>
        <v>0</v>
      </c>
      <c r="N3678" s="8"/>
      <c r="O3678" s="33" t="str">
        <f>IFERROR(VLOOKUP($M3678,'Informations sur les produits'!$A$3:$H$10000,8,FALSE),"0")</f>
        <v>0</v>
      </c>
      <c r="P3678" s="33">
        <f t="shared" si="228"/>
        <v>0</v>
      </c>
      <c r="Q3678" s="31" t="str">
        <f t="shared" si="229"/>
        <v/>
      </c>
      <c r="R3678" s="32" t="str">
        <f>IFERROR(VLOOKUP($D3678,'Informations sur les produits'!$A$3:$B$15000,2,FALSE),"")</f>
        <v/>
      </c>
      <c r="V3678">
        <f t="shared" si="230"/>
        <v>0</v>
      </c>
      <c r="W3678">
        <f t="shared" si="231"/>
        <v>0</v>
      </c>
    </row>
    <row r="3679" spans="5:23" x14ac:dyDescent="0.25">
      <c r="E3679" s="4"/>
      <c r="F3679" s="4"/>
      <c r="G3679" s="33" t="str">
        <f>IFERROR(VLOOKUP($D3679,'Informations sur les produits'!$A$3:$H$10000,8,FALSE),"0")</f>
        <v>0</v>
      </c>
      <c r="K3679" s="4"/>
      <c r="L3679" s="33" t="str">
        <f>IFERROR(VLOOKUP($J3679,'Informations sur les produits'!$A$3:$H$10000,8,FALSE),"0")</f>
        <v>0</v>
      </c>
      <c r="N3679" s="8"/>
      <c r="O3679" s="33" t="str">
        <f>IFERROR(VLOOKUP($M3679,'Informations sur les produits'!$A$3:$H$10000,8,FALSE),"0")</f>
        <v>0</v>
      </c>
      <c r="P3679" s="33">
        <f t="shared" si="228"/>
        <v>0</v>
      </c>
      <c r="Q3679" s="31" t="str">
        <f t="shared" si="229"/>
        <v/>
      </c>
      <c r="R3679" s="32" t="str">
        <f>IFERROR(VLOOKUP($D3679,'Informations sur les produits'!$A$3:$B$15000,2,FALSE),"")</f>
        <v/>
      </c>
      <c r="V3679">
        <f t="shared" si="230"/>
        <v>0</v>
      </c>
      <c r="W3679">
        <f t="shared" si="231"/>
        <v>0</v>
      </c>
    </row>
    <row r="3680" spans="5:23" x14ac:dyDescent="0.25">
      <c r="E3680" s="4"/>
      <c r="F3680" s="4"/>
      <c r="G3680" s="33" t="str">
        <f>IFERROR(VLOOKUP($D3680,'Informations sur les produits'!$A$3:$H$10000,8,FALSE),"0")</f>
        <v>0</v>
      </c>
      <c r="K3680" s="4"/>
      <c r="L3680" s="33" t="str">
        <f>IFERROR(VLOOKUP($J3680,'Informations sur les produits'!$A$3:$H$10000,8,FALSE),"0")</f>
        <v>0</v>
      </c>
      <c r="N3680" s="8"/>
      <c r="O3680" s="33" t="str">
        <f>IFERROR(VLOOKUP($M3680,'Informations sur les produits'!$A$3:$H$10000,8,FALSE),"0")</f>
        <v>0</v>
      </c>
      <c r="P3680" s="33">
        <f t="shared" si="228"/>
        <v>0</v>
      </c>
      <c r="Q3680" s="31" t="str">
        <f t="shared" si="229"/>
        <v/>
      </c>
      <c r="R3680" s="32" t="str">
        <f>IFERROR(VLOOKUP($D3680,'Informations sur les produits'!$A$3:$B$15000,2,FALSE),"")</f>
        <v/>
      </c>
      <c r="V3680">
        <f t="shared" si="230"/>
        <v>0</v>
      </c>
      <c r="W3680">
        <f t="shared" si="231"/>
        <v>0</v>
      </c>
    </row>
    <row r="3681" spans="5:23" x14ac:dyDescent="0.25">
      <c r="E3681" s="4"/>
      <c r="F3681" s="4"/>
      <c r="G3681" s="33" t="str">
        <f>IFERROR(VLOOKUP($D3681,'Informations sur les produits'!$A$3:$H$10000,8,FALSE),"0")</f>
        <v>0</v>
      </c>
      <c r="K3681" s="4"/>
      <c r="L3681" s="33" t="str">
        <f>IFERROR(VLOOKUP($J3681,'Informations sur les produits'!$A$3:$H$10000,8,FALSE),"0")</f>
        <v>0</v>
      </c>
      <c r="N3681" s="8"/>
      <c r="O3681" s="33" t="str">
        <f>IFERROR(VLOOKUP($M3681,'Informations sur les produits'!$A$3:$H$10000,8,FALSE),"0")</f>
        <v>0</v>
      </c>
      <c r="P3681" s="33">
        <f t="shared" si="228"/>
        <v>0</v>
      </c>
      <c r="Q3681" s="31" t="str">
        <f t="shared" si="229"/>
        <v/>
      </c>
      <c r="R3681" s="32" t="str">
        <f>IFERROR(VLOOKUP($D3681,'Informations sur les produits'!$A$3:$B$15000,2,FALSE),"")</f>
        <v/>
      </c>
      <c r="V3681">
        <f t="shared" si="230"/>
        <v>0</v>
      </c>
      <c r="W3681">
        <f t="shared" si="231"/>
        <v>0</v>
      </c>
    </row>
    <row r="3682" spans="5:23" x14ac:dyDescent="0.25">
      <c r="E3682" s="4"/>
      <c r="F3682" s="4"/>
      <c r="G3682" s="33" t="str">
        <f>IFERROR(VLOOKUP($D3682,'Informations sur les produits'!$A$3:$H$10000,8,FALSE),"0")</f>
        <v>0</v>
      </c>
      <c r="K3682" s="4"/>
      <c r="L3682" s="33" t="str">
        <f>IFERROR(VLOOKUP($J3682,'Informations sur les produits'!$A$3:$H$10000,8,FALSE),"0")</f>
        <v>0</v>
      </c>
      <c r="N3682" s="8"/>
      <c r="O3682" s="33" t="str">
        <f>IFERROR(VLOOKUP($M3682,'Informations sur les produits'!$A$3:$H$10000,8,FALSE),"0")</f>
        <v>0</v>
      </c>
      <c r="P3682" s="33">
        <f t="shared" si="228"/>
        <v>0</v>
      </c>
      <c r="Q3682" s="31" t="str">
        <f t="shared" si="229"/>
        <v/>
      </c>
      <c r="R3682" s="32" t="str">
        <f>IFERROR(VLOOKUP($D3682,'Informations sur les produits'!$A$3:$B$15000,2,FALSE),"")</f>
        <v/>
      </c>
      <c r="V3682">
        <f t="shared" si="230"/>
        <v>0</v>
      </c>
      <c r="W3682">
        <f t="shared" si="231"/>
        <v>0</v>
      </c>
    </row>
    <row r="3683" spans="5:23" x14ac:dyDescent="0.25">
      <c r="E3683" s="4"/>
      <c r="F3683" s="4"/>
      <c r="G3683" s="33" t="str">
        <f>IFERROR(VLOOKUP($D3683,'Informations sur les produits'!$A$3:$H$10000,8,FALSE),"0")</f>
        <v>0</v>
      </c>
      <c r="K3683" s="4"/>
      <c r="L3683" s="33" t="str">
        <f>IFERROR(VLOOKUP($J3683,'Informations sur les produits'!$A$3:$H$10000,8,FALSE),"0")</f>
        <v>0</v>
      </c>
      <c r="N3683" s="8"/>
      <c r="O3683" s="33" t="str">
        <f>IFERROR(VLOOKUP($M3683,'Informations sur les produits'!$A$3:$H$10000,8,FALSE),"0")</f>
        <v>0</v>
      </c>
      <c r="P3683" s="33">
        <f t="shared" si="228"/>
        <v>0</v>
      </c>
      <c r="Q3683" s="31" t="str">
        <f t="shared" si="229"/>
        <v/>
      </c>
      <c r="R3683" s="32" t="str">
        <f>IFERROR(VLOOKUP($D3683,'Informations sur les produits'!$A$3:$B$15000,2,FALSE),"")</f>
        <v/>
      </c>
      <c r="V3683">
        <f t="shared" si="230"/>
        <v>0</v>
      </c>
      <c r="W3683">
        <f t="shared" si="231"/>
        <v>0</v>
      </c>
    </row>
    <row r="3684" spans="5:23" x14ac:dyDescent="0.25">
      <c r="E3684" s="4"/>
      <c r="F3684" s="4"/>
      <c r="G3684" s="33" t="str">
        <f>IFERROR(VLOOKUP($D3684,'Informations sur les produits'!$A$3:$H$10000,8,FALSE),"0")</f>
        <v>0</v>
      </c>
      <c r="K3684" s="4"/>
      <c r="L3684" s="33" t="str">
        <f>IFERROR(VLOOKUP($J3684,'Informations sur les produits'!$A$3:$H$10000,8,FALSE),"0")</f>
        <v>0</v>
      </c>
      <c r="N3684" s="8"/>
      <c r="O3684" s="33" t="str">
        <f>IFERROR(VLOOKUP($M3684,'Informations sur les produits'!$A$3:$H$10000,8,FALSE),"0")</f>
        <v>0</v>
      </c>
      <c r="P3684" s="33">
        <f t="shared" si="228"/>
        <v>0</v>
      </c>
      <c r="Q3684" s="31" t="str">
        <f t="shared" si="229"/>
        <v/>
      </c>
      <c r="R3684" s="32" t="str">
        <f>IFERROR(VLOOKUP($D3684,'Informations sur les produits'!$A$3:$B$15000,2,FALSE),"")</f>
        <v/>
      </c>
      <c r="V3684">
        <f t="shared" si="230"/>
        <v>0</v>
      </c>
      <c r="W3684">
        <f t="shared" si="231"/>
        <v>0</v>
      </c>
    </row>
    <row r="3685" spans="5:23" x14ac:dyDescent="0.25">
      <c r="E3685" s="4"/>
      <c r="F3685" s="4"/>
      <c r="G3685" s="33" t="str">
        <f>IFERROR(VLOOKUP($D3685,'Informations sur les produits'!$A$3:$H$10000,8,FALSE),"0")</f>
        <v>0</v>
      </c>
      <c r="K3685" s="4"/>
      <c r="L3685" s="33" t="str">
        <f>IFERROR(VLOOKUP($J3685,'Informations sur les produits'!$A$3:$H$10000,8,FALSE),"0")</f>
        <v>0</v>
      </c>
      <c r="N3685" s="8"/>
      <c r="O3685" s="33" t="str">
        <f>IFERROR(VLOOKUP($M3685,'Informations sur les produits'!$A$3:$H$10000,8,FALSE),"0")</f>
        <v>0</v>
      </c>
      <c r="P3685" s="33">
        <f t="shared" si="228"/>
        <v>0</v>
      </c>
      <c r="Q3685" s="31" t="str">
        <f t="shared" si="229"/>
        <v/>
      </c>
      <c r="R3685" s="32" t="str">
        <f>IFERROR(VLOOKUP($D3685,'Informations sur les produits'!$A$3:$B$15000,2,FALSE),"")</f>
        <v/>
      </c>
      <c r="V3685">
        <f t="shared" si="230"/>
        <v>0</v>
      </c>
      <c r="W3685">
        <f t="shared" si="231"/>
        <v>0</v>
      </c>
    </row>
    <row r="3686" spans="5:23" x14ac:dyDescent="0.25">
      <c r="E3686" s="4"/>
      <c r="F3686" s="4"/>
      <c r="G3686" s="33" t="str">
        <f>IFERROR(VLOOKUP($D3686,'Informations sur les produits'!$A$3:$H$10000,8,FALSE),"0")</f>
        <v>0</v>
      </c>
      <c r="K3686" s="4"/>
      <c r="L3686" s="33" t="str">
        <f>IFERROR(VLOOKUP($J3686,'Informations sur les produits'!$A$3:$H$10000,8,FALSE),"0")</f>
        <v>0</v>
      </c>
      <c r="N3686" s="8"/>
      <c r="O3686" s="33" t="str">
        <f>IFERROR(VLOOKUP($M3686,'Informations sur les produits'!$A$3:$H$10000,8,FALSE),"0")</f>
        <v>0</v>
      </c>
      <c r="P3686" s="33">
        <f t="shared" si="228"/>
        <v>0</v>
      </c>
      <c r="Q3686" s="31" t="str">
        <f t="shared" si="229"/>
        <v/>
      </c>
      <c r="R3686" s="32" t="str">
        <f>IFERROR(VLOOKUP($D3686,'Informations sur les produits'!$A$3:$B$15000,2,FALSE),"")</f>
        <v/>
      </c>
      <c r="V3686">
        <f t="shared" si="230"/>
        <v>0</v>
      </c>
      <c r="W3686">
        <f t="shared" si="231"/>
        <v>0</v>
      </c>
    </row>
    <row r="3687" spans="5:23" x14ac:dyDescent="0.25">
      <c r="E3687" s="4"/>
      <c r="F3687" s="4"/>
      <c r="G3687" s="33" t="str">
        <f>IFERROR(VLOOKUP($D3687,'Informations sur les produits'!$A$3:$H$10000,8,FALSE),"0")</f>
        <v>0</v>
      </c>
      <c r="K3687" s="4"/>
      <c r="L3687" s="33" t="str">
        <f>IFERROR(VLOOKUP($J3687,'Informations sur les produits'!$A$3:$H$10000,8,FALSE),"0")</f>
        <v>0</v>
      </c>
      <c r="N3687" s="8"/>
      <c r="O3687" s="33" t="str">
        <f>IFERROR(VLOOKUP($M3687,'Informations sur les produits'!$A$3:$H$10000,8,FALSE),"0")</f>
        <v>0</v>
      </c>
      <c r="P3687" s="33">
        <f t="shared" si="228"/>
        <v>0</v>
      </c>
      <c r="Q3687" s="31" t="str">
        <f t="shared" si="229"/>
        <v/>
      </c>
      <c r="R3687" s="32" t="str">
        <f>IFERROR(VLOOKUP($D3687,'Informations sur les produits'!$A$3:$B$15000,2,FALSE),"")</f>
        <v/>
      </c>
      <c r="V3687">
        <f t="shared" si="230"/>
        <v>0</v>
      </c>
      <c r="W3687">
        <f t="shared" si="231"/>
        <v>0</v>
      </c>
    </row>
    <row r="3688" spans="5:23" x14ac:dyDescent="0.25">
      <c r="E3688" s="4"/>
      <c r="F3688" s="4"/>
      <c r="G3688" s="33" t="str">
        <f>IFERROR(VLOOKUP($D3688,'Informations sur les produits'!$A$3:$H$10000,8,FALSE),"0")</f>
        <v>0</v>
      </c>
      <c r="K3688" s="4"/>
      <c r="L3688" s="33" t="str">
        <f>IFERROR(VLOOKUP($J3688,'Informations sur les produits'!$A$3:$H$10000,8,FALSE),"0")</f>
        <v>0</v>
      </c>
      <c r="N3688" s="8"/>
      <c r="O3688" s="33" t="str">
        <f>IFERROR(VLOOKUP($M3688,'Informations sur les produits'!$A$3:$H$10000,8,FALSE),"0")</f>
        <v>0</v>
      </c>
      <c r="P3688" s="33">
        <f t="shared" si="228"/>
        <v>0</v>
      </c>
      <c r="Q3688" s="31" t="str">
        <f t="shared" si="229"/>
        <v/>
      </c>
      <c r="R3688" s="32" t="str">
        <f>IFERROR(VLOOKUP($D3688,'Informations sur les produits'!$A$3:$B$15000,2,FALSE),"")</f>
        <v/>
      </c>
      <c r="V3688">
        <f t="shared" si="230"/>
        <v>0</v>
      </c>
      <c r="W3688">
        <f t="shared" si="231"/>
        <v>0</v>
      </c>
    </row>
    <row r="3689" spans="5:23" x14ac:dyDescent="0.25">
      <c r="E3689" s="4"/>
      <c r="F3689" s="4"/>
      <c r="G3689" s="33" t="str">
        <f>IFERROR(VLOOKUP($D3689,'Informations sur les produits'!$A$3:$H$10000,8,FALSE),"0")</f>
        <v>0</v>
      </c>
      <c r="K3689" s="4"/>
      <c r="L3689" s="33" t="str">
        <f>IFERROR(VLOOKUP($J3689,'Informations sur les produits'!$A$3:$H$10000,8,FALSE),"0")</f>
        <v>0</v>
      </c>
      <c r="N3689" s="8"/>
      <c r="O3689" s="33" t="str">
        <f>IFERROR(VLOOKUP($M3689,'Informations sur les produits'!$A$3:$H$10000,8,FALSE),"0")</f>
        <v>0</v>
      </c>
      <c r="P3689" s="33">
        <f t="shared" si="228"/>
        <v>0</v>
      </c>
      <c r="Q3689" s="31" t="str">
        <f t="shared" si="229"/>
        <v/>
      </c>
      <c r="R3689" s="32" t="str">
        <f>IFERROR(VLOOKUP($D3689,'Informations sur les produits'!$A$3:$B$15000,2,FALSE),"")</f>
        <v/>
      </c>
      <c r="V3689">
        <f t="shared" si="230"/>
        <v>0</v>
      </c>
      <c r="W3689">
        <f t="shared" si="231"/>
        <v>0</v>
      </c>
    </row>
    <row r="3690" spans="5:23" x14ac:dyDescent="0.25">
      <c r="E3690" s="4"/>
      <c r="F3690" s="4"/>
      <c r="G3690" s="33" t="str">
        <f>IFERROR(VLOOKUP($D3690,'Informations sur les produits'!$A$3:$H$10000,8,FALSE),"0")</f>
        <v>0</v>
      </c>
      <c r="K3690" s="4"/>
      <c r="L3690" s="33" t="str">
        <f>IFERROR(VLOOKUP($J3690,'Informations sur les produits'!$A$3:$H$10000,8,FALSE),"0")</f>
        <v>0</v>
      </c>
      <c r="N3690" s="8"/>
      <c r="O3690" s="33" t="str">
        <f>IFERROR(VLOOKUP($M3690,'Informations sur les produits'!$A$3:$H$10000,8,FALSE),"0")</f>
        <v>0</v>
      </c>
      <c r="P3690" s="33">
        <f t="shared" si="228"/>
        <v>0</v>
      </c>
      <c r="Q3690" s="31" t="str">
        <f t="shared" si="229"/>
        <v/>
      </c>
      <c r="R3690" s="32" t="str">
        <f>IFERROR(VLOOKUP($D3690,'Informations sur les produits'!$A$3:$B$15000,2,FALSE),"")</f>
        <v/>
      </c>
      <c r="V3690">
        <f t="shared" si="230"/>
        <v>0</v>
      </c>
      <c r="W3690">
        <f t="shared" si="231"/>
        <v>0</v>
      </c>
    </row>
    <row r="3691" spans="5:23" x14ac:dyDescent="0.25">
      <c r="E3691" s="4"/>
      <c r="F3691" s="4"/>
      <c r="G3691" s="33" t="str">
        <f>IFERROR(VLOOKUP($D3691,'Informations sur les produits'!$A$3:$H$10000,8,FALSE),"0")</f>
        <v>0</v>
      </c>
      <c r="K3691" s="4"/>
      <c r="L3691" s="33" t="str">
        <f>IFERROR(VLOOKUP($J3691,'Informations sur les produits'!$A$3:$H$10000,8,FALSE),"0")</f>
        <v>0</v>
      </c>
      <c r="N3691" s="8"/>
      <c r="O3691" s="33" t="str">
        <f>IFERROR(VLOOKUP($M3691,'Informations sur les produits'!$A$3:$H$10000,8,FALSE),"0")</f>
        <v>0</v>
      </c>
      <c r="P3691" s="33">
        <f t="shared" si="228"/>
        <v>0</v>
      </c>
      <c r="Q3691" s="31" t="str">
        <f t="shared" si="229"/>
        <v/>
      </c>
      <c r="R3691" s="32" t="str">
        <f>IFERROR(VLOOKUP($D3691,'Informations sur les produits'!$A$3:$B$15000,2,FALSE),"")</f>
        <v/>
      </c>
      <c r="V3691">
        <f t="shared" si="230"/>
        <v>0</v>
      </c>
      <c r="W3691">
        <f t="shared" si="231"/>
        <v>0</v>
      </c>
    </row>
    <row r="3692" spans="5:23" x14ac:dyDescent="0.25">
      <c r="E3692" s="4"/>
      <c r="F3692" s="4"/>
      <c r="G3692" s="33" t="str">
        <f>IFERROR(VLOOKUP($D3692,'Informations sur les produits'!$A$3:$H$10000,8,FALSE),"0")</f>
        <v>0</v>
      </c>
      <c r="K3692" s="4"/>
      <c r="L3692" s="33" t="str">
        <f>IFERROR(VLOOKUP($J3692,'Informations sur les produits'!$A$3:$H$10000,8,FALSE),"0")</f>
        <v>0</v>
      </c>
      <c r="N3692" s="8"/>
      <c r="O3692" s="33" t="str">
        <f>IFERROR(VLOOKUP($M3692,'Informations sur les produits'!$A$3:$H$10000,8,FALSE),"0")</f>
        <v>0</v>
      </c>
      <c r="P3692" s="33">
        <f t="shared" si="228"/>
        <v>0</v>
      </c>
      <c r="Q3692" s="31" t="str">
        <f t="shared" si="229"/>
        <v/>
      </c>
      <c r="R3692" s="32" t="str">
        <f>IFERROR(VLOOKUP($D3692,'Informations sur les produits'!$A$3:$B$15000,2,FALSE),"")</f>
        <v/>
      </c>
      <c r="V3692">
        <f t="shared" si="230"/>
        <v>0</v>
      </c>
      <c r="W3692">
        <f t="shared" si="231"/>
        <v>0</v>
      </c>
    </row>
    <row r="3693" spans="5:23" x14ac:dyDescent="0.25">
      <c r="E3693" s="4"/>
      <c r="F3693" s="4"/>
      <c r="G3693" s="33" t="str">
        <f>IFERROR(VLOOKUP($D3693,'Informations sur les produits'!$A$3:$H$10000,8,FALSE),"0")</f>
        <v>0</v>
      </c>
      <c r="K3693" s="4"/>
      <c r="L3693" s="33" t="str">
        <f>IFERROR(VLOOKUP($J3693,'Informations sur les produits'!$A$3:$H$10000,8,FALSE),"0")</f>
        <v>0</v>
      </c>
      <c r="N3693" s="8"/>
      <c r="O3693" s="33" t="str">
        <f>IFERROR(VLOOKUP($M3693,'Informations sur les produits'!$A$3:$H$10000,8,FALSE),"0")</f>
        <v>0</v>
      </c>
      <c r="P3693" s="33">
        <f t="shared" si="228"/>
        <v>0</v>
      </c>
      <c r="Q3693" s="31" t="str">
        <f t="shared" si="229"/>
        <v/>
      </c>
      <c r="R3693" s="32" t="str">
        <f>IFERROR(VLOOKUP($D3693,'Informations sur les produits'!$A$3:$B$15000,2,FALSE),"")</f>
        <v/>
      </c>
      <c r="V3693">
        <f t="shared" si="230"/>
        <v>0</v>
      </c>
      <c r="W3693">
        <f t="shared" si="231"/>
        <v>0</v>
      </c>
    </row>
    <row r="3694" spans="5:23" x14ac:dyDescent="0.25">
      <c r="E3694" s="4"/>
      <c r="F3694" s="4"/>
      <c r="G3694" s="33" t="str">
        <f>IFERROR(VLOOKUP($D3694,'Informations sur les produits'!$A$3:$H$10000,8,FALSE),"0")</f>
        <v>0</v>
      </c>
      <c r="K3694" s="4"/>
      <c r="L3694" s="33" t="str">
        <f>IFERROR(VLOOKUP($J3694,'Informations sur les produits'!$A$3:$H$10000,8,FALSE),"0")</f>
        <v>0</v>
      </c>
      <c r="N3694" s="8"/>
      <c r="O3694" s="33" t="str">
        <f>IFERROR(VLOOKUP($M3694,'Informations sur les produits'!$A$3:$H$10000,8,FALSE),"0")</f>
        <v>0</v>
      </c>
      <c r="P3694" s="33">
        <f t="shared" si="228"/>
        <v>0</v>
      </c>
      <c r="Q3694" s="31" t="str">
        <f t="shared" si="229"/>
        <v/>
      </c>
      <c r="R3694" s="32" t="str">
        <f>IFERROR(VLOOKUP($D3694,'Informations sur les produits'!$A$3:$B$15000,2,FALSE),"")</f>
        <v/>
      </c>
      <c r="V3694">
        <f t="shared" si="230"/>
        <v>0</v>
      </c>
      <c r="W3694">
        <f t="shared" si="231"/>
        <v>0</v>
      </c>
    </row>
    <row r="3695" spans="5:23" x14ac:dyDescent="0.25">
      <c r="E3695" s="4"/>
      <c r="F3695" s="4"/>
      <c r="G3695" s="33" t="str">
        <f>IFERROR(VLOOKUP($D3695,'Informations sur les produits'!$A$3:$H$10000,8,FALSE),"0")</f>
        <v>0</v>
      </c>
      <c r="K3695" s="4"/>
      <c r="L3695" s="33" t="str">
        <f>IFERROR(VLOOKUP($J3695,'Informations sur les produits'!$A$3:$H$10000,8,FALSE),"0")</f>
        <v>0</v>
      </c>
      <c r="N3695" s="8"/>
      <c r="O3695" s="33" t="str">
        <f>IFERROR(VLOOKUP($M3695,'Informations sur les produits'!$A$3:$H$10000,8,FALSE),"0")</f>
        <v>0</v>
      </c>
      <c r="P3695" s="33">
        <f t="shared" si="228"/>
        <v>0</v>
      </c>
      <c r="Q3695" s="31" t="str">
        <f t="shared" si="229"/>
        <v/>
      </c>
      <c r="R3695" s="32" t="str">
        <f>IFERROR(VLOOKUP($D3695,'Informations sur les produits'!$A$3:$B$15000,2,FALSE),"")</f>
        <v/>
      </c>
      <c r="V3695">
        <f t="shared" si="230"/>
        <v>0</v>
      </c>
      <c r="W3695">
        <f t="shared" si="231"/>
        <v>0</v>
      </c>
    </row>
    <row r="3696" spans="5:23" x14ac:dyDescent="0.25">
      <c r="E3696" s="4"/>
      <c r="F3696" s="4"/>
      <c r="G3696" s="33" t="str">
        <f>IFERROR(VLOOKUP($D3696,'Informations sur les produits'!$A$3:$H$10000,8,FALSE),"0")</f>
        <v>0</v>
      </c>
      <c r="K3696" s="4"/>
      <c r="L3696" s="33" t="str">
        <f>IFERROR(VLOOKUP($J3696,'Informations sur les produits'!$A$3:$H$10000,8,FALSE),"0")</f>
        <v>0</v>
      </c>
      <c r="N3696" s="8"/>
      <c r="O3696" s="33" t="str">
        <f>IFERROR(VLOOKUP($M3696,'Informations sur les produits'!$A$3:$H$10000,8,FALSE),"0")</f>
        <v>0</v>
      </c>
      <c r="P3696" s="33">
        <f t="shared" si="228"/>
        <v>0</v>
      </c>
      <c r="Q3696" s="31" t="str">
        <f t="shared" si="229"/>
        <v/>
      </c>
      <c r="R3696" s="32" t="str">
        <f>IFERROR(VLOOKUP($D3696,'Informations sur les produits'!$A$3:$B$15000,2,FALSE),"")</f>
        <v/>
      </c>
      <c r="V3696">
        <f t="shared" si="230"/>
        <v>0</v>
      </c>
      <c r="W3696">
        <f t="shared" si="231"/>
        <v>0</v>
      </c>
    </row>
    <row r="3697" spans="5:23" x14ac:dyDescent="0.25">
      <c r="E3697" s="4"/>
      <c r="F3697" s="4"/>
      <c r="G3697" s="33" t="str">
        <f>IFERROR(VLOOKUP($D3697,'Informations sur les produits'!$A$3:$H$10000,8,FALSE),"0")</f>
        <v>0</v>
      </c>
      <c r="K3697" s="4"/>
      <c r="L3697" s="33" t="str">
        <f>IFERROR(VLOOKUP($J3697,'Informations sur les produits'!$A$3:$H$10000,8,FALSE),"0")</f>
        <v>0</v>
      </c>
      <c r="N3697" s="8"/>
      <c r="O3697" s="33" t="str">
        <f>IFERROR(VLOOKUP($M3697,'Informations sur les produits'!$A$3:$H$10000,8,FALSE),"0")</f>
        <v>0</v>
      </c>
      <c r="P3697" s="33">
        <f t="shared" si="228"/>
        <v>0</v>
      </c>
      <c r="Q3697" s="31" t="str">
        <f t="shared" si="229"/>
        <v/>
      </c>
      <c r="R3697" s="32" t="str">
        <f>IFERROR(VLOOKUP($D3697,'Informations sur les produits'!$A$3:$B$15000,2,FALSE),"")</f>
        <v/>
      </c>
      <c r="V3697">
        <f t="shared" si="230"/>
        <v>0</v>
      </c>
      <c r="W3697">
        <f t="shared" si="231"/>
        <v>0</v>
      </c>
    </row>
    <row r="3698" spans="5:23" x14ac:dyDescent="0.25">
      <c r="E3698" s="4"/>
      <c r="F3698" s="4"/>
      <c r="G3698" s="33" t="str">
        <f>IFERROR(VLOOKUP($D3698,'Informations sur les produits'!$A$3:$H$10000,8,FALSE),"0")</f>
        <v>0</v>
      </c>
      <c r="K3698" s="4"/>
      <c r="L3698" s="33" t="str">
        <f>IFERROR(VLOOKUP($J3698,'Informations sur les produits'!$A$3:$H$10000,8,FALSE),"0")</f>
        <v>0</v>
      </c>
      <c r="N3698" s="8"/>
      <c r="O3698" s="33" t="str">
        <f>IFERROR(VLOOKUP($M3698,'Informations sur les produits'!$A$3:$H$10000,8,FALSE),"0")</f>
        <v>0</v>
      </c>
      <c r="P3698" s="33">
        <f t="shared" si="228"/>
        <v>0</v>
      </c>
      <c r="Q3698" s="31" t="str">
        <f t="shared" si="229"/>
        <v/>
      </c>
      <c r="R3698" s="32" t="str">
        <f>IFERROR(VLOOKUP($D3698,'Informations sur les produits'!$A$3:$B$15000,2,FALSE),"")</f>
        <v/>
      </c>
      <c r="V3698">
        <f t="shared" si="230"/>
        <v>0</v>
      </c>
      <c r="W3698">
        <f t="shared" si="231"/>
        <v>0</v>
      </c>
    </row>
    <row r="3699" spans="5:23" x14ac:dyDescent="0.25">
      <c r="E3699" s="4"/>
      <c r="F3699" s="4"/>
      <c r="G3699" s="33" t="str">
        <f>IFERROR(VLOOKUP($D3699,'Informations sur les produits'!$A$3:$H$10000,8,FALSE),"0")</f>
        <v>0</v>
      </c>
      <c r="K3699" s="4"/>
      <c r="L3699" s="33" t="str">
        <f>IFERROR(VLOOKUP($J3699,'Informations sur les produits'!$A$3:$H$10000,8,FALSE),"0")</f>
        <v>0</v>
      </c>
      <c r="N3699" s="8"/>
      <c r="O3699" s="33" t="str">
        <f>IFERROR(VLOOKUP($M3699,'Informations sur les produits'!$A$3:$H$10000,8,FALSE),"0")</f>
        <v>0</v>
      </c>
      <c r="P3699" s="33">
        <f t="shared" si="228"/>
        <v>0</v>
      </c>
      <c r="Q3699" s="31" t="str">
        <f t="shared" si="229"/>
        <v/>
      </c>
      <c r="R3699" s="32" t="str">
        <f>IFERROR(VLOOKUP($D3699,'Informations sur les produits'!$A$3:$B$15000,2,FALSE),"")</f>
        <v/>
      </c>
      <c r="V3699">
        <f t="shared" si="230"/>
        <v>0</v>
      </c>
      <c r="W3699">
        <f t="shared" si="231"/>
        <v>0</v>
      </c>
    </row>
    <row r="3700" spans="5:23" x14ac:dyDescent="0.25">
      <c r="E3700" s="4"/>
      <c r="F3700" s="4"/>
      <c r="G3700" s="33" t="str">
        <f>IFERROR(VLOOKUP($D3700,'Informations sur les produits'!$A$3:$H$10000,8,FALSE),"0")</f>
        <v>0</v>
      </c>
      <c r="K3700" s="4"/>
      <c r="L3700" s="33" t="str">
        <f>IFERROR(VLOOKUP($J3700,'Informations sur les produits'!$A$3:$H$10000,8,FALSE),"0")</f>
        <v>0</v>
      </c>
      <c r="N3700" s="8"/>
      <c r="O3700" s="33" t="str">
        <f>IFERROR(VLOOKUP($M3700,'Informations sur les produits'!$A$3:$H$10000,8,FALSE),"0")</f>
        <v>0</v>
      </c>
      <c r="P3700" s="33">
        <f t="shared" si="228"/>
        <v>0</v>
      </c>
      <c r="Q3700" s="31" t="str">
        <f t="shared" si="229"/>
        <v/>
      </c>
      <c r="R3700" s="32" t="str">
        <f>IFERROR(VLOOKUP($D3700,'Informations sur les produits'!$A$3:$B$15000,2,FALSE),"")</f>
        <v/>
      </c>
      <c r="V3700">
        <f t="shared" si="230"/>
        <v>0</v>
      </c>
      <c r="W3700">
        <f t="shared" si="231"/>
        <v>0</v>
      </c>
    </row>
    <row r="3701" spans="5:23" x14ac:dyDescent="0.25">
      <c r="E3701" s="4"/>
      <c r="F3701" s="4"/>
      <c r="G3701" s="33" t="str">
        <f>IFERROR(VLOOKUP($D3701,'Informations sur les produits'!$A$3:$H$10000,8,FALSE),"0")</f>
        <v>0</v>
      </c>
      <c r="K3701" s="4"/>
      <c r="L3701" s="33" t="str">
        <f>IFERROR(VLOOKUP($J3701,'Informations sur les produits'!$A$3:$H$10000,8,FALSE),"0")</f>
        <v>0</v>
      </c>
      <c r="N3701" s="8"/>
      <c r="O3701" s="33" t="str">
        <f>IFERROR(VLOOKUP($M3701,'Informations sur les produits'!$A$3:$H$10000,8,FALSE),"0")</f>
        <v>0</v>
      </c>
      <c r="P3701" s="33">
        <f t="shared" si="228"/>
        <v>0</v>
      </c>
      <c r="Q3701" s="31" t="str">
        <f t="shared" si="229"/>
        <v/>
      </c>
      <c r="R3701" s="32" t="str">
        <f>IFERROR(VLOOKUP($D3701,'Informations sur les produits'!$A$3:$B$15000,2,FALSE),"")</f>
        <v/>
      </c>
      <c r="V3701">
        <f t="shared" si="230"/>
        <v>0</v>
      </c>
      <c r="W3701">
        <f t="shared" si="231"/>
        <v>0</v>
      </c>
    </row>
    <row r="3702" spans="5:23" x14ac:dyDescent="0.25">
      <c r="E3702" s="4"/>
      <c r="F3702" s="4"/>
      <c r="G3702" s="33" t="str">
        <f>IFERROR(VLOOKUP($D3702,'Informations sur les produits'!$A$3:$H$10000,8,FALSE),"0")</f>
        <v>0</v>
      </c>
      <c r="K3702" s="4"/>
      <c r="L3702" s="33" t="str">
        <f>IFERROR(VLOOKUP($J3702,'Informations sur les produits'!$A$3:$H$10000,8,FALSE),"0")</f>
        <v>0</v>
      </c>
      <c r="N3702" s="8"/>
      <c r="O3702" s="33" t="str">
        <f>IFERROR(VLOOKUP($M3702,'Informations sur les produits'!$A$3:$H$10000,8,FALSE),"0")</f>
        <v>0</v>
      </c>
      <c r="P3702" s="33">
        <f t="shared" si="228"/>
        <v>0</v>
      </c>
      <c r="Q3702" s="31" t="str">
        <f t="shared" si="229"/>
        <v/>
      </c>
      <c r="R3702" s="32" t="str">
        <f>IFERROR(VLOOKUP($D3702,'Informations sur les produits'!$A$3:$B$15000,2,FALSE),"")</f>
        <v/>
      </c>
      <c r="V3702">
        <f t="shared" si="230"/>
        <v>0</v>
      </c>
      <c r="W3702">
        <f t="shared" si="231"/>
        <v>0</v>
      </c>
    </row>
    <row r="3703" spans="5:23" x14ac:dyDescent="0.25">
      <c r="E3703" s="4"/>
      <c r="F3703" s="4"/>
      <c r="G3703" s="33" t="str">
        <f>IFERROR(VLOOKUP($D3703,'Informations sur les produits'!$A$3:$H$10000,8,FALSE),"0")</f>
        <v>0</v>
      </c>
      <c r="K3703" s="4"/>
      <c r="L3703" s="33" t="str">
        <f>IFERROR(VLOOKUP($J3703,'Informations sur les produits'!$A$3:$H$10000,8,FALSE),"0")</f>
        <v>0</v>
      </c>
      <c r="N3703" s="8"/>
      <c r="O3703" s="33" t="str">
        <f>IFERROR(VLOOKUP($M3703,'Informations sur les produits'!$A$3:$H$10000,8,FALSE),"0")</f>
        <v>0</v>
      </c>
      <c r="P3703" s="33">
        <f t="shared" si="228"/>
        <v>0</v>
      </c>
      <c r="Q3703" s="31" t="str">
        <f t="shared" si="229"/>
        <v/>
      </c>
      <c r="R3703" s="32" t="str">
        <f>IFERROR(VLOOKUP($D3703,'Informations sur les produits'!$A$3:$B$15000,2,FALSE),"")</f>
        <v/>
      </c>
      <c r="V3703">
        <f t="shared" si="230"/>
        <v>0</v>
      </c>
      <c r="W3703">
        <f t="shared" si="231"/>
        <v>0</v>
      </c>
    </row>
    <row r="3704" spans="5:23" x14ac:dyDescent="0.25">
      <c r="E3704" s="4"/>
      <c r="F3704" s="4"/>
      <c r="G3704" s="33" t="str">
        <f>IFERROR(VLOOKUP($D3704,'Informations sur les produits'!$A$3:$H$10000,8,FALSE),"0")</f>
        <v>0</v>
      </c>
      <c r="K3704" s="4"/>
      <c r="L3704" s="33" t="str">
        <f>IFERROR(VLOOKUP($J3704,'Informations sur les produits'!$A$3:$H$10000,8,FALSE),"0")</f>
        <v>0</v>
      </c>
      <c r="N3704" s="8"/>
      <c r="O3704" s="33" t="str">
        <f>IFERROR(VLOOKUP($M3704,'Informations sur les produits'!$A$3:$H$10000,8,FALSE),"0")</f>
        <v>0</v>
      </c>
      <c r="P3704" s="33">
        <f t="shared" si="228"/>
        <v>0</v>
      </c>
      <c r="Q3704" s="31" t="str">
        <f t="shared" si="229"/>
        <v/>
      </c>
      <c r="R3704" s="32" t="str">
        <f>IFERROR(VLOOKUP($D3704,'Informations sur les produits'!$A$3:$B$15000,2,FALSE),"")</f>
        <v/>
      </c>
      <c r="V3704">
        <f t="shared" si="230"/>
        <v>0</v>
      </c>
      <c r="W3704">
        <f t="shared" si="231"/>
        <v>0</v>
      </c>
    </row>
    <row r="3705" spans="5:23" x14ac:dyDescent="0.25">
      <c r="E3705" s="4"/>
      <c r="F3705" s="4"/>
      <c r="G3705" s="33" t="str">
        <f>IFERROR(VLOOKUP($D3705,'Informations sur les produits'!$A$3:$H$10000,8,FALSE),"0")</f>
        <v>0</v>
      </c>
      <c r="K3705" s="4"/>
      <c r="L3705" s="33" t="str">
        <f>IFERROR(VLOOKUP($J3705,'Informations sur les produits'!$A$3:$H$10000,8,FALSE),"0")</f>
        <v>0</v>
      </c>
      <c r="N3705" s="8"/>
      <c r="O3705" s="33" t="str">
        <f>IFERROR(VLOOKUP($M3705,'Informations sur les produits'!$A$3:$H$10000,8,FALSE),"0")</f>
        <v>0</v>
      </c>
      <c r="P3705" s="33">
        <f t="shared" si="228"/>
        <v>0</v>
      </c>
      <c r="Q3705" s="31" t="str">
        <f t="shared" si="229"/>
        <v/>
      </c>
      <c r="R3705" s="32" t="str">
        <f>IFERROR(VLOOKUP($D3705,'Informations sur les produits'!$A$3:$B$15000,2,FALSE),"")</f>
        <v/>
      </c>
      <c r="V3705">
        <f t="shared" si="230"/>
        <v>0</v>
      </c>
      <c r="W3705">
        <f t="shared" si="231"/>
        <v>0</v>
      </c>
    </row>
    <row r="3706" spans="5:23" x14ac:dyDescent="0.25">
      <c r="E3706" s="4"/>
      <c r="F3706" s="4"/>
      <c r="G3706" s="33" t="str">
        <f>IFERROR(VLOOKUP($D3706,'Informations sur les produits'!$A$3:$H$10000,8,FALSE),"0")</f>
        <v>0</v>
      </c>
      <c r="K3706" s="4"/>
      <c r="L3706" s="33" t="str">
        <f>IFERROR(VLOOKUP($J3706,'Informations sur les produits'!$A$3:$H$10000,8,FALSE),"0")</f>
        <v>0</v>
      </c>
      <c r="N3706" s="8"/>
      <c r="O3706" s="33" t="str">
        <f>IFERROR(VLOOKUP($M3706,'Informations sur les produits'!$A$3:$H$10000,8,FALSE),"0")</f>
        <v>0</v>
      </c>
      <c r="P3706" s="33">
        <f t="shared" si="228"/>
        <v>0</v>
      </c>
      <c r="Q3706" s="31" t="str">
        <f t="shared" si="229"/>
        <v/>
      </c>
      <c r="R3706" s="32" t="str">
        <f>IFERROR(VLOOKUP($D3706,'Informations sur les produits'!$A$3:$B$15000,2,FALSE),"")</f>
        <v/>
      </c>
      <c r="V3706">
        <f t="shared" si="230"/>
        <v>0</v>
      </c>
      <c r="W3706">
        <f t="shared" si="231"/>
        <v>0</v>
      </c>
    </row>
    <row r="3707" spans="5:23" x14ac:dyDescent="0.25">
      <c r="E3707" s="4"/>
      <c r="F3707" s="4"/>
      <c r="G3707" s="33" t="str">
        <f>IFERROR(VLOOKUP($D3707,'Informations sur les produits'!$A$3:$H$10000,8,FALSE),"0")</f>
        <v>0</v>
      </c>
      <c r="K3707" s="4"/>
      <c r="L3707" s="33" t="str">
        <f>IFERROR(VLOOKUP($J3707,'Informations sur les produits'!$A$3:$H$10000,8,FALSE),"0")</f>
        <v>0</v>
      </c>
      <c r="N3707" s="8"/>
      <c r="O3707" s="33" t="str">
        <f>IFERROR(VLOOKUP($M3707,'Informations sur les produits'!$A$3:$H$10000,8,FALSE),"0")</f>
        <v>0</v>
      </c>
      <c r="P3707" s="33">
        <f t="shared" si="228"/>
        <v>0</v>
      </c>
      <c r="Q3707" s="31" t="str">
        <f t="shared" si="229"/>
        <v/>
      </c>
      <c r="R3707" s="32" t="str">
        <f>IFERROR(VLOOKUP($D3707,'Informations sur les produits'!$A$3:$B$15000,2,FALSE),"")</f>
        <v/>
      </c>
      <c r="V3707">
        <f t="shared" si="230"/>
        <v>0</v>
      </c>
      <c r="W3707">
        <f t="shared" si="231"/>
        <v>0</v>
      </c>
    </row>
    <row r="3708" spans="5:23" x14ac:dyDescent="0.25">
      <c r="E3708" s="4"/>
      <c r="F3708" s="4"/>
      <c r="G3708" s="33" t="str">
        <f>IFERROR(VLOOKUP($D3708,'Informations sur les produits'!$A$3:$H$10000,8,FALSE),"0")</f>
        <v>0</v>
      </c>
      <c r="K3708" s="4"/>
      <c r="L3708" s="33" t="str">
        <f>IFERROR(VLOOKUP($J3708,'Informations sur les produits'!$A$3:$H$10000,8,FALSE),"0")</f>
        <v>0</v>
      </c>
      <c r="N3708" s="8"/>
      <c r="O3708" s="33" t="str">
        <f>IFERROR(VLOOKUP($M3708,'Informations sur les produits'!$A$3:$H$10000,8,FALSE),"0")</f>
        <v>0</v>
      </c>
      <c r="P3708" s="33">
        <f t="shared" si="228"/>
        <v>0</v>
      </c>
      <c r="Q3708" s="31" t="str">
        <f t="shared" si="229"/>
        <v/>
      </c>
      <c r="R3708" s="32" t="str">
        <f>IFERROR(VLOOKUP($D3708,'Informations sur les produits'!$A$3:$B$15000,2,FALSE),"")</f>
        <v/>
      </c>
      <c r="V3708">
        <f t="shared" si="230"/>
        <v>0</v>
      </c>
      <c r="W3708">
        <f t="shared" si="231"/>
        <v>0</v>
      </c>
    </row>
    <row r="3709" spans="5:23" x14ac:dyDescent="0.25">
      <c r="E3709" s="4"/>
      <c r="F3709" s="4"/>
      <c r="G3709" s="33" t="str">
        <f>IFERROR(VLOOKUP($D3709,'Informations sur les produits'!$A$3:$H$10000,8,FALSE),"0")</f>
        <v>0</v>
      </c>
      <c r="K3709" s="4"/>
      <c r="L3709" s="33" t="str">
        <f>IFERROR(VLOOKUP($J3709,'Informations sur les produits'!$A$3:$H$10000,8,FALSE),"0")</f>
        <v>0</v>
      </c>
      <c r="N3709" s="8"/>
      <c r="O3709" s="33" t="str">
        <f>IFERROR(VLOOKUP($M3709,'Informations sur les produits'!$A$3:$H$10000,8,FALSE),"0")</f>
        <v>0</v>
      </c>
      <c r="P3709" s="33">
        <f t="shared" si="228"/>
        <v>0</v>
      </c>
      <c r="Q3709" s="31" t="str">
        <f t="shared" si="229"/>
        <v/>
      </c>
      <c r="R3709" s="32" t="str">
        <f>IFERROR(VLOOKUP($D3709,'Informations sur les produits'!$A$3:$B$15000,2,FALSE),"")</f>
        <v/>
      </c>
      <c r="V3709">
        <f t="shared" si="230"/>
        <v>0</v>
      </c>
      <c r="W3709">
        <f t="shared" si="231"/>
        <v>0</v>
      </c>
    </row>
    <row r="3710" spans="5:23" x14ac:dyDescent="0.25">
      <c r="E3710" s="4"/>
      <c r="F3710" s="4"/>
      <c r="G3710" s="33" t="str">
        <f>IFERROR(VLOOKUP($D3710,'Informations sur les produits'!$A$3:$H$10000,8,FALSE),"0")</f>
        <v>0</v>
      </c>
      <c r="K3710" s="4"/>
      <c r="L3710" s="33" t="str">
        <f>IFERROR(VLOOKUP($J3710,'Informations sur les produits'!$A$3:$H$10000,8,FALSE),"0")</f>
        <v>0</v>
      </c>
      <c r="N3710" s="8"/>
      <c r="O3710" s="33" t="str">
        <f>IFERROR(VLOOKUP($M3710,'Informations sur les produits'!$A$3:$H$10000,8,FALSE),"0")</f>
        <v>0</v>
      </c>
      <c r="P3710" s="33">
        <f t="shared" si="228"/>
        <v>0</v>
      </c>
      <c r="Q3710" s="31" t="str">
        <f t="shared" si="229"/>
        <v/>
      </c>
      <c r="R3710" s="32" t="str">
        <f>IFERROR(VLOOKUP($D3710,'Informations sur les produits'!$A$3:$B$15000,2,FALSE),"")</f>
        <v/>
      </c>
      <c r="V3710">
        <f t="shared" si="230"/>
        <v>0</v>
      </c>
      <c r="W3710">
        <f t="shared" si="231"/>
        <v>0</v>
      </c>
    </row>
    <row r="3711" spans="5:23" x14ac:dyDescent="0.25">
      <c r="E3711" s="4"/>
      <c r="F3711" s="4"/>
      <c r="G3711" s="33" t="str">
        <f>IFERROR(VLOOKUP($D3711,'Informations sur les produits'!$A$3:$H$10000,8,FALSE),"0")</f>
        <v>0</v>
      </c>
      <c r="K3711" s="4"/>
      <c r="L3711" s="33" t="str">
        <f>IFERROR(VLOOKUP($J3711,'Informations sur les produits'!$A$3:$H$10000,8,FALSE),"0")</f>
        <v>0</v>
      </c>
      <c r="N3711" s="8"/>
      <c r="O3711" s="33" t="str">
        <f>IFERROR(VLOOKUP($M3711,'Informations sur les produits'!$A$3:$H$10000,8,FALSE),"0")</f>
        <v>0</v>
      </c>
      <c r="P3711" s="33">
        <f t="shared" si="228"/>
        <v>0</v>
      </c>
      <c r="Q3711" s="31" t="str">
        <f t="shared" si="229"/>
        <v/>
      </c>
      <c r="R3711" s="32" t="str">
        <f>IFERROR(VLOOKUP($D3711,'Informations sur les produits'!$A$3:$B$15000,2,FALSE),"")</f>
        <v/>
      </c>
      <c r="V3711">
        <f t="shared" si="230"/>
        <v>0</v>
      </c>
      <c r="W3711">
        <f t="shared" si="231"/>
        <v>0</v>
      </c>
    </row>
    <row r="3712" spans="5:23" x14ac:dyDescent="0.25">
      <c r="E3712" s="4"/>
      <c r="F3712" s="4"/>
      <c r="G3712" s="33" t="str">
        <f>IFERROR(VLOOKUP($D3712,'Informations sur les produits'!$A$3:$H$10000,8,FALSE),"0")</f>
        <v>0</v>
      </c>
      <c r="K3712" s="4"/>
      <c r="L3712" s="33" t="str">
        <f>IFERROR(VLOOKUP($J3712,'Informations sur les produits'!$A$3:$H$10000,8,FALSE),"0")</f>
        <v>0</v>
      </c>
      <c r="N3712" s="8"/>
      <c r="O3712" s="33" t="str">
        <f>IFERROR(VLOOKUP($M3712,'Informations sur les produits'!$A$3:$H$10000,8,FALSE),"0")</f>
        <v>0</v>
      </c>
      <c r="P3712" s="33">
        <f t="shared" si="228"/>
        <v>0</v>
      </c>
      <c r="Q3712" s="31" t="str">
        <f t="shared" si="229"/>
        <v/>
      </c>
      <c r="R3712" s="32" t="str">
        <f>IFERROR(VLOOKUP($D3712,'Informations sur les produits'!$A$3:$B$15000,2,FALSE),"")</f>
        <v/>
      </c>
      <c r="V3712">
        <f t="shared" si="230"/>
        <v>0</v>
      </c>
      <c r="W3712">
        <f t="shared" si="231"/>
        <v>0</v>
      </c>
    </row>
    <row r="3713" spans="5:23" x14ac:dyDescent="0.25">
      <c r="E3713" s="4"/>
      <c r="F3713" s="4"/>
      <c r="G3713" s="33" t="str">
        <f>IFERROR(VLOOKUP($D3713,'Informations sur les produits'!$A$3:$H$10000,8,FALSE),"0")</f>
        <v>0</v>
      </c>
      <c r="K3713" s="4"/>
      <c r="L3713" s="33" t="str">
        <f>IFERROR(VLOOKUP($J3713,'Informations sur les produits'!$A$3:$H$10000,8,FALSE),"0")</f>
        <v>0</v>
      </c>
      <c r="N3713" s="8"/>
      <c r="O3713" s="33" t="str">
        <f>IFERROR(VLOOKUP($M3713,'Informations sur les produits'!$A$3:$H$10000,8,FALSE),"0")</f>
        <v>0</v>
      </c>
      <c r="P3713" s="33">
        <f t="shared" si="228"/>
        <v>0</v>
      </c>
      <c r="Q3713" s="31" t="str">
        <f t="shared" si="229"/>
        <v/>
      </c>
      <c r="R3713" s="32" t="str">
        <f>IFERROR(VLOOKUP($D3713,'Informations sur les produits'!$A$3:$B$15000,2,FALSE),"")</f>
        <v/>
      </c>
      <c r="V3713">
        <f t="shared" si="230"/>
        <v>0</v>
      </c>
      <c r="W3713">
        <f t="shared" si="231"/>
        <v>0</v>
      </c>
    </row>
    <row r="3714" spans="5:23" x14ac:dyDescent="0.25">
      <c r="E3714" s="4"/>
      <c r="F3714" s="4"/>
      <c r="G3714" s="33" t="str">
        <f>IFERROR(VLOOKUP($D3714,'Informations sur les produits'!$A$3:$H$10000,8,FALSE),"0")</f>
        <v>0</v>
      </c>
      <c r="K3714" s="4"/>
      <c r="L3714" s="33" t="str">
        <f>IFERROR(VLOOKUP($J3714,'Informations sur les produits'!$A$3:$H$10000,8,FALSE),"0")</f>
        <v>0</v>
      </c>
      <c r="N3714" s="8"/>
      <c r="O3714" s="33" t="str">
        <f>IFERROR(VLOOKUP($M3714,'Informations sur les produits'!$A$3:$H$10000,8,FALSE),"0")</f>
        <v>0</v>
      </c>
      <c r="P3714" s="33">
        <f t="shared" si="228"/>
        <v>0</v>
      </c>
      <c r="Q3714" s="31" t="str">
        <f t="shared" si="229"/>
        <v/>
      </c>
      <c r="R3714" s="32" t="str">
        <f>IFERROR(VLOOKUP($D3714,'Informations sur les produits'!$A$3:$B$15000,2,FALSE),"")</f>
        <v/>
      </c>
      <c r="V3714">
        <f t="shared" si="230"/>
        <v>0</v>
      </c>
      <c r="W3714">
        <f t="shared" si="231"/>
        <v>0</v>
      </c>
    </row>
    <row r="3715" spans="5:23" x14ac:dyDescent="0.25">
      <c r="E3715" s="4"/>
      <c r="F3715" s="4"/>
      <c r="G3715" s="33" t="str">
        <f>IFERROR(VLOOKUP($D3715,'Informations sur les produits'!$A$3:$H$10000,8,FALSE),"0")</f>
        <v>0</v>
      </c>
      <c r="K3715" s="4"/>
      <c r="L3715" s="33" t="str">
        <f>IFERROR(VLOOKUP($J3715,'Informations sur les produits'!$A$3:$H$10000,8,FALSE),"0")</f>
        <v>0</v>
      </c>
      <c r="N3715" s="8"/>
      <c r="O3715" s="33" t="str">
        <f>IFERROR(VLOOKUP($M3715,'Informations sur les produits'!$A$3:$H$10000,8,FALSE),"0")</f>
        <v>0</v>
      </c>
      <c r="P3715" s="33">
        <f t="shared" si="228"/>
        <v>0</v>
      </c>
      <c r="Q3715" s="31" t="str">
        <f t="shared" si="229"/>
        <v/>
      </c>
      <c r="R3715" s="32" t="str">
        <f>IFERROR(VLOOKUP($D3715,'Informations sur les produits'!$A$3:$B$15000,2,FALSE),"")</f>
        <v/>
      </c>
      <c r="V3715">
        <f t="shared" si="230"/>
        <v>0</v>
      </c>
      <c r="W3715">
        <f t="shared" si="231"/>
        <v>0</v>
      </c>
    </row>
    <row r="3716" spans="5:23" x14ac:dyDescent="0.25">
      <c r="E3716" s="4"/>
      <c r="F3716" s="4"/>
      <c r="G3716" s="33" t="str">
        <f>IFERROR(VLOOKUP($D3716,'Informations sur les produits'!$A$3:$H$10000,8,FALSE),"0")</f>
        <v>0</v>
      </c>
      <c r="K3716" s="4"/>
      <c r="L3716" s="33" t="str">
        <f>IFERROR(VLOOKUP($J3716,'Informations sur les produits'!$A$3:$H$10000,8,FALSE),"0")</f>
        <v>0</v>
      </c>
      <c r="N3716" s="8"/>
      <c r="O3716" s="33" t="str">
        <f>IFERROR(VLOOKUP($M3716,'Informations sur les produits'!$A$3:$H$10000,8,FALSE),"0")</f>
        <v>0</v>
      </c>
      <c r="P3716" s="33">
        <f t="shared" ref="P3716:P3779" si="232">IFERROR((($E3716-$F3716)*$G3716+$K3716*$L3716+$N3716*$O3716),"")</f>
        <v>0</v>
      </c>
      <c r="Q3716" s="31" t="str">
        <f t="shared" ref="Q3716:Q3779" si="233">IFERROR((((($E3716-$F3716)*$G3716+$K3716*$L3716+$N3716*$O3716)*1000)/(($E3716-$F3716)+$K3716+$N3716)),"")</f>
        <v/>
      </c>
      <c r="R3716" s="32" t="str">
        <f>IFERROR(VLOOKUP($D3716,'Informations sur les produits'!$A$3:$B$15000,2,FALSE),"")</f>
        <v/>
      </c>
      <c r="V3716">
        <f t="shared" ref="V3716:V3779" si="234">IFERROR(P3716*1000,"")</f>
        <v>0</v>
      </c>
      <c r="W3716">
        <f t="shared" ref="W3716:W3779" si="235">IFERROR(($E3716-$F3716)+$K3716+$N3716,"")</f>
        <v>0</v>
      </c>
    </row>
    <row r="3717" spans="5:23" x14ac:dyDescent="0.25">
      <c r="E3717" s="4"/>
      <c r="F3717" s="4"/>
      <c r="G3717" s="33" t="str">
        <f>IFERROR(VLOOKUP($D3717,'Informations sur les produits'!$A$3:$H$10000,8,FALSE),"0")</f>
        <v>0</v>
      </c>
      <c r="K3717" s="4"/>
      <c r="L3717" s="33" t="str">
        <f>IFERROR(VLOOKUP($J3717,'Informations sur les produits'!$A$3:$H$10000,8,FALSE),"0")</f>
        <v>0</v>
      </c>
      <c r="N3717" s="8"/>
      <c r="O3717" s="33" t="str">
        <f>IFERROR(VLOOKUP($M3717,'Informations sur les produits'!$A$3:$H$10000,8,FALSE),"0")</f>
        <v>0</v>
      </c>
      <c r="P3717" s="33">
        <f t="shared" si="232"/>
        <v>0</v>
      </c>
      <c r="Q3717" s="31" t="str">
        <f t="shared" si="233"/>
        <v/>
      </c>
      <c r="R3717" s="32" t="str">
        <f>IFERROR(VLOOKUP($D3717,'Informations sur les produits'!$A$3:$B$15000,2,FALSE),"")</f>
        <v/>
      </c>
      <c r="V3717">
        <f t="shared" si="234"/>
        <v>0</v>
      </c>
      <c r="W3717">
        <f t="shared" si="235"/>
        <v>0</v>
      </c>
    </row>
    <row r="3718" spans="5:23" x14ac:dyDescent="0.25">
      <c r="E3718" s="4"/>
      <c r="F3718" s="4"/>
      <c r="G3718" s="33" t="str">
        <f>IFERROR(VLOOKUP($D3718,'Informations sur les produits'!$A$3:$H$10000,8,FALSE),"0")</f>
        <v>0</v>
      </c>
      <c r="K3718" s="4"/>
      <c r="L3718" s="33" t="str">
        <f>IFERROR(VLOOKUP($J3718,'Informations sur les produits'!$A$3:$H$10000,8,FALSE),"0")</f>
        <v>0</v>
      </c>
      <c r="N3718" s="8"/>
      <c r="O3718" s="33" t="str">
        <f>IFERROR(VLOOKUP($M3718,'Informations sur les produits'!$A$3:$H$10000,8,FALSE),"0")</f>
        <v>0</v>
      </c>
      <c r="P3718" s="33">
        <f t="shared" si="232"/>
        <v>0</v>
      </c>
      <c r="Q3718" s="31" t="str">
        <f t="shared" si="233"/>
        <v/>
      </c>
      <c r="R3718" s="32" t="str">
        <f>IFERROR(VLOOKUP($D3718,'Informations sur les produits'!$A$3:$B$15000,2,FALSE),"")</f>
        <v/>
      </c>
      <c r="V3718">
        <f t="shared" si="234"/>
        <v>0</v>
      </c>
      <c r="W3718">
        <f t="shared" si="235"/>
        <v>0</v>
      </c>
    </row>
    <row r="3719" spans="5:23" x14ac:dyDescent="0.25">
      <c r="E3719" s="4"/>
      <c r="F3719" s="4"/>
      <c r="G3719" s="33" t="str">
        <f>IFERROR(VLOOKUP($D3719,'Informations sur les produits'!$A$3:$H$10000,8,FALSE),"0")</f>
        <v>0</v>
      </c>
      <c r="K3719" s="4"/>
      <c r="L3719" s="33" t="str">
        <f>IFERROR(VLOOKUP($J3719,'Informations sur les produits'!$A$3:$H$10000,8,FALSE),"0")</f>
        <v>0</v>
      </c>
      <c r="N3719" s="8"/>
      <c r="O3719" s="33" t="str">
        <f>IFERROR(VLOOKUP($M3719,'Informations sur les produits'!$A$3:$H$10000,8,FALSE),"0")</f>
        <v>0</v>
      </c>
      <c r="P3719" s="33">
        <f t="shared" si="232"/>
        <v>0</v>
      </c>
      <c r="Q3719" s="31" t="str">
        <f t="shared" si="233"/>
        <v/>
      </c>
      <c r="R3719" s="32" t="str">
        <f>IFERROR(VLOOKUP($D3719,'Informations sur les produits'!$A$3:$B$15000,2,FALSE),"")</f>
        <v/>
      </c>
      <c r="V3719">
        <f t="shared" si="234"/>
        <v>0</v>
      </c>
      <c r="W3719">
        <f t="shared" si="235"/>
        <v>0</v>
      </c>
    </row>
    <row r="3720" spans="5:23" x14ac:dyDescent="0.25">
      <c r="E3720" s="4"/>
      <c r="F3720" s="4"/>
      <c r="G3720" s="33" t="str">
        <f>IFERROR(VLOOKUP($D3720,'Informations sur les produits'!$A$3:$H$10000,8,FALSE),"0")</f>
        <v>0</v>
      </c>
      <c r="K3720" s="4"/>
      <c r="L3720" s="33" t="str">
        <f>IFERROR(VLOOKUP($J3720,'Informations sur les produits'!$A$3:$H$10000,8,FALSE),"0")</f>
        <v>0</v>
      </c>
      <c r="N3720" s="8"/>
      <c r="O3720" s="33" t="str">
        <f>IFERROR(VLOOKUP($M3720,'Informations sur les produits'!$A$3:$H$10000,8,FALSE),"0")</f>
        <v>0</v>
      </c>
      <c r="P3720" s="33">
        <f t="shared" si="232"/>
        <v>0</v>
      </c>
      <c r="Q3720" s="31" t="str">
        <f t="shared" si="233"/>
        <v/>
      </c>
      <c r="R3720" s="32" t="str">
        <f>IFERROR(VLOOKUP($D3720,'Informations sur les produits'!$A$3:$B$15000,2,FALSE),"")</f>
        <v/>
      </c>
      <c r="V3720">
        <f t="shared" si="234"/>
        <v>0</v>
      </c>
      <c r="W3720">
        <f t="shared" si="235"/>
        <v>0</v>
      </c>
    </row>
    <row r="3721" spans="5:23" x14ac:dyDescent="0.25">
      <c r="E3721" s="4"/>
      <c r="F3721" s="4"/>
      <c r="G3721" s="33" t="str">
        <f>IFERROR(VLOOKUP($D3721,'Informations sur les produits'!$A$3:$H$10000,8,FALSE),"0")</f>
        <v>0</v>
      </c>
      <c r="K3721" s="4"/>
      <c r="L3721" s="33" t="str">
        <f>IFERROR(VLOOKUP($J3721,'Informations sur les produits'!$A$3:$H$10000,8,FALSE),"0")</f>
        <v>0</v>
      </c>
      <c r="N3721" s="8"/>
      <c r="O3721" s="33" t="str">
        <f>IFERROR(VLOOKUP($M3721,'Informations sur les produits'!$A$3:$H$10000,8,FALSE),"0")</f>
        <v>0</v>
      </c>
      <c r="P3721" s="33">
        <f t="shared" si="232"/>
        <v>0</v>
      </c>
      <c r="Q3721" s="31" t="str">
        <f t="shared" si="233"/>
        <v/>
      </c>
      <c r="R3721" s="32" t="str">
        <f>IFERROR(VLOOKUP($D3721,'Informations sur les produits'!$A$3:$B$15000,2,FALSE),"")</f>
        <v/>
      </c>
      <c r="V3721">
        <f t="shared" si="234"/>
        <v>0</v>
      </c>
      <c r="W3721">
        <f t="shared" si="235"/>
        <v>0</v>
      </c>
    </row>
    <row r="3722" spans="5:23" x14ac:dyDescent="0.25">
      <c r="E3722" s="4"/>
      <c r="F3722" s="4"/>
      <c r="G3722" s="33" t="str">
        <f>IFERROR(VLOOKUP($D3722,'Informations sur les produits'!$A$3:$H$10000,8,FALSE),"0")</f>
        <v>0</v>
      </c>
      <c r="K3722" s="4"/>
      <c r="L3722" s="33" t="str">
        <f>IFERROR(VLOOKUP($J3722,'Informations sur les produits'!$A$3:$H$10000,8,FALSE),"0")</f>
        <v>0</v>
      </c>
      <c r="N3722" s="8"/>
      <c r="O3722" s="33" t="str">
        <f>IFERROR(VLOOKUP($M3722,'Informations sur les produits'!$A$3:$H$10000,8,FALSE),"0")</f>
        <v>0</v>
      </c>
      <c r="P3722" s="33">
        <f t="shared" si="232"/>
        <v>0</v>
      </c>
      <c r="Q3722" s="31" t="str">
        <f t="shared" si="233"/>
        <v/>
      </c>
      <c r="R3722" s="32" t="str">
        <f>IFERROR(VLOOKUP($D3722,'Informations sur les produits'!$A$3:$B$15000,2,FALSE),"")</f>
        <v/>
      </c>
      <c r="V3722">
        <f t="shared" si="234"/>
        <v>0</v>
      </c>
      <c r="W3722">
        <f t="shared" si="235"/>
        <v>0</v>
      </c>
    </row>
    <row r="3723" spans="5:23" x14ac:dyDescent="0.25">
      <c r="E3723" s="4"/>
      <c r="F3723" s="4"/>
      <c r="G3723" s="33" t="str">
        <f>IFERROR(VLOOKUP($D3723,'Informations sur les produits'!$A$3:$H$10000,8,FALSE),"0")</f>
        <v>0</v>
      </c>
      <c r="K3723" s="4"/>
      <c r="L3723" s="33" t="str">
        <f>IFERROR(VLOOKUP($J3723,'Informations sur les produits'!$A$3:$H$10000,8,FALSE),"0")</f>
        <v>0</v>
      </c>
      <c r="N3723" s="8"/>
      <c r="O3723" s="33" t="str">
        <f>IFERROR(VLOOKUP($M3723,'Informations sur les produits'!$A$3:$H$10000,8,FALSE),"0")</f>
        <v>0</v>
      </c>
      <c r="P3723" s="33">
        <f t="shared" si="232"/>
        <v>0</v>
      </c>
      <c r="Q3723" s="31" t="str">
        <f t="shared" si="233"/>
        <v/>
      </c>
      <c r="R3723" s="32" t="str">
        <f>IFERROR(VLOOKUP($D3723,'Informations sur les produits'!$A$3:$B$15000,2,FALSE),"")</f>
        <v/>
      </c>
      <c r="V3723">
        <f t="shared" si="234"/>
        <v>0</v>
      </c>
      <c r="W3723">
        <f t="shared" si="235"/>
        <v>0</v>
      </c>
    </row>
    <row r="3724" spans="5:23" x14ac:dyDescent="0.25">
      <c r="E3724" s="4"/>
      <c r="F3724" s="4"/>
      <c r="G3724" s="33" t="str">
        <f>IFERROR(VLOOKUP($D3724,'Informations sur les produits'!$A$3:$H$10000,8,FALSE),"0")</f>
        <v>0</v>
      </c>
      <c r="K3724" s="4"/>
      <c r="L3724" s="33" t="str">
        <f>IFERROR(VLOOKUP($J3724,'Informations sur les produits'!$A$3:$H$10000,8,FALSE),"0")</f>
        <v>0</v>
      </c>
      <c r="N3724" s="8"/>
      <c r="O3724" s="33" t="str">
        <f>IFERROR(VLOOKUP($M3724,'Informations sur les produits'!$A$3:$H$10000,8,FALSE),"0")</f>
        <v>0</v>
      </c>
      <c r="P3724" s="33">
        <f t="shared" si="232"/>
        <v>0</v>
      </c>
      <c r="Q3724" s="31" t="str">
        <f t="shared" si="233"/>
        <v/>
      </c>
      <c r="R3724" s="32" t="str">
        <f>IFERROR(VLOOKUP($D3724,'Informations sur les produits'!$A$3:$B$15000,2,FALSE),"")</f>
        <v/>
      </c>
      <c r="V3724">
        <f t="shared" si="234"/>
        <v>0</v>
      </c>
      <c r="W3724">
        <f t="shared" si="235"/>
        <v>0</v>
      </c>
    </row>
    <row r="3725" spans="5:23" x14ac:dyDescent="0.25">
      <c r="E3725" s="4"/>
      <c r="F3725" s="4"/>
      <c r="G3725" s="33" t="str">
        <f>IFERROR(VLOOKUP($D3725,'Informations sur les produits'!$A$3:$H$10000,8,FALSE),"0")</f>
        <v>0</v>
      </c>
      <c r="K3725" s="4"/>
      <c r="L3725" s="33" t="str">
        <f>IFERROR(VLOOKUP($J3725,'Informations sur les produits'!$A$3:$H$10000,8,FALSE),"0")</f>
        <v>0</v>
      </c>
      <c r="N3725" s="8"/>
      <c r="O3725" s="33" t="str">
        <f>IFERROR(VLOOKUP($M3725,'Informations sur les produits'!$A$3:$H$10000,8,FALSE),"0")</f>
        <v>0</v>
      </c>
      <c r="P3725" s="33">
        <f t="shared" si="232"/>
        <v>0</v>
      </c>
      <c r="Q3725" s="31" t="str">
        <f t="shared" si="233"/>
        <v/>
      </c>
      <c r="R3725" s="32" t="str">
        <f>IFERROR(VLOOKUP($D3725,'Informations sur les produits'!$A$3:$B$15000,2,FALSE),"")</f>
        <v/>
      </c>
      <c r="V3725">
        <f t="shared" si="234"/>
        <v>0</v>
      </c>
      <c r="W3725">
        <f t="shared" si="235"/>
        <v>0</v>
      </c>
    </row>
    <row r="3726" spans="5:23" x14ac:dyDescent="0.25">
      <c r="E3726" s="4"/>
      <c r="F3726" s="4"/>
      <c r="G3726" s="33" t="str">
        <f>IFERROR(VLOOKUP($D3726,'Informations sur les produits'!$A$3:$H$10000,8,FALSE),"0")</f>
        <v>0</v>
      </c>
      <c r="K3726" s="4"/>
      <c r="L3726" s="33" t="str">
        <f>IFERROR(VLOOKUP($J3726,'Informations sur les produits'!$A$3:$H$10000,8,FALSE),"0")</f>
        <v>0</v>
      </c>
      <c r="N3726" s="8"/>
      <c r="O3726" s="33" t="str">
        <f>IFERROR(VLOOKUP($M3726,'Informations sur les produits'!$A$3:$H$10000,8,FALSE),"0")</f>
        <v>0</v>
      </c>
      <c r="P3726" s="33">
        <f t="shared" si="232"/>
        <v>0</v>
      </c>
      <c r="Q3726" s="31" t="str">
        <f t="shared" si="233"/>
        <v/>
      </c>
      <c r="R3726" s="32" t="str">
        <f>IFERROR(VLOOKUP($D3726,'Informations sur les produits'!$A$3:$B$15000,2,FALSE),"")</f>
        <v/>
      </c>
      <c r="V3726">
        <f t="shared" si="234"/>
        <v>0</v>
      </c>
      <c r="W3726">
        <f t="shared" si="235"/>
        <v>0</v>
      </c>
    </row>
    <row r="3727" spans="5:23" x14ac:dyDescent="0.25">
      <c r="E3727" s="4"/>
      <c r="F3727" s="4"/>
      <c r="G3727" s="33" t="str">
        <f>IFERROR(VLOOKUP($D3727,'Informations sur les produits'!$A$3:$H$10000,8,FALSE),"0")</f>
        <v>0</v>
      </c>
      <c r="K3727" s="4"/>
      <c r="L3727" s="33" t="str">
        <f>IFERROR(VLOOKUP($J3727,'Informations sur les produits'!$A$3:$H$10000,8,FALSE),"0")</f>
        <v>0</v>
      </c>
      <c r="N3727" s="8"/>
      <c r="O3727" s="33" t="str">
        <f>IFERROR(VLOOKUP($M3727,'Informations sur les produits'!$A$3:$H$10000,8,FALSE),"0")</f>
        <v>0</v>
      </c>
      <c r="P3727" s="33">
        <f t="shared" si="232"/>
        <v>0</v>
      </c>
      <c r="Q3727" s="31" t="str">
        <f t="shared" si="233"/>
        <v/>
      </c>
      <c r="R3727" s="32" t="str">
        <f>IFERROR(VLOOKUP($D3727,'Informations sur les produits'!$A$3:$B$15000,2,FALSE),"")</f>
        <v/>
      </c>
      <c r="V3727">
        <f t="shared" si="234"/>
        <v>0</v>
      </c>
      <c r="W3727">
        <f t="shared" si="235"/>
        <v>0</v>
      </c>
    </row>
    <row r="3728" spans="5:23" x14ac:dyDescent="0.25">
      <c r="E3728" s="4"/>
      <c r="F3728" s="4"/>
      <c r="G3728" s="33" t="str">
        <f>IFERROR(VLOOKUP($D3728,'Informations sur les produits'!$A$3:$H$10000,8,FALSE),"0")</f>
        <v>0</v>
      </c>
      <c r="K3728" s="4"/>
      <c r="L3728" s="33" t="str">
        <f>IFERROR(VLOOKUP($J3728,'Informations sur les produits'!$A$3:$H$10000,8,FALSE),"0")</f>
        <v>0</v>
      </c>
      <c r="N3728" s="8"/>
      <c r="O3728" s="33" t="str">
        <f>IFERROR(VLOOKUP($M3728,'Informations sur les produits'!$A$3:$H$10000,8,FALSE),"0")</f>
        <v>0</v>
      </c>
      <c r="P3728" s="33">
        <f t="shared" si="232"/>
        <v>0</v>
      </c>
      <c r="Q3728" s="31" t="str">
        <f t="shared" si="233"/>
        <v/>
      </c>
      <c r="R3728" s="32" t="str">
        <f>IFERROR(VLOOKUP($D3728,'Informations sur les produits'!$A$3:$B$15000,2,FALSE),"")</f>
        <v/>
      </c>
      <c r="V3728">
        <f t="shared" si="234"/>
        <v>0</v>
      </c>
      <c r="W3728">
        <f t="shared" si="235"/>
        <v>0</v>
      </c>
    </row>
    <row r="3729" spans="5:23" x14ac:dyDescent="0.25">
      <c r="E3729" s="4"/>
      <c r="F3729" s="4"/>
      <c r="G3729" s="33" t="str">
        <f>IFERROR(VLOOKUP($D3729,'Informations sur les produits'!$A$3:$H$10000,8,FALSE),"0")</f>
        <v>0</v>
      </c>
      <c r="K3729" s="4"/>
      <c r="L3729" s="33" t="str">
        <f>IFERROR(VLOOKUP($J3729,'Informations sur les produits'!$A$3:$H$10000,8,FALSE),"0")</f>
        <v>0</v>
      </c>
      <c r="N3729" s="8"/>
      <c r="O3729" s="33" t="str">
        <f>IFERROR(VLOOKUP($M3729,'Informations sur les produits'!$A$3:$H$10000,8,FALSE),"0")</f>
        <v>0</v>
      </c>
      <c r="P3729" s="33">
        <f t="shared" si="232"/>
        <v>0</v>
      </c>
      <c r="Q3729" s="31" t="str">
        <f t="shared" si="233"/>
        <v/>
      </c>
      <c r="R3729" s="32" t="str">
        <f>IFERROR(VLOOKUP($D3729,'Informations sur les produits'!$A$3:$B$15000,2,FALSE),"")</f>
        <v/>
      </c>
      <c r="V3729">
        <f t="shared" si="234"/>
        <v>0</v>
      </c>
      <c r="W3729">
        <f t="shared" si="235"/>
        <v>0</v>
      </c>
    </row>
    <row r="3730" spans="5:23" x14ac:dyDescent="0.25">
      <c r="E3730" s="4"/>
      <c r="F3730" s="4"/>
      <c r="G3730" s="33" t="str">
        <f>IFERROR(VLOOKUP($D3730,'Informations sur les produits'!$A$3:$H$10000,8,FALSE),"0")</f>
        <v>0</v>
      </c>
      <c r="K3730" s="4"/>
      <c r="L3730" s="33" t="str">
        <f>IFERROR(VLOOKUP($J3730,'Informations sur les produits'!$A$3:$H$10000,8,FALSE),"0")</f>
        <v>0</v>
      </c>
      <c r="N3730" s="8"/>
      <c r="O3730" s="33" t="str">
        <f>IFERROR(VLOOKUP($M3730,'Informations sur les produits'!$A$3:$H$10000,8,FALSE),"0")</f>
        <v>0</v>
      </c>
      <c r="P3730" s="33">
        <f t="shared" si="232"/>
        <v>0</v>
      </c>
      <c r="Q3730" s="31" t="str">
        <f t="shared" si="233"/>
        <v/>
      </c>
      <c r="R3730" s="32" t="str">
        <f>IFERROR(VLOOKUP($D3730,'Informations sur les produits'!$A$3:$B$15000,2,FALSE),"")</f>
        <v/>
      </c>
      <c r="V3730">
        <f t="shared" si="234"/>
        <v>0</v>
      </c>
      <c r="W3730">
        <f t="shared" si="235"/>
        <v>0</v>
      </c>
    </row>
    <row r="3731" spans="5:23" x14ac:dyDescent="0.25">
      <c r="E3731" s="4"/>
      <c r="F3731" s="4"/>
      <c r="G3731" s="33" t="str">
        <f>IFERROR(VLOOKUP($D3731,'Informations sur les produits'!$A$3:$H$10000,8,FALSE),"0")</f>
        <v>0</v>
      </c>
      <c r="K3731" s="4"/>
      <c r="L3731" s="33" t="str">
        <f>IFERROR(VLOOKUP($J3731,'Informations sur les produits'!$A$3:$H$10000,8,FALSE),"0")</f>
        <v>0</v>
      </c>
      <c r="N3731" s="8"/>
      <c r="O3731" s="33" t="str">
        <f>IFERROR(VLOOKUP($M3731,'Informations sur les produits'!$A$3:$H$10000,8,FALSE),"0")</f>
        <v>0</v>
      </c>
      <c r="P3731" s="33">
        <f t="shared" si="232"/>
        <v>0</v>
      </c>
      <c r="Q3731" s="31" t="str">
        <f t="shared" si="233"/>
        <v/>
      </c>
      <c r="R3731" s="32" t="str">
        <f>IFERROR(VLOOKUP($D3731,'Informations sur les produits'!$A$3:$B$15000,2,FALSE),"")</f>
        <v/>
      </c>
      <c r="V3731">
        <f t="shared" si="234"/>
        <v>0</v>
      </c>
      <c r="W3731">
        <f t="shared" si="235"/>
        <v>0</v>
      </c>
    </row>
    <row r="3732" spans="5:23" x14ac:dyDescent="0.25">
      <c r="E3732" s="4"/>
      <c r="F3732" s="4"/>
      <c r="G3732" s="33" t="str">
        <f>IFERROR(VLOOKUP($D3732,'Informations sur les produits'!$A$3:$H$10000,8,FALSE),"0")</f>
        <v>0</v>
      </c>
      <c r="K3732" s="4"/>
      <c r="L3732" s="33" t="str">
        <f>IFERROR(VLOOKUP($J3732,'Informations sur les produits'!$A$3:$H$10000,8,FALSE),"0")</f>
        <v>0</v>
      </c>
      <c r="N3732" s="8"/>
      <c r="O3732" s="33" t="str">
        <f>IFERROR(VLOOKUP($M3732,'Informations sur les produits'!$A$3:$H$10000,8,FALSE),"0")</f>
        <v>0</v>
      </c>
      <c r="P3732" s="33">
        <f t="shared" si="232"/>
        <v>0</v>
      </c>
      <c r="Q3732" s="31" t="str">
        <f t="shared" si="233"/>
        <v/>
      </c>
      <c r="R3732" s="32" t="str">
        <f>IFERROR(VLOOKUP($D3732,'Informations sur les produits'!$A$3:$B$15000,2,FALSE),"")</f>
        <v/>
      </c>
      <c r="V3732">
        <f t="shared" si="234"/>
        <v>0</v>
      </c>
      <c r="W3732">
        <f t="shared" si="235"/>
        <v>0</v>
      </c>
    </row>
    <row r="3733" spans="5:23" x14ac:dyDescent="0.25">
      <c r="E3733" s="4"/>
      <c r="F3733" s="4"/>
      <c r="G3733" s="33" t="str">
        <f>IFERROR(VLOOKUP($D3733,'Informations sur les produits'!$A$3:$H$10000,8,FALSE),"0")</f>
        <v>0</v>
      </c>
      <c r="K3733" s="4"/>
      <c r="L3733" s="33" t="str">
        <f>IFERROR(VLOOKUP($J3733,'Informations sur les produits'!$A$3:$H$10000,8,FALSE),"0")</f>
        <v>0</v>
      </c>
      <c r="N3733" s="8"/>
      <c r="O3733" s="33" t="str">
        <f>IFERROR(VLOOKUP($M3733,'Informations sur les produits'!$A$3:$H$10000,8,FALSE),"0")</f>
        <v>0</v>
      </c>
      <c r="P3733" s="33">
        <f t="shared" si="232"/>
        <v>0</v>
      </c>
      <c r="Q3733" s="31" t="str">
        <f t="shared" si="233"/>
        <v/>
      </c>
      <c r="R3733" s="32" t="str">
        <f>IFERROR(VLOOKUP($D3733,'Informations sur les produits'!$A$3:$B$15000,2,FALSE),"")</f>
        <v/>
      </c>
      <c r="V3733">
        <f t="shared" si="234"/>
        <v>0</v>
      </c>
      <c r="W3733">
        <f t="shared" si="235"/>
        <v>0</v>
      </c>
    </row>
    <row r="3734" spans="5:23" x14ac:dyDescent="0.25">
      <c r="E3734" s="4"/>
      <c r="F3734" s="4"/>
      <c r="G3734" s="33" t="str">
        <f>IFERROR(VLOOKUP($D3734,'Informations sur les produits'!$A$3:$H$10000,8,FALSE),"0")</f>
        <v>0</v>
      </c>
      <c r="K3734" s="4"/>
      <c r="L3734" s="33" t="str">
        <f>IFERROR(VLOOKUP($J3734,'Informations sur les produits'!$A$3:$H$10000,8,FALSE),"0")</f>
        <v>0</v>
      </c>
      <c r="N3734" s="8"/>
      <c r="O3734" s="33" t="str">
        <f>IFERROR(VLOOKUP($M3734,'Informations sur les produits'!$A$3:$H$10000,8,FALSE),"0")</f>
        <v>0</v>
      </c>
      <c r="P3734" s="33">
        <f t="shared" si="232"/>
        <v>0</v>
      </c>
      <c r="Q3734" s="31" t="str">
        <f t="shared" si="233"/>
        <v/>
      </c>
      <c r="R3734" s="32" t="str">
        <f>IFERROR(VLOOKUP($D3734,'Informations sur les produits'!$A$3:$B$15000,2,FALSE),"")</f>
        <v/>
      </c>
      <c r="V3734">
        <f t="shared" si="234"/>
        <v>0</v>
      </c>
      <c r="W3734">
        <f t="shared" si="235"/>
        <v>0</v>
      </c>
    </row>
    <row r="3735" spans="5:23" x14ac:dyDescent="0.25">
      <c r="E3735" s="4"/>
      <c r="F3735" s="4"/>
      <c r="G3735" s="33" t="str">
        <f>IFERROR(VLOOKUP($D3735,'Informations sur les produits'!$A$3:$H$10000,8,FALSE),"0")</f>
        <v>0</v>
      </c>
      <c r="K3735" s="4"/>
      <c r="L3735" s="33" t="str">
        <f>IFERROR(VLOOKUP($J3735,'Informations sur les produits'!$A$3:$H$10000,8,FALSE),"0")</f>
        <v>0</v>
      </c>
      <c r="N3735" s="8"/>
      <c r="O3735" s="33" t="str">
        <f>IFERROR(VLOOKUP($M3735,'Informations sur les produits'!$A$3:$H$10000,8,FALSE),"0")</f>
        <v>0</v>
      </c>
      <c r="P3735" s="33">
        <f t="shared" si="232"/>
        <v>0</v>
      </c>
      <c r="Q3735" s="31" t="str">
        <f t="shared" si="233"/>
        <v/>
      </c>
      <c r="R3735" s="32" t="str">
        <f>IFERROR(VLOOKUP($D3735,'Informations sur les produits'!$A$3:$B$15000,2,FALSE),"")</f>
        <v/>
      </c>
      <c r="V3735">
        <f t="shared" si="234"/>
        <v>0</v>
      </c>
      <c r="W3735">
        <f t="shared" si="235"/>
        <v>0</v>
      </c>
    </row>
    <row r="3736" spans="5:23" x14ac:dyDescent="0.25">
      <c r="E3736" s="4"/>
      <c r="F3736" s="4"/>
      <c r="G3736" s="33" t="str">
        <f>IFERROR(VLOOKUP($D3736,'Informations sur les produits'!$A$3:$H$10000,8,FALSE),"0")</f>
        <v>0</v>
      </c>
      <c r="K3736" s="4"/>
      <c r="L3736" s="33" t="str">
        <f>IFERROR(VLOOKUP($J3736,'Informations sur les produits'!$A$3:$H$10000,8,FALSE),"0")</f>
        <v>0</v>
      </c>
      <c r="N3736" s="8"/>
      <c r="O3736" s="33" t="str">
        <f>IFERROR(VLOOKUP($M3736,'Informations sur les produits'!$A$3:$H$10000,8,FALSE),"0")</f>
        <v>0</v>
      </c>
      <c r="P3736" s="33">
        <f t="shared" si="232"/>
        <v>0</v>
      </c>
      <c r="Q3736" s="31" t="str">
        <f t="shared" si="233"/>
        <v/>
      </c>
      <c r="R3736" s="32" t="str">
        <f>IFERROR(VLOOKUP($D3736,'Informations sur les produits'!$A$3:$B$15000,2,FALSE),"")</f>
        <v/>
      </c>
      <c r="V3736">
        <f t="shared" si="234"/>
        <v>0</v>
      </c>
      <c r="W3736">
        <f t="shared" si="235"/>
        <v>0</v>
      </c>
    </row>
    <row r="3737" spans="5:23" x14ac:dyDescent="0.25">
      <c r="E3737" s="4"/>
      <c r="F3737" s="4"/>
      <c r="G3737" s="33" t="str">
        <f>IFERROR(VLOOKUP($D3737,'Informations sur les produits'!$A$3:$H$10000,8,FALSE),"0")</f>
        <v>0</v>
      </c>
      <c r="K3737" s="4"/>
      <c r="L3737" s="33" t="str">
        <f>IFERROR(VLOOKUP($J3737,'Informations sur les produits'!$A$3:$H$10000,8,FALSE),"0")</f>
        <v>0</v>
      </c>
      <c r="N3737" s="8"/>
      <c r="O3737" s="33" t="str">
        <f>IFERROR(VLOOKUP($M3737,'Informations sur les produits'!$A$3:$H$10000,8,FALSE),"0")</f>
        <v>0</v>
      </c>
      <c r="P3737" s="33">
        <f t="shared" si="232"/>
        <v>0</v>
      </c>
      <c r="Q3737" s="31" t="str">
        <f t="shared" si="233"/>
        <v/>
      </c>
      <c r="R3737" s="32" t="str">
        <f>IFERROR(VLOOKUP($D3737,'Informations sur les produits'!$A$3:$B$15000,2,FALSE),"")</f>
        <v/>
      </c>
      <c r="V3737">
        <f t="shared" si="234"/>
        <v>0</v>
      </c>
      <c r="W3737">
        <f t="shared" si="235"/>
        <v>0</v>
      </c>
    </row>
    <row r="3738" spans="5:23" x14ac:dyDescent="0.25">
      <c r="E3738" s="4"/>
      <c r="F3738" s="4"/>
      <c r="G3738" s="33" t="str">
        <f>IFERROR(VLOOKUP($D3738,'Informations sur les produits'!$A$3:$H$10000,8,FALSE),"0")</f>
        <v>0</v>
      </c>
      <c r="K3738" s="4"/>
      <c r="L3738" s="33" t="str">
        <f>IFERROR(VLOOKUP($J3738,'Informations sur les produits'!$A$3:$H$10000,8,FALSE),"0")</f>
        <v>0</v>
      </c>
      <c r="N3738" s="8"/>
      <c r="O3738" s="33" t="str">
        <f>IFERROR(VLOOKUP($M3738,'Informations sur les produits'!$A$3:$H$10000,8,FALSE),"0")</f>
        <v>0</v>
      </c>
      <c r="P3738" s="33">
        <f t="shared" si="232"/>
        <v>0</v>
      </c>
      <c r="Q3738" s="31" t="str">
        <f t="shared" si="233"/>
        <v/>
      </c>
      <c r="R3738" s="32" t="str">
        <f>IFERROR(VLOOKUP($D3738,'Informations sur les produits'!$A$3:$B$15000,2,FALSE),"")</f>
        <v/>
      </c>
      <c r="V3738">
        <f t="shared" si="234"/>
        <v>0</v>
      </c>
      <c r="W3738">
        <f t="shared" si="235"/>
        <v>0</v>
      </c>
    </row>
    <row r="3739" spans="5:23" x14ac:dyDescent="0.25">
      <c r="E3739" s="4"/>
      <c r="F3739" s="4"/>
      <c r="G3739" s="33" t="str">
        <f>IFERROR(VLOOKUP($D3739,'Informations sur les produits'!$A$3:$H$10000,8,FALSE),"0")</f>
        <v>0</v>
      </c>
      <c r="K3739" s="4"/>
      <c r="L3739" s="33" t="str">
        <f>IFERROR(VLOOKUP($J3739,'Informations sur les produits'!$A$3:$H$10000,8,FALSE),"0")</f>
        <v>0</v>
      </c>
      <c r="N3739" s="8"/>
      <c r="O3739" s="33" t="str">
        <f>IFERROR(VLOOKUP($M3739,'Informations sur les produits'!$A$3:$H$10000,8,FALSE),"0")</f>
        <v>0</v>
      </c>
      <c r="P3739" s="33">
        <f t="shared" si="232"/>
        <v>0</v>
      </c>
      <c r="Q3739" s="31" t="str">
        <f t="shared" si="233"/>
        <v/>
      </c>
      <c r="R3739" s="32" t="str">
        <f>IFERROR(VLOOKUP($D3739,'Informations sur les produits'!$A$3:$B$15000,2,FALSE),"")</f>
        <v/>
      </c>
      <c r="V3739">
        <f t="shared" si="234"/>
        <v>0</v>
      </c>
      <c r="W3739">
        <f t="shared" si="235"/>
        <v>0</v>
      </c>
    </row>
    <row r="3740" spans="5:23" x14ac:dyDescent="0.25">
      <c r="E3740" s="4"/>
      <c r="F3740" s="4"/>
      <c r="G3740" s="33" t="str">
        <f>IFERROR(VLOOKUP($D3740,'Informations sur les produits'!$A$3:$H$10000,8,FALSE),"0")</f>
        <v>0</v>
      </c>
      <c r="K3740" s="4"/>
      <c r="L3740" s="33" t="str">
        <f>IFERROR(VLOOKUP($J3740,'Informations sur les produits'!$A$3:$H$10000,8,FALSE),"0")</f>
        <v>0</v>
      </c>
      <c r="N3740" s="8"/>
      <c r="O3740" s="33" t="str">
        <f>IFERROR(VLOOKUP($M3740,'Informations sur les produits'!$A$3:$H$10000,8,FALSE),"0")</f>
        <v>0</v>
      </c>
      <c r="P3740" s="33">
        <f t="shared" si="232"/>
        <v>0</v>
      </c>
      <c r="Q3740" s="31" t="str">
        <f t="shared" si="233"/>
        <v/>
      </c>
      <c r="R3740" s="32" t="str">
        <f>IFERROR(VLOOKUP($D3740,'Informations sur les produits'!$A$3:$B$15000,2,FALSE),"")</f>
        <v/>
      </c>
      <c r="V3740">
        <f t="shared" si="234"/>
        <v>0</v>
      </c>
      <c r="W3740">
        <f t="shared" si="235"/>
        <v>0</v>
      </c>
    </row>
    <row r="3741" spans="5:23" x14ac:dyDescent="0.25">
      <c r="E3741" s="4"/>
      <c r="F3741" s="4"/>
      <c r="G3741" s="33" t="str">
        <f>IFERROR(VLOOKUP($D3741,'Informations sur les produits'!$A$3:$H$10000,8,FALSE),"0")</f>
        <v>0</v>
      </c>
      <c r="K3741" s="4"/>
      <c r="L3741" s="33" t="str">
        <f>IFERROR(VLOOKUP($J3741,'Informations sur les produits'!$A$3:$H$10000,8,FALSE),"0")</f>
        <v>0</v>
      </c>
      <c r="N3741" s="8"/>
      <c r="O3741" s="33" t="str">
        <f>IFERROR(VLOOKUP($M3741,'Informations sur les produits'!$A$3:$H$10000,8,FALSE),"0")</f>
        <v>0</v>
      </c>
      <c r="P3741" s="33">
        <f t="shared" si="232"/>
        <v>0</v>
      </c>
      <c r="Q3741" s="31" t="str">
        <f t="shared" si="233"/>
        <v/>
      </c>
      <c r="R3741" s="32" t="str">
        <f>IFERROR(VLOOKUP($D3741,'Informations sur les produits'!$A$3:$B$15000,2,FALSE),"")</f>
        <v/>
      </c>
      <c r="V3741">
        <f t="shared" si="234"/>
        <v>0</v>
      </c>
      <c r="W3741">
        <f t="shared" si="235"/>
        <v>0</v>
      </c>
    </row>
    <row r="3742" spans="5:23" x14ac:dyDescent="0.25">
      <c r="E3742" s="4"/>
      <c r="F3742" s="4"/>
      <c r="G3742" s="33" t="str">
        <f>IFERROR(VLOOKUP($D3742,'Informations sur les produits'!$A$3:$H$10000,8,FALSE),"0")</f>
        <v>0</v>
      </c>
      <c r="K3742" s="4"/>
      <c r="L3742" s="33" t="str">
        <f>IFERROR(VLOOKUP($J3742,'Informations sur les produits'!$A$3:$H$10000,8,FALSE),"0")</f>
        <v>0</v>
      </c>
      <c r="N3742" s="8"/>
      <c r="O3742" s="33" t="str">
        <f>IFERROR(VLOOKUP($M3742,'Informations sur les produits'!$A$3:$H$10000,8,FALSE),"0")</f>
        <v>0</v>
      </c>
      <c r="P3742" s="33">
        <f t="shared" si="232"/>
        <v>0</v>
      </c>
      <c r="Q3742" s="31" t="str">
        <f t="shared" si="233"/>
        <v/>
      </c>
      <c r="R3742" s="32" t="str">
        <f>IFERROR(VLOOKUP($D3742,'Informations sur les produits'!$A$3:$B$15000,2,FALSE),"")</f>
        <v/>
      </c>
      <c r="V3742">
        <f t="shared" si="234"/>
        <v>0</v>
      </c>
      <c r="W3742">
        <f t="shared" si="235"/>
        <v>0</v>
      </c>
    </row>
    <row r="3743" spans="5:23" x14ac:dyDescent="0.25">
      <c r="E3743" s="4"/>
      <c r="F3743" s="4"/>
      <c r="G3743" s="33" t="str">
        <f>IFERROR(VLOOKUP($D3743,'Informations sur les produits'!$A$3:$H$10000,8,FALSE),"0")</f>
        <v>0</v>
      </c>
      <c r="K3743" s="4"/>
      <c r="L3743" s="33" t="str">
        <f>IFERROR(VLOOKUP($J3743,'Informations sur les produits'!$A$3:$H$10000,8,FALSE),"0")</f>
        <v>0</v>
      </c>
      <c r="N3743" s="8"/>
      <c r="O3743" s="33" t="str">
        <f>IFERROR(VLOOKUP($M3743,'Informations sur les produits'!$A$3:$H$10000,8,FALSE),"0")</f>
        <v>0</v>
      </c>
      <c r="P3743" s="33">
        <f t="shared" si="232"/>
        <v>0</v>
      </c>
      <c r="Q3743" s="31" t="str">
        <f t="shared" si="233"/>
        <v/>
      </c>
      <c r="R3743" s="32" t="str">
        <f>IFERROR(VLOOKUP($D3743,'Informations sur les produits'!$A$3:$B$15000,2,FALSE),"")</f>
        <v/>
      </c>
      <c r="V3743">
        <f t="shared" si="234"/>
        <v>0</v>
      </c>
      <c r="W3743">
        <f t="shared" si="235"/>
        <v>0</v>
      </c>
    </row>
    <row r="3744" spans="5:23" x14ac:dyDescent="0.25">
      <c r="E3744" s="4"/>
      <c r="F3744" s="4"/>
      <c r="G3744" s="33" t="str">
        <f>IFERROR(VLOOKUP($D3744,'Informations sur les produits'!$A$3:$H$10000,8,FALSE),"0")</f>
        <v>0</v>
      </c>
      <c r="K3744" s="4"/>
      <c r="L3744" s="33" t="str">
        <f>IFERROR(VLOOKUP($J3744,'Informations sur les produits'!$A$3:$H$10000,8,FALSE),"0")</f>
        <v>0</v>
      </c>
      <c r="N3744" s="8"/>
      <c r="O3744" s="33" t="str">
        <f>IFERROR(VLOOKUP($M3744,'Informations sur les produits'!$A$3:$H$10000,8,FALSE),"0")</f>
        <v>0</v>
      </c>
      <c r="P3744" s="33">
        <f t="shared" si="232"/>
        <v>0</v>
      </c>
      <c r="Q3744" s="31" t="str">
        <f t="shared" si="233"/>
        <v/>
      </c>
      <c r="R3744" s="32" t="str">
        <f>IFERROR(VLOOKUP($D3744,'Informations sur les produits'!$A$3:$B$15000,2,FALSE),"")</f>
        <v/>
      </c>
      <c r="V3744">
        <f t="shared" si="234"/>
        <v>0</v>
      </c>
      <c r="W3744">
        <f t="shared" si="235"/>
        <v>0</v>
      </c>
    </row>
    <row r="3745" spans="5:23" x14ac:dyDescent="0.25">
      <c r="E3745" s="4"/>
      <c r="F3745" s="4"/>
      <c r="G3745" s="33" t="str">
        <f>IFERROR(VLOOKUP($D3745,'Informations sur les produits'!$A$3:$H$10000,8,FALSE),"0")</f>
        <v>0</v>
      </c>
      <c r="K3745" s="4"/>
      <c r="L3745" s="33" t="str">
        <f>IFERROR(VLOOKUP($J3745,'Informations sur les produits'!$A$3:$H$10000,8,FALSE),"0")</f>
        <v>0</v>
      </c>
      <c r="N3745" s="8"/>
      <c r="O3745" s="33" t="str">
        <f>IFERROR(VLOOKUP($M3745,'Informations sur les produits'!$A$3:$H$10000,8,FALSE),"0")</f>
        <v>0</v>
      </c>
      <c r="P3745" s="33">
        <f t="shared" si="232"/>
        <v>0</v>
      </c>
      <c r="Q3745" s="31" t="str">
        <f t="shared" si="233"/>
        <v/>
      </c>
      <c r="R3745" s="32" t="str">
        <f>IFERROR(VLOOKUP($D3745,'Informations sur les produits'!$A$3:$B$15000,2,FALSE),"")</f>
        <v/>
      </c>
      <c r="V3745">
        <f t="shared" si="234"/>
        <v>0</v>
      </c>
      <c r="W3745">
        <f t="shared" si="235"/>
        <v>0</v>
      </c>
    </row>
    <row r="3746" spans="5:23" x14ac:dyDescent="0.25">
      <c r="E3746" s="4"/>
      <c r="F3746" s="4"/>
      <c r="G3746" s="33" t="str">
        <f>IFERROR(VLOOKUP($D3746,'Informations sur les produits'!$A$3:$H$10000,8,FALSE),"0")</f>
        <v>0</v>
      </c>
      <c r="K3746" s="4"/>
      <c r="L3746" s="33" t="str">
        <f>IFERROR(VLOOKUP($J3746,'Informations sur les produits'!$A$3:$H$10000,8,FALSE),"0")</f>
        <v>0</v>
      </c>
      <c r="N3746" s="8"/>
      <c r="O3746" s="33" t="str">
        <f>IFERROR(VLOOKUP($M3746,'Informations sur les produits'!$A$3:$H$10000,8,FALSE),"0")</f>
        <v>0</v>
      </c>
      <c r="P3746" s="33">
        <f t="shared" si="232"/>
        <v>0</v>
      </c>
      <c r="Q3746" s="31" t="str">
        <f t="shared" si="233"/>
        <v/>
      </c>
      <c r="R3746" s="32" t="str">
        <f>IFERROR(VLOOKUP($D3746,'Informations sur les produits'!$A$3:$B$15000,2,FALSE),"")</f>
        <v/>
      </c>
      <c r="V3746">
        <f t="shared" si="234"/>
        <v>0</v>
      </c>
      <c r="W3746">
        <f t="shared" si="235"/>
        <v>0</v>
      </c>
    </row>
    <row r="3747" spans="5:23" x14ac:dyDescent="0.25">
      <c r="E3747" s="4"/>
      <c r="F3747" s="4"/>
      <c r="G3747" s="33" t="str">
        <f>IFERROR(VLOOKUP($D3747,'Informations sur les produits'!$A$3:$H$10000,8,FALSE),"0")</f>
        <v>0</v>
      </c>
      <c r="K3747" s="4"/>
      <c r="L3747" s="33" t="str">
        <f>IFERROR(VLOOKUP($J3747,'Informations sur les produits'!$A$3:$H$10000,8,FALSE),"0")</f>
        <v>0</v>
      </c>
      <c r="N3747" s="8"/>
      <c r="O3747" s="33" t="str">
        <f>IFERROR(VLOOKUP($M3747,'Informations sur les produits'!$A$3:$H$10000,8,FALSE),"0")</f>
        <v>0</v>
      </c>
      <c r="P3747" s="33">
        <f t="shared" si="232"/>
        <v>0</v>
      </c>
      <c r="Q3747" s="31" t="str">
        <f t="shared" si="233"/>
        <v/>
      </c>
      <c r="R3747" s="32" t="str">
        <f>IFERROR(VLOOKUP($D3747,'Informations sur les produits'!$A$3:$B$15000,2,FALSE),"")</f>
        <v/>
      </c>
      <c r="V3747">
        <f t="shared" si="234"/>
        <v>0</v>
      </c>
      <c r="W3747">
        <f t="shared" si="235"/>
        <v>0</v>
      </c>
    </row>
    <row r="3748" spans="5:23" x14ac:dyDescent="0.25">
      <c r="E3748" s="4"/>
      <c r="F3748" s="4"/>
      <c r="G3748" s="33" t="str">
        <f>IFERROR(VLOOKUP($D3748,'Informations sur les produits'!$A$3:$H$10000,8,FALSE),"0")</f>
        <v>0</v>
      </c>
      <c r="K3748" s="4"/>
      <c r="L3748" s="33" t="str">
        <f>IFERROR(VLOOKUP($J3748,'Informations sur les produits'!$A$3:$H$10000,8,FALSE),"0")</f>
        <v>0</v>
      </c>
      <c r="N3748" s="8"/>
      <c r="O3748" s="33" t="str">
        <f>IFERROR(VLOOKUP($M3748,'Informations sur les produits'!$A$3:$H$10000,8,FALSE),"0")</f>
        <v>0</v>
      </c>
      <c r="P3748" s="33">
        <f t="shared" si="232"/>
        <v>0</v>
      </c>
      <c r="Q3748" s="31" t="str">
        <f t="shared" si="233"/>
        <v/>
      </c>
      <c r="R3748" s="32" t="str">
        <f>IFERROR(VLOOKUP($D3748,'Informations sur les produits'!$A$3:$B$15000,2,FALSE),"")</f>
        <v/>
      </c>
      <c r="V3748">
        <f t="shared" si="234"/>
        <v>0</v>
      </c>
      <c r="W3748">
        <f t="shared" si="235"/>
        <v>0</v>
      </c>
    </row>
    <row r="3749" spans="5:23" x14ac:dyDescent="0.25">
      <c r="E3749" s="4"/>
      <c r="F3749" s="4"/>
      <c r="G3749" s="33" t="str">
        <f>IFERROR(VLOOKUP($D3749,'Informations sur les produits'!$A$3:$H$10000,8,FALSE),"0")</f>
        <v>0</v>
      </c>
      <c r="K3749" s="4"/>
      <c r="L3749" s="33" t="str">
        <f>IFERROR(VLOOKUP($J3749,'Informations sur les produits'!$A$3:$H$10000,8,FALSE),"0")</f>
        <v>0</v>
      </c>
      <c r="N3749" s="8"/>
      <c r="O3749" s="33" t="str">
        <f>IFERROR(VLOOKUP($M3749,'Informations sur les produits'!$A$3:$H$10000,8,FALSE),"0")</f>
        <v>0</v>
      </c>
      <c r="P3749" s="33">
        <f t="shared" si="232"/>
        <v>0</v>
      </c>
      <c r="Q3749" s="31" t="str">
        <f t="shared" si="233"/>
        <v/>
      </c>
      <c r="R3749" s="32" t="str">
        <f>IFERROR(VLOOKUP($D3749,'Informations sur les produits'!$A$3:$B$15000,2,FALSE),"")</f>
        <v/>
      </c>
      <c r="V3749">
        <f t="shared" si="234"/>
        <v>0</v>
      </c>
      <c r="W3749">
        <f t="shared" si="235"/>
        <v>0</v>
      </c>
    </row>
    <row r="3750" spans="5:23" x14ac:dyDescent="0.25">
      <c r="E3750" s="4"/>
      <c r="F3750" s="4"/>
      <c r="G3750" s="33" t="str">
        <f>IFERROR(VLOOKUP($D3750,'Informations sur les produits'!$A$3:$H$10000,8,FALSE),"0")</f>
        <v>0</v>
      </c>
      <c r="K3750" s="4"/>
      <c r="L3750" s="33" t="str">
        <f>IFERROR(VLOOKUP($J3750,'Informations sur les produits'!$A$3:$H$10000,8,FALSE),"0")</f>
        <v>0</v>
      </c>
      <c r="N3750" s="8"/>
      <c r="O3750" s="33" t="str">
        <f>IFERROR(VLOOKUP($M3750,'Informations sur les produits'!$A$3:$H$10000,8,FALSE),"0")</f>
        <v>0</v>
      </c>
      <c r="P3750" s="33">
        <f t="shared" si="232"/>
        <v>0</v>
      </c>
      <c r="Q3750" s="31" t="str">
        <f t="shared" si="233"/>
        <v/>
      </c>
      <c r="R3750" s="32" t="str">
        <f>IFERROR(VLOOKUP($D3750,'Informations sur les produits'!$A$3:$B$15000,2,FALSE),"")</f>
        <v/>
      </c>
      <c r="V3750">
        <f t="shared" si="234"/>
        <v>0</v>
      </c>
      <c r="W3750">
        <f t="shared" si="235"/>
        <v>0</v>
      </c>
    </row>
    <row r="3751" spans="5:23" x14ac:dyDescent="0.25">
      <c r="E3751" s="4"/>
      <c r="F3751" s="4"/>
      <c r="G3751" s="33" t="str">
        <f>IFERROR(VLOOKUP($D3751,'Informations sur les produits'!$A$3:$H$10000,8,FALSE),"0")</f>
        <v>0</v>
      </c>
      <c r="K3751" s="4"/>
      <c r="L3751" s="33" t="str">
        <f>IFERROR(VLOOKUP($J3751,'Informations sur les produits'!$A$3:$H$10000,8,FALSE),"0")</f>
        <v>0</v>
      </c>
      <c r="N3751" s="8"/>
      <c r="O3751" s="33" t="str">
        <f>IFERROR(VLOOKUP($M3751,'Informations sur les produits'!$A$3:$H$10000,8,FALSE),"0")</f>
        <v>0</v>
      </c>
      <c r="P3751" s="33">
        <f t="shared" si="232"/>
        <v>0</v>
      </c>
      <c r="Q3751" s="31" t="str">
        <f t="shared" si="233"/>
        <v/>
      </c>
      <c r="R3751" s="32" t="str">
        <f>IFERROR(VLOOKUP($D3751,'Informations sur les produits'!$A$3:$B$15000,2,FALSE),"")</f>
        <v/>
      </c>
      <c r="V3751">
        <f t="shared" si="234"/>
        <v>0</v>
      </c>
      <c r="W3751">
        <f t="shared" si="235"/>
        <v>0</v>
      </c>
    </row>
    <row r="3752" spans="5:23" x14ac:dyDescent="0.25">
      <c r="E3752" s="4"/>
      <c r="F3752" s="4"/>
      <c r="G3752" s="33" t="str">
        <f>IFERROR(VLOOKUP($D3752,'Informations sur les produits'!$A$3:$H$10000,8,FALSE),"0")</f>
        <v>0</v>
      </c>
      <c r="K3752" s="4"/>
      <c r="L3752" s="33" t="str">
        <f>IFERROR(VLOOKUP($J3752,'Informations sur les produits'!$A$3:$H$10000,8,FALSE),"0")</f>
        <v>0</v>
      </c>
      <c r="N3752" s="8"/>
      <c r="O3752" s="33" t="str">
        <f>IFERROR(VLOOKUP($M3752,'Informations sur les produits'!$A$3:$H$10000,8,FALSE),"0")</f>
        <v>0</v>
      </c>
      <c r="P3752" s="33">
        <f t="shared" si="232"/>
        <v>0</v>
      </c>
      <c r="Q3752" s="31" t="str">
        <f t="shared" si="233"/>
        <v/>
      </c>
      <c r="R3752" s="32" t="str">
        <f>IFERROR(VLOOKUP($D3752,'Informations sur les produits'!$A$3:$B$15000,2,FALSE),"")</f>
        <v/>
      </c>
      <c r="V3752">
        <f t="shared" si="234"/>
        <v>0</v>
      </c>
      <c r="W3752">
        <f t="shared" si="235"/>
        <v>0</v>
      </c>
    </row>
    <row r="3753" spans="5:23" x14ac:dyDescent="0.25">
      <c r="E3753" s="4"/>
      <c r="F3753" s="4"/>
      <c r="G3753" s="33" t="str">
        <f>IFERROR(VLOOKUP($D3753,'Informations sur les produits'!$A$3:$H$10000,8,FALSE),"0")</f>
        <v>0</v>
      </c>
      <c r="K3753" s="4"/>
      <c r="L3753" s="33" t="str">
        <f>IFERROR(VLOOKUP($J3753,'Informations sur les produits'!$A$3:$H$10000,8,FALSE),"0")</f>
        <v>0</v>
      </c>
      <c r="N3753" s="8"/>
      <c r="O3753" s="33" t="str">
        <f>IFERROR(VLOOKUP($M3753,'Informations sur les produits'!$A$3:$H$10000,8,FALSE),"0")</f>
        <v>0</v>
      </c>
      <c r="P3753" s="33">
        <f t="shared" si="232"/>
        <v>0</v>
      </c>
      <c r="Q3753" s="31" t="str">
        <f t="shared" si="233"/>
        <v/>
      </c>
      <c r="R3753" s="32" t="str">
        <f>IFERROR(VLOOKUP($D3753,'Informations sur les produits'!$A$3:$B$15000,2,FALSE),"")</f>
        <v/>
      </c>
      <c r="V3753">
        <f t="shared" si="234"/>
        <v>0</v>
      </c>
      <c r="W3753">
        <f t="shared" si="235"/>
        <v>0</v>
      </c>
    </row>
    <row r="3754" spans="5:23" x14ac:dyDescent="0.25">
      <c r="E3754" s="4"/>
      <c r="F3754" s="4"/>
      <c r="G3754" s="33" t="str">
        <f>IFERROR(VLOOKUP($D3754,'Informations sur les produits'!$A$3:$H$10000,8,FALSE),"0")</f>
        <v>0</v>
      </c>
      <c r="K3754" s="4"/>
      <c r="L3754" s="33" t="str">
        <f>IFERROR(VLOOKUP($J3754,'Informations sur les produits'!$A$3:$H$10000,8,FALSE),"0")</f>
        <v>0</v>
      </c>
      <c r="N3754" s="8"/>
      <c r="O3754" s="33" t="str">
        <f>IFERROR(VLOOKUP($M3754,'Informations sur les produits'!$A$3:$H$10000,8,FALSE),"0")</f>
        <v>0</v>
      </c>
      <c r="P3754" s="33">
        <f t="shared" si="232"/>
        <v>0</v>
      </c>
      <c r="Q3754" s="31" t="str">
        <f t="shared" si="233"/>
        <v/>
      </c>
      <c r="R3754" s="32" t="str">
        <f>IFERROR(VLOOKUP($D3754,'Informations sur les produits'!$A$3:$B$15000,2,FALSE),"")</f>
        <v/>
      </c>
      <c r="V3754">
        <f t="shared" si="234"/>
        <v>0</v>
      </c>
      <c r="W3754">
        <f t="shared" si="235"/>
        <v>0</v>
      </c>
    </row>
    <row r="3755" spans="5:23" x14ac:dyDescent="0.25">
      <c r="E3755" s="4"/>
      <c r="F3755" s="4"/>
      <c r="G3755" s="33" t="str">
        <f>IFERROR(VLOOKUP($D3755,'Informations sur les produits'!$A$3:$H$10000,8,FALSE),"0")</f>
        <v>0</v>
      </c>
      <c r="K3755" s="4"/>
      <c r="L3755" s="33" t="str">
        <f>IFERROR(VLOOKUP($J3755,'Informations sur les produits'!$A$3:$H$10000,8,FALSE),"0")</f>
        <v>0</v>
      </c>
      <c r="N3755" s="8"/>
      <c r="O3755" s="33" t="str">
        <f>IFERROR(VLOOKUP($M3755,'Informations sur les produits'!$A$3:$H$10000,8,FALSE),"0")</f>
        <v>0</v>
      </c>
      <c r="P3755" s="33">
        <f t="shared" si="232"/>
        <v>0</v>
      </c>
      <c r="Q3755" s="31" t="str">
        <f t="shared" si="233"/>
        <v/>
      </c>
      <c r="R3755" s="32" t="str">
        <f>IFERROR(VLOOKUP($D3755,'Informations sur les produits'!$A$3:$B$15000,2,FALSE),"")</f>
        <v/>
      </c>
      <c r="V3755">
        <f t="shared" si="234"/>
        <v>0</v>
      </c>
      <c r="W3755">
        <f t="shared" si="235"/>
        <v>0</v>
      </c>
    </row>
    <row r="3756" spans="5:23" x14ac:dyDescent="0.25">
      <c r="E3756" s="4"/>
      <c r="F3756" s="4"/>
      <c r="G3756" s="33" t="str">
        <f>IFERROR(VLOOKUP($D3756,'Informations sur les produits'!$A$3:$H$10000,8,FALSE),"0")</f>
        <v>0</v>
      </c>
      <c r="K3756" s="4"/>
      <c r="L3756" s="33" t="str">
        <f>IFERROR(VLOOKUP($J3756,'Informations sur les produits'!$A$3:$H$10000,8,FALSE),"0")</f>
        <v>0</v>
      </c>
      <c r="N3756" s="8"/>
      <c r="O3756" s="33" t="str">
        <f>IFERROR(VLOOKUP($M3756,'Informations sur les produits'!$A$3:$H$10000,8,FALSE),"0")</f>
        <v>0</v>
      </c>
      <c r="P3756" s="33">
        <f t="shared" si="232"/>
        <v>0</v>
      </c>
      <c r="Q3756" s="31" t="str">
        <f t="shared" si="233"/>
        <v/>
      </c>
      <c r="R3756" s="32" t="str">
        <f>IFERROR(VLOOKUP($D3756,'Informations sur les produits'!$A$3:$B$15000,2,FALSE),"")</f>
        <v/>
      </c>
      <c r="V3756">
        <f t="shared" si="234"/>
        <v>0</v>
      </c>
      <c r="W3756">
        <f t="shared" si="235"/>
        <v>0</v>
      </c>
    </row>
    <row r="3757" spans="5:23" x14ac:dyDescent="0.25">
      <c r="E3757" s="4"/>
      <c r="F3757" s="4"/>
      <c r="G3757" s="33" t="str">
        <f>IFERROR(VLOOKUP($D3757,'Informations sur les produits'!$A$3:$H$10000,8,FALSE),"0")</f>
        <v>0</v>
      </c>
      <c r="K3757" s="4"/>
      <c r="L3757" s="33" t="str">
        <f>IFERROR(VLOOKUP($J3757,'Informations sur les produits'!$A$3:$H$10000,8,FALSE),"0")</f>
        <v>0</v>
      </c>
      <c r="N3757" s="8"/>
      <c r="O3757" s="33" t="str">
        <f>IFERROR(VLOOKUP($M3757,'Informations sur les produits'!$A$3:$H$10000,8,FALSE),"0")</f>
        <v>0</v>
      </c>
      <c r="P3757" s="33">
        <f t="shared" si="232"/>
        <v>0</v>
      </c>
      <c r="Q3757" s="31" t="str">
        <f t="shared" si="233"/>
        <v/>
      </c>
      <c r="R3757" s="32" t="str">
        <f>IFERROR(VLOOKUP($D3757,'Informations sur les produits'!$A$3:$B$15000,2,FALSE),"")</f>
        <v/>
      </c>
      <c r="V3757">
        <f t="shared" si="234"/>
        <v>0</v>
      </c>
      <c r="W3757">
        <f t="shared" si="235"/>
        <v>0</v>
      </c>
    </row>
    <row r="3758" spans="5:23" x14ac:dyDescent="0.25">
      <c r="E3758" s="4"/>
      <c r="F3758" s="4"/>
      <c r="G3758" s="33" t="str">
        <f>IFERROR(VLOOKUP($D3758,'Informations sur les produits'!$A$3:$H$10000,8,FALSE),"0")</f>
        <v>0</v>
      </c>
      <c r="K3758" s="4"/>
      <c r="L3758" s="33" t="str">
        <f>IFERROR(VLOOKUP($J3758,'Informations sur les produits'!$A$3:$H$10000,8,FALSE),"0")</f>
        <v>0</v>
      </c>
      <c r="N3758" s="8"/>
      <c r="O3758" s="33" t="str">
        <f>IFERROR(VLOOKUP($M3758,'Informations sur les produits'!$A$3:$H$10000,8,FALSE),"0")</f>
        <v>0</v>
      </c>
      <c r="P3758" s="33">
        <f t="shared" si="232"/>
        <v>0</v>
      </c>
      <c r="Q3758" s="31" t="str">
        <f t="shared" si="233"/>
        <v/>
      </c>
      <c r="R3758" s="32" t="str">
        <f>IFERROR(VLOOKUP($D3758,'Informations sur les produits'!$A$3:$B$15000,2,FALSE),"")</f>
        <v/>
      </c>
      <c r="V3758">
        <f t="shared" si="234"/>
        <v>0</v>
      </c>
      <c r="W3758">
        <f t="shared" si="235"/>
        <v>0</v>
      </c>
    </row>
    <row r="3759" spans="5:23" x14ac:dyDescent="0.25">
      <c r="E3759" s="4"/>
      <c r="F3759" s="4"/>
      <c r="G3759" s="33" t="str">
        <f>IFERROR(VLOOKUP($D3759,'Informations sur les produits'!$A$3:$H$10000,8,FALSE),"0")</f>
        <v>0</v>
      </c>
      <c r="K3759" s="4"/>
      <c r="L3759" s="33" t="str">
        <f>IFERROR(VLOOKUP($J3759,'Informations sur les produits'!$A$3:$H$10000,8,FALSE),"0")</f>
        <v>0</v>
      </c>
      <c r="N3759" s="8"/>
      <c r="O3759" s="33" t="str">
        <f>IFERROR(VLOOKUP($M3759,'Informations sur les produits'!$A$3:$H$10000,8,FALSE),"0")</f>
        <v>0</v>
      </c>
      <c r="P3759" s="33">
        <f t="shared" si="232"/>
        <v>0</v>
      </c>
      <c r="Q3759" s="31" t="str">
        <f t="shared" si="233"/>
        <v/>
      </c>
      <c r="R3759" s="32" t="str">
        <f>IFERROR(VLOOKUP($D3759,'Informations sur les produits'!$A$3:$B$15000,2,FALSE),"")</f>
        <v/>
      </c>
      <c r="V3759">
        <f t="shared" si="234"/>
        <v>0</v>
      </c>
      <c r="W3759">
        <f t="shared" si="235"/>
        <v>0</v>
      </c>
    </row>
    <row r="3760" spans="5:23" x14ac:dyDescent="0.25">
      <c r="E3760" s="4"/>
      <c r="F3760" s="4"/>
      <c r="G3760" s="33" t="str">
        <f>IFERROR(VLOOKUP($D3760,'Informations sur les produits'!$A$3:$H$10000,8,FALSE),"0")</f>
        <v>0</v>
      </c>
      <c r="K3760" s="4"/>
      <c r="L3760" s="33" t="str">
        <f>IFERROR(VLOOKUP($J3760,'Informations sur les produits'!$A$3:$H$10000,8,FALSE),"0")</f>
        <v>0</v>
      </c>
      <c r="N3760" s="8"/>
      <c r="O3760" s="33" t="str">
        <f>IFERROR(VLOOKUP($M3760,'Informations sur les produits'!$A$3:$H$10000,8,FALSE),"0")</f>
        <v>0</v>
      </c>
      <c r="P3760" s="33">
        <f t="shared" si="232"/>
        <v>0</v>
      </c>
      <c r="Q3760" s="31" t="str">
        <f t="shared" si="233"/>
        <v/>
      </c>
      <c r="R3760" s="32" t="str">
        <f>IFERROR(VLOOKUP($D3760,'Informations sur les produits'!$A$3:$B$15000,2,FALSE),"")</f>
        <v/>
      </c>
      <c r="V3760">
        <f t="shared" si="234"/>
        <v>0</v>
      </c>
      <c r="W3760">
        <f t="shared" si="235"/>
        <v>0</v>
      </c>
    </row>
    <row r="3761" spans="5:23" x14ac:dyDescent="0.25">
      <c r="E3761" s="4"/>
      <c r="F3761" s="4"/>
      <c r="G3761" s="33" t="str">
        <f>IFERROR(VLOOKUP($D3761,'Informations sur les produits'!$A$3:$H$10000,8,FALSE),"0")</f>
        <v>0</v>
      </c>
      <c r="K3761" s="4"/>
      <c r="L3761" s="33" t="str">
        <f>IFERROR(VLOOKUP($J3761,'Informations sur les produits'!$A$3:$H$10000,8,FALSE),"0")</f>
        <v>0</v>
      </c>
      <c r="N3761" s="8"/>
      <c r="O3761" s="33" t="str">
        <f>IFERROR(VLOOKUP($M3761,'Informations sur les produits'!$A$3:$H$10000,8,FALSE),"0")</f>
        <v>0</v>
      </c>
      <c r="P3761" s="33">
        <f t="shared" si="232"/>
        <v>0</v>
      </c>
      <c r="Q3761" s="31" t="str">
        <f t="shared" si="233"/>
        <v/>
      </c>
      <c r="R3761" s="32" t="str">
        <f>IFERROR(VLOOKUP($D3761,'Informations sur les produits'!$A$3:$B$15000,2,FALSE),"")</f>
        <v/>
      </c>
      <c r="V3761">
        <f t="shared" si="234"/>
        <v>0</v>
      </c>
      <c r="W3761">
        <f t="shared" si="235"/>
        <v>0</v>
      </c>
    </row>
    <row r="3762" spans="5:23" x14ac:dyDescent="0.25">
      <c r="E3762" s="4"/>
      <c r="F3762" s="4"/>
      <c r="G3762" s="33" t="str">
        <f>IFERROR(VLOOKUP($D3762,'Informations sur les produits'!$A$3:$H$10000,8,FALSE),"0")</f>
        <v>0</v>
      </c>
      <c r="K3762" s="4"/>
      <c r="L3762" s="33" t="str">
        <f>IFERROR(VLOOKUP($J3762,'Informations sur les produits'!$A$3:$H$10000,8,FALSE),"0")</f>
        <v>0</v>
      </c>
      <c r="N3762" s="8"/>
      <c r="O3762" s="33" t="str">
        <f>IFERROR(VLOOKUP($M3762,'Informations sur les produits'!$A$3:$H$10000,8,FALSE),"0")</f>
        <v>0</v>
      </c>
      <c r="P3762" s="33">
        <f t="shared" si="232"/>
        <v>0</v>
      </c>
      <c r="Q3762" s="31" t="str">
        <f t="shared" si="233"/>
        <v/>
      </c>
      <c r="R3762" s="32" t="str">
        <f>IFERROR(VLOOKUP($D3762,'Informations sur les produits'!$A$3:$B$15000,2,FALSE),"")</f>
        <v/>
      </c>
      <c r="V3762">
        <f t="shared" si="234"/>
        <v>0</v>
      </c>
      <c r="W3762">
        <f t="shared" si="235"/>
        <v>0</v>
      </c>
    </row>
    <row r="3763" spans="5:23" x14ac:dyDescent="0.25">
      <c r="E3763" s="4"/>
      <c r="F3763" s="4"/>
      <c r="G3763" s="33" t="str">
        <f>IFERROR(VLOOKUP($D3763,'Informations sur les produits'!$A$3:$H$10000,8,FALSE),"0")</f>
        <v>0</v>
      </c>
      <c r="K3763" s="4"/>
      <c r="L3763" s="33" t="str">
        <f>IFERROR(VLOOKUP($J3763,'Informations sur les produits'!$A$3:$H$10000,8,FALSE),"0")</f>
        <v>0</v>
      </c>
      <c r="N3763" s="8"/>
      <c r="O3763" s="33" t="str">
        <f>IFERROR(VLOOKUP($M3763,'Informations sur les produits'!$A$3:$H$10000,8,FALSE),"0")</f>
        <v>0</v>
      </c>
      <c r="P3763" s="33">
        <f t="shared" si="232"/>
        <v>0</v>
      </c>
      <c r="Q3763" s="31" t="str">
        <f t="shared" si="233"/>
        <v/>
      </c>
      <c r="R3763" s="32" t="str">
        <f>IFERROR(VLOOKUP($D3763,'Informations sur les produits'!$A$3:$B$15000,2,FALSE),"")</f>
        <v/>
      </c>
      <c r="V3763">
        <f t="shared" si="234"/>
        <v>0</v>
      </c>
      <c r="W3763">
        <f t="shared" si="235"/>
        <v>0</v>
      </c>
    </row>
    <row r="3764" spans="5:23" x14ac:dyDescent="0.25">
      <c r="E3764" s="4"/>
      <c r="F3764" s="4"/>
      <c r="G3764" s="33" t="str">
        <f>IFERROR(VLOOKUP($D3764,'Informations sur les produits'!$A$3:$H$10000,8,FALSE),"0")</f>
        <v>0</v>
      </c>
      <c r="K3764" s="4"/>
      <c r="L3764" s="33" t="str">
        <f>IFERROR(VLOOKUP($J3764,'Informations sur les produits'!$A$3:$H$10000,8,FALSE),"0")</f>
        <v>0</v>
      </c>
      <c r="N3764" s="8"/>
      <c r="O3764" s="33" t="str">
        <f>IFERROR(VLOOKUP($M3764,'Informations sur les produits'!$A$3:$H$10000,8,FALSE),"0")</f>
        <v>0</v>
      </c>
      <c r="P3764" s="33">
        <f t="shared" si="232"/>
        <v>0</v>
      </c>
      <c r="Q3764" s="31" t="str">
        <f t="shared" si="233"/>
        <v/>
      </c>
      <c r="R3764" s="32" t="str">
        <f>IFERROR(VLOOKUP($D3764,'Informations sur les produits'!$A$3:$B$15000,2,FALSE),"")</f>
        <v/>
      </c>
      <c r="V3764">
        <f t="shared" si="234"/>
        <v>0</v>
      </c>
      <c r="W3764">
        <f t="shared" si="235"/>
        <v>0</v>
      </c>
    </row>
    <row r="3765" spans="5:23" x14ac:dyDescent="0.25">
      <c r="E3765" s="4"/>
      <c r="F3765" s="4"/>
      <c r="G3765" s="33" t="str">
        <f>IFERROR(VLOOKUP($D3765,'Informations sur les produits'!$A$3:$H$10000,8,FALSE),"0")</f>
        <v>0</v>
      </c>
      <c r="K3765" s="4"/>
      <c r="L3765" s="33" t="str">
        <f>IFERROR(VLOOKUP($J3765,'Informations sur les produits'!$A$3:$H$10000,8,FALSE),"0")</f>
        <v>0</v>
      </c>
      <c r="N3765" s="8"/>
      <c r="O3765" s="33" t="str">
        <f>IFERROR(VLOOKUP($M3765,'Informations sur les produits'!$A$3:$H$10000,8,FALSE),"0")</f>
        <v>0</v>
      </c>
      <c r="P3765" s="33">
        <f t="shared" si="232"/>
        <v>0</v>
      </c>
      <c r="Q3765" s="31" t="str">
        <f t="shared" si="233"/>
        <v/>
      </c>
      <c r="R3765" s="32" t="str">
        <f>IFERROR(VLOOKUP($D3765,'Informations sur les produits'!$A$3:$B$15000,2,FALSE),"")</f>
        <v/>
      </c>
      <c r="V3765">
        <f t="shared" si="234"/>
        <v>0</v>
      </c>
      <c r="W3765">
        <f t="shared" si="235"/>
        <v>0</v>
      </c>
    </row>
    <row r="3766" spans="5:23" x14ac:dyDescent="0.25">
      <c r="E3766" s="4"/>
      <c r="F3766" s="4"/>
      <c r="G3766" s="33" t="str">
        <f>IFERROR(VLOOKUP($D3766,'Informations sur les produits'!$A$3:$H$10000,8,FALSE),"0")</f>
        <v>0</v>
      </c>
      <c r="K3766" s="4"/>
      <c r="L3766" s="33" t="str">
        <f>IFERROR(VLOOKUP($J3766,'Informations sur les produits'!$A$3:$H$10000,8,FALSE),"0")</f>
        <v>0</v>
      </c>
      <c r="N3766" s="8"/>
      <c r="O3766" s="33" t="str">
        <f>IFERROR(VLOOKUP($M3766,'Informations sur les produits'!$A$3:$H$10000,8,FALSE),"0")</f>
        <v>0</v>
      </c>
      <c r="P3766" s="33">
        <f t="shared" si="232"/>
        <v>0</v>
      </c>
      <c r="Q3766" s="31" t="str">
        <f t="shared" si="233"/>
        <v/>
      </c>
      <c r="R3766" s="32" t="str">
        <f>IFERROR(VLOOKUP($D3766,'Informations sur les produits'!$A$3:$B$15000,2,FALSE),"")</f>
        <v/>
      </c>
      <c r="V3766">
        <f t="shared" si="234"/>
        <v>0</v>
      </c>
      <c r="W3766">
        <f t="shared" si="235"/>
        <v>0</v>
      </c>
    </row>
    <row r="3767" spans="5:23" x14ac:dyDescent="0.25">
      <c r="E3767" s="4"/>
      <c r="F3767" s="4"/>
      <c r="G3767" s="33" t="str">
        <f>IFERROR(VLOOKUP($D3767,'Informations sur les produits'!$A$3:$H$10000,8,FALSE),"0")</f>
        <v>0</v>
      </c>
      <c r="K3767" s="4"/>
      <c r="L3767" s="33" t="str">
        <f>IFERROR(VLOOKUP($J3767,'Informations sur les produits'!$A$3:$H$10000,8,FALSE),"0")</f>
        <v>0</v>
      </c>
      <c r="N3767" s="8"/>
      <c r="O3767" s="33" t="str">
        <f>IFERROR(VLOOKUP($M3767,'Informations sur les produits'!$A$3:$H$10000,8,FALSE),"0")</f>
        <v>0</v>
      </c>
      <c r="P3767" s="33">
        <f t="shared" si="232"/>
        <v>0</v>
      </c>
      <c r="Q3767" s="31" t="str">
        <f t="shared" si="233"/>
        <v/>
      </c>
      <c r="R3767" s="32" t="str">
        <f>IFERROR(VLOOKUP($D3767,'Informations sur les produits'!$A$3:$B$15000,2,FALSE),"")</f>
        <v/>
      </c>
      <c r="V3767">
        <f t="shared" si="234"/>
        <v>0</v>
      </c>
      <c r="W3767">
        <f t="shared" si="235"/>
        <v>0</v>
      </c>
    </row>
    <row r="3768" spans="5:23" x14ac:dyDescent="0.25">
      <c r="E3768" s="4"/>
      <c r="F3768" s="4"/>
      <c r="G3768" s="33" t="str">
        <f>IFERROR(VLOOKUP($D3768,'Informations sur les produits'!$A$3:$H$10000,8,FALSE),"0")</f>
        <v>0</v>
      </c>
      <c r="K3768" s="4"/>
      <c r="L3768" s="33" t="str">
        <f>IFERROR(VLOOKUP($J3768,'Informations sur les produits'!$A$3:$H$10000,8,FALSE),"0")</f>
        <v>0</v>
      </c>
      <c r="N3768" s="8"/>
      <c r="O3768" s="33" t="str">
        <f>IFERROR(VLOOKUP($M3768,'Informations sur les produits'!$A$3:$H$10000,8,FALSE),"0")</f>
        <v>0</v>
      </c>
      <c r="P3768" s="33">
        <f t="shared" si="232"/>
        <v>0</v>
      </c>
      <c r="Q3768" s="31" t="str">
        <f t="shared" si="233"/>
        <v/>
      </c>
      <c r="R3768" s="32" t="str">
        <f>IFERROR(VLOOKUP($D3768,'Informations sur les produits'!$A$3:$B$15000,2,FALSE),"")</f>
        <v/>
      </c>
      <c r="V3768">
        <f t="shared" si="234"/>
        <v>0</v>
      </c>
      <c r="W3768">
        <f t="shared" si="235"/>
        <v>0</v>
      </c>
    </row>
    <row r="3769" spans="5:23" x14ac:dyDescent="0.25">
      <c r="E3769" s="4"/>
      <c r="F3769" s="4"/>
      <c r="G3769" s="33" t="str">
        <f>IFERROR(VLOOKUP($D3769,'Informations sur les produits'!$A$3:$H$10000,8,FALSE),"0")</f>
        <v>0</v>
      </c>
      <c r="K3769" s="4"/>
      <c r="L3769" s="33" t="str">
        <f>IFERROR(VLOOKUP($J3769,'Informations sur les produits'!$A$3:$H$10000,8,FALSE),"0")</f>
        <v>0</v>
      </c>
      <c r="N3769" s="8"/>
      <c r="O3769" s="33" t="str">
        <f>IFERROR(VLOOKUP($M3769,'Informations sur les produits'!$A$3:$H$10000,8,FALSE),"0")</f>
        <v>0</v>
      </c>
      <c r="P3769" s="33">
        <f t="shared" si="232"/>
        <v>0</v>
      </c>
      <c r="Q3769" s="31" t="str">
        <f t="shared" si="233"/>
        <v/>
      </c>
      <c r="R3769" s="32" t="str">
        <f>IFERROR(VLOOKUP($D3769,'Informations sur les produits'!$A$3:$B$15000,2,FALSE),"")</f>
        <v/>
      </c>
      <c r="V3769">
        <f t="shared" si="234"/>
        <v>0</v>
      </c>
      <c r="W3769">
        <f t="shared" si="235"/>
        <v>0</v>
      </c>
    </row>
    <row r="3770" spans="5:23" x14ac:dyDescent="0.25">
      <c r="E3770" s="4"/>
      <c r="F3770" s="4"/>
      <c r="G3770" s="33" t="str">
        <f>IFERROR(VLOOKUP($D3770,'Informations sur les produits'!$A$3:$H$10000,8,FALSE),"0")</f>
        <v>0</v>
      </c>
      <c r="K3770" s="4"/>
      <c r="L3770" s="33" t="str">
        <f>IFERROR(VLOOKUP($J3770,'Informations sur les produits'!$A$3:$H$10000,8,FALSE),"0")</f>
        <v>0</v>
      </c>
      <c r="N3770" s="8"/>
      <c r="O3770" s="33" t="str">
        <f>IFERROR(VLOOKUP($M3770,'Informations sur les produits'!$A$3:$H$10000,8,FALSE),"0")</f>
        <v>0</v>
      </c>
      <c r="P3770" s="33">
        <f t="shared" si="232"/>
        <v>0</v>
      </c>
      <c r="Q3770" s="31" t="str">
        <f t="shared" si="233"/>
        <v/>
      </c>
      <c r="R3770" s="32" t="str">
        <f>IFERROR(VLOOKUP($D3770,'Informations sur les produits'!$A$3:$B$15000,2,FALSE),"")</f>
        <v/>
      </c>
      <c r="V3770">
        <f t="shared" si="234"/>
        <v>0</v>
      </c>
      <c r="W3770">
        <f t="shared" si="235"/>
        <v>0</v>
      </c>
    </row>
    <row r="3771" spans="5:23" x14ac:dyDescent="0.25">
      <c r="E3771" s="4"/>
      <c r="F3771" s="4"/>
      <c r="G3771" s="33" t="str">
        <f>IFERROR(VLOOKUP($D3771,'Informations sur les produits'!$A$3:$H$10000,8,FALSE),"0")</f>
        <v>0</v>
      </c>
      <c r="K3771" s="4"/>
      <c r="L3771" s="33" t="str">
        <f>IFERROR(VLOOKUP($J3771,'Informations sur les produits'!$A$3:$H$10000,8,FALSE),"0")</f>
        <v>0</v>
      </c>
      <c r="N3771" s="8"/>
      <c r="O3771" s="33" t="str">
        <f>IFERROR(VLOOKUP($M3771,'Informations sur les produits'!$A$3:$H$10000,8,FALSE),"0")</f>
        <v>0</v>
      </c>
      <c r="P3771" s="33">
        <f t="shared" si="232"/>
        <v>0</v>
      </c>
      <c r="Q3771" s="31" t="str">
        <f t="shared" si="233"/>
        <v/>
      </c>
      <c r="R3771" s="32" t="str">
        <f>IFERROR(VLOOKUP($D3771,'Informations sur les produits'!$A$3:$B$15000,2,FALSE),"")</f>
        <v/>
      </c>
      <c r="V3771">
        <f t="shared" si="234"/>
        <v>0</v>
      </c>
      <c r="W3771">
        <f t="shared" si="235"/>
        <v>0</v>
      </c>
    </row>
    <row r="3772" spans="5:23" x14ac:dyDescent="0.25">
      <c r="E3772" s="4"/>
      <c r="F3772" s="4"/>
      <c r="G3772" s="33" t="str">
        <f>IFERROR(VLOOKUP($D3772,'Informations sur les produits'!$A$3:$H$10000,8,FALSE),"0")</f>
        <v>0</v>
      </c>
      <c r="K3772" s="4"/>
      <c r="L3772" s="33" t="str">
        <f>IFERROR(VLOOKUP($J3772,'Informations sur les produits'!$A$3:$H$10000,8,FALSE),"0")</f>
        <v>0</v>
      </c>
      <c r="N3772" s="8"/>
      <c r="O3772" s="33" t="str">
        <f>IFERROR(VLOOKUP($M3772,'Informations sur les produits'!$A$3:$H$10000,8,FALSE),"0")</f>
        <v>0</v>
      </c>
      <c r="P3772" s="33">
        <f t="shared" si="232"/>
        <v>0</v>
      </c>
      <c r="Q3772" s="31" t="str">
        <f t="shared" si="233"/>
        <v/>
      </c>
      <c r="R3772" s="32" t="str">
        <f>IFERROR(VLOOKUP($D3772,'Informations sur les produits'!$A$3:$B$15000,2,FALSE),"")</f>
        <v/>
      </c>
      <c r="V3772">
        <f t="shared" si="234"/>
        <v>0</v>
      </c>
      <c r="W3772">
        <f t="shared" si="235"/>
        <v>0</v>
      </c>
    </row>
    <row r="3773" spans="5:23" x14ac:dyDescent="0.25">
      <c r="E3773" s="4"/>
      <c r="F3773" s="4"/>
      <c r="G3773" s="33" t="str">
        <f>IFERROR(VLOOKUP($D3773,'Informations sur les produits'!$A$3:$H$10000,8,FALSE),"0")</f>
        <v>0</v>
      </c>
      <c r="K3773" s="4"/>
      <c r="L3773" s="33" t="str">
        <f>IFERROR(VLOOKUP($J3773,'Informations sur les produits'!$A$3:$H$10000,8,FALSE),"0")</f>
        <v>0</v>
      </c>
      <c r="N3773" s="8"/>
      <c r="O3773" s="33" t="str">
        <f>IFERROR(VLOOKUP($M3773,'Informations sur les produits'!$A$3:$H$10000,8,FALSE),"0")</f>
        <v>0</v>
      </c>
      <c r="P3773" s="33">
        <f t="shared" si="232"/>
        <v>0</v>
      </c>
      <c r="Q3773" s="31" t="str">
        <f t="shared" si="233"/>
        <v/>
      </c>
      <c r="R3773" s="32" t="str">
        <f>IFERROR(VLOOKUP($D3773,'Informations sur les produits'!$A$3:$B$15000,2,FALSE),"")</f>
        <v/>
      </c>
      <c r="V3773">
        <f t="shared" si="234"/>
        <v>0</v>
      </c>
      <c r="W3773">
        <f t="shared" si="235"/>
        <v>0</v>
      </c>
    </row>
    <row r="3774" spans="5:23" x14ac:dyDescent="0.25">
      <c r="E3774" s="4"/>
      <c r="F3774" s="4"/>
      <c r="G3774" s="33" t="str">
        <f>IFERROR(VLOOKUP($D3774,'Informations sur les produits'!$A$3:$H$10000,8,FALSE),"0")</f>
        <v>0</v>
      </c>
      <c r="K3774" s="4"/>
      <c r="L3774" s="33" t="str">
        <f>IFERROR(VLOOKUP($J3774,'Informations sur les produits'!$A$3:$H$10000,8,FALSE),"0")</f>
        <v>0</v>
      </c>
      <c r="N3774" s="8"/>
      <c r="O3774" s="33" t="str">
        <f>IFERROR(VLOOKUP($M3774,'Informations sur les produits'!$A$3:$H$10000,8,FALSE),"0")</f>
        <v>0</v>
      </c>
      <c r="P3774" s="33">
        <f t="shared" si="232"/>
        <v>0</v>
      </c>
      <c r="Q3774" s="31" t="str">
        <f t="shared" si="233"/>
        <v/>
      </c>
      <c r="R3774" s="32" t="str">
        <f>IFERROR(VLOOKUP($D3774,'Informations sur les produits'!$A$3:$B$15000,2,FALSE),"")</f>
        <v/>
      </c>
      <c r="V3774">
        <f t="shared" si="234"/>
        <v>0</v>
      </c>
      <c r="W3774">
        <f t="shared" si="235"/>
        <v>0</v>
      </c>
    </row>
    <row r="3775" spans="5:23" x14ac:dyDescent="0.25">
      <c r="E3775" s="4"/>
      <c r="F3775" s="4"/>
      <c r="G3775" s="33" t="str">
        <f>IFERROR(VLOOKUP($D3775,'Informations sur les produits'!$A$3:$H$10000,8,FALSE),"0")</f>
        <v>0</v>
      </c>
      <c r="K3775" s="4"/>
      <c r="L3775" s="33" t="str">
        <f>IFERROR(VLOOKUP($J3775,'Informations sur les produits'!$A$3:$H$10000,8,FALSE),"0")</f>
        <v>0</v>
      </c>
      <c r="N3775" s="8"/>
      <c r="O3775" s="33" t="str">
        <f>IFERROR(VLOOKUP($M3775,'Informations sur les produits'!$A$3:$H$10000,8,FALSE),"0")</f>
        <v>0</v>
      </c>
      <c r="P3775" s="33">
        <f t="shared" si="232"/>
        <v>0</v>
      </c>
      <c r="Q3775" s="31" t="str">
        <f t="shared" si="233"/>
        <v/>
      </c>
      <c r="R3775" s="32" t="str">
        <f>IFERROR(VLOOKUP($D3775,'Informations sur les produits'!$A$3:$B$15000,2,FALSE),"")</f>
        <v/>
      </c>
      <c r="V3775">
        <f t="shared" si="234"/>
        <v>0</v>
      </c>
      <c r="W3775">
        <f t="shared" si="235"/>
        <v>0</v>
      </c>
    </row>
    <row r="3776" spans="5:23" x14ac:dyDescent="0.25">
      <c r="E3776" s="4"/>
      <c r="F3776" s="4"/>
      <c r="G3776" s="33" t="str">
        <f>IFERROR(VLOOKUP($D3776,'Informations sur les produits'!$A$3:$H$10000,8,FALSE),"0")</f>
        <v>0</v>
      </c>
      <c r="K3776" s="4"/>
      <c r="L3776" s="33" t="str">
        <f>IFERROR(VLOOKUP($J3776,'Informations sur les produits'!$A$3:$H$10000,8,FALSE),"0")</f>
        <v>0</v>
      </c>
      <c r="N3776" s="8"/>
      <c r="O3776" s="33" t="str">
        <f>IFERROR(VLOOKUP($M3776,'Informations sur les produits'!$A$3:$H$10000,8,FALSE),"0")</f>
        <v>0</v>
      </c>
      <c r="P3776" s="33">
        <f t="shared" si="232"/>
        <v>0</v>
      </c>
      <c r="Q3776" s="31" t="str">
        <f t="shared" si="233"/>
        <v/>
      </c>
      <c r="R3776" s="32" t="str">
        <f>IFERROR(VLOOKUP($D3776,'Informations sur les produits'!$A$3:$B$15000,2,FALSE),"")</f>
        <v/>
      </c>
      <c r="V3776">
        <f t="shared" si="234"/>
        <v>0</v>
      </c>
      <c r="W3776">
        <f t="shared" si="235"/>
        <v>0</v>
      </c>
    </row>
    <row r="3777" spans="5:23" x14ac:dyDescent="0.25">
      <c r="E3777" s="4"/>
      <c r="F3777" s="4"/>
      <c r="G3777" s="33" t="str">
        <f>IFERROR(VLOOKUP($D3777,'Informations sur les produits'!$A$3:$H$10000,8,FALSE),"0")</f>
        <v>0</v>
      </c>
      <c r="K3777" s="4"/>
      <c r="L3777" s="33" t="str">
        <f>IFERROR(VLOOKUP($J3777,'Informations sur les produits'!$A$3:$H$10000,8,FALSE),"0")</f>
        <v>0</v>
      </c>
      <c r="N3777" s="8"/>
      <c r="O3777" s="33" t="str">
        <f>IFERROR(VLOOKUP($M3777,'Informations sur les produits'!$A$3:$H$10000,8,FALSE),"0")</f>
        <v>0</v>
      </c>
      <c r="P3777" s="33">
        <f t="shared" si="232"/>
        <v>0</v>
      </c>
      <c r="Q3777" s="31" t="str">
        <f t="shared" si="233"/>
        <v/>
      </c>
      <c r="R3777" s="32" t="str">
        <f>IFERROR(VLOOKUP($D3777,'Informations sur les produits'!$A$3:$B$15000,2,FALSE),"")</f>
        <v/>
      </c>
      <c r="V3777">
        <f t="shared" si="234"/>
        <v>0</v>
      </c>
      <c r="W3777">
        <f t="shared" si="235"/>
        <v>0</v>
      </c>
    </row>
    <row r="3778" spans="5:23" x14ac:dyDescent="0.25">
      <c r="E3778" s="4"/>
      <c r="F3778" s="4"/>
      <c r="G3778" s="33" t="str">
        <f>IFERROR(VLOOKUP($D3778,'Informations sur les produits'!$A$3:$H$10000,8,FALSE),"0")</f>
        <v>0</v>
      </c>
      <c r="K3778" s="4"/>
      <c r="L3778" s="33" t="str">
        <f>IFERROR(VLOOKUP($J3778,'Informations sur les produits'!$A$3:$H$10000,8,FALSE),"0")</f>
        <v>0</v>
      </c>
      <c r="N3778" s="8"/>
      <c r="O3778" s="33" t="str">
        <f>IFERROR(VLOOKUP($M3778,'Informations sur les produits'!$A$3:$H$10000,8,FALSE),"0")</f>
        <v>0</v>
      </c>
      <c r="P3778" s="33">
        <f t="shared" si="232"/>
        <v>0</v>
      </c>
      <c r="Q3778" s="31" t="str">
        <f t="shared" si="233"/>
        <v/>
      </c>
      <c r="R3778" s="32" t="str">
        <f>IFERROR(VLOOKUP($D3778,'Informations sur les produits'!$A$3:$B$15000,2,FALSE),"")</f>
        <v/>
      </c>
      <c r="V3778">
        <f t="shared" si="234"/>
        <v>0</v>
      </c>
      <c r="W3778">
        <f t="shared" si="235"/>
        <v>0</v>
      </c>
    </row>
    <row r="3779" spans="5:23" x14ac:dyDescent="0.25">
      <c r="E3779" s="4"/>
      <c r="F3779" s="4"/>
      <c r="G3779" s="33" t="str">
        <f>IFERROR(VLOOKUP($D3779,'Informations sur les produits'!$A$3:$H$10000,8,FALSE),"0")</f>
        <v>0</v>
      </c>
      <c r="K3779" s="4"/>
      <c r="L3779" s="33" t="str">
        <f>IFERROR(VLOOKUP($J3779,'Informations sur les produits'!$A$3:$H$10000,8,FALSE),"0")</f>
        <v>0</v>
      </c>
      <c r="N3779" s="8"/>
      <c r="O3779" s="33" t="str">
        <f>IFERROR(VLOOKUP($M3779,'Informations sur les produits'!$A$3:$H$10000,8,FALSE),"0")</f>
        <v>0</v>
      </c>
      <c r="P3779" s="33">
        <f t="shared" si="232"/>
        <v>0</v>
      </c>
      <c r="Q3779" s="31" t="str">
        <f t="shared" si="233"/>
        <v/>
      </c>
      <c r="R3779" s="32" t="str">
        <f>IFERROR(VLOOKUP($D3779,'Informations sur les produits'!$A$3:$B$15000,2,FALSE),"")</f>
        <v/>
      </c>
      <c r="V3779">
        <f t="shared" si="234"/>
        <v>0</v>
      </c>
      <c r="W3779">
        <f t="shared" si="235"/>
        <v>0</v>
      </c>
    </row>
    <row r="3780" spans="5:23" x14ac:dyDescent="0.25">
      <c r="E3780" s="4"/>
      <c r="F3780" s="4"/>
      <c r="G3780" s="33" t="str">
        <f>IFERROR(VLOOKUP($D3780,'Informations sur les produits'!$A$3:$H$10000,8,FALSE),"0")</f>
        <v>0</v>
      </c>
      <c r="K3780" s="4"/>
      <c r="L3780" s="33" t="str">
        <f>IFERROR(VLOOKUP($J3780,'Informations sur les produits'!$A$3:$H$10000,8,FALSE),"0")</f>
        <v>0</v>
      </c>
      <c r="N3780" s="8"/>
      <c r="O3780" s="33" t="str">
        <f>IFERROR(VLOOKUP($M3780,'Informations sur les produits'!$A$3:$H$10000,8,FALSE),"0")</f>
        <v>0</v>
      </c>
      <c r="P3780" s="33">
        <f t="shared" ref="P3780:P3843" si="236">IFERROR((($E3780-$F3780)*$G3780+$K3780*$L3780+$N3780*$O3780),"")</f>
        <v>0</v>
      </c>
      <c r="Q3780" s="31" t="str">
        <f t="shared" ref="Q3780:Q3843" si="237">IFERROR((((($E3780-$F3780)*$G3780+$K3780*$L3780+$N3780*$O3780)*1000)/(($E3780-$F3780)+$K3780+$N3780)),"")</f>
        <v/>
      </c>
      <c r="R3780" s="32" t="str">
        <f>IFERROR(VLOOKUP($D3780,'Informations sur les produits'!$A$3:$B$15000,2,FALSE),"")</f>
        <v/>
      </c>
      <c r="V3780">
        <f t="shared" ref="V3780:V3843" si="238">IFERROR(P3780*1000,"")</f>
        <v>0</v>
      </c>
      <c r="W3780">
        <f t="shared" ref="W3780:W3843" si="239">IFERROR(($E3780-$F3780)+$K3780+$N3780,"")</f>
        <v>0</v>
      </c>
    </row>
    <row r="3781" spans="5:23" x14ac:dyDescent="0.25">
      <c r="E3781" s="4"/>
      <c r="F3781" s="4"/>
      <c r="G3781" s="33" t="str">
        <f>IFERROR(VLOOKUP($D3781,'Informations sur les produits'!$A$3:$H$10000,8,FALSE),"0")</f>
        <v>0</v>
      </c>
      <c r="K3781" s="4"/>
      <c r="L3781" s="33" t="str">
        <f>IFERROR(VLOOKUP($J3781,'Informations sur les produits'!$A$3:$H$10000,8,FALSE),"0")</f>
        <v>0</v>
      </c>
      <c r="N3781" s="8"/>
      <c r="O3781" s="33" t="str">
        <f>IFERROR(VLOOKUP($M3781,'Informations sur les produits'!$A$3:$H$10000,8,FALSE),"0")</f>
        <v>0</v>
      </c>
      <c r="P3781" s="33">
        <f t="shared" si="236"/>
        <v>0</v>
      </c>
      <c r="Q3781" s="31" t="str">
        <f t="shared" si="237"/>
        <v/>
      </c>
      <c r="R3781" s="32" t="str">
        <f>IFERROR(VLOOKUP($D3781,'Informations sur les produits'!$A$3:$B$15000,2,FALSE),"")</f>
        <v/>
      </c>
      <c r="V3781">
        <f t="shared" si="238"/>
        <v>0</v>
      </c>
      <c r="W3781">
        <f t="shared" si="239"/>
        <v>0</v>
      </c>
    </row>
    <row r="3782" spans="5:23" x14ac:dyDescent="0.25">
      <c r="E3782" s="4"/>
      <c r="F3782" s="4"/>
      <c r="G3782" s="33" t="str">
        <f>IFERROR(VLOOKUP($D3782,'Informations sur les produits'!$A$3:$H$10000,8,FALSE),"0")</f>
        <v>0</v>
      </c>
      <c r="K3782" s="4"/>
      <c r="L3782" s="33" t="str">
        <f>IFERROR(VLOOKUP($J3782,'Informations sur les produits'!$A$3:$H$10000,8,FALSE),"0")</f>
        <v>0</v>
      </c>
      <c r="N3782" s="8"/>
      <c r="O3782" s="33" t="str">
        <f>IFERROR(VLOOKUP($M3782,'Informations sur les produits'!$A$3:$H$10000,8,FALSE),"0")</f>
        <v>0</v>
      </c>
      <c r="P3782" s="33">
        <f t="shared" si="236"/>
        <v>0</v>
      </c>
      <c r="Q3782" s="31" t="str">
        <f t="shared" si="237"/>
        <v/>
      </c>
      <c r="R3782" s="32" t="str">
        <f>IFERROR(VLOOKUP($D3782,'Informations sur les produits'!$A$3:$B$15000,2,FALSE),"")</f>
        <v/>
      </c>
      <c r="V3782">
        <f t="shared" si="238"/>
        <v>0</v>
      </c>
      <c r="W3782">
        <f t="shared" si="239"/>
        <v>0</v>
      </c>
    </row>
    <row r="3783" spans="5:23" x14ac:dyDescent="0.25">
      <c r="E3783" s="4"/>
      <c r="F3783" s="4"/>
      <c r="G3783" s="33" t="str">
        <f>IFERROR(VLOOKUP($D3783,'Informations sur les produits'!$A$3:$H$10000,8,FALSE),"0")</f>
        <v>0</v>
      </c>
      <c r="K3783" s="4"/>
      <c r="L3783" s="33" t="str">
        <f>IFERROR(VLOOKUP($J3783,'Informations sur les produits'!$A$3:$H$10000,8,FALSE),"0")</f>
        <v>0</v>
      </c>
      <c r="N3783" s="8"/>
      <c r="O3783" s="33" t="str">
        <f>IFERROR(VLOOKUP($M3783,'Informations sur les produits'!$A$3:$H$10000,8,FALSE),"0")</f>
        <v>0</v>
      </c>
      <c r="P3783" s="33">
        <f t="shared" si="236"/>
        <v>0</v>
      </c>
      <c r="Q3783" s="31" t="str">
        <f t="shared" si="237"/>
        <v/>
      </c>
      <c r="R3783" s="32" t="str">
        <f>IFERROR(VLOOKUP($D3783,'Informations sur les produits'!$A$3:$B$15000,2,FALSE),"")</f>
        <v/>
      </c>
      <c r="V3783">
        <f t="shared" si="238"/>
        <v>0</v>
      </c>
      <c r="W3783">
        <f t="shared" si="239"/>
        <v>0</v>
      </c>
    </row>
    <row r="3784" spans="5:23" x14ac:dyDescent="0.25">
      <c r="E3784" s="4"/>
      <c r="F3784" s="4"/>
      <c r="G3784" s="33" t="str">
        <f>IFERROR(VLOOKUP($D3784,'Informations sur les produits'!$A$3:$H$10000,8,FALSE),"0")</f>
        <v>0</v>
      </c>
      <c r="K3784" s="4"/>
      <c r="L3784" s="33" t="str">
        <f>IFERROR(VLOOKUP($J3784,'Informations sur les produits'!$A$3:$H$10000,8,FALSE),"0")</f>
        <v>0</v>
      </c>
      <c r="N3784" s="8"/>
      <c r="O3784" s="33" t="str">
        <f>IFERROR(VLOOKUP($M3784,'Informations sur les produits'!$A$3:$H$10000,8,FALSE),"0")</f>
        <v>0</v>
      </c>
      <c r="P3784" s="33">
        <f t="shared" si="236"/>
        <v>0</v>
      </c>
      <c r="Q3784" s="31" t="str">
        <f t="shared" si="237"/>
        <v/>
      </c>
      <c r="R3784" s="32" t="str">
        <f>IFERROR(VLOOKUP($D3784,'Informations sur les produits'!$A$3:$B$15000,2,FALSE),"")</f>
        <v/>
      </c>
      <c r="V3784">
        <f t="shared" si="238"/>
        <v>0</v>
      </c>
      <c r="W3784">
        <f t="shared" si="239"/>
        <v>0</v>
      </c>
    </row>
    <row r="3785" spans="5:23" x14ac:dyDescent="0.25">
      <c r="E3785" s="4"/>
      <c r="F3785" s="4"/>
      <c r="G3785" s="33" t="str">
        <f>IFERROR(VLOOKUP($D3785,'Informations sur les produits'!$A$3:$H$10000,8,FALSE),"0")</f>
        <v>0</v>
      </c>
      <c r="K3785" s="4"/>
      <c r="L3785" s="33" t="str">
        <f>IFERROR(VLOOKUP($J3785,'Informations sur les produits'!$A$3:$H$10000,8,FALSE),"0")</f>
        <v>0</v>
      </c>
      <c r="N3785" s="8"/>
      <c r="O3785" s="33" t="str">
        <f>IFERROR(VLOOKUP($M3785,'Informations sur les produits'!$A$3:$H$10000,8,FALSE),"0")</f>
        <v>0</v>
      </c>
      <c r="P3785" s="33">
        <f t="shared" si="236"/>
        <v>0</v>
      </c>
      <c r="Q3785" s="31" t="str">
        <f t="shared" si="237"/>
        <v/>
      </c>
      <c r="R3785" s="32" t="str">
        <f>IFERROR(VLOOKUP($D3785,'Informations sur les produits'!$A$3:$B$15000,2,FALSE),"")</f>
        <v/>
      </c>
      <c r="V3785">
        <f t="shared" si="238"/>
        <v>0</v>
      </c>
      <c r="W3785">
        <f t="shared" si="239"/>
        <v>0</v>
      </c>
    </row>
    <row r="3786" spans="5:23" x14ac:dyDescent="0.25">
      <c r="E3786" s="4"/>
      <c r="F3786" s="4"/>
      <c r="G3786" s="33" t="str">
        <f>IFERROR(VLOOKUP($D3786,'Informations sur les produits'!$A$3:$H$10000,8,FALSE),"0")</f>
        <v>0</v>
      </c>
      <c r="K3786" s="4"/>
      <c r="L3786" s="33" t="str">
        <f>IFERROR(VLOOKUP($J3786,'Informations sur les produits'!$A$3:$H$10000,8,FALSE),"0")</f>
        <v>0</v>
      </c>
      <c r="N3786" s="8"/>
      <c r="O3786" s="33" t="str">
        <f>IFERROR(VLOOKUP($M3786,'Informations sur les produits'!$A$3:$H$10000,8,FALSE),"0")</f>
        <v>0</v>
      </c>
      <c r="P3786" s="33">
        <f t="shared" si="236"/>
        <v>0</v>
      </c>
      <c r="Q3786" s="31" t="str">
        <f t="shared" si="237"/>
        <v/>
      </c>
      <c r="R3786" s="32" t="str">
        <f>IFERROR(VLOOKUP($D3786,'Informations sur les produits'!$A$3:$B$15000,2,FALSE),"")</f>
        <v/>
      </c>
      <c r="V3786">
        <f t="shared" si="238"/>
        <v>0</v>
      </c>
      <c r="W3786">
        <f t="shared" si="239"/>
        <v>0</v>
      </c>
    </row>
    <row r="3787" spans="5:23" x14ac:dyDescent="0.25">
      <c r="E3787" s="4"/>
      <c r="F3787" s="4"/>
      <c r="G3787" s="33" t="str">
        <f>IFERROR(VLOOKUP($D3787,'Informations sur les produits'!$A$3:$H$10000,8,FALSE),"0")</f>
        <v>0</v>
      </c>
      <c r="K3787" s="4"/>
      <c r="L3787" s="33" t="str">
        <f>IFERROR(VLOOKUP($J3787,'Informations sur les produits'!$A$3:$H$10000,8,FALSE),"0")</f>
        <v>0</v>
      </c>
      <c r="N3787" s="8"/>
      <c r="O3787" s="33" t="str">
        <f>IFERROR(VLOOKUP($M3787,'Informations sur les produits'!$A$3:$H$10000,8,FALSE),"0")</f>
        <v>0</v>
      </c>
      <c r="P3787" s="33">
        <f t="shared" si="236"/>
        <v>0</v>
      </c>
      <c r="Q3787" s="31" t="str">
        <f t="shared" si="237"/>
        <v/>
      </c>
      <c r="R3787" s="32" t="str">
        <f>IFERROR(VLOOKUP($D3787,'Informations sur les produits'!$A$3:$B$15000,2,FALSE),"")</f>
        <v/>
      </c>
      <c r="V3787">
        <f t="shared" si="238"/>
        <v>0</v>
      </c>
      <c r="W3787">
        <f t="shared" si="239"/>
        <v>0</v>
      </c>
    </row>
    <row r="3788" spans="5:23" x14ac:dyDescent="0.25">
      <c r="E3788" s="4"/>
      <c r="F3788" s="4"/>
      <c r="G3788" s="33" t="str">
        <f>IFERROR(VLOOKUP($D3788,'Informations sur les produits'!$A$3:$H$10000,8,FALSE),"0")</f>
        <v>0</v>
      </c>
      <c r="K3788" s="4"/>
      <c r="L3788" s="33" t="str">
        <f>IFERROR(VLOOKUP($J3788,'Informations sur les produits'!$A$3:$H$10000,8,FALSE),"0")</f>
        <v>0</v>
      </c>
      <c r="N3788" s="8"/>
      <c r="O3788" s="33" t="str">
        <f>IFERROR(VLOOKUP($M3788,'Informations sur les produits'!$A$3:$H$10000,8,FALSE),"0")</f>
        <v>0</v>
      </c>
      <c r="P3788" s="33">
        <f t="shared" si="236"/>
        <v>0</v>
      </c>
      <c r="Q3788" s="31" t="str">
        <f t="shared" si="237"/>
        <v/>
      </c>
      <c r="R3788" s="32" t="str">
        <f>IFERROR(VLOOKUP($D3788,'Informations sur les produits'!$A$3:$B$15000,2,FALSE),"")</f>
        <v/>
      </c>
      <c r="V3788">
        <f t="shared" si="238"/>
        <v>0</v>
      </c>
      <c r="W3788">
        <f t="shared" si="239"/>
        <v>0</v>
      </c>
    </row>
    <row r="3789" spans="5:23" x14ac:dyDescent="0.25">
      <c r="E3789" s="4"/>
      <c r="F3789" s="4"/>
      <c r="G3789" s="33" t="str">
        <f>IFERROR(VLOOKUP($D3789,'Informations sur les produits'!$A$3:$H$10000,8,FALSE),"0")</f>
        <v>0</v>
      </c>
      <c r="K3789" s="4"/>
      <c r="L3789" s="33" t="str">
        <f>IFERROR(VLOOKUP($J3789,'Informations sur les produits'!$A$3:$H$10000,8,FALSE),"0")</f>
        <v>0</v>
      </c>
      <c r="N3789" s="8"/>
      <c r="O3789" s="33" t="str">
        <f>IFERROR(VLOOKUP($M3789,'Informations sur les produits'!$A$3:$H$10000,8,FALSE),"0")</f>
        <v>0</v>
      </c>
      <c r="P3789" s="33">
        <f t="shared" si="236"/>
        <v>0</v>
      </c>
      <c r="Q3789" s="31" t="str">
        <f t="shared" si="237"/>
        <v/>
      </c>
      <c r="R3789" s="32" t="str">
        <f>IFERROR(VLOOKUP($D3789,'Informations sur les produits'!$A$3:$B$15000,2,FALSE),"")</f>
        <v/>
      </c>
      <c r="V3789">
        <f t="shared" si="238"/>
        <v>0</v>
      </c>
      <c r="W3789">
        <f t="shared" si="239"/>
        <v>0</v>
      </c>
    </row>
    <row r="3790" spans="5:23" x14ac:dyDescent="0.25">
      <c r="E3790" s="4"/>
      <c r="F3790" s="4"/>
      <c r="G3790" s="33" t="str">
        <f>IFERROR(VLOOKUP($D3790,'Informations sur les produits'!$A$3:$H$10000,8,FALSE),"0")</f>
        <v>0</v>
      </c>
      <c r="K3790" s="4"/>
      <c r="L3790" s="33" t="str">
        <f>IFERROR(VLOOKUP($J3790,'Informations sur les produits'!$A$3:$H$10000,8,FALSE),"0")</f>
        <v>0</v>
      </c>
      <c r="N3790" s="8"/>
      <c r="O3790" s="33" t="str">
        <f>IFERROR(VLOOKUP($M3790,'Informations sur les produits'!$A$3:$H$10000,8,FALSE),"0")</f>
        <v>0</v>
      </c>
      <c r="P3790" s="33">
        <f t="shared" si="236"/>
        <v>0</v>
      </c>
      <c r="Q3790" s="31" t="str">
        <f t="shared" si="237"/>
        <v/>
      </c>
      <c r="R3790" s="32" t="str">
        <f>IFERROR(VLOOKUP($D3790,'Informations sur les produits'!$A$3:$B$15000,2,FALSE),"")</f>
        <v/>
      </c>
      <c r="V3790">
        <f t="shared" si="238"/>
        <v>0</v>
      </c>
      <c r="W3790">
        <f t="shared" si="239"/>
        <v>0</v>
      </c>
    </row>
    <row r="3791" spans="5:23" x14ac:dyDescent="0.25">
      <c r="E3791" s="4"/>
      <c r="F3791" s="4"/>
      <c r="G3791" s="33" t="str">
        <f>IFERROR(VLOOKUP($D3791,'Informations sur les produits'!$A$3:$H$10000,8,FALSE),"0")</f>
        <v>0</v>
      </c>
      <c r="K3791" s="4"/>
      <c r="L3791" s="33" t="str">
        <f>IFERROR(VLOOKUP($J3791,'Informations sur les produits'!$A$3:$H$10000,8,FALSE),"0")</f>
        <v>0</v>
      </c>
      <c r="N3791" s="8"/>
      <c r="O3791" s="33" t="str">
        <f>IFERROR(VLOOKUP($M3791,'Informations sur les produits'!$A$3:$H$10000,8,FALSE),"0")</f>
        <v>0</v>
      </c>
      <c r="P3791" s="33">
        <f t="shared" si="236"/>
        <v>0</v>
      </c>
      <c r="Q3791" s="31" t="str">
        <f t="shared" si="237"/>
        <v/>
      </c>
      <c r="R3791" s="32" t="str">
        <f>IFERROR(VLOOKUP($D3791,'Informations sur les produits'!$A$3:$B$15000,2,FALSE),"")</f>
        <v/>
      </c>
      <c r="V3791">
        <f t="shared" si="238"/>
        <v>0</v>
      </c>
      <c r="W3791">
        <f t="shared" si="239"/>
        <v>0</v>
      </c>
    </row>
    <row r="3792" spans="5:23" x14ac:dyDescent="0.25">
      <c r="E3792" s="4"/>
      <c r="F3792" s="4"/>
      <c r="G3792" s="33" t="str">
        <f>IFERROR(VLOOKUP($D3792,'Informations sur les produits'!$A$3:$H$10000,8,FALSE),"0")</f>
        <v>0</v>
      </c>
      <c r="K3792" s="4"/>
      <c r="L3792" s="33" t="str">
        <f>IFERROR(VLOOKUP($J3792,'Informations sur les produits'!$A$3:$H$10000,8,FALSE),"0")</f>
        <v>0</v>
      </c>
      <c r="N3792" s="8"/>
      <c r="O3792" s="33" t="str">
        <f>IFERROR(VLOOKUP($M3792,'Informations sur les produits'!$A$3:$H$10000,8,FALSE),"0")</f>
        <v>0</v>
      </c>
      <c r="P3792" s="33">
        <f t="shared" si="236"/>
        <v>0</v>
      </c>
      <c r="Q3792" s="31" t="str">
        <f t="shared" si="237"/>
        <v/>
      </c>
      <c r="R3792" s="32" t="str">
        <f>IFERROR(VLOOKUP($D3792,'Informations sur les produits'!$A$3:$B$15000,2,FALSE),"")</f>
        <v/>
      </c>
      <c r="V3792">
        <f t="shared" si="238"/>
        <v>0</v>
      </c>
      <c r="W3792">
        <f t="shared" si="239"/>
        <v>0</v>
      </c>
    </row>
    <row r="3793" spans="5:23" x14ac:dyDescent="0.25">
      <c r="E3793" s="4"/>
      <c r="F3793" s="4"/>
      <c r="G3793" s="33" t="str">
        <f>IFERROR(VLOOKUP($D3793,'Informations sur les produits'!$A$3:$H$10000,8,FALSE),"0")</f>
        <v>0</v>
      </c>
      <c r="K3793" s="4"/>
      <c r="L3793" s="33" t="str">
        <f>IFERROR(VLOOKUP($J3793,'Informations sur les produits'!$A$3:$H$10000,8,FALSE),"0")</f>
        <v>0</v>
      </c>
      <c r="N3793" s="8"/>
      <c r="O3793" s="33" t="str">
        <f>IFERROR(VLOOKUP($M3793,'Informations sur les produits'!$A$3:$H$10000,8,FALSE),"0")</f>
        <v>0</v>
      </c>
      <c r="P3793" s="33">
        <f t="shared" si="236"/>
        <v>0</v>
      </c>
      <c r="Q3793" s="31" t="str">
        <f t="shared" si="237"/>
        <v/>
      </c>
      <c r="R3793" s="32" t="str">
        <f>IFERROR(VLOOKUP($D3793,'Informations sur les produits'!$A$3:$B$15000,2,FALSE),"")</f>
        <v/>
      </c>
      <c r="V3793">
        <f t="shared" si="238"/>
        <v>0</v>
      </c>
      <c r="W3793">
        <f t="shared" si="239"/>
        <v>0</v>
      </c>
    </row>
    <row r="3794" spans="5:23" x14ac:dyDescent="0.25">
      <c r="E3794" s="4"/>
      <c r="F3794" s="4"/>
      <c r="G3794" s="33" t="str">
        <f>IFERROR(VLOOKUP($D3794,'Informations sur les produits'!$A$3:$H$10000,8,FALSE),"0")</f>
        <v>0</v>
      </c>
      <c r="K3794" s="4"/>
      <c r="L3794" s="33" t="str">
        <f>IFERROR(VLOOKUP($J3794,'Informations sur les produits'!$A$3:$H$10000,8,FALSE),"0")</f>
        <v>0</v>
      </c>
      <c r="N3794" s="8"/>
      <c r="O3794" s="33" t="str">
        <f>IFERROR(VLOOKUP($M3794,'Informations sur les produits'!$A$3:$H$10000,8,FALSE),"0")</f>
        <v>0</v>
      </c>
      <c r="P3794" s="33">
        <f t="shared" si="236"/>
        <v>0</v>
      </c>
      <c r="Q3794" s="31" t="str">
        <f t="shared" si="237"/>
        <v/>
      </c>
      <c r="R3794" s="32" t="str">
        <f>IFERROR(VLOOKUP($D3794,'Informations sur les produits'!$A$3:$B$15000,2,FALSE),"")</f>
        <v/>
      </c>
      <c r="V3794">
        <f t="shared" si="238"/>
        <v>0</v>
      </c>
      <c r="W3794">
        <f t="shared" si="239"/>
        <v>0</v>
      </c>
    </row>
    <row r="3795" spans="5:23" x14ac:dyDescent="0.25">
      <c r="E3795" s="4"/>
      <c r="F3795" s="4"/>
      <c r="G3795" s="33" t="str">
        <f>IFERROR(VLOOKUP($D3795,'Informations sur les produits'!$A$3:$H$10000,8,FALSE),"0")</f>
        <v>0</v>
      </c>
      <c r="K3795" s="4"/>
      <c r="L3795" s="33" t="str">
        <f>IFERROR(VLOOKUP($J3795,'Informations sur les produits'!$A$3:$H$10000,8,FALSE),"0")</f>
        <v>0</v>
      </c>
      <c r="N3795" s="8"/>
      <c r="O3795" s="33" t="str">
        <f>IFERROR(VLOOKUP($M3795,'Informations sur les produits'!$A$3:$H$10000,8,FALSE),"0")</f>
        <v>0</v>
      </c>
      <c r="P3795" s="33">
        <f t="shared" si="236"/>
        <v>0</v>
      </c>
      <c r="Q3795" s="31" t="str">
        <f t="shared" si="237"/>
        <v/>
      </c>
      <c r="R3795" s="32" t="str">
        <f>IFERROR(VLOOKUP($D3795,'Informations sur les produits'!$A$3:$B$15000,2,FALSE),"")</f>
        <v/>
      </c>
      <c r="V3795">
        <f t="shared" si="238"/>
        <v>0</v>
      </c>
      <c r="W3795">
        <f t="shared" si="239"/>
        <v>0</v>
      </c>
    </row>
    <row r="3796" spans="5:23" x14ac:dyDescent="0.25">
      <c r="E3796" s="4"/>
      <c r="F3796" s="4"/>
      <c r="G3796" s="33" t="str">
        <f>IFERROR(VLOOKUP($D3796,'Informations sur les produits'!$A$3:$H$10000,8,FALSE),"0")</f>
        <v>0</v>
      </c>
      <c r="K3796" s="4"/>
      <c r="L3796" s="33" t="str">
        <f>IFERROR(VLOOKUP($J3796,'Informations sur les produits'!$A$3:$H$10000,8,FALSE),"0")</f>
        <v>0</v>
      </c>
      <c r="N3796" s="8"/>
      <c r="O3796" s="33" t="str">
        <f>IFERROR(VLOOKUP($M3796,'Informations sur les produits'!$A$3:$H$10000,8,FALSE),"0")</f>
        <v>0</v>
      </c>
      <c r="P3796" s="33">
        <f t="shared" si="236"/>
        <v>0</v>
      </c>
      <c r="Q3796" s="31" t="str">
        <f t="shared" si="237"/>
        <v/>
      </c>
      <c r="R3796" s="32" t="str">
        <f>IFERROR(VLOOKUP($D3796,'Informations sur les produits'!$A$3:$B$15000,2,FALSE),"")</f>
        <v/>
      </c>
      <c r="V3796">
        <f t="shared" si="238"/>
        <v>0</v>
      </c>
      <c r="W3796">
        <f t="shared" si="239"/>
        <v>0</v>
      </c>
    </row>
    <row r="3797" spans="5:23" x14ac:dyDescent="0.25">
      <c r="E3797" s="4"/>
      <c r="F3797" s="4"/>
      <c r="G3797" s="33" t="str">
        <f>IFERROR(VLOOKUP($D3797,'Informations sur les produits'!$A$3:$H$10000,8,FALSE),"0")</f>
        <v>0</v>
      </c>
      <c r="K3797" s="4"/>
      <c r="L3797" s="33" t="str">
        <f>IFERROR(VLOOKUP($J3797,'Informations sur les produits'!$A$3:$H$10000,8,FALSE),"0")</f>
        <v>0</v>
      </c>
      <c r="N3797" s="8"/>
      <c r="O3797" s="33" t="str">
        <f>IFERROR(VLOOKUP($M3797,'Informations sur les produits'!$A$3:$H$10000,8,FALSE),"0")</f>
        <v>0</v>
      </c>
      <c r="P3797" s="33">
        <f t="shared" si="236"/>
        <v>0</v>
      </c>
      <c r="Q3797" s="31" t="str">
        <f t="shared" si="237"/>
        <v/>
      </c>
      <c r="R3797" s="32" t="str">
        <f>IFERROR(VLOOKUP($D3797,'Informations sur les produits'!$A$3:$B$15000,2,FALSE),"")</f>
        <v/>
      </c>
      <c r="V3797">
        <f t="shared" si="238"/>
        <v>0</v>
      </c>
      <c r="W3797">
        <f t="shared" si="239"/>
        <v>0</v>
      </c>
    </row>
    <row r="3798" spans="5:23" x14ac:dyDescent="0.25">
      <c r="E3798" s="4"/>
      <c r="F3798" s="4"/>
      <c r="G3798" s="33" t="str">
        <f>IFERROR(VLOOKUP($D3798,'Informations sur les produits'!$A$3:$H$10000,8,FALSE),"0")</f>
        <v>0</v>
      </c>
      <c r="K3798" s="4"/>
      <c r="L3798" s="33" t="str">
        <f>IFERROR(VLOOKUP($J3798,'Informations sur les produits'!$A$3:$H$10000,8,FALSE),"0")</f>
        <v>0</v>
      </c>
      <c r="N3798" s="8"/>
      <c r="O3798" s="33" t="str">
        <f>IFERROR(VLOOKUP($M3798,'Informations sur les produits'!$A$3:$H$10000,8,FALSE),"0")</f>
        <v>0</v>
      </c>
      <c r="P3798" s="33">
        <f t="shared" si="236"/>
        <v>0</v>
      </c>
      <c r="Q3798" s="31" t="str">
        <f t="shared" si="237"/>
        <v/>
      </c>
      <c r="R3798" s="32" t="str">
        <f>IFERROR(VLOOKUP($D3798,'Informations sur les produits'!$A$3:$B$15000,2,FALSE),"")</f>
        <v/>
      </c>
      <c r="V3798">
        <f t="shared" si="238"/>
        <v>0</v>
      </c>
      <c r="W3798">
        <f t="shared" si="239"/>
        <v>0</v>
      </c>
    </row>
    <row r="3799" spans="5:23" x14ac:dyDescent="0.25">
      <c r="E3799" s="4"/>
      <c r="F3799" s="4"/>
      <c r="G3799" s="33" t="str">
        <f>IFERROR(VLOOKUP($D3799,'Informations sur les produits'!$A$3:$H$10000,8,FALSE),"0")</f>
        <v>0</v>
      </c>
      <c r="K3799" s="4"/>
      <c r="L3799" s="33" t="str">
        <f>IFERROR(VLOOKUP($J3799,'Informations sur les produits'!$A$3:$H$10000,8,FALSE),"0")</f>
        <v>0</v>
      </c>
      <c r="N3799" s="8"/>
      <c r="O3799" s="33" t="str">
        <f>IFERROR(VLOOKUP($M3799,'Informations sur les produits'!$A$3:$H$10000,8,FALSE),"0")</f>
        <v>0</v>
      </c>
      <c r="P3799" s="33">
        <f t="shared" si="236"/>
        <v>0</v>
      </c>
      <c r="Q3799" s="31" t="str">
        <f t="shared" si="237"/>
        <v/>
      </c>
      <c r="R3799" s="32" t="str">
        <f>IFERROR(VLOOKUP($D3799,'Informations sur les produits'!$A$3:$B$15000,2,FALSE),"")</f>
        <v/>
      </c>
      <c r="V3799">
        <f t="shared" si="238"/>
        <v>0</v>
      </c>
      <c r="W3799">
        <f t="shared" si="239"/>
        <v>0</v>
      </c>
    </row>
    <row r="3800" spans="5:23" x14ac:dyDescent="0.25">
      <c r="E3800" s="4"/>
      <c r="F3800" s="4"/>
      <c r="G3800" s="33" t="str">
        <f>IFERROR(VLOOKUP($D3800,'Informations sur les produits'!$A$3:$H$10000,8,FALSE),"0")</f>
        <v>0</v>
      </c>
      <c r="K3800" s="4"/>
      <c r="L3800" s="33" t="str">
        <f>IFERROR(VLOOKUP($J3800,'Informations sur les produits'!$A$3:$H$10000,8,FALSE),"0")</f>
        <v>0</v>
      </c>
      <c r="N3800" s="8"/>
      <c r="O3800" s="33" t="str">
        <f>IFERROR(VLOOKUP($M3800,'Informations sur les produits'!$A$3:$H$10000,8,FALSE),"0")</f>
        <v>0</v>
      </c>
      <c r="P3800" s="33">
        <f t="shared" si="236"/>
        <v>0</v>
      </c>
      <c r="Q3800" s="31" t="str">
        <f t="shared" si="237"/>
        <v/>
      </c>
      <c r="R3800" s="32" t="str">
        <f>IFERROR(VLOOKUP($D3800,'Informations sur les produits'!$A$3:$B$15000,2,FALSE),"")</f>
        <v/>
      </c>
      <c r="V3800">
        <f t="shared" si="238"/>
        <v>0</v>
      </c>
      <c r="W3800">
        <f t="shared" si="239"/>
        <v>0</v>
      </c>
    </row>
    <row r="3801" spans="5:23" x14ac:dyDescent="0.25">
      <c r="E3801" s="4"/>
      <c r="F3801" s="4"/>
      <c r="G3801" s="33" t="str">
        <f>IFERROR(VLOOKUP($D3801,'Informations sur les produits'!$A$3:$H$10000,8,FALSE),"0")</f>
        <v>0</v>
      </c>
      <c r="K3801" s="4"/>
      <c r="L3801" s="33" t="str">
        <f>IFERROR(VLOOKUP($J3801,'Informations sur les produits'!$A$3:$H$10000,8,FALSE),"0")</f>
        <v>0</v>
      </c>
      <c r="N3801" s="8"/>
      <c r="O3801" s="33" t="str">
        <f>IFERROR(VLOOKUP($M3801,'Informations sur les produits'!$A$3:$H$10000,8,FALSE),"0")</f>
        <v>0</v>
      </c>
      <c r="P3801" s="33">
        <f t="shared" si="236"/>
        <v>0</v>
      </c>
      <c r="Q3801" s="31" t="str">
        <f t="shared" si="237"/>
        <v/>
      </c>
      <c r="R3801" s="32" t="str">
        <f>IFERROR(VLOOKUP($D3801,'Informations sur les produits'!$A$3:$B$15000,2,FALSE),"")</f>
        <v/>
      </c>
      <c r="V3801">
        <f t="shared" si="238"/>
        <v>0</v>
      </c>
      <c r="W3801">
        <f t="shared" si="239"/>
        <v>0</v>
      </c>
    </row>
    <row r="3802" spans="5:23" x14ac:dyDescent="0.25">
      <c r="E3802" s="4"/>
      <c r="F3802" s="4"/>
      <c r="G3802" s="33" t="str">
        <f>IFERROR(VLOOKUP($D3802,'Informations sur les produits'!$A$3:$H$10000,8,FALSE),"0")</f>
        <v>0</v>
      </c>
      <c r="K3802" s="4"/>
      <c r="L3802" s="33" t="str">
        <f>IFERROR(VLOOKUP($J3802,'Informations sur les produits'!$A$3:$H$10000,8,FALSE),"0")</f>
        <v>0</v>
      </c>
      <c r="N3802" s="8"/>
      <c r="O3802" s="33" t="str">
        <f>IFERROR(VLOOKUP($M3802,'Informations sur les produits'!$A$3:$H$10000,8,FALSE),"0")</f>
        <v>0</v>
      </c>
      <c r="P3802" s="33">
        <f t="shared" si="236"/>
        <v>0</v>
      </c>
      <c r="Q3802" s="31" t="str">
        <f t="shared" si="237"/>
        <v/>
      </c>
      <c r="R3802" s="32" t="str">
        <f>IFERROR(VLOOKUP($D3802,'Informations sur les produits'!$A$3:$B$15000,2,FALSE),"")</f>
        <v/>
      </c>
      <c r="V3802">
        <f t="shared" si="238"/>
        <v>0</v>
      </c>
      <c r="W3802">
        <f t="shared" si="239"/>
        <v>0</v>
      </c>
    </row>
    <row r="3803" spans="5:23" x14ac:dyDescent="0.25">
      <c r="E3803" s="4"/>
      <c r="F3803" s="4"/>
      <c r="G3803" s="33" t="str">
        <f>IFERROR(VLOOKUP($D3803,'Informations sur les produits'!$A$3:$H$10000,8,FALSE),"0")</f>
        <v>0</v>
      </c>
      <c r="K3803" s="4"/>
      <c r="L3803" s="33" t="str">
        <f>IFERROR(VLOOKUP($J3803,'Informations sur les produits'!$A$3:$H$10000,8,FALSE),"0")</f>
        <v>0</v>
      </c>
      <c r="N3803" s="8"/>
      <c r="O3803" s="33" t="str">
        <f>IFERROR(VLOOKUP($M3803,'Informations sur les produits'!$A$3:$H$10000,8,FALSE),"0")</f>
        <v>0</v>
      </c>
      <c r="P3803" s="33">
        <f t="shared" si="236"/>
        <v>0</v>
      </c>
      <c r="Q3803" s="31" t="str">
        <f t="shared" si="237"/>
        <v/>
      </c>
      <c r="R3803" s="32" t="str">
        <f>IFERROR(VLOOKUP($D3803,'Informations sur les produits'!$A$3:$B$15000,2,FALSE),"")</f>
        <v/>
      </c>
      <c r="V3803">
        <f t="shared" si="238"/>
        <v>0</v>
      </c>
      <c r="W3803">
        <f t="shared" si="239"/>
        <v>0</v>
      </c>
    </row>
    <row r="3804" spans="5:23" x14ac:dyDescent="0.25">
      <c r="E3804" s="4"/>
      <c r="F3804" s="4"/>
      <c r="G3804" s="33" t="str">
        <f>IFERROR(VLOOKUP($D3804,'Informations sur les produits'!$A$3:$H$10000,8,FALSE),"0")</f>
        <v>0</v>
      </c>
      <c r="K3804" s="4"/>
      <c r="L3804" s="33" t="str">
        <f>IFERROR(VLOOKUP($J3804,'Informations sur les produits'!$A$3:$H$10000,8,FALSE),"0")</f>
        <v>0</v>
      </c>
      <c r="N3804" s="8"/>
      <c r="O3804" s="33" t="str">
        <f>IFERROR(VLOOKUP($M3804,'Informations sur les produits'!$A$3:$H$10000,8,FALSE),"0")</f>
        <v>0</v>
      </c>
      <c r="P3804" s="33">
        <f t="shared" si="236"/>
        <v>0</v>
      </c>
      <c r="Q3804" s="31" t="str">
        <f t="shared" si="237"/>
        <v/>
      </c>
      <c r="R3804" s="32" t="str">
        <f>IFERROR(VLOOKUP($D3804,'Informations sur les produits'!$A$3:$B$15000,2,FALSE),"")</f>
        <v/>
      </c>
      <c r="V3804">
        <f t="shared" si="238"/>
        <v>0</v>
      </c>
      <c r="W3804">
        <f t="shared" si="239"/>
        <v>0</v>
      </c>
    </row>
    <row r="3805" spans="5:23" x14ac:dyDescent="0.25">
      <c r="E3805" s="4"/>
      <c r="F3805" s="4"/>
      <c r="G3805" s="33" t="str">
        <f>IFERROR(VLOOKUP($D3805,'Informations sur les produits'!$A$3:$H$10000,8,FALSE),"0")</f>
        <v>0</v>
      </c>
      <c r="K3805" s="4"/>
      <c r="L3805" s="33" t="str">
        <f>IFERROR(VLOOKUP($J3805,'Informations sur les produits'!$A$3:$H$10000,8,FALSE),"0")</f>
        <v>0</v>
      </c>
      <c r="N3805" s="8"/>
      <c r="O3805" s="33" t="str">
        <f>IFERROR(VLOOKUP($M3805,'Informations sur les produits'!$A$3:$H$10000,8,FALSE),"0")</f>
        <v>0</v>
      </c>
      <c r="P3805" s="33">
        <f t="shared" si="236"/>
        <v>0</v>
      </c>
      <c r="Q3805" s="31" t="str">
        <f t="shared" si="237"/>
        <v/>
      </c>
      <c r="R3805" s="32" t="str">
        <f>IFERROR(VLOOKUP($D3805,'Informations sur les produits'!$A$3:$B$15000,2,FALSE),"")</f>
        <v/>
      </c>
      <c r="V3805">
        <f t="shared" si="238"/>
        <v>0</v>
      </c>
      <c r="W3805">
        <f t="shared" si="239"/>
        <v>0</v>
      </c>
    </row>
    <row r="3806" spans="5:23" x14ac:dyDescent="0.25">
      <c r="E3806" s="4"/>
      <c r="F3806" s="4"/>
      <c r="G3806" s="33" t="str">
        <f>IFERROR(VLOOKUP($D3806,'Informations sur les produits'!$A$3:$H$10000,8,FALSE),"0")</f>
        <v>0</v>
      </c>
      <c r="K3806" s="4"/>
      <c r="L3806" s="33" t="str">
        <f>IFERROR(VLOOKUP($J3806,'Informations sur les produits'!$A$3:$H$10000,8,FALSE),"0")</f>
        <v>0</v>
      </c>
      <c r="N3806" s="8"/>
      <c r="O3806" s="33" t="str">
        <f>IFERROR(VLOOKUP($M3806,'Informations sur les produits'!$A$3:$H$10000,8,FALSE),"0")</f>
        <v>0</v>
      </c>
      <c r="P3806" s="33">
        <f t="shared" si="236"/>
        <v>0</v>
      </c>
      <c r="Q3806" s="31" t="str">
        <f t="shared" si="237"/>
        <v/>
      </c>
      <c r="R3806" s="32" t="str">
        <f>IFERROR(VLOOKUP($D3806,'Informations sur les produits'!$A$3:$B$15000,2,FALSE),"")</f>
        <v/>
      </c>
      <c r="V3806">
        <f t="shared" si="238"/>
        <v>0</v>
      </c>
      <c r="W3806">
        <f t="shared" si="239"/>
        <v>0</v>
      </c>
    </row>
    <row r="3807" spans="5:23" x14ac:dyDescent="0.25">
      <c r="E3807" s="4"/>
      <c r="F3807" s="4"/>
      <c r="G3807" s="33" t="str">
        <f>IFERROR(VLOOKUP($D3807,'Informations sur les produits'!$A$3:$H$10000,8,FALSE),"0")</f>
        <v>0</v>
      </c>
      <c r="K3807" s="4"/>
      <c r="L3807" s="33" t="str">
        <f>IFERROR(VLOOKUP($J3807,'Informations sur les produits'!$A$3:$H$10000,8,FALSE),"0")</f>
        <v>0</v>
      </c>
      <c r="N3807" s="8"/>
      <c r="O3807" s="33" t="str">
        <f>IFERROR(VLOOKUP($M3807,'Informations sur les produits'!$A$3:$H$10000,8,FALSE),"0")</f>
        <v>0</v>
      </c>
      <c r="P3807" s="33">
        <f t="shared" si="236"/>
        <v>0</v>
      </c>
      <c r="Q3807" s="31" t="str">
        <f t="shared" si="237"/>
        <v/>
      </c>
      <c r="R3807" s="32" t="str">
        <f>IFERROR(VLOOKUP($D3807,'Informations sur les produits'!$A$3:$B$15000,2,FALSE),"")</f>
        <v/>
      </c>
      <c r="V3807">
        <f t="shared" si="238"/>
        <v>0</v>
      </c>
      <c r="W3807">
        <f t="shared" si="239"/>
        <v>0</v>
      </c>
    </row>
    <row r="3808" spans="5:23" x14ac:dyDescent="0.25">
      <c r="E3808" s="4"/>
      <c r="F3808" s="4"/>
      <c r="G3808" s="33" t="str">
        <f>IFERROR(VLOOKUP($D3808,'Informations sur les produits'!$A$3:$H$10000,8,FALSE),"0")</f>
        <v>0</v>
      </c>
      <c r="K3808" s="4"/>
      <c r="L3808" s="33" t="str">
        <f>IFERROR(VLOOKUP($J3808,'Informations sur les produits'!$A$3:$H$10000,8,FALSE),"0")</f>
        <v>0</v>
      </c>
      <c r="N3808" s="8"/>
      <c r="O3808" s="33" t="str">
        <f>IFERROR(VLOOKUP($M3808,'Informations sur les produits'!$A$3:$H$10000,8,FALSE),"0")</f>
        <v>0</v>
      </c>
      <c r="P3808" s="33">
        <f t="shared" si="236"/>
        <v>0</v>
      </c>
      <c r="Q3808" s="31" t="str">
        <f t="shared" si="237"/>
        <v/>
      </c>
      <c r="R3808" s="32" t="str">
        <f>IFERROR(VLOOKUP($D3808,'Informations sur les produits'!$A$3:$B$15000,2,FALSE),"")</f>
        <v/>
      </c>
      <c r="V3808">
        <f t="shared" si="238"/>
        <v>0</v>
      </c>
      <c r="W3808">
        <f t="shared" si="239"/>
        <v>0</v>
      </c>
    </row>
    <row r="3809" spans="5:23" x14ac:dyDescent="0.25">
      <c r="E3809" s="4"/>
      <c r="F3809" s="4"/>
      <c r="G3809" s="33" t="str">
        <f>IFERROR(VLOOKUP($D3809,'Informations sur les produits'!$A$3:$H$10000,8,FALSE),"0")</f>
        <v>0</v>
      </c>
      <c r="K3809" s="4"/>
      <c r="L3809" s="33" t="str">
        <f>IFERROR(VLOOKUP($J3809,'Informations sur les produits'!$A$3:$H$10000,8,FALSE),"0")</f>
        <v>0</v>
      </c>
      <c r="N3809" s="8"/>
      <c r="O3809" s="33" t="str">
        <f>IFERROR(VLOOKUP($M3809,'Informations sur les produits'!$A$3:$H$10000,8,FALSE),"0")</f>
        <v>0</v>
      </c>
      <c r="P3809" s="33">
        <f t="shared" si="236"/>
        <v>0</v>
      </c>
      <c r="Q3809" s="31" t="str">
        <f t="shared" si="237"/>
        <v/>
      </c>
      <c r="R3809" s="32" t="str">
        <f>IFERROR(VLOOKUP($D3809,'Informations sur les produits'!$A$3:$B$15000,2,FALSE),"")</f>
        <v/>
      </c>
      <c r="V3809">
        <f t="shared" si="238"/>
        <v>0</v>
      </c>
      <c r="W3809">
        <f t="shared" si="239"/>
        <v>0</v>
      </c>
    </row>
    <row r="3810" spans="5:23" x14ac:dyDescent="0.25">
      <c r="E3810" s="4"/>
      <c r="F3810" s="4"/>
      <c r="G3810" s="33" t="str">
        <f>IFERROR(VLOOKUP($D3810,'Informations sur les produits'!$A$3:$H$10000,8,FALSE),"0")</f>
        <v>0</v>
      </c>
      <c r="K3810" s="4"/>
      <c r="L3810" s="33" t="str">
        <f>IFERROR(VLOOKUP($J3810,'Informations sur les produits'!$A$3:$H$10000,8,FALSE),"0")</f>
        <v>0</v>
      </c>
      <c r="N3810" s="8"/>
      <c r="O3810" s="33" t="str">
        <f>IFERROR(VLOOKUP($M3810,'Informations sur les produits'!$A$3:$H$10000,8,FALSE),"0")</f>
        <v>0</v>
      </c>
      <c r="P3810" s="33">
        <f t="shared" si="236"/>
        <v>0</v>
      </c>
      <c r="Q3810" s="31" t="str">
        <f t="shared" si="237"/>
        <v/>
      </c>
      <c r="R3810" s="32" t="str">
        <f>IFERROR(VLOOKUP($D3810,'Informations sur les produits'!$A$3:$B$15000,2,FALSE),"")</f>
        <v/>
      </c>
      <c r="V3810">
        <f t="shared" si="238"/>
        <v>0</v>
      </c>
      <c r="W3810">
        <f t="shared" si="239"/>
        <v>0</v>
      </c>
    </row>
    <row r="3811" spans="5:23" x14ac:dyDescent="0.25">
      <c r="E3811" s="4"/>
      <c r="F3811" s="4"/>
      <c r="G3811" s="33" t="str">
        <f>IFERROR(VLOOKUP($D3811,'Informations sur les produits'!$A$3:$H$10000,8,FALSE),"0")</f>
        <v>0</v>
      </c>
      <c r="K3811" s="4"/>
      <c r="L3811" s="33" t="str">
        <f>IFERROR(VLOOKUP($J3811,'Informations sur les produits'!$A$3:$H$10000,8,FALSE),"0")</f>
        <v>0</v>
      </c>
      <c r="N3811" s="8"/>
      <c r="O3811" s="33" t="str">
        <f>IFERROR(VLOOKUP($M3811,'Informations sur les produits'!$A$3:$H$10000,8,FALSE),"0")</f>
        <v>0</v>
      </c>
      <c r="P3811" s="33">
        <f t="shared" si="236"/>
        <v>0</v>
      </c>
      <c r="Q3811" s="31" t="str">
        <f t="shared" si="237"/>
        <v/>
      </c>
      <c r="R3811" s="32" t="str">
        <f>IFERROR(VLOOKUP($D3811,'Informations sur les produits'!$A$3:$B$15000,2,FALSE),"")</f>
        <v/>
      </c>
      <c r="V3811">
        <f t="shared" si="238"/>
        <v>0</v>
      </c>
      <c r="W3811">
        <f t="shared" si="239"/>
        <v>0</v>
      </c>
    </row>
    <row r="3812" spans="5:23" x14ac:dyDescent="0.25">
      <c r="E3812" s="4"/>
      <c r="F3812" s="4"/>
      <c r="G3812" s="33" t="str">
        <f>IFERROR(VLOOKUP($D3812,'Informations sur les produits'!$A$3:$H$10000,8,FALSE),"0")</f>
        <v>0</v>
      </c>
      <c r="K3812" s="4"/>
      <c r="L3812" s="33" t="str">
        <f>IFERROR(VLOOKUP($J3812,'Informations sur les produits'!$A$3:$H$10000,8,FALSE),"0")</f>
        <v>0</v>
      </c>
      <c r="N3812" s="8"/>
      <c r="O3812" s="33" t="str">
        <f>IFERROR(VLOOKUP($M3812,'Informations sur les produits'!$A$3:$H$10000,8,FALSE),"0")</f>
        <v>0</v>
      </c>
      <c r="P3812" s="33">
        <f t="shared" si="236"/>
        <v>0</v>
      </c>
      <c r="Q3812" s="31" t="str">
        <f t="shared" si="237"/>
        <v/>
      </c>
      <c r="R3812" s="32" t="str">
        <f>IFERROR(VLOOKUP($D3812,'Informations sur les produits'!$A$3:$B$15000,2,FALSE),"")</f>
        <v/>
      </c>
      <c r="V3812">
        <f t="shared" si="238"/>
        <v>0</v>
      </c>
      <c r="W3812">
        <f t="shared" si="239"/>
        <v>0</v>
      </c>
    </row>
    <row r="3813" spans="5:23" x14ac:dyDescent="0.25">
      <c r="E3813" s="4"/>
      <c r="F3813" s="4"/>
      <c r="G3813" s="33" t="str">
        <f>IFERROR(VLOOKUP($D3813,'Informations sur les produits'!$A$3:$H$10000,8,FALSE),"0")</f>
        <v>0</v>
      </c>
      <c r="K3813" s="4"/>
      <c r="L3813" s="33" t="str">
        <f>IFERROR(VLOOKUP($J3813,'Informations sur les produits'!$A$3:$H$10000,8,FALSE),"0")</f>
        <v>0</v>
      </c>
      <c r="N3813" s="8"/>
      <c r="O3813" s="33" t="str">
        <f>IFERROR(VLOOKUP($M3813,'Informations sur les produits'!$A$3:$H$10000,8,FALSE),"0")</f>
        <v>0</v>
      </c>
      <c r="P3813" s="33">
        <f t="shared" si="236"/>
        <v>0</v>
      </c>
      <c r="Q3813" s="31" t="str">
        <f t="shared" si="237"/>
        <v/>
      </c>
      <c r="R3813" s="32" t="str">
        <f>IFERROR(VLOOKUP($D3813,'Informations sur les produits'!$A$3:$B$15000,2,FALSE),"")</f>
        <v/>
      </c>
      <c r="V3813">
        <f t="shared" si="238"/>
        <v>0</v>
      </c>
      <c r="W3813">
        <f t="shared" si="239"/>
        <v>0</v>
      </c>
    </row>
    <row r="3814" spans="5:23" x14ac:dyDescent="0.25">
      <c r="E3814" s="4"/>
      <c r="F3814" s="4"/>
      <c r="G3814" s="33" t="str">
        <f>IFERROR(VLOOKUP($D3814,'Informations sur les produits'!$A$3:$H$10000,8,FALSE),"0")</f>
        <v>0</v>
      </c>
      <c r="K3814" s="4"/>
      <c r="L3814" s="33" t="str">
        <f>IFERROR(VLOOKUP($J3814,'Informations sur les produits'!$A$3:$H$10000,8,FALSE),"0")</f>
        <v>0</v>
      </c>
      <c r="N3814" s="8"/>
      <c r="O3814" s="33" t="str">
        <f>IFERROR(VLOOKUP($M3814,'Informations sur les produits'!$A$3:$H$10000,8,FALSE),"0")</f>
        <v>0</v>
      </c>
      <c r="P3814" s="33">
        <f t="shared" si="236"/>
        <v>0</v>
      </c>
      <c r="Q3814" s="31" t="str">
        <f t="shared" si="237"/>
        <v/>
      </c>
      <c r="R3814" s="32" t="str">
        <f>IFERROR(VLOOKUP($D3814,'Informations sur les produits'!$A$3:$B$15000,2,FALSE),"")</f>
        <v/>
      </c>
      <c r="V3814">
        <f t="shared" si="238"/>
        <v>0</v>
      </c>
      <c r="W3814">
        <f t="shared" si="239"/>
        <v>0</v>
      </c>
    </row>
    <row r="3815" spans="5:23" x14ac:dyDescent="0.25">
      <c r="E3815" s="4"/>
      <c r="F3815" s="4"/>
      <c r="G3815" s="33" t="str">
        <f>IFERROR(VLOOKUP($D3815,'Informations sur les produits'!$A$3:$H$10000,8,FALSE),"0")</f>
        <v>0</v>
      </c>
      <c r="K3815" s="4"/>
      <c r="L3815" s="33" t="str">
        <f>IFERROR(VLOOKUP($J3815,'Informations sur les produits'!$A$3:$H$10000,8,FALSE),"0")</f>
        <v>0</v>
      </c>
      <c r="N3815" s="8"/>
      <c r="O3815" s="33" t="str">
        <f>IFERROR(VLOOKUP($M3815,'Informations sur les produits'!$A$3:$H$10000,8,FALSE),"0")</f>
        <v>0</v>
      </c>
      <c r="P3815" s="33">
        <f t="shared" si="236"/>
        <v>0</v>
      </c>
      <c r="Q3815" s="31" t="str">
        <f t="shared" si="237"/>
        <v/>
      </c>
      <c r="R3815" s="32" t="str">
        <f>IFERROR(VLOOKUP($D3815,'Informations sur les produits'!$A$3:$B$15000,2,FALSE),"")</f>
        <v/>
      </c>
      <c r="V3815">
        <f t="shared" si="238"/>
        <v>0</v>
      </c>
      <c r="W3815">
        <f t="shared" si="239"/>
        <v>0</v>
      </c>
    </row>
    <row r="3816" spans="5:23" x14ac:dyDescent="0.25">
      <c r="E3816" s="4"/>
      <c r="F3816" s="4"/>
      <c r="G3816" s="33" t="str">
        <f>IFERROR(VLOOKUP($D3816,'Informations sur les produits'!$A$3:$H$10000,8,FALSE),"0")</f>
        <v>0</v>
      </c>
      <c r="K3816" s="4"/>
      <c r="L3816" s="33" t="str">
        <f>IFERROR(VLOOKUP($J3816,'Informations sur les produits'!$A$3:$H$10000,8,FALSE),"0")</f>
        <v>0</v>
      </c>
      <c r="N3816" s="8"/>
      <c r="O3816" s="33" t="str">
        <f>IFERROR(VLOOKUP($M3816,'Informations sur les produits'!$A$3:$H$10000,8,FALSE),"0")</f>
        <v>0</v>
      </c>
      <c r="P3816" s="33">
        <f t="shared" si="236"/>
        <v>0</v>
      </c>
      <c r="Q3816" s="31" t="str">
        <f t="shared" si="237"/>
        <v/>
      </c>
      <c r="R3816" s="32" t="str">
        <f>IFERROR(VLOOKUP($D3816,'Informations sur les produits'!$A$3:$B$15000,2,FALSE),"")</f>
        <v/>
      </c>
      <c r="V3816">
        <f t="shared" si="238"/>
        <v>0</v>
      </c>
      <c r="W3816">
        <f t="shared" si="239"/>
        <v>0</v>
      </c>
    </row>
    <row r="3817" spans="5:23" x14ac:dyDescent="0.25">
      <c r="E3817" s="4"/>
      <c r="F3817" s="4"/>
      <c r="G3817" s="33" t="str">
        <f>IFERROR(VLOOKUP($D3817,'Informations sur les produits'!$A$3:$H$10000,8,FALSE),"0")</f>
        <v>0</v>
      </c>
      <c r="K3817" s="4"/>
      <c r="L3817" s="33" t="str">
        <f>IFERROR(VLOOKUP($J3817,'Informations sur les produits'!$A$3:$H$10000,8,FALSE),"0")</f>
        <v>0</v>
      </c>
      <c r="N3817" s="8"/>
      <c r="O3817" s="33" t="str">
        <f>IFERROR(VLOOKUP($M3817,'Informations sur les produits'!$A$3:$H$10000,8,FALSE),"0")</f>
        <v>0</v>
      </c>
      <c r="P3817" s="33">
        <f t="shared" si="236"/>
        <v>0</v>
      </c>
      <c r="Q3817" s="31" t="str">
        <f t="shared" si="237"/>
        <v/>
      </c>
      <c r="R3817" s="32" t="str">
        <f>IFERROR(VLOOKUP($D3817,'Informations sur les produits'!$A$3:$B$15000,2,FALSE),"")</f>
        <v/>
      </c>
      <c r="V3817">
        <f t="shared" si="238"/>
        <v>0</v>
      </c>
      <c r="W3817">
        <f t="shared" si="239"/>
        <v>0</v>
      </c>
    </row>
    <row r="3818" spans="5:23" x14ac:dyDescent="0.25">
      <c r="E3818" s="4"/>
      <c r="F3818" s="4"/>
      <c r="G3818" s="33" t="str">
        <f>IFERROR(VLOOKUP($D3818,'Informations sur les produits'!$A$3:$H$10000,8,FALSE),"0")</f>
        <v>0</v>
      </c>
      <c r="K3818" s="4"/>
      <c r="L3818" s="33" t="str">
        <f>IFERROR(VLOOKUP($J3818,'Informations sur les produits'!$A$3:$H$10000,8,FALSE),"0")</f>
        <v>0</v>
      </c>
      <c r="N3818" s="8"/>
      <c r="O3818" s="33" t="str">
        <f>IFERROR(VLOOKUP($M3818,'Informations sur les produits'!$A$3:$H$10000,8,FALSE),"0")</f>
        <v>0</v>
      </c>
      <c r="P3818" s="33">
        <f t="shared" si="236"/>
        <v>0</v>
      </c>
      <c r="Q3818" s="31" t="str">
        <f t="shared" si="237"/>
        <v/>
      </c>
      <c r="R3818" s="32" t="str">
        <f>IFERROR(VLOOKUP($D3818,'Informations sur les produits'!$A$3:$B$15000,2,FALSE),"")</f>
        <v/>
      </c>
      <c r="V3818">
        <f t="shared" si="238"/>
        <v>0</v>
      </c>
      <c r="W3818">
        <f t="shared" si="239"/>
        <v>0</v>
      </c>
    </row>
    <row r="3819" spans="5:23" x14ac:dyDescent="0.25">
      <c r="E3819" s="4"/>
      <c r="F3819" s="4"/>
      <c r="G3819" s="33" t="str">
        <f>IFERROR(VLOOKUP($D3819,'Informations sur les produits'!$A$3:$H$10000,8,FALSE),"0")</f>
        <v>0</v>
      </c>
      <c r="K3819" s="4"/>
      <c r="L3819" s="33" t="str">
        <f>IFERROR(VLOOKUP($J3819,'Informations sur les produits'!$A$3:$H$10000,8,FALSE),"0")</f>
        <v>0</v>
      </c>
      <c r="N3819" s="8"/>
      <c r="O3819" s="33" t="str">
        <f>IFERROR(VLOOKUP($M3819,'Informations sur les produits'!$A$3:$H$10000,8,FALSE),"0")</f>
        <v>0</v>
      </c>
      <c r="P3819" s="33">
        <f t="shared" si="236"/>
        <v>0</v>
      </c>
      <c r="Q3819" s="31" t="str">
        <f t="shared" si="237"/>
        <v/>
      </c>
      <c r="R3819" s="32" t="str">
        <f>IFERROR(VLOOKUP($D3819,'Informations sur les produits'!$A$3:$B$15000,2,FALSE),"")</f>
        <v/>
      </c>
      <c r="V3819">
        <f t="shared" si="238"/>
        <v>0</v>
      </c>
      <c r="W3819">
        <f t="shared" si="239"/>
        <v>0</v>
      </c>
    </row>
    <row r="3820" spans="5:23" x14ac:dyDescent="0.25">
      <c r="E3820" s="4"/>
      <c r="F3820" s="4"/>
      <c r="G3820" s="33" t="str">
        <f>IFERROR(VLOOKUP($D3820,'Informations sur les produits'!$A$3:$H$10000,8,FALSE),"0")</f>
        <v>0</v>
      </c>
      <c r="K3820" s="4"/>
      <c r="L3820" s="33" t="str">
        <f>IFERROR(VLOOKUP($J3820,'Informations sur les produits'!$A$3:$H$10000,8,FALSE),"0")</f>
        <v>0</v>
      </c>
      <c r="N3820" s="8"/>
      <c r="O3820" s="33" t="str">
        <f>IFERROR(VLOOKUP($M3820,'Informations sur les produits'!$A$3:$H$10000,8,FALSE),"0")</f>
        <v>0</v>
      </c>
      <c r="P3820" s="33">
        <f t="shared" si="236"/>
        <v>0</v>
      </c>
      <c r="Q3820" s="31" t="str">
        <f t="shared" si="237"/>
        <v/>
      </c>
      <c r="R3820" s="32" t="str">
        <f>IFERROR(VLOOKUP($D3820,'Informations sur les produits'!$A$3:$B$15000,2,FALSE),"")</f>
        <v/>
      </c>
      <c r="V3820">
        <f t="shared" si="238"/>
        <v>0</v>
      </c>
      <c r="W3820">
        <f t="shared" si="239"/>
        <v>0</v>
      </c>
    </row>
    <row r="3821" spans="5:23" x14ac:dyDescent="0.25">
      <c r="E3821" s="4"/>
      <c r="F3821" s="4"/>
      <c r="G3821" s="33" t="str">
        <f>IFERROR(VLOOKUP($D3821,'Informations sur les produits'!$A$3:$H$10000,8,FALSE),"0")</f>
        <v>0</v>
      </c>
      <c r="K3821" s="4"/>
      <c r="L3821" s="33" t="str">
        <f>IFERROR(VLOOKUP($J3821,'Informations sur les produits'!$A$3:$H$10000,8,FALSE),"0")</f>
        <v>0</v>
      </c>
      <c r="N3821" s="8"/>
      <c r="O3821" s="33" t="str">
        <f>IFERROR(VLOOKUP($M3821,'Informations sur les produits'!$A$3:$H$10000,8,FALSE),"0")</f>
        <v>0</v>
      </c>
      <c r="P3821" s="33">
        <f t="shared" si="236"/>
        <v>0</v>
      </c>
      <c r="Q3821" s="31" t="str">
        <f t="shared" si="237"/>
        <v/>
      </c>
      <c r="R3821" s="32" t="str">
        <f>IFERROR(VLOOKUP($D3821,'Informations sur les produits'!$A$3:$B$15000,2,FALSE),"")</f>
        <v/>
      </c>
      <c r="V3821">
        <f t="shared" si="238"/>
        <v>0</v>
      </c>
      <c r="W3821">
        <f t="shared" si="239"/>
        <v>0</v>
      </c>
    </row>
    <row r="3822" spans="5:23" x14ac:dyDescent="0.25">
      <c r="E3822" s="4"/>
      <c r="F3822" s="4"/>
      <c r="G3822" s="33" t="str">
        <f>IFERROR(VLOOKUP($D3822,'Informations sur les produits'!$A$3:$H$10000,8,FALSE),"0")</f>
        <v>0</v>
      </c>
      <c r="K3822" s="4"/>
      <c r="L3822" s="33" t="str">
        <f>IFERROR(VLOOKUP($J3822,'Informations sur les produits'!$A$3:$H$10000,8,FALSE),"0")</f>
        <v>0</v>
      </c>
      <c r="N3822" s="8"/>
      <c r="O3822" s="33" t="str">
        <f>IFERROR(VLOOKUP($M3822,'Informations sur les produits'!$A$3:$H$10000,8,FALSE),"0")</f>
        <v>0</v>
      </c>
      <c r="P3822" s="33">
        <f t="shared" si="236"/>
        <v>0</v>
      </c>
      <c r="Q3822" s="31" t="str">
        <f t="shared" si="237"/>
        <v/>
      </c>
      <c r="R3822" s="32" t="str">
        <f>IFERROR(VLOOKUP($D3822,'Informations sur les produits'!$A$3:$B$15000,2,FALSE),"")</f>
        <v/>
      </c>
      <c r="V3822">
        <f t="shared" si="238"/>
        <v>0</v>
      </c>
      <c r="W3822">
        <f t="shared" si="239"/>
        <v>0</v>
      </c>
    </row>
    <row r="3823" spans="5:23" x14ac:dyDescent="0.25">
      <c r="E3823" s="4"/>
      <c r="F3823" s="4"/>
      <c r="G3823" s="33" t="str">
        <f>IFERROR(VLOOKUP($D3823,'Informations sur les produits'!$A$3:$H$10000,8,FALSE),"0")</f>
        <v>0</v>
      </c>
      <c r="K3823" s="4"/>
      <c r="L3823" s="33" t="str">
        <f>IFERROR(VLOOKUP($J3823,'Informations sur les produits'!$A$3:$H$10000,8,FALSE),"0")</f>
        <v>0</v>
      </c>
      <c r="N3823" s="8"/>
      <c r="O3823" s="33" t="str">
        <f>IFERROR(VLOOKUP($M3823,'Informations sur les produits'!$A$3:$H$10000,8,FALSE),"0")</f>
        <v>0</v>
      </c>
      <c r="P3823" s="33">
        <f t="shared" si="236"/>
        <v>0</v>
      </c>
      <c r="Q3823" s="31" t="str">
        <f t="shared" si="237"/>
        <v/>
      </c>
      <c r="R3823" s="32" t="str">
        <f>IFERROR(VLOOKUP($D3823,'Informations sur les produits'!$A$3:$B$15000,2,FALSE),"")</f>
        <v/>
      </c>
      <c r="V3823">
        <f t="shared" si="238"/>
        <v>0</v>
      </c>
      <c r="W3823">
        <f t="shared" si="239"/>
        <v>0</v>
      </c>
    </row>
    <row r="3824" spans="5:23" x14ac:dyDescent="0.25">
      <c r="E3824" s="4"/>
      <c r="F3824" s="4"/>
      <c r="G3824" s="33" t="str">
        <f>IFERROR(VLOOKUP($D3824,'Informations sur les produits'!$A$3:$H$10000,8,FALSE),"0")</f>
        <v>0</v>
      </c>
      <c r="K3824" s="4"/>
      <c r="L3824" s="33" t="str">
        <f>IFERROR(VLOOKUP($J3824,'Informations sur les produits'!$A$3:$H$10000,8,FALSE),"0")</f>
        <v>0</v>
      </c>
      <c r="N3824" s="8"/>
      <c r="O3824" s="33" t="str">
        <f>IFERROR(VLOOKUP($M3824,'Informations sur les produits'!$A$3:$H$10000,8,FALSE),"0")</f>
        <v>0</v>
      </c>
      <c r="P3824" s="33">
        <f t="shared" si="236"/>
        <v>0</v>
      </c>
      <c r="Q3824" s="31" t="str">
        <f t="shared" si="237"/>
        <v/>
      </c>
      <c r="R3824" s="32" t="str">
        <f>IFERROR(VLOOKUP($D3824,'Informations sur les produits'!$A$3:$B$15000,2,FALSE),"")</f>
        <v/>
      </c>
      <c r="V3824">
        <f t="shared" si="238"/>
        <v>0</v>
      </c>
      <c r="W3824">
        <f t="shared" si="239"/>
        <v>0</v>
      </c>
    </row>
    <row r="3825" spans="5:23" x14ac:dyDescent="0.25">
      <c r="E3825" s="4"/>
      <c r="F3825" s="4"/>
      <c r="G3825" s="33" t="str">
        <f>IFERROR(VLOOKUP($D3825,'Informations sur les produits'!$A$3:$H$10000,8,FALSE),"0")</f>
        <v>0</v>
      </c>
      <c r="K3825" s="4"/>
      <c r="L3825" s="33" t="str">
        <f>IFERROR(VLOOKUP($J3825,'Informations sur les produits'!$A$3:$H$10000,8,FALSE),"0")</f>
        <v>0</v>
      </c>
      <c r="N3825" s="8"/>
      <c r="O3825" s="33" t="str">
        <f>IFERROR(VLOOKUP($M3825,'Informations sur les produits'!$A$3:$H$10000,8,FALSE),"0")</f>
        <v>0</v>
      </c>
      <c r="P3825" s="33">
        <f t="shared" si="236"/>
        <v>0</v>
      </c>
      <c r="Q3825" s="31" t="str">
        <f t="shared" si="237"/>
        <v/>
      </c>
      <c r="R3825" s="32" t="str">
        <f>IFERROR(VLOOKUP($D3825,'Informations sur les produits'!$A$3:$B$15000,2,FALSE),"")</f>
        <v/>
      </c>
      <c r="V3825">
        <f t="shared" si="238"/>
        <v>0</v>
      </c>
      <c r="W3825">
        <f t="shared" si="239"/>
        <v>0</v>
      </c>
    </row>
    <row r="3826" spans="5:23" x14ac:dyDescent="0.25">
      <c r="E3826" s="4"/>
      <c r="F3826" s="4"/>
      <c r="G3826" s="33" t="str">
        <f>IFERROR(VLOOKUP($D3826,'Informations sur les produits'!$A$3:$H$10000,8,FALSE),"0")</f>
        <v>0</v>
      </c>
      <c r="K3826" s="4"/>
      <c r="L3826" s="33" t="str">
        <f>IFERROR(VLOOKUP($J3826,'Informations sur les produits'!$A$3:$H$10000,8,FALSE),"0")</f>
        <v>0</v>
      </c>
      <c r="N3826" s="8"/>
      <c r="O3826" s="33" t="str">
        <f>IFERROR(VLOOKUP($M3826,'Informations sur les produits'!$A$3:$H$10000,8,FALSE),"0")</f>
        <v>0</v>
      </c>
      <c r="P3826" s="33">
        <f t="shared" si="236"/>
        <v>0</v>
      </c>
      <c r="Q3826" s="31" t="str">
        <f t="shared" si="237"/>
        <v/>
      </c>
      <c r="R3826" s="32" t="str">
        <f>IFERROR(VLOOKUP($D3826,'Informations sur les produits'!$A$3:$B$15000,2,FALSE),"")</f>
        <v/>
      </c>
      <c r="V3826">
        <f t="shared" si="238"/>
        <v>0</v>
      </c>
      <c r="W3826">
        <f t="shared" si="239"/>
        <v>0</v>
      </c>
    </row>
    <row r="3827" spans="5:23" x14ac:dyDescent="0.25">
      <c r="E3827" s="4"/>
      <c r="F3827" s="4"/>
      <c r="G3827" s="33" t="str">
        <f>IFERROR(VLOOKUP($D3827,'Informations sur les produits'!$A$3:$H$10000,8,FALSE),"0")</f>
        <v>0</v>
      </c>
      <c r="K3827" s="4"/>
      <c r="L3827" s="33" t="str">
        <f>IFERROR(VLOOKUP($J3827,'Informations sur les produits'!$A$3:$H$10000,8,FALSE),"0")</f>
        <v>0</v>
      </c>
      <c r="N3827" s="8"/>
      <c r="O3827" s="33" t="str">
        <f>IFERROR(VLOOKUP($M3827,'Informations sur les produits'!$A$3:$H$10000,8,FALSE),"0")</f>
        <v>0</v>
      </c>
      <c r="P3827" s="33">
        <f t="shared" si="236"/>
        <v>0</v>
      </c>
      <c r="Q3827" s="31" t="str">
        <f t="shared" si="237"/>
        <v/>
      </c>
      <c r="R3827" s="32" t="str">
        <f>IFERROR(VLOOKUP($D3827,'Informations sur les produits'!$A$3:$B$15000,2,FALSE),"")</f>
        <v/>
      </c>
      <c r="V3827">
        <f t="shared" si="238"/>
        <v>0</v>
      </c>
      <c r="W3827">
        <f t="shared" si="239"/>
        <v>0</v>
      </c>
    </row>
    <row r="3828" spans="5:23" x14ac:dyDescent="0.25">
      <c r="E3828" s="4"/>
      <c r="F3828" s="4"/>
      <c r="G3828" s="33" t="str">
        <f>IFERROR(VLOOKUP($D3828,'Informations sur les produits'!$A$3:$H$10000,8,FALSE),"0")</f>
        <v>0</v>
      </c>
      <c r="K3828" s="4"/>
      <c r="L3828" s="33" t="str">
        <f>IFERROR(VLOOKUP($J3828,'Informations sur les produits'!$A$3:$H$10000,8,FALSE),"0")</f>
        <v>0</v>
      </c>
      <c r="N3828" s="8"/>
      <c r="O3828" s="33" t="str">
        <f>IFERROR(VLOOKUP($M3828,'Informations sur les produits'!$A$3:$H$10000,8,FALSE),"0")</f>
        <v>0</v>
      </c>
      <c r="P3828" s="33">
        <f t="shared" si="236"/>
        <v>0</v>
      </c>
      <c r="Q3828" s="31" t="str">
        <f t="shared" si="237"/>
        <v/>
      </c>
      <c r="R3828" s="32" t="str">
        <f>IFERROR(VLOOKUP($D3828,'Informations sur les produits'!$A$3:$B$15000,2,FALSE),"")</f>
        <v/>
      </c>
      <c r="V3828">
        <f t="shared" si="238"/>
        <v>0</v>
      </c>
      <c r="W3828">
        <f t="shared" si="239"/>
        <v>0</v>
      </c>
    </row>
    <row r="3829" spans="5:23" x14ac:dyDescent="0.25">
      <c r="E3829" s="4"/>
      <c r="F3829" s="4"/>
      <c r="G3829" s="33" t="str">
        <f>IFERROR(VLOOKUP($D3829,'Informations sur les produits'!$A$3:$H$10000,8,FALSE),"0")</f>
        <v>0</v>
      </c>
      <c r="K3829" s="4"/>
      <c r="L3829" s="33" t="str">
        <f>IFERROR(VLOOKUP($J3829,'Informations sur les produits'!$A$3:$H$10000,8,FALSE),"0")</f>
        <v>0</v>
      </c>
      <c r="N3829" s="8"/>
      <c r="O3829" s="33" t="str">
        <f>IFERROR(VLOOKUP($M3829,'Informations sur les produits'!$A$3:$H$10000,8,FALSE),"0")</f>
        <v>0</v>
      </c>
      <c r="P3829" s="33">
        <f t="shared" si="236"/>
        <v>0</v>
      </c>
      <c r="Q3829" s="31" t="str">
        <f t="shared" si="237"/>
        <v/>
      </c>
      <c r="R3829" s="32" t="str">
        <f>IFERROR(VLOOKUP($D3829,'Informations sur les produits'!$A$3:$B$15000,2,FALSE),"")</f>
        <v/>
      </c>
      <c r="V3829">
        <f t="shared" si="238"/>
        <v>0</v>
      </c>
      <c r="W3829">
        <f t="shared" si="239"/>
        <v>0</v>
      </c>
    </row>
    <row r="3830" spans="5:23" x14ac:dyDescent="0.25">
      <c r="E3830" s="4"/>
      <c r="F3830" s="4"/>
      <c r="G3830" s="33" t="str">
        <f>IFERROR(VLOOKUP($D3830,'Informations sur les produits'!$A$3:$H$10000,8,FALSE),"0")</f>
        <v>0</v>
      </c>
      <c r="K3830" s="4"/>
      <c r="L3830" s="33" t="str">
        <f>IFERROR(VLOOKUP($J3830,'Informations sur les produits'!$A$3:$H$10000,8,FALSE),"0")</f>
        <v>0</v>
      </c>
      <c r="N3830" s="8"/>
      <c r="O3830" s="33" t="str">
        <f>IFERROR(VLOOKUP($M3830,'Informations sur les produits'!$A$3:$H$10000,8,FALSE),"0")</f>
        <v>0</v>
      </c>
      <c r="P3830" s="33">
        <f t="shared" si="236"/>
        <v>0</v>
      </c>
      <c r="Q3830" s="31" t="str">
        <f t="shared" si="237"/>
        <v/>
      </c>
      <c r="R3830" s="32" t="str">
        <f>IFERROR(VLOOKUP($D3830,'Informations sur les produits'!$A$3:$B$15000,2,FALSE),"")</f>
        <v/>
      </c>
      <c r="V3830">
        <f t="shared" si="238"/>
        <v>0</v>
      </c>
      <c r="W3830">
        <f t="shared" si="239"/>
        <v>0</v>
      </c>
    </row>
    <row r="3831" spans="5:23" x14ac:dyDescent="0.25">
      <c r="E3831" s="4"/>
      <c r="F3831" s="4"/>
      <c r="G3831" s="33" t="str">
        <f>IFERROR(VLOOKUP($D3831,'Informations sur les produits'!$A$3:$H$10000,8,FALSE),"0")</f>
        <v>0</v>
      </c>
      <c r="K3831" s="4"/>
      <c r="L3831" s="33" t="str">
        <f>IFERROR(VLOOKUP($J3831,'Informations sur les produits'!$A$3:$H$10000,8,FALSE),"0")</f>
        <v>0</v>
      </c>
      <c r="N3831" s="8"/>
      <c r="O3831" s="33" t="str">
        <f>IFERROR(VLOOKUP($M3831,'Informations sur les produits'!$A$3:$H$10000,8,FALSE),"0")</f>
        <v>0</v>
      </c>
      <c r="P3831" s="33">
        <f t="shared" si="236"/>
        <v>0</v>
      </c>
      <c r="Q3831" s="31" t="str">
        <f t="shared" si="237"/>
        <v/>
      </c>
      <c r="R3831" s="32" t="str">
        <f>IFERROR(VLOOKUP($D3831,'Informations sur les produits'!$A$3:$B$15000,2,FALSE),"")</f>
        <v/>
      </c>
      <c r="V3831">
        <f t="shared" si="238"/>
        <v>0</v>
      </c>
      <c r="W3831">
        <f t="shared" si="239"/>
        <v>0</v>
      </c>
    </row>
    <row r="3832" spans="5:23" x14ac:dyDescent="0.25">
      <c r="E3832" s="4"/>
      <c r="F3832" s="4"/>
      <c r="G3832" s="33" t="str">
        <f>IFERROR(VLOOKUP($D3832,'Informations sur les produits'!$A$3:$H$10000,8,FALSE),"0")</f>
        <v>0</v>
      </c>
      <c r="K3832" s="4"/>
      <c r="L3832" s="33" t="str">
        <f>IFERROR(VLOOKUP($J3832,'Informations sur les produits'!$A$3:$H$10000,8,FALSE),"0")</f>
        <v>0</v>
      </c>
      <c r="N3832" s="8"/>
      <c r="O3832" s="33" t="str">
        <f>IFERROR(VLOOKUP($M3832,'Informations sur les produits'!$A$3:$H$10000,8,FALSE),"0")</f>
        <v>0</v>
      </c>
      <c r="P3832" s="33">
        <f t="shared" si="236"/>
        <v>0</v>
      </c>
      <c r="Q3832" s="31" t="str">
        <f t="shared" si="237"/>
        <v/>
      </c>
      <c r="R3832" s="32" t="str">
        <f>IFERROR(VLOOKUP($D3832,'Informations sur les produits'!$A$3:$B$15000,2,FALSE),"")</f>
        <v/>
      </c>
      <c r="V3832">
        <f t="shared" si="238"/>
        <v>0</v>
      </c>
      <c r="W3832">
        <f t="shared" si="239"/>
        <v>0</v>
      </c>
    </row>
    <row r="3833" spans="5:23" x14ac:dyDescent="0.25">
      <c r="E3833" s="4"/>
      <c r="F3833" s="4"/>
      <c r="G3833" s="33" t="str">
        <f>IFERROR(VLOOKUP($D3833,'Informations sur les produits'!$A$3:$H$10000,8,FALSE),"0")</f>
        <v>0</v>
      </c>
      <c r="K3833" s="4"/>
      <c r="L3833" s="33" t="str">
        <f>IFERROR(VLOOKUP($J3833,'Informations sur les produits'!$A$3:$H$10000,8,FALSE),"0")</f>
        <v>0</v>
      </c>
      <c r="N3833" s="8"/>
      <c r="O3833" s="33" t="str">
        <f>IFERROR(VLOOKUP($M3833,'Informations sur les produits'!$A$3:$H$10000,8,FALSE),"0")</f>
        <v>0</v>
      </c>
      <c r="P3833" s="33">
        <f t="shared" si="236"/>
        <v>0</v>
      </c>
      <c r="Q3833" s="31" t="str">
        <f t="shared" si="237"/>
        <v/>
      </c>
      <c r="R3833" s="32" t="str">
        <f>IFERROR(VLOOKUP($D3833,'Informations sur les produits'!$A$3:$B$15000,2,FALSE),"")</f>
        <v/>
      </c>
      <c r="V3833">
        <f t="shared" si="238"/>
        <v>0</v>
      </c>
      <c r="W3833">
        <f t="shared" si="239"/>
        <v>0</v>
      </c>
    </row>
    <row r="3834" spans="5:23" x14ac:dyDescent="0.25">
      <c r="E3834" s="4"/>
      <c r="F3834" s="4"/>
      <c r="G3834" s="33" t="str">
        <f>IFERROR(VLOOKUP($D3834,'Informations sur les produits'!$A$3:$H$10000,8,FALSE),"0")</f>
        <v>0</v>
      </c>
      <c r="K3834" s="4"/>
      <c r="L3834" s="33" t="str">
        <f>IFERROR(VLOOKUP($J3834,'Informations sur les produits'!$A$3:$H$10000,8,FALSE),"0")</f>
        <v>0</v>
      </c>
      <c r="N3834" s="8"/>
      <c r="O3834" s="33" t="str">
        <f>IFERROR(VLOOKUP($M3834,'Informations sur les produits'!$A$3:$H$10000,8,FALSE),"0")</f>
        <v>0</v>
      </c>
      <c r="P3834" s="33">
        <f t="shared" si="236"/>
        <v>0</v>
      </c>
      <c r="Q3834" s="31" t="str">
        <f t="shared" si="237"/>
        <v/>
      </c>
      <c r="R3834" s="32" t="str">
        <f>IFERROR(VLOOKUP($D3834,'Informations sur les produits'!$A$3:$B$15000,2,FALSE),"")</f>
        <v/>
      </c>
      <c r="V3834">
        <f t="shared" si="238"/>
        <v>0</v>
      </c>
      <c r="W3834">
        <f t="shared" si="239"/>
        <v>0</v>
      </c>
    </row>
    <row r="3835" spans="5:23" x14ac:dyDescent="0.25">
      <c r="E3835" s="4"/>
      <c r="F3835" s="4"/>
      <c r="G3835" s="33" t="str">
        <f>IFERROR(VLOOKUP($D3835,'Informations sur les produits'!$A$3:$H$10000,8,FALSE),"0")</f>
        <v>0</v>
      </c>
      <c r="K3835" s="4"/>
      <c r="L3835" s="33" t="str">
        <f>IFERROR(VLOOKUP($J3835,'Informations sur les produits'!$A$3:$H$10000,8,FALSE),"0")</f>
        <v>0</v>
      </c>
      <c r="N3835" s="8"/>
      <c r="O3835" s="33" t="str">
        <f>IFERROR(VLOOKUP($M3835,'Informations sur les produits'!$A$3:$H$10000,8,FALSE),"0")</f>
        <v>0</v>
      </c>
      <c r="P3835" s="33">
        <f t="shared" si="236"/>
        <v>0</v>
      </c>
      <c r="Q3835" s="31" t="str">
        <f t="shared" si="237"/>
        <v/>
      </c>
      <c r="R3835" s="32" t="str">
        <f>IFERROR(VLOOKUP($D3835,'Informations sur les produits'!$A$3:$B$15000,2,FALSE),"")</f>
        <v/>
      </c>
      <c r="V3835">
        <f t="shared" si="238"/>
        <v>0</v>
      </c>
      <c r="W3835">
        <f t="shared" si="239"/>
        <v>0</v>
      </c>
    </row>
    <row r="3836" spans="5:23" x14ac:dyDescent="0.25">
      <c r="E3836" s="4"/>
      <c r="F3836" s="4"/>
      <c r="G3836" s="33" t="str">
        <f>IFERROR(VLOOKUP($D3836,'Informations sur les produits'!$A$3:$H$10000,8,FALSE),"0")</f>
        <v>0</v>
      </c>
      <c r="K3836" s="4"/>
      <c r="L3836" s="33" t="str">
        <f>IFERROR(VLOOKUP($J3836,'Informations sur les produits'!$A$3:$H$10000,8,FALSE),"0")</f>
        <v>0</v>
      </c>
      <c r="N3836" s="8"/>
      <c r="O3836" s="33" t="str">
        <f>IFERROR(VLOOKUP($M3836,'Informations sur les produits'!$A$3:$H$10000,8,FALSE),"0")</f>
        <v>0</v>
      </c>
      <c r="P3836" s="33">
        <f t="shared" si="236"/>
        <v>0</v>
      </c>
      <c r="Q3836" s="31" t="str">
        <f t="shared" si="237"/>
        <v/>
      </c>
      <c r="R3836" s="32" t="str">
        <f>IFERROR(VLOOKUP($D3836,'Informations sur les produits'!$A$3:$B$15000,2,FALSE),"")</f>
        <v/>
      </c>
      <c r="V3836">
        <f t="shared" si="238"/>
        <v>0</v>
      </c>
      <c r="W3836">
        <f t="shared" si="239"/>
        <v>0</v>
      </c>
    </row>
    <row r="3837" spans="5:23" x14ac:dyDescent="0.25">
      <c r="E3837" s="4"/>
      <c r="F3837" s="4"/>
      <c r="G3837" s="33" t="str">
        <f>IFERROR(VLOOKUP($D3837,'Informations sur les produits'!$A$3:$H$10000,8,FALSE),"0")</f>
        <v>0</v>
      </c>
      <c r="K3837" s="4"/>
      <c r="L3837" s="33" t="str">
        <f>IFERROR(VLOOKUP($J3837,'Informations sur les produits'!$A$3:$H$10000,8,FALSE),"0")</f>
        <v>0</v>
      </c>
      <c r="N3837" s="8"/>
      <c r="O3837" s="33" t="str">
        <f>IFERROR(VLOOKUP($M3837,'Informations sur les produits'!$A$3:$H$10000,8,FALSE),"0")</f>
        <v>0</v>
      </c>
      <c r="P3837" s="33">
        <f t="shared" si="236"/>
        <v>0</v>
      </c>
      <c r="Q3837" s="31" t="str">
        <f t="shared" si="237"/>
        <v/>
      </c>
      <c r="R3837" s="32" t="str">
        <f>IFERROR(VLOOKUP($D3837,'Informations sur les produits'!$A$3:$B$15000,2,FALSE),"")</f>
        <v/>
      </c>
      <c r="V3837">
        <f t="shared" si="238"/>
        <v>0</v>
      </c>
      <c r="W3837">
        <f t="shared" si="239"/>
        <v>0</v>
      </c>
    </row>
    <row r="3838" spans="5:23" x14ac:dyDescent="0.25">
      <c r="E3838" s="4"/>
      <c r="F3838" s="4"/>
      <c r="G3838" s="33" t="str">
        <f>IFERROR(VLOOKUP($D3838,'Informations sur les produits'!$A$3:$H$10000,8,FALSE),"0")</f>
        <v>0</v>
      </c>
      <c r="K3838" s="4"/>
      <c r="L3838" s="33" t="str">
        <f>IFERROR(VLOOKUP($J3838,'Informations sur les produits'!$A$3:$H$10000,8,FALSE),"0")</f>
        <v>0</v>
      </c>
      <c r="N3838" s="8"/>
      <c r="O3838" s="33" t="str">
        <f>IFERROR(VLOOKUP($M3838,'Informations sur les produits'!$A$3:$H$10000,8,FALSE),"0")</f>
        <v>0</v>
      </c>
      <c r="P3838" s="33">
        <f t="shared" si="236"/>
        <v>0</v>
      </c>
      <c r="Q3838" s="31" t="str">
        <f t="shared" si="237"/>
        <v/>
      </c>
      <c r="R3838" s="32" t="str">
        <f>IFERROR(VLOOKUP($D3838,'Informations sur les produits'!$A$3:$B$15000,2,FALSE),"")</f>
        <v/>
      </c>
      <c r="V3838">
        <f t="shared" si="238"/>
        <v>0</v>
      </c>
      <c r="W3838">
        <f t="shared" si="239"/>
        <v>0</v>
      </c>
    </row>
    <row r="3839" spans="5:23" x14ac:dyDescent="0.25">
      <c r="E3839" s="4"/>
      <c r="F3839" s="4"/>
      <c r="G3839" s="33" t="str">
        <f>IFERROR(VLOOKUP($D3839,'Informations sur les produits'!$A$3:$H$10000,8,FALSE),"0")</f>
        <v>0</v>
      </c>
      <c r="K3839" s="4"/>
      <c r="L3839" s="33" t="str">
        <f>IFERROR(VLOOKUP($J3839,'Informations sur les produits'!$A$3:$H$10000,8,FALSE),"0")</f>
        <v>0</v>
      </c>
      <c r="N3839" s="8"/>
      <c r="O3839" s="33" t="str">
        <f>IFERROR(VLOOKUP($M3839,'Informations sur les produits'!$A$3:$H$10000,8,FALSE),"0")</f>
        <v>0</v>
      </c>
      <c r="P3839" s="33">
        <f t="shared" si="236"/>
        <v>0</v>
      </c>
      <c r="Q3839" s="31" t="str">
        <f t="shared" si="237"/>
        <v/>
      </c>
      <c r="R3839" s="32" t="str">
        <f>IFERROR(VLOOKUP($D3839,'Informations sur les produits'!$A$3:$B$15000,2,FALSE),"")</f>
        <v/>
      </c>
      <c r="V3839">
        <f t="shared" si="238"/>
        <v>0</v>
      </c>
      <c r="W3839">
        <f t="shared" si="239"/>
        <v>0</v>
      </c>
    </row>
    <row r="3840" spans="5:23" x14ac:dyDescent="0.25">
      <c r="E3840" s="4"/>
      <c r="F3840" s="4"/>
      <c r="G3840" s="33" t="str">
        <f>IFERROR(VLOOKUP($D3840,'Informations sur les produits'!$A$3:$H$10000,8,FALSE),"0")</f>
        <v>0</v>
      </c>
      <c r="K3840" s="4"/>
      <c r="L3840" s="33" t="str">
        <f>IFERROR(VLOOKUP($J3840,'Informations sur les produits'!$A$3:$H$10000,8,FALSE),"0")</f>
        <v>0</v>
      </c>
      <c r="N3840" s="8"/>
      <c r="O3840" s="33" t="str">
        <f>IFERROR(VLOOKUP($M3840,'Informations sur les produits'!$A$3:$H$10000,8,FALSE),"0")</f>
        <v>0</v>
      </c>
      <c r="P3840" s="33">
        <f t="shared" si="236"/>
        <v>0</v>
      </c>
      <c r="Q3840" s="31" t="str">
        <f t="shared" si="237"/>
        <v/>
      </c>
      <c r="R3840" s="32" t="str">
        <f>IFERROR(VLOOKUP($D3840,'Informations sur les produits'!$A$3:$B$15000,2,FALSE),"")</f>
        <v/>
      </c>
      <c r="V3840">
        <f t="shared" si="238"/>
        <v>0</v>
      </c>
      <c r="W3840">
        <f t="shared" si="239"/>
        <v>0</v>
      </c>
    </row>
    <row r="3841" spans="5:23" x14ac:dyDescent="0.25">
      <c r="E3841" s="4"/>
      <c r="F3841" s="4"/>
      <c r="G3841" s="33" t="str">
        <f>IFERROR(VLOOKUP($D3841,'Informations sur les produits'!$A$3:$H$10000,8,FALSE),"0")</f>
        <v>0</v>
      </c>
      <c r="K3841" s="4"/>
      <c r="L3841" s="33" t="str">
        <f>IFERROR(VLOOKUP($J3841,'Informations sur les produits'!$A$3:$H$10000,8,FALSE),"0")</f>
        <v>0</v>
      </c>
      <c r="N3841" s="8"/>
      <c r="O3841" s="33" t="str">
        <f>IFERROR(VLOOKUP($M3841,'Informations sur les produits'!$A$3:$H$10000,8,FALSE),"0")</f>
        <v>0</v>
      </c>
      <c r="P3841" s="33">
        <f t="shared" si="236"/>
        <v>0</v>
      </c>
      <c r="Q3841" s="31" t="str">
        <f t="shared" si="237"/>
        <v/>
      </c>
      <c r="R3841" s="32" t="str">
        <f>IFERROR(VLOOKUP($D3841,'Informations sur les produits'!$A$3:$B$15000,2,FALSE),"")</f>
        <v/>
      </c>
      <c r="V3841">
        <f t="shared" si="238"/>
        <v>0</v>
      </c>
      <c r="W3841">
        <f t="shared" si="239"/>
        <v>0</v>
      </c>
    </row>
    <row r="3842" spans="5:23" x14ac:dyDescent="0.25">
      <c r="E3842" s="4"/>
      <c r="F3842" s="4"/>
      <c r="G3842" s="33" t="str">
        <f>IFERROR(VLOOKUP($D3842,'Informations sur les produits'!$A$3:$H$10000,8,FALSE),"0")</f>
        <v>0</v>
      </c>
      <c r="K3842" s="4"/>
      <c r="L3842" s="33" t="str">
        <f>IFERROR(VLOOKUP($J3842,'Informations sur les produits'!$A$3:$H$10000,8,FALSE),"0")</f>
        <v>0</v>
      </c>
      <c r="N3842" s="8"/>
      <c r="O3842" s="33" t="str">
        <f>IFERROR(VLOOKUP($M3842,'Informations sur les produits'!$A$3:$H$10000,8,FALSE),"0")</f>
        <v>0</v>
      </c>
      <c r="P3842" s="33">
        <f t="shared" si="236"/>
        <v>0</v>
      </c>
      <c r="Q3842" s="31" t="str">
        <f t="shared" si="237"/>
        <v/>
      </c>
      <c r="R3842" s="32" t="str">
        <f>IFERROR(VLOOKUP($D3842,'Informations sur les produits'!$A$3:$B$15000,2,FALSE),"")</f>
        <v/>
      </c>
      <c r="V3842">
        <f t="shared" si="238"/>
        <v>0</v>
      </c>
      <c r="W3842">
        <f t="shared" si="239"/>
        <v>0</v>
      </c>
    </row>
    <row r="3843" spans="5:23" x14ac:dyDescent="0.25">
      <c r="E3843" s="4"/>
      <c r="F3843" s="4"/>
      <c r="G3843" s="33" t="str">
        <f>IFERROR(VLOOKUP($D3843,'Informations sur les produits'!$A$3:$H$10000,8,FALSE),"0")</f>
        <v>0</v>
      </c>
      <c r="K3843" s="4"/>
      <c r="L3843" s="33" t="str">
        <f>IFERROR(VLOOKUP($J3843,'Informations sur les produits'!$A$3:$H$10000,8,FALSE),"0")</f>
        <v>0</v>
      </c>
      <c r="N3843" s="8"/>
      <c r="O3843" s="33" t="str">
        <f>IFERROR(VLOOKUP($M3843,'Informations sur les produits'!$A$3:$H$10000,8,FALSE),"0")</f>
        <v>0</v>
      </c>
      <c r="P3843" s="33">
        <f t="shared" si="236"/>
        <v>0</v>
      </c>
      <c r="Q3843" s="31" t="str">
        <f t="shared" si="237"/>
        <v/>
      </c>
      <c r="R3843" s="32" t="str">
        <f>IFERROR(VLOOKUP($D3843,'Informations sur les produits'!$A$3:$B$15000,2,FALSE),"")</f>
        <v/>
      </c>
      <c r="V3843">
        <f t="shared" si="238"/>
        <v>0</v>
      </c>
      <c r="W3843">
        <f t="shared" si="239"/>
        <v>0</v>
      </c>
    </row>
    <row r="3844" spans="5:23" x14ac:dyDescent="0.25">
      <c r="E3844" s="4"/>
      <c r="F3844" s="4"/>
      <c r="G3844" s="33" t="str">
        <f>IFERROR(VLOOKUP($D3844,'Informations sur les produits'!$A$3:$H$10000,8,FALSE),"0")</f>
        <v>0</v>
      </c>
      <c r="K3844" s="4"/>
      <c r="L3844" s="33" t="str">
        <f>IFERROR(VLOOKUP($J3844,'Informations sur les produits'!$A$3:$H$10000,8,FALSE),"0")</f>
        <v>0</v>
      </c>
      <c r="N3844" s="8"/>
      <c r="O3844" s="33" t="str">
        <f>IFERROR(VLOOKUP($M3844,'Informations sur les produits'!$A$3:$H$10000,8,FALSE),"0")</f>
        <v>0</v>
      </c>
      <c r="P3844" s="33">
        <f t="shared" ref="P3844:P3907" si="240">IFERROR((($E3844-$F3844)*$G3844+$K3844*$L3844+$N3844*$O3844),"")</f>
        <v>0</v>
      </c>
      <c r="Q3844" s="31" t="str">
        <f t="shared" ref="Q3844:Q3907" si="241">IFERROR((((($E3844-$F3844)*$G3844+$K3844*$L3844+$N3844*$O3844)*1000)/(($E3844-$F3844)+$K3844+$N3844)),"")</f>
        <v/>
      </c>
      <c r="R3844" s="32" t="str">
        <f>IFERROR(VLOOKUP($D3844,'Informations sur les produits'!$A$3:$B$15000,2,FALSE),"")</f>
        <v/>
      </c>
      <c r="V3844">
        <f t="shared" ref="V3844:V3907" si="242">IFERROR(P3844*1000,"")</f>
        <v>0</v>
      </c>
      <c r="W3844">
        <f t="shared" ref="W3844:W3907" si="243">IFERROR(($E3844-$F3844)+$K3844+$N3844,"")</f>
        <v>0</v>
      </c>
    </row>
    <row r="3845" spans="5:23" x14ac:dyDescent="0.25">
      <c r="E3845" s="4"/>
      <c r="F3845" s="4"/>
      <c r="G3845" s="33" t="str">
        <f>IFERROR(VLOOKUP($D3845,'Informations sur les produits'!$A$3:$H$10000,8,FALSE),"0")</f>
        <v>0</v>
      </c>
      <c r="K3845" s="4"/>
      <c r="L3845" s="33" t="str">
        <f>IFERROR(VLOOKUP($J3845,'Informations sur les produits'!$A$3:$H$10000,8,FALSE),"0")</f>
        <v>0</v>
      </c>
      <c r="N3845" s="8"/>
      <c r="O3845" s="33" t="str">
        <f>IFERROR(VLOOKUP($M3845,'Informations sur les produits'!$A$3:$H$10000,8,FALSE),"0")</f>
        <v>0</v>
      </c>
      <c r="P3845" s="33">
        <f t="shared" si="240"/>
        <v>0</v>
      </c>
      <c r="Q3845" s="31" t="str">
        <f t="shared" si="241"/>
        <v/>
      </c>
      <c r="R3845" s="32" t="str">
        <f>IFERROR(VLOOKUP($D3845,'Informations sur les produits'!$A$3:$B$15000,2,FALSE),"")</f>
        <v/>
      </c>
      <c r="V3845">
        <f t="shared" si="242"/>
        <v>0</v>
      </c>
      <c r="W3845">
        <f t="shared" si="243"/>
        <v>0</v>
      </c>
    </row>
    <row r="3846" spans="5:23" x14ac:dyDescent="0.25">
      <c r="E3846" s="4"/>
      <c r="F3846" s="4"/>
      <c r="G3846" s="33" t="str">
        <f>IFERROR(VLOOKUP($D3846,'Informations sur les produits'!$A$3:$H$10000,8,FALSE),"0")</f>
        <v>0</v>
      </c>
      <c r="K3846" s="4"/>
      <c r="L3846" s="33" t="str">
        <f>IFERROR(VLOOKUP($J3846,'Informations sur les produits'!$A$3:$H$10000,8,FALSE),"0")</f>
        <v>0</v>
      </c>
      <c r="N3846" s="8"/>
      <c r="O3846" s="33" t="str">
        <f>IFERROR(VLOOKUP($M3846,'Informations sur les produits'!$A$3:$H$10000,8,FALSE),"0")</f>
        <v>0</v>
      </c>
      <c r="P3846" s="33">
        <f t="shared" si="240"/>
        <v>0</v>
      </c>
      <c r="Q3846" s="31" t="str">
        <f t="shared" si="241"/>
        <v/>
      </c>
      <c r="R3846" s="32" t="str">
        <f>IFERROR(VLOOKUP($D3846,'Informations sur les produits'!$A$3:$B$15000,2,FALSE),"")</f>
        <v/>
      </c>
      <c r="V3846">
        <f t="shared" si="242"/>
        <v>0</v>
      </c>
      <c r="W3846">
        <f t="shared" si="243"/>
        <v>0</v>
      </c>
    </row>
    <row r="3847" spans="5:23" x14ac:dyDescent="0.25">
      <c r="E3847" s="4"/>
      <c r="F3847" s="4"/>
      <c r="G3847" s="33" t="str">
        <f>IFERROR(VLOOKUP($D3847,'Informations sur les produits'!$A$3:$H$10000,8,FALSE),"0")</f>
        <v>0</v>
      </c>
      <c r="K3847" s="4"/>
      <c r="L3847" s="33" t="str">
        <f>IFERROR(VLOOKUP($J3847,'Informations sur les produits'!$A$3:$H$10000,8,FALSE),"0")</f>
        <v>0</v>
      </c>
      <c r="N3847" s="8"/>
      <c r="O3847" s="33" t="str">
        <f>IFERROR(VLOOKUP($M3847,'Informations sur les produits'!$A$3:$H$10000,8,FALSE),"0")</f>
        <v>0</v>
      </c>
      <c r="P3847" s="33">
        <f t="shared" si="240"/>
        <v>0</v>
      </c>
      <c r="Q3847" s="31" t="str">
        <f t="shared" si="241"/>
        <v/>
      </c>
      <c r="R3847" s="32" t="str">
        <f>IFERROR(VLOOKUP($D3847,'Informations sur les produits'!$A$3:$B$15000,2,FALSE),"")</f>
        <v/>
      </c>
      <c r="V3847">
        <f t="shared" si="242"/>
        <v>0</v>
      </c>
      <c r="W3847">
        <f t="shared" si="243"/>
        <v>0</v>
      </c>
    </row>
    <row r="3848" spans="5:23" x14ac:dyDescent="0.25">
      <c r="E3848" s="4"/>
      <c r="F3848" s="4"/>
      <c r="G3848" s="33" t="str">
        <f>IFERROR(VLOOKUP($D3848,'Informations sur les produits'!$A$3:$H$10000,8,FALSE),"0")</f>
        <v>0</v>
      </c>
      <c r="K3848" s="4"/>
      <c r="L3848" s="33" t="str">
        <f>IFERROR(VLOOKUP($J3848,'Informations sur les produits'!$A$3:$H$10000,8,FALSE),"0")</f>
        <v>0</v>
      </c>
      <c r="N3848" s="8"/>
      <c r="O3848" s="33" t="str">
        <f>IFERROR(VLOOKUP($M3848,'Informations sur les produits'!$A$3:$H$10000,8,FALSE),"0")</f>
        <v>0</v>
      </c>
      <c r="P3848" s="33">
        <f t="shared" si="240"/>
        <v>0</v>
      </c>
      <c r="Q3848" s="31" t="str">
        <f t="shared" si="241"/>
        <v/>
      </c>
      <c r="R3848" s="32" t="str">
        <f>IFERROR(VLOOKUP($D3848,'Informations sur les produits'!$A$3:$B$15000,2,FALSE),"")</f>
        <v/>
      </c>
      <c r="V3848">
        <f t="shared" si="242"/>
        <v>0</v>
      </c>
      <c r="W3848">
        <f t="shared" si="243"/>
        <v>0</v>
      </c>
    </row>
    <row r="3849" spans="5:23" x14ac:dyDescent="0.25">
      <c r="E3849" s="4"/>
      <c r="F3849" s="4"/>
      <c r="G3849" s="33" t="str">
        <f>IFERROR(VLOOKUP($D3849,'Informations sur les produits'!$A$3:$H$10000,8,FALSE),"0")</f>
        <v>0</v>
      </c>
      <c r="K3849" s="4"/>
      <c r="L3849" s="33" t="str">
        <f>IFERROR(VLOOKUP($J3849,'Informations sur les produits'!$A$3:$H$10000,8,FALSE),"0")</f>
        <v>0</v>
      </c>
      <c r="N3849" s="8"/>
      <c r="O3849" s="33" t="str">
        <f>IFERROR(VLOOKUP($M3849,'Informations sur les produits'!$A$3:$H$10000,8,FALSE),"0")</f>
        <v>0</v>
      </c>
      <c r="P3849" s="33">
        <f t="shared" si="240"/>
        <v>0</v>
      </c>
      <c r="Q3849" s="31" t="str">
        <f t="shared" si="241"/>
        <v/>
      </c>
      <c r="R3849" s="32" t="str">
        <f>IFERROR(VLOOKUP($D3849,'Informations sur les produits'!$A$3:$B$15000,2,FALSE),"")</f>
        <v/>
      </c>
      <c r="V3849">
        <f t="shared" si="242"/>
        <v>0</v>
      </c>
      <c r="W3849">
        <f t="shared" si="243"/>
        <v>0</v>
      </c>
    </row>
    <row r="3850" spans="5:23" x14ac:dyDescent="0.25">
      <c r="E3850" s="4"/>
      <c r="F3850" s="4"/>
      <c r="G3850" s="33" t="str">
        <f>IFERROR(VLOOKUP($D3850,'Informations sur les produits'!$A$3:$H$10000,8,FALSE),"0")</f>
        <v>0</v>
      </c>
      <c r="K3850" s="4"/>
      <c r="L3850" s="33" t="str">
        <f>IFERROR(VLOOKUP($J3850,'Informations sur les produits'!$A$3:$H$10000,8,FALSE),"0")</f>
        <v>0</v>
      </c>
      <c r="N3850" s="8"/>
      <c r="O3850" s="33" t="str">
        <f>IFERROR(VLOOKUP($M3850,'Informations sur les produits'!$A$3:$H$10000,8,FALSE),"0")</f>
        <v>0</v>
      </c>
      <c r="P3850" s="33">
        <f t="shared" si="240"/>
        <v>0</v>
      </c>
      <c r="Q3850" s="31" t="str">
        <f t="shared" si="241"/>
        <v/>
      </c>
      <c r="R3850" s="32" t="str">
        <f>IFERROR(VLOOKUP($D3850,'Informations sur les produits'!$A$3:$B$15000,2,FALSE),"")</f>
        <v/>
      </c>
      <c r="V3850">
        <f t="shared" si="242"/>
        <v>0</v>
      </c>
      <c r="W3850">
        <f t="shared" si="243"/>
        <v>0</v>
      </c>
    </row>
    <row r="3851" spans="5:23" x14ac:dyDescent="0.25">
      <c r="E3851" s="4"/>
      <c r="F3851" s="4"/>
      <c r="G3851" s="33" t="str">
        <f>IFERROR(VLOOKUP($D3851,'Informations sur les produits'!$A$3:$H$10000,8,FALSE),"0")</f>
        <v>0</v>
      </c>
      <c r="K3851" s="4"/>
      <c r="L3851" s="33" t="str">
        <f>IFERROR(VLOOKUP($J3851,'Informations sur les produits'!$A$3:$H$10000,8,FALSE),"0")</f>
        <v>0</v>
      </c>
      <c r="N3851" s="8"/>
      <c r="O3851" s="33" t="str">
        <f>IFERROR(VLOOKUP($M3851,'Informations sur les produits'!$A$3:$H$10000,8,FALSE),"0")</f>
        <v>0</v>
      </c>
      <c r="P3851" s="33">
        <f t="shared" si="240"/>
        <v>0</v>
      </c>
      <c r="Q3851" s="31" t="str">
        <f t="shared" si="241"/>
        <v/>
      </c>
      <c r="R3851" s="32" t="str">
        <f>IFERROR(VLOOKUP($D3851,'Informations sur les produits'!$A$3:$B$15000,2,FALSE),"")</f>
        <v/>
      </c>
      <c r="V3851">
        <f t="shared" si="242"/>
        <v>0</v>
      </c>
      <c r="W3851">
        <f t="shared" si="243"/>
        <v>0</v>
      </c>
    </row>
    <row r="3852" spans="5:23" x14ac:dyDescent="0.25">
      <c r="E3852" s="4"/>
      <c r="F3852" s="4"/>
      <c r="G3852" s="33" t="str">
        <f>IFERROR(VLOOKUP($D3852,'Informations sur les produits'!$A$3:$H$10000,8,FALSE),"0")</f>
        <v>0</v>
      </c>
      <c r="K3852" s="4"/>
      <c r="L3852" s="33" t="str">
        <f>IFERROR(VLOOKUP($J3852,'Informations sur les produits'!$A$3:$H$10000,8,FALSE),"0")</f>
        <v>0</v>
      </c>
      <c r="N3852" s="8"/>
      <c r="O3852" s="33" t="str">
        <f>IFERROR(VLOOKUP($M3852,'Informations sur les produits'!$A$3:$H$10000,8,FALSE),"0")</f>
        <v>0</v>
      </c>
      <c r="P3852" s="33">
        <f t="shared" si="240"/>
        <v>0</v>
      </c>
      <c r="Q3852" s="31" t="str">
        <f t="shared" si="241"/>
        <v/>
      </c>
      <c r="R3852" s="32" t="str">
        <f>IFERROR(VLOOKUP($D3852,'Informations sur les produits'!$A$3:$B$15000,2,FALSE),"")</f>
        <v/>
      </c>
      <c r="V3852">
        <f t="shared" si="242"/>
        <v>0</v>
      </c>
      <c r="W3852">
        <f t="shared" si="243"/>
        <v>0</v>
      </c>
    </row>
    <row r="3853" spans="5:23" x14ac:dyDescent="0.25">
      <c r="E3853" s="4"/>
      <c r="F3853" s="4"/>
      <c r="G3853" s="33" t="str">
        <f>IFERROR(VLOOKUP($D3853,'Informations sur les produits'!$A$3:$H$10000,8,FALSE),"0")</f>
        <v>0</v>
      </c>
      <c r="K3853" s="4"/>
      <c r="L3853" s="33" t="str">
        <f>IFERROR(VLOOKUP($J3853,'Informations sur les produits'!$A$3:$H$10000,8,FALSE),"0")</f>
        <v>0</v>
      </c>
      <c r="N3853" s="8"/>
      <c r="O3853" s="33" t="str">
        <f>IFERROR(VLOOKUP($M3853,'Informations sur les produits'!$A$3:$H$10000,8,FALSE),"0")</f>
        <v>0</v>
      </c>
      <c r="P3853" s="33">
        <f t="shared" si="240"/>
        <v>0</v>
      </c>
      <c r="Q3853" s="31" t="str">
        <f t="shared" si="241"/>
        <v/>
      </c>
      <c r="R3853" s="32" t="str">
        <f>IFERROR(VLOOKUP($D3853,'Informations sur les produits'!$A$3:$B$15000,2,FALSE),"")</f>
        <v/>
      </c>
      <c r="V3853">
        <f t="shared" si="242"/>
        <v>0</v>
      </c>
      <c r="W3853">
        <f t="shared" si="243"/>
        <v>0</v>
      </c>
    </row>
    <row r="3854" spans="5:23" x14ac:dyDescent="0.25">
      <c r="E3854" s="4"/>
      <c r="F3854" s="4"/>
      <c r="G3854" s="33" t="str">
        <f>IFERROR(VLOOKUP($D3854,'Informations sur les produits'!$A$3:$H$10000,8,FALSE),"0")</f>
        <v>0</v>
      </c>
      <c r="K3854" s="4"/>
      <c r="L3854" s="33" t="str">
        <f>IFERROR(VLOOKUP($J3854,'Informations sur les produits'!$A$3:$H$10000,8,FALSE),"0")</f>
        <v>0</v>
      </c>
      <c r="N3854" s="8"/>
      <c r="O3854" s="33" t="str">
        <f>IFERROR(VLOOKUP($M3854,'Informations sur les produits'!$A$3:$H$10000,8,FALSE),"0")</f>
        <v>0</v>
      </c>
      <c r="P3854" s="33">
        <f t="shared" si="240"/>
        <v>0</v>
      </c>
      <c r="Q3854" s="31" t="str">
        <f t="shared" si="241"/>
        <v/>
      </c>
      <c r="R3854" s="32" t="str">
        <f>IFERROR(VLOOKUP($D3854,'Informations sur les produits'!$A$3:$B$15000,2,FALSE),"")</f>
        <v/>
      </c>
      <c r="V3854">
        <f t="shared" si="242"/>
        <v>0</v>
      </c>
      <c r="W3854">
        <f t="shared" si="243"/>
        <v>0</v>
      </c>
    </row>
    <row r="3855" spans="5:23" x14ac:dyDescent="0.25">
      <c r="E3855" s="4"/>
      <c r="F3855" s="4"/>
      <c r="G3855" s="33" t="str">
        <f>IFERROR(VLOOKUP($D3855,'Informations sur les produits'!$A$3:$H$10000,8,FALSE),"0")</f>
        <v>0</v>
      </c>
      <c r="K3855" s="4"/>
      <c r="L3855" s="33" t="str">
        <f>IFERROR(VLOOKUP($J3855,'Informations sur les produits'!$A$3:$H$10000,8,FALSE),"0")</f>
        <v>0</v>
      </c>
      <c r="N3855" s="8"/>
      <c r="O3855" s="33" t="str">
        <f>IFERROR(VLOOKUP($M3855,'Informations sur les produits'!$A$3:$H$10000,8,FALSE),"0")</f>
        <v>0</v>
      </c>
      <c r="P3855" s="33">
        <f t="shared" si="240"/>
        <v>0</v>
      </c>
      <c r="Q3855" s="31" t="str">
        <f t="shared" si="241"/>
        <v/>
      </c>
      <c r="R3855" s="32" t="str">
        <f>IFERROR(VLOOKUP($D3855,'Informations sur les produits'!$A$3:$B$15000,2,FALSE),"")</f>
        <v/>
      </c>
      <c r="V3855">
        <f t="shared" si="242"/>
        <v>0</v>
      </c>
      <c r="W3855">
        <f t="shared" si="243"/>
        <v>0</v>
      </c>
    </row>
    <row r="3856" spans="5:23" x14ac:dyDescent="0.25">
      <c r="E3856" s="4"/>
      <c r="F3856" s="4"/>
      <c r="G3856" s="33" t="str">
        <f>IFERROR(VLOOKUP($D3856,'Informations sur les produits'!$A$3:$H$10000,8,FALSE),"0")</f>
        <v>0</v>
      </c>
      <c r="K3856" s="4"/>
      <c r="L3856" s="33" t="str">
        <f>IFERROR(VLOOKUP($J3856,'Informations sur les produits'!$A$3:$H$10000,8,FALSE),"0")</f>
        <v>0</v>
      </c>
      <c r="N3856" s="8"/>
      <c r="O3856" s="33" t="str">
        <f>IFERROR(VLOOKUP($M3856,'Informations sur les produits'!$A$3:$H$10000,8,FALSE),"0")</f>
        <v>0</v>
      </c>
      <c r="P3856" s="33">
        <f t="shared" si="240"/>
        <v>0</v>
      </c>
      <c r="Q3856" s="31" t="str">
        <f t="shared" si="241"/>
        <v/>
      </c>
      <c r="R3856" s="32" t="str">
        <f>IFERROR(VLOOKUP($D3856,'Informations sur les produits'!$A$3:$B$15000,2,FALSE),"")</f>
        <v/>
      </c>
      <c r="V3856">
        <f t="shared" si="242"/>
        <v>0</v>
      </c>
      <c r="W3856">
        <f t="shared" si="243"/>
        <v>0</v>
      </c>
    </row>
    <row r="3857" spans="5:23" x14ac:dyDescent="0.25">
      <c r="E3857" s="4"/>
      <c r="F3857" s="4"/>
      <c r="G3857" s="33" t="str">
        <f>IFERROR(VLOOKUP($D3857,'Informations sur les produits'!$A$3:$H$10000,8,FALSE),"0")</f>
        <v>0</v>
      </c>
      <c r="K3857" s="4"/>
      <c r="L3857" s="33" t="str">
        <f>IFERROR(VLOOKUP($J3857,'Informations sur les produits'!$A$3:$H$10000,8,FALSE),"0")</f>
        <v>0</v>
      </c>
      <c r="N3857" s="8"/>
      <c r="O3857" s="33" t="str">
        <f>IFERROR(VLOOKUP($M3857,'Informations sur les produits'!$A$3:$H$10000,8,FALSE),"0")</f>
        <v>0</v>
      </c>
      <c r="P3857" s="33">
        <f t="shared" si="240"/>
        <v>0</v>
      </c>
      <c r="Q3857" s="31" t="str">
        <f t="shared" si="241"/>
        <v/>
      </c>
      <c r="R3857" s="32" t="str">
        <f>IFERROR(VLOOKUP($D3857,'Informations sur les produits'!$A$3:$B$15000,2,FALSE),"")</f>
        <v/>
      </c>
      <c r="V3857">
        <f t="shared" si="242"/>
        <v>0</v>
      </c>
      <c r="W3857">
        <f t="shared" si="243"/>
        <v>0</v>
      </c>
    </row>
    <row r="3858" spans="5:23" x14ac:dyDescent="0.25">
      <c r="E3858" s="4"/>
      <c r="F3858" s="4"/>
      <c r="G3858" s="33" t="str">
        <f>IFERROR(VLOOKUP($D3858,'Informations sur les produits'!$A$3:$H$10000,8,FALSE),"0")</f>
        <v>0</v>
      </c>
      <c r="K3858" s="4"/>
      <c r="L3858" s="33" t="str">
        <f>IFERROR(VLOOKUP($J3858,'Informations sur les produits'!$A$3:$H$10000,8,FALSE),"0")</f>
        <v>0</v>
      </c>
      <c r="N3858" s="8"/>
      <c r="O3858" s="33" t="str">
        <f>IFERROR(VLOOKUP($M3858,'Informations sur les produits'!$A$3:$H$10000,8,FALSE),"0")</f>
        <v>0</v>
      </c>
      <c r="P3858" s="33">
        <f t="shared" si="240"/>
        <v>0</v>
      </c>
      <c r="Q3858" s="31" t="str">
        <f t="shared" si="241"/>
        <v/>
      </c>
      <c r="R3858" s="32" t="str">
        <f>IFERROR(VLOOKUP($D3858,'Informations sur les produits'!$A$3:$B$15000,2,FALSE),"")</f>
        <v/>
      </c>
      <c r="V3858">
        <f t="shared" si="242"/>
        <v>0</v>
      </c>
      <c r="W3858">
        <f t="shared" si="243"/>
        <v>0</v>
      </c>
    </row>
    <row r="3859" spans="5:23" x14ac:dyDescent="0.25">
      <c r="E3859" s="4"/>
      <c r="F3859" s="4"/>
      <c r="G3859" s="33" t="str">
        <f>IFERROR(VLOOKUP($D3859,'Informations sur les produits'!$A$3:$H$10000,8,FALSE),"0")</f>
        <v>0</v>
      </c>
      <c r="K3859" s="4"/>
      <c r="L3859" s="33" t="str">
        <f>IFERROR(VLOOKUP($J3859,'Informations sur les produits'!$A$3:$H$10000,8,FALSE),"0")</f>
        <v>0</v>
      </c>
      <c r="N3859" s="8"/>
      <c r="O3859" s="33" t="str">
        <f>IFERROR(VLOOKUP($M3859,'Informations sur les produits'!$A$3:$H$10000,8,FALSE),"0")</f>
        <v>0</v>
      </c>
      <c r="P3859" s="33">
        <f t="shared" si="240"/>
        <v>0</v>
      </c>
      <c r="Q3859" s="31" t="str">
        <f t="shared" si="241"/>
        <v/>
      </c>
      <c r="R3859" s="32" t="str">
        <f>IFERROR(VLOOKUP($D3859,'Informations sur les produits'!$A$3:$B$15000,2,FALSE),"")</f>
        <v/>
      </c>
      <c r="V3859">
        <f t="shared" si="242"/>
        <v>0</v>
      </c>
      <c r="W3859">
        <f t="shared" si="243"/>
        <v>0</v>
      </c>
    </row>
    <row r="3860" spans="5:23" x14ac:dyDescent="0.25">
      <c r="E3860" s="4"/>
      <c r="F3860" s="4"/>
      <c r="G3860" s="33" t="str">
        <f>IFERROR(VLOOKUP($D3860,'Informations sur les produits'!$A$3:$H$10000,8,FALSE),"0")</f>
        <v>0</v>
      </c>
      <c r="K3860" s="4"/>
      <c r="L3860" s="33" t="str">
        <f>IFERROR(VLOOKUP($J3860,'Informations sur les produits'!$A$3:$H$10000,8,FALSE),"0")</f>
        <v>0</v>
      </c>
      <c r="N3860" s="8"/>
      <c r="O3860" s="33" t="str">
        <f>IFERROR(VLOOKUP($M3860,'Informations sur les produits'!$A$3:$H$10000,8,FALSE),"0")</f>
        <v>0</v>
      </c>
      <c r="P3860" s="33">
        <f t="shared" si="240"/>
        <v>0</v>
      </c>
      <c r="Q3860" s="31" t="str">
        <f t="shared" si="241"/>
        <v/>
      </c>
      <c r="R3860" s="32" t="str">
        <f>IFERROR(VLOOKUP($D3860,'Informations sur les produits'!$A$3:$B$15000,2,FALSE),"")</f>
        <v/>
      </c>
      <c r="V3860">
        <f t="shared" si="242"/>
        <v>0</v>
      </c>
      <c r="W3860">
        <f t="shared" si="243"/>
        <v>0</v>
      </c>
    </row>
    <row r="3861" spans="5:23" x14ac:dyDescent="0.25">
      <c r="E3861" s="4"/>
      <c r="F3861" s="4"/>
      <c r="G3861" s="33" t="str">
        <f>IFERROR(VLOOKUP($D3861,'Informations sur les produits'!$A$3:$H$10000,8,FALSE),"0")</f>
        <v>0</v>
      </c>
      <c r="K3861" s="4"/>
      <c r="L3861" s="33" t="str">
        <f>IFERROR(VLOOKUP($J3861,'Informations sur les produits'!$A$3:$H$10000,8,FALSE),"0")</f>
        <v>0</v>
      </c>
      <c r="N3861" s="8"/>
      <c r="O3861" s="33" t="str">
        <f>IFERROR(VLOOKUP($M3861,'Informations sur les produits'!$A$3:$H$10000,8,FALSE),"0")</f>
        <v>0</v>
      </c>
      <c r="P3861" s="33">
        <f t="shared" si="240"/>
        <v>0</v>
      </c>
      <c r="Q3861" s="31" t="str">
        <f t="shared" si="241"/>
        <v/>
      </c>
      <c r="R3861" s="32" t="str">
        <f>IFERROR(VLOOKUP($D3861,'Informations sur les produits'!$A$3:$B$15000,2,FALSE),"")</f>
        <v/>
      </c>
      <c r="V3861">
        <f t="shared" si="242"/>
        <v>0</v>
      </c>
      <c r="W3861">
        <f t="shared" si="243"/>
        <v>0</v>
      </c>
    </row>
    <row r="3862" spans="5:23" x14ac:dyDescent="0.25">
      <c r="E3862" s="4"/>
      <c r="F3862" s="4"/>
      <c r="G3862" s="33" t="str">
        <f>IFERROR(VLOOKUP($D3862,'Informations sur les produits'!$A$3:$H$10000,8,FALSE),"0")</f>
        <v>0</v>
      </c>
      <c r="K3862" s="4"/>
      <c r="L3862" s="33" t="str">
        <f>IFERROR(VLOOKUP($J3862,'Informations sur les produits'!$A$3:$H$10000,8,FALSE),"0")</f>
        <v>0</v>
      </c>
      <c r="N3862" s="8"/>
      <c r="O3862" s="33" t="str">
        <f>IFERROR(VLOOKUP($M3862,'Informations sur les produits'!$A$3:$H$10000,8,FALSE),"0")</f>
        <v>0</v>
      </c>
      <c r="P3862" s="33">
        <f t="shared" si="240"/>
        <v>0</v>
      </c>
      <c r="Q3862" s="31" t="str">
        <f t="shared" si="241"/>
        <v/>
      </c>
      <c r="R3862" s="32" t="str">
        <f>IFERROR(VLOOKUP($D3862,'Informations sur les produits'!$A$3:$B$15000,2,FALSE),"")</f>
        <v/>
      </c>
      <c r="V3862">
        <f t="shared" si="242"/>
        <v>0</v>
      </c>
      <c r="W3862">
        <f t="shared" si="243"/>
        <v>0</v>
      </c>
    </row>
    <row r="3863" spans="5:23" x14ac:dyDescent="0.25">
      <c r="E3863" s="4"/>
      <c r="F3863" s="4"/>
      <c r="G3863" s="33" t="str">
        <f>IFERROR(VLOOKUP($D3863,'Informations sur les produits'!$A$3:$H$10000,8,FALSE),"0")</f>
        <v>0</v>
      </c>
      <c r="K3863" s="4"/>
      <c r="L3863" s="33" t="str">
        <f>IFERROR(VLOOKUP($J3863,'Informations sur les produits'!$A$3:$H$10000,8,FALSE),"0")</f>
        <v>0</v>
      </c>
      <c r="N3863" s="8"/>
      <c r="O3863" s="33" t="str">
        <f>IFERROR(VLOOKUP($M3863,'Informations sur les produits'!$A$3:$H$10000,8,FALSE),"0")</f>
        <v>0</v>
      </c>
      <c r="P3863" s="33">
        <f t="shared" si="240"/>
        <v>0</v>
      </c>
      <c r="Q3863" s="31" t="str">
        <f t="shared" si="241"/>
        <v/>
      </c>
      <c r="R3863" s="32" t="str">
        <f>IFERROR(VLOOKUP($D3863,'Informations sur les produits'!$A$3:$B$15000,2,FALSE),"")</f>
        <v/>
      </c>
      <c r="V3863">
        <f t="shared" si="242"/>
        <v>0</v>
      </c>
      <c r="W3863">
        <f t="shared" si="243"/>
        <v>0</v>
      </c>
    </row>
    <row r="3864" spans="5:23" x14ac:dyDescent="0.25">
      <c r="E3864" s="4"/>
      <c r="F3864" s="4"/>
      <c r="G3864" s="33" t="str">
        <f>IFERROR(VLOOKUP($D3864,'Informations sur les produits'!$A$3:$H$10000,8,FALSE),"0")</f>
        <v>0</v>
      </c>
      <c r="K3864" s="4"/>
      <c r="L3864" s="33" t="str">
        <f>IFERROR(VLOOKUP($J3864,'Informations sur les produits'!$A$3:$H$10000,8,FALSE),"0")</f>
        <v>0</v>
      </c>
      <c r="N3864" s="8"/>
      <c r="O3864" s="33" t="str">
        <f>IFERROR(VLOOKUP($M3864,'Informations sur les produits'!$A$3:$H$10000,8,FALSE),"0")</f>
        <v>0</v>
      </c>
      <c r="P3864" s="33">
        <f t="shared" si="240"/>
        <v>0</v>
      </c>
      <c r="Q3864" s="31" t="str">
        <f t="shared" si="241"/>
        <v/>
      </c>
      <c r="R3864" s="32" t="str">
        <f>IFERROR(VLOOKUP($D3864,'Informations sur les produits'!$A$3:$B$15000,2,FALSE),"")</f>
        <v/>
      </c>
      <c r="V3864">
        <f t="shared" si="242"/>
        <v>0</v>
      </c>
      <c r="W3864">
        <f t="shared" si="243"/>
        <v>0</v>
      </c>
    </row>
    <row r="3865" spans="5:23" x14ac:dyDescent="0.25">
      <c r="E3865" s="4"/>
      <c r="F3865" s="4"/>
      <c r="G3865" s="33" t="str">
        <f>IFERROR(VLOOKUP($D3865,'Informations sur les produits'!$A$3:$H$10000,8,FALSE),"0")</f>
        <v>0</v>
      </c>
      <c r="K3865" s="4"/>
      <c r="L3865" s="33" t="str">
        <f>IFERROR(VLOOKUP($J3865,'Informations sur les produits'!$A$3:$H$10000,8,FALSE),"0")</f>
        <v>0</v>
      </c>
      <c r="N3865" s="8"/>
      <c r="O3865" s="33" t="str">
        <f>IFERROR(VLOOKUP($M3865,'Informations sur les produits'!$A$3:$H$10000,8,FALSE),"0")</f>
        <v>0</v>
      </c>
      <c r="P3865" s="33">
        <f t="shared" si="240"/>
        <v>0</v>
      </c>
      <c r="Q3865" s="31" t="str">
        <f t="shared" si="241"/>
        <v/>
      </c>
      <c r="R3865" s="32" t="str">
        <f>IFERROR(VLOOKUP($D3865,'Informations sur les produits'!$A$3:$B$15000,2,FALSE),"")</f>
        <v/>
      </c>
      <c r="V3865">
        <f t="shared" si="242"/>
        <v>0</v>
      </c>
      <c r="W3865">
        <f t="shared" si="243"/>
        <v>0</v>
      </c>
    </row>
    <row r="3866" spans="5:23" x14ac:dyDescent="0.25">
      <c r="E3866" s="4"/>
      <c r="F3866" s="4"/>
      <c r="G3866" s="33" t="str">
        <f>IFERROR(VLOOKUP($D3866,'Informations sur les produits'!$A$3:$H$10000,8,FALSE),"0")</f>
        <v>0</v>
      </c>
      <c r="K3866" s="4"/>
      <c r="L3866" s="33" t="str">
        <f>IFERROR(VLOOKUP($J3866,'Informations sur les produits'!$A$3:$H$10000,8,FALSE),"0")</f>
        <v>0</v>
      </c>
      <c r="N3866" s="8"/>
      <c r="O3866" s="33" t="str">
        <f>IFERROR(VLOOKUP($M3866,'Informations sur les produits'!$A$3:$H$10000,8,FALSE),"0")</f>
        <v>0</v>
      </c>
      <c r="P3866" s="33">
        <f t="shared" si="240"/>
        <v>0</v>
      </c>
      <c r="Q3866" s="31" t="str">
        <f t="shared" si="241"/>
        <v/>
      </c>
      <c r="R3866" s="32" t="str">
        <f>IFERROR(VLOOKUP($D3866,'Informations sur les produits'!$A$3:$B$15000,2,FALSE),"")</f>
        <v/>
      </c>
      <c r="V3866">
        <f t="shared" si="242"/>
        <v>0</v>
      </c>
      <c r="W3866">
        <f t="shared" si="243"/>
        <v>0</v>
      </c>
    </row>
    <row r="3867" spans="5:23" x14ac:dyDescent="0.25">
      <c r="E3867" s="4"/>
      <c r="F3867" s="4"/>
      <c r="G3867" s="33" t="str">
        <f>IFERROR(VLOOKUP($D3867,'Informations sur les produits'!$A$3:$H$10000,8,FALSE),"0")</f>
        <v>0</v>
      </c>
      <c r="K3867" s="4"/>
      <c r="L3867" s="33" t="str">
        <f>IFERROR(VLOOKUP($J3867,'Informations sur les produits'!$A$3:$H$10000,8,FALSE),"0")</f>
        <v>0</v>
      </c>
      <c r="N3867" s="8"/>
      <c r="O3867" s="33" t="str">
        <f>IFERROR(VLOOKUP($M3867,'Informations sur les produits'!$A$3:$H$10000,8,FALSE),"0")</f>
        <v>0</v>
      </c>
      <c r="P3867" s="33">
        <f t="shared" si="240"/>
        <v>0</v>
      </c>
      <c r="Q3867" s="31" t="str">
        <f t="shared" si="241"/>
        <v/>
      </c>
      <c r="R3867" s="32" t="str">
        <f>IFERROR(VLOOKUP($D3867,'Informations sur les produits'!$A$3:$B$15000,2,FALSE),"")</f>
        <v/>
      </c>
      <c r="V3867">
        <f t="shared" si="242"/>
        <v>0</v>
      </c>
      <c r="W3867">
        <f t="shared" si="243"/>
        <v>0</v>
      </c>
    </row>
    <row r="3868" spans="5:23" x14ac:dyDescent="0.25">
      <c r="E3868" s="4"/>
      <c r="F3868" s="4"/>
      <c r="G3868" s="33" t="str">
        <f>IFERROR(VLOOKUP($D3868,'Informations sur les produits'!$A$3:$H$10000,8,FALSE),"0")</f>
        <v>0</v>
      </c>
      <c r="K3868" s="4"/>
      <c r="L3868" s="33" t="str">
        <f>IFERROR(VLOOKUP($J3868,'Informations sur les produits'!$A$3:$H$10000,8,FALSE),"0")</f>
        <v>0</v>
      </c>
      <c r="N3868" s="8"/>
      <c r="O3868" s="33" t="str">
        <f>IFERROR(VLOOKUP($M3868,'Informations sur les produits'!$A$3:$H$10000,8,FALSE),"0")</f>
        <v>0</v>
      </c>
      <c r="P3868" s="33">
        <f t="shared" si="240"/>
        <v>0</v>
      </c>
      <c r="Q3868" s="31" t="str">
        <f t="shared" si="241"/>
        <v/>
      </c>
      <c r="R3868" s="32" t="str">
        <f>IFERROR(VLOOKUP($D3868,'Informations sur les produits'!$A$3:$B$15000,2,FALSE),"")</f>
        <v/>
      </c>
      <c r="V3868">
        <f t="shared" si="242"/>
        <v>0</v>
      </c>
      <c r="W3868">
        <f t="shared" si="243"/>
        <v>0</v>
      </c>
    </row>
    <row r="3869" spans="5:23" x14ac:dyDescent="0.25">
      <c r="E3869" s="4"/>
      <c r="F3869" s="4"/>
      <c r="G3869" s="33" t="str">
        <f>IFERROR(VLOOKUP($D3869,'Informations sur les produits'!$A$3:$H$10000,8,FALSE),"0")</f>
        <v>0</v>
      </c>
      <c r="K3869" s="4"/>
      <c r="L3869" s="33" t="str">
        <f>IFERROR(VLOOKUP($J3869,'Informations sur les produits'!$A$3:$H$10000,8,FALSE),"0")</f>
        <v>0</v>
      </c>
      <c r="N3869" s="8"/>
      <c r="O3869" s="33" t="str">
        <f>IFERROR(VLOOKUP($M3869,'Informations sur les produits'!$A$3:$H$10000,8,FALSE),"0")</f>
        <v>0</v>
      </c>
      <c r="P3869" s="33">
        <f t="shared" si="240"/>
        <v>0</v>
      </c>
      <c r="Q3869" s="31" t="str">
        <f t="shared" si="241"/>
        <v/>
      </c>
      <c r="R3869" s="32" t="str">
        <f>IFERROR(VLOOKUP($D3869,'Informations sur les produits'!$A$3:$B$15000,2,FALSE),"")</f>
        <v/>
      </c>
      <c r="V3869">
        <f t="shared" si="242"/>
        <v>0</v>
      </c>
      <c r="W3869">
        <f t="shared" si="243"/>
        <v>0</v>
      </c>
    </row>
    <row r="3870" spans="5:23" x14ac:dyDescent="0.25">
      <c r="E3870" s="4"/>
      <c r="F3870" s="4"/>
      <c r="G3870" s="33" t="str">
        <f>IFERROR(VLOOKUP($D3870,'Informations sur les produits'!$A$3:$H$10000,8,FALSE),"0")</f>
        <v>0</v>
      </c>
      <c r="K3870" s="4"/>
      <c r="L3870" s="33" t="str">
        <f>IFERROR(VLOOKUP($J3870,'Informations sur les produits'!$A$3:$H$10000,8,FALSE),"0")</f>
        <v>0</v>
      </c>
      <c r="N3870" s="8"/>
      <c r="O3870" s="33" t="str">
        <f>IFERROR(VLOOKUP($M3870,'Informations sur les produits'!$A$3:$H$10000,8,FALSE),"0")</f>
        <v>0</v>
      </c>
      <c r="P3870" s="33">
        <f t="shared" si="240"/>
        <v>0</v>
      </c>
      <c r="Q3870" s="31" t="str">
        <f t="shared" si="241"/>
        <v/>
      </c>
      <c r="R3870" s="32" t="str">
        <f>IFERROR(VLOOKUP($D3870,'Informations sur les produits'!$A$3:$B$15000,2,FALSE),"")</f>
        <v/>
      </c>
      <c r="V3870">
        <f t="shared" si="242"/>
        <v>0</v>
      </c>
      <c r="W3870">
        <f t="shared" si="243"/>
        <v>0</v>
      </c>
    </row>
    <row r="3871" spans="5:23" x14ac:dyDescent="0.25">
      <c r="E3871" s="4"/>
      <c r="F3871" s="4"/>
      <c r="G3871" s="33" t="str">
        <f>IFERROR(VLOOKUP($D3871,'Informations sur les produits'!$A$3:$H$10000,8,FALSE),"0")</f>
        <v>0</v>
      </c>
      <c r="K3871" s="4"/>
      <c r="L3871" s="33" t="str">
        <f>IFERROR(VLOOKUP($J3871,'Informations sur les produits'!$A$3:$H$10000,8,FALSE),"0")</f>
        <v>0</v>
      </c>
      <c r="N3871" s="8"/>
      <c r="O3871" s="33" t="str">
        <f>IFERROR(VLOOKUP($M3871,'Informations sur les produits'!$A$3:$H$10000,8,FALSE),"0")</f>
        <v>0</v>
      </c>
      <c r="P3871" s="33">
        <f t="shared" si="240"/>
        <v>0</v>
      </c>
      <c r="Q3871" s="31" t="str">
        <f t="shared" si="241"/>
        <v/>
      </c>
      <c r="R3871" s="32" t="str">
        <f>IFERROR(VLOOKUP($D3871,'Informations sur les produits'!$A$3:$B$15000,2,FALSE),"")</f>
        <v/>
      </c>
      <c r="V3871">
        <f t="shared" si="242"/>
        <v>0</v>
      </c>
      <c r="W3871">
        <f t="shared" si="243"/>
        <v>0</v>
      </c>
    </row>
    <row r="3872" spans="5:23" x14ac:dyDescent="0.25">
      <c r="E3872" s="4"/>
      <c r="F3872" s="4"/>
      <c r="G3872" s="33" t="str">
        <f>IFERROR(VLOOKUP($D3872,'Informations sur les produits'!$A$3:$H$10000,8,FALSE),"0")</f>
        <v>0</v>
      </c>
      <c r="K3872" s="4"/>
      <c r="L3872" s="33" t="str">
        <f>IFERROR(VLOOKUP($J3872,'Informations sur les produits'!$A$3:$H$10000,8,FALSE),"0")</f>
        <v>0</v>
      </c>
      <c r="N3872" s="8"/>
      <c r="O3872" s="33" t="str">
        <f>IFERROR(VLOOKUP($M3872,'Informations sur les produits'!$A$3:$H$10000,8,FALSE),"0")</f>
        <v>0</v>
      </c>
      <c r="P3872" s="33">
        <f t="shared" si="240"/>
        <v>0</v>
      </c>
      <c r="Q3872" s="31" t="str">
        <f t="shared" si="241"/>
        <v/>
      </c>
      <c r="R3872" s="32" t="str">
        <f>IFERROR(VLOOKUP($D3872,'Informations sur les produits'!$A$3:$B$15000,2,FALSE),"")</f>
        <v/>
      </c>
      <c r="V3872">
        <f t="shared" si="242"/>
        <v>0</v>
      </c>
      <c r="W3872">
        <f t="shared" si="243"/>
        <v>0</v>
      </c>
    </row>
    <row r="3873" spans="5:23" x14ac:dyDescent="0.25">
      <c r="E3873" s="4"/>
      <c r="F3873" s="4"/>
      <c r="G3873" s="33" t="str">
        <f>IFERROR(VLOOKUP($D3873,'Informations sur les produits'!$A$3:$H$10000,8,FALSE),"0")</f>
        <v>0</v>
      </c>
      <c r="K3873" s="4"/>
      <c r="L3873" s="33" t="str">
        <f>IFERROR(VLOOKUP($J3873,'Informations sur les produits'!$A$3:$H$10000,8,FALSE),"0")</f>
        <v>0</v>
      </c>
      <c r="N3873" s="8"/>
      <c r="O3873" s="33" t="str">
        <f>IFERROR(VLOOKUP($M3873,'Informations sur les produits'!$A$3:$H$10000,8,FALSE),"0")</f>
        <v>0</v>
      </c>
      <c r="P3873" s="33">
        <f t="shared" si="240"/>
        <v>0</v>
      </c>
      <c r="Q3873" s="31" t="str">
        <f t="shared" si="241"/>
        <v/>
      </c>
      <c r="R3873" s="32" t="str">
        <f>IFERROR(VLOOKUP($D3873,'Informations sur les produits'!$A$3:$B$15000,2,FALSE),"")</f>
        <v/>
      </c>
      <c r="V3873">
        <f t="shared" si="242"/>
        <v>0</v>
      </c>
      <c r="W3873">
        <f t="shared" si="243"/>
        <v>0</v>
      </c>
    </row>
    <row r="3874" spans="5:23" x14ac:dyDescent="0.25">
      <c r="E3874" s="4"/>
      <c r="F3874" s="4"/>
      <c r="G3874" s="33" t="str">
        <f>IFERROR(VLOOKUP($D3874,'Informations sur les produits'!$A$3:$H$10000,8,FALSE),"0")</f>
        <v>0</v>
      </c>
      <c r="K3874" s="4"/>
      <c r="L3874" s="33" t="str">
        <f>IFERROR(VLOOKUP($J3874,'Informations sur les produits'!$A$3:$H$10000,8,FALSE),"0")</f>
        <v>0</v>
      </c>
      <c r="N3874" s="8"/>
      <c r="O3874" s="33" t="str">
        <f>IFERROR(VLOOKUP($M3874,'Informations sur les produits'!$A$3:$H$10000,8,FALSE),"0")</f>
        <v>0</v>
      </c>
      <c r="P3874" s="33">
        <f t="shared" si="240"/>
        <v>0</v>
      </c>
      <c r="Q3874" s="31" t="str">
        <f t="shared" si="241"/>
        <v/>
      </c>
      <c r="R3874" s="32" t="str">
        <f>IFERROR(VLOOKUP($D3874,'Informations sur les produits'!$A$3:$B$15000,2,FALSE),"")</f>
        <v/>
      </c>
      <c r="V3874">
        <f t="shared" si="242"/>
        <v>0</v>
      </c>
      <c r="W3874">
        <f t="shared" si="243"/>
        <v>0</v>
      </c>
    </row>
    <row r="3875" spans="5:23" x14ac:dyDescent="0.25">
      <c r="E3875" s="4"/>
      <c r="F3875" s="4"/>
      <c r="G3875" s="33" t="str">
        <f>IFERROR(VLOOKUP($D3875,'Informations sur les produits'!$A$3:$H$10000,8,FALSE),"0")</f>
        <v>0</v>
      </c>
      <c r="K3875" s="4"/>
      <c r="L3875" s="33" t="str">
        <f>IFERROR(VLOOKUP($J3875,'Informations sur les produits'!$A$3:$H$10000,8,FALSE),"0")</f>
        <v>0</v>
      </c>
      <c r="N3875" s="8"/>
      <c r="O3875" s="33" t="str">
        <f>IFERROR(VLOOKUP($M3875,'Informations sur les produits'!$A$3:$H$10000,8,FALSE),"0")</f>
        <v>0</v>
      </c>
      <c r="P3875" s="33">
        <f t="shared" si="240"/>
        <v>0</v>
      </c>
      <c r="Q3875" s="31" t="str">
        <f t="shared" si="241"/>
        <v/>
      </c>
      <c r="R3875" s="32" t="str">
        <f>IFERROR(VLOOKUP($D3875,'Informations sur les produits'!$A$3:$B$15000,2,FALSE),"")</f>
        <v/>
      </c>
      <c r="V3875">
        <f t="shared" si="242"/>
        <v>0</v>
      </c>
      <c r="W3875">
        <f t="shared" si="243"/>
        <v>0</v>
      </c>
    </row>
    <row r="3876" spans="5:23" x14ac:dyDescent="0.25">
      <c r="E3876" s="4"/>
      <c r="F3876" s="4"/>
      <c r="G3876" s="33" t="str">
        <f>IFERROR(VLOOKUP($D3876,'Informations sur les produits'!$A$3:$H$10000,8,FALSE),"0")</f>
        <v>0</v>
      </c>
      <c r="K3876" s="4"/>
      <c r="L3876" s="33" t="str">
        <f>IFERROR(VLOOKUP($J3876,'Informations sur les produits'!$A$3:$H$10000,8,FALSE),"0")</f>
        <v>0</v>
      </c>
      <c r="N3876" s="8"/>
      <c r="O3876" s="33" t="str">
        <f>IFERROR(VLOOKUP($M3876,'Informations sur les produits'!$A$3:$H$10000,8,FALSE),"0")</f>
        <v>0</v>
      </c>
      <c r="P3876" s="33">
        <f t="shared" si="240"/>
        <v>0</v>
      </c>
      <c r="Q3876" s="31" t="str">
        <f t="shared" si="241"/>
        <v/>
      </c>
      <c r="R3876" s="32" t="str">
        <f>IFERROR(VLOOKUP($D3876,'Informations sur les produits'!$A$3:$B$15000,2,FALSE),"")</f>
        <v/>
      </c>
      <c r="V3876">
        <f t="shared" si="242"/>
        <v>0</v>
      </c>
      <c r="W3876">
        <f t="shared" si="243"/>
        <v>0</v>
      </c>
    </row>
    <row r="3877" spans="5:23" x14ac:dyDescent="0.25">
      <c r="E3877" s="4"/>
      <c r="F3877" s="4"/>
      <c r="G3877" s="33" t="str">
        <f>IFERROR(VLOOKUP($D3877,'Informations sur les produits'!$A$3:$H$10000,8,FALSE),"0")</f>
        <v>0</v>
      </c>
      <c r="K3877" s="4"/>
      <c r="L3877" s="33" t="str">
        <f>IFERROR(VLOOKUP($J3877,'Informations sur les produits'!$A$3:$H$10000,8,FALSE),"0")</f>
        <v>0</v>
      </c>
      <c r="N3877" s="8"/>
      <c r="O3877" s="33" t="str">
        <f>IFERROR(VLOOKUP($M3877,'Informations sur les produits'!$A$3:$H$10000,8,FALSE),"0")</f>
        <v>0</v>
      </c>
      <c r="P3877" s="33">
        <f t="shared" si="240"/>
        <v>0</v>
      </c>
      <c r="Q3877" s="31" t="str">
        <f t="shared" si="241"/>
        <v/>
      </c>
      <c r="R3877" s="32" t="str">
        <f>IFERROR(VLOOKUP($D3877,'Informations sur les produits'!$A$3:$B$15000,2,FALSE),"")</f>
        <v/>
      </c>
      <c r="V3877">
        <f t="shared" si="242"/>
        <v>0</v>
      </c>
      <c r="W3877">
        <f t="shared" si="243"/>
        <v>0</v>
      </c>
    </row>
    <row r="3878" spans="5:23" x14ac:dyDescent="0.25">
      <c r="E3878" s="4"/>
      <c r="F3878" s="4"/>
      <c r="G3878" s="33" t="str">
        <f>IFERROR(VLOOKUP($D3878,'Informations sur les produits'!$A$3:$H$10000,8,FALSE),"0")</f>
        <v>0</v>
      </c>
      <c r="K3878" s="4"/>
      <c r="L3878" s="33" t="str">
        <f>IFERROR(VLOOKUP($J3878,'Informations sur les produits'!$A$3:$H$10000,8,FALSE),"0")</f>
        <v>0</v>
      </c>
      <c r="N3878" s="8"/>
      <c r="O3878" s="33" t="str">
        <f>IFERROR(VLOOKUP($M3878,'Informations sur les produits'!$A$3:$H$10000,8,FALSE),"0")</f>
        <v>0</v>
      </c>
      <c r="P3878" s="33">
        <f t="shared" si="240"/>
        <v>0</v>
      </c>
      <c r="Q3878" s="31" t="str">
        <f t="shared" si="241"/>
        <v/>
      </c>
      <c r="R3878" s="32" t="str">
        <f>IFERROR(VLOOKUP($D3878,'Informations sur les produits'!$A$3:$B$15000,2,FALSE),"")</f>
        <v/>
      </c>
      <c r="V3878">
        <f t="shared" si="242"/>
        <v>0</v>
      </c>
      <c r="W3878">
        <f t="shared" si="243"/>
        <v>0</v>
      </c>
    </row>
    <row r="3879" spans="5:23" x14ac:dyDescent="0.25">
      <c r="E3879" s="4"/>
      <c r="F3879" s="4"/>
      <c r="G3879" s="33" t="str">
        <f>IFERROR(VLOOKUP($D3879,'Informations sur les produits'!$A$3:$H$10000,8,FALSE),"0")</f>
        <v>0</v>
      </c>
      <c r="K3879" s="4"/>
      <c r="L3879" s="33" t="str">
        <f>IFERROR(VLOOKUP($J3879,'Informations sur les produits'!$A$3:$H$10000,8,FALSE),"0")</f>
        <v>0</v>
      </c>
      <c r="N3879" s="8"/>
      <c r="O3879" s="33" t="str">
        <f>IFERROR(VLOOKUP($M3879,'Informations sur les produits'!$A$3:$H$10000,8,FALSE),"0")</f>
        <v>0</v>
      </c>
      <c r="P3879" s="33">
        <f t="shared" si="240"/>
        <v>0</v>
      </c>
      <c r="Q3879" s="31" t="str">
        <f t="shared" si="241"/>
        <v/>
      </c>
      <c r="R3879" s="32" t="str">
        <f>IFERROR(VLOOKUP($D3879,'Informations sur les produits'!$A$3:$B$15000,2,FALSE),"")</f>
        <v/>
      </c>
      <c r="V3879">
        <f t="shared" si="242"/>
        <v>0</v>
      </c>
      <c r="W3879">
        <f t="shared" si="243"/>
        <v>0</v>
      </c>
    </row>
    <row r="3880" spans="5:23" x14ac:dyDescent="0.25">
      <c r="E3880" s="4"/>
      <c r="F3880" s="4"/>
      <c r="G3880" s="33" t="str">
        <f>IFERROR(VLOOKUP($D3880,'Informations sur les produits'!$A$3:$H$10000,8,FALSE),"0")</f>
        <v>0</v>
      </c>
      <c r="K3880" s="4"/>
      <c r="L3880" s="33" t="str">
        <f>IFERROR(VLOOKUP($J3880,'Informations sur les produits'!$A$3:$H$10000,8,FALSE),"0")</f>
        <v>0</v>
      </c>
      <c r="N3880" s="8"/>
      <c r="O3880" s="33" t="str">
        <f>IFERROR(VLOOKUP($M3880,'Informations sur les produits'!$A$3:$H$10000,8,FALSE),"0")</f>
        <v>0</v>
      </c>
      <c r="P3880" s="33">
        <f t="shared" si="240"/>
        <v>0</v>
      </c>
      <c r="Q3880" s="31" t="str">
        <f t="shared" si="241"/>
        <v/>
      </c>
      <c r="R3880" s="32" t="str">
        <f>IFERROR(VLOOKUP($D3880,'Informations sur les produits'!$A$3:$B$15000,2,FALSE),"")</f>
        <v/>
      </c>
      <c r="V3880">
        <f t="shared" si="242"/>
        <v>0</v>
      </c>
      <c r="W3880">
        <f t="shared" si="243"/>
        <v>0</v>
      </c>
    </row>
    <row r="3881" spans="5:23" x14ac:dyDescent="0.25">
      <c r="E3881" s="4"/>
      <c r="F3881" s="4"/>
      <c r="G3881" s="33" t="str">
        <f>IFERROR(VLOOKUP($D3881,'Informations sur les produits'!$A$3:$H$10000,8,FALSE),"0")</f>
        <v>0</v>
      </c>
      <c r="K3881" s="4"/>
      <c r="L3881" s="33" t="str">
        <f>IFERROR(VLOOKUP($J3881,'Informations sur les produits'!$A$3:$H$10000,8,FALSE),"0")</f>
        <v>0</v>
      </c>
      <c r="N3881" s="8"/>
      <c r="O3881" s="33" t="str">
        <f>IFERROR(VLOOKUP($M3881,'Informations sur les produits'!$A$3:$H$10000,8,FALSE),"0")</f>
        <v>0</v>
      </c>
      <c r="P3881" s="33">
        <f t="shared" si="240"/>
        <v>0</v>
      </c>
      <c r="Q3881" s="31" t="str">
        <f t="shared" si="241"/>
        <v/>
      </c>
      <c r="R3881" s="32" t="str">
        <f>IFERROR(VLOOKUP($D3881,'Informations sur les produits'!$A$3:$B$15000,2,FALSE),"")</f>
        <v/>
      </c>
      <c r="V3881">
        <f t="shared" si="242"/>
        <v>0</v>
      </c>
      <c r="W3881">
        <f t="shared" si="243"/>
        <v>0</v>
      </c>
    </row>
    <row r="3882" spans="5:23" x14ac:dyDescent="0.25">
      <c r="E3882" s="4"/>
      <c r="F3882" s="4"/>
      <c r="G3882" s="33" t="str">
        <f>IFERROR(VLOOKUP($D3882,'Informations sur les produits'!$A$3:$H$10000,8,FALSE),"0")</f>
        <v>0</v>
      </c>
      <c r="K3882" s="4"/>
      <c r="L3882" s="33" t="str">
        <f>IFERROR(VLOOKUP($J3882,'Informations sur les produits'!$A$3:$H$10000,8,FALSE),"0")</f>
        <v>0</v>
      </c>
      <c r="N3882" s="8"/>
      <c r="O3882" s="33" t="str">
        <f>IFERROR(VLOOKUP($M3882,'Informations sur les produits'!$A$3:$H$10000,8,FALSE),"0")</f>
        <v>0</v>
      </c>
      <c r="P3882" s="33">
        <f t="shared" si="240"/>
        <v>0</v>
      </c>
      <c r="Q3882" s="31" t="str">
        <f t="shared" si="241"/>
        <v/>
      </c>
      <c r="R3882" s="32" t="str">
        <f>IFERROR(VLOOKUP($D3882,'Informations sur les produits'!$A$3:$B$15000,2,FALSE),"")</f>
        <v/>
      </c>
      <c r="V3882">
        <f t="shared" si="242"/>
        <v>0</v>
      </c>
      <c r="W3882">
        <f t="shared" si="243"/>
        <v>0</v>
      </c>
    </row>
    <row r="3883" spans="5:23" x14ac:dyDescent="0.25">
      <c r="E3883" s="4"/>
      <c r="F3883" s="4"/>
      <c r="G3883" s="33" t="str">
        <f>IFERROR(VLOOKUP($D3883,'Informations sur les produits'!$A$3:$H$10000,8,FALSE),"0")</f>
        <v>0</v>
      </c>
      <c r="K3883" s="4"/>
      <c r="L3883" s="33" t="str">
        <f>IFERROR(VLOOKUP($J3883,'Informations sur les produits'!$A$3:$H$10000,8,FALSE),"0")</f>
        <v>0</v>
      </c>
      <c r="N3883" s="8"/>
      <c r="O3883" s="33" t="str">
        <f>IFERROR(VLOOKUP($M3883,'Informations sur les produits'!$A$3:$H$10000,8,FALSE),"0")</f>
        <v>0</v>
      </c>
      <c r="P3883" s="33">
        <f t="shared" si="240"/>
        <v>0</v>
      </c>
      <c r="Q3883" s="31" t="str">
        <f t="shared" si="241"/>
        <v/>
      </c>
      <c r="R3883" s="32" t="str">
        <f>IFERROR(VLOOKUP($D3883,'Informations sur les produits'!$A$3:$B$15000,2,FALSE),"")</f>
        <v/>
      </c>
      <c r="V3883">
        <f t="shared" si="242"/>
        <v>0</v>
      </c>
      <c r="W3883">
        <f t="shared" si="243"/>
        <v>0</v>
      </c>
    </row>
    <row r="3884" spans="5:23" x14ac:dyDescent="0.25">
      <c r="E3884" s="4"/>
      <c r="F3884" s="4"/>
      <c r="G3884" s="33" t="str">
        <f>IFERROR(VLOOKUP($D3884,'Informations sur les produits'!$A$3:$H$10000,8,FALSE),"0")</f>
        <v>0</v>
      </c>
      <c r="K3884" s="4"/>
      <c r="L3884" s="33" t="str">
        <f>IFERROR(VLOOKUP($J3884,'Informations sur les produits'!$A$3:$H$10000,8,FALSE),"0")</f>
        <v>0</v>
      </c>
      <c r="N3884" s="8"/>
      <c r="O3884" s="33" t="str">
        <f>IFERROR(VLOOKUP($M3884,'Informations sur les produits'!$A$3:$H$10000,8,FALSE),"0")</f>
        <v>0</v>
      </c>
      <c r="P3884" s="33">
        <f t="shared" si="240"/>
        <v>0</v>
      </c>
      <c r="Q3884" s="31" t="str">
        <f t="shared" si="241"/>
        <v/>
      </c>
      <c r="R3884" s="32" t="str">
        <f>IFERROR(VLOOKUP($D3884,'Informations sur les produits'!$A$3:$B$15000,2,FALSE),"")</f>
        <v/>
      </c>
      <c r="V3884">
        <f t="shared" si="242"/>
        <v>0</v>
      </c>
      <c r="W3884">
        <f t="shared" si="243"/>
        <v>0</v>
      </c>
    </row>
    <row r="3885" spans="5:23" x14ac:dyDescent="0.25">
      <c r="E3885" s="4"/>
      <c r="F3885" s="4"/>
      <c r="G3885" s="33" t="str">
        <f>IFERROR(VLOOKUP($D3885,'Informations sur les produits'!$A$3:$H$10000,8,FALSE),"0")</f>
        <v>0</v>
      </c>
      <c r="K3885" s="4"/>
      <c r="L3885" s="33" t="str">
        <f>IFERROR(VLOOKUP($J3885,'Informations sur les produits'!$A$3:$H$10000,8,FALSE),"0")</f>
        <v>0</v>
      </c>
      <c r="N3885" s="8"/>
      <c r="O3885" s="33" t="str">
        <f>IFERROR(VLOOKUP($M3885,'Informations sur les produits'!$A$3:$H$10000,8,FALSE),"0")</f>
        <v>0</v>
      </c>
      <c r="P3885" s="33">
        <f t="shared" si="240"/>
        <v>0</v>
      </c>
      <c r="Q3885" s="31" t="str">
        <f t="shared" si="241"/>
        <v/>
      </c>
      <c r="R3885" s="32" t="str">
        <f>IFERROR(VLOOKUP($D3885,'Informations sur les produits'!$A$3:$B$15000,2,FALSE),"")</f>
        <v/>
      </c>
      <c r="V3885">
        <f t="shared" si="242"/>
        <v>0</v>
      </c>
      <c r="W3885">
        <f t="shared" si="243"/>
        <v>0</v>
      </c>
    </row>
    <row r="3886" spans="5:23" x14ac:dyDescent="0.25">
      <c r="E3886" s="4"/>
      <c r="F3886" s="4"/>
      <c r="G3886" s="33" t="str">
        <f>IFERROR(VLOOKUP($D3886,'Informations sur les produits'!$A$3:$H$10000,8,FALSE),"0")</f>
        <v>0</v>
      </c>
      <c r="K3886" s="4"/>
      <c r="L3886" s="33" t="str">
        <f>IFERROR(VLOOKUP($J3886,'Informations sur les produits'!$A$3:$H$10000,8,FALSE),"0")</f>
        <v>0</v>
      </c>
      <c r="N3886" s="8"/>
      <c r="O3886" s="33" t="str">
        <f>IFERROR(VLOOKUP($M3886,'Informations sur les produits'!$A$3:$H$10000,8,FALSE),"0")</f>
        <v>0</v>
      </c>
      <c r="P3886" s="33">
        <f t="shared" si="240"/>
        <v>0</v>
      </c>
      <c r="Q3886" s="31" t="str">
        <f t="shared" si="241"/>
        <v/>
      </c>
      <c r="R3886" s="32" t="str">
        <f>IFERROR(VLOOKUP($D3886,'Informations sur les produits'!$A$3:$B$15000,2,FALSE),"")</f>
        <v/>
      </c>
      <c r="V3886">
        <f t="shared" si="242"/>
        <v>0</v>
      </c>
      <c r="W3886">
        <f t="shared" si="243"/>
        <v>0</v>
      </c>
    </row>
    <row r="3887" spans="5:23" x14ac:dyDescent="0.25">
      <c r="E3887" s="4"/>
      <c r="F3887" s="4"/>
      <c r="G3887" s="33" t="str">
        <f>IFERROR(VLOOKUP($D3887,'Informations sur les produits'!$A$3:$H$10000,8,FALSE),"0")</f>
        <v>0</v>
      </c>
      <c r="K3887" s="4"/>
      <c r="L3887" s="33" t="str">
        <f>IFERROR(VLOOKUP($J3887,'Informations sur les produits'!$A$3:$H$10000,8,FALSE),"0")</f>
        <v>0</v>
      </c>
      <c r="N3887" s="8"/>
      <c r="O3887" s="33" t="str">
        <f>IFERROR(VLOOKUP($M3887,'Informations sur les produits'!$A$3:$H$10000,8,FALSE),"0")</f>
        <v>0</v>
      </c>
      <c r="P3887" s="33">
        <f t="shared" si="240"/>
        <v>0</v>
      </c>
      <c r="Q3887" s="31" t="str">
        <f t="shared" si="241"/>
        <v/>
      </c>
      <c r="R3887" s="32" t="str">
        <f>IFERROR(VLOOKUP($D3887,'Informations sur les produits'!$A$3:$B$15000,2,FALSE),"")</f>
        <v/>
      </c>
      <c r="V3887">
        <f t="shared" si="242"/>
        <v>0</v>
      </c>
      <c r="W3887">
        <f t="shared" si="243"/>
        <v>0</v>
      </c>
    </row>
    <row r="3888" spans="5:23" x14ac:dyDescent="0.25">
      <c r="E3888" s="4"/>
      <c r="F3888" s="4"/>
      <c r="G3888" s="33" t="str">
        <f>IFERROR(VLOOKUP($D3888,'Informations sur les produits'!$A$3:$H$10000,8,FALSE),"0")</f>
        <v>0</v>
      </c>
      <c r="K3888" s="4"/>
      <c r="L3888" s="33" t="str">
        <f>IFERROR(VLOOKUP($J3888,'Informations sur les produits'!$A$3:$H$10000,8,FALSE),"0")</f>
        <v>0</v>
      </c>
      <c r="N3888" s="8"/>
      <c r="O3888" s="33" t="str">
        <f>IFERROR(VLOOKUP($M3888,'Informations sur les produits'!$A$3:$H$10000,8,FALSE),"0")</f>
        <v>0</v>
      </c>
      <c r="P3888" s="33">
        <f t="shared" si="240"/>
        <v>0</v>
      </c>
      <c r="Q3888" s="31" t="str">
        <f t="shared" si="241"/>
        <v/>
      </c>
      <c r="R3888" s="32" t="str">
        <f>IFERROR(VLOOKUP($D3888,'Informations sur les produits'!$A$3:$B$15000,2,FALSE),"")</f>
        <v/>
      </c>
      <c r="V3888">
        <f t="shared" si="242"/>
        <v>0</v>
      </c>
      <c r="W3888">
        <f t="shared" si="243"/>
        <v>0</v>
      </c>
    </row>
    <row r="3889" spans="5:23" x14ac:dyDescent="0.25">
      <c r="E3889" s="4"/>
      <c r="F3889" s="4"/>
      <c r="G3889" s="33" t="str">
        <f>IFERROR(VLOOKUP($D3889,'Informations sur les produits'!$A$3:$H$10000,8,FALSE),"0")</f>
        <v>0</v>
      </c>
      <c r="K3889" s="4"/>
      <c r="L3889" s="33" t="str">
        <f>IFERROR(VLOOKUP($J3889,'Informations sur les produits'!$A$3:$H$10000,8,FALSE),"0")</f>
        <v>0</v>
      </c>
      <c r="N3889" s="8"/>
      <c r="O3889" s="33" t="str">
        <f>IFERROR(VLOOKUP($M3889,'Informations sur les produits'!$A$3:$H$10000,8,FALSE),"0")</f>
        <v>0</v>
      </c>
      <c r="P3889" s="33">
        <f t="shared" si="240"/>
        <v>0</v>
      </c>
      <c r="Q3889" s="31" t="str">
        <f t="shared" si="241"/>
        <v/>
      </c>
      <c r="R3889" s="32" t="str">
        <f>IFERROR(VLOOKUP($D3889,'Informations sur les produits'!$A$3:$B$15000,2,FALSE),"")</f>
        <v/>
      </c>
      <c r="V3889">
        <f t="shared" si="242"/>
        <v>0</v>
      </c>
      <c r="W3889">
        <f t="shared" si="243"/>
        <v>0</v>
      </c>
    </row>
    <row r="3890" spans="5:23" x14ac:dyDescent="0.25">
      <c r="E3890" s="4"/>
      <c r="F3890" s="4"/>
      <c r="G3890" s="33" t="str">
        <f>IFERROR(VLOOKUP($D3890,'Informations sur les produits'!$A$3:$H$10000,8,FALSE),"0")</f>
        <v>0</v>
      </c>
      <c r="K3890" s="4"/>
      <c r="L3890" s="33" t="str">
        <f>IFERROR(VLOOKUP($J3890,'Informations sur les produits'!$A$3:$H$10000,8,FALSE),"0")</f>
        <v>0</v>
      </c>
      <c r="N3890" s="8"/>
      <c r="O3890" s="33" t="str">
        <f>IFERROR(VLOOKUP($M3890,'Informations sur les produits'!$A$3:$H$10000,8,FALSE),"0")</f>
        <v>0</v>
      </c>
      <c r="P3890" s="33">
        <f t="shared" si="240"/>
        <v>0</v>
      </c>
      <c r="Q3890" s="31" t="str">
        <f t="shared" si="241"/>
        <v/>
      </c>
      <c r="R3890" s="32" t="str">
        <f>IFERROR(VLOOKUP($D3890,'Informations sur les produits'!$A$3:$B$15000,2,FALSE),"")</f>
        <v/>
      </c>
      <c r="V3890">
        <f t="shared" si="242"/>
        <v>0</v>
      </c>
      <c r="W3890">
        <f t="shared" si="243"/>
        <v>0</v>
      </c>
    </row>
    <row r="3891" spans="5:23" x14ac:dyDescent="0.25">
      <c r="E3891" s="4"/>
      <c r="F3891" s="4"/>
      <c r="G3891" s="33" t="str">
        <f>IFERROR(VLOOKUP($D3891,'Informations sur les produits'!$A$3:$H$10000,8,FALSE),"0")</f>
        <v>0</v>
      </c>
      <c r="K3891" s="4"/>
      <c r="L3891" s="33" t="str">
        <f>IFERROR(VLOOKUP($J3891,'Informations sur les produits'!$A$3:$H$10000,8,FALSE),"0")</f>
        <v>0</v>
      </c>
      <c r="N3891" s="8"/>
      <c r="O3891" s="33" t="str">
        <f>IFERROR(VLOOKUP($M3891,'Informations sur les produits'!$A$3:$H$10000,8,FALSE),"0")</f>
        <v>0</v>
      </c>
      <c r="P3891" s="33">
        <f t="shared" si="240"/>
        <v>0</v>
      </c>
      <c r="Q3891" s="31" t="str">
        <f t="shared" si="241"/>
        <v/>
      </c>
      <c r="R3891" s="32" t="str">
        <f>IFERROR(VLOOKUP($D3891,'Informations sur les produits'!$A$3:$B$15000,2,FALSE),"")</f>
        <v/>
      </c>
      <c r="V3891">
        <f t="shared" si="242"/>
        <v>0</v>
      </c>
      <c r="W3891">
        <f t="shared" si="243"/>
        <v>0</v>
      </c>
    </row>
    <row r="3892" spans="5:23" x14ac:dyDescent="0.25">
      <c r="E3892" s="4"/>
      <c r="F3892" s="4"/>
      <c r="G3892" s="33" t="str">
        <f>IFERROR(VLOOKUP($D3892,'Informations sur les produits'!$A$3:$H$10000,8,FALSE),"0")</f>
        <v>0</v>
      </c>
      <c r="K3892" s="4"/>
      <c r="L3892" s="33" t="str">
        <f>IFERROR(VLOOKUP($J3892,'Informations sur les produits'!$A$3:$H$10000,8,FALSE),"0")</f>
        <v>0</v>
      </c>
      <c r="N3892" s="8"/>
      <c r="O3892" s="33" t="str">
        <f>IFERROR(VLOOKUP($M3892,'Informations sur les produits'!$A$3:$H$10000,8,FALSE),"0")</f>
        <v>0</v>
      </c>
      <c r="P3892" s="33">
        <f t="shared" si="240"/>
        <v>0</v>
      </c>
      <c r="Q3892" s="31" t="str">
        <f t="shared" si="241"/>
        <v/>
      </c>
      <c r="R3892" s="32" t="str">
        <f>IFERROR(VLOOKUP($D3892,'Informations sur les produits'!$A$3:$B$15000,2,FALSE),"")</f>
        <v/>
      </c>
      <c r="V3892">
        <f t="shared" si="242"/>
        <v>0</v>
      </c>
      <c r="W3892">
        <f t="shared" si="243"/>
        <v>0</v>
      </c>
    </row>
    <row r="3893" spans="5:23" x14ac:dyDescent="0.25">
      <c r="E3893" s="4"/>
      <c r="F3893" s="4"/>
      <c r="G3893" s="33" t="str">
        <f>IFERROR(VLOOKUP($D3893,'Informations sur les produits'!$A$3:$H$10000,8,FALSE),"0")</f>
        <v>0</v>
      </c>
      <c r="K3893" s="4"/>
      <c r="L3893" s="33" t="str">
        <f>IFERROR(VLOOKUP($J3893,'Informations sur les produits'!$A$3:$H$10000,8,FALSE),"0")</f>
        <v>0</v>
      </c>
      <c r="N3893" s="8"/>
      <c r="O3893" s="33" t="str">
        <f>IFERROR(VLOOKUP($M3893,'Informations sur les produits'!$A$3:$H$10000,8,FALSE),"0")</f>
        <v>0</v>
      </c>
      <c r="P3893" s="33">
        <f t="shared" si="240"/>
        <v>0</v>
      </c>
      <c r="Q3893" s="31" t="str">
        <f t="shared" si="241"/>
        <v/>
      </c>
      <c r="R3893" s="32" t="str">
        <f>IFERROR(VLOOKUP($D3893,'Informations sur les produits'!$A$3:$B$15000,2,FALSE),"")</f>
        <v/>
      </c>
      <c r="V3893">
        <f t="shared" si="242"/>
        <v>0</v>
      </c>
      <c r="W3893">
        <f t="shared" si="243"/>
        <v>0</v>
      </c>
    </row>
    <row r="3894" spans="5:23" x14ac:dyDescent="0.25">
      <c r="E3894" s="4"/>
      <c r="F3894" s="4"/>
      <c r="G3894" s="33" t="str">
        <f>IFERROR(VLOOKUP($D3894,'Informations sur les produits'!$A$3:$H$10000,8,FALSE),"0")</f>
        <v>0</v>
      </c>
      <c r="K3894" s="4"/>
      <c r="L3894" s="33" t="str">
        <f>IFERROR(VLOOKUP($J3894,'Informations sur les produits'!$A$3:$H$10000,8,FALSE),"0")</f>
        <v>0</v>
      </c>
      <c r="N3894" s="8"/>
      <c r="O3894" s="33" t="str">
        <f>IFERROR(VLOOKUP($M3894,'Informations sur les produits'!$A$3:$H$10000,8,FALSE),"0")</f>
        <v>0</v>
      </c>
      <c r="P3894" s="33">
        <f t="shared" si="240"/>
        <v>0</v>
      </c>
      <c r="Q3894" s="31" t="str">
        <f t="shared" si="241"/>
        <v/>
      </c>
      <c r="R3894" s="32" t="str">
        <f>IFERROR(VLOOKUP($D3894,'Informations sur les produits'!$A$3:$B$15000,2,FALSE),"")</f>
        <v/>
      </c>
      <c r="V3894">
        <f t="shared" si="242"/>
        <v>0</v>
      </c>
      <c r="W3894">
        <f t="shared" si="243"/>
        <v>0</v>
      </c>
    </row>
    <row r="3895" spans="5:23" x14ac:dyDescent="0.25">
      <c r="E3895" s="4"/>
      <c r="F3895" s="4"/>
      <c r="G3895" s="33" t="str">
        <f>IFERROR(VLOOKUP($D3895,'Informations sur les produits'!$A$3:$H$10000,8,FALSE),"0")</f>
        <v>0</v>
      </c>
      <c r="K3895" s="4"/>
      <c r="L3895" s="33" t="str">
        <f>IFERROR(VLOOKUP($J3895,'Informations sur les produits'!$A$3:$H$10000,8,FALSE),"0")</f>
        <v>0</v>
      </c>
      <c r="N3895" s="8"/>
      <c r="O3895" s="33" t="str">
        <f>IFERROR(VLOOKUP($M3895,'Informations sur les produits'!$A$3:$H$10000,8,FALSE),"0")</f>
        <v>0</v>
      </c>
      <c r="P3895" s="33">
        <f t="shared" si="240"/>
        <v>0</v>
      </c>
      <c r="Q3895" s="31" t="str">
        <f t="shared" si="241"/>
        <v/>
      </c>
      <c r="R3895" s="32" t="str">
        <f>IFERROR(VLOOKUP($D3895,'Informations sur les produits'!$A$3:$B$15000,2,FALSE),"")</f>
        <v/>
      </c>
      <c r="V3895">
        <f t="shared" si="242"/>
        <v>0</v>
      </c>
      <c r="W3895">
        <f t="shared" si="243"/>
        <v>0</v>
      </c>
    </row>
    <row r="3896" spans="5:23" x14ac:dyDescent="0.25">
      <c r="E3896" s="4"/>
      <c r="F3896" s="4"/>
      <c r="G3896" s="33" t="str">
        <f>IFERROR(VLOOKUP($D3896,'Informations sur les produits'!$A$3:$H$10000,8,FALSE),"0")</f>
        <v>0</v>
      </c>
      <c r="K3896" s="4"/>
      <c r="L3896" s="33" t="str">
        <f>IFERROR(VLOOKUP($J3896,'Informations sur les produits'!$A$3:$H$10000,8,FALSE),"0")</f>
        <v>0</v>
      </c>
      <c r="N3896" s="8"/>
      <c r="O3896" s="33" t="str">
        <f>IFERROR(VLOOKUP($M3896,'Informations sur les produits'!$A$3:$H$10000,8,FALSE),"0")</f>
        <v>0</v>
      </c>
      <c r="P3896" s="33">
        <f t="shared" si="240"/>
        <v>0</v>
      </c>
      <c r="Q3896" s="31" t="str">
        <f t="shared" si="241"/>
        <v/>
      </c>
      <c r="R3896" s="32" t="str">
        <f>IFERROR(VLOOKUP($D3896,'Informations sur les produits'!$A$3:$B$15000,2,FALSE),"")</f>
        <v/>
      </c>
      <c r="V3896">
        <f t="shared" si="242"/>
        <v>0</v>
      </c>
      <c r="W3896">
        <f t="shared" si="243"/>
        <v>0</v>
      </c>
    </row>
    <row r="3897" spans="5:23" x14ac:dyDescent="0.25">
      <c r="E3897" s="4"/>
      <c r="F3897" s="4"/>
      <c r="G3897" s="33" t="str">
        <f>IFERROR(VLOOKUP($D3897,'Informations sur les produits'!$A$3:$H$10000,8,FALSE),"0")</f>
        <v>0</v>
      </c>
      <c r="K3897" s="4"/>
      <c r="L3897" s="33" t="str">
        <f>IFERROR(VLOOKUP($J3897,'Informations sur les produits'!$A$3:$H$10000,8,FALSE),"0")</f>
        <v>0</v>
      </c>
      <c r="N3897" s="8"/>
      <c r="O3897" s="33" t="str">
        <f>IFERROR(VLOOKUP($M3897,'Informations sur les produits'!$A$3:$H$10000,8,FALSE),"0")</f>
        <v>0</v>
      </c>
      <c r="P3897" s="33">
        <f t="shared" si="240"/>
        <v>0</v>
      </c>
      <c r="Q3897" s="31" t="str">
        <f t="shared" si="241"/>
        <v/>
      </c>
      <c r="R3897" s="32" t="str">
        <f>IFERROR(VLOOKUP($D3897,'Informations sur les produits'!$A$3:$B$15000,2,FALSE),"")</f>
        <v/>
      </c>
      <c r="V3897">
        <f t="shared" si="242"/>
        <v>0</v>
      </c>
      <c r="W3897">
        <f t="shared" si="243"/>
        <v>0</v>
      </c>
    </row>
    <row r="3898" spans="5:23" x14ac:dyDescent="0.25">
      <c r="E3898" s="4"/>
      <c r="F3898" s="4"/>
      <c r="G3898" s="33" t="str">
        <f>IFERROR(VLOOKUP($D3898,'Informations sur les produits'!$A$3:$H$10000,8,FALSE),"0")</f>
        <v>0</v>
      </c>
      <c r="K3898" s="4"/>
      <c r="L3898" s="33" t="str">
        <f>IFERROR(VLOOKUP($J3898,'Informations sur les produits'!$A$3:$H$10000,8,FALSE),"0")</f>
        <v>0</v>
      </c>
      <c r="N3898" s="8"/>
      <c r="O3898" s="33" t="str">
        <f>IFERROR(VLOOKUP($M3898,'Informations sur les produits'!$A$3:$H$10000,8,FALSE),"0")</f>
        <v>0</v>
      </c>
      <c r="P3898" s="33">
        <f t="shared" si="240"/>
        <v>0</v>
      </c>
      <c r="Q3898" s="31" t="str">
        <f t="shared" si="241"/>
        <v/>
      </c>
      <c r="R3898" s="32" t="str">
        <f>IFERROR(VLOOKUP($D3898,'Informations sur les produits'!$A$3:$B$15000,2,FALSE),"")</f>
        <v/>
      </c>
      <c r="V3898">
        <f t="shared" si="242"/>
        <v>0</v>
      </c>
      <c r="W3898">
        <f t="shared" si="243"/>
        <v>0</v>
      </c>
    </row>
    <row r="3899" spans="5:23" x14ac:dyDescent="0.25">
      <c r="E3899" s="4"/>
      <c r="F3899" s="4"/>
      <c r="G3899" s="33" t="str">
        <f>IFERROR(VLOOKUP($D3899,'Informations sur les produits'!$A$3:$H$10000,8,FALSE),"0")</f>
        <v>0</v>
      </c>
      <c r="K3899" s="4"/>
      <c r="L3899" s="33" t="str">
        <f>IFERROR(VLOOKUP($J3899,'Informations sur les produits'!$A$3:$H$10000,8,FALSE),"0")</f>
        <v>0</v>
      </c>
      <c r="N3899" s="8"/>
      <c r="O3899" s="33" t="str">
        <f>IFERROR(VLOOKUP($M3899,'Informations sur les produits'!$A$3:$H$10000,8,FALSE),"0")</f>
        <v>0</v>
      </c>
      <c r="P3899" s="33">
        <f t="shared" si="240"/>
        <v>0</v>
      </c>
      <c r="Q3899" s="31" t="str">
        <f t="shared" si="241"/>
        <v/>
      </c>
      <c r="R3899" s="32" t="str">
        <f>IFERROR(VLOOKUP($D3899,'Informations sur les produits'!$A$3:$B$15000,2,FALSE),"")</f>
        <v/>
      </c>
      <c r="V3899">
        <f t="shared" si="242"/>
        <v>0</v>
      </c>
      <c r="W3899">
        <f t="shared" si="243"/>
        <v>0</v>
      </c>
    </row>
    <row r="3900" spans="5:23" x14ac:dyDescent="0.25">
      <c r="E3900" s="4"/>
      <c r="F3900" s="4"/>
      <c r="G3900" s="33" t="str">
        <f>IFERROR(VLOOKUP($D3900,'Informations sur les produits'!$A$3:$H$10000,8,FALSE),"0")</f>
        <v>0</v>
      </c>
      <c r="K3900" s="4"/>
      <c r="L3900" s="33" t="str">
        <f>IFERROR(VLOOKUP($J3900,'Informations sur les produits'!$A$3:$H$10000,8,FALSE),"0")</f>
        <v>0</v>
      </c>
      <c r="N3900" s="8"/>
      <c r="O3900" s="33" t="str">
        <f>IFERROR(VLOOKUP($M3900,'Informations sur les produits'!$A$3:$H$10000,8,FALSE),"0")</f>
        <v>0</v>
      </c>
      <c r="P3900" s="33">
        <f t="shared" si="240"/>
        <v>0</v>
      </c>
      <c r="Q3900" s="31" t="str">
        <f t="shared" si="241"/>
        <v/>
      </c>
      <c r="R3900" s="32" t="str">
        <f>IFERROR(VLOOKUP($D3900,'Informations sur les produits'!$A$3:$B$15000,2,FALSE),"")</f>
        <v/>
      </c>
      <c r="V3900">
        <f t="shared" si="242"/>
        <v>0</v>
      </c>
      <c r="W3900">
        <f t="shared" si="243"/>
        <v>0</v>
      </c>
    </row>
    <row r="3901" spans="5:23" x14ac:dyDescent="0.25">
      <c r="E3901" s="4"/>
      <c r="F3901" s="4"/>
      <c r="G3901" s="33" t="str">
        <f>IFERROR(VLOOKUP($D3901,'Informations sur les produits'!$A$3:$H$10000,8,FALSE),"0")</f>
        <v>0</v>
      </c>
      <c r="K3901" s="4"/>
      <c r="L3901" s="33" t="str">
        <f>IFERROR(VLOOKUP($J3901,'Informations sur les produits'!$A$3:$H$10000,8,FALSE),"0")</f>
        <v>0</v>
      </c>
      <c r="N3901" s="8"/>
      <c r="O3901" s="33" t="str">
        <f>IFERROR(VLOOKUP($M3901,'Informations sur les produits'!$A$3:$H$10000,8,FALSE),"0")</f>
        <v>0</v>
      </c>
      <c r="P3901" s="33">
        <f t="shared" si="240"/>
        <v>0</v>
      </c>
      <c r="Q3901" s="31" t="str">
        <f t="shared" si="241"/>
        <v/>
      </c>
      <c r="R3901" s="32" t="str">
        <f>IFERROR(VLOOKUP($D3901,'Informations sur les produits'!$A$3:$B$15000,2,FALSE),"")</f>
        <v/>
      </c>
      <c r="V3901">
        <f t="shared" si="242"/>
        <v>0</v>
      </c>
      <c r="W3901">
        <f t="shared" si="243"/>
        <v>0</v>
      </c>
    </row>
    <row r="3902" spans="5:23" x14ac:dyDescent="0.25">
      <c r="E3902" s="4"/>
      <c r="F3902" s="4"/>
      <c r="G3902" s="33" t="str">
        <f>IFERROR(VLOOKUP($D3902,'Informations sur les produits'!$A$3:$H$10000,8,FALSE),"0")</f>
        <v>0</v>
      </c>
      <c r="K3902" s="4"/>
      <c r="L3902" s="33" t="str">
        <f>IFERROR(VLOOKUP($J3902,'Informations sur les produits'!$A$3:$H$10000,8,FALSE),"0")</f>
        <v>0</v>
      </c>
      <c r="N3902" s="8"/>
      <c r="O3902" s="33" t="str">
        <f>IFERROR(VLOOKUP($M3902,'Informations sur les produits'!$A$3:$H$10000,8,FALSE),"0")</f>
        <v>0</v>
      </c>
      <c r="P3902" s="33">
        <f t="shared" si="240"/>
        <v>0</v>
      </c>
      <c r="Q3902" s="31" t="str">
        <f t="shared" si="241"/>
        <v/>
      </c>
      <c r="R3902" s="32" t="str">
        <f>IFERROR(VLOOKUP($D3902,'Informations sur les produits'!$A$3:$B$15000,2,FALSE),"")</f>
        <v/>
      </c>
      <c r="V3902">
        <f t="shared" si="242"/>
        <v>0</v>
      </c>
      <c r="W3902">
        <f t="shared" si="243"/>
        <v>0</v>
      </c>
    </row>
    <row r="3903" spans="5:23" x14ac:dyDescent="0.25">
      <c r="E3903" s="4"/>
      <c r="F3903" s="4"/>
      <c r="G3903" s="33" t="str">
        <f>IFERROR(VLOOKUP($D3903,'Informations sur les produits'!$A$3:$H$10000,8,FALSE),"0")</f>
        <v>0</v>
      </c>
      <c r="K3903" s="4"/>
      <c r="L3903" s="33" t="str">
        <f>IFERROR(VLOOKUP($J3903,'Informations sur les produits'!$A$3:$H$10000,8,FALSE),"0")</f>
        <v>0</v>
      </c>
      <c r="N3903" s="8"/>
      <c r="O3903" s="33" t="str">
        <f>IFERROR(VLOOKUP($M3903,'Informations sur les produits'!$A$3:$H$10000,8,FALSE),"0")</f>
        <v>0</v>
      </c>
      <c r="P3903" s="33">
        <f t="shared" si="240"/>
        <v>0</v>
      </c>
      <c r="Q3903" s="31" t="str">
        <f t="shared" si="241"/>
        <v/>
      </c>
      <c r="R3903" s="32" t="str">
        <f>IFERROR(VLOOKUP($D3903,'Informations sur les produits'!$A$3:$B$15000,2,FALSE),"")</f>
        <v/>
      </c>
      <c r="V3903">
        <f t="shared" si="242"/>
        <v>0</v>
      </c>
      <c r="W3903">
        <f t="shared" si="243"/>
        <v>0</v>
      </c>
    </row>
    <row r="3904" spans="5:23" x14ac:dyDescent="0.25">
      <c r="E3904" s="4"/>
      <c r="F3904" s="4"/>
      <c r="G3904" s="33" t="str">
        <f>IFERROR(VLOOKUP($D3904,'Informations sur les produits'!$A$3:$H$10000,8,FALSE),"0")</f>
        <v>0</v>
      </c>
      <c r="K3904" s="4"/>
      <c r="L3904" s="33" t="str">
        <f>IFERROR(VLOOKUP($J3904,'Informations sur les produits'!$A$3:$H$10000,8,FALSE),"0")</f>
        <v>0</v>
      </c>
      <c r="N3904" s="8"/>
      <c r="O3904" s="33" t="str">
        <f>IFERROR(VLOOKUP($M3904,'Informations sur les produits'!$A$3:$H$10000,8,FALSE),"0")</f>
        <v>0</v>
      </c>
      <c r="P3904" s="33">
        <f t="shared" si="240"/>
        <v>0</v>
      </c>
      <c r="Q3904" s="31" t="str">
        <f t="shared" si="241"/>
        <v/>
      </c>
      <c r="R3904" s="32" t="str">
        <f>IFERROR(VLOOKUP($D3904,'Informations sur les produits'!$A$3:$B$15000,2,FALSE),"")</f>
        <v/>
      </c>
      <c r="V3904">
        <f t="shared" si="242"/>
        <v>0</v>
      </c>
      <c r="W3904">
        <f t="shared" si="243"/>
        <v>0</v>
      </c>
    </row>
    <row r="3905" spans="5:23" x14ac:dyDescent="0.25">
      <c r="E3905" s="4"/>
      <c r="F3905" s="4"/>
      <c r="G3905" s="33" t="str">
        <f>IFERROR(VLOOKUP($D3905,'Informations sur les produits'!$A$3:$H$10000,8,FALSE),"0")</f>
        <v>0</v>
      </c>
      <c r="K3905" s="4"/>
      <c r="L3905" s="33" t="str">
        <f>IFERROR(VLOOKUP($J3905,'Informations sur les produits'!$A$3:$H$10000,8,FALSE),"0")</f>
        <v>0</v>
      </c>
      <c r="N3905" s="8"/>
      <c r="O3905" s="33" t="str">
        <f>IFERROR(VLOOKUP($M3905,'Informations sur les produits'!$A$3:$H$10000,8,FALSE),"0")</f>
        <v>0</v>
      </c>
      <c r="P3905" s="33">
        <f t="shared" si="240"/>
        <v>0</v>
      </c>
      <c r="Q3905" s="31" t="str">
        <f t="shared" si="241"/>
        <v/>
      </c>
      <c r="R3905" s="32" t="str">
        <f>IFERROR(VLOOKUP($D3905,'Informations sur les produits'!$A$3:$B$15000,2,FALSE),"")</f>
        <v/>
      </c>
      <c r="V3905">
        <f t="shared" si="242"/>
        <v>0</v>
      </c>
      <c r="W3905">
        <f t="shared" si="243"/>
        <v>0</v>
      </c>
    </row>
    <row r="3906" spans="5:23" x14ac:dyDescent="0.25">
      <c r="E3906" s="4"/>
      <c r="F3906" s="4"/>
      <c r="G3906" s="33" t="str">
        <f>IFERROR(VLOOKUP($D3906,'Informations sur les produits'!$A$3:$H$10000,8,FALSE),"0")</f>
        <v>0</v>
      </c>
      <c r="K3906" s="4"/>
      <c r="L3906" s="33" t="str">
        <f>IFERROR(VLOOKUP($J3906,'Informations sur les produits'!$A$3:$H$10000,8,FALSE),"0")</f>
        <v>0</v>
      </c>
      <c r="N3906" s="8"/>
      <c r="O3906" s="33" t="str">
        <f>IFERROR(VLOOKUP($M3906,'Informations sur les produits'!$A$3:$H$10000,8,FALSE),"0")</f>
        <v>0</v>
      </c>
      <c r="P3906" s="33">
        <f t="shared" si="240"/>
        <v>0</v>
      </c>
      <c r="Q3906" s="31" t="str">
        <f t="shared" si="241"/>
        <v/>
      </c>
      <c r="R3906" s="32" t="str">
        <f>IFERROR(VLOOKUP($D3906,'Informations sur les produits'!$A$3:$B$15000,2,FALSE),"")</f>
        <v/>
      </c>
      <c r="V3906">
        <f t="shared" si="242"/>
        <v>0</v>
      </c>
      <c r="W3906">
        <f t="shared" si="243"/>
        <v>0</v>
      </c>
    </row>
    <row r="3907" spans="5:23" x14ac:dyDescent="0.25">
      <c r="E3907" s="4"/>
      <c r="F3907" s="4"/>
      <c r="G3907" s="33" t="str">
        <f>IFERROR(VLOOKUP($D3907,'Informations sur les produits'!$A$3:$H$10000,8,FALSE),"0")</f>
        <v>0</v>
      </c>
      <c r="K3907" s="4"/>
      <c r="L3907" s="33" t="str">
        <f>IFERROR(VLOOKUP($J3907,'Informations sur les produits'!$A$3:$H$10000,8,FALSE),"0")</f>
        <v>0</v>
      </c>
      <c r="N3907" s="8"/>
      <c r="O3907" s="33" t="str">
        <f>IFERROR(VLOOKUP($M3907,'Informations sur les produits'!$A$3:$H$10000,8,FALSE),"0")</f>
        <v>0</v>
      </c>
      <c r="P3907" s="33">
        <f t="shared" si="240"/>
        <v>0</v>
      </c>
      <c r="Q3907" s="31" t="str">
        <f t="shared" si="241"/>
        <v/>
      </c>
      <c r="R3907" s="32" t="str">
        <f>IFERROR(VLOOKUP($D3907,'Informations sur les produits'!$A$3:$B$15000,2,FALSE),"")</f>
        <v/>
      </c>
      <c r="V3907">
        <f t="shared" si="242"/>
        <v>0</v>
      </c>
      <c r="W3907">
        <f t="shared" si="243"/>
        <v>0</v>
      </c>
    </row>
    <row r="3908" spans="5:23" x14ac:dyDescent="0.25">
      <c r="E3908" s="4"/>
      <c r="F3908" s="4"/>
      <c r="G3908" s="33" t="str">
        <f>IFERROR(VLOOKUP($D3908,'Informations sur les produits'!$A$3:$H$10000,8,FALSE),"0")</f>
        <v>0</v>
      </c>
      <c r="K3908" s="4"/>
      <c r="L3908" s="33" t="str">
        <f>IFERROR(VLOOKUP($J3908,'Informations sur les produits'!$A$3:$H$10000,8,FALSE),"0")</f>
        <v>0</v>
      </c>
      <c r="N3908" s="8"/>
      <c r="O3908" s="33" t="str">
        <f>IFERROR(VLOOKUP($M3908,'Informations sur les produits'!$A$3:$H$10000,8,FALSE),"0")</f>
        <v>0</v>
      </c>
      <c r="P3908" s="33">
        <f t="shared" ref="P3908:P3971" si="244">IFERROR((($E3908-$F3908)*$G3908+$K3908*$L3908+$N3908*$O3908),"")</f>
        <v>0</v>
      </c>
      <c r="Q3908" s="31" t="str">
        <f t="shared" ref="Q3908:Q3971" si="245">IFERROR((((($E3908-$F3908)*$G3908+$K3908*$L3908+$N3908*$O3908)*1000)/(($E3908-$F3908)+$K3908+$N3908)),"")</f>
        <v/>
      </c>
      <c r="R3908" s="32" t="str">
        <f>IFERROR(VLOOKUP($D3908,'Informations sur les produits'!$A$3:$B$15000,2,FALSE),"")</f>
        <v/>
      </c>
      <c r="V3908">
        <f t="shared" ref="V3908:V3971" si="246">IFERROR(P3908*1000,"")</f>
        <v>0</v>
      </c>
      <c r="W3908">
        <f t="shared" ref="W3908:W3971" si="247">IFERROR(($E3908-$F3908)+$K3908+$N3908,"")</f>
        <v>0</v>
      </c>
    </row>
    <row r="3909" spans="5:23" x14ac:dyDescent="0.25">
      <c r="E3909" s="4"/>
      <c r="F3909" s="4"/>
      <c r="G3909" s="33" t="str">
        <f>IFERROR(VLOOKUP($D3909,'Informations sur les produits'!$A$3:$H$10000,8,FALSE),"0")</f>
        <v>0</v>
      </c>
      <c r="K3909" s="4"/>
      <c r="L3909" s="33" t="str">
        <f>IFERROR(VLOOKUP($J3909,'Informations sur les produits'!$A$3:$H$10000,8,FALSE),"0")</f>
        <v>0</v>
      </c>
      <c r="N3909" s="8"/>
      <c r="O3909" s="33" t="str">
        <f>IFERROR(VLOOKUP($M3909,'Informations sur les produits'!$A$3:$H$10000,8,FALSE),"0")</f>
        <v>0</v>
      </c>
      <c r="P3909" s="33">
        <f t="shared" si="244"/>
        <v>0</v>
      </c>
      <c r="Q3909" s="31" t="str">
        <f t="shared" si="245"/>
        <v/>
      </c>
      <c r="R3909" s="32" t="str">
        <f>IFERROR(VLOOKUP($D3909,'Informations sur les produits'!$A$3:$B$15000,2,FALSE),"")</f>
        <v/>
      </c>
      <c r="V3909">
        <f t="shared" si="246"/>
        <v>0</v>
      </c>
      <c r="W3909">
        <f t="shared" si="247"/>
        <v>0</v>
      </c>
    </row>
    <row r="3910" spans="5:23" x14ac:dyDescent="0.25">
      <c r="E3910" s="4"/>
      <c r="F3910" s="4"/>
      <c r="G3910" s="33" t="str">
        <f>IFERROR(VLOOKUP($D3910,'Informations sur les produits'!$A$3:$H$10000,8,FALSE),"0")</f>
        <v>0</v>
      </c>
      <c r="K3910" s="4"/>
      <c r="L3910" s="33" t="str">
        <f>IFERROR(VLOOKUP($J3910,'Informations sur les produits'!$A$3:$H$10000,8,FALSE),"0")</f>
        <v>0</v>
      </c>
      <c r="N3910" s="8"/>
      <c r="O3910" s="33" t="str">
        <f>IFERROR(VLOOKUP($M3910,'Informations sur les produits'!$A$3:$H$10000,8,FALSE),"0")</f>
        <v>0</v>
      </c>
      <c r="P3910" s="33">
        <f t="shared" si="244"/>
        <v>0</v>
      </c>
      <c r="Q3910" s="31" t="str">
        <f t="shared" si="245"/>
        <v/>
      </c>
      <c r="R3910" s="32" t="str">
        <f>IFERROR(VLOOKUP($D3910,'Informations sur les produits'!$A$3:$B$15000,2,FALSE),"")</f>
        <v/>
      </c>
      <c r="V3910">
        <f t="shared" si="246"/>
        <v>0</v>
      </c>
      <c r="W3910">
        <f t="shared" si="247"/>
        <v>0</v>
      </c>
    </row>
    <row r="3911" spans="5:23" x14ac:dyDescent="0.25">
      <c r="E3911" s="4"/>
      <c r="F3911" s="4"/>
      <c r="G3911" s="33" t="str">
        <f>IFERROR(VLOOKUP($D3911,'Informations sur les produits'!$A$3:$H$10000,8,FALSE),"0")</f>
        <v>0</v>
      </c>
      <c r="K3911" s="4"/>
      <c r="L3911" s="33" t="str">
        <f>IFERROR(VLOOKUP($J3911,'Informations sur les produits'!$A$3:$H$10000,8,FALSE),"0")</f>
        <v>0</v>
      </c>
      <c r="N3911" s="8"/>
      <c r="O3911" s="33" t="str">
        <f>IFERROR(VLOOKUP($M3911,'Informations sur les produits'!$A$3:$H$10000,8,FALSE),"0")</f>
        <v>0</v>
      </c>
      <c r="P3911" s="33">
        <f t="shared" si="244"/>
        <v>0</v>
      </c>
      <c r="Q3911" s="31" t="str">
        <f t="shared" si="245"/>
        <v/>
      </c>
      <c r="R3911" s="32" t="str">
        <f>IFERROR(VLOOKUP($D3911,'Informations sur les produits'!$A$3:$B$15000,2,FALSE),"")</f>
        <v/>
      </c>
      <c r="V3911">
        <f t="shared" si="246"/>
        <v>0</v>
      </c>
      <c r="W3911">
        <f t="shared" si="247"/>
        <v>0</v>
      </c>
    </row>
    <row r="3912" spans="5:23" x14ac:dyDescent="0.25">
      <c r="E3912" s="4"/>
      <c r="F3912" s="4"/>
      <c r="G3912" s="33" t="str">
        <f>IFERROR(VLOOKUP($D3912,'Informations sur les produits'!$A$3:$H$10000,8,FALSE),"0")</f>
        <v>0</v>
      </c>
      <c r="K3912" s="4"/>
      <c r="L3912" s="33" t="str">
        <f>IFERROR(VLOOKUP($J3912,'Informations sur les produits'!$A$3:$H$10000,8,FALSE),"0")</f>
        <v>0</v>
      </c>
      <c r="N3912" s="8"/>
      <c r="O3912" s="33" t="str">
        <f>IFERROR(VLOOKUP($M3912,'Informations sur les produits'!$A$3:$H$10000,8,FALSE),"0")</f>
        <v>0</v>
      </c>
      <c r="P3912" s="33">
        <f t="shared" si="244"/>
        <v>0</v>
      </c>
      <c r="Q3912" s="31" t="str">
        <f t="shared" si="245"/>
        <v/>
      </c>
      <c r="R3912" s="32" t="str">
        <f>IFERROR(VLOOKUP($D3912,'Informations sur les produits'!$A$3:$B$15000,2,FALSE),"")</f>
        <v/>
      </c>
      <c r="V3912">
        <f t="shared" si="246"/>
        <v>0</v>
      </c>
      <c r="W3912">
        <f t="shared" si="247"/>
        <v>0</v>
      </c>
    </row>
    <row r="3913" spans="5:23" x14ac:dyDescent="0.25">
      <c r="E3913" s="4"/>
      <c r="F3913" s="4"/>
      <c r="G3913" s="33" t="str">
        <f>IFERROR(VLOOKUP($D3913,'Informations sur les produits'!$A$3:$H$10000,8,FALSE),"0")</f>
        <v>0</v>
      </c>
      <c r="K3913" s="4"/>
      <c r="L3913" s="33" t="str">
        <f>IFERROR(VLOOKUP($J3913,'Informations sur les produits'!$A$3:$H$10000,8,FALSE),"0")</f>
        <v>0</v>
      </c>
      <c r="N3913" s="8"/>
      <c r="O3913" s="33" t="str">
        <f>IFERROR(VLOOKUP($M3913,'Informations sur les produits'!$A$3:$H$10000,8,FALSE),"0")</f>
        <v>0</v>
      </c>
      <c r="P3913" s="33">
        <f t="shared" si="244"/>
        <v>0</v>
      </c>
      <c r="Q3913" s="31" t="str">
        <f t="shared" si="245"/>
        <v/>
      </c>
      <c r="R3913" s="32" t="str">
        <f>IFERROR(VLOOKUP($D3913,'Informations sur les produits'!$A$3:$B$15000,2,FALSE),"")</f>
        <v/>
      </c>
      <c r="V3913">
        <f t="shared" si="246"/>
        <v>0</v>
      </c>
      <c r="W3913">
        <f t="shared" si="247"/>
        <v>0</v>
      </c>
    </row>
    <row r="3914" spans="5:23" x14ac:dyDescent="0.25">
      <c r="E3914" s="4"/>
      <c r="F3914" s="4"/>
      <c r="G3914" s="33" t="str">
        <f>IFERROR(VLOOKUP($D3914,'Informations sur les produits'!$A$3:$H$10000,8,FALSE),"0")</f>
        <v>0</v>
      </c>
      <c r="K3914" s="4"/>
      <c r="L3914" s="33" t="str">
        <f>IFERROR(VLOOKUP($J3914,'Informations sur les produits'!$A$3:$H$10000,8,FALSE),"0")</f>
        <v>0</v>
      </c>
      <c r="N3914" s="8"/>
      <c r="O3914" s="33" t="str">
        <f>IFERROR(VLOOKUP($M3914,'Informations sur les produits'!$A$3:$H$10000,8,FALSE),"0")</f>
        <v>0</v>
      </c>
      <c r="P3914" s="33">
        <f t="shared" si="244"/>
        <v>0</v>
      </c>
      <c r="Q3914" s="31" t="str">
        <f t="shared" si="245"/>
        <v/>
      </c>
      <c r="R3914" s="32" t="str">
        <f>IFERROR(VLOOKUP($D3914,'Informations sur les produits'!$A$3:$B$15000,2,FALSE),"")</f>
        <v/>
      </c>
      <c r="V3914">
        <f t="shared" si="246"/>
        <v>0</v>
      </c>
      <c r="W3914">
        <f t="shared" si="247"/>
        <v>0</v>
      </c>
    </row>
    <row r="3915" spans="5:23" x14ac:dyDescent="0.25">
      <c r="E3915" s="4"/>
      <c r="F3915" s="4"/>
      <c r="G3915" s="33" t="str">
        <f>IFERROR(VLOOKUP($D3915,'Informations sur les produits'!$A$3:$H$10000,8,FALSE),"0")</f>
        <v>0</v>
      </c>
      <c r="K3915" s="4"/>
      <c r="L3915" s="33" t="str">
        <f>IFERROR(VLOOKUP($J3915,'Informations sur les produits'!$A$3:$H$10000,8,FALSE),"0")</f>
        <v>0</v>
      </c>
      <c r="N3915" s="8"/>
      <c r="O3915" s="33" t="str">
        <f>IFERROR(VLOOKUP($M3915,'Informations sur les produits'!$A$3:$H$10000,8,FALSE),"0")</f>
        <v>0</v>
      </c>
      <c r="P3915" s="33">
        <f t="shared" si="244"/>
        <v>0</v>
      </c>
      <c r="Q3915" s="31" t="str">
        <f t="shared" si="245"/>
        <v/>
      </c>
      <c r="R3915" s="32" t="str">
        <f>IFERROR(VLOOKUP($D3915,'Informations sur les produits'!$A$3:$B$15000,2,FALSE),"")</f>
        <v/>
      </c>
      <c r="V3915">
        <f t="shared" si="246"/>
        <v>0</v>
      </c>
      <c r="W3915">
        <f t="shared" si="247"/>
        <v>0</v>
      </c>
    </row>
    <row r="3916" spans="5:23" x14ac:dyDescent="0.25">
      <c r="E3916" s="4"/>
      <c r="F3916" s="4"/>
      <c r="G3916" s="33" t="str">
        <f>IFERROR(VLOOKUP($D3916,'Informations sur les produits'!$A$3:$H$10000,8,FALSE),"0")</f>
        <v>0</v>
      </c>
      <c r="K3916" s="4"/>
      <c r="L3916" s="33" t="str">
        <f>IFERROR(VLOOKUP($J3916,'Informations sur les produits'!$A$3:$H$10000,8,FALSE),"0")</f>
        <v>0</v>
      </c>
      <c r="N3916" s="8"/>
      <c r="O3916" s="33" t="str">
        <f>IFERROR(VLOOKUP($M3916,'Informations sur les produits'!$A$3:$H$10000,8,FALSE),"0")</f>
        <v>0</v>
      </c>
      <c r="P3916" s="33">
        <f t="shared" si="244"/>
        <v>0</v>
      </c>
      <c r="Q3916" s="31" t="str">
        <f t="shared" si="245"/>
        <v/>
      </c>
      <c r="R3916" s="32" t="str">
        <f>IFERROR(VLOOKUP($D3916,'Informations sur les produits'!$A$3:$B$15000,2,FALSE),"")</f>
        <v/>
      </c>
      <c r="V3916">
        <f t="shared" si="246"/>
        <v>0</v>
      </c>
      <c r="W3916">
        <f t="shared" si="247"/>
        <v>0</v>
      </c>
    </row>
    <row r="3917" spans="5:23" x14ac:dyDescent="0.25">
      <c r="E3917" s="4"/>
      <c r="F3917" s="4"/>
      <c r="G3917" s="33" t="str">
        <f>IFERROR(VLOOKUP($D3917,'Informations sur les produits'!$A$3:$H$10000,8,FALSE),"0")</f>
        <v>0</v>
      </c>
      <c r="K3917" s="4"/>
      <c r="L3917" s="33" t="str">
        <f>IFERROR(VLOOKUP($J3917,'Informations sur les produits'!$A$3:$H$10000,8,FALSE),"0")</f>
        <v>0</v>
      </c>
      <c r="N3917" s="8"/>
      <c r="O3917" s="33" t="str">
        <f>IFERROR(VLOOKUP($M3917,'Informations sur les produits'!$A$3:$H$10000,8,FALSE),"0")</f>
        <v>0</v>
      </c>
      <c r="P3917" s="33">
        <f t="shared" si="244"/>
        <v>0</v>
      </c>
      <c r="Q3917" s="31" t="str">
        <f t="shared" si="245"/>
        <v/>
      </c>
      <c r="R3917" s="32" t="str">
        <f>IFERROR(VLOOKUP($D3917,'Informations sur les produits'!$A$3:$B$15000,2,FALSE),"")</f>
        <v/>
      </c>
      <c r="V3917">
        <f t="shared" si="246"/>
        <v>0</v>
      </c>
      <c r="W3917">
        <f t="shared" si="247"/>
        <v>0</v>
      </c>
    </row>
    <row r="3918" spans="5:23" x14ac:dyDescent="0.25">
      <c r="E3918" s="4"/>
      <c r="F3918" s="4"/>
      <c r="G3918" s="33" t="str">
        <f>IFERROR(VLOOKUP($D3918,'Informations sur les produits'!$A$3:$H$10000,8,FALSE),"0")</f>
        <v>0</v>
      </c>
      <c r="K3918" s="4"/>
      <c r="L3918" s="33" t="str">
        <f>IFERROR(VLOOKUP($J3918,'Informations sur les produits'!$A$3:$H$10000,8,FALSE),"0")</f>
        <v>0</v>
      </c>
      <c r="N3918" s="8"/>
      <c r="O3918" s="33" t="str">
        <f>IFERROR(VLOOKUP($M3918,'Informations sur les produits'!$A$3:$H$10000,8,FALSE),"0")</f>
        <v>0</v>
      </c>
      <c r="P3918" s="33">
        <f t="shared" si="244"/>
        <v>0</v>
      </c>
      <c r="Q3918" s="31" t="str">
        <f t="shared" si="245"/>
        <v/>
      </c>
      <c r="R3918" s="32" t="str">
        <f>IFERROR(VLOOKUP($D3918,'Informations sur les produits'!$A$3:$B$15000,2,FALSE),"")</f>
        <v/>
      </c>
      <c r="V3918">
        <f t="shared" si="246"/>
        <v>0</v>
      </c>
      <c r="W3918">
        <f t="shared" si="247"/>
        <v>0</v>
      </c>
    </row>
    <row r="3919" spans="5:23" x14ac:dyDescent="0.25">
      <c r="E3919" s="4"/>
      <c r="F3919" s="4"/>
      <c r="G3919" s="33" t="str">
        <f>IFERROR(VLOOKUP($D3919,'Informations sur les produits'!$A$3:$H$10000,8,FALSE),"0")</f>
        <v>0</v>
      </c>
      <c r="K3919" s="4"/>
      <c r="L3919" s="33" t="str">
        <f>IFERROR(VLOOKUP($J3919,'Informations sur les produits'!$A$3:$H$10000,8,FALSE),"0")</f>
        <v>0</v>
      </c>
      <c r="N3919" s="8"/>
      <c r="O3919" s="33" t="str">
        <f>IFERROR(VLOOKUP($M3919,'Informations sur les produits'!$A$3:$H$10000,8,FALSE),"0")</f>
        <v>0</v>
      </c>
      <c r="P3919" s="33">
        <f t="shared" si="244"/>
        <v>0</v>
      </c>
      <c r="Q3919" s="31" t="str">
        <f t="shared" si="245"/>
        <v/>
      </c>
      <c r="R3919" s="32" t="str">
        <f>IFERROR(VLOOKUP($D3919,'Informations sur les produits'!$A$3:$B$15000,2,FALSE),"")</f>
        <v/>
      </c>
      <c r="V3919">
        <f t="shared" si="246"/>
        <v>0</v>
      </c>
      <c r="W3919">
        <f t="shared" si="247"/>
        <v>0</v>
      </c>
    </row>
    <row r="3920" spans="5:23" x14ac:dyDescent="0.25">
      <c r="E3920" s="4"/>
      <c r="F3920" s="4"/>
      <c r="G3920" s="33" t="str">
        <f>IFERROR(VLOOKUP($D3920,'Informations sur les produits'!$A$3:$H$10000,8,FALSE),"0")</f>
        <v>0</v>
      </c>
      <c r="K3920" s="4"/>
      <c r="L3920" s="33" t="str">
        <f>IFERROR(VLOOKUP($J3920,'Informations sur les produits'!$A$3:$H$10000,8,FALSE),"0")</f>
        <v>0</v>
      </c>
      <c r="N3920" s="8"/>
      <c r="O3920" s="33" t="str">
        <f>IFERROR(VLOOKUP($M3920,'Informations sur les produits'!$A$3:$H$10000,8,FALSE),"0")</f>
        <v>0</v>
      </c>
      <c r="P3920" s="33">
        <f t="shared" si="244"/>
        <v>0</v>
      </c>
      <c r="Q3920" s="31" t="str">
        <f t="shared" si="245"/>
        <v/>
      </c>
      <c r="R3920" s="32" t="str">
        <f>IFERROR(VLOOKUP($D3920,'Informations sur les produits'!$A$3:$B$15000,2,FALSE),"")</f>
        <v/>
      </c>
      <c r="V3920">
        <f t="shared" si="246"/>
        <v>0</v>
      </c>
      <c r="W3920">
        <f t="shared" si="247"/>
        <v>0</v>
      </c>
    </row>
    <row r="3921" spans="5:23" x14ac:dyDescent="0.25">
      <c r="E3921" s="4"/>
      <c r="F3921" s="4"/>
      <c r="G3921" s="33" t="str">
        <f>IFERROR(VLOOKUP($D3921,'Informations sur les produits'!$A$3:$H$10000,8,FALSE),"0")</f>
        <v>0</v>
      </c>
      <c r="K3921" s="4"/>
      <c r="L3921" s="33" t="str">
        <f>IFERROR(VLOOKUP($J3921,'Informations sur les produits'!$A$3:$H$10000,8,FALSE),"0")</f>
        <v>0</v>
      </c>
      <c r="N3921" s="8"/>
      <c r="O3921" s="33" t="str">
        <f>IFERROR(VLOOKUP($M3921,'Informations sur les produits'!$A$3:$H$10000,8,FALSE),"0")</f>
        <v>0</v>
      </c>
      <c r="P3921" s="33">
        <f t="shared" si="244"/>
        <v>0</v>
      </c>
      <c r="Q3921" s="31" t="str">
        <f t="shared" si="245"/>
        <v/>
      </c>
      <c r="R3921" s="32" t="str">
        <f>IFERROR(VLOOKUP($D3921,'Informations sur les produits'!$A$3:$B$15000,2,FALSE),"")</f>
        <v/>
      </c>
      <c r="V3921">
        <f t="shared" si="246"/>
        <v>0</v>
      </c>
      <c r="W3921">
        <f t="shared" si="247"/>
        <v>0</v>
      </c>
    </row>
    <row r="3922" spans="5:23" x14ac:dyDescent="0.25">
      <c r="E3922" s="4"/>
      <c r="F3922" s="4"/>
      <c r="G3922" s="33" t="str">
        <f>IFERROR(VLOOKUP($D3922,'Informations sur les produits'!$A$3:$H$10000,8,FALSE),"0")</f>
        <v>0</v>
      </c>
      <c r="K3922" s="4"/>
      <c r="L3922" s="33" t="str">
        <f>IFERROR(VLOOKUP($J3922,'Informations sur les produits'!$A$3:$H$10000,8,FALSE),"0")</f>
        <v>0</v>
      </c>
      <c r="N3922" s="8"/>
      <c r="O3922" s="33" t="str">
        <f>IFERROR(VLOOKUP($M3922,'Informations sur les produits'!$A$3:$H$10000,8,FALSE),"0")</f>
        <v>0</v>
      </c>
      <c r="P3922" s="33">
        <f t="shared" si="244"/>
        <v>0</v>
      </c>
      <c r="Q3922" s="31" t="str">
        <f t="shared" si="245"/>
        <v/>
      </c>
      <c r="R3922" s="32" t="str">
        <f>IFERROR(VLOOKUP($D3922,'Informations sur les produits'!$A$3:$B$15000,2,FALSE),"")</f>
        <v/>
      </c>
      <c r="V3922">
        <f t="shared" si="246"/>
        <v>0</v>
      </c>
      <c r="W3922">
        <f t="shared" si="247"/>
        <v>0</v>
      </c>
    </row>
    <row r="3923" spans="5:23" x14ac:dyDescent="0.25">
      <c r="E3923" s="4"/>
      <c r="F3923" s="4"/>
      <c r="G3923" s="33" t="str">
        <f>IFERROR(VLOOKUP($D3923,'Informations sur les produits'!$A$3:$H$10000,8,FALSE),"0")</f>
        <v>0</v>
      </c>
      <c r="K3923" s="4"/>
      <c r="L3923" s="33" t="str">
        <f>IFERROR(VLOOKUP($J3923,'Informations sur les produits'!$A$3:$H$10000,8,FALSE),"0")</f>
        <v>0</v>
      </c>
      <c r="N3923" s="8"/>
      <c r="O3923" s="33" t="str">
        <f>IFERROR(VLOOKUP($M3923,'Informations sur les produits'!$A$3:$H$10000,8,FALSE),"0")</f>
        <v>0</v>
      </c>
      <c r="P3923" s="33">
        <f t="shared" si="244"/>
        <v>0</v>
      </c>
      <c r="Q3923" s="31" t="str">
        <f t="shared" si="245"/>
        <v/>
      </c>
      <c r="R3923" s="32" t="str">
        <f>IFERROR(VLOOKUP($D3923,'Informations sur les produits'!$A$3:$B$15000,2,FALSE),"")</f>
        <v/>
      </c>
      <c r="V3923">
        <f t="shared" si="246"/>
        <v>0</v>
      </c>
      <c r="W3923">
        <f t="shared" si="247"/>
        <v>0</v>
      </c>
    </row>
    <row r="3924" spans="5:23" x14ac:dyDescent="0.25">
      <c r="E3924" s="4"/>
      <c r="F3924" s="4"/>
      <c r="G3924" s="33" t="str">
        <f>IFERROR(VLOOKUP($D3924,'Informations sur les produits'!$A$3:$H$10000,8,FALSE),"0")</f>
        <v>0</v>
      </c>
      <c r="K3924" s="4"/>
      <c r="L3924" s="33" t="str">
        <f>IFERROR(VLOOKUP($J3924,'Informations sur les produits'!$A$3:$H$10000,8,FALSE),"0")</f>
        <v>0</v>
      </c>
      <c r="N3924" s="8"/>
      <c r="O3924" s="33" t="str">
        <f>IFERROR(VLOOKUP($M3924,'Informations sur les produits'!$A$3:$H$10000,8,FALSE),"0")</f>
        <v>0</v>
      </c>
      <c r="P3924" s="33">
        <f t="shared" si="244"/>
        <v>0</v>
      </c>
      <c r="Q3924" s="31" t="str">
        <f t="shared" si="245"/>
        <v/>
      </c>
      <c r="R3924" s="32" t="str">
        <f>IFERROR(VLOOKUP($D3924,'Informations sur les produits'!$A$3:$B$15000,2,FALSE),"")</f>
        <v/>
      </c>
      <c r="V3924">
        <f t="shared" si="246"/>
        <v>0</v>
      </c>
      <c r="W3924">
        <f t="shared" si="247"/>
        <v>0</v>
      </c>
    </row>
    <row r="3925" spans="5:23" x14ac:dyDescent="0.25">
      <c r="E3925" s="4"/>
      <c r="F3925" s="4"/>
      <c r="G3925" s="33" t="str">
        <f>IFERROR(VLOOKUP($D3925,'Informations sur les produits'!$A$3:$H$10000,8,FALSE),"0")</f>
        <v>0</v>
      </c>
      <c r="K3925" s="4"/>
      <c r="L3925" s="33" t="str">
        <f>IFERROR(VLOOKUP($J3925,'Informations sur les produits'!$A$3:$H$10000,8,FALSE),"0")</f>
        <v>0</v>
      </c>
      <c r="N3925" s="8"/>
      <c r="O3925" s="33" t="str">
        <f>IFERROR(VLOOKUP($M3925,'Informations sur les produits'!$A$3:$H$10000,8,FALSE),"0")</f>
        <v>0</v>
      </c>
      <c r="P3925" s="33">
        <f t="shared" si="244"/>
        <v>0</v>
      </c>
      <c r="Q3925" s="31" t="str">
        <f t="shared" si="245"/>
        <v/>
      </c>
      <c r="R3925" s="32" t="str">
        <f>IFERROR(VLOOKUP($D3925,'Informations sur les produits'!$A$3:$B$15000,2,FALSE),"")</f>
        <v/>
      </c>
      <c r="V3925">
        <f t="shared" si="246"/>
        <v>0</v>
      </c>
      <c r="W3925">
        <f t="shared" si="247"/>
        <v>0</v>
      </c>
    </row>
    <row r="3926" spans="5:23" x14ac:dyDescent="0.25">
      <c r="E3926" s="4"/>
      <c r="F3926" s="4"/>
      <c r="G3926" s="33" t="str">
        <f>IFERROR(VLOOKUP($D3926,'Informations sur les produits'!$A$3:$H$10000,8,FALSE),"0")</f>
        <v>0</v>
      </c>
      <c r="K3926" s="4"/>
      <c r="L3926" s="33" t="str">
        <f>IFERROR(VLOOKUP($J3926,'Informations sur les produits'!$A$3:$H$10000,8,FALSE),"0")</f>
        <v>0</v>
      </c>
      <c r="N3926" s="8"/>
      <c r="O3926" s="33" t="str">
        <f>IFERROR(VLOOKUP($M3926,'Informations sur les produits'!$A$3:$H$10000,8,FALSE),"0")</f>
        <v>0</v>
      </c>
      <c r="P3926" s="33">
        <f t="shared" si="244"/>
        <v>0</v>
      </c>
      <c r="Q3926" s="31" t="str">
        <f t="shared" si="245"/>
        <v/>
      </c>
      <c r="R3926" s="32" t="str">
        <f>IFERROR(VLOOKUP($D3926,'Informations sur les produits'!$A$3:$B$15000,2,FALSE),"")</f>
        <v/>
      </c>
      <c r="V3926">
        <f t="shared" si="246"/>
        <v>0</v>
      </c>
      <c r="W3926">
        <f t="shared" si="247"/>
        <v>0</v>
      </c>
    </row>
    <row r="3927" spans="5:23" x14ac:dyDescent="0.25">
      <c r="E3927" s="4"/>
      <c r="F3927" s="4"/>
      <c r="G3927" s="33" t="str">
        <f>IFERROR(VLOOKUP($D3927,'Informations sur les produits'!$A$3:$H$10000,8,FALSE),"0")</f>
        <v>0</v>
      </c>
      <c r="K3927" s="4"/>
      <c r="L3927" s="33" t="str">
        <f>IFERROR(VLOOKUP($J3927,'Informations sur les produits'!$A$3:$H$10000,8,FALSE),"0")</f>
        <v>0</v>
      </c>
      <c r="N3927" s="8"/>
      <c r="O3927" s="33" t="str">
        <f>IFERROR(VLOOKUP($M3927,'Informations sur les produits'!$A$3:$H$10000,8,FALSE),"0")</f>
        <v>0</v>
      </c>
      <c r="P3927" s="33">
        <f t="shared" si="244"/>
        <v>0</v>
      </c>
      <c r="Q3927" s="31" t="str">
        <f t="shared" si="245"/>
        <v/>
      </c>
      <c r="R3927" s="32" t="str">
        <f>IFERROR(VLOOKUP($D3927,'Informations sur les produits'!$A$3:$B$15000,2,FALSE),"")</f>
        <v/>
      </c>
      <c r="V3927">
        <f t="shared" si="246"/>
        <v>0</v>
      </c>
      <c r="W3927">
        <f t="shared" si="247"/>
        <v>0</v>
      </c>
    </row>
    <row r="3928" spans="5:23" x14ac:dyDescent="0.25">
      <c r="E3928" s="4"/>
      <c r="F3928" s="4"/>
      <c r="G3928" s="33" t="str">
        <f>IFERROR(VLOOKUP($D3928,'Informations sur les produits'!$A$3:$H$10000,8,FALSE),"0")</f>
        <v>0</v>
      </c>
      <c r="K3928" s="4"/>
      <c r="L3928" s="33" t="str">
        <f>IFERROR(VLOOKUP($J3928,'Informations sur les produits'!$A$3:$H$10000,8,FALSE),"0")</f>
        <v>0</v>
      </c>
      <c r="N3928" s="8"/>
      <c r="O3928" s="33" t="str">
        <f>IFERROR(VLOOKUP($M3928,'Informations sur les produits'!$A$3:$H$10000,8,FALSE),"0")</f>
        <v>0</v>
      </c>
      <c r="P3928" s="33">
        <f t="shared" si="244"/>
        <v>0</v>
      </c>
      <c r="Q3928" s="31" t="str">
        <f t="shared" si="245"/>
        <v/>
      </c>
      <c r="R3928" s="32" t="str">
        <f>IFERROR(VLOOKUP($D3928,'Informations sur les produits'!$A$3:$B$15000,2,FALSE),"")</f>
        <v/>
      </c>
      <c r="V3928">
        <f t="shared" si="246"/>
        <v>0</v>
      </c>
      <c r="W3928">
        <f t="shared" si="247"/>
        <v>0</v>
      </c>
    </row>
    <row r="3929" spans="5:23" x14ac:dyDescent="0.25">
      <c r="E3929" s="4"/>
      <c r="F3929" s="4"/>
      <c r="G3929" s="33" t="str">
        <f>IFERROR(VLOOKUP($D3929,'Informations sur les produits'!$A$3:$H$10000,8,FALSE),"0")</f>
        <v>0</v>
      </c>
      <c r="K3929" s="4"/>
      <c r="L3929" s="33" t="str">
        <f>IFERROR(VLOOKUP($J3929,'Informations sur les produits'!$A$3:$H$10000,8,FALSE),"0")</f>
        <v>0</v>
      </c>
      <c r="N3929" s="8"/>
      <c r="O3929" s="33" t="str">
        <f>IFERROR(VLOOKUP($M3929,'Informations sur les produits'!$A$3:$H$10000,8,FALSE),"0")</f>
        <v>0</v>
      </c>
      <c r="P3929" s="33">
        <f t="shared" si="244"/>
        <v>0</v>
      </c>
      <c r="Q3929" s="31" t="str">
        <f t="shared" si="245"/>
        <v/>
      </c>
      <c r="R3929" s="32" t="str">
        <f>IFERROR(VLOOKUP($D3929,'Informations sur les produits'!$A$3:$B$15000,2,FALSE),"")</f>
        <v/>
      </c>
      <c r="V3929">
        <f t="shared" si="246"/>
        <v>0</v>
      </c>
      <c r="W3929">
        <f t="shared" si="247"/>
        <v>0</v>
      </c>
    </row>
    <row r="3930" spans="5:23" x14ac:dyDescent="0.25">
      <c r="E3930" s="4"/>
      <c r="F3930" s="4"/>
      <c r="G3930" s="33" t="str">
        <f>IFERROR(VLOOKUP($D3930,'Informations sur les produits'!$A$3:$H$10000,8,FALSE),"0")</f>
        <v>0</v>
      </c>
      <c r="K3930" s="4"/>
      <c r="L3930" s="33" t="str">
        <f>IFERROR(VLOOKUP($J3930,'Informations sur les produits'!$A$3:$H$10000,8,FALSE),"0")</f>
        <v>0</v>
      </c>
      <c r="N3930" s="8"/>
      <c r="O3930" s="33" t="str">
        <f>IFERROR(VLOOKUP($M3930,'Informations sur les produits'!$A$3:$H$10000,8,FALSE),"0")</f>
        <v>0</v>
      </c>
      <c r="P3930" s="33">
        <f t="shared" si="244"/>
        <v>0</v>
      </c>
      <c r="Q3930" s="31" t="str">
        <f t="shared" si="245"/>
        <v/>
      </c>
      <c r="R3930" s="32" t="str">
        <f>IFERROR(VLOOKUP($D3930,'Informations sur les produits'!$A$3:$B$15000,2,FALSE),"")</f>
        <v/>
      </c>
      <c r="V3930">
        <f t="shared" si="246"/>
        <v>0</v>
      </c>
      <c r="W3930">
        <f t="shared" si="247"/>
        <v>0</v>
      </c>
    </row>
    <row r="3931" spans="5:23" x14ac:dyDescent="0.25">
      <c r="E3931" s="4"/>
      <c r="F3931" s="4"/>
      <c r="G3931" s="33" t="str">
        <f>IFERROR(VLOOKUP($D3931,'Informations sur les produits'!$A$3:$H$10000,8,FALSE),"0")</f>
        <v>0</v>
      </c>
      <c r="K3931" s="4"/>
      <c r="L3931" s="33" t="str">
        <f>IFERROR(VLOOKUP($J3931,'Informations sur les produits'!$A$3:$H$10000,8,FALSE),"0")</f>
        <v>0</v>
      </c>
      <c r="N3931" s="8"/>
      <c r="O3931" s="33" t="str">
        <f>IFERROR(VLOOKUP($M3931,'Informations sur les produits'!$A$3:$H$10000,8,FALSE),"0")</f>
        <v>0</v>
      </c>
      <c r="P3931" s="33">
        <f t="shared" si="244"/>
        <v>0</v>
      </c>
      <c r="Q3931" s="31" t="str">
        <f t="shared" si="245"/>
        <v/>
      </c>
      <c r="R3931" s="32" t="str">
        <f>IFERROR(VLOOKUP($D3931,'Informations sur les produits'!$A$3:$B$15000,2,FALSE),"")</f>
        <v/>
      </c>
      <c r="V3931">
        <f t="shared" si="246"/>
        <v>0</v>
      </c>
      <c r="W3931">
        <f t="shared" si="247"/>
        <v>0</v>
      </c>
    </row>
    <row r="3932" spans="5:23" x14ac:dyDescent="0.25">
      <c r="E3932" s="4"/>
      <c r="F3932" s="4"/>
      <c r="G3932" s="33" t="str">
        <f>IFERROR(VLOOKUP($D3932,'Informations sur les produits'!$A$3:$H$10000,8,FALSE),"0")</f>
        <v>0</v>
      </c>
      <c r="K3932" s="4"/>
      <c r="L3932" s="33" t="str">
        <f>IFERROR(VLOOKUP($J3932,'Informations sur les produits'!$A$3:$H$10000,8,FALSE),"0")</f>
        <v>0</v>
      </c>
      <c r="N3932" s="8"/>
      <c r="O3932" s="33" t="str">
        <f>IFERROR(VLOOKUP($M3932,'Informations sur les produits'!$A$3:$H$10000,8,FALSE),"0")</f>
        <v>0</v>
      </c>
      <c r="P3932" s="33">
        <f t="shared" si="244"/>
        <v>0</v>
      </c>
      <c r="Q3932" s="31" t="str">
        <f t="shared" si="245"/>
        <v/>
      </c>
      <c r="R3932" s="32" t="str">
        <f>IFERROR(VLOOKUP($D3932,'Informations sur les produits'!$A$3:$B$15000,2,FALSE),"")</f>
        <v/>
      </c>
      <c r="V3932">
        <f t="shared" si="246"/>
        <v>0</v>
      </c>
      <c r="W3932">
        <f t="shared" si="247"/>
        <v>0</v>
      </c>
    </row>
    <row r="3933" spans="5:23" x14ac:dyDescent="0.25">
      <c r="E3933" s="4"/>
      <c r="F3933" s="4"/>
      <c r="G3933" s="33" t="str">
        <f>IFERROR(VLOOKUP($D3933,'Informations sur les produits'!$A$3:$H$10000,8,FALSE),"0")</f>
        <v>0</v>
      </c>
      <c r="K3933" s="4"/>
      <c r="L3933" s="33" t="str">
        <f>IFERROR(VLOOKUP($J3933,'Informations sur les produits'!$A$3:$H$10000,8,FALSE),"0")</f>
        <v>0</v>
      </c>
      <c r="N3933" s="8"/>
      <c r="O3933" s="33" t="str">
        <f>IFERROR(VLOOKUP($M3933,'Informations sur les produits'!$A$3:$H$10000,8,FALSE),"0")</f>
        <v>0</v>
      </c>
      <c r="P3933" s="33">
        <f t="shared" si="244"/>
        <v>0</v>
      </c>
      <c r="Q3933" s="31" t="str">
        <f t="shared" si="245"/>
        <v/>
      </c>
      <c r="R3933" s="32" t="str">
        <f>IFERROR(VLOOKUP($D3933,'Informations sur les produits'!$A$3:$B$15000,2,FALSE),"")</f>
        <v/>
      </c>
      <c r="V3933">
        <f t="shared" si="246"/>
        <v>0</v>
      </c>
      <c r="W3933">
        <f t="shared" si="247"/>
        <v>0</v>
      </c>
    </row>
    <row r="3934" spans="5:23" x14ac:dyDescent="0.25">
      <c r="E3934" s="4"/>
      <c r="F3934" s="4"/>
      <c r="G3934" s="33" t="str">
        <f>IFERROR(VLOOKUP($D3934,'Informations sur les produits'!$A$3:$H$10000,8,FALSE),"0")</f>
        <v>0</v>
      </c>
      <c r="K3934" s="4"/>
      <c r="L3934" s="33" t="str">
        <f>IFERROR(VLOOKUP($J3934,'Informations sur les produits'!$A$3:$H$10000,8,FALSE),"0")</f>
        <v>0</v>
      </c>
      <c r="N3934" s="8"/>
      <c r="O3934" s="33" t="str">
        <f>IFERROR(VLOOKUP($M3934,'Informations sur les produits'!$A$3:$H$10000,8,FALSE),"0")</f>
        <v>0</v>
      </c>
      <c r="P3934" s="33">
        <f t="shared" si="244"/>
        <v>0</v>
      </c>
      <c r="Q3934" s="31" t="str">
        <f t="shared" si="245"/>
        <v/>
      </c>
      <c r="R3934" s="32" t="str">
        <f>IFERROR(VLOOKUP($D3934,'Informations sur les produits'!$A$3:$B$15000,2,FALSE),"")</f>
        <v/>
      </c>
      <c r="V3934">
        <f t="shared" si="246"/>
        <v>0</v>
      </c>
      <c r="W3934">
        <f t="shared" si="247"/>
        <v>0</v>
      </c>
    </row>
    <row r="3935" spans="5:23" x14ac:dyDescent="0.25">
      <c r="E3935" s="4"/>
      <c r="F3935" s="4"/>
      <c r="G3935" s="33" t="str">
        <f>IFERROR(VLOOKUP($D3935,'Informations sur les produits'!$A$3:$H$10000,8,FALSE),"0")</f>
        <v>0</v>
      </c>
      <c r="K3935" s="4"/>
      <c r="L3935" s="33" t="str">
        <f>IFERROR(VLOOKUP($J3935,'Informations sur les produits'!$A$3:$H$10000,8,FALSE),"0")</f>
        <v>0</v>
      </c>
      <c r="N3935" s="8"/>
      <c r="O3935" s="33" t="str">
        <f>IFERROR(VLOOKUP($M3935,'Informations sur les produits'!$A$3:$H$10000,8,FALSE),"0")</f>
        <v>0</v>
      </c>
      <c r="P3935" s="33">
        <f t="shared" si="244"/>
        <v>0</v>
      </c>
      <c r="Q3935" s="31" t="str">
        <f t="shared" si="245"/>
        <v/>
      </c>
      <c r="R3935" s="32" t="str">
        <f>IFERROR(VLOOKUP($D3935,'Informations sur les produits'!$A$3:$B$15000,2,FALSE),"")</f>
        <v/>
      </c>
      <c r="V3935">
        <f t="shared" si="246"/>
        <v>0</v>
      </c>
      <c r="W3935">
        <f t="shared" si="247"/>
        <v>0</v>
      </c>
    </row>
    <row r="3936" spans="5:23" x14ac:dyDescent="0.25">
      <c r="E3936" s="4"/>
      <c r="F3936" s="4"/>
      <c r="G3936" s="33" t="str">
        <f>IFERROR(VLOOKUP($D3936,'Informations sur les produits'!$A$3:$H$10000,8,FALSE),"0")</f>
        <v>0</v>
      </c>
      <c r="K3936" s="4"/>
      <c r="L3936" s="33" t="str">
        <f>IFERROR(VLOOKUP($J3936,'Informations sur les produits'!$A$3:$H$10000,8,FALSE),"0")</f>
        <v>0</v>
      </c>
      <c r="N3936" s="8"/>
      <c r="O3936" s="33" t="str">
        <f>IFERROR(VLOOKUP($M3936,'Informations sur les produits'!$A$3:$H$10000,8,FALSE),"0")</f>
        <v>0</v>
      </c>
      <c r="P3936" s="33">
        <f t="shared" si="244"/>
        <v>0</v>
      </c>
      <c r="Q3936" s="31" t="str">
        <f t="shared" si="245"/>
        <v/>
      </c>
      <c r="R3936" s="32" t="str">
        <f>IFERROR(VLOOKUP($D3936,'Informations sur les produits'!$A$3:$B$15000,2,FALSE),"")</f>
        <v/>
      </c>
      <c r="V3936">
        <f t="shared" si="246"/>
        <v>0</v>
      </c>
      <c r="W3936">
        <f t="shared" si="247"/>
        <v>0</v>
      </c>
    </row>
    <row r="3937" spans="5:23" x14ac:dyDescent="0.25">
      <c r="E3937" s="4"/>
      <c r="F3937" s="4"/>
      <c r="G3937" s="33" t="str">
        <f>IFERROR(VLOOKUP($D3937,'Informations sur les produits'!$A$3:$H$10000,8,FALSE),"0")</f>
        <v>0</v>
      </c>
      <c r="K3937" s="4"/>
      <c r="L3937" s="33" t="str">
        <f>IFERROR(VLOOKUP($J3937,'Informations sur les produits'!$A$3:$H$10000,8,FALSE),"0")</f>
        <v>0</v>
      </c>
      <c r="N3937" s="8"/>
      <c r="O3937" s="33" t="str">
        <f>IFERROR(VLOOKUP($M3937,'Informations sur les produits'!$A$3:$H$10000,8,FALSE),"0")</f>
        <v>0</v>
      </c>
      <c r="P3937" s="33">
        <f t="shared" si="244"/>
        <v>0</v>
      </c>
      <c r="Q3937" s="31" t="str">
        <f t="shared" si="245"/>
        <v/>
      </c>
      <c r="R3937" s="32" t="str">
        <f>IFERROR(VLOOKUP($D3937,'Informations sur les produits'!$A$3:$B$15000,2,FALSE),"")</f>
        <v/>
      </c>
      <c r="V3937">
        <f t="shared" si="246"/>
        <v>0</v>
      </c>
      <c r="W3937">
        <f t="shared" si="247"/>
        <v>0</v>
      </c>
    </row>
    <row r="3938" spans="5:23" x14ac:dyDescent="0.25">
      <c r="E3938" s="4"/>
      <c r="F3938" s="4"/>
      <c r="G3938" s="33" t="str">
        <f>IFERROR(VLOOKUP($D3938,'Informations sur les produits'!$A$3:$H$10000,8,FALSE),"0")</f>
        <v>0</v>
      </c>
      <c r="K3938" s="4"/>
      <c r="L3938" s="33" t="str">
        <f>IFERROR(VLOOKUP($J3938,'Informations sur les produits'!$A$3:$H$10000,8,FALSE),"0")</f>
        <v>0</v>
      </c>
      <c r="N3938" s="8"/>
      <c r="O3938" s="33" t="str">
        <f>IFERROR(VLOOKUP($M3938,'Informations sur les produits'!$A$3:$H$10000,8,FALSE),"0")</f>
        <v>0</v>
      </c>
      <c r="P3938" s="33">
        <f t="shared" si="244"/>
        <v>0</v>
      </c>
      <c r="Q3938" s="31" t="str">
        <f t="shared" si="245"/>
        <v/>
      </c>
      <c r="R3938" s="32" t="str">
        <f>IFERROR(VLOOKUP($D3938,'Informations sur les produits'!$A$3:$B$15000,2,FALSE),"")</f>
        <v/>
      </c>
      <c r="V3938">
        <f t="shared" si="246"/>
        <v>0</v>
      </c>
      <c r="W3938">
        <f t="shared" si="247"/>
        <v>0</v>
      </c>
    </row>
    <row r="3939" spans="5:23" x14ac:dyDescent="0.25">
      <c r="E3939" s="4"/>
      <c r="F3939" s="4"/>
      <c r="G3939" s="33" t="str">
        <f>IFERROR(VLOOKUP($D3939,'Informations sur les produits'!$A$3:$H$10000,8,FALSE),"0")</f>
        <v>0</v>
      </c>
      <c r="K3939" s="4"/>
      <c r="L3939" s="33" t="str">
        <f>IFERROR(VLOOKUP($J3939,'Informations sur les produits'!$A$3:$H$10000,8,FALSE),"0")</f>
        <v>0</v>
      </c>
      <c r="N3939" s="8"/>
      <c r="O3939" s="33" t="str">
        <f>IFERROR(VLOOKUP($M3939,'Informations sur les produits'!$A$3:$H$10000,8,FALSE),"0")</f>
        <v>0</v>
      </c>
      <c r="P3939" s="33">
        <f t="shared" si="244"/>
        <v>0</v>
      </c>
      <c r="Q3939" s="31" t="str">
        <f t="shared" si="245"/>
        <v/>
      </c>
      <c r="R3939" s="32" t="str">
        <f>IFERROR(VLOOKUP($D3939,'Informations sur les produits'!$A$3:$B$15000,2,FALSE),"")</f>
        <v/>
      </c>
      <c r="V3939">
        <f t="shared" si="246"/>
        <v>0</v>
      </c>
      <c r="W3939">
        <f t="shared" si="247"/>
        <v>0</v>
      </c>
    </row>
    <row r="3940" spans="5:23" x14ac:dyDescent="0.25">
      <c r="E3940" s="4"/>
      <c r="F3940" s="4"/>
      <c r="G3940" s="33" t="str">
        <f>IFERROR(VLOOKUP($D3940,'Informations sur les produits'!$A$3:$H$10000,8,FALSE),"0")</f>
        <v>0</v>
      </c>
      <c r="K3940" s="4"/>
      <c r="L3940" s="33" t="str">
        <f>IFERROR(VLOOKUP($J3940,'Informations sur les produits'!$A$3:$H$10000,8,FALSE),"0")</f>
        <v>0</v>
      </c>
      <c r="N3940" s="8"/>
      <c r="O3940" s="33" t="str">
        <f>IFERROR(VLOOKUP($M3940,'Informations sur les produits'!$A$3:$H$10000,8,FALSE),"0")</f>
        <v>0</v>
      </c>
      <c r="P3940" s="33">
        <f t="shared" si="244"/>
        <v>0</v>
      </c>
      <c r="Q3940" s="31" t="str">
        <f t="shared" si="245"/>
        <v/>
      </c>
      <c r="R3940" s="32" t="str">
        <f>IFERROR(VLOOKUP($D3940,'Informations sur les produits'!$A$3:$B$15000,2,FALSE),"")</f>
        <v/>
      </c>
      <c r="V3940">
        <f t="shared" si="246"/>
        <v>0</v>
      </c>
      <c r="W3940">
        <f t="shared" si="247"/>
        <v>0</v>
      </c>
    </row>
    <row r="3941" spans="5:23" x14ac:dyDescent="0.25">
      <c r="E3941" s="4"/>
      <c r="F3941" s="4"/>
      <c r="G3941" s="33" t="str">
        <f>IFERROR(VLOOKUP($D3941,'Informations sur les produits'!$A$3:$H$10000,8,FALSE),"0")</f>
        <v>0</v>
      </c>
      <c r="K3941" s="4"/>
      <c r="L3941" s="33" t="str">
        <f>IFERROR(VLOOKUP($J3941,'Informations sur les produits'!$A$3:$H$10000,8,FALSE),"0")</f>
        <v>0</v>
      </c>
      <c r="N3941" s="8"/>
      <c r="O3941" s="33" t="str">
        <f>IFERROR(VLOOKUP($M3941,'Informations sur les produits'!$A$3:$H$10000,8,FALSE),"0")</f>
        <v>0</v>
      </c>
      <c r="P3941" s="33">
        <f t="shared" si="244"/>
        <v>0</v>
      </c>
      <c r="Q3941" s="31" t="str">
        <f t="shared" si="245"/>
        <v/>
      </c>
      <c r="R3941" s="32" t="str">
        <f>IFERROR(VLOOKUP($D3941,'Informations sur les produits'!$A$3:$B$15000,2,FALSE),"")</f>
        <v/>
      </c>
      <c r="V3941">
        <f t="shared" si="246"/>
        <v>0</v>
      </c>
      <c r="W3941">
        <f t="shared" si="247"/>
        <v>0</v>
      </c>
    </row>
    <row r="3942" spans="5:23" x14ac:dyDescent="0.25">
      <c r="E3942" s="4"/>
      <c r="F3942" s="4"/>
      <c r="G3942" s="33" t="str">
        <f>IFERROR(VLOOKUP($D3942,'Informations sur les produits'!$A$3:$H$10000,8,FALSE),"0")</f>
        <v>0</v>
      </c>
      <c r="K3942" s="4"/>
      <c r="L3942" s="33" t="str">
        <f>IFERROR(VLOOKUP($J3942,'Informations sur les produits'!$A$3:$H$10000,8,FALSE),"0")</f>
        <v>0</v>
      </c>
      <c r="N3942" s="8"/>
      <c r="O3942" s="33" t="str">
        <f>IFERROR(VLOOKUP($M3942,'Informations sur les produits'!$A$3:$H$10000,8,FALSE),"0")</f>
        <v>0</v>
      </c>
      <c r="P3942" s="33">
        <f t="shared" si="244"/>
        <v>0</v>
      </c>
      <c r="Q3942" s="31" t="str">
        <f t="shared" si="245"/>
        <v/>
      </c>
      <c r="R3942" s="32" t="str">
        <f>IFERROR(VLOOKUP($D3942,'Informations sur les produits'!$A$3:$B$15000,2,FALSE),"")</f>
        <v/>
      </c>
      <c r="V3942">
        <f t="shared" si="246"/>
        <v>0</v>
      </c>
      <c r="W3942">
        <f t="shared" si="247"/>
        <v>0</v>
      </c>
    </row>
    <row r="3943" spans="5:23" x14ac:dyDescent="0.25">
      <c r="E3943" s="4"/>
      <c r="F3943" s="4"/>
      <c r="G3943" s="33" t="str">
        <f>IFERROR(VLOOKUP($D3943,'Informations sur les produits'!$A$3:$H$10000,8,FALSE),"0")</f>
        <v>0</v>
      </c>
      <c r="K3943" s="4"/>
      <c r="L3943" s="33" t="str">
        <f>IFERROR(VLOOKUP($J3943,'Informations sur les produits'!$A$3:$H$10000,8,FALSE),"0")</f>
        <v>0</v>
      </c>
      <c r="N3943" s="8"/>
      <c r="O3943" s="33" t="str">
        <f>IFERROR(VLOOKUP($M3943,'Informations sur les produits'!$A$3:$H$10000,8,FALSE),"0")</f>
        <v>0</v>
      </c>
      <c r="P3943" s="33">
        <f t="shared" si="244"/>
        <v>0</v>
      </c>
      <c r="Q3943" s="31" t="str">
        <f t="shared" si="245"/>
        <v/>
      </c>
      <c r="R3943" s="32" t="str">
        <f>IFERROR(VLOOKUP($D3943,'Informations sur les produits'!$A$3:$B$15000,2,FALSE),"")</f>
        <v/>
      </c>
      <c r="V3943">
        <f t="shared" si="246"/>
        <v>0</v>
      </c>
      <c r="W3943">
        <f t="shared" si="247"/>
        <v>0</v>
      </c>
    </row>
    <row r="3944" spans="5:23" x14ac:dyDescent="0.25">
      <c r="E3944" s="4"/>
      <c r="F3944" s="4"/>
      <c r="G3944" s="33" t="str">
        <f>IFERROR(VLOOKUP($D3944,'Informations sur les produits'!$A$3:$H$10000,8,FALSE),"0")</f>
        <v>0</v>
      </c>
      <c r="K3944" s="4"/>
      <c r="L3944" s="33" t="str">
        <f>IFERROR(VLOOKUP($J3944,'Informations sur les produits'!$A$3:$H$10000,8,FALSE),"0")</f>
        <v>0</v>
      </c>
      <c r="N3944" s="8"/>
      <c r="O3944" s="33" t="str">
        <f>IFERROR(VLOOKUP($M3944,'Informations sur les produits'!$A$3:$H$10000,8,FALSE),"0")</f>
        <v>0</v>
      </c>
      <c r="P3944" s="33">
        <f t="shared" si="244"/>
        <v>0</v>
      </c>
      <c r="Q3944" s="31" t="str">
        <f t="shared" si="245"/>
        <v/>
      </c>
      <c r="R3944" s="32" t="str">
        <f>IFERROR(VLOOKUP($D3944,'Informations sur les produits'!$A$3:$B$15000,2,FALSE),"")</f>
        <v/>
      </c>
      <c r="V3944">
        <f t="shared" si="246"/>
        <v>0</v>
      </c>
      <c r="W3944">
        <f t="shared" si="247"/>
        <v>0</v>
      </c>
    </row>
    <row r="3945" spans="5:23" x14ac:dyDescent="0.25">
      <c r="E3945" s="4"/>
      <c r="F3945" s="4"/>
      <c r="G3945" s="33" t="str">
        <f>IFERROR(VLOOKUP($D3945,'Informations sur les produits'!$A$3:$H$10000,8,FALSE),"0")</f>
        <v>0</v>
      </c>
      <c r="K3945" s="4"/>
      <c r="L3945" s="33" t="str">
        <f>IFERROR(VLOOKUP($J3945,'Informations sur les produits'!$A$3:$H$10000,8,FALSE),"0")</f>
        <v>0</v>
      </c>
      <c r="N3945" s="8"/>
      <c r="O3945" s="33" t="str">
        <f>IFERROR(VLOOKUP($M3945,'Informations sur les produits'!$A$3:$H$10000,8,FALSE),"0")</f>
        <v>0</v>
      </c>
      <c r="P3945" s="33">
        <f t="shared" si="244"/>
        <v>0</v>
      </c>
      <c r="Q3945" s="31" t="str">
        <f t="shared" si="245"/>
        <v/>
      </c>
      <c r="R3945" s="32" t="str">
        <f>IFERROR(VLOOKUP($D3945,'Informations sur les produits'!$A$3:$B$15000,2,FALSE),"")</f>
        <v/>
      </c>
      <c r="V3945">
        <f t="shared" si="246"/>
        <v>0</v>
      </c>
      <c r="W3945">
        <f t="shared" si="247"/>
        <v>0</v>
      </c>
    </row>
    <row r="3946" spans="5:23" x14ac:dyDescent="0.25">
      <c r="E3946" s="4"/>
      <c r="F3946" s="4"/>
      <c r="G3946" s="33" t="str">
        <f>IFERROR(VLOOKUP($D3946,'Informations sur les produits'!$A$3:$H$10000,8,FALSE),"0")</f>
        <v>0</v>
      </c>
      <c r="K3946" s="4"/>
      <c r="L3946" s="33" t="str">
        <f>IFERROR(VLOOKUP($J3946,'Informations sur les produits'!$A$3:$H$10000,8,FALSE),"0")</f>
        <v>0</v>
      </c>
      <c r="N3946" s="8"/>
      <c r="O3946" s="33" t="str">
        <f>IFERROR(VLOOKUP($M3946,'Informations sur les produits'!$A$3:$H$10000,8,FALSE),"0")</f>
        <v>0</v>
      </c>
      <c r="P3946" s="33">
        <f t="shared" si="244"/>
        <v>0</v>
      </c>
      <c r="Q3946" s="31" t="str">
        <f t="shared" si="245"/>
        <v/>
      </c>
      <c r="R3946" s="32" t="str">
        <f>IFERROR(VLOOKUP($D3946,'Informations sur les produits'!$A$3:$B$15000,2,FALSE),"")</f>
        <v/>
      </c>
      <c r="V3946">
        <f t="shared" si="246"/>
        <v>0</v>
      </c>
      <c r="W3946">
        <f t="shared" si="247"/>
        <v>0</v>
      </c>
    </row>
    <row r="3947" spans="5:23" x14ac:dyDescent="0.25">
      <c r="E3947" s="4"/>
      <c r="F3947" s="4"/>
      <c r="G3947" s="33" t="str">
        <f>IFERROR(VLOOKUP($D3947,'Informations sur les produits'!$A$3:$H$10000,8,FALSE),"0")</f>
        <v>0</v>
      </c>
      <c r="K3947" s="4"/>
      <c r="L3947" s="33" t="str">
        <f>IFERROR(VLOOKUP($J3947,'Informations sur les produits'!$A$3:$H$10000,8,FALSE),"0")</f>
        <v>0</v>
      </c>
      <c r="N3947" s="8"/>
      <c r="O3947" s="33" t="str">
        <f>IFERROR(VLOOKUP($M3947,'Informations sur les produits'!$A$3:$H$10000,8,FALSE),"0")</f>
        <v>0</v>
      </c>
      <c r="P3947" s="33">
        <f t="shared" si="244"/>
        <v>0</v>
      </c>
      <c r="Q3947" s="31" t="str">
        <f t="shared" si="245"/>
        <v/>
      </c>
      <c r="R3947" s="32" t="str">
        <f>IFERROR(VLOOKUP($D3947,'Informations sur les produits'!$A$3:$B$15000,2,FALSE),"")</f>
        <v/>
      </c>
      <c r="V3947">
        <f t="shared" si="246"/>
        <v>0</v>
      </c>
      <c r="W3947">
        <f t="shared" si="247"/>
        <v>0</v>
      </c>
    </row>
    <row r="3948" spans="5:23" x14ac:dyDescent="0.25">
      <c r="E3948" s="4"/>
      <c r="F3948" s="4"/>
      <c r="G3948" s="33" t="str">
        <f>IFERROR(VLOOKUP($D3948,'Informations sur les produits'!$A$3:$H$10000,8,FALSE),"0")</f>
        <v>0</v>
      </c>
      <c r="K3948" s="4"/>
      <c r="L3948" s="33" t="str">
        <f>IFERROR(VLOOKUP($J3948,'Informations sur les produits'!$A$3:$H$10000,8,FALSE),"0")</f>
        <v>0</v>
      </c>
      <c r="N3948" s="8"/>
      <c r="O3948" s="33" t="str">
        <f>IFERROR(VLOOKUP($M3948,'Informations sur les produits'!$A$3:$H$10000,8,FALSE),"0")</f>
        <v>0</v>
      </c>
      <c r="P3948" s="33">
        <f t="shared" si="244"/>
        <v>0</v>
      </c>
      <c r="Q3948" s="31" t="str">
        <f t="shared" si="245"/>
        <v/>
      </c>
      <c r="R3948" s="32" t="str">
        <f>IFERROR(VLOOKUP($D3948,'Informations sur les produits'!$A$3:$B$15000,2,FALSE),"")</f>
        <v/>
      </c>
      <c r="V3948">
        <f t="shared" si="246"/>
        <v>0</v>
      </c>
      <c r="W3948">
        <f t="shared" si="247"/>
        <v>0</v>
      </c>
    </row>
    <row r="3949" spans="5:23" x14ac:dyDescent="0.25">
      <c r="E3949" s="4"/>
      <c r="F3949" s="4"/>
      <c r="G3949" s="33" t="str">
        <f>IFERROR(VLOOKUP($D3949,'Informations sur les produits'!$A$3:$H$10000,8,FALSE),"0")</f>
        <v>0</v>
      </c>
      <c r="K3949" s="4"/>
      <c r="L3949" s="33" t="str">
        <f>IFERROR(VLOOKUP($J3949,'Informations sur les produits'!$A$3:$H$10000,8,FALSE),"0")</f>
        <v>0</v>
      </c>
      <c r="N3949" s="8"/>
      <c r="O3949" s="33" t="str">
        <f>IFERROR(VLOOKUP($M3949,'Informations sur les produits'!$A$3:$H$10000,8,FALSE),"0")</f>
        <v>0</v>
      </c>
      <c r="P3949" s="33">
        <f t="shared" si="244"/>
        <v>0</v>
      </c>
      <c r="Q3949" s="31" t="str">
        <f t="shared" si="245"/>
        <v/>
      </c>
      <c r="R3949" s="32" t="str">
        <f>IFERROR(VLOOKUP($D3949,'Informations sur les produits'!$A$3:$B$15000,2,FALSE),"")</f>
        <v/>
      </c>
      <c r="V3949">
        <f t="shared" si="246"/>
        <v>0</v>
      </c>
      <c r="W3949">
        <f t="shared" si="247"/>
        <v>0</v>
      </c>
    </row>
    <row r="3950" spans="5:23" x14ac:dyDescent="0.25">
      <c r="E3950" s="4"/>
      <c r="F3950" s="4"/>
      <c r="G3950" s="33" t="str">
        <f>IFERROR(VLOOKUP($D3950,'Informations sur les produits'!$A$3:$H$10000,8,FALSE),"0")</f>
        <v>0</v>
      </c>
      <c r="K3950" s="4"/>
      <c r="L3950" s="33" t="str">
        <f>IFERROR(VLOOKUP($J3950,'Informations sur les produits'!$A$3:$H$10000,8,FALSE),"0")</f>
        <v>0</v>
      </c>
      <c r="N3950" s="8"/>
      <c r="O3950" s="33" t="str">
        <f>IFERROR(VLOOKUP($M3950,'Informations sur les produits'!$A$3:$H$10000,8,FALSE),"0")</f>
        <v>0</v>
      </c>
      <c r="P3950" s="33">
        <f t="shared" si="244"/>
        <v>0</v>
      </c>
      <c r="Q3950" s="31" t="str">
        <f t="shared" si="245"/>
        <v/>
      </c>
      <c r="R3950" s="32" t="str">
        <f>IFERROR(VLOOKUP($D3950,'Informations sur les produits'!$A$3:$B$15000,2,FALSE),"")</f>
        <v/>
      </c>
      <c r="V3950">
        <f t="shared" si="246"/>
        <v>0</v>
      </c>
      <c r="W3950">
        <f t="shared" si="247"/>
        <v>0</v>
      </c>
    </row>
    <row r="3951" spans="5:23" x14ac:dyDescent="0.25">
      <c r="E3951" s="4"/>
      <c r="F3951" s="4"/>
      <c r="G3951" s="33" t="str">
        <f>IFERROR(VLOOKUP($D3951,'Informations sur les produits'!$A$3:$H$10000,8,FALSE),"0")</f>
        <v>0</v>
      </c>
      <c r="K3951" s="4"/>
      <c r="L3951" s="33" t="str">
        <f>IFERROR(VLOOKUP($J3951,'Informations sur les produits'!$A$3:$H$10000,8,FALSE),"0")</f>
        <v>0</v>
      </c>
      <c r="N3951" s="8"/>
      <c r="O3951" s="33" t="str">
        <f>IFERROR(VLOOKUP($M3951,'Informations sur les produits'!$A$3:$H$10000,8,FALSE),"0")</f>
        <v>0</v>
      </c>
      <c r="P3951" s="33">
        <f t="shared" si="244"/>
        <v>0</v>
      </c>
      <c r="Q3951" s="31" t="str">
        <f t="shared" si="245"/>
        <v/>
      </c>
      <c r="R3951" s="32" t="str">
        <f>IFERROR(VLOOKUP($D3951,'Informations sur les produits'!$A$3:$B$15000,2,FALSE),"")</f>
        <v/>
      </c>
      <c r="V3951">
        <f t="shared" si="246"/>
        <v>0</v>
      </c>
      <c r="W3951">
        <f t="shared" si="247"/>
        <v>0</v>
      </c>
    </row>
    <row r="3952" spans="5:23" x14ac:dyDescent="0.25">
      <c r="E3952" s="4"/>
      <c r="F3952" s="4"/>
      <c r="G3952" s="33" t="str">
        <f>IFERROR(VLOOKUP($D3952,'Informations sur les produits'!$A$3:$H$10000,8,FALSE),"0")</f>
        <v>0</v>
      </c>
      <c r="K3952" s="4"/>
      <c r="L3952" s="33" t="str">
        <f>IFERROR(VLOOKUP($J3952,'Informations sur les produits'!$A$3:$H$10000,8,FALSE),"0")</f>
        <v>0</v>
      </c>
      <c r="N3952" s="8"/>
      <c r="O3952" s="33" t="str">
        <f>IFERROR(VLOOKUP($M3952,'Informations sur les produits'!$A$3:$H$10000,8,FALSE),"0")</f>
        <v>0</v>
      </c>
      <c r="P3952" s="33">
        <f t="shared" si="244"/>
        <v>0</v>
      </c>
      <c r="Q3952" s="31" t="str">
        <f t="shared" si="245"/>
        <v/>
      </c>
      <c r="R3952" s="32" t="str">
        <f>IFERROR(VLOOKUP($D3952,'Informations sur les produits'!$A$3:$B$15000,2,FALSE),"")</f>
        <v/>
      </c>
      <c r="V3952">
        <f t="shared" si="246"/>
        <v>0</v>
      </c>
      <c r="W3952">
        <f t="shared" si="247"/>
        <v>0</v>
      </c>
    </row>
    <row r="3953" spans="5:23" x14ac:dyDescent="0.25">
      <c r="E3953" s="4"/>
      <c r="F3953" s="4"/>
      <c r="G3953" s="33" t="str">
        <f>IFERROR(VLOOKUP($D3953,'Informations sur les produits'!$A$3:$H$10000,8,FALSE),"0")</f>
        <v>0</v>
      </c>
      <c r="K3953" s="4"/>
      <c r="L3953" s="33" t="str">
        <f>IFERROR(VLOOKUP($J3953,'Informations sur les produits'!$A$3:$H$10000,8,FALSE),"0")</f>
        <v>0</v>
      </c>
      <c r="N3953" s="8"/>
      <c r="O3953" s="33" t="str">
        <f>IFERROR(VLOOKUP($M3953,'Informations sur les produits'!$A$3:$H$10000,8,FALSE),"0")</f>
        <v>0</v>
      </c>
      <c r="P3953" s="33">
        <f t="shared" si="244"/>
        <v>0</v>
      </c>
      <c r="Q3953" s="31" t="str">
        <f t="shared" si="245"/>
        <v/>
      </c>
      <c r="R3953" s="32" t="str">
        <f>IFERROR(VLOOKUP($D3953,'Informations sur les produits'!$A$3:$B$15000,2,FALSE),"")</f>
        <v/>
      </c>
      <c r="V3953">
        <f t="shared" si="246"/>
        <v>0</v>
      </c>
      <c r="W3953">
        <f t="shared" si="247"/>
        <v>0</v>
      </c>
    </row>
    <row r="3954" spans="5:23" x14ac:dyDescent="0.25">
      <c r="E3954" s="4"/>
      <c r="F3954" s="4"/>
      <c r="G3954" s="33" t="str">
        <f>IFERROR(VLOOKUP($D3954,'Informations sur les produits'!$A$3:$H$10000,8,FALSE),"0")</f>
        <v>0</v>
      </c>
      <c r="K3954" s="4"/>
      <c r="L3954" s="33" t="str">
        <f>IFERROR(VLOOKUP($J3954,'Informations sur les produits'!$A$3:$H$10000,8,FALSE),"0")</f>
        <v>0</v>
      </c>
      <c r="N3954" s="8"/>
      <c r="O3954" s="33" t="str">
        <f>IFERROR(VLOOKUP($M3954,'Informations sur les produits'!$A$3:$H$10000,8,FALSE),"0")</f>
        <v>0</v>
      </c>
      <c r="P3954" s="33">
        <f t="shared" si="244"/>
        <v>0</v>
      </c>
      <c r="Q3954" s="31" t="str">
        <f t="shared" si="245"/>
        <v/>
      </c>
      <c r="R3954" s="32" t="str">
        <f>IFERROR(VLOOKUP($D3954,'Informations sur les produits'!$A$3:$B$15000,2,FALSE),"")</f>
        <v/>
      </c>
      <c r="V3954">
        <f t="shared" si="246"/>
        <v>0</v>
      </c>
      <c r="W3954">
        <f t="shared" si="247"/>
        <v>0</v>
      </c>
    </row>
    <row r="3955" spans="5:23" x14ac:dyDescent="0.25">
      <c r="E3955" s="4"/>
      <c r="F3955" s="4"/>
      <c r="G3955" s="33" t="str">
        <f>IFERROR(VLOOKUP($D3955,'Informations sur les produits'!$A$3:$H$10000,8,FALSE),"0")</f>
        <v>0</v>
      </c>
      <c r="K3955" s="4"/>
      <c r="L3955" s="33" t="str">
        <f>IFERROR(VLOOKUP($J3955,'Informations sur les produits'!$A$3:$H$10000,8,FALSE),"0")</f>
        <v>0</v>
      </c>
      <c r="N3955" s="8"/>
      <c r="O3955" s="33" t="str">
        <f>IFERROR(VLOOKUP($M3955,'Informations sur les produits'!$A$3:$H$10000,8,FALSE),"0")</f>
        <v>0</v>
      </c>
      <c r="P3955" s="33">
        <f t="shared" si="244"/>
        <v>0</v>
      </c>
      <c r="Q3955" s="31" t="str">
        <f t="shared" si="245"/>
        <v/>
      </c>
      <c r="R3955" s="32" t="str">
        <f>IFERROR(VLOOKUP($D3955,'Informations sur les produits'!$A$3:$B$15000,2,FALSE),"")</f>
        <v/>
      </c>
      <c r="V3955">
        <f t="shared" si="246"/>
        <v>0</v>
      </c>
      <c r="W3955">
        <f t="shared" si="247"/>
        <v>0</v>
      </c>
    </row>
    <row r="3956" spans="5:23" x14ac:dyDescent="0.25">
      <c r="E3956" s="4"/>
      <c r="F3956" s="4"/>
      <c r="G3956" s="33" t="str">
        <f>IFERROR(VLOOKUP($D3956,'Informations sur les produits'!$A$3:$H$10000,8,FALSE),"0")</f>
        <v>0</v>
      </c>
      <c r="K3956" s="4"/>
      <c r="L3956" s="33" t="str">
        <f>IFERROR(VLOOKUP($J3956,'Informations sur les produits'!$A$3:$H$10000,8,FALSE),"0")</f>
        <v>0</v>
      </c>
      <c r="N3956" s="8"/>
      <c r="O3956" s="33" t="str">
        <f>IFERROR(VLOOKUP($M3956,'Informations sur les produits'!$A$3:$H$10000,8,FALSE),"0")</f>
        <v>0</v>
      </c>
      <c r="P3956" s="33">
        <f t="shared" si="244"/>
        <v>0</v>
      </c>
      <c r="Q3956" s="31" t="str">
        <f t="shared" si="245"/>
        <v/>
      </c>
      <c r="R3956" s="32" t="str">
        <f>IFERROR(VLOOKUP($D3956,'Informations sur les produits'!$A$3:$B$15000,2,FALSE),"")</f>
        <v/>
      </c>
      <c r="V3956">
        <f t="shared" si="246"/>
        <v>0</v>
      </c>
      <c r="W3956">
        <f t="shared" si="247"/>
        <v>0</v>
      </c>
    </row>
    <row r="3957" spans="5:23" x14ac:dyDescent="0.25">
      <c r="E3957" s="4"/>
      <c r="F3957" s="4"/>
      <c r="G3957" s="33" t="str">
        <f>IFERROR(VLOOKUP($D3957,'Informations sur les produits'!$A$3:$H$10000,8,FALSE),"0")</f>
        <v>0</v>
      </c>
      <c r="K3957" s="4"/>
      <c r="L3957" s="33" t="str">
        <f>IFERROR(VLOOKUP($J3957,'Informations sur les produits'!$A$3:$H$10000,8,FALSE),"0")</f>
        <v>0</v>
      </c>
      <c r="N3957" s="8"/>
      <c r="O3957" s="33" t="str">
        <f>IFERROR(VLOOKUP($M3957,'Informations sur les produits'!$A$3:$H$10000,8,FALSE),"0")</f>
        <v>0</v>
      </c>
      <c r="P3957" s="33">
        <f t="shared" si="244"/>
        <v>0</v>
      </c>
      <c r="Q3957" s="31" t="str">
        <f t="shared" si="245"/>
        <v/>
      </c>
      <c r="R3957" s="32" t="str">
        <f>IFERROR(VLOOKUP($D3957,'Informations sur les produits'!$A$3:$B$15000,2,FALSE),"")</f>
        <v/>
      </c>
      <c r="V3957">
        <f t="shared" si="246"/>
        <v>0</v>
      </c>
      <c r="W3957">
        <f t="shared" si="247"/>
        <v>0</v>
      </c>
    </row>
    <row r="3958" spans="5:23" x14ac:dyDescent="0.25">
      <c r="E3958" s="4"/>
      <c r="F3958" s="4"/>
      <c r="G3958" s="33" t="str">
        <f>IFERROR(VLOOKUP($D3958,'Informations sur les produits'!$A$3:$H$10000,8,FALSE),"0")</f>
        <v>0</v>
      </c>
      <c r="K3958" s="4"/>
      <c r="L3958" s="33" t="str">
        <f>IFERROR(VLOOKUP($J3958,'Informations sur les produits'!$A$3:$H$10000,8,FALSE),"0")</f>
        <v>0</v>
      </c>
      <c r="N3958" s="8"/>
      <c r="O3958" s="33" t="str">
        <f>IFERROR(VLOOKUP($M3958,'Informations sur les produits'!$A$3:$H$10000,8,FALSE),"0")</f>
        <v>0</v>
      </c>
      <c r="P3958" s="33">
        <f t="shared" si="244"/>
        <v>0</v>
      </c>
      <c r="Q3958" s="31" t="str">
        <f t="shared" si="245"/>
        <v/>
      </c>
      <c r="R3958" s="32" t="str">
        <f>IFERROR(VLOOKUP($D3958,'Informations sur les produits'!$A$3:$B$15000,2,FALSE),"")</f>
        <v/>
      </c>
      <c r="V3958">
        <f t="shared" si="246"/>
        <v>0</v>
      </c>
      <c r="W3958">
        <f t="shared" si="247"/>
        <v>0</v>
      </c>
    </row>
    <row r="3959" spans="5:23" x14ac:dyDescent="0.25">
      <c r="E3959" s="4"/>
      <c r="F3959" s="4"/>
      <c r="G3959" s="33" t="str">
        <f>IFERROR(VLOOKUP($D3959,'Informations sur les produits'!$A$3:$H$10000,8,FALSE),"0")</f>
        <v>0</v>
      </c>
      <c r="K3959" s="4"/>
      <c r="L3959" s="33" t="str">
        <f>IFERROR(VLOOKUP($J3959,'Informations sur les produits'!$A$3:$H$10000,8,FALSE),"0")</f>
        <v>0</v>
      </c>
      <c r="N3959" s="8"/>
      <c r="O3959" s="33" t="str">
        <f>IFERROR(VLOOKUP($M3959,'Informations sur les produits'!$A$3:$H$10000,8,FALSE),"0")</f>
        <v>0</v>
      </c>
      <c r="P3959" s="33">
        <f t="shared" si="244"/>
        <v>0</v>
      </c>
      <c r="Q3959" s="31" t="str">
        <f t="shared" si="245"/>
        <v/>
      </c>
      <c r="R3959" s="32" t="str">
        <f>IFERROR(VLOOKUP($D3959,'Informations sur les produits'!$A$3:$B$15000,2,FALSE),"")</f>
        <v/>
      </c>
      <c r="V3959">
        <f t="shared" si="246"/>
        <v>0</v>
      </c>
      <c r="W3959">
        <f t="shared" si="247"/>
        <v>0</v>
      </c>
    </row>
    <row r="3960" spans="5:23" x14ac:dyDescent="0.25">
      <c r="E3960" s="4"/>
      <c r="F3960" s="4"/>
      <c r="G3960" s="33" t="str">
        <f>IFERROR(VLOOKUP($D3960,'Informations sur les produits'!$A$3:$H$10000,8,FALSE),"0")</f>
        <v>0</v>
      </c>
      <c r="K3960" s="4"/>
      <c r="L3960" s="33" t="str">
        <f>IFERROR(VLOOKUP($J3960,'Informations sur les produits'!$A$3:$H$10000,8,FALSE),"0")</f>
        <v>0</v>
      </c>
      <c r="N3960" s="8"/>
      <c r="O3960" s="33" t="str">
        <f>IFERROR(VLOOKUP($M3960,'Informations sur les produits'!$A$3:$H$10000,8,FALSE),"0")</f>
        <v>0</v>
      </c>
      <c r="P3960" s="33">
        <f t="shared" si="244"/>
        <v>0</v>
      </c>
      <c r="Q3960" s="31" t="str">
        <f t="shared" si="245"/>
        <v/>
      </c>
      <c r="R3960" s="32" t="str">
        <f>IFERROR(VLOOKUP($D3960,'Informations sur les produits'!$A$3:$B$15000,2,FALSE),"")</f>
        <v/>
      </c>
      <c r="V3960">
        <f t="shared" si="246"/>
        <v>0</v>
      </c>
      <c r="W3960">
        <f t="shared" si="247"/>
        <v>0</v>
      </c>
    </row>
    <row r="3961" spans="5:23" x14ac:dyDescent="0.25">
      <c r="E3961" s="4"/>
      <c r="F3961" s="4"/>
      <c r="G3961" s="33" t="str">
        <f>IFERROR(VLOOKUP($D3961,'Informations sur les produits'!$A$3:$H$10000,8,FALSE),"0")</f>
        <v>0</v>
      </c>
      <c r="K3961" s="4"/>
      <c r="L3961" s="33" t="str">
        <f>IFERROR(VLOOKUP($J3961,'Informations sur les produits'!$A$3:$H$10000,8,FALSE),"0")</f>
        <v>0</v>
      </c>
      <c r="N3961" s="8"/>
      <c r="O3961" s="33" t="str">
        <f>IFERROR(VLOOKUP($M3961,'Informations sur les produits'!$A$3:$H$10000,8,FALSE),"0")</f>
        <v>0</v>
      </c>
      <c r="P3961" s="33">
        <f t="shared" si="244"/>
        <v>0</v>
      </c>
      <c r="Q3961" s="31" t="str">
        <f t="shared" si="245"/>
        <v/>
      </c>
      <c r="R3961" s="32" t="str">
        <f>IFERROR(VLOOKUP($D3961,'Informations sur les produits'!$A$3:$B$15000,2,FALSE),"")</f>
        <v/>
      </c>
      <c r="V3961">
        <f t="shared" si="246"/>
        <v>0</v>
      </c>
      <c r="W3961">
        <f t="shared" si="247"/>
        <v>0</v>
      </c>
    </row>
    <row r="3962" spans="5:23" x14ac:dyDescent="0.25">
      <c r="E3962" s="4"/>
      <c r="F3962" s="4"/>
      <c r="G3962" s="33" t="str">
        <f>IFERROR(VLOOKUP($D3962,'Informations sur les produits'!$A$3:$H$10000,8,FALSE),"0")</f>
        <v>0</v>
      </c>
      <c r="K3962" s="4"/>
      <c r="L3962" s="33" t="str">
        <f>IFERROR(VLOOKUP($J3962,'Informations sur les produits'!$A$3:$H$10000,8,FALSE),"0")</f>
        <v>0</v>
      </c>
      <c r="N3962" s="8"/>
      <c r="O3962" s="33" t="str">
        <f>IFERROR(VLOOKUP($M3962,'Informations sur les produits'!$A$3:$H$10000,8,FALSE),"0")</f>
        <v>0</v>
      </c>
      <c r="P3962" s="33">
        <f t="shared" si="244"/>
        <v>0</v>
      </c>
      <c r="Q3962" s="31" t="str">
        <f t="shared" si="245"/>
        <v/>
      </c>
      <c r="R3962" s="32" t="str">
        <f>IFERROR(VLOOKUP($D3962,'Informations sur les produits'!$A$3:$B$15000,2,FALSE),"")</f>
        <v/>
      </c>
      <c r="V3962">
        <f t="shared" si="246"/>
        <v>0</v>
      </c>
      <c r="W3962">
        <f t="shared" si="247"/>
        <v>0</v>
      </c>
    </row>
    <row r="3963" spans="5:23" x14ac:dyDescent="0.25">
      <c r="E3963" s="4"/>
      <c r="F3963" s="4"/>
      <c r="G3963" s="33" t="str">
        <f>IFERROR(VLOOKUP($D3963,'Informations sur les produits'!$A$3:$H$10000,8,FALSE),"0")</f>
        <v>0</v>
      </c>
      <c r="K3963" s="4"/>
      <c r="L3963" s="33" t="str">
        <f>IFERROR(VLOOKUP($J3963,'Informations sur les produits'!$A$3:$H$10000,8,FALSE),"0")</f>
        <v>0</v>
      </c>
      <c r="N3963" s="8"/>
      <c r="O3963" s="33" t="str">
        <f>IFERROR(VLOOKUP($M3963,'Informations sur les produits'!$A$3:$H$10000,8,FALSE),"0")</f>
        <v>0</v>
      </c>
      <c r="P3963" s="33">
        <f t="shared" si="244"/>
        <v>0</v>
      </c>
      <c r="Q3963" s="31" t="str">
        <f t="shared" si="245"/>
        <v/>
      </c>
      <c r="R3963" s="32" t="str">
        <f>IFERROR(VLOOKUP($D3963,'Informations sur les produits'!$A$3:$B$15000,2,FALSE),"")</f>
        <v/>
      </c>
      <c r="V3963">
        <f t="shared" si="246"/>
        <v>0</v>
      </c>
      <c r="W3963">
        <f t="shared" si="247"/>
        <v>0</v>
      </c>
    </row>
    <row r="3964" spans="5:23" x14ac:dyDescent="0.25">
      <c r="E3964" s="4"/>
      <c r="F3964" s="4"/>
      <c r="G3964" s="33" t="str">
        <f>IFERROR(VLOOKUP($D3964,'Informations sur les produits'!$A$3:$H$10000,8,FALSE),"0")</f>
        <v>0</v>
      </c>
      <c r="K3964" s="4"/>
      <c r="L3964" s="33" t="str">
        <f>IFERROR(VLOOKUP($J3964,'Informations sur les produits'!$A$3:$H$10000,8,FALSE),"0")</f>
        <v>0</v>
      </c>
      <c r="N3964" s="8"/>
      <c r="O3964" s="33" t="str">
        <f>IFERROR(VLOOKUP($M3964,'Informations sur les produits'!$A$3:$H$10000,8,FALSE),"0")</f>
        <v>0</v>
      </c>
      <c r="P3964" s="33">
        <f t="shared" si="244"/>
        <v>0</v>
      </c>
      <c r="Q3964" s="31" t="str">
        <f t="shared" si="245"/>
        <v/>
      </c>
      <c r="R3964" s="32" t="str">
        <f>IFERROR(VLOOKUP($D3964,'Informations sur les produits'!$A$3:$B$15000,2,FALSE),"")</f>
        <v/>
      </c>
      <c r="V3964">
        <f t="shared" si="246"/>
        <v>0</v>
      </c>
      <c r="W3964">
        <f t="shared" si="247"/>
        <v>0</v>
      </c>
    </row>
    <row r="3965" spans="5:23" x14ac:dyDescent="0.25">
      <c r="E3965" s="4"/>
      <c r="F3965" s="4"/>
      <c r="G3965" s="33" t="str">
        <f>IFERROR(VLOOKUP($D3965,'Informations sur les produits'!$A$3:$H$10000,8,FALSE),"0")</f>
        <v>0</v>
      </c>
      <c r="K3965" s="4"/>
      <c r="L3965" s="33" t="str">
        <f>IFERROR(VLOOKUP($J3965,'Informations sur les produits'!$A$3:$H$10000,8,FALSE),"0")</f>
        <v>0</v>
      </c>
      <c r="N3965" s="8"/>
      <c r="O3965" s="33" t="str">
        <f>IFERROR(VLOOKUP($M3965,'Informations sur les produits'!$A$3:$H$10000,8,FALSE),"0")</f>
        <v>0</v>
      </c>
      <c r="P3965" s="33">
        <f t="shared" si="244"/>
        <v>0</v>
      </c>
      <c r="Q3965" s="31" t="str">
        <f t="shared" si="245"/>
        <v/>
      </c>
      <c r="R3965" s="32" t="str">
        <f>IFERROR(VLOOKUP($D3965,'Informations sur les produits'!$A$3:$B$15000,2,FALSE),"")</f>
        <v/>
      </c>
      <c r="V3965">
        <f t="shared" si="246"/>
        <v>0</v>
      </c>
      <c r="W3965">
        <f t="shared" si="247"/>
        <v>0</v>
      </c>
    </row>
    <row r="3966" spans="5:23" x14ac:dyDescent="0.25">
      <c r="E3966" s="4"/>
      <c r="F3966" s="4"/>
      <c r="G3966" s="33" t="str">
        <f>IFERROR(VLOOKUP($D3966,'Informations sur les produits'!$A$3:$H$10000,8,FALSE),"0")</f>
        <v>0</v>
      </c>
      <c r="K3966" s="4"/>
      <c r="L3966" s="33" t="str">
        <f>IFERROR(VLOOKUP($J3966,'Informations sur les produits'!$A$3:$H$10000,8,FALSE),"0")</f>
        <v>0</v>
      </c>
      <c r="N3966" s="8"/>
      <c r="O3966" s="33" t="str">
        <f>IFERROR(VLOOKUP($M3966,'Informations sur les produits'!$A$3:$H$10000,8,FALSE),"0")</f>
        <v>0</v>
      </c>
      <c r="P3966" s="33">
        <f t="shared" si="244"/>
        <v>0</v>
      </c>
      <c r="Q3966" s="31" t="str">
        <f t="shared" si="245"/>
        <v/>
      </c>
      <c r="R3966" s="32" t="str">
        <f>IFERROR(VLOOKUP($D3966,'Informations sur les produits'!$A$3:$B$15000,2,FALSE),"")</f>
        <v/>
      </c>
      <c r="V3966">
        <f t="shared" si="246"/>
        <v>0</v>
      </c>
      <c r="W3966">
        <f t="shared" si="247"/>
        <v>0</v>
      </c>
    </row>
    <row r="3967" spans="5:23" x14ac:dyDescent="0.25">
      <c r="E3967" s="4"/>
      <c r="F3967" s="4"/>
      <c r="G3967" s="33" t="str">
        <f>IFERROR(VLOOKUP($D3967,'Informations sur les produits'!$A$3:$H$10000,8,FALSE),"0")</f>
        <v>0</v>
      </c>
      <c r="K3967" s="4"/>
      <c r="L3967" s="33" t="str">
        <f>IFERROR(VLOOKUP($J3967,'Informations sur les produits'!$A$3:$H$10000,8,FALSE),"0")</f>
        <v>0</v>
      </c>
      <c r="N3967" s="8"/>
      <c r="O3967" s="33" t="str">
        <f>IFERROR(VLOOKUP($M3967,'Informations sur les produits'!$A$3:$H$10000,8,FALSE),"0")</f>
        <v>0</v>
      </c>
      <c r="P3967" s="33">
        <f t="shared" si="244"/>
        <v>0</v>
      </c>
      <c r="Q3967" s="31" t="str">
        <f t="shared" si="245"/>
        <v/>
      </c>
      <c r="R3967" s="32" t="str">
        <f>IFERROR(VLOOKUP($D3967,'Informations sur les produits'!$A$3:$B$15000,2,FALSE),"")</f>
        <v/>
      </c>
      <c r="V3967">
        <f t="shared" si="246"/>
        <v>0</v>
      </c>
      <c r="W3967">
        <f t="shared" si="247"/>
        <v>0</v>
      </c>
    </row>
    <row r="3968" spans="5:23" x14ac:dyDescent="0.25">
      <c r="E3968" s="4"/>
      <c r="F3968" s="4"/>
      <c r="G3968" s="33" t="str">
        <f>IFERROR(VLOOKUP($D3968,'Informations sur les produits'!$A$3:$H$10000,8,FALSE),"0")</f>
        <v>0</v>
      </c>
      <c r="K3968" s="4"/>
      <c r="L3968" s="33" t="str">
        <f>IFERROR(VLOOKUP($J3968,'Informations sur les produits'!$A$3:$H$10000,8,FALSE),"0")</f>
        <v>0</v>
      </c>
      <c r="N3968" s="8"/>
      <c r="O3968" s="33" t="str">
        <f>IFERROR(VLOOKUP($M3968,'Informations sur les produits'!$A$3:$H$10000,8,FALSE),"0")</f>
        <v>0</v>
      </c>
      <c r="P3968" s="33">
        <f t="shared" si="244"/>
        <v>0</v>
      </c>
      <c r="Q3968" s="31" t="str">
        <f t="shared" si="245"/>
        <v/>
      </c>
      <c r="R3968" s="32" t="str">
        <f>IFERROR(VLOOKUP($D3968,'Informations sur les produits'!$A$3:$B$15000,2,FALSE),"")</f>
        <v/>
      </c>
      <c r="V3968">
        <f t="shared" si="246"/>
        <v>0</v>
      </c>
      <c r="W3968">
        <f t="shared" si="247"/>
        <v>0</v>
      </c>
    </row>
    <row r="3969" spans="5:23" x14ac:dyDescent="0.25">
      <c r="E3969" s="4"/>
      <c r="F3969" s="4"/>
      <c r="G3969" s="33" t="str">
        <f>IFERROR(VLOOKUP($D3969,'Informations sur les produits'!$A$3:$H$10000,8,FALSE),"0")</f>
        <v>0</v>
      </c>
      <c r="K3969" s="4"/>
      <c r="L3969" s="33" t="str">
        <f>IFERROR(VLOOKUP($J3969,'Informations sur les produits'!$A$3:$H$10000,8,FALSE),"0")</f>
        <v>0</v>
      </c>
      <c r="N3969" s="8"/>
      <c r="O3969" s="33" t="str">
        <f>IFERROR(VLOOKUP($M3969,'Informations sur les produits'!$A$3:$H$10000,8,FALSE),"0")</f>
        <v>0</v>
      </c>
      <c r="P3969" s="33">
        <f t="shared" si="244"/>
        <v>0</v>
      </c>
      <c r="Q3969" s="31" t="str">
        <f t="shared" si="245"/>
        <v/>
      </c>
      <c r="R3969" s="32" t="str">
        <f>IFERROR(VLOOKUP($D3969,'Informations sur les produits'!$A$3:$B$15000,2,FALSE),"")</f>
        <v/>
      </c>
      <c r="V3969">
        <f t="shared" si="246"/>
        <v>0</v>
      </c>
      <c r="W3969">
        <f t="shared" si="247"/>
        <v>0</v>
      </c>
    </row>
    <row r="3970" spans="5:23" x14ac:dyDescent="0.25">
      <c r="E3970" s="4"/>
      <c r="F3970" s="4"/>
      <c r="G3970" s="33" t="str">
        <f>IFERROR(VLOOKUP($D3970,'Informations sur les produits'!$A$3:$H$10000,8,FALSE),"0")</f>
        <v>0</v>
      </c>
      <c r="K3970" s="4"/>
      <c r="L3970" s="33" t="str">
        <f>IFERROR(VLOOKUP($J3970,'Informations sur les produits'!$A$3:$H$10000,8,FALSE),"0")</f>
        <v>0</v>
      </c>
      <c r="N3970" s="8"/>
      <c r="O3970" s="33" t="str">
        <f>IFERROR(VLOOKUP($M3970,'Informations sur les produits'!$A$3:$H$10000,8,FALSE),"0")</f>
        <v>0</v>
      </c>
      <c r="P3970" s="33">
        <f t="shared" si="244"/>
        <v>0</v>
      </c>
      <c r="Q3970" s="31" t="str">
        <f t="shared" si="245"/>
        <v/>
      </c>
      <c r="R3970" s="32" t="str">
        <f>IFERROR(VLOOKUP($D3970,'Informations sur les produits'!$A$3:$B$15000,2,FALSE),"")</f>
        <v/>
      </c>
      <c r="V3970">
        <f t="shared" si="246"/>
        <v>0</v>
      </c>
      <c r="W3970">
        <f t="shared" si="247"/>
        <v>0</v>
      </c>
    </row>
    <row r="3971" spans="5:23" x14ac:dyDescent="0.25">
      <c r="E3971" s="4"/>
      <c r="F3971" s="4"/>
      <c r="G3971" s="33" t="str">
        <f>IFERROR(VLOOKUP($D3971,'Informations sur les produits'!$A$3:$H$10000,8,FALSE),"0")</f>
        <v>0</v>
      </c>
      <c r="K3971" s="4"/>
      <c r="L3971" s="33" t="str">
        <f>IFERROR(VLOOKUP($J3971,'Informations sur les produits'!$A$3:$H$10000,8,FALSE),"0")</f>
        <v>0</v>
      </c>
      <c r="N3971" s="8"/>
      <c r="O3971" s="33" t="str">
        <f>IFERROR(VLOOKUP($M3971,'Informations sur les produits'!$A$3:$H$10000,8,FALSE),"0")</f>
        <v>0</v>
      </c>
      <c r="P3971" s="33">
        <f t="shared" si="244"/>
        <v>0</v>
      </c>
      <c r="Q3971" s="31" t="str">
        <f t="shared" si="245"/>
        <v/>
      </c>
      <c r="R3971" s="32" t="str">
        <f>IFERROR(VLOOKUP($D3971,'Informations sur les produits'!$A$3:$B$15000,2,FALSE),"")</f>
        <v/>
      </c>
      <c r="V3971">
        <f t="shared" si="246"/>
        <v>0</v>
      </c>
      <c r="W3971">
        <f t="shared" si="247"/>
        <v>0</v>
      </c>
    </row>
    <row r="3972" spans="5:23" x14ac:dyDescent="0.25">
      <c r="E3972" s="4"/>
      <c r="F3972" s="4"/>
      <c r="G3972" s="33" t="str">
        <f>IFERROR(VLOOKUP($D3972,'Informations sur les produits'!$A$3:$H$10000,8,FALSE),"0")</f>
        <v>0</v>
      </c>
      <c r="K3972" s="4"/>
      <c r="L3972" s="33" t="str">
        <f>IFERROR(VLOOKUP($J3972,'Informations sur les produits'!$A$3:$H$10000,8,FALSE),"0")</f>
        <v>0</v>
      </c>
      <c r="N3972" s="8"/>
      <c r="O3972" s="33" t="str">
        <f>IFERROR(VLOOKUP($M3972,'Informations sur les produits'!$A$3:$H$10000,8,FALSE),"0")</f>
        <v>0</v>
      </c>
      <c r="P3972" s="33">
        <f t="shared" ref="P3972:P4035" si="248">IFERROR((($E3972-$F3972)*$G3972+$K3972*$L3972+$N3972*$O3972),"")</f>
        <v>0</v>
      </c>
      <c r="Q3972" s="31" t="str">
        <f t="shared" ref="Q3972:Q4035" si="249">IFERROR((((($E3972-$F3972)*$G3972+$K3972*$L3972+$N3972*$O3972)*1000)/(($E3972-$F3972)+$K3972+$N3972)),"")</f>
        <v/>
      </c>
      <c r="R3972" s="32" t="str">
        <f>IFERROR(VLOOKUP($D3972,'Informations sur les produits'!$A$3:$B$15000,2,FALSE),"")</f>
        <v/>
      </c>
      <c r="V3972">
        <f t="shared" ref="V3972:V4035" si="250">IFERROR(P3972*1000,"")</f>
        <v>0</v>
      </c>
      <c r="W3972">
        <f t="shared" ref="W3972:W4035" si="251">IFERROR(($E3972-$F3972)+$K3972+$N3972,"")</f>
        <v>0</v>
      </c>
    </row>
    <row r="3973" spans="5:23" x14ac:dyDescent="0.25">
      <c r="E3973" s="4"/>
      <c r="F3973" s="4"/>
      <c r="G3973" s="33" t="str">
        <f>IFERROR(VLOOKUP($D3973,'Informations sur les produits'!$A$3:$H$10000,8,FALSE),"0")</f>
        <v>0</v>
      </c>
      <c r="K3973" s="4"/>
      <c r="L3973" s="33" t="str">
        <f>IFERROR(VLOOKUP($J3973,'Informations sur les produits'!$A$3:$H$10000,8,FALSE),"0")</f>
        <v>0</v>
      </c>
      <c r="N3973" s="8"/>
      <c r="O3973" s="33" t="str">
        <f>IFERROR(VLOOKUP($M3973,'Informations sur les produits'!$A$3:$H$10000,8,FALSE),"0")</f>
        <v>0</v>
      </c>
      <c r="P3973" s="33">
        <f t="shared" si="248"/>
        <v>0</v>
      </c>
      <c r="Q3973" s="31" t="str">
        <f t="shared" si="249"/>
        <v/>
      </c>
      <c r="R3973" s="32" t="str">
        <f>IFERROR(VLOOKUP($D3973,'Informations sur les produits'!$A$3:$B$15000,2,FALSE),"")</f>
        <v/>
      </c>
      <c r="V3973">
        <f t="shared" si="250"/>
        <v>0</v>
      </c>
      <c r="W3973">
        <f t="shared" si="251"/>
        <v>0</v>
      </c>
    </row>
    <row r="3974" spans="5:23" x14ac:dyDescent="0.25">
      <c r="E3974" s="4"/>
      <c r="F3974" s="4"/>
      <c r="G3974" s="33" t="str">
        <f>IFERROR(VLOOKUP($D3974,'Informations sur les produits'!$A$3:$H$10000,8,FALSE),"0")</f>
        <v>0</v>
      </c>
      <c r="K3974" s="4"/>
      <c r="L3974" s="33" t="str">
        <f>IFERROR(VLOOKUP($J3974,'Informations sur les produits'!$A$3:$H$10000,8,FALSE),"0")</f>
        <v>0</v>
      </c>
      <c r="N3974" s="8"/>
      <c r="O3974" s="33" t="str">
        <f>IFERROR(VLOOKUP($M3974,'Informations sur les produits'!$A$3:$H$10000,8,FALSE),"0")</f>
        <v>0</v>
      </c>
      <c r="P3974" s="33">
        <f t="shared" si="248"/>
        <v>0</v>
      </c>
      <c r="Q3974" s="31" t="str">
        <f t="shared" si="249"/>
        <v/>
      </c>
      <c r="R3974" s="32" t="str">
        <f>IFERROR(VLOOKUP($D3974,'Informations sur les produits'!$A$3:$B$15000,2,FALSE),"")</f>
        <v/>
      </c>
      <c r="V3974">
        <f t="shared" si="250"/>
        <v>0</v>
      </c>
      <c r="W3974">
        <f t="shared" si="251"/>
        <v>0</v>
      </c>
    </row>
    <row r="3975" spans="5:23" x14ac:dyDescent="0.25">
      <c r="E3975" s="4"/>
      <c r="F3975" s="4"/>
      <c r="G3975" s="33" t="str">
        <f>IFERROR(VLOOKUP($D3975,'Informations sur les produits'!$A$3:$H$10000,8,FALSE),"0")</f>
        <v>0</v>
      </c>
      <c r="K3975" s="4"/>
      <c r="L3975" s="33" t="str">
        <f>IFERROR(VLOOKUP($J3975,'Informations sur les produits'!$A$3:$H$10000,8,FALSE),"0")</f>
        <v>0</v>
      </c>
      <c r="N3975" s="8"/>
      <c r="O3975" s="33" t="str">
        <f>IFERROR(VLOOKUP($M3975,'Informations sur les produits'!$A$3:$H$10000,8,FALSE),"0")</f>
        <v>0</v>
      </c>
      <c r="P3975" s="33">
        <f t="shared" si="248"/>
        <v>0</v>
      </c>
      <c r="Q3975" s="31" t="str">
        <f t="shared" si="249"/>
        <v/>
      </c>
      <c r="R3975" s="32" t="str">
        <f>IFERROR(VLOOKUP($D3975,'Informations sur les produits'!$A$3:$B$15000,2,FALSE),"")</f>
        <v/>
      </c>
      <c r="V3975">
        <f t="shared" si="250"/>
        <v>0</v>
      </c>
      <c r="W3975">
        <f t="shared" si="251"/>
        <v>0</v>
      </c>
    </row>
    <row r="3976" spans="5:23" x14ac:dyDescent="0.25">
      <c r="E3976" s="4"/>
      <c r="F3976" s="4"/>
      <c r="G3976" s="33" t="str">
        <f>IFERROR(VLOOKUP($D3976,'Informations sur les produits'!$A$3:$H$10000,8,FALSE),"0")</f>
        <v>0</v>
      </c>
      <c r="K3976" s="4"/>
      <c r="L3976" s="33" t="str">
        <f>IFERROR(VLOOKUP($J3976,'Informations sur les produits'!$A$3:$H$10000,8,FALSE),"0")</f>
        <v>0</v>
      </c>
      <c r="N3976" s="8"/>
      <c r="O3976" s="33" t="str">
        <f>IFERROR(VLOOKUP($M3976,'Informations sur les produits'!$A$3:$H$10000,8,FALSE),"0")</f>
        <v>0</v>
      </c>
      <c r="P3976" s="33">
        <f t="shared" si="248"/>
        <v>0</v>
      </c>
      <c r="Q3976" s="31" t="str">
        <f t="shared" si="249"/>
        <v/>
      </c>
      <c r="R3976" s="32" t="str">
        <f>IFERROR(VLOOKUP($D3976,'Informations sur les produits'!$A$3:$B$15000,2,FALSE),"")</f>
        <v/>
      </c>
      <c r="V3976">
        <f t="shared" si="250"/>
        <v>0</v>
      </c>
      <c r="W3976">
        <f t="shared" si="251"/>
        <v>0</v>
      </c>
    </row>
    <row r="3977" spans="5:23" x14ac:dyDescent="0.25">
      <c r="E3977" s="4"/>
      <c r="F3977" s="4"/>
      <c r="G3977" s="33" t="str">
        <f>IFERROR(VLOOKUP($D3977,'Informations sur les produits'!$A$3:$H$10000,8,FALSE),"0")</f>
        <v>0</v>
      </c>
      <c r="K3977" s="4"/>
      <c r="L3977" s="33" t="str">
        <f>IFERROR(VLOOKUP($J3977,'Informations sur les produits'!$A$3:$H$10000,8,FALSE),"0")</f>
        <v>0</v>
      </c>
      <c r="N3977" s="8"/>
      <c r="O3977" s="33" t="str">
        <f>IFERROR(VLOOKUP($M3977,'Informations sur les produits'!$A$3:$H$10000,8,FALSE),"0")</f>
        <v>0</v>
      </c>
      <c r="P3977" s="33">
        <f t="shared" si="248"/>
        <v>0</v>
      </c>
      <c r="Q3977" s="31" t="str">
        <f t="shared" si="249"/>
        <v/>
      </c>
      <c r="R3977" s="32" t="str">
        <f>IFERROR(VLOOKUP($D3977,'Informations sur les produits'!$A$3:$B$15000,2,FALSE),"")</f>
        <v/>
      </c>
      <c r="V3977">
        <f t="shared" si="250"/>
        <v>0</v>
      </c>
      <c r="W3977">
        <f t="shared" si="251"/>
        <v>0</v>
      </c>
    </row>
    <row r="3978" spans="5:23" x14ac:dyDescent="0.25">
      <c r="E3978" s="4"/>
      <c r="F3978" s="4"/>
      <c r="G3978" s="33" t="str">
        <f>IFERROR(VLOOKUP($D3978,'Informations sur les produits'!$A$3:$H$10000,8,FALSE),"0")</f>
        <v>0</v>
      </c>
      <c r="K3978" s="4"/>
      <c r="L3978" s="33" t="str">
        <f>IFERROR(VLOOKUP($J3978,'Informations sur les produits'!$A$3:$H$10000,8,FALSE),"0")</f>
        <v>0</v>
      </c>
      <c r="N3978" s="8"/>
      <c r="O3978" s="33" t="str">
        <f>IFERROR(VLOOKUP($M3978,'Informations sur les produits'!$A$3:$H$10000,8,FALSE),"0")</f>
        <v>0</v>
      </c>
      <c r="P3978" s="33">
        <f t="shared" si="248"/>
        <v>0</v>
      </c>
      <c r="Q3978" s="31" t="str">
        <f t="shared" si="249"/>
        <v/>
      </c>
      <c r="R3978" s="32" t="str">
        <f>IFERROR(VLOOKUP($D3978,'Informations sur les produits'!$A$3:$B$15000,2,FALSE),"")</f>
        <v/>
      </c>
      <c r="V3978">
        <f t="shared" si="250"/>
        <v>0</v>
      </c>
      <c r="W3978">
        <f t="shared" si="251"/>
        <v>0</v>
      </c>
    </row>
    <row r="3979" spans="5:23" x14ac:dyDescent="0.25">
      <c r="E3979" s="4"/>
      <c r="F3979" s="4"/>
      <c r="G3979" s="33" t="str">
        <f>IFERROR(VLOOKUP($D3979,'Informations sur les produits'!$A$3:$H$10000,8,FALSE),"0")</f>
        <v>0</v>
      </c>
      <c r="K3979" s="4"/>
      <c r="L3979" s="33" t="str">
        <f>IFERROR(VLOOKUP($J3979,'Informations sur les produits'!$A$3:$H$10000,8,FALSE),"0")</f>
        <v>0</v>
      </c>
      <c r="N3979" s="8"/>
      <c r="O3979" s="33" t="str">
        <f>IFERROR(VLOOKUP($M3979,'Informations sur les produits'!$A$3:$H$10000,8,FALSE),"0")</f>
        <v>0</v>
      </c>
      <c r="P3979" s="33">
        <f t="shared" si="248"/>
        <v>0</v>
      </c>
      <c r="Q3979" s="31" t="str">
        <f t="shared" si="249"/>
        <v/>
      </c>
      <c r="R3979" s="32" t="str">
        <f>IFERROR(VLOOKUP($D3979,'Informations sur les produits'!$A$3:$B$15000,2,FALSE),"")</f>
        <v/>
      </c>
      <c r="V3979">
        <f t="shared" si="250"/>
        <v>0</v>
      </c>
      <c r="W3979">
        <f t="shared" si="251"/>
        <v>0</v>
      </c>
    </row>
    <row r="3980" spans="5:23" x14ac:dyDescent="0.25">
      <c r="E3980" s="4"/>
      <c r="F3980" s="4"/>
      <c r="G3980" s="33" t="str">
        <f>IFERROR(VLOOKUP($D3980,'Informations sur les produits'!$A$3:$H$10000,8,FALSE),"0")</f>
        <v>0</v>
      </c>
      <c r="K3980" s="4"/>
      <c r="L3980" s="33" t="str">
        <f>IFERROR(VLOOKUP($J3980,'Informations sur les produits'!$A$3:$H$10000,8,FALSE),"0")</f>
        <v>0</v>
      </c>
      <c r="N3980" s="8"/>
      <c r="O3980" s="33" t="str">
        <f>IFERROR(VLOOKUP($M3980,'Informations sur les produits'!$A$3:$H$10000,8,FALSE),"0")</f>
        <v>0</v>
      </c>
      <c r="P3980" s="33">
        <f t="shared" si="248"/>
        <v>0</v>
      </c>
      <c r="Q3980" s="31" t="str">
        <f t="shared" si="249"/>
        <v/>
      </c>
      <c r="R3980" s="32" t="str">
        <f>IFERROR(VLOOKUP($D3980,'Informations sur les produits'!$A$3:$B$15000,2,FALSE),"")</f>
        <v/>
      </c>
      <c r="V3980">
        <f t="shared" si="250"/>
        <v>0</v>
      </c>
      <c r="W3980">
        <f t="shared" si="251"/>
        <v>0</v>
      </c>
    </row>
    <row r="3981" spans="5:23" x14ac:dyDescent="0.25">
      <c r="E3981" s="4"/>
      <c r="F3981" s="4"/>
      <c r="G3981" s="33" t="str">
        <f>IFERROR(VLOOKUP($D3981,'Informations sur les produits'!$A$3:$H$10000,8,FALSE),"0")</f>
        <v>0</v>
      </c>
      <c r="K3981" s="4"/>
      <c r="L3981" s="33" t="str">
        <f>IFERROR(VLOOKUP($J3981,'Informations sur les produits'!$A$3:$H$10000,8,FALSE),"0")</f>
        <v>0</v>
      </c>
      <c r="N3981" s="8"/>
      <c r="O3981" s="33" t="str">
        <f>IFERROR(VLOOKUP($M3981,'Informations sur les produits'!$A$3:$H$10000,8,FALSE),"0")</f>
        <v>0</v>
      </c>
      <c r="P3981" s="33">
        <f t="shared" si="248"/>
        <v>0</v>
      </c>
      <c r="Q3981" s="31" t="str">
        <f t="shared" si="249"/>
        <v/>
      </c>
      <c r="R3981" s="32" t="str">
        <f>IFERROR(VLOOKUP($D3981,'Informations sur les produits'!$A$3:$B$15000,2,FALSE),"")</f>
        <v/>
      </c>
      <c r="V3981">
        <f t="shared" si="250"/>
        <v>0</v>
      </c>
      <c r="W3981">
        <f t="shared" si="251"/>
        <v>0</v>
      </c>
    </row>
    <row r="3982" spans="5:23" x14ac:dyDescent="0.25">
      <c r="E3982" s="4"/>
      <c r="F3982" s="4"/>
      <c r="G3982" s="33" t="str">
        <f>IFERROR(VLOOKUP($D3982,'Informations sur les produits'!$A$3:$H$10000,8,FALSE),"0")</f>
        <v>0</v>
      </c>
      <c r="K3982" s="4"/>
      <c r="L3982" s="33" t="str">
        <f>IFERROR(VLOOKUP($J3982,'Informations sur les produits'!$A$3:$H$10000,8,FALSE),"0")</f>
        <v>0</v>
      </c>
      <c r="N3982" s="8"/>
      <c r="O3982" s="33" t="str">
        <f>IFERROR(VLOOKUP($M3982,'Informations sur les produits'!$A$3:$H$10000,8,FALSE),"0")</f>
        <v>0</v>
      </c>
      <c r="P3982" s="33">
        <f t="shared" si="248"/>
        <v>0</v>
      </c>
      <c r="Q3982" s="31" t="str">
        <f t="shared" si="249"/>
        <v/>
      </c>
      <c r="R3982" s="32" t="str">
        <f>IFERROR(VLOOKUP($D3982,'Informations sur les produits'!$A$3:$B$15000,2,FALSE),"")</f>
        <v/>
      </c>
      <c r="V3982">
        <f t="shared" si="250"/>
        <v>0</v>
      </c>
      <c r="W3982">
        <f t="shared" si="251"/>
        <v>0</v>
      </c>
    </row>
    <row r="3983" spans="5:23" x14ac:dyDescent="0.25">
      <c r="E3983" s="4"/>
      <c r="F3983" s="4"/>
      <c r="G3983" s="33" t="str">
        <f>IFERROR(VLOOKUP($D3983,'Informations sur les produits'!$A$3:$H$10000,8,FALSE),"0")</f>
        <v>0</v>
      </c>
      <c r="K3983" s="4"/>
      <c r="L3983" s="33" t="str">
        <f>IFERROR(VLOOKUP($J3983,'Informations sur les produits'!$A$3:$H$10000,8,FALSE),"0")</f>
        <v>0</v>
      </c>
      <c r="N3983" s="8"/>
      <c r="O3983" s="33" t="str">
        <f>IFERROR(VLOOKUP($M3983,'Informations sur les produits'!$A$3:$H$10000,8,FALSE),"0")</f>
        <v>0</v>
      </c>
      <c r="P3983" s="33">
        <f t="shared" si="248"/>
        <v>0</v>
      </c>
      <c r="Q3983" s="31" t="str">
        <f t="shared" si="249"/>
        <v/>
      </c>
      <c r="R3983" s="32" t="str">
        <f>IFERROR(VLOOKUP($D3983,'Informations sur les produits'!$A$3:$B$15000,2,FALSE),"")</f>
        <v/>
      </c>
      <c r="V3983">
        <f t="shared" si="250"/>
        <v>0</v>
      </c>
      <c r="W3983">
        <f t="shared" si="251"/>
        <v>0</v>
      </c>
    </row>
    <row r="3984" spans="5:23" x14ac:dyDescent="0.25">
      <c r="E3984" s="4"/>
      <c r="F3984" s="4"/>
      <c r="G3984" s="33" t="str">
        <f>IFERROR(VLOOKUP($D3984,'Informations sur les produits'!$A$3:$H$10000,8,FALSE),"0")</f>
        <v>0</v>
      </c>
      <c r="K3984" s="4"/>
      <c r="L3984" s="33" t="str">
        <f>IFERROR(VLOOKUP($J3984,'Informations sur les produits'!$A$3:$H$10000,8,FALSE),"0")</f>
        <v>0</v>
      </c>
      <c r="N3984" s="8"/>
      <c r="O3984" s="33" t="str">
        <f>IFERROR(VLOOKUP($M3984,'Informations sur les produits'!$A$3:$H$10000,8,FALSE),"0")</f>
        <v>0</v>
      </c>
      <c r="P3984" s="33">
        <f t="shared" si="248"/>
        <v>0</v>
      </c>
      <c r="Q3984" s="31" t="str">
        <f t="shared" si="249"/>
        <v/>
      </c>
      <c r="R3984" s="32" t="str">
        <f>IFERROR(VLOOKUP($D3984,'Informations sur les produits'!$A$3:$B$15000,2,FALSE),"")</f>
        <v/>
      </c>
      <c r="V3984">
        <f t="shared" si="250"/>
        <v>0</v>
      </c>
      <c r="W3984">
        <f t="shared" si="251"/>
        <v>0</v>
      </c>
    </row>
    <row r="3985" spans="5:23" x14ac:dyDescent="0.25">
      <c r="E3985" s="4"/>
      <c r="F3985" s="4"/>
      <c r="G3985" s="33" t="str">
        <f>IFERROR(VLOOKUP($D3985,'Informations sur les produits'!$A$3:$H$10000,8,FALSE),"0")</f>
        <v>0</v>
      </c>
      <c r="K3985" s="4"/>
      <c r="L3985" s="33" t="str">
        <f>IFERROR(VLOOKUP($J3985,'Informations sur les produits'!$A$3:$H$10000,8,FALSE),"0")</f>
        <v>0</v>
      </c>
      <c r="N3985" s="8"/>
      <c r="O3985" s="33" t="str">
        <f>IFERROR(VLOOKUP($M3985,'Informations sur les produits'!$A$3:$H$10000,8,FALSE),"0")</f>
        <v>0</v>
      </c>
      <c r="P3985" s="33">
        <f t="shared" si="248"/>
        <v>0</v>
      </c>
      <c r="Q3985" s="31" t="str">
        <f t="shared" si="249"/>
        <v/>
      </c>
      <c r="R3985" s="32" t="str">
        <f>IFERROR(VLOOKUP($D3985,'Informations sur les produits'!$A$3:$B$15000,2,FALSE),"")</f>
        <v/>
      </c>
      <c r="V3985">
        <f t="shared" si="250"/>
        <v>0</v>
      </c>
      <c r="W3985">
        <f t="shared" si="251"/>
        <v>0</v>
      </c>
    </row>
    <row r="3986" spans="5:23" x14ac:dyDescent="0.25">
      <c r="E3986" s="4"/>
      <c r="F3986" s="4"/>
      <c r="G3986" s="33" t="str">
        <f>IFERROR(VLOOKUP($D3986,'Informations sur les produits'!$A$3:$H$10000,8,FALSE),"0")</f>
        <v>0</v>
      </c>
      <c r="K3986" s="4"/>
      <c r="L3986" s="33" t="str">
        <f>IFERROR(VLOOKUP($J3986,'Informations sur les produits'!$A$3:$H$10000,8,FALSE),"0")</f>
        <v>0</v>
      </c>
      <c r="N3986" s="8"/>
      <c r="O3986" s="33" t="str">
        <f>IFERROR(VLOOKUP($M3986,'Informations sur les produits'!$A$3:$H$10000,8,FALSE),"0")</f>
        <v>0</v>
      </c>
      <c r="P3986" s="33">
        <f t="shared" si="248"/>
        <v>0</v>
      </c>
      <c r="Q3986" s="31" t="str">
        <f t="shared" si="249"/>
        <v/>
      </c>
      <c r="R3986" s="32" t="str">
        <f>IFERROR(VLOOKUP($D3986,'Informations sur les produits'!$A$3:$B$15000,2,FALSE),"")</f>
        <v/>
      </c>
      <c r="V3986">
        <f t="shared" si="250"/>
        <v>0</v>
      </c>
      <c r="W3986">
        <f t="shared" si="251"/>
        <v>0</v>
      </c>
    </row>
    <row r="3987" spans="5:23" x14ac:dyDescent="0.25">
      <c r="E3987" s="4"/>
      <c r="F3987" s="4"/>
      <c r="G3987" s="33" t="str">
        <f>IFERROR(VLOOKUP($D3987,'Informations sur les produits'!$A$3:$H$10000,8,FALSE),"0")</f>
        <v>0</v>
      </c>
      <c r="K3987" s="4"/>
      <c r="L3987" s="33" t="str">
        <f>IFERROR(VLOOKUP($J3987,'Informations sur les produits'!$A$3:$H$10000,8,FALSE),"0")</f>
        <v>0</v>
      </c>
      <c r="N3987" s="8"/>
      <c r="O3987" s="33" t="str">
        <f>IFERROR(VLOOKUP($M3987,'Informations sur les produits'!$A$3:$H$10000,8,FALSE),"0")</f>
        <v>0</v>
      </c>
      <c r="P3987" s="33">
        <f t="shared" si="248"/>
        <v>0</v>
      </c>
      <c r="Q3987" s="31" t="str">
        <f t="shared" si="249"/>
        <v/>
      </c>
      <c r="R3987" s="32" t="str">
        <f>IFERROR(VLOOKUP($D3987,'Informations sur les produits'!$A$3:$B$15000,2,FALSE),"")</f>
        <v/>
      </c>
      <c r="V3987">
        <f t="shared" si="250"/>
        <v>0</v>
      </c>
      <c r="W3987">
        <f t="shared" si="251"/>
        <v>0</v>
      </c>
    </row>
    <row r="3988" spans="5:23" x14ac:dyDescent="0.25">
      <c r="E3988" s="4"/>
      <c r="F3988" s="4"/>
      <c r="G3988" s="33" t="str">
        <f>IFERROR(VLOOKUP($D3988,'Informations sur les produits'!$A$3:$H$10000,8,FALSE),"0")</f>
        <v>0</v>
      </c>
      <c r="K3988" s="4"/>
      <c r="L3988" s="33" t="str">
        <f>IFERROR(VLOOKUP($J3988,'Informations sur les produits'!$A$3:$H$10000,8,FALSE),"0")</f>
        <v>0</v>
      </c>
      <c r="N3988" s="8"/>
      <c r="O3988" s="33" t="str">
        <f>IFERROR(VLOOKUP($M3988,'Informations sur les produits'!$A$3:$H$10000,8,FALSE),"0")</f>
        <v>0</v>
      </c>
      <c r="P3988" s="33">
        <f t="shared" si="248"/>
        <v>0</v>
      </c>
      <c r="Q3988" s="31" t="str">
        <f t="shared" si="249"/>
        <v/>
      </c>
      <c r="R3988" s="32" t="str">
        <f>IFERROR(VLOOKUP($D3988,'Informations sur les produits'!$A$3:$B$15000,2,FALSE),"")</f>
        <v/>
      </c>
      <c r="V3988">
        <f t="shared" si="250"/>
        <v>0</v>
      </c>
      <c r="W3988">
        <f t="shared" si="251"/>
        <v>0</v>
      </c>
    </row>
    <row r="3989" spans="5:23" x14ac:dyDescent="0.25">
      <c r="E3989" s="4"/>
      <c r="F3989" s="4"/>
      <c r="G3989" s="33" t="str">
        <f>IFERROR(VLOOKUP($D3989,'Informations sur les produits'!$A$3:$H$10000,8,FALSE),"0")</f>
        <v>0</v>
      </c>
      <c r="K3989" s="4"/>
      <c r="L3989" s="33" t="str">
        <f>IFERROR(VLOOKUP($J3989,'Informations sur les produits'!$A$3:$H$10000,8,FALSE),"0")</f>
        <v>0</v>
      </c>
      <c r="N3989" s="8"/>
      <c r="O3989" s="33" t="str">
        <f>IFERROR(VLOOKUP($M3989,'Informations sur les produits'!$A$3:$H$10000,8,FALSE),"0")</f>
        <v>0</v>
      </c>
      <c r="P3989" s="33">
        <f t="shared" si="248"/>
        <v>0</v>
      </c>
      <c r="Q3989" s="31" t="str">
        <f t="shared" si="249"/>
        <v/>
      </c>
      <c r="R3989" s="32" t="str">
        <f>IFERROR(VLOOKUP($D3989,'Informations sur les produits'!$A$3:$B$15000,2,FALSE),"")</f>
        <v/>
      </c>
      <c r="V3989">
        <f t="shared" si="250"/>
        <v>0</v>
      </c>
      <c r="W3989">
        <f t="shared" si="251"/>
        <v>0</v>
      </c>
    </row>
    <row r="3990" spans="5:23" x14ac:dyDescent="0.25">
      <c r="E3990" s="4"/>
      <c r="F3990" s="4"/>
      <c r="G3990" s="33" t="str">
        <f>IFERROR(VLOOKUP($D3990,'Informations sur les produits'!$A$3:$H$10000,8,FALSE),"0")</f>
        <v>0</v>
      </c>
      <c r="K3990" s="4"/>
      <c r="L3990" s="33" t="str">
        <f>IFERROR(VLOOKUP($J3990,'Informations sur les produits'!$A$3:$H$10000,8,FALSE),"0")</f>
        <v>0</v>
      </c>
      <c r="N3990" s="8"/>
      <c r="O3990" s="33" t="str">
        <f>IFERROR(VLOOKUP($M3990,'Informations sur les produits'!$A$3:$H$10000,8,FALSE),"0")</f>
        <v>0</v>
      </c>
      <c r="P3990" s="33">
        <f t="shared" si="248"/>
        <v>0</v>
      </c>
      <c r="Q3990" s="31" t="str">
        <f t="shared" si="249"/>
        <v/>
      </c>
      <c r="R3990" s="32" t="str">
        <f>IFERROR(VLOOKUP($D3990,'Informations sur les produits'!$A$3:$B$15000,2,FALSE),"")</f>
        <v/>
      </c>
      <c r="V3990">
        <f t="shared" si="250"/>
        <v>0</v>
      </c>
      <c r="W3990">
        <f t="shared" si="251"/>
        <v>0</v>
      </c>
    </row>
    <row r="3991" spans="5:23" x14ac:dyDescent="0.25">
      <c r="E3991" s="4"/>
      <c r="F3991" s="4"/>
      <c r="G3991" s="33" t="str">
        <f>IFERROR(VLOOKUP($D3991,'Informations sur les produits'!$A$3:$H$10000,8,FALSE),"0")</f>
        <v>0</v>
      </c>
      <c r="K3991" s="4"/>
      <c r="L3991" s="33" t="str">
        <f>IFERROR(VLOOKUP($J3991,'Informations sur les produits'!$A$3:$H$10000,8,FALSE),"0")</f>
        <v>0</v>
      </c>
      <c r="N3991" s="8"/>
      <c r="O3991" s="33" t="str">
        <f>IFERROR(VLOOKUP($M3991,'Informations sur les produits'!$A$3:$H$10000,8,FALSE),"0")</f>
        <v>0</v>
      </c>
      <c r="P3991" s="33">
        <f t="shared" si="248"/>
        <v>0</v>
      </c>
      <c r="Q3991" s="31" t="str">
        <f t="shared" si="249"/>
        <v/>
      </c>
      <c r="R3991" s="32" t="str">
        <f>IFERROR(VLOOKUP($D3991,'Informations sur les produits'!$A$3:$B$15000,2,FALSE),"")</f>
        <v/>
      </c>
      <c r="V3991">
        <f t="shared" si="250"/>
        <v>0</v>
      </c>
      <c r="W3991">
        <f t="shared" si="251"/>
        <v>0</v>
      </c>
    </row>
    <row r="3992" spans="5:23" x14ac:dyDescent="0.25">
      <c r="E3992" s="4"/>
      <c r="F3992" s="4"/>
      <c r="G3992" s="33" t="str">
        <f>IFERROR(VLOOKUP($D3992,'Informations sur les produits'!$A$3:$H$10000,8,FALSE),"0")</f>
        <v>0</v>
      </c>
      <c r="K3992" s="4"/>
      <c r="L3992" s="33" t="str">
        <f>IFERROR(VLOOKUP($J3992,'Informations sur les produits'!$A$3:$H$10000,8,FALSE),"0")</f>
        <v>0</v>
      </c>
      <c r="N3992" s="8"/>
      <c r="O3992" s="33" t="str">
        <f>IFERROR(VLOOKUP($M3992,'Informations sur les produits'!$A$3:$H$10000,8,FALSE),"0")</f>
        <v>0</v>
      </c>
      <c r="P3992" s="33">
        <f t="shared" si="248"/>
        <v>0</v>
      </c>
      <c r="Q3992" s="31" t="str">
        <f t="shared" si="249"/>
        <v/>
      </c>
      <c r="R3992" s="32" t="str">
        <f>IFERROR(VLOOKUP($D3992,'Informations sur les produits'!$A$3:$B$15000,2,FALSE),"")</f>
        <v/>
      </c>
      <c r="V3992">
        <f t="shared" si="250"/>
        <v>0</v>
      </c>
      <c r="W3992">
        <f t="shared" si="251"/>
        <v>0</v>
      </c>
    </row>
    <row r="3993" spans="5:23" x14ac:dyDescent="0.25">
      <c r="E3993" s="4"/>
      <c r="F3993" s="4"/>
      <c r="G3993" s="33" t="str">
        <f>IFERROR(VLOOKUP($D3993,'Informations sur les produits'!$A$3:$H$10000,8,FALSE),"0")</f>
        <v>0</v>
      </c>
      <c r="K3993" s="4"/>
      <c r="L3993" s="33" t="str">
        <f>IFERROR(VLOOKUP($J3993,'Informations sur les produits'!$A$3:$H$10000,8,FALSE),"0")</f>
        <v>0</v>
      </c>
      <c r="N3993" s="8"/>
      <c r="O3993" s="33" t="str">
        <f>IFERROR(VLOOKUP($M3993,'Informations sur les produits'!$A$3:$H$10000,8,FALSE),"0")</f>
        <v>0</v>
      </c>
      <c r="P3993" s="33">
        <f t="shared" si="248"/>
        <v>0</v>
      </c>
      <c r="Q3993" s="31" t="str">
        <f t="shared" si="249"/>
        <v/>
      </c>
      <c r="R3993" s="32" t="str">
        <f>IFERROR(VLOOKUP($D3993,'Informations sur les produits'!$A$3:$B$15000,2,FALSE),"")</f>
        <v/>
      </c>
      <c r="V3993">
        <f t="shared" si="250"/>
        <v>0</v>
      </c>
      <c r="W3993">
        <f t="shared" si="251"/>
        <v>0</v>
      </c>
    </row>
    <row r="3994" spans="5:23" x14ac:dyDescent="0.25">
      <c r="E3994" s="4"/>
      <c r="F3994" s="4"/>
      <c r="G3994" s="33" t="str">
        <f>IFERROR(VLOOKUP($D3994,'Informations sur les produits'!$A$3:$H$10000,8,FALSE),"0")</f>
        <v>0</v>
      </c>
      <c r="K3994" s="4"/>
      <c r="L3994" s="33" t="str">
        <f>IFERROR(VLOOKUP($J3994,'Informations sur les produits'!$A$3:$H$10000,8,FALSE),"0")</f>
        <v>0</v>
      </c>
      <c r="N3994" s="8"/>
      <c r="O3994" s="33" t="str">
        <f>IFERROR(VLOOKUP($M3994,'Informations sur les produits'!$A$3:$H$10000,8,FALSE),"0")</f>
        <v>0</v>
      </c>
      <c r="P3994" s="33">
        <f t="shared" si="248"/>
        <v>0</v>
      </c>
      <c r="Q3994" s="31" t="str">
        <f t="shared" si="249"/>
        <v/>
      </c>
      <c r="R3994" s="32" t="str">
        <f>IFERROR(VLOOKUP($D3994,'Informations sur les produits'!$A$3:$B$15000,2,FALSE),"")</f>
        <v/>
      </c>
      <c r="V3994">
        <f t="shared" si="250"/>
        <v>0</v>
      </c>
      <c r="W3994">
        <f t="shared" si="251"/>
        <v>0</v>
      </c>
    </row>
    <row r="3995" spans="5:23" x14ac:dyDescent="0.25">
      <c r="E3995" s="4"/>
      <c r="F3995" s="4"/>
      <c r="G3995" s="33" t="str">
        <f>IFERROR(VLOOKUP($D3995,'Informations sur les produits'!$A$3:$H$10000,8,FALSE),"0")</f>
        <v>0</v>
      </c>
      <c r="K3995" s="4"/>
      <c r="L3995" s="33" t="str">
        <f>IFERROR(VLOOKUP($J3995,'Informations sur les produits'!$A$3:$H$10000,8,FALSE),"0")</f>
        <v>0</v>
      </c>
      <c r="N3995" s="8"/>
      <c r="O3995" s="33" t="str">
        <f>IFERROR(VLOOKUP($M3995,'Informations sur les produits'!$A$3:$H$10000,8,FALSE),"0")</f>
        <v>0</v>
      </c>
      <c r="P3995" s="33">
        <f t="shared" si="248"/>
        <v>0</v>
      </c>
      <c r="Q3995" s="31" t="str">
        <f t="shared" si="249"/>
        <v/>
      </c>
      <c r="R3995" s="32" t="str">
        <f>IFERROR(VLOOKUP($D3995,'Informations sur les produits'!$A$3:$B$15000,2,FALSE),"")</f>
        <v/>
      </c>
      <c r="V3995">
        <f t="shared" si="250"/>
        <v>0</v>
      </c>
      <c r="W3995">
        <f t="shared" si="251"/>
        <v>0</v>
      </c>
    </row>
    <row r="3996" spans="5:23" x14ac:dyDescent="0.25">
      <c r="E3996" s="4"/>
      <c r="F3996" s="4"/>
      <c r="G3996" s="33" t="str">
        <f>IFERROR(VLOOKUP($D3996,'Informations sur les produits'!$A$3:$H$10000,8,FALSE),"0")</f>
        <v>0</v>
      </c>
      <c r="K3996" s="4"/>
      <c r="L3996" s="33" t="str">
        <f>IFERROR(VLOOKUP($J3996,'Informations sur les produits'!$A$3:$H$10000,8,FALSE),"0")</f>
        <v>0</v>
      </c>
      <c r="N3996" s="8"/>
      <c r="O3996" s="33" t="str">
        <f>IFERROR(VLOOKUP($M3996,'Informations sur les produits'!$A$3:$H$10000,8,FALSE),"0")</f>
        <v>0</v>
      </c>
      <c r="P3996" s="33">
        <f t="shared" si="248"/>
        <v>0</v>
      </c>
      <c r="Q3996" s="31" t="str">
        <f t="shared" si="249"/>
        <v/>
      </c>
      <c r="R3996" s="32" t="str">
        <f>IFERROR(VLOOKUP($D3996,'Informations sur les produits'!$A$3:$B$15000,2,FALSE),"")</f>
        <v/>
      </c>
      <c r="V3996">
        <f t="shared" si="250"/>
        <v>0</v>
      </c>
      <c r="W3996">
        <f t="shared" si="251"/>
        <v>0</v>
      </c>
    </row>
    <row r="3997" spans="5:23" x14ac:dyDescent="0.25">
      <c r="E3997" s="4"/>
      <c r="F3997" s="4"/>
      <c r="G3997" s="33" t="str">
        <f>IFERROR(VLOOKUP($D3997,'Informations sur les produits'!$A$3:$H$10000,8,FALSE),"0")</f>
        <v>0</v>
      </c>
      <c r="K3997" s="4"/>
      <c r="L3997" s="33" t="str">
        <f>IFERROR(VLOOKUP($J3997,'Informations sur les produits'!$A$3:$H$10000,8,FALSE),"0")</f>
        <v>0</v>
      </c>
      <c r="N3997" s="8"/>
      <c r="O3997" s="33" t="str">
        <f>IFERROR(VLOOKUP($M3997,'Informations sur les produits'!$A$3:$H$10000,8,FALSE),"0")</f>
        <v>0</v>
      </c>
      <c r="P3997" s="33">
        <f t="shared" si="248"/>
        <v>0</v>
      </c>
      <c r="Q3997" s="31" t="str">
        <f t="shared" si="249"/>
        <v/>
      </c>
      <c r="R3997" s="32" t="str">
        <f>IFERROR(VLOOKUP($D3997,'Informations sur les produits'!$A$3:$B$15000,2,FALSE),"")</f>
        <v/>
      </c>
      <c r="V3997">
        <f t="shared" si="250"/>
        <v>0</v>
      </c>
      <c r="W3997">
        <f t="shared" si="251"/>
        <v>0</v>
      </c>
    </row>
    <row r="3998" spans="5:23" x14ac:dyDescent="0.25">
      <c r="E3998" s="4"/>
      <c r="F3998" s="4"/>
      <c r="G3998" s="33" t="str">
        <f>IFERROR(VLOOKUP($D3998,'Informations sur les produits'!$A$3:$H$10000,8,FALSE),"0")</f>
        <v>0</v>
      </c>
      <c r="K3998" s="4"/>
      <c r="L3998" s="33" t="str">
        <f>IFERROR(VLOOKUP($J3998,'Informations sur les produits'!$A$3:$H$10000,8,FALSE),"0")</f>
        <v>0</v>
      </c>
      <c r="N3998" s="8"/>
      <c r="O3998" s="33" t="str">
        <f>IFERROR(VLOOKUP($M3998,'Informations sur les produits'!$A$3:$H$10000,8,FALSE),"0")</f>
        <v>0</v>
      </c>
      <c r="P3998" s="33">
        <f t="shared" si="248"/>
        <v>0</v>
      </c>
      <c r="Q3998" s="31" t="str">
        <f t="shared" si="249"/>
        <v/>
      </c>
      <c r="R3998" s="32" t="str">
        <f>IFERROR(VLOOKUP($D3998,'Informations sur les produits'!$A$3:$B$15000,2,FALSE),"")</f>
        <v/>
      </c>
      <c r="V3998">
        <f t="shared" si="250"/>
        <v>0</v>
      </c>
      <c r="W3998">
        <f t="shared" si="251"/>
        <v>0</v>
      </c>
    </row>
    <row r="3999" spans="5:23" x14ac:dyDescent="0.25">
      <c r="E3999" s="4"/>
      <c r="F3999" s="4"/>
      <c r="G3999" s="33" t="str">
        <f>IFERROR(VLOOKUP($D3999,'Informations sur les produits'!$A$3:$H$10000,8,FALSE),"0")</f>
        <v>0</v>
      </c>
      <c r="K3999" s="4"/>
      <c r="L3999" s="33" t="str">
        <f>IFERROR(VLOOKUP($J3999,'Informations sur les produits'!$A$3:$H$10000,8,FALSE),"0")</f>
        <v>0</v>
      </c>
      <c r="N3999" s="8"/>
      <c r="O3999" s="33" t="str">
        <f>IFERROR(VLOOKUP($M3999,'Informations sur les produits'!$A$3:$H$10000,8,FALSE),"0")</f>
        <v>0</v>
      </c>
      <c r="P3999" s="33">
        <f t="shared" si="248"/>
        <v>0</v>
      </c>
      <c r="Q3999" s="31" t="str">
        <f t="shared" si="249"/>
        <v/>
      </c>
      <c r="R3999" s="32" t="str">
        <f>IFERROR(VLOOKUP($D3999,'Informations sur les produits'!$A$3:$B$15000,2,FALSE),"")</f>
        <v/>
      </c>
      <c r="V3999">
        <f t="shared" si="250"/>
        <v>0</v>
      </c>
      <c r="W3999">
        <f t="shared" si="251"/>
        <v>0</v>
      </c>
    </row>
    <row r="4000" spans="5:23" x14ac:dyDescent="0.25">
      <c r="E4000" s="4"/>
      <c r="F4000" s="4"/>
      <c r="G4000" s="33" t="str">
        <f>IFERROR(VLOOKUP($D4000,'Informations sur les produits'!$A$3:$H$10000,8,FALSE),"0")</f>
        <v>0</v>
      </c>
      <c r="K4000" s="4"/>
      <c r="L4000" s="33" t="str">
        <f>IFERROR(VLOOKUP($J4000,'Informations sur les produits'!$A$3:$H$10000,8,FALSE),"0")</f>
        <v>0</v>
      </c>
      <c r="N4000" s="8"/>
      <c r="O4000" s="33" t="str">
        <f>IFERROR(VLOOKUP($M4000,'Informations sur les produits'!$A$3:$H$10000,8,FALSE),"0")</f>
        <v>0</v>
      </c>
      <c r="P4000" s="33">
        <f t="shared" si="248"/>
        <v>0</v>
      </c>
      <c r="Q4000" s="31" t="str">
        <f t="shared" si="249"/>
        <v/>
      </c>
      <c r="R4000" s="32" t="str">
        <f>IFERROR(VLOOKUP($D4000,'Informations sur les produits'!$A$3:$B$15000,2,FALSE),"")</f>
        <v/>
      </c>
      <c r="V4000">
        <f t="shared" si="250"/>
        <v>0</v>
      </c>
      <c r="W4000">
        <f t="shared" si="251"/>
        <v>0</v>
      </c>
    </row>
    <row r="4001" spans="5:23" x14ac:dyDescent="0.25">
      <c r="E4001" s="4"/>
      <c r="F4001" s="4"/>
      <c r="G4001" s="33" t="str">
        <f>IFERROR(VLOOKUP($D4001,'Informations sur les produits'!$A$3:$H$10000,8,FALSE),"0")</f>
        <v>0</v>
      </c>
      <c r="K4001" s="4"/>
      <c r="L4001" s="33" t="str">
        <f>IFERROR(VLOOKUP($J4001,'Informations sur les produits'!$A$3:$H$10000,8,FALSE),"0")</f>
        <v>0</v>
      </c>
      <c r="N4001" s="8"/>
      <c r="O4001" s="33" t="str">
        <f>IFERROR(VLOOKUP($M4001,'Informations sur les produits'!$A$3:$H$10000,8,FALSE),"0")</f>
        <v>0</v>
      </c>
      <c r="P4001" s="33">
        <f t="shared" si="248"/>
        <v>0</v>
      </c>
      <c r="Q4001" s="31" t="str">
        <f t="shared" si="249"/>
        <v/>
      </c>
      <c r="R4001" s="32" t="str">
        <f>IFERROR(VLOOKUP($D4001,'Informations sur les produits'!$A$3:$B$15000,2,FALSE),"")</f>
        <v/>
      </c>
      <c r="V4001">
        <f t="shared" si="250"/>
        <v>0</v>
      </c>
      <c r="W4001">
        <f t="shared" si="251"/>
        <v>0</v>
      </c>
    </row>
    <row r="4002" spans="5:23" x14ac:dyDescent="0.25">
      <c r="E4002" s="4"/>
      <c r="F4002" s="4"/>
      <c r="G4002" s="33" t="str">
        <f>IFERROR(VLOOKUP($D4002,'Informations sur les produits'!$A$3:$H$10000,8,FALSE),"0")</f>
        <v>0</v>
      </c>
      <c r="K4002" s="4"/>
      <c r="L4002" s="33" t="str">
        <f>IFERROR(VLOOKUP($J4002,'Informations sur les produits'!$A$3:$H$10000,8,FALSE),"0")</f>
        <v>0</v>
      </c>
      <c r="N4002" s="8"/>
      <c r="O4002" s="33" t="str">
        <f>IFERROR(VLOOKUP($M4002,'Informations sur les produits'!$A$3:$H$10000,8,FALSE),"0")</f>
        <v>0</v>
      </c>
      <c r="P4002" s="33">
        <f t="shared" si="248"/>
        <v>0</v>
      </c>
      <c r="Q4002" s="31" t="str">
        <f t="shared" si="249"/>
        <v/>
      </c>
      <c r="R4002" s="32" t="str">
        <f>IFERROR(VLOOKUP($D4002,'Informations sur les produits'!$A$3:$B$15000,2,FALSE),"")</f>
        <v/>
      </c>
      <c r="V4002">
        <f t="shared" si="250"/>
        <v>0</v>
      </c>
      <c r="W4002">
        <f t="shared" si="251"/>
        <v>0</v>
      </c>
    </row>
    <row r="4003" spans="5:23" x14ac:dyDescent="0.25">
      <c r="E4003" s="4"/>
      <c r="F4003" s="4"/>
      <c r="G4003" s="33" t="str">
        <f>IFERROR(VLOOKUP($D4003,'Informations sur les produits'!$A$3:$H$10000,8,FALSE),"0")</f>
        <v>0</v>
      </c>
      <c r="K4003" s="4"/>
      <c r="L4003" s="33" t="str">
        <f>IFERROR(VLOOKUP($J4003,'Informations sur les produits'!$A$3:$H$10000,8,FALSE),"0")</f>
        <v>0</v>
      </c>
      <c r="N4003" s="8"/>
      <c r="O4003" s="33" t="str">
        <f>IFERROR(VLOOKUP($M4003,'Informations sur les produits'!$A$3:$H$10000,8,FALSE),"0")</f>
        <v>0</v>
      </c>
      <c r="P4003" s="33">
        <f t="shared" si="248"/>
        <v>0</v>
      </c>
      <c r="Q4003" s="31" t="str">
        <f t="shared" si="249"/>
        <v/>
      </c>
      <c r="R4003" s="32" t="str">
        <f>IFERROR(VLOOKUP($D4003,'Informations sur les produits'!$A$3:$B$15000,2,FALSE),"")</f>
        <v/>
      </c>
      <c r="V4003">
        <f t="shared" si="250"/>
        <v>0</v>
      </c>
      <c r="W4003">
        <f t="shared" si="251"/>
        <v>0</v>
      </c>
    </row>
    <row r="4004" spans="5:23" x14ac:dyDescent="0.25">
      <c r="E4004" s="4"/>
      <c r="F4004" s="4"/>
      <c r="G4004" s="33" t="str">
        <f>IFERROR(VLOOKUP($D4004,'Informations sur les produits'!$A$3:$H$10000,8,FALSE),"0")</f>
        <v>0</v>
      </c>
      <c r="K4004" s="4"/>
      <c r="L4004" s="33" t="str">
        <f>IFERROR(VLOOKUP($J4004,'Informations sur les produits'!$A$3:$H$10000,8,FALSE),"0")</f>
        <v>0</v>
      </c>
      <c r="N4004" s="8"/>
      <c r="O4004" s="33" t="str">
        <f>IFERROR(VLOOKUP($M4004,'Informations sur les produits'!$A$3:$H$10000,8,FALSE),"0")</f>
        <v>0</v>
      </c>
      <c r="P4004" s="33">
        <f t="shared" si="248"/>
        <v>0</v>
      </c>
      <c r="Q4004" s="31" t="str">
        <f t="shared" si="249"/>
        <v/>
      </c>
      <c r="R4004" s="32" t="str">
        <f>IFERROR(VLOOKUP($D4004,'Informations sur les produits'!$A$3:$B$15000,2,FALSE),"")</f>
        <v/>
      </c>
      <c r="V4004">
        <f t="shared" si="250"/>
        <v>0</v>
      </c>
      <c r="W4004">
        <f t="shared" si="251"/>
        <v>0</v>
      </c>
    </row>
    <row r="4005" spans="5:23" x14ac:dyDescent="0.25">
      <c r="E4005" s="4"/>
      <c r="F4005" s="4"/>
      <c r="G4005" s="33" t="str">
        <f>IFERROR(VLOOKUP($D4005,'Informations sur les produits'!$A$3:$H$10000,8,FALSE),"0")</f>
        <v>0</v>
      </c>
      <c r="K4005" s="4"/>
      <c r="L4005" s="33" t="str">
        <f>IFERROR(VLOOKUP($J4005,'Informations sur les produits'!$A$3:$H$10000,8,FALSE),"0")</f>
        <v>0</v>
      </c>
      <c r="N4005" s="8"/>
      <c r="O4005" s="33" t="str">
        <f>IFERROR(VLOOKUP($M4005,'Informations sur les produits'!$A$3:$H$10000,8,FALSE),"0")</f>
        <v>0</v>
      </c>
      <c r="P4005" s="33">
        <f t="shared" si="248"/>
        <v>0</v>
      </c>
      <c r="Q4005" s="31" t="str">
        <f t="shared" si="249"/>
        <v/>
      </c>
      <c r="R4005" s="32" t="str">
        <f>IFERROR(VLOOKUP($D4005,'Informations sur les produits'!$A$3:$B$15000,2,FALSE),"")</f>
        <v/>
      </c>
      <c r="V4005">
        <f t="shared" si="250"/>
        <v>0</v>
      </c>
      <c r="W4005">
        <f t="shared" si="251"/>
        <v>0</v>
      </c>
    </row>
    <row r="4006" spans="5:23" x14ac:dyDescent="0.25">
      <c r="E4006" s="4"/>
      <c r="F4006" s="4"/>
      <c r="G4006" s="33" t="str">
        <f>IFERROR(VLOOKUP($D4006,'Informations sur les produits'!$A$3:$H$10000,8,FALSE),"0")</f>
        <v>0</v>
      </c>
      <c r="K4006" s="4"/>
      <c r="L4006" s="33" t="str">
        <f>IFERROR(VLOOKUP($J4006,'Informations sur les produits'!$A$3:$H$10000,8,FALSE),"0")</f>
        <v>0</v>
      </c>
      <c r="N4006" s="8"/>
      <c r="O4006" s="33" t="str">
        <f>IFERROR(VLOOKUP($M4006,'Informations sur les produits'!$A$3:$H$10000,8,FALSE),"0")</f>
        <v>0</v>
      </c>
      <c r="P4006" s="33">
        <f t="shared" si="248"/>
        <v>0</v>
      </c>
      <c r="Q4006" s="31" t="str">
        <f t="shared" si="249"/>
        <v/>
      </c>
      <c r="R4006" s="32" t="str">
        <f>IFERROR(VLOOKUP($D4006,'Informations sur les produits'!$A$3:$B$15000,2,FALSE),"")</f>
        <v/>
      </c>
      <c r="V4006">
        <f t="shared" si="250"/>
        <v>0</v>
      </c>
      <c r="W4006">
        <f t="shared" si="251"/>
        <v>0</v>
      </c>
    </row>
    <row r="4007" spans="5:23" x14ac:dyDescent="0.25">
      <c r="E4007" s="4"/>
      <c r="F4007" s="4"/>
      <c r="G4007" s="33" t="str">
        <f>IFERROR(VLOOKUP($D4007,'Informations sur les produits'!$A$3:$H$10000,8,FALSE),"0")</f>
        <v>0</v>
      </c>
      <c r="K4007" s="4"/>
      <c r="L4007" s="33" t="str">
        <f>IFERROR(VLOOKUP($J4007,'Informations sur les produits'!$A$3:$H$10000,8,FALSE),"0")</f>
        <v>0</v>
      </c>
      <c r="N4007" s="8"/>
      <c r="O4007" s="33" t="str">
        <f>IFERROR(VLOOKUP($M4007,'Informations sur les produits'!$A$3:$H$10000,8,FALSE),"0")</f>
        <v>0</v>
      </c>
      <c r="P4007" s="33">
        <f t="shared" si="248"/>
        <v>0</v>
      </c>
      <c r="Q4007" s="31" t="str">
        <f t="shared" si="249"/>
        <v/>
      </c>
      <c r="R4007" s="32" t="str">
        <f>IFERROR(VLOOKUP($D4007,'Informations sur les produits'!$A$3:$B$15000,2,FALSE),"")</f>
        <v/>
      </c>
      <c r="V4007">
        <f t="shared" si="250"/>
        <v>0</v>
      </c>
      <c r="W4007">
        <f t="shared" si="251"/>
        <v>0</v>
      </c>
    </row>
    <row r="4008" spans="5:23" x14ac:dyDescent="0.25">
      <c r="E4008" s="4"/>
      <c r="F4008" s="4"/>
      <c r="G4008" s="33" t="str">
        <f>IFERROR(VLOOKUP($D4008,'Informations sur les produits'!$A$3:$H$10000,8,FALSE),"0")</f>
        <v>0</v>
      </c>
      <c r="K4008" s="4"/>
      <c r="L4008" s="33" t="str">
        <f>IFERROR(VLOOKUP($J4008,'Informations sur les produits'!$A$3:$H$10000,8,FALSE),"0")</f>
        <v>0</v>
      </c>
      <c r="N4008" s="8"/>
      <c r="O4008" s="33" t="str">
        <f>IFERROR(VLOOKUP($M4008,'Informations sur les produits'!$A$3:$H$10000,8,FALSE),"0")</f>
        <v>0</v>
      </c>
      <c r="P4008" s="33">
        <f t="shared" si="248"/>
        <v>0</v>
      </c>
      <c r="Q4008" s="31" t="str">
        <f t="shared" si="249"/>
        <v/>
      </c>
      <c r="R4008" s="32" t="str">
        <f>IFERROR(VLOOKUP($D4008,'Informations sur les produits'!$A$3:$B$15000,2,FALSE),"")</f>
        <v/>
      </c>
      <c r="V4008">
        <f t="shared" si="250"/>
        <v>0</v>
      </c>
      <c r="W4008">
        <f t="shared" si="251"/>
        <v>0</v>
      </c>
    </row>
    <row r="4009" spans="5:23" x14ac:dyDescent="0.25">
      <c r="E4009" s="4"/>
      <c r="F4009" s="4"/>
      <c r="G4009" s="33" t="str">
        <f>IFERROR(VLOOKUP($D4009,'Informations sur les produits'!$A$3:$H$10000,8,FALSE),"0")</f>
        <v>0</v>
      </c>
      <c r="K4009" s="4"/>
      <c r="L4009" s="33" t="str">
        <f>IFERROR(VLOOKUP($J4009,'Informations sur les produits'!$A$3:$H$10000,8,FALSE),"0")</f>
        <v>0</v>
      </c>
      <c r="N4009" s="8"/>
      <c r="O4009" s="33" t="str">
        <f>IFERROR(VLOOKUP($M4009,'Informations sur les produits'!$A$3:$H$10000,8,FALSE),"0")</f>
        <v>0</v>
      </c>
      <c r="P4009" s="33">
        <f t="shared" si="248"/>
        <v>0</v>
      </c>
      <c r="Q4009" s="31" t="str">
        <f t="shared" si="249"/>
        <v/>
      </c>
      <c r="R4009" s="32" t="str">
        <f>IFERROR(VLOOKUP($D4009,'Informations sur les produits'!$A$3:$B$15000,2,FALSE),"")</f>
        <v/>
      </c>
      <c r="V4009">
        <f t="shared" si="250"/>
        <v>0</v>
      </c>
      <c r="W4009">
        <f t="shared" si="251"/>
        <v>0</v>
      </c>
    </row>
    <row r="4010" spans="5:23" x14ac:dyDescent="0.25">
      <c r="E4010" s="4"/>
      <c r="F4010" s="4"/>
      <c r="G4010" s="33" t="str">
        <f>IFERROR(VLOOKUP($D4010,'Informations sur les produits'!$A$3:$H$10000,8,FALSE),"0")</f>
        <v>0</v>
      </c>
      <c r="K4010" s="4"/>
      <c r="L4010" s="33" t="str">
        <f>IFERROR(VLOOKUP($J4010,'Informations sur les produits'!$A$3:$H$10000,8,FALSE),"0")</f>
        <v>0</v>
      </c>
      <c r="N4010" s="8"/>
      <c r="O4010" s="33" t="str">
        <f>IFERROR(VLOOKUP($M4010,'Informations sur les produits'!$A$3:$H$10000,8,FALSE),"0")</f>
        <v>0</v>
      </c>
      <c r="P4010" s="33">
        <f t="shared" si="248"/>
        <v>0</v>
      </c>
      <c r="Q4010" s="31" t="str">
        <f t="shared" si="249"/>
        <v/>
      </c>
      <c r="R4010" s="32" t="str">
        <f>IFERROR(VLOOKUP($D4010,'Informations sur les produits'!$A$3:$B$15000,2,FALSE),"")</f>
        <v/>
      </c>
      <c r="V4010">
        <f t="shared" si="250"/>
        <v>0</v>
      </c>
      <c r="W4010">
        <f t="shared" si="251"/>
        <v>0</v>
      </c>
    </row>
    <row r="4011" spans="5:23" x14ac:dyDescent="0.25">
      <c r="E4011" s="4"/>
      <c r="F4011" s="4"/>
      <c r="G4011" s="33" t="str">
        <f>IFERROR(VLOOKUP($D4011,'Informations sur les produits'!$A$3:$H$10000,8,FALSE),"0")</f>
        <v>0</v>
      </c>
      <c r="K4011" s="4"/>
      <c r="L4011" s="33" t="str">
        <f>IFERROR(VLOOKUP($J4011,'Informations sur les produits'!$A$3:$H$10000,8,FALSE),"0")</f>
        <v>0</v>
      </c>
      <c r="N4011" s="8"/>
      <c r="O4011" s="33" t="str">
        <f>IFERROR(VLOOKUP($M4011,'Informations sur les produits'!$A$3:$H$10000,8,FALSE),"0")</f>
        <v>0</v>
      </c>
      <c r="P4011" s="33">
        <f t="shared" si="248"/>
        <v>0</v>
      </c>
      <c r="Q4011" s="31" t="str">
        <f t="shared" si="249"/>
        <v/>
      </c>
      <c r="R4011" s="32" t="str">
        <f>IFERROR(VLOOKUP($D4011,'Informations sur les produits'!$A$3:$B$15000,2,FALSE),"")</f>
        <v/>
      </c>
      <c r="V4011">
        <f t="shared" si="250"/>
        <v>0</v>
      </c>
      <c r="W4011">
        <f t="shared" si="251"/>
        <v>0</v>
      </c>
    </row>
    <row r="4012" spans="5:23" x14ac:dyDescent="0.25">
      <c r="E4012" s="4"/>
      <c r="F4012" s="4"/>
      <c r="G4012" s="33" t="str">
        <f>IFERROR(VLOOKUP($D4012,'Informations sur les produits'!$A$3:$H$10000,8,FALSE),"0")</f>
        <v>0</v>
      </c>
      <c r="K4012" s="4"/>
      <c r="L4012" s="33" t="str">
        <f>IFERROR(VLOOKUP($J4012,'Informations sur les produits'!$A$3:$H$10000,8,FALSE),"0")</f>
        <v>0</v>
      </c>
      <c r="N4012" s="8"/>
      <c r="O4012" s="33" t="str">
        <f>IFERROR(VLOOKUP($M4012,'Informations sur les produits'!$A$3:$H$10000,8,FALSE),"0")</f>
        <v>0</v>
      </c>
      <c r="P4012" s="33">
        <f t="shared" si="248"/>
        <v>0</v>
      </c>
      <c r="Q4012" s="31" t="str">
        <f t="shared" si="249"/>
        <v/>
      </c>
      <c r="R4012" s="32" t="str">
        <f>IFERROR(VLOOKUP($D4012,'Informations sur les produits'!$A$3:$B$15000,2,FALSE),"")</f>
        <v/>
      </c>
      <c r="V4012">
        <f t="shared" si="250"/>
        <v>0</v>
      </c>
      <c r="W4012">
        <f t="shared" si="251"/>
        <v>0</v>
      </c>
    </row>
    <row r="4013" spans="5:23" x14ac:dyDescent="0.25">
      <c r="E4013" s="4"/>
      <c r="F4013" s="4"/>
      <c r="G4013" s="33" t="str">
        <f>IFERROR(VLOOKUP($D4013,'Informations sur les produits'!$A$3:$H$10000,8,FALSE),"0")</f>
        <v>0</v>
      </c>
      <c r="K4013" s="4"/>
      <c r="L4013" s="33" t="str">
        <f>IFERROR(VLOOKUP($J4013,'Informations sur les produits'!$A$3:$H$10000,8,FALSE),"0")</f>
        <v>0</v>
      </c>
      <c r="N4013" s="8"/>
      <c r="O4013" s="33" t="str">
        <f>IFERROR(VLOOKUP($M4013,'Informations sur les produits'!$A$3:$H$10000,8,FALSE),"0")</f>
        <v>0</v>
      </c>
      <c r="P4013" s="33">
        <f t="shared" si="248"/>
        <v>0</v>
      </c>
      <c r="Q4013" s="31" t="str">
        <f t="shared" si="249"/>
        <v/>
      </c>
      <c r="R4013" s="32" t="str">
        <f>IFERROR(VLOOKUP($D4013,'Informations sur les produits'!$A$3:$B$15000,2,FALSE),"")</f>
        <v/>
      </c>
      <c r="V4013">
        <f t="shared" si="250"/>
        <v>0</v>
      </c>
      <c r="W4013">
        <f t="shared" si="251"/>
        <v>0</v>
      </c>
    </row>
    <row r="4014" spans="5:23" x14ac:dyDescent="0.25">
      <c r="E4014" s="4"/>
      <c r="F4014" s="4"/>
      <c r="G4014" s="33" t="str">
        <f>IFERROR(VLOOKUP($D4014,'Informations sur les produits'!$A$3:$H$10000,8,FALSE),"0")</f>
        <v>0</v>
      </c>
      <c r="K4014" s="4"/>
      <c r="L4014" s="33" t="str">
        <f>IFERROR(VLOOKUP($J4014,'Informations sur les produits'!$A$3:$H$10000,8,FALSE),"0")</f>
        <v>0</v>
      </c>
      <c r="N4014" s="8"/>
      <c r="O4014" s="33" t="str">
        <f>IFERROR(VLOOKUP($M4014,'Informations sur les produits'!$A$3:$H$10000,8,FALSE),"0")</f>
        <v>0</v>
      </c>
      <c r="P4014" s="33">
        <f t="shared" si="248"/>
        <v>0</v>
      </c>
      <c r="Q4014" s="31" t="str">
        <f t="shared" si="249"/>
        <v/>
      </c>
      <c r="R4014" s="32" t="str">
        <f>IFERROR(VLOOKUP($D4014,'Informations sur les produits'!$A$3:$B$15000,2,FALSE),"")</f>
        <v/>
      </c>
      <c r="V4014">
        <f t="shared" si="250"/>
        <v>0</v>
      </c>
      <c r="W4014">
        <f t="shared" si="251"/>
        <v>0</v>
      </c>
    </row>
    <row r="4015" spans="5:23" x14ac:dyDescent="0.25">
      <c r="E4015" s="4"/>
      <c r="F4015" s="4"/>
      <c r="G4015" s="33" t="str">
        <f>IFERROR(VLOOKUP($D4015,'Informations sur les produits'!$A$3:$H$10000,8,FALSE),"0")</f>
        <v>0</v>
      </c>
      <c r="K4015" s="4"/>
      <c r="L4015" s="33" t="str">
        <f>IFERROR(VLOOKUP($J4015,'Informations sur les produits'!$A$3:$H$10000,8,FALSE),"0")</f>
        <v>0</v>
      </c>
      <c r="N4015" s="8"/>
      <c r="O4015" s="33" t="str">
        <f>IFERROR(VLOOKUP($M4015,'Informations sur les produits'!$A$3:$H$10000,8,FALSE),"0")</f>
        <v>0</v>
      </c>
      <c r="P4015" s="33">
        <f t="shared" si="248"/>
        <v>0</v>
      </c>
      <c r="Q4015" s="31" t="str">
        <f t="shared" si="249"/>
        <v/>
      </c>
      <c r="R4015" s="32" t="str">
        <f>IFERROR(VLOOKUP($D4015,'Informations sur les produits'!$A$3:$B$15000,2,FALSE),"")</f>
        <v/>
      </c>
      <c r="V4015">
        <f t="shared" si="250"/>
        <v>0</v>
      </c>
      <c r="W4015">
        <f t="shared" si="251"/>
        <v>0</v>
      </c>
    </row>
    <row r="4016" spans="5:23" x14ac:dyDescent="0.25">
      <c r="E4016" s="4"/>
      <c r="F4016" s="4"/>
      <c r="G4016" s="33" t="str">
        <f>IFERROR(VLOOKUP($D4016,'Informations sur les produits'!$A$3:$H$10000,8,FALSE),"0")</f>
        <v>0</v>
      </c>
      <c r="K4016" s="4"/>
      <c r="L4016" s="33" t="str">
        <f>IFERROR(VLOOKUP($J4016,'Informations sur les produits'!$A$3:$H$10000,8,FALSE),"0")</f>
        <v>0</v>
      </c>
      <c r="N4016" s="8"/>
      <c r="O4016" s="33" t="str">
        <f>IFERROR(VLOOKUP($M4016,'Informations sur les produits'!$A$3:$H$10000,8,FALSE),"0")</f>
        <v>0</v>
      </c>
      <c r="P4016" s="33">
        <f t="shared" si="248"/>
        <v>0</v>
      </c>
      <c r="Q4016" s="31" t="str">
        <f t="shared" si="249"/>
        <v/>
      </c>
      <c r="R4016" s="32" t="str">
        <f>IFERROR(VLOOKUP($D4016,'Informations sur les produits'!$A$3:$B$15000,2,FALSE),"")</f>
        <v/>
      </c>
      <c r="V4016">
        <f t="shared" si="250"/>
        <v>0</v>
      </c>
      <c r="W4016">
        <f t="shared" si="251"/>
        <v>0</v>
      </c>
    </row>
    <row r="4017" spans="5:23" x14ac:dyDescent="0.25">
      <c r="E4017" s="4"/>
      <c r="F4017" s="4"/>
      <c r="G4017" s="33" t="str">
        <f>IFERROR(VLOOKUP($D4017,'Informations sur les produits'!$A$3:$H$10000,8,FALSE),"0")</f>
        <v>0</v>
      </c>
      <c r="K4017" s="4"/>
      <c r="L4017" s="33" t="str">
        <f>IFERROR(VLOOKUP($J4017,'Informations sur les produits'!$A$3:$H$10000,8,FALSE),"0")</f>
        <v>0</v>
      </c>
      <c r="N4017" s="8"/>
      <c r="O4017" s="33" t="str">
        <f>IFERROR(VLOOKUP($M4017,'Informations sur les produits'!$A$3:$H$10000,8,FALSE),"0")</f>
        <v>0</v>
      </c>
      <c r="P4017" s="33">
        <f t="shared" si="248"/>
        <v>0</v>
      </c>
      <c r="Q4017" s="31" t="str">
        <f t="shared" si="249"/>
        <v/>
      </c>
      <c r="R4017" s="32" t="str">
        <f>IFERROR(VLOOKUP($D4017,'Informations sur les produits'!$A$3:$B$15000,2,FALSE),"")</f>
        <v/>
      </c>
      <c r="V4017">
        <f t="shared" si="250"/>
        <v>0</v>
      </c>
      <c r="W4017">
        <f t="shared" si="251"/>
        <v>0</v>
      </c>
    </row>
    <row r="4018" spans="5:23" x14ac:dyDescent="0.25">
      <c r="E4018" s="4"/>
      <c r="F4018" s="4"/>
      <c r="G4018" s="33" t="str">
        <f>IFERROR(VLOOKUP($D4018,'Informations sur les produits'!$A$3:$H$10000,8,FALSE),"0")</f>
        <v>0</v>
      </c>
      <c r="K4018" s="4"/>
      <c r="L4018" s="33" t="str">
        <f>IFERROR(VLOOKUP($J4018,'Informations sur les produits'!$A$3:$H$10000,8,FALSE),"0")</f>
        <v>0</v>
      </c>
      <c r="N4018" s="8"/>
      <c r="O4018" s="33" t="str">
        <f>IFERROR(VLOOKUP($M4018,'Informations sur les produits'!$A$3:$H$10000,8,FALSE),"0")</f>
        <v>0</v>
      </c>
      <c r="P4018" s="33">
        <f t="shared" si="248"/>
        <v>0</v>
      </c>
      <c r="Q4018" s="31" t="str">
        <f t="shared" si="249"/>
        <v/>
      </c>
      <c r="R4018" s="32" t="str">
        <f>IFERROR(VLOOKUP($D4018,'Informations sur les produits'!$A$3:$B$15000,2,FALSE),"")</f>
        <v/>
      </c>
      <c r="V4018">
        <f t="shared" si="250"/>
        <v>0</v>
      </c>
      <c r="W4018">
        <f t="shared" si="251"/>
        <v>0</v>
      </c>
    </row>
    <row r="4019" spans="5:23" x14ac:dyDescent="0.25">
      <c r="E4019" s="4"/>
      <c r="F4019" s="4"/>
      <c r="G4019" s="33" t="str">
        <f>IFERROR(VLOOKUP($D4019,'Informations sur les produits'!$A$3:$H$10000,8,FALSE),"0")</f>
        <v>0</v>
      </c>
      <c r="K4019" s="4"/>
      <c r="L4019" s="33" t="str">
        <f>IFERROR(VLOOKUP($J4019,'Informations sur les produits'!$A$3:$H$10000,8,FALSE),"0")</f>
        <v>0</v>
      </c>
      <c r="N4019" s="8"/>
      <c r="O4019" s="33" t="str">
        <f>IFERROR(VLOOKUP($M4019,'Informations sur les produits'!$A$3:$H$10000,8,FALSE),"0")</f>
        <v>0</v>
      </c>
      <c r="P4019" s="33">
        <f t="shared" si="248"/>
        <v>0</v>
      </c>
      <c r="Q4019" s="31" t="str">
        <f t="shared" si="249"/>
        <v/>
      </c>
      <c r="R4019" s="32" t="str">
        <f>IFERROR(VLOOKUP($D4019,'Informations sur les produits'!$A$3:$B$15000,2,FALSE),"")</f>
        <v/>
      </c>
      <c r="V4019">
        <f t="shared" si="250"/>
        <v>0</v>
      </c>
      <c r="W4019">
        <f t="shared" si="251"/>
        <v>0</v>
      </c>
    </row>
    <row r="4020" spans="5:23" x14ac:dyDescent="0.25">
      <c r="E4020" s="4"/>
      <c r="F4020" s="4"/>
      <c r="G4020" s="33" t="str">
        <f>IFERROR(VLOOKUP($D4020,'Informations sur les produits'!$A$3:$H$10000,8,FALSE),"0")</f>
        <v>0</v>
      </c>
      <c r="K4020" s="4"/>
      <c r="L4020" s="33" t="str">
        <f>IFERROR(VLOOKUP($J4020,'Informations sur les produits'!$A$3:$H$10000,8,FALSE),"0")</f>
        <v>0</v>
      </c>
      <c r="N4020" s="8"/>
      <c r="O4020" s="33" t="str">
        <f>IFERROR(VLOOKUP($M4020,'Informations sur les produits'!$A$3:$H$10000,8,FALSE),"0")</f>
        <v>0</v>
      </c>
      <c r="P4020" s="33">
        <f t="shared" si="248"/>
        <v>0</v>
      </c>
      <c r="Q4020" s="31" t="str">
        <f t="shared" si="249"/>
        <v/>
      </c>
      <c r="R4020" s="32" t="str">
        <f>IFERROR(VLOOKUP($D4020,'Informations sur les produits'!$A$3:$B$15000,2,FALSE),"")</f>
        <v/>
      </c>
      <c r="V4020">
        <f t="shared" si="250"/>
        <v>0</v>
      </c>
      <c r="W4020">
        <f t="shared" si="251"/>
        <v>0</v>
      </c>
    </row>
    <row r="4021" spans="5:23" x14ac:dyDescent="0.25">
      <c r="E4021" s="4"/>
      <c r="F4021" s="4"/>
      <c r="G4021" s="33" t="str">
        <f>IFERROR(VLOOKUP($D4021,'Informations sur les produits'!$A$3:$H$10000,8,FALSE),"0")</f>
        <v>0</v>
      </c>
      <c r="K4021" s="4"/>
      <c r="L4021" s="33" t="str">
        <f>IFERROR(VLOOKUP($J4021,'Informations sur les produits'!$A$3:$H$10000,8,FALSE),"0")</f>
        <v>0</v>
      </c>
      <c r="N4021" s="8"/>
      <c r="O4021" s="33" t="str">
        <f>IFERROR(VLOOKUP($M4021,'Informations sur les produits'!$A$3:$H$10000,8,FALSE),"0")</f>
        <v>0</v>
      </c>
      <c r="P4021" s="33">
        <f t="shared" si="248"/>
        <v>0</v>
      </c>
      <c r="Q4021" s="31" t="str">
        <f t="shared" si="249"/>
        <v/>
      </c>
      <c r="R4021" s="32" t="str">
        <f>IFERROR(VLOOKUP($D4021,'Informations sur les produits'!$A$3:$B$15000,2,FALSE),"")</f>
        <v/>
      </c>
      <c r="V4021">
        <f t="shared" si="250"/>
        <v>0</v>
      </c>
      <c r="W4021">
        <f t="shared" si="251"/>
        <v>0</v>
      </c>
    </row>
    <row r="4022" spans="5:23" x14ac:dyDescent="0.25">
      <c r="E4022" s="4"/>
      <c r="F4022" s="4"/>
      <c r="G4022" s="33" t="str">
        <f>IFERROR(VLOOKUP($D4022,'Informations sur les produits'!$A$3:$H$10000,8,FALSE),"0")</f>
        <v>0</v>
      </c>
      <c r="K4022" s="4"/>
      <c r="L4022" s="33" t="str">
        <f>IFERROR(VLOOKUP($J4022,'Informations sur les produits'!$A$3:$H$10000,8,FALSE),"0")</f>
        <v>0</v>
      </c>
      <c r="N4022" s="8"/>
      <c r="O4022" s="33" t="str">
        <f>IFERROR(VLOOKUP($M4022,'Informations sur les produits'!$A$3:$H$10000,8,FALSE),"0")</f>
        <v>0</v>
      </c>
      <c r="P4022" s="33">
        <f t="shared" si="248"/>
        <v>0</v>
      </c>
      <c r="Q4022" s="31" t="str">
        <f t="shared" si="249"/>
        <v/>
      </c>
      <c r="R4022" s="32" t="str">
        <f>IFERROR(VLOOKUP($D4022,'Informations sur les produits'!$A$3:$B$15000,2,FALSE),"")</f>
        <v/>
      </c>
      <c r="V4022">
        <f t="shared" si="250"/>
        <v>0</v>
      </c>
      <c r="W4022">
        <f t="shared" si="251"/>
        <v>0</v>
      </c>
    </row>
    <row r="4023" spans="5:23" x14ac:dyDescent="0.25">
      <c r="E4023" s="4"/>
      <c r="F4023" s="4"/>
      <c r="G4023" s="33" t="str">
        <f>IFERROR(VLOOKUP($D4023,'Informations sur les produits'!$A$3:$H$10000,8,FALSE),"0")</f>
        <v>0</v>
      </c>
      <c r="K4023" s="4"/>
      <c r="L4023" s="33" t="str">
        <f>IFERROR(VLOOKUP($J4023,'Informations sur les produits'!$A$3:$H$10000,8,FALSE),"0")</f>
        <v>0</v>
      </c>
      <c r="N4023" s="8"/>
      <c r="O4023" s="33" t="str">
        <f>IFERROR(VLOOKUP($M4023,'Informations sur les produits'!$A$3:$H$10000,8,FALSE),"0")</f>
        <v>0</v>
      </c>
      <c r="P4023" s="33">
        <f t="shared" si="248"/>
        <v>0</v>
      </c>
      <c r="Q4023" s="31" t="str">
        <f t="shared" si="249"/>
        <v/>
      </c>
      <c r="R4023" s="32" t="str">
        <f>IFERROR(VLOOKUP($D4023,'Informations sur les produits'!$A$3:$B$15000,2,FALSE),"")</f>
        <v/>
      </c>
      <c r="V4023">
        <f t="shared" si="250"/>
        <v>0</v>
      </c>
      <c r="W4023">
        <f t="shared" si="251"/>
        <v>0</v>
      </c>
    </row>
    <row r="4024" spans="5:23" x14ac:dyDescent="0.25">
      <c r="E4024" s="4"/>
      <c r="F4024" s="4"/>
      <c r="G4024" s="33" t="str">
        <f>IFERROR(VLOOKUP($D4024,'Informations sur les produits'!$A$3:$H$10000,8,FALSE),"0")</f>
        <v>0</v>
      </c>
      <c r="K4024" s="4"/>
      <c r="L4024" s="33" t="str">
        <f>IFERROR(VLOOKUP($J4024,'Informations sur les produits'!$A$3:$H$10000,8,FALSE),"0")</f>
        <v>0</v>
      </c>
      <c r="N4024" s="8"/>
      <c r="O4024" s="33" t="str">
        <f>IFERROR(VLOOKUP($M4024,'Informations sur les produits'!$A$3:$H$10000,8,FALSE),"0")</f>
        <v>0</v>
      </c>
      <c r="P4024" s="33">
        <f t="shared" si="248"/>
        <v>0</v>
      </c>
      <c r="Q4024" s="31" t="str">
        <f t="shared" si="249"/>
        <v/>
      </c>
      <c r="R4024" s="32" t="str">
        <f>IFERROR(VLOOKUP($D4024,'Informations sur les produits'!$A$3:$B$15000,2,FALSE),"")</f>
        <v/>
      </c>
      <c r="V4024">
        <f t="shared" si="250"/>
        <v>0</v>
      </c>
      <c r="W4024">
        <f t="shared" si="251"/>
        <v>0</v>
      </c>
    </row>
    <row r="4025" spans="5:23" x14ac:dyDescent="0.25">
      <c r="E4025" s="4"/>
      <c r="F4025" s="4"/>
      <c r="G4025" s="33" t="str">
        <f>IFERROR(VLOOKUP($D4025,'Informations sur les produits'!$A$3:$H$10000,8,FALSE),"0")</f>
        <v>0</v>
      </c>
      <c r="K4025" s="4"/>
      <c r="L4025" s="33" t="str">
        <f>IFERROR(VLOOKUP($J4025,'Informations sur les produits'!$A$3:$H$10000,8,FALSE),"0")</f>
        <v>0</v>
      </c>
      <c r="N4025" s="8"/>
      <c r="O4025" s="33" t="str">
        <f>IFERROR(VLOOKUP($M4025,'Informations sur les produits'!$A$3:$H$10000,8,FALSE),"0")</f>
        <v>0</v>
      </c>
      <c r="P4025" s="33">
        <f t="shared" si="248"/>
        <v>0</v>
      </c>
      <c r="Q4025" s="31" t="str">
        <f t="shared" si="249"/>
        <v/>
      </c>
      <c r="R4025" s="32" t="str">
        <f>IFERROR(VLOOKUP($D4025,'Informations sur les produits'!$A$3:$B$15000,2,FALSE),"")</f>
        <v/>
      </c>
      <c r="V4025">
        <f t="shared" si="250"/>
        <v>0</v>
      </c>
      <c r="W4025">
        <f t="shared" si="251"/>
        <v>0</v>
      </c>
    </row>
    <row r="4026" spans="5:23" x14ac:dyDescent="0.25">
      <c r="E4026" s="4"/>
      <c r="F4026" s="4"/>
      <c r="G4026" s="33" t="str">
        <f>IFERROR(VLOOKUP($D4026,'Informations sur les produits'!$A$3:$H$10000,8,FALSE),"0")</f>
        <v>0</v>
      </c>
      <c r="K4026" s="4"/>
      <c r="L4026" s="33" t="str">
        <f>IFERROR(VLOOKUP($J4026,'Informations sur les produits'!$A$3:$H$10000,8,FALSE),"0")</f>
        <v>0</v>
      </c>
      <c r="N4026" s="8"/>
      <c r="O4026" s="33" t="str">
        <f>IFERROR(VLOOKUP($M4026,'Informations sur les produits'!$A$3:$H$10000,8,FALSE),"0")</f>
        <v>0</v>
      </c>
      <c r="P4026" s="33">
        <f t="shared" si="248"/>
        <v>0</v>
      </c>
      <c r="Q4026" s="31" t="str">
        <f t="shared" si="249"/>
        <v/>
      </c>
      <c r="R4026" s="32" t="str">
        <f>IFERROR(VLOOKUP($D4026,'Informations sur les produits'!$A$3:$B$15000,2,FALSE),"")</f>
        <v/>
      </c>
      <c r="V4026">
        <f t="shared" si="250"/>
        <v>0</v>
      </c>
      <c r="W4026">
        <f t="shared" si="251"/>
        <v>0</v>
      </c>
    </row>
    <row r="4027" spans="5:23" x14ac:dyDescent="0.25">
      <c r="E4027" s="4"/>
      <c r="F4027" s="4"/>
      <c r="G4027" s="33" t="str">
        <f>IFERROR(VLOOKUP($D4027,'Informations sur les produits'!$A$3:$H$10000,8,FALSE),"0")</f>
        <v>0</v>
      </c>
      <c r="K4027" s="4"/>
      <c r="L4027" s="33" t="str">
        <f>IFERROR(VLOOKUP($J4027,'Informations sur les produits'!$A$3:$H$10000,8,FALSE),"0")</f>
        <v>0</v>
      </c>
      <c r="N4027" s="8"/>
      <c r="O4027" s="33" t="str">
        <f>IFERROR(VLOOKUP($M4027,'Informations sur les produits'!$A$3:$H$10000,8,FALSE),"0")</f>
        <v>0</v>
      </c>
      <c r="P4027" s="33">
        <f t="shared" si="248"/>
        <v>0</v>
      </c>
      <c r="Q4027" s="31" t="str">
        <f t="shared" si="249"/>
        <v/>
      </c>
      <c r="R4027" s="32" t="str">
        <f>IFERROR(VLOOKUP($D4027,'Informations sur les produits'!$A$3:$B$15000,2,FALSE),"")</f>
        <v/>
      </c>
      <c r="V4027">
        <f t="shared" si="250"/>
        <v>0</v>
      </c>
      <c r="W4027">
        <f t="shared" si="251"/>
        <v>0</v>
      </c>
    </row>
    <row r="4028" spans="5:23" x14ac:dyDescent="0.25">
      <c r="E4028" s="4"/>
      <c r="F4028" s="4"/>
      <c r="G4028" s="33" t="str">
        <f>IFERROR(VLOOKUP($D4028,'Informations sur les produits'!$A$3:$H$10000,8,FALSE),"0")</f>
        <v>0</v>
      </c>
      <c r="K4028" s="4"/>
      <c r="L4028" s="33" t="str">
        <f>IFERROR(VLOOKUP($J4028,'Informations sur les produits'!$A$3:$H$10000,8,FALSE),"0")</f>
        <v>0</v>
      </c>
      <c r="N4028" s="8"/>
      <c r="O4028" s="33" t="str">
        <f>IFERROR(VLOOKUP($M4028,'Informations sur les produits'!$A$3:$H$10000,8,FALSE),"0")</f>
        <v>0</v>
      </c>
      <c r="P4028" s="33">
        <f t="shared" si="248"/>
        <v>0</v>
      </c>
      <c r="Q4028" s="31" t="str">
        <f t="shared" si="249"/>
        <v/>
      </c>
      <c r="R4028" s="32" t="str">
        <f>IFERROR(VLOOKUP($D4028,'Informations sur les produits'!$A$3:$B$15000,2,FALSE),"")</f>
        <v/>
      </c>
      <c r="V4028">
        <f t="shared" si="250"/>
        <v>0</v>
      </c>
      <c r="W4028">
        <f t="shared" si="251"/>
        <v>0</v>
      </c>
    </row>
    <row r="4029" spans="5:23" x14ac:dyDescent="0.25">
      <c r="E4029" s="4"/>
      <c r="F4029" s="4"/>
      <c r="G4029" s="33" t="str">
        <f>IFERROR(VLOOKUP($D4029,'Informations sur les produits'!$A$3:$H$10000,8,FALSE),"0")</f>
        <v>0</v>
      </c>
      <c r="K4029" s="4"/>
      <c r="L4029" s="33" t="str">
        <f>IFERROR(VLOOKUP($J4029,'Informations sur les produits'!$A$3:$H$10000,8,FALSE),"0")</f>
        <v>0</v>
      </c>
      <c r="N4029" s="8"/>
      <c r="O4029" s="33" t="str">
        <f>IFERROR(VLOOKUP($M4029,'Informations sur les produits'!$A$3:$H$10000,8,FALSE),"0")</f>
        <v>0</v>
      </c>
      <c r="P4029" s="33">
        <f t="shared" si="248"/>
        <v>0</v>
      </c>
      <c r="Q4029" s="31" t="str">
        <f t="shared" si="249"/>
        <v/>
      </c>
      <c r="R4029" s="32" t="str">
        <f>IFERROR(VLOOKUP($D4029,'Informations sur les produits'!$A$3:$B$15000,2,FALSE),"")</f>
        <v/>
      </c>
      <c r="V4029">
        <f t="shared" si="250"/>
        <v>0</v>
      </c>
      <c r="W4029">
        <f t="shared" si="251"/>
        <v>0</v>
      </c>
    </row>
    <row r="4030" spans="5:23" x14ac:dyDescent="0.25">
      <c r="E4030" s="4"/>
      <c r="F4030" s="4"/>
      <c r="G4030" s="33" t="str">
        <f>IFERROR(VLOOKUP($D4030,'Informations sur les produits'!$A$3:$H$10000,8,FALSE),"0")</f>
        <v>0</v>
      </c>
      <c r="K4030" s="4"/>
      <c r="L4030" s="33" t="str">
        <f>IFERROR(VLOOKUP($J4030,'Informations sur les produits'!$A$3:$H$10000,8,FALSE),"0")</f>
        <v>0</v>
      </c>
      <c r="N4030" s="8"/>
      <c r="O4030" s="33" t="str">
        <f>IFERROR(VLOOKUP($M4030,'Informations sur les produits'!$A$3:$H$10000,8,FALSE),"0")</f>
        <v>0</v>
      </c>
      <c r="P4030" s="33">
        <f t="shared" si="248"/>
        <v>0</v>
      </c>
      <c r="Q4030" s="31" t="str">
        <f t="shared" si="249"/>
        <v/>
      </c>
      <c r="R4030" s="32" t="str">
        <f>IFERROR(VLOOKUP($D4030,'Informations sur les produits'!$A$3:$B$15000,2,FALSE),"")</f>
        <v/>
      </c>
      <c r="V4030">
        <f t="shared" si="250"/>
        <v>0</v>
      </c>
      <c r="W4030">
        <f t="shared" si="251"/>
        <v>0</v>
      </c>
    </row>
    <row r="4031" spans="5:23" x14ac:dyDescent="0.25">
      <c r="E4031" s="4"/>
      <c r="F4031" s="4"/>
      <c r="G4031" s="33" t="str">
        <f>IFERROR(VLOOKUP($D4031,'Informations sur les produits'!$A$3:$H$10000,8,FALSE),"0")</f>
        <v>0</v>
      </c>
      <c r="K4031" s="4"/>
      <c r="L4031" s="33" t="str">
        <f>IFERROR(VLOOKUP($J4031,'Informations sur les produits'!$A$3:$H$10000,8,FALSE),"0")</f>
        <v>0</v>
      </c>
      <c r="N4031" s="8"/>
      <c r="O4031" s="33" t="str">
        <f>IFERROR(VLOOKUP($M4031,'Informations sur les produits'!$A$3:$H$10000,8,FALSE),"0")</f>
        <v>0</v>
      </c>
      <c r="P4031" s="33">
        <f t="shared" si="248"/>
        <v>0</v>
      </c>
      <c r="Q4031" s="31" t="str">
        <f t="shared" si="249"/>
        <v/>
      </c>
      <c r="R4031" s="32" t="str">
        <f>IFERROR(VLOOKUP($D4031,'Informations sur les produits'!$A$3:$B$15000,2,FALSE),"")</f>
        <v/>
      </c>
      <c r="V4031">
        <f t="shared" si="250"/>
        <v>0</v>
      </c>
      <c r="W4031">
        <f t="shared" si="251"/>
        <v>0</v>
      </c>
    </row>
    <row r="4032" spans="5:23" x14ac:dyDescent="0.25">
      <c r="E4032" s="4"/>
      <c r="F4032" s="4"/>
      <c r="G4032" s="33" t="str">
        <f>IFERROR(VLOOKUP($D4032,'Informations sur les produits'!$A$3:$H$10000,8,FALSE),"0")</f>
        <v>0</v>
      </c>
      <c r="K4032" s="4"/>
      <c r="L4032" s="33" t="str">
        <f>IFERROR(VLOOKUP($J4032,'Informations sur les produits'!$A$3:$H$10000,8,FALSE),"0")</f>
        <v>0</v>
      </c>
      <c r="N4032" s="8"/>
      <c r="O4032" s="33" t="str">
        <f>IFERROR(VLOOKUP($M4032,'Informations sur les produits'!$A$3:$H$10000,8,FALSE),"0")</f>
        <v>0</v>
      </c>
      <c r="P4032" s="33">
        <f t="shared" si="248"/>
        <v>0</v>
      </c>
      <c r="Q4032" s="31" t="str">
        <f t="shared" si="249"/>
        <v/>
      </c>
      <c r="R4032" s="32" t="str">
        <f>IFERROR(VLOOKUP($D4032,'Informations sur les produits'!$A$3:$B$15000,2,FALSE),"")</f>
        <v/>
      </c>
      <c r="V4032">
        <f t="shared" si="250"/>
        <v>0</v>
      </c>
      <c r="W4032">
        <f t="shared" si="251"/>
        <v>0</v>
      </c>
    </row>
    <row r="4033" spans="5:23" x14ac:dyDescent="0.25">
      <c r="E4033" s="4"/>
      <c r="F4033" s="4"/>
      <c r="G4033" s="33" t="str">
        <f>IFERROR(VLOOKUP($D4033,'Informations sur les produits'!$A$3:$H$10000,8,FALSE),"0")</f>
        <v>0</v>
      </c>
      <c r="K4033" s="4"/>
      <c r="L4033" s="33" t="str">
        <f>IFERROR(VLOOKUP($J4033,'Informations sur les produits'!$A$3:$H$10000,8,FALSE),"0")</f>
        <v>0</v>
      </c>
      <c r="N4033" s="8"/>
      <c r="O4033" s="33" t="str">
        <f>IFERROR(VLOOKUP($M4033,'Informations sur les produits'!$A$3:$H$10000,8,FALSE),"0")</f>
        <v>0</v>
      </c>
      <c r="P4033" s="33">
        <f t="shared" si="248"/>
        <v>0</v>
      </c>
      <c r="Q4033" s="31" t="str">
        <f t="shared" si="249"/>
        <v/>
      </c>
      <c r="R4033" s="32" t="str">
        <f>IFERROR(VLOOKUP($D4033,'Informations sur les produits'!$A$3:$B$15000,2,FALSE),"")</f>
        <v/>
      </c>
      <c r="V4033">
        <f t="shared" si="250"/>
        <v>0</v>
      </c>
      <c r="W4033">
        <f t="shared" si="251"/>
        <v>0</v>
      </c>
    </row>
    <row r="4034" spans="5:23" x14ac:dyDescent="0.25">
      <c r="E4034" s="4"/>
      <c r="F4034" s="4"/>
      <c r="G4034" s="33" t="str">
        <f>IFERROR(VLOOKUP($D4034,'Informations sur les produits'!$A$3:$H$10000,8,FALSE),"0")</f>
        <v>0</v>
      </c>
      <c r="K4034" s="4"/>
      <c r="L4034" s="33" t="str">
        <f>IFERROR(VLOOKUP($J4034,'Informations sur les produits'!$A$3:$H$10000,8,FALSE),"0")</f>
        <v>0</v>
      </c>
      <c r="N4034" s="8"/>
      <c r="O4034" s="33" t="str">
        <f>IFERROR(VLOOKUP($M4034,'Informations sur les produits'!$A$3:$H$10000,8,FALSE),"0")</f>
        <v>0</v>
      </c>
      <c r="P4034" s="33">
        <f t="shared" si="248"/>
        <v>0</v>
      </c>
      <c r="Q4034" s="31" t="str">
        <f t="shared" si="249"/>
        <v/>
      </c>
      <c r="R4034" s="32" t="str">
        <f>IFERROR(VLOOKUP($D4034,'Informations sur les produits'!$A$3:$B$15000,2,FALSE),"")</f>
        <v/>
      </c>
      <c r="V4034">
        <f t="shared" si="250"/>
        <v>0</v>
      </c>
      <c r="W4034">
        <f t="shared" si="251"/>
        <v>0</v>
      </c>
    </row>
    <row r="4035" spans="5:23" x14ac:dyDescent="0.25">
      <c r="E4035" s="4"/>
      <c r="F4035" s="4"/>
      <c r="G4035" s="33" t="str">
        <f>IFERROR(VLOOKUP($D4035,'Informations sur les produits'!$A$3:$H$10000,8,FALSE),"0")</f>
        <v>0</v>
      </c>
      <c r="K4035" s="4"/>
      <c r="L4035" s="33" t="str">
        <f>IFERROR(VLOOKUP($J4035,'Informations sur les produits'!$A$3:$H$10000,8,FALSE),"0")</f>
        <v>0</v>
      </c>
      <c r="N4035" s="8"/>
      <c r="O4035" s="33" t="str">
        <f>IFERROR(VLOOKUP($M4035,'Informations sur les produits'!$A$3:$H$10000,8,FALSE),"0")</f>
        <v>0</v>
      </c>
      <c r="P4035" s="33">
        <f t="shared" si="248"/>
        <v>0</v>
      </c>
      <c r="Q4035" s="31" t="str">
        <f t="shared" si="249"/>
        <v/>
      </c>
      <c r="R4035" s="32" t="str">
        <f>IFERROR(VLOOKUP($D4035,'Informations sur les produits'!$A$3:$B$15000,2,FALSE),"")</f>
        <v/>
      </c>
      <c r="V4035">
        <f t="shared" si="250"/>
        <v>0</v>
      </c>
      <c r="W4035">
        <f t="shared" si="251"/>
        <v>0</v>
      </c>
    </row>
    <row r="4036" spans="5:23" x14ac:dyDescent="0.25">
      <c r="E4036" s="4"/>
      <c r="F4036" s="4"/>
      <c r="G4036" s="33" t="str">
        <f>IFERROR(VLOOKUP($D4036,'Informations sur les produits'!$A$3:$H$10000,8,FALSE),"0")</f>
        <v>0</v>
      </c>
      <c r="K4036" s="4"/>
      <c r="L4036" s="33" t="str">
        <f>IFERROR(VLOOKUP($J4036,'Informations sur les produits'!$A$3:$H$10000,8,FALSE),"0")</f>
        <v>0</v>
      </c>
      <c r="N4036" s="8"/>
      <c r="O4036" s="33" t="str">
        <f>IFERROR(VLOOKUP($M4036,'Informations sur les produits'!$A$3:$H$10000,8,FALSE),"0")</f>
        <v>0</v>
      </c>
      <c r="P4036" s="33">
        <f t="shared" ref="P4036:P4099" si="252">IFERROR((($E4036-$F4036)*$G4036+$K4036*$L4036+$N4036*$O4036),"")</f>
        <v>0</v>
      </c>
      <c r="Q4036" s="31" t="str">
        <f t="shared" ref="Q4036:Q4099" si="253">IFERROR((((($E4036-$F4036)*$G4036+$K4036*$L4036+$N4036*$O4036)*1000)/(($E4036-$F4036)+$K4036+$N4036)),"")</f>
        <v/>
      </c>
      <c r="R4036" s="32" t="str">
        <f>IFERROR(VLOOKUP($D4036,'Informations sur les produits'!$A$3:$B$15000,2,FALSE),"")</f>
        <v/>
      </c>
      <c r="V4036">
        <f t="shared" ref="V4036:V4099" si="254">IFERROR(P4036*1000,"")</f>
        <v>0</v>
      </c>
      <c r="W4036">
        <f t="shared" ref="W4036:W4099" si="255">IFERROR(($E4036-$F4036)+$K4036+$N4036,"")</f>
        <v>0</v>
      </c>
    </row>
    <row r="4037" spans="5:23" x14ac:dyDescent="0.25">
      <c r="E4037" s="4"/>
      <c r="F4037" s="4"/>
      <c r="G4037" s="33" t="str">
        <f>IFERROR(VLOOKUP($D4037,'Informations sur les produits'!$A$3:$H$10000,8,FALSE),"0")</f>
        <v>0</v>
      </c>
      <c r="K4037" s="4"/>
      <c r="L4037" s="33" t="str">
        <f>IFERROR(VLOOKUP($J4037,'Informations sur les produits'!$A$3:$H$10000,8,FALSE),"0")</f>
        <v>0</v>
      </c>
      <c r="N4037" s="8"/>
      <c r="O4037" s="33" t="str">
        <f>IFERROR(VLOOKUP($M4037,'Informations sur les produits'!$A$3:$H$10000,8,FALSE),"0")</f>
        <v>0</v>
      </c>
      <c r="P4037" s="33">
        <f t="shared" si="252"/>
        <v>0</v>
      </c>
      <c r="Q4037" s="31" t="str">
        <f t="shared" si="253"/>
        <v/>
      </c>
      <c r="R4037" s="32" t="str">
        <f>IFERROR(VLOOKUP($D4037,'Informations sur les produits'!$A$3:$B$15000,2,FALSE),"")</f>
        <v/>
      </c>
      <c r="V4037">
        <f t="shared" si="254"/>
        <v>0</v>
      </c>
      <c r="W4037">
        <f t="shared" si="255"/>
        <v>0</v>
      </c>
    </row>
    <row r="4038" spans="5:23" x14ac:dyDescent="0.25">
      <c r="E4038" s="4"/>
      <c r="F4038" s="4"/>
      <c r="G4038" s="33" t="str">
        <f>IFERROR(VLOOKUP($D4038,'Informations sur les produits'!$A$3:$H$10000,8,FALSE),"0")</f>
        <v>0</v>
      </c>
      <c r="K4038" s="4"/>
      <c r="L4038" s="33" t="str">
        <f>IFERROR(VLOOKUP($J4038,'Informations sur les produits'!$A$3:$H$10000,8,FALSE),"0")</f>
        <v>0</v>
      </c>
      <c r="N4038" s="8"/>
      <c r="O4038" s="33" t="str">
        <f>IFERROR(VLOOKUP($M4038,'Informations sur les produits'!$A$3:$H$10000,8,FALSE),"0")</f>
        <v>0</v>
      </c>
      <c r="P4038" s="33">
        <f t="shared" si="252"/>
        <v>0</v>
      </c>
      <c r="Q4038" s="31" t="str">
        <f t="shared" si="253"/>
        <v/>
      </c>
      <c r="R4038" s="32" t="str">
        <f>IFERROR(VLOOKUP($D4038,'Informations sur les produits'!$A$3:$B$15000,2,FALSE),"")</f>
        <v/>
      </c>
      <c r="V4038">
        <f t="shared" si="254"/>
        <v>0</v>
      </c>
      <c r="W4038">
        <f t="shared" si="255"/>
        <v>0</v>
      </c>
    </row>
    <row r="4039" spans="5:23" x14ac:dyDescent="0.25">
      <c r="E4039" s="4"/>
      <c r="F4039" s="4"/>
      <c r="G4039" s="33" t="str">
        <f>IFERROR(VLOOKUP($D4039,'Informations sur les produits'!$A$3:$H$10000,8,FALSE),"0")</f>
        <v>0</v>
      </c>
      <c r="K4039" s="4"/>
      <c r="L4039" s="33" t="str">
        <f>IFERROR(VLOOKUP($J4039,'Informations sur les produits'!$A$3:$H$10000,8,FALSE),"0")</f>
        <v>0</v>
      </c>
      <c r="N4039" s="8"/>
      <c r="O4039" s="33" t="str">
        <f>IFERROR(VLOOKUP($M4039,'Informations sur les produits'!$A$3:$H$10000,8,FALSE),"0")</f>
        <v>0</v>
      </c>
      <c r="P4039" s="33">
        <f t="shared" si="252"/>
        <v>0</v>
      </c>
      <c r="Q4039" s="31" t="str">
        <f t="shared" si="253"/>
        <v/>
      </c>
      <c r="R4039" s="32" t="str">
        <f>IFERROR(VLOOKUP($D4039,'Informations sur les produits'!$A$3:$B$15000,2,FALSE),"")</f>
        <v/>
      </c>
      <c r="V4039">
        <f t="shared" si="254"/>
        <v>0</v>
      </c>
      <c r="W4039">
        <f t="shared" si="255"/>
        <v>0</v>
      </c>
    </row>
    <row r="4040" spans="5:23" x14ac:dyDescent="0.25">
      <c r="E4040" s="4"/>
      <c r="F4040" s="4"/>
      <c r="G4040" s="33" t="str">
        <f>IFERROR(VLOOKUP($D4040,'Informations sur les produits'!$A$3:$H$10000,8,FALSE),"0")</f>
        <v>0</v>
      </c>
      <c r="K4040" s="4"/>
      <c r="L4040" s="33" t="str">
        <f>IFERROR(VLOOKUP($J4040,'Informations sur les produits'!$A$3:$H$10000,8,FALSE),"0")</f>
        <v>0</v>
      </c>
      <c r="N4040" s="8"/>
      <c r="O4040" s="33" t="str">
        <f>IFERROR(VLOOKUP($M4040,'Informations sur les produits'!$A$3:$H$10000,8,FALSE),"0")</f>
        <v>0</v>
      </c>
      <c r="P4040" s="33">
        <f t="shared" si="252"/>
        <v>0</v>
      </c>
      <c r="Q4040" s="31" t="str">
        <f t="shared" si="253"/>
        <v/>
      </c>
      <c r="R4040" s="32" t="str">
        <f>IFERROR(VLOOKUP($D4040,'Informations sur les produits'!$A$3:$B$15000,2,FALSE),"")</f>
        <v/>
      </c>
      <c r="V4040">
        <f t="shared" si="254"/>
        <v>0</v>
      </c>
      <c r="W4040">
        <f t="shared" si="255"/>
        <v>0</v>
      </c>
    </row>
    <row r="4041" spans="5:23" x14ac:dyDescent="0.25">
      <c r="E4041" s="4"/>
      <c r="F4041" s="4"/>
      <c r="G4041" s="33" t="str">
        <f>IFERROR(VLOOKUP($D4041,'Informations sur les produits'!$A$3:$H$10000,8,FALSE),"0")</f>
        <v>0</v>
      </c>
      <c r="K4041" s="4"/>
      <c r="L4041" s="33" t="str">
        <f>IFERROR(VLOOKUP($J4041,'Informations sur les produits'!$A$3:$H$10000,8,FALSE),"0")</f>
        <v>0</v>
      </c>
      <c r="N4041" s="8"/>
      <c r="O4041" s="33" t="str">
        <f>IFERROR(VLOOKUP($M4041,'Informations sur les produits'!$A$3:$H$10000,8,FALSE),"0")</f>
        <v>0</v>
      </c>
      <c r="P4041" s="33">
        <f t="shared" si="252"/>
        <v>0</v>
      </c>
      <c r="Q4041" s="31" t="str">
        <f t="shared" si="253"/>
        <v/>
      </c>
      <c r="R4041" s="32" t="str">
        <f>IFERROR(VLOOKUP($D4041,'Informations sur les produits'!$A$3:$B$15000,2,FALSE),"")</f>
        <v/>
      </c>
      <c r="V4041">
        <f t="shared" si="254"/>
        <v>0</v>
      </c>
      <c r="W4041">
        <f t="shared" si="255"/>
        <v>0</v>
      </c>
    </row>
    <row r="4042" spans="5:23" x14ac:dyDescent="0.25">
      <c r="E4042" s="4"/>
      <c r="F4042" s="4"/>
      <c r="G4042" s="33" t="str">
        <f>IFERROR(VLOOKUP($D4042,'Informations sur les produits'!$A$3:$H$10000,8,FALSE),"0")</f>
        <v>0</v>
      </c>
      <c r="K4042" s="4"/>
      <c r="L4042" s="33" t="str">
        <f>IFERROR(VLOOKUP($J4042,'Informations sur les produits'!$A$3:$H$10000,8,FALSE),"0")</f>
        <v>0</v>
      </c>
      <c r="N4042" s="8"/>
      <c r="O4042" s="33" t="str">
        <f>IFERROR(VLOOKUP($M4042,'Informations sur les produits'!$A$3:$H$10000,8,FALSE),"0")</f>
        <v>0</v>
      </c>
      <c r="P4042" s="33">
        <f t="shared" si="252"/>
        <v>0</v>
      </c>
      <c r="Q4042" s="31" t="str">
        <f t="shared" si="253"/>
        <v/>
      </c>
      <c r="R4042" s="32" t="str">
        <f>IFERROR(VLOOKUP($D4042,'Informations sur les produits'!$A$3:$B$15000,2,FALSE),"")</f>
        <v/>
      </c>
      <c r="V4042">
        <f t="shared" si="254"/>
        <v>0</v>
      </c>
      <c r="W4042">
        <f t="shared" si="255"/>
        <v>0</v>
      </c>
    </row>
    <row r="4043" spans="5:23" x14ac:dyDescent="0.25">
      <c r="E4043" s="4"/>
      <c r="F4043" s="4"/>
      <c r="G4043" s="33" t="str">
        <f>IFERROR(VLOOKUP($D4043,'Informations sur les produits'!$A$3:$H$10000,8,FALSE),"0")</f>
        <v>0</v>
      </c>
      <c r="K4043" s="4"/>
      <c r="L4043" s="33" t="str">
        <f>IFERROR(VLOOKUP($J4043,'Informations sur les produits'!$A$3:$H$10000,8,FALSE),"0")</f>
        <v>0</v>
      </c>
      <c r="N4043" s="8"/>
      <c r="O4043" s="33" t="str">
        <f>IFERROR(VLOOKUP($M4043,'Informations sur les produits'!$A$3:$H$10000,8,FALSE),"0")</f>
        <v>0</v>
      </c>
      <c r="P4043" s="33">
        <f t="shared" si="252"/>
        <v>0</v>
      </c>
      <c r="Q4043" s="31" t="str">
        <f t="shared" si="253"/>
        <v/>
      </c>
      <c r="R4043" s="32" t="str">
        <f>IFERROR(VLOOKUP($D4043,'Informations sur les produits'!$A$3:$B$15000,2,FALSE),"")</f>
        <v/>
      </c>
      <c r="V4043">
        <f t="shared" si="254"/>
        <v>0</v>
      </c>
      <c r="W4043">
        <f t="shared" si="255"/>
        <v>0</v>
      </c>
    </row>
    <row r="4044" spans="5:23" x14ac:dyDescent="0.25">
      <c r="E4044" s="4"/>
      <c r="F4044" s="4"/>
      <c r="G4044" s="33" t="str">
        <f>IFERROR(VLOOKUP($D4044,'Informations sur les produits'!$A$3:$H$10000,8,FALSE),"0")</f>
        <v>0</v>
      </c>
      <c r="K4044" s="4"/>
      <c r="L4044" s="33" t="str">
        <f>IFERROR(VLOOKUP($J4044,'Informations sur les produits'!$A$3:$H$10000,8,FALSE),"0")</f>
        <v>0</v>
      </c>
      <c r="N4044" s="8"/>
      <c r="O4044" s="33" t="str">
        <f>IFERROR(VLOOKUP($M4044,'Informations sur les produits'!$A$3:$H$10000,8,FALSE),"0")</f>
        <v>0</v>
      </c>
      <c r="P4044" s="33">
        <f t="shared" si="252"/>
        <v>0</v>
      </c>
      <c r="Q4044" s="31" t="str">
        <f t="shared" si="253"/>
        <v/>
      </c>
      <c r="R4044" s="32" t="str">
        <f>IFERROR(VLOOKUP($D4044,'Informations sur les produits'!$A$3:$B$15000,2,FALSE),"")</f>
        <v/>
      </c>
      <c r="V4044">
        <f t="shared" si="254"/>
        <v>0</v>
      </c>
      <c r="W4044">
        <f t="shared" si="255"/>
        <v>0</v>
      </c>
    </row>
    <row r="4045" spans="5:23" x14ac:dyDescent="0.25">
      <c r="E4045" s="4"/>
      <c r="F4045" s="4"/>
      <c r="G4045" s="33" t="str">
        <f>IFERROR(VLOOKUP($D4045,'Informations sur les produits'!$A$3:$H$10000,8,FALSE),"0")</f>
        <v>0</v>
      </c>
      <c r="K4045" s="4"/>
      <c r="L4045" s="33" t="str">
        <f>IFERROR(VLOOKUP($J4045,'Informations sur les produits'!$A$3:$H$10000,8,FALSE),"0")</f>
        <v>0</v>
      </c>
      <c r="N4045" s="8"/>
      <c r="O4045" s="33" t="str">
        <f>IFERROR(VLOOKUP($M4045,'Informations sur les produits'!$A$3:$H$10000,8,FALSE),"0")</f>
        <v>0</v>
      </c>
      <c r="P4045" s="33">
        <f t="shared" si="252"/>
        <v>0</v>
      </c>
      <c r="Q4045" s="31" t="str">
        <f t="shared" si="253"/>
        <v/>
      </c>
      <c r="R4045" s="32" t="str">
        <f>IFERROR(VLOOKUP($D4045,'Informations sur les produits'!$A$3:$B$15000,2,FALSE),"")</f>
        <v/>
      </c>
      <c r="V4045">
        <f t="shared" si="254"/>
        <v>0</v>
      </c>
      <c r="W4045">
        <f t="shared" si="255"/>
        <v>0</v>
      </c>
    </row>
    <row r="4046" spans="5:23" x14ac:dyDescent="0.25">
      <c r="E4046" s="4"/>
      <c r="F4046" s="4"/>
      <c r="G4046" s="33" t="str">
        <f>IFERROR(VLOOKUP($D4046,'Informations sur les produits'!$A$3:$H$10000,8,FALSE),"0")</f>
        <v>0</v>
      </c>
      <c r="K4046" s="4"/>
      <c r="L4046" s="33" t="str">
        <f>IFERROR(VLOOKUP($J4046,'Informations sur les produits'!$A$3:$H$10000,8,FALSE),"0")</f>
        <v>0</v>
      </c>
      <c r="N4046" s="8"/>
      <c r="O4046" s="33" t="str">
        <f>IFERROR(VLOOKUP($M4046,'Informations sur les produits'!$A$3:$H$10000,8,FALSE),"0")</f>
        <v>0</v>
      </c>
      <c r="P4046" s="33">
        <f t="shared" si="252"/>
        <v>0</v>
      </c>
      <c r="Q4046" s="31" t="str">
        <f t="shared" si="253"/>
        <v/>
      </c>
      <c r="R4046" s="32" t="str">
        <f>IFERROR(VLOOKUP($D4046,'Informations sur les produits'!$A$3:$B$15000,2,FALSE),"")</f>
        <v/>
      </c>
      <c r="V4046">
        <f t="shared" si="254"/>
        <v>0</v>
      </c>
      <c r="W4046">
        <f t="shared" si="255"/>
        <v>0</v>
      </c>
    </row>
    <row r="4047" spans="5:23" x14ac:dyDescent="0.25">
      <c r="E4047" s="4"/>
      <c r="F4047" s="4"/>
      <c r="G4047" s="33" t="str">
        <f>IFERROR(VLOOKUP($D4047,'Informations sur les produits'!$A$3:$H$10000,8,FALSE),"0")</f>
        <v>0</v>
      </c>
      <c r="K4047" s="4"/>
      <c r="L4047" s="33" t="str">
        <f>IFERROR(VLOOKUP($J4047,'Informations sur les produits'!$A$3:$H$10000,8,FALSE),"0")</f>
        <v>0</v>
      </c>
      <c r="N4047" s="8"/>
      <c r="O4047" s="33" t="str">
        <f>IFERROR(VLOOKUP($M4047,'Informations sur les produits'!$A$3:$H$10000,8,FALSE),"0")</f>
        <v>0</v>
      </c>
      <c r="P4047" s="33">
        <f t="shared" si="252"/>
        <v>0</v>
      </c>
      <c r="Q4047" s="31" t="str">
        <f t="shared" si="253"/>
        <v/>
      </c>
      <c r="R4047" s="32" t="str">
        <f>IFERROR(VLOOKUP($D4047,'Informations sur les produits'!$A$3:$B$15000,2,FALSE),"")</f>
        <v/>
      </c>
      <c r="V4047">
        <f t="shared" si="254"/>
        <v>0</v>
      </c>
      <c r="W4047">
        <f t="shared" si="255"/>
        <v>0</v>
      </c>
    </row>
    <row r="4048" spans="5:23" x14ac:dyDescent="0.25">
      <c r="E4048" s="4"/>
      <c r="F4048" s="4"/>
      <c r="G4048" s="33" t="str">
        <f>IFERROR(VLOOKUP($D4048,'Informations sur les produits'!$A$3:$H$10000,8,FALSE),"0")</f>
        <v>0</v>
      </c>
      <c r="K4048" s="4"/>
      <c r="L4048" s="33" t="str">
        <f>IFERROR(VLOOKUP($J4048,'Informations sur les produits'!$A$3:$H$10000,8,FALSE),"0")</f>
        <v>0</v>
      </c>
      <c r="N4048" s="8"/>
      <c r="O4048" s="33" t="str">
        <f>IFERROR(VLOOKUP($M4048,'Informations sur les produits'!$A$3:$H$10000,8,FALSE),"0")</f>
        <v>0</v>
      </c>
      <c r="P4048" s="33">
        <f t="shared" si="252"/>
        <v>0</v>
      </c>
      <c r="Q4048" s="31" t="str">
        <f t="shared" si="253"/>
        <v/>
      </c>
      <c r="R4048" s="32" t="str">
        <f>IFERROR(VLOOKUP($D4048,'Informations sur les produits'!$A$3:$B$15000,2,FALSE),"")</f>
        <v/>
      </c>
      <c r="V4048">
        <f t="shared" si="254"/>
        <v>0</v>
      </c>
      <c r="W4048">
        <f t="shared" si="255"/>
        <v>0</v>
      </c>
    </row>
    <row r="4049" spans="5:23" x14ac:dyDescent="0.25">
      <c r="E4049" s="4"/>
      <c r="F4049" s="4"/>
      <c r="G4049" s="33" t="str">
        <f>IFERROR(VLOOKUP($D4049,'Informations sur les produits'!$A$3:$H$10000,8,FALSE),"0")</f>
        <v>0</v>
      </c>
      <c r="K4049" s="4"/>
      <c r="L4049" s="33" t="str">
        <f>IFERROR(VLOOKUP($J4049,'Informations sur les produits'!$A$3:$H$10000,8,FALSE),"0")</f>
        <v>0</v>
      </c>
      <c r="N4049" s="8"/>
      <c r="O4049" s="33" t="str">
        <f>IFERROR(VLOOKUP($M4049,'Informations sur les produits'!$A$3:$H$10000,8,FALSE),"0")</f>
        <v>0</v>
      </c>
      <c r="P4049" s="33">
        <f t="shared" si="252"/>
        <v>0</v>
      </c>
      <c r="Q4049" s="31" t="str">
        <f t="shared" si="253"/>
        <v/>
      </c>
      <c r="R4049" s="32" t="str">
        <f>IFERROR(VLOOKUP($D4049,'Informations sur les produits'!$A$3:$B$15000,2,FALSE),"")</f>
        <v/>
      </c>
      <c r="V4049">
        <f t="shared" si="254"/>
        <v>0</v>
      </c>
      <c r="W4049">
        <f t="shared" si="255"/>
        <v>0</v>
      </c>
    </row>
    <row r="4050" spans="5:23" x14ac:dyDescent="0.25">
      <c r="E4050" s="4"/>
      <c r="F4050" s="4"/>
      <c r="G4050" s="33" t="str">
        <f>IFERROR(VLOOKUP($D4050,'Informations sur les produits'!$A$3:$H$10000,8,FALSE),"0")</f>
        <v>0</v>
      </c>
      <c r="K4050" s="4"/>
      <c r="L4050" s="33" t="str">
        <f>IFERROR(VLOOKUP($J4050,'Informations sur les produits'!$A$3:$H$10000,8,FALSE),"0")</f>
        <v>0</v>
      </c>
      <c r="N4050" s="8"/>
      <c r="O4050" s="33" t="str">
        <f>IFERROR(VLOOKUP($M4050,'Informations sur les produits'!$A$3:$H$10000,8,FALSE),"0")</f>
        <v>0</v>
      </c>
      <c r="P4050" s="33">
        <f t="shared" si="252"/>
        <v>0</v>
      </c>
      <c r="Q4050" s="31" t="str">
        <f t="shared" si="253"/>
        <v/>
      </c>
      <c r="R4050" s="32" t="str">
        <f>IFERROR(VLOOKUP($D4050,'Informations sur les produits'!$A$3:$B$15000,2,FALSE),"")</f>
        <v/>
      </c>
      <c r="V4050">
        <f t="shared" si="254"/>
        <v>0</v>
      </c>
      <c r="W4050">
        <f t="shared" si="255"/>
        <v>0</v>
      </c>
    </row>
    <row r="4051" spans="5:23" x14ac:dyDescent="0.25">
      <c r="E4051" s="4"/>
      <c r="F4051" s="4"/>
      <c r="G4051" s="33" t="str">
        <f>IFERROR(VLOOKUP($D4051,'Informations sur les produits'!$A$3:$H$10000,8,FALSE),"0")</f>
        <v>0</v>
      </c>
      <c r="K4051" s="4"/>
      <c r="L4051" s="33" t="str">
        <f>IFERROR(VLOOKUP($J4051,'Informations sur les produits'!$A$3:$H$10000,8,FALSE),"0")</f>
        <v>0</v>
      </c>
      <c r="N4051" s="8"/>
      <c r="O4051" s="33" t="str">
        <f>IFERROR(VLOOKUP($M4051,'Informations sur les produits'!$A$3:$H$10000,8,FALSE),"0")</f>
        <v>0</v>
      </c>
      <c r="P4051" s="33">
        <f t="shared" si="252"/>
        <v>0</v>
      </c>
      <c r="Q4051" s="31" t="str">
        <f t="shared" si="253"/>
        <v/>
      </c>
      <c r="R4051" s="32" t="str">
        <f>IFERROR(VLOOKUP($D4051,'Informations sur les produits'!$A$3:$B$15000,2,FALSE),"")</f>
        <v/>
      </c>
      <c r="V4051">
        <f t="shared" si="254"/>
        <v>0</v>
      </c>
      <c r="W4051">
        <f t="shared" si="255"/>
        <v>0</v>
      </c>
    </row>
    <row r="4052" spans="5:23" x14ac:dyDescent="0.25">
      <c r="E4052" s="4"/>
      <c r="F4052" s="4"/>
      <c r="G4052" s="33" t="str">
        <f>IFERROR(VLOOKUP($D4052,'Informations sur les produits'!$A$3:$H$10000,8,FALSE),"0")</f>
        <v>0</v>
      </c>
      <c r="K4052" s="4"/>
      <c r="L4052" s="33" t="str">
        <f>IFERROR(VLOOKUP($J4052,'Informations sur les produits'!$A$3:$H$10000,8,FALSE),"0")</f>
        <v>0</v>
      </c>
      <c r="N4052" s="8"/>
      <c r="O4052" s="33" t="str">
        <f>IFERROR(VLOOKUP($M4052,'Informations sur les produits'!$A$3:$H$10000,8,FALSE),"0")</f>
        <v>0</v>
      </c>
      <c r="P4052" s="33">
        <f t="shared" si="252"/>
        <v>0</v>
      </c>
      <c r="Q4052" s="31" t="str">
        <f t="shared" si="253"/>
        <v/>
      </c>
      <c r="R4052" s="32" t="str">
        <f>IFERROR(VLOOKUP($D4052,'Informations sur les produits'!$A$3:$B$15000,2,FALSE),"")</f>
        <v/>
      </c>
      <c r="V4052">
        <f t="shared" si="254"/>
        <v>0</v>
      </c>
      <c r="W4052">
        <f t="shared" si="255"/>
        <v>0</v>
      </c>
    </row>
    <row r="4053" spans="5:23" x14ac:dyDescent="0.25">
      <c r="E4053" s="4"/>
      <c r="F4053" s="4"/>
      <c r="G4053" s="33" t="str">
        <f>IFERROR(VLOOKUP($D4053,'Informations sur les produits'!$A$3:$H$10000,8,FALSE),"0")</f>
        <v>0</v>
      </c>
      <c r="K4053" s="4"/>
      <c r="L4053" s="33" t="str">
        <f>IFERROR(VLOOKUP($J4053,'Informations sur les produits'!$A$3:$H$10000,8,FALSE),"0")</f>
        <v>0</v>
      </c>
      <c r="N4053" s="8"/>
      <c r="O4053" s="33" t="str">
        <f>IFERROR(VLOOKUP($M4053,'Informations sur les produits'!$A$3:$H$10000,8,FALSE),"0")</f>
        <v>0</v>
      </c>
      <c r="P4053" s="33">
        <f t="shared" si="252"/>
        <v>0</v>
      </c>
      <c r="Q4053" s="31" t="str">
        <f t="shared" si="253"/>
        <v/>
      </c>
      <c r="R4053" s="32" t="str">
        <f>IFERROR(VLOOKUP($D4053,'Informations sur les produits'!$A$3:$B$15000,2,FALSE),"")</f>
        <v/>
      </c>
      <c r="V4053">
        <f t="shared" si="254"/>
        <v>0</v>
      </c>
      <c r="W4053">
        <f t="shared" si="255"/>
        <v>0</v>
      </c>
    </row>
    <row r="4054" spans="5:23" x14ac:dyDescent="0.25">
      <c r="E4054" s="4"/>
      <c r="F4054" s="4"/>
      <c r="G4054" s="33" t="str">
        <f>IFERROR(VLOOKUP($D4054,'Informations sur les produits'!$A$3:$H$10000,8,FALSE),"0")</f>
        <v>0</v>
      </c>
      <c r="K4054" s="4"/>
      <c r="L4054" s="33" t="str">
        <f>IFERROR(VLOOKUP($J4054,'Informations sur les produits'!$A$3:$H$10000,8,FALSE),"0")</f>
        <v>0</v>
      </c>
      <c r="N4054" s="8"/>
      <c r="O4054" s="33" t="str">
        <f>IFERROR(VLOOKUP($M4054,'Informations sur les produits'!$A$3:$H$10000,8,FALSE),"0")</f>
        <v>0</v>
      </c>
      <c r="P4054" s="33">
        <f t="shared" si="252"/>
        <v>0</v>
      </c>
      <c r="Q4054" s="31" t="str">
        <f t="shared" si="253"/>
        <v/>
      </c>
      <c r="R4054" s="32" t="str">
        <f>IFERROR(VLOOKUP($D4054,'Informations sur les produits'!$A$3:$B$15000,2,FALSE),"")</f>
        <v/>
      </c>
      <c r="V4054">
        <f t="shared" si="254"/>
        <v>0</v>
      </c>
      <c r="W4054">
        <f t="shared" si="255"/>
        <v>0</v>
      </c>
    </row>
    <row r="4055" spans="5:23" x14ac:dyDescent="0.25">
      <c r="E4055" s="4"/>
      <c r="F4055" s="4"/>
      <c r="G4055" s="33" t="str">
        <f>IFERROR(VLOOKUP($D4055,'Informations sur les produits'!$A$3:$H$10000,8,FALSE),"0")</f>
        <v>0</v>
      </c>
      <c r="K4055" s="4"/>
      <c r="L4055" s="33" t="str">
        <f>IFERROR(VLOOKUP($J4055,'Informations sur les produits'!$A$3:$H$10000,8,FALSE),"0")</f>
        <v>0</v>
      </c>
      <c r="N4055" s="8"/>
      <c r="O4055" s="33" t="str">
        <f>IFERROR(VLOOKUP($M4055,'Informations sur les produits'!$A$3:$H$10000,8,FALSE),"0")</f>
        <v>0</v>
      </c>
      <c r="P4055" s="33">
        <f t="shared" si="252"/>
        <v>0</v>
      </c>
      <c r="Q4055" s="31" t="str">
        <f t="shared" si="253"/>
        <v/>
      </c>
      <c r="R4055" s="32" t="str">
        <f>IFERROR(VLOOKUP($D4055,'Informations sur les produits'!$A$3:$B$15000,2,FALSE),"")</f>
        <v/>
      </c>
      <c r="V4055">
        <f t="shared" si="254"/>
        <v>0</v>
      </c>
      <c r="W4055">
        <f t="shared" si="255"/>
        <v>0</v>
      </c>
    </row>
    <row r="4056" spans="5:23" x14ac:dyDescent="0.25">
      <c r="E4056" s="4"/>
      <c r="F4056" s="4"/>
      <c r="G4056" s="33" t="str">
        <f>IFERROR(VLOOKUP($D4056,'Informations sur les produits'!$A$3:$H$10000,8,FALSE),"0")</f>
        <v>0</v>
      </c>
      <c r="K4056" s="4"/>
      <c r="L4056" s="33" t="str">
        <f>IFERROR(VLOOKUP($J4056,'Informations sur les produits'!$A$3:$H$10000,8,FALSE),"0")</f>
        <v>0</v>
      </c>
      <c r="N4056" s="8"/>
      <c r="O4056" s="33" t="str">
        <f>IFERROR(VLOOKUP($M4056,'Informations sur les produits'!$A$3:$H$10000,8,FALSE),"0")</f>
        <v>0</v>
      </c>
      <c r="P4056" s="33">
        <f t="shared" si="252"/>
        <v>0</v>
      </c>
      <c r="Q4056" s="31" t="str">
        <f t="shared" si="253"/>
        <v/>
      </c>
      <c r="R4056" s="32" t="str">
        <f>IFERROR(VLOOKUP($D4056,'Informations sur les produits'!$A$3:$B$15000,2,FALSE),"")</f>
        <v/>
      </c>
      <c r="V4056">
        <f t="shared" si="254"/>
        <v>0</v>
      </c>
      <c r="W4056">
        <f t="shared" si="255"/>
        <v>0</v>
      </c>
    </row>
    <row r="4057" spans="5:23" x14ac:dyDescent="0.25">
      <c r="E4057" s="4"/>
      <c r="F4057" s="4"/>
      <c r="G4057" s="33" t="str">
        <f>IFERROR(VLOOKUP($D4057,'Informations sur les produits'!$A$3:$H$10000,8,FALSE),"0")</f>
        <v>0</v>
      </c>
      <c r="K4057" s="4"/>
      <c r="L4057" s="33" t="str">
        <f>IFERROR(VLOOKUP($J4057,'Informations sur les produits'!$A$3:$H$10000,8,FALSE),"0")</f>
        <v>0</v>
      </c>
      <c r="N4057" s="8"/>
      <c r="O4057" s="33" t="str">
        <f>IFERROR(VLOOKUP($M4057,'Informations sur les produits'!$A$3:$H$10000,8,FALSE),"0")</f>
        <v>0</v>
      </c>
      <c r="P4057" s="33">
        <f t="shared" si="252"/>
        <v>0</v>
      </c>
      <c r="Q4057" s="31" t="str">
        <f t="shared" si="253"/>
        <v/>
      </c>
      <c r="R4057" s="32" t="str">
        <f>IFERROR(VLOOKUP($D4057,'Informations sur les produits'!$A$3:$B$15000,2,FALSE),"")</f>
        <v/>
      </c>
      <c r="V4057">
        <f t="shared" si="254"/>
        <v>0</v>
      </c>
      <c r="W4057">
        <f t="shared" si="255"/>
        <v>0</v>
      </c>
    </row>
    <row r="4058" spans="5:23" x14ac:dyDescent="0.25">
      <c r="E4058" s="4"/>
      <c r="F4058" s="4"/>
      <c r="G4058" s="33" t="str">
        <f>IFERROR(VLOOKUP($D4058,'Informations sur les produits'!$A$3:$H$10000,8,FALSE),"0")</f>
        <v>0</v>
      </c>
      <c r="K4058" s="4"/>
      <c r="L4058" s="33" t="str">
        <f>IFERROR(VLOOKUP($J4058,'Informations sur les produits'!$A$3:$H$10000,8,FALSE),"0")</f>
        <v>0</v>
      </c>
      <c r="N4058" s="8"/>
      <c r="O4058" s="33" t="str">
        <f>IFERROR(VLOOKUP($M4058,'Informations sur les produits'!$A$3:$H$10000,8,FALSE),"0")</f>
        <v>0</v>
      </c>
      <c r="P4058" s="33">
        <f t="shared" si="252"/>
        <v>0</v>
      </c>
      <c r="Q4058" s="31" t="str">
        <f t="shared" si="253"/>
        <v/>
      </c>
      <c r="R4058" s="32" t="str">
        <f>IFERROR(VLOOKUP($D4058,'Informations sur les produits'!$A$3:$B$15000,2,FALSE),"")</f>
        <v/>
      </c>
      <c r="V4058">
        <f t="shared" si="254"/>
        <v>0</v>
      </c>
      <c r="W4058">
        <f t="shared" si="255"/>
        <v>0</v>
      </c>
    </row>
    <row r="4059" spans="5:23" x14ac:dyDescent="0.25">
      <c r="E4059" s="4"/>
      <c r="F4059" s="4"/>
      <c r="G4059" s="33" t="str">
        <f>IFERROR(VLOOKUP($D4059,'Informations sur les produits'!$A$3:$H$10000,8,FALSE),"0")</f>
        <v>0</v>
      </c>
      <c r="K4059" s="4"/>
      <c r="L4059" s="33" t="str">
        <f>IFERROR(VLOOKUP($J4059,'Informations sur les produits'!$A$3:$H$10000,8,FALSE),"0")</f>
        <v>0</v>
      </c>
      <c r="N4059" s="8"/>
      <c r="O4059" s="33" t="str">
        <f>IFERROR(VLOOKUP($M4059,'Informations sur les produits'!$A$3:$H$10000,8,FALSE),"0")</f>
        <v>0</v>
      </c>
      <c r="P4059" s="33">
        <f t="shared" si="252"/>
        <v>0</v>
      </c>
      <c r="Q4059" s="31" t="str">
        <f t="shared" si="253"/>
        <v/>
      </c>
      <c r="R4059" s="32" t="str">
        <f>IFERROR(VLOOKUP($D4059,'Informations sur les produits'!$A$3:$B$15000,2,FALSE),"")</f>
        <v/>
      </c>
      <c r="V4059">
        <f t="shared" si="254"/>
        <v>0</v>
      </c>
      <c r="W4059">
        <f t="shared" si="255"/>
        <v>0</v>
      </c>
    </row>
    <row r="4060" spans="5:23" x14ac:dyDescent="0.25">
      <c r="E4060" s="4"/>
      <c r="F4060" s="4"/>
      <c r="G4060" s="33" t="str">
        <f>IFERROR(VLOOKUP($D4060,'Informations sur les produits'!$A$3:$H$10000,8,FALSE),"0")</f>
        <v>0</v>
      </c>
      <c r="K4060" s="4"/>
      <c r="L4060" s="33" t="str">
        <f>IFERROR(VLOOKUP($J4060,'Informations sur les produits'!$A$3:$H$10000,8,FALSE),"0")</f>
        <v>0</v>
      </c>
      <c r="N4060" s="8"/>
      <c r="O4060" s="33" t="str">
        <f>IFERROR(VLOOKUP($M4060,'Informations sur les produits'!$A$3:$H$10000,8,FALSE),"0")</f>
        <v>0</v>
      </c>
      <c r="P4060" s="33">
        <f t="shared" si="252"/>
        <v>0</v>
      </c>
      <c r="Q4060" s="31" t="str">
        <f t="shared" si="253"/>
        <v/>
      </c>
      <c r="R4060" s="32" t="str">
        <f>IFERROR(VLOOKUP($D4060,'Informations sur les produits'!$A$3:$B$15000,2,FALSE),"")</f>
        <v/>
      </c>
      <c r="V4060">
        <f t="shared" si="254"/>
        <v>0</v>
      </c>
      <c r="W4060">
        <f t="shared" si="255"/>
        <v>0</v>
      </c>
    </row>
    <row r="4061" spans="5:23" x14ac:dyDescent="0.25">
      <c r="E4061" s="4"/>
      <c r="F4061" s="4"/>
      <c r="G4061" s="33" t="str">
        <f>IFERROR(VLOOKUP($D4061,'Informations sur les produits'!$A$3:$H$10000,8,FALSE),"0")</f>
        <v>0</v>
      </c>
      <c r="K4061" s="4"/>
      <c r="L4061" s="33" t="str">
        <f>IFERROR(VLOOKUP($J4061,'Informations sur les produits'!$A$3:$H$10000,8,FALSE),"0")</f>
        <v>0</v>
      </c>
      <c r="N4061" s="8"/>
      <c r="O4061" s="33" t="str">
        <f>IFERROR(VLOOKUP($M4061,'Informations sur les produits'!$A$3:$H$10000,8,FALSE),"0")</f>
        <v>0</v>
      </c>
      <c r="P4061" s="33">
        <f t="shared" si="252"/>
        <v>0</v>
      </c>
      <c r="Q4061" s="31" t="str">
        <f t="shared" si="253"/>
        <v/>
      </c>
      <c r="R4061" s="32" t="str">
        <f>IFERROR(VLOOKUP($D4061,'Informations sur les produits'!$A$3:$B$15000,2,FALSE),"")</f>
        <v/>
      </c>
      <c r="V4061">
        <f t="shared" si="254"/>
        <v>0</v>
      </c>
      <c r="W4061">
        <f t="shared" si="255"/>
        <v>0</v>
      </c>
    </row>
    <row r="4062" spans="5:23" x14ac:dyDescent="0.25">
      <c r="E4062" s="4"/>
      <c r="F4062" s="4"/>
      <c r="G4062" s="33" t="str">
        <f>IFERROR(VLOOKUP($D4062,'Informations sur les produits'!$A$3:$H$10000,8,FALSE),"0")</f>
        <v>0</v>
      </c>
      <c r="K4062" s="4"/>
      <c r="L4062" s="33" t="str">
        <f>IFERROR(VLOOKUP($J4062,'Informations sur les produits'!$A$3:$H$10000,8,FALSE),"0")</f>
        <v>0</v>
      </c>
      <c r="N4062" s="8"/>
      <c r="O4062" s="33" t="str">
        <f>IFERROR(VLOOKUP($M4062,'Informations sur les produits'!$A$3:$H$10000,8,FALSE),"0")</f>
        <v>0</v>
      </c>
      <c r="P4062" s="33">
        <f t="shared" si="252"/>
        <v>0</v>
      </c>
      <c r="Q4062" s="31" t="str">
        <f t="shared" si="253"/>
        <v/>
      </c>
      <c r="R4062" s="32" t="str">
        <f>IFERROR(VLOOKUP($D4062,'Informations sur les produits'!$A$3:$B$15000,2,FALSE),"")</f>
        <v/>
      </c>
      <c r="V4062">
        <f t="shared" si="254"/>
        <v>0</v>
      </c>
      <c r="W4062">
        <f t="shared" si="255"/>
        <v>0</v>
      </c>
    </row>
    <row r="4063" spans="5:23" x14ac:dyDescent="0.25">
      <c r="E4063" s="4"/>
      <c r="F4063" s="4"/>
      <c r="G4063" s="33" t="str">
        <f>IFERROR(VLOOKUP($D4063,'Informations sur les produits'!$A$3:$H$10000,8,FALSE),"0")</f>
        <v>0</v>
      </c>
      <c r="K4063" s="4"/>
      <c r="L4063" s="33" t="str">
        <f>IFERROR(VLOOKUP($J4063,'Informations sur les produits'!$A$3:$H$10000,8,FALSE),"0")</f>
        <v>0</v>
      </c>
      <c r="N4063" s="8"/>
      <c r="O4063" s="33" t="str">
        <f>IFERROR(VLOOKUP($M4063,'Informations sur les produits'!$A$3:$H$10000,8,FALSE),"0")</f>
        <v>0</v>
      </c>
      <c r="P4063" s="33">
        <f t="shared" si="252"/>
        <v>0</v>
      </c>
      <c r="Q4063" s="31" t="str">
        <f t="shared" si="253"/>
        <v/>
      </c>
      <c r="R4063" s="32" t="str">
        <f>IFERROR(VLOOKUP($D4063,'Informations sur les produits'!$A$3:$B$15000,2,FALSE),"")</f>
        <v/>
      </c>
      <c r="V4063">
        <f t="shared" si="254"/>
        <v>0</v>
      </c>
      <c r="W4063">
        <f t="shared" si="255"/>
        <v>0</v>
      </c>
    </row>
    <row r="4064" spans="5:23" x14ac:dyDescent="0.25">
      <c r="E4064" s="4"/>
      <c r="F4064" s="4"/>
      <c r="G4064" s="33" t="str">
        <f>IFERROR(VLOOKUP($D4064,'Informations sur les produits'!$A$3:$H$10000,8,FALSE),"0")</f>
        <v>0</v>
      </c>
      <c r="K4064" s="4"/>
      <c r="L4064" s="33" t="str">
        <f>IFERROR(VLOOKUP($J4064,'Informations sur les produits'!$A$3:$H$10000,8,FALSE),"0")</f>
        <v>0</v>
      </c>
      <c r="N4064" s="8"/>
      <c r="O4064" s="33" t="str">
        <f>IFERROR(VLOOKUP($M4064,'Informations sur les produits'!$A$3:$H$10000,8,FALSE),"0")</f>
        <v>0</v>
      </c>
      <c r="P4064" s="33">
        <f t="shared" si="252"/>
        <v>0</v>
      </c>
      <c r="Q4064" s="31" t="str">
        <f t="shared" si="253"/>
        <v/>
      </c>
      <c r="R4064" s="32" t="str">
        <f>IFERROR(VLOOKUP($D4064,'Informations sur les produits'!$A$3:$B$15000,2,FALSE),"")</f>
        <v/>
      </c>
      <c r="V4064">
        <f t="shared" si="254"/>
        <v>0</v>
      </c>
      <c r="W4064">
        <f t="shared" si="255"/>
        <v>0</v>
      </c>
    </row>
    <row r="4065" spans="5:23" x14ac:dyDescent="0.25">
      <c r="E4065" s="4"/>
      <c r="F4065" s="4"/>
      <c r="G4065" s="33" t="str">
        <f>IFERROR(VLOOKUP($D4065,'Informations sur les produits'!$A$3:$H$10000,8,FALSE),"0")</f>
        <v>0</v>
      </c>
      <c r="K4065" s="4"/>
      <c r="L4065" s="33" t="str">
        <f>IFERROR(VLOOKUP($J4065,'Informations sur les produits'!$A$3:$H$10000,8,FALSE),"0")</f>
        <v>0</v>
      </c>
      <c r="N4065" s="8"/>
      <c r="O4065" s="33" t="str">
        <f>IFERROR(VLOOKUP($M4065,'Informations sur les produits'!$A$3:$H$10000,8,FALSE),"0")</f>
        <v>0</v>
      </c>
      <c r="P4065" s="33">
        <f t="shared" si="252"/>
        <v>0</v>
      </c>
      <c r="Q4065" s="31" t="str">
        <f t="shared" si="253"/>
        <v/>
      </c>
      <c r="R4065" s="32" t="str">
        <f>IFERROR(VLOOKUP($D4065,'Informations sur les produits'!$A$3:$B$15000,2,FALSE),"")</f>
        <v/>
      </c>
      <c r="V4065">
        <f t="shared" si="254"/>
        <v>0</v>
      </c>
      <c r="W4065">
        <f t="shared" si="255"/>
        <v>0</v>
      </c>
    </row>
    <row r="4066" spans="5:23" x14ac:dyDescent="0.25">
      <c r="E4066" s="4"/>
      <c r="F4066" s="4"/>
      <c r="G4066" s="33" t="str">
        <f>IFERROR(VLOOKUP($D4066,'Informations sur les produits'!$A$3:$H$10000,8,FALSE),"0")</f>
        <v>0</v>
      </c>
      <c r="K4066" s="4"/>
      <c r="L4066" s="33" t="str">
        <f>IFERROR(VLOOKUP($J4066,'Informations sur les produits'!$A$3:$H$10000,8,FALSE),"0")</f>
        <v>0</v>
      </c>
      <c r="N4066" s="8"/>
      <c r="O4066" s="33" t="str">
        <f>IFERROR(VLOOKUP($M4066,'Informations sur les produits'!$A$3:$H$10000,8,FALSE),"0")</f>
        <v>0</v>
      </c>
      <c r="P4066" s="33">
        <f t="shared" si="252"/>
        <v>0</v>
      </c>
      <c r="Q4066" s="31" t="str">
        <f t="shared" si="253"/>
        <v/>
      </c>
      <c r="R4066" s="32" t="str">
        <f>IFERROR(VLOOKUP($D4066,'Informations sur les produits'!$A$3:$B$15000,2,FALSE),"")</f>
        <v/>
      </c>
      <c r="V4066">
        <f t="shared" si="254"/>
        <v>0</v>
      </c>
      <c r="W4066">
        <f t="shared" si="255"/>
        <v>0</v>
      </c>
    </row>
    <row r="4067" spans="5:23" x14ac:dyDescent="0.25">
      <c r="E4067" s="4"/>
      <c r="F4067" s="4"/>
      <c r="G4067" s="33" t="str">
        <f>IFERROR(VLOOKUP($D4067,'Informations sur les produits'!$A$3:$H$10000,8,FALSE),"0")</f>
        <v>0</v>
      </c>
      <c r="K4067" s="4"/>
      <c r="L4067" s="33" t="str">
        <f>IFERROR(VLOOKUP($J4067,'Informations sur les produits'!$A$3:$H$10000,8,FALSE),"0")</f>
        <v>0</v>
      </c>
      <c r="N4067" s="8"/>
      <c r="O4067" s="33" t="str">
        <f>IFERROR(VLOOKUP($M4067,'Informations sur les produits'!$A$3:$H$10000,8,FALSE),"0")</f>
        <v>0</v>
      </c>
      <c r="P4067" s="33">
        <f t="shared" si="252"/>
        <v>0</v>
      </c>
      <c r="Q4067" s="31" t="str">
        <f t="shared" si="253"/>
        <v/>
      </c>
      <c r="R4067" s="32" t="str">
        <f>IFERROR(VLOOKUP($D4067,'Informations sur les produits'!$A$3:$B$15000,2,FALSE),"")</f>
        <v/>
      </c>
      <c r="V4067">
        <f t="shared" si="254"/>
        <v>0</v>
      </c>
      <c r="W4067">
        <f t="shared" si="255"/>
        <v>0</v>
      </c>
    </row>
    <row r="4068" spans="5:23" x14ac:dyDescent="0.25">
      <c r="E4068" s="4"/>
      <c r="F4068" s="4"/>
      <c r="G4068" s="33" t="str">
        <f>IFERROR(VLOOKUP($D4068,'Informations sur les produits'!$A$3:$H$10000,8,FALSE),"0")</f>
        <v>0</v>
      </c>
      <c r="K4068" s="4"/>
      <c r="L4068" s="33" t="str">
        <f>IFERROR(VLOOKUP($J4068,'Informations sur les produits'!$A$3:$H$10000,8,FALSE),"0")</f>
        <v>0</v>
      </c>
      <c r="N4068" s="8"/>
      <c r="O4068" s="33" t="str">
        <f>IFERROR(VLOOKUP($M4068,'Informations sur les produits'!$A$3:$H$10000,8,FALSE),"0")</f>
        <v>0</v>
      </c>
      <c r="P4068" s="33">
        <f t="shared" si="252"/>
        <v>0</v>
      </c>
      <c r="Q4068" s="31" t="str">
        <f t="shared" si="253"/>
        <v/>
      </c>
      <c r="R4068" s="32" t="str">
        <f>IFERROR(VLOOKUP($D4068,'Informations sur les produits'!$A$3:$B$15000,2,FALSE),"")</f>
        <v/>
      </c>
      <c r="V4068">
        <f t="shared" si="254"/>
        <v>0</v>
      </c>
      <c r="W4068">
        <f t="shared" si="255"/>
        <v>0</v>
      </c>
    </row>
    <row r="4069" spans="5:23" x14ac:dyDescent="0.25">
      <c r="E4069" s="4"/>
      <c r="F4069" s="4"/>
      <c r="G4069" s="33" t="str">
        <f>IFERROR(VLOOKUP($D4069,'Informations sur les produits'!$A$3:$H$10000,8,FALSE),"0")</f>
        <v>0</v>
      </c>
      <c r="K4069" s="4"/>
      <c r="L4069" s="33" t="str">
        <f>IFERROR(VLOOKUP($J4069,'Informations sur les produits'!$A$3:$H$10000,8,FALSE),"0")</f>
        <v>0</v>
      </c>
      <c r="N4069" s="8"/>
      <c r="O4069" s="33" t="str">
        <f>IFERROR(VLOOKUP($M4069,'Informations sur les produits'!$A$3:$H$10000,8,FALSE),"0")</f>
        <v>0</v>
      </c>
      <c r="P4069" s="33">
        <f t="shared" si="252"/>
        <v>0</v>
      </c>
      <c r="Q4069" s="31" t="str">
        <f t="shared" si="253"/>
        <v/>
      </c>
      <c r="R4069" s="32" t="str">
        <f>IFERROR(VLOOKUP($D4069,'Informations sur les produits'!$A$3:$B$15000,2,FALSE),"")</f>
        <v/>
      </c>
      <c r="V4069">
        <f t="shared" si="254"/>
        <v>0</v>
      </c>
      <c r="W4069">
        <f t="shared" si="255"/>
        <v>0</v>
      </c>
    </row>
    <row r="4070" spans="5:23" x14ac:dyDescent="0.25">
      <c r="E4070" s="4"/>
      <c r="F4070" s="4"/>
      <c r="G4070" s="33" t="str">
        <f>IFERROR(VLOOKUP($D4070,'Informations sur les produits'!$A$3:$H$10000,8,FALSE),"0")</f>
        <v>0</v>
      </c>
      <c r="K4070" s="4"/>
      <c r="L4070" s="33" t="str">
        <f>IFERROR(VLOOKUP($J4070,'Informations sur les produits'!$A$3:$H$10000,8,FALSE),"0")</f>
        <v>0</v>
      </c>
      <c r="N4070" s="8"/>
      <c r="O4070" s="33" t="str">
        <f>IFERROR(VLOOKUP($M4070,'Informations sur les produits'!$A$3:$H$10000,8,FALSE),"0")</f>
        <v>0</v>
      </c>
      <c r="P4070" s="33">
        <f t="shared" si="252"/>
        <v>0</v>
      </c>
      <c r="Q4070" s="31" t="str">
        <f t="shared" si="253"/>
        <v/>
      </c>
      <c r="R4070" s="32" t="str">
        <f>IFERROR(VLOOKUP($D4070,'Informations sur les produits'!$A$3:$B$15000,2,FALSE),"")</f>
        <v/>
      </c>
      <c r="V4070">
        <f t="shared" si="254"/>
        <v>0</v>
      </c>
      <c r="W4070">
        <f t="shared" si="255"/>
        <v>0</v>
      </c>
    </row>
    <row r="4071" spans="5:23" x14ac:dyDescent="0.25">
      <c r="E4071" s="4"/>
      <c r="F4071" s="4"/>
      <c r="G4071" s="33" t="str">
        <f>IFERROR(VLOOKUP($D4071,'Informations sur les produits'!$A$3:$H$10000,8,FALSE),"0")</f>
        <v>0</v>
      </c>
      <c r="K4071" s="4"/>
      <c r="L4071" s="33" t="str">
        <f>IFERROR(VLOOKUP($J4071,'Informations sur les produits'!$A$3:$H$10000,8,FALSE),"0")</f>
        <v>0</v>
      </c>
      <c r="N4071" s="8"/>
      <c r="O4071" s="33" t="str">
        <f>IFERROR(VLOOKUP($M4071,'Informations sur les produits'!$A$3:$H$10000,8,FALSE),"0")</f>
        <v>0</v>
      </c>
      <c r="P4071" s="33">
        <f t="shared" si="252"/>
        <v>0</v>
      </c>
      <c r="Q4071" s="31" t="str">
        <f t="shared" si="253"/>
        <v/>
      </c>
      <c r="R4071" s="32" t="str">
        <f>IFERROR(VLOOKUP($D4071,'Informations sur les produits'!$A$3:$B$15000,2,FALSE),"")</f>
        <v/>
      </c>
      <c r="V4071">
        <f t="shared" si="254"/>
        <v>0</v>
      </c>
      <c r="W4071">
        <f t="shared" si="255"/>
        <v>0</v>
      </c>
    </row>
    <row r="4072" spans="5:23" x14ac:dyDescent="0.25">
      <c r="E4072" s="4"/>
      <c r="F4072" s="4"/>
      <c r="G4072" s="33" t="str">
        <f>IFERROR(VLOOKUP($D4072,'Informations sur les produits'!$A$3:$H$10000,8,FALSE),"0")</f>
        <v>0</v>
      </c>
      <c r="K4072" s="4"/>
      <c r="L4072" s="33" t="str">
        <f>IFERROR(VLOOKUP($J4072,'Informations sur les produits'!$A$3:$H$10000,8,FALSE),"0")</f>
        <v>0</v>
      </c>
      <c r="N4072" s="8"/>
      <c r="O4072" s="33" t="str">
        <f>IFERROR(VLOOKUP($M4072,'Informations sur les produits'!$A$3:$H$10000,8,FALSE),"0")</f>
        <v>0</v>
      </c>
      <c r="P4072" s="33">
        <f t="shared" si="252"/>
        <v>0</v>
      </c>
      <c r="Q4072" s="31" t="str">
        <f t="shared" si="253"/>
        <v/>
      </c>
      <c r="R4072" s="32" t="str">
        <f>IFERROR(VLOOKUP($D4072,'Informations sur les produits'!$A$3:$B$15000,2,FALSE),"")</f>
        <v/>
      </c>
      <c r="V4072">
        <f t="shared" si="254"/>
        <v>0</v>
      </c>
      <c r="W4072">
        <f t="shared" si="255"/>
        <v>0</v>
      </c>
    </row>
    <row r="4073" spans="5:23" x14ac:dyDescent="0.25">
      <c r="E4073" s="4"/>
      <c r="F4073" s="4"/>
      <c r="G4073" s="33" t="str">
        <f>IFERROR(VLOOKUP($D4073,'Informations sur les produits'!$A$3:$H$10000,8,FALSE),"0")</f>
        <v>0</v>
      </c>
      <c r="K4073" s="4"/>
      <c r="L4073" s="33" t="str">
        <f>IFERROR(VLOOKUP($J4073,'Informations sur les produits'!$A$3:$H$10000,8,FALSE),"0")</f>
        <v>0</v>
      </c>
      <c r="N4073" s="8"/>
      <c r="O4073" s="33" t="str">
        <f>IFERROR(VLOOKUP($M4073,'Informations sur les produits'!$A$3:$H$10000,8,FALSE),"0")</f>
        <v>0</v>
      </c>
      <c r="P4073" s="33">
        <f t="shared" si="252"/>
        <v>0</v>
      </c>
      <c r="Q4073" s="31" t="str">
        <f t="shared" si="253"/>
        <v/>
      </c>
      <c r="R4073" s="32" t="str">
        <f>IFERROR(VLOOKUP($D4073,'Informations sur les produits'!$A$3:$B$15000,2,FALSE),"")</f>
        <v/>
      </c>
      <c r="V4073">
        <f t="shared" si="254"/>
        <v>0</v>
      </c>
      <c r="W4073">
        <f t="shared" si="255"/>
        <v>0</v>
      </c>
    </row>
    <row r="4074" spans="5:23" x14ac:dyDescent="0.25">
      <c r="E4074" s="4"/>
      <c r="F4074" s="4"/>
      <c r="G4074" s="33" t="str">
        <f>IFERROR(VLOOKUP($D4074,'Informations sur les produits'!$A$3:$H$10000,8,FALSE),"0")</f>
        <v>0</v>
      </c>
      <c r="K4074" s="4"/>
      <c r="L4074" s="33" t="str">
        <f>IFERROR(VLOOKUP($J4074,'Informations sur les produits'!$A$3:$H$10000,8,FALSE),"0")</f>
        <v>0</v>
      </c>
      <c r="N4074" s="8"/>
      <c r="O4074" s="33" t="str">
        <f>IFERROR(VLOOKUP($M4074,'Informations sur les produits'!$A$3:$H$10000,8,FALSE),"0")</f>
        <v>0</v>
      </c>
      <c r="P4074" s="33">
        <f t="shared" si="252"/>
        <v>0</v>
      </c>
      <c r="Q4074" s="31" t="str">
        <f t="shared" si="253"/>
        <v/>
      </c>
      <c r="R4074" s="32" t="str">
        <f>IFERROR(VLOOKUP($D4074,'Informations sur les produits'!$A$3:$B$15000,2,FALSE),"")</f>
        <v/>
      </c>
      <c r="V4074">
        <f t="shared" si="254"/>
        <v>0</v>
      </c>
      <c r="W4074">
        <f t="shared" si="255"/>
        <v>0</v>
      </c>
    </row>
    <row r="4075" spans="5:23" x14ac:dyDescent="0.25">
      <c r="E4075" s="4"/>
      <c r="F4075" s="4"/>
      <c r="G4075" s="33" t="str">
        <f>IFERROR(VLOOKUP($D4075,'Informations sur les produits'!$A$3:$H$10000,8,FALSE),"0")</f>
        <v>0</v>
      </c>
      <c r="K4075" s="4"/>
      <c r="L4075" s="33" t="str">
        <f>IFERROR(VLOOKUP($J4075,'Informations sur les produits'!$A$3:$H$10000,8,FALSE),"0")</f>
        <v>0</v>
      </c>
      <c r="N4075" s="8"/>
      <c r="O4075" s="33" t="str">
        <f>IFERROR(VLOOKUP($M4075,'Informations sur les produits'!$A$3:$H$10000,8,FALSE),"0")</f>
        <v>0</v>
      </c>
      <c r="P4075" s="33">
        <f t="shared" si="252"/>
        <v>0</v>
      </c>
      <c r="Q4075" s="31" t="str">
        <f t="shared" si="253"/>
        <v/>
      </c>
      <c r="R4075" s="32" t="str">
        <f>IFERROR(VLOOKUP($D4075,'Informations sur les produits'!$A$3:$B$15000,2,FALSE),"")</f>
        <v/>
      </c>
      <c r="V4075">
        <f t="shared" si="254"/>
        <v>0</v>
      </c>
      <c r="W4075">
        <f t="shared" si="255"/>
        <v>0</v>
      </c>
    </row>
    <row r="4076" spans="5:23" x14ac:dyDescent="0.25">
      <c r="E4076" s="4"/>
      <c r="F4076" s="4"/>
      <c r="G4076" s="33" t="str">
        <f>IFERROR(VLOOKUP($D4076,'Informations sur les produits'!$A$3:$H$10000,8,FALSE),"0")</f>
        <v>0</v>
      </c>
      <c r="K4076" s="4"/>
      <c r="L4076" s="33" t="str">
        <f>IFERROR(VLOOKUP($J4076,'Informations sur les produits'!$A$3:$H$10000,8,FALSE),"0")</f>
        <v>0</v>
      </c>
      <c r="N4076" s="8"/>
      <c r="O4076" s="33" t="str">
        <f>IFERROR(VLOOKUP($M4076,'Informations sur les produits'!$A$3:$H$10000,8,FALSE),"0")</f>
        <v>0</v>
      </c>
      <c r="P4076" s="33">
        <f t="shared" si="252"/>
        <v>0</v>
      </c>
      <c r="Q4076" s="31" t="str">
        <f t="shared" si="253"/>
        <v/>
      </c>
      <c r="R4076" s="32" t="str">
        <f>IFERROR(VLOOKUP($D4076,'Informations sur les produits'!$A$3:$B$15000,2,FALSE),"")</f>
        <v/>
      </c>
      <c r="V4076">
        <f t="shared" si="254"/>
        <v>0</v>
      </c>
      <c r="W4076">
        <f t="shared" si="255"/>
        <v>0</v>
      </c>
    </row>
    <row r="4077" spans="5:23" x14ac:dyDescent="0.25">
      <c r="E4077" s="4"/>
      <c r="F4077" s="4"/>
      <c r="G4077" s="33" t="str">
        <f>IFERROR(VLOOKUP($D4077,'Informations sur les produits'!$A$3:$H$10000,8,FALSE),"0")</f>
        <v>0</v>
      </c>
      <c r="K4077" s="4"/>
      <c r="L4077" s="33" t="str">
        <f>IFERROR(VLOOKUP($J4077,'Informations sur les produits'!$A$3:$H$10000,8,FALSE),"0")</f>
        <v>0</v>
      </c>
      <c r="N4077" s="8"/>
      <c r="O4077" s="33" t="str">
        <f>IFERROR(VLOOKUP($M4077,'Informations sur les produits'!$A$3:$H$10000,8,FALSE),"0")</f>
        <v>0</v>
      </c>
      <c r="P4077" s="33">
        <f t="shared" si="252"/>
        <v>0</v>
      </c>
      <c r="Q4077" s="31" t="str">
        <f t="shared" si="253"/>
        <v/>
      </c>
      <c r="R4077" s="32" t="str">
        <f>IFERROR(VLOOKUP($D4077,'Informations sur les produits'!$A$3:$B$15000,2,FALSE),"")</f>
        <v/>
      </c>
      <c r="V4077">
        <f t="shared" si="254"/>
        <v>0</v>
      </c>
      <c r="W4077">
        <f t="shared" si="255"/>
        <v>0</v>
      </c>
    </row>
    <row r="4078" spans="5:23" x14ac:dyDescent="0.25">
      <c r="E4078" s="4"/>
      <c r="F4078" s="4"/>
      <c r="G4078" s="33" t="str">
        <f>IFERROR(VLOOKUP($D4078,'Informations sur les produits'!$A$3:$H$10000,8,FALSE),"0")</f>
        <v>0</v>
      </c>
      <c r="K4078" s="4"/>
      <c r="L4078" s="33" t="str">
        <f>IFERROR(VLOOKUP($J4078,'Informations sur les produits'!$A$3:$H$10000,8,FALSE),"0")</f>
        <v>0</v>
      </c>
      <c r="N4078" s="8"/>
      <c r="O4078" s="33" t="str">
        <f>IFERROR(VLOOKUP($M4078,'Informations sur les produits'!$A$3:$H$10000,8,FALSE),"0")</f>
        <v>0</v>
      </c>
      <c r="P4078" s="33">
        <f t="shared" si="252"/>
        <v>0</v>
      </c>
      <c r="Q4078" s="31" t="str">
        <f t="shared" si="253"/>
        <v/>
      </c>
      <c r="R4078" s="32" t="str">
        <f>IFERROR(VLOOKUP($D4078,'Informations sur les produits'!$A$3:$B$15000,2,FALSE),"")</f>
        <v/>
      </c>
      <c r="V4078">
        <f t="shared" si="254"/>
        <v>0</v>
      </c>
      <c r="W4078">
        <f t="shared" si="255"/>
        <v>0</v>
      </c>
    </row>
    <row r="4079" spans="5:23" x14ac:dyDescent="0.25">
      <c r="E4079" s="4"/>
      <c r="F4079" s="4"/>
      <c r="G4079" s="33" t="str">
        <f>IFERROR(VLOOKUP($D4079,'Informations sur les produits'!$A$3:$H$10000,8,FALSE),"0")</f>
        <v>0</v>
      </c>
      <c r="K4079" s="4"/>
      <c r="L4079" s="33" t="str">
        <f>IFERROR(VLOOKUP($J4079,'Informations sur les produits'!$A$3:$H$10000,8,FALSE),"0")</f>
        <v>0</v>
      </c>
      <c r="N4079" s="8"/>
      <c r="O4079" s="33" t="str">
        <f>IFERROR(VLOOKUP($M4079,'Informations sur les produits'!$A$3:$H$10000,8,FALSE),"0")</f>
        <v>0</v>
      </c>
      <c r="P4079" s="33">
        <f t="shared" si="252"/>
        <v>0</v>
      </c>
      <c r="Q4079" s="31" t="str">
        <f t="shared" si="253"/>
        <v/>
      </c>
      <c r="R4079" s="32" t="str">
        <f>IFERROR(VLOOKUP($D4079,'Informations sur les produits'!$A$3:$B$15000,2,FALSE),"")</f>
        <v/>
      </c>
      <c r="V4079">
        <f t="shared" si="254"/>
        <v>0</v>
      </c>
      <c r="W4079">
        <f t="shared" si="255"/>
        <v>0</v>
      </c>
    </row>
    <row r="4080" spans="5:23" x14ac:dyDescent="0.25">
      <c r="E4080" s="4"/>
      <c r="F4080" s="4"/>
      <c r="G4080" s="33" t="str">
        <f>IFERROR(VLOOKUP($D4080,'Informations sur les produits'!$A$3:$H$10000,8,FALSE),"0")</f>
        <v>0</v>
      </c>
      <c r="K4080" s="4"/>
      <c r="L4080" s="33" t="str">
        <f>IFERROR(VLOOKUP($J4080,'Informations sur les produits'!$A$3:$H$10000,8,FALSE),"0")</f>
        <v>0</v>
      </c>
      <c r="N4080" s="8"/>
      <c r="O4080" s="33" t="str">
        <f>IFERROR(VLOOKUP($M4080,'Informations sur les produits'!$A$3:$H$10000,8,FALSE),"0")</f>
        <v>0</v>
      </c>
      <c r="P4080" s="33">
        <f t="shared" si="252"/>
        <v>0</v>
      </c>
      <c r="Q4080" s="31" t="str">
        <f t="shared" si="253"/>
        <v/>
      </c>
      <c r="R4080" s="32" t="str">
        <f>IFERROR(VLOOKUP($D4080,'Informations sur les produits'!$A$3:$B$15000,2,FALSE),"")</f>
        <v/>
      </c>
      <c r="V4080">
        <f t="shared" si="254"/>
        <v>0</v>
      </c>
      <c r="W4080">
        <f t="shared" si="255"/>
        <v>0</v>
      </c>
    </row>
    <row r="4081" spans="5:23" x14ac:dyDescent="0.25">
      <c r="E4081" s="4"/>
      <c r="F4081" s="4"/>
      <c r="G4081" s="33" t="str">
        <f>IFERROR(VLOOKUP($D4081,'Informations sur les produits'!$A$3:$H$10000,8,FALSE),"0")</f>
        <v>0</v>
      </c>
      <c r="K4081" s="4"/>
      <c r="L4081" s="33" t="str">
        <f>IFERROR(VLOOKUP($J4081,'Informations sur les produits'!$A$3:$H$10000,8,FALSE),"0")</f>
        <v>0</v>
      </c>
      <c r="N4081" s="8"/>
      <c r="O4081" s="33" t="str">
        <f>IFERROR(VLOOKUP($M4081,'Informations sur les produits'!$A$3:$H$10000,8,FALSE),"0")</f>
        <v>0</v>
      </c>
      <c r="P4081" s="33">
        <f t="shared" si="252"/>
        <v>0</v>
      </c>
      <c r="Q4081" s="31" t="str">
        <f t="shared" si="253"/>
        <v/>
      </c>
      <c r="R4081" s="32" t="str">
        <f>IFERROR(VLOOKUP($D4081,'Informations sur les produits'!$A$3:$B$15000,2,FALSE),"")</f>
        <v/>
      </c>
      <c r="V4081">
        <f t="shared" si="254"/>
        <v>0</v>
      </c>
      <c r="W4081">
        <f t="shared" si="255"/>
        <v>0</v>
      </c>
    </row>
    <row r="4082" spans="5:23" x14ac:dyDescent="0.25">
      <c r="E4082" s="4"/>
      <c r="F4082" s="4"/>
      <c r="G4082" s="33" t="str">
        <f>IFERROR(VLOOKUP($D4082,'Informations sur les produits'!$A$3:$H$10000,8,FALSE),"0")</f>
        <v>0</v>
      </c>
      <c r="K4082" s="4"/>
      <c r="L4082" s="33" t="str">
        <f>IFERROR(VLOOKUP($J4082,'Informations sur les produits'!$A$3:$H$10000,8,FALSE),"0")</f>
        <v>0</v>
      </c>
      <c r="N4082" s="8"/>
      <c r="O4082" s="33" t="str">
        <f>IFERROR(VLOOKUP($M4082,'Informations sur les produits'!$A$3:$H$10000,8,FALSE),"0")</f>
        <v>0</v>
      </c>
      <c r="P4082" s="33">
        <f t="shared" si="252"/>
        <v>0</v>
      </c>
      <c r="Q4082" s="31" t="str">
        <f t="shared" si="253"/>
        <v/>
      </c>
      <c r="R4082" s="32" t="str">
        <f>IFERROR(VLOOKUP($D4082,'Informations sur les produits'!$A$3:$B$15000,2,FALSE),"")</f>
        <v/>
      </c>
      <c r="V4082">
        <f t="shared" si="254"/>
        <v>0</v>
      </c>
      <c r="W4082">
        <f t="shared" si="255"/>
        <v>0</v>
      </c>
    </row>
    <row r="4083" spans="5:23" x14ac:dyDescent="0.25">
      <c r="E4083" s="4"/>
      <c r="F4083" s="4"/>
      <c r="G4083" s="33" t="str">
        <f>IFERROR(VLOOKUP($D4083,'Informations sur les produits'!$A$3:$H$10000,8,FALSE),"0")</f>
        <v>0</v>
      </c>
      <c r="K4083" s="4"/>
      <c r="L4083" s="33" t="str">
        <f>IFERROR(VLOOKUP($J4083,'Informations sur les produits'!$A$3:$H$10000,8,FALSE),"0")</f>
        <v>0</v>
      </c>
      <c r="N4083" s="8"/>
      <c r="O4083" s="33" t="str">
        <f>IFERROR(VLOOKUP($M4083,'Informations sur les produits'!$A$3:$H$10000,8,FALSE),"0")</f>
        <v>0</v>
      </c>
      <c r="P4083" s="33">
        <f t="shared" si="252"/>
        <v>0</v>
      </c>
      <c r="Q4083" s="31" t="str">
        <f t="shared" si="253"/>
        <v/>
      </c>
      <c r="R4083" s="32" t="str">
        <f>IFERROR(VLOOKUP($D4083,'Informations sur les produits'!$A$3:$B$15000,2,FALSE),"")</f>
        <v/>
      </c>
      <c r="V4083">
        <f t="shared" si="254"/>
        <v>0</v>
      </c>
      <c r="W4083">
        <f t="shared" si="255"/>
        <v>0</v>
      </c>
    </row>
    <row r="4084" spans="5:23" x14ac:dyDescent="0.25">
      <c r="E4084" s="4"/>
      <c r="F4084" s="4"/>
      <c r="G4084" s="33" t="str">
        <f>IFERROR(VLOOKUP($D4084,'Informations sur les produits'!$A$3:$H$10000,8,FALSE),"0")</f>
        <v>0</v>
      </c>
      <c r="K4084" s="4"/>
      <c r="L4084" s="33" t="str">
        <f>IFERROR(VLOOKUP($J4084,'Informations sur les produits'!$A$3:$H$10000,8,FALSE),"0")</f>
        <v>0</v>
      </c>
      <c r="N4084" s="8"/>
      <c r="O4084" s="33" t="str">
        <f>IFERROR(VLOOKUP($M4084,'Informations sur les produits'!$A$3:$H$10000,8,FALSE),"0")</f>
        <v>0</v>
      </c>
      <c r="P4084" s="33">
        <f t="shared" si="252"/>
        <v>0</v>
      </c>
      <c r="Q4084" s="31" t="str">
        <f t="shared" si="253"/>
        <v/>
      </c>
      <c r="R4084" s="32" t="str">
        <f>IFERROR(VLOOKUP($D4084,'Informations sur les produits'!$A$3:$B$15000,2,FALSE),"")</f>
        <v/>
      </c>
      <c r="V4084">
        <f t="shared" si="254"/>
        <v>0</v>
      </c>
      <c r="W4084">
        <f t="shared" si="255"/>
        <v>0</v>
      </c>
    </row>
    <row r="4085" spans="5:23" x14ac:dyDescent="0.25">
      <c r="E4085" s="4"/>
      <c r="F4085" s="4"/>
      <c r="G4085" s="33" t="str">
        <f>IFERROR(VLOOKUP($D4085,'Informations sur les produits'!$A$3:$H$10000,8,FALSE),"0")</f>
        <v>0</v>
      </c>
      <c r="K4085" s="4"/>
      <c r="L4085" s="33" t="str">
        <f>IFERROR(VLOOKUP($J4085,'Informations sur les produits'!$A$3:$H$10000,8,FALSE),"0")</f>
        <v>0</v>
      </c>
      <c r="N4085" s="8"/>
      <c r="O4085" s="33" t="str">
        <f>IFERROR(VLOOKUP($M4085,'Informations sur les produits'!$A$3:$H$10000,8,FALSE),"0")</f>
        <v>0</v>
      </c>
      <c r="P4085" s="33">
        <f t="shared" si="252"/>
        <v>0</v>
      </c>
      <c r="Q4085" s="31" t="str">
        <f t="shared" si="253"/>
        <v/>
      </c>
      <c r="R4085" s="32" t="str">
        <f>IFERROR(VLOOKUP($D4085,'Informations sur les produits'!$A$3:$B$15000,2,FALSE),"")</f>
        <v/>
      </c>
      <c r="V4085">
        <f t="shared" si="254"/>
        <v>0</v>
      </c>
      <c r="W4085">
        <f t="shared" si="255"/>
        <v>0</v>
      </c>
    </row>
    <row r="4086" spans="5:23" x14ac:dyDescent="0.25">
      <c r="E4086" s="4"/>
      <c r="F4086" s="4"/>
      <c r="G4086" s="33" t="str">
        <f>IFERROR(VLOOKUP($D4086,'Informations sur les produits'!$A$3:$H$10000,8,FALSE),"0")</f>
        <v>0</v>
      </c>
      <c r="K4086" s="4"/>
      <c r="L4086" s="33" t="str">
        <f>IFERROR(VLOOKUP($J4086,'Informations sur les produits'!$A$3:$H$10000,8,FALSE),"0")</f>
        <v>0</v>
      </c>
      <c r="N4086" s="8"/>
      <c r="O4086" s="33" t="str">
        <f>IFERROR(VLOOKUP($M4086,'Informations sur les produits'!$A$3:$H$10000,8,FALSE),"0")</f>
        <v>0</v>
      </c>
      <c r="P4086" s="33">
        <f t="shared" si="252"/>
        <v>0</v>
      </c>
      <c r="Q4086" s="31" t="str">
        <f t="shared" si="253"/>
        <v/>
      </c>
      <c r="R4086" s="32" t="str">
        <f>IFERROR(VLOOKUP($D4086,'Informations sur les produits'!$A$3:$B$15000,2,FALSE),"")</f>
        <v/>
      </c>
      <c r="V4086">
        <f t="shared" si="254"/>
        <v>0</v>
      </c>
      <c r="W4086">
        <f t="shared" si="255"/>
        <v>0</v>
      </c>
    </row>
    <row r="4087" spans="5:23" x14ac:dyDescent="0.25">
      <c r="E4087" s="4"/>
      <c r="F4087" s="4"/>
      <c r="G4087" s="33" t="str">
        <f>IFERROR(VLOOKUP($D4087,'Informations sur les produits'!$A$3:$H$10000,8,FALSE),"0")</f>
        <v>0</v>
      </c>
      <c r="K4087" s="4"/>
      <c r="L4087" s="33" t="str">
        <f>IFERROR(VLOOKUP($J4087,'Informations sur les produits'!$A$3:$H$10000,8,FALSE),"0")</f>
        <v>0</v>
      </c>
      <c r="N4087" s="8"/>
      <c r="O4087" s="33" t="str">
        <f>IFERROR(VLOOKUP($M4087,'Informations sur les produits'!$A$3:$H$10000,8,FALSE),"0")</f>
        <v>0</v>
      </c>
      <c r="P4087" s="33">
        <f t="shared" si="252"/>
        <v>0</v>
      </c>
      <c r="Q4087" s="31" t="str">
        <f t="shared" si="253"/>
        <v/>
      </c>
      <c r="R4087" s="32" t="str">
        <f>IFERROR(VLOOKUP($D4087,'Informations sur les produits'!$A$3:$B$15000,2,FALSE),"")</f>
        <v/>
      </c>
      <c r="V4087">
        <f t="shared" si="254"/>
        <v>0</v>
      </c>
      <c r="W4087">
        <f t="shared" si="255"/>
        <v>0</v>
      </c>
    </row>
    <row r="4088" spans="5:23" x14ac:dyDescent="0.25">
      <c r="E4088" s="4"/>
      <c r="F4088" s="4"/>
      <c r="G4088" s="33" t="str">
        <f>IFERROR(VLOOKUP($D4088,'Informations sur les produits'!$A$3:$H$10000,8,FALSE),"0")</f>
        <v>0</v>
      </c>
      <c r="K4088" s="4"/>
      <c r="L4088" s="33" t="str">
        <f>IFERROR(VLOOKUP($J4088,'Informations sur les produits'!$A$3:$H$10000,8,FALSE),"0")</f>
        <v>0</v>
      </c>
      <c r="N4088" s="8"/>
      <c r="O4088" s="33" t="str">
        <f>IFERROR(VLOOKUP($M4088,'Informations sur les produits'!$A$3:$H$10000,8,FALSE),"0")</f>
        <v>0</v>
      </c>
      <c r="P4088" s="33">
        <f t="shared" si="252"/>
        <v>0</v>
      </c>
      <c r="Q4088" s="31" t="str">
        <f t="shared" si="253"/>
        <v/>
      </c>
      <c r="R4088" s="32" t="str">
        <f>IFERROR(VLOOKUP($D4088,'Informations sur les produits'!$A$3:$B$15000,2,FALSE),"")</f>
        <v/>
      </c>
      <c r="V4088">
        <f t="shared" si="254"/>
        <v>0</v>
      </c>
      <c r="W4088">
        <f t="shared" si="255"/>
        <v>0</v>
      </c>
    </row>
    <row r="4089" spans="5:23" x14ac:dyDescent="0.25">
      <c r="E4089" s="4"/>
      <c r="F4089" s="4"/>
      <c r="G4089" s="33" t="str">
        <f>IFERROR(VLOOKUP($D4089,'Informations sur les produits'!$A$3:$H$10000,8,FALSE),"0")</f>
        <v>0</v>
      </c>
      <c r="K4089" s="4"/>
      <c r="L4089" s="33" t="str">
        <f>IFERROR(VLOOKUP($J4089,'Informations sur les produits'!$A$3:$H$10000,8,FALSE),"0")</f>
        <v>0</v>
      </c>
      <c r="N4089" s="8"/>
      <c r="O4089" s="33" t="str">
        <f>IFERROR(VLOOKUP($M4089,'Informations sur les produits'!$A$3:$H$10000,8,FALSE),"0")</f>
        <v>0</v>
      </c>
      <c r="P4089" s="33">
        <f t="shared" si="252"/>
        <v>0</v>
      </c>
      <c r="Q4089" s="31" t="str">
        <f t="shared" si="253"/>
        <v/>
      </c>
      <c r="R4089" s="32" t="str">
        <f>IFERROR(VLOOKUP($D4089,'Informations sur les produits'!$A$3:$B$15000,2,FALSE),"")</f>
        <v/>
      </c>
      <c r="V4089">
        <f t="shared" si="254"/>
        <v>0</v>
      </c>
      <c r="W4089">
        <f t="shared" si="255"/>
        <v>0</v>
      </c>
    </row>
    <row r="4090" spans="5:23" x14ac:dyDescent="0.25">
      <c r="E4090" s="4"/>
      <c r="F4090" s="4"/>
      <c r="G4090" s="33" t="str">
        <f>IFERROR(VLOOKUP($D4090,'Informations sur les produits'!$A$3:$H$10000,8,FALSE),"0")</f>
        <v>0</v>
      </c>
      <c r="K4090" s="4"/>
      <c r="L4090" s="33" t="str">
        <f>IFERROR(VLOOKUP($J4090,'Informations sur les produits'!$A$3:$H$10000,8,FALSE),"0")</f>
        <v>0</v>
      </c>
      <c r="N4090" s="8"/>
      <c r="O4090" s="33" t="str">
        <f>IFERROR(VLOOKUP($M4090,'Informations sur les produits'!$A$3:$H$10000,8,FALSE),"0")</f>
        <v>0</v>
      </c>
      <c r="P4090" s="33">
        <f t="shared" si="252"/>
        <v>0</v>
      </c>
      <c r="Q4090" s="31" t="str">
        <f t="shared" si="253"/>
        <v/>
      </c>
      <c r="R4090" s="32" t="str">
        <f>IFERROR(VLOOKUP($D4090,'Informations sur les produits'!$A$3:$B$15000,2,FALSE),"")</f>
        <v/>
      </c>
      <c r="V4090">
        <f t="shared" si="254"/>
        <v>0</v>
      </c>
      <c r="W4090">
        <f t="shared" si="255"/>
        <v>0</v>
      </c>
    </row>
    <row r="4091" spans="5:23" x14ac:dyDescent="0.25">
      <c r="E4091" s="4"/>
      <c r="F4091" s="4"/>
      <c r="G4091" s="33" t="str">
        <f>IFERROR(VLOOKUP($D4091,'Informations sur les produits'!$A$3:$H$10000,8,FALSE),"0")</f>
        <v>0</v>
      </c>
      <c r="K4091" s="4"/>
      <c r="L4091" s="33" t="str">
        <f>IFERROR(VLOOKUP($J4091,'Informations sur les produits'!$A$3:$H$10000,8,FALSE),"0")</f>
        <v>0</v>
      </c>
      <c r="N4091" s="8"/>
      <c r="O4091" s="33" t="str">
        <f>IFERROR(VLOOKUP($M4091,'Informations sur les produits'!$A$3:$H$10000,8,FALSE),"0")</f>
        <v>0</v>
      </c>
      <c r="P4091" s="33">
        <f t="shared" si="252"/>
        <v>0</v>
      </c>
      <c r="Q4091" s="31" t="str">
        <f t="shared" si="253"/>
        <v/>
      </c>
      <c r="R4091" s="32" t="str">
        <f>IFERROR(VLOOKUP($D4091,'Informations sur les produits'!$A$3:$B$15000,2,FALSE),"")</f>
        <v/>
      </c>
      <c r="V4091">
        <f t="shared" si="254"/>
        <v>0</v>
      </c>
      <c r="W4091">
        <f t="shared" si="255"/>
        <v>0</v>
      </c>
    </row>
    <row r="4092" spans="5:23" x14ac:dyDescent="0.25">
      <c r="E4092" s="4"/>
      <c r="F4092" s="4"/>
      <c r="G4092" s="33" t="str">
        <f>IFERROR(VLOOKUP($D4092,'Informations sur les produits'!$A$3:$H$10000,8,FALSE),"0")</f>
        <v>0</v>
      </c>
      <c r="K4092" s="4"/>
      <c r="L4092" s="33" t="str">
        <f>IFERROR(VLOOKUP($J4092,'Informations sur les produits'!$A$3:$H$10000,8,FALSE),"0")</f>
        <v>0</v>
      </c>
      <c r="N4092" s="8"/>
      <c r="O4092" s="33" t="str">
        <f>IFERROR(VLOOKUP($M4092,'Informations sur les produits'!$A$3:$H$10000,8,FALSE),"0")</f>
        <v>0</v>
      </c>
      <c r="P4092" s="33">
        <f t="shared" si="252"/>
        <v>0</v>
      </c>
      <c r="Q4092" s="31" t="str">
        <f t="shared" si="253"/>
        <v/>
      </c>
      <c r="R4092" s="32" t="str">
        <f>IFERROR(VLOOKUP($D4092,'Informations sur les produits'!$A$3:$B$15000,2,FALSE),"")</f>
        <v/>
      </c>
      <c r="V4092">
        <f t="shared" si="254"/>
        <v>0</v>
      </c>
      <c r="W4092">
        <f t="shared" si="255"/>
        <v>0</v>
      </c>
    </row>
    <row r="4093" spans="5:23" x14ac:dyDescent="0.25">
      <c r="E4093" s="4"/>
      <c r="F4093" s="4"/>
      <c r="G4093" s="33" t="str">
        <f>IFERROR(VLOOKUP($D4093,'Informations sur les produits'!$A$3:$H$10000,8,FALSE),"0")</f>
        <v>0</v>
      </c>
      <c r="K4093" s="4"/>
      <c r="L4093" s="33" t="str">
        <f>IFERROR(VLOOKUP($J4093,'Informations sur les produits'!$A$3:$H$10000,8,FALSE),"0")</f>
        <v>0</v>
      </c>
      <c r="N4093" s="8"/>
      <c r="O4093" s="33" t="str">
        <f>IFERROR(VLOOKUP($M4093,'Informations sur les produits'!$A$3:$H$10000,8,FALSE),"0")</f>
        <v>0</v>
      </c>
      <c r="P4093" s="33">
        <f t="shared" si="252"/>
        <v>0</v>
      </c>
      <c r="Q4093" s="31" t="str">
        <f t="shared" si="253"/>
        <v/>
      </c>
      <c r="R4093" s="32" t="str">
        <f>IFERROR(VLOOKUP($D4093,'Informations sur les produits'!$A$3:$B$15000,2,FALSE),"")</f>
        <v/>
      </c>
      <c r="V4093">
        <f t="shared" si="254"/>
        <v>0</v>
      </c>
      <c r="W4093">
        <f t="shared" si="255"/>
        <v>0</v>
      </c>
    </row>
    <row r="4094" spans="5:23" x14ac:dyDescent="0.25">
      <c r="E4094" s="4"/>
      <c r="F4094" s="4"/>
      <c r="G4094" s="33" t="str">
        <f>IFERROR(VLOOKUP($D4094,'Informations sur les produits'!$A$3:$H$10000,8,FALSE),"0")</f>
        <v>0</v>
      </c>
      <c r="K4094" s="4"/>
      <c r="L4094" s="33" t="str">
        <f>IFERROR(VLOOKUP($J4094,'Informations sur les produits'!$A$3:$H$10000,8,FALSE),"0")</f>
        <v>0</v>
      </c>
      <c r="N4094" s="8"/>
      <c r="O4094" s="33" t="str">
        <f>IFERROR(VLOOKUP($M4094,'Informations sur les produits'!$A$3:$H$10000,8,FALSE),"0")</f>
        <v>0</v>
      </c>
      <c r="P4094" s="33">
        <f t="shared" si="252"/>
        <v>0</v>
      </c>
      <c r="Q4094" s="31" t="str">
        <f t="shared" si="253"/>
        <v/>
      </c>
      <c r="R4094" s="32" t="str">
        <f>IFERROR(VLOOKUP($D4094,'Informations sur les produits'!$A$3:$B$15000,2,FALSE),"")</f>
        <v/>
      </c>
      <c r="V4094">
        <f t="shared" si="254"/>
        <v>0</v>
      </c>
      <c r="W4094">
        <f t="shared" si="255"/>
        <v>0</v>
      </c>
    </row>
    <row r="4095" spans="5:23" x14ac:dyDescent="0.25">
      <c r="E4095" s="4"/>
      <c r="F4095" s="4"/>
      <c r="G4095" s="33" t="str">
        <f>IFERROR(VLOOKUP($D4095,'Informations sur les produits'!$A$3:$H$10000,8,FALSE),"0")</f>
        <v>0</v>
      </c>
      <c r="K4095" s="4"/>
      <c r="L4095" s="33" t="str">
        <f>IFERROR(VLOOKUP($J4095,'Informations sur les produits'!$A$3:$H$10000,8,FALSE),"0")</f>
        <v>0</v>
      </c>
      <c r="N4095" s="8"/>
      <c r="O4095" s="33" t="str">
        <f>IFERROR(VLOOKUP($M4095,'Informations sur les produits'!$A$3:$H$10000,8,FALSE),"0")</f>
        <v>0</v>
      </c>
      <c r="P4095" s="33">
        <f t="shared" si="252"/>
        <v>0</v>
      </c>
      <c r="Q4095" s="31" t="str">
        <f t="shared" si="253"/>
        <v/>
      </c>
      <c r="R4095" s="32" t="str">
        <f>IFERROR(VLOOKUP($D4095,'Informations sur les produits'!$A$3:$B$15000,2,FALSE),"")</f>
        <v/>
      </c>
      <c r="V4095">
        <f t="shared" si="254"/>
        <v>0</v>
      </c>
      <c r="W4095">
        <f t="shared" si="255"/>
        <v>0</v>
      </c>
    </row>
    <row r="4096" spans="5:23" x14ac:dyDescent="0.25">
      <c r="E4096" s="4"/>
      <c r="F4096" s="4"/>
      <c r="G4096" s="33" t="str">
        <f>IFERROR(VLOOKUP($D4096,'Informations sur les produits'!$A$3:$H$10000,8,FALSE),"0")</f>
        <v>0</v>
      </c>
      <c r="K4096" s="4"/>
      <c r="L4096" s="33" t="str">
        <f>IFERROR(VLOOKUP($J4096,'Informations sur les produits'!$A$3:$H$10000,8,FALSE),"0")</f>
        <v>0</v>
      </c>
      <c r="N4096" s="8"/>
      <c r="O4096" s="33" t="str">
        <f>IFERROR(VLOOKUP($M4096,'Informations sur les produits'!$A$3:$H$10000,8,FALSE),"0")</f>
        <v>0</v>
      </c>
      <c r="P4096" s="33">
        <f t="shared" si="252"/>
        <v>0</v>
      </c>
      <c r="Q4096" s="31" t="str">
        <f t="shared" si="253"/>
        <v/>
      </c>
      <c r="R4096" s="32" t="str">
        <f>IFERROR(VLOOKUP($D4096,'Informations sur les produits'!$A$3:$B$15000,2,FALSE),"")</f>
        <v/>
      </c>
      <c r="V4096">
        <f t="shared" si="254"/>
        <v>0</v>
      </c>
      <c r="W4096">
        <f t="shared" si="255"/>
        <v>0</v>
      </c>
    </row>
    <row r="4097" spans="5:23" x14ac:dyDescent="0.25">
      <c r="E4097" s="4"/>
      <c r="F4097" s="4"/>
      <c r="G4097" s="33" t="str">
        <f>IFERROR(VLOOKUP($D4097,'Informations sur les produits'!$A$3:$H$10000,8,FALSE),"0")</f>
        <v>0</v>
      </c>
      <c r="K4097" s="4"/>
      <c r="L4097" s="33" t="str">
        <f>IFERROR(VLOOKUP($J4097,'Informations sur les produits'!$A$3:$H$10000,8,FALSE),"0")</f>
        <v>0</v>
      </c>
      <c r="N4097" s="8"/>
      <c r="O4097" s="33" t="str">
        <f>IFERROR(VLOOKUP($M4097,'Informations sur les produits'!$A$3:$H$10000,8,FALSE),"0")</f>
        <v>0</v>
      </c>
      <c r="P4097" s="33">
        <f t="shared" si="252"/>
        <v>0</v>
      </c>
      <c r="Q4097" s="31" t="str">
        <f t="shared" si="253"/>
        <v/>
      </c>
      <c r="R4097" s="32" t="str">
        <f>IFERROR(VLOOKUP($D4097,'Informations sur les produits'!$A$3:$B$15000,2,FALSE),"")</f>
        <v/>
      </c>
      <c r="V4097">
        <f t="shared" si="254"/>
        <v>0</v>
      </c>
      <c r="W4097">
        <f t="shared" si="255"/>
        <v>0</v>
      </c>
    </row>
    <row r="4098" spans="5:23" x14ac:dyDescent="0.25">
      <c r="E4098" s="4"/>
      <c r="F4098" s="4"/>
      <c r="G4098" s="33" t="str">
        <f>IFERROR(VLOOKUP($D4098,'Informations sur les produits'!$A$3:$H$10000,8,FALSE),"0")</f>
        <v>0</v>
      </c>
      <c r="K4098" s="4"/>
      <c r="L4098" s="33" t="str">
        <f>IFERROR(VLOOKUP($J4098,'Informations sur les produits'!$A$3:$H$10000,8,FALSE),"0")</f>
        <v>0</v>
      </c>
      <c r="N4098" s="8"/>
      <c r="O4098" s="33" t="str">
        <f>IFERROR(VLOOKUP($M4098,'Informations sur les produits'!$A$3:$H$10000,8,FALSE),"0")</f>
        <v>0</v>
      </c>
      <c r="P4098" s="33">
        <f t="shared" si="252"/>
        <v>0</v>
      </c>
      <c r="Q4098" s="31" t="str">
        <f t="shared" si="253"/>
        <v/>
      </c>
      <c r="R4098" s="32" t="str">
        <f>IFERROR(VLOOKUP($D4098,'Informations sur les produits'!$A$3:$B$15000,2,FALSE),"")</f>
        <v/>
      </c>
      <c r="V4098">
        <f t="shared" si="254"/>
        <v>0</v>
      </c>
      <c r="W4098">
        <f t="shared" si="255"/>
        <v>0</v>
      </c>
    </row>
    <row r="4099" spans="5:23" x14ac:dyDescent="0.25">
      <c r="E4099" s="4"/>
      <c r="F4099" s="4"/>
      <c r="G4099" s="33" t="str">
        <f>IFERROR(VLOOKUP($D4099,'Informations sur les produits'!$A$3:$H$10000,8,FALSE),"0")</f>
        <v>0</v>
      </c>
      <c r="K4099" s="4"/>
      <c r="L4099" s="33" t="str">
        <f>IFERROR(VLOOKUP($J4099,'Informations sur les produits'!$A$3:$H$10000,8,FALSE),"0")</f>
        <v>0</v>
      </c>
      <c r="N4099" s="8"/>
      <c r="O4099" s="33" t="str">
        <f>IFERROR(VLOOKUP($M4099,'Informations sur les produits'!$A$3:$H$10000,8,FALSE),"0")</f>
        <v>0</v>
      </c>
      <c r="P4099" s="33">
        <f t="shared" si="252"/>
        <v>0</v>
      </c>
      <c r="Q4099" s="31" t="str">
        <f t="shared" si="253"/>
        <v/>
      </c>
      <c r="R4099" s="32" t="str">
        <f>IFERROR(VLOOKUP($D4099,'Informations sur les produits'!$A$3:$B$15000,2,FALSE),"")</f>
        <v/>
      </c>
      <c r="V4099">
        <f t="shared" si="254"/>
        <v>0</v>
      </c>
      <c r="W4099">
        <f t="shared" si="255"/>
        <v>0</v>
      </c>
    </row>
    <row r="4100" spans="5:23" x14ac:dyDescent="0.25">
      <c r="E4100" s="4"/>
      <c r="F4100" s="4"/>
      <c r="G4100" s="33" t="str">
        <f>IFERROR(VLOOKUP($D4100,'Informations sur les produits'!$A$3:$H$10000,8,FALSE),"0")</f>
        <v>0</v>
      </c>
      <c r="K4100" s="4"/>
      <c r="L4100" s="33" t="str">
        <f>IFERROR(VLOOKUP($J4100,'Informations sur les produits'!$A$3:$H$10000,8,FALSE),"0")</f>
        <v>0</v>
      </c>
      <c r="N4100" s="8"/>
      <c r="O4100" s="33" t="str">
        <f>IFERROR(VLOOKUP($M4100,'Informations sur les produits'!$A$3:$H$10000,8,FALSE),"0")</f>
        <v>0</v>
      </c>
      <c r="P4100" s="33">
        <f t="shared" ref="P4100:P4163" si="256">IFERROR((($E4100-$F4100)*$G4100+$K4100*$L4100+$N4100*$O4100),"")</f>
        <v>0</v>
      </c>
      <c r="Q4100" s="31" t="str">
        <f t="shared" ref="Q4100:Q4163" si="257">IFERROR((((($E4100-$F4100)*$G4100+$K4100*$L4100+$N4100*$O4100)*1000)/(($E4100-$F4100)+$K4100+$N4100)),"")</f>
        <v/>
      </c>
      <c r="R4100" s="32" t="str">
        <f>IFERROR(VLOOKUP($D4100,'Informations sur les produits'!$A$3:$B$15000,2,FALSE),"")</f>
        <v/>
      </c>
      <c r="V4100">
        <f t="shared" ref="V4100:V4163" si="258">IFERROR(P4100*1000,"")</f>
        <v>0</v>
      </c>
      <c r="W4100">
        <f t="shared" ref="W4100:W4163" si="259">IFERROR(($E4100-$F4100)+$K4100+$N4100,"")</f>
        <v>0</v>
      </c>
    </row>
    <row r="4101" spans="5:23" x14ac:dyDescent="0.25">
      <c r="E4101" s="4"/>
      <c r="F4101" s="4"/>
      <c r="G4101" s="33" t="str">
        <f>IFERROR(VLOOKUP($D4101,'Informations sur les produits'!$A$3:$H$10000,8,FALSE),"0")</f>
        <v>0</v>
      </c>
      <c r="K4101" s="4"/>
      <c r="L4101" s="33" t="str">
        <f>IFERROR(VLOOKUP($J4101,'Informations sur les produits'!$A$3:$H$10000,8,FALSE),"0")</f>
        <v>0</v>
      </c>
      <c r="N4101" s="8"/>
      <c r="O4101" s="33" t="str">
        <f>IFERROR(VLOOKUP($M4101,'Informations sur les produits'!$A$3:$H$10000,8,FALSE),"0")</f>
        <v>0</v>
      </c>
      <c r="P4101" s="33">
        <f t="shared" si="256"/>
        <v>0</v>
      </c>
      <c r="Q4101" s="31" t="str">
        <f t="shared" si="257"/>
        <v/>
      </c>
      <c r="R4101" s="32" t="str">
        <f>IFERROR(VLOOKUP($D4101,'Informations sur les produits'!$A$3:$B$15000,2,FALSE),"")</f>
        <v/>
      </c>
      <c r="V4101">
        <f t="shared" si="258"/>
        <v>0</v>
      </c>
      <c r="W4101">
        <f t="shared" si="259"/>
        <v>0</v>
      </c>
    </row>
    <row r="4102" spans="5:23" x14ac:dyDescent="0.25">
      <c r="E4102" s="4"/>
      <c r="F4102" s="4"/>
      <c r="G4102" s="33" t="str">
        <f>IFERROR(VLOOKUP($D4102,'Informations sur les produits'!$A$3:$H$10000,8,FALSE),"0")</f>
        <v>0</v>
      </c>
      <c r="K4102" s="4"/>
      <c r="L4102" s="33" t="str">
        <f>IFERROR(VLOOKUP($J4102,'Informations sur les produits'!$A$3:$H$10000,8,FALSE),"0")</f>
        <v>0</v>
      </c>
      <c r="N4102" s="8"/>
      <c r="O4102" s="33" t="str">
        <f>IFERROR(VLOOKUP($M4102,'Informations sur les produits'!$A$3:$H$10000,8,FALSE),"0")</f>
        <v>0</v>
      </c>
      <c r="P4102" s="33">
        <f t="shared" si="256"/>
        <v>0</v>
      </c>
      <c r="Q4102" s="31" t="str">
        <f t="shared" si="257"/>
        <v/>
      </c>
      <c r="R4102" s="32" t="str">
        <f>IFERROR(VLOOKUP($D4102,'Informations sur les produits'!$A$3:$B$15000,2,FALSE),"")</f>
        <v/>
      </c>
      <c r="V4102">
        <f t="shared" si="258"/>
        <v>0</v>
      </c>
      <c r="W4102">
        <f t="shared" si="259"/>
        <v>0</v>
      </c>
    </row>
    <row r="4103" spans="5:23" x14ac:dyDescent="0.25">
      <c r="E4103" s="4"/>
      <c r="F4103" s="4"/>
      <c r="G4103" s="33" t="str">
        <f>IFERROR(VLOOKUP($D4103,'Informations sur les produits'!$A$3:$H$10000,8,FALSE),"0")</f>
        <v>0</v>
      </c>
      <c r="K4103" s="4"/>
      <c r="L4103" s="33" t="str">
        <f>IFERROR(VLOOKUP($J4103,'Informations sur les produits'!$A$3:$H$10000,8,FALSE),"0")</f>
        <v>0</v>
      </c>
      <c r="N4103" s="8"/>
      <c r="O4103" s="33" t="str">
        <f>IFERROR(VLOOKUP($M4103,'Informations sur les produits'!$A$3:$H$10000,8,FALSE),"0")</f>
        <v>0</v>
      </c>
      <c r="P4103" s="33">
        <f t="shared" si="256"/>
        <v>0</v>
      </c>
      <c r="Q4103" s="31" t="str">
        <f t="shared" si="257"/>
        <v/>
      </c>
      <c r="R4103" s="32" t="str">
        <f>IFERROR(VLOOKUP($D4103,'Informations sur les produits'!$A$3:$B$15000,2,FALSE),"")</f>
        <v/>
      </c>
      <c r="V4103">
        <f t="shared" si="258"/>
        <v>0</v>
      </c>
      <c r="W4103">
        <f t="shared" si="259"/>
        <v>0</v>
      </c>
    </row>
    <row r="4104" spans="5:23" x14ac:dyDescent="0.25">
      <c r="E4104" s="4"/>
      <c r="F4104" s="4"/>
      <c r="G4104" s="33" t="str">
        <f>IFERROR(VLOOKUP($D4104,'Informations sur les produits'!$A$3:$H$10000,8,FALSE),"0")</f>
        <v>0</v>
      </c>
      <c r="K4104" s="4"/>
      <c r="L4104" s="33" t="str">
        <f>IFERROR(VLOOKUP($J4104,'Informations sur les produits'!$A$3:$H$10000,8,FALSE),"0")</f>
        <v>0</v>
      </c>
      <c r="N4104" s="8"/>
      <c r="O4104" s="33" t="str">
        <f>IFERROR(VLOOKUP($M4104,'Informations sur les produits'!$A$3:$H$10000,8,FALSE),"0")</f>
        <v>0</v>
      </c>
      <c r="P4104" s="33">
        <f t="shared" si="256"/>
        <v>0</v>
      </c>
      <c r="Q4104" s="31" t="str">
        <f t="shared" si="257"/>
        <v/>
      </c>
      <c r="R4104" s="32" t="str">
        <f>IFERROR(VLOOKUP($D4104,'Informations sur les produits'!$A$3:$B$15000,2,FALSE),"")</f>
        <v/>
      </c>
      <c r="V4104">
        <f t="shared" si="258"/>
        <v>0</v>
      </c>
      <c r="W4104">
        <f t="shared" si="259"/>
        <v>0</v>
      </c>
    </row>
    <row r="4105" spans="5:23" x14ac:dyDescent="0.25">
      <c r="E4105" s="4"/>
      <c r="F4105" s="4"/>
      <c r="G4105" s="33" t="str">
        <f>IFERROR(VLOOKUP($D4105,'Informations sur les produits'!$A$3:$H$10000,8,FALSE),"0")</f>
        <v>0</v>
      </c>
      <c r="K4105" s="4"/>
      <c r="L4105" s="33" t="str">
        <f>IFERROR(VLOOKUP($J4105,'Informations sur les produits'!$A$3:$H$10000,8,FALSE),"0")</f>
        <v>0</v>
      </c>
      <c r="N4105" s="8"/>
      <c r="O4105" s="33" t="str">
        <f>IFERROR(VLOOKUP($M4105,'Informations sur les produits'!$A$3:$H$10000,8,FALSE),"0")</f>
        <v>0</v>
      </c>
      <c r="P4105" s="33">
        <f t="shared" si="256"/>
        <v>0</v>
      </c>
      <c r="Q4105" s="31" t="str">
        <f t="shared" si="257"/>
        <v/>
      </c>
      <c r="R4105" s="32" t="str">
        <f>IFERROR(VLOOKUP($D4105,'Informations sur les produits'!$A$3:$B$15000,2,FALSE),"")</f>
        <v/>
      </c>
      <c r="V4105">
        <f t="shared" si="258"/>
        <v>0</v>
      </c>
      <c r="W4105">
        <f t="shared" si="259"/>
        <v>0</v>
      </c>
    </row>
    <row r="4106" spans="5:23" x14ac:dyDescent="0.25">
      <c r="E4106" s="4"/>
      <c r="F4106" s="4"/>
      <c r="G4106" s="33" t="str">
        <f>IFERROR(VLOOKUP($D4106,'Informations sur les produits'!$A$3:$H$10000,8,FALSE),"0")</f>
        <v>0</v>
      </c>
      <c r="K4106" s="4"/>
      <c r="L4106" s="33" t="str">
        <f>IFERROR(VLOOKUP($J4106,'Informations sur les produits'!$A$3:$H$10000,8,FALSE),"0")</f>
        <v>0</v>
      </c>
      <c r="N4106" s="8"/>
      <c r="O4106" s="33" t="str">
        <f>IFERROR(VLOOKUP($M4106,'Informations sur les produits'!$A$3:$H$10000,8,FALSE),"0")</f>
        <v>0</v>
      </c>
      <c r="P4106" s="33">
        <f t="shared" si="256"/>
        <v>0</v>
      </c>
      <c r="Q4106" s="31" t="str">
        <f t="shared" si="257"/>
        <v/>
      </c>
      <c r="R4106" s="32" t="str">
        <f>IFERROR(VLOOKUP($D4106,'Informations sur les produits'!$A$3:$B$15000,2,FALSE),"")</f>
        <v/>
      </c>
      <c r="V4106">
        <f t="shared" si="258"/>
        <v>0</v>
      </c>
      <c r="W4106">
        <f t="shared" si="259"/>
        <v>0</v>
      </c>
    </row>
    <row r="4107" spans="5:23" x14ac:dyDescent="0.25">
      <c r="E4107" s="4"/>
      <c r="F4107" s="4"/>
      <c r="G4107" s="33" t="str">
        <f>IFERROR(VLOOKUP($D4107,'Informations sur les produits'!$A$3:$H$10000,8,FALSE),"0")</f>
        <v>0</v>
      </c>
      <c r="K4107" s="4"/>
      <c r="L4107" s="33" t="str">
        <f>IFERROR(VLOOKUP($J4107,'Informations sur les produits'!$A$3:$H$10000,8,FALSE),"0")</f>
        <v>0</v>
      </c>
      <c r="N4107" s="8"/>
      <c r="O4107" s="33" t="str">
        <f>IFERROR(VLOOKUP($M4107,'Informations sur les produits'!$A$3:$H$10000,8,FALSE),"0")</f>
        <v>0</v>
      </c>
      <c r="P4107" s="33">
        <f t="shared" si="256"/>
        <v>0</v>
      </c>
      <c r="Q4107" s="31" t="str">
        <f t="shared" si="257"/>
        <v/>
      </c>
      <c r="R4107" s="32" t="str">
        <f>IFERROR(VLOOKUP($D4107,'Informations sur les produits'!$A$3:$B$15000,2,FALSE),"")</f>
        <v/>
      </c>
      <c r="V4107">
        <f t="shared" si="258"/>
        <v>0</v>
      </c>
      <c r="W4107">
        <f t="shared" si="259"/>
        <v>0</v>
      </c>
    </row>
    <row r="4108" spans="5:23" x14ac:dyDescent="0.25">
      <c r="E4108" s="4"/>
      <c r="F4108" s="4"/>
      <c r="G4108" s="33" t="str">
        <f>IFERROR(VLOOKUP($D4108,'Informations sur les produits'!$A$3:$H$10000,8,FALSE),"0")</f>
        <v>0</v>
      </c>
      <c r="K4108" s="4"/>
      <c r="L4108" s="33" t="str">
        <f>IFERROR(VLOOKUP($J4108,'Informations sur les produits'!$A$3:$H$10000,8,FALSE),"0")</f>
        <v>0</v>
      </c>
      <c r="N4108" s="8"/>
      <c r="O4108" s="33" t="str">
        <f>IFERROR(VLOOKUP($M4108,'Informations sur les produits'!$A$3:$H$10000,8,FALSE),"0")</f>
        <v>0</v>
      </c>
      <c r="P4108" s="33">
        <f t="shared" si="256"/>
        <v>0</v>
      </c>
      <c r="Q4108" s="31" t="str">
        <f t="shared" si="257"/>
        <v/>
      </c>
      <c r="R4108" s="32" t="str">
        <f>IFERROR(VLOOKUP($D4108,'Informations sur les produits'!$A$3:$B$15000,2,FALSE),"")</f>
        <v/>
      </c>
      <c r="V4108">
        <f t="shared" si="258"/>
        <v>0</v>
      </c>
      <c r="W4108">
        <f t="shared" si="259"/>
        <v>0</v>
      </c>
    </row>
    <row r="4109" spans="5:23" x14ac:dyDescent="0.25">
      <c r="E4109" s="4"/>
      <c r="F4109" s="4"/>
      <c r="G4109" s="33" t="str">
        <f>IFERROR(VLOOKUP($D4109,'Informations sur les produits'!$A$3:$H$10000,8,FALSE),"0")</f>
        <v>0</v>
      </c>
      <c r="K4109" s="4"/>
      <c r="L4109" s="33" t="str">
        <f>IFERROR(VLOOKUP($J4109,'Informations sur les produits'!$A$3:$H$10000,8,FALSE),"0")</f>
        <v>0</v>
      </c>
      <c r="N4109" s="8"/>
      <c r="O4109" s="33" t="str">
        <f>IFERROR(VLOOKUP($M4109,'Informations sur les produits'!$A$3:$H$10000,8,FALSE),"0")</f>
        <v>0</v>
      </c>
      <c r="P4109" s="33">
        <f t="shared" si="256"/>
        <v>0</v>
      </c>
      <c r="Q4109" s="31" t="str">
        <f t="shared" si="257"/>
        <v/>
      </c>
      <c r="R4109" s="32" t="str">
        <f>IFERROR(VLOOKUP($D4109,'Informations sur les produits'!$A$3:$B$15000,2,FALSE),"")</f>
        <v/>
      </c>
      <c r="V4109">
        <f t="shared" si="258"/>
        <v>0</v>
      </c>
      <c r="W4109">
        <f t="shared" si="259"/>
        <v>0</v>
      </c>
    </row>
    <row r="4110" spans="5:23" x14ac:dyDescent="0.25">
      <c r="E4110" s="4"/>
      <c r="F4110" s="4"/>
      <c r="G4110" s="33" t="str">
        <f>IFERROR(VLOOKUP($D4110,'Informations sur les produits'!$A$3:$H$10000,8,FALSE),"0")</f>
        <v>0</v>
      </c>
      <c r="K4110" s="4"/>
      <c r="L4110" s="33" t="str">
        <f>IFERROR(VLOOKUP($J4110,'Informations sur les produits'!$A$3:$H$10000,8,FALSE),"0")</f>
        <v>0</v>
      </c>
      <c r="N4110" s="8"/>
      <c r="O4110" s="33" t="str">
        <f>IFERROR(VLOOKUP($M4110,'Informations sur les produits'!$A$3:$H$10000,8,FALSE),"0")</f>
        <v>0</v>
      </c>
      <c r="P4110" s="33">
        <f t="shared" si="256"/>
        <v>0</v>
      </c>
      <c r="Q4110" s="31" t="str">
        <f t="shared" si="257"/>
        <v/>
      </c>
      <c r="R4110" s="32" t="str">
        <f>IFERROR(VLOOKUP($D4110,'Informations sur les produits'!$A$3:$B$15000,2,FALSE),"")</f>
        <v/>
      </c>
      <c r="V4110">
        <f t="shared" si="258"/>
        <v>0</v>
      </c>
      <c r="W4110">
        <f t="shared" si="259"/>
        <v>0</v>
      </c>
    </row>
    <row r="4111" spans="5:23" x14ac:dyDescent="0.25">
      <c r="E4111" s="4"/>
      <c r="F4111" s="4"/>
      <c r="G4111" s="33" t="str">
        <f>IFERROR(VLOOKUP($D4111,'Informations sur les produits'!$A$3:$H$10000,8,FALSE),"0")</f>
        <v>0</v>
      </c>
      <c r="K4111" s="4"/>
      <c r="L4111" s="33" t="str">
        <f>IFERROR(VLOOKUP($J4111,'Informations sur les produits'!$A$3:$H$10000,8,FALSE),"0")</f>
        <v>0</v>
      </c>
      <c r="N4111" s="8"/>
      <c r="O4111" s="33" t="str">
        <f>IFERROR(VLOOKUP($M4111,'Informations sur les produits'!$A$3:$H$10000,8,FALSE),"0")</f>
        <v>0</v>
      </c>
      <c r="P4111" s="33">
        <f t="shared" si="256"/>
        <v>0</v>
      </c>
      <c r="Q4111" s="31" t="str">
        <f t="shared" si="257"/>
        <v/>
      </c>
      <c r="R4111" s="32" t="str">
        <f>IFERROR(VLOOKUP($D4111,'Informations sur les produits'!$A$3:$B$15000,2,FALSE),"")</f>
        <v/>
      </c>
      <c r="V4111">
        <f t="shared" si="258"/>
        <v>0</v>
      </c>
      <c r="W4111">
        <f t="shared" si="259"/>
        <v>0</v>
      </c>
    </row>
    <row r="4112" spans="5:23" x14ac:dyDescent="0.25">
      <c r="E4112" s="4"/>
      <c r="F4112" s="4"/>
      <c r="G4112" s="33" t="str">
        <f>IFERROR(VLOOKUP($D4112,'Informations sur les produits'!$A$3:$H$10000,8,FALSE),"0")</f>
        <v>0</v>
      </c>
      <c r="K4112" s="4"/>
      <c r="L4112" s="33" t="str">
        <f>IFERROR(VLOOKUP($J4112,'Informations sur les produits'!$A$3:$H$10000,8,FALSE),"0")</f>
        <v>0</v>
      </c>
      <c r="N4112" s="8"/>
      <c r="O4112" s="33" t="str">
        <f>IFERROR(VLOOKUP($M4112,'Informations sur les produits'!$A$3:$H$10000,8,FALSE),"0")</f>
        <v>0</v>
      </c>
      <c r="P4112" s="33">
        <f t="shared" si="256"/>
        <v>0</v>
      </c>
      <c r="Q4112" s="31" t="str">
        <f t="shared" si="257"/>
        <v/>
      </c>
      <c r="R4112" s="32" t="str">
        <f>IFERROR(VLOOKUP($D4112,'Informations sur les produits'!$A$3:$B$15000,2,FALSE),"")</f>
        <v/>
      </c>
      <c r="V4112">
        <f t="shared" si="258"/>
        <v>0</v>
      </c>
      <c r="W4112">
        <f t="shared" si="259"/>
        <v>0</v>
      </c>
    </row>
    <row r="4113" spans="5:23" x14ac:dyDescent="0.25">
      <c r="E4113" s="4"/>
      <c r="F4113" s="4"/>
      <c r="G4113" s="33" t="str">
        <f>IFERROR(VLOOKUP($D4113,'Informations sur les produits'!$A$3:$H$10000,8,FALSE),"0")</f>
        <v>0</v>
      </c>
      <c r="K4113" s="4"/>
      <c r="L4113" s="33" t="str">
        <f>IFERROR(VLOOKUP($J4113,'Informations sur les produits'!$A$3:$H$10000,8,FALSE),"0")</f>
        <v>0</v>
      </c>
      <c r="N4113" s="8"/>
      <c r="O4113" s="33" t="str">
        <f>IFERROR(VLOOKUP($M4113,'Informations sur les produits'!$A$3:$H$10000,8,FALSE),"0")</f>
        <v>0</v>
      </c>
      <c r="P4113" s="33">
        <f t="shared" si="256"/>
        <v>0</v>
      </c>
      <c r="Q4113" s="31" t="str">
        <f t="shared" si="257"/>
        <v/>
      </c>
      <c r="R4113" s="32" t="str">
        <f>IFERROR(VLOOKUP($D4113,'Informations sur les produits'!$A$3:$B$15000,2,FALSE),"")</f>
        <v/>
      </c>
      <c r="V4113">
        <f t="shared" si="258"/>
        <v>0</v>
      </c>
      <c r="W4113">
        <f t="shared" si="259"/>
        <v>0</v>
      </c>
    </row>
    <row r="4114" spans="5:23" x14ac:dyDescent="0.25">
      <c r="E4114" s="4"/>
      <c r="F4114" s="4"/>
      <c r="G4114" s="33" t="str">
        <f>IFERROR(VLOOKUP($D4114,'Informations sur les produits'!$A$3:$H$10000,8,FALSE),"0")</f>
        <v>0</v>
      </c>
      <c r="K4114" s="4"/>
      <c r="L4114" s="33" t="str">
        <f>IFERROR(VLOOKUP($J4114,'Informations sur les produits'!$A$3:$H$10000,8,FALSE),"0")</f>
        <v>0</v>
      </c>
      <c r="N4114" s="8"/>
      <c r="O4114" s="33" t="str">
        <f>IFERROR(VLOOKUP($M4114,'Informations sur les produits'!$A$3:$H$10000,8,FALSE),"0")</f>
        <v>0</v>
      </c>
      <c r="P4114" s="33">
        <f t="shared" si="256"/>
        <v>0</v>
      </c>
      <c r="Q4114" s="31" t="str">
        <f t="shared" si="257"/>
        <v/>
      </c>
      <c r="R4114" s="32" t="str">
        <f>IFERROR(VLOOKUP($D4114,'Informations sur les produits'!$A$3:$B$15000,2,FALSE),"")</f>
        <v/>
      </c>
      <c r="V4114">
        <f t="shared" si="258"/>
        <v>0</v>
      </c>
      <c r="W4114">
        <f t="shared" si="259"/>
        <v>0</v>
      </c>
    </row>
    <row r="4115" spans="5:23" x14ac:dyDescent="0.25">
      <c r="E4115" s="4"/>
      <c r="F4115" s="4"/>
      <c r="G4115" s="33" t="str">
        <f>IFERROR(VLOOKUP($D4115,'Informations sur les produits'!$A$3:$H$10000,8,FALSE),"0")</f>
        <v>0</v>
      </c>
      <c r="K4115" s="4"/>
      <c r="L4115" s="33" t="str">
        <f>IFERROR(VLOOKUP($J4115,'Informations sur les produits'!$A$3:$H$10000,8,FALSE),"0")</f>
        <v>0</v>
      </c>
      <c r="N4115" s="8"/>
      <c r="O4115" s="33" t="str">
        <f>IFERROR(VLOOKUP($M4115,'Informations sur les produits'!$A$3:$H$10000,8,FALSE),"0")</f>
        <v>0</v>
      </c>
      <c r="P4115" s="33">
        <f t="shared" si="256"/>
        <v>0</v>
      </c>
      <c r="Q4115" s="31" t="str">
        <f t="shared" si="257"/>
        <v/>
      </c>
      <c r="R4115" s="32" t="str">
        <f>IFERROR(VLOOKUP($D4115,'Informations sur les produits'!$A$3:$B$15000,2,FALSE),"")</f>
        <v/>
      </c>
      <c r="V4115">
        <f t="shared" si="258"/>
        <v>0</v>
      </c>
      <c r="W4115">
        <f t="shared" si="259"/>
        <v>0</v>
      </c>
    </row>
    <row r="4116" spans="5:23" x14ac:dyDescent="0.25">
      <c r="E4116" s="4"/>
      <c r="F4116" s="4"/>
      <c r="G4116" s="33" t="str">
        <f>IFERROR(VLOOKUP($D4116,'Informations sur les produits'!$A$3:$H$10000,8,FALSE),"0")</f>
        <v>0</v>
      </c>
      <c r="K4116" s="4"/>
      <c r="L4116" s="33" t="str">
        <f>IFERROR(VLOOKUP($J4116,'Informations sur les produits'!$A$3:$H$10000,8,FALSE),"0")</f>
        <v>0</v>
      </c>
      <c r="N4116" s="8"/>
      <c r="O4116" s="33" t="str">
        <f>IFERROR(VLOOKUP($M4116,'Informations sur les produits'!$A$3:$H$10000,8,FALSE),"0")</f>
        <v>0</v>
      </c>
      <c r="P4116" s="33">
        <f t="shared" si="256"/>
        <v>0</v>
      </c>
      <c r="Q4116" s="31" t="str">
        <f t="shared" si="257"/>
        <v/>
      </c>
      <c r="R4116" s="32" t="str">
        <f>IFERROR(VLOOKUP($D4116,'Informations sur les produits'!$A$3:$B$15000,2,FALSE),"")</f>
        <v/>
      </c>
      <c r="V4116">
        <f t="shared" si="258"/>
        <v>0</v>
      </c>
      <c r="W4116">
        <f t="shared" si="259"/>
        <v>0</v>
      </c>
    </row>
    <row r="4117" spans="5:23" x14ac:dyDescent="0.25">
      <c r="E4117" s="4"/>
      <c r="F4117" s="4"/>
      <c r="G4117" s="33" t="str">
        <f>IFERROR(VLOOKUP($D4117,'Informations sur les produits'!$A$3:$H$10000,8,FALSE),"0")</f>
        <v>0</v>
      </c>
      <c r="K4117" s="4"/>
      <c r="L4117" s="33" t="str">
        <f>IFERROR(VLOOKUP($J4117,'Informations sur les produits'!$A$3:$H$10000,8,FALSE),"0")</f>
        <v>0</v>
      </c>
      <c r="N4117" s="8"/>
      <c r="O4117" s="33" t="str">
        <f>IFERROR(VLOOKUP($M4117,'Informations sur les produits'!$A$3:$H$10000,8,FALSE),"0")</f>
        <v>0</v>
      </c>
      <c r="P4117" s="33">
        <f t="shared" si="256"/>
        <v>0</v>
      </c>
      <c r="Q4117" s="31" t="str">
        <f t="shared" si="257"/>
        <v/>
      </c>
      <c r="R4117" s="32" t="str">
        <f>IFERROR(VLOOKUP($D4117,'Informations sur les produits'!$A$3:$B$15000,2,FALSE),"")</f>
        <v/>
      </c>
      <c r="V4117">
        <f t="shared" si="258"/>
        <v>0</v>
      </c>
      <c r="W4117">
        <f t="shared" si="259"/>
        <v>0</v>
      </c>
    </row>
    <row r="4118" spans="5:23" x14ac:dyDescent="0.25">
      <c r="E4118" s="4"/>
      <c r="F4118" s="4"/>
      <c r="G4118" s="33" t="str">
        <f>IFERROR(VLOOKUP($D4118,'Informations sur les produits'!$A$3:$H$10000,8,FALSE),"0")</f>
        <v>0</v>
      </c>
      <c r="K4118" s="4"/>
      <c r="L4118" s="33" t="str">
        <f>IFERROR(VLOOKUP($J4118,'Informations sur les produits'!$A$3:$H$10000,8,FALSE),"0")</f>
        <v>0</v>
      </c>
      <c r="N4118" s="8"/>
      <c r="O4118" s="33" t="str">
        <f>IFERROR(VLOOKUP($M4118,'Informations sur les produits'!$A$3:$H$10000,8,FALSE),"0")</f>
        <v>0</v>
      </c>
      <c r="P4118" s="33">
        <f t="shared" si="256"/>
        <v>0</v>
      </c>
      <c r="Q4118" s="31" t="str">
        <f t="shared" si="257"/>
        <v/>
      </c>
      <c r="R4118" s="32" t="str">
        <f>IFERROR(VLOOKUP($D4118,'Informations sur les produits'!$A$3:$B$15000,2,FALSE),"")</f>
        <v/>
      </c>
      <c r="V4118">
        <f t="shared" si="258"/>
        <v>0</v>
      </c>
      <c r="W4118">
        <f t="shared" si="259"/>
        <v>0</v>
      </c>
    </row>
    <row r="4119" spans="5:23" x14ac:dyDescent="0.25">
      <c r="E4119" s="4"/>
      <c r="F4119" s="4"/>
      <c r="G4119" s="33" t="str">
        <f>IFERROR(VLOOKUP($D4119,'Informations sur les produits'!$A$3:$H$10000,8,FALSE),"0")</f>
        <v>0</v>
      </c>
      <c r="K4119" s="4"/>
      <c r="L4119" s="33" t="str">
        <f>IFERROR(VLOOKUP($J4119,'Informations sur les produits'!$A$3:$H$10000,8,FALSE),"0")</f>
        <v>0</v>
      </c>
      <c r="N4119" s="8"/>
      <c r="O4119" s="33" t="str">
        <f>IFERROR(VLOOKUP($M4119,'Informations sur les produits'!$A$3:$H$10000,8,FALSE),"0")</f>
        <v>0</v>
      </c>
      <c r="P4119" s="33">
        <f t="shared" si="256"/>
        <v>0</v>
      </c>
      <c r="Q4119" s="31" t="str">
        <f t="shared" si="257"/>
        <v/>
      </c>
      <c r="R4119" s="32" t="str">
        <f>IFERROR(VLOOKUP($D4119,'Informations sur les produits'!$A$3:$B$15000,2,FALSE),"")</f>
        <v/>
      </c>
      <c r="V4119">
        <f t="shared" si="258"/>
        <v>0</v>
      </c>
      <c r="W4119">
        <f t="shared" si="259"/>
        <v>0</v>
      </c>
    </row>
    <row r="4120" spans="5:23" x14ac:dyDescent="0.25">
      <c r="E4120" s="4"/>
      <c r="F4120" s="4"/>
      <c r="G4120" s="33" t="str">
        <f>IFERROR(VLOOKUP($D4120,'Informations sur les produits'!$A$3:$H$10000,8,FALSE),"0")</f>
        <v>0</v>
      </c>
      <c r="K4120" s="4"/>
      <c r="L4120" s="33" t="str">
        <f>IFERROR(VLOOKUP($J4120,'Informations sur les produits'!$A$3:$H$10000,8,FALSE),"0")</f>
        <v>0</v>
      </c>
      <c r="N4120" s="8"/>
      <c r="O4120" s="33" t="str">
        <f>IFERROR(VLOOKUP($M4120,'Informations sur les produits'!$A$3:$H$10000,8,FALSE),"0")</f>
        <v>0</v>
      </c>
      <c r="P4120" s="33">
        <f t="shared" si="256"/>
        <v>0</v>
      </c>
      <c r="Q4120" s="31" t="str">
        <f t="shared" si="257"/>
        <v/>
      </c>
      <c r="R4120" s="32" t="str">
        <f>IFERROR(VLOOKUP($D4120,'Informations sur les produits'!$A$3:$B$15000,2,FALSE),"")</f>
        <v/>
      </c>
      <c r="V4120">
        <f t="shared" si="258"/>
        <v>0</v>
      </c>
      <c r="W4120">
        <f t="shared" si="259"/>
        <v>0</v>
      </c>
    </row>
    <row r="4121" spans="5:23" x14ac:dyDescent="0.25">
      <c r="E4121" s="4"/>
      <c r="F4121" s="4"/>
      <c r="G4121" s="33" t="str">
        <f>IFERROR(VLOOKUP($D4121,'Informations sur les produits'!$A$3:$H$10000,8,FALSE),"0")</f>
        <v>0</v>
      </c>
      <c r="K4121" s="4"/>
      <c r="L4121" s="33" t="str">
        <f>IFERROR(VLOOKUP($J4121,'Informations sur les produits'!$A$3:$H$10000,8,FALSE),"0")</f>
        <v>0</v>
      </c>
      <c r="N4121" s="8"/>
      <c r="O4121" s="33" t="str">
        <f>IFERROR(VLOOKUP($M4121,'Informations sur les produits'!$A$3:$H$10000,8,FALSE),"0")</f>
        <v>0</v>
      </c>
      <c r="P4121" s="33">
        <f t="shared" si="256"/>
        <v>0</v>
      </c>
      <c r="Q4121" s="31" t="str">
        <f t="shared" si="257"/>
        <v/>
      </c>
      <c r="R4121" s="32" t="str">
        <f>IFERROR(VLOOKUP($D4121,'Informations sur les produits'!$A$3:$B$15000,2,FALSE),"")</f>
        <v/>
      </c>
      <c r="V4121">
        <f t="shared" si="258"/>
        <v>0</v>
      </c>
      <c r="W4121">
        <f t="shared" si="259"/>
        <v>0</v>
      </c>
    </row>
    <row r="4122" spans="5:23" x14ac:dyDescent="0.25">
      <c r="E4122" s="4"/>
      <c r="F4122" s="4"/>
      <c r="G4122" s="33" t="str">
        <f>IFERROR(VLOOKUP($D4122,'Informations sur les produits'!$A$3:$H$10000,8,FALSE),"0")</f>
        <v>0</v>
      </c>
      <c r="K4122" s="4"/>
      <c r="L4122" s="33" t="str">
        <f>IFERROR(VLOOKUP($J4122,'Informations sur les produits'!$A$3:$H$10000,8,FALSE),"0")</f>
        <v>0</v>
      </c>
      <c r="N4122" s="8"/>
      <c r="O4122" s="33" t="str">
        <f>IFERROR(VLOOKUP($M4122,'Informations sur les produits'!$A$3:$H$10000,8,FALSE),"0")</f>
        <v>0</v>
      </c>
      <c r="P4122" s="33">
        <f t="shared" si="256"/>
        <v>0</v>
      </c>
      <c r="Q4122" s="31" t="str">
        <f t="shared" si="257"/>
        <v/>
      </c>
      <c r="R4122" s="32" t="str">
        <f>IFERROR(VLOOKUP($D4122,'Informations sur les produits'!$A$3:$B$15000,2,FALSE),"")</f>
        <v/>
      </c>
      <c r="V4122">
        <f t="shared" si="258"/>
        <v>0</v>
      </c>
      <c r="W4122">
        <f t="shared" si="259"/>
        <v>0</v>
      </c>
    </row>
    <row r="4123" spans="5:23" x14ac:dyDescent="0.25">
      <c r="E4123" s="4"/>
      <c r="F4123" s="4"/>
      <c r="G4123" s="33" t="str">
        <f>IFERROR(VLOOKUP($D4123,'Informations sur les produits'!$A$3:$H$10000,8,FALSE),"0")</f>
        <v>0</v>
      </c>
      <c r="K4123" s="4"/>
      <c r="L4123" s="33" t="str">
        <f>IFERROR(VLOOKUP($J4123,'Informations sur les produits'!$A$3:$H$10000,8,FALSE),"0")</f>
        <v>0</v>
      </c>
      <c r="N4123" s="8"/>
      <c r="O4123" s="33" t="str">
        <f>IFERROR(VLOOKUP($M4123,'Informations sur les produits'!$A$3:$H$10000,8,FALSE),"0")</f>
        <v>0</v>
      </c>
      <c r="P4123" s="33">
        <f t="shared" si="256"/>
        <v>0</v>
      </c>
      <c r="Q4123" s="31" t="str">
        <f t="shared" si="257"/>
        <v/>
      </c>
      <c r="R4123" s="32" t="str">
        <f>IFERROR(VLOOKUP($D4123,'Informations sur les produits'!$A$3:$B$15000,2,FALSE),"")</f>
        <v/>
      </c>
      <c r="V4123">
        <f t="shared" si="258"/>
        <v>0</v>
      </c>
      <c r="W4123">
        <f t="shared" si="259"/>
        <v>0</v>
      </c>
    </row>
    <row r="4124" spans="5:23" x14ac:dyDescent="0.25">
      <c r="E4124" s="4"/>
      <c r="F4124" s="4"/>
      <c r="G4124" s="33" t="str">
        <f>IFERROR(VLOOKUP($D4124,'Informations sur les produits'!$A$3:$H$10000,8,FALSE),"0")</f>
        <v>0</v>
      </c>
      <c r="K4124" s="4"/>
      <c r="L4124" s="33" t="str">
        <f>IFERROR(VLOOKUP($J4124,'Informations sur les produits'!$A$3:$H$10000,8,FALSE),"0")</f>
        <v>0</v>
      </c>
      <c r="N4124" s="8"/>
      <c r="O4124" s="33" t="str">
        <f>IFERROR(VLOOKUP($M4124,'Informations sur les produits'!$A$3:$H$10000,8,FALSE),"0")</f>
        <v>0</v>
      </c>
      <c r="P4124" s="33">
        <f t="shared" si="256"/>
        <v>0</v>
      </c>
      <c r="Q4124" s="31" t="str">
        <f t="shared" si="257"/>
        <v/>
      </c>
      <c r="R4124" s="32" t="str">
        <f>IFERROR(VLOOKUP($D4124,'Informations sur les produits'!$A$3:$B$15000,2,FALSE),"")</f>
        <v/>
      </c>
      <c r="V4124">
        <f t="shared" si="258"/>
        <v>0</v>
      </c>
      <c r="W4124">
        <f t="shared" si="259"/>
        <v>0</v>
      </c>
    </row>
    <row r="4125" spans="5:23" x14ac:dyDescent="0.25">
      <c r="E4125" s="4"/>
      <c r="F4125" s="4"/>
      <c r="G4125" s="33" t="str">
        <f>IFERROR(VLOOKUP($D4125,'Informations sur les produits'!$A$3:$H$10000,8,FALSE),"0")</f>
        <v>0</v>
      </c>
      <c r="K4125" s="4"/>
      <c r="L4125" s="33" t="str">
        <f>IFERROR(VLOOKUP($J4125,'Informations sur les produits'!$A$3:$H$10000,8,FALSE),"0")</f>
        <v>0</v>
      </c>
      <c r="N4125" s="8"/>
      <c r="O4125" s="33" t="str">
        <f>IFERROR(VLOOKUP($M4125,'Informations sur les produits'!$A$3:$H$10000,8,FALSE),"0")</f>
        <v>0</v>
      </c>
      <c r="P4125" s="33">
        <f t="shared" si="256"/>
        <v>0</v>
      </c>
      <c r="Q4125" s="31" t="str">
        <f t="shared" si="257"/>
        <v/>
      </c>
      <c r="R4125" s="32" t="str">
        <f>IFERROR(VLOOKUP($D4125,'Informations sur les produits'!$A$3:$B$15000,2,FALSE),"")</f>
        <v/>
      </c>
      <c r="V4125">
        <f t="shared" si="258"/>
        <v>0</v>
      </c>
      <c r="W4125">
        <f t="shared" si="259"/>
        <v>0</v>
      </c>
    </row>
    <row r="4126" spans="5:23" x14ac:dyDescent="0.25">
      <c r="E4126" s="4"/>
      <c r="F4126" s="4"/>
      <c r="G4126" s="33" t="str">
        <f>IFERROR(VLOOKUP($D4126,'Informations sur les produits'!$A$3:$H$10000,8,FALSE),"0")</f>
        <v>0</v>
      </c>
      <c r="K4126" s="4"/>
      <c r="L4126" s="33" t="str">
        <f>IFERROR(VLOOKUP($J4126,'Informations sur les produits'!$A$3:$H$10000,8,FALSE),"0")</f>
        <v>0</v>
      </c>
      <c r="N4126" s="8"/>
      <c r="O4126" s="33" t="str">
        <f>IFERROR(VLOOKUP($M4126,'Informations sur les produits'!$A$3:$H$10000,8,FALSE),"0")</f>
        <v>0</v>
      </c>
      <c r="P4126" s="33">
        <f t="shared" si="256"/>
        <v>0</v>
      </c>
      <c r="Q4126" s="31" t="str">
        <f t="shared" si="257"/>
        <v/>
      </c>
      <c r="R4126" s="32" t="str">
        <f>IFERROR(VLOOKUP($D4126,'Informations sur les produits'!$A$3:$B$15000,2,FALSE),"")</f>
        <v/>
      </c>
      <c r="V4126">
        <f t="shared" si="258"/>
        <v>0</v>
      </c>
      <c r="W4126">
        <f t="shared" si="259"/>
        <v>0</v>
      </c>
    </row>
    <row r="4127" spans="5:23" x14ac:dyDescent="0.25">
      <c r="E4127" s="4"/>
      <c r="F4127" s="4"/>
      <c r="G4127" s="33" t="str">
        <f>IFERROR(VLOOKUP($D4127,'Informations sur les produits'!$A$3:$H$10000,8,FALSE),"0")</f>
        <v>0</v>
      </c>
      <c r="K4127" s="4"/>
      <c r="L4127" s="33" t="str">
        <f>IFERROR(VLOOKUP($J4127,'Informations sur les produits'!$A$3:$H$10000,8,FALSE),"0")</f>
        <v>0</v>
      </c>
      <c r="N4127" s="8"/>
      <c r="O4127" s="33" t="str">
        <f>IFERROR(VLOOKUP($M4127,'Informations sur les produits'!$A$3:$H$10000,8,FALSE),"0")</f>
        <v>0</v>
      </c>
      <c r="P4127" s="33">
        <f t="shared" si="256"/>
        <v>0</v>
      </c>
      <c r="Q4127" s="31" t="str">
        <f t="shared" si="257"/>
        <v/>
      </c>
      <c r="R4127" s="32" t="str">
        <f>IFERROR(VLOOKUP($D4127,'Informations sur les produits'!$A$3:$B$15000,2,FALSE),"")</f>
        <v/>
      </c>
      <c r="V4127">
        <f t="shared" si="258"/>
        <v>0</v>
      </c>
      <c r="W4127">
        <f t="shared" si="259"/>
        <v>0</v>
      </c>
    </row>
    <row r="4128" spans="5:23" x14ac:dyDescent="0.25">
      <c r="E4128" s="4"/>
      <c r="F4128" s="4"/>
      <c r="G4128" s="33" t="str">
        <f>IFERROR(VLOOKUP($D4128,'Informations sur les produits'!$A$3:$H$10000,8,FALSE),"0")</f>
        <v>0</v>
      </c>
      <c r="K4128" s="4"/>
      <c r="L4128" s="33" t="str">
        <f>IFERROR(VLOOKUP($J4128,'Informations sur les produits'!$A$3:$H$10000,8,FALSE),"0")</f>
        <v>0</v>
      </c>
      <c r="N4128" s="8"/>
      <c r="O4128" s="33" t="str">
        <f>IFERROR(VLOOKUP($M4128,'Informations sur les produits'!$A$3:$H$10000,8,FALSE),"0")</f>
        <v>0</v>
      </c>
      <c r="P4128" s="33">
        <f t="shared" si="256"/>
        <v>0</v>
      </c>
      <c r="Q4128" s="31" t="str">
        <f t="shared" si="257"/>
        <v/>
      </c>
      <c r="R4128" s="32" t="str">
        <f>IFERROR(VLOOKUP($D4128,'Informations sur les produits'!$A$3:$B$15000,2,FALSE),"")</f>
        <v/>
      </c>
      <c r="V4128">
        <f t="shared" si="258"/>
        <v>0</v>
      </c>
      <c r="W4128">
        <f t="shared" si="259"/>
        <v>0</v>
      </c>
    </row>
    <row r="4129" spans="5:23" x14ac:dyDescent="0.25">
      <c r="E4129" s="4"/>
      <c r="F4129" s="4"/>
      <c r="G4129" s="33" t="str">
        <f>IFERROR(VLOOKUP($D4129,'Informations sur les produits'!$A$3:$H$10000,8,FALSE),"0")</f>
        <v>0</v>
      </c>
      <c r="K4129" s="4"/>
      <c r="L4129" s="33" t="str">
        <f>IFERROR(VLOOKUP($J4129,'Informations sur les produits'!$A$3:$H$10000,8,FALSE),"0")</f>
        <v>0</v>
      </c>
      <c r="N4129" s="8"/>
      <c r="O4129" s="33" t="str">
        <f>IFERROR(VLOOKUP($M4129,'Informations sur les produits'!$A$3:$H$10000,8,FALSE),"0")</f>
        <v>0</v>
      </c>
      <c r="P4129" s="33">
        <f t="shared" si="256"/>
        <v>0</v>
      </c>
      <c r="Q4129" s="31" t="str">
        <f t="shared" si="257"/>
        <v/>
      </c>
      <c r="R4129" s="32" t="str">
        <f>IFERROR(VLOOKUP($D4129,'Informations sur les produits'!$A$3:$B$15000,2,FALSE),"")</f>
        <v/>
      </c>
      <c r="V4129">
        <f t="shared" si="258"/>
        <v>0</v>
      </c>
      <c r="W4129">
        <f t="shared" si="259"/>
        <v>0</v>
      </c>
    </row>
    <row r="4130" spans="5:23" x14ac:dyDescent="0.25">
      <c r="E4130" s="4"/>
      <c r="F4130" s="4"/>
      <c r="G4130" s="33" t="str">
        <f>IFERROR(VLOOKUP($D4130,'Informations sur les produits'!$A$3:$H$10000,8,FALSE),"0")</f>
        <v>0</v>
      </c>
      <c r="K4130" s="4"/>
      <c r="L4130" s="33" t="str">
        <f>IFERROR(VLOOKUP($J4130,'Informations sur les produits'!$A$3:$H$10000,8,FALSE),"0")</f>
        <v>0</v>
      </c>
      <c r="N4130" s="8"/>
      <c r="O4130" s="33" t="str">
        <f>IFERROR(VLOOKUP($M4130,'Informations sur les produits'!$A$3:$H$10000,8,FALSE),"0")</f>
        <v>0</v>
      </c>
      <c r="P4130" s="33">
        <f t="shared" si="256"/>
        <v>0</v>
      </c>
      <c r="Q4130" s="31" t="str">
        <f t="shared" si="257"/>
        <v/>
      </c>
      <c r="R4130" s="32" t="str">
        <f>IFERROR(VLOOKUP($D4130,'Informations sur les produits'!$A$3:$B$15000,2,FALSE),"")</f>
        <v/>
      </c>
      <c r="V4130">
        <f t="shared" si="258"/>
        <v>0</v>
      </c>
      <c r="W4130">
        <f t="shared" si="259"/>
        <v>0</v>
      </c>
    </row>
    <row r="4131" spans="5:23" x14ac:dyDescent="0.25">
      <c r="E4131" s="4"/>
      <c r="F4131" s="4"/>
      <c r="G4131" s="33" t="str">
        <f>IFERROR(VLOOKUP($D4131,'Informations sur les produits'!$A$3:$H$10000,8,FALSE),"0")</f>
        <v>0</v>
      </c>
      <c r="K4131" s="4"/>
      <c r="L4131" s="33" t="str">
        <f>IFERROR(VLOOKUP($J4131,'Informations sur les produits'!$A$3:$H$10000,8,FALSE),"0")</f>
        <v>0</v>
      </c>
      <c r="N4131" s="8"/>
      <c r="O4131" s="33" t="str">
        <f>IFERROR(VLOOKUP($M4131,'Informations sur les produits'!$A$3:$H$10000,8,FALSE),"0")</f>
        <v>0</v>
      </c>
      <c r="P4131" s="33">
        <f t="shared" si="256"/>
        <v>0</v>
      </c>
      <c r="Q4131" s="31" t="str">
        <f t="shared" si="257"/>
        <v/>
      </c>
      <c r="R4131" s="32" t="str">
        <f>IFERROR(VLOOKUP($D4131,'Informations sur les produits'!$A$3:$B$15000,2,FALSE),"")</f>
        <v/>
      </c>
      <c r="V4131">
        <f t="shared" si="258"/>
        <v>0</v>
      </c>
      <c r="W4131">
        <f t="shared" si="259"/>
        <v>0</v>
      </c>
    </row>
    <row r="4132" spans="5:23" x14ac:dyDescent="0.25">
      <c r="E4132" s="4"/>
      <c r="F4132" s="4"/>
      <c r="G4132" s="33" t="str">
        <f>IFERROR(VLOOKUP($D4132,'Informations sur les produits'!$A$3:$H$10000,8,FALSE),"0")</f>
        <v>0</v>
      </c>
      <c r="K4132" s="4"/>
      <c r="L4132" s="33" t="str">
        <f>IFERROR(VLOOKUP($J4132,'Informations sur les produits'!$A$3:$H$10000,8,FALSE),"0")</f>
        <v>0</v>
      </c>
      <c r="N4132" s="8"/>
      <c r="O4132" s="33" t="str">
        <f>IFERROR(VLOOKUP($M4132,'Informations sur les produits'!$A$3:$H$10000,8,FALSE),"0")</f>
        <v>0</v>
      </c>
      <c r="P4132" s="33">
        <f t="shared" si="256"/>
        <v>0</v>
      </c>
      <c r="Q4132" s="31" t="str">
        <f t="shared" si="257"/>
        <v/>
      </c>
      <c r="R4132" s="32" t="str">
        <f>IFERROR(VLOOKUP($D4132,'Informations sur les produits'!$A$3:$B$15000,2,FALSE),"")</f>
        <v/>
      </c>
      <c r="V4132">
        <f t="shared" si="258"/>
        <v>0</v>
      </c>
      <c r="W4132">
        <f t="shared" si="259"/>
        <v>0</v>
      </c>
    </row>
    <row r="4133" spans="5:23" x14ac:dyDescent="0.25">
      <c r="E4133" s="4"/>
      <c r="F4133" s="4"/>
      <c r="G4133" s="33" t="str">
        <f>IFERROR(VLOOKUP($D4133,'Informations sur les produits'!$A$3:$H$10000,8,FALSE),"0")</f>
        <v>0</v>
      </c>
      <c r="K4133" s="4"/>
      <c r="L4133" s="33" t="str">
        <f>IFERROR(VLOOKUP($J4133,'Informations sur les produits'!$A$3:$H$10000,8,FALSE),"0")</f>
        <v>0</v>
      </c>
      <c r="N4133" s="8"/>
      <c r="O4133" s="33" t="str">
        <f>IFERROR(VLOOKUP($M4133,'Informations sur les produits'!$A$3:$H$10000,8,FALSE),"0")</f>
        <v>0</v>
      </c>
      <c r="P4133" s="33">
        <f t="shared" si="256"/>
        <v>0</v>
      </c>
      <c r="Q4133" s="31" t="str">
        <f t="shared" si="257"/>
        <v/>
      </c>
      <c r="R4133" s="32" t="str">
        <f>IFERROR(VLOOKUP($D4133,'Informations sur les produits'!$A$3:$B$15000,2,FALSE),"")</f>
        <v/>
      </c>
      <c r="V4133">
        <f t="shared" si="258"/>
        <v>0</v>
      </c>
      <c r="W4133">
        <f t="shared" si="259"/>
        <v>0</v>
      </c>
    </row>
    <row r="4134" spans="5:23" x14ac:dyDescent="0.25">
      <c r="E4134" s="4"/>
      <c r="F4134" s="4"/>
      <c r="G4134" s="33" t="str">
        <f>IFERROR(VLOOKUP($D4134,'Informations sur les produits'!$A$3:$H$10000,8,FALSE),"0")</f>
        <v>0</v>
      </c>
      <c r="K4134" s="4"/>
      <c r="L4134" s="33" t="str">
        <f>IFERROR(VLOOKUP($J4134,'Informations sur les produits'!$A$3:$H$10000,8,FALSE),"0")</f>
        <v>0</v>
      </c>
      <c r="N4134" s="8"/>
      <c r="O4134" s="33" t="str">
        <f>IFERROR(VLOOKUP($M4134,'Informations sur les produits'!$A$3:$H$10000,8,FALSE),"0")</f>
        <v>0</v>
      </c>
      <c r="P4134" s="33">
        <f t="shared" si="256"/>
        <v>0</v>
      </c>
      <c r="Q4134" s="31" t="str">
        <f t="shared" si="257"/>
        <v/>
      </c>
      <c r="R4134" s="32" t="str">
        <f>IFERROR(VLOOKUP($D4134,'Informations sur les produits'!$A$3:$B$15000,2,FALSE),"")</f>
        <v/>
      </c>
      <c r="V4134">
        <f t="shared" si="258"/>
        <v>0</v>
      </c>
      <c r="W4134">
        <f t="shared" si="259"/>
        <v>0</v>
      </c>
    </row>
    <row r="4135" spans="5:23" x14ac:dyDescent="0.25">
      <c r="E4135" s="4"/>
      <c r="F4135" s="4"/>
      <c r="G4135" s="33" t="str">
        <f>IFERROR(VLOOKUP($D4135,'Informations sur les produits'!$A$3:$H$10000,8,FALSE),"0")</f>
        <v>0</v>
      </c>
      <c r="K4135" s="4"/>
      <c r="L4135" s="33" t="str">
        <f>IFERROR(VLOOKUP($J4135,'Informations sur les produits'!$A$3:$H$10000,8,FALSE),"0")</f>
        <v>0</v>
      </c>
      <c r="N4135" s="8"/>
      <c r="O4135" s="33" t="str">
        <f>IFERROR(VLOOKUP($M4135,'Informations sur les produits'!$A$3:$H$10000,8,FALSE),"0")</f>
        <v>0</v>
      </c>
      <c r="P4135" s="33">
        <f t="shared" si="256"/>
        <v>0</v>
      </c>
      <c r="Q4135" s="31" t="str">
        <f t="shared" si="257"/>
        <v/>
      </c>
      <c r="R4135" s="32" t="str">
        <f>IFERROR(VLOOKUP($D4135,'Informations sur les produits'!$A$3:$B$15000,2,FALSE),"")</f>
        <v/>
      </c>
      <c r="V4135">
        <f t="shared" si="258"/>
        <v>0</v>
      </c>
      <c r="W4135">
        <f t="shared" si="259"/>
        <v>0</v>
      </c>
    </row>
    <row r="4136" spans="5:23" x14ac:dyDescent="0.25">
      <c r="E4136" s="4"/>
      <c r="F4136" s="4"/>
      <c r="G4136" s="33" t="str">
        <f>IFERROR(VLOOKUP($D4136,'Informations sur les produits'!$A$3:$H$10000,8,FALSE),"0")</f>
        <v>0</v>
      </c>
      <c r="K4136" s="4"/>
      <c r="L4136" s="33" t="str">
        <f>IFERROR(VLOOKUP($J4136,'Informations sur les produits'!$A$3:$H$10000,8,FALSE),"0")</f>
        <v>0</v>
      </c>
      <c r="N4136" s="8"/>
      <c r="O4136" s="33" t="str">
        <f>IFERROR(VLOOKUP($M4136,'Informations sur les produits'!$A$3:$H$10000,8,FALSE),"0")</f>
        <v>0</v>
      </c>
      <c r="P4136" s="33">
        <f t="shared" si="256"/>
        <v>0</v>
      </c>
      <c r="Q4136" s="31" t="str">
        <f t="shared" si="257"/>
        <v/>
      </c>
      <c r="R4136" s="32" t="str">
        <f>IFERROR(VLOOKUP($D4136,'Informations sur les produits'!$A$3:$B$15000,2,FALSE),"")</f>
        <v/>
      </c>
      <c r="V4136">
        <f t="shared" si="258"/>
        <v>0</v>
      </c>
      <c r="W4136">
        <f t="shared" si="259"/>
        <v>0</v>
      </c>
    </row>
    <row r="4137" spans="5:23" x14ac:dyDescent="0.25">
      <c r="E4137" s="4"/>
      <c r="F4137" s="4"/>
      <c r="G4137" s="33" t="str">
        <f>IFERROR(VLOOKUP($D4137,'Informations sur les produits'!$A$3:$H$10000,8,FALSE),"0")</f>
        <v>0</v>
      </c>
      <c r="K4137" s="4"/>
      <c r="L4137" s="33" t="str">
        <f>IFERROR(VLOOKUP($J4137,'Informations sur les produits'!$A$3:$H$10000,8,FALSE),"0")</f>
        <v>0</v>
      </c>
      <c r="N4137" s="8"/>
      <c r="O4137" s="33" t="str">
        <f>IFERROR(VLOOKUP($M4137,'Informations sur les produits'!$A$3:$H$10000,8,FALSE),"0")</f>
        <v>0</v>
      </c>
      <c r="P4137" s="33">
        <f t="shared" si="256"/>
        <v>0</v>
      </c>
      <c r="Q4137" s="31" t="str">
        <f t="shared" si="257"/>
        <v/>
      </c>
      <c r="R4137" s="32" t="str">
        <f>IFERROR(VLOOKUP($D4137,'Informations sur les produits'!$A$3:$B$15000,2,FALSE),"")</f>
        <v/>
      </c>
      <c r="V4137">
        <f t="shared" si="258"/>
        <v>0</v>
      </c>
      <c r="W4137">
        <f t="shared" si="259"/>
        <v>0</v>
      </c>
    </row>
    <row r="4138" spans="5:23" x14ac:dyDescent="0.25">
      <c r="E4138" s="4"/>
      <c r="F4138" s="4"/>
      <c r="G4138" s="33" t="str">
        <f>IFERROR(VLOOKUP($D4138,'Informations sur les produits'!$A$3:$H$10000,8,FALSE),"0")</f>
        <v>0</v>
      </c>
      <c r="K4138" s="4"/>
      <c r="L4138" s="33" t="str">
        <f>IFERROR(VLOOKUP($J4138,'Informations sur les produits'!$A$3:$H$10000,8,FALSE),"0")</f>
        <v>0</v>
      </c>
      <c r="N4138" s="8"/>
      <c r="O4138" s="33" t="str">
        <f>IFERROR(VLOOKUP($M4138,'Informations sur les produits'!$A$3:$H$10000,8,FALSE),"0")</f>
        <v>0</v>
      </c>
      <c r="P4138" s="33">
        <f t="shared" si="256"/>
        <v>0</v>
      </c>
      <c r="Q4138" s="31" t="str">
        <f t="shared" si="257"/>
        <v/>
      </c>
      <c r="R4138" s="32" t="str">
        <f>IFERROR(VLOOKUP($D4138,'Informations sur les produits'!$A$3:$B$15000,2,FALSE),"")</f>
        <v/>
      </c>
      <c r="V4138">
        <f t="shared" si="258"/>
        <v>0</v>
      </c>
      <c r="W4138">
        <f t="shared" si="259"/>
        <v>0</v>
      </c>
    </row>
    <row r="4139" spans="5:23" x14ac:dyDescent="0.25">
      <c r="E4139" s="4"/>
      <c r="F4139" s="4"/>
      <c r="G4139" s="33" t="str">
        <f>IFERROR(VLOOKUP($D4139,'Informations sur les produits'!$A$3:$H$10000,8,FALSE),"0")</f>
        <v>0</v>
      </c>
      <c r="K4139" s="4"/>
      <c r="L4139" s="33" t="str">
        <f>IFERROR(VLOOKUP($J4139,'Informations sur les produits'!$A$3:$H$10000,8,FALSE),"0")</f>
        <v>0</v>
      </c>
      <c r="N4139" s="8"/>
      <c r="O4139" s="33" t="str">
        <f>IFERROR(VLOOKUP($M4139,'Informations sur les produits'!$A$3:$H$10000,8,FALSE),"0")</f>
        <v>0</v>
      </c>
      <c r="P4139" s="33">
        <f t="shared" si="256"/>
        <v>0</v>
      </c>
      <c r="Q4139" s="31" t="str">
        <f t="shared" si="257"/>
        <v/>
      </c>
      <c r="R4139" s="32" t="str">
        <f>IFERROR(VLOOKUP($D4139,'Informations sur les produits'!$A$3:$B$15000,2,FALSE),"")</f>
        <v/>
      </c>
      <c r="V4139">
        <f t="shared" si="258"/>
        <v>0</v>
      </c>
      <c r="W4139">
        <f t="shared" si="259"/>
        <v>0</v>
      </c>
    </row>
    <row r="4140" spans="5:23" x14ac:dyDescent="0.25">
      <c r="E4140" s="4"/>
      <c r="F4140" s="4"/>
      <c r="G4140" s="33" t="str">
        <f>IFERROR(VLOOKUP($D4140,'Informations sur les produits'!$A$3:$H$10000,8,FALSE),"0")</f>
        <v>0</v>
      </c>
      <c r="K4140" s="4"/>
      <c r="L4140" s="33" t="str">
        <f>IFERROR(VLOOKUP($J4140,'Informations sur les produits'!$A$3:$H$10000,8,FALSE),"0")</f>
        <v>0</v>
      </c>
      <c r="N4140" s="8"/>
      <c r="O4140" s="33" t="str">
        <f>IFERROR(VLOOKUP($M4140,'Informations sur les produits'!$A$3:$H$10000,8,FALSE),"0")</f>
        <v>0</v>
      </c>
      <c r="P4140" s="33">
        <f t="shared" si="256"/>
        <v>0</v>
      </c>
      <c r="Q4140" s="31" t="str">
        <f t="shared" si="257"/>
        <v/>
      </c>
      <c r="R4140" s="32" t="str">
        <f>IFERROR(VLOOKUP($D4140,'Informations sur les produits'!$A$3:$B$15000,2,FALSE),"")</f>
        <v/>
      </c>
      <c r="V4140">
        <f t="shared" si="258"/>
        <v>0</v>
      </c>
      <c r="W4140">
        <f t="shared" si="259"/>
        <v>0</v>
      </c>
    </row>
    <row r="4141" spans="5:23" x14ac:dyDescent="0.25">
      <c r="E4141" s="4"/>
      <c r="F4141" s="4"/>
      <c r="G4141" s="33" t="str">
        <f>IFERROR(VLOOKUP($D4141,'Informations sur les produits'!$A$3:$H$10000,8,FALSE),"0")</f>
        <v>0</v>
      </c>
      <c r="K4141" s="4"/>
      <c r="L4141" s="33" t="str">
        <f>IFERROR(VLOOKUP($J4141,'Informations sur les produits'!$A$3:$H$10000,8,FALSE),"0")</f>
        <v>0</v>
      </c>
      <c r="N4141" s="8"/>
      <c r="O4141" s="33" t="str">
        <f>IFERROR(VLOOKUP($M4141,'Informations sur les produits'!$A$3:$H$10000,8,FALSE),"0")</f>
        <v>0</v>
      </c>
      <c r="P4141" s="33">
        <f t="shared" si="256"/>
        <v>0</v>
      </c>
      <c r="Q4141" s="31" t="str">
        <f t="shared" si="257"/>
        <v/>
      </c>
      <c r="R4141" s="32" t="str">
        <f>IFERROR(VLOOKUP($D4141,'Informations sur les produits'!$A$3:$B$15000,2,FALSE),"")</f>
        <v/>
      </c>
      <c r="V4141">
        <f t="shared" si="258"/>
        <v>0</v>
      </c>
      <c r="W4141">
        <f t="shared" si="259"/>
        <v>0</v>
      </c>
    </row>
    <row r="4142" spans="5:23" x14ac:dyDescent="0.25">
      <c r="E4142" s="4"/>
      <c r="F4142" s="4"/>
      <c r="G4142" s="33" t="str">
        <f>IFERROR(VLOOKUP($D4142,'Informations sur les produits'!$A$3:$H$10000,8,FALSE),"0")</f>
        <v>0</v>
      </c>
      <c r="K4142" s="4"/>
      <c r="L4142" s="33" t="str">
        <f>IFERROR(VLOOKUP($J4142,'Informations sur les produits'!$A$3:$H$10000,8,FALSE),"0")</f>
        <v>0</v>
      </c>
      <c r="N4142" s="8"/>
      <c r="O4142" s="33" t="str">
        <f>IFERROR(VLOOKUP($M4142,'Informations sur les produits'!$A$3:$H$10000,8,FALSE),"0")</f>
        <v>0</v>
      </c>
      <c r="P4142" s="33">
        <f t="shared" si="256"/>
        <v>0</v>
      </c>
      <c r="Q4142" s="31" t="str">
        <f t="shared" si="257"/>
        <v/>
      </c>
      <c r="R4142" s="32" t="str">
        <f>IFERROR(VLOOKUP($D4142,'Informations sur les produits'!$A$3:$B$15000,2,FALSE),"")</f>
        <v/>
      </c>
      <c r="V4142">
        <f t="shared" si="258"/>
        <v>0</v>
      </c>
      <c r="W4142">
        <f t="shared" si="259"/>
        <v>0</v>
      </c>
    </row>
    <row r="4143" spans="5:23" x14ac:dyDescent="0.25">
      <c r="E4143" s="4"/>
      <c r="F4143" s="4"/>
      <c r="G4143" s="33" t="str">
        <f>IFERROR(VLOOKUP($D4143,'Informations sur les produits'!$A$3:$H$10000,8,FALSE),"0")</f>
        <v>0</v>
      </c>
      <c r="K4143" s="4"/>
      <c r="L4143" s="33" t="str">
        <f>IFERROR(VLOOKUP($J4143,'Informations sur les produits'!$A$3:$H$10000,8,FALSE),"0")</f>
        <v>0</v>
      </c>
      <c r="N4143" s="8"/>
      <c r="O4143" s="33" t="str">
        <f>IFERROR(VLOOKUP($M4143,'Informations sur les produits'!$A$3:$H$10000,8,FALSE),"0")</f>
        <v>0</v>
      </c>
      <c r="P4143" s="33">
        <f t="shared" si="256"/>
        <v>0</v>
      </c>
      <c r="Q4143" s="31" t="str">
        <f t="shared" si="257"/>
        <v/>
      </c>
      <c r="R4143" s="32" t="str">
        <f>IFERROR(VLOOKUP($D4143,'Informations sur les produits'!$A$3:$B$15000,2,FALSE),"")</f>
        <v/>
      </c>
      <c r="V4143">
        <f t="shared" si="258"/>
        <v>0</v>
      </c>
      <c r="W4143">
        <f t="shared" si="259"/>
        <v>0</v>
      </c>
    </row>
    <row r="4144" spans="5:23" x14ac:dyDescent="0.25">
      <c r="E4144" s="4"/>
      <c r="F4144" s="4"/>
      <c r="G4144" s="33" t="str">
        <f>IFERROR(VLOOKUP($D4144,'Informations sur les produits'!$A$3:$H$10000,8,FALSE),"0")</f>
        <v>0</v>
      </c>
      <c r="K4144" s="4"/>
      <c r="L4144" s="33" t="str">
        <f>IFERROR(VLOOKUP($J4144,'Informations sur les produits'!$A$3:$H$10000,8,FALSE),"0")</f>
        <v>0</v>
      </c>
      <c r="N4144" s="8"/>
      <c r="O4144" s="33" t="str">
        <f>IFERROR(VLOOKUP($M4144,'Informations sur les produits'!$A$3:$H$10000,8,FALSE),"0")</f>
        <v>0</v>
      </c>
      <c r="P4144" s="33">
        <f t="shared" si="256"/>
        <v>0</v>
      </c>
      <c r="Q4144" s="31" t="str">
        <f t="shared" si="257"/>
        <v/>
      </c>
      <c r="R4144" s="32" t="str">
        <f>IFERROR(VLOOKUP($D4144,'Informations sur les produits'!$A$3:$B$15000,2,FALSE),"")</f>
        <v/>
      </c>
      <c r="V4144">
        <f t="shared" si="258"/>
        <v>0</v>
      </c>
      <c r="W4144">
        <f t="shared" si="259"/>
        <v>0</v>
      </c>
    </row>
    <row r="4145" spans="5:23" x14ac:dyDescent="0.25">
      <c r="E4145" s="4"/>
      <c r="F4145" s="4"/>
      <c r="G4145" s="33" t="str">
        <f>IFERROR(VLOOKUP($D4145,'Informations sur les produits'!$A$3:$H$10000,8,FALSE),"0")</f>
        <v>0</v>
      </c>
      <c r="K4145" s="4"/>
      <c r="L4145" s="33" t="str">
        <f>IFERROR(VLOOKUP($J4145,'Informations sur les produits'!$A$3:$H$10000,8,FALSE),"0")</f>
        <v>0</v>
      </c>
      <c r="N4145" s="8"/>
      <c r="O4145" s="33" t="str">
        <f>IFERROR(VLOOKUP($M4145,'Informations sur les produits'!$A$3:$H$10000,8,FALSE),"0")</f>
        <v>0</v>
      </c>
      <c r="P4145" s="33">
        <f t="shared" si="256"/>
        <v>0</v>
      </c>
      <c r="Q4145" s="31" t="str">
        <f t="shared" si="257"/>
        <v/>
      </c>
      <c r="R4145" s="32" t="str">
        <f>IFERROR(VLOOKUP($D4145,'Informations sur les produits'!$A$3:$B$15000,2,FALSE),"")</f>
        <v/>
      </c>
      <c r="V4145">
        <f t="shared" si="258"/>
        <v>0</v>
      </c>
      <c r="W4145">
        <f t="shared" si="259"/>
        <v>0</v>
      </c>
    </row>
    <row r="4146" spans="5:23" x14ac:dyDescent="0.25">
      <c r="E4146" s="4"/>
      <c r="F4146" s="4"/>
      <c r="G4146" s="33" t="str">
        <f>IFERROR(VLOOKUP($D4146,'Informations sur les produits'!$A$3:$H$10000,8,FALSE),"0")</f>
        <v>0</v>
      </c>
      <c r="K4146" s="4"/>
      <c r="L4146" s="33" t="str">
        <f>IFERROR(VLOOKUP($J4146,'Informations sur les produits'!$A$3:$H$10000,8,FALSE),"0")</f>
        <v>0</v>
      </c>
      <c r="N4146" s="8"/>
      <c r="O4146" s="33" t="str">
        <f>IFERROR(VLOOKUP($M4146,'Informations sur les produits'!$A$3:$H$10000,8,FALSE),"0")</f>
        <v>0</v>
      </c>
      <c r="P4146" s="33">
        <f t="shared" si="256"/>
        <v>0</v>
      </c>
      <c r="Q4146" s="31" t="str">
        <f t="shared" si="257"/>
        <v/>
      </c>
      <c r="R4146" s="32" t="str">
        <f>IFERROR(VLOOKUP($D4146,'Informations sur les produits'!$A$3:$B$15000,2,FALSE),"")</f>
        <v/>
      </c>
      <c r="V4146">
        <f t="shared" si="258"/>
        <v>0</v>
      </c>
      <c r="W4146">
        <f t="shared" si="259"/>
        <v>0</v>
      </c>
    </row>
    <row r="4147" spans="5:23" x14ac:dyDescent="0.25">
      <c r="E4147" s="4"/>
      <c r="F4147" s="4"/>
      <c r="G4147" s="33" t="str">
        <f>IFERROR(VLOOKUP($D4147,'Informations sur les produits'!$A$3:$H$10000,8,FALSE),"0")</f>
        <v>0</v>
      </c>
      <c r="K4147" s="4"/>
      <c r="L4147" s="33" t="str">
        <f>IFERROR(VLOOKUP($J4147,'Informations sur les produits'!$A$3:$H$10000,8,FALSE),"0")</f>
        <v>0</v>
      </c>
      <c r="N4147" s="8"/>
      <c r="O4147" s="33" t="str">
        <f>IFERROR(VLOOKUP($M4147,'Informations sur les produits'!$A$3:$H$10000,8,FALSE),"0")</f>
        <v>0</v>
      </c>
      <c r="P4147" s="33">
        <f t="shared" si="256"/>
        <v>0</v>
      </c>
      <c r="Q4147" s="31" t="str">
        <f t="shared" si="257"/>
        <v/>
      </c>
      <c r="R4147" s="32" t="str">
        <f>IFERROR(VLOOKUP($D4147,'Informations sur les produits'!$A$3:$B$15000,2,FALSE),"")</f>
        <v/>
      </c>
      <c r="V4147">
        <f t="shared" si="258"/>
        <v>0</v>
      </c>
      <c r="W4147">
        <f t="shared" si="259"/>
        <v>0</v>
      </c>
    </row>
    <row r="4148" spans="5:23" x14ac:dyDescent="0.25">
      <c r="E4148" s="4"/>
      <c r="F4148" s="4"/>
      <c r="G4148" s="33" t="str">
        <f>IFERROR(VLOOKUP($D4148,'Informations sur les produits'!$A$3:$H$10000,8,FALSE),"0")</f>
        <v>0</v>
      </c>
      <c r="K4148" s="4"/>
      <c r="L4148" s="33" t="str">
        <f>IFERROR(VLOOKUP($J4148,'Informations sur les produits'!$A$3:$H$10000,8,FALSE),"0")</f>
        <v>0</v>
      </c>
      <c r="N4148" s="8"/>
      <c r="O4148" s="33" t="str">
        <f>IFERROR(VLOOKUP($M4148,'Informations sur les produits'!$A$3:$H$10000,8,FALSE),"0")</f>
        <v>0</v>
      </c>
      <c r="P4148" s="33">
        <f t="shared" si="256"/>
        <v>0</v>
      </c>
      <c r="Q4148" s="31" t="str">
        <f t="shared" si="257"/>
        <v/>
      </c>
      <c r="R4148" s="32" t="str">
        <f>IFERROR(VLOOKUP($D4148,'Informations sur les produits'!$A$3:$B$15000,2,FALSE),"")</f>
        <v/>
      </c>
      <c r="V4148">
        <f t="shared" si="258"/>
        <v>0</v>
      </c>
      <c r="W4148">
        <f t="shared" si="259"/>
        <v>0</v>
      </c>
    </row>
    <row r="4149" spans="5:23" x14ac:dyDescent="0.25">
      <c r="E4149" s="4"/>
      <c r="F4149" s="4"/>
      <c r="G4149" s="33" t="str">
        <f>IFERROR(VLOOKUP($D4149,'Informations sur les produits'!$A$3:$H$10000,8,FALSE),"0")</f>
        <v>0</v>
      </c>
      <c r="K4149" s="4"/>
      <c r="L4149" s="33" t="str">
        <f>IFERROR(VLOOKUP($J4149,'Informations sur les produits'!$A$3:$H$10000,8,FALSE),"0")</f>
        <v>0</v>
      </c>
      <c r="N4149" s="8"/>
      <c r="O4149" s="33" t="str">
        <f>IFERROR(VLOOKUP($M4149,'Informations sur les produits'!$A$3:$H$10000,8,FALSE),"0")</f>
        <v>0</v>
      </c>
      <c r="P4149" s="33">
        <f t="shared" si="256"/>
        <v>0</v>
      </c>
      <c r="Q4149" s="31" t="str">
        <f t="shared" si="257"/>
        <v/>
      </c>
      <c r="R4149" s="32" t="str">
        <f>IFERROR(VLOOKUP($D4149,'Informations sur les produits'!$A$3:$B$15000,2,FALSE),"")</f>
        <v/>
      </c>
      <c r="V4149">
        <f t="shared" si="258"/>
        <v>0</v>
      </c>
      <c r="W4149">
        <f t="shared" si="259"/>
        <v>0</v>
      </c>
    </row>
    <row r="4150" spans="5:23" x14ac:dyDescent="0.25">
      <c r="E4150" s="4"/>
      <c r="F4150" s="4"/>
      <c r="G4150" s="33" t="str">
        <f>IFERROR(VLOOKUP($D4150,'Informations sur les produits'!$A$3:$H$10000,8,FALSE),"0")</f>
        <v>0</v>
      </c>
      <c r="K4150" s="4"/>
      <c r="L4150" s="33" t="str">
        <f>IFERROR(VLOOKUP($J4150,'Informations sur les produits'!$A$3:$H$10000,8,FALSE),"0")</f>
        <v>0</v>
      </c>
      <c r="N4150" s="8"/>
      <c r="O4150" s="33" t="str">
        <f>IFERROR(VLOOKUP($M4150,'Informations sur les produits'!$A$3:$H$10000,8,FALSE),"0")</f>
        <v>0</v>
      </c>
      <c r="P4150" s="33">
        <f t="shared" si="256"/>
        <v>0</v>
      </c>
      <c r="Q4150" s="31" t="str">
        <f t="shared" si="257"/>
        <v/>
      </c>
      <c r="R4150" s="32" t="str">
        <f>IFERROR(VLOOKUP($D4150,'Informations sur les produits'!$A$3:$B$15000,2,FALSE),"")</f>
        <v/>
      </c>
      <c r="V4150">
        <f t="shared" si="258"/>
        <v>0</v>
      </c>
      <c r="W4150">
        <f t="shared" si="259"/>
        <v>0</v>
      </c>
    </row>
    <row r="4151" spans="5:23" x14ac:dyDescent="0.25">
      <c r="E4151" s="4"/>
      <c r="F4151" s="4"/>
      <c r="G4151" s="33" t="str">
        <f>IFERROR(VLOOKUP($D4151,'Informations sur les produits'!$A$3:$H$10000,8,FALSE),"0")</f>
        <v>0</v>
      </c>
      <c r="K4151" s="4"/>
      <c r="L4151" s="33" t="str">
        <f>IFERROR(VLOOKUP($J4151,'Informations sur les produits'!$A$3:$H$10000,8,FALSE),"0")</f>
        <v>0</v>
      </c>
      <c r="N4151" s="8"/>
      <c r="O4151" s="33" t="str">
        <f>IFERROR(VLOOKUP($M4151,'Informations sur les produits'!$A$3:$H$10000,8,FALSE),"0")</f>
        <v>0</v>
      </c>
      <c r="P4151" s="33">
        <f t="shared" si="256"/>
        <v>0</v>
      </c>
      <c r="Q4151" s="31" t="str">
        <f t="shared" si="257"/>
        <v/>
      </c>
      <c r="R4151" s="32" t="str">
        <f>IFERROR(VLOOKUP($D4151,'Informations sur les produits'!$A$3:$B$15000,2,FALSE),"")</f>
        <v/>
      </c>
      <c r="V4151">
        <f t="shared" si="258"/>
        <v>0</v>
      </c>
      <c r="W4151">
        <f t="shared" si="259"/>
        <v>0</v>
      </c>
    </row>
    <row r="4152" spans="5:23" x14ac:dyDescent="0.25">
      <c r="E4152" s="4"/>
      <c r="F4152" s="4"/>
      <c r="G4152" s="33" t="str">
        <f>IFERROR(VLOOKUP($D4152,'Informations sur les produits'!$A$3:$H$10000,8,FALSE),"0")</f>
        <v>0</v>
      </c>
      <c r="K4152" s="4"/>
      <c r="L4152" s="33" t="str">
        <f>IFERROR(VLOOKUP($J4152,'Informations sur les produits'!$A$3:$H$10000,8,FALSE),"0")</f>
        <v>0</v>
      </c>
      <c r="N4152" s="8"/>
      <c r="O4152" s="33" t="str">
        <f>IFERROR(VLOOKUP($M4152,'Informations sur les produits'!$A$3:$H$10000,8,FALSE),"0")</f>
        <v>0</v>
      </c>
      <c r="P4152" s="33">
        <f t="shared" si="256"/>
        <v>0</v>
      </c>
      <c r="Q4152" s="31" t="str">
        <f t="shared" si="257"/>
        <v/>
      </c>
      <c r="R4152" s="32" t="str">
        <f>IFERROR(VLOOKUP($D4152,'Informations sur les produits'!$A$3:$B$15000,2,FALSE),"")</f>
        <v/>
      </c>
      <c r="V4152">
        <f t="shared" si="258"/>
        <v>0</v>
      </c>
      <c r="W4152">
        <f t="shared" si="259"/>
        <v>0</v>
      </c>
    </row>
    <row r="4153" spans="5:23" x14ac:dyDescent="0.25">
      <c r="E4153" s="4"/>
      <c r="F4153" s="4"/>
      <c r="G4153" s="33" t="str">
        <f>IFERROR(VLOOKUP($D4153,'Informations sur les produits'!$A$3:$H$10000,8,FALSE),"0")</f>
        <v>0</v>
      </c>
      <c r="K4153" s="4"/>
      <c r="L4153" s="33" t="str">
        <f>IFERROR(VLOOKUP($J4153,'Informations sur les produits'!$A$3:$H$10000,8,FALSE),"0")</f>
        <v>0</v>
      </c>
      <c r="N4153" s="8"/>
      <c r="O4153" s="33" t="str">
        <f>IFERROR(VLOOKUP($M4153,'Informations sur les produits'!$A$3:$H$10000,8,FALSE),"0")</f>
        <v>0</v>
      </c>
      <c r="P4153" s="33">
        <f t="shared" si="256"/>
        <v>0</v>
      </c>
      <c r="Q4153" s="31" t="str">
        <f t="shared" si="257"/>
        <v/>
      </c>
      <c r="R4153" s="32" t="str">
        <f>IFERROR(VLOOKUP($D4153,'Informations sur les produits'!$A$3:$B$15000,2,FALSE),"")</f>
        <v/>
      </c>
      <c r="V4153">
        <f t="shared" si="258"/>
        <v>0</v>
      </c>
      <c r="W4153">
        <f t="shared" si="259"/>
        <v>0</v>
      </c>
    </row>
    <row r="4154" spans="5:23" x14ac:dyDescent="0.25">
      <c r="E4154" s="4"/>
      <c r="F4154" s="4"/>
      <c r="G4154" s="33" t="str">
        <f>IFERROR(VLOOKUP($D4154,'Informations sur les produits'!$A$3:$H$10000,8,FALSE),"0")</f>
        <v>0</v>
      </c>
      <c r="K4154" s="4"/>
      <c r="L4154" s="33" t="str">
        <f>IFERROR(VLOOKUP($J4154,'Informations sur les produits'!$A$3:$H$10000,8,FALSE),"0")</f>
        <v>0</v>
      </c>
      <c r="N4154" s="8"/>
      <c r="O4154" s="33" t="str">
        <f>IFERROR(VLOOKUP($M4154,'Informations sur les produits'!$A$3:$H$10000,8,FALSE),"0")</f>
        <v>0</v>
      </c>
      <c r="P4154" s="33">
        <f t="shared" si="256"/>
        <v>0</v>
      </c>
      <c r="Q4154" s="31" t="str">
        <f t="shared" si="257"/>
        <v/>
      </c>
      <c r="R4154" s="32" t="str">
        <f>IFERROR(VLOOKUP($D4154,'Informations sur les produits'!$A$3:$B$15000,2,FALSE),"")</f>
        <v/>
      </c>
      <c r="V4154">
        <f t="shared" si="258"/>
        <v>0</v>
      </c>
      <c r="W4154">
        <f t="shared" si="259"/>
        <v>0</v>
      </c>
    </row>
    <row r="4155" spans="5:23" x14ac:dyDescent="0.25">
      <c r="E4155" s="4"/>
      <c r="F4155" s="4"/>
      <c r="G4155" s="33" t="str">
        <f>IFERROR(VLOOKUP($D4155,'Informations sur les produits'!$A$3:$H$10000,8,FALSE),"0")</f>
        <v>0</v>
      </c>
      <c r="K4155" s="4"/>
      <c r="L4155" s="33" t="str">
        <f>IFERROR(VLOOKUP($J4155,'Informations sur les produits'!$A$3:$H$10000,8,FALSE),"0")</f>
        <v>0</v>
      </c>
      <c r="N4155" s="8"/>
      <c r="O4155" s="33" t="str">
        <f>IFERROR(VLOOKUP($M4155,'Informations sur les produits'!$A$3:$H$10000,8,FALSE),"0")</f>
        <v>0</v>
      </c>
      <c r="P4155" s="33">
        <f t="shared" si="256"/>
        <v>0</v>
      </c>
      <c r="Q4155" s="31" t="str">
        <f t="shared" si="257"/>
        <v/>
      </c>
      <c r="R4155" s="32" t="str">
        <f>IFERROR(VLOOKUP($D4155,'Informations sur les produits'!$A$3:$B$15000,2,FALSE),"")</f>
        <v/>
      </c>
      <c r="V4155">
        <f t="shared" si="258"/>
        <v>0</v>
      </c>
      <c r="W4155">
        <f t="shared" si="259"/>
        <v>0</v>
      </c>
    </row>
    <row r="4156" spans="5:23" x14ac:dyDescent="0.25">
      <c r="E4156" s="4"/>
      <c r="F4156" s="4"/>
      <c r="G4156" s="33" t="str">
        <f>IFERROR(VLOOKUP($D4156,'Informations sur les produits'!$A$3:$H$10000,8,FALSE),"0")</f>
        <v>0</v>
      </c>
      <c r="K4156" s="4"/>
      <c r="L4156" s="33" t="str">
        <f>IFERROR(VLOOKUP($J4156,'Informations sur les produits'!$A$3:$H$10000,8,FALSE),"0")</f>
        <v>0</v>
      </c>
      <c r="N4156" s="8"/>
      <c r="O4156" s="33" t="str">
        <f>IFERROR(VLOOKUP($M4156,'Informations sur les produits'!$A$3:$H$10000,8,FALSE),"0")</f>
        <v>0</v>
      </c>
      <c r="P4156" s="33">
        <f t="shared" si="256"/>
        <v>0</v>
      </c>
      <c r="Q4156" s="31" t="str">
        <f t="shared" si="257"/>
        <v/>
      </c>
      <c r="R4156" s="32" t="str">
        <f>IFERROR(VLOOKUP($D4156,'Informations sur les produits'!$A$3:$B$15000,2,FALSE),"")</f>
        <v/>
      </c>
      <c r="V4156">
        <f t="shared" si="258"/>
        <v>0</v>
      </c>
      <c r="W4156">
        <f t="shared" si="259"/>
        <v>0</v>
      </c>
    </row>
    <row r="4157" spans="5:23" x14ac:dyDescent="0.25">
      <c r="E4157" s="4"/>
      <c r="F4157" s="4"/>
      <c r="G4157" s="33" t="str">
        <f>IFERROR(VLOOKUP($D4157,'Informations sur les produits'!$A$3:$H$10000,8,FALSE),"0")</f>
        <v>0</v>
      </c>
      <c r="K4157" s="4"/>
      <c r="L4157" s="33" t="str">
        <f>IFERROR(VLOOKUP($J4157,'Informations sur les produits'!$A$3:$H$10000,8,FALSE),"0")</f>
        <v>0</v>
      </c>
      <c r="N4157" s="8"/>
      <c r="O4157" s="33" t="str">
        <f>IFERROR(VLOOKUP($M4157,'Informations sur les produits'!$A$3:$H$10000,8,FALSE),"0")</f>
        <v>0</v>
      </c>
      <c r="P4157" s="33">
        <f t="shared" si="256"/>
        <v>0</v>
      </c>
      <c r="Q4157" s="31" t="str">
        <f t="shared" si="257"/>
        <v/>
      </c>
      <c r="R4157" s="32" t="str">
        <f>IFERROR(VLOOKUP($D4157,'Informations sur les produits'!$A$3:$B$15000,2,FALSE),"")</f>
        <v/>
      </c>
      <c r="V4157">
        <f t="shared" si="258"/>
        <v>0</v>
      </c>
      <c r="W4157">
        <f t="shared" si="259"/>
        <v>0</v>
      </c>
    </row>
    <row r="4158" spans="5:23" x14ac:dyDescent="0.25">
      <c r="E4158" s="4"/>
      <c r="F4158" s="4"/>
      <c r="G4158" s="33" t="str">
        <f>IFERROR(VLOOKUP($D4158,'Informations sur les produits'!$A$3:$H$10000,8,FALSE),"0")</f>
        <v>0</v>
      </c>
      <c r="K4158" s="4"/>
      <c r="L4158" s="33" t="str">
        <f>IFERROR(VLOOKUP($J4158,'Informations sur les produits'!$A$3:$H$10000,8,FALSE),"0")</f>
        <v>0</v>
      </c>
      <c r="N4158" s="8"/>
      <c r="O4158" s="33" t="str">
        <f>IFERROR(VLOOKUP($M4158,'Informations sur les produits'!$A$3:$H$10000,8,FALSE),"0")</f>
        <v>0</v>
      </c>
      <c r="P4158" s="33">
        <f t="shared" si="256"/>
        <v>0</v>
      </c>
      <c r="Q4158" s="31" t="str">
        <f t="shared" si="257"/>
        <v/>
      </c>
      <c r="R4158" s="32" t="str">
        <f>IFERROR(VLOOKUP($D4158,'Informations sur les produits'!$A$3:$B$15000,2,FALSE),"")</f>
        <v/>
      </c>
      <c r="V4158">
        <f t="shared" si="258"/>
        <v>0</v>
      </c>
      <c r="W4158">
        <f t="shared" si="259"/>
        <v>0</v>
      </c>
    </row>
    <row r="4159" spans="5:23" x14ac:dyDescent="0.25">
      <c r="E4159" s="4"/>
      <c r="F4159" s="4"/>
      <c r="G4159" s="33" t="str">
        <f>IFERROR(VLOOKUP($D4159,'Informations sur les produits'!$A$3:$H$10000,8,FALSE),"0")</f>
        <v>0</v>
      </c>
      <c r="K4159" s="4"/>
      <c r="L4159" s="33" t="str">
        <f>IFERROR(VLOOKUP($J4159,'Informations sur les produits'!$A$3:$H$10000,8,FALSE),"0")</f>
        <v>0</v>
      </c>
      <c r="N4159" s="8"/>
      <c r="O4159" s="33" t="str">
        <f>IFERROR(VLOOKUP($M4159,'Informations sur les produits'!$A$3:$H$10000,8,FALSE),"0")</f>
        <v>0</v>
      </c>
      <c r="P4159" s="33">
        <f t="shared" si="256"/>
        <v>0</v>
      </c>
      <c r="Q4159" s="31" t="str">
        <f t="shared" si="257"/>
        <v/>
      </c>
      <c r="R4159" s="32" t="str">
        <f>IFERROR(VLOOKUP($D4159,'Informations sur les produits'!$A$3:$B$15000,2,FALSE),"")</f>
        <v/>
      </c>
      <c r="V4159">
        <f t="shared" si="258"/>
        <v>0</v>
      </c>
      <c r="W4159">
        <f t="shared" si="259"/>
        <v>0</v>
      </c>
    </row>
    <row r="4160" spans="5:23" x14ac:dyDescent="0.25">
      <c r="E4160" s="4"/>
      <c r="F4160" s="4"/>
      <c r="G4160" s="33" t="str">
        <f>IFERROR(VLOOKUP($D4160,'Informations sur les produits'!$A$3:$H$10000,8,FALSE),"0")</f>
        <v>0</v>
      </c>
      <c r="K4160" s="4"/>
      <c r="L4160" s="33" t="str">
        <f>IFERROR(VLOOKUP($J4160,'Informations sur les produits'!$A$3:$H$10000,8,FALSE),"0")</f>
        <v>0</v>
      </c>
      <c r="N4160" s="8"/>
      <c r="O4160" s="33" t="str">
        <f>IFERROR(VLOOKUP($M4160,'Informations sur les produits'!$A$3:$H$10000,8,FALSE),"0")</f>
        <v>0</v>
      </c>
      <c r="P4160" s="33">
        <f t="shared" si="256"/>
        <v>0</v>
      </c>
      <c r="Q4160" s="31" t="str">
        <f t="shared" si="257"/>
        <v/>
      </c>
      <c r="R4160" s="32" t="str">
        <f>IFERROR(VLOOKUP($D4160,'Informations sur les produits'!$A$3:$B$15000,2,FALSE),"")</f>
        <v/>
      </c>
      <c r="V4160">
        <f t="shared" si="258"/>
        <v>0</v>
      </c>
      <c r="W4160">
        <f t="shared" si="259"/>
        <v>0</v>
      </c>
    </row>
    <row r="4161" spans="5:23" x14ac:dyDescent="0.25">
      <c r="E4161" s="4"/>
      <c r="F4161" s="4"/>
      <c r="G4161" s="33" t="str">
        <f>IFERROR(VLOOKUP($D4161,'Informations sur les produits'!$A$3:$H$10000,8,FALSE),"0")</f>
        <v>0</v>
      </c>
      <c r="K4161" s="4"/>
      <c r="L4161" s="33" t="str">
        <f>IFERROR(VLOOKUP($J4161,'Informations sur les produits'!$A$3:$H$10000,8,FALSE),"0")</f>
        <v>0</v>
      </c>
      <c r="N4161" s="8"/>
      <c r="O4161" s="33" t="str">
        <f>IFERROR(VLOOKUP($M4161,'Informations sur les produits'!$A$3:$H$10000,8,FALSE),"0")</f>
        <v>0</v>
      </c>
      <c r="P4161" s="33">
        <f t="shared" si="256"/>
        <v>0</v>
      </c>
      <c r="Q4161" s="31" t="str">
        <f t="shared" si="257"/>
        <v/>
      </c>
      <c r="R4161" s="32" t="str">
        <f>IFERROR(VLOOKUP($D4161,'Informations sur les produits'!$A$3:$B$15000,2,FALSE),"")</f>
        <v/>
      </c>
      <c r="V4161">
        <f t="shared" si="258"/>
        <v>0</v>
      </c>
      <c r="W4161">
        <f t="shared" si="259"/>
        <v>0</v>
      </c>
    </row>
    <row r="4162" spans="5:23" x14ac:dyDescent="0.25">
      <c r="E4162" s="4"/>
      <c r="F4162" s="4"/>
      <c r="G4162" s="33" t="str">
        <f>IFERROR(VLOOKUP($D4162,'Informations sur les produits'!$A$3:$H$10000,8,FALSE),"0")</f>
        <v>0</v>
      </c>
      <c r="K4162" s="4"/>
      <c r="L4162" s="33" t="str">
        <f>IFERROR(VLOOKUP($J4162,'Informations sur les produits'!$A$3:$H$10000,8,FALSE),"0")</f>
        <v>0</v>
      </c>
      <c r="N4162" s="8"/>
      <c r="O4162" s="33" t="str">
        <f>IFERROR(VLOOKUP($M4162,'Informations sur les produits'!$A$3:$H$10000,8,FALSE),"0")</f>
        <v>0</v>
      </c>
      <c r="P4162" s="33">
        <f t="shared" si="256"/>
        <v>0</v>
      </c>
      <c r="Q4162" s="31" t="str">
        <f t="shared" si="257"/>
        <v/>
      </c>
      <c r="R4162" s="32" t="str">
        <f>IFERROR(VLOOKUP($D4162,'Informations sur les produits'!$A$3:$B$15000,2,FALSE),"")</f>
        <v/>
      </c>
      <c r="V4162">
        <f t="shared" si="258"/>
        <v>0</v>
      </c>
      <c r="W4162">
        <f t="shared" si="259"/>
        <v>0</v>
      </c>
    </row>
    <row r="4163" spans="5:23" x14ac:dyDescent="0.25">
      <c r="E4163" s="4"/>
      <c r="F4163" s="4"/>
      <c r="G4163" s="33" t="str">
        <f>IFERROR(VLOOKUP($D4163,'Informations sur les produits'!$A$3:$H$10000,8,FALSE),"0")</f>
        <v>0</v>
      </c>
      <c r="K4163" s="4"/>
      <c r="L4163" s="33" t="str">
        <f>IFERROR(VLOOKUP($J4163,'Informations sur les produits'!$A$3:$H$10000,8,FALSE),"0")</f>
        <v>0</v>
      </c>
      <c r="N4163" s="8"/>
      <c r="O4163" s="33" t="str">
        <f>IFERROR(VLOOKUP($M4163,'Informations sur les produits'!$A$3:$H$10000,8,FALSE),"0")</f>
        <v>0</v>
      </c>
      <c r="P4163" s="33">
        <f t="shared" si="256"/>
        <v>0</v>
      </c>
      <c r="Q4163" s="31" t="str">
        <f t="shared" si="257"/>
        <v/>
      </c>
      <c r="R4163" s="32" t="str">
        <f>IFERROR(VLOOKUP($D4163,'Informations sur les produits'!$A$3:$B$15000,2,FALSE),"")</f>
        <v/>
      </c>
      <c r="V4163">
        <f t="shared" si="258"/>
        <v>0</v>
      </c>
      <c r="W4163">
        <f t="shared" si="259"/>
        <v>0</v>
      </c>
    </row>
    <row r="4164" spans="5:23" x14ac:dyDescent="0.25">
      <c r="E4164" s="4"/>
      <c r="F4164" s="4"/>
      <c r="G4164" s="33" t="str">
        <f>IFERROR(VLOOKUP($D4164,'Informations sur les produits'!$A$3:$H$10000,8,FALSE),"0")</f>
        <v>0</v>
      </c>
      <c r="K4164" s="4"/>
      <c r="L4164" s="33" t="str">
        <f>IFERROR(VLOOKUP($J4164,'Informations sur les produits'!$A$3:$H$10000,8,FALSE),"0")</f>
        <v>0</v>
      </c>
      <c r="N4164" s="8"/>
      <c r="O4164" s="33" t="str">
        <f>IFERROR(VLOOKUP($M4164,'Informations sur les produits'!$A$3:$H$10000,8,FALSE),"0")</f>
        <v>0</v>
      </c>
      <c r="P4164" s="33">
        <f t="shared" ref="P4164:P4227" si="260">IFERROR((($E4164-$F4164)*$G4164+$K4164*$L4164+$N4164*$O4164),"")</f>
        <v>0</v>
      </c>
      <c r="Q4164" s="31" t="str">
        <f t="shared" ref="Q4164:Q4227" si="261">IFERROR((((($E4164-$F4164)*$G4164+$K4164*$L4164+$N4164*$O4164)*1000)/(($E4164-$F4164)+$K4164+$N4164)),"")</f>
        <v/>
      </c>
      <c r="R4164" s="32" t="str">
        <f>IFERROR(VLOOKUP($D4164,'Informations sur les produits'!$A$3:$B$15000,2,FALSE),"")</f>
        <v/>
      </c>
      <c r="V4164">
        <f t="shared" ref="V4164:V4227" si="262">IFERROR(P4164*1000,"")</f>
        <v>0</v>
      </c>
      <c r="W4164">
        <f t="shared" ref="W4164:W4227" si="263">IFERROR(($E4164-$F4164)+$K4164+$N4164,"")</f>
        <v>0</v>
      </c>
    </row>
    <row r="4165" spans="5:23" x14ac:dyDescent="0.25">
      <c r="E4165" s="4"/>
      <c r="F4165" s="4"/>
      <c r="G4165" s="33" t="str">
        <f>IFERROR(VLOOKUP($D4165,'Informations sur les produits'!$A$3:$H$10000,8,FALSE),"0")</f>
        <v>0</v>
      </c>
      <c r="K4165" s="4"/>
      <c r="L4165" s="33" t="str">
        <f>IFERROR(VLOOKUP($J4165,'Informations sur les produits'!$A$3:$H$10000,8,FALSE),"0")</f>
        <v>0</v>
      </c>
      <c r="N4165" s="8"/>
      <c r="O4165" s="33" t="str">
        <f>IFERROR(VLOOKUP($M4165,'Informations sur les produits'!$A$3:$H$10000,8,FALSE),"0")</f>
        <v>0</v>
      </c>
      <c r="P4165" s="33">
        <f t="shared" si="260"/>
        <v>0</v>
      </c>
      <c r="Q4165" s="31" t="str">
        <f t="shared" si="261"/>
        <v/>
      </c>
      <c r="R4165" s="32" t="str">
        <f>IFERROR(VLOOKUP($D4165,'Informations sur les produits'!$A$3:$B$15000,2,FALSE),"")</f>
        <v/>
      </c>
      <c r="V4165">
        <f t="shared" si="262"/>
        <v>0</v>
      </c>
      <c r="W4165">
        <f t="shared" si="263"/>
        <v>0</v>
      </c>
    </row>
    <row r="4166" spans="5:23" x14ac:dyDescent="0.25">
      <c r="E4166" s="4"/>
      <c r="F4166" s="4"/>
      <c r="G4166" s="33" t="str">
        <f>IFERROR(VLOOKUP($D4166,'Informations sur les produits'!$A$3:$H$10000,8,FALSE),"0")</f>
        <v>0</v>
      </c>
      <c r="K4166" s="4"/>
      <c r="L4166" s="33" t="str">
        <f>IFERROR(VLOOKUP($J4166,'Informations sur les produits'!$A$3:$H$10000,8,FALSE),"0")</f>
        <v>0</v>
      </c>
      <c r="N4166" s="8"/>
      <c r="O4166" s="33" t="str">
        <f>IFERROR(VLOOKUP($M4166,'Informations sur les produits'!$A$3:$H$10000,8,FALSE),"0")</f>
        <v>0</v>
      </c>
      <c r="P4166" s="33">
        <f t="shared" si="260"/>
        <v>0</v>
      </c>
      <c r="Q4166" s="31" t="str">
        <f t="shared" si="261"/>
        <v/>
      </c>
      <c r="R4166" s="32" t="str">
        <f>IFERROR(VLOOKUP($D4166,'Informations sur les produits'!$A$3:$B$15000,2,FALSE),"")</f>
        <v/>
      </c>
      <c r="V4166">
        <f t="shared" si="262"/>
        <v>0</v>
      </c>
      <c r="W4166">
        <f t="shared" si="263"/>
        <v>0</v>
      </c>
    </row>
    <row r="4167" spans="5:23" x14ac:dyDescent="0.25">
      <c r="E4167" s="4"/>
      <c r="F4167" s="4"/>
      <c r="G4167" s="33" t="str">
        <f>IFERROR(VLOOKUP($D4167,'Informations sur les produits'!$A$3:$H$10000,8,FALSE),"0")</f>
        <v>0</v>
      </c>
      <c r="K4167" s="4"/>
      <c r="L4167" s="33" t="str">
        <f>IFERROR(VLOOKUP($J4167,'Informations sur les produits'!$A$3:$H$10000,8,FALSE),"0")</f>
        <v>0</v>
      </c>
      <c r="N4167" s="8"/>
      <c r="O4167" s="33" t="str">
        <f>IFERROR(VLOOKUP($M4167,'Informations sur les produits'!$A$3:$H$10000,8,FALSE),"0")</f>
        <v>0</v>
      </c>
      <c r="P4167" s="33">
        <f t="shared" si="260"/>
        <v>0</v>
      </c>
      <c r="Q4167" s="31" t="str">
        <f t="shared" si="261"/>
        <v/>
      </c>
      <c r="R4167" s="32" t="str">
        <f>IFERROR(VLOOKUP($D4167,'Informations sur les produits'!$A$3:$B$15000,2,FALSE),"")</f>
        <v/>
      </c>
      <c r="V4167">
        <f t="shared" si="262"/>
        <v>0</v>
      </c>
      <c r="W4167">
        <f t="shared" si="263"/>
        <v>0</v>
      </c>
    </row>
    <row r="4168" spans="5:23" x14ac:dyDescent="0.25">
      <c r="E4168" s="4"/>
      <c r="F4168" s="4"/>
      <c r="G4168" s="33" t="str">
        <f>IFERROR(VLOOKUP($D4168,'Informations sur les produits'!$A$3:$H$10000,8,FALSE),"0")</f>
        <v>0</v>
      </c>
      <c r="K4168" s="4"/>
      <c r="L4168" s="33" t="str">
        <f>IFERROR(VLOOKUP($J4168,'Informations sur les produits'!$A$3:$H$10000,8,FALSE),"0")</f>
        <v>0</v>
      </c>
      <c r="N4168" s="8"/>
      <c r="O4168" s="33" t="str">
        <f>IFERROR(VLOOKUP($M4168,'Informations sur les produits'!$A$3:$H$10000,8,FALSE),"0")</f>
        <v>0</v>
      </c>
      <c r="P4168" s="33">
        <f t="shared" si="260"/>
        <v>0</v>
      </c>
      <c r="Q4168" s="31" t="str">
        <f t="shared" si="261"/>
        <v/>
      </c>
      <c r="R4168" s="32" t="str">
        <f>IFERROR(VLOOKUP($D4168,'Informations sur les produits'!$A$3:$B$15000,2,FALSE),"")</f>
        <v/>
      </c>
      <c r="V4168">
        <f t="shared" si="262"/>
        <v>0</v>
      </c>
      <c r="W4168">
        <f t="shared" si="263"/>
        <v>0</v>
      </c>
    </row>
    <row r="4169" spans="5:23" x14ac:dyDescent="0.25">
      <c r="E4169" s="4"/>
      <c r="F4169" s="4"/>
      <c r="G4169" s="33" t="str">
        <f>IFERROR(VLOOKUP($D4169,'Informations sur les produits'!$A$3:$H$10000,8,FALSE),"0")</f>
        <v>0</v>
      </c>
      <c r="K4169" s="4"/>
      <c r="L4169" s="33" t="str">
        <f>IFERROR(VLOOKUP($J4169,'Informations sur les produits'!$A$3:$H$10000,8,FALSE),"0")</f>
        <v>0</v>
      </c>
      <c r="N4169" s="8"/>
      <c r="O4169" s="33" t="str">
        <f>IFERROR(VLOOKUP($M4169,'Informations sur les produits'!$A$3:$H$10000,8,FALSE),"0")</f>
        <v>0</v>
      </c>
      <c r="P4169" s="33">
        <f t="shared" si="260"/>
        <v>0</v>
      </c>
      <c r="Q4169" s="31" t="str">
        <f t="shared" si="261"/>
        <v/>
      </c>
      <c r="R4169" s="32" t="str">
        <f>IFERROR(VLOOKUP($D4169,'Informations sur les produits'!$A$3:$B$15000,2,FALSE),"")</f>
        <v/>
      </c>
      <c r="V4169">
        <f t="shared" si="262"/>
        <v>0</v>
      </c>
      <c r="W4169">
        <f t="shared" si="263"/>
        <v>0</v>
      </c>
    </row>
    <row r="4170" spans="5:23" x14ac:dyDescent="0.25">
      <c r="E4170" s="4"/>
      <c r="F4170" s="4"/>
      <c r="G4170" s="33" t="str">
        <f>IFERROR(VLOOKUP($D4170,'Informations sur les produits'!$A$3:$H$10000,8,FALSE),"0")</f>
        <v>0</v>
      </c>
      <c r="K4170" s="4"/>
      <c r="L4170" s="33" t="str">
        <f>IFERROR(VLOOKUP($J4170,'Informations sur les produits'!$A$3:$H$10000,8,FALSE),"0")</f>
        <v>0</v>
      </c>
      <c r="N4170" s="8"/>
      <c r="O4170" s="33" t="str">
        <f>IFERROR(VLOOKUP($M4170,'Informations sur les produits'!$A$3:$H$10000,8,FALSE),"0")</f>
        <v>0</v>
      </c>
      <c r="P4170" s="33">
        <f t="shared" si="260"/>
        <v>0</v>
      </c>
      <c r="Q4170" s="31" t="str">
        <f t="shared" si="261"/>
        <v/>
      </c>
      <c r="R4170" s="32" t="str">
        <f>IFERROR(VLOOKUP($D4170,'Informations sur les produits'!$A$3:$B$15000,2,FALSE),"")</f>
        <v/>
      </c>
      <c r="V4170">
        <f t="shared" si="262"/>
        <v>0</v>
      </c>
      <c r="W4170">
        <f t="shared" si="263"/>
        <v>0</v>
      </c>
    </row>
    <row r="4171" spans="5:23" x14ac:dyDescent="0.25">
      <c r="E4171" s="4"/>
      <c r="F4171" s="4"/>
      <c r="G4171" s="33" t="str">
        <f>IFERROR(VLOOKUP($D4171,'Informations sur les produits'!$A$3:$H$10000,8,FALSE),"0")</f>
        <v>0</v>
      </c>
      <c r="K4171" s="4"/>
      <c r="L4171" s="33" t="str">
        <f>IFERROR(VLOOKUP($J4171,'Informations sur les produits'!$A$3:$H$10000,8,FALSE),"0")</f>
        <v>0</v>
      </c>
      <c r="N4171" s="8"/>
      <c r="O4171" s="33" t="str">
        <f>IFERROR(VLOOKUP($M4171,'Informations sur les produits'!$A$3:$H$10000,8,FALSE),"0")</f>
        <v>0</v>
      </c>
      <c r="P4171" s="33">
        <f t="shared" si="260"/>
        <v>0</v>
      </c>
      <c r="Q4171" s="31" t="str">
        <f t="shared" si="261"/>
        <v/>
      </c>
      <c r="R4171" s="32" t="str">
        <f>IFERROR(VLOOKUP($D4171,'Informations sur les produits'!$A$3:$B$15000,2,FALSE),"")</f>
        <v/>
      </c>
      <c r="V4171">
        <f t="shared" si="262"/>
        <v>0</v>
      </c>
      <c r="W4171">
        <f t="shared" si="263"/>
        <v>0</v>
      </c>
    </row>
    <row r="4172" spans="5:23" x14ac:dyDescent="0.25">
      <c r="E4172" s="4"/>
      <c r="F4172" s="4"/>
      <c r="G4172" s="33" t="str">
        <f>IFERROR(VLOOKUP($D4172,'Informations sur les produits'!$A$3:$H$10000,8,FALSE),"0")</f>
        <v>0</v>
      </c>
      <c r="K4172" s="4"/>
      <c r="L4172" s="33" t="str">
        <f>IFERROR(VLOOKUP($J4172,'Informations sur les produits'!$A$3:$H$10000,8,FALSE),"0")</f>
        <v>0</v>
      </c>
      <c r="N4172" s="8"/>
      <c r="O4172" s="33" t="str">
        <f>IFERROR(VLOOKUP($M4172,'Informations sur les produits'!$A$3:$H$10000,8,FALSE),"0")</f>
        <v>0</v>
      </c>
      <c r="P4172" s="33">
        <f t="shared" si="260"/>
        <v>0</v>
      </c>
      <c r="Q4172" s="31" t="str">
        <f t="shared" si="261"/>
        <v/>
      </c>
      <c r="R4172" s="32" t="str">
        <f>IFERROR(VLOOKUP($D4172,'Informations sur les produits'!$A$3:$B$15000,2,FALSE),"")</f>
        <v/>
      </c>
      <c r="V4172">
        <f t="shared" si="262"/>
        <v>0</v>
      </c>
      <c r="W4172">
        <f t="shared" si="263"/>
        <v>0</v>
      </c>
    </row>
    <row r="4173" spans="5:23" x14ac:dyDescent="0.25">
      <c r="E4173" s="4"/>
      <c r="F4173" s="4"/>
      <c r="G4173" s="33" t="str">
        <f>IFERROR(VLOOKUP($D4173,'Informations sur les produits'!$A$3:$H$10000,8,FALSE),"0")</f>
        <v>0</v>
      </c>
      <c r="K4173" s="4"/>
      <c r="L4173" s="33" t="str">
        <f>IFERROR(VLOOKUP($J4173,'Informations sur les produits'!$A$3:$H$10000,8,FALSE),"0")</f>
        <v>0</v>
      </c>
      <c r="N4173" s="8"/>
      <c r="O4173" s="33" t="str">
        <f>IFERROR(VLOOKUP($M4173,'Informations sur les produits'!$A$3:$H$10000,8,FALSE),"0")</f>
        <v>0</v>
      </c>
      <c r="P4173" s="33">
        <f t="shared" si="260"/>
        <v>0</v>
      </c>
      <c r="Q4173" s="31" t="str">
        <f t="shared" si="261"/>
        <v/>
      </c>
      <c r="R4173" s="32" t="str">
        <f>IFERROR(VLOOKUP($D4173,'Informations sur les produits'!$A$3:$B$15000,2,FALSE),"")</f>
        <v/>
      </c>
      <c r="V4173">
        <f t="shared" si="262"/>
        <v>0</v>
      </c>
      <c r="W4173">
        <f t="shared" si="263"/>
        <v>0</v>
      </c>
    </row>
    <row r="4174" spans="5:23" x14ac:dyDescent="0.25">
      <c r="E4174" s="4"/>
      <c r="F4174" s="4"/>
      <c r="G4174" s="33" t="str">
        <f>IFERROR(VLOOKUP($D4174,'Informations sur les produits'!$A$3:$H$10000,8,FALSE),"0")</f>
        <v>0</v>
      </c>
      <c r="K4174" s="4"/>
      <c r="L4174" s="33" t="str">
        <f>IFERROR(VLOOKUP($J4174,'Informations sur les produits'!$A$3:$H$10000,8,FALSE),"0")</f>
        <v>0</v>
      </c>
      <c r="N4174" s="8"/>
      <c r="O4174" s="33" t="str">
        <f>IFERROR(VLOOKUP($M4174,'Informations sur les produits'!$A$3:$H$10000,8,FALSE),"0")</f>
        <v>0</v>
      </c>
      <c r="P4174" s="33">
        <f t="shared" si="260"/>
        <v>0</v>
      </c>
      <c r="Q4174" s="31" t="str">
        <f t="shared" si="261"/>
        <v/>
      </c>
      <c r="R4174" s="32" t="str">
        <f>IFERROR(VLOOKUP($D4174,'Informations sur les produits'!$A$3:$B$15000,2,FALSE),"")</f>
        <v/>
      </c>
      <c r="V4174">
        <f t="shared" si="262"/>
        <v>0</v>
      </c>
      <c r="W4174">
        <f t="shared" si="263"/>
        <v>0</v>
      </c>
    </row>
    <row r="4175" spans="5:23" x14ac:dyDescent="0.25">
      <c r="E4175" s="4"/>
      <c r="F4175" s="4"/>
      <c r="G4175" s="33" t="str">
        <f>IFERROR(VLOOKUP($D4175,'Informations sur les produits'!$A$3:$H$10000,8,FALSE),"0")</f>
        <v>0</v>
      </c>
      <c r="K4175" s="4"/>
      <c r="L4175" s="33" t="str">
        <f>IFERROR(VLOOKUP($J4175,'Informations sur les produits'!$A$3:$H$10000,8,FALSE),"0")</f>
        <v>0</v>
      </c>
      <c r="N4175" s="8"/>
      <c r="O4175" s="33" t="str">
        <f>IFERROR(VLOOKUP($M4175,'Informations sur les produits'!$A$3:$H$10000,8,FALSE),"0")</f>
        <v>0</v>
      </c>
      <c r="P4175" s="33">
        <f t="shared" si="260"/>
        <v>0</v>
      </c>
      <c r="Q4175" s="31" t="str">
        <f t="shared" si="261"/>
        <v/>
      </c>
      <c r="R4175" s="32" t="str">
        <f>IFERROR(VLOOKUP($D4175,'Informations sur les produits'!$A$3:$B$15000,2,FALSE),"")</f>
        <v/>
      </c>
      <c r="V4175">
        <f t="shared" si="262"/>
        <v>0</v>
      </c>
      <c r="W4175">
        <f t="shared" si="263"/>
        <v>0</v>
      </c>
    </row>
    <row r="4176" spans="5:23" x14ac:dyDescent="0.25">
      <c r="E4176" s="4"/>
      <c r="F4176" s="4"/>
      <c r="G4176" s="33" t="str">
        <f>IFERROR(VLOOKUP($D4176,'Informations sur les produits'!$A$3:$H$10000,8,FALSE),"0")</f>
        <v>0</v>
      </c>
      <c r="K4176" s="4"/>
      <c r="L4176" s="33" t="str">
        <f>IFERROR(VLOOKUP($J4176,'Informations sur les produits'!$A$3:$H$10000,8,FALSE),"0")</f>
        <v>0</v>
      </c>
      <c r="N4176" s="8"/>
      <c r="O4176" s="33" t="str">
        <f>IFERROR(VLOOKUP($M4176,'Informations sur les produits'!$A$3:$H$10000,8,FALSE),"0")</f>
        <v>0</v>
      </c>
      <c r="P4176" s="33">
        <f t="shared" si="260"/>
        <v>0</v>
      </c>
      <c r="Q4176" s="31" t="str">
        <f t="shared" si="261"/>
        <v/>
      </c>
      <c r="R4176" s="32" t="str">
        <f>IFERROR(VLOOKUP($D4176,'Informations sur les produits'!$A$3:$B$15000,2,FALSE),"")</f>
        <v/>
      </c>
      <c r="V4176">
        <f t="shared" si="262"/>
        <v>0</v>
      </c>
      <c r="W4176">
        <f t="shared" si="263"/>
        <v>0</v>
      </c>
    </row>
    <row r="4177" spans="5:23" x14ac:dyDescent="0.25">
      <c r="E4177" s="4"/>
      <c r="F4177" s="4"/>
      <c r="G4177" s="33" t="str">
        <f>IFERROR(VLOOKUP($D4177,'Informations sur les produits'!$A$3:$H$10000,8,FALSE),"0")</f>
        <v>0</v>
      </c>
      <c r="K4177" s="4"/>
      <c r="L4177" s="33" t="str">
        <f>IFERROR(VLOOKUP($J4177,'Informations sur les produits'!$A$3:$H$10000,8,FALSE),"0")</f>
        <v>0</v>
      </c>
      <c r="N4177" s="8"/>
      <c r="O4177" s="33" t="str">
        <f>IFERROR(VLOOKUP($M4177,'Informations sur les produits'!$A$3:$H$10000,8,FALSE),"0")</f>
        <v>0</v>
      </c>
      <c r="P4177" s="33">
        <f t="shared" si="260"/>
        <v>0</v>
      </c>
      <c r="Q4177" s="31" t="str">
        <f t="shared" si="261"/>
        <v/>
      </c>
      <c r="R4177" s="32" t="str">
        <f>IFERROR(VLOOKUP($D4177,'Informations sur les produits'!$A$3:$B$15000,2,FALSE),"")</f>
        <v/>
      </c>
      <c r="V4177">
        <f t="shared" si="262"/>
        <v>0</v>
      </c>
      <c r="W4177">
        <f t="shared" si="263"/>
        <v>0</v>
      </c>
    </row>
    <row r="4178" spans="5:23" x14ac:dyDescent="0.25">
      <c r="E4178" s="4"/>
      <c r="F4178" s="4"/>
      <c r="G4178" s="33" t="str">
        <f>IFERROR(VLOOKUP($D4178,'Informations sur les produits'!$A$3:$H$10000,8,FALSE),"0")</f>
        <v>0</v>
      </c>
      <c r="K4178" s="4"/>
      <c r="L4178" s="33" t="str">
        <f>IFERROR(VLOOKUP($J4178,'Informations sur les produits'!$A$3:$H$10000,8,FALSE),"0")</f>
        <v>0</v>
      </c>
      <c r="N4178" s="8"/>
      <c r="O4178" s="33" t="str">
        <f>IFERROR(VLOOKUP($M4178,'Informations sur les produits'!$A$3:$H$10000,8,FALSE),"0")</f>
        <v>0</v>
      </c>
      <c r="P4178" s="33">
        <f t="shared" si="260"/>
        <v>0</v>
      </c>
      <c r="Q4178" s="31" t="str">
        <f t="shared" si="261"/>
        <v/>
      </c>
      <c r="R4178" s="32" t="str">
        <f>IFERROR(VLOOKUP($D4178,'Informations sur les produits'!$A$3:$B$15000,2,FALSE),"")</f>
        <v/>
      </c>
      <c r="V4178">
        <f t="shared" si="262"/>
        <v>0</v>
      </c>
      <c r="W4178">
        <f t="shared" si="263"/>
        <v>0</v>
      </c>
    </row>
    <row r="4179" spans="5:23" x14ac:dyDescent="0.25">
      <c r="E4179" s="4"/>
      <c r="F4179" s="4"/>
      <c r="G4179" s="33" t="str">
        <f>IFERROR(VLOOKUP($D4179,'Informations sur les produits'!$A$3:$H$10000,8,FALSE),"0")</f>
        <v>0</v>
      </c>
      <c r="K4179" s="4"/>
      <c r="L4179" s="33" t="str">
        <f>IFERROR(VLOOKUP($J4179,'Informations sur les produits'!$A$3:$H$10000,8,FALSE),"0")</f>
        <v>0</v>
      </c>
      <c r="N4179" s="8"/>
      <c r="O4179" s="33" t="str">
        <f>IFERROR(VLOOKUP($M4179,'Informations sur les produits'!$A$3:$H$10000,8,FALSE),"0")</f>
        <v>0</v>
      </c>
      <c r="P4179" s="33">
        <f t="shared" si="260"/>
        <v>0</v>
      </c>
      <c r="Q4179" s="31" t="str">
        <f t="shared" si="261"/>
        <v/>
      </c>
      <c r="R4179" s="32" t="str">
        <f>IFERROR(VLOOKUP($D4179,'Informations sur les produits'!$A$3:$B$15000,2,FALSE),"")</f>
        <v/>
      </c>
      <c r="V4179">
        <f t="shared" si="262"/>
        <v>0</v>
      </c>
      <c r="W4179">
        <f t="shared" si="263"/>
        <v>0</v>
      </c>
    </row>
    <row r="4180" spans="5:23" x14ac:dyDescent="0.25">
      <c r="E4180" s="4"/>
      <c r="F4180" s="4"/>
      <c r="G4180" s="33" t="str">
        <f>IFERROR(VLOOKUP($D4180,'Informations sur les produits'!$A$3:$H$10000,8,FALSE),"0")</f>
        <v>0</v>
      </c>
      <c r="K4180" s="4"/>
      <c r="L4180" s="33" t="str">
        <f>IFERROR(VLOOKUP($J4180,'Informations sur les produits'!$A$3:$H$10000,8,FALSE),"0")</f>
        <v>0</v>
      </c>
      <c r="N4180" s="8"/>
      <c r="O4180" s="33" t="str">
        <f>IFERROR(VLOOKUP($M4180,'Informations sur les produits'!$A$3:$H$10000,8,FALSE),"0")</f>
        <v>0</v>
      </c>
      <c r="P4180" s="33">
        <f t="shared" si="260"/>
        <v>0</v>
      </c>
      <c r="Q4180" s="31" t="str">
        <f t="shared" si="261"/>
        <v/>
      </c>
      <c r="R4180" s="32" t="str">
        <f>IFERROR(VLOOKUP($D4180,'Informations sur les produits'!$A$3:$B$15000,2,FALSE),"")</f>
        <v/>
      </c>
      <c r="V4180">
        <f t="shared" si="262"/>
        <v>0</v>
      </c>
      <c r="W4180">
        <f t="shared" si="263"/>
        <v>0</v>
      </c>
    </row>
    <row r="4181" spans="5:23" x14ac:dyDescent="0.25">
      <c r="E4181" s="4"/>
      <c r="F4181" s="4"/>
      <c r="G4181" s="33" t="str">
        <f>IFERROR(VLOOKUP($D4181,'Informations sur les produits'!$A$3:$H$10000,8,FALSE),"0")</f>
        <v>0</v>
      </c>
      <c r="K4181" s="4"/>
      <c r="L4181" s="33" t="str">
        <f>IFERROR(VLOOKUP($J4181,'Informations sur les produits'!$A$3:$H$10000,8,FALSE),"0")</f>
        <v>0</v>
      </c>
      <c r="N4181" s="8"/>
      <c r="O4181" s="33" t="str">
        <f>IFERROR(VLOOKUP($M4181,'Informations sur les produits'!$A$3:$H$10000,8,FALSE),"0")</f>
        <v>0</v>
      </c>
      <c r="P4181" s="33">
        <f t="shared" si="260"/>
        <v>0</v>
      </c>
      <c r="Q4181" s="31" t="str">
        <f t="shared" si="261"/>
        <v/>
      </c>
      <c r="R4181" s="32" t="str">
        <f>IFERROR(VLOOKUP($D4181,'Informations sur les produits'!$A$3:$B$15000,2,FALSE),"")</f>
        <v/>
      </c>
      <c r="V4181">
        <f t="shared" si="262"/>
        <v>0</v>
      </c>
      <c r="W4181">
        <f t="shared" si="263"/>
        <v>0</v>
      </c>
    </row>
    <row r="4182" spans="5:23" x14ac:dyDescent="0.25">
      <c r="E4182" s="4"/>
      <c r="F4182" s="4"/>
      <c r="G4182" s="33" t="str">
        <f>IFERROR(VLOOKUP($D4182,'Informations sur les produits'!$A$3:$H$10000,8,FALSE),"0")</f>
        <v>0</v>
      </c>
      <c r="K4182" s="4"/>
      <c r="L4182" s="33" t="str">
        <f>IFERROR(VLOOKUP($J4182,'Informations sur les produits'!$A$3:$H$10000,8,FALSE),"0")</f>
        <v>0</v>
      </c>
      <c r="N4182" s="8"/>
      <c r="O4182" s="33" t="str">
        <f>IFERROR(VLOOKUP($M4182,'Informations sur les produits'!$A$3:$H$10000,8,FALSE),"0")</f>
        <v>0</v>
      </c>
      <c r="P4182" s="33">
        <f t="shared" si="260"/>
        <v>0</v>
      </c>
      <c r="Q4182" s="31" t="str">
        <f t="shared" si="261"/>
        <v/>
      </c>
      <c r="R4182" s="32" t="str">
        <f>IFERROR(VLOOKUP($D4182,'Informations sur les produits'!$A$3:$B$15000,2,FALSE),"")</f>
        <v/>
      </c>
      <c r="V4182">
        <f t="shared" si="262"/>
        <v>0</v>
      </c>
      <c r="W4182">
        <f t="shared" si="263"/>
        <v>0</v>
      </c>
    </row>
    <row r="4183" spans="5:23" x14ac:dyDescent="0.25">
      <c r="E4183" s="4"/>
      <c r="F4183" s="4"/>
      <c r="G4183" s="33" t="str">
        <f>IFERROR(VLOOKUP($D4183,'Informations sur les produits'!$A$3:$H$10000,8,FALSE),"0")</f>
        <v>0</v>
      </c>
      <c r="K4183" s="4"/>
      <c r="L4183" s="33" t="str">
        <f>IFERROR(VLOOKUP($J4183,'Informations sur les produits'!$A$3:$H$10000,8,FALSE),"0")</f>
        <v>0</v>
      </c>
      <c r="N4183" s="8"/>
      <c r="O4183" s="33" t="str">
        <f>IFERROR(VLOOKUP($M4183,'Informations sur les produits'!$A$3:$H$10000,8,FALSE),"0")</f>
        <v>0</v>
      </c>
      <c r="P4183" s="33">
        <f t="shared" si="260"/>
        <v>0</v>
      </c>
      <c r="Q4183" s="31" t="str">
        <f t="shared" si="261"/>
        <v/>
      </c>
      <c r="R4183" s="32" t="str">
        <f>IFERROR(VLOOKUP($D4183,'Informations sur les produits'!$A$3:$B$15000,2,FALSE),"")</f>
        <v/>
      </c>
      <c r="V4183">
        <f t="shared" si="262"/>
        <v>0</v>
      </c>
      <c r="W4183">
        <f t="shared" si="263"/>
        <v>0</v>
      </c>
    </row>
    <row r="4184" spans="5:23" x14ac:dyDescent="0.25">
      <c r="E4184" s="4"/>
      <c r="F4184" s="4"/>
      <c r="G4184" s="33" t="str">
        <f>IFERROR(VLOOKUP($D4184,'Informations sur les produits'!$A$3:$H$10000,8,FALSE),"0")</f>
        <v>0</v>
      </c>
      <c r="K4184" s="4"/>
      <c r="L4184" s="33" t="str">
        <f>IFERROR(VLOOKUP($J4184,'Informations sur les produits'!$A$3:$H$10000,8,FALSE),"0")</f>
        <v>0</v>
      </c>
      <c r="N4184" s="8"/>
      <c r="O4184" s="33" t="str">
        <f>IFERROR(VLOOKUP($M4184,'Informations sur les produits'!$A$3:$H$10000,8,FALSE),"0")</f>
        <v>0</v>
      </c>
      <c r="P4184" s="33">
        <f t="shared" si="260"/>
        <v>0</v>
      </c>
      <c r="Q4184" s="31" t="str">
        <f t="shared" si="261"/>
        <v/>
      </c>
      <c r="R4184" s="32" t="str">
        <f>IFERROR(VLOOKUP($D4184,'Informations sur les produits'!$A$3:$B$15000,2,FALSE),"")</f>
        <v/>
      </c>
      <c r="V4184">
        <f t="shared" si="262"/>
        <v>0</v>
      </c>
      <c r="W4184">
        <f t="shared" si="263"/>
        <v>0</v>
      </c>
    </row>
    <row r="4185" spans="5:23" x14ac:dyDescent="0.25">
      <c r="E4185" s="4"/>
      <c r="F4185" s="4"/>
      <c r="G4185" s="33" t="str">
        <f>IFERROR(VLOOKUP($D4185,'Informations sur les produits'!$A$3:$H$10000,8,FALSE),"0")</f>
        <v>0</v>
      </c>
      <c r="K4185" s="4"/>
      <c r="L4185" s="33" t="str">
        <f>IFERROR(VLOOKUP($J4185,'Informations sur les produits'!$A$3:$H$10000,8,FALSE),"0")</f>
        <v>0</v>
      </c>
      <c r="N4185" s="8"/>
      <c r="O4185" s="33" t="str">
        <f>IFERROR(VLOOKUP($M4185,'Informations sur les produits'!$A$3:$H$10000,8,FALSE),"0")</f>
        <v>0</v>
      </c>
      <c r="P4185" s="33">
        <f t="shared" si="260"/>
        <v>0</v>
      </c>
      <c r="Q4185" s="31" t="str">
        <f t="shared" si="261"/>
        <v/>
      </c>
      <c r="R4185" s="32" t="str">
        <f>IFERROR(VLOOKUP($D4185,'Informations sur les produits'!$A$3:$B$15000,2,FALSE),"")</f>
        <v/>
      </c>
      <c r="V4185">
        <f t="shared" si="262"/>
        <v>0</v>
      </c>
      <c r="W4185">
        <f t="shared" si="263"/>
        <v>0</v>
      </c>
    </row>
    <row r="4186" spans="5:23" x14ac:dyDescent="0.25">
      <c r="E4186" s="4"/>
      <c r="F4186" s="4"/>
      <c r="G4186" s="33" t="str">
        <f>IFERROR(VLOOKUP($D4186,'Informations sur les produits'!$A$3:$H$10000,8,FALSE),"0")</f>
        <v>0</v>
      </c>
      <c r="K4186" s="4"/>
      <c r="L4186" s="33" t="str">
        <f>IFERROR(VLOOKUP($J4186,'Informations sur les produits'!$A$3:$H$10000,8,FALSE),"0")</f>
        <v>0</v>
      </c>
      <c r="N4186" s="8"/>
      <c r="O4186" s="33" t="str">
        <f>IFERROR(VLOOKUP($M4186,'Informations sur les produits'!$A$3:$H$10000,8,FALSE),"0")</f>
        <v>0</v>
      </c>
      <c r="P4186" s="33">
        <f t="shared" si="260"/>
        <v>0</v>
      </c>
      <c r="Q4186" s="31" t="str">
        <f t="shared" si="261"/>
        <v/>
      </c>
      <c r="R4186" s="32" t="str">
        <f>IFERROR(VLOOKUP($D4186,'Informations sur les produits'!$A$3:$B$15000,2,FALSE),"")</f>
        <v/>
      </c>
      <c r="V4186">
        <f t="shared" si="262"/>
        <v>0</v>
      </c>
      <c r="W4186">
        <f t="shared" si="263"/>
        <v>0</v>
      </c>
    </row>
    <row r="4187" spans="5:23" x14ac:dyDescent="0.25">
      <c r="E4187" s="4"/>
      <c r="F4187" s="4"/>
      <c r="G4187" s="33" t="str">
        <f>IFERROR(VLOOKUP($D4187,'Informations sur les produits'!$A$3:$H$10000,8,FALSE),"0")</f>
        <v>0</v>
      </c>
      <c r="K4187" s="4"/>
      <c r="L4187" s="33" t="str">
        <f>IFERROR(VLOOKUP($J4187,'Informations sur les produits'!$A$3:$H$10000,8,FALSE),"0")</f>
        <v>0</v>
      </c>
      <c r="N4187" s="8"/>
      <c r="O4187" s="33" t="str">
        <f>IFERROR(VLOOKUP($M4187,'Informations sur les produits'!$A$3:$H$10000,8,FALSE),"0")</f>
        <v>0</v>
      </c>
      <c r="P4187" s="33">
        <f t="shared" si="260"/>
        <v>0</v>
      </c>
      <c r="Q4187" s="31" t="str">
        <f t="shared" si="261"/>
        <v/>
      </c>
      <c r="R4187" s="32" t="str">
        <f>IFERROR(VLOOKUP($D4187,'Informations sur les produits'!$A$3:$B$15000,2,FALSE),"")</f>
        <v/>
      </c>
      <c r="V4187">
        <f t="shared" si="262"/>
        <v>0</v>
      </c>
      <c r="W4187">
        <f t="shared" si="263"/>
        <v>0</v>
      </c>
    </row>
    <row r="4188" spans="5:23" x14ac:dyDescent="0.25">
      <c r="E4188" s="4"/>
      <c r="F4188" s="4"/>
      <c r="G4188" s="33" t="str">
        <f>IFERROR(VLOOKUP($D4188,'Informations sur les produits'!$A$3:$H$10000,8,FALSE),"0")</f>
        <v>0</v>
      </c>
      <c r="K4188" s="4"/>
      <c r="L4188" s="33" t="str">
        <f>IFERROR(VLOOKUP($J4188,'Informations sur les produits'!$A$3:$H$10000,8,FALSE),"0")</f>
        <v>0</v>
      </c>
      <c r="N4188" s="8"/>
      <c r="O4188" s="33" t="str">
        <f>IFERROR(VLOOKUP($M4188,'Informations sur les produits'!$A$3:$H$10000,8,FALSE),"0")</f>
        <v>0</v>
      </c>
      <c r="P4188" s="33">
        <f t="shared" si="260"/>
        <v>0</v>
      </c>
      <c r="Q4188" s="31" t="str">
        <f t="shared" si="261"/>
        <v/>
      </c>
      <c r="R4188" s="32" t="str">
        <f>IFERROR(VLOOKUP($D4188,'Informations sur les produits'!$A$3:$B$15000,2,FALSE),"")</f>
        <v/>
      </c>
      <c r="V4188">
        <f t="shared" si="262"/>
        <v>0</v>
      </c>
      <c r="W4188">
        <f t="shared" si="263"/>
        <v>0</v>
      </c>
    </row>
    <row r="4189" spans="5:23" x14ac:dyDescent="0.25">
      <c r="E4189" s="4"/>
      <c r="F4189" s="4"/>
      <c r="G4189" s="33" t="str">
        <f>IFERROR(VLOOKUP($D4189,'Informations sur les produits'!$A$3:$H$10000,8,FALSE),"0")</f>
        <v>0</v>
      </c>
      <c r="K4189" s="4"/>
      <c r="L4189" s="33" t="str">
        <f>IFERROR(VLOOKUP($J4189,'Informations sur les produits'!$A$3:$H$10000,8,FALSE),"0")</f>
        <v>0</v>
      </c>
      <c r="N4189" s="8"/>
      <c r="O4189" s="33" t="str">
        <f>IFERROR(VLOOKUP($M4189,'Informations sur les produits'!$A$3:$H$10000,8,FALSE),"0")</f>
        <v>0</v>
      </c>
      <c r="P4189" s="33">
        <f t="shared" si="260"/>
        <v>0</v>
      </c>
      <c r="Q4189" s="31" t="str">
        <f t="shared" si="261"/>
        <v/>
      </c>
      <c r="R4189" s="32" t="str">
        <f>IFERROR(VLOOKUP($D4189,'Informations sur les produits'!$A$3:$B$15000,2,FALSE),"")</f>
        <v/>
      </c>
      <c r="V4189">
        <f t="shared" si="262"/>
        <v>0</v>
      </c>
      <c r="W4189">
        <f t="shared" si="263"/>
        <v>0</v>
      </c>
    </row>
    <row r="4190" spans="5:23" x14ac:dyDescent="0.25">
      <c r="E4190" s="4"/>
      <c r="F4190" s="4"/>
      <c r="G4190" s="33" t="str">
        <f>IFERROR(VLOOKUP($D4190,'Informations sur les produits'!$A$3:$H$10000,8,FALSE),"0")</f>
        <v>0</v>
      </c>
      <c r="K4190" s="4"/>
      <c r="L4190" s="33" t="str">
        <f>IFERROR(VLOOKUP($J4190,'Informations sur les produits'!$A$3:$H$10000,8,FALSE),"0")</f>
        <v>0</v>
      </c>
      <c r="N4190" s="8"/>
      <c r="O4190" s="33" t="str">
        <f>IFERROR(VLOOKUP($M4190,'Informations sur les produits'!$A$3:$H$10000,8,FALSE),"0")</f>
        <v>0</v>
      </c>
      <c r="P4190" s="33">
        <f t="shared" si="260"/>
        <v>0</v>
      </c>
      <c r="Q4190" s="31" t="str">
        <f t="shared" si="261"/>
        <v/>
      </c>
      <c r="R4190" s="32" t="str">
        <f>IFERROR(VLOOKUP($D4190,'Informations sur les produits'!$A$3:$B$15000,2,FALSE),"")</f>
        <v/>
      </c>
      <c r="V4190">
        <f t="shared" si="262"/>
        <v>0</v>
      </c>
      <c r="W4190">
        <f t="shared" si="263"/>
        <v>0</v>
      </c>
    </row>
    <row r="4191" spans="5:23" x14ac:dyDescent="0.25">
      <c r="E4191" s="4"/>
      <c r="F4191" s="4"/>
      <c r="G4191" s="33" t="str">
        <f>IFERROR(VLOOKUP($D4191,'Informations sur les produits'!$A$3:$H$10000,8,FALSE),"0")</f>
        <v>0</v>
      </c>
      <c r="K4191" s="4"/>
      <c r="L4191" s="33" t="str">
        <f>IFERROR(VLOOKUP($J4191,'Informations sur les produits'!$A$3:$H$10000,8,FALSE),"0")</f>
        <v>0</v>
      </c>
      <c r="N4191" s="8"/>
      <c r="O4191" s="33" t="str">
        <f>IFERROR(VLOOKUP($M4191,'Informations sur les produits'!$A$3:$H$10000,8,FALSE),"0")</f>
        <v>0</v>
      </c>
      <c r="P4191" s="33">
        <f t="shared" si="260"/>
        <v>0</v>
      </c>
      <c r="Q4191" s="31" t="str">
        <f t="shared" si="261"/>
        <v/>
      </c>
      <c r="R4191" s="32" t="str">
        <f>IFERROR(VLOOKUP($D4191,'Informations sur les produits'!$A$3:$B$15000,2,FALSE),"")</f>
        <v/>
      </c>
      <c r="V4191">
        <f t="shared" si="262"/>
        <v>0</v>
      </c>
      <c r="W4191">
        <f t="shared" si="263"/>
        <v>0</v>
      </c>
    </row>
    <row r="4192" spans="5:23" x14ac:dyDescent="0.25">
      <c r="E4192" s="4"/>
      <c r="F4192" s="4"/>
      <c r="G4192" s="33" t="str">
        <f>IFERROR(VLOOKUP($D4192,'Informations sur les produits'!$A$3:$H$10000,8,FALSE),"0")</f>
        <v>0</v>
      </c>
      <c r="K4192" s="4"/>
      <c r="L4192" s="33" t="str">
        <f>IFERROR(VLOOKUP($J4192,'Informations sur les produits'!$A$3:$H$10000,8,FALSE),"0")</f>
        <v>0</v>
      </c>
      <c r="N4192" s="8"/>
      <c r="O4192" s="33" t="str">
        <f>IFERROR(VLOOKUP($M4192,'Informations sur les produits'!$A$3:$H$10000,8,FALSE),"0")</f>
        <v>0</v>
      </c>
      <c r="P4192" s="33">
        <f t="shared" si="260"/>
        <v>0</v>
      </c>
      <c r="Q4192" s="31" t="str">
        <f t="shared" si="261"/>
        <v/>
      </c>
      <c r="R4192" s="32" t="str">
        <f>IFERROR(VLOOKUP($D4192,'Informations sur les produits'!$A$3:$B$15000,2,FALSE),"")</f>
        <v/>
      </c>
      <c r="V4192">
        <f t="shared" si="262"/>
        <v>0</v>
      </c>
      <c r="W4192">
        <f t="shared" si="263"/>
        <v>0</v>
      </c>
    </row>
    <row r="4193" spans="5:23" x14ac:dyDescent="0.25">
      <c r="E4193" s="4"/>
      <c r="F4193" s="4"/>
      <c r="G4193" s="33" t="str">
        <f>IFERROR(VLOOKUP($D4193,'Informations sur les produits'!$A$3:$H$10000,8,FALSE),"0")</f>
        <v>0</v>
      </c>
      <c r="K4193" s="4"/>
      <c r="L4193" s="33" t="str">
        <f>IFERROR(VLOOKUP($J4193,'Informations sur les produits'!$A$3:$H$10000,8,FALSE),"0")</f>
        <v>0</v>
      </c>
      <c r="N4193" s="8"/>
      <c r="O4193" s="33" t="str">
        <f>IFERROR(VLOOKUP($M4193,'Informations sur les produits'!$A$3:$H$10000,8,FALSE),"0")</f>
        <v>0</v>
      </c>
      <c r="P4193" s="33">
        <f t="shared" si="260"/>
        <v>0</v>
      </c>
      <c r="Q4193" s="31" t="str">
        <f t="shared" si="261"/>
        <v/>
      </c>
      <c r="R4193" s="32" t="str">
        <f>IFERROR(VLOOKUP($D4193,'Informations sur les produits'!$A$3:$B$15000,2,FALSE),"")</f>
        <v/>
      </c>
      <c r="V4193">
        <f t="shared" si="262"/>
        <v>0</v>
      </c>
      <c r="W4193">
        <f t="shared" si="263"/>
        <v>0</v>
      </c>
    </row>
    <row r="4194" spans="5:23" x14ac:dyDescent="0.25">
      <c r="E4194" s="4"/>
      <c r="F4194" s="4"/>
      <c r="G4194" s="33" t="str">
        <f>IFERROR(VLOOKUP($D4194,'Informations sur les produits'!$A$3:$H$10000,8,FALSE),"0")</f>
        <v>0</v>
      </c>
      <c r="K4194" s="4"/>
      <c r="L4194" s="33" t="str">
        <f>IFERROR(VLOOKUP($J4194,'Informations sur les produits'!$A$3:$H$10000,8,FALSE),"0")</f>
        <v>0</v>
      </c>
      <c r="N4194" s="8"/>
      <c r="O4194" s="33" t="str">
        <f>IFERROR(VLOOKUP($M4194,'Informations sur les produits'!$A$3:$H$10000,8,FALSE),"0")</f>
        <v>0</v>
      </c>
      <c r="P4194" s="33">
        <f t="shared" si="260"/>
        <v>0</v>
      </c>
      <c r="Q4194" s="31" t="str">
        <f t="shared" si="261"/>
        <v/>
      </c>
      <c r="R4194" s="32" t="str">
        <f>IFERROR(VLOOKUP($D4194,'Informations sur les produits'!$A$3:$B$15000,2,FALSE),"")</f>
        <v/>
      </c>
      <c r="V4194">
        <f t="shared" si="262"/>
        <v>0</v>
      </c>
      <c r="W4194">
        <f t="shared" si="263"/>
        <v>0</v>
      </c>
    </row>
    <row r="4195" spans="5:23" x14ac:dyDescent="0.25">
      <c r="E4195" s="4"/>
      <c r="F4195" s="4"/>
      <c r="G4195" s="33" t="str">
        <f>IFERROR(VLOOKUP($D4195,'Informations sur les produits'!$A$3:$H$10000,8,FALSE),"0")</f>
        <v>0</v>
      </c>
      <c r="K4195" s="4"/>
      <c r="L4195" s="33" t="str">
        <f>IFERROR(VLOOKUP($J4195,'Informations sur les produits'!$A$3:$H$10000,8,FALSE),"0")</f>
        <v>0</v>
      </c>
      <c r="N4195" s="8"/>
      <c r="O4195" s="33" t="str">
        <f>IFERROR(VLOOKUP($M4195,'Informations sur les produits'!$A$3:$H$10000,8,FALSE),"0")</f>
        <v>0</v>
      </c>
      <c r="P4195" s="33">
        <f t="shared" si="260"/>
        <v>0</v>
      </c>
      <c r="Q4195" s="31" t="str">
        <f t="shared" si="261"/>
        <v/>
      </c>
      <c r="R4195" s="32" t="str">
        <f>IFERROR(VLOOKUP($D4195,'Informations sur les produits'!$A$3:$B$15000,2,FALSE),"")</f>
        <v/>
      </c>
      <c r="V4195">
        <f t="shared" si="262"/>
        <v>0</v>
      </c>
      <c r="W4195">
        <f t="shared" si="263"/>
        <v>0</v>
      </c>
    </row>
    <row r="4196" spans="5:23" x14ac:dyDescent="0.25">
      <c r="E4196" s="4"/>
      <c r="F4196" s="4"/>
      <c r="G4196" s="33" t="str">
        <f>IFERROR(VLOOKUP($D4196,'Informations sur les produits'!$A$3:$H$10000,8,FALSE),"0")</f>
        <v>0</v>
      </c>
      <c r="K4196" s="4"/>
      <c r="L4196" s="33" t="str">
        <f>IFERROR(VLOOKUP($J4196,'Informations sur les produits'!$A$3:$H$10000,8,FALSE),"0")</f>
        <v>0</v>
      </c>
      <c r="N4196" s="8"/>
      <c r="O4196" s="33" t="str">
        <f>IFERROR(VLOOKUP($M4196,'Informations sur les produits'!$A$3:$H$10000,8,FALSE),"0")</f>
        <v>0</v>
      </c>
      <c r="P4196" s="33">
        <f t="shared" si="260"/>
        <v>0</v>
      </c>
      <c r="Q4196" s="31" t="str">
        <f t="shared" si="261"/>
        <v/>
      </c>
      <c r="R4196" s="32" t="str">
        <f>IFERROR(VLOOKUP($D4196,'Informations sur les produits'!$A$3:$B$15000,2,FALSE),"")</f>
        <v/>
      </c>
      <c r="V4196">
        <f t="shared" si="262"/>
        <v>0</v>
      </c>
      <c r="W4196">
        <f t="shared" si="263"/>
        <v>0</v>
      </c>
    </row>
    <row r="4197" spans="5:23" x14ac:dyDescent="0.25">
      <c r="E4197" s="4"/>
      <c r="F4197" s="4"/>
      <c r="G4197" s="33" t="str">
        <f>IFERROR(VLOOKUP($D4197,'Informations sur les produits'!$A$3:$H$10000,8,FALSE),"0")</f>
        <v>0</v>
      </c>
      <c r="K4197" s="4"/>
      <c r="L4197" s="33" t="str">
        <f>IFERROR(VLOOKUP($J4197,'Informations sur les produits'!$A$3:$H$10000,8,FALSE),"0")</f>
        <v>0</v>
      </c>
      <c r="N4197" s="8"/>
      <c r="O4197" s="33" t="str">
        <f>IFERROR(VLOOKUP($M4197,'Informations sur les produits'!$A$3:$H$10000,8,FALSE),"0")</f>
        <v>0</v>
      </c>
      <c r="P4197" s="33">
        <f t="shared" si="260"/>
        <v>0</v>
      </c>
      <c r="Q4197" s="31" t="str">
        <f t="shared" si="261"/>
        <v/>
      </c>
      <c r="R4197" s="32" t="str">
        <f>IFERROR(VLOOKUP($D4197,'Informations sur les produits'!$A$3:$B$15000,2,FALSE),"")</f>
        <v/>
      </c>
      <c r="V4197">
        <f t="shared" si="262"/>
        <v>0</v>
      </c>
      <c r="W4197">
        <f t="shared" si="263"/>
        <v>0</v>
      </c>
    </row>
    <row r="4198" spans="5:23" x14ac:dyDescent="0.25">
      <c r="E4198" s="4"/>
      <c r="F4198" s="4"/>
      <c r="G4198" s="33" t="str">
        <f>IFERROR(VLOOKUP($D4198,'Informations sur les produits'!$A$3:$H$10000,8,FALSE),"0")</f>
        <v>0</v>
      </c>
      <c r="K4198" s="4"/>
      <c r="L4198" s="33" t="str">
        <f>IFERROR(VLOOKUP($J4198,'Informations sur les produits'!$A$3:$H$10000,8,FALSE),"0")</f>
        <v>0</v>
      </c>
      <c r="N4198" s="8"/>
      <c r="O4198" s="33" t="str">
        <f>IFERROR(VLOOKUP($M4198,'Informations sur les produits'!$A$3:$H$10000,8,FALSE),"0")</f>
        <v>0</v>
      </c>
      <c r="P4198" s="33">
        <f t="shared" si="260"/>
        <v>0</v>
      </c>
      <c r="Q4198" s="31" t="str">
        <f t="shared" si="261"/>
        <v/>
      </c>
      <c r="R4198" s="32" t="str">
        <f>IFERROR(VLOOKUP($D4198,'Informations sur les produits'!$A$3:$B$15000,2,FALSE),"")</f>
        <v/>
      </c>
      <c r="V4198">
        <f t="shared" si="262"/>
        <v>0</v>
      </c>
      <c r="W4198">
        <f t="shared" si="263"/>
        <v>0</v>
      </c>
    </row>
    <row r="4199" spans="5:23" x14ac:dyDescent="0.25">
      <c r="E4199" s="4"/>
      <c r="F4199" s="4"/>
      <c r="G4199" s="33" t="str">
        <f>IFERROR(VLOOKUP($D4199,'Informations sur les produits'!$A$3:$H$10000,8,FALSE),"0")</f>
        <v>0</v>
      </c>
      <c r="K4199" s="4"/>
      <c r="L4199" s="33" t="str">
        <f>IFERROR(VLOOKUP($J4199,'Informations sur les produits'!$A$3:$H$10000,8,FALSE),"0")</f>
        <v>0</v>
      </c>
      <c r="N4199" s="8"/>
      <c r="O4199" s="33" t="str">
        <f>IFERROR(VLOOKUP($M4199,'Informations sur les produits'!$A$3:$H$10000,8,FALSE),"0")</f>
        <v>0</v>
      </c>
      <c r="P4199" s="33">
        <f t="shared" si="260"/>
        <v>0</v>
      </c>
      <c r="Q4199" s="31" t="str">
        <f t="shared" si="261"/>
        <v/>
      </c>
      <c r="R4199" s="32" t="str">
        <f>IFERROR(VLOOKUP($D4199,'Informations sur les produits'!$A$3:$B$15000,2,FALSE),"")</f>
        <v/>
      </c>
      <c r="V4199">
        <f t="shared" si="262"/>
        <v>0</v>
      </c>
      <c r="W4199">
        <f t="shared" si="263"/>
        <v>0</v>
      </c>
    </row>
    <row r="4200" spans="5:23" x14ac:dyDescent="0.25">
      <c r="E4200" s="4"/>
      <c r="F4200" s="4"/>
      <c r="G4200" s="33" t="str">
        <f>IFERROR(VLOOKUP($D4200,'Informations sur les produits'!$A$3:$H$10000,8,FALSE),"0")</f>
        <v>0</v>
      </c>
      <c r="K4200" s="4"/>
      <c r="L4200" s="33" t="str">
        <f>IFERROR(VLOOKUP($J4200,'Informations sur les produits'!$A$3:$H$10000,8,FALSE),"0")</f>
        <v>0</v>
      </c>
      <c r="N4200" s="8"/>
      <c r="O4200" s="33" t="str">
        <f>IFERROR(VLOOKUP($M4200,'Informations sur les produits'!$A$3:$H$10000,8,FALSE),"0")</f>
        <v>0</v>
      </c>
      <c r="P4200" s="33">
        <f t="shared" si="260"/>
        <v>0</v>
      </c>
      <c r="Q4200" s="31" t="str">
        <f t="shared" si="261"/>
        <v/>
      </c>
      <c r="R4200" s="32" t="str">
        <f>IFERROR(VLOOKUP($D4200,'Informations sur les produits'!$A$3:$B$15000,2,FALSE),"")</f>
        <v/>
      </c>
      <c r="V4200">
        <f t="shared" si="262"/>
        <v>0</v>
      </c>
      <c r="W4200">
        <f t="shared" si="263"/>
        <v>0</v>
      </c>
    </row>
    <row r="4201" spans="5:23" x14ac:dyDescent="0.25">
      <c r="E4201" s="4"/>
      <c r="F4201" s="4"/>
      <c r="G4201" s="33" t="str">
        <f>IFERROR(VLOOKUP($D4201,'Informations sur les produits'!$A$3:$H$10000,8,FALSE),"0")</f>
        <v>0</v>
      </c>
      <c r="K4201" s="4"/>
      <c r="L4201" s="33" t="str">
        <f>IFERROR(VLOOKUP($J4201,'Informations sur les produits'!$A$3:$H$10000,8,FALSE),"0")</f>
        <v>0</v>
      </c>
      <c r="N4201" s="8"/>
      <c r="O4201" s="33" t="str">
        <f>IFERROR(VLOOKUP($M4201,'Informations sur les produits'!$A$3:$H$10000,8,FALSE),"0")</f>
        <v>0</v>
      </c>
      <c r="P4201" s="33">
        <f t="shared" si="260"/>
        <v>0</v>
      </c>
      <c r="Q4201" s="31" t="str">
        <f t="shared" si="261"/>
        <v/>
      </c>
      <c r="R4201" s="32" t="str">
        <f>IFERROR(VLOOKUP($D4201,'Informations sur les produits'!$A$3:$B$15000,2,FALSE),"")</f>
        <v/>
      </c>
      <c r="V4201">
        <f t="shared" si="262"/>
        <v>0</v>
      </c>
      <c r="W4201">
        <f t="shared" si="263"/>
        <v>0</v>
      </c>
    </row>
    <row r="4202" spans="5:23" x14ac:dyDescent="0.25">
      <c r="E4202" s="4"/>
      <c r="F4202" s="4"/>
      <c r="G4202" s="33" t="str">
        <f>IFERROR(VLOOKUP($D4202,'Informations sur les produits'!$A$3:$H$10000,8,FALSE),"0")</f>
        <v>0</v>
      </c>
      <c r="K4202" s="4"/>
      <c r="L4202" s="33" t="str">
        <f>IFERROR(VLOOKUP($J4202,'Informations sur les produits'!$A$3:$H$10000,8,FALSE),"0")</f>
        <v>0</v>
      </c>
      <c r="N4202" s="8"/>
      <c r="O4202" s="33" t="str">
        <f>IFERROR(VLOOKUP($M4202,'Informations sur les produits'!$A$3:$H$10000,8,FALSE),"0")</f>
        <v>0</v>
      </c>
      <c r="P4202" s="33">
        <f t="shared" si="260"/>
        <v>0</v>
      </c>
      <c r="Q4202" s="31" t="str">
        <f t="shared" si="261"/>
        <v/>
      </c>
      <c r="R4202" s="32" t="str">
        <f>IFERROR(VLOOKUP($D4202,'Informations sur les produits'!$A$3:$B$15000,2,FALSE),"")</f>
        <v/>
      </c>
      <c r="V4202">
        <f t="shared" si="262"/>
        <v>0</v>
      </c>
      <c r="W4202">
        <f t="shared" si="263"/>
        <v>0</v>
      </c>
    </row>
    <row r="4203" spans="5:23" x14ac:dyDescent="0.25">
      <c r="E4203" s="4"/>
      <c r="F4203" s="4"/>
      <c r="G4203" s="33" t="str">
        <f>IFERROR(VLOOKUP($D4203,'Informations sur les produits'!$A$3:$H$10000,8,FALSE),"0")</f>
        <v>0</v>
      </c>
      <c r="K4203" s="4"/>
      <c r="L4203" s="33" t="str">
        <f>IFERROR(VLOOKUP($J4203,'Informations sur les produits'!$A$3:$H$10000,8,FALSE),"0")</f>
        <v>0</v>
      </c>
      <c r="N4203" s="8"/>
      <c r="O4203" s="33" t="str">
        <f>IFERROR(VLOOKUP($M4203,'Informations sur les produits'!$A$3:$H$10000,8,FALSE),"0")</f>
        <v>0</v>
      </c>
      <c r="P4203" s="33">
        <f t="shared" si="260"/>
        <v>0</v>
      </c>
      <c r="Q4203" s="31" t="str">
        <f t="shared" si="261"/>
        <v/>
      </c>
      <c r="R4203" s="32" t="str">
        <f>IFERROR(VLOOKUP($D4203,'Informations sur les produits'!$A$3:$B$15000,2,FALSE),"")</f>
        <v/>
      </c>
      <c r="V4203">
        <f t="shared" si="262"/>
        <v>0</v>
      </c>
      <c r="W4203">
        <f t="shared" si="263"/>
        <v>0</v>
      </c>
    </row>
    <row r="4204" spans="5:23" x14ac:dyDescent="0.25">
      <c r="E4204" s="4"/>
      <c r="F4204" s="4"/>
      <c r="G4204" s="33" t="str">
        <f>IFERROR(VLOOKUP($D4204,'Informations sur les produits'!$A$3:$H$10000,8,FALSE),"0")</f>
        <v>0</v>
      </c>
      <c r="K4204" s="4"/>
      <c r="L4204" s="33" t="str">
        <f>IFERROR(VLOOKUP($J4204,'Informations sur les produits'!$A$3:$H$10000,8,FALSE),"0")</f>
        <v>0</v>
      </c>
      <c r="N4204" s="8"/>
      <c r="O4204" s="33" t="str">
        <f>IFERROR(VLOOKUP($M4204,'Informations sur les produits'!$A$3:$H$10000,8,FALSE),"0")</f>
        <v>0</v>
      </c>
      <c r="P4204" s="33">
        <f t="shared" si="260"/>
        <v>0</v>
      </c>
      <c r="Q4204" s="31" t="str">
        <f t="shared" si="261"/>
        <v/>
      </c>
      <c r="R4204" s="32" t="str">
        <f>IFERROR(VLOOKUP($D4204,'Informations sur les produits'!$A$3:$B$15000,2,FALSE),"")</f>
        <v/>
      </c>
      <c r="V4204">
        <f t="shared" si="262"/>
        <v>0</v>
      </c>
      <c r="W4204">
        <f t="shared" si="263"/>
        <v>0</v>
      </c>
    </row>
    <row r="4205" spans="5:23" x14ac:dyDescent="0.25">
      <c r="E4205" s="4"/>
      <c r="F4205" s="4"/>
      <c r="G4205" s="33" t="str">
        <f>IFERROR(VLOOKUP($D4205,'Informations sur les produits'!$A$3:$H$10000,8,FALSE),"0")</f>
        <v>0</v>
      </c>
      <c r="K4205" s="4"/>
      <c r="L4205" s="33" t="str">
        <f>IFERROR(VLOOKUP($J4205,'Informations sur les produits'!$A$3:$H$10000,8,FALSE),"0")</f>
        <v>0</v>
      </c>
      <c r="N4205" s="8"/>
      <c r="O4205" s="33" t="str">
        <f>IFERROR(VLOOKUP($M4205,'Informations sur les produits'!$A$3:$H$10000,8,FALSE),"0")</f>
        <v>0</v>
      </c>
      <c r="P4205" s="33">
        <f t="shared" si="260"/>
        <v>0</v>
      </c>
      <c r="Q4205" s="31" t="str">
        <f t="shared" si="261"/>
        <v/>
      </c>
      <c r="R4205" s="32" t="str">
        <f>IFERROR(VLOOKUP($D4205,'Informations sur les produits'!$A$3:$B$15000,2,FALSE),"")</f>
        <v/>
      </c>
      <c r="V4205">
        <f t="shared" si="262"/>
        <v>0</v>
      </c>
      <c r="W4205">
        <f t="shared" si="263"/>
        <v>0</v>
      </c>
    </row>
    <row r="4206" spans="5:23" x14ac:dyDescent="0.25">
      <c r="E4206" s="4"/>
      <c r="F4206" s="4"/>
      <c r="G4206" s="33" t="str">
        <f>IFERROR(VLOOKUP($D4206,'Informations sur les produits'!$A$3:$H$10000,8,FALSE),"0")</f>
        <v>0</v>
      </c>
      <c r="K4206" s="4"/>
      <c r="L4206" s="33" t="str">
        <f>IFERROR(VLOOKUP($J4206,'Informations sur les produits'!$A$3:$H$10000,8,FALSE),"0")</f>
        <v>0</v>
      </c>
      <c r="N4206" s="8"/>
      <c r="O4206" s="33" t="str">
        <f>IFERROR(VLOOKUP($M4206,'Informations sur les produits'!$A$3:$H$10000,8,FALSE),"0")</f>
        <v>0</v>
      </c>
      <c r="P4206" s="33">
        <f t="shared" si="260"/>
        <v>0</v>
      </c>
      <c r="Q4206" s="31" t="str">
        <f t="shared" si="261"/>
        <v/>
      </c>
      <c r="R4206" s="32" t="str">
        <f>IFERROR(VLOOKUP($D4206,'Informations sur les produits'!$A$3:$B$15000,2,FALSE),"")</f>
        <v/>
      </c>
      <c r="V4206">
        <f t="shared" si="262"/>
        <v>0</v>
      </c>
      <c r="W4206">
        <f t="shared" si="263"/>
        <v>0</v>
      </c>
    </row>
    <row r="4207" spans="5:23" x14ac:dyDescent="0.25">
      <c r="E4207" s="4"/>
      <c r="F4207" s="4"/>
      <c r="G4207" s="33" t="str">
        <f>IFERROR(VLOOKUP($D4207,'Informations sur les produits'!$A$3:$H$10000,8,FALSE),"0")</f>
        <v>0</v>
      </c>
      <c r="K4207" s="4"/>
      <c r="L4207" s="33" t="str">
        <f>IFERROR(VLOOKUP($J4207,'Informations sur les produits'!$A$3:$H$10000,8,FALSE),"0")</f>
        <v>0</v>
      </c>
      <c r="N4207" s="8"/>
      <c r="O4207" s="33" t="str">
        <f>IFERROR(VLOOKUP($M4207,'Informations sur les produits'!$A$3:$H$10000,8,FALSE),"0")</f>
        <v>0</v>
      </c>
      <c r="P4207" s="33">
        <f t="shared" si="260"/>
        <v>0</v>
      </c>
      <c r="Q4207" s="31" t="str">
        <f t="shared" si="261"/>
        <v/>
      </c>
      <c r="R4207" s="32" t="str">
        <f>IFERROR(VLOOKUP($D4207,'Informations sur les produits'!$A$3:$B$15000,2,FALSE),"")</f>
        <v/>
      </c>
      <c r="V4207">
        <f t="shared" si="262"/>
        <v>0</v>
      </c>
      <c r="W4207">
        <f t="shared" si="263"/>
        <v>0</v>
      </c>
    </row>
    <row r="4208" spans="5:23" x14ac:dyDescent="0.25">
      <c r="E4208" s="4"/>
      <c r="F4208" s="4"/>
      <c r="G4208" s="33" t="str">
        <f>IFERROR(VLOOKUP($D4208,'Informations sur les produits'!$A$3:$H$10000,8,FALSE),"0")</f>
        <v>0</v>
      </c>
      <c r="K4208" s="4"/>
      <c r="L4208" s="33" t="str">
        <f>IFERROR(VLOOKUP($J4208,'Informations sur les produits'!$A$3:$H$10000,8,FALSE),"0")</f>
        <v>0</v>
      </c>
      <c r="N4208" s="8"/>
      <c r="O4208" s="33" t="str">
        <f>IFERROR(VLOOKUP($M4208,'Informations sur les produits'!$A$3:$H$10000,8,FALSE),"0")</f>
        <v>0</v>
      </c>
      <c r="P4208" s="33">
        <f t="shared" si="260"/>
        <v>0</v>
      </c>
      <c r="Q4208" s="31" t="str">
        <f t="shared" si="261"/>
        <v/>
      </c>
      <c r="R4208" s="32" t="str">
        <f>IFERROR(VLOOKUP($D4208,'Informations sur les produits'!$A$3:$B$15000,2,FALSE),"")</f>
        <v/>
      </c>
      <c r="V4208">
        <f t="shared" si="262"/>
        <v>0</v>
      </c>
      <c r="W4208">
        <f t="shared" si="263"/>
        <v>0</v>
      </c>
    </row>
    <row r="4209" spans="5:23" x14ac:dyDescent="0.25">
      <c r="E4209" s="4"/>
      <c r="F4209" s="4"/>
      <c r="G4209" s="33" t="str">
        <f>IFERROR(VLOOKUP($D4209,'Informations sur les produits'!$A$3:$H$10000,8,FALSE),"0")</f>
        <v>0</v>
      </c>
      <c r="K4209" s="4"/>
      <c r="L4209" s="33" t="str">
        <f>IFERROR(VLOOKUP($J4209,'Informations sur les produits'!$A$3:$H$10000,8,FALSE),"0")</f>
        <v>0</v>
      </c>
      <c r="N4209" s="8"/>
      <c r="O4209" s="33" t="str">
        <f>IFERROR(VLOOKUP($M4209,'Informations sur les produits'!$A$3:$H$10000,8,FALSE),"0")</f>
        <v>0</v>
      </c>
      <c r="P4209" s="33">
        <f t="shared" si="260"/>
        <v>0</v>
      </c>
      <c r="Q4209" s="31" t="str">
        <f t="shared" si="261"/>
        <v/>
      </c>
      <c r="R4209" s="32" t="str">
        <f>IFERROR(VLOOKUP($D4209,'Informations sur les produits'!$A$3:$B$15000,2,FALSE),"")</f>
        <v/>
      </c>
      <c r="V4209">
        <f t="shared" si="262"/>
        <v>0</v>
      </c>
      <c r="W4209">
        <f t="shared" si="263"/>
        <v>0</v>
      </c>
    </row>
    <row r="4210" spans="5:23" x14ac:dyDescent="0.25">
      <c r="E4210" s="4"/>
      <c r="F4210" s="4"/>
      <c r="G4210" s="33" t="str">
        <f>IFERROR(VLOOKUP($D4210,'Informations sur les produits'!$A$3:$H$10000,8,FALSE),"0")</f>
        <v>0</v>
      </c>
      <c r="K4210" s="4"/>
      <c r="L4210" s="33" t="str">
        <f>IFERROR(VLOOKUP($J4210,'Informations sur les produits'!$A$3:$H$10000,8,FALSE),"0")</f>
        <v>0</v>
      </c>
      <c r="N4210" s="8"/>
      <c r="O4210" s="33" t="str">
        <f>IFERROR(VLOOKUP($M4210,'Informations sur les produits'!$A$3:$H$10000,8,FALSE),"0")</f>
        <v>0</v>
      </c>
      <c r="P4210" s="33">
        <f t="shared" si="260"/>
        <v>0</v>
      </c>
      <c r="Q4210" s="31" t="str">
        <f t="shared" si="261"/>
        <v/>
      </c>
      <c r="R4210" s="32" t="str">
        <f>IFERROR(VLOOKUP($D4210,'Informations sur les produits'!$A$3:$B$15000,2,FALSE),"")</f>
        <v/>
      </c>
      <c r="V4210">
        <f t="shared" si="262"/>
        <v>0</v>
      </c>
      <c r="W4210">
        <f t="shared" si="263"/>
        <v>0</v>
      </c>
    </row>
    <row r="4211" spans="5:23" x14ac:dyDescent="0.25">
      <c r="E4211" s="4"/>
      <c r="F4211" s="4"/>
      <c r="G4211" s="33" t="str">
        <f>IFERROR(VLOOKUP($D4211,'Informations sur les produits'!$A$3:$H$10000,8,FALSE),"0")</f>
        <v>0</v>
      </c>
      <c r="K4211" s="4"/>
      <c r="L4211" s="33" t="str">
        <f>IFERROR(VLOOKUP($J4211,'Informations sur les produits'!$A$3:$H$10000,8,FALSE),"0")</f>
        <v>0</v>
      </c>
      <c r="N4211" s="8"/>
      <c r="O4211" s="33" t="str">
        <f>IFERROR(VLOOKUP($M4211,'Informations sur les produits'!$A$3:$H$10000,8,FALSE),"0")</f>
        <v>0</v>
      </c>
      <c r="P4211" s="33">
        <f t="shared" si="260"/>
        <v>0</v>
      </c>
      <c r="Q4211" s="31" t="str">
        <f t="shared" si="261"/>
        <v/>
      </c>
      <c r="R4211" s="32" t="str">
        <f>IFERROR(VLOOKUP($D4211,'Informations sur les produits'!$A$3:$B$15000,2,FALSE),"")</f>
        <v/>
      </c>
      <c r="V4211">
        <f t="shared" si="262"/>
        <v>0</v>
      </c>
      <c r="W4211">
        <f t="shared" si="263"/>
        <v>0</v>
      </c>
    </row>
    <row r="4212" spans="5:23" x14ac:dyDescent="0.25">
      <c r="E4212" s="4"/>
      <c r="F4212" s="4"/>
      <c r="G4212" s="33" t="str">
        <f>IFERROR(VLOOKUP($D4212,'Informations sur les produits'!$A$3:$H$10000,8,FALSE),"0")</f>
        <v>0</v>
      </c>
      <c r="K4212" s="4"/>
      <c r="L4212" s="33" t="str">
        <f>IFERROR(VLOOKUP($J4212,'Informations sur les produits'!$A$3:$H$10000,8,FALSE),"0")</f>
        <v>0</v>
      </c>
      <c r="N4212" s="8"/>
      <c r="O4212" s="33" t="str">
        <f>IFERROR(VLOOKUP($M4212,'Informations sur les produits'!$A$3:$H$10000,8,FALSE),"0")</f>
        <v>0</v>
      </c>
      <c r="P4212" s="33">
        <f t="shared" si="260"/>
        <v>0</v>
      </c>
      <c r="Q4212" s="31" t="str">
        <f t="shared" si="261"/>
        <v/>
      </c>
      <c r="R4212" s="32" t="str">
        <f>IFERROR(VLOOKUP($D4212,'Informations sur les produits'!$A$3:$B$15000,2,FALSE),"")</f>
        <v/>
      </c>
      <c r="V4212">
        <f t="shared" si="262"/>
        <v>0</v>
      </c>
      <c r="W4212">
        <f t="shared" si="263"/>
        <v>0</v>
      </c>
    </row>
    <row r="4213" spans="5:23" x14ac:dyDescent="0.25">
      <c r="E4213" s="4"/>
      <c r="F4213" s="4"/>
      <c r="G4213" s="33" t="str">
        <f>IFERROR(VLOOKUP($D4213,'Informations sur les produits'!$A$3:$H$10000,8,FALSE),"0")</f>
        <v>0</v>
      </c>
      <c r="K4213" s="4"/>
      <c r="L4213" s="33" t="str">
        <f>IFERROR(VLOOKUP($J4213,'Informations sur les produits'!$A$3:$H$10000,8,FALSE),"0")</f>
        <v>0</v>
      </c>
      <c r="N4213" s="8"/>
      <c r="O4213" s="33" t="str">
        <f>IFERROR(VLOOKUP($M4213,'Informations sur les produits'!$A$3:$H$10000,8,FALSE),"0")</f>
        <v>0</v>
      </c>
      <c r="P4213" s="33">
        <f t="shared" si="260"/>
        <v>0</v>
      </c>
      <c r="Q4213" s="31" t="str">
        <f t="shared" si="261"/>
        <v/>
      </c>
      <c r="R4213" s="32" t="str">
        <f>IFERROR(VLOOKUP($D4213,'Informations sur les produits'!$A$3:$B$15000,2,FALSE),"")</f>
        <v/>
      </c>
      <c r="V4213">
        <f t="shared" si="262"/>
        <v>0</v>
      </c>
      <c r="W4213">
        <f t="shared" si="263"/>
        <v>0</v>
      </c>
    </row>
    <row r="4214" spans="5:23" x14ac:dyDescent="0.25">
      <c r="E4214" s="4"/>
      <c r="F4214" s="4"/>
      <c r="G4214" s="33" t="str">
        <f>IFERROR(VLOOKUP($D4214,'Informations sur les produits'!$A$3:$H$10000,8,FALSE),"0")</f>
        <v>0</v>
      </c>
      <c r="K4214" s="4"/>
      <c r="L4214" s="33" t="str">
        <f>IFERROR(VLOOKUP($J4214,'Informations sur les produits'!$A$3:$H$10000,8,FALSE),"0")</f>
        <v>0</v>
      </c>
      <c r="N4214" s="8"/>
      <c r="O4214" s="33" t="str">
        <f>IFERROR(VLOOKUP($M4214,'Informations sur les produits'!$A$3:$H$10000,8,FALSE),"0")</f>
        <v>0</v>
      </c>
      <c r="P4214" s="33">
        <f t="shared" si="260"/>
        <v>0</v>
      </c>
      <c r="Q4214" s="31" t="str">
        <f t="shared" si="261"/>
        <v/>
      </c>
      <c r="R4214" s="32" t="str">
        <f>IFERROR(VLOOKUP($D4214,'Informations sur les produits'!$A$3:$B$15000,2,FALSE),"")</f>
        <v/>
      </c>
      <c r="V4214">
        <f t="shared" si="262"/>
        <v>0</v>
      </c>
      <c r="W4214">
        <f t="shared" si="263"/>
        <v>0</v>
      </c>
    </row>
    <row r="4215" spans="5:23" x14ac:dyDescent="0.25">
      <c r="E4215" s="4"/>
      <c r="F4215" s="4"/>
      <c r="G4215" s="33" t="str">
        <f>IFERROR(VLOOKUP($D4215,'Informations sur les produits'!$A$3:$H$10000,8,FALSE),"0")</f>
        <v>0</v>
      </c>
      <c r="K4215" s="4"/>
      <c r="L4215" s="33" t="str">
        <f>IFERROR(VLOOKUP($J4215,'Informations sur les produits'!$A$3:$H$10000,8,FALSE),"0")</f>
        <v>0</v>
      </c>
      <c r="N4215" s="8"/>
      <c r="O4215" s="33" t="str">
        <f>IFERROR(VLOOKUP($M4215,'Informations sur les produits'!$A$3:$H$10000,8,FALSE),"0")</f>
        <v>0</v>
      </c>
      <c r="P4215" s="33">
        <f t="shared" si="260"/>
        <v>0</v>
      </c>
      <c r="Q4215" s="31" t="str">
        <f t="shared" si="261"/>
        <v/>
      </c>
      <c r="R4215" s="32" t="str">
        <f>IFERROR(VLOOKUP($D4215,'Informations sur les produits'!$A$3:$B$15000,2,FALSE),"")</f>
        <v/>
      </c>
      <c r="V4215">
        <f t="shared" si="262"/>
        <v>0</v>
      </c>
      <c r="W4215">
        <f t="shared" si="263"/>
        <v>0</v>
      </c>
    </row>
    <row r="4216" spans="5:23" x14ac:dyDescent="0.25">
      <c r="E4216" s="4"/>
      <c r="F4216" s="4"/>
      <c r="G4216" s="33" t="str">
        <f>IFERROR(VLOOKUP($D4216,'Informations sur les produits'!$A$3:$H$10000,8,FALSE),"0")</f>
        <v>0</v>
      </c>
      <c r="K4216" s="4"/>
      <c r="L4216" s="33" t="str">
        <f>IFERROR(VLOOKUP($J4216,'Informations sur les produits'!$A$3:$H$10000,8,FALSE),"0")</f>
        <v>0</v>
      </c>
      <c r="N4216" s="8"/>
      <c r="O4216" s="33" t="str">
        <f>IFERROR(VLOOKUP($M4216,'Informations sur les produits'!$A$3:$H$10000,8,FALSE),"0")</f>
        <v>0</v>
      </c>
      <c r="P4216" s="33">
        <f t="shared" si="260"/>
        <v>0</v>
      </c>
      <c r="Q4216" s="31" t="str">
        <f t="shared" si="261"/>
        <v/>
      </c>
      <c r="R4216" s="32" t="str">
        <f>IFERROR(VLOOKUP($D4216,'Informations sur les produits'!$A$3:$B$15000,2,FALSE),"")</f>
        <v/>
      </c>
      <c r="V4216">
        <f t="shared" si="262"/>
        <v>0</v>
      </c>
      <c r="W4216">
        <f t="shared" si="263"/>
        <v>0</v>
      </c>
    </row>
    <row r="4217" spans="5:23" x14ac:dyDescent="0.25">
      <c r="E4217" s="4"/>
      <c r="F4217" s="4"/>
      <c r="G4217" s="33" t="str">
        <f>IFERROR(VLOOKUP($D4217,'Informations sur les produits'!$A$3:$H$10000,8,FALSE),"0")</f>
        <v>0</v>
      </c>
      <c r="K4217" s="4"/>
      <c r="L4217" s="33" t="str">
        <f>IFERROR(VLOOKUP($J4217,'Informations sur les produits'!$A$3:$H$10000,8,FALSE),"0")</f>
        <v>0</v>
      </c>
      <c r="N4217" s="8"/>
      <c r="O4217" s="33" t="str">
        <f>IFERROR(VLOOKUP($M4217,'Informations sur les produits'!$A$3:$H$10000,8,FALSE),"0")</f>
        <v>0</v>
      </c>
      <c r="P4217" s="33">
        <f t="shared" si="260"/>
        <v>0</v>
      </c>
      <c r="Q4217" s="31" t="str">
        <f t="shared" si="261"/>
        <v/>
      </c>
      <c r="R4217" s="32" t="str">
        <f>IFERROR(VLOOKUP($D4217,'Informations sur les produits'!$A$3:$B$15000,2,FALSE),"")</f>
        <v/>
      </c>
      <c r="V4217">
        <f t="shared" si="262"/>
        <v>0</v>
      </c>
      <c r="W4217">
        <f t="shared" si="263"/>
        <v>0</v>
      </c>
    </row>
    <row r="4218" spans="5:23" x14ac:dyDescent="0.25">
      <c r="E4218" s="4"/>
      <c r="F4218" s="4"/>
      <c r="G4218" s="33" t="str">
        <f>IFERROR(VLOOKUP($D4218,'Informations sur les produits'!$A$3:$H$10000,8,FALSE),"0")</f>
        <v>0</v>
      </c>
      <c r="K4218" s="4"/>
      <c r="L4218" s="33" t="str">
        <f>IFERROR(VLOOKUP($J4218,'Informations sur les produits'!$A$3:$H$10000,8,FALSE),"0")</f>
        <v>0</v>
      </c>
      <c r="N4218" s="8"/>
      <c r="O4218" s="33" t="str">
        <f>IFERROR(VLOOKUP($M4218,'Informations sur les produits'!$A$3:$H$10000,8,FALSE),"0")</f>
        <v>0</v>
      </c>
      <c r="P4218" s="33">
        <f t="shared" si="260"/>
        <v>0</v>
      </c>
      <c r="Q4218" s="31" t="str">
        <f t="shared" si="261"/>
        <v/>
      </c>
      <c r="R4218" s="32" t="str">
        <f>IFERROR(VLOOKUP($D4218,'Informations sur les produits'!$A$3:$B$15000,2,FALSE),"")</f>
        <v/>
      </c>
      <c r="V4218">
        <f t="shared" si="262"/>
        <v>0</v>
      </c>
      <c r="W4218">
        <f t="shared" si="263"/>
        <v>0</v>
      </c>
    </row>
    <row r="4219" spans="5:23" x14ac:dyDescent="0.25">
      <c r="E4219" s="4"/>
      <c r="F4219" s="4"/>
      <c r="G4219" s="33" t="str">
        <f>IFERROR(VLOOKUP($D4219,'Informations sur les produits'!$A$3:$H$10000,8,FALSE),"0")</f>
        <v>0</v>
      </c>
      <c r="K4219" s="4"/>
      <c r="L4219" s="33" t="str">
        <f>IFERROR(VLOOKUP($J4219,'Informations sur les produits'!$A$3:$H$10000,8,FALSE),"0")</f>
        <v>0</v>
      </c>
      <c r="N4219" s="8"/>
      <c r="O4219" s="33" t="str">
        <f>IFERROR(VLOOKUP($M4219,'Informations sur les produits'!$A$3:$H$10000,8,FALSE),"0")</f>
        <v>0</v>
      </c>
      <c r="P4219" s="33">
        <f t="shared" si="260"/>
        <v>0</v>
      </c>
      <c r="Q4219" s="31" t="str">
        <f t="shared" si="261"/>
        <v/>
      </c>
      <c r="R4219" s="32" t="str">
        <f>IFERROR(VLOOKUP($D4219,'Informations sur les produits'!$A$3:$B$15000,2,FALSE),"")</f>
        <v/>
      </c>
      <c r="V4219">
        <f t="shared" si="262"/>
        <v>0</v>
      </c>
      <c r="W4219">
        <f t="shared" si="263"/>
        <v>0</v>
      </c>
    </row>
    <row r="4220" spans="5:23" x14ac:dyDescent="0.25">
      <c r="E4220" s="4"/>
      <c r="F4220" s="4"/>
      <c r="G4220" s="33" t="str">
        <f>IFERROR(VLOOKUP($D4220,'Informations sur les produits'!$A$3:$H$10000,8,FALSE),"0")</f>
        <v>0</v>
      </c>
      <c r="K4220" s="4"/>
      <c r="L4220" s="33" t="str">
        <f>IFERROR(VLOOKUP($J4220,'Informations sur les produits'!$A$3:$H$10000,8,FALSE),"0")</f>
        <v>0</v>
      </c>
      <c r="N4220" s="8"/>
      <c r="O4220" s="33" t="str">
        <f>IFERROR(VLOOKUP($M4220,'Informations sur les produits'!$A$3:$H$10000,8,FALSE),"0")</f>
        <v>0</v>
      </c>
      <c r="P4220" s="33">
        <f t="shared" si="260"/>
        <v>0</v>
      </c>
      <c r="Q4220" s="31" t="str">
        <f t="shared" si="261"/>
        <v/>
      </c>
      <c r="R4220" s="32" t="str">
        <f>IFERROR(VLOOKUP($D4220,'Informations sur les produits'!$A$3:$B$15000,2,FALSE),"")</f>
        <v/>
      </c>
      <c r="V4220">
        <f t="shared" si="262"/>
        <v>0</v>
      </c>
      <c r="W4220">
        <f t="shared" si="263"/>
        <v>0</v>
      </c>
    </row>
    <row r="4221" spans="5:23" x14ac:dyDescent="0.25">
      <c r="E4221" s="4"/>
      <c r="F4221" s="4"/>
      <c r="G4221" s="33" t="str">
        <f>IFERROR(VLOOKUP($D4221,'Informations sur les produits'!$A$3:$H$10000,8,FALSE),"0")</f>
        <v>0</v>
      </c>
      <c r="K4221" s="4"/>
      <c r="L4221" s="33" t="str">
        <f>IFERROR(VLOOKUP($J4221,'Informations sur les produits'!$A$3:$H$10000,8,FALSE),"0")</f>
        <v>0</v>
      </c>
      <c r="N4221" s="8"/>
      <c r="O4221" s="33" t="str">
        <f>IFERROR(VLOOKUP($M4221,'Informations sur les produits'!$A$3:$H$10000,8,FALSE),"0")</f>
        <v>0</v>
      </c>
      <c r="P4221" s="33">
        <f t="shared" si="260"/>
        <v>0</v>
      </c>
      <c r="Q4221" s="31" t="str">
        <f t="shared" si="261"/>
        <v/>
      </c>
      <c r="R4221" s="32" t="str">
        <f>IFERROR(VLOOKUP($D4221,'Informations sur les produits'!$A$3:$B$15000,2,FALSE),"")</f>
        <v/>
      </c>
      <c r="V4221">
        <f t="shared" si="262"/>
        <v>0</v>
      </c>
      <c r="W4221">
        <f t="shared" si="263"/>
        <v>0</v>
      </c>
    </row>
    <row r="4222" spans="5:23" x14ac:dyDescent="0.25">
      <c r="E4222" s="4"/>
      <c r="F4222" s="4"/>
      <c r="G4222" s="33" t="str">
        <f>IFERROR(VLOOKUP($D4222,'Informations sur les produits'!$A$3:$H$10000,8,FALSE),"0")</f>
        <v>0</v>
      </c>
      <c r="K4222" s="4"/>
      <c r="L4222" s="33" t="str">
        <f>IFERROR(VLOOKUP($J4222,'Informations sur les produits'!$A$3:$H$10000,8,FALSE),"0")</f>
        <v>0</v>
      </c>
      <c r="N4222" s="8"/>
      <c r="O4222" s="33" t="str">
        <f>IFERROR(VLOOKUP($M4222,'Informations sur les produits'!$A$3:$H$10000,8,FALSE),"0")</f>
        <v>0</v>
      </c>
      <c r="P4222" s="33">
        <f t="shared" si="260"/>
        <v>0</v>
      </c>
      <c r="Q4222" s="31" t="str">
        <f t="shared" si="261"/>
        <v/>
      </c>
      <c r="R4222" s="32" t="str">
        <f>IFERROR(VLOOKUP($D4222,'Informations sur les produits'!$A$3:$B$15000,2,FALSE),"")</f>
        <v/>
      </c>
      <c r="V4222">
        <f t="shared" si="262"/>
        <v>0</v>
      </c>
      <c r="W4222">
        <f t="shared" si="263"/>
        <v>0</v>
      </c>
    </row>
    <row r="4223" spans="5:23" x14ac:dyDescent="0.25">
      <c r="E4223" s="4"/>
      <c r="F4223" s="4"/>
      <c r="G4223" s="33" t="str">
        <f>IFERROR(VLOOKUP($D4223,'Informations sur les produits'!$A$3:$H$10000,8,FALSE),"0")</f>
        <v>0</v>
      </c>
      <c r="K4223" s="4"/>
      <c r="L4223" s="33" t="str">
        <f>IFERROR(VLOOKUP($J4223,'Informations sur les produits'!$A$3:$H$10000,8,FALSE),"0")</f>
        <v>0</v>
      </c>
      <c r="N4223" s="8"/>
      <c r="O4223" s="33" t="str">
        <f>IFERROR(VLOOKUP($M4223,'Informations sur les produits'!$A$3:$H$10000,8,FALSE),"0")</f>
        <v>0</v>
      </c>
      <c r="P4223" s="33">
        <f t="shared" si="260"/>
        <v>0</v>
      </c>
      <c r="Q4223" s="31" t="str">
        <f t="shared" si="261"/>
        <v/>
      </c>
      <c r="R4223" s="32" t="str">
        <f>IFERROR(VLOOKUP($D4223,'Informations sur les produits'!$A$3:$B$15000,2,FALSE),"")</f>
        <v/>
      </c>
      <c r="V4223">
        <f t="shared" si="262"/>
        <v>0</v>
      </c>
      <c r="W4223">
        <f t="shared" si="263"/>
        <v>0</v>
      </c>
    </row>
    <row r="4224" spans="5:23" x14ac:dyDescent="0.25">
      <c r="E4224" s="4"/>
      <c r="F4224" s="4"/>
      <c r="G4224" s="33" t="str">
        <f>IFERROR(VLOOKUP($D4224,'Informations sur les produits'!$A$3:$H$10000,8,FALSE),"0")</f>
        <v>0</v>
      </c>
      <c r="K4224" s="4"/>
      <c r="L4224" s="33" t="str">
        <f>IFERROR(VLOOKUP($J4224,'Informations sur les produits'!$A$3:$H$10000,8,FALSE),"0")</f>
        <v>0</v>
      </c>
      <c r="N4224" s="8"/>
      <c r="O4224" s="33" t="str">
        <f>IFERROR(VLOOKUP($M4224,'Informations sur les produits'!$A$3:$H$10000,8,FALSE),"0")</f>
        <v>0</v>
      </c>
      <c r="P4224" s="33">
        <f t="shared" si="260"/>
        <v>0</v>
      </c>
      <c r="Q4224" s="31" t="str">
        <f t="shared" si="261"/>
        <v/>
      </c>
      <c r="R4224" s="32" t="str">
        <f>IFERROR(VLOOKUP($D4224,'Informations sur les produits'!$A$3:$B$15000,2,FALSE),"")</f>
        <v/>
      </c>
      <c r="V4224">
        <f t="shared" si="262"/>
        <v>0</v>
      </c>
      <c r="W4224">
        <f t="shared" si="263"/>
        <v>0</v>
      </c>
    </row>
    <row r="4225" spans="5:23" x14ac:dyDescent="0.25">
      <c r="E4225" s="4"/>
      <c r="F4225" s="4"/>
      <c r="G4225" s="33" t="str">
        <f>IFERROR(VLOOKUP($D4225,'Informations sur les produits'!$A$3:$H$10000,8,FALSE),"0")</f>
        <v>0</v>
      </c>
      <c r="K4225" s="4"/>
      <c r="L4225" s="33" t="str">
        <f>IFERROR(VLOOKUP($J4225,'Informations sur les produits'!$A$3:$H$10000,8,FALSE),"0")</f>
        <v>0</v>
      </c>
      <c r="N4225" s="8"/>
      <c r="O4225" s="33" t="str">
        <f>IFERROR(VLOOKUP($M4225,'Informations sur les produits'!$A$3:$H$10000,8,FALSE),"0")</f>
        <v>0</v>
      </c>
      <c r="P4225" s="33">
        <f t="shared" si="260"/>
        <v>0</v>
      </c>
      <c r="Q4225" s="31" t="str">
        <f t="shared" si="261"/>
        <v/>
      </c>
      <c r="R4225" s="32" t="str">
        <f>IFERROR(VLOOKUP($D4225,'Informations sur les produits'!$A$3:$B$15000,2,FALSE),"")</f>
        <v/>
      </c>
      <c r="V4225">
        <f t="shared" si="262"/>
        <v>0</v>
      </c>
      <c r="W4225">
        <f t="shared" si="263"/>
        <v>0</v>
      </c>
    </row>
    <row r="4226" spans="5:23" x14ac:dyDescent="0.25">
      <c r="E4226" s="4"/>
      <c r="F4226" s="4"/>
      <c r="G4226" s="33" t="str">
        <f>IFERROR(VLOOKUP($D4226,'Informations sur les produits'!$A$3:$H$10000,8,FALSE),"0")</f>
        <v>0</v>
      </c>
      <c r="K4226" s="4"/>
      <c r="L4226" s="33" t="str">
        <f>IFERROR(VLOOKUP($J4226,'Informations sur les produits'!$A$3:$H$10000,8,FALSE),"0")</f>
        <v>0</v>
      </c>
      <c r="N4226" s="8"/>
      <c r="O4226" s="33" t="str">
        <f>IFERROR(VLOOKUP($M4226,'Informations sur les produits'!$A$3:$H$10000,8,FALSE),"0")</f>
        <v>0</v>
      </c>
      <c r="P4226" s="33">
        <f t="shared" si="260"/>
        <v>0</v>
      </c>
      <c r="Q4226" s="31" t="str">
        <f t="shared" si="261"/>
        <v/>
      </c>
      <c r="R4226" s="32" t="str">
        <f>IFERROR(VLOOKUP($D4226,'Informations sur les produits'!$A$3:$B$15000,2,FALSE),"")</f>
        <v/>
      </c>
      <c r="V4226">
        <f t="shared" si="262"/>
        <v>0</v>
      </c>
      <c r="W4226">
        <f t="shared" si="263"/>
        <v>0</v>
      </c>
    </row>
    <row r="4227" spans="5:23" x14ac:dyDescent="0.25">
      <c r="E4227" s="4"/>
      <c r="F4227" s="4"/>
      <c r="G4227" s="33" t="str">
        <f>IFERROR(VLOOKUP($D4227,'Informations sur les produits'!$A$3:$H$10000,8,FALSE),"0")</f>
        <v>0</v>
      </c>
      <c r="K4227" s="4"/>
      <c r="L4227" s="33" t="str">
        <f>IFERROR(VLOOKUP($J4227,'Informations sur les produits'!$A$3:$H$10000,8,FALSE),"0")</f>
        <v>0</v>
      </c>
      <c r="N4227" s="8"/>
      <c r="O4227" s="33" t="str">
        <f>IFERROR(VLOOKUP($M4227,'Informations sur les produits'!$A$3:$H$10000,8,FALSE),"0")</f>
        <v>0</v>
      </c>
      <c r="P4227" s="33">
        <f t="shared" si="260"/>
        <v>0</v>
      </c>
      <c r="Q4227" s="31" t="str">
        <f t="shared" si="261"/>
        <v/>
      </c>
      <c r="R4227" s="32" t="str">
        <f>IFERROR(VLOOKUP($D4227,'Informations sur les produits'!$A$3:$B$15000,2,FALSE),"")</f>
        <v/>
      </c>
      <c r="V4227">
        <f t="shared" si="262"/>
        <v>0</v>
      </c>
      <c r="W4227">
        <f t="shared" si="263"/>
        <v>0</v>
      </c>
    </row>
    <row r="4228" spans="5:23" x14ac:dyDescent="0.25">
      <c r="E4228" s="4"/>
      <c r="F4228" s="4"/>
      <c r="G4228" s="33" t="str">
        <f>IFERROR(VLOOKUP($D4228,'Informations sur les produits'!$A$3:$H$10000,8,FALSE),"0")</f>
        <v>0</v>
      </c>
      <c r="K4228" s="4"/>
      <c r="L4228" s="33" t="str">
        <f>IFERROR(VLOOKUP($J4228,'Informations sur les produits'!$A$3:$H$10000,8,FALSE),"0")</f>
        <v>0</v>
      </c>
      <c r="N4228" s="8"/>
      <c r="O4228" s="33" t="str">
        <f>IFERROR(VLOOKUP($M4228,'Informations sur les produits'!$A$3:$H$10000,8,FALSE),"0")</f>
        <v>0</v>
      </c>
      <c r="P4228" s="33">
        <f t="shared" ref="P4228:P4291" si="264">IFERROR((($E4228-$F4228)*$G4228+$K4228*$L4228+$N4228*$O4228),"")</f>
        <v>0</v>
      </c>
      <c r="Q4228" s="31" t="str">
        <f t="shared" ref="Q4228:Q4291" si="265">IFERROR((((($E4228-$F4228)*$G4228+$K4228*$L4228+$N4228*$O4228)*1000)/(($E4228-$F4228)+$K4228+$N4228)),"")</f>
        <v/>
      </c>
      <c r="R4228" s="32" t="str">
        <f>IFERROR(VLOOKUP($D4228,'Informations sur les produits'!$A$3:$B$15000,2,FALSE),"")</f>
        <v/>
      </c>
      <c r="V4228">
        <f t="shared" ref="V4228:V4291" si="266">IFERROR(P4228*1000,"")</f>
        <v>0</v>
      </c>
      <c r="W4228">
        <f t="shared" ref="W4228:W4291" si="267">IFERROR(($E4228-$F4228)+$K4228+$N4228,"")</f>
        <v>0</v>
      </c>
    </row>
    <row r="4229" spans="5:23" x14ac:dyDescent="0.25">
      <c r="E4229" s="4"/>
      <c r="F4229" s="4"/>
      <c r="G4229" s="33" t="str">
        <f>IFERROR(VLOOKUP($D4229,'Informations sur les produits'!$A$3:$H$10000,8,FALSE),"0")</f>
        <v>0</v>
      </c>
      <c r="K4229" s="4"/>
      <c r="L4229" s="33" t="str">
        <f>IFERROR(VLOOKUP($J4229,'Informations sur les produits'!$A$3:$H$10000,8,FALSE),"0")</f>
        <v>0</v>
      </c>
      <c r="N4229" s="8"/>
      <c r="O4229" s="33" t="str">
        <f>IFERROR(VLOOKUP($M4229,'Informations sur les produits'!$A$3:$H$10000,8,FALSE),"0")</f>
        <v>0</v>
      </c>
      <c r="P4229" s="33">
        <f t="shared" si="264"/>
        <v>0</v>
      </c>
      <c r="Q4229" s="31" t="str">
        <f t="shared" si="265"/>
        <v/>
      </c>
      <c r="R4229" s="32" t="str">
        <f>IFERROR(VLOOKUP($D4229,'Informations sur les produits'!$A$3:$B$15000,2,FALSE),"")</f>
        <v/>
      </c>
      <c r="V4229">
        <f t="shared" si="266"/>
        <v>0</v>
      </c>
      <c r="W4229">
        <f t="shared" si="267"/>
        <v>0</v>
      </c>
    </row>
    <row r="4230" spans="5:23" x14ac:dyDescent="0.25">
      <c r="E4230" s="4"/>
      <c r="F4230" s="4"/>
      <c r="G4230" s="33" t="str">
        <f>IFERROR(VLOOKUP($D4230,'Informations sur les produits'!$A$3:$H$10000,8,FALSE),"0")</f>
        <v>0</v>
      </c>
      <c r="K4230" s="4"/>
      <c r="L4230" s="33" t="str">
        <f>IFERROR(VLOOKUP($J4230,'Informations sur les produits'!$A$3:$H$10000,8,FALSE),"0")</f>
        <v>0</v>
      </c>
      <c r="N4230" s="8"/>
      <c r="O4230" s="33" t="str">
        <f>IFERROR(VLOOKUP($M4230,'Informations sur les produits'!$A$3:$H$10000,8,FALSE),"0")</f>
        <v>0</v>
      </c>
      <c r="P4230" s="33">
        <f t="shared" si="264"/>
        <v>0</v>
      </c>
      <c r="Q4230" s="31" t="str">
        <f t="shared" si="265"/>
        <v/>
      </c>
      <c r="R4230" s="32" t="str">
        <f>IFERROR(VLOOKUP($D4230,'Informations sur les produits'!$A$3:$B$15000,2,FALSE),"")</f>
        <v/>
      </c>
      <c r="V4230">
        <f t="shared" si="266"/>
        <v>0</v>
      </c>
      <c r="W4230">
        <f t="shared" si="267"/>
        <v>0</v>
      </c>
    </row>
    <row r="4231" spans="5:23" x14ac:dyDescent="0.25">
      <c r="E4231" s="4"/>
      <c r="F4231" s="4"/>
      <c r="G4231" s="33" t="str">
        <f>IFERROR(VLOOKUP($D4231,'Informations sur les produits'!$A$3:$H$10000,8,FALSE),"0")</f>
        <v>0</v>
      </c>
      <c r="K4231" s="4"/>
      <c r="L4231" s="33" t="str">
        <f>IFERROR(VLOOKUP($J4231,'Informations sur les produits'!$A$3:$H$10000,8,FALSE),"0")</f>
        <v>0</v>
      </c>
      <c r="N4231" s="8"/>
      <c r="O4231" s="33" t="str">
        <f>IFERROR(VLOOKUP($M4231,'Informations sur les produits'!$A$3:$H$10000,8,FALSE),"0")</f>
        <v>0</v>
      </c>
      <c r="P4231" s="33">
        <f t="shared" si="264"/>
        <v>0</v>
      </c>
      <c r="Q4231" s="31" t="str">
        <f t="shared" si="265"/>
        <v/>
      </c>
      <c r="R4231" s="32" t="str">
        <f>IFERROR(VLOOKUP($D4231,'Informations sur les produits'!$A$3:$B$15000,2,FALSE),"")</f>
        <v/>
      </c>
      <c r="V4231">
        <f t="shared" si="266"/>
        <v>0</v>
      </c>
      <c r="W4231">
        <f t="shared" si="267"/>
        <v>0</v>
      </c>
    </row>
    <row r="4232" spans="5:23" x14ac:dyDescent="0.25">
      <c r="E4232" s="4"/>
      <c r="F4232" s="4"/>
      <c r="G4232" s="33" t="str">
        <f>IFERROR(VLOOKUP($D4232,'Informations sur les produits'!$A$3:$H$10000,8,FALSE),"0")</f>
        <v>0</v>
      </c>
      <c r="K4232" s="4"/>
      <c r="L4232" s="33" t="str">
        <f>IFERROR(VLOOKUP($J4232,'Informations sur les produits'!$A$3:$H$10000,8,FALSE),"0")</f>
        <v>0</v>
      </c>
      <c r="N4232" s="8"/>
      <c r="O4232" s="33" t="str">
        <f>IFERROR(VLOOKUP($M4232,'Informations sur les produits'!$A$3:$H$10000,8,FALSE),"0")</f>
        <v>0</v>
      </c>
      <c r="P4232" s="33">
        <f t="shared" si="264"/>
        <v>0</v>
      </c>
      <c r="Q4232" s="31" t="str">
        <f t="shared" si="265"/>
        <v/>
      </c>
      <c r="R4232" s="32" t="str">
        <f>IFERROR(VLOOKUP($D4232,'Informations sur les produits'!$A$3:$B$15000,2,FALSE),"")</f>
        <v/>
      </c>
      <c r="V4232">
        <f t="shared" si="266"/>
        <v>0</v>
      </c>
      <c r="W4232">
        <f t="shared" si="267"/>
        <v>0</v>
      </c>
    </row>
    <row r="4233" spans="5:23" x14ac:dyDescent="0.25">
      <c r="E4233" s="4"/>
      <c r="F4233" s="4"/>
      <c r="G4233" s="33" t="str">
        <f>IFERROR(VLOOKUP($D4233,'Informations sur les produits'!$A$3:$H$10000,8,FALSE),"0")</f>
        <v>0</v>
      </c>
      <c r="K4233" s="4"/>
      <c r="L4233" s="33" t="str">
        <f>IFERROR(VLOOKUP($J4233,'Informations sur les produits'!$A$3:$H$10000,8,FALSE),"0")</f>
        <v>0</v>
      </c>
      <c r="N4233" s="8"/>
      <c r="O4233" s="33" t="str">
        <f>IFERROR(VLOOKUP($M4233,'Informations sur les produits'!$A$3:$H$10000,8,FALSE),"0")</f>
        <v>0</v>
      </c>
      <c r="P4233" s="33">
        <f t="shared" si="264"/>
        <v>0</v>
      </c>
      <c r="Q4233" s="31" t="str">
        <f t="shared" si="265"/>
        <v/>
      </c>
      <c r="R4233" s="32" t="str">
        <f>IFERROR(VLOOKUP($D4233,'Informations sur les produits'!$A$3:$B$15000,2,FALSE),"")</f>
        <v/>
      </c>
      <c r="V4233">
        <f t="shared" si="266"/>
        <v>0</v>
      </c>
      <c r="W4233">
        <f t="shared" si="267"/>
        <v>0</v>
      </c>
    </row>
    <row r="4234" spans="5:23" x14ac:dyDescent="0.25">
      <c r="E4234" s="4"/>
      <c r="F4234" s="4"/>
      <c r="G4234" s="33" t="str">
        <f>IFERROR(VLOOKUP($D4234,'Informations sur les produits'!$A$3:$H$10000,8,FALSE),"0")</f>
        <v>0</v>
      </c>
      <c r="K4234" s="4"/>
      <c r="L4234" s="33" t="str">
        <f>IFERROR(VLOOKUP($J4234,'Informations sur les produits'!$A$3:$H$10000,8,FALSE),"0")</f>
        <v>0</v>
      </c>
      <c r="N4234" s="8"/>
      <c r="O4234" s="33" t="str">
        <f>IFERROR(VLOOKUP($M4234,'Informations sur les produits'!$A$3:$H$10000,8,FALSE),"0")</f>
        <v>0</v>
      </c>
      <c r="P4234" s="33">
        <f t="shared" si="264"/>
        <v>0</v>
      </c>
      <c r="Q4234" s="31" t="str">
        <f t="shared" si="265"/>
        <v/>
      </c>
      <c r="R4234" s="32" t="str">
        <f>IFERROR(VLOOKUP($D4234,'Informations sur les produits'!$A$3:$B$15000,2,FALSE),"")</f>
        <v/>
      </c>
      <c r="V4234">
        <f t="shared" si="266"/>
        <v>0</v>
      </c>
      <c r="W4234">
        <f t="shared" si="267"/>
        <v>0</v>
      </c>
    </row>
    <row r="4235" spans="5:23" x14ac:dyDescent="0.25">
      <c r="E4235" s="4"/>
      <c r="F4235" s="4"/>
      <c r="G4235" s="33" t="str">
        <f>IFERROR(VLOOKUP($D4235,'Informations sur les produits'!$A$3:$H$10000,8,FALSE),"0")</f>
        <v>0</v>
      </c>
      <c r="K4235" s="4"/>
      <c r="L4235" s="33" t="str">
        <f>IFERROR(VLOOKUP($J4235,'Informations sur les produits'!$A$3:$H$10000,8,FALSE),"0")</f>
        <v>0</v>
      </c>
      <c r="N4235" s="8"/>
      <c r="O4235" s="33" t="str">
        <f>IFERROR(VLOOKUP($M4235,'Informations sur les produits'!$A$3:$H$10000,8,FALSE),"0")</f>
        <v>0</v>
      </c>
      <c r="P4235" s="33">
        <f t="shared" si="264"/>
        <v>0</v>
      </c>
      <c r="Q4235" s="31" t="str">
        <f t="shared" si="265"/>
        <v/>
      </c>
      <c r="R4235" s="32" t="str">
        <f>IFERROR(VLOOKUP($D4235,'Informations sur les produits'!$A$3:$B$15000,2,FALSE),"")</f>
        <v/>
      </c>
      <c r="V4235">
        <f t="shared" si="266"/>
        <v>0</v>
      </c>
      <c r="W4235">
        <f t="shared" si="267"/>
        <v>0</v>
      </c>
    </row>
    <row r="4236" spans="5:23" x14ac:dyDescent="0.25">
      <c r="E4236" s="4"/>
      <c r="F4236" s="4"/>
      <c r="G4236" s="33" t="str">
        <f>IFERROR(VLOOKUP($D4236,'Informations sur les produits'!$A$3:$H$10000,8,FALSE),"0")</f>
        <v>0</v>
      </c>
      <c r="K4236" s="4"/>
      <c r="L4236" s="33" t="str">
        <f>IFERROR(VLOOKUP($J4236,'Informations sur les produits'!$A$3:$H$10000,8,FALSE),"0")</f>
        <v>0</v>
      </c>
      <c r="N4236" s="8"/>
      <c r="O4236" s="33" t="str">
        <f>IFERROR(VLOOKUP($M4236,'Informations sur les produits'!$A$3:$H$10000,8,FALSE),"0")</f>
        <v>0</v>
      </c>
      <c r="P4236" s="33">
        <f t="shared" si="264"/>
        <v>0</v>
      </c>
      <c r="Q4236" s="31" t="str">
        <f t="shared" si="265"/>
        <v/>
      </c>
      <c r="R4236" s="32" t="str">
        <f>IFERROR(VLOOKUP($D4236,'Informations sur les produits'!$A$3:$B$15000,2,FALSE),"")</f>
        <v/>
      </c>
      <c r="V4236">
        <f t="shared" si="266"/>
        <v>0</v>
      </c>
      <c r="W4236">
        <f t="shared" si="267"/>
        <v>0</v>
      </c>
    </row>
    <row r="4237" spans="5:23" x14ac:dyDescent="0.25">
      <c r="E4237" s="4"/>
      <c r="F4237" s="4"/>
      <c r="G4237" s="33" t="str">
        <f>IFERROR(VLOOKUP($D4237,'Informations sur les produits'!$A$3:$H$10000,8,FALSE),"0")</f>
        <v>0</v>
      </c>
      <c r="K4237" s="4"/>
      <c r="L4237" s="33" t="str">
        <f>IFERROR(VLOOKUP($J4237,'Informations sur les produits'!$A$3:$H$10000,8,FALSE),"0")</f>
        <v>0</v>
      </c>
      <c r="N4237" s="8"/>
      <c r="O4237" s="33" t="str">
        <f>IFERROR(VLOOKUP($M4237,'Informations sur les produits'!$A$3:$H$10000,8,FALSE),"0")</f>
        <v>0</v>
      </c>
      <c r="P4237" s="33">
        <f t="shared" si="264"/>
        <v>0</v>
      </c>
      <c r="Q4237" s="31" t="str">
        <f t="shared" si="265"/>
        <v/>
      </c>
      <c r="R4237" s="32" t="str">
        <f>IFERROR(VLOOKUP($D4237,'Informations sur les produits'!$A$3:$B$15000,2,FALSE),"")</f>
        <v/>
      </c>
      <c r="V4237">
        <f t="shared" si="266"/>
        <v>0</v>
      </c>
      <c r="W4237">
        <f t="shared" si="267"/>
        <v>0</v>
      </c>
    </row>
    <row r="4238" spans="5:23" x14ac:dyDescent="0.25">
      <c r="E4238" s="4"/>
      <c r="F4238" s="4"/>
      <c r="G4238" s="33" t="str">
        <f>IFERROR(VLOOKUP($D4238,'Informations sur les produits'!$A$3:$H$10000,8,FALSE),"0")</f>
        <v>0</v>
      </c>
      <c r="K4238" s="4"/>
      <c r="L4238" s="33" t="str">
        <f>IFERROR(VLOOKUP($J4238,'Informations sur les produits'!$A$3:$H$10000,8,FALSE),"0")</f>
        <v>0</v>
      </c>
      <c r="N4238" s="8"/>
      <c r="O4238" s="33" t="str">
        <f>IFERROR(VLOOKUP($M4238,'Informations sur les produits'!$A$3:$H$10000,8,FALSE),"0")</f>
        <v>0</v>
      </c>
      <c r="P4238" s="33">
        <f t="shared" si="264"/>
        <v>0</v>
      </c>
      <c r="Q4238" s="31" t="str">
        <f t="shared" si="265"/>
        <v/>
      </c>
      <c r="R4238" s="32" t="str">
        <f>IFERROR(VLOOKUP($D4238,'Informations sur les produits'!$A$3:$B$15000,2,FALSE),"")</f>
        <v/>
      </c>
      <c r="V4238">
        <f t="shared" si="266"/>
        <v>0</v>
      </c>
      <c r="W4238">
        <f t="shared" si="267"/>
        <v>0</v>
      </c>
    </row>
    <row r="4239" spans="5:23" x14ac:dyDescent="0.25">
      <c r="E4239" s="4"/>
      <c r="F4239" s="4"/>
      <c r="G4239" s="33" t="str">
        <f>IFERROR(VLOOKUP($D4239,'Informations sur les produits'!$A$3:$H$10000,8,FALSE),"0")</f>
        <v>0</v>
      </c>
      <c r="K4239" s="4"/>
      <c r="L4239" s="33" t="str">
        <f>IFERROR(VLOOKUP($J4239,'Informations sur les produits'!$A$3:$H$10000,8,FALSE),"0")</f>
        <v>0</v>
      </c>
      <c r="N4239" s="8"/>
      <c r="O4239" s="33" t="str">
        <f>IFERROR(VLOOKUP($M4239,'Informations sur les produits'!$A$3:$H$10000,8,FALSE),"0")</f>
        <v>0</v>
      </c>
      <c r="P4239" s="33">
        <f t="shared" si="264"/>
        <v>0</v>
      </c>
      <c r="Q4239" s="31" t="str">
        <f t="shared" si="265"/>
        <v/>
      </c>
      <c r="R4239" s="32" t="str">
        <f>IFERROR(VLOOKUP($D4239,'Informations sur les produits'!$A$3:$B$15000,2,FALSE),"")</f>
        <v/>
      </c>
      <c r="V4239">
        <f t="shared" si="266"/>
        <v>0</v>
      </c>
      <c r="W4239">
        <f t="shared" si="267"/>
        <v>0</v>
      </c>
    </row>
    <row r="4240" spans="5:23" x14ac:dyDescent="0.25">
      <c r="E4240" s="4"/>
      <c r="F4240" s="4"/>
      <c r="G4240" s="33" t="str">
        <f>IFERROR(VLOOKUP($D4240,'Informations sur les produits'!$A$3:$H$10000,8,FALSE),"0")</f>
        <v>0</v>
      </c>
      <c r="K4240" s="4"/>
      <c r="L4240" s="33" t="str">
        <f>IFERROR(VLOOKUP($J4240,'Informations sur les produits'!$A$3:$H$10000,8,FALSE),"0")</f>
        <v>0</v>
      </c>
      <c r="N4240" s="8"/>
      <c r="O4240" s="33" t="str">
        <f>IFERROR(VLOOKUP($M4240,'Informations sur les produits'!$A$3:$H$10000,8,FALSE),"0")</f>
        <v>0</v>
      </c>
      <c r="P4240" s="33">
        <f t="shared" si="264"/>
        <v>0</v>
      </c>
      <c r="Q4240" s="31" t="str">
        <f t="shared" si="265"/>
        <v/>
      </c>
      <c r="R4240" s="32" t="str">
        <f>IFERROR(VLOOKUP($D4240,'Informations sur les produits'!$A$3:$B$15000,2,FALSE),"")</f>
        <v/>
      </c>
      <c r="V4240">
        <f t="shared" si="266"/>
        <v>0</v>
      </c>
      <c r="W4240">
        <f t="shared" si="267"/>
        <v>0</v>
      </c>
    </row>
    <row r="4241" spans="5:23" x14ac:dyDescent="0.25">
      <c r="E4241" s="4"/>
      <c r="F4241" s="4"/>
      <c r="G4241" s="33" t="str">
        <f>IFERROR(VLOOKUP($D4241,'Informations sur les produits'!$A$3:$H$10000,8,FALSE),"0")</f>
        <v>0</v>
      </c>
      <c r="K4241" s="4"/>
      <c r="L4241" s="33" t="str">
        <f>IFERROR(VLOOKUP($J4241,'Informations sur les produits'!$A$3:$H$10000,8,FALSE),"0")</f>
        <v>0</v>
      </c>
      <c r="N4241" s="8"/>
      <c r="O4241" s="33" t="str">
        <f>IFERROR(VLOOKUP($M4241,'Informations sur les produits'!$A$3:$H$10000,8,FALSE),"0")</f>
        <v>0</v>
      </c>
      <c r="P4241" s="33">
        <f t="shared" si="264"/>
        <v>0</v>
      </c>
      <c r="Q4241" s="31" t="str">
        <f t="shared" si="265"/>
        <v/>
      </c>
      <c r="R4241" s="32" t="str">
        <f>IFERROR(VLOOKUP($D4241,'Informations sur les produits'!$A$3:$B$15000,2,FALSE),"")</f>
        <v/>
      </c>
      <c r="V4241">
        <f t="shared" si="266"/>
        <v>0</v>
      </c>
      <c r="W4241">
        <f t="shared" si="267"/>
        <v>0</v>
      </c>
    </row>
    <row r="4242" spans="5:23" x14ac:dyDescent="0.25">
      <c r="E4242" s="4"/>
      <c r="F4242" s="4"/>
      <c r="G4242" s="33" t="str">
        <f>IFERROR(VLOOKUP($D4242,'Informations sur les produits'!$A$3:$H$10000,8,FALSE),"0")</f>
        <v>0</v>
      </c>
      <c r="K4242" s="4"/>
      <c r="L4242" s="33" t="str">
        <f>IFERROR(VLOOKUP($J4242,'Informations sur les produits'!$A$3:$H$10000,8,FALSE),"0")</f>
        <v>0</v>
      </c>
      <c r="N4242" s="8"/>
      <c r="O4242" s="33" t="str">
        <f>IFERROR(VLOOKUP($M4242,'Informations sur les produits'!$A$3:$H$10000,8,FALSE),"0")</f>
        <v>0</v>
      </c>
      <c r="P4242" s="33">
        <f t="shared" si="264"/>
        <v>0</v>
      </c>
      <c r="Q4242" s="31" t="str">
        <f t="shared" si="265"/>
        <v/>
      </c>
      <c r="R4242" s="32" t="str">
        <f>IFERROR(VLOOKUP($D4242,'Informations sur les produits'!$A$3:$B$15000,2,FALSE),"")</f>
        <v/>
      </c>
      <c r="V4242">
        <f t="shared" si="266"/>
        <v>0</v>
      </c>
      <c r="W4242">
        <f t="shared" si="267"/>
        <v>0</v>
      </c>
    </row>
    <row r="4243" spans="5:23" x14ac:dyDescent="0.25">
      <c r="E4243" s="4"/>
      <c r="F4243" s="4"/>
      <c r="G4243" s="33" t="str">
        <f>IFERROR(VLOOKUP($D4243,'Informations sur les produits'!$A$3:$H$10000,8,FALSE),"0")</f>
        <v>0</v>
      </c>
      <c r="K4243" s="4"/>
      <c r="L4243" s="33" t="str">
        <f>IFERROR(VLOOKUP($J4243,'Informations sur les produits'!$A$3:$H$10000,8,FALSE),"0")</f>
        <v>0</v>
      </c>
      <c r="N4243" s="8"/>
      <c r="O4243" s="33" t="str">
        <f>IFERROR(VLOOKUP($M4243,'Informations sur les produits'!$A$3:$H$10000,8,FALSE),"0")</f>
        <v>0</v>
      </c>
      <c r="P4243" s="33">
        <f t="shared" si="264"/>
        <v>0</v>
      </c>
      <c r="Q4243" s="31" t="str">
        <f t="shared" si="265"/>
        <v/>
      </c>
      <c r="R4243" s="32" t="str">
        <f>IFERROR(VLOOKUP($D4243,'Informations sur les produits'!$A$3:$B$15000,2,FALSE),"")</f>
        <v/>
      </c>
      <c r="V4243">
        <f t="shared" si="266"/>
        <v>0</v>
      </c>
      <c r="W4243">
        <f t="shared" si="267"/>
        <v>0</v>
      </c>
    </row>
    <row r="4244" spans="5:23" x14ac:dyDescent="0.25">
      <c r="E4244" s="4"/>
      <c r="F4244" s="4"/>
      <c r="G4244" s="33" t="str">
        <f>IFERROR(VLOOKUP($D4244,'Informations sur les produits'!$A$3:$H$10000,8,FALSE),"0")</f>
        <v>0</v>
      </c>
      <c r="K4244" s="4"/>
      <c r="L4244" s="33" t="str">
        <f>IFERROR(VLOOKUP($J4244,'Informations sur les produits'!$A$3:$H$10000,8,FALSE),"0")</f>
        <v>0</v>
      </c>
      <c r="N4244" s="8"/>
      <c r="O4244" s="33" t="str">
        <f>IFERROR(VLOOKUP($M4244,'Informations sur les produits'!$A$3:$H$10000,8,FALSE),"0")</f>
        <v>0</v>
      </c>
      <c r="P4244" s="33">
        <f t="shared" si="264"/>
        <v>0</v>
      </c>
      <c r="Q4244" s="31" t="str">
        <f t="shared" si="265"/>
        <v/>
      </c>
      <c r="R4244" s="32" t="str">
        <f>IFERROR(VLOOKUP($D4244,'Informations sur les produits'!$A$3:$B$15000,2,FALSE),"")</f>
        <v/>
      </c>
      <c r="V4244">
        <f t="shared" si="266"/>
        <v>0</v>
      </c>
      <c r="W4244">
        <f t="shared" si="267"/>
        <v>0</v>
      </c>
    </row>
    <row r="4245" spans="5:23" x14ac:dyDescent="0.25">
      <c r="E4245" s="4"/>
      <c r="F4245" s="4"/>
      <c r="G4245" s="33" t="str">
        <f>IFERROR(VLOOKUP($D4245,'Informations sur les produits'!$A$3:$H$10000,8,FALSE),"0")</f>
        <v>0</v>
      </c>
      <c r="K4245" s="4"/>
      <c r="L4245" s="33" t="str">
        <f>IFERROR(VLOOKUP($J4245,'Informations sur les produits'!$A$3:$H$10000,8,FALSE),"0")</f>
        <v>0</v>
      </c>
      <c r="N4245" s="8"/>
      <c r="O4245" s="33" t="str">
        <f>IFERROR(VLOOKUP($M4245,'Informations sur les produits'!$A$3:$H$10000,8,FALSE),"0")</f>
        <v>0</v>
      </c>
      <c r="P4245" s="33">
        <f t="shared" si="264"/>
        <v>0</v>
      </c>
      <c r="Q4245" s="31" t="str">
        <f t="shared" si="265"/>
        <v/>
      </c>
      <c r="R4245" s="32" t="str">
        <f>IFERROR(VLOOKUP($D4245,'Informations sur les produits'!$A$3:$B$15000,2,FALSE),"")</f>
        <v/>
      </c>
      <c r="V4245">
        <f t="shared" si="266"/>
        <v>0</v>
      </c>
      <c r="W4245">
        <f t="shared" si="267"/>
        <v>0</v>
      </c>
    </row>
    <row r="4246" spans="5:23" x14ac:dyDescent="0.25">
      <c r="E4246" s="4"/>
      <c r="F4246" s="4"/>
      <c r="G4246" s="33" t="str">
        <f>IFERROR(VLOOKUP($D4246,'Informations sur les produits'!$A$3:$H$10000,8,FALSE),"0")</f>
        <v>0</v>
      </c>
      <c r="K4246" s="4"/>
      <c r="L4246" s="33" t="str">
        <f>IFERROR(VLOOKUP($J4246,'Informations sur les produits'!$A$3:$H$10000,8,FALSE),"0")</f>
        <v>0</v>
      </c>
      <c r="N4246" s="8"/>
      <c r="O4246" s="33" t="str">
        <f>IFERROR(VLOOKUP($M4246,'Informations sur les produits'!$A$3:$H$10000,8,FALSE),"0")</f>
        <v>0</v>
      </c>
      <c r="P4246" s="33">
        <f t="shared" si="264"/>
        <v>0</v>
      </c>
      <c r="Q4246" s="31" t="str">
        <f t="shared" si="265"/>
        <v/>
      </c>
      <c r="R4246" s="32" t="str">
        <f>IFERROR(VLOOKUP($D4246,'Informations sur les produits'!$A$3:$B$15000,2,FALSE),"")</f>
        <v/>
      </c>
      <c r="V4246">
        <f t="shared" si="266"/>
        <v>0</v>
      </c>
      <c r="W4246">
        <f t="shared" si="267"/>
        <v>0</v>
      </c>
    </row>
    <row r="4247" spans="5:23" x14ac:dyDescent="0.25">
      <c r="E4247" s="4"/>
      <c r="F4247" s="4"/>
      <c r="G4247" s="33" t="str">
        <f>IFERROR(VLOOKUP($D4247,'Informations sur les produits'!$A$3:$H$10000,8,FALSE),"0")</f>
        <v>0</v>
      </c>
      <c r="K4247" s="4"/>
      <c r="L4247" s="33" t="str">
        <f>IFERROR(VLOOKUP($J4247,'Informations sur les produits'!$A$3:$H$10000,8,FALSE),"0")</f>
        <v>0</v>
      </c>
      <c r="N4247" s="8"/>
      <c r="O4247" s="33" t="str">
        <f>IFERROR(VLOOKUP($M4247,'Informations sur les produits'!$A$3:$H$10000,8,FALSE),"0")</f>
        <v>0</v>
      </c>
      <c r="P4247" s="33">
        <f t="shared" si="264"/>
        <v>0</v>
      </c>
      <c r="Q4247" s="31" t="str">
        <f t="shared" si="265"/>
        <v/>
      </c>
      <c r="R4247" s="32" t="str">
        <f>IFERROR(VLOOKUP($D4247,'Informations sur les produits'!$A$3:$B$15000,2,FALSE),"")</f>
        <v/>
      </c>
      <c r="V4247">
        <f t="shared" si="266"/>
        <v>0</v>
      </c>
      <c r="W4247">
        <f t="shared" si="267"/>
        <v>0</v>
      </c>
    </row>
    <row r="4248" spans="5:23" x14ac:dyDescent="0.25">
      <c r="E4248" s="4"/>
      <c r="F4248" s="4"/>
      <c r="G4248" s="33" t="str">
        <f>IFERROR(VLOOKUP($D4248,'Informations sur les produits'!$A$3:$H$10000,8,FALSE),"0")</f>
        <v>0</v>
      </c>
      <c r="K4248" s="4"/>
      <c r="L4248" s="33" t="str">
        <f>IFERROR(VLOOKUP($J4248,'Informations sur les produits'!$A$3:$H$10000,8,FALSE),"0")</f>
        <v>0</v>
      </c>
      <c r="N4248" s="8"/>
      <c r="O4248" s="33" t="str">
        <f>IFERROR(VLOOKUP($M4248,'Informations sur les produits'!$A$3:$H$10000,8,FALSE),"0")</f>
        <v>0</v>
      </c>
      <c r="P4248" s="33">
        <f t="shared" si="264"/>
        <v>0</v>
      </c>
      <c r="Q4248" s="31" t="str">
        <f t="shared" si="265"/>
        <v/>
      </c>
      <c r="R4248" s="32" t="str">
        <f>IFERROR(VLOOKUP($D4248,'Informations sur les produits'!$A$3:$B$15000,2,FALSE),"")</f>
        <v/>
      </c>
      <c r="V4248">
        <f t="shared" si="266"/>
        <v>0</v>
      </c>
      <c r="W4248">
        <f t="shared" si="267"/>
        <v>0</v>
      </c>
    </row>
    <row r="4249" spans="5:23" x14ac:dyDescent="0.25">
      <c r="E4249" s="4"/>
      <c r="F4249" s="4"/>
      <c r="G4249" s="33" t="str">
        <f>IFERROR(VLOOKUP($D4249,'Informations sur les produits'!$A$3:$H$10000,8,FALSE),"0")</f>
        <v>0</v>
      </c>
      <c r="K4249" s="4"/>
      <c r="L4249" s="33" t="str">
        <f>IFERROR(VLOOKUP($J4249,'Informations sur les produits'!$A$3:$H$10000,8,FALSE),"0")</f>
        <v>0</v>
      </c>
      <c r="N4249" s="8"/>
      <c r="O4249" s="33" t="str">
        <f>IFERROR(VLOOKUP($M4249,'Informations sur les produits'!$A$3:$H$10000,8,FALSE),"0")</f>
        <v>0</v>
      </c>
      <c r="P4249" s="33">
        <f t="shared" si="264"/>
        <v>0</v>
      </c>
      <c r="Q4249" s="31" t="str">
        <f t="shared" si="265"/>
        <v/>
      </c>
      <c r="R4249" s="32" t="str">
        <f>IFERROR(VLOOKUP($D4249,'Informations sur les produits'!$A$3:$B$15000,2,FALSE),"")</f>
        <v/>
      </c>
      <c r="V4249">
        <f t="shared" si="266"/>
        <v>0</v>
      </c>
      <c r="W4249">
        <f t="shared" si="267"/>
        <v>0</v>
      </c>
    </row>
    <row r="4250" spans="5:23" x14ac:dyDescent="0.25">
      <c r="E4250" s="4"/>
      <c r="F4250" s="4"/>
      <c r="G4250" s="33" t="str">
        <f>IFERROR(VLOOKUP($D4250,'Informations sur les produits'!$A$3:$H$10000,8,FALSE),"0")</f>
        <v>0</v>
      </c>
      <c r="K4250" s="4"/>
      <c r="L4250" s="33" t="str">
        <f>IFERROR(VLOOKUP($J4250,'Informations sur les produits'!$A$3:$H$10000,8,FALSE),"0")</f>
        <v>0</v>
      </c>
      <c r="N4250" s="8"/>
      <c r="O4250" s="33" t="str">
        <f>IFERROR(VLOOKUP($M4250,'Informations sur les produits'!$A$3:$H$10000,8,FALSE),"0")</f>
        <v>0</v>
      </c>
      <c r="P4250" s="33">
        <f t="shared" si="264"/>
        <v>0</v>
      </c>
      <c r="Q4250" s="31" t="str">
        <f t="shared" si="265"/>
        <v/>
      </c>
      <c r="R4250" s="32" t="str">
        <f>IFERROR(VLOOKUP($D4250,'Informations sur les produits'!$A$3:$B$15000,2,FALSE),"")</f>
        <v/>
      </c>
      <c r="V4250">
        <f t="shared" si="266"/>
        <v>0</v>
      </c>
      <c r="W4250">
        <f t="shared" si="267"/>
        <v>0</v>
      </c>
    </row>
    <row r="4251" spans="5:23" x14ac:dyDescent="0.25">
      <c r="E4251" s="4"/>
      <c r="F4251" s="4"/>
      <c r="G4251" s="33" t="str">
        <f>IFERROR(VLOOKUP($D4251,'Informations sur les produits'!$A$3:$H$10000,8,FALSE),"0")</f>
        <v>0</v>
      </c>
      <c r="K4251" s="4"/>
      <c r="L4251" s="33" t="str">
        <f>IFERROR(VLOOKUP($J4251,'Informations sur les produits'!$A$3:$H$10000,8,FALSE),"0")</f>
        <v>0</v>
      </c>
      <c r="N4251" s="8"/>
      <c r="O4251" s="33" t="str">
        <f>IFERROR(VLOOKUP($M4251,'Informations sur les produits'!$A$3:$H$10000,8,FALSE),"0")</f>
        <v>0</v>
      </c>
      <c r="P4251" s="33">
        <f t="shared" si="264"/>
        <v>0</v>
      </c>
      <c r="Q4251" s="31" t="str">
        <f t="shared" si="265"/>
        <v/>
      </c>
      <c r="R4251" s="32" t="str">
        <f>IFERROR(VLOOKUP($D4251,'Informations sur les produits'!$A$3:$B$15000,2,FALSE),"")</f>
        <v/>
      </c>
      <c r="V4251">
        <f t="shared" si="266"/>
        <v>0</v>
      </c>
      <c r="W4251">
        <f t="shared" si="267"/>
        <v>0</v>
      </c>
    </row>
    <row r="4252" spans="5:23" x14ac:dyDescent="0.25">
      <c r="E4252" s="4"/>
      <c r="F4252" s="4"/>
      <c r="G4252" s="33" t="str">
        <f>IFERROR(VLOOKUP($D4252,'Informations sur les produits'!$A$3:$H$10000,8,FALSE),"0")</f>
        <v>0</v>
      </c>
      <c r="K4252" s="4"/>
      <c r="L4252" s="33" t="str">
        <f>IFERROR(VLOOKUP($J4252,'Informations sur les produits'!$A$3:$H$10000,8,FALSE),"0")</f>
        <v>0</v>
      </c>
      <c r="N4252" s="8"/>
      <c r="O4252" s="33" t="str">
        <f>IFERROR(VLOOKUP($M4252,'Informations sur les produits'!$A$3:$H$10000,8,FALSE),"0")</f>
        <v>0</v>
      </c>
      <c r="P4252" s="33">
        <f t="shared" si="264"/>
        <v>0</v>
      </c>
      <c r="Q4252" s="31" t="str">
        <f t="shared" si="265"/>
        <v/>
      </c>
      <c r="R4252" s="32" t="str">
        <f>IFERROR(VLOOKUP($D4252,'Informations sur les produits'!$A$3:$B$15000,2,FALSE),"")</f>
        <v/>
      </c>
      <c r="V4252">
        <f t="shared" si="266"/>
        <v>0</v>
      </c>
      <c r="W4252">
        <f t="shared" si="267"/>
        <v>0</v>
      </c>
    </row>
    <row r="4253" spans="5:23" x14ac:dyDescent="0.25">
      <c r="E4253" s="4"/>
      <c r="F4253" s="4"/>
      <c r="G4253" s="33" t="str">
        <f>IFERROR(VLOOKUP($D4253,'Informations sur les produits'!$A$3:$H$10000,8,FALSE),"0")</f>
        <v>0</v>
      </c>
      <c r="K4253" s="4"/>
      <c r="L4253" s="33" t="str">
        <f>IFERROR(VLOOKUP($J4253,'Informations sur les produits'!$A$3:$H$10000,8,FALSE),"0")</f>
        <v>0</v>
      </c>
      <c r="N4253" s="8"/>
      <c r="O4253" s="33" t="str">
        <f>IFERROR(VLOOKUP($M4253,'Informations sur les produits'!$A$3:$H$10000,8,FALSE),"0")</f>
        <v>0</v>
      </c>
      <c r="P4253" s="33">
        <f t="shared" si="264"/>
        <v>0</v>
      </c>
      <c r="Q4253" s="31" t="str">
        <f t="shared" si="265"/>
        <v/>
      </c>
      <c r="R4253" s="32" t="str">
        <f>IFERROR(VLOOKUP($D4253,'Informations sur les produits'!$A$3:$B$15000,2,FALSE),"")</f>
        <v/>
      </c>
      <c r="V4253">
        <f t="shared" si="266"/>
        <v>0</v>
      </c>
      <c r="W4253">
        <f t="shared" si="267"/>
        <v>0</v>
      </c>
    </row>
    <row r="4254" spans="5:23" x14ac:dyDescent="0.25">
      <c r="E4254" s="4"/>
      <c r="F4254" s="4"/>
      <c r="G4254" s="33" t="str">
        <f>IFERROR(VLOOKUP($D4254,'Informations sur les produits'!$A$3:$H$10000,8,FALSE),"0")</f>
        <v>0</v>
      </c>
      <c r="K4254" s="4"/>
      <c r="L4254" s="33" t="str">
        <f>IFERROR(VLOOKUP($J4254,'Informations sur les produits'!$A$3:$H$10000,8,FALSE),"0")</f>
        <v>0</v>
      </c>
      <c r="N4254" s="8"/>
      <c r="O4254" s="33" t="str">
        <f>IFERROR(VLOOKUP($M4254,'Informations sur les produits'!$A$3:$H$10000,8,FALSE),"0")</f>
        <v>0</v>
      </c>
      <c r="P4254" s="33">
        <f t="shared" si="264"/>
        <v>0</v>
      </c>
      <c r="Q4254" s="31" t="str">
        <f t="shared" si="265"/>
        <v/>
      </c>
      <c r="R4254" s="32" t="str">
        <f>IFERROR(VLOOKUP($D4254,'Informations sur les produits'!$A$3:$B$15000,2,FALSE),"")</f>
        <v/>
      </c>
      <c r="V4254">
        <f t="shared" si="266"/>
        <v>0</v>
      </c>
      <c r="W4254">
        <f t="shared" si="267"/>
        <v>0</v>
      </c>
    </row>
    <row r="4255" spans="5:23" x14ac:dyDescent="0.25">
      <c r="E4255" s="4"/>
      <c r="F4255" s="4"/>
      <c r="G4255" s="33" t="str">
        <f>IFERROR(VLOOKUP($D4255,'Informations sur les produits'!$A$3:$H$10000,8,FALSE),"0")</f>
        <v>0</v>
      </c>
      <c r="K4255" s="4"/>
      <c r="L4255" s="33" t="str">
        <f>IFERROR(VLOOKUP($J4255,'Informations sur les produits'!$A$3:$H$10000,8,FALSE),"0")</f>
        <v>0</v>
      </c>
      <c r="N4255" s="8"/>
      <c r="O4255" s="33" t="str">
        <f>IFERROR(VLOOKUP($M4255,'Informations sur les produits'!$A$3:$H$10000,8,FALSE),"0")</f>
        <v>0</v>
      </c>
      <c r="P4255" s="33">
        <f t="shared" si="264"/>
        <v>0</v>
      </c>
      <c r="Q4255" s="31" t="str">
        <f t="shared" si="265"/>
        <v/>
      </c>
      <c r="R4255" s="32" t="str">
        <f>IFERROR(VLOOKUP($D4255,'Informations sur les produits'!$A$3:$B$15000,2,FALSE),"")</f>
        <v/>
      </c>
      <c r="V4255">
        <f t="shared" si="266"/>
        <v>0</v>
      </c>
      <c r="W4255">
        <f t="shared" si="267"/>
        <v>0</v>
      </c>
    </row>
    <row r="4256" spans="5:23" x14ac:dyDescent="0.25">
      <c r="E4256" s="4"/>
      <c r="F4256" s="4"/>
      <c r="G4256" s="33" t="str">
        <f>IFERROR(VLOOKUP($D4256,'Informations sur les produits'!$A$3:$H$10000,8,FALSE),"0")</f>
        <v>0</v>
      </c>
      <c r="K4256" s="4"/>
      <c r="L4256" s="33" t="str">
        <f>IFERROR(VLOOKUP($J4256,'Informations sur les produits'!$A$3:$H$10000,8,FALSE),"0")</f>
        <v>0</v>
      </c>
      <c r="N4256" s="8"/>
      <c r="O4256" s="33" t="str">
        <f>IFERROR(VLOOKUP($M4256,'Informations sur les produits'!$A$3:$H$10000,8,FALSE),"0")</f>
        <v>0</v>
      </c>
      <c r="P4256" s="33">
        <f t="shared" si="264"/>
        <v>0</v>
      </c>
      <c r="Q4256" s="31" t="str">
        <f t="shared" si="265"/>
        <v/>
      </c>
      <c r="R4256" s="32" t="str">
        <f>IFERROR(VLOOKUP($D4256,'Informations sur les produits'!$A$3:$B$15000,2,FALSE),"")</f>
        <v/>
      </c>
      <c r="V4256">
        <f t="shared" si="266"/>
        <v>0</v>
      </c>
      <c r="W4256">
        <f t="shared" si="267"/>
        <v>0</v>
      </c>
    </row>
    <row r="4257" spans="5:23" x14ac:dyDescent="0.25">
      <c r="E4257" s="4"/>
      <c r="F4257" s="4"/>
      <c r="G4257" s="33" t="str">
        <f>IFERROR(VLOOKUP($D4257,'Informations sur les produits'!$A$3:$H$10000,8,FALSE),"0")</f>
        <v>0</v>
      </c>
      <c r="K4257" s="4"/>
      <c r="L4257" s="33" t="str">
        <f>IFERROR(VLOOKUP($J4257,'Informations sur les produits'!$A$3:$H$10000,8,FALSE),"0")</f>
        <v>0</v>
      </c>
      <c r="N4257" s="8"/>
      <c r="O4257" s="33" t="str">
        <f>IFERROR(VLOOKUP($M4257,'Informations sur les produits'!$A$3:$H$10000,8,FALSE),"0")</f>
        <v>0</v>
      </c>
      <c r="P4257" s="33">
        <f t="shared" si="264"/>
        <v>0</v>
      </c>
      <c r="Q4257" s="31" t="str">
        <f t="shared" si="265"/>
        <v/>
      </c>
      <c r="R4257" s="32" t="str">
        <f>IFERROR(VLOOKUP($D4257,'Informations sur les produits'!$A$3:$B$15000,2,FALSE),"")</f>
        <v/>
      </c>
      <c r="V4257">
        <f t="shared" si="266"/>
        <v>0</v>
      </c>
      <c r="W4257">
        <f t="shared" si="267"/>
        <v>0</v>
      </c>
    </row>
    <row r="4258" spans="5:23" x14ac:dyDescent="0.25">
      <c r="E4258" s="4"/>
      <c r="F4258" s="4"/>
      <c r="G4258" s="33" t="str">
        <f>IFERROR(VLOOKUP($D4258,'Informations sur les produits'!$A$3:$H$10000,8,FALSE),"0")</f>
        <v>0</v>
      </c>
      <c r="K4258" s="4"/>
      <c r="L4258" s="33" t="str">
        <f>IFERROR(VLOOKUP($J4258,'Informations sur les produits'!$A$3:$H$10000,8,FALSE),"0")</f>
        <v>0</v>
      </c>
      <c r="N4258" s="8"/>
      <c r="O4258" s="33" t="str">
        <f>IFERROR(VLOOKUP($M4258,'Informations sur les produits'!$A$3:$H$10000,8,FALSE),"0")</f>
        <v>0</v>
      </c>
      <c r="P4258" s="33">
        <f t="shared" si="264"/>
        <v>0</v>
      </c>
      <c r="Q4258" s="31" t="str">
        <f t="shared" si="265"/>
        <v/>
      </c>
      <c r="R4258" s="32" t="str">
        <f>IFERROR(VLOOKUP($D4258,'Informations sur les produits'!$A$3:$B$15000,2,FALSE),"")</f>
        <v/>
      </c>
      <c r="V4258">
        <f t="shared" si="266"/>
        <v>0</v>
      </c>
      <c r="W4258">
        <f t="shared" si="267"/>
        <v>0</v>
      </c>
    </row>
    <row r="4259" spans="5:23" x14ac:dyDescent="0.25">
      <c r="E4259" s="4"/>
      <c r="F4259" s="4"/>
      <c r="G4259" s="33" t="str">
        <f>IFERROR(VLOOKUP($D4259,'Informations sur les produits'!$A$3:$H$10000,8,FALSE),"0")</f>
        <v>0</v>
      </c>
      <c r="K4259" s="4"/>
      <c r="L4259" s="33" t="str">
        <f>IFERROR(VLOOKUP($J4259,'Informations sur les produits'!$A$3:$H$10000,8,FALSE),"0")</f>
        <v>0</v>
      </c>
      <c r="N4259" s="8"/>
      <c r="O4259" s="33" t="str">
        <f>IFERROR(VLOOKUP($M4259,'Informations sur les produits'!$A$3:$H$10000,8,FALSE),"0")</f>
        <v>0</v>
      </c>
      <c r="P4259" s="33">
        <f t="shared" si="264"/>
        <v>0</v>
      </c>
      <c r="Q4259" s="31" t="str">
        <f t="shared" si="265"/>
        <v/>
      </c>
      <c r="R4259" s="32" t="str">
        <f>IFERROR(VLOOKUP($D4259,'Informations sur les produits'!$A$3:$B$15000,2,FALSE),"")</f>
        <v/>
      </c>
      <c r="V4259">
        <f t="shared" si="266"/>
        <v>0</v>
      </c>
      <c r="W4259">
        <f t="shared" si="267"/>
        <v>0</v>
      </c>
    </row>
    <row r="4260" spans="5:23" x14ac:dyDescent="0.25">
      <c r="E4260" s="4"/>
      <c r="F4260" s="4"/>
      <c r="G4260" s="33" t="str">
        <f>IFERROR(VLOOKUP($D4260,'Informations sur les produits'!$A$3:$H$10000,8,FALSE),"0")</f>
        <v>0</v>
      </c>
      <c r="K4260" s="4"/>
      <c r="L4260" s="33" t="str">
        <f>IFERROR(VLOOKUP($J4260,'Informations sur les produits'!$A$3:$H$10000,8,FALSE),"0")</f>
        <v>0</v>
      </c>
      <c r="N4260" s="8"/>
      <c r="O4260" s="33" t="str">
        <f>IFERROR(VLOOKUP($M4260,'Informations sur les produits'!$A$3:$H$10000,8,FALSE),"0")</f>
        <v>0</v>
      </c>
      <c r="P4260" s="33">
        <f t="shared" si="264"/>
        <v>0</v>
      </c>
      <c r="Q4260" s="31" t="str">
        <f t="shared" si="265"/>
        <v/>
      </c>
      <c r="R4260" s="32" t="str">
        <f>IFERROR(VLOOKUP($D4260,'Informations sur les produits'!$A$3:$B$15000,2,FALSE),"")</f>
        <v/>
      </c>
      <c r="V4260">
        <f t="shared" si="266"/>
        <v>0</v>
      </c>
      <c r="W4260">
        <f t="shared" si="267"/>
        <v>0</v>
      </c>
    </row>
    <row r="4261" spans="5:23" x14ac:dyDescent="0.25">
      <c r="E4261" s="4"/>
      <c r="F4261" s="4"/>
      <c r="G4261" s="33" t="str">
        <f>IFERROR(VLOOKUP($D4261,'Informations sur les produits'!$A$3:$H$10000,8,FALSE),"0")</f>
        <v>0</v>
      </c>
      <c r="K4261" s="4"/>
      <c r="L4261" s="33" t="str">
        <f>IFERROR(VLOOKUP($J4261,'Informations sur les produits'!$A$3:$H$10000,8,FALSE),"0")</f>
        <v>0</v>
      </c>
      <c r="N4261" s="8"/>
      <c r="O4261" s="33" t="str">
        <f>IFERROR(VLOOKUP($M4261,'Informations sur les produits'!$A$3:$H$10000,8,FALSE),"0")</f>
        <v>0</v>
      </c>
      <c r="P4261" s="33">
        <f t="shared" si="264"/>
        <v>0</v>
      </c>
      <c r="Q4261" s="31" t="str">
        <f t="shared" si="265"/>
        <v/>
      </c>
      <c r="R4261" s="32" t="str">
        <f>IFERROR(VLOOKUP($D4261,'Informations sur les produits'!$A$3:$B$15000,2,FALSE),"")</f>
        <v/>
      </c>
      <c r="V4261">
        <f t="shared" si="266"/>
        <v>0</v>
      </c>
      <c r="W4261">
        <f t="shared" si="267"/>
        <v>0</v>
      </c>
    </row>
    <row r="4262" spans="5:23" x14ac:dyDescent="0.25">
      <c r="E4262" s="4"/>
      <c r="F4262" s="4"/>
      <c r="G4262" s="33" t="str">
        <f>IFERROR(VLOOKUP($D4262,'Informations sur les produits'!$A$3:$H$10000,8,FALSE),"0")</f>
        <v>0</v>
      </c>
      <c r="K4262" s="4"/>
      <c r="L4262" s="33" t="str">
        <f>IFERROR(VLOOKUP($J4262,'Informations sur les produits'!$A$3:$H$10000,8,FALSE),"0")</f>
        <v>0</v>
      </c>
      <c r="N4262" s="8"/>
      <c r="O4262" s="33" t="str">
        <f>IFERROR(VLOOKUP($M4262,'Informations sur les produits'!$A$3:$H$10000,8,FALSE),"0")</f>
        <v>0</v>
      </c>
      <c r="P4262" s="33">
        <f t="shared" si="264"/>
        <v>0</v>
      </c>
      <c r="Q4262" s="31" t="str">
        <f t="shared" si="265"/>
        <v/>
      </c>
      <c r="R4262" s="32" t="str">
        <f>IFERROR(VLOOKUP($D4262,'Informations sur les produits'!$A$3:$B$15000,2,FALSE),"")</f>
        <v/>
      </c>
      <c r="V4262">
        <f t="shared" si="266"/>
        <v>0</v>
      </c>
      <c r="W4262">
        <f t="shared" si="267"/>
        <v>0</v>
      </c>
    </row>
    <row r="4263" spans="5:23" x14ac:dyDescent="0.25">
      <c r="E4263" s="4"/>
      <c r="F4263" s="4"/>
      <c r="G4263" s="33" t="str">
        <f>IFERROR(VLOOKUP($D4263,'Informations sur les produits'!$A$3:$H$10000,8,FALSE),"0")</f>
        <v>0</v>
      </c>
      <c r="K4263" s="4"/>
      <c r="L4263" s="33" t="str">
        <f>IFERROR(VLOOKUP($J4263,'Informations sur les produits'!$A$3:$H$10000,8,FALSE),"0")</f>
        <v>0</v>
      </c>
      <c r="N4263" s="8"/>
      <c r="O4263" s="33" t="str">
        <f>IFERROR(VLOOKUP($M4263,'Informations sur les produits'!$A$3:$H$10000,8,FALSE),"0")</f>
        <v>0</v>
      </c>
      <c r="P4263" s="33">
        <f t="shared" si="264"/>
        <v>0</v>
      </c>
      <c r="Q4263" s="31" t="str">
        <f t="shared" si="265"/>
        <v/>
      </c>
      <c r="R4263" s="32" t="str">
        <f>IFERROR(VLOOKUP($D4263,'Informations sur les produits'!$A$3:$B$15000,2,FALSE),"")</f>
        <v/>
      </c>
      <c r="V4263">
        <f t="shared" si="266"/>
        <v>0</v>
      </c>
      <c r="W4263">
        <f t="shared" si="267"/>
        <v>0</v>
      </c>
    </row>
    <row r="4264" spans="5:23" x14ac:dyDescent="0.25">
      <c r="E4264" s="4"/>
      <c r="F4264" s="4"/>
      <c r="G4264" s="33" t="str">
        <f>IFERROR(VLOOKUP($D4264,'Informations sur les produits'!$A$3:$H$10000,8,FALSE),"0")</f>
        <v>0</v>
      </c>
      <c r="K4264" s="4"/>
      <c r="L4264" s="33" t="str">
        <f>IFERROR(VLOOKUP($J4264,'Informations sur les produits'!$A$3:$H$10000,8,FALSE),"0")</f>
        <v>0</v>
      </c>
      <c r="N4264" s="8"/>
      <c r="O4264" s="33" t="str">
        <f>IFERROR(VLOOKUP($M4264,'Informations sur les produits'!$A$3:$H$10000,8,FALSE),"0")</f>
        <v>0</v>
      </c>
      <c r="P4264" s="33">
        <f t="shared" si="264"/>
        <v>0</v>
      </c>
      <c r="Q4264" s="31" t="str">
        <f t="shared" si="265"/>
        <v/>
      </c>
      <c r="R4264" s="32" t="str">
        <f>IFERROR(VLOOKUP($D4264,'Informations sur les produits'!$A$3:$B$15000,2,FALSE),"")</f>
        <v/>
      </c>
      <c r="V4264">
        <f t="shared" si="266"/>
        <v>0</v>
      </c>
      <c r="W4264">
        <f t="shared" si="267"/>
        <v>0</v>
      </c>
    </row>
    <row r="4265" spans="5:23" x14ac:dyDescent="0.25">
      <c r="E4265" s="4"/>
      <c r="F4265" s="4"/>
      <c r="G4265" s="33" t="str">
        <f>IFERROR(VLOOKUP($D4265,'Informations sur les produits'!$A$3:$H$10000,8,FALSE),"0")</f>
        <v>0</v>
      </c>
      <c r="K4265" s="4"/>
      <c r="L4265" s="33" t="str">
        <f>IFERROR(VLOOKUP($J4265,'Informations sur les produits'!$A$3:$H$10000,8,FALSE),"0")</f>
        <v>0</v>
      </c>
      <c r="N4265" s="8"/>
      <c r="O4265" s="33" t="str">
        <f>IFERROR(VLOOKUP($M4265,'Informations sur les produits'!$A$3:$H$10000,8,FALSE),"0")</f>
        <v>0</v>
      </c>
      <c r="P4265" s="33">
        <f t="shared" si="264"/>
        <v>0</v>
      </c>
      <c r="Q4265" s="31" t="str">
        <f t="shared" si="265"/>
        <v/>
      </c>
      <c r="R4265" s="32" t="str">
        <f>IFERROR(VLOOKUP($D4265,'Informations sur les produits'!$A$3:$B$15000,2,FALSE),"")</f>
        <v/>
      </c>
      <c r="V4265">
        <f t="shared" si="266"/>
        <v>0</v>
      </c>
      <c r="W4265">
        <f t="shared" si="267"/>
        <v>0</v>
      </c>
    </row>
    <row r="4266" spans="5:23" x14ac:dyDescent="0.25">
      <c r="E4266" s="4"/>
      <c r="F4266" s="4"/>
      <c r="G4266" s="33" t="str">
        <f>IFERROR(VLOOKUP($D4266,'Informations sur les produits'!$A$3:$H$10000,8,FALSE),"0")</f>
        <v>0</v>
      </c>
      <c r="K4266" s="4"/>
      <c r="L4266" s="33" t="str">
        <f>IFERROR(VLOOKUP($J4266,'Informations sur les produits'!$A$3:$H$10000,8,FALSE),"0")</f>
        <v>0</v>
      </c>
      <c r="N4266" s="8"/>
      <c r="O4266" s="33" t="str">
        <f>IFERROR(VLOOKUP($M4266,'Informations sur les produits'!$A$3:$H$10000,8,FALSE),"0")</f>
        <v>0</v>
      </c>
      <c r="P4266" s="33">
        <f t="shared" si="264"/>
        <v>0</v>
      </c>
      <c r="Q4266" s="31" t="str">
        <f t="shared" si="265"/>
        <v/>
      </c>
      <c r="R4266" s="32" t="str">
        <f>IFERROR(VLOOKUP($D4266,'Informations sur les produits'!$A$3:$B$15000,2,FALSE),"")</f>
        <v/>
      </c>
      <c r="V4266">
        <f t="shared" si="266"/>
        <v>0</v>
      </c>
      <c r="W4266">
        <f t="shared" si="267"/>
        <v>0</v>
      </c>
    </row>
    <row r="4267" spans="5:23" x14ac:dyDescent="0.25">
      <c r="E4267" s="4"/>
      <c r="F4267" s="4"/>
      <c r="G4267" s="33" t="str">
        <f>IFERROR(VLOOKUP($D4267,'Informations sur les produits'!$A$3:$H$10000,8,FALSE),"0")</f>
        <v>0</v>
      </c>
      <c r="K4267" s="4"/>
      <c r="L4267" s="33" t="str">
        <f>IFERROR(VLOOKUP($J4267,'Informations sur les produits'!$A$3:$H$10000,8,FALSE),"0")</f>
        <v>0</v>
      </c>
      <c r="N4267" s="8"/>
      <c r="O4267" s="33" t="str">
        <f>IFERROR(VLOOKUP($M4267,'Informations sur les produits'!$A$3:$H$10000,8,FALSE),"0")</f>
        <v>0</v>
      </c>
      <c r="P4267" s="33">
        <f t="shared" si="264"/>
        <v>0</v>
      </c>
      <c r="Q4267" s="31" t="str">
        <f t="shared" si="265"/>
        <v/>
      </c>
      <c r="R4267" s="32" t="str">
        <f>IFERROR(VLOOKUP($D4267,'Informations sur les produits'!$A$3:$B$15000,2,FALSE),"")</f>
        <v/>
      </c>
      <c r="V4267">
        <f t="shared" si="266"/>
        <v>0</v>
      </c>
      <c r="W4267">
        <f t="shared" si="267"/>
        <v>0</v>
      </c>
    </row>
    <row r="4268" spans="5:23" x14ac:dyDescent="0.25">
      <c r="E4268" s="4"/>
      <c r="F4268" s="4"/>
      <c r="G4268" s="33" t="str">
        <f>IFERROR(VLOOKUP($D4268,'Informations sur les produits'!$A$3:$H$10000,8,FALSE),"0")</f>
        <v>0</v>
      </c>
      <c r="K4268" s="4"/>
      <c r="L4268" s="33" t="str">
        <f>IFERROR(VLOOKUP($J4268,'Informations sur les produits'!$A$3:$H$10000,8,FALSE),"0")</f>
        <v>0</v>
      </c>
      <c r="N4268" s="8"/>
      <c r="O4268" s="33" t="str">
        <f>IFERROR(VLOOKUP($M4268,'Informations sur les produits'!$A$3:$H$10000,8,FALSE),"0")</f>
        <v>0</v>
      </c>
      <c r="P4268" s="33">
        <f t="shared" si="264"/>
        <v>0</v>
      </c>
      <c r="Q4268" s="31" t="str">
        <f t="shared" si="265"/>
        <v/>
      </c>
      <c r="R4268" s="32" t="str">
        <f>IFERROR(VLOOKUP($D4268,'Informations sur les produits'!$A$3:$B$15000,2,FALSE),"")</f>
        <v/>
      </c>
      <c r="V4268">
        <f t="shared" si="266"/>
        <v>0</v>
      </c>
      <c r="W4268">
        <f t="shared" si="267"/>
        <v>0</v>
      </c>
    </row>
    <row r="4269" spans="5:23" x14ac:dyDescent="0.25">
      <c r="E4269" s="4"/>
      <c r="F4269" s="4"/>
      <c r="G4269" s="33" t="str">
        <f>IFERROR(VLOOKUP($D4269,'Informations sur les produits'!$A$3:$H$10000,8,FALSE),"0")</f>
        <v>0</v>
      </c>
      <c r="K4269" s="4"/>
      <c r="L4269" s="33" t="str">
        <f>IFERROR(VLOOKUP($J4269,'Informations sur les produits'!$A$3:$H$10000,8,FALSE),"0")</f>
        <v>0</v>
      </c>
      <c r="N4269" s="8"/>
      <c r="O4269" s="33" t="str">
        <f>IFERROR(VLOOKUP($M4269,'Informations sur les produits'!$A$3:$H$10000,8,FALSE),"0")</f>
        <v>0</v>
      </c>
      <c r="P4269" s="33">
        <f t="shared" si="264"/>
        <v>0</v>
      </c>
      <c r="Q4269" s="31" t="str">
        <f t="shared" si="265"/>
        <v/>
      </c>
      <c r="R4269" s="32" t="str">
        <f>IFERROR(VLOOKUP($D4269,'Informations sur les produits'!$A$3:$B$15000,2,FALSE),"")</f>
        <v/>
      </c>
      <c r="V4269">
        <f t="shared" si="266"/>
        <v>0</v>
      </c>
      <c r="W4269">
        <f t="shared" si="267"/>
        <v>0</v>
      </c>
    </row>
    <row r="4270" spans="5:23" x14ac:dyDescent="0.25">
      <c r="E4270" s="4"/>
      <c r="F4270" s="4"/>
      <c r="G4270" s="33" t="str">
        <f>IFERROR(VLOOKUP($D4270,'Informations sur les produits'!$A$3:$H$10000,8,FALSE),"0")</f>
        <v>0</v>
      </c>
      <c r="K4270" s="4"/>
      <c r="L4270" s="33" t="str">
        <f>IFERROR(VLOOKUP($J4270,'Informations sur les produits'!$A$3:$H$10000,8,FALSE),"0")</f>
        <v>0</v>
      </c>
      <c r="N4270" s="8"/>
      <c r="O4270" s="33" t="str">
        <f>IFERROR(VLOOKUP($M4270,'Informations sur les produits'!$A$3:$H$10000,8,FALSE),"0")</f>
        <v>0</v>
      </c>
      <c r="P4270" s="33">
        <f t="shared" si="264"/>
        <v>0</v>
      </c>
      <c r="Q4270" s="31" t="str">
        <f t="shared" si="265"/>
        <v/>
      </c>
      <c r="R4270" s="32" t="str">
        <f>IFERROR(VLOOKUP($D4270,'Informations sur les produits'!$A$3:$B$15000,2,FALSE),"")</f>
        <v/>
      </c>
      <c r="V4270">
        <f t="shared" si="266"/>
        <v>0</v>
      </c>
      <c r="W4270">
        <f t="shared" si="267"/>
        <v>0</v>
      </c>
    </row>
    <row r="4271" spans="5:23" x14ac:dyDescent="0.25">
      <c r="E4271" s="4"/>
      <c r="F4271" s="4"/>
      <c r="G4271" s="33" t="str">
        <f>IFERROR(VLOOKUP($D4271,'Informations sur les produits'!$A$3:$H$10000,8,FALSE),"0")</f>
        <v>0</v>
      </c>
      <c r="K4271" s="4"/>
      <c r="L4271" s="33" t="str">
        <f>IFERROR(VLOOKUP($J4271,'Informations sur les produits'!$A$3:$H$10000,8,FALSE),"0")</f>
        <v>0</v>
      </c>
      <c r="N4271" s="8"/>
      <c r="O4271" s="33" t="str">
        <f>IFERROR(VLOOKUP($M4271,'Informations sur les produits'!$A$3:$H$10000,8,FALSE),"0")</f>
        <v>0</v>
      </c>
      <c r="P4271" s="33">
        <f t="shared" si="264"/>
        <v>0</v>
      </c>
      <c r="Q4271" s="31" t="str">
        <f t="shared" si="265"/>
        <v/>
      </c>
      <c r="R4271" s="32" t="str">
        <f>IFERROR(VLOOKUP($D4271,'Informations sur les produits'!$A$3:$B$15000,2,FALSE),"")</f>
        <v/>
      </c>
      <c r="V4271">
        <f t="shared" si="266"/>
        <v>0</v>
      </c>
      <c r="W4271">
        <f t="shared" si="267"/>
        <v>0</v>
      </c>
    </row>
    <row r="4272" spans="5:23" x14ac:dyDescent="0.25">
      <c r="E4272" s="4"/>
      <c r="F4272" s="4"/>
      <c r="G4272" s="33" t="str">
        <f>IFERROR(VLOOKUP($D4272,'Informations sur les produits'!$A$3:$H$10000,8,FALSE),"0")</f>
        <v>0</v>
      </c>
      <c r="K4272" s="4"/>
      <c r="L4272" s="33" t="str">
        <f>IFERROR(VLOOKUP($J4272,'Informations sur les produits'!$A$3:$H$10000,8,FALSE),"0")</f>
        <v>0</v>
      </c>
      <c r="N4272" s="8"/>
      <c r="O4272" s="33" t="str">
        <f>IFERROR(VLOOKUP($M4272,'Informations sur les produits'!$A$3:$H$10000,8,FALSE),"0")</f>
        <v>0</v>
      </c>
      <c r="P4272" s="33">
        <f t="shared" si="264"/>
        <v>0</v>
      </c>
      <c r="Q4272" s="31" t="str">
        <f t="shared" si="265"/>
        <v/>
      </c>
      <c r="R4272" s="32" t="str">
        <f>IFERROR(VLOOKUP($D4272,'Informations sur les produits'!$A$3:$B$15000,2,FALSE),"")</f>
        <v/>
      </c>
      <c r="V4272">
        <f t="shared" si="266"/>
        <v>0</v>
      </c>
      <c r="W4272">
        <f t="shared" si="267"/>
        <v>0</v>
      </c>
    </row>
    <row r="4273" spans="5:23" x14ac:dyDescent="0.25">
      <c r="E4273" s="4"/>
      <c r="F4273" s="4"/>
      <c r="G4273" s="33" t="str">
        <f>IFERROR(VLOOKUP($D4273,'Informations sur les produits'!$A$3:$H$10000,8,FALSE),"0")</f>
        <v>0</v>
      </c>
      <c r="K4273" s="4"/>
      <c r="L4273" s="33" t="str">
        <f>IFERROR(VLOOKUP($J4273,'Informations sur les produits'!$A$3:$H$10000,8,FALSE),"0")</f>
        <v>0</v>
      </c>
      <c r="N4273" s="8"/>
      <c r="O4273" s="33" t="str">
        <f>IFERROR(VLOOKUP($M4273,'Informations sur les produits'!$A$3:$H$10000,8,FALSE),"0")</f>
        <v>0</v>
      </c>
      <c r="P4273" s="33">
        <f t="shared" si="264"/>
        <v>0</v>
      </c>
      <c r="Q4273" s="31" t="str">
        <f t="shared" si="265"/>
        <v/>
      </c>
      <c r="R4273" s="32" t="str">
        <f>IFERROR(VLOOKUP($D4273,'Informations sur les produits'!$A$3:$B$15000,2,FALSE),"")</f>
        <v/>
      </c>
      <c r="V4273">
        <f t="shared" si="266"/>
        <v>0</v>
      </c>
      <c r="W4273">
        <f t="shared" si="267"/>
        <v>0</v>
      </c>
    </row>
    <row r="4274" spans="5:23" x14ac:dyDescent="0.25">
      <c r="E4274" s="4"/>
      <c r="F4274" s="4"/>
      <c r="G4274" s="33" t="str">
        <f>IFERROR(VLOOKUP($D4274,'Informations sur les produits'!$A$3:$H$10000,8,FALSE),"0")</f>
        <v>0</v>
      </c>
      <c r="K4274" s="4"/>
      <c r="L4274" s="33" t="str">
        <f>IFERROR(VLOOKUP($J4274,'Informations sur les produits'!$A$3:$H$10000,8,FALSE),"0")</f>
        <v>0</v>
      </c>
      <c r="N4274" s="8"/>
      <c r="O4274" s="33" t="str">
        <f>IFERROR(VLOOKUP($M4274,'Informations sur les produits'!$A$3:$H$10000,8,FALSE),"0")</f>
        <v>0</v>
      </c>
      <c r="P4274" s="33">
        <f t="shared" si="264"/>
        <v>0</v>
      </c>
      <c r="Q4274" s="31" t="str">
        <f t="shared" si="265"/>
        <v/>
      </c>
      <c r="R4274" s="32" t="str">
        <f>IFERROR(VLOOKUP($D4274,'Informations sur les produits'!$A$3:$B$15000,2,FALSE),"")</f>
        <v/>
      </c>
      <c r="V4274">
        <f t="shared" si="266"/>
        <v>0</v>
      </c>
      <c r="W4274">
        <f t="shared" si="267"/>
        <v>0</v>
      </c>
    </row>
    <row r="4275" spans="5:23" x14ac:dyDescent="0.25">
      <c r="E4275" s="4"/>
      <c r="F4275" s="4"/>
      <c r="G4275" s="33" t="str">
        <f>IFERROR(VLOOKUP($D4275,'Informations sur les produits'!$A$3:$H$10000,8,FALSE),"0")</f>
        <v>0</v>
      </c>
      <c r="K4275" s="4"/>
      <c r="L4275" s="33" t="str">
        <f>IFERROR(VLOOKUP($J4275,'Informations sur les produits'!$A$3:$H$10000,8,FALSE),"0")</f>
        <v>0</v>
      </c>
      <c r="N4275" s="8"/>
      <c r="O4275" s="33" t="str">
        <f>IFERROR(VLOOKUP($M4275,'Informations sur les produits'!$A$3:$H$10000,8,FALSE),"0")</f>
        <v>0</v>
      </c>
      <c r="P4275" s="33">
        <f t="shared" si="264"/>
        <v>0</v>
      </c>
      <c r="Q4275" s="31" t="str">
        <f t="shared" si="265"/>
        <v/>
      </c>
      <c r="R4275" s="32" t="str">
        <f>IFERROR(VLOOKUP($D4275,'Informations sur les produits'!$A$3:$B$15000,2,FALSE),"")</f>
        <v/>
      </c>
      <c r="V4275">
        <f t="shared" si="266"/>
        <v>0</v>
      </c>
      <c r="W4275">
        <f t="shared" si="267"/>
        <v>0</v>
      </c>
    </row>
    <row r="4276" spans="5:23" x14ac:dyDescent="0.25">
      <c r="E4276" s="4"/>
      <c r="F4276" s="4"/>
      <c r="G4276" s="33" t="str">
        <f>IFERROR(VLOOKUP($D4276,'Informations sur les produits'!$A$3:$H$10000,8,FALSE),"0")</f>
        <v>0</v>
      </c>
      <c r="K4276" s="4"/>
      <c r="L4276" s="33" t="str">
        <f>IFERROR(VLOOKUP($J4276,'Informations sur les produits'!$A$3:$H$10000,8,FALSE),"0")</f>
        <v>0</v>
      </c>
      <c r="N4276" s="8"/>
      <c r="O4276" s="33" t="str">
        <f>IFERROR(VLOOKUP($M4276,'Informations sur les produits'!$A$3:$H$10000,8,FALSE),"0")</f>
        <v>0</v>
      </c>
      <c r="P4276" s="33">
        <f t="shared" si="264"/>
        <v>0</v>
      </c>
      <c r="Q4276" s="31" t="str">
        <f t="shared" si="265"/>
        <v/>
      </c>
      <c r="R4276" s="32" t="str">
        <f>IFERROR(VLOOKUP($D4276,'Informations sur les produits'!$A$3:$B$15000,2,FALSE),"")</f>
        <v/>
      </c>
      <c r="V4276">
        <f t="shared" si="266"/>
        <v>0</v>
      </c>
      <c r="W4276">
        <f t="shared" si="267"/>
        <v>0</v>
      </c>
    </row>
    <row r="4277" spans="5:23" x14ac:dyDescent="0.25">
      <c r="E4277" s="4"/>
      <c r="F4277" s="4"/>
      <c r="G4277" s="33" t="str">
        <f>IFERROR(VLOOKUP($D4277,'Informations sur les produits'!$A$3:$H$10000,8,FALSE),"0")</f>
        <v>0</v>
      </c>
      <c r="K4277" s="4"/>
      <c r="L4277" s="33" t="str">
        <f>IFERROR(VLOOKUP($J4277,'Informations sur les produits'!$A$3:$H$10000,8,FALSE),"0")</f>
        <v>0</v>
      </c>
      <c r="N4277" s="8"/>
      <c r="O4277" s="33" t="str">
        <f>IFERROR(VLOOKUP($M4277,'Informations sur les produits'!$A$3:$H$10000,8,FALSE),"0")</f>
        <v>0</v>
      </c>
      <c r="P4277" s="33">
        <f t="shared" si="264"/>
        <v>0</v>
      </c>
      <c r="Q4277" s="31" t="str">
        <f t="shared" si="265"/>
        <v/>
      </c>
      <c r="R4277" s="32" t="str">
        <f>IFERROR(VLOOKUP($D4277,'Informations sur les produits'!$A$3:$B$15000,2,FALSE),"")</f>
        <v/>
      </c>
      <c r="V4277">
        <f t="shared" si="266"/>
        <v>0</v>
      </c>
      <c r="W4277">
        <f t="shared" si="267"/>
        <v>0</v>
      </c>
    </row>
    <row r="4278" spans="5:23" x14ac:dyDescent="0.25">
      <c r="E4278" s="4"/>
      <c r="F4278" s="4"/>
      <c r="G4278" s="33" t="str">
        <f>IFERROR(VLOOKUP($D4278,'Informations sur les produits'!$A$3:$H$10000,8,FALSE),"0")</f>
        <v>0</v>
      </c>
      <c r="K4278" s="4"/>
      <c r="L4278" s="33" t="str">
        <f>IFERROR(VLOOKUP($J4278,'Informations sur les produits'!$A$3:$H$10000,8,FALSE),"0")</f>
        <v>0</v>
      </c>
      <c r="N4278" s="8"/>
      <c r="O4278" s="33" t="str">
        <f>IFERROR(VLOOKUP($M4278,'Informations sur les produits'!$A$3:$H$10000,8,FALSE),"0")</f>
        <v>0</v>
      </c>
      <c r="P4278" s="33">
        <f t="shared" si="264"/>
        <v>0</v>
      </c>
      <c r="Q4278" s="31" t="str">
        <f t="shared" si="265"/>
        <v/>
      </c>
      <c r="R4278" s="32" t="str">
        <f>IFERROR(VLOOKUP($D4278,'Informations sur les produits'!$A$3:$B$15000,2,FALSE),"")</f>
        <v/>
      </c>
      <c r="V4278">
        <f t="shared" si="266"/>
        <v>0</v>
      </c>
      <c r="W4278">
        <f t="shared" si="267"/>
        <v>0</v>
      </c>
    </row>
    <row r="4279" spans="5:23" x14ac:dyDescent="0.25">
      <c r="E4279" s="4"/>
      <c r="F4279" s="4"/>
      <c r="G4279" s="33" t="str">
        <f>IFERROR(VLOOKUP($D4279,'Informations sur les produits'!$A$3:$H$10000,8,FALSE),"0")</f>
        <v>0</v>
      </c>
      <c r="K4279" s="4"/>
      <c r="L4279" s="33" t="str">
        <f>IFERROR(VLOOKUP($J4279,'Informations sur les produits'!$A$3:$H$10000,8,FALSE),"0")</f>
        <v>0</v>
      </c>
      <c r="N4279" s="8"/>
      <c r="O4279" s="33" t="str">
        <f>IFERROR(VLOOKUP($M4279,'Informations sur les produits'!$A$3:$H$10000,8,FALSE),"0")</f>
        <v>0</v>
      </c>
      <c r="P4279" s="33">
        <f t="shared" si="264"/>
        <v>0</v>
      </c>
      <c r="Q4279" s="31" t="str">
        <f t="shared" si="265"/>
        <v/>
      </c>
      <c r="R4279" s="32" t="str">
        <f>IFERROR(VLOOKUP($D4279,'Informations sur les produits'!$A$3:$B$15000,2,FALSE),"")</f>
        <v/>
      </c>
      <c r="V4279">
        <f t="shared" si="266"/>
        <v>0</v>
      </c>
      <c r="W4279">
        <f t="shared" si="267"/>
        <v>0</v>
      </c>
    </row>
    <row r="4280" spans="5:23" x14ac:dyDescent="0.25">
      <c r="E4280" s="4"/>
      <c r="F4280" s="4"/>
      <c r="G4280" s="33" t="str">
        <f>IFERROR(VLOOKUP($D4280,'Informations sur les produits'!$A$3:$H$10000,8,FALSE),"0")</f>
        <v>0</v>
      </c>
      <c r="K4280" s="4"/>
      <c r="L4280" s="33" t="str">
        <f>IFERROR(VLOOKUP($J4280,'Informations sur les produits'!$A$3:$H$10000,8,FALSE),"0")</f>
        <v>0</v>
      </c>
      <c r="N4280" s="8"/>
      <c r="O4280" s="33" t="str">
        <f>IFERROR(VLOOKUP($M4280,'Informations sur les produits'!$A$3:$H$10000,8,FALSE),"0")</f>
        <v>0</v>
      </c>
      <c r="P4280" s="33">
        <f t="shared" si="264"/>
        <v>0</v>
      </c>
      <c r="Q4280" s="31" t="str">
        <f t="shared" si="265"/>
        <v/>
      </c>
      <c r="R4280" s="32" t="str">
        <f>IFERROR(VLOOKUP($D4280,'Informations sur les produits'!$A$3:$B$15000,2,FALSE),"")</f>
        <v/>
      </c>
      <c r="V4280">
        <f t="shared" si="266"/>
        <v>0</v>
      </c>
      <c r="W4280">
        <f t="shared" si="267"/>
        <v>0</v>
      </c>
    </row>
    <row r="4281" spans="5:23" x14ac:dyDescent="0.25">
      <c r="E4281" s="4"/>
      <c r="F4281" s="4"/>
      <c r="G4281" s="33" t="str">
        <f>IFERROR(VLOOKUP($D4281,'Informations sur les produits'!$A$3:$H$10000,8,FALSE),"0")</f>
        <v>0</v>
      </c>
      <c r="K4281" s="4"/>
      <c r="L4281" s="33" t="str">
        <f>IFERROR(VLOOKUP($J4281,'Informations sur les produits'!$A$3:$H$10000,8,FALSE),"0")</f>
        <v>0</v>
      </c>
      <c r="N4281" s="8"/>
      <c r="O4281" s="33" t="str">
        <f>IFERROR(VLOOKUP($M4281,'Informations sur les produits'!$A$3:$H$10000,8,FALSE),"0")</f>
        <v>0</v>
      </c>
      <c r="P4281" s="33">
        <f t="shared" si="264"/>
        <v>0</v>
      </c>
      <c r="Q4281" s="31" t="str">
        <f t="shared" si="265"/>
        <v/>
      </c>
      <c r="R4281" s="32" t="str">
        <f>IFERROR(VLOOKUP($D4281,'Informations sur les produits'!$A$3:$B$15000,2,FALSE),"")</f>
        <v/>
      </c>
      <c r="V4281">
        <f t="shared" si="266"/>
        <v>0</v>
      </c>
      <c r="W4281">
        <f t="shared" si="267"/>
        <v>0</v>
      </c>
    </row>
    <row r="4282" spans="5:23" x14ac:dyDescent="0.25">
      <c r="E4282" s="4"/>
      <c r="F4282" s="4"/>
      <c r="G4282" s="33" t="str">
        <f>IFERROR(VLOOKUP($D4282,'Informations sur les produits'!$A$3:$H$10000,8,FALSE),"0")</f>
        <v>0</v>
      </c>
      <c r="K4282" s="4"/>
      <c r="L4282" s="33" t="str">
        <f>IFERROR(VLOOKUP($J4282,'Informations sur les produits'!$A$3:$H$10000,8,FALSE),"0")</f>
        <v>0</v>
      </c>
      <c r="N4282" s="8"/>
      <c r="O4282" s="33" t="str">
        <f>IFERROR(VLOOKUP($M4282,'Informations sur les produits'!$A$3:$H$10000,8,FALSE),"0")</f>
        <v>0</v>
      </c>
      <c r="P4282" s="33">
        <f t="shared" si="264"/>
        <v>0</v>
      </c>
      <c r="Q4282" s="31" t="str">
        <f t="shared" si="265"/>
        <v/>
      </c>
      <c r="R4282" s="32" t="str">
        <f>IFERROR(VLOOKUP($D4282,'Informations sur les produits'!$A$3:$B$15000,2,FALSE),"")</f>
        <v/>
      </c>
      <c r="V4282">
        <f t="shared" si="266"/>
        <v>0</v>
      </c>
      <c r="W4282">
        <f t="shared" si="267"/>
        <v>0</v>
      </c>
    </row>
    <row r="4283" spans="5:23" x14ac:dyDescent="0.25">
      <c r="E4283" s="4"/>
      <c r="F4283" s="4"/>
      <c r="G4283" s="33" t="str">
        <f>IFERROR(VLOOKUP($D4283,'Informations sur les produits'!$A$3:$H$10000,8,FALSE),"0")</f>
        <v>0</v>
      </c>
      <c r="K4283" s="4"/>
      <c r="L4283" s="33" t="str">
        <f>IFERROR(VLOOKUP($J4283,'Informations sur les produits'!$A$3:$H$10000,8,FALSE),"0")</f>
        <v>0</v>
      </c>
      <c r="N4283" s="8"/>
      <c r="O4283" s="33" t="str">
        <f>IFERROR(VLOOKUP($M4283,'Informations sur les produits'!$A$3:$H$10000,8,FALSE),"0")</f>
        <v>0</v>
      </c>
      <c r="P4283" s="33">
        <f t="shared" si="264"/>
        <v>0</v>
      </c>
      <c r="Q4283" s="31" t="str">
        <f t="shared" si="265"/>
        <v/>
      </c>
      <c r="R4283" s="32" t="str">
        <f>IFERROR(VLOOKUP($D4283,'Informations sur les produits'!$A$3:$B$15000,2,FALSE),"")</f>
        <v/>
      </c>
      <c r="V4283">
        <f t="shared" si="266"/>
        <v>0</v>
      </c>
      <c r="W4283">
        <f t="shared" si="267"/>
        <v>0</v>
      </c>
    </row>
    <row r="4284" spans="5:23" x14ac:dyDescent="0.25">
      <c r="E4284" s="4"/>
      <c r="F4284" s="4"/>
      <c r="G4284" s="33" t="str">
        <f>IFERROR(VLOOKUP($D4284,'Informations sur les produits'!$A$3:$H$10000,8,FALSE),"0")</f>
        <v>0</v>
      </c>
      <c r="K4284" s="4"/>
      <c r="L4284" s="33" t="str">
        <f>IFERROR(VLOOKUP($J4284,'Informations sur les produits'!$A$3:$H$10000,8,FALSE),"0")</f>
        <v>0</v>
      </c>
      <c r="N4284" s="8"/>
      <c r="O4284" s="33" t="str">
        <f>IFERROR(VLOOKUP($M4284,'Informations sur les produits'!$A$3:$H$10000,8,FALSE),"0")</f>
        <v>0</v>
      </c>
      <c r="P4284" s="33">
        <f t="shared" si="264"/>
        <v>0</v>
      </c>
      <c r="Q4284" s="31" t="str">
        <f t="shared" si="265"/>
        <v/>
      </c>
      <c r="R4284" s="32" t="str">
        <f>IFERROR(VLOOKUP($D4284,'Informations sur les produits'!$A$3:$B$15000,2,FALSE),"")</f>
        <v/>
      </c>
      <c r="V4284">
        <f t="shared" si="266"/>
        <v>0</v>
      </c>
      <c r="W4284">
        <f t="shared" si="267"/>
        <v>0</v>
      </c>
    </row>
    <row r="4285" spans="5:23" x14ac:dyDescent="0.25">
      <c r="E4285" s="4"/>
      <c r="F4285" s="4"/>
      <c r="G4285" s="33" t="str">
        <f>IFERROR(VLOOKUP($D4285,'Informations sur les produits'!$A$3:$H$10000,8,FALSE),"0")</f>
        <v>0</v>
      </c>
      <c r="K4285" s="4"/>
      <c r="L4285" s="33" t="str">
        <f>IFERROR(VLOOKUP($J4285,'Informations sur les produits'!$A$3:$H$10000,8,FALSE),"0")</f>
        <v>0</v>
      </c>
      <c r="N4285" s="8"/>
      <c r="O4285" s="33" t="str">
        <f>IFERROR(VLOOKUP($M4285,'Informations sur les produits'!$A$3:$H$10000,8,FALSE),"0")</f>
        <v>0</v>
      </c>
      <c r="P4285" s="33">
        <f t="shared" si="264"/>
        <v>0</v>
      </c>
      <c r="Q4285" s="31" t="str">
        <f t="shared" si="265"/>
        <v/>
      </c>
      <c r="R4285" s="32" t="str">
        <f>IFERROR(VLOOKUP($D4285,'Informations sur les produits'!$A$3:$B$15000,2,FALSE),"")</f>
        <v/>
      </c>
      <c r="V4285">
        <f t="shared" si="266"/>
        <v>0</v>
      </c>
      <c r="W4285">
        <f t="shared" si="267"/>
        <v>0</v>
      </c>
    </row>
    <row r="4286" spans="5:23" x14ac:dyDescent="0.25">
      <c r="E4286" s="4"/>
      <c r="F4286" s="4"/>
      <c r="G4286" s="33" t="str">
        <f>IFERROR(VLOOKUP($D4286,'Informations sur les produits'!$A$3:$H$10000,8,FALSE),"0")</f>
        <v>0</v>
      </c>
      <c r="K4286" s="4"/>
      <c r="L4286" s="33" t="str">
        <f>IFERROR(VLOOKUP($J4286,'Informations sur les produits'!$A$3:$H$10000,8,FALSE),"0")</f>
        <v>0</v>
      </c>
      <c r="N4286" s="8"/>
      <c r="O4286" s="33" t="str">
        <f>IFERROR(VLOOKUP($M4286,'Informations sur les produits'!$A$3:$H$10000,8,FALSE),"0")</f>
        <v>0</v>
      </c>
      <c r="P4286" s="33">
        <f t="shared" si="264"/>
        <v>0</v>
      </c>
      <c r="Q4286" s="31" t="str">
        <f t="shared" si="265"/>
        <v/>
      </c>
      <c r="R4286" s="32" t="str">
        <f>IFERROR(VLOOKUP($D4286,'Informations sur les produits'!$A$3:$B$15000,2,FALSE),"")</f>
        <v/>
      </c>
      <c r="V4286">
        <f t="shared" si="266"/>
        <v>0</v>
      </c>
      <c r="W4286">
        <f t="shared" si="267"/>
        <v>0</v>
      </c>
    </row>
    <row r="4287" spans="5:23" x14ac:dyDescent="0.25">
      <c r="E4287" s="4"/>
      <c r="F4287" s="4"/>
      <c r="G4287" s="33" t="str">
        <f>IFERROR(VLOOKUP($D4287,'Informations sur les produits'!$A$3:$H$10000,8,FALSE),"0")</f>
        <v>0</v>
      </c>
      <c r="K4287" s="4"/>
      <c r="L4287" s="33" t="str">
        <f>IFERROR(VLOOKUP($J4287,'Informations sur les produits'!$A$3:$H$10000,8,FALSE),"0")</f>
        <v>0</v>
      </c>
      <c r="N4287" s="8"/>
      <c r="O4287" s="33" t="str">
        <f>IFERROR(VLOOKUP($M4287,'Informations sur les produits'!$A$3:$H$10000,8,FALSE),"0")</f>
        <v>0</v>
      </c>
      <c r="P4287" s="33">
        <f t="shared" si="264"/>
        <v>0</v>
      </c>
      <c r="Q4287" s="31" t="str">
        <f t="shared" si="265"/>
        <v/>
      </c>
      <c r="R4287" s="32" t="str">
        <f>IFERROR(VLOOKUP($D4287,'Informations sur les produits'!$A$3:$B$15000,2,FALSE),"")</f>
        <v/>
      </c>
      <c r="V4287">
        <f t="shared" si="266"/>
        <v>0</v>
      </c>
      <c r="W4287">
        <f t="shared" si="267"/>
        <v>0</v>
      </c>
    </row>
    <row r="4288" spans="5:23" x14ac:dyDescent="0.25">
      <c r="E4288" s="4"/>
      <c r="F4288" s="4"/>
      <c r="G4288" s="33" t="str">
        <f>IFERROR(VLOOKUP($D4288,'Informations sur les produits'!$A$3:$H$10000,8,FALSE),"0")</f>
        <v>0</v>
      </c>
      <c r="K4288" s="4"/>
      <c r="L4288" s="33" t="str">
        <f>IFERROR(VLOOKUP($J4288,'Informations sur les produits'!$A$3:$H$10000,8,FALSE),"0")</f>
        <v>0</v>
      </c>
      <c r="N4288" s="8"/>
      <c r="O4288" s="33" t="str">
        <f>IFERROR(VLOOKUP($M4288,'Informations sur les produits'!$A$3:$H$10000,8,FALSE),"0")</f>
        <v>0</v>
      </c>
      <c r="P4288" s="33">
        <f t="shared" si="264"/>
        <v>0</v>
      </c>
      <c r="Q4288" s="31" t="str">
        <f t="shared" si="265"/>
        <v/>
      </c>
      <c r="R4288" s="32" t="str">
        <f>IFERROR(VLOOKUP($D4288,'Informations sur les produits'!$A$3:$B$15000,2,FALSE),"")</f>
        <v/>
      </c>
      <c r="V4288">
        <f t="shared" si="266"/>
        <v>0</v>
      </c>
      <c r="W4288">
        <f t="shared" si="267"/>
        <v>0</v>
      </c>
    </row>
    <row r="4289" spans="5:23" x14ac:dyDescent="0.25">
      <c r="E4289" s="4"/>
      <c r="F4289" s="4"/>
      <c r="G4289" s="33" t="str">
        <f>IFERROR(VLOOKUP($D4289,'Informations sur les produits'!$A$3:$H$10000,8,FALSE),"0")</f>
        <v>0</v>
      </c>
      <c r="K4289" s="4"/>
      <c r="L4289" s="33" t="str">
        <f>IFERROR(VLOOKUP($J4289,'Informations sur les produits'!$A$3:$H$10000,8,FALSE),"0")</f>
        <v>0</v>
      </c>
      <c r="N4289" s="8"/>
      <c r="O4289" s="33" t="str">
        <f>IFERROR(VLOOKUP($M4289,'Informations sur les produits'!$A$3:$H$10000,8,FALSE),"0")</f>
        <v>0</v>
      </c>
      <c r="P4289" s="33">
        <f t="shared" si="264"/>
        <v>0</v>
      </c>
      <c r="Q4289" s="31" t="str">
        <f t="shared" si="265"/>
        <v/>
      </c>
      <c r="R4289" s="32" t="str">
        <f>IFERROR(VLOOKUP($D4289,'Informations sur les produits'!$A$3:$B$15000,2,FALSE),"")</f>
        <v/>
      </c>
      <c r="V4289">
        <f t="shared" si="266"/>
        <v>0</v>
      </c>
      <c r="W4289">
        <f t="shared" si="267"/>
        <v>0</v>
      </c>
    </row>
    <row r="4290" spans="5:23" x14ac:dyDescent="0.25">
      <c r="E4290" s="4"/>
      <c r="F4290" s="4"/>
      <c r="G4290" s="33" t="str">
        <f>IFERROR(VLOOKUP($D4290,'Informations sur les produits'!$A$3:$H$10000,8,FALSE),"0")</f>
        <v>0</v>
      </c>
      <c r="K4290" s="4"/>
      <c r="L4290" s="33" t="str">
        <f>IFERROR(VLOOKUP($J4290,'Informations sur les produits'!$A$3:$H$10000,8,FALSE),"0")</f>
        <v>0</v>
      </c>
      <c r="N4290" s="8"/>
      <c r="O4290" s="33" t="str">
        <f>IFERROR(VLOOKUP($M4290,'Informations sur les produits'!$A$3:$H$10000,8,FALSE),"0")</f>
        <v>0</v>
      </c>
      <c r="P4290" s="33">
        <f t="shared" si="264"/>
        <v>0</v>
      </c>
      <c r="Q4290" s="31" t="str">
        <f t="shared" si="265"/>
        <v/>
      </c>
      <c r="R4290" s="32" t="str">
        <f>IFERROR(VLOOKUP($D4290,'Informations sur les produits'!$A$3:$B$15000,2,FALSE),"")</f>
        <v/>
      </c>
      <c r="V4290">
        <f t="shared" si="266"/>
        <v>0</v>
      </c>
      <c r="W4290">
        <f t="shared" si="267"/>
        <v>0</v>
      </c>
    </row>
    <row r="4291" spans="5:23" x14ac:dyDescent="0.25">
      <c r="E4291" s="4"/>
      <c r="F4291" s="4"/>
      <c r="G4291" s="33" t="str">
        <f>IFERROR(VLOOKUP($D4291,'Informations sur les produits'!$A$3:$H$10000,8,FALSE),"0")</f>
        <v>0</v>
      </c>
      <c r="K4291" s="4"/>
      <c r="L4291" s="33" t="str">
        <f>IFERROR(VLOOKUP($J4291,'Informations sur les produits'!$A$3:$H$10000,8,FALSE),"0")</f>
        <v>0</v>
      </c>
      <c r="N4291" s="8"/>
      <c r="O4291" s="33" t="str">
        <f>IFERROR(VLOOKUP($M4291,'Informations sur les produits'!$A$3:$H$10000,8,FALSE),"0")</f>
        <v>0</v>
      </c>
      <c r="P4291" s="33">
        <f t="shared" si="264"/>
        <v>0</v>
      </c>
      <c r="Q4291" s="31" t="str">
        <f t="shared" si="265"/>
        <v/>
      </c>
      <c r="R4291" s="32" t="str">
        <f>IFERROR(VLOOKUP($D4291,'Informations sur les produits'!$A$3:$B$15000,2,FALSE),"")</f>
        <v/>
      </c>
      <c r="V4291">
        <f t="shared" si="266"/>
        <v>0</v>
      </c>
      <c r="W4291">
        <f t="shared" si="267"/>
        <v>0</v>
      </c>
    </row>
    <row r="4292" spans="5:23" x14ac:dyDescent="0.25">
      <c r="E4292" s="4"/>
      <c r="F4292" s="4"/>
      <c r="G4292" s="33" t="str">
        <f>IFERROR(VLOOKUP($D4292,'Informations sur les produits'!$A$3:$H$10000,8,FALSE),"0")</f>
        <v>0</v>
      </c>
      <c r="K4292" s="4"/>
      <c r="L4292" s="33" t="str">
        <f>IFERROR(VLOOKUP($J4292,'Informations sur les produits'!$A$3:$H$10000,8,FALSE),"0")</f>
        <v>0</v>
      </c>
      <c r="N4292" s="8"/>
      <c r="O4292" s="33" t="str">
        <f>IFERROR(VLOOKUP($M4292,'Informations sur les produits'!$A$3:$H$10000,8,FALSE),"0")</f>
        <v>0</v>
      </c>
      <c r="P4292" s="33">
        <f t="shared" ref="P4292:P4355" si="268">IFERROR((($E4292-$F4292)*$G4292+$K4292*$L4292+$N4292*$O4292),"")</f>
        <v>0</v>
      </c>
      <c r="Q4292" s="31" t="str">
        <f t="shared" ref="Q4292:Q4355" si="269">IFERROR((((($E4292-$F4292)*$G4292+$K4292*$L4292+$N4292*$O4292)*1000)/(($E4292-$F4292)+$K4292+$N4292)),"")</f>
        <v/>
      </c>
      <c r="R4292" s="32" t="str">
        <f>IFERROR(VLOOKUP($D4292,'Informations sur les produits'!$A$3:$B$15000,2,FALSE),"")</f>
        <v/>
      </c>
      <c r="V4292">
        <f t="shared" ref="V4292:V4355" si="270">IFERROR(P4292*1000,"")</f>
        <v>0</v>
      </c>
      <c r="W4292">
        <f t="shared" ref="W4292:W4355" si="271">IFERROR(($E4292-$F4292)+$K4292+$N4292,"")</f>
        <v>0</v>
      </c>
    </row>
    <row r="4293" spans="5:23" x14ac:dyDescent="0.25">
      <c r="E4293" s="4"/>
      <c r="F4293" s="4"/>
      <c r="G4293" s="33" t="str">
        <f>IFERROR(VLOOKUP($D4293,'Informations sur les produits'!$A$3:$H$10000,8,FALSE),"0")</f>
        <v>0</v>
      </c>
      <c r="K4293" s="4"/>
      <c r="L4293" s="33" t="str">
        <f>IFERROR(VLOOKUP($J4293,'Informations sur les produits'!$A$3:$H$10000,8,FALSE),"0")</f>
        <v>0</v>
      </c>
      <c r="N4293" s="8"/>
      <c r="O4293" s="33" t="str">
        <f>IFERROR(VLOOKUP($M4293,'Informations sur les produits'!$A$3:$H$10000,8,FALSE),"0")</f>
        <v>0</v>
      </c>
      <c r="P4293" s="33">
        <f t="shared" si="268"/>
        <v>0</v>
      </c>
      <c r="Q4293" s="31" t="str">
        <f t="shared" si="269"/>
        <v/>
      </c>
      <c r="R4293" s="32" t="str">
        <f>IFERROR(VLOOKUP($D4293,'Informations sur les produits'!$A$3:$B$15000,2,FALSE),"")</f>
        <v/>
      </c>
      <c r="V4293">
        <f t="shared" si="270"/>
        <v>0</v>
      </c>
      <c r="W4293">
        <f t="shared" si="271"/>
        <v>0</v>
      </c>
    </row>
    <row r="4294" spans="5:23" x14ac:dyDescent="0.25">
      <c r="E4294" s="4"/>
      <c r="F4294" s="4"/>
      <c r="G4294" s="33" t="str">
        <f>IFERROR(VLOOKUP($D4294,'Informations sur les produits'!$A$3:$H$10000,8,FALSE),"0")</f>
        <v>0</v>
      </c>
      <c r="K4294" s="4"/>
      <c r="L4294" s="33" t="str">
        <f>IFERROR(VLOOKUP($J4294,'Informations sur les produits'!$A$3:$H$10000,8,FALSE),"0")</f>
        <v>0</v>
      </c>
      <c r="N4294" s="8"/>
      <c r="O4294" s="33" t="str">
        <f>IFERROR(VLOOKUP($M4294,'Informations sur les produits'!$A$3:$H$10000,8,FALSE),"0")</f>
        <v>0</v>
      </c>
      <c r="P4294" s="33">
        <f t="shared" si="268"/>
        <v>0</v>
      </c>
      <c r="Q4294" s="31" t="str">
        <f t="shared" si="269"/>
        <v/>
      </c>
      <c r="R4294" s="32" t="str">
        <f>IFERROR(VLOOKUP($D4294,'Informations sur les produits'!$A$3:$B$15000,2,FALSE),"")</f>
        <v/>
      </c>
      <c r="V4294">
        <f t="shared" si="270"/>
        <v>0</v>
      </c>
      <c r="W4294">
        <f t="shared" si="271"/>
        <v>0</v>
      </c>
    </row>
    <row r="4295" spans="5:23" x14ac:dyDescent="0.25">
      <c r="E4295" s="4"/>
      <c r="F4295" s="4"/>
      <c r="G4295" s="33" t="str">
        <f>IFERROR(VLOOKUP($D4295,'Informations sur les produits'!$A$3:$H$10000,8,FALSE),"0")</f>
        <v>0</v>
      </c>
      <c r="K4295" s="4"/>
      <c r="L4295" s="33" t="str">
        <f>IFERROR(VLOOKUP($J4295,'Informations sur les produits'!$A$3:$H$10000,8,FALSE),"0")</f>
        <v>0</v>
      </c>
      <c r="N4295" s="8"/>
      <c r="O4295" s="33" t="str">
        <f>IFERROR(VLOOKUP($M4295,'Informations sur les produits'!$A$3:$H$10000,8,FALSE),"0")</f>
        <v>0</v>
      </c>
      <c r="P4295" s="33">
        <f t="shared" si="268"/>
        <v>0</v>
      </c>
      <c r="Q4295" s="31" t="str">
        <f t="shared" si="269"/>
        <v/>
      </c>
      <c r="R4295" s="32" t="str">
        <f>IFERROR(VLOOKUP($D4295,'Informations sur les produits'!$A$3:$B$15000,2,FALSE),"")</f>
        <v/>
      </c>
      <c r="V4295">
        <f t="shared" si="270"/>
        <v>0</v>
      </c>
      <c r="W4295">
        <f t="shared" si="271"/>
        <v>0</v>
      </c>
    </row>
    <row r="4296" spans="5:23" x14ac:dyDescent="0.25">
      <c r="E4296" s="4"/>
      <c r="F4296" s="4"/>
      <c r="G4296" s="33" t="str">
        <f>IFERROR(VLOOKUP($D4296,'Informations sur les produits'!$A$3:$H$10000,8,FALSE),"0")</f>
        <v>0</v>
      </c>
      <c r="K4296" s="4"/>
      <c r="L4296" s="33" t="str">
        <f>IFERROR(VLOOKUP($J4296,'Informations sur les produits'!$A$3:$H$10000,8,FALSE),"0")</f>
        <v>0</v>
      </c>
      <c r="N4296" s="8"/>
      <c r="O4296" s="33" t="str">
        <f>IFERROR(VLOOKUP($M4296,'Informations sur les produits'!$A$3:$H$10000,8,FALSE),"0")</f>
        <v>0</v>
      </c>
      <c r="P4296" s="33">
        <f t="shared" si="268"/>
        <v>0</v>
      </c>
      <c r="Q4296" s="31" t="str">
        <f t="shared" si="269"/>
        <v/>
      </c>
      <c r="R4296" s="32" t="str">
        <f>IFERROR(VLOOKUP($D4296,'Informations sur les produits'!$A$3:$B$15000,2,FALSE),"")</f>
        <v/>
      </c>
      <c r="V4296">
        <f t="shared" si="270"/>
        <v>0</v>
      </c>
      <c r="W4296">
        <f t="shared" si="271"/>
        <v>0</v>
      </c>
    </row>
    <row r="4297" spans="5:23" x14ac:dyDescent="0.25">
      <c r="E4297" s="4"/>
      <c r="F4297" s="4"/>
      <c r="G4297" s="33" t="str">
        <f>IFERROR(VLOOKUP($D4297,'Informations sur les produits'!$A$3:$H$10000,8,FALSE),"0")</f>
        <v>0</v>
      </c>
      <c r="K4297" s="4"/>
      <c r="L4297" s="33" t="str">
        <f>IFERROR(VLOOKUP($J4297,'Informations sur les produits'!$A$3:$H$10000,8,FALSE),"0")</f>
        <v>0</v>
      </c>
      <c r="N4297" s="8"/>
      <c r="O4297" s="33" t="str">
        <f>IFERROR(VLOOKUP($M4297,'Informations sur les produits'!$A$3:$H$10000,8,FALSE),"0")</f>
        <v>0</v>
      </c>
      <c r="P4297" s="33">
        <f t="shared" si="268"/>
        <v>0</v>
      </c>
      <c r="Q4297" s="31" t="str">
        <f t="shared" si="269"/>
        <v/>
      </c>
      <c r="R4297" s="32" t="str">
        <f>IFERROR(VLOOKUP($D4297,'Informations sur les produits'!$A$3:$B$15000,2,FALSE),"")</f>
        <v/>
      </c>
      <c r="V4297">
        <f t="shared" si="270"/>
        <v>0</v>
      </c>
      <c r="W4297">
        <f t="shared" si="271"/>
        <v>0</v>
      </c>
    </row>
    <row r="4298" spans="5:23" x14ac:dyDescent="0.25">
      <c r="E4298" s="4"/>
      <c r="F4298" s="4"/>
      <c r="G4298" s="33" t="str">
        <f>IFERROR(VLOOKUP($D4298,'Informations sur les produits'!$A$3:$H$10000,8,FALSE),"0")</f>
        <v>0</v>
      </c>
      <c r="K4298" s="4"/>
      <c r="L4298" s="33" t="str">
        <f>IFERROR(VLOOKUP($J4298,'Informations sur les produits'!$A$3:$H$10000,8,FALSE),"0")</f>
        <v>0</v>
      </c>
      <c r="N4298" s="8"/>
      <c r="O4298" s="33" t="str">
        <f>IFERROR(VLOOKUP($M4298,'Informations sur les produits'!$A$3:$H$10000,8,FALSE),"0")</f>
        <v>0</v>
      </c>
      <c r="P4298" s="33">
        <f t="shared" si="268"/>
        <v>0</v>
      </c>
      <c r="Q4298" s="31" t="str">
        <f t="shared" si="269"/>
        <v/>
      </c>
      <c r="R4298" s="32" t="str">
        <f>IFERROR(VLOOKUP($D4298,'Informations sur les produits'!$A$3:$B$15000,2,FALSE),"")</f>
        <v/>
      </c>
      <c r="V4298">
        <f t="shared" si="270"/>
        <v>0</v>
      </c>
      <c r="W4298">
        <f t="shared" si="271"/>
        <v>0</v>
      </c>
    </row>
    <row r="4299" spans="5:23" x14ac:dyDescent="0.25">
      <c r="E4299" s="4"/>
      <c r="F4299" s="4"/>
      <c r="G4299" s="33" t="str">
        <f>IFERROR(VLOOKUP($D4299,'Informations sur les produits'!$A$3:$H$10000,8,FALSE),"0")</f>
        <v>0</v>
      </c>
      <c r="K4299" s="4"/>
      <c r="L4299" s="33" t="str">
        <f>IFERROR(VLOOKUP($J4299,'Informations sur les produits'!$A$3:$H$10000,8,FALSE),"0")</f>
        <v>0</v>
      </c>
      <c r="N4299" s="8"/>
      <c r="O4299" s="33" t="str">
        <f>IFERROR(VLOOKUP($M4299,'Informations sur les produits'!$A$3:$H$10000,8,FALSE),"0")</f>
        <v>0</v>
      </c>
      <c r="P4299" s="33">
        <f t="shared" si="268"/>
        <v>0</v>
      </c>
      <c r="Q4299" s="31" t="str">
        <f t="shared" si="269"/>
        <v/>
      </c>
      <c r="R4299" s="32" t="str">
        <f>IFERROR(VLOOKUP($D4299,'Informations sur les produits'!$A$3:$B$15000,2,FALSE),"")</f>
        <v/>
      </c>
      <c r="V4299">
        <f t="shared" si="270"/>
        <v>0</v>
      </c>
      <c r="W4299">
        <f t="shared" si="271"/>
        <v>0</v>
      </c>
    </row>
    <row r="4300" spans="5:23" x14ac:dyDescent="0.25">
      <c r="E4300" s="4"/>
      <c r="F4300" s="4"/>
      <c r="G4300" s="33" t="str">
        <f>IFERROR(VLOOKUP($D4300,'Informations sur les produits'!$A$3:$H$10000,8,FALSE),"0")</f>
        <v>0</v>
      </c>
      <c r="K4300" s="4"/>
      <c r="L4300" s="33" t="str">
        <f>IFERROR(VLOOKUP($J4300,'Informations sur les produits'!$A$3:$H$10000,8,FALSE),"0")</f>
        <v>0</v>
      </c>
      <c r="N4300" s="8"/>
      <c r="O4300" s="33" t="str">
        <f>IFERROR(VLOOKUP($M4300,'Informations sur les produits'!$A$3:$H$10000,8,FALSE),"0")</f>
        <v>0</v>
      </c>
      <c r="P4300" s="33">
        <f t="shared" si="268"/>
        <v>0</v>
      </c>
      <c r="Q4300" s="31" t="str">
        <f t="shared" si="269"/>
        <v/>
      </c>
      <c r="R4300" s="32" t="str">
        <f>IFERROR(VLOOKUP($D4300,'Informations sur les produits'!$A$3:$B$15000,2,FALSE),"")</f>
        <v/>
      </c>
      <c r="V4300">
        <f t="shared" si="270"/>
        <v>0</v>
      </c>
      <c r="W4300">
        <f t="shared" si="271"/>
        <v>0</v>
      </c>
    </row>
    <row r="4301" spans="5:23" x14ac:dyDescent="0.25">
      <c r="E4301" s="4"/>
      <c r="F4301" s="4"/>
      <c r="G4301" s="33" t="str">
        <f>IFERROR(VLOOKUP($D4301,'Informations sur les produits'!$A$3:$H$10000,8,FALSE),"0")</f>
        <v>0</v>
      </c>
      <c r="K4301" s="4"/>
      <c r="L4301" s="33" t="str">
        <f>IFERROR(VLOOKUP($J4301,'Informations sur les produits'!$A$3:$H$10000,8,FALSE),"0")</f>
        <v>0</v>
      </c>
      <c r="N4301" s="8"/>
      <c r="O4301" s="33" t="str">
        <f>IFERROR(VLOOKUP($M4301,'Informations sur les produits'!$A$3:$H$10000,8,FALSE),"0")</f>
        <v>0</v>
      </c>
      <c r="P4301" s="33">
        <f t="shared" si="268"/>
        <v>0</v>
      </c>
      <c r="Q4301" s="31" t="str">
        <f t="shared" si="269"/>
        <v/>
      </c>
      <c r="R4301" s="32" t="str">
        <f>IFERROR(VLOOKUP($D4301,'Informations sur les produits'!$A$3:$B$15000,2,FALSE),"")</f>
        <v/>
      </c>
      <c r="V4301">
        <f t="shared" si="270"/>
        <v>0</v>
      </c>
      <c r="W4301">
        <f t="shared" si="271"/>
        <v>0</v>
      </c>
    </row>
    <row r="4302" spans="5:23" x14ac:dyDescent="0.25">
      <c r="E4302" s="4"/>
      <c r="F4302" s="4"/>
      <c r="G4302" s="33" t="str">
        <f>IFERROR(VLOOKUP($D4302,'Informations sur les produits'!$A$3:$H$10000,8,FALSE),"0")</f>
        <v>0</v>
      </c>
      <c r="K4302" s="4"/>
      <c r="L4302" s="33" t="str">
        <f>IFERROR(VLOOKUP($J4302,'Informations sur les produits'!$A$3:$H$10000,8,FALSE),"0")</f>
        <v>0</v>
      </c>
      <c r="N4302" s="8"/>
      <c r="O4302" s="33" t="str">
        <f>IFERROR(VLOOKUP($M4302,'Informations sur les produits'!$A$3:$H$10000,8,FALSE),"0")</f>
        <v>0</v>
      </c>
      <c r="P4302" s="33">
        <f t="shared" si="268"/>
        <v>0</v>
      </c>
      <c r="Q4302" s="31" t="str">
        <f t="shared" si="269"/>
        <v/>
      </c>
      <c r="R4302" s="32" t="str">
        <f>IFERROR(VLOOKUP($D4302,'Informations sur les produits'!$A$3:$B$15000,2,FALSE),"")</f>
        <v/>
      </c>
      <c r="V4302">
        <f t="shared" si="270"/>
        <v>0</v>
      </c>
      <c r="W4302">
        <f t="shared" si="271"/>
        <v>0</v>
      </c>
    </row>
    <row r="4303" spans="5:23" x14ac:dyDescent="0.25">
      <c r="E4303" s="4"/>
      <c r="F4303" s="4"/>
      <c r="G4303" s="33" t="str">
        <f>IFERROR(VLOOKUP($D4303,'Informations sur les produits'!$A$3:$H$10000,8,FALSE),"0")</f>
        <v>0</v>
      </c>
      <c r="K4303" s="4"/>
      <c r="L4303" s="33" t="str">
        <f>IFERROR(VLOOKUP($J4303,'Informations sur les produits'!$A$3:$H$10000,8,FALSE),"0")</f>
        <v>0</v>
      </c>
      <c r="N4303" s="8"/>
      <c r="O4303" s="33" t="str">
        <f>IFERROR(VLOOKUP($M4303,'Informations sur les produits'!$A$3:$H$10000,8,FALSE),"0")</f>
        <v>0</v>
      </c>
      <c r="P4303" s="33">
        <f t="shared" si="268"/>
        <v>0</v>
      </c>
      <c r="Q4303" s="31" t="str">
        <f t="shared" si="269"/>
        <v/>
      </c>
      <c r="R4303" s="32" t="str">
        <f>IFERROR(VLOOKUP($D4303,'Informations sur les produits'!$A$3:$B$15000,2,FALSE),"")</f>
        <v/>
      </c>
      <c r="V4303">
        <f t="shared" si="270"/>
        <v>0</v>
      </c>
      <c r="W4303">
        <f t="shared" si="271"/>
        <v>0</v>
      </c>
    </row>
    <row r="4304" spans="5:23" x14ac:dyDescent="0.25">
      <c r="E4304" s="4"/>
      <c r="F4304" s="4"/>
      <c r="G4304" s="33" t="str">
        <f>IFERROR(VLOOKUP($D4304,'Informations sur les produits'!$A$3:$H$10000,8,FALSE),"0")</f>
        <v>0</v>
      </c>
      <c r="K4304" s="4"/>
      <c r="L4304" s="33" t="str">
        <f>IFERROR(VLOOKUP($J4304,'Informations sur les produits'!$A$3:$H$10000,8,FALSE),"0")</f>
        <v>0</v>
      </c>
      <c r="N4304" s="8"/>
      <c r="O4304" s="33" t="str">
        <f>IFERROR(VLOOKUP($M4304,'Informations sur les produits'!$A$3:$H$10000,8,FALSE),"0")</f>
        <v>0</v>
      </c>
      <c r="P4304" s="33">
        <f t="shared" si="268"/>
        <v>0</v>
      </c>
      <c r="Q4304" s="31" t="str">
        <f t="shared" si="269"/>
        <v/>
      </c>
      <c r="R4304" s="32" t="str">
        <f>IFERROR(VLOOKUP($D4304,'Informations sur les produits'!$A$3:$B$15000,2,FALSE),"")</f>
        <v/>
      </c>
      <c r="V4304">
        <f t="shared" si="270"/>
        <v>0</v>
      </c>
      <c r="W4304">
        <f t="shared" si="271"/>
        <v>0</v>
      </c>
    </row>
    <row r="4305" spans="5:23" x14ac:dyDescent="0.25">
      <c r="E4305" s="4"/>
      <c r="F4305" s="4"/>
      <c r="G4305" s="33" t="str">
        <f>IFERROR(VLOOKUP($D4305,'Informations sur les produits'!$A$3:$H$10000,8,FALSE),"0")</f>
        <v>0</v>
      </c>
      <c r="K4305" s="4"/>
      <c r="L4305" s="33" t="str">
        <f>IFERROR(VLOOKUP($J4305,'Informations sur les produits'!$A$3:$H$10000,8,FALSE),"0")</f>
        <v>0</v>
      </c>
      <c r="N4305" s="8"/>
      <c r="O4305" s="33" t="str">
        <f>IFERROR(VLOOKUP($M4305,'Informations sur les produits'!$A$3:$H$10000,8,FALSE),"0")</f>
        <v>0</v>
      </c>
      <c r="P4305" s="33">
        <f t="shared" si="268"/>
        <v>0</v>
      </c>
      <c r="Q4305" s="31" t="str">
        <f t="shared" si="269"/>
        <v/>
      </c>
      <c r="R4305" s="32" t="str">
        <f>IFERROR(VLOOKUP($D4305,'Informations sur les produits'!$A$3:$B$15000,2,FALSE),"")</f>
        <v/>
      </c>
      <c r="V4305">
        <f t="shared" si="270"/>
        <v>0</v>
      </c>
      <c r="W4305">
        <f t="shared" si="271"/>
        <v>0</v>
      </c>
    </row>
    <row r="4306" spans="5:23" x14ac:dyDescent="0.25">
      <c r="E4306" s="4"/>
      <c r="F4306" s="4"/>
      <c r="G4306" s="33" t="str">
        <f>IFERROR(VLOOKUP($D4306,'Informations sur les produits'!$A$3:$H$10000,8,FALSE),"0")</f>
        <v>0</v>
      </c>
      <c r="K4306" s="4"/>
      <c r="L4306" s="33" t="str">
        <f>IFERROR(VLOOKUP($J4306,'Informations sur les produits'!$A$3:$H$10000,8,FALSE),"0")</f>
        <v>0</v>
      </c>
      <c r="N4306" s="8"/>
      <c r="O4306" s="33" t="str">
        <f>IFERROR(VLOOKUP($M4306,'Informations sur les produits'!$A$3:$H$10000,8,FALSE),"0")</f>
        <v>0</v>
      </c>
      <c r="P4306" s="33">
        <f t="shared" si="268"/>
        <v>0</v>
      </c>
      <c r="Q4306" s="31" t="str">
        <f t="shared" si="269"/>
        <v/>
      </c>
      <c r="R4306" s="32" t="str">
        <f>IFERROR(VLOOKUP($D4306,'Informations sur les produits'!$A$3:$B$15000,2,FALSE),"")</f>
        <v/>
      </c>
      <c r="V4306">
        <f t="shared" si="270"/>
        <v>0</v>
      </c>
      <c r="W4306">
        <f t="shared" si="271"/>
        <v>0</v>
      </c>
    </row>
    <row r="4307" spans="5:23" x14ac:dyDescent="0.25">
      <c r="E4307" s="4"/>
      <c r="F4307" s="4"/>
      <c r="G4307" s="33" t="str">
        <f>IFERROR(VLOOKUP($D4307,'Informations sur les produits'!$A$3:$H$10000,8,FALSE),"0")</f>
        <v>0</v>
      </c>
      <c r="K4307" s="4"/>
      <c r="L4307" s="33" t="str">
        <f>IFERROR(VLOOKUP($J4307,'Informations sur les produits'!$A$3:$H$10000,8,FALSE),"0")</f>
        <v>0</v>
      </c>
      <c r="N4307" s="8"/>
      <c r="O4307" s="33" t="str">
        <f>IFERROR(VLOOKUP($M4307,'Informations sur les produits'!$A$3:$H$10000,8,FALSE),"0")</f>
        <v>0</v>
      </c>
      <c r="P4307" s="33">
        <f t="shared" si="268"/>
        <v>0</v>
      </c>
      <c r="Q4307" s="31" t="str">
        <f t="shared" si="269"/>
        <v/>
      </c>
      <c r="R4307" s="32" t="str">
        <f>IFERROR(VLOOKUP($D4307,'Informations sur les produits'!$A$3:$B$15000,2,FALSE),"")</f>
        <v/>
      </c>
      <c r="V4307">
        <f t="shared" si="270"/>
        <v>0</v>
      </c>
      <c r="W4307">
        <f t="shared" si="271"/>
        <v>0</v>
      </c>
    </row>
    <row r="4308" spans="5:23" x14ac:dyDescent="0.25">
      <c r="E4308" s="4"/>
      <c r="F4308" s="4"/>
      <c r="G4308" s="33" t="str">
        <f>IFERROR(VLOOKUP($D4308,'Informations sur les produits'!$A$3:$H$10000,8,FALSE),"0")</f>
        <v>0</v>
      </c>
      <c r="K4308" s="4"/>
      <c r="L4308" s="33" t="str">
        <f>IFERROR(VLOOKUP($J4308,'Informations sur les produits'!$A$3:$H$10000,8,FALSE),"0")</f>
        <v>0</v>
      </c>
      <c r="N4308" s="8"/>
      <c r="O4308" s="33" t="str">
        <f>IFERROR(VLOOKUP($M4308,'Informations sur les produits'!$A$3:$H$10000,8,FALSE),"0")</f>
        <v>0</v>
      </c>
      <c r="P4308" s="33">
        <f t="shared" si="268"/>
        <v>0</v>
      </c>
      <c r="Q4308" s="31" t="str">
        <f t="shared" si="269"/>
        <v/>
      </c>
      <c r="R4308" s="32" t="str">
        <f>IFERROR(VLOOKUP($D4308,'Informations sur les produits'!$A$3:$B$15000,2,FALSE),"")</f>
        <v/>
      </c>
      <c r="V4308">
        <f t="shared" si="270"/>
        <v>0</v>
      </c>
      <c r="W4308">
        <f t="shared" si="271"/>
        <v>0</v>
      </c>
    </row>
    <row r="4309" spans="5:23" x14ac:dyDescent="0.25">
      <c r="E4309" s="4"/>
      <c r="F4309" s="4"/>
      <c r="G4309" s="33" t="str">
        <f>IFERROR(VLOOKUP($D4309,'Informations sur les produits'!$A$3:$H$10000,8,FALSE),"0")</f>
        <v>0</v>
      </c>
      <c r="K4309" s="4"/>
      <c r="L4309" s="33" t="str">
        <f>IFERROR(VLOOKUP($J4309,'Informations sur les produits'!$A$3:$H$10000,8,FALSE),"0")</f>
        <v>0</v>
      </c>
      <c r="N4309" s="8"/>
      <c r="O4309" s="33" t="str">
        <f>IFERROR(VLOOKUP($M4309,'Informations sur les produits'!$A$3:$H$10000,8,FALSE),"0")</f>
        <v>0</v>
      </c>
      <c r="P4309" s="33">
        <f t="shared" si="268"/>
        <v>0</v>
      </c>
      <c r="Q4309" s="31" t="str">
        <f t="shared" si="269"/>
        <v/>
      </c>
      <c r="R4309" s="32" t="str">
        <f>IFERROR(VLOOKUP($D4309,'Informations sur les produits'!$A$3:$B$15000,2,FALSE),"")</f>
        <v/>
      </c>
      <c r="V4309">
        <f t="shared" si="270"/>
        <v>0</v>
      </c>
      <c r="W4309">
        <f t="shared" si="271"/>
        <v>0</v>
      </c>
    </row>
    <row r="4310" spans="5:23" x14ac:dyDescent="0.25">
      <c r="E4310" s="4"/>
      <c r="F4310" s="4"/>
      <c r="G4310" s="33" t="str">
        <f>IFERROR(VLOOKUP($D4310,'Informations sur les produits'!$A$3:$H$10000,8,FALSE),"0")</f>
        <v>0</v>
      </c>
      <c r="K4310" s="4"/>
      <c r="L4310" s="33" t="str">
        <f>IFERROR(VLOOKUP($J4310,'Informations sur les produits'!$A$3:$H$10000,8,FALSE),"0")</f>
        <v>0</v>
      </c>
      <c r="N4310" s="8"/>
      <c r="O4310" s="33" t="str">
        <f>IFERROR(VLOOKUP($M4310,'Informations sur les produits'!$A$3:$H$10000,8,FALSE),"0")</f>
        <v>0</v>
      </c>
      <c r="P4310" s="33">
        <f t="shared" si="268"/>
        <v>0</v>
      </c>
      <c r="Q4310" s="31" t="str">
        <f t="shared" si="269"/>
        <v/>
      </c>
      <c r="R4310" s="32" t="str">
        <f>IFERROR(VLOOKUP($D4310,'Informations sur les produits'!$A$3:$B$15000,2,FALSE),"")</f>
        <v/>
      </c>
      <c r="V4310">
        <f t="shared" si="270"/>
        <v>0</v>
      </c>
      <c r="W4310">
        <f t="shared" si="271"/>
        <v>0</v>
      </c>
    </row>
    <row r="4311" spans="5:23" x14ac:dyDescent="0.25">
      <c r="E4311" s="4"/>
      <c r="F4311" s="4"/>
      <c r="G4311" s="33" t="str">
        <f>IFERROR(VLOOKUP($D4311,'Informations sur les produits'!$A$3:$H$10000,8,FALSE),"0")</f>
        <v>0</v>
      </c>
      <c r="K4311" s="4"/>
      <c r="L4311" s="33" t="str">
        <f>IFERROR(VLOOKUP($J4311,'Informations sur les produits'!$A$3:$H$10000,8,FALSE),"0")</f>
        <v>0</v>
      </c>
      <c r="N4311" s="8"/>
      <c r="O4311" s="33" t="str">
        <f>IFERROR(VLOOKUP($M4311,'Informations sur les produits'!$A$3:$H$10000,8,FALSE),"0")</f>
        <v>0</v>
      </c>
      <c r="P4311" s="33">
        <f t="shared" si="268"/>
        <v>0</v>
      </c>
      <c r="Q4311" s="31" t="str">
        <f t="shared" si="269"/>
        <v/>
      </c>
      <c r="R4311" s="32" t="str">
        <f>IFERROR(VLOOKUP($D4311,'Informations sur les produits'!$A$3:$B$15000,2,FALSE),"")</f>
        <v/>
      </c>
      <c r="V4311">
        <f t="shared" si="270"/>
        <v>0</v>
      </c>
      <c r="W4311">
        <f t="shared" si="271"/>
        <v>0</v>
      </c>
    </row>
    <row r="4312" spans="5:23" x14ac:dyDescent="0.25">
      <c r="E4312" s="4"/>
      <c r="F4312" s="4"/>
      <c r="G4312" s="33" t="str">
        <f>IFERROR(VLOOKUP($D4312,'Informations sur les produits'!$A$3:$H$10000,8,FALSE),"0")</f>
        <v>0</v>
      </c>
      <c r="K4312" s="4"/>
      <c r="L4312" s="33" t="str">
        <f>IFERROR(VLOOKUP($J4312,'Informations sur les produits'!$A$3:$H$10000,8,FALSE),"0")</f>
        <v>0</v>
      </c>
      <c r="N4312" s="8"/>
      <c r="O4312" s="33" t="str">
        <f>IFERROR(VLOOKUP($M4312,'Informations sur les produits'!$A$3:$H$10000,8,FALSE),"0")</f>
        <v>0</v>
      </c>
      <c r="P4312" s="33">
        <f t="shared" si="268"/>
        <v>0</v>
      </c>
      <c r="Q4312" s="31" t="str">
        <f t="shared" si="269"/>
        <v/>
      </c>
      <c r="R4312" s="32" t="str">
        <f>IFERROR(VLOOKUP($D4312,'Informations sur les produits'!$A$3:$B$15000,2,FALSE),"")</f>
        <v/>
      </c>
      <c r="V4312">
        <f t="shared" si="270"/>
        <v>0</v>
      </c>
      <c r="W4312">
        <f t="shared" si="271"/>
        <v>0</v>
      </c>
    </row>
    <row r="4313" spans="5:23" x14ac:dyDescent="0.25">
      <c r="E4313" s="4"/>
      <c r="F4313" s="4"/>
      <c r="G4313" s="33" t="str">
        <f>IFERROR(VLOOKUP($D4313,'Informations sur les produits'!$A$3:$H$10000,8,FALSE),"0")</f>
        <v>0</v>
      </c>
      <c r="K4313" s="4"/>
      <c r="L4313" s="33" t="str">
        <f>IFERROR(VLOOKUP($J4313,'Informations sur les produits'!$A$3:$H$10000,8,FALSE),"0")</f>
        <v>0</v>
      </c>
      <c r="N4313" s="8"/>
      <c r="O4313" s="33" t="str">
        <f>IFERROR(VLOOKUP($M4313,'Informations sur les produits'!$A$3:$H$10000,8,FALSE),"0")</f>
        <v>0</v>
      </c>
      <c r="P4313" s="33">
        <f t="shared" si="268"/>
        <v>0</v>
      </c>
      <c r="Q4313" s="31" t="str">
        <f t="shared" si="269"/>
        <v/>
      </c>
      <c r="R4313" s="32" t="str">
        <f>IFERROR(VLOOKUP($D4313,'Informations sur les produits'!$A$3:$B$15000,2,FALSE),"")</f>
        <v/>
      </c>
      <c r="V4313">
        <f t="shared" si="270"/>
        <v>0</v>
      </c>
      <c r="W4313">
        <f t="shared" si="271"/>
        <v>0</v>
      </c>
    </row>
    <row r="4314" spans="5:23" x14ac:dyDescent="0.25">
      <c r="E4314" s="4"/>
      <c r="F4314" s="4"/>
      <c r="G4314" s="33" t="str">
        <f>IFERROR(VLOOKUP($D4314,'Informations sur les produits'!$A$3:$H$10000,8,FALSE),"0")</f>
        <v>0</v>
      </c>
      <c r="K4314" s="4"/>
      <c r="L4314" s="33" t="str">
        <f>IFERROR(VLOOKUP($J4314,'Informations sur les produits'!$A$3:$H$10000,8,FALSE),"0")</f>
        <v>0</v>
      </c>
      <c r="N4314" s="8"/>
      <c r="O4314" s="33" t="str">
        <f>IFERROR(VLOOKUP($M4314,'Informations sur les produits'!$A$3:$H$10000,8,FALSE),"0")</f>
        <v>0</v>
      </c>
      <c r="P4314" s="33">
        <f t="shared" si="268"/>
        <v>0</v>
      </c>
      <c r="Q4314" s="31" t="str">
        <f t="shared" si="269"/>
        <v/>
      </c>
      <c r="R4314" s="32" t="str">
        <f>IFERROR(VLOOKUP($D4314,'Informations sur les produits'!$A$3:$B$15000,2,FALSE),"")</f>
        <v/>
      </c>
      <c r="V4314">
        <f t="shared" si="270"/>
        <v>0</v>
      </c>
      <c r="W4314">
        <f t="shared" si="271"/>
        <v>0</v>
      </c>
    </row>
    <row r="4315" spans="5:23" x14ac:dyDescent="0.25">
      <c r="E4315" s="4"/>
      <c r="F4315" s="4"/>
      <c r="G4315" s="33" t="str">
        <f>IFERROR(VLOOKUP($D4315,'Informations sur les produits'!$A$3:$H$10000,8,FALSE),"0")</f>
        <v>0</v>
      </c>
      <c r="K4315" s="4"/>
      <c r="L4315" s="33" t="str">
        <f>IFERROR(VLOOKUP($J4315,'Informations sur les produits'!$A$3:$H$10000,8,FALSE),"0")</f>
        <v>0</v>
      </c>
      <c r="N4315" s="8"/>
      <c r="O4315" s="33" t="str">
        <f>IFERROR(VLOOKUP($M4315,'Informations sur les produits'!$A$3:$H$10000,8,FALSE),"0")</f>
        <v>0</v>
      </c>
      <c r="P4315" s="33">
        <f t="shared" si="268"/>
        <v>0</v>
      </c>
      <c r="Q4315" s="31" t="str">
        <f t="shared" si="269"/>
        <v/>
      </c>
      <c r="R4315" s="32" t="str">
        <f>IFERROR(VLOOKUP($D4315,'Informations sur les produits'!$A$3:$B$15000,2,FALSE),"")</f>
        <v/>
      </c>
      <c r="V4315">
        <f t="shared" si="270"/>
        <v>0</v>
      </c>
      <c r="W4315">
        <f t="shared" si="271"/>
        <v>0</v>
      </c>
    </row>
    <row r="4316" spans="5:23" x14ac:dyDescent="0.25">
      <c r="E4316" s="4"/>
      <c r="F4316" s="4"/>
      <c r="G4316" s="33" t="str">
        <f>IFERROR(VLOOKUP($D4316,'Informations sur les produits'!$A$3:$H$10000,8,FALSE),"0")</f>
        <v>0</v>
      </c>
      <c r="K4316" s="4"/>
      <c r="L4316" s="33" t="str">
        <f>IFERROR(VLOOKUP($J4316,'Informations sur les produits'!$A$3:$H$10000,8,FALSE),"0")</f>
        <v>0</v>
      </c>
      <c r="N4316" s="8"/>
      <c r="O4316" s="33" t="str">
        <f>IFERROR(VLOOKUP($M4316,'Informations sur les produits'!$A$3:$H$10000,8,FALSE),"0")</f>
        <v>0</v>
      </c>
      <c r="P4316" s="33">
        <f t="shared" si="268"/>
        <v>0</v>
      </c>
      <c r="Q4316" s="31" t="str">
        <f t="shared" si="269"/>
        <v/>
      </c>
      <c r="R4316" s="32" t="str">
        <f>IFERROR(VLOOKUP($D4316,'Informations sur les produits'!$A$3:$B$15000,2,FALSE),"")</f>
        <v/>
      </c>
      <c r="V4316">
        <f t="shared" si="270"/>
        <v>0</v>
      </c>
      <c r="W4316">
        <f t="shared" si="271"/>
        <v>0</v>
      </c>
    </row>
    <row r="4317" spans="5:23" x14ac:dyDescent="0.25">
      <c r="E4317" s="4"/>
      <c r="F4317" s="4"/>
      <c r="G4317" s="33" t="str">
        <f>IFERROR(VLOOKUP($D4317,'Informations sur les produits'!$A$3:$H$10000,8,FALSE),"0")</f>
        <v>0</v>
      </c>
      <c r="K4317" s="4"/>
      <c r="L4317" s="33" t="str">
        <f>IFERROR(VLOOKUP($J4317,'Informations sur les produits'!$A$3:$H$10000,8,FALSE),"0")</f>
        <v>0</v>
      </c>
      <c r="N4317" s="8"/>
      <c r="O4317" s="33" t="str">
        <f>IFERROR(VLOOKUP($M4317,'Informations sur les produits'!$A$3:$H$10000,8,FALSE),"0")</f>
        <v>0</v>
      </c>
      <c r="P4317" s="33">
        <f t="shared" si="268"/>
        <v>0</v>
      </c>
      <c r="Q4317" s="31" t="str">
        <f t="shared" si="269"/>
        <v/>
      </c>
      <c r="R4317" s="32" t="str">
        <f>IFERROR(VLOOKUP($D4317,'Informations sur les produits'!$A$3:$B$15000,2,FALSE),"")</f>
        <v/>
      </c>
      <c r="V4317">
        <f t="shared" si="270"/>
        <v>0</v>
      </c>
      <c r="W4317">
        <f t="shared" si="271"/>
        <v>0</v>
      </c>
    </row>
    <row r="4318" spans="5:23" x14ac:dyDescent="0.25">
      <c r="E4318" s="4"/>
      <c r="F4318" s="4"/>
      <c r="G4318" s="33" t="str">
        <f>IFERROR(VLOOKUP($D4318,'Informations sur les produits'!$A$3:$H$10000,8,FALSE),"0")</f>
        <v>0</v>
      </c>
      <c r="K4318" s="4"/>
      <c r="L4318" s="33" t="str">
        <f>IFERROR(VLOOKUP($J4318,'Informations sur les produits'!$A$3:$H$10000,8,FALSE),"0")</f>
        <v>0</v>
      </c>
      <c r="N4318" s="8"/>
      <c r="O4318" s="33" t="str">
        <f>IFERROR(VLOOKUP($M4318,'Informations sur les produits'!$A$3:$H$10000,8,FALSE),"0")</f>
        <v>0</v>
      </c>
      <c r="P4318" s="33">
        <f t="shared" si="268"/>
        <v>0</v>
      </c>
      <c r="Q4318" s="31" t="str">
        <f t="shared" si="269"/>
        <v/>
      </c>
      <c r="R4318" s="32" t="str">
        <f>IFERROR(VLOOKUP($D4318,'Informations sur les produits'!$A$3:$B$15000,2,FALSE),"")</f>
        <v/>
      </c>
      <c r="V4318">
        <f t="shared" si="270"/>
        <v>0</v>
      </c>
      <c r="W4318">
        <f t="shared" si="271"/>
        <v>0</v>
      </c>
    </row>
    <row r="4319" spans="5:23" x14ac:dyDescent="0.25">
      <c r="E4319" s="4"/>
      <c r="F4319" s="4"/>
      <c r="G4319" s="33" t="str">
        <f>IFERROR(VLOOKUP($D4319,'Informations sur les produits'!$A$3:$H$10000,8,FALSE),"0")</f>
        <v>0</v>
      </c>
      <c r="K4319" s="4"/>
      <c r="L4319" s="33" t="str">
        <f>IFERROR(VLOOKUP($J4319,'Informations sur les produits'!$A$3:$H$10000,8,FALSE),"0")</f>
        <v>0</v>
      </c>
      <c r="N4319" s="8"/>
      <c r="O4319" s="33" t="str">
        <f>IFERROR(VLOOKUP($M4319,'Informations sur les produits'!$A$3:$H$10000,8,FALSE),"0")</f>
        <v>0</v>
      </c>
      <c r="P4319" s="33">
        <f t="shared" si="268"/>
        <v>0</v>
      </c>
      <c r="Q4319" s="31" t="str">
        <f t="shared" si="269"/>
        <v/>
      </c>
      <c r="R4319" s="32" t="str">
        <f>IFERROR(VLOOKUP($D4319,'Informations sur les produits'!$A$3:$B$15000,2,FALSE),"")</f>
        <v/>
      </c>
      <c r="V4319">
        <f t="shared" si="270"/>
        <v>0</v>
      </c>
      <c r="W4319">
        <f t="shared" si="271"/>
        <v>0</v>
      </c>
    </row>
    <row r="4320" spans="5:23" x14ac:dyDescent="0.25">
      <c r="E4320" s="4"/>
      <c r="F4320" s="4"/>
      <c r="G4320" s="33" t="str">
        <f>IFERROR(VLOOKUP($D4320,'Informations sur les produits'!$A$3:$H$10000,8,FALSE),"0")</f>
        <v>0</v>
      </c>
      <c r="K4320" s="4"/>
      <c r="L4320" s="33" t="str">
        <f>IFERROR(VLOOKUP($J4320,'Informations sur les produits'!$A$3:$H$10000,8,FALSE),"0")</f>
        <v>0</v>
      </c>
      <c r="N4320" s="8"/>
      <c r="O4320" s="33" t="str">
        <f>IFERROR(VLOOKUP($M4320,'Informations sur les produits'!$A$3:$H$10000,8,FALSE),"0")</f>
        <v>0</v>
      </c>
      <c r="P4320" s="33">
        <f t="shared" si="268"/>
        <v>0</v>
      </c>
      <c r="Q4320" s="31" t="str">
        <f t="shared" si="269"/>
        <v/>
      </c>
      <c r="R4320" s="32" t="str">
        <f>IFERROR(VLOOKUP($D4320,'Informations sur les produits'!$A$3:$B$15000,2,FALSE),"")</f>
        <v/>
      </c>
      <c r="V4320">
        <f t="shared" si="270"/>
        <v>0</v>
      </c>
      <c r="W4320">
        <f t="shared" si="271"/>
        <v>0</v>
      </c>
    </row>
    <row r="4321" spans="5:23" x14ac:dyDescent="0.25">
      <c r="E4321" s="4"/>
      <c r="F4321" s="4"/>
      <c r="G4321" s="33" t="str">
        <f>IFERROR(VLOOKUP($D4321,'Informations sur les produits'!$A$3:$H$10000,8,FALSE),"0")</f>
        <v>0</v>
      </c>
      <c r="K4321" s="4"/>
      <c r="L4321" s="33" t="str">
        <f>IFERROR(VLOOKUP($J4321,'Informations sur les produits'!$A$3:$H$10000,8,FALSE),"0")</f>
        <v>0</v>
      </c>
      <c r="N4321" s="8"/>
      <c r="O4321" s="33" t="str">
        <f>IFERROR(VLOOKUP($M4321,'Informations sur les produits'!$A$3:$H$10000,8,FALSE),"0")</f>
        <v>0</v>
      </c>
      <c r="P4321" s="33">
        <f t="shared" si="268"/>
        <v>0</v>
      </c>
      <c r="Q4321" s="31" t="str">
        <f t="shared" si="269"/>
        <v/>
      </c>
      <c r="R4321" s="32" t="str">
        <f>IFERROR(VLOOKUP($D4321,'Informations sur les produits'!$A$3:$B$15000,2,FALSE),"")</f>
        <v/>
      </c>
      <c r="V4321">
        <f t="shared" si="270"/>
        <v>0</v>
      </c>
      <c r="W4321">
        <f t="shared" si="271"/>
        <v>0</v>
      </c>
    </row>
    <row r="4322" spans="5:23" x14ac:dyDescent="0.25">
      <c r="E4322" s="4"/>
      <c r="F4322" s="4"/>
      <c r="G4322" s="33" t="str">
        <f>IFERROR(VLOOKUP($D4322,'Informations sur les produits'!$A$3:$H$10000,8,FALSE),"0")</f>
        <v>0</v>
      </c>
      <c r="K4322" s="4"/>
      <c r="L4322" s="33" t="str">
        <f>IFERROR(VLOOKUP($J4322,'Informations sur les produits'!$A$3:$H$10000,8,FALSE),"0")</f>
        <v>0</v>
      </c>
      <c r="N4322" s="8"/>
      <c r="O4322" s="33" t="str">
        <f>IFERROR(VLOOKUP($M4322,'Informations sur les produits'!$A$3:$H$10000,8,FALSE),"0")</f>
        <v>0</v>
      </c>
      <c r="P4322" s="33">
        <f t="shared" si="268"/>
        <v>0</v>
      </c>
      <c r="Q4322" s="31" t="str">
        <f t="shared" si="269"/>
        <v/>
      </c>
      <c r="R4322" s="32" t="str">
        <f>IFERROR(VLOOKUP($D4322,'Informations sur les produits'!$A$3:$B$15000,2,FALSE),"")</f>
        <v/>
      </c>
      <c r="V4322">
        <f t="shared" si="270"/>
        <v>0</v>
      </c>
      <c r="W4322">
        <f t="shared" si="271"/>
        <v>0</v>
      </c>
    </row>
    <row r="4323" spans="5:23" x14ac:dyDescent="0.25">
      <c r="E4323" s="4"/>
      <c r="F4323" s="4"/>
      <c r="G4323" s="33" t="str">
        <f>IFERROR(VLOOKUP($D4323,'Informations sur les produits'!$A$3:$H$10000,8,FALSE),"0")</f>
        <v>0</v>
      </c>
      <c r="K4323" s="4"/>
      <c r="L4323" s="33" t="str">
        <f>IFERROR(VLOOKUP($J4323,'Informations sur les produits'!$A$3:$H$10000,8,FALSE),"0")</f>
        <v>0</v>
      </c>
      <c r="N4323" s="8"/>
      <c r="O4323" s="33" t="str">
        <f>IFERROR(VLOOKUP($M4323,'Informations sur les produits'!$A$3:$H$10000,8,FALSE),"0")</f>
        <v>0</v>
      </c>
      <c r="P4323" s="33">
        <f t="shared" si="268"/>
        <v>0</v>
      </c>
      <c r="Q4323" s="31" t="str">
        <f t="shared" si="269"/>
        <v/>
      </c>
      <c r="R4323" s="32" t="str">
        <f>IFERROR(VLOOKUP($D4323,'Informations sur les produits'!$A$3:$B$15000,2,FALSE),"")</f>
        <v/>
      </c>
      <c r="V4323">
        <f t="shared" si="270"/>
        <v>0</v>
      </c>
      <c r="W4323">
        <f t="shared" si="271"/>
        <v>0</v>
      </c>
    </row>
    <row r="4324" spans="5:23" x14ac:dyDescent="0.25">
      <c r="E4324" s="4"/>
      <c r="F4324" s="4"/>
      <c r="G4324" s="33" t="str">
        <f>IFERROR(VLOOKUP($D4324,'Informations sur les produits'!$A$3:$H$10000,8,FALSE),"0")</f>
        <v>0</v>
      </c>
      <c r="K4324" s="4"/>
      <c r="L4324" s="33" t="str">
        <f>IFERROR(VLOOKUP($J4324,'Informations sur les produits'!$A$3:$H$10000,8,FALSE),"0")</f>
        <v>0</v>
      </c>
      <c r="N4324" s="8"/>
      <c r="O4324" s="33" t="str">
        <f>IFERROR(VLOOKUP($M4324,'Informations sur les produits'!$A$3:$H$10000,8,FALSE),"0")</f>
        <v>0</v>
      </c>
      <c r="P4324" s="33">
        <f t="shared" si="268"/>
        <v>0</v>
      </c>
      <c r="Q4324" s="31" t="str">
        <f t="shared" si="269"/>
        <v/>
      </c>
      <c r="R4324" s="32" t="str">
        <f>IFERROR(VLOOKUP($D4324,'Informations sur les produits'!$A$3:$B$15000,2,FALSE),"")</f>
        <v/>
      </c>
      <c r="V4324">
        <f t="shared" si="270"/>
        <v>0</v>
      </c>
      <c r="W4324">
        <f t="shared" si="271"/>
        <v>0</v>
      </c>
    </row>
    <row r="4325" spans="5:23" x14ac:dyDescent="0.25">
      <c r="E4325" s="4"/>
      <c r="F4325" s="4"/>
      <c r="G4325" s="33" t="str">
        <f>IFERROR(VLOOKUP($D4325,'Informations sur les produits'!$A$3:$H$10000,8,FALSE),"0")</f>
        <v>0</v>
      </c>
      <c r="K4325" s="4"/>
      <c r="L4325" s="33" t="str">
        <f>IFERROR(VLOOKUP($J4325,'Informations sur les produits'!$A$3:$H$10000,8,FALSE),"0")</f>
        <v>0</v>
      </c>
      <c r="N4325" s="8"/>
      <c r="O4325" s="33" t="str">
        <f>IFERROR(VLOOKUP($M4325,'Informations sur les produits'!$A$3:$H$10000,8,FALSE),"0")</f>
        <v>0</v>
      </c>
      <c r="P4325" s="33">
        <f t="shared" si="268"/>
        <v>0</v>
      </c>
      <c r="Q4325" s="31" t="str">
        <f t="shared" si="269"/>
        <v/>
      </c>
      <c r="R4325" s="32" t="str">
        <f>IFERROR(VLOOKUP($D4325,'Informations sur les produits'!$A$3:$B$15000,2,FALSE),"")</f>
        <v/>
      </c>
      <c r="V4325">
        <f t="shared" si="270"/>
        <v>0</v>
      </c>
      <c r="W4325">
        <f t="shared" si="271"/>
        <v>0</v>
      </c>
    </row>
    <row r="4326" spans="5:23" x14ac:dyDescent="0.25">
      <c r="E4326" s="4"/>
      <c r="F4326" s="4"/>
      <c r="G4326" s="33" t="str">
        <f>IFERROR(VLOOKUP($D4326,'Informations sur les produits'!$A$3:$H$10000,8,FALSE),"0")</f>
        <v>0</v>
      </c>
      <c r="K4326" s="4"/>
      <c r="L4326" s="33" t="str">
        <f>IFERROR(VLOOKUP($J4326,'Informations sur les produits'!$A$3:$H$10000,8,FALSE),"0")</f>
        <v>0</v>
      </c>
      <c r="N4326" s="8"/>
      <c r="O4326" s="33" t="str">
        <f>IFERROR(VLOOKUP($M4326,'Informations sur les produits'!$A$3:$H$10000,8,FALSE),"0")</f>
        <v>0</v>
      </c>
      <c r="P4326" s="33">
        <f t="shared" si="268"/>
        <v>0</v>
      </c>
      <c r="Q4326" s="31" t="str">
        <f t="shared" si="269"/>
        <v/>
      </c>
      <c r="R4326" s="32" t="str">
        <f>IFERROR(VLOOKUP($D4326,'Informations sur les produits'!$A$3:$B$15000,2,FALSE),"")</f>
        <v/>
      </c>
      <c r="V4326">
        <f t="shared" si="270"/>
        <v>0</v>
      </c>
      <c r="W4326">
        <f t="shared" si="271"/>
        <v>0</v>
      </c>
    </row>
    <row r="4327" spans="5:23" x14ac:dyDescent="0.25">
      <c r="E4327" s="4"/>
      <c r="F4327" s="4"/>
      <c r="G4327" s="33" t="str">
        <f>IFERROR(VLOOKUP($D4327,'Informations sur les produits'!$A$3:$H$10000,8,FALSE),"0")</f>
        <v>0</v>
      </c>
      <c r="K4327" s="4"/>
      <c r="L4327" s="33" t="str">
        <f>IFERROR(VLOOKUP($J4327,'Informations sur les produits'!$A$3:$H$10000,8,FALSE),"0")</f>
        <v>0</v>
      </c>
      <c r="N4327" s="8"/>
      <c r="O4327" s="33" t="str">
        <f>IFERROR(VLOOKUP($M4327,'Informations sur les produits'!$A$3:$H$10000,8,FALSE),"0")</f>
        <v>0</v>
      </c>
      <c r="P4327" s="33">
        <f t="shared" si="268"/>
        <v>0</v>
      </c>
      <c r="Q4327" s="31" t="str">
        <f t="shared" si="269"/>
        <v/>
      </c>
      <c r="R4327" s="32" t="str">
        <f>IFERROR(VLOOKUP($D4327,'Informations sur les produits'!$A$3:$B$15000,2,FALSE),"")</f>
        <v/>
      </c>
      <c r="V4327">
        <f t="shared" si="270"/>
        <v>0</v>
      </c>
      <c r="W4327">
        <f t="shared" si="271"/>
        <v>0</v>
      </c>
    </row>
    <row r="4328" spans="5:23" x14ac:dyDescent="0.25">
      <c r="E4328" s="4"/>
      <c r="F4328" s="4"/>
      <c r="G4328" s="33" t="str">
        <f>IFERROR(VLOOKUP($D4328,'Informations sur les produits'!$A$3:$H$10000,8,FALSE),"0")</f>
        <v>0</v>
      </c>
      <c r="K4328" s="4"/>
      <c r="L4328" s="33" t="str">
        <f>IFERROR(VLOOKUP($J4328,'Informations sur les produits'!$A$3:$H$10000,8,FALSE),"0")</f>
        <v>0</v>
      </c>
      <c r="N4328" s="8"/>
      <c r="O4328" s="33" t="str">
        <f>IFERROR(VLOOKUP($M4328,'Informations sur les produits'!$A$3:$H$10000,8,FALSE),"0")</f>
        <v>0</v>
      </c>
      <c r="P4328" s="33">
        <f t="shared" si="268"/>
        <v>0</v>
      </c>
      <c r="Q4328" s="31" t="str">
        <f t="shared" si="269"/>
        <v/>
      </c>
      <c r="R4328" s="32" t="str">
        <f>IFERROR(VLOOKUP($D4328,'Informations sur les produits'!$A$3:$B$15000,2,FALSE),"")</f>
        <v/>
      </c>
      <c r="V4328">
        <f t="shared" si="270"/>
        <v>0</v>
      </c>
      <c r="W4328">
        <f t="shared" si="271"/>
        <v>0</v>
      </c>
    </row>
    <row r="4329" spans="5:23" x14ac:dyDescent="0.25">
      <c r="E4329" s="4"/>
      <c r="F4329" s="4"/>
      <c r="G4329" s="33" t="str">
        <f>IFERROR(VLOOKUP($D4329,'Informations sur les produits'!$A$3:$H$10000,8,FALSE),"0")</f>
        <v>0</v>
      </c>
      <c r="K4329" s="4"/>
      <c r="L4329" s="33" t="str">
        <f>IFERROR(VLOOKUP($J4329,'Informations sur les produits'!$A$3:$H$10000,8,FALSE),"0")</f>
        <v>0</v>
      </c>
      <c r="N4329" s="8"/>
      <c r="O4329" s="33" t="str">
        <f>IFERROR(VLOOKUP($M4329,'Informations sur les produits'!$A$3:$H$10000,8,FALSE),"0")</f>
        <v>0</v>
      </c>
      <c r="P4329" s="33">
        <f t="shared" si="268"/>
        <v>0</v>
      </c>
      <c r="Q4329" s="31" t="str">
        <f t="shared" si="269"/>
        <v/>
      </c>
      <c r="R4329" s="32" t="str">
        <f>IFERROR(VLOOKUP($D4329,'Informations sur les produits'!$A$3:$B$15000,2,FALSE),"")</f>
        <v/>
      </c>
      <c r="V4329">
        <f t="shared" si="270"/>
        <v>0</v>
      </c>
      <c r="W4329">
        <f t="shared" si="271"/>
        <v>0</v>
      </c>
    </row>
    <row r="4330" spans="5:23" x14ac:dyDescent="0.25">
      <c r="E4330" s="4"/>
      <c r="F4330" s="4"/>
      <c r="G4330" s="33" t="str">
        <f>IFERROR(VLOOKUP($D4330,'Informations sur les produits'!$A$3:$H$10000,8,FALSE),"0")</f>
        <v>0</v>
      </c>
      <c r="K4330" s="4"/>
      <c r="L4330" s="33" t="str">
        <f>IFERROR(VLOOKUP($J4330,'Informations sur les produits'!$A$3:$H$10000,8,FALSE),"0")</f>
        <v>0</v>
      </c>
      <c r="N4330" s="8"/>
      <c r="O4330" s="33" t="str">
        <f>IFERROR(VLOOKUP($M4330,'Informations sur les produits'!$A$3:$H$10000,8,FALSE),"0")</f>
        <v>0</v>
      </c>
      <c r="P4330" s="33">
        <f t="shared" si="268"/>
        <v>0</v>
      </c>
      <c r="Q4330" s="31" t="str">
        <f t="shared" si="269"/>
        <v/>
      </c>
      <c r="R4330" s="32" t="str">
        <f>IFERROR(VLOOKUP($D4330,'Informations sur les produits'!$A$3:$B$15000,2,FALSE),"")</f>
        <v/>
      </c>
      <c r="V4330">
        <f t="shared" si="270"/>
        <v>0</v>
      </c>
      <c r="W4330">
        <f t="shared" si="271"/>
        <v>0</v>
      </c>
    </row>
    <row r="4331" spans="5:23" x14ac:dyDescent="0.25">
      <c r="E4331" s="4"/>
      <c r="F4331" s="4"/>
      <c r="G4331" s="33" t="str">
        <f>IFERROR(VLOOKUP($D4331,'Informations sur les produits'!$A$3:$H$10000,8,FALSE),"0")</f>
        <v>0</v>
      </c>
      <c r="K4331" s="4"/>
      <c r="L4331" s="33" t="str">
        <f>IFERROR(VLOOKUP($J4331,'Informations sur les produits'!$A$3:$H$10000,8,FALSE),"0")</f>
        <v>0</v>
      </c>
      <c r="N4331" s="8"/>
      <c r="O4331" s="33" t="str">
        <f>IFERROR(VLOOKUP($M4331,'Informations sur les produits'!$A$3:$H$10000,8,FALSE),"0")</f>
        <v>0</v>
      </c>
      <c r="P4331" s="33">
        <f t="shared" si="268"/>
        <v>0</v>
      </c>
      <c r="Q4331" s="31" t="str">
        <f t="shared" si="269"/>
        <v/>
      </c>
      <c r="R4331" s="32" t="str">
        <f>IFERROR(VLOOKUP($D4331,'Informations sur les produits'!$A$3:$B$15000,2,FALSE),"")</f>
        <v/>
      </c>
      <c r="V4331">
        <f t="shared" si="270"/>
        <v>0</v>
      </c>
      <c r="W4331">
        <f t="shared" si="271"/>
        <v>0</v>
      </c>
    </row>
    <row r="4332" spans="5:23" x14ac:dyDescent="0.25">
      <c r="E4332" s="4"/>
      <c r="F4332" s="4"/>
      <c r="G4332" s="33" t="str">
        <f>IFERROR(VLOOKUP($D4332,'Informations sur les produits'!$A$3:$H$10000,8,FALSE),"0")</f>
        <v>0</v>
      </c>
      <c r="K4332" s="4"/>
      <c r="L4332" s="33" t="str">
        <f>IFERROR(VLOOKUP($J4332,'Informations sur les produits'!$A$3:$H$10000,8,FALSE),"0")</f>
        <v>0</v>
      </c>
      <c r="N4332" s="8"/>
      <c r="O4332" s="33" t="str">
        <f>IFERROR(VLOOKUP($M4332,'Informations sur les produits'!$A$3:$H$10000,8,FALSE),"0")</f>
        <v>0</v>
      </c>
      <c r="P4332" s="33">
        <f t="shared" si="268"/>
        <v>0</v>
      </c>
      <c r="Q4332" s="31" t="str">
        <f t="shared" si="269"/>
        <v/>
      </c>
      <c r="R4332" s="32" t="str">
        <f>IFERROR(VLOOKUP($D4332,'Informations sur les produits'!$A$3:$B$15000,2,FALSE),"")</f>
        <v/>
      </c>
      <c r="V4332">
        <f t="shared" si="270"/>
        <v>0</v>
      </c>
      <c r="W4332">
        <f t="shared" si="271"/>
        <v>0</v>
      </c>
    </row>
    <row r="4333" spans="5:23" x14ac:dyDescent="0.25">
      <c r="E4333" s="4"/>
      <c r="F4333" s="4"/>
      <c r="G4333" s="33" t="str">
        <f>IFERROR(VLOOKUP($D4333,'Informations sur les produits'!$A$3:$H$10000,8,FALSE),"0")</f>
        <v>0</v>
      </c>
      <c r="K4333" s="4"/>
      <c r="L4333" s="33" t="str">
        <f>IFERROR(VLOOKUP($J4333,'Informations sur les produits'!$A$3:$H$10000,8,FALSE),"0")</f>
        <v>0</v>
      </c>
      <c r="N4333" s="8"/>
      <c r="O4333" s="33" t="str">
        <f>IFERROR(VLOOKUP($M4333,'Informations sur les produits'!$A$3:$H$10000,8,FALSE),"0")</f>
        <v>0</v>
      </c>
      <c r="P4333" s="33">
        <f t="shared" si="268"/>
        <v>0</v>
      </c>
      <c r="Q4333" s="31" t="str">
        <f t="shared" si="269"/>
        <v/>
      </c>
      <c r="R4333" s="32" t="str">
        <f>IFERROR(VLOOKUP($D4333,'Informations sur les produits'!$A$3:$B$15000,2,FALSE),"")</f>
        <v/>
      </c>
      <c r="V4333">
        <f t="shared" si="270"/>
        <v>0</v>
      </c>
      <c r="W4333">
        <f t="shared" si="271"/>
        <v>0</v>
      </c>
    </row>
    <row r="4334" spans="5:23" x14ac:dyDescent="0.25">
      <c r="E4334" s="4"/>
      <c r="F4334" s="4"/>
      <c r="G4334" s="33" t="str">
        <f>IFERROR(VLOOKUP($D4334,'Informations sur les produits'!$A$3:$H$10000,8,FALSE),"0")</f>
        <v>0</v>
      </c>
      <c r="K4334" s="4"/>
      <c r="L4334" s="33" t="str">
        <f>IFERROR(VLOOKUP($J4334,'Informations sur les produits'!$A$3:$H$10000,8,FALSE),"0")</f>
        <v>0</v>
      </c>
      <c r="N4334" s="8"/>
      <c r="O4334" s="33" t="str">
        <f>IFERROR(VLOOKUP($M4334,'Informations sur les produits'!$A$3:$H$10000,8,FALSE),"0")</f>
        <v>0</v>
      </c>
      <c r="P4334" s="33">
        <f t="shared" si="268"/>
        <v>0</v>
      </c>
      <c r="Q4334" s="31" t="str">
        <f t="shared" si="269"/>
        <v/>
      </c>
      <c r="R4334" s="32" t="str">
        <f>IFERROR(VLOOKUP($D4334,'Informations sur les produits'!$A$3:$B$15000,2,FALSE),"")</f>
        <v/>
      </c>
      <c r="V4334">
        <f t="shared" si="270"/>
        <v>0</v>
      </c>
      <c r="W4334">
        <f t="shared" si="271"/>
        <v>0</v>
      </c>
    </row>
    <row r="4335" spans="5:23" x14ac:dyDescent="0.25">
      <c r="E4335" s="4"/>
      <c r="F4335" s="4"/>
      <c r="G4335" s="33" t="str">
        <f>IFERROR(VLOOKUP($D4335,'Informations sur les produits'!$A$3:$H$10000,8,FALSE),"0")</f>
        <v>0</v>
      </c>
      <c r="K4335" s="4"/>
      <c r="L4335" s="33" t="str">
        <f>IFERROR(VLOOKUP($J4335,'Informations sur les produits'!$A$3:$H$10000,8,FALSE),"0")</f>
        <v>0</v>
      </c>
      <c r="N4335" s="8"/>
      <c r="O4335" s="33" t="str">
        <f>IFERROR(VLOOKUP($M4335,'Informations sur les produits'!$A$3:$H$10000,8,FALSE),"0")</f>
        <v>0</v>
      </c>
      <c r="P4335" s="33">
        <f t="shared" si="268"/>
        <v>0</v>
      </c>
      <c r="Q4335" s="31" t="str">
        <f t="shared" si="269"/>
        <v/>
      </c>
      <c r="R4335" s="32" t="str">
        <f>IFERROR(VLOOKUP($D4335,'Informations sur les produits'!$A$3:$B$15000,2,FALSE),"")</f>
        <v/>
      </c>
      <c r="V4335">
        <f t="shared" si="270"/>
        <v>0</v>
      </c>
      <c r="W4335">
        <f t="shared" si="271"/>
        <v>0</v>
      </c>
    </row>
    <row r="4336" spans="5:23" x14ac:dyDescent="0.25">
      <c r="E4336" s="4"/>
      <c r="F4336" s="4"/>
      <c r="G4336" s="33" t="str">
        <f>IFERROR(VLOOKUP($D4336,'Informations sur les produits'!$A$3:$H$10000,8,FALSE),"0")</f>
        <v>0</v>
      </c>
      <c r="K4336" s="4"/>
      <c r="L4336" s="33" t="str">
        <f>IFERROR(VLOOKUP($J4336,'Informations sur les produits'!$A$3:$H$10000,8,FALSE),"0")</f>
        <v>0</v>
      </c>
      <c r="N4336" s="8"/>
      <c r="O4336" s="33" t="str">
        <f>IFERROR(VLOOKUP($M4336,'Informations sur les produits'!$A$3:$H$10000,8,FALSE),"0")</f>
        <v>0</v>
      </c>
      <c r="P4336" s="33">
        <f t="shared" si="268"/>
        <v>0</v>
      </c>
      <c r="Q4336" s="31" t="str">
        <f t="shared" si="269"/>
        <v/>
      </c>
      <c r="R4336" s="32" t="str">
        <f>IFERROR(VLOOKUP($D4336,'Informations sur les produits'!$A$3:$B$15000,2,FALSE),"")</f>
        <v/>
      </c>
      <c r="V4336">
        <f t="shared" si="270"/>
        <v>0</v>
      </c>
      <c r="W4336">
        <f t="shared" si="271"/>
        <v>0</v>
      </c>
    </row>
    <row r="4337" spans="5:23" x14ac:dyDescent="0.25">
      <c r="E4337" s="4"/>
      <c r="F4337" s="4"/>
      <c r="G4337" s="33" t="str">
        <f>IFERROR(VLOOKUP($D4337,'Informations sur les produits'!$A$3:$H$10000,8,FALSE),"0")</f>
        <v>0</v>
      </c>
      <c r="K4337" s="4"/>
      <c r="L4337" s="33" t="str">
        <f>IFERROR(VLOOKUP($J4337,'Informations sur les produits'!$A$3:$H$10000,8,FALSE),"0")</f>
        <v>0</v>
      </c>
      <c r="N4337" s="8"/>
      <c r="O4337" s="33" t="str">
        <f>IFERROR(VLOOKUP($M4337,'Informations sur les produits'!$A$3:$H$10000,8,FALSE),"0")</f>
        <v>0</v>
      </c>
      <c r="P4337" s="33">
        <f t="shared" si="268"/>
        <v>0</v>
      </c>
      <c r="Q4337" s="31" t="str">
        <f t="shared" si="269"/>
        <v/>
      </c>
      <c r="R4337" s="32" t="str">
        <f>IFERROR(VLOOKUP($D4337,'Informations sur les produits'!$A$3:$B$15000,2,FALSE),"")</f>
        <v/>
      </c>
      <c r="V4337">
        <f t="shared" si="270"/>
        <v>0</v>
      </c>
      <c r="W4337">
        <f t="shared" si="271"/>
        <v>0</v>
      </c>
    </row>
    <row r="4338" spans="5:23" x14ac:dyDescent="0.25">
      <c r="E4338" s="4"/>
      <c r="F4338" s="4"/>
      <c r="G4338" s="33" t="str">
        <f>IFERROR(VLOOKUP($D4338,'Informations sur les produits'!$A$3:$H$10000,8,FALSE),"0")</f>
        <v>0</v>
      </c>
      <c r="K4338" s="4"/>
      <c r="L4338" s="33" t="str">
        <f>IFERROR(VLOOKUP($J4338,'Informations sur les produits'!$A$3:$H$10000,8,FALSE),"0")</f>
        <v>0</v>
      </c>
      <c r="N4338" s="8"/>
      <c r="O4338" s="33" t="str">
        <f>IFERROR(VLOOKUP($M4338,'Informations sur les produits'!$A$3:$H$10000,8,FALSE),"0")</f>
        <v>0</v>
      </c>
      <c r="P4338" s="33">
        <f t="shared" si="268"/>
        <v>0</v>
      </c>
      <c r="Q4338" s="31" t="str">
        <f t="shared" si="269"/>
        <v/>
      </c>
      <c r="R4338" s="32" t="str">
        <f>IFERROR(VLOOKUP($D4338,'Informations sur les produits'!$A$3:$B$15000,2,FALSE),"")</f>
        <v/>
      </c>
      <c r="V4338">
        <f t="shared" si="270"/>
        <v>0</v>
      </c>
      <c r="W4338">
        <f t="shared" si="271"/>
        <v>0</v>
      </c>
    </row>
    <row r="4339" spans="5:23" x14ac:dyDescent="0.25">
      <c r="E4339" s="4"/>
      <c r="F4339" s="4"/>
      <c r="G4339" s="33" t="str">
        <f>IFERROR(VLOOKUP($D4339,'Informations sur les produits'!$A$3:$H$10000,8,FALSE),"0")</f>
        <v>0</v>
      </c>
      <c r="K4339" s="4"/>
      <c r="L4339" s="33" t="str">
        <f>IFERROR(VLOOKUP($J4339,'Informations sur les produits'!$A$3:$H$10000,8,FALSE),"0")</f>
        <v>0</v>
      </c>
      <c r="N4339" s="8"/>
      <c r="O4339" s="33" t="str">
        <f>IFERROR(VLOOKUP($M4339,'Informations sur les produits'!$A$3:$H$10000,8,FALSE),"0")</f>
        <v>0</v>
      </c>
      <c r="P4339" s="33">
        <f t="shared" si="268"/>
        <v>0</v>
      </c>
      <c r="Q4339" s="31" t="str">
        <f t="shared" si="269"/>
        <v/>
      </c>
      <c r="R4339" s="32" t="str">
        <f>IFERROR(VLOOKUP($D4339,'Informations sur les produits'!$A$3:$B$15000,2,FALSE),"")</f>
        <v/>
      </c>
      <c r="V4339">
        <f t="shared" si="270"/>
        <v>0</v>
      </c>
      <c r="W4339">
        <f t="shared" si="271"/>
        <v>0</v>
      </c>
    </row>
    <row r="4340" spans="5:23" x14ac:dyDescent="0.25">
      <c r="E4340" s="4"/>
      <c r="F4340" s="4"/>
      <c r="G4340" s="33" t="str">
        <f>IFERROR(VLOOKUP($D4340,'Informations sur les produits'!$A$3:$H$10000,8,FALSE),"0")</f>
        <v>0</v>
      </c>
      <c r="K4340" s="4"/>
      <c r="L4340" s="33" t="str">
        <f>IFERROR(VLOOKUP($J4340,'Informations sur les produits'!$A$3:$H$10000,8,FALSE),"0")</f>
        <v>0</v>
      </c>
      <c r="N4340" s="8"/>
      <c r="O4340" s="33" t="str">
        <f>IFERROR(VLOOKUP($M4340,'Informations sur les produits'!$A$3:$H$10000,8,FALSE),"0")</f>
        <v>0</v>
      </c>
      <c r="P4340" s="33">
        <f t="shared" si="268"/>
        <v>0</v>
      </c>
      <c r="Q4340" s="31" t="str">
        <f t="shared" si="269"/>
        <v/>
      </c>
      <c r="R4340" s="32" t="str">
        <f>IFERROR(VLOOKUP($D4340,'Informations sur les produits'!$A$3:$B$15000,2,FALSE),"")</f>
        <v/>
      </c>
      <c r="V4340">
        <f t="shared" si="270"/>
        <v>0</v>
      </c>
      <c r="W4340">
        <f t="shared" si="271"/>
        <v>0</v>
      </c>
    </row>
    <row r="4341" spans="5:23" x14ac:dyDescent="0.25">
      <c r="E4341" s="4"/>
      <c r="F4341" s="4"/>
      <c r="G4341" s="33" t="str">
        <f>IFERROR(VLOOKUP($D4341,'Informations sur les produits'!$A$3:$H$10000,8,FALSE),"0")</f>
        <v>0</v>
      </c>
      <c r="K4341" s="4"/>
      <c r="L4341" s="33" t="str">
        <f>IFERROR(VLOOKUP($J4341,'Informations sur les produits'!$A$3:$H$10000,8,FALSE),"0")</f>
        <v>0</v>
      </c>
      <c r="N4341" s="8"/>
      <c r="O4341" s="33" t="str">
        <f>IFERROR(VLOOKUP($M4341,'Informations sur les produits'!$A$3:$H$10000,8,FALSE),"0")</f>
        <v>0</v>
      </c>
      <c r="P4341" s="33">
        <f t="shared" si="268"/>
        <v>0</v>
      </c>
      <c r="Q4341" s="31" t="str">
        <f t="shared" si="269"/>
        <v/>
      </c>
      <c r="R4341" s="32" t="str">
        <f>IFERROR(VLOOKUP($D4341,'Informations sur les produits'!$A$3:$B$15000,2,FALSE),"")</f>
        <v/>
      </c>
      <c r="V4341">
        <f t="shared" si="270"/>
        <v>0</v>
      </c>
      <c r="W4341">
        <f t="shared" si="271"/>
        <v>0</v>
      </c>
    </row>
    <row r="4342" spans="5:23" x14ac:dyDescent="0.25">
      <c r="E4342" s="4"/>
      <c r="F4342" s="4"/>
      <c r="G4342" s="33" t="str">
        <f>IFERROR(VLOOKUP($D4342,'Informations sur les produits'!$A$3:$H$10000,8,FALSE),"0")</f>
        <v>0</v>
      </c>
      <c r="K4342" s="4"/>
      <c r="L4342" s="33" t="str">
        <f>IFERROR(VLOOKUP($J4342,'Informations sur les produits'!$A$3:$H$10000,8,FALSE),"0")</f>
        <v>0</v>
      </c>
      <c r="N4342" s="8"/>
      <c r="O4342" s="33" t="str">
        <f>IFERROR(VLOOKUP($M4342,'Informations sur les produits'!$A$3:$H$10000,8,FALSE),"0")</f>
        <v>0</v>
      </c>
      <c r="P4342" s="33">
        <f t="shared" si="268"/>
        <v>0</v>
      </c>
      <c r="Q4342" s="31" t="str">
        <f t="shared" si="269"/>
        <v/>
      </c>
      <c r="R4342" s="32" t="str">
        <f>IFERROR(VLOOKUP($D4342,'Informations sur les produits'!$A$3:$B$15000,2,FALSE),"")</f>
        <v/>
      </c>
      <c r="V4342">
        <f t="shared" si="270"/>
        <v>0</v>
      </c>
      <c r="W4342">
        <f t="shared" si="271"/>
        <v>0</v>
      </c>
    </row>
    <row r="4343" spans="5:23" x14ac:dyDescent="0.25">
      <c r="E4343" s="4"/>
      <c r="F4343" s="4"/>
      <c r="G4343" s="33" t="str">
        <f>IFERROR(VLOOKUP($D4343,'Informations sur les produits'!$A$3:$H$10000,8,FALSE),"0")</f>
        <v>0</v>
      </c>
      <c r="K4343" s="4"/>
      <c r="L4343" s="33" t="str">
        <f>IFERROR(VLOOKUP($J4343,'Informations sur les produits'!$A$3:$H$10000,8,FALSE),"0")</f>
        <v>0</v>
      </c>
      <c r="N4343" s="8"/>
      <c r="O4343" s="33" t="str">
        <f>IFERROR(VLOOKUP($M4343,'Informations sur les produits'!$A$3:$H$10000,8,FALSE),"0")</f>
        <v>0</v>
      </c>
      <c r="P4343" s="33">
        <f t="shared" si="268"/>
        <v>0</v>
      </c>
      <c r="Q4343" s="31" t="str">
        <f t="shared" si="269"/>
        <v/>
      </c>
      <c r="R4343" s="32" t="str">
        <f>IFERROR(VLOOKUP($D4343,'Informations sur les produits'!$A$3:$B$15000,2,FALSE),"")</f>
        <v/>
      </c>
      <c r="V4343">
        <f t="shared" si="270"/>
        <v>0</v>
      </c>
      <c r="W4343">
        <f t="shared" si="271"/>
        <v>0</v>
      </c>
    </row>
    <row r="4344" spans="5:23" x14ac:dyDescent="0.25">
      <c r="E4344" s="4"/>
      <c r="F4344" s="4"/>
      <c r="G4344" s="33" t="str">
        <f>IFERROR(VLOOKUP($D4344,'Informations sur les produits'!$A$3:$H$10000,8,FALSE),"0")</f>
        <v>0</v>
      </c>
      <c r="K4344" s="4"/>
      <c r="L4344" s="33" t="str">
        <f>IFERROR(VLOOKUP($J4344,'Informations sur les produits'!$A$3:$H$10000,8,FALSE),"0")</f>
        <v>0</v>
      </c>
      <c r="N4344" s="8"/>
      <c r="O4344" s="33" t="str">
        <f>IFERROR(VLOOKUP($M4344,'Informations sur les produits'!$A$3:$H$10000,8,FALSE),"0")</f>
        <v>0</v>
      </c>
      <c r="P4344" s="33">
        <f t="shared" si="268"/>
        <v>0</v>
      </c>
      <c r="Q4344" s="31" t="str">
        <f t="shared" si="269"/>
        <v/>
      </c>
      <c r="R4344" s="32" t="str">
        <f>IFERROR(VLOOKUP($D4344,'Informations sur les produits'!$A$3:$B$15000,2,FALSE),"")</f>
        <v/>
      </c>
      <c r="V4344">
        <f t="shared" si="270"/>
        <v>0</v>
      </c>
      <c r="W4344">
        <f t="shared" si="271"/>
        <v>0</v>
      </c>
    </row>
    <row r="4345" spans="5:23" x14ac:dyDescent="0.25">
      <c r="E4345" s="4"/>
      <c r="F4345" s="4"/>
      <c r="G4345" s="33" t="str">
        <f>IFERROR(VLOOKUP($D4345,'Informations sur les produits'!$A$3:$H$10000,8,FALSE),"0")</f>
        <v>0</v>
      </c>
      <c r="K4345" s="4"/>
      <c r="L4345" s="33" t="str">
        <f>IFERROR(VLOOKUP($J4345,'Informations sur les produits'!$A$3:$H$10000,8,FALSE),"0")</f>
        <v>0</v>
      </c>
      <c r="N4345" s="8"/>
      <c r="O4345" s="33" t="str">
        <f>IFERROR(VLOOKUP($M4345,'Informations sur les produits'!$A$3:$H$10000,8,FALSE),"0")</f>
        <v>0</v>
      </c>
      <c r="P4345" s="33">
        <f t="shared" si="268"/>
        <v>0</v>
      </c>
      <c r="Q4345" s="31" t="str">
        <f t="shared" si="269"/>
        <v/>
      </c>
      <c r="R4345" s="32" t="str">
        <f>IFERROR(VLOOKUP($D4345,'Informations sur les produits'!$A$3:$B$15000,2,FALSE),"")</f>
        <v/>
      </c>
      <c r="V4345">
        <f t="shared" si="270"/>
        <v>0</v>
      </c>
      <c r="W4345">
        <f t="shared" si="271"/>
        <v>0</v>
      </c>
    </row>
    <row r="4346" spans="5:23" x14ac:dyDescent="0.25">
      <c r="E4346" s="4"/>
      <c r="F4346" s="4"/>
      <c r="G4346" s="33" t="str">
        <f>IFERROR(VLOOKUP($D4346,'Informations sur les produits'!$A$3:$H$10000,8,FALSE),"0")</f>
        <v>0</v>
      </c>
      <c r="K4346" s="4"/>
      <c r="L4346" s="33" t="str">
        <f>IFERROR(VLOOKUP($J4346,'Informations sur les produits'!$A$3:$H$10000,8,FALSE),"0")</f>
        <v>0</v>
      </c>
      <c r="N4346" s="8"/>
      <c r="O4346" s="33" t="str">
        <f>IFERROR(VLOOKUP($M4346,'Informations sur les produits'!$A$3:$H$10000,8,FALSE),"0")</f>
        <v>0</v>
      </c>
      <c r="P4346" s="33">
        <f t="shared" si="268"/>
        <v>0</v>
      </c>
      <c r="Q4346" s="31" t="str">
        <f t="shared" si="269"/>
        <v/>
      </c>
      <c r="R4346" s="32" t="str">
        <f>IFERROR(VLOOKUP($D4346,'Informations sur les produits'!$A$3:$B$15000,2,FALSE),"")</f>
        <v/>
      </c>
      <c r="V4346">
        <f t="shared" si="270"/>
        <v>0</v>
      </c>
      <c r="W4346">
        <f t="shared" si="271"/>
        <v>0</v>
      </c>
    </row>
    <row r="4347" spans="5:23" x14ac:dyDescent="0.25">
      <c r="E4347" s="4"/>
      <c r="F4347" s="4"/>
      <c r="G4347" s="33" t="str">
        <f>IFERROR(VLOOKUP($D4347,'Informations sur les produits'!$A$3:$H$10000,8,FALSE),"0")</f>
        <v>0</v>
      </c>
      <c r="K4347" s="4"/>
      <c r="L4347" s="33" t="str">
        <f>IFERROR(VLOOKUP($J4347,'Informations sur les produits'!$A$3:$H$10000,8,FALSE),"0")</f>
        <v>0</v>
      </c>
      <c r="N4347" s="8"/>
      <c r="O4347" s="33" t="str">
        <f>IFERROR(VLOOKUP($M4347,'Informations sur les produits'!$A$3:$H$10000,8,FALSE),"0")</f>
        <v>0</v>
      </c>
      <c r="P4347" s="33">
        <f t="shared" si="268"/>
        <v>0</v>
      </c>
      <c r="Q4347" s="31" t="str">
        <f t="shared" si="269"/>
        <v/>
      </c>
      <c r="R4347" s="32" t="str">
        <f>IFERROR(VLOOKUP($D4347,'Informations sur les produits'!$A$3:$B$15000,2,FALSE),"")</f>
        <v/>
      </c>
      <c r="V4347">
        <f t="shared" si="270"/>
        <v>0</v>
      </c>
      <c r="W4347">
        <f t="shared" si="271"/>
        <v>0</v>
      </c>
    </row>
    <row r="4348" spans="5:23" x14ac:dyDescent="0.25">
      <c r="E4348" s="4"/>
      <c r="F4348" s="4"/>
      <c r="G4348" s="33" t="str">
        <f>IFERROR(VLOOKUP($D4348,'Informations sur les produits'!$A$3:$H$10000,8,FALSE),"0")</f>
        <v>0</v>
      </c>
      <c r="K4348" s="4"/>
      <c r="L4348" s="33" t="str">
        <f>IFERROR(VLOOKUP($J4348,'Informations sur les produits'!$A$3:$H$10000,8,FALSE),"0")</f>
        <v>0</v>
      </c>
      <c r="N4348" s="8"/>
      <c r="O4348" s="33" t="str">
        <f>IFERROR(VLOOKUP($M4348,'Informations sur les produits'!$A$3:$H$10000,8,FALSE),"0")</f>
        <v>0</v>
      </c>
      <c r="P4348" s="33">
        <f t="shared" si="268"/>
        <v>0</v>
      </c>
      <c r="Q4348" s="31" t="str">
        <f t="shared" si="269"/>
        <v/>
      </c>
      <c r="R4348" s="32" t="str">
        <f>IFERROR(VLOOKUP($D4348,'Informations sur les produits'!$A$3:$B$15000,2,FALSE),"")</f>
        <v/>
      </c>
      <c r="V4348">
        <f t="shared" si="270"/>
        <v>0</v>
      </c>
      <c r="W4348">
        <f t="shared" si="271"/>
        <v>0</v>
      </c>
    </row>
    <row r="4349" spans="5:23" x14ac:dyDescent="0.25">
      <c r="E4349" s="4"/>
      <c r="F4349" s="4"/>
      <c r="G4349" s="33" t="str">
        <f>IFERROR(VLOOKUP($D4349,'Informations sur les produits'!$A$3:$H$10000,8,FALSE),"0")</f>
        <v>0</v>
      </c>
      <c r="K4349" s="4"/>
      <c r="L4349" s="33" t="str">
        <f>IFERROR(VLOOKUP($J4349,'Informations sur les produits'!$A$3:$H$10000,8,FALSE),"0")</f>
        <v>0</v>
      </c>
      <c r="N4349" s="8"/>
      <c r="O4349" s="33" t="str">
        <f>IFERROR(VLOOKUP($M4349,'Informations sur les produits'!$A$3:$H$10000,8,FALSE),"0")</f>
        <v>0</v>
      </c>
      <c r="P4349" s="33">
        <f t="shared" si="268"/>
        <v>0</v>
      </c>
      <c r="Q4349" s="31" t="str">
        <f t="shared" si="269"/>
        <v/>
      </c>
      <c r="R4349" s="32" t="str">
        <f>IFERROR(VLOOKUP($D4349,'Informations sur les produits'!$A$3:$B$15000,2,FALSE),"")</f>
        <v/>
      </c>
      <c r="V4349">
        <f t="shared" si="270"/>
        <v>0</v>
      </c>
      <c r="W4349">
        <f t="shared" si="271"/>
        <v>0</v>
      </c>
    </row>
    <row r="4350" spans="5:23" x14ac:dyDescent="0.25">
      <c r="E4350" s="4"/>
      <c r="F4350" s="4"/>
      <c r="G4350" s="33" t="str">
        <f>IFERROR(VLOOKUP($D4350,'Informations sur les produits'!$A$3:$H$10000,8,FALSE),"0")</f>
        <v>0</v>
      </c>
      <c r="K4350" s="4"/>
      <c r="L4350" s="33" t="str">
        <f>IFERROR(VLOOKUP($J4350,'Informations sur les produits'!$A$3:$H$10000,8,FALSE),"0")</f>
        <v>0</v>
      </c>
      <c r="N4350" s="8"/>
      <c r="O4350" s="33" t="str">
        <f>IFERROR(VLOOKUP($M4350,'Informations sur les produits'!$A$3:$H$10000,8,FALSE),"0")</f>
        <v>0</v>
      </c>
      <c r="P4350" s="33">
        <f t="shared" si="268"/>
        <v>0</v>
      </c>
      <c r="Q4350" s="31" t="str">
        <f t="shared" si="269"/>
        <v/>
      </c>
      <c r="R4350" s="32" t="str">
        <f>IFERROR(VLOOKUP($D4350,'Informations sur les produits'!$A$3:$B$15000,2,FALSE),"")</f>
        <v/>
      </c>
      <c r="V4350">
        <f t="shared" si="270"/>
        <v>0</v>
      </c>
      <c r="W4350">
        <f t="shared" si="271"/>
        <v>0</v>
      </c>
    </row>
    <row r="4351" spans="5:23" x14ac:dyDescent="0.25">
      <c r="E4351" s="4"/>
      <c r="F4351" s="4"/>
      <c r="G4351" s="33" t="str">
        <f>IFERROR(VLOOKUP($D4351,'Informations sur les produits'!$A$3:$H$10000,8,FALSE),"0")</f>
        <v>0</v>
      </c>
      <c r="K4351" s="4"/>
      <c r="L4351" s="33" t="str">
        <f>IFERROR(VLOOKUP($J4351,'Informations sur les produits'!$A$3:$H$10000,8,FALSE),"0")</f>
        <v>0</v>
      </c>
      <c r="N4351" s="8"/>
      <c r="O4351" s="33" t="str">
        <f>IFERROR(VLOOKUP($M4351,'Informations sur les produits'!$A$3:$H$10000,8,FALSE),"0")</f>
        <v>0</v>
      </c>
      <c r="P4351" s="33">
        <f t="shared" si="268"/>
        <v>0</v>
      </c>
      <c r="Q4351" s="31" t="str">
        <f t="shared" si="269"/>
        <v/>
      </c>
      <c r="R4351" s="32" t="str">
        <f>IFERROR(VLOOKUP($D4351,'Informations sur les produits'!$A$3:$B$15000,2,FALSE),"")</f>
        <v/>
      </c>
      <c r="V4351">
        <f t="shared" si="270"/>
        <v>0</v>
      </c>
      <c r="W4351">
        <f t="shared" si="271"/>
        <v>0</v>
      </c>
    </row>
    <row r="4352" spans="5:23" x14ac:dyDescent="0.25">
      <c r="E4352" s="4"/>
      <c r="F4352" s="4"/>
      <c r="G4352" s="33" t="str">
        <f>IFERROR(VLOOKUP($D4352,'Informations sur les produits'!$A$3:$H$10000,8,FALSE),"0")</f>
        <v>0</v>
      </c>
      <c r="K4352" s="4"/>
      <c r="L4352" s="33" t="str">
        <f>IFERROR(VLOOKUP($J4352,'Informations sur les produits'!$A$3:$H$10000,8,FALSE),"0")</f>
        <v>0</v>
      </c>
      <c r="N4352" s="8"/>
      <c r="O4352" s="33" t="str">
        <f>IFERROR(VLOOKUP($M4352,'Informations sur les produits'!$A$3:$H$10000,8,FALSE),"0")</f>
        <v>0</v>
      </c>
      <c r="P4352" s="33">
        <f t="shared" si="268"/>
        <v>0</v>
      </c>
      <c r="Q4352" s="31" t="str">
        <f t="shared" si="269"/>
        <v/>
      </c>
      <c r="R4352" s="32" t="str">
        <f>IFERROR(VLOOKUP($D4352,'Informations sur les produits'!$A$3:$B$15000,2,FALSE),"")</f>
        <v/>
      </c>
      <c r="V4352">
        <f t="shared" si="270"/>
        <v>0</v>
      </c>
      <c r="W4352">
        <f t="shared" si="271"/>
        <v>0</v>
      </c>
    </row>
    <row r="4353" spans="5:23" x14ac:dyDescent="0.25">
      <c r="E4353" s="4"/>
      <c r="F4353" s="4"/>
      <c r="G4353" s="33" t="str">
        <f>IFERROR(VLOOKUP($D4353,'Informations sur les produits'!$A$3:$H$10000,8,FALSE),"0")</f>
        <v>0</v>
      </c>
      <c r="K4353" s="4"/>
      <c r="L4353" s="33" t="str">
        <f>IFERROR(VLOOKUP($J4353,'Informations sur les produits'!$A$3:$H$10000,8,FALSE),"0")</f>
        <v>0</v>
      </c>
      <c r="N4353" s="8"/>
      <c r="O4353" s="33" t="str">
        <f>IFERROR(VLOOKUP($M4353,'Informations sur les produits'!$A$3:$H$10000,8,FALSE),"0")</f>
        <v>0</v>
      </c>
      <c r="P4353" s="33">
        <f t="shared" si="268"/>
        <v>0</v>
      </c>
      <c r="Q4353" s="31" t="str">
        <f t="shared" si="269"/>
        <v/>
      </c>
      <c r="R4353" s="32" t="str">
        <f>IFERROR(VLOOKUP($D4353,'Informations sur les produits'!$A$3:$B$15000,2,FALSE),"")</f>
        <v/>
      </c>
      <c r="V4353">
        <f t="shared" si="270"/>
        <v>0</v>
      </c>
      <c r="W4353">
        <f t="shared" si="271"/>
        <v>0</v>
      </c>
    </row>
    <row r="4354" spans="5:23" x14ac:dyDescent="0.25">
      <c r="E4354" s="4"/>
      <c r="F4354" s="4"/>
      <c r="G4354" s="33" t="str">
        <f>IFERROR(VLOOKUP($D4354,'Informations sur les produits'!$A$3:$H$10000,8,FALSE),"0")</f>
        <v>0</v>
      </c>
      <c r="K4354" s="4"/>
      <c r="L4354" s="33" t="str">
        <f>IFERROR(VLOOKUP($J4354,'Informations sur les produits'!$A$3:$H$10000,8,FALSE),"0")</f>
        <v>0</v>
      </c>
      <c r="N4354" s="8"/>
      <c r="O4354" s="33" t="str">
        <f>IFERROR(VLOOKUP($M4354,'Informations sur les produits'!$A$3:$H$10000,8,FALSE),"0")</f>
        <v>0</v>
      </c>
      <c r="P4354" s="33">
        <f t="shared" si="268"/>
        <v>0</v>
      </c>
      <c r="Q4354" s="31" t="str">
        <f t="shared" si="269"/>
        <v/>
      </c>
      <c r="R4354" s="32" t="str">
        <f>IFERROR(VLOOKUP($D4354,'Informations sur les produits'!$A$3:$B$15000,2,FALSE),"")</f>
        <v/>
      </c>
      <c r="V4354">
        <f t="shared" si="270"/>
        <v>0</v>
      </c>
      <c r="W4354">
        <f t="shared" si="271"/>
        <v>0</v>
      </c>
    </row>
    <row r="4355" spans="5:23" x14ac:dyDescent="0.25">
      <c r="E4355" s="4"/>
      <c r="F4355" s="4"/>
      <c r="G4355" s="33" t="str">
        <f>IFERROR(VLOOKUP($D4355,'Informations sur les produits'!$A$3:$H$10000,8,FALSE),"0")</f>
        <v>0</v>
      </c>
      <c r="K4355" s="4"/>
      <c r="L4355" s="33" t="str">
        <f>IFERROR(VLOOKUP($J4355,'Informations sur les produits'!$A$3:$H$10000,8,FALSE),"0")</f>
        <v>0</v>
      </c>
      <c r="N4355" s="8"/>
      <c r="O4355" s="33" t="str">
        <f>IFERROR(VLOOKUP($M4355,'Informations sur les produits'!$A$3:$H$10000,8,FALSE),"0")</f>
        <v>0</v>
      </c>
      <c r="P4355" s="33">
        <f t="shared" si="268"/>
        <v>0</v>
      </c>
      <c r="Q4355" s="31" t="str">
        <f t="shared" si="269"/>
        <v/>
      </c>
      <c r="R4355" s="32" t="str">
        <f>IFERROR(VLOOKUP($D4355,'Informations sur les produits'!$A$3:$B$15000,2,FALSE),"")</f>
        <v/>
      </c>
      <c r="V4355">
        <f t="shared" si="270"/>
        <v>0</v>
      </c>
      <c r="W4355">
        <f t="shared" si="271"/>
        <v>0</v>
      </c>
    </row>
    <row r="4356" spans="5:23" x14ac:dyDescent="0.25">
      <c r="E4356" s="4"/>
      <c r="F4356" s="4"/>
      <c r="G4356" s="33" t="str">
        <f>IFERROR(VLOOKUP($D4356,'Informations sur les produits'!$A$3:$H$10000,8,FALSE),"0")</f>
        <v>0</v>
      </c>
      <c r="K4356" s="4"/>
      <c r="L4356" s="33" t="str">
        <f>IFERROR(VLOOKUP($J4356,'Informations sur les produits'!$A$3:$H$10000,8,FALSE),"0")</f>
        <v>0</v>
      </c>
      <c r="N4356" s="8"/>
      <c r="O4356" s="33" t="str">
        <f>IFERROR(VLOOKUP($M4356,'Informations sur les produits'!$A$3:$H$10000,8,FALSE),"0")</f>
        <v>0</v>
      </c>
      <c r="P4356" s="33">
        <f t="shared" ref="P4356:P4419" si="272">IFERROR((($E4356-$F4356)*$G4356+$K4356*$L4356+$N4356*$O4356),"")</f>
        <v>0</v>
      </c>
      <c r="Q4356" s="31" t="str">
        <f t="shared" ref="Q4356:Q4419" si="273">IFERROR((((($E4356-$F4356)*$G4356+$K4356*$L4356+$N4356*$O4356)*1000)/(($E4356-$F4356)+$K4356+$N4356)),"")</f>
        <v/>
      </c>
      <c r="R4356" s="32" t="str">
        <f>IFERROR(VLOOKUP($D4356,'Informations sur les produits'!$A$3:$B$15000,2,FALSE),"")</f>
        <v/>
      </c>
      <c r="V4356">
        <f t="shared" ref="V4356:V4419" si="274">IFERROR(P4356*1000,"")</f>
        <v>0</v>
      </c>
      <c r="W4356">
        <f t="shared" ref="W4356:W4419" si="275">IFERROR(($E4356-$F4356)+$K4356+$N4356,"")</f>
        <v>0</v>
      </c>
    </row>
    <row r="4357" spans="5:23" x14ac:dyDescent="0.25">
      <c r="E4357" s="4"/>
      <c r="F4357" s="4"/>
      <c r="G4357" s="33" t="str">
        <f>IFERROR(VLOOKUP($D4357,'Informations sur les produits'!$A$3:$H$10000,8,FALSE),"0")</f>
        <v>0</v>
      </c>
      <c r="K4357" s="4"/>
      <c r="L4357" s="33" t="str">
        <f>IFERROR(VLOOKUP($J4357,'Informations sur les produits'!$A$3:$H$10000,8,FALSE),"0")</f>
        <v>0</v>
      </c>
      <c r="N4357" s="8"/>
      <c r="O4357" s="33" t="str">
        <f>IFERROR(VLOOKUP($M4357,'Informations sur les produits'!$A$3:$H$10000,8,FALSE),"0")</f>
        <v>0</v>
      </c>
      <c r="P4357" s="33">
        <f t="shared" si="272"/>
        <v>0</v>
      </c>
      <c r="Q4357" s="31" t="str">
        <f t="shared" si="273"/>
        <v/>
      </c>
      <c r="R4357" s="32" t="str">
        <f>IFERROR(VLOOKUP($D4357,'Informations sur les produits'!$A$3:$B$15000,2,FALSE),"")</f>
        <v/>
      </c>
      <c r="V4357">
        <f t="shared" si="274"/>
        <v>0</v>
      </c>
      <c r="W4357">
        <f t="shared" si="275"/>
        <v>0</v>
      </c>
    </row>
    <row r="4358" spans="5:23" x14ac:dyDescent="0.25">
      <c r="E4358" s="4"/>
      <c r="F4358" s="4"/>
      <c r="G4358" s="33" t="str">
        <f>IFERROR(VLOOKUP($D4358,'Informations sur les produits'!$A$3:$H$10000,8,FALSE),"0")</f>
        <v>0</v>
      </c>
      <c r="K4358" s="4"/>
      <c r="L4358" s="33" t="str">
        <f>IFERROR(VLOOKUP($J4358,'Informations sur les produits'!$A$3:$H$10000,8,FALSE),"0")</f>
        <v>0</v>
      </c>
      <c r="N4358" s="8"/>
      <c r="O4358" s="33" t="str">
        <f>IFERROR(VLOOKUP($M4358,'Informations sur les produits'!$A$3:$H$10000,8,FALSE),"0")</f>
        <v>0</v>
      </c>
      <c r="P4358" s="33">
        <f t="shared" si="272"/>
        <v>0</v>
      </c>
      <c r="Q4358" s="31" t="str">
        <f t="shared" si="273"/>
        <v/>
      </c>
      <c r="R4358" s="32" t="str">
        <f>IFERROR(VLOOKUP($D4358,'Informations sur les produits'!$A$3:$B$15000,2,FALSE),"")</f>
        <v/>
      </c>
      <c r="V4358">
        <f t="shared" si="274"/>
        <v>0</v>
      </c>
      <c r="W4358">
        <f t="shared" si="275"/>
        <v>0</v>
      </c>
    </row>
    <row r="4359" spans="5:23" x14ac:dyDescent="0.25">
      <c r="E4359" s="4"/>
      <c r="F4359" s="4"/>
      <c r="G4359" s="33" t="str">
        <f>IFERROR(VLOOKUP($D4359,'Informations sur les produits'!$A$3:$H$10000,8,FALSE),"0")</f>
        <v>0</v>
      </c>
      <c r="K4359" s="4"/>
      <c r="L4359" s="33" t="str">
        <f>IFERROR(VLOOKUP($J4359,'Informations sur les produits'!$A$3:$H$10000,8,FALSE),"0")</f>
        <v>0</v>
      </c>
      <c r="N4359" s="8"/>
      <c r="O4359" s="33" t="str">
        <f>IFERROR(VLOOKUP($M4359,'Informations sur les produits'!$A$3:$H$10000,8,FALSE),"0")</f>
        <v>0</v>
      </c>
      <c r="P4359" s="33">
        <f t="shared" si="272"/>
        <v>0</v>
      </c>
      <c r="Q4359" s="31" t="str">
        <f t="shared" si="273"/>
        <v/>
      </c>
      <c r="R4359" s="32" t="str">
        <f>IFERROR(VLOOKUP($D4359,'Informations sur les produits'!$A$3:$B$15000,2,FALSE),"")</f>
        <v/>
      </c>
      <c r="V4359">
        <f t="shared" si="274"/>
        <v>0</v>
      </c>
      <c r="W4359">
        <f t="shared" si="275"/>
        <v>0</v>
      </c>
    </row>
    <row r="4360" spans="5:23" x14ac:dyDescent="0.25">
      <c r="E4360" s="4"/>
      <c r="F4360" s="4"/>
      <c r="G4360" s="33" t="str">
        <f>IFERROR(VLOOKUP($D4360,'Informations sur les produits'!$A$3:$H$10000,8,FALSE),"0")</f>
        <v>0</v>
      </c>
      <c r="K4360" s="4"/>
      <c r="L4360" s="33" t="str">
        <f>IFERROR(VLOOKUP($J4360,'Informations sur les produits'!$A$3:$H$10000,8,FALSE),"0")</f>
        <v>0</v>
      </c>
      <c r="N4360" s="8"/>
      <c r="O4360" s="33" t="str">
        <f>IFERROR(VLOOKUP($M4360,'Informations sur les produits'!$A$3:$H$10000,8,FALSE),"0")</f>
        <v>0</v>
      </c>
      <c r="P4360" s="33">
        <f t="shared" si="272"/>
        <v>0</v>
      </c>
      <c r="Q4360" s="31" t="str">
        <f t="shared" si="273"/>
        <v/>
      </c>
      <c r="R4360" s="32" t="str">
        <f>IFERROR(VLOOKUP($D4360,'Informations sur les produits'!$A$3:$B$15000,2,FALSE),"")</f>
        <v/>
      </c>
      <c r="V4360">
        <f t="shared" si="274"/>
        <v>0</v>
      </c>
      <c r="W4360">
        <f t="shared" si="275"/>
        <v>0</v>
      </c>
    </row>
    <row r="4361" spans="5:23" x14ac:dyDescent="0.25">
      <c r="E4361" s="4"/>
      <c r="F4361" s="4"/>
      <c r="G4361" s="33" t="str">
        <f>IFERROR(VLOOKUP($D4361,'Informations sur les produits'!$A$3:$H$10000,8,FALSE),"0")</f>
        <v>0</v>
      </c>
      <c r="K4361" s="4"/>
      <c r="L4361" s="33" t="str">
        <f>IFERROR(VLOOKUP($J4361,'Informations sur les produits'!$A$3:$H$10000,8,FALSE),"0")</f>
        <v>0</v>
      </c>
      <c r="N4361" s="8"/>
      <c r="O4361" s="33" t="str">
        <f>IFERROR(VLOOKUP($M4361,'Informations sur les produits'!$A$3:$H$10000,8,FALSE),"0")</f>
        <v>0</v>
      </c>
      <c r="P4361" s="33">
        <f t="shared" si="272"/>
        <v>0</v>
      </c>
      <c r="Q4361" s="31" t="str">
        <f t="shared" si="273"/>
        <v/>
      </c>
      <c r="R4361" s="32" t="str">
        <f>IFERROR(VLOOKUP($D4361,'Informations sur les produits'!$A$3:$B$15000,2,FALSE),"")</f>
        <v/>
      </c>
      <c r="V4361">
        <f t="shared" si="274"/>
        <v>0</v>
      </c>
      <c r="W4361">
        <f t="shared" si="275"/>
        <v>0</v>
      </c>
    </row>
    <row r="4362" spans="5:23" x14ac:dyDescent="0.25">
      <c r="E4362" s="4"/>
      <c r="F4362" s="4"/>
      <c r="G4362" s="33" t="str">
        <f>IFERROR(VLOOKUP($D4362,'Informations sur les produits'!$A$3:$H$10000,8,FALSE),"0")</f>
        <v>0</v>
      </c>
      <c r="K4362" s="4"/>
      <c r="L4362" s="33" t="str">
        <f>IFERROR(VLOOKUP($J4362,'Informations sur les produits'!$A$3:$H$10000,8,FALSE),"0")</f>
        <v>0</v>
      </c>
      <c r="N4362" s="8"/>
      <c r="O4362" s="33" t="str">
        <f>IFERROR(VLOOKUP($M4362,'Informations sur les produits'!$A$3:$H$10000,8,FALSE),"0")</f>
        <v>0</v>
      </c>
      <c r="P4362" s="33">
        <f t="shared" si="272"/>
        <v>0</v>
      </c>
      <c r="Q4362" s="31" t="str">
        <f t="shared" si="273"/>
        <v/>
      </c>
      <c r="R4362" s="32" t="str">
        <f>IFERROR(VLOOKUP($D4362,'Informations sur les produits'!$A$3:$B$15000,2,FALSE),"")</f>
        <v/>
      </c>
      <c r="V4362">
        <f t="shared" si="274"/>
        <v>0</v>
      </c>
      <c r="W4362">
        <f t="shared" si="275"/>
        <v>0</v>
      </c>
    </row>
    <row r="4363" spans="5:23" x14ac:dyDescent="0.25">
      <c r="E4363" s="4"/>
      <c r="F4363" s="4"/>
      <c r="G4363" s="33" t="str">
        <f>IFERROR(VLOOKUP($D4363,'Informations sur les produits'!$A$3:$H$10000,8,FALSE),"0")</f>
        <v>0</v>
      </c>
      <c r="K4363" s="4"/>
      <c r="L4363" s="33" t="str">
        <f>IFERROR(VLOOKUP($J4363,'Informations sur les produits'!$A$3:$H$10000,8,FALSE),"0")</f>
        <v>0</v>
      </c>
      <c r="N4363" s="8"/>
      <c r="O4363" s="33" t="str">
        <f>IFERROR(VLOOKUP($M4363,'Informations sur les produits'!$A$3:$H$10000,8,FALSE),"0")</f>
        <v>0</v>
      </c>
      <c r="P4363" s="33">
        <f t="shared" si="272"/>
        <v>0</v>
      </c>
      <c r="Q4363" s="31" t="str">
        <f t="shared" si="273"/>
        <v/>
      </c>
      <c r="R4363" s="32" t="str">
        <f>IFERROR(VLOOKUP($D4363,'Informations sur les produits'!$A$3:$B$15000,2,FALSE),"")</f>
        <v/>
      </c>
      <c r="V4363">
        <f t="shared" si="274"/>
        <v>0</v>
      </c>
      <c r="W4363">
        <f t="shared" si="275"/>
        <v>0</v>
      </c>
    </row>
    <row r="4364" spans="5:23" x14ac:dyDescent="0.25">
      <c r="E4364" s="4"/>
      <c r="F4364" s="4"/>
      <c r="G4364" s="33" t="str">
        <f>IFERROR(VLOOKUP($D4364,'Informations sur les produits'!$A$3:$H$10000,8,FALSE),"0")</f>
        <v>0</v>
      </c>
      <c r="K4364" s="4"/>
      <c r="L4364" s="33" t="str">
        <f>IFERROR(VLOOKUP($J4364,'Informations sur les produits'!$A$3:$H$10000,8,FALSE),"0")</f>
        <v>0</v>
      </c>
      <c r="N4364" s="8"/>
      <c r="O4364" s="33" t="str">
        <f>IFERROR(VLOOKUP($M4364,'Informations sur les produits'!$A$3:$H$10000,8,FALSE),"0")</f>
        <v>0</v>
      </c>
      <c r="P4364" s="33">
        <f t="shared" si="272"/>
        <v>0</v>
      </c>
      <c r="Q4364" s="31" t="str">
        <f t="shared" si="273"/>
        <v/>
      </c>
      <c r="R4364" s="32" t="str">
        <f>IFERROR(VLOOKUP($D4364,'Informations sur les produits'!$A$3:$B$15000,2,FALSE),"")</f>
        <v/>
      </c>
      <c r="V4364">
        <f t="shared" si="274"/>
        <v>0</v>
      </c>
      <c r="W4364">
        <f t="shared" si="275"/>
        <v>0</v>
      </c>
    </row>
    <row r="4365" spans="5:23" x14ac:dyDescent="0.25">
      <c r="E4365" s="4"/>
      <c r="F4365" s="4"/>
      <c r="G4365" s="33" t="str">
        <f>IFERROR(VLOOKUP($D4365,'Informations sur les produits'!$A$3:$H$10000,8,FALSE),"0")</f>
        <v>0</v>
      </c>
      <c r="K4365" s="4"/>
      <c r="L4365" s="33" t="str">
        <f>IFERROR(VLOOKUP($J4365,'Informations sur les produits'!$A$3:$H$10000,8,FALSE),"0")</f>
        <v>0</v>
      </c>
      <c r="N4365" s="8"/>
      <c r="O4365" s="33" t="str">
        <f>IFERROR(VLOOKUP($M4365,'Informations sur les produits'!$A$3:$H$10000,8,FALSE),"0")</f>
        <v>0</v>
      </c>
      <c r="P4365" s="33">
        <f t="shared" si="272"/>
        <v>0</v>
      </c>
      <c r="Q4365" s="31" t="str">
        <f t="shared" si="273"/>
        <v/>
      </c>
      <c r="R4365" s="32" t="str">
        <f>IFERROR(VLOOKUP($D4365,'Informations sur les produits'!$A$3:$B$15000,2,FALSE),"")</f>
        <v/>
      </c>
      <c r="V4365">
        <f t="shared" si="274"/>
        <v>0</v>
      </c>
      <c r="W4365">
        <f t="shared" si="275"/>
        <v>0</v>
      </c>
    </row>
    <row r="4366" spans="5:23" x14ac:dyDescent="0.25">
      <c r="E4366" s="4"/>
      <c r="F4366" s="4"/>
      <c r="G4366" s="33" t="str">
        <f>IFERROR(VLOOKUP($D4366,'Informations sur les produits'!$A$3:$H$10000,8,FALSE),"0")</f>
        <v>0</v>
      </c>
      <c r="K4366" s="4"/>
      <c r="L4366" s="33" t="str">
        <f>IFERROR(VLOOKUP($J4366,'Informations sur les produits'!$A$3:$H$10000,8,FALSE),"0")</f>
        <v>0</v>
      </c>
      <c r="N4366" s="8"/>
      <c r="O4366" s="33" t="str">
        <f>IFERROR(VLOOKUP($M4366,'Informations sur les produits'!$A$3:$H$10000,8,FALSE),"0")</f>
        <v>0</v>
      </c>
      <c r="P4366" s="33">
        <f t="shared" si="272"/>
        <v>0</v>
      </c>
      <c r="Q4366" s="31" t="str">
        <f t="shared" si="273"/>
        <v/>
      </c>
      <c r="R4366" s="32" t="str">
        <f>IFERROR(VLOOKUP($D4366,'Informations sur les produits'!$A$3:$B$15000,2,FALSE),"")</f>
        <v/>
      </c>
      <c r="V4366">
        <f t="shared" si="274"/>
        <v>0</v>
      </c>
      <c r="W4366">
        <f t="shared" si="275"/>
        <v>0</v>
      </c>
    </row>
    <row r="4367" spans="5:23" x14ac:dyDescent="0.25">
      <c r="E4367" s="4"/>
      <c r="F4367" s="4"/>
      <c r="G4367" s="33" t="str">
        <f>IFERROR(VLOOKUP($D4367,'Informations sur les produits'!$A$3:$H$10000,8,FALSE),"0")</f>
        <v>0</v>
      </c>
      <c r="K4367" s="4"/>
      <c r="L4367" s="33" t="str">
        <f>IFERROR(VLOOKUP($J4367,'Informations sur les produits'!$A$3:$H$10000,8,FALSE),"0")</f>
        <v>0</v>
      </c>
      <c r="N4367" s="8"/>
      <c r="O4367" s="33" t="str">
        <f>IFERROR(VLOOKUP($M4367,'Informations sur les produits'!$A$3:$H$10000,8,FALSE),"0")</f>
        <v>0</v>
      </c>
      <c r="P4367" s="33">
        <f t="shared" si="272"/>
        <v>0</v>
      </c>
      <c r="Q4367" s="31" t="str">
        <f t="shared" si="273"/>
        <v/>
      </c>
      <c r="R4367" s="32" t="str">
        <f>IFERROR(VLOOKUP($D4367,'Informations sur les produits'!$A$3:$B$15000,2,FALSE),"")</f>
        <v/>
      </c>
      <c r="V4367">
        <f t="shared" si="274"/>
        <v>0</v>
      </c>
      <c r="W4367">
        <f t="shared" si="275"/>
        <v>0</v>
      </c>
    </row>
    <row r="4368" spans="5:23" x14ac:dyDescent="0.25">
      <c r="E4368" s="4"/>
      <c r="F4368" s="4"/>
      <c r="G4368" s="33" t="str">
        <f>IFERROR(VLOOKUP($D4368,'Informations sur les produits'!$A$3:$H$10000,8,FALSE),"0")</f>
        <v>0</v>
      </c>
      <c r="K4368" s="4"/>
      <c r="L4368" s="33" t="str">
        <f>IFERROR(VLOOKUP($J4368,'Informations sur les produits'!$A$3:$H$10000,8,FALSE),"0")</f>
        <v>0</v>
      </c>
      <c r="N4368" s="8"/>
      <c r="O4368" s="33" t="str">
        <f>IFERROR(VLOOKUP($M4368,'Informations sur les produits'!$A$3:$H$10000,8,FALSE),"0")</f>
        <v>0</v>
      </c>
      <c r="P4368" s="33">
        <f t="shared" si="272"/>
        <v>0</v>
      </c>
      <c r="Q4368" s="31" t="str">
        <f t="shared" si="273"/>
        <v/>
      </c>
      <c r="R4368" s="32" t="str">
        <f>IFERROR(VLOOKUP($D4368,'Informations sur les produits'!$A$3:$B$15000,2,FALSE),"")</f>
        <v/>
      </c>
      <c r="V4368">
        <f t="shared" si="274"/>
        <v>0</v>
      </c>
      <c r="W4368">
        <f t="shared" si="275"/>
        <v>0</v>
      </c>
    </row>
    <row r="4369" spans="5:23" x14ac:dyDescent="0.25">
      <c r="E4369" s="4"/>
      <c r="F4369" s="4"/>
      <c r="G4369" s="33" t="str">
        <f>IFERROR(VLOOKUP($D4369,'Informations sur les produits'!$A$3:$H$10000,8,FALSE),"0")</f>
        <v>0</v>
      </c>
      <c r="K4369" s="4"/>
      <c r="L4369" s="33" t="str">
        <f>IFERROR(VLOOKUP($J4369,'Informations sur les produits'!$A$3:$H$10000,8,FALSE),"0")</f>
        <v>0</v>
      </c>
      <c r="N4369" s="8"/>
      <c r="O4369" s="33" t="str">
        <f>IFERROR(VLOOKUP($M4369,'Informations sur les produits'!$A$3:$H$10000,8,FALSE),"0")</f>
        <v>0</v>
      </c>
      <c r="P4369" s="33">
        <f t="shared" si="272"/>
        <v>0</v>
      </c>
      <c r="Q4369" s="31" t="str">
        <f t="shared" si="273"/>
        <v/>
      </c>
      <c r="R4369" s="32" t="str">
        <f>IFERROR(VLOOKUP($D4369,'Informations sur les produits'!$A$3:$B$15000,2,FALSE),"")</f>
        <v/>
      </c>
      <c r="V4369">
        <f t="shared" si="274"/>
        <v>0</v>
      </c>
      <c r="W4369">
        <f t="shared" si="275"/>
        <v>0</v>
      </c>
    </row>
    <row r="4370" spans="5:23" x14ac:dyDescent="0.25">
      <c r="E4370" s="4"/>
      <c r="F4370" s="4"/>
      <c r="G4370" s="33" t="str">
        <f>IFERROR(VLOOKUP($D4370,'Informations sur les produits'!$A$3:$H$10000,8,FALSE),"0")</f>
        <v>0</v>
      </c>
      <c r="K4370" s="4"/>
      <c r="L4370" s="33" t="str">
        <f>IFERROR(VLOOKUP($J4370,'Informations sur les produits'!$A$3:$H$10000,8,FALSE),"0")</f>
        <v>0</v>
      </c>
      <c r="N4370" s="8"/>
      <c r="O4370" s="33" t="str">
        <f>IFERROR(VLOOKUP($M4370,'Informations sur les produits'!$A$3:$H$10000,8,FALSE),"0")</f>
        <v>0</v>
      </c>
      <c r="P4370" s="33">
        <f t="shared" si="272"/>
        <v>0</v>
      </c>
      <c r="Q4370" s="31" t="str">
        <f t="shared" si="273"/>
        <v/>
      </c>
      <c r="R4370" s="32" t="str">
        <f>IFERROR(VLOOKUP($D4370,'Informations sur les produits'!$A$3:$B$15000,2,FALSE),"")</f>
        <v/>
      </c>
      <c r="V4370">
        <f t="shared" si="274"/>
        <v>0</v>
      </c>
      <c r="W4370">
        <f t="shared" si="275"/>
        <v>0</v>
      </c>
    </row>
    <row r="4371" spans="5:23" x14ac:dyDescent="0.25">
      <c r="E4371" s="4"/>
      <c r="F4371" s="4"/>
      <c r="G4371" s="33" t="str">
        <f>IFERROR(VLOOKUP($D4371,'Informations sur les produits'!$A$3:$H$10000,8,FALSE),"0")</f>
        <v>0</v>
      </c>
      <c r="K4371" s="4"/>
      <c r="L4371" s="33" t="str">
        <f>IFERROR(VLOOKUP($J4371,'Informations sur les produits'!$A$3:$H$10000,8,FALSE),"0")</f>
        <v>0</v>
      </c>
      <c r="N4371" s="8"/>
      <c r="O4371" s="33" t="str">
        <f>IFERROR(VLOOKUP($M4371,'Informations sur les produits'!$A$3:$H$10000,8,FALSE),"0")</f>
        <v>0</v>
      </c>
      <c r="P4371" s="33">
        <f t="shared" si="272"/>
        <v>0</v>
      </c>
      <c r="Q4371" s="31" t="str">
        <f t="shared" si="273"/>
        <v/>
      </c>
      <c r="R4371" s="32" t="str">
        <f>IFERROR(VLOOKUP($D4371,'Informations sur les produits'!$A$3:$B$15000,2,FALSE),"")</f>
        <v/>
      </c>
      <c r="V4371">
        <f t="shared" si="274"/>
        <v>0</v>
      </c>
      <c r="W4371">
        <f t="shared" si="275"/>
        <v>0</v>
      </c>
    </row>
    <row r="4372" spans="5:23" x14ac:dyDescent="0.25">
      <c r="E4372" s="4"/>
      <c r="F4372" s="4"/>
      <c r="G4372" s="33" t="str">
        <f>IFERROR(VLOOKUP($D4372,'Informations sur les produits'!$A$3:$H$10000,8,FALSE),"0")</f>
        <v>0</v>
      </c>
      <c r="K4372" s="4"/>
      <c r="L4372" s="33" t="str">
        <f>IFERROR(VLOOKUP($J4372,'Informations sur les produits'!$A$3:$H$10000,8,FALSE),"0")</f>
        <v>0</v>
      </c>
      <c r="N4372" s="8"/>
      <c r="O4372" s="33" t="str">
        <f>IFERROR(VLOOKUP($M4372,'Informations sur les produits'!$A$3:$H$10000,8,FALSE),"0")</f>
        <v>0</v>
      </c>
      <c r="P4372" s="33">
        <f t="shared" si="272"/>
        <v>0</v>
      </c>
      <c r="Q4372" s="31" t="str">
        <f t="shared" si="273"/>
        <v/>
      </c>
      <c r="R4372" s="32" t="str">
        <f>IFERROR(VLOOKUP($D4372,'Informations sur les produits'!$A$3:$B$15000,2,FALSE),"")</f>
        <v/>
      </c>
      <c r="V4372">
        <f t="shared" si="274"/>
        <v>0</v>
      </c>
      <c r="W4372">
        <f t="shared" si="275"/>
        <v>0</v>
      </c>
    </row>
    <row r="4373" spans="5:23" x14ac:dyDescent="0.25">
      <c r="E4373" s="4"/>
      <c r="F4373" s="4"/>
      <c r="G4373" s="33" t="str">
        <f>IFERROR(VLOOKUP($D4373,'Informations sur les produits'!$A$3:$H$10000,8,FALSE),"0")</f>
        <v>0</v>
      </c>
      <c r="K4373" s="4"/>
      <c r="L4373" s="33" t="str">
        <f>IFERROR(VLOOKUP($J4373,'Informations sur les produits'!$A$3:$H$10000,8,FALSE),"0")</f>
        <v>0</v>
      </c>
      <c r="N4373" s="8"/>
      <c r="O4373" s="33" t="str">
        <f>IFERROR(VLOOKUP($M4373,'Informations sur les produits'!$A$3:$H$10000,8,FALSE),"0")</f>
        <v>0</v>
      </c>
      <c r="P4373" s="33">
        <f t="shared" si="272"/>
        <v>0</v>
      </c>
      <c r="Q4373" s="31" t="str">
        <f t="shared" si="273"/>
        <v/>
      </c>
      <c r="R4373" s="32" t="str">
        <f>IFERROR(VLOOKUP($D4373,'Informations sur les produits'!$A$3:$B$15000,2,FALSE),"")</f>
        <v/>
      </c>
      <c r="V4373">
        <f t="shared" si="274"/>
        <v>0</v>
      </c>
      <c r="W4373">
        <f t="shared" si="275"/>
        <v>0</v>
      </c>
    </row>
    <row r="4374" spans="5:23" x14ac:dyDescent="0.25">
      <c r="E4374" s="4"/>
      <c r="F4374" s="4"/>
      <c r="G4374" s="33" t="str">
        <f>IFERROR(VLOOKUP($D4374,'Informations sur les produits'!$A$3:$H$10000,8,FALSE),"0")</f>
        <v>0</v>
      </c>
      <c r="K4374" s="4"/>
      <c r="L4374" s="33" t="str">
        <f>IFERROR(VLOOKUP($J4374,'Informations sur les produits'!$A$3:$H$10000,8,FALSE),"0")</f>
        <v>0</v>
      </c>
      <c r="N4374" s="8"/>
      <c r="O4374" s="33" t="str">
        <f>IFERROR(VLOOKUP($M4374,'Informations sur les produits'!$A$3:$H$10000,8,FALSE),"0")</f>
        <v>0</v>
      </c>
      <c r="P4374" s="33">
        <f t="shared" si="272"/>
        <v>0</v>
      </c>
      <c r="Q4374" s="31" t="str">
        <f t="shared" si="273"/>
        <v/>
      </c>
      <c r="R4374" s="32" t="str">
        <f>IFERROR(VLOOKUP($D4374,'Informations sur les produits'!$A$3:$B$15000,2,FALSE),"")</f>
        <v/>
      </c>
      <c r="V4374">
        <f t="shared" si="274"/>
        <v>0</v>
      </c>
      <c r="W4374">
        <f t="shared" si="275"/>
        <v>0</v>
      </c>
    </row>
    <row r="4375" spans="5:23" x14ac:dyDescent="0.25">
      <c r="E4375" s="4"/>
      <c r="F4375" s="4"/>
      <c r="G4375" s="33" t="str">
        <f>IFERROR(VLOOKUP($D4375,'Informations sur les produits'!$A$3:$H$10000,8,FALSE),"0")</f>
        <v>0</v>
      </c>
      <c r="K4375" s="4"/>
      <c r="L4375" s="33" t="str">
        <f>IFERROR(VLOOKUP($J4375,'Informations sur les produits'!$A$3:$H$10000,8,FALSE),"0")</f>
        <v>0</v>
      </c>
      <c r="N4375" s="8"/>
      <c r="O4375" s="33" t="str">
        <f>IFERROR(VLOOKUP($M4375,'Informations sur les produits'!$A$3:$H$10000,8,FALSE),"0")</f>
        <v>0</v>
      </c>
      <c r="P4375" s="33">
        <f t="shared" si="272"/>
        <v>0</v>
      </c>
      <c r="Q4375" s="31" t="str">
        <f t="shared" si="273"/>
        <v/>
      </c>
      <c r="R4375" s="32" t="str">
        <f>IFERROR(VLOOKUP($D4375,'Informations sur les produits'!$A$3:$B$15000,2,FALSE),"")</f>
        <v/>
      </c>
      <c r="V4375">
        <f t="shared" si="274"/>
        <v>0</v>
      </c>
      <c r="W4375">
        <f t="shared" si="275"/>
        <v>0</v>
      </c>
    </row>
    <row r="4376" spans="5:23" x14ac:dyDescent="0.25">
      <c r="E4376" s="4"/>
      <c r="F4376" s="4"/>
      <c r="G4376" s="33" t="str">
        <f>IFERROR(VLOOKUP($D4376,'Informations sur les produits'!$A$3:$H$10000,8,FALSE),"0")</f>
        <v>0</v>
      </c>
      <c r="K4376" s="4"/>
      <c r="L4376" s="33" t="str">
        <f>IFERROR(VLOOKUP($J4376,'Informations sur les produits'!$A$3:$H$10000,8,FALSE),"0")</f>
        <v>0</v>
      </c>
      <c r="N4376" s="8"/>
      <c r="O4376" s="33" t="str">
        <f>IFERROR(VLOOKUP($M4376,'Informations sur les produits'!$A$3:$H$10000,8,FALSE),"0")</f>
        <v>0</v>
      </c>
      <c r="P4376" s="33">
        <f t="shared" si="272"/>
        <v>0</v>
      </c>
      <c r="Q4376" s="31" t="str">
        <f t="shared" si="273"/>
        <v/>
      </c>
      <c r="R4376" s="32" t="str">
        <f>IFERROR(VLOOKUP($D4376,'Informations sur les produits'!$A$3:$B$15000,2,FALSE),"")</f>
        <v/>
      </c>
      <c r="V4376">
        <f t="shared" si="274"/>
        <v>0</v>
      </c>
      <c r="W4376">
        <f t="shared" si="275"/>
        <v>0</v>
      </c>
    </row>
    <row r="4377" spans="5:23" x14ac:dyDescent="0.25">
      <c r="E4377" s="4"/>
      <c r="F4377" s="4"/>
      <c r="G4377" s="33" t="str">
        <f>IFERROR(VLOOKUP($D4377,'Informations sur les produits'!$A$3:$H$10000,8,FALSE),"0")</f>
        <v>0</v>
      </c>
      <c r="K4377" s="4"/>
      <c r="L4377" s="33" t="str">
        <f>IFERROR(VLOOKUP($J4377,'Informations sur les produits'!$A$3:$H$10000,8,FALSE),"0")</f>
        <v>0</v>
      </c>
      <c r="N4377" s="8"/>
      <c r="O4377" s="33" t="str">
        <f>IFERROR(VLOOKUP($M4377,'Informations sur les produits'!$A$3:$H$10000,8,FALSE),"0")</f>
        <v>0</v>
      </c>
      <c r="P4377" s="33">
        <f t="shared" si="272"/>
        <v>0</v>
      </c>
      <c r="Q4377" s="31" t="str">
        <f t="shared" si="273"/>
        <v/>
      </c>
      <c r="R4377" s="32" t="str">
        <f>IFERROR(VLOOKUP($D4377,'Informations sur les produits'!$A$3:$B$15000,2,FALSE),"")</f>
        <v/>
      </c>
      <c r="V4377">
        <f t="shared" si="274"/>
        <v>0</v>
      </c>
      <c r="W4377">
        <f t="shared" si="275"/>
        <v>0</v>
      </c>
    </row>
    <row r="4378" spans="5:23" x14ac:dyDescent="0.25">
      <c r="E4378" s="4"/>
      <c r="F4378" s="4"/>
      <c r="G4378" s="33" t="str">
        <f>IFERROR(VLOOKUP($D4378,'Informations sur les produits'!$A$3:$H$10000,8,FALSE),"0")</f>
        <v>0</v>
      </c>
      <c r="K4378" s="4"/>
      <c r="L4378" s="33" t="str">
        <f>IFERROR(VLOOKUP($J4378,'Informations sur les produits'!$A$3:$H$10000,8,FALSE),"0")</f>
        <v>0</v>
      </c>
      <c r="N4378" s="8"/>
      <c r="O4378" s="33" t="str">
        <f>IFERROR(VLOOKUP($M4378,'Informations sur les produits'!$A$3:$H$10000,8,FALSE),"0")</f>
        <v>0</v>
      </c>
      <c r="P4378" s="33">
        <f t="shared" si="272"/>
        <v>0</v>
      </c>
      <c r="Q4378" s="31" t="str">
        <f t="shared" si="273"/>
        <v/>
      </c>
      <c r="R4378" s="32" t="str">
        <f>IFERROR(VLOOKUP($D4378,'Informations sur les produits'!$A$3:$B$15000,2,FALSE),"")</f>
        <v/>
      </c>
      <c r="V4378">
        <f t="shared" si="274"/>
        <v>0</v>
      </c>
      <c r="W4378">
        <f t="shared" si="275"/>
        <v>0</v>
      </c>
    </row>
    <row r="4379" spans="5:23" x14ac:dyDescent="0.25">
      <c r="E4379" s="4"/>
      <c r="F4379" s="4"/>
      <c r="G4379" s="33" t="str">
        <f>IFERROR(VLOOKUP($D4379,'Informations sur les produits'!$A$3:$H$10000,8,FALSE),"0")</f>
        <v>0</v>
      </c>
      <c r="K4379" s="4"/>
      <c r="L4379" s="33" t="str">
        <f>IFERROR(VLOOKUP($J4379,'Informations sur les produits'!$A$3:$H$10000,8,FALSE),"0")</f>
        <v>0</v>
      </c>
      <c r="N4379" s="8"/>
      <c r="O4379" s="33" t="str">
        <f>IFERROR(VLOOKUP($M4379,'Informations sur les produits'!$A$3:$H$10000,8,FALSE),"0")</f>
        <v>0</v>
      </c>
      <c r="P4379" s="33">
        <f t="shared" si="272"/>
        <v>0</v>
      </c>
      <c r="Q4379" s="31" t="str">
        <f t="shared" si="273"/>
        <v/>
      </c>
      <c r="R4379" s="32" t="str">
        <f>IFERROR(VLOOKUP($D4379,'Informations sur les produits'!$A$3:$B$15000,2,FALSE),"")</f>
        <v/>
      </c>
      <c r="V4379">
        <f t="shared" si="274"/>
        <v>0</v>
      </c>
      <c r="W4379">
        <f t="shared" si="275"/>
        <v>0</v>
      </c>
    </row>
    <row r="4380" spans="5:23" x14ac:dyDescent="0.25">
      <c r="E4380" s="4"/>
      <c r="F4380" s="4"/>
      <c r="G4380" s="33" t="str">
        <f>IFERROR(VLOOKUP($D4380,'Informations sur les produits'!$A$3:$H$10000,8,FALSE),"0")</f>
        <v>0</v>
      </c>
      <c r="K4380" s="4"/>
      <c r="L4380" s="33" t="str">
        <f>IFERROR(VLOOKUP($J4380,'Informations sur les produits'!$A$3:$H$10000,8,FALSE),"0")</f>
        <v>0</v>
      </c>
      <c r="N4380" s="8"/>
      <c r="O4380" s="33" t="str">
        <f>IFERROR(VLOOKUP($M4380,'Informations sur les produits'!$A$3:$H$10000,8,FALSE),"0")</f>
        <v>0</v>
      </c>
      <c r="P4380" s="33">
        <f t="shared" si="272"/>
        <v>0</v>
      </c>
      <c r="Q4380" s="31" t="str">
        <f t="shared" si="273"/>
        <v/>
      </c>
      <c r="R4380" s="32" t="str">
        <f>IFERROR(VLOOKUP($D4380,'Informations sur les produits'!$A$3:$B$15000,2,FALSE),"")</f>
        <v/>
      </c>
      <c r="V4380">
        <f t="shared" si="274"/>
        <v>0</v>
      </c>
      <c r="W4380">
        <f t="shared" si="275"/>
        <v>0</v>
      </c>
    </row>
    <row r="4381" spans="5:23" x14ac:dyDescent="0.25">
      <c r="E4381" s="4"/>
      <c r="F4381" s="4"/>
      <c r="G4381" s="33" t="str">
        <f>IFERROR(VLOOKUP($D4381,'Informations sur les produits'!$A$3:$H$10000,8,FALSE),"0")</f>
        <v>0</v>
      </c>
      <c r="K4381" s="4"/>
      <c r="L4381" s="33" t="str">
        <f>IFERROR(VLOOKUP($J4381,'Informations sur les produits'!$A$3:$H$10000,8,FALSE),"0")</f>
        <v>0</v>
      </c>
      <c r="N4381" s="8"/>
      <c r="O4381" s="33" t="str">
        <f>IFERROR(VLOOKUP($M4381,'Informations sur les produits'!$A$3:$H$10000,8,FALSE),"0")</f>
        <v>0</v>
      </c>
      <c r="P4381" s="33">
        <f t="shared" si="272"/>
        <v>0</v>
      </c>
      <c r="Q4381" s="31" t="str">
        <f t="shared" si="273"/>
        <v/>
      </c>
      <c r="R4381" s="32" t="str">
        <f>IFERROR(VLOOKUP($D4381,'Informations sur les produits'!$A$3:$B$15000,2,FALSE),"")</f>
        <v/>
      </c>
      <c r="V4381">
        <f t="shared" si="274"/>
        <v>0</v>
      </c>
      <c r="W4381">
        <f t="shared" si="275"/>
        <v>0</v>
      </c>
    </row>
    <row r="4382" spans="5:23" x14ac:dyDescent="0.25">
      <c r="E4382" s="4"/>
      <c r="F4382" s="4"/>
      <c r="G4382" s="33" t="str">
        <f>IFERROR(VLOOKUP($D4382,'Informations sur les produits'!$A$3:$H$10000,8,FALSE),"0")</f>
        <v>0</v>
      </c>
      <c r="K4382" s="4"/>
      <c r="L4382" s="33" t="str">
        <f>IFERROR(VLOOKUP($J4382,'Informations sur les produits'!$A$3:$H$10000,8,FALSE),"0")</f>
        <v>0</v>
      </c>
      <c r="N4382" s="8"/>
      <c r="O4382" s="33" t="str">
        <f>IFERROR(VLOOKUP($M4382,'Informations sur les produits'!$A$3:$H$10000,8,FALSE),"0")</f>
        <v>0</v>
      </c>
      <c r="P4382" s="33">
        <f t="shared" si="272"/>
        <v>0</v>
      </c>
      <c r="Q4382" s="31" t="str">
        <f t="shared" si="273"/>
        <v/>
      </c>
      <c r="R4382" s="32" t="str">
        <f>IFERROR(VLOOKUP($D4382,'Informations sur les produits'!$A$3:$B$15000,2,FALSE),"")</f>
        <v/>
      </c>
      <c r="V4382">
        <f t="shared" si="274"/>
        <v>0</v>
      </c>
      <c r="W4382">
        <f t="shared" si="275"/>
        <v>0</v>
      </c>
    </row>
    <row r="4383" spans="5:23" x14ac:dyDescent="0.25">
      <c r="E4383" s="4"/>
      <c r="F4383" s="4"/>
      <c r="G4383" s="33" t="str">
        <f>IFERROR(VLOOKUP($D4383,'Informations sur les produits'!$A$3:$H$10000,8,FALSE),"0")</f>
        <v>0</v>
      </c>
      <c r="K4383" s="4"/>
      <c r="L4383" s="33" t="str">
        <f>IFERROR(VLOOKUP($J4383,'Informations sur les produits'!$A$3:$H$10000,8,FALSE),"0")</f>
        <v>0</v>
      </c>
      <c r="N4383" s="8"/>
      <c r="O4383" s="33" t="str">
        <f>IFERROR(VLOOKUP($M4383,'Informations sur les produits'!$A$3:$H$10000,8,FALSE),"0")</f>
        <v>0</v>
      </c>
      <c r="P4383" s="33">
        <f t="shared" si="272"/>
        <v>0</v>
      </c>
      <c r="Q4383" s="31" t="str">
        <f t="shared" si="273"/>
        <v/>
      </c>
      <c r="R4383" s="32" t="str">
        <f>IFERROR(VLOOKUP($D4383,'Informations sur les produits'!$A$3:$B$15000,2,FALSE),"")</f>
        <v/>
      </c>
      <c r="V4383">
        <f t="shared" si="274"/>
        <v>0</v>
      </c>
      <c r="W4383">
        <f t="shared" si="275"/>
        <v>0</v>
      </c>
    </row>
    <row r="4384" spans="5:23" x14ac:dyDescent="0.25">
      <c r="E4384" s="4"/>
      <c r="F4384" s="4"/>
      <c r="G4384" s="33" t="str">
        <f>IFERROR(VLOOKUP($D4384,'Informations sur les produits'!$A$3:$H$10000,8,FALSE),"0")</f>
        <v>0</v>
      </c>
      <c r="K4384" s="4"/>
      <c r="L4384" s="33" t="str">
        <f>IFERROR(VLOOKUP($J4384,'Informations sur les produits'!$A$3:$H$10000,8,FALSE),"0")</f>
        <v>0</v>
      </c>
      <c r="N4384" s="8"/>
      <c r="O4384" s="33" t="str">
        <f>IFERROR(VLOOKUP($M4384,'Informations sur les produits'!$A$3:$H$10000,8,FALSE),"0")</f>
        <v>0</v>
      </c>
      <c r="P4384" s="33">
        <f t="shared" si="272"/>
        <v>0</v>
      </c>
      <c r="Q4384" s="31" t="str">
        <f t="shared" si="273"/>
        <v/>
      </c>
      <c r="R4384" s="32" t="str">
        <f>IFERROR(VLOOKUP($D4384,'Informations sur les produits'!$A$3:$B$15000,2,FALSE),"")</f>
        <v/>
      </c>
      <c r="V4384">
        <f t="shared" si="274"/>
        <v>0</v>
      </c>
      <c r="W4384">
        <f t="shared" si="275"/>
        <v>0</v>
      </c>
    </row>
    <row r="4385" spans="5:23" x14ac:dyDescent="0.25">
      <c r="E4385" s="4"/>
      <c r="F4385" s="4"/>
      <c r="G4385" s="33" t="str">
        <f>IFERROR(VLOOKUP($D4385,'Informations sur les produits'!$A$3:$H$10000,8,FALSE),"0")</f>
        <v>0</v>
      </c>
      <c r="K4385" s="4"/>
      <c r="L4385" s="33" t="str">
        <f>IFERROR(VLOOKUP($J4385,'Informations sur les produits'!$A$3:$H$10000,8,FALSE),"0")</f>
        <v>0</v>
      </c>
      <c r="N4385" s="8"/>
      <c r="O4385" s="33" t="str">
        <f>IFERROR(VLOOKUP($M4385,'Informations sur les produits'!$A$3:$H$10000,8,FALSE),"0")</f>
        <v>0</v>
      </c>
      <c r="P4385" s="33">
        <f t="shared" si="272"/>
        <v>0</v>
      </c>
      <c r="Q4385" s="31" t="str">
        <f t="shared" si="273"/>
        <v/>
      </c>
      <c r="R4385" s="32" t="str">
        <f>IFERROR(VLOOKUP($D4385,'Informations sur les produits'!$A$3:$B$15000,2,FALSE),"")</f>
        <v/>
      </c>
      <c r="V4385">
        <f t="shared" si="274"/>
        <v>0</v>
      </c>
      <c r="W4385">
        <f t="shared" si="275"/>
        <v>0</v>
      </c>
    </row>
    <row r="4386" spans="5:23" x14ac:dyDescent="0.25">
      <c r="E4386" s="4"/>
      <c r="F4386" s="4"/>
      <c r="G4386" s="33" t="str">
        <f>IFERROR(VLOOKUP($D4386,'Informations sur les produits'!$A$3:$H$10000,8,FALSE),"0")</f>
        <v>0</v>
      </c>
      <c r="K4386" s="4"/>
      <c r="L4386" s="33" t="str">
        <f>IFERROR(VLOOKUP($J4386,'Informations sur les produits'!$A$3:$H$10000,8,FALSE),"0")</f>
        <v>0</v>
      </c>
      <c r="N4386" s="8"/>
      <c r="O4386" s="33" t="str">
        <f>IFERROR(VLOOKUP($M4386,'Informations sur les produits'!$A$3:$H$10000,8,FALSE),"0")</f>
        <v>0</v>
      </c>
      <c r="P4386" s="33">
        <f t="shared" si="272"/>
        <v>0</v>
      </c>
      <c r="Q4386" s="31" t="str">
        <f t="shared" si="273"/>
        <v/>
      </c>
      <c r="R4386" s="32" t="str">
        <f>IFERROR(VLOOKUP($D4386,'Informations sur les produits'!$A$3:$B$15000,2,FALSE),"")</f>
        <v/>
      </c>
      <c r="V4386">
        <f t="shared" si="274"/>
        <v>0</v>
      </c>
      <c r="W4386">
        <f t="shared" si="275"/>
        <v>0</v>
      </c>
    </row>
    <row r="4387" spans="5:23" x14ac:dyDescent="0.25">
      <c r="E4387" s="4"/>
      <c r="F4387" s="4"/>
      <c r="G4387" s="33" t="str">
        <f>IFERROR(VLOOKUP($D4387,'Informations sur les produits'!$A$3:$H$10000,8,FALSE),"0")</f>
        <v>0</v>
      </c>
      <c r="K4387" s="4"/>
      <c r="L4387" s="33" t="str">
        <f>IFERROR(VLOOKUP($J4387,'Informations sur les produits'!$A$3:$H$10000,8,FALSE),"0")</f>
        <v>0</v>
      </c>
      <c r="N4387" s="8"/>
      <c r="O4387" s="33" t="str">
        <f>IFERROR(VLOOKUP($M4387,'Informations sur les produits'!$A$3:$H$10000,8,FALSE),"0")</f>
        <v>0</v>
      </c>
      <c r="P4387" s="33">
        <f t="shared" si="272"/>
        <v>0</v>
      </c>
      <c r="Q4387" s="31" t="str">
        <f t="shared" si="273"/>
        <v/>
      </c>
      <c r="R4387" s="32" t="str">
        <f>IFERROR(VLOOKUP($D4387,'Informations sur les produits'!$A$3:$B$15000,2,FALSE),"")</f>
        <v/>
      </c>
      <c r="V4387">
        <f t="shared" si="274"/>
        <v>0</v>
      </c>
      <c r="W4387">
        <f t="shared" si="275"/>
        <v>0</v>
      </c>
    </row>
    <row r="4388" spans="5:23" x14ac:dyDescent="0.25">
      <c r="E4388" s="4"/>
      <c r="F4388" s="4"/>
      <c r="G4388" s="33" t="str">
        <f>IFERROR(VLOOKUP($D4388,'Informations sur les produits'!$A$3:$H$10000,8,FALSE),"0")</f>
        <v>0</v>
      </c>
      <c r="K4388" s="4"/>
      <c r="L4388" s="33" t="str">
        <f>IFERROR(VLOOKUP($J4388,'Informations sur les produits'!$A$3:$H$10000,8,FALSE),"0")</f>
        <v>0</v>
      </c>
      <c r="N4388" s="8"/>
      <c r="O4388" s="33" t="str">
        <f>IFERROR(VLOOKUP($M4388,'Informations sur les produits'!$A$3:$H$10000,8,FALSE),"0")</f>
        <v>0</v>
      </c>
      <c r="P4388" s="33">
        <f t="shared" si="272"/>
        <v>0</v>
      </c>
      <c r="Q4388" s="31" t="str">
        <f t="shared" si="273"/>
        <v/>
      </c>
      <c r="R4388" s="32" t="str">
        <f>IFERROR(VLOOKUP($D4388,'Informations sur les produits'!$A$3:$B$15000,2,FALSE),"")</f>
        <v/>
      </c>
      <c r="V4388">
        <f t="shared" si="274"/>
        <v>0</v>
      </c>
      <c r="W4388">
        <f t="shared" si="275"/>
        <v>0</v>
      </c>
    </row>
    <row r="4389" spans="5:23" x14ac:dyDescent="0.25">
      <c r="E4389" s="4"/>
      <c r="F4389" s="4"/>
      <c r="G4389" s="33" t="str">
        <f>IFERROR(VLOOKUP($D4389,'Informations sur les produits'!$A$3:$H$10000,8,FALSE),"0")</f>
        <v>0</v>
      </c>
      <c r="K4389" s="4"/>
      <c r="L4389" s="33" t="str">
        <f>IFERROR(VLOOKUP($J4389,'Informations sur les produits'!$A$3:$H$10000,8,FALSE),"0")</f>
        <v>0</v>
      </c>
      <c r="N4389" s="8"/>
      <c r="O4389" s="33" t="str">
        <f>IFERROR(VLOOKUP($M4389,'Informations sur les produits'!$A$3:$H$10000,8,FALSE),"0")</f>
        <v>0</v>
      </c>
      <c r="P4389" s="33">
        <f t="shared" si="272"/>
        <v>0</v>
      </c>
      <c r="Q4389" s="31" t="str">
        <f t="shared" si="273"/>
        <v/>
      </c>
      <c r="R4389" s="32" t="str">
        <f>IFERROR(VLOOKUP($D4389,'Informations sur les produits'!$A$3:$B$15000,2,FALSE),"")</f>
        <v/>
      </c>
      <c r="V4389">
        <f t="shared" si="274"/>
        <v>0</v>
      </c>
      <c r="W4389">
        <f t="shared" si="275"/>
        <v>0</v>
      </c>
    </row>
    <row r="4390" spans="5:23" x14ac:dyDescent="0.25">
      <c r="E4390" s="4"/>
      <c r="F4390" s="4"/>
      <c r="G4390" s="33" t="str">
        <f>IFERROR(VLOOKUP($D4390,'Informations sur les produits'!$A$3:$H$10000,8,FALSE),"0")</f>
        <v>0</v>
      </c>
      <c r="K4390" s="4"/>
      <c r="L4390" s="33" t="str">
        <f>IFERROR(VLOOKUP($J4390,'Informations sur les produits'!$A$3:$H$10000,8,FALSE),"0")</f>
        <v>0</v>
      </c>
      <c r="N4390" s="8"/>
      <c r="O4390" s="33" t="str">
        <f>IFERROR(VLOOKUP($M4390,'Informations sur les produits'!$A$3:$H$10000,8,FALSE),"0")</f>
        <v>0</v>
      </c>
      <c r="P4390" s="33">
        <f t="shared" si="272"/>
        <v>0</v>
      </c>
      <c r="Q4390" s="31" t="str">
        <f t="shared" si="273"/>
        <v/>
      </c>
      <c r="R4390" s="32" t="str">
        <f>IFERROR(VLOOKUP($D4390,'Informations sur les produits'!$A$3:$B$15000,2,FALSE),"")</f>
        <v/>
      </c>
      <c r="V4390">
        <f t="shared" si="274"/>
        <v>0</v>
      </c>
      <c r="W4390">
        <f t="shared" si="275"/>
        <v>0</v>
      </c>
    </row>
    <row r="4391" spans="5:23" x14ac:dyDescent="0.25">
      <c r="E4391" s="4"/>
      <c r="F4391" s="4"/>
      <c r="G4391" s="33" t="str">
        <f>IFERROR(VLOOKUP($D4391,'Informations sur les produits'!$A$3:$H$10000,8,FALSE),"0")</f>
        <v>0</v>
      </c>
      <c r="K4391" s="4"/>
      <c r="L4391" s="33" t="str">
        <f>IFERROR(VLOOKUP($J4391,'Informations sur les produits'!$A$3:$H$10000,8,FALSE),"0")</f>
        <v>0</v>
      </c>
      <c r="N4391" s="8"/>
      <c r="O4391" s="33" t="str">
        <f>IFERROR(VLOOKUP($M4391,'Informations sur les produits'!$A$3:$H$10000,8,FALSE),"0")</f>
        <v>0</v>
      </c>
      <c r="P4391" s="33">
        <f t="shared" si="272"/>
        <v>0</v>
      </c>
      <c r="Q4391" s="31" t="str">
        <f t="shared" si="273"/>
        <v/>
      </c>
      <c r="R4391" s="32" t="str">
        <f>IFERROR(VLOOKUP($D4391,'Informations sur les produits'!$A$3:$B$15000,2,FALSE),"")</f>
        <v/>
      </c>
      <c r="V4391">
        <f t="shared" si="274"/>
        <v>0</v>
      </c>
      <c r="W4391">
        <f t="shared" si="275"/>
        <v>0</v>
      </c>
    </row>
    <row r="4392" spans="5:23" x14ac:dyDescent="0.25">
      <c r="E4392" s="4"/>
      <c r="F4392" s="4"/>
      <c r="G4392" s="33" t="str">
        <f>IFERROR(VLOOKUP($D4392,'Informations sur les produits'!$A$3:$H$10000,8,FALSE),"0")</f>
        <v>0</v>
      </c>
      <c r="K4392" s="4"/>
      <c r="L4392" s="33" t="str">
        <f>IFERROR(VLOOKUP($J4392,'Informations sur les produits'!$A$3:$H$10000,8,FALSE),"0")</f>
        <v>0</v>
      </c>
      <c r="N4392" s="8"/>
      <c r="O4392" s="33" t="str">
        <f>IFERROR(VLOOKUP($M4392,'Informations sur les produits'!$A$3:$H$10000,8,FALSE),"0")</f>
        <v>0</v>
      </c>
      <c r="P4392" s="33">
        <f t="shared" si="272"/>
        <v>0</v>
      </c>
      <c r="Q4392" s="31" t="str">
        <f t="shared" si="273"/>
        <v/>
      </c>
      <c r="R4392" s="32" t="str">
        <f>IFERROR(VLOOKUP($D4392,'Informations sur les produits'!$A$3:$B$15000,2,FALSE),"")</f>
        <v/>
      </c>
      <c r="V4392">
        <f t="shared" si="274"/>
        <v>0</v>
      </c>
      <c r="W4392">
        <f t="shared" si="275"/>
        <v>0</v>
      </c>
    </row>
    <row r="4393" spans="5:23" x14ac:dyDescent="0.25">
      <c r="E4393" s="4"/>
      <c r="F4393" s="4"/>
      <c r="G4393" s="33" t="str">
        <f>IFERROR(VLOOKUP($D4393,'Informations sur les produits'!$A$3:$H$10000,8,FALSE),"0")</f>
        <v>0</v>
      </c>
      <c r="K4393" s="4"/>
      <c r="L4393" s="33" t="str">
        <f>IFERROR(VLOOKUP($J4393,'Informations sur les produits'!$A$3:$H$10000,8,FALSE),"0")</f>
        <v>0</v>
      </c>
      <c r="N4393" s="8"/>
      <c r="O4393" s="33" t="str">
        <f>IFERROR(VLOOKUP($M4393,'Informations sur les produits'!$A$3:$H$10000,8,FALSE),"0")</f>
        <v>0</v>
      </c>
      <c r="P4393" s="33">
        <f t="shared" si="272"/>
        <v>0</v>
      </c>
      <c r="Q4393" s="31" t="str">
        <f t="shared" si="273"/>
        <v/>
      </c>
      <c r="R4393" s="32" t="str">
        <f>IFERROR(VLOOKUP($D4393,'Informations sur les produits'!$A$3:$B$15000,2,FALSE),"")</f>
        <v/>
      </c>
      <c r="V4393">
        <f t="shared" si="274"/>
        <v>0</v>
      </c>
      <c r="W4393">
        <f t="shared" si="275"/>
        <v>0</v>
      </c>
    </row>
    <row r="4394" spans="5:23" x14ac:dyDescent="0.25">
      <c r="E4394" s="4"/>
      <c r="F4394" s="4"/>
      <c r="G4394" s="33" t="str">
        <f>IFERROR(VLOOKUP($D4394,'Informations sur les produits'!$A$3:$H$10000,8,FALSE),"0")</f>
        <v>0</v>
      </c>
      <c r="K4394" s="4"/>
      <c r="L4394" s="33" t="str">
        <f>IFERROR(VLOOKUP($J4394,'Informations sur les produits'!$A$3:$H$10000,8,FALSE),"0")</f>
        <v>0</v>
      </c>
      <c r="N4394" s="8"/>
      <c r="O4394" s="33" t="str">
        <f>IFERROR(VLOOKUP($M4394,'Informations sur les produits'!$A$3:$H$10000,8,FALSE),"0")</f>
        <v>0</v>
      </c>
      <c r="P4394" s="33">
        <f t="shared" si="272"/>
        <v>0</v>
      </c>
      <c r="Q4394" s="31" t="str">
        <f t="shared" si="273"/>
        <v/>
      </c>
      <c r="R4394" s="32" t="str">
        <f>IFERROR(VLOOKUP($D4394,'Informations sur les produits'!$A$3:$B$15000,2,FALSE),"")</f>
        <v/>
      </c>
      <c r="V4394">
        <f t="shared" si="274"/>
        <v>0</v>
      </c>
      <c r="W4394">
        <f t="shared" si="275"/>
        <v>0</v>
      </c>
    </row>
    <row r="4395" spans="5:23" x14ac:dyDescent="0.25">
      <c r="E4395" s="4"/>
      <c r="F4395" s="4"/>
      <c r="G4395" s="33" t="str">
        <f>IFERROR(VLOOKUP($D4395,'Informations sur les produits'!$A$3:$H$10000,8,FALSE),"0")</f>
        <v>0</v>
      </c>
      <c r="K4395" s="4"/>
      <c r="L4395" s="33" t="str">
        <f>IFERROR(VLOOKUP($J4395,'Informations sur les produits'!$A$3:$H$10000,8,FALSE),"0")</f>
        <v>0</v>
      </c>
      <c r="N4395" s="8"/>
      <c r="O4395" s="33" t="str">
        <f>IFERROR(VLOOKUP($M4395,'Informations sur les produits'!$A$3:$H$10000,8,FALSE),"0")</f>
        <v>0</v>
      </c>
      <c r="P4395" s="33">
        <f t="shared" si="272"/>
        <v>0</v>
      </c>
      <c r="Q4395" s="31" t="str">
        <f t="shared" si="273"/>
        <v/>
      </c>
      <c r="R4395" s="32" t="str">
        <f>IFERROR(VLOOKUP($D4395,'Informations sur les produits'!$A$3:$B$15000,2,FALSE),"")</f>
        <v/>
      </c>
      <c r="V4395">
        <f t="shared" si="274"/>
        <v>0</v>
      </c>
      <c r="W4395">
        <f t="shared" si="275"/>
        <v>0</v>
      </c>
    </row>
    <row r="4396" spans="5:23" x14ac:dyDescent="0.25">
      <c r="E4396" s="4"/>
      <c r="F4396" s="4"/>
      <c r="G4396" s="33" t="str">
        <f>IFERROR(VLOOKUP($D4396,'Informations sur les produits'!$A$3:$H$10000,8,FALSE),"0")</f>
        <v>0</v>
      </c>
      <c r="K4396" s="4"/>
      <c r="L4396" s="33" t="str">
        <f>IFERROR(VLOOKUP($J4396,'Informations sur les produits'!$A$3:$H$10000,8,FALSE),"0")</f>
        <v>0</v>
      </c>
      <c r="N4396" s="8"/>
      <c r="O4396" s="33" t="str">
        <f>IFERROR(VLOOKUP($M4396,'Informations sur les produits'!$A$3:$H$10000,8,FALSE),"0")</f>
        <v>0</v>
      </c>
      <c r="P4396" s="33">
        <f t="shared" si="272"/>
        <v>0</v>
      </c>
      <c r="Q4396" s="31" t="str">
        <f t="shared" si="273"/>
        <v/>
      </c>
      <c r="R4396" s="32" t="str">
        <f>IFERROR(VLOOKUP($D4396,'Informations sur les produits'!$A$3:$B$15000,2,FALSE),"")</f>
        <v/>
      </c>
      <c r="V4396">
        <f t="shared" si="274"/>
        <v>0</v>
      </c>
      <c r="W4396">
        <f t="shared" si="275"/>
        <v>0</v>
      </c>
    </row>
    <row r="4397" spans="5:23" x14ac:dyDescent="0.25">
      <c r="E4397" s="4"/>
      <c r="F4397" s="4"/>
      <c r="G4397" s="33" t="str">
        <f>IFERROR(VLOOKUP($D4397,'Informations sur les produits'!$A$3:$H$10000,8,FALSE),"0")</f>
        <v>0</v>
      </c>
      <c r="K4397" s="4"/>
      <c r="L4397" s="33" t="str">
        <f>IFERROR(VLOOKUP($J4397,'Informations sur les produits'!$A$3:$H$10000,8,FALSE),"0")</f>
        <v>0</v>
      </c>
      <c r="N4397" s="8"/>
      <c r="O4397" s="33" t="str">
        <f>IFERROR(VLOOKUP($M4397,'Informations sur les produits'!$A$3:$H$10000,8,FALSE),"0")</f>
        <v>0</v>
      </c>
      <c r="P4397" s="33">
        <f t="shared" si="272"/>
        <v>0</v>
      </c>
      <c r="Q4397" s="31" t="str">
        <f t="shared" si="273"/>
        <v/>
      </c>
      <c r="R4397" s="32" t="str">
        <f>IFERROR(VLOOKUP($D4397,'Informations sur les produits'!$A$3:$B$15000,2,FALSE),"")</f>
        <v/>
      </c>
      <c r="V4397">
        <f t="shared" si="274"/>
        <v>0</v>
      </c>
      <c r="W4397">
        <f t="shared" si="275"/>
        <v>0</v>
      </c>
    </row>
    <row r="4398" spans="5:23" x14ac:dyDescent="0.25">
      <c r="E4398" s="4"/>
      <c r="F4398" s="4"/>
      <c r="G4398" s="33" t="str">
        <f>IFERROR(VLOOKUP($D4398,'Informations sur les produits'!$A$3:$H$10000,8,FALSE),"0")</f>
        <v>0</v>
      </c>
      <c r="K4398" s="4"/>
      <c r="L4398" s="33" t="str">
        <f>IFERROR(VLOOKUP($J4398,'Informations sur les produits'!$A$3:$H$10000,8,FALSE),"0")</f>
        <v>0</v>
      </c>
      <c r="N4398" s="8"/>
      <c r="O4398" s="33" t="str">
        <f>IFERROR(VLOOKUP($M4398,'Informations sur les produits'!$A$3:$H$10000,8,FALSE),"0")</f>
        <v>0</v>
      </c>
      <c r="P4398" s="33">
        <f t="shared" si="272"/>
        <v>0</v>
      </c>
      <c r="Q4398" s="31" t="str">
        <f t="shared" si="273"/>
        <v/>
      </c>
      <c r="R4398" s="32" t="str">
        <f>IFERROR(VLOOKUP($D4398,'Informations sur les produits'!$A$3:$B$15000,2,FALSE),"")</f>
        <v/>
      </c>
      <c r="V4398">
        <f t="shared" si="274"/>
        <v>0</v>
      </c>
      <c r="W4398">
        <f t="shared" si="275"/>
        <v>0</v>
      </c>
    </row>
    <row r="4399" spans="5:23" x14ac:dyDescent="0.25">
      <c r="E4399" s="4"/>
      <c r="F4399" s="4"/>
      <c r="G4399" s="33" t="str">
        <f>IFERROR(VLOOKUP($D4399,'Informations sur les produits'!$A$3:$H$10000,8,FALSE),"0")</f>
        <v>0</v>
      </c>
      <c r="K4399" s="4"/>
      <c r="L4399" s="33" t="str">
        <f>IFERROR(VLOOKUP($J4399,'Informations sur les produits'!$A$3:$H$10000,8,FALSE),"0")</f>
        <v>0</v>
      </c>
      <c r="N4399" s="8"/>
      <c r="O4399" s="33" t="str">
        <f>IFERROR(VLOOKUP($M4399,'Informations sur les produits'!$A$3:$H$10000,8,FALSE),"0")</f>
        <v>0</v>
      </c>
      <c r="P4399" s="33">
        <f t="shared" si="272"/>
        <v>0</v>
      </c>
      <c r="Q4399" s="31" t="str">
        <f t="shared" si="273"/>
        <v/>
      </c>
      <c r="R4399" s="32" t="str">
        <f>IFERROR(VLOOKUP($D4399,'Informations sur les produits'!$A$3:$B$15000,2,FALSE),"")</f>
        <v/>
      </c>
      <c r="V4399">
        <f t="shared" si="274"/>
        <v>0</v>
      </c>
      <c r="W4399">
        <f t="shared" si="275"/>
        <v>0</v>
      </c>
    </row>
    <row r="4400" spans="5:23" x14ac:dyDescent="0.25">
      <c r="E4400" s="4"/>
      <c r="F4400" s="4"/>
      <c r="G4400" s="33" t="str">
        <f>IFERROR(VLOOKUP($D4400,'Informations sur les produits'!$A$3:$H$10000,8,FALSE),"0")</f>
        <v>0</v>
      </c>
      <c r="K4400" s="4"/>
      <c r="L4400" s="33" t="str">
        <f>IFERROR(VLOOKUP($J4400,'Informations sur les produits'!$A$3:$H$10000,8,FALSE),"0")</f>
        <v>0</v>
      </c>
      <c r="N4400" s="8"/>
      <c r="O4400" s="33" t="str">
        <f>IFERROR(VLOOKUP($M4400,'Informations sur les produits'!$A$3:$H$10000,8,FALSE),"0")</f>
        <v>0</v>
      </c>
      <c r="P4400" s="33">
        <f t="shared" si="272"/>
        <v>0</v>
      </c>
      <c r="Q4400" s="31" t="str">
        <f t="shared" si="273"/>
        <v/>
      </c>
      <c r="R4400" s="32" t="str">
        <f>IFERROR(VLOOKUP($D4400,'Informations sur les produits'!$A$3:$B$15000,2,FALSE),"")</f>
        <v/>
      </c>
      <c r="V4400">
        <f t="shared" si="274"/>
        <v>0</v>
      </c>
      <c r="W4400">
        <f t="shared" si="275"/>
        <v>0</v>
      </c>
    </row>
    <row r="4401" spans="5:23" x14ac:dyDescent="0.25">
      <c r="E4401" s="4"/>
      <c r="F4401" s="4"/>
      <c r="G4401" s="33" t="str">
        <f>IFERROR(VLOOKUP($D4401,'Informations sur les produits'!$A$3:$H$10000,8,FALSE),"0")</f>
        <v>0</v>
      </c>
      <c r="K4401" s="4"/>
      <c r="L4401" s="33" t="str">
        <f>IFERROR(VLOOKUP($J4401,'Informations sur les produits'!$A$3:$H$10000,8,FALSE),"0")</f>
        <v>0</v>
      </c>
      <c r="N4401" s="8"/>
      <c r="O4401" s="33" t="str">
        <f>IFERROR(VLOOKUP($M4401,'Informations sur les produits'!$A$3:$H$10000,8,FALSE),"0")</f>
        <v>0</v>
      </c>
      <c r="P4401" s="33">
        <f t="shared" si="272"/>
        <v>0</v>
      </c>
      <c r="Q4401" s="31" t="str">
        <f t="shared" si="273"/>
        <v/>
      </c>
      <c r="R4401" s="32" t="str">
        <f>IFERROR(VLOOKUP($D4401,'Informations sur les produits'!$A$3:$B$15000,2,FALSE),"")</f>
        <v/>
      </c>
      <c r="V4401">
        <f t="shared" si="274"/>
        <v>0</v>
      </c>
      <c r="W4401">
        <f t="shared" si="275"/>
        <v>0</v>
      </c>
    </row>
    <row r="4402" spans="5:23" x14ac:dyDescent="0.25">
      <c r="E4402" s="4"/>
      <c r="F4402" s="4"/>
      <c r="G4402" s="33" t="str">
        <f>IFERROR(VLOOKUP($D4402,'Informations sur les produits'!$A$3:$H$10000,8,FALSE),"0")</f>
        <v>0</v>
      </c>
      <c r="K4402" s="4"/>
      <c r="L4402" s="33" t="str">
        <f>IFERROR(VLOOKUP($J4402,'Informations sur les produits'!$A$3:$H$10000,8,FALSE),"0")</f>
        <v>0</v>
      </c>
      <c r="N4402" s="8"/>
      <c r="O4402" s="33" t="str">
        <f>IFERROR(VLOOKUP($M4402,'Informations sur les produits'!$A$3:$H$10000,8,FALSE),"0")</f>
        <v>0</v>
      </c>
      <c r="P4402" s="33">
        <f t="shared" si="272"/>
        <v>0</v>
      </c>
      <c r="Q4402" s="31" t="str">
        <f t="shared" si="273"/>
        <v/>
      </c>
      <c r="R4402" s="32" t="str">
        <f>IFERROR(VLOOKUP($D4402,'Informations sur les produits'!$A$3:$B$15000,2,FALSE),"")</f>
        <v/>
      </c>
      <c r="V4402">
        <f t="shared" si="274"/>
        <v>0</v>
      </c>
      <c r="W4402">
        <f t="shared" si="275"/>
        <v>0</v>
      </c>
    </row>
    <row r="4403" spans="5:23" x14ac:dyDescent="0.25">
      <c r="E4403" s="4"/>
      <c r="F4403" s="4"/>
      <c r="G4403" s="33" t="str">
        <f>IFERROR(VLOOKUP($D4403,'Informations sur les produits'!$A$3:$H$10000,8,FALSE),"0")</f>
        <v>0</v>
      </c>
      <c r="K4403" s="4"/>
      <c r="L4403" s="33" t="str">
        <f>IFERROR(VLOOKUP($J4403,'Informations sur les produits'!$A$3:$H$10000,8,FALSE),"0")</f>
        <v>0</v>
      </c>
      <c r="N4403" s="8"/>
      <c r="O4403" s="33" t="str">
        <f>IFERROR(VLOOKUP($M4403,'Informations sur les produits'!$A$3:$H$10000,8,FALSE),"0")</f>
        <v>0</v>
      </c>
      <c r="P4403" s="33">
        <f t="shared" si="272"/>
        <v>0</v>
      </c>
      <c r="Q4403" s="31" t="str">
        <f t="shared" si="273"/>
        <v/>
      </c>
      <c r="R4403" s="32" t="str">
        <f>IFERROR(VLOOKUP($D4403,'Informations sur les produits'!$A$3:$B$15000,2,FALSE),"")</f>
        <v/>
      </c>
      <c r="V4403">
        <f t="shared" si="274"/>
        <v>0</v>
      </c>
      <c r="W4403">
        <f t="shared" si="275"/>
        <v>0</v>
      </c>
    </row>
    <row r="4404" spans="5:23" x14ac:dyDescent="0.25">
      <c r="E4404" s="4"/>
      <c r="F4404" s="4"/>
      <c r="G4404" s="33" t="str">
        <f>IFERROR(VLOOKUP($D4404,'Informations sur les produits'!$A$3:$H$10000,8,FALSE),"0")</f>
        <v>0</v>
      </c>
      <c r="K4404" s="4"/>
      <c r="L4404" s="33" t="str">
        <f>IFERROR(VLOOKUP($J4404,'Informations sur les produits'!$A$3:$H$10000,8,FALSE),"0")</f>
        <v>0</v>
      </c>
      <c r="N4404" s="8"/>
      <c r="O4404" s="33" t="str">
        <f>IFERROR(VLOOKUP($M4404,'Informations sur les produits'!$A$3:$H$10000,8,FALSE),"0")</f>
        <v>0</v>
      </c>
      <c r="P4404" s="33">
        <f t="shared" si="272"/>
        <v>0</v>
      </c>
      <c r="Q4404" s="31" t="str">
        <f t="shared" si="273"/>
        <v/>
      </c>
      <c r="R4404" s="32" t="str">
        <f>IFERROR(VLOOKUP($D4404,'Informations sur les produits'!$A$3:$B$15000,2,FALSE),"")</f>
        <v/>
      </c>
      <c r="V4404">
        <f t="shared" si="274"/>
        <v>0</v>
      </c>
      <c r="W4404">
        <f t="shared" si="275"/>
        <v>0</v>
      </c>
    </row>
    <row r="4405" spans="5:23" x14ac:dyDescent="0.25">
      <c r="E4405" s="4"/>
      <c r="F4405" s="4"/>
      <c r="G4405" s="33" t="str">
        <f>IFERROR(VLOOKUP($D4405,'Informations sur les produits'!$A$3:$H$10000,8,FALSE),"0")</f>
        <v>0</v>
      </c>
      <c r="K4405" s="4"/>
      <c r="L4405" s="33" t="str">
        <f>IFERROR(VLOOKUP($J4405,'Informations sur les produits'!$A$3:$H$10000,8,FALSE),"0")</f>
        <v>0</v>
      </c>
      <c r="N4405" s="8"/>
      <c r="O4405" s="33" t="str">
        <f>IFERROR(VLOOKUP($M4405,'Informations sur les produits'!$A$3:$H$10000,8,FALSE),"0")</f>
        <v>0</v>
      </c>
      <c r="P4405" s="33">
        <f t="shared" si="272"/>
        <v>0</v>
      </c>
      <c r="Q4405" s="31" t="str">
        <f t="shared" si="273"/>
        <v/>
      </c>
      <c r="R4405" s="32" t="str">
        <f>IFERROR(VLOOKUP($D4405,'Informations sur les produits'!$A$3:$B$15000,2,FALSE),"")</f>
        <v/>
      </c>
      <c r="V4405">
        <f t="shared" si="274"/>
        <v>0</v>
      </c>
      <c r="W4405">
        <f t="shared" si="275"/>
        <v>0</v>
      </c>
    </row>
    <row r="4406" spans="5:23" x14ac:dyDescent="0.25">
      <c r="E4406" s="4"/>
      <c r="F4406" s="4"/>
      <c r="G4406" s="33" t="str">
        <f>IFERROR(VLOOKUP($D4406,'Informations sur les produits'!$A$3:$H$10000,8,FALSE),"0")</f>
        <v>0</v>
      </c>
      <c r="K4406" s="4"/>
      <c r="L4406" s="33" t="str">
        <f>IFERROR(VLOOKUP($J4406,'Informations sur les produits'!$A$3:$H$10000,8,FALSE),"0")</f>
        <v>0</v>
      </c>
      <c r="N4406" s="8"/>
      <c r="O4406" s="33" t="str">
        <f>IFERROR(VLOOKUP($M4406,'Informations sur les produits'!$A$3:$H$10000,8,FALSE),"0")</f>
        <v>0</v>
      </c>
      <c r="P4406" s="33">
        <f t="shared" si="272"/>
        <v>0</v>
      </c>
      <c r="Q4406" s="31" t="str">
        <f t="shared" si="273"/>
        <v/>
      </c>
      <c r="R4406" s="32" t="str">
        <f>IFERROR(VLOOKUP($D4406,'Informations sur les produits'!$A$3:$B$15000,2,FALSE),"")</f>
        <v/>
      </c>
      <c r="V4406">
        <f t="shared" si="274"/>
        <v>0</v>
      </c>
      <c r="W4406">
        <f t="shared" si="275"/>
        <v>0</v>
      </c>
    </row>
    <row r="4407" spans="5:23" x14ac:dyDescent="0.25">
      <c r="E4407" s="4"/>
      <c r="F4407" s="4"/>
      <c r="G4407" s="33" t="str">
        <f>IFERROR(VLOOKUP($D4407,'Informations sur les produits'!$A$3:$H$10000,8,FALSE),"0")</f>
        <v>0</v>
      </c>
      <c r="K4407" s="4"/>
      <c r="L4407" s="33" t="str">
        <f>IFERROR(VLOOKUP($J4407,'Informations sur les produits'!$A$3:$H$10000,8,FALSE),"0")</f>
        <v>0</v>
      </c>
      <c r="N4407" s="8"/>
      <c r="O4407" s="33" t="str">
        <f>IFERROR(VLOOKUP($M4407,'Informations sur les produits'!$A$3:$H$10000,8,FALSE),"0")</f>
        <v>0</v>
      </c>
      <c r="P4407" s="33">
        <f t="shared" si="272"/>
        <v>0</v>
      </c>
      <c r="Q4407" s="31" t="str">
        <f t="shared" si="273"/>
        <v/>
      </c>
      <c r="R4407" s="32" t="str">
        <f>IFERROR(VLOOKUP($D4407,'Informations sur les produits'!$A$3:$B$15000,2,FALSE),"")</f>
        <v/>
      </c>
      <c r="V4407">
        <f t="shared" si="274"/>
        <v>0</v>
      </c>
      <c r="W4407">
        <f t="shared" si="275"/>
        <v>0</v>
      </c>
    </row>
    <row r="4408" spans="5:23" x14ac:dyDescent="0.25">
      <c r="E4408" s="4"/>
      <c r="F4408" s="4"/>
      <c r="G4408" s="33" t="str">
        <f>IFERROR(VLOOKUP($D4408,'Informations sur les produits'!$A$3:$H$10000,8,FALSE),"0")</f>
        <v>0</v>
      </c>
      <c r="K4408" s="4"/>
      <c r="L4408" s="33" t="str">
        <f>IFERROR(VLOOKUP($J4408,'Informations sur les produits'!$A$3:$H$10000,8,FALSE),"0")</f>
        <v>0</v>
      </c>
      <c r="N4408" s="8"/>
      <c r="O4408" s="33" t="str">
        <f>IFERROR(VLOOKUP($M4408,'Informations sur les produits'!$A$3:$H$10000,8,FALSE),"0")</f>
        <v>0</v>
      </c>
      <c r="P4408" s="33">
        <f t="shared" si="272"/>
        <v>0</v>
      </c>
      <c r="Q4408" s="31" t="str">
        <f t="shared" si="273"/>
        <v/>
      </c>
      <c r="R4408" s="32" t="str">
        <f>IFERROR(VLOOKUP($D4408,'Informations sur les produits'!$A$3:$B$15000,2,FALSE),"")</f>
        <v/>
      </c>
      <c r="V4408">
        <f t="shared" si="274"/>
        <v>0</v>
      </c>
      <c r="W4408">
        <f t="shared" si="275"/>
        <v>0</v>
      </c>
    </row>
    <row r="4409" spans="5:23" x14ac:dyDescent="0.25">
      <c r="E4409" s="4"/>
      <c r="F4409" s="4"/>
      <c r="G4409" s="33" t="str">
        <f>IFERROR(VLOOKUP($D4409,'Informations sur les produits'!$A$3:$H$10000,8,FALSE),"0")</f>
        <v>0</v>
      </c>
      <c r="K4409" s="4"/>
      <c r="L4409" s="33" t="str">
        <f>IFERROR(VLOOKUP($J4409,'Informations sur les produits'!$A$3:$H$10000,8,FALSE),"0")</f>
        <v>0</v>
      </c>
      <c r="N4409" s="8"/>
      <c r="O4409" s="33" t="str">
        <f>IFERROR(VLOOKUP($M4409,'Informations sur les produits'!$A$3:$H$10000,8,FALSE),"0")</f>
        <v>0</v>
      </c>
      <c r="P4409" s="33">
        <f t="shared" si="272"/>
        <v>0</v>
      </c>
      <c r="Q4409" s="31" t="str">
        <f t="shared" si="273"/>
        <v/>
      </c>
      <c r="R4409" s="32" t="str">
        <f>IFERROR(VLOOKUP($D4409,'Informations sur les produits'!$A$3:$B$15000,2,FALSE),"")</f>
        <v/>
      </c>
      <c r="V4409">
        <f t="shared" si="274"/>
        <v>0</v>
      </c>
      <c r="W4409">
        <f t="shared" si="275"/>
        <v>0</v>
      </c>
    </row>
    <row r="4410" spans="5:23" x14ac:dyDescent="0.25">
      <c r="E4410" s="4"/>
      <c r="F4410" s="4"/>
      <c r="G4410" s="33" t="str">
        <f>IFERROR(VLOOKUP($D4410,'Informations sur les produits'!$A$3:$H$10000,8,FALSE),"0")</f>
        <v>0</v>
      </c>
      <c r="K4410" s="4"/>
      <c r="L4410" s="33" t="str">
        <f>IFERROR(VLOOKUP($J4410,'Informations sur les produits'!$A$3:$H$10000,8,FALSE),"0")</f>
        <v>0</v>
      </c>
      <c r="N4410" s="8"/>
      <c r="O4410" s="33" t="str">
        <f>IFERROR(VLOOKUP($M4410,'Informations sur les produits'!$A$3:$H$10000,8,FALSE),"0")</f>
        <v>0</v>
      </c>
      <c r="P4410" s="33">
        <f t="shared" si="272"/>
        <v>0</v>
      </c>
      <c r="Q4410" s="31" t="str">
        <f t="shared" si="273"/>
        <v/>
      </c>
      <c r="R4410" s="32" t="str">
        <f>IFERROR(VLOOKUP($D4410,'Informations sur les produits'!$A$3:$B$15000,2,FALSE),"")</f>
        <v/>
      </c>
      <c r="V4410">
        <f t="shared" si="274"/>
        <v>0</v>
      </c>
      <c r="W4410">
        <f t="shared" si="275"/>
        <v>0</v>
      </c>
    </row>
    <row r="4411" spans="5:23" x14ac:dyDescent="0.25">
      <c r="E4411" s="4"/>
      <c r="F4411" s="4"/>
      <c r="G4411" s="33" t="str">
        <f>IFERROR(VLOOKUP($D4411,'Informations sur les produits'!$A$3:$H$10000,8,FALSE),"0")</f>
        <v>0</v>
      </c>
      <c r="K4411" s="4"/>
      <c r="L4411" s="33" t="str">
        <f>IFERROR(VLOOKUP($J4411,'Informations sur les produits'!$A$3:$H$10000,8,FALSE),"0")</f>
        <v>0</v>
      </c>
      <c r="N4411" s="8"/>
      <c r="O4411" s="33" t="str">
        <f>IFERROR(VLOOKUP($M4411,'Informations sur les produits'!$A$3:$H$10000,8,FALSE),"0")</f>
        <v>0</v>
      </c>
      <c r="P4411" s="33">
        <f t="shared" si="272"/>
        <v>0</v>
      </c>
      <c r="Q4411" s="31" t="str">
        <f t="shared" si="273"/>
        <v/>
      </c>
      <c r="R4411" s="32" t="str">
        <f>IFERROR(VLOOKUP($D4411,'Informations sur les produits'!$A$3:$B$15000,2,FALSE),"")</f>
        <v/>
      </c>
      <c r="V4411">
        <f t="shared" si="274"/>
        <v>0</v>
      </c>
      <c r="W4411">
        <f t="shared" si="275"/>
        <v>0</v>
      </c>
    </row>
    <row r="4412" spans="5:23" x14ac:dyDescent="0.25">
      <c r="E4412" s="4"/>
      <c r="F4412" s="4"/>
      <c r="G4412" s="33" t="str">
        <f>IFERROR(VLOOKUP($D4412,'Informations sur les produits'!$A$3:$H$10000,8,FALSE),"0")</f>
        <v>0</v>
      </c>
      <c r="K4412" s="4"/>
      <c r="L4412" s="33" t="str">
        <f>IFERROR(VLOOKUP($J4412,'Informations sur les produits'!$A$3:$H$10000,8,FALSE),"0")</f>
        <v>0</v>
      </c>
      <c r="N4412" s="8"/>
      <c r="O4412" s="33" t="str">
        <f>IFERROR(VLOOKUP($M4412,'Informations sur les produits'!$A$3:$H$10000,8,FALSE),"0")</f>
        <v>0</v>
      </c>
      <c r="P4412" s="33">
        <f t="shared" si="272"/>
        <v>0</v>
      </c>
      <c r="Q4412" s="31" t="str">
        <f t="shared" si="273"/>
        <v/>
      </c>
      <c r="R4412" s="32" t="str">
        <f>IFERROR(VLOOKUP($D4412,'Informations sur les produits'!$A$3:$B$15000,2,FALSE),"")</f>
        <v/>
      </c>
      <c r="V4412">
        <f t="shared" si="274"/>
        <v>0</v>
      </c>
      <c r="W4412">
        <f t="shared" si="275"/>
        <v>0</v>
      </c>
    </row>
    <row r="4413" spans="5:23" x14ac:dyDescent="0.25">
      <c r="E4413" s="4"/>
      <c r="F4413" s="4"/>
      <c r="G4413" s="33" t="str">
        <f>IFERROR(VLOOKUP($D4413,'Informations sur les produits'!$A$3:$H$10000,8,FALSE),"0")</f>
        <v>0</v>
      </c>
      <c r="K4413" s="4"/>
      <c r="L4413" s="33" t="str">
        <f>IFERROR(VLOOKUP($J4413,'Informations sur les produits'!$A$3:$H$10000,8,FALSE),"0")</f>
        <v>0</v>
      </c>
      <c r="N4413" s="8"/>
      <c r="O4413" s="33" t="str">
        <f>IFERROR(VLOOKUP($M4413,'Informations sur les produits'!$A$3:$H$10000,8,FALSE),"0")</f>
        <v>0</v>
      </c>
      <c r="P4413" s="33">
        <f t="shared" si="272"/>
        <v>0</v>
      </c>
      <c r="Q4413" s="31" t="str">
        <f t="shared" si="273"/>
        <v/>
      </c>
      <c r="R4413" s="32" t="str">
        <f>IFERROR(VLOOKUP($D4413,'Informations sur les produits'!$A$3:$B$15000,2,FALSE),"")</f>
        <v/>
      </c>
      <c r="V4413">
        <f t="shared" si="274"/>
        <v>0</v>
      </c>
      <c r="W4413">
        <f t="shared" si="275"/>
        <v>0</v>
      </c>
    </row>
    <row r="4414" spans="5:23" x14ac:dyDescent="0.25">
      <c r="E4414" s="4"/>
      <c r="F4414" s="4"/>
      <c r="G4414" s="33" t="str">
        <f>IFERROR(VLOOKUP($D4414,'Informations sur les produits'!$A$3:$H$10000,8,FALSE),"0")</f>
        <v>0</v>
      </c>
      <c r="K4414" s="4"/>
      <c r="L4414" s="33" t="str">
        <f>IFERROR(VLOOKUP($J4414,'Informations sur les produits'!$A$3:$H$10000,8,FALSE),"0")</f>
        <v>0</v>
      </c>
      <c r="N4414" s="8"/>
      <c r="O4414" s="33" t="str">
        <f>IFERROR(VLOOKUP($M4414,'Informations sur les produits'!$A$3:$H$10000,8,FALSE),"0")</f>
        <v>0</v>
      </c>
      <c r="P4414" s="33">
        <f t="shared" si="272"/>
        <v>0</v>
      </c>
      <c r="Q4414" s="31" t="str">
        <f t="shared" si="273"/>
        <v/>
      </c>
      <c r="R4414" s="32" t="str">
        <f>IFERROR(VLOOKUP($D4414,'Informations sur les produits'!$A$3:$B$15000,2,FALSE),"")</f>
        <v/>
      </c>
      <c r="V4414">
        <f t="shared" si="274"/>
        <v>0</v>
      </c>
      <c r="W4414">
        <f t="shared" si="275"/>
        <v>0</v>
      </c>
    </row>
    <row r="4415" spans="5:23" x14ac:dyDescent="0.25">
      <c r="E4415" s="4"/>
      <c r="F4415" s="4"/>
      <c r="G4415" s="33" t="str">
        <f>IFERROR(VLOOKUP($D4415,'Informations sur les produits'!$A$3:$H$10000,8,FALSE),"0")</f>
        <v>0</v>
      </c>
      <c r="K4415" s="4"/>
      <c r="L4415" s="33" t="str">
        <f>IFERROR(VLOOKUP($J4415,'Informations sur les produits'!$A$3:$H$10000,8,FALSE),"0")</f>
        <v>0</v>
      </c>
      <c r="N4415" s="8"/>
      <c r="O4415" s="33" t="str">
        <f>IFERROR(VLOOKUP($M4415,'Informations sur les produits'!$A$3:$H$10000,8,FALSE),"0")</f>
        <v>0</v>
      </c>
      <c r="P4415" s="33">
        <f t="shared" si="272"/>
        <v>0</v>
      </c>
      <c r="Q4415" s="31" t="str">
        <f t="shared" si="273"/>
        <v/>
      </c>
      <c r="R4415" s="32" t="str">
        <f>IFERROR(VLOOKUP($D4415,'Informations sur les produits'!$A$3:$B$15000,2,FALSE),"")</f>
        <v/>
      </c>
      <c r="V4415">
        <f t="shared" si="274"/>
        <v>0</v>
      </c>
      <c r="W4415">
        <f t="shared" si="275"/>
        <v>0</v>
      </c>
    </row>
    <row r="4416" spans="5:23" x14ac:dyDescent="0.25">
      <c r="E4416" s="4"/>
      <c r="F4416" s="4"/>
      <c r="G4416" s="33" t="str">
        <f>IFERROR(VLOOKUP($D4416,'Informations sur les produits'!$A$3:$H$10000,8,FALSE),"0")</f>
        <v>0</v>
      </c>
      <c r="K4416" s="4"/>
      <c r="L4416" s="33" t="str">
        <f>IFERROR(VLOOKUP($J4416,'Informations sur les produits'!$A$3:$H$10000,8,FALSE),"0")</f>
        <v>0</v>
      </c>
      <c r="N4416" s="8"/>
      <c r="O4416" s="33" t="str">
        <f>IFERROR(VLOOKUP($M4416,'Informations sur les produits'!$A$3:$H$10000,8,FALSE),"0")</f>
        <v>0</v>
      </c>
      <c r="P4416" s="33">
        <f t="shared" si="272"/>
        <v>0</v>
      </c>
      <c r="Q4416" s="31" t="str">
        <f t="shared" si="273"/>
        <v/>
      </c>
      <c r="R4416" s="32" t="str">
        <f>IFERROR(VLOOKUP($D4416,'Informations sur les produits'!$A$3:$B$15000,2,FALSE),"")</f>
        <v/>
      </c>
      <c r="V4416">
        <f t="shared" si="274"/>
        <v>0</v>
      </c>
      <c r="W4416">
        <f t="shared" si="275"/>
        <v>0</v>
      </c>
    </row>
    <row r="4417" spans="5:23" x14ac:dyDescent="0.25">
      <c r="E4417" s="4"/>
      <c r="F4417" s="4"/>
      <c r="G4417" s="33" t="str">
        <f>IFERROR(VLOOKUP($D4417,'Informations sur les produits'!$A$3:$H$10000,8,FALSE),"0")</f>
        <v>0</v>
      </c>
      <c r="K4417" s="4"/>
      <c r="L4417" s="33" t="str">
        <f>IFERROR(VLOOKUP($J4417,'Informations sur les produits'!$A$3:$H$10000,8,FALSE),"0")</f>
        <v>0</v>
      </c>
      <c r="N4417" s="8"/>
      <c r="O4417" s="33" t="str">
        <f>IFERROR(VLOOKUP($M4417,'Informations sur les produits'!$A$3:$H$10000,8,FALSE),"0")</f>
        <v>0</v>
      </c>
      <c r="P4417" s="33">
        <f t="shared" si="272"/>
        <v>0</v>
      </c>
      <c r="Q4417" s="31" t="str">
        <f t="shared" si="273"/>
        <v/>
      </c>
      <c r="R4417" s="32" t="str">
        <f>IFERROR(VLOOKUP($D4417,'Informations sur les produits'!$A$3:$B$15000,2,FALSE),"")</f>
        <v/>
      </c>
      <c r="V4417">
        <f t="shared" si="274"/>
        <v>0</v>
      </c>
      <c r="W4417">
        <f t="shared" si="275"/>
        <v>0</v>
      </c>
    </row>
    <row r="4418" spans="5:23" x14ac:dyDescent="0.25">
      <c r="E4418" s="4"/>
      <c r="F4418" s="4"/>
      <c r="G4418" s="33" t="str">
        <f>IFERROR(VLOOKUP($D4418,'Informations sur les produits'!$A$3:$H$10000,8,FALSE),"0")</f>
        <v>0</v>
      </c>
      <c r="K4418" s="4"/>
      <c r="L4418" s="33" t="str">
        <f>IFERROR(VLOOKUP($J4418,'Informations sur les produits'!$A$3:$H$10000,8,FALSE),"0")</f>
        <v>0</v>
      </c>
      <c r="N4418" s="8"/>
      <c r="O4418" s="33" t="str">
        <f>IFERROR(VLOOKUP($M4418,'Informations sur les produits'!$A$3:$H$10000,8,FALSE),"0")</f>
        <v>0</v>
      </c>
      <c r="P4418" s="33">
        <f t="shared" si="272"/>
        <v>0</v>
      </c>
      <c r="Q4418" s="31" t="str">
        <f t="shared" si="273"/>
        <v/>
      </c>
      <c r="R4418" s="32" t="str">
        <f>IFERROR(VLOOKUP($D4418,'Informations sur les produits'!$A$3:$B$15000,2,FALSE),"")</f>
        <v/>
      </c>
      <c r="V4418">
        <f t="shared" si="274"/>
        <v>0</v>
      </c>
      <c r="W4418">
        <f t="shared" si="275"/>
        <v>0</v>
      </c>
    </row>
    <row r="4419" spans="5:23" x14ac:dyDescent="0.25">
      <c r="E4419" s="4"/>
      <c r="F4419" s="4"/>
      <c r="G4419" s="33" t="str">
        <f>IFERROR(VLOOKUP($D4419,'Informations sur les produits'!$A$3:$H$10000,8,FALSE),"0")</f>
        <v>0</v>
      </c>
      <c r="K4419" s="4"/>
      <c r="L4419" s="33" t="str">
        <f>IFERROR(VLOOKUP($J4419,'Informations sur les produits'!$A$3:$H$10000,8,FALSE),"0")</f>
        <v>0</v>
      </c>
      <c r="N4419" s="8"/>
      <c r="O4419" s="33" t="str">
        <f>IFERROR(VLOOKUP($M4419,'Informations sur les produits'!$A$3:$H$10000,8,FALSE),"0")</f>
        <v>0</v>
      </c>
      <c r="P4419" s="33">
        <f t="shared" si="272"/>
        <v>0</v>
      </c>
      <c r="Q4419" s="31" t="str">
        <f t="shared" si="273"/>
        <v/>
      </c>
      <c r="R4419" s="32" t="str">
        <f>IFERROR(VLOOKUP($D4419,'Informations sur les produits'!$A$3:$B$15000,2,FALSE),"")</f>
        <v/>
      </c>
      <c r="V4419">
        <f t="shared" si="274"/>
        <v>0</v>
      </c>
      <c r="W4419">
        <f t="shared" si="275"/>
        <v>0</v>
      </c>
    </row>
    <row r="4420" spans="5:23" x14ac:dyDescent="0.25">
      <c r="E4420" s="4"/>
      <c r="F4420" s="4"/>
      <c r="G4420" s="33" t="str">
        <f>IFERROR(VLOOKUP($D4420,'Informations sur les produits'!$A$3:$H$10000,8,FALSE),"0")</f>
        <v>0</v>
      </c>
      <c r="K4420" s="4"/>
      <c r="L4420" s="33" t="str">
        <f>IFERROR(VLOOKUP($J4420,'Informations sur les produits'!$A$3:$H$10000,8,FALSE),"0")</f>
        <v>0</v>
      </c>
      <c r="N4420" s="8"/>
      <c r="O4420" s="33" t="str">
        <f>IFERROR(VLOOKUP($M4420,'Informations sur les produits'!$A$3:$H$10000,8,FALSE),"0")</f>
        <v>0</v>
      </c>
      <c r="P4420" s="33">
        <f t="shared" ref="P4420:P4483" si="276">IFERROR((($E4420-$F4420)*$G4420+$K4420*$L4420+$N4420*$O4420),"")</f>
        <v>0</v>
      </c>
      <c r="Q4420" s="31" t="str">
        <f t="shared" ref="Q4420:Q4483" si="277">IFERROR((((($E4420-$F4420)*$G4420+$K4420*$L4420+$N4420*$O4420)*1000)/(($E4420-$F4420)+$K4420+$N4420)),"")</f>
        <v/>
      </c>
      <c r="R4420" s="32" t="str">
        <f>IFERROR(VLOOKUP($D4420,'Informations sur les produits'!$A$3:$B$15000,2,FALSE),"")</f>
        <v/>
      </c>
      <c r="V4420">
        <f t="shared" ref="V4420:V4483" si="278">IFERROR(P4420*1000,"")</f>
        <v>0</v>
      </c>
      <c r="W4420">
        <f t="shared" ref="W4420:W4483" si="279">IFERROR(($E4420-$F4420)+$K4420+$N4420,"")</f>
        <v>0</v>
      </c>
    </row>
    <row r="4421" spans="5:23" x14ac:dyDescent="0.25">
      <c r="E4421" s="4"/>
      <c r="F4421" s="4"/>
      <c r="G4421" s="33" t="str">
        <f>IFERROR(VLOOKUP($D4421,'Informations sur les produits'!$A$3:$H$10000,8,FALSE),"0")</f>
        <v>0</v>
      </c>
      <c r="K4421" s="4"/>
      <c r="L4421" s="33" t="str">
        <f>IFERROR(VLOOKUP($J4421,'Informations sur les produits'!$A$3:$H$10000,8,FALSE),"0")</f>
        <v>0</v>
      </c>
      <c r="N4421" s="8"/>
      <c r="O4421" s="33" t="str">
        <f>IFERROR(VLOOKUP($M4421,'Informations sur les produits'!$A$3:$H$10000,8,FALSE),"0")</f>
        <v>0</v>
      </c>
      <c r="P4421" s="33">
        <f t="shared" si="276"/>
        <v>0</v>
      </c>
      <c r="Q4421" s="31" t="str">
        <f t="shared" si="277"/>
        <v/>
      </c>
      <c r="R4421" s="32" t="str">
        <f>IFERROR(VLOOKUP($D4421,'Informations sur les produits'!$A$3:$B$15000,2,FALSE),"")</f>
        <v/>
      </c>
      <c r="V4421">
        <f t="shared" si="278"/>
        <v>0</v>
      </c>
      <c r="W4421">
        <f t="shared" si="279"/>
        <v>0</v>
      </c>
    </row>
    <row r="4422" spans="5:23" x14ac:dyDescent="0.25">
      <c r="E4422" s="4"/>
      <c r="F4422" s="4"/>
      <c r="G4422" s="33" t="str">
        <f>IFERROR(VLOOKUP($D4422,'Informations sur les produits'!$A$3:$H$10000,8,FALSE),"0")</f>
        <v>0</v>
      </c>
      <c r="K4422" s="4"/>
      <c r="L4422" s="33" t="str">
        <f>IFERROR(VLOOKUP($J4422,'Informations sur les produits'!$A$3:$H$10000,8,FALSE),"0")</f>
        <v>0</v>
      </c>
      <c r="N4422" s="8"/>
      <c r="O4422" s="33" t="str">
        <f>IFERROR(VLOOKUP($M4422,'Informations sur les produits'!$A$3:$H$10000,8,FALSE),"0")</f>
        <v>0</v>
      </c>
      <c r="P4422" s="33">
        <f t="shared" si="276"/>
        <v>0</v>
      </c>
      <c r="Q4422" s="31" t="str">
        <f t="shared" si="277"/>
        <v/>
      </c>
      <c r="R4422" s="32" t="str">
        <f>IFERROR(VLOOKUP($D4422,'Informations sur les produits'!$A$3:$B$15000,2,FALSE),"")</f>
        <v/>
      </c>
      <c r="V4422">
        <f t="shared" si="278"/>
        <v>0</v>
      </c>
      <c r="W4422">
        <f t="shared" si="279"/>
        <v>0</v>
      </c>
    </row>
    <row r="4423" spans="5:23" x14ac:dyDescent="0.25">
      <c r="E4423" s="4"/>
      <c r="F4423" s="4"/>
      <c r="G4423" s="33" t="str">
        <f>IFERROR(VLOOKUP($D4423,'Informations sur les produits'!$A$3:$H$10000,8,FALSE),"0")</f>
        <v>0</v>
      </c>
      <c r="K4423" s="4"/>
      <c r="L4423" s="33" t="str">
        <f>IFERROR(VLOOKUP($J4423,'Informations sur les produits'!$A$3:$H$10000,8,FALSE),"0")</f>
        <v>0</v>
      </c>
      <c r="N4423" s="8"/>
      <c r="O4423" s="33" t="str">
        <f>IFERROR(VLOOKUP($M4423,'Informations sur les produits'!$A$3:$H$10000,8,FALSE),"0")</f>
        <v>0</v>
      </c>
      <c r="P4423" s="33">
        <f t="shared" si="276"/>
        <v>0</v>
      </c>
      <c r="Q4423" s="31" t="str">
        <f t="shared" si="277"/>
        <v/>
      </c>
      <c r="R4423" s="32" t="str">
        <f>IFERROR(VLOOKUP($D4423,'Informations sur les produits'!$A$3:$B$15000,2,FALSE),"")</f>
        <v/>
      </c>
      <c r="V4423">
        <f t="shared" si="278"/>
        <v>0</v>
      </c>
      <c r="W4423">
        <f t="shared" si="279"/>
        <v>0</v>
      </c>
    </row>
    <row r="4424" spans="5:23" x14ac:dyDescent="0.25">
      <c r="E4424" s="4"/>
      <c r="F4424" s="4"/>
      <c r="G4424" s="33" t="str">
        <f>IFERROR(VLOOKUP($D4424,'Informations sur les produits'!$A$3:$H$10000,8,FALSE),"0")</f>
        <v>0</v>
      </c>
      <c r="K4424" s="4"/>
      <c r="L4424" s="33" t="str">
        <f>IFERROR(VLOOKUP($J4424,'Informations sur les produits'!$A$3:$H$10000,8,FALSE),"0")</f>
        <v>0</v>
      </c>
      <c r="N4424" s="8"/>
      <c r="O4424" s="33" t="str">
        <f>IFERROR(VLOOKUP($M4424,'Informations sur les produits'!$A$3:$H$10000,8,FALSE),"0")</f>
        <v>0</v>
      </c>
      <c r="P4424" s="33">
        <f t="shared" si="276"/>
        <v>0</v>
      </c>
      <c r="Q4424" s="31" t="str">
        <f t="shared" si="277"/>
        <v/>
      </c>
      <c r="R4424" s="32" t="str">
        <f>IFERROR(VLOOKUP($D4424,'Informations sur les produits'!$A$3:$B$15000,2,FALSE),"")</f>
        <v/>
      </c>
      <c r="V4424">
        <f t="shared" si="278"/>
        <v>0</v>
      </c>
      <c r="W4424">
        <f t="shared" si="279"/>
        <v>0</v>
      </c>
    </row>
    <row r="4425" spans="5:23" x14ac:dyDescent="0.25">
      <c r="E4425" s="4"/>
      <c r="F4425" s="4"/>
      <c r="G4425" s="33" t="str">
        <f>IFERROR(VLOOKUP($D4425,'Informations sur les produits'!$A$3:$H$10000,8,FALSE),"0")</f>
        <v>0</v>
      </c>
      <c r="K4425" s="4"/>
      <c r="L4425" s="33" t="str">
        <f>IFERROR(VLOOKUP($J4425,'Informations sur les produits'!$A$3:$H$10000,8,FALSE),"0")</f>
        <v>0</v>
      </c>
      <c r="N4425" s="8"/>
      <c r="O4425" s="33" t="str">
        <f>IFERROR(VLOOKUP($M4425,'Informations sur les produits'!$A$3:$H$10000,8,FALSE),"0")</f>
        <v>0</v>
      </c>
      <c r="P4425" s="33">
        <f t="shared" si="276"/>
        <v>0</v>
      </c>
      <c r="Q4425" s="31" t="str">
        <f t="shared" si="277"/>
        <v/>
      </c>
      <c r="R4425" s="32" t="str">
        <f>IFERROR(VLOOKUP($D4425,'Informations sur les produits'!$A$3:$B$15000,2,FALSE),"")</f>
        <v/>
      </c>
      <c r="V4425">
        <f t="shared" si="278"/>
        <v>0</v>
      </c>
      <c r="W4425">
        <f t="shared" si="279"/>
        <v>0</v>
      </c>
    </row>
    <row r="4426" spans="5:23" x14ac:dyDescent="0.25">
      <c r="E4426" s="4"/>
      <c r="F4426" s="4"/>
      <c r="G4426" s="33" t="str">
        <f>IFERROR(VLOOKUP($D4426,'Informations sur les produits'!$A$3:$H$10000,8,FALSE),"0")</f>
        <v>0</v>
      </c>
      <c r="K4426" s="4"/>
      <c r="L4426" s="33" t="str">
        <f>IFERROR(VLOOKUP($J4426,'Informations sur les produits'!$A$3:$H$10000,8,FALSE),"0")</f>
        <v>0</v>
      </c>
      <c r="N4426" s="8"/>
      <c r="O4426" s="33" t="str">
        <f>IFERROR(VLOOKUP($M4426,'Informations sur les produits'!$A$3:$H$10000,8,FALSE),"0")</f>
        <v>0</v>
      </c>
      <c r="P4426" s="33">
        <f t="shared" si="276"/>
        <v>0</v>
      </c>
      <c r="Q4426" s="31" t="str">
        <f t="shared" si="277"/>
        <v/>
      </c>
      <c r="R4426" s="32" t="str">
        <f>IFERROR(VLOOKUP($D4426,'Informations sur les produits'!$A$3:$B$15000,2,FALSE),"")</f>
        <v/>
      </c>
      <c r="V4426">
        <f t="shared" si="278"/>
        <v>0</v>
      </c>
      <c r="W4426">
        <f t="shared" si="279"/>
        <v>0</v>
      </c>
    </row>
    <row r="4427" spans="5:23" x14ac:dyDescent="0.25">
      <c r="E4427" s="4"/>
      <c r="F4427" s="4"/>
      <c r="G4427" s="33" t="str">
        <f>IFERROR(VLOOKUP($D4427,'Informations sur les produits'!$A$3:$H$10000,8,FALSE),"0")</f>
        <v>0</v>
      </c>
      <c r="K4427" s="4"/>
      <c r="L4427" s="33" t="str">
        <f>IFERROR(VLOOKUP($J4427,'Informations sur les produits'!$A$3:$H$10000,8,FALSE),"0")</f>
        <v>0</v>
      </c>
      <c r="N4427" s="8"/>
      <c r="O4427" s="33" t="str">
        <f>IFERROR(VLOOKUP($M4427,'Informations sur les produits'!$A$3:$H$10000,8,FALSE),"0")</f>
        <v>0</v>
      </c>
      <c r="P4427" s="33">
        <f t="shared" si="276"/>
        <v>0</v>
      </c>
      <c r="Q4427" s="31" t="str">
        <f t="shared" si="277"/>
        <v/>
      </c>
      <c r="R4427" s="32" t="str">
        <f>IFERROR(VLOOKUP($D4427,'Informations sur les produits'!$A$3:$B$15000,2,FALSE),"")</f>
        <v/>
      </c>
      <c r="V4427">
        <f t="shared" si="278"/>
        <v>0</v>
      </c>
      <c r="W4427">
        <f t="shared" si="279"/>
        <v>0</v>
      </c>
    </row>
    <row r="4428" spans="5:23" x14ac:dyDescent="0.25">
      <c r="E4428" s="4"/>
      <c r="F4428" s="4"/>
      <c r="G4428" s="33" t="str">
        <f>IFERROR(VLOOKUP($D4428,'Informations sur les produits'!$A$3:$H$10000,8,FALSE),"0")</f>
        <v>0</v>
      </c>
      <c r="K4428" s="4"/>
      <c r="L4428" s="33" t="str">
        <f>IFERROR(VLOOKUP($J4428,'Informations sur les produits'!$A$3:$H$10000,8,FALSE),"0")</f>
        <v>0</v>
      </c>
      <c r="N4428" s="8"/>
      <c r="O4428" s="33" t="str">
        <f>IFERROR(VLOOKUP($M4428,'Informations sur les produits'!$A$3:$H$10000,8,FALSE),"0")</f>
        <v>0</v>
      </c>
      <c r="P4428" s="33">
        <f t="shared" si="276"/>
        <v>0</v>
      </c>
      <c r="Q4428" s="31" t="str">
        <f t="shared" si="277"/>
        <v/>
      </c>
      <c r="R4428" s="32" t="str">
        <f>IFERROR(VLOOKUP($D4428,'Informations sur les produits'!$A$3:$B$15000,2,FALSE),"")</f>
        <v/>
      </c>
      <c r="V4428">
        <f t="shared" si="278"/>
        <v>0</v>
      </c>
      <c r="W4428">
        <f t="shared" si="279"/>
        <v>0</v>
      </c>
    </row>
    <row r="4429" spans="5:23" x14ac:dyDescent="0.25">
      <c r="E4429" s="4"/>
      <c r="F4429" s="4"/>
      <c r="G4429" s="33" t="str">
        <f>IFERROR(VLOOKUP($D4429,'Informations sur les produits'!$A$3:$H$10000,8,FALSE),"0")</f>
        <v>0</v>
      </c>
      <c r="K4429" s="4"/>
      <c r="L4429" s="33" t="str">
        <f>IFERROR(VLOOKUP($J4429,'Informations sur les produits'!$A$3:$H$10000,8,FALSE),"0")</f>
        <v>0</v>
      </c>
      <c r="N4429" s="8"/>
      <c r="O4429" s="33" t="str">
        <f>IFERROR(VLOOKUP($M4429,'Informations sur les produits'!$A$3:$H$10000,8,FALSE),"0")</f>
        <v>0</v>
      </c>
      <c r="P4429" s="33">
        <f t="shared" si="276"/>
        <v>0</v>
      </c>
      <c r="Q4429" s="31" t="str">
        <f t="shared" si="277"/>
        <v/>
      </c>
      <c r="R4429" s="32" t="str">
        <f>IFERROR(VLOOKUP($D4429,'Informations sur les produits'!$A$3:$B$15000,2,FALSE),"")</f>
        <v/>
      </c>
      <c r="V4429">
        <f t="shared" si="278"/>
        <v>0</v>
      </c>
      <c r="W4429">
        <f t="shared" si="279"/>
        <v>0</v>
      </c>
    </row>
    <row r="4430" spans="5:23" x14ac:dyDescent="0.25">
      <c r="E4430" s="4"/>
      <c r="F4430" s="4"/>
      <c r="G4430" s="33" t="str">
        <f>IFERROR(VLOOKUP($D4430,'Informations sur les produits'!$A$3:$H$10000,8,FALSE),"0")</f>
        <v>0</v>
      </c>
      <c r="K4430" s="4"/>
      <c r="L4430" s="33" t="str">
        <f>IFERROR(VLOOKUP($J4430,'Informations sur les produits'!$A$3:$H$10000,8,FALSE),"0")</f>
        <v>0</v>
      </c>
      <c r="N4430" s="8"/>
      <c r="O4430" s="33" t="str">
        <f>IFERROR(VLOOKUP($M4430,'Informations sur les produits'!$A$3:$H$10000,8,FALSE),"0")</f>
        <v>0</v>
      </c>
      <c r="P4430" s="33">
        <f t="shared" si="276"/>
        <v>0</v>
      </c>
      <c r="Q4430" s="31" t="str">
        <f t="shared" si="277"/>
        <v/>
      </c>
      <c r="R4430" s="32" t="str">
        <f>IFERROR(VLOOKUP($D4430,'Informations sur les produits'!$A$3:$B$15000,2,FALSE),"")</f>
        <v/>
      </c>
      <c r="V4430">
        <f t="shared" si="278"/>
        <v>0</v>
      </c>
      <c r="W4430">
        <f t="shared" si="279"/>
        <v>0</v>
      </c>
    </row>
    <row r="4431" spans="5:23" x14ac:dyDescent="0.25">
      <c r="E4431" s="4"/>
      <c r="F4431" s="4"/>
      <c r="G4431" s="33" t="str">
        <f>IFERROR(VLOOKUP($D4431,'Informations sur les produits'!$A$3:$H$10000,8,FALSE),"0")</f>
        <v>0</v>
      </c>
      <c r="K4431" s="4"/>
      <c r="L4431" s="33" t="str">
        <f>IFERROR(VLOOKUP($J4431,'Informations sur les produits'!$A$3:$H$10000,8,FALSE),"0")</f>
        <v>0</v>
      </c>
      <c r="N4431" s="8"/>
      <c r="O4431" s="33" t="str">
        <f>IFERROR(VLOOKUP($M4431,'Informations sur les produits'!$A$3:$H$10000,8,FALSE),"0")</f>
        <v>0</v>
      </c>
      <c r="P4431" s="33">
        <f t="shared" si="276"/>
        <v>0</v>
      </c>
      <c r="Q4431" s="31" t="str">
        <f t="shared" si="277"/>
        <v/>
      </c>
      <c r="R4431" s="32" t="str">
        <f>IFERROR(VLOOKUP($D4431,'Informations sur les produits'!$A$3:$B$15000,2,FALSE),"")</f>
        <v/>
      </c>
      <c r="V4431">
        <f t="shared" si="278"/>
        <v>0</v>
      </c>
      <c r="W4431">
        <f t="shared" si="279"/>
        <v>0</v>
      </c>
    </row>
    <row r="4432" spans="5:23" x14ac:dyDescent="0.25">
      <c r="E4432" s="4"/>
      <c r="F4432" s="4"/>
      <c r="G4432" s="33" t="str">
        <f>IFERROR(VLOOKUP($D4432,'Informations sur les produits'!$A$3:$H$10000,8,FALSE),"0")</f>
        <v>0</v>
      </c>
      <c r="K4432" s="4"/>
      <c r="L4432" s="33" t="str">
        <f>IFERROR(VLOOKUP($J4432,'Informations sur les produits'!$A$3:$H$10000,8,FALSE),"0")</f>
        <v>0</v>
      </c>
      <c r="N4432" s="8"/>
      <c r="O4432" s="33" t="str">
        <f>IFERROR(VLOOKUP($M4432,'Informations sur les produits'!$A$3:$H$10000,8,FALSE),"0")</f>
        <v>0</v>
      </c>
      <c r="P4432" s="33">
        <f t="shared" si="276"/>
        <v>0</v>
      </c>
      <c r="Q4432" s="31" t="str">
        <f t="shared" si="277"/>
        <v/>
      </c>
      <c r="R4432" s="32" t="str">
        <f>IFERROR(VLOOKUP($D4432,'Informations sur les produits'!$A$3:$B$15000,2,FALSE),"")</f>
        <v/>
      </c>
      <c r="V4432">
        <f t="shared" si="278"/>
        <v>0</v>
      </c>
      <c r="W4432">
        <f t="shared" si="279"/>
        <v>0</v>
      </c>
    </row>
    <row r="4433" spans="5:23" x14ac:dyDescent="0.25">
      <c r="E4433" s="4"/>
      <c r="F4433" s="4"/>
      <c r="G4433" s="33" t="str">
        <f>IFERROR(VLOOKUP($D4433,'Informations sur les produits'!$A$3:$H$10000,8,FALSE),"0")</f>
        <v>0</v>
      </c>
      <c r="K4433" s="4"/>
      <c r="L4433" s="33" t="str">
        <f>IFERROR(VLOOKUP($J4433,'Informations sur les produits'!$A$3:$H$10000,8,FALSE),"0")</f>
        <v>0</v>
      </c>
      <c r="N4433" s="8"/>
      <c r="O4433" s="33" t="str">
        <f>IFERROR(VLOOKUP($M4433,'Informations sur les produits'!$A$3:$H$10000,8,FALSE),"0")</f>
        <v>0</v>
      </c>
      <c r="P4433" s="33">
        <f t="shared" si="276"/>
        <v>0</v>
      </c>
      <c r="Q4433" s="31" t="str">
        <f t="shared" si="277"/>
        <v/>
      </c>
      <c r="R4433" s="32" t="str">
        <f>IFERROR(VLOOKUP($D4433,'Informations sur les produits'!$A$3:$B$15000,2,FALSE),"")</f>
        <v/>
      </c>
      <c r="V4433">
        <f t="shared" si="278"/>
        <v>0</v>
      </c>
      <c r="W4433">
        <f t="shared" si="279"/>
        <v>0</v>
      </c>
    </row>
    <row r="4434" spans="5:23" x14ac:dyDescent="0.25">
      <c r="E4434" s="4"/>
      <c r="F4434" s="4"/>
      <c r="G4434" s="33" t="str">
        <f>IFERROR(VLOOKUP($D4434,'Informations sur les produits'!$A$3:$H$10000,8,FALSE),"0")</f>
        <v>0</v>
      </c>
      <c r="K4434" s="4"/>
      <c r="L4434" s="33" t="str">
        <f>IFERROR(VLOOKUP($J4434,'Informations sur les produits'!$A$3:$H$10000,8,FALSE),"0")</f>
        <v>0</v>
      </c>
      <c r="N4434" s="8"/>
      <c r="O4434" s="33" t="str">
        <f>IFERROR(VLOOKUP($M4434,'Informations sur les produits'!$A$3:$H$10000,8,FALSE),"0")</f>
        <v>0</v>
      </c>
      <c r="P4434" s="33">
        <f t="shared" si="276"/>
        <v>0</v>
      </c>
      <c r="Q4434" s="31" t="str">
        <f t="shared" si="277"/>
        <v/>
      </c>
      <c r="R4434" s="32" t="str">
        <f>IFERROR(VLOOKUP($D4434,'Informations sur les produits'!$A$3:$B$15000,2,FALSE),"")</f>
        <v/>
      </c>
      <c r="V4434">
        <f t="shared" si="278"/>
        <v>0</v>
      </c>
      <c r="W4434">
        <f t="shared" si="279"/>
        <v>0</v>
      </c>
    </row>
    <row r="4435" spans="5:23" x14ac:dyDescent="0.25">
      <c r="E4435" s="4"/>
      <c r="F4435" s="4"/>
      <c r="G4435" s="33" t="str">
        <f>IFERROR(VLOOKUP($D4435,'Informations sur les produits'!$A$3:$H$10000,8,FALSE),"0")</f>
        <v>0</v>
      </c>
      <c r="K4435" s="4"/>
      <c r="L4435" s="33" t="str">
        <f>IFERROR(VLOOKUP($J4435,'Informations sur les produits'!$A$3:$H$10000,8,FALSE),"0")</f>
        <v>0</v>
      </c>
      <c r="N4435" s="8"/>
      <c r="O4435" s="33" t="str">
        <f>IFERROR(VLOOKUP($M4435,'Informations sur les produits'!$A$3:$H$10000,8,FALSE),"0")</f>
        <v>0</v>
      </c>
      <c r="P4435" s="33">
        <f t="shared" si="276"/>
        <v>0</v>
      </c>
      <c r="Q4435" s="31" t="str">
        <f t="shared" si="277"/>
        <v/>
      </c>
      <c r="R4435" s="32" t="str">
        <f>IFERROR(VLOOKUP($D4435,'Informations sur les produits'!$A$3:$B$15000,2,FALSE),"")</f>
        <v/>
      </c>
      <c r="V4435">
        <f t="shared" si="278"/>
        <v>0</v>
      </c>
      <c r="W4435">
        <f t="shared" si="279"/>
        <v>0</v>
      </c>
    </row>
    <row r="4436" spans="5:23" x14ac:dyDescent="0.25">
      <c r="E4436" s="4"/>
      <c r="F4436" s="4"/>
      <c r="G4436" s="33" t="str">
        <f>IFERROR(VLOOKUP($D4436,'Informations sur les produits'!$A$3:$H$10000,8,FALSE),"0")</f>
        <v>0</v>
      </c>
      <c r="K4436" s="4"/>
      <c r="L4436" s="33" t="str">
        <f>IFERROR(VLOOKUP($J4436,'Informations sur les produits'!$A$3:$H$10000,8,FALSE),"0")</f>
        <v>0</v>
      </c>
      <c r="N4436" s="8"/>
      <c r="O4436" s="33" t="str">
        <f>IFERROR(VLOOKUP($M4436,'Informations sur les produits'!$A$3:$H$10000,8,FALSE),"0")</f>
        <v>0</v>
      </c>
      <c r="P4436" s="33">
        <f t="shared" si="276"/>
        <v>0</v>
      </c>
      <c r="Q4436" s="31" t="str">
        <f t="shared" si="277"/>
        <v/>
      </c>
      <c r="R4436" s="32" t="str">
        <f>IFERROR(VLOOKUP($D4436,'Informations sur les produits'!$A$3:$B$15000,2,FALSE),"")</f>
        <v/>
      </c>
      <c r="V4436">
        <f t="shared" si="278"/>
        <v>0</v>
      </c>
      <c r="W4436">
        <f t="shared" si="279"/>
        <v>0</v>
      </c>
    </row>
    <row r="4437" spans="5:23" x14ac:dyDescent="0.25">
      <c r="E4437" s="4"/>
      <c r="F4437" s="4"/>
      <c r="G4437" s="33" t="str">
        <f>IFERROR(VLOOKUP($D4437,'Informations sur les produits'!$A$3:$H$10000,8,FALSE),"0")</f>
        <v>0</v>
      </c>
      <c r="K4437" s="4"/>
      <c r="L4437" s="33" t="str">
        <f>IFERROR(VLOOKUP($J4437,'Informations sur les produits'!$A$3:$H$10000,8,FALSE),"0")</f>
        <v>0</v>
      </c>
      <c r="N4437" s="8"/>
      <c r="O4437" s="33" t="str">
        <f>IFERROR(VLOOKUP($M4437,'Informations sur les produits'!$A$3:$H$10000,8,FALSE),"0")</f>
        <v>0</v>
      </c>
      <c r="P4437" s="33">
        <f t="shared" si="276"/>
        <v>0</v>
      </c>
      <c r="Q4437" s="31" t="str">
        <f t="shared" si="277"/>
        <v/>
      </c>
      <c r="R4437" s="32" t="str">
        <f>IFERROR(VLOOKUP($D4437,'Informations sur les produits'!$A$3:$B$15000,2,FALSE),"")</f>
        <v/>
      </c>
      <c r="V4437">
        <f t="shared" si="278"/>
        <v>0</v>
      </c>
      <c r="W4437">
        <f t="shared" si="279"/>
        <v>0</v>
      </c>
    </row>
    <row r="4438" spans="5:23" x14ac:dyDescent="0.25">
      <c r="E4438" s="4"/>
      <c r="F4438" s="4"/>
      <c r="G4438" s="33" t="str">
        <f>IFERROR(VLOOKUP($D4438,'Informations sur les produits'!$A$3:$H$10000,8,FALSE),"0")</f>
        <v>0</v>
      </c>
      <c r="K4438" s="4"/>
      <c r="L4438" s="33" t="str">
        <f>IFERROR(VLOOKUP($J4438,'Informations sur les produits'!$A$3:$H$10000,8,FALSE),"0")</f>
        <v>0</v>
      </c>
      <c r="N4438" s="8"/>
      <c r="O4438" s="33" t="str">
        <f>IFERROR(VLOOKUP($M4438,'Informations sur les produits'!$A$3:$H$10000,8,FALSE),"0")</f>
        <v>0</v>
      </c>
      <c r="P4438" s="33">
        <f t="shared" si="276"/>
        <v>0</v>
      </c>
      <c r="Q4438" s="31" t="str">
        <f t="shared" si="277"/>
        <v/>
      </c>
      <c r="R4438" s="32" t="str">
        <f>IFERROR(VLOOKUP($D4438,'Informations sur les produits'!$A$3:$B$15000,2,FALSE),"")</f>
        <v/>
      </c>
      <c r="V4438">
        <f t="shared" si="278"/>
        <v>0</v>
      </c>
      <c r="W4438">
        <f t="shared" si="279"/>
        <v>0</v>
      </c>
    </row>
    <row r="4439" spans="5:23" x14ac:dyDescent="0.25">
      <c r="E4439" s="4"/>
      <c r="F4439" s="4"/>
      <c r="G4439" s="33" t="str">
        <f>IFERROR(VLOOKUP($D4439,'Informations sur les produits'!$A$3:$H$10000,8,FALSE),"0")</f>
        <v>0</v>
      </c>
      <c r="K4439" s="4"/>
      <c r="L4439" s="33" t="str">
        <f>IFERROR(VLOOKUP($J4439,'Informations sur les produits'!$A$3:$H$10000,8,FALSE),"0")</f>
        <v>0</v>
      </c>
      <c r="N4439" s="8"/>
      <c r="O4439" s="33" t="str">
        <f>IFERROR(VLOOKUP($M4439,'Informations sur les produits'!$A$3:$H$10000,8,FALSE),"0")</f>
        <v>0</v>
      </c>
      <c r="P4439" s="33">
        <f t="shared" si="276"/>
        <v>0</v>
      </c>
      <c r="Q4439" s="31" t="str">
        <f t="shared" si="277"/>
        <v/>
      </c>
      <c r="R4439" s="32" t="str">
        <f>IFERROR(VLOOKUP($D4439,'Informations sur les produits'!$A$3:$B$15000,2,FALSE),"")</f>
        <v/>
      </c>
      <c r="V4439">
        <f t="shared" si="278"/>
        <v>0</v>
      </c>
      <c r="W4439">
        <f t="shared" si="279"/>
        <v>0</v>
      </c>
    </row>
    <row r="4440" spans="5:23" x14ac:dyDescent="0.25">
      <c r="E4440" s="4"/>
      <c r="F4440" s="4"/>
      <c r="G4440" s="33" t="str">
        <f>IFERROR(VLOOKUP($D4440,'Informations sur les produits'!$A$3:$H$10000,8,FALSE),"0")</f>
        <v>0</v>
      </c>
      <c r="K4440" s="4"/>
      <c r="L4440" s="33" t="str">
        <f>IFERROR(VLOOKUP($J4440,'Informations sur les produits'!$A$3:$H$10000,8,FALSE),"0")</f>
        <v>0</v>
      </c>
      <c r="N4440" s="8"/>
      <c r="O4440" s="33" t="str">
        <f>IFERROR(VLOOKUP($M4440,'Informations sur les produits'!$A$3:$H$10000,8,FALSE),"0")</f>
        <v>0</v>
      </c>
      <c r="P4440" s="33">
        <f t="shared" si="276"/>
        <v>0</v>
      </c>
      <c r="Q4440" s="31" t="str">
        <f t="shared" si="277"/>
        <v/>
      </c>
      <c r="R4440" s="32" t="str">
        <f>IFERROR(VLOOKUP($D4440,'Informations sur les produits'!$A$3:$B$15000,2,FALSE),"")</f>
        <v/>
      </c>
      <c r="V4440">
        <f t="shared" si="278"/>
        <v>0</v>
      </c>
      <c r="W4440">
        <f t="shared" si="279"/>
        <v>0</v>
      </c>
    </row>
    <row r="4441" spans="5:23" x14ac:dyDescent="0.25">
      <c r="E4441" s="4"/>
      <c r="F4441" s="4"/>
      <c r="G4441" s="33" t="str">
        <f>IFERROR(VLOOKUP($D4441,'Informations sur les produits'!$A$3:$H$10000,8,FALSE),"0")</f>
        <v>0</v>
      </c>
      <c r="K4441" s="4"/>
      <c r="L4441" s="33" t="str">
        <f>IFERROR(VLOOKUP($J4441,'Informations sur les produits'!$A$3:$H$10000,8,FALSE),"0")</f>
        <v>0</v>
      </c>
      <c r="N4441" s="8"/>
      <c r="O4441" s="33" t="str">
        <f>IFERROR(VLOOKUP($M4441,'Informations sur les produits'!$A$3:$H$10000,8,FALSE),"0")</f>
        <v>0</v>
      </c>
      <c r="P4441" s="33">
        <f t="shared" si="276"/>
        <v>0</v>
      </c>
      <c r="Q4441" s="31" t="str">
        <f t="shared" si="277"/>
        <v/>
      </c>
      <c r="R4441" s="32" t="str">
        <f>IFERROR(VLOOKUP($D4441,'Informations sur les produits'!$A$3:$B$15000,2,FALSE),"")</f>
        <v/>
      </c>
      <c r="V4441">
        <f t="shared" si="278"/>
        <v>0</v>
      </c>
      <c r="W4441">
        <f t="shared" si="279"/>
        <v>0</v>
      </c>
    </row>
    <row r="4442" spans="5:23" x14ac:dyDescent="0.25">
      <c r="E4442" s="4"/>
      <c r="F4442" s="4"/>
      <c r="G4442" s="33" t="str">
        <f>IFERROR(VLOOKUP($D4442,'Informations sur les produits'!$A$3:$H$10000,8,FALSE),"0")</f>
        <v>0</v>
      </c>
      <c r="K4442" s="4"/>
      <c r="L4442" s="33" t="str">
        <f>IFERROR(VLOOKUP($J4442,'Informations sur les produits'!$A$3:$H$10000,8,FALSE),"0")</f>
        <v>0</v>
      </c>
      <c r="N4442" s="8"/>
      <c r="O4442" s="33" t="str">
        <f>IFERROR(VLOOKUP($M4442,'Informations sur les produits'!$A$3:$H$10000,8,FALSE),"0")</f>
        <v>0</v>
      </c>
      <c r="P4442" s="33">
        <f t="shared" si="276"/>
        <v>0</v>
      </c>
      <c r="Q4442" s="31" t="str">
        <f t="shared" si="277"/>
        <v/>
      </c>
      <c r="R4442" s="32" t="str">
        <f>IFERROR(VLOOKUP($D4442,'Informations sur les produits'!$A$3:$B$15000,2,FALSE),"")</f>
        <v/>
      </c>
      <c r="V4442">
        <f t="shared" si="278"/>
        <v>0</v>
      </c>
      <c r="W4442">
        <f t="shared" si="279"/>
        <v>0</v>
      </c>
    </row>
    <row r="4443" spans="5:23" x14ac:dyDescent="0.25">
      <c r="E4443" s="4"/>
      <c r="F4443" s="4"/>
      <c r="G4443" s="33" t="str">
        <f>IFERROR(VLOOKUP($D4443,'Informations sur les produits'!$A$3:$H$10000,8,FALSE),"0")</f>
        <v>0</v>
      </c>
      <c r="K4443" s="4"/>
      <c r="L4443" s="33" t="str">
        <f>IFERROR(VLOOKUP($J4443,'Informations sur les produits'!$A$3:$H$10000,8,FALSE),"0")</f>
        <v>0</v>
      </c>
      <c r="N4443" s="8"/>
      <c r="O4443" s="33" t="str">
        <f>IFERROR(VLOOKUP($M4443,'Informations sur les produits'!$A$3:$H$10000,8,FALSE),"0")</f>
        <v>0</v>
      </c>
      <c r="P4443" s="33">
        <f t="shared" si="276"/>
        <v>0</v>
      </c>
      <c r="Q4443" s="31" t="str">
        <f t="shared" si="277"/>
        <v/>
      </c>
      <c r="R4443" s="32" t="str">
        <f>IFERROR(VLOOKUP($D4443,'Informations sur les produits'!$A$3:$B$15000,2,FALSE),"")</f>
        <v/>
      </c>
      <c r="V4443">
        <f t="shared" si="278"/>
        <v>0</v>
      </c>
      <c r="W4443">
        <f t="shared" si="279"/>
        <v>0</v>
      </c>
    </row>
    <row r="4444" spans="5:23" x14ac:dyDescent="0.25">
      <c r="E4444" s="4"/>
      <c r="F4444" s="4"/>
      <c r="G4444" s="33" t="str">
        <f>IFERROR(VLOOKUP($D4444,'Informations sur les produits'!$A$3:$H$10000,8,FALSE),"0")</f>
        <v>0</v>
      </c>
      <c r="K4444" s="4"/>
      <c r="L4444" s="33" t="str">
        <f>IFERROR(VLOOKUP($J4444,'Informations sur les produits'!$A$3:$H$10000,8,FALSE),"0")</f>
        <v>0</v>
      </c>
      <c r="N4444" s="8"/>
      <c r="O4444" s="33" t="str">
        <f>IFERROR(VLOOKUP($M4444,'Informations sur les produits'!$A$3:$H$10000,8,FALSE),"0")</f>
        <v>0</v>
      </c>
      <c r="P4444" s="33">
        <f t="shared" si="276"/>
        <v>0</v>
      </c>
      <c r="Q4444" s="31" t="str">
        <f t="shared" si="277"/>
        <v/>
      </c>
      <c r="R4444" s="32" t="str">
        <f>IFERROR(VLOOKUP($D4444,'Informations sur les produits'!$A$3:$B$15000,2,FALSE),"")</f>
        <v/>
      </c>
      <c r="V4444">
        <f t="shared" si="278"/>
        <v>0</v>
      </c>
      <c r="W4444">
        <f t="shared" si="279"/>
        <v>0</v>
      </c>
    </row>
    <row r="4445" spans="5:23" x14ac:dyDescent="0.25">
      <c r="E4445" s="4"/>
      <c r="F4445" s="4"/>
      <c r="G4445" s="33" t="str">
        <f>IFERROR(VLOOKUP($D4445,'Informations sur les produits'!$A$3:$H$10000,8,FALSE),"0")</f>
        <v>0</v>
      </c>
      <c r="K4445" s="4"/>
      <c r="L4445" s="33" t="str">
        <f>IFERROR(VLOOKUP($J4445,'Informations sur les produits'!$A$3:$H$10000,8,FALSE),"0")</f>
        <v>0</v>
      </c>
      <c r="N4445" s="8"/>
      <c r="O4445" s="33" t="str">
        <f>IFERROR(VLOOKUP($M4445,'Informations sur les produits'!$A$3:$H$10000,8,FALSE),"0")</f>
        <v>0</v>
      </c>
      <c r="P4445" s="33">
        <f t="shared" si="276"/>
        <v>0</v>
      </c>
      <c r="Q4445" s="31" t="str">
        <f t="shared" si="277"/>
        <v/>
      </c>
      <c r="R4445" s="32" t="str">
        <f>IFERROR(VLOOKUP($D4445,'Informations sur les produits'!$A$3:$B$15000,2,FALSE),"")</f>
        <v/>
      </c>
      <c r="V4445">
        <f t="shared" si="278"/>
        <v>0</v>
      </c>
      <c r="W4445">
        <f t="shared" si="279"/>
        <v>0</v>
      </c>
    </row>
    <row r="4446" spans="5:23" x14ac:dyDescent="0.25">
      <c r="E4446" s="4"/>
      <c r="F4446" s="4"/>
      <c r="G4446" s="33" t="str">
        <f>IFERROR(VLOOKUP($D4446,'Informations sur les produits'!$A$3:$H$10000,8,FALSE),"0")</f>
        <v>0</v>
      </c>
      <c r="K4446" s="4"/>
      <c r="L4446" s="33" t="str">
        <f>IFERROR(VLOOKUP($J4446,'Informations sur les produits'!$A$3:$H$10000,8,FALSE),"0")</f>
        <v>0</v>
      </c>
      <c r="N4446" s="8"/>
      <c r="O4446" s="33" t="str">
        <f>IFERROR(VLOOKUP($M4446,'Informations sur les produits'!$A$3:$H$10000,8,FALSE),"0")</f>
        <v>0</v>
      </c>
      <c r="P4446" s="33">
        <f t="shared" si="276"/>
        <v>0</v>
      </c>
      <c r="Q4446" s="31" t="str">
        <f t="shared" si="277"/>
        <v/>
      </c>
      <c r="R4446" s="32" t="str">
        <f>IFERROR(VLOOKUP($D4446,'Informations sur les produits'!$A$3:$B$15000,2,FALSE),"")</f>
        <v/>
      </c>
      <c r="V4446">
        <f t="shared" si="278"/>
        <v>0</v>
      </c>
      <c r="W4446">
        <f t="shared" si="279"/>
        <v>0</v>
      </c>
    </row>
    <row r="4447" spans="5:23" x14ac:dyDescent="0.25">
      <c r="E4447" s="4"/>
      <c r="F4447" s="4"/>
      <c r="G4447" s="33" t="str">
        <f>IFERROR(VLOOKUP($D4447,'Informations sur les produits'!$A$3:$H$10000,8,FALSE),"0")</f>
        <v>0</v>
      </c>
      <c r="K4447" s="4"/>
      <c r="L4447" s="33" t="str">
        <f>IFERROR(VLOOKUP($J4447,'Informations sur les produits'!$A$3:$H$10000,8,FALSE),"0")</f>
        <v>0</v>
      </c>
      <c r="N4447" s="8"/>
      <c r="O4447" s="33" t="str">
        <f>IFERROR(VLOOKUP($M4447,'Informations sur les produits'!$A$3:$H$10000,8,FALSE),"0")</f>
        <v>0</v>
      </c>
      <c r="P4447" s="33">
        <f t="shared" si="276"/>
        <v>0</v>
      </c>
      <c r="Q4447" s="31" t="str">
        <f t="shared" si="277"/>
        <v/>
      </c>
      <c r="R4447" s="32" t="str">
        <f>IFERROR(VLOOKUP($D4447,'Informations sur les produits'!$A$3:$B$15000,2,FALSE),"")</f>
        <v/>
      </c>
      <c r="V4447">
        <f t="shared" si="278"/>
        <v>0</v>
      </c>
      <c r="W4447">
        <f t="shared" si="279"/>
        <v>0</v>
      </c>
    </row>
    <row r="4448" spans="5:23" x14ac:dyDescent="0.25">
      <c r="E4448" s="4"/>
      <c r="F4448" s="4"/>
      <c r="G4448" s="33" t="str">
        <f>IFERROR(VLOOKUP($D4448,'Informations sur les produits'!$A$3:$H$10000,8,FALSE),"0")</f>
        <v>0</v>
      </c>
      <c r="K4448" s="4"/>
      <c r="L4448" s="33" t="str">
        <f>IFERROR(VLOOKUP($J4448,'Informations sur les produits'!$A$3:$H$10000,8,FALSE),"0")</f>
        <v>0</v>
      </c>
      <c r="N4448" s="8"/>
      <c r="O4448" s="33" t="str">
        <f>IFERROR(VLOOKUP($M4448,'Informations sur les produits'!$A$3:$H$10000,8,FALSE),"0")</f>
        <v>0</v>
      </c>
      <c r="P4448" s="33">
        <f t="shared" si="276"/>
        <v>0</v>
      </c>
      <c r="Q4448" s="31" t="str">
        <f t="shared" si="277"/>
        <v/>
      </c>
      <c r="R4448" s="32" t="str">
        <f>IFERROR(VLOOKUP($D4448,'Informations sur les produits'!$A$3:$B$15000,2,FALSE),"")</f>
        <v/>
      </c>
      <c r="V4448">
        <f t="shared" si="278"/>
        <v>0</v>
      </c>
      <c r="W4448">
        <f t="shared" si="279"/>
        <v>0</v>
      </c>
    </row>
    <row r="4449" spans="5:23" x14ac:dyDescent="0.25">
      <c r="E4449" s="4"/>
      <c r="F4449" s="4"/>
      <c r="G4449" s="33" t="str">
        <f>IFERROR(VLOOKUP($D4449,'Informations sur les produits'!$A$3:$H$10000,8,FALSE),"0")</f>
        <v>0</v>
      </c>
      <c r="K4449" s="4"/>
      <c r="L4449" s="33" t="str">
        <f>IFERROR(VLOOKUP($J4449,'Informations sur les produits'!$A$3:$H$10000,8,FALSE),"0")</f>
        <v>0</v>
      </c>
      <c r="N4449" s="8"/>
      <c r="O4449" s="33" t="str">
        <f>IFERROR(VLOOKUP($M4449,'Informations sur les produits'!$A$3:$H$10000,8,FALSE),"0")</f>
        <v>0</v>
      </c>
      <c r="P4449" s="33">
        <f t="shared" si="276"/>
        <v>0</v>
      </c>
      <c r="Q4449" s="31" t="str">
        <f t="shared" si="277"/>
        <v/>
      </c>
      <c r="R4449" s="32" t="str">
        <f>IFERROR(VLOOKUP($D4449,'Informations sur les produits'!$A$3:$B$15000,2,FALSE),"")</f>
        <v/>
      </c>
      <c r="V4449">
        <f t="shared" si="278"/>
        <v>0</v>
      </c>
      <c r="W4449">
        <f t="shared" si="279"/>
        <v>0</v>
      </c>
    </row>
    <row r="4450" spans="5:23" x14ac:dyDescent="0.25">
      <c r="E4450" s="4"/>
      <c r="F4450" s="4"/>
      <c r="G4450" s="33" t="str">
        <f>IFERROR(VLOOKUP($D4450,'Informations sur les produits'!$A$3:$H$10000,8,FALSE),"0")</f>
        <v>0</v>
      </c>
      <c r="K4450" s="4"/>
      <c r="L4450" s="33" t="str">
        <f>IFERROR(VLOOKUP($J4450,'Informations sur les produits'!$A$3:$H$10000,8,FALSE),"0")</f>
        <v>0</v>
      </c>
      <c r="N4450" s="8"/>
      <c r="O4450" s="33" t="str">
        <f>IFERROR(VLOOKUP($M4450,'Informations sur les produits'!$A$3:$H$10000,8,FALSE),"0")</f>
        <v>0</v>
      </c>
      <c r="P4450" s="33">
        <f t="shared" si="276"/>
        <v>0</v>
      </c>
      <c r="Q4450" s="31" t="str">
        <f t="shared" si="277"/>
        <v/>
      </c>
      <c r="R4450" s="32" t="str">
        <f>IFERROR(VLOOKUP($D4450,'Informations sur les produits'!$A$3:$B$15000,2,FALSE),"")</f>
        <v/>
      </c>
      <c r="V4450">
        <f t="shared" si="278"/>
        <v>0</v>
      </c>
      <c r="W4450">
        <f t="shared" si="279"/>
        <v>0</v>
      </c>
    </row>
    <row r="4451" spans="5:23" x14ac:dyDescent="0.25">
      <c r="E4451" s="4"/>
      <c r="F4451" s="4"/>
      <c r="G4451" s="33" t="str">
        <f>IFERROR(VLOOKUP($D4451,'Informations sur les produits'!$A$3:$H$10000,8,FALSE),"0")</f>
        <v>0</v>
      </c>
      <c r="K4451" s="4"/>
      <c r="L4451" s="33" t="str">
        <f>IFERROR(VLOOKUP($J4451,'Informations sur les produits'!$A$3:$H$10000,8,FALSE),"0")</f>
        <v>0</v>
      </c>
      <c r="N4451" s="8"/>
      <c r="O4451" s="33" t="str">
        <f>IFERROR(VLOOKUP($M4451,'Informations sur les produits'!$A$3:$H$10000,8,FALSE),"0")</f>
        <v>0</v>
      </c>
      <c r="P4451" s="33">
        <f t="shared" si="276"/>
        <v>0</v>
      </c>
      <c r="Q4451" s="31" t="str">
        <f t="shared" si="277"/>
        <v/>
      </c>
      <c r="R4451" s="32" t="str">
        <f>IFERROR(VLOOKUP($D4451,'Informations sur les produits'!$A$3:$B$15000,2,FALSE),"")</f>
        <v/>
      </c>
      <c r="V4451">
        <f t="shared" si="278"/>
        <v>0</v>
      </c>
      <c r="W4451">
        <f t="shared" si="279"/>
        <v>0</v>
      </c>
    </row>
    <row r="4452" spans="5:23" x14ac:dyDescent="0.25">
      <c r="E4452" s="4"/>
      <c r="F4452" s="4"/>
      <c r="G4452" s="33" t="str">
        <f>IFERROR(VLOOKUP($D4452,'Informations sur les produits'!$A$3:$H$10000,8,FALSE),"0")</f>
        <v>0</v>
      </c>
      <c r="K4452" s="4"/>
      <c r="L4452" s="33" t="str">
        <f>IFERROR(VLOOKUP($J4452,'Informations sur les produits'!$A$3:$H$10000,8,FALSE),"0")</f>
        <v>0</v>
      </c>
      <c r="N4452" s="8"/>
      <c r="O4452" s="33" t="str">
        <f>IFERROR(VLOOKUP($M4452,'Informations sur les produits'!$A$3:$H$10000,8,FALSE),"0")</f>
        <v>0</v>
      </c>
      <c r="P4452" s="33">
        <f t="shared" si="276"/>
        <v>0</v>
      </c>
      <c r="Q4452" s="31" t="str">
        <f t="shared" si="277"/>
        <v/>
      </c>
      <c r="R4452" s="32" t="str">
        <f>IFERROR(VLOOKUP($D4452,'Informations sur les produits'!$A$3:$B$15000,2,FALSE),"")</f>
        <v/>
      </c>
      <c r="V4452">
        <f t="shared" si="278"/>
        <v>0</v>
      </c>
      <c r="W4452">
        <f t="shared" si="279"/>
        <v>0</v>
      </c>
    </row>
    <row r="4453" spans="5:23" x14ac:dyDescent="0.25">
      <c r="E4453" s="4"/>
      <c r="F4453" s="4"/>
      <c r="G4453" s="33" t="str">
        <f>IFERROR(VLOOKUP($D4453,'Informations sur les produits'!$A$3:$H$10000,8,FALSE),"0")</f>
        <v>0</v>
      </c>
      <c r="K4453" s="4"/>
      <c r="L4453" s="33" t="str">
        <f>IFERROR(VLOOKUP($J4453,'Informations sur les produits'!$A$3:$H$10000,8,FALSE),"0")</f>
        <v>0</v>
      </c>
      <c r="N4453" s="8"/>
      <c r="O4453" s="33" t="str">
        <f>IFERROR(VLOOKUP($M4453,'Informations sur les produits'!$A$3:$H$10000,8,FALSE),"0")</f>
        <v>0</v>
      </c>
      <c r="P4453" s="33">
        <f t="shared" si="276"/>
        <v>0</v>
      </c>
      <c r="Q4453" s="31" t="str">
        <f t="shared" si="277"/>
        <v/>
      </c>
      <c r="R4453" s="32" t="str">
        <f>IFERROR(VLOOKUP($D4453,'Informations sur les produits'!$A$3:$B$15000,2,FALSE),"")</f>
        <v/>
      </c>
      <c r="V4453">
        <f t="shared" si="278"/>
        <v>0</v>
      </c>
      <c r="W4453">
        <f t="shared" si="279"/>
        <v>0</v>
      </c>
    </row>
    <row r="4454" spans="5:23" x14ac:dyDescent="0.25">
      <c r="E4454" s="4"/>
      <c r="F4454" s="4"/>
      <c r="G4454" s="33" t="str">
        <f>IFERROR(VLOOKUP($D4454,'Informations sur les produits'!$A$3:$H$10000,8,FALSE),"0")</f>
        <v>0</v>
      </c>
      <c r="K4454" s="4"/>
      <c r="L4454" s="33" t="str">
        <f>IFERROR(VLOOKUP($J4454,'Informations sur les produits'!$A$3:$H$10000,8,FALSE),"0")</f>
        <v>0</v>
      </c>
      <c r="N4454" s="8"/>
      <c r="O4454" s="33" t="str">
        <f>IFERROR(VLOOKUP($M4454,'Informations sur les produits'!$A$3:$H$10000,8,FALSE),"0")</f>
        <v>0</v>
      </c>
      <c r="P4454" s="33">
        <f t="shared" si="276"/>
        <v>0</v>
      </c>
      <c r="Q4454" s="31" t="str">
        <f t="shared" si="277"/>
        <v/>
      </c>
      <c r="R4454" s="32" t="str">
        <f>IFERROR(VLOOKUP($D4454,'Informations sur les produits'!$A$3:$B$15000,2,FALSE),"")</f>
        <v/>
      </c>
      <c r="V4454">
        <f t="shared" si="278"/>
        <v>0</v>
      </c>
      <c r="W4454">
        <f t="shared" si="279"/>
        <v>0</v>
      </c>
    </row>
    <row r="4455" spans="5:23" x14ac:dyDescent="0.25">
      <c r="E4455" s="4"/>
      <c r="F4455" s="4"/>
      <c r="G4455" s="33" t="str">
        <f>IFERROR(VLOOKUP($D4455,'Informations sur les produits'!$A$3:$H$10000,8,FALSE),"0")</f>
        <v>0</v>
      </c>
      <c r="K4455" s="4"/>
      <c r="L4455" s="33" t="str">
        <f>IFERROR(VLOOKUP($J4455,'Informations sur les produits'!$A$3:$H$10000,8,FALSE),"0")</f>
        <v>0</v>
      </c>
      <c r="N4455" s="8"/>
      <c r="O4455" s="33" t="str">
        <f>IFERROR(VLOOKUP($M4455,'Informations sur les produits'!$A$3:$H$10000,8,FALSE),"0")</f>
        <v>0</v>
      </c>
      <c r="P4455" s="33">
        <f t="shared" si="276"/>
        <v>0</v>
      </c>
      <c r="Q4455" s="31" t="str">
        <f t="shared" si="277"/>
        <v/>
      </c>
      <c r="R4455" s="32" t="str">
        <f>IFERROR(VLOOKUP($D4455,'Informations sur les produits'!$A$3:$B$15000,2,FALSE),"")</f>
        <v/>
      </c>
      <c r="V4455">
        <f t="shared" si="278"/>
        <v>0</v>
      </c>
      <c r="W4455">
        <f t="shared" si="279"/>
        <v>0</v>
      </c>
    </row>
    <row r="4456" spans="5:23" x14ac:dyDescent="0.25">
      <c r="E4456" s="4"/>
      <c r="F4456" s="4"/>
      <c r="G4456" s="33" t="str">
        <f>IFERROR(VLOOKUP($D4456,'Informations sur les produits'!$A$3:$H$10000,8,FALSE),"0")</f>
        <v>0</v>
      </c>
      <c r="K4456" s="4"/>
      <c r="L4456" s="33" t="str">
        <f>IFERROR(VLOOKUP($J4456,'Informations sur les produits'!$A$3:$H$10000,8,FALSE),"0")</f>
        <v>0</v>
      </c>
      <c r="N4456" s="8"/>
      <c r="O4456" s="33" t="str">
        <f>IFERROR(VLOOKUP($M4456,'Informations sur les produits'!$A$3:$H$10000,8,FALSE),"0")</f>
        <v>0</v>
      </c>
      <c r="P4456" s="33">
        <f t="shared" si="276"/>
        <v>0</v>
      </c>
      <c r="Q4456" s="31" t="str">
        <f t="shared" si="277"/>
        <v/>
      </c>
      <c r="R4456" s="32" t="str">
        <f>IFERROR(VLOOKUP($D4456,'Informations sur les produits'!$A$3:$B$15000,2,FALSE),"")</f>
        <v/>
      </c>
      <c r="V4456">
        <f t="shared" si="278"/>
        <v>0</v>
      </c>
      <c r="W4456">
        <f t="shared" si="279"/>
        <v>0</v>
      </c>
    </row>
    <row r="4457" spans="5:23" x14ac:dyDescent="0.25">
      <c r="E4457" s="4"/>
      <c r="F4457" s="4"/>
      <c r="G4457" s="33" t="str">
        <f>IFERROR(VLOOKUP($D4457,'Informations sur les produits'!$A$3:$H$10000,8,FALSE),"0")</f>
        <v>0</v>
      </c>
      <c r="K4457" s="4"/>
      <c r="L4457" s="33" t="str">
        <f>IFERROR(VLOOKUP($J4457,'Informations sur les produits'!$A$3:$H$10000,8,FALSE),"0")</f>
        <v>0</v>
      </c>
      <c r="N4457" s="8"/>
      <c r="O4457" s="33" t="str">
        <f>IFERROR(VLOOKUP($M4457,'Informations sur les produits'!$A$3:$H$10000,8,FALSE),"0")</f>
        <v>0</v>
      </c>
      <c r="P4457" s="33">
        <f t="shared" si="276"/>
        <v>0</v>
      </c>
      <c r="Q4457" s="31" t="str">
        <f t="shared" si="277"/>
        <v/>
      </c>
      <c r="R4457" s="32" t="str">
        <f>IFERROR(VLOOKUP($D4457,'Informations sur les produits'!$A$3:$B$15000,2,FALSE),"")</f>
        <v/>
      </c>
      <c r="V4457">
        <f t="shared" si="278"/>
        <v>0</v>
      </c>
      <c r="W4457">
        <f t="shared" si="279"/>
        <v>0</v>
      </c>
    </row>
    <row r="4458" spans="5:23" x14ac:dyDescent="0.25">
      <c r="E4458" s="4"/>
      <c r="F4458" s="4"/>
      <c r="G4458" s="33" t="str">
        <f>IFERROR(VLOOKUP($D4458,'Informations sur les produits'!$A$3:$H$10000,8,FALSE),"0")</f>
        <v>0</v>
      </c>
      <c r="K4458" s="4"/>
      <c r="L4458" s="33" t="str">
        <f>IFERROR(VLOOKUP($J4458,'Informations sur les produits'!$A$3:$H$10000,8,FALSE),"0")</f>
        <v>0</v>
      </c>
      <c r="N4458" s="8"/>
      <c r="O4458" s="33" t="str">
        <f>IFERROR(VLOOKUP($M4458,'Informations sur les produits'!$A$3:$H$10000,8,FALSE),"0")</f>
        <v>0</v>
      </c>
      <c r="P4458" s="33">
        <f t="shared" si="276"/>
        <v>0</v>
      </c>
      <c r="Q4458" s="31" t="str">
        <f t="shared" si="277"/>
        <v/>
      </c>
      <c r="R4458" s="32" t="str">
        <f>IFERROR(VLOOKUP($D4458,'Informations sur les produits'!$A$3:$B$15000,2,FALSE),"")</f>
        <v/>
      </c>
      <c r="V4458">
        <f t="shared" si="278"/>
        <v>0</v>
      </c>
      <c r="W4458">
        <f t="shared" si="279"/>
        <v>0</v>
      </c>
    </row>
    <row r="4459" spans="5:23" x14ac:dyDescent="0.25">
      <c r="E4459" s="4"/>
      <c r="F4459" s="4"/>
      <c r="G4459" s="33" t="str">
        <f>IFERROR(VLOOKUP($D4459,'Informations sur les produits'!$A$3:$H$10000,8,FALSE),"0")</f>
        <v>0</v>
      </c>
      <c r="K4459" s="4"/>
      <c r="L4459" s="33" t="str">
        <f>IFERROR(VLOOKUP($J4459,'Informations sur les produits'!$A$3:$H$10000,8,FALSE),"0")</f>
        <v>0</v>
      </c>
      <c r="N4459" s="8"/>
      <c r="O4459" s="33" t="str">
        <f>IFERROR(VLOOKUP($M4459,'Informations sur les produits'!$A$3:$H$10000,8,FALSE),"0")</f>
        <v>0</v>
      </c>
      <c r="P4459" s="33">
        <f t="shared" si="276"/>
        <v>0</v>
      </c>
      <c r="Q4459" s="31" t="str">
        <f t="shared" si="277"/>
        <v/>
      </c>
      <c r="R4459" s="32" t="str">
        <f>IFERROR(VLOOKUP($D4459,'Informations sur les produits'!$A$3:$B$15000,2,FALSE),"")</f>
        <v/>
      </c>
      <c r="V4459">
        <f t="shared" si="278"/>
        <v>0</v>
      </c>
      <c r="W4459">
        <f t="shared" si="279"/>
        <v>0</v>
      </c>
    </row>
    <row r="4460" spans="5:23" x14ac:dyDescent="0.25">
      <c r="E4460" s="4"/>
      <c r="F4460" s="4"/>
      <c r="G4460" s="33" t="str">
        <f>IFERROR(VLOOKUP($D4460,'Informations sur les produits'!$A$3:$H$10000,8,FALSE),"0")</f>
        <v>0</v>
      </c>
      <c r="K4460" s="4"/>
      <c r="L4460" s="33" t="str">
        <f>IFERROR(VLOOKUP($J4460,'Informations sur les produits'!$A$3:$H$10000,8,FALSE),"0")</f>
        <v>0</v>
      </c>
      <c r="N4460" s="8"/>
      <c r="O4460" s="33" t="str">
        <f>IFERROR(VLOOKUP($M4460,'Informations sur les produits'!$A$3:$H$10000,8,FALSE),"0")</f>
        <v>0</v>
      </c>
      <c r="P4460" s="33">
        <f t="shared" si="276"/>
        <v>0</v>
      </c>
      <c r="Q4460" s="31" t="str">
        <f t="shared" si="277"/>
        <v/>
      </c>
      <c r="R4460" s="32" t="str">
        <f>IFERROR(VLOOKUP($D4460,'Informations sur les produits'!$A$3:$B$15000,2,FALSE),"")</f>
        <v/>
      </c>
      <c r="V4460">
        <f t="shared" si="278"/>
        <v>0</v>
      </c>
      <c r="W4460">
        <f t="shared" si="279"/>
        <v>0</v>
      </c>
    </row>
    <row r="4461" spans="5:23" x14ac:dyDescent="0.25">
      <c r="E4461" s="4"/>
      <c r="F4461" s="4"/>
      <c r="G4461" s="33" t="str">
        <f>IFERROR(VLOOKUP($D4461,'Informations sur les produits'!$A$3:$H$10000,8,FALSE),"0")</f>
        <v>0</v>
      </c>
      <c r="K4461" s="4"/>
      <c r="L4461" s="33" t="str">
        <f>IFERROR(VLOOKUP($J4461,'Informations sur les produits'!$A$3:$H$10000,8,FALSE),"0")</f>
        <v>0</v>
      </c>
      <c r="N4461" s="8"/>
      <c r="O4461" s="33" t="str">
        <f>IFERROR(VLOOKUP($M4461,'Informations sur les produits'!$A$3:$H$10000,8,FALSE),"0")</f>
        <v>0</v>
      </c>
      <c r="P4461" s="33">
        <f t="shared" si="276"/>
        <v>0</v>
      </c>
      <c r="Q4461" s="31" t="str">
        <f t="shared" si="277"/>
        <v/>
      </c>
      <c r="R4461" s="32" t="str">
        <f>IFERROR(VLOOKUP($D4461,'Informations sur les produits'!$A$3:$B$15000,2,FALSE),"")</f>
        <v/>
      </c>
      <c r="V4461">
        <f t="shared" si="278"/>
        <v>0</v>
      </c>
      <c r="W4461">
        <f t="shared" si="279"/>
        <v>0</v>
      </c>
    </row>
    <row r="4462" spans="5:23" x14ac:dyDescent="0.25">
      <c r="E4462" s="4"/>
      <c r="F4462" s="4"/>
      <c r="G4462" s="33" t="str">
        <f>IFERROR(VLOOKUP($D4462,'Informations sur les produits'!$A$3:$H$10000,8,FALSE),"0")</f>
        <v>0</v>
      </c>
      <c r="K4462" s="4"/>
      <c r="L4462" s="33" t="str">
        <f>IFERROR(VLOOKUP($J4462,'Informations sur les produits'!$A$3:$H$10000,8,FALSE),"0")</f>
        <v>0</v>
      </c>
      <c r="N4462" s="8"/>
      <c r="O4462" s="33" t="str">
        <f>IFERROR(VLOOKUP($M4462,'Informations sur les produits'!$A$3:$H$10000,8,FALSE),"0")</f>
        <v>0</v>
      </c>
      <c r="P4462" s="33">
        <f t="shared" si="276"/>
        <v>0</v>
      </c>
      <c r="Q4462" s="31" t="str">
        <f t="shared" si="277"/>
        <v/>
      </c>
      <c r="R4462" s="32" t="str">
        <f>IFERROR(VLOOKUP($D4462,'Informations sur les produits'!$A$3:$B$15000,2,FALSE),"")</f>
        <v/>
      </c>
      <c r="V4462">
        <f t="shared" si="278"/>
        <v>0</v>
      </c>
      <c r="W4462">
        <f t="shared" si="279"/>
        <v>0</v>
      </c>
    </row>
    <row r="4463" spans="5:23" x14ac:dyDescent="0.25">
      <c r="E4463" s="4"/>
      <c r="F4463" s="4"/>
      <c r="G4463" s="33" t="str">
        <f>IFERROR(VLOOKUP($D4463,'Informations sur les produits'!$A$3:$H$10000,8,FALSE),"0")</f>
        <v>0</v>
      </c>
      <c r="K4463" s="4"/>
      <c r="L4463" s="33" t="str">
        <f>IFERROR(VLOOKUP($J4463,'Informations sur les produits'!$A$3:$H$10000,8,FALSE),"0")</f>
        <v>0</v>
      </c>
      <c r="N4463" s="8"/>
      <c r="O4463" s="33" t="str">
        <f>IFERROR(VLOOKUP($M4463,'Informations sur les produits'!$A$3:$H$10000,8,FALSE),"0")</f>
        <v>0</v>
      </c>
      <c r="P4463" s="33">
        <f t="shared" si="276"/>
        <v>0</v>
      </c>
      <c r="Q4463" s="31" t="str">
        <f t="shared" si="277"/>
        <v/>
      </c>
      <c r="R4463" s="32" t="str">
        <f>IFERROR(VLOOKUP($D4463,'Informations sur les produits'!$A$3:$B$15000,2,FALSE),"")</f>
        <v/>
      </c>
      <c r="V4463">
        <f t="shared" si="278"/>
        <v>0</v>
      </c>
      <c r="W4463">
        <f t="shared" si="279"/>
        <v>0</v>
      </c>
    </row>
    <row r="4464" spans="5:23" x14ac:dyDescent="0.25">
      <c r="E4464" s="4"/>
      <c r="F4464" s="4"/>
      <c r="G4464" s="33" t="str">
        <f>IFERROR(VLOOKUP($D4464,'Informations sur les produits'!$A$3:$H$10000,8,FALSE),"0")</f>
        <v>0</v>
      </c>
      <c r="K4464" s="4"/>
      <c r="L4464" s="33" t="str">
        <f>IFERROR(VLOOKUP($J4464,'Informations sur les produits'!$A$3:$H$10000,8,FALSE),"0")</f>
        <v>0</v>
      </c>
      <c r="N4464" s="8"/>
      <c r="O4464" s="33" t="str">
        <f>IFERROR(VLOOKUP($M4464,'Informations sur les produits'!$A$3:$H$10000,8,FALSE),"0")</f>
        <v>0</v>
      </c>
      <c r="P4464" s="33">
        <f t="shared" si="276"/>
        <v>0</v>
      </c>
      <c r="Q4464" s="31" t="str">
        <f t="shared" si="277"/>
        <v/>
      </c>
      <c r="R4464" s="32" t="str">
        <f>IFERROR(VLOOKUP($D4464,'Informations sur les produits'!$A$3:$B$15000,2,FALSE),"")</f>
        <v/>
      </c>
      <c r="V4464">
        <f t="shared" si="278"/>
        <v>0</v>
      </c>
      <c r="W4464">
        <f t="shared" si="279"/>
        <v>0</v>
      </c>
    </row>
    <row r="4465" spans="5:23" x14ac:dyDescent="0.25">
      <c r="E4465" s="4"/>
      <c r="F4465" s="4"/>
      <c r="G4465" s="33" t="str">
        <f>IFERROR(VLOOKUP($D4465,'Informations sur les produits'!$A$3:$H$10000,8,FALSE),"0")</f>
        <v>0</v>
      </c>
      <c r="K4465" s="4"/>
      <c r="L4465" s="33" t="str">
        <f>IFERROR(VLOOKUP($J4465,'Informations sur les produits'!$A$3:$H$10000,8,FALSE),"0")</f>
        <v>0</v>
      </c>
      <c r="N4465" s="8"/>
      <c r="O4465" s="33" t="str">
        <f>IFERROR(VLOOKUP($M4465,'Informations sur les produits'!$A$3:$H$10000,8,FALSE),"0")</f>
        <v>0</v>
      </c>
      <c r="P4465" s="33">
        <f t="shared" si="276"/>
        <v>0</v>
      </c>
      <c r="Q4465" s="31" t="str">
        <f t="shared" si="277"/>
        <v/>
      </c>
      <c r="R4465" s="32" t="str">
        <f>IFERROR(VLOOKUP($D4465,'Informations sur les produits'!$A$3:$B$15000,2,FALSE),"")</f>
        <v/>
      </c>
      <c r="V4465">
        <f t="shared" si="278"/>
        <v>0</v>
      </c>
      <c r="W4465">
        <f t="shared" si="279"/>
        <v>0</v>
      </c>
    </row>
    <row r="4466" spans="5:23" x14ac:dyDescent="0.25">
      <c r="E4466" s="4"/>
      <c r="F4466" s="4"/>
      <c r="G4466" s="33" t="str">
        <f>IFERROR(VLOOKUP($D4466,'Informations sur les produits'!$A$3:$H$10000,8,FALSE),"0")</f>
        <v>0</v>
      </c>
      <c r="K4466" s="4"/>
      <c r="L4466" s="33" t="str">
        <f>IFERROR(VLOOKUP($J4466,'Informations sur les produits'!$A$3:$H$10000,8,FALSE),"0")</f>
        <v>0</v>
      </c>
      <c r="N4466" s="8"/>
      <c r="O4466" s="33" t="str">
        <f>IFERROR(VLOOKUP($M4466,'Informations sur les produits'!$A$3:$H$10000,8,FALSE),"0")</f>
        <v>0</v>
      </c>
      <c r="P4466" s="33">
        <f t="shared" si="276"/>
        <v>0</v>
      </c>
      <c r="Q4466" s="31" t="str">
        <f t="shared" si="277"/>
        <v/>
      </c>
      <c r="R4466" s="32" t="str">
        <f>IFERROR(VLOOKUP($D4466,'Informations sur les produits'!$A$3:$B$15000,2,FALSE),"")</f>
        <v/>
      </c>
      <c r="V4466">
        <f t="shared" si="278"/>
        <v>0</v>
      </c>
      <c r="W4466">
        <f t="shared" si="279"/>
        <v>0</v>
      </c>
    </row>
    <row r="4467" spans="5:23" x14ac:dyDescent="0.25">
      <c r="E4467" s="4"/>
      <c r="F4467" s="4"/>
      <c r="G4467" s="33" t="str">
        <f>IFERROR(VLOOKUP($D4467,'Informations sur les produits'!$A$3:$H$10000,8,FALSE),"0")</f>
        <v>0</v>
      </c>
      <c r="K4467" s="4"/>
      <c r="L4467" s="33" t="str">
        <f>IFERROR(VLOOKUP($J4467,'Informations sur les produits'!$A$3:$H$10000,8,FALSE),"0")</f>
        <v>0</v>
      </c>
      <c r="N4467" s="8"/>
      <c r="O4467" s="33" t="str">
        <f>IFERROR(VLOOKUP($M4467,'Informations sur les produits'!$A$3:$H$10000,8,FALSE),"0")</f>
        <v>0</v>
      </c>
      <c r="P4467" s="33">
        <f t="shared" si="276"/>
        <v>0</v>
      </c>
      <c r="Q4467" s="31" t="str">
        <f t="shared" si="277"/>
        <v/>
      </c>
      <c r="R4467" s="32" t="str">
        <f>IFERROR(VLOOKUP($D4467,'Informations sur les produits'!$A$3:$B$15000,2,FALSE),"")</f>
        <v/>
      </c>
      <c r="V4467">
        <f t="shared" si="278"/>
        <v>0</v>
      </c>
      <c r="W4467">
        <f t="shared" si="279"/>
        <v>0</v>
      </c>
    </row>
    <row r="4468" spans="5:23" x14ac:dyDescent="0.25">
      <c r="E4468" s="4"/>
      <c r="F4468" s="4"/>
      <c r="G4468" s="33" t="str">
        <f>IFERROR(VLOOKUP($D4468,'Informations sur les produits'!$A$3:$H$10000,8,FALSE),"0")</f>
        <v>0</v>
      </c>
      <c r="K4468" s="4"/>
      <c r="L4468" s="33" t="str">
        <f>IFERROR(VLOOKUP($J4468,'Informations sur les produits'!$A$3:$H$10000,8,FALSE),"0")</f>
        <v>0</v>
      </c>
      <c r="N4468" s="8"/>
      <c r="O4468" s="33" t="str">
        <f>IFERROR(VLOOKUP($M4468,'Informations sur les produits'!$A$3:$H$10000,8,FALSE),"0")</f>
        <v>0</v>
      </c>
      <c r="P4468" s="33">
        <f t="shared" si="276"/>
        <v>0</v>
      </c>
      <c r="Q4468" s="31" t="str">
        <f t="shared" si="277"/>
        <v/>
      </c>
      <c r="R4468" s="32" t="str">
        <f>IFERROR(VLOOKUP($D4468,'Informations sur les produits'!$A$3:$B$15000,2,FALSE),"")</f>
        <v/>
      </c>
      <c r="V4468">
        <f t="shared" si="278"/>
        <v>0</v>
      </c>
      <c r="W4468">
        <f t="shared" si="279"/>
        <v>0</v>
      </c>
    </row>
    <row r="4469" spans="5:23" x14ac:dyDescent="0.25">
      <c r="E4469" s="4"/>
      <c r="F4469" s="4"/>
      <c r="G4469" s="33" t="str">
        <f>IFERROR(VLOOKUP($D4469,'Informations sur les produits'!$A$3:$H$10000,8,FALSE),"0")</f>
        <v>0</v>
      </c>
      <c r="K4469" s="4"/>
      <c r="L4469" s="33" t="str">
        <f>IFERROR(VLOOKUP($J4469,'Informations sur les produits'!$A$3:$H$10000,8,FALSE),"0")</f>
        <v>0</v>
      </c>
      <c r="N4469" s="8"/>
      <c r="O4469" s="33" t="str">
        <f>IFERROR(VLOOKUP($M4469,'Informations sur les produits'!$A$3:$H$10000,8,FALSE),"0")</f>
        <v>0</v>
      </c>
      <c r="P4469" s="33">
        <f t="shared" si="276"/>
        <v>0</v>
      </c>
      <c r="Q4469" s="31" t="str">
        <f t="shared" si="277"/>
        <v/>
      </c>
      <c r="R4469" s="32" t="str">
        <f>IFERROR(VLOOKUP($D4469,'Informations sur les produits'!$A$3:$B$15000,2,FALSE),"")</f>
        <v/>
      </c>
      <c r="V4469">
        <f t="shared" si="278"/>
        <v>0</v>
      </c>
      <c r="W4469">
        <f t="shared" si="279"/>
        <v>0</v>
      </c>
    </row>
    <row r="4470" spans="5:23" x14ac:dyDescent="0.25">
      <c r="E4470" s="4"/>
      <c r="F4470" s="4"/>
      <c r="G4470" s="33" t="str">
        <f>IFERROR(VLOOKUP($D4470,'Informations sur les produits'!$A$3:$H$10000,8,FALSE),"0")</f>
        <v>0</v>
      </c>
      <c r="K4470" s="4"/>
      <c r="L4470" s="33" t="str">
        <f>IFERROR(VLOOKUP($J4470,'Informations sur les produits'!$A$3:$H$10000,8,FALSE),"0")</f>
        <v>0</v>
      </c>
      <c r="N4470" s="8"/>
      <c r="O4470" s="33" t="str">
        <f>IFERROR(VLOOKUP($M4470,'Informations sur les produits'!$A$3:$H$10000,8,FALSE),"0")</f>
        <v>0</v>
      </c>
      <c r="P4470" s="33">
        <f t="shared" si="276"/>
        <v>0</v>
      </c>
      <c r="Q4470" s="31" t="str">
        <f t="shared" si="277"/>
        <v/>
      </c>
      <c r="R4470" s="32" t="str">
        <f>IFERROR(VLOOKUP($D4470,'Informations sur les produits'!$A$3:$B$15000,2,FALSE),"")</f>
        <v/>
      </c>
      <c r="V4470">
        <f t="shared" si="278"/>
        <v>0</v>
      </c>
      <c r="W4470">
        <f t="shared" si="279"/>
        <v>0</v>
      </c>
    </row>
    <row r="4471" spans="5:23" x14ac:dyDescent="0.25">
      <c r="E4471" s="4"/>
      <c r="F4471" s="4"/>
      <c r="G4471" s="33" t="str">
        <f>IFERROR(VLOOKUP($D4471,'Informations sur les produits'!$A$3:$H$10000,8,FALSE),"0")</f>
        <v>0</v>
      </c>
      <c r="K4471" s="4"/>
      <c r="L4471" s="33" t="str">
        <f>IFERROR(VLOOKUP($J4471,'Informations sur les produits'!$A$3:$H$10000,8,FALSE),"0")</f>
        <v>0</v>
      </c>
      <c r="N4471" s="8"/>
      <c r="O4471" s="33" t="str">
        <f>IFERROR(VLOOKUP($M4471,'Informations sur les produits'!$A$3:$H$10000,8,FALSE),"0")</f>
        <v>0</v>
      </c>
      <c r="P4471" s="33">
        <f t="shared" si="276"/>
        <v>0</v>
      </c>
      <c r="Q4471" s="31" t="str">
        <f t="shared" si="277"/>
        <v/>
      </c>
      <c r="R4471" s="32" t="str">
        <f>IFERROR(VLOOKUP($D4471,'Informations sur les produits'!$A$3:$B$15000,2,FALSE),"")</f>
        <v/>
      </c>
      <c r="V4471">
        <f t="shared" si="278"/>
        <v>0</v>
      </c>
      <c r="W4471">
        <f t="shared" si="279"/>
        <v>0</v>
      </c>
    </row>
    <row r="4472" spans="5:23" x14ac:dyDescent="0.25">
      <c r="E4472" s="4"/>
      <c r="F4472" s="4"/>
      <c r="G4472" s="33" t="str">
        <f>IFERROR(VLOOKUP($D4472,'Informations sur les produits'!$A$3:$H$10000,8,FALSE),"0")</f>
        <v>0</v>
      </c>
      <c r="K4472" s="4"/>
      <c r="L4472" s="33" t="str">
        <f>IFERROR(VLOOKUP($J4472,'Informations sur les produits'!$A$3:$H$10000,8,FALSE),"0")</f>
        <v>0</v>
      </c>
      <c r="N4472" s="8"/>
      <c r="O4472" s="33" t="str">
        <f>IFERROR(VLOOKUP($M4472,'Informations sur les produits'!$A$3:$H$10000,8,FALSE),"0")</f>
        <v>0</v>
      </c>
      <c r="P4472" s="33">
        <f t="shared" si="276"/>
        <v>0</v>
      </c>
      <c r="Q4472" s="31" t="str">
        <f t="shared" si="277"/>
        <v/>
      </c>
      <c r="R4472" s="32" t="str">
        <f>IFERROR(VLOOKUP($D4472,'Informations sur les produits'!$A$3:$B$15000,2,FALSE),"")</f>
        <v/>
      </c>
      <c r="V4472">
        <f t="shared" si="278"/>
        <v>0</v>
      </c>
      <c r="W4472">
        <f t="shared" si="279"/>
        <v>0</v>
      </c>
    </row>
    <row r="4473" spans="5:23" x14ac:dyDescent="0.25">
      <c r="E4473" s="4"/>
      <c r="F4473" s="4"/>
      <c r="G4473" s="33" t="str">
        <f>IFERROR(VLOOKUP($D4473,'Informations sur les produits'!$A$3:$H$10000,8,FALSE),"0")</f>
        <v>0</v>
      </c>
      <c r="K4473" s="4"/>
      <c r="L4473" s="33" t="str">
        <f>IFERROR(VLOOKUP($J4473,'Informations sur les produits'!$A$3:$H$10000,8,FALSE),"0")</f>
        <v>0</v>
      </c>
      <c r="N4473" s="8"/>
      <c r="O4473" s="33" t="str">
        <f>IFERROR(VLOOKUP($M4473,'Informations sur les produits'!$A$3:$H$10000,8,FALSE),"0")</f>
        <v>0</v>
      </c>
      <c r="P4473" s="33">
        <f t="shared" si="276"/>
        <v>0</v>
      </c>
      <c r="Q4473" s="31" t="str">
        <f t="shared" si="277"/>
        <v/>
      </c>
      <c r="R4473" s="32" t="str">
        <f>IFERROR(VLOOKUP($D4473,'Informations sur les produits'!$A$3:$B$15000,2,FALSE),"")</f>
        <v/>
      </c>
      <c r="V4473">
        <f t="shared" si="278"/>
        <v>0</v>
      </c>
      <c r="W4473">
        <f t="shared" si="279"/>
        <v>0</v>
      </c>
    </row>
    <row r="4474" spans="5:23" x14ac:dyDescent="0.25">
      <c r="E4474" s="4"/>
      <c r="F4474" s="4"/>
      <c r="G4474" s="33" t="str">
        <f>IFERROR(VLOOKUP($D4474,'Informations sur les produits'!$A$3:$H$10000,8,FALSE),"0")</f>
        <v>0</v>
      </c>
      <c r="K4474" s="4"/>
      <c r="L4474" s="33" t="str">
        <f>IFERROR(VLOOKUP($J4474,'Informations sur les produits'!$A$3:$H$10000,8,FALSE),"0")</f>
        <v>0</v>
      </c>
      <c r="N4474" s="8"/>
      <c r="O4474" s="33" t="str">
        <f>IFERROR(VLOOKUP($M4474,'Informations sur les produits'!$A$3:$H$10000,8,FALSE),"0")</f>
        <v>0</v>
      </c>
      <c r="P4474" s="33">
        <f t="shared" si="276"/>
        <v>0</v>
      </c>
      <c r="Q4474" s="31" t="str">
        <f t="shared" si="277"/>
        <v/>
      </c>
      <c r="R4474" s="32" t="str">
        <f>IFERROR(VLOOKUP($D4474,'Informations sur les produits'!$A$3:$B$15000,2,FALSE),"")</f>
        <v/>
      </c>
      <c r="V4474">
        <f t="shared" si="278"/>
        <v>0</v>
      </c>
      <c r="W4474">
        <f t="shared" si="279"/>
        <v>0</v>
      </c>
    </row>
    <row r="4475" spans="5:23" x14ac:dyDescent="0.25">
      <c r="E4475" s="4"/>
      <c r="F4475" s="4"/>
      <c r="G4475" s="33" t="str">
        <f>IFERROR(VLOOKUP($D4475,'Informations sur les produits'!$A$3:$H$10000,8,FALSE),"0")</f>
        <v>0</v>
      </c>
      <c r="K4475" s="4"/>
      <c r="L4475" s="33" t="str">
        <f>IFERROR(VLOOKUP($J4475,'Informations sur les produits'!$A$3:$H$10000,8,FALSE),"0")</f>
        <v>0</v>
      </c>
      <c r="N4475" s="8"/>
      <c r="O4475" s="33" t="str">
        <f>IFERROR(VLOOKUP($M4475,'Informations sur les produits'!$A$3:$H$10000,8,FALSE),"0")</f>
        <v>0</v>
      </c>
      <c r="P4475" s="33">
        <f t="shared" si="276"/>
        <v>0</v>
      </c>
      <c r="Q4475" s="31" t="str">
        <f t="shared" si="277"/>
        <v/>
      </c>
      <c r="R4475" s="32" t="str">
        <f>IFERROR(VLOOKUP($D4475,'Informations sur les produits'!$A$3:$B$15000,2,FALSE),"")</f>
        <v/>
      </c>
      <c r="V4475">
        <f t="shared" si="278"/>
        <v>0</v>
      </c>
      <c r="W4475">
        <f t="shared" si="279"/>
        <v>0</v>
      </c>
    </row>
    <row r="4476" spans="5:23" x14ac:dyDescent="0.25">
      <c r="E4476" s="4"/>
      <c r="F4476" s="4"/>
      <c r="G4476" s="33" t="str">
        <f>IFERROR(VLOOKUP($D4476,'Informations sur les produits'!$A$3:$H$10000,8,FALSE),"0")</f>
        <v>0</v>
      </c>
      <c r="K4476" s="4"/>
      <c r="L4476" s="33" t="str">
        <f>IFERROR(VLOOKUP($J4476,'Informations sur les produits'!$A$3:$H$10000,8,FALSE),"0")</f>
        <v>0</v>
      </c>
      <c r="N4476" s="8"/>
      <c r="O4476" s="33" t="str">
        <f>IFERROR(VLOOKUP($M4476,'Informations sur les produits'!$A$3:$H$10000,8,FALSE),"0")</f>
        <v>0</v>
      </c>
      <c r="P4476" s="33">
        <f t="shared" si="276"/>
        <v>0</v>
      </c>
      <c r="Q4476" s="31" t="str">
        <f t="shared" si="277"/>
        <v/>
      </c>
      <c r="R4476" s="32" t="str">
        <f>IFERROR(VLOOKUP($D4476,'Informations sur les produits'!$A$3:$B$15000,2,FALSE),"")</f>
        <v/>
      </c>
      <c r="V4476">
        <f t="shared" si="278"/>
        <v>0</v>
      </c>
      <c r="W4476">
        <f t="shared" si="279"/>
        <v>0</v>
      </c>
    </row>
    <row r="4477" spans="5:23" x14ac:dyDescent="0.25">
      <c r="E4477" s="4"/>
      <c r="F4477" s="4"/>
      <c r="G4477" s="33" t="str">
        <f>IFERROR(VLOOKUP($D4477,'Informations sur les produits'!$A$3:$H$10000,8,FALSE),"0")</f>
        <v>0</v>
      </c>
      <c r="K4477" s="4"/>
      <c r="L4477" s="33" t="str">
        <f>IFERROR(VLOOKUP($J4477,'Informations sur les produits'!$A$3:$H$10000,8,FALSE),"0")</f>
        <v>0</v>
      </c>
      <c r="N4477" s="8"/>
      <c r="O4477" s="33" t="str">
        <f>IFERROR(VLOOKUP($M4477,'Informations sur les produits'!$A$3:$H$10000,8,FALSE),"0")</f>
        <v>0</v>
      </c>
      <c r="P4477" s="33">
        <f t="shared" si="276"/>
        <v>0</v>
      </c>
      <c r="Q4477" s="31" t="str">
        <f t="shared" si="277"/>
        <v/>
      </c>
      <c r="R4477" s="32" t="str">
        <f>IFERROR(VLOOKUP($D4477,'Informations sur les produits'!$A$3:$B$15000,2,FALSE),"")</f>
        <v/>
      </c>
      <c r="V4477">
        <f t="shared" si="278"/>
        <v>0</v>
      </c>
      <c r="W4477">
        <f t="shared" si="279"/>
        <v>0</v>
      </c>
    </row>
    <row r="4478" spans="5:23" x14ac:dyDescent="0.25">
      <c r="E4478" s="4"/>
      <c r="F4478" s="4"/>
      <c r="G4478" s="33" t="str">
        <f>IFERROR(VLOOKUP($D4478,'Informations sur les produits'!$A$3:$H$10000,8,FALSE),"0")</f>
        <v>0</v>
      </c>
      <c r="K4478" s="4"/>
      <c r="L4478" s="33" t="str">
        <f>IFERROR(VLOOKUP($J4478,'Informations sur les produits'!$A$3:$H$10000,8,FALSE),"0")</f>
        <v>0</v>
      </c>
      <c r="N4478" s="8"/>
      <c r="O4478" s="33" t="str">
        <f>IFERROR(VLOOKUP($M4478,'Informations sur les produits'!$A$3:$H$10000,8,FALSE),"0")</f>
        <v>0</v>
      </c>
      <c r="P4478" s="33">
        <f t="shared" si="276"/>
        <v>0</v>
      </c>
      <c r="Q4478" s="31" t="str">
        <f t="shared" si="277"/>
        <v/>
      </c>
      <c r="R4478" s="32" t="str">
        <f>IFERROR(VLOOKUP($D4478,'Informations sur les produits'!$A$3:$B$15000,2,FALSE),"")</f>
        <v/>
      </c>
      <c r="V4478">
        <f t="shared" si="278"/>
        <v>0</v>
      </c>
      <c r="W4478">
        <f t="shared" si="279"/>
        <v>0</v>
      </c>
    </row>
    <row r="4479" spans="5:23" x14ac:dyDescent="0.25">
      <c r="E4479" s="4"/>
      <c r="F4479" s="4"/>
      <c r="G4479" s="33" t="str">
        <f>IFERROR(VLOOKUP($D4479,'Informations sur les produits'!$A$3:$H$10000,8,FALSE),"0")</f>
        <v>0</v>
      </c>
      <c r="K4479" s="4"/>
      <c r="L4479" s="33" t="str">
        <f>IFERROR(VLOOKUP($J4479,'Informations sur les produits'!$A$3:$H$10000,8,FALSE),"0")</f>
        <v>0</v>
      </c>
      <c r="N4479" s="8"/>
      <c r="O4479" s="33" t="str">
        <f>IFERROR(VLOOKUP($M4479,'Informations sur les produits'!$A$3:$H$10000,8,FALSE),"0")</f>
        <v>0</v>
      </c>
      <c r="P4479" s="33">
        <f t="shared" si="276"/>
        <v>0</v>
      </c>
      <c r="Q4479" s="31" t="str">
        <f t="shared" si="277"/>
        <v/>
      </c>
      <c r="R4479" s="32" t="str">
        <f>IFERROR(VLOOKUP($D4479,'Informations sur les produits'!$A$3:$B$15000,2,FALSE),"")</f>
        <v/>
      </c>
      <c r="V4479">
        <f t="shared" si="278"/>
        <v>0</v>
      </c>
      <c r="W4479">
        <f t="shared" si="279"/>
        <v>0</v>
      </c>
    </row>
    <row r="4480" spans="5:23" x14ac:dyDescent="0.25">
      <c r="E4480" s="4"/>
      <c r="F4480" s="4"/>
      <c r="G4480" s="33" t="str">
        <f>IFERROR(VLOOKUP($D4480,'Informations sur les produits'!$A$3:$H$10000,8,FALSE),"0")</f>
        <v>0</v>
      </c>
      <c r="K4480" s="4"/>
      <c r="L4480" s="33" t="str">
        <f>IFERROR(VLOOKUP($J4480,'Informations sur les produits'!$A$3:$H$10000,8,FALSE),"0")</f>
        <v>0</v>
      </c>
      <c r="N4480" s="8"/>
      <c r="O4480" s="33" t="str">
        <f>IFERROR(VLOOKUP($M4480,'Informations sur les produits'!$A$3:$H$10000,8,FALSE),"0")</f>
        <v>0</v>
      </c>
      <c r="P4480" s="33">
        <f t="shared" si="276"/>
        <v>0</v>
      </c>
      <c r="Q4480" s="31" t="str">
        <f t="shared" si="277"/>
        <v/>
      </c>
      <c r="R4480" s="32" t="str">
        <f>IFERROR(VLOOKUP($D4480,'Informations sur les produits'!$A$3:$B$15000,2,FALSE),"")</f>
        <v/>
      </c>
      <c r="V4480">
        <f t="shared" si="278"/>
        <v>0</v>
      </c>
      <c r="W4480">
        <f t="shared" si="279"/>
        <v>0</v>
      </c>
    </row>
    <row r="4481" spans="5:23" x14ac:dyDescent="0.25">
      <c r="E4481" s="4"/>
      <c r="F4481" s="4"/>
      <c r="G4481" s="33" t="str">
        <f>IFERROR(VLOOKUP($D4481,'Informations sur les produits'!$A$3:$H$10000,8,FALSE),"0")</f>
        <v>0</v>
      </c>
      <c r="K4481" s="4"/>
      <c r="L4481" s="33" t="str">
        <f>IFERROR(VLOOKUP($J4481,'Informations sur les produits'!$A$3:$H$10000,8,FALSE),"0")</f>
        <v>0</v>
      </c>
      <c r="N4481" s="8"/>
      <c r="O4481" s="33" t="str">
        <f>IFERROR(VLOOKUP($M4481,'Informations sur les produits'!$A$3:$H$10000,8,FALSE),"0")</f>
        <v>0</v>
      </c>
      <c r="P4481" s="33">
        <f t="shared" si="276"/>
        <v>0</v>
      </c>
      <c r="Q4481" s="31" t="str">
        <f t="shared" si="277"/>
        <v/>
      </c>
      <c r="R4481" s="32" t="str">
        <f>IFERROR(VLOOKUP($D4481,'Informations sur les produits'!$A$3:$B$15000,2,FALSE),"")</f>
        <v/>
      </c>
      <c r="V4481">
        <f t="shared" si="278"/>
        <v>0</v>
      </c>
      <c r="W4481">
        <f t="shared" si="279"/>
        <v>0</v>
      </c>
    </row>
    <row r="4482" spans="5:23" x14ac:dyDescent="0.25">
      <c r="E4482" s="4"/>
      <c r="F4482" s="4"/>
      <c r="G4482" s="33" t="str">
        <f>IFERROR(VLOOKUP($D4482,'Informations sur les produits'!$A$3:$H$10000,8,FALSE),"0")</f>
        <v>0</v>
      </c>
      <c r="K4482" s="4"/>
      <c r="L4482" s="33" t="str">
        <f>IFERROR(VLOOKUP($J4482,'Informations sur les produits'!$A$3:$H$10000,8,FALSE),"0")</f>
        <v>0</v>
      </c>
      <c r="N4482" s="8"/>
      <c r="O4482" s="33" t="str">
        <f>IFERROR(VLOOKUP($M4482,'Informations sur les produits'!$A$3:$H$10000,8,FALSE),"0")</f>
        <v>0</v>
      </c>
      <c r="P4482" s="33">
        <f t="shared" si="276"/>
        <v>0</v>
      </c>
      <c r="Q4482" s="31" t="str">
        <f t="shared" si="277"/>
        <v/>
      </c>
      <c r="R4482" s="32" t="str">
        <f>IFERROR(VLOOKUP($D4482,'Informations sur les produits'!$A$3:$B$15000,2,FALSE),"")</f>
        <v/>
      </c>
      <c r="V4482">
        <f t="shared" si="278"/>
        <v>0</v>
      </c>
      <c r="W4482">
        <f t="shared" si="279"/>
        <v>0</v>
      </c>
    </row>
    <row r="4483" spans="5:23" x14ac:dyDescent="0.25">
      <c r="E4483" s="4"/>
      <c r="F4483" s="4"/>
      <c r="G4483" s="33" t="str">
        <f>IFERROR(VLOOKUP($D4483,'Informations sur les produits'!$A$3:$H$10000,8,FALSE),"0")</f>
        <v>0</v>
      </c>
      <c r="K4483" s="4"/>
      <c r="L4483" s="33" t="str">
        <f>IFERROR(VLOOKUP($J4483,'Informations sur les produits'!$A$3:$H$10000,8,FALSE),"0")</f>
        <v>0</v>
      </c>
      <c r="N4483" s="8"/>
      <c r="O4483" s="33" t="str">
        <f>IFERROR(VLOOKUP($M4483,'Informations sur les produits'!$A$3:$H$10000,8,FALSE),"0")</f>
        <v>0</v>
      </c>
      <c r="P4483" s="33">
        <f t="shared" si="276"/>
        <v>0</v>
      </c>
      <c r="Q4483" s="31" t="str">
        <f t="shared" si="277"/>
        <v/>
      </c>
      <c r="R4483" s="32" t="str">
        <f>IFERROR(VLOOKUP($D4483,'Informations sur les produits'!$A$3:$B$15000,2,FALSE),"")</f>
        <v/>
      </c>
      <c r="V4483">
        <f t="shared" si="278"/>
        <v>0</v>
      </c>
      <c r="W4483">
        <f t="shared" si="279"/>
        <v>0</v>
      </c>
    </row>
    <row r="4484" spans="5:23" x14ac:dyDescent="0.25">
      <c r="E4484" s="4"/>
      <c r="F4484" s="4"/>
      <c r="G4484" s="33" t="str">
        <f>IFERROR(VLOOKUP($D4484,'Informations sur les produits'!$A$3:$H$10000,8,FALSE),"0")</f>
        <v>0</v>
      </c>
      <c r="K4484" s="4"/>
      <c r="L4484" s="33" t="str">
        <f>IFERROR(VLOOKUP($J4484,'Informations sur les produits'!$A$3:$H$10000,8,FALSE),"0")</f>
        <v>0</v>
      </c>
      <c r="N4484" s="8"/>
      <c r="O4484" s="33" t="str">
        <f>IFERROR(VLOOKUP($M4484,'Informations sur les produits'!$A$3:$H$10000,8,FALSE),"0")</f>
        <v>0</v>
      </c>
      <c r="P4484" s="33">
        <f t="shared" ref="P4484:P4547" si="280">IFERROR((($E4484-$F4484)*$G4484+$K4484*$L4484+$N4484*$O4484),"")</f>
        <v>0</v>
      </c>
      <c r="Q4484" s="31" t="str">
        <f t="shared" ref="Q4484:Q4547" si="281">IFERROR((((($E4484-$F4484)*$G4484+$K4484*$L4484+$N4484*$O4484)*1000)/(($E4484-$F4484)+$K4484+$N4484)),"")</f>
        <v/>
      </c>
      <c r="R4484" s="32" t="str">
        <f>IFERROR(VLOOKUP($D4484,'Informations sur les produits'!$A$3:$B$15000,2,FALSE),"")</f>
        <v/>
      </c>
      <c r="V4484">
        <f t="shared" ref="V4484:V4547" si="282">IFERROR(P4484*1000,"")</f>
        <v>0</v>
      </c>
      <c r="W4484">
        <f t="shared" ref="W4484:W4547" si="283">IFERROR(($E4484-$F4484)+$K4484+$N4484,"")</f>
        <v>0</v>
      </c>
    </row>
    <row r="4485" spans="5:23" x14ac:dyDescent="0.25">
      <c r="E4485" s="4"/>
      <c r="F4485" s="4"/>
      <c r="G4485" s="33" t="str">
        <f>IFERROR(VLOOKUP($D4485,'Informations sur les produits'!$A$3:$H$10000,8,FALSE),"0")</f>
        <v>0</v>
      </c>
      <c r="K4485" s="4"/>
      <c r="L4485" s="33" t="str">
        <f>IFERROR(VLOOKUP($J4485,'Informations sur les produits'!$A$3:$H$10000,8,FALSE),"0")</f>
        <v>0</v>
      </c>
      <c r="N4485" s="8"/>
      <c r="O4485" s="33" t="str">
        <f>IFERROR(VLOOKUP($M4485,'Informations sur les produits'!$A$3:$H$10000,8,FALSE),"0")</f>
        <v>0</v>
      </c>
      <c r="P4485" s="33">
        <f t="shared" si="280"/>
        <v>0</v>
      </c>
      <c r="Q4485" s="31" t="str">
        <f t="shared" si="281"/>
        <v/>
      </c>
      <c r="R4485" s="32" t="str">
        <f>IFERROR(VLOOKUP($D4485,'Informations sur les produits'!$A$3:$B$15000,2,FALSE),"")</f>
        <v/>
      </c>
      <c r="V4485">
        <f t="shared" si="282"/>
        <v>0</v>
      </c>
      <c r="W4485">
        <f t="shared" si="283"/>
        <v>0</v>
      </c>
    </row>
    <row r="4486" spans="5:23" x14ac:dyDescent="0.25">
      <c r="E4486" s="4"/>
      <c r="F4486" s="4"/>
      <c r="G4486" s="33" t="str">
        <f>IFERROR(VLOOKUP($D4486,'Informations sur les produits'!$A$3:$H$10000,8,FALSE),"0")</f>
        <v>0</v>
      </c>
      <c r="K4486" s="4"/>
      <c r="L4486" s="33" t="str">
        <f>IFERROR(VLOOKUP($J4486,'Informations sur les produits'!$A$3:$H$10000,8,FALSE),"0")</f>
        <v>0</v>
      </c>
      <c r="N4486" s="8"/>
      <c r="O4486" s="33" t="str">
        <f>IFERROR(VLOOKUP($M4486,'Informations sur les produits'!$A$3:$H$10000,8,FALSE),"0")</f>
        <v>0</v>
      </c>
      <c r="P4486" s="33">
        <f t="shared" si="280"/>
        <v>0</v>
      </c>
      <c r="Q4486" s="31" t="str">
        <f t="shared" si="281"/>
        <v/>
      </c>
      <c r="R4486" s="32" t="str">
        <f>IFERROR(VLOOKUP($D4486,'Informations sur les produits'!$A$3:$B$15000,2,FALSE),"")</f>
        <v/>
      </c>
      <c r="V4486">
        <f t="shared" si="282"/>
        <v>0</v>
      </c>
      <c r="W4486">
        <f t="shared" si="283"/>
        <v>0</v>
      </c>
    </row>
    <row r="4487" spans="5:23" x14ac:dyDescent="0.25">
      <c r="E4487" s="4"/>
      <c r="F4487" s="4"/>
      <c r="G4487" s="33" t="str">
        <f>IFERROR(VLOOKUP($D4487,'Informations sur les produits'!$A$3:$H$10000,8,FALSE),"0")</f>
        <v>0</v>
      </c>
      <c r="K4487" s="4"/>
      <c r="L4487" s="33" t="str">
        <f>IFERROR(VLOOKUP($J4487,'Informations sur les produits'!$A$3:$H$10000,8,FALSE),"0")</f>
        <v>0</v>
      </c>
      <c r="N4487" s="8"/>
      <c r="O4487" s="33" t="str">
        <f>IFERROR(VLOOKUP($M4487,'Informations sur les produits'!$A$3:$H$10000,8,FALSE),"0")</f>
        <v>0</v>
      </c>
      <c r="P4487" s="33">
        <f t="shared" si="280"/>
        <v>0</v>
      </c>
      <c r="Q4487" s="31" t="str">
        <f t="shared" si="281"/>
        <v/>
      </c>
      <c r="R4487" s="32" t="str">
        <f>IFERROR(VLOOKUP($D4487,'Informations sur les produits'!$A$3:$B$15000,2,FALSE),"")</f>
        <v/>
      </c>
      <c r="V4487">
        <f t="shared" si="282"/>
        <v>0</v>
      </c>
      <c r="W4487">
        <f t="shared" si="283"/>
        <v>0</v>
      </c>
    </row>
    <row r="4488" spans="5:23" x14ac:dyDescent="0.25">
      <c r="E4488" s="4"/>
      <c r="F4488" s="4"/>
      <c r="G4488" s="33" t="str">
        <f>IFERROR(VLOOKUP($D4488,'Informations sur les produits'!$A$3:$H$10000,8,FALSE),"0")</f>
        <v>0</v>
      </c>
      <c r="K4488" s="4"/>
      <c r="L4488" s="33" t="str">
        <f>IFERROR(VLOOKUP($J4488,'Informations sur les produits'!$A$3:$H$10000,8,FALSE),"0")</f>
        <v>0</v>
      </c>
      <c r="N4488" s="8"/>
      <c r="O4488" s="33" t="str">
        <f>IFERROR(VLOOKUP($M4488,'Informations sur les produits'!$A$3:$H$10000,8,FALSE),"0")</f>
        <v>0</v>
      </c>
      <c r="P4488" s="33">
        <f t="shared" si="280"/>
        <v>0</v>
      </c>
      <c r="Q4488" s="31" t="str">
        <f t="shared" si="281"/>
        <v/>
      </c>
      <c r="R4488" s="32" t="str">
        <f>IFERROR(VLOOKUP($D4488,'Informations sur les produits'!$A$3:$B$15000,2,FALSE),"")</f>
        <v/>
      </c>
      <c r="V4488">
        <f t="shared" si="282"/>
        <v>0</v>
      </c>
      <c r="W4488">
        <f t="shared" si="283"/>
        <v>0</v>
      </c>
    </row>
    <row r="4489" spans="5:23" x14ac:dyDescent="0.25">
      <c r="E4489" s="4"/>
      <c r="F4489" s="4"/>
      <c r="G4489" s="33" t="str">
        <f>IFERROR(VLOOKUP($D4489,'Informations sur les produits'!$A$3:$H$10000,8,FALSE),"0")</f>
        <v>0</v>
      </c>
      <c r="K4489" s="4"/>
      <c r="L4489" s="33" t="str">
        <f>IFERROR(VLOOKUP($J4489,'Informations sur les produits'!$A$3:$H$10000,8,FALSE),"0")</f>
        <v>0</v>
      </c>
      <c r="N4489" s="8"/>
      <c r="O4489" s="33" t="str">
        <f>IFERROR(VLOOKUP($M4489,'Informations sur les produits'!$A$3:$H$10000,8,FALSE),"0")</f>
        <v>0</v>
      </c>
      <c r="P4489" s="33">
        <f t="shared" si="280"/>
        <v>0</v>
      </c>
      <c r="Q4489" s="31" t="str">
        <f t="shared" si="281"/>
        <v/>
      </c>
      <c r="R4489" s="32" t="str">
        <f>IFERROR(VLOOKUP($D4489,'Informations sur les produits'!$A$3:$B$15000,2,FALSE),"")</f>
        <v/>
      </c>
      <c r="V4489">
        <f t="shared" si="282"/>
        <v>0</v>
      </c>
      <c r="W4489">
        <f t="shared" si="283"/>
        <v>0</v>
      </c>
    </row>
    <row r="4490" spans="5:23" x14ac:dyDescent="0.25">
      <c r="E4490" s="4"/>
      <c r="F4490" s="4"/>
      <c r="G4490" s="33" t="str">
        <f>IFERROR(VLOOKUP($D4490,'Informations sur les produits'!$A$3:$H$10000,8,FALSE),"0")</f>
        <v>0</v>
      </c>
      <c r="K4490" s="4"/>
      <c r="L4490" s="33" t="str">
        <f>IFERROR(VLOOKUP($J4490,'Informations sur les produits'!$A$3:$H$10000,8,FALSE),"0")</f>
        <v>0</v>
      </c>
      <c r="N4490" s="8"/>
      <c r="O4490" s="33" t="str">
        <f>IFERROR(VLOOKUP($M4490,'Informations sur les produits'!$A$3:$H$10000,8,FALSE),"0")</f>
        <v>0</v>
      </c>
      <c r="P4490" s="33">
        <f t="shared" si="280"/>
        <v>0</v>
      </c>
      <c r="Q4490" s="31" t="str">
        <f t="shared" si="281"/>
        <v/>
      </c>
      <c r="R4490" s="32" t="str">
        <f>IFERROR(VLOOKUP($D4490,'Informations sur les produits'!$A$3:$B$15000,2,FALSE),"")</f>
        <v/>
      </c>
      <c r="V4490">
        <f t="shared" si="282"/>
        <v>0</v>
      </c>
      <c r="W4490">
        <f t="shared" si="283"/>
        <v>0</v>
      </c>
    </row>
    <row r="4491" spans="5:23" x14ac:dyDescent="0.25">
      <c r="E4491" s="4"/>
      <c r="F4491" s="4"/>
      <c r="G4491" s="33" t="str">
        <f>IFERROR(VLOOKUP($D4491,'Informations sur les produits'!$A$3:$H$10000,8,FALSE),"0")</f>
        <v>0</v>
      </c>
      <c r="K4491" s="4"/>
      <c r="L4491" s="33" t="str">
        <f>IFERROR(VLOOKUP($J4491,'Informations sur les produits'!$A$3:$H$10000,8,FALSE),"0")</f>
        <v>0</v>
      </c>
      <c r="N4491" s="8"/>
      <c r="O4491" s="33" t="str">
        <f>IFERROR(VLOOKUP($M4491,'Informations sur les produits'!$A$3:$H$10000,8,FALSE),"0")</f>
        <v>0</v>
      </c>
      <c r="P4491" s="33">
        <f t="shared" si="280"/>
        <v>0</v>
      </c>
      <c r="Q4491" s="31" t="str">
        <f t="shared" si="281"/>
        <v/>
      </c>
      <c r="R4491" s="32" t="str">
        <f>IFERROR(VLOOKUP($D4491,'Informations sur les produits'!$A$3:$B$15000,2,FALSE),"")</f>
        <v/>
      </c>
      <c r="V4491">
        <f t="shared" si="282"/>
        <v>0</v>
      </c>
      <c r="W4491">
        <f t="shared" si="283"/>
        <v>0</v>
      </c>
    </row>
    <row r="4492" spans="5:23" x14ac:dyDescent="0.25">
      <c r="E4492" s="4"/>
      <c r="F4492" s="4"/>
      <c r="G4492" s="33" t="str">
        <f>IFERROR(VLOOKUP($D4492,'Informations sur les produits'!$A$3:$H$10000,8,FALSE),"0")</f>
        <v>0</v>
      </c>
      <c r="K4492" s="4"/>
      <c r="L4492" s="33" t="str">
        <f>IFERROR(VLOOKUP($J4492,'Informations sur les produits'!$A$3:$H$10000,8,FALSE),"0")</f>
        <v>0</v>
      </c>
      <c r="N4492" s="8"/>
      <c r="O4492" s="33" t="str">
        <f>IFERROR(VLOOKUP($M4492,'Informations sur les produits'!$A$3:$H$10000,8,FALSE),"0")</f>
        <v>0</v>
      </c>
      <c r="P4492" s="33">
        <f t="shared" si="280"/>
        <v>0</v>
      </c>
      <c r="Q4492" s="31" t="str">
        <f t="shared" si="281"/>
        <v/>
      </c>
      <c r="R4492" s="32" t="str">
        <f>IFERROR(VLOOKUP($D4492,'Informations sur les produits'!$A$3:$B$15000,2,FALSE),"")</f>
        <v/>
      </c>
      <c r="V4492">
        <f t="shared" si="282"/>
        <v>0</v>
      </c>
      <c r="W4492">
        <f t="shared" si="283"/>
        <v>0</v>
      </c>
    </row>
    <row r="4493" spans="5:23" x14ac:dyDescent="0.25">
      <c r="E4493" s="4"/>
      <c r="F4493" s="4"/>
      <c r="G4493" s="33" t="str">
        <f>IFERROR(VLOOKUP($D4493,'Informations sur les produits'!$A$3:$H$10000,8,FALSE),"0")</f>
        <v>0</v>
      </c>
      <c r="K4493" s="4"/>
      <c r="L4493" s="33" t="str">
        <f>IFERROR(VLOOKUP($J4493,'Informations sur les produits'!$A$3:$H$10000,8,FALSE),"0")</f>
        <v>0</v>
      </c>
      <c r="N4493" s="8"/>
      <c r="O4493" s="33" t="str">
        <f>IFERROR(VLOOKUP($M4493,'Informations sur les produits'!$A$3:$H$10000,8,FALSE),"0")</f>
        <v>0</v>
      </c>
      <c r="P4493" s="33">
        <f t="shared" si="280"/>
        <v>0</v>
      </c>
      <c r="Q4493" s="31" t="str">
        <f t="shared" si="281"/>
        <v/>
      </c>
      <c r="R4493" s="32" t="str">
        <f>IFERROR(VLOOKUP($D4493,'Informations sur les produits'!$A$3:$B$15000,2,FALSE),"")</f>
        <v/>
      </c>
      <c r="V4493">
        <f t="shared" si="282"/>
        <v>0</v>
      </c>
      <c r="W4493">
        <f t="shared" si="283"/>
        <v>0</v>
      </c>
    </row>
    <row r="4494" spans="5:23" x14ac:dyDescent="0.25">
      <c r="E4494" s="4"/>
      <c r="F4494" s="4"/>
      <c r="G4494" s="33" t="str">
        <f>IFERROR(VLOOKUP($D4494,'Informations sur les produits'!$A$3:$H$10000,8,FALSE),"0")</f>
        <v>0</v>
      </c>
      <c r="K4494" s="4"/>
      <c r="L4494" s="33" t="str">
        <f>IFERROR(VLOOKUP($J4494,'Informations sur les produits'!$A$3:$H$10000,8,FALSE),"0")</f>
        <v>0</v>
      </c>
      <c r="N4494" s="8"/>
      <c r="O4494" s="33" t="str">
        <f>IFERROR(VLOOKUP($M4494,'Informations sur les produits'!$A$3:$H$10000,8,FALSE),"0")</f>
        <v>0</v>
      </c>
      <c r="P4494" s="33">
        <f t="shared" si="280"/>
        <v>0</v>
      </c>
      <c r="Q4494" s="31" t="str">
        <f t="shared" si="281"/>
        <v/>
      </c>
      <c r="R4494" s="32" t="str">
        <f>IFERROR(VLOOKUP($D4494,'Informations sur les produits'!$A$3:$B$15000,2,FALSE),"")</f>
        <v/>
      </c>
      <c r="V4494">
        <f t="shared" si="282"/>
        <v>0</v>
      </c>
      <c r="W4494">
        <f t="shared" si="283"/>
        <v>0</v>
      </c>
    </row>
    <row r="4495" spans="5:23" x14ac:dyDescent="0.25">
      <c r="E4495" s="4"/>
      <c r="F4495" s="4"/>
      <c r="G4495" s="33" t="str">
        <f>IFERROR(VLOOKUP($D4495,'Informations sur les produits'!$A$3:$H$10000,8,FALSE),"0")</f>
        <v>0</v>
      </c>
      <c r="K4495" s="4"/>
      <c r="L4495" s="33" t="str">
        <f>IFERROR(VLOOKUP($J4495,'Informations sur les produits'!$A$3:$H$10000,8,FALSE),"0")</f>
        <v>0</v>
      </c>
      <c r="N4495" s="8"/>
      <c r="O4495" s="33" t="str">
        <f>IFERROR(VLOOKUP($M4495,'Informations sur les produits'!$A$3:$H$10000,8,FALSE),"0")</f>
        <v>0</v>
      </c>
      <c r="P4495" s="33">
        <f t="shared" si="280"/>
        <v>0</v>
      </c>
      <c r="Q4495" s="31" t="str">
        <f t="shared" si="281"/>
        <v/>
      </c>
      <c r="R4495" s="32" t="str">
        <f>IFERROR(VLOOKUP($D4495,'Informations sur les produits'!$A$3:$B$15000,2,FALSE),"")</f>
        <v/>
      </c>
      <c r="V4495">
        <f t="shared" si="282"/>
        <v>0</v>
      </c>
      <c r="W4495">
        <f t="shared" si="283"/>
        <v>0</v>
      </c>
    </row>
    <row r="4496" spans="5:23" x14ac:dyDescent="0.25">
      <c r="E4496" s="4"/>
      <c r="F4496" s="4"/>
      <c r="G4496" s="33" t="str">
        <f>IFERROR(VLOOKUP($D4496,'Informations sur les produits'!$A$3:$H$10000,8,FALSE),"0")</f>
        <v>0</v>
      </c>
      <c r="K4496" s="4"/>
      <c r="L4496" s="33" t="str">
        <f>IFERROR(VLOOKUP($J4496,'Informations sur les produits'!$A$3:$H$10000,8,FALSE),"0")</f>
        <v>0</v>
      </c>
      <c r="N4496" s="8"/>
      <c r="O4496" s="33" t="str">
        <f>IFERROR(VLOOKUP($M4496,'Informations sur les produits'!$A$3:$H$10000,8,FALSE),"0")</f>
        <v>0</v>
      </c>
      <c r="P4496" s="33">
        <f t="shared" si="280"/>
        <v>0</v>
      </c>
      <c r="Q4496" s="31" t="str">
        <f t="shared" si="281"/>
        <v/>
      </c>
      <c r="R4496" s="32" t="str">
        <f>IFERROR(VLOOKUP($D4496,'Informations sur les produits'!$A$3:$B$15000,2,FALSE),"")</f>
        <v/>
      </c>
      <c r="V4496">
        <f t="shared" si="282"/>
        <v>0</v>
      </c>
      <c r="W4496">
        <f t="shared" si="283"/>
        <v>0</v>
      </c>
    </row>
    <row r="4497" spans="5:23" x14ac:dyDescent="0.25">
      <c r="E4497" s="4"/>
      <c r="F4497" s="4"/>
      <c r="G4497" s="33" t="str">
        <f>IFERROR(VLOOKUP($D4497,'Informations sur les produits'!$A$3:$H$10000,8,FALSE),"0")</f>
        <v>0</v>
      </c>
      <c r="K4497" s="4"/>
      <c r="L4497" s="33" t="str">
        <f>IFERROR(VLOOKUP($J4497,'Informations sur les produits'!$A$3:$H$10000,8,FALSE),"0")</f>
        <v>0</v>
      </c>
      <c r="N4497" s="8"/>
      <c r="O4497" s="33" t="str">
        <f>IFERROR(VLOOKUP($M4497,'Informations sur les produits'!$A$3:$H$10000,8,FALSE),"0")</f>
        <v>0</v>
      </c>
      <c r="P4497" s="33">
        <f t="shared" si="280"/>
        <v>0</v>
      </c>
      <c r="Q4497" s="31" t="str">
        <f t="shared" si="281"/>
        <v/>
      </c>
      <c r="R4497" s="32" t="str">
        <f>IFERROR(VLOOKUP($D4497,'Informations sur les produits'!$A$3:$B$15000,2,FALSE),"")</f>
        <v/>
      </c>
      <c r="V4497">
        <f t="shared" si="282"/>
        <v>0</v>
      </c>
      <c r="W4497">
        <f t="shared" si="283"/>
        <v>0</v>
      </c>
    </row>
    <row r="4498" spans="5:23" x14ac:dyDescent="0.25">
      <c r="E4498" s="4"/>
      <c r="F4498" s="4"/>
      <c r="G4498" s="33" t="str">
        <f>IFERROR(VLOOKUP($D4498,'Informations sur les produits'!$A$3:$H$10000,8,FALSE),"0")</f>
        <v>0</v>
      </c>
      <c r="K4498" s="4"/>
      <c r="L4498" s="33" t="str">
        <f>IFERROR(VLOOKUP($J4498,'Informations sur les produits'!$A$3:$H$10000,8,FALSE),"0")</f>
        <v>0</v>
      </c>
      <c r="N4498" s="8"/>
      <c r="O4498" s="33" t="str">
        <f>IFERROR(VLOOKUP($M4498,'Informations sur les produits'!$A$3:$H$10000,8,FALSE),"0")</f>
        <v>0</v>
      </c>
      <c r="P4498" s="33">
        <f t="shared" si="280"/>
        <v>0</v>
      </c>
      <c r="Q4498" s="31" t="str">
        <f t="shared" si="281"/>
        <v/>
      </c>
      <c r="R4498" s="32" t="str">
        <f>IFERROR(VLOOKUP($D4498,'Informations sur les produits'!$A$3:$B$15000,2,FALSE),"")</f>
        <v/>
      </c>
      <c r="V4498">
        <f t="shared" si="282"/>
        <v>0</v>
      </c>
      <c r="W4498">
        <f t="shared" si="283"/>
        <v>0</v>
      </c>
    </row>
    <row r="4499" spans="5:23" x14ac:dyDescent="0.25">
      <c r="E4499" s="4"/>
      <c r="F4499" s="4"/>
      <c r="G4499" s="33" t="str">
        <f>IFERROR(VLOOKUP($D4499,'Informations sur les produits'!$A$3:$H$10000,8,FALSE),"0")</f>
        <v>0</v>
      </c>
      <c r="K4499" s="4"/>
      <c r="L4499" s="33" t="str">
        <f>IFERROR(VLOOKUP($J4499,'Informations sur les produits'!$A$3:$H$10000,8,FALSE),"0")</f>
        <v>0</v>
      </c>
      <c r="N4499" s="8"/>
      <c r="O4499" s="33" t="str">
        <f>IFERROR(VLOOKUP($M4499,'Informations sur les produits'!$A$3:$H$10000,8,FALSE),"0")</f>
        <v>0</v>
      </c>
      <c r="P4499" s="33">
        <f t="shared" si="280"/>
        <v>0</v>
      </c>
      <c r="Q4499" s="31" t="str">
        <f t="shared" si="281"/>
        <v/>
      </c>
      <c r="R4499" s="32" t="str">
        <f>IFERROR(VLOOKUP($D4499,'Informations sur les produits'!$A$3:$B$15000,2,FALSE),"")</f>
        <v/>
      </c>
      <c r="V4499">
        <f t="shared" si="282"/>
        <v>0</v>
      </c>
      <c r="W4499">
        <f t="shared" si="283"/>
        <v>0</v>
      </c>
    </row>
    <row r="4500" spans="5:23" x14ac:dyDescent="0.25">
      <c r="E4500" s="4"/>
      <c r="F4500" s="4"/>
      <c r="G4500" s="33" t="str">
        <f>IFERROR(VLOOKUP($D4500,'Informations sur les produits'!$A$3:$H$10000,8,FALSE),"0")</f>
        <v>0</v>
      </c>
      <c r="K4500" s="4"/>
      <c r="L4500" s="33" t="str">
        <f>IFERROR(VLOOKUP($J4500,'Informations sur les produits'!$A$3:$H$10000,8,FALSE),"0")</f>
        <v>0</v>
      </c>
      <c r="N4500" s="8"/>
      <c r="O4500" s="33" t="str">
        <f>IFERROR(VLOOKUP($M4500,'Informations sur les produits'!$A$3:$H$10000,8,FALSE),"0")</f>
        <v>0</v>
      </c>
      <c r="P4500" s="33">
        <f t="shared" si="280"/>
        <v>0</v>
      </c>
      <c r="Q4500" s="31" t="str">
        <f t="shared" si="281"/>
        <v/>
      </c>
      <c r="R4500" s="32" t="str">
        <f>IFERROR(VLOOKUP($D4500,'Informations sur les produits'!$A$3:$B$15000,2,FALSE),"")</f>
        <v/>
      </c>
      <c r="V4500">
        <f t="shared" si="282"/>
        <v>0</v>
      </c>
      <c r="W4500">
        <f t="shared" si="283"/>
        <v>0</v>
      </c>
    </row>
    <row r="4501" spans="5:23" x14ac:dyDescent="0.25">
      <c r="E4501" s="4"/>
      <c r="F4501" s="4"/>
      <c r="G4501" s="33" t="str">
        <f>IFERROR(VLOOKUP($D4501,'Informations sur les produits'!$A$3:$H$10000,8,FALSE),"0")</f>
        <v>0</v>
      </c>
      <c r="K4501" s="4"/>
      <c r="L4501" s="33" t="str">
        <f>IFERROR(VLOOKUP($J4501,'Informations sur les produits'!$A$3:$H$10000,8,FALSE),"0")</f>
        <v>0</v>
      </c>
      <c r="N4501" s="8"/>
      <c r="O4501" s="33" t="str">
        <f>IFERROR(VLOOKUP($M4501,'Informations sur les produits'!$A$3:$H$10000,8,FALSE),"0")</f>
        <v>0</v>
      </c>
      <c r="P4501" s="33">
        <f t="shared" si="280"/>
        <v>0</v>
      </c>
      <c r="Q4501" s="31" t="str">
        <f t="shared" si="281"/>
        <v/>
      </c>
      <c r="R4501" s="32" t="str">
        <f>IFERROR(VLOOKUP($D4501,'Informations sur les produits'!$A$3:$B$15000,2,FALSE),"")</f>
        <v/>
      </c>
      <c r="V4501">
        <f t="shared" si="282"/>
        <v>0</v>
      </c>
      <c r="W4501">
        <f t="shared" si="283"/>
        <v>0</v>
      </c>
    </row>
    <row r="4502" spans="5:23" x14ac:dyDescent="0.25">
      <c r="E4502" s="4"/>
      <c r="F4502" s="4"/>
      <c r="G4502" s="33" t="str">
        <f>IFERROR(VLOOKUP($D4502,'Informations sur les produits'!$A$3:$H$10000,8,FALSE),"0")</f>
        <v>0</v>
      </c>
      <c r="K4502" s="4"/>
      <c r="L4502" s="33" t="str">
        <f>IFERROR(VLOOKUP($J4502,'Informations sur les produits'!$A$3:$H$10000,8,FALSE),"0")</f>
        <v>0</v>
      </c>
      <c r="N4502" s="8"/>
      <c r="O4502" s="33" t="str">
        <f>IFERROR(VLOOKUP($M4502,'Informations sur les produits'!$A$3:$H$10000,8,FALSE),"0")</f>
        <v>0</v>
      </c>
      <c r="P4502" s="33">
        <f t="shared" si="280"/>
        <v>0</v>
      </c>
      <c r="Q4502" s="31" t="str">
        <f t="shared" si="281"/>
        <v/>
      </c>
      <c r="R4502" s="32" t="str">
        <f>IFERROR(VLOOKUP($D4502,'Informations sur les produits'!$A$3:$B$15000,2,FALSE),"")</f>
        <v/>
      </c>
      <c r="V4502">
        <f t="shared" si="282"/>
        <v>0</v>
      </c>
      <c r="W4502">
        <f t="shared" si="283"/>
        <v>0</v>
      </c>
    </row>
    <row r="4503" spans="5:23" x14ac:dyDescent="0.25">
      <c r="E4503" s="4"/>
      <c r="F4503" s="4"/>
      <c r="G4503" s="33" t="str">
        <f>IFERROR(VLOOKUP($D4503,'Informations sur les produits'!$A$3:$H$10000,8,FALSE),"0")</f>
        <v>0</v>
      </c>
      <c r="K4503" s="4"/>
      <c r="L4503" s="33" t="str">
        <f>IFERROR(VLOOKUP($J4503,'Informations sur les produits'!$A$3:$H$10000,8,FALSE),"0")</f>
        <v>0</v>
      </c>
      <c r="N4503" s="8"/>
      <c r="O4503" s="33" t="str">
        <f>IFERROR(VLOOKUP($M4503,'Informations sur les produits'!$A$3:$H$10000,8,FALSE),"0")</f>
        <v>0</v>
      </c>
      <c r="P4503" s="33">
        <f t="shared" si="280"/>
        <v>0</v>
      </c>
      <c r="Q4503" s="31" t="str">
        <f t="shared" si="281"/>
        <v/>
      </c>
      <c r="R4503" s="32" t="str">
        <f>IFERROR(VLOOKUP($D4503,'Informations sur les produits'!$A$3:$B$15000,2,FALSE),"")</f>
        <v/>
      </c>
      <c r="V4503">
        <f t="shared" si="282"/>
        <v>0</v>
      </c>
      <c r="W4503">
        <f t="shared" si="283"/>
        <v>0</v>
      </c>
    </row>
    <row r="4504" spans="5:23" x14ac:dyDescent="0.25">
      <c r="E4504" s="4"/>
      <c r="F4504" s="4"/>
      <c r="G4504" s="33" t="str">
        <f>IFERROR(VLOOKUP($D4504,'Informations sur les produits'!$A$3:$H$10000,8,FALSE),"0")</f>
        <v>0</v>
      </c>
      <c r="K4504" s="4"/>
      <c r="L4504" s="33" t="str">
        <f>IFERROR(VLOOKUP($J4504,'Informations sur les produits'!$A$3:$H$10000,8,FALSE),"0")</f>
        <v>0</v>
      </c>
      <c r="N4504" s="8"/>
      <c r="O4504" s="33" t="str">
        <f>IFERROR(VLOOKUP($M4504,'Informations sur les produits'!$A$3:$H$10000,8,FALSE),"0")</f>
        <v>0</v>
      </c>
      <c r="P4504" s="33">
        <f t="shared" si="280"/>
        <v>0</v>
      </c>
      <c r="Q4504" s="31" t="str">
        <f t="shared" si="281"/>
        <v/>
      </c>
      <c r="R4504" s="32" t="str">
        <f>IFERROR(VLOOKUP($D4504,'Informations sur les produits'!$A$3:$B$15000,2,FALSE),"")</f>
        <v/>
      </c>
      <c r="V4504">
        <f t="shared" si="282"/>
        <v>0</v>
      </c>
      <c r="W4504">
        <f t="shared" si="283"/>
        <v>0</v>
      </c>
    </row>
    <row r="4505" spans="5:23" x14ac:dyDescent="0.25">
      <c r="E4505" s="4"/>
      <c r="F4505" s="4"/>
      <c r="G4505" s="33" t="str">
        <f>IFERROR(VLOOKUP($D4505,'Informations sur les produits'!$A$3:$H$10000,8,FALSE),"0")</f>
        <v>0</v>
      </c>
      <c r="K4505" s="4"/>
      <c r="L4505" s="33" t="str">
        <f>IFERROR(VLOOKUP($J4505,'Informations sur les produits'!$A$3:$H$10000,8,FALSE),"0")</f>
        <v>0</v>
      </c>
      <c r="N4505" s="8"/>
      <c r="O4505" s="33" t="str">
        <f>IFERROR(VLOOKUP($M4505,'Informations sur les produits'!$A$3:$H$10000,8,FALSE),"0")</f>
        <v>0</v>
      </c>
      <c r="P4505" s="33">
        <f t="shared" si="280"/>
        <v>0</v>
      </c>
      <c r="Q4505" s="31" t="str">
        <f t="shared" si="281"/>
        <v/>
      </c>
      <c r="R4505" s="32" t="str">
        <f>IFERROR(VLOOKUP($D4505,'Informations sur les produits'!$A$3:$B$15000,2,FALSE),"")</f>
        <v/>
      </c>
      <c r="V4505">
        <f t="shared" si="282"/>
        <v>0</v>
      </c>
      <c r="W4505">
        <f t="shared" si="283"/>
        <v>0</v>
      </c>
    </row>
    <row r="4506" spans="5:23" x14ac:dyDescent="0.25">
      <c r="E4506" s="4"/>
      <c r="F4506" s="4"/>
      <c r="G4506" s="33" t="str">
        <f>IFERROR(VLOOKUP($D4506,'Informations sur les produits'!$A$3:$H$10000,8,FALSE),"0")</f>
        <v>0</v>
      </c>
      <c r="K4506" s="4"/>
      <c r="L4506" s="33" t="str">
        <f>IFERROR(VLOOKUP($J4506,'Informations sur les produits'!$A$3:$H$10000,8,FALSE),"0")</f>
        <v>0</v>
      </c>
      <c r="N4506" s="8"/>
      <c r="O4506" s="33" t="str">
        <f>IFERROR(VLOOKUP($M4506,'Informations sur les produits'!$A$3:$H$10000,8,FALSE),"0")</f>
        <v>0</v>
      </c>
      <c r="P4506" s="33">
        <f t="shared" si="280"/>
        <v>0</v>
      </c>
      <c r="Q4506" s="31" t="str">
        <f t="shared" si="281"/>
        <v/>
      </c>
      <c r="R4506" s="32" t="str">
        <f>IFERROR(VLOOKUP($D4506,'Informations sur les produits'!$A$3:$B$15000,2,FALSE),"")</f>
        <v/>
      </c>
      <c r="V4506">
        <f t="shared" si="282"/>
        <v>0</v>
      </c>
      <c r="W4506">
        <f t="shared" si="283"/>
        <v>0</v>
      </c>
    </row>
    <row r="4507" spans="5:23" x14ac:dyDescent="0.25">
      <c r="E4507" s="4"/>
      <c r="F4507" s="4"/>
      <c r="G4507" s="33" t="str">
        <f>IFERROR(VLOOKUP($D4507,'Informations sur les produits'!$A$3:$H$10000,8,FALSE),"0")</f>
        <v>0</v>
      </c>
      <c r="K4507" s="4"/>
      <c r="L4507" s="33" t="str">
        <f>IFERROR(VLOOKUP($J4507,'Informations sur les produits'!$A$3:$H$10000,8,FALSE),"0")</f>
        <v>0</v>
      </c>
      <c r="N4507" s="8"/>
      <c r="O4507" s="33" t="str">
        <f>IFERROR(VLOOKUP($M4507,'Informations sur les produits'!$A$3:$H$10000,8,FALSE),"0")</f>
        <v>0</v>
      </c>
      <c r="P4507" s="33">
        <f t="shared" si="280"/>
        <v>0</v>
      </c>
      <c r="Q4507" s="31" t="str">
        <f t="shared" si="281"/>
        <v/>
      </c>
      <c r="R4507" s="32" t="str">
        <f>IFERROR(VLOOKUP($D4507,'Informations sur les produits'!$A$3:$B$15000,2,FALSE),"")</f>
        <v/>
      </c>
      <c r="V4507">
        <f t="shared" si="282"/>
        <v>0</v>
      </c>
      <c r="W4507">
        <f t="shared" si="283"/>
        <v>0</v>
      </c>
    </row>
    <row r="4508" spans="5:23" x14ac:dyDescent="0.25">
      <c r="E4508" s="4"/>
      <c r="F4508" s="4"/>
      <c r="G4508" s="33" t="str">
        <f>IFERROR(VLOOKUP($D4508,'Informations sur les produits'!$A$3:$H$10000,8,FALSE),"0")</f>
        <v>0</v>
      </c>
      <c r="K4508" s="4"/>
      <c r="L4508" s="33" t="str">
        <f>IFERROR(VLOOKUP($J4508,'Informations sur les produits'!$A$3:$H$10000,8,FALSE),"0")</f>
        <v>0</v>
      </c>
      <c r="N4508" s="8"/>
      <c r="O4508" s="33" t="str">
        <f>IFERROR(VLOOKUP($M4508,'Informations sur les produits'!$A$3:$H$10000,8,FALSE),"0")</f>
        <v>0</v>
      </c>
      <c r="P4508" s="33">
        <f t="shared" si="280"/>
        <v>0</v>
      </c>
      <c r="Q4508" s="31" t="str">
        <f t="shared" si="281"/>
        <v/>
      </c>
      <c r="R4508" s="32" t="str">
        <f>IFERROR(VLOOKUP($D4508,'Informations sur les produits'!$A$3:$B$15000,2,FALSE),"")</f>
        <v/>
      </c>
      <c r="V4508">
        <f t="shared" si="282"/>
        <v>0</v>
      </c>
      <c r="W4508">
        <f t="shared" si="283"/>
        <v>0</v>
      </c>
    </row>
    <row r="4509" spans="5:23" x14ac:dyDescent="0.25">
      <c r="E4509" s="4"/>
      <c r="F4509" s="4"/>
      <c r="G4509" s="33" t="str">
        <f>IFERROR(VLOOKUP($D4509,'Informations sur les produits'!$A$3:$H$10000,8,FALSE),"0")</f>
        <v>0</v>
      </c>
      <c r="K4509" s="4"/>
      <c r="L4509" s="33" t="str">
        <f>IFERROR(VLOOKUP($J4509,'Informations sur les produits'!$A$3:$H$10000,8,FALSE),"0")</f>
        <v>0</v>
      </c>
      <c r="N4509" s="8"/>
      <c r="O4509" s="33" t="str">
        <f>IFERROR(VLOOKUP($M4509,'Informations sur les produits'!$A$3:$H$10000,8,FALSE),"0")</f>
        <v>0</v>
      </c>
      <c r="P4509" s="33">
        <f t="shared" si="280"/>
        <v>0</v>
      </c>
      <c r="Q4509" s="31" t="str">
        <f t="shared" si="281"/>
        <v/>
      </c>
      <c r="R4509" s="32" t="str">
        <f>IFERROR(VLOOKUP($D4509,'Informations sur les produits'!$A$3:$B$15000,2,FALSE),"")</f>
        <v/>
      </c>
      <c r="V4509">
        <f t="shared" si="282"/>
        <v>0</v>
      </c>
      <c r="W4509">
        <f t="shared" si="283"/>
        <v>0</v>
      </c>
    </row>
    <row r="4510" spans="5:23" x14ac:dyDescent="0.25">
      <c r="E4510" s="4"/>
      <c r="F4510" s="4"/>
      <c r="G4510" s="33" t="str">
        <f>IFERROR(VLOOKUP($D4510,'Informations sur les produits'!$A$3:$H$10000,8,FALSE),"0")</f>
        <v>0</v>
      </c>
      <c r="K4510" s="4"/>
      <c r="L4510" s="33" t="str">
        <f>IFERROR(VLOOKUP($J4510,'Informations sur les produits'!$A$3:$H$10000,8,FALSE),"0")</f>
        <v>0</v>
      </c>
      <c r="N4510" s="8"/>
      <c r="O4510" s="33" t="str">
        <f>IFERROR(VLOOKUP($M4510,'Informations sur les produits'!$A$3:$H$10000,8,FALSE),"0")</f>
        <v>0</v>
      </c>
      <c r="P4510" s="33">
        <f t="shared" si="280"/>
        <v>0</v>
      </c>
      <c r="Q4510" s="31" t="str">
        <f t="shared" si="281"/>
        <v/>
      </c>
      <c r="R4510" s="32" t="str">
        <f>IFERROR(VLOOKUP($D4510,'Informations sur les produits'!$A$3:$B$15000,2,FALSE),"")</f>
        <v/>
      </c>
      <c r="V4510">
        <f t="shared" si="282"/>
        <v>0</v>
      </c>
      <c r="W4510">
        <f t="shared" si="283"/>
        <v>0</v>
      </c>
    </row>
    <row r="4511" spans="5:23" x14ac:dyDescent="0.25">
      <c r="E4511" s="4"/>
      <c r="F4511" s="4"/>
      <c r="G4511" s="33" t="str">
        <f>IFERROR(VLOOKUP($D4511,'Informations sur les produits'!$A$3:$H$10000,8,FALSE),"0")</f>
        <v>0</v>
      </c>
      <c r="K4511" s="4"/>
      <c r="L4511" s="33" t="str">
        <f>IFERROR(VLOOKUP($J4511,'Informations sur les produits'!$A$3:$H$10000,8,FALSE),"0")</f>
        <v>0</v>
      </c>
      <c r="N4511" s="8"/>
      <c r="O4511" s="33" t="str">
        <f>IFERROR(VLOOKUP($M4511,'Informations sur les produits'!$A$3:$H$10000,8,FALSE),"0")</f>
        <v>0</v>
      </c>
      <c r="P4511" s="33">
        <f t="shared" si="280"/>
        <v>0</v>
      </c>
      <c r="Q4511" s="31" t="str">
        <f t="shared" si="281"/>
        <v/>
      </c>
      <c r="R4511" s="32" t="str">
        <f>IFERROR(VLOOKUP($D4511,'Informations sur les produits'!$A$3:$B$15000,2,FALSE),"")</f>
        <v/>
      </c>
      <c r="V4511">
        <f t="shared" si="282"/>
        <v>0</v>
      </c>
      <c r="W4511">
        <f t="shared" si="283"/>
        <v>0</v>
      </c>
    </row>
    <row r="4512" spans="5:23" x14ac:dyDescent="0.25">
      <c r="E4512" s="4"/>
      <c r="F4512" s="4"/>
      <c r="G4512" s="33" t="str">
        <f>IFERROR(VLOOKUP($D4512,'Informations sur les produits'!$A$3:$H$10000,8,FALSE),"0")</f>
        <v>0</v>
      </c>
      <c r="K4512" s="4"/>
      <c r="L4512" s="33" t="str">
        <f>IFERROR(VLOOKUP($J4512,'Informations sur les produits'!$A$3:$H$10000,8,FALSE),"0")</f>
        <v>0</v>
      </c>
      <c r="N4512" s="8"/>
      <c r="O4512" s="33" t="str">
        <f>IFERROR(VLOOKUP($M4512,'Informations sur les produits'!$A$3:$H$10000,8,FALSE),"0")</f>
        <v>0</v>
      </c>
      <c r="P4512" s="33">
        <f t="shared" si="280"/>
        <v>0</v>
      </c>
      <c r="Q4512" s="31" t="str">
        <f t="shared" si="281"/>
        <v/>
      </c>
      <c r="R4512" s="32" t="str">
        <f>IFERROR(VLOOKUP($D4512,'Informations sur les produits'!$A$3:$B$15000,2,FALSE),"")</f>
        <v/>
      </c>
      <c r="V4512">
        <f t="shared" si="282"/>
        <v>0</v>
      </c>
      <c r="W4512">
        <f t="shared" si="283"/>
        <v>0</v>
      </c>
    </row>
    <row r="4513" spans="5:23" x14ac:dyDescent="0.25">
      <c r="E4513" s="4"/>
      <c r="F4513" s="4"/>
      <c r="G4513" s="33" t="str">
        <f>IFERROR(VLOOKUP($D4513,'Informations sur les produits'!$A$3:$H$10000,8,FALSE),"0")</f>
        <v>0</v>
      </c>
      <c r="K4513" s="4"/>
      <c r="L4513" s="33" t="str">
        <f>IFERROR(VLOOKUP($J4513,'Informations sur les produits'!$A$3:$H$10000,8,FALSE),"0")</f>
        <v>0</v>
      </c>
      <c r="N4513" s="8"/>
      <c r="O4513" s="33" t="str">
        <f>IFERROR(VLOOKUP($M4513,'Informations sur les produits'!$A$3:$H$10000,8,FALSE),"0")</f>
        <v>0</v>
      </c>
      <c r="P4513" s="33">
        <f t="shared" si="280"/>
        <v>0</v>
      </c>
      <c r="Q4513" s="31" t="str">
        <f t="shared" si="281"/>
        <v/>
      </c>
      <c r="R4513" s="32" t="str">
        <f>IFERROR(VLOOKUP($D4513,'Informations sur les produits'!$A$3:$B$15000,2,FALSE),"")</f>
        <v/>
      </c>
      <c r="V4513">
        <f t="shared" si="282"/>
        <v>0</v>
      </c>
      <c r="W4513">
        <f t="shared" si="283"/>
        <v>0</v>
      </c>
    </row>
    <row r="4514" spans="5:23" x14ac:dyDescent="0.25">
      <c r="E4514" s="4"/>
      <c r="F4514" s="4"/>
      <c r="G4514" s="33" t="str">
        <f>IFERROR(VLOOKUP($D4514,'Informations sur les produits'!$A$3:$H$10000,8,FALSE),"0")</f>
        <v>0</v>
      </c>
      <c r="K4514" s="4"/>
      <c r="L4514" s="33" t="str">
        <f>IFERROR(VLOOKUP($J4514,'Informations sur les produits'!$A$3:$H$10000,8,FALSE),"0")</f>
        <v>0</v>
      </c>
      <c r="N4514" s="8"/>
      <c r="O4514" s="33" t="str">
        <f>IFERROR(VLOOKUP($M4514,'Informations sur les produits'!$A$3:$H$10000,8,FALSE),"0")</f>
        <v>0</v>
      </c>
      <c r="P4514" s="33">
        <f t="shared" si="280"/>
        <v>0</v>
      </c>
      <c r="Q4514" s="31" t="str">
        <f t="shared" si="281"/>
        <v/>
      </c>
      <c r="R4514" s="32" t="str">
        <f>IFERROR(VLOOKUP($D4514,'Informations sur les produits'!$A$3:$B$15000,2,FALSE),"")</f>
        <v/>
      </c>
      <c r="V4514">
        <f t="shared" si="282"/>
        <v>0</v>
      </c>
      <c r="W4514">
        <f t="shared" si="283"/>
        <v>0</v>
      </c>
    </row>
    <row r="4515" spans="5:23" x14ac:dyDescent="0.25">
      <c r="E4515" s="4"/>
      <c r="F4515" s="4"/>
      <c r="G4515" s="33" t="str">
        <f>IFERROR(VLOOKUP($D4515,'Informations sur les produits'!$A$3:$H$10000,8,FALSE),"0")</f>
        <v>0</v>
      </c>
      <c r="K4515" s="4"/>
      <c r="L4515" s="33" t="str">
        <f>IFERROR(VLOOKUP($J4515,'Informations sur les produits'!$A$3:$H$10000,8,FALSE),"0")</f>
        <v>0</v>
      </c>
      <c r="N4515" s="8"/>
      <c r="O4515" s="33" t="str">
        <f>IFERROR(VLOOKUP($M4515,'Informations sur les produits'!$A$3:$H$10000,8,FALSE),"0")</f>
        <v>0</v>
      </c>
      <c r="P4515" s="33">
        <f t="shared" si="280"/>
        <v>0</v>
      </c>
      <c r="Q4515" s="31" t="str">
        <f t="shared" si="281"/>
        <v/>
      </c>
      <c r="R4515" s="32" t="str">
        <f>IFERROR(VLOOKUP($D4515,'Informations sur les produits'!$A$3:$B$15000,2,FALSE),"")</f>
        <v/>
      </c>
      <c r="V4515">
        <f t="shared" si="282"/>
        <v>0</v>
      </c>
      <c r="W4515">
        <f t="shared" si="283"/>
        <v>0</v>
      </c>
    </row>
    <row r="4516" spans="5:23" x14ac:dyDescent="0.25">
      <c r="E4516" s="4"/>
      <c r="F4516" s="4"/>
      <c r="G4516" s="33" t="str">
        <f>IFERROR(VLOOKUP($D4516,'Informations sur les produits'!$A$3:$H$10000,8,FALSE),"0")</f>
        <v>0</v>
      </c>
      <c r="K4516" s="4"/>
      <c r="L4516" s="33" t="str">
        <f>IFERROR(VLOOKUP($J4516,'Informations sur les produits'!$A$3:$H$10000,8,FALSE),"0")</f>
        <v>0</v>
      </c>
      <c r="N4516" s="8"/>
      <c r="O4516" s="33" t="str">
        <f>IFERROR(VLOOKUP($M4516,'Informations sur les produits'!$A$3:$H$10000,8,FALSE),"0")</f>
        <v>0</v>
      </c>
      <c r="P4516" s="33">
        <f t="shared" si="280"/>
        <v>0</v>
      </c>
      <c r="Q4516" s="31" t="str">
        <f t="shared" si="281"/>
        <v/>
      </c>
      <c r="R4516" s="32" t="str">
        <f>IFERROR(VLOOKUP($D4516,'Informations sur les produits'!$A$3:$B$15000,2,FALSE),"")</f>
        <v/>
      </c>
      <c r="V4516">
        <f t="shared" si="282"/>
        <v>0</v>
      </c>
      <c r="W4516">
        <f t="shared" si="283"/>
        <v>0</v>
      </c>
    </row>
    <row r="4517" spans="5:23" x14ac:dyDescent="0.25">
      <c r="E4517" s="4"/>
      <c r="F4517" s="4"/>
      <c r="G4517" s="33" t="str">
        <f>IFERROR(VLOOKUP($D4517,'Informations sur les produits'!$A$3:$H$10000,8,FALSE),"0")</f>
        <v>0</v>
      </c>
      <c r="K4517" s="4"/>
      <c r="L4517" s="33" t="str">
        <f>IFERROR(VLOOKUP($J4517,'Informations sur les produits'!$A$3:$H$10000,8,FALSE),"0")</f>
        <v>0</v>
      </c>
      <c r="N4517" s="8"/>
      <c r="O4517" s="33" t="str">
        <f>IFERROR(VLOOKUP($M4517,'Informations sur les produits'!$A$3:$H$10000,8,FALSE),"0")</f>
        <v>0</v>
      </c>
      <c r="P4517" s="33">
        <f t="shared" si="280"/>
        <v>0</v>
      </c>
      <c r="Q4517" s="31" t="str">
        <f t="shared" si="281"/>
        <v/>
      </c>
      <c r="R4517" s="32" t="str">
        <f>IFERROR(VLOOKUP($D4517,'Informations sur les produits'!$A$3:$B$15000,2,FALSE),"")</f>
        <v/>
      </c>
      <c r="V4517">
        <f t="shared" si="282"/>
        <v>0</v>
      </c>
      <c r="W4517">
        <f t="shared" si="283"/>
        <v>0</v>
      </c>
    </row>
    <row r="4518" spans="5:23" x14ac:dyDescent="0.25">
      <c r="E4518" s="4"/>
      <c r="F4518" s="4"/>
      <c r="G4518" s="33" t="str">
        <f>IFERROR(VLOOKUP($D4518,'Informations sur les produits'!$A$3:$H$10000,8,FALSE),"0")</f>
        <v>0</v>
      </c>
      <c r="K4518" s="4"/>
      <c r="L4518" s="33" t="str">
        <f>IFERROR(VLOOKUP($J4518,'Informations sur les produits'!$A$3:$H$10000,8,FALSE),"0")</f>
        <v>0</v>
      </c>
      <c r="N4518" s="8"/>
      <c r="O4518" s="33" t="str">
        <f>IFERROR(VLOOKUP($M4518,'Informations sur les produits'!$A$3:$H$10000,8,FALSE),"0")</f>
        <v>0</v>
      </c>
      <c r="P4518" s="33">
        <f t="shared" si="280"/>
        <v>0</v>
      </c>
      <c r="Q4518" s="31" t="str">
        <f t="shared" si="281"/>
        <v/>
      </c>
      <c r="R4518" s="32" t="str">
        <f>IFERROR(VLOOKUP($D4518,'Informations sur les produits'!$A$3:$B$15000,2,FALSE),"")</f>
        <v/>
      </c>
      <c r="V4518">
        <f t="shared" si="282"/>
        <v>0</v>
      </c>
      <c r="W4518">
        <f t="shared" si="283"/>
        <v>0</v>
      </c>
    </row>
    <row r="4519" spans="5:23" x14ac:dyDescent="0.25">
      <c r="E4519" s="4"/>
      <c r="F4519" s="4"/>
      <c r="G4519" s="33" t="str">
        <f>IFERROR(VLOOKUP($D4519,'Informations sur les produits'!$A$3:$H$10000,8,FALSE),"0")</f>
        <v>0</v>
      </c>
      <c r="K4519" s="4"/>
      <c r="L4519" s="33" t="str">
        <f>IFERROR(VLOOKUP($J4519,'Informations sur les produits'!$A$3:$H$10000,8,FALSE),"0")</f>
        <v>0</v>
      </c>
      <c r="N4519" s="8"/>
      <c r="O4519" s="33" t="str">
        <f>IFERROR(VLOOKUP($M4519,'Informations sur les produits'!$A$3:$H$10000,8,FALSE),"0")</f>
        <v>0</v>
      </c>
      <c r="P4519" s="33">
        <f t="shared" si="280"/>
        <v>0</v>
      </c>
      <c r="Q4519" s="31" t="str">
        <f t="shared" si="281"/>
        <v/>
      </c>
      <c r="R4519" s="32" t="str">
        <f>IFERROR(VLOOKUP($D4519,'Informations sur les produits'!$A$3:$B$15000,2,FALSE),"")</f>
        <v/>
      </c>
      <c r="V4519">
        <f t="shared" si="282"/>
        <v>0</v>
      </c>
      <c r="W4519">
        <f t="shared" si="283"/>
        <v>0</v>
      </c>
    </row>
    <row r="4520" spans="5:23" x14ac:dyDescent="0.25">
      <c r="E4520" s="4"/>
      <c r="F4520" s="4"/>
      <c r="G4520" s="33" t="str">
        <f>IFERROR(VLOOKUP($D4520,'Informations sur les produits'!$A$3:$H$10000,8,FALSE),"0")</f>
        <v>0</v>
      </c>
      <c r="K4520" s="4"/>
      <c r="L4520" s="33" t="str">
        <f>IFERROR(VLOOKUP($J4520,'Informations sur les produits'!$A$3:$H$10000,8,FALSE),"0")</f>
        <v>0</v>
      </c>
      <c r="N4520" s="8"/>
      <c r="O4520" s="33" t="str">
        <f>IFERROR(VLOOKUP($M4520,'Informations sur les produits'!$A$3:$H$10000,8,FALSE),"0")</f>
        <v>0</v>
      </c>
      <c r="P4520" s="33">
        <f t="shared" si="280"/>
        <v>0</v>
      </c>
      <c r="Q4520" s="31" t="str">
        <f t="shared" si="281"/>
        <v/>
      </c>
      <c r="R4520" s="32" t="str">
        <f>IFERROR(VLOOKUP($D4520,'Informations sur les produits'!$A$3:$B$15000,2,FALSE),"")</f>
        <v/>
      </c>
      <c r="V4520">
        <f t="shared" si="282"/>
        <v>0</v>
      </c>
      <c r="W4520">
        <f t="shared" si="283"/>
        <v>0</v>
      </c>
    </row>
    <row r="4521" spans="5:23" x14ac:dyDescent="0.25">
      <c r="E4521" s="4"/>
      <c r="F4521" s="4"/>
      <c r="G4521" s="33" t="str">
        <f>IFERROR(VLOOKUP($D4521,'Informations sur les produits'!$A$3:$H$10000,8,FALSE),"0")</f>
        <v>0</v>
      </c>
      <c r="K4521" s="4"/>
      <c r="L4521" s="33" t="str">
        <f>IFERROR(VLOOKUP($J4521,'Informations sur les produits'!$A$3:$H$10000,8,FALSE),"0")</f>
        <v>0</v>
      </c>
      <c r="N4521" s="8"/>
      <c r="O4521" s="33" t="str">
        <f>IFERROR(VLOOKUP($M4521,'Informations sur les produits'!$A$3:$H$10000,8,FALSE),"0")</f>
        <v>0</v>
      </c>
      <c r="P4521" s="33">
        <f t="shared" si="280"/>
        <v>0</v>
      </c>
      <c r="Q4521" s="31" t="str">
        <f t="shared" si="281"/>
        <v/>
      </c>
      <c r="R4521" s="32" t="str">
        <f>IFERROR(VLOOKUP($D4521,'Informations sur les produits'!$A$3:$B$15000,2,FALSE),"")</f>
        <v/>
      </c>
      <c r="V4521">
        <f t="shared" si="282"/>
        <v>0</v>
      </c>
      <c r="W4521">
        <f t="shared" si="283"/>
        <v>0</v>
      </c>
    </row>
    <row r="4522" spans="5:23" x14ac:dyDescent="0.25">
      <c r="E4522" s="4"/>
      <c r="F4522" s="4"/>
      <c r="G4522" s="33" t="str">
        <f>IFERROR(VLOOKUP($D4522,'Informations sur les produits'!$A$3:$H$10000,8,FALSE),"0")</f>
        <v>0</v>
      </c>
      <c r="K4522" s="4"/>
      <c r="L4522" s="33" t="str">
        <f>IFERROR(VLOOKUP($J4522,'Informations sur les produits'!$A$3:$H$10000,8,FALSE),"0")</f>
        <v>0</v>
      </c>
      <c r="N4522" s="8"/>
      <c r="O4522" s="33" t="str">
        <f>IFERROR(VLOOKUP($M4522,'Informations sur les produits'!$A$3:$H$10000,8,FALSE),"0")</f>
        <v>0</v>
      </c>
      <c r="P4522" s="33">
        <f t="shared" si="280"/>
        <v>0</v>
      </c>
      <c r="Q4522" s="31" t="str">
        <f t="shared" si="281"/>
        <v/>
      </c>
      <c r="R4522" s="32" t="str">
        <f>IFERROR(VLOOKUP($D4522,'Informations sur les produits'!$A$3:$B$15000,2,FALSE),"")</f>
        <v/>
      </c>
      <c r="V4522">
        <f t="shared" si="282"/>
        <v>0</v>
      </c>
      <c r="W4522">
        <f t="shared" si="283"/>
        <v>0</v>
      </c>
    </row>
    <row r="4523" spans="5:23" x14ac:dyDescent="0.25">
      <c r="E4523" s="4"/>
      <c r="F4523" s="4"/>
      <c r="G4523" s="33" t="str">
        <f>IFERROR(VLOOKUP($D4523,'Informations sur les produits'!$A$3:$H$10000,8,FALSE),"0")</f>
        <v>0</v>
      </c>
      <c r="K4523" s="4"/>
      <c r="L4523" s="33" t="str">
        <f>IFERROR(VLOOKUP($J4523,'Informations sur les produits'!$A$3:$H$10000,8,FALSE),"0")</f>
        <v>0</v>
      </c>
      <c r="N4523" s="8"/>
      <c r="O4523" s="33" t="str">
        <f>IFERROR(VLOOKUP($M4523,'Informations sur les produits'!$A$3:$H$10000,8,FALSE),"0")</f>
        <v>0</v>
      </c>
      <c r="P4523" s="33">
        <f t="shared" si="280"/>
        <v>0</v>
      </c>
      <c r="Q4523" s="31" t="str">
        <f t="shared" si="281"/>
        <v/>
      </c>
      <c r="R4523" s="32" t="str">
        <f>IFERROR(VLOOKUP($D4523,'Informations sur les produits'!$A$3:$B$15000,2,FALSE),"")</f>
        <v/>
      </c>
      <c r="V4523">
        <f t="shared" si="282"/>
        <v>0</v>
      </c>
      <c r="W4523">
        <f t="shared" si="283"/>
        <v>0</v>
      </c>
    </row>
    <row r="4524" spans="5:23" x14ac:dyDescent="0.25">
      <c r="E4524" s="4"/>
      <c r="F4524" s="4"/>
      <c r="G4524" s="33" t="str">
        <f>IFERROR(VLOOKUP($D4524,'Informations sur les produits'!$A$3:$H$10000,8,FALSE),"0")</f>
        <v>0</v>
      </c>
      <c r="K4524" s="4"/>
      <c r="L4524" s="33" t="str">
        <f>IFERROR(VLOOKUP($J4524,'Informations sur les produits'!$A$3:$H$10000,8,FALSE),"0")</f>
        <v>0</v>
      </c>
      <c r="N4524" s="8"/>
      <c r="O4524" s="33" t="str">
        <f>IFERROR(VLOOKUP($M4524,'Informations sur les produits'!$A$3:$H$10000,8,FALSE),"0")</f>
        <v>0</v>
      </c>
      <c r="P4524" s="33">
        <f t="shared" si="280"/>
        <v>0</v>
      </c>
      <c r="Q4524" s="31" t="str">
        <f t="shared" si="281"/>
        <v/>
      </c>
      <c r="R4524" s="32" t="str">
        <f>IFERROR(VLOOKUP($D4524,'Informations sur les produits'!$A$3:$B$15000,2,FALSE),"")</f>
        <v/>
      </c>
      <c r="V4524">
        <f t="shared" si="282"/>
        <v>0</v>
      </c>
      <c r="W4524">
        <f t="shared" si="283"/>
        <v>0</v>
      </c>
    </row>
    <row r="4525" spans="5:23" x14ac:dyDescent="0.25">
      <c r="E4525" s="4"/>
      <c r="F4525" s="4"/>
      <c r="G4525" s="33" t="str">
        <f>IFERROR(VLOOKUP($D4525,'Informations sur les produits'!$A$3:$H$10000,8,FALSE),"0")</f>
        <v>0</v>
      </c>
      <c r="K4525" s="4"/>
      <c r="L4525" s="33" t="str">
        <f>IFERROR(VLOOKUP($J4525,'Informations sur les produits'!$A$3:$H$10000,8,FALSE),"0")</f>
        <v>0</v>
      </c>
      <c r="N4525" s="8"/>
      <c r="O4525" s="33" t="str">
        <f>IFERROR(VLOOKUP($M4525,'Informations sur les produits'!$A$3:$H$10000,8,FALSE),"0")</f>
        <v>0</v>
      </c>
      <c r="P4525" s="33">
        <f t="shared" si="280"/>
        <v>0</v>
      </c>
      <c r="Q4525" s="31" t="str">
        <f t="shared" si="281"/>
        <v/>
      </c>
      <c r="R4525" s="32" t="str">
        <f>IFERROR(VLOOKUP($D4525,'Informations sur les produits'!$A$3:$B$15000,2,FALSE),"")</f>
        <v/>
      </c>
      <c r="V4525">
        <f t="shared" si="282"/>
        <v>0</v>
      </c>
      <c r="W4525">
        <f t="shared" si="283"/>
        <v>0</v>
      </c>
    </row>
    <row r="4526" spans="5:23" x14ac:dyDescent="0.25">
      <c r="E4526" s="4"/>
      <c r="F4526" s="4"/>
      <c r="G4526" s="33" t="str">
        <f>IFERROR(VLOOKUP($D4526,'Informations sur les produits'!$A$3:$H$10000,8,FALSE),"0")</f>
        <v>0</v>
      </c>
      <c r="K4526" s="4"/>
      <c r="L4526" s="33" t="str">
        <f>IFERROR(VLOOKUP($J4526,'Informations sur les produits'!$A$3:$H$10000,8,FALSE),"0")</f>
        <v>0</v>
      </c>
      <c r="N4526" s="8"/>
      <c r="O4526" s="33" t="str">
        <f>IFERROR(VLOOKUP($M4526,'Informations sur les produits'!$A$3:$H$10000,8,FALSE),"0")</f>
        <v>0</v>
      </c>
      <c r="P4526" s="33">
        <f t="shared" si="280"/>
        <v>0</v>
      </c>
      <c r="Q4526" s="31" t="str">
        <f t="shared" si="281"/>
        <v/>
      </c>
      <c r="R4526" s="32" t="str">
        <f>IFERROR(VLOOKUP($D4526,'Informations sur les produits'!$A$3:$B$15000,2,FALSE),"")</f>
        <v/>
      </c>
      <c r="V4526">
        <f t="shared" si="282"/>
        <v>0</v>
      </c>
      <c r="W4526">
        <f t="shared" si="283"/>
        <v>0</v>
      </c>
    </row>
    <row r="4527" spans="5:23" x14ac:dyDescent="0.25">
      <c r="E4527" s="4"/>
      <c r="F4527" s="4"/>
      <c r="G4527" s="33" t="str">
        <f>IFERROR(VLOOKUP($D4527,'Informations sur les produits'!$A$3:$H$10000,8,FALSE),"0")</f>
        <v>0</v>
      </c>
      <c r="K4527" s="4"/>
      <c r="L4527" s="33" t="str">
        <f>IFERROR(VLOOKUP($J4527,'Informations sur les produits'!$A$3:$H$10000,8,FALSE),"0")</f>
        <v>0</v>
      </c>
      <c r="N4527" s="8"/>
      <c r="O4527" s="33" t="str">
        <f>IFERROR(VLOOKUP($M4527,'Informations sur les produits'!$A$3:$H$10000,8,FALSE),"0")</f>
        <v>0</v>
      </c>
      <c r="P4527" s="33">
        <f t="shared" si="280"/>
        <v>0</v>
      </c>
      <c r="Q4527" s="31" t="str">
        <f t="shared" si="281"/>
        <v/>
      </c>
      <c r="R4527" s="32" t="str">
        <f>IFERROR(VLOOKUP($D4527,'Informations sur les produits'!$A$3:$B$15000,2,FALSE),"")</f>
        <v/>
      </c>
      <c r="V4527">
        <f t="shared" si="282"/>
        <v>0</v>
      </c>
      <c r="W4527">
        <f t="shared" si="283"/>
        <v>0</v>
      </c>
    </row>
    <row r="4528" spans="5:23" x14ac:dyDescent="0.25">
      <c r="E4528" s="4"/>
      <c r="F4528" s="4"/>
      <c r="G4528" s="33" t="str">
        <f>IFERROR(VLOOKUP($D4528,'Informations sur les produits'!$A$3:$H$10000,8,FALSE),"0")</f>
        <v>0</v>
      </c>
      <c r="K4528" s="4"/>
      <c r="L4528" s="33" t="str">
        <f>IFERROR(VLOOKUP($J4528,'Informations sur les produits'!$A$3:$H$10000,8,FALSE),"0")</f>
        <v>0</v>
      </c>
      <c r="N4528" s="8"/>
      <c r="O4528" s="33" t="str">
        <f>IFERROR(VLOOKUP($M4528,'Informations sur les produits'!$A$3:$H$10000,8,FALSE),"0")</f>
        <v>0</v>
      </c>
      <c r="P4528" s="33">
        <f t="shared" si="280"/>
        <v>0</v>
      </c>
      <c r="Q4528" s="31" t="str">
        <f t="shared" si="281"/>
        <v/>
      </c>
      <c r="R4528" s="32" t="str">
        <f>IFERROR(VLOOKUP($D4528,'Informations sur les produits'!$A$3:$B$15000,2,FALSE),"")</f>
        <v/>
      </c>
      <c r="V4528">
        <f t="shared" si="282"/>
        <v>0</v>
      </c>
      <c r="W4528">
        <f t="shared" si="283"/>
        <v>0</v>
      </c>
    </row>
    <row r="4529" spans="5:23" x14ac:dyDescent="0.25">
      <c r="E4529" s="4"/>
      <c r="F4529" s="4"/>
      <c r="G4529" s="33" t="str">
        <f>IFERROR(VLOOKUP($D4529,'Informations sur les produits'!$A$3:$H$10000,8,FALSE),"0")</f>
        <v>0</v>
      </c>
      <c r="K4529" s="4"/>
      <c r="L4529" s="33" t="str">
        <f>IFERROR(VLOOKUP($J4529,'Informations sur les produits'!$A$3:$H$10000,8,FALSE),"0")</f>
        <v>0</v>
      </c>
      <c r="N4529" s="8"/>
      <c r="O4529" s="33" t="str">
        <f>IFERROR(VLOOKUP($M4529,'Informations sur les produits'!$A$3:$H$10000,8,FALSE),"0")</f>
        <v>0</v>
      </c>
      <c r="P4529" s="33">
        <f t="shared" si="280"/>
        <v>0</v>
      </c>
      <c r="Q4529" s="31" t="str">
        <f t="shared" si="281"/>
        <v/>
      </c>
      <c r="R4529" s="32" t="str">
        <f>IFERROR(VLOOKUP($D4529,'Informations sur les produits'!$A$3:$B$15000,2,FALSE),"")</f>
        <v/>
      </c>
      <c r="V4529">
        <f t="shared" si="282"/>
        <v>0</v>
      </c>
      <c r="W4529">
        <f t="shared" si="283"/>
        <v>0</v>
      </c>
    </row>
    <row r="4530" spans="5:23" x14ac:dyDescent="0.25">
      <c r="E4530" s="4"/>
      <c r="F4530" s="4"/>
      <c r="G4530" s="33" t="str">
        <f>IFERROR(VLOOKUP($D4530,'Informations sur les produits'!$A$3:$H$10000,8,FALSE),"0")</f>
        <v>0</v>
      </c>
      <c r="K4530" s="4"/>
      <c r="L4530" s="33" t="str">
        <f>IFERROR(VLOOKUP($J4530,'Informations sur les produits'!$A$3:$H$10000,8,FALSE),"0")</f>
        <v>0</v>
      </c>
      <c r="N4530" s="8"/>
      <c r="O4530" s="33" t="str">
        <f>IFERROR(VLOOKUP($M4530,'Informations sur les produits'!$A$3:$H$10000,8,FALSE),"0")</f>
        <v>0</v>
      </c>
      <c r="P4530" s="33">
        <f t="shared" si="280"/>
        <v>0</v>
      </c>
      <c r="Q4530" s="31" t="str">
        <f t="shared" si="281"/>
        <v/>
      </c>
      <c r="R4530" s="32" t="str">
        <f>IFERROR(VLOOKUP($D4530,'Informations sur les produits'!$A$3:$B$15000,2,FALSE),"")</f>
        <v/>
      </c>
      <c r="V4530">
        <f t="shared" si="282"/>
        <v>0</v>
      </c>
      <c r="W4530">
        <f t="shared" si="283"/>
        <v>0</v>
      </c>
    </row>
    <row r="4531" spans="5:23" x14ac:dyDescent="0.25">
      <c r="E4531" s="4"/>
      <c r="F4531" s="4"/>
      <c r="G4531" s="33" t="str">
        <f>IFERROR(VLOOKUP($D4531,'Informations sur les produits'!$A$3:$H$10000,8,FALSE),"0")</f>
        <v>0</v>
      </c>
      <c r="K4531" s="4"/>
      <c r="L4531" s="33" t="str">
        <f>IFERROR(VLOOKUP($J4531,'Informations sur les produits'!$A$3:$H$10000,8,FALSE),"0")</f>
        <v>0</v>
      </c>
      <c r="N4531" s="8"/>
      <c r="O4531" s="33" t="str">
        <f>IFERROR(VLOOKUP($M4531,'Informations sur les produits'!$A$3:$H$10000,8,FALSE),"0")</f>
        <v>0</v>
      </c>
      <c r="P4531" s="33">
        <f t="shared" si="280"/>
        <v>0</v>
      </c>
      <c r="Q4531" s="31" t="str">
        <f t="shared" si="281"/>
        <v/>
      </c>
      <c r="R4531" s="32" t="str">
        <f>IFERROR(VLOOKUP($D4531,'Informations sur les produits'!$A$3:$B$15000,2,FALSE),"")</f>
        <v/>
      </c>
      <c r="V4531">
        <f t="shared" si="282"/>
        <v>0</v>
      </c>
      <c r="W4531">
        <f t="shared" si="283"/>
        <v>0</v>
      </c>
    </row>
    <row r="4532" spans="5:23" x14ac:dyDescent="0.25">
      <c r="E4532" s="4"/>
      <c r="F4532" s="4"/>
      <c r="G4532" s="33" t="str">
        <f>IFERROR(VLOOKUP($D4532,'Informations sur les produits'!$A$3:$H$10000,8,FALSE),"0")</f>
        <v>0</v>
      </c>
      <c r="K4532" s="4"/>
      <c r="L4532" s="33" t="str">
        <f>IFERROR(VLOOKUP($J4532,'Informations sur les produits'!$A$3:$H$10000,8,FALSE),"0")</f>
        <v>0</v>
      </c>
      <c r="N4532" s="8"/>
      <c r="O4532" s="33" t="str">
        <f>IFERROR(VLOOKUP($M4532,'Informations sur les produits'!$A$3:$H$10000,8,FALSE),"0")</f>
        <v>0</v>
      </c>
      <c r="P4532" s="33">
        <f t="shared" si="280"/>
        <v>0</v>
      </c>
      <c r="Q4532" s="31" t="str">
        <f t="shared" si="281"/>
        <v/>
      </c>
      <c r="R4532" s="32" t="str">
        <f>IFERROR(VLOOKUP($D4532,'Informations sur les produits'!$A$3:$B$15000,2,FALSE),"")</f>
        <v/>
      </c>
      <c r="V4532">
        <f t="shared" si="282"/>
        <v>0</v>
      </c>
      <c r="W4532">
        <f t="shared" si="283"/>
        <v>0</v>
      </c>
    </row>
    <row r="4533" spans="5:23" x14ac:dyDescent="0.25">
      <c r="E4533" s="4"/>
      <c r="F4533" s="4"/>
      <c r="G4533" s="33" t="str">
        <f>IFERROR(VLOOKUP($D4533,'Informations sur les produits'!$A$3:$H$10000,8,FALSE),"0")</f>
        <v>0</v>
      </c>
      <c r="K4533" s="4"/>
      <c r="L4533" s="33" t="str">
        <f>IFERROR(VLOOKUP($J4533,'Informations sur les produits'!$A$3:$H$10000,8,FALSE),"0")</f>
        <v>0</v>
      </c>
      <c r="N4533" s="8"/>
      <c r="O4533" s="33" t="str">
        <f>IFERROR(VLOOKUP($M4533,'Informations sur les produits'!$A$3:$H$10000,8,FALSE),"0")</f>
        <v>0</v>
      </c>
      <c r="P4533" s="33">
        <f t="shared" si="280"/>
        <v>0</v>
      </c>
      <c r="Q4533" s="31" t="str">
        <f t="shared" si="281"/>
        <v/>
      </c>
      <c r="R4533" s="32" t="str">
        <f>IFERROR(VLOOKUP($D4533,'Informations sur les produits'!$A$3:$B$15000,2,FALSE),"")</f>
        <v/>
      </c>
      <c r="V4533">
        <f t="shared" si="282"/>
        <v>0</v>
      </c>
      <c r="W4533">
        <f t="shared" si="283"/>
        <v>0</v>
      </c>
    </row>
    <row r="4534" spans="5:23" x14ac:dyDescent="0.25">
      <c r="E4534" s="4"/>
      <c r="F4534" s="4"/>
      <c r="G4534" s="33" t="str">
        <f>IFERROR(VLOOKUP($D4534,'Informations sur les produits'!$A$3:$H$10000,8,FALSE),"0")</f>
        <v>0</v>
      </c>
      <c r="K4534" s="4"/>
      <c r="L4534" s="33" t="str">
        <f>IFERROR(VLOOKUP($J4534,'Informations sur les produits'!$A$3:$H$10000,8,FALSE),"0")</f>
        <v>0</v>
      </c>
      <c r="N4534" s="8"/>
      <c r="O4534" s="33" t="str">
        <f>IFERROR(VLOOKUP($M4534,'Informations sur les produits'!$A$3:$H$10000,8,FALSE),"0")</f>
        <v>0</v>
      </c>
      <c r="P4534" s="33">
        <f t="shared" si="280"/>
        <v>0</v>
      </c>
      <c r="Q4534" s="31" t="str">
        <f t="shared" si="281"/>
        <v/>
      </c>
      <c r="R4534" s="32" t="str">
        <f>IFERROR(VLOOKUP($D4534,'Informations sur les produits'!$A$3:$B$15000,2,FALSE),"")</f>
        <v/>
      </c>
      <c r="V4534">
        <f t="shared" si="282"/>
        <v>0</v>
      </c>
      <c r="W4534">
        <f t="shared" si="283"/>
        <v>0</v>
      </c>
    </row>
    <row r="4535" spans="5:23" x14ac:dyDescent="0.25">
      <c r="E4535" s="4"/>
      <c r="F4535" s="4"/>
      <c r="G4535" s="33" t="str">
        <f>IFERROR(VLOOKUP($D4535,'Informations sur les produits'!$A$3:$H$10000,8,FALSE),"0")</f>
        <v>0</v>
      </c>
      <c r="K4535" s="4"/>
      <c r="L4535" s="33" t="str">
        <f>IFERROR(VLOOKUP($J4535,'Informations sur les produits'!$A$3:$H$10000,8,FALSE),"0")</f>
        <v>0</v>
      </c>
      <c r="N4535" s="8"/>
      <c r="O4535" s="33" t="str">
        <f>IFERROR(VLOOKUP($M4535,'Informations sur les produits'!$A$3:$H$10000,8,FALSE),"0")</f>
        <v>0</v>
      </c>
      <c r="P4535" s="33">
        <f t="shared" si="280"/>
        <v>0</v>
      </c>
      <c r="Q4535" s="31" t="str">
        <f t="shared" si="281"/>
        <v/>
      </c>
      <c r="R4535" s="32" t="str">
        <f>IFERROR(VLOOKUP($D4535,'Informations sur les produits'!$A$3:$B$15000,2,FALSE),"")</f>
        <v/>
      </c>
      <c r="V4535">
        <f t="shared" si="282"/>
        <v>0</v>
      </c>
      <c r="W4535">
        <f t="shared" si="283"/>
        <v>0</v>
      </c>
    </row>
    <row r="4536" spans="5:23" x14ac:dyDescent="0.25">
      <c r="E4536" s="4"/>
      <c r="F4536" s="4"/>
      <c r="G4536" s="33" t="str">
        <f>IFERROR(VLOOKUP($D4536,'Informations sur les produits'!$A$3:$H$10000,8,FALSE),"0")</f>
        <v>0</v>
      </c>
      <c r="K4536" s="4"/>
      <c r="L4536" s="33" t="str">
        <f>IFERROR(VLOOKUP($J4536,'Informations sur les produits'!$A$3:$H$10000,8,FALSE),"0")</f>
        <v>0</v>
      </c>
      <c r="N4536" s="8"/>
      <c r="O4536" s="33" t="str">
        <f>IFERROR(VLOOKUP($M4536,'Informations sur les produits'!$A$3:$H$10000,8,FALSE),"0")</f>
        <v>0</v>
      </c>
      <c r="P4536" s="33">
        <f t="shared" si="280"/>
        <v>0</v>
      </c>
      <c r="Q4536" s="31" t="str">
        <f t="shared" si="281"/>
        <v/>
      </c>
      <c r="R4536" s="32" t="str">
        <f>IFERROR(VLOOKUP($D4536,'Informations sur les produits'!$A$3:$B$15000,2,FALSE),"")</f>
        <v/>
      </c>
      <c r="V4536">
        <f t="shared" si="282"/>
        <v>0</v>
      </c>
      <c r="W4536">
        <f t="shared" si="283"/>
        <v>0</v>
      </c>
    </row>
    <row r="4537" spans="5:23" x14ac:dyDescent="0.25">
      <c r="E4537" s="4"/>
      <c r="F4537" s="4"/>
      <c r="G4537" s="33" t="str">
        <f>IFERROR(VLOOKUP($D4537,'Informations sur les produits'!$A$3:$H$10000,8,FALSE),"0")</f>
        <v>0</v>
      </c>
      <c r="K4537" s="4"/>
      <c r="L4537" s="33" t="str">
        <f>IFERROR(VLOOKUP($J4537,'Informations sur les produits'!$A$3:$H$10000,8,FALSE),"0")</f>
        <v>0</v>
      </c>
      <c r="N4537" s="8"/>
      <c r="O4537" s="33" t="str">
        <f>IFERROR(VLOOKUP($M4537,'Informations sur les produits'!$A$3:$H$10000,8,FALSE),"0")</f>
        <v>0</v>
      </c>
      <c r="P4537" s="33">
        <f t="shared" si="280"/>
        <v>0</v>
      </c>
      <c r="Q4537" s="31" t="str">
        <f t="shared" si="281"/>
        <v/>
      </c>
      <c r="R4537" s="32" t="str">
        <f>IFERROR(VLOOKUP($D4537,'Informations sur les produits'!$A$3:$B$15000,2,FALSE),"")</f>
        <v/>
      </c>
      <c r="V4537">
        <f t="shared" si="282"/>
        <v>0</v>
      </c>
      <c r="W4537">
        <f t="shared" si="283"/>
        <v>0</v>
      </c>
    </row>
    <row r="4538" spans="5:23" x14ac:dyDescent="0.25">
      <c r="E4538" s="4"/>
      <c r="F4538" s="4"/>
      <c r="G4538" s="33" t="str">
        <f>IFERROR(VLOOKUP($D4538,'Informations sur les produits'!$A$3:$H$10000,8,FALSE),"0")</f>
        <v>0</v>
      </c>
      <c r="K4538" s="4"/>
      <c r="L4538" s="33" t="str">
        <f>IFERROR(VLOOKUP($J4538,'Informations sur les produits'!$A$3:$H$10000,8,FALSE),"0")</f>
        <v>0</v>
      </c>
      <c r="N4538" s="8"/>
      <c r="O4538" s="33" t="str">
        <f>IFERROR(VLOOKUP($M4538,'Informations sur les produits'!$A$3:$H$10000,8,FALSE),"0")</f>
        <v>0</v>
      </c>
      <c r="P4538" s="33">
        <f t="shared" si="280"/>
        <v>0</v>
      </c>
      <c r="Q4538" s="31" t="str">
        <f t="shared" si="281"/>
        <v/>
      </c>
      <c r="R4538" s="32" t="str">
        <f>IFERROR(VLOOKUP($D4538,'Informations sur les produits'!$A$3:$B$15000,2,FALSE),"")</f>
        <v/>
      </c>
      <c r="V4538">
        <f t="shared" si="282"/>
        <v>0</v>
      </c>
      <c r="W4538">
        <f t="shared" si="283"/>
        <v>0</v>
      </c>
    </row>
    <row r="4539" spans="5:23" x14ac:dyDescent="0.25">
      <c r="E4539" s="4"/>
      <c r="F4539" s="4"/>
      <c r="G4539" s="33" t="str">
        <f>IFERROR(VLOOKUP($D4539,'Informations sur les produits'!$A$3:$H$10000,8,FALSE),"0")</f>
        <v>0</v>
      </c>
      <c r="K4539" s="4"/>
      <c r="L4539" s="33" t="str">
        <f>IFERROR(VLOOKUP($J4539,'Informations sur les produits'!$A$3:$H$10000,8,FALSE),"0")</f>
        <v>0</v>
      </c>
      <c r="N4539" s="8"/>
      <c r="O4539" s="33" t="str">
        <f>IFERROR(VLOOKUP($M4539,'Informations sur les produits'!$A$3:$H$10000,8,FALSE),"0")</f>
        <v>0</v>
      </c>
      <c r="P4539" s="33">
        <f t="shared" si="280"/>
        <v>0</v>
      </c>
      <c r="Q4539" s="31" t="str">
        <f t="shared" si="281"/>
        <v/>
      </c>
      <c r="R4539" s="32" t="str">
        <f>IFERROR(VLOOKUP($D4539,'Informations sur les produits'!$A$3:$B$15000,2,FALSE),"")</f>
        <v/>
      </c>
      <c r="V4539">
        <f t="shared" si="282"/>
        <v>0</v>
      </c>
      <c r="W4539">
        <f t="shared" si="283"/>
        <v>0</v>
      </c>
    </row>
    <row r="4540" spans="5:23" x14ac:dyDescent="0.25">
      <c r="E4540" s="4"/>
      <c r="F4540" s="4"/>
      <c r="G4540" s="33" t="str">
        <f>IFERROR(VLOOKUP($D4540,'Informations sur les produits'!$A$3:$H$10000,8,FALSE),"0")</f>
        <v>0</v>
      </c>
      <c r="K4540" s="4"/>
      <c r="L4540" s="33" t="str">
        <f>IFERROR(VLOOKUP($J4540,'Informations sur les produits'!$A$3:$H$10000,8,FALSE),"0")</f>
        <v>0</v>
      </c>
      <c r="N4540" s="8"/>
      <c r="O4540" s="33" t="str">
        <f>IFERROR(VLOOKUP($M4540,'Informations sur les produits'!$A$3:$H$10000,8,FALSE),"0")</f>
        <v>0</v>
      </c>
      <c r="P4540" s="33">
        <f t="shared" si="280"/>
        <v>0</v>
      </c>
      <c r="Q4540" s="31" t="str">
        <f t="shared" si="281"/>
        <v/>
      </c>
      <c r="R4540" s="32" t="str">
        <f>IFERROR(VLOOKUP($D4540,'Informations sur les produits'!$A$3:$B$15000,2,FALSE),"")</f>
        <v/>
      </c>
      <c r="V4540">
        <f t="shared" si="282"/>
        <v>0</v>
      </c>
      <c r="W4540">
        <f t="shared" si="283"/>
        <v>0</v>
      </c>
    </row>
    <row r="4541" spans="5:23" x14ac:dyDescent="0.25">
      <c r="E4541" s="4"/>
      <c r="F4541" s="4"/>
      <c r="G4541" s="33" t="str">
        <f>IFERROR(VLOOKUP($D4541,'Informations sur les produits'!$A$3:$H$10000,8,FALSE),"0")</f>
        <v>0</v>
      </c>
      <c r="K4541" s="4"/>
      <c r="L4541" s="33" t="str">
        <f>IFERROR(VLOOKUP($J4541,'Informations sur les produits'!$A$3:$H$10000,8,FALSE),"0")</f>
        <v>0</v>
      </c>
      <c r="N4541" s="8"/>
      <c r="O4541" s="33" t="str">
        <f>IFERROR(VLOOKUP($M4541,'Informations sur les produits'!$A$3:$H$10000,8,FALSE),"0")</f>
        <v>0</v>
      </c>
      <c r="P4541" s="33">
        <f t="shared" si="280"/>
        <v>0</v>
      </c>
      <c r="Q4541" s="31" t="str">
        <f t="shared" si="281"/>
        <v/>
      </c>
      <c r="R4541" s="32" t="str">
        <f>IFERROR(VLOOKUP($D4541,'Informations sur les produits'!$A$3:$B$15000,2,FALSE),"")</f>
        <v/>
      </c>
      <c r="V4541">
        <f t="shared" si="282"/>
        <v>0</v>
      </c>
      <c r="W4541">
        <f t="shared" si="283"/>
        <v>0</v>
      </c>
    </row>
    <row r="4542" spans="5:23" x14ac:dyDescent="0.25">
      <c r="E4542" s="4"/>
      <c r="F4542" s="4"/>
      <c r="G4542" s="33" t="str">
        <f>IFERROR(VLOOKUP($D4542,'Informations sur les produits'!$A$3:$H$10000,8,FALSE),"0")</f>
        <v>0</v>
      </c>
      <c r="K4542" s="4"/>
      <c r="L4542" s="33" t="str">
        <f>IFERROR(VLOOKUP($J4542,'Informations sur les produits'!$A$3:$H$10000,8,FALSE),"0")</f>
        <v>0</v>
      </c>
      <c r="N4542" s="8"/>
      <c r="O4542" s="33" t="str">
        <f>IFERROR(VLOOKUP($M4542,'Informations sur les produits'!$A$3:$H$10000,8,FALSE),"0")</f>
        <v>0</v>
      </c>
      <c r="P4542" s="33">
        <f t="shared" si="280"/>
        <v>0</v>
      </c>
      <c r="Q4542" s="31" t="str">
        <f t="shared" si="281"/>
        <v/>
      </c>
      <c r="R4542" s="32" t="str">
        <f>IFERROR(VLOOKUP($D4542,'Informations sur les produits'!$A$3:$B$15000,2,FALSE),"")</f>
        <v/>
      </c>
      <c r="V4542">
        <f t="shared" si="282"/>
        <v>0</v>
      </c>
      <c r="W4542">
        <f t="shared" si="283"/>
        <v>0</v>
      </c>
    </row>
    <row r="4543" spans="5:23" x14ac:dyDescent="0.25">
      <c r="E4543" s="4"/>
      <c r="F4543" s="4"/>
      <c r="G4543" s="33" t="str">
        <f>IFERROR(VLOOKUP($D4543,'Informations sur les produits'!$A$3:$H$10000,8,FALSE),"0")</f>
        <v>0</v>
      </c>
      <c r="K4543" s="4"/>
      <c r="L4543" s="33" t="str">
        <f>IFERROR(VLOOKUP($J4543,'Informations sur les produits'!$A$3:$H$10000,8,FALSE),"0")</f>
        <v>0</v>
      </c>
      <c r="N4543" s="8"/>
      <c r="O4543" s="33" t="str">
        <f>IFERROR(VLOOKUP($M4543,'Informations sur les produits'!$A$3:$H$10000,8,FALSE),"0")</f>
        <v>0</v>
      </c>
      <c r="P4543" s="33">
        <f t="shared" si="280"/>
        <v>0</v>
      </c>
      <c r="Q4543" s="31" t="str">
        <f t="shared" si="281"/>
        <v/>
      </c>
      <c r="R4543" s="32" t="str">
        <f>IFERROR(VLOOKUP($D4543,'Informations sur les produits'!$A$3:$B$15000,2,FALSE),"")</f>
        <v/>
      </c>
      <c r="V4543">
        <f t="shared" si="282"/>
        <v>0</v>
      </c>
      <c r="W4543">
        <f t="shared" si="283"/>
        <v>0</v>
      </c>
    </row>
    <row r="4544" spans="5:23" x14ac:dyDescent="0.25">
      <c r="E4544" s="4"/>
      <c r="F4544" s="4"/>
      <c r="G4544" s="33" t="str">
        <f>IFERROR(VLOOKUP($D4544,'Informations sur les produits'!$A$3:$H$10000,8,FALSE),"0")</f>
        <v>0</v>
      </c>
      <c r="K4544" s="4"/>
      <c r="L4544" s="33" t="str">
        <f>IFERROR(VLOOKUP($J4544,'Informations sur les produits'!$A$3:$H$10000,8,FALSE),"0")</f>
        <v>0</v>
      </c>
      <c r="N4544" s="8"/>
      <c r="O4544" s="33" t="str">
        <f>IFERROR(VLOOKUP($M4544,'Informations sur les produits'!$A$3:$H$10000,8,FALSE),"0")</f>
        <v>0</v>
      </c>
      <c r="P4544" s="33">
        <f t="shared" si="280"/>
        <v>0</v>
      </c>
      <c r="Q4544" s="31" t="str">
        <f t="shared" si="281"/>
        <v/>
      </c>
      <c r="R4544" s="32" t="str">
        <f>IFERROR(VLOOKUP($D4544,'Informations sur les produits'!$A$3:$B$15000,2,FALSE),"")</f>
        <v/>
      </c>
      <c r="V4544">
        <f t="shared" si="282"/>
        <v>0</v>
      </c>
      <c r="W4544">
        <f t="shared" si="283"/>
        <v>0</v>
      </c>
    </row>
    <row r="4545" spans="5:23" x14ac:dyDescent="0.25">
      <c r="E4545" s="4"/>
      <c r="F4545" s="4"/>
      <c r="G4545" s="33" t="str">
        <f>IFERROR(VLOOKUP($D4545,'Informations sur les produits'!$A$3:$H$10000,8,FALSE),"0")</f>
        <v>0</v>
      </c>
      <c r="K4545" s="4"/>
      <c r="L4545" s="33" t="str">
        <f>IFERROR(VLOOKUP($J4545,'Informations sur les produits'!$A$3:$H$10000,8,FALSE),"0")</f>
        <v>0</v>
      </c>
      <c r="N4545" s="8"/>
      <c r="O4545" s="33" t="str">
        <f>IFERROR(VLOOKUP($M4545,'Informations sur les produits'!$A$3:$H$10000,8,FALSE),"0")</f>
        <v>0</v>
      </c>
      <c r="P4545" s="33">
        <f t="shared" si="280"/>
        <v>0</v>
      </c>
      <c r="Q4545" s="31" t="str">
        <f t="shared" si="281"/>
        <v/>
      </c>
      <c r="R4545" s="32" t="str">
        <f>IFERROR(VLOOKUP($D4545,'Informations sur les produits'!$A$3:$B$15000,2,FALSE),"")</f>
        <v/>
      </c>
      <c r="V4545">
        <f t="shared" si="282"/>
        <v>0</v>
      </c>
      <c r="W4545">
        <f t="shared" si="283"/>
        <v>0</v>
      </c>
    </row>
    <row r="4546" spans="5:23" x14ac:dyDescent="0.25">
      <c r="E4546" s="4"/>
      <c r="F4546" s="4"/>
      <c r="G4546" s="33" t="str">
        <f>IFERROR(VLOOKUP($D4546,'Informations sur les produits'!$A$3:$H$10000,8,FALSE),"0")</f>
        <v>0</v>
      </c>
      <c r="K4546" s="4"/>
      <c r="L4546" s="33" t="str">
        <f>IFERROR(VLOOKUP($J4546,'Informations sur les produits'!$A$3:$H$10000,8,FALSE),"0")</f>
        <v>0</v>
      </c>
      <c r="N4546" s="8"/>
      <c r="O4546" s="33" t="str">
        <f>IFERROR(VLOOKUP($M4546,'Informations sur les produits'!$A$3:$H$10000,8,FALSE),"0")</f>
        <v>0</v>
      </c>
      <c r="P4546" s="33">
        <f t="shared" si="280"/>
        <v>0</v>
      </c>
      <c r="Q4546" s="31" t="str">
        <f t="shared" si="281"/>
        <v/>
      </c>
      <c r="R4546" s="32" t="str">
        <f>IFERROR(VLOOKUP($D4546,'Informations sur les produits'!$A$3:$B$15000,2,FALSE),"")</f>
        <v/>
      </c>
      <c r="V4546">
        <f t="shared" si="282"/>
        <v>0</v>
      </c>
      <c r="W4546">
        <f t="shared" si="283"/>
        <v>0</v>
      </c>
    </row>
    <row r="4547" spans="5:23" x14ac:dyDescent="0.25">
      <c r="E4547" s="4"/>
      <c r="F4547" s="4"/>
      <c r="G4547" s="33" t="str">
        <f>IFERROR(VLOOKUP($D4547,'Informations sur les produits'!$A$3:$H$10000,8,FALSE),"0")</f>
        <v>0</v>
      </c>
      <c r="K4547" s="4"/>
      <c r="L4547" s="33" t="str">
        <f>IFERROR(VLOOKUP($J4547,'Informations sur les produits'!$A$3:$H$10000,8,FALSE),"0")</f>
        <v>0</v>
      </c>
      <c r="N4547" s="8"/>
      <c r="O4547" s="33" t="str">
        <f>IFERROR(VLOOKUP($M4547,'Informations sur les produits'!$A$3:$H$10000,8,FALSE),"0")</f>
        <v>0</v>
      </c>
      <c r="P4547" s="33">
        <f t="shared" si="280"/>
        <v>0</v>
      </c>
      <c r="Q4547" s="31" t="str">
        <f t="shared" si="281"/>
        <v/>
      </c>
      <c r="R4547" s="32" t="str">
        <f>IFERROR(VLOOKUP($D4547,'Informations sur les produits'!$A$3:$B$15000,2,FALSE),"")</f>
        <v/>
      </c>
      <c r="V4547">
        <f t="shared" si="282"/>
        <v>0</v>
      </c>
      <c r="W4547">
        <f t="shared" si="283"/>
        <v>0</v>
      </c>
    </row>
    <row r="4548" spans="5:23" x14ac:dyDescent="0.25">
      <c r="E4548" s="4"/>
      <c r="F4548" s="4"/>
      <c r="G4548" s="33" t="str">
        <f>IFERROR(VLOOKUP($D4548,'Informations sur les produits'!$A$3:$H$10000,8,FALSE),"0")</f>
        <v>0</v>
      </c>
      <c r="K4548" s="4"/>
      <c r="L4548" s="33" t="str">
        <f>IFERROR(VLOOKUP($J4548,'Informations sur les produits'!$A$3:$H$10000,8,FALSE),"0")</f>
        <v>0</v>
      </c>
      <c r="N4548" s="8"/>
      <c r="O4548" s="33" t="str">
        <f>IFERROR(VLOOKUP($M4548,'Informations sur les produits'!$A$3:$H$10000,8,FALSE),"0")</f>
        <v>0</v>
      </c>
      <c r="P4548" s="33">
        <f t="shared" ref="P4548:P4611" si="284">IFERROR((($E4548-$F4548)*$G4548+$K4548*$L4548+$N4548*$O4548),"")</f>
        <v>0</v>
      </c>
      <c r="Q4548" s="31" t="str">
        <f t="shared" ref="Q4548:Q4611" si="285">IFERROR((((($E4548-$F4548)*$G4548+$K4548*$L4548+$N4548*$O4548)*1000)/(($E4548-$F4548)+$K4548+$N4548)),"")</f>
        <v/>
      </c>
      <c r="R4548" s="32" t="str">
        <f>IFERROR(VLOOKUP($D4548,'Informations sur les produits'!$A$3:$B$15000,2,FALSE),"")</f>
        <v/>
      </c>
      <c r="V4548">
        <f t="shared" ref="V4548:V4611" si="286">IFERROR(P4548*1000,"")</f>
        <v>0</v>
      </c>
      <c r="W4548">
        <f t="shared" ref="W4548:W4611" si="287">IFERROR(($E4548-$F4548)+$K4548+$N4548,"")</f>
        <v>0</v>
      </c>
    </row>
    <row r="4549" spans="5:23" x14ac:dyDescent="0.25">
      <c r="E4549" s="4"/>
      <c r="F4549" s="4"/>
      <c r="G4549" s="33" t="str">
        <f>IFERROR(VLOOKUP($D4549,'Informations sur les produits'!$A$3:$H$10000,8,FALSE),"0")</f>
        <v>0</v>
      </c>
      <c r="K4549" s="4"/>
      <c r="L4549" s="33" t="str">
        <f>IFERROR(VLOOKUP($J4549,'Informations sur les produits'!$A$3:$H$10000,8,FALSE),"0")</f>
        <v>0</v>
      </c>
      <c r="N4549" s="8"/>
      <c r="O4549" s="33" t="str">
        <f>IFERROR(VLOOKUP($M4549,'Informations sur les produits'!$A$3:$H$10000,8,FALSE),"0")</f>
        <v>0</v>
      </c>
      <c r="P4549" s="33">
        <f t="shared" si="284"/>
        <v>0</v>
      </c>
      <c r="Q4549" s="31" t="str">
        <f t="shared" si="285"/>
        <v/>
      </c>
      <c r="R4549" s="32" t="str">
        <f>IFERROR(VLOOKUP($D4549,'Informations sur les produits'!$A$3:$B$15000,2,FALSE),"")</f>
        <v/>
      </c>
      <c r="V4549">
        <f t="shared" si="286"/>
        <v>0</v>
      </c>
      <c r="W4549">
        <f t="shared" si="287"/>
        <v>0</v>
      </c>
    </row>
    <row r="4550" spans="5:23" x14ac:dyDescent="0.25">
      <c r="E4550" s="4"/>
      <c r="F4550" s="4"/>
      <c r="G4550" s="33" t="str">
        <f>IFERROR(VLOOKUP($D4550,'Informations sur les produits'!$A$3:$H$10000,8,FALSE),"0")</f>
        <v>0</v>
      </c>
      <c r="K4550" s="4"/>
      <c r="L4550" s="33" t="str">
        <f>IFERROR(VLOOKUP($J4550,'Informations sur les produits'!$A$3:$H$10000,8,FALSE),"0")</f>
        <v>0</v>
      </c>
      <c r="N4550" s="8"/>
      <c r="O4550" s="33" t="str">
        <f>IFERROR(VLOOKUP($M4550,'Informations sur les produits'!$A$3:$H$10000,8,FALSE),"0")</f>
        <v>0</v>
      </c>
      <c r="P4550" s="33">
        <f t="shared" si="284"/>
        <v>0</v>
      </c>
      <c r="Q4550" s="31" t="str">
        <f t="shared" si="285"/>
        <v/>
      </c>
      <c r="R4550" s="32" t="str">
        <f>IFERROR(VLOOKUP($D4550,'Informations sur les produits'!$A$3:$B$15000,2,FALSE),"")</f>
        <v/>
      </c>
      <c r="V4550">
        <f t="shared" si="286"/>
        <v>0</v>
      </c>
      <c r="W4550">
        <f t="shared" si="287"/>
        <v>0</v>
      </c>
    </row>
    <row r="4551" spans="5:23" x14ac:dyDescent="0.25">
      <c r="E4551" s="4"/>
      <c r="F4551" s="4"/>
      <c r="G4551" s="33" t="str">
        <f>IFERROR(VLOOKUP($D4551,'Informations sur les produits'!$A$3:$H$10000,8,FALSE),"0")</f>
        <v>0</v>
      </c>
      <c r="K4551" s="4"/>
      <c r="L4551" s="33" t="str">
        <f>IFERROR(VLOOKUP($J4551,'Informations sur les produits'!$A$3:$H$10000,8,FALSE),"0")</f>
        <v>0</v>
      </c>
      <c r="N4551" s="8"/>
      <c r="O4551" s="33" t="str">
        <f>IFERROR(VLOOKUP($M4551,'Informations sur les produits'!$A$3:$H$10000,8,FALSE),"0")</f>
        <v>0</v>
      </c>
      <c r="P4551" s="33">
        <f t="shared" si="284"/>
        <v>0</v>
      </c>
      <c r="Q4551" s="31" t="str">
        <f t="shared" si="285"/>
        <v/>
      </c>
      <c r="R4551" s="32" t="str">
        <f>IFERROR(VLOOKUP($D4551,'Informations sur les produits'!$A$3:$B$15000,2,FALSE),"")</f>
        <v/>
      </c>
      <c r="V4551">
        <f t="shared" si="286"/>
        <v>0</v>
      </c>
      <c r="W4551">
        <f t="shared" si="287"/>
        <v>0</v>
      </c>
    </row>
    <row r="4552" spans="5:23" x14ac:dyDescent="0.25">
      <c r="E4552" s="4"/>
      <c r="F4552" s="4"/>
      <c r="G4552" s="33" t="str">
        <f>IFERROR(VLOOKUP($D4552,'Informations sur les produits'!$A$3:$H$10000,8,FALSE),"0")</f>
        <v>0</v>
      </c>
      <c r="K4552" s="4"/>
      <c r="L4552" s="33" t="str">
        <f>IFERROR(VLOOKUP($J4552,'Informations sur les produits'!$A$3:$H$10000,8,FALSE),"0")</f>
        <v>0</v>
      </c>
      <c r="N4552" s="8"/>
      <c r="O4552" s="33" t="str">
        <f>IFERROR(VLOOKUP($M4552,'Informations sur les produits'!$A$3:$H$10000,8,FALSE),"0")</f>
        <v>0</v>
      </c>
      <c r="P4552" s="33">
        <f t="shared" si="284"/>
        <v>0</v>
      </c>
      <c r="Q4552" s="31" t="str">
        <f t="shared" si="285"/>
        <v/>
      </c>
      <c r="R4552" s="32" t="str">
        <f>IFERROR(VLOOKUP($D4552,'Informations sur les produits'!$A$3:$B$15000,2,FALSE),"")</f>
        <v/>
      </c>
      <c r="V4552">
        <f t="shared" si="286"/>
        <v>0</v>
      </c>
      <c r="W4552">
        <f t="shared" si="287"/>
        <v>0</v>
      </c>
    </row>
    <row r="4553" spans="5:23" x14ac:dyDescent="0.25">
      <c r="E4553" s="4"/>
      <c r="F4553" s="4"/>
      <c r="G4553" s="33" t="str">
        <f>IFERROR(VLOOKUP($D4553,'Informations sur les produits'!$A$3:$H$10000,8,FALSE),"0")</f>
        <v>0</v>
      </c>
      <c r="K4553" s="4"/>
      <c r="L4553" s="33" t="str">
        <f>IFERROR(VLOOKUP($J4553,'Informations sur les produits'!$A$3:$H$10000,8,FALSE),"0")</f>
        <v>0</v>
      </c>
      <c r="N4553" s="8"/>
      <c r="O4553" s="33" t="str">
        <f>IFERROR(VLOOKUP($M4553,'Informations sur les produits'!$A$3:$H$10000,8,FALSE),"0")</f>
        <v>0</v>
      </c>
      <c r="P4553" s="33">
        <f t="shared" si="284"/>
        <v>0</v>
      </c>
      <c r="Q4553" s="31" t="str">
        <f t="shared" si="285"/>
        <v/>
      </c>
      <c r="R4553" s="32" t="str">
        <f>IFERROR(VLOOKUP($D4553,'Informations sur les produits'!$A$3:$B$15000,2,FALSE),"")</f>
        <v/>
      </c>
      <c r="V4553">
        <f t="shared" si="286"/>
        <v>0</v>
      </c>
      <c r="W4553">
        <f t="shared" si="287"/>
        <v>0</v>
      </c>
    </row>
    <row r="4554" spans="5:23" x14ac:dyDescent="0.25">
      <c r="E4554" s="4"/>
      <c r="F4554" s="4"/>
      <c r="G4554" s="33" t="str">
        <f>IFERROR(VLOOKUP($D4554,'Informations sur les produits'!$A$3:$H$10000,8,FALSE),"0")</f>
        <v>0</v>
      </c>
      <c r="K4554" s="4"/>
      <c r="L4554" s="33" t="str">
        <f>IFERROR(VLOOKUP($J4554,'Informations sur les produits'!$A$3:$H$10000,8,FALSE),"0")</f>
        <v>0</v>
      </c>
      <c r="N4554" s="8"/>
      <c r="O4554" s="33" t="str">
        <f>IFERROR(VLOOKUP($M4554,'Informations sur les produits'!$A$3:$H$10000,8,FALSE),"0")</f>
        <v>0</v>
      </c>
      <c r="P4554" s="33">
        <f t="shared" si="284"/>
        <v>0</v>
      </c>
      <c r="Q4554" s="31" t="str">
        <f t="shared" si="285"/>
        <v/>
      </c>
      <c r="R4554" s="32" t="str">
        <f>IFERROR(VLOOKUP($D4554,'Informations sur les produits'!$A$3:$B$15000,2,FALSE),"")</f>
        <v/>
      </c>
      <c r="V4554">
        <f t="shared" si="286"/>
        <v>0</v>
      </c>
      <c r="W4554">
        <f t="shared" si="287"/>
        <v>0</v>
      </c>
    </row>
    <row r="4555" spans="5:23" x14ac:dyDescent="0.25">
      <c r="E4555" s="4"/>
      <c r="F4555" s="4"/>
      <c r="G4555" s="33" t="str">
        <f>IFERROR(VLOOKUP($D4555,'Informations sur les produits'!$A$3:$H$10000,8,FALSE),"0")</f>
        <v>0</v>
      </c>
      <c r="K4555" s="4"/>
      <c r="L4555" s="33" t="str">
        <f>IFERROR(VLOOKUP($J4555,'Informations sur les produits'!$A$3:$H$10000,8,FALSE),"0")</f>
        <v>0</v>
      </c>
      <c r="N4555" s="8"/>
      <c r="O4555" s="33" t="str">
        <f>IFERROR(VLOOKUP($M4555,'Informations sur les produits'!$A$3:$H$10000,8,FALSE),"0")</f>
        <v>0</v>
      </c>
      <c r="P4555" s="33">
        <f t="shared" si="284"/>
        <v>0</v>
      </c>
      <c r="Q4555" s="31" t="str">
        <f t="shared" si="285"/>
        <v/>
      </c>
      <c r="R4555" s="32" t="str">
        <f>IFERROR(VLOOKUP($D4555,'Informations sur les produits'!$A$3:$B$15000,2,FALSE),"")</f>
        <v/>
      </c>
      <c r="V4555">
        <f t="shared" si="286"/>
        <v>0</v>
      </c>
      <c r="W4555">
        <f t="shared" si="287"/>
        <v>0</v>
      </c>
    </row>
    <row r="4556" spans="5:23" x14ac:dyDescent="0.25">
      <c r="E4556" s="4"/>
      <c r="F4556" s="4"/>
      <c r="G4556" s="33" t="str">
        <f>IFERROR(VLOOKUP($D4556,'Informations sur les produits'!$A$3:$H$10000,8,FALSE),"0")</f>
        <v>0</v>
      </c>
      <c r="K4556" s="4"/>
      <c r="L4556" s="33" t="str">
        <f>IFERROR(VLOOKUP($J4556,'Informations sur les produits'!$A$3:$H$10000,8,FALSE),"0")</f>
        <v>0</v>
      </c>
      <c r="N4556" s="8"/>
      <c r="O4556" s="33" t="str">
        <f>IFERROR(VLOOKUP($M4556,'Informations sur les produits'!$A$3:$H$10000,8,FALSE),"0")</f>
        <v>0</v>
      </c>
      <c r="P4556" s="33">
        <f t="shared" si="284"/>
        <v>0</v>
      </c>
      <c r="Q4556" s="31" t="str">
        <f t="shared" si="285"/>
        <v/>
      </c>
      <c r="R4556" s="32" t="str">
        <f>IFERROR(VLOOKUP($D4556,'Informations sur les produits'!$A$3:$B$15000,2,FALSE),"")</f>
        <v/>
      </c>
      <c r="V4556">
        <f t="shared" si="286"/>
        <v>0</v>
      </c>
      <c r="W4556">
        <f t="shared" si="287"/>
        <v>0</v>
      </c>
    </row>
    <row r="4557" spans="5:23" x14ac:dyDescent="0.25">
      <c r="E4557" s="4"/>
      <c r="F4557" s="4"/>
      <c r="G4557" s="33" t="str">
        <f>IFERROR(VLOOKUP($D4557,'Informations sur les produits'!$A$3:$H$10000,8,FALSE),"0")</f>
        <v>0</v>
      </c>
      <c r="K4557" s="4"/>
      <c r="L4557" s="33" t="str">
        <f>IFERROR(VLOOKUP($J4557,'Informations sur les produits'!$A$3:$H$10000,8,FALSE),"0")</f>
        <v>0</v>
      </c>
      <c r="N4557" s="8"/>
      <c r="O4557" s="33" t="str">
        <f>IFERROR(VLOOKUP($M4557,'Informations sur les produits'!$A$3:$H$10000,8,FALSE),"0")</f>
        <v>0</v>
      </c>
      <c r="P4557" s="33">
        <f t="shared" si="284"/>
        <v>0</v>
      </c>
      <c r="Q4557" s="31" t="str">
        <f t="shared" si="285"/>
        <v/>
      </c>
      <c r="R4557" s="32" t="str">
        <f>IFERROR(VLOOKUP($D4557,'Informations sur les produits'!$A$3:$B$15000,2,FALSE),"")</f>
        <v/>
      </c>
      <c r="V4557">
        <f t="shared" si="286"/>
        <v>0</v>
      </c>
      <c r="W4557">
        <f t="shared" si="287"/>
        <v>0</v>
      </c>
    </row>
    <row r="4558" spans="5:23" x14ac:dyDescent="0.25">
      <c r="E4558" s="4"/>
      <c r="F4558" s="4"/>
      <c r="G4558" s="33" t="str">
        <f>IFERROR(VLOOKUP($D4558,'Informations sur les produits'!$A$3:$H$10000,8,FALSE),"0")</f>
        <v>0</v>
      </c>
      <c r="K4558" s="4"/>
      <c r="L4558" s="33" t="str">
        <f>IFERROR(VLOOKUP($J4558,'Informations sur les produits'!$A$3:$H$10000,8,FALSE),"0")</f>
        <v>0</v>
      </c>
      <c r="N4558" s="8"/>
      <c r="O4558" s="33" t="str">
        <f>IFERROR(VLOOKUP($M4558,'Informations sur les produits'!$A$3:$H$10000,8,FALSE),"0")</f>
        <v>0</v>
      </c>
      <c r="P4558" s="33">
        <f t="shared" si="284"/>
        <v>0</v>
      </c>
      <c r="Q4558" s="31" t="str">
        <f t="shared" si="285"/>
        <v/>
      </c>
      <c r="R4558" s="32" t="str">
        <f>IFERROR(VLOOKUP($D4558,'Informations sur les produits'!$A$3:$B$15000,2,FALSE),"")</f>
        <v/>
      </c>
      <c r="V4558">
        <f t="shared" si="286"/>
        <v>0</v>
      </c>
      <c r="W4558">
        <f t="shared" si="287"/>
        <v>0</v>
      </c>
    </row>
    <row r="4559" spans="5:23" x14ac:dyDescent="0.25">
      <c r="E4559" s="4"/>
      <c r="F4559" s="4"/>
      <c r="G4559" s="33" t="str">
        <f>IFERROR(VLOOKUP($D4559,'Informations sur les produits'!$A$3:$H$10000,8,FALSE),"0")</f>
        <v>0</v>
      </c>
      <c r="K4559" s="4"/>
      <c r="L4559" s="33" t="str">
        <f>IFERROR(VLOOKUP($J4559,'Informations sur les produits'!$A$3:$H$10000,8,FALSE),"0")</f>
        <v>0</v>
      </c>
      <c r="N4559" s="8"/>
      <c r="O4559" s="33" t="str">
        <f>IFERROR(VLOOKUP($M4559,'Informations sur les produits'!$A$3:$H$10000,8,FALSE),"0")</f>
        <v>0</v>
      </c>
      <c r="P4559" s="33">
        <f t="shared" si="284"/>
        <v>0</v>
      </c>
      <c r="Q4559" s="31" t="str">
        <f t="shared" si="285"/>
        <v/>
      </c>
      <c r="R4559" s="32" t="str">
        <f>IFERROR(VLOOKUP($D4559,'Informations sur les produits'!$A$3:$B$15000,2,FALSE),"")</f>
        <v/>
      </c>
      <c r="V4559">
        <f t="shared" si="286"/>
        <v>0</v>
      </c>
      <c r="W4559">
        <f t="shared" si="287"/>
        <v>0</v>
      </c>
    </row>
    <row r="4560" spans="5:23" x14ac:dyDescent="0.25">
      <c r="E4560" s="4"/>
      <c r="F4560" s="4"/>
      <c r="G4560" s="33" t="str">
        <f>IFERROR(VLOOKUP($D4560,'Informations sur les produits'!$A$3:$H$10000,8,FALSE),"0")</f>
        <v>0</v>
      </c>
      <c r="K4560" s="4"/>
      <c r="L4560" s="33" t="str">
        <f>IFERROR(VLOOKUP($J4560,'Informations sur les produits'!$A$3:$H$10000,8,FALSE),"0")</f>
        <v>0</v>
      </c>
      <c r="N4560" s="8"/>
      <c r="O4560" s="33" t="str">
        <f>IFERROR(VLOOKUP($M4560,'Informations sur les produits'!$A$3:$H$10000,8,FALSE),"0")</f>
        <v>0</v>
      </c>
      <c r="P4560" s="33">
        <f t="shared" si="284"/>
        <v>0</v>
      </c>
      <c r="Q4560" s="31" t="str">
        <f t="shared" si="285"/>
        <v/>
      </c>
      <c r="R4560" s="32" t="str">
        <f>IFERROR(VLOOKUP($D4560,'Informations sur les produits'!$A$3:$B$15000,2,FALSE),"")</f>
        <v/>
      </c>
      <c r="V4560">
        <f t="shared" si="286"/>
        <v>0</v>
      </c>
      <c r="W4560">
        <f t="shared" si="287"/>
        <v>0</v>
      </c>
    </row>
    <row r="4561" spans="5:23" x14ac:dyDescent="0.25">
      <c r="E4561" s="4"/>
      <c r="F4561" s="4"/>
      <c r="G4561" s="33" t="str">
        <f>IFERROR(VLOOKUP($D4561,'Informations sur les produits'!$A$3:$H$10000,8,FALSE),"0")</f>
        <v>0</v>
      </c>
      <c r="K4561" s="4"/>
      <c r="L4561" s="33" t="str">
        <f>IFERROR(VLOOKUP($J4561,'Informations sur les produits'!$A$3:$H$10000,8,FALSE),"0")</f>
        <v>0</v>
      </c>
      <c r="N4561" s="8"/>
      <c r="O4561" s="33" t="str">
        <f>IFERROR(VLOOKUP($M4561,'Informations sur les produits'!$A$3:$H$10000,8,FALSE),"0")</f>
        <v>0</v>
      </c>
      <c r="P4561" s="33">
        <f t="shared" si="284"/>
        <v>0</v>
      </c>
      <c r="Q4561" s="31" t="str">
        <f t="shared" si="285"/>
        <v/>
      </c>
      <c r="R4561" s="32" t="str">
        <f>IFERROR(VLOOKUP($D4561,'Informations sur les produits'!$A$3:$B$15000,2,FALSE),"")</f>
        <v/>
      </c>
      <c r="V4561">
        <f t="shared" si="286"/>
        <v>0</v>
      </c>
      <c r="W4561">
        <f t="shared" si="287"/>
        <v>0</v>
      </c>
    </row>
    <row r="4562" spans="5:23" x14ac:dyDescent="0.25">
      <c r="E4562" s="4"/>
      <c r="F4562" s="4"/>
      <c r="G4562" s="33" t="str">
        <f>IFERROR(VLOOKUP($D4562,'Informations sur les produits'!$A$3:$H$10000,8,FALSE),"0")</f>
        <v>0</v>
      </c>
      <c r="K4562" s="4"/>
      <c r="L4562" s="33" t="str">
        <f>IFERROR(VLOOKUP($J4562,'Informations sur les produits'!$A$3:$H$10000,8,FALSE),"0")</f>
        <v>0</v>
      </c>
      <c r="N4562" s="8"/>
      <c r="O4562" s="33" t="str">
        <f>IFERROR(VLOOKUP($M4562,'Informations sur les produits'!$A$3:$H$10000,8,FALSE),"0")</f>
        <v>0</v>
      </c>
      <c r="P4562" s="33">
        <f t="shared" si="284"/>
        <v>0</v>
      </c>
      <c r="Q4562" s="31" t="str">
        <f t="shared" si="285"/>
        <v/>
      </c>
      <c r="R4562" s="32" t="str">
        <f>IFERROR(VLOOKUP($D4562,'Informations sur les produits'!$A$3:$B$15000,2,FALSE),"")</f>
        <v/>
      </c>
      <c r="V4562">
        <f t="shared" si="286"/>
        <v>0</v>
      </c>
      <c r="W4562">
        <f t="shared" si="287"/>
        <v>0</v>
      </c>
    </row>
    <row r="4563" spans="5:23" x14ac:dyDescent="0.25">
      <c r="E4563" s="4"/>
      <c r="F4563" s="4"/>
      <c r="G4563" s="33" t="str">
        <f>IFERROR(VLOOKUP($D4563,'Informations sur les produits'!$A$3:$H$10000,8,FALSE),"0")</f>
        <v>0</v>
      </c>
      <c r="K4563" s="4"/>
      <c r="L4563" s="33" t="str">
        <f>IFERROR(VLOOKUP($J4563,'Informations sur les produits'!$A$3:$H$10000,8,FALSE),"0")</f>
        <v>0</v>
      </c>
      <c r="N4563" s="8"/>
      <c r="O4563" s="33" t="str">
        <f>IFERROR(VLOOKUP($M4563,'Informations sur les produits'!$A$3:$H$10000,8,FALSE),"0")</f>
        <v>0</v>
      </c>
      <c r="P4563" s="33">
        <f t="shared" si="284"/>
        <v>0</v>
      </c>
      <c r="Q4563" s="31" t="str">
        <f t="shared" si="285"/>
        <v/>
      </c>
      <c r="R4563" s="32" t="str">
        <f>IFERROR(VLOOKUP($D4563,'Informations sur les produits'!$A$3:$B$15000,2,FALSE),"")</f>
        <v/>
      </c>
      <c r="V4563">
        <f t="shared" si="286"/>
        <v>0</v>
      </c>
      <c r="W4563">
        <f t="shared" si="287"/>
        <v>0</v>
      </c>
    </row>
    <row r="4564" spans="5:23" x14ac:dyDescent="0.25">
      <c r="E4564" s="4"/>
      <c r="F4564" s="4"/>
      <c r="G4564" s="33" t="str">
        <f>IFERROR(VLOOKUP($D4564,'Informations sur les produits'!$A$3:$H$10000,8,FALSE),"0")</f>
        <v>0</v>
      </c>
      <c r="K4564" s="4"/>
      <c r="L4564" s="33" t="str">
        <f>IFERROR(VLOOKUP($J4564,'Informations sur les produits'!$A$3:$H$10000,8,FALSE),"0")</f>
        <v>0</v>
      </c>
      <c r="N4564" s="8"/>
      <c r="O4564" s="33" t="str">
        <f>IFERROR(VLOOKUP($M4564,'Informations sur les produits'!$A$3:$H$10000,8,FALSE),"0")</f>
        <v>0</v>
      </c>
      <c r="P4564" s="33">
        <f t="shared" si="284"/>
        <v>0</v>
      </c>
      <c r="Q4564" s="31" t="str">
        <f t="shared" si="285"/>
        <v/>
      </c>
      <c r="R4564" s="32" t="str">
        <f>IFERROR(VLOOKUP($D4564,'Informations sur les produits'!$A$3:$B$15000,2,FALSE),"")</f>
        <v/>
      </c>
      <c r="V4564">
        <f t="shared" si="286"/>
        <v>0</v>
      </c>
      <c r="W4564">
        <f t="shared" si="287"/>
        <v>0</v>
      </c>
    </row>
    <row r="4565" spans="5:23" x14ac:dyDescent="0.25">
      <c r="E4565" s="4"/>
      <c r="F4565" s="4"/>
      <c r="G4565" s="33" t="str">
        <f>IFERROR(VLOOKUP($D4565,'Informations sur les produits'!$A$3:$H$10000,8,FALSE),"0")</f>
        <v>0</v>
      </c>
      <c r="K4565" s="4"/>
      <c r="L4565" s="33" t="str">
        <f>IFERROR(VLOOKUP($J4565,'Informations sur les produits'!$A$3:$H$10000,8,FALSE),"0")</f>
        <v>0</v>
      </c>
      <c r="N4565" s="8"/>
      <c r="O4565" s="33" t="str">
        <f>IFERROR(VLOOKUP($M4565,'Informations sur les produits'!$A$3:$H$10000,8,FALSE),"0")</f>
        <v>0</v>
      </c>
      <c r="P4565" s="33">
        <f t="shared" si="284"/>
        <v>0</v>
      </c>
      <c r="Q4565" s="31" t="str">
        <f t="shared" si="285"/>
        <v/>
      </c>
      <c r="R4565" s="32" t="str">
        <f>IFERROR(VLOOKUP($D4565,'Informations sur les produits'!$A$3:$B$15000,2,FALSE),"")</f>
        <v/>
      </c>
      <c r="V4565">
        <f t="shared" si="286"/>
        <v>0</v>
      </c>
      <c r="W4565">
        <f t="shared" si="287"/>
        <v>0</v>
      </c>
    </row>
    <row r="4566" spans="5:23" x14ac:dyDescent="0.25">
      <c r="E4566" s="4"/>
      <c r="F4566" s="4"/>
      <c r="G4566" s="33" t="str">
        <f>IFERROR(VLOOKUP($D4566,'Informations sur les produits'!$A$3:$H$10000,8,FALSE),"0")</f>
        <v>0</v>
      </c>
      <c r="K4566" s="4"/>
      <c r="L4566" s="33" t="str">
        <f>IFERROR(VLOOKUP($J4566,'Informations sur les produits'!$A$3:$H$10000,8,FALSE),"0")</f>
        <v>0</v>
      </c>
      <c r="N4566" s="8"/>
      <c r="O4566" s="33" t="str">
        <f>IFERROR(VLOOKUP($M4566,'Informations sur les produits'!$A$3:$H$10000,8,FALSE),"0")</f>
        <v>0</v>
      </c>
      <c r="P4566" s="33">
        <f t="shared" si="284"/>
        <v>0</v>
      </c>
      <c r="Q4566" s="31" t="str">
        <f t="shared" si="285"/>
        <v/>
      </c>
      <c r="R4566" s="32" t="str">
        <f>IFERROR(VLOOKUP($D4566,'Informations sur les produits'!$A$3:$B$15000,2,FALSE),"")</f>
        <v/>
      </c>
      <c r="V4566">
        <f t="shared" si="286"/>
        <v>0</v>
      </c>
      <c r="W4566">
        <f t="shared" si="287"/>
        <v>0</v>
      </c>
    </row>
    <row r="4567" spans="5:23" x14ac:dyDescent="0.25">
      <c r="E4567" s="4"/>
      <c r="F4567" s="4"/>
      <c r="G4567" s="33" t="str">
        <f>IFERROR(VLOOKUP($D4567,'Informations sur les produits'!$A$3:$H$10000,8,FALSE),"0")</f>
        <v>0</v>
      </c>
      <c r="K4567" s="4"/>
      <c r="L4567" s="33" t="str">
        <f>IFERROR(VLOOKUP($J4567,'Informations sur les produits'!$A$3:$H$10000,8,FALSE),"0")</f>
        <v>0</v>
      </c>
      <c r="N4567" s="8"/>
      <c r="O4567" s="33" t="str">
        <f>IFERROR(VLOOKUP($M4567,'Informations sur les produits'!$A$3:$H$10000,8,FALSE),"0")</f>
        <v>0</v>
      </c>
      <c r="P4567" s="33">
        <f t="shared" si="284"/>
        <v>0</v>
      </c>
      <c r="Q4567" s="31" t="str">
        <f t="shared" si="285"/>
        <v/>
      </c>
      <c r="R4567" s="32" t="str">
        <f>IFERROR(VLOOKUP($D4567,'Informations sur les produits'!$A$3:$B$15000,2,FALSE),"")</f>
        <v/>
      </c>
      <c r="V4567">
        <f t="shared" si="286"/>
        <v>0</v>
      </c>
      <c r="W4567">
        <f t="shared" si="287"/>
        <v>0</v>
      </c>
    </row>
    <row r="4568" spans="5:23" x14ac:dyDescent="0.25">
      <c r="E4568" s="4"/>
      <c r="F4568" s="4"/>
      <c r="G4568" s="33" t="str">
        <f>IFERROR(VLOOKUP($D4568,'Informations sur les produits'!$A$3:$H$10000,8,FALSE),"0")</f>
        <v>0</v>
      </c>
      <c r="K4568" s="4"/>
      <c r="L4568" s="33" t="str">
        <f>IFERROR(VLOOKUP($J4568,'Informations sur les produits'!$A$3:$H$10000,8,FALSE),"0")</f>
        <v>0</v>
      </c>
      <c r="N4568" s="8"/>
      <c r="O4568" s="33" t="str">
        <f>IFERROR(VLOOKUP($M4568,'Informations sur les produits'!$A$3:$H$10000,8,FALSE),"0")</f>
        <v>0</v>
      </c>
      <c r="P4568" s="33">
        <f t="shared" si="284"/>
        <v>0</v>
      </c>
      <c r="Q4568" s="31" t="str">
        <f t="shared" si="285"/>
        <v/>
      </c>
      <c r="R4568" s="32" t="str">
        <f>IFERROR(VLOOKUP($D4568,'Informations sur les produits'!$A$3:$B$15000,2,FALSE),"")</f>
        <v/>
      </c>
      <c r="V4568">
        <f t="shared" si="286"/>
        <v>0</v>
      </c>
      <c r="W4568">
        <f t="shared" si="287"/>
        <v>0</v>
      </c>
    </row>
    <row r="4569" spans="5:23" x14ac:dyDescent="0.25">
      <c r="E4569" s="4"/>
      <c r="F4569" s="4"/>
      <c r="G4569" s="33" t="str">
        <f>IFERROR(VLOOKUP($D4569,'Informations sur les produits'!$A$3:$H$10000,8,FALSE),"0")</f>
        <v>0</v>
      </c>
      <c r="K4569" s="4"/>
      <c r="L4569" s="33" t="str">
        <f>IFERROR(VLOOKUP($J4569,'Informations sur les produits'!$A$3:$H$10000,8,FALSE),"0")</f>
        <v>0</v>
      </c>
      <c r="N4569" s="8"/>
      <c r="O4569" s="33" t="str">
        <f>IFERROR(VLOOKUP($M4569,'Informations sur les produits'!$A$3:$H$10000,8,FALSE),"0")</f>
        <v>0</v>
      </c>
      <c r="P4569" s="33">
        <f t="shared" si="284"/>
        <v>0</v>
      </c>
      <c r="Q4569" s="31" t="str">
        <f t="shared" si="285"/>
        <v/>
      </c>
      <c r="R4569" s="32" t="str">
        <f>IFERROR(VLOOKUP($D4569,'Informations sur les produits'!$A$3:$B$15000,2,FALSE),"")</f>
        <v/>
      </c>
      <c r="V4569">
        <f t="shared" si="286"/>
        <v>0</v>
      </c>
      <c r="W4569">
        <f t="shared" si="287"/>
        <v>0</v>
      </c>
    </row>
    <row r="4570" spans="5:23" x14ac:dyDescent="0.25">
      <c r="E4570" s="4"/>
      <c r="F4570" s="4"/>
      <c r="G4570" s="33" t="str">
        <f>IFERROR(VLOOKUP($D4570,'Informations sur les produits'!$A$3:$H$10000,8,FALSE),"0")</f>
        <v>0</v>
      </c>
      <c r="K4570" s="4"/>
      <c r="L4570" s="33" t="str">
        <f>IFERROR(VLOOKUP($J4570,'Informations sur les produits'!$A$3:$H$10000,8,FALSE),"0")</f>
        <v>0</v>
      </c>
      <c r="N4570" s="8"/>
      <c r="O4570" s="33" t="str">
        <f>IFERROR(VLOOKUP($M4570,'Informations sur les produits'!$A$3:$H$10000,8,FALSE),"0")</f>
        <v>0</v>
      </c>
      <c r="P4570" s="33">
        <f t="shared" si="284"/>
        <v>0</v>
      </c>
      <c r="Q4570" s="31" t="str">
        <f t="shared" si="285"/>
        <v/>
      </c>
      <c r="R4570" s="32" t="str">
        <f>IFERROR(VLOOKUP($D4570,'Informations sur les produits'!$A$3:$B$15000,2,FALSE),"")</f>
        <v/>
      </c>
      <c r="V4570">
        <f t="shared" si="286"/>
        <v>0</v>
      </c>
      <c r="W4570">
        <f t="shared" si="287"/>
        <v>0</v>
      </c>
    </row>
    <row r="4571" spans="5:23" x14ac:dyDescent="0.25">
      <c r="E4571" s="4"/>
      <c r="F4571" s="4"/>
      <c r="G4571" s="33" t="str">
        <f>IFERROR(VLOOKUP($D4571,'Informations sur les produits'!$A$3:$H$10000,8,FALSE),"0")</f>
        <v>0</v>
      </c>
      <c r="K4571" s="4"/>
      <c r="L4571" s="33" t="str">
        <f>IFERROR(VLOOKUP($J4571,'Informations sur les produits'!$A$3:$H$10000,8,FALSE),"0")</f>
        <v>0</v>
      </c>
      <c r="N4571" s="8"/>
      <c r="O4571" s="33" t="str">
        <f>IFERROR(VLOOKUP($M4571,'Informations sur les produits'!$A$3:$H$10000,8,FALSE),"0")</f>
        <v>0</v>
      </c>
      <c r="P4571" s="33">
        <f t="shared" si="284"/>
        <v>0</v>
      </c>
      <c r="Q4571" s="31" t="str">
        <f t="shared" si="285"/>
        <v/>
      </c>
      <c r="R4571" s="32" t="str">
        <f>IFERROR(VLOOKUP($D4571,'Informations sur les produits'!$A$3:$B$15000,2,FALSE),"")</f>
        <v/>
      </c>
      <c r="V4571">
        <f t="shared" si="286"/>
        <v>0</v>
      </c>
      <c r="W4571">
        <f t="shared" si="287"/>
        <v>0</v>
      </c>
    </row>
    <row r="4572" spans="5:23" x14ac:dyDescent="0.25">
      <c r="E4572" s="4"/>
      <c r="F4572" s="4"/>
      <c r="G4572" s="33" t="str">
        <f>IFERROR(VLOOKUP($D4572,'Informations sur les produits'!$A$3:$H$10000,8,FALSE),"0")</f>
        <v>0</v>
      </c>
      <c r="K4572" s="4"/>
      <c r="L4572" s="33" t="str">
        <f>IFERROR(VLOOKUP($J4572,'Informations sur les produits'!$A$3:$H$10000,8,FALSE),"0")</f>
        <v>0</v>
      </c>
      <c r="N4572" s="8"/>
      <c r="O4572" s="33" t="str">
        <f>IFERROR(VLOOKUP($M4572,'Informations sur les produits'!$A$3:$H$10000,8,FALSE),"0")</f>
        <v>0</v>
      </c>
      <c r="P4572" s="33">
        <f t="shared" si="284"/>
        <v>0</v>
      </c>
      <c r="Q4572" s="31" t="str">
        <f t="shared" si="285"/>
        <v/>
      </c>
      <c r="R4572" s="32" t="str">
        <f>IFERROR(VLOOKUP($D4572,'Informations sur les produits'!$A$3:$B$15000,2,FALSE),"")</f>
        <v/>
      </c>
      <c r="V4572">
        <f t="shared" si="286"/>
        <v>0</v>
      </c>
      <c r="W4572">
        <f t="shared" si="287"/>
        <v>0</v>
      </c>
    </row>
    <row r="4573" spans="5:23" x14ac:dyDescent="0.25">
      <c r="E4573" s="4"/>
      <c r="F4573" s="4"/>
      <c r="G4573" s="33" t="str">
        <f>IFERROR(VLOOKUP($D4573,'Informations sur les produits'!$A$3:$H$10000,8,FALSE),"0")</f>
        <v>0</v>
      </c>
      <c r="K4573" s="4"/>
      <c r="L4573" s="33" t="str">
        <f>IFERROR(VLOOKUP($J4573,'Informations sur les produits'!$A$3:$H$10000,8,FALSE),"0")</f>
        <v>0</v>
      </c>
      <c r="N4573" s="8"/>
      <c r="O4573" s="33" t="str">
        <f>IFERROR(VLOOKUP($M4573,'Informations sur les produits'!$A$3:$H$10000,8,FALSE),"0")</f>
        <v>0</v>
      </c>
      <c r="P4573" s="33">
        <f t="shared" si="284"/>
        <v>0</v>
      </c>
      <c r="Q4573" s="31" t="str">
        <f t="shared" si="285"/>
        <v/>
      </c>
      <c r="R4573" s="32" t="str">
        <f>IFERROR(VLOOKUP($D4573,'Informations sur les produits'!$A$3:$B$15000,2,FALSE),"")</f>
        <v/>
      </c>
      <c r="V4573">
        <f t="shared" si="286"/>
        <v>0</v>
      </c>
      <c r="W4573">
        <f t="shared" si="287"/>
        <v>0</v>
      </c>
    </row>
    <row r="4574" spans="5:23" x14ac:dyDescent="0.25">
      <c r="E4574" s="4"/>
      <c r="F4574" s="4"/>
      <c r="G4574" s="33" t="str">
        <f>IFERROR(VLOOKUP($D4574,'Informations sur les produits'!$A$3:$H$10000,8,FALSE),"0")</f>
        <v>0</v>
      </c>
      <c r="K4574" s="4"/>
      <c r="L4574" s="33" t="str">
        <f>IFERROR(VLOOKUP($J4574,'Informations sur les produits'!$A$3:$H$10000,8,FALSE),"0")</f>
        <v>0</v>
      </c>
      <c r="N4574" s="8"/>
      <c r="O4574" s="33" t="str">
        <f>IFERROR(VLOOKUP($M4574,'Informations sur les produits'!$A$3:$H$10000,8,FALSE),"0")</f>
        <v>0</v>
      </c>
      <c r="P4574" s="33">
        <f t="shared" si="284"/>
        <v>0</v>
      </c>
      <c r="Q4574" s="31" t="str">
        <f t="shared" si="285"/>
        <v/>
      </c>
      <c r="R4574" s="32" t="str">
        <f>IFERROR(VLOOKUP($D4574,'Informations sur les produits'!$A$3:$B$15000,2,FALSE),"")</f>
        <v/>
      </c>
      <c r="V4574">
        <f t="shared" si="286"/>
        <v>0</v>
      </c>
      <c r="W4574">
        <f t="shared" si="287"/>
        <v>0</v>
      </c>
    </row>
    <row r="4575" spans="5:23" x14ac:dyDescent="0.25">
      <c r="E4575" s="4"/>
      <c r="F4575" s="4"/>
      <c r="G4575" s="33" t="str">
        <f>IFERROR(VLOOKUP($D4575,'Informations sur les produits'!$A$3:$H$10000,8,FALSE),"0")</f>
        <v>0</v>
      </c>
      <c r="K4575" s="4"/>
      <c r="L4575" s="33" t="str">
        <f>IFERROR(VLOOKUP($J4575,'Informations sur les produits'!$A$3:$H$10000,8,FALSE),"0")</f>
        <v>0</v>
      </c>
      <c r="N4575" s="8"/>
      <c r="O4575" s="33" t="str">
        <f>IFERROR(VLOOKUP($M4575,'Informations sur les produits'!$A$3:$H$10000,8,FALSE),"0")</f>
        <v>0</v>
      </c>
      <c r="P4575" s="33">
        <f t="shared" si="284"/>
        <v>0</v>
      </c>
      <c r="Q4575" s="31" t="str">
        <f t="shared" si="285"/>
        <v/>
      </c>
      <c r="R4575" s="32" t="str">
        <f>IFERROR(VLOOKUP($D4575,'Informations sur les produits'!$A$3:$B$15000,2,FALSE),"")</f>
        <v/>
      </c>
      <c r="V4575">
        <f t="shared" si="286"/>
        <v>0</v>
      </c>
      <c r="W4575">
        <f t="shared" si="287"/>
        <v>0</v>
      </c>
    </row>
    <row r="4576" spans="5:23" x14ac:dyDescent="0.25">
      <c r="E4576" s="4"/>
      <c r="F4576" s="4"/>
      <c r="G4576" s="33" t="str">
        <f>IFERROR(VLOOKUP($D4576,'Informations sur les produits'!$A$3:$H$10000,8,FALSE),"0")</f>
        <v>0</v>
      </c>
      <c r="K4576" s="4"/>
      <c r="L4576" s="33" t="str">
        <f>IFERROR(VLOOKUP($J4576,'Informations sur les produits'!$A$3:$H$10000,8,FALSE),"0")</f>
        <v>0</v>
      </c>
      <c r="N4576" s="8"/>
      <c r="O4576" s="33" t="str">
        <f>IFERROR(VLOOKUP($M4576,'Informations sur les produits'!$A$3:$H$10000,8,FALSE),"0")</f>
        <v>0</v>
      </c>
      <c r="P4576" s="33">
        <f t="shared" si="284"/>
        <v>0</v>
      </c>
      <c r="Q4576" s="31" t="str">
        <f t="shared" si="285"/>
        <v/>
      </c>
      <c r="R4576" s="32" t="str">
        <f>IFERROR(VLOOKUP($D4576,'Informations sur les produits'!$A$3:$B$15000,2,FALSE),"")</f>
        <v/>
      </c>
      <c r="V4576">
        <f t="shared" si="286"/>
        <v>0</v>
      </c>
      <c r="W4576">
        <f t="shared" si="287"/>
        <v>0</v>
      </c>
    </row>
    <row r="4577" spans="5:23" x14ac:dyDescent="0.25">
      <c r="E4577" s="4"/>
      <c r="F4577" s="4"/>
      <c r="G4577" s="33" t="str">
        <f>IFERROR(VLOOKUP($D4577,'Informations sur les produits'!$A$3:$H$10000,8,FALSE),"0")</f>
        <v>0</v>
      </c>
      <c r="K4577" s="4"/>
      <c r="L4577" s="33" t="str">
        <f>IFERROR(VLOOKUP($J4577,'Informations sur les produits'!$A$3:$H$10000,8,FALSE),"0")</f>
        <v>0</v>
      </c>
      <c r="N4577" s="8"/>
      <c r="O4577" s="33" t="str">
        <f>IFERROR(VLOOKUP($M4577,'Informations sur les produits'!$A$3:$H$10000,8,FALSE),"0")</f>
        <v>0</v>
      </c>
      <c r="P4577" s="33">
        <f t="shared" si="284"/>
        <v>0</v>
      </c>
      <c r="Q4577" s="31" t="str">
        <f t="shared" si="285"/>
        <v/>
      </c>
      <c r="R4577" s="32" t="str">
        <f>IFERROR(VLOOKUP($D4577,'Informations sur les produits'!$A$3:$B$15000,2,FALSE),"")</f>
        <v/>
      </c>
      <c r="V4577">
        <f t="shared" si="286"/>
        <v>0</v>
      </c>
      <c r="W4577">
        <f t="shared" si="287"/>
        <v>0</v>
      </c>
    </row>
    <row r="4578" spans="5:23" x14ac:dyDescent="0.25">
      <c r="E4578" s="4"/>
      <c r="F4578" s="4"/>
      <c r="G4578" s="33" t="str">
        <f>IFERROR(VLOOKUP($D4578,'Informations sur les produits'!$A$3:$H$10000,8,FALSE),"0")</f>
        <v>0</v>
      </c>
      <c r="K4578" s="4"/>
      <c r="L4578" s="33" t="str">
        <f>IFERROR(VLOOKUP($J4578,'Informations sur les produits'!$A$3:$H$10000,8,FALSE),"0")</f>
        <v>0</v>
      </c>
      <c r="N4578" s="8"/>
      <c r="O4578" s="33" t="str">
        <f>IFERROR(VLOOKUP($M4578,'Informations sur les produits'!$A$3:$H$10000,8,FALSE),"0")</f>
        <v>0</v>
      </c>
      <c r="P4578" s="33">
        <f t="shared" si="284"/>
        <v>0</v>
      </c>
      <c r="Q4578" s="31" t="str">
        <f t="shared" si="285"/>
        <v/>
      </c>
      <c r="R4578" s="32" t="str">
        <f>IFERROR(VLOOKUP($D4578,'Informations sur les produits'!$A$3:$B$15000,2,FALSE),"")</f>
        <v/>
      </c>
      <c r="V4578">
        <f t="shared" si="286"/>
        <v>0</v>
      </c>
      <c r="W4578">
        <f t="shared" si="287"/>
        <v>0</v>
      </c>
    </row>
    <row r="4579" spans="5:23" x14ac:dyDescent="0.25">
      <c r="E4579" s="4"/>
      <c r="F4579" s="4"/>
      <c r="G4579" s="33" t="str">
        <f>IFERROR(VLOOKUP($D4579,'Informations sur les produits'!$A$3:$H$10000,8,FALSE),"0")</f>
        <v>0</v>
      </c>
      <c r="K4579" s="4"/>
      <c r="L4579" s="33" t="str">
        <f>IFERROR(VLOOKUP($J4579,'Informations sur les produits'!$A$3:$H$10000,8,FALSE),"0")</f>
        <v>0</v>
      </c>
      <c r="N4579" s="8"/>
      <c r="O4579" s="33" t="str">
        <f>IFERROR(VLOOKUP($M4579,'Informations sur les produits'!$A$3:$H$10000,8,FALSE),"0")</f>
        <v>0</v>
      </c>
      <c r="P4579" s="33">
        <f t="shared" si="284"/>
        <v>0</v>
      </c>
      <c r="Q4579" s="31" t="str">
        <f t="shared" si="285"/>
        <v/>
      </c>
      <c r="R4579" s="32" t="str">
        <f>IFERROR(VLOOKUP($D4579,'Informations sur les produits'!$A$3:$B$15000,2,FALSE),"")</f>
        <v/>
      </c>
      <c r="V4579">
        <f t="shared" si="286"/>
        <v>0</v>
      </c>
      <c r="W4579">
        <f t="shared" si="287"/>
        <v>0</v>
      </c>
    </row>
    <row r="4580" spans="5:23" x14ac:dyDescent="0.25">
      <c r="E4580" s="4"/>
      <c r="F4580" s="4"/>
      <c r="G4580" s="33" t="str">
        <f>IFERROR(VLOOKUP($D4580,'Informations sur les produits'!$A$3:$H$10000,8,FALSE),"0")</f>
        <v>0</v>
      </c>
      <c r="K4580" s="4"/>
      <c r="L4580" s="33" t="str">
        <f>IFERROR(VLOOKUP($J4580,'Informations sur les produits'!$A$3:$H$10000,8,FALSE),"0")</f>
        <v>0</v>
      </c>
      <c r="N4580" s="8"/>
      <c r="O4580" s="33" t="str">
        <f>IFERROR(VLOOKUP($M4580,'Informations sur les produits'!$A$3:$H$10000,8,FALSE),"0")</f>
        <v>0</v>
      </c>
      <c r="P4580" s="33">
        <f t="shared" si="284"/>
        <v>0</v>
      </c>
      <c r="Q4580" s="31" t="str">
        <f t="shared" si="285"/>
        <v/>
      </c>
      <c r="R4580" s="32" t="str">
        <f>IFERROR(VLOOKUP($D4580,'Informations sur les produits'!$A$3:$B$15000,2,FALSE),"")</f>
        <v/>
      </c>
      <c r="V4580">
        <f t="shared" si="286"/>
        <v>0</v>
      </c>
      <c r="W4580">
        <f t="shared" si="287"/>
        <v>0</v>
      </c>
    </row>
    <row r="4581" spans="5:23" x14ac:dyDescent="0.25">
      <c r="E4581" s="4"/>
      <c r="F4581" s="4"/>
      <c r="G4581" s="33" t="str">
        <f>IFERROR(VLOOKUP($D4581,'Informations sur les produits'!$A$3:$H$10000,8,FALSE),"0")</f>
        <v>0</v>
      </c>
      <c r="K4581" s="4"/>
      <c r="L4581" s="33" t="str">
        <f>IFERROR(VLOOKUP($J4581,'Informations sur les produits'!$A$3:$H$10000,8,FALSE),"0")</f>
        <v>0</v>
      </c>
      <c r="N4581" s="8"/>
      <c r="O4581" s="33" t="str">
        <f>IFERROR(VLOOKUP($M4581,'Informations sur les produits'!$A$3:$H$10000,8,FALSE),"0")</f>
        <v>0</v>
      </c>
      <c r="P4581" s="33">
        <f t="shared" si="284"/>
        <v>0</v>
      </c>
      <c r="Q4581" s="31" t="str">
        <f t="shared" si="285"/>
        <v/>
      </c>
      <c r="R4581" s="32" t="str">
        <f>IFERROR(VLOOKUP($D4581,'Informations sur les produits'!$A$3:$B$15000,2,FALSE),"")</f>
        <v/>
      </c>
      <c r="V4581">
        <f t="shared" si="286"/>
        <v>0</v>
      </c>
      <c r="W4581">
        <f t="shared" si="287"/>
        <v>0</v>
      </c>
    </row>
    <row r="4582" spans="5:23" x14ac:dyDescent="0.25">
      <c r="E4582" s="4"/>
      <c r="F4582" s="4"/>
      <c r="G4582" s="33" t="str">
        <f>IFERROR(VLOOKUP($D4582,'Informations sur les produits'!$A$3:$H$10000,8,FALSE),"0")</f>
        <v>0</v>
      </c>
      <c r="K4582" s="4"/>
      <c r="L4582" s="33" t="str">
        <f>IFERROR(VLOOKUP($J4582,'Informations sur les produits'!$A$3:$H$10000,8,FALSE),"0")</f>
        <v>0</v>
      </c>
      <c r="N4582" s="8"/>
      <c r="O4582" s="33" t="str">
        <f>IFERROR(VLOOKUP($M4582,'Informations sur les produits'!$A$3:$H$10000,8,FALSE),"0")</f>
        <v>0</v>
      </c>
      <c r="P4582" s="33">
        <f t="shared" si="284"/>
        <v>0</v>
      </c>
      <c r="Q4582" s="31" t="str">
        <f t="shared" si="285"/>
        <v/>
      </c>
      <c r="R4582" s="32" t="str">
        <f>IFERROR(VLOOKUP($D4582,'Informations sur les produits'!$A$3:$B$15000,2,FALSE),"")</f>
        <v/>
      </c>
      <c r="V4582">
        <f t="shared" si="286"/>
        <v>0</v>
      </c>
      <c r="W4582">
        <f t="shared" si="287"/>
        <v>0</v>
      </c>
    </row>
    <row r="4583" spans="5:23" x14ac:dyDescent="0.25">
      <c r="E4583" s="4"/>
      <c r="F4583" s="4"/>
      <c r="G4583" s="33" t="str">
        <f>IFERROR(VLOOKUP($D4583,'Informations sur les produits'!$A$3:$H$10000,8,FALSE),"0")</f>
        <v>0</v>
      </c>
      <c r="K4583" s="4"/>
      <c r="L4583" s="33" t="str">
        <f>IFERROR(VLOOKUP($J4583,'Informations sur les produits'!$A$3:$H$10000,8,FALSE),"0")</f>
        <v>0</v>
      </c>
      <c r="N4583" s="8"/>
      <c r="O4583" s="33" t="str">
        <f>IFERROR(VLOOKUP($M4583,'Informations sur les produits'!$A$3:$H$10000,8,FALSE),"0")</f>
        <v>0</v>
      </c>
      <c r="P4583" s="33">
        <f t="shared" si="284"/>
        <v>0</v>
      </c>
      <c r="Q4583" s="31" t="str">
        <f t="shared" si="285"/>
        <v/>
      </c>
      <c r="R4583" s="32" t="str">
        <f>IFERROR(VLOOKUP($D4583,'Informations sur les produits'!$A$3:$B$15000,2,FALSE),"")</f>
        <v/>
      </c>
      <c r="V4583">
        <f t="shared" si="286"/>
        <v>0</v>
      </c>
      <c r="W4583">
        <f t="shared" si="287"/>
        <v>0</v>
      </c>
    </row>
    <row r="4584" spans="5:23" x14ac:dyDescent="0.25">
      <c r="E4584" s="4"/>
      <c r="F4584" s="4"/>
      <c r="G4584" s="33" t="str">
        <f>IFERROR(VLOOKUP($D4584,'Informations sur les produits'!$A$3:$H$10000,8,FALSE),"0")</f>
        <v>0</v>
      </c>
      <c r="K4584" s="4"/>
      <c r="L4584" s="33" t="str">
        <f>IFERROR(VLOOKUP($J4584,'Informations sur les produits'!$A$3:$H$10000,8,FALSE),"0")</f>
        <v>0</v>
      </c>
      <c r="N4584" s="8"/>
      <c r="O4584" s="33" t="str">
        <f>IFERROR(VLOOKUP($M4584,'Informations sur les produits'!$A$3:$H$10000,8,FALSE),"0")</f>
        <v>0</v>
      </c>
      <c r="P4584" s="33">
        <f t="shared" si="284"/>
        <v>0</v>
      </c>
      <c r="Q4584" s="31" t="str">
        <f t="shared" si="285"/>
        <v/>
      </c>
      <c r="R4584" s="32" t="str">
        <f>IFERROR(VLOOKUP($D4584,'Informations sur les produits'!$A$3:$B$15000,2,FALSE),"")</f>
        <v/>
      </c>
      <c r="V4584">
        <f t="shared" si="286"/>
        <v>0</v>
      </c>
      <c r="W4584">
        <f t="shared" si="287"/>
        <v>0</v>
      </c>
    </row>
    <row r="4585" spans="5:23" x14ac:dyDescent="0.25">
      <c r="E4585" s="4"/>
      <c r="F4585" s="4"/>
      <c r="G4585" s="33" t="str">
        <f>IFERROR(VLOOKUP($D4585,'Informations sur les produits'!$A$3:$H$10000,8,FALSE),"0")</f>
        <v>0</v>
      </c>
      <c r="K4585" s="4"/>
      <c r="L4585" s="33" t="str">
        <f>IFERROR(VLOOKUP($J4585,'Informations sur les produits'!$A$3:$H$10000,8,FALSE),"0")</f>
        <v>0</v>
      </c>
      <c r="N4585" s="8"/>
      <c r="O4585" s="33" t="str">
        <f>IFERROR(VLOOKUP($M4585,'Informations sur les produits'!$A$3:$H$10000,8,FALSE),"0")</f>
        <v>0</v>
      </c>
      <c r="P4585" s="33">
        <f t="shared" si="284"/>
        <v>0</v>
      </c>
      <c r="Q4585" s="31" t="str">
        <f t="shared" si="285"/>
        <v/>
      </c>
      <c r="R4585" s="32" t="str">
        <f>IFERROR(VLOOKUP($D4585,'Informations sur les produits'!$A$3:$B$15000,2,FALSE),"")</f>
        <v/>
      </c>
      <c r="V4585">
        <f t="shared" si="286"/>
        <v>0</v>
      </c>
      <c r="W4585">
        <f t="shared" si="287"/>
        <v>0</v>
      </c>
    </row>
    <row r="4586" spans="5:23" x14ac:dyDescent="0.25">
      <c r="E4586" s="4"/>
      <c r="F4586" s="4"/>
      <c r="G4586" s="33" t="str">
        <f>IFERROR(VLOOKUP($D4586,'Informations sur les produits'!$A$3:$H$10000,8,FALSE),"0")</f>
        <v>0</v>
      </c>
      <c r="K4586" s="4"/>
      <c r="L4586" s="33" t="str">
        <f>IFERROR(VLOOKUP($J4586,'Informations sur les produits'!$A$3:$H$10000,8,FALSE),"0")</f>
        <v>0</v>
      </c>
      <c r="N4586" s="8"/>
      <c r="O4586" s="33" t="str">
        <f>IFERROR(VLOOKUP($M4586,'Informations sur les produits'!$A$3:$H$10000,8,FALSE),"0")</f>
        <v>0</v>
      </c>
      <c r="P4586" s="33">
        <f t="shared" si="284"/>
        <v>0</v>
      </c>
      <c r="Q4586" s="31" t="str">
        <f t="shared" si="285"/>
        <v/>
      </c>
      <c r="R4586" s="32" t="str">
        <f>IFERROR(VLOOKUP($D4586,'Informations sur les produits'!$A$3:$B$15000,2,FALSE),"")</f>
        <v/>
      </c>
      <c r="V4586">
        <f t="shared" si="286"/>
        <v>0</v>
      </c>
      <c r="W4586">
        <f t="shared" si="287"/>
        <v>0</v>
      </c>
    </row>
    <row r="4587" spans="5:23" x14ac:dyDescent="0.25">
      <c r="E4587" s="4"/>
      <c r="F4587" s="4"/>
      <c r="G4587" s="33" t="str">
        <f>IFERROR(VLOOKUP($D4587,'Informations sur les produits'!$A$3:$H$10000,8,FALSE),"0")</f>
        <v>0</v>
      </c>
      <c r="K4587" s="4"/>
      <c r="L4587" s="33" t="str">
        <f>IFERROR(VLOOKUP($J4587,'Informations sur les produits'!$A$3:$H$10000,8,FALSE),"0")</f>
        <v>0</v>
      </c>
      <c r="N4587" s="8"/>
      <c r="O4587" s="33" t="str">
        <f>IFERROR(VLOOKUP($M4587,'Informations sur les produits'!$A$3:$H$10000,8,FALSE),"0")</f>
        <v>0</v>
      </c>
      <c r="P4587" s="33">
        <f t="shared" si="284"/>
        <v>0</v>
      </c>
      <c r="Q4587" s="31" t="str">
        <f t="shared" si="285"/>
        <v/>
      </c>
      <c r="R4587" s="32" t="str">
        <f>IFERROR(VLOOKUP($D4587,'Informations sur les produits'!$A$3:$B$15000,2,FALSE),"")</f>
        <v/>
      </c>
      <c r="V4587">
        <f t="shared" si="286"/>
        <v>0</v>
      </c>
      <c r="W4587">
        <f t="shared" si="287"/>
        <v>0</v>
      </c>
    </row>
    <row r="4588" spans="5:23" x14ac:dyDescent="0.25">
      <c r="E4588" s="4"/>
      <c r="F4588" s="4"/>
      <c r="G4588" s="33" t="str">
        <f>IFERROR(VLOOKUP($D4588,'Informations sur les produits'!$A$3:$H$10000,8,FALSE),"0")</f>
        <v>0</v>
      </c>
      <c r="K4588" s="4"/>
      <c r="L4588" s="33" t="str">
        <f>IFERROR(VLOOKUP($J4588,'Informations sur les produits'!$A$3:$H$10000,8,FALSE),"0")</f>
        <v>0</v>
      </c>
      <c r="N4588" s="8"/>
      <c r="O4588" s="33" t="str">
        <f>IFERROR(VLOOKUP($M4588,'Informations sur les produits'!$A$3:$H$10000,8,FALSE),"0")</f>
        <v>0</v>
      </c>
      <c r="P4588" s="33">
        <f t="shared" si="284"/>
        <v>0</v>
      </c>
      <c r="Q4588" s="31" t="str">
        <f t="shared" si="285"/>
        <v/>
      </c>
      <c r="R4588" s="32" t="str">
        <f>IFERROR(VLOOKUP($D4588,'Informations sur les produits'!$A$3:$B$15000,2,FALSE),"")</f>
        <v/>
      </c>
      <c r="V4588">
        <f t="shared" si="286"/>
        <v>0</v>
      </c>
      <c r="W4588">
        <f t="shared" si="287"/>
        <v>0</v>
      </c>
    </row>
    <row r="4589" spans="5:23" x14ac:dyDescent="0.25">
      <c r="E4589" s="4"/>
      <c r="F4589" s="4"/>
      <c r="G4589" s="33" t="str">
        <f>IFERROR(VLOOKUP($D4589,'Informations sur les produits'!$A$3:$H$10000,8,FALSE),"0")</f>
        <v>0</v>
      </c>
      <c r="K4589" s="4"/>
      <c r="L4589" s="33" t="str">
        <f>IFERROR(VLOOKUP($J4589,'Informations sur les produits'!$A$3:$H$10000,8,FALSE),"0")</f>
        <v>0</v>
      </c>
      <c r="N4589" s="8"/>
      <c r="O4589" s="33" t="str">
        <f>IFERROR(VLOOKUP($M4589,'Informations sur les produits'!$A$3:$H$10000,8,FALSE),"0")</f>
        <v>0</v>
      </c>
      <c r="P4589" s="33">
        <f t="shared" si="284"/>
        <v>0</v>
      </c>
      <c r="Q4589" s="31" t="str">
        <f t="shared" si="285"/>
        <v/>
      </c>
      <c r="R4589" s="32" t="str">
        <f>IFERROR(VLOOKUP($D4589,'Informations sur les produits'!$A$3:$B$15000,2,FALSE),"")</f>
        <v/>
      </c>
      <c r="V4589">
        <f t="shared" si="286"/>
        <v>0</v>
      </c>
      <c r="W4589">
        <f t="shared" si="287"/>
        <v>0</v>
      </c>
    </row>
    <row r="4590" spans="5:23" x14ac:dyDescent="0.25">
      <c r="E4590" s="4"/>
      <c r="F4590" s="4"/>
      <c r="G4590" s="33" t="str">
        <f>IFERROR(VLOOKUP($D4590,'Informations sur les produits'!$A$3:$H$10000,8,FALSE),"0")</f>
        <v>0</v>
      </c>
      <c r="K4590" s="4"/>
      <c r="L4590" s="33" t="str">
        <f>IFERROR(VLOOKUP($J4590,'Informations sur les produits'!$A$3:$H$10000,8,FALSE),"0")</f>
        <v>0</v>
      </c>
      <c r="N4590" s="8"/>
      <c r="O4590" s="33" t="str">
        <f>IFERROR(VLOOKUP($M4590,'Informations sur les produits'!$A$3:$H$10000,8,FALSE),"0")</f>
        <v>0</v>
      </c>
      <c r="P4590" s="33">
        <f t="shared" si="284"/>
        <v>0</v>
      </c>
      <c r="Q4590" s="31" t="str">
        <f t="shared" si="285"/>
        <v/>
      </c>
      <c r="R4590" s="32" t="str">
        <f>IFERROR(VLOOKUP($D4590,'Informations sur les produits'!$A$3:$B$15000,2,FALSE),"")</f>
        <v/>
      </c>
      <c r="V4590">
        <f t="shared" si="286"/>
        <v>0</v>
      </c>
      <c r="W4590">
        <f t="shared" si="287"/>
        <v>0</v>
      </c>
    </row>
    <row r="4591" spans="5:23" x14ac:dyDescent="0.25">
      <c r="E4591" s="4"/>
      <c r="F4591" s="4"/>
      <c r="G4591" s="33" t="str">
        <f>IFERROR(VLOOKUP($D4591,'Informations sur les produits'!$A$3:$H$10000,8,FALSE),"0")</f>
        <v>0</v>
      </c>
      <c r="K4591" s="4"/>
      <c r="L4591" s="33" t="str">
        <f>IFERROR(VLOOKUP($J4591,'Informations sur les produits'!$A$3:$H$10000,8,FALSE),"0")</f>
        <v>0</v>
      </c>
      <c r="N4591" s="8"/>
      <c r="O4591" s="33" t="str">
        <f>IFERROR(VLOOKUP($M4591,'Informations sur les produits'!$A$3:$H$10000,8,FALSE),"0")</f>
        <v>0</v>
      </c>
      <c r="P4591" s="33">
        <f t="shared" si="284"/>
        <v>0</v>
      </c>
      <c r="Q4591" s="31" t="str">
        <f t="shared" si="285"/>
        <v/>
      </c>
      <c r="R4591" s="32" t="str">
        <f>IFERROR(VLOOKUP($D4591,'Informations sur les produits'!$A$3:$B$15000,2,FALSE),"")</f>
        <v/>
      </c>
      <c r="V4591">
        <f t="shared" si="286"/>
        <v>0</v>
      </c>
      <c r="W4591">
        <f t="shared" si="287"/>
        <v>0</v>
      </c>
    </row>
    <row r="4592" spans="5:23" x14ac:dyDescent="0.25">
      <c r="E4592" s="4"/>
      <c r="F4592" s="4"/>
      <c r="G4592" s="33" t="str">
        <f>IFERROR(VLOOKUP($D4592,'Informations sur les produits'!$A$3:$H$10000,8,FALSE),"0")</f>
        <v>0</v>
      </c>
      <c r="K4592" s="4"/>
      <c r="L4592" s="33" t="str">
        <f>IFERROR(VLOOKUP($J4592,'Informations sur les produits'!$A$3:$H$10000,8,FALSE),"0")</f>
        <v>0</v>
      </c>
      <c r="N4592" s="8"/>
      <c r="O4592" s="33" t="str">
        <f>IFERROR(VLOOKUP($M4592,'Informations sur les produits'!$A$3:$H$10000,8,FALSE),"0")</f>
        <v>0</v>
      </c>
      <c r="P4592" s="33">
        <f t="shared" si="284"/>
        <v>0</v>
      </c>
      <c r="Q4592" s="31" t="str">
        <f t="shared" si="285"/>
        <v/>
      </c>
      <c r="R4592" s="32" t="str">
        <f>IFERROR(VLOOKUP($D4592,'Informations sur les produits'!$A$3:$B$15000,2,FALSE),"")</f>
        <v/>
      </c>
      <c r="V4592">
        <f t="shared" si="286"/>
        <v>0</v>
      </c>
      <c r="W4592">
        <f t="shared" si="287"/>
        <v>0</v>
      </c>
    </row>
    <row r="4593" spans="5:23" x14ac:dyDescent="0.25">
      <c r="E4593" s="4"/>
      <c r="F4593" s="4"/>
      <c r="G4593" s="33" t="str">
        <f>IFERROR(VLOOKUP($D4593,'Informations sur les produits'!$A$3:$H$10000,8,FALSE),"0")</f>
        <v>0</v>
      </c>
      <c r="K4593" s="4"/>
      <c r="L4593" s="33" t="str">
        <f>IFERROR(VLOOKUP($J4593,'Informations sur les produits'!$A$3:$H$10000,8,FALSE),"0")</f>
        <v>0</v>
      </c>
      <c r="N4593" s="8"/>
      <c r="O4593" s="33" t="str">
        <f>IFERROR(VLOOKUP($M4593,'Informations sur les produits'!$A$3:$H$10000,8,FALSE),"0")</f>
        <v>0</v>
      </c>
      <c r="P4593" s="33">
        <f t="shared" si="284"/>
        <v>0</v>
      </c>
      <c r="Q4593" s="31" t="str">
        <f t="shared" si="285"/>
        <v/>
      </c>
      <c r="R4593" s="32" t="str">
        <f>IFERROR(VLOOKUP($D4593,'Informations sur les produits'!$A$3:$B$15000,2,FALSE),"")</f>
        <v/>
      </c>
      <c r="V4593">
        <f t="shared" si="286"/>
        <v>0</v>
      </c>
      <c r="W4593">
        <f t="shared" si="287"/>
        <v>0</v>
      </c>
    </row>
    <row r="4594" spans="5:23" x14ac:dyDescent="0.25">
      <c r="E4594" s="4"/>
      <c r="F4594" s="4"/>
      <c r="G4594" s="33" t="str">
        <f>IFERROR(VLOOKUP($D4594,'Informations sur les produits'!$A$3:$H$10000,8,FALSE),"0")</f>
        <v>0</v>
      </c>
      <c r="K4594" s="4"/>
      <c r="L4594" s="33" t="str">
        <f>IFERROR(VLOOKUP($J4594,'Informations sur les produits'!$A$3:$H$10000,8,FALSE),"0")</f>
        <v>0</v>
      </c>
      <c r="N4594" s="8"/>
      <c r="O4594" s="33" t="str">
        <f>IFERROR(VLOOKUP($M4594,'Informations sur les produits'!$A$3:$H$10000,8,FALSE),"0")</f>
        <v>0</v>
      </c>
      <c r="P4594" s="33">
        <f t="shared" si="284"/>
        <v>0</v>
      </c>
      <c r="Q4594" s="31" t="str">
        <f t="shared" si="285"/>
        <v/>
      </c>
      <c r="R4594" s="32" t="str">
        <f>IFERROR(VLOOKUP($D4594,'Informations sur les produits'!$A$3:$B$15000,2,FALSE),"")</f>
        <v/>
      </c>
      <c r="V4594">
        <f t="shared" si="286"/>
        <v>0</v>
      </c>
      <c r="W4594">
        <f t="shared" si="287"/>
        <v>0</v>
      </c>
    </row>
    <row r="4595" spans="5:23" x14ac:dyDescent="0.25">
      <c r="E4595" s="4"/>
      <c r="F4595" s="4"/>
      <c r="G4595" s="33" t="str">
        <f>IFERROR(VLOOKUP($D4595,'Informations sur les produits'!$A$3:$H$10000,8,FALSE),"0")</f>
        <v>0</v>
      </c>
      <c r="K4595" s="4"/>
      <c r="L4595" s="33" t="str">
        <f>IFERROR(VLOOKUP($J4595,'Informations sur les produits'!$A$3:$H$10000,8,FALSE),"0")</f>
        <v>0</v>
      </c>
      <c r="N4595" s="8"/>
      <c r="O4595" s="33" t="str">
        <f>IFERROR(VLOOKUP($M4595,'Informations sur les produits'!$A$3:$H$10000,8,FALSE),"0")</f>
        <v>0</v>
      </c>
      <c r="P4595" s="33">
        <f t="shared" si="284"/>
        <v>0</v>
      </c>
      <c r="Q4595" s="31" t="str">
        <f t="shared" si="285"/>
        <v/>
      </c>
      <c r="R4595" s="32" t="str">
        <f>IFERROR(VLOOKUP($D4595,'Informations sur les produits'!$A$3:$B$15000,2,FALSE),"")</f>
        <v/>
      </c>
      <c r="V4595">
        <f t="shared" si="286"/>
        <v>0</v>
      </c>
      <c r="W4595">
        <f t="shared" si="287"/>
        <v>0</v>
      </c>
    </row>
    <row r="4596" spans="5:23" x14ac:dyDescent="0.25">
      <c r="E4596" s="4"/>
      <c r="F4596" s="4"/>
      <c r="G4596" s="33" t="str">
        <f>IFERROR(VLOOKUP($D4596,'Informations sur les produits'!$A$3:$H$10000,8,FALSE),"0")</f>
        <v>0</v>
      </c>
      <c r="K4596" s="4"/>
      <c r="L4596" s="33" t="str">
        <f>IFERROR(VLOOKUP($J4596,'Informations sur les produits'!$A$3:$H$10000,8,FALSE),"0")</f>
        <v>0</v>
      </c>
      <c r="N4596" s="8"/>
      <c r="O4596" s="33" t="str">
        <f>IFERROR(VLOOKUP($M4596,'Informations sur les produits'!$A$3:$H$10000,8,FALSE),"0")</f>
        <v>0</v>
      </c>
      <c r="P4596" s="33">
        <f t="shared" si="284"/>
        <v>0</v>
      </c>
      <c r="Q4596" s="31" t="str">
        <f t="shared" si="285"/>
        <v/>
      </c>
      <c r="R4596" s="32" t="str">
        <f>IFERROR(VLOOKUP($D4596,'Informations sur les produits'!$A$3:$B$15000,2,FALSE),"")</f>
        <v/>
      </c>
      <c r="V4596">
        <f t="shared" si="286"/>
        <v>0</v>
      </c>
      <c r="W4596">
        <f t="shared" si="287"/>
        <v>0</v>
      </c>
    </row>
    <row r="4597" spans="5:23" x14ac:dyDescent="0.25">
      <c r="E4597" s="4"/>
      <c r="F4597" s="4"/>
      <c r="G4597" s="33" t="str">
        <f>IFERROR(VLOOKUP($D4597,'Informations sur les produits'!$A$3:$H$10000,8,FALSE),"0")</f>
        <v>0</v>
      </c>
      <c r="K4597" s="4"/>
      <c r="L4597" s="33" t="str">
        <f>IFERROR(VLOOKUP($J4597,'Informations sur les produits'!$A$3:$H$10000,8,FALSE),"0")</f>
        <v>0</v>
      </c>
      <c r="N4597" s="8"/>
      <c r="O4597" s="33" t="str">
        <f>IFERROR(VLOOKUP($M4597,'Informations sur les produits'!$A$3:$H$10000,8,FALSE),"0")</f>
        <v>0</v>
      </c>
      <c r="P4597" s="33">
        <f t="shared" si="284"/>
        <v>0</v>
      </c>
      <c r="Q4597" s="31" t="str">
        <f t="shared" si="285"/>
        <v/>
      </c>
      <c r="R4597" s="32" t="str">
        <f>IFERROR(VLOOKUP($D4597,'Informations sur les produits'!$A$3:$B$15000,2,FALSE),"")</f>
        <v/>
      </c>
      <c r="V4597">
        <f t="shared" si="286"/>
        <v>0</v>
      </c>
      <c r="W4597">
        <f t="shared" si="287"/>
        <v>0</v>
      </c>
    </row>
    <row r="4598" spans="5:23" x14ac:dyDescent="0.25">
      <c r="E4598" s="4"/>
      <c r="F4598" s="4"/>
      <c r="G4598" s="33" t="str">
        <f>IFERROR(VLOOKUP($D4598,'Informations sur les produits'!$A$3:$H$10000,8,FALSE),"0")</f>
        <v>0</v>
      </c>
      <c r="K4598" s="4"/>
      <c r="L4598" s="33" t="str">
        <f>IFERROR(VLOOKUP($J4598,'Informations sur les produits'!$A$3:$H$10000,8,FALSE),"0")</f>
        <v>0</v>
      </c>
      <c r="N4598" s="8"/>
      <c r="O4598" s="33" t="str">
        <f>IFERROR(VLOOKUP($M4598,'Informations sur les produits'!$A$3:$H$10000,8,FALSE),"0")</f>
        <v>0</v>
      </c>
      <c r="P4598" s="33">
        <f t="shared" si="284"/>
        <v>0</v>
      </c>
      <c r="Q4598" s="31" t="str">
        <f t="shared" si="285"/>
        <v/>
      </c>
      <c r="R4598" s="32" t="str">
        <f>IFERROR(VLOOKUP($D4598,'Informations sur les produits'!$A$3:$B$15000,2,FALSE),"")</f>
        <v/>
      </c>
      <c r="V4598">
        <f t="shared" si="286"/>
        <v>0</v>
      </c>
      <c r="W4598">
        <f t="shared" si="287"/>
        <v>0</v>
      </c>
    </row>
    <row r="4599" spans="5:23" x14ac:dyDescent="0.25">
      <c r="E4599" s="4"/>
      <c r="F4599" s="4"/>
      <c r="G4599" s="33" t="str">
        <f>IFERROR(VLOOKUP($D4599,'Informations sur les produits'!$A$3:$H$10000,8,FALSE),"0")</f>
        <v>0</v>
      </c>
      <c r="K4599" s="4"/>
      <c r="L4599" s="33" t="str">
        <f>IFERROR(VLOOKUP($J4599,'Informations sur les produits'!$A$3:$H$10000,8,FALSE),"0")</f>
        <v>0</v>
      </c>
      <c r="N4599" s="8"/>
      <c r="O4599" s="33" t="str">
        <f>IFERROR(VLOOKUP($M4599,'Informations sur les produits'!$A$3:$H$10000,8,FALSE),"0")</f>
        <v>0</v>
      </c>
      <c r="P4599" s="33">
        <f t="shared" si="284"/>
        <v>0</v>
      </c>
      <c r="Q4599" s="31" t="str">
        <f t="shared" si="285"/>
        <v/>
      </c>
      <c r="R4599" s="32" t="str">
        <f>IFERROR(VLOOKUP($D4599,'Informations sur les produits'!$A$3:$B$15000,2,FALSE),"")</f>
        <v/>
      </c>
      <c r="V4599">
        <f t="shared" si="286"/>
        <v>0</v>
      </c>
      <c r="W4599">
        <f t="shared" si="287"/>
        <v>0</v>
      </c>
    </row>
    <row r="4600" spans="5:23" x14ac:dyDescent="0.25">
      <c r="E4600" s="4"/>
      <c r="F4600" s="4"/>
      <c r="G4600" s="33" t="str">
        <f>IFERROR(VLOOKUP($D4600,'Informations sur les produits'!$A$3:$H$10000,8,FALSE),"0")</f>
        <v>0</v>
      </c>
      <c r="K4600" s="4"/>
      <c r="L4600" s="33" t="str">
        <f>IFERROR(VLOOKUP($J4600,'Informations sur les produits'!$A$3:$H$10000,8,FALSE),"0")</f>
        <v>0</v>
      </c>
      <c r="N4600" s="8"/>
      <c r="O4600" s="33" t="str">
        <f>IFERROR(VLOOKUP($M4600,'Informations sur les produits'!$A$3:$H$10000,8,FALSE),"0")</f>
        <v>0</v>
      </c>
      <c r="P4600" s="33">
        <f t="shared" si="284"/>
        <v>0</v>
      </c>
      <c r="Q4600" s="31" t="str">
        <f t="shared" si="285"/>
        <v/>
      </c>
      <c r="R4600" s="32" t="str">
        <f>IFERROR(VLOOKUP($D4600,'Informations sur les produits'!$A$3:$B$15000,2,FALSE),"")</f>
        <v/>
      </c>
      <c r="V4600">
        <f t="shared" si="286"/>
        <v>0</v>
      </c>
      <c r="W4600">
        <f t="shared" si="287"/>
        <v>0</v>
      </c>
    </row>
    <row r="4601" spans="5:23" x14ac:dyDescent="0.25">
      <c r="E4601" s="4"/>
      <c r="F4601" s="4"/>
      <c r="G4601" s="33" t="str">
        <f>IFERROR(VLOOKUP($D4601,'Informations sur les produits'!$A$3:$H$10000,8,FALSE),"0")</f>
        <v>0</v>
      </c>
      <c r="K4601" s="4"/>
      <c r="L4601" s="33" t="str">
        <f>IFERROR(VLOOKUP($J4601,'Informations sur les produits'!$A$3:$H$10000,8,FALSE),"0")</f>
        <v>0</v>
      </c>
      <c r="N4601" s="8"/>
      <c r="O4601" s="33" t="str">
        <f>IFERROR(VLOOKUP($M4601,'Informations sur les produits'!$A$3:$H$10000,8,FALSE),"0")</f>
        <v>0</v>
      </c>
      <c r="P4601" s="33">
        <f t="shared" si="284"/>
        <v>0</v>
      </c>
      <c r="Q4601" s="31" t="str">
        <f t="shared" si="285"/>
        <v/>
      </c>
      <c r="R4601" s="32" t="str">
        <f>IFERROR(VLOOKUP($D4601,'Informations sur les produits'!$A$3:$B$15000,2,FALSE),"")</f>
        <v/>
      </c>
      <c r="V4601">
        <f t="shared" si="286"/>
        <v>0</v>
      </c>
      <c r="W4601">
        <f t="shared" si="287"/>
        <v>0</v>
      </c>
    </row>
    <row r="4602" spans="5:23" x14ac:dyDescent="0.25">
      <c r="E4602" s="4"/>
      <c r="F4602" s="4"/>
      <c r="G4602" s="33" t="str">
        <f>IFERROR(VLOOKUP($D4602,'Informations sur les produits'!$A$3:$H$10000,8,FALSE),"0")</f>
        <v>0</v>
      </c>
      <c r="K4602" s="4"/>
      <c r="L4602" s="33" t="str">
        <f>IFERROR(VLOOKUP($J4602,'Informations sur les produits'!$A$3:$H$10000,8,FALSE),"0")</f>
        <v>0</v>
      </c>
      <c r="N4602" s="8"/>
      <c r="O4602" s="33" t="str">
        <f>IFERROR(VLOOKUP($M4602,'Informations sur les produits'!$A$3:$H$10000,8,FALSE),"0")</f>
        <v>0</v>
      </c>
      <c r="P4602" s="33">
        <f t="shared" si="284"/>
        <v>0</v>
      </c>
      <c r="Q4602" s="31" t="str">
        <f t="shared" si="285"/>
        <v/>
      </c>
      <c r="R4602" s="32" t="str">
        <f>IFERROR(VLOOKUP($D4602,'Informations sur les produits'!$A$3:$B$15000,2,FALSE),"")</f>
        <v/>
      </c>
      <c r="V4602">
        <f t="shared" si="286"/>
        <v>0</v>
      </c>
      <c r="W4602">
        <f t="shared" si="287"/>
        <v>0</v>
      </c>
    </row>
    <row r="4603" spans="5:23" x14ac:dyDescent="0.25">
      <c r="E4603" s="4"/>
      <c r="F4603" s="4"/>
      <c r="G4603" s="33" t="str">
        <f>IFERROR(VLOOKUP($D4603,'Informations sur les produits'!$A$3:$H$10000,8,FALSE),"0")</f>
        <v>0</v>
      </c>
      <c r="K4603" s="4"/>
      <c r="L4603" s="33" t="str">
        <f>IFERROR(VLOOKUP($J4603,'Informations sur les produits'!$A$3:$H$10000,8,FALSE),"0")</f>
        <v>0</v>
      </c>
      <c r="N4603" s="8"/>
      <c r="O4603" s="33" t="str">
        <f>IFERROR(VLOOKUP($M4603,'Informations sur les produits'!$A$3:$H$10000,8,FALSE),"0")</f>
        <v>0</v>
      </c>
      <c r="P4603" s="33">
        <f t="shared" si="284"/>
        <v>0</v>
      </c>
      <c r="Q4603" s="31" t="str">
        <f t="shared" si="285"/>
        <v/>
      </c>
      <c r="R4603" s="32" t="str">
        <f>IFERROR(VLOOKUP($D4603,'Informations sur les produits'!$A$3:$B$15000,2,FALSE),"")</f>
        <v/>
      </c>
      <c r="V4603">
        <f t="shared" si="286"/>
        <v>0</v>
      </c>
      <c r="W4603">
        <f t="shared" si="287"/>
        <v>0</v>
      </c>
    </row>
    <row r="4604" spans="5:23" x14ac:dyDescent="0.25">
      <c r="E4604" s="4"/>
      <c r="F4604" s="4"/>
      <c r="G4604" s="33" t="str">
        <f>IFERROR(VLOOKUP($D4604,'Informations sur les produits'!$A$3:$H$10000,8,FALSE),"0")</f>
        <v>0</v>
      </c>
      <c r="K4604" s="4"/>
      <c r="L4604" s="33" t="str">
        <f>IFERROR(VLOOKUP($J4604,'Informations sur les produits'!$A$3:$H$10000,8,FALSE),"0")</f>
        <v>0</v>
      </c>
      <c r="N4604" s="8"/>
      <c r="O4604" s="33" t="str">
        <f>IFERROR(VLOOKUP($M4604,'Informations sur les produits'!$A$3:$H$10000,8,FALSE),"0")</f>
        <v>0</v>
      </c>
      <c r="P4604" s="33">
        <f t="shared" si="284"/>
        <v>0</v>
      </c>
      <c r="Q4604" s="31" t="str">
        <f t="shared" si="285"/>
        <v/>
      </c>
      <c r="R4604" s="32" t="str">
        <f>IFERROR(VLOOKUP($D4604,'Informations sur les produits'!$A$3:$B$15000,2,FALSE),"")</f>
        <v/>
      </c>
      <c r="V4604">
        <f t="shared" si="286"/>
        <v>0</v>
      </c>
      <c r="W4604">
        <f t="shared" si="287"/>
        <v>0</v>
      </c>
    </row>
    <row r="4605" spans="5:23" x14ac:dyDescent="0.25">
      <c r="E4605" s="4"/>
      <c r="F4605" s="4"/>
      <c r="G4605" s="33" t="str">
        <f>IFERROR(VLOOKUP($D4605,'Informations sur les produits'!$A$3:$H$10000,8,FALSE),"0")</f>
        <v>0</v>
      </c>
      <c r="K4605" s="4"/>
      <c r="L4605" s="33" t="str">
        <f>IFERROR(VLOOKUP($J4605,'Informations sur les produits'!$A$3:$H$10000,8,FALSE),"0")</f>
        <v>0</v>
      </c>
      <c r="N4605" s="8"/>
      <c r="O4605" s="33" t="str">
        <f>IFERROR(VLOOKUP($M4605,'Informations sur les produits'!$A$3:$H$10000,8,FALSE),"0")</f>
        <v>0</v>
      </c>
      <c r="P4605" s="33">
        <f t="shared" si="284"/>
        <v>0</v>
      </c>
      <c r="Q4605" s="31" t="str">
        <f t="shared" si="285"/>
        <v/>
      </c>
      <c r="R4605" s="32" t="str">
        <f>IFERROR(VLOOKUP($D4605,'Informations sur les produits'!$A$3:$B$15000,2,FALSE),"")</f>
        <v/>
      </c>
      <c r="V4605">
        <f t="shared" si="286"/>
        <v>0</v>
      </c>
      <c r="W4605">
        <f t="shared" si="287"/>
        <v>0</v>
      </c>
    </row>
    <row r="4606" spans="5:23" x14ac:dyDescent="0.25">
      <c r="E4606" s="4"/>
      <c r="F4606" s="4"/>
      <c r="G4606" s="33" t="str">
        <f>IFERROR(VLOOKUP($D4606,'Informations sur les produits'!$A$3:$H$10000,8,FALSE),"0")</f>
        <v>0</v>
      </c>
      <c r="K4606" s="4"/>
      <c r="L4606" s="33" t="str">
        <f>IFERROR(VLOOKUP($J4606,'Informations sur les produits'!$A$3:$H$10000,8,FALSE),"0")</f>
        <v>0</v>
      </c>
      <c r="N4606" s="8"/>
      <c r="O4606" s="33" t="str">
        <f>IFERROR(VLOOKUP($M4606,'Informations sur les produits'!$A$3:$H$10000,8,FALSE),"0")</f>
        <v>0</v>
      </c>
      <c r="P4606" s="33">
        <f t="shared" si="284"/>
        <v>0</v>
      </c>
      <c r="Q4606" s="31" t="str">
        <f t="shared" si="285"/>
        <v/>
      </c>
      <c r="R4606" s="32" t="str">
        <f>IFERROR(VLOOKUP($D4606,'Informations sur les produits'!$A$3:$B$15000,2,FALSE),"")</f>
        <v/>
      </c>
      <c r="V4606">
        <f t="shared" si="286"/>
        <v>0</v>
      </c>
      <c r="W4606">
        <f t="shared" si="287"/>
        <v>0</v>
      </c>
    </row>
    <row r="4607" spans="5:23" x14ac:dyDescent="0.25">
      <c r="E4607" s="4"/>
      <c r="F4607" s="4"/>
      <c r="G4607" s="33" t="str">
        <f>IFERROR(VLOOKUP($D4607,'Informations sur les produits'!$A$3:$H$10000,8,FALSE),"0")</f>
        <v>0</v>
      </c>
      <c r="K4607" s="4"/>
      <c r="L4607" s="33" t="str">
        <f>IFERROR(VLOOKUP($J4607,'Informations sur les produits'!$A$3:$H$10000,8,FALSE),"0")</f>
        <v>0</v>
      </c>
      <c r="N4607" s="8"/>
      <c r="O4607" s="33" t="str">
        <f>IFERROR(VLOOKUP($M4607,'Informations sur les produits'!$A$3:$H$10000,8,FALSE),"0")</f>
        <v>0</v>
      </c>
      <c r="P4607" s="33">
        <f t="shared" si="284"/>
        <v>0</v>
      </c>
      <c r="Q4607" s="31" t="str">
        <f t="shared" si="285"/>
        <v/>
      </c>
      <c r="R4607" s="32" t="str">
        <f>IFERROR(VLOOKUP($D4607,'Informations sur les produits'!$A$3:$B$15000,2,FALSE),"")</f>
        <v/>
      </c>
      <c r="V4607">
        <f t="shared" si="286"/>
        <v>0</v>
      </c>
      <c r="W4607">
        <f t="shared" si="287"/>
        <v>0</v>
      </c>
    </row>
    <row r="4608" spans="5:23" x14ac:dyDescent="0.25">
      <c r="E4608" s="4"/>
      <c r="F4608" s="4"/>
      <c r="G4608" s="33" t="str">
        <f>IFERROR(VLOOKUP($D4608,'Informations sur les produits'!$A$3:$H$10000,8,FALSE),"0")</f>
        <v>0</v>
      </c>
      <c r="K4608" s="4"/>
      <c r="L4608" s="33" t="str">
        <f>IFERROR(VLOOKUP($J4608,'Informations sur les produits'!$A$3:$H$10000,8,FALSE),"0")</f>
        <v>0</v>
      </c>
      <c r="N4608" s="8"/>
      <c r="O4608" s="33" t="str">
        <f>IFERROR(VLOOKUP($M4608,'Informations sur les produits'!$A$3:$H$10000,8,FALSE),"0")</f>
        <v>0</v>
      </c>
      <c r="P4608" s="33">
        <f t="shared" si="284"/>
        <v>0</v>
      </c>
      <c r="Q4608" s="31" t="str">
        <f t="shared" si="285"/>
        <v/>
      </c>
      <c r="R4608" s="32" t="str">
        <f>IFERROR(VLOOKUP($D4608,'Informations sur les produits'!$A$3:$B$15000,2,FALSE),"")</f>
        <v/>
      </c>
      <c r="V4608">
        <f t="shared" si="286"/>
        <v>0</v>
      </c>
      <c r="W4608">
        <f t="shared" si="287"/>
        <v>0</v>
      </c>
    </row>
    <row r="4609" spans="5:23" x14ac:dyDescent="0.25">
      <c r="E4609" s="4"/>
      <c r="F4609" s="4"/>
      <c r="G4609" s="33" t="str">
        <f>IFERROR(VLOOKUP($D4609,'Informations sur les produits'!$A$3:$H$10000,8,FALSE),"0")</f>
        <v>0</v>
      </c>
      <c r="K4609" s="4"/>
      <c r="L4609" s="33" t="str">
        <f>IFERROR(VLOOKUP($J4609,'Informations sur les produits'!$A$3:$H$10000,8,FALSE),"0")</f>
        <v>0</v>
      </c>
      <c r="N4609" s="8"/>
      <c r="O4609" s="33" t="str">
        <f>IFERROR(VLOOKUP($M4609,'Informations sur les produits'!$A$3:$H$10000,8,FALSE),"0")</f>
        <v>0</v>
      </c>
      <c r="P4609" s="33">
        <f t="shared" si="284"/>
        <v>0</v>
      </c>
      <c r="Q4609" s="31" t="str">
        <f t="shared" si="285"/>
        <v/>
      </c>
      <c r="R4609" s="32" t="str">
        <f>IFERROR(VLOOKUP($D4609,'Informations sur les produits'!$A$3:$B$15000,2,FALSE),"")</f>
        <v/>
      </c>
      <c r="V4609">
        <f t="shared" si="286"/>
        <v>0</v>
      </c>
      <c r="W4609">
        <f t="shared" si="287"/>
        <v>0</v>
      </c>
    </row>
    <row r="4610" spans="5:23" x14ac:dyDescent="0.25">
      <c r="E4610" s="4"/>
      <c r="F4610" s="4"/>
      <c r="G4610" s="33" t="str">
        <f>IFERROR(VLOOKUP($D4610,'Informations sur les produits'!$A$3:$H$10000,8,FALSE),"0")</f>
        <v>0</v>
      </c>
      <c r="K4610" s="4"/>
      <c r="L4610" s="33" t="str">
        <f>IFERROR(VLOOKUP($J4610,'Informations sur les produits'!$A$3:$H$10000,8,FALSE),"0")</f>
        <v>0</v>
      </c>
      <c r="N4610" s="8"/>
      <c r="O4610" s="33" t="str">
        <f>IFERROR(VLOOKUP($M4610,'Informations sur les produits'!$A$3:$H$10000,8,FALSE),"0")</f>
        <v>0</v>
      </c>
      <c r="P4610" s="33">
        <f t="shared" si="284"/>
        <v>0</v>
      </c>
      <c r="Q4610" s="31" t="str">
        <f t="shared" si="285"/>
        <v/>
      </c>
      <c r="R4610" s="32" t="str">
        <f>IFERROR(VLOOKUP($D4610,'Informations sur les produits'!$A$3:$B$15000,2,FALSE),"")</f>
        <v/>
      </c>
      <c r="V4610">
        <f t="shared" si="286"/>
        <v>0</v>
      </c>
      <c r="W4610">
        <f t="shared" si="287"/>
        <v>0</v>
      </c>
    </row>
    <row r="4611" spans="5:23" x14ac:dyDescent="0.25">
      <c r="E4611" s="4"/>
      <c r="F4611" s="4"/>
      <c r="G4611" s="33" t="str">
        <f>IFERROR(VLOOKUP($D4611,'Informations sur les produits'!$A$3:$H$10000,8,FALSE),"0")</f>
        <v>0</v>
      </c>
      <c r="K4611" s="4"/>
      <c r="L4611" s="33" t="str">
        <f>IFERROR(VLOOKUP($J4611,'Informations sur les produits'!$A$3:$H$10000,8,FALSE),"0")</f>
        <v>0</v>
      </c>
      <c r="N4611" s="8"/>
      <c r="O4611" s="33" t="str">
        <f>IFERROR(VLOOKUP($M4611,'Informations sur les produits'!$A$3:$H$10000,8,FALSE),"0")</f>
        <v>0</v>
      </c>
      <c r="P4611" s="33">
        <f t="shared" si="284"/>
        <v>0</v>
      </c>
      <c r="Q4611" s="31" t="str">
        <f t="shared" si="285"/>
        <v/>
      </c>
      <c r="R4611" s="32" t="str">
        <f>IFERROR(VLOOKUP($D4611,'Informations sur les produits'!$A$3:$B$15000,2,FALSE),"")</f>
        <v/>
      </c>
      <c r="V4611">
        <f t="shared" si="286"/>
        <v>0</v>
      </c>
      <c r="W4611">
        <f t="shared" si="287"/>
        <v>0</v>
      </c>
    </row>
    <row r="4612" spans="5:23" x14ac:dyDescent="0.25">
      <c r="E4612" s="4"/>
      <c r="F4612" s="4"/>
      <c r="G4612" s="33" t="str">
        <f>IFERROR(VLOOKUP($D4612,'Informations sur les produits'!$A$3:$H$10000,8,FALSE),"0")</f>
        <v>0</v>
      </c>
      <c r="K4612" s="4"/>
      <c r="L4612" s="33" t="str">
        <f>IFERROR(VLOOKUP($J4612,'Informations sur les produits'!$A$3:$H$10000,8,FALSE),"0")</f>
        <v>0</v>
      </c>
      <c r="N4612" s="8"/>
      <c r="O4612" s="33" t="str">
        <f>IFERROR(VLOOKUP($M4612,'Informations sur les produits'!$A$3:$H$10000,8,FALSE),"0")</f>
        <v>0</v>
      </c>
      <c r="P4612" s="33">
        <f t="shared" ref="P4612:P4675" si="288">IFERROR((($E4612-$F4612)*$G4612+$K4612*$L4612+$N4612*$O4612),"")</f>
        <v>0</v>
      </c>
      <c r="Q4612" s="31" t="str">
        <f t="shared" ref="Q4612:Q4675" si="289">IFERROR((((($E4612-$F4612)*$G4612+$K4612*$L4612+$N4612*$O4612)*1000)/(($E4612-$F4612)+$K4612+$N4612)),"")</f>
        <v/>
      </c>
      <c r="R4612" s="32" t="str">
        <f>IFERROR(VLOOKUP($D4612,'Informations sur les produits'!$A$3:$B$15000,2,FALSE),"")</f>
        <v/>
      </c>
      <c r="V4612">
        <f t="shared" ref="V4612:V4675" si="290">IFERROR(P4612*1000,"")</f>
        <v>0</v>
      </c>
      <c r="W4612">
        <f t="shared" ref="W4612:W4675" si="291">IFERROR(($E4612-$F4612)+$K4612+$N4612,"")</f>
        <v>0</v>
      </c>
    </row>
    <row r="4613" spans="5:23" x14ac:dyDescent="0.25">
      <c r="E4613" s="4"/>
      <c r="F4613" s="4"/>
      <c r="G4613" s="33" t="str">
        <f>IFERROR(VLOOKUP($D4613,'Informations sur les produits'!$A$3:$H$10000,8,FALSE),"0")</f>
        <v>0</v>
      </c>
      <c r="K4613" s="4"/>
      <c r="L4613" s="33" t="str">
        <f>IFERROR(VLOOKUP($J4613,'Informations sur les produits'!$A$3:$H$10000,8,FALSE),"0")</f>
        <v>0</v>
      </c>
      <c r="N4613" s="8"/>
      <c r="O4613" s="33" t="str">
        <f>IFERROR(VLOOKUP($M4613,'Informations sur les produits'!$A$3:$H$10000,8,FALSE),"0")</f>
        <v>0</v>
      </c>
      <c r="P4613" s="33">
        <f t="shared" si="288"/>
        <v>0</v>
      </c>
      <c r="Q4613" s="31" t="str">
        <f t="shared" si="289"/>
        <v/>
      </c>
      <c r="R4613" s="32" t="str">
        <f>IFERROR(VLOOKUP($D4613,'Informations sur les produits'!$A$3:$B$15000,2,FALSE),"")</f>
        <v/>
      </c>
      <c r="V4613">
        <f t="shared" si="290"/>
        <v>0</v>
      </c>
      <c r="W4613">
        <f t="shared" si="291"/>
        <v>0</v>
      </c>
    </row>
    <row r="4614" spans="5:23" x14ac:dyDescent="0.25">
      <c r="E4614" s="4"/>
      <c r="F4614" s="4"/>
      <c r="G4614" s="33" t="str">
        <f>IFERROR(VLOOKUP($D4614,'Informations sur les produits'!$A$3:$H$10000,8,FALSE),"0")</f>
        <v>0</v>
      </c>
      <c r="K4614" s="4"/>
      <c r="L4614" s="33" t="str">
        <f>IFERROR(VLOOKUP($J4614,'Informations sur les produits'!$A$3:$H$10000,8,FALSE),"0")</f>
        <v>0</v>
      </c>
      <c r="N4614" s="8"/>
      <c r="O4614" s="33" t="str">
        <f>IFERROR(VLOOKUP($M4614,'Informations sur les produits'!$A$3:$H$10000,8,FALSE),"0")</f>
        <v>0</v>
      </c>
      <c r="P4614" s="33">
        <f t="shared" si="288"/>
        <v>0</v>
      </c>
      <c r="Q4614" s="31" t="str">
        <f t="shared" si="289"/>
        <v/>
      </c>
      <c r="R4614" s="32" t="str">
        <f>IFERROR(VLOOKUP($D4614,'Informations sur les produits'!$A$3:$B$15000,2,FALSE),"")</f>
        <v/>
      </c>
      <c r="V4614">
        <f t="shared" si="290"/>
        <v>0</v>
      </c>
      <c r="W4614">
        <f t="shared" si="291"/>
        <v>0</v>
      </c>
    </row>
    <row r="4615" spans="5:23" x14ac:dyDescent="0.25">
      <c r="E4615" s="4"/>
      <c r="F4615" s="4"/>
      <c r="G4615" s="33" t="str">
        <f>IFERROR(VLOOKUP($D4615,'Informations sur les produits'!$A$3:$H$10000,8,FALSE),"0")</f>
        <v>0</v>
      </c>
      <c r="K4615" s="4"/>
      <c r="L4615" s="33" t="str">
        <f>IFERROR(VLOOKUP($J4615,'Informations sur les produits'!$A$3:$H$10000,8,FALSE),"0")</f>
        <v>0</v>
      </c>
      <c r="N4615" s="8"/>
      <c r="O4615" s="33" t="str">
        <f>IFERROR(VLOOKUP($M4615,'Informations sur les produits'!$A$3:$H$10000,8,FALSE),"0")</f>
        <v>0</v>
      </c>
      <c r="P4615" s="33">
        <f t="shared" si="288"/>
        <v>0</v>
      </c>
      <c r="Q4615" s="31" t="str">
        <f t="shared" si="289"/>
        <v/>
      </c>
      <c r="R4615" s="32" t="str">
        <f>IFERROR(VLOOKUP($D4615,'Informations sur les produits'!$A$3:$B$15000,2,FALSE),"")</f>
        <v/>
      </c>
      <c r="V4615">
        <f t="shared" si="290"/>
        <v>0</v>
      </c>
      <c r="W4615">
        <f t="shared" si="291"/>
        <v>0</v>
      </c>
    </row>
    <row r="4616" spans="5:23" x14ac:dyDescent="0.25">
      <c r="E4616" s="4"/>
      <c r="F4616" s="4"/>
      <c r="G4616" s="33" t="str">
        <f>IFERROR(VLOOKUP($D4616,'Informations sur les produits'!$A$3:$H$10000,8,FALSE),"0")</f>
        <v>0</v>
      </c>
      <c r="K4616" s="4"/>
      <c r="L4616" s="33" t="str">
        <f>IFERROR(VLOOKUP($J4616,'Informations sur les produits'!$A$3:$H$10000,8,FALSE),"0")</f>
        <v>0</v>
      </c>
      <c r="N4616" s="8"/>
      <c r="O4616" s="33" t="str">
        <f>IFERROR(VLOOKUP($M4616,'Informations sur les produits'!$A$3:$H$10000,8,FALSE),"0")</f>
        <v>0</v>
      </c>
      <c r="P4616" s="33">
        <f t="shared" si="288"/>
        <v>0</v>
      </c>
      <c r="Q4616" s="31" t="str">
        <f t="shared" si="289"/>
        <v/>
      </c>
      <c r="R4616" s="32" t="str">
        <f>IFERROR(VLOOKUP($D4616,'Informations sur les produits'!$A$3:$B$15000,2,FALSE),"")</f>
        <v/>
      </c>
      <c r="V4616">
        <f t="shared" si="290"/>
        <v>0</v>
      </c>
      <c r="W4616">
        <f t="shared" si="291"/>
        <v>0</v>
      </c>
    </row>
    <row r="4617" spans="5:23" x14ac:dyDescent="0.25">
      <c r="E4617" s="4"/>
      <c r="F4617" s="4"/>
      <c r="G4617" s="33" t="str">
        <f>IFERROR(VLOOKUP($D4617,'Informations sur les produits'!$A$3:$H$10000,8,FALSE),"0")</f>
        <v>0</v>
      </c>
      <c r="K4617" s="4"/>
      <c r="L4617" s="33" t="str">
        <f>IFERROR(VLOOKUP($J4617,'Informations sur les produits'!$A$3:$H$10000,8,FALSE),"0")</f>
        <v>0</v>
      </c>
      <c r="N4617" s="8"/>
      <c r="O4617" s="33" t="str">
        <f>IFERROR(VLOOKUP($M4617,'Informations sur les produits'!$A$3:$H$10000,8,FALSE),"0")</f>
        <v>0</v>
      </c>
      <c r="P4617" s="33">
        <f t="shared" si="288"/>
        <v>0</v>
      </c>
      <c r="Q4617" s="31" t="str">
        <f t="shared" si="289"/>
        <v/>
      </c>
      <c r="R4617" s="32" t="str">
        <f>IFERROR(VLOOKUP($D4617,'Informations sur les produits'!$A$3:$B$15000,2,FALSE),"")</f>
        <v/>
      </c>
      <c r="V4617">
        <f t="shared" si="290"/>
        <v>0</v>
      </c>
      <c r="W4617">
        <f t="shared" si="291"/>
        <v>0</v>
      </c>
    </row>
    <row r="4618" spans="5:23" x14ac:dyDescent="0.25">
      <c r="E4618" s="4"/>
      <c r="F4618" s="4"/>
      <c r="G4618" s="33" t="str">
        <f>IFERROR(VLOOKUP($D4618,'Informations sur les produits'!$A$3:$H$10000,8,FALSE),"0")</f>
        <v>0</v>
      </c>
      <c r="K4618" s="4"/>
      <c r="L4618" s="33" t="str">
        <f>IFERROR(VLOOKUP($J4618,'Informations sur les produits'!$A$3:$H$10000,8,FALSE),"0")</f>
        <v>0</v>
      </c>
      <c r="N4618" s="8"/>
      <c r="O4618" s="33" t="str">
        <f>IFERROR(VLOOKUP($M4618,'Informations sur les produits'!$A$3:$H$10000,8,FALSE),"0")</f>
        <v>0</v>
      </c>
      <c r="P4618" s="33">
        <f t="shared" si="288"/>
        <v>0</v>
      </c>
      <c r="Q4618" s="31" t="str">
        <f t="shared" si="289"/>
        <v/>
      </c>
      <c r="R4618" s="32" t="str">
        <f>IFERROR(VLOOKUP($D4618,'Informations sur les produits'!$A$3:$B$15000,2,FALSE),"")</f>
        <v/>
      </c>
      <c r="V4618">
        <f t="shared" si="290"/>
        <v>0</v>
      </c>
      <c r="W4618">
        <f t="shared" si="291"/>
        <v>0</v>
      </c>
    </row>
    <row r="4619" spans="5:23" x14ac:dyDescent="0.25">
      <c r="E4619" s="4"/>
      <c r="F4619" s="4"/>
      <c r="G4619" s="33" t="str">
        <f>IFERROR(VLOOKUP($D4619,'Informations sur les produits'!$A$3:$H$10000,8,FALSE),"0")</f>
        <v>0</v>
      </c>
      <c r="K4619" s="4"/>
      <c r="L4619" s="33" t="str">
        <f>IFERROR(VLOOKUP($J4619,'Informations sur les produits'!$A$3:$H$10000,8,FALSE),"0")</f>
        <v>0</v>
      </c>
      <c r="N4619" s="8"/>
      <c r="O4619" s="33" t="str">
        <f>IFERROR(VLOOKUP($M4619,'Informations sur les produits'!$A$3:$H$10000,8,FALSE),"0")</f>
        <v>0</v>
      </c>
      <c r="P4619" s="33">
        <f t="shared" si="288"/>
        <v>0</v>
      </c>
      <c r="Q4619" s="31" t="str">
        <f t="shared" si="289"/>
        <v/>
      </c>
      <c r="R4619" s="32" t="str">
        <f>IFERROR(VLOOKUP($D4619,'Informations sur les produits'!$A$3:$B$15000,2,FALSE),"")</f>
        <v/>
      </c>
      <c r="V4619">
        <f t="shared" si="290"/>
        <v>0</v>
      </c>
      <c r="W4619">
        <f t="shared" si="291"/>
        <v>0</v>
      </c>
    </row>
    <row r="4620" spans="5:23" x14ac:dyDescent="0.25">
      <c r="E4620" s="4"/>
      <c r="F4620" s="4"/>
      <c r="G4620" s="33" t="str">
        <f>IFERROR(VLOOKUP($D4620,'Informations sur les produits'!$A$3:$H$10000,8,FALSE),"0")</f>
        <v>0</v>
      </c>
      <c r="K4620" s="4"/>
      <c r="L4620" s="33" t="str">
        <f>IFERROR(VLOOKUP($J4620,'Informations sur les produits'!$A$3:$H$10000,8,FALSE),"0")</f>
        <v>0</v>
      </c>
      <c r="N4620" s="8"/>
      <c r="O4620" s="33" t="str">
        <f>IFERROR(VLOOKUP($M4620,'Informations sur les produits'!$A$3:$H$10000,8,FALSE),"0")</f>
        <v>0</v>
      </c>
      <c r="P4620" s="33">
        <f t="shared" si="288"/>
        <v>0</v>
      </c>
      <c r="Q4620" s="31" t="str">
        <f t="shared" si="289"/>
        <v/>
      </c>
      <c r="R4620" s="32" t="str">
        <f>IFERROR(VLOOKUP($D4620,'Informations sur les produits'!$A$3:$B$15000,2,FALSE),"")</f>
        <v/>
      </c>
      <c r="V4620">
        <f t="shared" si="290"/>
        <v>0</v>
      </c>
      <c r="W4620">
        <f t="shared" si="291"/>
        <v>0</v>
      </c>
    </row>
    <row r="4621" spans="5:23" x14ac:dyDescent="0.25">
      <c r="E4621" s="4"/>
      <c r="F4621" s="4"/>
      <c r="G4621" s="33" t="str">
        <f>IFERROR(VLOOKUP($D4621,'Informations sur les produits'!$A$3:$H$10000,8,FALSE),"0")</f>
        <v>0</v>
      </c>
      <c r="K4621" s="4"/>
      <c r="L4621" s="33" t="str">
        <f>IFERROR(VLOOKUP($J4621,'Informations sur les produits'!$A$3:$H$10000,8,FALSE),"0")</f>
        <v>0</v>
      </c>
      <c r="N4621" s="8"/>
      <c r="O4621" s="33" t="str">
        <f>IFERROR(VLOOKUP($M4621,'Informations sur les produits'!$A$3:$H$10000,8,FALSE),"0")</f>
        <v>0</v>
      </c>
      <c r="P4621" s="33">
        <f t="shared" si="288"/>
        <v>0</v>
      </c>
      <c r="Q4621" s="31" t="str">
        <f t="shared" si="289"/>
        <v/>
      </c>
      <c r="R4621" s="32" t="str">
        <f>IFERROR(VLOOKUP($D4621,'Informations sur les produits'!$A$3:$B$15000,2,FALSE),"")</f>
        <v/>
      </c>
      <c r="V4621">
        <f t="shared" si="290"/>
        <v>0</v>
      </c>
      <c r="W4621">
        <f t="shared" si="291"/>
        <v>0</v>
      </c>
    </row>
    <row r="4622" spans="5:23" x14ac:dyDescent="0.25">
      <c r="E4622" s="4"/>
      <c r="F4622" s="4"/>
      <c r="G4622" s="33" t="str">
        <f>IFERROR(VLOOKUP($D4622,'Informations sur les produits'!$A$3:$H$10000,8,FALSE),"0")</f>
        <v>0</v>
      </c>
      <c r="K4622" s="4"/>
      <c r="L4622" s="33" t="str">
        <f>IFERROR(VLOOKUP($J4622,'Informations sur les produits'!$A$3:$H$10000,8,FALSE),"0")</f>
        <v>0</v>
      </c>
      <c r="N4622" s="8"/>
      <c r="O4622" s="33" t="str">
        <f>IFERROR(VLOOKUP($M4622,'Informations sur les produits'!$A$3:$H$10000,8,FALSE),"0")</f>
        <v>0</v>
      </c>
      <c r="P4622" s="33">
        <f t="shared" si="288"/>
        <v>0</v>
      </c>
      <c r="Q4622" s="31" t="str">
        <f t="shared" si="289"/>
        <v/>
      </c>
      <c r="R4622" s="32" t="str">
        <f>IFERROR(VLOOKUP($D4622,'Informations sur les produits'!$A$3:$B$15000,2,FALSE),"")</f>
        <v/>
      </c>
      <c r="V4622">
        <f t="shared" si="290"/>
        <v>0</v>
      </c>
      <c r="W4622">
        <f t="shared" si="291"/>
        <v>0</v>
      </c>
    </row>
    <row r="4623" spans="5:23" x14ac:dyDescent="0.25">
      <c r="E4623" s="4"/>
      <c r="F4623" s="4"/>
      <c r="G4623" s="33" t="str">
        <f>IFERROR(VLOOKUP($D4623,'Informations sur les produits'!$A$3:$H$10000,8,FALSE),"0")</f>
        <v>0</v>
      </c>
      <c r="K4623" s="4"/>
      <c r="L4623" s="33" t="str">
        <f>IFERROR(VLOOKUP($J4623,'Informations sur les produits'!$A$3:$H$10000,8,FALSE),"0")</f>
        <v>0</v>
      </c>
      <c r="N4623" s="8"/>
      <c r="O4623" s="33" t="str">
        <f>IFERROR(VLOOKUP($M4623,'Informations sur les produits'!$A$3:$H$10000,8,FALSE),"0")</f>
        <v>0</v>
      </c>
      <c r="P4623" s="33">
        <f t="shared" si="288"/>
        <v>0</v>
      </c>
      <c r="Q4623" s="31" t="str">
        <f t="shared" si="289"/>
        <v/>
      </c>
      <c r="R4623" s="32" t="str">
        <f>IFERROR(VLOOKUP($D4623,'Informations sur les produits'!$A$3:$B$15000,2,FALSE),"")</f>
        <v/>
      </c>
      <c r="V4623">
        <f t="shared" si="290"/>
        <v>0</v>
      </c>
      <c r="W4623">
        <f t="shared" si="291"/>
        <v>0</v>
      </c>
    </row>
    <row r="4624" spans="5:23" x14ac:dyDescent="0.25">
      <c r="E4624" s="4"/>
      <c r="F4624" s="4"/>
      <c r="G4624" s="33" t="str">
        <f>IFERROR(VLOOKUP($D4624,'Informations sur les produits'!$A$3:$H$10000,8,FALSE),"0")</f>
        <v>0</v>
      </c>
      <c r="K4624" s="4"/>
      <c r="L4624" s="33" t="str">
        <f>IFERROR(VLOOKUP($J4624,'Informations sur les produits'!$A$3:$H$10000,8,FALSE),"0")</f>
        <v>0</v>
      </c>
      <c r="N4624" s="8"/>
      <c r="O4624" s="33" t="str">
        <f>IFERROR(VLOOKUP($M4624,'Informations sur les produits'!$A$3:$H$10000,8,FALSE),"0")</f>
        <v>0</v>
      </c>
      <c r="P4624" s="33">
        <f t="shared" si="288"/>
        <v>0</v>
      </c>
      <c r="Q4624" s="31" t="str">
        <f t="shared" si="289"/>
        <v/>
      </c>
      <c r="R4624" s="32" t="str">
        <f>IFERROR(VLOOKUP($D4624,'Informations sur les produits'!$A$3:$B$15000,2,FALSE),"")</f>
        <v/>
      </c>
      <c r="V4624">
        <f t="shared" si="290"/>
        <v>0</v>
      </c>
      <c r="W4624">
        <f t="shared" si="291"/>
        <v>0</v>
      </c>
    </row>
    <row r="4625" spans="5:23" x14ac:dyDescent="0.25">
      <c r="E4625" s="4"/>
      <c r="F4625" s="4"/>
      <c r="G4625" s="33" t="str">
        <f>IFERROR(VLOOKUP($D4625,'Informations sur les produits'!$A$3:$H$10000,8,FALSE),"0")</f>
        <v>0</v>
      </c>
      <c r="K4625" s="4"/>
      <c r="L4625" s="33" t="str">
        <f>IFERROR(VLOOKUP($J4625,'Informations sur les produits'!$A$3:$H$10000,8,FALSE),"0")</f>
        <v>0</v>
      </c>
      <c r="N4625" s="8"/>
      <c r="O4625" s="33" t="str">
        <f>IFERROR(VLOOKUP($M4625,'Informations sur les produits'!$A$3:$H$10000,8,FALSE),"0")</f>
        <v>0</v>
      </c>
      <c r="P4625" s="33">
        <f t="shared" si="288"/>
        <v>0</v>
      </c>
      <c r="Q4625" s="31" t="str">
        <f t="shared" si="289"/>
        <v/>
      </c>
      <c r="R4625" s="32" t="str">
        <f>IFERROR(VLOOKUP($D4625,'Informations sur les produits'!$A$3:$B$15000,2,FALSE),"")</f>
        <v/>
      </c>
      <c r="V4625">
        <f t="shared" si="290"/>
        <v>0</v>
      </c>
      <c r="W4625">
        <f t="shared" si="291"/>
        <v>0</v>
      </c>
    </row>
    <row r="4626" spans="5:23" x14ac:dyDescent="0.25">
      <c r="E4626" s="4"/>
      <c r="F4626" s="4"/>
      <c r="G4626" s="33" t="str">
        <f>IFERROR(VLOOKUP($D4626,'Informations sur les produits'!$A$3:$H$10000,8,FALSE),"0")</f>
        <v>0</v>
      </c>
      <c r="K4626" s="4"/>
      <c r="L4626" s="33" t="str">
        <f>IFERROR(VLOOKUP($J4626,'Informations sur les produits'!$A$3:$H$10000,8,FALSE),"0")</f>
        <v>0</v>
      </c>
      <c r="N4626" s="8"/>
      <c r="O4626" s="33" t="str">
        <f>IFERROR(VLOOKUP($M4626,'Informations sur les produits'!$A$3:$H$10000,8,FALSE),"0")</f>
        <v>0</v>
      </c>
      <c r="P4626" s="33">
        <f t="shared" si="288"/>
        <v>0</v>
      </c>
      <c r="Q4626" s="31" t="str">
        <f t="shared" si="289"/>
        <v/>
      </c>
      <c r="R4626" s="32" t="str">
        <f>IFERROR(VLOOKUP($D4626,'Informations sur les produits'!$A$3:$B$15000,2,FALSE),"")</f>
        <v/>
      </c>
      <c r="V4626">
        <f t="shared" si="290"/>
        <v>0</v>
      </c>
      <c r="W4626">
        <f t="shared" si="291"/>
        <v>0</v>
      </c>
    </row>
    <row r="4627" spans="5:23" x14ac:dyDescent="0.25">
      <c r="E4627" s="4"/>
      <c r="F4627" s="4"/>
      <c r="G4627" s="33" t="str">
        <f>IFERROR(VLOOKUP($D4627,'Informations sur les produits'!$A$3:$H$10000,8,FALSE),"0")</f>
        <v>0</v>
      </c>
      <c r="K4627" s="4"/>
      <c r="L4627" s="33" t="str">
        <f>IFERROR(VLOOKUP($J4627,'Informations sur les produits'!$A$3:$H$10000,8,FALSE),"0")</f>
        <v>0</v>
      </c>
      <c r="N4627" s="8"/>
      <c r="O4627" s="33" t="str">
        <f>IFERROR(VLOOKUP($M4627,'Informations sur les produits'!$A$3:$H$10000,8,FALSE),"0")</f>
        <v>0</v>
      </c>
      <c r="P4627" s="33">
        <f t="shared" si="288"/>
        <v>0</v>
      </c>
      <c r="Q4627" s="31" t="str">
        <f t="shared" si="289"/>
        <v/>
      </c>
      <c r="R4627" s="32" t="str">
        <f>IFERROR(VLOOKUP($D4627,'Informations sur les produits'!$A$3:$B$15000,2,FALSE),"")</f>
        <v/>
      </c>
      <c r="V4627">
        <f t="shared" si="290"/>
        <v>0</v>
      </c>
      <c r="W4627">
        <f t="shared" si="291"/>
        <v>0</v>
      </c>
    </row>
    <row r="4628" spans="5:23" x14ac:dyDescent="0.25">
      <c r="E4628" s="4"/>
      <c r="F4628" s="4"/>
      <c r="G4628" s="33" t="str">
        <f>IFERROR(VLOOKUP($D4628,'Informations sur les produits'!$A$3:$H$10000,8,FALSE),"0")</f>
        <v>0</v>
      </c>
      <c r="K4628" s="4"/>
      <c r="L4628" s="33" t="str">
        <f>IFERROR(VLOOKUP($J4628,'Informations sur les produits'!$A$3:$H$10000,8,FALSE),"0")</f>
        <v>0</v>
      </c>
      <c r="N4628" s="8"/>
      <c r="O4628" s="33" t="str">
        <f>IFERROR(VLOOKUP($M4628,'Informations sur les produits'!$A$3:$H$10000,8,FALSE),"0")</f>
        <v>0</v>
      </c>
      <c r="P4628" s="33">
        <f t="shared" si="288"/>
        <v>0</v>
      </c>
      <c r="Q4628" s="31" t="str">
        <f t="shared" si="289"/>
        <v/>
      </c>
      <c r="R4628" s="32" t="str">
        <f>IFERROR(VLOOKUP($D4628,'Informations sur les produits'!$A$3:$B$15000,2,FALSE),"")</f>
        <v/>
      </c>
      <c r="V4628">
        <f t="shared" si="290"/>
        <v>0</v>
      </c>
      <c r="W4628">
        <f t="shared" si="291"/>
        <v>0</v>
      </c>
    </row>
    <row r="4629" spans="5:23" x14ac:dyDescent="0.25">
      <c r="E4629" s="4"/>
      <c r="F4629" s="4"/>
      <c r="G4629" s="33" t="str">
        <f>IFERROR(VLOOKUP($D4629,'Informations sur les produits'!$A$3:$H$10000,8,FALSE),"0")</f>
        <v>0</v>
      </c>
      <c r="K4629" s="4"/>
      <c r="L4629" s="33" t="str">
        <f>IFERROR(VLOOKUP($J4629,'Informations sur les produits'!$A$3:$H$10000,8,FALSE),"0")</f>
        <v>0</v>
      </c>
      <c r="N4629" s="8"/>
      <c r="O4629" s="33" t="str">
        <f>IFERROR(VLOOKUP($M4629,'Informations sur les produits'!$A$3:$H$10000,8,FALSE),"0")</f>
        <v>0</v>
      </c>
      <c r="P4629" s="33">
        <f t="shared" si="288"/>
        <v>0</v>
      </c>
      <c r="Q4629" s="31" t="str">
        <f t="shared" si="289"/>
        <v/>
      </c>
      <c r="R4629" s="32" t="str">
        <f>IFERROR(VLOOKUP($D4629,'Informations sur les produits'!$A$3:$B$15000,2,FALSE),"")</f>
        <v/>
      </c>
      <c r="V4629">
        <f t="shared" si="290"/>
        <v>0</v>
      </c>
      <c r="W4629">
        <f t="shared" si="291"/>
        <v>0</v>
      </c>
    </row>
    <row r="4630" spans="5:23" x14ac:dyDescent="0.25">
      <c r="E4630" s="4"/>
      <c r="F4630" s="4"/>
      <c r="G4630" s="33" t="str">
        <f>IFERROR(VLOOKUP($D4630,'Informations sur les produits'!$A$3:$H$10000,8,FALSE),"0")</f>
        <v>0</v>
      </c>
      <c r="K4630" s="4"/>
      <c r="L4630" s="33" t="str">
        <f>IFERROR(VLOOKUP($J4630,'Informations sur les produits'!$A$3:$H$10000,8,FALSE),"0")</f>
        <v>0</v>
      </c>
      <c r="N4630" s="8"/>
      <c r="O4630" s="33" t="str">
        <f>IFERROR(VLOOKUP($M4630,'Informations sur les produits'!$A$3:$H$10000,8,FALSE),"0")</f>
        <v>0</v>
      </c>
      <c r="P4630" s="33">
        <f t="shared" si="288"/>
        <v>0</v>
      </c>
      <c r="Q4630" s="31" t="str">
        <f t="shared" si="289"/>
        <v/>
      </c>
      <c r="R4630" s="32" t="str">
        <f>IFERROR(VLOOKUP($D4630,'Informations sur les produits'!$A$3:$B$15000,2,FALSE),"")</f>
        <v/>
      </c>
      <c r="V4630">
        <f t="shared" si="290"/>
        <v>0</v>
      </c>
      <c r="W4630">
        <f t="shared" si="291"/>
        <v>0</v>
      </c>
    </row>
    <row r="4631" spans="5:23" x14ac:dyDescent="0.25">
      <c r="E4631" s="4"/>
      <c r="F4631" s="4"/>
      <c r="G4631" s="33" t="str">
        <f>IFERROR(VLOOKUP($D4631,'Informations sur les produits'!$A$3:$H$10000,8,FALSE),"0")</f>
        <v>0</v>
      </c>
      <c r="K4631" s="4"/>
      <c r="L4631" s="33" t="str">
        <f>IFERROR(VLOOKUP($J4631,'Informations sur les produits'!$A$3:$H$10000,8,FALSE),"0")</f>
        <v>0</v>
      </c>
      <c r="N4631" s="8"/>
      <c r="O4631" s="33" t="str">
        <f>IFERROR(VLOOKUP($M4631,'Informations sur les produits'!$A$3:$H$10000,8,FALSE),"0")</f>
        <v>0</v>
      </c>
      <c r="P4631" s="33">
        <f t="shared" si="288"/>
        <v>0</v>
      </c>
      <c r="Q4631" s="31" t="str">
        <f t="shared" si="289"/>
        <v/>
      </c>
      <c r="R4631" s="32" t="str">
        <f>IFERROR(VLOOKUP($D4631,'Informations sur les produits'!$A$3:$B$15000,2,FALSE),"")</f>
        <v/>
      </c>
      <c r="V4631">
        <f t="shared" si="290"/>
        <v>0</v>
      </c>
      <c r="W4631">
        <f t="shared" si="291"/>
        <v>0</v>
      </c>
    </row>
    <row r="4632" spans="5:23" x14ac:dyDescent="0.25">
      <c r="E4632" s="4"/>
      <c r="F4632" s="4"/>
      <c r="G4632" s="33" t="str">
        <f>IFERROR(VLOOKUP($D4632,'Informations sur les produits'!$A$3:$H$10000,8,FALSE),"0")</f>
        <v>0</v>
      </c>
      <c r="K4632" s="4"/>
      <c r="L4632" s="33" t="str">
        <f>IFERROR(VLOOKUP($J4632,'Informations sur les produits'!$A$3:$H$10000,8,FALSE),"0")</f>
        <v>0</v>
      </c>
      <c r="N4632" s="8"/>
      <c r="O4632" s="33" t="str">
        <f>IFERROR(VLOOKUP($M4632,'Informations sur les produits'!$A$3:$H$10000,8,FALSE),"0")</f>
        <v>0</v>
      </c>
      <c r="P4632" s="33">
        <f t="shared" si="288"/>
        <v>0</v>
      </c>
      <c r="Q4632" s="31" t="str">
        <f t="shared" si="289"/>
        <v/>
      </c>
      <c r="R4632" s="32" t="str">
        <f>IFERROR(VLOOKUP($D4632,'Informations sur les produits'!$A$3:$B$15000,2,FALSE),"")</f>
        <v/>
      </c>
      <c r="V4632">
        <f t="shared" si="290"/>
        <v>0</v>
      </c>
      <c r="W4632">
        <f t="shared" si="291"/>
        <v>0</v>
      </c>
    </row>
    <row r="4633" spans="5:23" x14ac:dyDescent="0.25">
      <c r="E4633" s="4"/>
      <c r="F4633" s="4"/>
      <c r="G4633" s="33" t="str">
        <f>IFERROR(VLOOKUP($D4633,'Informations sur les produits'!$A$3:$H$10000,8,FALSE),"0")</f>
        <v>0</v>
      </c>
      <c r="K4633" s="4"/>
      <c r="L4633" s="33" t="str">
        <f>IFERROR(VLOOKUP($J4633,'Informations sur les produits'!$A$3:$H$10000,8,FALSE),"0")</f>
        <v>0</v>
      </c>
      <c r="N4633" s="8"/>
      <c r="O4633" s="33" t="str">
        <f>IFERROR(VLOOKUP($M4633,'Informations sur les produits'!$A$3:$H$10000,8,FALSE),"0")</f>
        <v>0</v>
      </c>
      <c r="P4633" s="33">
        <f t="shared" si="288"/>
        <v>0</v>
      </c>
      <c r="Q4633" s="31" t="str">
        <f t="shared" si="289"/>
        <v/>
      </c>
      <c r="R4633" s="32" t="str">
        <f>IFERROR(VLOOKUP($D4633,'Informations sur les produits'!$A$3:$B$15000,2,FALSE),"")</f>
        <v/>
      </c>
      <c r="V4633">
        <f t="shared" si="290"/>
        <v>0</v>
      </c>
      <c r="W4633">
        <f t="shared" si="291"/>
        <v>0</v>
      </c>
    </row>
    <row r="4634" spans="5:23" x14ac:dyDescent="0.25">
      <c r="E4634" s="4"/>
      <c r="F4634" s="4"/>
      <c r="G4634" s="33" t="str">
        <f>IFERROR(VLOOKUP($D4634,'Informations sur les produits'!$A$3:$H$10000,8,FALSE),"0")</f>
        <v>0</v>
      </c>
      <c r="K4634" s="4"/>
      <c r="L4634" s="33" t="str">
        <f>IFERROR(VLOOKUP($J4634,'Informations sur les produits'!$A$3:$H$10000,8,FALSE),"0")</f>
        <v>0</v>
      </c>
      <c r="N4634" s="8"/>
      <c r="O4634" s="33" t="str">
        <f>IFERROR(VLOOKUP($M4634,'Informations sur les produits'!$A$3:$H$10000,8,FALSE),"0")</f>
        <v>0</v>
      </c>
      <c r="P4634" s="33">
        <f t="shared" si="288"/>
        <v>0</v>
      </c>
      <c r="Q4634" s="31" t="str">
        <f t="shared" si="289"/>
        <v/>
      </c>
      <c r="R4634" s="32" t="str">
        <f>IFERROR(VLOOKUP($D4634,'Informations sur les produits'!$A$3:$B$15000,2,FALSE),"")</f>
        <v/>
      </c>
      <c r="V4634">
        <f t="shared" si="290"/>
        <v>0</v>
      </c>
      <c r="W4634">
        <f t="shared" si="291"/>
        <v>0</v>
      </c>
    </row>
    <row r="4635" spans="5:23" x14ac:dyDescent="0.25">
      <c r="E4635" s="4"/>
      <c r="F4635" s="4"/>
      <c r="G4635" s="33" t="str">
        <f>IFERROR(VLOOKUP($D4635,'Informations sur les produits'!$A$3:$H$10000,8,FALSE),"0")</f>
        <v>0</v>
      </c>
      <c r="K4635" s="4"/>
      <c r="L4635" s="33" t="str">
        <f>IFERROR(VLOOKUP($J4635,'Informations sur les produits'!$A$3:$H$10000,8,FALSE),"0")</f>
        <v>0</v>
      </c>
      <c r="N4635" s="8"/>
      <c r="O4635" s="33" t="str">
        <f>IFERROR(VLOOKUP($M4635,'Informations sur les produits'!$A$3:$H$10000,8,FALSE),"0")</f>
        <v>0</v>
      </c>
      <c r="P4635" s="33">
        <f t="shared" si="288"/>
        <v>0</v>
      </c>
      <c r="Q4635" s="31" t="str">
        <f t="shared" si="289"/>
        <v/>
      </c>
      <c r="R4635" s="32" t="str">
        <f>IFERROR(VLOOKUP($D4635,'Informations sur les produits'!$A$3:$B$15000,2,FALSE),"")</f>
        <v/>
      </c>
      <c r="V4635">
        <f t="shared" si="290"/>
        <v>0</v>
      </c>
      <c r="W4635">
        <f t="shared" si="291"/>
        <v>0</v>
      </c>
    </row>
    <row r="4636" spans="5:23" x14ac:dyDescent="0.25">
      <c r="E4636" s="4"/>
      <c r="F4636" s="4"/>
      <c r="G4636" s="33" t="str">
        <f>IFERROR(VLOOKUP($D4636,'Informations sur les produits'!$A$3:$H$10000,8,FALSE),"0")</f>
        <v>0</v>
      </c>
      <c r="K4636" s="4"/>
      <c r="L4636" s="33" t="str">
        <f>IFERROR(VLOOKUP($J4636,'Informations sur les produits'!$A$3:$H$10000,8,FALSE),"0")</f>
        <v>0</v>
      </c>
      <c r="N4636" s="8"/>
      <c r="O4636" s="33" t="str">
        <f>IFERROR(VLOOKUP($M4636,'Informations sur les produits'!$A$3:$H$10000,8,FALSE),"0")</f>
        <v>0</v>
      </c>
      <c r="P4636" s="33">
        <f t="shared" si="288"/>
        <v>0</v>
      </c>
      <c r="Q4636" s="31" t="str">
        <f t="shared" si="289"/>
        <v/>
      </c>
      <c r="R4636" s="32" t="str">
        <f>IFERROR(VLOOKUP($D4636,'Informations sur les produits'!$A$3:$B$15000,2,FALSE),"")</f>
        <v/>
      </c>
      <c r="V4636">
        <f t="shared" si="290"/>
        <v>0</v>
      </c>
      <c r="W4636">
        <f t="shared" si="291"/>
        <v>0</v>
      </c>
    </row>
    <row r="4637" spans="5:23" x14ac:dyDescent="0.25">
      <c r="E4637" s="4"/>
      <c r="F4637" s="4"/>
      <c r="G4637" s="33" t="str">
        <f>IFERROR(VLOOKUP($D4637,'Informations sur les produits'!$A$3:$H$10000,8,FALSE),"0")</f>
        <v>0</v>
      </c>
      <c r="K4637" s="4"/>
      <c r="L4637" s="33" t="str">
        <f>IFERROR(VLOOKUP($J4637,'Informations sur les produits'!$A$3:$H$10000,8,FALSE),"0")</f>
        <v>0</v>
      </c>
      <c r="N4637" s="8"/>
      <c r="O4637" s="33" t="str">
        <f>IFERROR(VLOOKUP($M4637,'Informations sur les produits'!$A$3:$H$10000,8,FALSE),"0")</f>
        <v>0</v>
      </c>
      <c r="P4637" s="33">
        <f t="shared" si="288"/>
        <v>0</v>
      </c>
      <c r="Q4637" s="31" t="str">
        <f t="shared" si="289"/>
        <v/>
      </c>
      <c r="R4637" s="32" t="str">
        <f>IFERROR(VLOOKUP($D4637,'Informations sur les produits'!$A$3:$B$15000,2,FALSE),"")</f>
        <v/>
      </c>
      <c r="V4637">
        <f t="shared" si="290"/>
        <v>0</v>
      </c>
      <c r="W4637">
        <f t="shared" si="291"/>
        <v>0</v>
      </c>
    </row>
    <row r="4638" spans="5:23" x14ac:dyDescent="0.25">
      <c r="E4638" s="4"/>
      <c r="F4638" s="4"/>
      <c r="G4638" s="33" t="str">
        <f>IFERROR(VLOOKUP($D4638,'Informations sur les produits'!$A$3:$H$10000,8,FALSE),"0")</f>
        <v>0</v>
      </c>
      <c r="K4638" s="4"/>
      <c r="L4638" s="33" t="str">
        <f>IFERROR(VLOOKUP($J4638,'Informations sur les produits'!$A$3:$H$10000,8,FALSE),"0")</f>
        <v>0</v>
      </c>
      <c r="N4638" s="8"/>
      <c r="O4638" s="33" t="str">
        <f>IFERROR(VLOOKUP($M4638,'Informations sur les produits'!$A$3:$H$10000,8,FALSE),"0")</f>
        <v>0</v>
      </c>
      <c r="P4638" s="33">
        <f t="shared" si="288"/>
        <v>0</v>
      </c>
      <c r="Q4638" s="31" t="str">
        <f t="shared" si="289"/>
        <v/>
      </c>
      <c r="R4638" s="32" t="str">
        <f>IFERROR(VLOOKUP($D4638,'Informations sur les produits'!$A$3:$B$15000,2,FALSE),"")</f>
        <v/>
      </c>
      <c r="V4638">
        <f t="shared" si="290"/>
        <v>0</v>
      </c>
      <c r="W4638">
        <f t="shared" si="291"/>
        <v>0</v>
      </c>
    </row>
    <row r="4639" spans="5:23" x14ac:dyDescent="0.25">
      <c r="E4639" s="4"/>
      <c r="F4639" s="4"/>
      <c r="G4639" s="33" t="str">
        <f>IFERROR(VLOOKUP($D4639,'Informations sur les produits'!$A$3:$H$10000,8,FALSE),"0")</f>
        <v>0</v>
      </c>
      <c r="K4639" s="4"/>
      <c r="L4639" s="33" t="str">
        <f>IFERROR(VLOOKUP($J4639,'Informations sur les produits'!$A$3:$H$10000,8,FALSE),"0")</f>
        <v>0</v>
      </c>
      <c r="N4639" s="8"/>
      <c r="O4639" s="33" t="str">
        <f>IFERROR(VLOOKUP($M4639,'Informations sur les produits'!$A$3:$H$10000,8,FALSE),"0")</f>
        <v>0</v>
      </c>
      <c r="P4639" s="33">
        <f t="shared" si="288"/>
        <v>0</v>
      </c>
      <c r="Q4639" s="31" t="str">
        <f t="shared" si="289"/>
        <v/>
      </c>
      <c r="R4639" s="32" t="str">
        <f>IFERROR(VLOOKUP($D4639,'Informations sur les produits'!$A$3:$B$15000,2,FALSE),"")</f>
        <v/>
      </c>
      <c r="V4639">
        <f t="shared" si="290"/>
        <v>0</v>
      </c>
      <c r="W4639">
        <f t="shared" si="291"/>
        <v>0</v>
      </c>
    </row>
    <row r="4640" spans="5:23" x14ac:dyDescent="0.25">
      <c r="E4640" s="4"/>
      <c r="F4640" s="4"/>
      <c r="G4640" s="33" t="str">
        <f>IFERROR(VLOOKUP($D4640,'Informations sur les produits'!$A$3:$H$10000,8,FALSE),"0")</f>
        <v>0</v>
      </c>
      <c r="K4640" s="4"/>
      <c r="L4640" s="33" t="str">
        <f>IFERROR(VLOOKUP($J4640,'Informations sur les produits'!$A$3:$H$10000,8,FALSE),"0")</f>
        <v>0</v>
      </c>
      <c r="N4640" s="8"/>
      <c r="O4640" s="33" t="str">
        <f>IFERROR(VLOOKUP($M4640,'Informations sur les produits'!$A$3:$H$10000,8,FALSE),"0")</f>
        <v>0</v>
      </c>
      <c r="P4640" s="33">
        <f t="shared" si="288"/>
        <v>0</v>
      </c>
      <c r="Q4640" s="31" t="str">
        <f t="shared" si="289"/>
        <v/>
      </c>
      <c r="R4640" s="32" t="str">
        <f>IFERROR(VLOOKUP($D4640,'Informations sur les produits'!$A$3:$B$15000,2,FALSE),"")</f>
        <v/>
      </c>
      <c r="V4640">
        <f t="shared" si="290"/>
        <v>0</v>
      </c>
      <c r="W4640">
        <f t="shared" si="291"/>
        <v>0</v>
      </c>
    </row>
    <row r="4641" spans="5:23" x14ac:dyDescent="0.25">
      <c r="E4641" s="4"/>
      <c r="F4641" s="4"/>
      <c r="G4641" s="33" t="str">
        <f>IFERROR(VLOOKUP($D4641,'Informations sur les produits'!$A$3:$H$10000,8,FALSE),"0")</f>
        <v>0</v>
      </c>
      <c r="K4641" s="4"/>
      <c r="L4641" s="33" t="str">
        <f>IFERROR(VLOOKUP($J4641,'Informations sur les produits'!$A$3:$H$10000,8,FALSE),"0")</f>
        <v>0</v>
      </c>
      <c r="N4641" s="8"/>
      <c r="O4641" s="33" t="str">
        <f>IFERROR(VLOOKUP($M4641,'Informations sur les produits'!$A$3:$H$10000,8,FALSE),"0")</f>
        <v>0</v>
      </c>
      <c r="P4641" s="33">
        <f t="shared" si="288"/>
        <v>0</v>
      </c>
      <c r="Q4641" s="31" t="str">
        <f t="shared" si="289"/>
        <v/>
      </c>
      <c r="R4641" s="32" t="str">
        <f>IFERROR(VLOOKUP($D4641,'Informations sur les produits'!$A$3:$B$15000,2,FALSE),"")</f>
        <v/>
      </c>
      <c r="V4641">
        <f t="shared" si="290"/>
        <v>0</v>
      </c>
      <c r="W4641">
        <f t="shared" si="291"/>
        <v>0</v>
      </c>
    </row>
    <row r="4642" spans="5:23" x14ac:dyDescent="0.25">
      <c r="E4642" s="4"/>
      <c r="F4642" s="4"/>
      <c r="G4642" s="33" t="str">
        <f>IFERROR(VLOOKUP($D4642,'Informations sur les produits'!$A$3:$H$10000,8,FALSE),"0")</f>
        <v>0</v>
      </c>
      <c r="K4642" s="4"/>
      <c r="L4642" s="33" t="str">
        <f>IFERROR(VLOOKUP($J4642,'Informations sur les produits'!$A$3:$H$10000,8,FALSE),"0")</f>
        <v>0</v>
      </c>
      <c r="N4642" s="8"/>
      <c r="O4642" s="33" t="str">
        <f>IFERROR(VLOOKUP($M4642,'Informations sur les produits'!$A$3:$H$10000,8,FALSE),"0")</f>
        <v>0</v>
      </c>
      <c r="P4642" s="33">
        <f t="shared" si="288"/>
        <v>0</v>
      </c>
      <c r="Q4642" s="31" t="str">
        <f t="shared" si="289"/>
        <v/>
      </c>
      <c r="R4642" s="32" t="str">
        <f>IFERROR(VLOOKUP($D4642,'Informations sur les produits'!$A$3:$B$15000,2,FALSE),"")</f>
        <v/>
      </c>
      <c r="V4642">
        <f t="shared" si="290"/>
        <v>0</v>
      </c>
      <c r="W4642">
        <f t="shared" si="291"/>
        <v>0</v>
      </c>
    </row>
    <row r="4643" spans="5:23" x14ac:dyDescent="0.25">
      <c r="E4643" s="4"/>
      <c r="F4643" s="4"/>
      <c r="G4643" s="33" t="str">
        <f>IFERROR(VLOOKUP($D4643,'Informations sur les produits'!$A$3:$H$10000,8,FALSE),"0")</f>
        <v>0</v>
      </c>
      <c r="K4643" s="4"/>
      <c r="L4643" s="33" t="str">
        <f>IFERROR(VLOOKUP($J4643,'Informations sur les produits'!$A$3:$H$10000,8,FALSE),"0")</f>
        <v>0</v>
      </c>
      <c r="N4643" s="8"/>
      <c r="O4643" s="33" t="str">
        <f>IFERROR(VLOOKUP($M4643,'Informations sur les produits'!$A$3:$H$10000,8,FALSE),"0")</f>
        <v>0</v>
      </c>
      <c r="P4643" s="33">
        <f t="shared" si="288"/>
        <v>0</v>
      </c>
      <c r="Q4643" s="31" t="str">
        <f t="shared" si="289"/>
        <v/>
      </c>
      <c r="R4643" s="32" t="str">
        <f>IFERROR(VLOOKUP($D4643,'Informations sur les produits'!$A$3:$B$15000,2,FALSE),"")</f>
        <v/>
      </c>
      <c r="V4643">
        <f t="shared" si="290"/>
        <v>0</v>
      </c>
      <c r="W4643">
        <f t="shared" si="291"/>
        <v>0</v>
      </c>
    </row>
    <row r="4644" spans="5:23" x14ac:dyDescent="0.25">
      <c r="E4644" s="4"/>
      <c r="F4644" s="4"/>
      <c r="G4644" s="33" t="str">
        <f>IFERROR(VLOOKUP($D4644,'Informations sur les produits'!$A$3:$H$10000,8,FALSE),"0")</f>
        <v>0</v>
      </c>
      <c r="K4644" s="4"/>
      <c r="L4644" s="33" t="str">
        <f>IFERROR(VLOOKUP($J4644,'Informations sur les produits'!$A$3:$H$10000,8,FALSE),"0")</f>
        <v>0</v>
      </c>
      <c r="N4644" s="8"/>
      <c r="O4644" s="33" t="str">
        <f>IFERROR(VLOOKUP($M4644,'Informations sur les produits'!$A$3:$H$10000,8,FALSE),"0")</f>
        <v>0</v>
      </c>
      <c r="P4644" s="33">
        <f t="shared" si="288"/>
        <v>0</v>
      </c>
      <c r="Q4644" s="31" t="str">
        <f t="shared" si="289"/>
        <v/>
      </c>
      <c r="R4644" s="32" t="str">
        <f>IFERROR(VLOOKUP($D4644,'Informations sur les produits'!$A$3:$B$15000,2,FALSE),"")</f>
        <v/>
      </c>
      <c r="V4644">
        <f t="shared" si="290"/>
        <v>0</v>
      </c>
      <c r="W4644">
        <f t="shared" si="291"/>
        <v>0</v>
      </c>
    </row>
    <row r="4645" spans="5:23" x14ac:dyDescent="0.25">
      <c r="E4645" s="4"/>
      <c r="F4645" s="4"/>
      <c r="G4645" s="33" t="str">
        <f>IFERROR(VLOOKUP($D4645,'Informations sur les produits'!$A$3:$H$10000,8,FALSE),"0")</f>
        <v>0</v>
      </c>
      <c r="K4645" s="4"/>
      <c r="L4645" s="33" t="str">
        <f>IFERROR(VLOOKUP($J4645,'Informations sur les produits'!$A$3:$H$10000,8,FALSE),"0")</f>
        <v>0</v>
      </c>
      <c r="N4645" s="8"/>
      <c r="O4645" s="33" t="str">
        <f>IFERROR(VLOOKUP($M4645,'Informations sur les produits'!$A$3:$H$10000,8,FALSE),"0")</f>
        <v>0</v>
      </c>
      <c r="P4645" s="33">
        <f t="shared" si="288"/>
        <v>0</v>
      </c>
      <c r="Q4645" s="31" t="str">
        <f t="shared" si="289"/>
        <v/>
      </c>
      <c r="R4645" s="32" t="str">
        <f>IFERROR(VLOOKUP($D4645,'Informations sur les produits'!$A$3:$B$15000,2,FALSE),"")</f>
        <v/>
      </c>
      <c r="V4645">
        <f t="shared" si="290"/>
        <v>0</v>
      </c>
      <c r="W4645">
        <f t="shared" si="291"/>
        <v>0</v>
      </c>
    </row>
    <row r="4646" spans="5:23" x14ac:dyDescent="0.25">
      <c r="E4646" s="4"/>
      <c r="F4646" s="4"/>
      <c r="G4646" s="33" t="str">
        <f>IFERROR(VLOOKUP($D4646,'Informations sur les produits'!$A$3:$H$10000,8,FALSE),"0")</f>
        <v>0</v>
      </c>
      <c r="K4646" s="4"/>
      <c r="L4646" s="33" t="str">
        <f>IFERROR(VLOOKUP($J4646,'Informations sur les produits'!$A$3:$H$10000,8,FALSE),"0")</f>
        <v>0</v>
      </c>
      <c r="N4646" s="8"/>
      <c r="O4646" s="33" t="str">
        <f>IFERROR(VLOOKUP($M4646,'Informations sur les produits'!$A$3:$H$10000,8,FALSE),"0")</f>
        <v>0</v>
      </c>
      <c r="P4646" s="33">
        <f t="shared" si="288"/>
        <v>0</v>
      </c>
      <c r="Q4646" s="31" t="str">
        <f t="shared" si="289"/>
        <v/>
      </c>
      <c r="R4646" s="32" t="str">
        <f>IFERROR(VLOOKUP($D4646,'Informations sur les produits'!$A$3:$B$15000,2,FALSE),"")</f>
        <v/>
      </c>
      <c r="V4646">
        <f t="shared" si="290"/>
        <v>0</v>
      </c>
      <c r="W4646">
        <f t="shared" si="291"/>
        <v>0</v>
      </c>
    </row>
    <row r="4647" spans="5:23" x14ac:dyDescent="0.25">
      <c r="E4647" s="4"/>
      <c r="F4647" s="4"/>
      <c r="G4647" s="33" t="str">
        <f>IFERROR(VLOOKUP($D4647,'Informations sur les produits'!$A$3:$H$10000,8,FALSE),"0")</f>
        <v>0</v>
      </c>
      <c r="K4647" s="4"/>
      <c r="L4647" s="33" t="str">
        <f>IFERROR(VLOOKUP($J4647,'Informations sur les produits'!$A$3:$H$10000,8,FALSE),"0")</f>
        <v>0</v>
      </c>
      <c r="N4647" s="8"/>
      <c r="O4647" s="33" t="str">
        <f>IFERROR(VLOOKUP($M4647,'Informations sur les produits'!$A$3:$H$10000,8,FALSE),"0")</f>
        <v>0</v>
      </c>
      <c r="P4647" s="33">
        <f t="shared" si="288"/>
        <v>0</v>
      </c>
      <c r="Q4647" s="31" t="str">
        <f t="shared" si="289"/>
        <v/>
      </c>
      <c r="R4647" s="32" t="str">
        <f>IFERROR(VLOOKUP($D4647,'Informations sur les produits'!$A$3:$B$15000,2,FALSE),"")</f>
        <v/>
      </c>
      <c r="V4647">
        <f t="shared" si="290"/>
        <v>0</v>
      </c>
      <c r="W4647">
        <f t="shared" si="291"/>
        <v>0</v>
      </c>
    </row>
    <row r="4648" spans="5:23" x14ac:dyDescent="0.25">
      <c r="E4648" s="4"/>
      <c r="F4648" s="4"/>
      <c r="G4648" s="33" t="str">
        <f>IFERROR(VLOOKUP($D4648,'Informations sur les produits'!$A$3:$H$10000,8,FALSE),"0")</f>
        <v>0</v>
      </c>
      <c r="K4648" s="4"/>
      <c r="L4648" s="33" t="str">
        <f>IFERROR(VLOOKUP($J4648,'Informations sur les produits'!$A$3:$H$10000,8,FALSE),"0")</f>
        <v>0</v>
      </c>
      <c r="N4648" s="8"/>
      <c r="O4648" s="33" t="str">
        <f>IFERROR(VLOOKUP($M4648,'Informations sur les produits'!$A$3:$H$10000,8,FALSE),"0")</f>
        <v>0</v>
      </c>
      <c r="P4648" s="33">
        <f t="shared" si="288"/>
        <v>0</v>
      </c>
      <c r="Q4648" s="31" t="str">
        <f t="shared" si="289"/>
        <v/>
      </c>
      <c r="R4648" s="32" t="str">
        <f>IFERROR(VLOOKUP($D4648,'Informations sur les produits'!$A$3:$B$15000,2,FALSE),"")</f>
        <v/>
      </c>
      <c r="V4648">
        <f t="shared" si="290"/>
        <v>0</v>
      </c>
      <c r="W4648">
        <f t="shared" si="291"/>
        <v>0</v>
      </c>
    </row>
    <row r="4649" spans="5:23" x14ac:dyDescent="0.25">
      <c r="E4649" s="4"/>
      <c r="F4649" s="4"/>
      <c r="G4649" s="33" t="str">
        <f>IFERROR(VLOOKUP($D4649,'Informations sur les produits'!$A$3:$H$10000,8,FALSE),"0")</f>
        <v>0</v>
      </c>
      <c r="K4649" s="4"/>
      <c r="L4649" s="33" t="str">
        <f>IFERROR(VLOOKUP($J4649,'Informations sur les produits'!$A$3:$H$10000,8,FALSE),"0")</f>
        <v>0</v>
      </c>
      <c r="N4649" s="8"/>
      <c r="O4649" s="33" t="str">
        <f>IFERROR(VLOOKUP($M4649,'Informations sur les produits'!$A$3:$H$10000,8,FALSE),"0")</f>
        <v>0</v>
      </c>
      <c r="P4649" s="33">
        <f t="shared" si="288"/>
        <v>0</v>
      </c>
      <c r="Q4649" s="31" t="str">
        <f t="shared" si="289"/>
        <v/>
      </c>
      <c r="R4649" s="32" t="str">
        <f>IFERROR(VLOOKUP($D4649,'Informations sur les produits'!$A$3:$B$15000,2,FALSE),"")</f>
        <v/>
      </c>
      <c r="V4649">
        <f t="shared" si="290"/>
        <v>0</v>
      </c>
      <c r="W4649">
        <f t="shared" si="291"/>
        <v>0</v>
      </c>
    </row>
    <row r="4650" spans="5:23" x14ac:dyDescent="0.25">
      <c r="E4650" s="4"/>
      <c r="F4650" s="4"/>
      <c r="G4650" s="33" t="str">
        <f>IFERROR(VLOOKUP($D4650,'Informations sur les produits'!$A$3:$H$10000,8,FALSE),"0")</f>
        <v>0</v>
      </c>
      <c r="K4650" s="4"/>
      <c r="L4650" s="33" t="str">
        <f>IFERROR(VLOOKUP($J4650,'Informations sur les produits'!$A$3:$H$10000,8,FALSE),"0")</f>
        <v>0</v>
      </c>
      <c r="N4650" s="8"/>
      <c r="O4650" s="33" t="str">
        <f>IFERROR(VLOOKUP($M4650,'Informations sur les produits'!$A$3:$H$10000,8,FALSE),"0")</f>
        <v>0</v>
      </c>
      <c r="P4650" s="33">
        <f t="shared" si="288"/>
        <v>0</v>
      </c>
      <c r="Q4650" s="31" t="str">
        <f t="shared" si="289"/>
        <v/>
      </c>
      <c r="R4650" s="32" t="str">
        <f>IFERROR(VLOOKUP($D4650,'Informations sur les produits'!$A$3:$B$15000,2,FALSE),"")</f>
        <v/>
      </c>
      <c r="V4650">
        <f t="shared" si="290"/>
        <v>0</v>
      </c>
      <c r="W4650">
        <f t="shared" si="291"/>
        <v>0</v>
      </c>
    </row>
    <row r="4651" spans="5:23" x14ac:dyDescent="0.25">
      <c r="E4651" s="4"/>
      <c r="F4651" s="4"/>
      <c r="G4651" s="33" t="str">
        <f>IFERROR(VLOOKUP($D4651,'Informations sur les produits'!$A$3:$H$10000,8,FALSE),"0")</f>
        <v>0</v>
      </c>
      <c r="K4651" s="4"/>
      <c r="L4651" s="33" t="str">
        <f>IFERROR(VLOOKUP($J4651,'Informations sur les produits'!$A$3:$H$10000,8,FALSE),"0")</f>
        <v>0</v>
      </c>
      <c r="N4651" s="8"/>
      <c r="O4651" s="33" t="str">
        <f>IFERROR(VLOOKUP($M4651,'Informations sur les produits'!$A$3:$H$10000,8,FALSE),"0")</f>
        <v>0</v>
      </c>
      <c r="P4651" s="33">
        <f t="shared" si="288"/>
        <v>0</v>
      </c>
      <c r="Q4651" s="31" t="str">
        <f t="shared" si="289"/>
        <v/>
      </c>
      <c r="R4651" s="32" t="str">
        <f>IFERROR(VLOOKUP($D4651,'Informations sur les produits'!$A$3:$B$15000,2,FALSE),"")</f>
        <v/>
      </c>
      <c r="V4651">
        <f t="shared" si="290"/>
        <v>0</v>
      </c>
      <c r="W4651">
        <f t="shared" si="291"/>
        <v>0</v>
      </c>
    </row>
    <row r="4652" spans="5:23" x14ac:dyDescent="0.25">
      <c r="E4652" s="4"/>
      <c r="F4652" s="4"/>
      <c r="G4652" s="33" t="str">
        <f>IFERROR(VLOOKUP($D4652,'Informations sur les produits'!$A$3:$H$10000,8,FALSE),"0")</f>
        <v>0</v>
      </c>
      <c r="K4652" s="4"/>
      <c r="L4652" s="33" t="str">
        <f>IFERROR(VLOOKUP($J4652,'Informations sur les produits'!$A$3:$H$10000,8,FALSE),"0")</f>
        <v>0</v>
      </c>
      <c r="N4652" s="8"/>
      <c r="O4652" s="33" t="str">
        <f>IFERROR(VLOOKUP($M4652,'Informations sur les produits'!$A$3:$H$10000,8,FALSE),"0")</f>
        <v>0</v>
      </c>
      <c r="P4652" s="33">
        <f t="shared" si="288"/>
        <v>0</v>
      </c>
      <c r="Q4652" s="31" t="str">
        <f t="shared" si="289"/>
        <v/>
      </c>
      <c r="R4652" s="32" t="str">
        <f>IFERROR(VLOOKUP($D4652,'Informations sur les produits'!$A$3:$B$15000,2,FALSE),"")</f>
        <v/>
      </c>
      <c r="V4652">
        <f t="shared" si="290"/>
        <v>0</v>
      </c>
      <c r="W4652">
        <f t="shared" si="291"/>
        <v>0</v>
      </c>
    </row>
    <row r="4653" spans="5:23" x14ac:dyDescent="0.25">
      <c r="E4653" s="4"/>
      <c r="F4653" s="4"/>
      <c r="G4653" s="33" t="str">
        <f>IFERROR(VLOOKUP($D4653,'Informations sur les produits'!$A$3:$H$10000,8,FALSE),"0")</f>
        <v>0</v>
      </c>
      <c r="K4653" s="4"/>
      <c r="L4653" s="33" t="str">
        <f>IFERROR(VLOOKUP($J4653,'Informations sur les produits'!$A$3:$H$10000,8,FALSE),"0")</f>
        <v>0</v>
      </c>
      <c r="N4653" s="8"/>
      <c r="O4653" s="33" t="str">
        <f>IFERROR(VLOOKUP($M4653,'Informations sur les produits'!$A$3:$H$10000,8,FALSE),"0")</f>
        <v>0</v>
      </c>
      <c r="P4653" s="33">
        <f t="shared" si="288"/>
        <v>0</v>
      </c>
      <c r="Q4653" s="31" t="str">
        <f t="shared" si="289"/>
        <v/>
      </c>
      <c r="R4653" s="32" t="str">
        <f>IFERROR(VLOOKUP($D4653,'Informations sur les produits'!$A$3:$B$15000,2,FALSE),"")</f>
        <v/>
      </c>
      <c r="V4653">
        <f t="shared" si="290"/>
        <v>0</v>
      </c>
      <c r="W4653">
        <f t="shared" si="291"/>
        <v>0</v>
      </c>
    </row>
    <row r="4654" spans="5:23" x14ac:dyDescent="0.25">
      <c r="E4654" s="4"/>
      <c r="F4654" s="4"/>
      <c r="G4654" s="33" t="str">
        <f>IFERROR(VLOOKUP($D4654,'Informations sur les produits'!$A$3:$H$10000,8,FALSE),"0")</f>
        <v>0</v>
      </c>
      <c r="K4654" s="4"/>
      <c r="L4654" s="33" t="str">
        <f>IFERROR(VLOOKUP($J4654,'Informations sur les produits'!$A$3:$H$10000,8,FALSE),"0")</f>
        <v>0</v>
      </c>
      <c r="N4654" s="8"/>
      <c r="O4654" s="33" t="str">
        <f>IFERROR(VLOOKUP($M4654,'Informations sur les produits'!$A$3:$H$10000,8,FALSE),"0")</f>
        <v>0</v>
      </c>
      <c r="P4654" s="33">
        <f t="shared" si="288"/>
        <v>0</v>
      </c>
      <c r="Q4654" s="31" t="str">
        <f t="shared" si="289"/>
        <v/>
      </c>
      <c r="R4654" s="32" t="str">
        <f>IFERROR(VLOOKUP($D4654,'Informations sur les produits'!$A$3:$B$15000,2,FALSE),"")</f>
        <v/>
      </c>
      <c r="V4654">
        <f t="shared" si="290"/>
        <v>0</v>
      </c>
      <c r="W4654">
        <f t="shared" si="291"/>
        <v>0</v>
      </c>
    </row>
    <row r="4655" spans="5:23" x14ac:dyDescent="0.25">
      <c r="E4655" s="4"/>
      <c r="F4655" s="4"/>
      <c r="G4655" s="33" t="str">
        <f>IFERROR(VLOOKUP($D4655,'Informations sur les produits'!$A$3:$H$10000,8,FALSE),"0")</f>
        <v>0</v>
      </c>
      <c r="K4655" s="4"/>
      <c r="L4655" s="33" t="str">
        <f>IFERROR(VLOOKUP($J4655,'Informations sur les produits'!$A$3:$H$10000,8,FALSE),"0")</f>
        <v>0</v>
      </c>
      <c r="N4655" s="8"/>
      <c r="O4655" s="33" t="str">
        <f>IFERROR(VLOOKUP($M4655,'Informations sur les produits'!$A$3:$H$10000,8,FALSE),"0")</f>
        <v>0</v>
      </c>
      <c r="P4655" s="33">
        <f t="shared" si="288"/>
        <v>0</v>
      </c>
      <c r="Q4655" s="31" t="str">
        <f t="shared" si="289"/>
        <v/>
      </c>
      <c r="R4655" s="32" t="str">
        <f>IFERROR(VLOOKUP($D4655,'Informations sur les produits'!$A$3:$B$15000,2,FALSE),"")</f>
        <v/>
      </c>
      <c r="V4655">
        <f t="shared" si="290"/>
        <v>0</v>
      </c>
      <c r="W4655">
        <f t="shared" si="291"/>
        <v>0</v>
      </c>
    </row>
    <row r="4656" spans="5:23" x14ac:dyDescent="0.25">
      <c r="E4656" s="4"/>
      <c r="F4656" s="4"/>
      <c r="G4656" s="33" t="str">
        <f>IFERROR(VLOOKUP($D4656,'Informations sur les produits'!$A$3:$H$10000,8,FALSE),"0")</f>
        <v>0</v>
      </c>
      <c r="K4656" s="4"/>
      <c r="L4656" s="33" t="str">
        <f>IFERROR(VLOOKUP($J4656,'Informations sur les produits'!$A$3:$H$10000,8,FALSE),"0")</f>
        <v>0</v>
      </c>
      <c r="N4656" s="8"/>
      <c r="O4656" s="33" t="str">
        <f>IFERROR(VLOOKUP($M4656,'Informations sur les produits'!$A$3:$H$10000,8,FALSE),"0")</f>
        <v>0</v>
      </c>
      <c r="P4656" s="33">
        <f t="shared" si="288"/>
        <v>0</v>
      </c>
      <c r="Q4656" s="31" t="str">
        <f t="shared" si="289"/>
        <v/>
      </c>
      <c r="R4656" s="32" t="str">
        <f>IFERROR(VLOOKUP($D4656,'Informations sur les produits'!$A$3:$B$15000,2,FALSE),"")</f>
        <v/>
      </c>
      <c r="V4656">
        <f t="shared" si="290"/>
        <v>0</v>
      </c>
      <c r="W4656">
        <f t="shared" si="291"/>
        <v>0</v>
      </c>
    </row>
    <row r="4657" spans="5:23" x14ac:dyDescent="0.25">
      <c r="E4657" s="4"/>
      <c r="F4657" s="4"/>
      <c r="G4657" s="33" t="str">
        <f>IFERROR(VLOOKUP($D4657,'Informations sur les produits'!$A$3:$H$10000,8,FALSE),"0")</f>
        <v>0</v>
      </c>
      <c r="K4657" s="4"/>
      <c r="L4657" s="33" t="str">
        <f>IFERROR(VLOOKUP($J4657,'Informations sur les produits'!$A$3:$H$10000,8,FALSE),"0")</f>
        <v>0</v>
      </c>
      <c r="N4657" s="8"/>
      <c r="O4657" s="33" t="str">
        <f>IFERROR(VLOOKUP($M4657,'Informations sur les produits'!$A$3:$H$10000,8,FALSE),"0")</f>
        <v>0</v>
      </c>
      <c r="P4657" s="33">
        <f t="shared" si="288"/>
        <v>0</v>
      </c>
      <c r="Q4657" s="31" t="str">
        <f t="shared" si="289"/>
        <v/>
      </c>
      <c r="R4657" s="32" t="str">
        <f>IFERROR(VLOOKUP($D4657,'Informations sur les produits'!$A$3:$B$15000,2,FALSE),"")</f>
        <v/>
      </c>
      <c r="V4657">
        <f t="shared" si="290"/>
        <v>0</v>
      </c>
      <c r="W4657">
        <f t="shared" si="291"/>
        <v>0</v>
      </c>
    </row>
    <row r="4658" spans="5:23" x14ac:dyDescent="0.25">
      <c r="E4658" s="4"/>
      <c r="F4658" s="4"/>
      <c r="G4658" s="33" t="str">
        <f>IFERROR(VLOOKUP($D4658,'Informations sur les produits'!$A$3:$H$10000,8,FALSE),"0")</f>
        <v>0</v>
      </c>
      <c r="K4658" s="4"/>
      <c r="L4658" s="33" t="str">
        <f>IFERROR(VLOOKUP($J4658,'Informations sur les produits'!$A$3:$H$10000,8,FALSE),"0")</f>
        <v>0</v>
      </c>
      <c r="N4658" s="8"/>
      <c r="O4658" s="33" t="str">
        <f>IFERROR(VLOOKUP($M4658,'Informations sur les produits'!$A$3:$H$10000,8,FALSE),"0")</f>
        <v>0</v>
      </c>
      <c r="P4658" s="33">
        <f t="shared" si="288"/>
        <v>0</v>
      </c>
      <c r="Q4658" s="31" t="str">
        <f t="shared" si="289"/>
        <v/>
      </c>
      <c r="R4658" s="32" t="str">
        <f>IFERROR(VLOOKUP($D4658,'Informations sur les produits'!$A$3:$B$15000,2,FALSE),"")</f>
        <v/>
      </c>
      <c r="V4658">
        <f t="shared" si="290"/>
        <v>0</v>
      </c>
      <c r="W4658">
        <f t="shared" si="291"/>
        <v>0</v>
      </c>
    </row>
    <row r="4659" spans="5:23" x14ac:dyDescent="0.25">
      <c r="E4659" s="4"/>
      <c r="F4659" s="4"/>
      <c r="G4659" s="33" t="str">
        <f>IFERROR(VLOOKUP($D4659,'Informations sur les produits'!$A$3:$H$10000,8,FALSE),"0")</f>
        <v>0</v>
      </c>
      <c r="K4659" s="4"/>
      <c r="L4659" s="33" t="str">
        <f>IFERROR(VLOOKUP($J4659,'Informations sur les produits'!$A$3:$H$10000,8,FALSE),"0")</f>
        <v>0</v>
      </c>
      <c r="N4659" s="8"/>
      <c r="O4659" s="33" t="str">
        <f>IFERROR(VLOOKUP($M4659,'Informations sur les produits'!$A$3:$H$10000,8,FALSE),"0")</f>
        <v>0</v>
      </c>
      <c r="P4659" s="33">
        <f t="shared" si="288"/>
        <v>0</v>
      </c>
      <c r="Q4659" s="31" t="str">
        <f t="shared" si="289"/>
        <v/>
      </c>
      <c r="R4659" s="32" t="str">
        <f>IFERROR(VLOOKUP($D4659,'Informations sur les produits'!$A$3:$B$15000,2,FALSE),"")</f>
        <v/>
      </c>
      <c r="V4659">
        <f t="shared" si="290"/>
        <v>0</v>
      </c>
      <c r="W4659">
        <f t="shared" si="291"/>
        <v>0</v>
      </c>
    </row>
    <row r="4660" spans="5:23" x14ac:dyDescent="0.25">
      <c r="E4660" s="4"/>
      <c r="F4660" s="4"/>
      <c r="G4660" s="33" t="str">
        <f>IFERROR(VLOOKUP($D4660,'Informations sur les produits'!$A$3:$H$10000,8,FALSE),"0")</f>
        <v>0</v>
      </c>
      <c r="K4660" s="4"/>
      <c r="L4660" s="33" t="str">
        <f>IFERROR(VLOOKUP($J4660,'Informations sur les produits'!$A$3:$H$10000,8,FALSE),"0")</f>
        <v>0</v>
      </c>
      <c r="N4660" s="8"/>
      <c r="O4660" s="33" t="str">
        <f>IFERROR(VLOOKUP($M4660,'Informations sur les produits'!$A$3:$H$10000,8,FALSE),"0")</f>
        <v>0</v>
      </c>
      <c r="P4660" s="33">
        <f t="shared" si="288"/>
        <v>0</v>
      </c>
      <c r="Q4660" s="31" t="str">
        <f t="shared" si="289"/>
        <v/>
      </c>
      <c r="R4660" s="32" t="str">
        <f>IFERROR(VLOOKUP($D4660,'Informations sur les produits'!$A$3:$B$15000,2,FALSE),"")</f>
        <v/>
      </c>
      <c r="V4660">
        <f t="shared" si="290"/>
        <v>0</v>
      </c>
      <c r="W4660">
        <f t="shared" si="291"/>
        <v>0</v>
      </c>
    </row>
    <row r="4661" spans="5:23" x14ac:dyDescent="0.25">
      <c r="E4661" s="4"/>
      <c r="F4661" s="4"/>
      <c r="G4661" s="33" t="str">
        <f>IFERROR(VLOOKUP($D4661,'Informations sur les produits'!$A$3:$H$10000,8,FALSE),"0")</f>
        <v>0</v>
      </c>
      <c r="K4661" s="4"/>
      <c r="L4661" s="33" t="str">
        <f>IFERROR(VLOOKUP($J4661,'Informations sur les produits'!$A$3:$H$10000,8,FALSE),"0")</f>
        <v>0</v>
      </c>
      <c r="N4661" s="8"/>
      <c r="O4661" s="33" t="str">
        <f>IFERROR(VLOOKUP($M4661,'Informations sur les produits'!$A$3:$H$10000,8,FALSE),"0")</f>
        <v>0</v>
      </c>
      <c r="P4661" s="33">
        <f t="shared" si="288"/>
        <v>0</v>
      </c>
      <c r="Q4661" s="31" t="str">
        <f t="shared" si="289"/>
        <v/>
      </c>
      <c r="R4661" s="32" t="str">
        <f>IFERROR(VLOOKUP($D4661,'Informations sur les produits'!$A$3:$B$15000,2,FALSE),"")</f>
        <v/>
      </c>
      <c r="V4661">
        <f t="shared" si="290"/>
        <v>0</v>
      </c>
      <c r="W4661">
        <f t="shared" si="291"/>
        <v>0</v>
      </c>
    </row>
    <row r="4662" spans="5:23" x14ac:dyDescent="0.25">
      <c r="E4662" s="4"/>
      <c r="F4662" s="4"/>
      <c r="G4662" s="33" t="str">
        <f>IFERROR(VLOOKUP($D4662,'Informations sur les produits'!$A$3:$H$10000,8,FALSE),"0")</f>
        <v>0</v>
      </c>
      <c r="K4662" s="4"/>
      <c r="L4662" s="33" t="str">
        <f>IFERROR(VLOOKUP($J4662,'Informations sur les produits'!$A$3:$H$10000,8,FALSE),"0")</f>
        <v>0</v>
      </c>
      <c r="N4662" s="8"/>
      <c r="O4662" s="33" t="str">
        <f>IFERROR(VLOOKUP($M4662,'Informations sur les produits'!$A$3:$H$10000,8,FALSE),"0")</f>
        <v>0</v>
      </c>
      <c r="P4662" s="33">
        <f t="shared" si="288"/>
        <v>0</v>
      </c>
      <c r="Q4662" s="31" t="str">
        <f t="shared" si="289"/>
        <v/>
      </c>
      <c r="R4662" s="32" t="str">
        <f>IFERROR(VLOOKUP($D4662,'Informations sur les produits'!$A$3:$B$15000,2,FALSE),"")</f>
        <v/>
      </c>
      <c r="V4662">
        <f t="shared" si="290"/>
        <v>0</v>
      </c>
      <c r="W4662">
        <f t="shared" si="291"/>
        <v>0</v>
      </c>
    </row>
    <row r="4663" spans="5:23" x14ac:dyDescent="0.25">
      <c r="E4663" s="4"/>
      <c r="F4663" s="4"/>
      <c r="G4663" s="33" t="str">
        <f>IFERROR(VLOOKUP($D4663,'Informations sur les produits'!$A$3:$H$10000,8,FALSE),"0")</f>
        <v>0</v>
      </c>
      <c r="K4663" s="4"/>
      <c r="L4663" s="33" t="str">
        <f>IFERROR(VLOOKUP($J4663,'Informations sur les produits'!$A$3:$H$10000,8,FALSE),"0")</f>
        <v>0</v>
      </c>
      <c r="N4663" s="8"/>
      <c r="O4663" s="33" t="str">
        <f>IFERROR(VLOOKUP($M4663,'Informations sur les produits'!$A$3:$H$10000,8,FALSE),"0")</f>
        <v>0</v>
      </c>
      <c r="P4663" s="33">
        <f t="shared" si="288"/>
        <v>0</v>
      </c>
      <c r="Q4663" s="31" t="str">
        <f t="shared" si="289"/>
        <v/>
      </c>
      <c r="R4663" s="32" t="str">
        <f>IFERROR(VLOOKUP($D4663,'Informations sur les produits'!$A$3:$B$15000,2,FALSE),"")</f>
        <v/>
      </c>
      <c r="V4663">
        <f t="shared" si="290"/>
        <v>0</v>
      </c>
      <c r="W4663">
        <f t="shared" si="291"/>
        <v>0</v>
      </c>
    </row>
    <row r="4664" spans="5:23" x14ac:dyDescent="0.25">
      <c r="E4664" s="4"/>
      <c r="F4664" s="4"/>
      <c r="G4664" s="33" t="str">
        <f>IFERROR(VLOOKUP($D4664,'Informations sur les produits'!$A$3:$H$10000,8,FALSE),"0")</f>
        <v>0</v>
      </c>
      <c r="K4664" s="4"/>
      <c r="L4664" s="33" t="str">
        <f>IFERROR(VLOOKUP($J4664,'Informations sur les produits'!$A$3:$H$10000,8,FALSE),"0")</f>
        <v>0</v>
      </c>
      <c r="N4664" s="8"/>
      <c r="O4664" s="33" t="str">
        <f>IFERROR(VLOOKUP($M4664,'Informations sur les produits'!$A$3:$H$10000,8,FALSE),"0")</f>
        <v>0</v>
      </c>
      <c r="P4664" s="33">
        <f t="shared" si="288"/>
        <v>0</v>
      </c>
      <c r="Q4664" s="31" t="str">
        <f t="shared" si="289"/>
        <v/>
      </c>
      <c r="R4664" s="32" t="str">
        <f>IFERROR(VLOOKUP($D4664,'Informations sur les produits'!$A$3:$B$15000,2,FALSE),"")</f>
        <v/>
      </c>
      <c r="V4664">
        <f t="shared" si="290"/>
        <v>0</v>
      </c>
      <c r="W4664">
        <f t="shared" si="291"/>
        <v>0</v>
      </c>
    </row>
    <row r="4665" spans="5:23" x14ac:dyDescent="0.25">
      <c r="E4665" s="4"/>
      <c r="F4665" s="4"/>
      <c r="G4665" s="33" t="str">
        <f>IFERROR(VLOOKUP($D4665,'Informations sur les produits'!$A$3:$H$10000,8,FALSE),"0")</f>
        <v>0</v>
      </c>
      <c r="K4665" s="4"/>
      <c r="L4665" s="33" t="str">
        <f>IFERROR(VLOOKUP($J4665,'Informations sur les produits'!$A$3:$H$10000,8,FALSE),"0")</f>
        <v>0</v>
      </c>
      <c r="N4665" s="8"/>
      <c r="O4665" s="33" t="str">
        <f>IFERROR(VLOOKUP($M4665,'Informations sur les produits'!$A$3:$H$10000,8,FALSE),"0")</f>
        <v>0</v>
      </c>
      <c r="P4665" s="33">
        <f t="shared" si="288"/>
        <v>0</v>
      </c>
      <c r="Q4665" s="31" t="str">
        <f t="shared" si="289"/>
        <v/>
      </c>
      <c r="R4665" s="32" t="str">
        <f>IFERROR(VLOOKUP($D4665,'Informations sur les produits'!$A$3:$B$15000,2,FALSE),"")</f>
        <v/>
      </c>
      <c r="V4665">
        <f t="shared" si="290"/>
        <v>0</v>
      </c>
      <c r="W4665">
        <f t="shared" si="291"/>
        <v>0</v>
      </c>
    </row>
    <row r="4666" spans="5:23" x14ac:dyDescent="0.25">
      <c r="E4666" s="4"/>
      <c r="F4666" s="4"/>
      <c r="G4666" s="33" t="str">
        <f>IFERROR(VLOOKUP($D4666,'Informations sur les produits'!$A$3:$H$10000,8,FALSE),"0")</f>
        <v>0</v>
      </c>
      <c r="K4666" s="4"/>
      <c r="L4666" s="33" t="str">
        <f>IFERROR(VLOOKUP($J4666,'Informations sur les produits'!$A$3:$H$10000,8,FALSE),"0")</f>
        <v>0</v>
      </c>
      <c r="N4666" s="8"/>
      <c r="O4666" s="33" t="str">
        <f>IFERROR(VLOOKUP($M4666,'Informations sur les produits'!$A$3:$H$10000,8,FALSE),"0")</f>
        <v>0</v>
      </c>
      <c r="P4666" s="33">
        <f t="shared" si="288"/>
        <v>0</v>
      </c>
      <c r="Q4666" s="31" t="str">
        <f t="shared" si="289"/>
        <v/>
      </c>
      <c r="R4666" s="32" t="str">
        <f>IFERROR(VLOOKUP($D4666,'Informations sur les produits'!$A$3:$B$15000,2,FALSE),"")</f>
        <v/>
      </c>
      <c r="V4666">
        <f t="shared" si="290"/>
        <v>0</v>
      </c>
      <c r="W4666">
        <f t="shared" si="291"/>
        <v>0</v>
      </c>
    </row>
    <row r="4667" spans="5:23" x14ac:dyDescent="0.25">
      <c r="E4667" s="4"/>
      <c r="F4667" s="4"/>
      <c r="G4667" s="33" t="str">
        <f>IFERROR(VLOOKUP($D4667,'Informations sur les produits'!$A$3:$H$10000,8,FALSE),"0")</f>
        <v>0</v>
      </c>
      <c r="K4667" s="4"/>
      <c r="L4667" s="33" t="str">
        <f>IFERROR(VLOOKUP($J4667,'Informations sur les produits'!$A$3:$H$10000,8,FALSE),"0")</f>
        <v>0</v>
      </c>
      <c r="N4667" s="8"/>
      <c r="O4667" s="33" t="str">
        <f>IFERROR(VLOOKUP($M4667,'Informations sur les produits'!$A$3:$H$10000,8,FALSE),"0")</f>
        <v>0</v>
      </c>
      <c r="P4667" s="33">
        <f t="shared" si="288"/>
        <v>0</v>
      </c>
      <c r="Q4667" s="31" t="str">
        <f t="shared" si="289"/>
        <v/>
      </c>
      <c r="R4667" s="32" t="str">
        <f>IFERROR(VLOOKUP($D4667,'Informations sur les produits'!$A$3:$B$15000,2,FALSE),"")</f>
        <v/>
      </c>
      <c r="V4667">
        <f t="shared" si="290"/>
        <v>0</v>
      </c>
      <c r="W4667">
        <f t="shared" si="291"/>
        <v>0</v>
      </c>
    </row>
    <row r="4668" spans="5:23" x14ac:dyDescent="0.25">
      <c r="E4668" s="4"/>
      <c r="F4668" s="4"/>
      <c r="G4668" s="33" t="str">
        <f>IFERROR(VLOOKUP($D4668,'Informations sur les produits'!$A$3:$H$10000,8,FALSE),"0")</f>
        <v>0</v>
      </c>
      <c r="K4668" s="4"/>
      <c r="L4668" s="33" t="str">
        <f>IFERROR(VLOOKUP($J4668,'Informations sur les produits'!$A$3:$H$10000,8,FALSE),"0")</f>
        <v>0</v>
      </c>
      <c r="N4668" s="8"/>
      <c r="O4668" s="33" t="str">
        <f>IFERROR(VLOOKUP($M4668,'Informations sur les produits'!$A$3:$H$10000,8,FALSE),"0")</f>
        <v>0</v>
      </c>
      <c r="P4668" s="33">
        <f t="shared" si="288"/>
        <v>0</v>
      </c>
      <c r="Q4668" s="31" t="str">
        <f t="shared" si="289"/>
        <v/>
      </c>
      <c r="R4668" s="32" t="str">
        <f>IFERROR(VLOOKUP($D4668,'Informations sur les produits'!$A$3:$B$15000,2,FALSE),"")</f>
        <v/>
      </c>
      <c r="V4668">
        <f t="shared" si="290"/>
        <v>0</v>
      </c>
      <c r="W4668">
        <f t="shared" si="291"/>
        <v>0</v>
      </c>
    </row>
    <row r="4669" spans="5:23" x14ac:dyDescent="0.25">
      <c r="E4669" s="4"/>
      <c r="F4669" s="4"/>
      <c r="G4669" s="33" t="str">
        <f>IFERROR(VLOOKUP($D4669,'Informations sur les produits'!$A$3:$H$10000,8,FALSE),"0")</f>
        <v>0</v>
      </c>
      <c r="K4669" s="4"/>
      <c r="L4669" s="33" t="str">
        <f>IFERROR(VLOOKUP($J4669,'Informations sur les produits'!$A$3:$H$10000,8,FALSE),"0")</f>
        <v>0</v>
      </c>
      <c r="N4669" s="8"/>
      <c r="O4669" s="33" t="str">
        <f>IFERROR(VLOOKUP($M4669,'Informations sur les produits'!$A$3:$H$10000,8,FALSE),"0")</f>
        <v>0</v>
      </c>
      <c r="P4669" s="33">
        <f t="shared" si="288"/>
        <v>0</v>
      </c>
      <c r="Q4669" s="31" t="str">
        <f t="shared" si="289"/>
        <v/>
      </c>
      <c r="R4669" s="32" t="str">
        <f>IFERROR(VLOOKUP($D4669,'Informations sur les produits'!$A$3:$B$15000,2,FALSE),"")</f>
        <v/>
      </c>
      <c r="V4669">
        <f t="shared" si="290"/>
        <v>0</v>
      </c>
      <c r="W4669">
        <f t="shared" si="291"/>
        <v>0</v>
      </c>
    </row>
    <row r="4670" spans="5:23" x14ac:dyDescent="0.25">
      <c r="E4670" s="4"/>
      <c r="F4670" s="4"/>
      <c r="G4670" s="33" t="str">
        <f>IFERROR(VLOOKUP($D4670,'Informations sur les produits'!$A$3:$H$10000,8,FALSE),"0")</f>
        <v>0</v>
      </c>
      <c r="K4670" s="4"/>
      <c r="L4670" s="33" t="str">
        <f>IFERROR(VLOOKUP($J4670,'Informations sur les produits'!$A$3:$H$10000,8,FALSE),"0")</f>
        <v>0</v>
      </c>
      <c r="N4670" s="8"/>
      <c r="O4670" s="33" t="str">
        <f>IFERROR(VLOOKUP($M4670,'Informations sur les produits'!$A$3:$H$10000,8,FALSE),"0")</f>
        <v>0</v>
      </c>
      <c r="P4670" s="33">
        <f t="shared" si="288"/>
        <v>0</v>
      </c>
      <c r="Q4670" s="31" t="str">
        <f t="shared" si="289"/>
        <v/>
      </c>
      <c r="R4670" s="32" t="str">
        <f>IFERROR(VLOOKUP($D4670,'Informations sur les produits'!$A$3:$B$15000,2,FALSE),"")</f>
        <v/>
      </c>
      <c r="V4670">
        <f t="shared" si="290"/>
        <v>0</v>
      </c>
      <c r="W4670">
        <f t="shared" si="291"/>
        <v>0</v>
      </c>
    </row>
    <row r="4671" spans="5:23" x14ac:dyDescent="0.25">
      <c r="E4671" s="4"/>
      <c r="F4671" s="4"/>
      <c r="G4671" s="33" t="str">
        <f>IFERROR(VLOOKUP($D4671,'Informations sur les produits'!$A$3:$H$10000,8,FALSE),"0")</f>
        <v>0</v>
      </c>
      <c r="K4671" s="4"/>
      <c r="L4671" s="33" t="str">
        <f>IFERROR(VLOOKUP($J4671,'Informations sur les produits'!$A$3:$H$10000,8,FALSE),"0")</f>
        <v>0</v>
      </c>
      <c r="N4671" s="8"/>
      <c r="O4671" s="33" t="str">
        <f>IFERROR(VLOOKUP($M4671,'Informations sur les produits'!$A$3:$H$10000,8,FALSE),"0")</f>
        <v>0</v>
      </c>
      <c r="P4671" s="33">
        <f t="shared" si="288"/>
        <v>0</v>
      </c>
      <c r="Q4671" s="31" t="str">
        <f t="shared" si="289"/>
        <v/>
      </c>
      <c r="R4671" s="32" t="str">
        <f>IFERROR(VLOOKUP($D4671,'Informations sur les produits'!$A$3:$B$15000,2,FALSE),"")</f>
        <v/>
      </c>
      <c r="V4671">
        <f t="shared" si="290"/>
        <v>0</v>
      </c>
      <c r="W4671">
        <f t="shared" si="291"/>
        <v>0</v>
      </c>
    </row>
    <row r="4672" spans="5:23" x14ac:dyDescent="0.25">
      <c r="E4672" s="4"/>
      <c r="F4672" s="4"/>
      <c r="G4672" s="33" t="str">
        <f>IFERROR(VLOOKUP($D4672,'Informations sur les produits'!$A$3:$H$10000,8,FALSE),"0")</f>
        <v>0</v>
      </c>
      <c r="K4672" s="4"/>
      <c r="L4672" s="33" t="str">
        <f>IFERROR(VLOOKUP($J4672,'Informations sur les produits'!$A$3:$H$10000,8,FALSE),"0")</f>
        <v>0</v>
      </c>
      <c r="N4672" s="8"/>
      <c r="O4672" s="33" t="str">
        <f>IFERROR(VLOOKUP($M4672,'Informations sur les produits'!$A$3:$H$10000,8,FALSE),"0")</f>
        <v>0</v>
      </c>
      <c r="P4672" s="33">
        <f t="shared" si="288"/>
        <v>0</v>
      </c>
      <c r="Q4672" s="31" t="str">
        <f t="shared" si="289"/>
        <v/>
      </c>
      <c r="R4672" s="32" t="str">
        <f>IFERROR(VLOOKUP($D4672,'Informations sur les produits'!$A$3:$B$15000,2,FALSE),"")</f>
        <v/>
      </c>
      <c r="V4672">
        <f t="shared" si="290"/>
        <v>0</v>
      </c>
      <c r="W4672">
        <f t="shared" si="291"/>
        <v>0</v>
      </c>
    </row>
    <row r="4673" spans="5:23" x14ac:dyDescent="0.25">
      <c r="E4673" s="4"/>
      <c r="F4673" s="4"/>
      <c r="G4673" s="33" t="str">
        <f>IFERROR(VLOOKUP($D4673,'Informations sur les produits'!$A$3:$H$10000,8,FALSE),"0")</f>
        <v>0</v>
      </c>
      <c r="K4673" s="4"/>
      <c r="L4673" s="33" t="str">
        <f>IFERROR(VLOOKUP($J4673,'Informations sur les produits'!$A$3:$H$10000,8,FALSE),"0")</f>
        <v>0</v>
      </c>
      <c r="N4673" s="8"/>
      <c r="O4673" s="33" t="str">
        <f>IFERROR(VLOOKUP($M4673,'Informations sur les produits'!$A$3:$H$10000,8,FALSE),"0")</f>
        <v>0</v>
      </c>
      <c r="P4673" s="33">
        <f t="shared" si="288"/>
        <v>0</v>
      </c>
      <c r="Q4673" s="31" t="str">
        <f t="shared" si="289"/>
        <v/>
      </c>
      <c r="R4673" s="32" t="str">
        <f>IFERROR(VLOOKUP($D4673,'Informations sur les produits'!$A$3:$B$15000,2,FALSE),"")</f>
        <v/>
      </c>
      <c r="V4673">
        <f t="shared" si="290"/>
        <v>0</v>
      </c>
      <c r="W4673">
        <f t="shared" si="291"/>
        <v>0</v>
      </c>
    </row>
    <row r="4674" spans="5:23" x14ac:dyDescent="0.25">
      <c r="E4674" s="4"/>
      <c r="F4674" s="4"/>
      <c r="G4674" s="33" t="str">
        <f>IFERROR(VLOOKUP($D4674,'Informations sur les produits'!$A$3:$H$10000,8,FALSE),"0")</f>
        <v>0</v>
      </c>
      <c r="K4674" s="4"/>
      <c r="L4674" s="33" t="str">
        <f>IFERROR(VLOOKUP($J4674,'Informations sur les produits'!$A$3:$H$10000,8,FALSE),"0")</f>
        <v>0</v>
      </c>
      <c r="N4674" s="8"/>
      <c r="O4674" s="33" t="str">
        <f>IFERROR(VLOOKUP($M4674,'Informations sur les produits'!$A$3:$H$10000,8,FALSE),"0")</f>
        <v>0</v>
      </c>
      <c r="P4674" s="33">
        <f t="shared" si="288"/>
        <v>0</v>
      </c>
      <c r="Q4674" s="31" t="str">
        <f t="shared" si="289"/>
        <v/>
      </c>
      <c r="R4674" s="32" t="str">
        <f>IFERROR(VLOOKUP($D4674,'Informations sur les produits'!$A$3:$B$15000,2,FALSE),"")</f>
        <v/>
      </c>
      <c r="V4674">
        <f t="shared" si="290"/>
        <v>0</v>
      </c>
      <c r="W4674">
        <f t="shared" si="291"/>
        <v>0</v>
      </c>
    </row>
    <row r="4675" spans="5:23" x14ac:dyDescent="0.25">
      <c r="E4675" s="4"/>
      <c r="F4675" s="4"/>
      <c r="G4675" s="33" t="str">
        <f>IFERROR(VLOOKUP($D4675,'Informations sur les produits'!$A$3:$H$10000,8,FALSE),"0")</f>
        <v>0</v>
      </c>
      <c r="K4675" s="4"/>
      <c r="L4675" s="33" t="str">
        <f>IFERROR(VLOOKUP($J4675,'Informations sur les produits'!$A$3:$H$10000,8,FALSE),"0")</f>
        <v>0</v>
      </c>
      <c r="N4675" s="8"/>
      <c r="O4675" s="33" t="str">
        <f>IFERROR(VLOOKUP($M4675,'Informations sur les produits'!$A$3:$H$10000,8,FALSE),"0")</f>
        <v>0</v>
      </c>
      <c r="P4675" s="33">
        <f t="shared" si="288"/>
        <v>0</v>
      </c>
      <c r="Q4675" s="31" t="str">
        <f t="shared" si="289"/>
        <v/>
      </c>
      <c r="R4675" s="32" t="str">
        <f>IFERROR(VLOOKUP($D4675,'Informations sur les produits'!$A$3:$B$15000,2,FALSE),"")</f>
        <v/>
      </c>
      <c r="V4675">
        <f t="shared" si="290"/>
        <v>0</v>
      </c>
      <c r="W4675">
        <f t="shared" si="291"/>
        <v>0</v>
      </c>
    </row>
    <row r="4676" spans="5:23" x14ac:dyDescent="0.25">
      <c r="E4676" s="4"/>
      <c r="F4676" s="4"/>
      <c r="G4676" s="33" t="str">
        <f>IFERROR(VLOOKUP($D4676,'Informations sur les produits'!$A$3:$H$10000,8,FALSE),"0")</f>
        <v>0</v>
      </c>
      <c r="K4676" s="4"/>
      <c r="L4676" s="33" t="str">
        <f>IFERROR(VLOOKUP($J4676,'Informations sur les produits'!$A$3:$H$10000,8,FALSE),"0")</f>
        <v>0</v>
      </c>
      <c r="N4676" s="8"/>
      <c r="O4676" s="33" t="str">
        <f>IFERROR(VLOOKUP($M4676,'Informations sur les produits'!$A$3:$H$10000,8,FALSE),"0")</f>
        <v>0</v>
      </c>
      <c r="P4676" s="33">
        <f t="shared" ref="P4676:P4739" si="292">IFERROR((($E4676-$F4676)*$G4676+$K4676*$L4676+$N4676*$O4676),"")</f>
        <v>0</v>
      </c>
      <c r="Q4676" s="31" t="str">
        <f t="shared" ref="Q4676:Q4739" si="293">IFERROR((((($E4676-$F4676)*$G4676+$K4676*$L4676+$N4676*$O4676)*1000)/(($E4676-$F4676)+$K4676+$N4676)),"")</f>
        <v/>
      </c>
      <c r="R4676" s="32" t="str">
        <f>IFERROR(VLOOKUP($D4676,'Informations sur les produits'!$A$3:$B$15000,2,FALSE),"")</f>
        <v/>
      </c>
      <c r="V4676">
        <f t="shared" ref="V4676:V4739" si="294">IFERROR(P4676*1000,"")</f>
        <v>0</v>
      </c>
      <c r="W4676">
        <f t="shared" ref="W4676:W4739" si="295">IFERROR(($E4676-$F4676)+$K4676+$N4676,"")</f>
        <v>0</v>
      </c>
    </row>
    <row r="4677" spans="5:23" x14ac:dyDescent="0.25">
      <c r="E4677" s="4"/>
      <c r="F4677" s="4"/>
      <c r="G4677" s="33" t="str">
        <f>IFERROR(VLOOKUP($D4677,'Informations sur les produits'!$A$3:$H$10000,8,FALSE),"0")</f>
        <v>0</v>
      </c>
      <c r="K4677" s="4"/>
      <c r="L4677" s="33" t="str">
        <f>IFERROR(VLOOKUP($J4677,'Informations sur les produits'!$A$3:$H$10000,8,FALSE),"0")</f>
        <v>0</v>
      </c>
      <c r="N4677" s="8"/>
      <c r="O4677" s="33" t="str">
        <f>IFERROR(VLOOKUP($M4677,'Informations sur les produits'!$A$3:$H$10000,8,FALSE),"0")</f>
        <v>0</v>
      </c>
      <c r="P4677" s="33">
        <f t="shared" si="292"/>
        <v>0</v>
      </c>
      <c r="Q4677" s="31" t="str">
        <f t="shared" si="293"/>
        <v/>
      </c>
      <c r="R4677" s="32" t="str">
        <f>IFERROR(VLOOKUP($D4677,'Informations sur les produits'!$A$3:$B$15000,2,FALSE),"")</f>
        <v/>
      </c>
      <c r="V4677">
        <f t="shared" si="294"/>
        <v>0</v>
      </c>
      <c r="W4677">
        <f t="shared" si="295"/>
        <v>0</v>
      </c>
    </row>
    <row r="4678" spans="5:23" x14ac:dyDescent="0.25">
      <c r="E4678" s="4"/>
      <c r="F4678" s="4"/>
      <c r="G4678" s="33" t="str">
        <f>IFERROR(VLOOKUP($D4678,'Informations sur les produits'!$A$3:$H$10000,8,FALSE),"0")</f>
        <v>0</v>
      </c>
      <c r="K4678" s="4"/>
      <c r="L4678" s="33" t="str">
        <f>IFERROR(VLOOKUP($J4678,'Informations sur les produits'!$A$3:$H$10000,8,FALSE),"0")</f>
        <v>0</v>
      </c>
      <c r="N4678" s="8"/>
      <c r="O4678" s="33" t="str">
        <f>IFERROR(VLOOKUP($M4678,'Informations sur les produits'!$A$3:$H$10000,8,FALSE),"0")</f>
        <v>0</v>
      </c>
      <c r="P4678" s="33">
        <f t="shared" si="292"/>
        <v>0</v>
      </c>
      <c r="Q4678" s="31" t="str">
        <f t="shared" si="293"/>
        <v/>
      </c>
      <c r="R4678" s="32" t="str">
        <f>IFERROR(VLOOKUP($D4678,'Informations sur les produits'!$A$3:$B$15000,2,FALSE),"")</f>
        <v/>
      </c>
      <c r="V4678">
        <f t="shared" si="294"/>
        <v>0</v>
      </c>
      <c r="W4678">
        <f t="shared" si="295"/>
        <v>0</v>
      </c>
    </row>
    <row r="4679" spans="5:23" x14ac:dyDescent="0.25">
      <c r="E4679" s="4"/>
      <c r="F4679" s="4"/>
      <c r="G4679" s="33" t="str">
        <f>IFERROR(VLOOKUP($D4679,'Informations sur les produits'!$A$3:$H$10000,8,FALSE),"0")</f>
        <v>0</v>
      </c>
      <c r="K4679" s="4"/>
      <c r="L4679" s="33" t="str">
        <f>IFERROR(VLOOKUP($J4679,'Informations sur les produits'!$A$3:$H$10000,8,FALSE),"0")</f>
        <v>0</v>
      </c>
      <c r="N4679" s="8"/>
      <c r="O4679" s="33" t="str">
        <f>IFERROR(VLOOKUP($M4679,'Informations sur les produits'!$A$3:$H$10000,8,FALSE),"0")</f>
        <v>0</v>
      </c>
      <c r="P4679" s="33">
        <f t="shared" si="292"/>
        <v>0</v>
      </c>
      <c r="Q4679" s="31" t="str">
        <f t="shared" si="293"/>
        <v/>
      </c>
      <c r="R4679" s="32" t="str">
        <f>IFERROR(VLOOKUP($D4679,'Informations sur les produits'!$A$3:$B$15000,2,FALSE),"")</f>
        <v/>
      </c>
      <c r="V4679">
        <f t="shared" si="294"/>
        <v>0</v>
      </c>
      <c r="W4679">
        <f t="shared" si="295"/>
        <v>0</v>
      </c>
    </row>
    <row r="4680" spans="5:23" x14ac:dyDescent="0.25">
      <c r="E4680" s="4"/>
      <c r="F4680" s="4"/>
      <c r="G4680" s="33" t="str">
        <f>IFERROR(VLOOKUP($D4680,'Informations sur les produits'!$A$3:$H$10000,8,FALSE),"0")</f>
        <v>0</v>
      </c>
      <c r="K4680" s="4"/>
      <c r="L4680" s="33" t="str">
        <f>IFERROR(VLOOKUP($J4680,'Informations sur les produits'!$A$3:$H$10000,8,FALSE),"0")</f>
        <v>0</v>
      </c>
      <c r="N4680" s="8"/>
      <c r="O4680" s="33" t="str">
        <f>IFERROR(VLOOKUP($M4680,'Informations sur les produits'!$A$3:$H$10000,8,FALSE),"0")</f>
        <v>0</v>
      </c>
      <c r="P4680" s="33">
        <f t="shared" si="292"/>
        <v>0</v>
      </c>
      <c r="Q4680" s="31" t="str">
        <f t="shared" si="293"/>
        <v/>
      </c>
      <c r="R4680" s="32" t="str">
        <f>IFERROR(VLOOKUP($D4680,'Informations sur les produits'!$A$3:$B$15000,2,FALSE),"")</f>
        <v/>
      </c>
      <c r="V4680">
        <f t="shared" si="294"/>
        <v>0</v>
      </c>
      <c r="W4680">
        <f t="shared" si="295"/>
        <v>0</v>
      </c>
    </row>
    <row r="4681" spans="5:23" x14ac:dyDescent="0.25">
      <c r="E4681" s="4"/>
      <c r="F4681" s="4"/>
      <c r="G4681" s="33" t="str">
        <f>IFERROR(VLOOKUP($D4681,'Informations sur les produits'!$A$3:$H$10000,8,FALSE),"0")</f>
        <v>0</v>
      </c>
      <c r="K4681" s="4"/>
      <c r="L4681" s="33" t="str">
        <f>IFERROR(VLOOKUP($J4681,'Informations sur les produits'!$A$3:$H$10000,8,FALSE),"0")</f>
        <v>0</v>
      </c>
      <c r="N4681" s="8"/>
      <c r="O4681" s="33" t="str">
        <f>IFERROR(VLOOKUP($M4681,'Informations sur les produits'!$A$3:$H$10000,8,FALSE),"0")</f>
        <v>0</v>
      </c>
      <c r="P4681" s="33">
        <f t="shared" si="292"/>
        <v>0</v>
      </c>
      <c r="Q4681" s="31" t="str">
        <f t="shared" si="293"/>
        <v/>
      </c>
      <c r="R4681" s="32" t="str">
        <f>IFERROR(VLOOKUP($D4681,'Informations sur les produits'!$A$3:$B$15000,2,FALSE),"")</f>
        <v/>
      </c>
      <c r="V4681">
        <f t="shared" si="294"/>
        <v>0</v>
      </c>
      <c r="W4681">
        <f t="shared" si="295"/>
        <v>0</v>
      </c>
    </row>
    <row r="4682" spans="5:23" x14ac:dyDescent="0.25">
      <c r="E4682" s="4"/>
      <c r="F4682" s="4"/>
      <c r="G4682" s="33" t="str">
        <f>IFERROR(VLOOKUP($D4682,'Informations sur les produits'!$A$3:$H$10000,8,FALSE),"0")</f>
        <v>0</v>
      </c>
      <c r="K4682" s="4"/>
      <c r="L4682" s="33" t="str">
        <f>IFERROR(VLOOKUP($J4682,'Informations sur les produits'!$A$3:$H$10000,8,FALSE),"0")</f>
        <v>0</v>
      </c>
      <c r="N4682" s="8"/>
      <c r="O4682" s="33" t="str">
        <f>IFERROR(VLOOKUP($M4682,'Informations sur les produits'!$A$3:$H$10000,8,FALSE),"0")</f>
        <v>0</v>
      </c>
      <c r="P4682" s="33">
        <f t="shared" si="292"/>
        <v>0</v>
      </c>
      <c r="Q4682" s="31" t="str">
        <f t="shared" si="293"/>
        <v/>
      </c>
      <c r="R4682" s="32" t="str">
        <f>IFERROR(VLOOKUP($D4682,'Informations sur les produits'!$A$3:$B$15000,2,FALSE),"")</f>
        <v/>
      </c>
      <c r="V4682">
        <f t="shared" si="294"/>
        <v>0</v>
      </c>
      <c r="W4682">
        <f t="shared" si="295"/>
        <v>0</v>
      </c>
    </row>
    <row r="4683" spans="5:23" x14ac:dyDescent="0.25">
      <c r="E4683" s="4"/>
      <c r="F4683" s="4"/>
      <c r="G4683" s="33" t="str">
        <f>IFERROR(VLOOKUP($D4683,'Informations sur les produits'!$A$3:$H$10000,8,FALSE),"0")</f>
        <v>0</v>
      </c>
      <c r="K4683" s="4"/>
      <c r="L4683" s="33" t="str">
        <f>IFERROR(VLOOKUP($J4683,'Informations sur les produits'!$A$3:$H$10000,8,FALSE),"0")</f>
        <v>0</v>
      </c>
      <c r="N4683" s="8"/>
      <c r="O4683" s="33" t="str">
        <f>IFERROR(VLOOKUP($M4683,'Informations sur les produits'!$A$3:$H$10000,8,FALSE),"0")</f>
        <v>0</v>
      </c>
      <c r="P4683" s="33">
        <f t="shared" si="292"/>
        <v>0</v>
      </c>
      <c r="Q4683" s="31" t="str">
        <f t="shared" si="293"/>
        <v/>
      </c>
      <c r="R4683" s="32" t="str">
        <f>IFERROR(VLOOKUP($D4683,'Informations sur les produits'!$A$3:$B$15000,2,FALSE),"")</f>
        <v/>
      </c>
      <c r="V4683">
        <f t="shared" si="294"/>
        <v>0</v>
      </c>
      <c r="W4683">
        <f t="shared" si="295"/>
        <v>0</v>
      </c>
    </row>
    <row r="4684" spans="5:23" x14ac:dyDescent="0.25">
      <c r="E4684" s="4"/>
      <c r="F4684" s="4"/>
      <c r="G4684" s="33" t="str">
        <f>IFERROR(VLOOKUP($D4684,'Informations sur les produits'!$A$3:$H$10000,8,FALSE),"0")</f>
        <v>0</v>
      </c>
      <c r="K4684" s="4"/>
      <c r="L4684" s="33" t="str">
        <f>IFERROR(VLOOKUP($J4684,'Informations sur les produits'!$A$3:$H$10000,8,FALSE),"0")</f>
        <v>0</v>
      </c>
      <c r="N4684" s="8"/>
      <c r="O4684" s="33" t="str">
        <f>IFERROR(VLOOKUP($M4684,'Informations sur les produits'!$A$3:$H$10000,8,FALSE),"0")</f>
        <v>0</v>
      </c>
      <c r="P4684" s="33">
        <f t="shared" si="292"/>
        <v>0</v>
      </c>
      <c r="Q4684" s="31" t="str">
        <f t="shared" si="293"/>
        <v/>
      </c>
      <c r="R4684" s="32" t="str">
        <f>IFERROR(VLOOKUP($D4684,'Informations sur les produits'!$A$3:$B$15000,2,FALSE),"")</f>
        <v/>
      </c>
      <c r="V4684">
        <f t="shared" si="294"/>
        <v>0</v>
      </c>
      <c r="W4684">
        <f t="shared" si="295"/>
        <v>0</v>
      </c>
    </row>
    <row r="4685" spans="5:23" x14ac:dyDescent="0.25">
      <c r="E4685" s="4"/>
      <c r="F4685" s="4"/>
      <c r="G4685" s="33" t="str">
        <f>IFERROR(VLOOKUP($D4685,'Informations sur les produits'!$A$3:$H$10000,8,FALSE),"0")</f>
        <v>0</v>
      </c>
      <c r="K4685" s="4"/>
      <c r="L4685" s="33" t="str">
        <f>IFERROR(VLOOKUP($J4685,'Informations sur les produits'!$A$3:$H$10000,8,FALSE),"0")</f>
        <v>0</v>
      </c>
      <c r="N4685" s="8"/>
      <c r="O4685" s="33" t="str">
        <f>IFERROR(VLOOKUP($M4685,'Informations sur les produits'!$A$3:$H$10000,8,FALSE),"0")</f>
        <v>0</v>
      </c>
      <c r="P4685" s="33">
        <f t="shared" si="292"/>
        <v>0</v>
      </c>
      <c r="Q4685" s="31" t="str">
        <f t="shared" si="293"/>
        <v/>
      </c>
      <c r="R4685" s="32" t="str">
        <f>IFERROR(VLOOKUP($D4685,'Informations sur les produits'!$A$3:$B$15000,2,FALSE),"")</f>
        <v/>
      </c>
      <c r="V4685">
        <f t="shared" si="294"/>
        <v>0</v>
      </c>
      <c r="W4685">
        <f t="shared" si="295"/>
        <v>0</v>
      </c>
    </row>
    <row r="4686" spans="5:23" x14ac:dyDescent="0.25">
      <c r="E4686" s="4"/>
      <c r="F4686" s="4"/>
      <c r="G4686" s="33" t="str">
        <f>IFERROR(VLOOKUP($D4686,'Informations sur les produits'!$A$3:$H$10000,8,FALSE),"0")</f>
        <v>0</v>
      </c>
      <c r="K4686" s="4"/>
      <c r="L4686" s="33" t="str">
        <f>IFERROR(VLOOKUP($J4686,'Informations sur les produits'!$A$3:$H$10000,8,FALSE),"0")</f>
        <v>0</v>
      </c>
      <c r="N4686" s="8"/>
      <c r="O4686" s="33" t="str">
        <f>IFERROR(VLOOKUP($M4686,'Informations sur les produits'!$A$3:$H$10000,8,FALSE),"0")</f>
        <v>0</v>
      </c>
      <c r="P4686" s="33">
        <f t="shared" si="292"/>
        <v>0</v>
      </c>
      <c r="Q4686" s="31" t="str">
        <f t="shared" si="293"/>
        <v/>
      </c>
      <c r="R4686" s="32" t="str">
        <f>IFERROR(VLOOKUP($D4686,'Informations sur les produits'!$A$3:$B$15000,2,FALSE),"")</f>
        <v/>
      </c>
      <c r="V4686">
        <f t="shared" si="294"/>
        <v>0</v>
      </c>
      <c r="W4686">
        <f t="shared" si="295"/>
        <v>0</v>
      </c>
    </row>
    <row r="4687" spans="5:23" x14ac:dyDescent="0.25">
      <c r="E4687" s="4"/>
      <c r="F4687" s="4"/>
      <c r="G4687" s="33" t="str">
        <f>IFERROR(VLOOKUP($D4687,'Informations sur les produits'!$A$3:$H$10000,8,FALSE),"0")</f>
        <v>0</v>
      </c>
      <c r="K4687" s="4"/>
      <c r="L4687" s="33" t="str">
        <f>IFERROR(VLOOKUP($J4687,'Informations sur les produits'!$A$3:$H$10000,8,FALSE),"0")</f>
        <v>0</v>
      </c>
      <c r="N4687" s="8"/>
      <c r="O4687" s="33" t="str">
        <f>IFERROR(VLOOKUP($M4687,'Informations sur les produits'!$A$3:$H$10000,8,FALSE),"0")</f>
        <v>0</v>
      </c>
      <c r="P4687" s="33">
        <f t="shared" si="292"/>
        <v>0</v>
      </c>
      <c r="Q4687" s="31" t="str">
        <f t="shared" si="293"/>
        <v/>
      </c>
      <c r="R4687" s="32" t="str">
        <f>IFERROR(VLOOKUP($D4687,'Informations sur les produits'!$A$3:$B$15000,2,FALSE),"")</f>
        <v/>
      </c>
      <c r="V4687">
        <f t="shared" si="294"/>
        <v>0</v>
      </c>
      <c r="W4687">
        <f t="shared" si="295"/>
        <v>0</v>
      </c>
    </row>
    <row r="4688" spans="5:23" x14ac:dyDescent="0.25">
      <c r="E4688" s="4"/>
      <c r="F4688" s="4"/>
      <c r="G4688" s="33" t="str">
        <f>IFERROR(VLOOKUP($D4688,'Informations sur les produits'!$A$3:$H$10000,8,FALSE),"0")</f>
        <v>0</v>
      </c>
      <c r="K4688" s="4"/>
      <c r="L4688" s="33" t="str">
        <f>IFERROR(VLOOKUP($J4688,'Informations sur les produits'!$A$3:$H$10000,8,FALSE),"0")</f>
        <v>0</v>
      </c>
      <c r="N4688" s="8"/>
      <c r="O4688" s="33" t="str">
        <f>IFERROR(VLOOKUP($M4688,'Informations sur les produits'!$A$3:$H$10000,8,FALSE),"0")</f>
        <v>0</v>
      </c>
      <c r="P4688" s="33">
        <f t="shared" si="292"/>
        <v>0</v>
      </c>
      <c r="Q4688" s="31" t="str">
        <f t="shared" si="293"/>
        <v/>
      </c>
      <c r="R4688" s="32" t="str">
        <f>IFERROR(VLOOKUP($D4688,'Informations sur les produits'!$A$3:$B$15000,2,FALSE),"")</f>
        <v/>
      </c>
      <c r="V4688">
        <f t="shared" si="294"/>
        <v>0</v>
      </c>
      <c r="W4688">
        <f t="shared" si="295"/>
        <v>0</v>
      </c>
    </row>
    <row r="4689" spans="5:23" x14ac:dyDescent="0.25">
      <c r="E4689" s="4"/>
      <c r="F4689" s="4"/>
      <c r="G4689" s="33" t="str">
        <f>IFERROR(VLOOKUP($D4689,'Informations sur les produits'!$A$3:$H$10000,8,FALSE),"0")</f>
        <v>0</v>
      </c>
      <c r="K4689" s="4"/>
      <c r="L4689" s="33" t="str">
        <f>IFERROR(VLOOKUP($J4689,'Informations sur les produits'!$A$3:$H$10000,8,FALSE),"0")</f>
        <v>0</v>
      </c>
      <c r="N4689" s="8"/>
      <c r="O4689" s="33" t="str">
        <f>IFERROR(VLOOKUP($M4689,'Informations sur les produits'!$A$3:$H$10000,8,FALSE),"0")</f>
        <v>0</v>
      </c>
      <c r="P4689" s="33">
        <f t="shared" si="292"/>
        <v>0</v>
      </c>
      <c r="Q4689" s="31" t="str">
        <f t="shared" si="293"/>
        <v/>
      </c>
      <c r="R4689" s="32" t="str">
        <f>IFERROR(VLOOKUP($D4689,'Informations sur les produits'!$A$3:$B$15000,2,FALSE),"")</f>
        <v/>
      </c>
      <c r="V4689">
        <f t="shared" si="294"/>
        <v>0</v>
      </c>
      <c r="W4689">
        <f t="shared" si="295"/>
        <v>0</v>
      </c>
    </row>
    <row r="4690" spans="5:23" x14ac:dyDescent="0.25">
      <c r="E4690" s="4"/>
      <c r="F4690" s="4"/>
      <c r="G4690" s="33" t="str">
        <f>IFERROR(VLOOKUP($D4690,'Informations sur les produits'!$A$3:$H$10000,8,FALSE),"0")</f>
        <v>0</v>
      </c>
      <c r="K4690" s="4"/>
      <c r="L4690" s="33" t="str">
        <f>IFERROR(VLOOKUP($J4690,'Informations sur les produits'!$A$3:$H$10000,8,FALSE),"0")</f>
        <v>0</v>
      </c>
      <c r="N4690" s="8"/>
      <c r="O4690" s="33" t="str">
        <f>IFERROR(VLOOKUP($M4690,'Informations sur les produits'!$A$3:$H$10000,8,FALSE),"0")</f>
        <v>0</v>
      </c>
      <c r="P4690" s="33">
        <f t="shared" si="292"/>
        <v>0</v>
      </c>
      <c r="Q4690" s="31" t="str">
        <f t="shared" si="293"/>
        <v/>
      </c>
      <c r="R4690" s="32" t="str">
        <f>IFERROR(VLOOKUP($D4690,'Informations sur les produits'!$A$3:$B$15000,2,FALSE),"")</f>
        <v/>
      </c>
      <c r="V4690">
        <f t="shared" si="294"/>
        <v>0</v>
      </c>
      <c r="W4690">
        <f t="shared" si="295"/>
        <v>0</v>
      </c>
    </row>
    <row r="4691" spans="5:23" x14ac:dyDescent="0.25">
      <c r="E4691" s="4"/>
      <c r="F4691" s="4"/>
      <c r="G4691" s="33" t="str">
        <f>IFERROR(VLOOKUP($D4691,'Informations sur les produits'!$A$3:$H$10000,8,FALSE),"0")</f>
        <v>0</v>
      </c>
      <c r="K4691" s="4"/>
      <c r="L4691" s="33" t="str">
        <f>IFERROR(VLOOKUP($J4691,'Informations sur les produits'!$A$3:$H$10000,8,FALSE),"0")</f>
        <v>0</v>
      </c>
      <c r="N4691" s="8"/>
      <c r="O4691" s="33" t="str">
        <f>IFERROR(VLOOKUP($M4691,'Informations sur les produits'!$A$3:$H$10000,8,FALSE),"0")</f>
        <v>0</v>
      </c>
      <c r="P4691" s="33">
        <f t="shared" si="292"/>
        <v>0</v>
      </c>
      <c r="Q4691" s="31" t="str">
        <f t="shared" si="293"/>
        <v/>
      </c>
      <c r="R4691" s="32" t="str">
        <f>IFERROR(VLOOKUP($D4691,'Informations sur les produits'!$A$3:$B$15000,2,FALSE),"")</f>
        <v/>
      </c>
      <c r="V4691">
        <f t="shared" si="294"/>
        <v>0</v>
      </c>
      <c r="W4691">
        <f t="shared" si="295"/>
        <v>0</v>
      </c>
    </row>
    <row r="4692" spans="5:23" x14ac:dyDescent="0.25">
      <c r="E4692" s="4"/>
      <c r="F4692" s="4"/>
      <c r="G4692" s="33" t="str">
        <f>IFERROR(VLOOKUP($D4692,'Informations sur les produits'!$A$3:$H$10000,8,FALSE),"0")</f>
        <v>0</v>
      </c>
      <c r="K4692" s="4"/>
      <c r="L4692" s="33" t="str">
        <f>IFERROR(VLOOKUP($J4692,'Informations sur les produits'!$A$3:$H$10000,8,FALSE),"0")</f>
        <v>0</v>
      </c>
      <c r="N4692" s="8"/>
      <c r="O4692" s="33" t="str">
        <f>IFERROR(VLOOKUP($M4692,'Informations sur les produits'!$A$3:$H$10000,8,FALSE),"0")</f>
        <v>0</v>
      </c>
      <c r="P4692" s="33">
        <f t="shared" si="292"/>
        <v>0</v>
      </c>
      <c r="Q4692" s="31" t="str">
        <f t="shared" si="293"/>
        <v/>
      </c>
      <c r="R4692" s="32" t="str">
        <f>IFERROR(VLOOKUP($D4692,'Informations sur les produits'!$A$3:$B$15000,2,FALSE),"")</f>
        <v/>
      </c>
      <c r="V4692">
        <f t="shared" si="294"/>
        <v>0</v>
      </c>
      <c r="W4692">
        <f t="shared" si="295"/>
        <v>0</v>
      </c>
    </row>
    <row r="4693" spans="5:23" x14ac:dyDescent="0.25">
      <c r="E4693" s="4"/>
      <c r="F4693" s="4"/>
      <c r="G4693" s="33" t="str">
        <f>IFERROR(VLOOKUP($D4693,'Informations sur les produits'!$A$3:$H$10000,8,FALSE),"0")</f>
        <v>0</v>
      </c>
      <c r="K4693" s="4"/>
      <c r="L4693" s="33" t="str">
        <f>IFERROR(VLOOKUP($J4693,'Informations sur les produits'!$A$3:$H$10000,8,FALSE),"0")</f>
        <v>0</v>
      </c>
      <c r="N4693" s="8"/>
      <c r="O4693" s="33" t="str">
        <f>IFERROR(VLOOKUP($M4693,'Informations sur les produits'!$A$3:$H$10000,8,FALSE),"0")</f>
        <v>0</v>
      </c>
      <c r="P4693" s="33">
        <f t="shared" si="292"/>
        <v>0</v>
      </c>
      <c r="Q4693" s="31" t="str">
        <f t="shared" si="293"/>
        <v/>
      </c>
      <c r="R4693" s="32" t="str">
        <f>IFERROR(VLOOKUP($D4693,'Informations sur les produits'!$A$3:$B$15000,2,FALSE),"")</f>
        <v/>
      </c>
      <c r="V4693">
        <f t="shared" si="294"/>
        <v>0</v>
      </c>
      <c r="W4693">
        <f t="shared" si="295"/>
        <v>0</v>
      </c>
    </row>
    <row r="4694" spans="5:23" x14ac:dyDescent="0.25">
      <c r="E4694" s="4"/>
      <c r="F4694" s="4"/>
      <c r="G4694" s="33" t="str">
        <f>IFERROR(VLOOKUP($D4694,'Informations sur les produits'!$A$3:$H$10000,8,FALSE),"0")</f>
        <v>0</v>
      </c>
      <c r="K4694" s="4"/>
      <c r="L4694" s="33" t="str">
        <f>IFERROR(VLOOKUP($J4694,'Informations sur les produits'!$A$3:$H$10000,8,FALSE),"0")</f>
        <v>0</v>
      </c>
      <c r="N4694" s="8"/>
      <c r="O4694" s="33" t="str">
        <f>IFERROR(VLOOKUP($M4694,'Informations sur les produits'!$A$3:$H$10000,8,FALSE),"0")</f>
        <v>0</v>
      </c>
      <c r="P4694" s="33">
        <f t="shared" si="292"/>
        <v>0</v>
      </c>
      <c r="Q4694" s="31" t="str">
        <f t="shared" si="293"/>
        <v/>
      </c>
      <c r="R4694" s="32" t="str">
        <f>IFERROR(VLOOKUP($D4694,'Informations sur les produits'!$A$3:$B$15000,2,FALSE),"")</f>
        <v/>
      </c>
      <c r="V4694">
        <f t="shared" si="294"/>
        <v>0</v>
      </c>
      <c r="W4694">
        <f t="shared" si="295"/>
        <v>0</v>
      </c>
    </row>
    <row r="4695" spans="5:23" x14ac:dyDescent="0.25">
      <c r="E4695" s="4"/>
      <c r="F4695" s="4"/>
      <c r="G4695" s="33" t="str">
        <f>IFERROR(VLOOKUP($D4695,'Informations sur les produits'!$A$3:$H$10000,8,FALSE),"0")</f>
        <v>0</v>
      </c>
      <c r="K4695" s="4"/>
      <c r="L4695" s="33" t="str">
        <f>IFERROR(VLOOKUP($J4695,'Informations sur les produits'!$A$3:$H$10000,8,FALSE),"0")</f>
        <v>0</v>
      </c>
      <c r="N4695" s="8"/>
      <c r="O4695" s="33" t="str">
        <f>IFERROR(VLOOKUP($M4695,'Informations sur les produits'!$A$3:$H$10000,8,FALSE),"0")</f>
        <v>0</v>
      </c>
      <c r="P4695" s="33">
        <f t="shared" si="292"/>
        <v>0</v>
      </c>
      <c r="Q4695" s="31" t="str">
        <f t="shared" si="293"/>
        <v/>
      </c>
      <c r="R4695" s="32" t="str">
        <f>IFERROR(VLOOKUP($D4695,'Informations sur les produits'!$A$3:$B$15000,2,FALSE),"")</f>
        <v/>
      </c>
      <c r="V4695">
        <f t="shared" si="294"/>
        <v>0</v>
      </c>
      <c r="W4695">
        <f t="shared" si="295"/>
        <v>0</v>
      </c>
    </row>
    <row r="4696" spans="5:23" x14ac:dyDescent="0.25">
      <c r="E4696" s="4"/>
      <c r="F4696" s="4"/>
      <c r="G4696" s="33" t="str">
        <f>IFERROR(VLOOKUP($D4696,'Informations sur les produits'!$A$3:$H$10000,8,FALSE),"0")</f>
        <v>0</v>
      </c>
      <c r="K4696" s="4"/>
      <c r="L4696" s="33" t="str">
        <f>IFERROR(VLOOKUP($J4696,'Informations sur les produits'!$A$3:$H$10000,8,FALSE),"0")</f>
        <v>0</v>
      </c>
      <c r="N4696" s="8"/>
      <c r="O4696" s="33" t="str">
        <f>IFERROR(VLOOKUP($M4696,'Informations sur les produits'!$A$3:$H$10000,8,FALSE),"0")</f>
        <v>0</v>
      </c>
      <c r="P4696" s="33">
        <f t="shared" si="292"/>
        <v>0</v>
      </c>
      <c r="Q4696" s="31" t="str">
        <f t="shared" si="293"/>
        <v/>
      </c>
      <c r="R4696" s="32" t="str">
        <f>IFERROR(VLOOKUP($D4696,'Informations sur les produits'!$A$3:$B$15000,2,FALSE),"")</f>
        <v/>
      </c>
      <c r="V4696">
        <f t="shared" si="294"/>
        <v>0</v>
      </c>
      <c r="W4696">
        <f t="shared" si="295"/>
        <v>0</v>
      </c>
    </row>
    <row r="4697" spans="5:23" x14ac:dyDescent="0.25">
      <c r="E4697" s="4"/>
      <c r="F4697" s="4"/>
      <c r="G4697" s="33" t="str">
        <f>IFERROR(VLOOKUP($D4697,'Informations sur les produits'!$A$3:$H$10000,8,FALSE),"0")</f>
        <v>0</v>
      </c>
      <c r="K4697" s="4"/>
      <c r="L4697" s="33" t="str">
        <f>IFERROR(VLOOKUP($J4697,'Informations sur les produits'!$A$3:$H$10000,8,FALSE),"0")</f>
        <v>0</v>
      </c>
      <c r="N4697" s="8"/>
      <c r="O4697" s="33" t="str">
        <f>IFERROR(VLOOKUP($M4697,'Informations sur les produits'!$A$3:$H$10000,8,FALSE),"0")</f>
        <v>0</v>
      </c>
      <c r="P4697" s="33">
        <f t="shared" si="292"/>
        <v>0</v>
      </c>
      <c r="Q4697" s="31" t="str">
        <f t="shared" si="293"/>
        <v/>
      </c>
      <c r="R4697" s="32" t="str">
        <f>IFERROR(VLOOKUP($D4697,'Informations sur les produits'!$A$3:$B$15000,2,FALSE),"")</f>
        <v/>
      </c>
      <c r="V4697">
        <f t="shared" si="294"/>
        <v>0</v>
      </c>
      <c r="W4697">
        <f t="shared" si="295"/>
        <v>0</v>
      </c>
    </row>
    <row r="4698" spans="5:23" x14ac:dyDescent="0.25">
      <c r="E4698" s="4"/>
      <c r="F4698" s="4"/>
      <c r="G4698" s="33" t="str">
        <f>IFERROR(VLOOKUP($D4698,'Informations sur les produits'!$A$3:$H$10000,8,FALSE),"0")</f>
        <v>0</v>
      </c>
      <c r="K4698" s="4"/>
      <c r="L4698" s="33" t="str">
        <f>IFERROR(VLOOKUP($J4698,'Informations sur les produits'!$A$3:$H$10000,8,FALSE),"0")</f>
        <v>0</v>
      </c>
      <c r="N4698" s="8"/>
      <c r="O4698" s="33" t="str">
        <f>IFERROR(VLOOKUP($M4698,'Informations sur les produits'!$A$3:$H$10000,8,FALSE),"0")</f>
        <v>0</v>
      </c>
      <c r="P4698" s="33">
        <f t="shared" si="292"/>
        <v>0</v>
      </c>
      <c r="Q4698" s="31" t="str">
        <f t="shared" si="293"/>
        <v/>
      </c>
      <c r="R4698" s="32" t="str">
        <f>IFERROR(VLOOKUP($D4698,'Informations sur les produits'!$A$3:$B$15000,2,FALSE),"")</f>
        <v/>
      </c>
      <c r="V4698">
        <f t="shared" si="294"/>
        <v>0</v>
      </c>
      <c r="W4698">
        <f t="shared" si="295"/>
        <v>0</v>
      </c>
    </row>
    <row r="4699" spans="5:23" x14ac:dyDescent="0.25">
      <c r="E4699" s="4"/>
      <c r="F4699" s="4"/>
      <c r="G4699" s="33" t="str">
        <f>IFERROR(VLOOKUP($D4699,'Informations sur les produits'!$A$3:$H$10000,8,FALSE),"0")</f>
        <v>0</v>
      </c>
      <c r="K4699" s="4"/>
      <c r="L4699" s="33" t="str">
        <f>IFERROR(VLOOKUP($J4699,'Informations sur les produits'!$A$3:$H$10000,8,FALSE),"0")</f>
        <v>0</v>
      </c>
      <c r="N4699" s="8"/>
      <c r="O4699" s="33" t="str">
        <f>IFERROR(VLOOKUP($M4699,'Informations sur les produits'!$A$3:$H$10000,8,FALSE),"0")</f>
        <v>0</v>
      </c>
      <c r="P4699" s="33">
        <f t="shared" si="292"/>
        <v>0</v>
      </c>
      <c r="Q4699" s="31" t="str">
        <f t="shared" si="293"/>
        <v/>
      </c>
      <c r="R4699" s="32" t="str">
        <f>IFERROR(VLOOKUP($D4699,'Informations sur les produits'!$A$3:$B$15000,2,FALSE),"")</f>
        <v/>
      </c>
      <c r="V4699">
        <f t="shared" si="294"/>
        <v>0</v>
      </c>
      <c r="W4699">
        <f t="shared" si="295"/>
        <v>0</v>
      </c>
    </row>
    <row r="4700" spans="5:23" x14ac:dyDescent="0.25">
      <c r="E4700" s="4"/>
      <c r="F4700" s="4"/>
      <c r="G4700" s="33" t="str">
        <f>IFERROR(VLOOKUP($D4700,'Informations sur les produits'!$A$3:$H$10000,8,FALSE),"0")</f>
        <v>0</v>
      </c>
      <c r="K4700" s="4"/>
      <c r="L4700" s="33" t="str">
        <f>IFERROR(VLOOKUP($J4700,'Informations sur les produits'!$A$3:$H$10000,8,FALSE),"0")</f>
        <v>0</v>
      </c>
      <c r="N4700" s="8"/>
      <c r="O4700" s="33" t="str">
        <f>IFERROR(VLOOKUP($M4700,'Informations sur les produits'!$A$3:$H$10000,8,FALSE),"0")</f>
        <v>0</v>
      </c>
      <c r="P4700" s="33">
        <f t="shared" si="292"/>
        <v>0</v>
      </c>
      <c r="Q4700" s="31" t="str">
        <f t="shared" si="293"/>
        <v/>
      </c>
      <c r="R4700" s="32" t="str">
        <f>IFERROR(VLOOKUP($D4700,'Informations sur les produits'!$A$3:$B$15000,2,FALSE),"")</f>
        <v/>
      </c>
      <c r="V4700">
        <f t="shared" si="294"/>
        <v>0</v>
      </c>
      <c r="W4700">
        <f t="shared" si="295"/>
        <v>0</v>
      </c>
    </row>
    <row r="4701" spans="5:23" x14ac:dyDescent="0.25">
      <c r="E4701" s="4"/>
      <c r="F4701" s="4"/>
      <c r="G4701" s="33" t="str">
        <f>IFERROR(VLOOKUP($D4701,'Informations sur les produits'!$A$3:$H$10000,8,FALSE),"0")</f>
        <v>0</v>
      </c>
      <c r="K4701" s="4"/>
      <c r="L4701" s="33" t="str">
        <f>IFERROR(VLOOKUP($J4701,'Informations sur les produits'!$A$3:$H$10000,8,FALSE),"0")</f>
        <v>0</v>
      </c>
      <c r="N4701" s="8"/>
      <c r="O4701" s="33" t="str">
        <f>IFERROR(VLOOKUP($M4701,'Informations sur les produits'!$A$3:$H$10000,8,FALSE),"0")</f>
        <v>0</v>
      </c>
      <c r="P4701" s="33">
        <f t="shared" si="292"/>
        <v>0</v>
      </c>
      <c r="Q4701" s="31" t="str">
        <f t="shared" si="293"/>
        <v/>
      </c>
      <c r="R4701" s="32" t="str">
        <f>IFERROR(VLOOKUP($D4701,'Informations sur les produits'!$A$3:$B$15000,2,FALSE),"")</f>
        <v/>
      </c>
      <c r="V4701">
        <f t="shared" si="294"/>
        <v>0</v>
      </c>
      <c r="W4701">
        <f t="shared" si="295"/>
        <v>0</v>
      </c>
    </row>
    <row r="4702" spans="5:23" x14ac:dyDescent="0.25">
      <c r="E4702" s="4"/>
      <c r="F4702" s="4"/>
      <c r="G4702" s="33" t="str">
        <f>IFERROR(VLOOKUP($D4702,'Informations sur les produits'!$A$3:$H$10000,8,FALSE),"0")</f>
        <v>0</v>
      </c>
      <c r="K4702" s="4"/>
      <c r="L4702" s="33" t="str">
        <f>IFERROR(VLOOKUP($J4702,'Informations sur les produits'!$A$3:$H$10000,8,FALSE),"0")</f>
        <v>0</v>
      </c>
      <c r="N4702" s="8"/>
      <c r="O4702" s="33" t="str">
        <f>IFERROR(VLOOKUP($M4702,'Informations sur les produits'!$A$3:$H$10000,8,FALSE),"0")</f>
        <v>0</v>
      </c>
      <c r="P4702" s="33">
        <f t="shared" si="292"/>
        <v>0</v>
      </c>
      <c r="Q4702" s="31" t="str">
        <f t="shared" si="293"/>
        <v/>
      </c>
      <c r="R4702" s="32" t="str">
        <f>IFERROR(VLOOKUP($D4702,'Informations sur les produits'!$A$3:$B$15000,2,FALSE),"")</f>
        <v/>
      </c>
      <c r="V4702">
        <f t="shared" si="294"/>
        <v>0</v>
      </c>
      <c r="W4702">
        <f t="shared" si="295"/>
        <v>0</v>
      </c>
    </row>
    <row r="4703" spans="5:23" x14ac:dyDescent="0.25">
      <c r="E4703" s="4"/>
      <c r="F4703" s="4"/>
      <c r="G4703" s="33" t="str">
        <f>IFERROR(VLOOKUP($D4703,'Informations sur les produits'!$A$3:$H$10000,8,FALSE),"0")</f>
        <v>0</v>
      </c>
      <c r="K4703" s="4"/>
      <c r="L4703" s="33" t="str">
        <f>IFERROR(VLOOKUP($J4703,'Informations sur les produits'!$A$3:$H$10000,8,FALSE),"0")</f>
        <v>0</v>
      </c>
      <c r="N4703" s="8"/>
      <c r="O4703" s="33" t="str">
        <f>IFERROR(VLOOKUP($M4703,'Informations sur les produits'!$A$3:$H$10000,8,FALSE),"0")</f>
        <v>0</v>
      </c>
      <c r="P4703" s="33">
        <f t="shared" si="292"/>
        <v>0</v>
      </c>
      <c r="Q4703" s="31" t="str">
        <f t="shared" si="293"/>
        <v/>
      </c>
      <c r="R4703" s="32" t="str">
        <f>IFERROR(VLOOKUP($D4703,'Informations sur les produits'!$A$3:$B$15000,2,FALSE),"")</f>
        <v/>
      </c>
      <c r="V4703">
        <f t="shared" si="294"/>
        <v>0</v>
      </c>
      <c r="W4703">
        <f t="shared" si="295"/>
        <v>0</v>
      </c>
    </row>
    <row r="4704" spans="5:23" x14ac:dyDescent="0.25">
      <c r="E4704" s="4"/>
      <c r="F4704" s="4"/>
      <c r="G4704" s="33" t="str">
        <f>IFERROR(VLOOKUP($D4704,'Informations sur les produits'!$A$3:$H$10000,8,FALSE),"0")</f>
        <v>0</v>
      </c>
      <c r="K4704" s="4"/>
      <c r="L4704" s="33" t="str">
        <f>IFERROR(VLOOKUP($J4704,'Informations sur les produits'!$A$3:$H$10000,8,FALSE),"0")</f>
        <v>0</v>
      </c>
      <c r="N4704" s="8"/>
      <c r="O4704" s="33" t="str">
        <f>IFERROR(VLOOKUP($M4704,'Informations sur les produits'!$A$3:$H$10000,8,FALSE),"0")</f>
        <v>0</v>
      </c>
      <c r="P4704" s="33">
        <f t="shared" si="292"/>
        <v>0</v>
      </c>
      <c r="Q4704" s="31" t="str">
        <f t="shared" si="293"/>
        <v/>
      </c>
      <c r="R4704" s="32" t="str">
        <f>IFERROR(VLOOKUP($D4704,'Informations sur les produits'!$A$3:$B$15000,2,FALSE),"")</f>
        <v/>
      </c>
      <c r="V4704">
        <f t="shared" si="294"/>
        <v>0</v>
      </c>
      <c r="W4704">
        <f t="shared" si="295"/>
        <v>0</v>
      </c>
    </row>
    <row r="4705" spans="5:23" x14ac:dyDescent="0.25">
      <c r="E4705" s="4"/>
      <c r="F4705" s="4"/>
      <c r="G4705" s="33" t="str">
        <f>IFERROR(VLOOKUP($D4705,'Informations sur les produits'!$A$3:$H$10000,8,FALSE),"0")</f>
        <v>0</v>
      </c>
      <c r="K4705" s="4"/>
      <c r="L4705" s="33" t="str">
        <f>IFERROR(VLOOKUP($J4705,'Informations sur les produits'!$A$3:$H$10000,8,FALSE),"0")</f>
        <v>0</v>
      </c>
      <c r="N4705" s="8"/>
      <c r="O4705" s="33" t="str">
        <f>IFERROR(VLOOKUP($M4705,'Informations sur les produits'!$A$3:$H$10000,8,FALSE),"0")</f>
        <v>0</v>
      </c>
      <c r="P4705" s="33">
        <f t="shared" si="292"/>
        <v>0</v>
      </c>
      <c r="Q4705" s="31" t="str">
        <f t="shared" si="293"/>
        <v/>
      </c>
      <c r="R4705" s="32" t="str">
        <f>IFERROR(VLOOKUP($D4705,'Informations sur les produits'!$A$3:$B$15000,2,FALSE),"")</f>
        <v/>
      </c>
      <c r="V4705">
        <f t="shared" si="294"/>
        <v>0</v>
      </c>
      <c r="W4705">
        <f t="shared" si="295"/>
        <v>0</v>
      </c>
    </row>
    <row r="4706" spans="5:23" x14ac:dyDescent="0.25">
      <c r="E4706" s="4"/>
      <c r="F4706" s="4"/>
      <c r="G4706" s="33" t="str">
        <f>IFERROR(VLOOKUP($D4706,'Informations sur les produits'!$A$3:$H$10000,8,FALSE),"0")</f>
        <v>0</v>
      </c>
      <c r="K4706" s="4"/>
      <c r="L4706" s="33" t="str">
        <f>IFERROR(VLOOKUP($J4706,'Informations sur les produits'!$A$3:$H$10000,8,FALSE),"0")</f>
        <v>0</v>
      </c>
      <c r="N4706" s="8"/>
      <c r="O4706" s="33" t="str">
        <f>IFERROR(VLOOKUP($M4706,'Informations sur les produits'!$A$3:$H$10000,8,FALSE),"0")</f>
        <v>0</v>
      </c>
      <c r="P4706" s="33">
        <f t="shared" si="292"/>
        <v>0</v>
      </c>
      <c r="Q4706" s="31" t="str">
        <f t="shared" si="293"/>
        <v/>
      </c>
      <c r="R4706" s="32" t="str">
        <f>IFERROR(VLOOKUP($D4706,'Informations sur les produits'!$A$3:$B$15000,2,FALSE),"")</f>
        <v/>
      </c>
      <c r="V4706">
        <f t="shared" si="294"/>
        <v>0</v>
      </c>
      <c r="W4706">
        <f t="shared" si="295"/>
        <v>0</v>
      </c>
    </row>
    <row r="4707" spans="5:23" x14ac:dyDescent="0.25">
      <c r="E4707" s="4"/>
      <c r="F4707" s="4"/>
      <c r="G4707" s="33" t="str">
        <f>IFERROR(VLOOKUP($D4707,'Informations sur les produits'!$A$3:$H$10000,8,FALSE),"0")</f>
        <v>0</v>
      </c>
      <c r="K4707" s="4"/>
      <c r="L4707" s="33" t="str">
        <f>IFERROR(VLOOKUP($J4707,'Informations sur les produits'!$A$3:$H$10000,8,FALSE),"0")</f>
        <v>0</v>
      </c>
      <c r="N4707" s="8"/>
      <c r="O4707" s="33" t="str">
        <f>IFERROR(VLOOKUP($M4707,'Informations sur les produits'!$A$3:$H$10000,8,FALSE),"0")</f>
        <v>0</v>
      </c>
      <c r="P4707" s="33">
        <f t="shared" si="292"/>
        <v>0</v>
      </c>
      <c r="Q4707" s="31" t="str">
        <f t="shared" si="293"/>
        <v/>
      </c>
      <c r="R4707" s="32" t="str">
        <f>IFERROR(VLOOKUP($D4707,'Informations sur les produits'!$A$3:$B$15000,2,FALSE),"")</f>
        <v/>
      </c>
      <c r="V4707">
        <f t="shared" si="294"/>
        <v>0</v>
      </c>
      <c r="W4707">
        <f t="shared" si="295"/>
        <v>0</v>
      </c>
    </row>
    <row r="4708" spans="5:23" x14ac:dyDescent="0.25">
      <c r="E4708" s="4"/>
      <c r="F4708" s="4"/>
      <c r="G4708" s="33" t="str">
        <f>IFERROR(VLOOKUP($D4708,'Informations sur les produits'!$A$3:$H$10000,8,FALSE),"0")</f>
        <v>0</v>
      </c>
      <c r="K4708" s="4"/>
      <c r="L4708" s="33" t="str">
        <f>IFERROR(VLOOKUP($J4708,'Informations sur les produits'!$A$3:$H$10000,8,FALSE),"0")</f>
        <v>0</v>
      </c>
      <c r="N4708" s="8"/>
      <c r="O4708" s="33" t="str">
        <f>IFERROR(VLOOKUP($M4708,'Informations sur les produits'!$A$3:$H$10000,8,FALSE),"0")</f>
        <v>0</v>
      </c>
      <c r="P4708" s="33">
        <f t="shared" si="292"/>
        <v>0</v>
      </c>
      <c r="Q4708" s="31" t="str">
        <f t="shared" si="293"/>
        <v/>
      </c>
      <c r="R4708" s="32" t="str">
        <f>IFERROR(VLOOKUP($D4708,'Informations sur les produits'!$A$3:$B$15000,2,FALSE),"")</f>
        <v/>
      </c>
      <c r="V4708">
        <f t="shared" si="294"/>
        <v>0</v>
      </c>
      <c r="W4708">
        <f t="shared" si="295"/>
        <v>0</v>
      </c>
    </row>
    <row r="4709" spans="5:23" x14ac:dyDescent="0.25">
      <c r="E4709" s="4"/>
      <c r="F4709" s="4"/>
      <c r="G4709" s="33" t="str">
        <f>IFERROR(VLOOKUP($D4709,'Informations sur les produits'!$A$3:$H$10000,8,FALSE),"0")</f>
        <v>0</v>
      </c>
      <c r="K4709" s="4"/>
      <c r="L4709" s="33" t="str">
        <f>IFERROR(VLOOKUP($J4709,'Informations sur les produits'!$A$3:$H$10000,8,FALSE),"0")</f>
        <v>0</v>
      </c>
      <c r="N4709" s="8"/>
      <c r="O4709" s="33" t="str">
        <f>IFERROR(VLOOKUP($M4709,'Informations sur les produits'!$A$3:$H$10000,8,FALSE),"0")</f>
        <v>0</v>
      </c>
      <c r="P4709" s="33">
        <f t="shared" si="292"/>
        <v>0</v>
      </c>
      <c r="Q4709" s="31" t="str">
        <f t="shared" si="293"/>
        <v/>
      </c>
      <c r="R4709" s="32" t="str">
        <f>IFERROR(VLOOKUP($D4709,'Informations sur les produits'!$A$3:$B$15000,2,FALSE),"")</f>
        <v/>
      </c>
      <c r="V4709">
        <f t="shared" si="294"/>
        <v>0</v>
      </c>
      <c r="W4709">
        <f t="shared" si="295"/>
        <v>0</v>
      </c>
    </row>
    <row r="4710" spans="5:23" x14ac:dyDescent="0.25">
      <c r="E4710" s="4"/>
      <c r="F4710" s="4"/>
      <c r="G4710" s="33" t="str">
        <f>IFERROR(VLOOKUP($D4710,'Informations sur les produits'!$A$3:$H$10000,8,FALSE),"0")</f>
        <v>0</v>
      </c>
      <c r="K4710" s="4"/>
      <c r="L4710" s="33" t="str">
        <f>IFERROR(VLOOKUP($J4710,'Informations sur les produits'!$A$3:$H$10000,8,FALSE),"0")</f>
        <v>0</v>
      </c>
      <c r="N4710" s="8"/>
      <c r="O4710" s="33" t="str">
        <f>IFERROR(VLOOKUP($M4710,'Informations sur les produits'!$A$3:$H$10000,8,FALSE),"0")</f>
        <v>0</v>
      </c>
      <c r="P4710" s="33">
        <f t="shared" si="292"/>
        <v>0</v>
      </c>
      <c r="Q4710" s="31" t="str">
        <f t="shared" si="293"/>
        <v/>
      </c>
      <c r="R4710" s="32" t="str">
        <f>IFERROR(VLOOKUP($D4710,'Informations sur les produits'!$A$3:$B$15000,2,FALSE),"")</f>
        <v/>
      </c>
      <c r="V4710">
        <f t="shared" si="294"/>
        <v>0</v>
      </c>
      <c r="W4710">
        <f t="shared" si="295"/>
        <v>0</v>
      </c>
    </row>
    <row r="4711" spans="5:23" x14ac:dyDescent="0.25">
      <c r="E4711" s="4"/>
      <c r="F4711" s="4"/>
      <c r="G4711" s="33" t="str">
        <f>IFERROR(VLOOKUP($D4711,'Informations sur les produits'!$A$3:$H$10000,8,FALSE),"0")</f>
        <v>0</v>
      </c>
      <c r="K4711" s="4"/>
      <c r="L4711" s="33" t="str">
        <f>IFERROR(VLOOKUP($J4711,'Informations sur les produits'!$A$3:$H$10000,8,FALSE),"0")</f>
        <v>0</v>
      </c>
      <c r="N4711" s="8"/>
      <c r="O4711" s="33" t="str">
        <f>IFERROR(VLOOKUP($M4711,'Informations sur les produits'!$A$3:$H$10000,8,FALSE),"0")</f>
        <v>0</v>
      </c>
      <c r="P4711" s="33">
        <f t="shared" si="292"/>
        <v>0</v>
      </c>
      <c r="Q4711" s="31" t="str">
        <f t="shared" si="293"/>
        <v/>
      </c>
      <c r="R4711" s="32" t="str">
        <f>IFERROR(VLOOKUP($D4711,'Informations sur les produits'!$A$3:$B$15000,2,FALSE),"")</f>
        <v/>
      </c>
      <c r="V4711">
        <f t="shared" si="294"/>
        <v>0</v>
      </c>
      <c r="W4711">
        <f t="shared" si="295"/>
        <v>0</v>
      </c>
    </row>
    <row r="4712" spans="5:23" x14ac:dyDescent="0.25">
      <c r="E4712" s="4"/>
      <c r="F4712" s="4"/>
      <c r="G4712" s="33" t="str">
        <f>IFERROR(VLOOKUP($D4712,'Informations sur les produits'!$A$3:$H$10000,8,FALSE),"0")</f>
        <v>0</v>
      </c>
      <c r="K4712" s="4"/>
      <c r="L4712" s="33" t="str">
        <f>IFERROR(VLOOKUP($J4712,'Informations sur les produits'!$A$3:$H$10000,8,FALSE),"0")</f>
        <v>0</v>
      </c>
      <c r="N4712" s="8"/>
      <c r="O4712" s="33" t="str">
        <f>IFERROR(VLOOKUP($M4712,'Informations sur les produits'!$A$3:$H$10000,8,FALSE),"0")</f>
        <v>0</v>
      </c>
      <c r="P4712" s="33">
        <f t="shared" si="292"/>
        <v>0</v>
      </c>
      <c r="Q4712" s="31" t="str">
        <f t="shared" si="293"/>
        <v/>
      </c>
      <c r="R4712" s="32" t="str">
        <f>IFERROR(VLOOKUP($D4712,'Informations sur les produits'!$A$3:$B$15000,2,FALSE),"")</f>
        <v/>
      </c>
      <c r="V4712">
        <f t="shared" si="294"/>
        <v>0</v>
      </c>
      <c r="W4712">
        <f t="shared" si="295"/>
        <v>0</v>
      </c>
    </row>
    <row r="4713" spans="5:23" x14ac:dyDescent="0.25">
      <c r="E4713" s="4"/>
      <c r="F4713" s="4"/>
      <c r="G4713" s="33" t="str">
        <f>IFERROR(VLOOKUP($D4713,'Informations sur les produits'!$A$3:$H$10000,8,FALSE),"0")</f>
        <v>0</v>
      </c>
      <c r="K4713" s="4"/>
      <c r="L4713" s="33" t="str">
        <f>IFERROR(VLOOKUP($J4713,'Informations sur les produits'!$A$3:$H$10000,8,FALSE),"0")</f>
        <v>0</v>
      </c>
      <c r="N4713" s="8"/>
      <c r="O4713" s="33" t="str">
        <f>IFERROR(VLOOKUP($M4713,'Informations sur les produits'!$A$3:$H$10000,8,FALSE),"0")</f>
        <v>0</v>
      </c>
      <c r="P4713" s="33">
        <f t="shared" si="292"/>
        <v>0</v>
      </c>
      <c r="Q4713" s="31" t="str">
        <f t="shared" si="293"/>
        <v/>
      </c>
      <c r="R4713" s="32" t="str">
        <f>IFERROR(VLOOKUP($D4713,'Informations sur les produits'!$A$3:$B$15000,2,FALSE),"")</f>
        <v/>
      </c>
      <c r="V4713">
        <f t="shared" si="294"/>
        <v>0</v>
      </c>
      <c r="W4713">
        <f t="shared" si="295"/>
        <v>0</v>
      </c>
    </row>
    <row r="4714" spans="5:23" x14ac:dyDescent="0.25">
      <c r="E4714" s="4"/>
      <c r="F4714" s="4"/>
      <c r="G4714" s="33" t="str">
        <f>IFERROR(VLOOKUP($D4714,'Informations sur les produits'!$A$3:$H$10000,8,FALSE),"0")</f>
        <v>0</v>
      </c>
      <c r="K4714" s="4"/>
      <c r="L4714" s="33" t="str">
        <f>IFERROR(VLOOKUP($J4714,'Informations sur les produits'!$A$3:$H$10000,8,FALSE),"0")</f>
        <v>0</v>
      </c>
      <c r="N4714" s="8"/>
      <c r="O4714" s="33" t="str">
        <f>IFERROR(VLOOKUP($M4714,'Informations sur les produits'!$A$3:$H$10000,8,FALSE),"0")</f>
        <v>0</v>
      </c>
      <c r="P4714" s="33">
        <f t="shared" si="292"/>
        <v>0</v>
      </c>
      <c r="Q4714" s="31" t="str">
        <f t="shared" si="293"/>
        <v/>
      </c>
      <c r="R4714" s="32" t="str">
        <f>IFERROR(VLOOKUP($D4714,'Informations sur les produits'!$A$3:$B$15000,2,FALSE),"")</f>
        <v/>
      </c>
      <c r="V4714">
        <f t="shared" si="294"/>
        <v>0</v>
      </c>
      <c r="W4714">
        <f t="shared" si="295"/>
        <v>0</v>
      </c>
    </row>
    <row r="4715" spans="5:23" x14ac:dyDescent="0.25">
      <c r="E4715" s="4"/>
      <c r="F4715" s="4"/>
      <c r="G4715" s="33" t="str">
        <f>IFERROR(VLOOKUP($D4715,'Informations sur les produits'!$A$3:$H$10000,8,FALSE),"0")</f>
        <v>0</v>
      </c>
      <c r="K4715" s="4"/>
      <c r="L4715" s="33" t="str">
        <f>IFERROR(VLOOKUP($J4715,'Informations sur les produits'!$A$3:$H$10000,8,FALSE),"0")</f>
        <v>0</v>
      </c>
      <c r="N4715" s="8"/>
      <c r="O4715" s="33" t="str">
        <f>IFERROR(VLOOKUP($M4715,'Informations sur les produits'!$A$3:$H$10000,8,FALSE),"0")</f>
        <v>0</v>
      </c>
      <c r="P4715" s="33">
        <f t="shared" si="292"/>
        <v>0</v>
      </c>
      <c r="Q4715" s="31" t="str">
        <f t="shared" si="293"/>
        <v/>
      </c>
      <c r="R4715" s="32" t="str">
        <f>IFERROR(VLOOKUP($D4715,'Informations sur les produits'!$A$3:$B$15000,2,FALSE),"")</f>
        <v/>
      </c>
      <c r="V4715">
        <f t="shared" si="294"/>
        <v>0</v>
      </c>
      <c r="W4715">
        <f t="shared" si="295"/>
        <v>0</v>
      </c>
    </row>
    <row r="4716" spans="5:23" x14ac:dyDescent="0.25">
      <c r="E4716" s="4"/>
      <c r="F4716" s="4"/>
      <c r="G4716" s="33" t="str">
        <f>IFERROR(VLOOKUP($D4716,'Informations sur les produits'!$A$3:$H$10000,8,FALSE),"0")</f>
        <v>0</v>
      </c>
      <c r="K4716" s="4"/>
      <c r="L4716" s="33" t="str">
        <f>IFERROR(VLOOKUP($J4716,'Informations sur les produits'!$A$3:$H$10000,8,FALSE),"0")</f>
        <v>0</v>
      </c>
      <c r="N4716" s="8"/>
      <c r="O4716" s="33" t="str">
        <f>IFERROR(VLOOKUP($M4716,'Informations sur les produits'!$A$3:$H$10000,8,FALSE),"0")</f>
        <v>0</v>
      </c>
      <c r="P4716" s="33">
        <f t="shared" si="292"/>
        <v>0</v>
      </c>
      <c r="Q4716" s="31" t="str">
        <f t="shared" si="293"/>
        <v/>
      </c>
      <c r="R4716" s="32" t="str">
        <f>IFERROR(VLOOKUP($D4716,'Informations sur les produits'!$A$3:$B$15000,2,FALSE),"")</f>
        <v/>
      </c>
      <c r="V4716">
        <f t="shared" si="294"/>
        <v>0</v>
      </c>
      <c r="W4716">
        <f t="shared" si="295"/>
        <v>0</v>
      </c>
    </row>
    <row r="4717" spans="5:23" x14ac:dyDescent="0.25">
      <c r="E4717" s="4"/>
      <c r="F4717" s="4"/>
      <c r="G4717" s="33" t="str">
        <f>IFERROR(VLOOKUP($D4717,'Informations sur les produits'!$A$3:$H$10000,8,FALSE),"0")</f>
        <v>0</v>
      </c>
      <c r="K4717" s="4"/>
      <c r="L4717" s="33" t="str">
        <f>IFERROR(VLOOKUP($J4717,'Informations sur les produits'!$A$3:$H$10000,8,FALSE),"0")</f>
        <v>0</v>
      </c>
      <c r="N4717" s="8"/>
      <c r="O4717" s="33" t="str">
        <f>IFERROR(VLOOKUP($M4717,'Informations sur les produits'!$A$3:$H$10000,8,FALSE),"0")</f>
        <v>0</v>
      </c>
      <c r="P4717" s="33">
        <f t="shared" si="292"/>
        <v>0</v>
      </c>
      <c r="Q4717" s="31" t="str">
        <f t="shared" si="293"/>
        <v/>
      </c>
      <c r="R4717" s="32" t="str">
        <f>IFERROR(VLOOKUP($D4717,'Informations sur les produits'!$A$3:$B$15000,2,FALSE),"")</f>
        <v/>
      </c>
      <c r="V4717">
        <f t="shared" si="294"/>
        <v>0</v>
      </c>
      <c r="W4717">
        <f t="shared" si="295"/>
        <v>0</v>
      </c>
    </row>
    <row r="4718" spans="5:23" x14ac:dyDescent="0.25">
      <c r="E4718" s="4"/>
      <c r="F4718" s="4"/>
      <c r="G4718" s="33" t="str">
        <f>IFERROR(VLOOKUP($D4718,'Informations sur les produits'!$A$3:$H$10000,8,FALSE),"0")</f>
        <v>0</v>
      </c>
      <c r="K4718" s="4"/>
      <c r="L4718" s="33" t="str">
        <f>IFERROR(VLOOKUP($J4718,'Informations sur les produits'!$A$3:$H$10000,8,FALSE),"0")</f>
        <v>0</v>
      </c>
      <c r="N4718" s="8"/>
      <c r="O4718" s="33" t="str">
        <f>IFERROR(VLOOKUP($M4718,'Informations sur les produits'!$A$3:$H$10000,8,FALSE),"0")</f>
        <v>0</v>
      </c>
      <c r="P4718" s="33">
        <f t="shared" si="292"/>
        <v>0</v>
      </c>
      <c r="Q4718" s="31" t="str">
        <f t="shared" si="293"/>
        <v/>
      </c>
      <c r="R4718" s="32" t="str">
        <f>IFERROR(VLOOKUP($D4718,'Informations sur les produits'!$A$3:$B$15000,2,FALSE),"")</f>
        <v/>
      </c>
      <c r="V4718">
        <f t="shared" si="294"/>
        <v>0</v>
      </c>
      <c r="W4718">
        <f t="shared" si="295"/>
        <v>0</v>
      </c>
    </row>
    <row r="4719" spans="5:23" x14ac:dyDescent="0.25">
      <c r="E4719" s="4"/>
      <c r="F4719" s="4"/>
      <c r="G4719" s="33" t="str">
        <f>IFERROR(VLOOKUP($D4719,'Informations sur les produits'!$A$3:$H$10000,8,FALSE),"0")</f>
        <v>0</v>
      </c>
      <c r="K4719" s="4"/>
      <c r="L4719" s="33" t="str">
        <f>IFERROR(VLOOKUP($J4719,'Informations sur les produits'!$A$3:$H$10000,8,FALSE),"0")</f>
        <v>0</v>
      </c>
      <c r="N4719" s="8"/>
      <c r="O4719" s="33" t="str">
        <f>IFERROR(VLOOKUP($M4719,'Informations sur les produits'!$A$3:$H$10000,8,FALSE),"0")</f>
        <v>0</v>
      </c>
      <c r="P4719" s="33">
        <f t="shared" si="292"/>
        <v>0</v>
      </c>
      <c r="Q4719" s="31" t="str">
        <f t="shared" si="293"/>
        <v/>
      </c>
      <c r="R4719" s="32" t="str">
        <f>IFERROR(VLOOKUP($D4719,'Informations sur les produits'!$A$3:$B$15000,2,FALSE),"")</f>
        <v/>
      </c>
      <c r="V4719">
        <f t="shared" si="294"/>
        <v>0</v>
      </c>
      <c r="W4719">
        <f t="shared" si="295"/>
        <v>0</v>
      </c>
    </row>
    <row r="4720" spans="5:23" x14ac:dyDescent="0.25">
      <c r="E4720" s="4"/>
      <c r="F4720" s="4"/>
      <c r="G4720" s="33" t="str">
        <f>IFERROR(VLOOKUP($D4720,'Informations sur les produits'!$A$3:$H$10000,8,FALSE),"0")</f>
        <v>0</v>
      </c>
      <c r="K4720" s="4"/>
      <c r="L4720" s="33" t="str">
        <f>IFERROR(VLOOKUP($J4720,'Informations sur les produits'!$A$3:$H$10000,8,FALSE),"0")</f>
        <v>0</v>
      </c>
      <c r="N4720" s="8"/>
      <c r="O4720" s="33" t="str">
        <f>IFERROR(VLOOKUP($M4720,'Informations sur les produits'!$A$3:$H$10000,8,FALSE),"0")</f>
        <v>0</v>
      </c>
      <c r="P4720" s="33">
        <f t="shared" si="292"/>
        <v>0</v>
      </c>
      <c r="Q4720" s="31" t="str">
        <f t="shared" si="293"/>
        <v/>
      </c>
      <c r="R4720" s="32" t="str">
        <f>IFERROR(VLOOKUP($D4720,'Informations sur les produits'!$A$3:$B$15000,2,FALSE),"")</f>
        <v/>
      </c>
      <c r="V4720">
        <f t="shared" si="294"/>
        <v>0</v>
      </c>
      <c r="W4720">
        <f t="shared" si="295"/>
        <v>0</v>
      </c>
    </row>
    <row r="4721" spans="5:23" x14ac:dyDescent="0.25">
      <c r="E4721" s="4"/>
      <c r="F4721" s="4"/>
      <c r="G4721" s="33" t="str">
        <f>IFERROR(VLOOKUP($D4721,'Informations sur les produits'!$A$3:$H$10000,8,FALSE),"0")</f>
        <v>0</v>
      </c>
      <c r="K4721" s="4"/>
      <c r="L4721" s="33" t="str">
        <f>IFERROR(VLOOKUP($J4721,'Informations sur les produits'!$A$3:$H$10000,8,FALSE),"0")</f>
        <v>0</v>
      </c>
      <c r="N4721" s="8"/>
      <c r="O4721" s="33" t="str">
        <f>IFERROR(VLOOKUP($M4721,'Informations sur les produits'!$A$3:$H$10000,8,FALSE),"0")</f>
        <v>0</v>
      </c>
      <c r="P4721" s="33">
        <f t="shared" si="292"/>
        <v>0</v>
      </c>
      <c r="Q4721" s="31" t="str">
        <f t="shared" si="293"/>
        <v/>
      </c>
      <c r="R4721" s="32" t="str">
        <f>IFERROR(VLOOKUP($D4721,'Informations sur les produits'!$A$3:$B$15000,2,FALSE),"")</f>
        <v/>
      </c>
      <c r="V4721">
        <f t="shared" si="294"/>
        <v>0</v>
      </c>
      <c r="W4721">
        <f t="shared" si="295"/>
        <v>0</v>
      </c>
    </row>
    <row r="4722" spans="5:23" x14ac:dyDescent="0.25">
      <c r="E4722" s="4"/>
      <c r="F4722" s="4"/>
      <c r="G4722" s="33" t="str">
        <f>IFERROR(VLOOKUP($D4722,'Informations sur les produits'!$A$3:$H$10000,8,FALSE),"0")</f>
        <v>0</v>
      </c>
      <c r="K4722" s="4"/>
      <c r="L4722" s="33" t="str">
        <f>IFERROR(VLOOKUP($J4722,'Informations sur les produits'!$A$3:$H$10000,8,FALSE),"0")</f>
        <v>0</v>
      </c>
      <c r="N4722" s="8"/>
      <c r="O4722" s="33" t="str">
        <f>IFERROR(VLOOKUP($M4722,'Informations sur les produits'!$A$3:$H$10000,8,FALSE),"0")</f>
        <v>0</v>
      </c>
      <c r="P4722" s="33">
        <f t="shared" si="292"/>
        <v>0</v>
      </c>
      <c r="Q4722" s="31" t="str">
        <f t="shared" si="293"/>
        <v/>
      </c>
      <c r="R4722" s="32" t="str">
        <f>IFERROR(VLOOKUP($D4722,'Informations sur les produits'!$A$3:$B$15000,2,FALSE),"")</f>
        <v/>
      </c>
      <c r="V4722">
        <f t="shared" si="294"/>
        <v>0</v>
      </c>
      <c r="W4722">
        <f t="shared" si="295"/>
        <v>0</v>
      </c>
    </row>
    <row r="4723" spans="5:23" x14ac:dyDescent="0.25">
      <c r="E4723" s="4"/>
      <c r="F4723" s="4"/>
      <c r="G4723" s="33" t="str">
        <f>IFERROR(VLOOKUP($D4723,'Informations sur les produits'!$A$3:$H$10000,8,FALSE),"0")</f>
        <v>0</v>
      </c>
      <c r="K4723" s="4"/>
      <c r="L4723" s="33" t="str">
        <f>IFERROR(VLOOKUP($J4723,'Informations sur les produits'!$A$3:$H$10000,8,FALSE),"0")</f>
        <v>0</v>
      </c>
      <c r="N4723" s="8"/>
      <c r="O4723" s="33" t="str">
        <f>IFERROR(VLOOKUP($M4723,'Informations sur les produits'!$A$3:$H$10000,8,FALSE),"0")</f>
        <v>0</v>
      </c>
      <c r="P4723" s="33">
        <f t="shared" si="292"/>
        <v>0</v>
      </c>
      <c r="Q4723" s="31" t="str">
        <f t="shared" si="293"/>
        <v/>
      </c>
      <c r="R4723" s="32" t="str">
        <f>IFERROR(VLOOKUP($D4723,'Informations sur les produits'!$A$3:$B$15000,2,FALSE),"")</f>
        <v/>
      </c>
      <c r="V4723">
        <f t="shared" si="294"/>
        <v>0</v>
      </c>
      <c r="W4723">
        <f t="shared" si="295"/>
        <v>0</v>
      </c>
    </row>
    <row r="4724" spans="5:23" x14ac:dyDescent="0.25">
      <c r="E4724" s="4"/>
      <c r="F4724" s="4"/>
      <c r="G4724" s="33" t="str">
        <f>IFERROR(VLOOKUP($D4724,'Informations sur les produits'!$A$3:$H$10000,8,FALSE),"0")</f>
        <v>0</v>
      </c>
      <c r="K4724" s="4"/>
      <c r="L4724" s="33" t="str">
        <f>IFERROR(VLOOKUP($J4724,'Informations sur les produits'!$A$3:$H$10000,8,FALSE),"0")</f>
        <v>0</v>
      </c>
      <c r="N4724" s="8"/>
      <c r="O4724" s="33" t="str">
        <f>IFERROR(VLOOKUP($M4724,'Informations sur les produits'!$A$3:$H$10000,8,FALSE),"0")</f>
        <v>0</v>
      </c>
      <c r="P4724" s="33">
        <f t="shared" si="292"/>
        <v>0</v>
      </c>
      <c r="Q4724" s="31" t="str">
        <f t="shared" si="293"/>
        <v/>
      </c>
      <c r="R4724" s="32" t="str">
        <f>IFERROR(VLOOKUP($D4724,'Informations sur les produits'!$A$3:$B$15000,2,FALSE),"")</f>
        <v/>
      </c>
      <c r="V4724">
        <f t="shared" si="294"/>
        <v>0</v>
      </c>
      <c r="W4724">
        <f t="shared" si="295"/>
        <v>0</v>
      </c>
    </row>
    <row r="4725" spans="5:23" x14ac:dyDescent="0.25">
      <c r="E4725" s="4"/>
      <c r="F4725" s="4"/>
      <c r="G4725" s="33" t="str">
        <f>IFERROR(VLOOKUP($D4725,'Informations sur les produits'!$A$3:$H$10000,8,FALSE),"0")</f>
        <v>0</v>
      </c>
      <c r="K4725" s="4"/>
      <c r="L4725" s="33" t="str">
        <f>IFERROR(VLOOKUP($J4725,'Informations sur les produits'!$A$3:$H$10000,8,FALSE),"0")</f>
        <v>0</v>
      </c>
      <c r="N4725" s="8"/>
      <c r="O4725" s="33" t="str">
        <f>IFERROR(VLOOKUP($M4725,'Informations sur les produits'!$A$3:$H$10000,8,FALSE),"0")</f>
        <v>0</v>
      </c>
      <c r="P4725" s="33">
        <f t="shared" si="292"/>
        <v>0</v>
      </c>
      <c r="Q4725" s="31" t="str">
        <f t="shared" si="293"/>
        <v/>
      </c>
      <c r="R4725" s="32" t="str">
        <f>IFERROR(VLOOKUP($D4725,'Informations sur les produits'!$A$3:$B$15000,2,FALSE),"")</f>
        <v/>
      </c>
      <c r="V4725">
        <f t="shared" si="294"/>
        <v>0</v>
      </c>
      <c r="W4725">
        <f t="shared" si="295"/>
        <v>0</v>
      </c>
    </row>
    <row r="4726" spans="5:23" x14ac:dyDescent="0.25">
      <c r="E4726" s="4"/>
      <c r="F4726" s="4"/>
      <c r="G4726" s="33" t="str">
        <f>IFERROR(VLOOKUP($D4726,'Informations sur les produits'!$A$3:$H$10000,8,FALSE),"0")</f>
        <v>0</v>
      </c>
      <c r="K4726" s="4"/>
      <c r="L4726" s="33" t="str">
        <f>IFERROR(VLOOKUP($J4726,'Informations sur les produits'!$A$3:$H$10000,8,FALSE),"0")</f>
        <v>0</v>
      </c>
      <c r="N4726" s="8"/>
      <c r="O4726" s="33" t="str">
        <f>IFERROR(VLOOKUP($M4726,'Informations sur les produits'!$A$3:$H$10000,8,FALSE),"0")</f>
        <v>0</v>
      </c>
      <c r="P4726" s="33">
        <f t="shared" si="292"/>
        <v>0</v>
      </c>
      <c r="Q4726" s="31" t="str">
        <f t="shared" si="293"/>
        <v/>
      </c>
      <c r="R4726" s="32" t="str">
        <f>IFERROR(VLOOKUP($D4726,'Informations sur les produits'!$A$3:$B$15000,2,FALSE),"")</f>
        <v/>
      </c>
      <c r="V4726">
        <f t="shared" si="294"/>
        <v>0</v>
      </c>
      <c r="W4726">
        <f t="shared" si="295"/>
        <v>0</v>
      </c>
    </row>
    <row r="4727" spans="5:23" x14ac:dyDescent="0.25">
      <c r="E4727" s="4"/>
      <c r="F4727" s="4"/>
      <c r="G4727" s="33" t="str">
        <f>IFERROR(VLOOKUP($D4727,'Informations sur les produits'!$A$3:$H$10000,8,FALSE),"0")</f>
        <v>0</v>
      </c>
      <c r="K4727" s="4"/>
      <c r="L4727" s="33" t="str">
        <f>IFERROR(VLOOKUP($J4727,'Informations sur les produits'!$A$3:$H$10000,8,FALSE),"0")</f>
        <v>0</v>
      </c>
      <c r="N4727" s="8"/>
      <c r="O4727" s="33" t="str">
        <f>IFERROR(VLOOKUP($M4727,'Informations sur les produits'!$A$3:$H$10000,8,FALSE),"0")</f>
        <v>0</v>
      </c>
      <c r="P4727" s="33">
        <f t="shared" si="292"/>
        <v>0</v>
      </c>
      <c r="Q4727" s="31" t="str">
        <f t="shared" si="293"/>
        <v/>
      </c>
      <c r="R4727" s="32" t="str">
        <f>IFERROR(VLOOKUP($D4727,'Informations sur les produits'!$A$3:$B$15000,2,FALSE),"")</f>
        <v/>
      </c>
      <c r="V4727">
        <f t="shared" si="294"/>
        <v>0</v>
      </c>
      <c r="W4727">
        <f t="shared" si="295"/>
        <v>0</v>
      </c>
    </row>
    <row r="4728" spans="5:23" x14ac:dyDescent="0.25">
      <c r="E4728" s="4"/>
      <c r="F4728" s="4"/>
      <c r="G4728" s="33" t="str">
        <f>IFERROR(VLOOKUP($D4728,'Informations sur les produits'!$A$3:$H$10000,8,FALSE),"0")</f>
        <v>0</v>
      </c>
      <c r="K4728" s="4"/>
      <c r="L4728" s="33" t="str">
        <f>IFERROR(VLOOKUP($J4728,'Informations sur les produits'!$A$3:$H$10000,8,FALSE),"0")</f>
        <v>0</v>
      </c>
      <c r="N4728" s="8"/>
      <c r="O4728" s="33" t="str">
        <f>IFERROR(VLOOKUP($M4728,'Informations sur les produits'!$A$3:$H$10000,8,FALSE),"0")</f>
        <v>0</v>
      </c>
      <c r="P4728" s="33">
        <f t="shared" si="292"/>
        <v>0</v>
      </c>
      <c r="Q4728" s="31" t="str">
        <f t="shared" si="293"/>
        <v/>
      </c>
      <c r="R4728" s="32" t="str">
        <f>IFERROR(VLOOKUP($D4728,'Informations sur les produits'!$A$3:$B$15000,2,FALSE),"")</f>
        <v/>
      </c>
      <c r="V4728">
        <f t="shared" si="294"/>
        <v>0</v>
      </c>
      <c r="W4728">
        <f t="shared" si="295"/>
        <v>0</v>
      </c>
    </row>
    <row r="4729" spans="5:23" x14ac:dyDescent="0.25">
      <c r="E4729" s="4"/>
      <c r="F4729" s="4"/>
      <c r="G4729" s="33" t="str">
        <f>IFERROR(VLOOKUP($D4729,'Informations sur les produits'!$A$3:$H$10000,8,FALSE),"0")</f>
        <v>0</v>
      </c>
      <c r="K4729" s="4"/>
      <c r="L4729" s="33" t="str">
        <f>IFERROR(VLOOKUP($J4729,'Informations sur les produits'!$A$3:$H$10000,8,FALSE),"0")</f>
        <v>0</v>
      </c>
      <c r="N4729" s="8"/>
      <c r="O4729" s="33" t="str">
        <f>IFERROR(VLOOKUP($M4729,'Informations sur les produits'!$A$3:$H$10000,8,FALSE),"0")</f>
        <v>0</v>
      </c>
      <c r="P4729" s="33">
        <f t="shared" si="292"/>
        <v>0</v>
      </c>
      <c r="Q4729" s="31" t="str">
        <f t="shared" si="293"/>
        <v/>
      </c>
      <c r="R4729" s="32" t="str">
        <f>IFERROR(VLOOKUP($D4729,'Informations sur les produits'!$A$3:$B$15000,2,FALSE),"")</f>
        <v/>
      </c>
      <c r="V4729">
        <f t="shared" si="294"/>
        <v>0</v>
      </c>
      <c r="W4729">
        <f t="shared" si="295"/>
        <v>0</v>
      </c>
    </row>
    <row r="4730" spans="5:23" x14ac:dyDescent="0.25">
      <c r="E4730" s="4"/>
      <c r="F4730" s="4"/>
      <c r="G4730" s="33" t="str">
        <f>IFERROR(VLOOKUP($D4730,'Informations sur les produits'!$A$3:$H$10000,8,FALSE),"0")</f>
        <v>0</v>
      </c>
      <c r="K4730" s="4"/>
      <c r="L4730" s="33" t="str">
        <f>IFERROR(VLOOKUP($J4730,'Informations sur les produits'!$A$3:$H$10000,8,FALSE),"0")</f>
        <v>0</v>
      </c>
      <c r="N4730" s="8"/>
      <c r="O4730" s="33" t="str">
        <f>IFERROR(VLOOKUP($M4730,'Informations sur les produits'!$A$3:$H$10000,8,FALSE),"0")</f>
        <v>0</v>
      </c>
      <c r="P4730" s="33">
        <f t="shared" si="292"/>
        <v>0</v>
      </c>
      <c r="Q4730" s="31" t="str">
        <f t="shared" si="293"/>
        <v/>
      </c>
      <c r="R4730" s="32" t="str">
        <f>IFERROR(VLOOKUP($D4730,'Informations sur les produits'!$A$3:$B$15000,2,FALSE),"")</f>
        <v/>
      </c>
      <c r="V4730">
        <f t="shared" si="294"/>
        <v>0</v>
      </c>
      <c r="W4730">
        <f t="shared" si="295"/>
        <v>0</v>
      </c>
    </row>
    <row r="4731" spans="5:23" x14ac:dyDescent="0.25">
      <c r="E4731" s="4"/>
      <c r="F4731" s="4"/>
      <c r="G4731" s="33" t="str">
        <f>IFERROR(VLOOKUP($D4731,'Informations sur les produits'!$A$3:$H$10000,8,FALSE),"0")</f>
        <v>0</v>
      </c>
      <c r="K4731" s="4"/>
      <c r="L4731" s="33" t="str">
        <f>IFERROR(VLOOKUP($J4731,'Informations sur les produits'!$A$3:$H$10000,8,FALSE),"0")</f>
        <v>0</v>
      </c>
      <c r="N4731" s="8"/>
      <c r="O4731" s="33" t="str">
        <f>IFERROR(VLOOKUP($M4731,'Informations sur les produits'!$A$3:$H$10000,8,FALSE),"0")</f>
        <v>0</v>
      </c>
      <c r="P4731" s="33">
        <f t="shared" si="292"/>
        <v>0</v>
      </c>
      <c r="Q4731" s="31" t="str">
        <f t="shared" si="293"/>
        <v/>
      </c>
      <c r="R4731" s="32" t="str">
        <f>IFERROR(VLOOKUP($D4731,'Informations sur les produits'!$A$3:$B$15000,2,FALSE),"")</f>
        <v/>
      </c>
      <c r="V4731">
        <f t="shared" si="294"/>
        <v>0</v>
      </c>
      <c r="W4731">
        <f t="shared" si="295"/>
        <v>0</v>
      </c>
    </row>
    <row r="4732" spans="5:23" x14ac:dyDescent="0.25">
      <c r="E4732" s="4"/>
      <c r="F4732" s="4"/>
      <c r="G4732" s="33" t="str">
        <f>IFERROR(VLOOKUP($D4732,'Informations sur les produits'!$A$3:$H$10000,8,FALSE),"0")</f>
        <v>0</v>
      </c>
      <c r="K4732" s="4"/>
      <c r="L4732" s="33" t="str">
        <f>IFERROR(VLOOKUP($J4732,'Informations sur les produits'!$A$3:$H$10000,8,FALSE),"0")</f>
        <v>0</v>
      </c>
      <c r="N4732" s="8"/>
      <c r="O4732" s="33" t="str">
        <f>IFERROR(VLOOKUP($M4732,'Informations sur les produits'!$A$3:$H$10000,8,FALSE),"0")</f>
        <v>0</v>
      </c>
      <c r="P4732" s="33">
        <f t="shared" si="292"/>
        <v>0</v>
      </c>
      <c r="Q4732" s="31" t="str">
        <f t="shared" si="293"/>
        <v/>
      </c>
      <c r="R4732" s="32" t="str">
        <f>IFERROR(VLOOKUP($D4732,'Informations sur les produits'!$A$3:$B$15000,2,FALSE),"")</f>
        <v/>
      </c>
      <c r="V4732">
        <f t="shared" si="294"/>
        <v>0</v>
      </c>
      <c r="W4732">
        <f t="shared" si="295"/>
        <v>0</v>
      </c>
    </row>
    <row r="4733" spans="5:23" x14ac:dyDescent="0.25">
      <c r="E4733" s="4"/>
      <c r="F4733" s="4"/>
      <c r="G4733" s="33" t="str">
        <f>IFERROR(VLOOKUP($D4733,'Informations sur les produits'!$A$3:$H$10000,8,FALSE),"0")</f>
        <v>0</v>
      </c>
      <c r="K4733" s="4"/>
      <c r="L4733" s="33" t="str">
        <f>IFERROR(VLOOKUP($J4733,'Informations sur les produits'!$A$3:$H$10000,8,FALSE),"0")</f>
        <v>0</v>
      </c>
      <c r="N4733" s="8"/>
      <c r="O4733" s="33" t="str">
        <f>IFERROR(VLOOKUP($M4733,'Informations sur les produits'!$A$3:$H$10000,8,FALSE),"0")</f>
        <v>0</v>
      </c>
      <c r="P4733" s="33">
        <f t="shared" si="292"/>
        <v>0</v>
      </c>
      <c r="Q4733" s="31" t="str">
        <f t="shared" si="293"/>
        <v/>
      </c>
      <c r="R4733" s="32" t="str">
        <f>IFERROR(VLOOKUP($D4733,'Informations sur les produits'!$A$3:$B$15000,2,FALSE),"")</f>
        <v/>
      </c>
      <c r="V4733">
        <f t="shared" si="294"/>
        <v>0</v>
      </c>
      <c r="W4733">
        <f t="shared" si="295"/>
        <v>0</v>
      </c>
    </row>
    <row r="4734" spans="5:23" x14ac:dyDescent="0.25">
      <c r="E4734" s="4"/>
      <c r="F4734" s="4"/>
      <c r="G4734" s="33" t="str">
        <f>IFERROR(VLOOKUP($D4734,'Informations sur les produits'!$A$3:$H$10000,8,FALSE),"0")</f>
        <v>0</v>
      </c>
      <c r="K4734" s="4"/>
      <c r="L4734" s="33" t="str">
        <f>IFERROR(VLOOKUP($J4734,'Informations sur les produits'!$A$3:$H$10000,8,FALSE),"0")</f>
        <v>0</v>
      </c>
      <c r="N4734" s="8"/>
      <c r="O4734" s="33" t="str">
        <f>IFERROR(VLOOKUP($M4734,'Informations sur les produits'!$A$3:$H$10000,8,FALSE),"0")</f>
        <v>0</v>
      </c>
      <c r="P4734" s="33">
        <f t="shared" si="292"/>
        <v>0</v>
      </c>
      <c r="Q4734" s="31" t="str">
        <f t="shared" si="293"/>
        <v/>
      </c>
      <c r="R4734" s="32" t="str">
        <f>IFERROR(VLOOKUP($D4734,'Informations sur les produits'!$A$3:$B$15000,2,FALSE),"")</f>
        <v/>
      </c>
      <c r="V4734">
        <f t="shared" si="294"/>
        <v>0</v>
      </c>
      <c r="W4734">
        <f t="shared" si="295"/>
        <v>0</v>
      </c>
    </row>
    <row r="4735" spans="5:23" x14ac:dyDescent="0.25">
      <c r="E4735" s="4"/>
      <c r="F4735" s="4"/>
      <c r="G4735" s="33" t="str">
        <f>IFERROR(VLOOKUP($D4735,'Informations sur les produits'!$A$3:$H$10000,8,FALSE),"0")</f>
        <v>0</v>
      </c>
      <c r="K4735" s="4"/>
      <c r="L4735" s="33" t="str">
        <f>IFERROR(VLOOKUP($J4735,'Informations sur les produits'!$A$3:$H$10000,8,FALSE),"0")</f>
        <v>0</v>
      </c>
      <c r="N4735" s="8"/>
      <c r="O4735" s="33" t="str">
        <f>IFERROR(VLOOKUP($M4735,'Informations sur les produits'!$A$3:$H$10000,8,FALSE),"0")</f>
        <v>0</v>
      </c>
      <c r="P4735" s="33">
        <f t="shared" si="292"/>
        <v>0</v>
      </c>
      <c r="Q4735" s="31" t="str">
        <f t="shared" si="293"/>
        <v/>
      </c>
      <c r="R4735" s="32" t="str">
        <f>IFERROR(VLOOKUP($D4735,'Informations sur les produits'!$A$3:$B$15000,2,FALSE),"")</f>
        <v/>
      </c>
      <c r="V4735">
        <f t="shared" si="294"/>
        <v>0</v>
      </c>
      <c r="W4735">
        <f t="shared" si="295"/>
        <v>0</v>
      </c>
    </row>
    <row r="4736" spans="5:23" x14ac:dyDescent="0.25">
      <c r="E4736" s="4"/>
      <c r="F4736" s="4"/>
      <c r="G4736" s="33" t="str">
        <f>IFERROR(VLOOKUP($D4736,'Informations sur les produits'!$A$3:$H$10000,8,FALSE),"0")</f>
        <v>0</v>
      </c>
      <c r="K4736" s="4"/>
      <c r="L4736" s="33" t="str">
        <f>IFERROR(VLOOKUP($J4736,'Informations sur les produits'!$A$3:$H$10000,8,FALSE),"0")</f>
        <v>0</v>
      </c>
      <c r="N4736" s="8"/>
      <c r="O4736" s="33" t="str">
        <f>IFERROR(VLOOKUP($M4736,'Informations sur les produits'!$A$3:$H$10000,8,FALSE),"0")</f>
        <v>0</v>
      </c>
      <c r="P4736" s="33">
        <f t="shared" si="292"/>
        <v>0</v>
      </c>
      <c r="Q4736" s="31" t="str">
        <f t="shared" si="293"/>
        <v/>
      </c>
      <c r="R4736" s="32" t="str">
        <f>IFERROR(VLOOKUP($D4736,'Informations sur les produits'!$A$3:$B$15000,2,FALSE),"")</f>
        <v/>
      </c>
      <c r="V4736">
        <f t="shared" si="294"/>
        <v>0</v>
      </c>
      <c r="W4736">
        <f t="shared" si="295"/>
        <v>0</v>
      </c>
    </row>
    <row r="4737" spans="5:23" x14ac:dyDescent="0.25">
      <c r="E4737" s="4"/>
      <c r="F4737" s="4"/>
      <c r="G4737" s="33" t="str">
        <f>IFERROR(VLOOKUP($D4737,'Informations sur les produits'!$A$3:$H$10000,8,FALSE),"0")</f>
        <v>0</v>
      </c>
      <c r="K4737" s="4"/>
      <c r="L4737" s="33" t="str">
        <f>IFERROR(VLOOKUP($J4737,'Informations sur les produits'!$A$3:$H$10000,8,FALSE),"0")</f>
        <v>0</v>
      </c>
      <c r="N4737" s="8"/>
      <c r="O4737" s="33" t="str">
        <f>IFERROR(VLOOKUP($M4737,'Informations sur les produits'!$A$3:$H$10000,8,FALSE),"0")</f>
        <v>0</v>
      </c>
      <c r="P4737" s="33">
        <f t="shared" si="292"/>
        <v>0</v>
      </c>
      <c r="Q4737" s="31" t="str">
        <f t="shared" si="293"/>
        <v/>
      </c>
      <c r="R4737" s="32" t="str">
        <f>IFERROR(VLOOKUP($D4737,'Informations sur les produits'!$A$3:$B$15000,2,FALSE),"")</f>
        <v/>
      </c>
      <c r="V4737">
        <f t="shared" si="294"/>
        <v>0</v>
      </c>
      <c r="W4737">
        <f t="shared" si="295"/>
        <v>0</v>
      </c>
    </row>
    <row r="4738" spans="5:23" x14ac:dyDescent="0.25">
      <c r="E4738" s="4"/>
      <c r="F4738" s="4"/>
      <c r="G4738" s="33" t="str">
        <f>IFERROR(VLOOKUP($D4738,'Informations sur les produits'!$A$3:$H$10000,8,FALSE),"0")</f>
        <v>0</v>
      </c>
      <c r="K4738" s="4"/>
      <c r="L4738" s="33" t="str">
        <f>IFERROR(VLOOKUP($J4738,'Informations sur les produits'!$A$3:$H$10000,8,FALSE),"0")</f>
        <v>0</v>
      </c>
      <c r="N4738" s="8"/>
      <c r="O4738" s="33" t="str">
        <f>IFERROR(VLOOKUP($M4738,'Informations sur les produits'!$A$3:$H$10000,8,FALSE),"0")</f>
        <v>0</v>
      </c>
      <c r="P4738" s="33">
        <f t="shared" si="292"/>
        <v>0</v>
      </c>
      <c r="Q4738" s="31" t="str">
        <f t="shared" si="293"/>
        <v/>
      </c>
      <c r="R4738" s="32" t="str">
        <f>IFERROR(VLOOKUP($D4738,'Informations sur les produits'!$A$3:$B$15000,2,FALSE),"")</f>
        <v/>
      </c>
      <c r="V4738">
        <f t="shared" si="294"/>
        <v>0</v>
      </c>
      <c r="W4738">
        <f t="shared" si="295"/>
        <v>0</v>
      </c>
    </row>
    <row r="4739" spans="5:23" x14ac:dyDescent="0.25">
      <c r="E4739" s="4"/>
      <c r="F4739" s="4"/>
      <c r="G4739" s="33" t="str">
        <f>IFERROR(VLOOKUP($D4739,'Informations sur les produits'!$A$3:$H$10000,8,FALSE),"0")</f>
        <v>0</v>
      </c>
      <c r="K4739" s="4"/>
      <c r="L4739" s="33" t="str">
        <f>IFERROR(VLOOKUP($J4739,'Informations sur les produits'!$A$3:$H$10000,8,FALSE),"0")</f>
        <v>0</v>
      </c>
      <c r="N4739" s="8"/>
      <c r="O4739" s="33" t="str">
        <f>IFERROR(VLOOKUP($M4739,'Informations sur les produits'!$A$3:$H$10000,8,FALSE),"0")</f>
        <v>0</v>
      </c>
      <c r="P4739" s="33">
        <f t="shared" si="292"/>
        <v>0</v>
      </c>
      <c r="Q4739" s="31" t="str">
        <f t="shared" si="293"/>
        <v/>
      </c>
      <c r="R4739" s="32" t="str">
        <f>IFERROR(VLOOKUP($D4739,'Informations sur les produits'!$A$3:$B$15000,2,FALSE),"")</f>
        <v/>
      </c>
      <c r="V4739">
        <f t="shared" si="294"/>
        <v>0</v>
      </c>
      <c r="W4739">
        <f t="shared" si="295"/>
        <v>0</v>
      </c>
    </row>
    <row r="4740" spans="5:23" x14ac:dyDescent="0.25">
      <c r="E4740" s="4"/>
      <c r="F4740" s="4"/>
      <c r="G4740" s="33" t="str">
        <f>IFERROR(VLOOKUP($D4740,'Informations sur les produits'!$A$3:$H$10000,8,FALSE),"0")</f>
        <v>0</v>
      </c>
      <c r="K4740" s="4"/>
      <c r="L4740" s="33" t="str">
        <f>IFERROR(VLOOKUP($J4740,'Informations sur les produits'!$A$3:$H$10000,8,FALSE),"0")</f>
        <v>0</v>
      </c>
      <c r="N4740" s="8"/>
      <c r="O4740" s="33" t="str">
        <f>IFERROR(VLOOKUP($M4740,'Informations sur les produits'!$A$3:$H$10000,8,FALSE),"0")</f>
        <v>0</v>
      </c>
      <c r="P4740" s="33">
        <f t="shared" ref="P4740:P4803" si="296">IFERROR((($E4740-$F4740)*$G4740+$K4740*$L4740+$N4740*$O4740),"")</f>
        <v>0</v>
      </c>
      <c r="Q4740" s="31" t="str">
        <f t="shared" ref="Q4740:Q4803" si="297">IFERROR((((($E4740-$F4740)*$G4740+$K4740*$L4740+$N4740*$O4740)*1000)/(($E4740-$F4740)+$K4740+$N4740)),"")</f>
        <v/>
      </c>
      <c r="R4740" s="32" t="str">
        <f>IFERROR(VLOOKUP($D4740,'Informations sur les produits'!$A$3:$B$15000,2,FALSE),"")</f>
        <v/>
      </c>
      <c r="V4740">
        <f t="shared" ref="V4740:V4803" si="298">IFERROR(P4740*1000,"")</f>
        <v>0</v>
      </c>
      <c r="W4740">
        <f t="shared" ref="W4740:W4803" si="299">IFERROR(($E4740-$F4740)+$K4740+$N4740,"")</f>
        <v>0</v>
      </c>
    </row>
    <row r="4741" spans="5:23" x14ac:dyDescent="0.25">
      <c r="E4741" s="4"/>
      <c r="F4741" s="4"/>
      <c r="G4741" s="33" t="str">
        <f>IFERROR(VLOOKUP($D4741,'Informations sur les produits'!$A$3:$H$10000,8,FALSE),"0")</f>
        <v>0</v>
      </c>
      <c r="K4741" s="4"/>
      <c r="L4741" s="33" t="str">
        <f>IFERROR(VLOOKUP($J4741,'Informations sur les produits'!$A$3:$H$10000,8,FALSE),"0")</f>
        <v>0</v>
      </c>
      <c r="N4741" s="8"/>
      <c r="O4741" s="33" t="str">
        <f>IFERROR(VLOOKUP($M4741,'Informations sur les produits'!$A$3:$H$10000,8,FALSE),"0")</f>
        <v>0</v>
      </c>
      <c r="P4741" s="33">
        <f t="shared" si="296"/>
        <v>0</v>
      </c>
      <c r="Q4741" s="31" t="str">
        <f t="shared" si="297"/>
        <v/>
      </c>
      <c r="R4741" s="32" t="str">
        <f>IFERROR(VLOOKUP($D4741,'Informations sur les produits'!$A$3:$B$15000,2,FALSE),"")</f>
        <v/>
      </c>
      <c r="V4741">
        <f t="shared" si="298"/>
        <v>0</v>
      </c>
      <c r="W4741">
        <f t="shared" si="299"/>
        <v>0</v>
      </c>
    </row>
    <row r="4742" spans="5:23" x14ac:dyDescent="0.25">
      <c r="E4742" s="4"/>
      <c r="F4742" s="4"/>
      <c r="G4742" s="33" t="str">
        <f>IFERROR(VLOOKUP($D4742,'Informations sur les produits'!$A$3:$H$10000,8,FALSE),"0")</f>
        <v>0</v>
      </c>
      <c r="K4742" s="4"/>
      <c r="L4742" s="33" t="str">
        <f>IFERROR(VLOOKUP($J4742,'Informations sur les produits'!$A$3:$H$10000,8,FALSE),"0")</f>
        <v>0</v>
      </c>
      <c r="N4742" s="8"/>
      <c r="O4742" s="33" t="str">
        <f>IFERROR(VLOOKUP($M4742,'Informations sur les produits'!$A$3:$H$10000,8,FALSE),"0")</f>
        <v>0</v>
      </c>
      <c r="P4742" s="33">
        <f t="shared" si="296"/>
        <v>0</v>
      </c>
      <c r="Q4742" s="31" t="str">
        <f t="shared" si="297"/>
        <v/>
      </c>
      <c r="R4742" s="32" t="str">
        <f>IFERROR(VLOOKUP($D4742,'Informations sur les produits'!$A$3:$B$15000,2,FALSE),"")</f>
        <v/>
      </c>
      <c r="V4742">
        <f t="shared" si="298"/>
        <v>0</v>
      </c>
      <c r="W4742">
        <f t="shared" si="299"/>
        <v>0</v>
      </c>
    </row>
    <row r="4743" spans="5:23" x14ac:dyDescent="0.25">
      <c r="E4743" s="4"/>
      <c r="F4743" s="4"/>
      <c r="G4743" s="33" t="str">
        <f>IFERROR(VLOOKUP($D4743,'Informations sur les produits'!$A$3:$H$10000,8,FALSE),"0")</f>
        <v>0</v>
      </c>
      <c r="K4743" s="4"/>
      <c r="L4743" s="33" t="str">
        <f>IFERROR(VLOOKUP($J4743,'Informations sur les produits'!$A$3:$H$10000,8,FALSE),"0")</f>
        <v>0</v>
      </c>
      <c r="N4743" s="8"/>
      <c r="O4743" s="33" t="str">
        <f>IFERROR(VLOOKUP($M4743,'Informations sur les produits'!$A$3:$H$10000,8,FALSE),"0")</f>
        <v>0</v>
      </c>
      <c r="P4743" s="33">
        <f t="shared" si="296"/>
        <v>0</v>
      </c>
      <c r="Q4743" s="31" t="str">
        <f t="shared" si="297"/>
        <v/>
      </c>
      <c r="R4743" s="32" t="str">
        <f>IFERROR(VLOOKUP($D4743,'Informations sur les produits'!$A$3:$B$15000,2,FALSE),"")</f>
        <v/>
      </c>
      <c r="V4743">
        <f t="shared" si="298"/>
        <v>0</v>
      </c>
      <c r="W4743">
        <f t="shared" si="299"/>
        <v>0</v>
      </c>
    </row>
    <row r="4744" spans="5:23" x14ac:dyDescent="0.25">
      <c r="E4744" s="4"/>
      <c r="F4744" s="4"/>
      <c r="G4744" s="33" t="str">
        <f>IFERROR(VLOOKUP($D4744,'Informations sur les produits'!$A$3:$H$10000,8,FALSE),"0")</f>
        <v>0</v>
      </c>
      <c r="K4744" s="4"/>
      <c r="L4744" s="33" t="str">
        <f>IFERROR(VLOOKUP($J4744,'Informations sur les produits'!$A$3:$H$10000,8,FALSE),"0")</f>
        <v>0</v>
      </c>
      <c r="N4744" s="8"/>
      <c r="O4744" s="33" t="str">
        <f>IFERROR(VLOOKUP($M4744,'Informations sur les produits'!$A$3:$H$10000,8,FALSE),"0")</f>
        <v>0</v>
      </c>
      <c r="P4744" s="33">
        <f t="shared" si="296"/>
        <v>0</v>
      </c>
      <c r="Q4744" s="31" t="str">
        <f t="shared" si="297"/>
        <v/>
      </c>
      <c r="R4744" s="32" t="str">
        <f>IFERROR(VLOOKUP($D4744,'Informations sur les produits'!$A$3:$B$15000,2,FALSE),"")</f>
        <v/>
      </c>
      <c r="V4744">
        <f t="shared" si="298"/>
        <v>0</v>
      </c>
      <c r="W4744">
        <f t="shared" si="299"/>
        <v>0</v>
      </c>
    </row>
    <row r="4745" spans="5:23" x14ac:dyDescent="0.25">
      <c r="E4745" s="4"/>
      <c r="F4745" s="4"/>
      <c r="G4745" s="33" t="str">
        <f>IFERROR(VLOOKUP($D4745,'Informations sur les produits'!$A$3:$H$10000,8,FALSE),"0")</f>
        <v>0</v>
      </c>
      <c r="K4745" s="4"/>
      <c r="L4745" s="33" t="str">
        <f>IFERROR(VLOOKUP($J4745,'Informations sur les produits'!$A$3:$H$10000,8,FALSE),"0")</f>
        <v>0</v>
      </c>
      <c r="N4745" s="8"/>
      <c r="O4745" s="33" t="str">
        <f>IFERROR(VLOOKUP($M4745,'Informations sur les produits'!$A$3:$H$10000,8,FALSE),"0")</f>
        <v>0</v>
      </c>
      <c r="P4745" s="33">
        <f t="shared" si="296"/>
        <v>0</v>
      </c>
      <c r="Q4745" s="31" t="str">
        <f t="shared" si="297"/>
        <v/>
      </c>
      <c r="R4745" s="32" t="str">
        <f>IFERROR(VLOOKUP($D4745,'Informations sur les produits'!$A$3:$B$15000,2,FALSE),"")</f>
        <v/>
      </c>
      <c r="V4745">
        <f t="shared" si="298"/>
        <v>0</v>
      </c>
      <c r="W4745">
        <f t="shared" si="299"/>
        <v>0</v>
      </c>
    </row>
    <row r="4746" spans="5:23" x14ac:dyDescent="0.25">
      <c r="E4746" s="4"/>
      <c r="F4746" s="4"/>
      <c r="G4746" s="33" t="str">
        <f>IFERROR(VLOOKUP($D4746,'Informations sur les produits'!$A$3:$H$10000,8,FALSE),"0")</f>
        <v>0</v>
      </c>
      <c r="K4746" s="4"/>
      <c r="L4746" s="33" t="str">
        <f>IFERROR(VLOOKUP($J4746,'Informations sur les produits'!$A$3:$H$10000,8,FALSE),"0")</f>
        <v>0</v>
      </c>
      <c r="N4746" s="8"/>
      <c r="O4746" s="33" t="str">
        <f>IFERROR(VLOOKUP($M4746,'Informations sur les produits'!$A$3:$H$10000,8,FALSE),"0")</f>
        <v>0</v>
      </c>
      <c r="P4746" s="33">
        <f t="shared" si="296"/>
        <v>0</v>
      </c>
      <c r="Q4746" s="31" t="str">
        <f t="shared" si="297"/>
        <v/>
      </c>
      <c r="R4746" s="32" t="str">
        <f>IFERROR(VLOOKUP($D4746,'Informations sur les produits'!$A$3:$B$15000,2,FALSE),"")</f>
        <v/>
      </c>
      <c r="V4746">
        <f t="shared" si="298"/>
        <v>0</v>
      </c>
      <c r="W4746">
        <f t="shared" si="299"/>
        <v>0</v>
      </c>
    </row>
    <row r="4747" spans="5:23" x14ac:dyDescent="0.25">
      <c r="E4747" s="4"/>
      <c r="F4747" s="4"/>
      <c r="G4747" s="33" t="str">
        <f>IFERROR(VLOOKUP($D4747,'Informations sur les produits'!$A$3:$H$10000,8,FALSE),"0")</f>
        <v>0</v>
      </c>
      <c r="K4747" s="4"/>
      <c r="L4747" s="33" t="str">
        <f>IFERROR(VLOOKUP($J4747,'Informations sur les produits'!$A$3:$H$10000,8,FALSE),"0")</f>
        <v>0</v>
      </c>
      <c r="N4747" s="8"/>
      <c r="O4747" s="33" t="str">
        <f>IFERROR(VLOOKUP($M4747,'Informations sur les produits'!$A$3:$H$10000,8,FALSE),"0")</f>
        <v>0</v>
      </c>
      <c r="P4747" s="33">
        <f t="shared" si="296"/>
        <v>0</v>
      </c>
      <c r="Q4747" s="31" t="str">
        <f t="shared" si="297"/>
        <v/>
      </c>
      <c r="R4747" s="32" t="str">
        <f>IFERROR(VLOOKUP($D4747,'Informations sur les produits'!$A$3:$B$15000,2,FALSE),"")</f>
        <v/>
      </c>
      <c r="V4747">
        <f t="shared" si="298"/>
        <v>0</v>
      </c>
      <c r="W4747">
        <f t="shared" si="299"/>
        <v>0</v>
      </c>
    </row>
    <row r="4748" spans="5:23" x14ac:dyDescent="0.25">
      <c r="E4748" s="4"/>
      <c r="F4748" s="4"/>
      <c r="G4748" s="33" t="str">
        <f>IFERROR(VLOOKUP($D4748,'Informations sur les produits'!$A$3:$H$10000,8,FALSE),"0")</f>
        <v>0</v>
      </c>
      <c r="K4748" s="4"/>
      <c r="L4748" s="33" t="str">
        <f>IFERROR(VLOOKUP($J4748,'Informations sur les produits'!$A$3:$H$10000,8,FALSE),"0")</f>
        <v>0</v>
      </c>
      <c r="N4748" s="8"/>
      <c r="O4748" s="33" t="str">
        <f>IFERROR(VLOOKUP($M4748,'Informations sur les produits'!$A$3:$H$10000,8,FALSE),"0")</f>
        <v>0</v>
      </c>
      <c r="P4748" s="33">
        <f t="shared" si="296"/>
        <v>0</v>
      </c>
      <c r="Q4748" s="31" t="str">
        <f t="shared" si="297"/>
        <v/>
      </c>
      <c r="R4748" s="32" t="str">
        <f>IFERROR(VLOOKUP($D4748,'Informations sur les produits'!$A$3:$B$15000,2,FALSE),"")</f>
        <v/>
      </c>
      <c r="V4748">
        <f t="shared" si="298"/>
        <v>0</v>
      </c>
      <c r="W4748">
        <f t="shared" si="299"/>
        <v>0</v>
      </c>
    </row>
    <row r="4749" spans="5:23" x14ac:dyDescent="0.25">
      <c r="E4749" s="4"/>
      <c r="F4749" s="4"/>
      <c r="G4749" s="33" t="str">
        <f>IFERROR(VLOOKUP($D4749,'Informations sur les produits'!$A$3:$H$10000,8,FALSE),"0")</f>
        <v>0</v>
      </c>
      <c r="K4749" s="4"/>
      <c r="L4749" s="33" t="str">
        <f>IFERROR(VLOOKUP($J4749,'Informations sur les produits'!$A$3:$H$10000,8,FALSE),"0")</f>
        <v>0</v>
      </c>
      <c r="N4749" s="8"/>
      <c r="O4749" s="33" t="str">
        <f>IFERROR(VLOOKUP($M4749,'Informations sur les produits'!$A$3:$H$10000,8,FALSE),"0")</f>
        <v>0</v>
      </c>
      <c r="P4749" s="33">
        <f t="shared" si="296"/>
        <v>0</v>
      </c>
      <c r="Q4749" s="31" t="str">
        <f t="shared" si="297"/>
        <v/>
      </c>
      <c r="R4749" s="32" t="str">
        <f>IFERROR(VLOOKUP($D4749,'Informations sur les produits'!$A$3:$B$15000,2,FALSE),"")</f>
        <v/>
      </c>
      <c r="V4749">
        <f t="shared" si="298"/>
        <v>0</v>
      </c>
      <c r="W4749">
        <f t="shared" si="299"/>
        <v>0</v>
      </c>
    </row>
    <row r="4750" spans="5:23" x14ac:dyDescent="0.25">
      <c r="E4750" s="4"/>
      <c r="F4750" s="4"/>
      <c r="G4750" s="33" t="str">
        <f>IFERROR(VLOOKUP($D4750,'Informations sur les produits'!$A$3:$H$10000,8,FALSE),"0")</f>
        <v>0</v>
      </c>
      <c r="K4750" s="4"/>
      <c r="L4750" s="33" t="str">
        <f>IFERROR(VLOOKUP($J4750,'Informations sur les produits'!$A$3:$H$10000,8,FALSE),"0")</f>
        <v>0</v>
      </c>
      <c r="N4750" s="8"/>
      <c r="O4750" s="33" t="str">
        <f>IFERROR(VLOOKUP($M4750,'Informations sur les produits'!$A$3:$H$10000,8,FALSE),"0")</f>
        <v>0</v>
      </c>
      <c r="P4750" s="33">
        <f t="shared" si="296"/>
        <v>0</v>
      </c>
      <c r="Q4750" s="31" t="str">
        <f t="shared" si="297"/>
        <v/>
      </c>
      <c r="R4750" s="32" t="str">
        <f>IFERROR(VLOOKUP($D4750,'Informations sur les produits'!$A$3:$B$15000,2,FALSE),"")</f>
        <v/>
      </c>
      <c r="V4750">
        <f t="shared" si="298"/>
        <v>0</v>
      </c>
      <c r="W4750">
        <f t="shared" si="299"/>
        <v>0</v>
      </c>
    </row>
    <row r="4751" spans="5:23" x14ac:dyDescent="0.25">
      <c r="E4751" s="4"/>
      <c r="F4751" s="4"/>
      <c r="G4751" s="33" t="str">
        <f>IFERROR(VLOOKUP($D4751,'Informations sur les produits'!$A$3:$H$10000,8,FALSE),"0")</f>
        <v>0</v>
      </c>
      <c r="K4751" s="4"/>
      <c r="L4751" s="33" t="str">
        <f>IFERROR(VLOOKUP($J4751,'Informations sur les produits'!$A$3:$H$10000,8,FALSE),"0")</f>
        <v>0</v>
      </c>
      <c r="N4751" s="8"/>
      <c r="O4751" s="33" t="str">
        <f>IFERROR(VLOOKUP($M4751,'Informations sur les produits'!$A$3:$H$10000,8,FALSE),"0")</f>
        <v>0</v>
      </c>
      <c r="P4751" s="33">
        <f t="shared" si="296"/>
        <v>0</v>
      </c>
      <c r="Q4751" s="31" t="str">
        <f t="shared" si="297"/>
        <v/>
      </c>
      <c r="R4751" s="32" t="str">
        <f>IFERROR(VLOOKUP($D4751,'Informations sur les produits'!$A$3:$B$15000,2,FALSE),"")</f>
        <v/>
      </c>
      <c r="V4751">
        <f t="shared" si="298"/>
        <v>0</v>
      </c>
      <c r="W4751">
        <f t="shared" si="299"/>
        <v>0</v>
      </c>
    </row>
    <row r="4752" spans="5:23" x14ac:dyDescent="0.25">
      <c r="E4752" s="4"/>
      <c r="F4752" s="4"/>
      <c r="G4752" s="33" t="str">
        <f>IFERROR(VLOOKUP($D4752,'Informations sur les produits'!$A$3:$H$10000,8,FALSE),"0")</f>
        <v>0</v>
      </c>
      <c r="K4752" s="4"/>
      <c r="L4752" s="33" t="str">
        <f>IFERROR(VLOOKUP($J4752,'Informations sur les produits'!$A$3:$H$10000,8,FALSE),"0")</f>
        <v>0</v>
      </c>
      <c r="N4752" s="8"/>
      <c r="O4752" s="33" t="str">
        <f>IFERROR(VLOOKUP($M4752,'Informations sur les produits'!$A$3:$H$10000,8,FALSE),"0")</f>
        <v>0</v>
      </c>
      <c r="P4752" s="33">
        <f t="shared" si="296"/>
        <v>0</v>
      </c>
      <c r="Q4752" s="31" t="str">
        <f t="shared" si="297"/>
        <v/>
      </c>
      <c r="R4752" s="32" t="str">
        <f>IFERROR(VLOOKUP($D4752,'Informations sur les produits'!$A$3:$B$15000,2,FALSE),"")</f>
        <v/>
      </c>
      <c r="V4752">
        <f t="shared" si="298"/>
        <v>0</v>
      </c>
      <c r="W4752">
        <f t="shared" si="299"/>
        <v>0</v>
      </c>
    </row>
    <row r="4753" spans="5:23" x14ac:dyDescent="0.25">
      <c r="E4753" s="4"/>
      <c r="F4753" s="4"/>
      <c r="G4753" s="33" t="str">
        <f>IFERROR(VLOOKUP($D4753,'Informations sur les produits'!$A$3:$H$10000,8,FALSE),"0")</f>
        <v>0</v>
      </c>
      <c r="K4753" s="4"/>
      <c r="L4753" s="33" t="str">
        <f>IFERROR(VLOOKUP($J4753,'Informations sur les produits'!$A$3:$H$10000,8,FALSE),"0")</f>
        <v>0</v>
      </c>
      <c r="N4753" s="8"/>
      <c r="O4753" s="33" t="str">
        <f>IFERROR(VLOOKUP($M4753,'Informations sur les produits'!$A$3:$H$10000,8,FALSE),"0")</f>
        <v>0</v>
      </c>
      <c r="P4753" s="33">
        <f t="shared" si="296"/>
        <v>0</v>
      </c>
      <c r="Q4753" s="31" t="str">
        <f t="shared" si="297"/>
        <v/>
      </c>
      <c r="R4753" s="32" t="str">
        <f>IFERROR(VLOOKUP($D4753,'Informations sur les produits'!$A$3:$B$15000,2,FALSE),"")</f>
        <v/>
      </c>
      <c r="V4753">
        <f t="shared" si="298"/>
        <v>0</v>
      </c>
      <c r="W4753">
        <f t="shared" si="299"/>
        <v>0</v>
      </c>
    </row>
    <row r="4754" spans="5:23" x14ac:dyDescent="0.25">
      <c r="E4754" s="4"/>
      <c r="F4754" s="4"/>
      <c r="G4754" s="33" t="str">
        <f>IFERROR(VLOOKUP($D4754,'Informations sur les produits'!$A$3:$H$10000,8,FALSE),"0")</f>
        <v>0</v>
      </c>
      <c r="K4754" s="4"/>
      <c r="L4754" s="33" t="str">
        <f>IFERROR(VLOOKUP($J4754,'Informations sur les produits'!$A$3:$H$10000,8,FALSE),"0")</f>
        <v>0</v>
      </c>
      <c r="N4754" s="8"/>
      <c r="O4754" s="33" t="str">
        <f>IFERROR(VLOOKUP($M4754,'Informations sur les produits'!$A$3:$H$10000,8,FALSE),"0")</f>
        <v>0</v>
      </c>
      <c r="P4754" s="33">
        <f t="shared" si="296"/>
        <v>0</v>
      </c>
      <c r="Q4754" s="31" t="str">
        <f t="shared" si="297"/>
        <v/>
      </c>
      <c r="R4754" s="32" t="str">
        <f>IFERROR(VLOOKUP($D4754,'Informations sur les produits'!$A$3:$B$15000,2,FALSE),"")</f>
        <v/>
      </c>
      <c r="V4754">
        <f t="shared" si="298"/>
        <v>0</v>
      </c>
      <c r="W4754">
        <f t="shared" si="299"/>
        <v>0</v>
      </c>
    </row>
    <row r="4755" spans="5:23" x14ac:dyDescent="0.25">
      <c r="E4755" s="4"/>
      <c r="F4755" s="4"/>
      <c r="G4755" s="33" t="str">
        <f>IFERROR(VLOOKUP($D4755,'Informations sur les produits'!$A$3:$H$10000,8,FALSE),"0")</f>
        <v>0</v>
      </c>
      <c r="K4755" s="4"/>
      <c r="L4755" s="33" t="str">
        <f>IFERROR(VLOOKUP($J4755,'Informations sur les produits'!$A$3:$H$10000,8,FALSE),"0")</f>
        <v>0</v>
      </c>
      <c r="N4755" s="8"/>
      <c r="O4755" s="33" t="str">
        <f>IFERROR(VLOOKUP($M4755,'Informations sur les produits'!$A$3:$H$10000,8,FALSE),"0")</f>
        <v>0</v>
      </c>
      <c r="P4755" s="33">
        <f t="shared" si="296"/>
        <v>0</v>
      </c>
      <c r="Q4755" s="31" t="str">
        <f t="shared" si="297"/>
        <v/>
      </c>
      <c r="R4755" s="32" t="str">
        <f>IFERROR(VLOOKUP($D4755,'Informations sur les produits'!$A$3:$B$15000,2,FALSE),"")</f>
        <v/>
      </c>
      <c r="V4755">
        <f t="shared" si="298"/>
        <v>0</v>
      </c>
      <c r="W4755">
        <f t="shared" si="299"/>
        <v>0</v>
      </c>
    </row>
    <row r="4756" spans="5:23" x14ac:dyDescent="0.25">
      <c r="E4756" s="4"/>
      <c r="F4756" s="4"/>
      <c r="G4756" s="33" t="str">
        <f>IFERROR(VLOOKUP($D4756,'Informations sur les produits'!$A$3:$H$10000,8,FALSE),"0")</f>
        <v>0</v>
      </c>
      <c r="K4756" s="4"/>
      <c r="L4756" s="33" t="str">
        <f>IFERROR(VLOOKUP($J4756,'Informations sur les produits'!$A$3:$H$10000,8,FALSE),"0")</f>
        <v>0</v>
      </c>
      <c r="N4756" s="8"/>
      <c r="O4756" s="33" t="str">
        <f>IFERROR(VLOOKUP($M4756,'Informations sur les produits'!$A$3:$H$10000,8,FALSE),"0")</f>
        <v>0</v>
      </c>
      <c r="P4756" s="33">
        <f t="shared" si="296"/>
        <v>0</v>
      </c>
      <c r="Q4756" s="31" t="str">
        <f t="shared" si="297"/>
        <v/>
      </c>
      <c r="R4756" s="32" t="str">
        <f>IFERROR(VLOOKUP($D4756,'Informations sur les produits'!$A$3:$B$15000,2,FALSE),"")</f>
        <v/>
      </c>
      <c r="V4756">
        <f t="shared" si="298"/>
        <v>0</v>
      </c>
      <c r="W4756">
        <f t="shared" si="299"/>
        <v>0</v>
      </c>
    </row>
    <row r="4757" spans="5:23" x14ac:dyDescent="0.25">
      <c r="E4757" s="4"/>
      <c r="F4757" s="4"/>
      <c r="G4757" s="33" t="str">
        <f>IFERROR(VLOOKUP($D4757,'Informations sur les produits'!$A$3:$H$10000,8,FALSE),"0")</f>
        <v>0</v>
      </c>
      <c r="K4757" s="4"/>
      <c r="L4757" s="33" t="str">
        <f>IFERROR(VLOOKUP($J4757,'Informations sur les produits'!$A$3:$H$10000,8,FALSE),"0")</f>
        <v>0</v>
      </c>
      <c r="N4757" s="8"/>
      <c r="O4757" s="33" t="str">
        <f>IFERROR(VLOOKUP($M4757,'Informations sur les produits'!$A$3:$H$10000,8,FALSE),"0")</f>
        <v>0</v>
      </c>
      <c r="P4757" s="33">
        <f t="shared" si="296"/>
        <v>0</v>
      </c>
      <c r="Q4757" s="31" t="str">
        <f t="shared" si="297"/>
        <v/>
      </c>
      <c r="R4757" s="32" t="str">
        <f>IFERROR(VLOOKUP($D4757,'Informations sur les produits'!$A$3:$B$15000,2,FALSE),"")</f>
        <v/>
      </c>
      <c r="V4757">
        <f t="shared" si="298"/>
        <v>0</v>
      </c>
      <c r="W4757">
        <f t="shared" si="299"/>
        <v>0</v>
      </c>
    </row>
    <row r="4758" spans="5:23" x14ac:dyDescent="0.25">
      <c r="E4758" s="4"/>
      <c r="F4758" s="4"/>
      <c r="G4758" s="33" t="str">
        <f>IFERROR(VLOOKUP($D4758,'Informations sur les produits'!$A$3:$H$10000,8,FALSE),"0")</f>
        <v>0</v>
      </c>
      <c r="K4758" s="4"/>
      <c r="L4758" s="33" t="str">
        <f>IFERROR(VLOOKUP($J4758,'Informations sur les produits'!$A$3:$H$10000,8,FALSE),"0")</f>
        <v>0</v>
      </c>
      <c r="N4758" s="8"/>
      <c r="O4758" s="33" t="str">
        <f>IFERROR(VLOOKUP($M4758,'Informations sur les produits'!$A$3:$H$10000,8,FALSE),"0")</f>
        <v>0</v>
      </c>
      <c r="P4758" s="33">
        <f t="shared" si="296"/>
        <v>0</v>
      </c>
      <c r="Q4758" s="31" t="str">
        <f t="shared" si="297"/>
        <v/>
      </c>
      <c r="R4758" s="32" t="str">
        <f>IFERROR(VLOOKUP($D4758,'Informations sur les produits'!$A$3:$B$15000,2,FALSE),"")</f>
        <v/>
      </c>
      <c r="V4758">
        <f t="shared" si="298"/>
        <v>0</v>
      </c>
      <c r="W4758">
        <f t="shared" si="299"/>
        <v>0</v>
      </c>
    </row>
    <row r="4759" spans="5:23" x14ac:dyDescent="0.25">
      <c r="E4759" s="4"/>
      <c r="F4759" s="4"/>
      <c r="G4759" s="33" t="str">
        <f>IFERROR(VLOOKUP($D4759,'Informations sur les produits'!$A$3:$H$10000,8,FALSE),"0")</f>
        <v>0</v>
      </c>
      <c r="K4759" s="4"/>
      <c r="L4759" s="33" t="str">
        <f>IFERROR(VLOOKUP($J4759,'Informations sur les produits'!$A$3:$H$10000,8,FALSE),"0")</f>
        <v>0</v>
      </c>
      <c r="N4759" s="8"/>
      <c r="O4759" s="33" t="str">
        <f>IFERROR(VLOOKUP($M4759,'Informations sur les produits'!$A$3:$H$10000,8,FALSE),"0")</f>
        <v>0</v>
      </c>
      <c r="P4759" s="33">
        <f t="shared" si="296"/>
        <v>0</v>
      </c>
      <c r="Q4759" s="31" t="str">
        <f t="shared" si="297"/>
        <v/>
      </c>
      <c r="R4759" s="32" t="str">
        <f>IFERROR(VLOOKUP($D4759,'Informations sur les produits'!$A$3:$B$15000,2,FALSE),"")</f>
        <v/>
      </c>
      <c r="V4759">
        <f t="shared" si="298"/>
        <v>0</v>
      </c>
      <c r="W4759">
        <f t="shared" si="299"/>
        <v>0</v>
      </c>
    </row>
    <row r="4760" spans="5:23" x14ac:dyDescent="0.25">
      <c r="E4760" s="4"/>
      <c r="F4760" s="4"/>
      <c r="G4760" s="33" t="str">
        <f>IFERROR(VLOOKUP($D4760,'Informations sur les produits'!$A$3:$H$10000,8,FALSE),"0")</f>
        <v>0</v>
      </c>
      <c r="K4760" s="4"/>
      <c r="L4760" s="33" t="str">
        <f>IFERROR(VLOOKUP($J4760,'Informations sur les produits'!$A$3:$H$10000,8,FALSE),"0")</f>
        <v>0</v>
      </c>
      <c r="N4760" s="8"/>
      <c r="O4760" s="33" t="str">
        <f>IFERROR(VLOOKUP($M4760,'Informations sur les produits'!$A$3:$H$10000,8,FALSE),"0")</f>
        <v>0</v>
      </c>
      <c r="P4760" s="33">
        <f t="shared" si="296"/>
        <v>0</v>
      </c>
      <c r="Q4760" s="31" t="str">
        <f t="shared" si="297"/>
        <v/>
      </c>
      <c r="R4760" s="32" t="str">
        <f>IFERROR(VLOOKUP($D4760,'Informations sur les produits'!$A$3:$B$15000,2,FALSE),"")</f>
        <v/>
      </c>
      <c r="V4760">
        <f t="shared" si="298"/>
        <v>0</v>
      </c>
      <c r="W4760">
        <f t="shared" si="299"/>
        <v>0</v>
      </c>
    </row>
    <row r="4761" spans="5:23" x14ac:dyDescent="0.25">
      <c r="E4761" s="4"/>
      <c r="F4761" s="4"/>
      <c r="G4761" s="33" t="str">
        <f>IFERROR(VLOOKUP($D4761,'Informations sur les produits'!$A$3:$H$10000,8,FALSE),"0")</f>
        <v>0</v>
      </c>
      <c r="K4761" s="4"/>
      <c r="L4761" s="33" t="str">
        <f>IFERROR(VLOOKUP($J4761,'Informations sur les produits'!$A$3:$H$10000,8,FALSE),"0")</f>
        <v>0</v>
      </c>
      <c r="N4761" s="8"/>
      <c r="O4761" s="33" t="str">
        <f>IFERROR(VLOOKUP($M4761,'Informations sur les produits'!$A$3:$H$10000,8,FALSE),"0")</f>
        <v>0</v>
      </c>
      <c r="P4761" s="33">
        <f t="shared" si="296"/>
        <v>0</v>
      </c>
      <c r="Q4761" s="31" t="str">
        <f t="shared" si="297"/>
        <v/>
      </c>
      <c r="R4761" s="32" t="str">
        <f>IFERROR(VLOOKUP($D4761,'Informations sur les produits'!$A$3:$B$15000,2,FALSE),"")</f>
        <v/>
      </c>
      <c r="V4761">
        <f t="shared" si="298"/>
        <v>0</v>
      </c>
      <c r="W4761">
        <f t="shared" si="299"/>
        <v>0</v>
      </c>
    </row>
    <row r="4762" spans="5:23" x14ac:dyDescent="0.25">
      <c r="E4762" s="4"/>
      <c r="F4762" s="4"/>
      <c r="G4762" s="33" t="str">
        <f>IFERROR(VLOOKUP($D4762,'Informations sur les produits'!$A$3:$H$10000,8,FALSE),"0")</f>
        <v>0</v>
      </c>
      <c r="K4762" s="4"/>
      <c r="L4762" s="33" t="str">
        <f>IFERROR(VLOOKUP($J4762,'Informations sur les produits'!$A$3:$H$10000,8,FALSE),"0")</f>
        <v>0</v>
      </c>
      <c r="N4762" s="8"/>
      <c r="O4762" s="33" t="str">
        <f>IFERROR(VLOOKUP($M4762,'Informations sur les produits'!$A$3:$H$10000,8,FALSE),"0")</f>
        <v>0</v>
      </c>
      <c r="P4762" s="33">
        <f t="shared" si="296"/>
        <v>0</v>
      </c>
      <c r="Q4762" s="31" t="str">
        <f t="shared" si="297"/>
        <v/>
      </c>
      <c r="R4762" s="32" t="str">
        <f>IFERROR(VLOOKUP($D4762,'Informations sur les produits'!$A$3:$B$15000,2,FALSE),"")</f>
        <v/>
      </c>
      <c r="V4762">
        <f t="shared" si="298"/>
        <v>0</v>
      </c>
      <c r="W4762">
        <f t="shared" si="299"/>
        <v>0</v>
      </c>
    </row>
    <row r="4763" spans="5:23" x14ac:dyDescent="0.25">
      <c r="E4763" s="4"/>
      <c r="F4763" s="4"/>
      <c r="G4763" s="33" t="str">
        <f>IFERROR(VLOOKUP($D4763,'Informations sur les produits'!$A$3:$H$10000,8,FALSE),"0")</f>
        <v>0</v>
      </c>
      <c r="K4763" s="4"/>
      <c r="L4763" s="33" t="str">
        <f>IFERROR(VLOOKUP($J4763,'Informations sur les produits'!$A$3:$H$10000,8,FALSE),"0")</f>
        <v>0</v>
      </c>
      <c r="N4763" s="8"/>
      <c r="O4763" s="33" t="str">
        <f>IFERROR(VLOOKUP($M4763,'Informations sur les produits'!$A$3:$H$10000,8,FALSE),"0")</f>
        <v>0</v>
      </c>
      <c r="P4763" s="33">
        <f t="shared" si="296"/>
        <v>0</v>
      </c>
      <c r="Q4763" s="31" t="str">
        <f t="shared" si="297"/>
        <v/>
      </c>
      <c r="R4763" s="32" t="str">
        <f>IFERROR(VLOOKUP($D4763,'Informations sur les produits'!$A$3:$B$15000,2,FALSE),"")</f>
        <v/>
      </c>
      <c r="V4763">
        <f t="shared" si="298"/>
        <v>0</v>
      </c>
      <c r="W4763">
        <f t="shared" si="299"/>
        <v>0</v>
      </c>
    </row>
    <row r="4764" spans="5:23" x14ac:dyDescent="0.25">
      <c r="E4764" s="4"/>
      <c r="F4764" s="4"/>
      <c r="G4764" s="33" t="str">
        <f>IFERROR(VLOOKUP($D4764,'Informations sur les produits'!$A$3:$H$10000,8,FALSE),"0")</f>
        <v>0</v>
      </c>
      <c r="K4764" s="4"/>
      <c r="L4764" s="33" t="str">
        <f>IFERROR(VLOOKUP($J4764,'Informations sur les produits'!$A$3:$H$10000,8,FALSE),"0")</f>
        <v>0</v>
      </c>
      <c r="N4764" s="8"/>
      <c r="O4764" s="33" t="str">
        <f>IFERROR(VLOOKUP($M4764,'Informations sur les produits'!$A$3:$H$10000,8,FALSE),"0")</f>
        <v>0</v>
      </c>
      <c r="P4764" s="33">
        <f t="shared" si="296"/>
        <v>0</v>
      </c>
      <c r="Q4764" s="31" t="str">
        <f t="shared" si="297"/>
        <v/>
      </c>
      <c r="R4764" s="32" t="str">
        <f>IFERROR(VLOOKUP($D4764,'Informations sur les produits'!$A$3:$B$15000,2,FALSE),"")</f>
        <v/>
      </c>
      <c r="V4764">
        <f t="shared" si="298"/>
        <v>0</v>
      </c>
      <c r="W4764">
        <f t="shared" si="299"/>
        <v>0</v>
      </c>
    </row>
    <row r="4765" spans="5:23" x14ac:dyDescent="0.25">
      <c r="E4765" s="4"/>
      <c r="F4765" s="4"/>
      <c r="G4765" s="33" t="str">
        <f>IFERROR(VLOOKUP($D4765,'Informations sur les produits'!$A$3:$H$10000,8,FALSE),"0")</f>
        <v>0</v>
      </c>
      <c r="K4765" s="4"/>
      <c r="L4765" s="33" t="str">
        <f>IFERROR(VLOOKUP($J4765,'Informations sur les produits'!$A$3:$H$10000,8,FALSE),"0")</f>
        <v>0</v>
      </c>
      <c r="N4765" s="8"/>
      <c r="O4765" s="33" t="str">
        <f>IFERROR(VLOOKUP($M4765,'Informations sur les produits'!$A$3:$H$10000,8,FALSE),"0")</f>
        <v>0</v>
      </c>
      <c r="P4765" s="33">
        <f t="shared" si="296"/>
        <v>0</v>
      </c>
      <c r="Q4765" s="31" t="str">
        <f t="shared" si="297"/>
        <v/>
      </c>
      <c r="R4765" s="32" t="str">
        <f>IFERROR(VLOOKUP($D4765,'Informations sur les produits'!$A$3:$B$15000,2,FALSE),"")</f>
        <v/>
      </c>
      <c r="V4765">
        <f t="shared" si="298"/>
        <v>0</v>
      </c>
      <c r="W4765">
        <f t="shared" si="299"/>
        <v>0</v>
      </c>
    </row>
    <row r="4766" spans="5:23" x14ac:dyDescent="0.25">
      <c r="E4766" s="4"/>
      <c r="F4766" s="4"/>
      <c r="G4766" s="33" t="str">
        <f>IFERROR(VLOOKUP($D4766,'Informations sur les produits'!$A$3:$H$10000,8,FALSE),"0")</f>
        <v>0</v>
      </c>
      <c r="K4766" s="4"/>
      <c r="L4766" s="33" t="str">
        <f>IFERROR(VLOOKUP($J4766,'Informations sur les produits'!$A$3:$H$10000,8,FALSE),"0")</f>
        <v>0</v>
      </c>
      <c r="N4766" s="8"/>
      <c r="O4766" s="33" t="str">
        <f>IFERROR(VLOOKUP($M4766,'Informations sur les produits'!$A$3:$H$10000,8,FALSE),"0")</f>
        <v>0</v>
      </c>
      <c r="P4766" s="33">
        <f t="shared" si="296"/>
        <v>0</v>
      </c>
      <c r="Q4766" s="31" t="str">
        <f t="shared" si="297"/>
        <v/>
      </c>
      <c r="R4766" s="32" t="str">
        <f>IFERROR(VLOOKUP($D4766,'Informations sur les produits'!$A$3:$B$15000,2,FALSE),"")</f>
        <v/>
      </c>
      <c r="V4766">
        <f t="shared" si="298"/>
        <v>0</v>
      </c>
      <c r="W4766">
        <f t="shared" si="299"/>
        <v>0</v>
      </c>
    </row>
    <row r="4767" spans="5:23" x14ac:dyDescent="0.25">
      <c r="E4767" s="4"/>
      <c r="F4767" s="4"/>
      <c r="G4767" s="33" t="str">
        <f>IFERROR(VLOOKUP($D4767,'Informations sur les produits'!$A$3:$H$10000,8,FALSE),"0")</f>
        <v>0</v>
      </c>
      <c r="K4767" s="4"/>
      <c r="L4767" s="33" t="str">
        <f>IFERROR(VLOOKUP($J4767,'Informations sur les produits'!$A$3:$H$10000,8,FALSE),"0")</f>
        <v>0</v>
      </c>
      <c r="N4767" s="8"/>
      <c r="O4767" s="33" t="str">
        <f>IFERROR(VLOOKUP($M4767,'Informations sur les produits'!$A$3:$H$10000,8,FALSE),"0")</f>
        <v>0</v>
      </c>
      <c r="P4767" s="33">
        <f t="shared" si="296"/>
        <v>0</v>
      </c>
      <c r="Q4767" s="31" t="str">
        <f t="shared" si="297"/>
        <v/>
      </c>
      <c r="R4767" s="32" t="str">
        <f>IFERROR(VLOOKUP($D4767,'Informations sur les produits'!$A$3:$B$15000,2,FALSE),"")</f>
        <v/>
      </c>
      <c r="V4767">
        <f t="shared" si="298"/>
        <v>0</v>
      </c>
      <c r="W4767">
        <f t="shared" si="299"/>
        <v>0</v>
      </c>
    </row>
    <row r="4768" spans="5:23" x14ac:dyDescent="0.25">
      <c r="E4768" s="4"/>
      <c r="F4768" s="4"/>
      <c r="G4768" s="33" t="str">
        <f>IFERROR(VLOOKUP($D4768,'Informations sur les produits'!$A$3:$H$10000,8,FALSE),"0")</f>
        <v>0</v>
      </c>
      <c r="K4768" s="4"/>
      <c r="L4768" s="33" t="str">
        <f>IFERROR(VLOOKUP($J4768,'Informations sur les produits'!$A$3:$H$10000,8,FALSE),"0")</f>
        <v>0</v>
      </c>
      <c r="N4768" s="8"/>
      <c r="O4768" s="33" t="str">
        <f>IFERROR(VLOOKUP($M4768,'Informations sur les produits'!$A$3:$H$10000,8,FALSE),"0")</f>
        <v>0</v>
      </c>
      <c r="P4768" s="33">
        <f t="shared" si="296"/>
        <v>0</v>
      </c>
      <c r="Q4768" s="31" t="str">
        <f t="shared" si="297"/>
        <v/>
      </c>
      <c r="R4768" s="32" t="str">
        <f>IFERROR(VLOOKUP($D4768,'Informations sur les produits'!$A$3:$B$15000,2,FALSE),"")</f>
        <v/>
      </c>
      <c r="V4768">
        <f t="shared" si="298"/>
        <v>0</v>
      </c>
      <c r="W4768">
        <f t="shared" si="299"/>
        <v>0</v>
      </c>
    </row>
    <row r="4769" spans="5:23" x14ac:dyDescent="0.25">
      <c r="E4769" s="4"/>
      <c r="F4769" s="4"/>
      <c r="G4769" s="33" t="str">
        <f>IFERROR(VLOOKUP($D4769,'Informations sur les produits'!$A$3:$H$10000,8,FALSE),"0")</f>
        <v>0</v>
      </c>
      <c r="K4769" s="4"/>
      <c r="L4769" s="33" t="str">
        <f>IFERROR(VLOOKUP($J4769,'Informations sur les produits'!$A$3:$H$10000,8,FALSE),"0")</f>
        <v>0</v>
      </c>
      <c r="N4769" s="8"/>
      <c r="O4769" s="33" t="str">
        <f>IFERROR(VLOOKUP($M4769,'Informations sur les produits'!$A$3:$H$10000,8,FALSE),"0")</f>
        <v>0</v>
      </c>
      <c r="P4769" s="33">
        <f t="shared" si="296"/>
        <v>0</v>
      </c>
      <c r="Q4769" s="31" t="str">
        <f t="shared" si="297"/>
        <v/>
      </c>
      <c r="R4769" s="32" t="str">
        <f>IFERROR(VLOOKUP($D4769,'Informations sur les produits'!$A$3:$B$15000,2,FALSE),"")</f>
        <v/>
      </c>
      <c r="V4769">
        <f t="shared" si="298"/>
        <v>0</v>
      </c>
      <c r="W4769">
        <f t="shared" si="299"/>
        <v>0</v>
      </c>
    </row>
    <row r="4770" spans="5:23" x14ac:dyDescent="0.25">
      <c r="E4770" s="4"/>
      <c r="F4770" s="4"/>
      <c r="G4770" s="33" t="str">
        <f>IFERROR(VLOOKUP($D4770,'Informations sur les produits'!$A$3:$H$10000,8,FALSE),"0")</f>
        <v>0</v>
      </c>
      <c r="K4770" s="4"/>
      <c r="L4770" s="33" t="str">
        <f>IFERROR(VLOOKUP($J4770,'Informations sur les produits'!$A$3:$H$10000,8,FALSE),"0")</f>
        <v>0</v>
      </c>
      <c r="N4770" s="8"/>
      <c r="O4770" s="33" t="str">
        <f>IFERROR(VLOOKUP($M4770,'Informations sur les produits'!$A$3:$H$10000,8,FALSE),"0")</f>
        <v>0</v>
      </c>
      <c r="P4770" s="33">
        <f t="shared" si="296"/>
        <v>0</v>
      </c>
      <c r="Q4770" s="31" t="str">
        <f t="shared" si="297"/>
        <v/>
      </c>
      <c r="R4770" s="32" t="str">
        <f>IFERROR(VLOOKUP($D4770,'Informations sur les produits'!$A$3:$B$15000,2,FALSE),"")</f>
        <v/>
      </c>
      <c r="V4770">
        <f t="shared" si="298"/>
        <v>0</v>
      </c>
      <c r="W4770">
        <f t="shared" si="299"/>
        <v>0</v>
      </c>
    </row>
    <row r="4771" spans="5:23" x14ac:dyDescent="0.25">
      <c r="E4771" s="4"/>
      <c r="F4771" s="4"/>
      <c r="G4771" s="33" t="str">
        <f>IFERROR(VLOOKUP($D4771,'Informations sur les produits'!$A$3:$H$10000,8,FALSE),"0")</f>
        <v>0</v>
      </c>
      <c r="K4771" s="4"/>
      <c r="L4771" s="33" t="str">
        <f>IFERROR(VLOOKUP($J4771,'Informations sur les produits'!$A$3:$H$10000,8,FALSE),"0")</f>
        <v>0</v>
      </c>
      <c r="N4771" s="8"/>
      <c r="O4771" s="33" t="str">
        <f>IFERROR(VLOOKUP($M4771,'Informations sur les produits'!$A$3:$H$10000,8,FALSE),"0")</f>
        <v>0</v>
      </c>
      <c r="P4771" s="33">
        <f t="shared" si="296"/>
        <v>0</v>
      </c>
      <c r="Q4771" s="31" t="str">
        <f t="shared" si="297"/>
        <v/>
      </c>
      <c r="R4771" s="32" t="str">
        <f>IFERROR(VLOOKUP($D4771,'Informations sur les produits'!$A$3:$B$15000,2,FALSE),"")</f>
        <v/>
      </c>
      <c r="V4771">
        <f t="shared" si="298"/>
        <v>0</v>
      </c>
      <c r="W4771">
        <f t="shared" si="299"/>
        <v>0</v>
      </c>
    </row>
    <row r="4772" spans="5:23" x14ac:dyDescent="0.25">
      <c r="E4772" s="4"/>
      <c r="F4772" s="4"/>
      <c r="G4772" s="33" t="str">
        <f>IFERROR(VLOOKUP($D4772,'Informations sur les produits'!$A$3:$H$10000,8,FALSE),"0")</f>
        <v>0</v>
      </c>
      <c r="K4772" s="4"/>
      <c r="L4772" s="33" t="str">
        <f>IFERROR(VLOOKUP($J4772,'Informations sur les produits'!$A$3:$H$10000,8,FALSE),"0")</f>
        <v>0</v>
      </c>
      <c r="N4772" s="8"/>
      <c r="O4772" s="33" t="str">
        <f>IFERROR(VLOOKUP($M4772,'Informations sur les produits'!$A$3:$H$10000,8,FALSE),"0")</f>
        <v>0</v>
      </c>
      <c r="P4772" s="33">
        <f t="shared" si="296"/>
        <v>0</v>
      </c>
      <c r="Q4772" s="31" t="str">
        <f t="shared" si="297"/>
        <v/>
      </c>
      <c r="R4772" s="32" t="str">
        <f>IFERROR(VLOOKUP($D4772,'Informations sur les produits'!$A$3:$B$15000,2,FALSE),"")</f>
        <v/>
      </c>
      <c r="V4772">
        <f t="shared" si="298"/>
        <v>0</v>
      </c>
      <c r="W4772">
        <f t="shared" si="299"/>
        <v>0</v>
      </c>
    </row>
    <row r="4773" spans="5:23" x14ac:dyDescent="0.25">
      <c r="E4773" s="4"/>
      <c r="F4773" s="4"/>
      <c r="G4773" s="33" t="str">
        <f>IFERROR(VLOOKUP($D4773,'Informations sur les produits'!$A$3:$H$10000,8,FALSE),"0")</f>
        <v>0</v>
      </c>
      <c r="K4773" s="4"/>
      <c r="L4773" s="33" t="str">
        <f>IFERROR(VLOOKUP($J4773,'Informations sur les produits'!$A$3:$H$10000,8,FALSE),"0")</f>
        <v>0</v>
      </c>
      <c r="N4773" s="8"/>
      <c r="O4773" s="33" t="str">
        <f>IFERROR(VLOOKUP($M4773,'Informations sur les produits'!$A$3:$H$10000,8,FALSE),"0")</f>
        <v>0</v>
      </c>
      <c r="P4773" s="33">
        <f t="shared" si="296"/>
        <v>0</v>
      </c>
      <c r="Q4773" s="31" t="str">
        <f t="shared" si="297"/>
        <v/>
      </c>
      <c r="R4773" s="32" t="str">
        <f>IFERROR(VLOOKUP($D4773,'Informations sur les produits'!$A$3:$B$15000,2,FALSE),"")</f>
        <v/>
      </c>
      <c r="V4773">
        <f t="shared" si="298"/>
        <v>0</v>
      </c>
      <c r="W4773">
        <f t="shared" si="299"/>
        <v>0</v>
      </c>
    </row>
    <row r="4774" spans="5:23" x14ac:dyDescent="0.25">
      <c r="E4774" s="4"/>
      <c r="F4774" s="4"/>
      <c r="G4774" s="33" t="str">
        <f>IFERROR(VLOOKUP($D4774,'Informations sur les produits'!$A$3:$H$10000,8,FALSE),"0")</f>
        <v>0</v>
      </c>
      <c r="K4774" s="4"/>
      <c r="L4774" s="33" t="str">
        <f>IFERROR(VLOOKUP($J4774,'Informations sur les produits'!$A$3:$H$10000,8,FALSE),"0")</f>
        <v>0</v>
      </c>
      <c r="N4774" s="8"/>
      <c r="O4774" s="33" t="str">
        <f>IFERROR(VLOOKUP($M4774,'Informations sur les produits'!$A$3:$H$10000,8,FALSE),"0")</f>
        <v>0</v>
      </c>
      <c r="P4774" s="33">
        <f t="shared" si="296"/>
        <v>0</v>
      </c>
      <c r="Q4774" s="31" t="str">
        <f t="shared" si="297"/>
        <v/>
      </c>
      <c r="R4774" s="32" t="str">
        <f>IFERROR(VLOOKUP($D4774,'Informations sur les produits'!$A$3:$B$15000,2,FALSE),"")</f>
        <v/>
      </c>
      <c r="V4774">
        <f t="shared" si="298"/>
        <v>0</v>
      </c>
      <c r="W4774">
        <f t="shared" si="299"/>
        <v>0</v>
      </c>
    </row>
    <row r="4775" spans="5:23" x14ac:dyDescent="0.25">
      <c r="E4775" s="4"/>
      <c r="F4775" s="4"/>
      <c r="G4775" s="33" t="str">
        <f>IFERROR(VLOOKUP($D4775,'Informations sur les produits'!$A$3:$H$10000,8,FALSE),"0")</f>
        <v>0</v>
      </c>
      <c r="K4775" s="4"/>
      <c r="L4775" s="33" t="str">
        <f>IFERROR(VLOOKUP($J4775,'Informations sur les produits'!$A$3:$H$10000,8,FALSE),"0")</f>
        <v>0</v>
      </c>
      <c r="N4775" s="8"/>
      <c r="O4775" s="33" t="str">
        <f>IFERROR(VLOOKUP($M4775,'Informations sur les produits'!$A$3:$H$10000,8,FALSE),"0")</f>
        <v>0</v>
      </c>
      <c r="P4775" s="33">
        <f t="shared" si="296"/>
        <v>0</v>
      </c>
      <c r="Q4775" s="31" t="str">
        <f t="shared" si="297"/>
        <v/>
      </c>
      <c r="R4775" s="32" t="str">
        <f>IFERROR(VLOOKUP($D4775,'Informations sur les produits'!$A$3:$B$15000,2,FALSE),"")</f>
        <v/>
      </c>
      <c r="V4775">
        <f t="shared" si="298"/>
        <v>0</v>
      </c>
      <c r="W4775">
        <f t="shared" si="299"/>
        <v>0</v>
      </c>
    </row>
    <row r="4776" spans="5:23" x14ac:dyDescent="0.25">
      <c r="E4776" s="4"/>
      <c r="F4776" s="4"/>
      <c r="G4776" s="33" t="str">
        <f>IFERROR(VLOOKUP($D4776,'Informations sur les produits'!$A$3:$H$10000,8,FALSE),"0")</f>
        <v>0</v>
      </c>
      <c r="K4776" s="4"/>
      <c r="L4776" s="33" t="str">
        <f>IFERROR(VLOOKUP($J4776,'Informations sur les produits'!$A$3:$H$10000,8,FALSE),"0")</f>
        <v>0</v>
      </c>
      <c r="N4776" s="8"/>
      <c r="O4776" s="33" t="str">
        <f>IFERROR(VLOOKUP($M4776,'Informations sur les produits'!$A$3:$H$10000,8,FALSE),"0")</f>
        <v>0</v>
      </c>
      <c r="P4776" s="33">
        <f t="shared" si="296"/>
        <v>0</v>
      </c>
      <c r="Q4776" s="31" t="str">
        <f t="shared" si="297"/>
        <v/>
      </c>
      <c r="R4776" s="32" t="str">
        <f>IFERROR(VLOOKUP($D4776,'Informations sur les produits'!$A$3:$B$15000,2,FALSE),"")</f>
        <v/>
      </c>
      <c r="V4776">
        <f t="shared" si="298"/>
        <v>0</v>
      </c>
      <c r="W4776">
        <f t="shared" si="299"/>
        <v>0</v>
      </c>
    </row>
    <row r="4777" spans="5:23" x14ac:dyDescent="0.25">
      <c r="E4777" s="4"/>
      <c r="F4777" s="4"/>
      <c r="G4777" s="33" t="str">
        <f>IFERROR(VLOOKUP($D4777,'Informations sur les produits'!$A$3:$H$10000,8,FALSE),"0")</f>
        <v>0</v>
      </c>
      <c r="K4777" s="4"/>
      <c r="L4777" s="33" t="str">
        <f>IFERROR(VLOOKUP($J4777,'Informations sur les produits'!$A$3:$H$10000,8,FALSE),"0")</f>
        <v>0</v>
      </c>
      <c r="N4777" s="8"/>
      <c r="O4777" s="33" t="str">
        <f>IFERROR(VLOOKUP($M4777,'Informations sur les produits'!$A$3:$H$10000,8,FALSE),"0")</f>
        <v>0</v>
      </c>
      <c r="P4777" s="33">
        <f t="shared" si="296"/>
        <v>0</v>
      </c>
      <c r="Q4777" s="31" t="str">
        <f t="shared" si="297"/>
        <v/>
      </c>
      <c r="R4777" s="32" t="str">
        <f>IFERROR(VLOOKUP($D4777,'Informations sur les produits'!$A$3:$B$15000,2,FALSE),"")</f>
        <v/>
      </c>
      <c r="V4777">
        <f t="shared" si="298"/>
        <v>0</v>
      </c>
      <c r="W4777">
        <f t="shared" si="299"/>
        <v>0</v>
      </c>
    </row>
    <row r="4778" spans="5:23" x14ac:dyDescent="0.25">
      <c r="E4778" s="4"/>
      <c r="F4778" s="4"/>
      <c r="G4778" s="33" t="str">
        <f>IFERROR(VLOOKUP($D4778,'Informations sur les produits'!$A$3:$H$10000,8,FALSE),"0")</f>
        <v>0</v>
      </c>
      <c r="K4778" s="4"/>
      <c r="L4778" s="33" t="str">
        <f>IFERROR(VLOOKUP($J4778,'Informations sur les produits'!$A$3:$H$10000,8,FALSE),"0")</f>
        <v>0</v>
      </c>
      <c r="N4778" s="8"/>
      <c r="O4778" s="33" t="str">
        <f>IFERROR(VLOOKUP($M4778,'Informations sur les produits'!$A$3:$H$10000,8,FALSE),"0")</f>
        <v>0</v>
      </c>
      <c r="P4778" s="33">
        <f t="shared" si="296"/>
        <v>0</v>
      </c>
      <c r="Q4778" s="31" t="str">
        <f t="shared" si="297"/>
        <v/>
      </c>
      <c r="R4778" s="32" t="str">
        <f>IFERROR(VLOOKUP($D4778,'Informations sur les produits'!$A$3:$B$15000,2,FALSE),"")</f>
        <v/>
      </c>
      <c r="V4778">
        <f t="shared" si="298"/>
        <v>0</v>
      </c>
      <c r="W4778">
        <f t="shared" si="299"/>
        <v>0</v>
      </c>
    </row>
    <row r="4779" spans="5:23" x14ac:dyDescent="0.25">
      <c r="E4779" s="4"/>
      <c r="F4779" s="4"/>
      <c r="G4779" s="33" t="str">
        <f>IFERROR(VLOOKUP($D4779,'Informations sur les produits'!$A$3:$H$10000,8,FALSE),"0")</f>
        <v>0</v>
      </c>
      <c r="K4779" s="4"/>
      <c r="L4779" s="33" t="str">
        <f>IFERROR(VLOOKUP($J4779,'Informations sur les produits'!$A$3:$H$10000,8,FALSE),"0")</f>
        <v>0</v>
      </c>
      <c r="N4779" s="8"/>
      <c r="O4779" s="33" t="str">
        <f>IFERROR(VLOOKUP($M4779,'Informations sur les produits'!$A$3:$H$10000,8,FALSE),"0")</f>
        <v>0</v>
      </c>
      <c r="P4779" s="33">
        <f t="shared" si="296"/>
        <v>0</v>
      </c>
      <c r="Q4779" s="31" t="str">
        <f t="shared" si="297"/>
        <v/>
      </c>
      <c r="R4779" s="32" t="str">
        <f>IFERROR(VLOOKUP($D4779,'Informations sur les produits'!$A$3:$B$15000,2,FALSE),"")</f>
        <v/>
      </c>
      <c r="V4779">
        <f t="shared" si="298"/>
        <v>0</v>
      </c>
      <c r="W4779">
        <f t="shared" si="299"/>
        <v>0</v>
      </c>
    </row>
    <row r="4780" spans="5:23" x14ac:dyDescent="0.25">
      <c r="E4780" s="4"/>
      <c r="F4780" s="4"/>
      <c r="G4780" s="33" t="str">
        <f>IFERROR(VLOOKUP($D4780,'Informations sur les produits'!$A$3:$H$10000,8,FALSE),"0")</f>
        <v>0</v>
      </c>
      <c r="K4780" s="4"/>
      <c r="L4780" s="33" t="str">
        <f>IFERROR(VLOOKUP($J4780,'Informations sur les produits'!$A$3:$H$10000,8,FALSE),"0")</f>
        <v>0</v>
      </c>
      <c r="N4780" s="8"/>
      <c r="O4780" s="33" t="str">
        <f>IFERROR(VLOOKUP($M4780,'Informations sur les produits'!$A$3:$H$10000,8,FALSE),"0")</f>
        <v>0</v>
      </c>
      <c r="P4780" s="33">
        <f t="shared" si="296"/>
        <v>0</v>
      </c>
      <c r="Q4780" s="31" t="str">
        <f t="shared" si="297"/>
        <v/>
      </c>
      <c r="R4780" s="32" t="str">
        <f>IFERROR(VLOOKUP($D4780,'Informations sur les produits'!$A$3:$B$15000,2,FALSE),"")</f>
        <v/>
      </c>
      <c r="V4780">
        <f t="shared" si="298"/>
        <v>0</v>
      </c>
      <c r="W4780">
        <f t="shared" si="299"/>
        <v>0</v>
      </c>
    </row>
    <row r="4781" spans="5:23" x14ac:dyDescent="0.25">
      <c r="E4781" s="4"/>
      <c r="F4781" s="4"/>
      <c r="G4781" s="33" t="str">
        <f>IFERROR(VLOOKUP($D4781,'Informations sur les produits'!$A$3:$H$10000,8,FALSE),"0")</f>
        <v>0</v>
      </c>
      <c r="K4781" s="4"/>
      <c r="L4781" s="33" t="str">
        <f>IFERROR(VLOOKUP($J4781,'Informations sur les produits'!$A$3:$H$10000,8,FALSE),"0")</f>
        <v>0</v>
      </c>
      <c r="N4781" s="8"/>
      <c r="O4781" s="33" t="str">
        <f>IFERROR(VLOOKUP($M4781,'Informations sur les produits'!$A$3:$H$10000,8,FALSE),"0")</f>
        <v>0</v>
      </c>
      <c r="P4781" s="33">
        <f t="shared" si="296"/>
        <v>0</v>
      </c>
      <c r="Q4781" s="31" t="str">
        <f t="shared" si="297"/>
        <v/>
      </c>
      <c r="R4781" s="32" t="str">
        <f>IFERROR(VLOOKUP($D4781,'Informations sur les produits'!$A$3:$B$15000,2,FALSE),"")</f>
        <v/>
      </c>
      <c r="V4781">
        <f t="shared" si="298"/>
        <v>0</v>
      </c>
      <c r="W4781">
        <f t="shared" si="299"/>
        <v>0</v>
      </c>
    </row>
    <row r="4782" spans="5:23" x14ac:dyDescent="0.25">
      <c r="E4782" s="4"/>
      <c r="F4782" s="4"/>
      <c r="G4782" s="33" t="str">
        <f>IFERROR(VLOOKUP($D4782,'Informations sur les produits'!$A$3:$H$10000,8,FALSE),"0")</f>
        <v>0</v>
      </c>
      <c r="K4782" s="4"/>
      <c r="L4782" s="33" t="str">
        <f>IFERROR(VLOOKUP($J4782,'Informations sur les produits'!$A$3:$H$10000,8,FALSE),"0")</f>
        <v>0</v>
      </c>
      <c r="N4782" s="8"/>
      <c r="O4782" s="33" t="str">
        <f>IFERROR(VLOOKUP($M4782,'Informations sur les produits'!$A$3:$H$10000,8,FALSE),"0")</f>
        <v>0</v>
      </c>
      <c r="P4782" s="33">
        <f t="shared" si="296"/>
        <v>0</v>
      </c>
      <c r="Q4782" s="31" t="str">
        <f t="shared" si="297"/>
        <v/>
      </c>
      <c r="R4782" s="32" t="str">
        <f>IFERROR(VLOOKUP($D4782,'Informations sur les produits'!$A$3:$B$15000,2,FALSE),"")</f>
        <v/>
      </c>
      <c r="V4782">
        <f t="shared" si="298"/>
        <v>0</v>
      </c>
      <c r="W4782">
        <f t="shared" si="299"/>
        <v>0</v>
      </c>
    </row>
    <row r="4783" spans="5:23" x14ac:dyDescent="0.25">
      <c r="E4783" s="4"/>
      <c r="F4783" s="4"/>
      <c r="G4783" s="33" t="str">
        <f>IFERROR(VLOOKUP($D4783,'Informations sur les produits'!$A$3:$H$10000,8,FALSE),"0")</f>
        <v>0</v>
      </c>
      <c r="K4783" s="4"/>
      <c r="L4783" s="33" t="str">
        <f>IFERROR(VLOOKUP($J4783,'Informations sur les produits'!$A$3:$H$10000,8,FALSE),"0")</f>
        <v>0</v>
      </c>
      <c r="N4783" s="8"/>
      <c r="O4783" s="33" t="str">
        <f>IFERROR(VLOOKUP($M4783,'Informations sur les produits'!$A$3:$H$10000,8,FALSE),"0")</f>
        <v>0</v>
      </c>
      <c r="P4783" s="33">
        <f t="shared" si="296"/>
        <v>0</v>
      </c>
      <c r="Q4783" s="31" t="str">
        <f t="shared" si="297"/>
        <v/>
      </c>
      <c r="R4783" s="32" t="str">
        <f>IFERROR(VLOOKUP($D4783,'Informations sur les produits'!$A$3:$B$15000,2,FALSE),"")</f>
        <v/>
      </c>
      <c r="V4783">
        <f t="shared" si="298"/>
        <v>0</v>
      </c>
      <c r="W4783">
        <f t="shared" si="299"/>
        <v>0</v>
      </c>
    </row>
    <row r="4784" spans="5:23" x14ac:dyDescent="0.25">
      <c r="E4784" s="4"/>
      <c r="F4784" s="4"/>
      <c r="G4784" s="33" t="str">
        <f>IFERROR(VLOOKUP($D4784,'Informations sur les produits'!$A$3:$H$10000,8,FALSE),"0")</f>
        <v>0</v>
      </c>
      <c r="K4784" s="4"/>
      <c r="L4784" s="33" t="str">
        <f>IFERROR(VLOOKUP($J4784,'Informations sur les produits'!$A$3:$H$10000,8,FALSE),"0")</f>
        <v>0</v>
      </c>
      <c r="N4784" s="8"/>
      <c r="O4784" s="33" t="str">
        <f>IFERROR(VLOOKUP($M4784,'Informations sur les produits'!$A$3:$H$10000,8,FALSE),"0")</f>
        <v>0</v>
      </c>
      <c r="P4784" s="33">
        <f t="shared" si="296"/>
        <v>0</v>
      </c>
      <c r="Q4784" s="31" t="str">
        <f t="shared" si="297"/>
        <v/>
      </c>
      <c r="R4784" s="32" t="str">
        <f>IFERROR(VLOOKUP($D4784,'Informations sur les produits'!$A$3:$B$15000,2,FALSE),"")</f>
        <v/>
      </c>
      <c r="V4784">
        <f t="shared" si="298"/>
        <v>0</v>
      </c>
      <c r="W4784">
        <f t="shared" si="299"/>
        <v>0</v>
      </c>
    </row>
    <row r="4785" spans="5:23" x14ac:dyDescent="0.25">
      <c r="E4785" s="4"/>
      <c r="F4785" s="4"/>
      <c r="G4785" s="33" t="str">
        <f>IFERROR(VLOOKUP($D4785,'Informations sur les produits'!$A$3:$H$10000,8,FALSE),"0")</f>
        <v>0</v>
      </c>
      <c r="K4785" s="4"/>
      <c r="L4785" s="33" t="str">
        <f>IFERROR(VLOOKUP($J4785,'Informations sur les produits'!$A$3:$H$10000,8,FALSE),"0")</f>
        <v>0</v>
      </c>
      <c r="N4785" s="8"/>
      <c r="O4785" s="33" t="str">
        <f>IFERROR(VLOOKUP($M4785,'Informations sur les produits'!$A$3:$H$10000,8,FALSE),"0")</f>
        <v>0</v>
      </c>
      <c r="P4785" s="33">
        <f t="shared" si="296"/>
        <v>0</v>
      </c>
      <c r="Q4785" s="31" t="str">
        <f t="shared" si="297"/>
        <v/>
      </c>
      <c r="R4785" s="32" t="str">
        <f>IFERROR(VLOOKUP($D4785,'Informations sur les produits'!$A$3:$B$15000,2,FALSE),"")</f>
        <v/>
      </c>
      <c r="V4785">
        <f t="shared" si="298"/>
        <v>0</v>
      </c>
      <c r="W4785">
        <f t="shared" si="299"/>
        <v>0</v>
      </c>
    </row>
    <row r="4786" spans="5:23" x14ac:dyDescent="0.25">
      <c r="E4786" s="4"/>
      <c r="F4786" s="4"/>
      <c r="G4786" s="33" t="str">
        <f>IFERROR(VLOOKUP($D4786,'Informations sur les produits'!$A$3:$H$10000,8,FALSE),"0")</f>
        <v>0</v>
      </c>
      <c r="K4786" s="4"/>
      <c r="L4786" s="33" t="str">
        <f>IFERROR(VLOOKUP($J4786,'Informations sur les produits'!$A$3:$H$10000,8,FALSE),"0")</f>
        <v>0</v>
      </c>
      <c r="N4786" s="8"/>
      <c r="O4786" s="33" t="str">
        <f>IFERROR(VLOOKUP($M4786,'Informations sur les produits'!$A$3:$H$10000,8,FALSE),"0")</f>
        <v>0</v>
      </c>
      <c r="P4786" s="33">
        <f t="shared" si="296"/>
        <v>0</v>
      </c>
      <c r="Q4786" s="31" t="str">
        <f t="shared" si="297"/>
        <v/>
      </c>
      <c r="R4786" s="32" t="str">
        <f>IFERROR(VLOOKUP($D4786,'Informations sur les produits'!$A$3:$B$15000,2,FALSE),"")</f>
        <v/>
      </c>
      <c r="V4786">
        <f t="shared" si="298"/>
        <v>0</v>
      </c>
      <c r="W4786">
        <f t="shared" si="299"/>
        <v>0</v>
      </c>
    </row>
    <row r="4787" spans="5:23" x14ac:dyDescent="0.25">
      <c r="E4787" s="4"/>
      <c r="F4787" s="4"/>
      <c r="G4787" s="33" t="str">
        <f>IFERROR(VLOOKUP($D4787,'Informations sur les produits'!$A$3:$H$10000,8,FALSE),"0")</f>
        <v>0</v>
      </c>
      <c r="K4787" s="4"/>
      <c r="L4787" s="33" t="str">
        <f>IFERROR(VLOOKUP($J4787,'Informations sur les produits'!$A$3:$H$10000,8,FALSE),"0")</f>
        <v>0</v>
      </c>
      <c r="N4787" s="8"/>
      <c r="O4787" s="33" t="str">
        <f>IFERROR(VLOOKUP($M4787,'Informations sur les produits'!$A$3:$H$10000,8,FALSE),"0")</f>
        <v>0</v>
      </c>
      <c r="P4787" s="33">
        <f t="shared" si="296"/>
        <v>0</v>
      </c>
      <c r="Q4787" s="31" t="str">
        <f t="shared" si="297"/>
        <v/>
      </c>
      <c r="R4787" s="32" t="str">
        <f>IFERROR(VLOOKUP($D4787,'Informations sur les produits'!$A$3:$B$15000,2,FALSE),"")</f>
        <v/>
      </c>
      <c r="V4787">
        <f t="shared" si="298"/>
        <v>0</v>
      </c>
      <c r="W4787">
        <f t="shared" si="299"/>
        <v>0</v>
      </c>
    </row>
    <row r="4788" spans="5:23" x14ac:dyDescent="0.25">
      <c r="E4788" s="4"/>
      <c r="F4788" s="4"/>
      <c r="G4788" s="33" t="str">
        <f>IFERROR(VLOOKUP($D4788,'Informations sur les produits'!$A$3:$H$10000,8,FALSE),"0")</f>
        <v>0</v>
      </c>
      <c r="K4788" s="4"/>
      <c r="L4788" s="33" t="str">
        <f>IFERROR(VLOOKUP($J4788,'Informations sur les produits'!$A$3:$H$10000,8,FALSE),"0")</f>
        <v>0</v>
      </c>
      <c r="N4788" s="8"/>
      <c r="O4788" s="33" t="str">
        <f>IFERROR(VLOOKUP($M4788,'Informations sur les produits'!$A$3:$H$10000,8,FALSE),"0")</f>
        <v>0</v>
      </c>
      <c r="P4788" s="33">
        <f t="shared" si="296"/>
        <v>0</v>
      </c>
      <c r="Q4788" s="31" t="str">
        <f t="shared" si="297"/>
        <v/>
      </c>
      <c r="R4788" s="32" t="str">
        <f>IFERROR(VLOOKUP($D4788,'Informations sur les produits'!$A$3:$B$15000,2,FALSE),"")</f>
        <v/>
      </c>
      <c r="V4788">
        <f t="shared" si="298"/>
        <v>0</v>
      </c>
      <c r="W4788">
        <f t="shared" si="299"/>
        <v>0</v>
      </c>
    </row>
    <row r="4789" spans="5:23" x14ac:dyDescent="0.25">
      <c r="E4789" s="4"/>
      <c r="F4789" s="4"/>
      <c r="G4789" s="33" t="str">
        <f>IFERROR(VLOOKUP($D4789,'Informations sur les produits'!$A$3:$H$10000,8,FALSE),"0")</f>
        <v>0</v>
      </c>
      <c r="K4789" s="4"/>
      <c r="L4789" s="33" t="str">
        <f>IFERROR(VLOOKUP($J4789,'Informations sur les produits'!$A$3:$H$10000,8,FALSE),"0")</f>
        <v>0</v>
      </c>
      <c r="N4789" s="8"/>
      <c r="O4789" s="33" t="str">
        <f>IFERROR(VLOOKUP($M4789,'Informations sur les produits'!$A$3:$H$10000,8,FALSE),"0")</f>
        <v>0</v>
      </c>
      <c r="P4789" s="33">
        <f t="shared" si="296"/>
        <v>0</v>
      </c>
      <c r="Q4789" s="31" t="str">
        <f t="shared" si="297"/>
        <v/>
      </c>
      <c r="R4789" s="32" t="str">
        <f>IFERROR(VLOOKUP($D4789,'Informations sur les produits'!$A$3:$B$15000,2,FALSE),"")</f>
        <v/>
      </c>
      <c r="V4789">
        <f t="shared" si="298"/>
        <v>0</v>
      </c>
      <c r="W4789">
        <f t="shared" si="299"/>
        <v>0</v>
      </c>
    </row>
    <row r="4790" spans="5:23" x14ac:dyDescent="0.25">
      <c r="E4790" s="4"/>
      <c r="F4790" s="4"/>
      <c r="G4790" s="33" t="str">
        <f>IFERROR(VLOOKUP($D4790,'Informations sur les produits'!$A$3:$H$10000,8,FALSE),"0")</f>
        <v>0</v>
      </c>
      <c r="K4790" s="4"/>
      <c r="L4790" s="33" t="str">
        <f>IFERROR(VLOOKUP($J4790,'Informations sur les produits'!$A$3:$H$10000,8,FALSE),"0")</f>
        <v>0</v>
      </c>
      <c r="N4790" s="8"/>
      <c r="O4790" s="33" t="str">
        <f>IFERROR(VLOOKUP($M4790,'Informations sur les produits'!$A$3:$H$10000,8,FALSE),"0")</f>
        <v>0</v>
      </c>
      <c r="P4790" s="33">
        <f t="shared" si="296"/>
        <v>0</v>
      </c>
      <c r="Q4790" s="31" t="str">
        <f t="shared" si="297"/>
        <v/>
      </c>
      <c r="R4790" s="32" t="str">
        <f>IFERROR(VLOOKUP($D4790,'Informations sur les produits'!$A$3:$B$15000,2,FALSE),"")</f>
        <v/>
      </c>
      <c r="V4790">
        <f t="shared" si="298"/>
        <v>0</v>
      </c>
      <c r="W4790">
        <f t="shared" si="299"/>
        <v>0</v>
      </c>
    </row>
    <row r="4791" spans="5:23" x14ac:dyDescent="0.25">
      <c r="E4791" s="4"/>
      <c r="F4791" s="4"/>
      <c r="G4791" s="33" t="str">
        <f>IFERROR(VLOOKUP($D4791,'Informations sur les produits'!$A$3:$H$10000,8,FALSE),"0")</f>
        <v>0</v>
      </c>
      <c r="K4791" s="4"/>
      <c r="L4791" s="33" t="str">
        <f>IFERROR(VLOOKUP($J4791,'Informations sur les produits'!$A$3:$H$10000,8,FALSE),"0")</f>
        <v>0</v>
      </c>
      <c r="N4791" s="8"/>
      <c r="O4791" s="33" t="str">
        <f>IFERROR(VLOOKUP($M4791,'Informations sur les produits'!$A$3:$H$10000,8,FALSE),"0")</f>
        <v>0</v>
      </c>
      <c r="P4791" s="33">
        <f t="shared" si="296"/>
        <v>0</v>
      </c>
      <c r="Q4791" s="31" t="str">
        <f t="shared" si="297"/>
        <v/>
      </c>
      <c r="R4791" s="32" t="str">
        <f>IFERROR(VLOOKUP($D4791,'Informations sur les produits'!$A$3:$B$15000,2,FALSE),"")</f>
        <v/>
      </c>
      <c r="V4791">
        <f t="shared" si="298"/>
        <v>0</v>
      </c>
      <c r="W4791">
        <f t="shared" si="299"/>
        <v>0</v>
      </c>
    </row>
    <row r="4792" spans="5:23" x14ac:dyDescent="0.25">
      <c r="E4792" s="4"/>
      <c r="F4792" s="4"/>
      <c r="G4792" s="33" t="str">
        <f>IFERROR(VLOOKUP($D4792,'Informations sur les produits'!$A$3:$H$10000,8,FALSE),"0")</f>
        <v>0</v>
      </c>
      <c r="K4792" s="4"/>
      <c r="L4792" s="33" t="str">
        <f>IFERROR(VLOOKUP($J4792,'Informations sur les produits'!$A$3:$H$10000,8,FALSE),"0")</f>
        <v>0</v>
      </c>
      <c r="N4792" s="8"/>
      <c r="O4792" s="33" t="str">
        <f>IFERROR(VLOOKUP($M4792,'Informations sur les produits'!$A$3:$H$10000,8,FALSE),"0")</f>
        <v>0</v>
      </c>
      <c r="P4792" s="33">
        <f t="shared" si="296"/>
        <v>0</v>
      </c>
      <c r="Q4792" s="31" t="str">
        <f t="shared" si="297"/>
        <v/>
      </c>
      <c r="R4792" s="32" t="str">
        <f>IFERROR(VLOOKUP($D4792,'Informations sur les produits'!$A$3:$B$15000,2,FALSE),"")</f>
        <v/>
      </c>
      <c r="V4792">
        <f t="shared" si="298"/>
        <v>0</v>
      </c>
      <c r="W4792">
        <f t="shared" si="299"/>
        <v>0</v>
      </c>
    </row>
    <row r="4793" spans="5:23" x14ac:dyDescent="0.25">
      <c r="E4793" s="4"/>
      <c r="F4793" s="4"/>
      <c r="G4793" s="33" t="str">
        <f>IFERROR(VLOOKUP($D4793,'Informations sur les produits'!$A$3:$H$10000,8,FALSE),"0")</f>
        <v>0</v>
      </c>
      <c r="K4793" s="4"/>
      <c r="L4793" s="33" t="str">
        <f>IFERROR(VLOOKUP($J4793,'Informations sur les produits'!$A$3:$H$10000,8,FALSE),"0")</f>
        <v>0</v>
      </c>
      <c r="N4793" s="8"/>
      <c r="O4793" s="33" t="str">
        <f>IFERROR(VLOOKUP($M4793,'Informations sur les produits'!$A$3:$H$10000,8,FALSE),"0")</f>
        <v>0</v>
      </c>
      <c r="P4793" s="33">
        <f t="shared" si="296"/>
        <v>0</v>
      </c>
      <c r="Q4793" s="31" t="str">
        <f t="shared" si="297"/>
        <v/>
      </c>
      <c r="R4793" s="32" t="str">
        <f>IFERROR(VLOOKUP($D4793,'Informations sur les produits'!$A$3:$B$15000,2,FALSE),"")</f>
        <v/>
      </c>
      <c r="V4793">
        <f t="shared" si="298"/>
        <v>0</v>
      </c>
      <c r="W4793">
        <f t="shared" si="299"/>
        <v>0</v>
      </c>
    </row>
    <row r="4794" spans="5:23" x14ac:dyDescent="0.25">
      <c r="E4794" s="4"/>
      <c r="F4794" s="4"/>
      <c r="G4794" s="33" t="str">
        <f>IFERROR(VLOOKUP($D4794,'Informations sur les produits'!$A$3:$H$10000,8,FALSE),"0")</f>
        <v>0</v>
      </c>
      <c r="K4794" s="4"/>
      <c r="L4794" s="33" t="str">
        <f>IFERROR(VLOOKUP($J4794,'Informations sur les produits'!$A$3:$H$10000,8,FALSE),"0")</f>
        <v>0</v>
      </c>
      <c r="N4794" s="8"/>
      <c r="O4794" s="33" t="str">
        <f>IFERROR(VLOOKUP($M4794,'Informations sur les produits'!$A$3:$H$10000,8,FALSE),"0")</f>
        <v>0</v>
      </c>
      <c r="P4794" s="33">
        <f t="shared" si="296"/>
        <v>0</v>
      </c>
      <c r="Q4794" s="31" t="str">
        <f t="shared" si="297"/>
        <v/>
      </c>
      <c r="R4794" s="32" t="str">
        <f>IFERROR(VLOOKUP($D4794,'Informations sur les produits'!$A$3:$B$15000,2,FALSE),"")</f>
        <v/>
      </c>
      <c r="V4794">
        <f t="shared" si="298"/>
        <v>0</v>
      </c>
      <c r="W4794">
        <f t="shared" si="299"/>
        <v>0</v>
      </c>
    </row>
    <row r="4795" spans="5:23" x14ac:dyDescent="0.25">
      <c r="E4795" s="4"/>
      <c r="F4795" s="4"/>
      <c r="G4795" s="33" t="str">
        <f>IFERROR(VLOOKUP($D4795,'Informations sur les produits'!$A$3:$H$10000,8,FALSE),"0")</f>
        <v>0</v>
      </c>
      <c r="K4795" s="4"/>
      <c r="L4795" s="33" t="str">
        <f>IFERROR(VLOOKUP($J4795,'Informations sur les produits'!$A$3:$H$10000,8,FALSE),"0")</f>
        <v>0</v>
      </c>
      <c r="N4795" s="8"/>
      <c r="O4795" s="33" t="str">
        <f>IFERROR(VLOOKUP($M4795,'Informations sur les produits'!$A$3:$H$10000,8,FALSE),"0")</f>
        <v>0</v>
      </c>
      <c r="P4795" s="33">
        <f t="shared" si="296"/>
        <v>0</v>
      </c>
      <c r="Q4795" s="31" t="str">
        <f t="shared" si="297"/>
        <v/>
      </c>
      <c r="R4795" s="32" t="str">
        <f>IFERROR(VLOOKUP($D4795,'Informations sur les produits'!$A$3:$B$15000,2,FALSE),"")</f>
        <v/>
      </c>
      <c r="V4795">
        <f t="shared" si="298"/>
        <v>0</v>
      </c>
      <c r="W4795">
        <f t="shared" si="299"/>
        <v>0</v>
      </c>
    </row>
    <row r="4796" spans="5:23" x14ac:dyDescent="0.25">
      <c r="E4796" s="4"/>
      <c r="F4796" s="4"/>
      <c r="G4796" s="33" t="str">
        <f>IFERROR(VLOOKUP($D4796,'Informations sur les produits'!$A$3:$H$10000,8,FALSE),"0")</f>
        <v>0</v>
      </c>
      <c r="K4796" s="4"/>
      <c r="L4796" s="33" t="str">
        <f>IFERROR(VLOOKUP($J4796,'Informations sur les produits'!$A$3:$H$10000,8,FALSE),"0")</f>
        <v>0</v>
      </c>
      <c r="N4796" s="8"/>
      <c r="O4796" s="33" t="str">
        <f>IFERROR(VLOOKUP($M4796,'Informations sur les produits'!$A$3:$H$10000,8,FALSE),"0")</f>
        <v>0</v>
      </c>
      <c r="P4796" s="33">
        <f t="shared" si="296"/>
        <v>0</v>
      </c>
      <c r="Q4796" s="31" t="str">
        <f t="shared" si="297"/>
        <v/>
      </c>
      <c r="R4796" s="32" t="str">
        <f>IFERROR(VLOOKUP($D4796,'Informations sur les produits'!$A$3:$B$15000,2,FALSE),"")</f>
        <v/>
      </c>
      <c r="V4796">
        <f t="shared" si="298"/>
        <v>0</v>
      </c>
      <c r="W4796">
        <f t="shared" si="299"/>
        <v>0</v>
      </c>
    </row>
    <row r="4797" spans="5:23" x14ac:dyDescent="0.25">
      <c r="E4797" s="4"/>
      <c r="F4797" s="4"/>
      <c r="G4797" s="33" t="str">
        <f>IFERROR(VLOOKUP($D4797,'Informations sur les produits'!$A$3:$H$10000,8,FALSE),"0")</f>
        <v>0</v>
      </c>
      <c r="K4797" s="4"/>
      <c r="L4797" s="33" t="str">
        <f>IFERROR(VLOOKUP($J4797,'Informations sur les produits'!$A$3:$H$10000,8,FALSE),"0")</f>
        <v>0</v>
      </c>
      <c r="N4797" s="8"/>
      <c r="O4797" s="33" t="str">
        <f>IFERROR(VLOOKUP($M4797,'Informations sur les produits'!$A$3:$H$10000,8,FALSE),"0")</f>
        <v>0</v>
      </c>
      <c r="P4797" s="33">
        <f t="shared" si="296"/>
        <v>0</v>
      </c>
      <c r="Q4797" s="31" t="str">
        <f t="shared" si="297"/>
        <v/>
      </c>
      <c r="R4797" s="32" t="str">
        <f>IFERROR(VLOOKUP($D4797,'Informations sur les produits'!$A$3:$B$15000,2,FALSE),"")</f>
        <v/>
      </c>
      <c r="V4797">
        <f t="shared" si="298"/>
        <v>0</v>
      </c>
      <c r="W4797">
        <f t="shared" si="299"/>
        <v>0</v>
      </c>
    </row>
    <row r="4798" spans="5:23" x14ac:dyDescent="0.25">
      <c r="E4798" s="4"/>
      <c r="F4798" s="4"/>
      <c r="G4798" s="33" t="str">
        <f>IFERROR(VLOOKUP($D4798,'Informations sur les produits'!$A$3:$H$10000,8,FALSE),"0")</f>
        <v>0</v>
      </c>
      <c r="K4798" s="4"/>
      <c r="L4798" s="33" t="str">
        <f>IFERROR(VLOOKUP($J4798,'Informations sur les produits'!$A$3:$H$10000,8,FALSE),"0")</f>
        <v>0</v>
      </c>
      <c r="N4798" s="8"/>
      <c r="O4798" s="33" t="str">
        <f>IFERROR(VLOOKUP($M4798,'Informations sur les produits'!$A$3:$H$10000,8,FALSE),"0")</f>
        <v>0</v>
      </c>
      <c r="P4798" s="33">
        <f t="shared" si="296"/>
        <v>0</v>
      </c>
      <c r="Q4798" s="31" t="str">
        <f t="shared" si="297"/>
        <v/>
      </c>
      <c r="R4798" s="32" t="str">
        <f>IFERROR(VLOOKUP($D4798,'Informations sur les produits'!$A$3:$B$15000,2,FALSE),"")</f>
        <v/>
      </c>
      <c r="V4798">
        <f t="shared" si="298"/>
        <v>0</v>
      </c>
      <c r="W4798">
        <f t="shared" si="299"/>
        <v>0</v>
      </c>
    </row>
    <row r="4799" spans="5:23" x14ac:dyDescent="0.25">
      <c r="E4799" s="4"/>
      <c r="F4799" s="4"/>
      <c r="G4799" s="33" t="str">
        <f>IFERROR(VLOOKUP($D4799,'Informations sur les produits'!$A$3:$H$10000,8,FALSE),"0")</f>
        <v>0</v>
      </c>
      <c r="K4799" s="4"/>
      <c r="L4799" s="33" t="str">
        <f>IFERROR(VLOOKUP($J4799,'Informations sur les produits'!$A$3:$H$10000,8,FALSE),"0")</f>
        <v>0</v>
      </c>
      <c r="N4799" s="8"/>
      <c r="O4799" s="33" t="str">
        <f>IFERROR(VLOOKUP($M4799,'Informations sur les produits'!$A$3:$H$10000,8,FALSE),"0")</f>
        <v>0</v>
      </c>
      <c r="P4799" s="33">
        <f t="shared" si="296"/>
        <v>0</v>
      </c>
      <c r="Q4799" s="31" t="str">
        <f t="shared" si="297"/>
        <v/>
      </c>
      <c r="R4799" s="32" t="str">
        <f>IFERROR(VLOOKUP($D4799,'Informations sur les produits'!$A$3:$B$15000,2,FALSE),"")</f>
        <v/>
      </c>
      <c r="V4799">
        <f t="shared" si="298"/>
        <v>0</v>
      </c>
      <c r="W4799">
        <f t="shared" si="299"/>
        <v>0</v>
      </c>
    </row>
    <row r="4800" spans="5:23" x14ac:dyDescent="0.25">
      <c r="E4800" s="4"/>
      <c r="F4800" s="4"/>
      <c r="G4800" s="33" t="str">
        <f>IFERROR(VLOOKUP($D4800,'Informations sur les produits'!$A$3:$H$10000,8,FALSE),"0")</f>
        <v>0</v>
      </c>
      <c r="K4800" s="4"/>
      <c r="L4800" s="33" t="str">
        <f>IFERROR(VLOOKUP($J4800,'Informations sur les produits'!$A$3:$H$10000,8,FALSE),"0")</f>
        <v>0</v>
      </c>
      <c r="N4800" s="8"/>
      <c r="O4800" s="33" t="str">
        <f>IFERROR(VLOOKUP($M4800,'Informations sur les produits'!$A$3:$H$10000,8,FALSE),"0")</f>
        <v>0</v>
      </c>
      <c r="P4800" s="33">
        <f t="shared" si="296"/>
        <v>0</v>
      </c>
      <c r="Q4800" s="31" t="str">
        <f t="shared" si="297"/>
        <v/>
      </c>
      <c r="R4800" s="32" t="str">
        <f>IFERROR(VLOOKUP($D4800,'Informations sur les produits'!$A$3:$B$15000,2,FALSE),"")</f>
        <v/>
      </c>
      <c r="V4800">
        <f t="shared" si="298"/>
        <v>0</v>
      </c>
      <c r="W4800">
        <f t="shared" si="299"/>
        <v>0</v>
      </c>
    </row>
    <row r="4801" spans="5:23" x14ac:dyDescent="0.25">
      <c r="E4801" s="4"/>
      <c r="F4801" s="4"/>
      <c r="G4801" s="33" t="str">
        <f>IFERROR(VLOOKUP($D4801,'Informations sur les produits'!$A$3:$H$10000,8,FALSE),"0")</f>
        <v>0</v>
      </c>
      <c r="K4801" s="4"/>
      <c r="L4801" s="33" t="str">
        <f>IFERROR(VLOOKUP($J4801,'Informations sur les produits'!$A$3:$H$10000,8,FALSE),"0")</f>
        <v>0</v>
      </c>
      <c r="N4801" s="8"/>
      <c r="O4801" s="33" t="str">
        <f>IFERROR(VLOOKUP($M4801,'Informations sur les produits'!$A$3:$H$10000,8,FALSE),"0")</f>
        <v>0</v>
      </c>
      <c r="P4801" s="33">
        <f t="shared" si="296"/>
        <v>0</v>
      </c>
      <c r="Q4801" s="31" t="str">
        <f t="shared" si="297"/>
        <v/>
      </c>
      <c r="R4801" s="32" t="str">
        <f>IFERROR(VLOOKUP($D4801,'Informations sur les produits'!$A$3:$B$15000,2,FALSE),"")</f>
        <v/>
      </c>
      <c r="V4801">
        <f t="shared" si="298"/>
        <v>0</v>
      </c>
      <c r="W4801">
        <f t="shared" si="299"/>
        <v>0</v>
      </c>
    </row>
    <row r="4802" spans="5:23" x14ac:dyDescent="0.25">
      <c r="E4802" s="4"/>
      <c r="F4802" s="4"/>
      <c r="G4802" s="33" t="str">
        <f>IFERROR(VLOOKUP($D4802,'Informations sur les produits'!$A$3:$H$10000,8,FALSE),"0")</f>
        <v>0</v>
      </c>
      <c r="K4802" s="4"/>
      <c r="L4802" s="33" t="str">
        <f>IFERROR(VLOOKUP($J4802,'Informations sur les produits'!$A$3:$H$10000,8,FALSE),"0")</f>
        <v>0</v>
      </c>
      <c r="N4802" s="8"/>
      <c r="O4802" s="33" t="str">
        <f>IFERROR(VLOOKUP($M4802,'Informations sur les produits'!$A$3:$H$10000,8,FALSE),"0")</f>
        <v>0</v>
      </c>
      <c r="P4802" s="33">
        <f t="shared" si="296"/>
        <v>0</v>
      </c>
      <c r="Q4802" s="31" t="str">
        <f t="shared" si="297"/>
        <v/>
      </c>
      <c r="R4802" s="32" t="str">
        <f>IFERROR(VLOOKUP($D4802,'Informations sur les produits'!$A$3:$B$15000,2,FALSE),"")</f>
        <v/>
      </c>
      <c r="V4802">
        <f t="shared" si="298"/>
        <v>0</v>
      </c>
      <c r="W4802">
        <f t="shared" si="299"/>
        <v>0</v>
      </c>
    </row>
    <row r="4803" spans="5:23" x14ac:dyDescent="0.25">
      <c r="E4803" s="4"/>
      <c r="F4803" s="4"/>
      <c r="G4803" s="33" t="str">
        <f>IFERROR(VLOOKUP($D4803,'Informations sur les produits'!$A$3:$H$10000,8,FALSE),"0")</f>
        <v>0</v>
      </c>
      <c r="K4803" s="4"/>
      <c r="L4803" s="33" t="str">
        <f>IFERROR(VLOOKUP($J4803,'Informations sur les produits'!$A$3:$H$10000,8,FALSE),"0")</f>
        <v>0</v>
      </c>
      <c r="N4803" s="8"/>
      <c r="O4803" s="33" t="str">
        <f>IFERROR(VLOOKUP($M4803,'Informations sur les produits'!$A$3:$H$10000,8,FALSE),"0")</f>
        <v>0</v>
      </c>
      <c r="P4803" s="33">
        <f t="shared" si="296"/>
        <v>0</v>
      </c>
      <c r="Q4803" s="31" t="str">
        <f t="shared" si="297"/>
        <v/>
      </c>
      <c r="R4803" s="32" t="str">
        <f>IFERROR(VLOOKUP($D4803,'Informations sur les produits'!$A$3:$B$15000,2,FALSE),"")</f>
        <v/>
      </c>
      <c r="V4803">
        <f t="shared" si="298"/>
        <v>0</v>
      </c>
      <c r="W4803">
        <f t="shared" si="299"/>
        <v>0</v>
      </c>
    </row>
    <row r="4804" spans="5:23" x14ac:dyDescent="0.25">
      <c r="E4804" s="4"/>
      <c r="F4804" s="4"/>
      <c r="G4804" s="33" t="str">
        <f>IFERROR(VLOOKUP($D4804,'Informations sur les produits'!$A$3:$H$10000,8,FALSE),"0")</f>
        <v>0</v>
      </c>
      <c r="K4804" s="4"/>
      <c r="L4804" s="33" t="str">
        <f>IFERROR(VLOOKUP($J4804,'Informations sur les produits'!$A$3:$H$10000,8,FALSE),"0")</f>
        <v>0</v>
      </c>
      <c r="N4804" s="8"/>
      <c r="O4804" s="33" t="str">
        <f>IFERROR(VLOOKUP($M4804,'Informations sur les produits'!$A$3:$H$10000,8,FALSE),"0")</f>
        <v>0</v>
      </c>
      <c r="P4804" s="33">
        <f t="shared" ref="P4804:P4867" si="300">IFERROR((($E4804-$F4804)*$G4804+$K4804*$L4804+$N4804*$O4804),"")</f>
        <v>0</v>
      </c>
      <c r="Q4804" s="31" t="str">
        <f t="shared" ref="Q4804:Q4867" si="301">IFERROR((((($E4804-$F4804)*$G4804+$K4804*$L4804+$N4804*$O4804)*1000)/(($E4804-$F4804)+$K4804+$N4804)),"")</f>
        <v/>
      </c>
      <c r="R4804" s="32" t="str">
        <f>IFERROR(VLOOKUP($D4804,'Informations sur les produits'!$A$3:$B$15000,2,FALSE),"")</f>
        <v/>
      </c>
      <c r="V4804">
        <f t="shared" ref="V4804:V4867" si="302">IFERROR(P4804*1000,"")</f>
        <v>0</v>
      </c>
      <c r="W4804">
        <f t="shared" ref="W4804:W4867" si="303">IFERROR(($E4804-$F4804)+$K4804+$N4804,"")</f>
        <v>0</v>
      </c>
    </row>
    <row r="4805" spans="5:23" x14ac:dyDescent="0.25">
      <c r="E4805" s="4"/>
      <c r="F4805" s="4"/>
      <c r="G4805" s="33" t="str">
        <f>IFERROR(VLOOKUP($D4805,'Informations sur les produits'!$A$3:$H$10000,8,FALSE),"0")</f>
        <v>0</v>
      </c>
      <c r="K4805" s="4"/>
      <c r="L4805" s="33" t="str">
        <f>IFERROR(VLOOKUP($J4805,'Informations sur les produits'!$A$3:$H$10000,8,FALSE),"0")</f>
        <v>0</v>
      </c>
      <c r="N4805" s="8"/>
      <c r="O4805" s="33" t="str">
        <f>IFERROR(VLOOKUP($M4805,'Informations sur les produits'!$A$3:$H$10000,8,FALSE),"0")</f>
        <v>0</v>
      </c>
      <c r="P4805" s="33">
        <f t="shared" si="300"/>
        <v>0</v>
      </c>
      <c r="Q4805" s="31" t="str">
        <f t="shared" si="301"/>
        <v/>
      </c>
      <c r="R4805" s="32" t="str">
        <f>IFERROR(VLOOKUP($D4805,'Informations sur les produits'!$A$3:$B$15000,2,FALSE),"")</f>
        <v/>
      </c>
      <c r="V4805">
        <f t="shared" si="302"/>
        <v>0</v>
      </c>
      <c r="W4805">
        <f t="shared" si="303"/>
        <v>0</v>
      </c>
    </row>
    <row r="4806" spans="5:23" x14ac:dyDescent="0.25">
      <c r="E4806" s="4"/>
      <c r="F4806" s="4"/>
      <c r="G4806" s="33" t="str">
        <f>IFERROR(VLOOKUP($D4806,'Informations sur les produits'!$A$3:$H$10000,8,FALSE),"0")</f>
        <v>0</v>
      </c>
      <c r="K4806" s="4"/>
      <c r="L4806" s="33" t="str">
        <f>IFERROR(VLOOKUP($J4806,'Informations sur les produits'!$A$3:$H$10000,8,FALSE),"0")</f>
        <v>0</v>
      </c>
      <c r="N4806" s="8"/>
      <c r="O4806" s="33" t="str">
        <f>IFERROR(VLOOKUP($M4806,'Informations sur les produits'!$A$3:$H$10000,8,FALSE),"0")</f>
        <v>0</v>
      </c>
      <c r="P4806" s="33">
        <f t="shared" si="300"/>
        <v>0</v>
      </c>
      <c r="Q4806" s="31" t="str">
        <f t="shared" si="301"/>
        <v/>
      </c>
      <c r="R4806" s="32" t="str">
        <f>IFERROR(VLOOKUP($D4806,'Informations sur les produits'!$A$3:$B$15000,2,FALSE),"")</f>
        <v/>
      </c>
      <c r="V4806">
        <f t="shared" si="302"/>
        <v>0</v>
      </c>
      <c r="W4806">
        <f t="shared" si="303"/>
        <v>0</v>
      </c>
    </row>
    <row r="4807" spans="5:23" x14ac:dyDescent="0.25">
      <c r="E4807" s="4"/>
      <c r="F4807" s="4"/>
      <c r="G4807" s="33" t="str">
        <f>IFERROR(VLOOKUP($D4807,'Informations sur les produits'!$A$3:$H$10000,8,FALSE),"0")</f>
        <v>0</v>
      </c>
      <c r="K4807" s="4"/>
      <c r="L4807" s="33" t="str">
        <f>IFERROR(VLOOKUP($J4807,'Informations sur les produits'!$A$3:$H$10000,8,FALSE),"0")</f>
        <v>0</v>
      </c>
      <c r="N4807" s="8"/>
      <c r="O4807" s="33" t="str">
        <f>IFERROR(VLOOKUP($M4807,'Informations sur les produits'!$A$3:$H$10000,8,FALSE),"0")</f>
        <v>0</v>
      </c>
      <c r="P4807" s="33">
        <f t="shared" si="300"/>
        <v>0</v>
      </c>
      <c r="Q4807" s="31" t="str">
        <f t="shared" si="301"/>
        <v/>
      </c>
      <c r="R4807" s="32" t="str">
        <f>IFERROR(VLOOKUP($D4807,'Informations sur les produits'!$A$3:$B$15000,2,FALSE),"")</f>
        <v/>
      </c>
      <c r="V4807">
        <f t="shared" si="302"/>
        <v>0</v>
      </c>
      <c r="W4807">
        <f t="shared" si="303"/>
        <v>0</v>
      </c>
    </row>
    <row r="4808" spans="5:23" x14ac:dyDescent="0.25">
      <c r="E4808" s="4"/>
      <c r="F4808" s="4"/>
      <c r="G4808" s="33" t="str">
        <f>IFERROR(VLOOKUP($D4808,'Informations sur les produits'!$A$3:$H$10000,8,FALSE),"0")</f>
        <v>0</v>
      </c>
      <c r="K4808" s="4"/>
      <c r="L4808" s="33" t="str">
        <f>IFERROR(VLOOKUP($J4808,'Informations sur les produits'!$A$3:$H$10000,8,FALSE),"0")</f>
        <v>0</v>
      </c>
      <c r="N4808" s="8"/>
      <c r="O4808" s="33" t="str">
        <f>IFERROR(VLOOKUP($M4808,'Informations sur les produits'!$A$3:$H$10000,8,FALSE),"0")</f>
        <v>0</v>
      </c>
      <c r="P4808" s="33">
        <f t="shared" si="300"/>
        <v>0</v>
      </c>
      <c r="Q4808" s="31" t="str">
        <f t="shared" si="301"/>
        <v/>
      </c>
      <c r="R4808" s="32" t="str">
        <f>IFERROR(VLOOKUP($D4808,'Informations sur les produits'!$A$3:$B$15000,2,FALSE),"")</f>
        <v/>
      </c>
      <c r="V4808">
        <f t="shared" si="302"/>
        <v>0</v>
      </c>
      <c r="W4808">
        <f t="shared" si="303"/>
        <v>0</v>
      </c>
    </row>
    <row r="4809" spans="5:23" x14ac:dyDescent="0.25">
      <c r="E4809" s="4"/>
      <c r="F4809" s="4"/>
      <c r="G4809" s="33" t="str">
        <f>IFERROR(VLOOKUP($D4809,'Informations sur les produits'!$A$3:$H$10000,8,FALSE),"0")</f>
        <v>0</v>
      </c>
      <c r="K4809" s="4"/>
      <c r="L4809" s="33" t="str">
        <f>IFERROR(VLOOKUP($J4809,'Informations sur les produits'!$A$3:$H$10000,8,FALSE),"0")</f>
        <v>0</v>
      </c>
      <c r="N4809" s="8"/>
      <c r="O4809" s="33" t="str">
        <f>IFERROR(VLOOKUP($M4809,'Informations sur les produits'!$A$3:$H$10000,8,FALSE),"0")</f>
        <v>0</v>
      </c>
      <c r="P4809" s="33">
        <f t="shared" si="300"/>
        <v>0</v>
      </c>
      <c r="Q4809" s="31" t="str">
        <f t="shared" si="301"/>
        <v/>
      </c>
      <c r="R4809" s="32" t="str">
        <f>IFERROR(VLOOKUP($D4809,'Informations sur les produits'!$A$3:$B$15000,2,FALSE),"")</f>
        <v/>
      </c>
      <c r="V4809">
        <f t="shared" si="302"/>
        <v>0</v>
      </c>
      <c r="W4809">
        <f t="shared" si="303"/>
        <v>0</v>
      </c>
    </row>
    <row r="4810" spans="5:23" x14ac:dyDescent="0.25">
      <c r="E4810" s="4"/>
      <c r="F4810" s="4"/>
      <c r="G4810" s="33" t="str">
        <f>IFERROR(VLOOKUP($D4810,'Informations sur les produits'!$A$3:$H$10000,8,FALSE),"0")</f>
        <v>0</v>
      </c>
      <c r="K4810" s="4"/>
      <c r="L4810" s="33" t="str">
        <f>IFERROR(VLOOKUP($J4810,'Informations sur les produits'!$A$3:$H$10000,8,FALSE),"0")</f>
        <v>0</v>
      </c>
      <c r="N4810" s="8"/>
      <c r="O4810" s="33" t="str">
        <f>IFERROR(VLOOKUP($M4810,'Informations sur les produits'!$A$3:$H$10000,8,FALSE),"0")</f>
        <v>0</v>
      </c>
      <c r="P4810" s="33">
        <f t="shared" si="300"/>
        <v>0</v>
      </c>
      <c r="Q4810" s="31" t="str">
        <f t="shared" si="301"/>
        <v/>
      </c>
      <c r="R4810" s="32" t="str">
        <f>IFERROR(VLOOKUP($D4810,'Informations sur les produits'!$A$3:$B$15000,2,FALSE),"")</f>
        <v/>
      </c>
      <c r="V4810">
        <f t="shared" si="302"/>
        <v>0</v>
      </c>
      <c r="W4810">
        <f t="shared" si="303"/>
        <v>0</v>
      </c>
    </row>
    <row r="4811" spans="5:23" x14ac:dyDescent="0.25">
      <c r="E4811" s="4"/>
      <c r="F4811" s="4"/>
      <c r="G4811" s="33" t="str">
        <f>IFERROR(VLOOKUP($D4811,'Informations sur les produits'!$A$3:$H$10000,8,FALSE),"0")</f>
        <v>0</v>
      </c>
      <c r="K4811" s="4"/>
      <c r="L4811" s="33" t="str">
        <f>IFERROR(VLOOKUP($J4811,'Informations sur les produits'!$A$3:$H$10000,8,FALSE),"0")</f>
        <v>0</v>
      </c>
      <c r="N4811" s="8"/>
      <c r="O4811" s="33" t="str">
        <f>IFERROR(VLOOKUP($M4811,'Informations sur les produits'!$A$3:$H$10000,8,FALSE),"0")</f>
        <v>0</v>
      </c>
      <c r="P4811" s="33">
        <f t="shared" si="300"/>
        <v>0</v>
      </c>
      <c r="Q4811" s="31" t="str">
        <f t="shared" si="301"/>
        <v/>
      </c>
      <c r="R4811" s="32" t="str">
        <f>IFERROR(VLOOKUP($D4811,'Informations sur les produits'!$A$3:$B$15000,2,FALSE),"")</f>
        <v/>
      </c>
      <c r="V4811">
        <f t="shared" si="302"/>
        <v>0</v>
      </c>
      <c r="W4811">
        <f t="shared" si="303"/>
        <v>0</v>
      </c>
    </row>
    <row r="4812" spans="5:23" x14ac:dyDescent="0.25">
      <c r="E4812" s="4"/>
      <c r="F4812" s="4"/>
      <c r="G4812" s="33" t="str">
        <f>IFERROR(VLOOKUP($D4812,'Informations sur les produits'!$A$3:$H$10000,8,FALSE),"0")</f>
        <v>0</v>
      </c>
      <c r="K4812" s="4"/>
      <c r="L4812" s="33" t="str">
        <f>IFERROR(VLOOKUP($J4812,'Informations sur les produits'!$A$3:$H$10000,8,FALSE),"0")</f>
        <v>0</v>
      </c>
      <c r="N4812" s="8"/>
      <c r="O4812" s="33" t="str">
        <f>IFERROR(VLOOKUP($M4812,'Informations sur les produits'!$A$3:$H$10000,8,FALSE),"0")</f>
        <v>0</v>
      </c>
      <c r="P4812" s="33">
        <f t="shared" si="300"/>
        <v>0</v>
      </c>
      <c r="Q4812" s="31" t="str">
        <f t="shared" si="301"/>
        <v/>
      </c>
      <c r="R4812" s="32" t="str">
        <f>IFERROR(VLOOKUP($D4812,'Informations sur les produits'!$A$3:$B$15000,2,FALSE),"")</f>
        <v/>
      </c>
      <c r="V4812">
        <f t="shared" si="302"/>
        <v>0</v>
      </c>
      <c r="W4812">
        <f t="shared" si="303"/>
        <v>0</v>
      </c>
    </row>
    <row r="4813" spans="5:23" x14ac:dyDescent="0.25">
      <c r="E4813" s="4"/>
      <c r="F4813" s="4"/>
      <c r="G4813" s="33" t="str">
        <f>IFERROR(VLOOKUP($D4813,'Informations sur les produits'!$A$3:$H$10000,8,FALSE),"0")</f>
        <v>0</v>
      </c>
      <c r="K4813" s="4"/>
      <c r="L4813" s="33" t="str">
        <f>IFERROR(VLOOKUP($J4813,'Informations sur les produits'!$A$3:$H$10000,8,FALSE),"0")</f>
        <v>0</v>
      </c>
      <c r="N4813" s="8"/>
      <c r="O4813" s="33" t="str">
        <f>IFERROR(VLOOKUP($M4813,'Informations sur les produits'!$A$3:$H$10000,8,FALSE),"0")</f>
        <v>0</v>
      </c>
      <c r="P4813" s="33">
        <f t="shared" si="300"/>
        <v>0</v>
      </c>
      <c r="Q4813" s="31" t="str">
        <f t="shared" si="301"/>
        <v/>
      </c>
      <c r="R4813" s="32" t="str">
        <f>IFERROR(VLOOKUP($D4813,'Informations sur les produits'!$A$3:$B$15000,2,FALSE),"")</f>
        <v/>
      </c>
      <c r="V4813">
        <f t="shared" si="302"/>
        <v>0</v>
      </c>
      <c r="W4813">
        <f t="shared" si="303"/>
        <v>0</v>
      </c>
    </row>
    <row r="4814" spans="5:23" x14ac:dyDescent="0.25">
      <c r="E4814" s="4"/>
      <c r="F4814" s="4"/>
      <c r="G4814" s="33" t="str">
        <f>IFERROR(VLOOKUP($D4814,'Informations sur les produits'!$A$3:$H$10000,8,FALSE),"0")</f>
        <v>0</v>
      </c>
      <c r="K4814" s="4"/>
      <c r="L4814" s="33" t="str">
        <f>IFERROR(VLOOKUP($J4814,'Informations sur les produits'!$A$3:$H$10000,8,FALSE),"0")</f>
        <v>0</v>
      </c>
      <c r="N4814" s="8"/>
      <c r="O4814" s="33" t="str">
        <f>IFERROR(VLOOKUP($M4814,'Informations sur les produits'!$A$3:$H$10000,8,FALSE),"0")</f>
        <v>0</v>
      </c>
      <c r="P4814" s="33">
        <f t="shared" si="300"/>
        <v>0</v>
      </c>
      <c r="Q4814" s="31" t="str">
        <f t="shared" si="301"/>
        <v/>
      </c>
      <c r="R4814" s="32" t="str">
        <f>IFERROR(VLOOKUP($D4814,'Informations sur les produits'!$A$3:$B$15000,2,FALSE),"")</f>
        <v/>
      </c>
      <c r="V4814">
        <f t="shared" si="302"/>
        <v>0</v>
      </c>
      <c r="W4814">
        <f t="shared" si="303"/>
        <v>0</v>
      </c>
    </row>
    <row r="4815" spans="5:23" x14ac:dyDescent="0.25">
      <c r="E4815" s="4"/>
      <c r="F4815" s="4"/>
      <c r="G4815" s="33" t="str">
        <f>IFERROR(VLOOKUP($D4815,'Informations sur les produits'!$A$3:$H$10000,8,FALSE),"0")</f>
        <v>0</v>
      </c>
      <c r="K4815" s="4"/>
      <c r="L4815" s="33" t="str">
        <f>IFERROR(VLOOKUP($J4815,'Informations sur les produits'!$A$3:$H$10000,8,FALSE),"0")</f>
        <v>0</v>
      </c>
      <c r="N4815" s="8"/>
      <c r="O4815" s="33" t="str">
        <f>IFERROR(VLOOKUP($M4815,'Informations sur les produits'!$A$3:$H$10000,8,FALSE),"0")</f>
        <v>0</v>
      </c>
      <c r="P4815" s="33">
        <f t="shared" si="300"/>
        <v>0</v>
      </c>
      <c r="Q4815" s="31" t="str">
        <f t="shared" si="301"/>
        <v/>
      </c>
      <c r="R4815" s="32" t="str">
        <f>IFERROR(VLOOKUP($D4815,'Informations sur les produits'!$A$3:$B$15000,2,FALSE),"")</f>
        <v/>
      </c>
      <c r="V4815">
        <f t="shared" si="302"/>
        <v>0</v>
      </c>
      <c r="W4815">
        <f t="shared" si="303"/>
        <v>0</v>
      </c>
    </row>
    <row r="4816" spans="5:23" x14ac:dyDescent="0.25">
      <c r="E4816" s="4"/>
      <c r="F4816" s="4"/>
      <c r="G4816" s="33" t="str">
        <f>IFERROR(VLOOKUP($D4816,'Informations sur les produits'!$A$3:$H$10000,8,FALSE),"0")</f>
        <v>0</v>
      </c>
      <c r="K4816" s="4"/>
      <c r="L4816" s="33" t="str">
        <f>IFERROR(VLOOKUP($J4816,'Informations sur les produits'!$A$3:$H$10000,8,FALSE),"0")</f>
        <v>0</v>
      </c>
      <c r="N4816" s="8"/>
      <c r="O4816" s="33" t="str">
        <f>IFERROR(VLOOKUP($M4816,'Informations sur les produits'!$A$3:$H$10000,8,FALSE),"0")</f>
        <v>0</v>
      </c>
      <c r="P4816" s="33">
        <f t="shared" si="300"/>
        <v>0</v>
      </c>
      <c r="Q4816" s="31" t="str">
        <f t="shared" si="301"/>
        <v/>
      </c>
      <c r="R4816" s="32" t="str">
        <f>IFERROR(VLOOKUP($D4816,'Informations sur les produits'!$A$3:$B$15000,2,FALSE),"")</f>
        <v/>
      </c>
      <c r="V4816">
        <f t="shared" si="302"/>
        <v>0</v>
      </c>
      <c r="W4816">
        <f t="shared" si="303"/>
        <v>0</v>
      </c>
    </row>
    <row r="4817" spans="5:23" x14ac:dyDescent="0.25">
      <c r="E4817" s="4"/>
      <c r="F4817" s="4"/>
      <c r="G4817" s="33" t="str">
        <f>IFERROR(VLOOKUP($D4817,'Informations sur les produits'!$A$3:$H$10000,8,FALSE),"0")</f>
        <v>0</v>
      </c>
      <c r="K4817" s="4"/>
      <c r="L4817" s="33" t="str">
        <f>IFERROR(VLOOKUP($J4817,'Informations sur les produits'!$A$3:$H$10000,8,FALSE),"0")</f>
        <v>0</v>
      </c>
      <c r="N4817" s="8"/>
      <c r="O4817" s="33" t="str">
        <f>IFERROR(VLOOKUP($M4817,'Informations sur les produits'!$A$3:$H$10000,8,FALSE),"0")</f>
        <v>0</v>
      </c>
      <c r="P4817" s="33">
        <f t="shared" si="300"/>
        <v>0</v>
      </c>
      <c r="Q4817" s="31" t="str">
        <f t="shared" si="301"/>
        <v/>
      </c>
      <c r="R4817" s="32" t="str">
        <f>IFERROR(VLOOKUP($D4817,'Informations sur les produits'!$A$3:$B$15000,2,FALSE),"")</f>
        <v/>
      </c>
      <c r="V4817">
        <f t="shared" si="302"/>
        <v>0</v>
      </c>
      <c r="W4817">
        <f t="shared" si="303"/>
        <v>0</v>
      </c>
    </row>
    <row r="4818" spans="5:23" x14ac:dyDescent="0.25">
      <c r="E4818" s="4"/>
      <c r="F4818" s="4"/>
      <c r="G4818" s="33" t="str">
        <f>IFERROR(VLOOKUP($D4818,'Informations sur les produits'!$A$3:$H$10000,8,FALSE),"0")</f>
        <v>0</v>
      </c>
      <c r="K4818" s="4"/>
      <c r="L4818" s="33" t="str">
        <f>IFERROR(VLOOKUP($J4818,'Informations sur les produits'!$A$3:$H$10000,8,FALSE),"0")</f>
        <v>0</v>
      </c>
      <c r="N4818" s="8"/>
      <c r="O4818" s="33" t="str">
        <f>IFERROR(VLOOKUP($M4818,'Informations sur les produits'!$A$3:$H$10000,8,FALSE),"0")</f>
        <v>0</v>
      </c>
      <c r="P4818" s="33">
        <f t="shared" si="300"/>
        <v>0</v>
      </c>
      <c r="Q4818" s="31" t="str">
        <f t="shared" si="301"/>
        <v/>
      </c>
      <c r="R4818" s="32" t="str">
        <f>IFERROR(VLOOKUP($D4818,'Informations sur les produits'!$A$3:$B$15000,2,FALSE),"")</f>
        <v/>
      </c>
      <c r="V4818">
        <f t="shared" si="302"/>
        <v>0</v>
      </c>
      <c r="W4818">
        <f t="shared" si="303"/>
        <v>0</v>
      </c>
    </row>
    <row r="4819" spans="5:23" x14ac:dyDescent="0.25">
      <c r="E4819" s="4"/>
      <c r="F4819" s="4"/>
      <c r="G4819" s="33" t="str">
        <f>IFERROR(VLOOKUP($D4819,'Informations sur les produits'!$A$3:$H$10000,8,FALSE),"0")</f>
        <v>0</v>
      </c>
      <c r="K4819" s="4"/>
      <c r="L4819" s="33" t="str">
        <f>IFERROR(VLOOKUP($J4819,'Informations sur les produits'!$A$3:$H$10000,8,FALSE),"0")</f>
        <v>0</v>
      </c>
      <c r="N4819" s="8"/>
      <c r="O4819" s="33" t="str">
        <f>IFERROR(VLOOKUP($M4819,'Informations sur les produits'!$A$3:$H$10000,8,FALSE),"0")</f>
        <v>0</v>
      </c>
      <c r="P4819" s="33">
        <f t="shared" si="300"/>
        <v>0</v>
      </c>
      <c r="Q4819" s="31" t="str">
        <f t="shared" si="301"/>
        <v/>
      </c>
      <c r="R4819" s="32" t="str">
        <f>IFERROR(VLOOKUP($D4819,'Informations sur les produits'!$A$3:$B$15000,2,FALSE),"")</f>
        <v/>
      </c>
      <c r="V4819">
        <f t="shared" si="302"/>
        <v>0</v>
      </c>
      <c r="W4819">
        <f t="shared" si="303"/>
        <v>0</v>
      </c>
    </row>
    <row r="4820" spans="5:23" x14ac:dyDescent="0.25">
      <c r="E4820" s="4"/>
      <c r="F4820" s="4"/>
      <c r="G4820" s="33" t="str">
        <f>IFERROR(VLOOKUP($D4820,'Informations sur les produits'!$A$3:$H$10000,8,FALSE),"0")</f>
        <v>0</v>
      </c>
      <c r="K4820" s="4"/>
      <c r="L4820" s="33" t="str">
        <f>IFERROR(VLOOKUP($J4820,'Informations sur les produits'!$A$3:$H$10000,8,FALSE),"0")</f>
        <v>0</v>
      </c>
      <c r="N4820" s="8"/>
      <c r="O4820" s="33" t="str">
        <f>IFERROR(VLOOKUP($M4820,'Informations sur les produits'!$A$3:$H$10000,8,FALSE),"0")</f>
        <v>0</v>
      </c>
      <c r="P4820" s="33">
        <f t="shared" si="300"/>
        <v>0</v>
      </c>
      <c r="Q4820" s="31" t="str">
        <f t="shared" si="301"/>
        <v/>
      </c>
      <c r="R4820" s="32" t="str">
        <f>IFERROR(VLOOKUP($D4820,'Informations sur les produits'!$A$3:$B$15000,2,FALSE),"")</f>
        <v/>
      </c>
      <c r="V4820">
        <f t="shared" si="302"/>
        <v>0</v>
      </c>
      <c r="W4820">
        <f t="shared" si="303"/>
        <v>0</v>
      </c>
    </row>
    <row r="4821" spans="5:23" x14ac:dyDescent="0.25">
      <c r="E4821" s="4"/>
      <c r="F4821" s="4"/>
      <c r="G4821" s="33" t="str">
        <f>IFERROR(VLOOKUP($D4821,'Informations sur les produits'!$A$3:$H$10000,8,FALSE),"0")</f>
        <v>0</v>
      </c>
      <c r="K4821" s="4"/>
      <c r="L4821" s="33" t="str">
        <f>IFERROR(VLOOKUP($J4821,'Informations sur les produits'!$A$3:$H$10000,8,FALSE),"0")</f>
        <v>0</v>
      </c>
      <c r="N4821" s="8"/>
      <c r="O4821" s="33" t="str">
        <f>IFERROR(VLOOKUP($M4821,'Informations sur les produits'!$A$3:$H$10000,8,FALSE),"0")</f>
        <v>0</v>
      </c>
      <c r="P4821" s="33">
        <f t="shared" si="300"/>
        <v>0</v>
      </c>
      <c r="Q4821" s="31" t="str">
        <f t="shared" si="301"/>
        <v/>
      </c>
      <c r="R4821" s="32" t="str">
        <f>IFERROR(VLOOKUP($D4821,'Informations sur les produits'!$A$3:$B$15000,2,FALSE),"")</f>
        <v/>
      </c>
      <c r="V4821">
        <f t="shared" si="302"/>
        <v>0</v>
      </c>
      <c r="W4821">
        <f t="shared" si="303"/>
        <v>0</v>
      </c>
    </row>
    <row r="4822" spans="5:23" x14ac:dyDescent="0.25">
      <c r="E4822" s="4"/>
      <c r="F4822" s="4"/>
      <c r="G4822" s="33" t="str">
        <f>IFERROR(VLOOKUP($D4822,'Informations sur les produits'!$A$3:$H$10000,8,FALSE),"0")</f>
        <v>0</v>
      </c>
      <c r="K4822" s="4"/>
      <c r="L4822" s="33" t="str">
        <f>IFERROR(VLOOKUP($J4822,'Informations sur les produits'!$A$3:$H$10000,8,FALSE),"0")</f>
        <v>0</v>
      </c>
      <c r="N4822" s="8"/>
      <c r="O4822" s="33" t="str">
        <f>IFERROR(VLOOKUP($M4822,'Informations sur les produits'!$A$3:$H$10000,8,FALSE),"0")</f>
        <v>0</v>
      </c>
      <c r="P4822" s="33">
        <f t="shared" si="300"/>
        <v>0</v>
      </c>
      <c r="Q4822" s="31" t="str">
        <f t="shared" si="301"/>
        <v/>
      </c>
      <c r="R4822" s="32" t="str">
        <f>IFERROR(VLOOKUP($D4822,'Informations sur les produits'!$A$3:$B$15000,2,FALSE),"")</f>
        <v/>
      </c>
      <c r="V4822">
        <f t="shared" si="302"/>
        <v>0</v>
      </c>
      <c r="W4822">
        <f t="shared" si="303"/>
        <v>0</v>
      </c>
    </row>
    <row r="4823" spans="5:23" x14ac:dyDescent="0.25">
      <c r="E4823" s="4"/>
      <c r="F4823" s="4"/>
      <c r="G4823" s="33" t="str">
        <f>IFERROR(VLOOKUP($D4823,'Informations sur les produits'!$A$3:$H$10000,8,FALSE),"0")</f>
        <v>0</v>
      </c>
      <c r="K4823" s="4"/>
      <c r="L4823" s="33" t="str">
        <f>IFERROR(VLOOKUP($J4823,'Informations sur les produits'!$A$3:$H$10000,8,FALSE),"0")</f>
        <v>0</v>
      </c>
      <c r="N4823" s="8"/>
      <c r="O4823" s="33" t="str">
        <f>IFERROR(VLOOKUP($M4823,'Informations sur les produits'!$A$3:$H$10000,8,FALSE),"0")</f>
        <v>0</v>
      </c>
      <c r="P4823" s="33">
        <f t="shared" si="300"/>
        <v>0</v>
      </c>
      <c r="Q4823" s="31" t="str">
        <f t="shared" si="301"/>
        <v/>
      </c>
      <c r="R4823" s="32" t="str">
        <f>IFERROR(VLOOKUP($D4823,'Informations sur les produits'!$A$3:$B$15000,2,FALSE),"")</f>
        <v/>
      </c>
      <c r="V4823">
        <f t="shared" si="302"/>
        <v>0</v>
      </c>
      <c r="W4823">
        <f t="shared" si="303"/>
        <v>0</v>
      </c>
    </row>
    <row r="4824" spans="5:23" x14ac:dyDescent="0.25">
      <c r="E4824" s="4"/>
      <c r="F4824" s="4"/>
      <c r="G4824" s="33" t="str">
        <f>IFERROR(VLOOKUP($D4824,'Informations sur les produits'!$A$3:$H$10000,8,FALSE),"0")</f>
        <v>0</v>
      </c>
      <c r="K4824" s="4"/>
      <c r="L4824" s="33" t="str">
        <f>IFERROR(VLOOKUP($J4824,'Informations sur les produits'!$A$3:$H$10000,8,FALSE),"0")</f>
        <v>0</v>
      </c>
      <c r="N4824" s="8"/>
      <c r="O4824" s="33" t="str">
        <f>IFERROR(VLOOKUP($M4824,'Informations sur les produits'!$A$3:$H$10000,8,FALSE),"0")</f>
        <v>0</v>
      </c>
      <c r="P4824" s="33">
        <f t="shared" si="300"/>
        <v>0</v>
      </c>
      <c r="Q4824" s="31" t="str">
        <f t="shared" si="301"/>
        <v/>
      </c>
      <c r="R4824" s="32" t="str">
        <f>IFERROR(VLOOKUP($D4824,'Informations sur les produits'!$A$3:$B$15000,2,FALSE),"")</f>
        <v/>
      </c>
      <c r="V4824">
        <f t="shared" si="302"/>
        <v>0</v>
      </c>
      <c r="W4824">
        <f t="shared" si="303"/>
        <v>0</v>
      </c>
    </row>
    <row r="4825" spans="5:23" x14ac:dyDescent="0.25">
      <c r="E4825" s="4"/>
      <c r="F4825" s="4"/>
      <c r="G4825" s="33" t="str">
        <f>IFERROR(VLOOKUP($D4825,'Informations sur les produits'!$A$3:$H$10000,8,FALSE),"0")</f>
        <v>0</v>
      </c>
      <c r="K4825" s="4"/>
      <c r="L4825" s="33" t="str">
        <f>IFERROR(VLOOKUP($J4825,'Informations sur les produits'!$A$3:$H$10000,8,FALSE),"0")</f>
        <v>0</v>
      </c>
      <c r="N4825" s="8"/>
      <c r="O4825" s="33" t="str">
        <f>IFERROR(VLOOKUP($M4825,'Informations sur les produits'!$A$3:$H$10000,8,FALSE),"0")</f>
        <v>0</v>
      </c>
      <c r="P4825" s="33">
        <f t="shared" si="300"/>
        <v>0</v>
      </c>
      <c r="Q4825" s="31" t="str">
        <f t="shared" si="301"/>
        <v/>
      </c>
      <c r="R4825" s="32" t="str">
        <f>IFERROR(VLOOKUP($D4825,'Informations sur les produits'!$A$3:$B$15000,2,FALSE),"")</f>
        <v/>
      </c>
      <c r="V4825">
        <f t="shared" si="302"/>
        <v>0</v>
      </c>
      <c r="W4825">
        <f t="shared" si="303"/>
        <v>0</v>
      </c>
    </row>
    <row r="4826" spans="5:23" x14ac:dyDescent="0.25">
      <c r="E4826" s="4"/>
      <c r="F4826" s="4"/>
      <c r="G4826" s="33" t="str">
        <f>IFERROR(VLOOKUP($D4826,'Informations sur les produits'!$A$3:$H$10000,8,FALSE),"0")</f>
        <v>0</v>
      </c>
      <c r="K4826" s="4"/>
      <c r="L4826" s="33" t="str">
        <f>IFERROR(VLOOKUP($J4826,'Informations sur les produits'!$A$3:$H$10000,8,FALSE),"0")</f>
        <v>0</v>
      </c>
      <c r="N4826" s="8"/>
      <c r="O4826" s="33" t="str">
        <f>IFERROR(VLOOKUP($M4826,'Informations sur les produits'!$A$3:$H$10000,8,FALSE),"0")</f>
        <v>0</v>
      </c>
      <c r="P4826" s="33">
        <f t="shared" si="300"/>
        <v>0</v>
      </c>
      <c r="Q4826" s="31" t="str">
        <f t="shared" si="301"/>
        <v/>
      </c>
      <c r="R4826" s="32" t="str">
        <f>IFERROR(VLOOKUP($D4826,'Informations sur les produits'!$A$3:$B$15000,2,FALSE),"")</f>
        <v/>
      </c>
      <c r="V4826">
        <f t="shared" si="302"/>
        <v>0</v>
      </c>
      <c r="W4826">
        <f t="shared" si="303"/>
        <v>0</v>
      </c>
    </row>
    <row r="4827" spans="5:23" x14ac:dyDescent="0.25">
      <c r="E4827" s="4"/>
      <c r="F4827" s="4"/>
      <c r="G4827" s="33" t="str">
        <f>IFERROR(VLOOKUP($D4827,'Informations sur les produits'!$A$3:$H$10000,8,FALSE),"0")</f>
        <v>0</v>
      </c>
      <c r="K4827" s="4"/>
      <c r="L4827" s="33" t="str">
        <f>IFERROR(VLOOKUP($J4827,'Informations sur les produits'!$A$3:$H$10000,8,FALSE),"0")</f>
        <v>0</v>
      </c>
      <c r="N4827" s="8"/>
      <c r="O4827" s="33" t="str">
        <f>IFERROR(VLOOKUP($M4827,'Informations sur les produits'!$A$3:$H$10000,8,FALSE),"0")</f>
        <v>0</v>
      </c>
      <c r="P4827" s="33">
        <f t="shared" si="300"/>
        <v>0</v>
      </c>
      <c r="Q4827" s="31" t="str">
        <f t="shared" si="301"/>
        <v/>
      </c>
      <c r="R4827" s="32" t="str">
        <f>IFERROR(VLOOKUP($D4827,'Informations sur les produits'!$A$3:$B$15000,2,FALSE),"")</f>
        <v/>
      </c>
      <c r="V4827">
        <f t="shared" si="302"/>
        <v>0</v>
      </c>
      <c r="W4827">
        <f t="shared" si="303"/>
        <v>0</v>
      </c>
    </row>
    <row r="4828" spans="5:23" x14ac:dyDescent="0.25">
      <c r="E4828" s="4"/>
      <c r="F4828" s="4"/>
      <c r="G4828" s="33" t="str">
        <f>IFERROR(VLOOKUP($D4828,'Informations sur les produits'!$A$3:$H$10000,8,FALSE),"0")</f>
        <v>0</v>
      </c>
      <c r="K4828" s="4"/>
      <c r="L4828" s="33" t="str">
        <f>IFERROR(VLOOKUP($J4828,'Informations sur les produits'!$A$3:$H$10000,8,FALSE),"0")</f>
        <v>0</v>
      </c>
      <c r="N4828" s="8"/>
      <c r="O4828" s="33" t="str">
        <f>IFERROR(VLOOKUP($M4828,'Informations sur les produits'!$A$3:$H$10000,8,FALSE),"0")</f>
        <v>0</v>
      </c>
      <c r="P4828" s="33">
        <f t="shared" si="300"/>
        <v>0</v>
      </c>
      <c r="Q4828" s="31" t="str">
        <f t="shared" si="301"/>
        <v/>
      </c>
      <c r="R4828" s="32" t="str">
        <f>IFERROR(VLOOKUP($D4828,'Informations sur les produits'!$A$3:$B$15000,2,FALSE),"")</f>
        <v/>
      </c>
      <c r="V4828">
        <f t="shared" si="302"/>
        <v>0</v>
      </c>
      <c r="W4828">
        <f t="shared" si="303"/>
        <v>0</v>
      </c>
    </row>
    <row r="4829" spans="5:23" x14ac:dyDescent="0.25">
      <c r="E4829" s="4"/>
      <c r="F4829" s="4"/>
      <c r="G4829" s="33" t="str">
        <f>IFERROR(VLOOKUP($D4829,'Informations sur les produits'!$A$3:$H$10000,8,FALSE),"0")</f>
        <v>0</v>
      </c>
      <c r="K4829" s="4"/>
      <c r="L4829" s="33" t="str">
        <f>IFERROR(VLOOKUP($J4829,'Informations sur les produits'!$A$3:$H$10000,8,FALSE),"0")</f>
        <v>0</v>
      </c>
      <c r="N4829" s="8"/>
      <c r="O4829" s="33" t="str">
        <f>IFERROR(VLOOKUP($M4829,'Informations sur les produits'!$A$3:$H$10000,8,FALSE),"0")</f>
        <v>0</v>
      </c>
      <c r="P4829" s="33">
        <f t="shared" si="300"/>
        <v>0</v>
      </c>
      <c r="Q4829" s="31" t="str">
        <f t="shared" si="301"/>
        <v/>
      </c>
      <c r="R4829" s="32" t="str">
        <f>IFERROR(VLOOKUP($D4829,'Informations sur les produits'!$A$3:$B$15000,2,FALSE),"")</f>
        <v/>
      </c>
      <c r="V4829">
        <f t="shared" si="302"/>
        <v>0</v>
      </c>
      <c r="W4829">
        <f t="shared" si="303"/>
        <v>0</v>
      </c>
    </row>
    <row r="4830" spans="5:23" x14ac:dyDescent="0.25">
      <c r="E4830" s="4"/>
      <c r="F4830" s="4"/>
      <c r="G4830" s="33" t="str">
        <f>IFERROR(VLOOKUP($D4830,'Informations sur les produits'!$A$3:$H$10000,8,FALSE),"0")</f>
        <v>0</v>
      </c>
      <c r="K4830" s="4"/>
      <c r="L4830" s="33" t="str">
        <f>IFERROR(VLOOKUP($J4830,'Informations sur les produits'!$A$3:$H$10000,8,FALSE),"0")</f>
        <v>0</v>
      </c>
      <c r="N4830" s="8"/>
      <c r="O4830" s="33" t="str">
        <f>IFERROR(VLOOKUP($M4830,'Informations sur les produits'!$A$3:$H$10000,8,FALSE),"0")</f>
        <v>0</v>
      </c>
      <c r="P4830" s="33">
        <f t="shared" si="300"/>
        <v>0</v>
      </c>
      <c r="Q4830" s="31" t="str">
        <f t="shared" si="301"/>
        <v/>
      </c>
      <c r="R4830" s="32" t="str">
        <f>IFERROR(VLOOKUP($D4830,'Informations sur les produits'!$A$3:$B$15000,2,FALSE),"")</f>
        <v/>
      </c>
      <c r="V4830">
        <f t="shared" si="302"/>
        <v>0</v>
      </c>
      <c r="W4830">
        <f t="shared" si="303"/>
        <v>0</v>
      </c>
    </row>
    <row r="4831" spans="5:23" x14ac:dyDescent="0.25">
      <c r="E4831" s="4"/>
      <c r="F4831" s="4"/>
      <c r="G4831" s="33" t="str">
        <f>IFERROR(VLOOKUP($D4831,'Informations sur les produits'!$A$3:$H$10000,8,FALSE),"0")</f>
        <v>0</v>
      </c>
      <c r="K4831" s="4"/>
      <c r="L4831" s="33" t="str">
        <f>IFERROR(VLOOKUP($J4831,'Informations sur les produits'!$A$3:$H$10000,8,FALSE),"0")</f>
        <v>0</v>
      </c>
      <c r="N4831" s="8"/>
      <c r="O4831" s="33" t="str">
        <f>IFERROR(VLOOKUP($M4831,'Informations sur les produits'!$A$3:$H$10000,8,FALSE),"0")</f>
        <v>0</v>
      </c>
      <c r="P4831" s="33">
        <f t="shared" si="300"/>
        <v>0</v>
      </c>
      <c r="Q4831" s="31" t="str">
        <f t="shared" si="301"/>
        <v/>
      </c>
      <c r="R4831" s="32" t="str">
        <f>IFERROR(VLOOKUP($D4831,'Informations sur les produits'!$A$3:$B$15000,2,FALSE),"")</f>
        <v/>
      </c>
      <c r="V4831">
        <f t="shared" si="302"/>
        <v>0</v>
      </c>
      <c r="W4831">
        <f t="shared" si="303"/>
        <v>0</v>
      </c>
    </row>
    <row r="4832" spans="5:23" x14ac:dyDescent="0.25">
      <c r="E4832" s="4"/>
      <c r="F4832" s="4"/>
      <c r="G4832" s="33" t="str">
        <f>IFERROR(VLOOKUP($D4832,'Informations sur les produits'!$A$3:$H$10000,8,FALSE),"0")</f>
        <v>0</v>
      </c>
      <c r="K4832" s="4"/>
      <c r="L4832" s="33" t="str">
        <f>IFERROR(VLOOKUP($J4832,'Informations sur les produits'!$A$3:$H$10000,8,FALSE),"0")</f>
        <v>0</v>
      </c>
      <c r="N4832" s="8"/>
      <c r="O4832" s="33" t="str">
        <f>IFERROR(VLOOKUP($M4832,'Informations sur les produits'!$A$3:$H$10000,8,FALSE),"0")</f>
        <v>0</v>
      </c>
      <c r="P4832" s="33">
        <f t="shared" si="300"/>
        <v>0</v>
      </c>
      <c r="Q4832" s="31" t="str">
        <f t="shared" si="301"/>
        <v/>
      </c>
      <c r="R4832" s="32" t="str">
        <f>IFERROR(VLOOKUP($D4832,'Informations sur les produits'!$A$3:$B$15000,2,FALSE),"")</f>
        <v/>
      </c>
      <c r="V4832">
        <f t="shared" si="302"/>
        <v>0</v>
      </c>
      <c r="W4832">
        <f t="shared" si="303"/>
        <v>0</v>
      </c>
    </row>
    <row r="4833" spans="5:23" x14ac:dyDescent="0.25">
      <c r="E4833" s="4"/>
      <c r="F4833" s="4"/>
      <c r="G4833" s="33" t="str">
        <f>IFERROR(VLOOKUP($D4833,'Informations sur les produits'!$A$3:$H$10000,8,FALSE),"0")</f>
        <v>0</v>
      </c>
      <c r="K4833" s="4"/>
      <c r="L4833" s="33" t="str">
        <f>IFERROR(VLOOKUP($J4833,'Informations sur les produits'!$A$3:$H$10000,8,FALSE),"0")</f>
        <v>0</v>
      </c>
      <c r="N4833" s="8"/>
      <c r="O4833" s="33" t="str">
        <f>IFERROR(VLOOKUP($M4833,'Informations sur les produits'!$A$3:$H$10000,8,FALSE),"0")</f>
        <v>0</v>
      </c>
      <c r="P4833" s="33">
        <f t="shared" si="300"/>
        <v>0</v>
      </c>
      <c r="Q4833" s="31" t="str">
        <f t="shared" si="301"/>
        <v/>
      </c>
      <c r="R4833" s="32" t="str">
        <f>IFERROR(VLOOKUP($D4833,'Informations sur les produits'!$A$3:$B$15000,2,FALSE),"")</f>
        <v/>
      </c>
      <c r="V4833">
        <f t="shared" si="302"/>
        <v>0</v>
      </c>
      <c r="W4833">
        <f t="shared" si="303"/>
        <v>0</v>
      </c>
    </row>
    <row r="4834" spans="5:23" x14ac:dyDescent="0.25">
      <c r="E4834" s="4"/>
      <c r="F4834" s="4"/>
      <c r="G4834" s="33" t="str">
        <f>IFERROR(VLOOKUP($D4834,'Informations sur les produits'!$A$3:$H$10000,8,FALSE),"0")</f>
        <v>0</v>
      </c>
      <c r="K4834" s="4"/>
      <c r="L4834" s="33" t="str">
        <f>IFERROR(VLOOKUP($J4834,'Informations sur les produits'!$A$3:$H$10000,8,FALSE),"0")</f>
        <v>0</v>
      </c>
      <c r="N4834" s="8"/>
      <c r="O4834" s="33" t="str">
        <f>IFERROR(VLOOKUP($M4834,'Informations sur les produits'!$A$3:$H$10000,8,FALSE),"0")</f>
        <v>0</v>
      </c>
      <c r="P4834" s="33">
        <f t="shared" si="300"/>
        <v>0</v>
      </c>
      <c r="Q4834" s="31" t="str">
        <f t="shared" si="301"/>
        <v/>
      </c>
      <c r="R4834" s="32" t="str">
        <f>IFERROR(VLOOKUP($D4834,'Informations sur les produits'!$A$3:$B$15000,2,FALSE),"")</f>
        <v/>
      </c>
      <c r="V4834">
        <f t="shared" si="302"/>
        <v>0</v>
      </c>
      <c r="W4834">
        <f t="shared" si="303"/>
        <v>0</v>
      </c>
    </row>
    <row r="4835" spans="5:23" x14ac:dyDescent="0.25">
      <c r="E4835" s="4"/>
      <c r="F4835" s="4"/>
      <c r="G4835" s="33" t="str">
        <f>IFERROR(VLOOKUP($D4835,'Informations sur les produits'!$A$3:$H$10000,8,FALSE),"0")</f>
        <v>0</v>
      </c>
      <c r="K4835" s="4"/>
      <c r="L4835" s="33" t="str">
        <f>IFERROR(VLOOKUP($J4835,'Informations sur les produits'!$A$3:$H$10000,8,FALSE),"0")</f>
        <v>0</v>
      </c>
      <c r="N4835" s="8"/>
      <c r="O4835" s="33" t="str">
        <f>IFERROR(VLOOKUP($M4835,'Informations sur les produits'!$A$3:$H$10000,8,FALSE),"0")</f>
        <v>0</v>
      </c>
      <c r="P4835" s="33">
        <f t="shared" si="300"/>
        <v>0</v>
      </c>
      <c r="Q4835" s="31" t="str">
        <f t="shared" si="301"/>
        <v/>
      </c>
      <c r="R4835" s="32" t="str">
        <f>IFERROR(VLOOKUP($D4835,'Informations sur les produits'!$A$3:$B$15000,2,FALSE),"")</f>
        <v/>
      </c>
      <c r="V4835">
        <f t="shared" si="302"/>
        <v>0</v>
      </c>
      <c r="W4835">
        <f t="shared" si="303"/>
        <v>0</v>
      </c>
    </row>
    <row r="4836" spans="5:23" x14ac:dyDescent="0.25">
      <c r="E4836" s="4"/>
      <c r="F4836" s="4"/>
      <c r="G4836" s="33" t="str">
        <f>IFERROR(VLOOKUP($D4836,'Informations sur les produits'!$A$3:$H$10000,8,FALSE),"0")</f>
        <v>0</v>
      </c>
      <c r="K4836" s="4"/>
      <c r="L4836" s="33" t="str">
        <f>IFERROR(VLOOKUP($J4836,'Informations sur les produits'!$A$3:$H$10000,8,FALSE),"0")</f>
        <v>0</v>
      </c>
      <c r="N4836" s="8"/>
      <c r="O4836" s="33" t="str">
        <f>IFERROR(VLOOKUP($M4836,'Informations sur les produits'!$A$3:$H$10000,8,FALSE),"0")</f>
        <v>0</v>
      </c>
      <c r="P4836" s="33">
        <f t="shared" si="300"/>
        <v>0</v>
      </c>
      <c r="Q4836" s="31" t="str">
        <f t="shared" si="301"/>
        <v/>
      </c>
      <c r="R4836" s="32" t="str">
        <f>IFERROR(VLOOKUP($D4836,'Informations sur les produits'!$A$3:$B$15000,2,FALSE),"")</f>
        <v/>
      </c>
      <c r="V4836">
        <f t="shared" si="302"/>
        <v>0</v>
      </c>
      <c r="W4836">
        <f t="shared" si="303"/>
        <v>0</v>
      </c>
    </row>
    <row r="4837" spans="5:23" x14ac:dyDescent="0.25">
      <c r="E4837" s="4"/>
      <c r="F4837" s="4"/>
      <c r="G4837" s="33" t="str">
        <f>IFERROR(VLOOKUP($D4837,'Informations sur les produits'!$A$3:$H$10000,8,FALSE),"0")</f>
        <v>0</v>
      </c>
      <c r="K4837" s="4"/>
      <c r="L4837" s="33" t="str">
        <f>IFERROR(VLOOKUP($J4837,'Informations sur les produits'!$A$3:$H$10000,8,FALSE),"0")</f>
        <v>0</v>
      </c>
      <c r="N4837" s="8"/>
      <c r="O4837" s="33" t="str">
        <f>IFERROR(VLOOKUP($M4837,'Informations sur les produits'!$A$3:$H$10000,8,FALSE),"0")</f>
        <v>0</v>
      </c>
      <c r="P4837" s="33">
        <f t="shared" si="300"/>
        <v>0</v>
      </c>
      <c r="Q4837" s="31" t="str">
        <f t="shared" si="301"/>
        <v/>
      </c>
      <c r="R4837" s="32" t="str">
        <f>IFERROR(VLOOKUP($D4837,'Informations sur les produits'!$A$3:$B$15000,2,FALSE),"")</f>
        <v/>
      </c>
      <c r="V4837">
        <f t="shared" si="302"/>
        <v>0</v>
      </c>
      <c r="W4837">
        <f t="shared" si="303"/>
        <v>0</v>
      </c>
    </row>
    <row r="4838" spans="5:23" x14ac:dyDescent="0.25">
      <c r="E4838" s="4"/>
      <c r="F4838" s="4"/>
      <c r="G4838" s="33" t="str">
        <f>IFERROR(VLOOKUP($D4838,'Informations sur les produits'!$A$3:$H$10000,8,FALSE),"0")</f>
        <v>0</v>
      </c>
      <c r="K4838" s="4"/>
      <c r="L4838" s="33" t="str">
        <f>IFERROR(VLOOKUP($J4838,'Informations sur les produits'!$A$3:$H$10000,8,FALSE),"0")</f>
        <v>0</v>
      </c>
      <c r="N4838" s="8"/>
      <c r="O4838" s="33" t="str">
        <f>IFERROR(VLOOKUP($M4838,'Informations sur les produits'!$A$3:$H$10000,8,FALSE),"0")</f>
        <v>0</v>
      </c>
      <c r="P4838" s="33">
        <f t="shared" si="300"/>
        <v>0</v>
      </c>
      <c r="Q4838" s="31" t="str">
        <f t="shared" si="301"/>
        <v/>
      </c>
      <c r="R4838" s="32" t="str">
        <f>IFERROR(VLOOKUP($D4838,'Informations sur les produits'!$A$3:$B$15000,2,FALSE),"")</f>
        <v/>
      </c>
      <c r="V4838">
        <f t="shared" si="302"/>
        <v>0</v>
      </c>
      <c r="W4838">
        <f t="shared" si="303"/>
        <v>0</v>
      </c>
    </row>
    <row r="4839" spans="5:23" x14ac:dyDescent="0.25">
      <c r="E4839" s="4"/>
      <c r="F4839" s="4"/>
      <c r="G4839" s="33" t="str">
        <f>IFERROR(VLOOKUP($D4839,'Informations sur les produits'!$A$3:$H$10000,8,FALSE),"0")</f>
        <v>0</v>
      </c>
      <c r="K4839" s="4"/>
      <c r="L4839" s="33" t="str">
        <f>IFERROR(VLOOKUP($J4839,'Informations sur les produits'!$A$3:$H$10000,8,FALSE),"0")</f>
        <v>0</v>
      </c>
      <c r="N4839" s="8"/>
      <c r="O4839" s="33" t="str">
        <f>IFERROR(VLOOKUP($M4839,'Informations sur les produits'!$A$3:$H$10000,8,FALSE),"0")</f>
        <v>0</v>
      </c>
      <c r="P4839" s="33">
        <f t="shared" si="300"/>
        <v>0</v>
      </c>
      <c r="Q4839" s="31" t="str">
        <f t="shared" si="301"/>
        <v/>
      </c>
      <c r="R4839" s="32" t="str">
        <f>IFERROR(VLOOKUP($D4839,'Informations sur les produits'!$A$3:$B$15000,2,FALSE),"")</f>
        <v/>
      </c>
      <c r="V4839">
        <f t="shared" si="302"/>
        <v>0</v>
      </c>
      <c r="W4839">
        <f t="shared" si="303"/>
        <v>0</v>
      </c>
    </row>
    <row r="4840" spans="5:23" x14ac:dyDescent="0.25">
      <c r="E4840" s="4"/>
      <c r="F4840" s="4"/>
      <c r="G4840" s="33" t="str">
        <f>IFERROR(VLOOKUP($D4840,'Informations sur les produits'!$A$3:$H$10000,8,FALSE),"0")</f>
        <v>0</v>
      </c>
      <c r="K4840" s="4"/>
      <c r="L4840" s="33" t="str">
        <f>IFERROR(VLOOKUP($J4840,'Informations sur les produits'!$A$3:$H$10000,8,FALSE),"0")</f>
        <v>0</v>
      </c>
      <c r="N4840" s="8"/>
      <c r="O4840" s="33" t="str">
        <f>IFERROR(VLOOKUP($M4840,'Informations sur les produits'!$A$3:$H$10000,8,FALSE),"0")</f>
        <v>0</v>
      </c>
      <c r="P4840" s="33">
        <f t="shared" si="300"/>
        <v>0</v>
      </c>
      <c r="Q4840" s="31" t="str">
        <f t="shared" si="301"/>
        <v/>
      </c>
      <c r="R4840" s="32" t="str">
        <f>IFERROR(VLOOKUP($D4840,'Informations sur les produits'!$A$3:$B$15000,2,FALSE),"")</f>
        <v/>
      </c>
      <c r="V4840">
        <f t="shared" si="302"/>
        <v>0</v>
      </c>
      <c r="W4840">
        <f t="shared" si="303"/>
        <v>0</v>
      </c>
    </row>
    <row r="4841" spans="5:23" x14ac:dyDescent="0.25">
      <c r="E4841" s="4"/>
      <c r="F4841" s="4"/>
      <c r="G4841" s="33" t="str">
        <f>IFERROR(VLOOKUP($D4841,'Informations sur les produits'!$A$3:$H$10000,8,FALSE),"0")</f>
        <v>0</v>
      </c>
      <c r="K4841" s="4"/>
      <c r="L4841" s="33" t="str">
        <f>IFERROR(VLOOKUP($J4841,'Informations sur les produits'!$A$3:$H$10000,8,FALSE),"0")</f>
        <v>0</v>
      </c>
      <c r="N4841" s="8"/>
      <c r="O4841" s="33" t="str">
        <f>IFERROR(VLOOKUP($M4841,'Informations sur les produits'!$A$3:$H$10000,8,FALSE),"0")</f>
        <v>0</v>
      </c>
      <c r="P4841" s="33">
        <f t="shared" si="300"/>
        <v>0</v>
      </c>
      <c r="Q4841" s="31" t="str">
        <f t="shared" si="301"/>
        <v/>
      </c>
      <c r="R4841" s="32" t="str">
        <f>IFERROR(VLOOKUP($D4841,'Informations sur les produits'!$A$3:$B$15000,2,FALSE),"")</f>
        <v/>
      </c>
      <c r="V4841">
        <f t="shared" si="302"/>
        <v>0</v>
      </c>
      <c r="W4841">
        <f t="shared" si="303"/>
        <v>0</v>
      </c>
    </row>
    <row r="4842" spans="5:23" x14ac:dyDescent="0.25">
      <c r="E4842" s="4"/>
      <c r="F4842" s="4"/>
      <c r="G4842" s="33" t="str">
        <f>IFERROR(VLOOKUP($D4842,'Informations sur les produits'!$A$3:$H$10000,8,FALSE),"0")</f>
        <v>0</v>
      </c>
      <c r="K4842" s="4"/>
      <c r="L4842" s="33" t="str">
        <f>IFERROR(VLOOKUP($J4842,'Informations sur les produits'!$A$3:$H$10000,8,FALSE),"0")</f>
        <v>0</v>
      </c>
      <c r="N4842" s="8"/>
      <c r="O4842" s="33" t="str">
        <f>IFERROR(VLOOKUP($M4842,'Informations sur les produits'!$A$3:$H$10000,8,FALSE),"0")</f>
        <v>0</v>
      </c>
      <c r="P4842" s="33">
        <f t="shared" si="300"/>
        <v>0</v>
      </c>
      <c r="Q4842" s="31" t="str">
        <f t="shared" si="301"/>
        <v/>
      </c>
      <c r="R4842" s="32" t="str">
        <f>IFERROR(VLOOKUP($D4842,'Informations sur les produits'!$A$3:$B$15000,2,FALSE),"")</f>
        <v/>
      </c>
      <c r="V4842">
        <f t="shared" si="302"/>
        <v>0</v>
      </c>
      <c r="W4842">
        <f t="shared" si="303"/>
        <v>0</v>
      </c>
    </row>
    <row r="4843" spans="5:23" x14ac:dyDescent="0.25">
      <c r="E4843" s="4"/>
      <c r="F4843" s="4"/>
      <c r="G4843" s="33" t="str">
        <f>IFERROR(VLOOKUP($D4843,'Informations sur les produits'!$A$3:$H$10000,8,FALSE),"0")</f>
        <v>0</v>
      </c>
      <c r="K4843" s="4"/>
      <c r="L4843" s="33" t="str">
        <f>IFERROR(VLOOKUP($J4843,'Informations sur les produits'!$A$3:$H$10000,8,FALSE),"0")</f>
        <v>0</v>
      </c>
      <c r="N4843" s="8"/>
      <c r="O4843" s="33" t="str">
        <f>IFERROR(VLOOKUP($M4843,'Informations sur les produits'!$A$3:$H$10000,8,FALSE),"0")</f>
        <v>0</v>
      </c>
      <c r="P4843" s="33">
        <f t="shared" si="300"/>
        <v>0</v>
      </c>
      <c r="Q4843" s="31" t="str">
        <f t="shared" si="301"/>
        <v/>
      </c>
      <c r="R4843" s="32" t="str">
        <f>IFERROR(VLOOKUP($D4843,'Informations sur les produits'!$A$3:$B$15000,2,FALSE),"")</f>
        <v/>
      </c>
      <c r="V4843">
        <f t="shared" si="302"/>
        <v>0</v>
      </c>
      <c r="W4843">
        <f t="shared" si="303"/>
        <v>0</v>
      </c>
    </row>
    <row r="4844" spans="5:23" x14ac:dyDescent="0.25">
      <c r="E4844" s="4"/>
      <c r="F4844" s="4"/>
      <c r="G4844" s="33" t="str">
        <f>IFERROR(VLOOKUP($D4844,'Informations sur les produits'!$A$3:$H$10000,8,FALSE),"0")</f>
        <v>0</v>
      </c>
      <c r="K4844" s="4"/>
      <c r="L4844" s="33" t="str">
        <f>IFERROR(VLOOKUP($J4844,'Informations sur les produits'!$A$3:$H$10000,8,FALSE),"0")</f>
        <v>0</v>
      </c>
      <c r="N4844" s="8"/>
      <c r="O4844" s="33" t="str">
        <f>IFERROR(VLOOKUP($M4844,'Informations sur les produits'!$A$3:$H$10000,8,FALSE),"0")</f>
        <v>0</v>
      </c>
      <c r="P4844" s="33">
        <f t="shared" si="300"/>
        <v>0</v>
      </c>
      <c r="Q4844" s="31" t="str">
        <f t="shared" si="301"/>
        <v/>
      </c>
      <c r="R4844" s="32" t="str">
        <f>IFERROR(VLOOKUP($D4844,'Informations sur les produits'!$A$3:$B$15000,2,FALSE),"")</f>
        <v/>
      </c>
      <c r="V4844">
        <f t="shared" si="302"/>
        <v>0</v>
      </c>
      <c r="W4844">
        <f t="shared" si="303"/>
        <v>0</v>
      </c>
    </row>
    <row r="4845" spans="5:23" x14ac:dyDescent="0.25">
      <c r="E4845" s="4"/>
      <c r="F4845" s="4"/>
      <c r="G4845" s="33" t="str">
        <f>IFERROR(VLOOKUP($D4845,'Informations sur les produits'!$A$3:$H$10000,8,FALSE),"0")</f>
        <v>0</v>
      </c>
      <c r="K4845" s="4"/>
      <c r="L4845" s="33" t="str">
        <f>IFERROR(VLOOKUP($J4845,'Informations sur les produits'!$A$3:$H$10000,8,FALSE),"0")</f>
        <v>0</v>
      </c>
      <c r="N4845" s="8"/>
      <c r="O4845" s="33" t="str">
        <f>IFERROR(VLOOKUP($M4845,'Informations sur les produits'!$A$3:$H$10000,8,FALSE),"0")</f>
        <v>0</v>
      </c>
      <c r="P4845" s="33">
        <f t="shared" si="300"/>
        <v>0</v>
      </c>
      <c r="Q4845" s="31" t="str">
        <f t="shared" si="301"/>
        <v/>
      </c>
      <c r="R4845" s="32" t="str">
        <f>IFERROR(VLOOKUP($D4845,'Informations sur les produits'!$A$3:$B$15000,2,FALSE),"")</f>
        <v/>
      </c>
      <c r="V4845">
        <f t="shared" si="302"/>
        <v>0</v>
      </c>
      <c r="W4845">
        <f t="shared" si="303"/>
        <v>0</v>
      </c>
    </row>
    <row r="4846" spans="5:23" x14ac:dyDescent="0.25">
      <c r="E4846" s="4"/>
      <c r="F4846" s="4"/>
      <c r="G4846" s="33" t="str">
        <f>IFERROR(VLOOKUP($D4846,'Informations sur les produits'!$A$3:$H$10000,8,FALSE),"0")</f>
        <v>0</v>
      </c>
      <c r="K4846" s="4"/>
      <c r="L4846" s="33" t="str">
        <f>IFERROR(VLOOKUP($J4846,'Informations sur les produits'!$A$3:$H$10000,8,FALSE),"0")</f>
        <v>0</v>
      </c>
      <c r="N4846" s="8"/>
      <c r="O4846" s="33" t="str">
        <f>IFERROR(VLOOKUP($M4846,'Informations sur les produits'!$A$3:$H$10000,8,FALSE),"0")</f>
        <v>0</v>
      </c>
      <c r="P4846" s="33">
        <f t="shared" si="300"/>
        <v>0</v>
      </c>
      <c r="Q4846" s="31" t="str">
        <f t="shared" si="301"/>
        <v/>
      </c>
      <c r="R4846" s="32" t="str">
        <f>IFERROR(VLOOKUP($D4846,'Informations sur les produits'!$A$3:$B$15000,2,FALSE),"")</f>
        <v/>
      </c>
      <c r="V4846">
        <f t="shared" si="302"/>
        <v>0</v>
      </c>
      <c r="W4846">
        <f t="shared" si="303"/>
        <v>0</v>
      </c>
    </row>
    <row r="4847" spans="5:23" x14ac:dyDescent="0.25">
      <c r="E4847" s="4"/>
      <c r="F4847" s="4"/>
      <c r="G4847" s="33" t="str">
        <f>IFERROR(VLOOKUP($D4847,'Informations sur les produits'!$A$3:$H$10000,8,FALSE),"0")</f>
        <v>0</v>
      </c>
      <c r="K4847" s="4"/>
      <c r="L4847" s="33" t="str">
        <f>IFERROR(VLOOKUP($J4847,'Informations sur les produits'!$A$3:$H$10000,8,FALSE),"0")</f>
        <v>0</v>
      </c>
      <c r="N4847" s="8"/>
      <c r="O4847" s="33" t="str">
        <f>IFERROR(VLOOKUP($M4847,'Informations sur les produits'!$A$3:$H$10000,8,FALSE),"0")</f>
        <v>0</v>
      </c>
      <c r="P4847" s="33">
        <f t="shared" si="300"/>
        <v>0</v>
      </c>
      <c r="Q4847" s="31" t="str">
        <f t="shared" si="301"/>
        <v/>
      </c>
      <c r="R4847" s="32" t="str">
        <f>IFERROR(VLOOKUP($D4847,'Informations sur les produits'!$A$3:$B$15000,2,FALSE),"")</f>
        <v/>
      </c>
      <c r="V4847">
        <f t="shared" si="302"/>
        <v>0</v>
      </c>
      <c r="W4847">
        <f t="shared" si="303"/>
        <v>0</v>
      </c>
    </row>
    <row r="4848" spans="5:23" x14ac:dyDescent="0.25">
      <c r="E4848" s="4"/>
      <c r="F4848" s="4"/>
      <c r="G4848" s="33" t="str">
        <f>IFERROR(VLOOKUP($D4848,'Informations sur les produits'!$A$3:$H$10000,8,FALSE),"0")</f>
        <v>0</v>
      </c>
      <c r="K4848" s="4"/>
      <c r="L4848" s="33" t="str">
        <f>IFERROR(VLOOKUP($J4848,'Informations sur les produits'!$A$3:$H$10000,8,FALSE),"0")</f>
        <v>0</v>
      </c>
      <c r="N4848" s="8"/>
      <c r="O4848" s="33" t="str">
        <f>IFERROR(VLOOKUP($M4848,'Informations sur les produits'!$A$3:$H$10000,8,FALSE),"0")</f>
        <v>0</v>
      </c>
      <c r="P4848" s="33">
        <f t="shared" si="300"/>
        <v>0</v>
      </c>
      <c r="Q4848" s="31" t="str">
        <f t="shared" si="301"/>
        <v/>
      </c>
      <c r="R4848" s="32" t="str">
        <f>IFERROR(VLOOKUP($D4848,'Informations sur les produits'!$A$3:$B$15000,2,FALSE),"")</f>
        <v/>
      </c>
      <c r="V4848">
        <f t="shared" si="302"/>
        <v>0</v>
      </c>
      <c r="W4848">
        <f t="shared" si="303"/>
        <v>0</v>
      </c>
    </row>
    <row r="4849" spans="5:23" x14ac:dyDescent="0.25">
      <c r="E4849" s="4"/>
      <c r="F4849" s="4"/>
      <c r="G4849" s="33" t="str">
        <f>IFERROR(VLOOKUP($D4849,'Informations sur les produits'!$A$3:$H$10000,8,FALSE),"0")</f>
        <v>0</v>
      </c>
      <c r="K4849" s="4"/>
      <c r="L4849" s="33" t="str">
        <f>IFERROR(VLOOKUP($J4849,'Informations sur les produits'!$A$3:$H$10000,8,FALSE),"0")</f>
        <v>0</v>
      </c>
      <c r="N4849" s="8"/>
      <c r="O4849" s="33" t="str">
        <f>IFERROR(VLOOKUP($M4849,'Informations sur les produits'!$A$3:$H$10000,8,FALSE),"0")</f>
        <v>0</v>
      </c>
      <c r="P4849" s="33">
        <f t="shared" si="300"/>
        <v>0</v>
      </c>
      <c r="Q4849" s="31" t="str">
        <f t="shared" si="301"/>
        <v/>
      </c>
      <c r="R4849" s="32" t="str">
        <f>IFERROR(VLOOKUP($D4849,'Informations sur les produits'!$A$3:$B$15000,2,FALSE),"")</f>
        <v/>
      </c>
      <c r="V4849">
        <f t="shared" si="302"/>
        <v>0</v>
      </c>
      <c r="W4849">
        <f t="shared" si="303"/>
        <v>0</v>
      </c>
    </row>
    <row r="4850" spans="5:23" x14ac:dyDescent="0.25">
      <c r="E4850" s="4"/>
      <c r="F4850" s="4"/>
      <c r="G4850" s="33" t="str">
        <f>IFERROR(VLOOKUP($D4850,'Informations sur les produits'!$A$3:$H$10000,8,FALSE),"0")</f>
        <v>0</v>
      </c>
      <c r="K4850" s="4"/>
      <c r="L4850" s="33" t="str">
        <f>IFERROR(VLOOKUP($J4850,'Informations sur les produits'!$A$3:$H$10000,8,FALSE),"0")</f>
        <v>0</v>
      </c>
      <c r="N4850" s="8"/>
      <c r="O4850" s="33" t="str">
        <f>IFERROR(VLOOKUP($M4850,'Informations sur les produits'!$A$3:$H$10000,8,FALSE),"0")</f>
        <v>0</v>
      </c>
      <c r="P4850" s="33">
        <f t="shared" si="300"/>
        <v>0</v>
      </c>
      <c r="Q4850" s="31" t="str">
        <f t="shared" si="301"/>
        <v/>
      </c>
      <c r="R4850" s="32" t="str">
        <f>IFERROR(VLOOKUP($D4850,'Informations sur les produits'!$A$3:$B$15000,2,FALSE),"")</f>
        <v/>
      </c>
      <c r="V4850">
        <f t="shared" si="302"/>
        <v>0</v>
      </c>
      <c r="W4850">
        <f t="shared" si="303"/>
        <v>0</v>
      </c>
    </row>
    <row r="4851" spans="5:23" x14ac:dyDescent="0.25">
      <c r="E4851" s="4"/>
      <c r="F4851" s="4"/>
      <c r="G4851" s="33" t="str">
        <f>IFERROR(VLOOKUP($D4851,'Informations sur les produits'!$A$3:$H$10000,8,FALSE),"0")</f>
        <v>0</v>
      </c>
      <c r="K4851" s="4"/>
      <c r="L4851" s="33" t="str">
        <f>IFERROR(VLOOKUP($J4851,'Informations sur les produits'!$A$3:$H$10000,8,FALSE),"0")</f>
        <v>0</v>
      </c>
      <c r="N4851" s="8"/>
      <c r="O4851" s="33" t="str">
        <f>IFERROR(VLOOKUP($M4851,'Informations sur les produits'!$A$3:$H$10000,8,FALSE),"0")</f>
        <v>0</v>
      </c>
      <c r="P4851" s="33">
        <f t="shared" si="300"/>
        <v>0</v>
      </c>
      <c r="Q4851" s="31" t="str">
        <f t="shared" si="301"/>
        <v/>
      </c>
      <c r="R4851" s="32" t="str">
        <f>IFERROR(VLOOKUP($D4851,'Informations sur les produits'!$A$3:$B$15000,2,FALSE),"")</f>
        <v/>
      </c>
      <c r="V4851">
        <f t="shared" si="302"/>
        <v>0</v>
      </c>
      <c r="W4851">
        <f t="shared" si="303"/>
        <v>0</v>
      </c>
    </row>
    <row r="4852" spans="5:23" x14ac:dyDescent="0.25">
      <c r="E4852" s="4"/>
      <c r="F4852" s="4"/>
      <c r="G4852" s="33" t="str">
        <f>IFERROR(VLOOKUP($D4852,'Informations sur les produits'!$A$3:$H$10000,8,FALSE),"0")</f>
        <v>0</v>
      </c>
      <c r="K4852" s="4"/>
      <c r="L4852" s="33" t="str">
        <f>IFERROR(VLOOKUP($J4852,'Informations sur les produits'!$A$3:$H$10000,8,FALSE),"0")</f>
        <v>0</v>
      </c>
      <c r="N4852" s="8"/>
      <c r="O4852" s="33" t="str">
        <f>IFERROR(VLOOKUP($M4852,'Informations sur les produits'!$A$3:$H$10000,8,FALSE),"0")</f>
        <v>0</v>
      </c>
      <c r="P4852" s="33">
        <f t="shared" si="300"/>
        <v>0</v>
      </c>
      <c r="Q4852" s="31" t="str">
        <f t="shared" si="301"/>
        <v/>
      </c>
      <c r="R4852" s="32" t="str">
        <f>IFERROR(VLOOKUP($D4852,'Informations sur les produits'!$A$3:$B$15000,2,FALSE),"")</f>
        <v/>
      </c>
      <c r="V4852">
        <f t="shared" si="302"/>
        <v>0</v>
      </c>
      <c r="W4852">
        <f t="shared" si="303"/>
        <v>0</v>
      </c>
    </row>
    <row r="4853" spans="5:23" x14ac:dyDescent="0.25">
      <c r="E4853" s="4"/>
      <c r="F4853" s="4"/>
      <c r="G4853" s="33" t="str">
        <f>IFERROR(VLOOKUP($D4853,'Informations sur les produits'!$A$3:$H$10000,8,FALSE),"0")</f>
        <v>0</v>
      </c>
      <c r="K4853" s="4"/>
      <c r="L4853" s="33" t="str">
        <f>IFERROR(VLOOKUP($J4853,'Informations sur les produits'!$A$3:$H$10000,8,FALSE),"0")</f>
        <v>0</v>
      </c>
      <c r="N4853" s="8"/>
      <c r="O4853" s="33" t="str">
        <f>IFERROR(VLOOKUP($M4853,'Informations sur les produits'!$A$3:$H$10000,8,FALSE),"0")</f>
        <v>0</v>
      </c>
      <c r="P4853" s="33">
        <f t="shared" si="300"/>
        <v>0</v>
      </c>
      <c r="Q4853" s="31" t="str">
        <f t="shared" si="301"/>
        <v/>
      </c>
      <c r="R4853" s="32" t="str">
        <f>IFERROR(VLOOKUP($D4853,'Informations sur les produits'!$A$3:$B$15000,2,FALSE),"")</f>
        <v/>
      </c>
      <c r="V4853">
        <f t="shared" si="302"/>
        <v>0</v>
      </c>
      <c r="W4853">
        <f t="shared" si="303"/>
        <v>0</v>
      </c>
    </row>
    <row r="4854" spans="5:23" x14ac:dyDescent="0.25">
      <c r="E4854" s="4"/>
      <c r="F4854" s="4"/>
      <c r="G4854" s="33" t="str">
        <f>IFERROR(VLOOKUP($D4854,'Informations sur les produits'!$A$3:$H$10000,8,FALSE),"0")</f>
        <v>0</v>
      </c>
      <c r="K4854" s="4"/>
      <c r="L4854" s="33" t="str">
        <f>IFERROR(VLOOKUP($J4854,'Informations sur les produits'!$A$3:$H$10000,8,FALSE),"0")</f>
        <v>0</v>
      </c>
      <c r="N4854" s="8"/>
      <c r="O4854" s="33" t="str">
        <f>IFERROR(VLOOKUP($M4854,'Informations sur les produits'!$A$3:$H$10000,8,FALSE),"0")</f>
        <v>0</v>
      </c>
      <c r="P4854" s="33">
        <f t="shared" si="300"/>
        <v>0</v>
      </c>
      <c r="Q4854" s="31" t="str">
        <f t="shared" si="301"/>
        <v/>
      </c>
      <c r="R4854" s="32" t="str">
        <f>IFERROR(VLOOKUP($D4854,'Informations sur les produits'!$A$3:$B$15000,2,FALSE),"")</f>
        <v/>
      </c>
      <c r="V4854">
        <f t="shared" si="302"/>
        <v>0</v>
      </c>
      <c r="W4854">
        <f t="shared" si="303"/>
        <v>0</v>
      </c>
    </row>
    <row r="4855" spans="5:23" x14ac:dyDescent="0.25">
      <c r="E4855" s="4"/>
      <c r="F4855" s="4"/>
      <c r="G4855" s="33" t="str">
        <f>IFERROR(VLOOKUP($D4855,'Informations sur les produits'!$A$3:$H$10000,8,FALSE),"0")</f>
        <v>0</v>
      </c>
      <c r="K4855" s="4"/>
      <c r="L4855" s="33" t="str">
        <f>IFERROR(VLOOKUP($J4855,'Informations sur les produits'!$A$3:$H$10000,8,FALSE),"0")</f>
        <v>0</v>
      </c>
      <c r="N4855" s="8"/>
      <c r="O4855" s="33" t="str">
        <f>IFERROR(VLOOKUP($M4855,'Informations sur les produits'!$A$3:$H$10000,8,FALSE),"0")</f>
        <v>0</v>
      </c>
      <c r="P4855" s="33">
        <f t="shared" si="300"/>
        <v>0</v>
      </c>
      <c r="Q4855" s="31" t="str">
        <f t="shared" si="301"/>
        <v/>
      </c>
      <c r="R4855" s="32" t="str">
        <f>IFERROR(VLOOKUP($D4855,'Informations sur les produits'!$A$3:$B$15000,2,FALSE),"")</f>
        <v/>
      </c>
      <c r="V4855">
        <f t="shared" si="302"/>
        <v>0</v>
      </c>
      <c r="W4855">
        <f t="shared" si="303"/>
        <v>0</v>
      </c>
    </row>
    <row r="4856" spans="5:23" x14ac:dyDescent="0.25">
      <c r="E4856" s="4"/>
      <c r="F4856" s="4"/>
      <c r="G4856" s="33" t="str">
        <f>IFERROR(VLOOKUP($D4856,'Informations sur les produits'!$A$3:$H$10000,8,FALSE),"0")</f>
        <v>0</v>
      </c>
      <c r="K4856" s="4"/>
      <c r="L4856" s="33" t="str">
        <f>IFERROR(VLOOKUP($J4856,'Informations sur les produits'!$A$3:$H$10000,8,FALSE),"0")</f>
        <v>0</v>
      </c>
      <c r="N4856" s="8"/>
      <c r="O4856" s="33" t="str">
        <f>IFERROR(VLOOKUP($M4856,'Informations sur les produits'!$A$3:$H$10000,8,FALSE),"0")</f>
        <v>0</v>
      </c>
      <c r="P4856" s="33">
        <f t="shared" si="300"/>
        <v>0</v>
      </c>
      <c r="Q4856" s="31" t="str">
        <f t="shared" si="301"/>
        <v/>
      </c>
      <c r="R4856" s="32" t="str">
        <f>IFERROR(VLOOKUP($D4856,'Informations sur les produits'!$A$3:$B$15000,2,FALSE),"")</f>
        <v/>
      </c>
      <c r="V4856">
        <f t="shared" si="302"/>
        <v>0</v>
      </c>
      <c r="W4856">
        <f t="shared" si="303"/>
        <v>0</v>
      </c>
    </row>
    <row r="4857" spans="5:23" x14ac:dyDescent="0.25">
      <c r="E4857" s="4"/>
      <c r="F4857" s="4"/>
      <c r="G4857" s="33" t="str">
        <f>IFERROR(VLOOKUP($D4857,'Informations sur les produits'!$A$3:$H$10000,8,FALSE),"0")</f>
        <v>0</v>
      </c>
      <c r="K4857" s="4"/>
      <c r="L4857" s="33" t="str">
        <f>IFERROR(VLOOKUP($J4857,'Informations sur les produits'!$A$3:$H$10000,8,FALSE),"0")</f>
        <v>0</v>
      </c>
      <c r="N4857" s="8"/>
      <c r="O4857" s="33" t="str">
        <f>IFERROR(VLOOKUP($M4857,'Informations sur les produits'!$A$3:$H$10000,8,FALSE),"0")</f>
        <v>0</v>
      </c>
      <c r="P4857" s="33">
        <f t="shared" si="300"/>
        <v>0</v>
      </c>
      <c r="Q4857" s="31" t="str">
        <f t="shared" si="301"/>
        <v/>
      </c>
      <c r="R4857" s="32" t="str">
        <f>IFERROR(VLOOKUP($D4857,'Informations sur les produits'!$A$3:$B$15000,2,FALSE),"")</f>
        <v/>
      </c>
      <c r="V4857">
        <f t="shared" si="302"/>
        <v>0</v>
      </c>
      <c r="W4857">
        <f t="shared" si="303"/>
        <v>0</v>
      </c>
    </row>
    <row r="4858" spans="5:23" x14ac:dyDescent="0.25">
      <c r="E4858" s="4"/>
      <c r="F4858" s="4"/>
      <c r="G4858" s="33" t="str">
        <f>IFERROR(VLOOKUP($D4858,'Informations sur les produits'!$A$3:$H$10000,8,FALSE),"0")</f>
        <v>0</v>
      </c>
      <c r="K4858" s="4"/>
      <c r="L4858" s="33" t="str">
        <f>IFERROR(VLOOKUP($J4858,'Informations sur les produits'!$A$3:$H$10000,8,FALSE),"0")</f>
        <v>0</v>
      </c>
      <c r="N4858" s="8"/>
      <c r="O4858" s="33" t="str">
        <f>IFERROR(VLOOKUP($M4858,'Informations sur les produits'!$A$3:$H$10000,8,FALSE),"0")</f>
        <v>0</v>
      </c>
      <c r="P4858" s="33">
        <f t="shared" si="300"/>
        <v>0</v>
      </c>
      <c r="Q4858" s="31" t="str">
        <f t="shared" si="301"/>
        <v/>
      </c>
      <c r="R4858" s="32" t="str">
        <f>IFERROR(VLOOKUP($D4858,'Informations sur les produits'!$A$3:$B$15000,2,FALSE),"")</f>
        <v/>
      </c>
      <c r="V4858">
        <f t="shared" si="302"/>
        <v>0</v>
      </c>
      <c r="W4858">
        <f t="shared" si="303"/>
        <v>0</v>
      </c>
    </row>
    <row r="4859" spans="5:23" x14ac:dyDescent="0.25">
      <c r="E4859" s="4"/>
      <c r="F4859" s="4"/>
      <c r="G4859" s="33" t="str">
        <f>IFERROR(VLOOKUP($D4859,'Informations sur les produits'!$A$3:$H$10000,8,FALSE),"0")</f>
        <v>0</v>
      </c>
      <c r="K4859" s="4"/>
      <c r="L4859" s="33" t="str">
        <f>IFERROR(VLOOKUP($J4859,'Informations sur les produits'!$A$3:$H$10000,8,FALSE),"0")</f>
        <v>0</v>
      </c>
      <c r="N4859" s="8"/>
      <c r="O4859" s="33" t="str">
        <f>IFERROR(VLOOKUP($M4859,'Informations sur les produits'!$A$3:$H$10000,8,FALSE),"0")</f>
        <v>0</v>
      </c>
      <c r="P4859" s="33">
        <f t="shared" si="300"/>
        <v>0</v>
      </c>
      <c r="Q4859" s="31" t="str">
        <f t="shared" si="301"/>
        <v/>
      </c>
      <c r="R4859" s="32" t="str">
        <f>IFERROR(VLOOKUP($D4859,'Informations sur les produits'!$A$3:$B$15000,2,FALSE),"")</f>
        <v/>
      </c>
      <c r="V4859">
        <f t="shared" si="302"/>
        <v>0</v>
      </c>
      <c r="W4859">
        <f t="shared" si="303"/>
        <v>0</v>
      </c>
    </row>
    <row r="4860" spans="5:23" x14ac:dyDescent="0.25">
      <c r="E4860" s="4"/>
      <c r="F4860" s="4"/>
      <c r="G4860" s="33" t="str">
        <f>IFERROR(VLOOKUP($D4860,'Informations sur les produits'!$A$3:$H$10000,8,FALSE),"0")</f>
        <v>0</v>
      </c>
      <c r="K4860" s="4"/>
      <c r="L4860" s="33" t="str">
        <f>IFERROR(VLOOKUP($J4860,'Informations sur les produits'!$A$3:$H$10000,8,FALSE),"0")</f>
        <v>0</v>
      </c>
      <c r="N4860" s="8"/>
      <c r="O4860" s="33" t="str">
        <f>IFERROR(VLOOKUP($M4860,'Informations sur les produits'!$A$3:$H$10000,8,FALSE),"0")</f>
        <v>0</v>
      </c>
      <c r="P4860" s="33">
        <f t="shared" si="300"/>
        <v>0</v>
      </c>
      <c r="Q4860" s="31" t="str">
        <f t="shared" si="301"/>
        <v/>
      </c>
      <c r="R4860" s="32" t="str">
        <f>IFERROR(VLOOKUP($D4860,'Informations sur les produits'!$A$3:$B$15000,2,FALSE),"")</f>
        <v/>
      </c>
      <c r="V4860">
        <f t="shared" si="302"/>
        <v>0</v>
      </c>
      <c r="W4860">
        <f t="shared" si="303"/>
        <v>0</v>
      </c>
    </row>
    <row r="4861" spans="5:23" x14ac:dyDescent="0.25">
      <c r="E4861" s="4"/>
      <c r="F4861" s="4"/>
      <c r="G4861" s="33" t="str">
        <f>IFERROR(VLOOKUP($D4861,'Informations sur les produits'!$A$3:$H$10000,8,FALSE),"0")</f>
        <v>0</v>
      </c>
      <c r="K4861" s="4"/>
      <c r="L4861" s="33" t="str">
        <f>IFERROR(VLOOKUP($J4861,'Informations sur les produits'!$A$3:$H$10000,8,FALSE),"0")</f>
        <v>0</v>
      </c>
      <c r="N4861" s="8"/>
      <c r="O4861" s="33" t="str">
        <f>IFERROR(VLOOKUP($M4861,'Informations sur les produits'!$A$3:$H$10000,8,FALSE),"0")</f>
        <v>0</v>
      </c>
      <c r="P4861" s="33">
        <f t="shared" si="300"/>
        <v>0</v>
      </c>
      <c r="Q4861" s="31" t="str">
        <f t="shared" si="301"/>
        <v/>
      </c>
      <c r="R4861" s="32" t="str">
        <f>IFERROR(VLOOKUP($D4861,'Informations sur les produits'!$A$3:$B$15000,2,FALSE),"")</f>
        <v/>
      </c>
      <c r="V4861">
        <f t="shared" si="302"/>
        <v>0</v>
      </c>
      <c r="W4861">
        <f t="shared" si="303"/>
        <v>0</v>
      </c>
    </row>
    <row r="4862" spans="5:23" x14ac:dyDescent="0.25">
      <c r="E4862" s="4"/>
      <c r="F4862" s="4"/>
      <c r="G4862" s="33" t="str">
        <f>IFERROR(VLOOKUP($D4862,'Informations sur les produits'!$A$3:$H$10000,8,FALSE),"0")</f>
        <v>0</v>
      </c>
      <c r="K4862" s="4"/>
      <c r="L4862" s="33" t="str">
        <f>IFERROR(VLOOKUP($J4862,'Informations sur les produits'!$A$3:$H$10000,8,FALSE),"0")</f>
        <v>0</v>
      </c>
      <c r="N4862" s="8"/>
      <c r="O4862" s="33" t="str">
        <f>IFERROR(VLOOKUP($M4862,'Informations sur les produits'!$A$3:$H$10000,8,FALSE),"0")</f>
        <v>0</v>
      </c>
      <c r="P4862" s="33">
        <f t="shared" si="300"/>
        <v>0</v>
      </c>
      <c r="Q4862" s="31" t="str">
        <f t="shared" si="301"/>
        <v/>
      </c>
      <c r="R4862" s="32" t="str">
        <f>IFERROR(VLOOKUP($D4862,'Informations sur les produits'!$A$3:$B$15000,2,FALSE),"")</f>
        <v/>
      </c>
      <c r="V4862">
        <f t="shared" si="302"/>
        <v>0</v>
      </c>
      <c r="W4862">
        <f t="shared" si="303"/>
        <v>0</v>
      </c>
    </row>
    <row r="4863" spans="5:23" x14ac:dyDescent="0.25">
      <c r="E4863" s="4"/>
      <c r="F4863" s="4"/>
      <c r="G4863" s="33" t="str">
        <f>IFERROR(VLOOKUP($D4863,'Informations sur les produits'!$A$3:$H$10000,8,FALSE),"0")</f>
        <v>0</v>
      </c>
      <c r="K4863" s="4"/>
      <c r="L4863" s="33" t="str">
        <f>IFERROR(VLOOKUP($J4863,'Informations sur les produits'!$A$3:$H$10000,8,FALSE),"0")</f>
        <v>0</v>
      </c>
      <c r="N4863" s="8"/>
      <c r="O4863" s="33" t="str">
        <f>IFERROR(VLOOKUP($M4863,'Informations sur les produits'!$A$3:$H$10000,8,FALSE),"0")</f>
        <v>0</v>
      </c>
      <c r="P4863" s="33">
        <f t="shared" si="300"/>
        <v>0</v>
      </c>
      <c r="Q4863" s="31" t="str">
        <f t="shared" si="301"/>
        <v/>
      </c>
      <c r="R4863" s="32" t="str">
        <f>IFERROR(VLOOKUP($D4863,'Informations sur les produits'!$A$3:$B$15000,2,FALSE),"")</f>
        <v/>
      </c>
      <c r="V4863">
        <f t="shared" si="302"/>
        <v>0</v>
      </c>
      <c r="W4863">
        <f t="shared" si="303"/>
        <v>0</v>
      </c>
    </row>
    <row r="4864" spans="5:23" x14ac:dyDescent="0.25">
      <c r="E4864" s="4"/>
      <c r="F4864" s="4"/>
      <c r="G4864" s="33" t="str">
        <f>IFERROR(VLOOKUP($D4864,'Informations sur les produits'!$A$3:$H$10000,8,FALSE),"0")</f>
        <v>0</v>
      </c>
      <c r="K4864" s="4"/>
      <c r="L4864" s="33" t="str">
        <f>IFERROR(VLOOKUP($J4864,'Informations sur les produits'!$A$3:$H$10000,8,FALSE),"0")</f>
        <v>0</v>
      </c>
      <c r="N4864" s="8"/>
      <c r="O4864" s="33" t="str">
        <f>IFERROR(VLOOKUP($M4864,'Informations sur les produits'!$A$3:$H$10000,8,FALSE),"0")</f>
        <v>0</v>
      </c>
      <c r="P4864" s="33">
        <f t="shared" si="300"/>
        <v>0</v>
      </c>
      <c r="Q4864" s="31" t="str">
        <f t="shared" si="301"/>
        <v/>
      </c>
      <c r="R4864" s="32" t="str">
        <f>IFERROR(VLOOKUP($D4864,'Informations sur les produits'!$A$3:$B$15000,2,FALSE),"")</f>
        <v/>
      </c>
      <c r="V4864">
        <f t="shared" si="302"/>
        <v>0</v>
      </c>
      <c r="W4864">
        <f t="shared" si="303"/>
        <v>0</v>
      </c>
    </row>
    <row r="4865" spans="5:23" x14ac:dyDescent="0.25">
      <c r="E4865" s="4"/>
      <c r="F4865" s="4"/>
      <c r="G4865" s="33" t="str">
        <f>IFERROR(VLOOKUP($D4865,'Informations sur les produits'!$A$3:$H$10000,8,FALSE),"0")</f>
        <v>0</v>
      </c>
      <c r="K4865" s="4"/>
      <c r="L4865" s="33" t="str">
        <f>IFERROR(VLOOKUP($J4865,'Informations sur les produits'!$A$3:$H$10000,8,FALSE),"0")</f>
        <v>0</v>
      </c>
      <c r="N4865" s="8"/>
      <c r="O4865" s="33" t="str">
        <f>IFERROR(VLOOKUP($M4865,'Informations sur les produits'!$A$3:$H$10000,8,FALSE),"0")</f>
        <v>0</v>
      </c>
      <c r="P4865" s="33">
        <f t="shared" si="300"/>
        <v>0</v>
      </c>
      <c r="Q4865" s="31" t="str">
        <f t="shared" si="301"/>
        <v/>
      </c>
      <c r="R4865" s="32" t="str">
        <f>IFERROR(VLOOKUP($D4865,'Informations sur les produits'!$A$3:$B$15000,2,FALSE),"")</f>
        <v/>
      </c>
      <c r="V4865">
        <f t="shared" si="302"/>
        <v>0</v>
      </c>
      <c r="W4865">
        <f t="shared" si="303"/>
        <v>0</v>
      </c>
    </row>
    <row r="4866" spans="5:23" x14ac:dyDescent="0.25">
      <c r="E4866" s="4"/>
      <c r="F4866" s="4"/>
      <c r="G4866" s="33" t="str">
        <f>IFERROR(VLOOKUP($D4866,'Informations sur les produits'!$A$3:$H$10000,8,FALSE),"0")</f>
        <v>0</v>
      </c>
      <c r="K4866" s="4"/>
      <c r="L4866" s="33" t="str">
        <f>IFERROR(VLOOKUP($J4866,'Informations sur les produits'!$A$3:$H$10000,8,FALSE),"0")</f>
        <v>0</v>
      </c>
      <c r="N4866" s="8"/>
      <c r="O4866" s="33" t="str">
        <f>IFERROR(VLOOKUP($M4866,'Informations sur les produits'!$A$3:$H$10000,8,FALSE),"0")</f>
        <v>0</v>
      </c>
      <c r="P4866" s="33">
        <f t="shared" si="300"/>
        <v>0</v>
      </c>
      <c r="Q4866" s="31" t="str">
        <f t="shared" si="301"/>
        <v/>
      </c>
      <c r="R4866" s="32" t="str">
        <f>IFERROR(VLOOKUP($D4866,'Informations sur les produits'!$A$3:$B$15000,2,FALSE),"")</f>
        <v/>
      </c>
      <c r="V4866">
        <f t="shared" si="302"/>
        <v>0</v>
      </c>
      <c r="W4866">
        <f t="shared" si="303"/>
        <v>0</v>
      </c>
    </row>
    <row r="4867" spans="5:23" x14ac:dyDescent="0.25">
      <c r="E4867" s="4"/>
      <c r="F4867" s="4"/>
      <c r="G4867" s="33" t="str">
        <f>IFERROR(VLOOKUP($D4867,'Informations sur les produits'!$A$3:$H$10000,8,FALSE),"0")</f>
        <v>0</v>
      </c>
      <c r="K4867" s="4"/>
      <c r="L4867" s="33" t="str">
        <f>IFERROR(VLOOKUP($J4867,'Informations sur les produits'!$A$3:$H$10000,8,FALSE),"0")</f>
        <v>0</v>
      </c>
      <c r="N4867" s="8"/>
      <c r="O4867" s="33" t="str">
        <f>IFERROR(VLOOKUP($M4867,'Informations sur les produits'!$A$3:$H$10000,8,FALSE),"0")</f>
        <v>0</v>
      </c>
      <c r="P4867" s="33">
        <f t="shared" si="300"/>
        <v>0</v>
      </c>
      <c r="Q4867" s="31" t="str">
        <f t="shared" si="301"/>
        <v/>
      </c>
      <c r="R4867" s="32" t="str">
        <f>IFERROR(VLOOKUP($D4867,'Informations sur les produits'!$A$3:$B$15000,2,FALSE),"")</f>
        <v/>
      </c>
      <c r="V4867">
        <f t="shared" si="302"/>
        <v>0</v>
      </c>
      <c r="W4867">
        <f t="shared" si="303"/>
        <v>0</v>
      </c>
    </row>
    <row r="4868" spans="5:23" x14ac:dyDescent="0.25">
      <c r="E4868" s="4"/>
      <c r="F4868" s="4"/>
      <c r="G4868" s="33" t="str">
        <f>IFERROR(VLOOKUP($D4868,'Informations sur les produits'!$A$3:$H$10000,8,FALSE),"0")</f>
        <v>0</v>
      </c>
      <c r="K4868" s="4"/>
      <c r="L4868" s="33" t="str">
        <f>IFERROR(VLOOKUP($J4868,'Informations sur les produits'!$A$3:$H$10000,8,FALSE),"0")</f>
        <v>0</v>
      </c>
      <c r="N4868" s="8"/>
      <c r="O4868" s="33" t="str">
        <f>IFERROR(VLOOKUP($M4868,'Informations sur les produits'!$A$3:$H$10000,8,FALSE),"0")</f>
        <v>0</v>
      </c>
      <c r="P4868" s="33">
        <f t="shared" ref="P4868:P4931" si="304">IFERROR((($E4868-$F4868)*$G4868+$K4868*$L4868+$N4868*$O4868),"")</f>
        <v>0</v>
      </c>
      <c r="Q4868" s="31" t="str">
        <f t="shared" ref="Q4868:Q4931" si="305">IFERROR((((($E4868-$F4868)*$G4868+$K4868*$L4868+$N4868*$O4868)*1000)/(($E4868-$F4868)+$K4868+$N4868)),"")</f>
        <v/>
      </c>
      <c r="R4868" s="32" t="str">
        <f>IFERROR(VLOOKUP($D4868,'Informations sur les produits'!$A$3:$B$15000,2,FALSE),"")</f>
        <v/>
      </c>
      <c r="V4868">
        <f t="shared" ref="V4868:V4931" si="306">IFERROR(P4868*1000,"")</f>
        <v>0</v>
      </c>
      <c r="W4868">
        <f t="shared" ref="W4868:W4931" si="307">IFERROR(($E4868-$F4868)+$K4868+$N4868,"")</f>
        <v>0</v>
      </c>
    </row>
    <row r="4869" spans="5:23" x14ac:dyDescent="0.25">
      <c r="E4869" s="4"/>
      <c r="F4869" s="4"/>
      <c r="G4869" s="33" t="str">
        <f>IFERROR(VLOOKUP($D4869,'Informations sur les produits'!$A$3:$H$10000,8,FALSE),"0")</f>
        <v>0</v>
      </c>
      <c r="K4869" s="4"/>
      <c r="L4869" s="33" t="str">
        <f>IFERROR(VLOOKUP($J4869,'Informations sur les produits'!$A$3:$H$10000,8,FALSE),"0")</f>
        <v>0</v>
      </c>
      <c r="N4869" s="8"/>
      <c r="O4869" s="33" t="str">
        <f>IFERROR(VLOOKUP($M4869,'Informations sur les produits'!$A$3:$H$10000,8,FALSE),"0")</f>
        <v>0</v>
      </c>
      <c r="P4869" s="33">
        <f t="shared" si="304"/>
        <v>0</v>
      </c>
      <c r="Q4869" s="31" t="str">
        <f t="shared" si="305"/>
        <v/>
      </c>
      <c r="R4869" s="32" t="str">
        <f>IFERROR(VLOOKUP($D4869,'Informations sur les produits'!$A$3:$B$15000,2,FALSE),"")</f>
        <v/>
      </c>
      <c r="V4869">
        <f t="shared" si="306"/>
        <v>0</v>
      </c>
      <c r="W4869">
        <f t="shared" si="307"/>
        <v>0</v>
      </c>
    </row>
    <row r="4870" spans="5:23" x14ac:dyDescent="0.25">
      <c r="E4870" s="4"/>
      <c r="F4870" s="4"/>
      <c r="G4870" s="33" t="str">
        <f>IFERROR(VLOOKUP($D4870,'Informations sur les produits'!$A$3:$H$10000,8,FALSE),"0")</f>
        <v>0</v>
      </c>
      <c r="K4870" s="4"/>
      <c r="L4870" s="33" t="str">
        <f>IFERROR(VLOOKUP($J4870,'Informations sur les produits'!$A$3:$H$10000,8,FALSE),"0")</f>
        <v>0</v>
      </c>
      <c r="N4870" s="8"/>
      <c r="O4870" s="33" t="str">
        <f>IFERROR(VLOOKUP($M4870,'Informations sur les produits'!$A$3:$H$10000,8,FALSE),"0")</f>
        <v>0</v>
      </c>
      <c r="P4870" s="33">
        <f t="shared" si="304"/>
        <v>0</v>
      </c>
      <c r="Q4870" s="31" t="str">
        <f t="shared" si="305"/>
        <v/>
      </c>
      <c r="R4870" s="32" t="str">
        <f>IFERROR(VLOOKUP($D4870,'Informations sur les produits'!$A$3:$B$15000,2,FALSE),"")</f>
        <v/>
      </c>
      <c r="V4870">
        <f t="shared" si="306"/>
        <v>0</v>
      </c>
      <c r="W4870">
        <f t="shared" si="307"/>
        <v>0</v>
      </c>
    </row>
    <row r="4871" spans="5:23" x14ac:dyDescent="0.25">
      <c r="E4871" s="4"/>
      <c r="F4871" s="4"/>
      <c r="G4871" s="33" t="str">
        <f>IFERROR(VLOOKUP($D4871,'Informations sur les produits'!$A$3:$H$10000,8,FALSE),"0")</f>
        <v>0</v>
      </c>
      <c r="K4871" s="4"/>
      <c r="L4871" s="33" t="str">
        <f>IFERROR(VLOOKUP($J4871,'Informations sur les produits'!$A$3:$H$10000,8,FALSE),"0")</f>
        <v>0</v>
      </c>
      <c r="N4871" s="8"/>
      <c r="O4871" s="33" t="str">
        <f>IFERROR(VLOOKUP($M4871,'Informations sur les produits'!$A$3:$H$10000,8,FALSE),"0")</f>
        <v>0</v>
      </c>
      <c r="P4871" s="33">
        <f t="shared" si="304"/>
        <v>0</v>
      </c>
      <c r="Q4871" s="31" t="str">
        <f t="shared" si="305"/>
        <v/>
      </c>
      <c r="R4871" s="32" t="str">
        <f>IFERROR(VLOOKUP($D4871,'Informations sur les produits'!$A$3:$B$15000,2,FALSE),"")</f>
        <v/>
      </c>
      <c r="V4871">
        <f t="shared" si="306"/>
        <v>0</v>
      </c>
      <c r="W4871">
        <f t="shared" si="307"/>
        <v>0</v>
      </c>
    </row>
    <row r="4872" spans="5:23" x14ac:dyDescent="0.25">
      <c r="E4872" s="4"/>
      <c r="F4872" s="4"/>
      <c r="G4872" s="33" t="str">
        <f>IFERROR(VLOOKUP($D4872,'Informations sur les produits'!$A$3:$H$10000,8,FALSE),"0")</f>
        <v>0</v>
      </c>
      <c r="K4872" s="4"/>
      <c r="L4872" s="33" t="str">
        <f>IFERROR(VLOOKUP($J4872,'Informations sur les produits'!$A$3:$H$10000,8,FALSE),"0")</f>
        <v>0</v>
      </c>
      <c r="N4872" s="8"/>
      <c r="O4872" s="33" t="str">
        <f>IFERROR(VLOOKUP($M4872,'Informations sur les produits'!$A$3:$H$10000,8,FALSE),"0")</f>
        <v>0</v>
      </c>
      <c r="P4872" s="33">
        <f t="shared" si="304"/>
        <v>0</v>
      </c>
      <c r="Q4872" s="31" t="str">
        <f t="shared" si="305"/>
        <v/>
      </c>
      <c r="R4872" s="32" t="str">
        <f>IFERROR(VLOOKUP($D4872,'Informations sur les produits'!$A$3:$B$15000,2,FALSE),"")</f>
        <v/>
      </c>
      <c r="V4872">
        <f t="shared" si="306"/>
        <v>0</v>
      </c>
      <c r="W4872">
        <f t="shared" si="307"/>
        <v>0</v>
      </c>
    </row>
    <row r="4873" spans="5:23" x14ac:dyDescent="0.25">
      <c r="E4873" s="4"/>
      <c r="F4873" s="4"/>
      <c r="G4873" s="33" t="str">
        <f>IFERROR(VLOOKUP($D4873,'Informations sur les produits'!$A$3:$H$10000,8,FALSE),"0")</f>
        <v>0</v>
      </c>
      <c r="K4873" s="4"/>
      <c r="L4873" s="33" t="str">
        <f>IFERROR(VLOOKUP($J4873,'Informations sur les produits'!$A$3:$H$10000,8,FALSE),"0")</f>
        <v>0</v>
      </c>
      <c r="N4873" s="8"/>
      <c r="O4873" s="33" t="str">
        <f>IFERROR(VLOOKUP($M4873,'Informations sur les produits'!$A$3:$H$10000,8,FALSE),"0")</f>
        <v>0</v>
      </c>
      <c r="P4873" s="33">
        <f t="shared" si="304"/>
        <v>0</v>
      </c>
      <c r="Q4873" s="31" t="str">
        <f t="shared" si="305"/>
        <v/>
      </c>
      <c r="R4873" s="32" t="str">
        <f>IFERROR(VLOOKUP($D4873,'Informations sur les produits'!$A$3:$B$15000,2,FALSE),"")</f>
        <v/>
      </c>
      <c r="V4873">
        <f t="shared" si="306"/>
        <v>0</v>
      </c>
      <c r="W4873">
        <f t="shared" si="307"/>
        <v>0</v>
      </c>
    </row>
    <row r="4874" spans="5:23" x14ac:dyDescent="0.25">
      <c r="E4874" s="4"/>
      <c r="F4874" s="4"/>
      <c r="G4874" s="33" t="str">
        <f>IFERROR(VLOOKUP($D4874,'Informations sur les produits'!$A$3:$H$10000,8,FALSE),"0")</f>
        <v>0</v>
      </c>
      <c r="K4874" s="4"/>
      <c r="L4874" s="33" t="str">
        <f>IFERROR(VLOOKUP($J4874,'Informations sur les produits'!$A$3:$H$10000,8,FALSE),"0")</f>
        <v>0</v>
      </c>
      <c r="N4874" s="8"/>
      <c r="O4874" s="33" t="str">
        <f>IFERROR(VLOOKUP($M4874,'Informations sur les produits'!$A$3:$H$10000,8,FALSE),"0")</f>
        <v>0</v>
      </c>
      <c r="P4874" s="33">
        <f t="shared" si="304"/>
        <v>0</v>
      </c>
      <c r="Q4874" s="31" t="str">
        <f t="shared" si="305"/>
        <v/>
      </c>
      <c r="R4874" s="32" t="str">
        <f>IFERROR(VLOOKUP($D4874,'Informations sur les produits'!$A$3:$B$15000,2,FALSE),"")</f>
        <v/>
      </c>
      <c r="V4874">
        <f t="shared" si="306"/>
        <v>0</v>
      </c>
      <c r="W4874">
        <f t="shared" si="307"/>
        <v>0</v>
      </c>
    </row>
    <row r="4875" spans="5:23" x14ac:dyDescent="0.25">
      <c r="E4875" s="4"/>
      <c r="F4875" s="4"/>
      <c r="G4875" s="33" t="str">
        <f>IFERROR(VLOOKUP($D4875,'Informations sur les produits'!$A$3:$H$10000,8,FALSE),"0")</f>
        <v>0</v>
      </c>
      <c r="K4875" s="4"/>
      <c r="L4875" s="33" t="str">
        <f>IFERROR(VLOOKUP($J4875,'Informations sur les produits'!$A$3:$H$10000,8,FALSE),"0")</f>
        <v>0</v>
      </c>
      <c r="N4875" s="8"/>
      <c r="O4875" s="33" t="str">
        <f>IFERROR(VLOOKUP($M4875,'Informations sur les produits'!$A$3:$H$10000,8,FALSE),"0")</f>
        <v>0</v>
      </c>
      <c r="P4875" s="33">
        <f t="shared" si="304"/>
        <v>0</v>
      </c>
      <c r="Q4875" s="31" t="str">
        <f t="shared" si="305"/>
        <v/>
      </c>
      <c r="R4875" s="32" t="str">
        <f>IFERROR(VLOOKUP($D4875,'Informations sur les produits'!$A$3:$B$15000,2,FALSE),"")</f>
        <v/>
      </c>
      <c r="V4875">
        <f t="shared" si="306"/>
        <v>0</v>
      </c>
      <c r="W4875">
        <f t="shared" si="307"/>
        <v>0</v>
      </c>
    </row>
    <row r="4876" spans="5:23" x14ac:dyDescent="0.25">
      <c r="E4876" s="4"/>
      <c r="F4876" s="4"/>
      <c r="G4876" s="33" t="str">
        <f>IFERROR(VLOOKUP($D4876,'Informations sur les produits'!$A$3:$H$10000,8,FALSE),"0")</f>
        <v>0</v>
      </c>
      <c r="K4876" s="4"/>
      <c r="L4876" s="33" t="str">
        <f>IFERROR(VLOOKUP($J4876,'Informations sur les produits'!$A$3:$H$10000,8,FALSE),"0")</f>
        <v>0</v>
      </c>
      <c r="N4876" s="8"/>
      <c r="O4876" s="33" t="str">
        <f>IFERROR(VLOOKUP($M4876,'Informations sur les produits'!$A$3:$H$10000,8,FALSE),"0")</f>
        <v>0</v>
      </c>
      <c r="P4876" s="33">
        <f t="shared" si="304"/>
        <v>0</v>
      </c>
      <c r="Q4876" s="31" t="str">
        <f t="shared" si="305"/>
        <v/>
      </c>
      <c r="R4876" s="32" t="str">
        <f>IFERROR(VLOOKUP($D4876,'Informations sur les produits'!$A$3:$B$15000,2,FALSE),"")</f>
        <v/>
      </c>
      <c r="V4876">
        <f t="shared" si="306"/>
        <v>0</v>
      </c>
      <c r="W4876">
        <f t="shared" si="307"/>
        <v>0</v>
      </c>
    </row>
    <row r="4877" spans="5:23" x14ac:dyDescent="0.25">
      <c r="E4877" s="4"/>
      <c r="F4877" s="4"/>
      <c r="G4877" s="33" t="str">
        <f>IFERROR(VLOOKUP($D4877,'Informations sur les produits'!$A$3:$H$10000,8,FALSE),"0")</f>
        <v>0</v>
      </c>
      <c r="K4877" s="4"/>
      <c r="L4877" s="33" t="str">
        <f>IFERROR(VLOOKUP($J4877,'Informations sur les produits'!$A$3:$H$10000,8,FALSE),"0")</f>
        <v>0</v>
      </c>
      <c r="N4877" s="8"/>
      <c r="O4877" s="33" t="str">
        <f>IFERROR(VLOOKUP($M4877,'Informations sur les produits'!$A$3:$H$10000,8,FALSE),"0")</f>
        <v>0</v>
      </c>
      <c r="P4877" s="33">
        <f t="shared" si="304"/>
        <v>0</v>
      </c>
      <c r="Q4877" s="31" t="str">
        <f t="shared" si="305"/>
        <v/>
      </c>
      <c r="R4877" s="32" t="str">
        <f>IFERROR(VLOOKUP($D4877,'Informations sur les produits'!$A$3:$B$15000,2,FALSE),"")</f>
        <v/>
      </c>
      <c r="V4877">
        <f t="shared" si="306"/>
        <v>0</v>
      </c>
      <c r="W4877">
        <f t="shared" si="307"/>
        <v>0</v>
      </c>
    </row>
    <row r="4878" spans="5:23" x14ac:dyDescent="0.25">
      <c r="E4878" s="4"/>
      <c r="F4878" s="4"/>
      <c r="G4878" s="33" t="str">
        <f>IFERROR(VLOOKUP($D4878,'Informations sur les produits'!$A$3:$H$10000,8,FALSE),"0")</f>
        <v>0</v>
      </c>
      <c r="K4878" s="4"/>
      <c r="L4878" s="33" t="str">
        <f>IFERROR(VLOOKUP($J4878,'Informations sur les produits'!$A$3:$H$10000,8,FALSE),"0")</f>
        <v>0</v>
      </c>
      <c r="N4878" s="8"/>
      <c r="O4878" s="33" t="str">
        <f>IFERROR(VLOOKUP($M4878,'Informations sur les produits'!$A$3:$H$10000,8,FALSE),"0")</f>
        <v>0</v>
      </c>
      <c r="P4878" s="33">
        <f t="shared" si="304"/>
        <v>0</v>
      </c>
      <c r="Q4878" s="31" t="str">
        <f t="shared" si="305"/>
        <v/>
      </c>
      <c r="R4878" s="32" t="str">
        <f>IFERROR(VLOOKUP($D4878,'Informations sur les produits'!$A$3:$B$15000,2,FALSE),"")</f>
        <v/>
      </c>
      <c r="V4878">
        <f t="shared" si="306"/>
        <v>0</v>
      </c>
      <c r="W4878">
        <f t="shared" si="307"/>
        <v>0</v>
      </c>
    </row>
    <row r="4879" spans="5:23" x14ac:dyDescent="0.25">
      <c r="E4879" s="4"/>
      <c r="F4879" s="4"/>
      <c r="G4879" s="33" t="str">
        <f>IFERROR(VLOOKUP($D4879,'Informations sur les produits'!$A$3:$H$10000,8,FALSE),"0")</f>
        <v>0</v>
      </c>
      <c r="K4879" s="4"/>
      <c r="L4879" s="33" t="str">
        <f>IFERROR(VLOOKUP($J4879,'Informations sur les produits'!$A$3:$H$10000,8,FALSE),"0")</f>
        <v>0</v>
      </c>
      <c r="N4879" s="8"/>
      <c r="O4879" s="33" t="str">
        <f>IFERROR(VLOOKUP($M4879,'Informations sur les produits'!$A$3:$H$10000,8,FALSE),"0")</f>
        <v>0</v>
      </c>
      <c r="P4879" s="33">
        <f t="shared" si="304"/>
        <v>0</v>
      </c>
      <c r="Q4879" s="31" t="str">
        <f t="shared" si="305"/>
        <v/>
      </c>
      <c r="R4879" s="32" t="str">
        <f>IFERROR(VLOOKUP($D4879,'Informations sur les produits'!$A$3:$B$15000,2,FALSE),"")</f>
        <v/>
      </c>
      <c r="V4879">
        <f t="shared" si="306"/>
        <v>0</v>
      </c>
      <c r="W4879">
        <f t="shared" si="307"/>
        <v>0</v>
      </c>
    </row>
    <row r="4880" spans="5:23" x14ac:dyDescent="0.25">
      <c r="E4880" s="4"/>
      <c r="F4880" s="4"/>
      <c r="G4880" s="33" t="str">
        <f>IFERROR(VLOOKUP($D4880,'Informations sur les produits'!$A$3:$H$10000,8,FALSE),"0")</f>
        <v>0</v>
      </c>
      <c r="K4880" s="4"/>
      <c r="L4880" s="33" t="str">
        <f>IFERROR(VLOOKUP($J4880,'Informations sur les produits'!$A$3:$H$10000,8,FALSE),"0")</f>
        <v>0</v>
      </c>
      <c r="N4880" s="8"/>
      <c r="O4880" s="33" t="str">
        <f>IFERROR(VLOOKUP($M4880,'Informations sur les produits'!$A$3:$H$10000,8,FALSE),"0")</f>
        <v>0</v>
      </c>
      <c r="P4880" s="33">
        <f t="shared" si="304"/>
        <v>0</v>
      </c>
      <c r="Q4880" s="31" t="str">
        <f t="shared" si="305"/>
        <v/>
      </c>
      <c r="R4880" s="32" t="str">
        <f>IFERROR(VLOOKUP($D4880,'Informations sur les produits'!$A$3:$B$15000,2,FALSE),"")</f>
        <v/>
      </c>
      <c r="V4880">
        <f t="shared" si="306"/>
        <v>0</v>
      </c>
      <c r="W4880">
        <f t="shared" si="307"/>
        <v>0</v>
      </c>
    </row>
    <row r="4881" spans="5:23" x14ac:dyDescent="0.25">
      <c r="E4881" s="4"/>
      <c r="F4881" s="4"/>
      <c r="G4881" s="33" t="str">
        <f>IFERROR(VLOOKUP($D4881,'Informations sur les produits'!$A$3:$H$10000,8,FALSE),"0")</f>
        <v>0</v>
      </c>
      <c r="K4881" s="4"/>
      <c r="L4881" s="33" t="str">
        <f>IFERROR(VLOOKUP($J4881,'Informations sur les produits'!$A$3:$H$10000,8,FALSE),"0")</f>
        <v>0</v>
      </c>
      <c r="N4881" s="8"/>
      <c r="O4881" s="33" t="str">
        <f>IFERROR(VLOOKUP($M4881,'Informations sur les produits'!$A$3:$H$10000,8,FALSE),"0")</f>
        <v>0</v>
      </c>
      <c r="P4881" s="33">
        <f t="shared" si="304"/>
        <v>0</v>
      </c>
      <c r="Q4881" s="31" t="str">
        <f t="shared" si="305"/>
        <v/>
      </c>
      <c r="R4881" s="32" t="str">
        <f>IFERROR(VLOOKUP($D4881,'Informations sur les produits'!$A$3:$B$15000,2,FALSE),"")</f>
        <v/>
      </c>
      <c r="V4881">
        <f t="shared" si="306"/>
        <v>0</v>
      </c>
      <c r="W4881">
        <f t="shared" si="307"/>
        <v>0</v>
      </c>
    </row>
    <row r="4882" spans="5:23" x14ac:dyDescent="0.25">
      <c r="E4882" s="4"/>
      <c r="F4882" s="4"/>
      <c r="G4882" s="33" t="str">
        <f>IFERROR(VLOOKUP($D4882,'Informations sur les produits'!$A$3:$H$10000,8,FALSE),"0")</f>
        <v>0</v>
      </c>
      <c r="K4882" s="4"/>
      <c r="L4882" s="33" t="str">
        <f>IFERROR(VLOOKUP($J4882,'Informations sur les produits'!$A$3:$H$10000,8,FALSE),"0")</f>
        <v>0</v>
      </c>
      <c r="N4882" s="8"/>
      <c r="O4882" s="33" t="str">
        <f>IFERROR(VLOOKUP($M4882,'Informations sur les produits'!$A$3:$H$10000,8,FALSE),"0")</f>
        <v>0</v>
      </c>
      <c r="P4882" s="33">
        <f t="shared" si="304"/>
        <v>0</v>
      </c>
      <c r="Q4882" s="31" t="str">
        <f t="shared" si="305"/>
        <v/>
      </c>
      <c r="R4882" s="32" t="str">
        <f>IFERROR(VLOOKUP($D4882,'Informations sur les produits'!$A$3:$B$15000,2,FALSE),"")</f>
        <v/>
      </c>
      <c r="V4882">
        <f t="shared" si="306"/>
        <v>0</v>
      </c>
      <c r="W4882">
        <f t="shared" si="307"/>
        <v>0</v>
      </c>
    </row>
    <row r="4883" spans="5:23" x14ac:dyDescent="0.25">
      <c r="E4883" s="4"/>
      <c r="F4883" s="4"/>
      <c r="G4883" s="33" t="str">
        <f>IFERROR(VLOOKUP($D4883,'Informations sur les produits'!$A$3:$H$10000,8,FALSE),"0")</f>
        <v>0</v>
      </c>
      <c r="K4883" s="4"/>
      <c r="L4883" s="33" t="str">
        <f>IFERROR(VLOOKUP($J4883,'Informations sur les produits'!$A$3:$H$10000,8,FALSE),"0")</f>
        <v>0</v>
      </c>
      <c r="N4883" s="8"/>
      <c r="O4883" s="33" t="str">
        <f>IFERROR(VLOOKUP($M4883,'Informations sur les produits'!$A$3:$H$10000,8,FALSE),"0")</f>
        <v>0</v>
      </c>
      <c r="P4883" s="33">
        <f t="shared" si="304"/>
        <v>0</v>
      </c>
      <c r="Q4883" s="31" t="str">
        <f t="shared" si="305"/>
        <v/>
      </c>
      <c r="R4883" s="32" t="str">
        <f>IFERROR(VLOOKUP($D4883,'Informations sur les produits'!$A$3:$B$15000,2,FALSE),"")</f>
        <v/>
      </c>
      <c r="V4883">
        <f t="shared" si="306"/>
        <v>0</v>
      </c>
      <c r="W4883">
        <f t="shared" si="307"/>
        <v>0</v>
      </c>
    </row>
    <row r="4884" spans="5:23" x14ac:dyDescent="0.25">
      <c r="E4884" s="4"/>
      <c r="F4884" s="4"/>
      <c r="G4884" s="33" t="str">
        <f>IFERROR(VLOOKUP($D4884,'Informations sur les produits'!$A$3:$H$10000,8,FALSE),"0")</f>
        <v>0</v>
      </c>
      <c r="K4884" s="4"/>
      <c r="L4884" s="33" t="str">
        <f>IFERROR(VLOOKUP($J4884,'Informations sur les produits'!$A$3:$H$10000,8,FALSE),"0")</f>
        <v>0</v>
      </c>
      <c r="N4884" s="8"/>
      <c r="O4884" s="33" t="str">
        <f>IFERROR(VLOOKUP($M4884,'Informations sur les produits'!$A$3:$H$10000,8,FALSE),"0")</f>
        <v>0</v>
      </c>
      <c r="P4884" s="33">
        <f t="shared" si="304"/>
        <v>0</v>
      </c>
      <c r="Q4884" s="31" t="str">
        <f t="shared" si="305"/>
        <v/>
      </c>
      <c r="R4884" s="32" t="str">
        <f>IFERROR(VLOOKUP($D4884,'Informations sur les produits'!$A$3:$B$15000,2,FALSE),"")</f>
        <v/>
      </c>
      <c r="V4884">
        <f t="shared" si="306"/>
        <v>0</v>
      </c>
      <c r="W4884">
        <f t="shared" si="307"/>
        <v>0</v>
      </c>
    </row>
    <row r="4885" spans="5:23" x14ac:dyDescent="0.25">
      <c r="E4885" s="4"/>
      <c r="F4885" s="4"/>
      <c r="G4885" s="33" t="str">
        <f>IFERROR(VLOOKUP($D4885,'Informations sur les produits'!$A$3:$H$10000,8,FALSE),"0")</f>
        <v>0</v>
      </c>
      <c r="K4885" s="4"/>
      <c r="L4885" s="33" t="str">
        <f>IFERROR(VLOOKUP($J4885,'Informations sur les produits'!$A$3:$H$10000,8,FALSE),"0")</f>
        <v>0</v>
      </c>
      <c r="N4885" s="8"/>
      <c r="O4885" s="33" t="str">
        <f>IFERROR(VLOOKUP($M4885,'Informations sur les produits'!$A$3:$H$10000,8,FALSE),"0")</f>
        <v>0</v>
      </c>
      <c r="P4885" s="33">
        <f t="shared" si="304"/>
        <v>0</v>
      </c>
      <c r="Q4885" s="31" t="str">
        <f t="shared" si="305"/>
        <v/>
      </c>
      <c r="R4885" s="32" t="str">
        <f>IFERROR(VLOOKUP($D4885,'Informations sur les produits'!$A$3:$B$15000,2,FALSE),"")</f>
        <v/>
      </c>
      <c r="V4885">
        <f t="shared" si="306"/>
        <v>0</v>
      </c>
      <c r="W4885">
        <f t="shared" si="307"/>
        <v>0</v>
      </c>
    </row>
    <row r="4886" spans="5:23" x14ac:dyDescent="0.25">
      <c r="E4886" s="4"/>
      <c r="F4886" s="4"/>
      <c r="G4886" s="33" t="str">
        <f>IFERROR(VLOOKUP($D4886,'Informations sur les produits'!$A$3:$H$10000,8,FALSE),"0")</f>
        <v>0</v>
      </c>
      <c r="K4886" s="4"/>
      <c r="L4886" s="33" t="str">
        <f>IFERROR(VLOOKUP($J4886,'Informations sur les produits'!$A$3:$H$10000,8,FALSE),"0")</f>
        <v>0</v>
      </c>
      <c r="N4886" s="8"/>
      <c r="O4886" s="33" t="str">
        <f>IFERROR(VLOOKUP($M4886,'Informations sur les produits'!$A$3:$H$10000,8,FALSE),"0")</f>
        <v>0</v>
      </c>
      <c r="P4886" s="33">
        <f t="shared" si="304"/>
        <v>0</v>
      </c>
      <c r="Q4886" s="31" t="str">
        <f t="shared" si="305"/>
        <v/>
      </c>
      <c r="R4886" s="32" t="str">
        <f>IFERROR(VLOOKUP($D4886,'Informations sur les produits'!$A$3:$B$15000,2,FALSE),"")</f>
        <v/>
      </c>
      <c r="V4886">
        <f t="shared" si="306"/>
        <v>0</v>
      </c>
      <c r="W4886">
        <f t="shared" si="307"/>
        <v>0</v>
      </c>
    </row>
    <row r="4887" spans="5:23" x14ac:dyDescent="0.25">
      <c r="E4887" s="4"/>
      <c r="F4887" s="4"/>
      <c r="G4887" s="33" t="str">
        <f>IFERROR(VLOOKUP($D4887,'Informations sur les produits'!$A$3:$H$10000,8,FALSE),"0")</f>
        <v>0</v>
      </c>
      <c r="K4887" s="4"/>
      <c r="L4887" s="33" t="str">
        <f>IFERROR(VLOOKUP($J4887,'Informations sur les produits'!$A$3:$H$10000,8,FALSE),"0")</f>
        <v>0</v>
      </c>
      <c r="N4887" s="8"/>
      <c r="O4887" s="33" t="str">
        <f>IFERROR(VLOOKUP($M4887,'Informations sur les produits'!$A$3:$H$10000,8,FALSE),"0")</f>
        <v>0</v>
      </c>
      <c r="P4887" s="33">
        <f t="shared" si="304"/>
        <v>0</v>
      </c>
      <c r="Q4887" s="31" t="str">
        <f t="shared" si="305"/>
        <v/>
      </c>
      <c r="R4887" s="32" t="str">
        <f>IFERROR(VLOOKUP($D4887,'Informations sur les produits'!$A$3:$B$15000,2,FALSE),"")</f>
        <v/>
      </c>
      <c r="V4887">
        <f t="shared" si="306"/>
        <v>0</v>
      </c>
      <c r="W4887">
        <f t="shared" si="307"/>
        <v>0</v>
      </c>
    </row>
    <row r="4888" spans="5:23" x14ac:dyDescent="0.25">
      <c r="E4888" s="4"/>
      <c r="F4888" s="4"/>
      <c r="G4888" s="33" t="str">
        <f>IFERROR(VLOOKUP($D4888,'Informations sur les produits'!$A$3:$H$10000,8,FALSE),"0")</f>
        <v>0</v>
      </c>
      <c r="K4888" s="4"/>
      <c r="L4888" s="33" t="str">
        <f>IFERROR(VLOOKUP($J4888,'Informations sur les produits'!$A$3:$H$10000,8,FALSE),"0")</f>
        <v>0</v>
      </c>
      <c r="N4888" s="8"/>
      <c r="O4888" s="33" t="str">
        <f>IFERROR(VLOOKUP($M4888,'Informations sur les produits'!$A$3:$H$10000,8,FALSE),"0")</f>
        <v>0</v>
      </c>
      <c r="P4888" s="33">
        <f t="shared" si="304"/>
        <v>0</v>
      </c>
      <c r="Q4888" s="31" t="str">
        <f t="shared" si="305"/>
        <v/>
      </c>
      <c r="R4888" s="32" t="str">
        <f>IFERROR(VLOOKUP($D4888,'Informations sur les produits'!$A$3:$B$15000,2,FALSE),"")</f>
        <v/>
      </c>
      <c r="V4888">
        <f t="shared" si="306"/>
        <v>0</v>
      </c>
      <c r="W4888">
        <f t="shared" si="307"/>
        <v>0</v>
      </c>
    </row>
    <row r="4889" spans="5:23" x14ac:dyDescent="0.25">
      <c r="E4889" s="4"/>
      <c r="F4889" s="4"/>
      <c r="G4889" s="33" t="str">
        <f>IFERROR(VLOOKUP($D4889,'Informations sur les produits'!$A$3:$H$10000,8,FALSE),"0")</f>
        <v>0</v>
      </c>
      <c r="K4889" s="4"/>
      <c r="L4889" s="33" t="str">
        <f>IFERROR(VLOOKUP($J4889,'Informations sur les produits'!$A$3:$H$10000,8,FALSE),"0")</f>
        <v>0</v>
      </c>
      <c r="N4889" s="8"/>
      <c r="O4889" s="33" t="str">
        <f>IFERROR(VLOOKUP($M4889,'Informations sur les produits'!$A$3:$H$10000,8,FALSE),"0")</f>
        <v>0</v>
      </c>
      <c r="P4889" s="33">
        <f t="shared" si="304"/>
        <v>0</v>
      </c>
      <c r="Q4889" s="31" t="str">
        <f t="shared" si="305"/>
        <v/>
      </c>
      <c r="R4889" s="32" t="str">
        <f>IFERROR(VLOOKUP($D4889,'Informations sur les produits'!$A$3:$B$15000,2,FALSE),"")</f>
        <v/>
      </c>
      <c r="V4889">
        <f t="shared" si="306"/>
        <v>0</v>
      </c>
      <c r="W4889">
        <f t="shared" si="307"/>
        <v>0</v>
      </c>
    </row>
    <row r="4890" spans="5:23" x14ac:dyDescent="0.25">
      <c r="E4890" s="4"/>
      <c r="F4890" s="4"/>
      <c r="G4890" s="33" t="str">
        <f>IFERROR(VLOOKUP($D4890,'Informations sur les produits'!$A$3:$H$10000,8,FALSE),"0")</f>
        <v>0</v>
      </c>
      <c r="K4890" s="4"/>
      <c r="L4890" s="33" t="str">
        <f>IFERROR(VLOOKUP($J4890,'Informations sur les produits'!$A$3:$H$10000,8,FALSE),"0")</f>
        <v>0</v>
      </c>
      <c r="N4890" s="8"/>
      <c r="O4890" s="33" t="str">
        <f>IFERROR(VLOOKUP($M4890,'Informations sur les produits'!$A$3:$H$10000,8,FALSE),"0")</f>
        <v>0</v>
      </c>
      <c r="P4890" s="33">
        <f t="shared" si="304"/>
        <v>0</v>
      </c>
      <c r="Q4890" s="31" t="str">
        <f t="shared" si="305"/>
        <v/>
      </c>
      <c r="R4890" s="32" t="str">
        <f>IFERROR(VLOOKUP($D4890,'Informations sur les produits'!$A$3:$B$15000,2,FALSE),"")</f>
        <v/>
      </c>
      <c r="V4890">
        <f t="shared" si="306"/>
        <v>0</v>
      </c>
      <c r="W4890">
        <f t="shared" si="307"/>
        <v>0</v>
      </c>
    </row>
    <row r="4891" spans="5:23" x14ac:dyDescent="0.25">
      <c r="E4891" s="4"/>
      <c r="F4891" s="4"/>
      <c r="G4891" s="33" t="str">
        <f>IFERROR(VLOOKUP($D4891,'Informations sur les produits'!$A$3:$H$10000,8,FALSE),"0")</f>
        <v>0</v>
      </c>
      <c r="K4891" s="4"/>
      <c r="L4891" s="33" t="str">
        <f>IFERROR(VLOOKUP($J4891,'Informations sur les produits'!$A$3:$H$10000,8,FALSE),"0")</f>
        <v>0</v>
      </c>
      <c r="N4891" s="8"/>
      <c r="O4891" s="33" t="str">
        <f>IFERROR(VLOOKUP($M4891,'Informations sur les produits'!$A$3:$H$10000,8,FALSE),"0")</f>
        <v>0</v>
      </c>
      <c r="P4891" s="33">
        <f t="shared" si="304"/>
        <v>0</v>
      </c>
      <c r="Q4891" s="31" t="str">
        <f t="shared" si="305"/>
        <v/>
      </c>
      <c r="R4891" s="32" t="str">
        <f>IFERROR(VLOOKUP($D4891,'Informations sur les produits'!$A$3:$B$15000,2,FALSE),"")</f>
        <v/>
      </c>
      <c r="V4891">
        <f t="shared" si="306"/>
        <v>0</v>
      </c>
      <c r="W4891">
        <f t="shared" si="307"/>
        <v>0</v>
      </c>
    </row>
    <row r="4892" spans="5:23" x14ac:dyDescent="0.25">
      <c r="E4892" s="4"/>
      <c r="F4892" s="4"/>
      <c r="G4892" s="33" t="str">
        <f>IFERROR(VLOOKUP($D4892,'Informations sur les produits'!$A$3:$H$10000,8,FALSE),"0")</f>
        <v>0</v>
      </c>
      <c r="K4892" s="4"/>
      <c r="L4892" s="33" t="str">
        <f>IFERROR(VLOOKUP($J4892,'Informations sur les produits'!$A$3:$H$10000,8,FALSE),"0")</f>
        <v>0</v>
      </c>
      <c r="N4892" s="8"/>
      <c r="O4892" s="33" t="str">
        <f>IFERROR(VLOOKUP($M4892,'Informations sur les produits'!$A$3:$H$10000,8,FALSE),"0")</f>
        <v>0</v>
      </c>
      <c r="P4892" s="33">
        <f t="shared" si="304"/>
        <v>0</v>
      </c>
      <c r="Q4892" s="31" t="str">
        <f t="shared" si="305"/>
        <v/>
      </c>
      <c r="R4892" s="32" t="str">
        <f>IFERROR(VLOOKUP($D4892,'Informations sur les produits'!$A$3:$B$15000,2,FALSE),"")</f>
        <v/>
      </c>
      <c r="V4892">
        <f t="shared" si="306"/>
        <v>0</v>
      </c>
      <c r="W4892">
        <f t="shared" si="307"/>
        <v>0</v>
      </c>
    </row>
    <row r="4893" spans="5:23" x14ac:dyDescent="0.25">
      <c r="E4893" s="4"/>
      <c r="F4893" s="4"/>
      <c r="G4893" s="33" t="str">
        <f>IFERROR(VLOOKUP($D4893,'Informations sur les produits'!$A$3:$H$10000,8,FALSE),"0")</f>
        <v>0</v>
      </c>
      <c r="K4893" s="4"/>
      <c r="L4893" s="33" t="str">
        <f>IFERROR(VLOOKUP($J4893,'Informations sur les produits'!$A$3:$H$10000,8,FALSE),"0")</f>
        <v>0</v>
      </c>
      <c r="N4893" s="8"/>
      <c r="O4893" s="33" t="str">
        <f>IFERROR(VLOOKUP($M4893,'Informations sur les produits'!$A$3:$H$10000,8,FALSE),"0")</f>
        <v>0</v>
      </c>
      <c r="P4893" s="33">
        <f t="shared" si="304"/>
        <v>0</v>
      </c>
      <c r="Q4893" s="31" t="str">
        <f t="shared" si="305"/>
        <v/>
      </c>
      <c r="R4893" s="32" t="str">
        <f>IFERROR(VLOOKUP($D4893,'Informations sur les produits'!$A$3:$B$15000,2,FALSE),"")</f>
        <v/>
      </c>
      <c r="V4893">
        <f t="shared" si="306"/>
        <v>0</v>
      </c>
      <c r="W4893">
        <f t="shared" si="307"/>
        <v>0</v>
      </c>
    </row>
    <row r="4894" spans="5:23" x14ac:dyDescent="0.25">
      <c r="E4894" s="4"/>
      <c r="F4894" s="4"/>
      <c r="G4894" s="33" t="str">
        <f>IFERROR(VLOOKUP($D4894,'Informations sur les produits'!$A$3:$H$10000,8,FALSE),"0")</f>
        <v>0</v>
      </c>
      <c r="K4894" s="4"/>
      <c r="L4894" s="33" t="str">
        <f>IFERROR(VLOOKUP($J4894,'Informations sur les produits'!$A$3:$H$10000,8,FALSE),"0")</f>
        <v>0</v>
      </c>
      <c r="N4894" s="8"/>
      <c r="O4894" s="33" t="str">
        <f>IFERROR(VLOOKUP($M4894,'Informations sur les produits'!$A$3:$H$10000,8,FALSE),"0")</f>
        <v>0</v>
      </c>
      <c r="P4894" s="33">
        <f t="shared" si="304"/>
        <v>0</v>
      </c>
      <c r="Q4894" s="31" t="str">
        <f t="shared" si="305"/>
        <v/>
      </c>
      <c r="R4894" s="32" t="str">
        <f>IFERROR(VLOOKUP($D4894,'Informations sur les produits'!$A$3:$B$15000,2,FALSE),"")</f>
        <v/>
      </c>
      <c r="V4894">
        <f t="shared" si="306"/>
        <v>0</v>
      </c>
      <c r="W4894">
        <f t="shared" si="307"/>
        <v>0</v>
      </c>
    </row>
    <row r="4895" spans="5:23" x14ac:dyDescent="0.25">
      <c r="E4895" s="4"/>
      <c r="F4895" s="4"/>
      <c r="G4895" s="33" t="str">
        <f>IFERROR(VLOOKUP($D4895,'Informations sur les produits'!$A$3:$H$10000,8,FALSE),"0")</f>
        <v>0</v>
      </c>
      <c r="K4895" s="4"/>
      <c r="L4895" s="33" t="str">
        <f>IFERROR(VLOOKUP($J4895,'Informations sur les produits'!$A$3:$H$10000,8,FALSE),"0")</f>
        <v>0</v>
      </c>
      <c r="N4895" s="8"/>
      <c r="O4895" s="33" t="str">
        <f>IFERROR(VLOOKUP($M4895,'Informations sur les produits'!$A$3:$H$10000,8,FALSE),"0")</f>
        <v>0</v>
      </c>
      <c r="P4895" s="33">
        <f t="shared" si="304"/>
        <v>0</v>
      </c>
      <c r="Q4895" s="31" t="str">
        <f t="shared" si="305"/>
        <v/>
      </c>
      <c r="R4895" s="32" t="str">
        <f>IFERROR(VLOOKUP($D4895,'Informations sur les produits'!$A$3:$B$15000,2,FALSE),"")</f>
        <v/>
      </c>
      <c r="V4895">
        <f t="shared" si="306"/>
        <v>0</v>
      </c>
      <c r="W4895">
        <f t="shared" si="307"/>
        <v>0</v>
      </c>
    </row>
    <row r="4896" spans="5:23" x14ac:dyDescent="0.25">
      <c r="E4896" s="4"/>
      <c r="F4896" s="4"/>
      <c r="G4896" s="33" t="str">
        <f>IFERROR(VLOOKUP($D4896,'Informations sur les produits'!$A$3:$H$10000,8,FALSE),"0")</f>
        <v>0</v>
      </c>
      <c r="K4896" s="4"/>
      <c r="L4896" s="33" t="str">
        <f>IFERROR(VLOOKUP($J4896,'Informations sur les produits'!$A$3:$H$10000,8,FALSE),"0")</f>
        <v>0</v>
      </c>
      <c r="N4896" s="8"/>
      <c r="O4896" s="33" t="str">
        <f>IFERROR(VLOOKUP($M4896,'Informations sur les produits'!$A$3:$H$10000,8,FALSE),"0")</f>
        <v>0</v>
      </c>
      <c r="P4896" s="33">
        <f t="shared" si="304"/>
        <v>0</v>
      </c>
      <c r="Q4896" s="31" t="str">
        <f t="shared" si="305"/>
        <v/>
      </c>
      <c r="R4896" s="32" t="str">
        <f>IFERROR(VLOOKUP($D4896,'Informations sur les produits'!$A$3:$B$15000,2,FALSE),"")</f>
        <v/>
      </c>
      <c r="V4896">
        <f t="shared" si="306"/>
        <v>0</v>
      </c>
      <c r="W4896">
        <f t="shared" si="307"/>
        <v>0</v>
      </c>
    </row>
    <row r="4897" spans="5:23" x14ac:dyDescent="0.25">
      <c r="E4897" s="4"/>
      <c r="F4897" s="4"/>
      <c r="G4897" s="33" t="str">
        <f>IFERROR(VLOOKUP($D4897,'Informations sur les produits'!$A$3:$H$10000,8,FALSE),"0")</f>
        <v>0</v>
      </c>
      <c r="K4897" s="4"/>
      <c r="L4897" s="33" t="str">
        <f>IFERROR(VLOOKUP($J4897,'Informations sur les produits'!$A$3:$H$10000,8,FALSE),"0")</f>
        <v>0</v>
      </c>
      <c r="N4897" s="8"/>
      <c r="O4897" s="33" t="str">
        <f>IFERROR(VLOOKUP($M4897,'Informations sur les produits'!$A$3:$H$10000,8,FALSE),"0")</f>
        <v>0</v>
      </c>
      <c r="P4897" s="33">
        <f t="shared" si="304"/>
        <v>0</v>
      </c>
      <c r="Q4897" s="31" t="str">
        <f t="shared" si="305"/>
        <v/>
      </c>
      <c r="R4897" s="32" t="str">
        <f>IFERROR(VLOOKUP($D4897,'Informations sur les produits'!$A$3:$B$15000,2,FALSE),"")</f>
        <v/>
      </c>
      <c r="V4897">
        <f t="shared" si="306"/>
        <v>0</v>
      </c>
      <c r="W4897">
        <f t="shared" si="307"/>
        <v>0</v>
      </c>
    </row>
    <row r="4898" spans="5:23" x14ac:dyDescent="0.25">
      <c r="E4898" s="4"/>
      <c r="F4898" s="4"/>
      <c r="G4898" s="33" t="str">
        <f>IFERROR(VLOOKUP($D4898,'Informations sur les produits'!$A$3:$H$10000,8,FALSE),"0")</f>
        <v>0</v>
      </c>
      <c r="K4898" s="4"/>
      <c r="L4898" s="33" t="str">
        <f>IFERROR(VLOOKUP($J4898,'Informations sur les produits'!$A$3:$H$10000,8,FALSE),"0")</f>
        <v>0</v>
      </c>
      <c r="N4898" s="8"/>
      <c r="O4898" s="33" t="str">
        <f>IFERROR(VLOOKUP($M4898,'Informations sur les produits'!$A$3:$H$10000,8,FALSE),"0")</f>
        <v>0</v>
      </c>
      <c r="P4898" s="33">
        <f t="shared" si="304"/>
        <v>0</v>
      </c>
      <c r="Q4898" s="31" t="str">
        <f t="shared" si="305"/>
        <v/>
      </c>
      <c r="R4898" s="32" t="str">
        <f>IFERROR(VLOOKUP($D4898,'Informations sur les produits'!$A$3:$B$15000,2,FALSE),"")</f>
        <v/>
      </c>
      <c r="V4898">
        <f t="shared" si="306"/>
        <v>0</v>
      </c>
      <c r="W4898">
        <f t="shared" si="307"/>
        <v>0</v>
      </c>
    </row>
    <row r="4899" spans="5:23" x14ac:dyDescent="0.25">
      <c r="E4899" s="4"/>
      <c r="F4899" s="4"/>
      <c r="G4899" s="33" t="str">
        <f>IFERROR(VLOOKUP($D4899,'Informations sur les produits'!$A$3:$H$10000,8,FALSE),"0")</f>
        <v>0</v>
      </c>
      <c r="K4899" s="4"/>
      <c r="L4899" s="33" t="str">
        <f>IFERROR(VLOOKUP($J4899,'Informations sur les produits'!$A$3:$H$10000,8,FALSE),"0")</f>
        <v>0</v>
      </c>
      <c r="N4899" s="8"/>
      <c r="O4899" s="33" t="str">
        <f>IFERROR(VLOOKUP($M4899,'Informations sur les produits'!$A$3:$H$10000,8,FALSE),"0")</f>
        <v>0</v>
      </c>
      <c r="P4899" s="33">
        <f t="shared" si="304"/>
        <v>0</v>
      </c>
      <c r="Q4899" s="31" t="str">
        <f t="shared" si="305"/>
        <v/>
      </c>
      <c r="R4899" s="32" t="str">
        <f>IFERROR(VLOOKUP($D4899,'Informations sur les produits'!$A$3:$B$15000,2,FALSE),"")</f>
        <v/>
      </c>
      <c r="V4899">
        <f t="shared" si="306"/>
        <v>0</v>
      </c>
      <c r="W4899">
        <f t="shared" si="307"/>
        <v>0</v>
      </c>
    </row>
    <row r="4900" spans="5:23" x14ac:dyDescent="0.25">
      <c r="E4900" s="4"/>
      <c r="F4900" s="4"/>
      <c r="G4900" s="33" t="str">
        <f>IFERROR(VLOOKUP($D4900,'Informations sur les produits'!$A$3:$H$10000,8,FALSE),"0")</f>
        <v>0</v>
      </c>
      <c r="K4900" s="4"/>
      <c r="L4900" s="33" t="str">
        <f>IFERROR(VLOOKUP($J4900,'Informations sur les produits'!$A$3:$H$10000,8,FALSE),"0")</f>
        <v>0</v>
      </c>
      <c r="N4900" s="8"/>
      <c r="O4900" s="33" t="str">
        <f>IFERROR(VLOOKUP($M4900,'Informations sur les produits'!$A$3:$H$10000,8,FALSE),"0")</f>
        <v>0</v>
      </c>
      <c r="P4900" s="33">
        <f t="shared" si="304"/>
        <v>0</v>
      </c>
      <c r="Q4900" s="31" t="str">
        <f t="shared" si="305"/>
        <v/>
      </c>
      <c r="R4900" s="32" t="str">
        <f>IFERROR(VLOOKUP($D4900,'Informations sur les produits'!$A$3:$B$15000,2,FALSE),"")</f>
        <v/>
      </c>
      <c r="V4900">
        <f t="shared" si="306"/>
        <v>0</v>
      </c>
      <c r="W4900">
        <f t="shared" si="307"/>
        <v>0</v>
      </c>
    </row>
    <row r="4901" spans="5:23" x14ac:dyDescent="0.25">
      <c r="E4901" s="4"/>
      <c r="F4901" s="4"/>
      <c r="G4901" s="33" t="str">
        <f>IFERROR(VLOOKUP($D4901,'Informations sur les produits'!$A$3:$H$10000,8,FALSE),"0")</f>
        <v>0</v>
      </c>
      <c r="K4901" s="4"/>
      <c r="L4901" s="33" t="str">
        <f>IFERROR(VLOOKUP($J4901,'Informations sur les produits'!$A$3:$H$10000,8,FALSE),"0")</f>
        <v>0</v>
      </c>
      <c r="N4901" s="8"/>
      <c r="O4901" s="33" t="str">
        <f>IFERROR(VLOOKUP($M4901,'Informations sur les produits'!$A$3:$H$10000,8,FALSE),"0")</f>
        <v>0</v>
      </c>
      <c r="P4901" s="33">
        <f t="shared" si="304"/>
        <v>0</v>
      </c>
      <c r="Q4901" s="31" t="str">
        <f t="shared" si="305"/>
        <v/>
      </c>
      <c r="R4901" s="32" t="str">
        <f>IFERROR(VLOOKUP($D4901,'Informations sur les produits'!$A$3:$B$15000,2,FALSE),"")</f>
        <v/>
      </c>
      <c r="V4901">
        <f t="shared" si="306"/>
        <v>0</v>
      </c>
      <c r="W4901">
        <f t="shared" si="307"/>
        <v>0</v>
      </c>
    </row>
    <row r="4902" spans="5:23" x14ac:dyDescent="0.25">
      <c r="E4902" s="4"/>
      <c r="F4902" s="4"/>
      <c r="G4902" s="33" t="str">
        <f>IFERROR(VLOOKUP($D4902,'Informations sur les produits'!$A$3:$H$10000,8,FALSE),"0")</f>
        <v>0</v>
      </c>
      <c r="K4902" s="4"/>
      <c r="L4902" s="33" t="str">
        <f>IFERROR(VLOOKUP($J4902,'Informations sur les produits'!$A$3:$H$10000,8,FALSE),"0")</f>
        <v>0</v>
      </c>
      <c r="N4902" s="8"/>
      <c r="O4902" s="33" t="str">
        <f>IFERROR(VLOOKUP($M4902,'Informations sur les produits'!$A$3:$H$10000,8,FALSE),"0")</f>
        <v>0</v>
      </c>
      <c r="P4902" s="33">
        <f t="shared" si="304"/>
        <v>0</v>
      </c>
      <c r="Q4902" s="31" t="str">
        <f t="shared" si="305"/>
        <v/>
      </c>
      <c r="R4902" s="32" t="str">
        <f>IFERROR(VLOOKUP($D4902,'Informations sur les produits'!$A$3:$B$15000,2,FALSE),"")</f>
        <v/>
      </c>
      <c r="V4902">
        <f t="shared" si="306"/>
        <v>0</v>
      </c>
      <c r="W4902">
        <f t="shared" si="307"/>
        <v>0</v>
      </c>
    </row>
    <row r="4903" spans="5:23" x14ac:dyDescent="0.25">
      <c r="E4903" s="4"/>
      <c r="F4903" s="4"/>
      <c r="G4903" s="33" t="str">
        <f>IFERROR(VLOOKUP($D4903,'Informations sur les produits'!$A$3:$H$10000,8,FALSE),"0")</f>
        <v>0</v>
      </c>
      <c r="K4903" s="4"/>
      <c r="L4903" s="33" t="str">
        <f>IFERROR(VLOOKUP($J4903,'Informations sur les produits'!$A$3:$H$10000,8,FALSE),"0")</f>
        <v>0</v>
      </c>
      <c r="N4903" s="8"/>
      <c r="O4903" s="33" t="str">
        <f>IFERROR(VLOOKUP($M4903,'Informations sur les produits'!$A$3:$H$10000,8,FALSE),"0")</f>
        <v>0</v>
      </c>
      <c r="P4903" s="33">
        <f t="shared" si="304"/>
        <v>0</v>
      </c>
      <c r="Q4903" s="31" t="str">
        <f t="shared" si="305"/>
        <v/>
      </c>
      <c r="R4903" s="32" t="str">
        <f>IFERROR(VLOOKUP($D4903,'Informations sur les produits'!$A$3:$B$15000,2,FALSE),"")</f>
        <v/>
      </c>
      <c r="V4903">
        <f t="shared" si="306"/>
        <v>0</v>
      </c>
      <c r="W4903">
        <f t="shared" si="307"/>
        <v>0</v>
      </c>
    </row>
    <row r="4904" spans="5:23" x14ac:dyDescent="0.25">
      <c r="E4904" s="4"/>
      <c r="F4904" s="4"/>
      <c r="G4904" s="33" t="str">
        <f>IFERROR(VLOOKUP($D4904,'Informations sur les produits'!$A$3:$H$10000,8,FALSE),"0")</f>
        <v>0</v>
      </c>
      <c r="K4904" s="4"/>
      <c r="L4904" s="33" t="str">
        <f>IFERROR(VLOOKUP($J4904,'Informations sur les produits'!$A$3:$H$10000,8,FALSE),"0")</f>
        <v>0</v>
      </c>
      <c r="N4904" s="8"/>
      <c r="O4904" s="33" t="str">
        <f>IFERROR(VLOOKUP($M4904,'Informations sur les produits'!$A$3:$H$10000,8,FALSE),"0")</f>
        <v>0</v>
      </c>
      <c r="P4904" s="33">
        <f t="shared" si="304"/>
        <v>0</v>
      </c>
      <c r="Q4904" s="31" t="str">
        <f t="shared" si="305"/>
        <v/>
      </c>
      <c r="R4904" s="32" t="str">
        <f>IFERROR(VLOOKUP($D4904,'Informations sur les produits'!$A$3:$B$15000,2,FALSE),"")</f>
        <v/>
      </c>
      <c r="V4904">
        <f t="shared" si="306"/>
        <v>0</v>
      </c>
      <c r="W4904">
        <f t="shared" si="307"/>
        <v>0</v>
      </c>
    </row>
    <row r="4905" spans="5:23" x14ac:dyDescent="0.25">
      <c r="E4905" s="4"/>
      <c r="F4905" s="4"/>
      <c r="G4905" s="33" t="str">
        <f>IFERROR(VLOOKUP($D4905,'Informations sur les produits'!$A$3:$H$10000,8,FALSE),"0")</f>
        <v>0</v>
      </c>
      <c r="K4905" s="4"/>
      <c r="L4905" s="33" t="str">
        <f>IFERROR(VLOOKUP($J4905,'Informations sur les produits'!$A$3:$H$10000,8,FALSE),"0")</f>
        <v>0</v>
      </c>
      <c r="N4905" s="8"/>
      <c r="O4905" s="33" t="str">
        <f>IFERROR(VLOOKUP($M4905,'Informations sur les produits'!$A$3:$H$10000,8,FALSE),"0")</f>
        <v>0</v>
      </c>
      <c r="P4905" s="33">
        <f t="shared" si="304"/>
        <v>0</v>
      </c>
      <c r="Q4905" s="31" t="str">
        <f t="shared" si="305"/>
        <v/>
      </c>
      <c r="R4905" s="32" t="str">
        <f>IFERROR(VLOOKUP($D4905,'Informations sur les produits'!$A$3:$B$15000,2,FALSE),"")</f>
        <v/>
      </c>
      <c r="V4905">
        <f t="shared" si="306"/>
        <v>0</v>
      </c>
      <c r="W4905">
        <f t="shared" si="307"/>
        <v>0</v>
      </c>
    </row>
    <row r="4906" spans="5:23" x14ac:dyDescent="0.25">
      <c r="E4906" s="4"/>
      <c r="F4906" s="4"/>
      <c r="G4906" s="33" t="str">
        <f>IFERROR(VLOOKUP($D4906,'Informations sur les produits'!$A$3:$H$10000,8,FALSE),"0")</f>
        <v>0</v>
      </c>
      <c r="K4906" s="4"/>
      <c r="L4906" s="33" t="str">
        <f>IFERROR(VLOOKUP($J4906,'Informations sur les produits'!$A$3:$H$10000,8,FALSE),"0")</f>
        <v>0</v>
      </c>
      <c r="N4906" s="8"/>
      <c r="O4906" s="33" t="str">
        <f>IFERROR(VLOOKUP($M4906,'Informations sur les produits'!$A$3:$H$10000,8,FALSE),"0")</f>
        <v>0</v>
      </c>
      <c r="P4906" s="33">
        <f t="shared" si="304"/>
        <v>0</v>
      </c>
      <c r="Q4906" s="31" t="str">
        <f t="shared" si="305"/>
        <v/>
      </c>
      <c r="R4906" s="32" t="str">
        <f>IFERROR(VLOOKUP($D4906,'Informations sur les produits'!$A$3:$B$15000,2,FALSE),"")</f>
        <v/>
      </c>
      <c r="V4906">
        <f t="shared" si="306"/>
        <v>0</v>
      </c>
      <c r="W4906">
        <f t="shared" si="307"/>
        <v>0</v>
      </c>
    </row>
    <row r="4907" spans="5:23" x14ac:dyDescent="0.25">
      <c r="E4907" s="4"/>
      <c r="F4907" s="4"/>
      <c r="G4907" s="33" t="str">
        <f>IFERROR(VLOOKUP($D4907,'Informations sur les produits'!$A$3:$H$10000,8,FALSE),"0")</f>
        <v>0</v>
      </c>
      <c r="K4907" s="4"/>
      <c r="L4907" s="33" t="str">
        <f>IFERROR(VLOOKUP($J4907,'Informations sur les produits'!$A$3:$H$10000,8,FALSE),"0")</f>
        <v>0</v>
      </c>
      <c r="N4907" s="8"/>
      <c r="O4907" s="33" t="str">
        <f>IFERROR(VLOOKUP($M4907,'Informations sur les produits'!$A$3:$H$10000,8,FALSE),"0")</f>
        <v>0</v>
      </c>
      <c r="P4907" s="33">
        <f t="shared" si="304"/>
        <v>0</v>
      </c>
      <c r="Q4907" s="31" t="str">
        <f t="shared" si="305"/>
        <v/>
      </c>
      <c r="R4907" s="32" t="str">
        <f>IFERROR(VLOOKUP($D4907,'Informations sur les produits'!$A$3:$B$15000,2,FALSE),"")</f>
        <v/>
      </c>
      <c r="V4907">
        <f t="shared" si="306"/>
        <v>0</v>
      </c>
      <c r="W4907">
        <f t="shared" si="307"/>
        <v>0</v>
      </c>
    </row>
    <row r="4908" spans="5:23" x14ac:dyDescent="0.25">
      <c r="E4908" s="4"/>
      <c r="F4908" s="4"/>
      <c r="G4908" s="33" t="str">
        <f>IFERROR(VLOOKUP($D4908,'Informations sur les produits'!$A$3:$H$10000,8,FALSE),"0")</f>
        <v>0</v>
      </c>
      <c r="K4908" s="4"/>
      <c r="L4908" s="33" t="str">
        <f>IFERROR(VLOOKUP($J4908,'Informations sur les produits'!$A$3:$H$10000,8,FALSE),"0")</f>
        <v>0</v>
      </c>
      <c r="N4908" s="8"/>
      <c r="O4908" s="33" t="str">
        <f>IFERROR(VLOOKUP($M4908,'Informations sur les produits'!$A$3:$H$10000,8,FALSE),"0")</f>
        <v>0</v>
      </c>
      <c r="P4908" s="33">
        <f t="shared" si="304"/>
        <v>0</v>
      </c>
      <c r="Q4908" s="31" t="str">
        <f t="shared" si="305"/>
        <v/>
      </c>
      <c r="R4908" s="32" t="str">
        <f>IFERROR(VLOOKUP($D4908,'Informations sur les produits'!$A$3:$B$15000,2,FALSE),"")</f>
        <v/>
      </c>
      <c r="V4908">
        <f t="shared" si="306"/>
        <v>0</v>
      </c>
      <c r="W4908">
        <f t="shared" si="307"/>
        <v>0</v>
      </c>
    </row>
    <row r="4909" spans="5:23" x14ac:dyDescent="0.25">
      <c r="E4909" s="4"/>
      <c r="F4909" s="4"/>
      <c r="G4909" s="33" t="str">
        <f>IFERROR(VLOOKUP($D4909,'Informations sur les produits'!$A$3:$H$10000,8,FALSE),"0")</f>
        <v>0</v>
      </c>
      <c r="K4909" s="4"/>
      <c r="L4909" s="33" t="str">
        <f>IFERROR(VLOOKUP($J4909,'Informations sur les produits'!$A$3:$H$10000,8,FALSE),"0")</f>
        <v>0</v>
      </c>
      <c r="N4909" s="8"/>
      <c r="O4909" s="33" t="str">
        <f>IFERROR(VLOOKUP($M4909,'Informations sur les produits'!$A$3:$H$10000,8,FALSE),"0")</f>
        <v>0</v>
      </c>
      <c r="P4909" s="33">
        <f t="shared" si="304"/>
        <v>0</v>
      </c>
      <c r="Q4909" s="31" t="str">
        <f t="shared" si="305"/>
        <v/>
      </c>
      <c r="R4909" s="32" t="str">
        <f>IFERROR(VLOOKUP($D4909,'Informations sur les produits'!$A$3:$B$15000,2,FALSE),"")</f>
        <v/>
      </c>
      <c r="V4909">
        <f t="shared" si="306"/>
        <v>0</v>
      </c>
      <c r="W4909">
        <f t="shared" si="307"/>
        <v>0</v>
      </c>
    </row>
    <row r="4910" spans="5:23" x14ac:dyDescent="0.25">
      <c r="E4910" s="4"/>
      <c r="F4910" s="4"/>
      <c r="G4910" s="33" t="str">
        <f>IFERROR(VLOOKUP($D4910,'Informations sur les produits'!$A$3:$H$10000,8,FALSE),"0")</f>
        <v>0</v>
      </c>
      <c r="K4910" s="4"/>
      <c r="L4910" s="33" t="str">
        <f>IFERROR(VLOOKUP($J4910,'Informations sur les produits'!$A$3:$H$10000,8,FALSE),"0")</f>
        <v>0</v>
      </c>
      <c r="N4910" s="8"/>
      <c r="O4910" s="33" t="str">
        <f>IFERROR(VLOOKUP($M4910,'Informations sur les produits'!$A$3:$H$10000,8,FALSE),"0")</f>
        <v>0</v>
      </c>
      <c r="P4910" s="33">
        <f t="shared" si="304"/>
        <v>0</v>
      </c>
      <c r="Q4910" s="31" t="str">
        <f t="shared" si="305"/>
        <v/>
      </c>
      <c r="R4910" s="32" t="str">
        <f>IFERROR(VLOOKUP($D4910,'Informations sur les produits'!$A$3:$B$15000,2,FALSE),"")</f>
        <v/>
      </c>
      <c r="V4910">
        <f t="shared" si="306"/>
        <v>0</v>
      </c>
      <c r="W4910">
        <f t="shared" si="307"/>
        <v>0</v>
      </c>
    </row>
    <row r="4911" spans="5:23" x14ac:dyDescent="0.25">
      <c r="E4911" s="4"/>
      <c r="F4911" s="4"/>
      <c r="G4911" s="33" t="str">
        <f>IFERROR(VLOOKUP($D4911,'Informations sur les produits'!$A$3:$H$10000,8,FALSE),"0")</f>
        <v>0</v>
      </c>
      <c r="K4911" s="4"/>
      <c r="L4911" s="33" t="str">
        <f>IFERROR(VLOOKUP($J4911,'Informations sur les produits'!$A$3:$H$10000,8,FALSE),"0")</f>
        <v>0</v>
      </c>
      <c r="N4911" s="8"/>
      <c r="O4911" s="33" t="str">
        <f>IFERROR(VLOOKUP($M4911,'Informations sur les produits'!$A$3:$H$10000,8,FALSE),"0")</f>
        <v>0</v>
      </c>
      <c r="P4911" s="33">
        <f t="shared" si="304"/>
        <v>0</v>
      </c>
      <c r="Q4911" s="31" t="str">
        <f t="shared" si="305"/>
        <v/>
      </c>
      <c r="R4911" s="32" t="str">
        <f>IFERROR(VLOOKUP($D4911,'Informations sur les produits'!$A$3:$B$15000,2,FALSE),"")</f>
        <v/>
      </c>
      <c r="V4911">
        <f t="shared" si="306"/>
        <v>0</v>
      </c>
      <c r="W4911">
        <f t="shared" si="307"/>
        <v>0</v>
      </c>
    </row>
    <row r="4912" spans="5:23" x14ac:dyDescent="0.25">
      <c r="E4912" s="4"/>
      <c r="F4912" s="4"/>
      <c r="G4912" s="33" t="str">
        <f>IFERROR(VLOOKUP($D4912,'Informations sur les produits'!$A$3:$H$10000,8,FALSE),"0")</f>
        <v>0</v>
      </c>
      <c r="K4912" s="4"/>
      <c r="L4912" s="33" t="str">
        <f>IFERROR(VLOOKUP($J4912,'Informations sur les produits'!$A$3:$H$10000,8,FALSE),"0")</f>
        <v>0</v>
      </c>
      <c r="N4912" s="8"/>
      <c r="O4912" s="33" t="str">
        <f>IFERROR(VLOOKUP($M4912,'Informations sur les produits'!$A$3:$H$10000,8,FALSE),"0")</f>
        <v>0</v>
      </c>
      <c r="P4912" s="33">
        <f t="shared" si="304"/>
        <v>0</v>
      </c>
      <c r="Q4912" s="31" t="str">
        <f t="shared" si="305"/>
        <v/>
      </c>
      <c r="R4912" s="32" t="str">
        <f>IFERROR(VLOOKUP($D4912,'Informations sur les produits'!$A$3:$B$15000,2,FALSE),"")</f>
        <v/>
      </c>
      <c r="V4912">
        <f t="shared" si="306"/>
        <v>0</v>
      </c>
      <c r="W4912">
        <f t="shared" si="307"/>
        <v>0</v>
      </c>
    </row>
    <row r="4913" spans="5:23" x14ac:dyDescent="0.25">
      <c r="E4913" s="4"/>
      <c r="F4913" s="4"/>
      <c r="G4913" s="33" t="str">
        <f>IFERROR(VLOOKUP($D4913,'Informations sur les produits'!$A$3:$H$10000,8,FALSE),"0")</f>
        <v>0</v>
      </c>
      <c r="K4913" s="4"/>
      <c r="L4913" s="33" t="str">
        <f>IFERROR(VLOOKUP($J4913,'Informations sur les produits'!$A$3:$H$10000,8,FALSE),"0")</f>
        <v>0</v>
      </c>
      <c r="N4913" s="8"/>
      <c r="O4913" s="33" t="str">
        <f>IFERROR(VLOOKUP($M4913,'Informations sur les produits'!$A$3:$H$10000,8,FALSE),"0")</f>
        <v>0</v>
      </c>
      <c r="P4913" s="33">
        <f t="shared" si="304"/>
        <v>0</v>
      </c>
      <c r="Q4913" s="31" t="str">
        <f t="shared" si="305"/>
        <v/>
      </c>
      <c r="R4913" s="32" t="str">
        <f>IFERROR(VLOOKUP($D4913,'Informations sur les produits'!$A$3:$B$15000,2,FALSE),"")</f>
        <v/>
      </c>
      <c r="V4913">
        <f t="shared" si="306"/>
        <v>0</v>
      </c>
      <c r="W4913">
        <f t="shared" si="307"/>
        <v>0</v>
      </c>
    </row>
    <row r="4914" spans="5:23" x14ac:dyDescent="0.25">
      <c r="E4914" s="4"/>
      <c r="F4914" s="4"/>
      <c r="G4914" s="33" t="str">
        <f>IFERROR(VLOOKUP($D4914,'Informations sur les produits'!$A$3:$H$10000,8,FALSE),"0")</f>
        <v>0</v>
      </c>
      <c r="K4914" s="4"/>
      <c r="L4914" s="33" t="str">
        <f>IFERROR(VLOOKUP($J4914,'Informations sur les produits'!$A$3:$H$10000,8,FALSE),"0")</f>
        <v>0</v>
      </c>
      <c r="N4914" s="8"/>
      <c r="O4914" s="33" t="str">
        <f>IFERROR(VLOOKUP($M4914,'Informations sur les produits'!$A$3:$H$10000,8,FALSE),"0")</f>
        <v>0</v>
      </c>
      <c r="P4914" s="33">
        <f t="shared" si="304"/>
        <v>0</v>
      </c>
      <c r="Q4914" s="31" t="str">
        <f t="shared" si="305"/>
        <v/>
      </c>
      <c r="R4914" s="32" t="str">
        <f>IFERROR(VLOOKUP($D4914,'Informations sur les produits'!$A$3:$B$15000,2,FALSE),"")</f>
        <v/>
      </c>
      <c r="V4914">
        <f t="shared" si="306"/>
        <v>0</v>
      </c>
      <c r="W4914">
        <f t="shared" si="307"/>
        <v>0</v>
      </c>
    </row>
    <row r="4915" spans="5:23" x14ac:dyDescent="0.25">
      <c r="E4915" s="4"/>
      <c r="F4915" s="4"/>
      <c r="G4915" s="33" t="str">
        <f>IFERROR(VLOOKUP($D4915,'Informations sur les produits'!$A$3:$H$10000,8,FALSE),"0")</f>
        <v>0</v>
      </c>
      <c r="K4915" s="4"/>
      <c r="L4915" s="33" t="str">
        <f>IFERROR(VLOOKUP($J4915,'Informations sur les produits'!$A$3:$H$10000,8,FALSE),"0")</f>
        <v>0</v>
      </c>
      <c r="N4915" s="8"/>
      <c r="O4915" s="33" t="str">
        <f>IFERROR(VLOOKUP($M4915,'Informations sur les produits'!$A$3:$H$10000,8,FALSE),"0")</f>
        <v>0</v>
      </c>
      <c r="P4915" s="33">
        <f t="shared" si="304"/>
        <v>0</v>
      </c>
      <c r="Q4915" s="31" t="str">
        <f t="shared" si="305"/>
        <v/>
      </c>
      <c r="R4915" s="32" t="str">
        <f>IFERROR(VLOOKUP($D4915,'Informations sur les produits'!$A$3:$B$15000,2,FALSE),"")</f>
        <v/>
      </c>
      <c r="V4915">
        <f t="shared" si="306"/>
        <v>0</v>
      </c>
      <c r="W4915">
        <f t="shared" si="307"/>
        <v>0</v>
      </c>
    </row>
    <row r="4916" spans="5:23" x14ac:dyDescent="0.25">
      <c r="E4916" s="4"/>
      <c r="F4916" s="4"/>
      <c r="G4916" s="33" t="str">
        <f>IFERROR(VLOOKUP($D4916,'Informations sur les produits'!$A$3:$H$10000,8,FALSE),"0")</f>
        <v>0</v>
      </c>
      <c r="K4916" s="4"/>
      <c r="L4916" s="33" t="str">
        <f>IFERROR(VLOOKUP($J4916,'Informations sur les produits'!$A$3:$H$10000,8,FALSE),"0")</f>
        <v>0</v>
      </c>
      <c r="N4916" s="8"/>
      <c r="O4916" s="33" t="str">
        <f>IFERROR(VLOOKUP($M4916,'Informations sur les produits'!$A$3:$H$10000,8,FALSE),"0")</f>
        <v>0</v>
      </c>
      <c r="P4916" s="33">
        <f t="shared" si="304"/>
        <v>0</v>
      </c>
      <c r="Q4916" s="31" t="str">
        <f t="shared" si="305"/>
        <v/>
      </c>
      <c r="R4916" s="32" t="str">
        <f>IFERROR(VLOOKUP($D4916,'Informations sur les produits'!$A$3:$B$15000,2,FALSE),"")</f>
        <v/>
      </c>
      <c r="V4916">
        <f t="shared" si="306"/>
        <v>0</v>
      </c>
      <c r="W4916">
        <f t="shared" si="307"/>
        <v>0</v>
      </c>
    </row>
    <row r="4917" spans="5:23" x14ac:dyDescent="0.25">
      <c r="E4917" s="4"/>
      <c r="F4917" s="4"/>
      <c r="G4917" s="33" t="str">
        <f>IFERROR(VLOOKUP($D4917,'Informations sur les produits'!$A$3:$H$10000,8,FALSE),"0")</f>
        <v>0</v>
      </c>
      <c r="K4917" s="4"/>
      <c r="L4917" s="33" t="str">
        <f>IFERROR(VLOOKUP($J4917,'Informations sur les produits'!$A$3:$H$10000,8,FALSE),"0")</f>
        <v>0</v>
      </c>
      <c r="N4917" s="8"/>
      <c r="O4917" s="33" t="str">
        <f>IFERROR(VLOOKUP($M4917,'Informations sur les produits'!$A$3:$H$10000,8,FALSE),"0")</f>
        <v>0</v>
      </c>
      <c r="P4917" s="33">
        <f t="shared" si="304"/>
        <v>0</v>
      </c>
      <c r="Q4917" s="31" t="str">
        <f t="shared" si="305"/>
        <v/>
      </c>
      <c r="R4917" s="32" t="str">
        <f>IFERROR(VLOOKUP($D4917,'Informations sur les produits'!$A$3:$B$15000,2,FALSE),"")</f>
        <v/>
      </c>
      <c r="V4917">
        <f t="shared" si="306"/>
        <v>0</v>
      </c>
      <c r="W4917">
        <f t="shared" si="307"/>
        <v>0</v>
      </c>
    </row>
    <row r="4918" spans="5:23" x14ac:dyDescent="0.25">
      <c r="E4918" s="4"/>
      <c r="F4918" s="4"/>
      <c r="G4918" s="33" t="str">
        <f>IFERROR(VLOOKUP($D4918,'Informations sur les produits'!$A$3:$H$10000,8,FALSE),"0")</f>
        <v>0</v>
      </c>
      <c r="K4918" s="4"/>
      <c r="L4918" s="33" t="str">
        <f>IFERROR(VLOOKUP($J4918,'Informations sur les produits'!$A$3:$H$10000,8,FALSE),"0")</f>
        <v>0</v>
      </c>
      <c r="N4918" s="8"/>
      <c r="O4918" s="33" t="str">
        <f>IFERROR(VLOOKUP($M4918,'Informations sur les produits'!$A$3:$H$10000,8,FALSE),"0")</f>
        <v>0</v>
      </c>
      <c r="P4918" s="33">
        <f t="shared" si="304"/>
        <v>0</v>
      </c>
      <c r="Q4918" s="31" t="str">
        <f t="shared" si="305"/>
        <v/>
      </c>
      <c r="R4918" s="32" t="str">
        <f>IFERROR(VLOOKUP($D4918,'Informations sur les produits'!$A$3:$B$15000,2,FALSE),"")</f>
        <v/>
      </c>
      <c r="V4918">
        <f t="shared" si="306"/>
        <v>0</v>
      </c>
      <c r="W4918">
        <f t="shared" si="307"/>
        <v>0</v>
      </c>
    </row>
    <row r="4919" spans="5:23" x14ac:dyDescent="0.25">
      <c r="E4919" s="4"/>
      <c r="F4919" s="4"/>
      <c r="G4919" s="33" t="str">
        <f>IFERROR(VLOOKUP($D4919,'Informations sur les produits'!$A$3:$H$10000,8,FALSE),"0")</f>
        <v>0</v>
      </c>
      <c r="K4919" s="4"/>
      <c r="L4919" s="33" t="str">
        <f>IFERROR(VLOOKUP($J4919,'Informations sur les produits'!$A$3:$H$10000,8,FALSE),"0")</f>
        <v>0</v>
      </c>
      <c r="N4919" s="8"/>
      <c r="O4919" s="33" t="str">
        <f>IFERROR(VLOOKUP($M4919,'Informations sur les produits'!$A$3:$H$10000,8,FALSE),"0")</f>
        <v>0</v>
      </c>
      <c r="P4919" s="33">
        <f t="shared" si="304"/>
        <v>0</v>
      </c>
      <c r="Q4919" s="31" t="str">
        <f t="shared" si="305"/>
        <v/>
      </c>
      <c r="R4919" s="32" t="str">
        <f>IFERROR(VLOOKUP($D4919,'Informations sur les produits'!$A$3:$B$15000,2,FALSE),"")</f>
        <v/>
      </c>
      <c r="V4919">
        <f t="shared" si="306"/>
        <v>0</v>
      </c>
      <c r="W4919">
        <f t="shared" si="307"/>
        <v>0</v>
      </c>
    </row>
    <row r="4920" spans="5:23" x14ac:dyDescent="0.25">
      <c r="E4920" s="4"/>
      <c r="F4920" s="4"/>
      <c r="G4920" s="33" t="str">
        <f>IFERROR(VLOOKUP($D4920,'Informations sur les produits'!$A$3:$H$10000,8,FALSE),"0")</f>
        <v>0</v>
      </c>
      <c r="K4920" s="4"/>
      <c r="L4920" s="33" t="str">
        <f>IFERROR(VLOOKUP($J4920,'Informations sur les produits'!$A$3:$H$10000,8,FALSE),"0")</f>
        <v>0</v>
      </c>
      <c r="N4920" s="8"/>
      <c r="O4920" s="33" t="str">
        <f>IFERROR(VLOOKUP($M4920,'Informations sur les produits'!$A$3:$H$10000,8,FALSE),"0")</f>
        <v>0</v>
      </c>
      <c r="P4920" s="33">
        <f t="shared" si="304"/>
        <v>0</v>
      </c>
      <c r="Q4920" s="31" t="str">
        <f t="shared" si="305"/>
        <v/>
      </c>
      <c r="R4920" s="32" t="str">
        <f>IFERROR(VLOOKUP($D4920,'Informations sur les produits'!$A$3:$B$15000,2,FALSE),"")</f>
        <v/>
      </c>
      <c r="V4920">
        <f t="shared" si="306"/>
        <v>0</v>
      </c>
      <c r="W4920">
        <f t="shared" si="307"/>
        <v>0</v>
      </c>
    </row>
    <row r="4921" spans="5:23" x14ac:dyDescent="0.25">
      <c r="E4921" s="4"/>
      <c r="F4921" s="4"/>
      <c r="G4921" s="33" t="str">
        <f>IFERROR(VLOOKUP($D4921,'Informations sur les produits'!$A$3:$H$10000,8,FALSE),"0")</f>
        <v>0</v>
      </c>
      <c r="K4921" s="4"/>
      <c r="L4921" s="33" t="str">
        <f>IFERROR(VLOOKUP($J4921,'Informations sur les produits'!$A$3:$H$10000,8,FALSE),"0")</f>
        <v>0</v>
      </c>
      <c r="N4921" s="8"/>
      <c r="O4921" s="33" t="str">
        <f>IFERROR(VLOOKUP($M4921,'Informations sur les produits'!$A$3:$H$10000,8,FALSE),"0")</f>
        <v>0</v>
      </c>
      <c r="P4921" s="33">
        <f t="shared" si="304"/>
        <v>0</v>
      </c>
      <c r="Q4921" s="31" t="str">
        <f t="shared" si="305"/>
        <v/>
      </c>
      <c r="R4921" s="32" t="str">
        <f>IFERROR(VLOOKUP($D4921,'Informations sur les produits'!$A$3:$B$15000,2,FALSE),"")</f>
        <v/>
      </c>
      <c r="V4921">
        <f t="shared" si="306"/>
        <v>0</v>
      </c>
      <c r="W4921">
        <f t="shared" si="307"/>
        <v>0</v>
      </c>
    </row>
    <row r="4922" spans="5:23" x14ac:dyDescent="0.25">
      <c r="E4922" s="4"/>
      <c r="F4922" s="4"/>
      <c r="G4922" s="33" t="str">
        <f>IFERROR(VLOOKUP($D4922,'Informations sur les produits'!$A$3:$H$10000,8,FALSE),"0")</f>
        <v>0</v>
      </c>
      <c r="K4922" s="4"/>
      <c r="L4922" s="33" t="str">
        <f>IFERROR(VLOOKUP($J4922,'Informations sur les produits'!$A$3:$H$10000,8,FALSE),"0")</f>
        <v>0</v>
      </c>
      <c r="N4922" s="8"/>
      <c r="O4922" s="33" t="str">
        <f>IFERROR(VLOOKUP($M4922,'Informations sur les produits'!$A$3:$H$10000,8,FALSE),"0")</f>
        <v>0</v>
      </c>
      <c r="P4922" s="33">
        <f t="shared" si="304"/>
        <v>0</v>
      </c>
      <c r="Q4922" s="31" t="str">
        <f t="shared" si="305"/>
        <v/>
      </c>
      <c r="R4922" s="32" t="str">
        <f>IFERROR(VLOOKUP($D4922,'Informations sur les produits'!$A$3:$B$15000,2,FALSE),"")</f>
        <v/>
      </c>
      <c r="V4922">
        <f t="shared" si="306"/>
        <v>0</v>
      </c>
      <c r="W4922">
        <f t="shared" si="307"/>
        <v>0</v>
      </c>
    </row>
    <row r="4923" spans="5:23" x14ac:dyDescent="0.25">
      <c r="E4923" s="4"/>
      <c r="F4923" s="4"/>
      <c r="G4923" s="33" t="str">
        <f>IFERROR(VLOOKUP($D4923,'Informations sur les produits'!$A$3:$H$10000,8,FALSE),"0")</f>
        <v>0</v>
      </c>
      <c r="K4923" s="4"/>
      <c r="L4923" s="33" t="str">
        <f>IFERROR(VLOOKUP($J4923,'Informations sur les produits'!$A$3:$H$10000,8,FALSE),"0")</f>
        <v>0</v>
      </c>
      <c r="N4923" s="8"/>
      <c r="O4923" s="33" t="str">
        <f>IFERROR(VLOOKUP($M4923,'Informations sur les produits'!$A$3:$H$10000,8,FALSE),"0")</f>
        <v>0</v>
      </c>
      <c r="P4923" s="33">
        <f t="shared" si="304"/>
        <v>0</v>
      </c>
      <c r="Q4923" s="31" t="str">
        <f t="shared" si="305"/>
        <v/>
      </c>
      <c r="R4923" s="32" t="str">
        <f>IFERROR(VLOOKUP($D4923,'Informations sur les produits'!$A$3:$B$15000,2,FALSE),"")</f>
        <v/>
      </c>
      <c r="V4923">
        <f t="shared" si="306"/>
        <v>0</v>
      </c>
      <c r="W4923">
        <f t="shared" si="307"/>
        <v>0</v>
      </c>
    </row>
    <row r="4924" spans="5:23" x14ac:dyDescent="0.25">
      <c r="E4924" s="4"/>
      <c r="F4924" s="4"/>
      <c r="G4924" s="33" t="str">
        <f>IFERROR(VLOOKUP($D4924,'Informations sur les produits'!$A$3:$H$10000,8,FALSE),"0")</f>
        <v>0</v>
      </c>
      <c r="K4924" s="4"/>
      <c r="L4924" s="33" t="str">
        <f>IFERROR(VLOOKUP($J4924,'Informations sur les produits'!$A$3:$H$10000,8,FALSE),"0")</f>
        <v>0</v>
      </c>
      <c r="N4924" s="8"/>
      <c r="O4924" s="33" t="str">
        <f>IFERROR(VLOOKUP($M4924,'Informations sur les produits'!$A$3:$H$10000,8,FALSE),"0")</f>
        <v>0</v>
      </c>
      <c r="P4924" s="33">
        <f t="shared" si="304"/>
        <v>0</v>
      </c>
      <c r="Q4924" s="31" t="str">
        <f t="shared" si="305"/>
        <v/>
      </c>
      <c r="R4924" s="32" t="str">
        <f>IFERROR(VLOOKUP($D4924,'Informations sur les produits'!$A$3:$B$15000,2,FALSE),"")</f>
        <v/>
      </c>
      <c r="V4924">
        <f t="shared" si="306"/>
        <v>0</v>
      </c>
      <c r="W4924">
        <f t="shared" si="307"/>
        <v>0</v>
      </c>
    </row>
    <row r="4925" spans="5:23" x14ac:dyDescent="0.25">
      <c r="E4925" s="4"/>
      <c r="F4925" s="4"/>
      <c r="G4925" s="33" t="str">
        <f>IFERROR(VLOOKUP($D4925,'Informations sur les produits'!$A$3:$H$10000,8,FALSE),"0")</f>
        <v>0</v>
      </c>
      <c r="K4925" s="4"/>
      <c r="L4925" s="33" t="str">
        <f>IFERROR(VLOOKUP($J4925,'Informations sur les produits'!$A$3:$H$10000,8,FALSE),"0")</f>
        <v>0</v>
      </c>
      <c r="N4925" s="8"/>
      <c r="O4925" s="33" t="str">
        <f>IFERROR(VLOOKUP($M4925,'Informations sur les produits'!$A$3:$H$10000,8,FALSE),"0")</f>
        <v>0</v>
      </c>
      <c r="P4925" s="33">
        <f t="shared" si="304"/>
        <v>0</v>
      </c>
      <c r="Q4925" s="31" t="str">
        <f t="shared" si="305"/>
        <v/>
      </c>
      <c r="R4925" s="32" t="str">
        <f>IFERROR(VLOOKUP($D4925,'Informations sur les produits'!$A$3:$B$15000,2,FALSE),"")</f>
        <v/>
      </c>
      <c r="V4925">
        <f t="shared" si="306"/>
        <v>0</v>
      </c>
      <c r="W4925">
        <f t="shared" si="307"/>
        <v>0</v>
      </c>
    </row>
    <row r="4926" spans="5:23" x14ac:dyDescent="0.25">
      <c r="E4926" s="4"/>
      <c r="F4926" s="4"/>
      <c r="G4926" s="33" t="str">
        <f>IFERROR(VLOOKUP($D4926,'Informations sur les produits'!$A$3:$H$10000,8,FALSE),"0")</f>
        <v>0</v>
      </c>
      <c r="K4926" s="4"/>
      <c r="L4926" s="33" t="str">
        <f>IFERROR(VLOOKUP($J4926,'Informations sur les produits'!$A$3:$H$10000,8,FALSE),"0")</f>
        <v>0</v>
      </c>
      <c r="N4926" s="8"/>
      <c r="O4926" s="33" t="str">
        <f>IFERROR(VLOOKUP($M4926,'Informations sur les produits'!$A$3:$H$10000,8,FALSE),"0")</f>
        <v>0</v>
      </c>
      <c r="P4926" s="33">
        <f t="shared" si="304"/>
        <v>0</v>
      </c>
      <c r="Q4926" s="31" t="str">
        <f t="shared" si="305"/>
        <v/>
      </c>
      <c r="R4926" s="32" t="str">
        <f>IFERROR(VLOOKUP($D4926,'Informations sur les produits'!$A$3:$B$15000,2,FALSE),"")</f>
        <v/>
      </c>
      <c r="V4926">
        <f t="shared" si="306"/>
        <v>0</v>
      </c>
      <c r="W4926">
        <f t="shared" si="307"/>
        <v>0</v>
      </c>
    </row>
    <row r="4927" spans="5:23" x14ac:dyDescent="0.25">
      <c r="E4927" s="4"/>
      <c r="F4927" s="4"/>
      <c r="G4927" s="33" t="str">
        <f>IFERROR(VLOOKUP($D4927,'Informations sur les produits'!$A$3:$H$10000,8,FALSE),"0")</f>
        <v>0</v>
      </c>
      <c r="K4927" s="4"/>
      <c r="L4927" s="33" t="str">
        <f>IFERROR(VLOOKUP($J4927,'Informations sur les produits'!$A$3:$H$10000,8,FALSE),"0")</f>
        <v>0</v>
      </c>
      <c r="N4927" s="8"/>
      <c r="O4927" s="33" t="str">
        <f>IFERROR(VLOOKUP($M4927,'Informations sur les produits'!$A$3:$H$10000,8,FALSE),"0")</f>
        <v>0</v>
      </c>
      <c r="P4927" s="33">
        <f t="shared" si="304"/>
        <v>0</v>
      </c>
      <c r="Q4927" s="31" t="str">
        <f t="shared" si="305"/>
        <v/>
      </c>
      <c r="R4927" s="32" t="str">
        <f>IFERROR(VLOOKUP($D4927,'Informations sur les produits'!$A$3:$B$15000,2,FALSE),"")</f>
        <v/>
      </c>
      <c r="V4927">
        <f t="shared" si="306"/>
        <v>0</v>
      </c>
      <c r="W4927">
        <f t="shared" si="307"/>
        <v>0</v>
      </c>
    </row>
    <row r="4928" spans="5:23" x14ac:dyDescent="0.25">
      <c r="E4928" s="4"/>
      <c r="F4928" s="4"/>
      <c r="G4928" s="33" t="str">
        <f>IFERROR(VLOOKUP($D4928,'Informations sur les produits'!$A$3:$H$10000,8,FALSE),"0")</f>
        <v>0</v>
      </c>
      <c r="K4928" s="4"/>
      <c r="L4928" s="33" t="str">
        <f>IFERROR(VLOOKUP($J4928,'Informations sur les produits'!$A$3:$H$10000,8,FALSE),"0")</f>
        <v>0</v>
      </c>
      <c r="N4928" s="8"/>
      <c r="O4928" s="33" t="str">
        <f>IFERROR(VLOOKUP($M4928,'Informations sur les produits'!$A$3:$H$10000,8,FALSE),"0")</f>
        <v>0</v>
      </c>
      <c r="P4928" s="33">
        <f t="shared" si="304"/>
        <v>0</v>
      </c>
      <c r="Q4928" s="31" t="str">
        <f t="shared" si="305"/>
        <v/>
      </c>
      <c r="R4928" s="32" t="str">
        <f>IFERROR(VLOOKUP($D4928,'Informations sur les produits'!$A$3:$B$15000,2,FALSE),"")</f>
        <v/>
      </c>
      <c r="V4928">
        <f t="shared" si="306"/>
        <v>0</v>
      </c>
      <c r="W4928">
        <f t="shared" si="307"/>
        <v>0</v>
      </c>
    </row>
    <row r="4929" spans="5:23" x14ac:dyDescent="0.25">
      <c r="E4929" s="4"/>
      <c r="F4929" s="4"/>
      <c r="G4929" s="33" t="str">
        <f>IFERROR(VLOOKUP($D4929,'Informations sur les produits'!$A$3:$H$10000,8,FALSE),"0")</f>
        <v>0</v>
      </c>
      <c r="K4929" s="4"/>
      <c r="L4929" s="33" t="str">
        <f>IFERROR(VLOOKUP($J4929,'Informations sur les produits'!$A$3:$H$10000,8,FALSE),"0")</f>
        <v>0</v>
      </c>
      <c r="N4929" s="8"/>
      <c r="O4929" s="33" t="str">
        <f>IFERROR(VLOOKUP($M4929,'Informations sur les produits'!$A$3:$H$10000,8,FALSE),"0")</f>
        <v>0</v>
      </c>
      <c r="P4929" s="33">
        <f t="shared" si="304"/>
        <v>0</v>
      </c>
      <c r="Q4929" s="31" t="str">
        <f t="shared" si="305"/>
        <v/>
      </c>
      <c r="R4929" s="32" t="str">
        <f>IFERROR(VLOOKUP($D4929,'Informations sur les produits'!$A$3:$B$15000,2,FALSE),"")</f>
        <v/>
      </c>
      <c r="V4929">
        <f t="shared" si="306"/>
        <v>0</v>
      </c>
      <c r="W4929">
        <f t="shared" si="307"/>
        <v>0</v>
      </c>
    </row>
    <row r="4930" spans="5:23" x14ac:dyDescent="0.25">
      <c r="E4930" s="4"/>
      <c r="F4930" s="4"/>
      <c r="G4930" s="33" t="str">
        <f>IFERROR(VLOOKUP($D4930,'Informations sur les produits'!$A$3:$H$10000,8,FALSE),"0")</f>
        <v>0</v>
      </c>
      <c r="K4930" s="4"/>
      <c r="L4930" s="33" t="str">
        <f>IFERROR(VLOOKUP($J4930,'Informations sur les produits'!$A$3:$H$10000,8,FALSE),"0")</f>
        <v>0</v>
      </c>
      <c r="N4930" s="8"/>
      <c r="O4930" s="33" t="str">
        <f>IFERROR(VLOOKUP($M4930,'Informations sur les produits'!$A$3:$H$10000,8,FALSE),"0")</f>
        <v>0</v>
      </c>
      <c r="P4930" s="33">
        <f t="shared" si="304"/>
        <v>0</v>
      </c>
      <c r="Q4930" s="31" t="str">
        <f t="shared" si="305"/>
        <v/>
      </c>
      <c r="R4930" s="32" t="str">
        <f>IFERROR(VLOOKUP($D4930,'Informations sur les produits'!$A$3:$B$15000,2,FALSE),"")</f>
        <v/>
      </c>
      <c r="V4930">
        <f t="shared" si="306"/>
        <v>0</v>
      </c>
      <c r="W4930">
        <f t="shared" si="307"/>
        <v>0</v>
      </c>
    </row>
    <row r="4931" spans="5:23" x14ac:dyDescent="0.25">
      <c r="E4931" s="4"/>
      <c r="F4931" s="4"/>
      <c r="G4931" s="33" t="str">
        <f>IFERROR(VLOOKUP($D4931,'Informations sur les produits'!$A$3:$H$10000,8,FALSE),"0")</f>
        <v>0</v>
      </c>
      <c r="K4931" s="4"/>
      <c r="L4931" s="33" t="str">
        <f>IFERROR(VLOOKUP($J4931,'Informations sur les produits'!$A$3:$H$10000,8,FALSE),"0")</f>
        <v>0</v>
      </c>
      <c r="N4931" s="8"/>
      <c r="O4931" s="33" t="str">
        <f>IFERROR(VLOOKUP($M4931,'Informations sur les produits'!$A$3:$H$10000,8,FALSE),"0")</f>
        <v>0</v>
      </c>
      <c r="P4931" s="33">
        <f t="shared" si="304"/>
        <v>0</v>
      </c>
      <c r="Q4931" s="31" t="str">
        <f t="shared" si="305"/>
        <v/>
      </c>
      <c r="R4931" s="32" t="str">
        <f>IFERROR(VLOOKUP($D4931,'Informations sur les produits'!$A$3:$B$15000,2,FALSE),"")</f>
        <v/>
      </c>
      <c r="V4931">
        <f t="shared" si="306"/>
        <v>0</v>
      </c>
      <c r="W4931">
        <f t="shared" si="307"/>
        <v>0</v>
      </c>
    </row>
    <row r="4932" spans="5:23" x14ac:dyDescent="0.25">
      <c r="E4932" s="4"/>
      <c r="F4932" s="4"/>
      <c r="G4932" s="33" t="str">
        <f>IFERROR(VLOOKUP($D4932,'Informations sur les produits'!$A$3:$H$10000,8,FALSE),"0")</f>
        <v>0</v>
      </c>
      <c r="K4932" s="4"/>
      <c r="L4932" s="33" t="str">
        <f>IFERROR(VLOOKUP($J4932,'Informations sur les produits'!$A$3:$H$10000,8,FALSE),"0")</f>
        <v>0</v>
      </c>
      <c r="N4932" s="8"/>
      <c r="O4932" s="33" t="str">
        <f>IFERROR(VLOOKUP($M4932,'Informations sur les produits'!$A$3:$H$10000,8,FALSE),"0")</f>
        <v>0</v>
      </c>
      <c r="P4932" s="33">
        <f t="shared" ref="P4932:P4995" si="308">IFERROR((($E4932-$F4932)*$G4932+$K4932*$L4932+$N4932*$O4932),"")</f>
        <v>0</v>
      </c>
      <c r="Q4932" s="31" t="str">
        <f t="shared" ref="Q4932:Q4995" si="309">IFERROR((((($E4932-$F4932)*$G4932+$K4932*$L4932+$N4932*$O4932)*1000)/(($E4932-$F4932)+$K4932+$N4932)),"")</f>
        <v/>
      </c>
      <c r="R4932" s="32" t="str">
        <f>IFERROR(VLOOKUP($D4932,'Informations sur les produits'!$A$3:$B$15000,2,FALSE),"")</f>
        <v/>
      </c>
      <c r="V4932">
        <f t="shared" ref="V4932:V4995" si="310">IFERROR(P4932*1000,"")</f>
        <v>0</v>
      </c>
      <c r="W4932">
        <f t="shared" ref="W4932:W4995" si="311">IFERROR(($E4932-$F4932)+$K4932+$N4932,"")</f>
        <v>0</v>
      </c>
    </row>
    <row r="4933" spans="5:23" x14ac:dyDescent="0.25">
      <c r="E4933" s="4"/>
      <c r="F4933" s="4"/>
      <c r="G4933" s="33" t="str">
        <f>IFERROR(VLOOKUP($D4933,'Informations sur les produits'!$A$3:$H$10000,8,FALSE),"0")</f>
        <v>0</v>
      </c>
      <c r="K4933" s="4"/>
      <c r="L4933" s="33" t="str">
        <f>IFERROR(VLOOKUP($J4933,'Informations sur les produits'!$A$3:$H$10000,8,FALSE),"0")</f>
        <v>0</v>
      </c>
      <c r="N4933" s="8"/>
      <c r="O4933" s="33" t="str">
        <f>IFERROR(VLOOKUP($M4933,'Informations sur les produits'!$A$3:$H$10000,8,FALSE),"0")</f>
        <v>0</v>
      </c>
      <c r="P4933" s="33">
        <f t="shared" si="308"/>
        <v>0</v>
      </c>
      <c r="Q4933" s="31" t="str">
        <f t="shared" si="309"/>
        <v/>
      </c>
      <c r="R4933" s="32" t="str">
        <f>IFERROR(VLOOKUP($D4933,'Informations sur les produits'!$A$3:$B$15000,2,FALSE),"")</f>
        <v/>
      </c>
      <c r="V4933">
        <f t="shared" si="310"/>
        <v>0</v>
      </c>
      <c r="W4933">
        <f t="shared" si="311"/>
        <v>0</v>
      </c>
    </row>
    <row r="4934" spans="5:23" x14ac:dyDescent="0.25">
      <c r="E4934" s="4"/>
      <c r="F4934" s="4"/>
      <c r="G4934" s="33" t="str">
        <f>IFERROR(VLOOKUP($D4934,'Informations sur les produits'!$A$3:$H$10000,8,FALSE),"0")</f>
        <v>0</v>
      </c>
      <c r="K4934" s="4"/>
      <c r="L4934" s="33" t="str">
        <f>IFERROR(VLOOKUP($J4934,'Informations sur les produits'!$A$3:$H$10000,8,FALSE),"0")</f>
        <v>0</v>
      </c>
      <c r="N4934" s="8"/>
      <c r="O4934" s="33" t="str">
        <f>IFERROR(VLOOKUP($M4934,'Informations sur les produits'!$A$3:$H$10000,8,FALSE),"0")</f>
        <v>0</v>
      </c>
      <c r="P4934" s="33">
        <f t="shared" si="308"/>
        <v>0</v>
      </c>
      <c r="Q4934" s="31" t="str">
        <f t="shared" si="309"/>
        <v/>
      </c>
      <c r="R4934" s="32" t="str">
        <f>IFERROR(VLOOKUP($D4934,'Informations sur les produits'!$A$3:$B$15000,2,FALSE),"")</f>
        <v/>
      </c>
      <c r="V4934">
        <f t="shared" si="310"/>
        <v>0</v>
      </c>
      <c r="W4934">
        <f t="shared" si="311"/>
        <v>0</v>
      </c>
    </row>
    <row r="4935" spans="5:23" x14ac:dyDescent="0.25">
      <c r="E4935" s="4"/>
      <c r="F4935" s="4"/>
      <c r="G4935" s="33" t="str">
        <f>IFERROR(VLOOKUP($D4935,'Informations sur les produits'!$A$3:$H$10000,8,FALSE),"0")</f>
        <v>0</v>
      </c>
      <c r="K4935" s="4"/>
      <c r="L4935" s="33" t="str">
        <f>IFERROR(VLOOKUP($J4935,'Informations sur les produits'!$A$3:$H$10000,8,FALSE),"0")</f>
        <v>0</v>
      </c>
      <c r="N4935" s="8"/>
      <c r="O4935" s="33" t="str">
        <f>IFERROR(VLOOKUP($M4935,'Informations sur les produits'!$A$3:$H$10000,8,FALSE),"0")</f>
        <v>0</v>
      </c>
      <c r="P4935" s="33">
        <f t="shared" si="308"/>
        <v>0</v>
      </c>
      <c r="Q4935" s="31" t="str">
        <f t="shared" si="309"/>
        <v/>
      </c>
      <c r="R4935" s="32" t="str">
        <f>IFERROR(VLOOKUP($D4935,'Informations sur les produits'!$A$3:$B$15000,2,FALSE),"")</f>
        <v/>
      </c>
      <c r="V4935">
        <f t="shared" si="310"/>
        <v>0</v>
      </c>
      <c r="W4935">
        <f t="shared" si="311"/>
        <v>0</v>
      </c>
    </row>
    <row r="4936" spans="5:23" x14ac:dyDescent="0.25">
      <c r="E4936" s="4"/>
      <c r="F4936" s="4"/>
      <c r="G4936" s="33" t="str">
        <f>IFERROR(VLOOKUP($D4936,'Informations sur les produits'!$A$3:$H$10000,8,FALSE),"0")</f>
        <v>0</v>
      </c>
      <c r="K4936" s="4"/>
      <c r="L4936" s="33" t="str">
        <f>IFERROR(VLOOKUP($J4936,'Informations sur les produits'!$A$3:$H$10000,8,FALSE),"0")</f>
        <v>0</v>
      </c>
      <c r="N4936" s="8"/>
      <c r="O4936" s="33" t="str">
        <f>IFERROR(VLOOKUP($M4936,'Informations sur les produits'!$A$3:$H$10000,8,FALSE),"0")</f>
        <v>0</v>
      </c>
      <c r="P4936" s="33">
        <f t="shared" si="308"/>
        <v>0</v>
      </c>
      <c r="Q4936" s="31" t="str">
        <f t="shared" si="309"/>
        <v/>
      </c>
      <c r="R4936" s="32" t="str">
        <f>IFERROR(VLOOKUP($D4936,'Informations sur les produits'!$A$3:$B$15000,2,FALSE),"")</f>
        <v/>
      </c>
      <c r="V4936">
        <f t="shared" si="310"/>
        <v>0</v>
      </c>
      <c r="W4936">
        <f t="shared" si="311"/>
        <v>0</v>
      </c>
    </row>
    <row r="4937" spans="5:23" x14ac:dyDescent="0.25">
      <c r="E4937" s="4"/>
      <c r="F4937" s="4"/>
      <c r="G4937" s="33" t="str">
        <f>IFERROR(VLOOKUP($D4937,'Informations sur les produits'!$A$3:$H$10000,8,FALSE),"0")</f>
        <v>0</v>
      </c>
      <c r="K4937" s="4"/>
      <c r="L4937" s="33" t="str">
        <f>IFERROR(VLOOKUP($J4937,'Informations sur les produits'!$A$3:$H$10000,8,FALSE),"0")</f>
        <v>0</v>
      </c>
      <c r="N4937" s="8"/>
      <c r="O4937" s="33" t="str">
        <f>IFERROR(VLOOKUP($M4937,'Informations sur les produits'!$A$3:$H$10000,8,FALSE),"0")</f>
        <v>0</v>
      </c>
      <c r="P4937" s="33">
        <f t="shared" si="308"/>
        <v>0</v>
      </c>
      <c r="Q4937" s="31" t="str">
        <f t="shared" si="309"/>
        <v/>
      </c>
      <c r="R4937" s="32" t="str">
        <f>IFERROR(VLOOKUP($D4937,'Informations sur les produits'!$A$3:$B$15000,2,FALSE),"")</f>
        <v/>
      </c>
      <c r="V4937">
        <f t="shared" si="310"/>
        <v>0</v>
      </c>
      <c r="W4937">
        <f t="shared" si="311"/>
        <v>0</v>
      </c>
    </row>
    <row r="4938" spans="5:23" x14ac:dyDescent="0.25">
      <c r="E4938" s="4"/>
      <c r="F4938" s="4"/>
      <c r="G4938" s="33" t="str">
        <f>IFERROR(VLOOKUP($D4938,'Informations sur les produits'!$A$3:$H$10000,8,FALSE),"0")</f>
        <v>0</v>
      </c>
      <c r="K4938" s="4"/>
      <c r="L4938" s="33" t="str">
        <f>IFERROR(VLOOKUP($J4938,'Informations sur les produits'!$A$3:$H$10000,8,FALSE),"0")</f>
        <v>0</v>
      </c>
      <c r="N4938" s="8"/>
      <c r="O4938" s="33" t="str">
        <f>IFERROR(VLOOKUP($M4938,'Informations sur les produits'!$A$3:$H$10000,8,FALSE),"0")</f>
        <v>0</v>
      </c>
      <c r="P4938" s="33">
        <f t="shared" si="308"/>
        <v>0</v>
      </c>
      <c r="Q4938" s="31" t="str">
        <f t="shared" si="309"/>
        <v/>
      </c>
      <c r="R4938" s="32" t="str">
        <f>IFERROR(VLOOKUP($D4938,'Informations sur les produits'!$A$3:$B$15000,2,FALSE),"")</f>
        <v/>
      </c>
      <c r="V4938">
        <f t="shared" si="310"/>
        <v>0</v>
      </c>
      <c r="W4938">
        <f t="shared" si="311"/>
        <v>0</v>
      </c>
    </row>
    <row r="4939" spans="5:23" x14ac:dyDescent="0.25">
      <c r="E4939" s="4"/>
      <c r="F4939" s="4"/>
      <c r="G4939" s="33" t="str">
        <f>IFERROR(VLOOKUP($D4939,'Informations sur les produits'!$A$3:$H$10000,8,FALSE),"0")</f>
        <v>0</v>
      </c>
      <c r="K4939" s="4"/>
      <c r="L4939" s="33" t="str">
        <f>IFERROR(VLOOKUP($J4939,'Informations sur les produits'!$A$3:$H$10000,8,FALSE),"0")</f>
        <v>0</v>
      </c>
      <c r="N4939" s="8"/>
      <c r="O4939" s="33" t="str">
        <f>IFERROR(VLOOKUP($M4939,'Informations sur les produits'!$A$3:$H$10000,8,FALSE),"0")</f>
        <v>0</v>
      </c>
      <c r="P4939" s="33">
        <f t="shared" si="308"/>
        <v>0</v>
      </c>
      <c r="Q4939" s="31" t="str">
        <f t="shared" si="309"/>
        <v/>
      </c>
      <c r="R4939" s="32" t="str">
        <f>IFERROR(VLOOKUP($D4939,'Informations sur les produits'!$A$3:$B$15000,2,FALSE),"")</f>
        <v/>
      </c>
      <c r="V4939">
        <f t="shared" si="310"/>
        <v>0</v>
      </c>
      <c r="W4939">
        <f t="shared" si="311"/>
        <v>0</v>
      </c>
    </row>
    <row r="4940" spans="5:23" x14ac:dyDescent="0.25">
      <c r="E4940" s="4"/>
      <c r="F4940" s="4"/>
      <c r="G4940" s="33" t="str">
        <f>IFERROR(VLOOKUP($D4940,'Informations sur les produits'!$A$3:$H$10000,8,FALSE),"0")</f>
        <v>0</v>
      </c>
      <c r="K4940" s="4"/>
      <c r="L4940" s="33" t="str">
        <f>IFERROR(VLOOKUP($J4940,'Informations sur les produits'!$A$3:$H$10000,8,FALSE),"0")</f>
        <v>0</v>
      </c>
      <c r="N4940" s="8"/>
      <c r="O4940" s="33" t="str">
        <f>IFERROR(VLOOKUP($M4940,'Informations sur les produits'!$A$3:$H$10000,8,FALSE),"0")</f>
        <v>0</v>
      </c>
      <c r="P4940" s="33">
        <f t="shared" si="308"/>
        <v>0</v>
      </c>
      <c r="Q4940" s="31" t="str">
        <f t="shared" si="309"/>
        <v/>
      </c>
      <c r="R4940" s="32" t="str">
        <f>IFERROR(VLOOKUP($D4940,'Informations sur les produits'!$A$3:$B$15000,2,FALSE),"")</f>
        <v/>
      </c>
      <c r="V4940">
        <f t="shared" si="310"/>
        <v>0</v>
      </c>
      <c r="W4940">
        <f t="shared" si="311"/>
        <v>0</v>
      </c>
    </row>
    <row r="4941" spans="5:23" x14ac:dyDescent="0.25">
      <c r="E4941" s="4"/>
      <c r="F4941" s="4"/>
      <c r="G4941" s="33" t="str">
        <f>IFERROR(VLOOKUP($D4941,'Informations sur les produits'!$A$3:$H$10000,8,FALSE),"0")</f>
        <v>0</v>
      </c>
      <c r="K4941" s="4"/>
      <c r="L4941" s="33" t="str">
        <f>IFERROR(VLOOKUP($J4941,'Informations sur les produits'!$A$3:$H$10000,8,FALSE),"0")</f>
        <v>0</v>
      </c>
      <c r="N4941" s="8"/>
      <c r="O4941" s="33" t="str">
        <f>IFERROR(VLOOKUP($M4941,'Informations sur les produits'!$A$3:$H$10000,8,FALSE),"0")</f>
        <v>0</v>
      </c>
      <c r="P4941" s="33">
        <f t="shared" si="308"/>
        <v>0</v>
      </c>
      <c r="Q4941" s="31" t="str">
        <f t="shared" si="309"/>
        <v/>
      </c>
      <c r="R4941" s="32" t="str">
        <f>IFERROR(VLOOKUP($D4941,'Informations sur les produits'!$A$3:$B$15000,2,FALSE),"")</f>
        <v/>
      </c>
      <c r="V4941">
        <f t="shared" si="310"/>
        <v>0</v>
      </c>
      <c r="W4941">
        <f t="shared" si="311"/>
        <v>0</v>
      </c>
    </row>
    <row r="4942" spans="5:23" x14ac:dyDescent="0.25">
      <c r="E4942" s="4"/>
      <c r="F4942" s="4"/>
      <c r="G4942" s="33" t="str">
        <f>IFERROR(VLOOKUP($D4942,'Informations sur les produits'!$A$3:$H$10000,8,FALSE),"0")</f>
        <v>0</v>
      </c>
      <c r="K4942" s="4"/>
      <c r="L4942" s="33" t="str">
        <f>IFERROR(VLOOKUP($J4942,'Informations sur les produits'!$A$3:$H$10000,8,FALSE),"0")</f>
        <v>0</v>
      </c>
      <c r="N4942" s="8"/>
      <c r="O4942" s="33" t="str">
        <f>IFERROR(VLOOKUP($M4942,'Informations sur les produits'!$A$3:$H$10000,8,FALSE),"0")</f>
        <v>0</v>
      </c>
      <c r="P4942" s="33">
        <f t="shared" si="308"/>
        <v>0</v>
      </c>
      <c r="Q4942" s="31" t="str">
        <f t="shared" si="309"/>
        <v/>
      </c>
      <c r="R4942" s="32" t="str">
        <f>IFERROR(VLOOKUP($D4942,'Informations sur les produits'!$A$3:$B$15000,2,FALSE),"")</f>
        <v/>
      </c>
      <c r="V4942">
        <f t="shared" si="310"/>
        <v>0</v>
      </c>
      <c r="W4942">
        <f t="shared" si="311"/>
        <v>0</v>
      </c>
    </row>
    <row r="4943" spans="5:23" x14ac:dyDescent="0.25">
      <c r="E4943" s="4"/>
      <c r="F4943" s="4"/>
      <c r="G4943" s="33" t="str">
        <f>IFERROR(VLOOKUP($D4943,'Informations sur les produits'!$A$3:$H$10000,8,FALSE),"0")</f>
        <v>0</v>
      </c>
      <c r="K4943" s="4"/>
      <c r="L4943" s="33" t="str">
        <f>IFERROR(VLOOKUP($J4943,'Informations sur les produits'!$A$3:$H$10000,8,FALSE),"0")</f>
        <v>0</v>
      </c>
      <c r="N4943" s="8"/>
      <c r="O4943" s="33" t="str">
        <f>IFERROR(VLOOKUP($M4943,'Informations sur les produits'!$A$3:$H$10000,8,FALSE),"0")</f>
        <v>0</v>
      </c>
      <c r="P4943" s="33">
        <f t="shared" si="308"/>
        <v>0</v>
      </c>
      <c r="Q4943" s="31" t="str">
        <f t="shared" si="309"/>
        <v/>
      </c>
      <c r="R4943" s="32" t="str">
        <f>IFERROR(VLOOKUP($D4943,'Informations sur les produits'!$A$3:$B$15000,2,FALSE),"")</f>
        <v/>
      </c>
      <c r="V4943">
        <f t="shared" si="310"/>
        <v>0</v>
      </c>
      <c r="W4943">
        <f t="shared" si="311"/>
        <v>0</v>
      </c>
    </row>
    <row r="4944" spans="5:23" x14ac:dyDescent="0.25">
      <c r="E4944" s="4"/>
      <c r="F4944" s="4"/>
      <c r="G4944" s="33" t="str">
        <f>IFERROR(VLOOKUP($D4944,'Informations sur les produits'!$A$3:$H$10000,8,FALSE),"0")</f>
        <v>0</v>
      </c>
      <c r="K4944" s="4"/>
      <c r="L4944" s="33" t="str">
        <f>IFERROR(VLOOKUP($J4944,'Informations sur les produits'!$A$3:$H$10000,8,FALSE),"0")</f>
        <v>0</v>
      </c>
      <c r="N4944" s="8"/>
      <c r="O4944" s="33" t="str">
        <f>IFERROR(VLOOKUP($M4944,'Informations sur les produits'!$A$3:$H$10000,8,FALSE),"0")</f>
        <v>0</v>
      </c>
      <c r="P4944" s="33">
        <f t="shared" si="308"/>
        <v>0</v>
      </c>
      <c r="Q4944" s="31" t="str">
        <f t="shared" si="309"/>
        <v/>
      </c>
      <c r="R4944" s="32" t="str">
        <f>IFERROR(VLOOKUP($D4944,'Informations sur les produits'!$A$3:$B$15000,2,FALSE),"")</f>
        <v/>
      </c>
      <c r="V4944">
        <f t="shared" si="310"/>
        <v>0</v>
      </c>
      <c r="W4944">
        <f t="shared" si="311"/>
        <v>0</v>
      </c>
    </row>
    <row r="4945" spans="5:23" x14ac:dyDescent="0.25">
      <c r="E4945" s="4"/>
      <c r="F4945" s="4"/>
      <c r="G4945" s="33" t="str">
        <f>IFERROR(VLOOKUP($D4945,'Informations sur les produits'!$A$3:$H$10000,8,FALSE),"0")</f>
        <v>0</v>
      </c>
      <c r="K4945" s="4"/>
      <c r="L4945" s="33" t="str">
        <f>IFERROR(VLOOKUP($J4945,'Informations sur les produits'!$A$3:$H$10000,8,FALSE),"0")</f>
        <v>0</v>
      </c>
      <c r="N4945" s="8"/>
      <c r="O4945" s="33" t="str">
        <f>IFERROR(VLOOKUP($M4945,'Informations sur les produits'!$A$3:$H$10000,8,FALSE),"0")</f>
        <v>0</v>
      </c>
      <c r="P4945" s="33">
        <f t="shared" si="308"/>
        <v>0</v>
      </c>
      <c r="Q4945" s="31" t="str">
        <f t="shared" si="309"/>
        <v/>
      </c>
      <c r="R4945" s="32" t="str">
        <f>IFERROR(VLOOKUP($D4945,'Informations sur les produits'!$A$3:$B$15000,2,FALSE),"")</f>
        <v/>
      </c>
      <c r="V4945">
        <f t="shared" si="310"/>
        <v>0</v>
      </c>
      <c r="W4945">
        <f t="shared" si="311"/>
        <v>0</v>
      </c>
    </row>
    <row r="4946" spans="5:23" x14ac:dyDescent="0.25">
      <c r="E4946" s="4"/>
      <c r="F4946" s="4"/>
      <c r="G4946" s="33" t="str">
        <f>IFERROR(VLOOKUP($D4946,'Informations sur les produits'!$A$3:$H$10000,8,FALSE),"0")</f>
        <v>0</v>
      </c>
      <c r="K4946" s="4"/>
      <c r="L4946" s="33" t="str">
        <f>IFERROR(VLOOKUP($J4946,'Informations sur les produits'!$A$3:$H$10000,8,FALSE),"0")</f>
        <v>0</v>
      </c>
      <c r="N4946" s="8"/>
      <c r="O4946" s="33" t="str">
        <f>IFERROR(VLOOKUP($M4946,'Informations sur les produits'!$A$3:$H$10000,8,FALSE),"0")</f>
        <v>0</v>
      </c>
      <c r="P4946" s="33">
        <f t="shared" si="308"/>
        <v>0</v>
      </c>
      <c r="Q4946" s="31" t="str">
        <f t="shared" si="309"/>
        <v/>
      </c>
      <c r="R4946" s="32" t="str">
        <f>IFERROR(VLOOKUP($D4946,'Informations sur les produits'!$A$3:$B$15000,2,FALSE),"")</f>
        <v/>
      </c>
      <c r="V4946">
        <f t="shared" si="310"/>
        <v>0</v>
      </c>
      <c r="W4946">
        <f t="shared" si="311"/>
        <v>0</v>
      </c>
    </row>
    <row r="4947" spans="5:23" x14ac:dyDescent="0.25">
      <c r="E4947" s="4"/>
      <c r="F4947" s="4"/>
      <c r="G4947" s="33" t="str">
        <f>IFERROR(VLOOKUP($D4947,'Informations sur les produits'!$A$3:$H$10000,8,FALSE),"0")</f>
        <v>0</v>
      </c>
      <c r="K4947" s="4"/>
      <c r="L4947" s="33" t="str">
        <f>IFERROR(VLOOKUP($J4947,'Informations sur les produits'!$A$3:$H$10000,8,FALSE),"0")</f>
        <v>0</v>
      </c>
      <c r="N4947" s="8"/>
      <c r="O4947" s="33" t="str">
        <f>IFERROR(VLOOKUP($M4947,'Informations sur les produits'!$A$3:$H$10000,8,FALSE),"0")</f>
        <v>0</v>
      </c>
      <c r="P4947" s="33">
        <f t="shared" si="308"/>
        <v>0</v>
      </c>
      <c r="Q4947" s="31" t="str">
        <f t="shared" si="309"/>
        <v/>
      </c>
      <c r="R4947" s="32" t="str">
        <f>IFERROR(VLOOKUP($D4947,'Informations sur les produits'!$A$3:$B$15000,2,FALSE),"")</f>
        <v/>
      </c>
      <c r="V4947">
        <f t="shared" si="310"/>
        <v>0</v>
      </c>
      <c r="W4947">
        <f t="shared" si="311"/>
        <v>0</v>
      </c>
    </row>
    <row r="4948" spans="5:23" x14ac:dyDescent="0.25">
      <c r="E4948" s="4"/>
      <c r="F4948" s="4"/>
      <c r="G4948" s="33" t="str">
        <f>IFERROR(VLOOKUP($D4948,'Informations sur les produits'!$A$3:$H$10000,8,FALSE),"0")</f>
        <v>0</v>
      </c>
      <c r="K4948" s="4"/>
      <c r="L4948" s="33" t="str">
        <f>IFERROR(VLOOKUP($J4948,'Informations sur les produits'!$A$3:$H$10000,8,FALSE),"0")</f>
        <v>0</v>
      </c>
      <c r="N4948" s="8"/>
      <c r="O4948" s="33" t="str">
        <f>IFERROR(VLOOKUP($M4948,'Informations sur les produits'!$A$3:$H$10000,8,FALSE),"0")</f>
        <v>0</v>
      </c>
      <c r="P4948" s="33">
        <f t="shared" si="308"/>
        <v>0</v>
      </c>
      <c r="Q4948" s="31" t="str">
        <f t="shared" si="309"/>
        <v/>
      </c>
      <c r="R4948" s="32" t="str">
        <f>IFERROR(VLOOKUP($D4948,'Informations sur les produits'!$A$3:$B$15000,2,FALSE),"")</f>
        <v/>
      </c>
      <c r="V4948">
        <f t="shared" si="310"/>
        <v>0</v>
      </c>
      <c r="W4948">
        <f t="shared" si="311"/>
        <v>0</v>
      </c>
    </row>
    <row r="4949" spans="5:23" x14ac:dyDescent="0.25">
      <c r="E4949" s="4"/>
      <c r="F4949" s="4"/>
      <c r="G4949" s="33" t="str">
        <f>IFERROR(VLOOKUP($D4949,'Informations sur les produits'!$A$3:$H$10000,8,FALSE),"0")</f>
        <v>0</v>
      </c>
      <c r="K4949" s="4"/>
      <c r="L4949" s="33" t="str">
        <f>IFERROR(VLOOKUP($J4949,'Informations sur les produits'!$A$3:$H$10000,8,FALSE),"0")</f>
        <v>0</v>
      </c>
      <c r="N4949" s="8"/>
      <c r="O4949" s="33" t="str">
        <f>IFERROR(VLOOKUP($M4949,'Informations sur les produits'!$A$3:$H$10000,8,FALSE),"0")</f>
        <v>0</v>
      </c>
      <c r="P4949" s="33">
        <f t="shared" si="308"/>
        <v>0</v>
      </c>
      <c r="Q4949" s="31" t="str">
        <f t="shared" si="309"/>
        <v/>
      </c>
      <c r="R4949" s="32" t="str">
        <f>IFERROR(VLOOKUP($D4949,'Informations sur les produits'!$A$3:$B$15000,2,FALSE),"")</f>
        <v/>
      </c>
      <c r="V4949">
        <f t="shared" si="310"/>
        <v>0</v>
      </c>
      <c r="W4949">
        <f t="shared" si="311"/>
        <v>0</v>
      </c>
    </row>
    <row r="4950" spans="5:23" x14ac:dyDescent="0.25">
      <c r="E4950" s="4"/>
      <c r="F4950" s="4"/>
      <c r="G4950" s="33" t="str">
        <f>IFERROR(VLOOKUP($D4950,'Informations sur les produits'!$A$3:$H$10000,8,FALSE),"0")</f>
        <v>0</v>
      </c>
      <c r="K4950" s="4"/>
      <c r="L4950" s="33" t="str">
        <f>IFERROR(VLOOKUP($J4950,'Informations sur les produits'!$A$3:$H$10000,8,FALSE),"0")</f>
        <v>0</v>
      </c>
      <c r="N4950" s="8"/>
      <c r="O4950" s="33" t="str">
        <f>IFERROR(VLOOKUP($M4950,'Informations sur les produits'!$A$3:$H$10000,8,FALSE),"0")</f>
        <v>0</v>
      </c>
      <c r="P4950" s="33">
        <f t="shared" si="308"/>
        <v>0</v>
      </c>
      <c r="Q4950" s="31" t="str">
        <f t="shared" si="309"/>
        <v/>
      </c>
      <c r="R4950" s="32" t="str">
        <f>IFERROR(VLOOKUP($D4950,'Informations sur les produits'!$A$3:$B$15000,2,FALSE),"")</f>
        <v/>
      </c>
      <c r="V4950">
        <f t="shared" si="310"/>
        <v>0</v>
      </c>
      <c r="W4950">
        <f t="shared" si="311"/>
        <v>0</v>
      </c>
    </row>
    <row r="4951" spans="5:23" x14ac:dyDescent="0.25">
      <c r="E4951" s="4"/>
      <c r="F4951" s="4"/>
      <c r="G4951" s="33" t="str">
        <f>IFERROR(VLOOKUP($D4951,'Informations sur les produits'!$A$3:$H$10000,8,FALSE),"0")</f>
        <v>0</v>
      </c>
      <c r="K4951" s="4"/>
      <c r="L4951" s="33" t="str">
        <f>IFERROR(VLOOKUP($J4951,'Informations sur les produits'!$A$3:$H$10000,8,FALSE),"0")</f>
        <v>0</v>
      </c>
      <c r="N4951" s="8"/>
      <c r="O4951" s="33" t="str">
        <f>IFERROR(VLOOKUP($M4951,'Informations sur les produits'!$A$3:$H$10000,8,FALSE),"0")</f>
        <v>0</v>
      </c>
      <c r="P4951" s="33">
        <f t="shared" si="308"/>
        <v>0</v>
      </c>
      <c r="Q4951" s="31" t="str">
        <f t="shared" si="309"/>
        <v/>
      </c>
      <c r="R4951" s="32" t="str">
        <f>IFERROR(VLOOKUP($D4951,'Informations sur les produits'!$A$3:$B$15000,2,FALSE),"")</f>
        <v/>
      </c>
      <c r="V4951">
        <f t="shared" si="310"/>
        <v>0</v>
      </c>
      <c r="W4951">
        <f t="shared" si="311"/>
        <v>0</v>
      </c>
    </row>
    <row r="4952" spans="5:23" x14ac:dyDescent="0.25">
      <c r="E4952" s="4"/>
      <c r="F4952" s="4"/>
      <c r="G4952" s="33" t="str">
        <f>IFERROR(VLOOKUP($D4952,'Informations sur les produits'!$A$3:$H$10000,8,FALSE),"0")</f>
        <v>0</v>
      </c>
      <c r="K4952" s="4"/>
      <c r="L4952" s="33" t="str">
        <f>IFERROR(VLOOKUP($J4952,'Informations sur les produits'!$A$3:$H$10000,8,FALSE),"0")</f>
        <v>0</v>
      </c>
      <c r="N4952" s="8"/>
      <c r="O4952" s="33" t="str">
        <f>IFERROR(VLOOKUP($M4952,'Informations sur les produits'!$A$3:$H$10000,8,FALSE),"0")</f>
        <v>0</v>
      </c>
      <c r="P4952" s="33">
        <f t="shared" si="308"/>
        <v>0</v>
      </c>
      <c r="Q4952" s="31" t="str">
        <f t="shared" si="309"/>
        <v/>
      </c>
      <c r="R4952" s="32" t="str">
        <f>IFERROR(VLOOKUP($D4952,'Informations sur les produits'!$A$3:$B$15000,2,FALSE),"")</f>
        <v/>
      </c>
      <c r="V4952">
        <f t="shared" si="310"/>
        <v>0</v>
      </c>
      <c r="W4952">
        <f t="shared" si="311"/>
        <v>0</v>
      </c>
    </row>
    <row r="4953" spans="5:23" x14ac:dyDescent="0.25">
      <c r="E4953" s="4"/>
      <c r="F4953" s="4"/>
      <c r="G4953" s="33" t="str">
        <f>IFERROR(VLOOKUP($D4953,'Informations sur les produits'!$A$3:$H$10000,8,FALSE),"0")</f>
        <v>0</v>
      </c>
      <c r="K4953" s="4"/>
      <c r="L4953" s="33" t="str">
        <f>IFERROR(VLOOKUP($J4953,'Informations sur les produits'!$A$3:$H$10000,8,FALSE),"0")</f>
        <v>0</v>
      </c>
      <c r="N4953" s="8"/>
      <c r="O4953" s="33" t="str">
        <f>IFERROR(VLOOKUP($M4953,'Informations sur les produits'!$A$3:$H$10000,8,FALSE),"0")</f>
        <v>0</v>
      </c>
      <c r="P4953" s="33">
        <f t="shared" si="308"/>
        <v>0</v>
      </c>
      <c r="Q4953" s="31" t="str">
        <f t="shared" si="309"/>
        <v/>
      </c>
      <c r="R4953" s="32" t="str">
        <f>IFERROR(VLOOKUP($D4953,'Informations sur les produits'!$A$3:$B$15000,2,FALSE),"")</f>
        <v/>
      </c>
      <c r="V4953">
        <f t="shared" si="310"/>
        <v>0</v>
      </c>
      <c r="W4953">
        <f t="shared" si="311"/>
        <v>0</v>
      </c>
    </row>
    <row r="4954" spans="5:23" x14ac:dyDescent="0.25">
      <c r="E4954" s="4"/>
      <c r="F4954" s="4"/>
      <c r="G4954" s="33" t="str">
        <f>IFERROR(VLOOKUP($D4954,'Informations sur les produits'!$A$3:$H$10000,8,FALSE),"0")</f>
        <v>0</v>
      </c>
      <c r="K4954" s="4"/>
      <c r="L4954" s="33" t="str">
        <f>IFERROR(VLOOKUP($J4954,'Informations sur les produits'!$A$3:$H$10000,8,FALSE),"0")</f>
        <v>0</v>
      </c>
      <c r="N4954" s="8"/>
      <c r="O4954" s="33" t="str">
        <f>IFERROR(VLOOKUP($M4954,'Informations sur les produits'!$A$3:$H$10000,8,FALSE),"0")</f>
        <v>0</v>
      </c>
      <c r="P4954" s="33">
        <f t="shared" si="308"/>
        <v>0</v>
      </c>
      <c r="Q4954" s="31" t="str">
        <f t="shared" si="309"/>
        <v/>
      </c>
      <c r="R4954" s="32" t="str">
        <f>IFERROR(VLOOKUP($D4954,'Informations sur les produits'!$A$3:$B$15000,2,FALSE),"")</f>
        <v/>
      </c>
      <c r="V4954">
        <f t="shared" si="310"/>
        <v>0</v>
      </c>
      <c r="W4954">
        <f t="shared" si="311"/>
        <v>0</v>
      </c>
    </row>
    <row r="4955" spans="5:23" x14ac:dyDescent="0.25">
      <c r="E4955" s="4"/>
      <c r="F4955" s="4"/>
      <c r="G4955" s="33" t="str">
        <f>IFERROR(VLOOKUP($D4955,'Informations sur les produits'!$A$3:$H$10000,8,FALSE),"0")</f>
        <v>0</v>
      </c>
      <c r="K4955" s="4"/>
      <c r="L4955" s="33" t="str">
        <f>IFERROR(VLOOKUP($J4955,'Informations sur les produits'!$A$3:$H$10000,8,FALSE),"0")</f>
        <v>0</v>
      </c>
      <c r="N4955" s="8"/>
      <c r="O4955" s="33" t="str">
        <f>IFERROR(VLOOKUP($M4955,'Informations sur les produits'!$A$3:$H$10000,8,FALSE),"0")</f>
        <v>0</v>
      </c>
      <c r="P4955" s="33">
        <f t="shared" si="308"/>
        <v>0</v>
      </c>
      <c r="Q4955" s="31" t="str">
        <f t="shared" si="309"/>
        <v/>
      </c>
      <c r="R4955" s="32" t="str">
        <f>IFERROR(VLOOKUP($D4955,'Informations sur les produits'!$A$3:$B$15000,2,FALSE),"")</f>
        <v/>
      </c>
      <c r="V4955">
        <f t="shared" si="310"/>
        <v>0</v>
      </c>
      <c r="W4955">
        <f t="shared" si="311"/>
        <v>0</v>
      </c>
    </row>
    <row r="4956" spans="5:23" x14ac:dyDescent="0.25">
      <c r="E4956" s="4"/>
      <c r="F4956" s="4"/>
      <c r="G4956" s="33" t="str">
        <f>IFERROR(VLOOKUP($D4956,'Informations sur les produits'!$A$3:$H$10000,8,FALSE),"0")</f>
        <v>0</v>
      </c>
      <c r="K4956" s="4"/>
      <c r="L4956" s="33" t="str">
        <f>IFERROR(VLOOKUP($J4956,'Informations sur les produits'!$A$3:$H$10000,8,FALSE),"0")</f>
        <v>0</v>
      </c>
      <c r="N4956" s="8"/>
      <c r="O4956" s="33" t="str">
        <f>IFERROR(VLOOKUP($M4956,'Informations sur les produits'!$A$3:$H$10000,8,FALSE),"0")</f>
        <v>0</v>
      </c>
      <c r="P4956" s="33">
        <f t="shared" si="308"/>
        <v>0</v>
      </c>
      <c r="Q4956" s="31" t="str">
        <f t="shared" si="309"/>
        <v/>
      </c>
      <c r="R4956" s="32" t="str">
        <f>IFERROR(VLOOKUP($D4956,'Informations sur les produits'!$A$3:$B$15000,2,FALSE),"")</f>
        <v/>
      </c>
      <c r="V4956">
        <f t="shared" si="310"/>
        <v>0</v>
      </c>
      <c r="W4956">
        <f t="shared" si="311"/>
        <v>0</v>
      </c>
    </row>
    <row r="4957" spans="5:23" x14ac:dyDescent="0.25">
      <c r="E4957" s="4"/>
      <c r="F4957" s="4"/>
      <c r="G4957" s="33" t="str">
        <f>IFERROR(VLOOKUP($D4957,'Informations sur les produits'!$A$3:$H$10000,8,FALSE),"0")</f>
        <v>0</v>
      </c>
      <c r="K4957" s="4"/>
      <c r="L4957" s="33" t="str">
        <f>IFERROR(VLOOKUP($J4957,'Informations sur les produits'!$A$3:$H$10000,8,FALSE),"0")</f>
        <v>0</v>
      </c>
      <c r="N4957" s="8"/>
      <c r="O4957" s="33" t="str">
        <f>IFERROR(VLOOKUP($M4957,'Informations sur les produits'!$A$3:$H$10000,8,FALSE),"0")</f>
        <v>0</v>
      </c>
      <c r="P4957" s="33">
        <f t="shared" si="308"/>
        <v>0</v>
      </c>
      <c r="Q4957" s="31" t="str">
        <f t="shared" si="309"/>
        <v/>
      </c>
      <c r="R4957" s="32" t="str">
        <f>IFERROR(VLOOKUP($D4957,'Informations sur les produits'!$A$3:$B$15000,2,FALSE),"")</f>
        <v/>
      </c>
      <c r="V4957">
        <f t="shared" si="310"/>
        <v>0</v>
      </c>
      <c r="W4957">
        <f t="shared" si="311"/>
        <v>0</v>
      </c>
    </row>
    <row r="4958" spans="5:23" x14ac:dyDescent="0.25">
      <c r="E4958" s="4"/>
      <c r="F4958" s="4"/>
      <c r="G4958" s="33" t="str">
        <f>IFERROR(VLOOKUP($D4958,'Informations sur les produits'!$A$3:$H$10000,8,FALSE),"0")</f>
        <v>0</v>
      </c>
      <c r="K4958" s="4"/>
      <c r="L4958" s="33" t="str">
        <f>IFERROR(VLOOKUP($J4958,'Informations sur les produits'!$A$3:$H$10000,8,FALSE),"0")</f>
        <v>0</v>
      </c>
      <c r="N4958" s="8"/>
      <c r="O4958" s="33" t="str">
        <f>IFERROR(VLOOKUP($M4958,'Informations sur les produits'!$A$3:$H$10000,8,FALSE),"0")</f>
        <v>0</v>
      </c>
      <c r="P4958" s="33">
        <f t="shared" si="308"/>
        <v>0</v>
      </c>
      <c r="Q4958" s="31" t="str">
        <f t="shared" si="309"/>
        <v/>
      </c>
      <c r="R4958" s="32" t="str">
        <f>IFERROR(VLOOKUP($D4958,'Informations sur les produits'!$A$3:$B$15000,2,FALSE),"")</f>
        <v/>
      </c>
      <c r="V4958">
        <f t="shared" si="310"/>
        <v>0</v>
      </c>
      <c r="W4958">
        <f t="shared" si="311"/>
        <v>0</v>
      </c>
    </row>
    <row r="4959" spans="5:23" x14ac:dyDescent="0.25">
      <c r="E4959" s="4"/>
      <c r="F4959" s="4"/>
      <c r="G4959" s="33" t="str">
        <f>IFERROR(VLOOKUP($D4959,'Informations sur les produits'!$A$3:$H$10000,8,FALSE),"0")</f>
        <v>0</v>
      </c>
      <c r="K4959" s="4"/>
      <c r="L4959" s="33" t="str">
        <f>IFERROR(VLOOKUP($J4959,'Informations sur les produits'!$A$3:$H$10000,8,FALSE),"0")</f>
        <v>0</v>
      </c>
      <c r="N4959" s="8"/>
      <c r="O4959" s="33" t="str">
        <f>IFERROR(VLOOKUP($M4959,'Informations sur les produits'!$A$3:$H$10000,8,FALSE),"0")</f>
        <v>0</v>
      </c>
      <c r="P4959" s="33">
        <f t="shared" si="308"/>
        <v>0</v>
      </c>
      <c r="Q4959" s="31" t="str">
        <f t="shared" si="309"/>
        <v/>
      </c>
      <c r="R4959" s="32" t="str">
        <f>IFERROR(VLOOKUP($D4959,'Informations sur les produits'!$A$3:$B$15000,2,FALSE),"")</f>
        <v/>
      </c>
      <c r="V4959">
        <f t="shared" si="310"/>
        <v>0</v>
      </c>
      <c r="W4959">
        <f t="shared" si="311"/>
        <v>0</v>
      </c>
    </row>
    <row r="4960" spans="5:23" x14ac:dyDescent="0.25">
      <c r="E4960" s="4"/>
      <c r="F4960" s="4"/>
      <c r="G4960" s="33" t="str">
        <f>IFERROR(VLOOKUP($D4960,'Informations sur les produits'!$A$3:$H$10000,8,FALSE),"0")</f>
        <v>0</v>
      </c>
      <c r="K4960" s="4"/>
      <c r="L4960" s="33" t="str">
        <f>IFERROR(VLOOKUP($J4960,'Informations sur les produits'!$A$3:$H$10000,8,FALSE),"0")</f>
        <v>0</v>
      </c>
      <c r="N4960" s="8"/>
      <c r="O4960" s="33" t="str">
        <f>IFERROR(VLOOKUP($M4960,'Informations sur les produits'!$A$3:$H$10000,8,FALSE),"0")</f>
        <v>0</v>
      </c>
      <c r="P4960" s="33">
        <f t="shared" si="308"/>
        <v>0</v>
      </c>
      <c r="Q4960" s="31" t="str">
        <f t="shared" si="309"/>
        <v/>
      </c>
      <c r="R4960" s="32" t="str">
        <f>IFERROR(VLOOKUP($D4960,'Informations sur les produits'!$A$3:$B$15000,2,FALSE),"")</f>
        <v/>
      </c>
      <c r="V4960">
        <f t="shared" si="310"/>
        <v>0</v>
      </c>
      <c r="W4960">
        <f t="shared" si="311"/>
        <v>0</v>
      </c>
    </row>
    <row r="4961" spans="5:23" x14ac:dyDescent="0.25">
      <c r="E4961" s="4"/>
      <c r="F4961" s="4"/>
      <c r="G4961" s="33" t="str">
        <f>IFERROR(VLOOKUP($D4961,'Informations sur les produits'!$A$3:$H$10000,8,FALSE),"0")</f>
        <v>0</v>
      </c>
      <c r="K4961" s="4"/>
      <c r="L4961" s="33" t="str">
        <f>IFERROR(VLOOKUP($J4961,'Informations sur les produits'!$A$3:$H$10000,8,FALSE),"0")</f>
        <v>0</v>
      </c>
      <c r="N4961" s="8"/>
      <c r="O4961" s="33" t="str">
        <f>IFERROR(VLOOKUP($M4961,'Informations sur les produits'!$A$3:$H$10000,8,FALSE),"0")</f>
        <v>0</v>
      </c>
      <c r="P4961" s="33">
        <f t="shared" si="308"/>
        <v>0</v>
      </c>
      <c r="Q4961" s="31" t="str">
        <f t="shared" si="309"/>
        <v/>
      </c>
      <c r="R4961" s="32" t="str">
        <f>IFERROR(VLOOKUP($D4961,'Informations sur les produits'!$A$3:$B$15000,2,FALSE),"")</f>
        <v/>
      </c>
      <c r="V4961">
        <f t="shared" si="310"/>
        <v>0</v>
      </c>
      <c r="W4961">
        <f t="shared" si="311"/>
        <v>0</v>
      </c>
    </row>
    <row r="4962" spans="5:23" x14ac:dyDescent="0.25">
      <c r="E4962" s="4"/>
      <c r="F4962" s="4"/>
      <c r="G4962" s="33" t="str">
        <f>IFERROR(VLOOKUP($D4962,'Informations sur les produits'!$A$3:$H$10000,8,FALSE),"0")</f>
        <v>0</v>
      </c>
      <c r="K4962" s="4"/>
      <c r="L4962" s="33" t="str">
        <f>IFERROR(VLOOKUP($J4962,'Informations sur les produits'!$A$3:$H$10000,8,FALSE),"0")</f>
        <v>0</v>
      </c>
      <c r="N4962" s="8"/>
      <c r="O4962" s="33" t="str">
        <f>IFERROR(VLOOKUP($M4962,'Informations sur les produits'!$A$3:$H$10000,8,FALSE),"0")</f>
        <v>0</v>
      </c>
      <c r="P4962" s="33">
        <f t="shared" si="308"/>
        <v>0</v>
      </c>
      <c r="Q4962" s="31" t="str">
        <f t="shared" si="309"/>
        <v/>
      </c>
      <c r="R4962" s="32" t="str">
        <f>IFERROR(VLOOKUP($D4962,'Informations sur les produits'!$A$3:$B$15000,2,FALSE),"")</f>
        <v/>
      </c>
      <c r="V4962">
        <f t="shared" si="310"/>
        <v>0</v>
      </c>
      <c r="W4962">
        <f t="shared" si="311"/>
        <v>0</v>
      </c>
    </row>
    <row r="4963" spans="5:23" x14ac:dyDescent="0.25">
      <c r="E4963" s="4"/>
      <c r="F4963" s="4"/>
      <c r="G4963" s="33" t="str">
        <f>IFERROR(VLOOKUP($D4963,'Informations sur les produits'!$A$3:$H$10000,8,FALSE),"0")</f>
        <v>0</v>
      </c>
      <c r="K4963" s="4"/>
      <c r="L4963" s="33" t="str">
        <f>IFERROR(VLOOKUP($J4963,'Informations sur les produits'!$A$3:$H$10000,8,FALSE),"0")</f>
        <v>0</v>
      </c>
      <c r="N4963" s="8"/>
      <c r="O4963" s="33" t="str">
        <f>IFERROR(VLOOKUP($M4963,'Informations sur les produits'!$A$3:$H$10000,8,FALSE),"0")</f>
        <v>0</v>
      </c>
      <c r="P4963" s="33">
        <f t="shared" si="308"/>
        <v>0</v>
      </c>
      <c r="Q4963" s="31" t="str">
        <f t="shared" si="309"/>
        <v/>
      </c>
      <c r="R4963" s="32" t="str">
        <f>IFERROR(VLOOKUP($D4963,'Informations sur les produits'!$A$3:$B$15000,2,FALSE),"")</f>
        <v/>
      </c>
      <c r="V4963">
        <f t="shared" si="310"/>
        <v>0</v>
      </c>
      <c r="W4963">
        <f t="shared" si="311"/>
        <v>0</v>
      </c>
    </row>
    <row r="4964" spans="5:23" x14ac:dyDescent="0.25">
      <c r="E4964" s="4"/>
      <c r="F4964" s="4"/>
      <c r="G4964" s="33" t="str">
        <f>IFERROR(VLOOKUP($D4964,'Informations sur les produits'!$A$3:$H$10000,8,FALSE),"0")</f>
        <v>0</v>
      </c>
      <c r="K4964" s="4"/>
      <c r="L4964" s="33" t="str">
        <f>IFERROR(VLOOKUP($J4964,'Informations sur les produits'!$A$3:$H$10000,8,FALSE),"0")</f>
        <v>0</v>
      </c>
      <c r="N4964" s="8"/>
      <c r="O4964" s="33" t="str">
        <f>IFERROR(VLOOKUP($M4964,'Informations sur les produits'!$A$3:$H$10000,8,FALSE),"0")</f>
        <v>0</v>
      </c>
      <c r="P4964" s="33">
        <f t="shared" si="308"/>
        <v>0</v>
      </c>
      <c r="Q4964" s="31" t="str">
        <f t="shared" si="309"/>
        <v/>
      </c>
      <c r="R4964" s="32" t="str">
        <f>IFERROR(VLOOKUP($D4964,'Informations sur les produits'!$A$3:$B$15000,2,FALSE),"")</f>
        <v/>
      </c>
      <c r="V4964">
        <f t="shared" si="310"/>
        <v>0</v>
      </c>
      <c r="W4964">
        <f t="shared" si="311"/>
        <v>0</v>
      </c>
    </row>
    <row r="4965" spans="5:23" x14ac:dyDescent="0.25">
      <c r="E4965" s="4"/>
      <c r="F4965" s="4"/>
      <c r="G4965" s="33" t="str">
        <f>IFERROR(VLOOKUP($D4965,'Informations sur les produits'!$A$3:$H$10000,8,FALSE),"0")</f>
        <v>0</v>
      </c>
      <c r="K4965" s="4"/>
      <c r="L4965" s="33" t="str">
        <f>IFERROR(VLOOKUP($J4965,'Informations sur les produits'!$A$3:$H$10000,8,FALSE),"0")</f>
        <v>0</v>
      </c>
      <c r="N4965" s="8"/>
      <c r="O4965" s="33" t="str">
        <f>IFERROR(VLOOKUP($M4965,'Informations sur les produits'!$A$3:$H$10000,8,FALSE),"0")</f>
        <v>0</v>
      </c>
      <c r="P4965" s="33">
        <f t="shared" si="308"/>
        <v>0</v>
      </c>
      <c r="Q4965" s="31" t="str">
        <f t="shared" si="309"/>
        <v/>
      </c>
      <c r="R4965" s="32" t="str">
        <f>IFERROR(VLOOKUP($D4965,'Informations sur les produits'!$A$3:$B$15000,2,FALSE),"")</f>
        <v/>
      </c>
      <c r="V4965">
        <f t="shared" si="310"/>
        <v>0</v>
      </c>
      <c r="W4965">
        <f t="shared" si="311"/>
        <v>0</v>
      </c>
    </row>
    <row r="4966" spans="5:23" x14ac:dyDescent="0.25">
      <c r="E4966" s="4"/>
      <c r="F4966" s="4"/>
      <c r="G4966" s="33" t="str">
        <f>IFERROR(VLOOKUP($D4966,'Informations sur les produits'!$A$3:$H$10000,8,FALSE),"0")</f>
        <v>0</v>
      </c>
      <c r="K4966" s="4"/>
      <c r="L4966" s="33" t="str">
        <f>IFERROR(VLOOKUP($J4966,'Informations sur les produits'!$A$3:$H$10000,8,FALSE),"0")</f>
        <v>0</v>
      </c>
      <c r="N4966" s="8"/>
      <c r="O4966" s="33" t="str">
        <f>IFERROR(VLOOKUP($M4966,'Informations sur les produits'!$A$3:$H$10000,8,FALSE),"0")</f>
        <v>0</v>
      </c>
      <c r="P4966" s="33">
        <f t="shared" si="308"/>
        <v>0</v>
      </c>
      <c r="Q4966" s="31" t="str">
        <f t="shared" si="309"/>
        <v/>
      </c>
      <c r="R4966" s="32" t="str">
        <f>IFERROR(VLOOKUP($D4966,'Informations sur les produits'!$A$3:$B$15000,2,FALSE),"")</f>
        <v/>
      </c>
      <c r="V4966">
        <f t="shared" si="310"/>
        <v>0</v>
      </c>
      <c r="W4966">
        <f t="shared" si="311"/>
        <v>0</v>
      </c>
    </row>
    <row r="4967" spans="5:23" x14ac:dyDescent="0.25">
      <c r="E4967" s="4"/>
      <c r="F4967" s="4"/>
      <c r="G4967" s="33" t="str">
        <f>IFERROR(VLOOKUP($D4967,'Informations sur les produits'!$A$3:$H$10000,8,FALSE),"0")</f>
        <v>0</v>
      </c>
      <c r="K4967" s="4"/>
      <c r="L4967" s="33" t="str">
        <f>IFERROR(VLOOKUP($J4967,'Informations sur les produits'!$A$3:$H$10000,8,FALSE),"0")</f>
        <v>0</v>
      </c>
      <c r="N4967" s="8"/>
      <c r="O4967" s="33" t="str">
        <f>IFERROR(VLOOKUP($M4967,'Informations sur les produits'!$A$3:$H$10000,8,FALSE),"0")</f>
        <v>0</v>
      </c>
      <c r="P4967" s="33">
        <f t="shared" si="308"/>
        <v>0</v>
      </c>
      <c r="Q4967" s="31" t="str">
        <f t="shared" si="309"/>
        <v/>
      </c>
      <c r="R4967" s="32" t="str">
        <f>IFERROR(VLOOKUP($D4967,'Informations sur les produits'!$A$3:$B$15000,2,FALSE),"")</f>
        <v/>
      </c>
      <c r="V4967">
        <f t="shared" si="310"/>
        <v>0</v>
      </c>
      <c r="W4967">
        <f t="shared" si="311"/>
        <v>0</v>
      </c>
    </row>
    <row r="4968" spans="5:23" x14ac:dyDescent="0.25">
      <c r="E4968" s="4"/>
      <c r="F4968" s="4"/>
      <c r="G4968" s="33" t="str">
        <f>IFERROR(VLOOKUP($D4968,'Informations sur les produits'!$A$3:$H$10000,8,FALSE),"0")</f>
        <v>0</v>
      </c>
      <c r="K4968" s="4"/>
      <c r="L4968" s="33" t="str">
        <f>IFERROR(VLOOKUP($J4968,'Informations sur les produits'!$A$3:$H$10000,8,FALSE),"0")</f>
        <v>0</v>
      </c>
      <c r="N4968" s="8"/>
      <c r="O4968" s="33" t="str">
        <f>IFERROR(VLOOKUP($M4968,'Informations sur les produits'!$A$3:$H$10000,8,FALSE),"0")</f>
        <v>0</v>
      </c>
      <c r="P4968" s="33">
        <f t="shared" si="308"/>
        <v>0</v>
      </c>
      <c r="Q4968" s="31" t="str">
        <f t="shared" si="309"/>
        <v/>
      </c>
      <c r="R4968" s="32" t="str">
        <f>IFERROR(VLOOKUP($D4968,'Informations sur les produits'!$A$3:$B$15000,2,FALSE),"")</f>
        <v/>
      </c>
      <c r="V4968">
        <f t="shared" si="310"/>
        <v>0</v>
      </c>
      <c r="W4968">
        <f t="shared" si="311"/>
        <v>0</v>
      </c>
    </row>
    <row r="4969" spans="5:23" x14ac:dyDescent="0.25">
      <c r="E4969" s="4"/>
      <c r="F4969" s="4"/>
      <c r="G4969" s="33" t="str">
        <f>IFERROR(VLOOKUP($D4969,'Informations sur les produits'!$A$3:$H$10000,8,FALSE),"0")</f>
        <v>0</v>
      </c>
      <c r="K4969" s="4"/>
      <c r="L4969" s="33" t="str">
        <f>IFERROR(VLOOKUP($J4969,'Informations sur les produits'!$A$3:$H$10000,8,FALSE),"0")</f>
        <v>0</v>
      </c>
      <c r="N4969" s="8"/>
      <c r="O4969" s="33" t="str">
        <f>IFERROR(VLOOKUP($M4969,'Informations sur les produits'!$A$3:$H$10000,8,FALSE),"0")</f>
        <v>0</v>
      </c>
      <c r="P4969" s="33">
        <f t="shared" si="308"/>
        <v>0</v>
      </c>
      <c r="Q4969" s="31" t="str">
        <f t="shared" si="309"/>
        <v/>
      </c>
      <c r="R4969" s="32" t="str">
        <f>IFERROR(VLOOKUP($D4969,'Informations sur les produits'!$A$3:$B$15000,2,FALSE),"")</f>
        <v/>
      </c>
      <c r="V4969">
        <f t="shared" si="310"/>
        <v>0</v>
      </c>
      <c r="W4969">
        <f t="shared" si="311"/>
        <v>0</v>
      </c>
    </row>
    <row r="4970" spans="5:23" x14ac:dyDescent="0.25">
      <c r="E4970" s="4"/>
      <c r="F4970" s="4"/>
      <c r="G4970" s="33" t="str">
        <f>IFERROR(VLOOKUP($D4970,'Informations sur les produits'!$A$3:$H$10000,8,FALSE),"0")</f>
        <v>0</v>
      </c>
      <c r="K4970" s="4"/>
      <c r="L4970" s="33" t="str">
        <f>IFERROR(VLOOKUP($J4970,'Informations sur les produits'!$A$3:$H$10000,8,FALSE),"0")</f>
        <v>0</v>
      </c>
      <c r="N4970" s="8"/>
      <c r="O4970" s="33" t="str">
        <f>IFERROR(VLOOKUP($M4970,'Informations sur les produits'!$A$3:$H$10000,8,FALSE),"0")</f>
        <v>0</v>
      </c>
      <c r="P4970" s="33">
        <f t="shared" si="308"/>
        <v>0</v>
      </c>
      <c r="Q4970" s="31" t="str">
        <f t="shared" si="309"/>
        <v/>
      </c>
      <c r="R4970" s="32" t="str">
        <f>IFERROR(VLOOKUP($D4970,'Informations sur les produits'!$A$3:$B$15000,2,FALSE),"")</f>
        <v/>
      </c>
      <c r="V4970">
        <f t="shared" si="310"/>
        <v>0</v>
      </c>
      <c r="W4970">
        <f t="shared" si="311"/>
        <v>0</v>
      </c>
    </row>
    <row r="4971" spans="5:23" x14ac:dyDescent="0.25">
      <c r="E4971" s="4"/>
      <c r="F4971" s="4"/>
      <c r="G4971" s="33" t="str">
        <f>IFERROR(VLOOKUP($D4971,'Informations sur les produits'!$A$3:$H$10000,8,FALSE),"0")</f>
        <v>0</v>
      </c>
      <c r="K4971" s="4"/>
      <c r="L4971" s="33" t="str">
        <f>IFERROR(VLOOKUP($J4971,'Informations sur les produits'!$A$3:$H$10000,8,FALSE),"0")</f>
        <v>0</v>
      </c>
      <c r="N4971" s="8"/>
      <c r="O4971" s="33" t="str">
        <f>IFERROR(VLOOKUP($M4971,'Informations sur les produits'!$A$3:$H$10000,8,FALSE),"0")</f>
        <v>0</v>
      </c>
      <c r="P4971" s="33">
        <f t="shared" si="308"/>
        <v>0</v>
      </c>
      <c r="Q4971" s="31" t="str">
        <f t="shared" si="309"/>
        <v/>
      </c>
      <c r="R4971" s="32" t="str">
        <f>IFERROR(VLOOKUP($D4971,'Informations sur les produits'!$A$3:$B$15000,2,FALSE),"")</f>
        <v/>
      </c>
      <c r="V4971">
        <f t="shared" si="310"/>
        <v>0</v>
      </c>
      <c r="W4971">
        <f t="shared" si="311"/>
        <v>0</v>
      </c>
    </row>
    <row r="4972" spans="5:23" x14ac:dyDescent="0.25">
      <c r="E4972" s="4"/>
      <c r="F4972" s="4"/>
      <c r="G4972" s="33" t="str">
        <f>IFERROR(VLOOKUP($D4972,'Informations sur les produits'!$A$3:$H$10000,8,FALSE),"0")</f>
        <v>0</v>
      </c>
      <c r="K4972" s="4"/>
      <c r="L4972" s="33" t="str">
        <f>IFERROR(VLOOKUP($J4972,'Informations sur les produits'!$A$3:$H$10000,8,FALSE),"0")</f>
        <v>0</v>
      </c>
      <c r="N4972" s="8"/>
      <c r="O4972" s="33" t="str">
        <f>IFERROR(VLOOKUP($M4972,'Informations sur les produits'!$A$3:$H$10000,8,FALSE),"0")</f>
        <v>0</v>
      </c>
      <c r="P4972" s="33">
        <f t="shared" si="308"/>
        <v>0</v>
      </c>
      <c r="Q4972" s="31" t="str">
        <f t="shared" si="309"/>
        <v/>
      </c>
      <c r="R4972" s="32" t="str">
        <f>IFERROR(VLOOKUP($D4972,'Informations sur les produits'!$A$3:$B$15000,2,FALSE),"")</f>
        <v/>
      </c>
      <c r="V4972">
        <f t="shared" si="310"/>
        <v>0</v>
      </c>
      <c r="W4972">
        <f t="shared" si="311"/>
        <v>0</v>
      </c>
    </row>
    <row r="4973" spans="5:23" x14ac:dyDescent="0.25">
      <c r="E4973" s="4"/>
      <c r="F4973" s="4"/>
      <c r="G4973" s="33" t="str">
        <f>IFERROR(VLOOKUP($D4973,'Informations sur les produits'!$A$3:$H$10000,8,FALSE),"0")</f>
        <v>0</v>
      </c>
      <c r="K4973" s="4"/>
      <c r="L4973" s="33" t="str">
        <f>IFERROR(VLOOKUP($J4973,'Informations sur les produits'!$A$3:$H$10000,8,FALSE),"0")</f>
        <v>0</v>
      </c>
      <c r="N4973" s="8"/>
      <c r="O4973" s="33" t="str">
        <f>IFERROR(VLOOKUP($M4973,'Informations sur les produits'!$A$3:$H$10000,8,FALSE),"0")</f>
        <v>0</v>
      </c>
      <c r="P4973" s="33">
        <f t="shared" si="308"/>
        <v>0</v>
      </c>
      <c r="Q4973" s="31" t="str">
        <f t="shared" si="309"/>
        <v/>
      </c>
      <c r="R4973" s="32" t="str">
        <f>IFERROR(VLOOKUP($D4973,'Informations sur les produits'!$A$3:$B$15000,2,FALSE),"")</f>
        <v/>
      </c>
      <c r="V4973">
        <f t="shared" si="310"/>
        <v>0</v>
      </c>
      <c r="W4973">
        <f t="shared" si="311"/>
        <v>0</v>
      </c>
    </row>
    <row r="4974" spans="5:23" x14ac:dyDescent="0.25">
      <c r="E4974" s="4"/>
      <c r="F4974" s="4"/>
      <c r="G4974" s="33" t="str">
        <f>IFERROR(VLOOKUP($D4974,'Informations sur les produits'!$A$3:$H$10000,8,FALSE),"0")</f>
        <v>0</v>
      </c>
      <c r="K4974" s="4"/>
      <c r="L4974" s="33" t="str">
        <f>IFERROR(VLOOKUP($J4974,'Informations sur les produits'!$A$3:$H$10000,8,FALSE),"0")</f>
        <v>0</v>
      </c>
      <c r="N4974" s="8"/>
      <c r="O4974" s="33" t="str">
        <f>IFERROR(VLOOKUP($M4974,'Informations sur les produits'!$A$3:$H$10000,8,FALSE),"0")</f>
        <v>0</v>
      </c>
      <c r="P4974" s="33">
        <f t="shared" si="308"/>
        <v>0</v>
      </c>
      <c r="Q4974" s="31" t="str">
        <f t="shared" si="309"/>
        <v/>
      </c>
      <c r="R4974" s="32" t="str">
        <f>IFERROR(VLOOKUP($D4974,'Informations sur les produits'!$A$3:$B$15000,2,FALSE),"")</f>
        <v/>
      </c>
      <c r="V4974">
        <f t="shared" si="310"/>
        <v>0</v>
      </c>
      <c r="W4974">
        <f t="shared" si="311"/>
        <v>0</v>
      </c>
    </row>
    <row r="4975" spans="5:23" x14ac:dyDescent="0.25">
      <c r="E4975" s="4"/>
      <c r="F4975" s="4"/>
      <c r="G4975" s="33" t="str">
        <f>IFERROR(VLOOKUP($D4975,'Informations sur les produits'!$A$3:$H$10000,8,FALSE),"0")</f>
        <v>0</v>
      </c>
      <c r="K4975" s="4"/>
      <c r="L4975" s="33" t="str">
        <f>IFERROR(VLOOKUP($J4975,'Informations sur les produits'!$A$3:$H$10000,8,FALSE),"0")</f>
        <v>0</v>
      </c>
      <c r="N4975" s="8"/>
      <c r="O4975" s="33" t="str">
        <f>IFERROR(VLOOKUP($M4975,'Informations sur les produits'!$A$3:$H$10000,8,FALSE),"0")</f>
        <v>0</v>
      </c>
      <c r="P4975" s="33">
        <f t="shared" si="308"/>
        <v>0</v>
      </c>
      <c r="Q4975" s="31" t="str">
        <f t="shared" si="309"/>
        <v/>
      </c>
      <c r="R4975" s="32" t="str">
        <f>IFERROR(VLOOKUP($D4975,'Informations sur les produits'!$A$3:$B$15000,2,FALSE),"")</f>
        <v/>
      </c>
      <c r="V4975">
        <f t="shared" si="310"/>
        <v>0</v>
      </c>
      <c r="W4975">
        <f t="shared" si="311"/>
        <v>0</v>
      </c>
    </row>
    <row r="4976" spans="5:23" x14ac:dyDescent="0.25">
      <c r="E4976" s="4"/>
      <c r="F4976" s="4"/>
      <c r="G4976" s="33" t="str">
        <f>IFERROR(VLOOKUP($D4976,'Informations sur les produits'!$A$3:$H$10000,8,FALSE),"0")</f>
        <v>0</v>
      </c>
      <c r="K4976" s="4"/>
      <c r="L4976" s="33" t="str">
        <f>IFERROR(VLOOKUP($J4976,'Informations sur les produits'!$A$3:$H$10000,8,FALSE),"0")</f>
        <v>0</v>
      </c>
      <c r="N4976" s="8"/>
      <c r="O4976" s="33" t="str">
        <f>IFERROR(VLOOKUP($M4976,'Informations sur les produits'!$A$3:$H$10000,8,FALSE),"0")</f>
        <v>0</v>
      </c>
      <c r="P4976" s="33">
        <f t="shared" si="308"/>
        <v>0</v>
      </c>
      <c r="Q4976" s="31" t="str">
        <f t="shared" si="309"/>
        <v/>
      </c>
      <c r="R4976" s="32" t="str">
        <f>IFERROR(VLOOKUP($D4976,'Informations sur les produits'!$A$3:$B$15000,2,FALSE),"")</f>
        <v/>
      </c>
      <c r="V4976">
        <f t="shared" si="310"/>
        <v>0</v>
      </c>
      <c r="W4976">
        <f t="shared" si="311"/>
        <v>0</v>
      </c>
    </row>
    <row r="4977" spans="5:23" x14ac:dyDescent="0.25">
      <c r="E4977" s="4"/>
      <c r="F4977" s="4"/>
      <c r="G4977" s="33" t="str">
        <f>IFERROR(VLOOKUP($D4977,'Informations sur les produits'!$A$3:$H$10000,8,FALSE),"0")</f>
        <v>0</v>
      </c>
      <c r="K4977" s="4"/>
      <c r="L4977" s="33" t="str">
        <f>IFERROR(VLOOKUP($J4977,'Informations sur les produits'!$A$3:$H$10000,8,FALSE),"0")</f>
        <v>0</v>
      </c>
      <c r="N4977" s="8"/>
      <c r="O4977" s="33" t="str">
        <f>IFERROR(VLOOKUP($M4977,'Informations sur les produits'!$A$3:$H$10000,8,FALSE),"0")</f>
        <v>0</v>
      </c>
      <c r="P4977" s="33">
        <f t="shared" si="308"/>
        <v>0</v>
      </c>
      <c r="Q4977" s="31" t="str">
        <f t="shared" si="309"/>
        <v/>
      </c>
      <c r="R4977" s="32" t="str">
        <f>IFERROR(VLOOKUP($D4977,'Informations sur les produits'!$A$3:$B$15000,2,FALSE),"")</f>
        <v/>
      </c>
      <c r="V4977">
        <f t="shared" si="310"/>
        <v>0</v>
      </c>
      <c r="W4977">
        <f t="shared" si="311"/>
        <v>0</v>
      </c>
    </row>
    <row r="4978" spans="5:23" x14ac:dyDescent="0.25">
      <c r="E4978" s="4"/>
      <c r="F4978" s="4"/>
      <c r="G4978" s="33" t="str">
        <f>IFERROR(VLOOKUP($D4978,'Informations sur les produits'!$A$3:$H$10000,8,FALSE),"0")</f>
        <v>0</v>
      </c>
      <c r="K4978" s="4"/>
      <c r="L4978" s="33" t="str">
        <f>IFERROR(VLOOKUP($J4978,'Informations sur les produits'!$A$3:$H$10000,8,FALSE),"0")</f>
        <v>0</v>
      </c>
      <c r="N4978" s="8"/>
      <c r="O4978" s="33" t="str">
        <f>IFERROR(VLOOKUP($M4978,'Informations sur les produits'!$A$3:$H$10000,8,FALSE),"0")</f>
        <v>0</v>
      </c>
      <c r="P4978" s="33">
        <f t="shared" si="308"/>
        <v>0</v>
      </c>
      <c r="Q4978" s="31" t="str">
        <f t="shared" si="309"/>
        <v/>
      </c>
      <c r="R4978" s="32" t="str">
        <f>IFERROR(VLOOKUP($D4978,'Informations sur les produits'!$A$3:$B$15000,2,FALSE),"")</f>
        <v/>
      </c>
      <c r="V4978">
        <f t="shared" si="310"/>
        <v>0</v>
      </c>
      <c r="W4978">
        <f t="shared" si="311"/>
        <v>0</v>
      </c>
    </row>
    <row r="4979" spans="5:23" x14ac:dyDescent="0.25">
      <c r="E4979" s="4"/>
      <c r="F4979" s="4"/>
      <c r="G4979" s="33" t="str">
        <f>IFERROR(VLOOKUP($D4979,'Informations sur les produits'!$A$3:$H$10000,8,FALSE),"0")</f>
        <v>0</v>
      </c>
      <c r="K4979" s="4"/>
      <c r="L4979" s="33" t="str">
        <f>IFERROR(VLOOKUP($J4979,'Informations sur les produits'!$A$3:$H$10000,8,FALSE),"0")</f>
        <v>0</v>
      </c>
      <c r="N4979" s="8"/>
      <c r="O4979" s="33" t="str">
        <f>IFERROR(VLOOKUP($M4979,'Informations sur les produits'!$A$3:$H$10000,8,FALSE),"0")</f>
        <v>0</v>
      </c>
      <c r="P4979" s="33">
        <f t="shared" si="308"/>
        <v>0</v>
      </c>
      <c r="Q4979" s="31" t="str">
        <f t="shared" si="309"/>
        <v/>
      </c>
      <c r="R4979" s="32" t="str">
        <f>IFERROR(VLOOKUP($D4979,'Informations sur les produits'!$A$3:$B$15000,2,FALSE),"")</f>
        <v/>
      </c>
      <c r="V4979">
        <f t="shared" si="310"/>
        <v>0</v>
      </c>
      <c r="W4979">
        <f t="shared" si="311"/>
        <v>0</v>
      </c>
    </row>
    <row r="4980" spans="5:23" x14ac:dyDescent="0.25">
      <c r="E4980" s="4"/>
      <c r="F4980" s="4"/>
      <c r="G4980" s="33" t="str">
        <f>IFERROR(VLOOKUP($D4980,'Informations sur les produits'!$A$3:$H$10000,8,FALSE),"0")</f>
        <v>0</v>
      </c>
      <c r="K4980" s="4"/>
      <c r="L4980" s="33" t="str">
        <f>IFERROR(VLOOKUP($J4980,'Informations sur les produits'!$A$3:$H$10000,8,FALSE),"0")</f>
        <v>0</v>
      </c>
      <c r="N4980" s="8"/>
      <c r="O4980" s="33" t="str">
        <f>IFERROR(VLOOKUP($M4980,'Informations sur les produits'!$A$3:$H$10000,8,FALSE),"0")</f>
        <v>0</v>
      </c>
      <c r="P4980" s="33">
        <f t="shared" si="308"/>
        <v>0</v>
      </c>
      <c r="Q4980" s="31" t="str">
        <f t="shared" si="309"/>
        <v/>
      </c>
      <c r="R4980" s="32" t="str">
        <f>IFERROR(VLOOKUP($D4980,'Informations sur les produits'!$A$3:$B$15000,2,FALSE),"")</f>
        <v/>
      </c>
      <c r="V4980">
        <f t="shared" si="310"/>
        <v>0</v>
      </c>
      <c r="W4980">
        <f t="shared" si="311"/>
        <v>0</v>
      </c>
    </row>
    <row r="4981" spans="5:23" x14ac:dyDescent="0.25">
      <c r="E4981" s="4"/>
      <c r="F4981" s="4"/>
      <c r="G4981" s="33" t="str">
        <f>IFERROR(VLOOKUP($D4981,'Informations sur les produits'!$A$3:$H$10000,8,FALSE),"0")</f>
        <v>0</v>
      </c>
      <c r="K4981" s="4"/>
      <c r="L4981" s="33" t="str">
        <f>IFERROR(VLOOKUP($J4981,'Informations sur les produits'!$A$3:$H$10000,8,FALSE),"0")</f>
        <v>0</v>
      </c>
      <c r="N4981" s="8"/>
      <c r="O4981" s="33" t="str">
        <f>IFERROR(VLOOKUP($M4981,'Informations sur les produits'!$A$3:$H$10000,8,FALSE),"0")</f>
        <v>0</v>
      </c>
      <c r="P4981" s="33">
        <f t="shared" si="308"/>
        <v>0</v>
      </c>
      <c r="Q4981" s="31" t="str">
        <f t="shared" si="309"/>
        <v/>
      </c>
      <c r="R4981" s="32" t="str">
        <f>IFERROR(VLOOKUP($D4981,'Informations sur les produits'!$A$3:$B$15000,2,FALSE),"")</f>
        <v/>
      </c>
      <c r="V4981">
        <f t="shared" si="310"/>
        <v>0</v>
      </c>
      <c r="W4981">
        <f t="shared" si="311"/>
        <v>0</v>
      </c>
    </row>
    <row r="4982" spans="5:23" x14ac:dyDescent="0.25">
      <c r="E4982" s="4"/>
      <c r="F4982" s="4"/>
      <c r="G4982" s="33" t="str">
        <f>IFERROR(VLOOKUP($D4982,'Informations sur les produits'!$A$3:$H$10000,8,FALSE),"0")</f>
        <v>0</v>
      </c>
      <c r="K4982" s="4"/>
      <c r="L4982" s="33" t="str">
        <f>IFERROR(VLOOKUP($J4982,'Informations sur les produits'!$A$3:$H$10000,8,FALSE),"0")</f>
        <v>0</v>
      </c>
      <c r="N4982" s="8"/>
      <c r="O4982" s="33" t="str">
        <f>IFERROR(VLOOKUP($M4982,'Informations sur les produits'!$A$3:$H$10000,8,FALSE),"0")</f>
        <v>0</v>
      </c>
      <c r="P4982" s="33">
        <f t="shared" si="308"/>
        <v>0</v>
      </c>
      <c r="Q4982" s="31" t="str">
        <f t="shared" si="309"/>
        <v/>
      </c>
      <c r="R4982" s="32" t="str">
        <f>IFERROR(VLOOKUP($D4982,'Informations sur les produits'!$A$3:$B$15000,2,FALSE),"")</f>
        <v/>
      </c>
      <c r="V4982">
        <f t="shared" si="310"/>
        <v>0</v>
      </c>
      <c r="W4982">
        <f t="shared" si="311"/>
        <v>0</v>
      </c>
    </row>
    <row r="4983" spans="5:23" x14ac:dyDescent="0.25">
      <c r="E4983" s="4"/>
      <c r="F4983" s="4"/>
      <c r="G4983" s="33" t="str">
        <f>IFERROR(VLOOKUP($D4983,'Informations sur les produits'!$A$3:$H$10000,8,FALSE),"0")</f>
        <v>0</v>
      </c>
      <c r="K4983" s="4"/>
      <c r="L4983" s="33" t="str">
        <f>IFERROR(VLOOKUP($J4983,'Informations sur les produits'!$A$3:$H$10000,8,FALSE),"0")</f>
        <v>0</v>
      </c>
      <c r="N4983" s="8"/>
      <c r="O4983" s="33" t="str">
        <f>IFERROR(VLOOKUP($M4983,'Informations sur les produits'!$A$3:$H$10000,8,FALSE),"0")</f>
        <v>0</v>
      </c>
      <c r="P4983" s="33">
        <f t="shared" si="308"/>
        <v>0</v>
      </c>
      <c r="Q4983" s="31" t="str">
        <f t="shared" si="309"/>
        <v/>
      </c>
      <c r="R4983" s="32" t="str">
        <f>IFERROR(VLOOKUP($D4983,'Informations sur les produits'!$A$3:$B$15000,2,FALSE),"")</f>
        <v/>
      </c>
      <c r="V4983">
        <f t="shared" si="310"/>
        <v>0</v>
      </c>
      <c r="W4983">
        <f t="shared" si="311"/>
        <v>0</v>
      </c>
    </row>
    <row r="4984" spans="5:23" x14ac:dyDescent="0.25">
      <c r="E4984" s="4"/>
      <c r="F4984" s="4"/>
      <c r="G4984" s="33" t="str">
        <f>IFERROR(VLOOKUP($D4984,'Informations sur les produits'!$A$3:$H$10000,8,FALSE),"0")</f>
        <v>0</v>
      </c>
      <c r="K4984" s="4"/>
      <c r="L4984" s="33" t="str">
        <f>IFERROR(VLOOKUP($J4984,'Informations sur les produits'!$A$3:$H$10000,8,FALSE),"0")</f>
        <v>0</v>
      </c>
      <c r="N4984" s="8"/>
      <c r="O4984" s="33" t="str">
        <f>IFERROR(VLOOKUP($M4984,'Informations sur les produits'!$A$3:$H$10000,8,FALSE),"0")</f>
        <v>0</v>
      </c>
      <c r="P4984" s="33">
        <f t="shared" si="308"/>
        <v>0</v>
      </c>
      <c r="Q4984" s="31" t="str">
        <f t="shared" si="309"/>
        <v/>
      </c>
      <c r="R4984" s="32" t="str">
        <f>IFERROR(VLOOKUP($D4984,'Informations sur les produits'!$A$3:$B$15000,2,FALSE),"")</f>
        <v/>
      </c>
      <c r="V4984">
        <f t="shared" si="310"/>
        <v>0</v>
      </c>
      <c r="W4984">
        <f t="shared" si="311"/>
        <v>0</v>
      </c>
    </row>
    <row r="4985" spans="5:23" x14ac:dyDescent="0.25">
      <c r="E4985" s="4"/>
      <c r="F4985" s="4"/>
      <c r="G4985" s="33" t="str">
        <f>IFERROR(VLOOKUP($D4985,'Informations sur les produits'!$A$3:$H$10000,8,FALSE),"0")</f>
        <v>0</v>
      </c>
      <c r="K4985" s="4"/>
      <c r="L4985" s="33" t="str">
        <f>IFERROR(VLOOKUP($J4985,'Informations sur les produits'!$A$3:$H$10000,8,FALSE),"0")</f>
        <v>0</v>
      </c>
      <c r="N4985" s="8"/>
      <c r="O4985" s="33" t="str">
        <f>IFERROR(VLOOKUP($M4985,'Informations sur les produits'!$A$3:$H$10000,8,FALSE),"0")</f>
        <v>0</v>
      </c>
      <c r="P4985" s="33">
        <f t="shared" si="308"/>
        <v>0</v>
      </c>
      <c r="Q4985" s="31" t="str">
        <f t="shared" si="309"/>
        <v/>
      </c>
      <c r="R4985" s="32" t="str">
        <f>IFERROR(VLOOKUP($D4985,'Informations sur les produits'!$A$3:$B$15000,2,FALSE),"")</f>
        <v/>
      </c>
      <c r="V4985">
        <f t="shared" si="310"/>
        <v>0</v>
      </c>
      <c r="W4985">
        <f t="shared" si="311"/>
        <v>0</v>
      </c>
    </row>
    <row r="4986" spans="5:23" x14ac:dyDescent="0.25">
      <c r="E4986" s="4"/>
      <c r="F4986" s="4"/>
      <c r="G4986" s="33" t="str">
        <f>IFERROR(VLOOKUP($D4986,'Informations sur les produits'!$A$3:$H$10000,8,FALSE),"0")</f>
        <v>0</v>
      </c>
      <c r="K4986" s="4"/>
      <c r="L4986" s="33" t="str">
        <f>IFERROR(VLOOKUP($J4986,'Informations sur les produits'!$A$3:$H$10000,8,FALSE),"0")</f>
        <v>0</v>
      </c>
      <c r="N4986" s="8"/>
      <c r="O4986" s="33" t="str">
        <f>IFERROR(VLOOKUP($M4986,'Informations sur les produits'!$A$3:$H$10000,8,FALSE),"0")</f>
        <v>0</v>
      </c>
      <c r="P4986" s="33">
        <f t="shared" si="308"/>
        <v>0</v>
      </c>
      <c r="Q4986" s="31" t="str">
        <f t="shared" si="309"/>
        <v/>
      </c>
      <c r="R4986" s="32" t="str">
        <f>IFERROR(VLOOKUP($D4986,'Informations sur les produits'!$A$3:$B$15000,2,FALSE),"")</f>
        <v/>
      </c>
      <c r="V4986">
        <f t="shared" si="310"/>
        <v>0</v>
      </c>
      <c r="W4986">
        <f t="shared" si="311"/>
        <v>0</v>
      </c>
    </row>
    <row r="4987" spans="5:23" x14ac:dyDescent="0.25">
      <c r="E4987" s="4"/>
      <c r="F4987" s="4"/>
      <c r="G4987" s="33" t="str">
        <f>IFERROR(VLOOKUP($D4987,'Informations sur les produits'!$A$3:$H$10000,8,FALSE),"0")</f>
        <v>0</v>
      </c>
      <c r="K4987" s="4"/>
      <c r="L4987" s="33" t="str">
        <f>IFERROR(VLOOKUP($J4987,'Informations sur les produits'!$A$3:$H$10000,8,FALSE),"0")</f>
        <v>0</v>
      </c>
      <c r="N4987" s="8"/>
      <c r="O4987" s="33" t="str">
        <f>IFERROR(VLOOKUP($M4987,'Informations sur les produits'!$A$3:$H$10000,8,FALSE),"0")</f>
        <v>0</v>
      </c>
      <c r="P4987" s="33">
        <f t="shared" si="308"/>
        <v>0</v>
      </c>
      <c r="Q4987" s="31" t="str">
        <f t="shared" si="309"/>
        <v/>
      </c>
      <c r="R4987" s="32" t="str">
        <f>IFERROR(VLOOKUP($D4987,'Informations sur les produits'!$A$3:$B$15000,2,FALSE),"")</f>
        <v/>
      </c>
      <c r="V4987">
        <f t="shared" si="310"/>
        <v>0</v>
      </c>
      <c r="W4987">
        <f t="shared" si="311"/>
        <v>0</v>
      </c>
    </row>
    <row r="4988" spans="5:23" x14ac:dyDescent="0.25">
      <c r="E4988" s="4"/>
      <c r="F4988" s="4"/>
      <c r="G4988" s="33" t="str">
        <f>IFERROR(VLOOKUP($D4988,'Informations sur les produits'!$A$3:$H$10000,8,FALSE),"0")</f>
        <v>0</v>
      </c>
      <c r="K4988" s="4"/>
      <c r="L4988" s="33" t="str">
        <f>IFERROR(VLOOKUP($J4988,'Informations sur les produits'!$A$3:$H$10000,8,FALSE),"0")</f>
        <v>0</v>
      </c>
      <c r="N4988" s="8"/>
      <c r="O4988" s="33" t="str">
        <f>IFERROR(VLOOKUP($M4988,'Informations sur les produits'!$A$3:$H$10000,8,FALSE),"0")</f>
        <v>0</v>
      </c>
      <c r="P4988" s="33">
        <f t="shared" si="308"/>
        <v>0</v>
      </c>
      <c r="Q4988" s="31" t="str">
        <f t="shared" si="309"/>
        <v/>
      </c>
      <c r="R4988" s="32" t="str">
        <f>IFERROR(VLOOKUP($D4988,'Informations sur les produits'!$A$3:$B$15000,2,FALSE),"")</f>
        <v/>
      </c>
      <c r="V4988">
        <f t="shared" si="310"/>
        <v>0</v>
      </c>
      <c r="W4988">
        <f t="shared" si="311"/>
        <v>0</v>
      </c>
    </row>
    <row r="4989" spans="5:23" x14ac:dyDescent="0.25">
      <c r="E4989" s="4"/>
      <c r="F4989" s="4"/>
      <c r="G4989" s="33" t="str">
        <f>IFERROR(VLOOKUP($D4989,'Informations sur les produits'!$A$3:$H$10000,8,FALSE),"0")</f>
        <v>0</v>
      </c>
      <c r="K4989" s="4"/>
      <c r="L4989" s="33" t="str">
        <f>IFERROR(VLOOKUP($J4989,'Informations sur les produits'!$A$3:$H$10000,8,FALSE),"0")</f>
        <v>0</v>
      </c>
      <c r="N4989" s="8"/>
      <c r="O4989" s="33" t="str">
        <f>IFERROR(VLOOKUP($M4989,'Informations sur les produits'!$A$3:$H$10000,8,FALSE),"0")</f>
        <v>0</v>
      </c>
      <c r="P4989" s="33">
        <f t="shared" si="308"/>
        <v>0</v>
      </c>
      <c r="Q4989" s="31" t="str">
        <f t="shared" si="309"/>
        <v/>
      </c>
      <c r="R4989" s="32" t="str">
        <f>IFERROR(VLOOKUP($D4989,'Informations sur les produits'!$A$3:$B$15000,2,FALSE),"")</f>
        <v/>
      </c>
      <c r="V4989">
        <f t="shared" si="310"/>
        <v>0</v>
      </c>
      <c r="W4989">
        <f t="shared" si="311"/>
        <v>0</v>
      </c>
    </row>
    <row r="4990" spans="5:23" x14ac:dyDescent="0.25">
      <c r="E4990" s="4"/>
      <c r="F4990" s="4"/>
      <c r="G4990" s="33" t="str">
        <f>IFERROR(VLOOKUP($D4990,'Informations sur les produits'!$A$3:$H$10000,8,FALSE),"0")</f>
        <v>0</v>
      </c>
      <c r="K4990" s="4"/>
      <c r="L4990" s="33" t="str">
        <f>IFERROR(VLOOKUP($J4990,'Informations sur les produits'!$A$3:$H$10000,8,FALSE),"0")</f>
        <v>0</v>
      </c>
      <c r="N4990" s="8"/>
      <c r="O4990" s="33" t="str">
        <f>IFERROR(VLOOKUP($M4990,'Informations sur les produits'!$A$3:$H$10000,8,FALSE),"0")</f>
        <v>0</v>
      </c>
      <c r="P4990" s="33">
        <f t="shared" si="308"/>
        <v>0</v>
      </c>
      <c r="Q4990" s="31" t="str">
        <f t="shared" si="309"/>
        <v/>
      </c>
      <c r="R4990" s="32" t="str">
        <f>IFERROR(VLOOKUP($D4990,'Informations sur les produits'!$A$3:$B$15000,2,FALSE),"")</f>
        <v/>
      </c>
      <c r="V4990">
        <f t="shared" si="310"/>
        <v>0</v>
      </c>
      <c r="W4990">
        <f t="shared" si="311"/>
        <v>0</v>
      </c>
    </row>
    <row r="4991" spans="5:23" x14ac:dyDescent="0.25">
      <c r="E4991" s="4"/>
      <c r="F4991" s="4"/>
      <c r="G4991" s="33" t="str">
        <f>IFERROR(VLOOKUP($D4991,'Informations sur les produits'!$A$3:$H$10000,8,FALSE),"0")</f>
        <v>0</v>
      </c>
      <c r="K4991" s="4"/>
      <c r="L4991" s="33" t="str">
        <f>IFERROR(VLOOKUP($J4991,'Informations sur les produits'!$A$3:$H$10000,8,FALSE),"0")</f>
        <v>0</v>
      </c>
      <c r="N4991" s="8"/>
      <c r="O4991" s="33" t="str">
        <f>IFERROR(VLOOKUP($M4991,'Informations sur les produits'!$A$3:$H$10000,8,FALSE),"0")</f>
        <v>0</v>
      </c>
      <c r="P4991" s="33">
        <f t="shared" si="308"/>
        <v>0</v>
      </c>
      <c r="Q4991" s="31" t="str">
        <f t="shared" si="309"/>
        <v/>
      </c>
      <c r="R4991" s="32" t="str">
        <f>IFERROR(VLOOKUP($D4991,'Informations sur les produits'!$A$3:$B$15000,2,FALSE),"")</f>
        <v/>
      </c>
      <c r="V4991">
        <f t="shared" si="310"/>
        <v>0</v>
      </c>
      <c r="W4991">
        <f t="shared" si="311"/>
        <v>0</v>
      </c>
    </row>
    <row r="4992" spans="5:23" x14ac:dyDescent="0.25">
      <c r="E4992" s="4"/>
      <c r="F4992" s="4"/>
      <c r="G4992" s="33" t="str">
        <f>IFERROR(VLOOKUP($D4992,'Informations sur les produits'!$A$3:$H$10000,8,FALSE),"0")</f>
        <v>0</v>
      </c>
      <c r="K4992" s="4"/>
      <c r="L4992" s="33" t="str">
        <f>IFERROR(VLOOKUP($J4992,'Informations sur les produits'!$A$3:$H$10000,8,FALSE),"0")</f>
        <v>0</v>
      </c>
      <c r="N4992" s="8"/>
      <c r="O4992" s="33" t="str">
        <f>IFERROR(VLOOKUP($M4992,'Informations sur les produits'!$A$3:$H$10000,8,FALSE),"0")</f>
        <v>0</v>
      </c>
      <c r="P4992" s="33">
        <f t="shared" si="308"/>
        <v>0</v>
      </c>
      <c r="Q4992" s="31" t="str">
        <f t="shared" si="309"/>
        <v/>
      </c>
      <c r="R4992" s="32" t="str">
        <f>IFERROR(VLOOKUP($D4992,'Informations sur les produits'!$A$3:$B$15000,2,FALSE),"")</f>
        <v/>
      </c>
      <c r="V4992">
        <f t="shared" si="310"/>
        <v>0</v>
      </c>
      <c r="W4992">
        <f t="shared" si="311"/>
        <v>0</v>
      </c>
    </row>
    <row r="4993" spans="5:23" x14ac:dyDescent="0.25">
      <c r="E4993" s="4"/>
      <c r="F4993" s="4"/>
      <c r="G4993" s="33" t="str">
        <f>IFERROR(VLOOKUP($D4993,'Informations sur les produits'!$A$3:$H$10000,8,FALSE),"0")</f>
        <v>0</v>
      </c>
      <c r="K4993" s="4"/>
      <c r="L4993" s="33" t="str">
        <f>IFERROR(VLOOKUP($J4993,'Informations sur les produits'!$A$3:$H$10000,8,FALSE),"0")</f>
        <v>0</v>
      </c>
      <c r="N4993" s="8"/>
      <c r="O4993" s="33" t="str">
        <f>IFERROR(VLOOKUP($M4993,'Informations sur les produits'!$A$3:$H$10000,8,FALSE),"0")</f>
        <v>0</v>
      </c>
      <c r="P4993" s="33">
        <f t="shared" si="308"/>
        <v>0</v>
      </c>
      <c r="Q4993" s="31" t="str">
        <f t="shared" si="309"/>
        <v/>
      </c>
      <c r="R4993" s="32" t="str">
        <f>IFERROR(VLOOKUP($D4993,'Informations sur les produits'!$A$3:$B$15000,2,FALSE),"")</f>
        <v/>
      </c>
      <c r="V4993">
        <f t="shared" si="310"/>
        <v>0</v>
      </c>
      <c r="W4993">
        <f t="shared" si="311"/>
        <v>0</v>
      </c>
    </row>
    <row r="4994" spans="5:23" x14ac:dyDescent="0.25">
      <c r="E4994" s="4"/>
      <c r="F4994" s="4"/>
      <c r="G4994" s="33" t="str">
        <f>IFERROR(VLOOKUP($D4994,'Informations sur les produits'!$A$3:$H$10000,8,FALSE),"0")</f>
        <v>0</v>
      </c>
      <c r="K4994" s="4"/>
      <c r="L4994" s="33" t="str">
        <f>IFERROR(VLOOKUP($J4994,'Informations sur les produits'!$A$3:$H$10000,8,FALSE),"0")</f>
        <v>0</v>
      </c>
      <c r="N4994" s="8"/>
      <c r="O4994" s="33" t="str">
        <f>IFERROR(VLOOKUP($M4994,'Informations sur les produits'!$A$3:$H$10000,8,FALSE),"0")</f>
        <v>0</v>
      </c>
      <c r="P4994" s="33">
        <f t="shared" si="308"/>
        <v>0</v>
      </c>
      <c r="Q4994" s="31" t="str">
        <f t="shared" si="309"/>
        <v/>
      </c>
      <c r="R4994" s="32" t="str">
        <f>IFERROR(VLOOKUP($D4994,'Informations sur les produits'!$A$3:$B$15000,2,FALSE),"")</f>
        <v/>
      </c>
      <c r="V4994">
        <f t="shared" si="310"/>
        <v>0</v>
      </c>
      <c r="W4994">
        <f t="shared" si="311"/>
        <v>0</v>
      </c>
    </row>
    <row r="4995" spans="5:23" x14ac:dyDescent="0.25">
      <c r="E4995" s="4"/>
      <c r="F4995" s="4"/>
      <c r="G4995" s="33" t="str">
        <f>IFERROR(VLOOKUP($D4995,'Informations sur les produits'!$A$3:$H$10000,8,FALSE),"0")</f>
        <v>0</v>
      </c>
      <c r="K4995" s="4"/>
      <c r="L4995" s="33" t="str">
        <f>IFERROR(VLOOKUP($J4995,'Informations sur les produits'!$A$3:$H$10000,8,FALSE),"0")</f>
        <v>0</v>
      </c>
      <c r="N4995" s="8"/>
      <c r="O4995" s="33" t="str">
        <f>IFERROR(VLOOKUP($M4995,'Informations sur les produits'!$A$3:$H$10000,8,FALSE),"0")</f>
        <v>0</v>
      </c>
      <c r="P4995" s="33">
        <f t="shared" si="308"/>
        <v>0</v>
      </c>
      <c r="Q4995" s="31" t="str">
        <f t="shared" si="309"/>
        <v/>
      </c>
      <c r="R4995" s="32" t="str">
        <f>IFERROR(VLOOKUP($D4995,'Informations sur les produits'!$A$3:$B$15000,2,FALSE),"")</f>
        <v/>
      </c>
      <c r="V4995">
        <f t="shared" si="310"/>
        <v>0</v>
      </c>
      <c r="W4995">
        <f t="shared" si="311"/>
        <v>0</v>
      </c>
    </row>
    <row r="4996" spans="5:23" x14ac:dyDescent="0.25">
      <c r="E4996" s="4"/>
      <c r="F4996" s="4"/>
      <c r="G4996" s="33" t="str">
        <f>IFERROR(VLOOKUP($D4996,'Informations sur les produits'!$A$3:$H$10000,8,FALSE),"0")</f>
        <v>0</v>
      </c>
      <c r="K4996" s="4"/>
      <c r="L4996" s="33" t="str">
        <f>IFERROR(VLOOKUP($J4996,'Informations sur les produits'!$A$3:$H$10000,8,FALSE),"0")</f>
        <v>0</v>
      </c>
      <c r="N4996" s="8"/>
      <c r="O4996" s="33" t="str">
        <f>IFERROR(VLOOKUP($M4996,'Informations sur les produits'!$A$3:$H$10000,8,FALSE),"0")</f>
        <v>0</v>
      </c>
      <c r="P4996" s="33">
        <f t="shared" ref="P4996:P5059" si="312">IFERROR((($E4996-$F4996)*$G4996+$K4996*$L4996+$N4996*$O4996),"")</f>
        <v>0</v>
      </c>
      <c r="Q4996" s="31" t="str">
        <f t="shared" ref="Q4996:Q5059" si="313">IFERROR((((($E4996-$F4996)*$G4996+$K4996*$L4996+$N4996*$O4996)*1000)/(($E4996-$F4996)+$K4996+$N4996)),"")</f>
        <v/>
      </c>
      <c r="R4996" s="32" t="str">
        <f>IFERROR(VLOOKUP($D4996,'Informations sur les produits'!$A$3:$B$15000,2,FALSE),"")</f>
        <v/>
      </c>
      <c r="V4996">
        <f t="shared" ref="V4996:V5059" si="314">IFERROR(P4996*1000,"")</f>
        <v>0</v>
      </c>
      <c r="W4996">
        <f t="shared" ref="W4996:W5059" si="315">IFERROR(($E4996-$F4996)+$K4996+$N4996,"")</f>
        <v>0</v>
      </c>
    </row>
    <row r="4997" spans="5:23" x14ac:dyDescent="0.25">
      <c r="E4997" s="4"/>
      <c r="F4997" s="4"/>
      <c r="G4997" s="33" t="str">
        <f>IFERROR(VLOOKUP($D4997,'Informations sur les produits'!$A$3:$H$10000,8,FALSE),"0")</f>
        <v>0</v>
      </c>
      <c r="K4997" s="4"/>
      <c r="L4997" s="33" t="str">
        <f>IFERROR(VLOOKUP($J4997,'Informations sur les produits'!$A$3:$H$10000,8,FALSE),"0")</f>
        <v>0</v>
      </c>
      <c r="N4997" s="8"/>
      <c r="O4997" s="33" t="str">
        <f>IFERROR(VLOOKUP($M4997,'Informations sur les produits'!$A$3:$H$10000,8,FALSE),"0")</f>
        <v>0</v>
      </c>
      <c r="P4997" s="33">
        <f t="shared" si="312"/>
        <v>0</v>
      </c>
      <c r="Q4997" s="31" t="str">
        <f t="shared" si="313"/>
        <v/>
      </c>
      <c r="R4997" s="32" t="str">
        <f>IFERROR(VLOOKUP($D4997,'Informations sur les produits'!$A$3:$B$15000,2,FALSE),"")</f>
        <v/>
      </c>
      <c r="V4997">
        <f t="shared" si="314"/>
        <v>0</v>
      </c>
      <c r="W4997">
        <f t="shared" si="315"/>
        <v>0</v>
      </c>
    </row>
    <row r="4998" spans="5:23" x14ac:dyDescent="0.25">
      <c r="E4998" s="4"/>
      <c r="F4998" s="4"/>
      <c r="G4998" s="33" t="str">
        <f>IFERROR(VLOOKUP($D4998,'Informations sur les produits'!$A$3:$H$10000,8,FALSE),"0")</f>
        <v>0</v>
      </c>
      <c r="K4998" s="4"/>
      <c r="L4998" s="33" t="str">
        <f>IFERROR(VLOOKUP($J4998,'Informations sur les produits'!$A$3:$H$10000,8,FALSE),"0")</f>
        <v>0</v>
      </c>
      <c r="N4998" s="8"/>
      <c r="O4998" s="33" t="str">
        <f>IFERROR(VLOOKUP($M4998,'Informations sur les produits'!$A$3:$H$10000,8,FALSE),"0")</f>
        <v>0</v>
      </c>
      <c r="P4998" s="33">
        <f t="shared" si="312"/>
        <v>0</v>
      </c>
      <c r="Q4998" s="31" t="str">
        <f t="shared" si="313"/>
        <v/>
      </c>
      <c r="R4998" s="32" t="str">
        <f>IFERROR(VLOOKUP($D4998,'Informations sur les produits'!$A$3:$B$15000,2,FALSE),"")</f>
        <v/>
      </c>
      <c r="V4998">
        <f t="shared" si="314"/>
        <v>0</v>
      </c>
      <c r="W4998">
        <f t="shared" si="315"/>
        <v>0</v>
      </c>
    </row>
    <row r="4999" spans="5:23" x14ac:dyDescent="0.25">
      <c r="E4999" s="4"/>
      <c r="F4999" s="4"/>
      <c r="G4999" s="33" t="str">
        <f>IFERROR(VLOOKUP($D4999,'Informations sur les produits'!$A$3:$H$10000,8,FALSE),"0")</f>
        <v>0</v>
      </c>
      <c r="K4999" s="4"/>
      <c r="L4999" s="33" t="str">
        <f>IFERROR(VLOOKUP($J4999,'Informations sur les produits'!$A$3:$H$10000,8,FALSE),"0")</f>
        <v>0</v>
      </c>
      <c r="N4999" s="8"/>
      <c r="O4999" s="33" t="str">
        <f>IFERROR(VLOOKUP($M4999,'Informations sur les produits'!$A$3:$H$10000,8,FALSE),"0")</f>
        <v>0</v>
      </c>
      <c r="P4999" s="33">
        <f t="shared" si="312"/>
        <v>0</v>
      </c>
      <c r="Q4999" s="31" t="str">
        <f t="shared" si="313"/>
        <v/>
      </c>
      <c r="R4999" s="32" t="str">
        <f>IFERROR(VLOOKUP($D4999,'Informations sur les produits'!$A$3:$B$15000,2,FALSE),"")</f>
        <v/>
      </c>
      <c r="V4999">
        <f t="shared" si="314"/>
        <v>0</v>
      </c>
      <c r="W4999">
        <f t="shared" si="315"/>
        <v>0</v>
      </c>
    </row>
    <row r="5000" spans="5:23" x14ac:dyDescent="0.25">
      <c r="E5000" s="4"/>
      <c r="F5000" s="4"/>
      <c r="G5000" s="33" t="str">
        <f>IFERROR(VLOOKUP($D5000,'Informations sur les produits'!$A$3:$H$10000,8,FALSE),"0")</f>
        <v>0</v>
      </c>
      <c r="K5000" s="4"/>
      <c r="L5000" s="33" t="str">
        <f>IFERROR(VLOOKUP($J5000,'Informations sur les produits'!$A$3:$H$10000,8,FALSE),"0")</f>
        <v>0</v>
      </c>
      <c r="N5000" s="8"/>
      <c r="O5000" s="33" t="str">
        <f>IFERROR(VLOOKUP($M5000,'Informations sur les produits'!$A$3:$H$10000,8,FALSE),"0")</f>
        <v>0</v>
      </c>
      <c r="P5000" s="33">
        <f t="shared" si="312"/>
        <v>0</v>
      </c>
      <c r="Q5000" s="31" t="str">
        <f t="shared" si="313"/>
        <v/>
      </c>
      <c r="R5000" s="32" t="str">
        <f>IFERROR(VLOOKUP($D5000,'Informations sur les produits'!$A$3:$B$15000,2,FALSE),"")</f>
        <v/>
      </c>
      <c r="V5000">
        <f t="shared" si="314"/>
        <v>0</v>
      </c>
      <c r="W5000">
        <f t="shared" si="315"/>
        <v>0</v>
      </c>
    </row>
    <row r="5001" spans="5:23" x14ac:dyDescent="0.25">
      <c r="E5001" s="4"/>
      <c r="F5001" s="4"/>
      <c r="G5001" s="33" t="str">
        <f>IFERROR(VLOOKUP($D5001,'Informations sur les produits'!$A$3:$H$10000,8,FALSE),"0")</f>
        <v>0</v>
      </c>
      <c r="K5001" s="4"/>
      <c r="L5001" s="33" t="str">
        <f>IFERROR(VLOOKUP($J5001,'Informations sur les produits'!$A$3:$H$10000,8,FALSE),"0")</f>
        <v>0</v>
      </c>
      <c r="N5001" s="8"/>
      <c r="O5001" s="33" t="str">
        <f>IFERROR(VLOOKUP($M5001,'Informations sur les produits'!$A$3:$H$10000,8,FALSE),"0")</f>
        <v>0</v>
      </c>
      <c r="P5001" s="33">
        <f t="shared" si="312"/>
        <v>0</v>
      </c>
      <c r="Q5001" s="31" t="str">
        <f t="shared" si="313"/>
        <v/>
      </c>
      <c r="R5001" s="32" t="str">
        <f>IFERROR(VLOOKUP($D5001,'Informations sur les produits'!$A$3:$B$15000,2,FALSE),"")</f>
        <v/>
      </c>
      <c r="V5001">
        <f t="shared" si="314"/>
        <v>0</v>
      </c>
      <c r="W5001">
        <f t="shared" si="315"/>
        <v>0</v>
      </c>
    </row>
    <row r="5002" spans="5:23" x14ac:dyDescent="0.25">
      <c r="E5002" s="4"/>
      <c r="F5002" s="4"/>
      <c r="G5002" s="33" t="str">
        <f>IFERROR(VLOOKUP($D5002,'Informations sur les produits'!$A$3:$H$10000,8,FALSE),"0")</f>
        <v>0</v>
      </c>
      <c r="K5002" s="4"/>
      <c r="L5002" s="33" t="str">
        <f>IFERROR(VLOOKUP($J5002,'Informations sur les produits'!$A$3:$H$10000,8,FALSE),"0")</f>
        <v>0</v>
      </c>
      <c r="N5002" s="8"/>
      <c r="O5002" s="33" t="str">
        <f>IFERROR(VLOOKUP($M5002,'Informations sur les produits'!$A$3:$H$10000,8,FALSE),"0")</f>
        <v>0</v>
      </c>
      <c r="P5002" s="33">
        <f t="shared" si="312"/>
        <v>0</v>
      </c>
      <c r="Q5002" s="31" t="str">
        <f t="shared" si="313"/>
        <v/>
      </c>
      <c r="R5002" s="32" t="str">
        <f>IFERROR(VLOOKUP($D5002,'Informations sur les produits'!$A$3:$B$15000,2,FALSE),"")</f>
        <v/>
      </c>
      <c r="V5002">
        <f t="shared" si="314"/>
        <v>0</v>
      </c>
      <c r="W5002">
        <f t="shared" si="315"/>
        <v>0</v>
      </c>
    </row>
    <row r="5003" spans="5:23" x14ac:dyDescent="0.25">
      <c r="E5003" s="4"/>
      <c r="F5003" s="4"/>
      <c r="G5003" s="33" t="str">
        <f>IFERROR(VLOOKUP($D5003,'Informations sur les produits'!$A$3:$H$10000,8,FALSE),"0")</f>
        <v>0</v>
      </c>
      <c r="K5003" s="4"/>
      <c r="L5003" s="33" t="str">
        <f>IFERROR(VLOOKUP($J5003,'Informations sur les produits'!$A$3:$H$10000,8,FALSE),"0")</f>
        <v>0</v>
      </c>
      <c r="N5003" s="8"/>
      <c r="O5003" s="33" t="str">
        <f>IFERROR(VLOOKUP($M5003,'Informations sur les produits'!$A$3:$H$10000,8,FALSE),"0")</f>
        <v>0</v>
      </c>
      <c r="P5003" s="33">
        <f t="shared" si="312"/>
        <v>0</v>
      </c>
      <c r="Q5003" s="31" t="str">
        <f t="shared" si="313"/>
        <v/>
      </c>
      <c r="R5003" s="32" t="str">
        <f>IFERROR(VLOOKUP($D5003,'Informations sur les produits'!$A$3:$B$15000,2,FALSE),"")</f>
        <v/>
      </c>
      <c r="V5003">
        <f t="shared" si="314"/>
        <v>0</v>
      </c>
      <c r="W5003">
        <f t="shared" si="315"/>
        <v>0</v>
      </c>
    </row>
    <row r="5004" spans="5:23" x14ac:dyDescent="0.25">
      <c r="E5004" s="4"/>
      <c r="F5004" s="4"/>
      <c r="G5004" s="33" t="str">
        <f>IFERROR(VLOOKUP($D5004,'Informations sur les produits'!$A$3:$H$10000,8,FALSE),"0")</f>
        <v>0</v>
      </c>
      <c r="K5004" s="4"/>
      <c r="L5004" s="33" t="str">
        <f>IFERROR(VLOOKUP($J5004,'Informations sur les produits'!$A$3:$H$10000,8,FALSE),"0")</f>
        <v>0</v>
      </c>
      <c r="N5004" s="8"/>
      <c r="O5004" s="33" t="str">
        <f>IFERROR(VLOOKUP($M5004,'Informations sur les produits'!$A$3:$H$10000,8,FALSE),"0")</f>
        <v>0</v>
      </c>
      <c r="P5004" s="33">
        <f t="shared" si="312"/>
        <v>0</v>
      </c>
      <c r="Q5004" s="31" t="str">
        <f t="shared" si="313"/>
        <v/>
      </c>
      <c r="R5004" s="32" t="str">
        <f>IFERROR(VLOOKUP($D5004,'Informations sur les produits'!$A$3:$B$15000,2,FALSE),"")</f>
        <v/>
      </c>
      <c r="V5004">
        <f t="shared" si="314"/>
        <v>0</v>
      </c>
      <c r="W5004">
        <f t="shared" si="315"/>
        <v>0</v>
      </c>
    </row>
    <row r="5005" spans="5:23" x14ac:dyDescent="0.25">
      <c r="E5005" s="4"/>
      <c r="F5005" s="4"/>
      <c r="G5005" s="33" t="str">
        <f>IFERROR(VLOOKUP($D5005,'Informations sur les produits'!$A$3:$H$10000,8,FALSE),"0")</f>
        <v>0</v>
      </c>
      <c r="K5005" s="4"/>
      <c r="L5005" s="33" t="str">
        <f>IFERROR(VLOOKUP($J5005,'Informations sur les produits'!$A$3:$H$10000,8,FALSE),"0")</f>
        <v>0</v>
      </c>
      <c r="N5005" s="8"/>
      <c r="O5005" s="33" t="str">
        <f>IFERROR(VLOOKUP($M5005,'Informations sur les produits'!$A$3:$H$10000,8,FALSE),"0")</f>
        <v>0</v>
      </c>
      <c r="P5005" s="33">
        <f t="shared" si="312"/>
        <v>0</v>
      </c>
      <c r="Q5005" s="31" t="str">
        <f t="shared" si="313"/>
        <v/>
      </c>
      <c r="R5005" s="32" t="str">
        <f>IFERROR(VLOOKUP($D5005,'Informations sur les produits'!$A$3:$B$15000,2,FALSE),"")</f>
        <v/>
      </c>
      <c r="V5005">
        <f t="shared" si="314"/>
        <v>0</v>
      </c>
      <c r="W5005">
        <f t="shared" si="315"/>
        <v>0</v>
      </c>
    </row>
    <row r="5006" spans="5:23" x14ac:dyDescent="0.25">
      <c r="E5006" s="4"/>
      <c r="F5006" s="4"/>
      <c r="G5006" s="33" t="str">
        <f>IFERROR(VLOOKUP($D5006,'Informations sur les produits'!$A$3:$H$10000,8,FALSE),"0")</f>
        <v>0</v>
      </c>
      <c r="K5006" s="4"/>
      <c r="L5006" s="33" t="str">
        <f>IFERROR(VLOOKUP($J5006,'Informations sur les produits'!$A$3:$H$10000,8,FALSE),"0")</f>
        <v>0</v>
      </c>
      <c r="N5006" s="8"/>
      <c r="O5006" s="33" t="str">
        <f>IFERROR(VLOOKUP($M5006,'Informations sur les produits'!$A$3:$H$10000,8,FALSE),"0")</f>
        <v>0</v>
      </c>
      <c r="P5006" s="33">
        <f t="shared" si="312"/>
        <v>0</v>
      </c>
      <c r="Q5006" s="31" t="str">
        <f t="shared" si="313"/>
        <v/>
      </c>
      <c r="R5006" s="32" t="str">
        <f>IFERROR(VLOOKUP($D5006,'Informations sur les produits'!$A$3:$B$15000,2,FALSE),"")</f>
        <v/>
      </c>
      <c r="V5006">
        <f t="shared" si="314"/>
        <v>0</v>
      </c>
      <c r="W5006">
        <f t="shared" si="315"/>
        <v>0</v>
      </c>
    </row>
    <row r="5007" spans="5:23" x14ac:dyDescent="0.25">
      <c r="E5007" s="4"/>
      <c r="F5007" s="4"/>
      <c r="G5007" s="33" t="str">
        <f>IFERROR(VLOOKUP($D5007,'Informations sur les produits'!$A$3:$H$10000,8,FALSE),"0")</f>
        <v>0</v>
      </c>
      <c r="K5007" s="4"/>
      <c r="L5007" s="33" t="str">
        <f>IFERROR(VLOOKUP($J5007,'Informations sur les produits'!$A$3:$H$10000,8,FALSE),"0")</f>
        <v>0</v>
      </c>
      <c r="N5007" s="8"/>
      <c r="O5007" s="33" t="str">
        <f>IFERROR(VLOOKUP($M5007,'Informations sur les produits'!$A$3:$H$10000,8,FALSE),"0")</f>
        <v>0</v>
      </c>
      <c r="P5007" s="33">
        <f t="shared" si="312"/>
        <v>0</v>
      </c>
      <c r="Q5007" s="31" t="str">
        <f t="shared" si="313"/>
        <v/>
      </c>
      <c r="R5007" s="32" t="str">
        <f>IFERROR(VLOOKUP($D5007,'Informations sur les produits'!$A$3:$B$15000,2,FALSE),"")</f>
        <v/>
      </c>
      <c r="V5007">
        <f t="shared" si="314"/>
        <v>0</v>
      </c>
      <c r="W5007">
        <f t="shared" si="315"/>
        <v>0</v>
      </c>
    </row>
    <row r="5008" spans="5:23" x14ac:dyDescent="0.25">
      <c r="E5008" s="4"/>
      <c r="F5008" s="4"/>
      <c r="G5008" s="33" t="str">
        <f>IFERROR(VLOOKUP($D5008,'Informations sur les produits'!$A$3:$H$10000,8,FALSE),"0")</f>
        <v>0</v>
      </c>
      <c r="K5008" s="4"/>
      <c r="L5008" s="33" t="str">
        <f>IFERROR(VLOOKUP($J5008,'Informations sur les produits'!$A$3:$H$10000,8,FALSE),"0")</f>
        <v>0</v>
      </c>
      <c r="N5008" s="8"/>
      <c r="O5008" s="33" t="str">
        <f>IFERROR(VLOOKUP($M5008,'Informations sur les produits'!$A$3:$H$10000,8,FALSE),"0")</f>
        <v>0</v>
      </c>
      <c r="P5008" s="33">
        <f t="shared" si="312"/>
        <v>0</v>
      </c>
      <c r="Q5008" s="31" t="str">
        <f t="shared" si="313"/>
        <v/>
      </c>
      <c r="R5008" s="32" t="str">
        <f>IFERROR(VLOOKUP($D5008,'Informations sur les produits'!$A$3:$B$15000,2,FALSE),"")</f>
        <v/>
      </c>
      <c r="V5008">
        <f t="shared" si="314"/>
        <v>0</v>
      </c>
      <c r="W5008">
        <f t="shared" si="315"/>
        <v>0</v>
      </c>
    </row>
    <row r="5009" spans="5:23" x14ac:dyDescent="0.25">
      <c r="E5009" s="4"/>
      <c r="F5009" s="4"/>
      <c r="G5009" s="33" t="str">
        <f>IFERROR(VLOOKUP($D5009,'Informations sur les produits'!$A$3:$H$10000,8,FALSE),"0")</f>
        <v>0</v>
      </c>
      <c r="K5009" s="4"/>
      <c r="L5009" s="33" t="str">
        <f>IFERROR(VLOOKUP($J5009,'Informations sur les produits'!$A$3:$H$10000,8,FALSE),"0")</f>
        <v>0</v>
      </c>
      <c r="N5009" s="8"/>
      <c r="O5009" s="33" t="str">
        <f>IFERROR(VLOOKUP($M5009,'Informations sur les produits'!$A$3:$H$10000,8,FALSE),"0")</f>
        <v>0</v>
      </c>
      <c r="P5009" s="33">
        <f t="shared" si="312"/>
        <v>0</v>
      </c>
      <c r="Q5009" s="31" t="str">
        <f t="shared" si="313"/>
        <v/>
      </c>
      <c r="R5009" s="32" t="str">
        <f>IFERROR(VLOOKUP($D5009,'Informations sur les produits'!$A$3:$B$15000,2,FALSE),"")</f>
        <v/>
      </c>
      <c r="V5009">
        <f t="shared" si="314"/>
        <v>0</v>
      </c>
      <c r="W5009">
        <f t="shared" si="315"/>
        <v>0</v>
      </c>
    </row>
    <row r="5010" spans="5:23" x14ac:dyDescent="0.25">
      <c r="E5010" s="4"/>
      <c r="F5010" s="4"/>
      <c r="G5010" s="33" t="str">
        <f>IFERROR(VLOOKUP($D5010,'Informations sur les produits'!$A$3:$H$10000,8,FALSE),"0")</f>
        <v>0</v>
      </c>
      <c r="K5010" s="4"/>
      <c r="L5010" s="33" t="str">
        <f>IFERROR(VLOOKUP($J5010,'Informations sur les produits'!$A$3:$H$10000,8,FALSE),"0")</f>
        <v>0</v>
      </c>
      <c r="N5010" s="8"/>
      <c r="O5010" s="33" t="str">
        <f>IFERROR(VLOOKUP($M5010,'Informations sur les produits'!$A$3:$H$10000,8,FALSE),"0")</f>
        <v>0</v>
      </c>
      <c r="P5010" s="33">
        <f t="shared" si="312"/>
        <v>0</v>
      </c>
      <c r="Q5010" s="31" t="str">
        <f t="shared" si="313"/>
        <v/>
      </c>
      <c r="R5010" s="32" t="str">
        <f>IFERROR(VLOOKUP($D5010,'Informations sur les produits'!$A$3:$B$15000,2,FALSE),"")</f>
        <v/>
      </c>
      <c r="V5010">
        <f t="shared" si="314"/>
        <v>0</v>
      </c>
      <c r="W5010">
        <f t="shared" si="315"/>
        <v>0</v>
      </c>
    </row>
    <row r="5011" spans="5:23" x14ac:dyDescent="0.25">
      <c r="E5011" s="4"/>
      <c r="F5011" s="4"/>
      <c r="G5011" s="33" t="str">
        <f>IFERROR(VLOOKUP($D5011,'Informations sur les produits'!$A$3:$H$10000,8,FALSE),"0")</f>
        <v>0</v>
      </c>
      <c r="K5011" s="4"/>
      <c r="L5011" s="33" t="str">
        <f>IFERROR(VLOOKUP($J5011,'Informations sur les produits'!$A$3:$H$10000,8,FALSE),"0")</f>
        <v>0</v>
      </c>
      <c r="N5011" s="8"/>
      <c r="O5011" s="33" t="str">
        <f>IFERROR(VLOOKUP($M5011,'Informations sur les produits'!$A$3:$H$10000,8,FALSE),"0")</f>
        <v>0</v>
      </c>
      <c r="P5011" s="33">
        <f t="shared" si="312"/>
        <v>0</v>
      </c>
      <c r="Q5011" s="31" t="str">
        <f t="shared" si="313"/>
        <v/>
      </c>
      <c r="R5011" s="32" t="str">
        <f>IFERROR(VLOOKUP($D5011,'Informations sur les produits'!$A$3:$B$15000,2,FALSE),"")</f>
        <v/>
      </c>
      <c r="V5011">
        <f t="shared" si="314"/>
        <v>0</v>
      </c>
      <c r="W5011">
        <f t="shared" si="315"/>
        <v>0</v>
      </c>
    </row>
    <row r="5012" spans="5:23" x14ac:dyDescent="0.25">
      <c r="E5012" s="4"/>
      <c r="F5012" s="4"/>
      <c r="G5012" s="33" t="str">
        <f>IFERROR(VLOOKUP($D5012,'Informations sur les produits'!$A$3:$H$10000,8,FALSE),"0")</f>
        <v>0</v>
      </c>
      <c r="K5012" s="4"/>
      <c r="L5012" s="33" t="str">
        <f>IFERROR(VLOOKUP($J5012,'Informations sur les produits'!$A$3:$H$10000,8,FALSE),"0")</f>
        <v>0</v>
      </c>
      <c r="N5012" s="8"/>
      <c r="O5012" s="33" t="str">
        <f>IFERROR(VLOOKUP($M5012,'Informations sur les produits'!$A$3:$H$10000,8,FALSE),"0")</f>
        <v>0</v>
      </c>
      <c r="P5012" s="33">
        <f t="shared" si="312"/>
        <v>0</v>
      </c>
      <c r="Q5012" s="31" t="str">
        <f t="shared" si="313"/>
        <v/>
      </c>
      <c r="R5012" s="32" t="str">
        <f>IFERROR(VLOOKUP($D5012,'Informations sur les produits'!$A$3:$B$15000,2,FALSE),"")</f>
        <v/>
      </c>
      <c r="V5012">
        <f t="shared" si="314"/>
        <v>0</v>
      </c>
      <c r="W5012">
        <f t="shared" si="315"/>
        <v>0</v>
      </c>
    </row>
    <row r="5013" spans="5:23" x14ac:dyDescent="0.25">
      <c r="E5013" s="4"/>
      <c r="F5013" s="4"/>
      <c r="G5013" s="33" t="str">
        <f>IFERROR(VLOOKUP($D5013,'Informations sur les produits'!$A$3:$H$10000,8,FALSE),"0")</f>
        <v>0</v>
      </c>
      <c r="K5013" s="4"/>
      <c r="L5013" s="33" t="str">
        <f>IFERROR(VLOOKUP($J5013,'Informations sur les produits'!$A$3:$H$10000,8,FALSE),"0")</f>
        <v>0</v>
      </c>
      <c r="N5013" s="8"/>
      <c r="O5013" s="33" t="str">
        <f>IFERROR(VLOOKUP($M5013,'Informations sur les produits'!$A$3:$H$10000,8,FALSE),"0")</f>
        <v>0</v>
      </c>
      <c r="P5013" s="33">
        <f t="shared" si="312"/>
        <v>0</v>
      </c>
      <c r="Q5013" s="31" t="str">
        <f t="shared" si="313"/>
        <v/>
      </c>
      <c r="R5013" s="32" t="str">
        <f>IFERROR(VLOOKUP($D5013,'Informations sur les produits'!$A$3:$B$15000,2,FALSE),"")</f>
        <v/>
      </c>
      <c r="V5013">
        <f t="shared" si="314"/>
        <v>0</v>
      </c>
      <c r="W5013">
        <f t="shared" si="315"/>
        <v>0</v>
      </c>
    </row>
    <row r="5014" spans="5:23" x14ac:dyDescent="0.25">
      <c r="E5014" s="4"/>
      <c r="F5014" s="4"/>
      <c r="G5014" s="33" t="str">
        <f>IFERROR(VLOOKUP($D5014,'Informations sur les produits'!$A$3:$H$10000,8,FALSE),"0")</f>
        <v>0</v>
      </c>
      <c r="K5014" s="4"/>
      <c r="L5014" s="33" t="str">
        <f>IFERROR(VLOOKUP($J5014,'Informations sur les produits'!$A$3:$H$10000,8,FALSE),"0")</f>
        <v>0</v>
      </c>
      <c r="N5014" s="8"/>
      <c r="O5014" s="33" t="str">
        <f>IFERROR(VLOOKUP($M5014,'Informations sur les produits'!$A$3:$H$10000,8,FALSE),"0")</f>
        <v>0</v>
      </c>
      <c r="P5014" s="33">
        <f t="shared" si="312"/>
        <v>0</v>
      </c>
      <c r="Q5014" s="31" t="str">
        <f t="shared" si="313"/>
        <v/>
      </c>
      <c r="R5014" s="32" t="str">
        <f>IFERROR(VLOOKUP($D5014,'Informations sur les produits'!$A$3:$B$15000,2,FALSE),"")</f>
        <v/>
      </c>
      <c r="V5014">
        <f t="shared" si="314"/>
        <v>0</v>
      </c>
      <c r="W5014">
        <f t="shared" si="315"/>
        <v>0</v>
      </c>
    </row>
    <row r="5015" spans="5:23" x14ac:dyDescent="0.25">
      <c r="E5015" s="4"/>
      <c r="F5015" s="4"/>
      <c r="G5015" s="33" t="str">
        <f>IFERROR(VLOOKUP($D5015,'Informations sur les produits'!$A$3:$H$10000,8,FALSE),"0")</f>
        <v>0</v>
      </c>
      <c r="K5015" s="4"/>
      <c r="L5015" s="33" t="str">
        <f>IFERROR(VLOOKUP($J5015,'Informations sur les produits'!$A$3:$H$10000,8,FALSE),"0")</f>
        <v>0</v>
      </c>
      <c r="N5015" s="8"/>
      <c r="O5015" s="33" t="str">
        <f>IFERROR(VLOOKUP($M5015,'Informations sur les produits'!$A$3:$H$10000,8,FALSE),"0")</f>
        <v>0</v>
      </c>
      <c r="P5015" s="33">
        <f t="shared" si="312"/>
        <v>0</v>
      </c>
      <c r="Q5015" s="31" t="str">
        <f t="shared" si="313"/>
        <v/>
      </c>
      <c r="R5015" s="32" t="str">
        <f>IFERROR(VLOOKUP($D5015,'Informations sur les produits'!$A$3:$B$15000,2,FALSE),"")</f>
        <v/>
      </c>
      <c r="V5015">
        <f t="shared" si="314"/>
        <v>0</v>
      </c>
      <c r="W5015">
        <f t="shared" si="315"/>
        <v>0</v>
      </c>
    </row>
    <row r="5016" spans="5:23" x14ac:dyDescent="0.25">
      <c r="E5016" s="4"/>
      <c r="F5016" s="4"/>
      <c r="G5016" s="33" t="str">
        <f>IFERROR(VLOOKUP($D5016,'Informations sur les produits'!$A$3:$H$10000,8,FALSE),"0")</f>
        <v>0</v>
      </c>
      <c r="K5016" s="4"/>
      <c r="L5016" s="33" t="str">
        <f>IFERROR(VLOOKUP($J5016,'Informations sur les produits'!$A$3:$H$10000,8,FALSE),"0")</f>
        <v>0</v>
      </c>
      <c r="N5016" s="8"/>
      <c r="O5016" s="33" t="str">
        <f>IFERROR(VLOOKUP($M5016,'Informations sur les produits'!$A$3:$H$10000,8,FALSE),"0")</f>
        <v>0</v>
      </c>
      <c r="P5016" s="33">
        <f t="shared" si="312"/>
        <v>0</v>
      </c>
      <c r="Q5016" s="31" t="str">
        <f t="shared" si="313"/>
        <v/>
      </c>
      <c r="R5016" s="32" t="str">
        <f>IFERROR(VLOOKUP($D5016,'Informations sur les produits'!$A$3:$B$15000,2,FALSE),"")</f>
        <v/>
      </c>
      <c r="V5016">
        <f t="shared" si="314"/>
        <v>0</v>
      </c>
      <c r="W5016">
        <f t="shared" si="315"/>
        <v>0</v>
      </c>
    </row>
    <row r="5017" spans="5:23" x14ac:dyDescent="0.25">
      <c r="E5017" s="4"/>
      <c r="F5017" s="4"/>
      <c r="G5017" s="33" t="str">
        <f>IFERROR(VLOOKUP($D5017,'Informations sur les produits'!$A$3:$H$10000,8,FALSE),"0")</f>
        <v>0</v>
      </c>
      <c r="K5017" s="4"/>
      <c r="L5017" s="33" t="str">
        <f>IFERROR(VLOOKUP($J5017,'Informations sur les produits'!$A$3:$H$10000,8,FALSE),"0")</f>
        <v>0</v>
      </c>
      <c r="N5017" s="8"/>
      <c r="O5017" s="33" t="str">
        <f>IFERROR(VLOOKUP($M5017,'Informations sur les produits'!$A$3:$H$10000,8,FALSE),"0")</f>
        <v>0</v>
      </c>
      <c r="P5017" s="33">
        <f t="shared" si="312"/>
        <v>0</v>
      </c>
      <c r="Q5017" s="31" t="str">
        <f t="shared" si="313"/>
        <v/>
      </c>
      <c r="R5017" s="32" t="str">
        <f>IFERROR(VLOOKUP($D5017,'Informations sur les produits'!$A$3:$B$15000,2,FALSE),"")</f>
        <v/>
      </c>
      <c r="V5017">
        <f t="shared" si="314"/>
        <v>0</v>
      </c>
      <c r="W5017">
        <f t="shared" si="315"/>
        <v>0</v>
      </c>
    </row>
    <row r="5018" spans="5:23" x14ac:dyDescent="0.25">
      <c r="E5018" s="4"/>
      <c r="F5018" s="4"/>
      <c r="G5018" s="33" t="str">
        <f>IFERROR(VLOOKUP($D5018,'Informations sur les produits'!$A$3:$H$10000,8,FALSE),"0")</f>
        <v>0</v>
      </c>
      <c r="K5018" s="4"/>
      <c r="L5018" s="33" t="str">
        <f>IFERROR(VLOOKUP($J5018,'Informations sur les produits'!$A$3:$H$10000,8,FALSE),"0")</f>
        <v>0</v>
      </c>
      <c r="N5018" s="8"/>
      <c r="O5018" s="33" t="str">
        <f>IFERROR(VLOOKUP($M5018,'Informations sur les produits'!$A$3:$H$10000,8,FALSE),"0")</f>
        <v>0</v>
      </c>
      <c r="P5018" s="33">
        <f t="shared" si="312"/>
        <v>0</v>
      </c>
      <c r="Q5018" s="31" t="str">
        <f t="shared" si="313"/>
        <v/>
      </c>
      <c r="R5018" s="32" t="str">
        <f>IFERROR(VLOOKUP($D5018,'Informations sur les produits'!$A$3:$B$15000,2,FALSE),"")</f>
        <v/>
      </c>
      <c r="V5018">
        <f t="shared" si="314"/>
        <v>0</v>
      </c>
      <c r="W5018">
        <f t="shared" si="315"/>
        <v>0</v>
      </c>
    </row>
    <row r="5019" spans="5:23" x14ac:dyDescent="0.25">
      <c r="E5019" s="4"/>
      <c r="F5019" s="4"/>
      <c r="G5019" s="33" t="str">
        <f>IFERROR(VLOOKUP($D5019,'Informations sur les produits'!$A$3:$H$10000,8,FALSE),"0")</f>
        <v>0</v>
      </c>
      <c r="K5019" s="4"/>
      <c r="L5019" s="33" t="str">
        <f>IFERROR(VLOOKUP($J5019,'Informations sur les produits'!$A$3:$H$10000,8,FALSE),"0")</f>
        <v>0</v>
      </c>
      <c r="N5019" s="8"/>
      <c r="O5019" s="33" t="str">
        <f>IFERROR(VLOOKUP($M5019,'Informations sur les produits'!$A$3:$H$10000,8,FALSE),"0")</f>
        <v>0</v>
      </c>
      <c r="P5019" s="33">
        <f t="shared" si="312"/>
        <v>0</v>
      </c>
      <c r="Q5019" s="31" t="str">
        <f t="shared" si="313"/>
        <v/>
      </c>
      <c r="R5019" s="32" t="str">
        <f>IFERROR(VLOOKUP($D5019,'Informations sur les produits'!$A$3:$B$15000,2,FALSE),"")</f>
        <v/>
      </c>
      <c r="V5019">
        <f t="shared" si="314"/>
        <v>0</v>
      </c>
      <c r="W5019">
        <f t="shared" si="315"/>
        <v>0</v>
      </c>
    </row>
    <row r="5020" spans="5:23" x14ac:dyDescent="0.25">
      <c r="E5020" s="4"/>
      <c r="F5020" s="4"/>
      <c r="G5020" s="33" t="str">
        <f>IFERROR(VLOOKUP($D5020,'Informations sur les produits'!$A$3:$H$10000,8,FALSE),"0")</f>
        <v>0</v>
      </c>
      <c r="K5020" s="4"/>
      <c r="L5020" s="33" t="str">
        <f>IFERROR(VLOOKUP($J5020,'Informations sur les produits'!$A$3:$H$10000,8,FALSE),"0")</f>
        <v>0</v>
      </c>
      <c r="N5020" s="8"/>
      <c r="O5020" s="33" t="str">
        <f>IFERROR(VLOOKUP($M5020,'Informations sur les produits'!$A$3:$H$10000,8,FALSE),"0")</f>
        <v>0</v>
      </c>
      <c r="P5020" s="33">
        <f t="shared" si="312"/>
        <v>0</v>
      </c>
      <c r="Q5020" s="31" t="str">
        <f t="shared" si="313"/>
        <v/>
      </c>
      <c r="R5020" s="32" t="str">
        <f>IFERROR(VLOOKUP($D5020,'Informations sur les produits'!$A$3:$B$15000,2,FALSE),"")</f>
        <v/>
      </c>
      <c r="V5020">
        <f t="shared" si="314"/>
        <v>0</v>
      </c>
      <c r="W5020">
        <f t="shared" si="315"/>
        <v>0</v>
      </c>
    </row>
    <row r="5021" spans="5:23" x14ac:dyDescent="0.25">
      <c r="E5021" s="4"/>
      <c r="F5021" s="4"/>
      <c r="G5021" s="33" t="str">
        <f>IFERROR(VLOOKUP($D5021,'Informations sur les produits'!$A$3:$H$10000,8,FALSE),"0")</f>
        <v>0</v>
      </c>
      <c r="K5021" s="4"/>
      <c r="L5021" s="33" t="str">
        <f>IFERROR(VLOOKUP($J5021,'Informations sur les produits'!$A$3:$H$10000,8,FALSE),"0")</f>
        <v>0</v>
      </c>
      <c r="N5021" s="8"/>
      <c r="O5021" s="33" t="str">
        <f>IFERROR(VLOOKUP($M5021,'Informations sur les produits'!$A$3:$H$10000,8,FALSE),"0")</f>
        <v>0</v>
      </c>
      <c r="P5021" s="33">
        <f t="shared" si="312"/>
        <v>0</v>
      </c>
      <c r="Q5021" s="31" t="str">
        <f t="shared" si="313"/>
        <v/>
      </c>
      <c r="R5021" s="32" t="str">
        <f>IFERROR(VLOOKUP($D5021,'Informations sur les produits'!$A$3:$B$15000,2,FALSE),"")</f>
        <v/>
      </c>
      <c r="V5021">
        <f t="shared" si="314"/>
        <v>0</v>
      </c>
      <c r="W5021">
        <f t="shared" si="315"/>
        <v>0</v>
      </c>
    </row>
    <row r="5022" spans="5:23" x14ac:dyDescent="0.25">
      <c r="E5022" s="4"/>
      <c r="F5022" s="4"/>
      <c r="G5022" s="33" t="str">
        <f>IFERROR(VLOOKUP($D5022,'Informations sur les produits'!$A$3:$H$10000,8,FALSE),"0")</f>
        <v>0</v>
      </c>
      <c r="K5022" s="4"/>
      <c r="L5022" s="33" t="str">
        <f>IFERROR(VLOOKUP($J5022,'Informations sur les produits'!$A$3:$H$10000,8,FALSE),"0")</f>
        <v>0</v>
      </c>
      <c r="N5022" s="8"/>
      <c r="O5022" s="33" t="str">
        <f>IFERROR(VLOOKUP($M5022,'Informations sur les produits'!$A$3:$H$10000,8,FALSE),"0")</f>
        <v>0</v>
      </c>
      <c r="P5022" s="33">
        <f t="shared" si="312"/>
        <v>0</v>
      </c>
      <c r="Q5022" s="31" t="str">
        <f t="shared" si="313"/>
        <v/>
      </c>
      <c r="R5022" s="32" t="str">
        <f>IFERROR(VLOOKUP($D5022,'Informations sur les produits'!$A$3:$B$15000,2,FALSE),"")</f>
        <v/>
      </c>
      <c r="V5022">
        <f t="shared" si="314"/>
        <v>0</v>
      </c>
      <c r="W5022">
        <f t="shared" si="315"/>
        <v>0</v>
      </c>
    </row>
    <row r="5023" spans="5:23" x14ac:dyDescent="0.25">
      <c r="E5023" s="4"/>
      <c r="F5023" s="4"/>
      <c r="G5023" s="33" t="str">
        <f>IFERROR(VLOOKUP($D5023,'Informations sur les produits'!$A$3:$H$10000,8,FALSE),"0")</f>
        <v>0</v>
      </c>
      <c r="K5023" s="4"/>
      <c r="L5023" s="33" t="str">
        <f>IFERROR(VLOOKUP($J5023,'Informations sur les produits'!$A$3:$H$10000,8,FALSE),"0")</f>
        <v>0</v>
      </c>
      <c r="N5023" s="8"/>
      <c r="O5023" s="33" t="str">
        <f>IFERROR(VLOOKUP($M5023,'Informations sur les produits'!$A$3:$H$10000,8,FALSE),"0")</f>
        <v>0</v>
      </c>
      <c r="P5023" s="33">
        <f t="shared" si="312"/>
        <v>0</v>
      </c>
      <c r="Q5023" s="31" t="str">
        <f t="shared" si="313"/>
        <v/>
      </c>
      <c r="R5023" s="32" t="str">
        <f>IFERROR(VLOOKUP($D5023,'Informations sur les produits'!$A$3:$B$15000,2,FALSE),"")</f>
        <v/>
      </c>
      <c r="V5023">
        <f t="shared" si="314"/>
        <v>0</v>
      </c>
      <c r="W5023">
        <f t="shared" si="315"/>
        <v>0</v>
      </c>
    </row>
    <row r="5024" spans="5:23" x14ac:dyDescent="0.25">
      <c r="E5024" s="4"/>
      <c r="F5024" s="4"/>
      <c r="G5024" s="33" t="str">
        <f>IFERROR(VLOOKUP($D5024,'Informations sur les produits'!$A$3:$H$10000,8,FALSE),"0")</f>
        <v>0</v>
      </c>
      <c r="K5024" s="4"/>
      <c r="L5024" s="33" t="str">
        <f>IFERROR(VLOOKUP($J5024,'Informations sur les produits'!$A$3:$H$10000,8,FALSE),"0")</f>
        <v>0</v>
      </c>
      <c r="N5024" s="8"/>
      <c r="O5024" s="33" t="str">
        <f>IFERROR(VLOOKUP($M5024,'Informations sur les produits'!$A$3:$H$10000,8,FALSE),"0")</f>
        <v>0</v>
      </c>
      <c r="P5024" s="33">
        <f t="shared" si="312"/>
        <v>0</v>
      </c>
      <c r="Q5024" s="31" t="str">
        <f t="shared" si="313"/>
        <v/>
      </c>
      <c r="R5024" s="32" t="str">
        <f>IFERROR(VLOOKUP($D5024,'Informations sur les produits'!$A$3:$B$15000,2,FALSE),"")</f>
        <v/>
      </c>
      <c r="V5024">
        <f t="shared" si="314"/>
        <v>0</v>
      </c>
      <c r="W5024">
        <f t="shared" si="315"/>
        <v>0</v>
      </c>
    </row>
    <row r="5025" spans="5:23" x14ac:dyDescent="0.25">
      <c r="E5025" s="4"/>
      <c r="F5025" s="4"/>
      <c r="G5025" s="33" t="str">
        <f>IFERROR(VLOOKUP($D5025,'Informations sur les produits'!$A$3:$H$10000,8,FALSE),"0")</f>
        <v>0</v>
      </c>
      <c r="K5025" s="4"/>
      <c r="L5025" s="33" t="str">
        <f>IFERROR(VLOOKUP($J5025,'Informations sur les produits'!$A$3:$H$10000,8,FALSE),"0")</f>
        <v>0</v>
      </c>
      <c r="N5025" s="8"/>
      <c r="O5025" s="33" t="str">
        <f>IFERROR(VLOOKUP($M5025,'Informations sur les produits'!$A$3:$H$10000,8,FALSE),"0")</f>
        <v>0</v>
      </c>
      <c r="P5025" s="33">
        <f t="shared" si="312"/>
        <v>0</v>
      </c>
      <c r="Q5025" s="31" t="str">
        <f t="shared" si="313"/>
        <v/>
      </c>
      <c r="R5025" s="32" t="str">
        <f>IFERROR(VLOOKUP($D5025,'Informations sur les produits'!$A$3:$B$15000,2,FALSE),"")</f>
        <v/>
      </c>
      <c r="V5025">
        <f t="shared" si="314"/>
        <v>0</v>
      </c>
      <c r="W5025">
        <f t="shared" si="315"/>
        <v>0</v>
      </c>
    </row>
    <row r="5026" spans="5:23" x14ac:dyDescent="0.25">
      <c r="E5026" s="4"/>
      <c r="F5026" s="4"/>
      <c r="G5026" s="33" t="str">
        <f>IFERROR(VLOOKUP($D5026,'Informations sur les produits'!$A$3:$H$10000,8,FALSE),"0")</f>
        <v>0</v>
      </c>
      <c r="K5026" s="4"/>
      <c r="L5026" s="33" t="str">
        <f>IFERROR(VLOOKUP($J5026,'Informations sur les produits'!$A$3:$H$10000,8,FALSE),"0")</f>
        <v>0</v>
      </c>
      <c r="N5026" s="8"/>
      <c r="O5026" s="33" t="str">
        <f>IFERROR(VLOOKUP($M5026,'Informations sur les produits'!$A$3:$H$10000,8,FALSE),"0")</f>
        <v>0</v>
      </c>
      <c r="P5026" s="33">
        <f t="shared" si="312"/>
        <v>0</v>
      </c>
      <c r="Q5026" s="31" t="str">
        <f t="shared" si="313"/>
        <v/>
      </c>
      <c r="R5026" s="32" t="str">
        <f>IFERROR(VLOOKUP($D5026,'Informations sur les produits'!$A$3:$B$15000,2,FALSE),"")</f>
        <v/>
      </c>
      <c r="V5026">
        <f t="shared" si="314"/>
        <v>0</v>
      </c>
      <c r="W5026">
        <f t="shared" si="315"/>
        <v>0</v>
      </c>
    </row>
    <row r="5027" spans="5:23" x14ac:dyDescent="0.25">
      <c r="E5027" s="4"/>
      <c r="F5027" s="4"/>
      <c r="G5027" s="33" t="str">
        <f>IFERROR(VLOOKUP($D5027,'Informations sur les produits'!$A$3:$H$10000,8,FALSE),"0")</f>
        <v>0</v>
      </c>
      <c r="K5027" s="4"/>
      <c r="L5027" s="33" t="str">
        <f>IFERROR(VLOOKUP($J5027,'Informations sur les produits'!$A$3:$H$10000,8,FALSE),"0")</f>
        <v>0</v>
      </c>
      <c r="N5027" s="8"/>
      <c r="O5027" s="33" t="str">
        <f>IFERROR(VLOOKUP($M5027,'Informations sur les produits'!$A$3:$H$10000,8,FALSE),"0")</f>
        <v>0</v>
      </c>
      <c r="P5027" s="33">
        <f t="shared" si="312"/>
        <v>0</v>
      </c>
      <c r="Q5027" s="31" t="str">
        <f t="shared" si="313"/>
        <v/>
      </c>
      <c r="R5027" s="32" t="str">
        <f>IFERROR(VLOOKUP($D5027,'Informations sur les produits'!$A$3:$B$15000,2,FALSE),"")</f>
        <v/>
      </c>
      <c r="V5027">
        <f t="shared" si="314"/>
        <v>0</v>
      </c>
      <c r="W5027">
        <f t="shared" si="315"/>
        <v>0</v>
      </c>
    </row>
    <row r="5028" spans="5:23" x14ac:dyDescent="0.25">
      <c r="E5028" s="4"/>
      <c r="F5028" s="4"/>
      <c r="G5028" s="33" t="str">
        <f>IFERROR(VLOOKUP($D5028,'Informations sur les produits'!$A$3:$H$10000,8,FALSE),"0")</f>
        <v>0</v>
      </c>
      <c r="K5028" s="4"/>
      <c r="L5028" s="33" t="str">
        <f>IFERROR(VLOOKUP($J5028,'Informations sur les produits'!$A$3:$H$10000,8,FALSE),"0")</f>
        <v>0</v>
      </c>
      <c r="N5028" s="8"/>
      <c r="O5028" s="33" t="str">
        <f>IFERROR(VLOOKUP($M5028,'Informations sur les produits'!$A$3:$H$10000,8,FALSE),"0")</f>
        <v>0</v>
      </c>
      <c r="P5028" s="33">
        <f t="shared" si="312"/>
        <v>0</v>
      </c>
      <c r="Q5028" s="31" t="str">
        <f t="shared" si="313"/>
        <v/>
      </c>
      <c r="R5028" s="32" t="str">
        <f>IFERROR(VLOOKUP($D5028,'Informations sur les produits'!$A$3:$B$15000,2,FALSE),"")</f>
        <v/>
      </c>
      <c r="V5028">
        <f t="shared" si="314"/>
        <v>0</v>
      </c>
      <c r="W5028">
        <f t="shared" si="315"/>
        <v>0</v>
      </c>
    </row>
    <row r="5029" spans="5:23" x14ac:dyDescent="0.25">
      <c r="E5029" s="4"/>
      <c r="F5029" s="4"/>
      <c r="G5029" s="33" t="str">
        <f>IFERROR(VLOOKUP($D5029,'Informations sur les produits'!$A$3:$H$10000,8,FALSE),"0")</f>
        <v>0</v>
      </c>
      <c r="K5029" s="4"/>
      <c r="L5029" s="33" t="str">
        <f>IFERROR(VLOOKUP($J5029,'Informations sur les produits'!$A$3:$H$10000,8,FALSE),"0")</f>
        <v>0</v>
      </c>
      <c r="N5029" s="8"/>
      <c r="O5029" s="33" t="str">
        <f>IFERROR(VLOOKUP($M5029,'Informations sur les produits'!$A$3:$H$10000,8,FALSE),"0")</f>
        <v>0</v>
      </c>
      <c r="P5029" s="33">
        <f t="shared" si="312"/>
        <v>0</v>
      </c>
      <c r="Q5029" s="31" t="str">
        <f t="shared" si="313"/>
        <v/>
      </c>
      <c r="R5029" s="32" t="str">
        <f>IFERROR(VLOOKUP($D5029,'Informations sur les produits'!$A$3:$B$15000,2,FALSE),"")</f>
        <v/>
      </c>
      <c r="V5029">
        <f t="shared" si="314"/>
        <v>0</v>
      </c>
      <c r="W5029">
        <f t="shared" si="315"/>
        <v>0</v>
      </c>
    </row>
    <row r="5030" spans="5:23" x14ac:dyDescent="0.25">
      <c r="E5030" s="4"/>
      <c r="F5030" s="4"/>
      <c r="G5030" s="33" t="str">
        <f>IFERROR(VLOOKUP($D5030,'Informations sur les produits'!$A$3:$H$10000,8,FALSE),"0")</f>
        <v>0</v>
      </c>
      <c r="K5030" s="4"/>
      <c r="L5030" s="33" t="str">
        <f>IFERROR(VLOOKUP($J5030,'Informations sur les produits'!$A$3:$H$10000,8,FALSE),"0")</f>
        <v>0</v>
      </c>
      <c r="N5030" s="8"/>
      <c r="O5030" s="33" t="str">
        <f>IFERROR(VLOOKUP($M5030,'Informations sur les produits'!$A$3:$H$10000,8,FALSE),"0")</f>
        <v>0</v>
      </c>
      <c r="P5030" s="33">
        <f t="shared" si="312"/>
        <v>0</v>
      </c>
      <c r="Q5030" s="31" t="str">
        <f t="shared" si="313"/>
        <v/>
      </c>
      <c r="R5030" s="32" t="str">
        <f>IFERROR(VLOOKUP($D5030,'Informations sur les produits'!$A$3:$B$15000,2,FALSE),"")</f>
        <v/>
      </c>
      <c r="V5030">
        <f t="shared" si="314"/>
        <v>0</v>
      </c>
      <c r="W5030">
        <f t="shared" si="315"/>
        <v>0</v>
      </c>
    </row>
    <row r="5031" spans="5:23" x14ac:dyDescent="0.25">
      <c r="E5031" s="4"/>
      <c r="F5031" s="4"/>
      <c r="G5031" s="33" t="str">
        <f>IFERROR(VLOOKUP($D5031,'Informations sur les produits'!$A$3:$H$10000,8,FALSE),"0")</f>
        <v>0</v>
      </c>
      <c r="K5031" s="4"/>
      <c r="L5031" s="33" t="str">
        <f>IFERROR(VLOOKUP($J5031,'Informations sur les produits'!$A$3:$H$10000,8,FALSE),"0")</f>
        <v>0</v>
      </c>
      <c r="N5031" s="8"/>
      <c r="O5031" s="33" t="str">
        <f>IFERROR(VLOOKUP($M5031,'Informations sur les produits'!$A$3:$H$10000,8,FALSE),"0")</f>
        <v>0</v>
      </c>
      <c r="P5031" s="33">
        <f t="shared" si="312"/>
        <v>0</v>
      </c>
      <c r="Q5031" s="31" t="str">
        <f t="shared" si="313"/>
        <v/>
      </c>
      <c r="R5031" s="32" t="str">
        <f>IFERROR(VLOOKUP($D5031,'Informations sur les produits'!$A$3:$B$15000,2,FALSE),"")</f>
        <v/>
      </c>
      <c r="V5031">
        <f t="shared" si="314"/>
        <v>0</v>
      </c>
      <c r="W5031">
        <f t="shared" si="315"/>
        <v>0</v>
      </c>
    </row>
    <row r="5032" spans="5:23" x14ac:dyDescent="0.25">
      <c r="E5032" s="4"/>
      <c r="F5032" s="4"/>
      <c r="G5032" s="33" t="str">
        <f>IFERROR(VLOOKUP($D5032,'Informations sur les produits'!$A$3:$H$10000,8,FALSE),"0")</f>
        <v>0</v>
      </c>
      <c r="K5032" s="4"/>
      <c r="L5032" s="33" t="str">
        <f>IFERROR(VLOOKUP($J5032,'Informations sur les produits'!$A$3:$H$10000,8,FALSE),"0")</f>
        <v>0</v>
      </c>
      <c r="N5032" s="8"/>
      <c r="O5032" s="33" t="str">
        <f>IFERROR(VLOOKUP($M5032,'Informations sur les produits'!$A$3:$H$10000,8,FALSE),"0")</f>
        <v>0</v>
      </c>
      <c r="P5032" s="33">
        <f t="shared" si="312"/>
        <v>0</v>
      </c>
      <c r="Q5032" s="31" t="str">
        <f t="shared" si="313"/>
        <v/>
      </c>
      <c r="R5032" s="32" t="str">
        <f>IFERROR(VLOOKUP($D5032,'Informations sur les produits'!$A$3:$B$15000,2,FALSE),"")</f>
        <v/>
      </c>
      <c r="V5032">
        <f t="shared" si="314"/>
        <v>0</v>
      </c>
      <c r="W5032">
        <f t="shared" si="315"/>
        <v>0</v>
      </c>
    </row>
    <row r="5033" spans="5:23" x14ac:dyDescent="0.25">
      <c r="E5033" s="4"/>
      <c r="F5033" s="4"/>
      <c r="G5033" s="33" t="str">
        <f>IFERROR(VLOOKUP($D5033,'Informations sur les produits'!$A$3:$H$10000,8,FALSE),"0")</f>
        <v>0</v>
      </c>
      <c r="K5033" s="4"/>
      <c r="L5033" s="33" t="str">
        <f>IFERROR(VLOOKUP($J5033,'Informations sur les produits'!$A$3:$H$10000,8,FALSE),"0")</f>
        <v>0</v>
      </c>
      <c r="N5033" s="8"/>
      <c r="O5033" s="33" t="str">
        <f>IFERROR(VLOOKUP($M5033,'Informations sur les produits'!$A$3:$H$10000,8,FALSE),"0")</f>
        <v>0</v>
      </c>
      <c r="P5033" s="33">
        <f t="shared" si="312"/>
        <v>0</v>
      </c>
      <c r="Q5033" s="31" t="str">
        <f t="shared" si="313"/>
        <v/>
      </c>
      <c r="R5033" s="32" t="str">
        <f>IFERROR(VLOOKUP($D5033,'Informations sur les produits'!$A$3:$B$15000,2,FALSE),"")</f>
        <v/>
      </c>
      <c r="V5033">
        <f t="shared" si="314"/>
        <v>0</v>
      </c>
      <c r="W5033">
        <f t="shared" si="315"/>
        <v>0</v>
      </c>
    </row>
    <row r="5034" spans="5:23" x14ac:dyDescent="0.25">
      <c r="E5034" s="4"/>
      <c r="F5034" s="4"/>
      <c r="G5034" s="33" t="str">
        <f>IFERROR(VLOOKUP($D5034,'Informations sur les produits'!$A$3:$H$10000,8,FALSE),"0")</f>
        <v>0</v>
      </c>
      <c r="K5034" s="4"/>
      <c r="L5034" s="33" t="str">
        <f>IFERROR(VLOOKUP($J5034,'Informations sur les produits'!$A$3:$H$10000,8,FALSE),"0")</f>
        <v>0</v>
      </c>
      <c r="N5034" s="8"/>
      <c r="O5034" s="33" t="str">
        <f>IFERROR(VLOOKUP($M5034,'Informations sur les produits'!$A$3:$H$10000,8,FALSE),"0")</f>
        <v>0</v>
      </c>
      <c r="P5034" s="33">
        <f t="shared" si="312"/>
        <v>0</v>
      </c>
      <c r="Q5034" s="31" t="str">
        <f t="shared" si="313"/>
        <v/>
      </c>
      <c r="R5034" s="32" t="str">
        <f>IFERROR(VLOOKUP($D5034,'Informations sur les produits'!$A$3:$B$15000,2,FALSE),"")</f>
        <v/>
      </c>
      <c r="V5034">
        <f t="shared" si="314"/>
        <v>0</v>
      </c>
      <c r="W5034">
        <f t="shared" si="315"/>
        <v>0</v>
      </c>
    </row>
    <row r="5035" spans="5:23" x14ac:dyDescent="0.25">
      <c r="E5035" s="4"/>
      <c r="F5035" s="4"/>
      <c r="G5035" s="33" t="str">
        <f>IFERROR(VLOOKUP($D5035,'Informations sur les produits'!$A$3:$H$10000,8,FALSE),"0")</f>
        <v>0</v>
      </c>
      <c r="K5035" s="4"/>
      <c r="L5035" s="33" t="str">
        <f>IFERROR(VLOOKUP($J5035,'Informations sur les produits'!$A$3:$H$10000,8,FALSE),"0")</f>
        <v>0</v>
      </c>
      <c r="N5035" s="8"/>
      <c r="O5035" s="33" t="str">
        <f>IFERROR(VLOOKUP($M5035,'Informations sur les produits'!$A$3:$H$10000,8,FALSE),"0")</f>
        <v>0</v>
      </c>
      <c r="P5035" s="33">
        <f t="shared" si="312"/>
        <v>0</v>
      </c>
      <c r="Q5035" s="31" t="str">
        <f t="shared" si="313"/>
        <v/>
      </c>
      <c r="R5035" s="32" t="str">
        <f>IFERROR(VLOOKUP($D5035,'Informations sur les produits'!$A$3:$B$15000,2,FALSE),"")</f>
        <v/>
      </c>
      <c r="V5035">
        <f t="shared" si="314"/>
        <v>0</v>
      </c>
      <c r="W5035">
        <f t="shared" si="315"/>
        <v>0</v>
      </c>
    </row>
    <row r="5036" spans="5:23" x14ac:dyDescent="0.25">
      <c r="E5036" s="4"/>
      <c r="F5036" s="4"/>
      <c r="G5036" s="33" t="str">
        <f>IFERROR(VLOOKUP($D5036,'Informations sur les produits'!$A$3:$H$10000,8,FALSE),"0")</f>
        <v>0</v>
      </c>
      <c r="K5036" s="4"/>
      <c r="L5036" s="33" t="str">
        <f>IFERROR(VLOOKUP($J5036,'Informations sur les produits'!$A$3:$H$10000,8,FALSE),"0")</f>
        <v>0</v>
      </c>
      <c r="N5036" s="8"/>
      <c r="O5036" s="33" t="str">
        <f>IFERROR(VLOOKUP($M5036,'Informations sur les produits'!$A$3:$H$10000,8,FALSE),"0")</f>
        <v>0</v>
      </c>
      <c r="P5036" s="33">
        <f t="shared" si="312"/>
        <v>0</v>
      </c>
      <c r="Q5036" s="31" t="str">
        <f t="shared" si="313"/>
        <v/>
      </c>
      <c r="R5036" s="32" t="str">
        <f>IFERROR(VLOOKUP($D5036,'Informations sur les produits'!$A$3:$B$15000,2,FALSE),"")</f>
        <v/>
      </c>
      <c r="V5036">
        <f t="shared" si="314"/>
        <v>0</v>
      </c>
      <c r="W5036">
        <f t="shared" si="315"/>
        <v>0</v>
      </c>
    </row>
    <row r="5037" spans="5:23" x14ac:dyDescent="0.25">
      <c r="E5037" s="4"/>
      <c r="F5037" s="4"/>
      <c r="G5037" s="33" t="str">
        <f>IFERROR(VLOOKUP($D5037,'Informations sur les produits'!$A$3:$H$10000,8,FALSE),"0")</f>
        <v>0</v>
      </c>
      <c r="K5037" s="4"/>
      <c r="L5037" s="33" t="str">
        <f>IFERROR(VLOOKUP($J5037,'Informations sur les produits'!$A$3:$H$10000,8,FALSE),"0")</f>
        <v>0</v>
      </c>
      <c r="N5037" s="8"/>
      <c r="O5037" s="33" t="str">
        <f>IFERROR(VLOOKUP($M5037,'Informations sur les produits'!$A$3:$H$10000,8,FALSE),"0")</f>
        <v>0</v>
      </c>
      <c r="P5037" s="33">
        <f t="shared" si="312"/>
        <v>0</v>
      </c>
      <c r="Q5037" s="31" t="str">
        <f t="shared" si="313"/>
        <v/>
      </c>
      <c r="R5037" s="32" t="str">
        <f>IFERROR(VLOOKUP($D5037,'Informations sur les produits'!$A$3:$B$15000,2,FALSE),"")</f>
        <v/>
      </c>
      <c r="V5037">
        <f t="shared" si="314"/>
        <v>0</v>
      </c>
      <c r="W5037">
        <f t="shared" si="315"/>
        <v>0</v>
      </c>
    </row>
    <row r="5038" spans="5:23" x14ac:dyDescent="0.25">
      <c r="E5038" s="4"/>
      <c r="F5038" s="4"/>
      <c r="G5038" s="33" t="str">
        <f>IFERROR(VLOOKUP($D5038,'Informations sur les produits'!$A$3:$H$10000,8,FALSE),"0")</f>
        <v>0</v>
      </c>
      <c r="K5038" s="4"/>
      <c r="L5038" s="33" t="str">
        <f>IFERROR(VLOOKUP($J5038,'Informations sur les produits'!$A$3:$H$10000,8,FALSE),"0")</f>
        <v>0</v>
      </c>
      <c r="N5038" s="8"/>
      <c r="O5038" s="33" t="str">
        <f>IFERROR(VLOOKUP($M5038,'Informations sur les produits'!$A$3:$H$10000,8,FALSE),"0")</f>
        <v>0</v>
      </c>
      <c r="P5038" s="33">
        <f t="shared" si="312"/>
        <v>0</v>
      </c>
      <c r="Q5038" s="31" t="str">
        <f t="shared" si="313"/>
        <v/>
      </c>
      <c r="R5038" s="32" t="str">
        <f>IFERROR(VLOOKUP($D5038,'Informations sur les produits'!$A$3:$B$15000,2,FALSE),"")</f>
        <v/>
      </c>
      <c r="V5038">
        <f t="shared" si="314"/>
        <v>0</v>
      </c>
      <c r="W5038">
        <f t="shared" si="315"/>
        <v>0</v>
      </c>
    </row>
    <row r="5039" spans="5:23" x14ac:dyDescent="0.25">
      <c r="E5039" s="4"/>
      <c r="F5039" s="4"/>
      <c r="G5039" s="33" t="str">
        <f>IFERROR(VLOOKUP($D5039,'Informations sur les produits'!$A$3:$H$10000,8,FALSE),"0")</f>
        <v>0</v>
      </c>
      <c r="K5039" s="4"/>
      <c r="L5039" s="33" t="str">
        <f>IFERROR(VLOOKUP($J5039,'Informations sur les produits'!$A$3:$H$10000,8,FALSE),"0")</f>
        <v>0</v>
      </c>
      <c r="N5039" s="8"/>
      <c r="O5039" s="33" t="str">
        <f>IFERROR(VLOOKUP($M5039,'Informations sur les produits'!$A$3:$H$10000,8,FALSE),"0")</f>
        <v>0</v>
      </c>
      <c r="P5039" s="33">
        <f t="shared" si="312"/>
        <v>0</v>
      </c>
      <c r="Q5039" s="31" t="str">
        <f t="shared" si="313"/>
        <v/>
      </c>
      <c r="R5039" s="32" t="str">
        <f>IFERROR(VLOOKUP($D5039,'Informations sur les produits'!$A$3:$B$15000,2,FALSE),"")</f>
        <v/>
      </c>
      <c r="V5039">
        <f t="shared" si="314"/>
        <v>0</v>
      </c>
      <c r="W5039">
        <f t="shared" si="315"/>
        <v>0</v>
      </c>
    </row>
    <row r="5040" spans="5:23" x14ac:dyDescent="0.25">
      <c r="E5040" s="4"/>
      <c r="F5040" s="4"/>
      <c r="G5040" s="33" t="str">
        <f>IFERROR(VLOOKUP($D5040,'Informations sur les produits'!$A$3:$H$10000,8,FALSE),"0")</f>
        <v>0</v>
      </c>
      <c r="K5040" s="4"/>
      <c r="L5040" s="33" t="str">
        <f>IFERROR(VLOOKUP($J5040,'Informations sur les produits'!$A$3:$H$10000,8,FALSE),"0")</f>
        <v>0</v>
      </c>
      <c r="N5040" s="8"/>
      <c r="O5040" s="33" t="str">
        <f>IFERROR(VLOOKUP($M5040,'Informations sur les produits'!$A$3:$H$10000,8,FALSE),"0")</f>
        <v>0</v>
      </c>
      <c r="P5040" s="33">
        <f t="shared" si="312"/>
        <v>0</v>
      </c>
      <c r="Q5040" s="31" t="str">
        <f t="shared" si="313"/>
        <v/>
      </c>
      <c r="R5040" s="32" t="str">
        <f>IFERROR(VLOOKUP($D5040,'Informations sur les produits'!$A$3:$B$15000,2,FALSE),"")</f>
        <v/>
      </c>
      <c r="V5040">
        <f t="shared" si="314"/>
        <v>0</v>
      </c>
      <c r="W5040">
        <f t="shared" si="315"/>
        <v>0</v>
      </c>
    </row>
    <row r="5041" spans="5:23" x14ac:dyDescent="0.25">
      <c r="E5041" s="4"/>
      <c r="F5041" s="4"/>
      <c r="G5041" s="33" t="str">
        <f>IFERROR(VLOOKUP($D5041,'Informations sur les produits'!$A$3:$H$10000,8,FALSE),"0")</f>
        <v>0</v>
      </c>
      <c r="K5041" s="4"/>
      <c r="L5041" s="33" t="str">
        <f>IFERROR(VLOOKUP($J5041,'Informations sur les produits'!$A$3:$H$10000,8,FALSE),"0")</f>
        <v>0</v>
      </c>
      <c r="N5041" s="8"/>
      <c r="O5041" s="33" t="str">
        <f>IFERROR(VLOOKUP($M5041,'Informations sur les produits'!$A$3:$H$10000,8,FALSE),"0")</f>
        <v>0</v>
      </c>
      <c r="P5041" s="33">
        <f t="shared" si="312"/>
        <v>0</v>
      </c>
      <c r="Q5041" s="31" t="str">
        <f t="shared" si="313"/>
        <v/>
      </c>
      <c r="R5041" s="32" t="str">
        <f>IFERROR(VLOOKUP($D5041,'Informations sur les produits'!$A$3:$B$15000,2,FALSE),"")</f>
        <v/>
      </c>
      <c r="V5041">
        <f t="shared" si="314"/>
        <v>0</v>
      </c>
      <c r="W5041">
        <f t="shared" si="315"/>
        <v>0</v>
      </c>
    </row>
    <row r="5042" spans="5:23" x14ac:dyDescent="0.25">
      <c r="E5042" s="4"/>
      <c r="F5042" s="4"/>
      <c r="G5042" s="33" t="str">
        <f>IFERROR(VLOOKUP($D5042,'Informations sur les produits'!$A$3:$H$10000,8,FALSE),"0")</f>
        <v>0</v>
      </c>
      <c r="K5042" s="4"/>
      <c r="L5042" s="33" t="str">
        <f>IFERROR(VLOOKUP($J5042,'Informations sur les produits'!$A$3:$H$10000,8,FALSE),"0")</f>
        <v>0</v>
      </c>
      <c r="N5042" s="8"/>
      <c r="O5042" s="33" t="str">
        <f>IFERROR(VLOOKUP($M5042,'Informations sur les produits'!$A$3:$H$10000,8,FALSE),"0")</f>
        <v>0</v>
      </c>
      <c r="P5042" s="33">
        <f t="shared" si="312"/>
        <v>0</v>
      </c>
      <c r="Q5042" s="31" t="str">
        <f t="shared" si="313"/>
        <v/>
      </c>
      <c r="R5042" s="32" t="str">
        <f>IFERROR(VLOOKUP($D5042,'Informations sur les produits'!$A$3:$B$15000,2,FALSE),"")</f>
        <v/>
      </c>
      <c r="V5042">
        <f t="shared" si="314"/>
        <v>0</v>
      </c>
      <c r="W5042">
        <f t="shared" si="315"/>
        <v>0</v>
      </c>
    </row>
    <row r="5043" spans="5:23" x14ac:dyDescent="0.25">
      <c r="E5043" s="4"/>
      <c r="F5043" s="4"/>
      <c r="G5043" s="33" t="str">
        <f>IFERROR(VLOOKUP($D5043,'Informations sur les produits'!$A$3:$H$10000,8,FALSE),"0")</f>
        <v>0</v>
      </c>
      <c r="K5043" s="4"/>
      <c r="L5043" s="33" t="str">
        <f>IFERROR(VLOOKUP($J5043,'Informations sur les produits'!$A$3:$H$10000,8,FALSE),"0")</f>
        <v>0</v>
      </c>
      <c r="N5043" s="8"/>
      <c r="O5043" s="33" t="str">
        <f>IFERROR(VLOOKUP($M5043,'Informations sur les produits'!$A$3:$H$10000,8,FALSE),"0")</f>
        <v>0</v>
      </c>
      <c r="P5043" s="33">
        <f t="shared" si="312"/>
        <v>0</v>
      </c>
      <c r="Q5043" s="31" t="str">
        <f t="shared" si="313"/>
        <v/>
      </c>
      <c r="R5043" s="32" t="str">
        <f>IFERROR(VLOOKUP($D5043,'Informations sur les produits'!$A$3:$B$15000,2,FALSE),"")</f>
        <v/>
      </c>
      <c r="V5043">
        <f t="shared" si="314"/>
        <v>0</v>
      </c>
      <c r="W5043">
        <f t="shared" si="315"/>
        <v>0</v>
      </c>
    </row>
    <row r="5044" spans="5:23" x14ac:dyDescent="0.25">
      <c r="E5044" s="4"/>
      <c r="F5044" s="4"/>
      <c r="G5044" s="33" t="str">
        <f>IFERROR(VLOOKUP($D5044,'Informations sur les produits'!$A$3:$H$10000,8,FALSE),"0")</f>
        <v>0</v>
      </c>
      <c r="K5044" s="4"/>
      <c r="L5044" s="33" t="str">
        <f>IFERROR(VLOOKUP($J5044,'Informations sur les produits'!$A$3:$H$10000,8,FALSE),"0")</f>
        <v>0</v>
      </c>
      <c r="N5044" s="8"/>
      <c r="O5044" s="33" t="str">
        <f>IFERROR(VLOOKUP($M5044,'Informations sur les produits'!$A$3:$H$10000,8,FALSE),"0")</f>
        <v>0</v>
      </c>
      <c r="P5044" s="33">
        <f t="shared" si="312"/>
        <v>0</v>
      </c>
      <c r="Q5044" s="31" t="str">
        <f t="shared" si="313"/>
        <v/>
      </c>
      <c r="R5044" s="32" t="str">
        <f>IFERROR(VLOOKUP($D5044,'Informations sur les produits'!$A$3:$B$15000,2,FALSE),"")</f>
        <v/>
      </c>
      <c r="V5044">
        <f t="shared" si="314"/>
        <v>0</v>
      </c>
      <c r="W5044">
        <f t="shared" si="315"/>
        <v>0</v>
      </c>
    </row>
    <row r="5045" spans="5:23" x14ac:dyDescent="0.25">
      <c r="E5045" s="4"/>
      <c r="F5045" s="4"/>
      <c r="G5045" s="33" t="str">
        <f>IFERROR(VLOOKUP($D5045,'Informations sur les produits'!$A$3:$H$10000,8,FALSE),"0")</f>
        <v>0</v>
      </c>
      <c r="K5045" s="4"/>
      <c r="L5045" s="33" t="str">
        <f>IFERROR(VLOOKUP($J5045,'Informations sur les produits'!$A$3:$H$10000,8,FALSE),"0")</f>
        <v>0</v>
      </c>
      <c r="N5045" s="8"/>
      <c r="O5045" s="33" t="str">
        <f>IFERROR(VLOOKUP($M5045,'Informations sur les produits'!$A$3:$H$10000,8,FALSE),"0")</f>
        <v>0</v>
      </c>
      <c r="P5045" s="33">
        <f t="shared" si="312"/>
        <v>0</v>
      </c>
      <c r="Q5045" s="31" t="str">
        <f t="shared" si="313"/>
        <v/>
      </c>
      <c r="R5045" s="32" t="str">
        <f>IFERROR(VLOOKUP($D5045,'Informations sur les produits'!$A$3:$B$15000,2,FALSE),"")</f>
        <v/>
      </c>
      <c r="V5045">
        <f t="shared" si="314"/>
        <v>0</v>
      </c>
      <c r="W5045">
        <f t="shared" si="315"/>
        <v>0</v>
      </c>
    </row>
    <row r="5046" spans="5:23" x14ac:dyDescent="0.25">
      <c r="E5046" s="4"/>
      <c r="F5046" s="4"/>
      <c r="G5046" s="33" t="str">
        <f>IFERROR(VLOOKUP($D5046,'Informations sur les produits'!$A$3:$H$10000,8,FALSE),"0")</f>
        <v>0</v>
      </c>
      <c r="K5046" s="4"/>
      <c r="L5046" s="33" t="str">
        <f>IFERROR(VLOOKUP($J5046,'Informations sur les produits'!$A$3:$H$10000,8,FALSE),"0")</f>
        <v>0</v>
      </c>
      <c r="N5046" s="8"/>
      <c r="O5046" s="33" t="str">
        <f>IFERROR(VLOOKUP($M5046,'Informations sur les produits'!$A$3:$H$10000,8,FALSE),"0")</f>
        <v>0</v>
      </c>
      <c r="P5046" s="33">
        <f t="shared" si="312"/>
        <v>0</v>
      </c>
      <c r="Q5046" s="31" t="str">
        <f t="shared" si="313"/>
        <v/>
      </c>
      <c r="R5046" s="32" t="str">
        <f>IFERROR(VLOOKUP($D5046,'Informations sur les produits'!$A$3:$B$15000,2,FALSE),"")</f>
        <v/>
      </c>
      <c r="V5046">
        <f t="shared" si="314"/>
        <v>0</v>
      </c>
      <c r="W5046">
        <f t="shared" si="315"/>
        <v>0</v>
      </c>
    </row>
    <row r="5047" spans="5:23" x14ac:dyDescent="0.25">
      <c r="E5047" s="4"/>
      <c r="F5047" s="4"/>
      <c r="G5047" s="33" t="str">
        <f>IFERROR(VLOOKUP($D5047,'Informations sur les produits'!$A$3:$H$10000,8,FALSE),"0")</f>
        <v>0</v>
      </c>
      <c r="K5047" s="4"/>
      <c r="L5047" s="33" t="str">
        <f>IFERROR(VLOOKUP($J5047,'Informations sur les produits'!$A$3:$H$10000,8,FALSE),"0")</f>
        <v>0</v>
      </c>
      <c r="N5047" s="8"/>
      <c r="O5047" s="33" t="str">
        <f>IFERROR(VLOOKUP($M5047,'Informations sur les produits'!$A$3:$H$10000,8,FALSE),"0")</f>
        <v>0</v>
      </c>
      <c r="P5047" s="33">
        <f t="shared" si="312"/>
        <v>0</v>
      </c>
      <c r="Q5047" s="31" t="str">
        <f t="shared" si="313"/>
        <v/>
      </c>
      <c r="R5047" s="32" t="str">
        <f>IFERROR(VLOOKUP($D5047,'Informations sur les produits'!$A$3:$B$15000,2,FALSE),"")</f>
        <v/>
      </c>
      <c r="V5047">
        <f t="shared" si="314"/>
        <v>0</v>
      </c>
      <c r="W5047">
        <f t="shared" si="315"/>
        <v>0</v>
      </c>
    </row>
    <row r="5048" spans="5:23" x14ac:dyDescent="0.25">
      <c r="E5048" s="4"/>
      <c r="F5048" s="4"/>
      <c r="G5048" s="33" t="str">
        <f>IFERROR(VLOOKUP($D5048,'Informations sur les produits'!$A$3:$H$10000,8,FALSE),"0")</f>
        <v>0</v>
      </c>
      <c r="K5048" s="4"/>
      <c r="L5048" s="33" t="str">
        <f>IFERROR(VLOOKUP($J5048,'Informations sur les produits'!$A$3:$H$10000,8,FALSE),"0")</f>
        <v>0</v>
      </c>
      <c r="N5048" s="8"/>
      <c r="O5048" s="33" t="str">
        <f>IFERROR(VLOOKUP($M5048,'Informations sur les produits'!$A$3:$H$10000,8,FALSE),"0")</f>
        <v>0</v>
      </c>
      <c r="P5048" s="33">
        <f t="shared" si="312"/>
        <v>0</v>
      </c>
      <c r="Q5048" s="31" t="str">
        <f t="shared" si="313"/>
        <v/>
      </c>
      <c r="R5048" s="32" t="str">
        <f>IFERROR(VLOOKUP($D5048,'Informations sur les produits'!$A$3:$B$15000,2,FALSE),"")</f>
        <v/>
      </c>
      <c r="V5048">
        <f t="shared" si="314"/>
        <v>0</v>
      </c>
      <c r="W5048">
        <f t="shared" si="315"/>
        <v>0</v>
      </c>
    </row>
    <row r="5049" spans="5:23" x14ac:dyDescent="0.25">
      <c r="E5049" s="4"/>
      <c r="F5049" s="4"/>
      <c r="G5049" s="33" t="str">
        <f>IFERROR(VLOOKUP($D5049,'Informations sur les produits'!$A$3:$H$10000,8,FALSE),"0")</f>
        <v>0</v>
      </c>
      <c r="K5049" s="4"/>
      <c r="L5049" s="33" t="str">
        <f>IFERROR(VLOOKUP($J5049,'Informations sur les produits'!$A$3:$H$10000,8,FALSE),"0")</f>
        <v>0</v>
      </c>
      <c r="N5049" s="8"/>
      <c r="O5049" s="33" t="str">
        <f>IFERROR(VLOOKUP($M5049,'Informations sur les produits'!$A$3:$H$10000,8,FALSE),"0")</f>
        <v>0</v>
      </c>
      <c r="P5049" s="33">
        <f t="shared" si="312"/>
        <v>0</v>
      </c>
      <c r="Q5049" s="31" t="str">
        <f t="shared" si="313"/>
        <v/>
      </c>
      <c r="R5049" s="32" t="str">
        <f>IFERROR(VLOOKUP($D5049,'Informations sur les produits'!$A$3:$B$15000,2,FALSE),"")</f>
        <v/>
      </c>
      <c r="V5049">
        <f t="shared" si="314"/>
        <v>0</v>
      </c>
      <c r="W5049">
        <f t="shared" si="315"/>
        <v>0</v>
      </c>
    </row>
    <row r="5050" spans="5:23" x14ac:dyDescent="0.25">
      <c r="E5050" s="4"/>
      <c r="F5050" s="4"/>
      <c r="G5050" s="33" t="str">
        <f>IFERROR(VLOOKUP($D5050,'Informations sur les produits'!$A$3:$H$10000,8,FALSE),"0")</f>
        <v>0</v>
      </c>
      <c r="K5050" s="4"/>
      <c r="L5050" s="33" t="str">
        <f>IFERROR(VLOOKUP($J5050,'Informations sur les produits'!$A$3:$H$10000,8,FALSE),"0")</f>
        <v>0</v>
      </c>
      <c r="N5050" s="8"/>
      <c r="O5050" s="33" t="str">
        <f>IFERROR(VLOOKUP($M5050,'Informations sur les produits'!$A$3:$H$10000,8,FALSE),"0")</f>
        <v>0</v>
      </c>
      <c r="P5050" s="33">
        <f t="shared" si="312"/>
        <v>0</v>
      </c>
      <c r="Q5050" s="31" t="str">
        <f t="shared" si="313"/>
        <v/>
      </c>
      <c r="R5050" s="32" t="str">
        <f>IFERROR(VLOOKUP($D5050,'Informations sur les produits'!$A$3:$B$15000,2,FALSE),"")</f>
        <v/>
      </c>
      <c r="V5050">
        <f t="shared" si="314"/>
        <v>0</v>
      </c>
      <c r="W5050">
        <f t="shared" si="315"/>
        <v>0</v>
      </c>
    </row>
    <row r="5051" spans="5:23" x14ac:dyDescent="0.25">
      <c r="E5051" s="4"/>
      <c r="F5051" s="4"/>
      <c r="G5051" s="33" t="str">
        <f>IFERROR(VLOOKUP($D5051,'Informations sur les produits'!$A$3:$H$10000,8,FALSE),"0")</f>
        <v>0</v>
      </c>
      <c r="K5051" s="4"/>
      <c r="L5051" s="33" t="str">
        <f>IFERROR(VLOOKUP($J5051,'Informations sur les produits'!$A$3:$H$10000,8,FALSE),"0")</f>
        <v>0</v>
      </c>
      <c r="N5051" s="8"/>
      <c r="O5051" s="33" t="str">
        <f>IFERROR(VLOOKUP($M5051,'Informations sur les produits'!$A$3:$H$10000,8,FALSE),"0")</f>
        <v>0</v>
      </c>
      <c r="P5051" s="33">
        <f t="shared" si="312"/>
        <v>0</v>
      </c>
      <c r="Q5051" s="31" t="str">
        <f t="shared" si="313"/>
        <v/>
      </c>
      <c r="R5051" s="32" t="str">
        <f>IFERROR(VLOOKUP($D5051,'Informations sur les produits'!$A$3:$B$15000,2,FALSE),"")</f>
        <v/>
      </c>
      <c r="V5051">
        <f t="shared" si="314"/>
        <v>0</v>
      </c>
      <c r="W5051">
        <f t="shared" si="315"/>
        <v>0</v>
      </c>
    </row>
    <row r="5052" spans="5:23" x14ac:dyDescent="0.25">
      <c r="E5052" s="4"/>
      <c r="F5052" s="4"/>
      <c r="G5052" s="33" t="str">
        <f>IFERROR(VLOOKUP($D5052,'Informations sur les produits'!$A$3:$H$10000,8,FALSE),"0")</f>
        <v>0</v>
      </c>
      <c r="K5052" s="4"/>
      <c r="L5052" s="33" t="str">
        <f>IFERROR(VLOOKUP($J5052,'Informations sur les produits'!$A$3:$H$10000,8,FALSE),"0")</f>
        <v>0</v>
      </c>
      <c r="N5052" s="8"/>
      <c r="O5052" s="33" t="str">
        <f>IFERROR(VLOOKUP($M5052,'Informations sur les produits'!$A$3:$H$10000,8,FALSE),"0")</f>
        <v>0</v>
      </c>
      <c r="P5052" s="33">
        <f t="shared" si="312"/>
        <v>0</v>
      </c>
      <c r="Q5052" s="31" t="str">
        <f t="shared" si="313"/>
        <v/>
      </c>
      <c r="R5052" s="32" t="str">
        <f>IFERROR(VLOOKUP($D5052,'Informations sur les produits'!$A$3:$B$15000,2,FALSE),"")</f>
        <v/>
      </c>
      <c r="V5052">
        <f t="shared" si="314"/>
        <v>0</v>
      </c>
      <c r="W5052">
        <f t="shared" si="315"/>
        <v>0</v>
      </c>
    </row>
    <row r="5053" spans="5:23" x14ac:dyDescent="0.25">
      <c r="E5053" s="4"/>
      <c r="F5053" s="4"/>
      <c r="G5053" s="33" t="str">
        <f>IFERROR(VLOOKUP($D5053,'Informations sur les produits'!$A$3:$H$10000,8,FALSE),"0")</f>
        <v>0</v>
      </c>
      <c r="K5053" s="4"/>
      <c r="L5053" s="33" t="str">
        <f>IFERROR(VLOOKUP($J5053,'Informations sur les produits'!$A$3:$H$10000,8,FALSE),"0")</f>
        <v>0</v>
      </c>
      <c r="N5053" s="8"/>
      <c r="O5053" s="33" t="str">
        <f>IFERROR(VLOOKUP($M5053,'Informations sur les produits'!$A$3:$H$10000,8,FALSE),"0")</f>
        <v>0</v>
      </c>
      <c r="P5053" s="33">
        <f t="shared" si="312"/>
        <v>0</v>
      </c>
      <c r="Q5053" s="31" t="str">
        <f t="shared" si="313"/>
        <v/>
      </c>
      <c r="R5053" s="32" t="str">
        <f>IFERROR(VLOOKUP($D5053,'Informations sur les produits'!$A$3:$B$15000,2,FALSE),"")</f>
        <v/>
      </c>
      <c r="V5053">
        <f t="shared" si="314"/>
        <v>0</v>
      </c>
      <c r="W5053">
        <f t="shared" si="315"/>
        <v>0</v>
      </c>
    </row>
    <row r="5054" spans="5:23" x14ac:dyDescent="0.25">
      <c r="E5054" s="4"/>
      <c r="F5054" s="4"/>
      <c r="G5054" s="33" t="str">
        <f>IFERROR(VLOOKUP($D5054,'Informations sur les produits'!$A$3:$H$10000,8,FALSE),"0")</f>
        <v>0</v>
      </c>
      <c r="K5054" s="4"/>
      <c r="L5054" s="33" t="str">
        <f>IFERROR(VLOOKUP($J5054,'Informations sur les produits'!$A$3:$H$10000,8,FALSE),"0")</f>
        <v>0</v>
      </c>
      <c r="N5054" s="8"/>
      <c r="O5054" s="33" t="str">
        <f>IFERROR(VLOOKUP($M5054,'Informations sur les produits'!$A$3:$H$10000,8,FALSE),"0")</f>
        <v>0</v>
      </c>
      <c r="P5054" s="33">
        <f t="shared" si="312"/>
        <v>0</v>
      </c>
      <c r="Q5054" s="31" t="str">
        <f t="shared" si="313"/>
        <v/>
      </c>
      <c r="R5054" s="32" t="str">
        <f>IFERROR(VLOOKUP($D5054,'Informations sur les produits'!$A$3:$B$15000,2,FALSE),"")</f>
        <v/>
      </c>
      <c r="V5054">
        <f t="shared" si="314"/>
        <v>0</v>
      </c>
      <c r="W5054">
        <f t="shared" si="315"/>
        <v>0</v>
      </c>
    </row>
    <row r="5055" spans="5:23" x14ac:dyDescent="0.25">
      <c r="E5055" s="4"/>
      <c r="F5055" s="4"/>
      <c r="G5055" s="33" t="str">
        <f>IFERROR(VLOOKUP($D5055,'Informations sur les produits'!$A$3:$H$10000,8,FALSE),"0")</f>
        <v>0</v>
      </c>
      <c r="K5055" s="4"/>
      <c r="L5055" s="33" t="str">
        <f>IFERROR(VLOOKUP($J5055,'Informations sur les produits'!$A$3:$H$10000,8,FALSE),"0")</f>
        <v>0</v>
      </c>
      <c r="N5055" s="8"/>
      <c r="O5055" s="33" t="str">
        <f>IFERROR(VLOOKUP($M5055,'Informations sur les produits'!$A$3:$H$10000,8,FALSE),"0")</f>
        <v>0</v>
      </c>
      <c r="P5055" s="33">
        <f t="shared" si="312"/>
        <v>0</v>
      </c>
      <c r="Q5055" s="31" t="str">
        <f t="shared" si="313"/>
        <v/>
      </c>
      <c r="R5055" s="32" t="str">
        <f>IFERROR(VLOOKUP($D5055,'Informations sur les produits'!$A$3:$B$15000,2,FALSE),"")</f>
        <v/>
      </c>
      <c r="V5055">
        <f t="shared" si="314"/>
        <v>0</v>
      </c>
      <c r="W5055">
        <f t="shared" si="315"/>
        <v>0</v>
      </c>
    </row>
    <row r="5056" spans="5:23" x14ac:dyDescent="0.25">
      <c r="E5056" s="4"/>
      <c r="F5056" s="4"/>
      <c r="G5056" s="33" t="str">
        <f>IFERROR(VLOOKUP($D5056,'Informations sur les produits'!$A$3:$H$10000,8,FALSE),"0")</f>
        <v>0</v>
      </c>
      <c r="K5056" s="4"/>
      <c r="L5056" s="33" t="str">
        <f>IFERROR(VLOOKUP($J5056,'Informations sur les produits'!$A$3:$H$10000,8,FALSE),"0")</f>
        <v>0</v>
      </c>
      <c r="N5056" s="8"/>
      <c r="O5056" s="33" t="str">
        <f>IFERROR(VLOOKUP($M5056,'Informations sur les produits'!$A$3:$H$10000,8,FALSE),"0")</f>
        <v>0</v>
      </c>
      <c r="P5056" s="33">
        <f t="shared" si="312"/>
        <v>0</v>
      </c>
      <c r="Q5056" s="31" t="str">
        <f t="shared" si="313"/>
        <v/>
      </c>
      <c r="R5056" s="32" t="str">
        <f>IFERROR(VLOOKUP($D5056,'Informations sur les produits'!$A$3:$B$15000,2,FALSE),"")</f>
        <v/>
      </c>
      <c r="V5056">
        <f t="shared" si="314"/>
        <v>0</v>
      </c>
      <c r="W5056">
        <f t="shared" si="315"/>
        <v>0</v>
      </c>
    </row>
    <row r="5057" spans="5:23" x14ac:dyDescent="0.25">
      <c r="E5057" s="4"/>
      <c r="F5057" s="4"/>
      <c r="G5057" s="33" t="str">
        <f>IFERROR(VLOOKUP($D5057,'Informations sur les produits'!$A$3:$H$10000,8,FALSE),"0")</f>
        <v>0</v>
      </c>
      <c r="K5057" s="4"/>
      <c r="L5057" s="33" t="str">
        <f>IFERROR(VLOOKUP($J5057,'Informations sur les produits'!$A$3:$H$10000,8,FALSE),"0")</f>
        <v>0</v>
      </c>
      <c r="N5057" s="8"/>
      <c r="O5057" s="33" t="str">
        <f>IFERROR(VLOOKUP($M5057,'Informations sur les produits'!$A$3:$H$10000,8,FALSE),"0")</f>
        <v>0</v>
      </c>
      <c r="P5057" s="33">
        <f t="shared" si="312"/>
        <v>0</v>
      </c>
      <c r="Q5057" s="31" t="str">
        <f t="shared" si="313"/>
        <v/>
      </c>
      <c r="R5057" s="32" t="str">
        <f>IFERROR(VLOOKUP($D5057,'Informations sur les produits'!$A$3:$B$15000,2,FALSE),"")</f>
        <v/>
      </c>
      <c r="V5057">
        <f t="shared" si="314"/>
        <v>0</v>
      </c>
      <c r="W5057">
        <f t="shared" si="315"/>
        <v>0</v>
      </c>
    </row>
    <row r="5058" spans="5:23" x14ac:dyDescent="0.25">
      <c r="E5058" s="4"/>
      <c r="F5058" s="4"/>
      <c r="G5058" s="33" t="str">
        <f>IFERROR(VLOOKUP($D5058,'Informations sur les produits'!$A$3:$H$10000,8,FALSE),"0")</f>
        <v>0</v>
      </c>
      <c r="K5058" s="4"/>
      <c r="L5058" s="33" t="str">
        <f>IFERROR(VLOOKUP($J5058,'Informations sur les produits'!$A$3:$H$10000,8,FALSE),"0")</f>
        <v>0</v>
      </c>
      <c r="N5058" s="8"/>
      <c r="O5058" s="33" t="str">
        <f>IFERROR(VLOOKUP($M5058,'Informations sur les produits'!$A$3:$H$10000,8,FALSE),"0")</f>
        <v>0</v>
      </c>
      <c r="P5058" s="33">
        <f t="shared" si="312"/>
        <v>0</v>
      </c>
      <c r="Q5058" s="31" t="str">
        <f t="shared" si="313"/>
        <v/>
      </c>
      <c r="R5058" s="32" t="str">
        <f>IFERROR(VLOOKUP($D5058,'Informations sur les produits'!$A$3:$B$15000,2,FALSE),"")</f>
        <v/>
      </c>
      <c r="V5058">
        <f t="shared" si="314"/>
        <v>0</v>
      </c>
      <c r="W5058">
        <f t="shared" si="315"/>
        <v>0</v>
      </c>
    </row>
    <row r="5059" spans="5:23" x14ac:dyDescent="0.25">
      <c r="E5059" s="4"/>
      <c r="F5059" s="4"/>
      <c r="G5059" s="33" t="str">
        <f>IFERROR(VLOOKUP($D5059,'Informations sur les produits'!$A$3:$H$10000,8,FALSE),"0")</f>
        <v>0</v>
      </c>
      <c r="K5059" s="4"/>
      <c r="L5059" s="33" t="str">
        <f>IFERROR(VLOOKUP($J5059,'Informations sur les produits'!$A$3:$H$10000,8,FALSE),"0")</f>
        <v>0</v>
      </c>
      <c r="N5059" s="8"/>
      <c r="O5059" s="33" t="str">
        <f>IFERROR(VLOOKUP($M5059,'Informations sur les produits'!$A$3:$H$10000,8,FALSE),"0")</f>
        <v>0</v>
      </c>
      <c r="P5059" s="33">
        <f t="shared" si="312"/>
        <v>0</v>
      </c>
      <c r="Q5059" s="31" t="str">
        <f t="shared" si="313"/>
        <v/>
      </c>
      <c r="R5059" s="32" t="str">
        <f>IFERROR(VLOOKUP($D5059,'Informations sur les produits'!$A$3:$B$15000,2,FALSE),"")</f>
        <v/>
      </c>
      <c r="V5059">
        <f t="shared" si="314"/>
        <v>0</v>
      </c>
      <c r="W5059">
        <f t="shared" si="315"/>
        <v>0</v>
      </c>
    </row>
    <row r="5060" spans="5:23" x14ac:dyDescent="0.25">
      <c r="E5060" s="4"/>
      <c r="F5060" s="4"/>
      <c r="G5060" s="33" t="str">
        <f>IFERROR(VLOOKUP($D5060,'Informations sur les produits'!$A$3:$H$10000,8,FALSE),"0")</f>
        <v>0</v>
      </c>
      <c r="K5060" s="4"/>
      <c r="L5060" s="33" t="str">
        <f>IFERROR(VLOOKUP($J5060,'Informations sur les produits'!$A$3:$H$10000,8,FALSE),"0")</f>
        <v>0</v>
      </c>
      <c r="N5060" s="8"/>
      <c r="O5060" s="33" t="str">
        <f>IFERROR(VLOOKUP($M5060,'Informations sur les produits'!$A$3:$H$10000,8,FALSE),"0")</f>
        <v>0</v>
      </c>
      <c r="P5060" s="33">
        <f t="shared" ref="P5060:P5123" si="316">IFERROR((($E5060-$F5060)*$G5060+$K5060*$L5060+$N5060*$O5060),"")</f>
        <v>0</v>
      </c>
      <c r="Q5060" s="31" t="str">
        <f t="shared" ref="Q5060:Q5123" si="317">IFERROR((((($E5060-$F5060)*$G5060+$K5060*$L5060+$N5060*$O5060)*1000)/(($E5060-$F5060)+$K5060+$N5060)),"")</f>
        <v/>
      </c>
      <c r="R5060" s="32" t="str">
        <f>IFERROR(VLOOKUP($D5060,'Informations sur les produits'!$A$3:$B$15000,2,FALSE),"")</f>
        <v/>
      </c>
      <c r="V5060">
        <f t="shared" ref="V5060:V5123" si="318">IFERROR(P5060*1000,"")</f>
        <v>0</v>
      </c>
      <c r="W5060">
        <f t="shared" ref="W5060:W5123" si="319">IFERROR(($E5060-$F5060)+$K5060+$N5060,"")</f>
        <v>0</v>
      </c>
    </row>
    <row r="5061" spans="5:23" x14ac:dyDescent="0.25">
      <c r="E5061" s="4"/>
      <c r="F5061" s="4"/>
      <c r="G5061" s="33" t="str">
        <f>IFERROR(VLOOKUP($D5061,'Informations sur les produits'!$A$3:$H$10000,8,FALSE),"0")</f>
        <v>0</v>
      </c>
      <c r="K5061" s="4"/>
      <c r="L5061" s="33" t="str">
        <f>IFERROR(VLOOKUP($J5061,'Informations sur les produits'!$A$3:$H$10000,8,FALSE),"0")</f>
        <v>0</v>
      </c>
      <c r="N5061" s="8"/>
      <c r="O5061" s="33" t="str">
        <f>IFERROR(VLOOKUP($M5061,'Informations sur les produits'!$A$3:$H$10000,8,FALSE),"0")</f>
        <v>0</v>
      </c>
      <c r="P5061" s="33">
        <f t="shared" si="316"/>
        <v>0</v>
      </c>
      <c r="Q5061" s="31" t="str">
        <f t="shared" si="317"/>
        <v/>
      </c>
      <c r="R5061" s="32" t="str">
        <f>IFERROR(VLOOKUP($D5061,'Informations sur les produits'!$A$3:$B$15000,2,FALSE),"")</f>
        <v/>
      </c>
      <c r="V5061">
        <f t="shared" si="318"/>
        <v>0</v>
      </c>
      <c r="W5061">
        <f t="shared" si="319"/>
        <v>0</v>
      </c>
    </row>
    <row r="5062" spans="5:23" x14ac:dyDescent="0.25">
      <c r="E5062" s="4"/>
      <c r="F5062" s="4"/>
      <c r="G5062" s="33" t="str">
        <f>IFERROR(VLOOKUP($D5062,'Informations sur les produits'!$A$3:$H$10000,8,FALSE),"0")</f>
        <v>0</v>
      </c>
      <c r="K5062" s="4"/>
      <c r="L5062" s="33" t="str">
        <f>IFERROR(VLOOKUP($J5062,'Informations sur les produits'!$A$3:$H$10000,8,FALSE),"0")</f>
        <v>0</v>
      </c>
      <c r="N5062" s="8"/>
      <c r="O5062" s="33" t="str">
        <f>IFERROR(VLOOKUP($M5062,'Informations sur les produits'!$A$3:$H$10000,8,FALSE),"0")</f>
        <v>0</v>
      </c>
      <c r="P5062" s="33">
        <f t="shared" si="316"/>
        <v>0</v>
      </c>
      <c r="Q5062" s="31" t="str">
        <f t="shared" si="317"/>
        <v/>
      </c>
      <c r="R5062" s="32" t="str">
        <f>IFERROR(VLOOKUP($D5062,'Informations sur les produits'!$A$3:$B$15000,2,FALSE),"")</f>
        <v/>
      </c>
      <c r="V5062">
        <f t="shared" si="318"/>
        <v>0</v>
      </c>
      <c r="W5062">
        <f t="shared" si="319"/>
        <v>0</v>
      </c>
    </row>
    <row r="5063" spans="5:23" x14ac:dyDescent="0.25">
      <c r="E5063" s="4"/>
      <c r="F5063" s="4"/>
      <c r="G5063" s="33" t="str">
        <f>IFERROR(VLOOKUP($D5063,'Informations sur les produits'!$A$3:$H$10000,8,FALSE),"0")</f>
        <v>0</v>
      </c>
      <c r="K5063" s="4"/>
      <c r="L5063" s="33" t="str">
        <f>IFERROR(VLOOKUP($J5063,'Informations sur les produits'!$A$3:$H$10000,8,FALSE),"0")</f>
        <v>0</v>
      </c>
      <c r="N5063" s="8"/>
      <c r="O5063" s="33" t="str">
        <f>IFERROR(VLOOKUP($M5063,'Informations sur les produits'!$A$3:$H$10000,8,FALSE),"0")</f>
        <v>0</v>
      </c>
      <c r="P5063" s="33">
        <f t="shared" si="316"/>
        <v>0</v>
      </c>
      <c r="Q5063" s="31" t="str">
        <f t="shared" si="317"/>
        <v/>
      </c>
      <c r="R5063" s="32" t="str">
        <f>IFERROR(VLOOKUP($D5063,'Informations sur les produits'!$A$3:$B$15000,2,FALSE),"")</f>
        <v/>
      </c>
      <c r="V5063">
        <f t="shared" si="318"/>
        <v>0</v>
      </c>
      <c r="W5063">
        <f t="shared" si="319"/>
        <v>0</v>
      </c>
    </row>
    <row r="5064" spans="5:23" x14ac:dyDescent="0.25">
      <c r="E5064" s="4"/>
      <c r="F5064" s="4"/>
      <c r="G5064" s="33" t="str">
        <f>IFERROR(VLOOKUP($D5064,'Informations sur les produits'!$A$3:$H$10000,8,FALSE),"0")</f>
        <v>0</v>
      </c>
      <c r="K5064" s="4"/>
      <c r="L5064" s="33" t="str">
        <f>IFERROR(VLOOKUP($J5064,'Informations sur les produits'!$A$3:$H$10000,8,FALSE),"0")</f>
        <v>0</v>
      </c>
      <c r="N5064" s="8"/>
      <c r="O5064" s="33" t="str">
        <f>IFERROR(VLOOKUP($M5064,'Informations sur les produits'!$A$3:$H$10000,8,FALSE),"0")</f>
        <v>0</v>
      </c>
      <c r="P5064" s="33">
        <f t="shared" si="316"/>
        <v>0</v>
      </c>
      <c r="Q5064" s="31" t="str">
        <f t="shared" si="317"/>
        <v/>
      </c>
      <c r="R5064" s="32" t="str">
        <f>IFERROR(VLOOKUP($D5064,'Informations sur les produits'!$A$3:$B$15000,2,FALSE),"")</f>
        <v/>
      </c>
      <c r="V5064">
        <f t="shared" si="318"/>
        <v>0</v>
      </c>
      <c r="W5064">
        <f t="shared" si="319"/>
        <v>0</v>
      </c>
    </row>
    <row r="5065" spans="5:23" x14ac:dyDescent="0.25">
      <c r="E5065" s="4"/>
      <c r="F5065" s="4"/>
      <c r="G5065" s="33" t="str">
        <f>IFERROR(VLOOKUP($D5065,'Informations sur les produits'!$A$3:$H$10000,8,FALSE),"0")</f>
        <v>0</v>
      </c>
      <c r="K5065" s="4"/>
      <c r="L5065" s="33" t="str">
        <f>IFERROR(VLOOKUP($J5065,'Informations sur les produits'!$A$3:$H$10000,8,FALSE),"0")</f>
        <v>0</v>
      </c>
      <c r="N5065" s="8"/>
      <c r="O5065" s="33" t="str">
        <f>IFERROR(VLOOKUP($M5065,'Informations sur les produits'!$A$3:$H$10000,8,FALSE),"0")</f>
        <v>0</v>
      </c>
      <c r="P5065" s="33">
        <f t="shared" si="316"/>
        <v>0</v>
      </c>
      <c r="Q5065" s="31" t="str">
        <f t="shared" si="317"/>
        <v/>
      </c>
      <c r="R5065" s="32" t="str">
        <f>IFERROR(VLOOKUP($D5065,'Informations sur les produits'!$A$3:$B$15000,2,FALSE),"")</f>
        <v/>
      </c>
      <c r="V5065">
        <f t="shared" si="318"/>
        <v>0</v>
      </c>
      <c r="W5065">
        <f t="shared" si="319"/>
        <v>0</v>
      </c>
    </row>
    <row r="5066" spans="5:23" x14ac:dyDescent="0.25">
      <c r="E5066" s="4"/>
      <c r="F5066" s="4"/>
      <c r="G5066" s="33" t="str">
        <f>IFERROR(VLOOKUP($D5066,'Informations sur les produits'!$A$3:$H$10000,8,FALSE),"0")</f>
        <v>0</v>
      </c>
      <c r="K5066" s="4"/>
      <c r="L5066" s="33" t="str">
        <f>IFERROR(VLOOKUP($J5066,'Informations sur les produits'!$A$3:$H$10000,8,FALSE),"0")</f>
        <v>0</v>
      </c>
      <c r="N5066" s="8"/>
      <c r="O5066" s="33" t="str">
        <f>IFERROR(VLOOKUP($M5066,'Informations sur les produits'!$A$3:$H$10000,8,FALSE),"0")</f>
        <v>0</v>
      </c>
      <c r="P5066" s="33">
        <f t="shared" si="316"/>
        <v>0</v>
      </c>
      <c r="Q5066" s="31" t="str">
        <f t="shared" si="317"/>
        <v/>
      </c>
      <c r="R5066" s="32" t="str">
        <f>IFERROR(VLOOKUP($D5066,'Informations sur les produits'!$A$3:$B$15000,2,FALSE),"")</f>
        <v/>
      </c>
      <c r="V5066">
        <f t="shared" si="318"/>
        <v>0</v>
      </c>
      <c r="W5066">
        <f t="shared" si="319"/>
        <v>0</v>
      </c>
    </row>
    <row r="5067" spans="5:23" x14ac:dyDescent="0.25">
      <c r="E5067" s="4"/>
      <c r="F5067" s="4"/>
      <c r="G5067" s="33" t="str">
        <f>IFERROR(VLOOKUP($D5067,'Informations sur les produits'!$A$3:$H$10000,8,FALSE),"0")</f>
        <v>0</v>
      </c>
      <c r="K5067" s="4"/>
      <c r="L5067" s="33" t="str">
        <f>IFERROR(VLOOKUP($J5067,'Informations sur les produits'!$A$3:$H$10000,8,FALSE),"0")</f>
        <v>0</v>
      </c>
      <c r="N5067" s="8"/>
      <c r="O5067" s="33" t="str">
        <f>IFERROR(VLOOKUP($M5067,'Informations sur les produits'!$A$3:$H$10000,8,FALSE),"0")</f>
        <v>0</v>
      </c>
      <c r="P5067" s="33">
        <f t="shared" si="316"/>
        <v>0</v>
      </c>
      <c r="Q5067" s="31" t="str">
        <f t="shared" si="317"/>
        <v/>
      </c>
      <c r="R5067" s="32" t="str">
        <f>IFERROR(VLOOKUP($D5067,'Informations sur les produits'!$A$3:$B$15000,2,FALSE),"")</f>
        <v/>
      </c>
      <c r="V5067">
        <f t="shared" si="318"/>
        <v>0</v>
      </c>
      <c r="W5067">
        <f t="shared" si="319"/>
        <v>0</v>
      </c>
    </row>
    <row r="5068" spans="5:23" x14ac:dyDescent="0.25">
      <c r="E5068" s="4"/>
      <c r="F5068" s="4"/>
      <c r="G5068" s="33" t="str">
        <f>IFERROR(VLOOKUP($D5068,'Informations sur les produits'!$A$3:$H$10000,8,FALSE),"0")</f>
        <v>0</v>
      </c>
      <c r="K5068" s="4"/>
      <c r="L5068" s="33" t="str">
        <f>IFERROR(VLOOKUP($J5068,'Informations sur les produits'!$A$3:$H$10000,8,FALSE),"0")</f>
        <v>0</v>
      </c>
      <c r="N5068" s="8"/>
      <c r="O5068" s="33" t="str">
        <f>IFERROR(VLOOKUP($M5068,'Informations sur les produits'!$A$3:$H$10000,8,FALSE),"0")</f>
        <v>0</v>
      </c>
      <c r="P5068" s="33">
        <f t="shared" si="316"/>
        <v>0</v>
      </c>
      <c r="Q5068" s="31" t="str">
        <f t="shared" si="317"/>
        <v/>
      </c>
      <c r="R5068" s="32" t="str">
        <f>IFERROR(VLOOKUP($D5068,'Informations sur les produits'!$A$3:$B$15000,2,FALSE),"")</f>
        <v/>
      </c>
      <c r="V5068">
        <f t="shared" si="318"/>
        <v>0</v>
      </c>
      <c r="W5068">
        <f t="shared" si="319"/>
        <v>0</v>
      </c>
    </row>
    <row r="5069" spans="5:23" x14ac:dyDescent="0.25">
      <c r="E5069" s="4"/>
      <c r="F5069" s="4"/>
      <c r="G5069" s="33" t="str">
        <f>IFERROR(VLOOKUP($D5069,'Informations sur les produits'!$A$3:$H$10000,8,FALSE),"0")</f>
        <v>0</v>
      </c>
      <c r="K5069" s="4"/>
      <c r="L5069" s="33" t="str">
        <f>IFERROR(VLOOKUP($J5069,'Informations sur les produits'!$A$3:$H$10000,8,FALSE),"0")</f>
        <v>0</v>
      </c>
      <c r="N5069" s="8"/>
      <c r="O5069" s="33" t="str">
        <f>IFERROR(VLOOKUP($M5069,'Informations sur les produits'!$A$3:$H$10000,8,FALSE),"0")</f>
        <v>0</v>
      </c>
      <c r="P5069" s="33">
        <f t="shared" si="316"/>
        <v>0</v>
      </c>
      <c r="Q5069" s="31" t="str">
        <f t="shared" si="317"/>
        <v/>
      </c>
      <c r="R5069" s="32" t="str">
        <f>IFERROR(VLOOKUP($D5069,'Informations sur les produits'!$A$3:$B$15000,2,FALSE),"")</f>
        <v/>
      </c>
      <c r="V5069">
        <f t="shared" si="318"/>
        <v>0</v>
      </c>
      <c r="W5069">
        <f t="shared" si="319"/>
        <v>0</v>
      </c>
    </row>
    <row r="5070" spans="5:23" x14ac:dyDescent="0.25">
      <c r="E5070" s="4"/>
      <c r="F5070" s="4"/>
      <c r="G5070" s="33" t="str">
        <f>IFERROR(VLOOKUP($D5070,'Informations sur les produits'!$A$3:$H$10000,8,FALSE),"0")</f>
        <v>0</v>
      </c>
      <c r="K5070" s="4"/>
      <c r="L5070" s="33" t="str">
        <f>IFERROR(VLOOKUP($J5070,'Informations sur les produits'!$A$3:$H$10000,8,FALSE),"0")</f>
        <v>0</v>
      </c>
      <c r="N5070" s="8"/>
      <c r="O5070" s="33" t="str">
        <f>IFERROR(VLOOKUP($M5070,'Informations sur les produits'!$A$3:$H$10000,8,FALSE),"0")</f>
        <v>0</v>
      </c>
      <c r="P5070" s="33">
        <f t="shared" si="316"/>
        <v>0</v>
      </c>
      <c r="Q5070" s="31" t="str">
        <f t="shared" si="317"/>
        <v/>
      </c>
      <c r="R5070" s="32" t="str">
        <f>IFERROR(VLOOKUP($D5070,'Informations sur les produits'!$A$3:$B$15000,2,FALSE),"")</f>
        <v/>
      </c>
      <c r="V5070">
        <f t="shared" si="318"/>
        <v>0</v>
      </c>
      <c r="W5070">
        <f t="shared" si="319"/>
        <v>0</v>
      </c>
    </row>
    <row r="5071" spans="5:23" x14ac:dyDescent="0.25">
      <c r="E5071" s="4"/>
      <c r="F5071" s="4"/>
      <c r="G5071" s="33" t="str">
        <f>IFERROR(VLOOKUP($D5071,'Informations sur les produits'!$A$3:$H$10000,8,FALSE),"0")</f>
        <v>0</v>
      </c>
      <c r="K5071" s="4"/>
      <c r="L5071" s="33" t="str">
        <f>IFERROR(VLOOKUP($J5071,'Informations sur les produits'!$A$3:$H$10000,8,FALSE),"0")</f>
        <v>0</v>
      </c>
      <c r="N5071" s="8"/>
      <c r="O5071" s="33" t="str">
        <f>IFERROR(VLOOKUP($M5071,'Informations sur les produits'!$A$3:$H$10000,8,FALSE),"0")</f>
        <v>0</v>
      </c>
      <c r="P5071" s="33">
        <f t="shared" si="316"/>
        <v>0</v>
      </c>
      <c r="Q5071" s="31" t="str">
        <f t="shared" si="317"/>
        <v/>
      </c>
      <c r="R5071" s="32" t="str">
        <f>IFERROR(VLOOKUP($D5071,'Informations sur les produits'!$A$3:$B$15000,2,FALSE),"")</f>
        <v/>
      </c>
      <c r="V5071">
        <f t="shared" si="318"/>
        <v>0</v>
      </c>
      <c r="W5071">
        <f t="shared" si="319"/>
        <v>0</v>
      </c>
    </row>
    <row r="5072" spans="5:23" x14ac:dyDescent="0.25">
      <c r="E5072" s="4"/>
      <c r="F5072" s="4"/>
      <c r="G5072" s="33" t="str">
        <f>IFERROR(VLOOKUP($D5072,'Informations sur les produits'!$A$3:$H$10000,8,FALSE),"0")</f>
        <v>0</v>
      </c>
      <c r="K5072" s="4"/>
      <c r="L5072" s="33" t="str">
        <f>IFERROR(VLOOKUP($J5072,'Informations sur les produits'!$A$3:$H$10000,8,FALSE),"0")</f>
        <v>0</v>
      </c>
      <c r="N5072" s="8"/>
      <c r="O5072" s="33" t="str">
        <f>IFERROR(VLOOKUP($M5072,'Informations sur les produits'!$A$3:$H$10000,8,FALSE),"0")</f>
        <v>0</v>
      </c>
      <c r="P5072" s="33">
        <f t="shared" si="316"/>
        <v>0</v>
      </c>
      <c r="Q5072" s="31" t="str">
        <f t="shared" si="317"/>
        <v/>
      </c>
      <c r="R5072" s="32" t="str">
        <f>IFERROR(VLOOKUP($D5072,'Informations sur les produits'!$A$3:$B$15000,2,FALSE),"")</f>
        <v/>
      </c>
      <c r="V5072">
        <f t="shared" si="318"/>
        <v>0</v>
      </c>
      <c r="W5072">
        <f t="shared" si="319"/>
        <v>0</v>
      </c>
    </row>
    <row r="5073" spans="5:23" x14ac:dyDescent="0.25">
      <c r="E5073" s="4"/>
      <c r="F5073" s="4"/>
      <c r="G5073" s="33" t="str">
        <f>IFERROR(VLOOKUP($D5073,'Informations sur les produits'!$A$3:$H$10000,8,FALSE),"0")</f>
        <v>0</v>
      </c>
      <c r="K5073" s="4"/>
      <c r="L5073" s="33" t="str">
        <f>IFERROR(VLOOKUP($J5073,'Informations sur les produits'!$A$3:$H$10000,8,FALSE),"0")</f>
        <v>0</v>
      </c>
      <c r="N5073" s="8"/>
      <c r="O5073" s="33" t="str">
        <f>IFERROR(VLOOKUP($M5073,'Informations sur les produits'!$A$3:$H$10000,8,FALSE),"0")</f>
        <v>0</v>
      </c>
      <c r="P5073" s="33">
        <f t="shared" si="316"/>
        <v>0</v>
      </c>
      <c r="Q5073" s="31" t="str">
        <f t="shared" si="317"/>
        <v/>
      </c>
      <c r="R5073" s="32" t="str">
        <f>IFERROR(VLOOKUP($D5073,'Informations sur les produits'!$A$3:$B$15000,2,FALSE),"")</f>
        <v/>
      </c>
      <c r="V5073">
        <f t="shared" si="318"/>
        <v>0</v>
      </c>
      <c r="W5073">
        <f t="shared" si="319"/>
        <v>0</v>
      </c>
    </row>
    <row r="5074" spans="5:23" x14ac:dyDescent="0.25">
      <c r="E5074" s="4"/>
      <c r="F5074" s="4"/>
      <c r="G5074" s="33" t="str">
        <f>IFERROR(VLOOKUP($D5074,'Informations sur les produits'!$A$3:$H$10000,8,FALSE),"0")</f>
        <v>0</v>
      </c>
      <c r="K5074" s="4"/>
      <c r="L5074" s="33" t="str">
        <f>IFERROR(VLOOKUP($J5074,'Informations sur les produits'!$A$3:$H$10000,8,FALSE),"0")</f>
        <v>0</v>
      </c>
      <c r="N5074" s="8"/>
      <c r="O5074" s="33" t="str">
        <f>IFERROR(VLOOKUP($M5074,'Informations sur les produits'!$A$3:$H$10000,8,FALSE),"0")</f>
        <v>0</v>
      </c>
      <c r="P5074" s="33">
        <f t="shared" si="316"/>
        <v>0</v>
      </c>
      <c r="Q5074" s="31" t="str">
        <f t="shared" si="317"/>
        <v/>
      </c>
      <c r="R5074" s="32" t="str">
        <f>IFERROR(VLOOKUP($D5074,'Informations sur les produits'!$A$3:$B$15000,2,FALSE),"")</f>
        <v/>
      </c>
      <c r="V5074">
        <f t="shared" si="318"/>
        <v>0</v>
      </c>
      <c r="W5074">
        <f t="shared" si="319"/>
        <v>0</v>
      </c>
    </row>
    <row r="5075" spans="5:23" x14ac:dyDescent="0.25">
      <c r="E5075" s="4"/>
      <c r="F5075" s="4"/>
      <c r="G5075" s="33" t="str">
        <f>IFERROR(VLOOKUP($D5075,'Informations sur les produits'!$A$3:$H$10000,8,FALSE),"0")</f>
        <v>0</v>
      </c>
      <c r="K5075" s="4"/>
      <c r="L5075" s="33" t="str">
        <f>IFERROR(VLOOKUP($J5075,'Informations sur les produits'!$A$3:$H$10000,8,FALSE),"0")</f>
        <v>0</v>
      </c>
      <c r="N5075" s="8"/>
      <c r="O5075" s="33" t="str">
        <f>IFERROR(VLOOKUP($M5075,'Informations sur les produits'!$A$3:$H$10000,8,FALSE),"0")</f>
        <v>0</v>
      </c>
      <c r="P5075" s="33">
        <f t="shared" si="316"/>
        <v>0</v>
      </c>
      <c r="Q5075" s="31" t="str">
        <f t="shared" si="317"/>
        <v/>
      </c>
      <c r="R5075" s="32" t="str">
        <f>IFERROR(VLOOKUP($D5075,'Informations sur les produits'!$A$3:$B$15000,2,FALSE),"")</f>
        <v/>
      </c>
      <c r="V5075">
        <f t="shared" si="318"/>
        <v>0</v>
      </c>
      <c r="W5075">
        <f t="shared" si="319"/>
        <v>0</v>
      </c>
    </row>
    <row r="5076" spans="5:23" x14ac:dyDescent="0.25">
      <c r="E5076" s="4"/>
      <c r="F5076" s="4"/>
      <c r="G5076" s="33" t="str">
        <f>IFERROR(VLOOKUP($D5076,'Informations sur les produits'!$A$3:$H$10000,8,FALSE),"0")</f>
        <v>0</v>
      </c>
      <c r="K5076" s="4"/>
      <c r="L5076" s="33" t="str">
        <f>IFERROR(VLOOKUP($J5076,'Informations sur les produits'!$A$3:$H$10000,8,FALSE),"0")</f>
        <v>0</v>
      </c>
      <c r="N5076" s="8"/>
      <c r="O5076" s="33" t="str">
        <f>IFERROR(VLOOKUP($M5076,'Informations sur les produits'!$A$3:$H$10000,8,FALSE),"0")</f>
        <v>0</v>
      </c>
      <c r="P5076" s="33">
        <f t="shared" si="316"/>
        <v>0</v>
      </c>
      <c r="Q5076" s="31" t="str">
        <f t="shared" si="317"/>
        <v/>
      </c>
      <c r="R5076" s="32" t="str">
        <f>IFERROR(VLOOKUP($D5076,'Informations sur les produits'!$A$3:$B$15000,2,FALSE),"")</f>
        <v/>
      </c>
      <c r="V5076">
        <f t="shared" si="318"/>
        <v>0</v>
      </c>
      <c r="W5076">
        <f t="shared" si="319"/>
        <v>0</v>
      </c>
    </row>
    <row r="5077" spans="5:23" x14ac:dyDescent="0.25">
      <c r="E5077" s="4"/>
      <c r="F5077" s="4"/>
      <c r="G5077" s="33" t="str">
        <f>IFERROR(VLOOKUP($D5077,'Informations sur les produits'!$A$3:$H$10000,8,FALSE),"0")</f>
        <v>0</v>
      </c>
      <c r="K5077" s="4"/>
      <c r="L5077" s="33" t="str">
        <f>IFERROR(VLOOKUP($J5077,'Informations sur les produits'!$A$3:$H$10000,8,FALSE),"0")</f>
        <v>0</v>
      </c>
      <c r="N5077" s="8"/>
      <c r="O5077" s="33" t="str">
        <f>IFERROR(VLOOKUP($M5077,'Informations sur les produits'!$A$3:$H$10000,8,FALSE),"0")</f>
        <v>0</v>
      </c>
      <c r="P5077" s="33">
        <f t="shared" si="316"/>
        <v>0</v>
      </c>
      <c r="Q5077" s="31" t="str">
        <f t="shared" si="317"/>
        <v/>
      </c>
      <c r="R5077" s="32" t="str">
        <f>IFERROR(VLOOKUP($D5077,'Informations sur les produits'!$A$3:$B$15000,2,FALSE),"")</f>
        <v/>
      </c>
      <c r="V5077">
        <f t="shared" si="318"/>
        <v>0</v>
      </c>
      <c r="W5077">
        <f t="shared" si="319"/>
        <v>0</v>
      </c>
    </row>
    <row r="5078" spans="5:23" x14ac:dyDescent="0.25">
      <c r="E5078" s="4"/>
      <c r="F5078" s="4"/>
      <c r="G5078" s="33" t="str">
        <f>IFERROR(VLOOKUP($D5078,'Informations sur les produits'!$A$3:$H$10000,8,FALSE),"0")</f>
        <v>0</v>
      </c>
      <c r="K5078" s="4"/>
      <c r="L5078" s="33" t="str">
        <f>IFERROR(VLOOKUP($J5078,'Informations sur les produits'!$A$3:$H$10000,8,FALSE),"0")</f>
        <v>0</v>
      </c>
      <c r="N5078" s="8"/>
      <c r="O5078" s="33" t="str">
        <f>IFERROR(VLOOKUP($M5078,'Informations sur les produits'!$A$3:$H$10000,8,FALSE),"0")</f>
        <v>0</v>
      </c>
      <c r="P5078" s="33">
        <f t="shared" si="316"/>
        <v>0</v>
      </c>
      <c r="Q5078" s="31" t="str">
        <f t="shared" si="317"/>
        <v/>
      </c>
      <c r="R5078" s="32" t="str">
        <f>IFERROR(VLOOKUP($D5078,'Informations sur les produits'!$A$3:$B$15000,2,FALSE),"")</f>
        <v/>
      </c>
      <c r="V5078">
        <f t="shared" si="318"/>
        <v>0</v>
      </c>
      <c r="W5078">
        <f t="shared" si="319"/>
        <v>0</v>
      </c>
    </row>
    <row r="5079" spans="5:23" x14ac:dyDescent="0.25">
      <c r="E5079" s="4"/>
      <c r="F5079" s="4"/>
      <c r="G5079" s="33" t="str">
        <f>IFERROR(VLOOKUP($D5079,'Informations sur les produits'!$A$3:$H$10000,8,FALSE),"0")</f>
        <v>0</v>
      </c>
      <c r="K5079" s="4"/>
      <c r="L5079" s="33" t="str">
        <f>IFERROR(VLOOKUP($J5079,'Informations sur les produits'!$A$3:$H$10000,8,FALSE),"0")</f>
        <v>0</v>
      </c>
      <c r="N5079" s="8"/>
      <c r="O5079" s="33" t="str">
        <f>IFERROR(VLOOKUP($M5079,'Informations sur les produits'!$A$3:$H$10000,8,FALSE),"0")</f>
        <v>0</v>
      </c>
      <c r="P5079" s="33">
        <f t="shared" si="316"/>
        <v>0</v>
      </c>
      <c r="Q5079" s="31" t="str">
        <f t="shared" si="317"/>
        <v/>
      </c>
      <c r="R5079" s="32" t="str">
        <f>IFERROR(VLOOKUP($D5079,'Informations sur les produits'!$A$3:$B$15000,2,FALSE),"")</f>
        <v/>
      </c>
      <c r="V5079">
        <f t="shared" si="318"/>
        <v>0</v>
      </c>
      <c r="W5079">
        <f t="shared" si="319"/>
        <v>0</v>
      </c>
    </row>
    <row r="5080" spans="5:23" x14ac:dyDescent="0.25">
      <c r="E5080" s="4"/>
      <c r="F5080" s="4"/>
      <c r="G5080" s="33" t="str">
        <f>IFERROR(VLOOKUP($D5080,'Informations sur les produits'!$A$3:$H$10000,8,FALSE),"0")</f>
        <v>0</v>
      </c>
      <c r="K5080" s="4"/>
      <c r="L5080" s="33" t="str">
        <f>IFERROR(VLOOKUP($J5080,'Informations sur les produits'!$A$3:$H$10000,8,FALSE),"0")</f>
        <v>0</v>
      </c>
      <c r="N5080" s="8"/>
      <c r="O5080" s="33" t="str">
        <f>IFERROR(VLOOKUP($M5080,'Informations sur les produits'!$A$3:$H$10000,8,FALSE),"0")</f>
        <v>0</v>
      </c>
      <c r="P5080" s="33">
        <f t="shared" si="316"/>
        <v>0</v>
      </c>
      <c r="Q5080" s="31" t="str">
        <f t="shared" si="317"/>
        <v/>
      </c>
      <c r="R5080" s="32" t="str">
        <f>IFERROR(VLOOKUP($D5080,'Informations sur les produits'!$A$3:$B$15000,2,FALSE),"")</f>
        <v/>
      </c>
      <c r="V5080">
        <f t="shared" si="318"/>
        <v>0</v>
      </c>
      <c r="W5080">
        <f t="shared" si="319"/>
        <v>0</v>
      </c>
    </row>
    <row r="5081" spans="5:23" x14ac:dyDescent="0.25">
      <c r="E5081" s="4"/>
      <c r="F5081" s="4"/>
      <c r="G5081" s="33" t="str">
        <f>IFERROR(VLOOKUP($D5081,'Informations sur les produits'!$A$3:$H$10000,8,FALSE),"0")</f>
        <v>0</v>
      </c>
      <c r="K5081" s="4"/>
      <c r="L5081" s="33" t="str">
        <f>IFERROR(VLOOKUP($J5081,'Informations sur les produits'!$A$3:$H$10000,8,FALSE),"0")</f>
        <v>0</v>
      </c>
      <c r="N5081" s="8"/>
      <c r="O5081" s="33" t="str">
        <f>IFERROR(VLOOKUP($M5081,'Informations sur les produits'!$A$3:$H$10000,8,FALSE),"0")</f>
        <v>0</v>
      </c>
      <c r="P5081" s="33">
        <f t="shared" si="316"/>
        <v>0</v>
      </c>
      <c r="Q5081" s="31" t="str">
        <f t="shared" si="317"/>
        <v/>
      </c>
      <c r="R5081" s="32" t="str">
        <f>IFERROR(VLOOKUP($D5081,'Informations sur les produits'!$A$3:$B$15000,2,FALSE),"")</f>
        <v/>
      </c>
      <c r="V5081">
        <f t="shared" si="318"/>
        <v>0</v>
      </c>
      <c r="W5081">
        <f t="shared" si="319"/>
        <v>0</v>
      </c>
    </row>
    <row r="5082" spans="5:23" x14ac:dyDescent="0.25">
      <c r="E5082" s="4"/>
      <c r="F5082" s="4"/>
      <c r="G5082" s="33" t="str">
        <f>IFERROR(VLOOKUP($D5082,'Informations sur les produits'!$A$3:$H$10000,8,FALSE),"0")</f>
        <v>0</v>
      </c>
      <c r="K5082" s="4"/>
      <c r="L5082" s="33" t="str">
        <f>IFERROR(VLOOKUP($J5082,'Informations sur les produits'!$A$3:$H$10000,8,FALSE),"0")</f>
        <v>0</v>
      </c>
      <c r="N5082" s="8"/>
      <c r="O5082" s="33" t="str">
        <f>IFERROR(VLOOKUP($M5082,'Informations sur les produits'!$A$3:$H$10000,8,FALSE),"0")</f>
        <v>0</v>
      </c>
      <c r="P5082" s="33">
        <f t="shared" si="316"/>
        <v>0</v>
      </c>
      <c r="Q5082" s="31" t="str">
        <f t="shared" si="317"/>
        <v/>
      </c>
      <c r="R5082" s="32" t="str">
        <f>IFERROR(VLOOKUP($D5082,'Informations sur les produits'!$A$3:$B$15000,2,FALSE),"")</f>
        <v/>
      </c>
      <c r="V5082">
        <f t="shared" si="318"/>
        <v>0</v>
      </c>
      <c r="W5082">
        <f t="shared" si="319"/>
        <v>0</v>
      </c>
    </row>
    <row r="5083" spans="5:23" x14ac:dyDescent="0.25">
      <c r="E5083" s="4"/>
      <c r="F5083" s="4"/>
      <c r="G5083" s="33" t="str">
        <f>IFERROR(VLOOKUP($D5083,'Informations sur les produits'!$A$3:$H$10000,8,FALSE),"0")</f>
        <v>0</v>
      </c>
      <c r="K5083" s="4"/>
      <c r="L5083" s="33" t="str">
        <f>IFERROR(VLOOKUP($J5083,'Informations sur les produits'!$A$3:$H$10000,8,FALSE),"0")</f>
        <v>0</v>
      </c>
      <c r="N5083" s="8"/>
      <c r="O5083" s="33" t="str">
        <f>IFERROR(VLOOKUP($M5083,'Informations sur les produits'!$A$3:$H$10000,8,FALSE),"0")</f>
        <v>0</v>
      </c>
      <c r="P5083" s="33">
        <f t="shared" si="316"/>
        <v>0</v>
      </c>
      <c r="Q5083" s="31" t="str">
        <f t="shared" si="317"/>
        <v/>
      </c>
      <c r="R5083" s="32" t="str">
        <f>IFERROR(VLOOKUP($D5083,'Informations sur les produits'!$A$3:$B$15000,2,FALSE),"")</f>
        <v/>
      </c>
      <c r="V5083">
        <f t="shared" si="318"/>
        <v>0</v>
      </c>
      <c r="W5083">
        <f t="shared" si="319"/>
        <v>0</v>
      </c>
    </row>
    <row r="5084" spans="5:23" x14ac:dyDescent="0.25">
      <c r="E5084" s="4"/>
      <c r="F5084" s="4"/>
      <c r="G5084" s="33" t="str">
        <f>IFERROR(VLOOKUP($D5084,'Informations sur les produits'!$A$3:$H$10000,8,FALSE),"0")</f>
        <v>0</v>
      </c>
      <c r="K5084" s="4"/>
      <c r="L5084" s="33" t="str">
        <f>IFERROR(VLOOKUP($J5084,'Informations sur les produits'!$A$3:$H$10000,8,FALSE),"0")</f>
        <v>0</v>
      </c>
      <c r="N5084" s="8"/>
      <c r="O5084" s="33" t="str">
        <f>IFERROR(VLOOKUP($M5084,'Informations sur les produits'!$A$3:$H$10000,8,FALSE),"0")</f>
        <v>0</v>
      </c>
      <c r="P5084" s="33">
        <f t="shared" si="316"/>
        <v>0</v>
      </c>
      <c r="Q5084" s="31" t="str">
        <f t="shared" si="317"/>
        <v/>
      </c>
      <c r="R5084" s="32" t="str">
        <f>IFERROR(VLOOKUP($D5084,'Informations sur les produits'!$A$3:$B$15000,2,FALSE),"")</f>
        <v/>
      </c>
      <c r="V5084">
        <f t="shared" si="318"/>
        <v>0</v>
      </c>
      <c r="W5084">
        <f t="shared" si="319"/>
        <v>0</v>
      </c>
    </row>
    <row r="5085" spans="5:23" x14ac:dyDescent="0.25">
      <c r="E5085" s="4"/>
      <c r="F5085" s="4"/>
      <c r="G5085" s="33" t="str">
        <f>IFERROR(VLOOKUP($D5085,'Informations sur les produits'!$A$3:$H$10000,8,FALSE),"0")</f>
        <v>0</v>
      </c>
      <c r="K5085" s="4"/>
      <c r="L5085" s="33" t="str">
        <f>IFERROR(VLOOKUP($J5085,'Informations sur les produits'!$A$3:$H$10000,8,FALSE),"0")</f>
        <v>0</v>
      </c>
      <c r="N5085" s="8"/>
      <c r="O5085" s="33" t="str">
        <f>IFERROR(VLOOKUP($M5085,'Informations sur les produits'!$A$3:$H$10000,8,FALSE),"0")</f>
        <v>0</v>
      </c>
      <c r="P5085" s="33">
        <f t="shared" si="316"/>
        <v>0</v>
      </c>
      <c r="Q5085" s="31" t="str">
        <f t="shared" si="317"/>
        <v/>
      </c>
      <c r="R5085" s="32" t="str">
        <f>IFERROR(VLOOKUP($D5085,'Informations sur les produits'!$A$3:$B$15000,2,FALSE),"")</f>
        <v/>
      </c>
      <c r="V5085">
        <f t="shared" si="318"/>
        <v>0</v>
      </c>
      <c r="W5085">
        <f t="shared" si="319"/>
        <v>0</v>
      </c>
    </row>
    <row r="5086" spans="5:23" x14ac:dyDescent="0.25">
      <c r="E5086" s="4"/>
      <c r="F5086" s="4"/>
      <c r="G5086" s="33" t="str">
        <f>IFERROR(VLOOKUP($D5086,'Informations sur les produits'!$A$3:$H$10000,8,FALSE),"0")</f>
        <v>0</v>
      </c>
      <c r="K5086" s="4"/>
      <c r="L5086" s="33" t="str">
        <f>IFERROR(VLOOKUP($J5086,'Informations sur les produits'!$A$3:$H$10000,8,FALSE),"0")</f>
        <v>0</v>
      </c>
      <c r="N5086" s="8"/>
      <c r="O5086" s="33" t="str">
        <f>IFERROR(VLOOKUP($M5086,'Informations sur les produits'!$A$3:$H$10000,8,FALSE),"0")</f>
        <v>0</v>
      </c>
      <c r="P5086" s="33">
        <f t="shared" si="316"/>
        <v>0</v>
      </c>
      <c r="Q5086" s="31" t="str">
        <f t="shared" si="317"/>
        <v/>
      </c>
      <c r="R5086" s="32" t="str">
        <f>IFERROR(VLOOKUP($D5086,'Informations sur les produits'!$A$3:$B$15000,2,FALSE),"")</f>
        <v/>
      </c>
      <c r="V5086">
        <f t="shared" si="318"/>
        <v>0</v>
      </c>
      <c r="W5086">
        <f t="shared" si="319"/>
        <v>0</v>
      </c>
    </row>
    <row r="5087" spans="5:23" x14ac:dyDescent="0.25">
      <c r="E5087" s="4"/>
      <c r="F5087" s="4"/>
      <c r="G5087" s="33" t="str">
        <f>IFERROR(VLOOKUP($D5087,'Informations sur les produits'!$A$3:$H$10000,8,FALSE),"0")</f>
        <v>0</v>
      </c>
      <c r="K5087" s="4"/>
      <c r="L5087" s="33" t="str">
        <f>IFERROR(VLOOKUP($J5087,'Informations sur les produits'!$A$3:$H$10000,8,FALSE),"0")</f>
        <v>0</v>
      </c>
      <c r="N5087" s="8"/>
      <c r="O5087" s="33" t="str">
        <f>IFERROR(VLOOKUP($M5087,'Informations sur les produits'!$A$3:$H$10000,8,FALSE),"0")</f>
        <v>0</v>
      </c>
      <c r="P5087" s="33">
        <f t="shared" si="316"/>
        <v>0</v>
      </c>
      <c r="Q5087" s="31" t="str">
        <f t="shared" si="317"/>
        <v/>
      </c>
      <c r="R5087" s="32" t="str">
        <f>IFERROR(VLOOKUP($D5087,'Informations sur les produits'!$A$3:$B$15000,2,FALSE),"")</f>
        <v/>
      </c>
      <c r="V5087">
        <f t="shared" si="318"/>
        <v>0</v>
      </c>
      <c r="W5087">
        <f t="shared" si="319"/>
        <v>0</v>
      </c>
    </row>
    <row r="5088" spans="5:23" x14ac:dyDescent="0.25">
      <c r="E5088" s="4"/>
      <c r="F5088" s="4"/>
      <c r="G5088" s="33" t="str">
        <f>IFERROR(VLOOKUP($D5088,'Informations sur les produits'!$A$3:$H$10000,8,FALSE),"0")</f>
        <v>0</v>
      </c>
      <c r="K5088" s="4"/>
      <c r="L5088" s="33" t="str">
        <f>IFERROR(VLOOKUP($J5088,'Informations sur les produits'!$A$3:$H$10000,8,FALSE),"0")</f>
        <v>0</v>
      </c>
      <c r="N5088" s="8"/>
      <c r="O5088" s="33" t="str">
        <f>IFERROR(VLOOKUP($M5088,'Informations sur les produits'!$A$3:$H$10000,8,FALSE),"0")</f>
        <v>0</v>
      </c>
      <c r="P5088" s="33">
        <f t="shared" si="316"/>
        <v>0</v>
      </c>
      <c r="Q5088" s="31" t="str">
        <f t="shared" si="317"/>
        <v/>
      </c>
      <c r="R5088" s="32" t="str">
        <f>IFERROR(VLOOKUP($D5088,'Informations sur les produits'!$A$3:$B$15000,2,FALSE),"")</f>
        <v/>
      </c>
      <c r="V5088">
        <f t="shared" si="318"/>
        <v>0</v>
      </c>
      <c r="W5088">
        <f t="shared" si="319"/>
        <v>0</v>
      </c>
    </row>
    <row r="5089" spans="5:23" x14ac:dyDescent="0.25">
      <c r="E5089" s="4"/>
      <c r="F5089" s="4"/>
      <c r="G5089" s="33" t="str">
        <f>IFERROR(VLOOKUP($D5089,'Informations sur les produits'!$A$3:$H$10000,8,FALSE),"0")</f>
        <v>0</v>
      </c>
      <c r="K5089" s="4"/>
      <c r="L5089" s="33" t="str">
        <f>IFERROR(VLOOKUP($J5089,'Informations sur les produits'!$A$3:$H$10000,8,FALSE),"0")</f>
        <v>0</v>
      </c>
      <c r="N5089" s="8"/>
      <c r="O5089" s="33" t="str">
        <f>IFERROR(VLOOKUP($M5089,'Informations sur les produits'!$A$3:$H$10000,8,FALSE),"0")</f>
        <v>0</v>
      </c>
      <c r="P5089" s="33">
        <f t="shared" si="316"/>
        <v>0</v>
      </c>
      <c r="Q5089" s="31" t="str">
        <f t="shared" si="317"/>
        <v/>
      </c>
      <c r="R5089" s="32" t="str">
        <f>IFERROR(VLOOKUP($D5089,'Informations sur les produits'!$A$3:$B$15000,2,FALSE),"")</f>
        <v/>
      </c>
      <c r="V5089">
        <f t="shared" si="318"/>
        <v>0</v>
      </c>
      <c r="W5089">
        <f t="shared" si="319"/>
        <v>0</v>
      </c>
    </row>
    <row r="5090" spans="5:23" x14ac:dyDescent="0.25">
      <c r="E5090" s="4"/>
      <c r="F5090" s="4"/>
      <c r="G5090" s="33" t="str">
        <f>IFERROR(VLOOKUP($D5090,'Informations sur les produits'!$A$3:$H$10000,8,FALSE),"0")</f>
        <v>0</v>
      </c>
      <c r="K5090" s="4"/>
      <c r="L5090" s="33" t="str">
        <f>IFERROR(VLOOKUP($J5090,'Informations sur les produits'!$A$3:$H$10000,8,FALSE),"0")</f>
        <v>0</v>
      </c>
      <c r="N5090" s="8"/>
      <c r="O5090" s="33" t="str">
        <f>IFERROR(VLOOKUP($M5090,'Informations sur les produits'!$A$3:$H$10000,8,FALSE),"0")</f>
        <v>0</v>
      </c>
      <c r="P5090" s="33">
        <f t="shared" si="316"/>
        <v>0</v>
      </c>
      <c r="Q5090" s="31" t="str">
        <f t="shared" si="317"/>
        <v/>
      </c>
      <c r="R5090" s="32" t="str">
        <f>IFERROR(VLOOKUP($D5090,'Informations sur les produits'!$A$3:$B$15000,2,FALSE),"")</f>
        <v/>
      </c>
      <c r="V5090">
        <f t="shared" si="318"/>
        <v>0</v>
      </c>
      <c r="W5090">
        <f t="shared" si="319"/>
        <v>0</v>
      </c>
    </row>
    <row r="5091" spans="5:23" x14ac:dyDescent="0.25">
      <c r="E5091" s="4"/>
      <c r="F5091" s="4"/>
      <c r="G5091" s="33" t="str">
        <f>IFERROR(VLOOKUP($D5091,'Informations sur les produits'!$A$3:$H$10000,8,FALSE),"0")</f>
        <v>0</v>
      </c>
      <c r="K5091" s="4"/>
      <c r="L5091" s="33" t="str">
        <f>IFERROR(VLOOKUP($J5091,'Informations sur les produits'!$A$3:$H$10000,8,FALSE),"0")</f>
        <v>0</v>
      </c>
      <c r="N5091" s="8"/>
      <c r="O5091" s="33" t="str">
        <f>IFERROR(VLOOKUP($M5091,'Informations sur les produits'!$A$3:$H$10000,8,FALSE),"0")</f>
        <v>0</v>
      </c>
      <c r="P5091" s="33">
        <f t="shared" si="316"/>
        <v>0</v>
      </c>
      <c r="Q5091" s="31" t="str">
        <f t="shared" si="317"/>
        <v/>
      </c>
      <c r="R5091" s="32" t="str">
        <f>IFERROR(VLOOKUP($D5091,'Informations sur les produits'!$A$3:$B$15000,2,FALSE),"")</f>
        <v/>
      </c>
      <c r="V5091">
        <f t="shared" si="318"/>
        <v>0</v>
      </c>
      <c r="W5091">
        <f t="shared" si="319"/>
        <v>0</v>
      </c>
    </row>
    <row r="5092" spans="5:23" x14ac:dyDescent="0.25">
      <c r="E5092" s="4"/>
      <c r="F5092" s="4"/>
      <c r="G5092" s="33" t="str">
        <f>IFERROR(VLOOKUP($D5092,'Informations sur les produits'!$A$3:$H$10000,8,FALSE),"0")</f>
        <v>0</v>
      </c>
      <c r="K5092" s="4"/>
      <c r="L5092" s="33" t="str">
        <f>IFERROR(VLOOKUP($J5092,'Informations sur les produits'!$A$3:$H$10000,8,FALSE),"0")</f>
        <v>0</v>
      </c>
      <c r="N5092" s="8"/>
      <c r="O5092" s="33" t="str">
        <f>IFERROR(VLOOKUP($M5092,'Informations sur les produits'!$A$3:$H$10000,8,FALSE),"0")</f>
        <v>0</v>
      </c>
      <c r="P5092" s="33">
        <f t="shared" si="316"/>
        <v>0</v>
      </c>
      <c r="Q5092" s="31" t="str">
        <f t="shared" si="317"/>
        <v/>
      </c>
      <c r="R5092" s="32" t="str">
        <f>IFERROR(VLOOKUP($D5092,'Informations sur les produits'!$A$3:$B$15000,2,FALSE),"")</f>
        <v/>
      </c>
      <c r="V5092">
        <f t="shared" si="318"/>
        <v>0</v>
      </c>
      <c r="W5092">
        <f t="shared" si="319"/>
        <v>0</v>
      </c>
    </row>
    <row r="5093" spans="5:23" x14ac:dyDescent="0.25">
      <c r="E5093" s="4"/>
      <c r="F5093" s="4"/>
      <c r="G5093" s="33" t="str">
        <f>IFERROR(VLOOKUP($D5093,'Informations sur les produits'!$A$3:$H$10000,8,FALSE),"0")</f>
        <v>0</v>
      </c>
      <c r="K5093" s="4"/>
      <c r="L5093" s="33" t="str">
        <f>IFERROR(VLOOKUP($J5093,'Informations sur les produits'!$A$3:$H$10000,8,FALSE),"0")</f>
        <v>0</v>
      </c>
      <c r="N5093" s="8"/>
      <c r="O5093" s="33" t="str">
        <f>IFERROR(VLOOKUP($M5093,'Informations sur les produits'!$A$3:$H$10000,8,FALSE),"0")</f>
        <v>0</v>
      </c>
      <c r="P5093" s="33">
        <f t="shared" si="316"/>
        <v>0</v>
      </c>
      <c r="Q5093" s="31" t="str">
        <f t="shared" si="317"/>
        <v/>
      </c>
      <c r="R5093" s="32" t="str">
        <f>IFERROR(VLOOKUP($D5093,'Informations sur les produits'!$A$3:$B$15000,2,FALSE),"")</f>
        <v/>
      </c>
      <c r="V5093">
        <f t="shared" si="318"/>
        <v>0</v>
      </c>
      <c r="W5093">
        <f t="shared" si="319"/>
        <v>0</v>
      </c>
    </row>
    <row r="5094" spans="5:23" x14ac:dyDescent="0.25">
      <c r="E5094" s="4"/>
      <c r="F5094" s="4"/>
      <c r="G5094" s="33" t="str">
        <f>IFERROR(VLOOKUP($D5094,'Informations sur les produits'!$A$3:$H$10000,8,FALSE),"0")</f>
        <v>0</v>
      </c>
      <c r="K5094" s="4"/>
      <c r="L5094" s="33" t="str">
        <f>IFERROR(VLOOKUP($J5094,'Informations sur les produits'!$A$3:$H$10000,8,FALSE),"0")</f>
        <v>0</v>
      </c>
      <c r="N5094" s="8"/>
      <c r="O5094" s="33" t="str">
        <f>IFERROR(VLOOKUP($M5094,'Informations sur les produits'!$A$3:$H$10000,8,FALSE),"0")</f>
        <v>0</v>
      </c>
      <c r="P5094" s="33">
        <f t="shared" si="316"/>
        <v>0</v>
      </c>
      <c r="Q5094" s="31" t="str">
        <f t="shared" si="317"/>
        <v/>
      </c>
      <c r="R5094" s="32" t="str">
        <f>IFERROR(VLOOKUP($D5094,'Informations sur les produits'!$A$3:$B$15000,2,FALSE),"")</f>
        <v/>
      </c>
      <c r="V5094">
        <f t="shared" si="318"/>
        <v>0</v>
      </c>
      <c r="W5094">
        <f t="shared" si="319"/>
        <v>0</v>
      </c>
    </row>
    <row r="5095" spans="5:23" x14ac:dyDescent="0.25">
      <c r="E5095" s="4"/>
      <c r="F5095" s="4"/>
      <c r="G5095" s="33" t="str">
        <f>IFERROR(VLOOKUP($D5095,'Informations sur les produits'!$A$3:$H$10000,8,FALSE),"0")</f>
        <v>0</v>
      </c>
      <c r="K5095" s="4"/>
      <c r="L5095" s="33" t="str">
        <f>IFERROR(VLOOKUP($J5095,'Informations sur les produits'!$A$3:$H$10000,8,FALSE),"0")</f>
        <v>0</v>
      </c>
      <c r="N5095" s="8"/>
      <c r="O5095" s="33" t="str">
        <f>IFERROR(VLOOKUP($M5095,'Informations sur les produits'!$A$3:$H$10000,8,FALSE),"0")</f>
        <v>0</v>
      </c>
      <c r="P5095" s="33">
        <f t="shared" si="316"/>
        <v>0</v>
      </c>
      <c r="Q5095" s="31" t="str">
        <f t="shared" si="317"/>
        <v/>
      </c>
      <c r="R5095" s="32" t="str">
        <f>IFERROR(VLOOKUP($D5095,'Informations sur les produits'!$A$3:$B$15000,2,FALSE),"")</f>
        <v/>
      </c>
      <c r="V5095">
        <f t="shared" si="318"/>
        <v>0</v>
      </c>
      <c r="W5095">
        <f t="shared" si="319"/>
        <v>0</v>
      </c>
    </row>
    <row r="5096" spans="5:23" x14ac:dyDescent="0.25">
      <c r="E5096" s="4"/>
      <c r="F5096" s="4"/>
      <c r="G5096" s="33" t="str">
        <f>IFERROR(VLOOKUP($D5096,'Informations sur les produits'!$A$3:$H$10000,8,FALSE),"0")</f>
        <v>0</v>
      </c>
      <c r="K5096" s="4"/>
      <c r="L5096" s="33" t="str">
        <f>IFERROR(VLOOKUP($J5096,'Informations sur les produits'!$A$3:$H$10000,8,FALSE),"0")</f>
        <v>0</v>
      </c>
      <c r="N5096" s="8"/>
      <c r="O5096" s="33" t="str">
        <f>IFERROR(VLOOKUP($M5096,'Informations sur les produits'!$A$3:$H$10000,8,FALSE),"0")</f>
        <v>0</v>
      </c>
      <c r="P5096" s="33">
        <f t="shared" si="316"/>
        <v>0</v>
      </c>
      <c r="Q5096" s="31" t="str">
        <f t="shared" si="317"/>
        <v/>
      </c>
      <c r="R5096" s="32" t="str">
        <f>IFERROR(VLOOKUP($D5096,'Informations sur les produits'!$A$3:$B$15000,2,FALSE),"")</f>
        <v/>
      </c>
      <c r="V5096">
        <f t="shared" si="318"/>
        <v>0</v>
      </c>
      <c r="W5096">
        <f t="shared" si="319"/>
        <v>0</v>
      </c>
    </row>
    <row r="5097" spans="5:23" x14ac:dyDescent="0.25">
      <c r="E5097" s="4"/>
      <c r="F5097" s="4"/>
      <c r="G5097" s="33" t="str">
        <f>IFERROR(VLOOKUP($D5097,'Informations sur les produits'!$A$3:$H$10000,8,FALSE),"0")</f>
        <v>0</v>
      </c>
      <c r="K5097" s="4"/>
      <c r="L5097" s="33" t="str">
        <f>IFERROR(VLOOKUP($J5097,'Informations sur les produits'!$A$3:$H$10000,8,FALSE),"0")</f>
        <v>0</v>
      </c>
      <c r="N5097" s="8"/>
      <c r="O5097" s="33" t="str">
        <f>IFERROR(VLOOKUP($M5097,'Informations sur les produits'!$A$3:$H$10000,8,FALSE),"0")</f>
        <v>0</v>
      </c>
      <c r="P5097" s="33">
        <f t="shared" si="316"/>
        <v>0</v>
      </c>
      <c r="Q5097" s="31" t="str">
        <f t="shared" si="317"/>
        <v/>
      </c>
      <c r="R5097" s="32" t="str">
        <f>IFERROR(VLOOKUP($D5097,'Informations sur les produits'!$A$3:$B$15000,2,FALSE),"")</f>
        <v/>
      </c>
      <c r="V5097">
        <f t="shared" si="318"/>
        <v>0</v>
      </c>
      <c r="W5097">
        <f t="shared" si="319"/>
        <v>0</v>
      </c>
    </row>
    <row r="5098" spans="5:23" x14ac:dyDescent="0.25">
      <c r="E5098" s="4"/>
      <c r="F5098" s="4"/>
      <c r="G5098" s="33" t="str">
        <f>IFERROR(VLOOKUP($D5098,'Informations sur les produits'!$A$3:$H$10000,8,FALSE),"0")</f>
        <v>0</v>
      </c>
      <c r="K5098" s="4"/>
      <c r="L5098" s="33" t="str">
        <f>IFERROR(VLOOKUP($J5098,'Informations sur les produits'!$A$3:$H$10000,8,FALSE),"0")</f>
        <v>0</v>
      </c>
      <c r="N5098" s="8"/>
      <c r="O5098" s="33" t="str">
        <f>IFERROR(VLOOKUP($M5098,'Informations sur les produits'!$A$3:$H$10000,8,FALSE),"0")</f>
        <v>0</v>
      </c>
      <c r="P5098" s="33">
        <f t="shared" si="316"/>
        <v>0</v>
      </c>
      <c r="Q5098" s="31" t="str">
        <f t="shared" si="317"/>
        <v/>
      </c>
      <c r="R5098" s="32" t="str">
        <f>IFERROR(VLOOKUP($D5098,'Informations sur les produits'!$A$3:$B$15000,2,FALSE),"")</f>
        <v/>
      </c>
      <c r="V5098">
        <f t="shared" si="318"/>
        <v>0</v>
      </c>
      <c r="W5098">
        <f t="shared" si="319"/>
        <v>0</v>
      </c>
    </row>
    <row r="5099" spans="5:23" x14ac:dyDescent="0.25">
      <c r="E5099" s="4"/>
      <c r="F5099" s="4"/>
      <c r="G5099" s="33" t="str">
        <f>IFERROR(VLOOKUP($D5099,'Informations sur les produits'!$A$3:$H$10000,8,FALSE),"0")</f>
        <v>0</v>
      </c>
      <c r="K5099" s="4"/>
      <c r="L5099" s="33" t="str">
        <f>IFERROR(VLOOKUP($J5099,'Informations sur les produits'!$A$3:$H$10000,8,FALSE),"0")</f>
        <v>0</v>
      </c>
      <c r="N5099" s="8"/>
      <c r="O5099" s="33" t="str">
        <f>IFERROR(VLOOKUP($M5099,'Informations sur les produits'!$A$3:$H$10000,8,FALSE),"0")</f>
        <v>0</v>
      </c>
      <c r="P5099" s="33">
        <f t="shared" si="316"/>
        <v>0</v>
      </c>
      <c r="Q5099" s="31" t="str">
        <f t="shared" si="317"/>
        <v/>
      </c>
      <c r="R5099" s="32" t="str">
        <f>IFERROR(VLOOKUP($D5099,'Informations sur les produits'!$A$3:$B$15000,2,FALSE),"")</f>
        <v/>
      </c>
      <c r="V5099">
        <f t="shared" si="318"/>
        <v>0</v>
      </c>
      <c r="W5099">
        <f t="shared" si="319"/>
        <v>0</v>
      </c>
    </row>
    <row r="5100" spans="5:23" x14ac:dyDescent="0.25">
      <c r="E5100" s="4"/>
      <c r="F5100" s="4"/>
      <c r="G5100" s="33" t="str">
        <f>IFERROR(VLOOKUP($D5100,'Informations sur les produits'!$A$3:$H$10000,8,FALSE),"0")</f>
        <v>0</v>
      </c>
      <c r="K5100" s="4"/>
      <c r="L5100" s="33" t="str">
        <f>IFERROR(VLOOKUP($J5100,'Informations sur les produits'!$A$3:$H$10000,8,FALSE),"0")</f>
        <v>0</v>
      </c>
      <c r="N5100" s="8"/>
      <c r="O5100" s="33" t="str">
        <f>IFERROR(VLOOKUP($M5100,'Informations sur les produits'!$A$3:$H$10000,8,FALSE),"0")</f>
        <v>0</v>
      </c>
      <c r="P5100" s="33">
        <f t="shared" si="316"/>
        <v>0</v>
      </c>
      <c r="Q5100" s="31" t="str">
        <f t="shared" si="317"/>
        <v/>
      </c>
      <c r="R5100" s="32" t="str">
        <f>IFERROR(VLOOKUP($D5100,'Informations sur les produits'!$A$3:$B$15000,2,FALSE),"")</f>
        <v/>
      </c>
      <c r="V5100">
        <f t="shared" si="318"/>
        <v>0</v>
      </c>
      <c r="W5100">
        <f t="shared" si="319"/>
        <v>0</v>
      </c>
    </row>
    <row r="5101" spans="5:23" x14ac:dyDescent="0.25">
      <c r="E5101" s="4"/>
      <c r="F5101" s="4"/>
      <c r="G5101" s="33" t="str">
        <f>IFERROR(VLOOKUP($D5101,'Informations sur les produits'!$A$3:$H$10000,8,FALSE),"0")</f>
        <v>0</v>
      </c>
      <c r="K5101" s="4"/>
      <c r="L5101" s="33" t="str">
        <f>IFERROR(VLOOKUP($J5101,'Informations sur les produits'!$A$3:$H$10000,8,FALSE),"0")</f>
        <v>0</v>
      </c>
      <c r="N5101" s="8"/>
      <c r="O5101" s="33" t="str">
        <f>IFERROR(VLOOKUP($M5101,'Informations sur les produits'!$A$3:$H$10000,8,FALSE),"0")</f>
        <v>0</v>
      </c>
      <c r="P5101" s="33">
        <f t="shared" si="316"/>
        <v>0</v>
      </c>
      <c r="Q5101" s="31" t="str">
        <f t="shared" si="317"/>
        <v/>
      </c>
      <c r="R5101" s="32" t="str">
        <f>IFERROR(VLOOKUP($D5101,'Informations sur les produits'!$A$3:$B$15000,2,FALSE),"")</f>
        <v/>
      </c>
      <c r="V5101">
        <f t="shared" si="318"/>
        <v>0</v>
      </c>
      <c r="W5101">
        <f t="shared" si="319"/>
        <v>0</v>
      </c>
    </row>
    <row r="5102" spans="5:23" x14ac:dyDescent="0.25">
      <c r="E5102" s="4"/>
      <c r="F5102" s="4"/>
      <c r="G5102" s="33" t="str">
        <f>IFERROR(VLOOKUP($D5102,'Informations sur les produits'!$A$3:$H$10000,8,FALSE),"0")</f>
        <v>0</v>
      </c>
      <c r="K5102" s="4"/>
      <c r="L5102" s="33" t="str">
        <f>IFERROR(VLOOKUP($J5102,'Informations sur les produits'!$A$3:$H$10000,8,FALSE),"0")</f>
        <v>0</v>
      </c>
      <c r="N5102" s="8"/>
      <c r="O5102" s="33" t="str">
        <f>IFERROR(VLOOKUP($M5102,'Informations sur les produits'!$A$3:$H$10000,8,FALSE),"0")</f>
        <v>0</v>
      </c>
      <c r="P5102" s="33">
        <f t="shared" si="316"/>
        <v>0</v>
      </c>
      <c r="Q5102" s="31" t="str">
        <f t="shared" si="317"/>
        <v/>
      </c>
      <c r="R5102" s="32" t="str">
        <f>IFERROR(VLOOKUP($D5102,'Informations sur les produits'!$A$3:$B$15000,2,FALSE),"")</f>
        <v/>
      </c>
      <c r="V5102">
        <f t="shared" si="318"/>
        <v>0</v>
      </c>
      <c r="W5102">
        <f t="shared" si="319"/>
        <v>0</v>
      </c>
    </row>
    <row r="5103" spans="5:23" x14ac:dyDescent="0.25">
      <c r="E5103" s="4"/>
      <c r="F5103" s="4"/>
      <c r="G5103" s="33" t="str">
        <f>IFERROR(VLOOKUP($D5103,'Informations sur les produits'!$A$3:$H$10000,8,FALSE),"0")</f>
        <v>0</v>
      </c>
      <c r="K5103" s="4"/>
      <c r="L5103" s="33" t="str">
        <f>IFERROR(VLOOKUP($J5103,'Informations sur les produits'!$A$3:$H$10000,8,FALSE),"0")</f>
        <v>0</v>
      </c>
      <c r="N5103" s="8"/>
      <c r="O5103" s="33" t="str">
        <f>IFERROR(VLOOKUP($M5103,'Informations sur les produits'!$A$3:$H$10000,8,FALSE),"0")</f>
        <v>0</v>
      </c>
      <c r="P5103" s="33">
        <f t="shared" si="316"/>
        <v>0</v>
      </c>
      <c r="Q5103" s="31" t="str">
        <f t="shared" si="317"/>
        <v/>
      </c>
      <c r="R5103" s="32" t="str">
        <f>IFERROR(VLOOKUP($D5103,'Informations sur les produits'!$A$3:$B$15000,2,FALSE),"")</f>
        <v/>
      </c>
      <c r="V5103">
        <f t="shared" si="318"/>
        <v>0</v>
      </c>
      <c r="W5103">
        <f t="shared" si="319"/>
        <v>0</v>
      </c>
    </row>
    <row r="5104" spans="5:23" x14ac:dyDescent="0.25">
      <c r="E5104" s="4"/>
      <c r="F5104" s="4"/>
      <c r="G5104" s="33" t="str">
        <f>IFERROR(VLOOKUP($D5104,'Informations sur les produits'!$A$3:$H$10000,8,FALSE),"0")</f>
        <v>0</v>
      </c>
      <c r="K5104" s="4"/>
      <c r="L5104" s="33" t="str">
        <f>IFERROR(VLOOKUP($J5104,'Informations sur les produits'!$A$3:$H$10000,8,FALSE),"0")</f>
        <v>0</v>
      </c>
      <c r="N5104" s="8"/>
      <c r="O5104" s="33" t="str">
        <f>IFERROR(VLOOKUP($M5104,'Informations sur les produits'!$A$3:$H$10000,8,FALSE),"0")</f>
        <v>0</v>
      </c>
      <c r="P5104" s="33">
        <f t="shared" si="316"/>
        <v>0</v>
      </c>
      <c r="Q5104" s="31" t="str">
        <f t="shared" si="317"/>
        <v/>
      </c>
      <c r="R5104" s="32" t="str">
        <f>IFERROR(VLOOKUP($D5104,'Informations sur les produits'!$A$3:$B$15000,2,FALSE),"")</f>
        <v/>
      </c>
      <c r="V5104">
        <f t="shared" si="318"/>
        <v>0</v>
      </c>
      <c r="W5104">
        <f t="shared" si="319"/>
        <v>0</v>
      </c>
    </row>
    <row r="5105" spans="5:23" x14ac:dyDescent="0.25">
      <c r="E5105" s="4"/>
      <c r="F5105" s="4"/>
      <c r="G5105" s="33" t="str">
        <f>IFERROR(VLOOKUP($D5105,'Informations sur les produits'!$A$3:$H$10000,8,FALSE),"0")</f>
        <v>0</v>
      </c>
      <c r="K5105" s="4"/>
      <c r="L5105" s="33" t="str">
        <f>IFERROR(VLOOKUP($J5105,'Informations sur les produits'!$A$3:$H$10000,8,FALSE),"0")</f>
        <v>0</v>
      </c>
      <c r="N5105" s="8"/>
      <c r="O5105" s="33" t="str">
        <f>IFERROR(VLOOKUP($M5105,'Informations sur les produits'!$A$3:$H$10000,8,FALSE),"0")</f>
        <v>0</v>
      </c>
      <c r="P5105" s="33">
        <f t="shared" si="316"/>
        <v>0</v>
      </c>
      <c r="Q5105" s="31" t="str">
        <f t="shared" si="317"/>
        <v/>
      </c>
      <c r="R5105" s="32" t="str">
        <f>IFERROR(VLOOKUP($D5105,'Informations sur les produits'!$A$3:$B$15000,2,FALSE),"")</f>
        <v/>
      </c>
      <c r="V5105">
        <f t="shared" si="318"/>
        <v>0</v>
      </c>
      <c r="W5105">
        <f t="shared" si="319"/>
        <v>0</v>
      </c>
    </row>
    <row r="5106" spans="5:23" x14ac:dyDescent="0.25">
      <c r="E5106" s="4"/>
      <c r="F5106" s="4"/>
      <c r="G5106" s="33" t="str">
        <f>IFERROR(VLOOKUP($D5106,'Informations sur les produits'!$A$3:$H$10000,8,FALSE),"0")</f>
        <v>0</v>
      </c>
      <c r="K5106" s="4"/>
      <c r="L5106" s="33" t="str">
        <f>IFERROR(VLOOKUP($J5106,'Informations sur les produits'!$A$3:$H$10000,8,FALSE),"0")</f>
        <v>0</v>
      </c>
      <c r="N5106" s="8"/>
      <c r="O5106" s="33" t="str">
        <f>IFERROR(VLOOKUP($M5106,'Informations sur les produits'!$A$3:$H$10000,8,FALSE),"0")</f>
        <v>0</v>
      </c>
      <c r="P5106" s="33">
        <f t="shared" si="316"/>
        <v>0</v>
      </c>
      <c r="Q5106" s="31" t="str">
        <f t="shared" si="317"/>
        <v/>
      </c>
      <c r="R5106" s="32" t="str">
        <f>IFERROR(VLOOKUP($D5106,'Informations sur les produits'!$A$3:$B$15000,2,FALSE),"")</f>
        <v/>
      </c>
      <c r="V5106">
        <f t="shared" si="318"/>
        <v>0</v>
      </c>
      <c r="W5106">
        <f t="shared" si="319"/>
        <v>0</v>
      </c>
    </row>
    <row r="5107" spans="5:23" x14ac:dyDescent="0.25">
      <c r="E5107" s="4"/>
      <c r="F5107" s="4"/>
      <c r="G5107" s="33" t="str">
        <f>IFERROR(VLOOKUP($D5107,'Informations sur les produits'!$A$3:$H$10000,8,FALSE),"0")</f>
        <v>0</v>
      </c>
      <c r="K5107" s="4"/>
      <c r="L5107" s="33" t="str">
        <f>IFERROR(VLOOKUP($J5107,'Informations sur les produits'!$A$3:$H$10000,8,FALSE),"0")</f>
        <v>0</v>
      </c>
      <c r="N5107" s="8"/>
      <c r="O5107" s="33" t="str">
        <f>IFERROR(VLOOKUP($M5107,'Informations sur les produits'!$A$3:$H$10000,8,FALSE),"0")</f>
        <v>0</v>
      </c>
      <c r="P5107" s="33">
        <f t="shared" si="316"/>
        <v>0</v>
      </c>
      <c r="Q5107" s="31" t="str">
        <f t="shared" si="317"/>
        <v/>
      </c>
      <c r="R5107" s="32" t="str">
        <f>IFERROR(VLOOKUP($D5107,'Informations sur les produits'!$A$3:$B$15000,2,FALSE),"")</f>
        <v/>
      </c>
      <c r="V5107">
        <f t="shared" si="318"/>
        <v>0</v>
      </c>
      <c r="W5107">
        <f t="shared" si="319"/>
        <v>0</v>
      </c>
    </row>
    <row r="5108" spans="5:23" x14ac:dyDescent="0.25">
      <c r="E5108" s="4"/>
      <c r="F5108" s="4"/>
      <c r="G5108" s="33" t="str">
        <f>IFERROR(VLOOKUP($D5108,'Informations sur les produits'!$A$3:$H$10000,8,FALSE),"0")</f>
        <v>0</v>
      </c>
      <c r="K5108" s="4"/>
      <c r="L5108" s="33" t="str">
        <f>IFERROR(VLOOKUP($J5108,'Informations sur les produits'!$A$3:$H$10000,8,FALSE),"0")</f>
        <v>0</v>
      </c>
      <c r="N5108" s="8"/>
      <c r="O5108" s="33" t="str">
        <f>IFERROR(VLOOKUP($M5108,'Informations sur les produits'!$A$3:$H$10000,8,FALSE),"0")</f>
        <v>0</v>
      </c>
      <c r="P5108" s="33">
        <f t="shared" si="316"/>
        <v>0</v>
      </c>
      <c r="Q5108" s="31" t="str">
        <f t="shared" si="317"/>
        <v/>
      </c>
      <c r="R5108" s="32" t="str">
        <f>IFERROR(VLOOKUP($D5108,'Informations sur les produits'!$A$3:$B$15000,2,FALSE),"")</f>
        <v/>
      </c>
      <c r="V5108">
        <f t="shared" si="318"/>
        <v>0</v>
      </c>
      <c r="W5108">
        <f t="shared" si="319"/>
        <v>0</v>
      </c>
    </row>
    <row r="5109" spans="5:23" x14ac:dyDescent="0.25">
      <c r="E5109" s="4"/>
      <c r="F5109" s="4"/>
      <c r="G5109" s="33" t="str">
        <f>IFERROR(VLOOKUP($D5109,'Informations sur les produits'!$A$3:$H$10000,8,FALSE),"0")</f>
        <v>0</v>
      </c>
      <c r="K5109" s="4"/>
      <c r="L5109" s="33" t="str">
        <f>IFERROR(VLOOKUP($J5109,'Informations sur les produits'!$A$3:$H$10000,8,FALSE),"0")</f>
        <v>0</v>
      </c>
      <c r="N5109" s="8"/>
      <c r="O5109" s="33" t="str">
        <f>IFERROR(VLOOKUP($M5109,'Informations sur les produits'!$A$3:$H$10000,8,FALSE),"0")</f>
        <v>0</v>
      </c>
      <c r="P5109" s="33">
        <f t="shared" si="316"/>
        <v>0</v>
      </c>
      <c r="Q5109" s="31" t="str">
        <f t="shared" si="317"/>
        <v/>
      </c>
      <c r="R5109" s="32" t="str">
        <f>IFERROR(VLOOKUP($D5109,'Informations sur les produits'!$A$3:$B$15000,2,FALSE),"")</f>
        <v/>
      </c>
      <c r="V5109">
        <f t="shared" si="318"/>
        <v>0</v>
      </c>
      <c r="W5109">
        <f t="shared" si="319"/>
        <v>0</v>
      </c>
    </row>
    <row r="5110" spans="5:23" x14ac:dyDescent="0.25">
      <c r="E5110" s="4"/>
      <c r="F5110" s="4"/>
      <c r="G5110" s="33" t="str">
        <f>IFERROR(VLOOKUP($D5110,'Informations sur les produits'!$A$3:$H$10000,8,FALSE),"0")</f>
        <v>0</v>
      </c>
      <c r="K5110" s="4"/>
      <c r="L5110" s="33" t="str">
        <f>IFERROR(VLOOKUP($J5110,'Informations sur les produits'!$A$3:$H$10000,8,FALSE),"0")</f>
        <v>0</v>
      </c>
      <c r="N5110" s="8"/>
      <c r="O5110" s="33" t="str">
        <f>IFERROR(VLOOKUP($M5110,'Informations sur les produits'!$A$3:$H$10000,8,FALSE),"0")</f>
        <v>0</v>
      </c>
      <c r="P5110" s="33">
        <f t="shared" si="316"/>
        <v>0</v>
      </c>
      <c r="Q5110" s="31" t="str">
        <f t="shared" si="317"/>
        <v/>
      </c>
      <c r="R5110" s="32" t="str">
        <f>IFERROR(VLOOKUP($D5110,'Informations sur les produits'!$A$3:$B$15000,2,FALSE),"")</f>
        <v/>
      </c>
      <c r="V5110">
        <f t="shared" si="318"/>
        <v>0</v>
      </c>
      <c r="W5110">
        <f t="shared" si="319"/>
        <v>0</v>
      </c>
    </row>
    <row r="5111" spans="5:23" x14ac:dyDescent="0.25">
      <c r="E5111" s="4"/>
      <c r="F5111" s="4"/>
      <c r="G5111" s="33" t="str">
        <f>IFERROR(VLOOKUP($D5111,'Informations sur les produits'!$A$3:$H$10000,8,FALSE),"0")</f>
        <v>0</v>
      </c>
      <c r="K5111" s="4"/>
      <c r="L5111" s="33" t="str">
        <f>IFERROR(VLOOKUP($J5111,'Informations sur les produits'!$A$3:$H$10000,8,FALSE),"0")</f>
        <v>0</v>
      </c>
      <c r="N5111" s="8"/>
      <c r="O5111" s="33" t="str">
        <f>IFERROR(VLOOKUP($M5111,'Informations sur les produits'!$A$3:$H$10000,8,FALSE),"0")</f>
        <v>0</v>
      </c>
      <c r="P5111" s="33">
        <f t="shared" si="316"/>
        <v>0</v>
      </c>
      <c r="Q5111" s="31" t="str">
        <f t="shared" si="317"/>
        <v/>
      </c>
      <c r="R5111" s="32" t="str">
        <f>IFERROR(VLOOKUP($D5111,'Informations sur les produits'!$A$3:$B$15000,2,FALSE),"")</f>
        <v/>
      </c>
      <c r="V5111">
        <f t="shared" si="318"/>
        <v>0</v>
      </c>
      <c r="W5111">
        <f t="shared" si="319"/>
        <v>0</v>
      </c>
    </row>
    <row r="5112" spans="5:23" x14ac:dyDescent="0.25">
      <c r="E5112" s="4"/>
      <c r="F5112" s="4"/>
      <c r="G5112" s="33" t="str">
        <f>IFERROR(VLOOKUP($D5112,'Informations sur les produits'!$A$3:$H$10000,8,FALSE),"0")</f>
        <v>0</v>
      </c>
      <c r="K5112" s="4"/>
      <c r="L5112" s="33" t="str">
        <f>IFERROR(VLOOKUP($J5112,'Informations sur les produits'!$A$3:$H$10000,8,FALSE),"0")</f>
        <v>0</v>
      </c>
      <c r="N5112" s="8"/>
      <c r="O5112" s="33" t="str">
        <f>IFERROR(VLOOKUP($M5112,'Informations sur les produits'!$A$3:$H$10000,8,FALSE),"0")</f>
        <v>0</v>
      </c>
      <c r="P5112" s="33">
        <f t="shared" si="316"/>
        <v>0</v>
      </c>
      <c r="Q5112" s="31" t="str">
        <f t="shared" si="317"/>
        <v/>
      </c>
      <c r="R5112" s="32" t="str">
        <f>IFERROR(VLOOKUP($D5112,'Informations sur les produits'!$A$3:$B$15000,2,FALSE),"")</f>
        <v/>
      </c>
      <c r="V5112">
        <f t="shared" si="318"/>
        <v>0</v>
      </c>
      <c r="W5112">
        <f t="shared" si="319"/>
        <v>0</v>
      </c>
    </row>
    <row r="5113" spans="5:23" x14ac:dyDescent="0.25">
      <c r="E5113" s="4"/>
      <c r="F5113" s="4"/>
      <c r="G5113" s="33" t="str">
        <f>IFERROR(VLOOKUP($D5113,'Informations sur les produits'!$A$3:$H$10000,8,FALSE),"0")</f>
        <v>0</v>
      </c>
      <c r="K5113" s="4"/>
      <c r="L5113" s="33" t="str">
        <f>IFERROR(VLOOKUP($J5113,'Informations sur les produits'!$A$3:$H$10000,8,FALSE),"0")</f>
        <v>0</v>
      </c>
      <c r="N5113" s="8"/>
      <c r="O5113" s="33" t="str">
        <f>IFERROR(VLOOKUP($M5113,'Informations sur les produits'!$A$3:$H$10000,8,FALSE),"0")</f>
        <v>0</v>
      </c>
      <c r="P5113" s="33">
        <f t="shared" si="316"/>
        <v>0</v>
      </c>
      <c r="Q5113" s="31" t="str">
        <f t="shared" si="317"/>
        <v/>
      </c>
      <c r="R5113" s="32" t="str">
        <f>IFERROR(VLOOKUP($D5113,'Informations sur les produits'!$A$3:$B$15000,2,FALSE),"")</f>
        <v/>
      </c>
      <c r="V5113">
        <f t="shared" si="318"/>
        <v>0</v>
      </c>
      <c r="W5113">
        <f t="shared" si="319"/>
        <v>0</v>
      </c>
    </row>
    <row r="5114" spans="5:23" x14ac:dyDescent="0.25">
      <c r="E5114" s="4"/>
      <c r="F5114" s="4"/>
      <c r="G5114" s="33" t="str">
        <f>IFERROR(VLOOKUP($D5114,'Informations sur les produits'!$A$3:$H$10000,8,FALSE),"0")</f>
        <v>0</v>
      </c>
      <c r="K5114" s="4"/>
      <c r="L5114" s="33" t="str">
        <f>IFERROR(VLOOKUP($J5114,'Informations sur les produits'!$A$3:$H$10000,8,FALSE),"0")</f>
        <v>0</v>
      </c>
      <c r="N5114" s="8"/>
      <c r="O5114" s="33" t="str">
        <f>IFERROR(VLOOKUP($M5114,'Informations sur les produits'!$A$3:$H$10000,8,FALSE),"0")</f>
        <v>0</v>
      </c>
      <c r="P5114" s="33">
        <f t="shared" si="316"/>
        <v>0</v>
      </c>
      <c r="Q5114" s="31" t="str">
        <f t="shared" si="317"/>
        <v/>
      </c>
      <c r="R5114" s="32" t="str">
        <f>IFERROR(VLOOKUP($D5114,'Informations sur les produits'!$A$3:$B$15000,2,FALSE),"")</f>
        <v/>
      </c>
      <c r="V5114">
        <f t="shared" si="318"/>
        <v>0</v>
      </c>
      <c r="W5114">
        <f t="shared" si="319"/>
        <v>0</v>
      </c>
    </row>
    <row r="5115" spans="5:23" x14ac:dyDescent="0.25">
      <c r="E5115" s="4"/>
      <c r="F5115" s="4"/>
      <c r="G5115" s="33" t="str">
        <f>IFERROR(VLOOKUP($D5115,'Informations sur les produits'!$A$3:$H$10000,8,FALSE),"0")</f>
        <v>0</v>
      </c>
      <c r="K5115" s="4"/>
      <c r="L5115" s="33" t="str">
        <f>IFERROR(VLOOKUP($J5115,'Informations sur les produits'!$A$3:$H$10000,8,FALSE),"0")</f>
        <v>0</v>
      </c>
      <c r="N5115" s="8"/>
      <c r="O5115" s="33" t="str">
        <f>IFERROR(VLOOKUP($M5115,'Informations sur les produits'!$A$3:$H$10000,8,FALSE),"0")</f>
        <v>0</v>
      </c>
      <c r="P5115" s="33">
        <f t="shared" si="316"/>
        <v>0</v>
      </c>
      <c r="Q5115" s="31" t="str">
        <f t="shared" si="317"/>
        <v/>
      </c>
      <c r="R5115" s="32" t="str">
        <f>IFERROR(VLOOKUP($D5115,'Informations sur les produits'!$A$3:$B$15000,2,FALSE),"")</f>
        <v/>
      </c>
      <c r="V5115">
        <f t="shared" si="318"/>
        <v>0</v>
      </c>
      <c r="W5115">
        <f t="shared" si="319"/>
        <v>0</v>
      </c>
    </row>
    <row r="5116" spans="5:23" x14ac:dyDescent="0.25">
      <c r="E5116" s="4"/>
      <c r="F5116" s="4"/>
      <c r="G5116" s="33" t="str">
        <f>IFERROR(VLOOKUP($D5116,'Informations sur les produits'!$A$3:$H$10000,8,FALSE),"0")</f>
        <v>0</v>
      </c>
      <c r="K5116" s="4"/>
      <c r="L5116" s="33" t="str">
        <f>IFERROR(VLOOKUP($J5116,'Informations sur les produits'!$A$3:$H$10000,8,FALSE),"0")</f>
        <v>0</v>
      </c>
      <c r="N5116" s="8"/>
      <c r="O5116" s="33" t="str">
        <f>IFERROR(VLOOKUP($M5116,'Informations sur les produits'!$A$3:$H$10000,8,FALSE),"0")</f>
        <v>0</v>
      </c>
      <c r="P5116" s="33">
        <f t="shared" si="316"/>
        <v>0</v>
      </c>
      <c r="Q5116" s="31" t="str">
        <f t="shared" si="317"/>
        <v/>
      </c>
      <c r="R5116" s="32" t="str">
        <f>IFERROR(VLOOKUP($D5116,'Informations sur les produits'!$A$3:$B$15000,2,FALSE),"")</f>
        <v/>
      </c>
      <c r="V5116">
        <f t="shared" si="318"/>
        <v>0</v>
      </c>
      <c r="W5116">
        <f t="shared" si="319"/>
        <v>0</v>
      </c>
    </row>
    <row r="5117" spans="5:23" x14ac:dyDescent="0.25">
      <c r="E5117" s="4"/>
      <c r="F5117" s="4"/>
      <c r="G5117" s="33" t="str">
        <f>IFERROR(VLOOKUP($D5117,'Informations sur les produits'!$A$3:$H$10000,8,FALSE),"0")</f>
        <v>0</v>
      </c>
      <c r="K5117" s="4"/>
      <c r="L5117" s="33" t="str">
        <f>IFERROR(VLOOKUP($J5117,'Informations sur les produits'!$A$3:$H$10000,8,FALSE),"0")</f>
        <v>0</v>
      </c>
      <c r="N5117" s="8"/>
      <c r="O5117" s="33" t="str">
        <f>IFERROR(VLOOKUP($M5117,'Informations sur les produits'!$A$3:$H$10000,8,FALSE),"0")</f>
        <v>0</v>
      </c>
      <c r="P5117" s="33">
        <f t="shared" si="316"/>
        <v>0</v>
      </c>
      <c r="Q5117" s="31" t="str">
        <f t="shared" si="317"/>
        <v/>
      </c>
      <c r="R5117" s="32" t="str">
        <f>IFERROR(VLOOKUP($D5117,'Informations sur les produits'!$A$3:$B$15000,2,FALSE),"")</f>
        <v/>
      </c>
      <c r="V5117">
        <f t="shared" si="318"/>
        <v>0</v>
      </c>
      <c r="W5117">
        <f t="shared" si="319"/>
        <v>0</v>
      </c>
    </row>
    <row r="5118" spans="5:23" x14ac:dyDescent="0.25">
      <c r="E5118" s="4"/>
      <c r="F5118" s="4"/>
      <c r="G5118" s="33" t="str">
        <f>IFERROR(VLOOKUP($D5118,'Informations sur les produits'!$A$3:$H$10000,8,FALSE),"0")</f>
        <v>0</v>
      </c>
      <c r="K5118" s="4"/>
      <c r="L5118" s="33" t="str">
        <f>IFERROR(VLOOKUP($J5118,'Informations sur les produits'!$A$3:$H$10000,8,FALSE),"0")</f>
        <v>0</v>
      </c>
      <c r="N5118" s="8"/>
      <c r="O5118" s="33" t="str">
        <f>IFERROR(VLOOKUP($M5118,'Informations sur les produits'!$A$3:$H$10000,8,FALSE),"0")</f>
        <v>0</v>
      </c>
      <c r="P5118" s="33">
        <f t="shared" si="316"/>
        <v>0</v>
      </c>
      <c r="Q5118" s="31" t="str">
        <f t="shared" si="317"/>
        <v/>
      </c>
      <c r="R5118" s="32" t="str">
        <f>IFERROR(VLOOKUP($D5118,'Informations sur les produits'!$A$3:$B$15000,2,FALSE),"")</f>
        <v/>
      </c>
      <c r="V5118">
        <f t="shared" si="318"/>
        <v>0</v>
      </c>
      <c r="W5118">
        <f t="shared" si="319"/>
        <v>0</v>
      </c>
    </row>
    <row r="5119" spans="5:23" x14ac:dyDescent="0.25">
      <c r="E5119" s="4"/>
      <c r="F5119" s="4"/>
      <c r="G5119" s="33" t="str">
        <f>IFERROR(VLOOKUP($D5119,'Informations sur les produits'!$A$3:$H$10000,8,FALSE),"0")</f>
        <v>0</v>
      </c>
      <c r="K5119" s="4"/>
      <c r="L5119" s="33" t="str">
        <f>IFERROR(VLOOKUP($J5119,'Informations sur les produits'!$A$3:$H$10000,8,FALSE),"0")</f>
        <v>0</v>
      </c>
      <c r="N5119" s="8"/>
      <c r="O5119" s="33" t="str">
        <f>IFERROR(VLOOKUP($M5119,'Informations sur les produits'!$A$3:$H$10000,8,FALSE),"0")</f>
        <v>0</v>
      </c>
      <c r="P5119" s="33">
        <f t="shared" si="316"/>
        <v>0</v>
      </c>
      <c r="Q5119" s="31" t="str">
        <f t="shared" si="317"/>
        <v/>
      </c>
      <c r="R5119" s="32" t="str">
        <f>IFERROR(VLOOKUP($D5119,'Informations sur les produits'!$A$3:$B$15000,2,FALSE),"")</f>
        <v/>
      </c>
      <c r="V5119">
        <f t="shared" si="318"/>
        <v>0</v>
      </c>
      <c r="W5119">
        <f t="shared" si="319"/>
        <v>0</v>
      </c>
    </row>
    <row r="5120" spans="5:23" x14ac:dyDescent="0.25">
      <c r="E5120" s="4"/>
      <c r="F5120" s="4"/>
      <c r="G5120" s="33" t="str">
        <f>IFERROR(VLOOKUP($D5120,'Informations sur les produits'!$A$3:$H$10000,8,FALSE),"0")</f>
        <v>0</v>
      </c>
      <c r="K5120" s="4"/>
      <c r="L5120" s="33" t="str">
        <f>IFERROR(VLOOKUP($J5120,'Informations sur les produits'!$A$3:$H$10000,8,FALSE),"0")</f>
        <v>0</v>
      </c>
      <c r="N5120" s="8"/>
      <c r="O5120" s="33" t="str">
        <f>IFERROR(VLOOKUP($M5120,'Informations sur les produits'!$A$3:$H$10000,8,FALSE),"0")</f>
        <v>0</v>
      </c>
      <c r="P5120" s="33">
        <f t="shared" si="316"/>
        <v>0</v>
      </c>
      <c r="Q5120" s="31" t="str">
        <f t="shared" si="317"/>
        <v/>
      </c>
      <c r="R5120" s="32" t="str">
        <f>IFERROR(VLOOKUP($D5120,'Informations sur les produits'!$A$3:$B$15000,2,FALSE),"")</f>
        <v/>
      </c>
      <c r="V5120">
        <f t="shared" si="318"/>
        <v>0</v>
      </c>
      <c r="W5120">
        <f t="shared" si="319"/>
        <v>0</v>
      </c>
    </row>
    <row r="5121" spans="5:23" x14ac:dyDescent="0.25">
      <c r="E5121" s="4"/>
      <c r="F5121" s="4"/>
      <c r="G5121" s="33" t="str">
        <f>IFERROR(VLOOKUP($D5121,'Informations sur les produits'!$A$3:$H$10000,8,FALSE),"0")</f>
        <v>0</v>
      </c>
      <c r="K5121" s="4"/>
      <c r="L5121" s="33" t="str">
        <f>IFERROR(VLOOKUP($J5121,'Informations sur les produits'!$A$3:$H$10000,8,FALSE),"0")</f>
        <v>0</v>
      </c>
      <c r="N5121" s="8"/>
      <c r="O5121" s="33" t="str">
        <f>IFERROR(VLOOKUP($M5121,'Informations sur les produits'!$A$3:$H$10000,8,FALSE),"0")</f>
        <v>0</v>
      </c>
      <c r="P5121" s="33">
        <f t="shared" si="316"/>
        <v>0</v>
      </c>
      <c r="Q5121" s="31" t="str">
        <f t="shared" si="317"/>
        <v/>
      </c>
      <c r="R5121" s="32" t="str">
        <f>IFERROR(VLOOKUP($D5121,'Informations sur les produits'!$A$3:$B$15000,2,FALSE),"")</f>
        <v/>
      </c>
      <c r="V5121">
        <f t="shared" si="318"/>
        <v>0</v>
      </c>
      <c r="W5121">
        <f t="shared" si="319"/>
        <v>0</v>
      </c>
    </row>
    <row r="5122" spans="5:23" x14ac:dyDescent="0.25">
      <c r="E5122" s="4"/>
      <c r="F5122" s="4"/>
      <c r="G5122" s="33" t="str">
        <f>IFERROR(VLOOKUP($D5122,'Informations sur les produits'!$A$3:$H$10000,8,FALSE),"0")</f>
        <v>0</v>
      </c>
      <c r="K5122" s="4"/>
      <c r="L5122" s="33" t="str">
        <f>IFERROR(VLOOKUP($J5122,'Informations sur les produits'!$A$3:$H$10000,8,FALSE),"0")</f>
        <v>0</v>
      </c>
      <c r="N5122" s="8"/>
      <c r="O5122" s="33" t="str">
        <f>IFERROR(VLOOKUP($M5122,'Informations sur les produits'!$A$3:$H$10000,8,FALSE),"0")</f>
        <v>0</v>
      </c>
      <c r="P5122" s="33">
        <f t="shared" si="316"/>
        <v>0</v>
      </c>
      <c r="Q5122" s="31" t="str">
        <f t="shared" si="317"/>
        <v/>
      </c>
      <c r="R5122" s="32" t="str">
        <f>IFERROR(VLOOKUP($D5122,'Informations sur les produits'!$A$3:$B$15000,2,FALSE),"")</f>
        <v/>
      </c>
      <c r="V5122">
        <f t="shared" si="318"/>
        <v>0</v>
      </c>
      <c r="W5122">
        <f t="shared" si="319"/>
        <v>0</v>
      </c>
    </row>
    <row r="5123" spans="5:23" x14ac:dyDescent="0.25">
      <c r="E5123" s="4"/>
      <c r="F5123" s="4"/>
      <c r="G5123" s="33" t="str">
        <f>IFERROR(VLOOKUP($D5123,'Informations sur les produits'!$A$3:$H$10000,8,FALSE),"0")</f>
        <v>0</v>
      </c>
      <c r="K5123" s="4"/>
      <c r="L5123" s="33" t="str">
        <f>IFERROR(VLOOKUP($J5123,'Informations sur les produits'!$A$3:$H$10000,8,FALSE),"0")</f>
        <v>0</v>
      </c>
      <c r="N5123" s="8"/>
      <c r="O5123" s="33" t="str">
        <f>IFERROR(VLOOKUP($M5123,'Informations sur les produits'!$A$3:$H$10000,8,FALSE),"0")</f>
        <v>0</v>
      </c>
      <c r="P5123" s="33">
        <f t="shared" si="316"/>
        <v>0</v>
      </c>
      <c r="Q5123" s="31" t="str">
        <f t="shared" si="317"/>
        <v/>
      </c>
      <c r="R5123" s="32" t="str">
        <f>IFERROR(VLOOKUP($D5123,'Informations sur les produits'!$A$3:$B$15000,2,FALSE),"")</f>
        <v/>
      </c>
      <c r="V5123">
        <f t="shared" si="318"/>
        <v>0</v>
      </c>
      <c r="W5123">
        <f t="shared" si="319"/>
        <v>0</v>
      </c>
    </row>
    <row r="5124" spans="5:23" x14ac:dyDescent="0.25">
      <c r="E5124" s="4"/>
      <c r="F5124" s="4"/>
      <c r="G5124" s="33" t="str">
        <f>IFERROR(VLOOKUP($D5124,'Informations sur les produits'!$A$3:$H$10000,8,FALSE),"0")</f>
        <v>0</v>
      </c>
      <c r="K5124" s="4"/>
      <c r="L5124" s="33" t="str">
        <f>IFERROR(VLOOKUP($J5124,'Informations sur les produits'!$A$3:$H$10000,8,FALSE),"0")</f>
        <v>0</v>
      </c>
      <c r="N5124" s="8"/>
      <c r="O5124" s="33" t="str">
        <f>IFERROR(VLOOKUP($M5124,'Informations sur les produits'!$A$3:$H$10000,8,FALSE),"0")</f>
        <v>0</v>
      </c>
      <c r="P5124" s="33">
        <f t="shared" ref="P5124:P5187" si="320">IFERROR((($E5124-$F5124)*$G5124+$K5124*$L5124+$N5124*$O5124),"")</f>
        <v>0</v>
      </c>
      <c r="Q5124" s="31" t="str">
        <f t="shared" ref="Q5124:Q5187" si="321">IFERROR((((($E5124-$F5124)*$G5124+$K5124*$L5124+$N5124*$O5124)*1000)/(($E5124-$F5124)+$K5124+$N5124)),"")</f>
        <v/>
      </c>
      <c r="R5124" s="32" t="str">
        <f>IFERROR(VLOOKUP($D5124,'Informations sur les produits'!$A$3:$B$15000,2,FALSE),"")</f>
        <v/>
      </c>
      <c r="V5124">
        <f t="shared" ref="V5124:V5187" si="322">IFERROR(P5124*1000,"")</f>
        <v>0</v>
      </c>
      <c r="W5124">
        <f t="shared" ref="W5124:W5187" si="323">IFERROR(($E5124-$F5124)+$K5124+$N5124,"")</f>
        <v>0</v>
      </c>
    </row>
    <row r="5125" spans="5:23" x14ac:dyDescent="0.25">
      <c r="E5125" s="4"/>
      <c r="F5125" s="4"/>
      <c r="G5125" s="33" t="str">
        <f>IFERROR(VLOOKUP($D5125,'Informations sur les produits'!$A$3:$H$10000,8,FALSE),"0")</f>
        <v>0</v>
      </c>
      <c r="K5125" s="4"/>
      <c r="L5125" s="33" t="str">
        <f>IFERROR(VLOOKUP($J5125,'Informations sur les produits'!$A$3:$H$10000,8,FALSE),"0")</f>
        <v>0</v>
      </c>
      <c r="N5125" s="8"/>
      <c r="O5125" s="33" t="str">
        <f>IFERROR(VLOOKUP($M5125,'Informations sur les produits'!$A$3:$H$10000,8,FALSE),"0")</f>
        <v>0</v>
      </c>
      <c r="P5125" s="33">
        <f t="shared" si="320"/>
        <v>0</v>
      </c>
      <c r="Q5125" s="31" t="str">
        <f t="shared" si="321"/>
        <v/>
      </c>
      <c r="R5125" s="32" t="str">
        <f>IFERROR(VLOOKUP($D5125,'Informations sur les produits'!$A$3:$B$15000,2,FALSE),"")</f>
        <v/>
      </c>
      <c r="V5125">
        <f t="shared" si="322"/>
        <v>0</v>
      </c>
      <c r="W5125">
        <f t="shared" si="323"/>
        <v>0</v>
      </c>
    </row>
    <row r="5126" spans="5:23" x14ac:dyDescent="0.25">
      <c r="E5126" s="4"/>
      <c r="F5126" s="4"/>
      <c r="G5126" s="33" t="str">
        <f>IFERROR(VLOOKUP($D5126,'Informations sur les produits'!$A$3:$H$10000,8,FALSE),"0")</f>
        <v>0</v>
      </c>
      <c r="K5126" s="4"/>
      <c r="L5126" s="33" t="str">
        <f>IFERROR(VLOOKUP($J5126,'Informations sur les produits'!$A$3:$H$10000,8,FALSE),"0")</f>
        <v>0</v>
      </c>
      <c r="N5126" s="8"/>
      <c r="O5126" s="33" t="str">
        <f>IFERROR(VLOOKUP($M5126,'Informations sur les produits'!$A$3:$H$10000,8,FALSE),"0")</f>
        <v>0</v>
      </c>
      <c r="P5126" s="33">
        <f t="shared" si="320"/>
        <v>0</v>
      </c>
      <c r="Q5126" s="31" t="str">
        <f t="shared" si="321"/>
        <v/>
      </c>
      <c r="R5126" s="32" t="str">
        <f>IFERROR(VLOOKUP($D5126,'Informations sur les produits'!$A$3:$B$15000,2,FALSE),"")</f>
        <v/>
      </c>
      <c r="V5126">
        <f t="shared" si="322"/>
        <v>0</v>
      </c>
      <c r="W5126">
        <f t="shared" si="323"/>
        <v>0</v>
      </c>
    </row>
    <row r="5127" spans="5:23" x14ac:dyDescent="0.25">
      <c r="E5127" s="4"/>
      <c r="F5127" s="4"/>
      <c r="G5127" s="33" t="str">
        <f>IFERROR(VLOOKUP($D5127,'Informations sur les produits'!$A$3:$H$10000,8,FALSE),"0")</f>
        <v>0</v>
      </c>
      <c r="K5127" s="4"/>
      <c r="L5127" s="33" t="str">
        <f>IFERROR(VLOOKUP($J5127,'Informations sur les produits'!$A$3:$H$10000,8,FALSE),"0")</f>
        <v>0</v>
      </c>
      <c r="N5127" s="8"/>
      <c r="O5127" s="33" t="str">
        <f>IFERROR(VLOOKUP($M5127,'Informations sur les produits'!$A$3:$H$10000,8,FALSE),"0")</f>
        <v>0</v>
      </c>
      <c r="P5127" s="33">
        <f t="shared" si="320"/>
        <v>0</v>
      </c>
      <c r="Q5127" s="31" t="str">
        <f t="shared" si="321"/>
        <v/>
      </c>
      <c r="R5127" s="32" t="str">
        <f>IFERROR(VLOOKUP($D5127,'Informations sur les produits'!$A$3:$B$15000,2,FALSE),"")</f>
        <v/>
      </c>
      <c r="V5127">
        <f t="shared" si="322"/>
        <v>0</v>
      </c>
      <c r="W5127">
        <f t="shared" si="323"/>
        <v>0</v>
      </c>
    </row>
    <row r="5128" spans="5:23" x14ac:dyDescent="0.25">
      <c r="E5128" s="4"/>
      <c r="F5128" s="4"/>
      <c r="G5128" s="33" t="str">
        <f>IFERROR(VLOOKUP($D5128,'Informations sur les produits'!$A$3:$H$10000,8,FALSE),"0")</f>
        <v>0</v>
      </c>
      <c r="K5128" s="4"/>
      <c r="L5128" s="33" t="str">
        <f>IFERROR(VLOOKUP($J5128,'Informations sur les produits'!$A$3:$H$10000,8,FALSE),"0")</f>
        <v>0</v>
      </c>
      <c r="N5128" s="8"/>
      <c r="O5128" s="33" t="str">
        <f>IFERROR(VLOOKUP($M5128,'Informations sur les produits'!$A$3:$H$10000,8,FALSE),"0")</f>
        <v>0</v>
      </c>
      <c r="P5128" s="33">
        <f t="shared" si="320"/>
        <v>0</v>
      </c>
      <c r="Q5128" s="31" t="str">
        <f t="shared" si="321"/>
        <v/>
      </c>
      <c r="R5128" s="32" t="str">
        <f>IFERROR(VLOOKUP($D5128,'Informations sur les produits'!$A$3:$B$15000,2,FALSE),"")</f>
        <v/>
      </c>
      <c r="V5128">
        <f t="shared" si="322"/>
        <v>0</v>
      </c>
      <c r="W5128">
        <f t="shared" si="323"/>
        <v>0</v>
      </c>
    </row>
    <row r="5129" spans="5:23" x14ac:dyDescent="0.25">
      <c r="E5129" s="4"/>
      <c r="F5129" s="4"/>
      <c r="G5129" s="33" t="str">
        <f>IFERROR(VLOOKUP($D5129,'Informations sur les produits'!$A$3:$H$10000,8,FALSE),"0")</f>
        <v>0</v>
      </c>
      <c r="K5129" s="4"/>
      <c r="L5129" s="33" t="str">
        <f>IFERROR(VLOOKUP($J5129,'Informations sur les produits'!$A$3:$H$10000,8,FALSE),"0")</f>
        <v>0</v>
      </c>
      <c r="N5129" s="8"/>
      <c r="O5129" s="33" t="str">
        <f>IFERROR(VLOOKUP($M5129,'Informations sur les produits'!$A$3:$H$10000,8,FALSE),"0")</f>
        <v>0</v>
      </c>
      <c r="P5129" s="33">
        <f t="shared" si="320"/>
        <v>0</v>
      </c>
      <c r="Q5129" s="31" t="str">
        <f t="shared" si="321"/>
        <v/>
      </c>
      <c r="R5129" s="32" t="str">
        <f>IFERROR(VLOOKUP($D5129,'Informations sur les produits'!$A$3:$B$15000,2,FALSE),"")</f>
        <v/>
      </c>
      <c r="V5129">
        <f t="shared" si="322"/>
        <v>0</v>
      </c>
      <c r="W5129">
        <f t="shared" si="323"/>
        <v>0</v>
      </c>
    </row>
    <row r="5130" spans="5:23" x14ac:dyDescent="0.25">
      <c r="E5130" s="4"/>
      <c r="F5130" s="4"/>
      <c r="G5130" s="33" t="str">
        <f>IFERROR(VLOOKUP($D5130,'Informations sur les produits'!$A$3:$H$10000,8,FALSE),"0")</f>
        <v>0</v>
      </c>
      <c r="K5130" s="4"/>
      <c r="L5130" s="33" t="str">
        <f>IFERROR(VLOOKUP($J5130,'Informations sur les produits'!$A$3:$H$10000,8,FALSE),"0")</f>
        <v>0</v>
      </c>
      <c r="N5130" s="8"/>
      <c r="O5130" s="33" t="str">
        <f>IFERROR(VLOOKUP($M5130,'Informations sur les produits'!$A$3:$H$10000,8,FALSE),"0")</f>
        <v>0</v>
      </c>
      <c r="P5130" s="33">
        <f t="shared" si="320"/>
        <v>0</v>
      </c>
      <c r="Q5130" s="31" t="str">
        <f t="shared" si="321"/>
        <v/>
      </c>
      <c r="R5130" s="32" t="str">
        <f>IFERROR(VLOOKUP($D5130,'Informations sur les produits'!$A$3:$B$15000,2,FALSE),"")</f>
        <v/>
      </c>
      <c r="V5130">
        <f t="shared" si="322"/>
        <v>0</v>
      </c>
      <c r="W5130">
        <f t="shared" si="323"/>
        <v>0</v>
      </c>
    </row>
    <row r="5131" spans="5:23" x14ac:dyDescent="0.25">
      <c r="E5131" s="4"/>
      <c r="F5131" s="4"/>
      <c r="G5131" s="33" t="str">
        <f>IFERROR(VLOOKUP($D5131,'Informations sur les produits'!$A$3:$H$10000,8,FALSE),"0")</f>
        <v>0</v>
      </c>
      <c r="K5131" s="4"/>
      <c r="L5131" s="33" t="str">
        <f>IFERROR(VLOOKUP($J5131,'Informations sur les produits'!$A$3:$H$10000,8,FALSE),"0")</f>
        <v>0</v>
      </c>
      <c r="N5131" s="8"/>
      <c r="O5131" s="33" t="str">
        <f>IFERROR(VLOOKUP($M5131,'Informations sur les produits'!$A$3:$H$10000,8,FALSE),"0")</f>
        <v>0</v>
      </c>
      <c r="P5131" s="33">
        <f t="shared" si="320"/>
        <v>0</v>
      </c>
      <c r="Q5131" s="31" t="str">
        <f t="shared" si="321"/>
        <v/>
      </c>
      <c r="R5131" s="32" t="str">
        <f>IFERROR(VLOOKUP($D5131,'Informations sur les produits'!$A$3:$B$15000,2,FALSE),"")</f>
        <v/>
      </c>
      <c r="V5131">
        <f t="shared" si="322"/>
        <v>0</v>
      </c>
      <c r="W5131">
        <f t="shared" si="323"/>
        <v>0</v>
      </c>
    </row>
    <row r="5132" spans="5:23" x14ac:dyDescent="0.25">
      <c r="E5132" s="4"/>
      <c r="F5132" s="4"/>
      <c r="G5132" s="33" t="str">
        <f>IFERROR(VLOOKUP($D5132,'Informations sur les produits'!$A$3:$H$10000,8,FALSE),"0")</f>
        <v>0</v>
      </c>
      <c r="K5132" s="4"/>
      <c r="L5132" s="33" t="str">
        <f>IFERROR(VLOOKUP($J5132,'Informations sur les produits'!$A$3:$H$10000,8,FALSE),"0")</f>
        <v>0</v>
      </c>
      <c r="N5132" s="8"/>
      <c r="O5132" s="33" t="str">
        <f>IFERROR(VLOOKUP($M5132,'Informations sur les produits'!$A$3:$H$10000,8,FALSE),"0")</f>
        <v>0</v>
      </c>
      <c r="P5132" s="33">
        <f t="shared" si="320"/>
        <v>0</v>
      </c>
      <c r="Q5132" s="31" t="str">
        <f t="shared" si="321"/>
        <v/>
      </c>
      <c r="R5132" s="32" t="str">
        <f>IFERROR(VLOOKUP($D5132,'Informations sur les produits'!$A$3:$B$15000,2,FALSE),"")</f>
        <v/>
      </c>
      <c r="V5132">
        <f t="shared" si="322"/>
        <v>0</v>
      </c>
      <c r="W5132">
        <f t="shared" si="323"/>
        <v>0</v>
      </c>
    </row>
    <row r="5133" spans="5:23" x14ac:dyDescent="0.25">
      <c r="E5133" s="4"/>
      <c r="F5133" s="4"/>
      <c r="G5133" s="33" t="str">
        <f>IFERROR(VLOOKUP($D5133,'Informations sur les produits'!$A$3:$H$10000,8,FALSE),"0")</f>
        <v>0</v>
      </c>
      <c r="K5133" s="4"/>
      <c r="L5133" s="33" t="str">
        <f>IFERROR(VLOOKUP($J5133,'Informations sur les produits'!$A$3:$H$10000,8,FALSE),"0")</f>
        <v>0</v>
      </c>
      <c r="N5133" s="8"/>
      <c r="O5133" s="33" t="str">
        <f>IFERROR(VLOOKUP($M5133,'Informations sur les produits'!$A$3:$H$10000,8,FALSE),"0")</f>
        <v>0</v>
      </c>
      <c r="P5133" s="33">
        <f t="shared" si="320"/>
        <v>0</v>
      </c>
      <c r="Q5133" s="31" t="str">
        <f t="shared" si="321"/>
        <v/>
      </c>
      <c r="R5133" s="32" t="str">
        <f>IFERROR(VLOOKUP($D5133,'Informations sur les produits'!$A$3:$B$15000,2,FALSE),"")</f>
        <v/>
      </c>
      <c r="V5133">
        <f t="shared" si="322"/>
        <v>0</v>
      </c>
      <c r="W5133">
        <f t="shared" si="323"/>
        <v>0</v>
      </c>
    </row>
    <row r="5134" spans="5:23" x14ac:dyDescent="0.25">
      <c r="E5134" s="4"/>
      <c r="F5134" s="4"/>
      <c r="G5134" s="33" t="str">
        <f>IFERROR(VLOOKUP($D5134,'Informations sur les produits'!$A$3:$H$10000,8,FALSE),"0")</f>
        <v>0</v>
      </c>
      <c r="K5134" s="4"/>
      <c r="L5134" s="33" t="str">
        <f>IFERROR(VLOOKUP($J5134,'Informations sur les produits'!$A$3:$H$10000,8,FALSE),"0")</f>
        <v>0</v>
      </c>
      <c r="N5134" s="8"/>
      <c r="O5134" s="33" t="str">
        <f>IFERROR(VLOOKUP($M5134,'Informations sur les produits'!$A$3:$H$10000,8,FALSE),"0")</f>
        <v>0</v>
      </c>
      <c r="P5134" s="33">
        <f t="shared" si="320"/>
        <v>0</v>
      </c>
      <c r="Q5134" s="31" t="str">
        <f t="shared" si="321"/>
        <v/>
      </c>
      <c r="R5134" s="32" t="str">
        <f>IFERROR(VLOOKUP($D5134,'Informations sur les produits'!$A$3:$B$15000,2,FALSE),"")</f>
        <v/>
      </c>
      <c r="V5134">
        <f t="shared" si="322"/>
        <v>0</v>
      </c>
      <c r="W5134">
        <f t="shared" si="323"/>
        <v>0</v>
      </c>
    </row>
    <row r="5135" spans="5:23" x14ac:dyDescent="0.25">
      <c r="E5135" s="4"/>
      <c r="F5135" s="4"/>
      <c r="G5135" s="33" t="str">
        <f>IFERROR(VLOOKUP($D5135,'Informations sur les produits'!$A$3:$H$10000,8,FALSE),"0")</f>
        <v>0</v>
      </c>
      <c r="K5135" s="4"/>
      <c r="L5135" s="33" t="str">
        <f>IFERROR(VLOOKUP($J5135,'Informations sur les produits'!$A$3:$H$10000,8,FALSE),"0")</f>
        <v>0</v>
      </c>
      <c r="N5135" s="8"/>
      <c r="O5135" s="33" t="str">
        <f>IFERROR(VLOOKUP($M5135,'Informations sur les produits'!$A$3:$H$10000,8,FALSE),"0")</f>
        <v>0</v>
      </c>
      <c r="P5135" s="33">
        <f t="shared" si="320"/>
        <v>0</v>
      </c>
      <c r="Q5135" s="31" t="str">
        <f t="shared" si="321"/>
        <v/>
      </c>
      <c r="R5135" s="32" t="str">
        <f>IFERROR(VLOOKUP($D5135,'Informations sur les produits'!$A$3:$B$15000,2,FALSE),"")</f>
        <v/>
      </c>
      <c r="V5135">
        <f t="shared" si="322"/>
        <v>0</v>
      </c>
      <c r="W5135">
        <f t="shared" si="323"/>
        <v>0</v>
      </c>
    </row>
    <row r="5136" spans="5:23" x14ac:dyDescent="0.25">
      <c r="E5136" s="4"/>
      <c r="F5136" s="4"/>
      <c r="G5136" s="33" t="str">
        <f>IFERROR(VLOOKUP($D5136,'Informations sur les produits'!$A$3:$H$10000,8,FALSE),"0")</f>
        <v>0</v>
      </c>
      <c r="K5136" s="4"/>
      <c r="L5136" s="33" t="str">
        <f>IFERROR(VLOOKUP($J5136,'Informations sur les produits'!$A$3:$H$10000,8,FALSE),"0")</f>
        <v>0</v>
      </c>
      <c r="N5136" s="8"/>
      <c r="O5136" s="33" t="str">
        <f>IFERROR(VLOOKUP($M5136,'Informations sur les produits'!$A$3:$H$10000,8,FALSE),"0")</f>
        <v>0</v>
      </c>
      <c r="P5136" s="33">
        <f t="shared" si="320"/>
        <v>0</v>
      </c>
      <c r="Q5136" s="31" t="str">
        <f t="shared" si="321"/>
        <v/>
      </c>
      <c r="R5136" s="32" t="str">
        <f>IFERROR(VLOOKUP($D5136,'Informations sur les produits'!$A$3:$B$15000,2,FALSE),"")</f>
        <v/>
      </c>
      <c r="V5136">
        <f t="shared" si="322"/>
        <v>0</v>
      </c>
      <c r="W5136">
        <f t="shared" si="323"/>
        <v>0</v>
      </c>
    </row>
    <row r="5137" spans="5:23" x14ac:dyDescent="0.25">
      <c r="E5137" s="4"/>
      <c r="F5137" s="4"/>
      <c r="G5137" s="33" t="str">
        <f>IFERROR(VLOOKUP($D5137,'Informations sur les produits'!$A$3:$H$10000,8,FALSE),"0")</f>
        <v>0</v>
      </c>
      <c r="K5137" s="4"/>
      <c r="L5137" s="33" t="str">
        <f>IFERROR(VLOOKUP($J5137,'Informations sur les produits'!$A$3:$H$10000,8,FALSE),"0")</f>
        <v>0</v>
      </c>
      <c r="N5137" s="8"/>
      <c r="O5137" s="33" t="str">
        <f>IFERROR(VLOOKUP($M5137,'Informations sur les produits'!$A$3:$H$10000,8,FALSE),"0")</f>
        <v>0</v>
      </c>
      <c r="P5137" s="33">
        <f t="shared" si="320"/>
        <v>0</v>
      </c>
      <c r="Q5137" s="31" t="str">
        <f t="shared" si="321"/>
        <v/>
      </c>
      <c r="R5137" s="32" t="str">
        <f>IFERROR(VLOOKUP($D5137,'Informations sur les produits'!$A$3:$B$15000,2,FALSE),"")</f>
        <v/>
      </c>
      <c r="V5137">
        <f t="shared" si="322"/>
        <v>0</v>
      </c>
      <c r="W5137">
        <f t="shared" si="323"/>
        <v>0</v>
      </c>
    </row>
    <row r="5138" spans="5:23" x14ac:dyDescent="0.25">
      <c r="E5138" s="4"/>
      <c r="F5138" s="4"/>
      <c r="G5138" s="33" t="str">
        <f>IFERROR(VLOOKUP($D5138,'Informations sur les produits'!$A$3:$H$10000,8,FALSE),"0")</f>
        <v>0</v>
      </c>
      <c r="K5138" s="4"/>
      <c r="L5138" s="33" t="str">
        <f>IFERROR(VLOOKUP($J5138,'Informations sur les produits'!$A$3:$H$10000,8,FALSE),"0")</f>
        <v>0</v>
      </c>
      <c r="N5138" s="8"/>
      <c r="O5138" s="33" t="str">
        <f>IFERROR(VLOOKUP($M5138,'Informations sur les produits'!$A$3:$H$10000,8,FALSE),"0")</f>
        <v>0</v>
      </c>
      <c r="P5138" s="33">
        <f t="shared" si="320"/>
        <v>0</v>
      </c>
      <c r="Q5138" s="31" t="str">
        <f t="shared" si="321"/>
        <v/>
      </c>
      <c r="R5138" s="32" t="str">
        <f>IFERROR(VLOOKUP($D5138,'Informations sur les produits'!$A$3:$B$15000,2,FALSE),"")</f>
        <v/>
      </c>
      <c r="V5138">
        <f t="shared" si="322"/>
        <v>0</v>
      </c>
      <c r="W5138">
        <f t="shared" si="323"/>
        <v>0</v>
      </c>
    </row>
    <row r="5139" spans="5:23" x14ac:dyDescent="0.25">
      <c r="E5139" s="4"/>
      <c r="F5139" s="4"/>
      <c r="G5139" s="33" t="str">
        <f>IFERROR(VLOOKUP($D5139,'Informations sur les produits'!$A$3:$H$10000,8,FALSE),"0")</f>
        <v>0</v>
      </c>
      <c r="K5139" s="4"/>
      <c r="L5139" s="33" t="str">
        <f>IFERROR(VLOOKUP($J5139,'Informations sur les produits'!$A$3:$H$10000,8,FALSE),"0")</f>
        <v>0</v>
      </c>
      <c r="N5139" s="8"/>
      <c r="O5139" s="33" t="str">
        <f>IFERROR(VLOOKUP($M5139,'Informations sur les produits'!$A$3:$H$10000,8,FALSE),"0")</f>
        <v>0</v>
      </c>
      <c r="P5139" s="33">
        <f t="shared" si="320"/>
        <v>0</v>
      </c>
      <c r="Q5139" s="31" t="str">
        <f t="shared" si="321"/>
        <v/>
      </c>
      <c r="R5139" s="32" t="str">
        <f>IFERROR(VLOOKUP($D5139,'Informations sur les produits'!$A$3:$B$15000,2,FALSE),"")</f>
        <v/>
      </c>
      <c r="V5139">
        <f t="shared" si="322"/>
        <v>0</v>
      </c>
      <c r="W5139">
        <f t="shared" si="323"/>
        <v>0</v>
      </c>
    </row>
    <row r="5140" spans="5:23" x14ac:dyDescent="0.25">
      <c r="E5140" s="4"/>
      <c r="F5140" s="4"/>
      <c r="G5140" s="33" t="str">
        <f>IFERROR(VLOOKUP($D5140,'Informations sur les produits'!$A$3:$H$10000,8,FALSE),"0")</f>
        <v>0</v>
      </c>
      <c r="K5140" s="4"/>
      <c r="L5140" s="33" t="str">
        <f>IFERROR(VLOOKUP($J5140,'Informations sur les produits'!$A$3:$H$10000,8,FALSE),"0")</f>
        <v>0</v>
      </c>
      <c r="N5140" s="8"/>
      <c r="O5140" s="33" t="str">
        <f>IFERROR(VLOOKUP($M5140,'Informations sur les produits'!$A$3:$H$10000,8,FALSE),"0")</f>
        <v>0</v>
      </c>
      <c r="P5140" s="33">
        <f t="shared" si="320"/>
        <v>0</v>
      </c>
      <c r="Q5140" s="31" t="str">
        <f t="shared" si="321"/>
        <v/>
      </c>
      <c r="R5140" s="32" t="str">
        <f>IFERROR(VLOOKUP($D5140,'Informations sur les produits'!$A$3:$B$15000,2,FALSE),"")</f>
        <v/>
      </c>
      <c r="V5140">
        <f t="shared" si="322"/>
        <v>0</v>
      </c>
      <c r="W5140">
        <f t="shared" si="323"/>
        <v>0</v>
      </c>
    </row>
    <row r="5141" spans="5:23" x14ac:dyDescent="0.25">
      <c r="E5141" s="4"/>
      <c r="F5141" s="4"/>
      <c r="G5141" s="33" t="str">
        <f>IFERROR(VLOOKUP($D5141,'Informations sur les produits'!$A$3:$H$10000,8,FALSE),"0")</f>
        <v>0</v>
      </c>
      <c r="K5141" s="4"/>
      <c r="L5141" s="33" t="str">
        <f>IFERROR(VLOOKUP($J5141,'Informations sur les produits'!$A$3:$H$10000,8,FALSE),"0")</f>
        <v>0</v>
      </c>
      <c r="N5141" s="8"/>
      <c r="O5141" s="33" t="str">
        <f>IFERROR(VLOOKUP($M5141,'Informations sur les produits'!$A$3:$H$10000,8,FALSE),"0")</f>
        <v>0</v>
      </c>
      <c r="P5141" s="33">
        <f t="shared" si="320"/>
        <v>0</v>
      </c>
      <c r="Q5141" s="31" t="str">
        <f t="shared" si="321"/>
        <v/>
      </c>
      <c r="R5141" s="32" t="str">
        <f>IFERROR(VLOOKUP($D5141,'Informations sur les produits'!$A$3:$B$15000,2,FALSE),"")</f>
        <v/>
      </c>
      <c r="V5141">
        <f t="shared" si="322"/>
        <v>0</v>
      </c>
      <c r="W5141">
        <f t="shared" si="323"/>
        <v>0</v>
      </c>
    </row>
    <row r="5142" spans="5:23" x14ac:dyDescent="0.25">
      <c r="E5142" s="4"/>
      <c r="F5142" s="4"/>
      <c r="G5142" s="33" t="str">
        <f>IFERROR(VLOOKUP($D5142,'Informations sur les produits'!$A$3:$H$10000,8,FALSE),"0")</f>
        <v>0</v>
      </c>
      <c r="K5142" s="4"/>
      <c r="L5142" s="33" t="str">
        <f>IFERROR(VLOOKUP($J5142,'Informations sur les produits'!$A$3:$H$10000,8,FALSE),"0")</f>
        <v>0</v>
      </c>
      <c r="N5142" s="8"/>
      <c r="O5142" s="33" t="str">
        <f>IFERROR(VLOOKUP($M5142,'Informations sur les produits'!$A$3:$H$10000,8,FALSE),"0")</f>
        <v>0</v>
      </c>
      <c r="P5142" s="33">
        <f t="shared" si="320"/>
        <v>0</v>
      </c>
      <c r="Q5142" s="31" t="str">
        <f t="shared" si="321"/>
        <v/>
      </c>
      <c r="R5142" s="32" t="str">
        <f>IFERROR(VLOOKUP($D5142,'Informations sur les produits'!$A$3:$B$15000,2,FALSE),"")</f>
        <v/>
      </c>
      <c r="V5142">
        <f t="shared" si="322"/>
        <v>0</v>
      </c>
      <c r="W5142">
        <f t="shared" si="323"/>
        <v>0</v>
      </c>
    </row>
    <row r="5143" spans="5:23" x14ac:dyDescent="0.25">
      <c r="E5143" s="4"/>
      <c r="F5143" s="4"/>
      <c r="G5143" s="33" t="str">
        <f>IFERROR(VLOOKUP($D5143,'Informations sur les produits'!$A$3:$H$10000,8,FALSE),"0")</f>
        <v>0</v>
      </c>
      <c r="K5143" s="4"/>
      <c r="L5143" s="33" t="str">
        <f>IFERROR(VLOOKUP($J5143,'Informations sur les produits'!$A$3:$H$10000,8,FALSE),"0")</f>
        <v>0</v>
      </c>
      <c r="N5143" s="8"/>
      <c r="O5143" s="33" t="str">
        <f>IFERROR(VLOOKUP($M5143,'Informations sur les produits'!$A$3:$H$10000,8,FALSE),"0")</f>
        <v>0</v>
      </c>
      <c r="P5143" s="33">
        <f t="shared" si="320"/>
        <v>0</v>
      </c>
      <c r="Q5143" s="31" t="str">
        <f t="shared" si="321"/>
        <v/>
      </c>
      <c r="R5143" s="32" t="str">
        <f>IFERROR(VLOOKUP($D5143,'Informations sur les produits'!$A$3:$B$15000,2,FALSE),"")</f>
        <v/>
      </c>
      <c r="V5143">
        <f t="shared" si="322"/>
        <v>0</v>
      </c>
      <c r="W5143">
        <f t="shared" si="323"/>
        <v>0</v>
      </c>
    </row>
    <row r="5144" spans="5:23" x14ac:dyDescent="0.25">
      <c r="E5144" s="4"/>
      <c r="F5144" s="4"/>
      <c r="G5144" s="33" t="str">
        <f>IFERROR(VLOOKUP($D5144,'Informations sur les produits'!$A$3:$H$10000,8,FALSE),"0")</f>
        <v>0</v>
      </c>
      <c r="K5144" s="4"/>
      <c r="L5144" s="33" t="str">
        <f>IFERROR(VLOOKUP($J5144,'Informations sur les produits'!$A$3:$H$10000,8,FALSE),"0")</f>
        <v>0</v>
      </c>
      <c r="N5144" s="8"/>
      <c r="O5144" s="33" t="str">
        <f>IFERROR(VLOOKUP($M5144,'Informations sur les produits'!$A$3:$H$10000,8,FALSE),"0")</f>
        <v>0</v>
      </c>
      <c r="P5144" s="33">
        <f t="shared" si="320"/>
        <v>0</v>
      </c>
      <c r="Q5144" s="31" t="str">
        <f t="shared" si="321"/>
        <v/>
      </c>
      <c r="R5144" s="32" t="str">
        <f>IFERROR(VLOOKUP($D5144,'Informations sur les produits'!$A$3:$B$15000,2,FALSE),"")</f>
        <v/>
      </c>
      <c r="V5144">
        <f t="shared" si="322"/>
        <v>0</v>
      </c>
      <c r="W5144">
        <f t="shared" si="323"/>
        <v>0</v>
      </c>
    </row>
    <row r="5145" spans="5:23" x14ac:dyDescent="0.25">
      <c r="E5145" s="4"/>
      <c r="F5145" s="4"/>
      <c r="G5145" s="33" t="str">
        <f>IFERROR(VLOOKUP($D5145,'Informations sur les produits'!$A$3:$H$10000,8,FALSE),"0")</f>
        <v>0</v>
      </c>
      <c r="K5145" s="4"/>
      <c r="L5145" s="33" t="str">
        <f>IFERROR(VLOOKUP($J5145,'Informations sur les produits'!$A$3:$H$10000,8,FALSE),"0")</f>
        <v>0</v>
      </c>
      <c r="N5145" s="8"/>
      <c r="O5145" s="33" t="str">
        <f>IFERROR(VLOOKUP($M5145,'Informations sur les produits'!$A$3:$H$10000,8,FALSE),"0")</f>
        <v>0</v>
      </c>
      <c r="P5145" s="33">
        <f t="shared" si="320"/>
        <v>0</v>
      </c>
      <c r="Q5145" s="31" t="str">
        <f t="shared" si="321"/>
        <v/>
      </c>
      <c r="R5145" s="32" t="str">
        <f>IFERROR(VLOOKUP($D5145,'Informations sur les produits'!$A$3:$B$15000,2,FALSE),"")</f>
        <v/>
      </c>
      <c r="V5145">
        <f t="shared" si="322"/>
        <v>0</v>
      </c>
      <c r="W5145">
        <f t="shared" si="323"/>
        <v>0</v>
      </c>
    </row>
    <row r="5146" spans="5:23" x14ac:dyDescent="0.25">
      <c r="E5146" s="4"/>
      <c r="F5146" s="4"/>
      <c r="G5146" s="33" t="str">
        <f>IFERROR(VLOOKUP($D5146,'Informations sur les produits'!$A$3:$H$10000,8,FALSE),"0")</f>
        <v>0</v>
      </c>
      <c r="K5146" s="4"/>
      <c r="L5146" s="33" t="str">
        <f>IFERROR(VLOOKUP($J5146,'Informations sur les produits'!$A$3:$H$10000,8,FALSE),"0")</f>
        <v>0</v>
      </c>
      <c r="N5146" s="8"/>
      <c r="O5146" s="33" t="str">
        <f>IFERROR(VLOOKUP($M5146,'Informations sur les produits'!$A$3:$H$10000,8,FALSE),"0")</f>
        <v>0</v>
      </c>
      <c r="P5146" s="33">
        <f t="shared" si="320"/>
        <v>0</v>
      </c>
      <c r="Q5146" s="31" t="str">
        <f t="shared" si="321"/>
        <v/>
      </c>
      <c r="R5146" s="32" t="str">
        <f>IFERROR(VLOOKUP($D5146,'Informations sur les produits'!$A$3:$B$15000,2,FALSE),"")</f>
        <v/>
      </c>
      <c r="V5146">
        <f t="shared" si="322"/>
        <v>0</v>
      </c>
      <c r="W5146">
        <f t="shared" si="323"/>
        <v>0</v>
      </c>
    </row>
    <row r="5147" spans="5:23" x14ac:dyDescent="0.25">
      <c r="E5147" s="4"/>
      <c r="F5147" s="4"/>
      <c r="G5147" s="33" t="str">
        <f>IFERROR(VLOOKUP($D5147,'Informations sur les produits'!$A$3:$H$10000,8,FALSE),"0")</f>
        <v>0</v>
      </c>
      <c r="K5147" s="4"/>
      <c r="L5147" s="33" t="str">
        <f>IFERROR(VLOOKUP($J5147,'Informations sur les produits'!$A$3:$H$10000,8,FALSE),"0")</f>
        <v>0</v>
      </c>
      <c r="N5147" s="8"/>
      <c r="O5147" s="33" t="str">
        <f>IFERROR(VLOOKUP($M5147,'Informations sur les produits'!$A$3:$H$10000,8,FALSE),"0")</f>
        <v>0</v>
      </c>
      <c r="P5147" s="33">
        <f t="shared" si="320"/>
        <v>0</v>
      </c>
      <c r="Q5147" s="31" t="str">
        <f t="shared" si="321"/>
        <v/>
      </c>
      <c r="R5147" s="32" t="str">
        <f>IFERROR(VLOOKUP($D5147,'Informations sur les produits'!$A$3:$B$15000,2,FALSE),"")</f>
        <v/>
      </c>
      <c r="V5147">
        <f t="shared" si="322"/>
        <v>0</v>
      </c>
      <c r="W5147">
        <f t="shared" si="323"/>
        <v>0</v>
      </c>
    </row>
    <row r="5148" spans="5:23" x14ac:dyDescent="0.25">
      <c r="E5148" s="4"/>
      <c r="F5148" s="4"/>
      <c r="G5148" s="33" t="str">
        <f>IFERROR(VLOOKUP($D5148,'Informations sur les produits'!$A$3:$H$10000,8,FALSE),"0")</f>
        <v>0</v>
      </c>
      <c r="K5148" s="4"/>
      <c r="L5148" s="33" t="str">
        <f>IFERROR(VLOOKUP($J5148,'Informations sur les produits'!$A$3:$H$10000,8,FALSE),"0")</f>
        <v>0</v>
      </c>
      <c r="N5148" s="8"/>
      <c r="O5148" s="33" t="str">
        <f>IFERROR(VLOOKUP($M5148,'Informations sur les produits'!$A$3:$H$10000,8,FALSE),"0")</f>
        <v>0</v>
      </c>
      <c r="P5148" s="33">
        <f t="shared" si="320"/>
        <v>0</v>
      </c>
      <c r="Q5148" s="31" t="str">
        <f t="shared" si="321"/>
        <v/>
      </c>
      <c r="R5148" s="32" t="str">
        <f>IFERROR(VLOOKUP($D5148,'Informations sur les produits'!$A$3:$B$15000,2,FALSE),"")</f>
        <v/>
      </c>
      <c r="V5148">
        <f t="shared" si="322"/>
        <v>0</v>
      </c>
      <c r="W5148">
        <f t="shared" si="323"/>
        <v>0</v>
      </c>
    </row>
    <row r="5149" spans="5:23" x14ac:dyDescent="0.25">
      <c r="E5149" s="4"/>
      <c r="F5149" s="4"/>
      <c r="G5149" s="33" t="str">
        <f>IFERROR(VLOOKUP($D5149,'Informations sur les produits'!$A$3:$H$10000,8,FALSE),"0")</f>
        <v>0</v>
      </c>
      <c r="K5149" s="4"/>
      <c r="L5149" s="33" t="str">
        <f>IFERROR(VLOOKUP($J5149,'Informations sur les produits'!$A$3:$H$10000,8,FALSE),"0")</f>
        <v>0</v>
      </c>
      <c r="N5149" s="8"/>
      <c r="O5149" s="33" t="str">
        <f>IFERROR(VLOOKUP($M5149,'Informations sur les produits'!$A$3:$H$10000,8,FALSE),"0")</f>
        <v>0</v>
      </c>
      <c r="P5149" s="33">
        <f t="shared" si="320"/>
        <v>0</v>
      </c>
      <c r="Q5149" s="31" t="str">
        <f t="shared" si="321"/>
        <v/>
      </c>
      <c r="R5149" s="32" t="str">
        <f>IFERROR(VLOOKUP($D5149,'Informations sur les produits'!$A$3:$B$15000,2,FALSE),"")</f>
        <v/>
      </c>
      <c r="V5149">
        <f t="shared" si="322"/>
        <v>0</v>
      </c>
      <c r="W5149">
        <f t="shared" si="323"/>
        <v>0</v>
      </c>
    </row>
    <row r="5150" spans="5:23" x14ac:dyDescent="0.25">
      <c r="E5150" s="4"/>
      <c r="F5150" s="4"/>
      <c r="G5150" s="33" t="str">
        <f>IFERROR(VLOOKUP($D5150,'Informations sur les produits'!$A$3:$H$10000,8,FALSE),"0")</f>
        <v>0</v>
      </c>
      <c r="K5150" s="4"/>
      <c r="L5150" s="33" t="str">
        <f>IFERROR(VLOOKUP($J5150,'Informations sur les produits'!$A$3:$H$10000,8,FALSE),"0")</f>
        <v>0</v>
      </c>
      <c r="N5150" s="8"/>
      <c r="O5150" s="33" t="str">
        <f>IFERROR(VLOOKUP($M5150,'Informations sur les produits'!$A$3:$H$10000,8,FALSE),"0")</f>
        <v>0</v>
      </c>
      <c r="P5150" s="33">
        <f t="shared" si="320"/>
        <v>0</v>
      </c>
      <c r="Q5150" s="31" t="str">
        <f t="shared" si="321"/>
        <v/>
      </c>
      <c r="R5150" s="32" t="str">
        <f>IFERROR(VLOOKUP($D5150,'Informations sur les produits'!$A$3:$B$15000,2,FALSE),"")</f>
        <v/>
      </c>
      <c r="V5150">
        <f t="shared" si="322"/>
        <v>0</v>
      </c>
      <c r="W5150">
        <f t="shared" si="323"/>
        <v>0</v>
      </c>
    </row>
    <row r="5151" spans="5:23" x14ac:dyDescent="0.25">
      <c r="E5151" s="4"/>
      <c r="F5151" s="4"/>
      <c r="G5151" s="33" t="str">
        <f>IFERROR(VLOOKUP($D5151,'Informations sur les produits'!$A$3:$H$10000,8,FALSE),"0")</f>
        <v>0</v>
      </c>
      <c r="K5151" s="4"/>
      <c r="L5151" s="33" t="str">
        <f>IFERROR(VLOOKUP($J5151,'Informations sur les produits'!$A$3:$H$10000,8,FALSE),"0")</f>
        <v>0</v>
      </c>
      <c r="N5151" s="8"/>
      <c r="O5151" s="33" t="str">
        <f>IFERROR(VLOOKUP($M5151,'Informations sur les produits'!$A$3:$H$10000,8,FALSE),"0")</f>
        <v>0</v>
      </c>
      <c r="P5151" s="33">
        <f t="shared" si="320"/>
        <v>0</v>
      </c>
      <c r="Q5151" s="31" t="str">
        <f t="shared" si="321"/>
        <v/>
      </c>
      <c r="R5151" s="32" t="str">
        <f>IFERROR(VLOOKUP($D5151,'Informations sur les produits'!$A$3:$B$15000,2,FALSE),"")</f>
        <v/>
      </c>
      <c r="V5151">
        <f t="shared" si="322"/>
        <v>0</v>
      </c>
      <c r="W5151">
        <f t="shared" si="323"/>
        <v>0</v>
      </c>
    </row>
    <row r="5152" spans="5:23" x14ac:dyDescent="0.25">
      <c r="E5152" s="4"/>
      <c r="F5152" s="4"/>
      <c r="G5152" s="33" t="str">
        <f>IFERROR(VLOOKUP($D5152,'Informations sur les produits'!$A$3:$H$10000,8,FALSE),"0")</f>
        <v>0</v>
      </c>
      <c r="K5152" s="4"/>
      <c r="L5152" s="33" t="str">
        <f>IFERROR(VLOOKUP($J5152,'Informations sur les produits'!$A$3:$H$10000,8,FALSE),"0")</f>
        <v>0</v>
      </c>
      <c r="N5152" s="8"/>
      <c r="O5152" s="33" t="str">
        <f>IFERROR(VLOOKUP($M5152,'Informations sur les produits'!$A$3:$H$10000,8,FALSE),"0")</f>
        <v>0</v>
      </c>
      <c r="P5152" s="33">
        <f t="shared" si="320"/>
        <v>0</v>
      </c>
      <c r="Q5152" s="31" t="str">
        <f t="shared" si="321"/>
        <v/>
      </c>
      <c r="R5152" s="32" t="str">
        <f>IFERROR(VLOOKUP($D5152,'Informations sur les produits'!$A$3:$B$15000,2,FALSE),"")</f>
        <v/>
      </c>
      <c r="V5152">
        <f t="shared" si="322"/>
        <v>0</v>
      </c>
      <c r="W5152">
        <f t="shared" si="323"/>
        <v>0</v>
      </c>
    </row>
    <row r="5153" spans="5:23" x14ac:dyDescent="0.25">
      <c r="E5153" s="4"/>
      <c r="F5153" s="4"/>
      <c r="G5153" s="33" t="str">
        <f>IFERROR(VLOOKUP($D5153,'Informations sur les produits'!$A$3:$H$10000,8,FALSE),"0")</f>
        <v>0</v>
      </c>
      <c r="K5153" s="4"/>
      <c r="L5153" s="33" t="str">
        <f>IFERROR(VLOOKUP($J5153,'Informations sur les produits'!$A$3:$H$10000,8,FALSE),"0")</f>
        <v>0</v>
      </c>
      <c r="N5153" s="8"/>
      <c r="O5153" s="33" t="str">
        <f>IFERROR(VLOOKUP($M5153,'Informations sur les produits'!$A$3:$H$10000,8,FALSE),"0")</f>
        <v>0</v>
      </c>
      <c r="P5153" s="33">
        <f t="shared" si="320"/>
        <v>0</v>
      </c>
      <c r="Q5153" s="31" t="str">
        <f t="shared" si="321"/>
        <v/>
      </c>
      <c r="R5153" s="32" t="str">
        <f>IFERROR(VLOOKUP($D5153,'Informations sur les produits'!$A$3:$B$15000,2,FALSE),"")</f>
        <v/>
      </c>
      <c r="V5153">
        <f t="shared" si="322"/>
        <v>0</v>
      </c>
      <c r="W5153">
        <f t="shared" si="323"/>
        <v>0</v>
      </c>
    </row>
    <row r="5154" spans="5:23" x14ac:dyDescent="0.25">
      <c r="E5154" s="4"/>
      <c r="F5154" s="4"/>
      <c r="G5154" s="33" t="str">
        <f>IFERROR(VLOOKUP($D5154,'Informations sur les produits'!$A$3:$H$10000,8,FALSE),"0")</f>
        <v>0</v>
      </c>
      <c r="K5154" s="4"/>
      <c r="L5154" s="33" t="str">
        <f>IFERROR(VLOOKUP($J5154,'Informations sur les produits'!$A$3:$H$10000,8,FALSE),"0")</f>
        <v>0</v>
      </c>
      <c r="N5154" s="8"/>
      <c r="O5154" s="33" t="str">
        <f>IFERROR(VLOOKUP($M5154,'Informations sur les produits'!$A$3:$H$10000,8,FALSE),"0")</f>
        <v>0</v>
      </c>
      <c r="P5154" s="33">
        <f t="shared" si="320"/>
        <v>0</v>
      </c>
      <c r="Q5154" s="31" t="str">
        <f t="shared" si="321"/>
        <v/>
      </c>
      <c r="R5154" s="32" t="str">
        <f>IFERROR(VLOOKUP($D5154,'Informations sur les produits'!$A$3:$B$15000,2,FALSE),"")</f>
        <v/>
      </c>
      <c r="V5154">
        <f t="shared" si="322"/>
        <v>0</v>
      </c>
      <c r="W5154">
        <f t="shared" si="323"/>
        <v>0</v>
      </c>
    </row>
    <row r="5155" spans="5:23" x14ac:dyDescent="0.25">
      <c r="E5155" s="4"/>
      <c r="F5155" s="4"/>
      <c r="G5155" s="33" t="str">
        <f>IFERROR(VLOOKUP($D5155,'Informations sur les produits'!$A$3:$H$10000,8,FALSE),"0")</f>
        <v>0</v>
      </c>
      <c r="K5155" s="4"/>
      <c r="L5155" s="33" t="str">
        <f>IFERROR(VLOOKUP($J5155,'Informations sur les produits'!$A$3:$H$10000,8,FALSE),"0")</f>
        <v>0</v>
      </c>
      <c r="N5155" s="8"/>
      <c r="O5155" s="33" t="str">
        <f>IFERROR(VLOOKUP($M5155,'Informations sur les produits'!$A$3:$H$10000,8,FALSE),"0")</f>
        <v>0</v>
      </c>
      <c r="P5155" s="33">
        <f t="shared" si="320"/>
        <v>0</v>
      </c>
      <c r="Q5155" s="31" t="str">
        <f t="shared" si="321"/>
        <v/>
      </c>
      <c r="R5155" s="32" t="str">
        <f>IFERROR(VLOOKUP($D5155,'Informations sur les produits'!$A$3:$B$15000,2,FALSE),"")</f>
        <v/>
      </c>
      <c r="V5155">
        <f t="shared" si="322"/>
        <v>0</v>
      </c>
      <c r="W5155">
        <f t="shared" si="323"/>
        <v>0</v>
      </c>
    </row>
    <row r="5156" spans="5:23" x14ac:dyDescent="0.25">
      <c r="E5156" s="4"/>
      <c r="F5156" s="4"/>
      <c r="G5156" s="33" t="str">
        <f>IFERROR(VLOOKUP($D5156,'Informations sur les produits'!$A$3:$H$10000,8,FALSE),"0")</f>
        <v>0</v>
      </c>
      <c r="K5156" s="4"/>
      <c r="L5156" s="33" t="str">
        <f>IFERROR(VLOOKUP($J5156,'Informations sur les produits'!$A$3:$H$10000,8,FALSE),"0")</f>
        <v>0</v>
      </c>
      <c r="N5156" s="8"/>
      <c r="O5156" s="33" t="str">
        <f>IFERROR(VLOOKUP($M5156,'Informations sur les produits'!$A$3:$H$10000,8,FALSE),"0")</f>
        <v>0</v>
      </c>
      <c r="P5156" s="33">
        <f t="shared" si="320"/>
        <v>0</v>
      </c>
      <c r="Q5156" s="31" t="str">
        <f t="shared" si="321"/>
        <v/>
      </c>
      <c r="R5156" s="32" t="str">
        <f>IFERROR(VLOOKUP($D5156,'Informations sur les produits'!$A$3:$B$15000,2,FALSE),"")</f>
        <v/>
      </c>
      <c r="V5156">
        <f t="shared" si="322"/>
        <v>0</v>
      </c>
      <c r="W5156">
        <f t="shared" si="323"/>
        <v>0</v>
      </c>
    </row>
    <row r="5157" spans="5:23" x14ac:dyDescent="0.25">
      <c r="E5157" s="4"/>
      <c r="F5157" s="4"/>
      <c r="G5157" s="33" t="str">
        <f>IFERROR(VLOOKUP($D5157,'Informations sur les produits'!$A$3:$H$10000,8,FALSE),"0")</f>
        <v>0</v>
      </c>
      <c r="K5157" s="4"/>
      <c r="L5157" s="33" t="str">
        <f>IFERROR(VLOOKUP($J5157,'Informations sur les produits'!$A$3:$H$10000,8,FALSE),"0")</f>
        <v>0</v>
      </c>
      <c r="N5157" s="8"/>
      <c r="O5157" s="33" t="str">
        <f>IFERROR(VLOOKUP($M5157,'Informations sur les produits'!$A$3:$H$10000,8,FALSE),"0")</f>
        <v>0</v>
      </c>
      <c r="P5157" s="33">
        <f t="shared" si="320"/>
        <v>0</v>
      </c>
      <c r="Q5157" s="31" t="str">
        <f t="shared" si="321"/>
        <v/>
      </c>
      <c r="R5157" s="32" t="str">
        <f>IFERROR(VLOOKUP($D5157,'Informations sur les produits'!$A$3:$B$15000,2,FALSE),"")</f>
        <v/>
      </c>
      <c r="V5157">
        <f t="shared" si="322"/>
        <v>0</v>
      </c>
      <c r="W5157">
        <f t="shared" si="323"/>
        <v>0</v>
      </c>
    </row>
    <row r="5158" spans="5:23" x14ac:dyDescent="0.25">
      <c r="E5158" s="4"/>
      <c r="F5158" s="4"/>
      <c r="G5158" s="33" t="str">
        <f>IFERROR(VLOOKUP($D5158,'Informations sur les produits'!$A$3:$H$10000,8,FALSE),"0")</f>
        <v>0</v>
      </c>
      <c r="K5158" s="4"/>
      <c r="L5158" s="33" t="str">
        <f>IFERROR(VLOOKUP($J5158,'Informations sur les produits'!$A$3:$H$10000,8,FALSE),"0")</f>
        <v>0</v>
      </c>
      <c r="N5158" s="8"/>
      <c r="O5158" s="33" t="str">
        <f>IFERROR(VLOOKUP($M5158,'Informations sur les produits'!$A$3:$H$10000,8,FALSE),"0")</f>
        <v>0</v>
      </c>
      <c r="P5158" s="33">
        <f t="shared" si="320"/>
        <v>0</v>
      </c>
      <c r="Q5158" s="31" t="str">
        <f t="shared" si="321"/>
        <v/>
      </c>
      <c r="R5158" s="32" t="str">
        <f>IFERROR(VLOOKUP($D5158,'Informations sur les produits'!$A$3:$B$15000,2,FALSE),"")</f>
        <v/>
      </c>
      <c r="V5158">
        <f t="shared" si="322"/>
        <v>0</v>
      </c>
      <c r="W5158">
        <f t="shared" si="323"/>
        <v>0</v>
      </c>
    </row>
    <row r="5159" spans="5:23" x14ac:dyDescent="0.25">
      <c r="E5159" s="4"/>
      <c r="F5159" s="4"/>
      <c r="G5159" s="33" t="str">
        <f>IFERROR(VLOOKUP($D5159,'Informations sur les produits'!$A$3:$H$10000,8,FALSE),"0")</f>
        <v>0</v>
      </c>
      <c r="K5159" s="4"/>
      <c r="L5159" s="33" t="str">
        <f>IFERROR(VLOOKUP($J5159,'Informations sur les produits'!$A$3:$H$10000,8,FALSE),"0")</f>
        <v>0</v>
      </c>
      <c r="N5159" s="8"/>
      <c r="O5159" s="33" t="str">
        <f>IFERROR(VLOOKUP($M5159,'Informations sur les produits'!$A$3:$H$10000,8,FALSE),"0")</f>
        <v>0</v>
      </c>
      <c r="P5159" s="33">
        <f t="shared" si="320"/>
        <v>0</v>
      </c>
      <c r="Q5159" s="31" t="str">
        <f t="shared" si="321"/>
        <v/>
      </c>
      <c r="R5159" s="32" t="str">
        <f>IFERROR(VLOOKUP($D5159,'Informations sur les produits'!$A$3:$B$15000,2,FALSE),"")</f>
        <v/>
      </c>
      <c r="V5159">
        <f t="shared" si="322"/>
        <v>0</v>
      </c>
      <c r="W5159">
        <f t="shared" si="323"/>
        <v>0</v>
      </c>
    </row>
    <row r="5160" spans="5:23" x14ac:dyDescent="0.25">
      <c r="E5160" s="4"/>
      <c r="F5160" s="4"/>
      <c r="G5160" s="33" t="str">
        <f>IFERROR(VLOOKUP($D5160,'Informations sur les produits'!$A$3:$H$10000,8,FALSE),"0")</f>
        <v>0</v>
      </c>
      <c r="K5160" s="4"/>
      <c r="L5160" s="33" t="str">
        <f>IFERROR(VLOOKUP($J5160,'Informations sur les produits'!$A$3:$H$10000,8,FALSE),"0")</f>
        <v>0</v>
      </c>
      <c r="N5160" s="8"/>
      <c r="O5160" s="33" t="str">
        <f>IFERROR(VLOOKUP($M5160,'Informations sur les produits'!$A$3:$H$10000,8,FALSE),"0")</f>
        <v>0</v>
      </c>
      <c r="P5160" s="33">
        <f t="shared" si="320"/>
        <v>0</v>
      </c>
      <c r="Q5160" s="31" t="str">
        <f t="shared" si="321"/>
        <v/>
      </c>
      <c r="R5160" s="32" t="str">
        <f>IFERROR(VLOOKUP($D5160,'Informations sur les produits'!$A$3:$B$15000,2,FALSE),"")</f>
        <v/>
      </c>
      <c r="V5160">
        <f t="shared" si="322"/>
        <v>0</v>
      </c>
      <c r="W5160">
        <f t="shared" si="323"/>
        <v>0</v>
      </c>
    </row>
    <row r="5161" spans="5:23" x14ac:dyDescent="0.25">
      <c r="E5161" s="4"/>
      <c r="F5161" s="4"/>
      <c r="G5161" s="33" t="str">
        <f>IFERROR(VLOOKUP($D5161,'Informations sur les produits'!$A$3:$H$10000,8,FALSE),"0")</f>
        <v>0</v>
      </c>
      <c r="K5161" s="4"/>
      <c r="L5161" s="33" t="str">
        <f>IFERROR(VLOOKUP($J5161,'Informations sur les produits'!$A$3:$H$10000,8,FALSE),"0")</f>
        <v>0</v>
      </c>
      <c r="N5161" s="8"/>
      <c r="O5161" s="33" t="str">
        <f>IFERROR(VLOOKUP($M5161,'Informations sur les produits'!$A$3:$H$10000,8,FALSE),"0")</f>
        <v>0</v>
      </c>
      <c r="P5161" s="33">
        <f t="shared" si="320"/>
        <v>0</v>
      </c>
      <c r="Q5161" s="31" t="str">
        <f t="shared" si="321"/>
        <v/>
      </c>
      <c r="R5161" s="32" t="str">
        <f>IFERROR(VLOOKUP($D5161,'Informations sur les produits'!$A$3:$B$15000,2,FALSE),"")</f>
        <v/>
      </c>
      <c r="V5161">
        <f t="shared" si="322"/>
        <v>0</v>
      </c>
      <c r="W5161">
        <f t="shared" si="323"/>
        <v>0</v>
      </c>
    </row>
    <row r="5162" spans="5:23" x14ac:dyDescent="0.25">
      <c r="E5162" s="4"/>
      <c r="F5162" s="4"/>
      <c r="G5162" s="33" t="str">
        <f>IFERROR(VLOOKUP($D5162,'Informations sur les produits'!$A$3:$H$10000,8,FALSE),"0")</f>
        <v>0</v>
      </c>
      <c r="K5162" s="4"/>
      <c r="L5162" s="33" t="str">
        <f>IFERROR(VLOOKUP($J5162,'Informations sur les produits'!$A$3:$H$10000,8,FALSE),"0")</f>
        <v>0</v>
      </c>
      <c r="N5162" s="8"/>
      <c r="O5162" s="33" t="str">
        <f>IFERROR(VLOOKUP($M5162,'Informations sur les produits'!$A$3:$H$10000,8,FALSE),"0")</f>
        <v>0</v>
      </c>
      <c r="P5162" s="33">
        <f t="shared" si="320"/>
        <v>0</v>
      </c>
      <c r="Q5162" s="31" t="str">
        <f t="shared" si="321"/>
        <v/>
      </c>
      <c r="R5162" s="32" t="str">
        <f>IFERROR(VLOOKUP($D5162,'Informations sur les produits'!$A$3:$B$15000,2,FALSE),"")</f>
        <v/>
      </c>
      <c r="V5162">
        <f t="shared" si="322"/>
        <v>0</v>
      </c>
      <c r="W5162">
        <f t="shared" si="323"/>
        <v>0</v>
      </c>
    </row>
    <row r="5163" spans="5:23" x14ac:dyDescent="0.25">
      <c r="E5163" s="4"/>
      <c r="F5163" s="4"/>
      <c r="G5163" s="33" t="str">
        <f>IFERROR(VLOOKUP($D5163,'Informations sur les produits'!$A$3:$H$10000,8,FALSE),"0")</f>
        <v>0</v>
      </c>
      <c r="K5163" s="4"/>
      <c r="L5163" s="33" t="str">
        <f>IFERROR(VLOOKUP($J5163,'Informations sur les produits'!$A$3:$H$10000,8,FALSE),"0")</f>
        <v>0</v>
      </c>
      <c r="N5163" s="8"/>
      <c r="O5163" s="33" t="str">
        <f>IFERROR(VLOOKUP($M5163,'Informations sur les produits'!$A$3:$H$10000,8,FALSE),"0")</f>
        <v>0</v>
      </c>
      <c r="P5163" s="33">
        <f t="shared" si="320"/>
        <v>0</v>
      </c>
      <c r="Q5163" s="31" t="str">
        <f t="shared" si="321"/>
        <v/>
      </c>
      <c r="R5163" s="32" t="str">
        <f>IFERROR(VLOOKUP($D5163,'Informations sur les produits'!$A$3:$B$15000,2,FALSE),"")</f>
        <v/>
      </c>
      <c r="V5163">
        <f t="shared" si="322"/>
        <v>0</v>
      </c>
      <c r="W5163">
        <f t="shared" si="323"/>
        <v>0</v>
      </c>
    </row>
    <row r="5164" spans="5:23" x14ac:dyDescent="0.25">
      <c r="E5164" s="4"/>
      <c r="F5164" s="4"/>
      <c r="G5164" s="33" t="str">
        <f>IFERROR(VLOOKUP($D5164,'Informations sur les produits'!$A$3:$H$10000,8,FALSE),"0")</f>
        <v>0</v>
      </c>
      <c r="K5164" s="4"/>
      <c r="L5164" s="33" t="str">
        <f>IFERROR(VLOOKUP($J5164,'Informations sur les produits'!$A$3:$H$10000,8,FALSE),"0")</f>
        <v>0</v>
      </c>
      <c r="N5164" s="8"/>
      <c r="O5164" s="33" t="str">
        <f>IFERROR(VLOOKUP($M5164,'Informations sur les produits'!$A$3:$H$10000,8,FALSE),"0")</f>
        <v>0</v>
      </c>
      <c r="P5164" s="33">
        <f t="shared" si="320"/>
        <v>0</v>
      </c>
      <c r="Q5164" s="31" t="str">
        <f t="shared" si="321"/>
        <v/>
      </c>
      <c r="R5164" s="32" t="str">
        <f>IFERROR(VLOOKUP($D5164,'Informations sur les produits'!$A$3:$B$15000,2,FALSE),"")</f>
        <v/>
      </c>
      <c r="V5164">
        <f t="shared" si="322"/>
        <v>0</v>
      </c>
      <c r="W5164">
        <f t="shared" si="323"/>
        <v>0</v>
      </c>
    </row>
    <row r="5165" spans="5:23" x14ac:dyDescent="0.25">
      <c r="E5165" s="4"/>
      <c r="F5165" s="4"/>
      <c r="G5165" s="33" t="str">
        <f>IFERROR(VLOOKUP($D5165,'Informations sur les produits'!$A$3:$H$10000,8,FALSE),"0")</f>
        <v>0</v>
      </c>
      <c r="K5165" s="4"/>
      <c r="L5165" s="33" t="str">
        <f>IFERROR(VLOOKUP($J5165,'Informations sur les produits'!$A$3:$H$10000,8,FALSE),"0")</f>
        <v>0</v>
      </c>
      <c r="N5165" s="8"/>
      <c r="O5165" s="33" t="str">
        <f>IFERROR(VLOOKUP($M5165,'Informations sur les produits'!$A$3:$H$10000,8,FALSE),"0")</f>
        <v>0</v>
      </c>
      <c r="P5165" s="33">
        <f t="shared" si="320"/>
        <v>0</v>
      </c>
      <c r="Q5165" s="31" t="str">
        <f t="shared" si="321"/>
        <v/>
      </c>
      <c r="R5165" s="32" t="str">
        <f>IFERROR(VLOOKUP($D5165,'Informations sur les produits'!$A$3:$B$15000,2,FALSE),"")</f>
        <v/>
      </c>
      <c r="V5165">
        <f t="shared" si="322"/>
        <v>0</v>
      </c>
      <c r="W5165">
        <f t="shared" si="323"/>
        <v>0</v>
      </c>
    </row>
    <row r="5166" spans="5:23" x14ac:dyDescent="0.25">
      <c r="E5166" s="4"/>
      <c r="F5166" s="4"/>
      <c r="G5166" s="33" t="str">
        <f>IFERROR(VLOOKUP($D5166,'Informations sur les produits'!$A$3:$H$10000,8,FALSE),"0")</f>
        <v>0</v>
      </c>
      <c r="K5166" s="4"/>
      <c r="L5166" s="33" t="str">
        <f>IFERROR(VLOOKUP($J5166,'Informations sur les produits'!$A$3:$H$10000,8,FALSE),"0")</f>
        <v>0</v>
      </c>
      <c r="N5166" s="8"/>
      <c r="O5166" s="33" t="str">
        <f>IFERROR(VLOOKUP($M5166,'Informations sur les produits'!$A$3:$H$10000,8,FALSE),"0")</f>
        <v>0</v>
      </c>
      <c r="P5166" s="33">
        <f t="shared" si="320"/>
        <v>0</v>
      </c>
      <c r="Q5166" s="31" t="str">
        <f t="shared" si="321"/>
        <v/>
      </c>
      <c r="R5166" s="32" t="str">
        <f>IFERROR(VLOOKUP($D5166,'Informations sur les produits'!$A$3:$B$15000,2,FALSE),"")</f>
        <v/>
      </c>
      <c r="V5166">
        <f t="shared" si="322"/>
        <v>0</v>
      </c>
      <c r="W5166">
        <f t="shared" si="323"/>
        <v>0</v>
      </c>
    </row>
    <row r="5167" spans="5:23" x14ac:dyDescent="0.25">
      <c r="E5167" s="4"/>
      <c r="F5167" s="4"/>
      <c r="G5167" s="33" t="str">
        <f>IFERROR(VLOOKUP($D5167,'Informations sur les produits'!$A$3:$H$10000,8,FALSE),"0")</f>
        <v>0</v>
      </c>
      <c r="K5167" s="4"/>
      <c r="L5167" s="33" t="str">
        <f>IFERROR(VLOOKUP($J5167,'Informations sur les produits'!$A$3:$H$10000,8,FALSE),"0")</f>
        <v>0</v>
      </c>
      <c r="N5167" s="8"/>
      <c r="O5167" s="33" t="str">
        <f>IFERROR(VLOOKUP($M5167,'Informations sur les produits'!$A$3:$H$10000,8,FALSE),"0")</f>
        <v>0</v>
      </c>
      <c r="P5167" s="33">
        <f t="shared" si="320"/>
        <v>0</v>
      </c>
      <c r="Q5167" s="31" t="str">
        <f t="shared" si="321"/>
        <v/>
      </c>
      <c r="R5167" s="32" t="str">
        <f>IFERROR(VLOOKUP($D5167,'Informations sur les produits'!$A$3:$B$15000,2,FALSE),"")</f>
        <v/>
      </c>
      <c r="V5167">
        <f t="shared" si="322"/>
        <v>0</v>
      </c>
      <c r="W5167">
        <f t="shared" si="323"/>
        <v>0</v>
      </c>
    </row>
    <row r="5168" spans="5:23" x14ac:dyDescent="0.25">
      <c r="E5168" s="4"/>
      <c r="F5168" s="4"/>
      <c r="G5168" s="33" t="str">
        <f>IFERROR(VLOOKUP($D5168,'Informations sur les produits'!$A$3:$H$10000,8,FALSE),"0")</f>
        <v>0</v>
      </c>
      <c r="K5168" s="4"/>
      <c r="L5168" s="33" t="str">
        <f>IFERROR(VLOOKUP($J5168,'Informations sur les produits'!$A$3:$H$10000,8,FALSE),"0")</f>
        <v>0</v>
      </c>
      <c r="N5168" s="8"/>
      <c r="O5168" s="33" t="str">
        <f>IFERROR(VLOOKUP($M5168,'Informations sur les produits'!$A$3:$H$10000,8,FALSE),"0")</f>
        <v>0</v>
      </c>
      <c r="P5168" s="33">
        <f t="shared" si="320"/>
        <v>0</v>
      </c>
      <c r="Q5168" s="31" t="str">
        <f t="shared" si="321"/>
        <v/>
      </c>
      <c r="R5168" s="32" t="str">
        <f>IFERROR(VLOOKUP($D5168,'Informations sur les produits'!$A$3:$B$15000,2,FALSE),"")</f>
        <v/>
      </c>
      <c r="V5168">
        <f t="shared" si="322"/>
        <v>0</v>
      </c>
      <c r="W5168">
        <f t="shared" si="323"/>
        <v>0</v>
      </c>
    </row>
    <row r="5169" spans="5:23" x14ac:dyDescent="0.25">
      <c r="E5169" s="4"/>
      <c r="F5169" s="4"/>
      <c r="G5169" s="33" t="str">
        <f>IFERROR(VLOOKUP($D5169,'Informations sur les produits'!$A$3:$H$10000,8,FALSE),"0")</f>
        <v>0</v>
      </c>
      <c r="K5169" s="4"/>
      <c r="L5169" s="33" t="str">
        <f>IFERROR(VLOOKUP($J5169,'Informations sur les produits'!$A$3:$H$10000,8,FALSE),"0")</f>
        <v>0</v>
      </c>
      <c r="N5169" s="8"/>
      <c r="O5169" s="33" t="str">
        <f>IFERROR(VLOOKUP($M5169,'Informations sur les produits'!$A$3:$H$10000,8,FALSE),"0")</f>
        <v>0</v>
      </c>
      <c r="P5169" s="33">
        <f t="shared" si="320"/>
        <v>0</v>
      </c>
      <c r="Q5169" s="31" t="str">
        <f t="shared" si="321"/>
        <v/>
      </c>
      <c r="R5169" s="32" t="str">
        <f>IFERROR(VLOOKUP($D5169,'Informations sur les produits'!$A$3:$B$15000,2,FALSE),"")</f>
        <v/>
      </c>
      <c r="V5169">
        <f t="shared" si="322"/>
        <v>0</v>
      </c>
      <c r="W5169">
        <f t="shared" si="323"/>
        <v>0</v>
      </c>
    </row>
    <row r="5170" spans="5:23" x14ac:dyDescent="0.25">
      <c r="E5170" s="4"/>
      <c r="F5170" s="4"/>
      <c r="G5170" s="33" t="str">
        <f>IFERROR(VLOOKUP($D5170,'Informations sur les produits'!$A$3:$H$10000,8,FALSE),"0")</f>
        <v>0</v>
      </c>
      <c r="K5170" s="4"/>
      <c r="L5170" s="33" t="str">
        <f>IFERROR(VLOOKUP($J5170,'Informations sur les produits'!$A$3:$H$10000,8,FALSE),"0")</f>
        <v>0</v>
      </c>
      <c r="N5170" s="8"/>
      <c r="O5170" s="33" t="str">
        <f>IFERROR(VLOOKUP($M5170,'Informations sur les produits'!$A$3:$H$10000,8,FALSE),"0")</f>
        <v>0</v>
      </c>
      <c r="P5170" s="33">
        <f t="shared" si="320"/>
        <v>0</v>
      </c>
      <c r="Q5170" s="31" t="str">
        <f t="shared" si="321"/>
        <v/>
      </c>
      <c r="R5170" s="32" t="str">
        <f>IFERROR(VLOOKUP($D5170,'Informations sur les produits'!$A$3:$B$15000,2,FALSE),"")</f>
        <v/>
      </c>
      <c r="V5170">
        <f t="shared" si="322"/>
        <v>0</v>
      </c>
      <c r="W5170">
        <f t="shared" si="323"/>
        <v>0</v>
      </c>
    </row>
    <row r="5171" spans="5:23" x14ac:dyDescent="0.25">
      <c r="E5171" s="4"/>
      <c r="F5171" s="4"/>
      <c r="G5171" s="33" t="str">
        <f>IFERROR(VLOOKUP($D5171,'Informations sur les produits'!$A$3:$H$10000,8,FALSE),"0")</f>
        <v>0</v>
      </c>
      <c r="K5171" s="4"/>
      <c r="L5171" s="33" t="str">
        <f>IFERROR(VLOOKUP($J5171,'Informations sur les produits'!$A$3:$H$10000,8,FALSE),"0")</f>
        <v>0</v>
      </c>
      <c r="N5171" s="8"/>
      <c r="O5171" s="33" t="str">
        <f>IFERROR(VLOOKUP($M5171,'Informations sur les produits'!$A$3:$H$10000,8,FALSE),"0")</f>
        <v>0</v>
      </c>
      <c r="P5171" s="33">
        <f t="shared" si="320"/>
        <v>0</v>
      </c>
      <c r="Q5171" s="31" t="str">
        <f t="shared" si="321"/>
        <v/>
      </c>
      <c r="R5171" s="32" t="str">
        <f>IFERROR(VLOOKUP($D5171,'Informations sur les produits'!$A$3:$B$15000,2,FALSE),"")</f>
        <v/>
      </c>
      <c r="V5171">
        <f t="shared" si="322"/>
        <v>0</v>
      </c>
      <c r="W5171">
        <f t="shared" si="323"/>
        <v>0</v>
      </c>
    </row>
    <row r="5172" spans="5:23" x14ac:dyDescent="0.25">
      <c r="E5172" s="4"/>
      <c r="F5172" s="4"/>
      <c r="G5172" s="33" t="str">
        <f>IFERROR(VLOOKUP($D5172,'Informations sur les produits'!$A$3:$H$10000,8,FALSE),"0")</f>
        <v>0</v>
      </c>
      <c r="K5172" s="4"/>
      <c r="L5172" s="33" t="str">
        <f>IFERROR(VLOOKUP($J5172,'Informations sur les produits'!$A$3:$H$10000,8,FALSE),"0")</f>
        <v>0</v>
      </c>
      <c r="N5172" s="8"/>
      <c r="O5172" s="33" t="str">
        <f>IFERROR(VLOOKUP($M5172,'Informations sur les produits'!$A$3:$H$10000,8,FALSE),"0")</f>
        <v>0</v>
      </c>
      <c r="P5172" s="33">
        <f t="shared" si="320"/>
        <v>0</v>
      </c>
      <c r="Q5172" s="31" t="str">
        <f t="shared" si="321"/>
        <v/>
      </c>
      <c r="R5172" s="32" t="str">
        <f>IFERROR(VLOOKUP($D5172,'Informations sur les produits'!$A$3:$B$15000,2,FALSE),"")</f>
        <v/>
      </c>
      <c r="V5172">
        <f t="shared" si="322"/>
        <v>0</v>
      </c>
      <c r="W5172">
        <f t="shared" si="323"/>
        <v>0</v>
      </c>
    </row>
    <row r="5173" spans="5:23" x14ac:dyDescent="0.25">
      <c r="E5173" s="4"/>
      <c r="F5173" s="4"/>
      <c r="G5173" s="33" t="str">
        <f>IFERROR(VLOOKUP($D5173,'Informations sur les produits'!$A$3:$H$10000,8,FALSE),"0")</f>
        <v>0</v>
      </c>
      <c r="K5173" s="4"/>
      <c r="L5173" s="33" t="str">
        <f>IFERROR(VLOOKUP($J5173,'Informations sur les produits'!$A$3:$H$10000,8,FALSE),"0")</f>
        <v>0</v>
      </c>
      <c r="N5173" s="8"/>
      <c r="O5173" s="33" t="str">
        <f>IFERROR(VLOOKUP($M5173,'Informations sur les produits'!$A$3:$H$10000,8,FALSE),"0")</f>
        <v>0</v>
      </c>
      <c r="P5173" s="33">
        <f t="shared" si="320"/>
        <v>0</v>
      </c>
      <c r="Q5173" s="31" t="str">
        <f t="shared" si="321"/>
        <v/>
      </c>
      <c r="R5173" s="32" t="str">
        <f>IFERROR(VLOOKUP($D5173,'Informations sur les produits'!$A$3:$B$15000,2,FALSE),"")</f>
        <v/>
      </c>
      <c r="V5173">
        <f t="shared" si="322"/>
        <v>0</v>
      </c>
      <c r="W5173">
        <f t="shared" si="323"/>
        <v>0</v>
      </c>
    </row>
    <row r="5174" spans="5:23" x14ac:dyDescent="0.25">
      <c r="E5174" s="4"/>
      <c r="F5174" s="4"/>
      <c r="G5174" s="33" t="str">
        <f>IFERROR(VLOOKUP($D5174,'Informations sur les produits'!$A$3:$H$10000,8,FALSE),"0")</f>
        <v>0</v>
      </c>
      <c r="K5174" s="4"/>
      <c r="L5174" s="33" t="str">
        <f>IFERROR(VLOOKUP($J5174,'Informations sur les produits'!$A$3:$H$10000,8,FALSE),"0")</f>
        <v>0</v>
      </c>
      <c r="N5174" s="8"/>
      <c r="O5174" s="33" t="str">
        <f>IFERROR(VLOOKUP($M5174,'Informations sur les produits'!$A$3:$H$10000,8,FALSE),"0")</f>
        <v>0</v>
      </c>
      <c r="P5174" s="33">
        <f t="shared" si="320"/>
        <v>0</v>
      </c>
      <c r="Q5174" s="31" t="str">
        <f t="shared" si="321"/>
        <v/>
      </c>
      <c r="R5174" s="32" t="str">
        <f>IFERROR(VLOOKUP($D5174,'Informations sur les produits'!$A$3:$B$15000,2,FALSE),"")</f>
        <v/>
      </c>
      <c r="V5174">
        <f t="shared" si="322"/>
        <v>0</v>
      </c>
      <c r="W5174">
        <f t="shared" si="323"/>
        <v>0</v>
      </c>
    </row>
    <row r="5175" spans="5:23" x14ac:dyDescent="0.25">
      <c r="E5175" s="4"/>
      <c r="F5175" s="4"/>
      <c r="G5175" s="33" t="str">
        <f>IFERROR(VLOOKUP($D5175,'Informations sur les produits'!$A$3:$H$10000,8,FALSE),"0")</f>
        <v>0</v>
      </c>
      <c r="K5175" s="4"/>
      <c r="L5175" s="33" t="str">
        <f>IFERROR(VLOOKUP($J5175,'Informations sur les produits'!$A$3:$H$10000,8,FALSE),"0")</f>
        <v>0</v>
      </c>
      <c r="N5175" s="8"/>
      <c r="O5175" s="33" t="str">
        <f>IFERROR(VLOOKUP($M5175,'Informations sur les produits'!$A$3:$H$10000,8,FALSE),"0")</f>
        <v>0</v>
      </c>
      <c r="P5175" s="33">
        <f t="shared" si="320"/>
        <v>0</v>
      </c>
      <c r="Q5175" s="31" t="str">
        <f t="shared" si="321"/>
        <v/>
      </c>
      <c r="R5175" s="32" t="str">
        <f>IFERROR(VLOOKUP($D5175,'Informations sur les produits'!$A$3:$B$15000,2,FALSE),"")</f>
        <v/>
      </c>
      <c r="V5175">
        <f t="shared" si="322"/>
        <v>0</v>
      </c>
      <c r="W5175">
        <f t="shared" si="323"/>
        <v>0</v>
      </c>
    </row>
    <row r="5176" spans="5:23" x14ac:dyDescent="0.25">
      <c r="E5176" s="4"/>
      <c r="F5176" s="4"/>
      <c r="G5176" s="33" t="str">
        <f>IFERROR(VLOOKUP($D5176,'Informations sur les produits'!$A$3:$H$10000,8,FALSE),"0")</f>
        <v>0</v>
      </c>
      <c r="K5176" s="4"/>
      <c r="L5176" s="33" t="str">
        <f>IFERROR(VLOOKUP($J5176,'Informations sur les produits'!$A$3:$H$10000,8,FALSE),"0")</f>
        <v>0</v>
      </c>
      <c r="N5176" s="8"/>
      <c r="O5176" s="33" t="str">
        <f>IFERROR(VLOOKUP($M5176,'Informations sur les produits'!$A$3:$H$10000,8,FALSE),"0")</f>
        <v>0</v>
      </c>
      <c r="P5176" s="33">
        <f t="shared" si="320"/>
        <v>0</v>
      </c>
      <c r="Q5176" s="31" t="str">
        <f t="shared" si="321"/>
        <v/>
      </c>
      <c r="R5176" s="32" t="str">
        <f>IFERROR(VLOOKUP($D5176,'Informations sur les produits'!$A$3:$B$15000,2,FALSE),"")</f>
        <v/>
      </c>
      <c r="V5176">
        <f t="shared" si="322"/>
        <v>0</v>
      </c>
      <c r="W5176">
        <f t="shared" si="323"/>
        <v>0</v>
      </c>
    </row>
    <row r="5177" spans="5:23" x14ac:dyDescent="0.25">
      <c r="E5177" s="4"/>
      <c r="F5177" s="4"/>
      <c r="G5177" s="33" t="str">
        <f>IFERROR(VLOOKUP($D5177,'Informations sur les produits'!$A$3:$H$10000,8,FALSE),"0")</f>
        <v>0</v>
      </c>
      <c r="K5177" s="4"/>
      <c r="L5177" s="33" t="str">
        <f>IFERROR(VLOOKUP($J5177,'Informations sur les produits'!$A$3:$H$10000,8,FALSE),"0")</f>
        <v>0</v>
      </c>
      <c r="N5177" s="8"/>
      <c r="O5177" s="33" t="str">
        <f>IFERROR(VLOOKUP($M5177,'Informations sur les produits'!$A$3:$H$10000,8,FALSE),"0")</f>
        <v>0</v>
      </c>
      <c r="P5177" s="33">
        <f t="shared" si="320"/>
        <v>0</v>
      </c>
      <c r="Q5177" s="31" t="str">
        <f t="shared" si="321"/>
        <v/>
      </c>
      <c r="R5177" s="32" t="str">
        <f>IFERROR(VLOOKUP($D5177,'Informations sur les produits'!$A$3:$B$15000,2,FALSE),"")</f>
        <v/>
      </c>
      <c r="V5177">
        <f t="shared" si="322"/>
        <v>0</v>
      </c>
      <c r="W5177">
        <f t="shared" si="323"/>
        <v>0</v>
      </c>
    </row>
    <row r="5178" spans="5:23" x14ac:dyDescent="0.25">
      <c r="E5178" s="4"/>
      <c r="F5178" s="4"/>
      <c r="G5178" s="33" t="str">
        <f>IFERROR(VLOOKUP($D5178,'Informations sur les produits'!$A$3:$H$10000,8,FALSE),"0")</f>
        <v>0</v>
      </c>
      <c r="K5178" s="4"/>
      <c r="L5178" s="33" t="str">
        <f>IFERROR(VLOOKUP($J5178,'Informations sur les produits'!$A$3:$H$10000,8,FALSE),"0")</f>
        <v>0</v>
      </c>
      <c r="N5178" s="8"/>
      <c r="O5178" s="33" t="str">
        <f>IFERROR(VLOOKUP($M5178,'Informations sur les produits'!$A$3:$H$10000,8,FALSE),"0")</f>
        <v>0</v>
      </c>
      <c r="P5178" s="33">
        <f t="shared" si="320"/>
        <v>0</v>
      </c>
      <c r="Q5178" s="31" t="str">
        <f t="shared" si="321"/>
        <v/>
      </c>
      <c r="R5178" s="32" t="str">
        <f>IFERROR(VLOOKUP($D5178,'Informations sur les produits'!$A$3:$B$15000,2,FALSE),"")</f>
        <v/>
      </c>
      <c r="V5178">
        <f t="shared" si="322"/>
        <v>0</v>
      </c>
      <c r="W5178">
        <f t="shared" si="323"/>
        <v>0</v>
      </c>
    </row>
    <row r="5179" spans="5:23" x14ac:dyDescent="0.25">
      <c r="E5179" s="4"/>
      <c r="F5179" s="4"/>
      <c r="G5179" s="33" t="str">
        <f>IFERROR(VLOOKUP($D5179,'Informations sur les produits'!$A$3:$H$10000,8,FALSE),"0")</f>
        <v>0</v>
      </c>
      <c r="K5179" s="4"/>
      <c r="L5179" s="33" t="str">
        <f>IFERROR(VLOOKUP($J5179,'Informations sur les produits'!$A$3:$H$10000,8,FALSE),"0")</f>
        <v>0</v>
      </c>
      <c r="N5179" s="8"/>
      <c r="O5179" s="33" t="str">
        <f>IFERROR(VLOOKUP($M5179,'Informations sur les produits'!$A$3:$H$10000,8,FALSE),"0")</f>
        <v>0</v>
      </c>
      <c r="P5179" s="33">
        <f t="shared" si="320"/>
        <v>0</v>
      </c>
      <c r="Q5179" s="31" t="str">
        <f t="shared" si="321"/>
        <v/>
      </c>
      <c r="R5179" s="32" t="str">
        <f>IFERROR(VLOOKUP($D5179,'Informations sur les produits'!$A$3:$B$15000,2,FALSE),"")</f>
        <v/>
      </c>
      <c r="V5179">
        <f t="shared" si="322"/>
        <v>0</v>
      </c>
      <c r="W5179">
        <f t="shared" si="323"/>
        <v>0</v>
      </c>
    </row>
    <row r="5180" spans="5:23" x14ac:dyDescent="0.25">
      <c r="E5180" s="4"/>
      <c r="F5180" s="4"/>
      <c r="G5180" s="33" t="str">
        <f>IFERROR(VLOOKUP($D5180,'Informations sur les produits'!$A$3:$H$10000,8,FALSE),"0")</f>
        <v>0</v>
      </c>
      <c r="K5180" s="4"/>
      <c r="L5180" s="33" t="str">
        <f>IFERROR(VLOOKUP($J5180,'Informations sur les produits'!$A$3:$H$10000,8,FALSE),"0")</f>
        <v>0</v>
      </c>
      <c r="N5180" s="8"/>
      <c r="O5180" s="33" t="str">
        <f>IFERROR(VLOOKUP($M5180,'Informations sur les produits'!$A$3:$H$10000,8,FALSE),"0")</f>
        <v>0</v>
      </c>
      <c r="P5180" s="33">
        <f t="shared" si="320"/>
        <v>0</v>
      </c>
      <c r="Q5180" s="31" t="str">
        <f t="shared" si="321"/>
        <v/>
      </c>
      <c r="R5180" s="32" t="str">
        <f>IFERROR(VLOOKUP($D5180,'Informations sur les produits'!$A$3:$B$15000,2,FALSE),"")</f>
        <v/>
      </c>
      <c r="V5180">
        <f t="shared" si="322"/>
        <v>0</v>
      </c>
      <c r="W5180">
        <f t="shared" si="323"/>
        <v>0</v>
      </c>
    </row>
    <row r="5181" spans="5:23" x14ac:dyDescent="0.25">
      <c r="E5181" s="4"/>
      <c r="F5181" s="4"/>
      <c r="G5181" s="33" t="str">
        <f>IFERROR(VLOOKUP($D5181,'Informations sur les produits'!$A$3:$H$10000,8,FALSE),"0")</f>
        <v>0</v>
      </c>
      <c r="K5181" s="4"/>
      <c r="L5181" s="33" t="str">
        <f>IFERROR(VLOOKUP($J5181,'Informations sur les produits'!$A$3:$H$10000,8,FALSE),"0")</f>
        <v>0</v>
      </c>
      <c r="N5181" s="8"/>
      <c r="O5181" s="33" t="str">
        <f>IFERROR(VLOOKUP($M5181,'Informations sur les produits'!$A$3:$H$10000,8,FALSE),"0")</f>
        <v>0</v>
      </c>
      <c r="P5181" s="33">
        <f t="shared" si="320"/>
        <v>0</v>
      </c>
      <c r="Q5181" s="31" t="str">
        <f t="shared" si="321"/>
        <v/>
      </c>
      <c r="R5181" s="32" t="str">
        <f>IFERROR(VLOOKUP($D5181,'Informations sur les produits'!$A$3:$B$15000,2,FALSE),"")</f>
        <v/>
      </c>
      <c r="V5181">
        <f t="shared" si="322"/>
        <v>0</v>
      </c>
      <c r="W5181">
        <f t="shared" si="323"/>
        <v>0</v>
      </c>
    </row>
    <row r="5182" spans="5:23" x14ac:dyDescent="0.25">
      <c r="E5182" s="4"/>
      <c r="F5182" s="4"/>
      <c r="G5182" s="33" t="str">
        <f>IFERROR(VLOOKUP($D5182,'Informations sur les produits'!$A$3:$H$10000,8,FALSE),"0")</f>
        <v>0</v>
      </c>
      <c r="K5182" s="4"/>
      <c r="L5182" s="33" t="str">
        <f>IFERROR(VLOOKUP($J5182,'Informations sur les produits'!$A$3:$H$10000,8,FALSE),"0")</f>
        <v>0</v>
      </c>
      <c r="N5182" s="8"/>
      <c r="O5182" s="33" t="str">
        <f>IFERROR(VLOOKUP($M5182,'Informations sur les produits'!$A$3:$H$10000,8,FALSE),"0")</f>
        <v>0</v>
      </c>
      <c r="P5182" s="33">
        <f t="shared" si="320"/>
        <v>0</v>
      </c>
      <c r="Q5182" s="31" t="str">
        <f t="shared" si="321"/>
        <v/>
      </c>
      <c r="R5182" s="32" t="str">
        <f>IFERROR(VLOOKUP($D5182,'Informations sur les produits'!$A$3:$B$15000,2,FALSE),"")</f>
        <v/>
      </c>
      <c r="V5182">
        <f t="shared" si="322"/>
        <v>0</v>
      </c>
      <c r="W5182">
        <f t="shared" si="323"/>
        <v>0</v>
      </c>
    </row>
    <row r="5183" spans="5:23" x14ac:dyDescent="0.25">
      <c r="E5183" s="4"/>
      <c r="F5183" s="4"/>
      <c r="G5183" s="33" t="str">
        <f>IFERROR(VLOOKUP($D5183,'Informations sur les produits'!$A$3:$H$10000,8,FALSE),"0")</f>
        <v>0</v>
      </c>
      <c r="K5183" s="4"/>
      <c r="L5183" s="33" t="str">
        <f>IFERROR(VLOOKUP($J5183,'Informations sur les produits'!$A$3:$H$10000,8,FALSE),"0")</f>
        <v>0</v>
      </c>
      <c r="N5183" s="8"/>
      <c r="O5183" s="33" t="str">
        <f>IFERROR(VLOOKUP($M5183,'Informations sur les produits'!$A$3:$H$10000,8,FALSE),"0")</f>
        <v>0</v>
      </c>
      <c r="P5183" s="33">
        <f t="shared" si="320"/>
        <v>0</v>
      </c>
      <c r="Q5183" s="31" t="str">
        <f t="shared" si="321"/>
        <v/>
      </c>
      <c r="R5183" s="32" t="str">
        <f>IFERROR(VLOOKUP($D5183,'Informations sur les produits'!$A$3:$B$15000,2,FALSE),"")</f>
        <v/>
      </c>
      <c r="V5183">
        <f t="shared" si="322"/>
        <v>0</v>
      </c>
      <c r="W5183">
        <f t="shared" si="323"/>
        <v>0</v>
      </c>
    </row>
    <row r="5184" spans="5:23" x14ac:dyDescent="0.25">
      <c r="E5184" s="4"/>
      <c r="F5184" s="4"/>
      <c r="G5184" s="33" t="str">
        <f>IFERROR(VLOOKUP($D5184,'Informations sur les produits'!$A$3:$H$10000,8,FALSE),"0")</f>
        <v>0</v>
      </c>
      <c r="K5184" s="4"/>
      <c r="L5184" s="33" t="str">
        <f>IFERROR(VLOOKUP($J5184,'Informations sur les produits'!$A$3:$H$10000,8,FALSE),"0")</f>
        <v>0</v>
      </c>
      <c r="N5184" s="8"/>
      <c r="O5184" s="33" t="str">
        <f>IFERROR(VLOOKUP($M5184,'Informations sur les produits'!$A$3:$H$10000,8,FALSE),"0")</f>
        <v>0</v>
      </c>
      <c r="P5184" s="33">
        <f t="shared" si="320"/>
        <v>0</v>
      </c>
      <c r="Q5184" s="31" t="str">
        <f t="shared" si="321"/>
        <v/>
      </c>
      <c r="R5184" s="32" t="str">
        <f>IFERROR(VLOOKUP($D5184,'Informations sur les produits'!$A$3:$B$15000,2,FALSE),"")</f>
        <v/>
      </c>
      <c r="V5184">
        <f t="shared" si="322"/>
        <v>0</v>
      </c>
      <c r="W5184">
        <f t="shared" si="323"/>
        <v>0</v>
      </c>
    </row>
    <row r="5185" spans="5:23" x14ac:dyDescent="0.25">
      <c r="E5185" s="4"/>
      <c r="F5185" s="4"/>
      <c r="G5185" s="33" t="str">
        <f>IFERROR(VLOOKUP($D5185,'Informations sur les produits'!$A$3:$H$10000,8,FALSE),"0")</f>
        <v>0</v>
      </c>
      <c r="K5185" s="4"/>
      <c r="L5185" s="33" t="str">
        <f>IFERROR(VLOOKUP($J5185,'Informations sur les produits'!$A$3:$H$10000,8,FALSE),"0")</f>
        <v>0</v>
      </c>
      <c r="N5185" s="8"/>
      <c r="O5185" s="33" t="str">
        <f>IFERROR(VLOOKUP($M5185,'Informations sur les produits'!$A$3:$H$10000,8,FALSE),"0")</f>
        <v>0</v>
      </c>
      <c r="P5185" s="33">
        <f t="shared" si="320"/>
        <v>0</v>
      </c>
      <c r="Q5185" s="31" t="str">
        <f t="shared" si="321"/>
        <v/>
      </c>
      <c r="R5185" s="32" t="str">
        <f>IFERROR(VLOOKUP($D5185,'Informations sur les produits'!$A$3:$B$15000,2,FALSE),"")</f>
        <v/>
      </c>
      <c r="V5185">
        <f t="shared" si="322"/>
        <v>0</v>
      </c>
      <c r="W5185">
        <f t="shared" si="323"/>
        <v>0</v>
      </c>
    </row>
    <row r="5186" spans="5:23" x14ac:dyDescent="0.25">
      <c r="E5186" s="4"/>
      <c r="F5186" s="4"/>
      <c r="G5186" s="33" t="str">
        <f>IFERROR(VLOOKUP($D5186,'Informations sur les produits'!$A$3:$H$10000,8,FALSE),"0")</f>
        <v>0</v>
      </c>
      <c r="K5186" s="4"/>
      <c r="L5186" s="33" t="str">
        <f>IFERROR(VLOOKUP($J5186,'Informations sur les produits'!$A$3:$H$10000,8,FALSE),"0")</f>
        <v>0</v>
      </c>
      <c r="N5186" s="8"/>
      <c r="O5186" s="33" t="str">
        <f>IFERROR(VLOOKUP($M5186,'Informations sur les produits'!$A$3:$H$10000,8,FALSE),"0")</f>
        <v>0</v>
      </c>
      <c r="P5186" s="33">
        <f t="shared" si="320"/>
        <v>0</v>
      </c>
      <c r="Q5186" s="31" t="str">
        <f t="shared" si="321"/>
        <v/>
      </c>
      <c r="R5186" s="32" t="str">
        <f>IFERROR(VLOOKUP($D5186,'Informations sur les produits'!$A$3:$B$15000,2,FALSE),"")</f>
        <v/>
      </c>
      <c r="V5186">
        <f t="shared" si="322"/>
        <v>0</v>
      </c>
      <c r="W5186">
        <f t="shared" si="323"/>
        <v>0</v>
      </c>
    </row>
    <row r="5187" spans="5:23" x14ac:dyDescent="0.25">
      <c r="E5187" s="4"/>
      <c r="F5187" s="4"/>
      <c r="G5187" s="33" t="str">
        <f>IFERROR(VLOOKUP($D5187,'Informations sur les produits'!$A$3:$H$10000,8,FALSE),"0")</f>
        <v>0</v>
      </c>
      <c r="K5187" s="4"/>
      <c r="L5187" s="33" t="str">
        <f>IFERROR(VLOOKUP($J5187,'Informations sur les produits'!$A$3:$H$10000,8,FALSE),"0")</f>
        <v>0</v>
      </c>
      <c r="N5187" s="8"/>
      <c r="O5187" s="33" t="str">
        <f>IFERROR(VLOOKUP($M5187,'Informations sur les produits'!$A$3:$H$10000,8,FALSE),"0")</f>
        <v>0</v>
      </c>
      <c r="P5187" s="33">
        <f t="shared" si="320"/>
        <v>0</v>
      </c>
      <c r="Q5187" s="31" t="str">
        <f t="shared" si="321"/>
        <v/>
      </c>
      <c r="R5187" s="32" t="str">
        <f>IFERROR(VLOOKUP($D5187,'Informations sur les produits'!$A$3:$B$15000,2,FALSE),"")</f>
        <v/>
      </c>
      <c r="V5187">
        <f t="shared" si="322"/>
        <v>0</v>
      </c>
      <c r="W5187">
        <f t="shared" si="323"/>
        <v>0</v>
      </c>
    </row>
    <row r="5188" spans="5:23" x14ac:dyDescent="0.25">
      <c r="E5188" s="4"/>
      <c r="F5188" s="4"/>
      <c r="G5188" s="33" t="str">
        <f>IFERROR(VLOOKUP($D5188,'Informations sur les produits'!$A$3:$H$10000,8,FALSE),"0")</f>
        <v>0</v>
      </c>
      <c r="K5188" s="4"/>
      <c r="L5188" s="33" t="str">
        <f>IFERROR(VLOOKUP($J5188,'Informations sur les produits'!$A$3:$H$10000,8,FALSE),"0")</f>
        <v>0</v>
      </c>
      <c r="N5188" s="8"/>
      <c r="O5188" s="33" t="str">
        <f>IFERROR(VLOOKUP($M5188,'Informations sur les produits'!$A$3:$H$10000,8,FALSE),"0")</f>
        <v>0</v>
      </c>
      <c r="P5188" s="33">
        <f t="shared" ref="P5188:P5251" si="324">IFERROR((($E5188-$F5188)*$G5188+$K5188*$L5188+$N5188*$O5188),"")</f>
        <v>0</v>
      </c>
      <c r="Q5188" s="31" t="str">
        <f t="shared" ref="Q5188:Q5251" si="325">IFERROR((((($E5188-$F5188)*$G5188+$K5188*$L5188+$N5188*$O5188)*1000)/(($E5188-$F5188)+$K5188+$N5188)),"")</f>
        <v/>
      </c>
      <c r="R5188" s="32" t="str">
        <f>IFERROR(VLOOKUP($D5188,'Informations sur les produits'!$A$3:$B$15000,2,FALSE),"")</f>
        <v/>
      </c>
      <c r="V5188">
        <f t="shared" ref="V5188:V5251" si="326">IFERROR(P5188*1000,"")</f>
        <v>0</v>
      </c>
      <c r="W5188">
        <f t="shared" ref="W5188:W5251" si="327">IFERROR(($E5188-$F5188)+$K5188+$N5188,"")</f>
        <v>0</v>
      </c>
    </row>
    <row r="5189" spans="5:23" x14ac:dyDescent="0.25">
      <c r="E5189" s="4"/>
      <c r="F5189" s="4"/>
      <c r="G5189" s="33" t="str">
        <f>IFERROR(VLOOKUP($D5189,'Informations sur les produits'!$A$3:$H$10000,8,FALSE),"0")</f>
        <v>0</v>
      </c>
      <c r="K5189" s="4"/>
      <c r="L5189" s="33" t="str">
        <f>IFERROR(VLOOKUP($J5189,'Informations sur les produits'!$A$3:$H$10000,8,FALSE),"0")</f>
        <v>0</v>
      </c>
      <c r="N5189" s="8"/>
      <c r="O5189" s="33" t="str">
        <f>IFERROR(VLOOKUP($M5189,'Informations sur les produits'!$A$3:$H$10000,8,FALSE),"0")</f>
        <v>0</v>
      </c>
      <c r="P5189" s="33">
        <f t="shared" si="324"/>
        <v>0</v>
      </c>
      <c r="Q5189" s="31" t="str">
        <f t="shared" si="325"/>
        <v/>
      </c>
      <c r="R5189" s="32" t="str">
        <f>IFERROR(VLOOKUP($D5189,'Informations sur les produits'!$A$3:$B$15000,2,FALSE),"")</f>
        <v/>
      </c>
      <c r="V5189">
        <f t="shared" si="326"/>
        <v>0</v>
      </c>
      <c r="W5189">
        <f t="shared" si="327"/>
        <v>0</v>
      </c>
    </row>
    <row r="5190" spans="5:23" x14ac:dyDescent="0.25">
      <c r="E5190" s="4"/>
      <c r="F5190" s="4"/>
      <c r="G5190" s="33" t="str">
        <f>IFERROR(VLOOKUP($D5190,'Informations sur les produits'!$A$3:$H$10000,8,FALSE),"0")</f>
        <v>0</v>
      </c>
      <c r="K5190" s="4"/>
      <c r="L5190" s="33" t="str">
        <f>IFERROR(VLOOKUP($J5190,'Informations sur les produits'!$A$3:$H$10000,8,FALSE),"0")</f>
        <v>0</v>
      </c>
      <c r="N5190" s="8"/>
      <c r="O5190" s="33" t="str">
        <f>IFERROR(VLOOKUP($M5190,'Informations sur les produits'!$A$3:$H$10000,8,FALSE),"0")</f>
        <v>0</v>
      </c>
      <c r="P5190" s="33">
        <f t="shared" si="324"/>
        <v>0</v>
      </c>
      <c r="Q5190" s="31" t="str">
        <f t="shared" si="325"/>
        <v/>
      </c>
      <c r="R5190" s="32" t="str">
        <f>IFERROR(VLOOKUP($D5190,'Informations sur les produits'!$A$3:$B$15000,2,FALSE),"")</f>
        <v/>
      </c>
      <c r="V5190">
        <f t="shared" si="326"/>
        <v>0</v>
      </c>
      <c r="W5190">
        <f t="shared" si="327"/>
        <v>0</v>
      </c>
    </row>
    <row r="5191" spans="5:23" x14ac:dyDescent="0.25">
      <c r="E5191" s="4"/>
      <c r="F5191" s="4"/>
      <c r="G5191" s="33" t="str">
        <f>IFERROR(VLOOKUP($D5191,'Informations sur les produits'!$A$3:$H$10000,8,FALSE),"0")</f>
        <v>0</v>
      </c>
      <c r="K5191" s="4"/>
      <c r="L5191" s="33" t="str">
        <f>IFERROR(VLOOKUP($J5191,'Informations sur les produits'!$A$3:$H$10000,8,FALSE),"0")</f>
        <v>0</v>
      </c>
      <c r="N5191" s="8"/>
      <c r="O5191" s="33" t="str">
        <f>IFERROR(VLOOKUP($M5191,'Informations sur les produits'!$A$3:$H$10000,8,FALSE),"0")</f>
        <v>0</v>
      </c>
      <c r="P5191" s="33">
        <f t="shared" si="324"/>
        <v>0</v>
      </c>
      <c r="Q5191" s="31" t="str">
        <f t="shared" si="325"/>
        <v/>
      </c>
      <c r="R5191" s="32" t="str">
        <f>IFERROR(VLOOKUP($D5191,'Informations sur les produits'!$A$3:$B$15000,2,FALSE),"")</f>
        <v/>
      </c>
      <c r="V5191">
        <f t="shared" si="326"/>
        <v>0</v>
      </c>
      <c r="W5191">
        <f t="shared" si="327"/>
        <v>0</v>
      </c>
    </row>
    <row r="5192" spans="5:23" x14ac:dyDescent="0.25">
      <c r="E5192" s="4"/>
      <c r="F5192" s="4"/>
      <c r="G5192" s="33" t="str">
        <f>IFERROR(VLOOKUP($D5192,'Informations sur les produits'!$A$3:$H$10000,8,FALSE),"0")</f>
        <v>0</v>
      </c>
      <c r="K5192" s="4"/>
      <c r="L5192" s="33" t="str">
        <f>IFERROR(VLOOKUP($J5192,'Informations sur les produits'!$A$3:$H$10000,8,FALSE),"0")</f>
        <v>0</v>
      </c>
      <c r="N5192" s="8"/>
      <c r="O5192" s="33" t="str">
        <f>IFERROR(VLOOKUP($M5192,'Informations sur les produits'!$A$3:$H$10000,8,FALSE),"0")</f>
        <v>0</v>
      </c>
      <c r="P5192" s="33">
        <f t="shared" si="324"/>
        <v>0</v>
      </c>
      <c r="Q5192" s="31" t="str">
        <f t="shared" si="325"/>
        <v/>
      </c>
      <c r="R5192" s="32" t="str">
        <f>IFERROR(VLOOKUP($D5192,'Informations sur les produits'!$A$3:$B$15000,2,FALSE),"")</f>
        <v/>
      </c>
      <c r="V5192">
        <f t="shared" si="326"/>
        <v>0</v>
      </c>
      <c r="W5192">
        <f t="shared" si="327"/>
        <v>0</v>
      </c>
    </row>
    <row r="5193" spans="5:23" x14ac:dyDescent="0.25">
      <c r="E5193" s="4"/>
      <c r="F5193" s="4"/>
      <c r="G5193" s="33" t="str">
        <f>IFERROR(VLOOKUP($D5193,'Informations sur les produits'!$A$3:$H$10000,8,FALSE),"0")</f>
        <v>0</v>
      </c>
      <c r="K5193" s="4"/>
      <c r="L5193" s="33" t="str">
        <f>IFERROR(VLOOKUP($J5193,'Informations sur les produits'!$A$3:$H$10000,8,FALSE),"0")</f>
        <v>0</v>
      </c>
      <c r="N5193" s="8"/>
      <c r="O5193" s="33" t="str">
        <f>IFERROR(VLOOKUP($M5193,'Informations sur les produits'!$A$3:$H$10000,8,FALSE),"0")</f>
        <v>0</v>
      </c>
      <c r="P5193" s="33">
        <f t="shared" si="324"/>
        <v>0</v>
      </c>
      <c r="Q5193" s="31" t="str">
        <f t="shared" si="325"/>
        <v/>
      </c>
      <c r="R5193" s="32" t="str">
        <f>IFERROR(VLOOKUP($D5193,'Informations sur les produits'!$A$3:$B$15000,2,FALSE),"")</f>
        <v/>
      </c>
      <c r="V5193">
        <f t="shared" si="326"/>
        <v>0</v>
      </c>
      <c r="W5193">
        <f t="shared" si="327"/>
        <v>0</v>
      </c>
    </row>
    <row r="5194" spans="5:23" x14ac:dyDescent="0.25">
      <c r="E5194" s="4"/>
      <c r="F5194" s="4"/>
      <c r="G5194" s="33" t="str">
        <f>IFERROR(VLOOKUP($D5194,'Informations sur les produits'!$A$3:$H$10000,8,FALSE),"0")</f>
        <v>0</v>
      </c>
      <c r="K5194" s="4"/>
      <c r="L5194" s="33" t="str">
        <f>IFERROR(VLOOKUP($J5194,'Informations sur les produits'!$A$3:$H$10000,8,FALSE),"0")</f>
        <v>0</v>
      </c>
      <c r="N5194" s="8"/>
      <c r="O5194" s="33" t="str">
        <f>IFERROR(VLOOKUP($M5194,'Informations sur les produits'!$A$3:$H$10000,8,FALSE),"0")</f>
        <v>0</v>
      </c>
      <c r="P5194" s="33">
        <f t="shared" si="324"/>
        <v>0</v>
      </c>
      <c r="Q5194" s="31" t="str">
        <f t="shared" si="325"/>
        <v/>
      </c>
      <c r="R5194" s="32" t="str">
        <f>IFERROR(VLOOKUP($D5194,'Informations sur les produits'!$A$3:$B$15000,2,FALSE),"")</f>
        <v/>
      </c>
      <c r="V5194">
        <f t="shared" si="326"/>
        <v>0</v>
      </c>
      <c r="W5194">
        <f t="shared" si="327"/>
        <v>0</v>
      </c>
    </row>
    <row r="5195" spans="5:23" x14ac:dyDescent="0.25">
      <c r="E5195" s="4"/>
      <c r="F5195" s="4"/>
      <c r="G5195" s="33" t="str">
        <f>IFERROR(VLOOKUP($D5195,'Informations sur les produits'!$A$3:$H$10000,8,FALSE),"0")</f>
        <v>0</v>
      </c>
      <c r="K5195" s="4"/>
      <c r="L5195" s="33" t="str">
        <f>IFERROR(VLOOKUP($J5195,'Informations sur les produits'!$A$3:$H$10000,8,FALSE),"0")</f>
        <v>0</v>
      </c>
      <c r="N5195" s="8"/>
      <c r="O5195" s="33" t="str">
        <f>IFERROR(VLOOKUP($M5195,'Informations sur les produits'!$A$3:$H$10000,8,FALSE),"0")</f>
        <v>0</v>
      </c>
      <c r="P5195" s="33">
        <f t="shared" si="324"/>
        <v>0</v>
      </c>
      <c r="Q5195" s="31" t="str">
        <f t="shared" si="325"/>
        <v/>
      </c>
      <c r="R5195" s="32" t="str">
        <f>IFERROR(VLOOKUP($D5195,'Informations sur les produits'!$A$3:$B$15000,2,FALSE),"")</f>
        <v/>
      </c>
      <c r="V5195">
        <f t="shared" si="326"/>
        <v>0</v>
      </c>
      <c r="W5195">
        <f t="shared" si="327"/>
        <v>0</v>
      </c>
    </row>
    <row r="5196" spans="5:23" x14ac:dyDescent="0.25">
      <c r="E5196" s="4"/>
      <c r="F5196" s="4"/>
      <c r="G5196" s="33" t="str">
        <f>IFERROR(VLOOKUP($D5196,'Informations sur les produits'!$A$3:$H$10000,8,FALSE),"0")</f>
        <v>0</v>
      </c>
      <c r="K5196" s="4"/>
      <c r="L5196" s="33" t="str">
        <f>IFERROR(VLOOKUP($J5196,'Informations sur les produits'!$A$3:$H$10000,8,FALSE),"0")</f>
        <v>0</v>
      </c>
      <c r="N5196" s="8"/>
      <c r="O5196" s="33" t="str">
        <f>IFERROR(VLOOKUP($M5196,'Informations sur les produits'!$A$3:$H$10000,8,FALSE),"0")</f>
        <v>0</v>
      </c>
      <c r="P5196" s="33">
        <f t="shared" si="324"/>
        <v>0</v>
      </c>
      <c r="Q5196" s="31" t="str">
        <f t="shared" si="325"/>
        <v/>
      </c>
      <c r="R5196" s="32" t="str">
        <f>IFERROR(VLOOKUP($D5196,'Informations sur les produits'!$A$3:$B$15000,2,FALSE),"")</f>
        <v/>
      </c>
      <c r="V5196">
        <f t="shared" si="326"/>
        <v>0</v>
      </c>
      <c r="W5196">
        <f t="shared" si="327"/>
        <v>0</v>
      </c>
    </row>
    <row r="5197" spans="5:23" x14ac:dyDescent="0.25">
      <c r="E5197" s="4"/>
      <c r="F5197" s="4"/>
      <c r="G5197" s="33" t="str">
        <f>IFERROR(VLOOKUP($D5197,'Informations sur les produits'!$A$3:$H$10000,8,FALSE),"0")</f>
        <v>0</v>
      </c>
      <c r="K5197" s="4"/>
      <c r="L5197" s="33" t="str">
        <f>IFERROR(VLOOKUP($J5197,'Informations sur les produits'!$A$3:$H$10000,8,FALSE),"0")</f>
        <v>0</v>
      </c>
      <c r="N5197" s="8"/>
      <c r="O5197" s="33" t="str">
        <f>IFERROR(VLOOKUP($M5197,'Informations sur les produits'!$A$3:$H$10000,8,FALSE),"0")</f>
        <v>0</v>
      </c>
      <c r="P5197" s="33">
        <f t="shared" si="324"/>
        <v>0</v>
      </c>
      <c r="Q5197" s="31" t="str">
        <f t="shared" si="325"/>
        <v/>
      </c>
      <c r="R5197" s="32" t="str">
        <f>IFERROR(VLOOKUP($D5197,'Informations sur les produits'!$A$3:$B$15000,2,FALSE),"")</f>
        <v/>
      </c>
      <c r="V5197">
        <f t="shared" si="326"/>
        <v>0</v>
      </c>
      <c r="W5197">
        <f t="shared" si="327"/>
        <v>0</v>
      </c>
    </row>
    <row r="5198" spans="5:23" x14ac:dyDescent="0.25">
      <c r="E5198" s="4"/>
      <c r="F5198" s="4"/>
      <c r="G5198" s="33" t="str">
        <f>IFERROR(VLOOKUP($D5198,'Informations sur les produits'!$A$3:$H$10000,8,FALSE),"0")</f>
        <v>0</v>
      </c>
      <c r="K5198" s="4"/>
      <c r="L5198" s="33" t="str">
        <f>IFERROR(VLOOKUP($J5198,'Informations sur les produits'!$A$3:$H$10000,8,FALSE),"0")</f>
        <v>0</v>
      </c>
      <c r="N5198" s="8"/>
      <c r="O5198" s="33" t="str">
        <f>IFERROR(VLOOKUP($M5198,'Informations sur les produits'!$A$3:$H$10000,8,FALSE),"0")</f>
        <v>0</v>
      </c>
      <c r="P5198" s="33">
        <f t="shared" si="324"/>
        <v>0</v>
      </c>
      <c r="Q5198" s="31" t="str">
        <f t="shared" si="325"/>
        <v/>
      </c>
      <c r="R5198" s="32" t="str">
        <f>IFERROR(VLOOKUP($D5198,'Informations sur les produits'!$A$3:$B$15000,2,FALSE),"")</f>
        <v/>
      </c>
      <c r="V5198">
        <f t="shared" si="326"/>
        <v>0</v>
      </c>
      <c r="W5198">
        <f t="shared" si="327"/>
        <v>0</v>
      </c>
    </row>
    <row r="5199" spans="5:23" x14ac:dyDescent="0.25">
      <c r="E5199" s="4"/>
      <c r="F5199" s="4"/>
      <c r="G5199" s="33" t="str">
        <f>IFERROR(VLOOKUP($D5199,'Informations sur les produits'!$A$3:$H$10000,8,FALSE),"0")</f>
        <v>0</v>
      </c>
      <c r="K5199" s="4"/>
      <c r="L5199" s="33" t="str">
        <f>IFERROR(VLOOKUP($J5199,'Informations sur les produits'!$A$3:$H$10000,8,FALSE),"0")</f>
        <v>0</v>
      </c>
      <c r="N5199" s="8"/>
      <c r="O5199" s="33" t="str">
        <f>IFERROR(VLOOKUP($M5199,'Informations sur les produits'!$A$3:$H$10000,8,FALSE),"0")</f>
        <v>0</v>
      </c>
      <c r="P5199" s="33">
        <f t="shared" si="324"/>
        <v>0</v>
      </c>
      <c r="Q5199" s="31" t="str">
        <f t="shared" si="325"/>
        <v/>
      </c>
      <c r="R5199" s="32" t="str">
        <f>IFERROR(VLOOKUP($D5199,'Informations sur les produits'!$A$3:$B$15000,2,FALSE),"")</f>
        <v/>
      </c>
      <c r="V5199">
        <f t="shared" si="326"/>
        <v>0</v>
      </c>
      <c r="W5199">
        <f t="shared" si="327"/>
        <v>0</v>
      </c>
    </row>
    <row r="5200" spans="5:23" x14ac:dyDescent="0.25">
      <c r="E5200" s="4"/>
      <c r="F5200" s="4"/>
      <c r="G5200" s="33" t="str">
        <f>IFERROR(VLOOKUP($D5200,'Informations sur les produits'!$A$3:$H$10000,8,FALSE),"0")</f>
        <v>0</v>
      </c>
      <c r="K5200" s="4"/>
      <c r="L5200" s="33" t="str">
        <f>IFERROR(VLOOKUP($J5200,'Informations sur les produits'!$A$3:$H$10000,8,FALSE),"0")</f>
        <v>0</v>
      </c>
      <c r="N5200" s="8"/>
      <c r="O5200" s="33" t="str">
        <f>IFERROR(VLOOKUP($M5200,'Informations sur les produits'!$A$3:$H$10000,8,FALSE),"0")</f>
        <v>0</v>
      </c>
      <c r="P5200" s="33">
        <f t="shared" si="324"/>
        <v>0</v>
      </c>
      <c r="Q5200" s="31" t="str">
        <f t="shared" si="325"/>
        <v/>
      </c>
      <c r="R5200" s="32" t="str">
        <f>IFERROR(VLOOKUP($D5200,'Informations sur les produits'!$A$3:$B$15000,2,FALSE),"")</f>
        <v/>
      </c>
      <c r="V5200">
        <f t="shared" si="326"/>
        <v>0</v>
      </c>
      <c r="W5200">
        <f t="shared" si="327"/>
        <v>0</v>
      </c>
    </row>
    <row r="5201" spans="5:23" x14ac:dyDescent="0.25">
      <c r="E5201" s="4"/>
      <c r="F5201" s="4"/>
      <c r="G5201" s="33" t="str">
        <f>IFERROR(VLOOKUP($D5201,'Informations sur les produits'!$A$3:$H$10000,8,FALSE),"0")</f>
        <v>0</v>
      </c>
      <c r="K5201" s="4"/>
      <c r="L5201" s="33" t="str">
        <f>IFERROR(VLOOKUP($J5201,'Informations sur les produits'!$A$3:$H$10000,8,FALSE),"0")</f>
        <v>0</v>
      </c>
      <c r="N5201" s="8"/>
      <c r="O5201" s="33" t="str">
        <f>IFERROR(VLOOKUP($M5201,'Informations sur les produits'!$A$3:$H$10000,8,FALSE),"0")</f>
        <v>0</v>
      </c>
      <c r="P5201" s="33">
        <f t="shared" si="324"/>
        <v>0</v>
      </c>
      <c r="Q5201" s="31" t="str">
        <f t="shared" si="325"/>
        <v/>
      </c>
      <c r="R5201" s="32" t="str">
        <f>IFERROR(VLOOKUP($D5201,'Informations sur les produits'!$A$3:$B$15000,2,FALSE),"")</f>
        <v/>
      </c>
      <c r="V5201">
        <f t="shared" si="326"/>
        <v>0</v>
      </c>
      <c r="W5201">
        <f t="shared" si="327"/>
        <v>0</v>
      </c>
    </row>
    <row r="5202" spans="5:23" x14ac:dyDescent="0.25">
      <c r="E5202" s="4"/>
      <c r="F5202" s="4"/>
      <c r="G5202" s="33" t="str">
        <f>IFERROR(VLOOKUP($D5202,'Informations sur les produits'!$A$3:$H$10000,8,FALSE),"0")</f>
        <v>0</v>
      </c>
      <c r="K5202" s="4"/>
      <c r="L5202" s="33" t="str">
        <f>IFERROR(VLOOKUP($J5202,'Informations sur les produits'!$A$3:$H$10000,8,FALSE),"0")</f>
        <v>0</v>
      </c>
      <c r="N5202" s="8"/>
      <c r="O5202" s="33" t="str">
        <f>IFERROR(VLOOKUP($M5202,'Informations sur les produits'!$A$3:$H$10000,8,FALSE),"0")</f>
        <v>0</v>
      </c>
      <c r="P5202" s="33">
        <f t="shared" si="324"/>
        <v>0</v>
      </c>
      <c r="Q5202" s="31" t="str">
        <f t="shared" si="325"/>
        <v/>
      </c>
      <c r="R5202" s="32" t="str">
        <f>IFERROR(VLOOKUP($D5202,'Informations sur les produits'!$A$3:$B$15000,2,FALSE),"")</f>
        <v/>
      </c>
      <c r="V5202">
        <f t="shared" si="326"/>
        <v>0</v>
      </c>
      <c r="W5202">
        <f t="shared" si="327"/>
        <v>0</v>
      </c>
    </row>
    <row r="5203" spans="5:23" x14ac:dyDescent="0.25">
      <c r="E5203" s="4"/>
      <c r="F5203" s="4"/>
      <c r="G5203" s="33" t="str">
        <f>IFERROR(VLOOKUP($D5203,'Informations sur les produits'!$A$3:$H$10000,8,FALSE),"0")</f>
        <v>0</v>
      </c>
      <c r="K5203" s="4"/>
      <c r="L5203" s="33" t="str">
        <f>IFERROR(VLOOKUP($J5203,'Informations sur les produits'!$A$3:$H$10000,8,FALSE),"0")</f>
        <v>0</v>
      </c>
      <c r="N5203" s="8"/>
      <c r="O5203" s="33" t="str">
        <f>IFERROR(VLOOKUP($M5203,'Informations sur les produits'!$A$3:$H$10000,8,FALSE),"0")</f>
        <v>0</v>
      </c>
      <c r="P5203" s="33">
        <f t="shared" si="324"/>
        <v>0</v>
      </c>
      <c r="Q5203" s="31" t="str">
        <f t="shared" si="325"/>
        <v/>
      </c>
      <c r="R5203" s="32" t="str">
        <f>IFERROR(VLOOKUP($D5203,'Informations sur les produits'!$A$3:$B$15000,2,FALSE),"")</f>
        <v/>
      </c>
      <c r="V5203">
        <f t="shared" si="326"/>
        <v>0</v>
      </c>
      <c r="W5203">
        <f t="shared" si="327"/>
        <v>0</v>
      </c>
    </row>
    <row r="5204" spans="5:23" x14ac:dyDescent="0.25">
      <c r="E5204" s="4"/>
      <c r="F5204" s="4"/>
      <c r="G5204" s="33" t="str">
        <f>IFERROR(VLOOKUP($D5204,'Informations sur les produits'!$A$3:$H$10000,8,FALSE),"0")</f>
        <v>0</v>
      </c>
      <c r="K5204" s="4"/>
      <c r="L5204" s="33" t="str">
        <f>IFERROR(VLOOKUP($J5204,'Informations sur les produits'!$A$3:$H$10000,8,FALSE),"0")</f>
        <v>0</v>
      </c>
      <c r="N5204" s="8"/>
      <c r="O5204" s="33" t="str">
        <f>IFERROR(VLOOKUP($M5204,'Informations sur les produits'!$A$3:$H$10000,8,FALSE),"0")</f>
        <v>0</v>
      </c>
      <c r="P5204" s="33">
        <f t="shared" si="324"/>
        <v>0</v>
      </c>
      <c r="Q5204" s="31" t="str">
        <f t="shared" si="325"/>
        <v/>
      </c>
      <c r="R5204" s="32" t="str">
        <f>IFERROR(VLOOKUP($D5204,'Informations sur les produits'!$A$3:$B$15000,2,FALSE),"")</f>
        <v/>
      </c>
      <c r="V5204">
        <f t="shared" si="326"/>
        <v>0</v>
      </c>
      <c r="W5204">
        <f t="shared" si="327"/>
        <v>0</v>
      </c>
    </row>
    <row r="5205" spans="5:23" x14ac:dyDescent="0.25">
      <c r="E5205" s="4"/>
      <c r="F5205" s="4"/>
      <c r="G5205" s="33" t="str">
        <f>IFERROR(VLOOKUP($D5205,'Informations sur les produits'!$A$3:$H$10000,8,FALSE),"0")</f>
        <v>0</v>
      </c>
      <c r="K5205" s="4"/>
      <c r="L5205" s="33" t="str">
        <f>IFERROR(VLOOKUP($J5205,'Informations sur les produits'!$A$3:$H$10000,8,FALSE),"0")</f>
        <v>0</v>
      </c>
      <c r="N5205" s="8"/>
      <c r="O5205" s="33" t="str">
        <f>IFERROR(VLOOKUP($M5205,'Informations sur les produits'!$A$3:$H$10000,8,FALSE),"0")</f>
        <v>0</v>
      </c>
      <c r="P5205" s="33">
        <f t="shared" si="324"/>
        <v>0</v>
      </c>
      <c r="Q5205" s="31" t="str">
        <f t="shared" si="325"/>
        <v/>
      </c>
      <c r="R5205" s="32" t="str">
        <f>IFERROR(VLOOKUP($D5205,'Informations sur les produits'!$A$3:$B$15000,2,FALSE),"")</f>
        <v/>
      </c>
      <c r="V5205">
        <f t="shared" si="326"/>
        <v>0</v>
      </c>
      <c r="W5205">
        <f t="shared" si="327"/>
        <v>0</v>
      </c>
    </row>
    <row r="5206" spans="5:23" x14ac:dyDescent="0.25">
      <c r="E5206" s="4"/>
      <c r="F5206" s="4"/>
      <c r="G5206" s="33" t="str">
        <f>IFERROR(VLOOKUP($D5206,'Informations sur les produits'!$A$3:$H$10000,8,FALSE),"0")</f>
        <v>0</v>
      </c>
      <c r="K5206" s="4"/>
      <c r="L5206" s="33" t="str">
        <f>IFERROR(VLOOKUP($J5206,'Informations sur les produits'!$A$3:$H$10000,8,FALSE),"0")</f>
        <v>0</v>
      </c>
      <c r="N5206" s="8"/>
      <c r="O5206" s="33" t="str">
        <f>IFERROR(VLOOKUP($M5206,'Informations sur les produits'!$A$3:$H$10000,8,FALSE),"0")</f>
        <v>0</v>
      </c>
      <c r="P5206" s="33">
        <f t="shared" si="324"/>
        <v>0</v>
      </c>
      <c r="Q5206" s="31" t="str">
        <f t="shared" si="325"/>
        <v/>
      </c>
      <c r="R5206" s="32" t="str">
        <f>IFERROR(VLOOKUP($D5206,'Informations sur les produits'!$A$3:$B$15000,2,FALSE),"")</f>
        <v/>
      </c>
      <c r="V5206">
        <f t="shared" si="326"/>
        <v>0</v>
      </c>
      <c r="W5206">
        <f t="shared" si="327"/>
        <v>0</v>
      </c>
    </row>
    <row r="5207" spans="5:23" x14ac:dyDescent="0.25">
      <c r="E5207" s="4"/>
      <c r="F5207" s="4"/>
      <c r="G5207" s="33" t="str">
        <f>IFERROR(VLOOKUP($D5207,'Informations sur les produits'!$A$3:$H$10000,8,FALSE),"0")</f>
        <v>0</v>
      </c>
      <c r="K5207" s="4"/>
      <c r="L5207" s="33" t="str">
        <f>IFERROR(VLOOKUP($J5207,'Informations sur les produits'!$A$3:$H$10000,8,FALSE),"0")</f>
        <v>0</v>
      </c>
      <c r="N5207" s="8"/>
      <c r="O5207" s="33" t="str">
        <f>IFERROR(VLOOKUP($M5207,'Informations sur les produits'!$A$3:$H$10000,8,FALSE),"0")</f>
        <v>0</v>
      </c>
      <c r="P5207" s="33">
        <f t="shared" si="324"/>
        <v>0</v>
      </c>
      <c r="Q5207" s="31" t="str">
        <f t="shared" si="325"/>
        <v/>
      </c>
      <c r="R5207" s="32" t="str">
        <f>IFERROR(VLOOKUP($D5207,'Informations sur les produits'!$A$3:$B$15000,2,FALSE),"")</f>
        <v/>
      </c>
      <c r="V5207">
        <f t="shared" si="326"/>
        <v>0</v>
      </c>
      <c r="W5207">
        <f t="shared" si="327"/>
        <v>0</v>
      </c>
    </row>
    <row r="5208" spans="5:23" x14ac:dyDescent="0.25">
      <c r="E5208" s="4"/>
      <c r="F5208" s="4"/>
      <c r="G5208" s="33" t="str">
        <f>IFERROR(VLOOKUP($D5208,'Informations sur les produits'!$A$3:$H$10000,8,FALSE),"0")</f>
        <v>0</v>
      </c>
      <c r="K5208" s="4"/>
      <c r="L5208" s="33" t="str">
        <f>IFERROR(VLOOKUP($J5208,'Informations sur les produits'!$A$3:$H$10000,8,FALSE),"0")</f>
        <v>0</v>
      </c>
      <c r="N5208" s="8"/>
      <c r="O5208" s="33" t="str">
        <f>IFERROR(VLOOKUP($M5208,'Informations sur les produits'!$A$3:$H$10000,8,FALSE),"0")</f>
        <v>0</v>
      </c>
      <c r="P5208" s="33">
        <f t="shared" si="324"/>
        <v>0</v>
      </c>
      <c r="Q5208" s="31" t="str">
        <f t="shared" si="325"/>
        <v/>
      </c>
      <c r="R5208" s="32" t="str">
        <f>IFERROR(VLOOKUP($D5208,'Informations sur les produits'!$A$3:$B$15000,2,FALSE),"")</f>
        <v/>
      </c>
      <c r="V5208">
        <f t="shared" si="326"/>
        <v>0</v>
      </c>
      <c r="W5208">
        <f t="shared" si="327"/>
        <v>0</v>
      </c>
    </row>
    <row r="5209" spans="5:23" x14ac:dyDescent="0.25">
      <c r="E5209" s="4"/>
      <c r="F5209" s="4"/>
      <c r="G5209" s="33" t="str">
        <f>IFERROR(VLOOKUP($D5209,'Informations sur les produits'!$A$3:$H$10000,8,FALSE),"0")</f>
        <v>0</v>
      </c>
      <c r="K5209" s="4"/>
      <c r="L5209" s="33" t="str">
        <f>IFERROR(VLOOKUP($J5209,'Informations sur les produits'!$A$3:$H$10000,8,FALSE),"0")</f>
        <v>0</v>
      </c>
      <c r="N5209" s="8"/>
      <c r="O5209" s="33" t="str">
        <f>IFERROR(VLOOKUP($M5209,'Informations sur les produits'!$A$3:$H$10000,8,FALSE),"0")</f>
        <v>0</v>
      </c>
      <c r="P5209" s="33">
        <f t="shared" si="324"/>
        <v>0</v>
      </c>
      <c r="Q5209" s="31" t="str">
        <f t="shared" si="325"/>
        <v/>
      </c>
      <c r="R5209" s="32" t="str">
        <f>IFERROR(VLOOKUP($D5209,'Informations sur les produits'!$A$3:$B$15000,2,FALSE),"")</f>
        <v/>
      </c>
      <c r="V5209">
        <f t="shared" si="326"/>
        <v>0</v>
      </c>
      <c r="W5209">
        <f t="shared" si="327"/>
        <v>0</v>
      </c>
    </row>
    <row r="5210" spans="5:23" x14ac:dyDescent="0.25">
      <c r="E5210" s="4"/>
      <c r="F5210" s="4"/>
      <c r="G5210" s="33" t="str">
        <f>IFERROR(VLOOKUP($D5210,'Informations sur les produits'!$A$3:$H$10000,8,FALSE),"0")</f>
        <v>0</v>
      </c>
      <c r="K5210" s="4"/>
      <c r="L5210" s="33" t="str">
        <f>IFERROR(VLOOKUP($J5210,'Informations sur les produits'!$A$3:$H$10000,8,FALSE),"0")</f>
        <v>0</v>
      </c>
      <c r="N5210" s="8"/>
      <c r="O5210" s="33" t="str">
        <f>IFERROR(VLOOKUP($M5210,'Informations sur les produits'!$A$3:$H$10000,8,FALSE),"0")</f>
        <v>0</v>
      </c>
      <c r="P5210" s="33">
        <f t="shared" si="324"/>
        <v>0</v>
      </c>
      <c r="Q5210" s="31" t="str">
        <f t="shared" si="325"/>
        <v/>
      </c>
      <c r="R5210" s="32" t="str">
        <f>IFERROR(VLOOKUP($D5210,'Informations sur les produits'!$A$3:$B$15000,2,FALSE),"")</f>
        <v/>
      </c>
      <c r="V5210">
        <f t="shared" si="326"/>
        <v>0</v>
      </c>
      <c r="W5210">
        <f t="shared" si="327"/>
        <v>0</v>
      </c>
    </row>
    <row r="5211" spans="5:23" x14ac:dyDescent="0.25">
      <c r="E5211" s="4"/>
      <c r="F5211" s="4"/>
      <c r="G5211" s="33" t="str">
        <f>IFERROR(VLOOKUP($D5211,'Informations sur les produits'!$A$3:$H$10000,8,FALSE),"0")</f>
        <v>0</v>
      </c>
      <c r="K5211" s="4"/>
      <c r="L5211" s="33" t="str">
        <f>IFERROR(VLOOKUP($J5211,'Informations sur les produits'!$A$3:$H$10000,8,FALSE),"0")</f>
        <v>0</v>
      </c>
      <c r="N5211" s="8"/>
      <c r="O5211" s="33" t="str">
        <f>IFERROR(VLOOKUP($M5211,'Informations sur les produits'!$A$3:$H$10000,8,FALSE),"0")</f>
        <v>0</v>
      </c>
      <c r="P5211" s="33">
        <f t="shared" si="324"/>
        <v>0</v>
      </c>
      <c r="Q5211" s="31" t="str">
        <f t="shared" si="325"/>
        <v/>
      </c>
      <c r="R5211" s="32" t="str">
        <f>IFERROR(VLOOKUP($D5211,'Informations sur les produits'!$A$3:$B$15000,2,FALSE),"")</f>
        <v/>
      </c>
      <c r="V5211">
        <f t="shared" si="326"/>
        <v>0</v>
      </c>
      <c r="W5211">
        <f t="shared" si="327"/>
        <v>0</v>
      </c>
    </row>
    <row r="5212" spans="5:23" x14ac:dyDescent="0.25">
      <c r="E5212" s="4"/>
      <c r="F5212" s="4"/>
      <c r="G5212" s="33" t="str">
        <f>IFERROR(VLOOKUP($D5212,'Informations sur les produits'!$A$3:$H$10000,8,FALSE),"0")</f>
        <v>0</v>
      </c>
      <c r="K5212" s="4"/>
      <c r="L5212" s="33" t="str">
        <f>IFERROR(VLOOKUP($J5212,'Informations sur les produits'!$A$3:$H$10000,8,FALSE),"0")</f>
        <v>0</v>
      </c>
      <c r="N5212" s="8"/>
      <c r="O5212" s="33" t="str">
        <f>IFERROR(VLOOKUP($M5212,'Informations sur les produits'!$A$3:$H$10000,8,FALSE),"0")</f>
        <v>0</v>
      </c>
      <c r="P5212" s="33">
        <f t="shared" si="324"/>
        <v>0</v>
      </c>
      <c r="Q5212" s="31" t="str">
        <f t="shared" si="325"/>
        <v/>
      </c>
      <c r="R5212" s="32" t="str">
        <f>IFERROR(VLOOKUP($D5212,'Informations sur les produits'!$A$3:$B$15000,2,FALSE),"")</f>
        <v/>
      </c>
      <c r="V5212">
        <f t="shared" si="326"/>
        <v>0</v>
      </c>
      <c r="W5212">
        <f t="shared" si="327"/>
        <v>0</v>
      </c>
    </row>
    <row r="5213" spans="5:23" x14ac:dyDescent="0.25">
      <c r="E5213" s="4"/>
      <c r="F5213" s="4"/>
      <c r="G5213" s="33" t="str">
        <f>IFERROR(VLOOKUP($D5213,'Informations sur les produits'!$A$3:$H$10000,8,FALSE),"0")</f>
        <v>0</v>
      </c>
      <c r="K5213" s="4"/>
      <c r="L5213" s="33" t="str">
        <f>IFERROR(VLOOKUP($J5213,'Informations sur les produits'!$A$3:$H$10000,8,FALSE),"0")</f>
        <v>0</v>
      </c>
      <c r="N5213" s="8"/>
      <c r="O5213" s="33" t="str">
        <f>IFERROR(VLOOKUP($M5213,'Informations sur les produits'!$A$3:$H$10000,8,FALSE),"0")</f>
        <v>0</v>
      </c>
      <c r="P5213" s="33">
        <f t="shared" si="324"/>
        <v>0</v>
      </c>
      <c r="Q5213" s="31" t="str">
        <f t="shared" si="325"/>
        <v/>
      </c>
      <c r="R5213" s="32" t="str">
        <f>IFERROR(VLOOKUP($D5213,'Informations sur les produits'!$A$3:$B$15000,2,FALSE),"")</f>
        <v/>
      </c>
      <c r="V5213">
        <f t="shared" si="326"/>
        <v>0</v>
      </c>
      <c r="W5213">
        <f t="shared" si="327"/>
        <v>0</v>
      </c>
    </row>
    <row r="5214" spans="5:23" x14ac:dyDescent="0.25">
      <c r="E5214" s="4"/>
      <c r="F5214" s="4"/>
      <c r="G5214" s="33" t="str">
        <f>IFERROR(VLOOKUP($D5214,'Informations sur les produits'!$A$3:$H$10000,8,FALSE),"0")</f>
        <v>0</v>
      </c>
      <c r="K5214" s="4"/>
      <c r="L5214" s="33" t="str">
        <f>IFERROR(VLOOKUP($J5214,'Informations sur les produits'!$A$3:$H$10000,8,FALSE),"0")</f>
        <v>0</v>
      </c>
      <c r="N5214" s="8"/>
      <c r="O5214" s="33" t="str">
        <f>IFERROR(VLOOKUP($M5214,'Informations sur les produits'!$A$3:$H$10000,8,FALSE),"0")</f>
        <v>0</v>
      </c>
      <c r="P5214" s="33">
        <f t="shared" si="324"/>
        <v>0</v>
      </c>
      <c r="Q5214" s="31" t="str">
        <f t="shared" si="325"/>
        <v/>
      </c>
      <c r="R5214" s="32" t="str">
        <f>IFERROR(VLOOKUP($D5214,'Informations sur les produits'!$A$3:$B$15000,2,FALSE),"")</f>
        <v/>
      </c>
      <c r="V5214">
        <f t="shared" si="326"/>
        <v>0</v>
      </c>
      <c r="W5214">
        <f t="shared" si="327"/>
        <v>0</v>
      </c>
    </row>
    <row r="5215" spans="5:23" x14ac:dyDescent="0.25">
      <c r="E5215" s="4"/>
      <c r="F5215" s="4"/>
      <c r="G5215" s="33" t="str">
        <f>IFERROR(VLOOKUP($D5215,'Informations sur les produits'!$A$3:$H$10000,8,FALSE),"0")</f>
        <v>0</v>
      </c>
      <c r="K5215" s="4"/>
      <c r="L5215" s="33" t="str">
        <f>IFERROR(VLOOKUP($J5215,'Informations sur les produits'!$A$3:$H$10000,8,FALSE),"0")</f>
        <v>0</v>
      </c>
      <c r="N5215" s="8"/>
      <c r="O5215" s="33" t="str">
        <f>IFERROR(VLOOKUP($M5215,'Informations sur les produits'!$A$3:$H$10000,8,FALSE),"0")</f>
        <v>0</v>
      </c>
      <c r="P5215" s="33">
        <f t="shared" si="324"/>
        <v>0</v>
      </c>
      <c r="Q5215" s="31" t="str">
        <f t="shared" si="325"/>
        <v/>
      </c>
      <c r="R5215" s="32" t="str">
        <f>IFERROR(VLOOKUP($D5215,'Informations sur les produits'!$A$3:$B$15000,2,FALSE),"")</f>
        <v/>
      </c>
      <c r="V5215">
        <f t="shared" si="326"/>
        <v>0</v>
      </c>
      <c r="W5215">
        <f t="shared" si="327"/>
        <v>0</v>
      </c>
    </row>
    <row r="5216" spans="5:23" x14ac:dyDescent="0.25">
      <c r="E5216" s="4"/>
      <c r="F5216" s="4"/>
      <c r="G5216" s="33" t="str">
        <f>IFERROR(VLOOKUP($D5216,'Informations sur les produits'!$A$3:$H$10000,8,FALSE),"0")</f>
        <v>0</v>
      </c>
      <c r="K5216" s="4"/>
      <c r="L5216" s="33" t="str">
        <f>IFERROR(VLOOKUP($J5216,'Informations sur les produits'!$A$3:$H$10000,8,FALSE),"0")</f>
        <v>0</v>
      </c>
      <c r="N5216" s="8"/>
      <c r="O5216" s="33" t="str">
        <f>IFERROR(VLOOKUP($M5216,'Informations sur les produits'!$A$3:$H$10000,8,FALSE),"0")</f>
        <v>0</v>
      </c>
      <c r="P5216" s="33">
        <f t="shared" si="324"/>
        <v>0</v>
      </c>
      <c r="Q5216" s="31" t="str">
        <f t="shared" si="325"/>
        <v/>
      </c>
      <c r="R5216" s="32" t="str">
        <f>IFERROR(VLOOKUP($D5216,'Informations sur les produits'!$A$3:$B$15000,2,FALSE),"")</f>
        <v/>
      </c>
      <c r="V5216">
        <f t="shared" si="326"/>
        <v>0</v>
      </c>
      <c r="W5216">
        <f t="shared" si="327"/>
        <v>0</v>
      </c>
    </row>
    <row r="5217" spans="5:23" x14ac:dyDescent="0.25">
      <c r="E5217" s="4"/>
      <c r="F5217" s="4"/>
      <c r="G5217" s="33" t="str">
        <f>IFERROR(VLOOKUP($D5217,'Informations sur les produits'!$A$3:$H$10000,8,FALSE),"0")</f>
        <v>0</v>
      </c>
      <c r="K5217" s="4"/>
      <c r="L5217" s="33" t="str">
        <f>IFERROR(VLOOKUP($J5217,'Informations sur les produits'!$A$3:$H$10000,8,FALSE),"0")</f>
        <v>0</v>
      </c>
      <c r="N5217" s="8"/>
      <c r="O5217" s="33" t="str">
        <f>IFERROR(VLOOKUP($M5217,'Informations sur les produits'!$A$3:$H$10000,8,FALSE),"0")</f>
        <v>0</v>
      </c>
      <c r="P5217" s="33">
        <f t="shared" si="324"/>
        <v>0</v>
      </c>
      <c r="Q5217" s="31" t="str">
        <f t="shared" si="325"/>
        <v/>
      </c>
      <c r="R5217" s="32" t="str">
        <f>IFERROR(VLOOKUP($D5217,'Informations sur les produits'!$A$3:$B$15000,2,FALSE),"")</f>
        <v/>
      </c>
      <c r="V5217">
        <f t="shared" si="326"/>
        <v>0</v>
      </c>
      <c r="W5217">
        <f t="shared" si="327"/>
        <v>0</v>
      </c>
    </row>
    <row r="5218" spans="5:23" x14ac:dyDescent="0.25">
      <c r="E5218" s="4"/>
      <c r="F5218" s="4"/>
      <c r="G5218" s="33" t="str">
        <f>IFERROR(VLOOKUP($D5218,'Informations sur les produits'!$A$3:$H$10000,8,FALSE),"0")</f>
        <v>0</v>
      </c>
      <c r="K5218" s="4"/>
      <c r="L5218" s="33" t="str">
        <f>IFERROR(VLOOKUP($J5218,'Informations sur les produits'!$A$3:$H$10000,8,FALSE),"0")</f>
        <v>0</v>
      </c>
      <c r="N5218" s="8"/>
      <c r="O5218" s="33" t="str">
        <f>IFERROR(VLOOKUP($M5218,'Informations sur les produits'!$A$3:$H$10000,8,FALSE),"0")</f>
        <v>0</v>
      </c>
      <c r="P5218" s="33">
        <f t="shared" si="324"/>
        <v>0</v>
      </c>
      <c r="Q5218" s="31" t="str">
        <f t="shared" si="325"/>
        <v/>
      </c>
      <c r="R5218" s="32" t="str">
        <f>IFERROR(VLOOKUP($D5218,'Informations sur les produits'!$A$3:$B$15000,2,FALSE),"")</f>
        <v/>
      </c>
      <c r="V5218">
        <f t="shared" si="326"/>
        <v>0</v>
      </c>
      <c r="W5218">
        <f t="shared" si="327"/>
        <v>0</v>
      </c>
    </row>
    <row r="5219" spans="5:23" x14ac:dyDescent="0.25">
      <c r="E5219" s="4"/>
      <c r="F5219" s="4"/>
      <c r="G5219" s="33" t="str">
        <f>IFERROR(VLOOKUP($D5219,'Informations sur les produits'!$A$3:$H$10000,8,FALSE),"0")</f>
        <v>0</v>
      </c>
      <c r="K5219" s="4"/>
      <c r="L5219" s="33" t="str">
        <f>IFERROR(VLOOKUP($J5219,'Informations sur les produits'!$A$3:$H$10000,8,FALSE),"0")</f>
        <v>0</v>
      </c>
      <c r="N5219" s="8"/>
      <c r="O5219" s="33" t="str">
        <f>IFERROR(VLOOKUP($M5219,'Informations sur les produits'!$A$3:$H$10000,8,FALSE),"0")</f>
        <v>0</v>
      </c>
      <c r="P5219" s="33">
        <f t="shared" si="324"/>
        <v>0</v>
      </c>
      <c r="Q5219" s="31" t="str">
        <f t="shared" si="325"/>
        <v/>
      </c>
      <c r="R5219" s="32" t="str">
        <f>IFERROR(VLOOKUP($D5219,'Informations sur les produits'!$A$3:$B$15000,2,FALSE),"")</f>
        <v/>
      </c>
      <c r="V5219">
        <f t="shared" si="326"/>
        <v>0</v>
      </c>
      <c r="W5219">
        <f t="shared" si="327"/>
        <v>0</v>
      </c>
    </row>
    <row r="5220" spans="5:23" x14ac:dyDescent="0.25">
      <c r="E5220" s="4"/>
      <c r="F5220" s="4"/>
      <c r="G5220" s="33" t="str">
        <f>IFERROR(VLOOKUP($D5220,'Informations sur les produits'!$A$3:$H$10000,8,FALSE),"0")</f>
        <v>0</v>
      </c>
      <c r="K5220" s="4"/>
      <c r="L5220" s="33" t="str">
        <f>IFERROR(VLOOKUP($J5220,'Informations sur les produits'!$A$3:$H$10000,8,FALSE),"0")</f>
        <v>0</v>
      </c>
      <c r="N5220" s="8"/>
      <c r="O5220" s="33" t="str">
        <f>IFERROR(VLOOKUP($M5220,'Informations sur les produits'!$A$3:$H$10000,8,FALSE),"0")</f>
        <v>0</v>
      </c>
      <c r="P5220" s="33">
        <f t="shared" si="324"/>
        <v>0</v>
      </c>
      <c r="Q5220" s="31" t="str">
        <f t="shared" si="325"/>
        <v/>
      </c>
      <c r="R5220" s="32" t="str">
        <f>IFERROR(VLOOKUP($D5220,'Informations sur les produits'!$A$3:$B$15000,2,FALSE),"")</f>
        <v/>
      </c>
      <c r="V5220">
        <f t="shared" si="326"/>
        <v>0</v>
      </c>
      <c r="W5220">
        <f t="shared" si="327"/>
        <v>0</v>
      </c>
    </row>
    <row r="5221" spans="5:23" x14ac:dyDescent="0.25">
      <c r="E5221" s="4"/>
      <c r="F5221" s="4"/>
      <c r="G5221" s="33" t="str">
        <f>IFERROR(VLOOKUP($D5221,'Informations sur les produits'!$A$3:$H$10000,8,FALSE),"0")</f>
        <v>0</v>
      </c>
      <c r="K5221" s="4"/>
      <c r="L5221" s="33" t="str">
        <f>IFERROR(VLOOKUP($J5221,'Informations sur les produits'!$A$3:$H$10000,8,FALSE),"0")</f>
        <v>0</v>
      </c>
      <c r="N5221" s="8"/>
      <c r="O5221" s="33" t="str">
        <f>IFERROR(VLOOKUP($M5221,'Informations sur les produits'!$A$3:$H$10000,8,FALSE),"0")</f>
        <v>0</v>
      </c>
      <c r="P5221" s="33">
        <f t="shared" si="324"/>
        <v>0</v>
      </c>
      <c r="Q5221" s="31" t="str">
        <f t="shared" si="325"/>
        <v/>
      </c>
      <c r="R5221" s="32" t="str">
        <f>IFERROR(VLOOKUP($D5221,'Informations sur les produits'!$A$3:$B$15000,2,FALSE),"")</f>
        <v/>
      </c>
      <c r="V5221">
        <f t="shared" si="326"/>
        <v>0</v>
      </c>
      <c r="W5221">
        <f t="shared" si="327"/>
        <v>0</v>
      </c>
    </row>
    <row r="5222" spans="5:23" x14ac:dyDescent="0.25">
      <c r="E5222" s="4"/>
      <c r="F5222" s="4"/>
      <c r="G5222" s="33" t="str">
        <f>IFERROR(VLOOKUP($D5222,'Informations sur les produits'!$A$3:$H$10000,8,FALSE),"0")</f>
        <v>0</v>
      </c>
      <c r="K5222" s="4"/>
      <c r="L5222" s="33" t="str">
        <f>IFERROR(VLOOKUP($J5222,'Informations sur les produits'!$A$3:$H$10000,8,FALSE),"0")</f>
        <v>0</v>
      </c>
      <c r="N5222" s="8"/>
      <c r="O5222" s="33" t="str">
        <f>IFERROR(VLOOKUP($M5222,'Informations sur les produits'!$A$3:$H$10000,8,FALSE),"0")</f>
        <v>0</v>
      </c>
      <c r="P5222" s="33">
        <f t="shared" si="324"/>
        <v>0</v>
      </c>
      <c r="Q5222" s="31" t="str">
        <f t="shared" si="325"/>
        <v/>
      </c>
      <c r="R5222" s="32" t="str">
        <f>IFERROR(VLOOKUP($D5222,'Informations sur les produits'!$A$3:$B$15000,2,FALSE),"")</f>
        <v/>
      </c>
      <c r="V5222">
        <f t="shared" si="326"/>
        <v>0</v>
      </c>
      <c r="W5222">
        <f t="shared" si="327"/>
        <v>0</v>
      </c>
    </row>
    <row r="5223" spans="5:23" x14ac:dyDescent="0.25">
      <c r="E5223" s="4"/>
      <c r="F5223" s="4"/>
      <c r="G5223" s="33" t="str">
        <f>IFERROR(VLOOKUP($D5223,'Informations sur les produits'!$A$3:$H$10000,8,FALSE),"0")</f>
        <v>0</v>
      </c>
      <c r="K5223" s="4"/>
      <c r="L5223" s="33" t="str">
        <f>IFERROR(VLOOKUP($J5223,'Informations sur les produits'!$A$3:$H$10000,8,FALSE),"0")</f>
        <v>0</v>
      </c>
      <c r="N5223" s="8"/>
      <c r="O5223" s="33" t="str">
        <f>IFERROR(VLOOKUP($M5223,'Informations sur les produits'!$A$3:$H$10000,8,FALSE),"0")</f>
        <v>0</v>
      </c>
      <c r="P5223" s="33">
        <f t="shared" si="324"/>
        <v>0</v>
      </c>
      <c r="Q5223" s="31" t="str">
        <f t="shared" si="325"/>
        <v/>
      </c>
      <c r="R5223" s="32" t="str">
        <f>IFERROR(VLOOKUP($D5223,'Informations sur les produits'!$A$3:$B$15000,2,FALSE),"")</f>
        <v/>
      </c>
      <c r="V5223">
        <f t="shared" si="326"/>
        <v>0</v>
      </c>
      <c r="W5223">
        <f t="shared" si="327"/>
        <v>0</v>
      </c>
    </row>
    <row r="5224" spans="5:23" x14ac:dyDescent="0.25">
      <c r="E5224" s="4"/>
      <c r="F5224" s="4"/>
      <c r="G5224" s="33" t="str">
        <f>IFERROR(VLOOKUP($D5224,'Informations sur les produits'!$A$3:$H$10000,8,FALSE),"0")</f>
        <v>0</v>
      </c>
      <c r="K5224" s="4"/>
      <c r="L5224" s="33" t="str">
        <f>IFERROR(VLOOKUP($J5224,'Informations sur les produits'!$A$3:$H$10000,8,FALSE),"0")</f>
        <v>0</v>
      </c>
      <c r="N5224" s="8"/>
      <c r="O5224" s="33" t="str">
        <f>IFERROR(VLOOKUP($M5224,'Informations sur les produits'!$A$3:$H$10000,8,FALSE),"0")</f>
        <v>0</v>
      </c>
      <c r="P5224" s="33">
        <f t="shared" si="324"/>
        <v>0</v>
      </c>
      <c r="Q5224" s="31" t="str">
        <f t="shared" si="325"/>
        <v/>
      </c>
      <c r="R5224" s="32" t="str">
        <f>IFERROR(VLOOKUP($D5224,'Informations sur les produits'!$A$3:$B$15000,2,FALSE),"")</f>
        <v/>
      </c>
      <c r="V5224">
        <f t="shared" si="326"/>
        <v>0</v>
      </c>
      <c r="W5224">
        <f t="shared" si="327"/>
        <v>0</v>
      </c>
    </row>
    <row r="5225" spans="5:23" x14ac:dyDescent="0.25">
      <c r="E5225" s="4"/>
      <c r="F5225" s="4"/>
      <c r="G5225" s="33" t="str">
        <f>IFERROR(VLOOKUP($D5225,'Informations sur les produits'!$A$3:$H$10000,8,FALSE),"0")</f>
        <v>0</v>
      </c>
      <c r="K5225" s="4"/>
      <c r="L5225" s="33" t="str">
        <f>IFERROR(VLOOKUP($J5225,'Informations sur les produits'!$A$3:$H$10000,8,FALSE),"0")</f>
        <v>0</v>
      </c>
      <c r="N5225" s="8"/>
      <c r="O5225" s="33" t="str">
        <f>IFERROR(VLOOKUP($M5225,'Informations sur les produits'!$A$3:$H$10000,8,FALSE),"0")</f>
        <v>0</v>
      </c>
      <c r="P5225" s="33">
        <f t="shared" si="324"/>
        <v>0</v>
      </c>
      <c r="Q5225" s="31" t="str">
        <f t="shared" si="325"/>
        <v/>
      </c>
      <c r="R5225" s="32" t="str">
        <f>IFERROR(VLOOKUP($D5225,'Informations sur les produits'!$A$3:$B$15000,2,FALSE),"")</f>
        <v/>
      </c>
      <c r="V5225">
        <f t="shared" si="326"/>
        <v>0</v>
      </c>
      <c r="W5225">
        <f t="shared" si="327"/>
        <v>0</v>
      </c>
    </row>
    <row r="5226" spans="5:23" x14ac:dyDescent="0.25">
      <c r="E5226" s="4"/>
      <c r="F5226" s="4"/>
      <c r="G5226" s="33" t="str">
        <f>IFERROR(VLOOKUP($D5226,'Informations sur les produits'!$A$3:$H$10000,8,FALSE),"0")</f>
        <v>0</v>
      </c>
      <c r="K5226" s="4"/>
      <c r="L5226" s="33" t="str">
        <f>IFERROR(VLOOKUP($J5226,'Informations sur les produits'!$A$3:$H$10000,8,FALSE),"0")</f>
        <v>0</v>
      </c>
      <c r="N5226" s="8"/>
      <c r="O5226" s="33" t="str">
        <f>IFERROR(VLOOKUP($M5226,'Informations sur les produits'!$A$3:$H$10000,8,FALSE),"0")</f>
        <v>0</v>
      </c>
      <c r="P5226" s="33">
        <f t="shared" si="324"/>
        <v>0</v>
      </c>
      <c r="Q5226" s="31" t="str">
        <f t="shared" si="325"/>
        <v/>
      </c>
      <c r="R5226" s="32" t="str">
        <f>IFERROR(VLOOKUP($D5226,'Informations sur les produits'!$A$3:$B$15000,2,FALSE),"")</f>
        <v/>
      </c>
      <c r="V5226">
        <f t="shared" si="326"/>
        <v>0</v>
      </c>
      <c r="W5226">
        <f t="shared" si="327"/>
        <v>0</v>
      </c>
    </row>
    <row r="5227" spans="5:23" x14ac:dyDescent="0.25">
      <c r="E5227" s="4"/>
      <c r="F5227" s="4"/>
      <c r="G5227" s="33" t="str">
        <f>IFERROR(VLOOKUP($D5227,'Informations sur les produits'!$A$3:$H$10000,8,FALSE),"0")</f>
        <v>0</v>
      </c>
      <c r="K5227" s="4"/>
      <c r="L5227" s="33" t="str">
        <f>IFERROR(VLOOKUP($J5227,'Informations sur les produits'!$A$3:$H$10000,8,FALSE),"0")</f>
        <v>0</v>
      </c>
      <c r="N5227" s="8"/>
      <c r="O5227" s="33" t="str">
        <f>IFERROR(VLOOKUP($M5227,'Informations sur les produits'!$A$3:$H$10000,8,FALSE),"0")</f>
        <v>0</v>
      </c>
      <c r="P5227" s="33">
        <f t="shared" si="324"/>
        <v>0</v>
      </c>
      <c r="Q5227" s="31" t="str">
        <f t="shared" si="325"/>
        <v/>
      </c>
      <c r="R5227" s="32" t="str">
        <f>IFERROR(VLOOKUP($D5227,'Informations sur les produits'!$A$3:$B$15000,2,FALSE),"")</f>
        <v/>
      </c>
      <c r="V5227">
        <f t="shared" si="326"/>
        <v>0</v>
      </c>
      <c r="W5227">
        <f t="shared" si="327"/>
        <v>0</v>
      </c>
    </row>
    <row r="5228" spans="5:23" x14ac:dyDescent="0.25">
      <c r="E5228" s="4"/>
      <c r="F5228" s="4"/>
      <c r="G5228" s="33" t="str">
        <f>IFERROR(VLOOKUP($D5228,'Informations sur les produits'!$A$3:$H$10000,8,FALSE),"0")</f>
        <v>0</v>
      </c>
      <c r="K5228" s="4"/>
      <c r="L5228" s="33" t="str">
        <f>IFERROR(VLOOKUP($J5228,'Informations sur les produits'!$A$3:$H$10000,8,FALSE),"0")</f>
        <v>0</v>
      </c>
      <c r="N5228" s="8"/>
      <c r="O5228" s="33" t="str">
        <f>IFERROR(VLOOKUP($M5228,'Informations sur les produits'!$A$3:$H$10000,8,FALSE),"0")</f>
        <v>0</v>
      </c>
      <c r="P5228" s="33">
        <f t="shared" si="324"/>
        <v>0</v>
      </c>
      <c r="Q5228" s="31" t="str">
        <f t="shared" si="325"/>
        <v/>
      </c>
      <c r="R5228" s="32" t="str">
        <f>IFERROR(VLOOKUP($D5228,'Informations sur les produits'!$A$3:$B$15000,2,FALSE),"")</f>
        <v/>
      </c>
      <c r="V5228">
        <f t="shared" si="326"/>
        <v>0</v>
      </c>
      <c r="W5228">
        <f t="shared" si="327"/>
        <v>0</v>
      </c>
    </row>
    <row r="5229" spans="5:23" x14ac:dyDescent="0.25">
      <c r="E5229" s="4"/>
      <c r="F5229" s="4"/>
      <c r="G5229" s="33" t="str">
        <f>IFERROR(VLOOKUP($D5229,'Informations sur les produits'!$A$3:$H$10000,8,FALSE),"0")</f>
        <v>0</v>
      </c>
      <c r="K5229" s="4"/>
      <c r="L5229" s="33" t="str">
        <f>IFERROR(VLOOKUP($J5229,'Informations sur les produits'!$A$3:$H$10000,8,FALSE),"0")</f>
        <v>0</v>
      </c>
      <c r="N5229" s="8"/>
      <c r="O5229" s="33" t="str">
        <f>IFERROR(VLOOKUP($M5229,'Informations sur les produits'!$A$3:$H$10000,8,FALSE),"0")</f>
        <v>0</v>
      </c>
      <c r="P5229" s="33">
        <f t="shared" si="324"/>
        <v>0</v>
      </c>
      <c r="Q5229" s="31" t="str">
        <f t="shared" si="325"/>
        <v/>
      </c>
      <c r="R5229" s="32" t="str">
        <f>IFERROR(VLOOKUP($D5229,'Informations sur les produits'!$A$3:$B$15000,2,FALSE),"")</f>
        <v/>
      </c>
      <c r="V5229">
        <f t="shared" si="326"/>
        <v>0</v>
      </c>
      <c r="W5229">
        <f t="shared" si="327"/>
        <v>0</v>
      </c>
    </row>
    <row r="5230" spans="5:23" x14ac:dyDescent="0.25">
      <c r="E5230" s="4"/>
      <c r="F5230" s="4"/>
      <c r="G5230" s="33" t="str">
        <f>IFERROR(VLOOKUP($D5230,'Informations sur les produits'!$A$3:$H$10000,8,FALSE),"0")</f>
        <v>0</v>
      </c>
      <c r="K5230" s="4"/>
      <c r="L5230" s="33" t="str">
        <f>IFERROR(VLOOKUP($J5230,'Informations sur les produits'!$A$3:$H$10000,8,FALSE),"0")</f>
        <v>0</v>
      </c>
      <c r="N5230" s="8"/>
      <c r="O5230" s="33" t="str">
        <f>IFERROR(VLOOKUP($M5230,'Informations sur les produits'!$A$3:$H$10000,8,FALSE),"0")</f>
        <v>0</v>
      </c>
      <c r="P5230" s="33">
        <f t="shared" si="324"/>
        <v>0</v>
      </c>
      <c r="Q5230" s="31" t="str">
        <f t="shared" si="325"/>
        <v/>
      </c>
      <c r="R5230" s="32" t="str">
        <f>IFERROR(VLOOKUP($D5230,'Informations sur les produits'!$A$3:$B$15000,2,FALSE),"")</f>
        <v/>
      </c>
      <c r="V5230">
        <f t="shared" si="326"/>
        <v>0</v>
      </c>
      <c r="W5230">
        <f t="shared" si="327"/>
        <v>0</v>
      </c>
    </row>
    <row r="5231" spans="5:23" x14ac:dyDescent="0.25">
      <c r="E5231" s="4"/>
      <c r="F5231" s="4"/>
      <c r="G5231" s="33" t="str">
        <f>IFERROR(VLOOKUP($D5231,'Informations sur les produits'!$A$3:$H$10000,8,FALSE),"0")</f>
        <v>0</v>
      </c>
      <c r="K5231" s="4"/>
      <c r="L5231" s="33" t="str">
        <f>IFERROR(VLOOKUP($J5231,'Informations sur les produits'!$A$3:$H$10000,8,FALSE),"0")</f>
        <v>0</v>
      </c>
      <c r="N5231" s="8"/>
      <c r="O5231" s="33" t="str">
        <f>IFERROR(VLOOKUP($M5231,'Informations sur les produits'!$A$3:$H$10000,8,FALSE),"0")</f>
        <v>0</v>
      </c>
      <c r="P5231" s="33">
        <f t="shared" si="324"/>
        <v>0</v>
      </c>
      <c r="Q5231" s="31" t="str">
        <f t="shared" si="325"/>
        <v/>
      </c>
      <c r="R5231" s="32" t="str">
        <f>IFERROR(VLOOKUP($D5231,'Informations sur les produits'!$A$3:$B$15000,2,FALSE),"")</f>
        <v/>
      </c>
      <c r="V5231">
        <f t="shared" si="326"/>
        <v>0</v>
      </c>
      <c r="W5231">
        <f t="shared" si="327"/>
        <v>0</v>
      </c>
    </row>
    <row r="5232" spans="5:23" x14ac:dyDescent="0.25">
      <c r="E5232" s="4"/>
      <c r="F5232" s="4"/>
      <c r="G5232" s="33" t="str">
        <f>IFERROR(VLOOKUP($D5232,'Informations sur les produits'!$A$3:$H$10000,8,FALSE),"0")</f>
        <v>0</v>
      </c>
      <c r="K5232" s="4"/>
      <c r="L5232" s="33" t="str">
        <f>IFERROR(VLOOKUP($J5232,'Informations sur les produits'!$A$3:$H$10000,8,FALSE),"0")</f>
        <v>0</v>
      </c>
      <c r="N5232" s="8"/>
      <c r="O5232" s="33" t="str">
        <f>IFERROR(VLOOKUP($M5232,'Informations sur les produits'!$A$3:$H$10000,8,FALSE),"0")</f>
        <v>0</v>
      </c>
      <c r="P5232" s="33">
        <f t="shared" si="324"/>
        <v>0</v>
      </c>
      <c r="Q5232" s="31" t="str">
        <f t="shared" si="325"/>
        <v/>
      </c>
      <c r="R5232" s="32" t="str">
        <f>IFERROR(VLOOKUP($D5232,'Informations sur les produits'!$A$3:$B$15000,2,FALSE),"")</f>
        <v/>
      </c>
      <c r="V5232">
        <f t="shared" si="326"/>
        <v>0</v>
      </c>
      <c r="W5232">
        <f t="shared" si="327"/>
        <v>0</v>
      </c>
    </row>
    <row r="5233" spans="5:23" x14ac:dyDescent="0.25">
      <c r="E5233" s="4"/>
      <c r="F5233" s="4"/>
      <c r="G5233" s="33" t="str">
        <f>IFERROR(VLOOKUP($D5233,'Informations sur les produits'!$A$3:$H$10000,8,FALSE),"0")</f>
        <v>0</v>
      </c>
      <c r="K5233" s="4"/>
      <c r="L5233" s="33" t="str">
        <f>IFERROR(VLOOKUP($J5233,'Informations sur les produits'!$A$3:$H$10000,8,FALSE),"0")</f>
        <v>0</v>
      </c>
      <c r="N5233" s="8"/>
      <c r="O5233" s="33" t="str">
        <f>IFERROR(VLOOKUP($M5233,'Informations sur les produits'!$A$3:$H$10000,8,FALSE),"0")</f>
        <v>0</v>
      </c>
      <c r="P5233" s="33">
        <f t="shared" si="324"/>
        <v>0</v>
      </c>
      <c r="Q5233" s="31" t="str">
        <f t="shared" si="325"/>
        <v/>
      </c>
      <c r="R5233" s="32" t="str">
        <f>IFERROR(VLOOKUP($D5233,'Informations sur les produits'!$A$3:$B$15000,2,FALSE),"")</f>
        <v/>
      </c>
      <c r="V5233">
        <f t="shared" si="326"/>
        <v>0</v>
      </c>
      <c r="W5233">
        <f t="shared" si="327"/>
        <v>0</v>
      </c>
    </row>
    <row r="5234" spans="5:23" x14ac:dyDescent="0.25">
      <c r="E5234" s="4"/>
      <c r="F5234" s="4"/>
      <c r="G5234" s="33" t="str">
        <f>IFERROR(VLOOKUP($D5234,'Informations sur les produits'!$A$3:$H$10000,8,FALSE),"0")</f>
        <v>0</v>
      </c>
      <c r="K5234" s="4"/>
      <c r="L5234" s="33" t="str">
        <f>IFERROR(VLOOKUP($J5234,'Informations sur les produits'!$A$3:$H$10000,8,FALSE),"0")</f>
        <v>0</v>
      </c>
      <c r="N5234" s="8"/>
      <c r="O5234" s="33" t="str">
        <f>IFERROR(VLOOKUP($M5234,'Informations sur les produits'!$A$3:$H$10000,8,FALSE),"0")</f>
        <v>0</v>
      </c>
      <c r="P5234" s="33">
        <f t="shared" si="324"/>
        <v>0</v>
      </c>
      <c r="Q5234" s="31" t="str">
        <f t="shared" si="325"/>
        <v/>
      </c>
      <c r="R5234" s="32" t="str">
        <f>IFERROR(VLOOKUP($D5234,'Informations sur les produits'!$A$3:$B$15000,2,FALSE),"")</f>
        <v/>
      </c>
      <c r="V5234">
        <f t="shared" si="326"/>
        <v>0</v>
      </c>
      <c r="W5234">
        <f t="shared" si="327"/>
        <v>0</v>
      </c>
    </row>
    <row r="5235" spans="5:23" x14ac:dyDescent="0.25">
      <c r="E5235" s="4"/>
      <c r="F5235" s="4"/>
      <c r="G5235" s="33" t="str">
        <f>IFERROR(VLOOKUP($D5235,'Informations sur les produits'!$A$3:$H$10000,8,FALSE),"0")</f>
        <v>0</v>
      </c>
      <c r="K5235" s="4"/>
      <c r="L5235" s="33" t="str">
        <f>IFERROR(VLOOKUP($J5235,'Informations sur les produits'!$A$3:$H$10000,8,FALSE),"0")</f>
        <v>0</v>
      </c>
      <c r="N5235" s="8"/>
      <c r="O5235" s="33" t="str">
        <f>IFERROR(VLOOKUP($M5235,'Informations sur les produits'!$A$3:$H$10000,8,FALSE),"0")</f>
        <v>0</v>
      </c>
      <c r="P5235" s="33">
        <f t="shared" si="324"/>
        <v>0</v>
      </c>
      <c r="Q5235" s="31" t="str">
        <f t="shared" si="325"/>
        <v/>
      </c>
      <c r="R5235" s="32" t="str">
        <f>IFERROR(VLOOKUP($D5235,'Informations sur les produits'!$A$3:$B$15000,2,FALSE),"")</f>
        <v/>
      </c>
      <c r="V5235">
        <f t="shared" si="326"/>
        <v>0</v>
      </c>
      <c r="W5235">
        <f t="shared" si="327"/>
        <v>0</v>
      </c>
    </row>
    <row r="5236" spans="5:23" x14ac:dyDescent="0.25">
      <c r="E5236" s="4"/>
      <c r="F5236" s="4"/>
      <c r="G5236" s="33" t="str">
        <f>IFERROR(VLOOKUP($D5236,'Informations sur les produits'!$A$3:$H$10000,8,FALSE),"0")</f>
        <v>0</v>
      </c>
      <c r="K5236" s="4"/>
      <c r="L5236" s="33" t="str">
        <f>IFERROR(VLOOKUP($J5236,'Informations sur les produits'!$A$3:$H$10000,8,FALSE),"0")</f>
        <v>0</v>
      </c>
      <c r="N5236" s="8"/>
      <c r="O5236" s="33" t="str">
        <f>IFERROR(VLOOKUP($M5236,'Informations sur les produits'!$A$3:$H$10000,8,FALSE),"0")</f>
        <v>0</v>
      </c>
      <c r="P5236" s="33">
        <f t="shared" si="324"/>
        <v>0</v>
      </c>
      <c r="Q5236" s="31" t="str">
        <f t="shared" si="325"/>
        <v/>
      </c>
      <c r="R5236" s="32" t="str">
        <f>IFERROR(VLOOKUP($D5236,'Informations sur les produits'!$A$3:$B$15000,2,FALSE),"")</f>
        <v/>
      </c>
      <c r="V5236">
        <f t="shared" si="326"/>
        <v>0</v>
      </c>
      <c r="W5236">
        <f t="shared" si="327"/>
        <v>0</v>
      </c>
    </row>
    <row r="5237" spans="5:23" x14ac:dyDescent="0.25">
      <c r="E5237" s="4"/>
      <c r="F5237" s="4"/>
      <c r="G5237" s="33" t="str">
        <f>IFERROR(VLOOKUP($D5237,'Informations sur les produits'!$A$3:$H$10000,8,FALSE),"0")</f>
        <v>0</v>
      </c>
      <c r="K5237" s="4"/>
      <c r="L5237" s="33" t="str">
        <f>IFERROR(VLOOKUP($J5237,'Informations sur les produits'!$A$3:$H$10000,8,FALSE),"0")</f>
        <v>0</v>
      </c>
      <c r="N5237" s="8"/>
      <c r="O5237" s="33" t="str">
        <f>IFERROR(VLOOKUP($M5237,'Informations sur les produits'!$A$3:$H$10000,8,FALSE),"0")</f>
        <v>0</v>
      </c>
      <c r="P5237" s="33">
        <f t="shared" si="324"/>
        <v>0</v>
      </c>
      <c r="Q5237" s="31" t="str">
        <f t="shared" si="325"/>
        <v/>
      </c>
      <c r="R5237" s="32" t="str">
        <f>IFERROR(VLOOKUP($D5237,'Informations sur les produits'!$A$3:$B$15000,2,FALSE),"")</f>
        <v/>
      </c>
      <c r="V5237">
        <f t="shared" si="326"/>
        <v>0</v>
      </c>
      <c r="W5237">
        <f t="shared" si="327"/>
        <v>0</v>
      </c>
    </row>
    <row r="5238" spans="5:23" x14ac:dyDescent="0.25">
      <c r="E5238" s="4"/>
      <c r="F5238" s="4"/>
      <c r="G5238" s="33" t="str">
        <f>IFERROR(VLOOKUP($D5238,'Informations sur les produits'!$A$3:$H$10000,8,FALSE),"0")</f>
        <v>0</v>
      </c>
      <c r="K5238" s="4"/>
      <c r="L5238" s="33" t="str">
        <f>IFERROR(VLOOKUP($J5238,'Informations sur les produits'!$A$3:$H$10000,8,FALSE),"0")</f>
        <v>0</v>
      </c>
      <c r="N5238" s="8"/>
      <c r="O5238" s="33" t="str">
        <f>IFERROR(VLOOKUP($M5238,'Informations sur les produits'!$A$3:$H$10000,8,FALSE),"0")</f>
        <v>0</v>
      </c>
      <c r="P5238" s="33">
        <f t="shared" si="324"/>
        <v>0</v>
      </c>
      <c r="Q5238" s="31" t="str">
        <f t="shared" si="325"/>
        <v/>
      </c>
      <c r="R5238" s="32" t="str">
        <f>IFERROR(VLOOKUP($D5238,'Informations sur les produits'!$A$3:$B$15000,2,FALSE),"")</f>
        <v/>
      </c>
      <c r="V5238">
        <f t="shared" si="326"/>
        <v>0</v>
      </c>
      <c r="W5238">
        <f t="shared" si="327"/>
        <v>0</v>
      </c>
    </row>
    <row r="5239" spans="5:23" x14ac:dyDescent="0.25">
      <c r="E5239" s="4"/>
      <c r="F5239" s="4"/>
      <c r="G5239" s="33" t="str">
        <f>IFERROR(VLOOKUP($D5239,'Informations sur les produits'!$A$3:$H$10000,8,FALSE),"0")</f>
        <v>0</v>
      </c>
      <c r="K5239" s="4"/>
      <c r="L5239" s="33" t="str">
        <f>IFERROR(VLOOKUP($J5239,'Informations sur les produits'!$A$3:$H$10000,8,FALSE),"0")</f>
        <v>0</v>
      </c>
      <c r="N5239" s="8"/>
      <c r="O5239" s="33" t="str">
        <f>IFERROR(VLOOKUP($M5239,'Informations sur les produits'!$A$3:$H$10000,8,FALSE),"0")</f>
        <v>0</v>
      </c>
      <c r="P5239" s="33">
        <f t="shared" si="324"/>
        <v>0</v>
      </c>
      <c r="Q5239" s="31" t="str">
        <f t="shared" si="325"/>
        <v/>
      </c>
      <c r="R5239" s="32" t="str">
        <f>IFERROR(VLOOKUP($D5239,'Informations sur les produits'!$A$3:$B$15000,2,FALSE),"")</f>
        <v/>
      </c>
      <c r="V5239">
        <f t="shared" si="326"/>
        <v>0</v>
      </c>
      <c r="W5239">
        <f t="shared" si="327"/>
        <v>0</v>
      </c>
    </row>
    <row r="5240" spans="5:23" x14ac:dyDescent="0.25">
      <c r="E5240" s="4"/>
      <c r="F5240" s="4"/>
      <c r="G5240" s="33" t="str">
        <f>IFERROR(VLOOKUP($D5240,'Informations sur les produits'!$A$3:$H$10000,8,FALSE),"0")</f>
        <v>0</v>
      </c>
      <c r="K5240" s="4"/>
      <c r="L5240" s="33" t="str">
        <f>IFERROR(VLOOKUP($J5240,'Informations sur les produits'!$A$3:$H$10000,8,FALSE),"0")</f>
        <v>0</v>
      </c>
      <c r="N5240" s="8"/>
      <c r="O5240" s="33" t="str">
        <f>IFERROR(VLOOKUP($M5240,'Informations sur les produits'!$A$3:$H$10000,8,FALSE),"0")</f>
        <v>0</v>
      </c>
      <c r="P5240" s="33">
        <f t="shared" si="324"/>
        <v>0</v>
      </c>
      <c r="Q5240" s="31" t="str">
        <f t="shared" si="325"/>
        <v/>
      </c>
      <c r="R5240" s="32" t="str">
        <f>IFERROR(VLOOKUP($D5240,'Informations sur les produits'!$A$3:$B$15000,2,FALSE),"")</f>
        <v/>
      </c>
      <c r="V5240">
        <f t="shared" si="326"/>
        <v>0</v>
      </c>
      <c r="W5240">
        <f t="shared" si="327"/>
        <v>0</v>
      </c>
    </row>
    <row r="5241" spans="5:23" x14ac:dyDescent="0.25">
      <c r="E5241" s="4"/>
      <c r="F5241" s="4"/>
      <c r="G5241" s="33" t="str">
        <f>IFERROR(VLOOKUP($D5241,'Informations sur les produits'!$A$3:$H$10000,8,FALSE),"0")</f>
        <v>0</v>
      </c>
      <c r="K5241" s="4"/>
      <c r="L5241" s="33" t="str">
        <f>IFERROR(VLOOKUP($J5241,'Informations sur les produits'!$A$3:$H$10000,8,FALSE),"0")</f>
        <v>0</v>
      </c>
      <c r="N5241" s="8"/>
      <c r="O5241" s="33" t="str">
        <f>IFERROR(VLOOKUP($M5241,'Informations sur les produits'!$A$3:$H$10000,8,FALSE),"0")</f>
        <v>0</v>
      </c>
      <c r="P5241" s="33">
        <f t="shared" si="324"/>
        <v>0</v>
      </c>
      <c r="Q5241" s="31" t="str">
        <f t="shared" si="325"/>
        <v/>
      </c>
      <c r="R5241" s="32" t="str">
        <f>IFERROR(VLOOKUP($D5241,'Informations sur les produits'!$A$3:$B$15000,2,FALSE),"")</f>
        <v/>
      </c>
      <c r="V5241">
        <f t="shared" si="326"/>
        <v>0</v>
      </c>
      <c r="W5241">
        <f t="shared" si="327"/>
        <v>0</v>
      </c>
    </row>
    <row r="5242" spans="5:23" x14ac:dyDescent="0.25">
      <c r="E5242" s="4"/>
      <c r="F5242" s="4"/>
      <c r="G5242" s="33" t="str">
        <f>IFERROR(VLOOKUP($D5242,'Informations sur les produits'!$A$3:$H$10000,8,FALSE),"0")</f>
        <v>0</v>
      </c>
      <c r="K5242" s="4"/>
      <c r="L5242" s="33" t="str">
        <f>IFERROR(VLOOKUP($J5242,'Informations sur les produits'!$A$3:$H$10000,8,FALSE),"0")</f>
        <v>0</v>
      </c>
      <c r="N5242" s="8"/>
      <c r="O5242" s="33" t="str">
        <f>IFERROR(VLOOKUP($M5242,'Informations sur les produits'!$A$3:$H$10000,8,FALSE),"0")</f>
        <v>0</v>
      </c>
      <c r="P5242" s="33">
        <f t="shared" si="324"/>
        <v>0</v>
      </c>
      <c r="Q5242" s="31" t="str">
        <f t="shared" si="325"/>
        <v/>
      </c>
      <c r="R5242" s="32" t="str">
        <f>IFERROR(VLOOKUP($D5242,'Informations sur les produits'!$A$3:$B$15000,2,FALSE),"")</f>
        <v/>
      </c>
      <c r="V5242">
        <f t="shared" si="326"/>
        <v>0</v>
      </c>
      <c r="W5242">
        <f t="shared" si="327"/>
        <v>0</v>
      </c>
    </row>
    <row r="5243" spans="5:23" x14ac:dyDescent="0.25">
      <c r="E5243" s="4"/>
      <c r="F5243" s="4"/>
      <c r="G5243" s="33" t="str">
        <f>IFERROR(VLOOKUP($D5243,'Informations sur les produits'!$A$3:$H$10000,8,FALSE),"0")</f>
        <v>0</v>
      </c>
      <c r="K5243" s="4"/>
      <c r="L5243" s="33" t="str">
        <f>IFERROR(VLOOKUP($J5243,'Informations sur les produits'!$A$3:$H$10000,8,FALSE),"0")</f>
        <v>0</v>
      </c>
      <c r="N5243" s="8"/>
      <c r="O5243" s="33" t="str">
        <f>IFERROR(VLOOKUP($M5243,'Informations sur les produits'!$A$3:$H$10000,8,FALSE),"0")</f>
        <v>0</v>
      </c>
      <c r="P5243" s="33">
        <f t="shared" si="324"/>
        <v>0</v>
      </c>
      <c r="Q5243" s="31" t="str">
        <f t="shared" si="325"/>
        <v/>
      </c>
      <c r="R5243" s="32" t="str">
        <f>IFERROR(VLOOKUP($D5243,'Informations sur les produits'!$A$3:$B$15000,2,FALSE),"")</f>
        <v/>
      </c>
      <c r="V5243">
        <f t="shared" si="326"/>
        <v>0</v>
      </c>
      <c r="W5243">
        <f t="shared" si="327"/>
        <v>0</v>
      </c>
    </row>
    <row r="5244" spans="5:23" x14ac:dyDescent="0.25">
      <c r="E5244" s="4"/>
      <c r="F5244" s="4"/>
      <c r="G5244" s="33" t="str">
        <f>IFERROR(VLOOKUP($D5244,'Informations sur les produits'!$A$3:$H$10000,8,FALSE),"0")</f>
        <v>0</v>
      </c>
      <c r="K5244" s="4"/>
      <c r="L5244" s="33" t="str">
        <f>IFERROR(VLOOKUP($J5244,'Informations sur les produits'!$A$3:$H$10000,8,FALSE),"0")</f>
        <v>0</v>
      </c>
      <c r="N5244" s="8"/>
      <c r="O5244" s="33" t="str">
        <f>IFERROR(VLOOKUP($M5244,'Informations sur les produits'!$A$3:$H$10000,8,FALSE),"0")</f>
        <v>0</v>
      </c>
      <c r="P5244" s="33">
        <f t="shared" si="324"/>
        <v>0</v>
      </c>
      <c r="Q5244" s="31" t="str">
        <f t="shared" si="325"/>
        <v/>
      </c>
      <c r="R5244" s="32" t="str">
        <f>IFERROR(VLOOKUP($D5244,'Informations sur les produits'!$A$3:$B$15000,2,FALSE),"")</f>
        <v/>
      </c>
      <c r="V5244">
        <f t="shared" si="326"/>
        <v>0</v>
      </c>
      <c r="W5244">
        <f t="shared" si="327"/>
        <v>0</v>
      </c>
    </row>
    <row r="5245" spans="5:23" x14ac:dyDescent="0.25">
      <c r="E5245" s="4"/>
      <c r="F5245" s="4"/>
      <c r="G5245" s="33" t="str">
        <f>IFERROR(VLOOKUP($D5245,'Informations sur les produits'!$A$3:$H$10000,8,FALSE),"0")</f>
        <v>0</v>
      </c>
      <c r="K5245" s="4"/>
      <c r="L5245" s="33" t="str">
        <f>IFERROR(VLOOKUP($J5245,'Informations sur les produits'!$A$3:$H$10000,8,FALSE),"0")</f>
        <v>0</v>
      </c>
      <c r="N5245" s="8"/>
      <c r="O5245" s="33" t="str">
        <f>IFERROR(VLOOKUP($M5245,'Informations sur les produits'!$A$3:$H$10000,8,FALSE),"0")</f>
        <v>0</v>
      </c>
      <c r="P5245" s="33">
        <f t="shared" si="324"/>
        <v>0</v>
      </c>
      <c r="Q5245" s="31" t="str">
        <f t="shared" si="325"/>
        <v/>
      </c>
      <c r="R5245" s="32" t="str">
        <f>IFERROR(VLOOKUP($D5245,'Informations sur les produits'!$A$3:$B$15000,2,FALSE),"")</f>
        <v/>
      </c>
      <c r="V5245">
        <f t="shared" si="326"/>
        <v>0</v>
      </c>
      <c r="W5245">
        <f t="shared" si="327"/>
        <v>0</v>
      </c>
    </row>
    <row r="5246" spans="5:23" x14ac:dyDescent="0.25">
      <c r="E5246" s="4"/>
      <c r="F5246" s="4"/>
      <c r="G5246" s="33" t="str">
        <f>IFERROR(VLOOKUP($D5246,'Informations sur les produits'!$A$3:$H$10000,8,FALSE),"0")</f>
        <v>0</v>
      </c>
      <c r="K5246" s="4"/>
      <c r="L5246" s="33" t="str">
        <f>IFERROR(VLOOKUP($J5246,'Informations sur les produits'!$A$3:$H$10000,8,FALSE),"0")</f>
        <v>0</v>
      </c>
      <c r="N5246" s="8"/>
      <c r="O5246" s="33" t="str">
        <f>IFERROR(VLOOKUP($M5246,'Informations sur les produits'!$A$3:$H$10000,8,FALSE),"0")</f>
        <v>0</v>
      </c>
      <c r="P5246" s="33">
        <f t="shared" si="324"/>
        <v>0</v>
      </c>
      <c r="Q5246" s="31" t="str">
        <f t="shared" si="325"/>
        <v/>
      </c>
      <c r="R5246" s="32" t="str">
        <f>IFERROR(VLOOKUP($D5246,'Informations sur les produits'!$A$3:$B$15000,2,FALSE),"")</f>
        <v/>
      </c>
      <c r="V5246">
        <f t="shared" si="326"/>
        <v>0</v>
      </c>
      <c r="W5246">
        <f t="shared" si="327"/>
        <v>0</v>
      </c>
    </row>
    <row r="5247" spans="5:23" x14ac:dyDescent="0.25">
      <c r="E5247" s="4"/>
      <c r="F5247" s="4"/>
      <c r="G5247" s="33" t="str">
        <f>IFERROR(VLOOKUP($D5247,'Informations sur les produits'!$A$3:$H$10000,8,FALSE),"0")</f>
        <v>0</v>
      </c>
      <c r="K5247" s="4"/>
      <c r="L5247" s="33" t="str">
        <f>IFERROR(VLOOKUP($J5247,'Informations sur les produits'!$A$3:$H$10000,8,FALSE),"0")</f>
        <v>0</v>
      </c>
      <c r="N5247" s="8"/>
      <c r="O5247" s="33" t="str">
        <f>IFERROR(VLOOKUP($M5247,'Informations sur les produits'!$A$3:$H$10000,8,FALSE),"0")</f>
        <v>0</v>
      </c>
      <c r="P5247" s="33">
        <f t="shared" si="324"/>
        <v>0</v>
      </c>
      <c r="Q5247" s="31" t="str">
        <f t="shared" si="325"/>
        <v/>
      </c>
      <c r="R5247" s="32" t="str">
        <f>IFERROR(VLOOKUP($D5247,'Informations sur les produits'!$A$3:$B$15000,2,FALSE),"")</f>
        <v/>
      </c>
      <c r="V5247">
        <f t="shared" si="326"/>
        <v>0</v>
      </c>
      <c r="W5247">
        <f t="shared" si="327"/>
        <v>0</v>
      </c>
    </row>
    <row r="5248" spans="5:23" x14ac:dyDescent="0.25">
      <c r="E5248" s="4"/>
      <c r="F5248" s="4"/>
      <c r="G5248" s="33" t="str">
        <f>IFERROR(VLOOKUP($D5248,'Informations sur les produits'!$A$3:$H$10000,8,FALSE),"0")</f>
        <v>0</v>
      </c>
      <c r="K5248" s="4"/>
      <c r="L5248" s="33" t="str">
        <f>IFERROR(VLOOKUP($J5248,'Informations sur les produits'!$A$3:$H$10000,8,FALSE),"0")</f>
        <v>0</v>
      </c>
      <c r="N5248" s="8"/>
      <c r="O5248" s="33" t="str">
        <f>IFERROR(VLOOKUP($M5248,'Informations sur les produits'!$A$3:$H$10000,8,FALSE),"0")</f>
        <v>0</v>
      </c>
      <c r="P5248" s="33">
        <f t="shared" si="324"/>
        <v>0</v>
      </c>
      <c r="Q5248" s="31" t="str">
        <f t="shared" si="325"/>
        <v/>
      </c>
      <c r="R5248" s="32" t="str">
        <f>IFERROR(VLOOKUP($D5248,'Informations sur les produits'!$A$3:$B$15000,2,FALSE),"")</f>
        <v/>
      </c>
      <c r="V5248">
        <f t="shared" si="326"/>
        <v>0</v>
      </c>
      <c r="W5248">
        <f t="shared" si="327"/>
        <v>0</v>
      </c>
    </row>
    <row r="5249" spans="5:23" x14ac:dyDescent="0.25">
      <c r="E5249" s="4"/>
      <c r="F5249" s="4"/>
      <c r="G5249" s="33" t="str">
        <f>IFERROR(VLOOKUP($D5249,'Informations sur les produits'!$A$3:$H$10000,8,FALSE),"0")</f>
        <v>0</v>
      </c>
      <c r="K5249" s="4"/>
      <c r="L5249" s="33" t="str">
        <f>IFERROR(VLOOKUP($J5249,'Informations sur les produits'!$A$3:$H$10000,8,FALSE),"0")</f>
        <v>0</v>
      </c>
      <c r="N5249" s="8"/>
      <c r="O5249" s="33" t="str">
        <f>IFERROR(VLOOKUP($M5249,'Informations sur les produits'!$A$3:$H$10000,8,FALSE),"0")</f>
        <v>0</v>
      </c>
      <c r="P5249" s="33">
        <f t="shared" si="324"/>
        <v>0</v>
      </c>
      <c r="Q5249" s="31" t="str">
        <f t="shared" si="325"/>
        <v/>
      </c>
      <c r="R5249" s="32" t="str">
        <f>IFERROR(VLOOKUP($D5249,'Informations sur les produits'!$A$3:$B$15000,2,FALSE),"")</f>
        <v/>
      </c>
      <c r="V5249">
        <f t="shared" si="326"/>
        <v>0</v>
      </c>
      <c r="W5249">
        <f t="shared" si="327"/>
        <v>0</v>
      </c>
    </row>
    <row r="5250" spans="5:23" x14ac:dyDescent="0.25">
      <c r="E5250" s="4"/>
      <c r="F5250" s="4"/>
      <c r="G5250" s="33" t="str">
        <f>IFERROR(VLOOKUP($D5250,'Informations sur les produits'!$A$3:$H$10000,8,FALSE),"0")</f>
        <v>0</v>
      </c>
      <c r="K5250" s="4"/>
      <c r="L5250" s="33" t="str">
        <f>IFERROR(VLOOKUP($J5250,'Informations sur les produits'!$A$3:$H$10000,8,FALSE),"0")</f>
        <v>0</v>
      </c>
      <c r="N5250" s="8"/>
      <c r="O5250" s="33" t="str">
        <f>IFERROR(VLOOKUP($M5250,'Informations sur les produits'!$A$3:$H$10000,8,FALSE),"0")</f>
        <v>0</v>
      </c>
      <c r="P5250" s="33">
        <f t="shared" si="324"/>
        <v>0</v>
      </c>
      <c r="Q5250" s="31" t="str">
        <f t="shared" si="325"/>
        <v/>
      </c>
      <c r="R5250" s="32" t="str">
        <f>IFERROR(VLOOKUP($D5250,'Informations sur les produits'!$A$3:$B$15000,2,FALSE),"")</f>
        <v/>
      </c>
      <c r="V5250">
        <f t="shared" si="326"/>
        <v>0</v>
      </c>
      <c r="W5250">
        <f t="shared" si="327"/>
        <v>0</v>
      </c>
    </row>
    <row r="5251" spans="5:23" x14ac:dyDescent="0.25">
      <c r="E5251" s="4"/>
      <c r="F5251" s="4"/>
      <c r="G5251" s="33" t="str">
        <f>IFERROR(VLOOKUP($D5251,'Informations sur les produits'!$A$3:$H$10000,8,FALSE),"0")</f>
        <v>0</v>
      </c>
      <c r="K5251" s="4"/>
      <c r="L5251" s="33" t="str">
        <f>IFERROR(VLOOKUP($J5251,'Informations sur les produits'!$A$3:$H$10000,8,FALSE),"0")</f>
        <v>0</v>
      </c>
      <c r="N5251" s="8"/>
      <c r="O5251" s="33" t="str">
        <f>IFERROR(VLOOKUP($M5251,'Informations sur les produits'!$A$3:$H$10000,8,FALSE),"0")</f>
        <v>0</v>
      </c>
      <c r="P5251" s="33">
        <f t="shared" si="324"/>
        <v>0</v>
      </c>
      <c r="Q5251" s="31" t="str">
        <f t="shared" si="325"/>
        <v/>
      </c>
      <c r="R5251" s="32" t="str">
        <f>IFERROR(VLOOKUP($D5251,'Informations sur les produits'!$A$3:$B$15000,2,FALSE),"")</f>
        <v/>
      </c>
      <c r="V5251">
        <f t="shared" si="326"/>
        <v>0</v>
      </c>
      <c r="W5251">
        <f t="shared" si="327"/>
        <v>0</v>
      </c>
    </row>
    <row r="5252" spans="5:23" x14ac:dyDescent="0.25">
      <c r="E5252" s="4"/>
      <c r="F5252" s="4"/>
      <c r="G5252" s="33" t="str">
        <f>IFERROR(VLOOKUP($D5252,'Informations sur les produits'!$A$3:$H$10000,8,FALSE),"0")</f>
        <v>0</v>
      </c>
      <c r="K5252" s="4"/>
      <c r="L5252" s="33" t="str">
        <f>IFERROR(VLOOKUP($J5252,'Informations sur les produits'!$A$3:$H$10000,8,FALSE),"0")</f>
        <v>0</v>
      </c>
      <c r="N5252" s="8"/>
      <c r="O5252" s="33" t="str">
        <f>IFERROR(VLOOKUP($M5252,'Informations sur les produits'!$A$3:$H$10000,8,FALSE),"0")</f>
        <v>0</v>
      </c>
      <c r="P5252" s="33">
        <f t="shared" ref="P5252:P5315" si="328">IFERROR((($E5252-$F5252)*$G5252+$K5252*$L5252+$N5252*$O5252),"")</f>
        <v>0</v>
      </c>
      <c r="Q5252" s="31" t="str">
        <f t="shared" ref="Q5252:Q5315" si="329">IFERROR((((($E5252-$F5252)*$G5252+$K5252*$L5252+$N5252*$O5252)*1000)/(($E5252-$F5252)+$K5252+$N5252)),"")</f>
        <v/>
      </c>
      <c r="R5252" s="32" t="str">
        <f>IFERROR(VLOOKUP($D5252,'Informations sur les produits'!$A$3:$B$15000,2,FALSE),"")</f>
        <v/>
      </c>
      <c r="V5252">
        <f t="shared" ref="V5252:V5315" si="330">IFERROR(P5252*1000,"")</f>
        <v>0</v>
      </c>
      <c r="W5252">
        <f t="shared" ref="W5252:W5315" si="331">IFERROR(($E5252-$F5252)+$K5252+$N5252,"")</f>
        <v>0</v>
      </c>
    </row>
    <row r="5253" spans="5:23" x14ac:dyDescent="0.25">
      <c r="E5253" s="4"/>
      <c r="F5253" s="4"/>
      <c r="G5253" s="33" t="str">
        <f>IFERROR(VLOOKUP($D5253,'Informations sur les produits'!$A$3:$H$10000,8,FALSE),"0")</f>
        <v>0</v>
      </c>
      <c r="K5253" s="4"/>
      <c r="L5253" s="33" t="str">
        <f>IFERROR(VLOOKUP($J5253,'Informations sur les produits'!$A$3:$H$10000,8,FALSE),"0")</f>
        <v>0</v>
      </c>
      <c r="N5253" s="8"/>
      <c r="O5253" s="33" t="str">
        <f>IFERROR(VLOOKUP($M5253,'Informations sur les produits'!$A$3:$H$10000,8,FALSE),"0")</f>
        <v>0</v>
      </c>
      <c r="P5253" s="33">
        <f t="shared" si="328"/>
        <v>0</v>
      </c>
      <c r="Q5253" s="31" t="str">
        <f t="shared" si="329"/>
        <v/>
      </c>
      <c r="R5253" s="32" t="str">
        <f>IFERROR(VLOOKUP($D5253,'Informations sur les produits'!$A$3:$B$15000,2,FALSE),"")</f>
        <v/>
      </c>
      <c r="V5253">
        <f t="shared" si="330"/>
        <v>0</v>
      </c>
      <c r="W5253">
        <f t="shared" si="331"/>
        <v>0</v>
      </c>
    </row>
    <row r="5254" spans="5:23" x14ac:dyDescent="0.25">
      <c r="E5254" s="4"/>
      <c r="F5254" s="4"/>
      <c r="G5254" s="33" t="str">
        <f>IFERROR(VLOOKUP($D5254,'Informations sur les produits'!$A$3:$H$10000,8,FALSE),"0")</f>
        <v>0</v>
      </c>
      <c r="K5254" s="4"/>
      <c r="L5254" s="33" t="str">
        <f>IFERROR(VLOOKUP($J5254,'Informations sur les produits'!$A$3:$H$10000,8,FALSE),"0")</f>
        <v>0</v>
      </c>
      <c r="N5254" s="8"/>
      <c r="O5254" s="33" t="str">
        <f>IFERROR(VLOOKUP($M5254,'Informations sur les produits'!$A$3:$H$10000,8,FALSE),"0")</f>
        <v>0</v>
      </c>
      <c r="P5254" s="33">
        <f t="shared" si="328"/>
        <v>0</v>
      </c>
      <c r="Q5254" s="31" t="str">
        <f t="shared" si="329"/>
        <v/>
      </c>
      <c r="R5254" s="32" t="str">
        <f>IFERROR(VLOOKUP($D5254,'Informations sur les produits'!$A$3:$B$15000,2,FALSE),"")</f>
        <v/>
      </c>
      <c r="V5254">
        <f t="shared" si="330"/>
        <v>0</v>
      </c>
      <c r="W5254">
        <f t="shared" si="331"/>
        <v>0</v>
      </c>
    </row>
    <row r="5255" spans="5:23" x14ac:dyDescent="0.25">
      <c r="E5255" s="4"/>
      <c r="F5255" s="4"/>
      <c r="G5255" s="33" t="str">
        <f>IFERROR(VLOOKUP($D5255,'Informations sur les produits'!$A$3:$H$10000,8,FALSE),"0")</f>
        <v>0</v>
      </c>
      <c r="K5255" s="4"/>
      <c r="L5255" s="33" t="str">
        <f>IFERROR(VLOOKUP($J5255,'Informations sur les produits'!$A$3:$H$10000,8,FALSE),"0")</f>
        <v>0</v>
      </c>
      <c r="N5255" s="8"/>
      <c r="O5255" s="33" t="str">
        <f>IFERROR(VLOOKUP($M5255,'Informations sur les produits'!$A$3:$H$10000,8,FALSE),"0")</f>
        <v>0</v>
      </c>
      <c r="P5255" s="33">
        <f t="shared" si="328"/>
        <v>0</v>
      </c>
      <c r="Q5255" s="31" t="str">
        <f t="shared" si="329"/>
        <v/>
      </c>
      <c r="R5255" s="32" t="str">
        <f>IFERROR(VLOOKUP($D5255,'Informations sur les produits'!$A$3:$B$15000,2,FALSE),"")</f>
        <v/>
      </c>
      <c r="V5255">
        <f t="shared" si="330"/>
        <v>0</v>
      </c>
      <c r="W5255">
        <f t="shared" si="331"/>
        <v>0</v>
      </c>
    </row>
    <row r="5256" spans="5:23" x14ac:dyDescent="0.25">
      <c r="E5256" s="4"/>
      <c r="F5256" s="4"/>
      <c r="G5256" s="33" t="str">
        <f>IFERROR(VLOOKUP($D5256,'Informations sur les produits'!$A$3:$H$10000,8,FALSE),"0")</f>
        <v>0</v>
      </c>
      <c r="K5256" s="4"/>
      <c r="L5256" s="33" t="str">
        <f>IFERROR(VLOOKUP($J5256,'Informations sur les produits'!$A$3:$H$10000,8,FALSE),"0")</f>
        <v>0</v>
      </c>
      <c r="N5256" s="8"/>
      <c r="O5256" s="33" t="str">
        <f>IFERROR(VLOOKUP($M5256,'Informations sur les produits'!$A$3:$H$10000,8,FALSE),"0")</f>
        <v>0</v>
      </c>
      <c r="P5256" s="33">
        <f t="shared" si="328"/>
        <v>0</v>
      </c>
      <c r="Q5256" s="31" t="str">
        <f t="shared" si="329"/>
        <v/>
      </c>
      <c r="R5256" s="32" t="str">
        <f>IFERROR(VLOOKUP($D5256,'Informations sur les produits'!$A$3:$B$15000,2,FALSE),"")</f>
        <v/>
      </c>
      <c r="V5256">
        <f t="shared" si="330"/>
        <v>0</v>
      </c>
      <c r="W5256">
        <f t="shared" si="331"/>
        <v>0</v>
      </c>
    </row>
    <row r="5257" spans="5:23" x14ac:dyDescent="0.25">
      <c r="E5257" s="4"/>
      <c r="F5257" s="4"/>
      <c r="G5257" s="33" t="str">
        <f>IFERROR(VLOOKUP($D5257,'Informations sur les produits'!$A$3:$H$10000,8,FALSE),"0")</f>
        <v>0</v>
      </c>
      <c r="K5257" s="4"/>
      <c r="L5257" s="33" t="str">
        <f>IFERROR(VLOOKUP($J5257,'Informations sur les produits'!$A$3:$H$10000,8,FALSE),"0")</f>
        <v>0</v>
      </c>
      <c r="N5257" s="8"/>
      <c r="O5257" s="33" t="str">
        <f>IFERROR(VLOOKUP($M5257,'Informations sur les produits'!$A$3:$H$10000,8,FALSE),"0")</f>
        <v>0</v>
      </c>
      <c r="P5257" s="33">
        <f t="shared" si="328"/>
        <v>0</v>
      </c>
      <c r="Q5257" s="31" t="str">
        <f t="shared" si="329"/>
        <v/>
      </c>
      <c r="R5257" s="32" t="str">
        <f>IFERROR(VLOOKUP($D5257,'Informations sur les produits'!$A$3:$B$15000,2,FALSE),"")</f>
        <v/>
      </c>
      <c r="V5257">
        <f t="shared" si="330"/>
        <v>0</v>
      </c>
      <c r="W5257">
        <f t="shared" si="331"/>
        <v>0</v>
      </c>
    </row>
    <row r="5258" spans="5:23" x14ac:dyDescent="0.25">
      <c r="E5258" s="4"/>
      <c r="F5258" s="4"/>
      <c r="G5258" s="33" t="str">
        <f>IFERROR(VLOOKUP($D5258,'Informations sur les produits'!$A$3:$H$10000,8,FALSE),"0")</f>
        <v>0</v>
      </c>
      <c r="K5258" s="4"/>
      <c r="L5258" s="33" t="str">
        <f>IFERROR(VLOOKUP($J5258,'Informations sur les produits'!$A$3:$H$10000,8,FALSE),"0")</f>
        <v>0</v>
      </c>
      <c r="N5258" s="8"/>
      <c r="O5258" s="33" t="str">
        <f>IFERROR(VLOOKUP($M5258,'Informations sur les produits'!$A$3:$H$10000,8,FALSE),"0")</f>
        <v>0</v>
      </c>
      <c r="P5258" s="33">
        <f t="shared" si="328"/>
        <v>0</v>
      </c>
      <c r="Q5258" s="31" t="str">
        <f t="shared" si="329"/>
        <v/>
      </c>
      <c r="R5258" s="32" t="str">
        <f>IFERROR(VLOOKUP($D5258,'Informations sur les produits'!$A$3:$B$15000,2,FALSE),"")</f>
        <v/>
      </c>
      <c r="V5258">
        <f t="shared" si="330"/>
        <v>0</v>
      </c>
      <c r="W5258">
        <f t="shared" si="331"/>
        <v>0</v>
      </c>
    </row>
    <row r="5259" spans="5:23" x14ac:dyDescent="0.25">
      <c r="E5259" s="4"/>
      <c r="F5259" s="4"/>
      <c r="G5259" s="33" t="str">
        <f>IFERROR(VLOOKUP($D5259,'Informations sur les produits'!$A$3:$H$10000,8,FALSE),"0")</f>
        <v>0</v>
      </c>
      <c r="K5259" s="4"/>
      <c r="L5259" s="33" t="str">
        <f>IFERROR(VLOOKUP($J5259,'Informations sur les produits'!$A$3:$H$10000,8,FALSE),"0")</f>
        <v>0</v>
      </c>
      <c r="N5259" s="8"/>
      <c r="O5259" s="33" t="str">
        <f>IFERROR(VLOOKUP($M5259,'Informations sur les produits'!$A$3:$H$10000,8,FALSE),"0")</f>
        <v>0</v>
      </c>
      <c r="P5259" s="33">
        <f t="shared" si="328"/>
        <v>0</v>
      </c>
      <c r="Q5259" s="31" t="str">
        <f t="shared" si="329"/>
        <v/>
      </c>
      <c r="R5259" s="32" t="str">
        <f>IFERROR(VLOOKUP($D5259,'Informations sur les produits'!$A$3:$B$15000,2,FALSE),"")</f>
        <v/>
      </c>
      <c r="V5259">
        <f t="shared" si="330"/>
        <v>0</v>
      </c>
      <c r="W5259">
        <f t="shared" si="331"/>
        <v>0</v>
      </c>
    </row>
    <row r="5260" spans="5:23" x14ac:dyDescent="0.25">
      <c r="E5260" s="4"/>
      <c r="F5260" s="4"/>
      <c r="G5260" s="33" t="str">
        <f>IFERROR(VLOOKUP($D5260,'Informations sur les produits'!$A$3:$H$10000,8,FALSE),"0")</f>
        <v>0</v>
      </c>
      <c r="K5260" s="4"/>
      <c r="L5260" s="33" t="str">
        <f>IFERROR(VLOOKUP($J5260,'Informations sur les produits'!$A$3:$H$10000,8,FALSE),"0")</f>
        <v>0</v>
      </c>
      <c r="N5260" s="8"/>
      <c r="O5260" s="33" t="str">
        <f>IFERROR(VLOOKUP($M5260,'Informations sur les produits'!$A$3:$H$10000,8,FALSE),"0")</f>
        <v>0</v>
      </c>
      <c r="P5260" s="33">
        <f t="shared" si="328"/>
        <v>0</v>
      </c>
      <c r="Q5260" s="31" t="str">
        <f t="shared" si="329"/>
        <v/>
      </c>
      <c r="R5260" s="32" t="str">
        <f>IFERROR(VLOOKUP($D5260,'Informations sur les produits'!$A$3:$B$15000,2,FALSE),"")</f>
        <v/>
      </c>
      <c r="V5260">
        <f t="shared" si="330"/>
        <v>0</v>
      </c>
      <c r="W5260">
        <f t="shared" si="331"/>
        <v>0</v>
      </c>
    </row>
    <row r="5261" spans="5:23" x14ac:dyDescent="0.25">
      <c r="E5261" s="4"/>
      <c r="F5261" s="4"/>
      <c r="G5261" s="33" t="str">
        <f>IFERROR(VLOOKUP($D5261,'Informations sur les produits'!$A$3:$H$10000,8,FALSE),"0")</f>
        <v>0</v>
      </c>
      <c r="K5261" s="4"/>
      <c r="L5261" s="33" t="str">
        <f>IFERROR(VLOOKUP($J5261,'Informations sur les produits'!$A$3:$H$10000,8,FALSE),"0")</f>
        <v>0</v>
      </c>
      <c r="N5261" s="8"/>
      <c r="O5261" s="33" t="str">
        <f>IFERROR(VLOOKUP($M5261,'Informations sur les produits'!$A$3:$H$10000,8,FALSE),"0")</f>
        <v>0</v>
      </c>
      <c r="P5261" s="33">
        <f t="shared" si="328"/>
        <v>0</v>
      </c>
      <c r="Q5261" s="31" t="str">
        <f t="shared" si="329"/>
        <v/>
      </c>
      <c r="R5261" s="32" t="str">
        <f>IFERROR(VLOOKUP($D5261,'Informations sur les produits'!$A$3:$B$15000,2,FALSE),"")</f>
        <v/>
      </c>
      <c r="V5261">
        <f t="shared" si="330"/>
        <v>0</v>
      </c>
      <c r="W5261">
        <f t="shared" si="331"/>
        <v>0</v>
      </c>
    </row>
    <row r="5262" spans="5:23" x14ac:dyDescent="0.25">
      <c r="E5262" s="4"/>
      <c r="F5262" s="4"/>
      <c r="G5262" s="33" t="str">
        <f>IFERROR(VLOOKUP($D5262,'Informations sur les produits'!$A$3:$H$10000,8,FALSE),"0")</f>
        <v>0</v>
      </c>
      <c r="K5262" s="4"/>
      <c r="L5262" s="33" t="str">
        <f>IFERROR(VLOOKUP($J5262,'Informations sur les produits'!$A$3:$H$10000,8,FALSE),"0")</f>
        <v>0</v>
      </c>
      <c r="N5262" s="8"/>
      <c r="O5262" s="33" t="str">
        <f>IFERROR(VLOOKUP($M5262,'Informations sur les produits'!$A$3:$H$10000,8,FALSE),"0")</f>
        <v>0</v>
      </c>
      <c r="P5262" s="33">
        <f t="shared" si="328"/>
        <v>0</v>
      </c>
      <c r="Q5262" s="31" t="str">
        <f t="shared" si="329"/>
        <v/>
      </c>
      <c r="R5262" s="32" t="str">
        <f>IFERROR(VLOOKUP($D5262,'Informations sur les produits'!$A$3:$B$15000,2,FALSE),"")</f>
        <v/>
      </c>
      <c r="V5262">
        <f t="shared" si="330"/>
        <v>0</v>
      </c>
      <c r="W5262">
        <f t="shared" si="331"/>
        <v>0</v>
      </c>
    </row>
    <row r="5263" spans="5:23" x14ac:dyDescent="0.25">
      <c r="E5263" s="4"/>
      <c r="F5263" s="4"/>
      <c r="G5263" s="33" t="str">
        <f>IFERROR(VLOOKUP($D5263,'Informations sur les produits'!$A$3:$H$10000,8,FALSE),"0")</f>
        <v>0</v>
      </c>
      <c r="K5263" s="4"/>
      <c r="L5263" s="33" t="str">
        <f>IFERROR(VLOOKUP($J5263,'Informations sur les produits'!$A$3:$H$10000,8,FALSE),"0")</f>
        <v>0</v>
      </c>
      <c r="N5263" s="8"/>
      <c r="O5263" s="33" t="str">
        <f>IFERROR(VLOOKUP($M5263,'Informations sur les produits'!$A$3:$H$10000,8,FALSE),"0")</f>
        <v>0</v>
      </c>
      <c r="P5263" s="33">
        <f t="shared" si="328"/>
        <v>0</v>
      </c>
      <c r="Q5263" s="31" t="str">
        <f t="shared" si="329"/>
        <v/>
      </c>
      <c r="R5263" s="32" t="str">
        <f>IFERROR(VLOOKUP($D5263,'Informations sur les produits'!$A$3:$B$15000,2,FALSE),"")</f>
        <v/>
      </c>
      <c r="V5263">
        <f t="shared" si="330"/>
        <v>0</v>
      </c>
      <c r="W5263">
        <f t="shared" si="331"/>
        <v>0</v>
      </c>
    </row>
    <row r="5264" spans="5:23" x14ac:dyDescent="0.25">
      <c r="E5264" s="4"/>
      <c r="F5264" s="4"/>
      <c r="G5264" s="33" t="str">
        <f>IFERROR(VLOOKUP($D5264,'Informations sur les produits'!$A$3:$H$10000,8,FALSE),"0")</f>
        <v>0</v>
      </c>
      <c r="K5264" s="4"/>
      <c r="L5264" s="33" t="str">
        <f>IFERROR(VLOOKUP($J5264,'Informations sur les produits'!$A$3:$H$10000,8,FALSE),"0")</f>
        <v>0</v>
      </c>
      <c r="N5264" s="8"/>
      <c r="O5264" s="33" t="str">
        <f>IFERROR(VLOOKUP($M5264,'Informations sur les produits'!$A$3:$H$10000,8,FALSE),"0")</f>
        <v>0</v>
      </c>
      <c r="P5264" s="33">
        <f t="shared" si="328"/>
        <v>0</v>
      </c>
      <c r="Q5264" s="31" t="str">
        <f t="shared" si="329"/>
        <v/>
      </c>
      <c r="R5264" s="32" t="str">
        <f>IFERROR(VLOOKUP($D5264,'Informations sur les produits'!$A$3:$B$15000,2,FALSE),"")</f>
        <v/>
      </c>
      <c r="V5264">
        <f t="shared" si="330"/>
        <v>0</v>
      </c>
      <c r="W5264">
        <f t="shared" si="331"/>
        <v>0</v>
      </c>
    </row>
    <row r="5265" spans="5:23" x14ac:dyDescent="0.25">
      <c r="E5265" s="4"/>
      <c r="F5265" s="4"/>
      <c r="G5265" s="33" t="str">
        <f>IFERROR(VLOOKUP($D5265,'Informations sur les produits'!$A$3:$H$10000,8,FALSE),"0")</f>
        <v>0</v>
      </c>
      <c r="K5265" s="4"/>
      <c r="L5265" s="33" t="str">
        <f>IFERROR(VLOOKUP($J5265,'Informations sur les produits'!$A$3:$H$10000,8,FALSE),"0")</f>
        <v>0</v>
      </c>
      <c r="N5265" s="8"/>
      <c r="O5265" s="33" t="str">
        <f>IFERROR(VLOOKUP($M5265,'Informations sur les produits'!$A$3:$H$10000,8,FALSE),"0")</f>
        <v>0</v>
      </c>
      <c r="P5265" s="33">
        <f t="shared" si="328"/>
        <v>0</v>
      </c>
      <c r="Q5265" s="31" t="str">
        <f t="shared" si="329"/>
        <v/>
      </c>
      <c r="R5265" s="32" t="str">
        <f>IFERROR(VLOOKUP($D5265,'Informations sur les produits'!$A$3:$B$15000,2,FALSE),"")</f>
        <v/>
      </c>
      <c r="V5265">
        <f t="shared" si="330"/>
        <v>0</v>
      </c>
      <c r="W5265">
        <f t="shared" si="331"/>
        <v>0</v>
      </c>
    </row>
    <row r="5266" spans="5:23" x14ac:dyDescent="0.25">
      <c r="E5266" s="4"/>
      <c r="F5266" s="4"/>
      <c r="G5266" s="33" t="str">
        <f>IFERROR(VLOOKUP($D5266,'Informations sur les produits'!$A$3:$H$10000,8,FALSE),"0")</f>
        <v>0</v>
      </c>
      <c r="K5266" s="4"/>
      <c r="L5266" s="33" t="str">
        <f>IFERROR(VLOOKUP($J5266,'Informations sur les produits'!$A$3:$H$10000,8,FALSE),"0")</f>
        <v>0</v>
      </c>
      <c r="N5266" s="8"/>
      <c r="O5266" s="33" t="str">
        <f>IFERROR(VLOOKUP($M5266,'Informations sur les produits'!$A$3:$H$10000,8,FALSE),"0")</f>
        <v>0</v>
      </c>
      <c r="P5266" s="33">
        <f t="shared" si="328"/>
        <v>0</v>
      </c>
      <c r="Q5266" s="31" t="str">
        <f t="shared" si="329"/>
        <v/>
      </c>
      <c r="R5266" s="32" t="str">
        <f>IFERROR(VLOOKUP($D5266,'Informations sur les produits'!$A$3:$B$15000,2,FALSE),"")</f>
        <v/>
      </c>
      <c r="V5266">
        <f t="shared" si="330"/>
        <v>0</v>
      </c>
      <c r="W5266">
        <f t="shared" si="331"/>
        <v>0</v>
      </c>
    </row>
    <row r="5267" spans="5:23" x14ac:dyDescent="0.25">
      <c r="E5267" s="4"/>
      <c r="F5267" s="4"/>
      <c r="G5267" s="33" t="str">
        <f>IFERROR(VLOOKUP($D5267,'Informations sur les produits'!$A$3:$H$10000,8,FALSE),"0")</f>
        <v>0</v>
      </c>
      <c r="K5267" s="4"/>
      <c r="L5267" s="33" t="str">
        <f>IFERROR(VLOOKUP($J5267,'Informations sur les produits'!$A$3:$H$10000,8,FALSE),"0")</f>
        <v>0</v>
      </c>
      <c r="N5267" s="8"/>
      <c r="O5267" s="33" t="str">
        <f>IFERROR(VLOOKUP($M5267,'Informations sur les produits'!$A$3:$H$10000,8,FALSE),"0")</f>
        <v>0</v>
      </c>
      <c r="P5267" s="33">
        <f t="shared" si="328"/>
        <v>0</v>
      </c>
      <c r="Q5267" s="31" t="str">
        <f t="shared" si="329"/>
        <v/>
      </c>
      <c r="R5267" s="32" t="str">
        <f>IFERROR(VLOOKUP($D5267,'Informations sur les produits'!$A$3:$B$15000,2,FALSE),"")</f>
        <v/>
      </c>
      <c r="V5267">
        <f t="shared" si="330"/>
        <v>0</v>
      </c>
      <c r="W5267">
        <f t="shared" si="331"/>
        <v>0</v>
      </c>
    </row>
    <row r="5268" spans="5:23" x14ac:dyDescent="0.25">
      <c r="E5268" s="4"/>
      <c r="F5268" s="4"/>
      <c r="G5268" s="33" t="str">
        <f>IFERROR(VLOOKUP($D5268,'Informations sur les produits'!$A$3:$H$10000,8,FALSE),"0")</f>
        <v>0</v>
      </c>
      <c r="K5268" s="4"/>
      <c r="L5268" s="33" t="str">
        <f>IFERROR(VLOOKUP($J5268,'Informations sur les produits'!$A$3:$H$10000,8,FALSE),"0")</f>
        <v>0</v>
      </c>
      <c r="N5268" s="8"/>
      <c r="O5268" s="33" t="str">
        <f>IFERROR(VLOOKUP($M5268,'Informations sur les produits'!$A$3:$H$10000,8,FALSE),"0")</f>
        <v>0</v>
      </c>
      <c r="P5268" s="33">
        <f t="shared" si="328"/>
        <v>0</v>
      </c>
      <c r="Q5268" s="31" t="str">
        <f t="shared" si="329"/>
        <v/>
      </c>
      <c r="R5268" s="32" t="str">
        <f>IFERROR(VLOOKUP($D5268,'Informations sur les produits'!$A$3:$B$15000,2,FALSE),"")</f>
        <v/>
      </c>
      <c r="V5268">
        <f t="shared" si="330"/>
        <v>0</v>
      </c>
      <c r="W5268">
        <f t="shared" si="331"/>
        <v>0</v>
      </c>
    </row>
    <row r="5269" spans="5:23" x14ac:dyDescent="0.25">
      <c r="E5269" s="4"/>
      <c r="F5269" s="4"/>
      <c r="G5269" s="33" t="str">
        <f>IFERROR(VLOOKUP($D5269,'Informations sur les produits'!$A$3:$H$10000,8,FALSE),"0")</f>
        <v>0</v>
      </c>
      <c r="K5269" s="4"/>
      <c r="L5269" s="33" t="str">
        <f>IFERROR(VLOOKUP($J5269,'Informations sur les produits'!$A$3:$H$10000,8,FALSE),"0")</f>
        <v>0</v>
      </c>
      <c r="N5269" s="8"/>
      <c r="O5269" s="33" t="str">
        <f>IFERROR(VLOOKUP($M5269,'Informations sur les produits'!$A$3:$H$10000,8,FALSE),"0")</f>
        <v>0</v>
      </c>
      <c r="P5269" s="33">
        <f t="shared" si="328"/>
        <v>0</v>
      </c>
      <c r="Q5269" s="31" t="str">
        <f t="shared" si="329"/>
        <v/>
      </c>
      <c r="R5269" s="32" t="str">
        <f>IFERROR(VLOOKUP($D5269,'Informations sur les produits'!$A$3:$B$15000,2,FALSE),"")</f>
        <v/>
      </c>
      <c r="V5269">
        <f t="shared" si="330"/>
        <v>0</v>
      </c>
      <c r="W5269">
        <f t="shared" si="331"/>
        <v>0</v>
      </c>
    </row>
    <row r="5270" spans="5:23" x14ac:dyDescent="0.25">
      <c r="E5270" s="4"/>
      <c r="F5270" s="4"/>
      <c r="G5270" s="33" t="str">
        <f>IFERROR(VLOOKUP($D5270,'Informations sur les produits'!$A$3:$H$10000,8,FALSE),"0")</f>
        <v>0</v>
      </c>
      <c r="K5270" s="4"/>
      <c r="L5270" s="33" t="str">
        <f>IFERROR(VLOOKUP($J5270,'Informations sur les produits'!$A$3:$H$10000,8,FALSE),"0")</f>
        <v>0</v>
      </c>
      <c r="N5270" s="8"/>
      <c r="O5270" s="33" t="str">
        <f>IFERROR(VLOOKUP($M5270,'Informations sur les produits'!$A$3:$H$10000,8,FALSE),"0")</f>
        <v>0</v>
      </c>
      <c r="P5270" s="33">
        <f t="shared" si="328"/>
        <v>0</v>
      </c>
      <c r="Q5270" s="31" t="str">
        <f t="shared" si="329"/>
        <v/>
      </c>
      <c r="R5270" s="32" t="str">
        <f>IFERROR(VLOOKUP($D5270,'Informations sur les produits'!$A$3:$B$15000,2,FALSE),"")</f>
        <v/>
      </c>
      <c r="V5270">
        <f t="shared" si="330"/>
        <v>0</v>
      </c>
      <c r="W5270">
        <f t="shared" si="331"/>
        <v>0</v>
      </c>
    </row>
    <row r="5271" spans="5:23" x14ac:dyDescent="0.25">
      <c r="E5271" s="4"/>
      <c r="F5271" s="4"/>
      <c r="G5271" s="33" t="str">
        <f>IFERROR(VLOOKUP($D5271,'Informations sur les produits'!$A$3:$H$10000,8,FALSE),"0")</f>
        <v>0</v>
      </c>
      <c r="K5271" s="4"/>
      <c r="L5271" s="33" t="str">
        <f>IFERROR(VLOOKUP($J5271,'Informations sur les produits'!$A$3:$H$10000,8,FALSE),"0")</f>
        <v>0</v>
      </c>
      <c r="N5271" s="8"/>
      <c r="O5271" s="33" t="str">
        <f>IFERROR(VLOOKUP($M5271,'Informations sur les produits'!$A$3:$H$10000,8,FALSE),"0")</f>
        <v>0</v>
      </c>
      <c r="P5271" s="33">
        <f t="shared" si="328"/>
        <v>0</v>
      </c>
      <c r="Q5271" s="31" t="str">
        <f t="shared" si="329"/>
        <v/>
      </c>
      <c r="R5271" s="32" t="str">
        <f>IFERROR(VLOOKUP($D5271,'Informations sur les produits'!$A$3:$B$15000,2,FALSE),"")</f>
        <v/>
      </c>
      <c r="V5271">
        <f t="shared" si="330"/>
        <v>0</v>
      </c>
      <c r="W5271">
        <f t="shared" si="331"/>
        <v>0</v>
      </c>
    </row>
    <row r="5272" spans="5:23" x14ac:dyDescent="0.25">
      <c r="E5272" s="4"/>
      <c r="F5272" s="4"/>
      <c r="G5272" s="33" t="str">
        <f>IFERROR(VLOOKUP($D5272,'Informations sur les produits'!$A$3:$H$10000,8,FALSE),"0")</f>
        <v>0</v>
      </c>
      <c r="K5272" s="4"/>
      <c r="L5272" s="33" t="str">
        <f>IFERROR(VLOOKUP($J5272,'Informations sur les produits'!$A$3:$H$10000,8,FALSE),"0")</f>
        <v>0</v>
      </c>
      <c r="N5272" s="8"/>
      <c r="O5272" s="33" t="str">
        <f>IFERROR(VLOOKUP($M5272,'Informations sur les produits'!$A$3:$H$10000,8,FALSE),"0")</f>
        <v>0</v>
      </c>
      <c r="P5272" s="33">
        <f t="shared" si="328"/>
        <v>0</v>
      </c>
      <c r="Q5272" s="31" t="str">
        <f t="shared" si="329"/>
        <v/>
      </c>
      <c r="R5272" s="32" t="str">
        <f>IFERROR(VLOOKUP($D5272,'Informations sur les produits'!$A$3:$B$15000,2,FALSE),"")</f>
        <v/>
      </c>
      <c r="V5272">
        <f t="shared" si="330"/>
        <v>0</v>
      </c>
      <c r="W5272">
        <f t="shared" si="331"/>
        <v>0</v>
      </c>
    </row>
    <row r="5273" spans="5:23" x14ac:dyDescent="0.25">
      <c r="E5273" s="4"/>
      <c r="F5273" s="4"/>
      <c r="G5273" s="33" t="str">
        <f>IFERROR(VLOOKUP($D5273,'Informations sur les produits'!$A$3:$H$10000,8,FALSE),"0")</f>
        <v>0</v>
      </c>
      <c r="K5273" s="4"/>
      <c r="L5273" s="33" t="str">
        <f>IFERROR(VLOOKUP($J5273,'Informations sur les produits'!$A$3:$H$10000,8,FALSE),"0")</f>
        <v>0</v>
      </c>
      <c r="N5273" s="8"/>
      <c r="O5273" s="33" t="str">
        <f>IFERROR(VLOOKUP($M5273,'Informations sur les produits'!$A$3:$H$10000,8,FALSE),"0")</f>
        <v>0</v>
      </c>
      <c r="P5273" s="33">
        <f t="shared" si="328"/>
        <v>0</v>
      </c>
      <c r="Q5273" s="31" t="str">
        <f t="shared" si="329"/>
        <v/>
      </c>
      <c r="R5273" s="32" t="str">
        <f>IFERROR(VLOOKUP($D5273,'Informations sur les produits'!$A$3:$B$15000,2,FALSE),"")</f>
        <v/>
      </c>
      <c r="V5273">
        <f t="shared" si="330"/>
        <v>0</v>
      </c>
      <c r="W5273">
        <f t="shared" si="331"/>
        <v>0</v>
      </c>
    </row>
    <row r="5274" spans="5:23" x14ac:dyDescent="0.25">
      <c r="E5274" s="4"/>
      <c r="F5274" s="4"/>
      <c r="G5274" s="33" t="str">
        <f>IFERROR(VLOOKUP($D5274,'Informations sur les produits'!$A$3:$H$10000,8,FALSE),"0")</f>
        <v>0</v>
      </c>
      <c r="K5274" s="4"/>
      <c r="L5274" s="33" t="str">
        <f>IFERROR(VLOOKUP($J5274,'Informations sur les produits'!$A$3:$H$10000,8,FALSE),"0")</f>
        <v>0</v>
      </c>
      <c r="N5274" s="8"/>
      <c r="O5274" s="33" t="str">
        <f>IFERROR(VLOOKUP($M5274,'Informations sur les produits'!$A$3:$H$10000,8,FALSE),"0")</f>
        <v>0</v>
      </c>
      <c r="P5274" s="33">
        <f t="shared" si="328"/>
        <v>0</v>
      </c>
      <c r="Q5274" s="31" t="str">
        <f t="shared" si="329"/>
        <v/>
      </c>
      <c r="R5274" s="32" t="str">
        <f>IFERROR(VLOOKUP($D5274,'Informations sur les produits'!$A$3:$B$15000,2,FALSE),"")</f>
        <v/>
      </c>
      <c r="V5274">
        <f t="shared" si="330"/>
        <v>0</v>
      </c>
      <c r="W5274">
        <f t="shared" si="331"/>
        <v>0</v>
      </c>
    </row>
    <row r="5275" spans="5:23" x14ac:dyDescent="0.25">
      <c r="E5275" s="4"/>
      <c r="F5275" s="4"/>
      <c r="G5275" s="33" t="str">
        <f>IFERROR(VLOOKUP($D5275,'Informations sur les produits'!$A$3:$H$10000,8,FALSE),"0")</f>
        <v>0</v>
      </c>
      <c r="K5275" s="4"/>
      <c r="L5275" s="33" t="str">
        <f>IFERROR(VLOOKUP($J5275,'Informations sur les produits'!$A$3:$H$10000,8,FALSE),"0")</f>
        <v>0</v>
      </c>
      <c r="N5275" s="8"/>
      <c r="O5275" s="33" t="str">
        <f>IFERROR(VLOOKUP($M5275,'Informations sur les produits'!$A$3:$H$10000,8,FALSE),"0")</f>
        <v>0</v>
      </c>
      <c r="P5275" s="33">
        <f t="shared" si="328"/>
        <v>0</v>
      </c>
      <c r="Q5275" s="31" t="str">
        <f t="shared" si="329"/>
        <v/>
      </c>
      <c r="R5275" s="32" t="str">
        <f>IFERROR(VLOOKUP($D5275,'Informations sur les produits'!$A$3:$B$15000,2,FALSE),"")</f>
        <v/>
      </c>
      <c r="V5275">
        <f t="shared" si="330"/>
        <v>0</v>
      </c>
      <c r="W5275">
        <f t="shared" si="331"/>
        <v>0</v>
      </c>
    </row>
    <row r="5276" spans="5:23" x14ac:dyDescent="0.25">
      <c r="E5276" s="4"/>
      <c r="F5276" s="4"/>
      <c r="G5276" s="33" t="str">
        <f>IFERROR(VLOOKUP($D5276,'Informations sur les produits'!$A$3:$H$10000,8,FALSE),"0")</f>
        <v>0</v>
      </c>
      <c r="K5276" s="4"/>
      <c r="L5276" s="33" t="str">
        <f>IFERROR(VLOOKUP($J5276,'Informations sur les produits'!$A$3:$H$10000,8,FALSE),"0")</f>
        <v>0</v>
      </c>
      <c r="N5276" s="8"/>
      <c r="O5276" s="33" t="str">
        <f>IFERROR(VLOOKUP($M5276,'Informations sur les produits'!$A$3:$H$10000,8,FALSE),"0")</f>
        <v>0</v>
      </c>
      <c r="P5276" s="33">
        <f t="shared" si="328"/>
        <v>0</v>
      </c>
      <c r="Q5276" s="31" t="str">
        <f t="shared" si="329"/>
        <v/>
      </c>
      <c r="R5276" s="32" t="str">
        <f>IFERROR(VLOOKUP($D5276,'Informations sur les produits'!$A$3:$B$15000,2,FALSE),"")</f>
        <v/>
      </c>
      <c r="V5276">
        <f t="shared" si="330"/>
        <v>0</v>
      </c>
      <c r="W5276">
        <f t="shared" si="331"/>
        <v>0</v>
      </c>
    </row>
    <row r="5277" spans="5:23" x14ac:dyDescent="0.25">
      <c r="E5277" s="4"/>
      <c r="F5277" s="4"/>
      <c r="G5277" s="33" t="str">
        <f>IFERROR(VLOOKUP($D5277,'Informations sur les produits'!$A$3:$H$10000,8,FALSE),"0")</f>
        <v>0</v>
      </c>
      <c r="K5277" s="4"/>
      <c r="L5277" s="33" t="str">
        <f>IFERROR(VLOOKUP($J5277,'Informations sur les produits'!$A$3:$H$10000,8,FALSE),"0")</f>
        <v>0</v>
      </c>
      <c r="N5277" s="8"/>
      <c r="O5277" s="33" t="str">
        <f>IFERROR(VLOOKUP($M5277,'Informations sur les produits'!$A$3:$H$10000,8,FALSE),"0")</f>
        <v>0</v>
      </c>
      <c r="P5277" s="33">
        <f t="shared" si="328"/>
        <v>0</v>
      </c>
      <c r="Q5277" s="31" t="str">
        <f t="shared" si="329"/>
        <v/>
      </c>
      <c r="R5277" s="32" t="str">
        <f>IFERROR(VLOOKUP($D5277,'Informations sur les produits'!$A$3:$B$15000,2,FALSE),"")</f>
        <v/>
      </c>
      <c r="V5277">
        <f t="shared" si="330"/>
        <v>0</v>
      </c>
      <c r="W5277">
        <f t="shared" si="331"/>
        <v>0</v>
      </c>
    </row>
    <row r="5278" spans="5:23" x14ac:dyDescent="0.25">
      <c r="E5278" s="4"/>
      <c r="F5278" s="4"/>
      <c r="G5278" s="33" t="str">
        <f>IFERROR(VLOOKUP($D5278,'Informations sur les produits'!$A$3:$H$10000,8,FALSE),"0")</f>
        <v>0</v>
      </c>
      <c r="K5278" s="4"/>
      <c r="L5278" s="33" t="str">
        <f>IFERROR(VLOOKUP($J5278,'Informations sur les produits'!$A$3:$H$10000,8,FALSE),"0")</f>
        <v>0</v>
      </c>
      <c r="N5278" s="8"/>
      <c r="O5278" s="33" t="str">
        <f>IFERROR(VLOOKUP($M5278,'Informations sur les produits'!$A$3:$H$10000,8,FALSE),"0")</f>
        <v>0</v>
      </c>
      <c r="P5278" s="33">
        <f t="shared" si="328"/>
        <v>0</v>
      </c>
      <c r="Q5278" s="31" t="str">
        <f t="shared" si="329"/>
        <v/>
      </c>
      <c r="R5278" s="32" t="str">
        <f>IFERROR(VLOOKUP($D5278,'Informations sur les produits'!$A$3:$B$15000,2,FALSE),"")</f>
        <v/>
      </c>
      <c r="V5278">
        <f t="shared" si="330"/>
        <v>0</v>
      </c>
      <c r="W5278">
        <f t="shared" si="331"/>
        <v>0</v>
      </c>
    </row>
    <row r="5279" spans="5:23" x14ac:dyDescent="0.25">
      <c r="E5279" s="4"/>
      <c r="F5279" s="4"/>
      <c r="G5279" s="33" t="str">
        <f>IFERROR(VLOOKUP($D5279,'Informations sur les produits'!$A$3:$H$10000,8,FALSE),"0")</f>
        <v>0</v>
      </c>
      <c r="K5279" s="4"/>
      <c r="L5279" s="33" t="str">
        <f>IFERROR(VLOOKUP($J5279,'Informations sur les produits'!$A$3:$H$10000,8,FALSE),"0")</f>
        <v>0</v>
      </c>
      <c r="N5279" s="8"/>
      <c r="O5279" s="33" t="str">
        <f>IFERROR(VLOOKUP($M5279,'Informations sur les produits'!$A$3:$H$10000,8,FALSE),"0")</f>
        <v>0</v>
      </c>
      <c r="P5279" s="33">
        <f t="shared" si="328"/>
        <v>0</v>
      </c>
      <c r="Q5279" s="31" t="str">
        <f t="shared" si="329"/>
        <v/>
      </c>
      <c r="R5279" s="32" t="str">
        <f>IFERROR(VLOOKUP($D5279,'Informations sur les produits'!$A$3:$B$15000,2,FALSE),"")</f>
        <v/>
      </c>
      <c r="V5279">
        <f t="shared" si="330"/>
        <v>0</v>
      </c>
      <c r="W5279">
        <f t="shared" si="331"/>
        <v>0</v>
      </c>
    </row>
    <row r="5280" spans="5:23" x14ac:dyDescent="0.25">
      <c r="E5280" s="4"/>
      <c r="F5280" s="4"/>
      <c r="G5280" s="33" t="str">
        <f>IFERROR(VLOOKUP($D5280,'Informations sur les produits'!$A$3:$H$10000,8,FALSE),"0")</f>
        <v>0</v>
      </c>
      <c r="K5280" s="4"/>
      <c r="L5280" s="33" t="str">
        <f>IFERROR(VLOOKUP($J5280,'Informations sur les produits'!$A$3:$H$10000,8,FALSE),"0")</f>
        <v>0</v>
      </c>
      <c r="N5280" s="8"/>
      <c r="O5280" s="33" t="str">
        <f>IFERROR(VLOOKUP($M5280,'Informations sur les produits'!$A$3:$H$10000,8,FALSE),"0")</f>
        <v>0</v>
      </c>
      <c r="P5280" s="33">
        <f t="shared" si="328"/>
        <v>0</v>
      </c>
      <c r="Q5280" s="31" t="str">
        <f t="shared" si="329"/>
        <v/>
      </c>
      <c r="R5280" s="32" t="str">
        <f>IFERROR(VLOOKUP($D5280,'Informations sur les produits'!$A$3:$B$15000,2,FALSE),"")</f>
        <v/>
      </c>
      <c r="V5280">
        <f t="shared" si="330"/>
        <v>0</v>
      </c>
      <c r="W5280">
        <f t="shared" si="331"/>
        <v>0</v>
      </c>
    </row>
    <row r="5281" spans="5:23" x14ac:dyDescent="0.25">
      <c r="E5281" s="4"/>
      <c r="F5281" s="4"/>
      <c r="G5281" s="33" t="str">
        <f>IFERROR(VLOOKUP($D5281,'Informations sur les produits'!$A$3:$H$10000,8,FALSE),"0")</f>
        <v>0</v>
      </c>
      <c r="K5281" s="4"/>
      <c r="L5281" s="33" t="str">
        <f>IFERROR(VLOOKUP($J5281,'Informations sur les produits'!$A$3:$H$10000,8,FALSE),"0")</f>
        <v>0</v>
      </c>
      <c r="N5281" s="8"/>
      <c r="O5281" s="33" t="str">
        <f>IFERROR(VLOOKUP($M5281,'Informations sur les produits'!$A$3:$H$10000,8,FALSE),"0")</f>
        <v>0</v>
      </c>
      <c r="P5281" s="33">
        <f t="shared" si="328"/>
        <v>0</v>
      </c>
      <c r="Q5281" s="31" t="str">
        <f t="shared" si="329"/>
        <v/>
      </c>
      <c r="R5281" s="32" t="str">
        <f>IFERROR(VLOOKUP($D5281,'Informations sur les produits'!$A$3:$B$15000,2,FALSE),"")</f>
        <v/>
      </c>
      <c r="V5281">
        <f t="shared" si="330"/>
        <v>0</v>
      </c>
      <c r="W5281">
        <f t="shared" si="331"/>
        <v>0</v>
      </c>
    </row>
    <row r="5282" spans="5:23" x14ac:dyDescent="0.25">
      <c r="E5282" s="4"/>
      <c r="F5282" s="4"/>
      <c r="G5282" s="33" t="str">
        <f>IFERROR(VLOOKUP($D5282,'Informations sur les produits'!$A$3:$H$10000,8,FALSE),"0")</f>
        <v>0</v>
      </c>
      <c r="K5282" s="4"/>
      <c r="L5282" s="33" t="str">
        <f>IFERROR(VLOOKUP($J5282,'Informations sur les produits'!$A$3:$H$10000,8,FALSE),"0")</f>
        <v>0</v>
      </c>
      <c r="N5282" s="8"/>
      <c r="O5282" s="33" t="str">
        <f>IFERROR(VLOOKUP($M5282,'Informations sur les produits'!$A$3:$H$10000,8,FALSE),"0")</f>
        <v>0</v>
      </c>
      <c r="P5282" s="33">
        <f t="shared" si="328"/>
        <v>0</v>
      </c>
      <c r="Q5282" s="31" t="str">
        <f t="shared" si="329"/>
        <v/>
      </c>
      <c r="R5282" s="32" t="str">
        <f>IFERROR(VLOOKUP($D5282,'Informations sur les produits'!$A$3:$B$15000,2,FALSE),"")</f>
        <v/>
      </c>
      <c r="V5282">
        <f t="shared" si="330"/>
        <v>0</v>
      </c>
      <c r="W5282">
        <f t="shared" si="331"/>
        <v>0</v>
      </c>
    </row>
    <row r="5283" spans="5:23" x14ac:dyDescent="0.25">
      <c r="E5283" s="4"/>
      <c r="F5283" s="4"/>
      <c r="G5283" s="33" t="str">
        <f>IFERROR(VLOOKUP($D5283,'Informations sur les produits'!$A$3:$H$10000,8,FALSE),"0")</f>
        <v>0</v>
      </c>
      <c r="K5283" s="4"/>
      <c r="L5283" s="33" t="str">
        <f>IFERROR(VLOOKUP($J5283,'Informations sur les produits'!$A$3:$H$10000,8,FALSE),"0")</f>
        <v>0</v>
      </c>
      <c r="N5283" s="8"/>
      <c r="O5283" s="33" t="str">
        <f>IFERROR(VLOOKUP($M5283,'Informations sur les produits'!$A$3:$H$10000,8,FALSE),"0")</f>
        <v>0</v>
      </c>
      <c r="P5283" s="33">
        <f t="shared" si="328"/>
        <v>0</v>
      </c>
      <c r="Q5283" s="31" t="str">
        <f t="shared" si="329"/>
        <v/>
      </c>
      <c r="R5283" s="32" t="str">
        <f>IFERROR(VLOOKUP($D5283,'Informations sur les produits'!$A$3:$B$15000,2,FALSE),"")</f>
        <v/>
      </c>
      <c r="V5283">
        <f t="shared" si="330"/>
        <v>0</v>
      </c>
      <c r="W5283">
        <f t="shared" si="331"/>
        <v>0</v>
      </c>
    </row>
    <row r="5284" spans="5:23" x14ac:dyDescent="0.25">
      <c r="E5284" s="4"/>
      <c r="F5284" s="4"/>
      <c r="G5284" s="33" t="str">
        <f>IFERROR(VLOOKUP($D5284,'Informations sur les produits'!$A$3:$H$10000,8,FALSE),"0")</f>
        <v>0</v>
      </c>
      <c r="K5284" s="4"/>
      <c r="L5284" s="33" t="str">
        <f>IFERROR(VLOOKUP($J5284,'Informations sur les produits'!$A$3:$H$10000,8,FALSE),"0")</f>
        <v>0</v>
      </c>
      <c r="N5284" s="8"/>
      <c r="O5284" s="33" t="str">
        <f>IFERROR(VLOOKUP($M5284,'Informations sur les produits'!$A$3:$H$10000,8,FALSE),"0")</f>
        <v>0</v>
      </c>
      <c r="P5284" s="33">
        <f t="shared" si="328"/>
        <v>0</v>
      </c>
      <c r="Q5284" s="31" t="str">
        <f t="shared" si="329"/>
        <v/>
      </c>
      <c r="R5284" s="32" t="str">
        <f>IFERROR(VLOOKUP($D5284,'Informations sur les produits'!$A$3:$B$15000,2,FALSE),"")</f>
        <v/>
      </c>
      <c r="V5284">
        <f t="shared" si="330"/>
        <v>0</v>
      </c>
      <c r="W5284">
        <f t="shared" si="331"/>
        <v>0</v>
      </c>
    </row>
    <row r="5285" spans="5:23" x14ac:dyDescent="0.25">
      <c r="E5285" s="4"/>
      <c r="F5285" s="4"/>
      <c r="G5285" s="33" t="str">
        <f>IFERROR(VLOOKUP($D5285,'Informations sur les produits'!$A$3:$H$10000,8,FALSE),"0")</f>
        <v>0</v>
      </c>
      <c r="K5285" s="4"/>
      <c r="L5285" s="33" t="str">
        <f>IFERROR(VLOOKUP($J5285,'Informations sur les produits'!$A$3:$H$10000,8,FALSE),"0")</f>
        <v>0</v>
      </c>
      <c r="N5285" s="8"/>
      <c r="O5285" s="33" t="str">
        <f>IFERROR(VLOOKUP($M5285,'Informations sur les produits'!$A$3:$H$10000,8,FALSE),"0")</f>
        <v>0</v>
      </c>
      <c r="P5285" s="33">
        <f t="shared" si="328"/>
        <v>0</v>
      </c>
      <c r="Q5285" s="31" t="str">
        <f t="shared" si="329"/>
        <v/>
      </c>
      <c r="R5285" s="32" t="str">
        <f>IFERROR(VLOOKUP($D5285,'Informations sur les produits'!$A$3:$B$15000,2,FALSE),"")</f>
        <v/>
      </c>
      <c r="V5285">
        <f t="shared" si="330"/>
        <v>0</v>
      </c>
      <c r="W5285">
        <f t="shared" si="331"/>
        <v>0</v>
      </c>
    </row>
    <row r="5286" spans="5:23" x14ac:dyDescent="0.25">
      <c r="E5286" s="4"/>
      <c r="F5286" s="4"/>
      <c r="G5286" s="33" t="str">
        <f>IFERROR(VLOOKUP($D5286,'Informations sur les produits'!$A$3:$H$10000,8,FALSE),"0")</f>
        <v>0</v>
      </c>
      <c r="K5286" s="4"/>
      <c r="L5286" s="33" t="str">
        <f>IFERROR(VLOOKUP($J5286,'Informations sur les produits'!$A$3:$H$10000,8,FALSE),"0")</f>
        <v>0</v>
      </c>
      <c r="N5286" s="8"/>
      <c r="O5286" s="33" t="str">
        <f>IFERROR(VLOOKUP($M5286,'Informations sur les produits'!$A$3:$H$10000,8,FALSE),"0")</f>
        <v>0</v>
      </c>
      <c r="P5286" s="33">
        <f t="shared" si="328"/>
        <v>0</v>
      </c>
      <c r="Q5286" s="31" t="str">
        <f t="shared" si="329"/>
        <v/>
      </c>
      <c r="R5286" s="32" t="str">
        <f>IFERROR(VLOOKUP($D5286,'Informations sur les produits'!$A$3:$B$15000,2,FALSE),"")</f>
        <v/>
      </c>
      <c r="V5286">
        <f t="shared" si="330"/>
        <v>0</v>
      </c>
      <c r="W5286">
        <f t="shared" si="331"/>
        <v>0</v>
      </c>
    </row>
    <row r="5287" spans="5:23" x14ac:dyDescent="0.25">
      <c r="E5287" s="4"/>
      <c r="F5287" s="4"/>
      <c r="G5287" s="33" t="str">
        <f>IFERROR(VLOOKUP($D5287,'Informations sur les produits'!$A$3:$H$10000,8,FALSE),"0")</f>
        <v>0</v>
      </c>
      <c r="K5287" s="4"/>
      <c r="L5287" s="33" t="str">
        <f>IFERROR(VLOOKUP($J5287,'Informations sur les produits'!$A$3:$H$10000,8,FALSE),"0")</f>
        <v>0</v>
      </c>
      <c r="N5287" s="8"/>
      <c r="O5287" s="33" t="str">
        <f>IFERROR(VLOOKUP($M5287,'Informations sur les produits'!$A$3:$H$10000,8,FALSE),"0")</f>
        <v>0</v>
      </c>
      <c r="P5287" s="33">
        <f t="shared" si="328"/>
        <v>0</v>
      </c>
      <c r="Q5287" s="31" t="str">
        <f t="shared" si="329"/>
        <v/>
      </c>
      <c r="R5287" s="32" t="str">
        <f>IFERROR(VLOOKUP($D5287,'Informations sur les produits'!$A$3:$B$15000,2,FALSE),"")</f>
        <v/>
      </c>
      <c r="V5287">
        <f t="shared" si="330"/>
        <v>0</v>
      </c>
      <c r="W5287">
        <f t="shared" si="331"/>
        <v>0</v>
      </c>
    </row>
    <row r="5288" spans="5:23" x14ac:dyDescent="0.25">
      <c r="E5288" s="4"/>
      <c r="F5288" s="4"/>
      <c r="G5288" s="33" t="str">
        <f>IFERROR(VLOOKUP($D5288,'Informations sur les produits'!$A$3:$H$10000,8,FALSE),"0")</f>
        <v>0</v>
      </c>
      <c r="K5288" s="4"/>
      <c r="L5288" s="33" t="str">
        <f>IFERROR(VLOOKUP($J5288,'Informations sur les produits'!$A$3:$H$10000,8,FALSE),"0")</f>
        <v>0</v>
      </c>
      <c r="N5288" s="8"/>
      <c r="O5288" s="33" t="str">
        <f>IFERROR(VLOOKUP($M5288,'Informations sur les produits'!$A$3:$H$10000,8,FALSE),"0")</f>
        <v>0</v>
      </c>
      <c r="P5288" s="33">
        <f t="shared" si="328"/>
        <v>0</v>
      </c>
      <c r="Q5288" s="31" t="str">
        <f t="shared" si="329"/>
        <v/>
      </c>
      <c r="R5288" s="32" t="str">
        <f>IFERROR(VLOOKUP($D5288,'Informations sur les produits'!$A$3:$B$15000,2,FALSE),"")</f>
        <v/>
      </c>
      <c r="V5288">
        <f t="shared" si="330"/>
        <v>0</v>
      </c>
      <c r="W5288">
        <f t="shared" si="331"/>
        <v>0</v>
      </c>
    </row>
    <row r="5289" spans="5:23" x14ac:dyDescent="0.25">
      <c r="E5289" s="4"/>
      <c r="F5289" s="4"/>
      <c r="G5289" s="33" t="str">
        <f>IFERROR(VLOOKUP($D5289,'Informations sur les produits'!$A$3:$H$10000,8,FALSE),"0")</f>
        <v>0</v>
      </c>
      <c r="K5289" s="4"/>
      <c r="L5289" s="33" t="str">
        <f>IFERROR(VLOOKUP($J5289,'Informations sur les produits'!$A$3:$H$10000,8,FALSE),"0")</f>
        <v>0</v>
      </c>
      <c r="N5289" s="8"/>
      <c r="O5289" s="33" t="str">
        <f>IFERROR(VLOOKUP($M5289,'Informations sur les produits'!$A$3:$H$10000,8,FALSE),"0")</f>
        <v>0</v>
      </c>
      <c r="P5289" s="33">
        <f t="shared" si="328"/>
        <v>0</v>
      </c>
      <c r="Q5289" s="31" t="str">
        <f t="shared" si="329"/>
        <v/>
      </c>
      <c r="R5289" s="32" t="str">
        <f>IFERROR(VLOOKUP($D5289,'Informations sur les produits'!$A$3:$B$15000,2,FALSE),"")</f>
        <v/>
      </c>
      <c r="V5289">
        <f t="shared" si="330"/>
        <v>0</v>
      </c>
      <c r="W5289">
        <f t="shared" si="331"/>
        <v>0</v>
      </c>
    </row>
    <row r="5290" spans="5:23" x14ac:dyDescent="0.25">
      <c r="E5290" s="4"/>
      <c r="F5290" s="4"/>
      <c r="G5290" s="33" t="str">
        <f>IFERROR(VLOOKUP($D5290,'Informations sur les produits'!$A$3:$H$10000,8,FALSE),"0")</f>
        <v>0</v>
      </c>
      <c r="K5290" s="4"/>
      <c r="L5290" s="33" t="str">
        <f>IFERROR(VLOOKUP($J5290,'Informations sur les produits'!$A$3:$H$10000,8,FALSE),"0")</f>
        <v>0</v>
      </c>
      <c r="N5290" s="8"/>
      <c r="O5290" s="33" t="str">
        <f>IFERROR(VLOOKUP($M5290,'Informations sur les produits'!$A$3:$H$10000,8,FALSE),"0")</f>
        <v>0</v>
      </c>
      <c r="P5290" s="33">
        <f t="shared" si="328"/>
        <v>0</v>
      </c>
      <c r="Q5290" s="31" t="str">
        <f t="shared" si="329"/>
        <v/>
      </c>
      <c r="R5290" s="32" t="str">
        <f>IFERROR(VLOOKUP($D5290,'Informations sur les produits'!$A$3:$B$15000,2,FALSE),"")</f>
        <v/>
      </c>
      <c r="V5290">
        <f t="shared" si="330"/>
        <v>0</v>
      </c>
      <c r="W5290">
        <f t="shared" si="331"/>
        <v>0</v>
      </c>
    </row>
    <row r="5291" spans="5:23" x14ac:dyDescent="0.25">
      <c r="E5291" s="4"/>
      <c r="F5291" s="4"/>
      <c r="G5291" s="33" t="str">
        <f>IFERROR(VLOOKUP($D5291,'Informations sur les produits'!$A$3:$H$10000,8,FALSE),"0")</f>
        <v>0</v>
      </c>
      <c r="K5291" s="4"/>
      <c r="L5291" s="33" t="str">
        <f>IFERROR(VLOOKUP($J5291,'Informations sur les produits'!$A$3:$H$10000,8,FALSE),"0")</f>
        <v>0</v>
      </c>
      <c r="N5291" s="8"/>
      <c r="O5291" s="33" t="str">
        <f>IFERROR(VLOOKUP($M5291,'Informations sur les produits'!$A$3:$H$10000,8,FALSE),"0")</f>
        <v>0</v>
      </c>
      <c r="P5291" s="33">
        <f t="shared" si="328"/>
        <v>0</v>
      </c>
      <c r="Q5291" s="31" t="str">
        <f t="shared" si="329"/>
        <v/>
      </c>
      <c r="R5291" s="32" t="str">
        <f>IFERROR(VLOOKUP($D5291,'Informations sur les produits'!$A$3:$B$15000,2,FALSE),"")</f>
        <v/>
      </c>
      <c r="V5291">
        <f t="shared" si="330"/>
        <v>0</v>
      </c>
      <c r="W5291">
        <f t="shared" si="331"/>
        <v>0</v>
      </c>
    </row>
    <row r="5292" spans="5:23" x14ac:dyDescent="0.25">
      <c r="E5292" s="4"/>
      <c r="F5292" s="4"/>
      <c r="G5292" s="33" t="str">
        <f>IFERROR(VLOOKUP($D5292,'Informations sur les produits'!$A$3:$H$10000,8,FALSE),"0")</f>
        <v>0</v>
      </c>
      <c r="K5292" s="4"/>
      <c r="L5292" s="33" t="str">
        <f>IFERROR(VLOOKUP($J5292,'Informations sur les produits'!$A$3:$H$10000,8,FALSE),"0")</f>
        <v>0</v>
      </c>
      <c r="N5292" s="8"/>
      <c r="O5292" s="33" t="str">
        <f>IFERROR(VLOOKUP($M5292,'Informations sur les produits'!$A$3:$H$10000,8,FALSE),"0")</f>
        <v>0</v>
      </c>
      <c r="P5292" s="33">
        <f t="shared" si="328"/>
        <v>0</v>
      </c>
      <c r="Q5292" s="31" t="str">
        <f t="shared" si="329"/>
        <v/>
      </c>
      <c r="R5292" s="32" t="str">
        <f>IFERROR(VLOOKUP($D5292,'Informations sur les produits'!$A$3:$B$15000,2,FALSE),"")</f>
        <v/>
      </c>
      <c r="V5292">
        <f t="shared" si="330"/>
        <v>0</v>
      </c>
      <c r="W5292">
        <f t="shared" si="331"/>
        <v>0</v>
      </c>
    </row>
    <row r="5293" spans="5:23" x14ac:dyDescent="0.25">
      <c r="E5293" s="4"/>
      <c r="F5293" s="4"/>
      <c r="G5293" s="33" t="str">
        <f>IFERROR(VLOOKUP($D5293,'Informations sur les produits'!$A$3:$H$10000,8,FALSE),"0")</f>
        <v>0</v>
      </c>
      <c r="K5293" s="4"/>
      <c r="L5293" s="33" t="str">
        <f>IFERROR(VLOOKUP($J5293,'Informations sur les produits'!$A$3:$H$10000,8,FALSE),"0")</f>
        <v>0</v>
      </c>
      <c r="N5293" s="8"/>
      <c r="O5293" s="33" t="str">
        <f>IFERROR(VLOOKUP($M5293,'Informations sur les produits'!$A$3:$H$10000,8,FALSE),"0")</f>
        <v>0</v>
      </c>
      <c r="P5293" s="33">
        <f t="shared" si="328"/>
        <v>0</v>
      </c>
      <c r="Q5293" s="31" t="str">
        <f t="shared" si="329"/>
        <v/>
      </c>
      <c r="R5293" s="32" t="str">
        <f>IFERROR(VLOOKUP($D5293,'Informations sur les produits'!$A$3:$B$15000,2,FALSE),"")</f>
        <v/>
      </c>
      <c r="V5293">
        <f t="shared" si="330"/>
        <v>0</v>
      </c>
      <c r="W5293">
        <f t="shared" si="331"/>
        <v>0</v>
      </c>
    </row>
    <row r="5294" spans="5:23" x14ac:dyDescent="0.25">
      <c r="E5294" s="4"/>
      <c r="F5294" s="4"/>
      <c r="G5294" s="33" t="str">
        <f>IFERROR(VLOOKUP($D5294,'Informations sur les produits'!$A$3:$H$10000,8,FALSE),"0")</f>
        <v>0</v>
      </c>
      <c r="K5294" s="4"/>
      <c r="L5294" s="33" t="str">
        <f>IFERROR(VLOOKUP($J5294,'Informations sur les produits'!$A$3:$H$10000,8,FALSE),"0")</f>
        <v>0</v>
      </c>
      <c r="N5294" s="8"/>
      <c r="O5294" s="33" t="str">
        <f>IFERROR(VLOOKUP($M5294,'Informations sur les produits'!$A$3:$H$10000,8,FALSE),"0")</f>
        <v>0</v>
      </c>
      <c r="P5294" s="33">
        <f t="shared" si="328"/>
        <v>0</v>
      </c>
      <c r="Q5294" s="31" t="str">
        <f t="shared" si="329"/>
        <v/>
      </c>
      <c r="R5294" s="32" t="str">
        <f>IFERROR(VLOOKUP($D5294,'Informations sur les produits'!$A$3:$B$15000,2,FALSE),"")</f>
        <v/>
      </c>
      <c r="V5294">
        <f t="shared" si="330"/>
        <v>0</v>
      </c>
      <c r="W5294">
        <f t="shared" si="331"/>
        <v>0</v>
      </c>
    </row>
    <row r="5295" spans="5:23" x14ac:dyDescent="0.25">
      <c r="E5295" s="4"/>
      <c r="F5295" s="4"/>
      <c r="G5295" s="33" t="str">
        <f>IFERROR(VLOOKUP($D5295,'Informations sur les produits'!$A$3:$H$10000,8,FALSE),"0")</f>
        <v>0</v>
      </c>
      <c r="K5295" s="4"/>
      <c r="L5295" s="33" t="str">
        <f>IFERROR(VLOOKUP($J5295,'Informations sur les produits'!$A$3:$H$10000,8,FALSE),"0")</f>
        <v>0</v>
      </c>
      <c r="N5295" s="8"/>
      <c r="O5295" s="33" t="str">
        <f>IFERROR(VLOOKUP($M5295,'Informations sur les produits'!$A$3:$H$10000,8,FALSE),"0")</f>
        <v>0</v>
      </c>
      <c r="P5295" s="33">
        <f t="shared" si="328"/>
        <v>0</v>
      </c>
      <c r="Q5295" s="31" t="str">
        <f t="shared" si="329"/>
        <v/>
      </c>
      <c r="R5295" s="32" t="str">
        <f>IFERROR(VLOOKUP($D5295,'Informations sur les produits'!$A$3:$B$15000,2,FALSE),"")</f>
        <v/>
      </c>
      <c r="V5295">
        <f t="shared" si="330"/>
        <v>0</v>
      </c>
      <c r="W5295">
        <f t="shared" si="331"/>
        <v>0</v>
      </c>
    </row>
    <row r="5296" spans="5:23" x14ac:dyDescent="0.25">
      <c r="E5296" s="4"/>
      <c r="F5296" s="4"/>
      <c r="G5296" s="33" t="str">
        <f>IFERROR(VLOOKUP($D5296,'Informations sur les produits'!$A$3:$H$10000,8,FALSE),"0")</f>
        <v>0</v>
      </c>
      <c r="K5296" s="4"/>
      <c r="L5296" s="33" t="str">
        <f>IFERROR(VLOOKUP($J5296,'Informations sur les produits'!$A$3:$H$10000,8,FALSE),"0")</f>
        <v>0</v>
      </c>
      <c r="N5296" s="8"/>
      <c r="O5296" s="33" t="str">
        <f>IFERROR(VLOOKUP($M5296,'Informations sur les produits'!$A$3:$H$10000,8,FALSE),"0")</f>
        <v>0</v>
      </c>
      <c r="P5296" s="33">
        <f t="shared" si="328"/>
        <v>0</v>
      </c>
      <c r="Q5296" s="31" t="str">
        <f t="shared" si="329"/>
        <v/>
      </c>
      <c r="R5296" s="32" t="str">
        <f>IFERROR(VLOOKUP($D5296,'Informations sur les produits'!$A$3:$B$15000,2,FALSE),"")</f>
        <v/>
      </c>
      <c r="V5296">
        <f t="shared" si="330"/>
        <v>0</v>
      </c>
      <c r="W5296">
        <f t="shared" si="331"/>
        <v>0</v>
      </c>
    </row>
    <row r="5297" spans="5:23" x14ac:dyDescent="0.25">
      <c r="E5297" s="4"/>
      <c r="F5297" s="4"/>
      <c r="G5297" s="33" t="str">
        <f>IFERROR(VLOOKUP($D5297,'Informations sur les produits'!$A$3:$H$10000,8,FALSE),"0")</f>
        <v>0</v>
      </c>
      <c r="K5297" s="4"/>
      <c r="L5297" s="33" t="str">
        <f>IFERROR(VLOOKUP($J5297,'Informations sur les produits'!$A$3:$H$10000,8,FALSE),"0")</f>
        <v>0</v>
      </c>
      <c r="N5297" s="8"/>
      <c r="O5297" s="33" t="str">
        <f>IFERROR(VLOOKUP($M5297,'Informations sur les produits'!$A$3:$H$10000,8,FALSE),"0")</f>
        <v>0</v>
      </c>
      <c r="P5297" s="33">
        <f t="shared" si="328"/>
        <v>0</v>
      </c>
      <c r="Q5297" s="31" t="str">
        <f t="shared" si="329"/>
        <v/>
      </c>
      <c r="R5297" s="32" t="str">
        <f>IFERROR(VLOOKUP($D5297,'Informations sur les produits'!$A$3:$B$15000,2,FALSE),"")</f>
        <v/>
      </c>
      <c r="V5297">
        <f t="shared" si="330"/>
        <v>0</v>
      </c>
      <c r="W5297">
        <f t="shared" si="331"/>
        <v>0</v>
      </c>
    </row>
    <row r="5298" spans="5:23" x14ac:dyDescent="0.25">
      <c r="E5298" s="4"/>
      <c r="F5298" s="4"/>
      <c r="G5298" s="33" t="str">
        <f>IFERROR(VLOOKUP($D5298,'Informations sur les produits'!$A$3:$H$10000,8,FALSE),"0")</f>
        <v>0</v>
      </c>
      <c r="K5298" s="4"/>
      <c r="L5298" s="33" t="str">
        <f>IFERROR(VLOOKUP($J5298,'Informations sur les produits'!$A$3:$H$10000,8,FALSE),"0")</f>
        <v>0</v>
      </c>
      <c r="N5298" s="8"/>
      <c r="O5298" s="33" t="str">
        <f>IFERROR(VLOOKUP($M5298,'Informations sur les produits'!$A$3:$H$10000,8,FALSE),"0")</f>
        <v>0</v>
      </c>
      <c r="P5298" s="33">
        <f t="shared" si="328"/>
        <v>0</v>
      </c>
      <c r="Q5298" s="31" t="str">
        <f t="shared" si="329"/>
        <v/>
      </c>
      <c r="R5298" s="32" t="str">
        <f>IFERROR(VLOOKUP($D5298,'Informations sur les produits'!$A$3:$B$15000,2,FALSE),"")</f>
        <v/>
      </c>
      <c r="V5298">
        <f t="shared" si="330"/>
        <v>0</v>
      </c>
      <c r="W5298">
        <f t="shared" si="331"/>
        <v>0</v>
      </c>
    </row>
    <row r="5299" spans="5:23" x14ac:dyDescent="0.25">
      <c r="E5299" s="4"/>
      <c r="F5299" s="4"/>
      <c r="G5299" s="33" t="str">
        <f>IFERROR(VLOOKUP($D5299,'Informations sur les produits'!$A$3:$H$10000,8,FALSE),"0")</f>
        <v>0</v>
      </c>
      <c r="K5299" s="4"/>
      <c r="L5299" s="33" t="str">
        <f>IFERROR(VLOOKUP($J5299,'Informations sur les produits'!$A$3:$H$10000,8,FALSE),"0")</f>
        <v>0</v>
      </c>
      <c r="N5299" s="8"/>
      <c r="O5299" s="33" t="str">
        <f>IFERROR(VLOOKUP($M5299,'Informations sur les produits'!$A$3:$H$10000,8,FALSE),"0")</f>
        <v>0</v>
      </c>
      <c r="P5299" s="33">
        <f t="shared" si="328"/>
        <v>0</v>
      </c>
      <c r="Q5299" s="31" t="str">
        <f t="shared" si="329"/>
        <v/>
      </c>
      <c r="R5299" s="32" t="str">
        <f>IFERROR(VLOOKUP($D5299,'Informations sur les produits'!$A$3:$B$15000,2,FALSE),"")</f>
        <v/>
      </c>
      <c r="V5299">
        <f t="shared" si="330"/>
        <v>0</v>
      </c>
      <c r="W5299">
        <f t="shared" si="331"/>
        <v>0</v>
      </c>
    </row>
    <row r="5300" spans="5:23" x14ac:dyDescent="0.25">
      <c r="E5300" s="4"/>
      <c r="F5300" s="4"/>
      <c r="G5300" s="33" t="str">
        <f>IFERROR(VLOOKUP($D5300,'Informations sur les produits'!$A$3:$H$10000,8,FALSE),"0")</f>
        <v>0</v>
      </c>
      <c r="K5300" s="4"/>
      <c r="L5300" s="33" t="str">
        <f>IFERROR(VLOOKUP($J5300,'Informations sur les produits'!$A$3:$H$10000,8,FALSE),"0")</f>
        <v>0</v>
      </c>
      <c r="N5300" s="8"/>
      <c r="O5300" s="33" t="str">
        <f>IFERROR(VLOOKUP($M5300,'Informations sur les produits'!$A$3:$H$10000,8,FALSE),"0")</f>
        <v>0</v>
      </c>
      <c r="P5300" s="33">
        <f t="shared" si="328"/>
        <v>0</v>
      </c>
      <c r="Q5300" s="31" t="str">
        <f t="shared" si="329"/>
        <v/>
      </c>
      <c r="R5300" s="32" t="str">
        <f>IFERROR(VLOOKUP($D5300,'Informations sur les produits'!$A$3:$B$15000,2,FALSE),"")</f>
        <v/>
      </c>
      <c r="V5300">
        <f t="shared" si="330"/>
        <v>0</v>
      </c>
      <c r="W5300">
        <f t="shared" si="331"/>
        <v>0</v>
      </c>
    </row>
    <row r="5301" spans="5:23" x14ac:dyDescent="0.25">
      <c r="E5301" s="4"/>
      <c r="F5301" s="4"/>
      <c r="G5301" s="33" t="str">
        <f>IFERROR(VLOOKUP($D5301,'Informations sur les produits'!$A$3:$H$10000,8,FALSE),"0")</f>
        <v>0</v>
      </c>
      <c r="K5301" s="4"/>
      <c r="L5301" s="33" t="str">
        <f>IFERROR(VLOOKUP($J5301,'Informations sur les produits'!$A$3:$H$10000,8,FALSE),"0")</f>
        <v>0</v>
      </c>
      <c r="N5301" s="8"/>
      <c r="O5301" s="33" t="str">
        <f>IFERROR(VLOOKUP($M5301,'Informations sur les produits'!$A$3:$H$10000,8,FALSE),"0")</f>
        <v>0</v>
      </c>
      <c r="P5301" s="33">
        <f t="shared" si="328"/>
        <v>0</v>
      </c>
      <c r="Q5301" s="31" t="str">
        <f t="shared" si="329"/>
        <v/>
      </c>
      <c r="R5301" s="32" t="str">
        <f>IFERROR(VLOOKUP($D5301,'Informations sur les produits'!$A$3:$B$15000,2,FALSE),"")</f>
        <v/>
      </c>
      <c r="V5301">
        <f t="shared" si="330"/>
        <v>0</v>
      </c>
      <c r="W5301">
        <f t="shared" si="331"/>
        <v>0</v>
      </c>
    </row>
    <row r="5302" spans="5:23" x14ac:dyDescent="0.25">
      <c r="E5302" s="4"/>
      <c r="F5302" s="4"/>
      <c r="G5302" s="33" t="str">
        <f>IFERROR(VLOOKUP($D5302,'Informations sur les produits'!$A$3:$H$10000,8,FALSE),"0")</f>
        <v>0</v>
      </c>
      <c r="K5302" s="4"/>
      <c r="L5302" s="33" t="str">
        <f>IFERROR(VLOOKUP($J5302,'Informations sur les produits'!$A$3:$H$10000,8,FALSE),"0")</f>
        <v>0</v>
      </c>
      <c r="N5302" s="8"/>
      <c r="O5302" s="33" t="str">
        <f>IFERROR(VLOOKUP($M5302,'Informations sur les produits'!$A$3:$H$10000,8,FALSE),"0")</f>
        <v>0</v>
      </c>
      <c r="P5302" s="33">
        <f t="shared" si="328"/>
        <v>0</v>
      </c>
      <c r="Q5302" s="31" t="str">
        <f t="shared" si="329"/>
        <v/>
      </c>
      <c r="R5302" s="32" t="str">
        <f>IFERROR(VLOOKUP($D5302,'Informations sur les produits'!$A$3:$B$15000,2,FALSE),"")</f>
        <v/>
      </c>
      <c r="V5302">
        <f t="shared" si="330"/>
        <v>0</v>
      </c>
      <c r="W5302">
        <f t="shared" si="331"/>
        <v>0</v>
      </c>
    </row>
    <row r="5303" spans="5:23" x14ac:dyDescent="0.25">
      <c r="E5303" s="4"/>
      <c r="F5303" s="4"/>
      <c r="G5303" s="33" t="str">
        <f>IFERROR(VLOOKUP($D5303,'Informations sur les produits'!$A$3:$H$10000,8,FALSE),"0")</f>
        <v>0</v>
      </c>
      <c r="K5303" s="4"/>
      <c r="L5303" s="33" t="str">
        <f>IFERROR(VLOOKUP($J5303,'Informations sur les produits'!$A$3:$H$10000,8,FALSE),"0")</f>
        <v>0</v>
      </c>
      <c r="N5303" s="8"/>
      <c r="O5303" s="33" t="str">
        <f>IFERROR(VLOOKUP($M5303,'Informations sur les produits'!$A$3:$H$10000,8,FALSE),"0")</f>
        <v>0</v>
      </c>
      <c r="P5303" s="33">
        <f t="shared" si="328"/>
        <v>0</v>
      </c>
      <c r="Q5303" s="31" t="str">
        <f t="shared" si="329"/>
        <v/>
      </c>
      <c r="R5303" s="32" t="str">
        <f>IFERROR(VLOOKUP($D5303,'Informations sur les produits'!$A$3:$B$15000,2,FALSE),"")</f>
        <v/>
      </c>
      <c r="V5303">
        <f t="shared" si="330"/>
        <v>0</v>
      </c>
      <c r="W5303">
        <f t="shared" si="331"/>
        <v>0</v>
      </c>
    </row>
    <row r="5304" spans="5:23" x14ac:dyDescent="0.25">
      <c r="E5304" s="4"/>
      <c r="F5304" s="4"/>
      <c r="G5304" s="33" t="str">
        <f>IFERROR(VLOOKUP($D5304,'Informations sur les produits'!$A$3:$H$10000,8,FALSE),"0")</f>
        <v>0</v>
      </c>
      <c r="K5304" s="4"/>
      <c r="L5304" s="33" t="str">
        <f>IFERROR(VLOOKUP($J5304,'Informations sur les produits'!$A$3:$H$10000,8,FALSE),"0")</f>
        <v>0</v>
      </c>
      <c r="N5304" s="8"/>
      <c r="O5304" s="33" t="str">
        <f>IFERROR(VLOOKUP($M5304,'Informations sur les produits'!$A$3:$H$10000,8,FALSE),"0")</f>
        <v>0</v>
      </c>
      <c r="P5304" s="33">
        <f t="shared" si="328"/>
        <v>0</v>
      </c>
      <c r="Q5304" s="31" t="str">
        <f t="shared" si="329"/>
        <v/>
      </c>
      <c r="R5304" s="32" t="str">
        <f>IFERROR(VLOOKUP($D5304,'Informations sur les produits'!$A$3:$B$15000,2,FALSE),"")</f>
        <v/>
      </c>
      <c r="V5304">
        <f t="shared" si="330"/>
        <v>0</v>
      </c>
      <c r="W5304">
        <f t="shared" si="331"/>
        <v>0</v>
      </c>
    </row>
    <row r="5305" spans="5:23" x14ac:dyDescent="0.25">
      <c r="E5305" s="4"/>
      <c r="F5305" s="4"/>
      <c r="G5305" s="33" t="str">
        <f>IFERROR(VLOOKUP($D5305,'Informations sur les produits'!$A$3:$H$10000,8,FALSE),"0")</f>
        <v>0</v>
      </c>
      <c r="K5305" s="4"/>
      <c r="L5305" s="33" t="str">
        <f>IFERROR(VLOOKUP($J5305,'Informations sur les produits'!$A$3:$H$10000,8,FALSE),"0")</f>
        <v>0</v>
      </c>
      <c r="N5305" s="8"/>
      <c r="O5305" s="33" t="str">
        <f>IFERROR(VLOOKUP($M5305,'Informations sur les produits'!$A$3:$H$10000,8,FALSE),"0")</f>
        <v>0</v>
      </c>
      <c r="P5305" s="33">
        <f t="shared" si="328"/>
        <v>0</v>
      </c>
      <c r="Q5305" s="31" t="str">
        <f t="shared" si="329"/>
        <v/>
      </c>
      <c r="R5305" s="32" t="str">
        <f>IFERROR(VLOOKUP($D5305,'Informations sur les produits'!$A$3:$B$15000,2,FALSE),"")</f>
        <v/>
      </c>
      <c r="V5305">
        <f t="shared" si="330"/>
        <v>0</v>
      </c>
      <c r="W5305">
        <f t="shared" si="331"/>
        <v>0</v>
      </c>
    </row>
    <row r="5306" spans="5:23" x14ac:dyDescent="0.25">
      <c r="E5306" s="4"/>
      <c r="F5306" s="4"/>
      <c r="G5306" s="33" t="str">
        <f>IFERROR(VLOOKUP($D5306,'Informations sur les produits'!$A$3:$H$10000,8,FALSE),"0")</f>
        <v>0</v>
      </c>
      <c r="K5306" s="4"/>
      <c r="L5306" s="33" t="str">
        <f>IFERROR(VLOOKUP($J5306,'Informations sur les produits'!$A$3:$H$10000,8,FALSE),"0")</f>
        <v>0</v>
      </c>
      <c r="N5306" s="8"/>
      <c r="O5306" s="33" t="str">
        <f>IFERROR(VLOOKUP($M5306,'Informations sur les produits'!$A$3:$H$10000,8,FALSE),"0")</f>
        <v>0</v>
      </c>
      <c r="P5306" s="33">
        <f t="shared" si="328"/>
        <v>0</v>
      </c>
      <c r="Q5306" s="31" t="str">
        <f t="shared" si="329"/>
        <v/>
      </c>
      <c r="R5306" s="32" t="str">
        <f>IFERROR(VLOOKUP($D5306,'Informations sur les produits'!$A$3:$B$15000,2,FALSE),"")</f>
        <v/>
      </c>
      <c r="V5306">
        <f t="shared" si="330"/>
        <v>0</v>
      </c>
      <c r="W5306">
        <f t="shared" si="331"/>
        <v>0</v>
      </c>
    </row>
    <row r="5307" spans="5:23" x14ac:dyDescent="0.25">
      <c r="E5307" s="4"/>
      <c r="F5307" s="4"/>
      <c r="G5307" s="33" t="str">
        <f>IFERROR(VLOOKUP($D5307,'Informations sur les produits'!$A$3:$H$10000,8,FALSE),"0")</f>
        <v>0</v>
      </c>
      <c r="K5307" s="4"/>
      <c r="L5307" s="33" t="str">
        <f>IFERROR(VLOOKUP($J5307,'Informations sur les produits'!$A$3:$H$10000,8,FALSE),"0")</f>
        <v>0</v>
      </c>
      <c r="N5307" s="8"/>
      <c r="O5307" s="33" t="str">
        <f>IFERROR(VLOOKUP($M5307,'Informations sur les produits'!$A$3:$H$10000,8,FALSE),"0")</f>
        <v>0</v>
      </c>
      <c r="P5307" s="33">
        <f t="shared" si="328"/>
        <v>0</v>
      </c>
      <c r="Q5307" s="31" t="str">
        <f t="shared" si="329"/>
        <v/>
      </c>
      <c r="R5307" s="32" t="str">
        <f>IFERROR(VLOOKUP($D5307,'Informations sur les produits'!$A$3:$B$15000,2,FALSE),"")</f>
        <v/>
      </c>
      <c r="V5307">
        <f t="shared" si="330"/>
        <v>0</v>
      </c>
      <c r="W5307">
        <f t="shared" si="331"/>
        <v>0</v>
      </c>
    </row>
    <row r="5308" spans="5:23" x14ac:dyDescent="0.25">
      <c r="E5308" s="4"/>
      <c r="F5308" s="4"/>
      <c r="G5308" s="33" t="str">
        <f>IFERROR(VLOOKUP($D5308,'Informations sur les produits'!$A$3:$H$10000,8,FALSE),"0")</f>
        <v>0</v>
      </c>
      <c r="K5308" s="4"/>
      <c r="L5308" s="33" t="str">
        <f>IFERROR(VLOOKUP($J5308,'Informations sur les produits'!$A$3:$H$10000,8,FALSE),"0")</f>
        <v>0</v>
      </c>
      <c r="N5308" s="8"/>
      <c r="O5308" s="33" t="str">
        <f>IFERROR(VLOOKUP($M5308,'Informations sur les produits'!$A$3:$H$10000,8,FALSE),"0")</f>
        <v>0</v>
      </c>
      <c r="P5308" s="33">
        <f t="shared" si="328"/>
        <v>0</v>
      </c>
      <c r="Q5308" s="31" t="str">
        <f t="shared" si="329"/>
        <v/>
      </c>
      <c r="R5308" s="32" t="str">
        <f>IFERROR(VLOOKUP($D5308,'Informations sur les produits'!$A$3:$B$15000,2,FALSE),"")</f>
        <v/>
      </c>
      <c r="V5308">
        <f t="shared" si="330"/>
        <v>0</v>
      </c>
      <c r="W5308">
        <f t="shared" si="331"/>
        <v>0</v>
      </c>
    </row>
    <row r="5309" spans="5:23" x14ac:dyDescent="0.25">
      <c r="E5309" s="4"/>
      <c r="F5309" s="4"/>
      <c r="G5309" s="33" t="str">
        <f>IFERROR(VLOOKUP($D5309,'Informations sur les produits'!$A$3:$H$10000,8,FALSE),"0")</f>
        <v>0</v>
      </c>
      <c r="K5309" s="4"/>
      <c r="L5309" s="33" t="str">
        <f>IFERROR(VLOOKUP($J5309,'Informations sur les produits'!$A$3:$H$10000,8,FALSE),"0")</f>
        <v>0</v>
      </c>
      <c r="N5309" s="8"/>
      <c r="O5309" s="33" t="str">
        <f>IFERROR(VLOOKUP($M5309,'Informations sur les produits'!$A$3:$H$10000,8,FALSE),"0")</f>
        <v>0</v>
      </c>
      <c r="P5309" s="33">
        <f t="shared" si="328"/>
        <v>0</v>
      </c>
      <c r="Q5309" s="31" t="str">
        <f t="shared" si="329"/>
        <v/>
      </c>
      <c r="R5309" s="32" t="str">
        <f>IFERROR(VLOOKUP($D5309,'Informations sur les produits'!$A$3:$B$15000,2,FALSE),"")</f>
        <v/>
      </c>
      <c r="V5309">
        <f t="shared" si="330"/>
        <v>0</v>
      </c>
      <c r="W5309">
        <f t="shared" si="331"/>
        <v>0</v>
      </c>
    </row>
    <row r="5310" spans="5:23" x14ac:dyDescent="0.25">
      <c r="E5310" s="4"/>
      <c r="F5310" s="4"/>
      <c r="G5310" s="33" t="str">
        <f>IFERROR(VLOOKUP($D5310,'Informations sur les produits'!$A$3:$H$10000,8,FALSE),"0")</f>
        <v>0</v>
      </c>
      <c r="K5310" s="4"/>
      <c r="L5310" s="33" t="str">
        <f>IFERROR(VLOOKUP($J5310,'Informations sur les produits'!$A$3:$H$10000,8,FALSE),"0")</f>
        <v>0</v>
      </c>
      <c r="N5310" s="8"/>
      <c r="O5310" s="33" t="str">
        <f>IFERROR(VLOOKUP($M5310,'Informations sur les produits'!$A$3:$H$10000,8,FALSE),"0")</f>
        <v>0</v>
      </c>
      <c r="P5310" s="33">
        <f t="shared" si="328"/>
        <v>0</v>
      </c>
      <c r="Q5310" s="31" t="str">
        <f t="shared" si="329"/>
        <v/>
      </c>
      <c r="R5310" s="32" t="str">
        <f>IFERROR(VLOOKUP($D5310,'Informations sur les produits'!$A$3:$B$15000,2,FALSE),"")</f>
        <v/>
      </c>
      <c r="V5310">
        <f t="shared" si="330"/>
        <v>0</v>
      </c>
      <c r="W5310">
        <f t="shared" si="331"/>
        <v>0</v>
      </c>
    </row>
    <row r="5311" spans="5:23" x14ac:dyDescent="0.25">
      <c r="E5311" s="4"/>
      <c r="F5311" s="4"/>
      <c r="G5311" s="33" t="str">
        <f>IFERROR(VLOOKUP($D5311,'Informations sur les produits'!$A$3:$H$10000,8,FALSE),"0")</f>
        <v>0</v>
      </c>
      <c r="K5311" s="4"/>
      <c r="L5311" s="33" t="str">
        <f>IFERROR(VLOOKUP($J5311,'Informations sur les produits'!$A$3:$H$10000,8,FALSE),"0")</f>
        <v>0</v>
      </c>
      <c r="N5311" s="8"/>
      <c r="O5311" s="33" t="str">
        <f>IFERROR(VLOOKUP($M5311,'Informations sur les produits'!$A$3:$H$10000,8,FALSE),"0")</f>
        <v>0</v>
      </c>
      <c r="P5311" s="33">
        <f t="shared" si="328"/>
        <v>0</v>
      </c>
      <c r="Q5311" s="31" t="str">
        <f t="shared" si="329"/>
        <v/>
      </c>
      <c r="R5311" s="32" t="str">
        <f>IFERROR(VLOOKUP($D5311,'Informations sur les produits'!$A$3:$B$15000,2,FALSE),"")</f>
        <v/>
      </c>
      <c r="V5311">
        <f t="shared" si="330"/>
        <v>0</v>
      </c>
      <c r="W5311">
        <f t="shared" si="331"/>
        <v>0</v>
      </c>
    </row>
    <row r="5312" spans="5:23" x14ac:dyDescent="0.25">
      <c r="E5312" s="4"/>
      <c r="F5312" s="4"/>
      <c r="G5312" s="33" t="str">
        <f>IFERROR(VLOOKUP($D5312,'Informations sur les produits'!$A$3:$H$10000,8,FALSE),"0")</f>
        <v>0</v>
      </c>
      <c r="K5312" s="4"/>
      <c r="L5312" s="33" t="str">
        <f>IFERROR(VLOOKUP($J5312,'Informations sur les produits'!$A$3:$H$10000,8,FALSE),"0")</f>
        <v>0</v>
      </c>
      <c r="N5312" s="8"/>
      <c r="O5312" s="33" t="str">
        <f>IFERROR(VLOOKUP($M5312,'Informations sur les produits'!$A$3:$H$10000,8,FALSE),"0")</f>
        <v>0</v>
      </c>
      <c r="P5312" s="33">
        <f t="shared" si="328"/>
        <v>0</v>
      </c>
      <c r="Q5312" s="31" t="str">
        <f t="shared" si="329"/>
        <v/>
      </c>
      <c r="R5312" s="32" t="str">
        <f>IFERROR(VLOOKUP($D5312,'Informations sur les produits'!$A$3:$B$15000,2,FALSE),"")</f>
        <v/>
      </c>
      <c r="V5312">
        <f t="shared" si="330"/>
        <v>0</v>
      </c>
      <c r="W5312">
        <f t="shared" si="331"/>
        <v>0</v>
      </c>
    </row>
    <row r="5313" spans="5:23" x14ac:dyDescent="0.25">
      <c r="E5313" s="4"/>
      <c r="F5313" s="4"/>
      <c r="G5313" s="33" t="str">
        <f>IFERROR(VLOOKUP($D5313,'Informations sur les produits'!$A$3:$H$10000,8,FALSE),"0")</f>
        <v>0</v>
      </c>
      <c r="K5313" s="4"/>
      <c r="L5313" s="33" t="str">
        <f>IFERROR(VLOOKUP($J5313,'Informations sur les produits'!$A$3:$H$10000,8,FALSE),"0")</f>
        <v>0</v>
      </c>
      <c r="N5313" s="8"/>
      <c r="O5313" s="33" t="str">
        <f>IFERROR(VLOOKUP($M5313,'Informations sur les produits'!$A$3:$H$10000,8,FALSE),"0")</f>
        <v>0</v>
      </c>
      <c r="P5313" s="33">
        <f t="shared" si="328"/>
        <v>0</v>
      </c>
      <c r="Q5313" s="31" t="str">
        <f t="shared" si="329"/>
        <v/>
      </c>
      <c r="R5313" s="32" t="str">
        <f>IFERROR(VLOOKUP($D5313,'Informations sur les produits'!$A$3:$B$15000,2,FALSE),"")</f>
        <v/>
      </c>
      <c r="V5313">
        <f t="shared" si="330"/>
        <v>0</v>
      </c>
      <c r="W5313">
        <f t="shared" si="331"/>
        <v>0</v>
      </c>
    </row>
    <row r="5314" spans="5:23" x14ac:dyDescent="0.25">
      <c r="E5314" s="4"/>
      <c r="F5314" s="4"/>
      <c r="G5314" s="33" t="str">
        <f>IFERROR(VLOOKUP($D5314,'Informations sur les produits'!$A$3:$H$10000,8,FALSE),"0")</f>
        <v>0</v>
      </c>
      <c r="K5314" s="4"/>
      <c r="L5314" s="33" t="str">
        <f>IFERROR(VLOOKUP($J5314,'Informations sur les produits'!$A$3:$H$10000,8,FALSE),"0")</f>
        <v>0</v>
      </c>
      <c r="N5314" s="8"/>
      <c r="O5314" s="33" t="str">
        <f>IFERROR(VLOOKUP($M5314,'Informations sur les produits'!$A$3:$H$10000,8,FALSE),"0")</f>
        <v>0</v>
      </c>
      <c r="P5314" s="33">
        <f t="shared" si="328"/>
        <v>0</v>
      </c>
      <c r="Q5314" s="31" t="str">
        <f t="shared" si="329"/>
        <v/>
      </c>
      <c r="R5314" s="32" t="str">
        <f>IFERROR(VLOOKUP($D5314,'Informations sur les produits'!$A$3:$B$15000,2,FALSE),"")</f>
        <v/>
      </c>
      <c r="V5314">
        <f t="shared" si="330"/>
        <v>0</v>
      </c>
      <c r="W5314">
        <f t="shared" si="331"/>
        <v>0</v>
      </c>
    </row>
    <row r="5315" spans="5:23" x14ac:dyDescent="0.25">
      <c r="E5315" s="4"/>
      <c r="F5315" s="4"/>
      <c r="G5315" s="33" t="str">
        <f>IFERROR(VLOOKUP($D5315,'Informations sur les produits'!$A$3:$H$10000,8,FALSE),"0")</f>
        <v>0</v>
      </c>
      <c r="K5315" s="4"/>
      <c r="L5315" s="33" t="str">
        <f>IFERROR(VLOOKUP($J5315,'Informations sur les produits'!$A$3:$H$10000,8,FALSE),"0")</f>
        <v>0</v>
      </c>
      <c r="N5315" s="8"/>
      <c r="O5315" s="33" t="str">
        <f>IFERROR(VLOOKUP($M5315,'Informations sur les produits'!$A$3:$H$10000,8,FALSE),"0")</f>
        <v>0</v>
      </c>
      <c r="P5315" s="33">
        <f t="shared" si="328"/>
        <v>0</v>
      </c>
      <c r="Q5315" s="31" t="str">
        <f t="shared" si="329"/>
        <v/>
      </c>
      <c r="R5315" s="32" t="str">
        <f>IFERROR(VLOOKUP($D5315,'Informations sur les produits'!$A$3:$B$15000,2,FALSE),"")</f>
        <v/>
      </c>
      <c r="V5315">
        <f t="shared" si="330"/>
        <v>0</v>
      </c>
      <c r="W5315">
        <f t="shared" si="331"/>
        <v>0</v>
      </c>
    </row>
    <row r="5316" spans="5:23" x14ac:dyDescent="0.25">
      <c r="E5316" s="4"/>
      <c r="F5316" s="4"/>
      <c r="G5316" s="33" t="str">
        <f>IFERROR(VLOOKUP($D5316,'Informations sur les produits'!$A$3:$H$10000,8,FALSE),"0")</f>
        <v>0</v>
      </c>
      <c r="K5316" s="4"/>
      <c r="L5316" s="33" t="str">
        <f>IFERROR(VLOOKUP($J5316,'Informations sur les produits'!$A$3:$H$10000,8,FALSE),"0")</f>
        <v>0</v>
      </c>
      <c r="N5316" s="8"/>
      <c r="O5316" s="33" t="str">
        <f>IFERROR(VLOOKUP($M5316,'Informations sur les produits'!$A$3:$H$10000,8,FALSE),"0")</f>
        <v>0</v>
      </c>
      <c r="P5316" s="33">
        <f t="shared" ref="P5316:P5379" si="332">IFERROR((($E5316-$F5316)*$G5316+$K5316*$L5316+$N5316*$O5316),"")</f>
        <v>0</v>
      </c>
      <c r="Q5316" s="31" t="str">
        <f t="shared" ref="Q5316:Q5379" si="333">IFERROR((((($E5316-$F5316)*$G5316+$K5316*$L5316+$N5316*$O5316)*1000)/(($E5316-$F5316)+$K5316+$N5316)),"")</f>
        <v/>
      </c>
      <c r="R5316" s="32" t="str">
        <f>IFERROR(VLOOKUP($D5316,'Informations sur les produits'!$A$3:$B$15000,2,FALSE),"")</f>
        <v/>
      </c>
      <c r="V5316">
        <f t="shared" ref="V5316:V5379" si="334">IFERROR(P5316*1000,"")</f>
        <v>0</v>
      </c>
      <c r="W5316">
        <f t="shared" ref="W5316:W5379" si="335">IFERROR(($E5316-$F5316)+$K5316+$N5316,"")</f>
        <v>0</v>
      </c>
    </row>
    <row r="5317" spans="5:23" x14ac:dyDescent="0.25">
      <c r="E5317" s="4"/>
      <c r="F5317" s="4"/>
      <c r="G5317" s="33" t="str">
        <f>IFERROR(VLOOKUP($D5317,'Informations sur les produits'!$A$3:$H$10000,8,FALSE),"0")</f>
        <v>0</v>
      </c>
      <c r="K5317" s="4"/>
      <c r="L5317" s="33" t="str">
        <f>IFERROR(VLOOKUP($J5317,'Informations sur les produits'!$A$3:$H$10000,8,FALSE),"0")</f>
        <v>0</v>
      </c>
      <c r="N5317" s="8"/>
      <c r="O5317" s="33" t="str">
        <f>IFERROR(VLOOKUP($M5317,'Informations sur les produits'!$A$3:$H$10000,8,FALSE),"0")</f>
        <v>0</v>
      </c>
      <c r="P5317" s="33">
        <f t="shared" si="332"/>
        <v>0</v>
      </c>
      <c r="Q5317" s="31" t="str">
        <f t="shared" si="333"/>
        <v/>
      </c>
      <c r="R5317" s="32" t="str">
        <f>IFERROR(VLOOKUP($D5317,'Informations sur les produits'!$A$3:$B$15000,2,FALSE),"")</f>
        <v/>
      </c>
      <c r="V5317">
        <f t="shared" si="334"/>
        <v>0</v>
      </c>
      <c r="W5317">
        <f t="shared" si="335"/>
        <v>0</v>
      </c>
    </row>
    <row r="5318" spans="5:23" x14ac:dyDescent="0.25">
      <c r="E5318" s="4"/>
      <c r="F5318" s="4"/>
      <c r="G5318" s="33" t="str">
        <f>IFERROR(VLOOKUP($D5318,'Informations sur les produits'!$A$3:$H$10000,8,FALSE),"0")</f>
        <v>0</v>
      </c>
      <c r="K5318" s="4"/>
      <c r="L5318" s="33" t="str">
        <f>IFERROR(VLOOKUP($J5318,'Informations sur les produits'!$A$3:$H$10000,8,FALSE),"0")</f>
        <v>0</v>
      </c>
      <c r="N5318" s="8"/>
      <c r="O5318" s="33" t="str">
        <f>IFERROR(VLOOKUP($M5318,'Informations sur les produits'!$A$3:$H$10000,8,FALSE),"0")</f>
        <v>0</v>
      </c>
      <c r="P5318" s="33">
        <f t="shared" si="332"/>
        <v>0</v>
      </c>
      <c r="Q5318" s="31" t="str">
        <f t="shared" si="333"/>
        <v/>
      </c>
      <c r="R5318" s="32" t="str">
        <f>IFERROR(VLOOKUP($D5318,'Informations sur les produits'!$A$3:$B$15000,2,FALSE),"")</f>
        <v/>
      </c>
      <c r="V5318">
        <f t="shared" si="334"/>
        <v>0</v>
      </c>
      <c r="W5318">
        <f t="shared" si="335"/>
        <v>0</v>
      </c>
    </row>
    <row r="5319" spans="5:23" x14ac:dyDescent="0.25">
      <c r="E5319" s="4"/>
      <c r="F5319" s="4"/>
      <c r="G5319" s="33" t="str">
        <f>IFERROR(VLOOKUP($D5319,'Informations sur les produits'!$A$3:$H$10000,8,FALSE),"0")</f>
        <v>0</v>
      </c>
      <c r="K5319" s="4"/>
      <c r="L5319" s="33" t="str">
        <f>IFERROR(VLOOKUP($J5319,'Informations sur les produits'!$A$3:$H$10000,8,FALSE),"0")</f>
        <v>0</v>
      </c>
      <c r="N5319" s="8"/>
      <c r="O5319" s="33" t="str">
        <f>IFERROR(VLOOKUP($M5319,'Informations sur les produits'!$A$3:$H$10000,8,FALSE),"0")</f>
        <v>0</v>
      </c>
      <c r="P5319" s="33">
        <f t="shared" si="332"/>
        <v>0</v>
      </c>
      <c r="Q5319" s="31" t="str">
        <f t="shared" si="333"/>
        <v/>
      </c>
      <c r="R5319" s="32" t="str">
        <f>IFERROR(VLOOKUP($D5319,'Informations sur les produits'!$A$3:$B$15000,2,FALSE),"")</f>
        <v/>
      </c>
      <c r="V5319">
        <f t="shared" si="334"/>
        <v>0</v>
      </c>
      <c r="W5319">
        <f t="shared" si="335"/>
        <v>0</v>
      </c>
    </row>
    <row r="5320" spans="5:23" x14ac:dyDescent="0.25">
      <c r="E5320" s="4"/>
      <c r="F5320" s="4"/>
      <c r="G5320" s="33" t="str">
        <f>IFERROR(VLOOKUP($D5320,'Informations sur les produits'!$A$3:$H$10000,8,FALSE),"0")</f>
        <v>0</v>
      </c>
      <c r="K5320" s="4"/>
      <c r="L5320" s="33" t="str">
        <f>IFERROR(VLOOKUP($J5320,'Informations sur les produits'!$A$3:$H$10000,8,FALSE),"0")</f>
        <v>0</v>
      </c>
      <c r="N5320" s="8"/>
      <c r="O5320" s="33" t="str">
        <f>IFERROR(VLOOKUP($M5320,'Informations sur les produits'!$A$3:$H$10000,8,FALSE),"0")</f>
        <v>0</v>
      </c>
      <c r="P5320" s="33">
        <f t="shared" si="332"/>
        <v>0</v>
      </c>
      <c r="Q5320" s="31" t="str">
        <f t="shared" si="333"/>
        <v/>
      </c>
      <c r="R5320" s="32" t="str">
        <f>IFERROR(VLOOKUP($D5320,'Informations sur les produits'!$A$3:$B$15000,2,FALSE),"")</f>
        <v/>
      </c>
      <c r="V5320">
        <f t="shared" si="334"/>
        <v>0</v>
      </c>
      <c r="W5320">
        <f t="shared" si="335"/>
        <v>0</v>
      </c>
    </row>
    <row r="5321" spans="5:23" x14ac:dyDescent="0.25">
      <c r="E5321" s="4"/>
      <c r="F5321" s="4"/>
      <c r="G5321" s="33" t="str">
        <f>IFERROR(VLOOKUP($D5321,'Informations sur les produits'!$A$3:$H$10000,8,FALSE),"0")</f>
        <v>0</v>
      </c>
      <c r="K5321" s="4"/>
      <c r="L5321" s="33" t="str">
        <f>IFERROR(VLOOKUP($J5321,'Informations sur les produits'!$A$3:$H$10000,8,FALSE),"0")</f>
        <v>0</v>
      </c>
      <c r="N5321" s="8"/>
      <c r="O5321" s="33" t="str">
        <f>IFERROR(VLOOKUP($M5321,'Informations sur les produits'!$A$3:$H$10000,8,FALSE),"0")</f>
        <v>0</v>
      </c>
      <c r="P5321" s="33">
        <f t="shared" si="332"/>
        <v>0</v>
      </c>
      <c r="Q5321" s="31" t="str">
        <f t="shared" si="333"/>
        <v/>
      </c>
      <c r="R5321" s="32" t="str">
        <f>IFERROR(VLOOKUP($D5321,'Informations sur les produits'!$A$3:$B$15000,2,FALSE),"")</f>
        <v/>
      </c>
      <c r="V5321">
        <f t="shared" si="334"/>
        <v>0</v>
      </c>
      <c r="W5321">
        <f t="shared" si="335"/>
        <v>0</v>
      </c>
    </row>
    <row r="5322" spans="5:23" x14ac:dyDescent="0.25">
      <c r="E5322" s="4"/>
      <c r="F5322" s="4"/>
      <c r="G5322" s="33" t="str">
        <f>IFERROR(VLOOKUP($D5322,'Informations sur les produits'!$A$3:$H$10000,8,FALSE),"0")</f>
        <v>0</v>
      </c>
      <c r="K5322" s="4"/>
      <c r="L5322" s="33" t="str">
        <f>IFERROR(VLOOKUP($J5322,'Informations sur les produits'!$A$3:$H$10000,8,FALSE),"0")</f>
        <v>0</v>
      </c>
      <c r="N5322" s="8"/>
      <c r="O5322" s="33" t="str">
        <f>IFERROR(VLOOKUP($M5322,'Informations sur les produits'!$A$3:$H$10000,8,FALSE),"0")</f>
        <v>0</v>
      </c>
      <c r="P5322" s="33">
        <f t="shared" si="332"/>
        <v>0</v>
      </c>
      <c r="Q5322" s="31" t="str">
        <f t="shared" si="333"/>
        <v/>
      </c>
      <c r="R5322" s="32" t="str">
        <f>IFERROR(VLOOKUP($D5322,'Informations sur les produits'!$A$3:$B$15000,2,FALSE),"")</f>
        <v/>
      </c>
      <c r="V5322">
        <f t="shared" si="334"/>
        <v>0</v>
      </c>
      <c r="W5322">
        <f t="shared" si="335"/>
        <v>0</v>
      </c>
    </row>
    <row r="5323" spans="5:23" x14ac:dyDescent="0.25">
      <c r="E5323" s="4"/>
      <c r="F5323" s="4"/>
      <c r="G5323" s="33" t="str">
        <f>IFERROR(VLOOKUP($D5323,'Informations sur les produits'!$A$3:$H$10000,8,FALSE),"0")</f>
        <v>0</v>
      </c>
      <c r="K5323" s="4"/>
      <c r="L5323" s="33" t="str">
        <f>IFERROR(VLOOKUP($J5323,'Informations sur les produits'!$A$3:$H$10000,8,FALSE),"0")</f>
        <v>0</v>
      </c>
      <c r="N5323" s="8"/>
      <c r="O5323" s="33" t="str">
        <f>IFERROR(VLOOKUP($M5323,'Informations sur les produits'!$A$3:$H$10000,8,FALSE),"0")</f>
        <v>0</v>
      </c>
      <c r="P5323" s="33">
        <f t="shared" si="332"/>
        <v>0</v>
      </c>
      <c r="Q5323" s="31" t="str">
        <f t="shared" si="333"/>
        <v/>
      </c>
      <c r="R5323" s="32" t="str">
        <f>IFERROR(VLOOKUP($D5323,'Informations sur les produits'!$A$3:$B$15000,2,FALSE),"")</f>
        <v/>
      </c>
      <c r="V5323">
        <f t="shared" si="334"/>
        <v>0</v>
      </c>
      <c r="W5323">
        <f t="shared" si="335"/>
        <v>0</v>
      </c>
    </row>
    <row r="5324" spans="5:23" x14ac:dyDescent="0.25">
      <c r="E5324" s="4"/>
      <c r="F5324" s="4"/>
      <c r="G5324" s="33" t="str">
        <f>IFERROR(VLOOKUP($D5324,'Informations sur les produits'!$A$3:$H$10000,8,FALSE),"0")</f>
        <v>0</v>
      </c>
      <c r="K5324" s="4"/>
      <c r="L5324" s="33" t="str">
        <f>IFERROR(VLOOKUP($J5324,'Informations sur les produits'!$A$3:$H$10000,8,FALSE),"0")</f>
        <v>0</v>
      </c>
      <c r="N5324" s="8"/>
      <c r="O5324" s="33" t="str">
        <f>IFERROR(VLOOKUP($M5324,'Informations sur les produits'!$A$3:$H$10000,8,FALSE),"0")</f>
        <v>0</v>
      </c>
      <c r="P5324" s="33">
        <f t="shared" si="332"/>
        <v>0</v>
      </c>
      <c r="Q5324" s="31" t="str">
        <f t="shared" si="333"/>
        <v/>
      </c>
      <c r="R5324" s="32" t="str">
        <f>IFERROR(VLOOKUP($D5324,'Informations sur les produits'!$A$3:$B$15000,2,FALSE),"")</f>
        <v/>
      </c>
      <c r="V5324">
        <f t="shared" si="334"/>
        <v>0</v>
      </c>
      <c r="W5324">
        <f t="shared" si="335"/>
        <v>0</v>
      </c>
    </row>
    <row r="5325" spans="5:23" x14ac:dyDescent="0.25">
      <c r="E5325" s="4"/>
      <c r="F5325" s="4"/>
      <c r="G5325" s="33" t="str">
        <f>IFERROR(VLOOKUP($D5325,'Informations sur les produits'!$A$3:$H$10000,8,FALSE),"0")</f>
        <v>0</v>
      </c>
      <c r="K5325" s="4"/>
      <c r="L5325" s="33" t="str">
        <f>IFERROR(VLOOKUP($J5325,'Informations sur les produits'!$A$3:$H$10000,8,FALSE),"0")</f>
        <v>0</v>
      </c>
      <c r="N5325" s="8"/>
      <c r="O5325" s="33" t="str">
        <f>IFERROR(VLOOKUP($M5325,'Informations sur les produits'!$A$3:$H$10000,8,FALSE),"0")</f>
        <v>0</v>
      </c>
      <c r="P5325" s="33">
        <f t="shared" si="332"/>
        <v>0</v>
      </c>
      <c r="Q5325" s="31" t="str">
        <f t="shared" si="333"/>
        <v/>
      </c>
      <c r="R5325" s="32" t="str">
        <f>IFERROR(VLOOKUP($D5325,'Informations sur les produits'!$A$3:$B$15000,2,FALSE),"")</f>
        <v/>
      </c>
      <c r="V5325">
        <f t="shared" si="334"/>
        <v>0</v>
      </c>
      <c r="W5325">
        <f t="shared" si="335"/>
        <v>0</v>
      </c>
    </row>
    <row r="5326" spans="5:23" x14ac:dyDescent="0.25">
      <c r="E5326" s="4"/>
      <c r="F5326" s="4"/>
      <c r="G5326" s="33" t="str">
        <f>IFERROR(VLOOKUP($D5326,'Informations sur les produits'!$A$3:$H$10000,8,FALSE),"0")</f>
        <v>0</v>
      </c>
      <c r="K5326" s="4"/>
      <c r="L5326" s="33" t="str">
        <f>IFERROR(VLOOKUP($J5326,'Informations sur les produits'!$A$3:$H$10000,8,FALSE),"0")</f>
        <v>0</v>
      </c>
      <c r="N5326" s="8"/>
      <c r="O5326" s="33" t="str">
        <f>IFERROR(VLOOKUP($M5326,'Informations sur les produits'!$A$3:$H$10000,8,FALSE),"0")</f>
        <v>0</v>
      </c>
      <c r="P5326" s="33">
        <f t="shared" si="332"/>
        <v>0</v>
      </c>
      <c r="Q5326" s="31" t="str">
        <f t="shared" si="333"/>
        <v/>
      </c>
      <c r="R5326" s="32" t="str">
        <f>IFERROR(VLOOKUP($D5326,'Informations sur les produits'!$A$3:$B$15000,2,FALSE),"")</f>
        <v/>
      </c>
      <c r="V5326">
        <f t="shared" si="334"/>
        <v>0</v>
      </c>
      <c r="W5326">
        <f t="shared" si="335"/>
        <v>0</v>
      </c>
    </row>
    <row r="5327" spans="5:23" x14ac:dyDescent="0.25">
      <c r="E5327" s="4"/>
      <c r="F5327" s="4"/>
      <c r="G5327" s="33" t="str">
        <f>IFERROR(VLOOKUP($D5327,'Informations sur les produits'!$A$3:$H$10000,8,FALSE),"0")</f>
        <v>0</v>
      </c>
      <c r="K5327" s="4"/>
      <c r="L5327" s="33" t="str">
        <f>IFERROR(VLOOKUP($J5327,'Informations sur les produits'!$A$3:$H$10000,8,FALSE),"0")</f>
        <v>0</v>
      </c>
      <c r="N5327" s="8"/>
      <c r="O5327" s="33" t="str">
        <f>IFERROR(VLOOKUP($M5327,'Informations sur les produits'!$A$3:$H$10000,8,FALSE),"0")</f>
        <v>0</v>
      </c>
      <c r="P5327" s="33">
        <f t="shared" si="332"/>
        <v>0</v>
      </c>
      <c r="Q5327" s="31" t="str">
        <f t="shared" si="333"/>
        <v/>
      </c>
      <c r="R5327" s="32" t="str">
        <f>IFERROR(VLOOKUP($D5327,'Informations sur les produits'!$A$3:$B$15000,2,FALSE),"")</f>
        <v/>
      </c>
      <c r="V5327">
        <f t="shared" si="334"/>
        <v>0</v>
      </c>
      <c r="W5327">
        <f t="shared" si="335"/>
        <v>0</v>
      </c>
    </row>
    <row r="5328" spans="5:23" x14ac:dyDescent="0.25">
      <c r="E5328" s="4"/>
      <c r="F5328" s="4"/>
      <c r="G5328" s="33" t="str">
        <f>IFERROR(VLOOKUP($D5328,'Informations sur les produits'!$A$3:$H$10000,8,FALSE),"0")</f>
        <v>0</v>
      </c>
      <c r="K5328" s="4"/>
      <c r="L5328" s="33" t="str">
        <f>IFERROR(VLOOKUP($J5328,'Informations sur les produits'!$A$3:$H$10000,8,FALSE),"0")</f>
        <v>0</v>
      </c>
      <c r="N5328" s="8"/>
      <c r="O5328" s="33" t="str">
        <f>IFERROR(VLOOKUP($M5328,'Informations sur les produits'!$A$3:$H$10000,8,FALSE),"0")</f>
        <v>0</v>
      </c>
      <c r="P5328" s="33">
        <f t="shared" si="332"/>
        <v>0</v>
      </c>
      <c r="Q5328" s="31" t="str">
        <f t="shared" si="333"/>
        <v/>
      </c>
      <c r="R5328" s="32" t="str">
        <f>IFERROR(VLOOKUP($D5328,'Informations sur les produits'!$A$3:$B$15000,2,FALSE),"")</f>
        <v/>
      </c>
      <c r="V5328">
        <f t="shared" si="334"/>
        <v>0</v>
      </c>
      <c r="W5328">
        <f t="shared" si="335"/>
        <v>0</v>
      </c>
    </row>
    <row r="5329" spans="5:23" x14ac:dyDescent="0.25">
      <c r="E5329" s="4"/>
      <c r="F5329" s="4"/>
      <c r="G5329" s="33" t="str">
        <f>IFERROR(VLOOKUP($D5329,'Informations sur les produits'!$A$3:$H$10000,8,FALSE),"0")</f>
        <v>0</v>
      </c>
      <c r="K5329" s="4"/>
      <c r="L5329" s="33" t="str">
        <f>IFERROR(VLOOKUP($J5329,'Informations sur les produits'!$A$3:$H$10000,8,FALSE),"0")</f>
        <v>0</v>
      </c>
      <c r="N5329" s="8"/>
      <c r="O5329" s="33" t="str">
        <f>IFERROR(VLOOKUP($M5329,'Informations sur les produits'!$A$3:$H$10000,8,FALSE),"0")</f>
        <v>0</v>
      </c>
      <c r="P5329" s="33">
        <f t="shared" si="332"/>
        <v>0</v>
      </c>
      <c r="Q5329" s="31" t="str">
        <f t="shared" si="333"/>
        <v/>
      </c>
      <c r="R5329" s="32" t="str">
        <f>IFERROR(VLOOKUP($D5329,'Informations sur les produits'!$A$3:$B$15000,2,FALSE),"")</f>
        <v/>
      </c>
      <c r="V5329">
        <f t="shared" si="334"/>
        <v>0</v>
      </c>
      <c r="W5329">
        <f t="shared" si="335"/>
        <v>0</v>
      </c>
    </row>
    <row r="5330" spans="5:23" x14ac:dyDescent="0.25">
      <c r="E5330" s="4"/>
      <c r="F5330" s="4"/>
      <c r="G5330" s="33" t="str">
        <f>IFERROR(VLOOKUP($D5330,'Informations sur les produits'!$A$3:$H$10000,8,FALSE),"0")</f>
        <v>0</v>
      </c>
      <c r="K5330" s="4"/>
      <c r="L5330" s="33" t="str">
        <f>IFERROR(VLOOKUP($J5330,'Informations sur les produits'!$A$3:$H$10000,8,FALSE),"0")</f>
        <v>0</v>
      </c>
      <c r="N5330" s="8"/>
      <c r="O5330" s="33" t="str">
        <f>IFERROR(VLOOKUP($M5330,'Informations sur les produits'!$A$3:$H$10000,8,FALSE),"0")</f>
        <v>0</v>
      </c>
      <c r="P5330" s="33">
        <f t="shared" si="332"/>
        <v>0</v>
      </c>
      <c r="Q5330" s="31" t="str">
        <f t="shared" si="333"/>
        <v/>
      </c>
      <c r="R5330" s="32" t="str">
        <f>IFERROR(VLOOKUP($D5330,'Informations sur les produits'!$A$3:$B$15000,2,FALSE),"")</f>
        <v/>
      </c>
      <c r="V5330">
        <f t="shared" si="334"/>
        <v>0</v>
      </c>
      <c r="W5330">
        <f t="shared" si="335"/>
        <v>0</v>
      </c>
    </row>
    <row r="5331" spans="5:23" x14ac:dyDescent="0.25">
      <c r="E5331" s="4"/>
      <c r="F5331" s="4"/>
      <c r="G5331" s="33" t="str">
        <f>IFERROR(VLOOKUP($D5331,'Informations sur les produits'!$A$3:$H$10000,8,FALSE),"0")</f>
        <v>0</v>
      </c>
      <c r="K5331" s="4"/>
      <c r="L5331" s="33" t="str">
        <f>IFERROR(VLOOKUP($J5331,'Informations sur les produits'!$A$3:$H$10000,8,FALSE),"0")</f>
        <v>0</v>
      </c>
      <c r="N5331" s="8"/>
      <c r="O5331" s="33" t="str">
        <f>IFERROR(VLOOKUP($M5331,'Informations sur les produits'!$A$3:$H$10000,8,FALSE),"0")</f>
        <v>0</v>
      </c>
      <c r="P5331" s="33">
        <f t="shared" si="332"/>
        <v>0</v>
      </c>
      <c r="Q5331" s="31" t="str">
        <f t="shared" si="333"/>
        <v/>
      </c>
      <c r="R5331" s="32" t="str">
        <f>IFERROR(VLOOKUP($D5331,'Informations sur les produits'!$A$3:$B$15000,2,FALSE),"")</f>
        <v/>
      </c>
      <c r="V5331">
        <f t="shared" si="334"/>
        <v>0</v>
      </c>
      <c r="W5331">
        <f t="shared" si="335"/>
        <v>0</v>
      </c>
    </row>
    <row r="5332" spans="5:23" x14ac:dyDescent="0.25">
      <c r="E5332" s="4"/>
      <c r="F5332" s="4"/>
      <c r="G5332" s="33" t="str">
        <f>IFERROR(VLOOKUP($D5332,'Informations sur les produits'!$A$3:$H$10000,8,FALSE),"0")</f>
        <v>0</v>
      </c>
      <c r="K5332" s="4"/>
      <c r="L5332" s="33" t="str">
        <f>IFERROR(VLOOKUP($J5332,'Informations sur les produits'!$A$3:$H$10000,8,FALSE),"0")</f>
        <v>0</v>
      </c>
      <c r="N5332" s="8"/>
      <c r="O5332" s="33" t="str">
        <f>IFERROR(VLOOKUP($M5332,'Informations sur les produits'!$A$3:$H$10000,8,FALSE),"0")</f>
        <v>0</v>
      </c>
      <c r="P5332" s="33">
        <f t="shared" si="332"/>
        <v>0</v>
      </c>
      <c r="Q5332" s="31" t="str">
        <f t="shared" si="333"/>
        <v/>
      </c>
      <c r="R5332" s="32" t="str">
        <f>IFERROR(VLOOKUP($D5332,'Informations sur les produits'!$A$3:$B$15000,2,FALSE),"")</f>
        <v/>
      </c>
      <c r="V5332">
        <f t="shared" si="334"/>
        <v>0</v>
      </c>
      <c r="W5332">
        <f t="shared" si="335"/>
        <v>0</v>
      </c>
    </row>
    <row r="5333" spans="5:23" x14ac:dyDescent="0.25">
      <c r="E5333" s="4"/>
      <c r="F5333" s="4"/>
      <c r="G5333" s="33" t="str">
        <f>IFERROR(VLOOKUP($D5333,'Informations sur les produits'!$A$3:$H$10000,8,FALSE),"0")</f>
        <v>0</v>
      </c>
      <c r="K5333" s="4"/>
      <c r="L5333" s="33" t="str">
        <f>IFERROR(VLOOKUP($J5333,'Informations sur les produits'!$A$3:$H$10000,8,FALSE),"0")</f>
        <v>0</v>
      </c>
      <c r="N5333" s="8"/>
      <c r="O5333" s="33" t="str">
        <f>IFERROR(VLOOKUP($M5333,'Informations sur les produits'!$A$3:$H$10000,8,FALSE),"0")</f>
        <v>0</v>
      </c>
      <c r="P5333" s="33">
        <f t="shared" si="332"/>
        <v>0</v>
      </c>
      <c r="Q5333" s="31" t="str">
        <f t="shared" si="333"/>
        <v/>
      </c>
      <c r="R5333" s="32" t="str">
        <f>IFERROR(VLOOKUP($D5333,'Informations sur les produits'!$A$3:$B$15000,2,FALSE),"")</f>
        <v/>
      </c>
      <c r="V5333">
        <f t="shared" si="334"/>
        <v>0</v>
      </c>
      <c r="W5333">
        <f t="shared" si="335"/>
        <v>0</v>
      </c>
    </row>
    <row r="5334" spans="5:23" x14ac:dyDescent="0.25">
      <c r="E5334" s="4"/>
      <c r="F5334" s="4"/>
      <c r="G5334" s="33" t="str">
        <f>IFERROR(VLOOKUP($D5334,'Informations sur les produits'!$A$3:$H$10000,8,FALSE),"0")</f>
        <v>0</v>
      </c>
      <c r="K5334" s="4"/>
      <c r="L5334" s="33" t="str">
        <f>IFERROR(VLOOKUP($J5334,'Informations sur les produits'!$A$3:$H$10000,8,FALSE),"0")</f>
        <v>0</v>
      </c>
      <c r="N5334" s="8"/>
      <c r="O5334" s="33" t="str">
        <f>IFERROR(VLOOKUP($M5334,'Informations sur les produits'!$A$3:$H$10000,8,FALSE),"0")</f>
        <v>0</v>
      </c>
      <c r="P5334" s="33">
        <f t="shared" si="332"/>
        <v>0</v>
      </c>
      <c r="Q5334" s="31" t="str">
        <f t="shared" si="333"/>
        <v/>
      </c>
      <c r="R5334" s="32" t="str">
        <f>IFERROR(VLOOKUP($D5334,'Informations sur les produits'!$A$3:$B$15000,2,FALSE),"")</f>
        <v/>
      </c>
      <c r="V5334">
        <f t="shared" si="334"/>
        <v>0</v>
      </c>
      <c r="W5334">
        <f t="shared" si="335"/>
        <v>0</v>
      </c>
    </row>
    <row r="5335" spans="5:23" x14ac:dyDescent="0.25">
      <c r="E5335" s="4"/>
      <c r="F5335" s="4"/>
      <c r="G5335" s="33" t="str">
        <f>IFERROR(VLOOKUP($D5335,'Informations sur les produits'!$A$3:$H$10000,8,FALSE),"0")</f>
        <v>0</v>
      </c>
      <c r="K5335" s="4"/>
      <c r="L5335" s="33" t="str">
        <f>IFERROR(VLOOKUP($J5335,'Informations sur les produits'!$A$3:$H$10000,8,FALSE),"0")</f>
        <v>0</v>
      </c>
      <c r="N5335" s="8"/>
      <c r="O5335" s="33" t="str">
        <f>IFERROR(VLOOKUP($M5335,'Informations sur les produits'!$A$3:$H$10000,8,FALSE),"0")</f>
        <v>0</v>
      </c>
      <c r="P5335" s="33">
        <f t="shared" si="332"/>
        <v>0</v>
      </c>
      <c r="Q5335" s="31" t="str">
        <f t="shared" si="333"/>
        <v/>
      </c>
      <c r="R5335" s="32" t="str">
        <f>IFERROR(VLOOKUP($D5335,'Informations sur les produits'!$A$3:$B$15000,2,FALSE),"")</f>
        <v/>
      </c>
      <c r="V5335">
        <f t="shared" si="334"/>
        <v>0</v>
      </c>
      <c r="W5335">
        <f t="shared" si="335"/>
        <v>0</v>
      </c>
    </row>
    <row r="5336" spans="5:23" x14ac:dyDescent="0.25">
      <c r="E5336" s="4"/>
      <c r="F5336" s="4"/>
      <c r="G5336" s="33" t="str">
        <f>IFERROR(VLOOKUP($D5336,'Informations sur les produits'!$A$3:$H$10000,8,FALSE),"0")</f>
        <v>0</v>
      </c>
      <c r="K5336" s="4"/>
      <c r="L5336" s="33" t="str">
        <f>IFERROR(VLOOKUP($J5336,'Informations sur les produits'!$A$3:$H$10000,8,FALSE),"0")</f>
        <v>0</v>
      </c>
      <c r="N5336" s="8"/>
      <c r="O5336" s="33" t="str">
        <f>IFERROR(VLOOKUP($M5336,'Informations sur les produits'!$A$3:$H$10000,8,FALSE),"0")</f>
        <v>0</v>
      </c>
      <c r="P5336" s="33">
        <f t="shared" si="332"/>
        <v>0</v>
      </c>
      <c r="Q5336" s="31" t="str">
        <f t="shared" si="333"/>
        <v/>
      </c>
      <c r="R5336" s="32" t="str">
        <f>IFERROR(VLOOKUP($D5336,'Informations sur les produits'!$A$3:$B$15000,2,FALSE),"")</f>
        <v/>
      </c>
      <c r="V5336">
        <f t="shared" si="334"/>
        <v>0</v>
      </c>
      <c r="W5336">
        <f t="shared" si="335"/>
        <v>0</v>
      </c>
    </row>
    <row r="5337" spans="5:23" x14ac:dyDescent="0.25">
      <c r="E5337" s="4"/>
      <c r="F5337" s="4"/>
      <c r="G5337" s="33" t="str">
        <f>IFERROR(VLOOKUP($D5337,'Informations sur les produits'!$A$3:$H$10000,8,FALSE),"0")</f>
        <v>0</v>
      </c>
      <c r="K5337" s="4"/>
      <c r="L5337" s="33" t="str">
        <f>IFERROR(VLOOKUP($J5337,'Informations sur les produits'!$A$3:$H$10000,8,FALSE),"0")</f>
        <v>0</v>
      </c>
      <c r="N5337" s="8"/>
      <c r="O5337" s="33" t="str">
        <f>IFERROR(VLOOKUP($M5337,'Informations sur les produits'!$A$3:$H$10000,8,FALSE),"0")</f>
        <v>0</v>
      </c>
      <c r="P5337" s="33">
        <f t="shared" si="332"/>
        <v>0</v>
      </c>
      <c r="Q5337" s="31" t="str">
        <f t="shared" si="333"/>
        <v/>
      </c>
      <c r="R5337" s="32" t="str">
        <f>IFERROR(VLOOKUP($D5337,'Informations sur les produits'!$A$3:$B$15000,2,FALSE),"")</f>
        <v/>
      </c>
      <c r="V5337">
        <f t="shared" si="334"/>
        <v>0</v>
      </c>
      <c r="W5337">
        <f t="shared" si="335"/>
        <v>0</v>
      </c>
    </row>
    <row r="5338" spans="5:23" x14ac:dyDescent="0.25">
      <c r="E5338" s="4"/>
      <c r="F5338" s="4"/>
      <c r="G5338" s="33" t="str">
        <f>IFERROR(VLOOKUP($D5338,'Informations sur les produits'!$A$3:$H$10000,8,FALSE),"0")</f>
        <v>0</v>
      </c>
      <c r="K5338" s="4"/>
      <c r="L5338" s="33" t="str">
        <f>IFERROR(VLOOKUP($J5338,'Informations sur les produits'!$A$3:$H$10000,8,FALSE),"0")</f>
        <v>0</v>
      </c>
      <c r="N5338" s="8"/>
      <c r="O5338" s="33" t="str">
        <f>IFERROR(VLOOKUP($M5338,'Informations sur les produits'!$A$3:$H$10000,8,FALSE),"0")</f>
        <v>0</v>
      </c>
      <c r="P5338" s="33">
        <f t="shared" si="332"/>
        <v>0</v>
      </c>
      <c r="Q5338" s="31" t="str">
        <f t="shared" si="333"/>
        <v/>
      </c>
      <c r="R5338" s="32" t="str">
        <f>IFERROR(VLOOKUP($D5338,'Informations sur les produits'!$A$3:$B$15000,2,FALSE),"")</f>
        <v/>
      </c>
      <c r="V5338">
        <f t="shared" si="334"/>
        <v>0</v>
      </c>
      <c r="W5338">
        <f t="shared" si="335"/>
        <v>0</v>
      </c>
    </row>
    <row r="5339" spans="5:23" x14ac:dyDescent="0.25">
      <c r="E5339" s="4"/>
      <c r="F5339" s="4"/>
      <c r="G5339" s="33" t="str">
        <f>IFERROR(VLOOKUP($D5339,'Informations sur les produits'!$A$3:$H$10000,8,FALSE),"0")</f>
        <v>0</v>
      </c>
      <c r="K5339" s="4"/>
      <c r="L5339" s="33" t="str">
        <f>IFERROR(VLOOKUP($J5339,'Informations sur les produits'!$A$3:$H$10000,8,FALSE),"0")</f>
        <v>0</v>
      </c>
      <c r="N5339" s="8"/>
      <c r="O5339" s="33" t="str">
        <f>IFERROR(VLOOKUP($M5339,'Informations sur les produits'!$A$3:$H$10000,8,FALSE),"0")</f>
        <v>0</v>
      </c>
      <c r="P5339" s="33">
        <f t="shared" si="332"/>
        <v>0</v>
      </c>
      <c r="Q5339" s="31" t="str">
        <f t="shared" si="333"/>
        <v/>
      </c>
      <c r="R5339" s="32" t="str">
        <f>IFERROR(VLOOKUP($D5339,'Informations sur les produits'!$A$3:$B$15000,2,FALSE),"")</f>
        <v/>
      </c>
      <c r="V5339">
        <f t="shared" si="334"/>
        <v>0</v>
      </c>
      <c r="W5339">
        <f t="shared" si="335"/>
        <v>0</v>
      </c>
    </row>
    <row r="5340" spans="5:23" x14ac:dyDescent="0.25">
      <c r="E5340" s="4"/>
      <c r="F5340" s="4"/>
      <c r="G5340" s="33" t="str">
        <f>IFERROR(VLOOKUP($D5340,'Informations sur les produits'!$A$3:$H$10000,8,FALSE),"0")</f>
        <v>0</v>
      </c>
      <c r="K5340" s="4"/>
      <c r="L5340" s="33" t="str">
        <f>IFERROR(VLOOKUP($J5340,'Informations sur les produits'!$A$3:$H$10000,8,FALSE),"0")</f>
        <v>0</v>
      </c>
      <c r="N5340" s="8"/>
      <c r="O5340" s="33" t="str">
        <f>IFERROR(VLOOKUP($M5340,'Informations sur les produits'!$A$3:$H$10000,8,FALSE),"0")</f>
        <v>0</v>
      </c>
      <c r="P5340" s="33">
        <f t="shared" si="332"/>
        <v>0</v>
      </c>
      <c r="Q5340" s="31" t="str">
        <f t="shared" si="333"/>
        <v/>
      </c>
      <c r="R5340" s="32" t="str">
        <f>IFERROR(VLOOKUP($D5340,'Informations sur les produits'!$A$3:$B$15000,2,FALSE),"")</f>
        <v/>
      </c>
      <c r="V5340">
        <f t="shared" si="334"/>
        <v>0</v>
      </c>
      <c r="W5340">
        <f t="shared" si="335"/>
        <v>0</v>
      </c>
    </row>
    <row r="5341" spans="5:23" x14ac:dyDescent="0.25">
      <c r="E5341" s="4"/>
      <c r="F5341" s="4"/>
      <c r="G5341" s="33" t="str">
        <f>IFERROR(VLOOKUP($D5341,'Informations sur les produits'!$A$3:$H$10000,8,FALSE),"0")</f>
        <v>0</v>
      </c>
      <c r="K5341" s="4"/>
      <c r="L5341" s="33" t="str">
        <f>IFERROR(VLOOKUP($J5341,'Informations sur les produits'!$A$3:$H$10000,8,FALSE),"0")</f>
        <v>0</v>
      </c>
      <c r="N5341" s="8"/>
      <c r="O5341" s="33" t="str">
        <f>IFERROR(VLOOKUP($M5341,'Informations sur les produits'!$A$3:$H$10000,8,FALSE),"0")</f>
        <v>0</v>
      </c>
      <c r="P5341" s="33">
        <f t="shared" si="332"/>
        <v>0</v>
      </c>
      <c r="Q5341" s="31" t="str">
        <f t="shared" si="333"/>
        <v/>
      </c>
      <c r="R5341" s="32" t="str">
        <f>IFERROR(VLOOKUP($D5341,'Informations sur les produits'!$A$3:$B$15000,2,FALSE),"")</f>
        <v/>
      </c>
      <c r="V5341">
        <f t="shared" si="334"/>
        <v>0</v>
      </c>
      <c r="W5341">
        <f t="shared" si="335"/>
        <v>0</v>
      </c>
    </row>
    <row r="5342" spans="5:23" x14ac:dyDescent="0.25">
      <c r="E5342" s="4"/>
      <c r="F5342" s="4"/>
      <c r="G5342" s="33" t="str">
        <f>IFERROR(VLOOKUP($D5342,'Informations sur les produits'!$A$3:$H$10000,8,FALSE),"0")</f>
        <v>0</v>
      </c>
      <c r="K5342" s="4"/>
      <c r="L5342" s="33" t="str">
        <f>IFERROR(VLOOKUP($J5342,'Informations sur les produits'!$A$3:$H$10000,8,FALSE),"0")</f>
        <v>0</v>
      </c>
      <c r="N5342" s="8"/>
      <c r="O5342" s="33" t="str">
        <f>IFERROR(VLOOKUP($M5342,'Informations sur les produits'!$A$3:$H$10000,8,FALSE),"0")</f>
        <v>0</v>
      </c>
      <c r="P5342" s="33">
        <f t="shared" si="332"/>
        <v>0</v>
      </c>
      <c r="Q5342" s="31" t="str">
        <f t="shared" si="333"/>
        <v/>
      </c>
      <c r="R5342" s="32" t="str">
        <f>IFERROR(VLOOKUP($D5342,'Informations sur les produits'!$A$3:$B$15000,2,FALSE),"")</f>
        <v/>
      </c>
      <c r="V5342">
        <f t="shared" si="334"/>
        <v>0</v>
      </c>
      <c r="W5342">
        <f t="shared" si="335"/>
        <v>0</v>
      </c>
    </row>
    <row r="5343" spans="5:23" x14ac:dyDescent="0.25">
      <c r="E5343" s="4"/>
      <c r="F5343" s="4"/>
      <c r="G5343" s="33" t="str">
        <f>IFERROR(VLOOKUP($D5343,'Informations sur les produits'!$A$3:$H$10000,8,FALSE),"0")</f>
        <v>0</v>
      </c>
      <c r="K5343" s="4"/>
      <c r="L5343" s="33" t="str">
        <f>IFERROR(VLOOKUP($J5343,'Informations sur les produits'!$A$3:$H$10000,8,FALSE),"0")</f>
        <v>0</v>
      </c>
      <c r="N5343" s="8"/>
      <c r="O5343" s="33" t="str">
        <f>IFERROR(VLOOKUP($M5343,'Informations sur les produits'!$A$3:$H$10000,8,FALSE),"0")</f>
        <v>0</v>
      </c>
      <c r="P5343" s="33">
        <f t="shared" si="332"/>
        <v>0</v>
      </c>
      <c r="Q5343" s="31" t="str">
        <f t="shared" si="333"/>
        <v/>
      </c>
      <c r="R5343" s="32" t="str">
        <f>IFERROR(VLOOKUP($D5343,'Informations sur les produits'!$A$3:$B$15000,2,FALSE),"")</f>
        <v/>
      </c>
      <c r="V5343">
        <f t="shared" si="334"/>
        <v>0</v>
      </c>
      <c r="W5343">
        <f t="shared" si="335"/>
        <v>0</v>
      </c>
    </row>
    <row r="5344" spans="5:23" x14ac:dyDescent="0.25">
      <c r="E5344" s="4"/>
      <c r="F5344" s="4"/>
      <c r="G5344" s="33" t="str">
        <f>IFERROR(VLOOKUP($D5344,'Informations sur les produits'!$A$3:$H$10000,8,FALSE),"0")</f>
        <v>0</v>
      </c>
      <c r="K5344" s="4"/>
      <c r="L5344" s="33" t="str">
        <f>IFERROR(VLOOKUP($J5344,'Informations sur les produits'!$A$3:$H$10000,8,FALSE),"0")</f>
        <v>0</v>
      </c>
      <c r="N5344" s="8"/>
      <c r="O5344" s="33" t="str">
        <f>IFERROR(VLOOKUP($M5344,'Informations sur les produits'!$A$3:$H$10000,8,FALSE),"0")</f>
        <v>0</v>
      </c>
      <c r="P5344" s="33">
        <f t="shared" si="332"/>
        <v>0</v>
      </c>
      <c r="Q5344" s="31" t="str">
        <f t="shared" si="333"/>
        <v/>
      </c>
      <c r="R5344" s="32" t="str">
        <f>IFERROR(VLOOKUP($D5344,'Informations sur les produits'!$A$3:$B$15000,2,FALSE),"")</f>
        <v/>
      </c>
      <c r="V5344">
        <f t="shared" si="334"/>
        <v>0</v>
      </c>
      <c r="W5344">
        <f t="shared" si="335"/>
        <v>0</v>
      </c>
    </row>
    <row r="5345" spans="5:23" x14ac:dyDescent="0.25">
      <c r="E5345" s="4"/>
      <c r="F5345" s="4"/>
      <c r="G5345" s="33" t="str">
        <f>IFERROR(VLOOKUP($D5345,'Informations sur les produits'!$A$3:$H$10000,8,FALSE),"0")</f>
        <v>0</v>
      </c>
      <c r="K5345" s="4"/>
      <c r="L5345" s="33" t="str">
        <f>IFERROR(VLOOKUP($J5345,'Informations sur les produits'!$A$3:$H$10000,8,FALSE),"0")</f>
        <v>0</v>
      </c>
      <c r="N5345" s="8"/>
      <c r="O5345" s="33" t="str">
        <f>IFERROR(VLOOKUP($M5345,'Informations sur les produits'!$A$3:$H$10000,8,FALSE),"0")</f>
        <v>0</v>
      </c>
      <c r="P5345" s="33">
        <f t="shared" si="332"/>
        <v>0</v>
      </c>
      <c r="Q5345" s="31" t="str">
        <f t="shared" si="333"/>
        <v/>
      </c>
      <c r="R5345" s="32" t="str">
        <f>IFERROR(VLOOKUP($D5345,'Informations sur les produits'!$A$3:$B$15000,2,FALSE),"")</f>
        <v/>
      </c>
      <c r="V5345">
        <f t="shared" si="334"/>
        <v>0</v>
      </c>
      <c r="W5345">
        <f t="shared" si="335"/>
        <v>0</v>
      </c>
    </row>
    <row r="5346" spans="5:23" x14ac:dyDescent="0.25">
      <c r="E5346" s="4"/>
      <c r="F5346" s="4"/>
      <c r="G5346" s="33" t="str">
        <f>IFERROR(VLOOKUP($D5346,'Informations sur les produits'!$A$3:$H$10000,8,FALSE),"0")</f>
        <v>0</v>
      </c>
      <c r="K5346" s="4"/>
      <c r="L5346" s="33" t="str">
        <f>IFERROR(VLOOKUP($J5346,'Informations sur les produits'!$A$3:$H$10000,8,FALSE),"0")</f>
        <v>0</v>
      </c>
      <c r="N5346" s="8"/>
      <c r="O5346" s="33" t="str">
        <f>IFERROR(VLOOKUP($M5346,'Informations sur les produits'!$A$3:$H$10000,8,FALSE),"0")</f>
        <v>0</v>
      </c>
      <c r="P5346" s="33">
        <f t="shared" si="332"/>
        <v>0</v>
      </c>
      <c r="Q5346" s="31" t="str">
        <f t="shared" si="333"/>
        <v/>
      </c>
      <c r="R5346" s="32" t="str">
        <f>IFERROR(VLOOKUP($D5346,'Informations sur les produits'!$A$3:$B$15000,2,FALSE),"")</f>
        <v/>
      </c>
      <c r="V5346">
        <f t="shared" si="334"/>
        <v>0</v>
      </c>
      <c r="W5346">
        <f t="shared" si="335"/>
        <v>0</v>
      </c>
    </row>
    <row r="5347" spans="5:23" x14ac:dyDescent="0.25">
      <c r="E5347" s="4"/>
      <c r="F5347" s="4"/>
      <c r="G5347" s="33" t="str">
        <f>IFERROR(VLOOKUP($D5347,'Informations sur les produits'!$A$3:$H$10000,8,FALSE),"0")</f>
        <v>0</v>
      </c>
      <c r="K5347" s="4"/>
      <c r="L5347" s="33" t="str">
        <f>IFERROR(VLOOKUP($J5347,'Informations sur les produits'!$A$3:$H$10000,8,FALSE),"0")</f>
        <v>0</v>
      </c>
      <c r="N5347" s="8"/>
      <c r="O5347" s="33" t="str">
        <f>IFERROR(VLOOKUP($M5347,'Informations sur les produits'!$A$3:$H$10000,8,FALSE),"0")</f>
        <v>0</v>
      </c>
      <c r="P5347" s="33">
        <f t="shared" si="332"/>
        <v>0</v>
      </c>
      <c r="Q5347" s="31" t="str">
        <f t="shared" si="333"/>
        <v/>
      </c>
      <c r="R5347" s="32" t="str">
        <f>IFERROR(VLOOKUP($D5347,'Informations sur les produits'!$A$3:$B$15000,2,FALSE),"")</f>
        <v/>
      </c>
      <c r="V5347">
        <f t="shared" si="334"/>
        <v>0</v>
      </c>
      <c r="W5347">
        <f t="shared" si="335"/>
        <v>0</v>
      </c>
    </row>
    <row r="5348" spans="5:23" x14ac:dyDescent="0.25">
      <c r="E5348" s="4"/>
      <c r="F5348" s="4"/>
      <c r="G5348" s="33" t="str">
        <f>IFERROR(VLOOKUP($D5348,'Informations sur les produits'!$A$3:$H$10000,8,FALSE),"0")</f>
        <v>0</v>
      </c>
      <c r="K5348" s="4"/>
      <c r="L5348" s="33" t="str">
        <f>IFERROR(VLOOKUP($J5348,'Informations sur les produits'!$A$3:$H$10000,8,FALSE),"0")</f>
        <v>0</v>
      </c>
      <c r="N5348" s="8"/>
      <c r="O5348" s="33" t="str">
        <f>IFERROR(VLOOKUP($M5348,'Informations sur les produits'!$A$3:$H$10000,8,FALSE),"0")</f>
        <v>0</v>
      </c>
      <c r="P5348" s="33">
        <f t="shared" si="332"/>
        <v>0</v>
      </c>
      <c r="Q5348" s="31" t="str">
        <f t="shared" si="333"/>
        <v/>
      </c>
      <c r="R5348" s="32" t="str">
        <f>IFERROR(VLOOKUP($D5348,'Informations sur les produits'!$A$3:$B$15000,2,FALSE),"")</f>
        <v/>
      </c>
      <c r="V5348">
        <f t="shared" si="334"/>
        <v>0</v>
      </c>
      <c r="W5348">
        <f t="shared" si="335"/>
        <v>0</v>
      </c>
    </row>
    <row r="5349" spans="5:23" x14ac:dyDescent="0.25">
      <c r="E5349" s="4"/>
      <c r="F5349" s="4"/>
      <c r="G5349" s="33" t="str">
        <f>IFERROR(VLOOKUP($D5349,'Informations sur les produits'!$A$3:$H$10000,8,FALSE),"0")</f>
        <v>0</v>
      </c>
      <c r="K5349" s="4"/>
      <c r="L5349" s="33" t="str">
        <f>IFERROR(VLOOKUP($J5349,'Informations sur les produits'!$A$3:$H$10000,8,FALSE),"0")</f>
        <v>0</v>
      </c>
      <c r="N5349" s="8"/>
      <c r="O5349" s="33" t="str">
        <f>IFERROR(VLOOKUP($M5349,'Informations sur les produits'!$A$3:$H$10000,8,FALSE),"0")</f>
        <v>0</v>
      </c>
      <c r="P5349" s="33">
        <f t="shared" si="332"/>
        <v>0</v>
      </c>
      <c r="Q5349" s="31" t="str">
        <f t="shared" si="333"/>
        <v/>
      </c>
      <c r="R5349" s="32" t="str">
        <f>IFERROR(VLOOKUP($D5349,'Informations sur les produits'!$A$3:$B$15000,2,FALSE),"")</f>
        <v/>
      </c>
      <c r="V5349">
        <f t="shared" si="334"/>
        <v>0</v>
      </c>
      <c r="W5349">
        <f t="shared" si="335"/>
        <v>0</v>
      </c>
    </row>
    <row r="5350" spans="5:23" x14ac:dyDescent="0.25">
      <c r="E5350" s="4"/>
      <c r="F5350" s="4"/>
      <c r="G5350" s="33" t="str">
        <f>IFERROR(VLOOKUP($D5350,'Informations sur les produits'!$A$3:$H$10000,8,FALSE),"0")</f>
        <v>0</v>
      </c>
      <c r="K5350" s="4"/>
      <c r="L5350" s="33" t="str">
        <f>IFERROR(VLOOKUP($J5350,'Informations sur les produits'!$A$3:$H$10000,8,FALSE),"0")</f>
        <v>0</v>
      </c>
      <c r="N5350" s="8"/>
      <c r="O5350" s="33" t="str">
        <f>IFERROR(VLOOKUP($M5350,'Informations sur les produits'!$A$3:$H$10000,8,FALSE),"0")</f>
        <v>0</v>
      </c>
      <c r="P5350" s="33">
        <f t="shared" si="332"/>
        <v>0</v>
      </c>
      <c r="Q5350" s="31" t="str">
        <f t="shared" si="333"/>
        <v/>
      </c>
      <c r="R5350" s="32" t="str">
        <f>IFERROR(VLOOKUP($D5350,'Informations sur les produits'!$A$3:$B$15000,2,FALSE),"")</f>
        <v/>
      </c>
      <c r="V5350">
        <f t="shared" si="334"/>
        <v>0</v>
      </c>
      <c r="W5350">
        <f t="shared" si="335"/>
        <v>0</v>
      </c>
    </row>
    <row r="5351" spans="5:23" x14ac:dyDescent="0.25">
      <c r="E5351" s="4"/>
      <c r="F5351" s="4"/>
      <c r="G5351" s="33" t="str">
        <f>IFERROR(VLOOKUP($D5351,'Informations sur les produits'!$A$3:$H$10000,8,FALSE),"0")</f>
        <v>0</v>
      </c>
      <c r="K5351" s="4"/>
      <c r="L5351" s="33" t="str">
        <f>IFERROR(VLOOKUP($J5351,'Informations sur les produits'!$A$3:$H$10000,8,FALSE),"0")</f>
        <v>0</v>
      </c>
      <c r="N5351" s="8"/>
      <c r="O5351" s="33" t="str">
        <f>IFERROR(VLOOKUP($M5351,'Informations sur les produits'!$A$3:$H$10000,8,FALSE),"0")</f>
        <v>0</v>
      </c>
      <c r="P5351" s="33">
        <f t="shared" si="332"/>
        <v>0</v>
      </c>
      <c r="Q5351" s="31" t="str">
        <f t="shared" si="333"/>
        <v/>
      </c>
      <c r="R5351" s="32" t="str">
        <f>IFERROR(VLOOKUP($D5351,'Informations sur les produits'!$A$3:$B$15000,2,FALSE),"")</f>
        <v/>
      </c>
      <c r="V5351">
        <f t="shared" si="334"/>
        <v>0</v>
      </c>
      <c r="W5351">
        <f t="shared" si="335"/>
        <v>0</v>
      </c>
    </row>
    <row r="5352" spans="5:23" x14ac:dyDescent="0.25">
      <c r="E5352" s="4"/>
      <c r="F5352" s="4"/>
      <c r="G5352" s="33" t="str">
        <f>IFERROR(VLOOKUP($D5352,'Informations sur les produits'!$A$3:$H$10000,8,FALSE),"0")</f>
        <v>0</v>
      </c>
      <c r="K5352" s="4"/>
      <c r="L5352" s="33" t="str">
        <f>IFERROR(VLOOKUP($J5352,'Informations sur les produits'!$A$3:$H$10000,8,FALSE),"0")</f>
        <v>0</v>
      </c>
      <c r="N5352" s="8"/>
      <c r="O5352" s="33" t="str">
        <f>IFERROR(VLOOKUP($M5352,'Informations sur les produits'!$A$3:$H$10000,8,FALSE),"0")</f>
        <v>0</v>
      </c>
      <c r="P5352" s="33">
        <f t="shared" si="332"/>
        <v>0</v>
      </c>
      <c r="Q5352" s="31" t="str">
        <f t="shared" si="333"/>
        <v/>
      </c>
      <c r="R5352" s="32" t="str">
        <f>IFERROR(VLOOKUP($D5352,'Informations sur les produits'!$A$3:$B$15000,2,FALSE),"")</f>
        <v/>
      </c>
      <c r="V5352">
        <f t="shared" si="334"/>
        <v>0</v>
      </c>
      <c r="W5352">
        <f t="shared" si="335"/>
        <v>0</v>
      </c>
    </row>
    <row r="5353" spans="5:23" x14ac:dyDescent="0.25">
      <c r="E5353" s="4"/>
      <c r="F5353" s="4"/>
      <c r="G5353" s="33" t="str">
        <f>IFERROR(VLOOKUP($D5353,'Informations sur les produits'!$A$3:$H$10000,8,FALSE),"0")</f>
        <v>0</v>
      </c>
      <c r="K5353" s="4"/>
      <c r="L5353" s="33" t="str">
        <f>IFERROR(VLOOKUP($J5353,'Informations sur les produits'!$A$3:$H$10000,8,FALSE),"0")</f>
        <v>0</v>
      </c>
      <c r="N5353" s="8"/>
      <c r="O5353" s="33" t="str">
        <f>IFERROR(VLOOKUP($M5353,'Informations sur les produits'!$A$3:$H$10000,8,FALSE),"0")</f>
        <v>0</v>
      </c>
      <c r="P5353" s="33">
        <f t="shared" si="332"/>
        <v>0</v>
      </c>
      <c r="Q5353" s="31" t="str">
        <f t="shared" si="333"/>
        <v/>
      </c>
      <c r="R5353" s="32" t="str">
        <f>IFERROR(VLOOKUP($D5353,'Informations sur les produits'!$A$3:$B$15000,2,FALSE),"")</f>
        <v/>
      </c>
      <c r="V5353">
        <f t="shared" si="334"/>
        <v>0</v>
      </c>
      <c r="W5353">
        <f t="shared" si="335"/>
        <v>0</v>
      </c>
    </row>
    <row r="5354" spans="5:23" x14ac:dyDescent="0.25">
      <c r="E5354" s="4"/>
      <c r="F5354" s="4"/>
      <c r="G5354" s="33" t="str">
        <f>IFERROR(VLOOKUP($D5354,'Informations sur les produits'!$A$3:$H$10000,8,FALSE),"0")</f>
        <v>0</v>
      </c>
      <c r="K5354" s="4"/>
      <c r="L5354" s="33" t="str">
        <f>IFERROR(VLOOKUP($J5354,'Informations sur les produits'!$A$3:$H$10000,8,FALSE),"0")</f>
        <v>0</v>
      </c>
      <c r="N5354" s="8"/>
      <c r="O5354" s="33" t="str">
        <f>IFERROR(VLOOKUP($M5354,'Informations sur les produits'!$A$3:$H$10000,8,FALSE),"0")</f>
        <v>0</v>
      </c>
      <c r="P5354" s="33">
        <f t="shared" si="332"/>
        <v>0</v>
      </c>
      <c r="Q5354" s="31" t="str">
        <f t="shared" si="333"/>
        <v/>
      </c>
      <c r="R5354" s="32" t="str">
        <f>IFERROR(VLOOKUP($D5354,'Informations sur les produits'!$A$3:$B$15000,2,FALSE),"")</f>
        <v/>
      </c>
      <c r="V5354">
        <f t="shared" si="334"/>
        <v>0</v>
      </c>
      <c r="W5354">
        <f t="shared" si="335"/>
        <v>0</v>
      </c>
    </row>
    <row r="5355" spans="5:23" x14ac:dyDescent="0.25">
      <c r="E5355" s="4"/>
      <c r="F5355" s="4"/>
      <c r="G5355" s="33" t="str">
        <f>IFERROR(VLOOKUP($D5355,'Informations sur les produits'!$A$3:$H$10000,8,FALSE),"0")</f>
        <v>0</v>
      </c>
      <c r="K5355" s="4"/>
      <c r="L5355" s="33" t="str">
        <f>IFERROR(VLOOKUP($J5355,'Informations sur les produits'!$A$3:$H$10000,8,FALSE),"0")</f>
        <v>0</v>
      </c>
      <c r="N5355" s="8"/>
      <c r="O5355" s="33" t="str">
        <f>IFERROR(VLOOKUP($M5355,'Informations sur les produits'!$A$3:$H$10000,8,FALSE),"0")</f>
        <v>0</v>
      </c>
      <c r="P5355" s="33">
        <f t="shared" si="332"/>
        <v>0</v>
      </c>
      <c r="Q5355" s="31" t="str">
        <f t="shared" si="333"/>
        <v/>
      </c>
      <c r="R5355" s="32" t="str">
        <f>IFERROR(VLOOKUP($D5355,'Informations sur les produits'!$A$3:$B$15000,2,FALSE),"")</f>
        <v/>
      </c>
      <c r="V5355">
        <f t="shared" si="334"/>
        <v>0</v>
      </c>
      <c r="W5355">
        <f t="shared" si="335"/>
        <v>0</v>
      </c>
    </row>
    <row r="5356" spans="5:23" x14ac:dyDescent="0.25">
      <c r="E5356" s="4"/>
      <c r="F5356" s="4"/>
      <c r="G5356" s="33" t="str">
        <f>IFERROR(VLOOKUP($D5356,'Informations sur les produits'!$A$3:$H$10000,8,FALSE),"0")</f>
        <v>0</v>
      </c>
      <c r="K5356" s="4"/>
      <c r="L5356" s="33" t="str">
        <f>IFERROR(VLOOKUP($J5356,'Informations sur les produits'!$A$3:$H$10000,8,FALSE),"0")</f>
        <v>0</v>
      </c>
      <c r="N5356" s="8"/>
      <c r="O5356" s="33" t="str">
        <f>IFERROR(VLOOKUP($M5356,'Informations sur les produits'!$A$3:$H$10000,8,FALSE),"0")</f>
        <v>0</v>
      </c>
      <c r="P5356" s="33">
        <f t="shared" si="332"/>
        <v>0</v>
      </c>
      <c r="Q5356" s="31" t="str">
        <f t="shared" si="333"/>
        <v/>
      </c>
      <c r="R5356" s="32" t="str">
        <f>IFERROR(VLOOKUP($D5356,'Informations sur les produits'!$A$3:$B$15000,2,FALSE),"")</f>
        <v/>
      </c>
      <c r="V5356">
        <f t="shared" si="334"/>
        <v>0</v>
      </c>
      <c r="W5356">
        <f t="shared" si="335"/>
        <v>0</v>
      </c>
    </row>
    <row r="5357" spans="5:23" x14ac:dyDescent="0.25">
      <c r="E5357" s="4"/>
      <c r="F5357" s="4"/>
      <c r="G5357" s="33" t="str">
        <f>IFERROR(VLOOKUP($D5357,'Informations sur les produits'!$A$3:$H$10000,8,FALSE),"0")</f>
        <v>0</v>
      </c>
      <c r="K5357" s="4"/>
      <c r="L5357" s="33" t="str">
        <f>IFERROR(VLOOKUP($J5357,'Informations sur les produits'!$A$3:$H$10000,8,FALSE),"0")</f>
        <v>0</v>
      </c>
      <c r="N5357" s="8"/>
      <c r="O5357" s="33" t="str">
        <f>IFERROR(VLOOKUP($M5357,'Informations sur les produits'!$A$3:$H$10000,8,FALSE),"0")</f>
        <v>0</v>
      </c>
      <c r="P5357" s="33">
        <f t="shared" si="332"/>
        <v>0</v>
      </c>
      <c r="Q5357" s="31" t="str">
        <f t="shared" si="333"/>
        <v/>
      </c>
      <c r="R5357" s="32" t="str">
        <f>IFERROR(VLOOKUP($D5357,'Informations sur les produits'!$A$3:$B$15000,2,FALSE),"")</f>
        <v/>
      </c>
      <c r="V5357">
        <f t="shared" si="334"/>
        <v>0</v>
      </c>
      <c r="W5357">
        <f t="shared" si="335"/>
        <v>0</v>
      </c>
    </row>
    <row r="5358" spans="5:23" x14ac:dyDescent="0.25">
      <c r="E5358" s="4"/>
      <c r="F5358" s="4"/>
      <c r="G5358" s="33" t="str">
        <f>IFERROR(VLOOKUP($D5358,'Informations sur les produits'!$A$3:$H$10000,8,FALSE),"0")</f>
        <v>0</v>
      </c>
      <c r="K5358" s="4"/>
      <c r="L5358" s="33" t="str">
        <f>IFERROR(VLOOKUP($J5358,'Informations sur les produits'!$A$3:$H$10000,8,FALSE),"0")</f>
        <v>0</v>
      </c>
      <c r="N5358" s="8"/>
      <c r="O5358" s="33" t="str">
        <f>IFERROR(VLOOKUP($M5358,'Informations sur les produits'!$A$3:$H$10000,8,FALSE),"0")</f>
        <v>0</v>
      </c>
      <c r="P5358" s="33">
        <f t="shared" si="332"/>
        <v>0</v>
      </c>
      <c r="Q5358" s="31" t="str">
        <f t="shared" si="333"/>
        <v/>
      </c>
      <c r="R5358" s="32" t="str">
        <f>IFERROR(VLOOKUP($D5358,'Informations sur les produits'!$A$3:$B$15000,2,FALSE),"")</f>
        <v/>
      </c>
      <c r="V5358">
        <f t="shared" si="334"/>
        <v>0</v>
      </c>
      <c r="W5358">
        <f t="shared" si="335"/>
        <v>0</v>
      </c>
    </row>
    <row r="5359" spans="5:23" x14ac:dyDescent="0.25">
      <c r="E5359" s="4"/>
      <c r="F5359" s="4"/>
      <c r="G5359" s="33" t="str">
        <f>IFERROR(VLOOKUP($D5359,'Informations sur les produits'!$A$3:$H$10000,8,FALSE),"0")</f>
        <v>0</v>
      </c>
      <c r="K5359" s="4"/>
      <c r="L5359" s="33" t="str">
        <f>IFERROR(VLOOKUP($J5359,'Informations sur les produits'!$A$3:$H$10000,8,FALSE),"0")</f>
        <v>0</v>
      </c>
      <c r="N5359" s="8"/>
      <c r="O5359" s="33" t="str">
        <f>IFERROR(VLOOKUP($M5359,'Informations sur les produits'!$A$3:$H$10000,8,FALSE),"0")</f>
        <v>0</v>
      </c>
      <c r="P5359" s="33">
        <f t="shared" si="332"/>
        <v>0</v>
      </c>
      <c r="Q5359" s="31" t="str">
        <f t="shared" si="333"/>
        <v/>
      </c>
      <c r="R5359" s="32" t="str">
        <f>IFERROR(VLOOKUP($D5359,'Informations sur les produits'!$A$3:$B$15000,2,FALSE),"")</f>
        <v/>
      </c>
      <c r="V5359">
        <f t="shared" si="334"/>
        <v>0</v>
      </c>
      <c r="W5359">
        <f t="shared" si="335"/>
        <v>0</v>
      </c>
    </row>
    <row r="5360" spans="5:23" x14ac:dyDescent="0.25">
      <c r="E5360" s="4"/>
      <c r="F5360" s="4"/>
      <c r="G5360" s="33" t="str">
        <f>IFERROR(VLOOKUP($D5360,'Informations sur les produits'!$A$3:$H$10000,8,FALSE),"0")</f>
        <v>0</v>
      </c>
      <c r="K5360" s="4"/>
      <c r="L5360" s="33" t="str">
        <f>IFERROR(VLOOKUP($J5360,'Informations sur les produits'!$A$3:$H$10000,8,FALSE),"0")</f>
        <v>0</v>
      </c>
      <c r="N5360" s="8"/>
      <c r="O5360" s="33" t="str">
        <f>IFERROR(VLOOKUP($M5360,'Informations sur les produits'!$A$3:$H$10000,8,FALSE),"0")</f>
        <v>0</v>
      </c>
      <c r="P5360" s="33">
        <f t="shared" si="332"/>
        <v>0</v>
      </c>
      <c r="Q5360" s="31" t="str">
        <f t="shared" si="333"/>
        <v/>
      </c>
      <c r="R5360" s="32" t="str">
        <f>IFERROR(VLOOKUP($D5360,'Informations sur les produits'!$A$3:$B$15000,2,FALSE),"")</f>
        <v/>
      </c>
      <c r="V5360">
        <f t="shared" si="334"/>
        <v>0</v>
      </c>
      <c r="W5360">
        <f t="shared" si="335"/>
        <v>0</v>
      </c>
    </row>
    <row r="5361" spans="5:23" x14ac:dyDescent="0.25">
      <c r="E5361" s="4"/>
      <c r="F5361" s="4"/>
      <c r="G5361" s="33" t="str">
        <f>IFERROR(VLOOKUP($D5361,'Informations sur les produits'!$A$3:$H$10000,8,FALSE),"0")</f>
        <v>0</v>
      </c>
      <c r="K5361" s="4"/>
      <c r="L5361" s="33" t="str">
        <f>IFERROR(VLOOKUP($J5361,'Informations sur les produits'!$A$3:$H$10000,8,FALSE),"0")</f>
        <v>0</v>
      </c>
      <c r="N5361" s="8"/>
      <c r="O5361" s="33" t="str">
        <f>IFERROR(VLOOKUP($M5361,'Informations sur les produits'!$A$3:$H$10000,8,FALSE),"0")</f>
        <v>0</v>
      </c>
      <c r="P5361" s="33">
        <f t="shared" si="332"/>
        <v>0</v>
      </c>
      <c r="Q5361" s="31" t="str">
        <f t="shared" si="333"/>
        <v/>
      </c>
      <c r="R5361" s="32" t="str">
        <f>IFERROR(VLOOKUP($D5361,'Informations sur les produits'!$A$3:$B$15000,2,FALSE),"")</f>
        <v/>
      </c>
      <c r="V5361">
        <f t="shared" si="334"/>
        <v>0</v>
      </c>
      <c r="W5361">
        <f t="shared" si="335"/>
        <v>0</v>
      </c>
    </row>
    <row r="5362" spans="5:23" x14ac:dyDescent="0.25">
      <c r="E5362" s="4"/>
      <c r="F5362" s="4"/>
      <c r="G5362" s="33" t="str">
        <f>IFERROR(VLOOKUP($D5362,'Informations sur les produits'!$A$3:$H$10000,8,FALSE),"0")</f>
        <v>0</v>
      </c>
      <c r="K5362" s="4"/>
      <c r="L5362" s="33" t="str">
        <f>IFERROR(VLOOKUP($J5362,'Informations sur les produits'!$A$3:$H$10000,8,FALSE),"0")</f>
        <v>0</v>
      </c>
      <c r="N5362" s="8"/>
      <c r="O5362" s="33" t="str">
        <f>IFERROR(VLOOKUP($M5362,'Informations sur les produits'!$A$3:$H$10000,8,FALSE),"0")</f>
        <v>0</v>
      </c>
      <c r="P5362" s="33">
        <f t="shared" si="332"/>
        <v>0</v>
      </c>
      <c r="Q5362" s="31" t="str">
        <f t="shared" si="333"/>
        <v/>
      </c>
      <c r="R5362" s="32" t="str">
        <f>IFERROR(VLOOKUP($D5362,'Informations sur les produits'!$A$3:$B$15000,2,FALSE),"")</f>
        <v/>
      </c>
      <c r="V5362">
        <f t="shared" si="334"/>
        <v>0</v>
      </c>
      <c r="W5362">
        <f t="shared" si="335"/>
        <v>0</v>
      </c>
    </row>
    <row r="5363" spans="5:23" x14ac:dyDescent="0.25">
      <c r="E5363" s="4"/>
      <c r="F5363" s="4"/>
      <c r="G5363" s="33" t="str">
        <f>IFERROR(VLOOKUP($D5363,'Informations sur les produits'!$A$3:$H$10000,8,FALSE),"0")</f>
        <v>0</v>
      </c>
      <c r="K5363" s="4"/>
      <c r="L5363" s="33" t="str">
        <f>IFERROR(VLOOKUP($J5363,'Informations sur les produits'!$A$3:$H$10000,8,FALSE),"0")</f>
        <v>0</v>
      </c>
      <c r="N5363" s="8"/>
      <c r="O5363" s="33" t="str">
        <f>IFERROR(VLOOKUP($M5363,'Informations sur les produits'!$A$3:$H$10000,8,FALSE),"0")</f>
        <v>0</v>
      </c>
      <c r="P5363" s="33">
        <f t="shared" si="332"/>
        <v>0</v>
      </c>
      <c r="Q5363" s="31" t="str">
        <f t="shared" si="333"/>
        <v/>
      </c>
      <c r="R5363" s="32" t="str">
        <f>IFERROR(VLOOKUP($D5363,'Informations sur les produits'!$A$3:$B$15000,2,FALSE),"")</f>
        <v/>
      </c>
      <c r="V5363">
        <f t="shared" si="334"/>
        <v>0</v>
      </c>
      <c r="W5363">
        <f t="shared" si="335"/>
        <v>0</v>
      </c>
    </row>
    <row r="5364" spans="5:23" x14ac:dyDescent="0.25">
      <c r="E5364" s="4"/>
      <c r="F5364" s="4"/>
      <c r="G5364" s="33" t="str">
        <f>IFERROR(VLOOKUP($D5364,'Informations sur les produits'!$A$3:$H$10000,8,FALSE),"0")</f>
        <v>0</v>
      </c>
      <c r="K5364" s="4"/>
      <c r="L5364" s="33" t="str">
        <f>IFERROR(VLOOKUP($J5364,'Informations sur les produits'!$A$3:$H$10000,8,FALSE),"0")</f>
        <v>0</v>
      </c>
      <c r="N5364" s="8"/>
      <c r="O5364" s="33" t="str">
        <f>IFERROR(VLOOKUP($M5364,'Informations sur les produits'!$A$3:$H$10000,8,FALSE),"0")</f>
        <v>0</v>
      </c>
      <c r="P5364" s="33">
        <f t="shared" si="332"/>
        <v>0</v>
      </c>
      <c r="Q5364" s="31" t="str">
        <f t="shared" si="333"/>
        <v/>
      </c>
      <c r="R5364" s="32" t="str">
        <f>IFERROR(VLOOKUP($D5364,'Informations sur les produits'!$A$3:$B$15000,2,FALSE),"")</f>
        <v/>
      </c>
      <c r="V5364">
        <f t="shared" si="334"/>
        <v>0</v>
      </c>
      <c r="W5364">
        <f t="shared" si="335"/>
        <v>0</v>
      </c>
    </row>
    <row r="5365" spans="5:23" x14ac:dyDescent="0.25">
      <c r="E5365" s="4"/>
      <c r="F5365" s="4"/>
      <c r="G5365" s="33" t="str">
        <f>IFERROR(VLOOKUP($D5365,'Informations sur les produits'!$A$3:$H$10000,8,FALSE),"0")</f>
        <v>0</v>
      </c>
      <c r="K5365" s="4"/>
      <c r="L5365" s="33" t="str">
        <f>IFERROR(VLOOKUP($J5365,'Informations sur les produits'!$A$3:$H$10000,8,FALSE),"0")</f>
        <v>0</v>
      </c>
      <c r="N5365" s="8"/>
      <c r="O5365" s="33" t="str">
        <f>IFERROR(VLOOKUP($M5365,'Informations sur les produits'!$A$3:$H$10000,8,FALSE),"0")</f>
        <v>0</v>
      </c>
      <c r="P5365" s="33">
        <f t="shared" si="332"/>
        <v>0</v>
      </c>
      <c r="Q5365" s="31" t="str">
        <f t="shared" si="333"/>
        <v/>
      </c>
      <c r="R5365" s="32" t="str">
        <f>IFERROR(VLOOKUP($D5365,'Informations sur les produits'!$A$3:$B$15000,2,FALSE),"")</f>
        <v/>
      </c>
      <c r="V5365">
        <f t="shared" si="334"/>
        <v>0</v>
      </c>
      <c r="W5365">
        <f t="shared" si="335"/>
        <v>0</v>
      </c>
    </row>
    <row r="5366" spans="5:23" x14ac:dyDescent="0.25">
      <c r="E5366" s="4"/>
      <c r="F5366" s="4"/>
      <c r="G5366" s="33" t="str">
        <f>IFERROR(VLOOKUP($D5366,'Informations sur les produits'!$A$3:$H$10000,8,FALSE),"0")</f>
        <v>0</v>
      </c>
      <c r="K5366" s="4"/>
      <c r="L5366" s="33" t="str">
        <f>IFERROR(VLOOKUP($J5366,'Informations sur les produits'!$A$3:$H$10000,8,FALSE),"0")</f>
        <v>0</v>
      </c>
      <c r="N5366" s="8"/>
      <c r="O5366" s="33" t="str">
        <f>IFERROR(VLOOKUP($M5366,'Informations sur les produits'!$A$3:$H$10000,8,FALSE),"0")</f>
        <v>0</v>
      </c>
      <c r="P5366" s="33">
        <f t="shared" si="332"/>
        <v>0</v>
      </c>
      <c r="Q5366" s="31" t="str">
        <f t="shared" si="333"/>
        <v/>
      </c>
      <c r="R5366" s="32" t="str">
        <f>IFERROR(VLOOKUP($D5366,'Informations sur les produits'!$A$3:$B$15000,2,FALSE),"")</f>
        <v/>
      </c>
      <c r="V5366">
        <f t="shared" si="334"/>
        <v>0</v>
      </c>
      <c r="W5366">
        <f t="shared" si="335"/>
        <v>0</v>
      </c>
    </row>
    <row r="5367" spans="5:23" x14ac:dyDescent="0.25">
      <c r="E5367" s="4"/>
      <c r="F5367" s="4"/>
      <c r="G5367" s="33" t="str">
        <f>IFERROR(VLOOKUP($D5367,'Informations sur les produits'!$A$3:$H$10000,8,FALSE),"0")</f>
        <v>0</v>
      </c>
      <c r="K5367" s="4"/>
      <c r="L5367" s="33" t="str">
        <f>IFERROR(VLOOKUP($J5367,'Informations sur les produits'!$A$3:$H$10000,8,FALSE),"0")</f>
        <v>0</v>
      </c>
      <c r="N5367" s="8"/>
      <c r="O5367" s="33" t="str">
        <f>IFERROR(VLOOKUP($M5367,'Informations sur les produits'!$A$3:$H$10000,8,FALSE),"0")</f>
        <v>0</v>
      </c>
      <c r="P5367" s="33">
        <f t="shared" si="332"/>
        <v>0</v>
      </c>
      <c r="Q5367" s="31" t="str">
        <f t="shared" si="333"/>
        <v/>
      </c>
      <c r="R5367" s="32" t="str">
        <f>IFERROR(VLOOKUP($D5367,'Informations sur les produits'!$A$3:$B$15000,2,FALSE),"")</f>
        <v/>
      </c>
      <c r="V5367">
        <f t="shared" si="334"/>
        <v>0</v>
      </c>
      <c r="W5367">
        <f t="shared" si="335"/>
        <v>0</v>
      </c>
    </row>
    <row r="5368" spans="5:23" x14ac:dyDescent="0.25">
      <c r="E5368" s="4"/>
      <c r="F5368" s="4"/>
      <c r="G5368" s="33" t="str">
        <f>IFERROR(VLOOKUP($D5368,'Informations sur les produits'!$A$3:$H$10000,8,FALSE),"0")</f>
        <v>0</v>
      </c>
      <c r="K5368" s="4"/>
      <c r="L5368" s="33" t="str">
        <f>IFERROR(VLOOKUP($J5368,'Informations sur les produits'!$A$3:$H$10000,8,FALSE),"0")</f>
        <v>0</v>
      </c>
      <c r="N5368" s="8"/>
      <c r="O5368" s="33" t="str">
        <f>IFERROR(VLOOKUP($M5368,'Informations sur les produits'!$A$3:$H$10000,8,FALSE),"0")</f>
        <v>0</v>
      </c>
      <c r="P5368" s="33">
        <f t="shared" si="332"/>
        <v>0</v>
      </c>
      <c r="Q5368" s="31" t="str">
        <f t="shared" si="333"/>
        <v/>
      </c>
      <c r="R5368" s="32" t="str">
        <f>IFERROR(VLOOKUP($D5368,'Informations sur les produits'!$A$3:$B$15000,2,FALSE),"")</f>
        <v/>
      </c>
      <c r="V5368">
        <f t="shared" si="334"/>
        <v>0</v>
      </c>
      <c r="W5368">
        <f t="shared" si="335"/>
        <v>0</v>
      </c>
    </row>
    <row r="5369" spans="5:23" x14ac:dyDescent="0.25">
      <c r="E5369" s="4"/>
      <c r="F5369" s="4"/>
      <c r="G5369" s="33" t="str">
        <f>IFERROR(VLOOKUP($D5369,'Informations sur les produits'!$A$3:$H$10000,8,FALSE),"0")</f>
        <v>0</v>
      </c>
      <c r="K5369" s="4"/>
      <c r="L5369" s="33" t="str">
        <f>IFERROR(VLOOKUP($J5369,'Informations sur les produits'!$A$3:$H$10000,8,FALSE),"0")</f>
        <v>0</v>
      </c>
      <c r="N5369" s="8"/>
      <c r="O5369" s="33" t="str">
        <f>IFERROR(VLOOKUP($M5369,'Informations sur les produits'!$A$3:$H$10000,8,FALSE),"0")</f>
        <v>0</v>
      </c>
      <c r="P5369" s="33">
        <f t="shared" si="332"/>
        <v>0</v>
      </c>
      <c r="Q5369" s="31" t="str">
        <f t="shared" si="333"/>
        <v/>
      </c>
      <c r="R5369" s="32" t="str">
        <f>IFERROR(VLOOKUP($D5369,'Informations sur les produits'!$A$3:$B$15000,2,FALSE),"")</f>
        <v/>
      </c>
      <c r="V5369">
        <f t="shared" si="334"/>
        <v>0</v>
      </c>
      <c r="W5369">
        <f t="shared" si="335"/>
        <v>0</v>
      </c>
    </row>
    <row r="5370" spans="5:23" x14ac:dyDescent="0.25">
      <c r="E5370" s="4"/>
      <c r="F5370" s="4"/>
      <c r="G5370" s="33" t="str">
        <f>IFERROR(VLOOKUP($D5370,'Informations sur les produits'!$A$3:$H$10000,8,FALSE),"0")</f>
        <v>0</v>
      </c>
      <c r="K5370" s="4"/>
      <c r="L5370" s="33" t="str">
        <f>IFERROR(VLOOKUP($J5370,'Informations sur les produits'!$A$3:$H$10000,8,FALSE),"0")</f>
        <v>0</v>
      </c>
      <c r="N5370" s="8"/>
      <c r="O5370" s="33" t="str">
        <f>IFERROR(VLOOKUP($M5370,'Informations sur les produits'!$A$3:$H$10000,8,FALSE),"0")</f>
        <v>0</v>
      </c>
      <c r="P5370" s="33">
        <f t="shared" si="332"/>
        <v>0</v>
      </c>
      <c r="Q5370" s="31" t="str">
        <f t="shared" si="333"/>
        <v/>
      </c>
      <c r="R5370" s="32" t="str">
        <f>IFERROR(VLOOKUP($D5370,'Informations sur les produits'!$A$3:$B$15000,2,FALSE),"")</f>
        <v/>
      </c>
      <c r="V5370">
        <f t="shared" si="334"/>
        <v>0</v>
      </c>
      <c r="W5370">
        <f t="shared" si="335"/>
        <v>0</v>
      </c>
    </row>
    <row r="5371" spans="5:23" x14ac:dyDescent="0.25">
      <c r="E5371" s="4"/>
      <c r="F5371" s="4"/>
      <c r="G5371" s="33" t="str">
        <f>IFERROR(VLOOKUP($D5371,'Informations sur les produits'!$A$3:$H$10000,8,FALSE),"0")</f>
        <v>0</v>
      </c>
      <c r="K5371" s="4"/>
      <c r="L5371" s="33" t="str">
        <f>IFERROR(VLOOKUP($J5371,'Informations sur les produits'!$A$3:$H$10000,8,FALSE),"0")</f>
        <v>0</v>
      </c>
      <c r="N5371" s="8"/>
      <c r="O5371" s="33" t="str">
        <f>IFERROR(VLOOKUP($M5371,'Informations sur les produits'!$A$3:$H$10000,8,FALSE),"0")</f>
        <v>0</v>
      </c>
      <c r="P5371" s="33">
        <f t="shared" si="332"/>
        <v>0</v>
      </c>
      <c r="Q5371" s="31" t="str">
        <f t="shared" si="333"/>
        <v/>
      </c>
      <c r="R5371" s="32" t="str">
        <f>IFERROR(VLOOKUP($D5371,'Informations sur les produits'!$A$3:$B$15000,2,FALSE),"")</f>
        <v/>
      </c>
      <c r="V5371">
        <f t="shared" si="334"/>
        <v>0</v>
      </c>
      <c r="W5371">
        <f t="shared" si="335"/>
        <v>0</v>
      </c>
    </row>
    <row r="5372" spans="5:23" x14ac:dyDescent="0.25">
      <c r="E5372" s="4"/>
      <c r="F5372" s="4"/>
      <c r="G5372" s="33" t="str">
        <f>IFERROR(VLOOKUP($D5372,'Informations sur les produits'!$A$3:$H$10000,8,FALSE),"0")</f>
        <v>0</v>
      </c>
      <c r="K5372" s="4"/>
      <c r="L5372" s="33" t="str">
        <f>IFERROR(VLOOKUP($J5372,'Informations sur les produits'!$A$3:$H$10000,8,FALSE),"0")</f>
        <v>0</v>
      </c>
      <c r="N5372" s="8"/>
      <c r="O5372" s="33" t="str">
        <f>IFERROR(VLOOKUP($M5372,'Informations sur les produits'!$A$3:$H$10000,8,FALSE),"0")</f>
        <v>0</v>
      </c>
      <c r="P5372" s="33">
        <f t="shared" si="332"/>
        <v>0</v>
      </c>
      <c r="Q5372" s="31" t="str">
        <f t="shared" si="333"/>
        <v/>
      </c>
      <c r="R5372" s="32" t="str">
        <f>IFERROR(VLOOKUP($D5372,'Informations sur les produits'!$A$3:$B$15000,2,FALSE),"")</f>
        <v/>
      </c>
      <c r="V5372">
        <f t="shared" si="334"/>
        <v>0</v>
      </c>
      <c r="W5372">
        <f t="shared" si="335"/>
        <v>0</v>
      </c>
    </row>
    <row r="5373" spans="5:23" x14ac:dyDescent="0.25">
      <c r="E5373" s="4"/>
      <c r="F5373" s="4"/>
      <c r="G5373" s="33" t="str">
        <f>IFERROR(VLOOKUP($D5373,'Informations sur les produits'!$A$3:$H$10000,8,FALSE),"0")</f>
        <v>0</v>
      </c>
      <c r="K5373" s="4"/>
      <c r="L5373" s="33" t="str">
        <f>IFERROR(VLOOKUP($J5373,'Informations sur les produits'!$A$3:$H$10000,8,FALSE),"0")</f>
        <v>0</v>
      </c>
      <c r="N5373" s="8"/>
      <c r="O5373" s="33" t="str">
        <f>IFERROR(VLOOKUP($M5373,'Informations sur les produits'!$A$3:$H$10000,8,FALSE),"0")</f>
        <v>0</v>
      </c>
      <c r="P5373" s="33">
        <f t="shared" si="332"/>
        <v>0</v>
      </c>
      <c r="Q5373" s="31" t="str">
        <f t="shared" si="333"/>
        <v/>
      </c>
      <c r="R5373" s="32" t="str">
        <f>IFERROR(VLOOKUP($D5373,'Informations sur les produits'!$A$3:$B$15000,2,FALSE),"")</f>
        <v/>
      </c>
      <c r="V5373">
        <f t="shared" si="334"/>
        <v>0</v>
      </c>
      <c r="W5373">
        <f t="shared" si="335"/>
        <v>0</v>
      </c>
    </row>
    <row r="5374" spans="5:23" x14ac:dyDescent="0.25">
      <c r="E5374" s="4"/>
      <c r="F5374" s="4"/>
      <c r="G5374" s="33" t="str">
        <f>IFERROR(VLOOKUP($D5374,'Informations sur les produits'!$A$3:$H$10000,8,FALSE),"0")</f>
        <v>0</v>
      </c>
      <c r="K5374" s="4"/>
      <c r="L5374" s="33" t="str">
        <f>IFERROR(VLOOKUP($J5374,'Informations sur les produits'!$A$3:$H$10000,8,FALSE),"0")</f>
        <v>0</v>
      </c>
      <c r="N5374" s="8"/>
      <c r="O5374" s="33" t="str">
        <f>IFERROR(VLOOKUP($M5374,'Informations sur les produits'!$A$3:$H$10000,8,FALSE),"0")</f>
        <v>0</v>
      </c>
      <c r="P5374" s="33">
        <f t="shared" si="332"/>
        <v>0</v>
      </c>
      <c r="Q5374" s="31" t="str">
        <f t="shared" si="333"/>
        <v/>
      </c>
      <c r="R5374" s="32" t="str">
        <f>IFERROR(VLOOKUP($D5374,'Informations sur les produits'!$A$3:$B$15000,2,FALSE),"")</f>
        <v/>
      </c>
      <c r="V5374">
        <f t="shared" si="334"/>
        <v>0</v>
      </c>
      <c r="W5374">
        <f t="shared" si="335"/>
        <v>0</v>
      </c>
    </row>
    <row r="5375" spans="5:23" x14ac:dyDescent="0.25">
      <c r="E5375" s="4"/>
      <c r="F5375" s="4"/>
      <c r="G5375" s="33" t="str">
        <f>IFERROR(VLOOKUP($D5375,'Informations sur les produits'!$A$3:$H$10000,8,FALSE),"0")</f>
        <v>0</v>
      </c>
      <c r="K5375" s="4"/>
      <c r="L5375" s="33" t="str">
        <f>IFERROR(VLOOKUP($J5375,'Informations sur les produits'!$A$3:$H$10000,8,FALSE),"0")</f>
        <v>0</v>
      </c>
      <c r="N5375" s="8"/>
      <c r="O5375" s="33" t="str">
        <f>IFERROR(VLOOKUP($M5375,'Informations sur les produits'!$A$3:$H$10000,8,FALSE),"0")</f>
        <v>0</v>
      </c>
      <c r="P5375" s="33">
        <f t="shared" si="332"/>
        <v>0</v>
      </c>
      <c r="Q5375" s="31" t="str">
        <f t="shared" si="333"/>
        <v/>
      </c>
      <c r="R5375" s="32" t="str">
        <f>IFERROR(VLOOKUP($D5375,'Informations sur les produits'!$A$3:$B$15000,2,FALSE),"")</f>
        <v/>
      </c>
      <c r="V5375">
        <f t="shared" si="334"/>
        <v>0</v>
      </c>
      <c r="W5375">
        <f t="shared" si="335"/>
        <v>0</v>
      </c>
    </row>
    <row r="5376" spans="5:23" x14ac:dyDescent="0.25">
      <c r="E5376" s="4"/>
      <c r="F5376" s="4"/>
      <c r="G5376" s="33" t="str">
        <f>IFERROR(VLOOKUP($D5376,'Informations sur les produits'!$A$3:$H$10000,8,FALSE),"0")</f>
        <v>0</v>
      </c>
      <c r="K5376" s="4"/>
      <c r="L5376" s="33" t="str">
        <f>IFERROR(VLOOKUP($J5376,'Informations sur les produits'!$A$3:$H$10000,8,FALSE),"0")</f>
        <v>0</v>
      </c>
      <c r="N5376" s="8"/>
      <c r="O5376" s="33" t="str">
        <f>IFERROR(VLOOKUP($M5376,'Informations sur les produits'!$A$3:$H$10000,8,FALSE),"0")</f>
        <v>0</v>
      </c>
      <c r="P5376" s="33">
        <f t="shared" si="332"/>
        <v>0</v>
      </c>
      <c r="Q5376" s="31" t="str">
        <f t="shared" si="333"/>
        <v/>
      </c>
      <c r="R5376" s="32" t="str">
        <f>IFERROR(VLOOKUP($D5376,'Informations sur les produits'!$A$3:$B$15000,2,FALSE),"")</f>
        <v/>
      </c>
      <c r="V5376">
        <f t="shared" si="334"/>
        <v>0</v>
      </c>
      <c r="W5376">
        <f t="shared" si="335"/>
        <v>0</v>
      </c>
    </row>
    <row r="5377" spans="5:23" x14ac:dyDescent="0.25">
      <c r="E5377" s="4"/>
      <c r="F5377" s="4"/>
      <c r="G5377" s="33" t="str">
        <f>IFERROR(VLOOKUP($D5377,'Informations sur les produits'!$A$3:$H$10000,8,FALSE),"0")</f>
        <v>0</v>
      </c>
      <c r="K5377" s="4"/>
      <c r="L5377" s="33" t="str">
        <f>IFERROR(VLOOKUP($J5377,'Informations sur les produits'!$A$3:$H$10000,8,FALSE),"0")</f>
        <v>0</v>
      </c>
      <c r="N5377" s="8"/>
      <c r="O5377" s="33" t="str">
        <f>IFERROR(VLOOKUP($M5377,'Informations sur les produits'!$A$3:$H$10000,8,FALSE),"0")</f>
        <v>0</v>
      </c>
      <c r="P5377" s="33">
        <f t="shared" si="332"/>
        <v>0</v>
      </c>
      <c r="Q5377" s="31" t="str">
        <f t="shared" si="333"/>
        <v/>
      </c>
      <c r="R5377" s="32" t="str">
        <f>IFERROR(VLOOKUP($D5377,'Informations sur les produits'!$A$3:$B$15000,2,FALSE),"")</f>
        <v/>
      </c>
      <c r="V5377">
        <f t="shared" si="334"/>
        <v>0</v>
      </c>
      <c r="W5377">
        <f t="shared" si="335"/>
        <v>0</v>
      </c>
    </row>
    <row r="5378" spans="5:23" x14ac:dyDescent="0.25">
      <c r="E5378" s="4"/>
      <c r="F5378" s="4"/>
      <c r="G5378" s="33" t="str">
        <f>IFERROR(VLOOKUP($D5378,'Informations sur les produits'!$A$3:$H$10000,8,FALSE),"0")</f>
        <v>0</v>
      </c>
      <c r="K5378" s="4"/>
      <c r="L5378" s="33" t="str">
        <f>IFERROR(VLOOKUP($J5378,'Informations sur les produits'!$A$3:$H$10000,8,FALSE),"0")</f>
        <v>0</v>
      </c>
      <c r="N5378" s="8"/>
      <c r="O5378" s="33" t="str">
        <f>IFERROR(VLOOKUP($M5378,'Informations sur les produits'!$A$3:$H$10000,8,FALSE),"0")</f>
        <v>0</v>
      </c>
      <c r="P5378" s="33">
        <f t="shared" si="332"/>
        <v>0</v>
      </c>
      <c r="Q5378" s="31" t="str">
        <f t="shared" si="333"/>
        <v/>
      </c>
      <c r="R5378" s="32" t="str">
        <f>IFERROR(VLOOKUP($D5378,'Informations sur les produits'!$A$3:$B$15000,2,FALSE),"")</f>
        <v/>
      </c>
      <c r="V5378">
        <f t="shared" si="334"/>
        <v>0</v>
      </c>
      <c r="W5378">
        <f t="shared" si="335"/>
        <v>0</v>
      </c>
    </row>
    <row r="5379" spans="5:23" x14ac:dyDescent="0.25">
      <c r="E5379" s="4"/>
      <c r="F5379" s="4"/>
      <c r="G5379" s="33" t="str">
        <f>IFERROR(VLOOKUP($D5379,'Informations sur les produits'!$A$3:$H$10000,8,FALSE),"0")</f>
        <v>0</v>
      </c>
      <c r="K5379" s="4"/>
      <c r="L5379" s="33" t="str">
        <f>IFERROR(VLOOKUP($J5379,'Informations sur les produits'!$A$3:$H$10000,8,FALSE),"0")</f>
        <v>0</v>
      </c>
      <c r="N5379" s="8"/>
      <c r="O5379" s="33" t="str">
        <f>IFERROR(VLOOKUP($M5379,'Informations sur les produits'!$A$3:$H$10000,8,FALSE),"0")</f>
        <v>0</v>
      </c>
      <c r="P5379" s="33">
        <f t="shared" si="332"/>
        <v>0</v>
      </c>
      <c r="Q5379" s="31" t="str">
        <f t="shared" si="333"/>
        <v/>
      </c>
      <c r="R5379" s="32" t="str">
        <f>IFERROR(VLOOKUP($D5379,'Informations sur les produits'!$A$3:$B$15000,2,FALSE),"")</f>
        <v/>
      </c>
      <c r="V5379">
        <f t="shared" si="334"/>
        <v>0</v>
      </c>
      <c r="W5379">
        <f t="shared" si="335"/>
        <v>0</v>
      </c>
    </row>
    <row r="5380" spans="5:23" x14ac:dyDescent="0.25">
      <c r="E5380" s="4"/>
      <c r="F5380" s="4"/>
      <c r="G5380" s="33" t="str">
        <f>IFERROR(VLOOKUP($D5380,'Informations sur les produits'!$A$3:$H$10000,8,FALSE),"0")</f>
        <v>0</v>
      </c>
      <c r="K5380" s="4"/>
      <c r="L5380" s="33" t="str">
        <f>IFERROR(VLOOKUP($J5380,'Informations sur les produits'!$A$3:$H$10000,8,FALSE),"0")</f>
        <v>0</v>
      </c>
      <c r="N5380" s="8"/>
      <c r="O5380" s="33" t="str">
        <f>IFERROR(VLOOKUP($M5380,'Informations sur les produits'!$A$3:$H$10000,8,FALSE),"0")</f>
        <v>0</v>
      </c>
      <c r="P5380" s="33">
        <f t="shared" ref="P5380:P5443" si="336">IFERROR((($E5380-$F5380)*$G5380+$K5380*$L5380+$N5380*$O5380),"")</f>
        <v>0</v>
      </c>
      <c r="Q5380" s="31" t="str">
        <f t="shared" ref="Q5380:Q5443" si="337">IFERROR((((($E5380-$F5380)*$G5380+$K5380*$L5380+$N5380*$O5380)*1000)/(($E5380-$F5380)+$K5380+$N5380)),"")</f>
        <v/>
      </c>
      <c r="R5380" s="32" t="str">
        <f>IFERROR(VLOOKUP($D5380,'Informations sur les produits'!$A$3:$B$15000,2,FALSE),"")</f>
        <v/>
      </c>
      <c r="V5380">
        <f t="shared" ref="V5380:V5443" si="338">IFERROR(P5380*1000,"")</f>
        <v>0</v>
      </c>
      <c r="W5380">
        <f t="shared" ref="W5380:W5443" si="339">IFERROR(($E5380-$F5380)+$K5380+$N5380,"")</f>
        <v>0</v>
      </c>
    </row>
    <row r="5381" spans="5:23" x14ac:dyDescent="0.25">
      <c r="E5381" s="4"/>
      <c r="F5381" s="4"/>
      <c r="G5381" s="33" t="str">
        <f>IFERROR(VLOOKUP($D5381,'Informations sur les produits'!$A$3:$H$10000,8,FALSE),"0")</f>
        <v>0</v>
      </c>
      <c r="K5381" s="4"/>
      <c r="L5381" s="33" t="str">
        <f>IFERROR(VLOOKUP($J5381,'Informations sur les produits'!$A$3:$H$10000,8,FALSE),"0")</f>
        <v>0</v>
      </c>
      <c r="N5381" s="8"/>
      <c r="O5381" s="33" t="str">
        <f>IFERROR(VLOOKUP($M5381,'Informations sur les produits'!$A$3:$H$10000,8,FALSE),"0")</f>
        <v>0</v>
      </c>
      <c r="P5381" s="33">
        <f t="shared" si="336"/>
        <v>0</v>
      </c>
      <c r="Q5381" s="31" t="str">
        <f t="shared" si="337"/>
        <v/>
      </c>
      <c r="R5381" s="32" t="str">
        <f>IFERROR(VLOOKUP($D5381,'Informations sur les produits'!$A$3:$B$15000,2,FALSE),"")</f>
        <v/>
      </c>
      <c r="V5381">
        <f t="shared" si="338"/>
        <v>0</v>
      </c>
      <c r="W5381">
        <f t="shared" si="339"/>
        <v>0</v>
      </c>
    </row>
    <row r="5382" spans="5:23" x14ac:dyDescent="0.25">
      <c r="E5382" s="4"/>
      <c r="F5382" s="4"/>
      <c r="G5382" s="33" t="str">
        <f>IFERROR(VLOOKUP($D5382,'Informations sur les produits'!$A$3:$H$10000,8,FALSE),"0")</f>
        <v>0</v>
      </c>
      <c r="K5382" s="4"/>
      <c r="L5382" s="33" t="str">
        <f>IFERROR(VLOOKUP($J5382,'Informations sur les produits'!$A$3:$H$10000,8,FALSE),"0")</f>
        <v>0</v>
      </c>
      <c r="N5382" s="8"/>
      <c r="O5382" s="33" t="str">
        <f>IFERROR(VLOOKUP($M5382,'Informations sur les produits'!$A$3:$H$10000,8,FALSE),"0")</f>
        <v>0</v>
      </c>
      <c r="P5382" s="33">
        <f t="shared" si="336"/>
        <v>0</v>
      </c>
      <c r="Q5382" s="31" t="str">
        <f t="shared" si="337"/>
        <v/>
      </c>
      <c r="R5382" s="32" t="str">
        <f>IFERROR(VLOOKUP($D5382,'Informations sur les produits'!$A$3:$B$15000,2,FALSE),"")</f>
        <v/>
      </c>
      <c r="V5382">
        <f t="shared" si="338"/>
        <v>0</v>
      </c>
      <c r="W5382">
        <f t="shared" si="339"/>
        <v>0</v>
      </c>
    </row>
    <row r="5383" spans="5:23" x14ac:dyDescent="0.25">
      <c r="E5383" s="4"/>
      <c r="F5383" s="4"/>
      <c r="G5383" s="33" t="str">
        <f>IFERROR(VLOOKUP($D5383,'Informations sur les produits'!$A$3:$H$10000,8,FALSE),"0")</f>
        <v>0</v>
      </c>
      <c r="K5383" s="4"/>
      <c r="L5383" s="33" t="str">
        <f>IFERROR(VLOOKUP($J5383,'Informations sur les produits'!$A$3:$H$10000,8,FALSE),"0")</f>
        <v>0</v>
      </c>
      <c r="N5383" s="8"/>
      <c r="O5383" s="33" t="str">
        <f>IFERROR(VLOOKUP($M5383,'Informations sur les produits'!$A$3:$H$10000,8,FALSE),"0")</f>
        <v>0</v>
      </c>
      <c r="P5383" s="33">
        <f t="shared" si="336"/>
        <v>0</v>
      </c>
      <c r="Q5383" s="31" t="str">
        <f t="shared" si="337"/>
        <v/>
      </c>
      <c r="R5383" s="32" t="str">
        <f>IFERROR(VLOOKUP($D5383,'Informations sur les produits'!$A$3:$B$15000,2,FALSE),"")</f>
        <v/>
      </c>
      <c r="V5383">
        <f t="shared" si="338"/>
        <v>0</v>
      </c>
      <c r="W5383">
        <f t="shared" si="339"/>
        <v>0</v>
      </c>
    </row>
    <row r="5384" spans="5:23" x14ac:dyDescent="0.25">
      <c r="E5384" s="4"/>
      <c r="F5384" s="4"/>
      <c r="G5384" s="33" t="str">
        <f>IFERROR(VLOOKUP($D5384,'Informations sur les produits'!$A$3:$H$10000,8,FALSE),"0")</f>
        <v>0</v>
      </c>
      <c r="K5384" s="4"/>
      <c r="L5384" s="33" t="str">
        <f>IFERROR(VLOOKUP($J5384,'Informations sur les produits'!$A$3:$H$10000,8,FALSE),"0")</f>
        <v>0</v>
      </c>
      <c r="N5384" s="8"/>
      <c r="O5384" s="33" t="str">
        <f>IFERROR(VLOOKUP($M5384,'Informations sur les produits'!$A$3:$H$10000,8,FALSE),"0")</f>
        <v>0</v>
      </c>
      <c r="P5384" s="33">
        <f t="shared" si="336"/>
        <v>0</v>
      </c>
      <c r="Q5384" s="31" t="str">
        <f t="shared" si="337"/>
        <v/>
      </c>
      <c r="R5384" s="32" t="str">
        <f>IFERROR(VLOOKUP($D5384,'Informations sur les produits'!$A$3:$B$15000,2,FALSE),"")</f>
        <v/>
      </c>
      <c r="V5384">
        <f t="shared" si="338"/>
        <v>0</v>
      </c>
      <c r="W5384">
        <f t="shared" si="339"/>
        <v>0</v>
      </c>
    </row>
    <row r="5385" spans="5:23" x14ac:dyDescent="0.25">
      <c r="E5385" s="4"/>
      <c r="F5385" s="4"/>
      <c r="G5385" s="33" t="str">
        <f>IFERROR(VLOOKUP($D5385,'Informations sur les produits'!$A$3:$H$10000,8,FALSE),"0")</f>
        <v>0</v>
      </c>
      <c r="K5385" s="4"/>
      <c r="L5385" s="33" t="str">
        <f>IFERROR(VLOOKUP($J5385,'Informations sur les produits'!$A$3:$H$10000,8,FALSE),"0")</f>
        <v>0</v>
      </c>
      <c r="N5385" s="8"/>
      <c r="O5385" s="33" t="str">
        <f>IFERROR(VLOOKUP($M5385,'Informations sur les produits'!$A$3:$H$10000,8,FALSE),"0")</f>
        <v>0</v>
      </c>
      <c r="P5385" s="33">
        <f t="shared" si="336"/>
        <v>0</v>
      </c>
      <c r="Q5385" s="31" t="str">
        <f t="shared" si="337"/>
        <v/>
      </c>
      <c r="R5385" s="32" t="str">
        <f>IFERROR(VLOOKUP($D5385,'Informations sur les produits'!$A$3:$B$15000,2,FALSE),"")</f>
        <v/>
      </c>
      <c r="V5385">
        <f t="shared" si="338"/>
        <v>0</v>
      </c>
      <c r="W5385">
        <f t="shared" si="339"/>
        <v>0</v>
      </c>
    </row>
    <row r="5386" spans="5:23" x14ac:dyDescent="0.25">
      <c r="E5386" s="4"/>
      <c r="F5386" s="4"/>
      <c r="G5386" s="33" t="str">
        <f>IFERROR(VLOOKUP($D5386,'Informations sur les produits'!$A$3:$H$10000,8,FALSE),"0")</f>
        <v>0</v>
      </c>
      <c r="K5386" s="4"/>
      <c r="L5386" s="33" t="str">
        <f>IFERROR(VLOOKUP($J5386,'Informations sur les produits'!$A$3:$H$10000,8,FALSE),"0")</f>
        <v>0</v>
      </c>
      <c r="N5386" s="8"/>
      <c r="O5386" s="33" t="str">
        <f>IFERROR(VLOOKUP($M5386,'Informations sur les produits'!$A$3:$H$10000,8,FALSE),"0")</f>
        <v>0</v>
      </c>
      <c r="P5386" s="33">
        <f t="shared" si="336"/>
        <v>0</v>
      </c>
      <c r="Q5386" s="31" t="str">
        <f t="shared" si="337"/>
        <v/>
      </c>
      <c r="R5386" s="32" t="str">
        <f>IFERROR(VLOOKUP($D5386,'Informations sur les produits'!$A$3:$B$15000,2,FALSE),"")</f>
        <v/>
      </c>
      <c r="V5386">
        <f t="shared" si="338"/>
        <v>0</v>
      </c>
      <c r="W5386">
        <f t="shared" si="339"/>
        <v>0</v>
      </c>
    </row>
    <row r="5387" spans="5:23" x14ac:dyDescent="0.25">
      <c r="E5387" s="4"/>
      <c r="F5387" s="4"/>
      <c r="G5387" s="33" t="str">
        <f>IFERROR(VLOOKUP($D5387,'Informations sur les produits'!$A$3:$H$10000,8,FALSE),"0")</f>
        <v>0</v>
      </c>
      <c r="K5387" s="4"/>
      <c r="L5387" s="33" t="str">
        <f>IFERROR(VLOOKUP($J5387,'Informations sur les produits'!$A$3:$H$10000,8,FALSE),"0")</f>
        <v>0</v>
      </c>
      <c r="N5387" s="8"/>
      <c r="O5387" s="33" t="str">
        <f>IFERROR(VLOOKUP($M5387,'Informations sur les produits'!$A$3:$H$10000,8,FALSE),"0")</f>
        <v>0</v>
      </c>
      <c r="P5387" s="33">
        <f t="shared" si="336"/>
        <v>0</v>
      </c>
      <c r="Q5387" s="31" t="str">
        <f t="shared" si="337"/>
        <v/>
      </c>
      <c r="R5387" s="32" t="str">
        <f>IFERROR(VLOOKUP($D5387,'Informations sur les produits'!$A$3:$B$15000,2,FALSE),"")</f>
        <v/>
      </c>
      <c r="V5387">
        <f t="shared" si="338"/>
        <v>0</v>
      </c>
      <c r="W5387">
        <f t="shared" si="339"/>
        <v>0</v>
      </c>
    </row>
    <row r="5388" spans="5:23" x14ac:dyDescent="0.25">
      <c r="E5388" s="4"/>
      <c r="F5388" s="4"/>
      <c r="G5388" s="33" t="str">
        <f>IFERROR(VLOOKUP($D5388,'Informations sur les produits'!$A$3:$H$10000,8,FALSE),"0")</f>
        <v>0</v>
      </c>
      <c r="K5388" s="4"/>
      <c r="L5388" s="33" t="str">
        <f>IFERROR(VLOOKUP($J5388,'Informations sur les produits'!$A$3:$H$10000,8,FALSE),"0")</f>
        <v>0</v>
      </c>
      <c r="N5388" s="8"/>
      <c r="O5388" s="33" t="str">
        <f>IFERROR(VLOOKUP($M5388,'Informations sur les produits'!$A$3:$H$10000,8,FALSE),"0")</f>
        <v>0</v>
      </c>
      <c r="P5388" s="33">
        <f t="shared" si="336"/>
        <v>0</v>
      </c>
      <c r="Q5388" s="31" t="str">
        <f t="shared" si="337"/>
        <v/>
      </c>
      <c r="R5388" s="32" t="str">
        <f>IFERROR(VLOOKUP($D5388,'Informations sur les produits'!$A$3:$B$15000,2,FALSE),"")</f>
        <v/>
      </c>
      <c r="V5388">
        <f t="shared" si="338"/>
        <v>0</v>
      </c>
      <c r="W5388">
        <f t="shared" si="339"/>
        <v>0</v>
      </c>
    </row>
    <row r="5389" spans="5:23" x14ac:dyDescent="0.25">
      <c r="E5389" s="4"/>
      <c r="F5389" s="4"/>
      <c r="G5389" s="33" t="str">
        <f>IFERROR(VLOOKUP($D5389,'Informations sur les produits'!$A$3:$H$10000,8,FALSE),"0")</f>
        <v>0</v>
      </c>
      <c r="K5389" s="4"/>
      <c r="L5389" s="33" t="str">
        <f>IFERROR(VLOOKUP($J5389,'Informations sur les produits'!$A$3:$H$10000,8,FALSE),"0")</f>
        <v>0</v>
      </c>
      <c r="N5389" s="8"/>
      <c r="O5389" s="33" t="str">
        <f>IFERROR(VLOOKUP($M5389,'Informations sur les produits'!$A$3:$H$10000,8,FALSE),"0")</f>
        <v>0</v>
      </c>
      <c r="P5389" s="33">
        <f t="shared" si="336"/>
        <v>0</v>
      </c>
      <c r="Q5389" s="31" t="str">
        <f t="shared" si="337"/>
        <v/>
      </c>
      <c r="R5389" s="32" t="str">
        <f>IFERROR(VLOOKUP($D5389,'Informations sur les produits'!$A$3:$B$15000,2,FALSE),"")</f>
        <v/>
      </c>
      <c r="V5389">
        <f t="shared" si="338"/>
        <v>0</v>
      </c>
      <c r="W5389">
        <f t="shared" si="339"/>
        <v>0</v>
      </c>
    </row>
    <row r="5390" spans="5:23" x14ac:dyDescent="0.25">
      <c r="E5390" s="4"/>
      <c r="F5390" s="4"/>
      <c r="G5390" s="33" t="str">
        <f>IFERROR(VLOOKUP($D5390,'Informations sur les produits'!$A$3:$H$10000,8,FALSE),"0")</f>
        <v>0</v>
      </c>
      <c r="K5390" s="4"/>
      <c r="L5390" s="33" t="str">
        <f>IFERROR(VLOOKUP($J5390,'Informations sur les produits'!$A$3:$H$10000,8,FALSE),"0")</f>
        <v>0</v>
      </c>
      <c r="N5390" s="8"/>
      <c r="O5390" s="33" t="str">
        <f>IFERROR(VLOOKUP($M5390,'Informations sur les produits'!$A$3:$H$10000,8,FALSE),"0")</f>
        <v>0</v>
      </c>
      <c r="P5390" s="33">
        <f t="shared" si="336"/>
        <v>0</v>
      </c>
      <c r="Q5390" s="31" t="str">
        <f t="shared" si="337"/>
        <v/>
      </c>
      <c r="R5390" s="32" t="str">
        <f>IFERROR(VLOOKUP($D5390,'Informations sur les produits'!$A$3:$B$15000,2,FALSE),"")</f>
        <v/>
      </c>
      <c r="V5390">
        <f t="shared" si="338"/>
        <v>0</v>
      </c>
      <c r="W5390">
        <f t="shared" si="339"/>
        <v>0</v>
      </c>
    </row>
    <row r="5391" spans="5:23" x14ac:dyDescent="0.25">
      <c r="E5391" s="4"/>
      <c r="F5391" s="4"/>
      <c r="G5391" s="33" t="str">
        <f>IFERROR(VLOOKUP($D5391,'Informations sur les produits'!$A$3:$H$10000,8,FALSE),"0")</f>
        <v>0</v>
      </c>
      <c r="K5391" s="4"/>
      <c r="L5391" s="33" t="str">
        <f>IFERROR(VLOOKUP($J5391,'Informations sur les produits'!$A$3:$H$10000,8,FALSE),"0")</f>
        <v>0</v>
      </c>
      <c r="N5391" s="8"/>
      <c r="O5391" s="33" t="str">
        <f>IFERROR(VLOOKUP($M5391,'Informations sur les produits'!$A$3:$H$10000,8,FALSE),"0")</f>
        <v>0</v>
      </c>
      <c r="P5391" s="33">
        <f t="shared" si="336"/>
        <v>0</v>
      </c>
      <c r="Q5391" s="31" t="str">
        <f t="shared" si="337"/>
        <v/>
      </c>
      <c r="R5391" s="32" t="str">
        <f>IFERROR(VLOOKUP($D5391,'Informations sur les produits'!$A$3:$B$15000,2,FALSE),"")</f>
        <v/>
      </c>
      <c r="V5391">
        <f t="shared" si="338"/>
        <v>0</v>
      </c>
      <c r="W5391">
        <f t="shared" si="339"/>
        <v>0</v>
      </c>
    </row>
    <row r="5392" spans="5:23" x14ac:dyDescent="0.25">
      <c r="E5392" s="4"/>
      <c r="F5392" s="4"/>
      <c r="G5392" s="33" t="str">
        <f>IFERROR(VLOOKUP($D5392,'Informations sur les produits'!$A$3:$H$10000,8,FALSE),"0")</f>
        <v>0</v>
      </c>
      <c r="K5392" s="4"/>
      <c r="L5392" s="33" t="str">
        <f>IFERROR(VLOOKUP($J5392,'Informations sur les produits'!$A$3:$H$10000,8,FALSE),"0")</f>
        <v>0</v>
      </c>
      <c r="N5392" s="8"/>
      <c r="O5392" s="33" t="str">
        <f>IFERROR(VLOOKUP($M5392,'Informations sur les produits'!$A$3:$H$10000,8,FALSE),"0")</f>
        <v>0</v>
      </c>
      <c r="P5392" s="33">
        <f t="shared" si="336"/>
        <v>0</v>
      </c>
      <c r="Q5392" s="31" t="str">
        <f t="shared" si="337"/>
        <v/>
      </c>
      <c r="R5392" s="32" t="str">
        <f>IFERROR(VLOOKUP($D5392,'Informations sur les produits'!$A$3:$B$15000,2,FALSE),"")</f>
        <v/>
      </c>
      <c r="V5392">
        <f t="shared" si="338"/>
        <v>0</v>
      </c>
      <c r="W5392">
        <f t="shared" si="339"/>
        <v>0</v>
      </c>
    </row>
    <row r="5393" spans="5:23" x14ac:dyDescent="0.25">
      <c r="E5393" s="4"/>
      <c r="F5393" s="4"/>
      <c r="G5393" s="33" t="str">
        <f>IFERROR(VLOOKUP($D5393,'Informations sur les produits'!$A$3:$H$10000,8,FALSE),"0")</f>
        <v>0</v>
      </c>
      <c r="K5393" s="4"/>
      <c r="L5393" s="33" t="str">
        <f>IFERROR(VLOOKUP($J5393,'Informations sur les produits'!$A$3:$H$10000,8,FALSE),"0")</f>
        <v>0</v>
      </c>
      <c r="N5393" s="8"/>
      <c r="O5393" s="33" t="str">
        <f>IFERROR(VLOOKUP($M5393,'Informations sur les produits'!$A$3:$H$10000,8,FALSE),"0")</f>
        <v>0</v>
      </c>
      <c r="P5393" s="33">
        <f t="shared" si="336"/>
        <v>0</v>
      </c>
      <c r="Q5393" s="31" t="str">
        <f t="shared" si="337"/>
        <v/>
      </c>
      <c r="R5393" s="32" t="str">
        <f>IFERROR(VLOOKUP($D5393,'Informations sur les produits'!$A$3:$B$15000,2,FALSE),"")</f>
        <v/>
      </c>
      <c r="V5393">
        <f t="shared" si="338"/>
        <v>0</v>
      </c>
      <c r="W5393">
        <f t="shared" si="339"/>
        <v>0</v>
      </c>
    </row>
    <row r="5394" spans="5:23" x14ac:dyDescent="0.25">
      <c r="E5394" s="4"/>
      <c r="F5394" s="4"/>
      <c r="G5394" s="33" t="str">
        <f>IFERROR(VLOOKUP($D5394,'Informations sur les produits'!$A$3:$H$10000,8,FALSE),"0")</f>
        <v>0</v>
      </c>
      <c r="K5394" s="4"/>
      <c r="L5394" s="33" t="str">
        <f>IFERROR(VLOOKUP($J5394,'Informations sur les produits'!$A$3:$H$10000,8,FALSE),"0")</f>
        <v>0</v>
      </c>
      <c r="N5394" s="8"/>
      <c r="O5394" s="33" t="str">
        <f>IFERROR(VLOOKUP($M5394,'Informations sur les produits'!$A$3:$H$10000,8,FALSE),"0")</f>
        <v>0</v>
      </c>
      <c r="P5394" s="33">
        <f t="shared" si="336"/>
        <v>0</v>
      </c>
      <c r="Q5394" s="31" t="str">
        <f t="shared" si="337"/>
        <v/>
      </c>
      <c r="R5394" s="32" t="str">
        <f>IFERROR(VLOOKUP($D5394,'Informations sur les produits'!$A$3:$B$15000,2,FALSE),"")</f>
        <v/>
      </c>
      <c r="V5394">
        <f t="shared" si="338"/>
        <v>0</v>
      </c>
      <c r="W5394">
        <f t="shared" si="339"/>
        <v>0</v>
      </c>
    </row>
    <row r="5395" spans="5:23" x14ac:dyDescent="0.25">
      <c r="E5395" s="4"/>
      <c r="F5395" s="4"/>
      <c r="G5395" s="33" t="str">
        <f>IFERROR(VLOOKUP($D5395,'Informations sur les produits'!$A$3:$H$10000,8,FALSE),"0")</f>
        <v>0</v>
      </c>
      <c r="K5395" s="4"/>
      <c r="L5395" s="33" t="str">
        <f>IFERROR(VLOOKUP($J5395,'Informations sur les produits'!$A$3:$H$10000,8,FALSE),"0")</f>
        <v>0</v>
      </c>
      <c r="N5395" s="8"/>
      <c r="O5395" s="33" t="str">
        <f>IFERROR(VLOOKUP($M5395,'Informations sur les produits'!$A$3:$H$10000,8,FALSE),"0")</f>
        <v>0</v>
      </c>
      <c r="P5395" s="33">
        <f t="shared" si="336"/>
        <v>0</v>
      </c>
      <c r="Q5395" s="31" t="str">
        <f t="shared" si="337"/>
        <v/>
      </c>
      <c r="R5395" s="32" t="str">
        <f>IFERROR(VLOOKUP($D5395,'Informations sur les produits'!$A$3:$B$15000,2,FALSE),"")</f>
        <v/>
      </c>
      <c r="V5395">
        <f t="shared" si="338"/>
        <v>0</v>
      </c>
      <c r="W5395">
        <f t="shared" si="339"/>
        <v>0</v>
      </c>
    </row>
    <row r="5396" spans="5:23" x14ac:dyDescent="0.25">
      <c r="E5396" s="4"/>
      <c r="F5396" s="4"/>
      <c r="G5396" s="33" t="str">
        <f>IFERROR(VLOOKUP($D5396,'Informations sur les produits'!$A$3:$H$10000,8,FALSE),"0")</f>
        <v>0</v>
      </c>
      <c r="K5396" s="4"/>
      <c r="L5396" s="33" t="str">
        <f>IFERROR(VLOOKUP($J5396,'Informations sur les produits'!$A$3:$H$10000,8,FALSE),"0")</f>
        <v>0</v>
      </c>
      <c r="N5396" s="8"/>
      <c r="O5396" s="33" t="str">
        <f>IFERROR(VLOOKUP($M5396,'Informations sur les produits'!$A$3:$H$10000,8,FALSE),"0")</f>
        <v>0</v>
      </c>
      <c r="P5396" s="33">
        <f t="shared" si="336"/>
        <v>0</v>
      </c>
      <c r="Q5396" s="31" t="str">
        <f t="shared" si="337"/>
        <v/>
      </c>
      <c r="R5396" s="32" t="str">
        <f>IFERROR(VLOOKUP($D5396,'Informations sur les produits'!$A$3:$B$15000,2,FALSE),"")</f>
        <v/>
      </c>
      <c r="V5396">
        <f t="shared" si="338"/>
        <v>0</v>
      </c>
      <c r="W5396">
        <f t="shared" si="339"/>
        <v>0</v>
      </c>
    </row>
    <row r="5397" spans="5:23" x14ac:dyDescent="0.25">
      <c r="E5397" s="4"/>
      <c r="F5397" s="4"/>
      <c r="G5397" s="33" t="str">
        <f>IFERROR(VLOOKUP($D5397,'Informations sur les produits'!$A$3:$H$10000,8,FALSE),"0")</f>
        <v>0</v>
      </c>
      <c r="K5397" s="4"/>
      <c r="L5397" s="33" t="str">
        <f>IFERROR(VLOOKUP($J5397,'Informations sur les produits'!$A$3:$H$10000,8,FALSE),"0")</f>
        <v>0</v>
      </c>
      <c r="N5397" s="8"/>
      <c r="O5397" s="33" t="str">
        <f>IFERROR(VLOOKUP($M5397,'Informations sur les produits'!$A$3:$H$10000,8,FALSE),"0")</f>
        <v>0</v>
      </c>
      <c r="P5397" s="33">
        <f t="shared" si="336"/>
        <v>0</v>
      </c>
      <c r="Q5397" s="31" t="str">
        <f t="shared" si="337"/>
        <v/>
      </c>
      <c r="R5397" s="32" t="str">
        <f>IFERROR(VLOOKUP($D5397,'Informations sur les produits'!$A$3:$B$15000,2,FALSE),"")</f>
        <v/>
      </c>
      <c r="V5397">
        <f t="shared" si="338"/>
        <v>0</v>
      </c>
      <c r="W5397">
        <f t="shared" si="339"/>
        <v>0</v>
      </c>
    </row>
    <row r="5398" spans="5:23" x14ac:dyDescent="0.25">
      <c r="E5398" s="4"/>
      <c r="F5398" s="4"/>
      <c r="G5398" s="33" t="str">
        <f>IFERROR(VLOOKUP($D5398,'Informations sur les produits'!$A$3:$H$10000,8,FALSE),"0")</f>
        <v>0</v>
      </c>
      <c r="K5398" s="4"/>
      <c r="L5398" s="33" t="str">
        <f>IFERROR(VLOOKUP($J5398,'Informations sur les produits'!$A$3:$H$10000,8,FALSE),"0")</f>
        <v>0</v>
      </c>
      <c r="N5398" s="8"/>
      <c r="O5398" s="33" t="str">
        <f>IFERROR(VLOOKUP($M5398,'Informations sur les produits'!$A$3:$H$10000,8,FALSE),"0")</f>
        <v>0</v>
      </c>
      <c r="P5398" s="33">
        <f t="shared" si="336"/>
        <v>0</v>
      </c>
      <c r="Q5398" s="31" t="str">
        <f t="shared" si="337"/>
        <v/>
      </c>
      <c r="R5398" s="32" t="str">
        <f>IFERROR(VLOOKUP($D5398,'Informations sur les produits'!$A$3:$B$15000,2,FALSE),"")</f>
        <v/>
      </c>
      <c r="V5398">
        <f t="shared" si="338"/>
        <v>0</v>
      </c>
      <c r="W5398">
        <f t="shared" si="339"/>
        <v>0</v>
      </c>
    </row>
    <row r="5399" spans="5:23" x14ac:dyDescent="0.25">
      <c r="E5399" s="4"/>
      <c r="F5399" s="4"/>
      <c r="G5399" s="33" t="str">
        <f>IFERROR(VLOOKUP($D5399,'Informations sur les produits'!$A$3:$H$10000,8,FALSE),"0")</f>
        <v>0</v>
      </c>
      <c r="K5399" s="4"/>
      <c r="L5399" s="33" t="str">
        <f>IFERROR(VLOOKUP($J5399,'Informations sur les produits'!$A$3:$H$10000,8,FALSE),"0")</f>
        <v>0</v>
      </c>
      <c r="N5399" s="8"/>
      <c r="O5399" s="33" t="str">
        <f>IFERROR(VLOOKUP($M5399,'Informations sur les produits'!$A$3:$H$10000,8,FALSE),"0")</f>
        <v>0</v>
      </c>
      <c r="P5399" s="33">
        <f t="shared" si="336"/>
        <v>0</v>
      </c>
      <c r="Q5399" s="31" t="str">
        <f t="shared" si="337"/>
        <v/>
      </c>
      <c r="R5399" s="32" t="str">
        <f>IFERROR(VLOOKUP($D5399,'Informations sur les produits'!$A$3:$B$15000,2,FALSE),"")</f>
        <v/>
      </c>
      <c r="V5399">
        <f t="shared" si="338"/>
        <v>0</v>
      </c>
      <c r="W5399">
        <f t="shared" si="339"/>
        <v>0</v>
      </c>
    </row>
    <row r="5400" spans="5:23" x14ac:dyDescent="0.25">
      <c r="E5400" s="4"/>
      <c r="F5400" s="4"/>
      <c r="G5400" s="33" t="str">
        <f>IFERROR(VLOOKUP($D5400,'Informations sur les produits'!$A$3:$H$10000,8,FALSE),"0")</f>
        <v>0</v>
      </c>
      <c r="K5400" s="4"/>
      <c r="L5400" s="33" t="str">
        <f>IFERROR(VLOOKUP($J5400,'Informations sur les produits'!$A$3:$H$10000,8,FALSE),"0")</f>
        <v>0</v>
      </c>
      <c r="N5400" s="8"/>
      <c r="O5400" s="33" t="str">
        <f>IFERROR(VLOOKUP($M5400,'Informations sur les produits'!$A$3:$H$10000,8,FALSE),"0")</f>
        <v>0</v>
      </c>
      <c r="P5400" s="33">
        <f t="shared" si="336"/>
        <v>0</v>
      </c>
      <c r="Q5400" s="31" t="str">
        <f t="shared" si="337"/>
        <v/>
      </c>
      <c r="R5400" s="32" t="str">
        <f>IFERROR(VLOOKUP($D5400,'Informations sur les produits'!$A$3:$B$15000,2,FALSE),"")</f>
        <v/>
      </c>
      <c r="V5400">
        <f t="shared" si="338"/>
        <v>0</v>
      </c>
      <c r="W5400">
        <f t="shared" si="339"/>
        <v>0</v>
      </c>
    </row>
    <row r="5401" spans="5:23" x14ac:dyDescent="0.25">
      <c r="E5401" s="4"/>
      <c r="F5401" s="4"/>
      <c r="G5401" s="33" t="str">
        <f>IFERROR(VLOOKUP($D5401,'Informations sur les produits'!$A$3:$H$10000,8,FALSE),"0")</f>
        <v>0</v>
      </c>
      <c r="K5401" s="4"/>
      <c r="L5401" s="33" t="str">
        <f>IFERROR(VLOOKUP($J5401,'Informations sur les produits'!$A$3:$H$10000,8,FALSE),"0")</f>
        <v>0</v>
      </c>
      <c r="N5401" s="8"/>
      <c r="O5401" s="33" t="str">
        <f>IFERROR(VLOOKUP($M5401,'Informations sur les produits'!$A$3:$H$10000,8,FALSE),"0")</f>
        <v>0</v>
      </c>
      <c r="P5401" s="33">
        <f t="shared" si="336"/>
        <v>0</v>
      </c>
      <c r="Q5401" s="31" t="str">
        <f t="shared" si="337"/>
        <v/>
      </c>
      <c r="R5401" s="32" t="str">
        <f>IFERROR(VLOOKUP($D5401,'Informations sur les produits'!$A$3:$B$15000,2,FALSE),"")</f>
        <v/>
      </c>
      <c r="V5401">
        <f t="shared" si="338"/>
        <v>0</v>
      </c>
      <c r="W5401">
        <f t="shared" si="339"/>
        <v>0</v>
      </c>
    </row>
    <row r="5402" spans="5:23" x14ac:dyDescent="0.25">
      <c r="E5402" s="4"/>
      <c r="F5402" s="4"/>
      <c r="G5402" s="33" t="str">
        <f>IFERROR(VLOOKUP($D5402,'Informations sur les produits'!$A$3:$H$10000,8,FALSE),"0")</f>
        <v>0</v>
      </c>
      <c r="K5402" s="4"/>
      <c r="L5402" s="33" t="str">
        <f>IFERROR(VLOOKUP($J5402,'Informations sur les produits'!$A$3:$H$10000,8,FALSE),"0")</f>
        <v>0</v>
      </c>
      <c r="N5402" s="8"/>
      <c r="O5402" s="33" t="str">
        <f>IFERROR(VLOOKUP($M5402,'Informations sur les produits'!$A$3:$H$10000,8,FALSE),"0")</f>
        <v>0</v>
      </c>
      <c r="P5402" s="33">
        <f t="shared" si="336"/>
        <v>0</v>
      </c>
      <c r="Q5402" s="31" t="str">
        <f t="shared" si="337"/>
        <v/>
      </c>
      <c r="R5402" s="32" t="str">
        <f>IFERROR(VLOOKUP($D5402,'Informations sur les produits'!$A$3:$B$15000,2,FALSE),"")</f>
        <v/>
      </c>
      <c r="V5402">
        <f t="shared" si="338"/>
        <v>0</v>
      </c>
      <c r="W5402">
        <f t="shared" si="339"/>
        <v>0</v>
      </c>
    </row>
    <row r="5403" spans="5:23" x14ac:dyDescent="0.25">
      <c r="E5403" s="4"/>
      <c r="F5403" s="4"/>
      <c r="G5403" s="33" t="str">
        <f>IFERROR(VLOOKUP($D5403,'Informations sur les produits'!$A$3:$H$10000,8,FALSE),"0")</f>
        <v>0</v>
      </c>
      <c r="K5403" s="4"/>
      <c r="L5403" s="33" t="str">
        <f>IFERROR(VLOOKUP($J5403,'Informations sur les produits'!$A$3:$H$10000,8,FALSE),"0")</f>
        <v>0</v>
      </c>
      <c r="N5403" s="8"/>
      <c r="O5403" s="33" t="str">
        <f>IFERROR(VLOOKUP($M5403,'Informations sur les produits'!$A$3:$H$10000,8,FALSE),"0")</f>
        <v>0</v>
      </c>
      <c r="P5403" s="33">
        <f t="shared" si="336"/>
        <v>0</v>
      </c>
      <c r="Q5403" s="31" t="str">
        <f t="shared" si="337"/>
        <v/>
      </c>
      <c r="R5403" s="32" t="str">
        <f>IFERROR(VLOOKUP($D5403,'Informations sur les produits'!$A$3:$B$15000,2,FALSE),"")</f>
        <v/>
      </c>
      <c r="V5403">
        <f t="shared" si="338"/>
        <v>0</v>
      </c>
      <c r="W5403">
        <f t="shared" si="339"/>
        <v>0</v>
      </c>
    </row>
    <row r="5404" spans="5:23" x14ac:dyDescent="0.25">
      <c r="E5404" s="4"/>
      <c r="F5404" s="4"/>
      <c r="G5404" s="33" t="str">
        <f>IFERROR(VLOOKUP($D5404,'Informations sur les produits'!$A$3:$H$10000,8,FALSE),"0")</f>
        <v>0</v>
      </c>
      <c r="K5404" s="4"/>
      <c r="L5404" s="33" t="str">
        <f>IFERROR(VLOOKUP($J5404,'Informations sur les produits'!$A$3:$H$10000,8,FALSE),"0")</f>
        <v>0</v>
      </c>
      <c r="N5404" s="8"/>
      <c r="O5404" s="33" t="str">
        <f>IFERROR(VLOOKUP($M5404,'Informations sur les produits'!$A$3:$H$10000,8,FALSE),"0")</f>
        <v>0</v>
      </c>
      <c r="P5404" s="33">
        <f t="shared" si="336"/>
        <v>0</v>
      </c>
      <c r="Q5404" s="31" t="str">
        <f t="shared" si="337"/>
        <v/>
      </c>
      <c r="R5404" s="32" t="str">
        <f>IFERROR(VLOOKUP($D5404,'Informations sur les produits'!$A$3:$B$15000,2,FALSE),"")</f>
        <v/>
      </c>
      <c r="V5404">
        <f t="shared" si="338"/>
        <v>0</v>
      </c>
      <c r="W5404">
        <f t="shared" si="339"/>
        <v>0</v>
      </c>
    </row>
    <row r="5405" spans="5:23" x14ac:dyDescent="0.25">
      <c r="E5405" s="4"/>
      <c r="F5405" s="4"/>
      <c r="G5405" s="33" t="str">
        <f>IFERROR(VLOOKUP($D5405,'Informations sur les produits'!$A$3:$H$10000,8,FALSE),"0")</f>
        <v>0</v>
      </c>
      <c r="K5405" s="4"/>
      <c r="L5405" s="33" t="str">
        <f>IFERROR(VLOOKUP($J5405,'Informations sur les produits'!$A$3:$H$10000,8,FALSE),"0")</f>
        <v>0</v>
      </c>
      <c r="N5405" s="8"/>
      <c r="O5405" s="33" t="str">
        <f>IFERROR(VLOOKUP($M5405,'Informations sur les produits'!$A$3:$H$10000,8,FALSE),"0")</f>
        <v>0</v>
      </c>
      <c r="P5405" s="33">
        <f t="shared" si="336"/>
        <v>0</v>
      </c>
      <c r="Q5405" s="31" t="str">
        <f t="shared" si="337"/>
        <v/>
      </c>
      <c r="R5405" s="32" t="str">
        <f>IFERROR(VLOOKUP($D5405,'Informations sur les produits'!$A$3:$B$15000,2,FALSE),"")</f>
        <v/>
      </c>
      <c r="V5405">
        <f t="shared" si="338"/>
        <v>0</v>
      </c>
      <c r="W5405">
        <f t="shared" si="339"/>
        <v>0</v>
      </c>
    </row>
    <row r="5406" spans="5:23" x14ac:dyDescent="0.25">
      <c r="E5406" s="4"/>
      <c r="F5406" s="4"/>
      <c r="G5406" s="33" t="str">
        <f>IFERROR(VLOOKUP($D5406,'Informations sur les produits'!$A$3:$H$10000,8,FALSE),"0")</f>
        <v>0</v>
      </c>
      <c r="K5406" s="4"/>
      <c r="L5406" s="33" t="str">
        <f>IFERROR(VLOOKUP($J5406,'Informations sur les produits'!$A$3:$H$10000,8,FALSE),"0")</f>
        <v>0</v>
      </c>
      <c r="N5406" s="8"/>
      <c r="O5406" s="33" t="str">
        <f>IFERROR(VLOOKUP($M5406,'Informations sur les produits'!$A$3:$H$10000,8,FALSE),"0")</f>
        <v>0</v>
      </c>
      <c r="P5406" s="33">
        <f t="shared" si="336"/>
        <v>0</v>
      </c>
      <c r="Q5406" s="31" t="str">
        <f t="shared" si="337"/>
        <v/>
      </c>
      <c r="R5406" s="32" t="str">
        <f>IFERROR(VLOOKUP($D5406,'Informations sur les produits'!$A$3:$B$15000,2,FALSE),"")</f>
        <v/>
      </c>
      <c r="V5406">
        <f t="shared" si="338"/>
        <v>0</v>
      </c>
      <c r="W5406">
        <f t="shared" si="339"/>
        <v>0</v>
      </c>
    </row>
    <row r="5407" spans="5:23" x14ac:dyDescent="0.25">
      <c r="E5407" s="4"/>
      <c r="F5407" s="4"/>
      <c r="G5407" s="33" t="str">
        <f>IFERROR(VLOOKUP($D5407,'Informations sur les produits'!$A$3:$H$10000,8,FALSE),"0")</f>
        <v>0</v>
      </c>
      <c r="K5407" s="4"/>
      <c r="L5407" s="33" t="str">
        <f>IFERROR(VLOOKUP($J5407,'Informations sur les produits'!$A$3:$H$10000,8,FALSE),"0")</f>
        <v>0</v>
      </c>
      <c r="N5407" s="8"/>
      <c r="O5407" s="33" t="str">
        <f>IFERROR(VLOOKUP($M5407,'Informations sur les produits'!$A$3:$H$10000,8,FALSE),"0")</f>
        <v>0</v>
      </c>
      <c r="P5407" s="33">
        <f t="shared" si="336"/>
        <v>0</v>
      </c>
      <c r="Q5407" s="31" t="str">
        <f t="shared" si="337"/>
        <v/>
      </c>
      <c r="R5407" s="32" t="str">
        <f>IFERROR(VLOOKUP($D5407,'Informations sur les produits'!$A$3:$B$15000,2,FALSE),"")</f>
        <v/>
      </c>
      <c r="V5407">
        <f t="shared" si="338"/>
        <v>0</v>
      </c>
      <c r="W5407">
        <f t="shared" si="339"/>
        <v>0</v>
      </c>
    </row>
    <row r="5408" spans="5:23" x14ac:dyDescent="0.25">
      <c r="E5408" s="4"/>
      <c r="F5408" s="4"/>
      <c r="G5408" s="33" t="str">
        <f>IFERROR(VLOOKUP($D5408,'Informations sur les produits'!$A$3:$H$10000,8,FALSE),"0")</f>
        <v>0</v>
      </c>
      <c r="K5408" s="4"/>
      <c r="L5408" s="33" t="str">
        <f>IFERROR(VLOOKUP($J5408,'Informations sur les produits'!$A$3:$H$10000,8,FALSE),"0")</f>
        <v>0</v>
      </c>
      <c r="N5408" s="8"/>
      <c r="O5408" s="33" t="str">
        <f>IFERROR(VLOOKUP($M5408,'Informations sur les produits'!$A$3:$H$10000,8,FALSE),"0")</f>
        <v>0</v>
      </c>
      <c r="P5408" s="33">
        <f t="shared" si="336"/>
        <v>0</v>
      </c>
      <c r="Q5408" s="31" t="str">
        <f t="shared" si="337"/>
        <v/>
      </c>
      <c r="R5408" s="32" t="str">
        <f>IFERROR(VLOOKUP($D5408,'Informations sur les produits'!$A$3:$B$15000,2,FALSE),"")</f>
        <v/>
      </c>
      <c r="V5408">
        <f t="shared" si="338"/>
        <v>0</v>
      </c>
      <c r="W5408">
        <f t="shared" si="339"/>
        <v>0</v>
      </c>
    </row>
    <row r="5409" spans="5:23" x14ac:dyDescent="0.25">
      <c r="E5409" s="4"/>
      <c r="F5409" s="4"/>
      <c r="G5409" s="33" t="str">
        <f>IFERROR(VLOOKUP($D5409,'Informations sur les produits'!$A$3:$H$10000,8,FALSE),"0")</f>
        <v>0</v>
      </c>
      <c r="K5409" s="4"/>
      <c r="L5409" s="33" t="str">
        <f>IFERROR(VLOOKUP($J5409,'Informations sur les produits'!$A$3:$H$10000,8,FALSE),"0")</f>
        <v>0</v>
      </c>
      <c r="N5409" s="8"/>
      <c r="O5409" s="33" t="str">
        <f>IFERROR(VLOOKUP($M5409,'Informations sur les produits'!$A$3:$H$10000,8,FALSE),"0")</f>
        <v>0</v>
      </c>
      <c r="P5409" s="33">
        <f t="shared" si="336"/>
        <v>0</v>
      </c>
      <c r="Q5409" s="31" t="str">
        <f t="shared" si="337"/>
        <v/>
      </c>
      <c r="R5409" s="32" t="str">
        <f>IFERROR(VLOOKUP($D5409,'Informations sur les produits'!$A$3:$B$15000,2,FALSE),"")</f>
        <v/>
      </c>
      <c r="V5409">
        <f t="shared" si="338"/>
        <v>0</v>
      </c>
      <c r="W5409">
        <f t="shared" si="339"/>
        <v>0</v>
      </c>
    </row>
    <row r="5410" spans="5:23" x14ac:dyDescent="0.25">
      <c r="E5410" s="4"/>
      <c r="F5410" s="4"/>
      <c r="G5410" s="33" t="str">
        <f>IFERROR(VLOOKUP($D5410,'Informations sur les produits'!$A$3:$H$10000,8,FALSE),"0")</f>
        <v>0</v>
      </c>
      <c r="K5410" s="4"/>
      <c r="L5410" s="33" t="str">
        <f>IFERROR(VLOOKUP($J5410,'Informations sur les produits'!$A$3:$H$10000,8,FALSE),"0")</f>
        <v>0</v>
      </c>
      <c r="N5410" s="8"/>
      <c r="O5410" s="33" t="str">
        <f>IFERROR(VLOOKUP($M5410,'Informations sur les produits'!$A$3:$H$10000,8,FALSE),"0")</f>
        <v>0</v>
      </c>
      <c r="P5410" s="33">
        <f t="shared" si="336"/>
        <v>0</v>
      </c>
      <c r="Q5410" s="31" t="str">
        <f t="shared" si="337"/>
        <v/>
      </c>
      <c r="R5410" s="32" t="str">
        <f>IFERROR(VLOOKUP($D5410,'Informations sur les produits'!$A$3:$B$15000,2,FALSE),"")</f>
        <v/>
      </c>
      <c r="V5410">
        <f t="shared" si="338"/>
        <v>0</v>
      </c>
      <c r="W5410">
        <f t="shared" si="339"/>
        <v>0</v>
      </c>
    </row>
    <row r="5411" spans="5:23" x14ac:dyDescent="0.25">
      <c r="E5411" s="4"/>
      <c r="F5411" s="4"/>
      <c r="G5411" s="33" t="str">
        <f>IFERROR(VLOOKUP($D5411,'Informations sur les produits'!$A$3:$H$10000,8,FALSE),"0")</f>
        <v>0</v>
      </c>
      <c r="K5411" s="4"/>
      <c r="L5411" s="33" t="str">
        <f>IFERROR(VLOOKUP($J5411,'Informations sur les produits'!$A$3:$H$10000,8,FALSE),"0")</f>
        <v>0</v>
      </c>
      <c r="N5411" s="8"/>
      <c r="O5411" s="33" t="str">
        <f>IFERROR(VLOOKUP($M5411,'Informations sur les produits'!$A$3:$H$10000,8,FALSE),"0")</f>
        <v>0</v>
      </c>
      <c r="P5411" s="33">
        <f t="shared" si="336"/>
        <v>0</v>
      </c>
      <c r="Q5411" s="31" t="str">
        <f t="shared" si="337"/>
        <v/>
      </c>
      <c r="R5411" s="32" t="str">
        <f>IFERROR(VLOOKUP($D5411,'Informations sur les produits'!$A$3:$B$15000,2,FALSE),"")</f>
        <v/>
      </c>
      <c r="V5411">
        <f t="shared" si="338"/>
        <v>0</v>
      </c>
      <c r="W5411">
        <f t="shared" si="339"/>
        <v>0</v>
      </c>
    </row>
    <row r="5412" spans="5:23" x14ac:dyDescent="0.25">
      <c r="E5412" s="4"/>
      <c r="F5412" s="4"/>
      <c r="G5412" s="33" t="str">
        <f>IFERROR(VLOOKUP($D5412,'Informations sur les produits'!$A$3:$H$10000,8,FALSE),"0")</f>
        <v>0</v>
      </c>
      <c r="K5412" s="4"/>
      <c r="L5412" s="33" t="str">
        <f>IFERROR(VLOOKUP($J5412,'Informations sur les produits'!$A$3:$H$10000,8,FALSE),"0")</f>
        <v>0</v>
      </c>
      <c r="N5412" s="8"/>
      <c r="O5412" s="33" t="str">
        <f>IFERROR(VLOOKUP($M5412,'Informations sur les produits'!$A$3:$H$10000,8,FALSE),"0")</f>
        <v>0</v>
      </c>
      <c r="P5412" s="33">
        <f t="shared" si="336"/>
        <v>0</v>
      </c>
      <c r="Q5412" s="31" t="str">
        <f t="shared" si="337"/>
        <v/>
      </c>
      <c r="R5412" s="32" t="str">
        <f>IFERROR(VLOOKUP($D5412,'Informations sur les produits'!$A$3:$B$15000,2,FALSE),"")</f>
        <v/>
      </c>
      <c r="V5412">
        <f t="shared" si="338"/>
        <v>0</v>
      </c>
      <c r="W5412">
        <f t="shared" si="339"/>
        <v>0</v>
      </c>
    </row>
    <row r="5413" spans="5:23" x14ac:dyDescent="0.25">
      <c r="E5413" s="4"/>
      <c r="F5413" s="4"/>
      <c r="G5413" s="33" t="str">
        <f>IFERROR(VLOOKUP($D5413,'Informations sur les produits'!$A$3:$H$10000,8,FALSE),"0")</f>
        <v>0</v>
      </c>
      <c r="K5413" s="4"/>
      <c r="L5413" s="33" t="str">
        <f>IFERROR(VLOOKUP($J5413,'Informations sur les produits'!$A$3:$H$10000,8,FALSE),"0")</f>
        <v>0</v>
      </c>
      <c r="N5413" s="8"/>
      <c r="O5413" s="33" t="str">
        <f>IFERROR(VLOOKUP($M5413,'Informations sur les produits'!$A$3:$H$10000,8,FALSE),"0")</f>
        <v>0</v>
      </c>
      <c r="P5413" s="33">
        <f t="shared" si="336"/>
        <v>0</v>
      </c>
      <c r="Q5413" s="31" t="str">
        <f t="shared" si="337"/>
        <v/>
      </c>
      <c r="R5413" s="32" t="str">
        <f>IFERROR(VLOOKUP($D5413,'Informations sur les produits'!$A$3:$B$15000,2,FALSE),"")</f>
        <v/>
      </c>
      <c r="V5413">
        <f t="shared" si="338"/>
        <v>0</v>
      </c>
      <c r="W5413">
        <f t="shared" si="339"/>
        <v>0</v>
      </c>
    </row>
    <row r="5414" spans="5:23" x14ac:dyDescent="0.25">
      <c r="E5414" s="4"/>
      <c r="F5414" s="4"/>
      <c r="G5414" s="33" t="str">
        <f>IFERROR(VLOOKUP($D5414,'Informations sur les produits'!$A$3:$H$10000,8,FALSE),"0")</f>
        <v>0</v>
      </c>
      <c r="K5414" s="4"/>
      <c r="L5414" s="33" t="str">
        <f>IFERROR(VLOOKUP($J5414,'Informations sur les produits'!$A$3:$H$10000,8,FALSE),"0")</f>
        <v>0</v>
      </c>
      <c r="N5414" s="8"/>
      <c r="O5414" s="33" t="str">
        <f>IFERROR(VLOOKUP($M5414,'Informations sur les produits'!$A$3:$H$10000,8,FALSE),"0")</f>
        <v>0</v>
      </c>
      <c r="P5414" s="33">
        <f t="shared" si="336"/>
        <v>0</v>
      </c>
      <c r="Q5414" s="31" t="str">
        <f t="shared" si="337"/>
        <v/>
      </c>
      <c r="R5414" s="32" t="str">
        <f>IFERROR(VLOOKUP($D5414,'Informations sur les produits'!$A$3:$B$15000,2,FALSE),"")</f>
        <v/>
      </c>
      <c r="V5414">
        <f t="shared" si="338"/>
        <v>0</v>
      </c>
      <c r="W5414">
        <f t="shared" si="339"/>
        <v>0</v>
      </c>
    </row>
    <row r="5415" spans="5:23" x14ac:dyDescent="0.25">
      <c r="E5415" s="4"/>
      <c r="F5415" s="4"/>
      <c r="G5415" s="33" t="str">
        <f>IFERROR(VLOOKUP($D5415,'Informations sur les produits'!$A$3:$H$10000,8,FALSE),"0")</f>
        <v>0</v>
      </c>
      <c r="K5415" s="4"/>
      <c r="L5415" s="33" t="str">
        <f>IFERROR(VLOOKUP($J5415,'Informations sur les produits'!$A$3:$H$10000,8,FALSE),"0")</f>
        <v>0</v>
      </c>
      <c r="N5415" s="8"/>
      <c r="O5415" s="33" t="str">
        <f>IFERROR(VLOOKUP($M5415,'Informations sur les produits'!$A$3:$H$10000,8,FALSE),"0")</f>
        <v>0</v>
      </c>
      <c r="P5415" s="33">
        <f t="shared" si="336"/>
        <v>0</v>
      </c>
      <c r="Q5415" s="31" t="str">
        <f t="shared" si="337"/>
        <v/>
      </c>
      <c r="R5415" s="32" t="str">
        <f>IFERROR(VLOOKUP($D5415,'Informations sur les produits'!$A$3:$B$15000,2,FALSE),"")</f>
        <v/>
      </c>
      <c r="V5415">
        <f t="shared" si="338"/>
        <v>0</v>
      </c>
      <c r="W5415">
        <f t="shared" si="339"/>
        <v>0</v>
      </c>
    </row>
    <row r="5416" spans="5:23" x14ac:dyDescent="0.25">
      <c r="E5416" s="4"/>
      <c r="F5416" s="4"/>
      <c r="G5416" s="33" t="str">
        <f>IFERROR(VLOOKUP($D5416,'Informations sur les produits'!$A$3:$H$10000,8,FALSE),"0")</f>
        <v>0</v>
      </c>
      <c r="K5416" s="4"/>
      <c r="L5416" s="33" t="str">
        <f>IFERROR(VLOOKUP($J5416,'Informations sur les produits'!$A$3:$H$10000,8,FALSE),"0")</f>
        <v>0</v>
      </c>
      <c r="N5416" s="8"/>
      <c r="O5416" s="33" t="str">
        <f>IFERROR(VLOOKUP($M5416,'Informations sur les produits'!$A$3:$H$10000,8,FALSE),"0")</f>
        <v>0</v>
      </c>
      <c r="P5416" s="33">
        <f t="shared" si="336"/>
        <v>0</v>
      </c>
      <c r="Q5416" s="31" t="str">
        <f t="shared" si="337"/>
        <v/>
      </c>
      <c r="R5416" s="32" t="str">
        <f>IFERROR(VLOOKUP($D5416,'Informations sur les produits'!$A$3:$B$15000,2,FALSE),"")</f>
        <v/>
      </c>
      <c r="V5416">
        <f t="shared" si="338"/>
        <v>0</v>
      </c>
      <c r="W5416">
        <f t="shared" si="339"/>
        <v>0</v>
      </c>
    </row>
    <row r="5417" spans="5:23" x14ac:dyDescent="0.25">
      <c r="E5417" s="4"/>
      <c r="F5417" s="4"/>
      <c r="G5417" s="33" t="str">
        <f>IFERROR(VLOOKUP($D5417,'Informations sur les produits'!$A$3:$H$10000,8,FALSE),"0")</f>
        <v>0</v>
      </c>
      <c r="K5417" s="4"/>
      <c r="L5417" s="33" t="str">
        <f>IFERROR(VLOOKUP($J5417,'Informations sur les produits'!$A$3:$H$10000,8,FALSE),"0")</f>
        <v>0</v>
      </c>
      <c r="N5417" s="8"/>
      <c r="O5417" s="33" t="str">
        <f>IFERROR(VLOOKUP($M5417,'Informations sur les produits'!$A$3:$H$10000,8,FALSE),"0")</f>
        <v>0</v>
      </c>
      <c r="P5417" s="33">
        <f t="shared" si="336"/>
        <v>0</v>
      </c>
      <c r="Q5417" s="31" t="str">
        <f t="shared" si="337"/>
        <v/>
      </c>
      <c r="R5417" s="32" t="str">
        <f>IFERROR(VLOOKUP($D5417,'Informations sur les produits'!$A$3:$B$15000,2,FALSE),"")</f>
        <v/>
      </c>
      <c r="V5417">
        <f t="shared" si="338"/>
        <v>0</v>
      </c>
      <c r="W5417">
        <f t="shared" si="339"/>
        <v>0</v>
      </c>
    </row>
    <row r="5418" spans="5:23" x14ac:dyDescent="0.25">
      <c r="E5418" s="4"/>
      <c r="F5418" s="4"/>
      <c r="G5418" s="33" t="str">
        <f>IFERROR(VLOOKUP($D5418,'Informations sur les produits'!$A$3:$H$10000,8,FALSE),"0")</f>
        <v>0</v>
      </c>
      <c r="K5418" s="4"/>
      <c r="L5418" s="33" t="str">
        <f>IFERROR(VLOOKUP($J5418,'Informations sur les produits'!$A$3:$H$10000,8,FALSE),"0")</f>
        <v>0</v>
      </c>
      <c r="N5418" s="8"/>
      <c r="O5418" s="33" t="str">
        <f>IFERROR(VLOOKUP($M5418,'Informations sur les produits'!$A$3:$H$10000,8,FALSE),"0")</f>
        <v>0</v>
      </c>
      <c r="P5418" s="33">
        <f t="shared" si="336"/>
        <v>0</v>
      </c>
      <c r="Q5418" s="31" t="str">
        <f t="shared" si="337"/>
        <v/>
      </c>
      <c r="R5418" s="32" t="str">
        <f>IFERROR(VLOOKUP($D5418,'Informations sur les produits'!$A$3:$B$15000,2,FALSE),"")</f>
        <v/>
      </c>
      <c r="V5418">
        <f t="shared" si="338"/>
        <v>0</v>
      </c>
      <c r="W5418">
        <f t="shared" si="339"/>
        <v>0</v>
      </c>
    </row>
    <row r="5419" spans="5:23" x14ac:dyDescent="0.25">
      <c r="E5419" s="4"/>
      <c r="F5419" s="4"/>
      <c r="G5419" s="33" t="str">
        <f>IFERROR(VLOOKUP($D5419,'Informations sur les produits'!$A$3:$H$10000,8,FALSE),"0")</f>
        <v>0</v>
      </c>
      <c r="K5419" s="4"/>
      <c r="L5419" s="33" t="str">
        <f>IFERROR(VLOOKUP($J5419,'Informations sur les produits'!$A$3:$H$10000,8,FALSE),"0")</f>
        <v>0</v>
      </c>
      <c r="N5419" s="8"/>
      <c r="O5419" s="33" t="str">
        <f>IFERROR(VLOOKUP($M5419,'Informations sur les produits'!$A$3:$H$10000,8,FALSE),"0")</f>
        <v>0</v>
      </c>
      <c r="P5419" s="33">
        <f t="shared" si="336"/>
        <v>0</v>
      </c>
      <c r="Q5419" s="31" t="str">
        <f t="shared" si="337"/>
        <v/>
      </c>
      <c r="R5419" s="32" t="str">
        <f>IFERROR(VLOOKUP($D5419,'Informations sur les produits'!$A$3:$B$15000,2,FALSE),"")</f>
        <v/>
      </c>
      <c r="V5419">
        <f t="shared" si="338"/>
        <v>0</v>
      </c>
      <c r="W5419">
        <f t="shared" si="339"/>
        <v>0</v>
      </c>
    </row>
    <row r="5420" spans="5:23" x14ac:dyDescent="0.25">
      <c r="E5420" s="4"/>
      <c r="F5420" s="4"/>
      <c r="G5420" s="33" t="str">
        <f>IFERROR(VLOOKUP($D5420,'Informations sur les produits'!$A$3:$H$10000,8,FALSE),"0")</f>
        <v>0</v>
      </c>
      <c r="K5420" s="4"/>
      <c r="L5420" s="33" t="str">
        <f>IFERROR(VLOOKUP($J5420,'Informations sur les produits'!$A$3:$H$10000,8,FALSE),"0")</f>
        <v>0</v>
      </c>
      <c r="N5420" s="8"/>
      <c r="O5420" s="33" t="str">
        <f>IFERROR(VLOOKUP($M5420,'Informations sur les produits'!$A$3:$H$10000,8,FALSE),"0")</f>
        <v>0</v>
      </c>
      <c r="P5420" s="33">
        <f t="shared" si="336"/>
        <v>0</v>
      </c>
      <c r="Q5420" s="31" t="str">
        <f t="shared" si="337"/>
        <v/>
      </c>
      <c r="R5420" s="32" t="str">
        <f>IFERROR(VLOOKUP($D5420,'Informations sur les produits'!$A$3:$B$15000,2,FALSE),"")</f>
        <v/>
      </c>
      <c r="V5420">
        <f t="shared" si="338"/>
        <v>0</v>
      </c>
      <c r="W5420">
        <f t="shared" si="339"/>
        <v>0</v>
      </c>
    </row>
    <row r="5421" spans="5:23" x14ac:dyDescent="0.25">
      <c r="E5421" s="4"/>
      <c r="F5421" s="4"/>
      <c r="G5421" s="33" t="str">
        <f>IFERROR(VLOOKUP($D5421,'Informations sur les produits'!$A$3:$H$10000,8,FALSE),"0")</f>
        <v>0</v>
      </c>
      <c r="K5421" s="4"/>
      <c r="L5421" s="33" t="str">
        <f>IFERROR(VLOOKUP($J5421,'Informations sur les produits'!$A$3:$H$10000,8,FALSE),"0")</f>
        <v>0</v>
      </c>
      <c r="N5421" s="8"/>
      <c r="O5421" s="33" t="str">
        <f>IFERROR(VLOOKUP($M5421,'Informations sur les produits'!$A$3:$H$10000,8,FALSE),"0")</f>
        <v>0</v>
      </c>
      <c r="P5421" s="33">
        <f t="shared" si="336"/>
        <v>0</v>
      </c>
      <c r="Q5421" s="31" t="str">
        <f t="shared" si="337"/>
        <v/>
      </c>
      <c r="R5421" s="32" t="str">
        <f>IFERROR(VLOOKUP($D5421,'Informations sur les produits'!$A$3:$B$15000,2,FALSE),"")</f>
        <v/>
      </c>
      <c r="V5421">
        <f t="shared" si="338"/>
        <v>0</v>
      </c>
      <c r="W5421">
        <f t="shared" si="339"/>
        <v>0</v>
      </c>
    </row>
    <row r="5422" spans="5:23" x14ac:dyDescent="0.25">
      <c r="E5422" s="4"/>
      <c r="F5422" s="4"/>
      <c r="G5422" s="33" t="str">
        <f>IFERROR(VLOOKUP($D5422,'Informations sur les produits'!$A$3:$H$10000,8,FALSE),"0")</f>
        <v>0</v>
      </c>
      <c r="K5422" s="4"/>
      <c r="L5422" s="33" t="str">
        <f>IFERROR(VLOOKUP($J5422,'Informations sur les produits'!$A$3:$H$10000,8,FALSE),"0")</f>
        <v>0</v>
      </c>
      <c r="N5422" s="8"/>
      <c r="O5422" s="33" t="str">
        <f>IFERROR(VLOOKUP($M5422,'Informations sur les produits'!$A$3:$H$10000,8,FALSE),"0")</f>
        <v>0</v>
      </c>
      <c r="P5422" s="33">
        <f t="shared" si="336"/>
        <v>0</v>
      </c>
      <c r="Q5422" s="31" t="str">
        <f t="shared" si="337"/>
        <v/>
      </c>
      <c r="R5422" s="32" t="str">
        <f>IFERROR(VLOOKUP($D5422,'Informations sur les produits'!$A$3:$B$15000,2,FALSE),"")</f>
        <v/>
      </c>
      <c r="V5422">
        <f t="shared" si="338"/>
        <v>0</v>
      </c>
      <c r="W5422">
        <f t="shared" si="339"/>
        <v>0</v>
      </c>
    </row>
    <row r="5423" spans="5:23" x14ac:dyDescent="0.25">
      <c r="E5423" s="4"/>
      <c r="F5423" s="4"/>
      <c r="G5423" s="33" t="str">
        <f>IFERROR(VLOOKUP($D5423,'Informations sur les produits'!$A$3:$H$10000,8,FALSE),"0")</f>
        <v>0</v>
      </c>
      <c r="K5423" s="4"/>
      <c r="L5423" s="33" t="str">
        <f>IFERROR(VLOOKUP($J5423,'Informations sur les produits'!$A$3:$H$10000,8,FALSE),"0")</f>
        <v>0</v>
      </c>
      <c r="N5423" s="8"/>
      <c r="O5423" s="33" t="str">
        <f>IFERROR(VLOOKUP($M5423,'Informations sur les produits'!$A$3:$H$10000,8,FALSE),"0")</f>
        <v>0</v>
      </c>
      <c r="P5423" s="33">
        <f t="shared" si="336"/>
        <v>0</v>
      </c>
      <c r="Q5423" s="31" t="str">
        <f t="shared" si="337"/>
        <v/>
      </c>
      <c r="R5423" s="32" t="str">
        <f>IFERROR(VLOOKUP($D5423,'Informations sur les produits'!$A$3:$B$15000,2,FALSE),"")</f>
        <v/>
      </c>
      <c r="V5423">
        <f t="shared" si="338"/>
        <v>0</v>
      </c>
      <c r="W5423">
        <f t="shared" si="339"/>
        <v>0</v>
      </c>
    </row>
    <row r="5424" spans="5:23" x14ac:dyDescent="0.25">
      <c r="E5424" s="4"/>
      <c r="F5424" s="4"/>
      <c r="G5424" s="33" t="str">
        <f>IFERROR(VLOOKUP($D5424,'Informations sur les produits'!$A$3:$H$10000,8,FALSE),"0")</f>
        <v>0</v>
      </c>
      <c r="K5424" s="4"/>
      <c r="L5424" s="33" t="str">
        <f>IFERROR(VLOOKUP($J5424,'Informations sur les produits'!$A$3:$H$10000,8,FALSE),"0")</f>
        <v>0</v>
      </c>
      <c r="N5424" s="8"/>
      <c r="O5424" s="33" t="str">
        <f>IFERROR(VLOOKUP($M5424,'Informations sur les produits'!$A$3:$H$10000,8,FALSE),"0")</f>
        <v>0</v>
      </c>
      <c r="P5424" s="33">
        <f t="shared" si="336"/>
        <v>0</v>
      </c>
      <c r="Q5424" s="31" t="str">
        <f t="shared" si="337"/>
        <v/>
      </c>
      <c r="R5424" s="32" t="str">
        <f>IFERROR(VLOOKUP($D5424,'Informations sur les produits'!$A$3:$B$15000,2,FALSE),"")</f>
        <v/>
      </c>
      <c r="V5424">
        <f t="shared" si="338"/>
        <v>0</v>
      </c>
      <c r="W5424">
        <f t="shared" si="339"/>
        <v>0</v>
      </c>
    </row>
    <row r="5425" spans="5:23" x14ac:dyDescent="0.25">
      <c r="E5425" s="4"/>
      <c r="F5425" s="4"/>
      <c r="G5425" s="33" t="str">
        <f>IFERROR(VLOOKUP($D5425,'Informations sur les produits'!$A$3:$H$10000,8,FALSE),"0")</f>
        <v>0</v>
      </c>
      <c r="K5425" s="4"/>
      <c r="L5425" s="33" t="str">
        <f>IFERROR(VLOOKUP($J5425,'Informations sur les produits'!$A$3:$H$10000,8,FALSE),"0")</f>
        <v>0</v>
      </c>
      <c r="N5425" s="8"/>
      <c r="O5425" s="33" t="str">
        <f>IFERROR(VLOOKUP($M5425,'Informations sur les produits'!$A$3:$H$10000,8,FALSE),"0")</f>
        <v>0</v>
      </c>
      <c r="P5425" s="33">
        <f t="shared" si="336"/>
        <v>0</v>
      </c>
      <c r="Q5425" s="31" t="str">
        <f t="shared" si="337"/>
        <v/>
      </c>
      <c r="R5425" s="32" t="str">
        <f>IFERROR(VLOOKUP($D5425,'Informations sur les produits'!$A$3:$B$15000,2,FALSE),"")</f>
        <v/>
      </c>
      <c r="V5425">
        <f t="shared" si="338"/>
        <v>0</v>
      </c>
      <c r="W5425">
        <f t="shared" si="339"/>
        <v>0</v>
      </c>
    </row>
    <row r="5426" spans="5:23" x14ac:dyDescent="0.25">
      <c r="E5426" s="4"/>
      <c r="F5426" s="4"/>
      <c r="G5426" s="33" t="str">
        <f>IFERROR(VLOOKUP($D5426,'Informations sur les produits'!$A$3:$H$10000,8,FALSE),"0")</f>
        <v>0</v>
      </c>
      <c r="K5426" s="4"/>
      <c r="L5426" s="33" t="str">
        <f>IFERROR(VLOOKUP($J5426,'Informations sur les produits'!$A$3:$H$10000,8,FALSE),"0")</f>
        <v>0</v>
      </c>
      <c r="N5426" s="8"/>
      <c r="O5426" s="33" t="str">
        <f>IFERROR(VLOOKUP($M5426,'Informations sur les produits'!$A$3:$H$10000,8,FALSE),"0")</f>
        <v>0</v>
      </c>
      <c r="P5426" s="33">
        <f t="shared" si="336"/>
        <v>0</v>
      </c>
      <c r="Q5426" s="31" t="str">
        <f t="shared" si="337"/>
        <v/>
      </c>
      <c r="R5426" s="32" t="str">
        <f>IFERROR(VLOOKUP($D5426,'Informations sur les produits'!$A$3:$B$15000,2,FALSE),"")</f>
        <v/>
      </c>
      <c r="V5426">
        <f t="shared" si="338"/>
        <v>0</v>
      </c>
      <c r="W5426">
        <f t="shared" si="339"/>
        <v>0</v>
      </c>
    </row>
    <row r="5427" spans="5:23" x14ac:dyDescent="0.25">
      <c r="E5427" s="4"/>
      <c r="F5427" s="4"/>
      <c r="G5427" s="33" t="str">
        <f>IFERROR(VLOOKUP($D5427,'Informations sur les produits'!$A$3:$H$10000,8,FALSE),"0")</f>
        <v>0</v>
      </c>
      <c r="K5427" s="4"/>
      <c r="L5427" s="33" t="str">
        <f>IFERROR(VLOOKUP($J5427,'Informations sur les produits'!$A$3:$H$10000,8,FALSE),"0")</f>
        <v>0</v>
      </c>
      <c r="N5427" s="8"/>
      <c r="O5427" s="33" t="str">
        <f>IFERROR(VLOOKUP($M5427,'Informations sur les produits'!$A$3:$H$10000,8,FALSE),"0")</f>
        <v>0</v>
      </c>
      <c r="P5427" s="33">
        <f t="shared" si="336"/>
        <v>0</v>
      </c>
      <c r="Q5427" s="31" t="str">
        <f t="shared" si="337"/>
        <v/>
      </c>
      <c r="R5427" s="32" t="str">
        <f>IFERROR(VLOOKUP($D5427,'Informations sur les produits'!$A$3:$B$15000,2,FALSE),"")</f>
        <v/>
      </c>
      <c r="V5427">
        <f t="shared" si="338"/>
        <v>0</v>
      </c>
      <c r="W5427">
        <f t="shared" si="339"/>
        <v>0</v>
      </c>
    </row>
    <row r="5428" spans="5:23" x14ac:dyDescent="0.25">
      <c r="E5428" s="4"/>
      <c r="F5428" s="4"/>
      <c r="G5428" s="33" t="str">
        <f>IFERROR(VLOOKUP($D5428,'Informations sur les produits'!$A$3:$H$10000,8,FALSE),"0")</f>
        <v>0</v>
      </c>
      <c r="K5428" s="4"/>
      <c r="L5428" s="33" t="str">
        <f>IFERROR(VLOOKUP($J5428,'Informations sur les produits'!$A$3:$H$10000,8,FALSE),"0")</f>
        <v>0</v>
      </c>
      <c r="N5428" s="8"/>
      <c r="O5428" s="33" t="str">
        <f>IFERROR(VLOOKUP($M5428,'Informations sur les produits'!$A$3:$H$10000,8,FALSE),"0")</f>
        <v>0</v>
      </c>
      <c r="P5428" s="33">
        <f t="shared" si="336"/>
        <v>0</v>
      </c>
      <c r="Q5428" s="31" t="str">
        <f t="shared" si="337"/>
        <v/>
      </c>
      <c r="R5428" s="32" t="str">
        <f>IFERROR(VLOOKUP($D5428,'Informations sur les produits'!$A$3:$B$15000,2,FALSE),"")</f>
        <v/>
      </c>
      <c r="V5428">
        <f t="shared" si="338"/>
        <v>0</v>
      </c>
      <c r="W5428">
        <f t="shared" si="339"/>
        <v>0</v>
      </c>
    </row>
    <row r="5429" spans="5:23" x14ac:dyDescent="0.25">
      <c r="E5429" s="4"/>
      <c r="F5429" s="4"/>
      <c r="G5429" s="33" t="str">
        <f>IFERROR(VLOOKUP($D5429,'Informations sur les produits'!$A$3:$H$10000,8,FALSE),"0")</f>
        <v>0</v>
      </c>
      <c r="K5429" s="4"/>
      <c r="L5429" s="33" t="str">
        <f>IFERROR(VLOOKUP($J5429,'Informations sur les produits'!$A$3:$H$10000,8,FALSE),"0")</f>
        <v>0</v>
      </c>
      <c r="N5429" s="8"/>
      <c r="O5429" s="33" t="str">
        <f>IFERROR(VLOOKUP($M5429,'Informations sur les produits'!$A$3:$H$10000,8,FALSE),"0")</f>
        <v>0</v>
      </c>
      <c r="P5429" s="33">
        <f t="shared" si="336"/>
        <v>0</v>
      </c>
      <c r="Q5429" s="31" t="str">
        <f t="shared" si="337"/>
        <v/>
      </c>
      <c r="R5429" s="32" t="str">
        <f>IFERROR(VLOOKUP($D5429,'Informations sur les produits'!$A$3:$B$15000,2,FALSE),"")</f>
        <v/>
      </c>
      <c r="V5429">
        <f t="shared" si="338"/>
        <v>0</v>
      </c>
      <c r="W5429">
        <f t="shared" si="339"/>
        <v>0</v>
      </c>
    </row>
    <row r="5430" spans="5:23" x14ac:dyDescent="0.25">
      <c r="E5430" s="4"/>
      <c r="F5430" s="4"/>
      <c r="G5430" s="33" t="str">
        <f>IFERROR(VLOOKUP($D5430,'Informations sur les produits'!$A$3:$H$10000,8,FALSE),"0")</f>
        <v>0</v>
      </c>
      <c r="K5430" s="4"/>
      <c r="L5430" s="33" t="str">
        <f>IFERROR(VLOOKUP($J5430,'Informations sur les produits'!$A$3:$H$10000,8,FALSE),"0")</f>
        <v>0</v>
      </c>
      <c r="N5430" s="8"/>
      <c r="O5430" s="33" t="str">
        <f>IFERROR(VLOOKUP($M5430,'Informations sur les produits'!$A$3:$H$10000,8,FALSE),"0")</f>
        <v>0</v>
      </c>
      <c r="P5430" s="33">
        <f t="shared" si="336"/>
        <v>0</v>
      </c>
      <c r="Q5430" s="31" t="str">
        <f t="shared" si="337"/>
        <v/>
      </c>
      <c r="R5430" s="32" t="str">
        <f>IFERROR(VLOOKUP($D5430,'Informations sur les produits'!$A$3:$B$15000,2,FALSE),"")</f>
        <v/>
      </c>
      <c r="V5430">
        <f t="shared" si="338"/>
        <v>0</v>
      </c>
      <c r="W5430">
        <f t="shared" si="339"/>
        <v>0</v>
      </c>
    </row>
    <row r="5431" spans="5:23" x14ac:dyDescent="0.25">
      <c r="E5431" s="4"/>
      <c r="F5431" s="4"/>
      <c r="G5431" s="33" t="str">
        <f>IFERROR(VLOOKUP($D5431,'Informations sur les produits'!$A$3:$H$10000,8,FALSE),"0")</f>
        <v>0</v>
      </c>
      <c r="K5431" s="4"/>
      <c r="L5431" s="33" t="str">
        <f>IFERROR(VLOOKUP($J5431,'Informations sur les produits'!$A$3:$H$10000,8,FALSE),"0")</f>
        <v>0</v>
      </c>
      <c r="N5431" s="8"/>
      <c r="O5431" s="33" t="str">
        <f>IFERROR(VLOOKUP($M5431,'Informations sur les produits'!$A$3:$H$10000,8,FALSE),"0")</f>
        <v>0</v>
      </c>
      <c r="P5431" s="33">
        <f t="shared" si="336"/>
        <v>0</v>
      </c>
      <c r="Q5431" s="31" t="str">
        <f t="shared" si="337"/>
        <v/>
      </c>
      <c r="R5431" s="32" t="str">
        <f>IFERROR(VLOOKUP($D5431,'Informations sur les produits'!$A$3:$B$15000,2,FALSE),"")</f>
        <v/>
      </c>
      <c r="V5431">
        <f t="shared" si="338"/>
        <v>0</v>
      </c>
      <c r="W5431">
        <f t="shared" si="339"/>
        <v>0</v>
      </c>
    </row>
    <row r="5432" spans="5:23" x14ac:dyDescent="0.25">
      <c r="E5432" s="4"/>
      <c r="F5432" s="4"/>
      <c r="G5432" s="33" t="str">
        <f>IFERROR(VLOOKUP($D5432,'Informations sur les produits'!$A$3:$H$10000,8,FALSE),"0")</f>
        <v>0</v>
      </c>
      <c r="K5432" s="4"/>
      <c r="L5432" s="33" t="str">
        <f>IFERROR(VLOOKUP($J5432,'Informations sur les produits'!$A$3:$H$10000,8,FALSE),"0")</f>
        <v>0</v>
      </c>
      <c r="N5432" s="8"/>
      <c r="O5432" s="33" t="str">
        <f>IFERROR(VLOOKUP($M5432,'Informations sur les produits'!$A$3:$H$10000,8,FALSE),"0")</f>
        <v>0</v>
      </c>
      <c r="P5432" s="33">
        <f t="shared" si="336"/>
        <v>0</v>
      </c>
      <c r="Q5432" s="31" t="str">
        <f t="shared" si="337"/>
        <v/>
      </c>
      <c r="R5432" s="32" t="str">
        <f>IFERROR(VLOOKUP($D5432,'Informations sur les produits'!$A$3:$B$15000,2,FALSE),"")</f>
        <v/>
      </c>
      <c r="V5432">
        <f t="shared" si="338"/>
        <v>0</v>
      </c>
      <c r="W5432">
        <f t="shared" si="339"/>
        <v>0</v>
      </c>
    </row>
    <row r="5433" spans="5:23" x14ac:dyDescent="0.25">
      <c r="E5433" s="4"/>
      <c r="F5433" s="4"/>
      <c r="G5433" s="33" t="str">
        <f>IFERROR(VLOOKUP($D5433,'Informations sur les produits'!$A$3:$H$10000,8,FALSE),"0")</f>
        <v>0</v>
      </c>
      <c r="K5433" s="4"/>
      <c r="L5433" s="33" t="str">
        <f>IFERROR(VLOOKUP($J5433,'Informations sur les produits'!$A$3:$H$10000,8,FALSE),"0")</f>
        <v>0</v>
      </c>
      <c r="N5433" s="8"/>
      <c r="O5433" s="33" t="str">
        <f>IFERROR(VLOOKUP($M5433,'Informations sur les produits'!$A$3:$H$10000,8,FALSE),"0")</f>
        <v>0</v>
      </c>
      <c r="P5433" s="33">
        <f t="shared" si="336"/>
        <v>0</v>
      </c>
      <c r="Q5433" s="31" t="str">
        <f t="shared" si="337"/>
        <v/>
      </c>
      <c r="R5433" s="32" t="str">
        <f>IFERROR(VLOOKUP($D5433,'Informations sur les produits'!$A$3:$B$15000,2,FALSE),"")</f>
        <v/>
      </c>
      <c r="V5433">
        <f t="shared" si="338"/>
        <v>0</v>
      </c>
      <c r="W5433">
        <f t="shared" si="339"/>
        <v>0</v>
      </c>
    </row>
    <row r="5434" spans="5:23" x14ac:dyDescent="0.25">
      <c r="E5434" s="4"/>
      <c r="F5434" s="4"/>
      <c r="G5434" s="33" t="str">
        <f>IFERROR(VLOOKUP($D5434,'Informations sur les produits'!$A$3:$H$10000,8,FALSE),"0")</f>
        <v>0</v>
      </c>
      <c r="K5434" s="4"/>
      <c r="L5434" s="33" t="str">
        <f>IFERROR(VLOOKUP($J5434,'Informations sur les produits'!$A$3:$H$10000,8,FALSE),"0")</f>
        <v>0</v>
      </c>
      <c r="N5434" s="8"/>
      <c r="O5434" s="33" t="str">
        <f>IFERROR(VLOOKUP($M5434,'Informations sur les produits'!$A$3:$H$10000,8,FALSE),"0")</f>
        <v>0</v>
      </c>
      <c r="P5434" s="33">
        <f t="shared" si="336"/>
        <v>0</v>
      </c>
      <c r="Q5434" s="31" t="str">
        <f t="shared" si="337"/>
        <v/>
      </c>
      <c r="R5434" s="32" t="str">
        <f>IFERROR(VLOOKUP($D5434,'Informations sur les produits'!$A$3:$B$15000,2,FALSE),"")</f>
        <v/>
      </c>
      <c r="V5434">
        <f t="shared" si="338"/>
        <v>0</v>
      </c>
      <c r="W5434">
        <f t="shared" si="339"/>
        <v>0</v>
      </c>
    </row>
    <row r="5435" spans="5:23" x14ac:dyDescent="0.25">
      <c r="E5435" s="4"/>
      <c r="F5435" s="4"/>
      <c r="G5435" s="33" t="str">
        <f>IFERROR(VLOOKUP($D5435,'Informations sur les produits'!$A$3:$H$10000,8,FALSE),"0")</f>
        <v>0</v>
      </c>
      <c r="K5435" s="4"/>
      <c r="L5435" s="33" t="str">
        <f>IFERROR(VLOOKUP($J5435,'Informations sur les produits'!$A$3:$H$10000,8,FALSE),"0")</f>
        <v>0</v>
      </c>
      <c r="N5435" s="8"/>
      <c r="O5435" s="33" t="str">
        <f>IFERROR(VLOOKUP($M5435,'Informations sur les produits'!$A$3:$H$10000,8,FALSE),"0")</f>
        <v>0</v>
      </c>
      <c r="P5435" s="33">
        <f t="shared" si="336"/>
        <v>0</v>
      </c>
      <c r="Q5435" s="31" t="str">
        <f t="shared" si="337"/>
        <v/>
      </c>
      <c r="R5435" s="32" t="str">
        <f>IFERROR(VLOOKUP($D5435,'Informations sur les produits'!$A$3:$B$15000,2,FALSE),"")</f>
        <v/>
      </c>
      <c r="V5435">
        <f t="shared" si="338"/>
        <v>0</v>
      </c>
      <c r="W5435">
        <f t="shared" si="339"/>
        <v>0</v>
      </c>
    </row>
    <row r="5436" spans="5:23" x14ac:dyDescent="0.25">
      <c r="E5436" s="4"/>
      <c r="F5436" s="4"/>
      <c r="G5436" s="33" t="str">
        <f>IFERROR(VLOOKUP($D5436,'Informations sur les produits'!$A$3:$H$10000,8,FALSE),"0")</f>
        <v>0</v>
      </c>
      <c r="K5436" s="4"/>
      <c r="L5436" s="33" t="str">
        <f>IFERROR(VLOOKUP($J5436,'Informations sur les produits'!$A$3:$H$10000,8,FALSE),"0")</f>
        <v>0</v>
      </c>
      <c r="N5436" s="8"/>
      <c r="O5436" s="33" t="str">
        <f>IFERROR(VLOOKUP($M5436,'Informations sur les produits'!$A$3:$H$10000,8,FALSE),"0")</f>
        <v>0</v>
      </c>
      <c r="P5436" s="33">
        <f t="shared" si="336"/>
        <v>0</v>
      </c>
      <c r="Q5436" s="31" t="str">
        <f t="shared" si="337"/>
        <v/>
      </c>
      <c r="R5436" s="32" t="str">
        <f>IFERROR(VLOOKUP($D5436,'Informations sur les produits'!$A$3:$B$15000,2,FALSE),"")</f>
        <v/>
      </c>
      <c r="V5436">
        <f t="shared" si="338"/>
        <v>0</v>
      </c>
      <c r="W5436">
        <f t="shared" si="339"/>
        <v>0</v>
      </c>
    </row>
    <row r="5437" spans="5:23" x14ac:dyDescent="0.25">
      <c r="E5437" s="4"/>
      <c r="F5437" s="4"/>
      <c r="G5437" s="33" t="str">
        <f>IFERROR(VLOOKUP($D5437,'Informations sur les produits'!$A$3:$H$10000,8,FALSE),"0")</f>
        <v>0</v>
      </c>
      <c r="K5437" s="4"/>
      <c r="L5437" s="33" t="str">
        <f>IFERROR(VLOOKUP($J5437,'Informations sur les produits'!$A$3:$H$10000,8,FALSE),"0")</f>
        <v>0</v>
      </c>
      <c r="N5437" s="8"/>
      <c r="O5437" s="33" t="str">
        <f>IFERROR(VLOOKUP($M5437,'Informations sur les produits'!$A$3:$H$10000,8,FALSE),"0")</f>
        <v>0</v>
      </c>
      <c r="P5437" s="33">
        <f t="shared" si="336"/>
        <v>0</v>
      </c>
      <c r="Q5437" s="31" t="str">
        <f t="shared" si="337"/>
        <v/>
      </c>
      <c r="R5437" s="32" t="str">
        <f>IFERROR(VLOOKUP($D5437,'Informations sur les produits'!$A$3:$B$15000,2,FALSE),"")</f>
        <v/>
      </c>
      <c r="V5437">
        <f t="shared" si="338"/>
        <v>0</v>
      </c>
      <c r="W5437">
        <f t="shared" si="339"/>
        <v>0</v>
      </c>
    </row>
    <row r="5438" spans="5:23" x14ac:dyDescent="0.25">
      <c r="E5438" s="4"/>
      <c r="F5438" s="4"/>
      <c r="G5438" s="33" t="str">
        <f>IFERROR(VLOOKUP($D5438,'Informations sur les produits'!$A$3:$H$10000,8,FALSE),"0")</f>
        <v>0</v>
      </c>
      <c r="K5438" s="4"/>
      <c r="L5438" s="33" t="str">
        <f>IFERROR(VLOOKUP($J5438,'Informations sur les produits'!$A$3:$H$10000,8,FALSE),"0")</f>
        <v>0</v>
      </c>
      <c r="N5438" s="8"/>
      <c r="O5438" s="33" t="str">
        <f>IFERROR(VLOOKUP($M5438,'Informations sur les produits'!$A$3:$H$10000,8,FALSE),"0")</f>
        <v>0</v>
      </c>
      <c r="P5438" s="33">
        <f t="shared" si="336"/>
        <v>0</v>
      </c>
      <c r="Q5438" s="31" t="str">
        <f t="shared" si="337"/>
        <v/>
      </c>
      <c r="R5438" s="32" t="str">
        <f>IFERROR(VLOOKUP($D5438,'Informations sur les produits'!$A$3:$B$15000,2,FALSE),"")</f>
        <v/>
      </c>
      <c r="V5438">
        <f t="shared" si="338"/>
        <v>0</v>
      </c>
      <c r="W5438">
        <f t="shared" si="339"/>
        <v>0</v>
      </c>
    </row>
    <row r="5439" spans="5:23" x14ac:dyDescent="0.25">
      <c r="E5439" s="4"/>
      <c r="F5439" s="4"/>
      <c r="G5439" s="33" t="str">
        <f>IFERROR(VLOOKUP($D5439,'Informations sur les produits'!$A$3:$H$10000,8,FALSE),"0")</f>
        <v>0</v>
      </c>
      <c r="K5439" s="4"/>
      <c r="L5439" s="33" t="str">
        <f>IFERROR(VLOOKUP($J5439,'Informations sur les produits'!$A$3:$H$10000,8,FALSE),"0")</f>
        <v>0</v>
      </c>
      <c r="N5439" s="8"/>
      <c r="O5439" s="33" t="str">
        <f>IFERROR(VLOOKUP($M5439,'Informations sur les produits'!$A$3:$H$10000,8,FALSE),"0")</f>
        <v>0</v>
      </c>
      <c r="P5439" s="33">
        <f t="shared" si="336"/>
        <v>0</v>
      </c>
      <c r="Q5439" s="31" t="str">
        <f t="shared" si="337"/>
        <v/>
      </c>
      <c r="R5439" s="32" t="str">
        <f>IFERROR(VLOOKUP($D5439,'Informations sur les produits'!$A$3:$B$15000,2,FALSE),"")</f>
        <v/>
      </c>
      <c r="V5439">
        <f t="shared" si="338"/>
        <v>0</v>
      </c>
      <c r="W5439">
        <f t="shared" si="339"/>
        <v>0</v>
      </c>
    </row>
    <row r="5440" spans="5:23" x14ac:dyDescent="0.25">
      <c r="E5440" s="4"/>
      <c r="F5440" s="4"/>
      <c r="G5440" s="33" t="str">
        <f>IFERROR(VLOOKUP($D5440,'Informations sur les produits'!$A$3:$H$10000,8,FALSE),"0")</f>
        <v>0</v>
      </c>
      <c r="K5440" s="4"/>
      <c r="L5440" s="33" t="str">
        <f>IFERROR(VLOOKUP($J5440,'Informations sur les produits'!$A$3:$H$10000,8,FALSE),"0")</f>
        <v>0</v>
      </c>
      <c r="N5440" s="8"/>
      <c r="O5440" s="33" t="str">
        <f>IFERROR(VLOOKUP($M5440,'Informations sur les produits'!$A$3:$H$10000,8,FALSE),"0")</f>
        <v>0</v>
      </c>
      <c r="P5440" s="33">
        <f t="shared" si="336"/>
        <v>0</v>
      </c>
      <c r="Q5440" s="31" t="str">
        <f t="shared" si="337"/>
        <v/>
      </c>
      <c r="R5440" s="32" t="str">
        <f>IFERROR(VLOOKUP($D5440,'Informations sur les produits'!$A$3:$B$15000,2,FALSE),"")</f>
        <v/>
      </c>
      <c r="V5440">
        <f t="shared" si="338"/>
        <v>0</v>
      </c>
      <c r="W5440">
        <f t="shared" si="339"/>
        <v>0</v>
      </c>
    </row>
    <row r="5441" spans="5:23" x14ac:dyDescent="0.25">
      <c r="E5441" s="4"/>
      <c r="F5441" s="4"/>
      <c r="G5441" s="33" t="str">
        <f>IFERROR(VLOOKUP($D5441,'Informations sur les produits'!$A$3:$H$10000,8,FALSE),"0")</f>
        <v>0</v>
      </c>
      <c r="K5441" s="4"/>
      <c r="L5441" s="33" t="str">
        <f>IFERROR(VLOOKUP($J5441,'Informations sur les produits'!$A$3:$H$10000,8,FALSE),"0")</f>
        <v>0</v>
      </c>
      <c r="N5441" s="8"/>
      <c r="O5441" s="33" t="str">
        <f>IFERROR(VLOOKUP($M5441,'Informations sur les produits'!$A$3:$H$10000,8,FALSE),"0")</f>
        <v>0</v>
      </c>
      <c r="P5441" s="33">
        <f t="shared" si="336"/>
        <v>0</v>
      </c>
      <c r="Q5441" s="31" t="str">
        <f t="shared" si="337"/>
        <v/>
      </c>
      <c r="R5441" s="32" t="str">
        <f>IFERROR(VLOOKUP($D5441,'Informations sur les produits'!$A$3:$B$15000,2,FALSE),"")</f>
        <v/>
      </c>
      <c r="V5441">
        <f t="shared" si="338"/>
        <v>0</v>
      </c>
      <c r="W5441">
        <f t="shared" si="339"/>
        <v>0</v>
      </c>
    </row>
    <row r="5442" spans="5:23" x14ac:dyDescent="0.25">
      <c r="E5442" s="4"/>
      <c r="F5442" s="4"/>
      <c r="G5442" s="33" t="str">
        <f>IFERROR(VLOOKUP($D5442,'Informations sur les produits'!$A$3:$H$10000,8,FALSE),"0")</f>
        <v>0</v>
      </c>
      <c r="K5442" s="4"/>
      <c r="L5442" s="33" t="str">
        <f>IFERROR(VLOOKUP($J5442,'Informations sur les produits'!$A$3:$H$10000,8,FALSE),"0")</f>
        <v>0</v>
      </c>
      <c r="N5442" s="8"/>
      <c r="O5442" s="33" t="str">
        <f>IFERROR(VLOOKUP($M5442,'Informations sur les produits'!$A$3:$H$10000,8,FALSE),"0")</f>
        <v>0</v>
      </c>
      <c r="P5442" s="33">
        <f t="shared" si="336"/>
        <v>0</v>
      </c>
      <c r="Q5442" s="31" t="str">
        <f t="shared" si="337"/>
        <v/>
      </c>
      <c r="R5442" s="32" t="str">
        <f>IFERROR(VLOOKUP($D5442,'Informations sur les produits'!$A$3:$B$15000,2,FALSE),"")</f>
        <v/>
      </c>
      <c r="V5442">
        <f t="shared" si="338"/>
        <v>0</v>
      </c>
      <c r="W5442">
        <f t="shared" si="339"/>
        <v>0</v>
      </c>
    </row>
    <row r="5443" spans="5:23" x14ac:dyDescent="0.25">
      <c r="E5443" s="4"/>
      <c r="F5443" s="4"/>
      <c r="G5443" s="33" t="str">
        <f>IFERROR(VLOOKUP($D5443,'Informations sur les produits'!$A$3:$H$10000,8,FALSE),"0")</f>
        <v>0</v>
      </c>
      <c r="K5443" s="4"/>
      <c r="L5443" s="33" t="str">
        <f>IFERROR(VLOOKUP($J5443,'Informations sur les produits'!$A$3:$H$10000,8,FALSE),"0")</f>
        <v>0</v>
      </c>
      <c r="N5443" s="8"/>
      <c r="O5443" s="33" t="str">
        <f>IFERROR(VLOOKUP($M5443,'Informations sur les produits'!$A$3:$H$10000,8,FALSE),"0")</f>
        <v>0</v>
      </c>
      <c r="P5443" s="33">
        <f t="shared" si="336"/>
        <v>0</v>
      </c>
      <c r="Q5443" s="31" t="str">
        <f t="shared" si="337"/>
        <v/>
      </c>
      <c r="R5443" s="32" t="str">
        <f>IFERROR(VLOOKUP($D5443,'Informations sur les produits'!$A$3:$B$15000,2,FALSE),"")</f>
        <v/>
      </c>
      <c r="V5443">
        <f t="shared" si="338"/>
        <v>0</v>
      </c>
      <c r="W5443">
        <f t="shared" si="339"/>
        <v>0</v>
      </c>
    </row>
    <row r="5444" spans="5:23" x14ac:dyDescent="0.25">
      <c r="E5444" s="4"/>
      <c r="F5444" s="4"/>
      <c r="G5444" s="33" t="str">
        <f>IFERROR(VLOOKUP($D5444,'Informations sur les produits'!$A$3:$H$10000,8,FALSE),"0")</f>
        <v>0</v>
      </c>
      <c r="K5444" s="4"/>
      <c r="L5444" s="33" t="str">
        <f>IFERROR(VLOOKUP($J5444,'Informations sur les produits'!$A$3:$H$10000,8,FALSE),"0")</f>
        <v>0</v>
      </c>
      <c r="N5444" s="8"/>
      <c r="O5444" s="33" t="str">
        <f>IFERROR(VLOOKUP($M5444,'Informations sur les produits'!$A$3:$H$10000,8,FALSE),"0")</f>
        <v>0</v>
      </c>
      <c r="P5444" s="33">
        <f t="shared" ref="P5444:P5507" si="340">IFERROR((($E5444-$F5444)*$G5444+$K5444*$L5444+$N5444*$O5444),"")</f>
        <v>0</v>
      </c>
      <c r="Q5444" s="31" t="str">
        <f t="shared" ref="Q5444:Q5507" si="341">IFERROR((((($E5444-$F5444)*$G5444+$K5444*$L5444+$N5444*$O5444)*1000)/(($E5444-$F5444)+$K5444+$N5444)),"")</f>
        <v/>
      </c>
      <c r="R5444" s="32" t="str">
        <f>IFERROR(VLOOKUP($D5444,'Informations sur les produits'!$A$3:$B$15000,2,FALSE),"")</f>
        <v/>
      </c>
      <c r="V5444">
        <f t="shared" ref="V5444:V5507" si="342">IFERROR(P5444*1000,"")</f>
        <v>0</v>
      </c>
      <c r="W5444">
        <f t="shared" ref="W5444:W5507" si="343">IFERROR(($E5444-$F5444)+$K5444+$N5444,"")</f>
        <v>0</v>
      </c>
    </row>
    <row r="5445" spans="5:23" x14ac:dyDescent="0.25">
      <c r="E5445" s="4"/>
      <c r="F5445" s="4"/>
      <c r="G5445" s="33" t="str">
        <f>IFERROR(VLOOKUP($D5445,'Informations sur les produits'!$A$3:$H$10000,8,FALSE),"0")</f>
        <v>0</v>
      </c>
      <c r="K5445" s="4"/>
      <c r="L5445" s="33" t="str">
        <f>IFERROR(VLOOKUP($J5445,'Informations sur les produits'!$A$3:$H$10000,8,FALSE),"0")</f>
        <v>0</v>
      </c>
      <c r="N5445" s="8"/>
      <c r="O5445" s="33" t="str">
        <f>IFERROR(VLOOKUP($M5445,'Informations sur les produits'!$A$3:$H$10000,8,FALSE),"0")</f>
        <v>0</v>
      </c>
      <c r="P5445" s="33">
        <f t="shared" si="340"/>
        <v>0</v>
      </c>
      <c r="Q5445" s="31" t="str">
        <f t="shared" si="341"/>
        <v/>
      </c>
      <c r="R5445" s="32" t="str">
        <f>IFERROR(VLOOKUP($D5445,'Informations sur les produits'!$A$3:$B$15000,2,FALSE),"")</f>
        <v/>
      </c>
      <c r="V5445">
        <f t="shared" si="342"/>
        <v>0</v>
      </c>
      <c r="W5445">
        <f t="shared" si="343"/>
        <v>0</v>
      </c>
    </row>
    <row r="5446" spans="5:23" x14ac:dyDescent="0.25">
      <c r="E5446" s="4"/>
      <c r="F5446" s="4"/>
      <c r="G5446" s="33" t="str">
        <f>IFERROR(VLOOKUP($D5446,'Informations sur les produits'!$A$3:$H$10000,8,FALSE),"0")</f>
        <v>0</v>
      </c>
      <c r="K5446" s="4"/>
      <c r="L5446" s="33" t="str">
        <f>IFERROR(VLOOKUP($J5446,'Informations sur les produits'!$A$3:$H$10000,8,FALSE),"0")</f>
        <v>0</v>
      </c>
      <c r="N5446" s="8"/>
      <c r="O5446" s="33" t="str">
        <f>IFERROR(VLOOKUP($M5446,'Informations sur les produits'!$A$3:$H$10000,8,FALSE),"0")</f>
        <v>0</v>
      </c>
      <c r="P5446" s="33">
        <f t="shared" si="340"/>
        <v>0</v>
      </c>
      <c r="Q5446" s="31" t="str">
        <f t="shared" si="341"/>
        <v/>
      </c>
      <c r="R5446" s="32" t="str">
        <f>IFERROR(VLOOKUP($D5446,'Informations sur les produits'!$A$3:$B$15000,2,FALSE),"")</f>
        <v/>
      </c>
      <c r="V5446">
        <f t="shared" si="342"/>
        <v>0</v>
      </c>
      <c r="W5446">
        <f t="shared" si="343"/>
        <v>0</v>
      </c>
    </row>
    <row r="5447" spans="5:23" x14ac:dyDescent="0.25">
      <c r="E5447" s="4"/>
      <c r="F5447" s="4"/>
      <c r="G5447" s="33" t="str">
        <f>IFERROR(VLOOKUP($D5447,'Informations sur les produits'!$A$3:$H$10000,8,FALSE),"0")</f>
        <v>0</v>
      </c>
      <c r="K5447" s="4"/>
      <c r="L5447" s="33" t="str">
        <f>IFERROR(VLOOKUP($J5447,'Informations sur les produits'!$A$3:$H$10000,8,FALSE),"0")</f>
        <v>0</v>
      </c>
      <c r="N5447" s="8"/>
      <c r="O5447" s="33" t="str">
        <f>IFERROR(VLOOKUP($M5447,'Informations sur les produits'!$A$3:$H$10000,8,FALSE),"0")</f>
        <v>0</v>
      </c>
      <c r="P5447" s="33">
        <f t="shared" si="340"/>
        <v>0</v>
      </c>
      <c r="Q5447" s="31" t="str">
        <f t="shared" si="341"/>
        <v/>
      </c>
      <c r="R5447" s="32" t="str">
        <f>IFERROR(VLOOKUP($D5447,'Informations sur les produits'!$A$3:$B$15000,2,FALSE),"")</f>
        <v/>
      </c>
      <c r="V5447">
        <f t="shared" si="342"/>
        <v>0</v>
      </c>
      <c r="W5447">
        <f t="shared" si="343"/>
        <v>0</v>
      </c>
    </row>
    <row r="5448" spans="5:23" x14ac:dyDescent="0.25">
      <c r="E5448" s="4"/>
      <c r="F5448" s="4"/>
      <c r="G5448" s="33" t="str">
        <f>IFERROR(VLOOKUP($D5448,'Informations sur les produits'!$A$3:$H$10000,8,FALSE),"0")</f>
        <v>0</v>
      </c>
      <c r="K5448" s="4"/>
      <c r="L5448" s="33" t="str">
        <f>IFERROR(VLOOKUP($J5448,'Informations sur les produits'!$A$3:$H$10000,8,FALSE),"0")</f>
        <v>0</v>
      </c>
      <c r="N5448" s="8"/>
      <c r="O5448" s="33" t="str">
        <f>IFERROR(VLOOKUP($M5448,'Informations sur les produits'!$A$3:$H$10000,8,FALSE),"0")</f>
        <v>0</v>
      </c>
      <c r="P5448" s="33">
        <f t="shared" si="340"/>
        <v>0</v>
      </c>
      <c r="Q5448" s="31" t="str">
        <f t="shared" si="341"/>
        <v/>
      </c>
      <c r="R5448" s="32" t="str">
        <f>IFERROR(VLOOKUP($D5448,'Informations sur les produits'!$A$3:$B$15000,2,FALSE),"")</f>
        <v/>
      </c>
      <c r="V5448">
        <f t="shared" si="342"/>
        <v>0</v>
      </c>
      <c r="W5448">
        <f t="shared" si="343"/>
        <v>0</v>
      </c>
    </row>
    <row r="5449" spans="5:23" x14ac:dyDescent="0.25">
      <c r="E5449" s="4"/>
      <c r="F5449" s="4"/>
      <c r="G5449" s="33" t="str">
        <f>IFERROR(VLOOKUP($D5449,'Informations sur les produits'!$A$3:$H$10000,8,FALSE),"0")</f>
        <v>0</v>
      </c>
      <c r="K5449" s="4"/>
      <c r="L5449" s="33" t="str">
        <f>IFERROR(VLOOKUP($J5449,'Informations sur les produits'!$A$3:$H$10000,8,FALSE),"0")</f>
        <v>0</v>
      </c>
      <c r="N5449" s="8"/>
      <c r="O5449" s="33" t="str">
        <f>IFERROR(VLOOKUP($M5449,'Informations sur les produits'!$A$3:$H$10000,8,FALSE),"0")</f>
        <v>0</v>
      </c>
      <c r="P5449" s="33">
        <f t="shared" si="340"/>
        <v>0</v>
      </c>
      <c r="Q5449" s="31" t="str">
        <f t="shared" si="341"/>
        <v/>
      </c>
      <c r="R5449" s="32" t="str">
        <f>IFERROR(VLOOKUP($D5449,'Informations sur les produits'!$A$3:$B$15000,2,FALSE),"")</f>
        <v/>
      </c>
      <c r="V5449">
        <f t="shared" si="342"/>
        <v>0</v>
      </c>
      <c r="W5449">
        <f t="shared" si="343"/>
        <v>0</v>
      </c>
    </row>
    <row r="5450" spans="5:23" x14ac:dyDescent="0.25">
      <c r="E5450" s="4"/>
      <c r="F5450" s="4"/>
      <c r="G5450" s="33" t="str">
        <f>IFERROR(VLOOKUP($D5450,'Informations sur les produits'!$A$3:$H$10000,8,FALSE),"0")</f>
        <v>0</v>
      </c>
      <c r="K5450" s="4"/>
      <c r="L5450" s="33" t="str">
        <f>IFERROR(VLOOKUP($J5450,'Informations sur les produits'!$A$3:$H$10000,8,FALSE),"0")</f>
        <v>0</v>
      </c>
      <c r="N5450" s="8"/>
      <c r="O5450" s="33" t="str">
        <f>IFERROR(VLOOKUP($M5450,'Informations sur les produits'!$A$3:$H$10000,8,FALSE),"0")</f>
        <v>0</v>
      </c>
      <c r="P5450" s="33">
        <f t="shared" si="340"/>
        <v>0</v>
      </c>
      <c r="Q5450" s="31" t="str">
        <f t="shared" si="341"/>
        <v/>
      </c>
      <c r="R5450" s="32" t="str">
        <f>IFERROR(VLOOKUP($D5450,'Informations sur les produits'!$A$3:$B$15000,2,FALSE),"")</f>
        <v/>
      </c>
      <c r="V5450">
        <f t="shared" si="342"/>
        <v>0</v>
      </c>
      <c r="W5450">
        <f t="shared" si="343"/>
        <v>0</v>
      </c>
    </row>
    <row r="5451" spans="5:23" x14ac:dyDescent="0.25">
      <c r="E5451" s="4"/>
      <c r="F5451" s="4"/>
      <c r="G5451" s="33" t="str">
        <f>IFERROR(VLOOKUP($D5451,'Informations sur les produits'!$A$3:$H$10000,8,FALSE),"0")</f>
        <v>0</v>
      </c>
      <c r="K5451" s="4"/>
      <c r="L5451" s="33" t="str">
        <f>IFERROR(VLOOKUP($J5451,'Informations sur les produits'!$A$3:$H$10000,8,FALSE),"0")</f>
        <v>0</v>
      </c>
      <c r="N5451" s="8"/>
      <c r="O5451" s="33" t="str">
        <f>IFERROR(VLOOKUP($M5451,'Informations sur les produits'!$A$3:$H$10000,8,FALSE),"0")</f>
        <v>0</v>
      </c>
      <c r="P5451" s="33">
        <f t="shared" si="340"/>
        <v>0</v>
      </c>
      <c r="Q5451" s="31" t="str">
        <f t="shared" si="341"/>
        <v/>
      </c>
      <c r="R5451" s="32" t="str">
        <f>IFERROR(VLOOKUP($D5451,'Informations sur les produits'!$A$3:$B$15000,2,FALSE),"")</f>
        <v/>
      </c>
      <c r="V5451">
        <f t="shared" si="342"/>
        <v>0</v>
      </c>
      <c r="W5451">
        <f t="shared" si="343"/>
        <v>0</v>
      </c>
    </row>
    <row r="5452" spans="5:23" x14ac:dyDescent="0.25">
      <c r="E5452" s="4"/>
      <c r="F5452" s="4"/>
      <c r="G5452" s="33" t="str">
        <f>IFERROR(VLOOKUP($D5452,'Informations sur les produits'!$A$3:$H$10000,8,FALSE),"0")</f>
        <v>0</v>
      </c>
      <c r="K5452" s="4"/>
      <c r="L5452" s="33" t="str">
        <f>IFERROR(VLOOKUP($J5452,'Informations sur les produits'!$A$3:$H$10000,8,FALSE),"0")</f>
        <v>0</v>
      </c>
      <c r="N5452" s="8"/>
      <c r="O5452" s="33" t="str">
        <f>IFERROR(VLOOKUP($M5452,'Informations sur les produits'!$A$3:$H$10000,8,FALSE),"0")</f>
        <v>0</v>
      </c>
      <c r="P5452" s="33">
        <f t="shared" si="340"/>
        <v>0</v>
      </c>
      <c r="Q5452" s="31" t="str">
        <f t="shared" si="341"/>
        <v/>
      </c>
      <c r="R5452" s="32" t="str">
        <f>IFERROR(VLOOKUP($D5452,'Informations sur les produits'!$A$3:$B$15000,2,FALSE),"")</f>
        <v/>
      </c>
      <c r="V5452">
        <f t="shared" si="342"/>
        <v>0</v>
      </c>
      <c r="W5452">
        <f t="shared" si="343"/>
        <v>0</v>
      </c>
    </row>
    <row r="5453" spans="5:23" x14ac:dyDescent="0.25">
      <c r="E5453" s="4"/>
      <c r="F5453" s="4"/>
      <c r="G5453" s="33" t="str">
        <f>IFERROR(VLOOKUP($D5453,'Informations sur les produits'!$A$3:$H$10000,8,FALSE),"0")</f>
        <v>0</v>
      </c>
      <c r="K5453" s="4"/>
      <c r="L5453" s="33" t="str">
        <f>IFERROR(VLOOKUP($J5453,'Informations sur les produits'!$A$3:$H$10000,8,FALSE),"0")</f>
        <v>0</v>
      </c>
      <c r="N5453" s="8"/>
      <c r="O5453" s="33" t="str">
        <f>IFERROR(VLOOKUP($M5453,'Informations sur les produits'!$A$3:$H$10000,8,FALSE),"0")</f>
        <v>0</v>
      </c>
      <c r="P5453" s="33">
        <f t="shared" si="340"/>
        <v>0</v>
      </c>
      <c r="Q5453" s="31" t="str">
        <f t="shared" si="341"/>
        <v/>
      </c>
      <c r="R5453" s="32" t="str">
        <f>IFERROR(VLOOKUP($D5453,'Informations sur les produits'!$A$3:$B$15000,2,FALSE),"")</f>
        <v/>
      </c>
      <c r="V5453">
        <f t="shared" si="342"/>
        <v>0</v>
      </c>
      <c r="W5453">
        <f t="shared" si="343"/>
        <v>0</v>
      </c>
    </row>
    <row r="5454" spans="5:23" x14ac:dyDescent="0.25">
      <c r="E5454" s="4"/>
      <c r="F5454" s="4"/>
      <c r="G5454" s="33" t="str">
        <f>IFERROR(VLOOKUP($D5454,'Informations sur les produits'!$A$3:$H$10000,8,FALSE),"0")</f>
        <v>0</v>
      </c>
      <c r="K5454" s="4"/>
      <c r="L5454" s="33" t="str">
        <f>IFERROR(VLOOKUP($J5454,'Informations sur les produits'!$A$3:$H$10000,8,FALSE),"0")</f>
        <v>0</v>
      </c>
      <c r="N5454" s="8"/>
      <c r="O5454" s="33" t="str">
        <f>IFERROR(VLOOKUP($M5454,'Informations sur les produits'!$A$3:$H$10000,8,FALSE),"0")</f>
        <v>0</v>
      </c>
      <c r="P5454" s="33">
        <f t="shared" si="340"/>
        <v>0</v>
      </c>
      <c r="Q5454" s="31" t="str">
        <f t="shared" si="341"/>
        <v/>
      </c>
      <c r="R5454" s="32" t="str">
        <f>IFERROR(VLOOKUP($D5454,'Informations sur les produits'!$A$3:$B$15000,2,FALSE),"")</f>
        <v/>
      </c>
      <c r="V5454">
        <f t="shared" si="342"/>
        <v>0</v>
      </c>
      <c r="W5454">
        <f t="shared" si="343"/>
        <v>0</v>
      </c>
    </row>
    <row r="5455" spans="5:23" x14ac:dyDescent="0.25">
      <c r="E5455" s="4"/>
      <c r="F5455" s="4"/>
      <c r="G5455" s="33" t="str">
        <f>IFERROR(VLOOKUP($D5455,'Informations sur les produits'!$A$3:$H$10000,8,FALSE),"0")</f>
        <v>0</v>
      </c>
      <c r="K5455" s="4"/>
      <c r="L5455" s="33" t="str">
        <f>IFERROR(VLOOKUP($J5455,'Informations sur les produits'!$A$3:$H$10000,8,FALSE),"0")</f>
        <v>0</v>
      </c>
      <c r="N5455" s="8"/>
      <c r="O5455" s="33" t="str">
        <f>IFERROR(VLOOKUP($M5455,'Informations sur les produits'!$A$3:$H$10000,8,FALSE),"0")</f>
        <v>0</v>
      </c>
      <c r="P5455" s="33">
        <f t="shared" si="340"/>
        <v>0</v>
      </c>
      <c r="Q5455" s="31" t="str">
        <f t="shared" si="341"/>
        <v/>
      </c>
      <c r="R5455" s="32" t="str">
        <f>IFERROR(VLOOKUP($D5455,'Informations sur les produits'!$A$3:$B$15000,2,FALSE),"")</f>
        <v/>
      </c>
      <c r="V5455">
        <f t="shared" si="342"/>
        <v>0</v>
      </c>
      <c r="W5455">
        <f t="shared" si="343"/>
        <v>0</v>
      </c>
    </row>
    <row r="5456" spans="5:23" x14ac:dyDescent="0.25">
      <c r="E5456" s="4"/>
      <c r="F5456" s="4"/>
      <c r="G5456" s="33" t="str">
        <f>IFERROR(VLOOKUP($D5456,'Informations sur les produits'!$A$3:$H$10000,8,FALSE),"0")</f>
        <v>0</v>
      </c>
      <c r="K5456" s="4"/>
      <c r="L5456" s="33" t="str">
        <f>IFERROR(VLOOKUP($J5456,'Informations sur les produits'!$A$3:$H$10000,8,FALSE),"0")</f>
        <v>0</v>
      </c>
      <c r="N5456" s="8"/>
      <c r="O5456" s="33" t="str">
        <f>IFERROR(VLOOKUP($M5456,'Informations sur les produits'!$A$3:$H$10000,8,FALSE),"0")</f>
        <v>0</v>
      </c>
      <c r="P5456" s="33">
        <f t="shared" si="340"/>
        <v>0</v>
      </c>
      <c r="Q5456" s="31" t="str">
        <f t="shared" si="341"/>
        <v/>
      </c>
      <c r="R5456" s="32" t="str">
        <f>IFERROR(VLOOKUP($D5456,'Informations sur les produits'!$A$3:$B$15000,2,FALSE),"")</f>
        <v/>
      </c>
      <c r="V5456">
        <f t="shared" si="342"/>
        <v>0</v>
      </c>
      <c r="W5456">
        <f t="shared" si="343"/>
        <v>0</v>
      </c>
    </row>
    <row r="5457" spans="5:23" x14ac:dyDescent="0.25">
      <c r="E5457" s="4"/>
      <c r="F5457" s="4"/>
      <c r="G5457" s="33" t="str">
        <f>IFERROR(VLOOKUP($D5457,'Informations sur les produits'!$A$3:$H$10000,8,FALSE),"0")</f>
        <v>0</v>
      </c>
      <c r="K5457" s="4"/>
      <c r="L5457" s="33" t="str">
        <f>IFERROR(VLOOKUP($J5457,'Informations sur les produits'!$A$3:$H$10000,8,FALSE),"0")</f>
        <v>0</v>
      </c>
      <c r="N5457" s="8"/>
      <c r="O5457" s="33" t="str">
        <f>IFERROR(VLOOKUP($M5457,'Informations sur les produits'!$A$3:$H$10000,8,FALSE),"0")</f>
        <v>0</v>
      </c>
      <c r="P5457" s="33">
        <f t="shared" si="340"/>
        <v>0</v>
      </c>
      <c r="Q5457" s="31" t="str">
        <f t="shared" si="341"/>
        <v/>
      </c>
      <c r="R5457" s="32" t="str">
        <f>IFERROR(VLOOKUP($D5457,'Informations sur les produits'!$A$3:$B$15000,2,FALSE),"")</f>
        <v/>
      </c>
      <c r="V5457">
        <f t="shared" si="342"/>
        <v>0</v>
      </c>
      <c r="W5457">
        <f t="shared" si="343"/>
        <v>0</v>
      </c>
    </row>
    <row r="5458" spans="5:23" x14ac:dyDescent="0.25">
      <c r="E5458" s="4"/>
      <c r="F5458" s="4"/>
      <c r="G5458" s="33" t="str">
        <f>IFERROR(VLOOKUP($D5458,'Informations sur les produits'!$A$3:$H$10000,8,FALSE),"0")</f>
        <v>0</v>
      </c>
      <c r="K5458" s="4"/>
      <c r="L5458" s="33" t="str">
        <f>IFERROR(VLOOKUP($J5458,'Informations sur les produits'!$A$3:$H$10000,8,FALSE),"0")</f>
        <v>0</v>
      </c>
      <c r="N5458" s="8"/>
      <c r="O5458" s="33" t="str">
        <f>IFERROR(VLOOKUP($M5458,'Informations sur les produits'!$A$3:$H$10000,8,FALSE),"0")</f>
        <v>0</v>
      </c>
      <c r="P5458" s="33">
        <f t="shared" si="340"/>
        <v>0</v>
      </c>
      <c r="Q5458" s="31" t="str">
        <f t="shared" si="341"/>
        <v/>
      </c>
      <c r="R5458" s="32" t="str">
        <f>IFERROR(VLOOKUP($D5458,'Informations sur les produits'!$A$3:$B$15000,2,FALSE),"")</f>
        <v/>
      </c>
      <c r="V5458">
        <f t="shared" si="342"/>
        <v>0</v>
      </c>
      <c r="W5458">
        <f t="shared" si="343"/>
        <v>0</v>
      </c>
    </row>
    <row r="5459" spans="5:23" x14ac:dyDescent="0.25">
      <c r="E5459" s="4"/>
      <c r="F5459" s="4"/>
      <c r="G5459" s="33" t="str">
        <f>IFERROR(VLOOKUP($D5459,'Informations sur les produits'!$A$3:$H$10000,8,FALSE),"0")</f>
        <v>0</v>
      </c>
      <c r="K5459" s="4"/>
      <c r="L5459" s="33" t="str">
        <f>IFERROR(VLOOKUP($J5459,'Informations sur les produits'!$A$3:$H$10000,8,FALSE),"0")</f>
        <v>0</v>
      </c>
      <c r="N5459" s="8"/>
      <c r="O5459" s="33" t="str">
        <f>IFERROR(VLOOKUP($M5459,'Informations sur les produits'!$A$3:$H$10000,8,FALSE),"0")</f>
        <v>0</v>
      </c>
      <c r="P5459" s="33">
        <f t="shared" si="340"/>
        <v>0</v>
      </c>
      <c r="Q5459" s="31" t="str">
        <f t="shared" si="341"/>
        <v/>
      </c>
      <c r="R5459" s="32" t="str">
        <f>IFERROR(VLOOKUP($D5459,'Informations sur les produits'!$A$3:$B$15000,2,FALSE),"")</f>
        <v/>
      </c>
      <c r="V5459">
        <f t="shared" si="342"/>
        <v>0</v>
      </c>
      <c r="W5459">
        <f t="shared" si="343"/>
        <v>0</v>
      </c>
    </row>
    <row r="5460" spans="5:23" x14ac:dyDescent="0.25">
      <c r="E5460" s="4"/>
      <c r="F5460" s="4"/>
      <c r="G5460" s="33" t="str">
        <f>IFERROR(VLOOKUP($D5460,'Informations sur les produits'!$A$3:$H$10000,8,FALSE),"0")</f>
        <v>0</v>
      </c>
      <c r="K5460" s="4"/>
      <c r="L5460" s="33" t="str">
        <f>IFERROR(VLOOKUP($J5460,'Informations sur les produits'!$A$3:$H$10000,8,FALSE),"0")</f>
        <v>0</v>
      </c>
      <c r="N5460" s="8"/>
      <c r="O5460" s="33" t="str">
        <f>IFERROR(VLOOKUP($M5460,'Informations sur les produits'!$A$3:$H$10000,8,FALSE),"0")</f>
        <v>0</v>
      </c>
      <c r="P5460" s="33">
        <f t="shared" si="340"/>
        <v>0</v>
      </c>
      <c r="Q5460" s="31" t="str">
        <f t="shared" si="341"/>
        <v/>
      </c>
      <c r="R5460" s="32" t="str">
        <f>IFERROR(VLOOKUP($D5460,'Informations sur les produits'!$A$3:$B$15000,2,FALSE),"")</f>
        <v/>
      </c>
      <c r="V5460">
        <f t="shared" si="342"/>
        <v>0</v>
      </c>
      <c r="W5460">
        <f t="shared" si="343"/>
        <v>0</v>
      </c>
    </row>
    <row r="5461" spans="5:23" x14ac:dyDescent="0.25">
      <c r="E5461" s="4"/>
      <c r="F5461" s="4"/>
      <c r="G5461" s="33" t="str">
        <f>IFERROR(VLOOKUP($D5461,'Informations sur les produits'!$A$3:$H$10000,8,FALSE),"0")</f>
        <v>0</v>
      </c>
      <c r="K5461" s="4"/>
      <c r="L5461" s="33" t="str">
        <f>IFERROR(VLOOKUP($J5461,'Informations sur les produits'!$A$3:$H$10000,8,FALSE),"0")</f>
        <v>0</v>
      </c>
      <c r="N5461" s="8"/>
      <c r="O5461" s="33" t="str">
        <f>IFERROR(VLOOKUP($M5461,'Informations sur les produits'!$A$3:$H$10000,8,FALSE),"0")</f>
        <v>0</v>
      </c>
      <c r="P5461" s="33">
        <f t="shared" si="340"/>
        <v>0</v>
      </c>
      <c r="Q5461" s="31" t="str">
        <f t="shared" si="341"/>
        <v/>
      </c>
      <c r="R5461" s="32" t="str">
        <f>IFERROR(VLOOKUP($D5461,'Informations sur les produits'!$A$3:$B$15000,2,FALSE),"")</f>
        <v/>
      </c>
      <c r="V5461">
        <f t="shared" si="342"/>
        <v>0</v>
      </c>
      <c r="W5461">
        <f t="shared" si="343"/>
        <v>0</v>
      </c>
    </row>
    <row r="5462" spans="5:23" x14ac:dyDescent="0.25">
      <c r="E5462" s="4"/>
      <c r="F5462" s="4"/>
      <c r="G5462" s="33" t="str">
        <f>IFERROR(VLOOKUP($D5462,'Informations sur les produits'!$A$3:$H$10000,8,FALSE),"0")</f>
        <v>0</v>
      </c>
      <c r="K5462" s="4"/>
      <c r="L5462" s="33" t="str">
        <f>IFERROR(VLOOKUP($J5462,'Informations sur les produits'!$A$3:$H$10000,8,FALSE),"0")</f>
        <v>0</v>
      </c>
      <c r="N5462" s="8"/>
      <c r="O5462" s="33" t="str">
        <f>IFERROR(VLOOKUP($M5462,'Informations sur les produits'!$A$3:$H$10000,8,FALSE),"0")</f>
        <v>0</v>
      </c>
      <c r="P5462" s="33">
        <f t="shared" si="340"/>
        <v>0</v>
      </c>
      <c r="Q5462" s="31" t="str">
        <f t="shared" si="341"/>
        <v/>
      </c>
      <c r="R5462" s="32" t="str">
        <f>IFERROR(VLOOKUP($D5462,'Informations sur les produits'!$A$3:$B$15000,2,FALSE),"")</f>
        <v/>
      </c>
      <c r="V5462">
        <f t="shared" si="342"/>
        <v>0</v>
      </c>
      <c r="W5462">
        <f t="shared" si="343"/>
        <v>0</v>
      </c>
    </row>
    <row r="5463" spans="5:23" x14ac:dyDescent="0.25">
      <c r="E5463" s="4"/>
      <c r="F5463" s="4"/>
      <c r="G5463" s="33" t="str">
        <f>IFERROR(VLOOKUP($D5463,'Informations sur les produits'!$A$3:$H$10000,8,FALSE),"0")</f>
        <v>0</v>
      </c>
      <c r="K5463" s="4"/>
      <c r="L5463" s="33" t="str">
        <f>IFERROR(VLOOKUP($J5463,'Informations sur les produits'!$A$3:$H$10000,8,FALSE),"0")</f>
        <v>0</v>
      </c>
      <c r="N5463" s="8"/>
      <c r="O5463" s="33" t="str">
        <f>IFERROR(VLOOKUP($M5463,'Informations sur les produits'!$A$3:$H$10000,8,FALSE),"0")</f>
        <v>0</v>
      </c>
      <c r="P5463" s="33">
        <f t="shared" si="340"/>
        <v>0</v>
      </c>
      <c r="Q5463" s="31" t="str">
        <f t="shared" si="341"/>
        <v/>
      </c>
      <c r="R5463" s="32" t="str">
        <f>IFERROR(VLOOKUP($D5463,'Informations sur les produits'!$A$3:$B$15000,2,FALSE),"")</f>
        <v/>
      </c>
      <c r="V5463">
        <f t="shared" si="342"/>
        <v>0</v>
      </c>
      <c r="W5463">
        <f t="shared" si="343"/>
        <v>0</v>
      </c>
    </row>
    <row r="5464" spans="5:23" x14ac:dyDescent="0.25">
      <c r="E5464" s="4"/>
      <c r="F5464" s="4"/>
      <c r="G5464" s="33" t="str">
        <f>IFERROR(VLOOKUP($D5464,'Informations sur les produits'!$A$3:$H$10000,8,FALSE),"0")</f>
        <v>0</v>
      </c>
      <c r="K5464" s="4"/>
      <c r="L5464" s="33" t="str">
        <f>IFERROR(VLOOKUP($J5464,'Informations sur les produits'!$A$3:$H$10000,8,FALSE),"0")</f>
        <v>0</v>
      </c>
      <c r="N5464" s="8"/>
      <c r="O5464" s="33" t="str">
        <f>IFERROR(VLOOKUP($M5464,'Informations sur les produits'!$A$3:$H$10000,8,FALSE),"0")</f>
        <v>0</v>
      </c>
      <c r="P5464" s="33">
        <f t="shared" si="340"/>
        <v>0</v>
      </c>
      <c r="Q5464" s="31" t="str">
        <f t="shared" si="341"/>
        <v/>
      </c>
      <c r="R5464" s="32" t="str">
        <f>IFERROR(VLOOKUP($D5464,'Informations sur les produits'!$A$3:$B$15000,2,FALSE),"")</f>
        <v/>
      </c>
      <c r="V5464">
        <f t="shared" si="342"/>
        <v>0</v>
      </c>
      <c r="W5464">
        <f t="shared" si="343"/>
        <v>0</v>
      </c>
    </row>
    <row r="5465" spans="5:23" x14ac:dyDescent="0.25">
      <c r="E5465" s="4"/>
      <c r="F5465" s="4"/>
      <c r="G5465" s="33" t="str">
        <f>IFERROR(VLOOKUP($D5465,'Informations sur les produits'!$A$3:$H$10000,8,FALSE),"0")</f>
        <v>0</v>
      </c>
      <c r="K5465" s="4"/>
      <c r="L5465" s="33" t="str">
        <f>IFERROR(VLOOKUP($J5465,'Informations sur les produits'!$A$3:$H$10000,8,FALSE),"0")</f>
        <v>0</v>
      </c>
      <c r="N5465" s="8"/>
      <c r="O5465" s="33" t="str">
        <f>IFERROR(VLOOKUP($M5465,'Informations sur les produits'!$A$3:$H$10000,8,FALSE),"0")</f>
        <v>0</v>
      </c>
      <c r="P5465" s="33">
        <f t="shared" si="340"/>
        <v>0</v>
      </c>
      <c r="Q5465" s="31" t="str">
        <f t="shared" si="341"/>
        <v/>
      </c>
      <c r="R5465" s="32" t="str">
        <f>IFERROR(VLOOKUP($D5465,'Informations sur les produits'!$A$3:$B$15000,2,FALSE),"")</f>
        <v/>
      </c>
      <c r="V5465">
        <f t="shared" si="342"/>
        <v>0</v>
      </c>
      <c r="W5465">
        <f t="shared" si="343"/>
        <v>0</v>
      </c>
    </row>
    <row r="5466" spans="5:23" x14ac:dyDescent="0.25">
      <c r="E5466" s="4"/>
      <c r="F5466" s="4"/>
      <c r="G5466" s="33" t="str">
        <f>IFERROR(VLOOKUP($D5466,'Informations sur les produits'!$A$3:$H$10000,8,FALSE),"0")</f>
        <v>0</v>
      </c>
      <c r="K5466" s="4"/>
      <c r="L5466" s="33" t="str">
        <f>IFERROR(VLOOKUP($J5466,'Informations sur les produits'!$A$3:$H$10000,8,FALSE),"0")</f>
        <v>0</v>
      </c>
      <c r="N5466" s="8"/>
      <c r="O5466" s="33" t="str">
        <f>IFERROR(VLOOKUP($M5466,'Informations sur les produits'!$A$3:$H$10000,8,FALSE),"0")</f>
        <v>0</v>
      </c>
      <c r="P5466" s="33">
        <f t="shared" si="340"/>
        <v>0</v>
      </c>
      <c r="Q5466" s="31" t="str">
        <f t="shared" si="341"/>
        <v/>
      </c>
      <c r="R5466" s="32" t="str">
        <f>IFERROR(VLOOKUP($D5466,'Informations sur les produits'!$A$3:$B$15000,2,FALSE),"")</f>
        <v/>
      </c>
      <c r="V5466">
        <f t="shared" si="342"/>
        <v>0</v>
      </c>
      <c r="W5466">
        <f t="shared" si="343"/>
        <v>0</v>
      </c>
    </row>
    <row r="5467" spans="5:23" x14ac:dyDescent="0.25">
      <c r="E5467" s="4"/>
      <c r="F5467" s="4"/>
      <c r="G5467" s="33" t="str">
        <f>IFERROR(VLOOKUP($D5467,'Informations sur les produits'!$A$3:$H$10000,8,FALSE),"0")</f>
        <v>0</v>
      </c>
      <c r="K5467" s="4"/>
      <c r="L5467" s="33" t="str">
        <f>IFERROR(VLOOKUP($J5467,'Informations sur les produits'!$A$3:$H$10000,8,FALSE),"0")</f>
        <v>0</v>
      </c>
      <c r="N5467" s="8"/>
      <c r="O5467" s="33" t="str">
        <f>IFERROR(VLOOKUP($M5467,'Informations sur les produits'!$A$3:$H$10000,8,FALSE),"0")</f>
        <v>0</v>
      </c>
      <c r="P5467" s="33">
        <f t="shared" si="340"/>
        <v>0</v>
      </c>
      <c r="Q5467" s="31" t="str">
        <f t="shared" si="341"/>
        <v/>
      </c>
      <c r="R5467" s="32" t="str">
        <f>IFERROR(VLOOKUP($D5467,'Informations sur les produits'!$A$3:$B$15000,2,FALSE),"")</f>
        <v/>
      </c>
      <c r="V5467">
        <f t="shared" si="342"/>
        <v>0</v>
      </c>
      <c r="W5467">
        <f t="shared" si="343"/>
        <v>0</v>
      </c>
    </row>
    <row r="5468" spans="5:23" x14ac:dyDescent="0.25">
      <c r="E5468" s="4"/>
      <c r="F5468" s="4"/>
      <c r="G5468" s="33" t="str">
        <f>IFERROR(VLOOKUP($D5468,'Informations sur les produits'!$A$3:$H$10000,8,FALSE),"0")</f>
        <v>0</v>
      </c>
      <c r="K5468" s="4"/>
      <c r="L5468" s="33" t="str">
        <f>IFERROR(VLOOKUP($J5468,'Informations sur les produits'!$A$3:$H$10000,8,FALSE),"0")</f>
        <v>0</v>
      </c>
      <c r="N5468" s="8"/>
      <c r="O5468" s="33" t="str">
        <f>IFERROR(VLOOKUP($M5468,'Informations sur les produits'!$A$3:$H$10000,8,FALSE),"0")</f>
        <v>0</v>
      </c>
      <c r="P5468" s="33">
        <f t="shared" si="340"/>
        <v>0</v>
      </c>
      <c r="Q5468" s="31" t="str">
        <f t="shared" si="341"/>
        <v/>
      </c>
      <c r="R5468" s="32" t="str">
        <f>IFERROR(VLOOKUP($D5468,'Informations sur les produits'!$A$3:$B$15000,2,FALSE),"")</f>
        <v/>
      </c>
      <c r="V5468">
        <f t="shared" si="342"/>
        <v>0</v>
      </c>
      <c r="W5468">
        <f t="shared" si="343"/>
        <v>0</v>
      </c>
    </row>
    <row r="5469" spans="5:23" x14ac:dyDescent="0.25">
      <c r="E5469" s="4"/>
      <c r="F5469" s="4"/>
      <c r="G5469" s="33" t="str">
        <f>IFERROR(VLOOKUP($D5469,'Informations sur les produits'!$A$3:$H$10000,8,FALSE),"0")</f>
        <v>0</v>
      </c>
      <c r="K5469" s="4"/>
      <c r="L5469" s="33" t="str">
        <f>IFERROR(VLOOKUP($J5469,'Informations sur les produits'!$A$3:$H$10000,8,FALSE),"0")</f>
        <v>0</v>
      </c>
      <c r="N5469" s="8"/>
      <c r="O5469" s="33" t="str">
        <f>IFERROR(VLOOKUP($M5469,'Informations sur les produits'!$A$3:$H$10000,8,FALSE),"0")</f>
        <v>0</v>
      </c>
      <c r="P5469" s="33">
        <f t="shared" si="340"/>
        <v>0</v>
      </c>
      <c r="Q5469" s="31" t="str">
        <f t="shared" si="341"/>
        <v/>
      </c>
      <c r="R5469" s="32" t="str">
        <f>IFERROR(VLOOKUP($D5469,'Informations sur les produits'!$A$3:$B$15000,2,FALSE),"")</f>
        <v/>
      </c>
      <c r="V5469">
        <f t="shared" si="342"/>
        <v>0</v>
      </c>
      <c r="W5469">
        <f t="shared" si="343"/>
        <v>0</v>
      </c>
    </row>
    <row r="5470" spans="5:23" x14ac:dyDescent="0.25">
      <c r="E5470" s="4"/>
      <c r="F5470" s="4"/>
      <c r="G5470" s="33" t="str">
        <f>IFERROR(VLOOKUP($D5470,'Informations sur les produits'!$A$3:$H$10000,8,FALSE),"0")</f>
        <v>0</v>
      </c>
      <c r="K5470" s="4"/>
      <c r="L5470" s="33" t="str">
        <f>IFERROR(VLOOKUP($J5470,'Informations sur les produits'!$A$3:$H$10000,8,FALSE),"0")</f>
        <v>0</v>
      </c>
      <c r="N5470" s="8"/>
      <c r="O5470" s="33" t="str">
        <f>IFERROR(VLOOKUP($M5470,'Informations sur les produits'!$A$3:$H$10000,8,FALSE),"0")</f>
        <v>0</v>
      </c>
      <c r="P5470" s="33">
        <f t="shared" si="340"/>
        <v>0</v>
      </c>
      <c r="Q5470" s="31" t="str">
        <f t="shared" si="341"/>
        <v/>
      </c>
      <c r="R5470" s="32" t="str">
        <f>IFERROR(VLOOKUP($D5470,'Informations sur les produits'!$A$3:$B$15000,2,FALSE),"")</f>
        <v/>
      </c>
      <c r="V5470">
        <f t="shared" si="342"/>
        <v>0</v>
      </c>
      <c r="W5470">
        <f t="shared" si="343"/>
        <v>0</v>
      </c>
    </row>
    <row r="5471" spans="5:23" x14ac:dyDescent="0.25">
      <c r="E5471" s="4"/>
      <c r="F5471" s="4"/>
      <c r="G5471" s="33" t="str">
        <f>IFERROR(VLOOKUP($D5471,'Informations sur les produits'!$A$3:$H$10000,8,FALSE),"0")</f>
        <v>0</v>
      </c>
      <c r="K5471" s="4"/>
      <c r="L5471" s="33" t="str">
        <f>IFERROR(VLOOKUP($J5471,'Informations sur les produits'!$A$3:$H$10000,8,FALSE),"0")</f>
        <v>0</v>
      </c>
      <c r="N5471" s="8"/>
      <c r="O5471" s="33" t="str">
        <f>IFERROR(VLOOKUP($M5471,'Informations sur les produits'!$A$3:$H$10000,8,FALSE),"0")</f>
        <v>0</v>
      </c>
      <c r="P5471" s="33">
        <f t="shared" si="340"/>
        <v>0</v>
      </c>
      <c r="Q5471" s="31" t="str">
        <f t="shared" si="341"/>
        <v/>
      </c>
      <c r="R5471" s="32" t="str">
        <f>IFERROR(VLOOKUP($D5471,'Informations sur les produits'!$A$3:$B$15000,2,FALSE),"")</f>
        <v/>
      </c>
      <c r="V5471">
        <f t="shared" si="342"/>
        <v>0</v>
      </c>
      <c r="W5471">
        <f t="shared" si="343"/>
        <v>0</v>
      </c>
    </row>
    <row r="5472" spans="5:23" x14ac:dyDescent="0.25">
      <c r="E5472" s="4"/>
      <c r="F5472" s="4"/>
      <c r="G5472" s="33" t="str">
        <f>IFERROR(VLOOKUP($D5472,'Informations sur les produits'!$A$3:$H$10000,8,FALSE),"0")</f>
        <v>0</v>
      </c>
      <c r="K5472" s="4"/>
      <c r="L5472" s="33" t="str">
        <f>IFERROR(VLOOKUP($J5472,'Informations sur les produits'!$A$3:$H$10000,8,FALSE),"0")</f>
        <v>0</v>
      </c>
      <c r="N5472" s="8"/>
      <c r="O5472" s="33" t="str">
        <f>IFERROR(VLOOKUP($M5472,'Informations sur les produits'!$A$3:$H$10000,8,FALSE),"0")</f>
        <v>0</v>
      </c>
      <c r="P5472" s="33">
        <f t="shared" si="340"/>
        <v>0</v>
      </c>
      <c r="Q5472" s="31" t="str">
        <f t="shared" si="341"/>
        <v/>
      </c>
      <c r="R5472" s="32" t="str">
        <f>IFERROR(VLOOKUP($D5472,'Informations sur les produits'!$A$3:$B$15000,2,FALSE),"")</f>
        <v/>
      </c>
      <c r="V5472">
        <f t="shared" si="342"/>
        <v>0</v>
      </c>
      <c r="W5472">
        <f t="shared" si="343"/>
        <v>0</v>
      </c>
    </row>
    <row r="5473" spans="5:23" x14ac:dyDescent="0.25">
      <c r="E5473" s="4"/>
      <c r="F5473" s="4"/>
      <c r="G5473" s="33" t="str">
        <f>IFERROR(VLOOKUP($D5473,'Informations sur les produits'!$A$3:$H$10000,8,FALSE),"0")</f>
        <v>0</v>
      </c>
      <c r="K5473" s="4"/>
      <c r="L5473" s="33" t="str">
        <f>IFERROR(VLOOKUP($J5473,'Informations sur les produits'!$A$3:$H$10000,8,FALSE),"0")</f>
        <v>0</v>
      </c>
      <c r="N5473" s="8"/>
      <c r="O5473" s="33" t="str">
        <f>IFERROR(VLOOKUP($M5473,'Informations sur les produits'!$A$3:$H$10000,8,FALSE),"0")</f>
        <v>0</v>
      </c>
      <c r="P5473" s="33">
        <f t="shared" si="340"/>
        <v>0</v>
      </c>
      <c r="Q5473" s="31" t="str">
        <f t="shared" si="341"/>
        <v/>
      </c>
      <c r="R5473" s="32" t="str">
        <f>IFERROR(VLOOKUP($D5473,'Informations sur les produits'!$A$3:$B$15000,2,FALSE),"")</f>
        <v/>
      </c>
      <c r="V5473">
        <f t="shared" si="342"/>
        <v>0</v>
      </c>
      <c r="W5473">
        <f t="shared" si="343"/>
        <v>0</v>
      </c>
    </row>
    <row r="5474" spans="5:23" x14ac:dyDescent="0.25">
      <c r="E5474" s="4"/>
      <c r="F5474" s="4"/>
      <c r="G5474" s="33" t="str">
        <f>IFERROR(VLOOKUP($D5474,'Informations sur les produits'!$A$3:$H$10000,8,FALSE),"0")</f>
        <v>0</v>
      </c>
      <c r="K5474" s="4"/>
      <c r="L5474" s="33" t="str">
        <f>IFERROR(VLOOKUP($J5474,'Informations sur les produits'!$A$3:$H$10000,8,FALSE),"0")</f>
        <v>0</v>
      </c>
      <c r="N5474" s="8"/>
      <c r="O5474" s="33" t="str">
        <f>IFERROR(VLOOKUP($M5474,'Informations sur les produits'!$A$3:$H$10000,8,FALSE),"0")</f>
        <v>0</v>
      </c>
      <c r="P5474" s="33">
        <f t="shared" si="340"/>
        <v>0</v>
      </c>
      <c r="Q5474" s="31" t="str">
        <f t="shared" si="341"/>
        <v/>
      </c>
      <c r="R5474" s="32" t="str">
        <f>IFERROR(VLOOKUP($D5474,'Informations sur les produits'!$A$3:$B$15000,2,FALSE),"")</f>
        <v/>
      </c>
      <c r="V5474">
        <f t="shared" si="342"/>
        <v>0</v>
      </c>
      <c r="W5474">
        <f t="shared" si="343"/>
        <v>0</v>
      </c>
    </row>
    <row r="5475" spans="5:23" x14ac:dyDescent="0.25">
      <c r="E5475" s="4"/>
      <c r="F5475" s="4"/>
      <c r="G5475" s="33" t="str">
        <f>IFERROR(VLOOKUP($D5475,'Informations sur les produits'!$A$3:$H$10000,8,FALSE),"0")</f>
        <v>0</v>
      </c>
      <c r="K5475" s="4"/>
      <c r="L5475" s="33" t="str">
        <f>IFERROR(VLOOKUP($J5475,'Informations sur les produits'!$A$3:$H$10000,8,FALSE),"0")</f>
        <v>0</v>
      </c>
      <c r="N5475" s="8"/>
      <c r="O5475" s="33" t="str">
        <f>IFERROR(VLOOKUP($M5475,'Informations sur les produits'!$A$3:$H$10000,8,FALSE),"0")</f>
        <v>0</v>
      </c>
      <c r="P5475" s="33">
        <f t="shared" si="340"/>
        <v>0</v>
      </c>
      <c r="Q5475" s="31" t="str">
        <f t="shared" si="341"/>
        <v/>
      </c>
      <c r="R5475" s="32" t="str">
        <f>IFERROR(VLOOKUP($D5475,'Informations sur les produits'!$A$3:$B$15000,2,FALSE),"")</f>
        <v/>
      </c>
      <c r="V5475">
        <f t="shared" si="342"/>
        <v>0</v>
      </c>
      <c r="W5475">
        <f t="shared" si="343"/>
        <v>0</v>
      </c>
    </row>
    <row r="5476" spans="5:23" x14ac:dyDescent="0.25">
      <c r="E5476" s="4"/>
      <c r="F5476" s="4"/>
      <c r="G5476" s="33" t="str">
        <f>IFERROR(VLOOKUP($D5476,'Informations sur les produits'!$A$3:$H$10000,8,FALSE),"0")</f>
        <v>0</v>
      </c>
      <c r="K5476" s="4"/>
      <c r="L5476" s="33" t="str">
        <f>IFERROR(VLOOKUP($J5476,'Informations sur les produits'!$A$3:$H$10000,8,FALSE),"0")</f>
        <v>0</v>
      </c>
      <c r="N5476" s="8"/>
      <c r="O5476" s="33" t="str">
        <f>IFERROR(VLOOKUP($M5476,'Informations sur les produits'!$A$3:$H$10000,8,FALSE),"0")</f>
        <v>0</v>
      </c>
      <c r="P5476" s="33">
        <f t="shared" si="340"/>
        <v>0</v>
      </c>
      <c r="Q5476" s="31" t="str">
        <f t="shared" si="341"/>
        <v/>
      </c>
      <c r="R5476" s="32" t="str">
        <f>IFERROR(VLOOKUP($D5476,'Informations sur les produits'!$A$3:$B$15000,2,FALSE),"")</f>
        <v/>
      </c>
      <c r="V5476">
        <f t="shared" si="342"/>
        <v>0</v>
      </c>
      <c r="W5476">
        <f t="shared" si="343"/>
        <v>0</v>
      </c>
    </row>
    <row r="5477" spans="5:23" x14ac:dyDescent="0.25">
      <c r="E5477" s="4"/>
      <c r="F5477" s="4"/>
      <c r="G5477" s="33" t="str">
        <f>IFERROR(VLOOKUP($D5477,'Informations sur les produits'!$A$3:$H$10000,8,FALSE),"0")</f>
        <v>0</v>
      </c>
      <c r="K5477" s="4"/>
      <c r="L5477" s="33" t="str">
        <f>IFERROR(VLOOKUP($J5477,'Informations sur les produits'!$A$3:$H$10000,8,FALSE),"0")</f>
        <v>0</v>
      </c>
      <c r="N5477" s="8"/>
      <c r="O5477" s="33" t="str">
        <f>IFERROR(VLOOKUP($M5477,'Informations sur les produits'!$A$3:$H$10000,8,FALSE),"0")</f>
        <v>0</v>
      </c>
      <c r="P5477" s="33">
        <f t="shared" si="340"/>
        <v>0</v>
      </c>
      <c r="Q5477" s="31" t="str">
        <f t="shared" si="341"/>
        <v/>
      </c>
      <c r="R5477" s="32" t="str">
        <f>IFERROR(VLOOKUP($D5477,'Informations sur les produits'!$A$3:$B$15000,2,FALSE),"")</f>
        <v/>
      </c>
      <c r="V5477">
        <f t="shared" si="342"/>
        <v>0</v>
      </c>
      <c r="W5477">
        <f t="shared" si="343"/>
        <v>0</v>
      </c>
    </row>
    <row r="5478" spans="5:23" x14ac:dyDescent="0.25">
      <c r="E5478" s="4"/>
      <c r="F5478" s="4"/>
      <c r="G5478" s="33" t="str">
        <f>IFERROR(VLOOKUP($D5478,'Informations sur les produits'!$A$3:$H$10000,8,FALSE),"0")</f>
        <v>0</v>
      </c>
      <c r="K5478" s="4"/>
      <c r="L5478" s="33" t="str">
        <f>IFERROR(VLOOKUP($J5478,'Informations sur les produits'!$A$3:$H$10000,8,FALSE),"0")</f>
        <v>0</v>
      </c>
      <c r="N5478" s="8"/>
      <c r="O5478" s="33" t="str">
        <f>IFERROR(VLOOKUP($M5478,'Informations sur les produits'!$A$3:$H$10000,8,FALSE),"0")</f>
        <v>0</v>
      </c>
      <c r="P5478" s="33">
        <f t="shared" si="340"/>
        <v>0</v>
      </c>
      <c r="Q5478" s="31" t="str">
        <f t="shared" si="341"/>
        <v/>
      </c>
      <c r="R5478" s="32" t="str">
        <f>IFERROR(VLOOKUP($D5478,'Informations sur les produits'!$A$3:$B$15000,2,FALSE),"")</f>
        <v/>
      </c>
      <c r="V5478">
        <f t="shared" si="342"/>
        <v>0</v>
      </c>
      <c r="W5478">
        <f t="shared" si="343"/>
        <v>0</v>
      </c>
    </row>
    <row r="5479" spans="5:23" x14ac:dyDescent="0.25">
      <c r="E5479" s="4"/>
      <c r="F5479" s="4"/>
      <c r="G5479" s="33" t="str">
        <f>IFERROR(VLOOKUP($D5479,'Informations sur les produits'!$A$3:$H$10000,8,FALSE),"0")</f>
        <v>0</v>
      </c>
      <c r="K5479" s="4"/>
      <c r="L5479" s="33" t="str">
        <f>IFERROR(VLOOKUP($J5479,'Informations sur les produits'!$A$3:$H$10000,8,FALSE),"0")</f>
        <v>0</v>
      </c>
      <c r="N5479" s="8"/>
      <c r="O5479" s="33" t="str">
        <f>IFERROR(VLOOKUP($M5479,'Informations sur les produits'!$A$3:$H$10000,8,FALSE),"0")</f>
        <v>0</v>
      </c>
      <c r="P5479" s="33">
        <f t="shared" si="340"/>
        <v>0</v>
      </c>
      <c r="Q5479" s="31" t="str">
        <f t="shared" si="341"/>
        <v/>
      </c>
      <c r="R5479" s="32" t="str">
        <f>IFERROR(VLOOKUP($D5479,'Informations sur les produits'!$A$3:$B$15000,2,FALSE),"")</f>
        <v/>
      </c>
      <c r="V5479">
        <f t="shared" si="342"/>
        <v>0</v>
      </c>
      <c r="W5479">
        <f t="shared" si="343"/>
        <v>0</v>
      </c>
    </row>
    <row r="5480" spans="5:23" x14ac:dyDescent="0.25">
      <c r="E5480" s="4"/>
      <c r="F5480" s="4"/>
      <c r="G5480" s="33" t="str">
        <f>IFERROR(VLOOKUP($D5480,'Informations sur les produits'!$A$3:$H$10000,8,FALSE),"0")</f>
        <v>0</v>
      </c>
      <c r="K5480" s="4"/>
      <c r="L5480" s="33" t="str">
        <f>IFERROR(VLOOKUP($J5480,'Informations sur les produits'!$A$3:$H$10000,8,FALSE),"0")</f>
        <v>0</v>
      </c>
      <c r="N5480" s="8"/>
      <c r="O5480" s="33" t="str">
        <f>IFERROR(VLOOKUP($M5480,'Informations sur les produits'!$A$3:$H$10000,8,FALSE),"0")</f>
        <v>0</v>
      </c>
      <c r="P5480" s="33">
        <f t="shared" si="340"/>
        <v>0</v>
      </c>
      <c r="Q5480" s="31" t="str">
        <f t="shared" si="341"/>
        <v/>
      </c>
      <c r="R5480" s="32" t="str">
        <f>IFERROR(VLOOKUP($D5480,'Informations sur les produits'!$A$3:$B$15000,2,FALSE),"")</f>
        <v/>
      </c>
      <c r="V5480">
        <f t="shared" si="342"/>
        <v>0</v>
      </c>
      <c r="W5480">
        <f t="shared" si="343"/>
        <v>0</v>
      </c>
    </row>
    <row r="5481" spans="5:23" x14ac:dyDescent="0.25">
      <c r="E5481" s="4"/>
      <c r="F5481" s="4"/>
      <c r="G5481" s="33" t="str">
        <f>IFERROR(VLOOKUP($D5481,'Informations sur les produits'!$A$3:$H$10000,8,FALSE),"0")</f>
        <v>0</v>
      </c>
      <c r="K5481" s="4"/>
      <c r="L5481" s="33" t="str">
        <f>IFERROR(VLOOKUP($J5481,'Informations sur les produits'!$A$3:$H$10000,8,FALSE),"0")</f>
        <v>0</v>
      </c>
      <c r="N5481" s="8"/>
      <c r="O5481" s="33" t="str">
        <f>IFERROR(VLOOKUP($M5481,'Informations sur les produits'!$A$3:$H$10000,8,FALSE),"0")</f>
        <v>0</v>
      </c>
      <c r="P5481" s="33">
        <f t="shared" si="340"/>
        <v>0</v>
      </c>
      <c r="Q5481" s="31" t="str">
        <f t="shared" si="341"/>
        <v/>
      </c>
      <c r="R5481" s="32" t="str">
        <f>IFERROR(VLOOKUP($D5481,'Informations sur les produits'!$A$3:$B$15000,2,FALSE),"")</f>
        <v/>
      </c>
      <c r="V5481">
        <f t="shared" si="342"/>
        <v>0</v>
      </c>
      <c r="W5481">
        <f t="shared" si="343"/>
        <v>0</v>
      </c>
    </row>
    <row r="5482" spans="5:23" x14ac:dyDescent="0.25">
      <c r="E5482" s="4"/>
      <c r="F5482" s="4"/>
      <c r="G5482" s="33" t="str">
        <f>IFERROR(VLOOKUP($D5482,'Informations sur les produits'!$A$3:$H$10000,8,FALSE),"0")</f>
        <v>0</v>
      </c>
      <c r="K5482" s="4"/>
      <c r="L5482" s="33" t="str">
        <f>IFERROR(VLOOKUP($J5482,'Informations sur les produits'!$A$3:$H$10000,8,FALSE),"0")</f>
        <v>0</v>
      </c>
      <c r="N5482" s="8"/>
      <c r="O5482" s="33" t="str">
        <f>IFERROR(VLOOKUP($M5482,'Informations sur les produits'!$A$3:$H$10000,8,FALSE),"0")</f>
        <v>0</v>
      </c>
      <c r="P5482" s="33">
        <f t="shared" si="340"/>
        <v>0</v>
      </c>
      <c r="Q5482" s="31" t="str">
        <f t="shared" si="341"/>
        <v/>
      </c>
      <c r="R5482" s="32" t="str">
        <f>IFERROR(VLOOKUP($D5482,'Informations sur les produits'!$A$3:$B$15000,2,FALSE),"")</f>
        <v/>
      </c>
      <c r="V5482">
        <f t="shared" si="342"/>
        <v>0</v>
      </c>
      <c r="W5482">
        <f t="shared" si="343"/>
        <v>0</v>
      </c>
    </row>
    <row r="5483" spans="5:23" x14ac:dyDescent="0.25">
      <c r="E5483" s="4"/>
      <c r="F5483" s="4"/>
      <c r="G5483" s="33" t="str">
        <f>IFERROR(VLOOKUP($D5483,'Informations sur les produits'!$A$3:$H$10000,8,FALSE),"0")</f>
        <v>0</v>
      </c>
      <c r="K5483" s="4"/>
      <c r="L5483" s="33" t="str">
        <f>IFERROR(VLOOKUP($J5483,'Informations sur les produits'!$A$3:$H$10000,8,FALSE),"0")</f>
        <v>0</v>
      </c>
      <c r="N5483" s="8"/>
      <c r="O5483" s="33" t="str">
        <f>IFERROR(VLOOKUP($M5483,'Informations sur les produits'!$A$3:$H$10000,8,FALSE),"0")</f>
        <v>0</v>
      </c>
      <c r="P5483" s="33">
        <f t="shared" si="340"/>
        <v>0</v>
      </c>
      <c r="Q5483" s="31" t="str">
        <f t="shared" si="341"/>
        <v/>
      </c>
      <c r="R5483" s="32" t="str">
        <f>IFERROR(VLOOKUP($D5483,'Informations sur les produits'!$A$3:$B$15000,2,FALSE),"")</f>
        <v/>
      </c>
      <c r="V5483">
        <f t="shared" si="342"/>
        <v>0</v>
      </c>
      <c r="W5483">
        <f t="shared" si="343"/>
        <v>0</v>
      </c>
    </row>
    <row r="5484" spans="5:23" x14ac:dyDescent="0.25">
      <c r="E5484" s="4"/>
      <c r="F5484" s="4"/>
      <c r="G5484" s="33" t="str">
        <f>IFERROR(VLOOKUP($D5484,'Informations sur les produits'!$A$3:$H$10000,8,FALSE),"0")</f>
        <v>0</v>
      </c>
      <c r="K5484" s="4"/>
      <c r="L5484" s="33" t="str">
        <f>IFERROR(VLOOKUP($J5484,'Informations sur les produits'!$A$3:$H$10000,8,FALSE),"0")</f>
        <v>0</v>
      </c>
      <c r="N5484" s="8"/>
      <c r="O5484" s="33" t="str">
        <f>IFERROR(VLOOKUP($M5484,'Informations sur les produits'!$A$3:$H$10000,8,FALSE),"0")</f>
        <v>0</v>
      </c>
      <c r="P5484" s="33">
        <f t="shared" si="340"/>
        <v>0</v>
      </c>
      <c r="Q5484" s="31" t="str">
        <f t="shared" si="341"/>
        <v/>
      </c>
      <c r="R5484" s="32" t="str">
        <f>IFERROR(VLOOKUP($D5484,'Informations sur les produits'!$A$3:$B$15000,2,FALSE),"")</f>
        <v/>
      </c>
      <c r="V5484">
        <f t="shared" si="342"/>
        <v>0</v>
      </c>
      <c r="W5484">
        <f t="shared" si="343"/>
        <v>0</v>
      </c>
    </row>
    <row r="5485" spans="5:23" x14ac:dyDescent="0.25">
      <c r="E5485" s="4"/>
      <c r="F5485" s="4"/>
      <c r="G5485" s="33" t="str">
        <f>IFERROR(VLOOKUP($D5485,'Informations sur les produits'!$A$3:$H$10000,8,FALSE),"0")</f>
        <v>0</v>
      </c>
      <c r="K5485" s="4"/>
      <c r="L5485" s="33" t="str">
        <f>IFERROR(VLOOKUP($J5485,'Informations sur les produits'!$A$3:$H$10000,8,FALSE),"0")</f>
        <v>0</v>
      </c>
      <c r="N5485" s="8"/>
      <c r="O5485" s="33" t="str">
        <f>IFERROR(VLOOKUP($M5485,'Informations sur les produits'!$A$3:$H$10000,8,FALSE),"0")</f>
        <v>0</v>
      </c>
      <c r="P5485" s="33">
        <f t="shared" si="340"/>
        <v>0</v>
      </c>
      <c r="Q5485" s="31" t="str">
        <f t="shared" si="341"/>
        <v/>
      </c>
      <c r="R5485" s="32" t="str">
        <f>IFERROR(VLOOKUP($D5485,'Informations sur les produits'!$A$3:$B$15000,2,FALSE),"")</f>
        <v/>
      </c>
      <c r="V5485">
        <f t="shared" si="342"/>
        <v>0</v>
      </c>
      <c r="W5485">
        <f t="shared" si="343"/>
        <v>0</v>
      </c>
    </row>
    <row r="5486" spans="5:23" x14ac:dyDescent="0.25">
      <c r="E5486" s="4"/>
      <c r="F5486" s="4"/>
      <c r="G5486" s="33" t="str">
        <f>IFERROR(VLOOKUP($D5486,'Informations sur les produits'!$A$3:$H$10000,8,FALSE),"0")</f>
        <v>0</v>
      </c>
      <c r="K5486" s="4"/>
      <c r="L5486" s="33" t="str">
        <f>IFERROR(VLOOKUP($J5486,'Informations sur les produits'!$A$3:$H$10000,8,FALSE),"0")</f>
        <v>0</v>
      </c>
      <c r="N5486" s="8"/>
      <c r="O5486" s="33" t="str">
        <f>IFERROR(VLOOKUP($M5486,'Informations sur les produits'!$A$3:$H$10000,8,FALSE),"0")</f>
        <v>0</v>
      </c>
      <c r="P5486" s="33">
        <f t="shared" si="340"/>
        <v>0</v>
      </c>
      <c r="Q5486" s="31" t="str">
        <f t="shared" si="341"/>
        <v/>
      </c>
      <c r="R5486" s="32" t="str">
        <f>IFERROR(VLOOKUP($D5486,'Informations sur les produits'!$A$3:$B$15000,2,FALSE),"")</f>
        <v/>
      </c>
      <c r="V5486">
        <f t="shared" si="342"/>
        <v>0</v>
      </c>
      <c r="W5486">
        <f t="shared" si="343"/>
        <v>0</v>
      </c>
    </row>
    <row r="5487" spans="5:23" x14ac:dyDescent="0.25">
      <c r="E5487" s="4"/>
      <c r="F5487" s="4"/>
      <c r="G5487" s="33" t="str">
        <f>IFERROR(VLOOKUP($D5487,'Informations sur les produits'!$A$3:$H$10000,8,FALSE),"0")</f>
        <v>0</v>
      </c>
      <c r="K5487" s="4"/>
      <c r="L5487" s="33" t="str">
        <f>IFERROR(VLOOKUP($J5487,'Informations sur les produits'!$A$3:$H$10000,8,FALSE),"0")</f>
        <v>0</v>
      </c>
      <c r="N5487" s="8"/>
      <c r="O5487" s="33" t="str">
        <f>IFERROR(VLOOKUP($M5487,'Informations sur les produits'!$A$3:$H$10000,8,FALSE),"0")</f>
        <v>0</v>
      </c>
      <c r="P5487" s="33">
        <f t="shared" si="340"/>
        <v>0</v>
      </c>
      <c r="Q5487" s="31" t="str">
        <f t="shared" si="341"/>
        <v/>
      </c>
      <c r="R5487" s="32" t="str">
        <f>IFERROR(VLOOKUP($D5487,'Informations sur les produits'!$A$3:$B$15000,2,FALSE),"")</f>
        <v/>
      </c>
      <c r="V5487">
        <f t="shared" si="342"/>
        <v>0</v>
      </c>
      <c r="W5487">
        <f t="shared" si="343"/>
        <v>0</v>
      </c>
    </row>
    <row r="5488" spans="5:23" x14ac:dyDescent="0.25">
      <c r="E5488" s="4"/>
      <c r="F5488" s="4"/>
      <c r="G5488" s="33" t="str">
        <f>IFERROR(VLOOKUP($D5488,'Informations sur les produits'!$A$3:$H$10000,8,FALSE),"0")</f>
        <v>0</v>
      </c>
      <c r="K5488" s="4"/>
      <c r="L5488" s="33" t="str">
        <f>IFERROR(VLOOKUP($J5488,'Informations sur les produits'!$A$3:$H$10000,8,FALSE),"0")</f>
        <v>0</v>
      </c>
      <c r="N5488" s="8"/>
      <c r="O5488" s="33" t="str">
        <f>IFERROR(VLOOKUP($M5488,'Informations sur les produits'!$A$3:$H$10000,8,FALSE),"0")</f>
        <v>0</v>
      </c>
      <c r="P5488" s="33">
        <f t="shared" si="340"/>
        <v>0</v>
      </c>
      <c r="Q5488" s="31" t="str">
        <f t="shared" si="341"/>
        <v/>
      </c>
      <c r="R5488" s="32" t="str">
        <f>IFERROR(VLOOKUP($D5488,'Informations sur les produits'!$A$3:$B$15000,2,FALSE),"")</f>
        <v/>
      </c>
      <c r="V5488">
        <f t="shared" si="342"/>
        <v>0</v>
      </c>
      <c r="W5488">
        <f t="shared" si="343"/>
        <v>0</v>
      </c>
    </row>
    <row r="5489" spans="5:23" x14ac:dyDescent="0.25">
      <c r="E5489" s="4"/>
      <c r="F5489" s="4"/>
      <c r="G5489" s="33" t="str">
        <f>IFERROR(VLOOKUP($D5489,'Informations sur les produits'!$A$3:$H$10000,8,FALSE),"0")</f>
        <v>0</v>
      </c>
      <c r="K5489" s="4"/>
      <c r="L5489" s="33" t="str">
        <f>IFERROR(VLOOKUP($J5489,'Informations sur les produits'!$A$3:$H$10000,8,FALSE),"0")</f>
        <v>0</v>
      </c>
      <c r="N5489" s="8"/>
      <c r="O5489" s="33" t="str">
        <f>IFERROR(VLOOKUP($M5489,'Informations sur les produits'!$A$3:$H$10000,8,FALSE),"0")</f>
        <v>0</v>
      </c>
      <c r="P5489" s="33">
        <f t="shared" si="340"/>
        <v>0</v>
      </c>
      <c r="Q5489" s="31" t="str">
        <f t="shared" si="341"/>
        <v/>
      </c>
      <c r="R5489" s="32" t="str">
        <f>IFERROR(VLOOKUP($D5489,'Informations sur les produits'!$A$3:$B$15000,2,FALSE),"")</f>
        <v/>
      </c>
      <c r="V5489">
        <f t="shared" si="342"/>
        <v>0</v>
      </c>
      <c r="W5489">
        <f t="shared" si="343"/>
        <v>0</v>
      </c>
    </row>
    <row r="5490" spans="5:23" x14ac:dyDescent="0.25">
      <c r="E5490" s="4"/>
      <c r="F5490" s="4"/>
      <c r="G5490" s="33" t="str">
        <f>IFERROR(VLOOKUP($D5490,'Informations sur les produits'!$A$3:$H$10000,8,FALSE),"0")</f>
        <v>0</v>
      </c>
      <c r="K5490" s="4"/>
      <c r="L5490" s="33" t="str">
        <f>IFERROR(VLOOKUP($J5490,'Informations sur les produits'!$A$3:$H$10000,8,FALSE),"0")</f>
        <v>0</v>
      </c>
      <c r="N5490" s="8"/>
      <c r="O5490" s="33" t="str">
        <f>IFERROR(VLOOKUP($M5490,'Informations sur les produits'!$A$3:$H$10000,8,FALSE),"0")</f>
        <v>0</v>
      </c>
      <c r="P5490" s="33">
        <f t="shared" si="340"/>
        <v>0</v>
      </c>
      <c r="Q5490" s="31" t="str">
        <f t="shared" si="341"/>
        <v/>
      </c>
      <c r="R5490" s="32" t="str">
        <f>IFERROR(VLOOKUP($D5490,'Informations sur les produits'!$A$3:$B$15000,2,FALSE),"")</f>
        <v/>
      </c>
      <c r="V5490">
        <f t="shared" si="342"/>
        <v>0</v>
      </c>
      <c r="W5490">
        <f t="shared" si="343"/>
        <v>0</v>
      </c>
    </row>
    <row r="5491" spans="5:23" x14ac:dyDescent="0.25">
      <c r="E5491" s="4"/>
      <c r="F5491" s="4"/>
      <c r="G5491" s="33" t="str">
        <f>IFERROR(VLOOKUP($D5491,'Informations sur les produits'!$A$3:$H$10000,8,FALSE),"0")</f>
        <v>0</v>
      </c>
      <c r="K5491" s="4"/>
      <c r="L5491" s="33" t="str">
        <f>IFERROR(VLOOKUP($J5491,'Informations sur les produits'!$A$3:$H$10000,8,FALSE),"0")</f>
        <v>0</v>
      </c>
      <c r="N5491" s="8"/>
      <c r="O5491" s="33" t="str">
        <f>IFERROR(VLOOKUP($M5491,'Informations sur les produits'!$A$3:$H$10000,8,FALSE),"0")</f>
        <v>0</v>
      </c>
      <c r="P5491" s="33">
        <f t="shared" si="340"/>
        <v>0</v>
      </c>
      <c r="Q5491" s="31" t="str">
        <f t="shared" si="341"/>
        <v/>
      </c>
      <c r="R5491" s="32" t="str">
        <f>IFERROR(VLOOKUP($D5491,'Informations sur les produits'!$A$3:$B$15000,2,FALSE),"")</f>
        <v/>
      </c>
      <c r="V5491">
        <f t="shared" si="342"/>
        <v>0</v>
      </c>
      <c r="W5491">
        <f t="shared" si="343"/>
        <v>0</v>
      </c>
    </row>
    <row r="5492" spans="5:23" x14ac:dyDescent="0.25">
      <c r="E5492" s="4"/>
      <c r="F5492" s="4"/>
      <c r="G5492" s="33" t="str">
        <f>IFERROR(VLOOKUP($D5492,'Informations sur les produits'!$A$3:$H$10000,8,FALSE),"0")</f>
        <v>0</v>
      </c>
      <c r="K5492" s="4"/>
      <c r="L5492" s="33" t="str">
        <f>IFERROR(VLOOKUP($J5492,'Informations sur les produits'!$A$3:$H$10000,8,FALSE),"0")</f>
        <v>0</v>
      </c>
      <c r="N5492" s="8"/>
      <c r="O5492" s="33" t="str">
        <f>IFERROR(VLOOKUP($M5492,'Informations sur les produits'!$A$3:$H$10000,8,FALSE),"0")</f>
        <v>0</v>
      </c>
      <c r="P5492" s="33">
        <f t="shared" si="340"/>
        <v>0</v>
      </c>
      <c r="Q5492" s="31" t="str">
        <f t="shared" si="341"/>
        <v/>
      </c>
      <c r="R5492" s="32" t="str">
        <f>IFERROR(VLOOKUP($D5492,'Informations sur les produits'!$A$3:$B$15000,2,FALSE),"")</f>
        <v/>
      </c>
      <c r="V5492">
        <f t="shared" si="342"/>
        <v>0</v>
      </c>
      <c r="W5492">
        <f t="shared" si="343"/>
        <v>0</v>
      </c>
    </row>
    <row r="5493" spans="5:23" x14ac:dyDescent="0.25">
      <c r="E5493" s="4"/>
      <c r="F5493" s="4"/>
      <c r="G5493" s="33" t="str">
        <f>IFERROR(VLOOKUP($D5493,'Informations sur les produits'!$A$3:$H$10000,8,FALSE),"0")</f>
        <v>0</v>
      </c>
      <c r="K5493" s="4"/>
      <c r="L5493" s="33" t="str">
        <f>IFERROR(VLOOKUP($J5493,'Informations sur les produits'!$A$3:$H$10000,8,FALSE),"0")</f>
        <v>0</v>
      </c>
      <c r="N5493" s="8"/>
      <c r="O5493" s="33" t="str">
        <f>IFERROR(VLOOKUP($M5493,'Informations sur les produits'!$A$3:$H$10000,8,FALSE),"0")</f>
        <v>0</v>
      </c>
      <c r="P5493" s="33">
        <f t="shared" si="340"/>
        <v>0</v>
      </c>
      <c r="Q5493" s="31" t="str">
        <f t="shared" si="341"/>
        <v/>
      </c>
      <c r="R5493" s="32" t="str">
        <f>IFERROR(VLOOKUP($D5493,'Informations sur les produits'!$A$3:$B$15000,2,FALSE),"")</f>
        <v/>
      </c>
      <c r="V5493">
        <f t="shared" si="342"/>
        <v>0</v>
      </c>
      <c r="W5493">
        <f t="shared" si="343"/>
        <v>0</v>
      </c>
    </row>
    <row r="5494" spans="5:23" x14ac:dyDescent="0.25">
      <c r="E5494" s="4"/>
      <c r="F5494" s="4"/>
      <c r="G5494" s="33" t="str">
        <f>IFERROR(VLOOKUP($D5494,'Informations sur les produits'!$A$3:$H$10000,8,FALSE),"0")</f>
        <v>0</v>
      </c>
      <c r="K5494" s="4"/>
      <c r="L5494" s="33" t="str">
        <f>IFERROR(VLOOKUP($J5494,'Informations sur les produits'!$A$3:$H$10000,8,FALSE),"0")</f>
        <v>0</v>
      </c>
      <c r="N5494" s="8"/>
      <c r="O5494" s="33" t="str">
        <f>IFERROR(VLOOKUP($M5494,'Informations sur les produits'!$A$3:$H$10000,8,FALSE),"0")</f>
        <v>0</v>
      </c>
      <c r="P5494" s="33">
        <f t="shared" si="340"/>
        <v>0</v>
      </c>
      <c r="Q5494" s="31" t="str">
        <f t="shared" si="341"/>
        <v/>
      </c>
      <c r="R5494" s="32" t="str">
        <f>IFERROR(VLOOKUP($D5494,'Informations sur les produits'!$A$3:$B$15000,2,FALSE),"")</f>
        <v/>
      </c>
      <c r="V5494">
        <f t="shared" si="342"/>
        <v>0</v>
      </c>
      <c r="W5494">
        <f t="shared" si="343"/>
        <v>0</v>
      </c>
    </row>
    <row r="5495" spans="5:23" x14ac:dyDescent="0.25">
      <c r="E5495" s="4"/>
      <c r="F5495" s="4"/>
      <c r="G5495" s="33" t="str">
        <f>IFERROR(VLOOKUP($D5495,'Informations sur les produits'!$A$3:$H$10000,8,FALSE),"0")</f>
        <v>0</v>
      </c>
      <c r="K5495" s="4"/>
      <c r="L5495" s="33" t="str">
        <f>IFERROR(VLOOKUP($J5495,'Informations sur les produits'!$A$3:$H$10000,8,FALSE),"0")</f>
        <v>0</v>
      </c>
      <c r="N5495" s="8"/>
      <c r="O5495" s="33" t="str">
        <f>IFERROR(VLOOKUP($M5495,'Informations sur les produits'!$A$3:$H$10000,8,FALSE),"0")</f>
        <v>0</v>
      </c>
      <c r="P5495" s="33">
        <f t="shared" si="340"/>
        <v>0</v>
      </c>
      <c r="Q5495" s="31" t="str">
        <f t="shared" si="341"/>
        <v/>
      </c>
      <c r="R5495" s="32" t="str">
        <f>IFERROR(VLOOKUP($D5495,'Informations sur les produits'!$A$3:$B$15000,2,FALSE),"")</f>
        <v/>
      </c>
      <c r="V5495">
        <f t="shared" si="342"/>
        <v>0</v>
      </c>
      <c r="W5495">
        <f t="shared" si="343"/>
        <v>0</v>
      </c>
    </row>
    <row r="5496" spans="5:23" x14ac:dyDescent="0.25">
      <c r="E5496" s="4"/>
      <c r="F5496" s="4"/>
      <c r="G5496" s="33" t="str">
        <f>IFERROR(VLOOKUP($D5496,'Informations sur les produits'!$A$3:$H$10000,8,FALSE),"0")</f>
        <v>0</v>
      </c>
      <c r="K5496" s="4"/>
      <c r="L5496" s="33" t="str">
        <f>IFERROR(VLOOKUP($J5496,'Informations sur les produits'!$A$3:$H$10000,8,FALSE),"0")</f>
        <v>0</v>
      </c>
      <c r="N5496" s="8"/>
      <c r="O5496" s="33" t="str">
        <f>IFERROR(VLOOKUP($M5496,'Informations sur les produits'!$A$3:$H$10000,8,FALSE),"0")</f>
        <v>0</v>
      </c>
      <c r="P5496" s="33">
        <f t="shared" si="340"/>
        <v>0</v>
      </c>
      <c r="Q5496" s="31" t="str">
        <f t="shared" si="341"/>
        <v/>
      </c>
      <c r="R5496" s="32" t="str">
        <f>IFERROR(VLOOKUP($D5496,'Informations sur les produits'!$A$3:$B$15000,2,FALSE),"")</f>
        <v/>
      </c>
      <c r="V5496">
        <f t="shared" si="342"/>
        <v>0</v>
      </c>
      <c r="W5496">
        <f t="shared" si="343"/>
        <v>0</v>
      </c>
    </row>
    <row r="5497" spans="5:23" x14ac:dyDescent="0.25">
      <c r="E5497" s="4"/>
      <c r="F5497" s="4"/>
      <c r="G5497" s="33" t="str">
        <f>IFERROR(VLOOKUP($D5497,'Informations sur les produits'!$A$3:$H$10000,8,FALSE),"0")</f>
        <v>0</v>
      </c>
      <c r="K5497" s="4"/>
      <c r="L5497" s="33" t="str">
        <f>IFERROR(VLOOKUP($J5497,'Informations sur les produits'!$A$3:$H$10000,8,FALSE),"0")</f>
        <v>0</v>
      </c>
      <c r="N5497" s="8"/>
      <c r="O5497" s="33" t="str">
        <f>IFERROR(VLOOKUP($M5497,'Informations sur les produits'!$A$3:$H$10000,8,FALSE),"0")</f>
        <v>0</v>
      </c>
      <c r="P5497" s="33">
        <f t="shared" si="340"/>
        <v>0</v>
      </c>
      <c r="Q5497" s="31" t="str">
        <f t="shared" si="341"/>
        <v/>
      </c>
      <c r="R5497" s="32" t="str">
        <f>IFERROR(VLOOKUP($D5497,'Informations sur les produits'!$A$3:$B$15000,2,FALSE),"")</f>
        <v/>
      </c>
      <c r="V5497">
        <f t="shared" si="342"/>
        <v>0</v>
      </c>
      <c r="W5497">
        <f t="shared" si="343"/>
        <v>0</v>
      </c>
    </row>
    <row r="5498" spans="5:23" x14ac:dyDescent="0.25">
      <c r="E5498" s="4"/>
      <c r="F5498" s="4"/>
      <c r="G5498" s="33" t="str">
        <f>IFERROR(VLOOKUP($D5498,'Informations sur les produits'!$A$3:$H$10000,8,FALSE),"0")</f>
        <v>0</v>
      </c>
      <c r="K5498" s="4"/>
      <c r="L5498" s="33" t="str">
        <f>IFERROR(VLOOKUP($J5498,'Informations sur les produits'!$A$3:$H$10000,8,FALSE),"0")</f>
        <v>0</v>
      </c>
      <c r="N5498" s="8"/>
      <c r="O5498" s="33" t="str">
        <f>IFERROR(VLOOKUP($M5498,'Informations sur les produits'!$A$3:$H$10000,8,FALSE),"0")</f>
        <v>0</v>
      </c>
      <c r="P5498" s="33">
        <f t="shared" si="340"/>
        <v>0</v>
      </c>
      <c r="Q5498" s="31" t="str">
        <f t="shared" si="341"/>
        <v/>
      </c>
      <c r="R5498" s="32" t="str">
        <f>IFERROR(VLOOKUP($D5498,'Informations sur les produits'!$A$3:$B$15000,2,FALSE),"")</f>
        <v/>
      </c>
      <c r="V5498">
        <f t="shared" si="342"/>
        <v>0</v>
      </c>
      <c r="W5498">
        <f t="shared" si="343"/>
        <v>0</v>
      </c>
    </row>
    <row r="5499" spans="5:23" x14ac:dyDescent="0.25">
      <c r="E5499" s="4"/>
      <c r="F5499" s="4"/>
      <c r="G5499" s="33" t="str">
        <f>IFERROR(VLOOKUP($D5499,'Informations sur les produits'!$A$3:$H$10000,8,FALSE),"0")</f>
        <v>0</v>
      </c>
      <c r="K5499" s="4"/>
      <c r="L5499" s="33" t="str">
        <f>IFERROR(VLOOKUP($J5499,'Informations sur les produits'!$A$3:$H$10000,8,FALSE),"0")</f>
        <v>0</v>
      </c>
      <c r="N5499" s="8"/>
      <c r="O5499" s="33" t="str">
        <f>IFERROR(VLOOKUP($M5499,'Informations sur les produits'!$A$3:$H$10000,8,FALSE),"0")</f>
        <v>0</v>
      </c>
      <c r="P5499" s="33">
        <f t="shared" si="340"/>
        <v>0</v>
      </c>
      <c r="Q5499" s="31" t="str">
        <f t="shared" si="341"/>
        <v/>
      </c>
      <c r="R5499" s="32" t="str">
        <f>IFERROR(VLOOKUP($D5499,'Informations sur les produits'!$A$3:$B$15000,2,FALSE),"")</f>
        <v/>
      </c>
      <c r="V5499">
        <f t="shared" si="342"/>
        <v>0</v>
      </c>
      <c r="W5499">
        <f t="shared" si="343"/>
        <v>0</v>
      </c>
    </row>
    <row r="5500" spans="5:23" x14ac:dyDescent="0.25">
      <c r="E5500" s="4"/>
      <c r="F5500" s="4"/>
      <c r="G5500" s="33" t="str">
        <f>IFERROR(VLOOKUP($D5500,'Informations sur les produits'!$A$3:$H$10000,8,FALSE),"0")</f>
        <v>0</v>
      </c>
      <c r="K5500" s="4"/>
      <c r="L5500" s="33" t="str">
        <f>IFERROR(VLOOKUP($J5500,'Informations sur les produits'!$A$3:$H$10000,8,FALSE),"0")</f>
        <v>0</v>
      </c>
      <c r="N5500" s="8"/>
      <c r="O5500" s="33" t="str">
        <f>IFERROR(VLOOKUP($M5500,'Informations sur les produits'!$A$3:$H$10000,8,FALSE),"0")</f>
        <v>0</v>
      </c>
      <c r="P5500" s="33">
        <f t="shared" si="340"/>
        <v>0</v>
      </c>
      <c r="Q5500" s="31" t="str">
        <f t="shared" si="341"/>
        <v/>
      </c>
      <c r="R5500" s="32" t="str">
        <f>IFERROR(VLOOKUP($D5500,'Informations sur les produits'!$A$3:$B$15000,2,FALSE),"")</f>
        <v/>
      </c>
      <c r="V5500">
        <f t="shared" si="342"/>
        <v>0</v>
      </c>
      <c r="W5500">
        <f t="shared" si="343"/>
        <v>0</v>
      </c>
    </row>
    <row r="5501" spans="5:23" x14ac:dyDescent="0.25">
      <c r="E5501" s="4"/>
      <c r="F5501" s="4"/>
      <c r="G5501" s="33" t="str">
        <f>IFERROR(VLOOKUP($D5501,'Informations sur les produits'!$A$3:$H$10000,8,FALSE),"0")</f>
        <v>0</v>
      </c>
      <c r="K5501" s="4"/>
      <c r="L5501" s="33" t="str">
        <f>IFERROR(VLOOKUP($J5501,'Informations sur les produits'!$A$3:$H$10000,8,FALSE),"0")</f>
        <v>0</v>
      </c>
      <c r="N5501" s="8"/>
      <c r="O5501" s="33" t="str">
        <f>IFERROR(VLOOKUP($M5501,'Informations sur les produits'!$A$3:$H$10000,8,FALSE),"0")</f>
        <v>0</v>
      </c>
      <c r="P5501" s="33">
        <f t="shared" si="340"/>
        <v>0</v>
      </c>
      <c r="Q5501" s="31" t="str">
        <f t="shared" si="341"/>
        <v/>
      </c>
      <c r="R5501" s="32" t="str">
        <f>IFERROR(VLOOKUP($D5501,'Informations sur les produits'!$A$3:$B$15000,2,FALSE),"")</f>
        <v/>
      </c>
      <c r="V5501">
        <f t="shared" si="342"/>
        <v>0</v>
      </c>
      <c r="W5501">
        <f t="shared" si="343"/>
        <v>0</v>
      </c>
    </row>
    <row r="5502" spans="5:23" x14ac:dyDescent="0.25">
      <c r="E5502" s="4"/>
      <c r="F5502" s="4"/>
      <c r="G5502" s="33" t="str">
        <f>IFERROR(VLOOKUP($D5502,'Informations sur les produits'!$A$3:$H$10000,8,FALSE),"0")</f>
        <v>0</v>
      </c>
      <c r="K5502" s="4"/>
      <c r="L5502" s="33" t="str">
        <f>IFERROR(VLOOKUP($J5502,'Informations sur les produits'!$A$3:$H$10000,8,FALSE),"0")</f>
        <v>0</v>
      </c>
      <c r="N5502" s="8"/>
      <c r="O5502" s="33" t="str">
        <f>IFERROR(VLOOKUP($M5502,'Informations sur les produits'!$A$3:$H$10000,8,FALSE),"0")</f>
        <v>0</v>
      </c>
      <c r="P5502" s="33">
        <f t="shared" si="340"/>
        <v>0</v>
      </c>
      <c r="Q5502" s="31" t="str">
        <f t="shared" si="341"/>
        <v/>
      </c>
      <c r="R5502" s="32" t="str">
        <f>IFERROR(VLOOKUP($D5502,'Informations sur les produits'!$A$3:$B$15000,2,FALSE),"")</f>
        <v/>
      </c>
      <c r="V5502">
        <f t="shared" si="342"/>
        <v>0</v>
      </c>
      <c r="W5502">
        <f t="shared" si="343"/>
        <v>0</v>
      </c>
    </row>
    <row r="5503" spans="5:23" x14ac:dyDescent="0.25">
      <c r="E5503" s="4"/>
      <c r="F5503" s="4"/>
      <c r="G5503" s="33" t="str">
        <f>IFERROR(VLOOKUP($D5503,'Informations sur les produits'!$A$3:$H$10000,8,FALSE),"0")</f>
        <v>0</v>
      </c>
      <c r="K5503" s="4"/>
      <c r="L5503" s="33" t="str">
        <f>IFERROR(VLOOKUP($J5503,'Informations sur les produits'!$A$3:$H$10000,8,FALSE),"0")</f>
        <v>0</v>
      </c>
      <c r="N5503" s="8"/>
      <c r="O5503" s="33" t="str">
        <f>IFERROR(VLOOKUP($M5503,'Informations sur les produits'!$A$3:$H$10000,8,FALSE),"0")</f>
        <v>0</v>
      </c>
      <c r="P5503" s="33">
        <f t="shared" si="340"/>
        <v>0</v>
      </c>
      <c r="Q5503" s="31" t="str">
        <f t="shared" si="341"/>
        <v/>
      </c>
      <c r="R5503" s="32" t="str">
        <f>IFERROR(VLOOKUP($D5503,'Informations sur les produits'!$A$3:$B$15000,2,FALSE),"")</f>
        <v/>
      </c>
      <c r="V5503">
        <f t="shared" si="342"/>
        <v>0</v>
      </c>
      <c r="W5503">
        <f t="shared" si="343"/>
        <v>0</v>
      </c>
    </row>
    <row r="5504" spans="5:23" x14ac:dyDescent="0.25">
      <c r="E5504" s="4"/>
      <c r="F5504" s="4"/>
      <c r="G5504" s="33" t="str">
        <f>IFERROR(VLOOKUP($D5504,'Informations sur les produits'!$A$3:$H$10000,8,FALSE),"0")</f>
        <v>0</v>
      </c>
      <c r="K5504" s="4"/>
      <c r="L5504" s="33" t="str">
        <f>IFERROR(VLOOKUP($J5504,'Informations sur les produits'!$A$3:$H$10000,8,FALSE),"0")</f>
        <v>0</v>
      </c>
      <c r="N5504" s="8"/>
      <c r="O5504" s="33" t="str">
        <f>IFERROR(VLOOKUP($M5504,'Informations sur les produits'!$A$3:$H$10000,8,FALSE),"0")</f>
        <v>0</v>
      </c>
      <c r="P5504" s="33">
        <f t="shared" si="340"/>
        <v>0</v>
      </c>
      <c r="Q5504" s="31" t="str">
        <f t="shared" si="341"/>
        <v/>
      </c>
      <c r="R5504" s="32" t="str">
        <f>IFERROR(VLOOKUP($D5504,'Informations sur les produits'!$A$3:$B$15000,2,FALSE),"")</f>
        <v/>
      </c>
      <c r="V5504">
        <f t="shared" si="342"/>
        <v>0</v>
      </c>
      <c r="W5504">
        <f t="shared" si="343"/>
        <v>0</v>
      </c>
    </row>
    <row r="5505" spans="5:23" x14ac:dyDescent="0.25">
      <c r="E5505" s="4"/>
      <c r="F5505" s="4"/>
      <c r="G5505" s="33" t="str">
        <f>IFERROR(VLOOKUP($D5505,'Informations sur les produits'!$A$3:$H$10000,8,FALSE),"0")</f>
        <v>0</v>
      </c>
      <c r="K5505" s="4"/>
      <c r="L5505" s="33" t="str">
        <f>IFERROR(VLOOKUP($J5505,'Informations sur les produits'!$A$3:$H$10000,8,FALSE),"0")</f>
        <v>0</v>
      </c>
      <c r="N5505" s="8"/>
      <c r="O5505" s="33" t="str">
        <f>IFERROR(VLOOKUP($M5505,'Informations sur les produits'!$A$3:$H$10000,8,FALSE),"0")</f>
        <v>0</v>
      </c>
      <c r="P5505" s="33">
        <f t="shared" si="340"/>
        <v>0</v>
      </c>
      <c r="Q5505" s="31" t="str">
        <f t="shared" si="341"/>
        <v/>
      </c>
      <c r="R5505" s="32" t="str">
        <f>IFERROR(VLOOKUP($D5505,'Informations sur les produits'!$A$3:$B$15000,2,FALSE),"")</f>
        <v/>
      </c>
      <c r="V5505">
        <f t="shared" si="342"/>
        <v>0</v>
      </c>
      <c r="W5505">
        <f t="shared" si="343"/>
        <v>0</v>
      </c>
    </row>
    <row r="5506" spans="5:23" x14ac:dyDescent="0.25">
      <c r="E5506" s="4"/>
      <c r="F5506" s="4"/>
      <c r="G5506" s="33" t="str">
        <f>IFERROR(VLOOKUP($D5506,'Informations sur les produits'!$A$3:$H$10000,8,FALSE),"0")</f>
        <v>0</v>
      </c>
      <c r="K5506" s="4"/>
      <c r="L5506" s="33" t="str">
        <f>IFERROR(VLOOKUP($J5506,'Informations sur les produits'!$A$3:$H$10000,8,FALSE),"0")</f>
        <v>0</v>
      </c>
      <c r="N5506" s="8"/>
      <c r="O5506" s="33" t="str">
        <f>IFERROR(VLOOKUP($M5506,'Informations sur les produits'!$A$3:$H$10000,8,FALSE),"0")</f>
        <v>0</v>
      </c>
      <c r="P5506" s="33">
        <f t="shared" si="340"/>
        <v>0</v>
      </c>
      <c r="Q5506" s="31" t="str">
        <f t="shared" si="341"/>
        <v/>
      </c>
      <c r="R5506" s="32" t="str">
        <f>IFERROR(VLOOKUP($D5506,'Informations sur les produits'!$A$3:$B$15000,2,FALSE),"")</f>
        <v/>
      </c>
      <c r="V5506">
        <f t="shared" si="342"/>
        <v>0</v>
      </c>
      <c r="W5506">
        <f t="shared" si="343"/>
        <v>0</v>
      </c>
    </row>
    <row r="5507" spans="5:23" x14ac:dyDescent="0.25">
      <c r="E5507" s="4"/>
      <c r="F5507" s="4"/>
      <c r="G5507" s="33" t="str">
        <f>IFERROR(VLOOKUP($D5507,'Informations sur les produits'!$A$3:$H$10000,8,FALSE),"0")</f>
        <v>0</v>
      </c>
      <c r="K5507" s="4"/>
      <c r="L5507" s="33" t="str">
        <f>IFERROR(VLOOKUP($J5507,'Informations sur les produits'!$A$3:$H$10000,8,FALSE),"0")</f>
        <v>0</v>
      </c>
      <c r="N5507" s="8"/>
      <c r="O5507" s="33" t="str">
        <f>IFERROR(VLOOKUP($M5507,'Informations sur les produits'!$A$3:$H$10000,8,FALSE),"0")</f>
        <v>0</v>
      </c>
      <c r="P5507" s="33">
        <f t="shared" si="340"/>
        <v>0</v>
      </c>
      <c r="Q5507" s="31" t="str">
        <f t="shared" si="341"/>
        <v/>
      </c>
      <c r="R5507" s="32" t="str">
        <f>IFERROR(VLOOKUP($D5507,'Informations sur les produits'!$A$3:$B$15000,2,FALSE),"")</f>
        <v/>
      </c>
      <c r="V5507">
        <f t="shared" si="342"/>
        <v>0</v>
      </c>
      <c r="W5507">
        <f t="shared" si="343"/>
        <v>0</v>
      </c>
    </row>
    <row r="5508" spans="5:23" x14ac:dyDescent="0.25">
      <c r="E5508" s="4"/>
      <c r="F5508" s="4"/>
      <c r="G5508" s="33" t="str">
        <f>IFERROR(VLOOKUP($D5508,'Informations sur les produits'!$A$3:$H$10000,8,FALSE),"0")</f>
        <v>0</v>
      </c>
      <c r="K5508" s="4"/>
      <c r="L5508" s="33" t="str">
        <f>IFERROR(VLOOKUP($J5508,'Informations sur les produits'!$A$3:$H$10000,8,FALSE),"0")</f>
        <v>0</v>
      </c>
      <c r="N5508" s="8"/>
      <c r="O5508" s="33" t="str">
        <f>IFERROR(VLOOKUP($M5508,'Informations sur les produits'!$A$3:$H$10000,8,FALSE),"0")</f>
        <v>0</v>
      </c>
      <c r="P5508" s="33">
        <f t="shared" ref="P5508:P5571" si="344">IFERROR((($E5508-$F5508)*$G5508+$K5508*$L5508+$N5508*$O5508),"")</f>
        <v>0</v>
      </c>
      <c r="Q5508" s="31" t="str">
        <f t="shared" ref="Q5508:Q5571" si="345">IFERROR((((($E5508-$F5508)*$G5508+$K5508*$L5508+$N5508*$O5508)*1000)/(($E5508-$F5508)+$K5508+$N5508)),"")</f>
        <v/>
      </c>
      <c r="R5508" s="32" t="str">
        <f>IFERROR(VLOOKUP($D5508,'Informations sur les produits'!$A$3:$B$15000,2,FALSE),"")</f>
        <v/>
      </c>
      <c r="V5508">
        <f t="shared" ref="V5508:V5571" si="346">IFERROR(P5508*1000,"")</f>
        <v>0</v>
      </c>
      <c r="W5508">
        <f t="shared" ref="W5508:W5571" si="347">IFERROR(($E5508-$F5508)+$K5508+$N5508,"")</f>
        <v>0</v>
      </c>
    </row>
    <row r="5509" spans="5:23" x14ac:dyDescent="0.25">
      <c r="E5509" s="4"/>
      <c r="F5509" s="4"/>
      <c r="G5509" s="33" t="str">
        <f>IFERROR(VLOOKUP($D5509,'Informations sur les produits'!$A$3:$H$10000,8,FALSE),"0")</f>
        <v>0</v>
      </c>
      <c r="K5509" s="4"/>
      <c r="L5509" s="33" t="str">
        <f>IFERROR(VLOOKUP($J5509,'Informations sur les produits'!$A$3:$H$10000,8,FALSE),"0")</f>
        <v>0</v>
      </c>
      <c r="N5509" s="8"/>
      <c r="O5509" s="33" t="str">
        <f>IFERROR(VLOOKUP($M5509,'Informations sur les produits'!$A$3:$H$10000,8,FALSE),"0")</f>
        <v>0</v>
      </c>
      <c r="P5509" s="33">
        <f t="shared" si="344"/>
        <v>0</v>
      </c>
      <c r="Q5509" s="31" t="str">
        <f t="shared" si="345"/>
        <v/>
      </c>
      <c r="R5509" s="32" t="str">
        <f>IFERROR(VLOOKUP($D5509,'Informations sur les produits'!$A$3:$B$15000,2,FALSE),"")</f>
        <v/>
      </c>
      <c r="V5509">
        <f t="shared" si="346"/>
        <v>0</v>
      </c>
      <c r="W5509">
        <f t="shared" si="347"/>
        <v>0</v>
      </c>
    </row>
    <row r="5510" spans="5:23" x14ac:dyDescent="0.25">
      <c r="E5510" s="4"/>
      <c r="F5510" s="4"/>
      <c r="G5510" s="33" t="str">
        <f>IFERROR(VLOOKUP($D5510,'Informations sur les produits'!$A$3:$H$10000,8,FALSE),"0")</f>
        <v>0</v>
      </c>
      <c r="K5510" s="4"/>
      <c r="L5510" s="33" t="str">
        <f>IFERROR(VLOOKUP($J5510,'Informations sur les produits'!$A$3:$H$10000,8,FALSE),"0")</f>
        <v>0</v>
      </c>
      <c r="N5510" s="8"/>
      <c r="O5510" s="33" t="str">
        <f>IFERROR(VLOOKUP($M5510,'Informations sur les produits'!$A$3:$H$10000,8,FALSE),"0")</f>
        <v>0</v>
      </c>
      <c r="P5510" s="33">
        <f t="shared" si="344"/>
        <v>0</v>
      </c>
      <c r="Q5510" s="31" t="str">
        <f t="shared" si="345"/>
        <v/>
      </c>
      <c r="R5510" s="32" t="str">
        <f>IFERROR(VLOOKUP($D5510,'Informations sur les produits'!$A$3:$B$15000,2,FALSE),"")</f>
        <v/>
      </c>
      <c r="V5510">
        <f t="shared" si="346"/>
        <v>0</v>
      </c>
      <c r="W5510">
        <f t="shared" si="347"/>
        <v>0</v>
      </c>
    </row>
    <row r="5511" spans="5:23" x14ac:dyDescent="0.25">
      <c r="E5511" s="4"/>
      <c r="F5511" s="4"/>
      <c r="G5511" s="33" t="str">
        <f>IFERROR(VLOOKUP($D5511,'Informations sur les produits'!$A$3:$H$10000,8,FALSE),"0")</f>
        <v>0</v>
      </c>
      <c r="K5511" s="4"/>
      <c r="L5511" s="33" t="str">
        <f>IFERROR(VLOOKUP($J5511,'Informations sur les produits'!$A$3:$H$10000,8,FALSE),"0")</f>
        <v>0</v>
      </c>
      <c r="N5511" s="8"/>
      <c r="O5511" s="33" t="str">
        <f>IFERROR(VLOOKUP($M5511,'Informations sur les produits'!$A$3:$H$10000,8,FALSE),"0")</f>
        <v>0</v>
      </c>
      <c r="P5511" s="33">
        <f t="shared" si="344"/>
        <v>0</v>
      </c>
      <c r="Q5511" s="31" t="str">
        <f t="shared" si="345"/>
        <v/>
      </c>
      <c r="R5511" s="32" t="str">
        <f>IFERROR(VLOOKUP($D5511,'Informations sur les produits'!$A$3:$B$15000,2,FALSE),"")</f>
        <v/>
      </c>
      <c r="V5511">
        <f t="shared" si="346"/>
        <v>0</v>
      </c>
      <c r="W5511">
        <f t="shared" si="347"/>
        <v>0</v>
      </c>
    </row>
    <row r="5512" spans="5:23" x14ac:dyDescent="0.25">
      <c r="E5512" s="4"/>
      <c r="F5512" s="4"/>
      <c r="G5512" s="33" t="str">
        <f>IFERROR(VLOOKUP($D5512,'Informations sur les produits'!$A$3:$H$10000,8,FALSE),"0")</f>
        <v>0</v>
      </c>
      <c r="K5512" s="4"/>
      <c r="L5512" s="33" t="str">
        <f>IFERROR(VLOOKUP($J5512,'Informations sur les produits'!$A$3:$H$10000,8,FALSE),"0")</f>
        <v>0</v>
      </c>
      <c r="N5512" s="8"/>
      <c r="O5512" s="33" t="str">
        <f>IFERROR(VLOOKUP($M5512,'Informations sur les produits'!$A$3:$H$10000,8,FALSE),"0")</f>
        <v>0</v>
      </c>
      <c r="P5512" s="33">
        <f t="shared" si="344"/>
        <v>0</v>
      </c>
      <c r="Q5512" s="31" t="str">
        <f t="shared" si="345"/>
        <v/>
      </c>
      <c r="R5512" s="32" t="str">
        <f>IFERROR(VLOOKUP($D5512,'Informations sur les produits'!$A$3:$B$15000,2,FALSE),"")</f>
        <v/>
      </c>
      <c r="V5512">
        <f t="shared" si="346"/>
        <v>0</v>
      </c>
      <c r="W5512">
        <f t="shared" si="347"/>
        <v>0</v>
      </c>
    </row>
    <row r="5513" spans="5:23" x14ac:dyDescent="0.25">
      <c r="E5513" s="4"/>
      <c r="F5513" s="4"/>
      <c r="G5513" s="33" t="str">
        <f>IFERROR(VLOOKUP($D5513,'Informations sur les produits'!$A$3:$H$10000,8,FALSE),"0")</f>
        <v>0</v>
      </c>
      <c r="K5513" s="4"/>
      <c r="L5513" s="33" t="str">
        <f>IFERROR(VLOOKUP($J5513,'Informations sur les produits'!$A$3:$H$10000,8,FALSE),"0")</f>
        <v>0</v>
      </c>
      <c r="N5513" s="8"/>
      <c r="O5513" s="33" t="str">
        <f>IFERROR(VLOOKUP($M5513,'Informations sur les produits'!$A$3:$H$10000,8,FALSE),"0")</f>
        <v>0</v>
      </c>
      <c r="P5513" s="33">
        <f t="shared" si="344"/>
        <v>0</v>
      </c>
      <c r="Q5513" s="31" t="str">
        <f t="shared" si="345"/>
        <v/>
      </c>
      <c r="R5513" s="32" t="str">
        <f>IFERROR(VLOOKUP($D5513,'Informations sur les produits'!$A$3:$B$15000,2,FALSE),"")</f>
        <v/>
      </c>
      <c r="V5513">
        <f t="shared" si="346"/>
        <v>0</v>
      </c>
      <c r="W5513">
        <f t="shared" si="347"/>
        <v>0</v>
      </c>
    </row>
    <row r="5514" spans="5:23" x14ac:dyDescent="0.25">
      <c r="E5514" s="4"/>
      <c r="F5514" s="4"/>
      <c r="G5514" s="33" t="str">
        <f>IFERROR(VLOOKUP($D5514,'Informations sur les produits'!$A$3:$H$10000,8,FALSE),"0")</f>
        <v>0</v>
      </c>
      <c r="K5514" s="4"/>
      <c r="L5514" s="33" t="str">
        <f>IFERROR(VLOOKUP($J5514,'Informations sur les produits'!$A$3:$H$10000,8,FALSE),"0")</f>
        <v>0</v>
      </c>
      <c r="N5514" s="8"/>
      <c r="O5514" s="33" t="str">
        <f>IFERROR(VLOOKUP($M5514,'Informations sur les produits'!$A$3:$H$10000,8,FALSE),"0")</f>
        <v>0</v>
      </c>
      <c r="P5514" s="33">
        <f t="shared" si="344"/>
        <v>0</v>
      </c>
      <c r="Q5514" s="31" t="str">
        <f t="shared" si="345"/>
        <v/>
      </c>
      <c r="R5514" s="32" t="str">
        <f>IFERROR(VLOOKUP($D5514,'Informations sur les produits'!$A$3:$B$15000,2,FALSE),"")</f>
        <v/>
      </c>
      <c r="V5514">
        <f t="shared" si="346"/>
        <v>0</v>
      </c>
      <c r="W5514">
        <f t="shared" si="347"/>
        <v>0</v>
      </c>
    </row>
    <row r="5515" spans="5:23" x14ac:dyDescent="0.25">
      <c r="E5515" s="4"/>
      <c r="F5515" s="4"/>
      <c r="G5515" s="33" t="str">
        <f>IFERROR(VLOOKUP($D5515,'Informations sur les produits'!$A$3:$H$10000,8,FALSE),"0")</f>
        <v>0</v>
      </c>
      <c r="K5515" s="4"/>
      <c r="L5515" s="33" t="str">
        <f>IFERROR(VLOOKUP($J5515,'Informations sur les produits'!$A$3:$H$10000,8,FALSE),"0")</f>
        <v>0</v>
      </c>
      <c r="N5515" s="8"/>
      <c r="O5515" s="33" t="str">
        <f>IFERROR(VLOOKUP($M5515,'Informations sur les produits'!$A$3:$H$10000,8,FALSE),"0")</f>
        <v>0</v>
      </c>
      <c r="P5515" s="33">
        <f t="shared" si="344"/>
        <v>0</v>
      </c>
      <c r="Q5515" s="31" t="str">
        <f t="shared" si="345"/>
        <v/>
      </c>
      <c r="R5515" s="32" t="str">
        <f>IFERROR(VLOOKUP($D5515,'Informations sur les produits'!$A$3:$B$15000,2,FALSE),"")</f>
        <v/>
      </c>
      <c r="V5515">
        <f t="shared" si="346"/>
        <v>0</v>
      </c>
      <c r="W5515">
        <f t="shared" si="347"/>
        <v>0</v>
      </c>
    </row>
    <row r="5516" spans="5:23" x14ac:dyDescent="0.25">
      <c r="E5516" s="4"/>
      <c r="F5516" s="4"/>
      <c r="G5516" s="33" t="str">
        <f>IFERROR(VLOOKUP($D5516,'Informations sur les produits'!$A$3:$H$10000,8,FALSE),"0")</f>
        <v>0</v>
      </c>
      <c r="K5516" s="4"/>
      <c r="L5516" s="33" t="str">
        <f>IFERROR(VLOOKUP($J5516,'Informations sur les produits'!$A$3:$H$10000,8,FALSE),"0")</f>
        <v>0</v>
      </c>
      <c r="N5516" s="8"/>
      <c r="O5516" s="33" t="str">
        <f>IFERROR(VLOOKUP($M5516,'Informations sur les produits'!$A$3:$H$10000,8,FALSE),"0")</f>
        <v>0</v>
      </c>
      <c r="P5516" s="33">
        <f t="shared" si="344"/>
        <v>0</v>
      </c>
      <c r="Q5516" s="31" t="str">
        <f t="shared" si="345"/>
        <v/>
      </c>
      <c r="R5516" s="32" t="str">
        <f>IFERROR(VLOOKUP($D5516,'Informations sur les produits'!$A$3:$B$15000,2,FALSE),"")</f>
        <v/>
      </c>
      <c r="V5516">
        <f t="shared" si="346"/>
        <v>0</v>
      </c>
      <c r="W5516">
        <f t="shared" si="347"/>
        <v>0</v>
      </c>
    </row>
    <row r="5517" spans="5:23" x14ac:dyDescent="0.25">
      <c r="E5517" s="4"/>
      <c r="F5517" s="4"/>
      <c r="G5517" s="33" t="str">
        <f>IFERROR(VLOOKUP($D5517,'Informations sur les produits'!$A$3:$H$10000,8,FALSE),"0")</f>
        <v>0</v>
      </c>
      <c r="K5517" s="4"/>
      <c r="L5517" s="33" t="str">
        <f>IFERROR(VLOOKUP($J5517,'Informations sur les produits'!$A$3:$H$10000,8,FALSE),"0")</f>
        <v>0</v>
      </c>
      <c r="N5517" s="8"/>
      <c r="O5517" s="33" t="str">
        <f>IFERROR(VLOOKUP($M5517,'Informations sur les produits'!$A$3:$H$10000,8,FALSE),"0")</f>
        <v>0</v>
      </c>
      <c r="P5517" s="33">
        <f t="shared" si="344"/>
        <v>0</v>
      </c>
      <c r="Q5517" s="31" t="str">
        <f t="shared" si="345"/>
        <v/>
      </c>
      <c r="R5517" s="32" t="str">
        <f>IFERROR(VLOOKUP($D5517,'Informations sur les produits'!$A$3:$B$15000,2,FALSE),"")</f>
        <v/>
      </c>
      <c r="V5517">
        <f t="shared" si="346"/>
        <v>0</v>
      </c>
      <c r="W5517">
        <f t="shared" si="347"/>
        <v>0</v>
      </c>
    </row>
    <row r="5518" spans="5:23" x14ac:dyDescent="0.25">
      <c r="E5518" s="4"/>
      <c r="F5518" s="4"/>
      <c r="G5518" s="33" t="str">
        <f>IFERROR(VLOOKUP($D5518,'Informations sur les produits'!$A$3:$H$10000,8,FALSE),"0")</f>
        <v>0</v>
      </c>
      <c r="K5518" s="4"/>
      <c r="L5518" s="33" t="str">
        <f>IFERROR(VLOOKUP($J5518,'Informations sur les produits'!$A$3:$H$10000,8,FALSE),"0")</f>
        <v>0</v>
      </c>
      <c r="N5518" s="8"/>
      <c r="O5518" s="33" t="str">
        <f>IFERROR(VLOOKUP($M5518,'Informations sur les produits'!$A$3:$H$10000,8,FALSE),"0")</f>
        <v>0</v>
      </c>
      <c r="P5518" s="33">
        <f t="shared" si="344"/>
        <v>0</v>
      </c>
      <c r="Q5518" s="31" t="str">
        <f t="shared" si="345"/>
        <v/>
      </c>
      <c r="R5518" s="32" t="str">
        <f>IFERROR(VLOOKUP($D5518,'Informations sur les produits'!$A$3:$B$15000,2,FALSE),"")</f>
        <v/>
      </c>
      <c r="V5518">
        <f t="shared" si="346"/>
        <v>0</v>
      </c>
      <c r="W5518">
        <f t="shared" si="347"/>
        <v>0</v>
      </c>
    </row>
    <row r="5519" spans="5:23" x14ac:dyDescent="0.25">
      <c r="E5519" s="4"/>
      <c r="F5519" s="4"/>
      <c r="G5519" s="33" t="str">
        <f>IFERROR(VLOOKUP($D5519,'Informations sur les produits'!$A$3:$H$10000,8,FALSE),"0")</f>
        <v>0</v>
      </c>
      <c r="K5519" s="4"/>
      <c r="L5519" s="33" t="str">
        <f>IFERROR(VLOOKUP($J5519,'Informations sur les produits'!$A$3:$H$10000,8,FALSE),"0")</f>
        <v>0</v>
      </c>
      <c r="N5519" s="8"/>
      <c r="O5519" s="33" t="str">
        <f>IFERROR(VLOOKUP($M5519,'Informations sur les produits'!$A$3:$H$10000,8,FALSE),"0")</f>
        <v>0</v>
      </c>
      <c r="P5519" s="33">
        <f t="shared" si="344"/>
        <v>0</v>
      </c>
      <c r="Q5519" s="31" t="str">
        <f t="shared" si="345"/>
        <v/>
      </c>
      <c r="R5519" s="32" t="str">
        <f>IFERROR(VLOOKUP($D5519,'Informations sur les produits'!$A$3:$B$15000,2,FALSE),"")</f>
        <v/>
      </c>
      <c r="V5519">
        <f t="shared" si="346"/>
        <v>0</v>
      </c>
      <c r="W5519">
        <f t="shared" si="347"/>
        <v>0</v>
      </c>
    </row>
    <row r="5520" spans="5:23" x14ac:dyDescent="0.25">
      <c r="E5520" s="4"/>
      <c r="F5520" s="4"/>
      <c r="G5520" s="33" t="str">
        <f>IFERROR(VLOOKUP($D5520,'Informations sur les produits'!$A$3:$H$10000,8,FALSE),"0")</f>
        <v>0</v>
      </c>
      <c r="K5520" s="4"/>
      <c r="L5520" s="33" t="str">
        <f>IFERROR(VLOOKUP($J5520,'Informations sur les produits'!$A$3:$H$10000,8,FALSE),"0")</f>
        <v>0</v>
      </c>
      <c r="N5520" s="8"/>
      <c r="O5520" s="33" t="str">
        <f>IFERROR(VLOOKUP($M5520,'Informations sur les produits'!$A$3:$H$10000,8,FALSE),"0")</f>
        <v>0</v>
      </c>
      <c r="P5520" s="33">
        <f t="shared" si="344"/>
        <v>0</v>
      </c>
      <c r="Q5520" s="31" t="str">
        <f t="shared" si="345"/>
        <v/>
      </c>
      <c r="R5520" s="32" t="str">
        <f>IFERROR(VLOOKUP($D5520,'Informations sur les produits'!$A$3:$B$15000,2,FALSE),"")</f>
        <v/>
      </c>
      <c r="V5520">
        <f t="shared" si="346"/>
        <v>0</v>
      </c>
      <c r="W5520">
        <f t="shared" si="347"/>
        <v>0</v>
      </c>
    </row>
    <row r="5521" spans="5:23" x14ac:dyDescent="0.25">
      <c r="E5521" s="4"/>
      <c r="F5521" s="4"/>
      <c r="G5521" s="33" t="str">
        <f>IFERROR(VLOOKUP($D5521,'Informations sur les produits'!$A$3:$H$10000,8,FALSE),"0")</f>
        <v>0</v>
      </c>
      <c r="K5521" s="4"/>
      <c r="L5521" s="33" t="str">
        <f>IFERROR(VLOOKUP($J5521,'Informations sur les produits'!$A$3:$H$10000,8,FALSE),"0")</f>
        <v>0</v>
      </c>
      <c r="N5521" s="8"/>
      <c r="O5521" s="33" t="str">
        <f>IFERROR(VLOOKUP($M5521,'Informations sur les produits'!$A$3:$H$10000,8,FALSE),"0")</f>
        <v>0</v>
      </c>
      <c r="P5521" s="33">
        <f t="shared" si="344"/>
        <v>0</v>
      </c>
      <c r="Q5521" s="31" t="str">
        <f t="shared" si="345"/>
        <v/>
      </c>
      <c r="R5521" s="32" t="str">
        <f>IFERROR(VLOOKUP($D5521,'Informations sur les produits'!$A$3:$B$15000,2,FALSE),"")</f>
        <v/>
      </c>
      <c r="V5521">
        <f t="shared" si="346"/>
        <v>0</v>
      </c>
      <c r="W5521">
        <f t="shared" si="347"/>
        <v>0</v>
      </c>
    </row>
    <row r="5522" spans="5:23" x14ac:dyDescent="0.25">
      <c r="E5522" s="4"/>
      <c r="F5522" s="4"/>
      <c r="G5522" s="33" t="str">
        <f>IFERROR(VLOOKUP($D5522,'Informations sur les produits'!$A$3:$H$10000,8,FALSE),"0")</f>
        <v>0</v>
      </c>
      <c r="K5522" s="4"/>
      <c r="L5522" s="33" t="str">
        <f>IFERROR(VLOOKUP($J5522,'Informations sur les produits'!$A$3:$H$10000,8,FALSE),"0")</f>
        <v>0</v>
      </c>
      <c r="N5522" s="8"/>
      <c r="O5522" s="33" t="str">
        <f>IFERROR(VLOOKUP($M5522,'Informations sur les produits'!$A$3:$H$10000,8,FALSE),"0")</f>
        <v>0</v>
      </c>
      <c r="P5522" s="33">
        <f t="shared" si="344"/>
        <v>0</v>
      </c>
      <c r="Q5522" s="31" t="str">
        <f t="shared" si="345"/>
        <v/>
      </c>
      <c r="R5522" s="32" t="str">
        <f>IFERROR(VLOOKUP($D5522,'Informations sur les produits'!$A$3:$B$15000,2,FALSE),"")</f>
        <v/>
      </c>
      <c r="V5522">
        <f t="shared" si="346"/>
        <v>0</v>
      </c>
      <c r="W5522">
        <f t="shared" si="347"/>
        <v>0</v>
      </c>
    </row>
    <row r="5523" spans="5:23" x14ac:dyDescent="0.25">
      <c r="E5523" s="4"/>
      <c r="F5523" s="4"/>
      <c r="G5523" s="33" t="str">
        <f>IFERROR(VLOOKUP($D5523,'Informations sur les produits'!$A$3:$H$10000,8,FALSE),"0")</f>
        <v>0</v>
      </c>
      <c r="K5523" s="4"/>
      <c r="L5523" s="33" t="str">
        <f>IFERROR(VLOOKUP($J5523,'Informations sur les produits'!$A$3:$H$10000,8,FALSE),"0")</f>
        <v>0</v>
      </c>
      <c r="N5523" s="8"/>
      <c r="O5523" s="33" t="str">
        <f>IFERROR(VLOOKUP($M5523,'Informations sur les produits'!$A$3:$H$10000,8,FALSE),"0")</f>
        <v>0</v>
      </c>
      <c r="P5523" s="33">
        <f t="shared" si="344"/>
        <v>0</v>
      </c>
      <c r="Q5523" s="31" t="str">
        <f t="shared" si="345"/>
        <v/>
      </c>
      <c r="R5523" s="32" t="str">
        <f>IFERROR(VLOOKUP($D5523,'Informations sur les produits'!$A$3:$B$15000,2,FALSE),"")</f>
        <v/>
      </c>
      <c r="V5523">
        <f t="shared" si="346"/>
        <v>0</v>
      </c>
      <c r="W5523">
        <f t="shared" si="347"/>
        <v>0</v>
      </c>
    </row>
    <row r="5524" spans="5:23" x14ac:dyDescent="0.25">
      <c r="E5524" s="4"/>
      <c r="F5524" s="4"/>
      <c r="G5524" s="33" t="str">
        <f>IFERROR(VLOOKUP($D5524,'Informations sur les produits'!$A$3:$H$10000,8,FALSE),"0")</f>
        <v>0</v>
      </c>
      <c r="K5524" s="4"/>
      <c r="L5524" s="33" t="str">
        <f>IFERROR(VLOOKUP($J5524,'Informations sur les produits'!$A$3:$H$10000,8,FALSE),"0")</f>
        <v>0</v>
      </c>
      <c r="N5524" s="8"/>
      <c r="O5524" s="33" t="str">
        <f>IFERROR(VLOOKUP($M5524,'Informations sur les produits'!$A$3:$H$10000,8,FALSE),"0")</f>
        <v>0</v>
      </c>
      <c r="P5524" s="33">
        <f t="shared" si="344"/>
        <v>0</v>
      </c>
      <c r="Q5524" s="31" t="str">
        <f t="shared" si="345"/>
        <v/>
      </c>
      <c r="R5524" s="32" t="str">
        <f>IFERROR(VLOOKUP($D5524,'Informations sur les produits'!$A$3:$B$15000,2,FALSE),"")</f>
        <v/>
      </c>
      <c r="V5524">
        <f t="shared" si="346"/>
        <v>0</v>
      </c>
      <c r="W5524">
        <f t="shared" si="347"/>
        <v>0</v>
      </c>
    </row>
    <row r="5525" spans="5:23" x14ac:dyDescent="0.25">
      <c r="E5525" s="4"/>
      <c r="F5525" s="4"/>
      <c r="G5525" s="33" t="str">
        <f>IFERROR(VLOOKUP($D5525,'Informations sur les produits'!$A$3:$H$10000,8,FALSE),"0")</f>
        <v>0</v>
      </c>
      <c r="K5525" s="4"/>
      <c r="L5525" s="33" t="str">
        <f>IFERROR(VLOOKUP($J5525,'Informations sur les produits'!$A$3:$H$10000,8,FALSE),"0")</f>
        <v>0</v>
      </c>
      <c r="N5525" s="8"/>
      <c r="O5525" s="33" t="str">
        <f>IFERROR(VLOOKUP($M5525,'Informations sur les produits'!$A$3:$H$10000,8,FALSE),"0")</f>
        <v>0</v>
      </c>
      <c r="P5525" s="33">
        <f t="shared" si="344"/>
        <v>0</v>
      </c>
      <c r="Q5525" s="31" t="str">
        <f t="shared" si="345"/>
        <v/>
      </c>
      <c r="R5525" s="32" t="str">
        <f>IFERROR(VLOOKUP($D5525,'Informations sur les produits'!$A$3:$B$15000,2,FALSE),"")</f>
        <v/>
      </c>
      <c r="V5525">
        <f t="shared" si="346"/>
        <v>0</v>
      </c>
      <c r="W5525">
        <f t="shared" si="347"/>
        <v>0</v>
      </c>
    </row>
    <row r="5526" spans="5:23" x14ac:dyDescent="0.25">
      <c r="E5526" s="4"/>
      <c r="F5526" s="4"/>
      <c r="G5526" s="33" t="str">
        <f>IFERROR(VLOOKUP($D5526,'Informations sur les produits'!$A$3:$H$10000,8,FALSE),"0")</f>
        <v>0</v>
      </c>
      <c r="K5526" s="4"/>
      <c r="L5526" s="33" t="str">
        <f>IFERROR(VLOOKUP($J5526,'Informations sur les produits'!$A$3:$H$10000,8,FALSE),"0")</f>
        <v>0</v>
      </c>
      <c r="N5526" s="8"/>
      <c r="O5526" s="33" t="str">
        <f>IFERROR(VLOOKUP($M5526,'Informations sur les produits'!$A$3:$H$10000,8,FALSE),"0")</f>
        <v>0</v>
      </c>
      <c r="P5526" s="33">
        <f t="shared" si="344"/>
        <v>0</v>
      </c>
      <c r="Q5526" s="31" t="str">
        <f t="shared" si="345"/>
        <v/>
      </c>
      <c r="R5526" s="32" t="str">
        <f>IFERROR(VLOOKUP($D5526,'Informations sur les produits'!$A$3:$B$15000,2,FALSE),"")</f>
        <v/>
      </c>
      <c r="V5526">
        <f t="shared" si="346"/>
        <v>0</v>
      </c>
      <c r="W5526">
        <f t="shared" si="347"/>
        <v>0</v>
      </c>
    </row>
    <row r="5527" spans="5:23" x14ac:dyDescent="0.25">
      <c r="E5527" s="4"/>
      <c r="F5527" s="4"/>
      <c r="G5527" s="33" t="str">
        <f>IFERROR(VLOOKUP($D5527,'Informations sur les produits'!$A$3:$H$10000,8,FALSE),"0")</f>
        <v>0</v>
      </c>
      <c r="K5527" s="4"/>
      <c r="L5527" s="33" t="str">
        <f>IFERROR(VLOOKUP($J5527,'Informations sur les produits'!$A$3:$H$10000,8,FALSE),"0")</f>
        <v>0</v>
      </c>
      <c r="N5527" s="8"/>
      <c r="O5527" s="33" t="str">
        <f>IFERROR(VLOOKUP($M5527,'Informations sur les produits'!$A$3:$H$10000,8,FALSE),"0")</f>
        <v>0</v>
      </c>
      <c r="P5527" s="33">
        <f t="shared" si="344"/>
        <v>0</v>
      </c>
      <c r="Q5527" s="31" t="str">
        <f t="shared" si="345"/>
        <v/>
      </c>
      <c r="R5527" s="32" t="str">
        <f>IFERROR(VLOOKUP($D5527,'Informations sur les produits'!$A$3:$B$15000,2,FALSE),"")</f>
        <v/>
      </c>
      <c r="V5527">
        <f t="shared" si="346"/>
        <v>0</v>
      </c>
      <c r="W5527">
        <f t="shared" si="347"/>
        <v>0</v>
      </c>
    </row>
    <row r="5528" spans="5:23" x14ac:dyDescent="0.25">
      <c r="E5528" s="4"/>
      <c r="F5528" s="4"/>
      <c r="G5528" s="33" t="str">
        <f>IFERROR(VLOOKUP($D5528,'Informations sur les produits'!$A$3:$H$10000,8,FALSE),"0")</f>
        <v>0</v>
      </c>
      <c r="K5528" s="4"/>
      <c r="L5528" s="33" t="str">
        <f>IFERROR(VLOOKUP($J5528,'Informations sur les produits'!$A$3:$H$10000,8,FALSE),"0")</f>
        <v>0</v>
      </c>
      <c r="N5528" s="8"/>
      <c r="O5528" s="33" t="str">
        <f>IFERROR(VLOOKUP($M5528,'Informations sur les produits'!$A$3:$H$10000,8,FALSE),"0")</f>
        <v>0</v>
      </c>
      <c r="P5528" s="33">
        <f t="shared" si="344"/>
        <v>0</v>
      </c>
      <c r="Q5528" s="31" t="str">
        <f t="shared" si="345"/>
        <v/>
      </c>
      <c r="R5528" s="32" t="str">
        <f>IFERROR(VLOOKUP($D5528,'Informations sur les produits'!$A$3:$B$15000,2,FALSE),"")</f>
        <v/>
      </c>
      <c r="V5528">
        <f t="shared" si="346"/>
        <v>0</v>
      </c>
      <c r="W5528">
        <f t="shared" si="347"/>
        <v>0</v>
      </c>
    </row>
    <row r="5529" spans="5:23" x14ac:dyDescent="0.25">
      <c r="E5529" s="4"/>
      <c r="F5529" s="4"/>
      <c r="G5529" s="33" t="str">
        <f>IFERROR(VLOOKUP($D5529,'Informations sur les produits'!$A$3:$H$10000,8,FALSE),"0")</f>
        <v>0</v>
      </c>
      <c r="K5529" s="4"/>
      <c r="L5529" s="33" t="str">
        <f>IFERROR(VLOOKUP($J5529,'Informations sur les produits'!$A$3:$H$10000,8,FALSE),"0")</f>
        <v>0</v>
      </c>
      <c r="N5529" s="8"/>
      <c r="O5529" s="33" t="str">
        <f>IFERROR(VLOOKUP($M5529,'Informations sur les produits'!$A$3:$H$10000,8,FALSE),"0")</f>
        <v>0</v>
      </c>
      <c r="P5529" s="33">
        <f t="shared" si="344"/>
        <v>0</v>
      </c>
      <c r="Q5529" s="31" t="str">
        <f t="shared" si="345"/>
        <v/>
      </c>
      <c r="R5529" s="32" t="str">
        <f>IFERROR(VLOOKUP($D5529,'Informations sur les produits'!$A$3:$B$15000,2,FALSE),"")</f>
        <v/>
      </c>
      <c r="V5529">
        <f t="shared" si="346"/>
        <v>0</v>
      </c>
      <c r="W5529">
        <f t="shared" si="347"/>
        <v>0</v>
      </c>
    </row>
    <row r="5530" spans="5:23" x14ac:dyDescent="0.25">
      <c r="E5530" s="4"/>
      <c r="F5530" s="4"/>
      <c r="G5530" s="33" t="str">
        <f>IFERROR(VLOOKUP($D5530,'Informations sur les produits'!$A$3:$H$10000,8,FALSE),"0")</f>
        <v>0</v>
      </c>
      <c r="K5530" s="4"/>
      <c r="L5530" s="33" t="str">
        <f>IFERROR(VLOOKUP($J5530,'Informations sur les produits'!$A$3:$H$10000,8,FALSE),"0")</f>
        <v>0</v>
      </c>
      <c r="N5530" s="8"/>
      <c r="O5530" s="33" t="str">
        <f>IFERROR(VLOOKUP($M5530,'Informations sur les produits'!$A$3:$H$10000,8,FALSE),"0")</f>
        <v>0</v>
      </c>
      <c r="P5530" s="33">
        <f t="shared" si="344"/>
        <v>0</v>
      </c>
      <c r="Q5530" s="31" t="str">
        <f t="shared" si="345"/>
        <v/>
      </c>
      <c r="R5530" s="32" t="str">
        <f>IFERROR(VLOOKUP($D5530,'Informations sur les produits'!$A$3:$B$15000,2,FALSE),"")</f>
        <v/>
      </c>
      <c r="V5530">
        <f t="shared" si="346"/>
        <v>0</v>
      </c>
      <c r="W5530">
        <f t="shared" si="347"/>
        <v>0</v>
      </c>
    </row>
    <row r="5531" spans="5:23" x14ac:dyDescent="0.25">
      <c r="E5531" s="4"/>
      <c r="F5531" s="4"/>
      <c r="G5531" s="33" t="str">
        <f>IFERROR(VLOOKUP($D5531,'Informations sur les produits'!$A$3:$H$10000,8,FALSE),"0")</f>
        <v>0</v>
      </c>
      <c r="K5531" s="4"/>
      <c r="L5531" s="33" t="str">
        <f>IFERROR(VLOOKUP($J5531,'Informations sur les produits'!$A$3:$H$10000,8,FALSE),"0")</f>
        <v>0</v>
      </c>
      <c r="N5531" s="8"/>
      <c r="O5531" s="33" t="str">
        <f>IFERROR(VLOOKUP($M5531,'Informations sur les produits'!$A$3:$H$10000,8,FALSE),"0")</f>
        <v>0</v>
      </c>
      <c r="P5531" s="33">
        <f t="shared" si="344"/>
        <v>0</v>
      </c>
      <c r="Q5531" s="31" t="str">
        <f t="shared" si="345"/>
        <v/>
      </c>
      <c r="R5531" s="32" t="str">
        <f>IFERROR(VLOOKUP($D5531,'Informations sur les produits'!$A$3:$B$15000,2,FALSE),"")</f>
        <v/>
      </c>
      <c r="V5531">
        <f t="shared" si="346"/>
        <v>0</v>
      </c>
      <c r="W5531">
        <f t="shared" si="347"/>
        <v>0</v>
      </c>
    </row>
    <row r="5532" spans="5:23" x14ac:dyDescent="0.25">
      <c r="E5532" s="4"/>
      <c r="F5532" s="4"/>
      <c r="G5532" s="33" t="str">
        <f>IFERROR(VLOOKUP($D5532,'Informations sur les produits'!$A$3:$H$10000,8,FALSE),"0")</f>
        <v>0</v>
      </c>
      <c r="K5532" s="4"/>
      <c r="L5532" s="33" t="str">
        <f>IFERROR(VLOOKUP($J5532,'Informations sur les produits'!$A$3:$H$10000,8,FALSE),"0")</f>
        <v>0</v>
      </c>
      <c r="N5532" s="8"/>
      <c r="O5532" s="33" t="str">
        <f>IFERROR(VLOOKUP($M5532,'Informations sur les produits'!$A$3:$H$10000,8,FALSE),"0")</f>
        <v>0</v>
      </c>
      <c r="P5532" s="33">
        <f t="shared" si="344"/>
        <v>0</v>
      </c>
      <c r="Q5532" s="31" t="str">
        <f t="shared" si="345"/>
        <v/>
      </c>
      <c r="R5532" s="32" t="str">
        <f>IFERROR(VLOOKUP($D5532,'Informations sur les produits'!$A$3:$B$15000,2,FALSE),"")</f>
        <v/>
      </c>
      <c r="V5532">
        <f t="shared" si="346"/>
        <v>0</v>
      </c>
      <c r="W5532">
        <f t="shared" si="347"/>
        <v>0</v>
      </c>
    </row>
    <row r="5533" spans="5:23" x14ac:dyDescent="0.25">
      <c r="E5533" s="4"/>
      <c r="F5533" s="4"/>
      <c r="G5533" s="33" t="str">
        <f>IFERROR(VLOOKUP($D5533,'Informations sur les produits'!$A$3:$H$10000,8,FALSE),"0")</f>
        <v>0</v>
      </c>
      <c r="K5533" s="4"/>
      <c r="L5533" s="33" t="str">
        <f>IFERROR(VLOOKUP($J5533,'Informations sur les produits'!$A$3:$H$10000,8,FALSE),"0")</f>
        <v>0</v>
      </c>
      <c r="N5533" s="8"/>
      <c r="O5533" s="33" t="str">
        <f>IFERROR(VLOOKUP($M5533,'Informations sur les produits'!$A$3:$H$10000,8,FALSE),"0")</f>
        <v>0</v>
      </c>
      <c r="P5533" s="33">
        <f t="shared" si="344"/>
        <v>0</v>
      </c>
      <c r="Q5533" s="31" t="str">
        <f t="shared" si="345"/>
        <v/>
      </c>
      <c r="R5533" s="32" t="str">
        <f>IFERROR(VLOOKUP($D5533,'Informations sur les produits'!$A$3:$B$15000,2,FALSE),"")</f>
        <v/>
      </c>
      <c r="V5533">
        <f t="shared" si="346"/>
        <v>0</v>
      </c>
      <c r="W5533">
        <f t="shared" si="347"/>
        <v>0</v>
      </c>
    </row>
    <row r="5534" spans="5:23" x14ac:dyDescent="0.25">
      <c r="E5534" s="4"/>
      <c r="F5534" s="4"/>
      <c r="G5534" s="33" t="str">
        <f>IFERROR(VLOOKUP($D5534,'Informations sur les produits'!$A$3:$H$10000,8,FALSE),"0")</f>
        <v>0</v>
      </c>
      <c r="K5534" s="4"/>
      <c r="L5534" s="33" t="str">
        <f>IFERROR(VLOOKUP($J5534,'Informations sur les produits'!$A$3:$H$10000,8,FALSE),"0")</f>
        <v>0</v>
      </c>
      <c r="N5534" s="8"/>
      <c r="O5534" s="33" t="str">
        <f>IFERROR(VLOOKUP($M5534,'Informations sur les produits'!$A$3:$H$10000,8,FALSE),"0")</f>
        <v>0</v>
      </c>
      <c r="P5534" s="33">
        <f t="shared" si="344"/>
        <v>0</v>
      </c>
      <c r="Q5534" s="31" t="str">
        <f t="shared" si="345"/>
        <v/>
      </c>
      <c r="R5534" s="32" t="str">
        <f>IFERROR(VLOOKUP($D5534,'Informations sur les produits'!$A$3:$B$15000,2,FALSE),"")</f>
        <v/>
      </c>
      <c r="V5534">
        <f t="shared" si="346"/>
        <v>0</v>
      </c>
      <c r="W5534">
        <f t="shared" si="347"/>
        <v>0</v>
      </c>
    </row>
    <row r="5535" spans="5:23" x14ac:dyDescent="0.25">
      <c r="E5535" s="4"/>
      <c r="F5535" s="4"/>
      <c r="G5535" s="33" t="str">
        <f>IFERROR(VLOOKUP($D5535,'Informations sur les produits'!$A$3:$H$10000,8,FALSE),"0")</f>
        <v>0</v>
      </c>
      <c r="K5535" s="4"/>
      <c r="L5535" s="33" t="str">
        <f>IFERROR(VLOOKUP($J5535,'Informations sur les produits'!$A$3:$H$10000,8,FALSE),"0")</f>
        <v>0</v>
      </c>
      <c r="N5535" s="8"/>
      <c r="O5535" s="33" t="str">
        <f>IFERROR(VLOOKUP($M5535,'Informations sur les produits'!$A$3:$H$10000,8,FALSE),"0")</f>
        <v>0</v>
      </c>
      <c r="P5535" s="33">
        <f t="shared" si="344"/>
        <v>0</v>
      </c>
      <c r="Q5535" s="31" t="str">
        <f t="shared" si="345"/>
        <v/>
      </c>
      <c r="R5535" s="32" t="str">
        <f>IFERROR(VLOOKUP($D5535,'Informations sur les produits'!$A$3:$B$15000,2,FALSE),"")</f>
        <v/>
      </c>
      <c r="V5535">
        <f t="shared" si="346"/>
        <v>0</v>
      </c>
      <c r="W5535">
        <f t="shared" si="347"/>
        <v>0</v>
      </c>
    </row>
    <row r="5536" spans="5:23" x14ac:dyDescent="0.25">
      <c r="E5536" s="4"/>
      <c r="F5536" s="4"/>
      <c r="G5536" s="33" t="str">
        <f>IFERROR(VLOOKUP($D5536,'Informations sur les produits'!$A$3:$H$10000,8,FALSE),"0")</f>
        <v>0</v>
      </c>
      <c r="K5536" s="4"/>
      <c r="L5536" s="33" t="str">
        <f>IFERROR(VLOOKUP($J5536,'Informations sur les produits'!$A$3:$H$10000,8,FALSE),"0")</f>
        <v>0</v>
      </c>
      <c r="N5536" s="8"/>
      <c r="O5536" s="33" t="str">
        <f>IFERROR(VLOOKUP($M5536,'Informations sur les produits'!$A$3:$H$10000,8,FALSE),"0")</f>
        <v>0</v>
      </c>
      <c r="P5536" s="33">
        <f t="shared" si="344"/>
        <v>0</v>
      </c>
      <c r="Q5536" s="31" t="str">
        <f t="shared" si="345"/>
        <v/>
      </c>
      <c r="R5536" s="32" t="str">
        <f>IFERROR(VLOOKUP($D5536,'Informations sur les produits'!$A$3:$B$15000,2,FALSE),"")</f>
        <v/>
      </c>
      <c r="V5536">
        <f t="shared" si="346"/>
        <v>0</v>
      </c>
      <c r="W5536">
        <f t="shared" si="347"/>
        <v>0</v>
      </c>
    </row>
    <row r="5537" spans="5:23" x14ac:dyDescent="0.25">
      <c r="E5537" s="4"/>
      <c r="F5537" s="4"/>
      <c r="G5537" s="33" t="str">
        <f>IFERROR(VLOOKUP($D5537,'Informations sur les produits'!$A$3:$H$10000,8,FALSE),"0")</f>
        <v>0</v>
      </c>
      <c r="K5537" s="4"/>
      <c r="L5537" s="33" t="str">
        <f>IFERROR(VLOOKUP($J5537,'Informations sur les produits'!$A$3:$H$10000,8,FALSE),"0")</f>
        <v>0</v>
      </c>
      <c r="N5537" s="8"/>
      <c r="O5537" s="33" t="str">
        <f>IFERROR(VLOOKUP($M5537,'Informations sur les produits'!$A$3:$H$10000,8,FALSE),"0")</f>
        <v>0</v>
      </c>
      <c r="P5537" s="33">
        <f t="shared" si="344"/>
        <v>0</v>
      </c>
      <c r="Q5537" s="31" t="str">
        <f t="shared" si="345"/>
        <v/>
      </c>
      <c r="R5537" s="32" t="str">
        <f>IFERROR(VLOOKUP($D5537,'Informations sur les produits'!$A$3:$B$15000,2,FALSE),"")</f>
        <v/>
      </c>
      <c r="V5537">
        <f t="shared" si="346"/>
        <v>0</v>
      </c>
      <c r="W5537">
        <f t="shared" si="347"/>
        <v>0</v>
      </c>
    </row>
    <row r="5538" spans="5:23" x14ac:dyDescent="0.25">
      <c r="E5538" s="4"/>
      <c r="F5538" s="4"/>
      <c r="G5538" s="33" t="str">
        <f>IFERROR(VLOOKUP($D5538,'Informations sur les produits'!$A$3:$H$10000,8,FALSE),"0")</f>
        <v>0</v>
      </c>
      <c r="K5538" s="4"/>
      <c r="L5538" s="33" t="str">
        <f>IFERROR(VLOOKUP($J5538,'Informations sur les produits'!$A$3:$H$10000,8,FALSE),"0")</f>
        <v>0</v>
      </c>
      <c r="N5538" s="8"/>
      <c r="O5538" s="33" t="str">
        <f>IFERROR(VLOOKUP($M5538,'Informations sur les produits'!$A$3:$H$10000,8,FALSE),"0")</f>
        <v>0</v>
      </c>
      <c r="P5538" s="33">
        <f t="shared" si="344"/>
        <v>0</v>
      </c>
      <c r="Q5538" s="31" t="str">
        <f t="shared" si="345"/>
        <v/>
      </c>
      <c r="R5538" s="32" t="str">
        <f>IFERROR(VLOOKUP($D5538,'Informations sur les produits'!$A$3:$B$15000,2,FALSE),"")</f>
        <v/>
      </c>
      <c r="V5538">
        <f t="shared" si="346"/>
        <v>0</v>
      </c>
      <c r="W5538">
        <f t="shared" si="347"/>
        <v>0</v>
      </c>
    </row>
    <row r="5539" spans="5:23" x14ac:dyDescent="0.25">
      <c r="E5539" s="4"/>
      <c r="F5539" s="4"/>
      <c r="G5539" s="33" t="str">
        <f>IFERROR(VLOOKUP($D5539,'Informations sur les produits'!$A$3:$H$10000,8,FALSE),"0")</f>
        <v>0</v>
      </c>
      <c r="K5539" s="4"/>
      <c r="L5539" s="33" t="str">
        <f>IFERROR(VLOOKUP($J5539,'Informations sur les produits'!$A$3:$H$10000,8,FALSE),"0")</f>
        <v>0</v>
      </c>
      <c r="N5539" s="8"/>
      <c r="O5539" s="33" t="str">
        <f>IFERROR(VLOOKUP($M5539,'Informations sur les produits'!$A$3:$H$10000,8,FALSE),"0")</f>
        <v>0</v>
      </c>
      <c r="P5539" s="33">
        <f t="shared" si="344"/>
        <v>0</v>
      </c>
      <c r="Q5539" s="31" t="str">
        <f t="shared" si="345"/>
        <v/>
      </c>
      <c r="R5539" s="32" t="str">
        <f>IFERROR(VLOOKUP($D5539,'Informations sur les produits'!$A$3:$B$15000,2,FALSE),"")</f>
        <v/>
      </c>
      <c r="V5539">
        <f t="shared" si="346"/>
        <v>0</v>
      </c>
      <c r="W5539">
        <f t="shared" si="347"/>
        <v>0</v>
      </c>
    </row>
    <row r="5540" spans="5:23" x14ac:dyDescent="0.25">
      <c r="E5540" s="4"/>
      <c r="F5540" s="4"/>
      <c r="G5540" s="33" t="str">
        <f>IFERROR(VLOOKUP($D5540,'Informations sur les produits'!$A$3:$H$10000,8,FALSE),"0")</f>
        <v>0</v>
      </c>
      <c r="K5540" s="4"/>
      <c r="L5540" s="33" t="str">
        <f>IFERROR(VLOOKUP($J5540,'Informations sur les produits'!$A$3:$H$10000,8,FALSE),"0")</f>
        <v>0</v>
      </c>
      <c r="N5540" s="8"/>
      <c r="O5540" s="33" t="str">
        <f>IFERROR(VLOOKUP($M5540,'Informations sur les produits'!$A$3:$H$10000,8,FALSE),"0")</f>
        <v>0</v>
      </c>
      <c r="P5540" s="33">
        <f t="shared" si="344"/>
        <v>0</v>
      </c>
      <c r="Q5540" s="31" t="str">
        <f t="shared" si="345"/>
        <v/>
      </c>
      <c r="R5540" s="32" t="str">
        <f>IFERROR(VLOOKUP($D5540,'Informations sur les produits'!$A$3:$B$15000,2,FALSE),"")</f>
        <v/>
      </c>
      <c r="V5540">
        <f t="shared" si="346"/>
        <v>0</v>
      </c>
      <c r="W5540">
        <f t="shared" si="347"/>
        <v>0</v>
      </c>
    </row>
    <row r="5541" spans="5:23" x14ac:dyDescent="0.25">
      <c r="E5541" s="4"/>
      <c r="F5541" s="4"/>
      <c r="G5541" s="33" t="str">
        <f>IFERROR(VLOOKUP($D5541,'Informations sur les produits'!$A$3:$H$10000,8,FALSE),"0")</f>
        <v>0</v>
      </c>
      <c r="K5541" s="4"/>
      <c r="L5541" s="33" t="str">
        <f>IFERROR(VLOOKUP($J5541,'Informations sur les produits'!$A$3:$H$10000,8,FALSE),"0")</f>
        <v>0</v>
      </c>
      <c r="N5541" s="8"/>
      <c r="O5541" s="33" t="str">
        <f>IFERROR(VLOOKUP($M5541,'Informations sur les produits'!$A$3:$H$10000,8,FALSE),"0")</f>
        <v>0</v>
      </c>
      <c r="P5541" s="33">
        <f t="shared" si="344"/>
        <v>0</v>
      </c>
      <c r="Q5541" s="31" t="str">
        <f t="shared" si="345"/>
        <v/>
      </c>
      <c r="R5541" s="32" t="str">
        <f>IFERROR(VLOOKUP($D5541,'Informations sur les produits'!$A$3:$B$15000,2,FALSE),"")</f>
        <v/>
      </c>
      <c r="V5541">
        <f t="shared" si="346"/>
        <v>0</v>
      </c>
      <c r="W5541">
        <f t="shared" si="347"/>
        <v>0</v>
      </c>
    </row>
    <row r="5542" spans="5:23" x14ac:dyDescent="0.25">
      <c r="E5542" s="4"/>
      <c r="F5542" s="4"/>
      <c r="G5542" s="33" t="str">
        <f>IFERROR(VLOOKUP($D5542,'Informations sur les produits'!$A$3:$H$10000,8,FALSE),"0")</f>
        <v>0</v>
      </c>
      <c r="K5542" s="4"/>
      <c r="L5542" s="33" t="str">
        <f>IFERROR(VLOOKUP($J5542,'Informations sur les produits'!$A$3:$H$10000,8,FALSE),"0")</f>
        <v>0</v>
      </c>
      <c r="N5542" s="8"/>
      <c r="O5542" s="33" t="str">
        <f>IFERROR(VLOOKUP($M5542,'Informations sur les produits'!$A$3:$H$10000,8,FALSE),"0")</f>
        <v>0</v>
      </c>
      <c r="P5542" s="33">
        <f t="shared" si="344"/>
        <v>0</v>
      </c>
      <c r="Q5542" s="31" t="str">
        <f t="shared" si="345"/>
        <v/>
      </c>
      <c r="R5542" s="32" t="str">
        <f>IFERROR(VLOOKUP($D5542,'Informations sur les produits'!$A$3:$B$15000,2,FALSE),"")</f>
        <v/>
      </c>
      <c r="V5542">
        <f t="shared" si="346"/>
        <v>0</v>
      </c>
      <c r="W5542">
        <f t="shared" si="347"/>
        <v>0</v>
      </c>
    </row>
    <row r="5543" spans="5:23" x14ac:dyDescent="0.25">
      <c r="E5543" s="4"/>
      <c r="F5543" s="4"/>
      <c r="G5543" s="33" t="str">
        <f>IFERROR(VLOOKUP($D5543,'Informations sur les produits'!$A$3:$H$10000,8,FALSE),"0")</f>
        <v>0</v>
      </c>
      <c r="K5543" s="4"/>
      <c r="L5543" s="33" t="str">
        <f>IFERROR(VLOOKUP($J5543,'Informations sur les produits'!$A$3:$H$10000,8,FALSE),"0")</f>
        <v>0</v>
      </c>
      <c r="N5543" s="8"/>
      <c r="O5543" s="33" t="str">
        <f>IFERROR(VLOOKUP($M5543,'Informations sur les produits'!$A$3:$H$10000,8,FALSE),"0")</f>
        <v>0</v>
      </c>
      <c r="P5543" s="33">
        <f t="shared" si="344"/>
        <v>0</v>
      </c>
      <c r="Q5543" s="31" t="str">
        <f t="shared" si="345"/>
        <v/>
      </c>
      <c r="R5543" s="32" t="str">
        <f>IFERROR(VLOOKUP($D5543,'Informations sur les produits'!$A$3:$B$15000,2,FALSE),"")</f>
        <v/>
      </c>
      <c r="V5543">
        <f t="shared" si="346"/>
        <v>0</v>
      </c>
      <c r="W5543">
        <f t="shared" si="347"/>
        <v>0</v>
      </c>
    </row>
    <row r="5544" spans="5:23" x14ac:dyDescent="0.25">
      <c r="E5544" s="4"/>
      <c r="F5544" s="4"/>
      <c r="G5544" s="33" t="str">
        <f>IFERROR(VLOOKUP($D5544,'Informations sur les produits'!$A$3:$H$10000,8,FALSE),"0")</f>
        <v>0</v>
      </c>
      <c r="K5544" s="4"/>
      <c r="L5544" s="33" t="str">
        <f>IFERROR(VLOOKUP($J5544,'Informations sur les produits'!$A$3:$H$10000,8,FALSE),"0")</f>
        <v>0</v>
      </c>
      <c r="N5544" s="8"/>
      <c r="O5544" s="33" t="str">
        <f>IFERROR(VLOOKUP($M5544,'Informations sur les produits'!$A$3:$H$10000,8,FALSE),"0")</f>
        <v>0</v>
      </c>
      <c r="P5544" s="33">
        <f t="shared" si="344"/>
        <v>0</v>
      </c>
      <c r="Q5544" s="31" t="str">
        <f t="shared" si="345"/>
        <v/>
      </c>
      <c r="R5544" s="32" t="str">
        <f>IFERROR(VLOOKUP($D5544,'Informations sur les produits'!$A$3:$B$15000,2,FALSE),"")</f>
        <v/>
      </c>
      <c r="V5544">
        <f t="shared" si="346"/>
        <v>0</v>
      </c>
      <c r="W5544">
        <f t="shared" si="347"/>
        <v>0</v>
      </c>
    </row>
    <row r="5545" spans="5:23" x14ac:dyDescent="0.25">
      <c r="E5545" s="4"/>
      <c r="F5545" s="4"/>
      <c r="G5545" s="33" t="str">
        <f>IFERROR(VLOOKUP($D5545,'Informations sur les produits'!$A$3:$H$10000,8,FALSE),"0")</f>
        <v>0</v>
      </c>
      <c r="K5545" s="4"/>
      <c r="L5545" s="33" t="str">
        <f>IFERROR(VLOOKUP($J5545,'Informations sur les produits'!$A$3:$H$10000,8,FALSE),"0")</f>
        <v>0</v>
      </c>
      <c r="N5545" s="8"/>
      <c r="O5545" s="33" t="str">
        <f>IFERROR(VLOOKUP($M5545,'Informations sur les produits'!$A$3:$H$10000,8,FALSE),"0")</f>
        <v>0</v>
      </c>
      <c r="P5545" s="33">
        <f t="shared" si="344"/>
        <v>0</v>
      </c>
      <c r="Q5545" s="31" t="str">
        <f t="shared" si="345"/>
        <v/>
      </c>
      <c r="R5545" s="32" t="str">
        <f>IFERROR(VLOOKUP($D5545,'Informations sur les produits'!$A$3:$B$15000,2,FALSE),"")</f>
        <v/>
      </c>
      <c r="V5545">
        <f t="shared" si="346"/>
        <v>0</v>
      </c>
      <c r="W5545">
        <f t="shared" si="347"/>
        <v>0</v>
      </c>
    </row>
    <row r="5546" spans="5:23" x14ac:dyDescent="0.25">
      <c r="E5546" s="4"/>
      <c r="F5546" s="4"/>
      <c r="G5546" s="33" t="str">
        <f>IFERROR(VLOOKUP($D5546,'Informations sur les produits'!$A$3:$H$10000,8,FALSE),"0")</f>
        <v>0</v>
      </c>
      <c r="K5546" s="4"/>
      <c r="L5546" s="33" t="str">
        <f>IFERROR(VLOOKUP($J5546,'Informations sur les produits'!$A$3:$H$10000,8,FALSE),"0")</f>
        <v>0</v>
      </c>
      <c r="N5546" s="8"/>
      <c r="O5546" s="33" t="str">
        <f>IFERROR(VLOOKUP($M5546,'Informations sur les produits'!$A$3:$H$10000,8,FALSE),"0")</f>
        <v>0</v>
      </c>
      <c r="P5546" s="33">
        <f t="shared" si="344"/>
        <v>0</v>
      </c>
      <c r="Q5546" s="31" t="str">
        <f t="shared" si="345"/>
        <v/>
      </c>
      <c r="R5546" s="32" t="str">
        <f>IFERROR(VLOOKUP($D5546,'Informations sur les produits'!$A$3:$B$15000,2,FALSE),"")</f>
        <v/>
      </c>
      <c r="V5546">
        <f t="shared" si="346"/>
        <v>0</v>
      </c>
      <c r="W5546">
        <f t="shared" si="347"/>
        <v>0</v>
      </c>
    </row>
    <row r="5547" spans="5:23" x14ac:dyDescent="0.25">
      <c r="E5547" s="4"/>
      <c r="F5547" s="4"/>
      <c r="G5547" s="33" t="str">
        <f>IFERROR(VLOOKUP($D5547,'Informations sur les produits'!$A$3:$H$10000,8,FALSE),"0")</f>
        <v>0</v>
      </c>
      <c r="K5547" s="4"/>
      <c r="L5547" s="33" t="str">
        <f>IFERROR(VLOOKUP($J5547,'Informations sur les produits'!$A$3:$H$10000,8,FALSE),"0")</f>
        <v>0</v>
      </c>
      <c r="N5547" s="8"/>
      <c r="O5547" s="33" t="str">
        <f>IFERROR(VLOOKUP($M5547,'Informations sur les produits'!$A$3:$H$10000,8,FALSE),"0")</f>
        <v>0</v>
      </c>
      <c r="P5547" s="33">
        <f t="shared" si="344"/>
        <v>0</v>
      </c>
      <c r="Q5547" s="31" t="str">
        <f t="shared" si="345"/>
        <v/>
      </c>
      <c r="R5547" s="32" t="str">
        <f>IFERROR(VLOOKUP($D5547,'Informations sur les produits'!$A$3:$B$15000,2,FALSE),"")</f>
        <v/>
      </c>
      <c r="V5547">
        <f t="shared" si="346"/>
        <v>0</v>
      </c>
      <c r="W5547">
        <f t="shared" si="347"/>
        <v>0</v>
      </c>
    </row>
    <row r="5548" spans="5:23" x14ac:dyDescent="0.25">
      <c r="E5548" s="4"/>
      <c r="F5548" s="4"/>
      <c r="G5548" s="33" t="str">
        <f>IFERROR(VLOOKUP($D5548,'Informations sur les produits'!$A$3:$H$10000,8,FALSE),"0")</f>
        <v>0</v>
      </c>
      <c r="K5548" s="4"/>
      <c r="L5548" s="33" t="str">
        <f>IFERROR(VLOOKUP($J5548,'Informations sur les produits'!$A$3:$H$10000,8,FALSE),"0")</f>
        <v>0</v>
      </c>
      <c r="N5548" s="8"/>
      <c r="O5548" s="33" t="str">
        <f>IFERROR(VLOOKUP($M5548,'Informations sur les produits'!$A$3:$H$10000,8,FALSE),"0")</f>
        <v>0</v>
      </c>
      <c r="P5548" s="33">
        <f t="shared" si="344"/>
        <v>0</v>
      </c>
      <c r="Q5548" s="31" t="str">
        <f t="shared" si="345"/>
        <v/>
      </c>
      <c r="R5548" s="32" t="str">
        <f>IFERROR(VLOOKUP($D5548,'Informations sur les produits'!$A$3:$B$15000,2,FALSE),"")</f>
        <v/>
      </c>
      <c r="V5548">
        <f t="shared" si="346"/>
        <v>0</v>
      </c>
      <c r="W5548">
        <f t="shared" si="347"/>
        <v>0</v>
      </c>
    </row>
    <row r="5549" spans="5:23" x14ac:dyDescent="0.25">
      <c r="E5549" s="4"/>
      <c r="F5549" s="4"/>
      <c r="G5549" s="33" t="str">
        <f>IFERROR(VLOOKUP($D5549,'Informations sur les produits'!$A$3:$H$10000,8,FALSE),"0")</f>
        <v>0</v>
      </c>
      <c r="K5549" s="4"/>
      <c r="L5549" s="33" t="str">
        <f>IFERROR(VLOOKUP($J5549,'Informations sur les produits'!$A$3:$H$10000,8,FALSE),"0")</f>
        <v>0</v>
      </c>
      <c r="N5549" s="8"/>
      <c r="O5549" s="33" t="str">
        <f>IFERROR(VLOOKUP($M5549,'Informations sur les produits'!$A$3:$H$10000,8,FALSE),"0")</f>
        <v>0</v>
      </c>
      <c r="P5549" s="33">
        <f t="shared" si="344"/>
        <v>0</v>
      </c>
      <c r="Q5549" s="31" t="str">
        <f t="shared" si="345"/>
        <v/>
      </c>
      <c r="R5549" s="32" t="str">
        <f>IFERROR(VLOOKUP($D5549,'Informations sur les produits'!$A$3:$B$15000,2,FALSE),"")</f>
        <v/>
      </c>
      <c r="V5549">
        <f t="shared" si="346"/>
        <v>0</v>
      </c>
      <c r="W5549">
        <f t="shared" si="347"/>
        <v>0</v>
      </c>
    </row>
    <row r="5550" spans="5:23" x14ac:dyDescent="0.25">
      <c r="E5550" s="4"/>
      <c r="F5550" s="4"/>
      <c r="G5550" s="33" t="str">
        <f>IFERROR(VLOOKUP($D5550,'Informations sur les produits'!$A$3:$H$10000,8,FALSE),"0")</f>
        <v>0</v>
      </c>
      <c r="K5550" s="4"/>
      <c r="L5550" s="33" t="str">
        <f>IFERROR(VLOOKUP($J5550,'Informations sur les produits'!$A$3:$H$10000,8,FALSE),"0")</f>
        <v>0</v>
      </c>
      <c r="N5550" s="8"/>
      <c r="O5550" s="33" t="str">
        <f>IFERROR(VLOOKUP($M5550,'Informations sur les produits'!$A$3:$H$10000,8,FALSE),"0")</f>
        <v>0</v>
      </c>
      <c r="P5550" s="33">
        <f t="shared" si="344"/>
        <v>0</v>
      </c>
      <c r="Q5550" s="31" t="str">
        <f t="shared" si="345"/>
        <v/>
      </c>
      <c r="R5550" s="32" t="str">
        <f>IFERROR(VLOOKUP($D5550,'Informations sur les produits'!$A$3:$B$15000,2,FALSE),"")</f>
        <v/>
      </c>
      <c r="V5550">
        <f t="shared" si="346"/>
        <v>0</v>
      </c>
      <c r="W5550">
        <f t="shared" si="347"/>
        <v>0</v>
      </c>
    </row>
    <row r="5551" spans="5:23" x14ac:dyDescent="0.25">
      <c r="E5551" s="4"/>
      <c r="F5551" s="4"/>
      <c r="G5551" s="33" t="str">
        <f>IFERROR(VLOOKUP($D5551,'Informations sur les produits'!$A$3:$H$10000,8,FALSE),"0")</f>
        <v>0</v>
      </c>
      <c r="K5551" s="4"/>
      <c r="L5551" s="33" t="str">
        <f>IFERROR(VLOOKUP($J5551,'Informations sur les produits'!$A$3:$H$10000,8,FALSE),"0")</f>
        <v>0</v>
      </c>
      <c r="N5551" s="8"/>
      <c r="O5551" s="33" t="str">
        <f>IFERROR(VLOOKUP($M5551,'Informations sur les produits'!$A$3:$H$10000,8,FALSE),"0")</f>
        <v>0</v>
      </c>
      <c r="P5551" s="33">
        <f t="shared" si="344"/>
        <v>0</v>
      </c>
      <c r="Q5551" s="31" t="str">
        <f t="shared" si="345"/>
        <v/>
      </c>
      <c r="R5551" s="32" t="str">
        <f>IFERROR(VLOOKUP($D5551,'Informations sur les produits'!$A$3:$B$15000,2,FALSE),"")</f>
        <v/>
      </c>
      <c r="V5551">
        <f t="shared" si="346"/>
        <v>0</v>
      </c>
      <c r="W5551">
        <f t="shared" si="347"/>
        <v>0</v>
      </c>
    </row>
    <row r="5552" spans="5:23" x14ac:dyDescent="0.25">
      <c r="E5552" s="4"/>
      <c r="F5552" s="4"/>
      <c r="G5552" s="33" t="str">
        <f>IFERROR(VLOOKUP($D5552,'Informations sur les produits'!$A$3:$H$10000,8,FALSE),"0")</f>
        <v>0</v>
      </c>
      <c r="K5552" s="4"/>
      <c r="L5552" s="33" t="str">
        <f>IFERROR(VLOOKUP($J5552,'Informations sur les produits'!$A$3:$H$10000,8,FALSE),"0")</f>
        <v>0</v>
      </c>
      <c r="N5552" s="8"/>
      <c r="O5552" s="33" t="str">
        <f>IFERROR(VLOOKUP($M5552,'Informations sur les produits'!$A$3:$H$10000,8,FALSE),"0")</f>
        <v>0</v>
      </c>
      <c r="P5552" s="33">
        <f t="shared" si="344"/>
        <v>0</v>
      </c>
      <c r="Q5552" s="31" t="str">
        <f t="shared" si="345"/>
        <v/>
      </c>
      <c r="R5552" s="32" t="str">
        <f>IFERROR(VLOOKUP($D5552,'Informations sur les produits'!$A$3:$B$15000,2,FALSE),"")</f>
        <v/>
      </c>
      <c r="V5552">
        <f t="shared" si="346"/>
        <v>0</v>
      </c>
      <c r="W5552">
        <f t="shared" si="347"/>
        <v>0</v>
      </c>
    </row>
    <row r="5553" spans="5:23" x14ac:dyDescent="0.25">
      <c r="E5553" s="4"/>
      <c r="F5553" s="4"/>
      <c r="G5553" s="33" t="str">
        <f>IFERROR(VLOOKUP($D5553,'Informations sur les produits'!$A$3:$H$10000,8,FALSE),"0")</f>
        <v>0</v>
      </c>
      <c r="K5553" s="4"/>
      <c r="L5553" s="33" t="str">
        <f>IFERROR(VLOOKUP($J5553,'Informations sur les produits'!$A$3:$H$10000,8,FALSE),"0")</f>
        <v>0</v>
      </c>
      <c r="N5553" s="8"/>
      <c r="O5553" s="33" t="str">
        <f>IFERROR(VLOOKUP($M5553,'Informations sur les produits'!$A$3:$H$10000,8,FALSE),"0")</f>
        <v>0</v>
      </c>
      <c r="P5553" s="33">
        <f t="shared" si="344"/>
        <v>0</v>
      </c>
      <c r="Q5553" s="31" t="str">
        <f t="shared" si="345"/>
        <v/>
      </c>
      <c r="R5553" s="32" t="str">
        <f>IFERROR(VLOOKUP($D5553,'Informations sur les produits'!$A$3:$B$15000,2,FALSE),"")</f>
        <v/>
      </c>
      <c r="V5553">
        <f t="shared" si="346"/>
        <v>0</v>
      </c>
      <c r="W5553">
        <f t="shared" si="347"/>
        <v>0</v>
      </c>
    </row>
    <row r="5554" spans="5:23" x14ac:dyDescent="0.25">
      <c r="E5554" s="4"/>
      <c r="F5554" s="4"/>
      <c r="G5554" s="33" t="str">
        <f>IFERROR(VLOOKUP($D5554,'Informations sur les produits'!$A$3:$H$10000,8,FALSE),"0")</f>
        <v>0</v>
      </c>
      <c r="K5554" s="4"/>
      <c r="L5554" s="33" t="str">
        <f>IFERROR(VLOOKUP($J5554,'Informations sur les produits'!$A$3:$H$10000,8,FALSE),"0")</f>
        <v>0</v>
      </c>
      <c r="N5554" s="8"/>
      <c r="O5554" s="33" t="str">
        <f>IFERROR(VLOOKUP($M5554,'Informations sur les produits'!$A$3:$H$10000,8,FALSE),"0")</f>
        <v>0</v>
      </c>
      <c r="P5554" s="33">
        <f t="shared" si="344"/>
        <v>0</v>
      </c>
      <c r="Q5554" s="31" t="str">
        <f t="shared" si="345"/>
        <v/>
      </c>
      <c r="R5554" s="32" t="str">
        <f>IFERROR(VLOOKUP($D5554,'Informations sur les produits'!$A$3:$B$15000,2,FALSE),"")</f>
        <v/>
      </c>
      <c r="V5554">
        <f t="shared" si="346"/>
        <v>0</v>
      </c>
      <c r="W5554">
        <f t="shared" si="347"/>
        <v>0</v>
      </c>
    </row>
    <row r="5555" spans="5:23" x14ac:dyDescent="0.25">
      <c r="E5555" s="4"/>
      <c r="F5555" s="4"/>
      <c r="G5555" s="33" t="str">
        <f>IFERROR(VLOOKUP($D5555,'Informations sur les produits'!$A$3:$H$10000,8,FALSE),"0")</f>
        <v>0</v>
      </c>
      <c r="K5555" s="4"/>
      <c r="L5555" s="33" t="str">
        <f>IFERROR(VLOOKUP($J5555,'Informations sur les produits'!$A$3:$H$10000,8,FALSE),"0")</f>
        <v>0</v>
      </c>
      <c r="N5555" s="8"/>
      <c r="O5555" s="33" t="str">
        <f>IFERROR(VLOOKUP($M5555,'Informations sur les produits'!$A$3:$H$10000,8,FALSE),"0")</f>
        <v>0</v>
      </c>
      <c r="P5555" s="33">
        <f t="shared" si="344"/>
        <v>0</v>
      </c>
      <c r="Q5555" s="31" t="str">
        <f t="shared" si="345"/>
        <v/>
      </c>
      <c r="R5555" s="32" t="str">
        <f>IFERROR(VLOOKUP($D5555,'Informations sur les produits'!$A$3:$B$15000,2,FALSE),"")</f>
        <v/>
      </c>
      <c r="V5555">
        <f t="shared" si="346"/>
        <v>0</v>
      </c>
      <c r="W5555">
        <f t="shared" si="347"/>
        <v>0</v>
      </c>
    </row>
    <row r="5556" spans="5:23" x14ac:dyDescent="0.25">
      <c r="E5556" s="4"/>
      <c r="F5556" s="4"/>
      <c r="G5556" s="33" t="str">
        <f>IFERROR(VLOOKUP($D5556,'Informations sur les produits'!$A$3:$H$10000,8,FALSE),"0")</f>
        <v>0</v>
      </c>
      <c r="K5556" s="4"/>
      <c r="L5556" s="33" t="str">
        <f>IFERROR(VLOOKUP($J5556,'Informations sur les produits'!$A$3:$H$10000,8,FALSE),"0")</f>
        <v>0</v>
      </c>
      <c r="N5556" s="8"/>
      <c r="O5556" s="33" t="str">
        <f>IFERROR(VLOOKUP($M5556,'Informations sur les produits'!$A$3:$H$10000,8,FALSE),"0")</f>
        <v>0</v>
      </c>
      <c r="P5556" s="33">
        <f t="shared" si="344"/>
        <v>0</v>
      </c>
      <c r="Q5556" s="31" t="str">
        <f t="shared" si="345"/>
        <v/>
      </c>
      <c r="R5556" s="32" t="str">
        <f>IFERROR(VLOOKUP($D5556,'Informations sur les produits'!$A$3:$B$15000,2,FALSE),"")</f>
        <v/>
      </c>
      <c r="V5556">
        <f t="shared" si="346"/>
        <v>0</v>
      </c>
      <c r="W5556">
        <f t="shared" si="347"/>
        <v>0</v>
      </c>
    </row>
    <row r="5557" spans="5:23" x14ac:dyDescent="0.25">
      <c r="E5557" s="4"/>
      <c r="F5557" s="4"/>
      <c r="G5557" s="33" t="str">
        <f>IFERROR(VLOOKUP($D5557,'Informations sur les produits'!$A$3:$H$10000,8,FALSE),"0")</f>
        <v>0</v>
      </c>
      <c r="K5557" s="4"/>
      <c r="L5557" s="33" t="str">
        <f>IFERROR(VLOOKUP($J5557,'Informations sur les produits'!$A$3:$H$10000,8,FALSE),"0")</f>
        <v>0</v>
      </c>
      <c r="N5557" s="8"/>
      <c r="O5557" s="33" t="str">
        <f>IFERROR(VLOOKUP($M5557,'Informations sur les produits'!$A$3:$H$10000,8,FALSE),"0")</f>
        <v>0</v>
      </c>
      <c r="P5557" s="33">
        <f t="shared" si="344"/>
        <v>0</v>
      </c>
      <c r="Q5557" s="31" t="str">
        <f t="shared" si="345"/>
        <v/>
      </c>
      <c r="R5557" s="32" t="str">
        <f>IFERROR(VLOOKUP($D5557,'Informations sur les produits'!$A$3:$B$15000,2,FALSE),"")</f>
        <v/>
      </c>
      <c r="V5557">
        <f t="shared" si="346"/>
        <v>0</v>
      </c>
      <c r="W5557">
        <f t="shared" si="347"/>
        <v>0</v>
      </c>
    </row>
    <row r="5558" spans="5:23" x14ac:dyDescent="0.25">
      <c r="E5558" s="4"/>
      <c r="F5558" s="4"/>
      <c r="G5558" s="33" t="str">
        <f>IFERROR(VLOOKUP($D5558,'Informations sur les produits'!$A$3:$H$10000,8,FALSE),"0")</f>
        <v>0</v>
      </c>
      <c r="K5558" s="4"/>
      <c r="L5558" s="33" t="str">
        <f>IFERROR(VLOOKUP($J5558,'Informations sur les produits'!$A$3:$H$10000,8,FALSE),"0")</f>
        <v>0</v>
      </c>
      <c r="N5558" s="8"/>
      <c r="O5558" s="33" t="str">
        <f>IFERROR(VLOOKUP($M5558,'Informations sur les produits'!$A$3:$H$10000,8,FALSE),"0")</f>
        <v>0</v>
      </c>
      <c r="P5558" s="33">
        <f t="shared" si="344"/>
        <v>0</v>
      </c>
      <c r="Q5558" s="31" t="str">
        <f t="shared" si="345"/>
        <v/>
      </c>
      <c r="R5558" s="32" t="str">
        <f>IFERROR(VLOOKUP($D5558,'Informations sur les produits'!$A$3:$B$15000,2,FALSE),"")</f>
        <v/>
      </c>
      <c r="V5558">
        <f t="shared" si="346"/>
        <v>0</v>
      </c>
      <c r="W5558">
        <f t="shared" si="347"/>
        <v>0</v>
      </c>
    </row>
    <row r="5559" spans="5:23" x14ac:dyDescent="0.25">
      <c r="E5559" s="4"/>
      <c r="F5559" s="4"/>
      <c r="G5559" s="33" t="str">
        <f>IFERROR(VLOOKUP($D5559,'Informations sur les produits'!$A$3:$H$10000,8,FALSE),"0")</f>
        <v>0</v>
      </c>
      <c r="K5559" s="4"/>
      <c r="L5559" s="33" t="str">
        <f>IFERROR(VLOOKUP($J5559,'Informations sur les produits'!$A$3:$H$10000,8,FALSE),"0")</f>
        <v>0</v>
      </c>
      <c r="N5559" s="8"/>
      <c r="O5559" s="33" t="str">
        <f>IFERROR(VLOOKUP($M5559,'Informations sur les produits'!$A$3:$H$10000,8,FALSE),"0")</f>
        <v>0</v>
      </c>
      <c r="P5559" s="33">
        <f t="shared" si="344"/>
        <v>0</v>
      </c>
      <c r="Q5559" s="31" t="str">
        <f t="shared" si="345"/>
        <v/>
      </c>
      <c r="R5559" s="32" t="str">
        <f>IFERROR(VLOOKUP($D5559,'Informations sur les produits'!$A$3:$B$15000,2,FALSE),"")</f>
        <v/>
      </c>
      <c r="V5559">
        <f t="shared" si="346"/>
        <v>0</v>
      </c>
      <c r="W5559">
        <f t="shared" si="347"/>
        <v>0</v>
      </c>
    </row>
    <row r="5560" spans="5:23" x14ac:dyDescent="0.25">
      <c r="E5560" s="4"/>
      <c r="F5560" s="4"/>
      <c r="G5560" s="33" t="str">
        <f>IFERROR(VLOOKUP($D5560,'Informations sur les produits'!$A$3:$H$10000,8,FALSE),"0")</f>
        <v>0</v>
      </c>
      <c r="K5560" s="4"/>
      <c r="L5560" s="33" t="str">
        <f>IFERROR(VLOOKUP($J5560,'Informations sur les produits'!$A$3:$H$10000,8,FALSE),"0")</f>
        <v>0</v>
      </c>
      <c r="N5560" s="8"/>
      <c r="O5560" s="33" t="str">
        <f>IFERROR(VLOOKUP($M5560,'Informations sur les produits'!$A$3:$H$10000,8,FALSE),"0")</f>
        <v>0</v>
      </c>
      <c r="P5560" s="33">
        <f t="shared" si="344"/>
        <v>0</v>
      </c>
      <c r="Q5560" s="31" t="str">
        <f t="shared" si="345"/>
        <v/>
      </c>
      <c r="R5560" s="32" t="str">
        <f>IFERROR(VLOOKUP($D5560,'Informations sur les produits'!$A$3:$B$15000,2,FALSE),"")</f>
        <v/>
      </c>
      <c r="V5560">
        <f t="shared" si="346"/>
        <v>0</v>
      </c>
      <c r="W5560">
        <f t="shared" si="347"/>
        <v>0</v>
      </c>
    </row>
    <row r="5561" spans="5:23" x14ac:dyDescent="0.25">
      <c r="E5561" s="4"/>
      <c r="F5561" s="4"/>
      <c r="G5561" s="33" t="str">
        <f>IFERROR(VLOOKUP($D5561,'Informations sur les produits'!$A$3:$H$10000,8,FALSE),"0")</f>
        <v>0</v>
      </c>
      <c r="K5561" s="4"/>
      <c r="L5561" s="33" t="str">
        <f>IFERROR(VLOOKUP($J5561,'Informations sur les produits'!$A$3:$H$10000,8,FALSE),"0")</f>
        <v>0</v>
      </c>
      <c r="N5561" s="8"/>
      <c r="O5561" s="33" t="str">
        <f>IFERROR(VLOOKUP($M5561,'Informations sur les produits'!$A$3:$H$10000,8,FALSE),"0")</f>
        <v>0</v>
      </c>
      <c r="P5561" s="33">
        <f t="shared" si="344"/>
        <v>0</v>
      </c>
      <c r="Q5561" s="31" t="str">
        <f t="shared" si="345"/>
        <v/>
      </c>
      <c r="R5561" s="32" t="str">
        <f>IFERROR(VLOOKUP($D5561,'Informations sur les produits'!$A$3:$B$15000,2,FALSE),"")</f>
        <v/>
      </c>
      <c r="V5561">
        <f t="shared" si="346"/>
        <v>0</v>
      </c>
      <c r="W5561">
        <f t="shared" si="347"/>
        <v>0</v>
      </c>
    </row>
    <row r="5562" spans="5:23" x14ac:dyDescent="0.25">
      <c r="E5562" s="4"/>
      <c r="F5562" s="4"/>
      <c r="G5562" s="33" t="str">
        <f>IFERROR(VLOOKUP($D5562,'Informations sur les produits'!$A$3:$H$10000,8,FALSE),"0")</f>
        <v>0</v>
      </c>
      <c r="K5562" s="4"/>
      <c r="L5562" s="33" t="str">
        <f>IFERROR(VLOOKUP($J5562,'Informations sur les produits'!$A$3:$H$10000,8,FALSE),"0")</f>
        <v>0</v>
      </c>
      <c r="N5562" s="8"/>
      <c r="O5562" s="33" t="str">
        <f>IFERROR(VLOOKUP($M5562,'Informations sur les produits'!$A$3:$H$10000,8,FALSE),"0")</f>
        <v>0</v>
      </c>
      <c r="P5562" s="33">
        <f t="shared" si="344"/>
        <v>0</v>
      </c>
      <c r="Q5562" s="31" t="str">
        <f t="shared" si="345"/>
        <v/>
      </c>
      <c r="R5562" s="32" t="str">
        <f>IFERROR(VLOOKUP($D5562,'Informations sur les produits'!$A$3:$B$15000,2,FALSE),"")</f>
        <v/>
      </c>
      <c r="V5562">
        <f t="shared" si="346"/>
        <v>0</v>
      </c>
      <c r="W5562">
        <f t="shared" si="347"/>
        <v>0</v>
      </c>
    </row>
    <row r="5563" spans="5:23" x14ac:dyDescent="0.25">
      <c r="E5563" s="4"/>
      <c r="F5563" s="4"/>
      <c r="G5563" s="33" t="str">
        <f>IFERROR(VLOOKUP($D5563,'Informations sur les produits'!$A$3:$H$10000,8,FALSE),"0")</f>
        <v>0</v>
      </c>
      <c r="K5563" s="4"/>
      <c r="L5563" s="33" t="str">
        <f>IFERROR(VLOOKUP($J5563,'Informations sur les produits'!$A$3:$H$10000,8,FALSE),"0")</f>
        <v>0</v>
      </c>
      <c r="N5563" s="8"/>
      <c r="O5563" s="33" t="str">
        <f>IFERROR(VLOOKUP($M5563,'Informations sur les produits'!$A$3:$H$10000,8,FALSE),"0")</f>
        <v>0</v>
      </c>
      <c r="P5563" s="33">
        <f t="shared" si="344"/>
        <v>0</v>
      </c>
      <c r="Q5563" s="31" t="str">
        <f t="shared" si="345"/>
        <v/>
      </c>
      <c r="R5563" s="32" t="str">
        <f>IFERROR(VLOOKUP($D5563,'Informations sur les produits'!$A$3:$B$15000,2,FALSE),"")</f>
        <v/>
      </c>
      <c r="V5563">
        <f t="shared" si="346"/>
        <v>0</v>
      </c>
      <c r="W5563">
        <f t="shared" si="347"/>
        <v>0</v>
      </c>
    </row>
    <row r="5564" spans="5:23" x14ac:dyDescent="0.25">
      <c r="E5564" s="4"/>
      <c r="F5564" s="4"/>
      <c r="G5564" s="33" t="str">
        <f>IFERROR(VLOOKUP($D5564,'Informations sur les produits'!$A$3:$H$10000,8,FALSE),"0")</f>
        <v>0</v>
      </c>
      <c r="K5564" s="4"/>
      <c r="L5564" s="33" t="str">
        <f>IFERROR(VLOOKUP($J5564,'Informations sur les produits'!$A$3:$H$10000,8,FALSE),"0")</f>
        <v>0</v>
      </c>
      <c r="N5564" s="8"/>
      <c r="O5564" s="33" t="str">
        <f>IFERROR(VLOOKUP($M5564,'Informations sur les produits'!$A$3:$H$10000,8,FALSE),"0")</f>
        <v>0</v>
      </c>
      <c r="P5564" s="33">
        <f t="shared" si="344"/>
        <v>0</v>
      </c>
      <c r="Q5564" s="31" t="str">
        <f t="shared" si="345"/>
        <v/>
      </c>
      <c r="R5564" s="32" t="str">
        <f>IFERROR(VLOOKUP($D5564,'Informations sur les produits'!$A$3:$B$15000,2,FALSE),"")</f>
        <v/>
      </c>
      <c r="V5564">
        <f t="shared" si="346"/>
        <v>0</v>
      </c>
      <c r="W5564">
        <f t="shared" si="347"/>
        <v>0</v>
      </c>
    </row>
    <row r="5565" spans="5:23" x14ac:dyDescent="0.25">
      <c r="E5565" s="4"/>
      <c r="F5565" s="4"/>
      <c r="G5565" s="33" t="str">
        <f>IFERROR(VLOOKUP($D5565,'Informations sur les produits'!$A$3:$H$10000,8,FALSE),"0")</f>
        <v>0</v>
      </c>
      <c r="K5565" s="4"/>
      <c r="L5565" s="33" t="str">
        <f>IFERROR(VLOOKUP($J5565,'Informations sur les produits'!$A$3:$H$10000,8,FALSE),"0")</f>
        <v>0</v>
      </c>
      <c r="N5565" s="8"/>
      <c r="O5565" s="33" t="str">
        <f>IFERROR(VLOOKUP($M5565,'Informations sur les produits'!$A$3:$H$10000,8,FALSE),"0")</f>
        <v>0</v>
      </c>
      <c r="P5565" s="33">
        <f t="shared" si="344"/>
        <v>0</v>
      </c>
      <c r="Q5565" s="31" t="str">
        <f t="shared" si="345"/>
        <v/>
      </c>
      <c r="R5565" s="32" t="str">
        <f>IFERROR(VLOOKUP($D5565,'Informations sur les produits'!$A$3:$B$15000,2,FALSE),"")</f>
        <v/>
      </c>
      <c r="V5565">
        <f t="shared" si="346"/>
        <v>0</v>
      </c>
      <c r="W5565">
        <f t="shared" si="347"/>
        <v>0</v>
      </c>
    </row>
    <row r="5566" spans="5:23" x14ac:dyDescent="0.25">
      <c r="E5566" s="4"/>
      <c r="F5566" s="4"/>
      <c r="G5566" s="33" t="str">
        <f>IFERROR(VLOOKUP($D5566,'Informations sur les produits'!$A$3:$H$10000,8,FALSE),"0")</f>
        <v>0</v>
      </c>
      <c r="K5566" s="4"/>
      <c r="L5566" s="33" t="str">
        <f>IFERROR(VLOOKUP($J5566,'Informations sur les produits'!$A$3:$H$10000,8,FALSE),"0")</f>
        <v>0</v>
      </c>
      <c r="N5566" s="8"/>
      <c r="O5566" s="33" t="str">
        <f>IFERROR(VLOOKUP($M5566,'Informations sur les produits'!$A$3:$H$10000,8,FALSE),"0")</f>
        <v>0</v>
      </c>
      <c r="P5566" s="33">
        <f t="shared" si="344"/>
        <v>0</v>
      </c>
      <c r="Q5566" s="31" t="str">
        <f t="shared" si="345"/>
        <v/>
      </c>
      <c r="R5566" s="32" t="str">
        <f>IFERROR(VLOOKUP($D5566,'Informations sur les produits'!$A$3:$B$15000,2,FALSE),"")</f>
        <v/>
      </c>
      <c r="V5566">
        <f t="shared" si="346"/>
        <v>0</v>
      </c>
      <c r="W5566">
        <f t="shared" si="347"/>
        <v>0</v>
      </c>
    </row>
    <row r="5567" spans="5:23" x14ac:dyDescent="0.25">
      <c r="E5567" s="4"/>
      <c r="F5567" s="4"/>
      <c r="G5567" s="33" t="str">
        <f>IFERROR(VLOOKUP($D5567,'Informations sur les produits'!$A$3:$H$10000,8,FALSE),"0")</f>
        <v>0</v>
      </c>
      <c r="K5567" s="4"/>
      <c r="L5567" s="33" t="str">
        <f>IFERROR(VLOOKUP($J5567,'Informations sur les produits'!$A$3:$H$10000,8,FALSE),"0")</f>
        <v>0</v>
      </c>
      <c r="N5567" s="8"/>
      <c r="O5567" s="33" t="str">
        <f>IFERROR(VLOOKUP($M5567,'Informations sur les produits'!$A$3:$H$10000,8,FALSE),"0")</f>
        <v>0</v>
      </c>
      <c r="P5567" s="33">
        <f t="shared" si="344"/>
        <v>0</v>
      </c>
      <c r="Q5567" s="31" t="str">
        <f t="shared" si="345"/>
        <v/>
      </c>
      <c r="R5567" s="32" t="str">
        <f>IFERROR(VLOOKUP($D5567,'Informations sur les produits'!$A$3:$B$15000,2,FALSE),"")</f>
        <v/>
      </c>
      <c r="V5567">
        <f t="shared" si="346"/>
        <v>0</v>
      </c>
      <c r="W5567">
        <f t="shared" si="347"/>
        <v>0</v>
      </c>
    </row>
    <row r="5568" spans="5:23" x14ac:dyDescent="0.25">
      <c r="E5568" s="4"/>
      <c r="F5568" s="4"/>
      <c r="G5568" s="33" t="str">
        <f>IFERROR(VLOOKUP($D5568,'Informations sur les produits'!$A$3:$H$10000,8,FALSE),"0")</f>
        <v>0</v>
      </c>
      <c r="K5568" s="4"/>
      <c r="L5568" s="33" t="str">
        <f>IFERROR(VLOOKUP($J5568,'Informations sur les produits'!$A$3:$H$10000,8,FALSE),"0")</f>
        <v>0</v>
      </c>
      <c r="N5568" s="8"/>
      <c r="O5568" s="33" t="str">
        <f>IFERROR(VLOOKUP($M5568,'Informations sur les produits'!$A$3:$H$10000,8,FALSE),"0")</f>
        <v>0</v>
      </c>
      <c r="P5568" s="33">
        <f t="shared" si="344"/>
        <v>0</v>
      </c>
      <c r="Q5568" s="31" t="str">
        <f t="shared" si="345"/>
        <v/>
      </c>
      <c r="R5568" s="32" t="str">
        <f>IFERROR(VLOOKUP($D5568,'Informations sur les produits'!$A$3:$B$15000,2,FALSE),"")</f>
        <v/>
      </c>
      <c r="V5568">
        <f t="shared" si="346"/>
        <v>0</v>
      </c>
      <c r="W5568">
        <f t="shared" si="347"/>
        <v>0</v>
      </c>
    </row>
    <row r="5569" spans="5:23" x14ac:dyDescent="0.25">
      <c r="E5569" s="4"/>
      <c r="F5569" s="4"/>
      <c r="G5569" s="33" t="str">
        <f>IFERROR(VLOOKUP($D5569,'Informations sur les produits'!$A$3:$H$10000,8,FALSE),"0")</f>
        <v>0</v>
      </c>
      <c r="K5569" s="4"/>
      <c r="L5569" s="33" t="str">
        <f>IFERROR(VLOOKUP($J5569,'Informations sur les produits'!$A$3:$H$10000,8,FALSE),"0")</f>
        <v>0</v>
      </c>
      <c r="N5569" s="8"/>
      <c r="O5569" s="33" t="str">
        <f>IFERROR(VLOOKUP($M5569,'Informations sur les produits'!$A$3:$H$10000,8,FALSE),"0")</f>
        <v>0</v>
      </c>
      <c r="P5569" s="33">
        <f t="shared" si="344"/>
        <v>0</v>
      </c>
      <c r="Q5569" s="31" t="str">
        <f t="shared" si="345"/>
        <v/>
      </c>
      <c r="R5569" s="32" t="str">
        <f>IFERROR(VLOOKUP($D5569,'Informations sur les produits'!$A$3:$B$15000,2,FALSE),"")</f>
        <v/>
      </c>
      <c r="V5569">
        <f t="shared" si="346"/>
        <v>0</v>
      </c>
      <c r="W5569">
        <f t="shared" si="347"/>
        <v>0</v>
      </c>
    </row>
    <row r="5570" spans="5:23" x14ac:dyDescent="0.25">
      <c r="E5570" s="4"/>
      <c r="F5570" s="4"/>
      <c r="G5570" s="33" t="str">
        <f>IFERROR(VLOOKUP($D5570,'Informations sur les produits'!$A$3:$H$10000,8,FALSE),"0")</f>
        <v>0</v>
      </c>
      <c r="K5570" s="4"/>
      <c r="L5570" s="33" t="str">
        <f>IFERROR(VLOOKUP($J5570,'Informations sur les produits'!$A$3:$H$10000,8,FALSE),"0")</f>
        <v>0</v>
      </c>
      <c r="N5570" s="8"/>
      <c r="O5570" s="33" t="str">
        <f>IFERROR(VLOOKUP($M5570,'Informations sur les produits'!$A$3:$H$10000,8,FALSE),"0")</f>
        <v>0</v>
      </c>
      <c r="P5570" s="33">
        <f t="shared" si="344"/>
        <v>0</v>
      </c>
      <c r="Q5570" s="31" t="str">
        <f t="shared" si="345"/>
        <v/>
      </c>
      <c r="R5570" s="32" t="str">
        <f>IFERROR(VLOOKUP($D5570,'Informations sur les produits'!$A$3:$B$15000,2,FALSE),"")</f>
        <v/>
      </c>
      <c r="V5570">
        <f t="shared" si="346"/>
        <v>0</v>
      </c>
      <c r="W5570">
        <f t="shared" si="347"/>
        <v>0</v>
      </c>
    </row>
    <row r="5571" spans="5:23" x14ac:dyDescent="0.25">
      <c r="E5571" s="4"/>
      <c r="F5571" s="4"/>
      <c r="G5571" s="33" t="str">
        <f>IFERROR(VLOOKUP($D5571,'Informations sur les produits'!$A$3:$H$10000,8,FALSE),"0")</f>
        <v>0</v>
      </c>
      <c r="K5571" s="4"/>
      <c r="L5571" s="33" t="str">
        <f>IFERROR(VLOOKUP($J5571,'Informations sur les produits'!$A$3:$H$10000,8,FALSE),"0")</f>
        <v>0</v>
      </c>
      <c r="N5571" s="8"/>
      <c r="O5571" s="33" t="str">
        <f>IFERROR(VLOOKUP($M5571,'Informations sur les produits'!$A$3:$H$10000,8,FALSE),"0")</f>
        <v>0</v>
      </c>
      <c r="P5571" s="33">
        <f t="shared" si="344"/>
        <v>0</v>
      </c>
      <c r="Q5571" s="31" t="str">
        <f t="shared" si="345"/>
        <v/>
      </c>
      <c r="R5571" s="32" t="str">
        <f>IFERROR(VLOOKUP($D5571,'Informations sur les produits'!$A$3:$B$15000,2,FALSE),"")</f>
        <v/>
      </c>
      <c r="V5571">
        <f t="shared" si="346"/>
        <v>0</v>
      </c>
      <c r="W5571">
        <f t="shared" si="347"/>
        <v>0</v>
      </c>
    </row>
    <row r="5572" spans="5:23" x14ac:dyDescent="0.25">
      <c r="E5572" s="4"/>
      <c r="F5572" s="4"/>
      <c r="G5572" s="33" t="str">
        <f>IFERROR(VLOOKUP($D5572,'Informations sur les produits'!$A$3:$H$10000,8,FALSE),"0")</f>
        <v>0</v>
      </c>
      <c r="K5572" s="4"/>
      <c r="L5572" s="33" t="str">
        <f>IFERROR(VLOOKUP($J5572,'Informations sur les produits'!$A$3:$H$10000,8,FALSE),"0")</f>
        <v>0</v>
      </c>
      <c r="N5572" s="8"/>
      <c r="O5572" s="33" t="str">
        <f>IFERROR(VLOOKUP($M5572,'Informations sur les produits'!$A$3:$H$10000,8,FALSE),"0")</f>
        <v>0</v>
      </c>
      <c r="P5572" s="33">
        <f t="shared" ref="P5572:P5635" si="348">IFERROR((($E5572-$F5572)*$G5572+$K5572*$L5572+$N5572*$O5572),"")</f>
        <v>0</v>
      </c>
      <c r="Q5572" s="31" t="str">
        <f t="shared" ref="Q5572:Q5635" si="349">IFERROR((((($E5572-$F5572)*$G5572+$K5572*$L5572+$N5572*$O5572)*1000)/(($E5572-$F5572)+$K5572+$N5572)),"")</f>
        <v/>
      </c>
      <c r="R5572" s="32" t="str">
        <f>IFERROR(VLOOKUP($D5572,'Informations sur les produits'!$A$3:$B$15000,2,FALSE),"")</f>
        <v/>
      </c>
      <c r="V5572">
        <f t="shared" ref="V5572:V5635" si="350">IFERROR(P5572*1000,"")</f>
        <v>0</v>
      </c>
      <c r="W5572">
        <f t="shared" ref="W5572:W5635" si="351">IFERROR(($E5572-$F5572)+$K5572+$N5572,"")</f>
        <v>0</v>
      </c>
    </row>
    <row r="5573" spans="5:23" x14ac:dyDescent="0.25">
      <c r="E5573" s="4"/>
      <c r="F5573" s="4"/>
      <c r="G5573" s="33" t="str">
        <f>IFERROR(VLOOKUP($D5573,'Informations sur les produits'!$A$3:$H$10000,8,FALSE),"0")</f>
        <v>0</v>
      </c>
      <c r="K5573" s="4"/>
      <c r="L5573" s="33" t="str">
        <f>IFERROR(VLOOKUP($J5573,'Informations sur les produits'!$A$3:$H$10000,8,FALSE),"0")</f>
        <v>0</v>
      </c>
      <c r="N5573" s="8"/>
      <c r="O5573" s="33" t="str">
        <f>IFERROR(VLOOKUP($M5573,'Informations sur les produits'!$A$3:$H$10000,8,FALSE),"0")</f>
        <v>0</v>
      </c>
      <c r="P5573" s="33">
        <f t="shared" si="348"/>
        <v>0</v>
      </c>
      <c r="Q5573" s="31" t="str">
        <f t="shared" si="349"/>
        <v/>
      </c>
      <c r="R5573" s="32" t="str">
        <f>IFERROR(VLOOKUP($D5573,'Informations sur les produits'!$A$3:$B$15000,2,FALSE),"")</f>
        <v/>
      </c>
      <c r="V5573">
        <f t="shared" si="350"/>
        <v>0</v>
      </c>
      <c r="W5573">
        <f t="shared" si="351"/>
        <v>0</v>
      </c>
    </row>
    <row r="5574" spans="5:23" x14ac:dyDescent="0.25">
      <c r="E5574" s="4"/>
      <c r="F5574" s="4"/>
      <c r="G5574" s="33" t="str">
        <f>IFERROR(VLOOKUP($D5574,'Informations sur les produits'!$A$3:$H$10000,8,FALSE),"0")</f>
        <v>0</v>
      </c>
      <c r="K5574" s="4"/>
      <c r="L5574" s="33" t="str">
        <f>IFERROR(VLOOKUP($J5574,'Informations sur les produits'!$A$3:$H$10000,8,FALSE),"0")</f>
        <v>0</v>
      </c>
      <c r="N5574" s="8"/>
      <c r="O5574" s="33" t="str">
        <f>IFERROR(VLOOKUP($M5574,'Informations sur les produits'!$A$3:$H$10000,8,FALSE),"0")</f>
        <v>0</v>
      </c>
      <c r="P5574" s="33">
        <f t="shared" si="348"/>
        <v>0</v>
      </c>
      <c r="Q5574" s="31" t="str">
        <f t="shared" si="349"/>
        <v/>
      </c>
      <c r="R5574" s="32" t="str">
        <f>IFERROR(VLOOKUP($D5574,'Informations sur les produits'!$A$3:$B$15000,2,FALSE),"")</f>
        <v/>
      </c>
      <c r="V5574">
        <f t="shared" si="350"/>
        <v>0</v>
      </c>
      <c r="W5574">
        <f t="shared" si="351"/>
        <v>0</v>
      </c>
    </row>
    <row r="5575" spans="5:23" x14ac:dyDescent="0.25">
      <c r="E5575" s="4"/>
      <c r="F5575" s="4"/>
      <c r="G5575" s="33" t="str">
        <f>IFERROR(VLOOKUP($D5575,'Informations sur les produits'!$A$3:$H$10000,8,FALSE),"0")</f>
        <v>0</v>
      </c>
      <c r="K5575" s="4"/>
      <c r="L5575" s="33" t="str">
        <f>IFERROR(VLOOKUP($J5575,'Informations sur les produits'!$A$3:$H$10000,8,FALSE),"0")</f>
        <v>0</v>
      </c>
      <c r="N5575" s="8"/>
      <c r="O5575" s="33" t="str">
        <f>IFERROR(VLOOKUP($M5575,'Informations sur les produits'!$A$3:$H$10000,8,FALSE),"0")</f>
        <v>0</v>
      </c>
      <c r="P5575" s="33">
        <f t="shared" si="348"/>
        <v>0</v>
      </c>
      <c r="Q5575" s="31" t="str">
        <f t="shared" si="349"/>
        <v/>
      </c>
      <c r="R5575" s="32" t="str">
        <f>IFERROR(VLOOKUP($D5575,'Informations sur les produits'!$A$3:$B$15000,2,FALSE),"")</f>
        <v/>
      </c>
      <c r="V5575">
        <f t="shared" si="350"/>
        <v>0</v>
      </c>
      <c r="W5575">
        <f t="shared" si="351"/>
        <v>0</v>
      </c>
    </row>
    <row r="5576" spans="5:23" x14ac:dyDescent="0.25">
      <c r="E5576" s="4"/>
      <c r="F5576" s="4"/>
      <c r="G5576" s="33" t="str">
        <f>IFERROR(VLOOKUP($D5576,'Informations sur les produits'!$A$3:$H$10000,8,FALSE),"0")</f>
        <v>0</v>
      </c>
      <c r="K5576" s="4"/>
      <c r="L5576" s="33" t="str">
        <f>IFERROR(VLOOKUP($J5576,'Informations sur les produits'!$A$3:$H$10000,8,FALSE),"0")</f>
        <v>0</v>
      </c>
      <c r="N5576" s="8"/>
      <c r="O5576" s="33" t="str">
        <f>IFERROR(VLOOKUP($M5576,'Informations sur les produits'!$A$3:$H$10000,8,FALSE),"0")</f>
        <v>0</v>
      </c>
      <c r="P5576" s="33">
        <f t="shared" si="348"/>
        <v>0</v>
      </c>
      <c r="Q5576" s="31" t="str">
        <f t="shared" si="349"/>
        <v/>
      </c>
      <c r="R5576" s="32" t="str">
        <f>IFERROR(VLOOKUP($D5576,'Informations sur les produits'!$A$3:$B$15000,2,FALSE),"")</f>
        <v/>
      </c>
      <c r="V5576">
        <f t="shared" si="350"/>
        <v>0</v>
      </c>
      <c r="W5576">
        <f t="shared" si="351"/>
        <v>0</v>
      </c>
    </row>
    <row r="5577" spans="5:23" x14ac:dyDescent="0.25">
      <c r="E5577" s="4"/>
      <c r="F5577" s="4"/>
      <c r="G5577" s="33" t="str">
        <f>IFERROR(VLOOKUP($D5577,'Informations sur les produits'!$A$3:$H$10000,8,FALSE),"0")</f>
        <v>0</v>
      </c>
      <c r="K5577" s="4"/>
      <c r="L5577" s="33" t="str">
        <f>IFERROR(VLOOKUP($J5577,'Informations sur les produits'!$A$3:$H$10000,8,FALSE),"0")</f>
        <v>0</v>
      </c>
      <c r="N5577" s="8"/>
      <c r="O5577" s="33" t="str">
        <f>IFERROR(VLOOKUP($M5577,'Informations sur les produits'!$A$3:$H$10000,8,FALSE),"0")</f>
        <v>0</v>
      </c>
      <c r="P5577" s="33">
        <f t="shared" si="348"/>
        <v>0</v>
      </c>
      <c r="Q5577" s="31" t="str">
        <f t="shared" si="349"/>
        <v/>
      </c>
      <c r="R5577" s="32" t="str">
        <f>IFERROR(VLOOKUP($D5577,'Informations sur les produits'!$A$3:$B$15000,2,FALSE),"")</f>
        <v/>
      </c>
      <c r="V5577">
        <f t="shared" si="350"/>
        <v>0</v>
      </c>
      <c r="W5577">
        <f t="shared" si="351"/>
        <v>0</v>
      </c>
    </row>
    <row r="5578" spans="5:23" x14ac:dyDescent="0.25">
      <c r="E5578" s="4"/>
      <c r="F5578" s="4"/>
      <c r="G5578" s="33" t="str">
        <f>IFERROR(VLOOKUP($D5578,'Informations sur les produits'!$A$3:$H$10000,8,FALSE),"0")</f>
        <v>0</v>
      </c>
      <c r="K5578" s="4"/>
      <c r="L5578" s="33" t="str">
        <f>IFERROR(VLOOKUP($J5578,'Informations sur les produits'!$A$3:$H$10000,8,FALSE),"0")</f>
        <v>0</v>
      </c>
      <c r="N5578" s="8"/>
      <c r="O5578" s="33" t="str">
        <f>IFERROR(VLOOKUP($M5578,'Informations sur les produits'!$A$3:$H$10000,8,FALSE),"0")</f>
        <v>0</v>
      </c>
      <c r="P5578" s="33">
        <f t="shared" si="348"/>
        <v>0</v>
      </c>
      <c r="Q5578" s="31" t="str">
        <f t="shared" si="349"/>
        <v/>
      </c>
      <c r="R5578" s="32" t="str">
        <f>IFERROR(VLOOKUP($D5578,'Informations sur les produits'!$A$3:$B$15000,2,FALSE),"")</f>
        <v/>
      </c>
      <c r="V5578">
        <f t="shared" si="350"/>
        <v>0</v>
      </c>
      <c r="W5578">
        <f t="shared" si="351"/>
        <v>0</v>
      </c>
    </row>
    <row r="5579" spans="5:23" x14ac:dyDescent="0.25">
      <c r="E5579" s="4"/>
      <c r="F5579" s="4"/>
      <c r="G5579" s="33" t="str">
        <f>IFERROR(VLOOKUP($D5579,'Informations sur les produits'!$A$3:$H$10000,8,FALSE),"0")</f>
        <v>0</v>
      </c>
      <c r="K5579" s="4"/>
      <c r="L5579" s="33" t="str">
        <f>IFERROR(VLOOKUP($J5579,'Informations sur les produits'!$A$3:$H$10000,8,FALSE),"0")</f>
        <v>0</v>
      </c>
      <c r="N5579" s="8"/>
      <c r="O5579" s="33" t="str">
        <f>IFERROR(VLOOKUP($M5579,'Informations sur les produits'!$A$3:$H$10000,8,FALSE),"0")</f>
        <v>0</v>
      </c>
      <c r="P5579" s="33">
        <f t="shared" si="348"/>
        <v>0</v>
      </c>
      <c r="Q5579" s="31" t="str">
        <f t="shared" si="349"/>
        <v/>
      </c>
      <c r="R5579" s="32" t="str">
        <f>IFERROR(VLOOKUP($D5579,'Informations sur les produits'!$A$3:$B$15000,2,FALSE),"")</f>
        <v/>
      </c>
      <c r="V5579">
        <f t="shared" si="350"/>
        <v>0</v>
      </c>
      <c r="W5579">
        <f t="shared" si="351"/>
        <v>0</v>
      </c>
    </row>
    <row r="5580" spans="5:23" x14ac:dyDescent="0.25">
      <c r="E5580" s="4"/>
      <c r="F5580" s="4"/>
      <c r="G5580" s="33" t="str">
        <f>IFERROR(VLOOKUP($D5580,'Informations sur les produits'!$A$3:$H$10000,8,FALSE),"0")</f>
        <v>0</v>
      </c>
      <c r="K5580" s="4"/>
      <c r="L5580" s="33" t="str">
        <f>IFERROR(VLOOKUP($J5580,'Informations sur les produits'!$A$3:$H$10000,8,FALSE),"0")</f>
        <v>0</v>
      </c>
      <c r="N5580" s="8"/>
      <c r="O5580" s="33" t="str">
        <f>IFERROR(VLOOKUP($M5580,'Informations sur les produits'!$A$3:$H$10000,8,FALSE),"0")</f>
        <v>0</v>
      </c>
      <c r="P5580" s="33">
        <f t="shared" si="348"/>
        <v>0</v>
      </c>
      <c r="Q5580" s="31" t="str">
        <f t="shared" si="349"/>
        <v/>
      </c>
      <c r="R5580" s="32" t="str">
        <f>IFERROR(VLOOKUP($D5580,'Informations sur les produits'!$A$3:$B$15000,2,FALSE),"")</f>
        <v/>
      </c>
      <c r="V5580">
        <f t="shared" si="350"/>
        <v>0</v>
      </c>
      <c r="W5580">
        <f t="shared" si="351"/>
        <v>0</v>
      </c>
    </row>
    <row r="5581" spans="5:23" x14ac:dyDescent="0.25">
      <c r="E5581" s="4"/>
      <c r="F5581" s="4"/>
      <c r="G5581" s="33" t="str">
        <f>IFERROR(VLOOKUP($D5581,'Informations sur les produits'!$A$3:$H$10000,8,FALSE),"0")</f>
        <v>0</v>
      </c>
      <c r="K5581" s="4"/>
      <c r="L5581" s="33" t="str">
        <f>IFERROR(VLOOKUP($J5581,'Informations sur les produits'!$A$3:$H$10000,8,FALSE),"0")</f>
        <v>0</v>
      </c>
      <c r="N5581" s="8"/>
      <c r="O5581" s="33" t="str">
        <f>IFERROR(VLOOKUP($M5581,'Informations sur les produits'!$A$3:$H$10000,8,FALSE),"0")</f>
        <v>0</v>
      </c>
      <c r="P5581" s="33">
        <f t="shared" si="348"/>
        <v>0</v>
      </c>
      <c r="Q5581" s="31" t="str">
        <f t="shared" si="349"/>
        <v/>
      </c>
      <c r="R5581" s="32" t="str">
        <f>IFERROR(VLOOKUP($D5581,'Informations sur les produits'!$A$3:$B$15000,2,FALSE),"")</f>
        <v/>
      </c>
      <c r="V5581">
        <f t="shared" si="350"/>
        <v>0</v>
      </c>
      <c r="W5581">
        <f t="shared" si="351"/>
        <v>0</v>
      </c>
    </row>
    <row r="5582" spans="5:23" x14ac:dyDescent="0.25">
      <c r="E5582" s="4"/>
      <c r="F5582" s="4"/>
      <c r="G5582" s="33" t="str">
        <f>IFERROR(VLOOKUP($D5582,'Informations sur les produits'!$A$3:$H$10000,8,FALSE),"0")</f>
        <v>0</v>
      </c>
      <c r="K5582" s="4"/>
      <c r="L5582" s="33" t="str">
        <f>IFERROR(VLOOKUP($J5582,'Informations sur les produits'!$A$3:$H$10000,8,FALSE),"0")</f>
        <v>0</v>
      </c>
      <c r="N5582" s="8"/>
      <c r="O5582" s="33" t="str">
        <f>IFERROR(VLOOKUP($M5582,'Informations sur les produits'!$A$3:$H$10000,8,FALSE),"0")</f>
        <v>0</v>
      </c>
      <c r="P5582" s="33">
        <f t="shared" si="348"/>
        <v>0</v>
      </c>
      <c r="Q5582" s="31" t="str">
        <f t="shared" si="349"/>
        <v/>
      </c>
      <c r="R5582" s="32" t="str">
        <f>IFERROR(VLOOKUP($D5582,'Informations sur les produits'!$A$3:$B$15000,2,FALSE),"")</f>
        <v/>
      </c>
      <c r="V5582">
        <f t="shared" si="350"/>
        <v>0</v>
      </c>
      <c r="W5582">
        <f t="shared" si="351"/>
        <v>0</v>
      </c>
    </row>
    <row r="5583" spans="5:23" x14ac:dyDescent="0.25">
      <c r="E5583" s="4"/>
      <c r="F5583" s="4"/>
      <c r="G5583" s="33" t="str">
        <f>IFERROR(VLOOKUP($D5583,'Informations sur les produits'!$A$3:$H$10000,8,FALSE),"0")</f>
        <v>0</v>
      </c>
      <c r="K5583" s="4"/>
      <c r="L5583" s="33" t="str">
        <f>IFERROR(VLOOKUP($J5583,'Informations sur les produits'!$A$3:$H$10000,8,FALSE),"0")</f>
        <v>0</v>
      </c>
      <c r="N5583" s="8"/>
      <c r="O5583" s="33" t="str">
        <f>IFERROR(VLOOKUP($M5583,'Informations sur les produits'!$A$3:$H$10000,8,FALSE),"0")</f>
        <v>0</v>
      </c>
      <c r="P5583" s="33">
        <f t="shared" si="348"/>
        <v>0</v>
      </c>
      <c r="Q5583" s="31" t="str">
        <f t="shared" si="349"/>
        <v/>
      </c>
      <c r="R5583" s="32" t="str">
        <f>IFERROR(VLOOKUP($D5583,'Informations sur les produits'!$A$3:$B$15000,2,FALSE),"")</f>
        <v/>
      </c>
      <c r="V5583">
        <f t="shared" si="350"/>
        <v>0</v>
      </c>
      <c r="W5583">
        <f t="shared" si="351"/>
        <v>0</v>
      </c>
    </row>
    <row r="5584" spans="5:23" x14ac:dyDescent="0.25">
      <c r="E5584" s="4"/>
      <c r="F5584" s="4"/>
      <c r="G5584" s="33" t="str">
        <f>IFERROR(VLOOKUP($D5584,'Informations sur les produits'!$A$3:$H$10000,8,FALSE),"0")</f>
        <v>0</v>
      </c>
      <c r="K5584" s="4"/>
      <c r="L5584" s="33" t="str">
        <f>IFERROR(VLOOKUP($J5584,'Informations sur les produits'!$A$3:$H$10000,8,FALSE),"0")</f>
        <v>0</v>
      </c>
      <c r="N5584" s="8"/>
      <c r="O5584" s="33" t="str">
        <f>IFERROR(VLOOKUP($M5584,'Informations sur les produits'!$A$3:$H$10000,8,FALSE),"0")</f>
        <v>0</v>
      </c>
      <c r="P5584" s="33">
        <f t="shared" si="348"/>
        <v>0</v>
      </c>
      <c r="Q5584" s="31" t="str">
        <f t="shared" si="349"/>
        <v/>
      </c>
      <c r="R5584" s="32" t="str">
        <f>IFERROR(VLOOKUP($D5584,'Informations sur les produits'!$A$3:$B$15000,2,FALSE),"")</f>
        <v/>
      </c>
      <c r="V5584">
        <f t="shared" si="350"/>
        <v>0</v>
      </c>
      <c r="W5584">
        <f t="shared" si="351"/>
        <v>0</v>
      </c>
    </row>
    <row r="5585" spans="5:23" x14ac:dyDescent="0.25">
      <c r="E5585" s="4"/>
      <c r="F5585" s="4"/>
      <c r="G5585" s="33" t="str">
        <f>IFERROR(VLOOKUP($D5585,'Informations sur les produits'!$A$3:$H$10000,8,FALSE),"0")</f>
        <v>0</v>
      </c>
      <c r="K5585" s="4"/>
      <c r="L5585" s="33" t="str">
        <f>IFERROR(VLOOKUP($J5585,'Informations sur les produits'!$A$3:$H$10000,8,FALSE),"0")</f>
        <v>0</v>
      </c>
      <c r="N5585" s="8"/>
      <c r="O5585" s="33" t="str">
        <f>IFERROR(VLOOKUP($M5585,'Informations sur les produits'!$A$3:$H$10000,8,FALSE),"0")</f>
        <v>0</v>
      </c>
      <c r="P5585" s="33">
        <f t="shared" si="348"/>
        <v>0</v>
      </c>
      <c r="Q5585" s="31" t="str">
        <f t="shared" si="349"/>
        <v/>
      </c>
      <c r="R5585" s="32" t="str">
        <f>IFERROR(VLOOKUP($D5585,'Informations sur les produits'!$A$3:$B$15000,2,FALSE),"")</f>
        <v/>
      </c>
      <c r="V5585">
        <f t="shared" si="350"/>
        <v>0</v>
      </c>
      <c r="W5585">
        <f t="shared" si="351"/>
        <v>0</v>
      </c>
    </row>
    <row r="5586" spans="5:23" x14ac:dyDescent="0.25">
      <c r="E5586" s="4"/>
      <c r="F5586" s="4"/>
      <c r="G5586" s="33" t="str">
        <f>IFERROR(VLOOKUP($D5586,'Informations sur les produits'!$A$3:$H$10000,8,FALSE),"0")</f>
        <v>0</v>
      </c>
      <c r="K5586" s="4"/>
      <c r="L5586" s="33" t="str">
        <f>IFERROR(VLOOKUP($J5586,'Informations sur les produits'!$A$3:$H$10000,8,FALSE),"0")</f>
        <v>0</v>
      </c>
      <c r="N5586" s="8"/>
      <c r="O5586" s="33" t="str">
        <f>IFERROR(VLOOKUP($M5586,'Informations sur les produits'!$A$3:$H$10000,8,FALSE),"0")</f>
        <v>0</v>
      </c>
      <c r="P5586" s="33">
        <f t="shared" si="348"/>
        <v>0</v>
      </c>
      <c r="Q5586" s="31" t="str">
        <f t="shared" si="349"/>
        <v/>
      </c>
      <c r="R5586" s="32" t="str">
        <f>IFERROR(VLOOKUP($D5586,'Informations sur les produits'!$A$3:$B$15000,2,FALSE),"")</f>
        <v/>
      </c>
      <c r="V5586">
        <f t="shared" si="350"/>
        <v>0</v>
      </c>
      <c r="W5586">
        <f t="shared" si="351"/>
        <v>0</v>
      </c>
    </row>
    <row r="5587" spans="5:23" x14ac:dyDescent="0.25">
      <c r="E5587" s="4"/>
      <c r="F5587" s="4"/>
      <c r="G5587" s="33" t="str">
        <f>IFERROR(VLOOKUP($D5587,'Informations sur les produits'!$A$3:$H$10000,8,FALSE),"0")</f>
        <v>0</v>
      </c>
      <c r="K5587" s="4"/>
      <c r="L5587" s="33" t="str">
        <f>IFERROR(VLOOKUP($J5587,'Informations sur les produits'!$A$3:$H$10000,8,FALSE),"0")</f>
        <v>0</v>
      </c>
      <c r="N5587" s="8"/>
      <c r="O5587" s="33" t="str">
        <f>IFERROR(VLOOKUP($M5587,'Informations sur les produits'!$A$3:$H$10000,8,FALSE),"0")</f>
        <v>0</v>
      </c>
      <c r="P5587" s="33">
        <f t="shared" si="348"/>
        <v>0</v>
      </c>
      <c r="Q5587" s="31" t="str">
        <f t="shared" si="349"/>
        <v/>
      </c>
      <c r="R5587" s="32" t="str">
        <f>IFERROR(VLOOKUP($D5587,'Informations sur les produits'!$A$3:$B$15000,2,FALSE),"")</f>
        <v/>
      </c>
      <c r="V5587">
        <f t="shared" si="350"/>
        <v>0</v>
      </c>
      <c r="W5587">
        <f t="shared" si="351"/>
        <v>0</v>
      </c>
    </row>
    <row r="5588" spans="5:23" x14ac:dyDescent="0.25">
      <c r="E5588" s="4"/>
      <c r="F5588" s="4"/>
      <c r="G5588" s="33" t="str">
        <f>IFERROR(VLOOKUP($D5588,'Informations sur les produits'!$A$3:$H$10000,8,FALSE),"0")</f>
        <v>0</v>
      </c>
      <c r="K5588" s="4"/>
      <c r="L5588" s="33" t="str">
        <f>IFERROR(VLOOKUP($J5588,'Informations sur les produits'!$A$3:$H$10000,8,FALSE),"0")</f>
        <v>0</v>
      </c>
      <c r="N5588" s="8"/>
      <c r="O5588" s="33" t="str">
        <f>IFERROR(VLOOKUP($M5588,'Informations sur les produits'!$A$3:$H$10000,8,FALSE),"0")</f>
        <v>0</v>
      </c>
      <c r="P5588" s="33">
        <f t="shared" si="348"/>
        <v>0</v>
      </c>
      <c r="Q5588" s="31" t="str">
        <f t="shared" si="349"/>
        <v/>
      </c>
      <c r="R5588" s="32" t="str">
        <f>IFERROR(VLOOKUP($D5588,'Informations sur les produits'!$A$3:$B$15000,2,FALSE),"")</f>
        <v/>
      </c>
      <c r="V5588">
        <f t="shared" si="350"/>
        <v>0</v>
      </c>
      <c r="W5588">
        <f t="shared" si="351"/>
        <v>0</v>
      </c>
    </row>
    <row r="5589" spans="5:23" x14ac:dyDescent="0.25">
      <c r="E5589" s="4"/>
      <c r="F5589" s="4"/>
      <c r="G5589" s="33" t="str">
        <f>IFERROR(VLOOKUP($D5589,'Informations sur les produits'!$A$3:$H$10000,8,FALSE),"0")</f>
        <v>0</v>
      </c>
      <c r="K5589" s="4"/>
      <c r="L5589" s="33" t="str">
        <f>IFERROR(VLOOKUP($J5589,'Informations sur les produits'!$A$3:$H$10000,8,FALSE),"0")</f>
        <v>0</v>
      </c>
      <c r="N5589" s="8"/>
      <c r="O5589" s="33" t="str">
        <f>IFERROR(VLOOKUP($M5589,'Informations sur les produits'!$A$3:$H$10000,8,FALSE),"0")</f>
        <v>0</v>
      </c>
      <c r="P5589" s="33">
        <f t="shared" si="348"/>
        <v>0</v>
      </c>
      <c r="Q5589" s="31" t="str">
        <f t="shared" si="349"/>
        <v/>
      </c>
      <c r="R5589" s="32" t="str">
        <f>IFERROR(VLOOKUP($D5589,'Informations sur les produits'!$A$3:$B$15000,2,FALSE),"")</f>
        <v/>
      </c>
      <c r="V5589">
        <f t="shared" si="350"/>
        <v>0</v>
      </c>
      <c r="W5589">
        <f t="shared" si="351"/>
        <v>0</v>
      </c>
    </row>
    <row r="5590" spans="5:23" x14ac:dyDescent="0.25">
      <c r="E5590" s="4"/>
      <c r="F5590" s="4"/>
      <c r="G5590" s="33" t="str">
        <f>IFERROR(VLOOKUP($D5590,'Informations sur les produits'!$A$3:$H$10000,8,FALSE),"0")</f>
        <v>0</v>
      </c>
      <c r="K5590" s="4"/>
      <c r="L5590" s="33" t="str">
        <f>IFERROR(VLOOKUP($J5590,'Informations sur les produits'!$A$3:$H$10000,8,FALSE),"0")</f>
        <v>0</v>
      </c>
      <c r="N5590" s="8"/>
      <c r="O5590" s="33" t="str">
        <f>IFERROR(VLOOKUP($M5590,'Informations sur les produits'!$A$3:$H$10000,8,FALSE),"0")</f>
        <v>0</v>
      </c>
      <c r="P5590" s="33">
        <f t="shared" si="348"/>
        <v>0</v>
      </c>
      <c r="Q5590" s="31" t="str">
        <f t="shared" si="349"/>
        <v/>
      </c>
      <c r="R5590" s="32" t="str">
        <f>IFERROR(VLOOKUP($D5590,'Informations sur les produits'!$A$3:$B$15000,2,FALSE),"")</f>
        <v/>
      </c>
      <c r="V5590">
        <f t="shared" si="350"/>
        <v>0</v>
      </c>
      <c r="W5590">
        <f t="shared" si="351"/>
        <v>0</v>
      </c>
    </row>
    <row r="5591" spans="5:23" x14ac:dyDescent="0.25">
      <c r="E5591" s="4"/>
      <c r="F5591" s="4"/>
      <c r="G5591" s="33" t="str">
        <f>IFERROR(VLOOKUP($D5591,'Informations sur les produits'!$A$3:$H$10000,8,FALSE),"0")</f>
        <v>0</v>
      </c>
      <c r="K5591" s="4"/>
      <c r="L5591" s="33" t="str">
        <f>IFERROR(VLOOKUP($J5591,'Informations sur les produits'!$A$3:$H$10000,8,FALSE),"0")</f>
        <v>0</v>
      </c>
      <c r="N5591" s="8"/>
      <c r="O5591" s="33" t="str">
        <f>IFERROR(VLOOKUP($M5591,'Informations sur les produits'!$A$3:$H$10000,8,FALSE),"0")</f>
        <v>0</v>
      </c>
      <c r="P5591" s="33">
        <f t="shared" si="348"/>
        <v>0</v>
      </c>
      <c r="Q5591" s="31" t="str">
        <f t="shared" si="349"/>
        <v/>
      </c>
      <c r="R5591" s="32" t="str">
        <f>IFERROR(VLOOKUP($D5591,'Informations sur les produits'!$A$3:$B$15000,2,FALSE),"")</f>
        <v/>
      </c>
      <c r="V5591">
        <f t="shared" si="350"/>
        <v>0</v>
      </c>
      <c r="W5591">
        <f t="shared" si="351"/>
        <v>0</v>
      </c>
    </row>
    <row r="5592" spans="5:23" x14ac:dyDescent="0.25">
      <c r="E5592" s="4"/>
      <c r="F5592" s="4"/>
      <c r="G5592" s="33" t="str">
        <f>IFERROR(VLOOKUP($D5592,'Informations sur les produits'!$A$3:$H$10000,8,FALSE),"0")</f>
        <v>0</v>
      </c>
      <c r="K5592" s="4"/>
      <c r="L5592" s="33" t="str">
        <f>IFERROR(VLOOKUP($J5592,'Informations sur les produits'!$A$3:$H$10000,8,FALSE),"0")</f>
        <v>0</v>
      </c>
      <c r="N5592" s="8"/>
      <c r="O5592" s="33" t="str">
        <f>IFERROR(VLOOKUP($M5592,'Informations sur les produits'!$A$3:$H$10000,8,FALSE),"0")</f>
        <v>0</v>
      </c>
      <c r="P5592" s="33">
        <f t="shared" si="348"/>
        <v>0</v>
      </c>
      <c r="Q5592" s="31" t="str">
        <f t="shared" si="349"/>
        <v/>
      </c>
      <c r="R5592" s="32" t="str">
        <f>IFERROR(VLOOKUP($D5592,'Informations sur les produits'!$A$3:$B$15000,2,FALSE),"")</f>
        <v/>
      </c>
      <c r="V5592">
        <f t="shared" si="350"/>
        <v>0</v>
      </c>
      <c r="W5592">
        <f t="shared" si="351"/>
        <v>0</v>
      </c>
    </row>
    <row r="5593" spans="5:23" x14ac:dyDescent="0.25">
      <c r="E5593" s="4"/>
      <c r="F5593" s="4"/>
      <c r="G5593" s="33" t="str">
        <f>IFERROR(VLOOKUP($D5593,'Informations sur les produits'!$A$3:$H$10000,8,FALSE),"0")</f>
        <v>0</v>
      </c>
      <c r="K5593" s="4"/>
      <c r="L5593" s="33" t="str">
        <f>IFERROR(VLOOKUP($J5593,'Informations sur les produits'!$A$3:$H$10000,8,FALSE),"0")</f>
        <v>0</v>
      </c>
      <c r="N5593" s="8"/>
      <c r="O5593" s="33" t="str">
        <f>IFERROR(VLOOKUP($M5593,'Informations sur les produits'!$A$3:$H$10000,8,FALSE),"0")</f>
        <v>0</v>
      </c>
      <c r="P5593" s="33">
        <f t="shared" si="348"/>
        <v>0</v>
      </c>
      <c r="Q5593" s="31" t="str">
        <f t="shared" si="349"/>
        <v/>
      </c>
      <c r="R5593" s="32" t="str">
        <f>IFERROR(VLOOKUP($D5593,'Informations sur les produits'!$A$3:$B$15000,2,FALSE),"")</f>
        <v/>
      </c>
      <c r="V5593">
        <f t="shared" si="350"/>
        <v>0</v>
      </c>
      <c r="W5593">
        <f t="shared" si="351"/>
        <v>0</v>
      </c>
    </row>
    <row r="5594" spans="5:23" x14ac:dyDescent="0.25">
      <c r="E5594" s="4"/>
      <c r="F5594" s="4"/>
      <c r="G5594" s="33" t="str">
        <f>IFERROR(VLOOKUP($D5594,'Informations sur les produits'!$A$3:$H$10000,8,FALSE),"0")</f>
        <v>0</v>
      </c>
      <c r="K5594" s="4"/>
      <c r="L5594" s="33" t="str">
        <f>IFERROR(VLOOKUP($J5594,'Informations sur les produits'!$A$3:$H$10000,8,FALSE),"0")</f>
        <v>0</v>
      </c>
      <c r="N5594" s="8"/>
      <c r="O5594" s="33" t="str">
        <f>IFERROR(VLOOKUP($M5594,'Informations sur les produits'!$A$3:$H$10000,8,FALSE),"0")</f>
        <v>0</v>
      </c>
      <c r="P5594" s="33">
        <f t="shared" si="348"/>
        <v>0</v>
      </c>
      <c r="Q5594" s="31" t="str">
        <f t="shared" si="349"/>
        <v/>
      </c>
      <c r="R5594" s="32" t="str">
        <f>IFERROR(VLOOKUP($D5594,'Informations sur les produits'!$A$3:$B$15000,2,FALSE),"")</f>
        <v/>
      </c>
      <c r="V5594">
        <f t="shared" si="350"/>
        <v>0</v>
      </c>
      <c r="W5594">
        <f t="shared" si="351"/>
        <v>0</v>
      </c>
    </row>
    <row r="5595" spans="5:23" x14ac:dyDescent="0.25">
      <c r="E5595" s="4"/>
      <c r="F5595" s="4"/>
      <c r="G5595" s="33" t="str">
        <f>IFERROR(VLOOKUP($D5595,'Informations sur les produits'!$A$3:$H$10000,8,FALSE),"0")</f>
        <v>0</v>
      </c>
      <c r="K5595" s="4"/>
      <c r="L5595" s="33" t="str">
        <f>IFERROR(VLOOKUP($J5595,'Informations sur les produits'!$A$3:$H$10000,8,FALSE),"0")</f>
        <v>0</v>
      </c>
      <c r="N5595" s="8"/>
      <c r="O5595" s="33" t="str">
        <f>IFERROR(VLOOKUP($M5595,'Informations sur les produits'!$A$3:$H$10000,8,FALSE),"0")</f>
        <v>0</v>
      </c>
      <c r="P5595" s="33">
        <f t="shared" si="348"/>
        <v>0</v>
      </c>
      <c r="Q5595" s="31" t="str">
        <f t="shared" si="349"/>
        <v/>
      </c>
      <c r="R5595" s="32" t="str">
        <f>IFERROR(VLOOKUP($D5595,'Informations sur les produits'!$A$3:$B$15000,2,FALSE),"")</f>
        <v/>
      </c>
      <c r="V5595">
        <f t="shared" si="350"/>
        <v>0</v>
      </c>
      <c r="W5595">
        <f t="shared" si="351"/>
        <v>0</v>
      </c>
    </row>
    <row r="5596" spans="5:23" x14ac:dyDescent="0.25">
      <c r="E5596" s="4"/>
      <c r="F5596" s="4"/>
      <c r="G5596" s="33" t="str">
        <f>IFERROR(VLOOKUP($D5596,'Informations sur les produits'!$A$3:$H$10000,8,FALSE),"0")</f>
        <v>0</v>
      </c>
      <c r="K5596" s="4"/>
      <c r="L5596" s="33" t="str">
        <f>IFERROR(VLOOKUP($J5596,'Informations sur les produits'!$A$3:$H$10000,8,FALSE),"0")</f>
        <v>0</v>
      </c>
      <c r="N5596" s="8"/>
      <c r="O5596" s="33" t="str">
        <f>IFERROR(VLOOKUP($M5596,'Informations sur les produits'!$A$3:$H$10000,8,FALSE),"0")</f>
        <v>0</v>
      </c>
      <c r="P5596" s="33">
        <f t="shared" si="348"/>
        <v>0</v>
      </c>
      <c r="Q5596" s="31" t="str">
        <f t="shared" si="349"/>
        <v/>
      </c>
      <c r="R5596" s="32" t="str">
        <f>IFERROR(VLOOKUP($D5596,'Informations sur les produits'!$A$3:$B$15000,2,FALSE),"")</f>
        <v/>
      </c>
      <c r="V5596">
        <f t="shared" si="350"/>
        <v>0</v>
      </c>
      <c r="W5596">
        <f t="shared" si="351"/>
        <v>0</v>
      </c>
    </row>
    <row r="5597" spans="5:23" x14ac:dyDescent="0.25">
      <c r="E5597" s="4"/>
      <c r="F5597" s="4"/>
      <c r="G5597" s="33" t="str">
        <f>IFERROR(VLOOKUP($D5597,'Informations sur les produits'!$A$3:$H$10000,8,FALSE),"0")</f>
        <v>0</v>
      </c>
      <c r="K5597" s="4"/>
      <c r="L5597" s="33" t="str">
        <f>IFERROR(VLOOKUP($J5597,'Informations sur les produits'!$A$3:$H$10000,8,FALSE),"0")</f>
        <v>0</v>
      </c>
      <c r="N5597" s="8"/>
      <c r="O5597" s="33" t="str">
        <f>IFERROR(VLOOKUP($M5597,'Informations sur les produits'!$A$3:$H$10000,8,FALSE),"0")</f>
        <v>0</v>
      </c>
      <c r="P5597" s="33">
        <f t="shared" si="348"/>
        <v>0</v>
      </c>
      <c r="Q5597" s="31" t="str">
        <f t="shared" si="349"/>
        <v/>
      </c>
      <c r="R5597" s="32" t="str">
        <f>IFERROR(VLOOKUP($D5597,'Informations sur les produits'!$A$3:$B$15000,2,FALSE),"")</f>
        <v/>
      </c>
      <c r="V5597">
        <f t="shared" si="350"/>
        <v>0</v>
      </c>
      <c r="W5597">
        <f t="shared" si="351"/>
        <v>0</v>
      </c>
    </row>
    <row r="5598" spans="5:23" x14ac:dyDescent="0.25">
      <c r="E5598" s="4"/>
      <c r="F5598" s="4"/>
      <c r="G5598" s="33" t="str">
        <f>IFERROR(VLOOKUP($D5598,'Informations sur les produits'!$A$3:$H$10000,8,FALSE),"0")</f>
        <v>0</v>
      </c>
      <c r="K5598" s="4"/>
      <c r="L5598" s="33" t="str">
        <f>IFERROR(VLOOKUP($J5598,'Informations sur les produits'!$A$3:$H$10000,8,FALSE),"0")</f>
        <v>0</v>
      </c>
      <c r="N5598" s="8"/>
      <c r="O5598" s="33" t="str">
        <f>IFERROR(VLOOKUP($M5598,'Informations sur les produits'!$A$3:$H$10000,8,FALSE),"0")</f>
        <v>0</v>
      </c>
      <c r="P5598" s="33">
        <f t="shared" si="348"/>
        <v>0</v>
      </c>
      <c r="Q5598" s="31" t="str">
        <f t="shared" si="349"/>
        <v/>
      </c>
      <c r="R5598" s="32" t="str">
        <f>IFERROR(VLOOKUP($D5598,'Informations sur les produits'!$A$3:$B$15000,2,FALSE),"")</f>
        <v/>
      </c>
      <c r="V5598">
        <f t="shared" si="350"/>
        <v>0</v>
      </c>
      <c r="W5598">
        <f t="shared" si="351"/>
        <v>0</v>
      </c>
    </row>
    <row r="5599" spans="5:23" x14ac:dyDescent="0.25">
      <c r="E5599" s="4"/>
      <c r="F5599" s="4"/>
      <c r="G5599" s="33" t="str">
        <f>IFERROR(VLOOKUP($D5599,'Informations sur les produits'!$A$3:$H$10000,8,FALSE),"0")</f>
        <v>0</v>
      </c>
      <c r="K5599" s="4"/>
      <c r="L5599" s="33" t="str">
        <f>IFERROR(VLOOKUP($J5599,'Informations sur les produits'!$A$3:$H$10000,8,FALSE),"0")</f>
        <v>0</v>
      </c>
      <c r="N5599" s="8"/>
      <c r="O5599" s="33" t="str">
        <f>IFERROR(VLOOKUP($M5599,'Informations sur les produits'!$A$3:$H$10000,8,FALSE),"0")</f>
        <v>0</v>
      </c>
      <c r="P5599" s="33">
        <f t="shared" si="348"/>
        <v>0</v>
      </c>
      <c r="Q5599" s="31" t="str">
        <f t="shared" si="349"/>
        <v/>
      </c>
      <c r="R5599" s="32" t="str">
        <f>IFERROR(VLOOKUP($D5599,'Informations sur les produits'!$A$3:$B$15000,2,FALSE),"")</f>
        <v/>
      </c>
      <c r="V5599">
        <f t="shared" si="350"/>
        <v>0</v>
      </c>
      <c r="W5599">
        <f t="shared" si="351"/>
        <v>0</v>
      </c>
    </row>
    <row r="5600" spans="5:23" x14ac:dyDescent="0.25">
      <c r="E5600" s="4"/>
      <c r="F5600" s="4"/>
      <c r="G5600" s="33" t="str">
        <f>IFERROR(VLOOKUP($D5600,'Informations sur les produits'!$A$3:$H$10000,8,FALSE),"0")</f>
        <v>0</v>
      </c>
      <c r="K5600" s="4"/>
      <c r="L5600" s="33" t="str">
        <f>IFERROR(VLOOKUP($J5600,'Informations sur les produits'!$A$3:$H$10000,8,FALSE),"0")</f>
        <v>0</v>
      </c>
      <c r="N5600" s="8"/>
      <c r="O5600" s="33" t="str">
        <f>IFERROR(VLOOKUP($M5600,'Informations sur les produits'!$A$3:$H$10000,8,FALSE),"0")</f>
        <v>0</v>
      </c>
      <c r="P5600" s="33">
        <f t="shared" si="348"/>
        <v>0</v>
      </c>
      <c r="Q5600" s="31" t="str">
        <f t="shared" si="349"/>
        <v/>
      </c>
      <c r="R5600" s="32" t="str">
        <f>IFERROR(VLOOKUP($D5600,'Informations sur les produits'!$A$3:$B$15000,2,FALSE),"")</f>
        <v/>
      </c>
      <c r="V5600">
        <f t="shared" si="350"/>
        <v>0</v>
      </c>
      <c r="W5600">
        <f t="shared" si="351"/>
        <v>0</v>
      </c>
    </row>
    <row r="5601" spans="5:23" x14ac:dyDescent="0.25">
      <c r="E5601" s="4"/>
      <c r="F5601" s="4"/>
      <c r="G5601" s="33" t="str">
        <f>IFERROR(VLOOKUP($D5601,'Informations sur les produits'!$A$3:$H$10000,8,FALSE),"0")</f>
        <v>0</v>
      </c>
      <c r="K5601" s="4"/>
      <c r="L5601" s="33" t="str">
        <f>IFERROR(VLOOKUP($J5601,'Informations sur les produits'!$A$3:$H$10000,8,FALSE),"0")</f>
        <v>0</v>
      </c>
      <c r="N5601" s="8"/>
      <c r="O5601" s="33" t="str">
        <f>IFERROR(VLOOKUP($M5601,'Informations sur les produits'!$A$3:$H$10000,8,FALSE),"0")</f>
        <v>0</v>
      </c>
      <c r="P5601" s="33">
        <f t="shared" si="348"/>
        <v>0</v>
      </c>
      <c r="Q5601" s="31" t="str">
        <f t="shared" si="349"/>
        <v/>
      </c>
      <c r="R5601" s="32" t="str">
        <f>IFERROR(VLOOKUP($D5601,'Informations sur les produits'!$A$3:$B$15000,2,FALSE),"")</f>
        <v/>
      </c>
      <c r="V5601">
        <f t="shared" si="350"/>
        <v>0</v>
      </c>
      <c r="W5601">
        <f t="shared" si="351"/>
        <v>0</v>
      </c>
    </row>
    <row r="5602" spans="5:23" x14ac:dyDescent="0.25">
      <c r="E5602" s="4"/>
      <c r="F5602" s="4"/>
      <c r="G5602" s="33" t="str">
        <f>IFERROR(VLOOKUP($D5602,'Informations sur les produits'!$A$3:$H$10000,8,FALSE),"0")</f>
        <v>0</v>
      </c>
      <c r="K5602" s="4"/>
      <c r="L5602" s="33" t="str">
        <f>IFERROR(VLOOKUP($J5602,'Informations sur les produits'!$A$3:$H$10000,8,FALSE),"0")</f>
        <v>0</v>
      </c>
      <c r="N5602" s="8"/>
      <c r="O5602" s="33" t="str">
        <f>IFERROR(VLOOKUP($M5602,'Informations sur les produits'!$A$3:$H$10000,8,FALSE),"0")</f>
        <v>0</v>
      </c>
      <c r="P5602" s="33">
        <f t="shared" si="348"/>
        <v>0</v>
      </c>
      <c r="Q5602" s="31" t="str">
        <f t="shared" si="349"/>
        <v/>
      </c>
      <c r="R5602" s="32" t="str">
        <f>IFERROR(VLOOKUP($D5602,'Informations sur les produits'!$A$3:$B$15000,2,FALSE),"")</f>
        <v/>
      </c>
      <c r="V5602">
        <f t="shared" si="350"/>
        <v>0</v>
      </c>
      <c r="W5602">
        <f t="shared" si="351"/>
        <v>0</v>
      </c>
    </row>
    <row r="5603" spans="5:23" x14ac:dyDescent="0.25">
      <c r="E5603" s="4"/>
      <c r="F5603" s="4"/>
      <c r="G5603" s="33" t="str">
        <f>IFERROR(VLOOKUP($D5603,'Informations sur les produits'!$A$3:$H$10000,8,FALSE),"0")</f>
        <v>0</v>
      </c>
      <c r="K5603" s="4"/>
      <c r="L5603" s="33" t="str">
        <f>IFERROR(VLOOKUP($J5603,'Informations sur les produits'!$A$3:$H$10000,8,FALSE),"0")</f>
        <v>0</v>
      </c>
      <c r="N5603" s="8"/>
      <c r="O5603" s="33" t="str">
        <f>IFERROR(VLOOKUP($M5603,'Informations sur les produits'!$A$3:$H$10000,8,FALSE),"0")</f>
        <v>0</v>
      </c>
      <c r="P5603" s="33">
        <f t="shared" si="348"/>
        <v>0</v>
      </c>
      <c r="Q5603" s="31" t="str">
        <f t="shared" si="349"/>
        <v/>
      </c>
      <c r="R5603" s="32" t="str">
        <f>IFERROR(VLOOKUP($D5603,'Informations sur les produits'!$A$3:$B$15000,2,FALSE),"")</f>
        <v/>
      </c>
      <c r="V5603">
        <f t="shared" si="350"/>
        <v>0</v>
      </c>
      <c r="W5603">
        <f t="shared" si="351"/>
        <v>0</v>
      </c>
    </row>
    <row r="5604" spans="5:23" x14ac:dyDescent="0.25">
      <c r="E5604" s="4"/>
      <c r="F5604" s="4"/>
      <c r="G5604" s="33" t="str">
        <f>IFERROR(VLOOKUP($D5604,'Informations sur les produits'!$A$3:$H$10000,8,FALSE),"0")</f>
        <v>0</v>
      </c>
      <c r="K5604" s="4"/>
      <c r="L5604" s="33" t="str">
        <f>IFERROR(VLOOKUP($J5604,'Informations sur les produits'!$A$3:$H$10000,8,FALSE),"0")</f>
        <v>0</v>
      </c>
      <c r="N5604" s="8"/>
      <c r="O5604" s="33" t="str">
        <f>IFERROR(VLOOKUP($M5604,'Informations sur les produits'!$A$3:$H$10000,8,FALSE),"0")</f>
        <v>0</v>
      </c>
      <c r="P5604" s="33">
        <f t="shared" si="348"/>
        <v>0</v>
      </c>
      <c r="Q5604" s="31" t="str">
        <f t="shared" si="349"/>
        <v/>
      </c>
      <c r="R5604" s="32" t="str">
        <f>IFERROR(VLOOKUP($D5604,'Informations sur les produits'!$A$3:$B$15000,2,FALSE),"")</f>
        <v/>
      </c>
      <c r="V5604">
        <f t="shared" si="350"/>
        <v>0</v>
      </c>
      <c r="W5604">
        <f t="shared" si="351"/>
        <v>0</v>
      </c>
    </row>
    <row r="5605" spans="5:23" x14ac:dyDescent="0.25">
      <c r="E5605" s="4"/>
      <c r="F5605" s="4"/>
      <c r="G5605" s="33" t="str">
        <f>IFERROR(VLOOKUP($D5605,'Informations sur les produits'!$A$3:$H$10000,8,FALSE),"0")</f>
        <v>0</v>
      </c>
      <c r="K5605" s="4"/>
      <c r="L5605" s="33" t="str">
        <f>IFERROR(VLOOKUP($J5605,'Informations sur les produits'!$A$3:$H$10000,8,FALSE),"0")</f>
        <v>0</v>
      </c>
      <c r="N5605" s="8"/>
      <c r="O5605" s="33" t="str">
        <f>IFERROR(VLOOKUP($M5605,'Informations sur les produits'!$A$3:$H$10000,8,FALSE),"0")</f>
        <v>0</v>
      </c>
      <c r="P5605" s="33">
        <f t="shared" si="348"/>
        <v>0</v>
      </c>
      <c r="Q5605" s="31" t="str">
        <f t="shared" si="349"/>
        <v/>
      </c>
      <c r="R5605" s="32" t="str">
        <f>IFERROR(VLOOKUP($D5605,'Informations sur les produits'!$A$3:$B$15000,2,FALSE),"")</f>
        <v/>
      </c>
      <c r="V5605">
        <f t="shared" si="350"/>
        <v>0</v>
      </c>
      <c r="W5605">
        <f t="shared" si="351"/>
        <v>0</v>
      </c>
    </row>
    <row r="5606" spans="5:23" x14ac:dyDescent="0.25">
      <c r="E5606" s="4"/>
      <c r="F5606" s="4"/>
      <c r="G5606" s="33" t="str">
        <f>IFERROR(VLOOKUP($D5606,'Informations sur les produits'!$A$3:$H$10000,8,FALSE),"0")</f>
        <v>0</v>
      </c>
      <c r="K5606" s="4"/>
      <c r="L5606" s="33" t="str">
        <f>IFERROR(VLOOKUP($J5606,'Informations sur les produits'!$A$3:$H$10000,8,FALSE),"0")</f>
        <v>0</v>
      </c>
      <c r="N5606" s="8"/>
      <c r="O5606" s="33" t="str">
        <f>IFERROR(VLOOKUP($M5606,'Informations sur les produits'!$A$3:$H$10000,8,FALSE),"0")</f>
        <v>0</v>
      </c>
      <c r="P5606" s="33">
        <f t="shared" si="348"/>
        <v>0</v>
      </c>
      <c r="Q5606" s="31" t="str">
        <f t="shared" si="349"/>
        <v/>
      </c>
      <c r="R5606" s="32" t="str">
        <f>IFERROR(VLOOKUP($D5606,'Informations sur les produits'!$A$3:$B$15000,2,FALSE),"")</f>
        <v/>
      </c>
      <c r="V5606">
        <f t="shared" si="350"/>
        <v>0</v>
      </c>
      <c r="W5606">
        <f t="shared" si="351"/>
        <v>0</v>
      </c>
    </row>
    <row r="5607" spans="5:23" x14ac:dyDescent="0.25">
      <c r="E5607" s="4"/>
      <c r="F5607" s="4"/>
      <c r="G5607" s="33" t="str">
        <f>IFERROR(VLOOKUP($D5607,'Informations sur les produits'!$A$3:$H$10000,8,FALSE),"0")</f>
        <v>0</v>
      </c>
      <c r="K5607" s="4"/>
      <c r="L5607" s="33" t="str">
        <f>IFERROR(VLOOKUP($J5607,'Informations sur les produits'!$A$3:$H$10000,8,FALSE),"0")</f>
        <v>0</v>
      </c>
      <c r="N5607" s="8"/>
      <c r="O5607" s="33" t="str">
        <f>IFERROR(VLOOKUP($M5607,'Informations sur les produits'!$A$3:$H$10000,8,FALSE),"0")</f>
        <v>0</v>
      </c>
      <c r="P5607" s="33">
        <f t="shared" si="348"/>
        <v>0</v>
      </c>
      <c r="Q5607" s="31" t="str">
        <f t="shared" si="349"/>
        <v/>
      </c>
      <c r="R5607" s="32" t="str">
        <f>IFERROR(VLOOKUP($D5607,'Informations sur les produits'!$A$3:$B$15000,2,FALSE),"")</f>
        <v/>
      </c>
      <c r="V5607">
        <f t="shared" si="350"/>
        <v>0</v>
      </c>
      <c r="W5607">
        <f t="shared" si="351"/>
        <v>0</v>
      </c>
    </row>
    <row r="5608" spans="5:23" x14ac:dyDescent="0.25">
      <c r="E5608" s="4"/>
      <c r="F5608" s="4"/>
      <c r="G5608" s="33" t="str">
        <f>IFERROR(VLOOKUP($D5608,'Informations sur les produits'!$A$3:$H$10000,8,FALSE),"0")</f>
        <v>0</v>
      </c>
      <c r="K5608" s="4"/>
      <c r="L5608" s="33" t="str">
        <f>IFERROR(VLOOKUP($J5608,'Informations sur les produits'!$A$3:$H$10000,8,FALSE),"0")</f>
        <v>0</v>
      </c>
      <c r="N5608" s="8"/>
      <c r="O5608" s="33" t="str">
        <f>IFERROR(VLOOKUP($M5608,'Informations sur les produits'!$A$3:$H$10000,8,FALSE),"0")</f>
        <v>0</v>
      </c>
      <c r="P5608" s="33">
        <f t="shared" si="348"/>
        <v>0</v>
      </c>
      <c r="Q5608" s="31" t="str">
        <f t="shared" si="349"/>
        <v/>
      </c>
      <c r="R5608" s="32" t="str">
        <f>IFERROR(VLOOKUP($D5608,'Informations sur les produits'!$A$3:$B$15000,2,FALSE),"")</f>
        <v/>
      </c>
      <c r="V5608">
        <f t="shared" si="350"/>
        <v>0</v>
      </c>
      <c r="W5608">
        <f t="shared" si="351"/>
        <v>0</v>
      </c>
    </row>
    <row r="5609" spans="5:23" x14ac:dyDescent="0.25">
      <c r="E5609" s="4"/>
      <c r="F5609" s="4"/>
      <c r="G5609" s="33" t="str">
        <f>IFERROR(VLOOKUP($D5609,'Informations sur les produits'!$A$3:$H$10000,8,FALSE),"0")</f>
        <v>0</v>
      </c>
      <c r="K5609" s="4"/>
      <c r="L5609" s="33" t="str">
        <f>IFERROR(VLOOKUP($J5609,'Informations sur les produits'!$A$3:$H$10000,8,FALSE),"0")</f>
        <v>0</v>
      </c>
      <c r="N5609" s="8"/>
      <c r="O5609" s="33" t="str">
        <f>IFERROR(VLOOKUP($M5609,'Informations sur les produits'!$A$3:$H$10000,8,FALSE),"0")</f>
        <v>0</v>
      </c>
      <c r="P5609" s="33">
        <f t="shared" si="348"/>
        <v>0</v>
      </c>
      <c r="Q5609" s="31" t="str">
        <f t="shared" si="349"/>
        <v/>
      </c>
      <c r="R5609" s="32" t="str">
        <f>IFERROR(VLOOKUP($D5609,'Informations sur les produits'!$A$3:$B$15000,2,FALSE),"")</f>
        <v/>
      </c>
      <c r="V5609">
        <f t="shared" si="350"/>
        <v>0</v>
      </c>
      <c r="W5609">
        <f t="shared" si="351"/>
        <v>0</v>
      </c>
    </row>
    <row r="5610" spans="5:23" x14ac:dyDescent="0.25">
      <c r="E5610" s="4"/>
      <c r="F5610" s="4"/>
      <c r="G5610" s="33" t="str">
        <f>IFERROR(VLOOKUP($D5610,'Informations sur les produits'!$A$3:$H$10000,8,FALSE),"0")</f>
        <v>0</v>
      </c>
      <c r="K5610" s="4"/>
      <c r="L5610" s="33" t="str">
        <f>IFERROR(VLOOKUP($J5610,'Informations sur les produits'!$A$3:$H$10000,8,FALSE),"0")</f>
        <v>0</v>
      </c>
      <c r="N5610" s="8"/>
      <c r="O5610" s="33" t="str">
        <f>IFERROR(VLOOKUP($M5610,'Informations sur les produits'!$A$3:$H$10000,8,FALSE),"0")</f>
        <v>0</v>
      </c>
      <c r="P5610" s="33">
        <f t="shared" si="348"/>
        <v>0</v>
      </c>
      <c r="Q5610" s="31" t="str">
        <f t="shared" si="349"/>
        <v/>
      </c>
      <c r="R5610" s="32" t="str">
        <f>IFERROR(VLOOKUP($D5610,'Informations sur les produits'!$A$3:$B$15000,2,FALSE),"")</f>
        <v/>
      </c>
      <c r="V5610">
        <f t="shared" si="350"/>
        <v>0</v>
      </c>
      <c r="W5610">
        <f t="shared" si="351"/>
        <v>0</v>
      </c>
    </row>
    <row r="5611" spans="5:23" x14ac:dyDescent="0.25">
      <c r="E5611" s="4"/>
      <c r="F5611" s="4"/>
      <c r="G5611" s="33" t="str">
        <f>IFERROR(VLOOKUP($D5611,'Informations sur les produits'!$A$3:$H$10000,8,FALSE),"0")</f>
        <v>0</v>
      </c>
      <c r="K5611" s="4"/>
      <c r="L5611" s="33" t="str">
        <f>IFERROR(VLOOKUP($J5611,'Informations sur les produits'!$A$3:$H$10000,8,FALSE),"0")</f>
        <v>0</v>
      </c>
      <c r="N5611" s="8"/>
      <c r="O5611" s="33" t="str">
        <f>IFERROR(VLOOKUP($M5611,'Informations sur les produits'!$A$3:$H$10000,8,FALSE),"0")</f>
        <v>0</v>
      </c>
      <c r="P5611" s="33">
        <f t="shared" si="348"/>
        <v>0</v>
      </c>
      <c r="Q5611" s="31" t="str">
        <f t="shared" si="349"/>
        <v/>
      </c>
      <c r="R5611" s="32" t="str">
        <f>IFERROR(VLOOKUP($D5611,'Informations sur les produits'!$A$3:$B$15000,2,FALSE),"")</f>
        <v/>
      </c>
      <c r="V5611">
        <f t="shared" si="350"/>
        <v>0</v>
      </c>
      <c r="W5611">
        <f t="shared" si="351"/>
        <v>0</v>
      </c>
    </row>
    <row r="5612" spans="5:23" x14ac:dyDescent="0.25">
      <c r="E5612" s="4"/>
      <c r="F5612" s="4"/>
      <c r="G5612" s="33" t="str">
        <f>IFERROR(VLOOKUP($D5612,'Informations sur les produits'!$A$3:$H$10000,8,FALSE),"0")</f>
        <v>0</v>
      </c>
      <c r="K5612" s="4"/>
      <c r="L5612" s="33" t="str">
        <f>IFERROR(VLOOKUP($J5612,'Informations sur les produits'!$A$3:$H$10000,8,FALSE),"0")</f>
        <v>0</v>
      </c>
      <c r="N5612" s="8"/>
      <c r="O5612" s="33" t="str">
        <f>IFERROR(VLOOKUP($M5612,'Informations sur les produits'!$A$3:$H$10000,8,FALSE),"0")</f>
        <v>0</v>
      </c>
      <c r="P5612" s="33">
        <f t="shared" si="348"/>
        <v>0</v>
      </c>
      <c r="Q5612" s="31" t="str">
        <f t="shared" si="349"/>
        <v/>
      </c>
      <c r="R5612" s="32" t="str">
        <f>IFERROR(VLOOKUP($D5612,'Informations sur les produits'!$A$3:$B$15000,2,FALSE),"")</f>
        <v/>
      </c>
      <c r="V5612">
        <f t="shared" si="350"/>
        <v>0</v>
      </c>
      <c r="W5612">
        <f t="shared" si="351"/>
        <v>0</v>
      </c>
    </row>
    <row r="5613" spans="5:23" x14ac:dyDescent="0.25">
      <c r="E5613" s="4"/>
      <c r="F5613" s="4"/>
      <c r="G5613" s="33" t="str">
        <f>IFERROR(VLOOKUP($D5613,'Informations sur les produits'!$A$3:$H$10000,8,FALSE),"0")</f>
        <v>0</v>
      </c>
      <c r="K5613" s="4"/>
      <c r="L5613" s="33" t="str">
        <f>IFERROR(VLOOKUP($J5613,'Informations sur les produits'!$A$3:$H$10000,8,FALSE),"0")</f>
        <v>0</v>
      </c>
      <c r="N5613" s="8"/>
      <c r="O5613" s="33" t="str">
        <f>IFERROR(VLOOKUP($M5613,'Informations sur les produits'!$A$3:$H$10000,8,FALSE),"0")</f>
        <v>0</v>
      </c>
      <c r="P5613" s="33">
        <f t="shared" si="348"/>
        <v>0</v>
      </c>
      <c r="Q5613" s="31" t="str">
        <f t="shared" si="349"/>
        <v/>
      </c>
      <c r="R5613" s="32" t="str">
        <f>IFERROR(VLOOKUP($D5613,'Informations sur les produits'!$A$3:$B$15000,2,FALSE),"")</f>
        <v/>
      </c>
      <c r="V5613">
        <f t="shared" si="350"/>
        <v>0</v>
      </c>
      <c r="W5613">
        <f t="shared" si="351"/>
        <v>0</v>
      </c>
    </row>
    <row r="5614" spans="5:23" x14ac:dyDescent="0.25">
      <c r="E5614" s="4"/>
      <c r="F5614" s="4"/>
      <c r="G5614" s="33" t="str">
        <f>IFERROR(VLOOKUP($D5614,'Informations sur les produits'!$A$3:$H$10000,8,FALSE),"0")</f>
        <v>0</v>
      </c>
      <c r="K5614" s="4"/>
      <c r="L5614" s="33" t="str">
        <f>IFERROR(VLOOKUP($J5614,'Informations sur les produits'!$A$3:$H$10000,8,FALSE),"0")</f>
        <v>0</v>
      </c>
      <c r="N5614" s="8"/>
      <c r="O5614" s="33" t="str">
        <f>IFERROR(VLOOKUP($M5614,'Informations sur les produits'!$A$3:$H$10000,8,FALSE),"0")</f>
        <v>0</v>
      </c>
      <c r="P5614" s="33">
        <f t="shared" si="348"/>
        <v>0</v>
      </c>
      <c r="Q5614" s="31" t="str">
        <f t="shared" si="349"/>
        <v/>
      </c>
      <c r="R5614" s="32" t="str">
        <f>IFERROR(VLOOKUP($D5614,'Informations sur les produits'!$A$3:$B$15000,2,FALSE),"")</f>
        <v/>
      </c>
      <c r="V5614">
        <f t="shared" si="350"/>
        <v>0</v>
      </c>
      <c r="W5614">
        <f t="shared" si="351"/>
        <v>0</v>
      </c>
    </row>
    <row r="5615" spans="5:23" x14ac:dyDescent="0.25">
      <c r="E5615" s="4"/>
      <c r="F5615" s="4"/>
      <c r="G5615" s="33" t="str">
        <f>IFERROR(VLOOKUP($D5615,'Informations sur les produits'!$A$3:$H$10000,8,FALSE),"0")</f>
        <v>0</v>
      </c>
      <c r="K5615" s="4"/>
      <c r="L5615" s="33" t="str">
        <f>IFERROR(VLOOKUP($J5615,'Informations sur les produits'!$A$3:$H$10000,8,FALSE),"0")</f>
        <v>0</v>
      </c>
      <c r="N5615" s="8"/>
      <c r="O5615" s="33" t="str">
        <f>IFERROR(VLOOKUP($M5615,'Informations sur les produits'!$A$3:$H$10000,8,FALSE),"0")</f>
        <v>0</v>
      </c>
      <c r="P5615" s="33">
        <f t="shared" si="348"/>
        <v>0</v>
      </c>
      <c r="Q5615" s="31" t="str">
        <f t="shared" si="349"/>
        <v/>
      </c>
      <c r="R5615" s="32" t="str">
        <f>IFERROR(VLOOKUP($D5615,'Informations sur les produits'!$A$3:$B$15000,2,FALSE),"")</f>
        <v/>
      </c>
      <c r="V5615">
        <f t="shared" si="350"/>
        <v>0</v>
      </c>
      <c r="W5615">
        <f t="shared" si="351"/>
        <v>0</v>
      </c>
    </row>
    <row r="5616" spans="5:23" x14ac:dyDescent="0.25">
      <c r="E5616" s="4"/>
      <c r="F5616" s="4"/>
      <c r="G5616" s="33" t="str">
        <f>IFERROR(VLOOKUP($D5616,'Informations sur les produits'!$A$3:$H$10000,8,FALSE),"0")</f>
        <v>0</v>
      </c>
      <c r="K5616" s="4"/>
      <c r="L5616" s="33" t="str">
        <f>IFERROR(VLOOKUP($J5616,'Informations sur les produits'!$A$3:$H$10000,8,FALSE),"0")</f>
        <v>0</v>
      </c>
      <c r="N5616" s="8"/>
      <c r="O5616" s="33" t="str">
        <f>IFERROR(VLOOKUP($M5616,'Informations sur les produits'!$A$3:$H$10000,8,FALSE),"0")</f>
        <v>0</v>
      </c>
      <c r="P5616" s="33">
        <f t="shared" si="348"/>
        <v>0</v>
      </c>
      <c r="Q5616" s="31" t="str">
        <f t="shared" si="349"/>
        <v/>
      </c>
      <c r="R5616" s="32" t="str">
        <f>IFERROR(VLOOKUP($D5616,'Informations sur les produits'!$A$3:$B$15000,2,FALSE),"")</f>
        <v/>
      </c>
      <c r="V5616">
        <f t="shared" si="350"/>
        <v>0</v>
      </c>
      <c r="W5616">
        <f t="shared" si="351"/>
        <v>0</v>
      </c>
    </row>
    <row r="5617" spans="5:23" x14ac:dyDescent="0.25">
      <c r="E5617" s="4"/>
      <c r="F5617" s="4"/>
      <c r="G5617" s="33" t="str">
        <f>IFERROR(VLOOKUP($D5617,'Informations sur les produits'!$A$3:$H$10000,8,FALSE),"0")</f>
        <v>0</v>
      </c>
      <c r="K5617" s="4"/>
      <c r="L5617" s="33" t="str">
        <f>IFERROR(VLOOKUP($J5617,'Informations sur les produits'!$A$3:$H$10000,8,FALSE),"0")</f>
        <v>0</v>
      </c>
      <c r="N5617" s="8"/>
      <c r="O5617" s="33" t="str">
        <f>IFERROR(VLOOKUP($M5617,'Informations sur les produits'!$A$3:$H$10000,8,FALSE),"0")</f>
        <v>0</v>
      </c>
      <c r="P5617" s="33">
        <f t="shared" si="348"/>
        <v>0</v>
      </c>
      <c r="Q5617" s="31" t="str">
        <f t="shared" si="349"/>
        <v/>
      </c>
      <c r="R5617" s="32" t="str">
        <f>IFERROR(VLOOKUP($D5617,'Informations sur les produits'!$A$3:$B$15000,2,FALSE),"")</f>
        <v/>
      </c>
      <c r="V5617">
        <f t="shared" si="350"/>
        <v>0</v>
      </c>
      <c r="W5617">
        <f t="shared" si="351"/>
        <v>0</v>
      </c>
    </row>
    <row r="5618" spans="5:23" x14ac:dyDescent="0.25">
      <c r="E5618" s="4"/>
      <c r="F5618" s="4"/>
      <c r="G5618" s="33" t="str">
        <f>IFERROR(VLOOKUP($D5618,'Informations sur les produits'!$A$3:$H$10000,8,FALSE),"0")</f>
        <v>0</v>
      </c>
      <c r="K5618" s="4"/>
      <c r="L5618" s="33" t="str">
        <f>IFERROR(VLOOKUP($J5618,'Informations sur les produits'!$A$3:$H$10000,8,FALSE),"0")</f>
        <v>0</v>
      </c>
      <c r="N5618" s="8"/>
      <c r="O5618" s="33" t="str">
        <f>IFERROR(VLOOKUP($M5618,'Informations sur les produits'!$A$3:$H$10000,8,FALSE),"0")</f>
        <v>0</v>
      </c>
      <c r="P5618" s="33">
        <f t="shared" si="348"/>
        <v>0</v>
      </c>
      <c r="Q5618" s="31" t="str">
        <f t="shared" si="349"/>
        <v/>
      </c>
      <c r="R5618" s="32" t="str">
        <f>IFERROR(VLOOKUP($D5618,'Informations sur les produits'!$A$3:$B$15000,2,FALSE),"")</f>
        <v/>
      </c>
      <c r="V5618">
        <f t="shared" si="350"/>
        <v>0</v>
      </c>
      <c r="W5618">
        <f t="shared" si="351"/>
        <v>0</v>
      </c>
    </row>
    <row r="5619" spans="5:23" x14ac:dyDescent="0.25">
      <c r="E5619" s="4"/>
      <c r="F5619" s="4"/>
      <c r="G5619" s="33" t="str">
        <f>IFERROR(VLOOKUP($D5619,'Informations sur les produits'!$A$3:$H$10000,8,FALSE),"0")</f>
        <v>0</v>
      </c>
      <c r="K5619" s="4"/>
      <c r="L5619" s="33" t="str">
        <f>IFERROR(VLOOKUP($J5619,'Informations sur les produits'!$A$3:$H$10000,8,FALSE),"0")</f>
        <v>0</v>
      </c>
      <c r="N5619" s="8"/>
      <c r="O5619" s="33" t="str">
        <f>IFERROR(VLOOKUP($M5619,'Informations sur les produits'!$A$3:$H$10000,8,FALSE),"0")</f>
        <v>0</v>
      </c>
      <c r="P5619" s="33">
        <f t="shared" si="348"/>
        <v>0</v>
      </c>
      <c r="Q5619" s="31" t="str">
        <f t="shared" si="349"/>
        <v/>
      </c>
      <c r="R5619" s="32" t="str">
        <f>IFERROR(VLOOKUP($D5619,'Informations sur les produits'!$A$3:$B$15000,2,FALSE),"")</f>
        <v/>
      </c>
      <c r="V5619">
        <f t="shared" si="350"/>
        <v>0</v>
      </c>
      <c r="W5619">
        <f t="shared" si="351"/>
        <v>0</v>
      </c>
    </row>
    <row r="5620" spans="5:23" x14ac:dyDescent="0.25">
      <c r="E5620" s="4"/>
      <c r="F5620" s="4"/>
      <c r="G5620" s="33" t="str">
        <f>IFERROR(VLOOKUP($D5620,'Informations sur les produits'!$A$3:$H$10000,8,FALSE),"0")</f>
        <v>0</v>
      </c>
      <c r="K5620" s="4"/>
      <c r="L5620" s="33" t="str">
        <f>IFERROR(VLOOKUP($J5620,'Informations sur les produits'!$A$3:$H$10000,8,FALSE),"0")</f>
        <v>0</v>
      </c>
      <c r="N5620" s="8"/>
      <c r="O5620" s="33" t="str">
        <f>IFERROR(VLOOKUP($M5620,'Informations sur les produits'!$A$3:$H$10000,8,FALSE),"0")</f>
        <v>0</v>
      </c>
      <c r="P5620" s="33">
        <f t="shared" si="348"/>
        <v>0</v>
      </c>
      <c r="Q5620" s="31" t="str">
        <f t="shared" si="349"/>
        <v/>
      </c>
      <c r="R5620" s="32" t="str">
        <f>IFERROR(VLOOKUP($D5620,'Informations sur les produits'!$A$3:$B$15000,2,FALSE),"")</f>
        <v/>
      </c>
      <c r="V5620">
        <f t="shared" si="350"/>
        <v>0</v>
      </c>
      <c r="W5620">
        <f t="shared" si="351"/>
        <v>0</v>
      </c>
    </row>
    <row r="5621" spans="5:23" x14ac:dyDescent="0.25">
      <c r="E5621" s="4"/>
      <c r="F5621" s="4"/>
      <c r="G5621" s="33" t="str">
        <f>IFERROR(VLOOKUP($D5621,'Informations sur les produits'!$A$3:$H$10000,8,FALSE),"0")</f>
        <v>0</v>
      </c>
      <c r="K5621" s="4"/>
      <c r="L5621" s="33" t="str">
        <f>IFERROR(VLOOKUP($J5621,'Informations sur les produits'!$A$3:$H$10000,8,FALSE),"0")</f>
        <v>0</v>
      </c>
      <c r="N5621" s="8"/>
      <c r="O5621" s="33" t="str">
        <f>IFERROR(VLOOKUP($M5621,'Informations sur les produits'!$A$3:$H$10000,8,FALSE),"0")</f>
        <v>0</v>
      </c>
      <c r="P5621" s="33">
        <f t="shared" si="348"/>
        <v>0</v>
      </c>
      <c r="Q5621" s="31" t="str">
        <f t="shared" si="349"/>
        <v/>
      </c>
      <c r="R5621" s="32" t="str">
        <f>IFERROR(VLOOKUP($D5621,'Informations sur les produits'!$A$3:$B$15000,2,FALSE),"")</f>
        <v/>
      </c>
      <c r="V5621">
        <f t="shared" si="350"/>
        <v>0</v>
      </c>
      <c r="W5621">
        <f t="shared" si="351"/>
        <v>0</v>
      </c>
    </row>
    <row r="5622" spans="5:23" x14ac:dyDescent="0.25">
      <c r="E5622" s="4"/>
      <c r="F5622" s="4"/>
      <c r="G5622" s="33" t="str">
        <f>IFERROR(VLOOKUP($D5622,'Informations sur les produits'!$A$3:$H$10000,8,FALSE),"0")</f>
        <v>0</v>
      </c>
      <c r="K5622" s="4"/>
      <c r="L5622" s="33" t="str">
        <f>IFERROR(VLOOKUP($J5622,'Informations sur les produits'!$A$3:$H$10000,8,FALSE),"0")</f>
        <v>0</v>
      </c>
      <c r="N5622" s="8"/>
      <c r="O5622" s="33" t="str">
        <f>IFERROR(VLOOKUP($M5622,'Informations sur les produits'!$A$3:$H$10000,8,FALSE),"0")</f>
        <v>0</v>
      </c>
      <c r="P5622" s="33">
        <f t="shared" si="348"/>
        <v>0</v>
      </c>
      <c r="Q5622" s="31" t="str">
        <f t="shared" si="349"/>
        <v/>
      </c>
      <c r="R5622" s="32" t="str">
        <f>IFERROR(VLOOKUP($D5622,'Informations sur les produits'!$A$3:$B$15000,2,FALSE),"")</f>
        <v/>
      </c>
      <c r="V5622">
        <f t="shared" si="350"/>
        <v>0</v>
      </c>
      <c r="W5622">
        <f t="shared" si="351"/>
        <v>0</v>
      </c>
    </row>
    <row r="5623" spans="5:23" x14ac:dyDescent="0.25">
      <c r="E5623" s="4"/>
      <c r="F5623" s="4"/>
      <c r="G5623" s="33" t="str">
        <f>IFERROR(VLOOKUP($D5623,'Informations sur les produits'!$A$3:$H$10000,8,FALSE),"0")</f>
        <v>0</v>
      </c>
      <c r="K5623" s="4"/>
      <c r="L5623" s="33" t="str">
        <f>IFERROR(VLOOKUP($J5623,'Informations sur les produits'!$A$3:$H$10000,8,FALSE),"0")</f>
        <v>0</v>
      </c>
      <c r="N5623" s="8"/>
      <c r="O5623" s="33" t="str">
        <f>IFERROR(VLOOKUP($M5623,'Informations sur les produits'!$A$3:$H$10000,8,FALSE),"0")</f>
        <v>0</v>
      </c>
      <c r="P5623" s="33">
        <f t="shared" si="348"/>
        <v>0</v>
      </c>
      <c r="Q5623" s="31" t="str">
        <f t="shared" si="349"/>
        <v/>
      </c>
      <c r="R5623" s="32" t="str">
        <f>IFERROR(VLOOKUP($D5623,'Informations sur les produits'!$A$3:$B$15000,2,FALSE),"")</f>
        <v/>
      </c>
      <c r="V5623">
        <f t="shared" si="350"/>
        <v>0</v>
      </c>
      <c r="W5623">
        <f t="shared" si="351"/>
        <v>0</v>
      </c>
    </row>
    <row r="5624" spans="5:23" x14ac:dyDescent="0.25">
      <c r="E5624" s="4"/>
      <c r="F5624" s="4"/>
      <c r="G5624" s="33" t="str">
        <f>IFERROR(VLOOKUP($D5624,'Informations sur les produits'!$A$3:$H$10000,8,FALSE),"0")</f>
        <v>0</v>
      </c>
      <c r="K5624" s="4"/>
      <c r="L5624" s="33" t="str">
        <f>IFERROR(VLOOKUP($J5624,'Informations sur les produits'!$A$3:$H$10000,8,FALSE),"0")</f>
        <v>0</v>
      </c>
      <c r="N5624" s="8"/>
      <c r="O5624" s="33" t="str">
        <f>IFERROR(VLOOKUP($M5624,'Informations sur les produits'!$A$3:$H$10000,8,FALSE),"0")</f>
        <v>0</v>
      </c>
      <c r="P5624" s="33">
        <f t="shared" si="348"/>
        <v>0</v>
      </c>
      <c r="Q5624" s="31" t="str">
        <f t="shared" si="349"/>
        <v/>
      </c>
      <c r="R5624" s="32" t="str">
        <f>IFERROR(VLOOKUP($D5624,'Informations sur les produits'!$A$3:$B$15000,2,FALSE),"")</f>
        <v/>
      </c>
      <c r="V5624">
        <f t="shared" si="350"/>
        <v>0</v>
      </c>
      <c r="W5624">
        <f t="shared" si="351"/>
        <v>0</v>
      </c>
    </row>
    <row r="5625" spans="5:23" x14ac:dyDescent="0.25">
      <c r="E5625" s="4"/>
      <c r="F5625" s="4"/>
      <c r="G5625" s="33" t="str">
        <f>IFERROR(VLOOKUP($D5625,'Informations sur les produits'!$A$3:$H$10000,8,FALSE),"0")</f>
        <v>0</v>
      </c>
      <c r="K5625" s="4"/>
      <c r="L5625" s="33" t="str">
        <f>IFERROR(VLOOKUP($J5625,'Informations sur les produits'!$A$3:$H$10000,8,FALSE),"0")</f>
        <v>0</v>
      </c>
      <c r="N5625" s="8"/>
      <c r="O5625" s="33" t="str">
        <f>IFERROR(VLOOKUP($M5625,'Informations sur les produits'!$A$3:$H$10000,8,FALSE),"0")</f>
        <v>0</v>
      </c>
      <c r="P5625" s="33">
        <f t="shared" si="348"/>
        <v>0</v>
      </c>
      <c r="Q5625" s="31" t="str">
        <f t="shared" si="349"/>
        <v/>
      </c>
      <c r="R5625" s="32" t="str">
        <f>IFERROR(VLOOKUP($D5625,'Informations sur les produits'!$A$3:$B$15000,2,FALSE),"")</f>
        <v/>
      </c>
      <c r="V5625">
        <f t="shared" si="350"/>
        <v>0</v>
      </c>
      <c r="W5625">
        <f t="shared" si="351"/>
        <v>0</v>
      </c>
    </row>
    <row r="5626" spans="5:23" x14ac:dyDescent="0.25">
      <c r="E5626" s="4"/>
      <c r="F5626" s="4"/>
      <c r="G5626" s="33" t="str">
        <f>IFERROR(VLOOKUP($D5626,'Informations sur les produits'!$A$3:$H$10000,8,FALSE),"0")</f>
        <v>0</v>
      </c>
      <c r="K5626" s="4"/>
      <c r="L5626" s="33" t="str">
        <f>IFERROR(VLOOKUP($J5626,'Informations sur les produits'!$A$3:$H$10000,8,FALSE),"0")</f>
        <v>0</v>
      </c>
      <c r="N5626" s="8"/>
      <c r="O5626" s="33" t="str">
        <f>IFERROR(VLOOKUP($M5626,'Informations sur les produits'!$A$3:$H$10000,8,FALSE),"0")</f>
        <v>0</v>
      </c>
      <c r="P5626" s="33">
        <f t="shared" si="348"/>
        <v>0</v>
      </c>
      <c r="Q5626" s="31" t="str">
        <f t="shared" si="349"/>
        <v/>
      </c>
      <c r="R5626" s="32" t="str">
        <f>IFERROR(VLOOKUP($D5626,'Informations sur les produits'!$A$3:$B$15000,2,FALSE),"")</f>
        <v/>
      </c>
      <c r="V5626">
        <f t="shared" si="350"/>
        <v>0</v>
      </c>
      <c r="W5626">
        <f t="shared" si="351"/>
        <v>0</v>
      </c>
    </row>
    <row r="5627" spans="5:23" x14ac:dyDescent="0.25">
      <c r="E5627" s="4"/>
      <c r="F5627" s="4"/>
      <c r="G5627" s="33" t="str">
        <f>IFERROR(VLOOKUP($D5627,'Informations sur les produits'!$A$3:$H$10000,8,FALSE),"0")</f>
        <v>0</v>
      </c>
      <c r="K5627" s="4"/>
      <c r="L5627" s="33" t="str">
        <f>IFERROR(VLOOKUP($J5627,'Informations sur les produits'!$A$3:$H$10000,8,FALSE),"0")</f>
        <v>0</v>
      </c>
      <c r="N5627" s="8"/>
      <c r="O5627" s="33" t="str">
        <f>IFERROR(VLOOKUP($M5627,'Informations sur les produits'!$A$3:$H$10000,8,FALSE),"0")</f>
        <v>0</v>
      </c>
      <c r="P5627" s="33">
        <f t="shared" si="348"/>
        <v>0</v>
      </c>
      <c r="Q5627" s="31" t="str">
        <f t="shared" si="349"/>
        <v/>
      </c>
      <c r="R5627" s="32" t="str">
        <f>IFERROR(VLOOKUP($D5627,'Informations sur les produits'!$A$3:$B$15000,2,FALSE),"")</f>
        <v/>
      </c>
      <c r="V5627">
        <f t="shared" si="350"/>
        <v>0</v>
      </c>
      <c r="W5627">
        <f t="shared" si="351"/>
        <v>0</v>
      </c>
    </row>
    <row r="5628" spans="5:23" x14ac:dyDescent="0.25">
      <c r="E5628" s="4"/>
      <c r="F5628" s="4"/>
      <c r="G5628" s="33" t="str">
        <f>IFERROR(VLOOKUP($D5628,'Informations sur les produits'!$A$3:$H$10000,8,FALSE),"0")</f>
        <v>0</v>
      </c>
      <c r="K5628" s="4"/>
      <c r="L5628" s="33" t="str">
        <f>IFERROR(VLOOKUP($J5628,'Informations sur les produits'!$A$3:$H$10000,8,FALSE),"0")</f>
        <v>0</v>
      </c>
      <c r="N5628" s="8"/>
      <c r="O5628" s="33" t="str">
        <f>IFERROR(VLOOKUP($M5628,'Informations sur les produits'!$A$3:$H$10000,8,FALSE),"0")</f>
        <v>0</v>
      </c>
      <c r="P5628" s="33">
        <f t="shared" si="348"/>
        <v>0</v>
      </c>
      <c r="Q5628" s="31" t="str">
        <f t="shared" si="349"/>
        <v/>
      </c>
      <c r="R5628" s="32" t="str">
        <f>IFERROR(VLOOKUP($D5628,'Informations sur les produits'!$A$3:$B$15000,2,FALSE),"")</f>
        <v/>
      </c>
      <c r="V5628">
        <f t="shared" si="350"/>
        <v>0</v>
      </c>
      <c r="W5628">
        <f t="shared" si="351"/>
        <v>0</v>
      </c>
    </row>
    <row r="5629" spans="5:23" x14ac:dyDescent="0.25">
      <c r="E5629" s="4"/>
      <c r="F5629" s="4"/>
      <c r="G5629" s="33" t="str">
        <f>IFERROR(VLOOKUP($D5629,'Informations sur les produits'!$A$3:$H$10000,8,FALSE),"0")</f>
        <v>0</v>
      </c>
      <c r="K5629" s="4"/>
      <c r="L5629" s="33" t="str">
        <f>IFERROR(VLOOKUP($J5629,'Informations sur les produits'!$A$3:$H$10000,8,FALSE),"0")</f>
        <v>0</v>
      </c>
      <c r="N5629" s="8"/>
      <c r="O5629" s="33" t="str">
        <f>IFERROR(VLOOKUP($M5629,'Informations sur les produits'!$A$3:$H$10000,8,FALSE),"0")</f>
        <v>0</v>
      </c>
      <c r="P5629" s="33">
        <f t="shared" si="348"/>
        <v>0</v>
      </c>
      <c r="Q5629" s="31" t="str">
        <f t="shared" si="349"/>
        <v/>
      </c>
      <c r="R5629" s="32" t="str">
        <f>IFERROR(VLOOKUP($D5629,'Informations sur les produits'!$A$3:$B$15000,2,FALSE),"")</f>
        <v/>
      </c>
      <c r="V5629">
        <f t="shared" si="350"/>
        <v>0</v>
      </c>
      <c r="W5629">
        <f t="shared" si="351"/>
        <v>0</v>
      </c>
    </row>
    <row r="5630" spans="5:23" x14ac:dyDescent="0.25">
      <c r="E5630" s="4"/>
      <c r="F5630" s="4"/>
      <c r="G5630" s="33" t="str">
        <f>IFERROR(VLOOKUP($D5630,'Informations sur les produits'!$A$3:$H$10000,8,FALSE),"0")</f>
        <v>0</v>
      </c>
      <c r="K5630" s="4"/>
      <c r="L5630" s="33" t="str">
        <f>IFERROR(VLOOKUP($J5630,'Informations sur les produits'!$A$3:$H$10000,8,FALSE),"0")</f>
        <v>0</v>
      </c>
      <c r="N5630" s="8"/>
      <c r="O5630" s="33" t="str">
        <f>IFERROR(VLOOKUP($M5630,'Informations sur les produits'!$A$3:$H$10000,8,FALSE),"0")</f>
        <v>0</v>
      </c>
      <c r="P5630" s="33">
        <f t="shared" si="348"/>
        <v>0</v>
      </c>
      <c r="Q5630" s="31" t="str">
        <f t="shared" si="349"/>
        <v/>
      </c>
      <c r="R5630" s="32" t="str">
        <f>IFERROR(VLOOKUP($D5630,'Informations sur les produits'!$A$3:$B$15000,2,FALSE),"")</f>
        <v/>
      </c>
      <c r="V5630">
        <f t="shared" si="350"/>
        <v>0</v>
      </c>
      <c r="W5630">
        <f t="shared" si="351"/>
        <v>0</v>
      </c>
    </row>
    <row r="5631" spans="5:23" x14ac:dyDescent="0.25">
      <c r="E5631" s="4"/>
      <c r="F5631" s="4"/>
      <c r="G5631" s="33" t="str">
        <f>IFERROR(VLOOKUP($D5631,'Informations sur les produits'!$A$3:$H$10000,8,FALSE),"0")</f>
        <v>0</v>
      </c>
      <c r="K5631" s="4"/>
      <c r="L5631" s="33" t="str">
        <f>IFERROR(VLOOKUP($J5631,'Informations sur les produits'!$A$3:$H$10000,8,FALSE),"0")</f>
        <v>0</v>
      </c>
      <c r="N5631" s="8"/>
      <c r="O5631" s="33" t="str">
        <f>IFERROR(VLOOKUP($M5631,'Informations sur les produits'!$A$3:$H$10000,8,FALSE),"0")</f>
        <v>0</v>
      </c>
      <c r="P5631" s="33">
        <f t="shared" si="348"/>
        <v>0</v>
      </c>
      <c r="Q5631" s="31" t="str">
        <f t="shared" si="349"/>
        <v/>
      </c>
      <c r="R5631" s="32" t="str">
        <f>IFERROR(VLOOKUP($D5631,'Informations sur les produits'!$A$3:$B$15000,2,FALSE),"")</f>
        <v/>
      </c>
      <c r="V5631">
        <f t="shared" si="350"/>
        <v>0</v>
      </c>
      <c r="W5631">
        <f t="shared" si="351"/>
        <v>0</v>
      </c>
    </row>
    <row r="5632" spans="5:23" x14ac:dyDescent="0.25">
      <c r="E5632" s="4"/>
      <c r="F5632" s="4"/>
      <c r="G5632" s="33" t="str">
        <f>IFERROR(VLOOKUP($D5632,'Informations sur les produits'!$A$3:$H$10000,8,FALSE),"0")</f>
        <v>0</v>
      </c>
      <c r="K5632" s="4"/>
      <c r="L5632" s="33" t="str">
        <f>IFERROR(VLOOKUP($J5632,'Informations sur les produits'!$A$3:$H$10000,8,FALSE),"0")</f>
        <v>0</v>
      </c>
      <c r="N5632" s="8"/>
      <c r="O5632" s="33" t="str">
        <f>IFERROR(VLOOKUP($M5632,'Informations sur les produits'!$A$3:$H$10000,8,FALSE),"0")</f>
        <v>0</v>
      </c>
      <c r="P5632" s="33">
        <f t="shared" si="348"/>
        <v>0</v>
      </c>
      <c r="Q5632" s="31" t="str">
        <f t="shared" si="349"/>
        <v/>
      </c>
      <c r="R5632" s="32" t="str">
        <f>IFERROR(VLOOKUP($D5632,'Informations sur les produits'!$A$3:$B$15000,2,FALSE),"")</f>
        <v/>
      </c>
      <c r="V5632">
        <f t="shared" si="350"/>
        <v>0</v>
      </c>
      <c r="W5632">
        <f t="shared" si="351"/>
        <v>0</v>
      </c>
    </row>
    <row r="5633" spans="5:23" x14ac:dyDescent="0.25">
      <c r="E5633" s="4"/>
      <c r="F5633" s="4"/>
      <c r="G5633" s="33" t="str">
        <f>IFERROR(VLOOKUP($D5633,'Informations sur les produits'!$A$3:$H$10000,8,FALSE),"0")</f>
        <v>0</v>
      </c>
      <c r="K5633" s="4"/>
      <c r="L5633" s="33" t="str">
        <f>IFERROR(VLOOKUP($J5633,'Informations sur les produits'!$A$3:$H$10000,8,FALSE),"0")</f>
        <v>0</v>
      </c>
      <c r="N5633" s="8"/>
      <c r="O5633" s="33" t="str">
        <f>IFERROR(VLOOKUP($M5633,'Informations sur les produits'!$A$3:$H$10000,8,FALSE),"0")</f>
        <v>0</v>
      </c>
      <c r="P5633" s="33">
        <f t="shared" si="348"/>
        <v>0</v>
      </c>
      <c r="Q5633" s="31" t="str">
        <f t="shared" si="349"/>
        <v/>
      </c>
      <c r="R5633" s="32" t="str">
        <f>IFERROR(VLOOKUP($D5633,'Informations sur les produits'!$A$3:$B$15000,2,FALSE),"")</f>
        <v/>
      </c>
      <c r="V5633">
        <f t="shared" si="350"/>
        <v>0</v>
      </c>
      <c r="W5633">
        <f t="shared" si="351"/>
        <v>0</v>
      </c>
    </row>
    <row r="5634" spans="5:23" x14ac:dyDescent="0.25">
      <c r="E5634" s="4"/>
      <c r="F5634" s="4"/>
      <c r="G5634" s="33" t="str">
        <f>IFERROR(VLOOKUP($D5634,'Informations sur les produits'!$A$3:$H$10000,8,FALSE),"0")</f>
        <v>0</v>
      </c>
      <c r="K5634" s="4"/>
      <c r="L5634" s="33" t="str">
        <f>IFERROR(VLOOKUP($J5634,'Informations sur les produits'!$A$3:$H$10000,8,FALSE),"0")</f>
        <v>0</v>
      </c>
      <c r="N5634" s="8"/>
      <c r="O5634" s="33" t="str">
        <f>IFERROR(VLOOKUP($M5634,'Informations sur les produits'!$A$3:$H$10000,8,FALSE),"0")</f>
        <v>0</v>
      </c>
      <c r="P5634" s="33">
        <f t="shared" si="348"/>
        <v>0</v>
      </c>
      <c r="Q5634" s="31" t="str">
        <f t="shared" si="349"/>
        <v/>
      </c>
      <c r="R5634" s="32" t="str">
        <f>IFERROR(VLOOKUP($D5634,'Informations sur les produits'!$A$3:$B$15000,2,FALSE),"")</f>
        <v/>
      </c>
      <c r="V5634">
        <f t="shared" si="350"/>
        <v>0</v>
      </c>
      <c r="W5634">
        <f t="shared" si="351"/>
        <v>0</v>
      </c>
    </row>
    <row r="5635" spans="5:23" x14ac:dyDescent="0.25">
      <c r="E5635" s="4"/>
      <c r="F5635" s="4"/>
      <c r="G5635" s="33" t="str">
        <f>IFERROR(VLOOKUP($D5635,'Informations sur les produits'!$A$3:$H$10000,8,FALSE),"0")</f>
        <v>0</v>
      </c>
      <c r="K5635" s="4"/>
      <c r="L5635" s="33" t="str">
        <f>IFERROR(VLOOKUP($J5635,'Informations sur les produits'!$A$3:$H$10000,8,FALSE),"0")</f>
        <v>0</v>
      </c>
      <c r="N5635" s="8"/>
      <c r="O5635" s="33" t="str">
        <f>IFERROR(VLOOKUP($M5635,'Informations sur les produits'!$A$3:$H$10000,8,FALSE),"0")</f>
        <v>0</v>
      </c>
      <c r="P5635" s="33">
        <f t="shared" si="348"/>
        <v>0</v>
      </c>
      <c r="Q5635" s="31" t="str">
        <f t="shared" si="349"/>
        <v/>
      </c>
      <c r="R5635" s="32" t="str">
        <f>IFERROR(VLOOKUP($D5635,'Informations sur les produits'!$A$3:$B$15000,2,FALSE),"")</f>
        <v/>
      </c>
      <c r="V5635">
        <f t="shared" si="350"/>
        <v>0</v>
      </c>
      <c r="W5635">
        <f t="shared" si="351"/>
        <v>0</v>
      </c>
    </row>
    <row r="5636" spans="5:23" x14ac:dyDescent="0.25">
      <c r="E5636" s="4"/>
      <c r="F5636" s="4"/>
      <c r="G5636" s="33" t="str">
        <f>IFERROR(VLOOKUP($D5636,'Informations sur les produits'!$A$3:$H$10000,8,FALSE),"0")</f>
        <v>0</v>
      </c>
      <c r="K5636" s="4"/>
      <c r="L5636" s="33" t="str">
        <f>IFERROR(VLOOKUP($J5636,'Informations sur les produits'!$A$3:$H$10000,8,FALSE),"0")</f>
        <v>0</v>
      </c>
      <c r="N5636" s="8"/>
      <c r="O5636" s="33" t="str">
        <f>IFERROR(VLOOKUP($M5636,'Informations sur les produits'!$A$3:$H$10000,8,FALSE),"0")</f>
        <v>0</v>
      </c>
      <c r="P5636" s="33">
        <f t="shared" ref="P5636:P5699" si="352">IFERROR((($E5636-$F5636)*$G5636+$K5636*$L5636+$N5636*$O5636),"")</f>
        <v>0</v>
      </c>
      <c r="Q5636" s="31" t="str">
        <f t="shared" ref="Q5636:Q5699" si="353">IFERROR((((($E5636-$F5636)*$G5636+$K5636*$L5636+$N5636*$O5636)*1000)/(($E5636-$F5636)+$K5636+$N5636)),"")</f>
        <v/>
      </c>
      <c r="R5636" s="32" t="str">
        <f>IFERROR(VLOOKUP($D5636,'Informations sur les produits'!$A$3:$B$15000,2,FALSE),"")</f>
        <v/>
      </c>
      <c r="V5636">
        <f t="shared" ref="V5636:V5699" si="354">IFERROR(P5636*1000,"")</f>
        <v>0</v>
      </c>
      <c r="W5636">
        <f t="shared" ref="W5636:W5699" si="355">IFERROR(($E5636-$F5636)+$K5636+$N5636,"")</f>
        <v>0</v>
      </c>
    </row>
    <row r="5637" spans="5:23" x14ac:dyDescent="0.25">
      <c r="E5637" s="4"/>
      <c r="F5637" s="4"/>
      <c r="G5637" s="33" t="str">
        <f>IFERROR(VLOOKUP($D5637,'Informations sur les produits'!$A$3:$H$10000,8,FALSE),"0")</f>
        <v>0</v>
      </c>
      <c r="K5637" s="4"/>
      <c r="L5637" s="33" t="str">
        <f>IFERROR(VLOOKUP($J5637,'Informations sur les produits'!$A$3:$H$10000,8,FALSE),"0")</f>
        <v>0</v>
      </c>
      <c r="N5637" s="8"/>
      <c r="O5637" s="33" t="str">
        <f>IFERROR(VLOOKUP($M5637,'Informations sur les produits'!$A$3:$H$10000,8,FALSE),"0")</f>
        <v>0</v>
      </c>
      <c r="P5637" s="33">
        <f t="shared" si="352"/>
        <v>0</v>
      </c>
      <c r="Q5637" s="31" t="str">
        <f t="shared" si="353"/>
        <v/>
      </c>
      <c r="R5637" s="32" t="str">
        <f>IFERROR(VLOOKUP($D5637,'Informations sur les produits'!$A$3:$B$15000,2,FALSE),"")</f>
        <v/>
      </c>
      <c r="V5637">
        <f t="shared" si="354"/>
        <v>0</v>
      </c>
      <c r="W5637">
        <f t="shared" si="355"/>
        <v>0</v>
      </c>
    </row>
    <row r="5638" spans="5:23" x14ac:dyDescent="0.25">
      <c r="E5638" s="4"/>
      <c r="F5638" s="4"/>
      <c r="G5638" s="33" t="str">
        <f>IFERROR(VLOOKUP($D5638,'Informations sur les produits'!$A$3:$H$10000,8,FALSE),"0")</f>
        <v>0</v>
      </c>
      <c r="K5638" s="4"/>
      <c r="L5638" s="33" t="str">
        <f>IFERROR(VLOOKUP($J5638,'Informations sur les produits'!$A$3:$H$10000,8,FALSE),"0")</f>
        <v>0</v>
      </c>
      <c r="N5638" s="8"/>
      <c r="O5638" s="33" t="str">
        <f>IFERROR(VLOOKUP($M5638,'Informations sur les produits'!$A$3:$H$10000,8,FALSE),"0")</f>
        <v>0</v>
      </c>
      <c r="P5638" s="33">
        <f t="shared" si="352"/>
        <v>0</v>
      </c>
      <c r="Q5638" s="31" t="str">
        <f t="shared" si="353"/>
        <v/>
      </c>
      <c r="R5638" s="32" t="str">
        <f>IFERROR(VLOOKUP($D5638,'Informations sur les produits'!$A$3:$B$15000,2,FALSE),"")</f>
        <v/>
      </c>
      <c r="V5638">
        <f t="shared" si="354"/>
        <v>0</v>
      </c>
      <c r="W5638">
        <f t="shared" si="355"/>
        <v>0</v>
      </c>
    </row>
    <row r="5639" spans="5:23" x14ac:dyDescent="0.25">
      <c r="E5639" s="4"/>
      <c r="F5639" s="4"/>
      <c r="G5639" s="33" t="str">
        <f>IFERROR(VLOOKUP($D5639,'Informations sur les produits'!$A$3:$H$10000,8,FALSE),"0")</f>
        <v>0</v>
      </c>
      <c r="K5639" s="4"/>
      <c r="L5639" s="33" t="str">
        <f>IFERROR(VLOOKUP($J5639,'Informations sur les produits'!$A$3:$H$10000,8,FALSE),"0")</f>
        <v>0</v>
      </c>
      <c r="N5639" s="8"/>
      <c r="O5639" s="33" t="str">
        <f>IFERROR(VLOOKUP($M5639,'Informations sur les produits'!$A$3:$H$10000,8,FALSE),"0")</f>
        <v>0</v>
      </c>
      <c r="P5639" s="33">
        <f t="shared" si="352"/>
        <v>0</v>
      </c>
      <c r="Q5639" s="31" t="str">
        <f t="shared" si="353"/>
        <v/>
      </c>
      <c r="R5639" s="32" t="str">
        <f>IFERROR(VLOOKUP($D5639,'Informations sur les produits'!$A$3:$B$15000,2,FALSE),"")</f>
        <v/>
      </c>
      <c r="V5639">
        <f t="shared" si="354"/>
        <v>0</v>
      </c>
      <c r="W5639">
        <f t="shared" si="355"/>
        <v>0</v>
      </c>
    </row>
    <row r="5640" spans="5:23" x14ac:dyDescent="0.25">
      <c r="E5640" s="4"/>
      <c r="F5640" s="4"/>
      <c r="G5640" s="33" t="str">
        <f>IFERROR(VLOOKUP($D5640,'Informations sur les produits'!$A$3:$H$10000,8,FALSE),"0")</f>
        <v>0</v>
      </c>
      <c r="K5640" s="4"/>
      <c r="L5640" s="33" t="str">
        <f>IFERROR(VLOOKUP($J5640,'Informations sur les produits'!$A$3:$H$10000,8,FALSE),"0")</f>
        <v>0</v>
      </c>
      <c r="N5640" s="8"/>
      <c r="O5640" s="33" t="str">
        <f>IFERROR(VLOOKUP($M5640,'Informations sur les produits'!$A$3:$H$10000,8,FALSE),"0")</f>
        <v>0</v>
      </c>
      <c r="P5640" s="33">
        <f t="shared" si="352"/>
        <v>0</v>
      </c>
      <c r="Q5640" s="31" t="str">
        <f t="shared" si="353"/>
        <v/>
      </c>
      <c r="R5640" s="32" t="str">
        <f>IFERROR(VLOOKUP($D5640,'Informations sur les produits'!$A$3:$B$15000,2,FALSE),"")</f>
        <v/>
      </c>
      <c r="V5640">
        <f t="shared" si="354"/>
        <v>0</v>
      </c>
      <c r="W5640">
        <f t="shared" si="355"/>
        <v>0</v>
      </c>
    </row>
    <row r="5641" spans="5:23" x14ac:dyDescent="0.25">
      <c r="E5641" s="4"/>
      <c r="F5641" s="4"/>
      <c r="G5641" s="33" t="str">
        <f>IFERROR(VLOOKUP($D5641,'Informations sur les produits'!$A$3:$H$10000,8,FALSE),"0")</f>
        <v>0</v>
      </c>
      <c r="K5641" s="4"/>
      <c r="L5641" s="33" t="str">
        <f>IFERROR(VLOOKUP($J5641,'Informations sur les produits'!$A$3:$H$10000,8,FALSE),"0")</f>
        <v>0</v>
      </c>
      <c r="N5641" s="8"/>
      <c r="O5641" s="33" t="str">
        <f>IFERROR(VLOOKUP($M5641,'Informations sur les produits'!$A$3:$H$10000,8,FALSE),"0")</f>
        <v>0</v>
      </c>
      <c r="P5641" s="33">
        <f t="shared" si="352"/>
        <v>0</v>
      </c>
      <c r="Q5641" s="31" t="str">
        <f t="shared" si="353"/>
        <v/>
      </c>
      <c r="R5641" s="32" t="str">
        <f>IFERROR(VLOOKUP($D5641,'Informations sur les produits'!$A$3:$B$15000,2,FALSE),"")</f>
        <v/>
      </c>
      <c r="V5641">
        <f t="shared" si="354"/>
        <v>0</v>
      </c>
      <c r="W5641">
        <f t="shared" si="355"/>
        <v>0</v>
      </c>
    </row>
    <row r="5642" spans="5:23" x14ac:dyDescent="0.25">
      <c r="E5642" s="4"/>
      <c r="F5642" s="4"/>
      <c r="G5642" s="33" t="str">
        <f>IFERROR(VLOOKUP($D5642,'Informations sur les produits'!$A$3:$H$10000,8,FALSE),"0")</f>
        <v>0</v>
      </c>
      <c r="K5642" s="4"/>
      <c r="L5642" s="33" t="str">
        <f>IFERROR(VLOOKUP($J5642,'Informations sur les produits'!$A$3:$H$10000,8,FALSE),"0")</f>
        <v>0</v>
      </c>
      <c r="N5642" s="8"/>
      <c r="O5642" s="33" t="str">
        <f>IFERROR(VLOOKUP($M5642,'Informations sur les produits'!$A$3:$H$10000,8,FALSE),"0")</f>
        <v>0</v>
      </c>
      <c r="P5642" s="33">
        <f t="shared" si="352"/>
        <v>0</v>
      </c>
      <c r="Q5642" s="31" t="str">
        <f t="shared" si="353"/>
        <v/>
      </c>
      <c r="R5642" s="32" t="str">
        <f>IFERROR(VLOOKUP($D5642,'Informations sur les produits'!$A$3:$B$15000,2,FALSE),"")</f>
        <v/>
      </c>
      <c r="V5642">
        <f t="shared" si="354"/>
        <v>0</v>
      </c>
      <c r="W5642">
        <f t="shared" si="355"/>
        <v>0</v>
      </c>
    </row>
    <row r="5643" spans="5:23" x14ac:dyDescent="0.25">
      <c r="E5643" s="4"/>
      <c r="F5643" s="4"/>
      <c r="G5643" s="33" t="str">
        <f>IFERROR(VLOOKUP($D5643,'Informations sur les produits'!$A$3:$H$10000,8,FALSE),"0")</f>
        <v>0</v>
      </c>
      <c r="K5643" s="4"/>
      <c r="L5643" s="33" t="str">
        <f>IFERROR(VLOOKUP($J5643,'Informations sur les produits'!$A$3:$H$10000,8,FALSE),"0")</f>
        <v>0</v>
      </c>
      <c r="N5643" s="8"/>
      <c r="O5643" s="33" t="str">
        <f>IFERROR(VLOOKUP($M5643,'Informations sur les produits'!$A$3:$H$10000,8,FALSE),"0")</f>
        <v>0</v>
      </c>
      <c r="P5643" s="33">
        <f t="shared" si="352"/>
        <v>0</v>
      </c>
      <c r="Q5643" s="31" t="str">
        <f t="shared" si="353"/>
        <v/>
      </c>
      <c r="R5643" s="32" t="str">
        <f>IFERROR(VLOOKUP($D5643,'Informations sur les produits'!$A$3:$B$15000,2,FALSE),"")</f>
        <v/>
      </c>
      <c r="V5643">
        <f t="shared" si="354"/>
        <v>0</v>
      </c>
      <c r="W5643">
        <f t="shared" si="355"/>
        <v>0</v>
      </c>
    </row>
    <row r="5644" spans="5:23" x14ac:dyDescent="0.25">
      <c r="E5644" s="4"/>
      <c r="F5644" s="4"/>
      <c r="G5644" s="33" t="str">
        <f>IFERROR(VLOOKUP($D5644,'Informations sur les produits'!$A$3:$H$10000,8,FALSE),"0")</f>
        <v>0</v>
      </c>
      <c r="K5644" s="4"/>
      <c r="L5644" s="33" t="str">
        <f>IFERROR(VLOOKUP($J5644,'Informations sur les produits'!$A$3:$H$10000,8,FALSE),"0")</f>
        <v>0</v>
      </c>
      <c r="N5644" s="8"/>
      <c r="O5644" s="33" t="str">
        <f>IFERROR(VLOOKUP($M5644,'Informations sur les produits'!$A$3:$H$10000,8,FALSE),"0")</f>
        <v>0</v>
      </c>
      <c r="P5644" s="33">
        <f t="shared" si="352"/>
        <v>0</v>
      </c>
      <c r="Q5644" s="31" t="str">
        <f t="shared" si="353"/>
        <v/>
      </c>
      <c r="R5644" s="32" t="str">
        <f>IFERROR(VLOOKUP($D5644,'Informations sur les produits'!$A$3:$B$15000,2,FALSE),"")</f>
        <v/>
      </c>
      <c r="V5644">
        <f t="shared" si="354"/>
        <v>0</v>
      </c>
      <c r="W5644">
        <f t="shared" si="355"/>
        <v>0</v>
      </c>
    </row>
    <row r="5645" spans="5:23" x14ac:dyDescent="0.25">
      <c r="E5645" s="4"/>
      <c r="F5645" s="4"/>
      <c r="G5645" s="33" t="str">
        <f>IFERROR(VLOOKUP($D5645,'Informations sur les produits'!$A$3:$H$10000,8,FALSE),"0")</f>
        <v>0</v>
      </c>
      <c r="K5645" s="4"/>
      <c r="L5645" s="33" t="str">
        <f>IFERROR(VLOOKUP($J5645,'Informations sur les produits'!$A$3:$H$10000,8,FALSE),"0")</f>
        <v>0</v>
      </c>
      <c r="N5645" s="8"/>
      <c r="O5645" s="33" t="str">
        <f>IFERROR(VLOOKUP($M5645,'Informations sur les produits'!$A$3:$H$10000,8,FALSE),"0")</f>
        <v>0</v>
      </c>
      <c r="P5645" s="33">
        <f t="shared" si="352"/>
        <v>0</v>
      </c>
      <c r="Q5645" s="31" t="str">
        <f t="shared" si="353"/>
        <v/>
      </c>
      <c r="R5645" s="32" t="str">
        <f>IFERROR(VLOOKUP($D5645,'Informations sur les produits'!$A$3:$B$15000,2,FALSE),"")</f>
        <v/>
      </c>
      <c r="V5645">
        <f t="shared" si="354"/>
        <v>0</v>
      </c>
      <c r="W5645">
        <f t="shared" si="355"/>
        <v>0</v>
      </c>
    </row>
    <row r="5646" spans="5:23" x14ac:dyDescent="0.25">
      <c r="E5646" s="4"/>
      <c r="F5646" s="4"/>
      <c r="G5646" s="33" t="str">
        <f>IFERROR(VLOOKUP($D5646,'Informations sur les produits'!$A$3:$H$10000,8,FALSE),"0")</f>
        <v>0</v>
      </c>
      <c r="K5646" s="4"/>
      <c r="L5646" s="33" t="str">
        <f>IFERROR(VLOOKUP($J5646,'Informations sur les produits'!$A$3:$H$10000,8,FALSE),"0")</f>
        <v>0</v>
      </c>
      <c r="N5646" s="8"/>
      <c r="O5646" s="33" t="str">
        <f>IFERROR(VLOOKUP($M5646,'Informations sur les produits'!$A$3:$H$10000,8,FALSE),"0")</f>
        <v>0</v>
      </c>
      <c r="P5646" s="33">
        <f t="shared" si="352"/>
        <v>0</v>
      </c>
      <c r="Q5646" s="31" t="str">
        <f t="shared" si="353"/>
        <v/>
      </c>
      <c r="R5646" s="32" t="str">
        <f>IFERROR(VLOOKUP($D5646,'Informations sur les produits'!$A$3:$B$15000,2,FALSE),"")</f>
        <v/>
      </c>
      <c r="V5646">
        <f t="shared" si="354"/>
        <v>0</v>
      </c>
      <c r="W5646">
        <f t="shared" si="355"/>
        <v>0</v>
      </c>
    </row>
    <row r="5647" spans="5:23" x14ac:dyDescent="0.25">
      <c r="E5647" s="4"/>
      <c r="F5647" s="4"/>
      <c r="G5647" s="33" t="str">
        <f>IFERROR(VLOOKUP($D5647,'Informations sur les produits'!$A$3:$H$10000,8,FALSE),"0")</f>
        <v>0</v>
      </c>
      <c r="K5647" s="4"/>
      <c r="L5647" s="33" t="str">
        <f>IFERROR(VLOOKUP($J5647,'Informations sur les produits'!$A$3:$H$10000,8,FALSE),"0")</f>
        <v>0</v>
      </c>
      <c r="N5647" s="8"/>
      <c r="O5647" s="33" t="str">
        <f>IFERROR(VLOOKUP($M5647,'Informations sur les produits'!$A$3:$H$10000,8,FALSE),"0")</f>
        <v>0</v>
      </c>
      <c r="P5647" s="33">
        <f t="shared" si="352"/>
        <v>0</v>
      </c>
      <c r="Q5647" s="31" t="str">
        <f t="shared" si="353"/>
        <v/>
      </c>
      <c r="R5647" s="32" t="str">
        <f>IFERROR(VLOOKUP($D5647,'Informations sur les produits'!$A$3:$B$15000,2,FALSE),"")</f>
        <v/>
      </c>
      <c r="V5647">
        <f t="shared" si="354"/>
        <v>0</v>
      </c>
      <c r="W5647">
        <f t="shared" si="355"/>
        <v>0</v>
      </c>
    </row>
    <row r="5648" spans="5:23" x14ac:dyDescent="0.25">
      <c r="E5648" s="4"/>
      <c r="F5648" s="4"/>
      <c r="G5648" s="33" t="str">
        <f>IFERROR(VLOOKUP($D5648,'Informations sur les produits'!$A$3:$H$10000,8,FALSE),"0")</f>
        <v>0</v>
      </c>
      <c r="K5648" s="4"/>
      <c r="L5648" s="33" t="str">
        <f>IFERROR(VLOOKUP($J5648,'Informations sur les produits'!$A$3:$H$10000,8,FALSE),"0")</f>
        <v>0</v>
      </c>
      <c r="N5648" s="8"/>
      <c r="O5648" s="33" t="str">
        <f>IFERROR(VLOOKUP($M5648,'Informations sur les produits'!$A$3:$H$10000,8,FALSE),"0")</f>
        <v>0</v>
      </c>
      <c r="P5648" s="33">
        <f t="shared" si="352"/>
        <v>0</v>
      </c>
      <c r="Q5648" s="31" t="str">
        <f t="shared" si="353"/>
        <v/>
      </c>
      <c r="R5648" s="32" t="str">
        <f>IFERROR(VLOOKUP($D5648,'Informations sur les produits'!$A$3:$B$15000,2,FALSE),"")</f>
        <v/>
      </c>
      <c r="V5648">
        <f t="shared" si="354"/>
        <v>0</v>
      </c>
      <c r="W5648">
        <f t="shared" si="355"/>
        <v>0</v>
      </c>
    </row>
    <row r="5649" spans="5:23" x14ac:dyDescent="0.25">
      <c r="E5649" s="4"/>
      <c r="F5649" s="4"/>
      <c r="G5649" s="33" t="str">
        <f>IFERROR(VLOOKUP($D5649,'Informations sur les produits'!$A$3:$H$10000,8,FALSE),"0")</f>
        <v>0</v>
      </c>
      <c r="K5649" s="4"/>
      <c r="L5649" s="33" t="str">
        <f>IFERROR(VLOOKUP($J5649,'Informations sur les produits'!$A$3:$H$10000,8,FALSE),"0")</f>
        <v>0</v>
      </c>
      <c r="N5649" s="8"/>
      <c r="O5649" s="33" t="str">
        <f>IFERROR(VLOOKUP($M5649,'Informations sur les produits'!$A$3:$H$10000,8,FALSE),"0")</f>
        <v>0</v>
      </c>
      <c r="P5649" s="33">
        <f t="shared" si="352"/>
        <v>0</v>
      </c>
      <c r="Q5649" s="31" t="str">
        <f t="shared" si="353"/>
        <v/>
      </c>
      <c r="R5649" s="32" t="str">
        <f>IFERROR(VLOOKUP($D5649,'Informations sur les produits'!$A$3:$B$15000,2,FALSE),"")</f>
        <v/>
      </c>
      <c r="V5649">
        <f t="shared" si="354"/>
        <v>0</v>
      </c>
      <c r="W5649">
        <f t="shared" si="355"/>
        <v>0</v>
      </c>
    </row>
    <row r="5650" spans="5:23" x14ac:dyDescent="0.25">
      <c r="E5650" s="4"/>
      <c r="F5650" s="4"/>
      <c r="G5650" s="33" t="str">
        <f>IFERROR(VLOOKUP($D5650,'Informations sur les produits'!$A$3:$H$10000,8,FALSE),"0")</f>
        <v>0</v>
      </c>
      <c r="K5650" s="4"/>
      <c r="L5650" s="33" t="str">
        <f>IFERROR(VLOOKUP($J5650,'Informations sur les produits'!$A$3:$H$10000,8,FALSE),"0")</f>
        <v>0</v>
      </c>
      <c r="N5650" s="8"/>
      <c r="O5650" s="33" t="str">
        <f>IFERROR(VLOOKUP($M5650,'Informations sur les produits'!$A$3:$H$10000,8,FALSE),"0")</f>
        <v>0</v>
      </c>
      <c r="P5650" s="33">
        <f t="shared" si="352"/>
        <v>0</v>
      </c>
      <c r="Q5650" s="31" t="str">
        <f t="shared" si="353"/>
        <v/>
      </c>
      <c r="R5650" s="32" t="str">
        <f>IFERROR(VLOOKUP($D5650,'Informations sur les produits'!$A$3:$B$15000,2,FALSE),"")</f>
        <v/>
      </c>
      <c r="V5650">
        <f t="shared" si="354"/>
        <v>0</v>
      </c>
      <c r="W5650">
        <f t="shared" si="355"/>
        <v>0</v>
      </c>
    </row>
    <row r="5651" spans="5:23" x14ac:dyDescent="0.25">
      <c r="E5651" s="4"/>
      <c r="F5651" s="4"/>
      <c r="G5651" s="33" t="str">
        <f>IFERROR(VLOOKUP($D5651,'Informations sur les produits'!$A$3:$H$10000,8,FALSE),"0")</f>
        <v>0</v>
      </c>
      <c r="K5651" s="4"/>
      <c r="L5651" s="33" t="str">
        <f>IFERROR(VLOOKUP($J5651,'Informations sur les produits'!$A$3:$H$10000,8,FALSE),"0")</f>
        <v>0</v>
      </c>
      <c r="N5651" s="8"/>
      <c r="O5651" s="33" t="str">
        <f>IFERROR(VLOOKUP($M5651,'Informations sur les produits'!$A$3:$H$10000,8,FALSE),"0")</f>
        <v>0</v>
      </c>
      <c r="P5651" s="33">
        <f t="shared" si="352"/>
        <v>0</v>
      </c>
      <c r="Q5651" s="31" t="str">
        <f t="shared" si="353"/>
        <v/>
      </c>
      <c r="R5651" s="32" t="str">
        <f>IFERROR(VLOOKUP($D5651,'Informations sur les produits'!$A$3:$B$15000,2,FALSE),"")</f>
        <v/>
      </c>
      <c r="V5651">
        <f t="shared" si="354"/>
        <v>0</v>
      </c>
      <c r="W5651">
        <f t="shared" si="355"/>
        <v>0</v>
      </c>
    </row>
    <row r="5652" spans="5:23" x14ac:dyDescent="0.25">
      <c r="E5652" s="4"/>
      <c r="F5652" s="4"/>
      <c r="G5652" s="33" t="str">
        <f>IFERROR(VLOOKUP($D5652,'Informations sur les produits'!$A$3:$H$10000,8,FALSE),"0")</f>
        <v>0</v>
      </c>
      <c r="K5652" s="4"/>
      <c r="L5652" s="33" t="str">
        <f>IFERROR(VLOOKUP($J5652,'Informations sur les produits'!$A$3:$H$10000,8,FALSE),"0")</f>
        <v>0</v>
      </c>
      <c r="N5652" s="8"/>
      <c r="O5652" s="33" t="str">
        <f>IFERROR(VLOOKUP($M5652,'Informations sur les produits'!$A$3:$H$10000,8,FALSE),"0")</f>
        <v>0</v>
      </c>
      <c r="P5652" s="33">
        <f t="shared" si="352"/>
        <v>0</v>
      </c>
      <c r="Q5652" s="31" t="str">
        <f t="shared" si="353"/>
        <v/>
      </c>
      <c r="R5652" s="32" t="str">
        <f>IFERROR(VLOOKUP($D5652,'Informations sur les produits'!$A$3:$B$15000,2,FALSE),"")</f>
        <v/>
      </c>
      <c r="V5652">
        <f t="shared" si="354"/>
        <v>0</v>
      </c>
      <c r="W5652">
        <f t="shared" si="355"/>
        <v>0</v>
      </c>
    </row>
    <row r="5653" spans="5:23" x14ac:dyDescent="0.25">
      <c r="E5653" s="4"/>
      <c r="F5653" s="4"/>
      <c r="G5653" s="33" t="str">
        <f>IFERROR(VLOOKUP($D5653,'Informations sur les produits'!$A$3:$H$10000,8,FALSE),"0")</f>
        <v>0</v>
      </c>
      <c r="K5653" s="4"/>
      <c r="L5653" s="33" t="str">
        <f>IFERROR(VLOOKUP($J5653,'Informations sur les produits'!$A$3:$H$10000,8,FALSE),"0")</f>
        <v>0</v>
      </c>
      <c r="N5653" s="8"/>
      <c r="O5653" s="33" t="str">
        <f>IFERROR(VLOOKUP($M5653,'Informations sur les produits'!$A$3:$H$10000,8,FALSE),"0")</f>
        <v>0</v>
      </c>
      <c r="P5653" s="33">
        <f t="shared" si="352"/>
        <v>0</v>
      </c>
      <c r="Q5653" s="31" t="str">
        <f t="shared" si="353"/>
        <v/>
      </c>
      <c r="R5653" s="32" t="str">
        <f>IFERROR(VLOOKUP($D5653,'Informations sur les produits'!$A$3:$B$15000,2,FALSE),"")</f>
        <v/>
      </c>
      <c r="V5653">
        <f t="shared" si="354"/>
        <v>0</v>
      </c>
      <c r="W5653">
        <f t="shared" si="355"/>
        <v>0</v>
      </c>
    </row>
    <row r="5654" spans="5:23" x14ac:dyDescent="0.25">
      <c r="E5654" s="4"/>
      <c r="F5654" s="4"/>
      <c r="G5654" s="33" t="str">
        <f>IFERROR(VLOOKUP($D5654,'Informations sur les produits'!$A$3:$H$10000,8,FALSE),"0")</f>
        <v>0</v>
      </c>
      <c r="K5654" s="4"/>
      <c r="L5654" s="33" t="str">
        <f>IFERROR(VLOOKUP($J5654,'Informations sur les produits'!$A$3:$H$10000,8,FALSE),"0")</f>
        <v>0</v>
      </c>
      <c r="N5654" s="8"/>
      <c r="O5654" s="33" t="str">
        <f>IFERROR(VLOOKUP($M5654,'Informations sur les produits'!$A$3:$H$10000,8,FALSE),"0")</f>
        <v>0</v>
      </c>
      <c r="P5654" s="33">
        <f t="shared" si="352"/>
        <v>0</v>
      </c>
      <c r="Q5654" s="31" t="str">
        <f t="shared" si="353"/>
        <v/>
      </c>
      <c r="R5654" s="32" t="str">
        <f>IFERROR(VLOOKUP($D5654,'Informations sur les produits'!$A$3:$B$15000,2,FALSE),"")</f>
        <v/>
      </c>
      <c r="V5654">
        <f t="shared" si="354"/>
        <v>0</v>
      </c>
      <c r="W5654">
        <f t="shared" si="355"/>
        <v>0</v>
      </c>
    </row>
    <row r="5655" spans="5:23" x14ac:dyDescent="0.25">
      <c r="E5655" s="4"/>
      <c r="F5655" s="4"/>
      <c r="G5655" s="33" t="str">
        <f>IFERROR(VLOOKUP($D5655,'Informations sur les produits'!$A$3:$H$10000,8,FALSE),"0")</f>
        <v>0</v>
      </c>
      <c r="K5655" s="4"/>
      <c r="L5655" s="33" t="str">
        <f>IFERROR(VLOOKUP($J5655,'Informations sur les produits'!$A$3:$H$10000,8,FALSE),"0")</f>
        <v>0</v>
      </c>
      <c r="N5655" s="8"/>
      <c r="O5655" s="33" t="str">
        <f>IFERROR(VLOOKUP($M5655,'Informations sur les produits'!$A$3:$H$10000,8,FALSE),"0")</f>
        <v>0</v>
      </c>
      <c r="P5655" s="33">
        <f t="shared" si="352"/>
        <v>0</v>
      </c>
      <c r="Q5655" s="31" t="str">
        <f t="shared" si="353"/>
        <v/>
      </c>
      <c r="R5655" s="32" t="str">
        <f>IFERROR(VLOOKUP($D5655,'Informations sur les produits'!$A$3:$B$15000,2,FALSE),"")</f>
        <v/>
      </c>
      <c r="V5655">
        <f t="shared" si="354"/>
        <v>0</v>
      </c>
      <c r="W5655">
        <f t="shared" si="355"/>
        <v>0</v>
      </c>
    </row>
    <row r="5656" spans="5:23" x14ac:dyDescent="0.25">
      <c r="E5656" s="4"/>
      <c r="F5656" s="4"/>
      <c r="G5656" s="33" t="str">
        <f>IFERROR(VLOOKUP($D5656,'Informations sur les produits'!$A$3:$H$10000,8,FALSE),"0")</f>
        <v>0</v>
      </c>
      <c r="K5656" s="4"/>
      <c r="L5656" s="33" t="str">
        <f>IFERROR(VLOOKUP($J5656,'Informations sur les produits'!$A$3:$H$10000,8,FALSE),"0")</f>
        <v>0</v>
      </c>
      <c r="N5656" s="8"/>
      <c r="O5656" s="33" t="str">
        <f>IFERROR(VLOOKUP($M5656,'Informations sur les produits'!$A$3:$H$10000,8,FALSE),"0")</f>
        <v>0</v>
      </c>
      <c r="P5656" s="33">
        <f t="shared" si="352"/>
        <v>0</v>
      </c>
      <c r="Q5656" s="31" t="str">
        <f t="shared" si="353"/>
        <v/>
      </c>
      <c r="R5656" s="32" t="str">
        <f>IFERROR(VLOOKUP($D5656,'Informations sur les produits'!$A$3:$B$15000,2,FALSE),"")</f>
        <v/>
      </c>
      <c r="V5656">
        <f t="shared" si="354"/>
        <v>0</v>
      </c>
      <c r="W5656">
        <f t="shared" si="355"/>
        <v>0</v>
      </c>
    </row>
    <row r="5657" spans="5:23" x14ac:dyDescent="0.25">
      <c r="E5657" s="4"/>
      <c r="F5657" s="4"/>
      <c r="G5657" s="33" t="str">
        <f>IFERROR(VLOOKUP($D5657,'Informations sur les produits'!$A$3:$H$10000,8,FALSE),"0")</f>
        <v>0</v>
      </c>
      <c r="K5657" s="4"/>
      <c r="L5657" s="33" t="str">
        <f>IFERROR(VLOOKUP($J5657,'Informations sur les produits'!$A$3:$H$10000,8,FALSE),"0")</f>
        <v>0</v>
      </c>
      <c r="N5657" s="8"/>
      <c r="O5657" s="33" t="str">
        <f>IFERROR(VLOOKUP($M5657,'Informations sur les produits'!$A$3:$H$10000,8,FALSE),"0")</f>
        <v>0</v>
      </c>
      <c r="P5657" s="33">
        <f t="shared" si="352"/>
        <v>0</v>
      </c>
      <c r="Q5657" s="31" t="str">
        <f t="shared" si="353"/>
        <v/>
      </c>
      <c r="R5657" s="32" t="str">
        <f>IFERROR(VLOOKUP($D5657,'Informations sur les produits'!$A$3:$B$15000,2,FALSE),"")</f>
        <v/>
      </c>
      <c r="V5657">
        <f t="shared" si="354"/>
        <v>0</v>
      </c>
      <c r="W5657">
        <f t="shared" si="355"/>
        <v>0</v>
      </c>
    </row>
    <row r="5658" spans="5:23" x14ac:dyDescent="0.25">
      <c r="E5658" s="4"/>
      <c r="F5658" s="4"/>
      <c r="G5658" s="33" t="str">
        <f>IFERROR(VLOOKUP($D5658,'Informations sur les produits'!$A$3:$H$10000,8,FALSE),"0")</f>
        <v>0</v>
      </c>
      <c r="K5658" s="4"/>
      <c r="L5658" s="33" t="str">
        <f>IFERROR(VLOOKUP($J5658,'Informations sur les produits'!$A$3:$H$10000,8,FALSE),"0")</f>
        <v>0</v>
      </c>
      <c r="N5658" s="8"/>
      <c r="O5658" s="33" t="str">
        <f>IFERROR(VLOOKUP($M5658,'Informations sur les produits'!$A$3:$H$10000,8,FALSE),"0")</f>
        <v>0</v>
      </c>
      <c r="P5658" s="33">
        <f t="shared" si="352"/>
        <v>0</v>
      </c>
      <c r="Q5658" s="31" t="str">
        <f t="shared" si="353"/>
        <v/>
      </c>
      <c r="R5658" s="32" t="str">
        <f>IFERROR(VLOOKUP($D5658,'Informations sur les produits'!$A$3:$B$15000,2,FALSE),"")</f>
        <v/>
      </c>
      <c r="V5658">
        <f t="shared" si="354"/>
        <v>0</v>
      </c>
      <c r="W5658">
        <f t="shared" si="355"/>
        <v>0</v>
      </c>
    </row>
    <row r="5659" spans="5:23" x14ac:dyDescent="0.25">
      <c r="E5659" s="4"/>
      <c r="F5659" s="4"/>
      <c r="G5659" s="33" t="str">
        <f>IFERROR(VLOOKUP($D5659,'Informations sur les produits'!$A$3:$H$10000,8,FALSE),"0")</f>
        <v>0</v>
      </c>
      <c r="K5659" s="4"/>
      <c r="L5659" s="33" t="str">
        <f>IFERROR(VLOOKUP($J5659,'Informations sur les produits'!$A$3:$H$10000,8,FALSE),"0")</f>
        <v>0</v>
      </c>
      <c r="N5659" s="8"/>
      <c r="O5659" s="33" t="str">
        <f>IFERROR(VLOOKUP($M5659,'Informations sur les produits'!$A$3:$H$10000,8,FALSE),"0")</f>
        <v>0</v>
      </c>
      <c r="P5659" s="33">
        <f t="shared" si="352"/>
        <v>0</v>
      </c>
      <c r="Q5659" s="31" t="str">
        <f t="shared" si="353"/>
        <v/>
      </c>
      <c r="R5659" s="32" t="str">
        <f>IFERROR(VLOOKUP($D5659,'Informations sur les produits'!$A$3:$B$15000,2,FALSE),"")</f>
        <v/>
      </c>
      <c r="V5659">
        <f t="shared" si="354"/>
        <v>0</v>
      </c>
      <c r="W5659">
        <f t="shared" si="355"/>
        <v>0</v>
      </c>
    </row>
    <row r="5660" spans="5:23" x14ac:dyDescent="0.25">
      <c r="E5660" s="4"/>
      <c r="F5660" s="4"/>
      <c r="G5660" s="33" t="str">
        <f>IFERROR(VLOOKUP($D5660,'Informations sur les produits'!$A$3:$H$10000,8,FALSE),"0")</f>
        <v>0</v>
      </c>
      <c r="K5660" s="4"/>
      <c r="L5660" s="33" t="str">
        <f>IFERROR(VLOOKUP($J5660,'Informations sur les produits'!$A$3:$H$10000,8,FALSE),"0")</f>
        <v>0</v>
      </c>
      <c r="N5660" s="8"/>
      <c r="O5660" s="33" t="str">
        <f>IFERROR(VLOOKUP($M5660,'Informations sur les produits'!$A$3:$H$10000,8,FALSE),"0")</f>
        <v>0</v>
      </c>
      <c r="P5660" s="33">
        <f t="shared" si="352"/>
        <v>0</v>
      </c>
      <c r="Q5660" s="31" t="str">
        <f t="shared" si="353"/>
        <v/>
      </c>
      <c r="R5660" s="32" t="str">
        <f>IFERROR(VLOOKUP($D5660,'Informations sur les produits'!$A$3:$B$15000,2,FALSE),"")</f>
        <v/>
      </c>
      <c r="V5660">
        <f t="shared" si="354"/>
        <v>0</v>
      </c>
      <c r="W5660">
        <f t="shared" si="355"/>
        <v>0</v>
      </c>
    </row>
    <row r="5661" spans="5:23" x14ac:dyDescent="0.25">
      <c r="E5661" s="4"/>
      <c r="F5661" s="4"/>
      <c r="G5661" s="33" t="str">
        <f>IFERROR(VLOOKUP($D5661,'Informations sur les produits'!$A$3:$H$10000,8,FALSE),"0")</f>
        <v>0</v>
      </c>
      <c r="K5661" s="4"/>
      <c r="L5661" s="33" t="str">
        <f>IFERROR(VLOOKUP($J5661,'Informations sur les produits'!$A$3:$H$10000,8,FALSE),"0")</f>
        <v>0</v>
      </c>
      <c r="N5661" s="8"/>
      <c r="O5661" s="33" t="str">
        <f>IFERROR(VLOOKUP($M5661,'Informations sur les produits'!$A$3:$H$10000,8,FALSE),"0")</f>
        <v>0</v>
      </c>
      <c r="P5661" s="33">
        <f t="shared" si="352"/>
        <v>0</v>
      </c>
      <c r="Q5661" s="31" t="str">
        <f t="shared" si="353"/>
        <v/>
      </c>
      <c r="R5661" s="32" t="str">
        <f>IFERROR(VLOOKUP($D5661,'Informations sur les produits'!$A$3:$B$15000,2,FALSE),"")</f>
        <v/>
      </c>
      <c r="V5661">
        <f t="shared" si="354"/>
        <v>0</v>
      </c>
      <c r="W5661">
        <f t="shared" si="355"/>
        <v>0</v>
      </c>
    </row>
    <row r="5662" spans="5:23" x14ac:dyDescent="0.25">
      <c r="E5662" s="4"/>
      <c r="F5662" s="4"/>
      <c r="G5662" s="33" t="str">
        <f>IFERROR(VLOOKUP($D5662,'Informations sur les produits'!$A$3:$H$10000,8,FALSE),"0")</f>
        <v>0</v>
      </c>
      <c r="K5662" s="4"/>
      <c r="L5662" s="33" t="str">
        <f>IFERROR(VLOOKUP($J5662,'Informations sur les produits'!$A$3:$H$10000,8,FALSE),"0")</f>
        <v>0</v>
      </c>
      <c r="N5662" s="8"/>
      <c r="O5662" s="33" t="str">
        <f>IFERROR(VLOOKUP($M5662,'Informations sur les produits'!$A$3:$H$10000,8,FALSE),"0")</f>
        <v>0</v>
      </c>
      <c r="P5662" s="33">
        <f t="shared" si="352"/>
        <v>0</v>
      </c>
      <c r="Q5662" s="31" t="str">
        <f t="shared" si="353"/>
        <v/>
      </c>
      <c r="R5662" s="32" t="str">
        <f>IFERROR(VLOOKUP($D5662,'Informations sur les produits'!$A$3:$B$15000,2,FALSE),"")</f>
        <v/>
      </c>
      <c r="V5662">
        <f t="shared" si="354"/>
        <v>0</v>
      </c>
      <c r="W5662">
        <f t="shared" si="355"/>
        <v>0</v>
      </c>
    </row>
    <row r="5663" spans="5:23" x14ac:dyDescent="0.25">
      <c r="E5663" s="4"/>
      <c r="F5663" s="4"/>
      <c r="G5663" s="33" t="str">
        <f>IFERROR(VLOOKUP($D5663,'Informations sur les produits'!$A$3:$H$10000,8,FALSE),"0")</f>
        <v>0</v>
      </c>
      <c r="K5663" s="4"/>
      <c r="L5663" s="33" t="str">
        <f>IFERROR(VLOOKUP($J5663,'Informations sur les produits'!$A$3:$H$10000,8,FALSE),"0")</f>
        <v>0</v>
      </c>
      <c r="N5663" s="8"/>
      <c r="O5663" s="33" t="str">
        <f>IFERROR(VLOOKUP($M5663,'Informations sur les produits'!$A$3:$H$10000,8,FALSE),"0")</f>
        <v>0</v>
      </c>
      <c r="P5663" s="33">
        <f t="shared" si="352"/>
        <v>0</v>
      </c>
      <c r="Q5663" s="31" t="str">
        <f t="shared" si="353"/>
        <v/>
      </c>
      <c r="R5663" s="32" t="str">
        <f>IFERROR(VLOOKUP($D5663,'Informations sur les produits'!$A$3:$B$15000,2,FALSE),"")</f>
        <v/>
      </c>
      <c r="V5663">
        <f t="shared" si="354"/>
        <v>0</v>
      </c>
      <c r="W5663">
        <f t="shared" si="355"/>
        <v>0</v>
      </c>
    </row>
    <row r="5664" spans="5:23" x14ac:dyDescent="0.25">
      <c r="E5664" s="4"/>
      <c r="F5664" s="4"/>
      <c r="G5664" s="33" t="str">
        <f>IFERROR(VLOOKUP($D5664,'Informations sur les produits'!$A$3:$H$10000,8,FALSE),"0")</f>
        <v>0</v>
      </c>
      <c r="K5664" s="4"/>
      <c r="L5664" s="33" t="str">
        <f>IFERROR(VLOOKUP($J5664,'Informations sur les produits'!$A$3:$H$10000,8,FALSE),"0")</f>
        <v>0</v>
      </c>
      <c r="N5664" s="8"/>
      <c r="O5664" s="33" t="str">
        <f>IFERROR(VLOOKUP($M5664,'Informations sur les produits'!$A$3:$H$10000,8,FALSE),"0")</f>
        <v>0</v>
      </c>
      <c r="P5664" s="33">
        <f t="shared" si="352"/>
        <v>0</v>
      </c>
      <c r="Q5664" s="31" t="str">
        <f t="shared" si="353"/>
        <v/>
      </c>
      <c r="R5664" s="32" t="str">
        <f>IFERROR(VLOOKUP($D5664,'Informations sur les produits'!$A$3:$B$15000,2,FALSE),"")</f>
        <v/>
      </c>
      <c r="V5664">
        <f t="shared" si="354"/>
        <v>0</v>
      </c>
      <c r="W5664">
        <f t="shared" si="355"/>
        <v>0</v>
      </c>
    </row>
    <row r="5665" spans="5:23" x14ac:dyDescent="0.25">
      <c r="E5665" s="4"/>
      <c r="F5665" s="4"/>
      <c r="G5665" s="33" t="str">
        <f>IFERROR(VLOOKUP($D5665,'Informations sur les produits'!$A$3:$H$10000,8,FALSE),"0")</f>
        <v>0</v>
      </c>
      <c r="K5665" s="4"/>
      <c r="L5665" s="33" t="str">
        <f>IFERROR(VLOOKUP($J5665,'Informations sur les produits'!$A$3:$H$10000,8,FALSE),"0")</f>
        <v>0</v>
      </c>
      <c r="N5665" s="8"/>
      <c r="O5665" s="33" t="str">
        <f>IFERROR(VLOOKUP($M5665,'Informations sur les produits'!$A$3:$H$10000,8,FALSE),"0")</f>
        <v>0</v>
      </c>
      <c r="P5665" s="33">
        <f t="shared" si="352"/>
        <v>0</v>
      </c>
      <c r="Q5665" s="31" t="str">
        <f t="shared" si="353"/>
        <v/>
      </c>
      <c r="R5665" s="32" t="str">
        <f>IFERROR(VLOOKUP($D5665,'Informations sur les produits'!$A$3:$B$15000,2,FALSE),"")</f>
        <v/>
      </c>
      <c r="V5665">
        <f t="shared" si="354"/>
        <v>0</v>
      </c>
      <c r="W5665">
        <f t="shared" si="355"/>
        <v>0</v>
      </c>
    </row>
    <row r="5666" spans="5:23" x14ac:dyDescent="0.25">
      <c r="E5666" s="4"/>
      <c r="F5666" s="4"/>
      <c r="G5666" s="33" t="str">
        <f>IFERROR(VLOOKUP($D5666,'Informations sur les produits'!$A$3:$H$10000,8,FALSE),"0")</f>
        <v>0</v>
      </c>
      <c r="K5666" s="4"/>
      <c r="L5666" s="33" t="str">
        <f>IFERROR(VLOOKUP($J5666,'Informations sur les produits'!$A$3:$H$10000,8,FALSE),"0")</f>
        <v>0</v>
      </c>
      <c r="N5666" s="8"/>
      <c r="O5666" s="33" t="str">
        <f>IFERROR(VLOOKUP($M5666,'Informations sur les produits'!$A$3:$H$10000,8,FALSE),"0")</f>
        <v>0</v>
      </c>
      <c r="P5666" s="33">
        <f t="shared" si="352"/>
        <v>0</v>
      </c>
      <c r="Q5666" s="31" t="str">
        <f t="shared" si="353"/>
        <v/>
      </c>
      <c r="R5666" s="32" t="str">
        <f>IFERROR(VLOOKUP($D5666,'Informations sur les produits'!$A$3:$B$15000,2,FALSE),"")</f>
        <v/>
      </c>
      <c r="V5666">
        <f t="shared" si="354"/>
        <v>0</v>
      </c>
      <c r="W5666">
        <f t="shared" si="355"/>
        <v>0</v>
      </c>
    </row>
    <row r="5667" spans="5:23" x14ac:dyDescent="0.25">
      <c r="E5667" s="4"/>
      <c r="F5667" s="4"/>
      <c r="G5667" s="33" t="str">
        <f>IFERROR(VLOOKUP($D5667,'Informations sur les produits'!$A$3:$H$10000,8,FALSE),"0")</f>
        <v>0</v>
      </c>
      <c r="K5667" s="4"/>
      <c r="L5667" s="33" t="str">
        <f>IFERROR(VLOOKUP($J5667,'Informations sur les produits'!$A$3:$H$10000,8,FALSE),"0")</f>
        <v>0</v>
      </c>
      <c r="N5667" s="8"/>
      <c r="O5667" s="33" t="str">
        <f>IFERROR(VLOOKUP($M5667,'Informations sur les produits'!$A$3:$H$10000,8,FALSE),"0")</f>
        <v>0</v>
      </c>
      <c r="P5667" s="33">
        <f t="shared" si="352"/>
        <v>0</v>
      </c>
      <c r="Q5667" s="31" t="str">
        <f t="shared" si="353"/>
        <v/>
      </c>
      <c r="R5667" s="32" t="str">
        <f>IFERROR(VLOOKUP($D5667,'Informations sur les produits'!$A$3:$B$15000,2,FALSE),"")</f>
        <v/>
      </c>
      <c r="V5667">
        <f t="shared" si="354"/>
        <v>0</v>
      </c>
      <c r="W5667">
        <f t="shared" si="355"/>
        <v>0</v>
      </c>
    </row>
    <row r="5668" spans="5:23" x14ac:dyDescent="0.25">
      <c r="E5668" s="4"/>
      <c r="F5668" s="4"/>
      <c r="G5668" s="33" t="str">
        <f>IFERROR(VLOOKUP($D5668,'Informations sur les produits'!$A$3:$H$10000,8,FALSE),"0")</f>
        <v>0</v>
      </c>
      <c r="K5668" s="4"/>
      <c r="L5668" s="33" t="str">
        <f>IFERROR(VLOOKUP($J5668,'Informations sur les produits'!$A$3:$H$10000,8,FALSE),"0")</f>
        <v>0</v>
      </c>
      <c r="N5668" s="8"/>
      <c r="O5668" s="33" t="str">
        <f>IFERROR(VLOOKUP($M5668,'Informations sur les produits'!$A$3:$H$10000,8,FALSE),"0")</f>
        <v>0</v>
      </c>
      <c r="P5668" s="33">
        <f t="shared" si="352"/>
        <v>0</v>
      </c>
      <c r="Q5668" s="31" t="str">
        <f t="shared" si="353"/>
        <v/>
      </c>
      <c r="R5668" s="32" t="str">
        <f>IFERROR(VLOOKUP($D5668,'Informations sur les produits'!$A$3:$B$15000,2,FALSE),"")</f>
        <v/>
      </c>
      <c r="V5668">
        <f t="shared" si="354"/>
        <v>0</v>
      </c>
      <c r="W5668">
        <f t="shared" si="355"/>
        <v>0</v>
      </c>
    </row>
    <row r="5669" spans="5:23" x14ac:dyDescent="0.25">
      <c r="E5669" s="4"/>
      <c r="F5669" s="4"/>
      <c r="G5669" s="33" t="str">
        <f>IFERROR(VLOOKUP($D5669,'Informations sur les produits'!$A$3:$H$10000,8,FALSE),"0")</f>
        <v>0</v>
      </c>
      <c r="K5669" s="4"/>
      <c r="L5669" s="33" t="str">
        <f>IFERROR(VLOOKUP($J5669,'Informations sur les produits'!$A$3:$H$10000,8,FALSE),"0")</f>
        <v>0</v>
      </c>
      <c r="N5669" s="8"/>
      <c r="O5669" s="33" t="str">
        <f>IFERROR(VLOOKUP($M5669,'Informations sur les produits'!$A$3:$H$10000,8,FALSE),"0")</f>
        <v>0</v>
      </c>
      <c r="P5669" s="33">
        <f t="shared" si="352"/>
        <v>0</v>
      </c>
      <c r="Q5669" s="31" t="str">
        <f t="shared" si="353"/>
        <v/>
      </c>
      <c r="R5669" s="32" t="str">
        <f>IFERROR(VLOOKUP($D5669,'Informations sur les produits'!$A$3:$B$15000,2,FALSE),"")</f>
        <v/>
      </c>
      <c r="V5669">
        <f t="shared" si="354"/>
        <v>0</v>
      </c>
      <c r="W5669">
        <f t="shared" si="355"/>
        <v>0</v>
      </c>
    </row>
    <row r="5670" spans="5:23" x14ac:dyDescent="0.25">
      <c r="E5670" s="4"/>
      <c r="F5670" s="4"/>
      <c r="G5670" s="33" t="str">
        <f>IFERROR(VLOOKUP($D5670,'Informations sur les produits'!$A$3:$H$10000,8,FALSE),"0")</f>
        <v>0</v>
      </c>
      <c r="K5670" s="4"/>
      <c r="L5670" s="33" t="str">
        <f>IFERROR(VLOOKUP($J5670,'Informations sur les produits'!$A$3:$H$10000,8,FALSE),"0")</f>
        <v>0</v>
      </c>
      <c r="N5670" s="8"/>
      <c r="O5670" s="33" t="str">
        <f>IFERROR(VLOOKUP($M5670,'Informations sur les produits'!$A$3:$H$10000,8,FALSE),"0")</f>
        <v>0</v>
      </c>
      <c r="P5670" s="33">
        <f t="shared" si="352"/>
        <v>0</v>
      </c>
      <c r="Q5670" s="31" t="str">
        <f t="shared" si="353"/>
        <v/>
      </c>
      <c r="R5670" s="32" t="str">
        <f>IFERROR(VLOOKUP($D5670,'Informations sur les produits'!$A$3:$B$15000,2,FALSE),"")</f>
        <v/>
      </c>
      <c r="V5670">
        <f t="shared" si="354"/>
        <v>0</v>
      </c>
      <c r="W5670">
        <f t="shared" si="355"/>
        <v>0</v>
      </c>
    </row>
    <row r="5671" spans="5:23" x14ac:dyDescent="0.25">
      <c r="E5671" s="4"/>
      <c r="F5671" s="4"/>
      <c r="G5671" s="33" t="str">
        <f>IFERROR(VLOOKUP($D5671,'Informations sur les produits'!$A$3:$H$10000,8,FALSE),"0")</f>
        <v>0</v>
      </c>
      <c r="K5671" s="4"/>
      <c r="L5671" s="33" t="str">
        <f>IFERROR(VLOOKUP($J5671,'Informations sur les produits'!$A$3:$H$10000,8,FALSE),"0")</f>
        <v>0</v>
      </c>
      <c r="N5671" s="8"/>
      <c r="O5671" s="33" t="str">
        <f>IFERROR(VLOOKUP($M5671,'Informations sur les produits'!$A$3:$H$10000,8,FALSE),"0")</f>
        <v>0</v>
      </c>
      <c r="P5671" s="33">
        <f t="shared" si="352"/>
        <v>0</v>
      </c>
      <c r="Q5671" s="31" t="str">
        <f t="shared" si="353"/>
        <v/>
      </c>
      <c r="R5671" s="32" t="str">
        <f>IFERROR(VLOOKUP($D5671,'Informations sur les produits'!$A$3:$B$15000,2,FALSE),"")</f>
        <v/>
      </c>
      <c r="V5671">
        <f t="shared" si="354"/>
        <v>0</v>
      </c>
      <c r="W5671">
        <f t="shared" si="355"/>
        <v>0</v>
      </c>
    </row>
    <row r="5672" spans="5:23" x14ac:dyDescent="0.25">
      <c r="E5672" s="4"/>
      <c r="F5672" s="4"/>
      <c r="G5672" s="33" t="str">
        <f>IFERROR(VLOOKUP($D5672,'Informations sur les produits'!$A$3:$H$10000,8,FALSE),"0")</f>
        <v>0</v>
      </c>
      <c r="K5672" s="4"/>
      <c r="L5672" s="33" t="str">
        <f>IFERROR(VLOOKUP($J5672,'Informations sur les produits'!$A$3:$H$10000,8,FALSE),"0")</f>
        <v>0</v>
      </c>
      <c r="N5672" s="8"/>
      <c r="O5672" s="33" t="str">
        <f>IFERROR(VLOOKUP($M5672,'Informations sur les produits'!$A$3:$H$10000,8,FALSE),"0")</f>
        <v>0</v>
      </c>
      <c r="P5672" s="33">
        <f t="shared" si="352"/>
        <v>0</v>
      </c>
      <c r="Q5672" s="31" t="str">
        <f t="shared" si="353"/>
        <v/>
      </c>
      <c r="R5672" s="32" t="str">
        <f>IFERROR(VLOOKUP($D5672,'Informations sur les produits'!$A$3:$B$15000,2,FALSE),"")</f>
        <v/>
      </c>
      <c r="V5672">
        <f t="shared" si="354"/>
        <v>0</v>
      </c>
      <c r="W5672">
        <f t="shared" si="355"/>
        <v>0</v>
      </c>
    </row>
    <row r="5673" spans="5:23" x14ac:dyDescent="0.25">
      <c r="E5673" s="4"/>
      <c r="F5673" s="4"/>
      <c r="G5673" s="33" t="str">
        <f>IFERROR(VLOOKUP($D5673,'Informations sur les produits'!$A$3:$H$10000,8,FALSE),"0")</f>
        <v>0</v>
      </c>
      <c r="K5673" s="4"/>
      <c r="L5673" s="33" t="str">
        <f>IFERROR(VLOOKUP($J5673,'Informations sur les produits'!$A$3:$H$10000,8,FALSE),"0")</f>
        <v>0</v>
      </c>
      <c r="N5673" s="8"/>
      <c r="O5673" s="33" t="str">
        <f>IFERROR(VLOOKUP($M5673,'Informations sur les produits'!$A$3:$H$10000,8,FALSE),"0")</f>
        <v>0</v>
      </c>
      <c r="P5673" s="33">
        <f t="shared" si="352"/>
        <v>0</v>
      </c>
      <c r="Q5673" s="31" t="str">
        <f t="shared" si="353"/>
        <v/>
      </c>
      <c r="R5673" s="32" t="str">
        <f>IFERROR(VLOOKUP($D5673,'Informations sur les produits'!$A$3:$B$15000,2,FALSE),"")</f>
        <v/>
      </c>
      <c r="V5673">
        <f t="shared" si="354"/>
        <v>0</v>
      </c>
      <c r="W5673">
        <f t="shared" si="355"/>
        <v>0</v>
      </c>
    </row>
    <row r="5674" spans="5:23" x14ac:dyDescent="0.25">
      <c r="E5674" s="4"/>
      <c r="F5674" s="4"/>
      <c r="G5674" s="33" t="str">
        <f>IFERROR(VLOOKUP($D5674,'Informations sur les produits'!$A$3:$H$10000,8,FALSE),"0")</f>
        <v>0</v>
      </c>
      <c r="K5674" s="4"/>
      <c r="L5674" s="33" t="str">
        <f>IFERROR(VLOOKUP($J5674,'Informations sur les produits'!$A$3:$H$10000,8,FALSE),"0")</f>
        <v>0</v>
      </c>
      <c r="N5674" s="8"/>
      <c r="O5674" s="33" t="str">
        <f>IFERROR(VLOOKUP($M5674,'Informations sur les produits'!$A$3:$H$10000,8,FALSE),"0")</f>
        <v>0</v>
      </c>
      <c r="P5674" s="33">
        <f t="shared" si="352"/>
        <v>0</v>
      </c>
      <c r="Q5674" s="31" t="str">
        <f t="shared" si="353"/>
        <v/>
      </c>
      <c r="R5674" s="32" t="str">
        <f>IFERROR(VLOOKUP($D5674,'Informations sur les produits'!$A$3:$B$15000,2,FALSE),"")</f>
        <v/>
      </c>
      <c r="V5674">
        <f t="shared" si="354"/>
        <v>0</v>
      </c>
      <c r="W5674">
        <f t="shared" si="355"/>
        <v>0</v>
      </c>
    </row>
    <row r="5675" spans="5:23" x14ac:dyDescent="0.25">
      <c r="E5675" s="4"/>
      <c r="F5675" s="4"/>
      <c r="G5675" s="33" t="str">
        <f>IFERROR(VLOOKUP($D5675,'Informations sur les produits'!$A$3:$H$10000,8,FALSE),"0")</f>
        <v>0</v>
      </c>
      <c r="K5675" s="4"/>
      <c r="L5675" s="33" t="str">
        <f>IFERROR(VLOOKUP($J5675,'Informations sur les produits'!$A$3:$H$10000,8,FALSE),"0")</f>
        <v>0</v>
      </c>
      <c r="N5675" s="8"/>
      <c r="O5675" s="33" t="str">
        <f>IFERROR(VLOOKUP($M5675,'Informations sur les produits'!$A$3:$H$10000,8,FALSE),"0")</f>
        <v>0</v>
      </c>
      <c r="P5675" s="33">
        <f t="shared" si="352"/>
        <v>0</v>
      </c>
      <c r="Q5675" s="31" t="str">
        <f t="shared" si="353"/>
        <v/>
      </c>
      <c r="R5675" s="32" t="str">
        <f>IFERROR(VLOOKUP($D5675,'Informations sur les produits'!$A$3:$B$15000,2,FALSE),"")</f>
        <v/>
      </c>
      <c r="V5675">
        <f t="shared" si="354"/>
        <v>0</v>
      </c>
      <c r="W5675">
        <f t="shared" si="355"/>
        <v>0</v>
      </c>
    </row>
    <row r="5676" spans="5:23" x14ac:dyDescent="0.25">
      <c r="E5676" s="4"/>
      <c r="F5676" s="4"/>
      <c r="G5676" s="33" t="str">
        <f>IFERROR(VLOOKUP($D5676,'Informations sur les produits'!$A$3:$H$10000,8,FALSE),"0")</f>
        <v>0</v>
      </c>
      <c r="K5676" s="4"/>
      <c r="L5676" s="33" t="str">
        <f>IFERROR(VLOOKUP($J5676,'Informations sur les produits'!$A$3:$H$10000,8,FALSE),"0")</f>
        <v>0</v>
      </c>
      <c r="N5676" s="8"/>
      <c r="O5676" s="33" t="str">
        <f>IFERROR(VLOOKUP($M5676,'Informations sur les produits'!$A$3:$H$10000,8,FALSE),"0")</f>
        <v>0</v>
      </c>
      <c r="P5676" s="33">
        <f t="shared" si="352"/>
        <v>0</v>
      </c>
      <c r="Q5676" s="31" t="str">
        <f t="shared" si="353"/>
        <v/>
      </c>
      <c r="R5676" s="32" t="str">
        <f>IFERROR(VLOOKUP($D5676,'Informations sur les produits'!$A$3:$B$15000,2,FALSE),"")</f>
        <v/>
      </c>
      <c r="V5676">
        <f t="shared" si="354"/>
        <v>0</v>
      </c>
      <c r="W5676">
        <f t="shared" si="355"/>
        <v>0</v>
      </c>
    </row>
    <row r="5677" spans="5:23" x14ac:dyDescent="0.25">
      <c r="E5677" s="4"/>
      <c r="F5677" s="4"/>
      <c r="G5677" s="33" t="str">
        <f>IFERROR(VLOOKUP($D5677,'Informations sur les produits'!$A$3:$H$10000,8,FALSE),"0")</f>
        <v>0</v>
      </c>
      <c r="K5677" s="4"/>
      <c r="L5677" s="33" t="str">
        <f>IFERROR(VLOOKUP($J5677,'Informations sur les produits'!$A$3:$H$10000,8,FALSE),"0")</f>
        <v>0</v>
      </c>
      <c r="N5677" s="8"/>
      <c r="O5677" s="33" t="str">
        <f>IFERROR(VLOOKUP($M5677,'Informations sur les produits'!$A$3:$H$10000,8,FALSE),"0")</f>
        <v>0</v>
      </c>
      <c r="P5677" s="33">
        <f t="shared" si="352"/>
        <v>0</v>
      </c>
      <c r="Q5677" s="31" t="str">
        <f t="shared" si="353"/>
        <v/>
      </c>
      <c r="R5677" s="32" t="str">
        <f>IFERROR(VLOOKUP($D5677,'Informations sur les produits'!$A$3:$B$15000,2,FALSE),"")</f>
        <v/>
      </c>
      <c r="V5677">
        <f t="shared" si="354"/>
        <v>0</v>
      </c>
      <c r="W5677">
        <f t="shared" si="355"/>
        <v>0</v>
      </c>
    </row>
    <row r="5678" spans="5:23" x14ac:dyDescent="0.25">
      <c r="E5678" s="4"/>
      <c r="F5678" s="4"/>
      <c r="G5678" s="33" t="str">
        <f>IFERROR(VLOOKUP($D5678,'Informations sur les produits'!$A$3:$H$10000,8,FALSE),"0")</f>
        <v>0</v>
      </c>
      <c r="K5678" s="4"/>
      <c r="L5678" s="33" t="str">
        <f>IFERROR(VLOOKUP($J5678,'Informations sur les produits'!$A$3:$H$10000,8,FALSE),"0")</f>
        <v>0</v>
      </c>
      <c r="N5678" s="8"/>
      <c r="O5678" s="33" t="str">
        <f>IFERROR(VLOOKUP($M5678,'Informations sur les produits'!$A$3:$H$10000,8,FALSE),"0")</f>
        <v>0</v>
      </c>
      <c r="P5678" s="33">
        <f t="shared" si="352"/>
        <v>0</v>
      </c>
      <c r="Q5678" s="31" t="str">
        <f t="shared" si="353"/>
        <v/>
      </c>
      <c r="R5678" s="32" t="str">
        <f>IFERROR(VLOOKUP($D5678,'Informations sur les produits'!$A$3:$B$15000,2,FALSE),"")</f>
        <v/>
      </c>
      <c r="V5678">
        <f t="shared" si="354"/>
        <v>0</v>
      </c>
      <c r="W5678">
        <f t="shared" si="355"/>
        <v>0</v>
      </c>
    </row>
    <row r="5679" spans="5:23" x14ac:dyDescent="0.25">
      <c r="E5679" s="4"/>
      <c r="F5679" s="4"/>
      <c r="G5679" s="33" t="str">
        <f>IFERROR(VLOOKUP($D5679,'Informations sur les produits'!$A$3:$H$10000,8,FALSE),"0")</f>
        <v>0</v>
      </c>
      <c r="K5679" s="4"/>
      <c r="L5679" s="33" t="str">
        <f>IFERROR(VLOOKUP($J5679,'Informations sur les produits'!$A$3:$H$10000,8,FALSE),"0")</f>
        <v>0</v>
      </c>
      <c r="N5679" s="8"/>
      <c r="O5679" s="33" t="str">
        <f>IFERROR(VLOOKUP($M5679,'Informations sur les produits'!$A$3:$H$10000,8,FALSE),"0")</f>
        <v>0</v>
      </c>
      <c r="P5679" s="33">
        <f t="shared" si="352"/>
        <v>0</v>
      </c>
      <c r="Q5679" s="31" t="str">
        <f t="shared" si="353"/>
        <v/>
      </c>
      <c r="R5679" s="32" t="str">
        <f>IFERROR(VLOOKUP($D5679,'Informations sur les produits'!$A$3:$B$15000,2,FALSE),"")</f>
        <v/>
      </c>
      <c r="V5679">
        <f t="shared" si="354"/>
        <v>0</v>
      </c>
      <c r="W5679">
        <f t="shared" si="355"/>
        <v>0</v>
      </c>
    </row>
    <row r="5680" spans="5:23" x14ac:dyDescent="0.25">
      <c r="E5680" s="4"/>
      <c r="F5680" s="4"/>
      <c r="G5680" s="33" t="str">
        <f>IFERROR(VLOOKUP($D5680,'Informations sur les produits'!$A$3:$H$10000,8,FALSE),"0")</f>
        <v>0</v>
      </c>
      <c r="K5680" s="4"/>
      <c r="L5680" s="33" t="str">
        <f>IFERROR(VLOOKUP($J5680,'Informations sur les produits'!$A$3:$H$10000,8,FALSE),"0")</f>
        <v>0</v>
      </c>
      <c r="N5680" s="8"/>
      <c r="O5680" s="33" t="str">
        <f>IFERROR(VLOOKUP($M5680,'Informations sur les produits'!$A$3:$H$10000,8,FALSE),"0")</f>
        <v>0</v>
      </c>
      <c r="P5680" s="33">
        <f t="shared" si="352"/>
        <v>0</v>
      </c>
      <c r="Q5680" s="31" t="str">
        <f t="shared" si="353"/>
        <v/>
      </c>
      <c r="R5680" s="32" t="str">
        <f>IFERROR(VLOOKUP($D5680,'Informations sur les produits'!$A$3:$B$15000,2,FALSE),"")</f>
        <v/>
      </c>
      <c r="V5680">
        <f t="shared" si="354"/>
        <v>0</v>
      </c>
      <c r="W5680">
        <f t="shared" si="355"/>
        <v>0</v>
      </c>
    </row>
    <row r="5681" spans="5:23" x14ac:dyDescent="0.25">
      <c r="E5681" s="4"/>
      <c r="F5681" s="4"/>
      <c r="G5681" s="33" t="str">
        <f>IFERROR(VLOOKUP($D5681,'Informations sur les produits'!$A$3:$H$10000,8,FALSE),"0")</f>
        <v>0</v>
      </c>
      <c r="K5681" s="4"/>
      <c r="L5681" s="33" t="str">
        <f>IFERROR(VLOOKUP($J5681,'Informations sur les produits'!$A$3:$H$10000,8,FALSE),"0")</f>
        <v>0</v>
      </c>
      <c r="N5681" s="8"/>
      <c r="O5681" s="33" t="str">
        <f>IFERROR(VLOOKUP($M5681,'Informations sur les produits'!$A$3:$H$10000,8,FALSE),"0")</f>
        <v>0</v>
      </c>
      <c r="P5681" s="33">
        <f t="shared" si="352"/>
        <v>0</v>
      </c>
      <c r="Q5681" s="31" t="str">
        <f t="shared" si="353"/>
        <v/>
      </c>
      <c r="R5681" s="32" t="str">
        <f>IFERROR(VLOOKUP($D5681,'Informations sur les produits'!$A$3:$B$15000,2,FALSE),"")</f>
        <v/>
      </c>
      <c r="V5681">
        <f t="shared" si="354"/>
        <v>0</v>
      </c>
      <c r="W5681">
        <f t="shared" si="355"/>
        <v>0</v>
      </c>
    </row>
    <row r="5682" spans="5:23" x14ac:dyDescent="0.25">
      <c r="E5682" s="4"/>
      <c r="F5682" s="4"/>
      <c r="G5682" s="33" t="str">
        <f>IFERROR(VLOOKUP($D5682,'Informations sur les produits'!$A$3:$H$10000,8,FALSE),"0")</f>
        <v>0</v>
      </c>
      <c r="K5682" s="4"/>
      <c r="L5682" s="33" t="str">
        <f>IFERROR(VLOOKUP($J5682,'Informations sur les produits'!$A$3:$H$10000,8,FALSE),"0")</f>
        <v>0</v>
      </c>
      <c r="N5682" s="8"/>
      <c r="O5682" s="33" t="str">
        <f>IFERROR(VLOOKUP($M5682,'Informations sur les produits'!$A$3:$H$10000,8,FALSE),"0")</f>
        <v>0</v>
      </c>
      <c r="P5682" s="33">
        <f t="shared" si="352"/>
        <v>0</v>
      </c>
      <c r="Q5682" s="31" t="str">
        <f t="shared" si="353"/>
        <v/>
      </c>
      <c r="R5682" s="32" t="str">
        <f>IFERROR(VLOOKUP($D5682,'Informations sur les produits'!$A$3:$B$15000,2,FALSE),"")</f>
        <v/>
      </c>
      <c r="V5682">
        <f t="shared" si="354"/>
        <v>0</v>
      </c>
      <c r="W5682">
        <f t="shared" si="355"/>
        <v>0</v>
      </c>
    </row>
    <row r="5683" spans="5:23" x14ac:dyDescent="0.25">
      <c r="E5683" s="4"/>
      <c r="F5683" s="4"/>
      <c r="G5683" s="33" t="str">
        <f>IFERROR(VLOOKUP($D5683,'Informations sur les produits'!$A$3:$H$10000,8,FALSE),"0")</f>
        <v>0</v>
      </c>
      <c r="K5683" s="4"/>
      <c r="L5683" s="33" t="str">
        <f>IFERROR(VLOOKUP($J5683,'Informations sur les produits'!$A$3:$H$10000,8,FALSE),"0")</f>
        <v>0</v>
      </c>
      <c r="N5683" s="8"/>
      <c r="O5683" s="33" t="str">
        <f>IFERROR(VLOOKUP($M5683,'Informations sur les produits'!$A$3:$H$10000,8,FALSE),"0")</f>
        <v>0</v>
      </c>
      <c r="P5683" s="33">
        <f t="shared" si="352"/>
        <v>0</v>
      </c>
      <c r="Q5683" s="31" t="str">
        <f t="shared" si="353"/>
        <v/>
      </c>
      <c r="R5683" s="32" t="str">
        <f>IFERROR(VLOOKUP($D5683,'Informations sur les produits'!$A$3:$B$15000,2,FALSE),"")</f>
        <v/>
      </c>
      <c r="V5683">
        <f t="shared" si="354"/>
        <v>0</v>
      </c>
      <c r="W5683">
        <f t="shared" si="355"/>
        <v>0</v>
      </c>
    </row>
    <row r="5684" spans="5:23" x14ac:dyDescent="0.25">
      <c r="E5684" s="4"/>
      <c r="F5684" s="4"/>
      <c r="G5684" s="33" t="str">
        <f>IFERROR(VLOOKUP($D5684,'Informations sur les produits'!$A$3:$H$10000,8,FALSE),"0")</f>
        <v>0</v>
      </c>
      <c r="K5684" s="4"/>
      <c r="L5684" s="33" t="str">
        <f>IFERROR(VLOOKUP($J5684,'Informations sur les produits'!$A$3:$H$10000,8,FALSE),"0")</f>
        <v>0</v>
      </c>
      <c r="N5684" s="8"/>
      <c r="O5684" s="33" t="str">
        <f>IFERROR(VLOOKUP($M5684,'Informations sur les produits'!$A$3:$H$10000,8,FALSE),"0")</f>
        <v>0</v>
      </c>
      <c r="P5684" s="33">
        <f t="shared" si="352"/>
        <v>0</v>
      </c>
      <c r="Q5684" s="31" t="str">
        <f t="shared" si="353"/>
        <v/>
      </c>
      <c r="R5684" s="32" t="str">
        <f>IFERROR(VLOOKUP($D5684,'Informations sur les produits'!$A$3:$B$15000,2,FALSE),"")</f>
        <v/>
      </c>
      <c r="V5684">
        <f t="shared" si="354"/>
        <v>0</v>
      </c>
      <c r="W5684">
        <f t="shared" si="355"/>
        <v>0</v>
      </c>
    </row>
    <row r="5685" spans="5:23" x14ac:dyDescent="0.25">
      <c r="E5685" s="4"/>
      <c r="F5685" s="4"/>
      <c r="G5685" s="33" t="str">
        <f>IFERROR(VLOOKUP($D5685,'Informations sur les produits'!$A$3:$H$10000,8,FALSE),"0")</f>
        <v>0</v>
      </c>
      <c r="K5685" s="4"/>
      <c r="L5685" s="33" t="str">
        <f>IFERROR(VLOOKUP($J5685,'Informations sur les produits'!$A$3:$H$10000,8,FALSE),"0")</f>
        <v>0</v>
      </c>
      <c r="N5685" s="8"/>
      <c r="O5685" s="33" t="str">
        <f>IFERROR(VLOOKUP($M5685,'Informations sur les produits'!$A$3:$H$10000,8,FALSE),"0")</f>
        <v>0</v>
      </c>
      <c r="P5685" s="33">
        <f t="shared" si="352"/>
        <v>0</v>
      </c>
      <c r="Q5685" s="31" t="str">
        <f t="shared" si="353"/>
        <v/>
      </c>
      <c r="R5685" s="32" t="str">
        <f>IFERROR(VLOOKUP($D5685,'Informations sur les produits'!$A$3:$B$15000,2,FALSE),"")</f>
        <v/>
      </c>
      <c r="V5685">
        <f t="shared" si="354"/>
        <v>0</v>
      </c>
      <c r="W5685">
        <f t="shared" si="355"/>
        <v>0</v>
      </c>
    </row>
    <row r="5686" spans="5:23" x14ac:dyDescent="0.25">
      <c r="E5686" s="4"/>
      <c r="F5686" s="4"/>
      <c r="G5686" s="33" t="str">
        <f>IFERROR(VLOOKUP($D5686,'Informations sur les produits'!$A$3:$H$10000,8,FALSE),"0")</f>
        <v>0</v>
      </c>
      <c r="K5686" s="4"/>
      <c r="L5686" s="33" t="str">
        <f>IFERROR(VLOOKUP($J5686,'Informations sur les produits'!$A$3:$H$10000,8,FALSE),"0")</f>
        <v>0</v>
      </c>
      <c r="N5686" s="8"/>
      <c r="O5686" s="33" t="str">
        <f>IFERROR(VLOOKUP($M5686,'Informations sur les produits'!$A$3:$H$10000,8,FALSE),"0")</f>
        <v>0</v>
      </c>
      <c r="P5686" s="33">
        <f t="shared" si="352"/>
        <v>0</v>
      </c>
      <c r="Q5686" s="31" t="str">
        <f t="shared" si="353"/>
        <v/>
      </c>
      <c r="R5686" s="32" t="str">
        <f>IFERROR(VLOOKUP($D5686,'Informations sur les produits'!$A$3:$B$15000,2,FALSE),"")</f>
        <v/>
      </c>
      <c r="V5686">
        <f t="shared" si="354"/>
        <v>0</v>
      </c>
      <c r="W5686">
        <f t="shared" si="355"/>
        <v>0</v>
      </c>
    </row>
    <row r="5687" spans="5:23" x14ac:dyDescent="0.25">
      <c r="E5687" s="4"/>
      <c r="F5687" s="4"/>
      <c r="G5687" s="33" t="str">
        <f>IFERROR(VLOOKUP($D5687,'Informations sur les produits'!$A$3:$H$10000,8,FALSE),"0")</f>
        <v>0</v>
      </c>
      <c r="K5687" s="4"/>
      <c r="L5687" s="33" t="str">
        <f>IFERROR(VLOOKUP($J5687,'Informations sur les produits'!$A$3:$H$10000,8,FALSE),"0")</f>
        <v>0</v>
      </c>
      <c r="N5687" s="8"/>
      <c r="O5687" s="33" t="str">
        <f>IFERROR(VLOOKUP($M5687,'Informations sur les produits'!$A$3:$H$10000,8,FALSE),"0")</f>
        <v>0</v>
      </c>
      <c r="P5687" s="33">
        <f t="shared" si="352"/>
        <v>0</v>
      </c>
      <c r="Q5687" s="31" t="str">
        <f t="shared" si="353"/>
        <v/>
      </c>
      <c r="R5687" s="32" t="str">
        <f>IFERROR(VLOOKUP($D5687,'Informations sur les produits'!$A$3:$B$15000,2,FALSE),"")</f>
        <v/>
      </c>
      <c r="V5687">
        <f t="shared" si="354"/>
        <v>0</v>
      </c>
      <c r="W5687">
        <f t="shared" si="355"/>
        <v>0</v>
      </c>
    </row>
    <row r="5688" spans="5:23" x14ac:dyDescent="0.25">
      <c r="E5688" s="4"/>
      <c r="F5688" s="4"/>
      <c r="G5688" s="33" t="str">
        <f>IFERROR(VLOOKUP($D5688,'Informations sur les produits'!$A$3:$H$10000,8,FALSE),"0")</f>
        <v>0</v>
      </c>
      <c r="K5688" s="4"/>
      <c r="L5688" s="33" t="str">
        <f>IFERROR(VLOOKUP($J5688,'Informations sur les produits'!$A$3:$H$10000,8,FALSE),"0")</f>
        <v>0</v>
      </c>
      <c r="N5688" s="8"/>
      <c r="O5688" s="33" t="str">
        <f>IFERROR(VLOOKUP($M5688,'Informations sur les produits'!$A$3:$H$10000,8,FALSE),"0")</f>
        <v>0</v>
      </c>
      <c r="P5688" s="33">
        <f t="shared" si="352"/>
        <v>0</v>
      </c>
      <c r="Q5688" s="31" t="str">
        <f t="shared" si="353"/>
        <v/>
      </c>
      <c r="R5688" s="32" t="str">
        <f>IFERROR(VLOOKUP($D5688,'Informations sur les produits'!$A$3:$B$15000,2,FALSE),"")</f>
        <v/>
      </c>
      <c r="V5688">
        <f t="shared" si="354"/>
        <v>0</v>
      </c>
      <c r="W5688">
        <f t="shared" si="355"/>
        <v>0</v>
      </c>
    </row>
    <row r="5689" spans="5:23" x14ac:dyDescent="0.25">
      <c r="E5689" s="4"/>
      <c r="F5689" s="4"/>
      <c r="G5689" s="33" t="str">
        <f>IFERROR(VLOOKUP($D5689,'Informations sur les produits'!$A$3:$H$10000,8,FALSE),"0")</f>
        <v>0</v>
      </c>
      <c r="K5689" s="4"/>
      <c r="L5689" s="33" t="str">
        <f>IFERROR(VLOOKUP($J5689,'Informations sur les produits'!$A$3:$H$10000,8,FALSE),"0")</f>
        <v>0</v>
      </c>
      <c r="N5689" s="8"/>
      <c r="O5689" s="33" t="str">
        <f>IFERROR(VLOOKUP($M5689,'Informations sur les produits'!$A$3:$H$10000,8,FALSE),"0")</f>
        <v>0</v>
      </c>
      <c r="P5689" s="33">
        <f t="shared" si="352"/>
        <v>0</v>
      </c>
      <c r="Q5689" s="31" t="str">
        <f t="shared" si="353"/>
        <v/>
      </c>
      <c r="R5689" s="32" t="str">
        <f>IFERROR(VLOOKUP($D5689,'Informations sur les produits'!$A$3:$B$15000,2,FALSE),"")</f>
        <v/>
      </c>
      <c r="V5689">
        <f t="shared" si="354"/>
        <v>0</v>
      </c>
      <c r="W5689">
        <f t="shared" si="355"/>
        <v>0</v>
      </c>
    </row>
    <row r="5690" spans="5:23" x14ac:dyDescent="0.25">
      <c r="E5690" s="4"/>
      <c r="F5690" s="4"/>
      <c r="G5690" s="33" t="str">
        <f>IFERROR(VLOOKUP($D5690,'Informations sur les produits'!$A$3:$H$10000,8,FALSE),"0")</f>
        <v>0</v>
      </c>
      <c r="K5690" s="4"/>
      <c r="L5690" s="33" t="str">
        <f>IFERROR(VLOOKUP($J5690,'Informations sur les produits'!$A$3:$H$10000,8,FALSE),"0")</f>
        <v>0</v>
      </c>
      <c r="N5690" s="8"/>
      <c r="O5690" s="33" t="str">
        <f>IFERROR(VLOOKUP($M5690,'Informations sur les produits'!$A$3:$H$10000,8,FALSE),"0")</f>
        <v>0</v>
      </c>
      <c r="P5690" s="33">
        <f t="shared" si="352"/>
        <v>0</v>
      </c>
      <c r="Q5690" s="31" t="str">
        <f t="shared" si="353"/>
        <v/>
      </c>
      <c r="R5690" s="32" t="str">
        <f>IFERROR(VLOOKUP($D5690,'Informations sur les produits'!$A$3:$B$15000,2,FALSE),"")</f>
        <v/>
      </c>
      <c r="V5690">
        <f t="shared" si="354"/>
        <v>0</v>
      </c>
      <c r="W5690">
        <f t="shared" si="355"/>
        <v>0</v>
      </c>
    </row>
    <row r="5691" spans="5:23" x14ac:dyDescent="0.25">
      <c r="E5691" s="4"/>
      <c r="F5691" s="4"/>
      <c r="G5691" s="33" t="str">
        <f>IFERROR(VLOOKUP($D5691,'Informations sur les produits'!$A$3:$H$10000,8,FALSE),"0")</f>
        <v>0</v>
      </c>
      <c r="K5691" s="4"/>
      <c r="L5691" s="33" t="str">
        <f>IFERROR(VLOOKUP($J5691,'Informations sur les produits'!$A$3:$H$10000,8,FALSE),"0")</f>
        <v>0</v>
      </c>
      <c r="N5691" s="8"/>
      <c r="O5691" s="33" t="str">
        <f>IFERROR(VLOOKUP($M5691,'Informations sur les produits'!$A$3:$H$10000,8,FALSE),"0")</f>
        <v>0</v>
      </c>
      <c r="P5691" s="33">
        <f t="shared" si="352"/>
        <v>0</v>
      </c>
      <c r="Q5691" s="31" t="str">
        <f t="shared" si="353"/>
        <v/>
      </c>
      <c r="R5691" s="32" t="str">
        <f>IFERROR(VLOOKUP($D5691,'Informations sur les produits'!$A$3:$B$15000,2,FALSE),"")</f>
        <v/>
      </c>
      <c r="V5691">
        <f t="shared" si="354"/>
        <v>0</v>
      </c>
      <c r="W5691">
        <f t="shared" si="355"/>
        <v>0</v>
      </c>
    </row>
    <row r="5692" spans="5:23" x14ac:dyDescent="0.25">
      <c r="E5692" s="4"/>
      <c r="F5692" s="4"/>
      <c r="G5692" s="33" t="str">
        <f>IFERROR(VLOOKUP($D5692,'Informations sur les produits'!$A$3:$H$10000,8,FALSE),"0")</f>
        <v>0</v>
      </c>
      <c r="K5692" s="4"/>
      <c r="L5692" s="33" t="str">
        <f>IFERROR(VLOOKUP($J5692,'Informations sur les produits'!$A$3:$H$10000,8,FALSE),"0")</f>
        <v>0</v>
      </c>
      <c r="N5692" s="8"/>
      <c r="O5692" s="33" t="str">
        <f>IFERROR(VLOOKUP($M5692,'Informations sur les produits'!$A$3:$H$10000,8,FALSE),"0")</f>
        <v>0</v>
      </c>
      <c r="P5692" s="33">
        <f t="shared" si="352"/>
        <v>0</v>
      </c>
      <c r="Q5692" s="31" t="str">
        <f t="shared" si="353"/>
        <v/>
      </c>
      <c r="R5692" s="32" t="str">
        <f>IFERROR(VLOOKUP($D5692,'Informations sur les produits'!$A$3:$B$15000,2,FALSE),"")</f>
        <v/>
      </c>
      <c r="V5692">
        <f t="shared" si="354"/>
        <v>0</v>
      </c>
      <c r="W5692">
        <f t="shared" si="355"/>
        <v>0</v>
      </c>
    </row>
    <row r="5693" spans="5:23" x14ac:dyDescent="0.25">
      <c r="E5693" s="4"/>
      <c r="F5693" s="4"/>
      <c r="G5693" s="33" t="str">
        <f>IFERROR(VLOOKUP($D5693,'Informations sur les produits'!$A$3:$H$10000,8,FALSE),"0")</f>
        <v>0</v>
      </c>
      <c r="K5693" s="4"/>
      <c r="L5693" s="33" t="str">
        <f>IFERROR(VLOOKUP($J5693,'Informations sur les produits'!$A$3:$H$10000,8,FALSE),"0")</f>
        <v>0</v>
      </c>
      <c r="N5693" s="8"/>
      <c r="O5693" s="33" t="str">
        <f>IFERROR(VLOOKUP($M5693,'Informations sur les produits'!$A$3:$H$10000,8,FALSE),"0")</f>
        <v>0</v>
      </c>
      <c r="P5693" s="33">
        <f t="shared" si="352"/>
        <v>0</v>
      </c>
      <c r="Q5693" s="31" t="str">
        <f t="shared" si="353"/>
        <v/>
      </c>
      <c r="R5693" s="32" t="str">
        <f>IFERROR(VLOOKUP($D5693,'Informations sur les produits'!$A$3:$B$15000,2,FALSE),"")</f>
        <v/>
      </c>
      <c r="V5693">
        <f t="shared" si="354"/>
        <v>0</v>
      </c>
      <c r="W5693">
        <f t="shared" si="355"/>
        <v>0</v>
      </c>
    </row>
    <row r="5694" spans="5:23" x14ac:dyDescent="0.25">
      <c r="E5694" s="4"/>
      <c r="F5694" s="4"/>
      <c r="G5694" s="33" t="str">
        <f>IFERROR(VLOOKUP($D5694,'Informations sur les produits'!$A$3:$H$10000,8,FALSE),"0")</f>
        <v>0</v>
      </c>
      <c r="K5694" s="4"/>
      <c r="L5694" s="33" t="str">
        <f>IFERROR(VLOOKUP($J5694,'Informations sur les produits'!$A$3:$H$10000,8,FALSE),"0")</f>
        <v>0</v>
      </c>
      <c r="N5694" s="8"/>
      <c r="O5694" s="33" t="str">
        <f>IFERROR(VLOOKUP($M5694,'Informations sur les produits'!$A$3:$H$10000,8,FALSE),"0")</f>
        <v>0</v>
      </c>
      <c r="P5694" s="33">
        <f t="shared" si="352"/>
        <v>0</v>
      </c>
      <c r="Q5694" s="31" t="str">
        <f t="shared" si="353"/>
        <v/>
      </c>
      <c r="R5694" s="32" t="str">
        <f>IFERROR(VLOOKUP($D5694,'Informations sur les produits'!$A$3:$B$15000,2,FALSE),"")</f>
        <v/>
      </c>
      <c r="V5694">
        <f t="shared" si="354"/>
        <v>0</v>
      </c>
      <c r="W5694">
        <f t="shared" si="355"/>
        <v>0</v>
      </c>
    </row>
    <row r="5695" spans="5:23" x14ac:dyDescent="0.25">
      <c r="E5695" s="4"/>
      <c r="F5695" s="4"/>
      <c r="G5695" s="33" t="str">
        <f>IFERROR(VLOOKUP($D5695,'Informations sur les produits'!$A$3:$H$10000,8,FALSE),"0")</f>
        <v>0</v>
      </c>
      <c r="K5695" s="4"/>
      <c r="L5695" s="33" t="str">
        <f>IFERROR(VLOOKUP($J5695,'Informations sur les produits'!$A$3:$H$10000,8,FALSE),"0")</f>
        <v>0</v>
      </c>
      <c r="N5695" s="8"/>
      <c r="O5695" s="33" t="str">
        <f>IFERROR(VLOOKUP($M5695,'Informations sur les produits'!$A$3:$H$10000,8,FALSE),"0")</f>
        <v>0</v>
      </c>
      <c r="P5695" s="33">
        <f t="shared" si="352"/>
        <v>0</v>
      </c>
      <c r="Q5695" s="31" t="str">
        <f t="shared" si="353"/>
        <v/>
      </c>
      <c r="R5695" s="32" t="str">
        <f>IFERROR(VLOOKUP($D5695,'Informations sur les produits'!$A$3:$B$15000,2,FALSE),"")</f>
        <v/>
      </c>
      <c r="V5695">
        <f t="shared" si="354"/>
        <v>0</v>
      </c>
      <c r="W5695">
        <f t="shared" si="355"/>
        <v>0</v>
      </c>
    </row>
    <row r="5696" spans="5:23" x14ac:dyDescent="0.25">
      <c r="E5696" s="4"/>
      <c r="F5696" s="4"/>
      <c r="G5696" s="33" t="str">
        <f>IFERROR(VLOOKUP($D5696,'Informations sur les produits'!$A$3:$H$10000,8,FALSE),"0")</f>
        <v>0</v>
      </c>
      <c r="K5696" s="4"/>
      <c r="L5696" s="33" t="str">
        <f>IFERROR(VLOOKUP($J5696,'Informations sur les produits'!$A$3:$H$10000,8,FALSE),"0")</f>
        <v>0</v>
      </c>
      <c r="N5696" s="8"/>
      <c r="O5696" s="33" t="str">
        <f>IFERROR(VLOOKUP($M5696,'Informations sur les produits'!$A$3:$H$10000,8,FALSE),"0")</f>
        <v>0</v>
      </c>
      <c r="P5696" s="33">
        <f t="shared" si="352"/>
        <v>0</v>
      </c>
      <c r="Q5696" s="31" t="str">
        <f t="shared" si="353"/>
        <v/>
      </c>
      <c r="R5696" s="32" t="str">
        <f>IFERROR(VLOOKUP($D5696,'Informations sur les produits'!$A$3:$B$15000,2,FALSE),"")</f>
        <v/>
      </c>
      <c r="V5696">
        <f t="shared" si="354"/>
        <v>0</v>
      </c>
      <c r="W5696">
        <f t="shared" si="355"/>
        <v>0</v>
      </c>
    </row>
    <row r="5697" spans="5:23" x14ac:dyDescent="0.25">
      <c r="E5697" s="4"/>
      <c r="F5697" s="4"/>
      <c r="G5697" s="33" t="str">
        <f>IFERROR(VLOOKUP($D5697,'Informations sur les produits'!$A$3:$H$10000,8,FALSE),"0")</f>
        <v>0</v>
      </c>
      <c r="K5697" s="4"/>
      <c r="L5697" s="33" t="str">
        <f>IFERROR(VLOOKUP($J5697,'Informations sur les produits'!$A$3:$H$10000,8,FALSE),"0")</f>
        <v>0</v>
      </c>
      <c r="N5697" s="8"/>
      <c r="O5697" s="33" t="str">
        <f>IFERROR(VLOOKUP($M5697,'Informations sur les produits'!$A$3:$H$10000,8,FALSE),"0")</f>
        <v>0</v>
      </c>
      <c r="P5697" s="33">
        <f t="shared" si="352"/>
        <v>0</v>
      </c>
      <c r="Q5697" s="31" t="str">
        <f t="shared" si="353"/>
        <v/>
      </c>
      <c r="R5697" s="32" t="str">
        <f>IFERROR(VLOOKUP($D5697,'Informations sur les produits'!$A$3:$B$15000,2,FALSE),"")</f>
        <v/>
      </c>
      <c r="V5697">
        <f t="shared" si="354"/>
        <v>0</v>
      </c>
      <c r="W5697">
        <f t="shared" si="355"/>
        <v>0</v>
      </c>
    </row>
    <row r="5698" spans="5:23" x14ac:dyDescent="0.25">
      <c r="E5698" s="4"/>
      <c r="F5698" s="4"/>
      <c r="G5698" s="33" t="str">
        <f>IFERROR(VLOOKUP($D5698,'Informations sur les produits'!$A$3:$H$10000,8,FALSE),"0")</f>
        <v>0</v>
      </c>
      <c r="K5698" s="4"/>
      <c r="L5698" s="33" t="str">
        <f>IFERROR(VLOOKUP($J5698,'Informations sur les produits'!$A$3:$H$10000,8,FALSE),"0")</f>
        <v>0</v>
      </c>
      <c r="N5698" s="8"/>
      <c r="O5698" s="33" t="str">
        <f>IFERROR(VLOOKUP($M5698,'Informations sur les produits'!$A$3:$H$10000,8,FALSE),"0")</f>
        <v>0</v>
      </c>
      <c r="P5698" s="33">
        <f t="shared" si="352"/>
        <v>0</v>
      </c>
      <c r="Q5698" s="31" t="str">
        <f t="shared" si="353"/>
        <v/>
      </c>
      <c r="R5698" s="32" t="str">
        <f>IFERROR(VLOOKUP($D5698,'Informations sur les produits'!$A$3:$B$15000,2,FALSE),"")</f>
        <v/>
      </c>
      <c r="V5698">
        <f t="shared" si="354"/>
        <v>0</v>
      </c>
      <c r="W5698">
        <f t="shared" si="355"/>
        <v>0</v>
      </c>
    </row>
    <row r="5699" spans="5:23" x14ac:dyDescent="0.25">
      <c r="E5699" s="4"/>
      <c r="F5699" s="4"/>
      <c r="G5699" s="33" t="str">
        <f>IFERROR(VLOOKUP($D5699,'Informations sur les produits'!$A$3:$H$10000,8,FALSE),"0")</f>
        <v>0</v>
      </c>
      <c r="K5699" s="4"/>
      <c r="L5699" s="33" t="str">
        <f>IFERROR(VLOOKUP($J5699,'Informations sur les produits'!$A$3:$H$10000,8,FALSE),"0")</f>
        <v>0</v>
      </c>
      <c r="N5699" s="8"/>
      <c r="O5699" s="33" t="str">
        <f>IFERROR(VLOOKUP($M5699,'Informations sur les produits'!$A$3:$H$10000,8,FALSE),"0")</f>
        <v>0</v>
      </c>
      <c r="P5699" s="33">
        <f t="shared" si="352"/>
        <v>0</v>
      </c>
      <c r="Q5699" s="31" t="str">
        <f t="shared" si="353"/>
        <v/>
      </c>
      <c r="R5699" s="32" t="str">
        <f>IFERROR(VLOOKUP($D5699,'Informations sur les produits'!$A$3:$B$15000,2,FALSE),"")</f>
        <v/>
      </c>
      <c r="V5699">
        <f t="shared" si="354"/>
        <v>0</v>
      </c>
      <c r="W5699">
        <f t="shared" si="355"/>
        <v>0</v>
      </c>
    </row>
    <row r="5700" spans="5:23" x14ac:dyDescent="0.25">
      <c r="E5700" s="4"/>
      <c r="F5700" s="4"/>
      <c r="G5700" s="33" t="str">
        <f>IFERROR(VLOOKUP($D5700,'Informations sur les produits'!$A$3:$H$10000,8,FALSE),"0")</f>
        <v>0</v>
      </c>
      <c r="K5700" s="4"/>
      <c r="L5700" s="33" t="str">
        <f>IFERROR(VLOOKUP($J5700,'Informations sur les produits'!$A$3:$H$10000,8,FALSE),"0")</f>
        <v>0</v>
      </c>
      <c r="N5700" s="8"/>
      <c r="O5700" s="33" t="str">
        <f>IFERROR(VLOOKUP($M5700,'Informations sur les produits'!$A$3:$H$10000,8,FALSE),"0")</f>
        <v>0</v>
      </c>
      <c r="P5700" s="33">
        <f t="shared" ref="P5700:P5763" si="356">IFERROR((($E5700-$F5700)*$G5700+$K5700*$L5700+$N5700*$O5700),"")</f>
        <v>0</v>
      </c>
      <c r="Q5700" s="31" t="str">
        <f t="shared" ref="Q5700:Q5763" si="357">IFERROR((((($E5700-$F5700)*$G5700+$K5700*$L5700+$N5700*$O5700)*1000)/(($E5700-$F5700)+$K5700+$N5700)),"")</f>
        <v/>
      </c>
      <c r="R5700" s="32" t="str">
        <f>IFERROR(VLOOKUP($D5700,'Informations sur les produits'!$A$3:$B$15000,2,FALSE),"")</f>
        <v/>
      </c>
      <c r="V5700">
        <f t="shared" ref="V5700:V5763" si="358">IFERROR(P5700*1000,"")</f>
        <v>0</v>
      </c>
      <c r="W5700">
        <f t="shared" ref="W5700:W5763" si="359">IFERROR(($E5700-$F5700)+$K5700+$N5700,"")</f>
        <v>0</v>
      </c>
    </row>
    <row r="5701" spans="5:23" x14ac:dyDescent="0.25">
      <c r="E5701" s="4"/>
      <c r="F5701" s="4"/>
      <c r="G5701" s="33" t="str">
        <f>IFERROR(VLOOKUP($D5701,'Informations sur les produits'!$A$3:$H$10000,8,FALSE),"0")</f>
        <v>0</v>
      </c>
      <c r="K5701" s="4"/>
      <c r="L5701" s="33" t="str">
        <f>IFERROR(VLOOKUP($J5701,'Informations sur les produits'!$A$3:$H$10000,8,FALSE),"0")</f>
        <v>0</v>
      </c>
      <c r="N5701" s="8"/>
      <c r="O5701" s="33" t="str">
        <f>IFERROR(VLOOKUP($M5701,'Informations sur les produits'!$A$3:$H$10000,8,FALSE),"0")</f>
        <v>0</v>
      </c>
      <c r="P5701" s="33">
        <f t="shared" si="356"/>
        <v>0</v>
      </c>
      <c r="Q5701" s="31" t="str">
        <f t="shared" si="357"/>
        <v/>
      </c>
      <c r="R5701" s="32" t="str">
        <f>IFERROR(VLOOKUP($D5701,'Informations sur les produits'!$A$3:$B$15000,2,FALSE),"")</f>
        <v/>
      </c>
      <c r="V5701">
        <f t="shared" si="358"/>
        <v>0</v>
      </c>
      <c r="W5701">
        <f t="shared" si="359"/>
        <v>0</v>
      </c>
    </row>
    <row r="5702" spans="5:23" x14ac:dyDescent="0.25">
      <c r="E5702" s="4"/>
      <c r="F5702" s="4"/>
      <c r="G5702" s="33" t="str">
        <f>IFERROR(VLOOKUP($D5702,'Informations sur les produits'!$A$3:$H$10000,8,FALSE),"0")</f>
        <v>0</v>
      </c>
      <c r="K5702" s="4"/>
      <c r="L5702" s="33" t="str">
        <f>IFERROR(VLOOKUP($J5702,'Informations sur les produits'!$A$3:$H$10000,8,FALSE),"0")</f>
        <v>0</v>
      </c>
      <c r="N5702" s="8"/>
      <c r="O5702" s="33" t="str">
        <f>IFERROR(VLOOKUP($M5702,'Informations sur les produits'!$A$3:$H$10000,8,FALSE),"0")</f>
        <v>0</v>
      </c>
      <c r="P5702" s="33">
        <f t="shared" si="356"/>
        <v>0</v>
      </c>
      <c r="Q5702" s="31" t="str">
        <f t="shared" si="357"/>
        <v/>
      </c>
      <c r="R5702" s="32" t="str">
        <f>IFERROR(VLOOKUP($D5702,'Informations sur les produits'!$A$3:$B$15000,2,FALSE),"")</f>
        <v/>
      </c>
      <c r="V5702">
        <f t="shared" si="358"/>
        <v>0</v>
      </c>
      <c r="W5702">
        <f t="shared" si="359"/>
        <v>0</v>
      </c>
    </row>
    <row r="5703" spans="5:23" x14ac:dyDescent="0.25">
      <c r="E5703" s="4"/>
      <c r="F5703" s="4"/>
      <c r="G5703" s="33" t="str">
        <f>IFERROR(VLOOKUP($D5703,'Informations sur les produits'!$A$3:$H$10000,8,FALSE),"0")</f>
        <v>0</v>
      </c>
      <c r="K5703" s="4"/>
      <c r="L5703" s="33" t="str">
        <f>IFERROR(VLOOKUP($J5703,'Informations sur les produits'!$A$3:$H$10000,8,FALSE),"0")</f>
        <v>0</v>
      </c>
      <c r="N5703" s="8"/>
      <c r="O5703" s="33" t="str">
        <f>IFERROR(VLOOKUP($M5703,'Informations sur les produits'!$A$3:$H$10000,8,FALSE),"0")</f>
        <v>0</v>
      </c>
      <c r="P5703" s="33">
        <f t="shared" si="356"/>
        <v>0</v>
      </c>
      <c r="Q5703" s="31" t="str">
        <f t="shared" si="357"/>
        <v/>
      </c>
      <c r="R5703" s="32" t="str">
        <f>IFERROR(VLOOKUP($D5703,'Informations sur les produits'!$A$3:$B$15000,2,FALSE),"")</f>
        <v/>
      </c>
      <c r="V5703">
        <f t="shared" si="358"/>
        <v>0</v>
      </c>
      <c r="W5703">
        <f t="shared" si="359"/>
        <v>0</v>
      </c>
    </row>
    <row r="5704" spans="5:23" x14ac:dyDescent="0.25">
      <c r="E5704" s="4"/>
      <c r="F5704" s="4"/>
      <c r="G5704" s="33" t="str">
        <f>IFERROR(VLOOKUP($D5704,'Informations sur les produits'!$A$3:$H$10000,8,FALSE),"0")</f>
        <v>0</v>
      </c>
      <c r="K5704" s="4"/>
      <c r="L5704" s="33" t="str">
        <f>IFERROR(VLOOKUP($J5704,'Informations sur les produits'!$A$3:$H$10000,8,FALSE),"0")</f>
        <v>0</v>
      </c>
      <c r="N5704" s="8"/>
      <c r="O5704" s="33" t="str">
        <f>IFERROR(VLOOKUP($M5704,'Informations sur les produits'!$A$3:$H$10000,8,FALSE),"0")</f>
        <v>0</v>
      </c>
      <c r="P5704" s="33">
        <f t="shared" si="356"/>
        <v>0</v>
      </c>
      <c r="Q5704" s="31" t="str">
        <f t="shared" si="357"/>
        <v/>
      </c>
      <c r="R5704" s="32" t="str">
        <f>IFERROR(VLOOKUP($D5704,'Informations sur les produits'!$A$3:$B$15000,2,FALSE),"")</f>
        <v/>
      </c>
      <c r="V5704">
        <f t="shared" si="358"/>
        <v>0</v>
      </c>
      <c r="W5704">
        <f t="shared" si="359"/>
        <v>0</v>
      </c>
    </row>
    <row r="5705" spans="5:23" x14ac:dyDescent="0.25">
      <c r="E5705" s="4"/>
      <c r="F5705" s="4"/>
      <c r="G5705" s="33" t="str">
        <f>IFERROR(VLOOKUP($D5705,'Informations sur les produits'!$A$3:$H$10000,8,FALSE),"0")</f>
        <v>0</v>
      </c>
      <c r="K5705" s="4"/>
      <c r="L5705" s="33" t="str">
        <f>IFERROR(VLOOKUP($J5705,'Informations sur les produits'!$A$3:$H$10000,8,FALSE),"0")</f>
        <v>0</v>
      </c>
      <c r="N5705" s="8"/>
      <c r="O5705" s="33" t="str">
        <f>IFERROR(VLOOKUP($M5705,'Informations sur les produits'!$A$3:$H$10000,8,FALSE),"0")</f>
        <v>0</v>
      </c>
      <c r="P5705" s="33">
        <f t="shared" si="356"/>
        <v>0</v>
      </c>
      <c r="Q5705" s="31" t="str">
        <f t="shared" si="357"/>
        <v/>
      </c>
      <c r="R5705" s="32" t="str">
        <f>IFERROR(VLOOKUP($D5705,'Informations sur les produits'!$A$3:$B$15000,2,FALSE),"")</f>
        <v/>
      </c>
      <c r="V5705">
        <f t="shared" si="358"/>
        <v>0</v>
      </c>
      <c r="W5705">
        <f t="shared" si="359"/>
        <v>0</v>
      </c>
    </row>
    <row r="5706" spans="5:23" x14ac:dyDescent="0.25">
      <c r="E5706" s="4"/>
      <c r="F5706" s="4"/>
      <c r="G5706" s="33" t="str">
        <f>IFERROR(VLOOKUP($D5706,'Informations sur les produits'!$A$3:$H$10000,8,FALSE),"0")</f>
        <v>0</v>
      </c>
      <c r="K5706" s="4"/>
      <c r="L5706" s="33" t="str">
        <f>IFERROR(VLOOKUP($J5706,'Informations sur les produits'!$A$3:$H$10000,8,FALSE),"0")</f>
        <v>0</v>
      </c>
      <c r="N5706" s="8"/>
      <c r="O5706" s="33" t="str">
        <f>IFERROR(VLOOKUP($M5706,'Informations sur les produits'!$A$3:$H$10000,8,FALSE),"0")</f>
        <v>0</v>
      </c>
      <c r="P5706" s="33">
        <f t="shared" si="356"/>
        <v>0</v>
      </c>
      <c r="Q5706" s="31" t="str">
        <f t="shared" si="357"/>
        <v/>
      </c>
      <c r="R5706" s="32" t="str">
        <f>IFERROR(VLOOKUP($D5706,'Informations sur les produits'!$A$3:$B$15000,2,FALSE),"")</f>
        <v/>
      </c>
      <c r="V5706">
        <f t="shared" si="358"/>
        <v>0</v>
      </c>
      <c r="W5706">
        <f t="shared" si="359"/>
        <v>0</v>
      </c>
    </row>
    <row r="5707" spans="5:23" x14ac:dyDescent="0.25">
      <c r="E5707" s="4"/>
      <c r="F5707" s="4"/>
      <c r="G5707" s="33" t="str">
        <f>IFERROR(VLOOKUP($D5707,'Informations sur les produits'!$A$3:$H$10000,8,FALSE),"0")</f>
        <v>0</v>
      </c>
      <c r="K5707" s="4"/>
      <c r="L5707" s="33" t="str">
        <f>IFERROR(VLOOKUP($J5707,'Informations sur les produits'!$A$3:$H$10000,8,FALSE),"0")</f>
        <v>0</v>
      </c>
      <c r="N5707" s="8"/>
      <c r="O5707" s="33" t="str">
        <f>IFERROR(VLOOKUP($M5707,'Informations sur les produits'!$A$3:$H$10000,8,FALSE),"0")</f>
        <v>0</v>
      </c>
      <c r="P5707" s="33">
        <f t="shared" si="356"/>
        <v>0</v>
      </c>
      <c r="Q5707" s="31" t="str">
        <f t="shared" si="357"/>
        <v/>
      </c>
      <c r="R5707" s="32" t="str">
        <f>IFERROR(VLOOKUP($D5707,'Informations sur les produits'!$A$3:$B$15000,2,FALSE),"")</f>
        <v/>
      </c>
      <c r="V5707">
        <f t="shared" si="358"/>
        <v>0</v>
      </c>
      <c r="W5707">
        <f t="shared" si="359"/>
        <v>0</v>
      </c>
    </row>
    <row r="5708" spans="5:23" x14ac:dyDescent="0.25">
      <c r="E5708" s="4"/>
      <c r="F5708" s="4"/>
      <c r="G5708" s="33" t="str">
        <f>IFERROR(VLOOKUP($D5708,'Informations sur les produits'!$A$3:$H$10000,8,FALSE),"0")</f>
        <v>0</v>
      </c>
      <c r="K5708" s="4"/>
      <c r="L5708" s="33" t="str">
        <f>IFERROR(VLOOKUP($J5708,'Informations sur les produits'!$A$3:$H$10000,8,FALSE),"0")</f>
        <v>0</v>
      </c>
      <c r="N5708" s="8"/>
      <c r="O5708" s="33" t="str">
        <f>IFERROR(VLOOKUP($M5708,'Informations sur les produits'!$A$3:$H$10000,8,FALSE),"0")</f>
        <v>0</v>
      </c>
      <c r="P5708" s="33">
        <f t="shared" si="356"/>
        <v>0</v>
      </c>
      <c r="Q5708" s="31" t="str">
        <f t="shared" si="357"/>
        <v/>
      </c>
      <c r="R5708" s="32" t="str">
        <f>IFERROR(VLOOKUP($D5708,'Informations sur les produits'!$A$3:$B$15000,2,FALSE),"")</f>
        <v/>
      </c>
      <c r="V5708">
        <f t="shared" si="358"/>
        <v>0</v>
      </c>
      <c r="W5708">
        <f t="shared" si="359"/>
        <v>0</v>
      </c>
    </row>
    <row r="5709" spans="5:23" x14ac:dyDescent="0.25">
      <c r="E5709" s="4"/>
      <c r="F5709" s="4"/>
      <c r="G5709" s="33" t="str">
        <f>IFERROR(VLOOKUP($D5709,'Informations sur les produits'!$A$3:$H$10000,8,FALSE),"0")</f>
        <v>0</v>
      </c>
      <c r="K5709" s="4"/>
      <c r="L5709" s="33" t="str">
        <f>IFERROR(VLOOKUP($J5709,'Informations sur les produits'!$A$3:$H$10000,8,FALSE),"0")</f>
        <v>0</v>
      </c>
      <c r="N5709" s="8"/>
      <c r="O5709" s="33" t="str">
        <f>IFERROR(VLOOKUP($M5709,'Informations sur les produits'!$A$3:$H$10000,8,FALSE),"0")</f>
        <v>0</v>
      </c>
      <c r="P5709" s="33">
        <f t="shared" si="356"/>
        <v>0</v>
      </c>
      <c r="Q5709" s="31" t="str">
        <f t="shared" si="357"/>
        <v/>
      </c>
      <c r="R5709" s="32" t="str">
        <f>IFERROR(VLOOKUP($D5709,'Informations sur les produits'!$A$3:$B$15000,2,FALSE),"")</f>
        <v/>
      </c>
      <c r="V5709">
        <f t="shared" si="358"/>
        <v>0</v>
      </c>
      <c r="W5709">
        <f t="shared" si="359"/>
        <v>0</v>
      </c>
    </row>
    <row r="5710" spans="5:23" x14ac:dyDescent="0.25">
      <c r="E5710" s="4"/>
      <c r="F5710" s="4"/>
      <c r="G5710" s="33" t="str">
        <f>IFERROR(VLOOKUP($D5710,'Informations sur les produits'!$A$3:$H$10000,8,FALSE),"0")</f>
        <v>0</v>
      </c>
      <c r="K5710" s="4"/>
      <c r="L5710" s="33" t="str">
        <f>IFERROR(VLOOKUP($J5710,'Informations sur les produits'!$A$3:$H$10000,8,FALSE),"0")</f>
        <v>0</v>
      </c>
      <c r="N5710" s="8"/>
      <c r="O5710" s="33" t="str">
        <f>IFERROR(VLOOKUP($M5710,'Informations sur les produits'!$A$3:$H$10000,8,FALSE),"0")</f>
        <v>0</v>
      </c>
      <c r="P5710" s="33">
        <f t="shared" si="356"/>
        <v>0</v>
      </c>
      <c r="Q5710" s="31" t="str">
        <f t="shared" si="357"/>
        <v/>
      </c>
      <c r="R5710" s="32" t="str">
        <f>IFERROR(VLOOKUP($D5710,'Informations sur les produits'!$A$3:$B$15000,2,FALSE),"")</f>
        <v/>
      </c>
      <c r="V5710">
        <f t="shared" si="358"/>
        <v>0</v>
      </c>
      <c r="W5710">
        <f t="shared" si="359"/>
        <v>0</v>
      </c>
    </row>
    <row r="5711" spans="5:23" x14ac:dyDescent="0.25">
      <c r="E5711" s="4"/>
      <c r="F5711" s="4"/>
      <c r="G5711" s="33" t="str">
        <f>IFERROR(VLOOKUP($D5711,'Informations sur les produits'!$A$3:$H$10000,8,FALSE),"0")</f>
        <v>0</v>
      </c>
      <c r="K5711" s="4"/>
      <c r="L5711" s="33" t="str">
        <f>IFERROR(VLOOKUP($J5711,'Informations sur les produits'!$A$3:$H$10000,8,FALSE),"0")</f>
        <v>0</v>
      </c>
      <c r="N5711" s="8"/>
      <c r="O5711" s="33" t="str">
        <f>IFERROR(VLOOKUP($M5711,'Informations sur les produits'!$A$3:$H$10000,8,FALSE),"0")</f>
        <v>0</v>
      </c>
      <c r="P5711" s="33">
        <f t="shared" si="356"/>
        <v>0</v>
      </c>
      <c r="Q5711" s="31" t="str">
        <f t="shared" si="357"/>
        <v/>
      </c>
      <c r="R5711" s="32" t="str">
        <f>IFERROR(VLOOKUP($D5711,'Informations sur les produits'!$A$3:$B$15000,2,FALSE),"")</f>
        <v/>
      </c>
      <c r="V5711">
        <f t="shared" si="358"/>
        <v>0</v>
      </c>
      <c r="W5711">
        <f t="shared" si="359"/>
        <v>0</v>
      </c>
    </row>
    <row r="5712" spans="5:23" x14ac:dyDescent="0.25">
      <c r="E5712" s="4"/>
      <c r="F5712" s="4"/>
      <c r="G5712" s="33" t="str">
        <f>IFERROR(VLOOKUP($D5712,'Informations sur les produits'!$A$3:$H$10000,8,FALSE),"0")</f>
        <v>0</v>
      </c>
      <c r="K5712" s="4"/>
      <c r="L5712" s="33" t="str">
        <f>IFERROR(VLOOKUP($J5712,'Informations sur les produits'!$A$3:$H$10000,8,FALSE),"0")</f>
        <v>0</v>
      </c>
      <c r="N5712" s="8"/>
      <c r="O5712" s="33" t="str">
        <f>IFERROR(VLOOKUP($M5712,'Informations sur les produits'!$A$3:$H$10000,8,FALSE),"0")</f>
        <v>0</v>
      </c>
      <c r="P5712" s="33">
        <f t="shared" si="356"/>
        <v>0</v>
      </c>
      <c r="Q5712" s="31" t="str">
        <f t="shared" si="357"/>
        <v/>
      </c>
      <c r="R5712" s="32" t="str">
        <f>IFERROR(VLOOKUP($D5712,'Informations sur les produits'!$A$3:$B$15000,2,FALSE),"")</f>
        <v/>
      </c>
      <c r="V5712">
        <f t="shared" si="358"/>
        <v>0</v>
      </c>
      <c r="W5712">
        <f t="shared" si="359"/>
        <v>0</v>
      </c>
    </row>
    <row r="5713" spans="5:23" x14ac:dyDescent="0.25">
      <c r="E5713" s="4"/>
      <c r="F5713" s="4"/>
      <c r="G5713" s="33" t="str">
        <f>IFERROR(VLOOKUP($D5713,'Informations sur les produits'!$A$3:$H$10000,8,FALSE),"0")</f>
        <v>0</v>
      </c>
      <c r="K5713" s="4"/>
      <c r="L5713" s="33" t="str">
        <f>IFERROR(VLOOKUP($J5713,'Informations sur les produits'!$A$3:$H$10000,8,FALSE),"0")</f>
        <v>0</v>
      </c>
      <c r="N5713" s="8"/>
      <c r="O5713" s="33" t="str">
        <f>IFERROR(VLOOKUP($M5713,'Informations sur les produits'!$A$3:$H$10000,8,FALSE),"0")</f>
        <v>0</v>
      </c>
      <c r="P5713" s="33">
        <f t="shared" si="356"/>
        <v>0</v>
      </c>
      <c r="Q5713" s="31" t="str">
        <f t="shared" si="357"/>
        <v/>
      </c>
      <c r="R5713" s="32" t="str">
        <f>IFERROR(VLOOKUP($D5713,'Informations sur les produits'!$A$3:$B$15000,2,FALSE),"")</f>
        <v/>
      </c>
      <c r="V5713">
        <f t="shared" si="358"/>
        <v>0</v>
      </c>
      <c r="W5713">
        <f t="shared" si="359"/>
        <v>0</v>
      </c>
    </row>
    <row r="5714" spans="5:23" x14ac:dyDescent="0.25">
      <c r="E5714" s="4"/>
      <c r="F5714" s="4"/>
      <c r="G5714" s="33" t="str">
        <f>IFERROR(VLOOKUP($D5714,'Informations sur les produits'!$A$3:$H$10000,8,FALSE),"0")</f>
        <v>0</v>
      </c>
      <c r="K5714" s="4"/>
      <c r="L5714" s="33" t="str">
        <f>IFERROR(VLOOKUP($J5714,'Informations sur les produits'!$A$3:$H$10000,8,FALSE),"0")</f>
        <v>0</v>
      </c>
      <c r="N5714" s="8"/>
      <c r="O5714" s="33" t="str">
        <f>IFERROR(VLOOKUP($M5714,'Informations sur les produits'!$A$3:$H$10000,8,FALSE),"0")</f>
        <v>0</v>
      </c>
      <c r="P5714" s="33">
        <f t="shared" si="356"/>
        <v>0</v>
      </c>
      <c r="Q5714" s="31" t="str">
        <f t="shared" si="357"/>
        <v/>
      </c>
      <c r="R5714" s="32" t="str">
        <f>IFERROR(VLOOKUP($D5714,'Informations sur les produits'!$A$3:$B$15000,2,FALSE),"")</f>
        <v/>
      </c>
      <c r="V5714">
        <f t="shared" si="358"/>
        <v>0</v>
      </c>
      <c r="W5714">
        <f t="shared" si="359"/>
        <v>0</v>
      </c>
    </row>
    <row r="5715" spans="5:23" x14ac:dyDescent="0.25">
      <c r="E5715" s="4"/>
      <c r="F5715" s="4"/>
      <c r="G5715" s="33" t="str">
        <f>IFERROR(VLOOKUP($D5715,'Informations sur les produits'!$A$3:$H$10000,8,FALSE),"0")</f>
        <v>0</v>
      </c>
      <c r="K5715" s="4"/>
      <c r="L5715" s="33" t="str">
        <f>IFERROR(VLOOKUP($J5715,'Informations sur les produits'!$A$3:$H$10000,8,FALSE),"0")</f>
        <v>0</v>
      </c>
      <c r="N5715" s="8"/>
      <c r="O5715" s="33" t="str">
        <f>IFERROR(VLOOKUP($M5715,'Informations sur les produits'!$A$3:$H$10000,8,FALSE),"0")</f>
        <v>0</v>
      </c>
      <c r="P5715" s="33">
        <f t="shared" si="356"/>
        <v>0</v>
      </c>
      <c r="Q5715" s="31" t="str">
        <f t="shared" si="357"/>
        <v/>
      </c>
      <c r="R5715" s="32" t="str">
        <f>IFERROR(VLOOKUP($D5715,'Informations sur les produits'!$A$3:$B$15000,2,FALSE),"")</f>
        <v/>
      </c>
      <c r="V5715">
        <f t="shared" si="358"/>
        <v>0</v>
      </c>
      <c r="W5715">
        <f t="shared" si="359"/>
        <v>0</v>
      </c>
    </row>
    <row r="5716" spans="5:23" x14ac:dyDescent="0.25">
      <c r="E5716" s="4"/>
      <c r="F5716" s="4"/>
      <c r="G5716" s="33" t="str">
        <f>IFERROR(VLOOKUP($D5716,'Informations sur les produits'!$A$3:$H$10000,8,FALSE),"0")</f>
        <v>0</v>
      </c>
      <c r="K5716" s="4"/>
      <c r="L5716" s="33" t="str">
        <f>IFERROR(VLOOKUP($J5716,'Informations sur les produits'!$A$3:$H$10000,8,FALSE),"0")</f>
        <v>0</v>
      </c>
      <c r="N5716" s="8"/>
      <c r="O5716" s="33" t="str">
        <f>IFERROR(VLOOKUP($M5716,'Informations sur les produits'!$A$3:$H$10000,8,FALSE),"0")</f>
        <v>0</v>
      </c>
      <c r="P5716" s="33">
        <f t="shared" si="356"/>
        <v>0</v>
      </c>
      <c r="Q5716" s="31" t="str">
        <f t="shared" si="357"/>
        <v/>
      </c>
      <c r="R5716" s="32" t="str">
        <f>IFERROR(VLOOKUP($D5716,'Informations sur les produits'!$A$3:$B$15000,2,FALSE),"")</f>
        <v/>
      </c>
      <c r="V5716">
        <f t="shared" si="358"/>
        <v>0</v>
      </c>
      <c r="W5716">
        <f t="shared" si="359"/>
        <v>0</v>
      </c>
    </row>
    <row r="5717" spans="5:23" x14ac:dyDescent="0.25">
      <c r="E5717" s="4"/>
      <c r="F5717" s="4"/>
      <c r="G5717" s="33" t="str">
        <f>IFERROR(VLOOKUP($D5717,'Informations sur les produits'!$A$3:$H$10000,8,FALSE),"0")</f>
        <v>0</v>
      </c>
      <c r="K5717" s="4"/>
      <c r="L5717" s="33" t="str">
        <f>IFERROR(VLOOKUP($J5717,'Informations sur les produits'!$A$3:$H$10000,8,FALSE),"0")</f>
        <v>0</v>
      </c>
      <c r="N5717" s="8"/>
      <c r="O5717" s="33" t="str">
        <f>IFERROR(VLOOKUP($M5717,'Informations sur les produits'!$A$3:$H$10000,8,FALSE),"0")</f>
        <v>0</v>
      </c>
      <c r="P5717" s="33">
        <f t="shared" si="356"/>
        <v>0</v>
      </c>
      <c r="Q5717" s="31" t="str">
        <f t="shared" si="357"/>
        <v/>
      </c>
      <c r="R5717" s="32" t="str">
        <f>IFERROR(VLOOKUP($D5717,'Informations sur les produits'!$A$3:$B$15000,2,FALSE),"")</f>
        <v/>
      </c>
      <c r="V5717">
        <f t="shared" si="358"/>
        <v>0</v>
      </c>
      <c r="W5717">
        <f t="shared" si="359"/>
        <v>0</v>
      </c>
    </row>
    <row r="5718" spans="5:23" x14ac:dyDescent="0.25">
      <c r="E5718" s="4"/>
      <c r="F5718" s="4"/>
      <c r="G5718" s="33" t="str">
        <f>IFERROR(VLOOKUP($D5718,'Informations sur les produits'!$A$3:$H$10000,8,FALSE),"0")</f>
        <v>0</v>
      </c>
      <c r="K5718" s="4"/>
      <c r="L5718" s="33" t="str">
        <f>IFERROR(VLOOKUP($J5718,'Informations sur les produits'!$A$3:$H$10000,8,FALSE),"0")</f>
        <v>0</v>
      </c>
      <c r="N5718" s="8"/>
      <c r="O5718" s="33" t="str">
        <f>IFERROR(VLOOKUP($M5718,'Informations sur les produits'!$A$3:$H$10000,8,FALSE),"0")</f>
        <v>0</v>
      </c>
      <c r="P5718" s="33">
        <f t="shared" si="356"/>
        <v>0</v>
      </c>
      <c r="Q5718" s="31" t="str">
        <f t="shared" si="357"/>
        <v/>
      </c>
      <c r="R5718" s="32" t="str">
        <f>IFERROR(VLOOKUP($D5718,'Informations sur les produits'!$A$3:$B$15000,2,FALSE),"")</f>
        <v/>
      </c>
      <c r="V5718">
        <f t="shared" si="358"/>
        <v>0</v>
      </c>
      <c r="W5718">
        <f t="shared" si="359"/>
        <v>0</v>
      </c>
    </row>
    <row r="5719" spans="5:23" x14ac:dyDescent="0.25">
      <c r="E5719" s="4"/>
      <c r="F5719" s="4"/>
      <c r="G5719" s="33" t="str">
        <f>IFERROR(VLOOKUP($D5719,'Informations sur les produits'!$A$3:$H$10000,8,FALSE),"0")</f>
        <v>0</v>
      </c>
      <c r="K5719" s="4"/>
      <c r="L5719" s="33" t="str">
        <f>IFERROR(VLOOKUP($J5719,'Informations sur les produits'!$A$3:$H$10000,8,FALSE),"0")</f>
        <v>0</v>
      </c>
      <c r="N5719" s="8"/>
      <c r="O5719" s="33" t="str">
        <f>IFERROR(VLOOKUP($M5719,'Informations sur les produits'!$A$3:$H$10000,8,FALSE),"0")</f>
        <v>0</v>
      </c>
      <c r="P5719" s="33">
        <f t="shared" si="356"/>
        <v>0</v>
      </c>
      <c r="Q5719" s="31" t="str">
        <f t="shared" si="357"/>
        <v/>
      </c>
      <c r="R5719" s="32" t="str">
        <f>IFERROR(VLOOKUP($D5719,'Informations sur les produits'!$A$3:$B$15000,2,FALSE),"")</f>
        <v/>
      </c>
      <c r="V5719">
        <f t="shared" si="358"/>
        <v>0</v>
      </c>
      <c r="W5719">
        <f t="shared" si="359"/>
        <v>0</v>
      </c>
    </row>
    <row r="5720" spans="5:23" x14ac:dyDescent="0.25">
      <c r="E5720" s="4"/>
      <c r="F5720" s="4"/>
      <c r="G5720" s="33" t="str">
        <f>IFERROR(VLOOKUP($D5720,'Informations sur les produits'!$A$3:$H$10000,8,FALSE),"0")</f>
        <v>0</v>
      </c>
      <c r="K5720" s="4"/>
      <c r="L5720" s="33" t="str">
        <f>IFERROR(VLOOKUP($J5720,'Informations sur les produits'!$A$3:$H$10000,8,FALSE),"0")</f>
        <v>0</v>
      </c>
      <c r="N5720" s="8"/>
      <c r="O5720" s="33" t="str">
        <f>IFERROR(VLOOKUP($M5720,'Informations sur les produits'!$A$3:$H$10000,8,FALSE),"0")</f>
        <v>0</v>
      </c>
      <c r="P5720" s="33">
        <f t="shared" si="356"/>
        <v>0</v>
      </c>
      <c r="Q5720" s="31" t="str">
        <f t="shared" si="357"/>
        <v/>
      </c>
      <c r="R5720" s="32" t="str">
        <f>IFERROR(VLOOKUP($D5720,'Informations sur les produits'!$A$3:$B$15000,2,FALSE),"")</f>
        <v/>
      </c>
      <c r="V5720">
        <f t="shared" si="358"/>
        <v>0</v>
      </c>
      <c r="W5720">
        <f t="shared" si="359"/>
        <v>0</v>
      </c>
    </row>
    <row r="5721" spans="5:23" x14ac:dyDescent="0.25">
      <c r="E5721" s="4"/>
      <c r="F5721" s="4"/>
      <c r="G5721" s="33" t="str">
        <f>IFERROR(VLOOKUP($D5721,'Informations sur les produits'!$A$3:$H$10000,8,FALSE),"0")</f>
        <v>0</v>
      </c>
      <c r="K5721" s="4"/>
      <c r="L5721" s="33" t="str">
        <f>IFERROR(VLOOKUP($J5721,'Informations sur les produits'!$A$3:$H$10000,8,FALSE),"0")</f>
        <v>0</v>
      </c>
      <c r="N5721" s="8"/>
      <c r="O5721" s="33" t="str">
        <f>IFERROR(VLOOKUP($M5721,'Informations sur les produits'!$A$3:$H$10000,8,FALSE),"0")</f>
        <v>0</v>
      </c>
      <c r="P5721" s="33">
        <f t="shared" si="356"/>
        <v>0</v>
      </c>
      <c r="Q5721" s="31" t="str">
        <f t="shared" si="357"/>
        <v/>
      </c>
      <c r="R5721" s="32" t="str">
        <f>IFERROR(VLOOKUP($D5721,'Informations sur les produits'!$A$3:$B$15000,2,FALSE),"")</f>
        <v/>
      </c>
      <c r="V5721">
        <f t="shared" si="358"/>
        <v>0</v>
      </c>
      <c r="W5721">
        <f t="shared" si="359"/>
        <v>0</v>
      </c>
    </row>
    <row r="5722" spans="5:23" x14ac:dyDescent="0.25">
      <c r="E5722" s="4"/>
      <c r="F5722" s="4"/>
      <c r="G5722" s="33" t="str">
        <f>IFERROR(VLOOKUP($D5722,'Informations sur les produits'!$A$3:$H$10000,8,FALSE),"0")</f>
        <v>0</v>
      </c>
      <c r="K5722" s="4"/>
      <c r="L5722" s="33" t="str">
        <f>IFERROR(VLOOKUP($J5722,'Informations sur les produits'!$A$3:$H$10000,8,FALSE),"0")</f>
        <v>0</v>
      </c>
      <c r="N5722" s="8"/>
      <c r="O5722" s="33" t="str">
        <f>IFERROR(VLOOKUP($M5722,'Informations sur les produits'!$A$3:$H$10000,8,FALSE),"0")</f>
        <v>0</v>
      </c>
      <c r="P5722" s="33">
        <f t="shared" si="356"/>
        <v>0</v>
      </c>
      <c r="Q5722" s="31" t="str">
        <f t="shared" si="357"/>
        <v/>
      </c>
      <c r="R5722" s="32" t="str">
        <f>IFERROR(VLOOKUP($D5722,'Informations sur les produits'!$A$3:$B$15000,2,FALSE),"")</f>
        <v/>
      </c>
      <c r="V5722">
        <f t="shared" si="358"/>
        <v>0</v>
      </c>
      <c r="W5722">
        <f t="shared" si="359"/>
        <v>0</v>
      </c>
    </row>
    <row r="5723" spans="5:23" x14ac:dyDescent="0.25">
      <c r="E5723" s="4"/>
      <c r="F5723" s="4"/>
      <c r="G5723" s="33" t="str">
        <f>IFERROR(VLOOKUP($D5723,'Informations sur les produits'!$A$3:$H$10000,8,FALSE),"0")</f>
        <v>0</v>
      </c>
      <c r="K5723" s="4"/>
      <c r="L5723" s="33" t="str">
        <f>IFERROR(VLOOKUP($J5723,'Informations sur les produits'!$A$3:$H$10000,8,FALSE),"0")</f>
        <v>0</v>
      </c>
      <c r="N5723" s="8"/>
      <c r="O5723" s="33" t="str">
        <f>IFERROR(VLOOKUP($M5723,'Informations sur les produits'!$A$3:$H$10000,8,FALSE),"0")</f>
        <v>0</v>
      </c>
      <c r="P5723" s="33">
        <f t="shared" si="356"/>
        <v>0</v>
      </c>
      <c r="Q5723" s="31" t="str">
        <f t="shared" si="357"/>
        <v/>
      </c>
      <c r="R5723" s="32" t="str">
        <f>IFERROR(VLOOKUP($D5723,'Informations sur les produits'!$A$3:$B$15000,2,FALSE),"")</f>
        <v/>
      </c>
      <c r="V5723">
        <f t="shared" si="358"/>
        <v>0</v>
      </c>
      <c r="W5723">
        <f t="shared" si="359"/>
        <v>0</v>
      </c>
    </row>
    <row r="5724" spans="5:23" x14ac:dyDescent="0.25">
      <c r="E5724" s="4"/>
      <c r="F5724" s="4"/>
      <c r="G5724" s="33" t="str">
        <f>IFERROR(VLOOKUP($D5724,'Informations sur les produits'!$A$3:$H$10000,8,FALSE),"0")</f>
        <v>0</v>
      </c>
      <c r="K5724" s="4"/>
      <c r="L5724" s="33" t="str">
        <f>IFERROR(VLOOKUP($J5724,'Informations sur les produits'!$A$3:$H$10000,8,FALSE),"0")</f>
        <v>0</v>
      </c>
      <c r="N5724" s="8"/>
      <c r="O5724" s="33" t="str">
        <f>IFERROR(VLOOKUP($M5724,'Informations sur les produits'!$A$3:$H$10000,8,FALSE),"0")</f>
        <v>0</v>
      </c>
      <c r="P5724" s="33">
        <f t="shared" si="356"/>
        <v>0</v>
      </c>
      <c r="Q5724" s="31" t="str">
        <f t="shared" si="357"/>
        <v/>
      </c>
      <c r="R5724" s="32" t="str">
        <f>IFERROR(VLOOKUP($D5724,'Informations sur les produits'!$A$3:$B$15000,2,FALSE),"")</f>
        <v/>
      </c>
      <c r="V5724">
        <f t="shared" si="358"/>
        <v>0</v>
      </c>
      <c r="W5724">
        <f t="shared" si="359"/>
        <v>0</v>
      </c>
    </row>
    <row r="5725" spans="5:23" x14ac:dyDescent="0.25">
      <c r="E5725" s="4"/>
      <c r="F5725" s="4"/>
      <c r="G5725" s="33" t="str">
        <f>IFERROR(VLOOKUP($D5725,'Informations sur les produits'!$A$3:$H$10000,8,FALSE),"0")</f>
        <v>0</v>
      </c>
      <c r="K5725" s="4"/>
      <c r="L5725" s="33" t="str">
        <f>IFERROR(VLOOKUP($J5725,'Informations sur les produits'!$A$3:$H$10000,8,FALSE),"0")</f>
        <v>0</v>
      </c>
      <c r="N5725" s="8"/>
      <c r="O5725" s="33" t="str">
        <f>IFERROR(VLOOKUP($M5725,'Informations sur les produits'!$A$3:$H$10000,8,FALSE),"0")</f>
        <v>0</v>
      </c>
      <c r="P5725" s="33">
        <f t="shared" si="356"/>
        <v>0</v>
      </c>
      <c r="Q5725" s="31" t="str">
        <f t="shared" si="357"/>
        <v/>
      </c>
      <c r="R5725" s="32" t="str">
        <f>IFERROR(VLOOKUP($D5725,'Informations sur les produits'!$A$3:$B$15000,2,FALSE),"")</f>
        <v/>
      </c>
      <c r="V5725">
        <f t="shared" si="358"/>
        <v>0</v>
      </c>
      <c r="W5725">
        <f t="shared" si="359"/>
        <v>0</v>
      </c>
    </row>
    <row r="5726" spans="5:23" x14ac:dyDescent="0.25">
      <c r="E5726" s="4"/>
      <c r="F5726" s="4"/>
      <c r="G5726" s="33" t="str">
        <f>IFERROR(VLOOKUP($D5726,'Informations sur les produits'!$A$3:$H$10000,8,FALSE),"0")</f>
        <v>0</v>
      </c>
      <c r="K5726" s="4"/>
      <c r="L5726" s="33" t="str">
        <f>IFERROR(VLOOKUP($J5726,'Informations sur les produits'!$A$3:$H$10000,8,FALSE),"0")</f>
        <v>0</v>
      </c>
      <c r="N5726" s="8"/>
      <c r="O5726" s="33" t="str">
        <f>IFERROR(VLOOKUP($M5726,'Informations sur les produits'!$A$3:$H$10000,8,FALSE),"0")</f>
        <v>0</v>
      </c>
      <c r="P5726" s="33">
        <f t="shared" si="356"/>
        <v>0</v>
      </c>
      <c r="Q5726" s="31" t="str">
        <f t="shared" si="357"/>
        <v/>
      </c>
      <c r="R5726" s="32" t="str">
        <f>IFERROR(VLOOKUP($D5726,'Informations sur les produits'!$A$3:$B$15000,2,FALSE),"")</f>
        <v/>
      </c>
      <c r="V5726">
        <f t="shared" si="358"/>
        <v>0</v>
      </c>
      <c r="W5726">
        <f t="shared" si="359"/>
        <v>0</v>
      </c>
    </row>
    <row r="5727" spans="5:23" x14ac:dyDescent="0.25">
      <c r="E5727" s="4"/>
      <c r="F5727" s="4"/>
      <c r="G5727" s="33" t="str">
        <f>IFERROR(VLOOKUP($D5727,'Informations sur les produits'!$A$3:$H$10000,8,FALSE),"0")</f>
        <v>0</v>
      </c>
      <c r="K5727" s="4"/>
      <c r="L5727" s="33" t="str">
        <f>IFERROR(VLOOKUP($J5727,'Informations sur les produits'!$A$3:$H$10000,8,FALSE),"0")</f>
        <v>0</v>
      </c>
      <c r="N5727" s="8"/>
      <c r="O5727" s="33" t="str">
        <f>IFERROR(VLOOKUP($M5727,'Informations sur les produits'!$A$3:$H$10000,8,FALSE),"0")</f>
        <v>0</v>
      </c>
      <c r="P5727" s="33">
        <f t="shared" si="356"/>
        <v>0</v>
      </c>
      <c r="Q5727" s="31" t="str">
        <f t="shared" si="357"/>
        <v/>
      </c>
      <c r="R5727" s="32" t="str">
        <f>IFERROR(VLOOKUP($D5727,'Informations sur les produits'!$A$3:$B$15000,2,FALSE),"")</f>
        <v/>
      </c>
      <c r="V5727">
        <f t="shared" si="358"/>
        <v>0</v>
      </c>
      <c r="W5727">
        <f t="shared" si="359"/>
        <v>0</v>
      </c>
    </row>
    <row r="5728" spans="5:23" x14ac:dyDescent="0.25">
      <c r="E5728" s="4"/>
      <c r="F5728" s="4"/>
      <c r="G5728" s="33" t="str">
        <f>IFERROR(VLOOKUP($D5728,'Informations sur les produits'!$A$3:$H$10000,8,FALSE),"0")</f>
        <v>0</v>
      </c>
      <c r="K5728" s="4"/>
      <c r="L5728" s="33" t="str">
        <f>IFERROR(VLOOKUP($J5728,'Informations sur les produits'!$A$3:$H$10000,8,FALSE),"0")</f>
        <v>0</v>
      </c>
      <c r="N5728" s="8"/>
      <c r="O5728" s="33" t="str">
        <f>IFERROR(VLOOKUP($M5728,'Informations sur les produits'!$A$3:$H$10000,8,FALSE),"0")</f>
        <v>0</v>
      </c>
      <c r="P5728" s="33">
        <f t="shared" si="356"/>
        <v>0</v>
      </c>
      <c r="Q5728" s="31" t="str">
        <f t="shared" si="357"/>
        <v/>
      </c>
      <c r="R5728" s="32" t="str">
        <f>IFERROR(VLOOKUP($D5728,'Informations sur les produits'!$A$3:$B$15000,2,FALSE),"")</f>
        <v/>
      </c>
      <c r="V5728">
        <f t="shared" si="358"/>
        <v>0</v>
      </c>
      <c r="W5728">
        <f t="shared" si="359"/>
        <v>0</v>
      </c>
    </row>
    <row r="5729" spans="5:23" x14ac:dyDescent="0.25">
      <c r="E5729" s="4"/>
      <c r="F5729" s="4"/>
      <c r="G5729" s="33" t="str">
        <f>IFERROR(VLOOKUP($D5729,'Informations sur les produits'!$A$3:$H$10000,8,FALSE),"0")</f>
        <v>0</v>
      </c>
      <c r="K5729" s="4"/>
      <c r="L5729" s="33" t="str">
        <f>IFERROR(VLOOKUP($J5729,'Informations sur les produits'!$A$3:$H$10000,8,FALSE),"0")</f>
        <v>0</v>
      </c>
      <c r="N5729" s="8"/>
      <c r="O5729" s="33" t="str">
        <f>IFERROR(VLOOKUP($M5729,'Informations sur les produits'!$A$3:$H$10000,8,FALSE),"0")</f>
        <v>0</v>
      </c>
      <c r="P5729" s="33">
        <f t="shared" si="356"/>
        <v>0</v>
      </c>
      <c r="Q5729" s="31" t="str">
        <f t="shared" si="357"/>
        <v/>
      </c>
      <c r="R5729" s="32" t="str">
        <f>IFERROR(VLOOKUP($D5729,'Informations sur les produits'!$A$3:$B$15000,2,FALSE),"")</f>
        <v/>
      </c>
      <c r="V5729">
        <f t="shared" si="358"/>
        <v>0</v>
      </c>
      <c r="W5729">
        <f t="shared" si="359"/>
        <v>0</v>
      </c>
    </row>
    <row r="5730" spans="5:23" x14ac:dyDescent="0.25">
      <c r="E5730" s="4"/>
      <c r="F5730" s="4"/>
      <c r="G5730" s="33" t="str">
        <f>IFERROR(VLOOKUP($D5730,'Informations sur les produits'!$A$3:$H$10000,8,FALSE),"0")</f>
        <v>0</v>
      </c>
      <c r="K5730" s="4"/>
      <c r="L5730" s="33" t="str">
        <f>IFERROR(VLOOKUP($J5730,'Informations sur les produits'!$A$3:$H$10000,8,FALSE),"0")</f>
        <v>0</v>
      </c>
      <c r="N5730" s="8"/>
      <c r="O5730" s="33" t="str">
        <f>IFERROR(VLOOKUP($M5730,'Informations sur les produits'!$A$3:$H$10000,8,FALSE),"0")</f>
        <v>0</v>
      </c>
      <c r="P5730" s="33">
        <f t="shared" si="356"/>
        <v>0</v>
      </c>
      <c r="Q5730" s="31" t="str">
        <f t="shared" si="357"/>
        <v/>
      </c>
      <c r="R5730" s="32" t="str">
        <f>IFERROR(VLOOKUP($D5730,'Informations sur les produits'!$A$3:$B$15000,2,FALSE),"")</f>
        <v/>
      </c>
      <c r="V5730">
        <f t="shared" si="358"/>
        <v>0</v>
      </c>
      <c r="W5730">
        <f t="shared" si="359"/>
        <v>0</v>
      </c>
    </row>
    <row r="5731" spans="5:23" x14ac:dyDescent="0.25">
      <c r="E5731" s="4"/>
      <c r="F5731" s="4"/>
      <c r="G5731" s="33" t="str">
        <f>IFERROR(VLOOKUP($D5731,'Informations sur les produits'!$A$3:$H$10000,8,FALSE),"0")</f>
        <v>0</v>
      </c>
      <c r="K5731" s="4"/>
      <c r="L5731" s="33" t="str">
        <f>IFERROR(VLOOKUP($J5731,'Informations sur les produits'!$A$3:$H$10000,8,FALSE),"0")</f>
        <v>0</v>
      </c>
      <c r="N5731" s="8"/>
      <c r="O5731" s="33" t="str">
        <f>IFERROR(VLOOKUP($M5731,'Informations sur les produits'!$A$3:$H$10000,8,FALSE),"0")</f>
        <v>0</v>
      </c>
      <c r="P5731" s="33">
        <f t="shared" si="356"/>
        <v>0</v>
      </c>
      <c r="Q5731" s="31" t="str">
        <f t="shared" si="357"/>
        <v/>
      </c>
      <c r="R5731" s="32" t="str">
        <f>IFERROR(VLOOKUP($D5731,'Informations sur les produits'!$A$3:$B$15000,2,FALSE),"")</f>
        <v/>
      </c>
      <c r="V5731">
        <f t="shared" si="358"/>
        <v>0</v>
      </c>
      <c r="W5731">
        <f t="shared" si="359"/>
        <v>0</v>
      </c>
    </row>
    <row r="5732" spans="5:23" x14ac:dyDescent="0.25">
      <c r="E5732" s="4"/>
      <c r="F5732" s="4"/>
      <c r="G5732" s="33" t="str">
        <f>IFERROR(VLOOKUP($D5732,'Informations sur les produits'!$A$3:$H$10000,8,FALSE),"0")</f>
        <v>0</v>
      </c>
      <c r="K5732" s="4"/>
      <c r="L5732" s="33" t="str">
        <f>IFERROR(VLOOKUP($J5732,'Informations sur les produits'!$A$3:$H$10000,8,FALSE),"0")</f>
        <v>0</v>
      </c>
      <c r="N5732" s="8"/>
      <c r="O5732" s="33" t="str">
        <f>IFERROR(VLOOKUP($M5732,'Informations sur les produits'!$A$3:$H$10000,8,FALSE),"0")</f>
        <v>0</v>
      </c>
      <c r="P5732" s="33">
        <f t="shared" si="356"/>
        <v>0</v>
      </c>
      <c r="Q5732" s="31" t="str">
        <f t="shared" si="357"/>
        <v/>
      </c>
      <c r="R5732" s="32" t="str">
        <f>IFERROR(VLOOKUP($D5732,'Informations sur les produits'!$A$3:$B$15000,2,FALSE),"")</f>
        <v/>
      </c>
      <c r="V5732">
        <f t="shared" si="358"/>
        <v>0</v>
      </c>
      <c r="W5732">
        <f t="shared" si="359"/>
        <v>0</v>
      </c>
    </row>
    <row r="5733" spans="5:23" x14ac:dyDescent="0.25">
      <c r="E5733" s="4"/>
      <c r="F5733" s="4"/>
      <c r="G5733" s="33" t="str">
        <f>IFERROR(VLOOKUP($D5733,'Informations sur les produits'!$A$3:$H$10000,8,FALSE),"0")</f>
        <v>0</v>
      </c>
      <c r="K5733" s="4"/>
      <c r="L5733" s="33" t="str">
        <f>IFERROR(VLOOKUP($J5733,'Informations sur les produits'!$A$3:$H$10000,8,FALSE),"0")</f>
        <v>0</v>
      </c>
      <c r="N5733" s="8"/>
      <c r="O5733" s="33" t="str">
        <f>IFERROR(VLOOKUP($M5733,'Informations sur les produits'!$A$3:$H$10000,8,FALSE),"0")</f>
        <v>0</v>
      </c>
      <c r="P5733" s="33">
        <f t="shared" si="356"/>
        <v>0</v>
      </c>
      <c r="Q5733" s="31" t="str">
        <f t="shared" si="357"/>
        <v/>
      </c>
      <c r="R5733" s="32" t="str">
        <f>IFERROR(VLOOKUP($D5733,'Informations sur les produits'!$A$3:$B$15000,2,FALSE),"")</f>
        <v/>
      </c>
      <c r="V5733">
        <f t="shared" si="358"/>
        <v>0</v>
      </c>
      <c r="W5733">
        <f t="shared" si="359"/>
        <v>0</v>
      </c>
    </row>
    <row r="5734" spans="5:23" x14ac:dyDescent="0.25">
      <c r="E5734" s="4"/>
      <c r="F5734" s="4"/>
      <c r="G5734" s="33" t="str">
        <f>IFERROR(VLOOKUP($D5734,'Informations sur les produits'!$A$3:$H$10000,8,FALSE),"0")</f>
        <v>0</v>
      </c>
      <c r="K5734" s="4"/>
      <c r="L5734" s="33" t="str">
        <f>IFERROR(VLOOKUP($J5734,'Informations sur les produits'!$A$3:$H$10000,8,FALSE),"0")</f>
        <v>0</v>
      </c>
      <c r="N5734" s="8"/>
      <c r="O5734" s="33" t="str">
        <f>IFERROR(VLOOKUP($M5734,'Informations sur les produits'!$A$3:$H$10000,8,FALSE),"0")</f>
        <v>0</v>
      </c>
      <c r="P5734" s="33">
        <f t="shared" si="356"/>
        <v>0</v>
      </c>
      <c r="Q5734" s="31" t="str">
        <f t="shared" si="357"/>
        <v/>
      </c>
      <c r="R5734" s="32" t="str">
        <f>IFERROR(VLOOKUP($D5734,'Informations sur les produits'!$A$3:$B$15000,2,FALSE),"")</f>
        <v/>
      </c>
      <c r="V5734">
        <f t="shared" si="358"/>
        <v>0</v>
      </c>
      <c r="W5734">
        <f t="shared" si="359"/>
        <v>0</v>
      </c>
    </row>
    <row r="5735" spans="5:23" x14ac:dyDescent="0.25">
      <c r="E5735" s="4"/>
      <c r="F5735" s="4"/>
      <c r="G5735" s="33" t="str">
        <f>IFERROR(VLOOKUP($D5735,'Informations sur les produits'!$A$3:$H$10000,8,FALSE),"0")</f>
        <v>0</v>
      </c>
      <c r="K5735" s="4"/>
      <c r="L5735" s="33" t="str">
        <f>IFERROR(VLOOKUP($J5735,'Informations sur les produits'!$A$3:$H$10000,8,FALSE),"0")</f>
        <v>0</v>
      </c>
      <c r="N5735" s="8"/>
      <c r="O5735" s="33" t="str">
        <f>IFERROR(VLOOKUP($M5735,'Informations sur les produits'!$A$3:$H$10000,8,FALSE),"0")</f>
        <v>0</v>
      </c>
      <c r="P5735" s="33">
        <f t="shared" si="356"/>
        <v>0</v>
      </c>
      <c r="Q5735" s="31" t="str">
        <f t="shared" si="357"/>
        <v/>
      </c>
      <c r="R5735" s="32" t="str">
        <f>IFERROR(VLOOKUP($D5735,'Informations sur les produits'!$A$3:$B$15000,2,FALSE),"")</f>
        <v/>
      </c>
      <c r="V5735">
        <f t="shared" si="358"/>
        <v>0</v>
      </c>
      <c r="W5735">
        <f t="shared" si="359"/>
        <v>0</v>
      </c>
    </row>
    <row r="5736" spans="5:23" x14ac:dyDescent="0.25">
      <c r="E5736" s="4"/>
      <c r="F5736" s="4"/>
      <c r="G5736" s="33" t="str">
        <f>IFERROR(VLOOKUP($D5736,'Informations sur les produits'!$A$3:$H$10000,8,FALSE),"0")</f>
        <v>0</v>
      </c>
      <c r="K5736" s="4"/>
      <c r="L5736" s="33" t="str">
        <f>IFERROR(VLOOKUP($J5736,'Informations sur les produits'!$A$3:$H$10000,8,FALSE),"0")</f>
        <v>0</v>
      </c>
      <c r="N5736" s="8"/>
      <c r="O5736" s="33" t="str">
        <f>IFERROR(VLOOKUP($M5736,'Informations sur les produits'!$A$3:$H$10000,8,FALSE),"0")</f>
        <v>0</v>
      </c>
      <c r="P5736" s="33">
        <f t="shared" si="356"/>
        <v>0</v>
      </c>
      <c r="Q5736" s="31" t="str">
        <f t="shared" si="357"/>
        <v/>
      </c>
      <c r="R5736" s="32" t="str">
        <f>IFERROR(VLOOKUP($D5736,'Informations sur les produits'!$A$3:$B$15000,2,FALSE),"")</f>
        <v/>
      </c>
      <c r="V5736">
        <f t="shared" si="358"/>
        <v>0</v>
      </c>
      <c r="W5736">
        <f t="shared" si="359"/>
        <v>0</v>
      </c>
    </row>
    <row r="5737" spans="5:23" x14ac:dyDescent="0.25">
      <c r="E5737" s="4"/>
      <c r="F5737" s="4"/>
      <c r="G5737" s="33" t="str">
        <f>IFERROR(VLOOKUP($D5737,'Informations sur les produits'!$A$3:$H$10000,8,FALSE),"0")</f>
        <v>0</v>
      </c>
      <c r="K5737" s="4"/>
      <c r="L5737" s="33" t="str">
        <f>IFERROR(VLOOKUP($J5737,'Informations sur les produits'!$A$3:$H$10000,8,FALSE),"0")</f>
        <v>0</v>
      </c>
      <c r="N5737" s="8"/>
      <c r="O5737" s="33" t="str">
        <f>IFERROR(VLOOKUP($M5737,'Informations sur les produits'!$A$3:$H$10000,8,FALSE),"0")</f>
        <v>0</v>
      </c>
      <c r="P5737" s="33">
        <f t="shared" si="356"/>
        <v>0</v>
      </c>
      <c r="Q5737" s="31" t="str">
        <f t="shared" si="357"/>
        <v/>
      </c>
      <c r="R5737" s="32" t="str">
        <f>IFERROR(VLOOKUP($D5737,'Informations sur les produits'!$A$3:$B$15000,2,FALSE),"")</f>
        <v/>
      </c>
      <c r="V5737">
        <f t="shared" si="358"/>
        <v>0</v>
      </c>
      <c r="W5737">
        <f t="shared" si="359"/>
        <v>0</v>
      </c>
    </row>
    <row r="5738" spans="5:23" x14ac:dyDescent="0.25">
      <c r="E5738" s="4"/>
      <c r="F5738" s="4"/>
      <c r="G5738" s="33" t="str">
        <f>IFERROR(VLOOKUP($D5738,'Informations sur les produits'!$A$3:$H$10000,8,FALSE),"0")</f>
        <v>0</v>
      </c>
      <c r="K5738" s="4"/>
      <c r="L5738" s="33" t="str">
        <f>IFERROR(VLOOKUP($J5738,'Informations sur les produits'!$A$3:$H$10000,8,FALSE),"0")</f>
        <v>0</v>
      </c>
      <c r="N5738" s="8"/>
      <c r="O5738" s="33" t="str">
        <f>IFERROR(VLOOKUP($M5738,'Informations sur les produits'!$A$3:$H$10000,8,FALSE),"0")</f>
        <v>0</v>
      </c>
      <c r="P5738" s="33">
        <f t="shared" si="356"/>
        <v>0</v>
      </c>
      <c r="Q5738" s="31" t="str">
        <f t="shared" si="357"/>
        <v/>
      </c>
      <c r="R5738" s="32" t="str">
        <f>IFERROR(VLOOKUP($D5738,'Informations sur les produits'!$A$3:$B$15000,2,FALSE),"")</f>
        <v/>
      </c>
      <c r="V5738">
        <f t="shared" si="358"/>
        <v>0</v>
      </c>
      <c r="W5738">
        <f t="shared" si="359"/>
        <v>0</v>
      </c>
    </row>
    <row r="5739" spans="5:23" x14ac:dyDescent="0.25">
      <c r="E5739" s="4"/>
      <c r="F5739" s="4"/>
      <c r="G5739" s="33" t="str">
        <f>IFERROR(VLOOKUP($D5739,'Informations sur les produits'!$A$3:$H$10000,8,FALSE),"0")</f>
        <v>0</v>
      </c>
      <c r="K5739" s="4"/>
      <c r="L5739" s="33" t="str">
        <f>IFERROR(VLOOKUP($J5739,'Informations sur les produits'!$A$3:$H$10000,8,FALSE),"0")</f>
        <v>0</v>
      </c>
      <c r="N5739" s="8"/>
      <c r="O5739" s="33" t="str">
        <f>IFERROR(VLOOKUP($M5739,'Informations sur les produits'!$A$3:$H$10000,8,FALSE),"0")</f>
        <v>0</v>
      </c>
      <c r="P5739" s="33">
        <f t="shared" si="356"/>
        <v>0</v>
      </c>
      <c r="Q5739" s="31" t="str">
        <f t="shared" si="357"/>
        <v/>
      </c>
      <c r="R5739" s="32" t="str">
        <f>IFERROR(VLOOKUP($D5739,'Informations sur les produits'!$A$3:$B$15000,2,FALSE),"")</f>
        <v/>
      </c>
      <c r="V5739">
        <f t="shared" si="358"/>
        <v>0</v>
      </c>
      <c r="W5739">
        <f t="shared" si="359"/>
        <v>0</v>
      </c>
    </row>
    <row r="5740" spans="5:23" x14ac:dyDescent="0.25">
      <c r="E5740" s="4"/>
      <c r="F5740" s="4"/>
      <c r="G5740" s="33" t="str">
        <f>IFERROR(VLOOKUP($D5740,'Informations sur les produits'!$A$3:$H$10000,8,FALSE),"0")</f>
        <v>0</v>
      </c>
      <c r="K5740" s="4"/>
      <c r="L5740" s="33" t="str">
        <f>IFERROR(VLOOKUP($J5740,'Informations sur les produits'!$A$3:$H$10000,8,FALSE),"0")</f>
        <v>0</v>
      </c>
      <c r="N5740" s="8"/>
      <c r="O5740" s="33" t="str">
        <f>IFERROR(VLOOKUP($M5740,'Informations sur les produits'!$A$3:$H$10000,8,FALSE),"0")</f>
        <v>0</v>
      </c>
      <c r="P5740" s="33">
        <f t="shared" si="356"/>
        <v>0</v>
      </c>
      <c r="Q5740" s="31" t="str">
        <f t="shared" si="357"/>
        <v/>
      </c>
      <c r="R5740" s="32" t="str">
        <f>IFERROR(VLOOKUP($D5740,'Informations sur les produits'!$A$3:$B$15000,2,FALSE),"")</f>
        <v/>
      </c>
      <c r="V5740">
        <f t="shared" si="358"/>
        <v>0</v>
      </c>
      <c r="W5740">
        <f t="shared" si="359"/>
        <v>0</v>
      </c>
    </row>
    <row r="5741" spans="5:23" x14ac:dyDescent="0.25">
      <c r="E5741" s="4"/>
      <c r="F5741" s="4"/>
      <c r="G5741" s="33" t="str">
        <f>IFERROR(VLOOKUP($D5741,'Informations sur les produits'!$A$3:$H$10000,8,FALSE),"0")</f>
        <v>0</v>
      </c>
      <c r="K5741" s="4"/>
      <c r="L5741" s="33" t="str">
        <f>IFERROR(VLOOKUP($J5741,'Informations sur les produits'!$A$3:$H$10000,8,FALSE),"0")</f>
        <v>0</v>
      </c>
      <c r="N5741" s="8"/>
      <c r="O5741" s="33" t="str">
        <f>IFERROR(VLOOKUP($M5741,'Informations sur les produits'!$A$3:$H$10000,8,FALSE),"0")</f>
        <v>0</v>
      </c>
      <c r="P5741" s="33">
        <f t="shared" si="356"/>
        <v>0</v>
      </c>
      <c r="Q5741" s="31" t="str">
        <f t="shared" si="357"/>
        <v/>
      </c>
      <c r="R5741" s="32" t="str">
        <f>IFERROR(VLOOKUP($D5741,'Informations sur les produits'!$A$3:$B$15000,2,FALSE),"")</f>
        <v/>
      </c>
      <c r="V5741">
        <f t="shared" si="358"/>
        <v>0</v>
      </c>
      <c r="W5741">
        <f t="shared" si="359"/>
        <v>0</v>
      </c>
    </row>
    <row r="5742" spans="5:23" x14ac:dyDescent="0.25">
      <c r="E5742" s="4"/>
      <c r="F5742" s="4"/>
      <c r="G5742" s="33" t="str">
        <f>IFERROR(VLOOKUP($D5742,'Informations sur les produits'!$A$3:$H$10000,8,FALSE),"0")</f>
        <v>0</v>
      </c>
      <c r="K5742" s="4"/>
      <c r="L5742" s="33" t="str">
        <f>IFERROR(VLOOKUP($J5742,'Informations sur les produits'!$A$3:$H$10000,8,FALSE),"0")</f>
        <v>0</v>
      </c>
      <c r="N5742" s="8"/>
      <c r="O5742" s="33" t="str">
        <f>IFERROR(VLOOKUP($M5742,'Informations sur les produits'!$A$3:$H$10000,8,FALSE),"0")</f>
        <v>0</v>
      </c>
      <c r="P5742" s="33">
        <f t="shared" si="356"/>
        <v>0</v>
      </c>
      <c r="Q5742" s="31" t="str">
        <f t="shared" si="357"/>
        <v/>
      </c>
      <c r="R5742" s="32" t="str">
        <f>IFERROR(VLOOKUP($D5742,'Informations sur les produits'!$A$3:$B$15000,2,FALSE),"")</f>
        <v/>
      </c>
      <c r="V5742">
        <f t="shared" si="358"/>
        <v>0</v>
      </c>
      <c r="W5742">
        <f t="shared" si="359"/>
        <v>0</v>
      </c>
    </row>
    <row r="5743" spans="5:23" x14ac:dyDescent="0.25">
      <c r="E5743" s="4"/>
      <c r="F5743" s="4"/>
      <c r="G5743" s="33" t="str">
        <f>IFERROR(VLOOKUP($D5743,'Informations sur les produits'!$A$3:$H$10000,8,FALSE),"0")</f>
        <v>0</v>
      </c>
      <c r="K5743" s="4"/>
      <c r="L5743" s="33" t="str">
        <f>IFERROR(VLOOKUP($J5743,'Informations sur les produits'!$A$3:$H$10000,8,FALSE),"0")</f>
        <v>0</v>
      </c>
      <c r="N5743" s="8"/>
      <c r="O5743" s="33" t="str">
        <f>IFERROR(VLOOKUP($M5743,'Informations sur les produits'!$A$3:$H$10000,8,FALSE),"0")</f>
        <v>0</v>
      </c>
      <c r="P5743" s="33">
        <f t="shared" si="356"/>
        <v>0</v>
      </c>
      <c r="Q5743" s="31" t="str">
        <f t="shared" si="357"/>
        <v/>
      </c>
      <c r="R5743" s="32" t="str">
        <f>IFERROR(VLOOKUP($D5743,'Informations sur les produits'!$A$3:$B$15000,2,FALSE),"")</f>
        <v/>
      </c>
      <c r="V5743">
        <f t="shared" si="358"/>
        <v>0</v>
      </c>
      <c r="W5743">
        <f t="shared" si="359"/>
        <v>0</v>
      </c>
    </row>
    <row r="5744" spans="5:23" x14ac:dyDescent="0.25">
      <c r="E5744" s="4"/>
      <c r="F5744" s="4"/>
      <c r="G5744" s="33" t="str">
        <f>IFERROR(VLOOKUP($D5744,'Informations sur les produits'!$A$3:$H$10000,8,FALSE),"0")</f>
        <v>0</v>
      </c>
      <c r="K5744" s="4"/>
      <c r="L5744" s="33" t="str">
        <f>IFERROR(VLOOKUP($J5744,'Informations sur les produits'!$A$3:$H$10000,8,FALSE),"0")</f>
        <v>0</v>
      </c>
      <c r="N5744" s="8"/>
      <c r="O5744" s="33" t="str">
        <f>IFERROR(VLOOKUP($M5744,'Informations sur les produits'!$A$3:$H$10000,8,FALSE),"0")</f>
        <v>0</v>
      </c>
      <c r="P5744" s="33">
        <f t="shared" si="356"/>
        <v>0</v>
      </c>
      <c r="Q5744" s="31" t="str">
        <f t="shared" si="357"/>
        <v/>
      </c>
      <c r="R5744" s="32" t="str">
        <f>IFERROR(VLOOKUP($D5744,'Informations sur les produits'!$A$3:$B$15000,2,FALSE),"")</f>
        <v/>
      </c>
      <c r="V5744">
        <f t="shared" si="358"/>
        <v>0</v>
      </c>
      <c r="W5744">
        <f t="shared" si="359"/>
        <v>0</v>
      </c>
    </row>
    <row r="5745" spans="5:23" x14ac:dyDescent="0.25">
      <c r="E5745" s="4"/>
      <c r="F5745" s="4"/>
      <c r="G5745" s="33" t="str">
        <f>IFERROR(VLOOKUP($D5745,'Informations sur les produits'!$A$3:$H$10000,8,FALSE),"0")</f>
        <v>0</v>
      </c>
      <c r="K5745" s="4"/>
      <c r="L5745" s="33" t="str">
        <f>IFERROR(VLOOKUP($J5745,'Informations sur les produits'!$A$3:$H$10000,8,FALSE),"0")</f>
        <v>0</v>
      </c>
      <c r="N5745" s="8"/>
      <c r="O5745" s="33" t="str">
        <f>IFERROR(VLOOKUP($M5745,'Informations sur les produits'!$A$3:$H$10000,8,FALSE),"0")</f>
        <v>0</v>
      </c>
      <c r="P5745" s="33">
        <f t="shared" si="356"/>
        <v>0</v>
      </c>
      <c r="Q5745" s="31" t="str">
        <f t="shared" si="357"/>
        <v/>
      </c>
      <c r="R5745" s="32" t="str">
        <f>IFERROR(VLOOKUP($D5745,'Informations sur les produits'!$A$3:$B$15000,2,FALSE),"")</f>
        <v/>
      </c>
      <c r="V5745">
        <f t="shared" si="358"/>
        <v>0</v>
      </c>
      <c r="W5745">
        <f t="shared" si="359"/>
        <v>0</v>
      </c>
    </row>
    <row r="5746" spans="5:23" x14ac:dyDescent="0.25">
      <c r="E5746" s="4"/>
      <c r="F5746" s="4"/>
      <c r="G5746" s="33" t="str">
        <f>IFERROR(VLOOKUP($D5746,'Informations sur les produits'!$A$3:$H$10000,8,FALSE),"0")</f>
        <v>0</v>
      </c>
      <c r="K5746" s="4"/>
      <c r="L5746" s="33" t="str">
        <f>IFERROR(VLOOKUP($J5746,'Informations sur les produits'!$A$3:$H$10000,8,FALSE),"0")</f>
        <v>0</v>
      </c>
      <c r="N5746" s="8"/>
      <c r="O5746" s="33" t="str">
        <f>IFERROR(VLOOKUP($M5746,'Informations sur les produits'!$A$3:$H$10000,8,FALSE),"0")</f>
        <v>0</v>
      </c>
      <c r="P5746" s="33">
        <f t="shared" si="356"/>
        <v>0</v>
      </c>
      <c r="Q5746" s="31" t="str">
        <f t="shared" si="357"/>
        <v/>
      </c>
      <c r="R5746" s="32" t="str">
        <f>IFERROR(VLOOKUP($D5746,'Informations sur les produits'!$A$3:$B$15000,2,FALSE),"")</f>
        <v/>
      </c>
      <c r="V5746">
        <f t="shared" si="358"/>
        <v>0</v>
      </c>
      <c r="W5746">
        <f t="shared" si="359"/>
        <v>0</v>
      </c>
    </row>
    <row r="5747" spans="5:23" x14ac:dyDescent="0.25">
      <c r="E5747" s="4"/>
      <c r="F5747" s="4"/>
      <c r="G5747" s="33" t="str">
        <f>IFERROR(VLOOKUP($D5747,'Informations sur les produits'!$A$3:$H$10000,8,FALSE),"0")</f>
        <v>0</v>
      </c>
      <c r="K5747" s="4"/>
      <c r="L5747" s="33" t="str">
        <f>IFERROR(VLOOKUP($J5747,'Informations sur les produits'!$A$3:$H$10000,8,FALSE),"0")</f>
        <v>0</v>
      </c>
      <c r="N5747" s="8"/>
      <c r="O5747" s="33" t="str">
        <f>IFERROR(VLOOKUP($M5747,'Informations sur les produits'!$A$3:$H$10000,8,FALSE),"0")</f>
        <v>0</v>
      </c>
      <c r="P5747" s="33">
        <f t="shared" si="356"/>
        <v>0</v>
      </c>
      <c r="Q5747" s="31" t="str">
        <f t="shared" si="357"/>
        <v/>
      </c>
      <c r="R5747" s="32" t="str">
        <f>IFERROR(VLOOKUP($D5747,'Informations sur les produits'!$A$3:$B$15000,2,FALSE),"")</f>
        <v/>
      </c>
      <c r="V5747">
        <f t="shared" si="358"/>
        <v>0</v>
      </c>
      <c r="W5747">
        <f t="shared" si="359"/>
        <v>0</v>
      </c>
    </row>
    <row r="5748" spans="5:23" x14ac:dyDescent="0.25">
      <c r="E5748" s="4"/>
      <c r="F5748" s="4"/>
      <c r="G5748" s="33" t="str">
        <f>IFERROR(VLOOKUP($D5748,'Informations sur les produits'!$A$3:$H$10000,8,FALSE),"0")</f>
        <v>0</v>
      </c>
      <c r="K5748" s="4"/>
      <c r="L5748" s="33" t="str">
        <f>IFERROR(VLOOKUP($J5748,'Informations sur les produits'!$A$3:$H$10000,8,FALSE),"0")</f>
        <v>0</v>
      </c>
      <c r="N5748" s="8"/>
      <c r="O5748" s="33" t="str">
        <f>IFERROR(VLOOKUP($M5748,'Informations sur les produits'!$A$3:$H$10000,8,FALSE),"0")</f>
        <v>0</v>
      </c>
      <c r="P5748" s="33">
        <f t="shared" si="356"/>
        <v>0</v>
      </c>
      <c r="Q5748" s="31" t="str">
        <f t="shared" si="357"/>
        <v/>
      </c>
      <c r="R5748" s="32" t="str">
        <f>IFERROR(VLOOKUP($D5748,'Informations sur les produits'!$A$3:$B$15000,2,FALSE),"")</f>
        <v/>
      </c>
      <c r="V5748">
        <f t="shared" si="358"/>
        <v>0</v>
      </c>
      <c r="W5748">
        <f t="shared" si="359"/>
        <v>0</v>
      </c>
    </row>
    <row r="5749" spans="5:23" x14ac:dyDescent="0.25">
      <c r="E5749" s="4"/>
      <c r="F5749" s="4"/>
      <c r="G5749" s="33" t="str">
        <f>IFERROR(VLOOKUP($D5749,'Informations sur les produits'!$A$3:$H$10000,8,FALSE),"0")</f>
        <v>0</v>
      </c>
      <c r="K5749" s="4"/>
      <c r="L5749" s="33" t="str">
        <f>IFERROR(VLOOKUP($J5749,'Informations sur les produits'!$A$3:$H$10000,8,FALSE),"0")</f>
        <v>0</v>
      </c>
      <c r="N5749" s="8"/>
      <c r="O5749" s="33" t="str">
        <f>IFERROR(VLOOKUP($M5749,'Informations sur les produits'!$A$3:$H$10000,8,FALSE),"0")</f>
        <v>0</v>
      </c>
      <c r="P5749" s="33">
        <f t="shared" si="356"/>
        <v>0</v>
      </c>
      <c r="Q5749" s="31" t="str">
        <f t="shared" si="357"/>
        <v/>
      </c>
      <c r="R5749" s="32" t="str">
        <f>IFERROR(VLOOKUP($D5749,'Informations sur les produits'!$A$3:$B$15000,2,FALSE),"")</f>
        <v/>
      </c>
      <c r="V5749">
        <f t="shared" si="358"/>
        <v>0</v>
      </c>
      <c r="W5749">
        <f t="shared" si="359"/>
        <v>0</v>
      </c>
    </row>
    <row r="5750" spans="5:23" x14ac:dyDescent="0.25">
      <c r="E5750" s="4"/>
      <c r="F5750" s="4"/>
      <c r="G5750" s="33" t="str">
        <f>IFERROR(VLOOKUP($D5750,'Informations sur les produits'!$A$3:$H$10000,8,FALSE),"0")</f>
        <v>0</v>
      </c>
      <c r="K5750" s="4"/>
      <c r="L5750" s="33" t="str">
        <f>IFERROR(VLOOKUP($J5750,'Informations sur les produits'!$A$3:$H$10000,8,FALSE),"0")</f>
        <v>0</v>
      </c>
      <c r="N5750" s="8"/>
      <c r="O5750" s="33" t="str">
        <f>IFERROR(VLOOKUP($M5750,'Informations sur les produits'!$A$3:$H$10000,8,FALSE),"0")</f>
        <v>0</v>
      </c>
      <c r="P5750" s="33">
        <f t="shared" si="356"/>
        <v>0</v>
      </c>
      <c r="Q5750" s="31" t="str">
        <f t="shared" si="357"/>
        <v/>
      </c>
      <c r="R5750" s="32" t="str">
        <f>IFERROR(VLOOKUP($D5750,'Informations sur les produits'!$A$3:$B$15000,2,FALSE),"")</f>
        <v/>
      </c>
      <c r="V5750">
        <f t="shared" si="358"/>
        <v>0</v>
      </c>
      <c r="W5750">
        <f t="shared" si="359"/>
        <v>0</v>
      </c>
    </row>
    <row r="5751" spans="5:23" x14ac:dyDescent="0.25">
      <c r="E5751" s="4"/>
      <c r="F5751" s="4"/>
      <c r="G5751" s="33" t="str">
        <f>IFERROR(VLOOKUP($D5751,'Informations sur les produits'!$A$3:$H$10000,8,FALSE),"0")</f>
        <v>0</v>
      </c>
      <c r="K5751" s="4"/>
      <c r="L5751" s="33" t="str">
        <f>IFERROR(VLOOKUP($J5751,'Informations sur les produits'!$A$3:$H$10000,8,FALSE),"0")</f>
        <v>0</v>
      </c>
      <c r="N5751" s="8"/>
      <c r="O5751" s="33" t="str">
        <f>IFERROR(VLOOKUP($M5751,'Informations sur les produits'!$A$3:$H$10000,8,FALSE),"0")</f>
        <v>0</v>
      </c>
      <c r="P5751" s="33">
        <f t="shared" si="356"/>
        <v>0</v>
      </c>
      <c r="Q5751" s="31" t="str">
        <f t="shared" si="357"/>
        <v/>
      </c>
      <c r="R5751" s="32" t="str">
        <f>IFERROR(VLOOKUP($D5751,'Informations sur les produits'!$A$3:$B$15000,2,FALSE),"")</f>
        <v/>
      </c>
      <c r="V5751">
        <f t="shared" si="358"/>
        <v>0</v>
      </c>
      <c r="W5751">
        <f t="shared" si="359"/>
        <v>0</v>
      </c>
    </row>
    <row r="5752" spans="5:23" x14ac:dyDescent="0.25">
      <c r="E5752" s="4"/>
      <c r="F5752" s="4"/>
      <c r="G5752" s="33" t="str">
        <f>IFERROR(VLOOKUP($D5752,'Informations sur les produits'!$A$3:$H$10000,8,FALSE),"0")</f>
        <v>0</v>
      </c>
      <c r="K5752" s="4"/>
      <c r="L5752" s="33" t="str">
        <f>IFERROR(VLOOKUP($J5752,'Informations sur les produits'!$A$3:$H$10000,8,FALSE),"0")</f>
        <v>0</v>
      </c>
      <c r="N5752" s="8"/>
      <c r="O5752" s="33" t="str">
        <f>IFERROR(VLOOKUP($M5752,'Informations sur les produits'!$A$3:$H$10000,8,FALSE),"0")</f>
        <v>0</v>
      </c>
      <c r="P5752" s="33">
        <f t="shared" si="356"/>
        <v>0</v>
      </c>
      <c r="Q5752" s="31" t="str">
        <f t="shared" si="357"/>
        <v/>
      </c>
      <c r="R5752" s="32" t="str">
        <f>IFERROR(VLOOKUP($D5752,'Informations sur les produits'!$A$3:$B$15000,2,FALSE),"")</f>
        <v/>
      </c>
      <c r="V5752">
        <f t="shared" si="358"/>
        <v>0</v>
      </c>
      <c r="W5752">
        <f t="shared" si="359"/>
        <v>0</v>
      </c>
    </row>
    <row r="5753" spans="5:23" x14ac:dyDescent="0.25">
      <c r="E5753" s="4"/>
      <c r="F5753" s="4"/>
      <c r="G5753" s="33" t="str">
        <f>IFERROR(VLOOKUP($D5753,'Informations sur les produits'!$A$3:$H$10000,8,FALSE),"0")</f>
        <v>0</v>
      </c>
      <c r="K5753" s="4"/>
      <c r="L5753" s="33" t="str">
        <f>IFERROR(VLOOKUP($J5753,'Informations sur les produits'!$A$3:$H$10000,8,FALSE),"0")</f>
        <v>0</v>
      </c>
      <c r="N5753" s="8"/>
      <c r="O5753" s="33" t="str">
        <f>IFERROR(VLOOKUP($M5753,'Informations sur les produits'!$A$3:$H$10000,8,FALSE),"0")</f>
        <v>0</v>
      </c>
      <c r="P5753" s="33">
        <f t="shared" si="356"/>
        <v>0</v>
      </c>
      <c r="Q5753" s="31" t="str">
        <f t="shared" si="357"/>
        <v/>
      </c>
      <c r="R5753" s="32" t="str">
        <f>IFERROR(VLOOKUP($D5753,'Informations sur les produits'!$A$3:$B$15000,2,FALSE),"")</f>
        <v/>
      </c>
      <c r="V5753">
        <f t="shared" si="358"/>
        <v>0</v>
      </c>
      <c r="W5753">
        <f t="shared" si="359"/>
        <v>0</v>
      </c>
    </row>
    <row r="5754" spans="5:23" x14ac:dyDescent="0.25">
      <c r="E5754" s="4"/>
      <c r="F5754" s="4"/>
      <c r="G5754" s="33" t="str">
        <f>IFERROR(VLOOKUP($D5754,'Informations sur les produits'!$A$3:$H$10000,8,FALSE),"0")</f>
        <v>0</v>
      </c>
      <c r="K5754" s="4"/>
      <c r="L5754" s="33" t="str">
        <f>IFERROR(VLOOKUP($J5754,'Informations sur les produits'!$A$3:$H$10000,8,FALSE),"0")</f>
        <v>0</v>
      </c>
      <c r="N5754" s="8"/>
      <c r="O5754" s="33" t="str">
        <f>IFERROR(VLOOKUP($M5754,'Informations sur les produits'!$A$3:$H$10000,8,FALSE),"0")</f>
        <v>0</v>
      </c>
      <c r="P5754" s="33">
        <f t="shared" si="356"/>
        <v>0</v>
      </c>
      <c r="Q5754" s="31" t="str">
        <f t="shared" si="357"/>
        <v/>
      </c>
      <c r="R5754" s="32" t="str">
        <f>IFERROR(VLOOKUP($D5754,'Informations sur les produits'!$A$3:$B$15000,2,FALSE),"")</f>
        <v/>
      </c>
      <c r="V5754">
        <f t="shared" si="358"/>
        <v>0</v>
      </c>
      <c r="W5754">
        <f t="shared" si="359"/>
        <v>0</v>
      </c>
    </row>
    <row r="5755" spans="5:23" x14ac:dyDescent="0.25">
      <c r="E5755" s="4"/>
      <c r="F5755" s="4"/>
      <c r="G5755" s="33" t="str">
        <f>IFERROR(VLOOKUP($D5755,'Informations sur les produits'!$A$3:$H$10000,8,FALSE),"0")</f>
        <v>0</v>
      </c>
      <c r="K5755" s="4"/>
      <c r="L5755" s="33" t="str">
        <f>IFERROR(VLOOKUP($J5755,'Informations sur les produits'!$A$3:$H$10000,8,FALSE),"0")</f>
        <v>0</v>
      </c>
      <c r="N5755" s="8"/>
      <c r="O5755" s="33" t="str">
        <f>IFERROR(VLOOKUP($M5755,'Informations sur les produits'!$A$3:$H$10000,8,FALSE),"0")</f>
        <v>0</v>
      </c>
      <c r="P5755" s="33">
        <f t="shared" si="356"/>
        <v>0</v>
      </c>
      <c r="Q5755" s="31" t="str">
        <f t="shared" si="357"/>
        <v/>
      </c>
      <c r="R5755" s="32" t="str">
        <f>IFERROR(VLOOKUP($D5755,'Informations sur les produits'!$A$3:$B$15000,2,FALSE),"")</f>
        <v/>
      </c>
      <c r="V5755">
        <f t="shared" si="358"/>
        <v>0</v>
      </c>
      <c r="W5755">
        <f t="shared" si="359"/>
        <v>0</v>
      </c>
    </row>
    <row r="5756" spans="5:23" x14ac:dyDescent="0.25">
      <c r="E5756" s="4"/>
      <c r="F5756" s="4"/>
      <c r="G5756" s="33" t="str">
        <f>IFERROR(VLOOKUP($D5756,'Informations sur les produits'!$A$3:$H$10000,8,FALSE),"0")</f>
        <v>0</v>
      </c>
      <c r="K5756" s="4"/>
      <c r="L5756" s="33" t="str">
        <f>IFERROR(VLOOKUP($J5756,'Informations sur les produits'!$A$3:$H$10000,8,FALSE),"0")</f>
        <v>0</v>
      </c>
      <c r="N5756" s="8"/>
      <c r="O5756" s="33" t="str">
        <f>IFERROR(VLOOKUP($M5756,'Informations sur les produits'!$A$3:$H$10000,8,FALSE),"0")</f>
        <v>0</v>
      </c>
      <c r="P5756" s="33">
        <f t="shared" si="356"/>
        <v>0</v>
      </c>
      <c r="Q5756" s="31" t="str">
        <f t="shared" si="357"/>
        <v/>
      </c>
      <c r="R5756" s="32" t="str">
        <f>IFERROR(VLOOKUP($D5756,'Informations sur les produits'!$A$3:$B$15000,2,FALSE),"")</f>
        <v/>
      </c>
      <c r="V5756">
        <f t="shared" si="358"/>
        <v>0</v>
      </c>
      <c r="W5756">
        <f t="shared" si="359"/>
        <v>0</v>
      </c>
    </row>
    <row r="5757" spans="5:23" x14ac:dyDescent="0.25">
      <c r="E5757" s="4"/>
      <c r="F5757" s="4"/>
      <c r="G5757" s="33" t="str">
        <f>IFERROR(VLOOKUP($D5757,'Informations sur les produits'!$A$3:$H$10000,8,FALSE),"0")</f>
        <v>0</v>
      </c>
      <c r="K5757" s="4"/>
      <c r="L5757" s="33" t="str">
        <f>IFERROR(VLOOKUP($J5757,'Informations sur les produits'!$A$3:$H$10000,8,FALSE),"0")</f>
        <v>0</v>
      </c>
      <c r="N5757" s="8"/>
      <c r="O5757" s="33" t="str">
        <f>IFERROR(VLOOKUP($M5757,'Informations sur les produits'!$A$3:$H$10000,8,FALSE),"0")</f>
        <v>0</v>
      </c>
      <c r="P5757" s="33">
        <f t="shared" si="356"/>
        <v>0</v>
      </c>
      <c r="Q5757" s="31" t="str">
        <f t="shared" si="357"/>
        <v/>
      </c>
      <c r="R5757" s="32" t="str">
        <f>IFERROR(VLOOKUP($D5757,'Informations sur les produits'!$A$3:$B$15000,2,FALSE),"")</f>
        <v/>
      </c>
      <c r="V5757">
        <f t="shared" si="358"/>
        <v>0</v>
      </c>
      <c r="W5757">
        <f t="shared" si="359"/>
        <v>0</v>
      </c>
    </row>
    <row r="5758" spans="5:23" x14ac:dyDescent="0.25">
      <c r="E5758" s="4"/>
      <c r="F5758" s="4"/>
      <c r="G5758" s="33" t="str">
        <f>IFERROR(VLOOKUP($D5758,'Informations sur les produits'!$A$3:$H$10000,8,FALSE),"0")</f>
        <v>0</v>
      </c>
      <c r="K5758" s="4"/>
      <c r="L5758" s="33" t="str">
        <f>IFERROR(VLOOKUP($J5758,'Informations sur les produits'!$A$3:$H$10000,8,FALSE),"0")</f>
        <v>0</v>
      </c>
      <c r="N5758" s="8"/>
      <c r="O5758" s="33" t="str">
        <f>IFERROR(VLOOKUP($M5758,'Informations sur les produits'!$A$3:$H$10000,8,FALSE),"0")</f>
        <v>0</v>
      </c>
      <c r="P5758" s="33">
        <f t="shared" si="356"/>
        <v>0</v>
      </c>
      <c r="Q5758" s="31" t="str">
        <f t="shared" si="357"/>
        <v/>
      </c>
      <c r="R5758" s="32" t="str">
        <f>IFERROR(VLOOKUP($D5758,'Informations sur les produits'!$A$3:$B$15000,2,FALSE),"")</f>
        <v/>
      </c>
      <c r="V5758">
        <f t="shared" si="358"/>
        <v>0</v>
      </c>
      <c r="W5758">
        <f t="shared" si="359"/>
        <v>0</v>
      </c>
    </row>
    <row r="5759" spans="5:23" x14ac:dyDescent="0.25">
      <c r="E5759" s="4"/>
      <c r="F5759" s="4"/>
      <c r="G5759" s="33" t="str">
        <f>IFERROR(VLOOKUP($D5759,'Informations sur les produits'!$A$3:$H$10000,8,FALSE),"0")</f>
        <v>0</v>
      </c>
      <c r="K5759" s="4"/>
      <c r="L5759" s="33" t="str">
        <f>IFERROR(VLOOKUP($J5759,'Informations sur les produits'!$A$3:$H$10000,8,FALSE),"0")</f>
        <v>0</v>
      </c>
      <c r="N5759" s="8"/>
      <c r="O5759" s="33" t="str">
        <f>IFERROR(VLOOKUP($M5759,'Informations sur les produits'!$A$3:$H$10000,8,FALSE),"0")</f>
        <v>0</v>
      </c>
      <c r="P5759" s="33">
        <f t="shared" si="356"/>
        <v>0</v>
      </c>
      <c r="Q5759" s="31" t="str">
        <f t="shared" si="357"/>
        <v/>
      </c>
      <c r="R5759" s="32" t="str">
        <f>IFERROR(VLOOKUP($D5759,'Informations sur les produits'!$A$3:$B$15000,2,FALSE),"")</f>
        <v/>
      </c>
      <c r="V5759">
        <f t="shared" si="358"/>
        <v>0</v>
      </c>
      <c r="W5759">
        <f t="shared" si="359"/>
        <v>0</v>
      </c>
    </row>
    <row r="5760" spans="5:23" x14ac:dyDescent="0.25">
      <c r="E5760" s="4"/>
      <c r="F5760" s="4"/>
      <c r="G5760" s="33" t="str">
        <f>IFERROR(VLOOKUP($D5760,'Informations sur les produits'!$A$3:$H$10000,8,FALSE),"0")</f>
        <v>0</v>
      </c>
      <c r="K5760" s="4"/>
      <c r="L5760" s="33" t="str">
        <f>IFERROR(VLOOKUP($J5760,'Informations sur les produits'!$A$3:$H$10000,8,FALSE),"0")</f>
        <v>0</v>
      </c>
      <c r="N5760" s="8"/>
      <c r="O5760" s="33" t="str">
        <f>IFERROR(VLOOKUP($M5760,'Informations sur les produits'!$A$3:$H$10000,8,FALSE),"0")</f>
        <v>0</v>
      </c>
      <c r="P5760" s="33">
        <f t="shared" si="356"/>
        <v>0</v>
      </c>
      <c r="Q5760" s="31" t="str">
        <f t="shared" si="357"/>
        <v/>
      </c>
      <c r="R5760" s="32" t="str">
        <f>IFERROR(VLOOKUP($D5760,'Informations sur les produits'!$A$3:$B$15000,2,FALSE),"")</f>
        <v/>
      </c>
      <c r="V5760">
        <f t="shared" si="358"/>
        <v>0</v>
      </c>
      <c r="W5760">
        <f t="shared" si="359"/>
        <v>0</v>
      </c>
    </row>
    <row r="5761" spans="5:23" x14ac:dyDescent="0.25">
      <c r="E5761" s="4"/>
      <c r="F5761" s="4"/>
      <c r="G5761" s="33" t="str">
        <f>IFERROR(VLOOKUP($D5761,'Informations sur les produits'!$A$3:$H$10000,8,FALSE),"0")</f>
        <v>0</v>
      </c>
      <c r="K5761" s="4"/>
      <c r="L5761" s="33" t="str">
        <f>IFERROR(VLOOKUP($J5761,'Informations sur les produits'!$A$3:$H$10000,8,FALSE),"0")</f>
        <v>0</v>
      </c>
      <c r="N5761" s="8"/>
      <c r="O5761" s="33" t="str">
        <f>IFERROR(VLOOKUP($M5761,'Informations sur les produits'!$A$3:$H$10000,8,FALSE),"0")</f>
        <v>0</v>
      </c>
      <c r="P5761" s="33">
        <f t="shared" si="356"/>
        <v>0</v>
      </c>
      <c r="Q5761" s="31" t="str">
        <f t="shared" si="357"/>
        <v/>
      </c>
      <c r="R5761" s="32" t="str">
        <f>IFERROR(VLOOKUP($D5761,'Informations sur les produits'!$A$3:$B$15000,2,FALSE),"")</f>
        <v/>
      </c>
      <c r="V5761">
        <f t="shared" si="358"/>
        <v>0</v>
      </c>
      <c r="W5761">
        <f t="shared" si="359"/>
        <v>0</v>
      </c>
    </row>
    <row r="5762" spans="5:23" x14ac:dyDescent="0.25">
      <c r="E5762" s="4"/>
      <c r="F5762" s="4"/>
      <c r="G5762" s="33" t="str">
        <f>IFERROR(VLOOKUP($D5762,'Informations sur les produits'!$A$3:$H$10000,8,FALSE),"0")</f>
        <v>0</v>
      </c>
      <c r="K5762" s="4"/>
      <c r="L5762" s="33" t="str">
        <f>IFERROR(VLOOKUP($J5762,'Informations sur les produits'!$A$3:$H$10000,8,FALSE),"0")</f>
        <v>0</v>
      </c>
      <c r="N5762" s="8"/>
      <c r="O5762" s="33" t="str">
        <f>IFERROR(VLOOKUP($M5762,'Informations sur les produits'!$A$3:$H$10000,8,FALSE),"0")</f>
        <v>0</v>
      </c>
      <c r="P5762" s="33">
        <f t="shared" si="356"/>
        <v>0</v>
      </c>
      <c r="Q5762" s="31" t="str">
        <f t="shared" si="357"/>
        <v/>
      </c>
      <c r="R5762" s="32" t="str">
        <f>IFERROR(VLOOKUP($D5762,'Informations sur les produits'!$A$3:$B$15000,2,FALSE),"")</f>
        <v/>
      </c>
      <c r="V5762">
        <f t="shared" si="358"/>
        <v>0</v>
      </c>
      <c r="W5762">
        <f t="shared" si="359"/>
        <v>0</v>
      </c>
    </row>
    <row r="5763" spans="5:23" x14ac:dyDescent="0.25">
      <c r="E5763" s="4"/>
      <c r="F5763" s="4"/>
      <c r="G5763" s="33" t="str">
        <f>IFERROR(VLOOKUP($D5763,'Informations sur les produits'!$A$3:$H$10000,8,FALSE),"0")</f>
        <v>0</v>
      </c>
      <c r="K5763" s="4"/>
      <c r="L5763" s="33" t="str">
        <f>IFERROR(VLOOKUP($J5763,'Informations sur les produits'!$A$3:$H$10000,8,FALSE),"0")</f>
        <v>0</v>
      </c>
      <c r="N5763" s="8"/>
      <c r="O5763" s="33" t="str">
        <f>IFERROR(VLOOKUP($M5763,'Informations sur les produits'!$A$3:$H$10000,8,FALSE),"0")</f>
        <v>0</v>
      </c>
      <c r="P5763" s="33">
        <f t="shared" si="356"/>
        <v>0</v>
      </c>
      <c r="Q5763" s="31" t="str">
        <f t="shared" si="357"/>
        <v/>
      </c>
      <c r="R5763" s="32" t="str">
        <f>IFERROR(VLOOKUP($D5763,'Informations sur les produits'!$A$3:$B$15000,2,FALSE),"")</f>
        <v/>
      </c>
      <c r="V5763">
        <f t="shared" si="358"/>
        <v>0</v>
      </c>
      <c r="W5763">
        <f t="shared" si="359"/>
        <v>0</v>
      </c>
    </row>
    <row r="5764" spans="5:23" x14ac:dyDescent="0.25">
      <c r="E5764" s="4"/>
      <c r="F5764" s="4"/>
      <c r="G5764" s="33" t="str">
        <f>IFERROR(VLOOKUP($D5764,'Informations sur les produits'!$A$3:$H$10000,8,FALSE),"0")</f>
        <v>0</v>
      </c>
      <c r="K5764" s="4"/>
      <c r="L5764" s="33" t="str">
        <f>IFERROR(VLOOKUP($J5764,'Informations sur les produits'!$A$3:$H$10000,8,FALSE),"0")</f>
        <v>0</v>
      </c>
      <c r="N5764" s="8"/>
      <c r="O5764" s="33" t="str">
        <f>IFERROR(VLOOKUP($M5764,'Informations sur les produits'!$A$3:$H$10000,8,FALSE),"0")</f>
        <v>0</v>
      </c>
      <c r="P5764" s="33">
        <f t="shared" ref="P5764:P5827" si="360">IFERROR((($E5764-$F5764)*$G5764+$K5764*$L5764+$N5764*$O5764),"")</f>
        <v>0</v>
      </c>
      <c r="Q5764" s="31" t="str">
        <f t="shared" ref="Q5764:Q5827" si="361">IFERROR((((($E5764-$F5764)*$G5764+$K5764*$L5764+$N5764*$O5764)*1000)/(($E5764-$F5764)+$K5764+$N5764)),"")</f>
        <v/>
      </c>
      <c r="R5764" s="32" t="str">
        <f>IFERROR(VLOOKUP($D5764,'Informations sur les produits'!$A$3:$B$15000,2,FALSE),"")</f>
        <v/>
      </c>
      <c r="V5764">
        <f t="shared" ref="V5764:V5827" si="362">IFERROR(P5764*1000,"")</f>
        <v>0</v>
      </c>
      <c r="W5764">
        <f t="shared" ref="W5764:W5827" si="363">IFERROR(($E5764-$F5764)+$K5764+$N5764,"")</f>
        <v>0</v>
      </c>
    </row>
    <row r="5765" spans="5:23" x14ac:dyDescent="0.25">
      <c r="E5765" s="4"/>
      <c r="F5765" s="4"/>
      <c r="G5765" s="33" t="str">
        <f>IFERROR(VLOOKUP($D5765,'Informations sur les produits'!$A$3:$H$10000,8,FALSE),"0")</f>
        <v>0</v>
      </c>
      <c r="K5765" s="4"/>
      <c r="L5765" s="33" t="str">
        <f>IFERROR(VLOOKUP($J5765,'Informations sur les produits'!$A$3:$H$10000,8,FALSE),"0")</f>
        <v>0</v>
      </c>
      <c r="N5765" s="8"/>
      <c r="O5765" s="33" t="str">
        <f>IFERROR(VLOOKUP($M5765,'Informations sur les produits'!$A$3:$H$10000,8,FALSE),"0")</f>
        <v>0</v>
      </c>
      <c r="P5765" s="33">
        <f t="shared" si="360"/>
        <v>0</v>
      </c>
      <c r="Q5765" s="31" t="str">
        <f t="shared" si="361"/>
        <v/>
      </c>
      <c r="R5765" s="32" t="str">
        <f>IFERROR(VLOOKUP($D5765,'Informations sur les produits'!$A$3:$B$15000,2,FALSE),"")</f>
        <v/>
      </c>
      <c r="V5765">
        <f t="shared" si="362"/>
        <v>0</v>
      </c>
      <c r="W5765">
        <f t="shared" si="363"/>
        <v>0</v>
      </c>
    </row>
    <row r="5766" spans="5:23" x14ac:dyDescent="0.25">
      <c r="E5766" s="4"/>
      <c r="F5766" s="4"/>
      <c r="G5766" s="33" t="str">
        <f>IFERROR(VLOOKUP($D5766,'Informations sur les produits'!$A$3:$H$10000,8,FALSE),"0")</f>
        <v>0</v>
      </c>
      <c r="K5766" s="4"/>
      <c r="L5766" s="33" t="str">
        <f>IFERROR(VLOOKUP($J5766,'Informations sur les produits'!$A$3:$H$10000,8,FALSE),"0")</f>
        <v>0</v>
      </c>
      <c r="N5766" s="8"/>
      <c r="O5766" s="33" t="str">
        <f>IFERROR(VLOOKUP($M5766,'Informations sur les produits'!$A$3:$H$10000,8,FALSE),"0")</f>
        <v>0</v>
      </c>
      <c r="P5766" s="33">
        <f t="shared" si="360"/>
        <v>0</v>
      </c>
      <c r="Q5766" s="31" t="str">
        <f t="shared" si="361"/>
        <v/>
      </c>
      <c r="R5766" s="32" t="str">
        <f>IFERROR(VLOOKUP($D5766,'Informations sur les produits'!$A$3:$B$15000,2,FALSE),"")</f>
        <v/>
      </c>
      <c r="V5766">
        <f t="shared" si="362"/>
        <v>0</v>
      </c>
      <c r="W5766">
        <f t="shared" si="363"/>
        <v>0</v>
      </c>
    </row>
    <row r="5767" spans="5:23" x14ac:dyDescent="0.25">
      <c r="E5767" s="4"/>
      <c r="F5767" s="4"/>
      <c r="G5767" s="33" t="str">
        <f>IFERROR(VLOOKUP($D5767,'Informations sur les produits'!$A$3:$H$10000,8,FALSE),"0")</f>
        <v>0</v>
      </c>
      <c r="K5767" s="4"/>
      <c r="L5767" s="33" t="str">
        <f>IFERROR(VLOOKUP($J5767,'Informations sur les produits'!$A$3:$H$10000,8,FALSE),"0")</f>
        <v>0</v>
      </c>
      <c r="N5767" s="8"/>
      <c r="O5767" s="33" t="str">
        <f>IFERROR(VLOOKUP($M5767,'Informations sur les produits'!$A$3:$H$10000,8,FALSE),"0")</f>
        <v>0</v>
      </c>
      <c r="P5767" s="33">
        <f t="shared" si="360"/>
        <v>0</v>
      </c>
      <c r="Q5767" s="31" t="str">
        <f t="shared" si="361"/>
        <v/>
      </c>
      <c r="R5767" s="32" t="str">
        <f>IFERROR(VLOOKUP($D5767,'Informations sur les produits'!$A$3:$B$15000,2,FALSE),"")</f>
        <v/>
      </c>
      <c r="V5767">
        <f t="shared" si="362"/>
        <v>0</v>
      </c>
      <c r="W5767">
        <f t="shared" si="363"/>
        <v>0</v>
      </c>
    </row>
    <row r="5768" spans="5:23" x14ac:dyDescent="0.25">
      <c r="E5768" s="4"/>
      <c r="F5768" s="4"/>
      <c r="G5768" s="33" t="str">
        <f>IFERROR(VLOOKUP($D5768,'Informations sur les produits'!$A$3:$H$10000,8,FALSE),"0")</f>
        <v>0</v>
      </c>
      <c r="K5768" s="4"/>
      <c r="L5768" s="33" t="str">
        <f>IFERROR(VLOOKUP($J5768,'Informations sur les produits'!$A$3:$H$10000,8,FALSE),"0")</f>
        <v>0</v>
      </c>
      <c r="N5768" s="8"/>
      <c r="O5768" s="33" t="str">
        <f>IFERROR(VLOOKUP($M5768,'Informations sur les produits'!$A$3:$H$10000,8,FALSE),"0")</f>
        <v>0</v>
      </c>
      <c r="P5768" s="33">
        <f t="shared" si="360"/>
        <v>0</v>
      </c>
      <c r="Q5768" s="31" t="str">
        <f t="shared" si="361"/>
        <v/>
      </c>
      <c r="R5768" s="32" t="str">
        <f>IFERROR(VLOOKUP($D5768,'Informations sur les produits'!$A$3:$B$15000,2,FALSE),"")</f>
        <v/>
      </c>
      <c r="V5768">
        <f t="shared" si="362"/>
        <v>0</v>
      </c>
      <c r="W5768">
        <f t="shared" si="363"/>
        <v>0</v>
      </c>
    </row>
    <row r="5769" spans="5:23" x14ac:dyDescent="0.25">
      <c r="E5769" s="4"/>
      <c r="F5769" s="4"/>
      <c r="G5769" s="33" t="str">
        <f>IFERROR(VLOOKUP($D5769,'Informations sur les produits'!$A$3:$H$10000,8,FALSE),"0")</f>
        <v>0</v>
      </c>
      <c r="K5769" s="4"/>
      <c r="L5769" s="33" t="str">
        <f>IFERROR(VLOOKUP($J5769,'Informations sur les produits'!$A$3:$H$10000,8,FALSE),"0")</f>
        <v>0</v>
      </c>
      <c r="N5769" s="8"/>
      <c r="O5769" s="33" t="str">
        <f>IFERROR(VLOOKUP($M5769,'Informations sur les produits'!$A$3:$H$10000,8,FALSE),"0")</f>
        <v>0</v>
      </c>
      <c r="P5769" s="33">
        <f t="shared" si="360"/>
        <v>0</v>
      </c>
      <c r="Q5769" s="31" t="str">
        <f t="shared" si="361"/>
        <v/>
      </c>
      <c r="R5769" s="32" t="str">
        <f>IFERROR(VLOOKUP($D5769,'Informations sur les produits'!$A$3:$B$15000,2,FALSE),"")</f>
        <v/>
      </c>
      <c r="V5769">
        <f t="shared" si="362"/>
        <v>0</v>
      </c>
      <c r="W5769">
        <f t="shared" si="363"/>
        <v>0</v>
      </c>
    </row>
    <row r="5770" spans="5:23" x14ac:dyDescent="0.25">
      <c r="E5770" s="4"/>
      <c r="F5770" s="4"/>
      <c r="G5770" s="33" t="str">
        <f>IFERROR(VLOOKUP($D5770,'Informations sur les produits'!$A$3:$H$10000,8,FALSE),"0")</f>
        <v>0</v>
      </c>
      <c r="K5770" s="4"/>
      <c r="L5770" s="33" t="str">
        <f>IFERROR(VLOOKUP($J5770,'Informations sur les produits'!$A$3:$H$10000,8,FALSE),"0")</f>
        <v>0</v>
      </c>
      <c r="N5770" s="8"/>
      <c r="O5770" s="33" t="str">
        <f>IFERROR(VLOOKUP($M5770,'Informations sur les produits'!$A$3:$H$10000,8,FALSE),"0")</f>
        <v>0</v>
      </c>
      <c r="P5770" s="33">
        <f t="shared" si="360"/>
        <v>0</v>
      </c>
      <c r="Q5770" s="31" t="str">
        <f t="shared" si="361"/>
        <v/>
      </c>
      <c r="R5770" s="32" t="str">
        <f>IFERROR(VLOOKUP($D5770,'Informations sur les produits'!$A$3:$B$15000,2,FALSE),"")</f>
        <v/>
      </c>
      <c r="V5770">
        <f t="shared" si="362"/>
        <v>0</v>
      </c>
      <c r="W5770">
        <f t="shared" si="363"/>
        <v>0</v>
      </c>
    </row>
    <row r="5771" spans="5:23" x14ac:dyDescent="0.25">
      <c r="E5771" s="4"/>
      <c r="F5771" s="4"/>
      <c r="G5771" s="33" t="str">
        <f>IFERROR(VLOOKUP($D5771,'Informations sur les produits'!$A$3:$H$10000,8,FALSE),"0")</f>
        <v>0</v>
      </c>
      <c r="K5771" s="4"/>
      <c r="L5771" s="33" t="str">
        <f>IFERROR(VLOOKUP($J5771,'Informations sur les produits'!$A$3:$H$10000,8,FALSE),"0")</f>
        <v>0</v>
      </c>
      <c r="N5771" s="8"/>
      <c r="O5771" s="33" t="str">
        <f>IFERROR(VLOOKUP($M5771,'Informations sur les produits'!$A$3:$H$10000,8,FALSE),"0")</f>
        <v>0</v>
      </c>
      <c r="P5771" s="33">
        <f t="shared" si="360"/>
        <v>0</v>
      </c>
      <c r="Q5771" s="31" t="str">
        <f t="shared" si="361"/>
        <v/>
      </c>
      <c r="R5771" s="32" t="str">
        <f>IFERROR(VLOOKUP($D5771,'Informations sur les produits'!$A$3:$B$15000,2,FALSE),"")</f>
        <v/>
      </c>
      <c r="V5771">
        <f t="shared" si="362"/>
        <v>0</v>
      </c>
      <c r="W5771">
        <f t="shared" si="363"/>
        <v>0</v>
      </c>
    </row>
    <row r="5772" spans="5:23" x14ac:dyDescent="0.25">
      <c r="E5772" s="4"/>
      <c r="F5772" s="4"/>
      <c r="G5772" s="33" t="str">
        <f>IFERROR(VLOOKUP($D5772,'Informations sur les produits'!$A$3:$H$10000,8,FALSE),"0")</f>
        <v>0</v>
      </c>
      <c r="K5772" s="4"/>
      <c r="L5772" s="33" t="str">
        <f>IFERROR(VLOOKUP($J5772,'Informations sur les produits'!$A$3:$H$10000,8,FALSE),"0")</f>
        <v>0</v>
      </c>
      <c r="N5772" s="8"/>
      <c r="O5772" s="33" t="str">
        <f>IFERROR(VLOOKUP($M5772,'Informations sur les produits'!$A$3:$H$10000,8,FALSE),"0")</f>
        <v>0</v>
      </c>
      <c r="P5772" s="33">
        <f t="shared" si="360"/>
        <v>0</v>
      </c>
      <c r="Q5772" s="31" t="str">
        <f t="shared" si="361"/>
        <v/>
      </c>
      <c r="R5772" s="32" t="str">
        <f>IFERROR(VLOOKUP($D5772,'Informations sur les produits'!$A$3:$B$15000,2,FALSE),"")</f>
        <v/>
      </c>
      <c r="V5772">
        <f t="shared" si="362"/>
        <v>0</v>
      </c>
      <c r="W5772">
        <f t="shared" si="363"/>
        <v>0</v>
      </c>
    </row>
    <row r="5773" spans="5:23" x14ac:dyDescent="0.25">
      <c r="E5773" s="4"/>
      <c r="F5773" s="4"/>
      <c r="G5773" s="33" t="str">
        <f>IFERROR(VLOOKUP($D5773,'Informations sur les produits'!$A$3:$H$10000,8,FALSE),"0")</f>
        <v>0</v>
      </c>
      <c r="K5773" s="4"/>
      <c r="L5773" s="33" t="str">
        <f>IFERROR(VLOOKUP($J5773,'Informations sur les produits'!$A$3:$H$10000,8,FALSE),"0")</f>
        <v>0</v>
      </c>
      <c r="N5773" s="8"/>
      <c r="O5773" s="33" t="str">
        <f>IFERROR(VLOOKUP($M5773,'Informations sur les produits'!$A$3:$H$10000,8,FALSE),"0")</f>
        <v>0</v>
      </c>
      <c r="P5773" s="33">
        <f t="shared" si="360"/>
        <v>0</v>
      </c>
      <c r="Q5773" s="31" t="str">
        <f t="shared" si="361"/>
        <v/>
      </c>
      <c r="R5773" s="32" t="str">
        <f>IFERROR(VLOOKUP($D5773,'Informations sur les produits'!$A$3:$B$15000,2,FALSE),"")</f>
        <v/>
      </c>
      <c r="V5773">
        <f t="shared" si="362"/>
        <v>0</v>
      </c>
      <c r="W5773">
        <f t="shared" si="363"/>
        <v>0</v>
      </c>
    </row>
    <row r="5774" spans="5:23" x14ac:dyDescent="0.25">
      <c r="E5774" s="4"/>
      <c r="F5774" s="4"/>
      <c r="G5774" s="33" t="str">
        <f>IFERROR(VLOOKUP($D5774,'Informations sur les produits'!$A$3:$H$10000,8,FALSE),"0")</f>
        <v>0</v>
      </c>
      <c r="K5774" s="4"/>
      <c r="L5774" s="33" t="str">
        <f>IFERROR(VLOOKUP($J5774,'Informations sur les produits'!$A$3:$H$10000,8,FALSE),"0")</f>
        <v>0</v>
      </c>
      <c r="N5774" s="8"/>
      <c r="O5774" s="33" t="str">
        <f>IFERROR(VLOOKUP($M5774,'Informations sur les produits'!$A$3:$H$10000,8,FALSE),"0")</f>
        <v>0</v>
      </c>
      <c r="P5774" s="33">
        <f t="shared" si="360"/>
        <v>0</v>
      </c>
      <c r="Q5774" s="31" t="str">
        <f t="shared" si="361"/>
        <v/>
      </c>
      <c r="R5774" s="32" t="str">
        <f>IFERROR(VLOOKUP($D5774,'Informations sur les produits'!$A$3:$B$15000,2,FALSE),"")</f>
        <v/>
      </c>
      <c r="V5774">
        <f t="shared" si="362"/>
        <v>0</v>
      </c>
      <c r="W5774">
        <f t="shared" si="363"/>
        <v>0</v>
      </c>
    </row>
    <row r="5775" spans="5:23" x14ac:dyDescent="0.25">
      <c r="E5775" s="4"/>
      <c r="F5775" s="4"/>
      <c r="G5775" s="33" t="str">
        <f>IFERROR(VLOOKUP($D5775,'Informations sur les produits'!$A$3:$H$10000,8,FALSE),"0")</f>
        <v>0</v>
      </c>
      <c r="K5775" s="4"/>
      <c r="L5775" s="33" t="str">
        <f>IFERROR(VLOOKUP($J5775,'Informations sur les produits'!$A$3:$H$10000,8,FALSE),"0")</f>
        <v>0</v>
      </c>
      <c r="N5775" s="8"/>
      <c r="O5775" s="33" t="str">
        <f>IFERROR(VLOOKUP($M5775,'Informations sur les produits'!$A$3:$H$10000,8,FALSE),"0")</f>
        <v>0</v>
      </c>
      <c r="P5775" s="33">
        <f t="shared" si="360"/>
        <v>0</v>
      </c>
      <c r="Q5775" s="31" t="str">
        <f t="shared" si="361"/>
        <v/>
      </c>
      <c r="R5775" s="32" t="str">
        <f>IFERROR(VLOOKUP($D5775,'Informations sur les produits'!$A$3:$B$15000,2,FALSE),"")</f>
        <v/>
      </c>
      <c r="V5775">
        <f t="shared" si="362"/>
        <v>0</v>
      </c>
      <c r="W5775">
        <f t="shared" si="363"/>
        <v>0</v>
      </c>
    </row>
    <row r="5776" spans="5:23" x14ac:dyDescent="0.25">
      <c r="E5776" s="4"/>
      <c r="F5776" s="4"/>
      <c r="G5776" s="33" t="str">
        <f>IFERROR(VLOOKUP($D5776,'Informations sur les produits'!$A$3:$H$10000,8,FALSE),"0")</f>
        <v>0</v>
      </c>
      <c r="K5776" s="4"/>
      <c r="L5776" s="33" t="str">
        <f>IFERROR(VLOOKUP($J5776,'Informations sur les produits'!$A$3:$H$10000,8,FALSE),"0")</f>
        <v>0</v>
      </c>
      <c r="N5776" s="8"/>
      <c r="O5776" s="33" t="str">
        <f>IFERROR(VLOOKUP($M5776,'Informations sur les produits'!$A$3:$H$10000,8,FALSE),"0")</f>
        <v>0</v>
      </c>
      <c r="P5776" s="33">
        <f t="shared" si="360"/>
        <v>0</v>
      </c>
      <c r="Q5776" s="31" t="str">
        <f t="shared" si="361"/>
        <v/>
      </c>
      <c r="R5776" s="32" t="str">
        <f>IFERROR(VLOOKUP($D5776,'Informations sur les produits'!$A$3:$B$15000,2,FALSE),"")</f>
        <v/>
      </c>
      <c r="V5776">
        <f t="shared" si="362"/>
        <v>0</v>
      </c>
      <c r="W5776">
        <f t="shared" si="363"/>
        <v>0</v>
      </c>
    </row>
    <row r="5777" spans="5:23" x14ac:dyDescent="0.25">
      <c r="E5777" s="4"/>
      <c r="F5777" s="4"/>
      <c r="G5777" s="33" t="str">
        <f>IFERROR(VLOOKUP($D5777,'Informations sur les produits'!$A$3:$H$10000,8,FALSE),"0")</f>
        <v>0</v>
      </c>
      <c r="K5777" s="4"/>
      <c r="L5777" s="33" t="str">
        <f>IFERROR(VLOOKUP($J5777,'Informations sur les produits'!$A$3:$H$10000,8,FALSE),"0")</f>
        <v>0</v>
      </c>
      <c r="N5777" s="8"/>
      <c r="O5777" s="33" t="str">
        <f>IFERROR(VLOOKUP($M5777,'Informations sur les produits'!$A$3:$H$10000,8,FALSE),"0")</f>
        <v>0</v>
      </c>
      <c r="P5777" s="33">
        <f t="shared" si="360"/>
        <v>0</v>
      </c>
      <c r="Q5777" s="31" t="str">
        <f t="shared" si="361"/>
        <v/>
      </c>
      <c r="R5777" s="32" t="str">
        <f>IFERROR(VLOOKUP($D5777,'Informations sur les produits'!$A$3:$B$15000,2,FALSE),"")</f>
        <v/>
      </c>
      <c r="V5777">
        <f t="shared" si="362"/>
        <v>0</v>
      </c>
      <c r="W5777">
        <f t="shared" si="363"/>
        <v>0</v>
      </c>
    </row>
    <row r="5778" spans="5:23" x14ac:dyDescent="0.25">
      <c r="E5778" s="4"/>
      <c r="F5778" s="4"/>
      <c r="G5778" s="33" t="str">
        <f>IFERROR(VLOOKUP($D5778,'Informations sur les produits'!$A$3:$H$10000,8,FALSE),"0")</f>
        <v>0</v>
      </c>
      <c r="K5778" s="4"/>
      <c r="L5778" s="33" t="str">
        <f>IFERROR(VLOOKUP($J5778,'Informations sur les produits'!$A$3:$H$10000,8,FALSE),"0")</f>
        <v>0</v>
      </c>
      <c r="N5778" s="8"/>
      <c r="O5778" s="33" t="str">
        <f>IFERROR(VLOOKUP($M5778,'Informations sur les produits'!$A$3:$H$10000,8,FALSE),"0")</f>
        <v>0</v>
      </c>
      <c r="P5778" s="33">
        <f t="shared" si="360"/>
        <v>0</v>
      </c>
      <c r="Q5778" s="31" t="str">
        <f t="shared" si="361"/>
        <v/>
      </c>
      <c r="R5778" s="32" t="str">
        <f>IFERROR(VLOOKUP($D5778,'Informations sur les produits'!$A$3:$B$15000,2,FALSE),"")</f>
        <v/>
      </c>
      <c r="V5778">
        <f t="shared" si="362"/>
        <v>0</v>
      </c>
      <c r="W5778">
        <f t="shared" si="363"/>
        <v>0</v>
      </c>
    </row>
    <row r="5779" spans="5:23" x14ac:dyDescent="0.25">
      <c r="E5779" s="4"/>
      <c r="F5779" s="4"/>
      <c r="G5779" s="33" t="str">
        <f>IFERROR(VLOOKUP($D5779,'Informations sur les produits'!$A$3:$H$10000,8,FALSE),"0")</f>
        <v>0</v>
      </c>
      <c r="K5779" s="4"/>
      <c r="L5779" s="33" t="str">
        <f>IFERROR(VLOOKUP($J5779,'Informations sur les produits'!$A$3:$H$10000,8,FALSE),"0")</f>
        <v>0</v>
      </c>
      <c r="N5779" s="8"/>
      <c r="O5779" s="33" t="str">
        <f>IFERROR(VLOOKUP($M5779,'Informations sur les produits'!$A$3:$H$10000,8,FALSE),"0")</f>
        <v>0</v>
      </c>
      <c r="P5779" s="33">
        <f t="shared" si="360"/>
        <v>0</v>
      </c>
      <c r="Q5779" s="31" t="str">
        <f t="shared" si="361"/>
        <v/>
      </c>
      <c r="R5779" s="32" t="str">
        <f>IFERROR(VLOOKUP($D5779,'Informations sur les produits'!$A$3:$B$15000,2,FALSE),"")</f>
        <v/>
      </c>
      <c r="V5779">
        <f t="shared" si="362"/>
        <v>0</v>
      </c>
      <c r="W5779">
        <f t="shared" si="363"/>
        <v>0</v>
      </c>
    </row>
    <row r="5780" spans="5:23" x14ac:dyDescent="0.25">
      <c r="E5780" s="4"/>
      <c r="F5780" s="4"/>
      <c r="G5780" s="33" t="str">
        <f>IFERROR(VLOOKUP($D5780,'Informations sur les produits'!$A$3:$H$10000,8,FALSE),"0")</f>
        <v>0</v>
      </c>
      <c r="K5780" s="4"/>
      <c r="L5780" s="33" t="str">
        <f>IFERROR(VLOOKUP($J5780,'Informations sur les produits'!$A$3:$H$10000,8,FALSE),"0")</f>
        <v>0</v>
      </c>
      <c r="N5780" s="8"/>
      <c r="O5780" s="33" t="str">
        <f>IFERROR(VLOOKUP($M5780,'Informations sur les produits'!$A$3:$H$10000,8,FALSE),"0")</f>
        <v>0</v>
      </c>
      <c r="P5780" s="33">
        <f t="shared" si="360"/>
        <v>0</v>
      </c>
      <c r="Q5780" s="31" t="str">
        <f t="shared" si="361"/>
        <v/>
      </c>
      <c r="R5780" s="32" t="str">
        <f>IFERROR(VLOOKUP($D5780,'Informations sur les produits'!$A$3:$B$15000,2,FALSE),"")</f>
        <v/>
      </c>
      <c r="V5780">
        <f t="shared" si="362"/>
        <v>0</v>
      </c>
      <c r="W5780">
        <f t="shared" si="363"/>
        <v>0</v>
      </c>
    </row>
    <row r="5781" spans="5:23" x14ac:dyDescent="0.25">
      <c r="E5781" s="4"/>
      <c r="F5781" s="4"/>
      <c r="G5781" s="33" t="str">
        <f>IFERROR(VLOOKUP($D5781,'Informations sur les produits'!$A$3:$H$10000,8,FALSE),"0")</f>
        <v>0</v>
      </c>
      <c r="K5781" s="4"/>
      <c r="L5781" s="33" t="str">
        <f>IFERROR(VLOOKUP($J5781,'Informations sur les produits'!$A$3:$H$10000,8,FALSE),"0")</f>
        <v>0</v>
      </c>
      <c r="N5781" s="8"/>
      <c r="O5781" s="33" t="str">
        <f>IFERROR(VLOOKUP($M5781,'Informations sur les produits'!$A$3:$H$10000,8,FALSE),"0")</f>
        <v>0</v>
      </c>
      <c r="P5781" s="33">
        <f t="shared" si="360"/>
        <v>0</v>
      </c>
      <c r="Q5781" s="31" t="str">
        <f t="shared" si="361"/>
        <v/>
      </c>
      <c r="R5781" s="32" t="str">
        <f>IFERROR(VLOOKUP($D5781,'Informations sur les produits'!$A$3:$B$15000,2,FALSE),"")</f>
        <v/>
      </c>
      <c r="V5781">
        <f t="shared" si="362"/>
        <v>0</v>
      </c>
      <c r="W5781">
        <f t="shared" si="363"/>
        <v>0</v>
      </c>
    </row>
    <row r="5782" spans="5:23" x14ac:dyDescent="0.25">
      <c r="E5782" s="4"/>
      <c r="F5782" s="4"/>
      <c r="G5782" s="33" t="str">
        <f>IFERROR(VLOOKUP($D5782,'Informations sur les produits'!$A$3:$H$10000,8,FALSE),"0")</f>
        <v>0</v>
      </c>
      <c r="K5782" s="4"/>
      <c r="L5782" s="33" t="str">
        <f>IFERROR(VLOOKUP($J5782,'Informations sur les produits'!$A$3:$H$10000,8,FALSE),"0")</f>
        <v>0</v>
      </c>
      <c r="N5782" s="8"/>
      <c r="O5782" s="33" t="str">
        <f>IFERROR(VLOOKUP($M5782,'Informations sur les produits'!$A$3:$H$10000,8,FALSE),"0")</f>
        <v>0</v>
      </c>
      <c r="P5782" s="33">
        <f t="shared" si="360"/>
        <v>0</v>
      </c>
      <c r="Q5782" s="31" t="str">
        <f t="shared" si="361"/>
        <v/>
      </c>
      <c r="R5782" s="32" t="str">
        <f>IFERROR(VLOOKUP($D5782,'Informations sur les produits'!$A$3:$B$15000,2,FALSE),"")</f>
        <v/>
      </c>
      <c r="V5782">
        <f t="shared" si="362"/>
        <v>0</v>
      </c>
      <c r="W5782">
        <f t="shared" si="363"/>
        <v>0</v>
      </c>
    </row>
    <row r="5783" spans="5:23" x14ac:dyDescent="0.25">
      <c r="E5783" s="4"/>
      <c r="F5783" s="4"/>
      <c r="G5783" s="33" t="str">
        <f>IFERROR(VLOOKUP($D5783,'Informations sur les produits'!$A$3:$H$10000,8,FALSE),"0")</f>
        <v>0</v>
      </c>
      <c r="K5783" s="4"/>
      <c r="L5783" s="33" t="str">
        <f>IFERROR(VLOOKUP($J5783,'Informations sur les produits'!$A$3:$H$10000,8,FALSE),"0")</f>
        <v>0</v>
      </c>
      <c r="N5783" s="8"/>
      <c r="O5783" s="33" t="str">
        <f>IFERROR(VLOOKUP($M5783,'Informations sur les produits'!$A$3:$H$10000,8,FALSE),"0")</f>
        <v>0</v>
      </c>
      <c r="P5783" s="33">
        <f t="shared" si="360"/>
        <v>0</v>
      </c>
      <c r="Q5783" s="31" t="str">
        <f t="shared" si="361"/>
        <v/>
      </c>
      <c r="R5783" s="32" t="str">
        <f>IFERROR(VLOOKUP($D5783,'Informations sur les produits'!$A$3:$B$15000,2,FALSE),"")</f>
        <v/>
      </c>
      <c r="V5783">
        <f t="shared" si="362"/>
        <v>0</v>
      </c>
      <c r="W5783">
        <f t="shared" si="363"/>
        <v>0</v>
      </c>
    </row>
    <row r="5784" spans="5:23" x14ac:dyDescent="0.25">
      <c r="E5784" s="4"/>
      <c r="F5784" s="4"/>
      <c r="G5784" s="33" t="str">
        <f>IFERROR(VLOOKUP($D5784,'Informations sur les produits'!$A$3:$H$10000,8,FALSE),"0")</f>
        <v>0</v>
      </c>
      <c r="K5784" s="4"/>
      <c r="L5784" s="33" t="str">
        <f>IFERROR(VLOOKUP($J5784,'Informations sur les produits'!$A$3:$H$10000,8,FALSE),"0")</f>
        <v>0</v>
      </c>
      <c r="N5784" s="8"/>
      <c r="O5784" s="33" t="str">
        <f>IFERROR(VLOOKUP($M5784,'Informations sur les produits'!$A$3:$H$10000,8,FALSE),"0")</f>
        <v>0</v>
      </c>
      <c r="P5784" s="33">
        <f t="shared" si="360"/>
        <v>0</v>
      </c>
      <c r="Q5784" s="31" t="str">
        <f t="shared" si="361"/>
        <v/>
      </c>
      <c r="R5784" s="32" t="str">
        <f>IFERROR(VLOOKUP($D5784,'Informations sur les produits'!$A$3:$B$15000,2,FALSE),"")</f>
        <v/>
      </c>
      <c r="V5784">
        <f t="shared" si="362"/>
        <v>0</v>
      </c>
      <c r="W5784">
        <f t="shared" si="363"/>
        <v>0</v>
      </c>
    </row>
    <row r="5785" spans="5:23" x14ac:dyDescent="0.25">
      <c r="E5785" s="4"/>
      <c r="F5785" s="4"/>
      <c r="G5785" s="33" t="str">
        <f>IFERROR(VLOOKUP($D5785,'Informations sur les produits'!$A$3:$H$10000,8,FALSE),"0")</f>
        <v>0</v>
      </c>
      <c r="K5785" s="4"/>
      <c r="L5785" s="33" t="str">
        <f>IFERROR(VLOOKUP($J5785,'Informations sur les produits'!$A$3:$H$10000,8,FALSE),"0")</f>
        <v>0</v>
      </c>
      <c r="N5785" s="8"/>
      <c r="O5785" s="33" t="str">
        <f>IFERROR(VLOOKUP($M5785,'Informations sur les produits'!$A$3:$H$10000,8,FALSE),"0")</f>
        <v>0</v>
      </c>
      <c r="P5785" s="33">
        <f t="shared" si="360"/>
        <v>0</v>
      </c>
      <c r="Q5785" s="31" t="str">
        <f t="shared" si="361"/>
        <v/>
      </c>
      <c r="R5785" s="32" t="str">
        <f>IFERROR(VLOOKUP($D5785,'Informations sur les produits'!$A$3:$B$15000,2,FALSE),"")</f>
        <v/>
      </c>
      <c r="V5785">
        <f t="shared" si="362"/>
        <v>0</v>
      </c>
      <c r="W5785">
        <f t="shared" si="363"/>
        <v>0</v>
      </c>
    </row>
    <row r="5786" spans="5:23" x14ac:dyDescent="0.25">
      <c r="E5786" s="4"/>
      <c r="F5786" s="4"/>
      <c r="G5786" s="33" t="str">
        <f>IFERROR(VLOOKUP($D5786,'Informations sur les produits'!$A$3:$H$10000,8,FALSE),"0")</f>
        <v>0</v>
      </c>
      <c r="K5786" s="4"/>
      <c r="L5786" s="33" t="str">
        <f>IFERROR(VLOOKUP($J5786,'Informations sur les produits'!$A$3:$H$10000,8,FALSE),"0")</f>
        <v>0</v>
      </c>
      <c r="N5786" s="8"/>
      <c r="O5786" s="33" t="str">
        <f>IFERROR(VLOOKUP($M5786,'Informations sur les produits'!$A$3:$H$10000,8,FALSE),"0")</f>
        <v>0</v>
      </c>
      <c r="P5786" s="33">
        <f t="shared" si="360"/>
        <v>0</v>
      </c>
      <c r="Q5786" s="31" t="str">
        <f t="shared" si="361"/>
        <v/>
      </c>
      <c r="R5786" s="32" t="str">
        <f>IFERROR(VLOOKUP($D5786,'Informations sur les produits'!$A$3:$B$15000,2,FALSE),"")</f>
        <v/>
      </c>
      <c r="V5786">
        <f t="shared" si="362"/>
        <v>0</v>
      </c>
      <c r="W5786">
        <f t="shared" si="363"/>
        <v>0</v>
      </c>
    </row>
    <row r="5787" spans="5:23" x14ac:dyDescent="0.25">
      <c r="E5787" s="4"/>
      <c r="F5787" s="4"/>
      <c r="G5787" s="33" t="str">
        <f>IFERROR(VLOOKUP($D5787,'Informations sur les produits'!$A$3:$H$10000,8,FALSE),"0")</f>
        <v>0</v>
      </c>
      <c r="K5787" s="4"/>
      <c r="L5787" s="33" t="str">
        <f>IFERROR(VLOOKUP($J5787,'Informations sur les produits'!$A$3:$H$10000,8,FALSE),"0")</f>
        <v>0</v>
      </c>
      <c r="N5787" s="8"/>
      <c r="O5787" s="33" t="str">
        <f>IFERROR(VLOOKUP($M5787,'Informations sur les produits'!$A$3:$H$10000,8,FALSE),"0")</f>
        <v>0</v>
      </c>
      <c r="P5787" s="33">
        <f t="shared" si="360"/>
        <v>0</v>
      </c>
      <c r="Q5787" s="31" t="str">
        <f t="shared" si="361"/>
        <v/>
      </c>
      <c r="R5787" s="32" t="str">
        <f>IFERROR(VLOOKUP($D5787,'Informations sur les produits'!$A$3:$B$15000,2,FALSE),"")</f>
        <v/>
      </c>
      <c r="V5787">
        <f t="shared" si="362"/>
        <v>0</v>
      </c>
      <c r="W5787">
        <f t="shared" si="363"/>
        <v>0</v>
      </c>
    </row>
    <row r="5788" spans="5:23" x14ac:dyDescent="0.25">
      <c r="E5788" s="4"/>
      <c r="F5788" s="4"/>
      <c r="G5788" s="33" t="str">
        <f>IFERROR(VLOOKUP($D5788,'Informations sur les produits'!$A$3:$H$10000,8,FALSE),"0")</f>
        <v>0</v>
      </c>
      <c r="K5788" s="4"/>
      <c r="L5788" s="33" t="str">
        <f>IFERROR(VLOOKUP($J5788,'Informations sur les produits'!$A$3:$H$10000,8,FALSE),"0")</f>
        <v>0</v>
      </c>
      <c r="N5788" s="8"/>
      <c r="O5788" s="33" t="str">
        <f>IFERROR(VLOOKUP($M5788,'Informations sur les produits'!$A$3:$H$10000,8,FALSE),"0")</f>
        <v>0</v>
      </c>
      <c r="P5788" s="33">
        <f t="shared" si="360"/>
        <v>0</v>
      </c>
      <c r="Q5788" s="31" t="str">
        <f t="shared" si="361"/>
        <v/>
      </c>
      <c r="R5788" s="32" t="str">
        <f>IFERROR(VLOOKUP($D5788,'Informations sur les produits'!$A$3:$B$15000,2,FALSE),"")</f>
        <v/>
      </c>
      <c r="V5788">
        <f t="shared" si="362"/>
        <v>0</v>
      </c>
      <c r="W5788">
        <f t="shared" si="363"/>
        <v>0</v>
      </c>
    </row>
    <row r="5789" spans="5:23" x14ac:dyDescent="0.25">
      <c r="E5789" s="4"/>
      <c r="F5789" s="4"/>
      <c r="G5789" s="33" t="str">
        <f>IFERROR(VLOOKUP($D5789,'Informations sur les produits'!$A$3:$H$10000,8,FALSE),"0")</f>
        <v>0</v>
      </c>
      <c r="K5789" s="4"/>
      <c r="L5789" s="33" t="str">
        <f>IFERROR(VLOOKUP($J5789,'Informations sur les produits'!$A$3:$H$10000,8,FALSE),"0")</f>
        <v>0</v>
      </c>
      <c r="N5789" s="8"/>
      <c r="O5789" s="33" t="str">
        <f>IFERROR(VLOOKUP($M5789,'Informations sur les produits'!$A$3:$H$10000,8,FALSE),"0")</f>
        <v>0</v>
      </c>
      <c r="P5789" s="33">
        <f t="shared" si="360"/>
        <v>0</v>
      </c>
      <c r="Q5789" s="31" t="str">
        <f t="shared" si="361"/>
        <v/>
      </c>
      <c r="R5789" s="32" t="str">
        <f>IFERROR(VLOOKUP($D5789,'Informations sur les produits'!$A$3:$B$15000,2,FALSE),"")</f>
        <v/>
      </c>
      <c r="V5789">
        <f t="shared" si="362"/>
        <v>0</v>
      </c>
      <c r="W5789">
        <f t="shared" si="363"/>
        <v>0</v>
      </c>
    </row>
    <row r="5790" spans="5:23" x14ac:dyDescent="0.25">
      <c r="E5790" s="4"/>
      <c r="F5790" s="4"/>
      <c r="G5790" s="33" t="str">
        <f>IFERROR(VLOOKUP($D5790,'Informations sur les produits'!$A$3:$H$10000,8,FALSE),"0")</f>
        <v>0</v>
      </c>
      <c r="K5790" s="4"/>
      <c r="L5790" s="33" t="str">
        <f>IFERROR(VLOOKUP($J5790,'Informations sur les produits'!$A$3:$H$10000,8,FALSE),"0")</f>
        <v>0</v>
      </c>
      <c r="N5790" s="8"/>
      <c r="O5790" s="33" t="str">
        <f>IFERROR(VLOOKUP($M5790,'Informations sur les produits'!$A$3:$H$10000,8,FALSE),"0")</f>
        <v>0</v>
      </c>
      <c r="P5790" s="33">
        <f t="shared" si="360"/>
        <v>0</v>
      </c>
      <c r="Q5790" s="31" t="str">
        <f t="shared" si="361"/>
        <v/>
      </c>
      <c r="R5790" s="32" t="str">
        <f>IFERROR(VLOOKUP($D5790,'Informations sur les produits'!$A$3:$B$15000,2,FALSE),"")</f>
        <v/>
      </c>
      <c r="V5790">
        <f t="shared" si="362"/>
        <v>0</v>
      </c>
      <c r="W5790">
        <f t="shared" si="363"/>
        <v>0</v>
      </c>
    </row>
    <row r="5791" spans="5:23" x14ac:dyDescent="0.25">
      <c r="E5791" s="4"/>
      <c r="F5791" s="4"/>
      <c r="G5791" s="33" t="str">
        <f>IFERROR(VLOOKUP($D5791,'Informations sur les produits'!$A$3:$H$10000,8,FALSE),"0")</f>
        <v>0</v>
      </c>
      <c r="K5791" s="4"/>
      <c r="L5791" s="33" t="str">
        <f>IFERROR(VLOOKUP($J5791,'Informations sur les produits'!$A$3:$H$10000,8,FALSE),"0")</f>
        <v>0</v>
      </c>
      <c r="N5791" s="8"/>
      <c r="O5791" s="33" t="str">
        <f>IFERROR(VLOOKUP($M5791,'Informations sur les produits'!$A$3:$H$10000,8,FALSE),"0")</f>
        <v>0</v>
      </c>
      <c r="P5791" s="33">
        <f t="shared" si="360"/>
        <v>0</v>
      </c>
      <c r="Q5791" s="31" t="str">
        <f t="shared" si="361"/>
        <v/>
      </c>
      <c r="R5791" s="32" t="str">
        <f>IFERROR(VLOOKUP($D5791,'Informations sur les produits'!$A$3:$B$15000,2,FALSE),"")</f>
        <v/>
      </c>
      <c r="V5791">
        <f t="shared" si="362"/>
        <v>0</v>
      </c>
      <c r="W5791">
        <f t="shared" si="363"/>
        <v>0</v>
      </c>
    </row>
    <row r="5792" spans="5:23" x14ac:dyDescent="0.25">
      <c r="E5792" s="4"/>
      <c r="F5792" s="4"/>
      <c r="G5792" s="33" t="str">
        <f>IFERROR(VLOOKUP($D5792,'Informations sur les produits'!$A$3:$H$10000,8,FALSE),"0")</f>
        <v>0</v>
      </c>
      <c r="K5792" s="4"/>
      <c r="L5792" s="33" t="str">
        <f>IFERROR(VLOOKUP($J5792,'Informations sur les produits'!$A$3:$H$10000,8,FALSE),"0")</f>
        <v>0</v>
      </c>
      <c r="N5792" s="8"/>
      <c r="O5792" s="33" t="str">
        <f>IFERROR(VLOOKUP($M5792,'Informations sur les produits'!$A$3:$H$10000,8,FALSE),"0")</f>
        <v>0</v>
      </c>
      <c r="P5792" s="33">
        <f t="shared" si="360"/>
        <v>0</v>
      </c>
      <c r="Q5792" s="31" t="str">
        <f t="shared" si="361"/>
        <v/>
      </c>
      <c r="R5792" s="32" t="str">
        <f>IFERROR(VLOOKUP($D5792,'Informations sur les produits'!$A$3:$B$15000,2,FALSE),"")</f>
        <v/>
      </c>
      <c r="V5792">
        <f t="shared" si="362"/>
        <v>0</v>
      </c>
      <c r="W5792">
        <f t="shared" si="363"/>
        <v>0</v>
      </c>
    </row>
    <row r="5793" spans="5:23" x14ac:dyDescent="0.25">
      <c r="E5793" s="4"/>
      <c r="F5793" s="4"/>
      <c r="G5793" s="33" t="str">
        <f>IFERROR(VLOOKUP($D5793,'Informations sur les produits'!$A$3:$H$10000,8,FALSE),"0")</f>
        <v>0</v>
      </c>
      <c r="K5793" s="4"/>
      <c r="L5793" s="33" t="str">
        <f>IFERROR(VLOOKUP($J5793,'Informations sur les produits'!$A$3:$H$10000,8,FALSE),"0")</f>
        <v>0</v>
      </c>
      <c r="N5793" s="8"/>
      <c r="O5793" s="33" t="str">
        <f>IFERROR(VLOOKUP($M5793,'Informations sur les produits'!$A$3:$H$10000,8,FALSE),"0")</f>
        <v>0</v>
      </c>
      <c r="P5793" s="33">
        <f t="shared" si="360"/>
        <v>0</v>
      </c>
      <c r="Q5793" s="31" t="str">
        <f t="shared" si="361"/>
        <v/>
      </c>
      <c r="R5793" s="32" t="str">
        <f>IFERROR(VLOOKUP($D5793,'Informations sur les produits'!$A$3:$B$15000,2,FALSE),"")</f>
        <v/>
      </c>
      <c r="V5793">
        <f t="shared" si="362"/>
        <v>0</v>
      </c>
      <c r="W5793">
        <f t="shared" si="363"/>
        <v>0</v>
      </c>
    </row>
    <row r="5794" spans="5:23" x14ac:dyDescent="0.25">
      <c r="E5794" s="4"/>
      <c r="F5794" s="4"/>
      <c r="G5794" s="33" t="str">
        <f>IFERROR(VLOOKUP($D5794,'Informations sur les produits'!$A$3:$H$10000,8,FALSE),"0")</f>
        <v>0</v>
      </c>
      <c r="K5794" s="4"/>
      <c r="L5794" s="33" t="str">
        <f>IFERROR(VLOOKUP($J5794,'Informations sur les produits'!$A$3:$H$10000,8,FALSE),"0")</f>
        <v>0</v>
      </c>
      <c r="N5794" s="8"/>
      <c r="O5794" s="33" t="str">
        <f>IFERROR(VLOOKUP($M5794,'Informations sur les produits'!$A$3:$H$10000,8,FALSE),"0")</f>
        <v>0</v>
      </c>
      <c r="P5794" s="33">
        <f t="shared" si="360"/>
        <v>0</v>
      </c>
      <c r="Q5794" s="31" t="str">
        <f t="shared" si="361"/>
        <v/>
      </c>
      <c r="R5794" s="32" t="str">
        <f>IFERROR(VLOOKUP($D5794,'Informations sur les produits'!$A$3:$B$15000,2,FALSE),"")</f>
        <v/>
      </c>
      <c r="V5794">
        <f t="shared" si="362"/>
        <v>0</v>
      </c>
      <c r="W5794">
        <f t="shared" si="363"/>
        <v>0</v>
      </c>
    </row>
    <row r="5795" spans="5:23" x14ac:dyDescent="0.25">
      <c r="E5795" s="4"/>
      <c r="F5795" s="4"/>
      <c r="G5795" s="33" t="str">
        <f>IFERROR(VLOOKUP($D5795,'Informations sur les produits'!$A$3:$H$10000,8,FALSE),"0")</f>
        <v>0</v>
      </c>
      <c r="K5795" s="4"/>
      <c r="L5795" s="33" t="str">
        <f>IFERROR(VLOOKUP($J5795,'Informations sur les produits'!$A$3:$H$10000,8,FALSE),"0")</f>
        <v>0</v>
      </c>
      <c r="N5795" s="8"/>
      <c r="O5795" s="33" t="str">
        <f>IFERROR(VLOOKUP($M5795,'Informations sur les produits'!$A$3:$H$10000,8,FALSE),"0")</f>
        <v>0</v>
      </c>
      <c r="P5795" s="33">
        <f t="shared" si="360"/>
        <v>0</v>
      </c>
      <c r="Q5795" s="31" t="str">
        <f t="shared" si="361"/>
        <v/>
      </c>
      <c r="R5795" s="32" t="str">
        <f>IFERROR(VLOOKUP($D5795,'Informations sur les produits'!$A$3:$B$15000,2,FALSE),"")</f>
        <v/>
      </c>
      <c r="V5795">
        <f t="shared" si="362"/>
        <v>0</v>
      </c>
      <c r="W5795">
        <f t="shared" si="363"/>
        <v>0</v>
      </c>
    </row>
    <row r="5796" spans="5:23" x14ac:dyDescent="0.25">
      <c r="E5796" s="4"/>
      <c r="F5796" s="4"/>
      <c r="G5796" s="33" t="str">
        <f>IFERROR(VLOOKUP($D5796,'Informations sur les produits'!$A$3:$H$10000,8,FALSE),"0")</f>
        <v>0</v>
      </c>
      <c r="K5796" s="4"/>
      <c r="L5796" s="33" t="str">
        <f>IFERROR(VLOOKUP($J5796,'Informations sur les produits'!$A$3:$H$10000,8,FALSE),"0")</f>
        <v>0</v>
      </c>
      <c r="N5796" s="8"/>
      <c r="O5796" s="33" t="str">
        <f>IFERROR(VLOOKUP($M5796,'Informations sur les produits'!$A$3:$H$10000,8,FALSE),"0")</f>
        <v>0</v>
      </c>
      <c r="P5796" s="33">
        <f t="shared" si="360"/>
        <v>0</v>
      </c>
      <c r="Q5796" s="31" t="str">
        <f t="shared" si="361"/>
        <v/>
      </c>
      <c r="R5796" s="32" t="str">
        <f>IFERROR(VLOOKUP($D5796,'Informations sur les produits'!$A$3:$B$15000,2,FALSE),"")</f>
        <v/>
      </c>
      <c r="V5796">
        <f t="shared" si="362"/>
        <v>0</v>
      </c>
      <c r="W5796">
        <f t="shared" si="363"/>
        <v>0</v>
      </c>
    </row>
    <row r="5797" spans="5:23" x14ac:dyDescent="0.25">
      <c r="E5797" s="4"/>
      <c r="F5797" s="4"/>
      <c r="G5797" s="33" t="str">
        <f>IFERROR(VLOOKUP($D5797,'Informations sur les produits'!$A$3:$H$10000,8,FALSE),"0")</f>
        <v>0</v>
      </c>
      <c r="K5797" s="4"/>
      <c r="L5797" s="33" t="str">
        <f>IFERROR(VLOOKUP($J5797,'Informations sur les produits'!$A$3:$H$10000,8,FALSE),"0")</f>
        <v>0</v>
      </c>
      <c r="N5797" s="8"/>
      <c r="O5797" s="33" t="str">
        <f>IFERROR(VLOOKUP($M5797,'Informations sur les produits'!$A$3:$H$10000,8,FALSE),"0")</f>
        <v>0</v>
      </c>
      <c r="P5797" s="33">
        <f t="shared" si="360"/>
        <v>0</v>
      </c>
      <c r="Q5797" s="31" t="str">
        <f t="shared" si="361"/>
        <v/>
      </c>
      <c r="R5797" s="32" t="str">
        <f>IFERROR(VLOOKUP($D5797,'Informations sur les produits'!$A$3:$B$15000,2,FALSE),"")</f>
        <v/>
      </c>
      <c r="V5797">
        <f t="shared" si="362"/>
        <v>0</v>
      </c>
      <c r="W5797">
        <f t="shared" si="363"/>
        <v>0</v>
      </c>
    </row>
    <row r="5798" spans="5:23" x14ac:dyDescent="0.25">
      <c r="E5798" s="4"/>
      <c r="F5798" s="4"/>
      <c r="G5798" s="33" t="str">
        <f>IFERROR(VLOOKUP($D5798,'Informations sur les produits'!$A$3:$H$10000,8,FALSE),"0")</f>
        <v>0</v>
      </c>
      <c r="K5798" s="4"/>
      <c r="L5798" s="33" t="str">
        <f>IFERROR(VLOOKUP($J5798,'Informations sur les produits'!$A$3:$H$10000,8,FALSE),"0")</f>
        <v>0</v>
      </c>
      <c r="N5798" s="8"/>
      <c r="O5798" s="33" t="str">
        <f>IFERROR(VLOOKUP($M5798,'Informations sur les produits'!$A$3:$H$10000,8,FALSE),"0")</f>
        <v>0</v>
      </c>
      <c r="P5798" s="33">
        <f t="shared" si="360"/>
        <v>0</v>
      </c>
      <c r="Q5798" s="31" t="str">
        <f t="shared" si="361"/>
        <v/>
      </c>
      <c r="R5798" s="32" t="str">
        <f>IFERROR(VLOOKUP($D5798,'Informations sur les produits'!$A$3:$B$15000,2,FALSE),"")</f>
        <v/>
      </c>
      <c r="V5798">
        <f t="shared" si="362"/>
        <v>0</v>
      </c>
      <c r="W5798">
        <f t="shared" si="363"/>
        <v>0</v>
      </c>
    </row>
    <row r="5799" spans="5:23" x14ac:dyDescent="0.25">
      <c r="E5799" s="4"/>
      <c r="F5799" s="4"/>
      <c r="G5799" s="33" t="str">
        <f>IFERROR(VLOOKUP($D5799,'Informations sur les produits'!$A$3:$H$10000,8,FALSE),"0")</f>
        <v>0</v>
      </c>
      <c r="K5799" s="4"/>
      <c r="L5799" s="33" t="str">
        <f>IFERROR(VLOOKUP($J5799,'Informations sur les produits'!$A$3:$H$10000,8,FALSE),"0")</f>
        <v>0</v>
      </c>
      <c r="N5799" s="8"/>
      <c r="O5799" s="33" t="str">
        <f>IFERROR(VLOOKUP($M5799,'Informations sur les produits'!$A$3:$H$10000,8,FALSE),"0")</f>
        <v>0</v>
      </c>
      <c r="P5799" s="33">
        <f t="shared" si="360"/>
        <v>0</v>
      </c>
      <c r="Q5799" s="31" t="str">
        <f t="shared" si="361"/>
        <v/>
      </c>
      <c r="R5799" s="32" t="str">
        <f>IFERROR(VLOOKUP($D5799,'Informations sur les produits'!$A$3:$B$15000,2,FALSE),"")</f>
        <v/>
      </c>
      <c r="V5799">
        <f t="shared" si="362"/>
        <v>0</v>
      </c>
      <c r="W5799">
        <f t="shared" si="363"/>
        <v>0</v>
      </c>
    </row>
    <row r="5800" spans="5:23" x14ac:dyDescent="0.25">
      <c r="E5800" s="4"/>
      <c r="F5800" s="4"/>
      <c r="G5800" s="33" t="str">
        <f>IFERROR(VLOOKUP($D5800,'Informations sur les produits'!$A$3:$H$10000,8,FALSE),"0")</f>
        <v>0</v>
      </c>
      <c r="K5800" s="4"/>
      <c r="L5800" s="33" t="str">
        <f>IFERROR(VLOOKUP($J5800,'Informations sur les produits'!$A$3:$H$10000,8,FALSE),"0")</f>
        <v>0</v>
      </c>
      <c r="N5800" s="8"/>
      <c r="O5800" s="33" t="str">
        <f>IFERROR(VLOOKUP($M5800,'Informations sur les produits'!$A$3:$H$10000,8,FALSE),"0")</f>
        <v>0</v>
      </c>
      <c r="P5800" s="33">
        <f t="shared" si="360"/>
        <v>0</v>
      </c>
      <c r="Q5800" s="31" t="str">
        <f t="shared" si="361"/>
        <v/>
      </c>
      <c r="R5800" s="32" t="str">
        <f>IFERROR(VLOOKUP($D5800,'Informations sur les produits'!$A$3:$B$15000,2,FALSE),"")</f>
        <v/>
      </c>
      <c r="V5800">
        <f t="shared" si="362"/>
        <v>0</v>
      </c>
      <c r="W5800">
        <f t="shared" si="363"/>
        <v>0</v>
      </c>
    </row>
    <row r="5801" spans="5:23" x14ac:dyDescent="0.25">
      <c r="E5801" s="4"/>
      <c r="F5801" s="4"/>
      <c r="G5801" s="33" t="str">
        <f>IFERROR(VLOOKUP($D5801,'Informations sur les produits'!$A$3:$H$10000,8,FALSE),"0")</f>
        <v>0</v>
      </c>
      <c r="K5801" s="4"/>
      <c r="L5801" s="33" t="str">
        <f>IFERROR(VLOOKUP($J5801,'Informations sur les produits'!$A$3:$H$10000,8,FALSE),"0")</f>
        <v>0</v>
      </c>
      <c r="N5801" s="8"/>
      <c r="O5801" s="33" t="str">
        <f>IFERROR(VLOOKUP($M5801,'Informations sur les produits'!$A$3:$H$10000,8,FALSE),"0")</f>
        <v>0</v>
      </c>
      <c r="P5801" s="33">
        <f t="shared" si="360"/>
        <v>0</v>
      </c>
      <c r="Q5801" s="31" t="str">
        <f t="shared" si="361"/>
        <v/>
      </c>
      <c r="R5801" s="32" t="str">
        <f>IFERROR(VLOOKUP($D5801,'Informations sur les produits'!$A$3:$B$15000,2,FALSE),"")</f>
        <v/>
      </c>
      <c r="V5801">
        <f t="shared" si="362"/>
        <v>0</v>
      </c>
      <c r="W5801">
        <f t="shared" si="363"/>
        <v>0</v>
      </c>
    </row>
    <row r="5802" spans="5:23" x14ac:dyDescent="0.25">
      <c r="E5802" s="4"/>
      <c r="F5802" s="4"/>
      <c r="G5802" s="33" t="str">
        <f>IFERROR(VLOOKUP($D5802,'Informations sur les produits'!$A$3:$H$10000,8,FALSE),"0")</f>
        <v>0</v>
      </c>
      <c r="K5802" s="4"/>
      <c r="L5802" s="33" t="str">
        <f>IFERROR(VLOOKUP($J5802,'Informations sur les produits'!$A$3:$H$10000,8,FALSE),"0")</f>
        <v>0</v>
      </c>
      <c r="N5802" s="8"/>
      <c r="O5802" s="33" t="str">
        <f>IFERROR(VLOOKUP($M5802,'Informations sur les produits'!$A$3:$H$10000,8,FALSE),"0")</f>
        <v>0</v>
      </c>
      <c r="P5802" s="33">
        <f t="shared" si="360"/>
        <v>0</v>
      </c>
      <c r="Q5802" s="31" t="str">
        <f t="shared" si="361"/>
        <v/>
      </c>
      <c r="R5802" s="32" t="str">
        <f>IFERROR(VLOOKUP($D5802,'Informations sur les produits'!$A$3:$B$15000,2,FALSE),"")</f>
        <v/>
      </c>
      <c r="V5802">
        <f t="shared" si="362"/>
        <v>0</v>
      </c>
      <c r="W5802">
        <f t="shared" si="363"/>
        <v>0</v>
      </c>
    </row>
    <row r="5803" spans="5:23" x14ac:dyDescent="0.25">
      <c r="E5803" s="4"/>
      <c r="F5803" s="4"/>
      <c r="G5803" s="33" t="str">
        <f>IFERROR(VLOOKUP($D5803,'Informations sur les produits'!$A$3:$H$10000,8,FALSE),"0")</f>
        <v>0</v>
      </c>
      <c r="K5803" s="4"/>
      <c r="L5803" s="33" t="str">
        <f>IFERROR(VLOOKUP($J5803,'Informations sur les produits'!$A$3:$H$10000,8,FALSE),"0")</f>
        <v>0</v>
      </c>
      <c r="N5803" s="8"/>
      <c r="O5803" s="33" t="str">
        <f>IFERROR(VLOOKUP($M5803,'Informations sur les produits'!$A$3:$H$10000,8,FALSE),"0")</f>
        <v>0</v>
      </c>
      <c r="P5803" s="33">
        <f t="shared" si="360"/>
        <v>0</v>
      </c>
      <c r="Q5803" s="31" t="str">
        <f t="shared" si="361"/>
        <v/>
      </c>
      <c r="R5803" s="32" t="str">
        <f>IFERROR(VLOOKUP($D5803,'Informations sur les produits'!$A$3:$B$15000,2,FALSE),"")</f>
        <v/>
      </c>
      <c r="V5803">
        <f t="shared" si="362"/>
        <v>0</v>
      </c>
      <c r="W5803">
        <f t="shared" si="363"/>
        <v>0</v>
      </c>
    </row>
    <row r="5804" spans="5:23" x14ac:dyDescent="0.25">
      <c r="E5804" s="4"/>
      <c r="F5804" s="4"/>
      <c r="G5804" s="33" t="str">
        <f>IFERROR(VLOOKUP($D5804,'Informations sur les produits'!$A$3:$H$10000,8,FALSE),"0")</f>
        <v>0</v>
      </c>
      <c r="K5804" s="4"/>
      <c r="L5804" s="33" t="str">
        <f>IFERROR(VLOOKUP($J5804,'Informations sur les produits'!$A$3:$H$10000,8,FALSE),"0")</f>
        <v>0</v>
      </c>
      <c r="N5804" s="8"/>
      <c r="O5804" s="33" t="str">
        <f>IFERROR(VLOOKUP($M5804,'Informations sur les produits'!$A$3:$H$10000,8,FALSE),"0")</f>
        <v>0</v>
      </c>
      <c r="P5804" s="33">
        <f t="shared" si="360"/>
        <v>0</v>
      </c>
      <c r="Q5804" s="31" t="str">
        <f t="shared" si="361"/>
        <v/>
      </c>
      <c r="R5804" s="32" t="str">
        <f>IFERROR(VLOOKUP($D5804,'Informations sur les produits'!$A$3:$B$15000,2,FALSE),"")</f>
        <v/>
      </c>
      <c r="V5804">
        <f t="shared" si="362"/>
        <v>0</v>
      </c>
      <c r="W5804">
        <f t="shared" si="363"/>
        <v>0</v>
      </c>
    </row>
    <row r="5805" spans="5:23" x14ac:dyDescent="0.25">
      <c r="E5805" s="4"/>
      <c r="F5805" s="4"/>
      <c r="G5805" s="33" t="str">
        <f>IFERROR(VLOOKUP($D5805,'Informations sur les produits'!$A$3:$H$10000,8,FALSE),"0")</f>
        <v>0</v>
      </c>
      <c r="K5805" s="4"/>
      <c r="L5805" s="33" t="str">
        <f>IFERROR(VLOOKUP($J5805,'Informations sur les produits'!$A$3:$H$10000,8,FALSE),"0")</f>
        <v>0</v>
      </c>
      <c r="N5805" s="8"/>
      <c r="O5805" s="33" t="str">
        <f>IFERROR(VLOOKUP($M5805,'Informations sur les produits'!$A$3:$H$10000,8,FALSE),"0")</f>
        <v>0</v>
      </c>
      <c r="P5805" s="33">
        <f t="shared" si="360"/>
        <v>0</v>
      </c>
      <c r="Q5805" s="31" t="str">
        <f t="shared" si="361"/>
        <v/>
      </c>
      <c r="R5805" s="32" t="str">
        <f>IFERROR(VLOOKUP($D5805,'Informations sur les produits'!$A$3:$B$15000,2,FALSE),"")</f>
        <v/>
      </c>
      <c r="V5805">
        <f t="shared" si="362"/>
        <v>0</v>
      </c>
      <c r="W5805">
        <f t="shared" si="363"/>
        <v>0</v>
      </c>
    </row>
    <row r="5806" spans="5:23" x14ac:dyDescent="0.25">
      <c r="E5806" s="4"/>
      <c r="F5806" s="4"/>
      <c r="G5806" s="33" t="str">
        <f>IFERROR(VLOOKUP($D5806,'Informations sur les produits'!$A$3:$H$10000,8,FALSE),"0")</f>
        <v>0</v>
      </c>
      <c r="K5806" s="4"/>
      <c r="L5806" s="33" t="str">
        <f>IFERROR(VLOOKUP($J5806,'Informations sur les produits'!$A$3:$H$10000,8,FALSE),"0")</f>
        <v>0</v>
      </c>
      <c r="N5806" s="8"/>
      <c r="O5806" s="33" t="str">
        <f>IFERROR(VLOOKUP($M5806,'Informations sur les produits'!$A$3:$H$10000,8,FALSE),"0")</f>
        <v>0</v>
      </c>
      <c r="P5806" s="33">
        <f t="shared" si="360"/>
        <v>0</v>
      </c>
      <c r="Q5806" s="31" t="str">
        <f t="shared" si="361"/>
        <v/>
      </c>
      <c r="R5806" s="32" t="str">
        <f>IFERROR(VLOOKUP($D5806,'Informations sur les produits'!$A$3:$B$15000,2,FALSE),"")</f>
        <v/>
      </c>
      <c r="V5806">
        <f t="shared" si="362"/>
        <v>0</v>
      </c>
      <c r="W5806">
        <f t="shared" si="363"/>
        <v>0</v>
      </c>
    </row>
    <row r="5807" spans="5:23" x14ac:dyDescent="0.25">
      <c r="E5807" s="4"/>
      <c r="F5807" s="4"/>
      <c r="G5807" s="33" t="str">
        <f>IFERROR(VLOOKUP($D5807,'Informations sur les produits'!$A$3:$H$10000,8,FALSE),"0")</f>
        <v>0</v>
      </c>
      <c r="K5807" s="4"/>
      <c r="L5807" s="33" t="str">
        <f>IFERROR(VLOOKUP($J5807,'Informations sur les produits'!$A$3:$H$10000,8,FALSE),"0")</f>
        <v>0</v>
      </c>
      <c r="N5807" s="8"/>
      <c r="O5807" s="33" t="str">
        <f>IFERROR(VLOOKUP($M5807,'Informations sur les produits'!$A$3:$H$10000,8,FALSE),"0")</f>
        <v>0</v>
      </c>
      <c r="P5807" s="33">
        <f t="shared" si="360"/>
        <v>0</v>
      </c>
      <c r="Q5807" s="31" t="str">
        <f t="shared" si="361"/>
        <v/>
      </c>
      <c r="R5807" s="32" t="str">
        <f>IFERROR(VLOOKUP($D5807,'Informations sur les produits'!$A$3:$B$15000,2,FALSE),"")</f>
        <v/>
      </c>
      <c r="V5807">
        <f t="shared" si="362"/>
        <v>0</v>
      </c>
      <c r="W5807">
        <f t="shared" si="363"/>
        <v>0</v>
      </c>
    </row>
    <row r="5808" spans="5:23" x14ac:dyDescent="0.25">
      <c r="E5808" s="4"/>
      <c r="F5808" s="4"/>
      <c r="G5808" s="33" t="str">
        <f>IFERROR(VLOOKUP($D5808,'Informations sur les produits'!$A$3:$H$10000,8,FALSE),"0")</f>
        <v>0</v>
      </c>
      <c r="K5808" s="4"/>
      <c r="L5808" s="33" t="str">
        <f>IFERROR(VLOOKUP($J5808,'Informations sur les produits'!$A$3:$H$10000,8,FALSE),"0")</f>
        <v>0</v>
      </c>
      <c r="N5808" s="8"/>
      <c r="O5808" s="33" t="str">
        <f>IFERROR(VLOOKUP($M5808,'Informations sur les produits'!$A$3:$H$10000,8,FALSE),"0")</f>
        <v>0</v>
      </c>
      <c r="P5808" s="33">
        <f t="shared" si="360"/>
        <v>0</v>
      </c>
      <c r="Q5808" s="31" t="str">
        <f t="shared" si="361"/>
        <v/>
      </c>
      <c r="R5808" s="32" t="str">
        <f>IFERROR(VLOOKUP($D5808,'Informations sur les produits'!$A$3:$B$15000,2,FALSE),"")</f>
        <v/>
      </c>
      <c r="V5808">
        <f t="shared" si="362"/>
        <v>0</v>
      </c>
      <c r="W5808">
        <f t="shared" si="363"/>
        <v>0</v>
      </c>
    </row>
    <row r="5809" spans="5:23" x14ac:dyDescent="0.25">
      <c r="E5809" s="4"/>
      <c r="F5809" s="4"/>
      <c r="G5809" s="33" t="str">
        <f>IFERROR(VLOOKUP($D5809,'Informations sur les produits'!$A$3:$H$10000,8,FALSE),"0")</f>
        <v>0</v>
      </c>
      <c r="K5809" s="4"/>
      <c r="L5809" s="33" t="str">
        <f>IFERROR(VLOOKUP($J5809,'Informations sur les produits'!$A$3:$H$10000,8,FALSE),"0")</f>
        <v>0</v>
      </c>
      <c r="N5809" s="8"/>
      <c r="O5809" s="33" t="str">
        <f>IFERROR(VLOOKUP($M5809,'Informations sur les produits'!$A$3:$H$10000,8,FALSE),"0")</f>
        <v>0</v>
      </c>
      <c r="P5809" s="33">
        <f t="shared" si="360"/>
        <v>0</v>
      </c>
      <c r="Q5809" s="31" t="str">
        <f t="shared" si="361"/>
        <v/>
      </c>
      <c r="R5809" s="32" t="str">
        <f>IFERROR(VLOOKUP($D5809,'Informations sur les produits'!$A$3:$B$15000,2,FALSE),"")</f>
        <v/>
      </c>
      <c r="V5809">
        <f t="shared" si="362"/>
        <v>0</v>
      </c>
      <c r="W5809">
        <f t="shared" si="363"/>
        <v>0</v>
      </c>
    </row>
    <row r="5810" spans="5:23" x14ac:dyDescent="0.25">
      <c r="E5810" s="4"/>
      <c r="F5810" s="4"/>
      <c r="G5810" s="33" t="str">
        <f>IFERROR(VLOOKUP($D5810,'Informations sur les produits'!$A$3:$H$10000,8,FALSE),"0")</f>
        <v>0</v>
      </c>
      <c r="K5810" s="4"/>
      <c r="L5810" s="33" t="str">
        <f>IFERROR(VLOOKUP($J5810,'Informations sur les produits'!$A$3:$H$10000,8,FALSE),"0")</f>
        <v>0</v>
      </c>
      <c r="N5810" s="8"/>
      <c r="O5810" s="33" t="str">
        <f>IFERROR(VLOOKUP($M5810,'Informations sur les produits'!$A$3:$H$10000,8,FALSE),"0")</f>
        <v>0</v>
      </c>
      <c r="P5810" s="33">
        <f t="shared" si="360"/>
        <v>0</v>
      </c>
      <c r="Q5810" s="31" t="str">
        <f t="shared" si="361"/>
        <v/>
      </c>
      <c r="R5810" s="32" t="str">
        <f>IFERROR(VLOOKUP($D5810,'Informations sur les produits'!$A$3:$B$15000,2,FALSE),"")</f>
        <v/>
      </c>
      <c r="V5810">
        <f t="shared" si="362"/>
        <v>0</v>
      </c>
      <c r="W5810">
        <f t="shared" si="363"/>
        <v>0</v>
      </c>
    </row>
    <row r="5811" spans="5:23" x14ac:dyDescent="0.25">
      <c r="E5811" s="4"/>
      <c r="F5811" s="4"/>
      <c r="G5811" s="33" t="str">
        <f>IFERROR(VLOOKUP($D5811,'Informations sur les produits'!$A$3:$H$10000,8,FALSE),"0")</f>
        <v>0</v>
      </c>
      <c r="K5811" s="4"/>
      <c r="L5811" s="33" t="str">
        <f>IFERROR(VLOOKUP($J5811,'Informations sur les produits'!$A$3:$H$10000,8,FALSE),"0")</f>
        <v>0</v>
      </c>
      <c r="N5811" s="8"/>
      <c r="O5811" s="33" t="str">
        <f>IFERROR(VLOOKUP($M5811,'Informations sur les produits'!$A$3:$H$10000,8,FALSE),"0")</f>
        <v>0</v>
      </c>
      <c r="P5811" s="33">
        <f t="shared" si="360"/>
        <v>0</v>
      </c>
      <c r="Q5811" s="31" t="str">
        <f t="shared" si="361"/>
        <v/>
      </c>
      <c r="R5811" s="32" t="str">
        <f>IFERROR(VLOOKUP($D5811,'Informations sur les produits'!$A$3:$B$15000,2,FALSE),"")</f>
        <v/>
      </c>
      <c r="V5811">
        <f t="shared" si="362"/>
        <v>0</v>
      </c>
      <c r="W5811">
        <f t="shared" si="363"/>
        <v>0</v>
      </c>
    </row>
    <row r="5812" spans="5:23" x14ac:dyDescent="0.25">
      <c r="E5812" s="4"/>
      <c r="F5812" s="4"/>
      <c r="G5812" s="33" t="str">
        <f>IFERROR(VLOOKUP($D5812,'Informations sur les produits'!$A$3:$H$10000,8,FALSE),"0")</f>
        <v>0</v>
      </c>
      <c r="K5812" s="4"/>
      <c r="L5812" s="33" t="str">
        <f>IFERROR(VLOOKUP($J5812,'Informations sur les produits'!$A$3:$H$10000,8,FALSE),"0")</f>
        <v>0</v>
      </c>
      <c r="N5812" s="8"/>
      <c r="O5812" s="33" t="str">
        <f>IFERROR(VLOOKUP($M5812,'Informations sur les produits'!$A$3:$H$10000,8,FALSE),"0")</f>
        <v>0</v>
      </c>
      <c r="P5812" s="33">
        <f t="shared" si="360"/>
        <v>0</v>
      </c>
      <c r="Q5812" s="31" t="str">
        <f t="shared" si="361"/>
        <v/>
      </c>
      <c r="R5812" s="32" t="str">
        <f>IFERROR(VLOOKUP($D5812,'Informations sur les produits'!$A$3:$B$15000,2,FALSE),"")</f>
        <v/>
      </c>
      <c r="V5812">
        <f t="shared" si="362"/>
        <v>0</v>
      </c>
      <c r="W5812">
        <f t="shared" si="363"/>
        <v>0</v>
      </c>
    </row>
    <row r="5813" spans="5:23" x14ac:dyDescent="0.25">
      <c r="E5813" s="4"/>
      <c r="F5813" s="4"/>
      <c r="G5813" s="33" t="str">
        <f>IFERROR(VLOOKUP($D5813,'Informations sur les produits'!$A$3:$H$10000,8,FALSE),"0")</f>
        <v>0</v>
      </c>
      <c r="K5813" s="4"/>
      <c r="L5813" s="33" t="str">
        <f>IFERROR(VLOOKUP($J5813,'Informations sur les produits'!$A$3:$H$10000,8,FALSE),"0")</f>
        <v>0</v>
      </c>
      <c r="N5813" s="8"/>
      <c r="O5813" s="33" t="str">
        <f>IFERROR(VLOOKUP($M5813,'Informations sur les produits'!$A$3:$H$10000,8,FALSE),"0")</f>
        <v>0</v>
      </c>
      <c r="P5813" s="33">
        <f t="shared" si="360"/>
        <v>0</v>
      </c>
      <c r="Q5813" s="31" t="str">
        <f t="shared" si="361"/>
        <v/>
      </c>
      <c r="R5813" s="32" t="str">
        <f>IFERROR(VLOOKUP($D5813,'Informations sur les produits'!$A$3:$B$15000,2,FALSE),"")</f>
        <v/>
      </c>
      <c r="V5813">
        <f t="shared" si="362"/>
        <v>0</v>
      </c>
      <c r="W5813">
        <f t="shared" si="363"/>
        <v>0</v>
      </c>
    </row>
    <row r="5814" spans="5:23" x14ac:dyDescent="0.25">
      <c r="E5814" s="4"/>
      <c r="F5814" s="4"/>
      <c r="G5814" s="33" t="str">
        <f>IFERROR(VLOOKUP($D5814,'Informations sur les produits'!$A$3:$H$10000,8,FALSE),"0")</f>
        <v>0</v>
      </c>
      <c r="K5814" s="4"/>
      <c r="L5814" s="33" t="str">
        <f>IFERROR(VLOOKUP($J5814,'Informations sur les produits'!$A$3:$H$10000,8,FALSE),"0")</f>
        <v>0</v>
      </c>
      <c r="N5814" s="8"/>
      <c r="O5814" s="33" t="str">
        <f>IFERROR(VLOOKUP($M5814,'Informations sur les produits'!$A$3:$H$10000,8,FALSE),"0")</f>
        <v>0</v>
      </c>
      <c r="P5814" s="33">
        <f t="shared" si="360"/>
        <v>0</v>
      </c>
      <c r="Q5814" s="31" t="str">
        <f t="shared" si="361"/>
        <v/>
      </c>
      <c r="R5814" s="32" t="str">
        <f>IFERROR(VLOOKUP($D5814,'Informations sur les produits'!$A$3:$B$15000,2,FALSE),"")</f>
        <v/>
      </c>
      <c r="V5814">
        <f t="shared" si="362"/>
        <v>0</v>
      </c>
      <c r="W5814">
        <f t="shared" si="363"/>
        <v>0</v>
      </c>
    </row>
    <row r="5815" spans="5:23" x14ac:dyDescent="0.25">
      <c r="E5815" s="4"/>
      <c r="F5815" s="4"/>
      <c r="G5815" s="33" t="str">
        <f>IFERROR(VLOOKUP($D5815,'Informations sur les produits'!$A$3:$H$10000,8,FALSE),"0")</f>
        <v>0</v>
      </c>
      <c r="K5815" s="4"/>
      <c r="L5815" s="33" t="str">
        <f>IFERROR(VLOOKUP($J5815,'Informations sur les produits'!$A$3:$H$10000,8,FALSE),"0")</f>
        <v>0</v>
      </c>
      <c r="N5815" s="8"/>
      <c r="O5815" s="33" t="str">
        <f>IFERROR(VLOOKUP($M5815,'Informations sur les produits'!$A$3:$H$10000,8,FALSE),"0")</f>
        <v>0</v>
      </c>
      <c r="P5815" s="33">
        <f t="shared" si="360"/>
        <v>0</v>
      </c>
      <c r="Q5815" s="31" t="str">
        <f t="shared" si="361"/>
        <v/>
      </c>
      <c r="R5815" s="32" t="str">
        <f>IFERROR(VLOOKUP($D5815,'Informations sur les produits'!$A$3:$B$15000,2,FALSE),"")</f>
        <v/>
      </c>
      <c r="V5815">
        <f t="shared" si="362"/>
        <v>0</v>
      </c>
      <c r="W5815">
        <f t="shared" si="363"/>
        <v>0</v>
      </c>
    </row>
    <row r="5816" spans="5:23" x14ac:dyDescent="0.25">
      <c r="E5816" s="4"/>
      <c r="F5816" s="4"/>
      <c r="G5816" s="33" t="str">
        <f>IFERROR(VLOOKUP($D5816,'Informations sur les produits'!$A$3:$H$10000,8,FALSE),"0")</f>
        <v>0</v>
      </c>
      <c r="K5816" s="4"/>
      <c r="L5816" s="33" t="str">
        <f>IFERROR(VLOOKUP($J5816,'Informations sur les produits'!$A$3:$H$10000,8,FALSE),"0")</f>
        <v>0</v>
      </c>
      <c r="N5816" s="8"/>
      <c r="O5816" s="33" t="str">
        <f>IFERROR(VLOOKUP($M5816,'Informations sur les produits'!$A$3:$H$10000,8,FALSE),"0")</f>
        <v>0</v>
      </c>
      <c r="P5816" s="33">
        <f t="shared" si="360"/>
        <v>0</v>
      </c>
      <c r="Q5816" s="31" t="str">
        <f t="shared" si="361"/>
        <v/>
      </c>
      <c r="R5816" s="32" t="str">
        <f>IFERROR(VLOOKUP($D5816,'Informations sur les produits'!$A$3:$B$15000,2,FALSE),"")</f>
        <v/>
      </c>
      <c r="V5816">
        <f t="shared" si="362"/>
        <v>0</v>
      </c>
      <c r="W5816">
        <f t="shared" si="363"/>
        <v>0</v>
      </c>
    </row>
    <row r="5817" spans="5:23" x14ac:dyDescent="0.25">
      <c r="E5817" s="4"/>
      <c r="F5817" s="4"/>
      <c r="G5817" s="33" t="str">
        <f>IFERROR(VLOOKUP($D5817,'Informations sur les produits'!$A$3:$H$10000,8,FALSE),"0")</f>
        <v>0</v>
      </c>
      <c r="K5817" s="4"/>
      <c r="L5817" s="33" t="str">
        <f>IFERROR(VLOOKUP($J5817,'Informations sur les produits'!$A$3:$H$10000,8,FALSE),"0")</f>
        <v>0</v>
      </c>
      <c r="N5817" s="8"/>
      <c r="O5817" s="33" t="str">
        <f>IFERROR(VLOOKUP($M5817,'Informations sur les produits'!$A$3:$H$10000,8,FALSE),"0")</f>
        <v>0</v>
      </c>
      <c r="P5817" s="33">
        <f t="shared" si="360"/>
        <v>0</v>
      </c>
      <c r="Q5817" s="31" t="str">
        <f t="shared" si="361"/>
        <v/>
      </c>
      <c r="R5817" s="32" t="str">
        <f>IFERROR(VLOOKUP($D5817,'Informations sur les produits'!$A$3:$B$15000,2,FALSE),"")</f>
        <v/>
      </c>
      <c r="V5817">
        <f t="shared" si="362"/>
        <v>0</v>
      </c>
      <c r="W5817">
        <f t="shared" si="363"/>
        <v>0</v>
      </c>
    </row>
    <row r="5818" spans="5:23" x14ac:dyDescent="0.25">
      <c r="E5818" s="4"/>
      <c r="F5818" s="4"/>
      <c r="G5818" s="33" t="str">
        <f>IFERROR(VLOOKUP($D5818,'Informations sur les produits'!$A$3:$H$10000,8,FALSE),"0")</f>
        <v>0</v>
      </c>
      <c r="K5818" s="4"/>
      <c r="L5818" s="33" t="str">
        <f>IFERROR(VLOOKUP($J5818,'Informations sur les produits'!$A$3:$H$10000,8,FALSE),"0")</f>
        <v>0</v>
      </c>
      <c r="N5818" s="8"/>
      <c r="O5818" s="33" t="str">
        <f>IFERROR(VLOOKUP($M5818,'Informations sur les produits'!$A$3:$H$10000,8,FALSE),"0")</f>
        <v>0</v>
      </c>
      <c r="P5818" s="33">
        <f t="shared" si="360"/>
        <v>0</v>
      </c>
      <c r="Q5818" s="31" t="str">
        <f t="shared" si="361"/>
        <v/>
      </c>
      <c r="R5818" s="32" t="str">
        <f>IFERROR(VLOOKUP($D5818,'Informations sur les produits'!$A$3:$B$15000,2,FALSE),"")</f>
        <v/>
      </c>
      <c r="V5818">
        <f t="shared" si="362"/>
        <v>0</v>
      </c>
      <c r="W5818">
        <f t="shared" si="363"/>
        <v>0</v>
      </c>
    </row>
    <row r="5819" spans="5:23" x14ac:dyDescent="0.25">
      <c r="E5819" s="4"/>
      <c r="F5819" s="4"/>
      <c r="G5819" s="33" t="str">
        <f>IFERROR(VLOOKUP($D5819,'Informations sur les produits'!$A$3:$H$10000,8,FALSE),"0")</f>
        <v>0</v>
      </c>
      <c r="K5819" s="4"/>
      <c r="L5819" s="33" t="str">
        <f>IFERROR(VLOOKUP($J5819,'Informations sur les produits'!$A$3:$H$10000,8,FALSE),"0")</f>
        <v>0</v>
      </c>
      <c r="N5819" s="8"/>
      <c r="O5819" s="33" t="str">
        <f>IFERROR(VLOOKUP($M5819,'Informations sur les produits'!$A$3:$H$10000,8,FALSE),"0")</f>
        <v>0</v>
      </c>
      <c r="P5819" s="33">
        <f t="shared" si="360"/>
        <v>0</v>
      </c>
      <c r="Q5819" s="31" t="str">
        <f t="shared" si="361"/>
        <v/>
      </c>
      <c r="R5819" s="32" t="str">
        <f>IFERROR(VLOOKUP($D5819,'Informations sur les produits'!$A$3:$B$15000,2,FALSE),"")</f>
        <v/>
      </c>
      <c r="V5819">
        <f t="shared" si="362"/>
        <v>0</v>
      </c>
      <c r="W5819">
        <f t="shared" si="363"/>
        <v>0</v>
      </c>
    </row>
    <row r="5820" spans="5:23" x14ac:dyDescent="0.25">
      <c r="E5820" s="4"/>
      <c r="F5820" s="4"/>
      <c r="G5820" s="33" t="str">
        <f>IFERROR(VLOOKUP($D5820,'Informations sur les produits'!$A$3:$H$10000,8,FALSE),"0")</f>
        <v>0</v>
      </c>
      <c r="K5820" s="4"/>
      <c r="L5820" s="33" t="str">
        <f>IFERROR(VLOOKUP($J5820,'Informations sur les produits'!$A$3:$H$10000,8,FALSE),"0")</f>
        <v>0</v>
      </c>
      <c r="N5820" s="8"/>
      <c r="O5820" s="33" t="str">
        <f>IFERROR(VLOOKUP($M5820,'Informations sur les produits'!$A$3:$H$10000,8,FALSE),"0")</f>
        <v>0</v>
      </c>
      <c r="P5820" s="33">
        <f t="shared" si="360"/>
        <v>0</v>
      </c>
      <c r="Q5820" s="31" t="str">
        <f t="shared" si="361"/>
        <v/>
      </c>
      <c r="R5820" s="32" t="str">
        <f>IFERROR(VLOOKUP($D5820,'Informations sur les produits'!$A$3:$B$15000,2,FALSE),"")</f>
        <v/>
      </c>
      <c r="V5820">
        <f t="shared" si="362"/>
        <v>0</v>
      </c>
      <c r="W5820">
        <f t="shared" si="363"/>
        <v>0</v>
      </c>
    </row>
    <row r="5821" spans="5:23" x14ac:dyDescent="0.25">
      <c r="E5821" s="4"/>
      <c r="F5821" s="4"/>
      <c r="G5821" s="33" t="str">
        <f>IFERROR(VLOOKUP($D5821,'Informations sur les produits'!$A$3:$H$10000,8,FALSE),"0")</f>
        <v>0</v>
      </c>
      <c r="K5821" s="4"/>
      <c r="L5821" s="33" t="str">
        <f>IFERROR(VLOOKUP($J5821,'Informations sur les produits'!$A$3:$H$10000,8,FALSE),"0")</f>
        <v>0</v>
      </c>
      <c r="N5821" s="8"/>
      <c r="O5821" s="33" t="str">
        <f>IFERROR(VLOOKUP($M5821,'Informations sur les produits'!$A$3:$H$10000,8,FALSE),"0")</f>
        <v>0</v>
      </c>
      <c r="P5821" s="33">
        <f t="shared" si="360"/>
        <v>0</v>
      </c>
      <c r="Q5821" s="31" t="str">
        <f t="shared" si="361"/>
        <v/>
      </c>
      <c r="R5821" s="32" t="str">
        <f>IFERROR(VLOOKUP($D5821,'Informations sur les produits'!$A$3:$B$15000,2,FALSE),"")</f>
        <v/>
      </c>
      <c r="V5821">
        <f t="shared" si="362"/>
        <v>0</v>
      </c>
      <c r="W5821">
        <f t="shared" si="363"/>
        <v>0</v>
      </c>
    </row>
    <row r="5822" spans="5:23" x14ac:dyDescent="0.25">
      <c r="E5822" s="4"/>
      <c r="F5822" s="4"/>
      <c r="G5822" s="33" t="str">
        <f>IFERROR(VLOOKUP($D5822,'Informations sur les produits'!$A$3:$H$10000,8,FALSE),"0")</f>
        <v>0</v>
      </c>
      <c r="K5822" s="4"/>
      <c r="L5822" s="33" t="str">
        <f>IFERROR(VLOOKUP($J5822,'Informations sur les produits'!$A$3:$H$10000,8,FALSE),"0")</f>
        <v>0</v>
      </c>
      <c r="N5822" s="8"/>
      <c r="O5822" s="33" t="str">
        <f>IFERROR(VLOOKUP($M5822,'Informations sur les produits'!$A$3:$H$10000,8,FALSE),"0")</f>
        <v>0</v>
      </c>
      <c r="P5822" s="33">
        <f t="shared" si="360"/>
        <v>0</v>
      </c>
      <c r="Q5822" s="31" t="str">
        <f t="shared" si="361"/>
        <v/>
      </c>
      <c r="R5822" s="32" t="str">
        <f>IFERROR(VLOOKUP($D5822,'Informations sur les produits'!$A$3:$B$15000,2,FALSE),"")</f>
        <v/>
      </c>
      <c r="V5822">
        <f t="shared" si="362"/>
        <v>0</v>
      </c>
      <c r="W5822">
        <f t="shared" si="363"/>
        <v>0</v>
      </c>
    </row>
    <row r="5823" spans="5:23" x14ac:dyDescent="0.25">
      <c r="E5823" s="4"/>
      <c r="F5823" s="4"/>
      <c r="G5823" s="33" t="str">
        <f>IFERROR(VLOOKUP($D5823,'Informations sur les produits'!$A$3:$H$10000,8,FALSE),"0")</f>
        <v>0</v>
      </c>
      <c r="K5823" s="4"/>
      <c r="L5823" s="33" t="str">
        <f>IFERROR(VLOOKUP($J5823,'Informations sur les produits'!$A$3:$H$10000,8,FALSE),"0")</f>
        <v>0</v>
      </c>
      <c r="N5823" s="8"/>
      <c r="O5823" s="33" t="str">
        <f>IFERROR(VLOOKUP($M5823,'Informations sur les produits'!$A$3:$H$10000,8,FALSE),"0")</f>
        <v>0</v>
      </c>
      <c r="P5823" s="33">
        <f t="shared" si="360"/>
        <v>0</v>
      </c>
      <c r="Q5823" s="31" t="str">
        <f t="shared" si="361"/>
        <v/>
      </c>
      <c r="R5823" s="32" t="str">
        <f>IFERROR(VLOOKUP($D5823,'Informations sur les produits'!$A$3:$B$15000,2,FALSE),"")</f>
        <v/>
      </c>
      <c r="V5823">
        <f t="shared" si="362"/>
        <v>0</v>
      </c>
      <c r="W5823">
        <f t="shared" si="363"/>
        <v>0</v>
      </c>
    </row>
    <row r="5824" spans="5:23" x14ac:dyDescent="0.25">
      <c r="E5824" s="4"/>
      <c r="F5824" s="4"/>
      <c r="G5824" s="33" t="str">
        <f>IFERROR(VLOOKUP($D5824,'Informations sur les produits'!$A$3:$H$10000,8,FALSE),"0")</f>
        <v>0</v>
      </c>
      <c r="K5824" s="4"/>
      <c r="L5824" s="33" t="str">
        <f>IFERROR(VLOOKUP($J5824,'Informations sur les produits'!$A$3:$H$10000,8,FALSE),"0")</f>
        <v>0</v>
      </c>
      <c r="N5824" s="8"/>
      <c r="O5824" s="33" t="str">
        <f>IFERROR(VLOOKUP($M5824,'Informations sur les produits'!$A$3:$H$10000,8,FALSE),"0")</f>
        <v>0</v>
      </c>
      <c r="P5824" s="33">
        <f t="shared" si="360"/>
        <v>0</v>
      </c>
      <c r="Q5824" s="31" t="str">
        <f t="shared" si="361"/>
        <v/>
      </c>
      <c r="R5824" s="32" t="str">
        <f>IFERROR(VLOOKUP($D5824,'Informations sur les produits'!$A$3:$B$15000,2,FALSE),"")</f>
        <v/>
      </c>
      <c r="V5824">
        <f t="shared" si="362"/>
        <v>0</v>
      </c>
      <c r="W5824">
        <f t="shared" si="363"/>
        <v>0</v>
      </c>
    </row>
    <row r="5825" spans="5:23" x14ac:dyDescent="0.25">
      <c r="E5825" s="4"/>
      <c r="F5825" s="4"/>
      <c r="G5825" s="33" t="str">
        <f>IFERROR(VLOOKUP($D5825,'Informations sur les produits'!$A$3:$H$10000,8,FALSE),"0")</f>
        <v>0</v>
      </c>
      <c r="K5825" s="4"/>
      <c r="L5825" s="33" t="str">
        <f>IFERROR(VLOOKUP($J5825,'Informations sur les produits'!$A$3:$H$10000,8,FALSE),"0")</f>
        <v>0</v>
      </c>
      <c r="N5825" s="8"/>
      <c r="O5825" s="33" t="str">
        <f>IFERROR(VLOOKUP($M5825,'Informations sur les produits'!$A$3:$H$10000,8,FALSE),"0")</f>
        <v>0</v>
      </c>
      <c r="P5825" s="33">
        <f t="shared" si="360"/>
        <v>0</v>
      </c>
      <c r="Q5825" s="31" t="str">
        <f t="shared" si="361"/>
        <v/>
      </c>
      <c r="R5825" s="32" t="str">
        <f>IFERROR(VLOOKUP($D5825,'Informations sur les produits'!$A$3:$B$15000,2,FALSE),"")</f>
        <v/>
      </c>
      <c r="V5825">
        <f t="shared" si="362"/>
        <v>0</v>
      </c>
      <c r="W5825">
        <f t="shared" si="363"/>
        <v>0</v>
      </c>
    </row>
    <row r="5826" spans="5:23" x14ac:dyDescent="0.25">
      <c r="E5826" s="4"/>
      <c r="F5826" s="4"/>
      <c r="G5826" s="33" t="str">
        <f>IFERROR(VLOOKUP($D5826,'Informations sur les produits'!$A$3:$H$10000,8,FALSE),"0")</f>
        <v>0</v>
      </c>
      <c r="K5826" s="4"/>
      <c r="L5826" s="33" t="str">
        <f>IFERROR(VLOOKUP($J5826,'Informations sur les produits'!$A$3:$H$10000,8,FALSE),"0")</f>
        <v>0</v>
      </c>
      <c r="N5826" s="8"/>
      <c r="O5826" s="33" t="str">
        <f>IFERROR(VLOOKUP($M5826,'Informations sur les produits'!$A$3:$H$10000,8,FALSE),"0")</f>
        <v>0</v>
      </c>
      <c r="P5826" s="33">
        <f t="shared" si="360"/>
        <v>0</v>
      </c>
      <c r="Q5826" s="31" t="str">
        <f t="shared" si="361"/>
        <v/>
      </c>
      <c r="R5826" s="32" t="str">
        <f>IFERROR(VLOOKUP($D5826,'Informations sur les produits'!$A$3:$B$15000,2,FALSE),"")</f>
        <v/>
      </c>
      <c r="V5826">
        <f t="shared" si="362"/>
        <v>0</v>
      </c>
      <c r="W5826">
        <f t="shared" si="363"/>
        <v>0</v>
      </c>
    </row>
    <row r="5827" spans="5:23" x14ac:dyDescent="0.25">
      <c r="E5827" s="4"/>
      <c r="F5827" s="4"/>
      <c r="G5827" s="33" t="str">
        <f>IFERROR(VLOOKUP($D5827,'Informations sur les produits'!$A$3:$H$10000,8,FALSE),"0")</f>
        <v>0</v>
      </c>
      <c r="K5827" s="4"/>
      <c r="L5827" s="33" t="str">
        <f>IFERROR(VLOOKUP($J5827,'Informations sur les produits'!$A$3:$H$10000,8,FALSE),"0")</f>
        <v>0</v>
      </c>
      <c r="N5827" s="8"/>
      <c r="O5827" s="33" t="str">
        <f>IFERROR(VLOOKUP($M5827,'Informations sur les produits'!$A$3:$H$10000,8,FALSE),"0")</f>
        <v>0</v>
      </c>
      <c r="P5827" s="33">
        <f t="shared" si="360"/>
        <v>0</v>
      </c>
      <c r="Q5827" s="31" t="str">
        <f t="shared" si="361"/>
        <v/>
      </c>
      <c r="R5827" s="32" t="str">
        <f>IFERROR(VLOOKUP($D5827,'Informations sur les produits'!$A$3:$B$15000,2,FALSE),"")</f>
        <v/>
      </c>
      <c r="V5827">
        <f t="shared" si="362"/>
        <v>0</v>
      </c>
      <c r="W5827">
        <f t="shared" si="363"/>
        <v>0</v>
      </c>
    </row>
    <row r="5828" spans="5:23" x14ac:dyDescent="0.25">
      <c r="E5828" s="4"/>
      <c r="F5828" s="4"/>
      <c r="G5828" s="33" t="str">
        <f>IFERROR(VLOOKUP($D5828,'Informations sur les produits'!$A$3:$H$10000,8,FALSE),"0")</f>
        <v>0</v>
      </c>
      <c r="K5828" s="4"/>
      <c r="L5828" s="33" t="str">
        <f>IFERROR(VLOOKUP($J5828,'Informations sur les produits'!$A$3:$H$10000,8,FALSE),"0")</f>
        <v>0</v>
      </c>
      <c r="N5828" s="8"/>
      <c r="O5828" s="33" t="str">
        <f>IFERROR(VLOOKUP($M5828,'Informations sur les produits'!$A$3:$H$10000,8,FALSE),"0")</f>
        <v>0</v>
      </c>
      <c r="P5828" s="33">
        <f t="shared" ref="P5828:P5891" si="364">IFERROR((($E5828-$F5828)*$G5828+$K5828*$L5828+$N5828*$O5828),"")</f>
        <v>0</v>
      </c>
      <c r="Q5828" s="31" t="str">
        <f t="shared" ref="Q5828:Q5891" si="365">IFERROR((((($E5828-$F5828)*$G5828+$K5828*$L5828+$N5828*$O5828)*1000)/(($E5828-$F5828)+$K5828+$N5828)),"")</f>
        <v/>
      </c>
      <c r="R5828" s="32" t="str">
        <f>IFERROR(VLOOKUP($D5828,'Informations sur les produits'!$A$3:$B$15000,2,FALSE),"")</f>
        <v/>
      </c>
      <c r="V5828">
        <f t="shared" ref="V5828:V5891" si="366">IFERROR(P5828*1000,"")</f>
        <v>0</v>
      </c>
      <c r="W5828">
        <f t="shared" ref="W5828:W5891" si="367">IFERROR(($E5828-$F5828)+$K5828+$N5828,"")</f>
        <v>0</v>
      </c>
    </row>
    <row r="5829" spans="5:23" x14ac:dyDescent="0.25">
      <c r="E5829" s="4"/>
      <c r="F5829" s="4"/>
      <c r="G5829" s="33" t="str">
        <f>IFERROR(VLOOKUP($D5829,'Informations sur les produits'!$A$3:$H$10000,8,FALSE),"0")</f>
        <v>0</v>
      </c>
      <c r="K5829" s="4"/>
      <c r="L5829" s="33" t="str">
        <f>IFERROR(VLOOKUP($J5829,'Informations sur les produits'!$A$3:$H$10000,8,FALSE),"0")</f>
        <v>0</v>
      </c>
      <c r="N5829" s="8"/>
      <c r="O5829" s="33" t="str">
        <f>IFERROR(VLOOKUP($M5829,'Informations sur les produits'!$A$3:$H$10000,8,FALSE),"0")</f>
        <v>0</v>
      </c>
      <c r="P5829" s="33">
        <f t="shared" si="364"/>
        <v>0</v>
      </c>
      <c r="Q5829" s="31" t="str">
        <f t="shared" si="365"/>
        <v/>
      </c>
      <c r="R5829" s="32" t="str">
        <f>IFERROR(VLOOKUP($D5829,'Informations sur les produits'!$A$3:$B$15000,2,FALSE),"")</f>
        <v/>
      </c>
      <c r="V5829">
        <f t="shared" si="366"/>
        <v>0</v>
      </c>
      <c r="W5829">
        <f t="shared" si="367"/>
        <v>0</v>
      </c>
    </row>
    <row r="5830" spans="5:23" x14ac:dyDescent="0.25">
      <c r="E5830" s="4"/>
      <c r="F5830" s="4"/>
      <c r="G5830" s="33" t="str">
        <f>IFERROR(VLOOKUP($D5830,'Informations sur les produits'!$A$3:$H$10000,8,FALSE),"0")</f>
        <v>0</v>
      </c>
      <c r="K5830" s="4"/>
      <c r="L5830" s="33" t="str">
        <f>IFERROR(VLOOKUP($J5830,'Informations sur les produits'!$A$3:$H$10000,8,FALSE),"0")</f>
        <v>0</v>
      </c>
      <c r="N5830" s="8"/>
      <c r="O5830" s="33" t="str">
        <f>IFERROR(VLOOKUP($M5830,'Informations sur les produits'!$A$3:$H$10000,8,FALSE),"0")</f>
        <v>0</v>
      </c>
      <c r="P5830" s="33">
        <f t="shared" si="364"/>
        <v>0</v>
      </c>
      <c r="Q5830" s="31" t="str">
        <f t="shared" si="365"/>
        <v/>
      </c>
      <c r="R5830" s="32" t="str">
        <f>IFERROR(VLOOKUP($D5830,'Informations sur les produits'!$A$3:$B$15000,2,FALSE),"")</f>
        <v/>
      </c>
      <c r="V5830">
        <f t="shared" si="366"/>
        <v>0</v>
      </c>
      <c r="W5830">
        <f t="shared" si="367"/>
        <v>0</v>
      </c>
    </row>
    <row r="5831" spans="5:23" x14ac:dyDescent="0.25">
      <c r="E5831" s="4"/>
      <c r="F5831" s="4"/>
      <c r="G5831" s="33" t="str">
        <f>IFERROR(VLOOKUP($D5831,'Informations sur les produits'!$A$3:$H$10000,8,FALSE),"0")</f>
        <v>0</v>
      </c>
      <c r="K5831" s="4"/>
      <c r="L5831" s="33" t="str">
        <f>IFERROR(VLOOKUP($J5831,'Informations sur les produits'!$A$3:$H$10000,8,FALSE),"0")</f>
        <v>0</v>
      </c>
      <c r="N5831" s="8"/>
      <c r="O5831" s="33" t="str">
        <f>IFERROR(VLOOKUP($M5831,'Informations sur les produits'!$A$3:$H$10000,8,FALSE),"0")</f>
        <v>0</v>
      </c>
      <c r="P5831" s="33">
        <f t="shared" si="364"/>
        <v>0</v>
      </c>
      <c r="Q5831" s="31" t="str">
        <f t="shared" si="365"/>
        <v/>
      </c>
      <c r="R5831" s="32" t="str">
        <f>IFERROR(VLOOKUP($D5831,'Informations sur les produits'!$A$3:$B$15000,2,FALSE),"")</f>
        <v/>
      </c>
      <c r="V5831">
        <f t="shared" si="366"/>
        <v>0</v>
      </c>
      <c r="W5831">
        <f t="shared" si="367"/>
        <v>0</v>
      </c>
    </row>
    <row r="5832" spans="5:23" x14ac:dyDescent="0.25">
      <c r="E5832" s="4"/>
      <c r="F5832" s="4"/>
      <c r="G5832" s="33" t="str">
        <f>IFERROR(VLOOKUP($D5832,'Informations sur les produits'!$A$3:$H$10000,8,FALSE),"0")</f>
        <v>0</v>
      </c>
      <c r="K5832" s="4"/>
      <c r="L5832" s="33" t="str">
        <f>IFERROR(VLOOKUP($J5832,'Informations sur les produits'!$A$3:$H$10000,8,FALSE),"0")</f>
        <v>0</v>
      </c>
      <c r="N5832" s="8"/>
      <c r="O5832" s="33" t="str">
        <f>IFERROR(VLOOKUP($M5832,'Informations sur les produits'!$A$3:$H$10000,8,FALSE),"0")</f>
        <v>0</v>
      </c>
      <c r="P5832" s="33">
        <f t="shared" si="364"/>
        <v>0</v>
      </c>
      <c r="Q5832" s="31" t="str">
        <f t="shared" si="365"/>
        <v/>
      </c>
      <c r="R5832" s="32" t="str">
        <f>IFERROR(VLOOKUP($D5832,'Informations sur les produits'!$A$3:$B$15000,2,FALSE),"")</f>
        <v/>
      </c>
      <c r="V5832">
        <f t="shared" si="366"/>
        <v>0</v>
      </c>
      <c r="W5832">
        <f t="shared" si="367"/>
        <v>0</v>
      </c>
    </row>
    <row r="5833" spans="5:23" x14ac:dyDescent="0.25">
      <c r="E5833" s="4"/>
      <c r="F5833" s="4"/>
      <c r="G5833" s="33" t="str">
        <f>IFERROR(VLOOKUP($D5833,'Informations sur les produits'!$A$3:$H$10000,8,FALSE),"0")</f>
        <v>0</v>
      </c>
      <c r="K5833" s="4"/>
      <c r="L5833" s="33" t="str">
        <f>IFERROR(VLOOKUP($J5833,'Informations sur les produits'!$A$3:$H$10000,8,FALSE),"0")</f>
        <v>0</v>
      </c>
      <c r="N5833" s="8"/>
      <c r="O5833" s="33" t="str">
        <f>IFERROR(VLOOKUP($M5833,'Informations sur les produits'!$A$3:$H$10000,8,FALSE),"0")</f>
        <v>0</v>
      </c>
      <c r="P5833" s="33">
        <f t="shared" si="364"/>
        <v>0</v>
      </c>
      <c r="Q5833" s="31" t="str">
        <f t="shared" si="365"/>
        <v/>
      </c>
      <c r="R5833" s="32" t="str">
        <f>IFERROR(VLOOKUP($D5833,'Informations sur les produits'!$A$3:$B$15000,2,FALSE),"")</f>
        <v/>
      </c>
      <c r="V5833">
        <f t="shared" si="366"/>
        <v>0</v>
      </c>
      <c r="W5833">
        <f t="shared" si="367"/>
        <v>0</v>
      </c>
    </row>
    <row r="5834" spans="5:23" x14ac:dyDescent="0.25">
      <c r="E5834" s="4"/>
      <c r="F5834" s="4"/>
      <c r="G5834" s="33" t="str">
        <f>IFERROR(VLOOKUP($D5834,'Informations sur les produits'!$A$3:$H$10000,8,FALSE),"0")</f>
        <v>0</v>
      </c>
      <c r="K5834" s="4"/>
      <c r="L5834" s="33" t="str">
        <f>IFERROR(VLOOKUP($J5834,'Informations sur les produits'!$A$3:$H$10000,8,FALSE),"0")</f>
        <v>0</v>
      </c>
      <c r="N5834" s="8"/>
      <c r="O5834" s="33" t="str">
        <f>IFERROR(VLOOKUP($M5834,'Informations sur les produits'!$A$3:$H$10000,8,FALSE),"0")</f>
        <v>0</v>
      </c>
      <c r="P5834" s="33">
        <f t="shared" si="364"/>
        <v>0</v>
      </c>
      <c r="Q5834" s="31" t="str">
        <f t="shared" si="365"/>
        <v/>
      </c>
      <c r="R5834" s="32" t="str">
        <f>IFERROR(VLOOKUP($D5834,'Informations sur les produits'!$A$3:$B$15000,2,FALSE),"")</f>
        <v/>
      </c>
      <c r="V5834">
        <f t="shared" si="366"/>
        <v>0</v>
      </c>
      <c r="W5834">
        <f t="shared" si="367"/>
        <v>0</v>
      </c>
    </row>
    <row r="5835" spans="5:23" x14ac:dyDescent="0.25">
      <c r="E5835" s="4"/>
      <c r="F5835" s="4"/>
      <c r="G5835" s="33" t="str">
        <f>IFERROR(VLOOKUP($D5835,'Informations sur les produits'!$A$3:$H$10000,8,FALSE),"0")</f>
        <v>0</v>
      </c>
      <c r="K5835" s="4"/>
      <c r="L5835" s="33" t="str">
        <f>IFERROR(VLOOKUP($J5835,'Informations sur les produits'!$A$3:$H$10000,8,FALSE),"0")</f>
        <v>0</v>
      </c>
      <c r="N5835" s="8"/>
      <c r="O5835" s="33" t="str">
        <f>IFERROR(VLOOKUP($M5835,'Informations sur les produits'!$A$3:$H$10000,8,FALSE),"0")</f>
        <v>0</v>
      </c>
      <c r="P5835" s="33">
        <f t="shared" si="364"/>
        <v>0</v>
      </c>
      <c r="Q5835" s="31" t="str">
        <f t="shared" si="365"/>
        <v/>
      </c>
      <c r="R5835" s="32" t="str">
        <f>IFERROR(VLOOKUP($D5835,'Informations sur les produits'!$A$3:$B$15000,2,FALSE),"")</f>
        <v/>
      </c>
      <c r="V5835">
        <f t="shared" si="366"/>
        <v>0</v>
      </c>
      <c r="W5835">
        <f t="shared" si="367"/>
        <v>0</v>
      </c>
    </row>
    <row r="5836" spans="5:23" x14ac:dyDescent="0.25">
      <c r="E5836" s="4"/>
      <c r="F5836" s="4"/>
      <c r="G5836" s="33" t="str">
        <f>IFERROR(VLOOKUP($D5836,'Informations sur les produits'!$A$3:$H$10000,8,FALSE),"0")</f>
        <v>0</v>
      </c>
      <c r="K5836" s="4"/>
      <c r="L5836" s="33" t="str">
        <f>IFERROR(VLOOKUP($J5836,'Informations sur les produits'!$A$3:$H$10000,8,FALSE),"0")</f>
        <v>0</v>
      </c>
      <c r="N5836" s="8"/>
      <c r="O5836" s="33" t="str">
        <f>IFERROR(VLOOKUP($M5836,'Informations sur les produits'!$A$3:$H$10000,8,FALSE),"0")</f>
        <v>0</v>
      </c>
      <c r="P5836" s="33">
        <f t="shared" si="364"/>
        <v>0</v>
      </c>
      <c r="Q5836" s="31" t="str">
        <f t="shared" si="365"/>
        <v/>
      </c>
      <c r="R5836" s="32" t="str">
        <f>IFERROR(VLOOKUP($D5836,'Informations sur les produits'!$A$3:$B$15000,2,FALSE),"")</f>
        <v/>
      </c>
      <c r="V5836">
        <f t="shared" si="366"/>
        <v>0</v>
      </c>
      <c r="W5836">
        <f t="shared" si="367"/>
        <v>0</v>
      </c>
    </row>
    <row r="5837" spans="5:23" x14ac:dyDescent="0.25">
      <c r="E5837" s="4"/>
      <c r="F5837" s="4"/>
      <c r="G5837" s="33" t="str">
        <f>IFERROR(VLOOKUP($D5837,'Informations sur les produits'!$A$3:$H$10000,8,FALSE),"0")</f>
        <v>0</v>
      </c>
      <c r="K5837" s="4"/>
      <c r="L5837" s="33" t="str">
        <f>IFERROR(VLOOKUP($J5837,'Informations sur les produits'!$A$3:$H$10000,8,FALSE),"0")</f>
        <v>0</v>
      </c>
      <c r="N5837" s="8"/>
      <c r="O5837" s="33" t="str">
        <f>IFERROR(VLOOKUP($M5837,'Informations sur les produits'!$A$3:$H$10000,8,FALSE),"0")</f>
        <v>0</v>
      </c>
      <c r="P5837" s="33">
        <f t="shared" si="364"/>
        <v>0</v>
      </c>
      <c r="Q5837" s="31" t="str">
        <f t="shared" si="365"/>
        <v/>
      </c>
      <c r="R5837" s="32" t="str">
        <f>IFERROR(VLOOKUP($D5837,'Informations sur les produits'!$A$3:$B$15000,2,FALSE),"")</f>
        <v/>
      </c>
      <c r="V5837">
        <f t="shared" si="366"/>
        <v>0</v>
      </c>
      <c r="W5837">
        <f t="shared" si="367"/>
        <v>0</v>
      </c>
    </row>
    <row r="5838" spans="5:23" x14ac:dyDescent="0.25">
      <c r="E5838" s="4"/>
      <c r="F5838" s="4"/>
      <c r="G5838" s="33" t="str">
        <f>IFERROR(VLOOKUP($D5838,'Informations sur les produits'!$A$3:$H$10000,8,FALSE),"0")</f>
        <v>0</v>
      </c>
      <c r="K5838" s="4"/>
      <c r="L5838" s="33" t="str">
        <f>IFERROR(VLOOKUP($J5838,'Informations sur les produits'!$A$3:$H$10000,8,FALSE),"0")</f>
        <v>0</v>
      </c>
      <c r="N5838" s="8"/>
      <c r="O5838" s="33" t="str">
        <f>IFERROR(VLOOKUP($M5838,'Informations sur les produits'!$A$3:$H$10000,8,FALSE),"0")</f>
        <v>0</v>
      </c>
      <c r="P5838" s="33">
        <f t="shared" si="364"/>
        <v>0</v>
      </c>
      <c r="Q5838" s="31" t="str">
        <f t="shared" si="365"/>
        <v/>
      </c>
      <c r="R5838" s="32" t="str">
        <f>IFERROR(VLOOKUP($D5838,'Informations sur les produits'!$A$3:$B$15000,2,FALSE),"")</f>
        <v/>
      </c>
      <c r="V5838">
        <f t="shared" si="366"/>
        <v>0</v>
      </c>
      <c r="W5838">
        <f t="shared" si="367"/>
        <v>0</v>
      </c>
    </row>
    <row r="5839" spans="5:23" x14ac:dyDescent="0.25">
      <c r="E5839" s="4"/>
      <c r="F5839" s="4"/>
      <c r="G5839" s="33" t="str">
        <f>IFERROR(VLOOKUP($D5839,'Informations sur les produits'!$A$3:$H$10000,8,FALSE),"0")</f>
        <v>0</v>
      </c>
      <c r="K5839" s="4"/>
      <c r="L5839" s="33" t="str">
        <f>IFERROR(VLOOKUP($J5839,'Informations sur les produits'!$A$3:$H$10000,8,FALSE),"0")</f>
        <v>0</v>
      </c>
      <c r="N5839" s="8"/>
      <c r="O5839" s="33" t="str">
        <f>IFERROR(VLOOKUP($M5839,'Informations sur les produits'!$A$3:$H$10000,8,FALSE),"0")</f>
        <v>0</v>
      </c>
      <c r="P5839" s="33">
        <f t="shared" si="364"/>
        <v>0</v>
      </c>
      <c r="Q5839" s="31" t="str">
        <f t="shared" si="365"/>
        <v/>
      </c>
      <c r="R5839" s="32" t="str">
        <f>IFERROR(VLOOKUP($D5839,'Informations sur les produits'!$A$3:$B$15000,2,FALSE),"")</f>
        <v/>
      </c>
      <c r="V5839">
        <f t="shared" si="366"/>
        <v>0</v>
      </c>
      <c r="W5839">
        <f t="shared" si="367"/>
        <v>0</v>
      </c>
    </row>
    <row r="5840" spans="5:23" x14ac:dyDescent="0.25">
      <c r="E5840" s="4"/>
      <c r="F5840" s="4"/>
      <c r="G5840" s="33" t="str">
        <f>IFERROR(VLOOKUP($D5840,'Informations sur les produits'!$A$3:$H$10000,8,FALSE),"0")</f>
        <v>0</v>
      </c>
      <c r="K5840" s="4"/>
      <c r="L5840" s="33" t="str">
        <f>IFERROR(VLOOKUP($J5840,'Informations sur les produits'!$A$3:$H$10000,8,FALSE),"0")</f>
        <v>0</v>
      </c>
      <c r="N5840" s="8"/>
      <c r="O5840" s="33" t="str">
        <f>IFERROR(VLOOKUP($M5840,'Informations sur les produits'!$A$3:$H$10000,8,FALSE),"0")</f>
        <v>0</v>
      </c>
      <c r="P5840" s="33">
        <f t="shared" si="364"/>
        <v>0</v>
      </c>
      <c r="Q5840" s="31" t="str">
        <f t="shared" si="365"/>
        <v/>
      </c>
      <c r="R5840" s="32" t="str">
        <f>IFERROR(VLOOKUP($D5840,'Informations sur les produits'!$A$3:$B$15000,2,FALSE),"")</f>
        <v/>
      </c>
      <c r="V5840">
        <f t="shared" si="366"/>
        <v>0</v>
      </c>
      <c r="W5840">
        <f t="shared" si="367"/>
        <v>0</v>
      </c>
    </row>
    <row r="5841" spans="5:23" x14ac:dyDescent="0.25">
      <c r="E5841" s="4"/>
      <c r="F5841" s="4"/>
      <c r="G5841" s="33" t="str">
        <f>IFERROR(VLOOKUP($D5841,'Informations sur les produits'!$A$3:$H$10000,8,FALSE),"0")</f>
        <v>0</v>
      </c>
      <c r="K5841" s="4"/>
      <c r="L5841" s="33" t="str">
        <f>IFERROR(VLOOKUP($J5841,'Informations sur les produits'!$A$3:$H$10000,8,FALSE),"0")</f>
        <v>0</v>
      </c>
      <c r="N5841" s="8"/>
      <c r="O5841" s="33" t="str">
        <f>IFERROR(VLOOKUP($M5841,'Informations sur les produits'!$A$3:$H$10000,8,FALSE),"0")</f>
        <v>0</v>
      </c>
      <c r="P5841" s="33">
        <f t="shared" si="364"/>
        <v>0</v>
      </c>
      <c r="Q5841" s="31" t="str">
        <f t="shared" si="365"/>
        <v/>
      </c>
      <c r="R5841" s="32" t="str">
        <f>IFERROR(VLOOKUP($D5841,'Informations sur les produits'!$A$3:$B$15000,2,FALSE),"")</f>
        <v/>
      </c>
      <c r="V5841">
        <f t="shared" si="366"/>
        <v>0</v>
      </c>
      <c r="W5841">
        <f t="shared" si="367"/>
        <v>0</v>
      </c>
    </row>
    <row r="5842" spans="5:23" x14ac:dyDescent="0.25">
      <c r="E5842" s="4"/>
      <c r="F5842" s="4"/>
      <c r="G5842" s="33" t="str">
        <f>IFERROR(VLOOKUP($D5842,'Informations sur les produits'!$A$3:$H$10000,8,FALSE),"0")</f>
        <v>0</v>
      </c>
      <c r="K5842" s="4"/>
      <c r="L5842" s="33" t="str">
        <f>IFERROR(VLOOKUP($J5842,'Informations sur les produits'!$A$3:$H$10000,8,FALSE),"0")</f>
        <v>0</v>
      </c>
      <c r="N5842" s="8"/>
      <c r="O5842" s="33" t="str">
        <f>IFERROR(VLOOKUP($M5842,'Informations sur les produits'!$A$3:$H$10000,8,FALSE),"0")</f>
        <v>0</v>
      </c>
      <c r="P5842" s="33">
        <f t="shared" si="364"/>
        <v>0</v>
      </c>
      <c r="Q5842" s="31" t="str">
        <f t="shared" si="365"/>
        <v/>
      </c>
      <c r="R5842" s="32" t="str">
        <f>IFERROR(VLOOKUP($D5842,'Informations sur les produits'!$A$3:$B$15000,2,FALSE),"")</f>
        <v/>
      </c>
      <c r="V5842">
        <f t="shared" si="366"/>
        <v>0</v>
      </c>
      <c r="W5842">
        <f t="shared" si="367"/>
        <v>0</v>
      </c>
    </row>
    <row r="5843" spans="5:23" x14ac:dyDescent="0.25">
      <c r="E5843" s="4"/>
      <c r="F5843" s="4"/>
      <c r="G5843" s="33" t="str">
        <f>IFERROR(VLOOKUP($D5843,'Informations sur les produits'!$A$3:$H$10000,8,FALSE),"0")</f>
        <v>0</v>
      </c>
      <c r="K5843" s="4"/>
      <c r="L5843" s="33" t="str">
        <f>IFERROR(VLOOKUP($J5843,'Informations sur les produits'!$A$3:$H$10000,8,FALSE),"0")</f>
        <v>0</v>
      </c>
      <c r="N5843" s="8"/>
      <c r="O5843" s="33" t="str">
        <f>IFERROR(VLOOKUP($M5843,'Informations sur les produits'!$A$3:$H$10000,8,FALSE),"0")</f>
        <v>0</v>
      </c>
      <c r="P5843" s="33">
        <f t="shared" si="364"/>
        <v>0</v>
      </c>
      <c r="Q5843" s="31" t="str">
        <f t="shared" si="365"/>
        <v/>
      </c>
      <c r="R5843" s="32" t="str">
        <f>IFERROR(VLOOKUP($D5843,'Informations sur les produits'!$A$3:$B$15000,2,FALSE),"")</f>
        <v/>
      </c>
      <c r="V5843">
        <f t="shared" si="366"/>
        <v>0</v>
      </c>
      <c r="W5843">
        <f t="shared" si="367"/>
        <v>0</v>
      </c>
    </row>
    <row r="5844" spans="5:23" x14ac:dyDescent="0.25">
      <c r="E5844" s="4"/>
      <c r="F5844" s="4"/>
      <c r="G5844" s="33" t="str">
        <f>IFERROR(VLOOKUP($D5844,'Informations sur les produits'!$A$3:$H$10000,8,FALSE),"0")</f>
        <v>0</v>
      </c>
      <c r="K5844" s="4"/>
      <c r="L5844" s="33" t="str">
        <f>IFERROR(VLOOKUP($J5844,'Informations sur les produits'!$A$3:$H$10000,8,FALSE),"0")</f>
        <v>0</v>
      </c>
      <c r="N5844" s="8"/>
      <c r="O5844" s="33" t="str">
        <f>IFERROR(VLOOKUP($M5844,'Informations sur les produits'!$A$3:$H$10000,8,FALSE),"0")</f>
        <v>0</v>
      </c>
      <c r="P5844" s="33">
        <f t="shared" si="364"/>
        <v>0</v>
      </c>
      <c r="Q5844" s="31" t="str">
        <f t="shared" si="365"/>
        <v/>
      </c>
      <c r="R5844" s="32" t="str">
        <f>IFERROR(VLOOKUP($D5844,'Informations sur les produits'!$A$3:$B$15000,2,FALSE),"")</f>
        <v/>
      </c>
      <c r="V5844">
        <f t="shared" si="366"/>
        <v>0</v>
      </c>
      <c r="W5844">
        <f t="shared" si="367"/>
        <v>0</v>
      </c>
    </row>
    <row r="5845" spans="5:23" x14ac:dyDescent="0.25">
      <c r="E5845" s="4"/>
      <c r="F5845" s="4"/>
      <c r="G5845" s="33" t="str">
        <f>IFERROR(VLOOKUP($D5845,'Informations sur les produits'!$A$3:$H$10000,8,FALSE),"0")</f>
        <v>0</v>
      </c>
      <c r="K5845" s="4"/>
      <c r="L5845" s="33" t="str">
        <f>IFERROR(VLOOKUP($J5845,'Informations sur les produits'!$A$3:$H$10000,8,FALSE),"0")</f>
        <v>0</v>
      </c>
      <c r="N5845" s="8"/>
      <c r="O5845" s="33" t="str">
        <f>IFERROR(VLOOKUP($M5845,'Informations sur les produits'!$A$3:$H$10000,8,FALSE),"0")</f>
        <v>0</v>
      </c>
      <c r="P5845" s="33">
        <f t="shared" si="364"/>
        <v>0</v>
      </c>
      <c r="Q5845" s="31" t="str">
        <f t="shared" si="365"/>
        <v/>
      </c>
      <c r="R5845" s="32" t="str">
        <f>IFERROR(VLOOKUP($D5845,'Informations sur les produits'!$A$3:$B$15000,2,FALSE),"")</f>
        <v/>
      </c>
      <c r="V5845">
        <f t="shared" si="366"/>
        <v>0</v>
      </c>
      <c r="W5845">
        <f t="shared" si="367"/>
        <v>0</v>
      </c>
    </row>
    <row r="5846" spans="5:23" x14ac:dyDescent="0.25">
      <c r="E5846" s="4"/>
      <c r="F5846" s="4"/>
      <c r="G5846" s="33" t="str">
        <f>IFERROR(VLOOKUP($D5846,'Informations sur les produits'!$A$3:$H$10000,8,FALSE),"0")</f>
        <v>0</v>
      </c>
      <c r="K5846" s="4"/>
      <c r="L5846" s="33" t="str">
        <f>IFERROR(VLOOKUP($J5846,'Informations sur les produits'!$A$3:$H$10000,8,FALSE),"0")</f>
        <v>0</v>
      </c>
      <c r="N5846" s="8"/>
      <c r="O5846" s="33" t="str">
        <f>IFERROR(VLOOKUP($M5846,'Informations sur les produits'!$A$3:$H$10000,8,FALSE),"0")</f>
        <v>0</v>
      </c>
      <c r="P5846" s="33">
        <f t="shared" si="364"/>
        <v>0</v>
      </c>
      <c r="Q5846" s="31" t="str">
        <f t="shared" si="365"/>
        <v/>
      </c>
      <c r="R5846" s="32" t="str">
        <f>IFERROR(VLOOKUP($D5846,'Informations sur les produits'!$A$3:$B$15000,2,FALSE),"")</f>
        <v/>
      </c>
      <c r="V5846">
        <f t="shared" si="366"/>
        <v>0</v>
      </c>
      <c r="W5846">
        <f t="shared" si="367"/>
        <v>0</v>
      </c>
    </row>
    <row r="5847" spans="5:23" x14ac:dyDescent="0.25">
      <c r="E5847" s="4"/>
      <c r="F5847" s="4"/>
      <c r="G5847" s="33" t="str">
        <f>IFERROR(VLOOKUP($D5847,'Informations sur les produits'!$A$3:$H$10000,8,FALSE),"0")</f>
        <v>0</v>
      </c>
      <c r="K5847" s="4"/>
      <c r="L5847" s="33" t="str">
        <f>IFERROR(VLOOKUP($J5847,'Informations sur les produits'!$A$3:$H$10000,8,FALSE),"0")</f>
        <v>0</v>
      </c>
      <c r="N5847" s="8"/>
      <c r="O5847" s="33" t="str">
        <f>IFERROR(VLOOKUP($M5847,'Informations sur les produits'!$A$3:$H$10000,8,FALSE),"0")</f>
        <v>0</v>
      </c>
      <c r="P5847" s="33">
        <f t="shared" si="364"/>
        <v>0</v>
      </c>
      <c r="Q5847" s="31" t="str">
        <f t="shared" si="365"/>
        <v/>
      </c>
      <c r="R5847" s="32" t="str">
        <f>IFERROR(VLOOKUP($D5847,'Informations sur les produits'!$A$3:$B$15000,2,FALSE),"")</f>
        <v/>
      </c>
      <c r="V5847">
        <f t="shared" si="366"/>
        <v>0</v>
      </c>
      <c r="W5847">
        <f t="shared" si="367"/>
        <v>0</v>
      </c>
    </row>
    <row r="5848" spans="5:23" x14ac:dyDescent="0.25">
      <c r="E5848" s="4"/>
      <c r="F5848" s="4"/>
      <c r="G5848" s="33" t="str">
        <f>IFERROR(VLOOKUP($D5848,'Informations sur les produits'!$A$3:$H$10000,8,FALSE),"0")</f>
        <v>0</v>
      </c>
      <c r="K5848" s="4"/>
      <c r="L5848" s="33" t="str">
        <f>IFERROR(VLOOKUP($J5848,'Informations sur les produits'!$A$3:$H$10000,8,FALSE),"0")</f>
        <v>0</v>
      </c>
      <c r="N5848" s="8"/>
      <c r="O5848" s="33" t="str">
        <f>IFERROR(VLOOKUP($M5848,'Informations sur les produits'!$A$3:$H$10000,8,FALSE),"0")</f>
        <v>0</v>
      </c>
      <c r="P5848" s="33">
        <f t="shared" si="364"/>
        <v>0</v>
      </c>
      <c r="Q5848" s="31" t="str">
        <f t="shared" si="365"/>
        <v/>
      </c>
      <c r="R5848" s="32" t="str">
        <f>IFERROR(VLOOKUP($D5848,'Informations sur les produits'!$A$3:$B$15000,2,FALSE),"")</f>
        <v/>
      </c>
      <c r="V5848">
        <f t="shared" si="366"/>
        <v>0</v>
      </c>
      <c r="W5848">
        <f t="shared" si="367"/>
        <v>0</v>
      </c>
    </row>
    <row r="5849" spans="5:23" x14ac:dyDescent="0.25">
      <c r="E5849" s="4"/>
      <c r="F5849" s="4"/>
      <c r="G5849" s="33" t="str">
        <f>IFERROR(VLOOKUP($D5849,'Informations sur les produits'!$A$3:$H$10000,8,FALSE),"0")</f>
        <v>0</v>
      </c>
      <c r="K5849" s="4"/>
      <c r="L5849" s="33" t="str">
        <f>IFERROR(VLOOKUP($J5849,'Informations sur les produits'!$A$3:$H$10000,8,FALSE),"0")</f>
        <v>0</v>
      </c>
      <c r="N5849" s="8"/>
      <c r="O5849" s="33" t="str">
        <f>IFERROR(VLOOKUP($M5849,'Informations sur les produits'!$A$3:$H$10000,8,FALSE),"0")</f>
        <v>0</v>
      </c>
      <c r="P5849" s="33">
        <f t="shared" si="364"/>
        <v>0</v>
      </c>
      <c r="Q5849" s="31" t="str">
        <f t="shared" si="365"/>
        <v/>
      </c>
      <c r="R5849" s="32" t="str">
        <f>IFERROR(VLOOKUP($D5849,'Informations sur les produits'!$A$3:$B$15000,2,FALSE),"")</f>
        <v/>
      </c>
      <c r="V5849">
        <f t="shared" si="366"/>
        <v>0</v>
      </c>
      <c r="W5849">
        <f t="shared" si="367"/>
        <v>0</v>
      </c>
    </row>
    <row r="5850" spans="5:23" x14ac:dyDescent="0.25">
      <c r="E5850" s="4"/>
      <c r="F5850" s="4"/>
      <c r="G5850" s="33" t="str">
        <f>IFERROR(VLOOKUP($D5850,'Informations sur les produits'!$A$3:$H$10000,8,FALSE),"0")</f>
        <v>0</v>
      </c>
      <c r="K5850" s="4"/>
      <c r="L5850" s="33" t="str">
        <f>IFERROR(VLOOKUP($J5850,'Informations sur les produits'!$A$3:$H$10000,8,FALSE),"0")</f>
        <v>0</v>
      </c>
      <c r="N5850" s="8"/>
      <c r="O5850" s="33" t="str">
        <f>IFERROR(VLOOKUP($M5850,'Informations sur les produits'!$A$3:$H$10000,8,FALSE),"0")</f>
        <v>0</v>
      </c>
      <c r="P5850" s="33">
        <f t="shared" si="364"/>
        <v>0</v>
      </c>
      <c r="Q5850" s="31" t="str">
        <f t="shared" si="365"/>
        <v/>
      </c>
      <c r="R5850" s="32" t="str">
        <f>IFERROR(VLOOKUP($D5850,'Informations sur les produits'!$A$3:$B$15000,2,FALSE),"")</f>
        <v/>
      </c>
      <c r="V5850">
        <f t="shared" si="366"/>
        <v>0</v>
      </c>
      <c r="W5850">
        <f t="shared" si="367"/>
        <v>0</v>
      </c>
    </row>
    <row r="5851" spans="5:23" x14ac:dyDescent="0.25">
      <c r="E5851" s="4"/>
      <c r="F5851" s="4"/>
      <c r="G5851" s="33" t="str">
        <f>IFERROR(VLOOKUP($D5851,'Informations sur les produits'!$A$3:$H$10000,8,FALSE),"0")</f>
        <v>0</v>
      </c>
      <c r="K5851" s="4"/>
      <c r="L5851" s="33" t="str">
        <f>IFERROR(VLOOKUP($J5851,'Informations sur les produits'!$A$3:$H$10000,8,FALSE),"0")</f>
        <v>0</v>
      </c>
      <c r="N5851" s="8"/>
      <c r="O5851" s="33" t="str">
        <f>IFERROR(VLOOKUP($M5851,'Informations sur les produits'!$A$3:$H$10000,8,FALSE),"0")</f>
        <v>0</v>
      </c>
      <c r="P5851" s="33">
        <f t="shared" si="364"/>
        <v>0</v>
      </c>
      <c r="Q5851" s="31" t="str">
        <f t="shared" si="365"/>
        <v/>
      </c>
      <c r="R5851" s="32" t="str">
        <f>IFERROR(VLOOKUP($D5851,'Informations sur les produits'!$A$3:$B$15000,2,FALSE),"")</f>
        <v/>
      </c>
      <c r="V5851">
        <f t="shared" si="366"/>
        <v>0</v>
      </c>
      <c r="W5851">
        <f t="shared" si="367"/>
        <v>0</v>
      </c>
    </row>
    <row r="5852" spans="5:23" x14ac:dyDescent="0.25">
      <c r="E5852" s="4"/>
      <c r="F5852" s="4"/>
      <c r="G5852" s="33" t="str">
        <f>IFERROR(VLOOKUP($D5852,'Informations sur les produits'!$A$3:$H$10000,8,FALSE),"0")</f>
        <v>0</v>
      </c>
      <c r="K5852" s="4"/>
      <c r="L5852" s="33" t="str">
        <f>IFERROR(VLOOKUP($J5852,'Informations sur les produits'!$A$3:$H$10000,8,FALSE),"0")</f>
        <v>0</v>
      </c>
      <c r="N5852" s="8"/>
      <c r="O5852" s="33" t="str">
        <f>IFERROR(VLOOKUP($M5852,'Informations sur les produits'!$A$3:$H$10000,8,FALSE),"0")</f>
        <v>0</v>
      </c>
      <c r="P5852" s="33">
        <f t="shared" si="364"/>
        <v>0</v>
      </c>
      <c r="Q5852" s="31" t="str">
        <f t="shared" si="365"/>
        <v/>
      </c>
      <c r="R5852" s="32" t="str">
        <f>IFERROR(VLOOKUP($D5852,'Informations sur les produits'!$A$3:$B$15000,2,FALSE),"")</f>
        <v/>
      </c>
      <c r="V5852">
        <f t="shared" si="366"/>
        <v>0</v>
      </c>
      <c r="W5852">
        <f t="shared" si="367"/>
        <v>0</v>
      </c>
    </row>
    <row r="5853" spans="5:23" x14ac:dyDescent="0.25">
      <c r="E5853" s="4"/>
      <c r="F5853" s="4"/>
      <c r="G5853" s="33" t="str">
        <f>IFERROR(VLOOKUP($D5853,'Informations sur les produits'!$A$3:$H$10000,8,FALSE),"0")</f>
        <v>0</v>
      </c>
      <c r="K5853" s="4"/>
      <c r="L5853" s="33" t="str">
        <f>IFERROR(VLOOKUP($J5853,'Informations sur les produits'!$A$3:$H$10000,8,FALSE),"0")</f>
        <v>0</v>
      </c>
      <c r="N5853" s="8"/>
      <c r="O5853" s="33" t="str">
        <f>IFERROR(VLOOKUP($M5853,'Informations sur les produits'!$A$3:$H$10000,8,FALSE),"0")</f>
        <v>0</v>
      </c>
      <c r="P5853" s="33">
        <f t="shared" si="364"/>
        <v>0</v>
      </c>
      <c r="Q5853" s="31" t="str">
        <f t="shared" si="365"/>
        <v/>
      </c>
      <c r="R5853" s="32" t="str">
        <f>IFERROR(VLOOKUP($D5853,'Informations sur les produits'!$A$3:$B$15000,2,FALSE),"")</f>
        <v/>
      </c>
      <c r="V5853">
        <f t="shared" si="366"/>
        <v>0</v>
      </c>
      <c r="W5853">
        <f t="shared" si="367"/>
        <v>0</v>
      </c>
    </row>
    <row r="5854" spans="5:23" x14ac:dyDescent="0.25">
      <c r="E5854" s="4"/>
      <c r="F5854" s="4"/>
      <c r="G5854" s="33" t="str">
        <f>IFERROR(VLOOKUP($D5854,'Informations sur les produits'!$A$3:$H$10000,8,FALSE),"0")</f>
        <v>0</v>
      </c>
      <c r="K5854" s="4"/>
      <c r="L5854" s="33" t="str">
        <f>IFERROR(VLOOKUP($J5854,'Informations sur les produits'!$A$3:$H$10000,8,FALSE),"0")</f>
        <v>0</v>
      </c>
      <c r="N5854" s="8"/>
      <c r="O5854" s="33" t="str">
        <f>IFERROR(VLOOKUP($M5854,'Informations sur les produits'!$A$3:$H$10000,8,FALSE),"0")</f>
        <v>0</v>
      </c>
      <c r="P5854" s="33">
        <f t="shared" si="364"/>
        <v>0</v>
      </c>
      <c r="Q5854" s="31" t="str">
        <f t="shared" si="365"/>
        <v/>
      </c>
      <c r="R5854" s="32" t="str">
        <f>IFERROR(VLOOKUP($D5854,'Informations sur les produits'!$A$3:$B$15000,2,FALSE),"")</f>
        <v/>
      </c>
      <c r="V5854">
        <f t="shared" si="366"/>
        <v>0</v>
      </c>
      <c r="W5854">
        <f t="shared" si="367"/>
        <v>0</v>
      </c>
    </row>
    <row r="5855" spans="5:23" x14ac:dyDescent="0.25">
      <c r="E5855" s="4"/>
      <c r="F5855" s="4"/>
      <c r="G5855" s="33" t="str">
        <f>IFERROR(VLOOKUP($D5855,'Informations sur les produits'!$A$3:$H$10000,8,FALSE),"0")</f>
        <v>0</v>
      </c>
      <c r="K5855" s="4"/>
      <c r="L5855" s="33" t="str">
        <f>IFERROR(VLOOKUP($J5855,'Informations sur les produits'!$A$3:$H$10000,8,FALSE),"0")</f>
        <v>0</v>
      </c>
      <c r="N5855" s="8"/>
      <c r="O5855" s="33" t="str">
        <f>IFERROR(VLOOKUP($M5855,'Informations sur les produits'!$A$3:$H$10000,8,FALSE),"0")</f>
        <v>0</v>
      </c>
      <c r="P5855" s="33">
        <f t="shared" si="364"/>
        <v>0</v>
      </c>
      <c r="Q5855" s="31" t="str">
        <f t="shared" si="365"/>
        <v/>
      </c>
      <c r="R5855" s="32" t="str">
        <f>IFERROR(VLOOKUP($D5855,'Informations sur les produits'!$A$3:$B$15000,2,FALSE),"")</f>
        <v/>
      </c>
      <c r="V5855">
        <f t="shared" si="366"/>
        <v>0</v>
      </c>
      <c r="W5855">
        <f t="shared" si="367"/>
        <v>0</v>
      </c>
    </row>
    <row r="5856" spans="5:23" x14ac:dyDescent="0.25">
      <c r="E5856" s="4"/>
      <c r="F5856" s="4"/>
      <c r="G5856" s="33" t="str">
        <f>IFERROR(VLOOKUP($D5856,'Informations sur les produits'!$A$3:$H$10000,8,FALSE),"0")</f>
        <v>0</v>
      </c>
      <c r="K5856" s="4"/>
      <c r="L5856" s="33" t="str">
        <f>IFERROR(VLOOKUP($J5856,'Informations sur les produits'!$A$3:$H$10000,8,FALSE),"0")</f>
        <v>0</v>
      </c>
      <c r="N5856" s="8"/>
      <c r="O5856" s="33" t="str">
        <f>IFERROR(VLOOKUP($M5856,'Informations sur les produits'!$A$3:$H$10000,8,FALSE),"0")</f>
        <v>0</v>
      </c>
      <c r="P5856" s="33">
        <f t="shared" si="364"/>
        <v>0</v>
      </c>
      <c r="Q5856" s="31" t="str">
        <f t="shared" si="365"/>
        <v/>
      </c>
      <c r="R5856" s="32" t="str">
        <f>IFERROR(VLOOKUP($D5856,'Informations sur les produits'!$A$3:$B$15000,2,FALSE),"")</f>
        <v/>
      </c>
      <c r="V5856">
        <f t="shared" si="366"/>
        <v>0</v>
      </c>
      <c r="W5856">
        <f t="shared" si="367"/>
        <v>0</v>
      </c>
    </row>
    <row r="5857" spans="5:23" x14ac:dyDescent="0.25">
      <c r="E5857" s="4"/>
      <c r="F5857" s="4"/>
      <c r="G5857" s="33" t="str">
        <f>IFERROR(VLOOKUP($D5857,'Informations sur les produits'!$A$3:$H$10000,8,FALSE),"0")</f>
        <v>0</v>
      </c>
      <c r="K5857" s="4"/>
      <c r="L5857" s="33" t="str">
        <f>IFERROR(VLOOKUP($J5857,'Informations sur les produits'!$A$3:$H$10000,8,FALSE),"0")</f>
        <v>0</v>
      </c>
      <c r="N5857" s="8"/>
      <c r="O5857" s="33" t="str">
        <f>IFERROR(VLOOKUP($M5857,'Informations sur les produits'!$A$3:$H$10000,8,FALSE),"0")</f>
        <v>0</v>
      </c>
      <c r="P5857" s="33">
        <f t="shared" si="364"/>
        <v>0</v>
      </c>
      <c r="Q5857" s="31" t="str">
        <f t="shared" si="365"/>
        <v/>
      </c>
      <c r="R5857" s="32" t="str">
        <f>IFERROR(VLOOKUP($D5857,'Informations sur les produits'!$A$3:$B$15000,2,FALSE),"")</f>
        <v/>
      </c>
      <c r="V5857">
        <f t="shared" si="366"/>
        <v>0</v>
      </c>
      <c r="W5857">
        <f t="shared" si="367"/>
        <v>0</v>
      </c>
    </row>
    <row r="5858" spans="5:23" x14ac:dyDescent="0.25">
      <c r="E5858" s="4"/>
      <c r="F5858" s="4"/>
      <c r="G5858" s="33" t="str">
        <f>IFERROR(VLOOKUP($D5858,'Informations sur les produits'!$A$3:$H$10000,8,FALSE),"0")</f>
        <v>0</v>
      </c>
      <c r="K5858" s="4"/>
      <c r="L5858" s="33" t="str">
        <f>IFERROR(VLOOKUP($J5858,'Informations sur les produits'!$A$3:$H$10000,8,FALSE),"0")</f>
        <v>0</v>
      </c>
      <c r="N5858" s="8"/>
      <c r="O5858" s="33" t="str">
        <f>IFERROR(VLOOKUP($M5858,'Informations sur les produits'!$A$3:$H$10000,8,FALSE),"0")</f>
        <v>0</v>
      </c>
      <c r="P5858" s="33">
        <f t="shared" si="364"/>
        <v>0</v>
      </c>
      <c r="Q5858" s="31" t="str">
        <f t="shared" si="365"/>
        <v/>
      </c>
      <c r="R5858" s="32" t="str">
        <f>IFERROR(VLOOKUP($D5858,'Informations sur les produits'!$A$3:$B$15000,2,FALSE),"")</f>
        <v/>
      </c>
      <c r="V5858">
        <f t="shared" si="366"/>
        <v>0</v>
      </c>
      <c r="W5858">
        <f t="shared" si="367"/>
        <v>0</v>
      </c>
    </row>
    <row r="5859" spans="5:23" x14ac:dyDescent="0.25">
      <c r="E5859" s="4"/>
      <c r="F5859" s="4"/>
      <c r="G5859" s="33" t="str">
        <f>IFERROR(VLOOKUP($D5859,'Informations sur les produits'!$A$3:$H$10000,8,FALSE),"0")</f>
        <v>0</v>
      </c>
      <c r="K5859" s="4"/>
      <c r="L5859" s="33" t="str">
        <f>IFERROR(VLOOKUP($J5859,'Informations sur les produits'!$A$3:$H$10000,8,FALSE),"0")</f>
        <v>0</v>
      </c>
      <c r="N5859" s="8"/>
      <c r="O5859" s="33" t="str">
        <f>IFERROR(VLOOKUP($M5859,'Informations sur les produits'!$A$3:$H$10000,8,FALSE),"0")</f>
        <v>0</v>
      </c>
      <c r="P5859" s="33">
        <f t="shared" si="364"/>
        <v>0</v>
      </c>
      <c r="Q5859" s="31" t="str">
        <f t="shared" si="365"/>
        <v/>
      </c>
      <c r="R5859" s="32" t="str">
        <f>IFERROR(VLOOKUP($D5859,'Informations sur les produits'!$A$3:$B$15000,2,FALSE),"")</f>
        <v/>
      </c>
      <c r="V5859">
        <f t="shared" si="366"/>
        <v>0</v>
      </c>
      <c r="W5859">
        <f t="shared" si="367"/>
        <v>0</v>
      </c>
    </row>
    <row r="5860" spans="5:23" x14ac:dyDescent="0.25">
      <c r="E5860" s="4"/>
      <c r="F5860" s="4"/>
      <c r="G5860" s="33" t="str">
        <f>IFERROR(VLOOKUP($D5860,'Informations sur les produits'!$A$3:$H$10000,8,FALSE),"0")</f>
        <v>0</v>
      </c>
      <c r="K5860" s="4"/>
      <c r="L5860" s="33" t="str">
        <f>IFERROR(VLOOKUP($J5860,'Informations sur les produits'!$A$3:$H$10000,8,FALSE),"0")</f>
        <v>0</v>
      </c>
      <c r="N5860" s="8"/>
      <c r="O5860" s="33" t="str">
        <f>IFERROR(VLOOKUP($M5860,'Informations sur les produits'!$A$3:$H$10000,8,FALSE),"0")</f>
        <v>0</v>
      </c>
      <c r="P5860" s="33">
        <f t="shared" si="364"/>
        <v>0</v>
      </c>
      <c r="Q5860" s="31" t="str">
        <f t="shared" si="365"/>
        <v/>
      </c>
      <c r="R5860" s="32" t="str">
        <f>IFERROR(VLOOKUP($D5860,'Informations sur les produits'!$A$3:$B$15000,2,FALSE),"")</f>
        <v/>
      </c>
      <c r="V5860">
        <f t="shared" si="366"/>
        <v>0</v>
      </c>
      <c r="W5860">
        <f t="shared" si="367"/>
        <v>0</v>
      </c>
    </row>
    <row r="5861" spans="5:23" x14ac:dyDescent="0.25">
      <c r="E5861" s="4"/>
      <c r="F5861" s="4"/>
      <c r="G5861" s="33" t="str">
        <f>IFERROR(VLOOKUP($D5861,'Informations sur les produits'!$A$3:$H$10000,8,FALSE),"0")</f>
        <v>0</v>
      </c>
      <c r="K5861" s="4"/>
      <c r="L5861" s="33" t="str">
        <f>IFERROR(VLOOKUP($J5861,'Informations sur les produits'!$A$3:$H$10000,8,FALSE),"0")</f>
        <v>0</v>
      </c>
      <c r="N5861" s="8"/>
      <c r="O5861" s="33" t="str">
        <f>IFERROR(VLOOKUP($M5861,'Informations sur les produits'!$A$3:$H$10000,8,FALSE),"0")</f>
        <v>0</v>
      </c>
      <c r="P5861" s="33">
        <f t="shared" si="364"/>
        <v>0</v>
      </c>
      <c r="Q5861" s="31" t="str">
        <f t="shared" si="365"/>
        <v/>
      </c>
      <c r="R5861" s="32" t="str">
        <f>IFERROR(VLOOKUP($D5861,'Informations sur les produits'!$A$3:$B$15000,2,FALSE),"")</f>
        <v/>
      </c>
      <c r="V5861">
        <f t="shared" si="366"/>
        <v>0</v>
      </c>
      <c r="W5861">
        <f t="shared" si="367"/>
        <v>0</v>
      </c>
    </row>
    <row r="5862" spans="5:23" x14ac:dyDescent="0.25">
      <c r="E5862" s="4"/>
      <c r="F5862" s="4"/>
      <c r="G5862" s="33" t="str">
        <f>IFERROR(VLOOKUP($D5862,'Informations sur les produits'!$A$3:$H$10000,8,FALSE),"0")</f>
        <v>0</v>
      </c>
      <c r="K5862" s="4"/>
      <c r="L5862" s="33" t="str">
        <f>IFERROR(VLOOKUP($J5862,'Informations sur les produits'!$A$3:$H$10000,8,FALSE),"0")</f>
        <v>0</v>
      </c>
      <c r="N5862" s="8"/>
      <c r="O5862" s="33" t="str">
        <f>IFERROR(VLOOKUP($M5862,'Informations sur les produits'!$A$3:$H$10000,8,FALSE),"0")</f>
        <v>0</v>
      </c>
      <c r="P5862" s="33">
        <f t="shared" si="364"/>
        <v>0</v>
      </c>
      <c r="Q5862" s="31" t="str">
        <f t="shared" si="365"/>
        <v/>
      </c>
      <c r="R5862" s="32" t="str">
        <f>IFERROR(VLOOKUP($D5862,'Informations sur les produits'!$A$3:$B$15000,2,FALSE),"")</f>
        <v/>
      </c>
      <c r="V5862">
        <f t="shared" si="366"/>
        <v>0</v>
      </c>
      <c r="W5862">
        <f t="shared" si="367"/>
        <v>0</v>
      </c>
    </row>
    <row r="5863" spans="5:23" x14ac:dyDescent="0.25">
      <c r="E5863" s="4"/>
      <c r="F5863" s="4"/>
      <c r="G5863" s="33" t="str">
        <f>IFERROR(VLOOKUP($D5863,'Informations sur les produits'!$A$3:$H$10000,8,FALSE),"0")</f>
        <v>0</v>
      </c>
      <c r="K5863" s="4"/>
      <c r="L5863" s="33" t="str">
        <f>IFERROR(VLOOKUP($J5863,'Informations sur les produits'!$A$3:$H$10000,8,FALSE),"0")</f>
        <v>0</v>
      </c>
      <c r="N5863" s="8"/>
      <c r="O5863" s="33" t="str">
        <f>IFERROR(VLOOKUP($M5863,'Informations sur les produits'!$A$3:$H$10000,8,FALSE),"0")</f>
        <v>0</v>
      </c>
      <c r="P5863" s="33">
        <f t="shared" si="364"/>
        <v>0</v>
      </c>
      <c r="Q5863" s="31" t="str">
        <f t="shared" si="365"/>
        <v/>
      </c>
      <c r="R5863" s="32" t="str">
        <f>IFERROR(VLOOKUP($D5863,'Informations sur les produits'!$A$3:$B$15000,2,FALSE),"")</f>
        <v/>
      </c>
      <c r="V5863">
        <f t="shared" si="366"/>
        <v>0</v>
      </c>
      <c r="W5863">
        <f t="shared" si="367"/>
        <v>0</v>
      </c>
    </row>
    <row r="5864" spans="5:23" x14ac:dyDescent="0.25">
      <c r="E5864" s="4"/>
      <c r="F5864" s="4"/>
      <c r="G5864" s="33" t="str">
        <f>IFERROR(VLOOKUP($D5864,'Informations sur les produits'!$A$3:$H$10000,8,FALSE),"0")</f>
        <v>0</v>
      </c>
      <c r="K5864" s="4"/>
      <c r="L5864" s="33" t="str">
        <f>IFERROR(VLOOKUP($J5864,'Informations sur les produits'!$A$3:$H$10000,8,FALSE),"0")</f>
        <v>0</v>
      </c>
      <c r="N5864" s="8"/>
      <c r="O5864" s="33" t="str">
        <f>IFERROR(VLOOKUP($M5864,'Informations sur les produits'!$A$3:$H$10000,8,FALSE),"0")</f>
        <v>0</v>
      </c>
      <c r="P5864" s="33">
        <f t="shared" si="364"/>
        <v>0</v>
      </c>
      <c r="Q5864" s="31" t="str">
        <f t="shared" si="365"/>
        <v/>
      </c>
      <c r="R5864" s="32" t="str">
        <f>IFERROR(VLOOKUP($D5864,'Informations sur les produits'!$A$3:$B$15000,2,FALSE),"")</f>
        <v/>
      </c>
      <c r="V5864">
        <f t="shared" si="366"/>
        <v>0</v>
      </c>
      <c r="W5864">
        <f t="shared" si="367"/>
        <v>0</v>
      </c>
    </row>
    <row r="5865" spans="5:23" x14ac:dyDescent="0.25">
      <c r="E5865" s="4"/>
      <c r="F5865" s="4"/>
      <c r="G5865" s="33" t="str">
        <f>IFERROR(VLOOKUP($D5865,'Informations sur les produits'!$A$3:$H$10000,8,FALSE),"0")</f>
        <v>0</v>
      </c>
      <c r="K5865" s="4"/>
      <c r="L5865" s="33" t="str">
        <f>IFERROR(VLOOKUP($J5865,'Informations sur les produits'!$A$3:$H$10000,8,FALSE),"0")</f>
        <v>0</v>
      </c>
      <c r="N5865" s="8"/>
      <c r="O5865" s="33" t="str">
        <f>IFERROR(VLOOKUP($M5865,'Informations sur les produits'!$A$3:$H$10000,8,FALSE),"0")</f>
        <v>0</v>
      </c>
      <c r="P5865" s="33">
        <f t="shared" si="364"/>
        <v>0</v>
      </c>
      <c r="Q5865" s="31" t="str">
        <f t="shared" si="365"/>
        <v/>
      </c>
      <c r="R5865" s="32" t="str">
        <f>IFERROR(VLOOKUP($D5865,'Informations sur les produits'!$A$3:$B$15000,2,FALSE),"")</f>
        <v/>
      </c>
      <c r="V5865">
        <f t="shared" si="366"/>
        <v>0</v>
      </c>
      <c r="W5865">
        <f t="shared" si="367"/>
        <v>0</v>
      </c>
    </row>
    <row r="5866" spans="5:23" x14ac:dyDescent="0.25">
      <c r="E5866" s="4"/>
      <c r="F5866" s="4"/>
      <c r="G5866" s="33" t="str">
        <f>IFERROR(VLOOKUP($D5866,'Informations sur les produits'!$A$3:$H$10000,8,FALSE),"0")</f>
        <v>0</v>
      </c>
      <c r="K5866" s="4"/>
      <c r="L5866" s="33" t="str">
        <f>IFERROR(VLOOKUP($J5866,'Informations sur les produits'!$A$3:$H$10000,8,FALSE),"0")</f>
        <v>0</v>
      </c>
      <c r="N5866" s="8"/>
      <c r="O5866" s="33" t="str">
        <f>IFERROR(VLOOKUP($M5866,'Informations sur les produits'!$A$3:$H$10000,8,FALSE),"0")</f>
        <v>0</v>
      </c>
      <c r="P5866" s="33">
        <f t="shared" si="364"/>
        <v>0</v>
      </c>
      <c r="Q5866" s="31" t="str">
        <f t="shared" si="365"/>
        <v/>
      </c>
      <c r="R5866" s="32" t="str">
        <f>IFERROR(VLOOKUP($D5866,'Informations sur les produits'!$A$3:$B$15000,2,FALSE),"")</f>
        <v/>
      </c>
      <c r="V5866">
        <f t="shared" si="366"/>
        <v>0</v>
      </c>
      <c r="W5866">
        <f t="shared" si="367"/>
        <v>0</v>
      </c>
    </row>
    <row r="5867" spans="5:23" x14ac:dyDescent="0.25">
      <c r="E5867" s="4"/>
      <c r="F5867" s="4"/>
      <c r="G5867" s="33" t="str">
        <f>IFERROR(VLOOKUP($D5867,'Informations sur les produits'!$A$3:$H$10000,8,FALSE),"0")</f>
        <v>0</v>
      </c>
      <c r="K5867" s="4"/>
      <c r="L5867" s="33" t="str">
        <f>IFERROR(VLOOKUP($J5867,'Informations sur les produits'!$A$3:$H$10000,8,FALSE),"0")</f>
        <v>0</v>
      </c>
      <c r="N5867" s="8"/>
      <c r="O5867" s="33" t="str">
        <f>IFERROR(VLOOKUP($M5867,'Informations sur les produits'!$A$3:$H$10000,8,FALSE),"0")</f>
        <v>0</v>
      </c>
      <c r="P5867" s="33">
        <f t="shared" si="364"/>
        <v>0</v>
      </c>
      <c r="Q5867" s="31" t="str">
        <f t="shared" si="365"/>
        <v/>
      </c>
      <c r="R5867" s="32" t="str">
        <f>IFERROR(VLOOKUP($D5867,'Informations sur les produits'!$A$3:$B$15000,2,FALSE),"")</f>
        <v/>
      </c>
      <c r="V5867">
        <f t="shared" si="366"/>
        <v>0</v>
      </c>
      <c r="W5867">
        <f t="shared" si="367"/>
        <v>0</v>
      </c>
    </row>
    <row r="5868" spans="5:23" x14ac:dyDescent="0.25">
      <c r="E5868" s="4"/>
      <c r="F5868" s="4"/>
      <c r="G5868" s="33" t="str">
        <f>IFERROR(VLOOKUP($D5868,'Informations sur les produits'!$A$3:$H$10000,8,FALSE),"0")</f>
        <v>0</v>
      </c>
      <c r="K5868" s="4"/>
      <c r="L5868" s="33" t="str">
        <f>IFERROR(VLOOKUP($J5868,'Informations sur les produits'!$A$3:$H$10000,8,FALSE),"0")</f>
        <v>0</v>
      </c>
      <c r="N5868" s="8"/>
      <c r="O5868" s="33" t="str">
        <f>IFERROR(VLOOKUP($M5868,'Informations sur les produits'!$A$3:$H$10000,8,FALSE),"0")</f>
        <v>0</v>
      </c>
      <c r="P5868" s="33">
        <f t="shared" si="364"/>
        <v>0</v>
      </c>
      <c r="Q5868" s="31" t="str">
        <f t="shared" si="365"/>
        <v/>
      </c>
      <c r="R5868" s="32" t="str">
        <f>IFERROR(VLOOKUP($D5868,'Informations sur les produits'!$A$3:$B$15000,2,FALSE),"")</f>
        <v/>
      </c>
      <c r="V5868">
        <f t="shared" si="366"/>
        <v>0</v>
      </c>
      <c r="W5868">
        <f t="shared" si="367"/>
        <v>0</v>
      </c>
    </row>
    <row r="5869" spans="5:23" x14ac:dyDescent="0.25">
      <c r="E5869" s="4"/>
      <c r="F5869" s="4"/>
      <c r="G5869" s="33" t="str">
        <f>IFERROR(VLOOKUP($D5869,'Informations sur les produits'!$A$3:$H$10000,8,FALSE),"0")</f>
        <v>0</v>
      </c>
      <c r="K5869" s="4"/>
      <c r="L5869" s="33" t="str">
        <f>IFERROR(VLOOKUP($J5869,'Informations sur les produits'!$A$3:$H$10000,8,FALSE),"0")</f>
        <v>0</v>
      </c>
      <c r="N5869" s="8"/>
      <c r="O5869" s="33" t="str">
        <f>IFERROR(VLOOKUP($M5869,'Informations sur les produits'!$A$3:$H$10000,8,FALSE),"0")</f>
        <v>0</v>
      </c>
      <c r="P5869" s="33">
        <f t="shared" si="364"/>
        <v>0</v>
      </c>
      <c r="Q5869" s="31" t="str">
        <f t="shared" si="365"/>
        <v/>
      </c>
      <c r="R5869" s="32" t="str">
        <f>IFERROR(VLOOKUP($D5869,'Informations sur les produits'!$A$3:$B$15000,2,FALSE),"")</f>
        <v/>
      </c>
      <c r="V5869">
        <f t="shared" si="366"/>
        <v>0</v>
      </c>
      <c r="W5869">
        <f t="shared" si="367"/>
        <v>0</v>
      </c>
    </row>
    <row r="5870" spans="5:23" x14ac:dyDescent="0.25">
      <c r="E5870" s="4"/>
      <c r="F5870" s="4"/>
      <c r="G5870" s="33" t="str">
        <f>IFERROR(VLOOKUP($D5870,'Informations sur les produits'!$A$3:$H$10000,8,FALSE),"0")</f>
        <v>0</v>
      </c>
      <c r="K5870" s="4"/>
      <c r="L5870" s="33" t="str">
        <f>IFERROR(VLOOKUP($J5870,'Informations sur les produits'!$A$3:$H$10000,8,FALSE),"0")</f>
        <v>0</v>
      </c>
      <c r="N5870" s="8"/>
      <c r="O5870" s="33" t="str">
        <f>IFERROR(VLOOKUP($M5870,'Informations sur les produits'!$A$3:$H$10000,8,FALSE),"0")</f>
        <v>0</v>
      </c>
      <c r="P5870" s="33">
        <f t="shared" si="364"/>
        <v>0</v>
      </c>
      <c r="Q5870" s="31" t="str">
        <f t="shared" si="365"/>
        <v/>
      </c>
      <c r="R5870" s="32" t="str">
        <f>IFERROR(VLOOKUP($D5870,'Informations sur les produits'!$A$3:$B$15000,2,FALSE),"")</f>
        <v/>
      </c>
      <c r="V5870">
        <f t="shared" si="366"/>
        <v>0</v>
      </c>
      <c r="W5870">
        <f t="shared" si="367"/>
        <v>0</v>
      </c>
    </row>
    <row r="5871" spans="5:23" x14ac:dyDescent="0.25">
      <c r="E5871" s="4"/>
      <c r="F5871" s="4"/>
      <c r="G5871" s="33" t="str">
        <f>IFERROR(VLOOKUP($D5871,'Informations sur les produits'!$A$3:$H$10000,8,FALSE),"0")</f>
        <v>0</v>
      </c>
      <c r="K5871" s="4"/>
      <c r="L5871" s="33" t="str">
        <f>IFERROR(VLOOKUP($J5871,'Informations sur les produits'!$A$3:$H$10000,8,FALSE),"0")</f>
        <v>0</v>
      </c>
      <c r="N5871" s="8"/>
      <c r="O5871" s="33" t="str">
        <f>IFERROR(VLOOKUP($M5871,'Informations sur les produits'!$A$3:$H$10000,8,FALSE),"0")</f>
        <v>0</v>
      </c>
      <c r="P5871" s="33">
        <f t="shared" si="364"/>
        <v>0</v>
      </c>
      <c r="Q5871" s="31" t="str">
        <f t="shared" si="365"/>
        <v/>
      </c>
      <c r="R5871" s="32" t="str">
        <f>IFERROR(VLOOKUP($D5871,'Informations sur les produits'!$A$3:$B$15000,2,FALSE),"")</f>
        <v/>
      </c>
      <c r="V5871">
        <f t="shared" si="366"/>
        <v>0</v>
      </c>
      <c r="W5871">
        <f t="shared" si="367"/>
        <v>0</v>
      </c>
    </row>
    <row r="5872" spans="5:23" x14ac:dyDescent="0.25">
      <c r="E5872" s="4"/>
      <c r="F5872" s="4"/>
      <c r="G5872" s="33" t="str">
        <f>IFERROR(VLOOKUP($D5872,'Informations sur les produits'!$A$3:$H$10000,8,FALSE),"0")</f>
        <v>0</v>
      </c>
      <c r="K5872" s="4"/>
      <c r="L5872" s="33" t="str">
        <f>IFERROR(VLOOKUP($J5872,'Informations sur les produits'!$A$3:$H$10000,8,FALSE),"0")</f>
        <v>0</v>
      </c>
      <c r="N5872" s="8"/>
      <c r="O5872" s="33" t="str">
        <f>IFERROR(VLOOKUP($M5872,'Informations sur les produits'!$A$3:$H$10000,8,FALSE),"0")</f>
        <v>0</v>
      </c>
      <c r="P5872" s="33">
        <f t="shared" si="364"/>
        <v>0</v>
      </c>
      <c r="Q5872" s="31" t="str">
        <f t="shared" si="365"/>
        <v/>
      </c>
      <c r="R5872" s="32" t="str">
        <f>IFERROR(VLOOKUP($D5872,'Informations sur les produits'!$A$3:$B$15000,2,FALSE),"")</f>
        <v/>
      </c>
      <c r="V5872">
        <f t="shared" si="366"/>
        <v>0</v>
      </c>
      <c r="W5872">
        <f t="shared" si="367"/>
        <v>0</v>
      </c>
    </row>
    <row r="5873" spans="5:23" x14ac:dyDescent="0.25">
      <c r="E5873" s="4"/>
      <c r="F5873" s="4"/>
      <c r="G5873" s="33" t="str">
        <f>IFERROR(VLOOKUP($D5873,'Informations sur les produits'!$A$3:$H$10000,8,FALSE),"0")</f>
        <v>0</v>
      </c>
      <c r="K5873" s="4"/>
      <c r="L5873" s="33" t="str">
        <f>IFERROR(VLOOKUP($J5873,'Informations sur les produits'!$A$3:$H$10000,8,FALSE),"0")</f>
        <v>0</v>
      </c>
      <c r="N5873" s="8"/>
      <c r="O5873" s="33" t="str">
        <f>IFERROR(VLOOKUP($M5873,'Informations sur les produits'!$A$3:$H$10000,8,FALSE),"0")</f>
        <v>0</v>
      </c>
      <c r="P5873" s="33">
        <f t="shared" si="364"/>
        <v>0</v>
      </c>
      <c r="Q5873" s="31" t="str">
        <f t="shared" si="365"/>
        <v/>
      </c>
      <c r="R5873" s="32" t="str">
        <f>IFERROR(VLOOKUP($D5873,'Informations sur les produits'!$A$3:$B$15000,2,FALSE),"")</f>
        <v/>
      </c>
      <c r="V5873">
        <f t="shared" si="366"/>
        <v>0</v>
      </c>
      <c r="W5873">
        <f t="shared" si="367"/>
        <v>0</v>
      </c>
    </row>
    <row r="5874" spans="5:23" x14ac:dyDescent="0.25">
      <c r="E5874" s="4"/>
      <c r="F5874" s="4"/>
      <c r="G5874" s="33" t="str">
        <f>IFERROR(VLOOKUP($D5874,'Informations sur les produits'!$A$3:$H$10000,8,FALSE),"0")</f>
        <v>0</v>
      </c>
      <c r="K5874" s="4"/>
      <c r="L5874" s="33" t="str">
        <f>IFERROR(VLOOKUP($J5874,'Informations sur les produits'!$A$3:$H$10000,8,FALSE),"0")</f>
        <v>0</v>
      </c>
      <c r="N5874" s="8"/>
      <c r="O5874" s="33" t="str">
        <f>IFERROR(VLOOKUP($M5874,'Informations sur les produits'!$A$3:$H$10000,8,FALSE),"0")</f>
        <v>0</v>
      </c>
      <c r="P5874" s="33">
        <f t="shared" si="364"/>
        <v>0</v>
      </c>
      <c r="Q5874" s="31" t="str">
        <f t="shared" si="365"/>
        <v/>
      </c>
      <c r="R5874" s="32" t="str">
        <f>IFERROR(VLOOKUP($D5874,'Informations sur les produits'!$A$3:$B$15000,2,FALSE),"")</f>
        <v/>
      </c>
      <c r="V5874">
        <f t="shared" si="366"/>
        <v>0</v>
      </c>
      <c r="W5874">
        <f t="shared" si="367"/>
        <v>0</v>
      </c>
    </row>
    <row r="5875" spans="5:23" x14ac:dyDescent="0.25">
      <c r="E5875" s="4"/>
      <c r="F5875" s="4"/>
      <c r="G5875" s="33" t="str">
        <f>IFERROR(VLOOKUP($D5875,'Informations sur les produits'!$A$3:$H$10000,8,FALSE),"0")</f>
        <v>0</v>
      </c>
      <c r="K5875" s="4"/>
      <c r="L5875" s="33" t="str">
        <f>IFERROR(VLOOKUP($J5875,'Informations sur les produits'!$A$3:$H$10000,8,FALSE),"0")</f>
        <v>0</v>
      </c>
      <c r="N5875" s="8"/>
      <c r="O5875" s="33" t="str">
        <f>IFERROR(VLOOKUP($M5875,'Informations sur les produits'!$A$3:$H$10000,8,FALSE),"0")</f>
        <v>0</v>
      </c>
      <c r="P5875" s="33">
        <f t="shared" si="364"/>
        <v>0</v>
      </c>
      <c r="Q5875" s="31" t="str">
        <f t="shared" si="365"/>
        <v/>
      </c>
      <c r="R5875" s="32" t="str">
        <f>IFERROR(VLOOKUP($D5875,'Informations sur les produits'!$A$3:$B$15000,2,FALSE),"")</f>
        <v/>
      </c>
      <c r="V5875">
        <f t="shared" si="366"/>
        <v>0</v>
      </c>
      <c r="W5875">
        <f t="shared" si="367"/>
        <v>0</v>
      </c>
    </row>
    <row r="5876" spans="5:23" x14ac:dyDescent="0.25">
      <c r="E5876" s="4"/>
      <c r="F5876" s="4"/>
      <c r="G5876" s="33" t="str">
        <f>IFERROR(VLOOKUP($D5876,'Informations sur les produits'!$A$3:$H$10000,8,FALSE),"0")</f>
        <v>0</v>
      </c>
      <c r="K5876" s="4"/>
      <c r="L5876" s="33" t="str">
        <f>IFERROR(VLOOKUP($J5876,'Informations sur les produits'!$A$3:$H$10000,8,FALSE),"0")</f>
        <v>0</v>
      </c>
      <c r="N5876" s="8"/>
      <c r="O5876" s="33" t="str">
        <f>IFERROR(VLOOKUP($M5876,'Informations sur les produits'!$A$3:$H$10000,8,FALSE),"0")</f>
        <v>0</v>
      </c>
      <c r="P5876" s="33">
        <f t="shared" si="364"/>
        <v>0</v>
      </c>
      <c r="Q5876" s="31" t="str">
        <f t="shared" si="365"/>
        <v/>
      </c>
      <c r="R5876" s="32" t="str">
        <f>IFERROR(VLOOKUP($D5876,'Informations sur les produits'!$A$3:$B$15000,2,FALSE),"")</f>
        <v/>
      </c>
      <c r="V5876">
        <f t="shared" si="366"/>
        <v>0</v>
      </c>
      <c r="W5876">
        <f t="shared" si="367"/>
        <v>0</v>
      </c>
    </row>
    <row r="5877" spans="5:23" x14ac:dyDescent="0.25">
      <c r="E5877" s="4"/>
      <c r="F5877" s="4"/>
      <c r="G5877" s="33" t="str">
        <f>IFERROR(VLOOKUP($D5877,'Informations sur les produits'!$A$3:$H$10000,8,FALSE),"0")</f>
        <v>0</v>
      </c>
      <c r="K5877" s="4"/>
      <c r="L5877" s="33" t="str">
        <f>IFERROR(VLOOKUP($J5877,'Informations sur les produits'!$A$3:$H$10000,8,FALSE),"0")</f>
        <v>0</v>
      </c>
      <c r="N5877" s="8"/>
      <c r="O5877" s="33" t="str">
        <f>IFERROR(VLOOKUP($M5877,'Informations sur les produits'!$A$3:$H$10000,8,FALSE),"0")</f>
        <v>0</v>
      </c>
      <c r="P5877" s="33">
        <f t="shared" si="364"/>
        <v>0</v>
      </c>
      <c r="Q5877" s="31" t="str">
        <f t="shared" si="365"/>
        <v/>
      </c>
      <c r="R5877" s="32" t="str">
        <f>IFERROR(VLOOKUP($D5877,'Informations sur les produits'!$A$3:$B$15000,2,FALSE),"")</f>
        <v/>
      </c>
      <c r="V5877">
        <f t="shared" si="366"/>
        <v>0</v>
      </c>
      <c r="W5877">
        <f t="shared" si="367"/>
        <v>0</v>
      </c>
    </row>
    <row r="5878" spans="5:23" x14ac:dyDescent="0.25">
      <c r="E5878" s="4"/>
      <c r="F5878" s="4"/>
      <c r="G5878" s="33" t="str">
        <f>IFERROR(VLOOKUP($D5878,'Informations sur les produits'!$A$3:$H$10000,8,FALSE),"0")</f>
        <v>0</v>
      </c>
      <c r="K5878" s="4"/>
      <c r="L5878" s="33" t="str">
        <f>IFERROR(VLOOKUP($J5878,'Informations sur les produits'!$A$3:$H$10000,8,FALSE),"0")</f>
        <v>0</v>
      </c>
      <c r="N5878" s="8"/>
      <c r="O5878" s="33" t="str">
        <f>IFERROR(VLOOKUP($M5878,'Informations sur les produits'!$A$3:$H$10000,8,FALSE),"0")</f>
        <v>0</v>
      </c>
      <c r="P5878" s="33">
        <f t="shared" si="364"/>
        <v>0</v>
      </c>
      <c r="Q5878" s="31" t="str">
        <f t="shared" si="365"/>
        <v/>
      </c>
      <c r="R5878" s="32" t="str">
        <f>IFERROR(VLOOKUP($D5878,'Informations sur les produits'!$A$3:$B$15000,2,FALSE),"")</f>
        <v/>
      </c>
      <c r="V5878">
        <f t="shared" si="366"/>
        <v>0</v>
      </c>
      <c r="W5878">
        <f t="shared" si="367"/>
        <v>0</v>
      </c>
    </row>
    <row r="5879" spans="5:23" x14ac:dyDescent="0.25">
      <c r="E5879" s="4"/>
      <c r="F5879" s="4"/>
      <c r="G5879" s="33" t="str">
        <f>IFERROR(VLOOKUP($D5879,'Informations sur les produits'!$A$3:$H$10000,8,FALSE),"0")</f>
        <v>0</v>
      </c>
      <c r="K5879" s="4"/>
      <c r="L5879" s="33" t="str">
        <f>IFERROR(VLOOKUP($J5879,'Informations sur les produits'!$A$3:$H$10000,8,FALSE),"0")</f>
        <v>0</v>
      </c>
      <c r="N5879" s="8"/>
      <c r="O5879" s="33" t="str">
        <f>IFERROR(VLOOKUP($M5879,'Informations sur les produits'!$A$3:$H$10000,8,FALSE),"0")</f>
        <v>0</v>
      </c>
      <c r="P5879" s="33">
        <f t="shared" si="364"/>
        <v>0</v>
      </c>
      <c r="Q5879" s="31" t="str">
        <f t="shared" si="365"/>
        <v/>
      </c>
      <c r="R5879" s="32" t="str">
        <f>IFERROR(VLOOKUP($D5879,'Informations sur les produits'!$A$3:$B$15000,2,FALSE),"")</f>
        <v/>
      </c>
      <c r="V5879">
        <f t="shared" si="366"/>
        <v>0</v>
      </c>
      <c r="W5879">
        <f t="shared" si="367"/>
        <v>0</v>
      </c>
    </row>
    <row r="5880" spans="5:23" x14ac:dyDescent="0.25">
      <c r="E5880" s="4"/>
      <c r="F5880" s="4"/>
      <c r="G5880" s="33" t="str">
        <f>IFERROR(VLOOKUP($D5880,'Informations sur les produits'!$A$3:$H$10000,8,FALSE),"0")</f>
        <v>0</v>
      </c>
      <c r="K5880" s="4"/>
      <c r="L5880" s="33" t="str">
        <f>IFERROR(VLOOKUP($J5880,'Informations sur les produits'!$A$3:$H$10000,8,FALSE),"0")</f>
        <v>0</v>
      </c>
      <c r="N5880" s="8"/>
      <c r="O5880" s="33" t="str">
        <f>IFERROR(VLOOKUP($M5880,'Informations sur les produits'!$A$3:$H$10000,8,FALSE),"0")</f>
        <v>0</v>
      </c>
      <c r="P5880" s="33">
        <f t="shared" si="364"/>
        <v>0</v>
      </c>
      <c r="Q5880" s="31" t="str">
        <f t="shared" si="365"/>
        <v/>
      </c>
      <c r="R5880" s="32" t="str">
        <f>IFERROR(VLOOKUP($D5880,'Informations sur les produits'!$A$3:$B$15000,2,FALSE),"")</f>
        <v/>
      </c>
      <c r="V5880">
        <f t="shared" si="366"/>
        <v>0</v>
      </c>
      <c r="W5880">
        <f t="shared" si="367"/>
        <v>0</v>
      </c>
    </row>
    <row r="5881" spans="5:23" x14ac:dyDescent="0.25">
      <c r="E5881" s="4"/>
      <c r="F5881" s="4"/>
      <c r="G5881" s="33" t="str">
        <f>IFERROR(VLOOKUP($D5881,'Informations sur les produits'!$A$3:$H$10000,8,FALSE),"0")</f>
        <v>0</v>
      </c>
      <c r="K5881" s="4"/>
      <c r="L5881" s="33" t="str">
        <f>IFERROR(VLOOKUP($J5881,'Informations sur les produits'!$A$3:$H$10000,8,FALSE),"0")</f>
        <v>0</v>
      </c>
      <c r="N5881" s="8"/>
      <c r="O5881" s="33" t="str">
        <f>IFERROR(VLOOKUP($M5881,'Informations sur les produits'!$A$3:$H$10000,8,FALSE),"0")</f>
        <v>0</v>
      </c>
      <c r="P5881" s="33">
        <f t="shared" si="364"/>
        <v>0</v>
      </c>
      <c r="Q5881" s="31" t="str">
        <f t="shared" si="365"/>
        <v/>
      </c>
      <c r="R5881" s="32" t="str">
        <f>IFERROR(VLOOKUP($D5881,'Informations sur les produits'!$A$3:$B$15000,2,FALSE),"")</f>
        <v/>
      </c>
      <c r="V5881">
        <f t="shared" si="366"/>
        <v>0</v>
      </c>
      <c r="W5881">
        <f t="shared" si="367"/>
        <v>0</v>
      </c>
    </row>
    <row r="5882" spans="5:23" x14ac:dyDescent="0.25">
      <c r="E5882" s="4"/>
      <c r="F5882" s="4"/>
      <c r="G5882" s="33" t="str">
        <f>IFERROR(VLOOKUP($D5882,'Informations sur les produits'!$A$3:$H$10000,8,FALSE),"0")</f>
        <v>0</v>
      </c>
      <c r="K5882" s="4"/>
      <c r="L5882" s="33" t="str">
        <f>IFERROR(VLOOKUP($J5882,'Informations sur les produits'!$A$3:$H$10000,8,FALSE),"0")</f>
        <v>0</v>
      </c>
      <c r="N5882" s="8"/>
      <c r="O5882" s="33" t="str">
        <f>IFERROR(VLOOKUP($M5882,'Informations sur les produits'!$A$3:$H$10000,8,FALSE),"0")</f>
        <v>0</v>
      </c>
      <c r="P5882" s="33">
        <f t="shared" si="364"/>
        <v>0</v>
      </c>
      <c r="Q5882" s="31" t="str">
        <f t="shared" si="365"/>
        <v/>
      </c>
      <c r="R5882" s="32" t="str">
        <f>IFERROR(VLOOKUP($D5882,'Informations sur les produits'!$A$3:$B$15000,2,FALSE),"")</f>
        <v/>
      </c>
      <c r="V5882">
        <f t="shared" si="366"/>
        <v>0</v>
      </c>
      <c r="W5882">
        <f t="shared" si="367"/>
        <v>0</v>
      </c>
    </row>
    <row r="5883" spans="5:23" x14ac:dyDescent="0.25">
      <c r="E5883" s="4"/>
      <c r="F5883" s="4"/>
      <c r="G5883" s="33" t="str">
        <f>IFERROR(VLOOKUP($D5883,'Informations sur les produits'!$A$3:$H$10000,8,FALSE),"0")</f>
        <v>0</v>
      </c>
      <c r="K5883" s="4"/>
      <c r="L5883" s="33" t="str">
        <f>IFERROR(VLOOKUP($J5883,'Informations sur les produits'!$A$3:$H$10000,8,FALSE),"0")</f>
        <v>0</v>
      </c>
      <c r="N5883" s="8"/>
      <c r="O5883" s="33" t="str">
        <f>IFERROR(VLOOKUP($M5883,'Informations sur les produits'!$A$3:$H$10000,8,FALSE),"0")</f>
        <v>0</v>
      </c>
      <c r="P5883" s="33">
        <f t="shared" si="364"/>
        <v>0</v>
      </c>
      <c r="Q5883" s="31" t="str">
        <f t="shared" si="365"/>
        <v/>
      </c>
      <c r="R5883" s="32" t="str">
        <f>IFERROR(VLOOKUP($D5883,'Informations sur les produits'!$A$3:$B$15000,2,FALSE),"")</f>
        <v/>
      </c>
      <c r="V5883">
        <f t="shared" si="366"/>
        <v>0</v>
      </c>
      <c r="W5883">
        <f t="shared" si="367"/>
        <v>0</v>
      </c>
    </row>
    <row r="5884" spans="5:23" x14ac:dyDescent="0.25">
      <c r="E5884" s="4"/>
      <c r="F5884" s="4"/>
      <c r="G5884" s="33" t="str">
        <f>IFERROR(VLOOKUP($D5884,'Informations sur les produits'!$A$3:$H$10000,8,FALSE),"0")</f>
        <v>0</v>
      </c>
      <c r="K5884" s="4"/>
      <c r="L5884" s="33" t="str">
        <f>IFERROR(VLOOKUP($J5884,'Informations sur les produits'!$A$3:$H$10000,8,FALSE),"0")</f>
        <v>0</v>
      </c>
      <c r="N5884" s="8"/>
      <c r="O5884" s="33" t="str">
        <f>IFERROR(VLOOKUP($M5884,'Informations sur les produits'!$A$3:$H$10000,8,FALSE),"0")</f>
        <v>0</v>
      </c>
      <c r="P5884" s="33">
        <f t="shared" si="364"/>
        <v>0</v>
      </c>
      <c r="Q5884" s="31" t="str">
        <f t="shared" si="365"/>
        <v/>
      </c>
      <c r="R5884" s="32" t="str">
        <f>IFERROR(VLOOKUP($D5884,'Informations sur les produits'!$A$3:$B$15000,2,FALSE),"")</f>
        <v/>
      </c>
      <c r="V5884">
        <f t="shared" si="366"/>
        <v>0</v>
      </c>
      <c r="W5884">
        <f t="shared" si="367"/>
        <v>0</v>
      </c>
    </row>
    <row r="5885" spans="5:23" x14ac:dyDescent="0.25">
      <c r="E5885" s="4"/>
      <c r="F5885" s="4"/>
      <c r="G5885" s="33" t="str">
        <f>IFERROR(VLOOKUP($D5885,'Informations sur les produits'!$A$3:$H$10000,8,FALSE),"0")</f>
        <v>0</v>
      </c>
      <c r="K5885" s="4"/>
      <c r="L5885" s="33" t="str">
        <f>IFERROR(VLOOKUP($J5885,'Informations sur les produits'!$A$3:$H$10000,8,FALSE),"0")</f>
        <v>0</v>
      </c>
      <c r="N5885" s="8"/>
      <c r="O5885" s="33" t="str">
        <f>IFERROR(VLOOKUP($M5885,'Informations sur les produits'!$A$3:$H$10000,8,FALSE),"0")</f>
        <v>0</v>
      </c>
      <c r="P5885" s="33">
        <f t="shared" si="364"/>
        <v>0</v>
      </c>
      <c r="Q5885" s="31" t="str">
        <f t="shared" si="365"/>
        <v/>
      </c>
      <c r="R5885" s="32" t="str">
        <f>IFERROR(VLOOKUP($D5885,'Informations sur les produits'!$A$3:$B$15000,2,FALSE),"")</f>
        <v/>
      </c>
      <c r="V5885">
        <f t="shared" si="366"/>
        <v>0</v>
      </c>
      <c r="W5885">
        <f t="shared" si="367"/>
        <v>0</v>
      </c>
    </row>
    <row r="5886" spans="5:23" x14ac:dyDescent="0.25">
      <c r="E5886" s="4"/>
      <c r="F5886" s="4"/>
      <c r="G5886" s="33" t="str">
        <f>IFERROR(VLOOKUP($D5886,'Informations sur les produits'!$A$3:$H$10000,8,FALSE),"0")</f>
        <v>0</v>
      </c>
      <c r="K5886" s="4"/>
      <c r="L5886" s="33" t="str">
        <f>IFERROR(VLOOKUP($J5886,'Informations sur les produits'!$A$3:$H$10000,8,FALSE),"0")</f>
        <v>0</v>
      </c>
      <c r="N5886" s="8"/>
      <c r="O5886" s="33" t="str">
        <f>IFERROR(VLOOKUP($M5886,'Informations sur les produits'!$A$3:$H$10000,8,FALSE),"0")</f>
        <v>0</v>
      </c>
      <c r="P5886" s="33">
        <f t="shared" si="364"/>
        <v>0</v>
      </c>
      <c r="Q5886" s="31" t="str">
        <f t="shared" si="365"/>
        <v/>
      </c>
      <c r="R5886" s="32" t="str">
        <f>IFERROR(VLOOKUP($D5886,'Informations sur les produits'!$A$3:$B$15000,2,FALSE),"")</f>
        <v/>
      </c>
      <c r="V5886">
        <f t="shared" si="366"/>
        <v>0</v>
      </c>
      <c r="W5886">
        <f t="shared" si="367"/>
        <v>0</v>
      </c>
    </row>
    <row r="5887" spans="5:23" x14ac:dyDescent="0.25">
      <c r="E5887" s="4"/>
      <c r="F5887" s="4"/>
      <c r="G5887" s="33" t="str">
        <f>IFERROR(VLOOKUP($D5887,'Informations sur les produits'!$A$3:$H$10000,8,FALSE),"0")</f>
        <v>0</v>
      </c>
      <c r="K5887" s="4"/>
      <c r="L5887" s="33" t="str">
        <f>IFERROR(VLOOKUP($J5887,'Informations sur les produits'!$A$3:$H$10000,8,FALSE),"0")</f>
        <v>0</v>
      </c>
      <c r="N5887" s="8"/>
      <c r="O5887" s="33" t="str">
        <f>IFERROR(VLOOKUP($M5887,'Informations sur les produits'!$A$3:$H$10000,8,FALSE),"0")</f>
        <v>0</v>
      </c>
      <c r="P5887" s="33">
        <f t="shared" si="364"/>
        <v>0</v>
      </c>
      <c r="Q5887" s="31" t="str">
        <f t="shared" si="365"/>
        <v/>
      </c>
      <c r="R5887" s="32" t="str">
        <f>IFERROR(VLOOKUP($D5887,'Informations sur les produits'!$A$3:$B$15000,2,FALSE),"")</f>
        <v/>
      </c>
      <c r="V5887">
        <f t="shared" si="366"/>
        <v>0</v>
      </c>
      <c r="W5887">
        <f t="shared" si="367"/>
        <v>0</v>
      </c>
    </row>
    <row r="5888" spans="5:23" x14ac:dyDescent="0.25">
      <c r="E5888" s="4"/>
      <c r="F5888" s="4"/>
      <c r="G5888" s="33" t="str">
        <f>IFERROR(VLOOKUP($D5888,'Informations sur les produits'!$A$3:$H$10000,8,FALSE),"0")</f>
        <v>0</v>
      </c>
      <c r="K5888" s="4"/>
      <c r="L5888" s="33" t="str">
        <f>IFERROR(VLOOKUP($J5888,'Informations sur les produits'!$A$3:$H$10000,8,FALSE),"0")</f>
        <v>0</v>
      </c>
      <c r="N5888" s="8"/>
      <c r="O5888" s="33" t="str">
        <f>IFERROR(VLOOKUP($M5888,'Informations sur les produits'!$A$3:$H$10000,8,FALSE),"0")</f>
        <v>0</v>
      </c>
      <c r="P5888" s="33">
        <f t="shared" si="364"/>
        <v>0</v>
      </c>
      <c r="Q5888" s="31" t="str">
        <f t="shared" si="365"/>
        <v/>
      </c>
      <c r="R5888" s="32" t="str">
        <f>IFERROR(VLOOKUP($D5888,'Informations sur les produits'!$A$3:$B$15000,2,FALSE),"")</f>
        <v/>
      </c>
      <c r="V5888">
        <f t="shared" si="366"/>
        <v>0</v>
      </c>
      <c r="W5888">
        <f t="shared" si="367"/>
        <v>0</v>
      </c>
    </row>
    <row r="5889" spans="5:23" x14ac:dyDescent="0.25">
      <c r="E5889" s="4"/>
      <c r="F5889" s="4"/>
      <c r="G5889" s="33" t="str">
        <f>IFERROR(VLOOKUP($D5889,'Informations sur les produits'!$A$3:$H$10000,8,FALSE),"0")</f>
        <v>0</v>
      </c>
      <c r="K5889" s="4"/>
      <c r="L5889" s="33" t="str">
        <f>IFERROR(VLOOKUP($J5889,'Informations sur les produits'!$A$3:$H$10000,8,FALSE),"0")</f>
        <v>0</v>
      </c>
      <c r="N5889" s="8"/>
      <c r="O5889" s="33" t="str">
        <f>IFERROR(VLOOKUP($M5889,'Informations sur les produits'!$A$3:$H$10000,8,FALSE),"0")</f>
        <v>0</v>
      </c>
      <c r="P5889" s="33">
        <f t="shared" si="364"/>
        <v>0</v>
      </c>
      <c r="Q5889" s="31" t="str">
        <f t="shared" si="365"/>
        <v/>
      </c>
      <c r="R5889" s="32" t="str">
        <f>IFERROR(VLOOKUP($D5889,'Informations sur les produits'!$A$3:$B$15000,2,FALSE),"")</f>
        <v/>
      </c>
      <c r="V5889">
        <f t="shared" si="366"/>
        <v>0</v>
      </c>
      <c r="W5889">
        <f t="shared" si="367"/>
        <v>0</v>
      </c>
    </row>
    <row r="5890" spans="5:23" x14ac:dyDescent="0.25">
      <c r="E5890" s="4"/>
      <c r="F5890" s="4"/>
      <c r="G5890" s="33" t="str">
        <f>IFERROR(VLOOKUP($D5890,'Informations sur les produits'!$A$3:$H$10000,8,FALSE),"0")</f>
        <v>0</v>
      </c>
      <c r="K5890" s="4"/>
      <c r="L5890" s="33" t="str">
        <f>IFERROR(VLOOKUP($J5890,'Informations sur les produits'!$A$3:$H$10000,8,FALSE),"0")</f>
        <v>0</v>
      </c>
      <c r="N5890" s="8"/>
      <c r="O5890" s="33" t="str">
        <f>IFERROR(VLOOKUP($M5890,'Informations sur les produits'!$A$3:$H$10000,8,FALSE),"0")</f>
        <v>0</v>
      </c>
      <c r="P5890" s="33">
        <f t="shared" si="364"/>
        <v>0</v>
      </c>
      <c r="Q5890" s="31" t="str">
        <f t="shared" si="365"/>
        <v/>
      </c>
      <c r="R5890" s="32" t="str">
        <f>IFERROR(VLOOKUP($D5890,'Informations sur les produits'!$A$3:$B$15000,2,FALSE),"")</f>
        <v/>
      </c>
      <c r="V5890">
        <f t="shared" si="366"/>
        <v>0</v>
      </c>
      <c r="W5890">
        <f t="shared" si="367"/>
        <v>0</v>
      </c>
    </row>
    <row r="5891" spans="5:23" x14ac:dyDescent="0.25">
      <c r="E5891" s="4"/>
      <c r="F5891" s="4"/>
      <c r="G5891" s="33" t="str">
        <f>IFERROR(VLOOKUP($D5891,'Informations sur les produits'!$A$3:$H$10000,8,FALSE),"0")</f>
        <v>0</v>
      </c>
      <c r="K5891" s="4"/>
      <c r="L5891" s="33" t="str">
        <f>IFERROR(VLOOKUP($J5891,'Informations sur les produits'!$A$3:$H$10000,8,FALSE),"0")</f>
        <v>0</v>
      </c>
      <c r="N5891" s="8"/>
      <c r="O5891" s="33" t="str">
        <f>IFERROR(VLOOKUP($M5891,'Informations sur les produits'!$A$3:$H$10000,8,FALSE),"0")</f>
        <v>0</v>
      </c>
      <c r="P5891" s="33">
        <f t="shared" si="364"/>
        <v>0</v>
      </c>
      <c r="Q5891" s="31" t="str">
        <f t="shared" si="365"/>
        <v/>
      </c>
      <c r="R5891" s="32" t="str">
        <f>IFERROR(VLOOKUP($D5891,'Informations sur les produits'!$A$3:$B$15000,2,FALSE),"")</f>
        <v/>
      </c>
      <c r="V5891">
        <f t="shared" si="366"/>
        <v>0</v>
      </c>
      <c r="W5891">
        <f t="shared" si="367"/>
        <v>0</v>
      </c>
    </row>
    <row r="5892" spans="5:23" x14ac:dyDescent="0.25">
      <c r="E5892" s="4"/>
      <c r="F5892" s="4"/>
      <c r="G5892" s="33" t="str">
        <f>IFERROR(VLOOKUP($D5892,'Informations sur les produits'!$A$3:$H$10000,8,FALSE),"0")</f>
        <v>0</v>
      </c>
      <c r="K5892" s="4"/>
      <c r="L5892" s="33" t="str">
        <f>IFERROR(VLOOKUP($J5892,'Informations sur les produits'!$A$3:$H$10000,8,FALSE),"0")</f>
        <v>0</v>
      </c>
      <c r="N5892" s="8"/>
      <c r="O5892" s="33" t="str">
        <f>IFERROR(VLOOKUP($M5892,'Informations sur les produits'!$A$3:$H$10000,8,FALSE),"0")</f>
        <v>0</v>
      </c>
      <c r="P5892" s="33">
        <f t="shared" ref="P5892:P5955" si="368">IFERROR((($E5892-$F5892)*$G5892+$K5892*$L5892+$N5892*$O5892),"")</f>
        <v>0</v>
      </c>
      <c r="Q5892" s="31" t="str">
        <f t="shared" ref="Q5892:Q5955" si="369">IFERROR((((($E5892-$F5892)*$G5892+$K5892*$L5892+$N5892*$O5892)*1000)/(($E5892-$F5892)+$K5892+$N5892)),"")</f>
        <v/>
      </c>
      <c r="R5892" s="32" t="str">
        <f>IFERROR(VLOOKUP($D5892,'Informations sur les produits'!$A$3:$B$15000,2,FALSE),"")</f>
        <v/>
      </c>
      <c r="V5892">
        <f t="shared" ref="V5892:V5955" si="370">IFERROR(P5892*1000,"")</f>
        <v>0</v>
      </c>
      <c r="W5892">
        <f t="shared" ref="W5892:W5955" si="371">IFERROR(($E5892-$F5892)+$K5892+$N5892,"")</f>
        <v>0</v>
      </c>
    </row>
    <row r="5893" spans="5:23" x14ac:dyDescent="0.25">
      <c r="E5893" s="4"/>
      <c r="F5893" s="4"/>
      <c r="G5893" s="33" t="str">
        <f>IFERROR(VLOOKUP($D5893,'Informations sur les produits'!$A$3:$H$10000,8,FALSE),"0")</f>
        <v>0</v>
      </c>
      <c r="K5893" s="4"/>
      <c r="L5893" s="33" t="str">
        <f>IFERROR(VLOOKUP($J5893,'Informations sur les produits'!$A$3:$H$10000,8,FALSE),"0")</f>
        <v>0</v>
      </c>
      <c r="N5893" s="8"/>
      <c r="O5893" s="33" t="str">
        <f>IFERROR(VLOOKUP($M5893,'Informations sur les produits'!$A$3:$H$10000,8,FALSE),"0")</f>
        <v>0</v>
      </c>
      <c r="P5893" s="33">
        <f t="shared" si="368"/>
        <v>0</v>
      </c>
      <c r="Q5893" s="31" t="str">
        <f t="shared" si="369"/>
        <v/>
      </c>
      <c r="R5893" s="32" t="str">
        <f>IFERROR(VLOOKUP($D5893,'Informations sur les produits'!$A$3:$B$15000,2,FALSE),"")</f>
        <v/>
      </c>
      <c r="V5893">
        <f t="shared" si="370"/>
        <v>0</v>
      </c>
      <c r="W5893">
        <f t="shared" si="371"/>
        <v>0</v>
      </c>
    </row>
    <row r="5894" spans="5:23" x14ac:dyDescent="0.25">
      <c r="E5894" s="4"/>
      <c r="F5894" s="4"/>
      <c r="G5894" s="33" t="str">
        <f>IFERROR(VLOOKUP($D5894,'Informations sur les produits'!$A$3:$H$10000,8,FALSE),"0")</f>
        <v>0</v>
      </c>
      <c r="K5894" s="4"/>
      <c r="L5894" s="33" t="str">
        <f>IFERROR(VLOOKUP($J5894,'Informations sur les produits'!$A$3:$H$10000,8,FALSE),"0")</f>
        <v>0</v>
      </c>
      <c r="N5894" s="8"/>
      <c r="O5894" s="33" t="str">
        <f>IFERROR(VLOOKUP($M5894,'Informations sur les produits'!$A$3:$H$10000,8,FALSE),"0")</f>
        <v>0</v>
      </c>
      <c r="P5894" s="33">
        <f t="shared" si="368"/>
        <v>0</v>
      </c>
      <c r="Q5894" s="31" t="str">
        <f t="shared" si="369"/>
        <v/>
      </c>
      <c r="R5894" s="32" t="str">
        <f>IFERROR(VLOOKUP($D5894,'Informations sur les produits'!$A$3:$B$15000,2,FALSE),"")</f>
        <v/>
      </c>
      <c r="V5894">
        <f t="shared" si="370"/>
        <v>0</v>
      </c>
      <c r="W5894">
        <f t="shared" si="371"/>
        <v>0</v>
      </c>
    </row>
    <row r="5895" spans="5:23" x14ac:dyDescent="0.25">
      <c r="E5895" s="4"/>
      <c r="F5895" s="4"/>
      <c r="G5895" s="33" t="str">
        <f>IFERROR(VLOOKUP($D5895,'Informations sur les produits'!$A$3:$H$10000,8,FALSE),"0")</f>
        <v>0</v>
      </c>
      <c r="K5895" s="4"/>
      <c r="L5895" s="33" t="str">
        <f>IFERROR(VLOOKUP($J5895,'Informations sur les produits'!$A$3:$H$10000,8,FALSE),"0")</f>
        <v>0</v>
      </c>
      <c r="N5895" s="8"/>
      <c r="O5895" s="33" t="str">
        <f>IFERROR(VLOOKUP($M5895,'Informations sur les produits'!$A$3:$H$10000,8,FALSE),"0")</f>
        <v>0</v>
      </c>
      <c r="P5895" s="33">
        <f t="shared" si="368"/>
        <v>0</v>
      </c>
      <c r="Q5895" s="31" t="str">
        <f t="shared" si="369"/>
        <v/>
      </c>
      <c r="R5895" s="32" t="str">
        <f>IFERROR(VLOOKUP($D5895,'Informations sur les produits'!$A$3:$B$15000,2,FALSE),"")</f>
        <v/>
      </c>
      <c r="V5895">
        <f t="shared" si="370"/>
        <v>0</v>
      </c>
      <c r="W5895">
        <f t="shared" si="371"/>
        <v>0</v>
      </c>
    </row>
    <row r="5896" spans="5:23" x14ac:dyDescent="0.25">
      <c r="E5896" s="4"/>
      <c r="F5896" s="4"/>
      <c r="G5896" s="33" t="str">
        <f>IFERROR(VLOOKUP($D5896,'Informations sur les produits'!$A$3:$H$10000,8,FALSE),"0")</f>
        <v>0</v>
      </c>
      <c r="K5896" s="4"/>
      <c r="L5896" s="33" t="str">
        <f>IFERROR(VLOOKUP($J5896,'Informations sur les produits'!$A$3:$H$10000,8,FALSE),"0")</f>
        <v>0</v>
      </c>
      <c r="N5896" s="8"/>
      <c r="O5896" s="33" t="str">
        <f>IFERROR(VLOOKUP($M5896,'Informations sur les produits'!$A$3:$H$10000,8,FALSE),"0")</f>
        <v>0</v>
      </c>
      <c r="P5896" s="33">
        <f t="shared" si="368"/>
        <v>0</v>
      </c>
      <c r="Q5896" s="31" t="str">
        <f t="shared" si="369"/>
        <v/>
      </c>
      <c r="R5896" s="32" t="str">
        <f>IFERROR(VLOOKUP($D5896,'Informations sur les produits'!$A$3:$B$15000,2,FALSE),"")</f>
        <v/>
      </c>
      <c r="V5896">
        <f t="shared" si="370"/>
        <v>0</v>
      </c>
      <c r="W5896">
        <f t="shared" si="371"/>
        <v>0</v>
      </c>
    </row>
    <row r="5897" spans="5:23" x14ac:dyDescent="0.25">
      <c r="E5897" s="4"/>
      <c r="F5897" s="4"/>
      <c r="G5897" s="33" t="str">
        <f>IFERROR(VLOOKUP($D5897,'Informations sur les produits'!$A$3:$H$10000,8,FALSE),"0")</f>
        <v>0</v>
      </c>
      <c r="K5897" s="4"/>
      <c r="L5897" s="33" t="str">
        <f>IFERROR(VLOOKUP($J5897,'Informations sur les produits'!$A$3:$H$10000,8,FALSE),"0")</f>
        <v>0</v>
      </c>
      <c r="N5897" s="8"/>
      <c r="O5897" s="33" t="str">
        <f>IFERROR(VLOOKUP($M5897,'Informations sur les produits'!$A$3:$H$10000,8,FALSE),"0")</f>
        <v>0</v>
      </c>
      <c r="P5897" s="33">
        <f t="shared" si="368"/>
        <v>0</v>
      </c>
      <c r="Q5897" s="31" t="str">
        <f t="shared" si="369"/>
        <v/>
      </c>
      <c r="R5897" s="32" t="str">
        <f>IFERROR(VLOOKUP($D5897,'Informations sur les produits'!$A$3:$B$15000,2,FALSE),"")</f>
        <v/>
      </c>
      <c r="V5897">
        <f t="shared" si="370"/>
        <v>0</v>
      </c>
      <c r="W5897">
        <f t="shared" si="371"/>
        <v>0</v>
      </c>
    </row>
    <row r="5898" spans="5:23" x14ac:dyDescent="0.25">
      <c r="E5898" s="4"/>
      <c r="F5898" s="4"/>
      <c r="G5898" s="33" t="str">
        <f>IFERROR(VLOOKUP($D5898,'Informations sur les produits'!$A$3:$H$10000,8,FALSE),"0")</f>
        <v>0</v>
      </c>
      <c r="K5898" s="4"/>
      <c r="L5898" s="33" t="str">
        <f>IFERROR(VLOOKUP($J5898,'Informations sur les produits'!$A$3:$H$10000,8,FALSE),"0")</f>
        <v>0</v>
      </c>
      <c r="N5898" s="8"/>
      <c r="O5898" s="33" t="str">
        <f>IFERROR(VLOOKUP($M5898,'Informations sur les produits'!$A$3:$H$10000,8,FALSE),"0")</f>
        <v>0</v>
      </c>
      <c r="P5898" s="33">
        <f t="shared" si="368"/>
        <v>0</v>
      </c>
      <c r="Q5898" s="31" t="str">
        <f t="shared" si="369"/>
        <v/>
      </c>
      <c r="R5898" s="32" t="str">
        <f>IFERROR(VLOOKUP($D5898,'Informations sur les produits'!$A$3:$B$15000,2,FALSE),"")</f>
        <v/>
      </c>
      <c r="V5898">
        <f t="shared" si="370"/>
        <v>0</v>
      </c>
      <c r="W5898">
        <f t="shared" si="371"/>
        <v>0</v>
      </c>
    </row>
    <row r="5899" spans="5:23" x14ac:dyDescent="0.25">
      <c r="E5899" s="4"/>
      <c r="F5899" s="4"/>
      <c r="G5899" s="33" t="str">
        <f>IFERROR(VLOOKUP($D5899,'Informations sur les produits'!$A$3:$H$10000,8,FALSE),"0")</f>
        <v>0</v>
      </c>
      <c r="K5899" s="4"/>
      <c r="L5899" s="33" t="str">
        <f>IFERROR(VLOOKUP($J5899,'Informations sur les produits'!$A$3:$H$10000,8,FALSE),"0")</f>
        <v>0</v>
      </c>
      <c r="N5899" s="8"/>
      <c r="O5899" s="33" t="str">
        <f>IFERROR(VLOOKUP($M5899,'Informations sur les produits'!$A$3:$H$10000,8,FALSE),"0")</f>
        <v>0</v>
      </c>
      <c r="P5899" s="33">
        <f t="shared" si="368"/>
        <v>0</v>
      </c>
      <c r="Q5899" s="31" t="str">
        <f t="shared" si="369"/>
        <v/>
      </c>
      <c r="R5899" s="32" t="str">
        <f>IFERROR(VLOOKUP($D5899,'Informations sur les produits'!$A$3:$B$15000,2,FALSE),"")</f>
        <v/>
      </c>
      <c r="V5899">
        <f t="shared" si="370"/>
        <v>0</v>
      </c>
      <c r="W5899">
        <f t="shared" si="371"/>
        <v>0</v>
      </c>
    </row>
    <row r="5900" spans="5:23" x14ac:dyDescent="0.25">
      <c r="E5900" s="4"/>
      <c r="F5900" s="4"/>
      <c r="G5900" s="33" t="str">
        <f>IFERROR(VLOOKUP($D5900,'Informations sur les produits'!$A$3:$H$10000,8,FALSE),"0")</f>
        <v>0</v>
      </c>
      <c r="K5900" s="4"/>
      <c r="L5900" s="33" t="str">
        <f>IFERROR(VLOOKUP($J5900,'Informations sur les produits'!$A$3:$H$10000,8,FALSE),"0")</f>
        <v>0</v>
      </c>
      <c r="N5900" s="8"/>
      <c r="O5900" s="33" t="str">
        <f>IFERROR(VLOOKUP($M5900,'Informations sur les produits'!$A$3:$H$10000,8,FALSE),"0")</f>
        <v>0</v>
      </c>
      <c r="P5900" s="33">
        <f t="shared" si="368"/>
        <v>0</v>
      </c>
      <c r="Q5900" s="31" t="str">
        <f t="shared" si="369"/>
        <v/>
      </c>
      <c r="R5900" s="32" t="str">
        <f>IFERROR(VLOOKUP($D5900,'Informations sur les produits'!$A$3:$B$15000,2,FALSE),"")</f>
        <v/>
      </c>
      <c r="V5900">
        <f t="shared" si="370"/>
        <v>0</v>
      </c>
      <c r="W5900">
        <f t="shared" si="371"/>
        <v>0</v>
      </c>
    </row>
    <row r="5901" spans="5:23" x14ac:dyDescent="0.25">
      <c r="E5901" s="4"/>
      <c r="F5901" s="4"/>
      <c r="G5901" s="33" t="str">
        <f>IFERROR(VLOOKUP($D5901,'Informations sur les produits'!$A$3:$H$10000,8,FALSE),"0")</f>
        <v>0</v>
      </c>
      <c r="K5901" s="4"/>
      <c r="L5901" s="33" t="str">
        <f>IFERROR(VLOOKUP($J5901,'Informations sur les produits'!$A$3:$H$10000,8,FALSE),"0")</f>
        <v>0</v>
      </c>
      <c r="N5901" s="8"/>
      <c r="O5901" s="33" t="str">
        <f>IFERROR(VLOOKUP($M5901,'Informations sur les produits'!$A$3:$H$10000,8,FALSE),"0")</f>
        <v>0</v>
      </c>
      <c r="P5901" s="33">
        <f t="shared" si="368"/>
        <v>0</v>
      </c>
      <c r="Q5901" s="31" t="str">
        <f t="shared" si="369"/>
        <v/>
      </c>
      <c r="R5901" s="32" t="str">
        <f>IFERROR(VLOOKUP($D5901,'Informations sur les produits'!$A$3:$B$15000,2,FALSE),"")</f>
        <v/>
      </c>
      <c r="V5901">
        <f t="shared" si="370"/>
        <v>0</v>
      </c>
      <c r="W5901">
        <f t="shared" si="371"/>
        <v>0</v>
      </c>
    </row>
    <row r="5902" spans="5:23" x14ac:dyDescent="0.25">
      <c r="E5902" s="4"/>
      <c r="F5902" s="4"/>
      <c r="G5902" s="33" t="str">
        <f>IFERROR(VLOOKUP($D5902,'Informations sur les produits'!$A$3:$H$10000,8,FALSE),"0")</f>
        <v>0</v>
      </c>
      <c r="K5902" s="4"/>
      <c r="L5902" s="33" t="str">
        <f>IFERROR(VLOOKUP($J5902,'Informations sur les produits'!$A$3:$H$10000,8,FALSE),"0")</f>
        <v>0</v>
      </c>
      <c r="N5902" s="8"/>
      <c r="O5902" s="33" t="str">
        <f>IFERROR(VLOOKUP($M5902,'Informations sur les produits'!$A$3:$H$10000,8,FALSE),"0")</f>
        <v>0</v>
      </c>
      <c r="P5902" s="33">
        <f t="shared" si="368"/>
        <v>0</v>
      </c>
      <c r="Q5902" s="31" t="str">
        <f t="shared" si="369"/>
        <v/>
      </c>
      <c r="R5902" s="32" t="str">
        <f>IFERROR(VLOOKUP($D5902,'Informations sur les produits'!$A$3:$B$15000,2,FALSE),"")</f>
        <v/>
      </c>
      <c r="V5902">
        <f t="shared" si="370"/>
        <v>0</v>
      </c>
      <c r="W5902">
        <f t="shared" si="371"/>
        <v>0</v>
      </c>
    </row>
    <row r="5903" spans="5:23" x14ac:dyDescent="0.25">
      <c r="E5903" s="4"/>
      <c r="F5903" s="4"/>
      <c r="G5903" s="33" t="str">
        <f>IFERROR(VLOOKUP($D5903,'Informations sur les produits'!$A$3:$H$10000,8,FALSE),"0")</f>
        <v>0</v>
      </c>
      <c r="K5903" s="4"/>
      <c r="L5903" s="33" t="str">
        <f>IFERROR(VLOOKUP($J5903,'Informations sur les produits'!$A$3:$H$10000,8,FALSE),"0")</f>
        <v>0</v>
      </c>
      <c r="N5903" s="8"/>
      <c r="O5903" s="33" t="str">
        <f>IFERROR(VLOOKUP($M5903,'Informations sur les produits'!$A$3:$H$10000,8,FALSE),"0")</f>
        <v>0</v>
      </c>
      <c r="P5903" s="33">
        <f t="shared" si="368"/>
        <v>0</v>
      </c>
      <c r="Q5903" s="31" t="str">
        <f t="shared" si="369"/>
        <v/>
      </c>
      <c r="R5903" s="32" t="str">
        <f>IFERROR(VLOOKUP($D5903,'Informations sur les produits'!$A$3:$B$15000,2,FALSE),"")</f>
        <v/>
      </c>
      <c r="V5903">
        <f t="shared" si="370"/>
        <v>0</v>
      </c>
      <c r="W5903">
        <f t="shared" si="371"/>
        <v>0</v>
      </c>
    </row>
    <row r="5904" spans="5:23" x14ac:dyDescent="0.25">
      <c r="E5904" s="4"/>
      <c r="F5904" s="4"/>
      <c r="G5904" s="33" t="str">
        <f>IFERROR(VLOOKUP($D5904,'Informations sur les produits'!$A$3:$H$10000,8,FALSE),"0")</f>
        <v>0</v>
      </c>
      <c r="K5904" s="4"/>
      <c r="L5904" s="33" t="str">
        <f>IFERROR(VLOOKUP($J5904,'Informations sur les produits'!$A$3:$H$10000,8,FALSE),"0")</f>
        <v>0</v>
      </c>
      <c r="N5904" s="8"/>
      <c r="O5904" s="33" t="str">
        <f>IFERROR(VLOOKUP($M5904,'Informations sur les produits'!$A$3:$H$10000,8,FALSE),"0")</f>
        <v>0</v>
      </c>
      <c r="P5904" s="33">
        <f t="shared" si="368"/>
        <v>0</v>
      </c>
      <c r="Q5904" s="31" t="str">
        <f t="shared" si="369"/>
        <v/>
      </c>
      <c r="R5904" s="32" t="str">
        <f>IFERROR(VLOOKUP($D5904,'Informations sur les produits'!$A$3:$B$15000,2,FALSE),"")</f>
        <v/>
      </c>
      <c r="V5904">
        <f t="shared" si="370"/>
        <v>0</v>
      </c>
      <c r="W5904">
        <f t="shared" si="371"/>
        <v>0</v>
      </c>
    </row>
    <row r="5905" spans="5:23" x14ac:dyDescent="0.25">
      <c r="E5905" s="4"/>
      <c r="F5905" s="4"/>
      <c r="G5905" s="33" t="str">
        <f>IFERROR(VLOOKUP($D5905,'Informations sur les produits'!$A$3:$H$10000,8,FALSE),"0")</f>
        <v>0</v>
      </c>
      <c r="K5905" s="4"/>
      <c r="L5905" s="33" t="str">
        <f>IFERROR(VLOOKUP($J5905,'Informations sur les produits'!$A$3:$H$10000,8,FALSE),"0")</f>
        <v>0</v>
      </c>
      <c r="N5905" s="8"/>
      <c r="O5905" s="33" t="str">
        <f>IFERROR(VLOOKUP($M5905,'Informations sur les produits'!$A$3:$H$10000,8,FALSE),"0")</f>
        <v>0</v>
      </c>
      <c r="P5905" s="33">
        <f t="shared" si="368"/>
        <v>0</v>
      </c>
      <c r="Q5905" s="31" t="str">
        <f t="shared" si="369"/>
        <v/>
      </c>
      <c r="R5905" s="32" t="str">
        <f>IFERROR(VLOOKUP($D5905,'Informations sur les produits'!$A$3:$B$15000,2,FALSE),"")</f>
        <v/>
      </c>
      <c r="V5905">
        <f t="shared" si="370"/>
        <v>0</v>
      </c>
      <c r="W5905">
        <f t="shared" si="371"/>
        <v>0</v>
      </c>
    </row>
    <row r="5906" spans="5:23" x14ac:dyDescent="0.25">
      <c r="E5906" s="4"/>
      <c r="F5906" s="4"/>
      <c r="G5906" s="33" t="str">
        <f>IFERROR(VLOOKUP($D5906,'Informations sur les produits'!$A$3:$H$10000,8,FALSE),"0")</f>
        <v>0</v>
      </c>
      <c r="K5906" s="4"/>
      <c r="L5906" s="33" t="str">
        <f>IFERROR(VLOOKUP($J5906,'Informations sur les produits'!$A$3:$H$10000,8,FALSE),"0")</f>
        <v>0</v>
      </c>
      <c r="N5906" s="8"/>
      <c r="O5906" s="33" t="str">
        <f>IFERROR(VLOOKUP($M5906,'Informations sur les produits'!$A$3:$H$10000,8,FALSE),"0")</f>
        <v>0</v>
      </c>
      <c r="P5906" s="33">
        <f t="shared" si="368"/>
        <v>0</v>
      </c>
      <c r="Q5906" s="31" t="str">
        <f t="shared" si="369"/>
        <v/>
      </c>
      <c r="R5906" s="32" t="str">
        <f>IFERROR(VLOOKUP($D5906,'Informations sur les produits'!$A$3:$B$15000,2,FALSE),"")</f>
        <v/>
      </c>
      <c r="V5906">
        <f t="shared" si="370"/>
        <v>0</v>
      </c>
      <c r="W5906">
        <f t="shared" si="371"/>
        <v>0</v>
      </c>
    </row>
    <row r="5907" spans="5:23" x14ac:dyDescent="0.25">
      <c r="E5907" s="4"/>
      <c r="F5907" s="4"/>
      <c r="G5907" s="33" t="str">
        <f>IFERROR(VLOOKUP($D5907,'Informations sur les produits'!$A$3:$H$10000,8,FALSE),"0")</f>
        <v>0</v>
      </c>
      <c r="K5907" s="4"/>
      <c r="L5907" s="33" t="str">
        <f>IFERROR(VLOOKUP($J5907,'Informations sur les produits'!$A$3:$H$10000,8,FALSE),"0")</f>
        <v>0</v>
      </c>
      <c r="N5907" s="8"/>
      <c r="O5907" s="33" t="str">
        <f>IFERROR(VLOOKUP($M5907,'Informations sur les produits'!$A$3:$H$10000,8,FALSE),"0")</f>
        <v>0</v>
      </c>
      <c r="P5907" s="33">
        <f t="shared" si="368"/>
        <v>0</v>
      </c>
      <c r="Q5907" s="31" t="str">
        <f t="shared" si="369"/>
        <v/>
      </c>
      <c r="R5907" s="32" t="str">
        <f>IFERROR(VLOOKUP($D5907,'Informations sur les produits'!$A$3:$B$15000,2,FALSE),"")</f>
        <v/>
      </c>
      <c r="V5907">
        <f t="shared" si="370"/>
        <v>0</v>
      </c>
      <c r="W5907">
        <f t="shared" si="371"/>
        <v>0</v>
      </c>
    </row>
    <row r="5908" spans="5:23" x14ac:dyDescent="0.25">
      <c r="E5908" s="4"/>
      <c r="F5908" s="4"/>
      <c r="G5908" s="33" t="str">
        <f>IFERROR(VLOOKUP($D5908,'Informations sur les produits'!$A$3:$H$10000,8,FALSE),"0")</f>
        <v>0</v>
      </c>
      <c r="K5908" s="4"/>
      <c r="L5908" s="33" t="str">
        <f>IFERROR(VLOOKUP($J5908,'Informations sur les produits'!$A$3:$H$10000,8,FALSE),"0")</f>
        <v>0</v>
      </c>
      <c r="N5908" s="8"/>
      <c r="O5908" s="33" t="str">
        <f>IFERROR(VLOOKUP($M5908,'Informations sur les produits'!$A$3:$H$10000,8,FALSE),"0")</f>
        <v>0</v>
      </c>
      <c r="P5908" s="33">
        <f t="shared" si="368"/>
        <v>0</v>
      </c>
      <c r="Q5908" s="31" t="str">
        <f t="shared" si="369"/>
        <v/>
      </c>
      <c r="R5908" s="32" t="str">
        <f>IFERROR(VLOOKUP($D5908,'Informations sur les produits'!$A$3:$B$15000,2,FALSE),"")</f>
        <v/>
      </c>
      <c r="V5908">
        <f t="shared" si="370"/>
        <v>0</v>
      </c>
      <c r="W5908">
        <f t="shared" si="371"/>
        <v>0</v>
      </c>
    </row>
    <row r="5909" spans="5:23" x14ac:dyDescent="0.25">
      <c r="E5909" s="4"/>
      <c r="F5909" s="4"/>
      <c r="G5909" s="33" t="str">
        <f>IFERROR(VLOOKUP($D5909,'Informations sur les produits'!$A$3:$H$10000,8,FALSE),"0")</f>
        <v>0</v>
      </c>
      <c r="K5909" s="4"/>
      <c r="L5909" s="33" t="str">
        <f>IFERROR(VLOOKUP($J5909,'Informations sur les produits'!$A$3:$H$10000,8,FALSE),"0")</f>
        <v>0</v>
      </c>
      <c r="N5909" s="8"/>
      <c r="O5909" s="33" t="str">
        <f>IFERROR(VLOOKUP($M5909,'Informations sur les produits'!$A$3:$H$10000,8,FALSE),"0")</f>
        <v>0</v>
      </c>
      <c r="P5909" s="33">
        <f t="shared" si="368"/>
        <v>0</v>
      </c>
      <c r="Q5909" s="31" t="str">
        <f t="shared" si="369"/>
        <v/>
      </c>
      <c r="R5909" s="32" t="str">
        <f>IFERROR(VLOOKUP($D5909,'Informations sur les produits'!$A$3:$B$15000,2,FALSE),"")</f>
        <v/>
      </c>
      <c r="V5909">
        <f t="shared" si="370"/>
        <v>0</v>
      </c>
      <c r="W5909">
        <f t="shared" si="371"/>
        <v>0</v>
      </c>
    </row>
    <row r="5910" spans="5:23" x14ac:dyDescent="0.25">
      <c r="E5910" s="4"/>
      <c r="F5910" s="4"/>
      <c r="G5910" s="33" t="str">
        <f>IFERROR(VLOOKUP($D5910,'Informations sur les produits'!$A$3:$H$10000,8,FALSE),"0")</f>
        <v>0</v>
      </c>
      <c r="K5910" s="4"/>
      <c r="L5910" s="33" t="str">
        <f>IFERROR(VLOOKUP($J5910,'Informations sur les produits'!$A$3:$H$10000,8,FALSE),"0")</f>
        <v>0</v>
      </c>
      <c r="N5910" s="8"/>
      <c r="O5910" s="33" t="str">
        <f>IFERROR(VLOOKUP($M5910,'Informations sur les produits'!$A$3:$H$10000,8,FALSE),"0")</f>
        <v>0</v>
      </c>
      <c r="P5910" s="33">
        <f t="shared" si="368"/>
        <v>0</v>
      </c>
      <c r="Q5910" s="31" t="str">
        <f t="shared" si="369"/>
        <v/>
      </c>
      <c r="R5910" s="32" t="str">
        <f>IFERROR(VLOOKUP($D5910,'Informations sur les produits'!$A$3:$B$15000,2,FALSE),"")</f>
        <v/>
      </c>
      <c r="V5910">
        <f t="shared" si="370"/>
        <v>0</v>
      </c>
      <c r="W5910">
        <f t="shared" si="371"/>
        <v>0</v>
      </c>
    </row>
    <row r="5911" spans="5:23" x14ac:dyDescent="0.25">
      <c r="E5911" s="4"/>
      <c r="F5911" s="4"/>
      <c r="G5911" s="33" t="str">
        <f>IFERROR(VLOOKUP($D5911,'Informations sur les produits'!$A$3:$H$10000,8,FALSE),"0")</f>
        <v>0</v>
      </c>
      <c r="K5911" s="4"/>
      <c r="L5911" s="33" t="str">
        <f>IFERROR(VLOOKUP($J5911,'Informations sur les produits'!$A$3:$H$10000,8,FALSE),"0")</f>
        <v>0</v>
      </c>
      <c r="N5911" s="8"/>
      <c r="O5911" s="33" t="str">
        <f>IFERROR(VLOOKUP($M5911,'Informations sur les produits'!$A$3:$H$10000,8,FALSE),"0")</f>
        <v>0</v>
      </c>
      <c r="P5911" s="33">
        <f t="shared" si="368"/>
        <v>0</v>
      </c>
      <c r="Q5911" s="31" t="str">
        <f t="shared" si="369"/>
        <v/>
      </c>
      <c r="R5911" s="32" t="str">
        <f>IFERROR(VLOOKUP($D5911,'Informations sur les produits'!$A$3:$B$15000,2,FALSE),"")</f>
        <v/>
      </c>
      <c r="V5911">
        <f t="shared" si="370"/>
        <v>0</v>
      </c>
      <c r="W5911">
        <f t="shared" si="371"/>
        <v>0</v>
      </c>
    </row>
    <row r="5912" spans="5:23" x14ac:dyDescent="0.25">
      <c r="E5912" s="4"/>
      <c r="F5912" s="4"/>
      <c r="G5912" s="33" t="str">
        <f>IFERROR(VLOOKUP($D5912,'Informations sur les produits'!$A$3:$H$10000,8,FALSE),"0")</f>
        <v>0</v>
      </c>
      <c r="K5912" s="4"/>
      <c r="L5912" s="33" t="str">
        <f>IFERROR(VLOOKUP($J5912,'Informations sur les produits'!$A$3:$H$10000,8,FALSE),"0")</f>
        <v>0</v>
      </c>
      <c r="N5912" s="8"/>
      <c r="O5912" s="33" t="str">
        <f>IFERROR(VLOOKUP($M5912,'Informations sur les produits'!$A$3:$H$10000,8,FALSE),"0")</f>
        <v>0</v>
      </c>
      <c r="P5912" s="33">
        <f t="shared" si="368"/>
        <v>0</v>
      </c>
      <c r="Q5912" s="31" t="str">
        <f t="shared" si="369"/>
        <v/>
      </c>
      <c r="R5912" s="32" t="str">
        <f>IFERROR(VLOOKUP($D5912,'Informations sur les produits'!$A$3:$B$15000,2,FALSE),"")</f>
        <v/>
      </c>
      <c r="V5912">
        <f t="shared" si="370"/>
        <v>0</v>
      </c>
      <c r="W5912">
        <f t="shared" si="371"/>
        <v>0</v>
      </c>
    </row>
    <row r="5913" spans="5:23" x14ac:dyDescent="0.25">
      <c r="E5913" s="4"/>
      <c r="F5913" s="4"/>
      <c r="G5913" s="33" t="str">
        <f>IFERROR(VLOOKUP($D5913,'Informations sur les produits'!$A$3:$H$10000,8,FALSE),"0")</f>
        <v>0</v>
      </c>
      <c r="K5913" s="4"/>
      <c r="L5913" s="33" t="str">
        <f>IFERROR(VLOOKUP($J5913,'Informations sur les produits'!$A$3:$H$10000,8,FALSE),"0")</f>
        <v>0</v>
      </c>
      <c r="N5913" s="8"/>
      <c r="O5913" s="33" t="str">
        <f>IFERROR(VLOOKUP($M5913,'Informations sur les produits'!$A$3:$H$10000,8,FALSE),"0")</f>
        <v>0</v>
      </c>
      <c r="P5913" s="33">
        <f t="shared" si="368"/>
        <v>0</v>
      </c>
      <c r="Q5913" s="31" t="str">
        <f t="shared" si="369"/>
        <v/>
      </c>
      <c r="R5913" s="32" t="str">
        <f>IFERROR(VLOOKUP($D5913,'Informations sur les produits'!$A$3:$B$15000,2,FALSE),"")</f>
        <v/>
      </c>
      <c r="V5913">
        <f t="shared" si="370"/>
        <v>0</v>
      </c>
      <c r="W5913">
        <f t="shared" si="371"/>
        <v>0</v>
      </c>
    </row>
    <row r="5914" spans="5:23" x14ac:dyDescent="0.25">
      <c r="E5914" s="4"/>
      <c r="F5914" s="4"/>
      <c r="G5914" s="33" t="str">
        <f>IFERROR(VLOOKUP($D5914,'Informations sur les produits'!$A$3:$H$10000,8,FALSE),"0")</f>
        <v>0</v>
      </c>
      <c r="K5914" s="4"/>
      <c r="L5914" s="33" t="str">
        <f>IFERROR(VLOOKUP($J5914,'Informations sur les produits'!$A$3:$H$10000,8,FALSE),"0")</f>
        <v>0</v>
      </c>
      <c r="N5914" s="8"/>
      <c r="O5914" s="33" t="str">
        <f>IFERROR(VLOOKUP($M5914,'Informations sur les produits'!$A$3:$H$10000,8,FALSE),"0")</f>
        <v>0</v>
      </c>
      <c r="P5914" s="33">
        <f t="shared" si="368"/>
        <v>0</v>
      </c>
      <c r="Q5914" s="31" t="str">
        <f t="shared" si="369"/>
        <v/>
      </c>
      <c r="R5914" s="32" t="str">
        <f>IFERROR(VLOOKUP($D5914,'Informations sur les produits'!$A$3:$B$15000,2,FALSE),"")</f>
        <v/>
      </c>
      <c r="V5914">
        <f t="shared" si="370"/>
        <v>0</v>
      </c>
      <c r="W5914">
        <f t="shared" si="371"/>
        <v>0</v>
      </c>
    </row>
    <row r="5915" spans="5:23" x14ac:dyDescent="0.25">
      <c r="E5915" s="4"/>
      <c r="F5915" s="4"/>
      <c r="G5915" s="33" t="str">
        <f>IFERROR(VLOOKUP($D5915,'Informations sur les produits'!$A$3:$H$10000,8,FALSE),"0")</f>
        <v>0</v>
      </c>
      <c r="K5915" s="4"/>
      <c r="L5915" s="33" t="str">
        <f>IFERROR(VLOOKUP($J5915,'Informations sur les produits'!$A$3:$H$10000,8,FALSE),"0")</f>
        <v>0</v>
      </c>
      <c r="N5915" s="8"/>
      <c r="O5915" s="33" t="str">
        <f>IFERROR(VLOOKUP($M5915,'Informations sur les produits'!$A$3:$H$10000,8,FALSE),"0")</f>
        <v>0</v>
      </c>
      <c r="P5915" s="33">
        <f t="shared" si="368"/>
        <v>0</v>
      </c>
      <c r="Q5915" s="31" t="str">
        <f t="shared" si="369"/>
        <v/>
      </c>
      <c r="R5915" s="32" t="str">
        <f>IFERROR(VLOOKUP($D5915,'Informations sur les produits'!$A$3:$B$15000,2,FALSE),"")</f>
        <v/>
      </c>
      <c r="V5915">
        <f t="shared" si="370"/>
        <v>0</v>
      </c>
      <c r="W5915">
        <f t="shared" si="371"/>
        <v>0</v>
      </c>
    </row>
    <row r="5916" spans="5:23" x14ac:dyDescent="0.25">
      <c r="E5916" s="4"/>
      <c r="F5916" s="4"/>
      <c r="G5916" s="33" t="str">
        <f>IFERROR(VLOOKUP($D5916,'Informations sur les produits'!$A$3:$H$10000,8,FALSE),"0")</f>
        <v>0</v>
      </c>
      <c r="K5916" s="4"/>
      <c r="L5916" s="33" t="str">
        <f>IFERROR(VLOOKUP($J5916,'Informations sur les produits'!$A$3:$H$10000,8,FALSE),"0")</f>
        <v>0</v>
      </c>
      <c r="N5916" s="8"/>
      <c r="O5916" s="33" t="str">
        <f>IFERROR(VLOOKUP($M5916,'Informations sur les produits'!$A$3:$H$10000,8,FALSE),"0")</f>
        <v>0</v>
      </c>
      <c r="P5916" s="33">
        <f t="shared" si="368"/>
        <v>0</v>
      </c>
      <c r="Q5916" s="31" t="str">
        <f t="shared" si="369"/>
        <v/>
      </c>
      <c r="R5916" s="32" t="str">
        <f>IFERROR(VLOOKUP($D5916,'Informations sur les produits'!$A$3:$B$15000,2,FALSE),"")</f>
        <v/>
      </c>
      <c r="V5916">
        <f t="shared" si="370"/>
        <v>0</v>
      </c>
      <c r="W5916">
        <f t="shared" si="371"/>
        <v>0</v>
      </c>
    </row>
    <row r="5917" spans="5:23" x14ac:dyDescent="0.25">
      <c r="E5917" s="4"/>
      <c r="F5917" s="4"/>
      <c r="G5917" s="33" t="str">
        <f>IFERROR(VLOOKUP($D5917,'Informations sur les produits'!$A$3:$H$10000,8,FALSE),"0")</f>
        <v>0</v>
      </c>
      <c r="K5917" s="4"/>
      <c r="L5917" s="33" t="str">
        <f>IFERROR(VLOOKUP($J5917,'Informations sur les produits'!$A$3:$H$10000,8,FALSE),"0")</f>
        <v>0</v>
      </c>
      <c r="N5917" s="8"/>
      <c r="O5917" s="33" t="str">
        <f>IFERROR(VLOOKUP($M5917,'Informations sur les produits'!$A$3:$H$10000,8,FALSE),"0")</f>
        <v>0</v>
      </c>
      <c r="P5917" s="33">
        <f t="shared" si="368"/>
        <v>0</v>
      </c>
      <c r="Q5917" s="31" t="str">
        <f t="shared" si="369"/>
        <v/>
      </c>
      <c r="R5917" s="32" t="str">
        <f>IFERROR(VLOOKUP($D5917,'Informations sur les produits'!$A$3:$B$15000,2,FALSE),"")</f>
        <v/>
      </c>
      <c r="V5917">
        <f t="shared" si="370"/>
        <v>0</v>
      </c>
      <c r="W5917">
        <f t="shared" si="371"/>
        <v>0</v>
      </c>
    </row>
    <row r="5918" spans="5:23" x14ac:dyDescent="0.25">
      <c r="E5918" s="4"/>
      <c r="F5918" s="4"/>
      <c r="G5918" s="33" t="str">
        <f>IFERROR(VLOOKUP($D5918,'Informations sur les produits'!$A$3:$H$10000,8,FALSE),"0")</f>
        <v>0</v>
      </c>
      <c r="K5918" s="4"/>
      <c r="L5918" s="33" t="str">
        <f>IFERROR(VLOOKUP($J5918,'Informations sur les produits'!$A$3:$H$10000,8,FALSE),"0")</f>
        <v>0</v>
      </c>
      <c r="N5918" s="8"/>
      <c r="O5918" s="33" t="str">
        <f>IFERROR(VLOOKUP($M5918,'Informations sur les produits'!$A$3:$H$10000,8,FALSE),"0")</f>
        <v>0</v>
      </c>
      <c r="P5918" s="33">
        <f t="shared" si="368"/>
        <v>0</v>
      </c>
      <c r="Q5918" s="31" t="str">
        <f t="shared" si="369"/>
        <v/>
      </c>
      <c r="R5918" s="32" t="str">
        <f>IFERROR(VLOOKUP($D5918,'Informations sur les produits'!$A$3:$B$15000,2,FALSE),"")</f>
        <v/>
      </c>
      <c r="V5918">
        <f t="shared" si="370"/>
        <v>0</v>
      </c>
      <c r="W5918">
        <f t="shared" si="371"/>
        <v>0</v>
      </c>
    </row>
    <row r="5919" spans="5:23" x14ac:dyDescent="0.25">
      <c r="E5919" s="4"/>
      <c r="F5919" s="4"/>
      <c r="G5919" s="33" t="str">
        <f>IFERROR(VLOOKUP($D5919,'Informations sur les produits'!$A$3:$H$10000,8,FALSE),"0")</f>
        <v>0</v>
      </c>
      <c r="K5919" s="4"/>
      <c r="L5919" s="33" t="str">
        <f>IFERROR(VLOOKUP($J5919,'Informations sur les produits'!$A$3:$H$10000,8,FALSE),"0")</f>
        <v>0</v>
      </c>
      <c r="N5919" s="8"/>
      <c r="O5919" s="33" t="str">
        <f>IFERROR(VLOOKUP($M5919,'Informations sur les produits'!$A$3:$H$10000,8,FALSE),"0")</f>
        <v>0</v>
      </c>
      <c r="P5919" s="33">
        <f t="shared" si="368"/>
        <v>0</v>
      </c>
      <c r="Q5919" s="31" t="str">
        <f t="shared" si="369"/>
        <v/>
      </c>
      <c r="R5919" s="32" t="str">
        <f>IFERROR(VLOOKUP($D5919,'Informations sur les produits'!$A$3:$B$15000,2,FALSE),"")</f>
        <v/>
      </c>
      <c r="V5919">
        <f t="shared" si="370"/>
        <v>0</v>
      </c>
      <c r="W5919">
        <f t="shared" si="371"/>
        <v>0</v>
      </c>
    </row>
    <row r="5920" spans="5:23" x14ac:dyDescent="0.25">
      <c r="E5920" s="4"/>
      <c r="F5920" s="4"/>
      <c r="G5920" s="33" t="str">
        <f>IFERROR(VLOOKUP($D5920,'Informations sur les produits'!$A$3:$H$10000,8,FALSE),"0")</f>
        <v>0</v>
      </c>
      <c r="K5920" s="4"/>
      <c r="L5920" s="33" t="str">
        <f>IFERROR(VLOOKUP($J5920,'Informations sur les produits'!$A$3:$H$10000,8,FALSE),"0")</f>
        <v>0</v>
      </c>
      <c r="N5920" s="8"/>
      <c r="O5920" s="33" t="str">
        <f>IFERROR(VLOOKUP($M5920,'Informations sur les produits'!$A$3:$H$10000,8,FALSE),"0")</f>
        <v>0</v>
      </c>
      <c r="P5920" s="33">
        <f t="shared" si="368"/>
        <v>0</v>
      </c>
      <c r="Q5920" s="31" t="str">
        <f t="shared" si="369"/>
        <v/>
      </c>
      <c r="R5920" s="32" t="str">
        <f>IFERROR(VLOOKUP($D5920,'Informations sur les produits'!$A$3:$B$15000,2,FALSE),"")</f>
        <v/>
      </c>
      <c r="V5920">
        <f t="shared" si="370"/>
        <v>0</v>
      </c>
      <c r="W5920">
        <f t="shared" si="371"/>
        <v>0</v>
      </c>
    </row>
    <row r="5921" spans="5:23" x14ac:dyDescent="0.25">
      <c r="E5921" s="4"/>
      <c r="F5921" s="4"/>
      <c r="G5921" s="33" t="str">
        <f>IFERROR(VLOOKUP($D5921,'Informations sur les produits'!$A$3:$H$10000,8,FALSE),"0")</f>
        <v>0</v>
      </c>
      <c r="K5921" s="4"/>
      <c r="L5921" s="33" t="str">
        <f>IFERROR(VLOOKUP($J5921,'Informations sur les produits'!$A$3:$H$10000,8,FALSE),"0")</f>
        <v>0</v>
      </c>
      <c r="N5921" s="8"/>
      <c r="O5921" s="33" t="str">
        <f>IFERROR(VLOOKUP($M5921,'Informations sur les produits'!$A$3:$H$10000,8,FALSE),"0")</f>
        <v>0</v>
      </c>
      <c r="P5921" s="33">
        <f t="shared" si="368"/>
        <v>0</v>
      </c>
      <c r="Q5921" s="31" t="str">
        <f t="shared" si="369"/>
        <v/>
      </c>
      <c r="R5921" s="32" t="str">
        <f>IFERROR(VLOOKUP($D5921,'Informations sur les produits'!$A$3:$B$15000,2,FALSE),"")</f>
        <v/>
      </c>
      <c r="V5921">
        <f t="shared" si="370"/>
        <v>0</v>
      </c>
      <c r="W5921">
        <f t="shared" si="371"/>
        <v>0</v>
      </c>
    </row>
    <row r="5922" spans="5:23" x14ac:dyDescent="0.25">
      <c r="E5922" s="4"/>
      <c r="F5922" s="4"/>
      <c r="G5922" s="33" t="str">
        <f>IFERROR(VLOOKUP($D5922,'Informations sur les produits'!$A$3:$H$10000,8,FALSE),"0")</f>
        <v>0</v>
      </c>
      <c r="K5922" s="4"/>
      <c r="L5922" s="33" t="str">
        <f>IFERROR(VLOOKUP($J5922,'Informations sur les produits'!$A$3:$H$10000,8,FALSE),"0")</f>
        <v>0</v>
      </c>
      <c r="N5922" s="8"/>
      <c r="O5922" s="33" t="str">
        <f>IFERROR(VLOOKUP($M5922,'Informations sur les produits'!$A$3:$H$10000,8,FALSE),"0")</f>
        <v>0</v>
      </c>
      <c r="P5922" s="33">
        <f t="shared" si="368"/>
        <v>0</v>
      </c>
      <c r="Q5922" s="31" t="str">
        <f t="shared" si="369"/>
        <v/>
      </c>
      <c r="R5922" s="32" t="str">
        <f>IFERROR(VLOOKUP($D5922,'Informations sur les produits'!$A$3:$B$15000,2,FALSE),"")</f>
        <v/>
      </c>
      <c r="V5922">
        <f t="shared" si="370"/>
        <v>0</v>
      </c>
      <c r="W5922">
        <f t="shared" si="371"/>
        <v>0</v>
      </c>
    </row>
    <row r="5923" spans="5:23" x14ac:dyDescent="0.25">
      <c r="E5923" s="4"/>
      <c r="F5923" s="4"/>
      <c r="G5923" s="33" t="str">
        <f>IFERROR(VLOOKUP($D5923,'Informations sur les produits'!$A$3:$H$10000,8,FALSE),"0")</f>
        <v>0</v>
      </c>
      <c r="K5923" s="4"/>
      <c r="L5923" s="33" t="str">
        <f>IFERROR(VLOOKUP($J5923,'Informations sur les produits'!$A$3:$H$10000,8,FALSE),"0")</f>
        <v>0</v>
      </c>
      <c r="N5923" s="8"/>
      <c r="O5923" s="33" t="str">
        <f>IFERROR(VLOOKUP($M5923,'Informations sur les produits'!$A$3:$H$10000,8,FALSE),"0")</f>
        <v>0</v>
      </c>
      <c r="P5923" s="33">
        <f t="shared" si="368"/>
        <v>0</v>
      </c>
      <c r="Q5923" s="31" t="str">
        <f t="shared" si="369"/>
        <v/>
      </c>
      <c r="R5923" s="32" t="str">
        <f>IFERROR(VLOOKUP($D5923,'Informations sur les produits'!$A$3:$B$15000,2,FALSE),"")</f>
        <v/>
      </c>
      <c r="V5923">
        <f t="shared" si="370"/>
        <v>0</v>
      </c>
      <c r="W5923">
        <f t="shared" si="371"/>
        <v>0</v>
      </c>
    </row>
    <row r="5924" spans="5:23" x14ac:dyDescent="0.25">
      <c r="E5924" s="4"/>
      <c r="F5924" s="4"/>
      <c r="G5924" s="33" t="str">
        <f>IFERROR(VLOOKUP($D5924,'Informations sur les produits'!$A$3:$H$10000,8,FALSE),"0")</f>
        <v>0</v>
      </c>
      <c r="K5924" s="4"/>
      <c r="L5924" s="33" t="str">
        <f>IFERROR(VLOOKUP($J5924,'Informations sur les produits'!$A$3:$H$10000,8,FALSE),"0")</f>
        <v>0</v>
      </c>
      <c r="N5924" s="8"/>
      <c r="O5924" s="33" t="str">
        <f>IFERROR(VLOOKUP($M5924,'Informations sur les produits'!$A$3:$H$10000,8,FALSE),"0")</f>
        <v>0</v>
      </c>
      <c r="P5924" s="33">
        <f t="shared" si="368"/>
        <v>0</v>
      </c>
      <c r="Q5924" s="31" t="str">
        <f t="shared" si="369"/>
        <v/>
      </c>
      <c r="R5924" s="32" t="str">
        <f>IFERROR(VLOOKUP($D5924,'Informations sur les produits'!$A$3:$B$15000,2,FALSE),"")</f>
        <v/>
      </c>
      <c r="V5924">
        <f t="shared" si="370"/>
        <v>0</v>
      </c>
      <c r="W5924">
        <f t="shared" si="371"/>
        <v>0</v>
      </c>
    </row>
    <row r="5925" spans="5:23" x14ac:dyDescent="0.25">
      <c r="E5925" s="4"/>
      <c r="F5925" s="4"/>
      <c r="G5925" s="33" t="str">
        <f>IFERROR(VLOOKUP($D5925,'Informations sur les produits'!$A$3:$H$10000,8,FALSE),"0")</f>
        <v>0</v>
      </c>
      <c r="K5925" s="4"/>
      <c r="L5925" s="33" t="str">
        <f>IFERROR(VLOOKUP($J5925,'Informations sur les produits'!$A$3:$H$10000,8,FALSE),"0")</f>
        <v>0</v>
      </c>
      <c r="N5925" s="8"/>
      <c r="O5925" s="33" t="str">
        <f>IFERROR(VLOOKUP($M5925,'Informations sur les produits'!$A$3:$H$10000,8,FALSE),"0")</f>
        <v>0</v>
      </c>
      <c r="P5925" s="33">
        <f t="shared" si="368"/>
        <v>0</v>
      </c>
      <c r="Q5925" s="31" t="str">
        <f t="shared" si="369"/>
        <v/>
      </c>
      <c r="R5925" s="32" t="str">
        <f>IFERROR(VLOOKUP($D5925,'Informations sur les produits'!$A$3:$B$15000,2,FALSE),"")</f>
        <v/>
      </c>
      <c r="V5925">
        <f t="shared" si="370"/>
        <v>0</v>
      </c>
      <c r="W5925">
        <f t="shared" si="371"/>
        <v>0</v>
      </c>
    </row>
    <row r="5926" spans="5:23" x14ac:dyDescent="0.25">
      <c r="E5926" s="4"/>
      <c r="F5926" s="4"/>
      <c r="G5926" s="33" t="str">
        <f>IFERROR(VLOOKUP($D5926,'Informations sur les produits'!$A$3:$H$10000,8,FALSE),"0")</f>
        <v>0</v>
      </c>
      <c r="K5926" s="4"/>
      <c r="L5926" s="33" t="str">
        <f>IFERROR(VLOOKUP($J5926,'Informations sur les produits'!$A$3:$H$10000,8,FALSE),"0")</f>
        <v>0</v>
      </c>
      <c r="N5926" s="8"/>
      <c r="O5926" s="33" t="str">
        <f>IFERROR(VLOOKUP($M5926,'Informations sur les produits'!$A$3:$H$10000,8,FALSE),"0")</f>
        <v>0</v>
      </c>
      <c r="P5926" s="33">
        <f t="shared" si="368"/>
        <v>0</v>
      </c>
      <c r="Q5926" s="31" t="str">
        <f t="shared" si="369"/>
        <v/>
      </c>
      <c r="R5926" s="32" t="str">
        <f>IFERROR(VLOOKUP($D5926,'Informations sur les produits'!$A$3:$B$15000,2,FALSE),"")</f>
        <v/>
      </c>
      <c r="V5926">
        <f t="shared" si="370"/>
        <v>0</v>
      </c>
      <c r="W5926">
        <f t="shared" si="371"/>
        <v>0</v>
      </c>
    </row>
    <row r="5927" spans="5:23" x14ac:dyDescent="0.25">
      <c r="E5927" s="4"/>
      <c r="F5927" s="4"/>
      <c r="G5927" s="33" t="str">
        <f>IFERROR(VLOOKUP($D5927,'Informations sur les produits'!$A$3:$H$10000,8,FALSE),"0")</f>
        <v>0</v>
      </c>
      <c r="K5927" s="4"/>
      <c r="L5927" s="33" t="str">
        <f>IFERROR(VLOOKUP($J5927,'Informations sur les produits'!$A$3:$H$10000,8,FALSE),"0")</f>
        <v>0</v>
      </c>
      <c r="N5927" s="8"/>
      <c r="O5927" s="33" t="str">
        <f>IFERROR(VLOOKUP($M5927,'Informations sur les produits'!$A$3:$H$10000,8,FALSE),"0")</f>
        <v>0</v>
      </c>
      <c r="P5927" s="33">
        <f t="shared" si="368"/>
        <v>0</v>
      </c>
      <c r="Q5927" s="31" t="str">
        <f t="shared" si="369"/>
        <v/>
      </c>
      <c r="R5927" s="32" t="str">
        <f>IFERROR(VLOOKUP($D5927,'Informations sur les produits'!$A$3:$B$15000,2,FALSE),"")</f>
        <v/>
      </c>
      <c r="V5927">
        <f t="shared" si="370"/>
        <v>0</v>
      </c>
      <c r="W5927">
        <f t="shared" si="371"/>
        <v>0</v>
      </c>
    </row>
    <row r="5928" spans="5:23" x14ac:dyDescent="0.25">
      <c r="E5928" s="4"/>
      <c r="F5928" s="4"/>
      <c r="G5928" s="33" t="str">
        <f>IFERROR(VLOOKUP($D5928,'Informations sur les produits'!$A$3:$H$10000,8,FALSE),"0")</f>
        <v>0</v>
      </c>
      <c r="K5928" s="4"/>
      <c r="L5928" s="33" t="str">
        <f>IFERROR(VLOOKUP($J5928,'Informations sur les produits'!$A$3:$H$10000,8,FALSE),"0")</f>
        <v>0</v>
      </c>
      <c r="N5928" s="8"/>
      <c r="O5928" s="33" t="str">
        <f>IFERROR(VLOOKUP($M5928,'Informations sur les produits'!$A$3:$H$10000,8,FALSE),"0")</f>
        <v>0</v>
      </c>
      <c r="P5928" s="33">
        <f t="shared" si="368"/>
        <v>0</v>
      </c>
      <c r="Q5928" s="31" t="str">
        <f t="shared" si="369"/>
        <v/>
      </c>
      <c r="R5928" s="32" t="str">
        <f>IFERROR(VLOOKUP($D5928,'Informations sur les produits'!$A$3:$B$15000,2,FALSE),"")</f>
        <v/>
      </c>
      <c r="V5928">
        <f t="shared" si="370"/>
        <v>0</v>
      </c>
      <c r="W5928">
        <f t="shared" si="371"/>
        <v>0</v>
      </c>
    </row>
    <row r="5929" spans="5:23" x14ac:dyDescent="0.25">
      <c r="E5929" s="4"/>
      <c r="F5929" s="4"/>
      <c r="G5929" s="33" t="str">
        <f>IFERROR(VLOOKUP($D5929,'Informations sur les produits'!$A$3:$H$10000,8,FALSE),"0")</f>
        <v>0</v>
      </c>
      <c r="K5929" s="4"/>
      <c r="L5929" s="33" t="str">
        <f>IFERROR(VLOOKUP($J5929,'Informations sur les produits'!$A$3:$H$10000,8,FALSE),"0")</f>
        <v>0</v>
      </c>
      <c r="N5929" s="8"/>
      <c r="O5929" s="33" t="str">
        <f>IFERROR(VLOOKUP($M5929,'Informations sur les produits'!$A$3:$H$10000,8,FALSE),"0")</f>
        <v>0</v>
      </c>
      <c r="P5929" s="33">
        <f t="shared" si="368"/>
        <v>0</v>
      </c>
      <c r="Q5929" s="31" t="str">
        <f t="shared" si="369"/>
        <v/>
      </c>
      <c r="R5929" s="32" t="str">
        <f>IFERROR(VLOOKUP($D5929,'Informations sur les produits'!$A$3:$B$15000,2,FALSE),"")</f>
        <v/>
      </c>
      <c r="V5929">
        <f t="shared" si="370"/>
        <v>0</v>
      </c>
      <c r="W5929">
        <f t="shared" si="371"/>
        <v>0</v>
      </c>
    </row>
    <row r="5930" spans="5:23" x14ac:dyDescent="0.25">
      <c r="E5930" s="4"/>
      <c r="F5930" s="4"/>
      <c r="G5930" s="33" t="str">
        <f>IFERROR(VLOOKUP($D5930,'Informations sur les produits'!$A$3:$H$10000,8,FALSE),"0")</f>
        <v>0</v>
      </c>
      <c r="K5930" s="4"/>
      <c r="L5930" s="33" t="str">
        <f>IFERROR(VLOOKUP($J5930,'Informations sur les produits'!$A$3:$H$10000,8,FALSE),"0")</f>
        <v>0</v>
      </c>
      <c r="N5930" s="8"/>
      <c r="O5930" s="33" t="str">
        <f>IFERROR(VLOOKUP($M5930,'Informations sur les produits'!$A$3:$H$10000,8,FALSE),"0")</f>
        <v>0</v>
      </c>
      <c r="P5930" s="33">
        <f t="shared" si="368"/>
        <v>0</v>
      </c>
      <c r="Q5930" s="31" t="str">
        <f t="shared" si="369"/>
        <v/>
      </c>
      <c r="R5930" s="32" t="str">
        <f>IFERROR(VLOOKUP($D5930,'Informations sur les produits'!$A$3:$B$15000,2,FALSE),"")</f>
        <v/>
      </c>
      <c r="V5930">
        <f t="shared" si="370"/>
        <v>0</v>
      </c>
      <c r="W5930">
        <f t="shared" si="371"/>
        <v>0</v>
      </c>
    </row>
    <row r="5931" spans="5:23" x14ac:dyDescent="0.25">
      <c r="E5931" s="4"/>
      <c r="F5931" s="4"/>
      <c r="G5931" s="33" t="str">
        <f>IFERROR(VLOOKUP($D5931,'Informations sur les produits'!$A$3:$H$10000,8,FALSE),"0")</f>
        <v>0</v>
      </c>
      <c r="K5931" s="4"/>
      <c r="L5931" s="33" t="str">
        <f>IFERROR(VLOOKUP($J5931,'Informations sur les produits'!$A$3:$H$10000,8,FALSE),"0")</f>
        <v>0</v>
      </c>
      <c r="N5931" s="8"/>
      <c r="O5931" s="33" t="str">
        <f>IFERROR(VLOOKUP($M5931,'Informations sur les produits'!$A$3:$H$10000,8,FALSE),"0")</f>
        <v>0</v>
      </c>
      <c r="P5931" s="33">
        <f t="shared" si="368"/>
        <v>0</v>
      </c>
      <c r="Q5931" s="31" t="str">
        <f t="shared" si="369"/>
        <v/>
      </c>
      <c r="R5931" s="32" t="str">
        <f>IFERROR(VLOOKUP($D5931,'Informations sur les produits'!$A$3:$B$15000,2,FALSE),"")</f>
        <v/>
      </c>
      <c r="V5931">
        <f t="shared" si="370"/>
        <v>0</v>
      </c>
      <c r="W5931">
        <f t="shared" si="371"/>
        <v>0</v>
      </c>
    </row>
    <row r="5932" spans="5:23" x14ac:dyDescent="0.25">
      <c r="E5932" s="4"/>
      <c r="F5932" s="4"/>
      <c r="G5932" s="33" t="str">
        <f>IFERROR(VLOOKUP($D5932,'Informations sur les produits'!$A$3:$H$10000,8,FALSE),"0")</f>
        <v>0</v>
      </c>
      <c r="K5932" s="4"/>
      <c r="L5932" s="33" t="str">
        <f>IFERROR(VLOOKUP($J5932,'Informations sur les produits'!$A$3:$H$10000,8,FALSE),"0")</f>
        <v>0</v>
      </c>
      <c r="N5932" s="8"/>
      <c r="O5932" s="33" t="str">
        <f>IFERROR(VLOOKUP($M5932,'Informations sur les produits'!$A$3:$H$10000,8,FALSE),"0")</f>
        <v>0</v>
      </c>
      <c r="P5932" s="33">
        <f t="shared" si="368"/>
        <v>0</v>
      </c>
      <c r="Q5932" s="31" t="str">
        <f t="shared" si="369"/>
        <v/>
      </c>
      <c r="R5932" s="32" t="str">
        <f>IFERROR(VLOOKUP($D5932,'Informations sur les produits'!$A$3:$B$15000,2,FALSE),"")</f>
        <v/>
      </c>
      <c r="V5932">
        <f t="shared" si="370"/>
        <v>0</v>
      </c>
      <c r="W5932">
        <f t="shared" si="371"/>
        <v>0</v>
      </c>
    </row>
    <row r="5933" spans="5:23" x14ac:dyDescent="0.25">
      <c r="E5933" s="4"/>
      <c r="F5933" s="4"/>
      <c r="G5933" s="33" t="str">
        <f>IFERROR(VLOOKUP($D5933,'Informations sur les produits'!$A$3:$H$10000,8,FALSE),"0")</f>
        <v>0</v>
      </c>
      <c r="K5933" s="4"/>
      <c r="L5933" s="33" t="str">
        <f>IFERROR(VLOOKUP($J5933,'Informations sur les produits'!$A$3:$H$10000,8,FALSE),"0")</f>
        <v>0</v>
      </c>
      <c r="N5933" s="8"/>
      <c r="O5933" s="33" t="str">
        <f>IFERROR(VLOOKUP($M5933,'Informations sur les produits'!$A$3:$H$10000,8,FALSE),"0")</f>
        <v>0</v>
      </c>
      <c r="P5933" s="33">
        <f t="shared" si="368"/>
        <v>0</v>
      </c>
      <c r="Q5933" s="31" t="str">
        <f t="shared" si="369"/>
        <v/>
      </c>
      <c r="R5933" s="32" t="str">
        <f>IFERROR(VLOOKUP($D5933,'Informations sur les produits'!$A$3:$B$15000,2,FALSE),"")</f>
        <v/>
      </c>
      <c r="V5933">
        <f t="shared" si="370"/>
        <v>0</v>
      </c>
      <c r="W5933">
        <f t="shared" si="371"/>
        <v>0</v>
      </c>
    </row>
    <row r="5934" spans="5:23" x14ac:dyDescent="0.25">
      <c r="E5934" s="4"/>
      <c r="F5934" s="4"/>
      <c r="G5934" s="33" t="str">
        <f>IFERROR(VLOOKUP($D5934,'Informations sur les produits'!$A$3:$H$10000,8,FALSE),"0")</f>
        <v>0</v>
      </c>
      <c r="K5934" s="4"/>
      <c r="L5934" s="33" t="str">
        <f>IFERROR(VLOOKUP($J5934,'Informations sur les produits'!$A$3:$H$10000,8,FALSE),"0")</f>
        <v>0</v>
      </c>
      <c r="N5934" s="8"/>
      <c r="O5934" s="33" t="str">
        <f>IFERROR(VLOOKUP($M5934,'Informations sur les produits'!$A$3:$H$10000,8,FALSE),"0")</f>
        <v>0</v>
      </c>
      <c r="P5934" s="33">
        <f t="shared" si="368"/>
        <v>0</v>
      </c>
      <c r="Q5934" s="31" t="str">
        <f t="shared" si="369"/>
        <v/>
      </c>
      <c r="R5934" s="32" t="str">
        <f>IFERROR(VLOOKUP($D5934,'Informations sur les produits'!$A$3:$B$15000,2,FALSE),"")</f>
        <v/>
      </c>
      <c r="V5934">
        <f t="shared" si="370"/>
        <v>0</v>
      </c>
      <c r="W5934">
        <f t="shared" si="371"/>
        <v>0</v>
      </c>
    </row>
    <row r="5935" spans="5:23" x14ac:dyDescent="0.25">
      <c r="E5935" s="4"/>
      <c r="F5935" s="4"/>
      <c r="G5935" s="33" t="str">
        <f>IFERROR(VLOOKUP($D5935,'Informations sur les produits'!$A$3:$H$10000,8,FALSE),"0")</f>
        <v>0</v>
      </c>
      <c r="K5935" s="4"/>
      <c r="L5935" s="33" t="str">
        <f>IFERROR(VLOOKUP($J5935,'Informations sur les produits'!$A$3:$H$10000,8,FALSE),"0")</f>
        <v>0</v>
      </c>
      <c r="N5935" s="8"/>
      <c r="O5935" s="33" t="str">
        <f>IFERROR(VLOOKUP($M5935,'Informations sur les produits'!$A$3:$H$10000,8,FALSE),"0")</f>
        <v>0</v>
      </c>
      <c r="P5935" s="33">
        <f t="shared" si="368"/>
        <v>0</v>
      </c>
      <c r="Q5935" s="31" t="str">
        <f t="shared" si="369"/>
        <v/>
      </c>
      <c r="R5935" s="32" t="str">
        <f>IFERROR(VLOOKUP($D5935,'Informations sur les produits'!$A$3:$B$15000,2,FALSE),"")</f>
        <v/>
      </c>
      <c r="V5935">
        <f t="shared" si="370"/>
        <v>0</v>
      </c>
      <c r="W5935">
        <f t="shared" si="371"/>
        <v>0</v>
      </c>
    </row>
    <row r="5936" spans="5:23" x14ac:dyDescent="0.25">
      <c r="E5936" s="4"/>
      <c r="F5936" s="4"/>
      <c r="G5936" s="33" t="str">
        <f>IFERROR(VLOOKUP($D5936,'Informations sur les produits'!$A$3:$H$10000,8,FALSE),"0")</f>
        <v>0</v>
      </c>
      <c r="K5936" s="4"/>
      <c r="L5936" s="33" t="str">
        <f>IFERROR(VLOOKUP($J5936,'Informations sur les produits'!$A$3:$H$10000,8,FALSE),"0")</f>
        <v>0</v>
      </c>
      <c r="N5936" s="8"/>
      <c r="O5936" s="33" t="str">
        <f>IFERROR(VLOOKUP($M5936,'Informations sur les produits'!$A$3:$H$10000,8,FALSE),"0")</f>
        <v>0</v>
      </c>
      <c r="P5936" s="33">
        <f t="shared" si="368"/>
        <v>0</v>
      </c>
      <c r="Q5936" s="31" t="str">
        <f t="shared" si="369"/>
        <v/>
      </c>
      <c r="R5936" s="32" t="str">
        <f>IFERROR(VLOOKUP($D5936,'Informations sur les produits'!$A$3:$B$15000,2,FALSE),"")</f>
        <v/>
      </c>
      <c r="V5936">
        <f t="shared" si="370"/>
        <v>0</v>
      </c>
      <c r="W5936">
        <f t="shared" si="371"/>
        <v>0</v>
      </c>
    </row>
    <row r="5937" spans="5:23" x14ac:dyDescent="0.25">
      <c r="E5937" s="4"/>
      <c r="F5937" s="4"/>
      <c r="G5937" s="33" t="str">
        <f>IFERROR(VLOOKUP($D5937,'Informations sur les produits'!$A$3:$H$10000,8,FALSE),"0")</f>
        <v>0</v>
      </c>
      <c r="K5937" s="4"/>
      <c r="L5937" s="33" t="str">
        <f>IFERROR(VLOOKUP($J5937,'Informations sur les produits'!$A$3:$H$10000,8,FALSE),"0")</f>
        <v>0</v>
      </c>
      <c r="N5937" s="8"/>
      <c r="O5937" s="33" t="str">
        <f>IFERROR(VLOOKUP($M5937,'Informations sur les produits'!$A$3:$H$10000,8,FALSE),"0")</f>
        <v>0</v>
      </c>
      <c r="P5937" s="33">
        <f t="shared" si="368"/>
        <v>0</v>
      </c>
      <c r="Q5937" s="31" t="str">
        <f t="shared" si="369"/>
        <v/>
      </c>
      <c r="R5937" s="32" t="str">
        <f>IFERROR(VLOOKUP($D5937,'Informations sur les produits'!$A$3:$B$15000,2,FALSE),"")</f>
        <v/>
      </c>
      <c r="V5937">
        <f t="shared" si="370"/>
        <v>0</v>
      </c>
      <c r="W5937">
        <f t="shared" si="371"/>
        <v>0</v>
      </c>
    </row>
    <row r="5938" spans="5:23" x14ac:dyDescent="0.25">
      <c r="E5938" s="4"/>
      <c r="F5938" s="4"/>
      <c r="G5938" s="33" t="str">
        <f>IFERROR(VLOOKUP($D5938,'Informations sur les produits'!$A$3:$H$10000,8,FALSE),"0")</f>
        <v>0</v>
      </c>
      <c r="K5938" s="4"/>
      <c r="L5938" s="33" t="str">
        <f>IFERROR(VLOOKUP($J5938,'Informations sur les produits'!$A$3:$H$10000,8,FALSE),"0")</f>
        <v>0</v>
      </c>
      <c r="N5938" s="8"/>
      <c r="O5938" s="33" t="str">
        <f>IFERROR(VLOOKUP($M5938,'Informations sur les produits'!$A$3:$H$10000,8,FALSE),"0")</f>
        <v>0</v>
      </c>
      <c r="P5938" s="33">
        <f t="shared" si="368"/>
        <v>0</v>
      </c>
      <c r="Q5938" s="31" t="str">
        <f t="shared" si="369"/>
        <v/>
      </c>
      <c r="R5938" s="32" t="str">
        <f>IFERROR(VLOOKUP($D5938,'Informations sur les produits'!$A$3:$B$15000,2,FALSE),"")</f>
        <v/>
      </c>
      <c r="V5938">
        <f t="shared" si="370"/>
        <v>0</v>
      </c>
      <c r="W5938">
        <f t="shared" si="371"/>
        <v>0</v>
      </c>
    </row>
    <row r="5939" spans="5:23" x14ac:dyDescent="0.25">
      <c r="E5939" s="4"/>
      <c r="F5939" s="4"/>
      <c r="G5939" s="33" t="str">
        <f>IFERROR(VLOOKUP($D5939,'Informations sur les produits'!$A$3:$H$10000,8,FALSE),"0")</f>
        <v>0</v>
      </c>
      <c r="K5939" s="4"/>
      <c r="L5939" s="33" t="str">
        <f>IFERROR(VLOOKUP($J5939,'Informations sur les produits'!$A$3:$H$10000,8,FALSE),"0")</f>
        <v>0</v>
      </c>
      <c r="N5939" s="8"/>
      <c r="O5939" s="33" t="str">
        <f>IFERROR(VLOOKUP($M5939,'Informations sur les produits'!$A$3:$H$10000,8,FALSE),"0")</f>
        <v>0</v>
      </c>
      <c r="P5939" s="33">
        <f t="shared" si="368"/>
        <v>0</v>
      </c>
      <c r="Q5939" s="31" t="str">
        <f t="shared" si="369"/>
        <v/>
      </c>
      <c r="R5939" s="32" t="str">
        <f>IFERROR(VLOOKUP($D5939,'Informations sur les produits'!$A$3:$B$15000,2,FALSE),"")</f>
        <v/>
      </c>
      <c r="V5939">
        <f t="shared" si="370"/>
        <v>0</v>
      </c>
      <c r="W5939">
        <f t="shared" si="371"/>
        <v>0</v>
      </c>
    </row>
    <row r="5940" spans="5:23" x14ac:dyDescent="0.25">
      <c r="E5940" s="4"/>
      <c r="F5940" s="4"/>
      <c r="G5940" s="33" t="str">
        <f>IFERROR(VLOOKUP($D5940,'Informations sur les produits'!$A$3:$H$10000,8,FALSE),"0")</f>
        <v>0</v>
      </c>
      <c r="K5940" s="4"/>
      <c r="L5940" s="33" t="str">
        <f>IFERROR(VLOOKUP($J5940,'Informations sur les produits'!$A$3:$H$10000,8,FALSE),"0")</f>
        <v>0</v>
      </c>
      <c r="N5940" s="8"/>
      <c r="O5940" s="33" t="str">
        <f>IFERROR(VLOOKUP($M5940,'Informations sur les produits'!$A$3:$H$10000,8,FALSE),"0")</f>
        <v>0</v>
      </c>
      <c r="P5940" s="33">
        <f t="shared" si="368"/>
        <v>0</v>
      </c>
      <c r="Q5940" s="31" t="str">
        <f t="shared" si="369"/>
        <v/>
      </c>
      <c r="R5940" s="32" t="str">
        <f>IFERROR(VLOOKUP($D5940,'Informations sur les produits'!$A$3:$B$15000,2,FALSE),"")</f>
        <v/>
      </c>
      <c r="V5940">
        <f t="shared" si="370"/>
        <v>0</v>
      </c>
      <c r="W5940">
        <f t="shared" si="371"/>
        <v>0</v>
      </c>
    </row>
    <row r="5941" spans="5:23" x14ac:dyDescent="0.25">
      <c r="E5941" s="4"/>
      <c r="F5941" s="4"/>
      <c r="G5941" s="33" t="str">
        <f>IFERROR(VLOOKUP($D5941,'Informations sur les produits'!$A$3:$H$10000,8,FALSE),"0")</f>
        <v>0</v>
      </c>
      <c r="K5941" s="4"/>
      <c r="L5941" s="33" t="str">
        <f>IFERROR(VLOOKUP($J5941,'Informations sur les produits'!$A$3:$H$10000,8,FALSE),"0")</f>
        <v>0</v>
      </c>
      <c r="N5941" s="8"/>
      <c r="O5941" s="33" t="str">
        <f>IFERROR(VLOOKUP($M5941,'Informations sur les produits'!$A$3:$H$10000,8,FALSE),"0")</f>
        <v>0</v>
      </c>
      <c r="P5941" s="33">
        <f t="shared" si="368"/>
        <v>0</v>
      </c>
      <c r="Q5941" s="31" t="str">
        <f t="shared" si="369"/>
        <v/>
      </c>
      <c r="R5941" s="32" t="str">
        <f>IFERROR(VLOOKUP($D5941,'Informations sur les produits'!$A$3:$B$15000,2,FALSE),"")</f>
        <v/>
      </c>
      <c r="V5941">
        <f t="shared" si="370"/>
        <v>0</v>
      </c>
      <c r="W5941">
        <f t="shared" si="371"/>
        <v>0</v>
      </c>
    </row>
    <row r="5942" spans="5:23" x14ac:dyDescent="0.25">
      <c r="E5942" s="4"/>
      <c r="F5942" s="4"/>
      <c r="G5942" s="33" t="str">
        <f>IFERROR(VLOOKUP($D5942,'Informations sur les produits'!$A$3:$H$10000,8,FALSE),"0")</f>
        <v>0</v>
      </c>
      <c r="K5942" s="4"/>
      <c r="L5942" s="33" t="str">
        <f>IFERROR(VLOOKUP($J5942,'Informations sur les produits'!$A$3:$H$10000,8,FALSE),"0")</f>
        <v>0</v>
      </c>
      <c r="N5942" s="8"/>
      <c r="O5942" s="33" t="str">
        <f>IFERROR(VLOOKUP($M5942,'Informations sur les produits'!$A$3:$H$10000,8,FALSE),"0")</f>
        <v>0</v>
      </c>
      <c r="P5942" s="33">
        <f t="shared" si="368"/>
        <v>0</v>
      </c>
      <c r="Q5942" s="31" t="str">
        <f t="shared" si="369"/>
        <v/>
      </c>
      <c r="R5942" s="32" t="str">
        <f>IFERROR(VLOOKUP($D5942,'Informations sur les produits'!$A$3:$B$15000,2,FALSE),"")</f>
        <v/>
      </c>
      <c r="V5942">
        <f t="shared" si="370"/>
        <v>0</v>
      </c>
      <c r="W5942">
        <f t="shared" si="371"/>
        <v>0</v>
      </c>
    </row>
    <row r="5943" spans="5:23" x14ac:dyDescent="0.25">
      <c r="E5943" s="4"/>
      <c r="F5943" s="4"/>
      <c r="G5943" s="33" t="str">
        <f>IFERROR(VLOOKUP($D5943,'Informations sur les produits'!$A$3:$H$10000,8,FALSE),"0")</f>
        <v>0</v>
      </c>
      <c r="K5943" s="4"/>
      <c r="L5943" s="33" t="str">
        <f>IFERROR(VLOOKUP($J5943,'Informations sur les produits'!$A$3:$H$10000,8,FALSE),"0")</f>
        <v>0</v>
      </c>
      <c r="N5943" s="8"/>
      <c r="O5943" s="33" t="str">
        <f>IFERROR(VLOOKUP($M5943,'Informations sur les produits'!$A$3:$H$10000,8,FALSE),"0")</f>
        <v>0</v>
      </c>
      <c r="P5943" s="33">
        <f t="shared" si="368"/>
        <v>0</v>
      </c>
      <c r="Q5943" s="31" t="str">
        <f t="shared" si="369"/>
        <v/>
      </c>
      <c r="R5943" s="32" t="str">
        <f>IFERROR(VLOOKUP($D5943,'Informations sur les produits'!$A$3:$B$15000,2,FALSE),"")</f>
        <v/>
      </c>
      <c r="V5943">
        <f t="shared" si="370"/>
        <v>0</v>
      </c>
      <c r="W5943">
        <f t="shared" si="371"/>
        <v>0</v>
      </c>
    </row>
    <row r="5944" spans="5:23" x14ac:dyDescent="0.25">
      <c r="E5944" s="4"/>
      <c r="F5944" s="4"/>
      <c r="G5944" s="33" t="str">
        <f>IFERROR(VLOOKUP($D5944,'Informations sur les produits'!$A$3:$H$10000,8,FALSE),"0")</f>
        <v>0</v>
      </c>
      <c r="K5944" s="4"/>
      <c r="L5944" s="33" t="str">
        <f>IFERROR(VLOOKUP($J5944,'Informations sur les produits'!$A$3:$H$10000,8,FALSE),"0")</f>
        <v>0</v>
      </c>
      <c r="N5944" s="8"/>
      <c r="O5944" s="33" t="str">
        <f>IFERROR(VLOOKUP($M5944,'Informations sur les produits'!$A$3:$H$10000,8,FALSE),"0")</f>
        <v>0</v>
      </c>
      <c r="P5944" s="33">
        <f t="shared" si="368"/>
        <v>0</v>
      </c>
      <c r="Q5944" s="31" t="str">
        <f t="shared" si="369"/>
        <v/>
      </c>
      <c r="R5944" s="32" t="str">
        <f>IFERROR(VLOOKUP($D5944,'Informations sur les produits'!$A$3:$B$15000,2,FALSE),"")</f>
        <v/>
      </c>
      <c r="V5944">
        <f t="shared" si="370"/>
        <v>0</v>
      </c>
      <c r="W5944">
        <f t="shared" si="371"/>
        <v>0</v>
      </c>
    </row>
    <row r="5945" spans="5:23" x14ac:dyDescent="0.25">
      <c r="E5945" s="4"/>
      <c r="F5945" s="4"/>
      <c r="G5945" s="33" t="str">
        <f>IFERROR(VLOOKUP($D5945,'Informations sur les produits'!$A$3:$H$10000,8,FALSE),"0")</f>
        <v>0</v>
      </c>
      <c r="K5945" s="4"/>
      <c r="L5945" s="33" t="str">
        <f>IFERROR(VLOOKUP($J5945,'Informations sur les produits'!$A$3:$H$10000,8,FALSE),"0")</f>
        <v>0</v>
      </c>
      <c r="N5945" s="8"/>
      <c r="O5945" s="33" t="str">
        <f>IFERROR(VLOOKUP($M5945,'Informations sur les produits'!$A$3:$H$10000,8,FALSE),"0")</f>
        <v>0</v>
      </c>
      <c r="P5945" s="33">
        <f t="shared" si="368"/>
        <v>0</v>
      </c>
      <c r="Q5945" s="31" t="str">
        <f t="shared" si="369"/>
        <v/>
      </c>
      <c r="R5945" s="32" t="str">
        <f>IFERROR(VLOOKUP($D5945,'Informations sur les produits'!$A$3:$B$15000,2,FALSE),"")</f>
        <v/>
      </c>
      <c r="V5945">
        <f t="shared" si="370"/>
        <v>0</v>
      </c>
      <c r="W5945">
        <f t="shared" si="371"/>
        <v>0</v>
      </c>
    </row>
    <row r="5946" spans="5:23" x14ac:dyDescent="0.25">
      <c r="E5946" s="4"/>
      <c r="F5946" s="4"/>
      <c r="G5946" s="33" t="str">
        <f>IFERROR(VLOOKUP($D5946,'Informations sur les produits'!$A$3:$H$10000,8,FALSE),"0")</f>
        <v>0</v>
      </c>
      <c r="K5946" s="4"/>
      <c r="L5946" s="33" t="str">
        <f>IFERROR(VLOOKUP($J5946,'Informations sur les produits'!$A$3:$H$10000,8,FALSE),"0")</f>
        <v>0</v>
      </c>
      <c r="N5946" s="8"/>
      <c r="O5946" s="33" t="str">
        <f>IFERROR(VLOOKUP($M5946,'Informations sur les produits'!$A$3:$H$10000,8,FALSE),"0")</f>
        <v>0</v>
      </c>
      <c r="P5946" s="33">
        <f t="shared" si="368"/>
        <v>0</v>
      </c>
      <c r="Q5946" s="31" t="str">
        <f t="shared" si="369"/>
        <v/>
      </c>
      <c r="R5946" s="32" t="str">
        <f>IFERROR(VLOOKUP($D5946,'Informations sur les produits'!$A$3:$B$15000,2,FALSE),"")</f>
        <v/>
      </c>
      <c r="V5946">
        <f t="shared" si="370"/>
        <v>0</v>
      </c>
      <c r="W5946">
        <f t="shared" si="371"/>
        <v>0</v>
      </c>
    </row>
    <row r="5947" spans="5:23" x14ac:dyDescent="0.25">
      <c r="E5947" s="4"/>
      <c r="F5947" s="4"/>
      <c r="G5947" s="33" t="str">
        <f>IFERROR(VLOOKUP($D5947,'Informations sur les produits'!$A$3:$H$10000,8,FALSE),"0")</f>
        <v>0</v>
      </c>
      <c r="K5947" s="4"/>
      <c r="L5947" s="33" t="str">
        <f>IFERROR(VLOOKUP($J5947,'Informations sur les produits'!$A$3:$H$10000,8,FALSE),"0")</f>
        <v>0</v>
      </c>
      <c r="N5947" s="8"/>
      <c r="O5947" s="33" t="str">
        <f>IFERROR(VLOOKUP($M5947,'Informations sur les produits'!$A$3:$H$10000,8,FALSE),"0")</f>
        <v>0</v>
      </c>
      <c r="P5947" s="33">
        <f t="shared" si="368"/>
        <v>0</v>
      </c>
      <c r="Q5947" s="31" t="str">
        <f t="shared" si="369"/>
        <v/>
      </c>
      <c r="R5947" s="32" t="str">
        <f>IFERROR(VLOOKUP($D5947,'Informations sur les produits'!$A$3:$B$15000,2,FALSE),"")</f>
        <v/>
      </c>
      <c r="V5947">
        <f t="shared" si="370"/>
        <v>0</v>
      </c>
      <c r="W5947">
        <f t="shared" si="371"/>
        <v>0</v>
      </c>
    </row>
    <row r="5948" spans="5:23" x14ac:dyDescent="0.25">
      <c r="E5948" s="4"/>
      <c r="F5948" s="4"/>
      <c r="G5948" s="33" t="str">
        <f>IFERROR(VLOOKUP($D5948,'Informations sur les produits'!$A$3:$H$10000,8,FALSE),"0")</f>
        <v>0</v>
      </c>
      <c r="K5948" s="4"/>
      <c r="L5948" s="33" t="str">
        <f>IFERROR(VLOOKUP($J5948,'Informations sur les produits'!$A$3:$H$10000,8,FALSE),"0")</f>
        <v>0</v>
      </c>
      <c r="N5948" s="8"/>
      <c r="O5948" s="33" t="str">
        <f>IFERROR(VLOOKUP($M5948,'Informations sur les produits'!$A$3:$H$10000,8,FALSE),"0")</f>
        <v>0</v>
      </c>
      <c r="P5948" s="33">
        <f t="shared" si="368"/>
        <v>0</v>
      </c>
      <c r="Q5948" s="31" t="str">
        <f t="shared" si="369"/>
        <v/>
      </c>
      <c r="R5948" s="32" t="str">
        <f>IFERROR(VLOOKUP($D5948,'Informations sur les produits'!$A$3:$B$15000,2,FALSE),"")</f>
        <v/>
      </c>
      <c r="V5948">
        <f t="shared" si="370"/>
        <v>0</v>
      </c>
      <c r="W5948">
        <f t="shared" si="371"/>
        <v>0</v>
      </c>
    </row>
    <row r="5949" spans="5:23" x14ac:dyDescent="0.25">
      <c r="E5949" s="4"/>
      <c r="F5949" s="4"/>
      <c r="G5949" s="33" t="str">
        <f>IFERROR(VLOOKUP($D5949,'Informations sur les produits'!$A$3:$H$10000,8,FALSE),"0")</f>
        <v>0</v>
      </c>
      <c r="K5949" s="4"/>
      <c r="L5949" s="33" t="str">
        <f>IFERROR(VLOOKUP($J5949,'Informations sur les produits'!$A$3:$H$10000,8,FALSE),"0")</f>
        <v>0</v>
      </c>
      <c r="N5949" s="8"/>
      <c r="O5949" s="33" t="str">
        <f>IFERROR(VLOOKUP($M5949,'Informations sur les produits'!$A$3:$H$10000,8,FALSE),"0")</f>
        <v>0</v>
      </c>
      <c r="P5949" s="33">
        <f t="shared" si="368"/>
        <v>0</v>
      </c>
      <c r="Q5949" s="31" t="str">
        <f t="shared" si="369"/>
        <v/>
      </c>
      <c r="R5949" s="32" t="str">
        <f>IFERROR(VLOOKUP($D5949,'Informations sur les produits'!$A$3:$B$15000,2,FALSE),"")</f>
        <v/>
      </c>
      <c r="V5949">
        <f t="shared" si="370"/>
        <v>0</v>
      </c>
      <c r="W5949">
        <f t="shared" si="371"/>
        <v>0</v>
      </c>
    </row>
    <row r="5950" spans="5:23" x14ac:dyDescent="0.25">
      <c r="E5950" s="4"/>
      <c r="F5950" s="4"/>
      <c r="G5950" s="33" t="str">
        <f>IFERROR(VLOOKUP($D5950,'Informations sur les produits'!$A$3:$H$10000,8,FALSE),"0")</f>
        <v>0</v>
      </c>
      <c r="K5950" s="4"/>
      <c r="L5950" s="33" t="str">
        <f>IFERROR(VLOOKUP($J5950,'Informations sur les produits'!$A$3:$H$10000,8,FALSE),"0")</f>
        <v>0</v>
      </c>
      <c r="N5950" s="8"/>
      <c r="O5950" s="33" t="str">
        <f>IFERROR(VLOOKUP($M5950,'Informations sur les produits'!$A$3:$H$10000,8,FALSE),"0")</f>
        <v>0</v>
      </c>
      <c r="P5950" s="33">
        <f t="shared" si="368"/>
        <v>0</v>
      </c>
      <c r="Q5950" s="31" t="str">
        <f t="shared" si="369"/>
        <v/>
      </c>
      <c r="R5950" s="32" t="str">
        <f>IFERROR(VLOOKUP($D5950,'Informations sur les produits'!$A$3:$B$15000,2,FALSE),"")</f>
        <v/>
      </c>
      <c r="V5950">
        <f t="shared" si="370"/>
        <v>0</v>
      </c>
      <c r="W5950">
        <f t="shared" si="371"/>
        <v>0</v>
      </c>
    </row>
    <row r="5951" spans="5:23" x14ac:dyDescent="0.25">
      <c r="E5951" s="4"/>
      <c r="F5951" s="4"/>
      <c r="G5951" s="33" t="str">
        <f>IFERROR(VLOOKUP($D5951,'Informations sur les produits'!$A$3:$H$10000,8,FALSE),"0")</f>
        <v>0</v>
      </c>
      <c r="K5951" s="4"/>
      <c r="L5951" s="33" t="str">
        <f>IFERROR(VLOOKUP($J5951,'Informations sur les produits'!$A$3:$H$10000,8,FALSE),"0")</f>
        <v>0</v>
      </c>
      <c r="N5951" s="8"/>
      <c r="O5951" s="33" t="str">
        <f>IFERROR(VLOOKUP($M5951,'Informations sur les produits'!$A$3:$H$10000,8,FALSE),"0")</f>
        <v>0</v>
      </c>
      <c r="P5951" s="33">
        <f t="shared" si="368"/>
        <v>0</v>
      </c>
      <c r="Q5951" s="31" t="str">
        <f t="shared" si="369"/>
        <v/>
      </c>
      <c r="R5951" s="32" t="str">
        <f>IFERROR(VLOOKUP($D5951,'Informations sur les produits'!$A$3:$B$15000,2,FALSE),"")</f>
        <v/>
      </c>
      <c r="V5951">
        <f t="shared" si="370"/>
        <v>0</v>
      </c>
      <c r="W5951">
        <f t="shared" si="371"/>
        <v>0</v>
      </c>
    </row>
    <row r="5952" spans="5:23" x14ac:dyDescent="0.25">
      <c r="E5952" s="4"/>
      <c r="F5952" s="4"/>
      <c r="G5952" s="33" t="str">
        <f>IFERROR(VLOOKUP($D5952,'Informations sur les produits'!$A$3:$H$10000,8,FALSE),"0")</f>
        <v>0</v>
      </c>
      <c r="K5952" s="4"/>
      <c r="L5952" s="33" t="str">
        <f>IFERROR(VLOOKUP($J5952,'Informations sur les produits'!$A$3:$H$10000,8,FALSE),"0")</f>
        <v>0</v>
      </c>
      <c r="N5952" s="8"/>
      <c r="O5952" s="33" t="str">
        <f>IFERROR(VLOOKUP($M5952,'Informations sur les produits'!$A$3:$H$10000,8,FALSE),"0")</f>
        <v>0</v>
      </c>
      <c r="P5952" s="33">
        <f t="shared" si="368"/>
        <v>0</v>
      </c>
      <c r="Q5952" s="31" t="str">
        <f t="shared" si="369"/>
        <v/>
      </c>
      <c r="R5952" s="32" t="str">
        <f>IFERROR(VLOOKUP($D5952,'Informations sur les produits'!$A$3:$B$15000,2,FALSE),"")</f>
        <v/>
      </c>
      <c r="V5952">
        <f t="shared" si="370"/>
        <v>0</v>
      </c>
      <c r="W5952">
        <f t="shared" si="371"/>
        <v>0</v>
      </c>
    </row>
    <row r="5953" spans="5:23" x14ac:dyDescent="0.25">
      <c r="E5953" s="4"/>
      <c r="F5953" s="4"/>
      <c r="G5953" s="33" t="str">
        <f>IFERROR(VLOOKUP($D5953,'Informations sur les produits'!$A$3:$H$10000,8,FALSE),"0")</f>
        <v>0</v>
      </c>
      <c r="K5953" s="4"/>
      <c r="L5953" s="33" t="str">
        <f>IFERROR(VLOOKUP($J5953,'Informations sur les produits'!$A$3:$H$10000,8,FALSE),"0")</f>
        <v>0</v>
      </c>
      <c r="N5953" s="8"/>
      <c r="O5953" s="33" t="str">
        <f>IFERROR(VLOOKUP($M5953,'Informations sur les produits'!$A$3:$H$10000,8,FALSE),"0")</f>
        <v>0</v>
      </c>
      <c r="P5953" s="33">
        <f t="shared" si="368"/>
        <v>0</v>
      </c>
      <c r="Q5953" s="31" t="str">
        <f t="shared" si="369"/>
        <v/>
      </c>
      <c r="R5953" s="32" t="str">
        <f>IFERROR(VLOOKUP($D5953,'Informations sur les produits'!$A$3:$B$15000,2,FALSE),"")</f>
        <v/>
      </c>
      <c r="V5953">
        <f t="shared" si="370"/>
        <v>0</v>
      </c>
      <c r="W5953">
        <f t="shared" si="371"/>
        <v>0</v>
      </c>
    </row>
    <row r="5954" spans="5:23" x14ac:dyDescent="0.25">
      <c r="E5954" s="4"/>
      <c r="F5954" s="4"/>
      <c r="G5954" s="33" t="str">
        <f>IFERROR(VLOOKUP($D5954,'Informations sur les produits'!$A$3:$H$10000,8,FALSE),"0")</f>
        <v>0</v>
      </c>
      <c r="K5954" s="4"/>
      <c r="L5954" s="33" t="str">
        <f>IFERROR(VLOOKUP($J5954,'Informations sur les produits'!$A$3:$H$10000,8,FALSE),"0")</f>
        <v>0</v>
      </c>
      <c r="N5954" s="8"/>
      <c r="O5954" s="33" t="str">
        <f>IFERROR(VLOOKUP($M5954,'Informations sur les produits'!$A$3:$H$10000,8,FALSE),"0")</f>
        <v>0</v>
      </c>
      <c r="P5954" s="33">
        <f t="shared" si="368"/>
        <v>0</v>
      </c>
      <c r="Q5954" s="31" t="str">
        <f t="shared" si="369"/>
        <v/>
      </c>
      <c r="R5954" s="32" t="str">
        <f>IFERROR(VLOOKUP($D5954,'Informations sur les produits'!$A$3:$B$15000,2,FALSE),"")</f>
        <v/>
      </c>
      <c r="V5954">
        <f t="shared" si="370"/>
        <v>0</v>
      </c>
      <c r="W5954">
        <f t="shared" si="371"/>
        <v>0</v>
      </c>
    </row>
    <row r="5955" spans="5:23" x14ac:dyDescent="0.25">
      <c r="E5955" s="4"/>
      <c r="F5955" s="4"/>
      <c r="G5955" s="33" t="str">
        <f>IFERROR(VLOOKUP($D5955,'Informations sur les produits'!$A$3:$H$10000,8,FALSE),"0")</f>
        <v>0</v>
      </c>
      <c r="K5955" s="4"/>
      <c r="L5955" s="33" t="str">
        <f>IFERROR(VLOOKUP($J5955,'Informations sur les produits'!$A$3:$H$10000,8,FALSE),"0")</f>
        <v>0</v>
      </c>
      <c r="N5955" s="8"/>
      <c r="O5955" s="33" t="str">
        <f>IFERROR(VLOOKUP($M5955,'Informations sur les produits'!$A$3:$H$10000,8,FALSE),"0")</f>
        <v>0</v>
      </c>
      <c r="P5955" s="33">
        <f t="shared" si="368"/>
        <v>0</v>
      </c>
      <c r="Q5955" s="31" t="str">
        <f t="shared" si="369"/>
        <v/>
      </c>
      <c r="R5955" s="32" t="str">
        <f>IFERROR(VLOOKUP($D5955,'Informations sur les produits'!$A$3:$B$15000,2,FALSE),"")</f>
        <v/>
      </c>
      <c r="V5955">
        <f t="shared" si="370"/>
        <v>0</v>
      </c>
      <c r="W5955">
        <f t="shared" si="371"/>
        <v>0</v>
      </c>
    </row>
    <row r="5956" spans="5:23" x14ac:dyDescent="0.25">
      <c r="E5956" s="4"/>
      <c r="F5956" s="4"/>
      <c r="G5956" s="33" t="str">
        <f>IFERROR(VLOOKUP($D5956,'Informations sur les produits'!$A$3:$H$10000,8,FALSE),"0")</f>
        <v>0</v>
      </c>
      <c r="K5956" s="4"/>
      <c r="L5956" s="33" t="str">
        <f>IFERROR(VLOOKUP($J5956,'Informations sur les produits'!$A$3:$H$10000,8,FALSE),"0")</f>
        <v>0</v>
      </c>
      <c r="N5956" s="8"/>
      <c r="O5956" s="33" t="str">
        <f>IFERROR(VLOOKUP($M5956,'Informations sur les produits'!$A$3:$H$10000,8,FALSE),"0")</f>
        <v>0</v>
      </c>
      <c r="P5956" s="33">
        <f t="shared" ref="P5956:P6019" si="372">IFERROR((($E5956-$F5956)*$G5956+$K5956*$L5956+$N5956*$O5956),"")</f>
        <v>0</v>
      </c>
      <c r="Q5956" s="31" t="str">
        <f t="shared" ref="Q5956:Q6019" si="373">IFERROR((((($E5956-$F5956)*$G5956+$K5956*$L5956+$N5956*$O5956)*1000)/(($E5956-$F5956)+$K5956+$N5956)),"")</f>
        <v/>
      </c>
      <c r="R5956" s="32" t="str">
        <f>IFERROR(VLOOKUP($D5956,'Informations sur les produits'!$A$3:$B$15000,2,FALSE),"")</f>
        <v/>
      </c>
      <c r="V5956">
        <f t="shared" ref="V5956:V6019" si="374">IFERROR(P5956*1000,"")</f>
        <v>0</v>
      </c>
      <c r="W5956">
        <f t="shared" ref="W5956:W6019" si="375">IFERROR(($E5956-$F5956)+$K5956+$N5956,"")</f>
        <v>0</v>
      </c>
    </row>
    <row r="5957" spans="5:23" x14ac:dyDescent="0.25">
      <c r="E5957" s="4"/>
      <c r="F5957" s="4"/>
      <c r="G5957" s="33" t="str">
        <f>IFERROR(VLOOKUP($D5957,'Informations sur les produits'!$A$3:$H$10000,8,FALSE),"0")</f>
        <v>0</v>
      </c>
      <c r="K5957" s="4"/>
      <c r="L5957" s="33" t="str">
        <f>IFERROR(VLOOKUP($J5957,'Informations sur les produits'!$A$3:$H$10000,8,FALSE),"0")</f>
        <v>0</v>
      </c>
      <c r="N5957" s="8"/>
      <c r="O5957" s="33" t="str">
        <f>IFERROR(VLOOKUP($M5957,'Informations sur les produits'!$A$3:$H$10000,8,FALSE),"0")</f>
        <v>0</v>
      </c>
      <c r="P5957" s="33">
        <f t="shared" si="372"/>
        <v>0</v>
      </c>
      <c r="Q5957" s="31" t="str">
        <f t="shared" si="373"/>
        <v/>
      </c>
      <c r="R5957" s="32" t="str">
        <f>IFERROR(VLOOKUP($D5957,'Informations sur les produits'!$A$3:$B$15000,2,FALSE),"")</f>
        <v/>
      </c>
      <c r="V5957">
        <f t="shared" si="374"/>
        <v>0</v>
      </c>
      <c r="W5957">
        <f t="shared" si="375"/>
        <v>0</v>
      </c>
    </row>
    <row r="5958" spans="5:23" x14ac:dyDescent="0.25">
      <c r="E5958" s="4"/>
      <c r="F5958" s="4"/>
      <c r="G5958" s="33" t="str">
        <f>IFERROR(VLOOKUP($D5958,'Informations sur les produits'!$A$3:$H$10000,8,FALSE),"0")</f>
        <v>0</v>
      </c>
      <c r="K5958" s="4"/>
      <c r="L5958" s="33" t="str">
        <f>IFERROR(VLOOKUP($J5958,'Informations sur les produits'!$A$3:$H$10000,8,FALSE),"0")</f>
        <v>0</v>
      </c>
      <c r="N5958" s="8"/>
      <c r="O5958" s="33" t="str">
        <f>IFERROR(VLOOKUP($M5958,'Informations sur les produits'!$A$3:$H$10000,8,FALSE),"0")</f>
        <v>0</v>
      </c>
      <c r="P5958" s="33">
        <f t="shared" si="372"/>
        <v>0</v>
      </c>
      <c r="Q5958" s="31" t="str">
        <f t="shared" si="373"/>
        <v/>
      </c>
      <c r="R5958" s="32" t="str">
        <f>IFERROR(VLOOKUP($D5958,'Informations sur les produits'!$A$3:$B$15000,2,FALSE),"")</f>
        <v/>
      </c>
      <c r="V5958">
        <f t="shared" si="374"/>
        <v>0</v>
      </c>
      <c r="W5958">
        <f t="shared" si="375"/>
        <v>0</v>
      </c>
    </row>
    <row r="5959" spans="5:23" x14ac:dyDescent="0.25">
      <c r="E5959" s="4"/>
      <c r="F5959" s="4"/>
      <c r="G5959" s="33" t="str">
        <f>IFERROR(VLOOKUP($D5959,'Informations sur les produits'!$A$3:$H$10000,8,FALSE),"0")</f>
        <v>0</v>
      </c>
      <c r="K5959" s="4"/>
      <c r="L5959" s="33" t="str">
        <f>IFERROR(VLOOKUP($J5959,'Informations sur les produits'!$A$3:$H$10000,8,FALSE),"0")</f>
        <v>0</v>
      </c>
      <c r="N5959" s="8"/>
      <c r="O5959" s="33" t="str">
        <f>IFERROR(VLOOKUP($M5959,'Informations sur les produits'!$A$3:$H$10000,8,FALSE),"0")</f>
        <v>0</v>
      </c>
      <c r="P5959" s="33">
        <f t="shared" si="372"/>
        <v>0</v>
      </c>
      <c r="Q5959" s="31" t="str">
        <f t="shared" si="373"/>
        <v/>
      </c>
      <c r="R5959" s="32" t="str">
        <f>IFERROR(VLOOKUP($D5959,'Informations sur les produits'!$A$3:$B$15000,2,FALSE),"")</f>
        <v/>
      </c>
      <c r="V5959">
        <f t="shared" si="374"/>
        <v>0</v>
      </c>
      <c r="W5959">
        <f t="shared" si="375"/>
        <v>0</v>
      </c>
    </row>
    <row r="5960" spans="5:23" x14ac:dyDescent="0.25">
      <c r="E5960" s="4"/>
      <c r="F5960" s="4"/>
      <c r="G5960" s="33" t="str">
        <f>IFERROR(VLOOKUP($D5960,'Informations sur les produits'!$A$3:$H$10000,8,FALSE),"0")</f>
        <v>0</v>
      </c>
      <c r="K5960" s="4"/>
      <c r="L5960" s="33" t="str">
        <f>IFERROR(VLOOKUP($J5960,'Informations sur les produits'!$A$3:$H$10000,8,FALSE),"0")</f>
        <v>0</v>
      </c>
      <c r="N5960" s="8"/>
      <c r="O5960" s="33" t="str">
        <f>IFERROR(VLOOKUP($M5960,'Informations sur les produits'!$A$3:$H$10000,8,FALSE),"0")</f>
        <v>0</v>
      </c>
      <c r="P5960" s="33">
        <f t="shared" si="372"/>
        <v>0</v>
      </c>
      <c r="Q5960" s="31" t="str">
        <f t="shared" si="373"/>
        <v/>
      </c>
      <c r="R5960" s="32" t="str">
        <f>IFERROR(VLOOKUP($D5960,'Informations sur les produits'!$A$3:$B$15000,2,FALSE),"")</f>
        <v/>
      </c>
      <c r="V5960">
        <f t="shared" si="374"/>
        <v>0</v>
      </c>
      <c r="W5960">
        <f t="shared" si="375"/>
        <v>0</v>
      </c>
    </row>
    <row r="5961" spans="5:23" x14ac:dyDescent="0.25">
      <c r="E5961" s="4"/>
      <c r="F5961" s="4"/>
      <c r="G5961" s="33" t="str">
        <f>IFERROR(VLOOKUP($D5961,'Informations sur les produits'!$A$3:$H$10000,8,FALSE),"0")</f>
        <v>0</v>
      </c>
      <c r="K5961" s="4"/>
      <c r="L5961" s="33" t="str">
        <f>IFERROR(VLOOKUP($J5961,'Informations sur les produits'!$A$3:$H$10000,8,FALSE),"0")</f>
        <v>0</v>
      </c>
      <c r="N5961" s="8"/>
      <c r="O5961" s="33" t="str">
        <f>IFERROR(VLOOKUP($M5961,'Informations sur les produits'!$A$3:$H$10000,8,FALSE),"0")</f>
        <v>0</v>
      </c>
      <c r="P5961" s="33">
        <f t="shared" si="372"/>
        <v>0</v>
      </c>
      <c r="Q5961" s="31" t="str">
        <f t="shared" si="373"/>
        <v/>
      </c>
      <c r="R5961" s="32" t="str">
        <f>IFERROR(VLOOKUP($D5961,'Informations sur les produits'!$A$3:$B$15000,2,FALSE),"")</f>
        <v/>
      </c>
      <c r="V5961">
        <f t="shared" si="374"/>
        <v>0</v>
      </c>
      <c r="W5961">
        <f t="shared" si="375"/>
        <v>0</v>
      </c>
    </row>
    <row r="5962" spans="5:23" x14ac:dyDescent="0.25">
      <c r="E5962" s="4"/>
      <c r="F5962" s="4"/>
      <c r="G5962" s="33" t="str">
        <f>IFERROR(VLOOKUP($D5962,'Informations sur les produits'!$A$3:$H$10000,8,FALSE),"0")</f>
        <v>0</v>
      </c>
      <c r="K5962" s="4"/>
      <c r="L5962" s="33" t="str">
        <f>IFERROR(VLOOKUP($J5962,'Informations sur les produits'!$A$3:$H$10000,8,FALSE),"0")</f>
        <v>0</v>
      </c>
      <c r="N5962" s="8"/>
      <c r="O5962" s="33" t="str">
        <f>IFERROR(VLOOKUP($M5962,'Informations sur les produits'!$A$3:$H$10000,8,FALSE),"0")</f>
        <v>0</v>
      </c>
      <c r="P5962" s="33">
        <f t="shared" si="372"/>
        <v>0</v>
      </c>
      <c r="Q5962" s="31" t="str">
        <f t="shared" si="373"/>
        <v/>
      </c>
      <c r="R5962" s="32" t="str">
        <f>IFERROR(VLOOKUP($D5962,'Informations sur les produits'!$A$3:$B$15000,2,FALSE),"")</f>
        <v/>
      </c>
      <c r="V5962">
        <f t="shared" si="374"/>
        <v>0</v>
      </c>
      <c r="W5962">
        <f t="shared" si="375"/>
        <v>0</v>
      </c>
    </row>
    <row r="5963" spans="5:23" x14ac:dyDescent="0.25">
      <c r="E5963" s="4"/>
      <c r="F5963" s="4"/>
      <c r="G5963" s="33" t="str">
        <f>IFERROR(VLOOKUP($D5963,'Informations sur les produits'!$A$3:$H$10000,8,FALSE),"0")</f>
        <v>0</v>
      </c>
      <c r="K5963" s="4"/>
      <c r="L5963" s="33" t="str">
        <f>IFERROR(VLOOKUP($J5963,'Informations sur les produits'!$A$3:$H$10000,8,FALSE),"0")</f>
        <v>0</v>
      </c>
      <c r="N5963" s="8"/>
      <c r="O5963" s="33" t="str">
        <f>IFERROR(VLOOKUP($M5963,'Informations sur les produits'!$A$3:$H$10000,8,FALSE),"0")</f>
        <v>0</v>
      </c>
      <c r="P5963" s="33">
        <f t="shared" si="372"/>
        <v>0</v>
      </c>
      <c r="Q5963" s="31" t="str">
        <f t="shared" si="373"/>
        <v/>
      </c>
      <c r="R5963" s="32" t="str">
        <f>IFERROR(VLOOKUP($D5963,'Informations sur les produits'!$A$3:$B$15000,2,FALSE),"")</f>
        <v/>
      </c>
      <c r="V5963">
        <f t="shared" si="374"/>
        <v>0</v>
      </c>
      <c r="W5963">
        <f t="shared" si="375"/>
        <v>0</v>
      </c>
    </row>
    <row r="5964" spans="5:23" x14ac:dyDescent="0.25">
      <c r="E5964" s="4"/>
      <c r="F5964" s="4"/>
      <c r="G5964" s="33" t="str">
        <f>IFERROR(VLOOKUP($D5964,'Informations sur les produits'!$A$3:$H$10000,8,FALSE),"0")</f>
        <v>0</v>
      </c>
      <c r="K5964" s="4"/>
      <c r="L5964" s="33" t="str">
        <f>IFERROR(VLOOKUP($J5964,'Informations sur les produits'!$A$3:$H$10000,8,FALSE),"0")</f>
        <v>0</v>
      </c>
      <c r="N5964" s="8"/>
      <c r="O5964" s="33" t="str">
        <f>IFERROR(VLOOKUP($M5964,'Informations sur les produits'!$A$3:$H$10000,8,FALSE),"0")</f>
        <v>0</v>
      </c>
      <c r="P5964" s="33">
        <f t="shared" si="372"/>
        <v>0</v>
      </c>
      <c r="Q5964" s="31" t="str">
        <f t="shared" si="373"/>
        <v/>
      </c>
      <c r="R5964" s="32" t="str">
        <f>IFERROR(VLOOKUP($D5964,'Informations sur les produits'!$A$3:$B$15000,2,FALSE),"")</f>
        <v/>
      </c>
      <c r="V5964">
        <f t="shared" si="374"/>
        <v>0</v>
      </c>
      <c r="W5964">
        <f t="shared" si="375"/>
        <v>0</v>
      </c>
    </row>
    <row r="5965" spans="5:23" x14ac:dyDescent="0.25">
      <c r="E5965" s="4"/>
      <c r="F5965" s="4"/>
      <c r="G5965" s="33" t="str">
        <f>IFERROR(VLOOKUP($D5965,'Informations sur les produits'!$A$3:$H$10000,8,FALSE),"0")</f>
        <v>0</v>
      </c>
      <c r="K5965" s="4"/>
      <c r="L5965" s="33" t="str">
        <f>IFERROR(VLOOKUP($J5965,'Informations sur les produits'!$A$3:$H$10000,8,FALSE),"0")</f>
        <v>0</v>
      </c>
      <c r="N5965" s="8"/>
      <c r="O5965" s="33" t="str">
        <f>IFERROR(VLOOKUP($M5965,'Informations sur les produits'!$A$3:$H$10000,8,FALSE),"0")</f>
        <v>0</v>
      </c>
      <c r="P5965" s="33">
        <f t="shared" si="372"/>
        <v>0</v>
      </c>
      <c r="Q5965" s="31" t="str">
        <f t="shared" si="373"/>
        <v/>
      </c>
      <c r="R5965" s="32" t="str">
        <f>IFERROR(VLOOKUP($D5965,'Informations sur les produits'!$A$3:$B$15000,2,FALSE),"")</f>
        <v/>
      </c>
      <c r="V5965">
        <f t="shared" si="374"/>
        <v>0</v>
      </c>
      <c r="W5965">
        <f t="shared" si="375"/>
        <v>0</v>
      </c>
    </row>
    <row r="5966" spans="5:23" x14ac:dyDescent="0.25">
      <c r="E5966" s="4"/>
      <c r="F5966" s="4"/>
      <c r="G5966" s="33" t="str">
        <f>IFERROR(VLOOKUP($D5966,'Informations sur les produits'!$A$3:$H$10000,8,FALSE),"0")</f>
        <v>0</v>
      </c>
      <c r="K5966" s="4"/>
      <c r="L5966" s="33" t="str">
        <f>IFERROR(VLOOKUP($J5966,'Informations sur les produits'!$A$3:$H$10000,8,FALSE),"0")</f>
        <v>0</v>
      </c>
      <c r="N5966" s="8"/>
      <c r="O5966" s="33" t="str">
        <f>IFERROR(VLOOKUP($M5966,'Informations sur les produits'!$A$3:$H$10000,8,FALSE),"0")</f>
        <v>0</v>
      </c>
      <c r="P5966" s="33">
        <f t="shared" si="372"/>
        <v>0</v>
      </c>
      <c r="Q5966" s="31" t="str">
        <f t="shared" si="373"/>
        <v/>
      </c>
      <c r="R5966" s="32" t="str">
        <f>IFERROR(VLOOKUP($D5966,'Informations sur les produits'!$A$3:$B$15000,2,FALSE),"")</f>
        <v/>
      </c>
      <c r="V5966">
        <f t="shared" si="374"/>
        <v>0</v>
      </c>
      <c r="W5966">
        <f t="shared" si="375"/>
        <v>0</v>
      </c>
    </row>
    <row r="5967" spans="5:23" x14ac:dyDescent="0.25">
      <c r="E5967" s="4"/>
      <c r="F5967" s="4"/>
      <c r="G5967" s="33" t="str">
        <f>IFERROR(VLOOKUP($D5967,'Informations sur les produits'!$A$3:$H$10000,8,FALSE),"0")</f>
        <v>0</v>
      </c>
      <c r="K5967" s="4"/>
      <c r="L5967" s="33" t="str">
        <f>IFERROR(VLOOKUP($J5967,'Informations sur les produits'!$A$3:$H$10000,8,FALSE),"0")</f>
        <v>0</v>
      </c>
      <c r="N5967" s="8"/>
      <c r="O5967" s="33" t="str">
        <f>IFERROR(VLOOKUP($M5967,'Informations sur les produits'!$A$3:$H$10000,8,FALSE),"0")</f>
        <v>0</v>
      </c>
      <c r="P5967" s="33">
        <f t="shared" si="372"/>
        <v>0</v>
      </c>
      <c r="Q5967" s="31" t="str">
        <f t="shared" si="373"/>
        <v/>
      </c>
      <c r="R5967" s="32" t="str">
        <f>IFERROR(VLOOKUP($D5967,'Informations sur les produits'!$A$3:$B$15000,2,FALSE),"")</f>
        <v/>
      </c>
      <c r="V5967">
        <f t="shared" si="374"/>
        <v>0</v>
      </c>
      <c r="W5967">
        <f t="shared" si="375"/>
        <v>0</v>
      </c>
    </row>
    <row r="5968" spans="5:23" x14ac:dyDescent="0.25">
      <c r="E5968" s="4"/>
      <c r="F5968" s="4"/>
      <c r="G5968" s="33" t="str">
        <f>IFERROR(VLOOKUP($D5968,'Informations sur les produits'!$A$3:$H$10000,8,FALSE),"0")</f>
        <v>0</v>
      </c>
      <c r="K5968" s="4"/>
      <c r="L5968" s="33" t="str">
        <f>IFERROR(VLOOKUP($J5968,'Informations sur les produits'!$A$3:$H$10000,8,FALSE),"0")</f>
        <v>0</v>
      </c>
      <c r="N5968" s="8"/>
      <c r="O5968" s="33" t="str">
        <f>IFERROR(VLOOKUP($M5968,'Informations sur les produits'!$A$3:$H$10000,8,FALSE),"0")</f>
        <v>0</v>
      </c>
      <c r="P5968" s="33">
        <f t="shared" si="372"/>
        <v>0</v>
      </c>
      <c r="Q5968" s="31" t="str">
        <f t="shared" si="373"/>
        <v/>
      </c>
      <c r="R5968" s="32" t="str">
        <f>IFERROR(VLOOKUP($D5968,'Informations sur les produits'!$A$3:$B$15000,2,FALSE),"")</f>
        <v/>
      </c>
      <c r="V5968">
        <f t="shared" si="374"/>
        <v>0</v>
      </c>
      <c r="W5968">
        <f t="shared" si="375"/>
        <v>0</v>
      </c>
    </row>
    <row r="5969" spans="5:23" x14ac:dyDescent="0.25">
      <c r="E5969" s="4"/>
      <c r="F5969" s="4"/>
      <c r="G5969" s="33" t="str">
        <f>IFERROR(VLOOKUP($D5969,'Informations sur les produits'!$A$3:$H$10000,8,FALSE),"0")</f>
        <v>0</v>
      </c>
      <c r="K5969" s="4"/>
      <c r="L5969" s="33" t="str">
        <f>IFERROR(VLOOKUP($J5969,'Informations sur les produits'!$A$3:$H$10000,8,FALSE),"0")</f>
        <v>0</v>
      </c>
      <c r="N5969" s="8"/>
      <c r="O5969" s="33" t="str">
        <f>IFERROR(VLOOKUP($M5969,'Informations sur les produits'!$A$3:$H$10000,8,FALSE),"0")</f>
        <v>0</v>
      </c>
      <c r="P5969" s="33">
        <f t="shared" si="372"/>
        <v>0</v>
      </c>
      <c r="Q5969" s="31" t="str">
        <f t="shared" si="373"/>
        <v/>
      </c>
      <c r="R5969" s="32" t="str">
        <f>IFERROR(VLOOKUP($D5969,'Informations sur les produits'!$A$3:$B$15000,2,FALSE),"")</f>
        <v/>
      </c>
      <c r="V5969">
        <f t="shared" si="374"/>
        <v>0</v>
      </c>
      <c r="W5969">
        <f t="shared" si="375"/>
        <v>0</v>
      </c>
    </row>
    <row r="5970" spans="5:23" x14ac:dyDescent="0.25">
      <c r="E5970" s="4"/>
      <c r="F5970" s="4"/>
      <c r="G5970" s="33" t="str">
        <f>IFERROR(VLOOKUP($D5970,'Informations sur les produits'!$A$3:$H$10000,8,FALSE),"0")</f>
        <v>0</v>
      </c>
      <c r="K5970" s="4"/>
      <c r="L5970" s="33" t="str">
        <f>IFERROR(VLOOKUP($J5970,'Informations sur les produits'!$A$3:$H$10000,8,FALSE),"0")</f>
        <v>0</v>
      </c>
      <c r="N5970" s="8"/>
      <c r="O5970" s="33" t="str">
        <f>IFERROR(VLOOKUP($M5970,'Informations sur les produits'!$A$3:$H$10000,8,FALSE),"0")</f>
        <v>0</v>
      </c>
      <c r="P5970" s="33">
        <f t="shared" si="372"/>
        <v>0</v>
      </c>
      <c r="Q5970" s="31" t="str">
        <f t="shared" si="373"/>
        <v/>
      </c>
      <c r="R5970" s="32" t="str">
        <f>IFERROR(VLOOKUP($D5970,'Informations sur les produits'!$A$3:$B$15000,2,FALSE),"")</f>
        <v/>
      </c>
      <c r="V5970">
        <f t="shared" si="374"/>
        <v>0</v>
      </c>
      <c r="W5970">
        <f t="shared" si="375"/>
        <v>0</v>
      </c>
    </row>
    <row r="5971" spans="5:23" x14ac:dyDescent="0.25">
      <c r="E5971" s="4"/>
      <c r="F5971" s="4"/>
      <c r="G5971" s="33" t="str">
        <f>IFERROR(VLOOKUP($D5971,'Informations sur les produits'!$A$3:$H$10000,8,FALSE),"0")</f>
        <v>0</v>
      </c>
      <c r="K5971" s="4"/>
      <c r="L5971" s="33" t="str">
        <f>IFERROR(VLOOKUP($J5971,'Informations sur les produits'!$A$3:$H$10000,8,FALSE),"0")</f>
        <v>0</v>
      </c>
      <c r="N5971" s="8"/>
      <c r="O5971" s="33" t="str">
        <f>IFERROR(VLOOKUP($M5971,'Informations sur les produits'!$A$3:$H$10000,8,FALSE),"0")</f>
        <v>0</v>
      </c>
      <c r="P5971" s="33">
        <f t="shared" si="372"/>
        <v>0</v>
      </c>
      <c r="Q5971" s="31" t="str">
        <f t="shared" si="373"/>
        <v/>
      </c>
      <c r="R5971" s="32" t="str">
        <f>IFERROR(VLOOKUP($D5971,'Informations sur les produits'!$A$3:$B$15000,2,FALSE),"")</f>
        <v/>
      </c>
      <c r="V5971">
        <f t="shared" si="374"/>
        <v>0</v>
      </c>
      <c r="W5971">
        <f t="shared" si="375"/>
        <v>0</v>
      </c>
    </row>
    <row r="5972" spans="5:23" x14ac:dyDescent="0.25">
      <c r="E5972" s="4"/>
      <c r="F5972" s="4"/>
      <c r="G5972" s="33" t="str">
        <f>IFERROR(VLOOKUP($D5972,'Informations sur les produits'!$A$3:$H$10000,8,FALSE),"0")</f>
        <v>0</v>
      </c>
      <c r="K5972" s="4"/>
      <c r="L5972" s="33" t="str">
        <f>IFERROR(VLOOKUP($J5972,'Informations sur les produits'!$A$3:$H$10000,8,FALSE),"0")</f>
        <v>0</v>
      </c>
      <c r="N5972" s="8"/>
      <c r="O5972" s="33" t="str">
        <f>IFERROR(VLOOKUP($M5972,'Informations sur les produits'!$A$3:$H$10000,8,FALSE),"0")</f>
        <v>0</v>
      </c>
      <c r="P5972" s="33">
        <f t="shared" si="372"/>
        <v>0</v>
      </c>
      <c r="Q5972" s="31" t="str">
        <f t="shared" si="373"/>
        <v/>
      </c>
      <c r="R5972" s="32" t="str">
        <f>IFERROR(VLOOKUP($D5972,'Informations sur les produits'!$A$3:$B$15000,2,FALSE),"")</f>
        <v/>
      </c>
      <c r="V5972">
        <f t="shared" si="374"/>
        <v>0</v>
      </c>
      <c r="W5972">
        <f t="shared" si="375"/>
        <v>0</v>
      </c>
    </row>
    <row r="5973" spans="5:23" x14ac:dyDescent="0.25">
      <c r="E5973" s="4"/>
      <c r="F5973" s="4"/>
      <c r="G5973" s="33" t="str">
        <f>IFERROR(VLOOKUP($D5973,'Informations sur les produits'!$A$3:$H$10000,8,FALSE),"0")</f>
        <v>0</v>
      </c>
      <c r="K5973" s="4"/>
      <c r="L5973" s="33" t="str">
        <f>IFERROR(VLOOKUP($J5973,'Informations sur les produits'!$A$3:$H$10000,8,FALSE),"0")</f>
        <v>0</v>
      </c>
      <c r="N5973" s="8"/>
      <c r="O5973" s="33" t="str">
        <f>IFERROR(VLOOKUP($M5973,'Informations sur les produits'!$A$3:$H$10000,8,FALSE),"0")</f>
        <v>0</v>
      </c>
      <c r="P5973" s="33">
        <f t="shared" si="372"/>
        <v>0</v>
      </c>
      <c r="Q5973" s="31" t="str">
        <f t="shared" si="373"/>
        <v/>
      </c>
      <c r="R5973" s="32" t="str">
        <f>IFERROR(VLOOKUP($D5973,'Informations sur les produits'!$A$3:$B$15000,2,FALSE),"")</f>
        <v/>
      </c>
      <c r="V5973">
        <f t="shared" si="374"/>
        <v>0</v>
      </c>
      <c r="W5973">
        <f t="shared" si="375"/>
        <v>0</v>
      </c>
    </row>
    <row r="5974" spans="5:23" x14ac:dyDescent="0.25">
      <c r="E5974" s="4"/>
      <c r="F5974" s="4"/>
      <c r="G5974" s="33" t="str">
        <f>IFERROR(VLOOKUP($D5974,'Informations sur les produits'!$A$3:$H$10000,8,FALSE),"0")</f>
        <v>0</v>
      </c>
      <c r="K5974" s="4"/>
      <c r="L5974" s="33" t="str">
        <f>IFERROR(VLOOKUP($J5974,'Informations sur les produits'!$A$3:$H$10000,8,FALSE),"0")</f>
        <v>0</v>
      </c>
      <c r="N5974" s="8"/>
      <c r="O5974" s="33" t="str">
        <f>IFERROR(VLOOKUP($M5974,'Informations sur les produits'!$A$3:$H$10000,8,FALSE),"0")</f>
        <v>0</v>
      </c>
      <c r="P5974" s="33">
        <f t="shared" si="372"/>
        <v>0</v>
      </c>
      <c r="Q5974" s="31" t="str">
        <f t="shared" si="373"/>
        <v/>
      </c>
      <c r="R5974" s="32" t="str">
        <f>IFERROR(VLOOKUP($D5974,'Informations sur les produits'!$A$3:$B$15000,2,FALSE),"")</f>
        <v/>
      </c>
      <c r="V5974">
        <f t="shared" si="374"/>
        <v>0</v>
      </c>
      <c r="W5974">
        <f t="shared" si="375"/>
        <v>0</v>
      </c>
    </row>
    <row r="5975" spans="5:23" x14ac:dyDescent="0.25">
      <c r="E5975" s="4"/>
      <c r="F5975" s="4"/>
      <c r="G5975" s="33" t="str">
        <f>IFERROR(VLOOKUP($D5975,'Informations sur les produits'!$A$3:$H$10000,8,FALSE),"0")</f>
        <v>0</v>
      </c>
      <c r="K5975" s="4"/>
      <c r="L5975" s="33" t="str">
        <f>IFERROR(VLOOKUP($J5975,'Informations sur les produits'!$A$3:$H$10000,8,FALSE),"0")</f>
        <v>0</v>
      </c>
      <c r="N5975" s="8"/>
      <c r="O5975" s="33" t="str">
        <f>IFERROR(VLOOKUP($M5975,'Informations sur les produits'!$A$3:$H$10000,8,FALSE),"0")</f>
        <v>0</v>
      </c>
      <c r="P5975" s="33">
        <f t="shared" si="372"/>
        <v>0</v>
      </c>
      <c r="Q5975" s="31" t="str">
        <f t="shared" si="373"/>
        <v/>
      </c>
      <c r="R5975" s="32" t="str">
        <f>IFERROR(VLOOKUP($D5975,'Informations sur les produits'!$A$3:$B$15000,2,FALSE),"")</f>
        <v/>
      </c>
      <c r="V5975">
        <f t="shared" si="374"/>
        <v>0</v>
      </c>
      <c r="W5975">
        <f t="shared" si="375"/>
        <v>0</v>
      </c>
    </row>
    <row r="5976" spans="5:23" x14ac:dyDescent="0.25">
      <c r="E5976" s="4"/>
      <c r="F5976" s="4"/>
      <c r="G5976" s="33" t="str">
        <f>IFERROR(VLOOKUP($D5976,'Informations sur les produits'!$A$3:$H$10000,8,FALSE),"0")</f>
        <v>0</v>
      </c>
      <c r="K5976" s="4"/>
      <c r="L5976" s="33" t="str">
        <f>IFERROR(VLOOKUP($J5976,'Informations sur les produits'!$A$3:$H$10000,8,FALSE),"0")</f>
        <v>0</v>
      </c>
      <c r="N5976" s="8"/>
      <c r="O5976" s="33" t="str">
        <f>IFERROR(VLOOKUP($M5976,'Informations sur les produits'!$A$3:$H$10000,8,FALSE),"0")</f>
        <v>0</v>
      </c>
      <c r="P5976" s="33">
        <f t="shared" si="372"/>
        <v>0</v>
      </c>
      <c r="Q5976" s="31" t="str">
        <f t="shared" si="373"/>
        <v/>
      </c>
      <c r="R5976" s="32" t="str">
        <f>IFERROR(VLOOKUP($D5976,'Informations sur les produits'!$A$3:$B$15000,2,FALSE),"")</f>
        <v/>
      </c>
      <c r="V5976">
        <f t="shared" si="374"/>
        <v>0</v>
      </c>
      <c r="W5976">
        <f t="shared" si="375"/>
        <v>0</v>
      </c>
    </row>
    <row r="5977" spans="5:23" x14ac:dyDescent="0.25">
      <c r="E5977" s="4"/>
      <c r="F5977" s="4"/>
      <c r="G5977" s="33" t="str">
        <f>IFERROR(VLOOKUP($D5977,'Informations sur les produits'!$A$3:$H$10000,8,FALSE),"0")</f>
        <v>0</v>
      </c>
      <c r="K5977" s="4"/>
      <c r="L5977" s="33" t="str">
        <f>IFERROR(VLOOKUP($J5977,'Informations sur les produits'!$A$3:$H$10000,8,FALSE),"0")</f>
        <v>0</v>
      </c>
      <c r="N5977" s="8"/>
      <c r="O5977" s="33" t="str">
        <f>IFERROR(VLOOKUP($M5977,'Informations sur les produits'!$A$3:$H$10000,8,FALSE),"0")</f>
        <v>0</v>
      </c>
      <c r="P5977" s="33">
        <f t="shared" si="372"/>
        <v>0</v>
      </c>
      <c r="Q5977" s="31" t="str">
        <f t="shared" si="373"/>
        <v/>
      </c>
      <c r="R5977" s="32" t="str">
        <f>IFERROR(VLOOKUP($D5977,'Informations sur les produits'!$A$3:$B$15000,2,FALSE),"")</f>
        <v/>
      </c>
      <c r="V5977">
        <f t="shared" si="374"/>
        <v>0</v>
      </c>
      <c r="W5977">
        <f t="shared" si="375"/>
        <v>0</v>
      </c>
    </row>
    <row r="5978" spans="5:23" x14ac:dyDescent="0.25">
      <c r="E5978" s="4"/>
      <c r="F5978" s="4"/>
      <c r="G5978" s="33" t="str">
        <f>IFERROR(VLOOKUP($D5978,'Informations sur les produits'!$A$3:$H$10000,8,FALSE),"0")</f>
        <v>0</v>
      </c>
      <c r="K5978" s="4"/>
      <c r="L5978" s="33" t="str">
        <f>IFERROR(VLOOKUP($J5978,'Informations sur les produits'!$A$3:$H$10000,8,FALSE),"0")</f>
        <v>0</v>
      </c>
      <c r="N5978" s="8"/>
      <c r="O5978" s="33" t="str">
        <f>IFERROR(VLOOKUP($M5978,'Informations sur les produits'!$A$3:$H$10000,8,FALSE),"0")</f>
        <v>0</v>
      </c>
      <c r="P5978" s="33">
        <f t="shared" si="372"/>
        <v>0</v>
      </c>
      <c r="Q5978" s="31" t="str">
        <f t="shared" si="373"/>
        <v/>
      </c>
      <c r="R5978" s="32" t="str">
        <f>IFERROR(VLOOKUP($D5978,'Informations sur les produits'!$A$3:$B$15000,2,FALSE),"")</f>
        <v/>
      </c>
      <c r="V5978">
        <f t="shared" si="374"/>
        <v>0</v>
      </c>
      <c r="W5978">
        <f t="shared" si="375"/>
        <v>0</v>
      </c>
    </row>
    <row r="5979" spans="5:23" x14ac:dyDescent="0.25">
      <c r="E5979" s="4"/>
      <c r="F5979" s="4"/>
      <c r="G5979" s="33" t="str">
        <f>IFERROR(VLOOKUP($D5979,'Informations sur les produits'!$A$3:$H$10000,8,FALSE),"0")</f>
        <v>0</v>
      </c>
      <c r="K5979" s="4"/>
      <c r="L5979" s="33" t="str">
        <f>IFERROR(VLOOKUP($J5979,'Informations sur les produits'!$A$3:$H$10000,8,FALSE),"0")</f>
        <v>0</v>
      </c>
      <c r="N5979" s="8"/>
      <c r="O5979" s="33" t="str">
        <f>IFERROR(VLOOKUP($M5979,'Informations sur les produits'!$A$3:$H$10000,8,FALSE),"0")</f>
        <v>0</v>
      </c>
      <c r="P5979" s="33">
        <f t="shared" si="372"/>
        <v>0</v>
      </c>
      <c r="Q5979" s="31" t="str">
        <f t="shared" si="373"/>
        <v/>
      </c>
      <c r="R5979" s="32" t="str">
        <f>IFERROR(VLOOKUP($D5979,'Informations sur les produits'!$A$3:$B$15000,2,FALSE),"")</f>
        <v/>
      </c>
      <c r="V5979">
        <f t="shared" si="374"/>
        <v>0</v>
      </c>
      <c r="W5979">
        <f t="shared" si="375"/>
        <v>0</v>
      </c>
    </row>
    <row r="5980" spans="5:23" x14ac:dyDescent="0.25">
      <c r="E5980" s="4"/>
      <c r="F5980" s="4"/>
      <c r="G5980" s="33" t="str">
        <f>IFERROR(VLOOKUP($D5980,'Informations sur les produits'!$A$3:$H$10000,8,FALSE),"0")</f>
        <v>0</v>
      </c>
      <c r="K5980" s="4"/>
      <c r="L5980" s="33" t="str">
        <f>IFERROR(VLOOKUP($J5980,'Informations sur les produits'!$A$3:$H$10000,8,FALSE),"0")</f>
        <v>0</v>
      </c>
      <c r="N5980" s="8"/>
      <c r="O5980" s="33" t="str">
        <f>IFERROR(VLOOKUP($M5980,'Informations sur les produits'!$A$3:$H$10000,8,FALSE),"0")</f>
        <v>0</v>
      </c>
      <c r="P5980" s="33">
        <f t="shared" si="372"/>
        <v>0</v>
      </c>
      <c r="Q5980" s="31" t="str">
        <f t="shared" si="373"/>
        <v/>
      </c>
      <c r="R5980" s="32" t="str">
        <f>IFERROR(VLOOKUP($D5980,'Informations sur les produits'!$A$3:$B$15000,2,FALSE),"")</f>
        <v/>
      </c>
      <c r="V5980">
        <f t="shared" si="374"/>
        <v>0</v>
      </c>
      <c r="W5980">
        <f t="shared" si="375"/>
        <v>0</v>
      </c>
    </row>
    <row r="5981" spans="5:23" x14ac:dyDescent="0.25">
      <c r="E5981" s="4"/>
      <c r="F5981" s="4"/>
      <c r="G5981" s="33" t="str">
        <f>IFERROR(VLOOKUP($D5981,'Informations sur les produits'!$A$3:$H$10000,8,FALSE),"0")</f>
        <v>0</v>
      </c>
      <c r="K5981" s="4"/>
      <c r="L5981" s="33" t="str">
        <f>IFERROR(VLOOKUP($J5981,'Informations sur les produits'!$A$3:$H$10000,8,FALSE),"0")</f>
        <v>0</v>
      </c>
      <c r="N5981" s="8"/>
      <c r="O5981" s="33" t="str">
        <f>IFERROR(VLOOKUP($M5981,'Informations sur les produits'!$A$3:$H$10000,8,FALSE),"0")</f>
        <v>0</v>
      </c>
      <c r="P5981" s="33">
        <f t="shared" si="372"/>
        <v>0</v>
      </c>
      <c r="Q5981" s="31" t="str">
        <f t="shared" si="373"/>
        <v/>
      </c>
      <c r="R5981" s="32" t="str">
        <f>IFERROR(VLOOKUP($D5981,'Informations sur les produits'!$A$3:$B$15000,2,FALSE),"")</f>
        <v/>
      </c>
      <c r="V5981">
        <f t="shared" si="374"/>
        <v>0</v>
      </c>
      <c r="W5981">
        <f t="shared" si="375"/>
        <v>0</v>
      </c>
    </row>
    <row r="5982" spans="5:23" x14ac:dyDescent="0.25">
      <c r="E5982" s="4"/>
      <c r="F5982" s="4"/>
      <c r="G5982" s="33" t="str">
        <f>IFERROR(VLOOKUP($D5982,'Informations sur les produits'!$A$3:$H$10000,8,FALSE),"0")</f>
        <v>0</v>
      </c>
      <c r="K5982" s="4"/>
      <c r="L5982" s="33" t="str">
        <f>IFERROR(VLOOKUP($J5982,'Informations sur les produits'!$A$3:$H$10000,8,FALSE),"0")</f>
        <v>0</v>
      </c>
      <c r="N5982" s="8"/>
      <c r="O5982" s="33" t="str">
        <f>IFERROR(VLOOKUP($M5982,'Informations sur les produits'!$A$3:$H$10000,8,FALSE),"0")</f>
        <v>0</v>
      </c>
      <c r="P5982" s="33">
        <f t="shared" si="372"/>
        <v>0</v>
      </c>
      <c r="Q5982" s="31" t="str">
        <f t="shared" si="373"/>
        <v/>
      </c>
      <c r="R5982" s="32" t="str">
        <f>IFERROR(VLOOKUP($D5982,'Informations sur les produits'!$A$3:$B$15000,2,FALSE),"")</f>
        <v/>
      </c>
      <c r="V5982">
        <f t="shared" si="374"/>
        <v>0</v>
      </c>
      <c r="W5982">
        <f t="shared" si="375"/>
        <v>0</v>
      </c>
    </row>
    <row r="5983" spans="5:23" x14ac:dyDescent="0.25">
      <c r="E5983" s="4"/>
      <c r="F5983" s="4"/>
      <c r="G5983" s="33" t="str">
        <f>IFERROR(VLOOKUP($D5983,'Informations sur les produits'!$A$3:$H$10000,8,FALSE),"0")</f>
        <v>0</v>
      </c>
      <c r="K5983" s="4"/>
      <c r="L5983" s="33" t="str">
        <f>IFERROR(VLOOKUP($J5983,'Informations sur les produits'!$A$3:$H$10000,8,FALSE),"0")</f>
        <v>0</v>
      </c>
      <c r="N5983" s="8"/>
      <c r="O5983" s="33" t="str">
        <f>IFERROR(VLOOKUP($M5983,'Informations sur les produits'!$A$3:$H$10000,8,FALSE),"0")</f>
        <v>0</v>
      </c>
      <c r="P5983" s="33">
        <f t="shared" si="372"/>
        <v>0</v>
      </c>
      <c r="Q5983" s="31" t="str">
        <f t="shared" si="373"/>
        <v/>
      </c>
      <c r="R5983" s="32" t="str">
        <f>IFERROR(VLOOKUP($D5983,'Informations sur les produits'!$A$3:$B$15000,2,FALSE),"")</f>
        <v/>
      </c>
      <c r="V5983">
        <f t="shared" si="374"/>
        <v>0</v>
      </c>
      <c r="W5983">
        <f t="shared" si="375"/>
        <v>0</v>
      </c>
    </row>
    <row r="5984" spans="5:23" x14ac:dyDescent="0.25">
      <c r="E5984" s="4"/>
      <c r="F5984" s="4"/>
      <c r="G5984" s="33" t="str">
        <f>IFERROR(VLOOKUP($D5984,'Informations sur les produits'!$A$3:$H$10000,8,FALSE),"0")</f>
        <v>0</v>
      </c>
      <c r="K5984" s="4"/>
      <c r="L5984" s="33" t="str">
        <f>IFERROR(VLOOKUP($J5984,'Informations sur les produits'!$A$3:$H$10000,8,FALSE),"0")</f>
        <v>0</v>
      </c>
      <c r="N5984" s="8"/>
      <c r="O5984" s="33" t="str">
        <f>IFERROR(VLOOKUP($M5984,'Informations sur les produits'!$A$3:$H$10000,8,FALSE),"0")</f>
        <v>0</v>
      </c>
      <c r="P5984" s="33">
        <f t="shared" si="372"/>
        <v>0</v>
      </c>
      <c r="Q5984" s="31" t="str">
        <f t="shared" si="373"/>
        <v/>
      </c>
      <c r="R5984" s="32" t="str">
        <f>IFERROR(VLOOKUP($D5984,'Informations sur les produits'!$A$3:$B$15000,2,FALSE),"")</f>
        <v/>
      </c>
      <c r="V5984">
        <f t="shared" si="374"/>
        <v>0</v>
      </c>
      <c r="W5984">
        <f t="shared" si="375"/>
        <v>0</v>
      </c>
    </row>
    <row r="5985" spans="5:23" x14ac:dyDescent="0.25">
      <c r="E5985" s="4"/>
      <c r="F5985" s="4"/>
      <c r="G5985" s="33" t="str">
        <f>IFERROR(VLOOKUP($D5985,'Informations sur les produits'!$A$3:$H$10000,8,FALSE),"0")</f>
        <v>0</v>
      </c>
      <c r="K5985" s="4"/>
      <c r="L5985" s="33" t="str">
        <f>IFERROR(VLOOKUP($J5985,'Informations sur les produits'!$A$3:$H$10000,8,FALSE),"0")</f>
        <v>0</v>
      </c>
      <c r="N5985" s="8"/>
      <c r="O5985" s="33" t="str">
        <f>IFERROR(VLOOKUP($M5985,'Informations sur les produits'!$A$3:$H$10000,8,FALSE),"0")</f>
        <v>0</v>
      </c>
      <c r="P5985" s="33">
        <f t="shared" si="372"/>
        <v>0</v>
      </c>
      <c r="Q5985" s="31" t="str">
        <f t="shared" si="373"/>
        <v/>
      </c>
      <c r="R5985" s="32" t="str">
        <f>IFERROR(VLOOKUP($D5985,'Informations sur les produits'!$A$3:$B$15000,2,FALSE),"")</f>
        <v/>
      </c>
      <c r="V5985">
        <f t="shared" si="374"/>
        <v>0</v>
      </c>
      <c r="W5985">
        <f t="shared" si="375"/>
        <v>0</v>
      </c>
    </row>
    <row r="5986" spans="5:23" x14ac:dyDescent="0.25">
      <c r="E5986" s="4"/>
      <c r="F5986" s="4"/>
      <c r="G5986" s="33" t="str">
        <f>IFERROR(VLOOKUP($D5986,'Informations sur les produits'!$A$3:$H$10000,8,FALSE),"0")</f>
        <v>0</v>
      </c>
      <c r="K5986" s="4"/>
      <c r="L5986" s="33" t="str">
        <f>IFERROR(VLOOKUP($J5986,'Informations sur les produits'!$A$3:$H$10000,8,FALSE),"0")</f>
        <v>0</v>
      </c>
      <c r="N5986" s="8"/>
      <c r="O5986" s="33" t="str">
        <f>IFERROR(VLOOKUP($M5986,'Informations sur les produits'!$A$3:$H$10000,8,FALSE),"0")</f>
        <v>0</v>
      </c>
      <c r="P5986" s="33">
        <f t="shared" si="372"/>
        <v>0</v>
      </c>
      <c r="Q5986" s="31" t="str">
        <f t="shared" si="373"/>
        <v/>
      </c>
      <c r="R5986" s="32" t="str">
        <f>IFERROR(VLOOKUP($D5986,'Informations sur les produits'!$A$3:$B$15000,2,FALSE),"")</f>
        <v/>
      </c>
      <c r="V5986">
        <f t="shared" si="374"/>
        <v>0</v>
      </c>
      <c r="W5986">
        <f t="shared" si="375"/>
        <v>0</v>
      </c>
    </row>
    <row r="5987" spans="5:23" x14ac:dyDescent="0.25">
      <c r="E5987" s="4"/>
      <c r="F5987" s="4"/>
      <c r="G5987" s="33" t="str">
        <f>IFERROR(VLOOKUP($D5987,'Informations sur les produits'!$A$3:$H$10000,8,FALSE),"0")</f>
        <v>0</v>
      </c>
      <c r="K5987" s="4"/>
      <c r="L5987" s="33" t="str">
        <f>IFERROR(VLOOKUP($J5987,'Informations sur les produits'!$A$3:$H$10000,8,FALSE),"0")</f>
        <v>0</v>
      </c>
      <c r="N5987" s="8"/>
      <c r="O5987" s="33" t="str">
        <f>IFERROR(VLOOKUP($M5987,'Informations sur les produits'!$A$3:$H$10000,8,FALSE),"0")</f>
        <v>0</v>
      </c>
      <c r="P5987" s="33">
        <f t="shared" si="372"/>
        <v>0</v>
      </c>
      <c r="Q5987" s="31" t="str">
        <f t="shared" si="373"/>
        <v/>
      </c>
      <c r="R5987" s="32" t="str">
        <f>IFERROR(VLOOKUP($D5987,'Informations sur les produits'!$A$3:$B$15000,2,FALSE),"")</f>
        <v/>
      </c>
      <c r="V5987">
        <f t="shared" si="374"/>
        <v>0</v>
      </c>
      <c r="W5987">
        <f t="shared" si="375"/>
        <v>0</v>
      </c>
    </row>
    <row r="5988" spans="5:23" x14ac:dyDescent="0.25">
      <c r="E5988" s="4"/>
      <c r="F5988" s="4"/>
      <c r="G5988" s="33" t="str">
        <f>IFERROR(VLOOKUP($D5988,'Informations sur les produits'!$A$3:$H$10000,8,FALSE),"0")</f>
        <v>0</v>
      </c>
      <c r="K5988" s="4"/>
      <c r="L5988" s="33" t="str">
        <f>IFERROR(VLOOKUP($J5988,'Informations sur les produits'!$A$3:$H$10000,8,FALSE),"0")</f>
        <v>0</v>
      </c>
      <c r="N5988" s="8"/>
      <c r="O5988" s="33" t="str">
        <f>IFERROR(VLOOKUP($M5988,'Informations sur les produits'!$A$3:$H$10000,8,FALSE),"0")</f>
        <v>0</v>
      </c>
      <c r="P5988" s="33">
        <f t="shared" si="372"/>
        <v>0</v>
      </c>
      <c r="Q5988" s="31" t="str">
        <f t="shared" si="373"/>
        <v/>
      </c>
      <c r="R5988" s="32" t="str">
        <f>IFERROR(VLOOKUP($D5988,'Informations sur les produits'!$A$3:$B$15000,2,FALSE),"")</f>
        <v/>
      </c>
      <c r="V5988">
        <f t="shared" si="374"/>
        <v>0</v>
      </c>
      <c r="W5988">
        <f t="shared" si="375"/>
        <v>0</v>
      </c>
    </row>
    <row r="5989" spans="5:23" x14ac:dyDescent="0.25">
      <c r="E5989" s="4"/>
      <c r="F5989" s="4"/>
      <c r="G5989" s="33" t="str">
        <f>IFERROR(VLOOKUP($D5989,'Informations sur les produits'!$A$3:$H$10000,8,FALSE),"0")</f>
        <v>0</v>
      </c>
      <c r="K5989" s="4"/>
      <c r="L5989" s="33" t="str">
        <f>IFERROR(VLOOKUP($J5989,'Informations sur les produits'!$A$3:$H$10000,8,FALSE),"0")</f>
        <v>0</v>
      </c>
      <c r="N5989" s="8"/>
      <c r="O5989" s="33" t="str">
        <f>IFERROR(VLOOKUP($M5989,'Informations sur les produits'!$A$3:$H$10000,8,FALSE),"0")</f>
        <v>0</v>
      </c>
      <c r="P5989" s="33">
        <f t="shared" si="372"/>
        <v>0</v>
      </c>
      <c r="Q5989" s="31" t="str">
        <f t="shared" si="373"/>
        <v/>
      </c>
      <c r="R5989" s="32" t="str">
        <f>IFERROR(VLOOKUP($D5989,'Informations sur les produits'!$A$3:$B$15000,2,FALSE),"")</f>
        <v/>
      </c>
      <c r="V5989">
        <f t="shared" si="374"/>
        <v>0</v>
      </c>
      <c r="W5989">
        <f t="shared" si="375"/>
        <v>0</v>
      </c>
    </row>
    <row r="5990" spans="5:23" x14ac:dyDescent="0.25">
      <c r="E5990" s="4"/>
      <c r="F5990" s="4"/>
      <c r="G5990" s="33" t="str">
        <f>IFERROR(VLOOKUP($D5990,'Informations sur les produits'!$A$3:$H$10000,8,FALSE),"0")</f>
        <v>0</v>
      </c>
      <c r="K5990" s="4"/>
      <c r="L5990" s="33" t="str">
        <f>IFERROR(VLOOKUP($J5990,'Informations sur les produits'!$A$3:$H$10000,8,FALSE),"0")</f>
        <v>0</v>
      </c>
      <c r="N5990" s="8"/>
      <c r="O5990" s="33" t="str">
        <f>IFERROR(VLOOKUP($M5990,'Informations sur les produits'!$A$3:$H$10000,8,FALSE),"0")</f>
        <v>0</v>
      </c>
      <c r="P5990" s="33">
        <f t="shared" si="372"/>
        <v>0</v>
      </c>
      <c r="Q5990" s="31" t="str">
        <f t="shared" si="373"/>
        <v/>
      </c>
      <c r="R5990" s="32" t="str">
        <f>IFERROR(VLOOKUP($D5990,'Informations sur les produits'!$A$3:$B$15000,2,FALSE),"")</f>
        <v/>
      </c>
      <c r="V5990">
        <f t="shared" si="374"/>
        <v>0</v>
      </c>
      <c r="W5990">
        <f t="shared" si="375"/>
        <v>0</v>
      </c>
    </row>
    <row r="5991" spans="5:23" x14ac:dyDescent="0.25">
      <c r="E5991" s="4"/>
      <c r="F5991" s="4"/>
      <c r="G5991" s="33" t="str">
        <f>IFERROR(VLOOKUP($D5991,'Informations sur les produits'!$A$3:$H$10000,8,FALSE),"0")</f>
        <v>0</v>
      </c>
      <c r="K5991" s="4"/>
      <c r="L5991" s="33" t="str">
        <f>IFERROR(VLOOKUP($J5991,'Informations sur les produits'!$A$3:$H$10000,8,FALSE),"0")</f>
        <v>0</v>
      </c>
      <c r="N5991" s="8"/>
      <c r="O5991" s="33" t="str">
        <f>IFERROR(VLOOKUP($M5991,'Informations sur les produits'!$A$3:$H$10000,8,FALSE),"0")</f>
        <v>0</v>
      </c>
      <c r="P5991" s="33">
        <f t="shared" si="372"/>
        <v>0</v>
      </c>
      <c r="Q5991" s="31" t="str">
        <f t="shared" si="373"/>
        <v/>
      </c>
      <c r="R5991" s="32" t="str">
        <f>IFERROR(VLOOKUP($D5991,'Informations sur les produits'!$A$3:$B$15000,2,FALSE),"")</f>
        <v/>
      </c>
      <c r="V5991">
        <f t="shared" si="374"/>
        <v>0</v>
      </c>
      <c r="W5991">
        <f t="shared" si="375"/>
        <v>0</v>
      </c>
    </row>
    <row r="5992" spans="5:23" x14ac:dyDescent="0.25">
      <c r="E5992" s="4"/>
      <c r="F5992" s="4"/>
      <c r="G5992" s="33" t="str">
        <f>IFERROR(VLOOKUP($D5992,'Informations sur les produits'!$A$3:$H$10000,8,FALSE),"0")</f>
        <v>0</v>
      </c>
      <c r="K5992" s="4"/>
      <c r="L5992" s="33" t="str">
        <f>IFERROR(VLOOKUP($J5992,'Informations sur les produits'!$A$3:$H$10000,8,FALSE),"0")</f>
        <v>0</v>
      </c>
      <c r="N5992" s="8"/>
      <c r="O5992" s="33" t="str">
        <f>IFERROR(VLOOKUP($M5992,'Informations sur les produits'!$A$3:$H$10000,8,FALSE),"0")</f>
        <v>0</v>
      </c>
      <c r="P5992" s="33">
        <f t="shared" si="372"/>
        <v>0</v>
      </c>
      <c r="Q5992" s="31" t="str">
        <f t="shared" si="373"/>
        <v/>
      </c>
      <c r="R5992" s="32" t="str">
        <f>IFERROR(VLOOKUP($D5992,'Informations sur les produits'!$A$3:$B$15000,2,FALSE),"")</f>
        <v/>
      </c>
      <c r="V5992">
        <f t="shared" si="374"/>
        <v>0</v>
      </c>
      <c r="W5992">
        <f t="shared" si="375"/>
        <v>0</v>
      </c>
    </row>
    <row r="5993" spans="5:23" x14ac:dyDescent="0.25">
      <c r="E5993" s="4"/>
      <c r="F5993" s="4"/>
      <c r="G5993" s="33" t="str">
        <f>IFERROR(VLOOKUP($D5993,'Informations sur les produits'!$A$3:$H$10000,8,FALSE),"0")</f>
        <v>0</v>
      </c>
      <c r="K5993" s="4"/>
      <c r="L5993" s="33" t="str">
        <f>IFERROR(VLOOKUP($J5993,'Informations sur les produits'!$A$3:$H$10000,8,FALSE),"0")</f>
        <v>0</v>
      </c>
      <c r="N5993" s="8"/>
      <c r="O5993" s="33" t="str">
        <f>IFERROR(VLOOKUP($M5993,'Informations sur les produits'!$A$3:$H$10000,8,FALSE),"0")</f>
        <v>0</v>
      </c>
      <c r="P5993" s="33">
        <f t="shared" si="372"/>
        <v>0</v>
      </c>
      <c r="Q5993" s="31" t="str">
        <f t="shared" si="373"/>
        <v/>
      </c>
      <c r="R5993" s="32" t="str">
        <f>IFERROR(VLOOKUP($D5993,'Informations sur les produits'!$A$3:$B$15000,2,FALSE),"")</f>
        <v/>
      </c>
      <c r="V5993">
        <f t="shared" si="374"/>
        <v>0</v>
      </c>
      <c r="W5993">
        <f t="shared" si="375"/>
        <v>0</v>
      </c>
    </row>
    <row r="5994" spans="5:23" x14ac:dyDescent="0.25">
      <c r="E5994" s="4"/>
      <c r="F5994" s="4"/>
      <c r="G5994" s="33" t="str">
        <f>IFERROR(VLOOKUP($D5994,'Informations sur les produits'!$A$3:$H$10000,8,FALSE),"0")</f>
        <v>0</v>
      </c>
      <c r="K5994" s="4"/>
      <c r="L5994" s="33" t="str">
        <f>IFERROR(VLOOKUP($J5994,'Informations sur les produits'!$A$3:$H$10000,8,FALSE),"0")</f>
        <v>0</v>
      </c>
      <c r="N5994" s="8"/>
      <c r="O5994" s="33" t="str">
        <f>IFERROR(VLOOKUP($M5994,'Informations sur les produits'!$A$3:$H$10000,8,FALSE),"0")</f>
        <v>0</v>
      </c>
      <c r="P5994" s="33">
        <f t="shared" si="372"/>
        <v>0</v>
      </c>
      <c r="Q5994" s="31" t="str">
        <f t="shared" si="373"/>
        <v/>
      </c>
      <c r="R5994" s="32" t="str">
        <f>IFERROR(VLOOKUP($D5994,'Informations sur les produits'!$A$3:$B$15000,2,FALSE),"")</f>
        <v/>
      </c>
      <c r="V5994">
        <f t="shared" si="374"/>
        <v>0</v>
      </c>
      <c r="W5994">
        <f t="shared" si="375"/>
        <v>0</v>
      </c>
    </row>
    <row r="5995" spans="5:23" x14ac:dyDescent="0.25">
      <c r="E5995" s="4"/>
      <c r="F5995" s="4"/>
      <c r="G5995" s="33" t="str">
        <f>IFERROR(VLOOKUP($D5995,'Informations sur les produits'!$A$3:$H$10000,8,FALSE),"0")</f>
        <v>0</v>
      </c>
      <c r="K5995" s="4"/>
      <c r="L5995" s="33" t="str">
        <f>IFERROR(VLOOKUP($J5995,'Informations sur les produits'!$A$3:$H$10000,8,FALSE),"0")</f>
        <v>0</v>
      </c>
      <c r="N5995" s="8"/>
      <c r="O5995" s="33" t="str">
        <f>IFERROR(VLOOKUP($M5995,'Informations sur les produits'!$A$3:$H$10000,8,FALSE),"0")</f>
        <v>0</v>
      </c>
      <c r="P5995" s="33">
        <f t="shared" si="372"/>
        <v>0</v>
      </c>
      <c r="Q5995" s="31" t="str">
        <f t="shared" si="373"/>
        <v/>
      </c>
      <c r="R5995" s="32" t="str">
        <f>IFERROR(VLOOKUP($D5995,'Informations sur les produits'!$A$3:$B$15000,2,FALSE),"")</f>
        <v/>
      </c>
      <c r="V5995">
        <f t="shared" si="374"/>
        <v>0</v>
      </c>
      <c r="W5995">
        <f t="shared" si="375"/>
        <v>0</v>
      </c>
    </row>
    <row r="5996" spans="5:23" x14ac:dyDescent="0.25">
      <c r="E5996" s="4"/>
      <c r="F5996" s="4"/>
      <c r="G5996" s="33" t="str">
        <f>IFERROR(VLOOKUP($D5996,'Informations sur les produits'!$A$3:$H$10000,8,FALSE),"0")</f>
        <v>0</v>
      </c>
      <c r="K5996" s="4"/>
      <c r="L5996" s="33" t="str">
        <f>IFERROR(VLOOKUP($J5996,'Informations sur les produits'!$A$3:$H$10000,8,FALSE),"0")</f>
        <v>0</v>
      </c>
      <c r="N5996" s="8"/>
      <c r="O5996" s="33" t="str">
        <f>IFERROR(VLOOKUP($M5996,'Informations sur les produits'!$A$3:$H$10000,8,FALSE),"0")</f>
        <v>0</v>
      </c>
      <c r="P5996" s="33">
        <f t="shared" si="372"/>
        <v>0</v>
      </c>
      <c r="Q5996" s="31" t="str">
        <f t="shared" si="373"/>
        <v/>
      </c>
      <c r="R5996" s="32" t="str">
        <f>IFERROR(VLOOKUP($D5996,'Informations sur les produits'!$A$3:$B$15000,2,FALSE),"")</f>
        <v/>
      </c>
      <c r="V5996">
        <f t="shared" si="374"/>
        <v>0</v>
      </c>
      <c r="W5996">
        <f t="shared" si="375"/>
        <v>0</v>
      </c>
    </row>
    <row r="5997" spans="5:23" x14ac:dyDescent="0.25">
      <c r="E5997" s="4"/>
      <c r="F5997" s="4"/>
      <c r="G5997" s="33" t="str">
        <f>IFERROR(VLOOKUP($D5997,'Informations sur les produits'!$A$3:$H$10000,8,FALSE),"0")</f>
        <v>0</v>
      </c>
      <c r="K5997" s="4"/>
      <c r="L5997" s="33" t="str">
        <f>IFERROR(VLOOKUP($J5997,'Informations sur les produits'!$A$3:$H$10000,8,FALSE),"0")</f>
        <v>0</v>
      </c>
      <c r="N5997" s="8"/>
      <c r="O5997" s="33" t="str">
        <f>IFERROR(VLOOKUP($M5997,'Informations sur les produits'!$A$3:$H$10000,8,FALSE),"0")</f>
        <v>0</v>
      </c>
      <c r="P5997" s="33">
        <f t="shared" si="372"/>
        <v>0</v>
      </c>
      <c r="Q5997" s="31" t="str">
        <f t="shared" si="373"/>
        <v/>
      </c>
      <c r="R5997" s="32" t="str">
        <f>IFERROR(VLOOKUP($D5997,'Informations sur les produits'!$A$3:$B$15000,2,FALSE),"")</f>
        <v/>
      </c>
      <c r="V5997">
        <f t="shared" si="374"/>
        <v>0</v>
      </c>
      <c r="W5997">
        <f t="shared" si="375"/>
        <v>0</v>
      </c>
    </row>
    <row r="5998" spans="5:23" x14ac:dyDescent="0.25">
      <c r="E5998" s="4"/>
      <c r="F5998" s="4"/>
      <c r="G5998" s="33" t="str">
        <f>IFERROR(VLOOKUP($D5998,'Informations sur les produits'!$A$3:$H$10000,8,FALSE),"0")</f>
        <v>0</v>
      </c>
      <c r="K5998" s="4"/>
      <c r="L5998" s="33" t="str">
        <f>IFERROR(VLOOKUP($J5998,'Informations sur les produits'!$A$3:$H$10000,8,FALSE),"0")</f>
        <v>0</v>
      </c>
      <c r="N5998" s="8"/>
      <c r="O5998" s="33" t="str">
        <f>IFERROR(VLOOKUP($M5998,'Informations sur les produits'!$A$3:$H$10000,8,FALSE),"0")</f>
        <v>0</v>
      </c>
      <c r="P5998" s="33">
        <f t="shared" si="372"/>
        <v>0</v>
      </c>
      <c r="Q5998" s="31" t="str">
        <f t="shared" si="373"/>
        <v/>
      </c>
      <c r="R5998" s="32" t="str">
        <f>IFERROR(VLOOKUP($D5998,'Informations sur les produits'!$A$3:$B$15000,2,FALSE),"")</f>
        <v/>
      </c>
      <c r="V5998">
        <f t="shared" si="374"/>
        <v>0</v>
      </c>
      <c r="W5998">
        <f t="shared" si="375"/>
        <v>0</v>
      </c>
    </row>
    <row r="5999" spans="5:23" x14ac:dyDescent="0.25">
      <c r="E5999" s="4"/>
      <c r="F5999" s="4"/>
      <c r="G5999" s="33" t="str">
        <f>IFERROR(VLOOKUP($D5999,'Informations sur les produits'!$A$3:$H$10000,8,FALSE),"0")</f>
        <v>0</v>
      </c>
      <c r="K5999" s="4"/>
      <c r="L5999" s="33" t="str">
        <f>IFERROR(VLOOKUP($J5999,'Informations sur les produits'!$A$3:$H$10000,8,FALSE),"0")</f>
        <v>0</v>
      </c>
      <c r="N5999" s="8"/>
      <c r="O5999" s="33" t="str">
        <f>IFERROR(VLOOKUP($M5999,'Informations sur les produits'!$A$3:$H$10000,8,FALSE),"0")</f>
        <v>0</v>
      </c>
      <c r="P5999" s="33">
        <f t="shared" si="372"/>
        <v>0</v>
      </c>
      <c r="Q5999" s="31" t="str">
        <f t="shared" si="373"/>
        <v/>
      </c>
      <c r="R5999" s="32" t="str">
        <f>IFERROR(VLOOKUP($D5999,'Informations sur les produits'!$A$3:$B$15000,2,FALSE),"")</f>
        <v/>
      </c>
      <c r="V5999">
        <f t="shared" si="374"/>
        <v>0</v>
      </c>
      <c r="W5999">
        <f t="shared" si="375"/>
        <v>0</v>
      </c>
    </row>
    <row r="6000" spans="5:23" x14ac:dyDescent="0.25">
      <c r="E6000" s="4"/>
      <c r="F6000" s="4"/>
      <c r="G6000" s="33" t="str">
        <f>IFERROR(VLOOKUP($D6000,'Informations sur les produits'!$A$3:$H$10000,8,FALSE),"0")</f>
        <v>0</v>
      </c>
      <c r="K6000" s="4"/>
      <c r="L6000" s="33" t="str">
        <f>IFERROR(VLOOKUP($J6000,'Informations sur les produits'!$A$3:$H$10000,8,FALSE),"0")</f>
        <v>0</v>
      </c>
      <c r="N6000" s="8"/>
      <c r="O6000" s="33" t="str">
        <f>IFERROR(VLOOKUP($M6000,'Informations sur les produits'!$A$3:$H$10000,8,FALSE),"0")</f>
        <v>0</v>
      </c>
      <c r="P6000" s="33">
        <f t="shared" si="372"/>
        <v>0</v>
      </c>
      <c r="Q6000" s="31" t="str">
        <f t="shared" si="373"/>
        <v/>
      </c>
      <c r="R6000" s="32" t="str">
        <f>IFERROR(VLOOKUP($D6000,'Informations sur les produits'!$A$3:$B$15000,2,FALSE),"")</f>
        <v/>
      </c>
      <c r="V6000">
        <f t="shared" si="374"/>
        <v>0</v>
      </c>
      <c r="W6000">
        <f t="shared" si="375"/>
        <v>0</v>
      </c>
    </row>
    <row r="6001" spans="5:23" x14ac:dyDescent="0.25">
      <c r="E6001" s="4"/>
      <c r="F6001" s="4"/>
      <c r="G6001" s="33" t="str">
        <f>IFERROR(VLOOKUP($D6001,'Informations sur les produits'!$A$3:$H$10000,8,FALSE),"0")</f>
        <v>0</v>
      </c>
      <c r="K6001" s="4"/>
      <c r="L6001" s="33" t="str">
        <f>IFERROR(VLOOKUP($J6001,'Informations sur les produits'!$A$3:$H$10000,8,FALSE),"0")</f>
        <v>0</v>
      </c>
      <c r="N6001" s="8"/>
      <c r="O6001" s="33" t="str">
        <f>IFERROR(VLOOKUP($M6001,'Informations sur les produits'!$A$3:$H$10000,8,FALSE),"0")</f>
        <v>0</v>
      </c>
      <c r="P6001" s="33">
        <f t="shared" si="372"/>
        <v>0</v>
      </c>
      <c r="Q6001" s="31" t="str">
        <f t="shared" si="373"/>
        <v/>
      </c>
      <c r="R6001" s="32" t="str">
        <f>IFERROR(VLOOKUP($D6001,'Informations sur les produits'!$A$3:$B$15000,2,FALSE),"")</f>
        <v/>
      </c>
      <c r="V6001">
        <f t="shared" si="374"/>
        <v>0</v>
      </c>
      <c r="W6001">
        <f t="shared" si="375"/>
        <v>0</v>
      </c>
    </row>
    <row r="6002" spans="5:23" x14ac:dyDescent="0.25">
      <c r="E6002" s="4"/>
      <c r="F6002" s="4"/>
      <c r="G6002" s="33" t="str">
        <f>IFERROR(VLOOKUP($D6002,'Informations sur les produits'!$A$3:$H$10000,8,FALSE),"0")</f>
        <v>0</v>
      </c>
      <c r="K6002" s="4"/>
      <c r="L6002" s="33" t="str">
        <f>IFERROR(VLOOKUP($J6002,'Informations sur les produits'!$A$3:$H$10000,8,FALSE),"0")</f>
        <v>0</v>
      </c>
      <c r="N6002" s="8"/>
      <c r="O6002" s="33" t="str">
        <f>IFERROR(VLOOKUP($M6002,'Informations sur les produits'!$A$3:$H$10000,8,FALSE),"0")</f>
        <v>0</v>
      </c>
      <c r="P6002" s="33">
        <f t="shared" si="372"/>
        <v>0</v>
      </c>
      <c r="Q6002" s="31" t="str">
        <f t="shared" si="373"/>
        <v/>
      </c>
      <c r="R6002" s="32" t="str">
        <f>IFERROR(VLOOKUP($D6002,'Informations sur les produits'!$A$3:$B$15000,2,FALSE),"")</f>
        <v/>
      </c>
      <c r="V6002">
        <f t="shared" si="374"/>
        <v>0</v>
      </c>
      <c r="W6002">
        <f t="shared" si="375"/>
        <v>0</v>
      </c>
    </row>
    <row r="6003" spans="5:23" x14ac:dyDescent="0.25">
      <c r="E6003" s="4"/>
      <c r="F6003" s="4"/>
      <c r="G6003" s="33" t="str">
        <f>IFERROR(VLOOKUP($D6003,'Informations sur les produits'!$A$3:$H$10000,8,FALSE),"0")</f>
        <v>0</v>
      </c>
      <c r="K6003" s="4"/>
      <c r="L6003" s="33" t="str">
        <f>IFERROR(VLOOKUP($J6003,'Informations sur les produits'!$A$3:$H$10000,8,FALSE),"0")</f>
        <v>0</v>
      </c>
      <c r="N6003" s="8"/>
      <c r="O6003" s="33" t="str">
        <f>IFERROR(VLOOKUP($M6003,'Informations sur les produits'!$A$3:$H$10000,8,FALSE),"0")</f>
        <v>0</v>
      </c>
      <c r="P6003" s="33">
        <f t="shared" si="372"/>
        <v>0</v>
      </c>
      <c r="Q6003" s="31" t="str">
        <f t="shared" si="373"/>
        <v/>
      </c>
      <c r="R6003" s="32" t="str">
        <f>IFERROR(VLOOKUP($D6003,'Informations sur les produits'!$A$3:$B$15000,2,FALSE),"")</f>
        <v/>
      </c>
      <c r="V6003">
        <f t="shared" si="374"/>
        <v>0</v>
      </c>
      <c r="W6003">
        <f t="shared" si="375"/>
        <v>0</v>
      </c>
    </row>
    <row r="6004" spans="5:23" x14ac:dyDescent="0.25">
      <c r="E6004" s="4"/>
      <c r="F6004" s="4"/>
      <c r="G6004" s="33" t="str">
        <f>IFERROR(VLOOKUP($D6004,'Informations sur les produits'!$A$3:$H$10000,8,FALSE),"0")</f>
        <v>0</v>
      </c>
      <c r="K6004" s="4"/>
      <c r="L6004" s="33" t="str">
        <f>IFERROR(VLOOKUP($J6004,'Informations sur les produits'!$A$3:$H$10000,8,FALSE),"0")</f>
        <v>0</v>
      </c>
      <c r="N6004" s="8"/>
      <c r="O6004" s="33" t="str">
        <f>IFERROR(VLOOKUP($M6004,'Informations sur les produits'!$A$3:$H$10000,8,FALSE),"0")</f>
        <v>0</v>
      </c>
      <c r="P6004" s="33">
        <f t="shared" si="372"/>
        <v>0</v>
      </c>
      <c r="Q6004" s="31" t="str">
        <f t="shared" si="373"/>
        <v/>
      </c>
      <c r="R6004" s="32" t="str">
        <f>IFERROR(VLOOKUP($D6004,'Informations sur les produits'!$A$3:$B$15000,2,FALSE),"")</f>
        <v/>
      </c>
      <c r="V6004">
        <f t="shared" si="374"/>
        <v>0</v>
      </c>
      <c r="W6004">
        <f t="shared" si="375"/>
        <v>0</v>
      </c>
    </row>
    <row r="6005" spans="5:23" x14ac:dyDescent="0.25">
      <c r="E6005" s="4"/>
      <c r="F6005" s="4"/>
      <c r="G6005" s="33" t="str">
        <f>IFERROR(VLOOKUP($D6005,'Informations sur les produits'!$A$3:$H$10000,8,FALSE),"0")</f>
        <v>0</v>
      </c>
      <c r="K6005" s="4"/>
      <c r="L6005" s="33" t="str">
        <f>IFERROR(VLOOKUP($J6005,'Informations sur les produits'!$A$3:$H$10000,8,FALSE),"0")</f>
        <v>0</v>
      </c>
      <c r="N6005" s="8"/>
      <c r="O6005" s="33" t="str">
        <f>IFERROR(VLOOKUP($M6005,'Informations sur les produits'!$A$3:$H$10000,8,FALSE),"0")</f>
        <v>0</v>
      </c>
      <c r="P6005" s="33">
        <f t="shared" si="372"/>
        <v>0</v>
      </c>
      <c r="Q6005" s="31" t="str">
        <f t="shared" si="373"/>
        <v/>
      </c>
      <c r="R6005" s="32" t="str">
        <f>IFERROR(VLOOKUP($D6005,'Informations sur les produits'!$A$3:$B$15000,2,FALSE),"")</f>
        <v/>
      </c>
      <c r="V6005">
        <f t="shared" si="374"/>
        <v>0</v>
      </c>
      <c r="W6005">
        <f t="shared" si="375"/>
        <v>0</v>
      </c>
    </row>
    <row r="6006" spans="5:23" x14ac:dyDescent="0.25">
      <c r="E6006" s="4"/>
      <c r="F6006" s="4"/>
      <c r="G6006" s="33" t="str">
        <f>IFERROR(VLOOKUP($D6006,'Informations sur les produits'!$A$3:$H$10000,8,FALSE),"0")</f>
        <v>0</v>
      </c>
      <c r="K6006" s="4"/>
      <c r="L6006" s="33" t="str">
        <f>IFERROR(VLOOKUP($J6006,'Informations sur les produits'!$A$3:$H$10000,8,FALSE),"0")</f>
        <v>0</v>
      </c>
      <c r="N6006" s="8"/>
      <c r="O6006" s="33" t="str">
        <f>IFERROR(VLOOKUP($M6006,'Informations sur les produits'!$A$3:$H$10000,8,FALSE),"0")</f>
        <v>0</v>
      </c>
      <c r="P6006" s="33">
        <f t="shared" si="372"/>
        <v>0</v>
      </c>
      <c r="Q6006" s="31" t="str">
        <f t="shared" si="373"/>
        <v/>
      </c>
      <c r="R6006" s="32" t="str">
        <f>IFERROR(VLOOKUP($D6006,'Informations sur les produits'!$A$3:$B$15000,2,FALSE),"")</f>
        <v/>
      </c>
      <c r="V6006">
        <f t="shared" si="374"/>
        <v>0</v>
      </c>
      <c r="W6006">
        <f t="shared" si="375"/>
        <v>0</v>
      </c>
    </row>
    <row r="6007" spans="5:23" x14ac:dyDescent="0.25">
      <c r="E6007" s="4"/>
      <c r="F6007" s="4"/>
      <c r="G6007" s="33" t="str">
        <f>IFERROR(VLOOKUP($D6007,'Informations sur les produits'!$A$3:$H$10000,8,FALSE),"0")</f>
        <v>0</v>
      </c>
      <c r="K6007" s="4"/>
      <c r="L6007" s="33" t="str">
        <f>IFERROR(VLOOKUP($J6007,'Informations sur les produits'!$A$3:$H$10000,8,FALSE),"0")</f>
        <v>0</v>
      </c>
      <c r="N6007" s="8"/>
      <c r="O6007" s="33" t="str">
        <f>IFERROR(VLOOKUP($M6007,'Informations sur les produits'!$A$3:$H$10000,8,FALSE),"0")</f>
        <v>0</v>
      </c>
      <c r="P6007" s="33">
        <f t="shared" si="372"/>
        <v>0</v>
      </c>
      <c r="Q6007" s="31" t="str">
        <f t="shared" si="373"/>
        <v/>
      </c>
      <c r="R6007" s="32" t="str">
        <f>IFERROR(VLOOKUP($D6007,'Informations sur les produits'!$A$3:$B$15000,2,FALSE),"")</f>
        <v/>
      </c>
      <c r="V6007">
        <f t="shared" si="374"/>
        <v>0</v>
      </c>
      <c r="W6007">
        <f t="shared" si="375"/>
        <v>0</v>
      </c>
    </row>
    <row r="6008" spans="5:23" x14ac:dyDescent="0.25">
      <c r="E6008" s="4"/>
      <c r="F6008" s="4"/>
      <c r="G6008" s="33" t="str">
        <f>IFERROR(VLOOKUP($D6008,'Informations sur les produits'!$A$3:$H$10000,8,FALSE),"0")</f>
        <v>0</v>
      </c>
      <c r="K6008" s="4"/>
      <c r="L6008" s="33" t="str">
        <f>IFERROR(VLOOKUP($J6008,'Informations sur les produits'!$A$3:$H$10000,8,FALSE),"0")</f>
        <v>0</v>
      </c>
      <c r="N6008" s="8"/>
      <c r="O6008" s="33" t="str">
        <f>IFERROR(VLOOKUP($M6008,'Informations sur les produits'!$A$3:$H$10000,8,FALSE),"0")</f>
        <v>0</v>
      </c>
      <c r="P6008" s="33">
        <f t="shared" si="372"/>
        <v>0</v>
      </c>
      <c r="Q6008" s="31" t="str">
        <f t="shared" si="373"/>
        <v/>
      </c>
      <c r="R6008" s="32" t="str">
        <f>IFERROR(VLOOKUP($D6008,'Informations sur les produits'!$A$3:$B$15000,2,FALSE),"")</f>
        <v/>
      </c>
      <c r="V6008">
        <f t="shared" si="374"/>
        <v>0</v>
      </c>
      <c r="W6008">
        <f t="shared" si="375"/>
        <v>0</v>
      </c>
    </row>
    <row r="6009" spans="5:23" x14ac:dyDescent="0.25">
      <c r="E6009" s="4"/>
      <c r="F6009" s="4"/>
      <c r="G6009" s="33" t="str">
        <f>IFERROR(VLOOKUP($D6009,'Informations sur les produits'!$A$3:$H$10000,8,FALSE),"0")</f>
        <v>0</v>
      </c>
      <c r="K6009" s="4"/>
      <c r="L6009" s="33" t="str">
        <f>IFERROR(VLOOKUP($J6009,'Informations sur les produits'!$A$3:$H$10000,8,FALSE),"0")</f>
        <v>0</v>
      </c>
      <c r="N6009" s="8"/>
      <c r="O6009" s="33" t="str">
        <f>IFERROR(VLOOKUP($M6009,'Informations sur les produits'!$A$3:$H$10000,8,FALSE),"0")</f>
        <v>0</v>
      </c>
      <c r="P6009" s="33">
        <f t="shared" si="372"/>
        <v>0</v>
      </c>
      <c r="Q6009" s="31" t="str">
        <f t="shared" si="373"/>
        <v/>
      </c>
      <c r="R6009" s="32" t="str">
        <f>IFERROR(VLOOKUP($D6009,'Informations sur les produits'!$A$3:$B$15000,2,FALSE),"")</f>
        <v/>
      </c>
      <c r="V6009">
        <f t="shared" si="374"/>
        <v>0</v>
      </c>
      <c r="W6009">
        <f t="shared" si="375"/>
        <v>0</v>
      </c>
    </row>
    <row r="6010" spans="5:23" x14ac:dyDescent="0.25">
      <c r="E6010" s="4"/>
      <c r="F6010" s="4"/>
      <c r="G6010" s="33" t="str">
        <f>IFERROR(VLOOKUP($D6010,'Informations sur les produits'!$A$3:$H$10000,8,FALSE),"0")</f>
        <v>0</v>
      </c>
      <c r="K6010" s="4"/>
      <c r="L6010" s="33" t="str">
        <f>IFERROR(VLOOKUP($J6010,'Informations sur les produits'!$A$3:$H$10000,8,FALSE),"0")</f>
        <v>0</v>
      </c>
      <c r="N6010" s="8"/>
      <c r="O6010" s="33" t="str">
        <f>IFERROR(VLOOKUP($M6010,'Informations sur les produits'!$A$3:$H$10000,8,FALSE),"0")</f>
        <v>0</v>
      </c>
      <c r="P6010" s="33">
        <f t="shared" si="372"/>
        <v>0</v>
      </c>
      <c r="Q6010" s="31" t="str">
        <f t="shared" si="373"/>
        <v/>
      </c>
      <c r="R6010" s="32" t="str">
        <f>IFERROR(VLOOKUP($D6010,'Informations sur les produits'!$A$3:$B$15000,2,FALSE),"")</f>
        <v/>
      </c>
      <c r="V6010">
        <f t="shared" si="374"/>
        <v>0</v>
      </c>
      <c r="W6010">
        <f t="shared" si="375"/>
        <v>0</v>
      </c>
    </row>
    <row r="6011" spans="5:23" x14ac:dyDescent="0.25">
      <c r="E6011" s="4"/>
      <c r="F6011" s="4"/>
      <c r="G6011" s="33" t="str">
        <f>IFERROR(VLOOKUP($D6011,'Informations sur les produits'!$A$3:$H$10000,8,FALSE),"0")</f>
        <v>0</v>
      </c>
      <c r="K6011" s="4"/>
      <c r="L6011" s="33" t="str">
        <f>IFERROR(VLOOKUP($J6011,'Informations sur les produits'!$A$3:$H$10000,8,FALSE),"0")</f>
        <v>0</v>
      </c>
      <c r="N6011" s="8"/>
      <c r="O6011" s="33" t="str">
        <f>IFERROR(VLOOKUP($M6011,'Informations sur les produits'!$A$3:$H$10000,8,FALSE),"0")</f>
        <v>0</v>
      </c>
      <c r="P6011" s="33">
        <f t="shared" si="372"/>
        <v>0</v>
      </c>
      <c r="Q6011" s="31" t="str">
        <f t="shared" si="373"/>
        <v/>
      </c>
      <c r="R6011" s="32" t="str">
        <f>IFERROR(VLOOKUP($D6011,'Informations sur les produits'!$A$3:$B$15000,2,FALSE),"")</f>
        <v/>
      </c>
      <c r="V6011">
        <f t="shared" si="374"/>
        <v>0</v>
      </c>
      <c r="W6011">
        <f t="shared" si="375"/>
        <v>0</v>
      </c>
    </row>
    <row r="6012" spans="5:23" x14ac:dyDescent="0.25">
      <c r="E6012" s="4"/>
      <c r="F6012" s="4"/>
      <c r="G6012" s="33" t="str">
        <f>IFERROR(VLOOKUP($D6012,'Informations sur les produits'!$A$3:$H$10000,8,FALSE),"0")</f>
        <v>0</v>
      </c>
      <c r="K6012" s="4"/>
      <c r="L6012" s="33" t="str">
        <f>IFERROR(VLOOKUP($J6012,'Informations sur les produits'!$A$3:$H$10000,8,FALSE),"0")</f>
        <v>0</v>
      </c>
      <c r="N6012" s="8"/>
      <c r="O6012" s="33" t="str">
        <f>IFERROR(VLOOKUP($M6012,'Informations sur les produits'!$A$3:$H$10000,8,FALSE),"0")</f>
        <v>0</v>
      </c>
      <c r="P6012" s="33">
        <f t="shared" si="372"/>
        <v>0</v>
      </c>
      <c r="Q6012" s="31" t="str">
        <f t="shared" si="373"/>
        <v/>
      </c>
      <c r="R6012" s="32" t="str">
        <f>IFERROR(VLOOKUP($D6012,'Informations sur les produits'!$A$3:$B$15000,2,FALSE),"")</f>
        <v/>
      </c>
      <c r="V6012">
        <f t="shared" si="374"/>
        <v>0</v>
      </c>
      <c r="W6012">
        <f t="shared" si="375"/>
        <v>0</v>
      </c>
    </row>
    <row r="6013" spans="5:23" x14ac:dyDescent="0.25">
      <c r="E6013" s="4"/>
      <c r="F6013" s="4"/>
      <c r="G6013" s="33" t="str">
        <f>IFERROR(VLOOKUP($D6013,'Informations sur les produits'!$A$3:$H$10000,8,FALSE),"0")</f>
        <v>0</v>
      </c>
      <c r="K6013" s="4"/>
      <c r="L6013" s="33" t="str">
        <f>IFERROR(VLOOKUP($J6013,'Informations sur les produits'!$A$3:$H$10000,8,FALSE),"0")</f>
        <v>0</v>
      </c>
      <c r="N6013" s="8"/>
      <c r="O6013" s="33" t="str">
        <f>IFERROR(VLOOKUP($M6013,'Informations sur les produits'!$A$3:$H$10000,8,FALSE),"0")</f>
        <v>0</v>
      </c>
      <c r="P6013" s="33">
        <f t="shared" si="372"/>
        <v>0</v>
      </c>
      <c r="Q6013" s="31" t="str">
        <f t="shared" si="373"/>
        <v/>
      </c>
      <c r="R6013" s="32" t="str">
        <f>IFERROR(VLOOKUP($D6013,'Informations sur les produits'!$A$3:$B$15000,2,FALSE),"")</f>
        <v/>
      </c>
      <c r="V6013">
        <f t="shared" si="374"/>
        <v>0</v>
      </c>
      <c r="W6013">
        <f t="shared" si="375"/>
        <v>0</v>
      </c>
    </row>
    <row r="6014" spans="5:23" x14ac:dyDescent="0.25">
      <c r="E6014" s="4"/>
      <c r="F6014" s="4"/>
      <c r="G6014" s="33" t="str">
        <f>IFERROR(VLOOKUP($D6014,'Informations sur les produits'!$A$3:$H$10000,8,FALSE),"0")</f>
        <v>0</v>
      </c>
      <c r="K6014" s="4"/>
      <c r="L6014" s="33" t="str">
        <f>IFERROR(VLOOKUP($J6014,'Informations sur les produits'!$A$3:$H$10000,8,FALSE),"0")</f>
        <v>0</v>
      </c>
      <c r="N6014" s="8"/>
      <c r="O6014" s="33" t="str">
        <f>IFERROR(VLOOKUP($M6014,'Informations sur les produits'!$A$3:$H$10000,8,FALSE),"0")</f>
        <v>0</v>
      </c>
      <c r="P6014" s="33">
        <f t="shared" si="372"/>
        <v>0</v>
      </c>
      <c r="Q6014" s="31" t="str">
        <f t="shared" si="373"/>
        <v/>
      </c>
      <c r="R6014" s="32" t="str">
        <f>IFERROR(VLOOKUP($D6014,'Informations sur les produits'!$A$3:$B$15000,2,FALSE),"")</f>
        <v/>
      </c>
      <c r="V6014">
        <f t="shared" si="374"/>
        <v>0</v>
      </c>
      <c r="W6014">
        <f t="shared" si="375"/>
        <v>0</v>
      </c>
    </row>
    <row r="6015" spans="5:23" x14ac:dyDescent="0.25">
      <c r="E6015" s="4"/>
      <c r="F6015" s="4"/>
      <c r="G6015" s="33" t="str">
        <f>IFERROR(VLOOKUP($D6015,'Informations sur les produits'!$A$3:$H$10000,8,FALSE),"0")</f>
        <v>0</v>
      </c>
      <c r="K6015" s="4"/>
      <c r="L6015" s="33" t="str">
        <f>IFERROR(VLOOKUP($J6015,'Informations sur les produits'!$A$3:$H$10000,8,FALSE),"0")</f>
        <v>0</v>
      </c>
      <c r="N6015" s="8"/>
      <c r="O6015" s="33" t="str">
        <f>IFERROR(VLOOKUP($M6015,'Informations sur les produits'!$A$3:$H$10000,8,FALSE),"0")</f>
        <v>0</v>
      </c>
      <c r="P6015" s="33">
        <f t="shared" si="372"/>
        <v>0</v>
      </c>
      <c r="Q6015" s="31" t="str">
        <f t="shared" si="373"/>
        <v/>
      </c>
      <c r="R6015" s="32" t="str">
        <f>IFERROR(VLOOKUP($D6015,'Informations sur les produits'!$A$3:$B$15000,2,FALSE),"")</f>
        <v/>
      </c>
      <c r="V6015">
        <f t="shared" si="374"/>
        <v>0</v>
      </c>
      <c r="W6015">
        <f t="shared" si="375"/>
        <v>0</v>
      </c>
    </row>
    <row r="6016" spans="5:23" x14ac:dyDescent="0.25">
      <c r="E6016" s="4"/>
      <c r="F6016" s="4"/>
      <c r="G6016" s="33" t="str">
        <f>IFERROR(VLOOKUP($D6016,'Informations sur les produits'!$A$3:$H$10000,8,FALSE),"0")</f>
        <v>0</v>
      </c>
      <c r="K6016" s="4"/>
      <c r="L6016" s="33" t="str">
        <f>IFERROR(VLOOKUP($J6016,'Informations sur les produits'!$A$3:$H$10000,8,FALSE),"0")</f>
        <v>0</v>
      </c>
      <c r="N6016" s="8"/>
      <c r="O6016" s="33" t="str">
        <f>IFERROR(VLOOKUP($M6016,'Informations sur les produits'!$A$3:$H$10000,8,FALSE),"0")</f>
        <v>0</v>
      </c>
      <c r="P6016" s="33">
        <f t="shared" si="372"/>
        <v>0</v>
      </c>
      <c r="Q6016" s="31" t="str">
        <f t="shared" si="373"/>
        <v/>
      </c>
      <c r="R6016" s="32" t="str">
        <f>IFERROR(VLOOKUP($D6016,'Informations sur les produits'!$A$3:$B$15000,2,FALSE),"")</f>
        <v/>
      </c>
      <c r="V6016">
        <f t="shared" si="374"/>
        <v>0</v>
      </c>
      <c r="W6016">
        <f t="shared" si="375"/>
        <v>0</v>
      </c>
    </row>
    <row r="6017" spans="5:23" x14ac:dyDescent="0.25">
      <c r="E6017" s="4"/>
      <c r="F6017" s="4"/>
      <c r="G6017" s="33" t="str">
        <f>IFERROR(VLOOKUP($D6017,'Informations sur les produits'!$A$3:$H$10000,8,FALSE),"0")</f>
        <v>0</v>
      </c>
      <c r="K6017" s="4"/>
      <c r="L6017" s="33" t="str">
        <f>IFERROR(VLOOKUP($J6017,'Informations sur les produits'!$A$3:$H$10000,8,FALSE),"0")</f>
        <v>0</v>
      </c>
      <c r="N6017" s="8"/>
      <c r="O6017" s="33" t="str">
        <f>IFERROR(VLOOKUP($M6017,'Informations sur les produits'!$A$3:$H$10000,8,FALSE),"0")</f>
        <v>0</v>
      </c>
      <c r="P6017" s="33">
        <f t="shared" si="372"/>
        <v>0</v>
      </c>
      <c r="Q6017" s="31" t="str">
        <f t="shared" si="373"/>
        <v/>
      </c>
      <c r="R6017" s="32" t="str">
        <f>IFERROR(VLOOKUP($D6017,'Informations sur les produits'!$A$3:$B$15000,2,FALSE),"")</f>
        <v/>
      </c>
      <c r="V6017">
        <f t="shared" si="374"/>
        <v>0</v>
      </c>
      <c r="W6017">
        <f t="shared" si="375"/>
        <v>0</v>
      </c>
    </row>
    <row r="6018" spans="5:23" x14ac:dyDescent="0.25">
      <c r="E6018" s="4"/>
      <c r="F6018" s="4"/>
      <c r="G6018" s="33" t="str">
        <f>IFERROR(VLOOKUP($D6018,'Informations sur les produits'!$A$3:$H$10000,8,FALSE),"0")</f>
        <v>0</v>
      </c>
      <c r="K6018" s="4"/>
      <c r="L6018" s="33" t="str">
        <f>IFERROR(VLOOKUP($J6018,'Informations sur les produits'!$A$3:$H$10000,8,FALSE),"0")</f>
        <v>0</v>
      </c>
      <c r="N6018" s="8"/>
      <c r="O6018" s="33" t="str">
        <f>IFERROR(VLOOKUP($M6018,'Informations sur les produits'!$A$3:$H$10000,8,FALSE),"0")</f>
        <v>0</v>
      </c>
      <c r="P6018" s="33">
        <f t="shared" si="372"/>
        <v>0</v>
      </c>
      <c r="Q6018" s="31" t="str">
        <f t="shared" si="373"/>
        <v/>
      </c>
      <c r="R6018" s="32" t="str">
        <f>IFERROR(VLOOKUP($D6018,'Informations sur les produits'!$A$3:$B$15000,2,FALSE),"")</f>
        <v/>
      </c>
      <c r="V6018">
        <f t="shared" si="374"/>
        <v>0</v>
      </c>
      <c r="W6018">
        <f t="shared" si="375"/>
        <v>0</v>
      </c>
    </row>
    <row r="6019" spans="5:23" x14ac:dyDescent="0.25">
      <c r="E6019" s="4"/>
      <c r="F6019" s="4"/>
      <c r="G6019" s="33" t="str">
        <f>IFERROR(VLOOKUP($D6019,'Informations sur les produits'!$A$3:$H$10000,8,FALSE),"0")</f>
        <v>0</v>
      </c>
      <c r="K6019" s="4"/>
      <c r="L6019" s="33" t="str">
        <f>IFERROR(VLOOKUP($J6019,'Informations sur les produits'!$A$3:$H$10000,8,FALSE),"0")</f>
        <v>0</v>
      </c>
      <c r="N6019" s="8"/>
      <c r="O6019" s="33" t="str">
        <f>IFERROR(VLOOKUP($M6019,'Informations sur les produits'!$A$3:$H$10000,8,FALSE),"0")</f>
        <v>0</v>
      </c>
      <c r="P6019" s="33">
        <f t="shared" si="372"/>
        <v>0</v>
      </c>
      <c r="Q6019" s="31" t="str">
        <f t="shared" si="373"/>
        <v/>
      </c>
      <c r="R6019" s="32" t="str">
        <f>IFERROR(VLOOKUP($D6019,'Informations sur les produits'!$A$3:$B$15000,2,FALSE),"")</f>
        <v/>
      </c>
      <c r="V6019">
        <f t="shared" si="374"/>
        <v>0</v>
      </c>
      <c r="W6019">
        <f t="shared" si="375"/>
        <v>0</v>
      </c>
    </row>
    <row r="6020" spans="5:23" x14ac:dyDescent="0.25">
      <c r="E6020" s="4"/>
      <c r="F6020" s="4"/>
      <c r="G6020" s="33" t="str">
        <f>IFERROR(VLOOKUP($D6020,'Informations sur les produits'!$A$3:$H$10000,8,FALSE),"0")</f>
        <v>0</v>
      </c>
      <c r="K6020" s="4"/>
      <c r="L6020" s="33" t="str">
        <f>IFERROR(VLOOKUP($J6020,'Informations sur les produits'!$A$3:$H$10000,8,FALSE),"0")</f>
        <v>0</v>
      </c>
      <c r="N6020" s="8"/>
      <c r="O6020" s="33" t="str">
        <f>IFERROR(VLOOKUP($M6020,'Informations sur les produits'!$A$3:$H$10000,8,FALSE),"0")</f>
        <v>0</v>
      </c>
      <c r="P6020" s="33">
        <f t="shared" ref="P6020:P6083" si="376">IFERROR((($E6020-$F6020)*$G6020+$K6020*$L6020+$N6020*$O6020),"")</f>
        <v>0</v>
      </c>
      <c r="Q6020" s="31" t="str">
        <f t="shared" ref="Q6020:Q6083" si="377">IFERROR((((($E6020-$F6020)*$G6020+$K6020*$L6020+$N6020*$O6020)*1000)/(($E6020-$F6020)+$K6020+$N6020)),"")</f>
        <v/>
      </c>
      <c r="R6020" s="32" t="str">
        <f>IFERROR(VLOOKUP($D6020,'Informations sur les produits'!$A$3:$B$15000,2,FALSE),"")</f>
        <v/>
      </c>
      <c r="V6020">
        <f t="shared" ref="V6020:V6083" si="378">IFERROR(P6020*1000,"")</f>
        <v>0</v>
      </c>
      <c r="W6020">
        <f t="shared" ref="W6020:W6083" si="379">IFERROR(($E6020-$F6020)+$K6020+$N6020,"")</f>
        <v>0</v>
      </c>
    </row>
    <row r="6021" spans="5:23" x14ac:dyDescent="0.25">
      <c r="E6021" s="4"/>
      <c r="F6021" s="4"/>
      <c r="G6021" s="33" t="str">
        <f>IFERROR(VLOOKUP($D6021,'Informations sur les produits'!$A$3:$H$10000,8,FALSE),"0")</f>
        <v>0</v>
      </c>
      <c r="K6021" s="4"/>
      <c r="L6021" s="33" t="str">
        <f>IFERROR(VLOOKUP($J6021,'Informations sur les produits'!$A$3:$H$10000,8,FALSE),"0")</f>
        <v>0</v>
      </c>
      <c r="N6021" s="8"/>
      <c r="O6021" s="33" t="str">
        <f>IFERROR(VLOOKUP($M6021,'Informations sur les produits'!$A$3:$H$10000,8,FALSE),"0")</f>
        <v>0</v>
      </c>
      <c r="P6021" s="33">
        <f t="shared" si="376"/>
        <v>0</v>
      </c>
      <c r="Q6021" s="31" t="str">
        <f t="shared" si="377"/>
        <v/>
      </c>
      <c r="R6021" s="32" t="str">
        <f>IFERROR(VLOOKUP($D6021,'Informations sur les produits'!$A$3:$B$15000,2,FALSE),"")</f>
        <v/>
      </c>
      <c r="V6021">
        <f t="shared" si="378"/>
        <v>0</v>
      </c>
      <c r="W6021">
        <f t="shared" si="379"/>
        <v>0</v>
      </c>
    </row>
    <row r="6022" spans="5:23" x14ac:dyDescent="0.25">
      <c r="E6022" s="4"/>
      <c r="F6022" s="4"/>
      <c r="G6022" s="33" t="str">
        <f>IFERROR(VLOOKUP($D6022,'Informations sur les produits'!$A$3:$H$10000,8,FALSE),"0")</f>
        <v>0</v>
      </c>
      <c r="K6022" s="4"/>
      <c r="L6022" s="33" t="str">
        <f>IFERROR(VLOOKUP($J6022,'Informations sur les produits'!$A$3:$H$10000,8,FALSE),"0")</f>
        <v>0</v>
      </c>
      <c r="N6022" s="8"/>
      <c r="O6022" s="33" t="str">
        <f>IFERROR(VLOOKUP($M6022,'Informations sur les produits'!$A$3:$H$10000,8,FALSE),"0")</f>
        <v>0</v>
      </c>
      <c r="P6022" s="33">
        <f t="shared" si="376"/>
        <v>0</v>
      </c>
      <c r="Q6022" s="31" t="str">
        <f t="shared" si="377"/>
        <v/>
      </c>
      <c r="R6022" s="32" t="str">
        <f>IFERROR(VLOOKUP($D6022,'Informations sur les produits'!$A$3:$B$15000,2,FALSE),"")</f>
        <v/>
      </c>
      <c r="V6022">
        <f t="shared" si="378"/>
        <v>0</v>
      </c>
      <c r="W6022">
        <f t="shared" si="379"/>
        <v>0</v>
      </c>
    </row>
    <row r="6023" spans="5:23" x14ac:dyDescent="0.25">
      <c r="E6023" s="4"/>
      <c r="F6023" s="4"/>
      <c r="G6023" s="33" t="str">
        <f>IFERROR(VLOOKUP($D6023,'Informations sur les produits'!$A$3:$H$10000,8,FALSE),"0")</f>
        <v>0</v>
      </c>
      <c r="K6023" s="4"/>
      <c r="L6023" s="33" t="str">
        <f>IFERROR(VLOOKUP($J6023,'Informations sur les produits'!$A$3:$H$10000,8,FALSE),"0")</f>
        <v>0</v>
      </c>
      <c r="N6023" s="8"/>
      <c r="O6023" s="33" t="str">
        <f>IFERROR(VLOOKUP($M6023,'Informations sur les produits'!$A$3:$H$10000,8,FALSE),"0")</f>
        <v>0</v>
      </c>
      <c r="P6023" s="33">
        <f t="shared" si="376"/>
        <v>0</v>
      </c>
      <c r="Q6023" s="31" t="str">
        <f t="shared" si="377"/>
        <v/>
      </c>
      <c r="R6023" s="32" t="str">
        <f>IFERROR(VLOOKUP($D6023,'Informations sur les produits'!$A$3:$B$15000,2,FALSE),"")</f>
        <v/>
      </c>
      <c r="V6023">
        <f t="shared" si="378"/>
        <v>0</v>
      </c>
      <c r="W6023">
        <f t="shared" si="379"/>
        <v>0</v>
      </c>
    </row>
    <row r="6024" spans="5:23" x14ac:dyDescent="0.25">
      <c r="E6024" s="4"/>
      <c r="F6024" s="4"/>
      <c r="G6024" s="33" t="str">
        <f>IFERROR(VLOOKUP($D6024,'Informations sur les produits'!$A$3:$H$10000,8,FALSE),"0")</f>
        <v>0</v>
      </c>
      <c r="K6024" s="4"/>
      <c r="L6024" s="33" t="str">
        <f>IFERROR(VLOOKUP($J6024,'Informations sur les produits'!$A$3:$H$10000,8,FALSE),"0")</f>
        <v>0</v>
      </c>
      <c r="N6024" s="8"/>
      <c r="O6024" s="33" t="str">
        <f>IFERROR(VLOOKUP($M6024,'Informations sur les produits'!$A$3:$H$10000,8,FALSE),"0")</f>
        <v>0</v>
      </c>
      <c r="P6024" s="33">
        <f t="shared" si="376"/>
        <v>0</v>
      </c>
      <c r="Q6024" s="31" t="str">
        <f t="shared" si="377"/>
        <v/>
      </c>
      <c r="R6024" s="32" t="str">
        <f>IFERROR(VLOOKUP($D6024,'Informations sur les produits'!$A$3:$B$15000,2,FALSE),"")</f>
        <v/>
      </c>
      <c r="V6024">
        <f t="shared" si="378"/>
        <v>0</v>
      </c>
      <c r="W6024">
        <f t="shared" si="379"/>
        <v>0</v>
      </c>
    </row>
    <row r="6025" spans="5:23" x14ac:dyDescent="0.25">
      <c r="E6025" s="4"/>
      <c r="F6025" s="4"/>
      <c r="G6025" s="33" t="str">
        <f>IFERROR(VLOOKUP($D6025,'Informations sur les produits'!$A$3:$H$10000,8,FALSE),"0")</f>
        <v>0</v>
      </c>
      <c r="K6025" s="4"/>
      <c r="L6025" s="33" t="str">
        <f>IFERROR(VLOOKUP($J6025,'Informations sur les produits'!$A$3:$H$10000,8,FALSE),"0")</f>
        <v>0</v>
      </c>
      <c r="N6025" s="8"/>
      <c r="O6025" s="33" t="str">
        <f>IFERROR(VLOOKUP($M6025,'Informations sur les produits'!$A$3:$H$10000,8,FALSE),"0")</f>
        <v>0</v>
      </c>
      <c r="P6025" s="33">
        <f t="shared" si="376"/>
        <v>0</v>
      </c>
      <c r="Q6025" s="31" t="str">
        <f t="shared" si="377"/>
        <v/>
      </c>
      <c r="R6025" s="32" t="str">
        <f>IFERROR(VLOOKUP($D6025,'Informations sur les produits'!$A$3:$B$15000,2,FALSE),"")</f>
        <v/>
      </c>
      <c r="V6025">
        <f t="shared" si="378"/>
        <v>0</v>
      </c>
      <c r="W6025">
        <f t="shared" si="379"/>
        <v>0</v>
      </c>
    </row>
    <row r="6026" spans="5:23" x14ac:dyDescent="0.25">
      <c r="E6026" s="4"/>
      <c r="F6026" s="4"/>
      <c r="G6026" s="33" t="str">
        <f>IFERROR(VLOOKUP($D6026,'Informations sur les produits'!$A$3:$H$10000,8,FALSE),"0")</f>
        <v>0</v>
      </c>
      <c r="K6026" s="4"/>
      <c r="L6026" s="33" t="str">
        <f>IFERROR(VLOOKUP($J6026,'Informations sur les produits'!$A$3:$H$10000,8,FALSE),"0")</f>
        <v>0</v>
      </c>
      <c r="N6026" s="8"/>
      <c r="O6026" s="33" t="str">
        <f>IFERROR(VLOOKUP($M6026,'Informations sur les produits'!$A$3:$H$10000,8,FALSE),"0")</f>
        <v>0</v>
      </c>
      <c r="P6026" s="33">
        <f t="shared" si="376"/>
        <v>0</v>
      </c>
      <c r="Q6026" s="31" t="str">
        <f t="shared" si="377"/>
        <v/>
      </c>
      <c r="R6026" s="32" t="str">
        <f>IFERROR(VLOOKUP($D6026,'Informations sur les produits'!$A$3:$B$15000,2,FALSE),"")</f>
        <v/>
      </c>
      <c r="V6026">
        <f t="shared" si="378"/>
        <v>0</v>
      </c>
      <c r="W6026">
        <f t="shared" si="379"/>
        <v>0</v>
      </c>
    </row>
    <row r="6027" spans="5:23" x14ac:dyDescent="0.25">
      <c r="E6027" s="4"/>
      <c r="F6027" s="4"/>
      <c r="G6027" s="33" t="str">
        <f>IFERROR(VLOOKUP($D6027,'Informations sur les produits'!$A$3:$H$10000,8,FALSE),"0")</f>
        <v>0</v>
      </c>
      <c r="K6027" s="4"/>
      <c r="L6027" s="33" t="str">
        <f>IFERROR(VLOOKUP($J6027,'Informations sur les produits'!$A$3:$H$10000,8,FALSE),"0")</f>
        <v>0</v>
      </c>
      <c r="N6027" s="8"/>
      <c r="O6027" s="33" t="str">
        <f>IFERROR(VLOOKUP($M6027,'Informations sur les produits'!$A$3:$H$10000,8,FALSE),"0")</f>
        <v>0</v>
      </c>
      <c r="P6027" s="33">
        <f t="shared" si="376"/>
        <v>0</v>
      </c>
      <c r="Q6027" s="31" t="str">
        <f t="shared" si="377"/>
        <v/>
      </c>
      <c r="R6027" s="32" t="str">
        <f>IFERROR(VLOOKUP($D6027,'Informations sur les produits'!$A$3:$B$15000,2,FALSE),"")</f>
        <v/>
      </c>
      <c r="V6027">
        <f t="shared" si="378"/>
        <v>0</v>
      </c>
      <c r="W6027">
        <f t="shared" si="379"/>
        <v>0</v>
      </c>
    </row>
    <row r="6028" spans="5:23" x14ac:dyDescent="0.25">
      <c r="E6028" s="4"/>
      <c r="F6028" s="4"/>
      <c r="G6028" s="33" t="str">
        <f>IFERROR(VLOOKUP($D6028,'Informations sur les produits'!$A$3:$H$10000,8,FALSE),"0")</f>
        <v>0</v>
      </c>
      <c r="K6028" s="4"/>
      <c r="L6028" s="33" t="str">
        <f>IFERROR(VLOOKUP($J6028,'Informations sur les produits'!$A$3:$H$10000,8,FALSE),"0")</f>
        <v>0</v>
      </c>
      <c r="N6028" s="8"/>
      <c r="O6028" s="33" t="str">
        <f>IFERROR(VLOOKUP($M6028,'Informations sur les produits'!$A$3:$H$10000,8,FALSE),"0")</f>
        <v>0</v>
      </c>
      <c r="P6028" s="33">
        <f t="shared" si="376"/>
        <v>0</v>
      </c>
      <c r="Q6028" s="31" t="str">
        <f t="shared" si="377"/>
        <v/>
      </c>
      <c r="R6028" s="32" t="str">
        <f>IFERROR(VLOOKUP($D6028,'Informations sur les produits'!$A$3:$B$15000,2,FALSE),"")</f>
        <v/>
      </c>
      <c r="V6028">
        <f t="shared" si="378"/>
        <v>0</v>
      </c>
      <c r="W6028">
        <f t="shared" si="379"/>
        <v>0</v>
      </c>
    </row>
    <row r="6029" spans="5:23" x14ac:dyDescent="0.25">
      <c r="E6029" s="4"/>
      <c r="F6029" s="4"/>
      <c r="G6029" s="33" t="str">
        <f>IFERROR(VLOOKUP($D6029,'Informations sur les produits'!$A$3:$H$10000,8,FALSE),"0")</f>
        <v>0</v>
      </c>
      <c r="K6029" s="4"/>
      <c r="L6029" s="33" t="str">
        <f>IFERROR(VLOOKUP($J6029,'Informations sur les produits'!$A$3:$H$10000,8,FALSE),"0")</f>
        <v>0</v>
      </c>
      <c r="N6029" s="8"/>
      <c r="O6029" s="33" t="str">
        <f>IFERROR(VLOOKUP($M6029,'Informations sur les produits'!$A$3:$H$10000,8,FALSE),"0")</f>
        <v>0</v>
      </c>
      <c r="P6029" s="33">
        <f t="shared" si="376"/>
        <v>0</v>
      </c>
      <c r="Q6029" s="31" t="str">
        <f t="shared" si="377"/>
        <v/>
      </c>
      <c r="R6029" s="32" t="str">
        <f>IFERROR(VLOOKUP($D6029,'Informations sur les produits'!$A$3:$B$15000,2,FALSE),"")</f>
        <v/>
      </c>
      <c r="V6029">
        <f t="shared" si="378"/>
        <v>0</v>
      </c>
      <c r="W6029">
        <f t="shared" si="379"/>
        <v>0</v>
      </c>
    </row>
    <row r="6030" spans="5:23" x14ac:dyDescent="0.25">
      <c r="E6030" s="4"/>
      <c r="F6030" s="4"/>
      <c r="G6030" s="33" t="str">
        <f>IFERROR(VLOOKUP($D6030,'Informations sur les produits'!$A$3:$H$10000,8,FALSE),"0")</f>
        <v>0</v>
      </c>
      <c r="K6030" s="4"/>
      <c r="L6030" s="33" t="str">
        <f>IFERROR(VLOOKUP($J6030,'Informations sur les produits'!$A$3:$H$10000,8,FALSE),"0")</f>
        <v>0</v>
      </c>
      <c r="N6030" s="8"/>
      <c r="O6030" s="33" t="str">
        <f>IFERROR(VLOOKUP($M6030,'Informations sur les produits'!$A$3:$H$10000,8,FALSE),"0")</f>
        <v>0</v>
      </c>
      <c r="P6030" s="33">
        <f t="shared" si="376"/>
        <v>0</v>
      </c>
      <c r="Q6030" s="31" t="str">
        <f t="shared" si="377"/>
        <v/>
      </c>
      <c r="R6030" s="32" t="str">
        <f>IFERROR(VLOOKUP($D6030,'Informations sur les produits'!$A$3:$B$15000,2,FALSE),"")</f>
        <v/>
      </c>
      <c r="V6030">
        <f t="shared" si="378"/>
        <v>0</v>
      </c>
      <c r="W6030">
        <f t="shared" si="379"/>
        <v>0</v>
      </c>
    </row>
    <row r="6031" spans="5:23" x14ac:dyDescent="0.25">
      <c r="E6031" s="4"/>
      <c r="F6031" s="4"/>
      <c r="G6031" s="33" t="str">
        <f>IFERROR(VLOOKUP($D6031,'Informations sur les produits'!$A$3:$H$10000,8,FALSE),"0")</f>
        <v>0</v>
      </c>
      <c r="K6031" s="4"/>
      <c r="L6031" s="33" t="str">
        <f>IFERROR(VLOOKUP($J6031,'Informations sur les produits'!$A$3:$H$10000,8,FALSE),"0")</f>
        <v>0</v>
      </c>
      <c r="N6031" s="8"/>
      <c r="O6031" s="33" t="str">
        <f>IFERROR(VLOOKUP($M6031,'Informations sur les produits'!$A$3:$H$10000,8,FALSE),"0")</f>
        <v>0</v>
      </c>
      <c r="P6031" s="33">
        <f t="shared" si="376"/>
        <v>0</v>
      </c>
      <c r="Q6031" s="31" t="str">
        <f t="shared" si="377"/>
        <v/>
      </c>
      <c r="R6031" s="32" t="str">
        <f>IFERROR(VLOOKUP($D6031,'Informations sur les produits'!$A$3:$B$15000,2,FALSE),"")</f>
        <v/>
      </c>
      <c r="V6031">
        <f t="shared" si="378"/>
        <v>0</v>
      </c>
      <c r="W6031">
        <f t="shared" si="379"/>
        <v>0</v>
      </c>
    </row>
    <row r="6032" spans="5:23" x14ac:dyDescent="0.25">
      <c r="E6032" s="4"/>
      <c r="F6032" s="4"/>
      <c r="G6032" s="33" t="str">
        <f>IFERROR(VLOOKUP($D6032,'Informations sur les produits'!$A$3:$H$10000,8,FALSE),"0")</f>
        <v>0</v>
      </c>
      <c r="K6032" s="4"/>
      <c r="L6032" s="33" t="str">
        <f>IFERROR(VLOOKUP($J6032,'Informations sur les produits'!$A$3:$H$10000,8,FALSE),"0")</f>
        <v>0</v>
      </c>
      <c r="N6032" s="8"/>
      <c r="O6032" s="33" t="str">
        <f>IFERROR(VLOOKUP($M6032,'Informations sur les produits'!$A$3:$H$10000,8,FALSE),"0")</f>
        <v>0</v>
      </c>
      <c r="P6032" s="33">
        <f t="shared" si="376"/>
        <v>0</v>
      </c>
      <c r="Q6032" s="31" t="str">
        <f t="shared" si="377"/>
        <v/>
      </c>
      <c r="R6032" s="32" t="str">
        <f>IFERROR(VLOOKUP($D6032,'Informations sur les produits'!$A$3:$B$15000,2,FALSE),"")</f>
        <v/>
      </c>
      <c r="V6032">
        <f t="shared" si="378"/>
        <v>0</v>
      </c>
      <c r="W6032">
        <f t="shared" si="379"/>
        <v>0</v>
      </c>
    </row>
    <row r="6033" spans="5:23" x14ac:dyDescent="0.25">
      <c r="E6033" s="4"/>
      <c r="F6033" s="4"/>
      <c r="G6033" s="33" t="str">
        <f>IFERROR(VLOOKUP($D6033,'Informations sur les produits'!$A$3:$H$10000,8,FALSE),"0")</f>
        <v>0</v>
      </c>
      <c r="K6033" s="4"/>
      <c r="L6033" s="33" t="str">
        <f>IFERROR(VLOOKUP($J6033,'Informations sur les produits'!$A$3:$H$10000,8,FALSE),"0")</f>
        <v>0</v>
      </c>
      <c r="N6033" s="8"/>
      <c r="O6033" s="33" t="str">
        <f>IFERROR(VLOOKUP($M6033,'Informations sur les produits'!$A$3:$H$10000,8,FALSE),"0")</f>
        <v>0</v>
      </c>
      <c r="P6033" s="33">
        <f t="shared" si="376"/>
        <v>0</v>
      </c>
      <c r="Q6033" s="31" t="str">
        <f t="shared" si="377"/>
        <v/>
      </c>
      <c r="R6033" s="32" t="str">
        <f>IFERROR(VLOOKUP($D6033,'Informations sur les produits'!$A$3:$B$15000,2,FALSE),"")</f>
        <v/>
      </c>
      <c r="V6033">
        <f t="shared" si="378"/>
        <v>0</v>
      </c>
      <c r="W6033">
        <f t="shared" si="379"/>
        <v>0</v>
      </c>
    </row>
    <row r="6034" spans="5:23" x14ac:dyDescent="0.25">
      <c r="E6034" s="4"/>
      <c r="F6034" s="4"/>
      <c r="G6034" s="33" t="str">
        <f>IFERROR(VLOOKUP($D6034,'Informations sur les produits'!$A$3:$H$10000,8,FALSE),"0")</f>
        <v>0</v>
      </c>
      <c r="K6034" s="4"/>
      <c r="L6034" s="33" t="str">
        <f>IFERROR(VLOOKUP($J6034,'Informations sur les produits'!$A$3:$H$10000,8,FALSE),"0")</f>
        <v>0</v>
      </c>
      <c r="N6034" s="8"/>
      <c r="O6034" s="33" t="str">
        <f>IFERROR(VLOOKUP($M6034,'Informations sur les produits'!$A$3:$H$10000,8,FALSE),"0")</f>
        <v>0</v>
      </c>
      <c r="P6034" s="33">
        <f t="shared" si="376"/>
        <v>0</v>
      </c>
      <c r="Q6034" s="31" t="str">
        <f t="shared" si="377"/>
        <v/>
      </c>
      <c r="R6034" s="32" t="str">
        <f>IFERROR(VLOOKUP($D6034,'Informations sur les produits'!$A$3:$B$15000,2,FALSE),"")</f>
        <v/>
      </c>
      <c r="V6034">
        <f t="shared" si="378"/>
        <v>0</v>
      </c>
      <c r="W6034">
        <f t="shared" si="379"/>
        <v>0</v>
      </c>
    </row>
    <row r="6035" spans="5:23" x14ac:dyDescent="0.25">
      <c r="E6035" s="4"/>
      <c r="F6035" s="4"/>
      <c r="G6035" s="33" t="str">
        <f>IFERROR(VLOOKUP($D6035,'Informations sur les produits'!$A$3:$H$10000,8,FALSE),"0")</f>
        <v>0</v>
      </c>
      <c r="K6035" s="4"/>
      <c r="L6035" s="33" t="str">
        <f>IFERROR(VLOOKUP($J6035,'Informations sur les produits'!$A$3:$H$10000,8,FALSE),"0")</f>
        <v>0</v>
      </c>
      <c r="N6035" s="8"/>
      <c r="O6035" s="33" t="str">
        <f>IFERROR(VLOOKUP($M6035,'Informations sur les produits'!$A$3:$H$10000,8,FALSE),"0")</f>
        <v>0</v>
      </c>
      <c r="P6035" s="33">
        <f t="shared" si="376"/>
        <v>0</v>
      </c>
      <c r="Q6035" s="31" t="str">
        <f t="shared" si="377"/>
        <v/>
      </c>
      <c r="R6035" s="32" t="str">
        <f>IFERROR(VLOOKUP($D6035,'Informations sur les produits'!$A$3:$B$15000,2,FALSE),"")</f>
        <v/>
      </c>
      <c r="V6035">
        <f t="shared" si="378"/>
        <v>0</v>
      </c>
      <c r="W6035">
        <f t="shared" si="379"/>
        <v>0</v>
      </c>
    </row>
    <row r="6036" spans="5:23" x14ac:dyDescent="0.25">
      <c r="E6036" s="4"/>
      <c r="F6036" s="4"/>
      <c r="G6036" s="33" t="str">
        <f>IFERROR(VLOOKUP($D6036,'Informations sur les produits'!$A$3:$H$10000,8,FALSE),"0")</f>
        <v>0</v>
      </c>
      <c r="K6036" s="4"/>
      <c r="L6036" s="33" t="str">
        <f>IFERROR(VLOOKUP($J6036,'Informations sur les produits'!$A$3:$H$10000,8,FALSE),"0")</f>
        <v>0</v>
      </c>
      <c r="N6036" s="8"/>
      <c r="O6036" s="33" t="str">
        <f>IFERROR(VLOOKUP($M6036,'Informations sur les produits'!$A$3:$H$10000,8,FALSE),"0")</f>
        <v>0</v>
      </c>
      <c r="P6036" s="33">
        <f t="shared" si="376"/>
        <v>0</v>
      </c>
      <c r="Q6036" s="31" t="str">
        <f t="shared" si="377"/>
        <v/>
      </c>
      <c r="R6036" s="32" t="str">
        <f>IFERROR(VLOOKUP($D6036,'Informations sur les produits'!$A$3:$B$15000,2,FALSE),"")</f>
        <v/>
      </c>
      <c r="V6036">
        <f t="shared" si="378"/>
        <v>0</v>
      </c>
      <c r="W6036">
        <f t="shared" si="379"/>
        <v>0</v>
      </c>
    </row>
    <row r="6037" spans="5:23" x14ac:dyDescent="0.25">
      <c r="E6037" s="4"/>
      <c r="F6037" s="4"/>
      <c r="G6037" s="33" t="str">
        <f>IFERROR(VLOOKUP($D6037,'Informations sur les produits'!$A$3:$H$10000,8,FALSE),"0")</f>
        <v>0</v>
      </c>
      <c r="K6037" s="4"/>
      <c r="L6037" s="33" t="str">
        <f>IFERROR(VLOOKUP($J6037,'Informations sur les produits'!$A$3:$H$10000,8,FALSE),"0")</f>
        <v>0</v>
      </c>
      <c r="N6037" s="8"/>
      <c r="O6037" s="33" t="str">
        <f>IFERROR(VLOOKUP($M6037,'Informations sur les produits'!$A$3:$H$10000,8,FALSE),"0")</f>
        <v>0</v>
      </c>
      <c r="P6037" s="33">
        <f t="shared" si="376"/>
        <v>0</v>
      </c>
      <c r="Q6037" s="31" t="str">
        <f t="shared" si="377"/>
        <v/>
      </c>
      <c r="R6037" s="32" t="str">
        <f>IFERROR(VLOOKUP($D6037,'Informations sur les produits'!$A$3:$B$15000,2,FALSE),"")</f>
        <v/>
      </c>
      <c r="V6037">
        <f t="shared" si="378"/>
        <v>0</v>
      </c>
      <c r="W6037">
        <f t="shared" si="379"/>
        <v>0</v>
      </c>
    </row>
    <row r="6038" spans="5:23" x14ac:dyDescent="0.25">
      <c r="E6038" s="4"/>
      <c r="F6038" s="4"/>
      <c r="G6038" s="33" t="str">
        <f>IFERROR(VLOOKUP($D6038,'Informations sur les produits'!$A$3:$H$10000,8,FALSE),"0")</f>
        <v>0</v>
      </c>
      <c r="K6038" s="4"/>
      <c r="L6038" s="33" t="str">
        <f>IFERROR(VLOOKUP($J6038,'Informations sur les produits'!$A$3:$H$10000,8,FALSE),"0")</f>
        <v>0</v>
      </c>
      <c r="N6038" s="8"/>
      <c r="O6038" s="33" t="str">
        <f>IFERROR(VLOOKUP($M6038,'Informations sur les produits'!$A$3:$H$10000,8,FALSE),"0")</f>
        <v>0</v>
      </c>
      <c r="P6038" s="33">
        <f t="shared" si="376"/>
        <v>0</v>
      </c>
      <c r="Q6038" s="31" t="str">
        <f t="shared" si="377"/>
        <v/>
      </c>
      <c r="R6038" s="32" t="str">
        <f>IFERROR(VLOOKUP($D6038,'Informations sur les produits'!$A$3:$B$15000,2,FALSE),"")</f>
        <v/>
      </c>
      <c r="V6038">
        <f t="shared" si="378"/>
        <v>0</v>
      </c>
      <c r="W6038">
        <f t="shared" si="379"/>
        <v>0</v>
      </c>
    </row>
    <row r="6039" spans="5:23" x14ac:dyDescent="0.25">
      <c r="E6039" s="4"/>
      <c r="F6039" s="4"/>
      <c r="G6039" s="33" t="str">
        <f>IFERROR(VLOOKUP($D6039,'Informations sur les produits'!$A$3:$H$10000,8,FALSE),"0")</f>
        <v>0</v>
      </c>
      <c r="K6039" s="4"/>
      <c r="L6039" s="33" t="str">
        <f>IFERROR(VLOOKUP($J6039,'Informations sur les produits'!$A$3:$H$10000,8,FALSE),"0")</f>
        <v>0</v>
      </c>
      <c r="N6039" s="8"/>
      <c r="O6039" s="33" t="str">
        <f>IFERROR(VLOOKUP($M6039,'Informations sur les produits'!$A$3:$H$10000,8,FALSE),"0")</f>
        <v>0</v>
      </c>
      <c r="P6039" s="33">
        <f t="shared" si="376"/>
        <v>0</v>
      </c>
      <c r="Q6039" s="31" t="str">
        <f t="shared" si="377"/>
        <v/>
      </c>
      <c r="R6039" s="32" t="str">
        <f>IFERROR(VLOOKUP($D6039,'Informations sur les produits'!$A$3:$B$15000,2,FALSE),"")</f>
        <v/>
      </c>
      <c r="V6039">
        <f t="shared" si="378"/>
        <v>0</v>
      </c>
      <c r="W6039">
        <f t="shared" si="379"/>
        <v>0</v>
      </c>
    </row>
    <row r="6040" spans="5:23" x14ac:dyDescent="0.25">
      <c r="E6040" s="4"/>
      <c r="F6040" s="4"/>
      <c r="G6040" s="33" t="str">
        <f>IFERROR(VLOOKUP($D6040,'Informations sur les produits'!$A$3:$H$10000,8,FALSE),"0")</f>
        <v>0</v>
      </c>
      <c r="K6040" s="4"/>
      <c r="L6040" s="33" t="str">
        <f>IFERROR(VLOOKUP($J6040,'Informations sur les produits'!$A$3:$H$10000,8,FALSE),"0")</f>
        <v>0</v>
      </c>
      <c r="N6040" s="8"/>
      <c r="O6040" s="33" t="str">
        <f>IFERROR(VLOOKUP($M6040,'Informations sur les produits'!$A$3:$H$10000,8,FALSE),"0")</f>
        <v>0</v>
      </c>
      <c r="P6040" s="33">
        <f t="shared" si="376"/>
        <v>0</v>
      </c>
      <c r="Q6040" s="31" t="str">
        <f t="shared" si="377"/>
        <v/>
      </c>
      <c r="R6040" s="32" t="str">
        <f>IFERROR(VLOOKUP($D6040,'Informations sur les produits'!$A$3:$B$15000,2,FALSE),"")</f>
        <v/>
      </c>
      <c r="V6040">
        <f t="shared" si="378"/>
        <v>0</v>
      </c>
      <c r="W6040">
        <f t="shared" si="379"/>
        <v>0</v>
      </c>
    </row>
    <row r="6041" spans="5:23" x14ac:dyDescent="0.25">
      <c r="E6041" s="4"/>
      <c r="F6041" s="4"/>
      <c r="G6041" s="33" t="str">
        <f>IFERROR(VLOOKUP($D6041,'Informations sur les produits'!$A$3:$H$10000,8,FALSE),"0")</f>
        <v>0</v>
      </c>
      <c r="K6041" s="4"/>
      <c r="L6041" s="33" t="str">
        <f>IFERROR(VLOOKUP($J6041,'Informations sur les produits'!$A$3:$H$10000,8,FALSE),"0")</f>
        <v>0</v>
      </c>
      <c r="N6041" s="8"/>
      <c r="O6041" s="33" t="str">
        <f>IFERROR(VLOOKUP($M6041,'Informations sur les produits'!$A$3:$H$10000,8,FALSE),"0")</f>
        <v>0</v>
      </c>
      <c r="P6041" s="33">
        <f t="shared" si="376"/>
        <v>0</v>
      </c>
      <c r="Q6041" s="31" t="str">
        <f t="shared" si="377"/>
        <v/>
      </c>
      <c r="R6041" s="32" t="str">
        <f>IFERROR(VLOOKUP($D6041,'Informations sur les produits'!$A$3:$B$15000,2,FALSE),"")</f>
        <v/>
      </c>
      <c r="V6041">
        <f t="shared" si="378"/>
        <v>0</v>
      </c>
      <c r="W6041">
        <f t="shared" si="379"/>
        <v>0</v>
      </c>
    </row>
    <row r="6042" spans="5:23" x14ac:dyDescent="0.25">
      <c r="E6042" s="4"/>
      <c r="F6042" s="4"/>
      <c r="G6042" s="33" t="str">
        <f>IFERROR(VLOOKUP($D6042,'Informations sur les produits'!$A$3:$H$10000,8,FALSE),"0")</f>
        <v>0</v>
      </c>
      <c r="K6042" s="4"/>
      <c r="L6042" s="33" t="str">
        <f>IFERROR(VLOOKUP($J6042,'Informations sur les produits'!$A$3:$H$10000,8,FALSE),"0")</f>
        <v>0</v>
      </c>
      <c r="N6042" s="8"/>
      <c r="O6042" s="33" t="str">
        <f>IFERROR(VLOOKUP($M6042,'Informations sur les produits'!$A$3:$H$10000,8,FALSE),"0")</f>
        <v>0</v>
      </c>
      <c r="P6042" s="33">
        <f t="shared" si="376"/>
        <v>0</v>
      </c>
      <c r="Q6042" s="31" t="str">
        <f t="shared" si="377"/>
        <v/>
      </c>
      <c r="R6042" s="32" t="str">
        <f>IFERROR(VLOOKUP($D6042,'Informations sur les produits'!$A$3:$B$15000,2,FALSE),"")</f>
        <v/>
      </c>
      <c r="V6042">
        <f t="shared" si="378"/>
        <v>0</v>
      </c>
      <c r="W6042">
        <f t="shared" si="379"/>
        <v>0</v>
      </c>
    </row>
    <row r="6043" spans="5:23" x14ac:dyDescent="0.25">
      <c r="E6043" s="4"/>
      <c r="F6043" s="4"/>
      <c r="G6043" s="33" t="str">
        <f>IFERROR(VLOOKUP($D6043,'Informations sur les produits'!$A$3:$H$10000,8,FALSE),"0")</f>
        <v>0</v>
      </c>
      <c r="K6043" s="4"/>
      <c r="L6043" s="33" t="str">
        <f>IFERROR(VLOOKUP($J6043,'Informations sur les produits'!$A$3:$H$10000,8,FALSE),"0")</f>
        <v>0</v>
      </c>
      <c r="N6043" s="8"/>
      <c r="O6043" s="33" t="str">
        <f>IFERROR(VLOOKUP($M6043,'Informations sur les produits'!$A$3:$H$10000,8,FALSE),"0")</f>
        <v>0</v>
      </c>
      <c r="P6043" s="33">
        <f t="shared" si="376"/>
        <v>0</v>
      </c>
      <c r="Q6043" s="31" t="str">
        <f t="shared" si="377"/>
        <v/>
      </c>
      <c r="R6043" s="32" t="str">
        <f>IFERROR(VLOOKUP($D6043,'Informations sur les produits'!$A$3:$B$15000,2,FALSE),"")</f>
        <v/>
      </c>
      <c r="V6043">
        <f t="shared" si="378"/>
        <v>0</v>
      </c>
      <c r="W6043">
        <f t="shared" si="379"/>
        <v>0</v>
      </c>
    </row>
    <row r="6044" spans="5:23" x14ac:dyDescent="0.25">
      <c r="E6044" s="4"/>
      <c r="F6044" s="4"/>
      <c r="G6044" s="33" t="str">
        <f>IFERROR(VLOOKUP($D6044,'Informations sur les produits'!$A$3:$H$10000,8,FALSE),"0")</f>
        <v>0</v>
      </c>
      <c r="K6044" s="4"/>
      <c r="L6044" s="33" t="str">
        <f>IFERROR(VLOOKUP($J6044,'Informations sur les produits'!$A$3:$H$10000,8,FALSE),"0")</f>
        <v>0</v>
      </c>
      <c r="N6044" s="8"/>
      <c r="O6044" s="33" t="str">
        <f>IFERROR(VLOOKUP($M6044,'Informations sur les produits'!$A$3:$H$10000,8,FALSE),"0")</f>
        <v>0</v>
      </c>
      <c r="P6044" s="33">
        <f t="shared" si="376"/>
        <v>0</v>
      </c>
      <c r="Q6044" s="31" t="str">
        <f t="shared" si="377"/>
        <v/>
      </c>
      <c r="R6044" s="32" t="str">
        <f>IFERROR(VLOOKUP($D6044,'Informations sur les produits'!$A$3:$B$15000,2,FALSE),"")</f>
        <v/>
      </c>
      <c r="V6044">
        <f t="shared" si="378"/>
        <v>0</v>
      </c>
      <c r="W6044">
        <f t="shared" si="379"/>
        <v>0</v>
      </c>
    </row>
    <row r="6045" spans="5:23" x14ac:dyDescent="0.25">
      <c r="E6045" s="4"/>
      <c r="F6045" s="4"/>
      <c r="G6045" s="33" t="str">
        <f>IFERROR(VLOOKUP($D6045,'Informations sur les produits'!$A$3:$H$10000,8,FALSE),"0")</f>
        <v>0</v>
      </c>
      <c r="K6045" s="4"/>
      <c r="L6045" s="33" t="str">
        <f>IFERROR(VLOOKUP($J6045,'Informations sur les produits'!$A$3:$H$10000,8,FALSE),"0")</f>
        <v>0</v>
      </c>
      <c r="N6045" s="8"/>
      <c r="O6045" s="33" t="str">
        <f>IFERROR(VLOOKUP($M6045,'Informations sur les produits'!$A$3:$H$10000,8,FALSE),"0")</f>
        <v>0</v>
      </c>
      <c r="P6045" s="33">
        <f t="shared" si="376"/>
        <v>0</v>
      </c>
      <c r="Q6045" s="31" t="str">
        <f t="shared" si="377"/>
        <v/>
      </c>
      <c r="R6045" s="32" t="str">
        <f>IFERROR(VLOOKUP($D6045,'Informations sur les produits'!$A$3:$B$15000,2,FALSE),"")</f>
        <v/>
      </c>
      <c r="V6045">
        <f t="shared" si="378"/>
        <v>0</v>
      </c>
      <c r="W6045">
        <f t="shared" si="379"/>
        <v>0</v>
      </c>
    </row>
    <row r="6046" spans="5:23" x14ac:dyDescent="0.25">
      <c r="E6046" s="4"/>
      <c r="F6046" s="4"/>
      <c r="G6046" s="33" t="str">
        <f>IFERROR(VLOOKUP($D6046,'Informations sur les produits'!$A$3:$H$10000,8,FALSE),"0")</f>
        <v>0</v>
      </c>
      <c r="K6046" s="4"/>
      <c r="L6046" s="33" t="str">
        <f>IFERROR(VLOOKUP($J6046,'Informations sur les produits'!$A$3:$H$10000,8,FALSE),"0")</f>
        <v>0</v>
      </c>
      <c r="N6046" s="8"/>
      <c r="O6046" s="33" t="str">
        <f>IFERROR(VLOOKUP($M6046,'Informations sur les produits'!$A$3:$H$10000,8,FALSE),"0")</f>
        <v>0</v>
      </c>
      <c r="P6046" s="33">
        <f t="shared" si="376"/>
        <v>0</v>
      </c>
      <c r="Q6046" s="31" t="str">
        <f t="shared" si="377"/>
        <v/>
      </c>
      <c r="R6046" s="32" t="str">
        <f>IFERROR(VLOOKUP($D6046,'Informations sur les produits'!$A$3:$B$15000,2,FALSE),"")</f>
        <v/>
      </c>
      <c r="V6046">
        <f t="shared" si="378"/>
        <v>0</v>
      </c>
      <c r="W6046">
        <f t="shared" si="379"/>
        <v>0</v>
      </c>
    </row>
    <row r="6047" spans="5:23" x14ac:dyDescent="0.25">
      <c r="E6047" s="4"/>
      <c r="F6047" s="4"/>
      <c r="G6047" s="33" t="str">
        <f>IFERROR(VLOOKUP($D6047,'Informations sur les produits'!$A$3:$H$10000,8,FALSE),"0")</f>
        <v>0</v>
      </c>
      <c r="K6047" s="4"/>
      <c r="L6047" s="33" t="str">
        <f>IFERROR(VLOOKUP($J6047,'Informations sur les produits'!$A$3:$H$10000,8,FALSE),"0")</f>
        <v>0</v>
      </c>
      <c r="N6047" s="8"/>
      <c r="O6047" s="33" t="str">
        <f>IFERROR(VLOOKUP($M6047,'Informations sur les produits'!$A$3:$H$10000,8,FALSE),"0")</f>
        <v>0</v>
      </c>
      <c r="P6047" s="33">
        <f t="shared" si="376"/>
        <v>0</v>
      </c>
      <c r="Q6047" s="31" t="str">
        <f t="shared" si="377"/>
        <v/>
      </c>
      <c r="R6047" s="32" t="str">
        <f>IFERROR(VLOOKUP($D6047,'Informations sur les produits'!$A$3:$B$15000,2,FALSE),"")</f>
        <v/>
      </c>
      <c r="V6047">
        <f t="shared" si="378"/>
        <v>0</v>
      </c>
      <c r="W6047">
        <f t="shared" si="379"/>
        <v>0</v>
      </c>
    </row>
    <row r="6048" spans="5:23" x14ac:dyDescent="0.25">
      <c r="E6048" s="4"/>
      <c r="F6048" s="4"/>
      <c r="G6048" s="33" t="str">
        <f>IFERROR(VLOOKUP($D6048,'Informations sur les produits'!$A$3:$H$10000,8,FALSE),"0")</f>
        <v>0</v>
      </c>
      <c r="K6048" s="4"/>
      <c r="L6048" s="33" t="str">
        <f>IFERROR(VLOOKUP($J6048,'Informations sur les produits'!$A$3:$H$10000,8,FALSE),"0")</f>
        <v>0</v>
      </c>
      <c r="N6048" s="8"/>
      <c r="O6048" s="33" t="str">
        <f>IFERROR(VLOOKUP($M6048,'Informations sur les produits'!$A$3:$H$10000,8,FALSE),"0")</f>
        <v>0</v>
      </c>
      <c r="P6048" s="33">
        <f t="shared" si="376"/>
        <v>0</v>
      </c>
      <c r="Q6048" s="31" t="str">
        <f t="shared" si="377"/>
        <v/>
      </c>
      <c r="R6048" s="32" t="str">
        <f>IFERROR(VLOOKUP($D6048,'Informations sur les produits'!$A$3:$B$15000,2,FALSE),"")</f>
        <v/>
      </c>
      <c r="V6048">
        <f t="shared" si="378"/>
        <v>0</v>
      </c>
      <c r="W6048">
        <f t="shared" si="379"/>
        <v>0</v>
      </c>
    </row>
    <row r="6049" spans="5:23" x14ac:dyDescent="0.25">
      <c r="E6049" s="4"/>
      <c r="F6049" s="4"/>
      <c r="G6049" s="33" t="str">
        <f>IFERROR(VLOOKUP($D6049,'Informations sur les produits'!$A$3:$H$10000,8,FALSE),"0")</f>
        <v>0</v>
      </c>
      <c r="K6049" s="4"/>
      <c r="L6049" s="33" t="str">
        <f>IFERROR(VLOOKUP($J6049,'Informations sur les produits'!$A$3:$H$10000,8,FALSE),"0")</f>
        <v>0</v>
      </c>
      <c r="N6049" s="8"/>
      <c r="O6049" s="33" t="str">
        <f>IFERROR(VLOOKUP($M6049,'Informations sur les produits'!$A$3:$H$10000,8,FALSE),"0")</f>
        <v>0</v>
      </c>
      <c r="P6049" s="33">
        <f t="shared" si="376"/>
        <v>0</v>
      </c>
      <c r="Q6049" s="31" t="str">
        <f t="shared" si="377"/>
        <v/>
      </c>
      <c r="R6049" s="32" t="str">
        <f>IFERROR(VLOOKUP($D6049,'Informations sur les produits'!$A$3:$B$15000,2,FALSE),"")</f>
        <v/>
      </c>
      <c r="V6049">
        <f t="shared" si="378"/>
        <v>0</v>
      </c>
      <c r="W6049">
        <f t="shared" si="379"/>
        <v>0</v>
      </c>
    </row>
    <row r="6050" spans="5:23" x14ac:dyDescent="0.25">
      <c r="E6050" s="4"/>
      <c r="F6050" s="4"/>
      <c r="G6050" s="33" t="str">
        <f>IFERROR(VLOOKUP($D6050,'Informations sur les produits'!$A$3:$H$10000,8,FALSE),"0")</f>
        <v>0</v>
      </c>
      <c r="K6050" s="4"/>
      <c r="L6050" s="33" t="str">
        <f>IFERROR(VLOOKUP($J6050,'Informations sur les produits'!$A$3:$H$10000,8,FALSE),"0")</f>
        <v>0</v>
      </c>
      <c r="N6050" s="8"/>
      <c r="O6050" s="33" t="str">
        <f>IFERROR(VLOOKUP($M6050,'Informations sur les produits'!$A$3:$H$10000,8,FALSE),"0")</f>
        <v>0</v>
      </c>
      <c r="P6050" s="33">
        <f t="shared" si="376"/>
        <v>0</v>
      </c>
      <c r="Q6050" s="31" t="str">
        <f t="shared" si="377"/>
        <v/>
      </c>
      <c r="R6050" s="32" t="str">
        <f>IFERROR(VLOOKUP($D6050,'Informations sur les produits'!$A$3:$B$15000,2,FALSE),"")</f>
        <v/>
      </c>
      <c r="V6050">
        <f t="shared" si="378"/>
        <v>0</v>
      </c>
      <c r="W6050">
        <f t="shared" si="379"/>
        <v>0</v>
      </c>
    </row>
    <row r="6051" spans="5:23" x14ac:dyDescent="0.25">
      <c r="E6051" s="4"/>
      <c r="F6051" s="4"/>
      <c r="G6051" s="33" t="str">
        <f>IFERROR(VLOOKUP($D6051,'Informations sur les produits'!$A$3:$H$10000,8,FALSE),"0")</f>
        <v>0</v>
      </c>
      <c r="K6051" s="4"/>
      <c r="L6051" s="33" t="str">
        <f>IFERROR(VLOOKUP($J6051,'Informations sur les produits'!$A$3:$H$10000,8,FALSE),"0")</f>
        <v>0</v>
      </c>
      <c r="N6051" s="8"/>
      <c r="O6051" s="33" t="str">
        <f>IFERROR(VLOOKUP($M6051,'Informations sur les produits'!$A$3:$H$10000,8,FALSE),"0")</f>
        <v>0</v>
      </c>
      <c r="P6051" s="33">
        <f t="shared" si="376"/>
        <v>0</v>
      </c>
      <c r="Q6051" s="31" t="str">
        <f t="shared" si="377"/>
        <v/>
      </c>
      <c r="R6051" s="32" t="str">
        <f>IFERROR(VLOOKUP($D6051,'Informations sur les produits'!$A$3:$B$15000,2,FALSE),"")</f>
        <v/>
      </c>
      <c r="V6051">
        <f t="shared" si="378"/>
        <v>0</v>
      </c>
      <c r="W6051">
        <f t="shared" si="379"/>
        <v>0</v>
      </c>
    </row>
    <row r="6052" spans="5:23" x14ac:dyDescent="0.25">
      <c r="E6052" s="4"/>
      <c r="F6052" s="4"/>
      <c r="G6052" s="33" t="str">
        <f>IFERROR(VLOOKUP($D6052,'Informations sur les produits'!$A$3:$H$10000,8,FALSE),"0")</f>
        <v>0</v>
      </c>
      <c r="K6052" s="4"/>
      <c r="L6052" s="33" t="str">
        <f>IFERROR(VLOOKUP($J6052,'Informations sur les produits'!$A$3:$H$10000,8,FALSE),"0")</f>
        <v>0</v>
      </c>
      <c r="N6052" s="8"/>
      <c r="O6052" s="33" t="str">
        <f>IFERROR(VLOOKUP($M6052,'Informations sur les produits'!$A$3:$H$10000,8,FALSE),"0")</f>
        <v>0</v>
      </c>
      <c r="P6052" s="33">
        <f t="shared" si="376"/>
        <v>0</v>
      </c>
      <c r="Q6052" s="31" t="str">
        <f t="shared" si="377"/>
        <v/>
      </c>
      <c r="R6052" s="32" t="str">
        <f>IFERROR(VLOOKUP($D6052,'Informations sur les produits'!$A$3:$B$15000,2,FALSE),"")</f>
        <v/>
      </c>
      <c r="V6052">
        <f t="shared" si="378"/>
        <v>0</v>
      </c>
      <c r="W6052">
        <f t="shared" si="379"/>
        <v>0</v>
      </c>
    </row>
    <row r="6053" spans="5:23" x14ac:dyDescent="0.25">
      <c r="E6053" s="4"/>
      <c r="F6053" s="4"/>
      <c r="G6053" s="33" t="str">
        <f>IFERROR(VLOOKUP($D6053,'Informations sur les produits'!$A$3:$H$10000,8,FALSE),"0")</f>
        <v>0</v>
      </c>
      <c r="K6053" s="4"/>
      <c r="L6053" s="33" t="str">
        <f>IFERROR(VLOOKUP($J6053,'Informations sur les produits'!$A$3:$H$10000,8,FALSE),"0")</f>
        <v>0</v>
      </c>
      <c r="N6053" s="8"/>
      <c r="O6053" s="33" t="str">
        <f>IFERROR(VLOOKUP($M6053,'Informations sur les produits'!$A$3:$H$10000,8,FALSE),"0")</f>
        <v>0</v>
      </c>
      <c r="P6053" s="33">
        <f t="shared" si="376"/>
        <v>0</v>
      </c>
      <c r="Q6053" s="31" t="str">
        <f t="shared" si="377"/>
        <v/>
      </c>
      <c r="R6053" s="32" t="str">
        <f>IFERROR(VLOOKUP($D6053,'Informations sur les produits'!$A$3:$B$15000,2,FALSE),"")</f>
        <v/>
      </c>
      <c r="V6053">
        <f t="shared" si="378"/>
        <v>0</v>
      </c>
      <c r="W6053">
        <f t="shared" si="379"/>
        <v>0</v>
      </c>
    </row>
    <row r="6054" spans="5:23" x14ac:dyDescent="0.25">
      <c r="E6054" s="4"/>
      <c r="F6054" s="4"/>
      <c r="G6054" s="33" t="str">
        <f>IFERROR(VLOOKUP($D6054,'Informations sur les produits'!$A$3:$H$10000,8,FALSE),"0")</f>
        <v>0</v>
      </c>
      <c r="K6054" s="4"/>
      <c r="L6054" s="33" t="str">
        <f>IFERROR(VLOOKUP($J6054,'Informations sur les produits'!$A$3:$H$10000,8,FALSE),"0")</f>
        <v>0</v>
      </c>
      <c r="N6054" s="8"/>
      <c r="O6054" s="33" t="str">
        <f>IFERROR(VLOOKUP($M6054,'Informations sur les produits'!$A$3:$H$10000,8,FALSE),"0")</f>
        <v>0</v>
      </c>
      <c r="P6054" s="33">
        <f t="shared" si="376"/>
        <v>0</v>
      </c>
      <c r="Q6054" s="31" t="str">
        <f t="shared" si="377"/>
        <v/>
      </c>
      <c r="R6054" s="32" t="str">
        <f>IFERROR(VLOOKUP($D6054,'Informations sur les produits'!$A$3:$B$15000,2,FALSE),"")</f>
        <v/>
      </c>
      <c r="V6054">
        <f t="shared" si="378"/>
        <v>0</v>
      </c>
      <c r="W6054">
        <f t="shared" si="379"/>
        <v>0</v>
      </c>
    </row>
    <row r="6055" spans="5:23" x14ac:dyDescent="0.25">
      <c r="E6055" s="4"/>
      <c r="F6055" s="4"/>
      <c r="G6055" s="33" t="str">
        <f>IFERROR(VLOOKUP($D6055,'Informations sur les produits'!$A$3:$H$10000,8,FALSE),"0")</f>
        <v>0</v>
      </c>
      <c r="K6055" s="4"/>
      <c r="L6055" s="33" t="str">
        <f>IFERROR(VLOOKUP($J6055,'Informations sur les produits'!$A$3:$H$10000,8,FALSE),"0")</f>
        <v>0</v>
      </c>
      <c r="N6055" s="8"/>
      <c r="O6055" s="33" t="str">
        <f>IFERROR(VLOOKUP($M6055,'Informations sur les produits'!$A$3:$H$10000,8,FALSE),"0")</f>
        <v>0</v>
      </c>
      <c r="P6055" s="33">
        <f t="shared" si="376"/>
        <v>0</v>
      </c>
      <c r="Q6055" s="31" t="str">
        <f t="shared" si="377"/>
        <v/>
      </c>
      <c r="R6055" s="32" t="str">
        <f>IFERROR(VLOOKUP($D6055,'Informations sur les produits'!$A$3:$B$15000,2,FALSE),"")</f>
        <v/>
      </c>
      <c r="V6055">
        <f t="shared" si="378"/>
        <v>0</v>
      </c>
      <c r="W6055">
        <f t="shared" si="379"/>
        <v>0</v>
      </c>
    </row>
    <row r="6056" spans="5:23" x14ac:dyDescent="0.25">
      <c r="E6056" s="4"/>
      <c r="F6056" s="4"/>
      <c r="G6056" s="33" t="str">
        <f>IFERROR(VLOOKUP($D6056,'Informations sur les produits'!$A$3:$H$10000,8,FALSE),"0")</f>
        <v>0</v>
      </c>
      <c r="K6056" s="4"/>
      <c r="L6056" s="33" t="str">
        <f>IFERROR(VLOOKUP($J6056,'Informations sur les produits'!$A$3:$H$10000,8,FALSE),"0")</f>
        <v>0</v>
      </c>
      <c r="N6056" s="8"/>
      <c r="O6056" s="33" t="str">
        <f>IFERROR(VLOOKUP($M6056,'Informations sur les produits'!$A$3:$H$10000,8,FALSE),"0")</f>
        <v>0</v>
      </c>
      <c r="P6056" s="33">
        <f t="shared" si="376"/>
        <v>0</v>
      </c>
      <c r="Q6056" s="31" t="str">
        <f t="shared" si="377"/>
        <v/>
      </c>
      <c r="R6056" s="32" t="str">
        <f>IFERROR(VLOOKUP($D6056,'Informations sur les produits'!$A$3:$B$15000,2,FALSE),"")</f>
        <v/>
      </c>
      <c r="V6056">
        <f t="shared" si="378"/>
        <v>0</v>
      </c>
      <c r="W6056">
        <f t="shared" si="379"/>
        <v>0</v>
      </c>
    </row>
    <row r="6057" spans="5:23" x14ac:dyDescent="0.25">
      <c r="E6057" s="4"/>
      <c r="F6057" s="4"/>
      <c r="G6057" s="33" t="str">
        <f>IFERROR(VLOOKUP($D6057,'Informations sur les produits'!$A$3:$H$10000,8,FALSE),"0")</f>
        <v>0</v>
      </c>
      <c r="K6057" s="4"/>
      <c r="L6057" s="33" t="str">
        <f>IFERROR(VLOOKUP($J6057,'Informations sur les produits'!$A$3:$H$10000,8,FALSE),"0")</f>
        <v>0</v>
      </c>
      <c r="N6057" s="8"/>
      <c r="O6057" s="33" t="str">
        <f>IFERROR(VLOOKUP($M6057,'Informations sur les produits'!$A$3:$H$10000,8,FALSE),"0")</f>
        <v>0</v>
      </c>
      <c r="P6057" s="33">
        <f t="shared" si="376"/>
        <v>0</v>
      </c>
      <c r="Q6057" s="31" t="str">
        <f t="shared" si="377"/>
        <v/>
      </c>
      <c r="R6057" s="32" t="str">
        <f>IFERROR(VLOOKUP($D6057,'Informations sur les produits'!$A$3:$B$15000,2,FALSE),"")</f>
        <v/>
      </c>
      <c r="V6057">
        <f t="shared" si="378"/>
        <v>0</v>
      </c>
      <c r="W6057">
        <f t="shared" si="379"/>
        <v>0</v>
      </c>
    </row>
    <row r="6058" spans="5:23" x14ac:dyDescent="0.25">
      <c r="E6058" s="4"/>
      <c r="F6058" s="4"/>
      <c r="G6058" s="33" t="str">
        <f>IFERROR(VLOOKUP($D6058,'Informations sur les produits'!$A$3:$H$10000,8,FALSE),"0")</f>
        <v>0</v>
      </c>
      <c r="K6058" s="4"/>
      <c r="L6058" s="33" t="str">
        <f>IFERROR(VLOOKUP($J6058,'Informations sur les produits'!$A$3:$H$10000,8,FALSE),"0")</f>
        <v>0</v>
      </c>
      <c r="N6058" s="8"/>
      <c r="O6058" s="33" t="str">
        <f>IFERROR(VLOOKUP($M6058,'Informations sur les produits'!$A$3:$H$10000,8,FALSE),"0")</f>
        <v>0</v>
      </c>
      <c r="P6058" s="33">
        <f t="shared" si="376"/>
        <v>0</v>
      </c>
      <c r="Q6058" s="31" t="str">
        <f t="shared" si="377"/>
        <v/>
      </c>
      <c r="R6058" s="32" t="str">
        <f>IFERROR(VLOOKUP($D6058,'Informations sur les produits'!$A$3:$B$15000,2,FALSE),"")</f>
        <v/>
      </c>
      <c r="V6058">
        <f t="shared" si="378"/>
        <v>0</v>
      </c>
      <c r="W6058">
        <f t="shared" si="379"/>
        <v>0</v>
      </c>
    </row>
    <row r="6059" spans="5:23" x14ac:dyDescent="0.25">
      <c r="E6059" s="4"/>
      <c r="F6059" s="4"/>
      <c r="G6059" s="33" t="str">
        <f>IFERROR(VLOOKUP($D6059,'Informations sur les produits'!$A$3:$H$10000,8,FALSE),"0")</f>
        <v>0</v>
      </c>
      <c r="K6059" s="4"/>
      <c r="L6059" s="33" t="str">
        <f>IFERROR(VLOOKUP($J6059,'Informations sur les produits'!$A$3:$H$10000,8,FALSE),"0")</f>
        <v>0</v>
      </c>
      <c r="N6059" s="8"/>
      <c r="O6059" s="33" t="str">
        <f>IFERROR(VLOOKUP($M6059,'Informations sur les produits'!$A$3:$H$10000,8,FALSE),"0")</f>
        <v>0</v>
      </c>
      <c r="P6059" s="33">
        <f t="shared" si="376"/>
        <v>0</v>
      </c>
      <c r="Q6059" s="31" t="str">
        <f t="shared" si="377"/>
        <v/>
      </c>
      <c r="R6059" s="32" t="str">
        <f>IFERROR(VLOOKUP($D6059,'Informations sur les produits'!$A$3:$B$15000,2,FALSE),"")</f>
        <v/>
      </c>
      <c r="V6059">
        <f t="shared" si="378"/>
        <v>0</v>
      </c>
      <c r="W6059">
        <f t="shared" si="379"/>
        <v>0</v>
      </c>
    </row>
    <row r="6060" spans="5:23" x14ac:dyDescent="0.25">
      <c r="E6060" s="4"/>
      <c r="F6060" s="4"/>
      <c r="G6060" s="33" t="str">
        <f>IFERROR(VLOOKUP($D6060,'Informations sur les produits'!$A$3:$H$10000,8,FALSE),"0")</f>
        <v>0</v>
      </c>
      <c r="K6060" s="4"/>
      <c r="L6060" s="33" t="str">
        <f>IFERROR(VLOOKUP($J6060,'Informations sur les produits'!$A$3:$H$10000,8,FALSE),"0")</f>
        <v>0</v>
      </c>
      <c r="N6060" s="8"/>
      <c r="O6060" s="33" t="str">
        <f>IFERROR(VLOOKUP($M6060,'Informations sur les produits'!$A$3:$H$10000,8,FALSE),"0")</f>
        <v>0</v>
      </c>
      <c r="P6060" s="33">
        <f t="shared" si="376"/>
        <v>0</v>
      </c>
      <c r="Q6060" s="31" t="str">
        <f t="shared" si="377"/>
        <v/>
      </c>
      <c r="R6060" s="32" t="str">
        <f>IFERROR(VLOOKUP($D6060,'Informations sur les produits'!$A$3:$B$15000,2,FALSE),"")</f>
        <v/>
      </c>
      <c r="V6060">
        <f t="shared" si="378"/>
        <v>0</v>
      </c>
      <c r="W6060">
        <f t="shared" si="379"/>
        <v>0</v>
      </c>
    </row>
    <row r="6061" spans="5:23" x14ac:dyDescent="0.25">
      <c r="E6061" s="4"/>
      <c r="F6061" s="4"/>
      <c r="G6061" s="33" t="str">
        <f>IFERROR(VLOOKUP($D6061,'Informations sur les produits'!$A$3:$H$10000,8,FALSE),"0")</f>
        <v>0</v>
      </c>
      <c r="K6061" s="4"/>
      <c r="L6061" s="33" t="str">
        <f>IFERROR(VLOOKUP($J6061,'Informations sur les produits'!$A$3:$H$10000,8,FALSE),"0")</f>
        <v>0</v>
      </c>
      <c r="N6061" s="8"/>
      <c r="O6061" s="33" t="str">
        <f>IFERROR(VLOOKUP($M6061,'Informations sur les produits'!$A$3:$H$10000,8,FALSE),"0")</f>
        <v>0</v>
      </c>
      <c r="P6061" s="33">
        <f t="shared" si="376"/>
        <v>0</v>
      </c>
      <c r="Q6061" s="31" t="str">
        <f t="shared" si="377"/>
        <v/>
      </c>
      <c r="R6061" s="32" t="str">
        <f>IFERROR(VLOOKUP($D6061,'Informations sur les produits'!$A$3:$B$15000,2,FALSE),"")</f>
        <v/>
      </c>
      <c r="V6061">
        <f t="shared" si="378"/>
        <v>0</v>
      </c>
      <c r="W6061">
        <f t="shared" si="379"/>
        <v>0</v>
      </c>
    </row>
    <row r="6062" spans="5:23" x14ac:dyDescent="0.25">
      <c r="E6062" s="4"/>
      <c r="F6062" s="4"/>
      <c r="G6062" s="33" t="str">
        <f>IFERROR(VLOOKUP($D6062,'Informations sur les produits'!$A$3:$H$10000,8,FALSE),"0")</f>
        <v>0</v>
      </c>
      <c r="K6062" s="4"/>
      <c r="L6062" s="33" t="str">
        <f>IFERROR(VLOOKUP($J6062,'Informations sur les produits'!$A$3:$H$10000,8,FALSE),"0")</f>
        <v>0</v>
      </c>
      <c r="N6062" s="8"/>
      <c r="O6062" s="33" t="str">
        <f>IFERROR(VLOOKUP($M6062,'Informations sur les produits'!$A$3:$H$10000,8,FALSE),"0")</f>
        <v>0</v>
      </c>
      <c r="P6062" s="33">
        <f t="shared" si="376"/>
        <v>0</v>
      </c>
      <c r="Q6062" s="31" t="str">
        <f t="shared" si="377"/>
        <v/>
      </c>
      <c r="R6062" s="32" t="str">
        <f>IFERROR(VLOOKUP($D6062,'Informations sur les produits'!$A$3:$B$15000,2,FALSE),"")</f>
        <v/>
      </c>
      <c r="V6062">
        <f t="shared" si="378"/>
        <v>0</v>
      </c>
      <c r="W6062">
        <f t="shared" si="379"/>
        <v>0</v>
      </c>
    </row>
    <row r="6063" spans="5:23" x14ac:dyDescent="0.25">
      <c r="E6063" s="4"/>
      <c r="F6063" s="4"/>
      <c r="G6063" s="33" t="str">
        <f>IFERROR(VLOOKUP($D6063,'Informations sur les produits'!$A$3:$H$10000,8,FALSE),"0")</f>
        <v>0</v>
      </c>
      <c r="K6063" s="4"/>
      <c r="L6063" s="33" t="str">
        <f>IFERROR(VLOOKUP($J6063,'Informations sur les produits'!$A$3:$H$10000,8,FALSE),"0")</f>
        <v>0</v>
      </c>
      <c r="N6063" s="8"/>
      <c r="O6063" s="33" t="str">
        <f>IFERROR(VLOOKUP($M6063,'Informations sur les produits'!$A$3:$H$10000,8,FALSE),"0")</f>
        <v>0</v>
      </c>
      <c r="P6063" s="33">
        <f t="shared" si="376"/>
        <v>0</v>
      </c>
      <c r="Q6063" s="31" t="str">
        <f t="shared" si="377"/>
        <v/>
      </c>
      <c r="R6063" s="32" t="str">
        <f>IFERROR(VLOOKUP($D6063,'Informations sur les produits'!$A$3:$B$15000,2,FALSE),"")</f>
        <v/>
      </c>
      <c r="V6063">
        <f t="shared" si="378"/>
        <v>0</v>
      </c>
      <c r="W6063">
        <f t="shared" si="379"/>
        <v>0</v>
      </c>
    </row>
    <row r="6064" spans="5:23" x14ac:dyDescent="0.25">
      <c r="E6064" s="4"/>
      <c r="F6064" s="4"/>
      <c r="G6064" s="33" t="str">
        <f>IFERROR(VLOOKUP($D6064,'Informations sur les produits'!$A$3:$H$10000,8,FALSE),"0")</f>
        <v>0</v>
      </c>
      <c r="K6064" s="4"/>
      <c r="L6064" s="33" t="str">
        <f>IFERROR(VLOOKUP($J6064,'Informations sur les produits'!$A$3:$H$10000,8,FALSE),"0")</f>
        <v>0</v>
      </c>
      <c r="N6064" s="8"/>
      <c r="O6064" s="33" t="str">
        <f>IFERROR(VLOOKUP($M6064,'Informations sur les produits'!$A$3:$H$10000,8,FALSE),"0")</f>
        <v>0</v>
      </c>
      <c r="P6064" s="33">
        <f t="shared" si="376"/>
        <v>0</v>
      </c>
      <c r="Q6064" s="31" t="str">
        <f t="shared" si="377"/>
        <v/>
      </c>
      <c r="R6064" s="32" t="str">
        <f>IFERROR(VLOOKUP($D6064,'Informations sur les produits'!$A$3:$B$15000,2,FALSE),"")</f>
        <v/>
      </c>
      <c r="V6064">
        <f t="shared" si="378"/>
        <v>0</v>
      </c>
      <c r="W6064">
        <f t="shared" si="379"/>
        <v>0</v>
      </c>
    </row>
    <row r="6065" spans="5:23" x14ac:dyDescent="0.25">
      <c r="E6065" s="4"/>
      <c r="F6065" s="4"/>
      <c r="G6065" s="33" t="str">
        <f>IFERROR(VLOOKUP($D6065,'Informations sur les produits'!$A$3:$H$10000,8,FALSE),"0")</f>
        <v>0</v>
      </c>
      <c r="K6065" s="4"/>
      <c r="L6065" s="33" t="str">
        <f>IFERROR(VLOOKUP($J6065,'Informations sur les produits'!$A$3:$H$10000,8,FALSE),"0")</f>
        <v>0</v>
      </c>
      <c r="N6065" s="8"/>
      <c r="O6065" s="33" t="str">
        <f>IFERROR(VLOOKUP($M6065,'Informations sur les produits'!$A$3:$H$10000,8,FALSE),"0")</f>
        <v>0</v>
      </c>
      <c r="P6065" s="33">
        <f t="shared" si="376"/>
        <v>0</v>
      </c>
      <c r="Q6065" s="31" t="str">
        <f t="shared" si="377"/>
        <v/>
      </c>
      <c r="R6065" s="32" t="str">
        <f>IFERROR(VLOOKUP($D6065,'Informations sur les produits'!$A$3:$B$15000,2,FALSE),"")</f>
        <v/>
      </c>
      <c r="V6065">
        <f t="shared" si="378"/>
        <v>0</v>
      </c>
      <c r="W6065">
        <f t="shared" si="379"/>
        <v>0</v>
      </c>
    </row>
    <row r="6066" spans="5:23" x14ac:dyDescent="0.25">
      <c r="E6066" s="4"/>
      <c r="F6066" s="4"/>
      <c r="G6066" s="33" t="str">
        <f>IFERROR(VLOOKUP($D6066,'Informations sur les produits'!$A$3:$H$10000,8,FALSE),"0")</f>
        <v>0</v>
      </c>
      <c r="K6066" s="4"/>
      <c r="L6066" s="33" t="str">
        <f>IFERROR(VLOOKUP($J6066,'Informations sur les produits'!$A$3:$H$10000,8,FALSE),"0")</f>
        <v>0</v>
      </c>
      <c r="N6066" s="8"/>
      <c r="O6066" s="33" t="str">
        <f>IFERROR(VLOOKUP($M6066,'Informations sur les produits'!$A$3:$H$10000,8,FALSE),"0")</f>
        <v>0</v>
      </c>
      <c r="P6066" s="33">
        <f t="shared" si="376"/>
        <v>0</v>
      </c>
      <c r="Q6066" s="31" t="str">
        <f t="shared" si="377"/>
        <v/>
      </c>
      <c r="R6066" s="32" t="str">
        <f>IFERROR(VLOOKUP($D6066,'Informations sur les produits'!$A$3:$B$15000,2,FALSE),"")</f>
        <v/>
      </c>
      <c r="V6066">
        <f t="shared" si="378"/>
        <v>0</v>
      </c>
      <c r="W6066">
        <f t="shared" si="379"/>
        <v>0</v>
      </c>
    </row>
    <row r="6067" spans="5:23" x14ac:dyDescent="0.25">
      <c r="E6067" s="4"/>
      <c r="F6067" s="4"/>
      <c r="G6067" s="33" t="str">
        <f>IFERROR(VLOOKUP($D6067,'Informations sur les produits'!$A$3:$H$10000,8,FALSE),"0")</f>
        <v>0</v>
      </c>
      <c r="K6067" s="4"/>
      <c r="L6067" s="33" t="str">
        <f>IFERROR(VLOOKUP($J6067,'Informations sur les produits'!$A$3:$H$10000,8,FALSE),"0")</f>
        <v>0</v>
      </c>
      <c r="N6067" s="8"/>
      <c r="O6067" s="33" t="str">
        <f>IFERROR(VLOOKUP($M6067,'Informations sur les produits'!$A$3:$H$10000,8,FALSE),"0")</f>
        <v>0</v>
      </c>
      <c r="P6067" s="33">
        <f t="shared" si="376"/>
        <v>0</v>
      </c>
      <c r="Q6067" s="31" t="str">
        <f t="shared" si="377"/>
        <v/>
      </c>
      <c r="R6067" s="32" t="str">
        <f>IFERROR(VLOOKUP($D6067,'Informations sur les produits'!$A$3:$B$15000,2,FALSE),"")</f>
        <v/>
      </c>
      <c r="V6067">
        <f t="shared" si="378"/>
        <v>0</v>
      </c>
      <c r="W6067">
        <f t="shared" si="379"/>
        <v>0</v>
      </c>
    </row>
    <row r="6068" spans="5:23" x14ac:dyDescent="0.25">
      <c r="E6068" s="4"/>
      <c r="F6068" s="4"/>
      <c r="G6068" s="33" t="str">
        <f>IFERROR(VLOOKUP($D6068,'Informations sur les produits'!$A$3:$H$10000,8,FALSE),"0")</f>
        <v>0</v>
      </c>
      <c r="K6068" s="4"/>
      <c r="L6068" s="33" t="str">
        <f>IFERROR(VLOOKUP($J6068,'Informations sur les produits'!$A$3:$H$10000,8,FALSE),"0")</f>
        <v>0</v>
      </c>
      <c r="N6068" s="8"/>
      <c r="O6068" s="33" t="str">
        <f>IFERROR(VLOOKUP($M6068,'Informations sur les produits'!$A$3:$H$10000,8,FALSE),"0")</f>
        <v>0</v>
      </c>
      <c r="P6068" s="33">
        <f t="shared" si="376"/>
        <v>0</v>
      </c>
      <c r="Q6068" s="31" t="str">
        <f t="shared" si="377"/>
        <v/>
      </c>
      <c r="R6068" s="32" t="str">
        <f>IFERROR(VLOOKUP($D6068,'Informations sur les produits'!$A$3:$B$15000,2,FALSE),"")</f>
        <v/>
      </c>
      <c r="V6068">
        <f t="shared" si="378"/>
        <v>0</v>
      </c>
      <c r="W6068">
        <f t="shared" si="379"/>
        <v>0</v>
      </c>
    </row>
    <row r="6069" spans="5:23" x14ac:dyDescent="0.25">
      <c r="E6069" s="4"/>
      <c r="F6069" s="4"/>
      <c r="G6069" s="33" t="str">
        <f>IFERROR(VLOOKUP($D6069,'Informations sur les produits'!$A$3:$H$10000,8,FALSE),"0")</f>
        <v>0</v>
      </c>
      <c r="K6069" s="4"/>
      <c r="L6069" s="33" t="str">
        <f>IFERROR(VLOOKUP($J6069,'Informations sur les produits'!$A$3:$H$10000,8,FALSE),"0")</f>
        <v>0</v>
      </c>
      <c r="N6069" s="8"/>
      <c r="O6069" s="33" t="str">
        <f>IFERROR(VLOOKUP($M6069,'Informations sur les produits'!$A$3:$H$10000,8,FALSE),"0")</f>
        <v>0</v>
      </c>
      <c r="P6069" s="33">
        <f t="shared" si="376"/>
        <v>0</v>
      </c>
      <c r="Q6069" s="31" t="str">
        <f t="shared" si="377"/>
        <v/>
      </c>
      <c r="R6069" s="32" t="str">
        <f>IFERROR(VLOOKUP($D6069,'Informations sur les produits'!$A$3:$B$15000,2,FALSE),"")</f>
        <v/>
      </c>
      <c r="V6069">
        <f t="shared" si="378"/>
        <v>0</v>
      </c>
      <c r="W6069">
        <f t="shared" si="379"/>
        <v>0</v>
      </c>
    </row>
    <row r="6070" spans="5:23" x14ac:dyDescent="0.25">
      <c r="E6070" s="4"/>
      <c r="F6070" s="4"/>
      <c r="G6070" s="33" t="str">
        <f>IFERROR(VLOOKUP($D6070,'Informations sur les produits'!$A$3:$H$10000,8,FALSE),"0")</f>
        <v>0</v>
      </c>
      <c r="K6070" s="4"/>
      <c r="L6070" s="33" t="str">
        <f>IFERROR(VLOOKUP($J6070,'Informations sur les produits'!$A$3:$H$10000,8,FALSE),"0")</f>
        <v>0</v>
      </c>
      <c r="N6070" s="8"/>
      <c r="O6070" s="33" t="str">
        <f>IFERROR(VLOOKUP($M6070,'Informations sur les produits'!$A$3:$H$10000,8,FALSE),"0")</f>
        <v>0</v>
      </c>
      <c r="P6070" s="33">
        <f t="shared" si="376"/>
        <v>0</v>
      </c>
      <c r="Q6070" s="31" t="str">
        <f t="shared" si="377"/>
        <v/>
      </c>
      <c r="R6070" s="32" t="str">
        <f>IFERROR(VLOOKUP($D6070,'Informations sur les produits'!$A$3:$B$15000,2,FALSE),"")</f>
        <v/>
      </c>
      <c r="V6070">
        <f t="shared" si="378"/>
        <v>0</v>
      </c>
      <c r="W6070">
        <f t="shared" si="379"/>
        <v>0</v>
      </c>
    </row>
    <row r="6071" spans="5:23" x14ac:dyDescent="0.25">
      <c r="E6071" s="4"/>
      <c r="F6071" s="4"/>
      <c r="G6071" s="33" t="str">
        <f>IFERROR(VLOOKUP($D6071,'Informations sur les produits'!$A$3:$H$10000,8,FALSE),"0")</f>
        <v>0</v>
      </c>
      <c r="K6071" s="4"/>
      <c r="L6071" s="33" t="str">
        <f>IFERROR(VLOOKUP($J6071,'Informations sur les produits'!$A$3:$H$10000,8,FALSE),"0")</f>
        <v>0</v>
      </c>
      <c r="N6071" s="8"/>
      <c r="O6071" s="33" t="str">
        <f>IFERROR(VLOOKUP($M6071,'Informations sur les produits'!$A$3:$H$10000,8,FALSE),"0")</f>
        <v>0</v>
      </c>
      <c r="P6071" s="33">
        <f t="shared" si="376"/>
        <v>0</v>
      </c>
      <c r="Q6071" s="31" t="str">
        <f t="shared" si="377"/>
        <v/>
      </c>
      <c r="R6071" s="32" t="str">
        <f>IFERROR(VLOOKUP($D6071,'Informations sur les produits'!$A$3:$B$15000,2,FALSE),"")</f>
        <v/>
      </c>
      <c r="V6071">
        <f t="shared" si="378"/>
        <v>0</v>
      </c>
      <c r="W6071">
        <f t="shared" si="379"/>
        <v>0</v>
      </c>
    </row>
    <row r="6072" spans="5:23" x14ac:dyDescent="0.25">
      <c r="E6072" s="4"/>
      <c r="F6072" s="4"/>
      <c r="G6072" s="33" t="str">
        <f>IFERROR(VLOOKUP($D6072,'Informations sur les produits'!$A$3:$H$10000,8,FALSE),"0")</f>
        <v>0</v>
      </c>
      <c r="K6072" s="4"/>
      <c r="L6072" s="33" t="str">
        <f>IFERROR(VLOOKUP($J6072,'Informations sur les produits'!$A$3:$H$10000,8,FALSE),"0")</f>
        <v>0</v>
      </c>
      <c r="N6072" s="8"/>
      <c r="O6072" s="33" t="str">
        <f>IFERROR(VLOOKUP($M6072,'Informations sur les produits'!$A$3:$H$10000,8,FALSE),"0")</f>
        <v>0</v>
      </c>
      <c r="P6072" s="33">
        <f t="shared" si="376"/>
        <v>0</v>
      </c>
      <c r="Q6072" s="31" t="str">
        <f t="shared" si="377"/>
        <v/>
      </c>
      <c r="R6072" s="32" t="str">
        <f>IFERROR(VLOOKUP($D6072,'Informations sur les produits'!$A$3:$B$15000,2,FALSE),"")</f>
        <v/>
      </c>
      <c r="V6072">
        <f t="shared" si="378"/>
        <v>0</v>
      </c>
      <c r="W6072">
        <f t="shared" si="379"/>
        <v>0</v>
      </c>
    </row>
    <row r="6073" spans="5:23" x14ac:dyDescent="0.25">
      <c r="E6073" s="4"/>
      <c r="F6073" s="4"/>
      <c r="G6073" s="33" t="str">
        <f>IFERROR(VLOOKUP($D6073,'Informations sur les produits'!$A$3:$H$10000,8,FALSE),"0")</f>
        <v>0</v>
      </c>
      <c r="K6073" s="4"/>
      <c r="L6073" s="33" t="str">
        <f>IFERROR(VLOOKUP($J6073,'Informations sur les produits'!$A$3:$H$10000,8,FALSE),"0")</f>
        <v>0</v>
      </c>
      <c r="N6073" s="8"/>
      <c r="O6073" s="33" t="str">
        <f>IFERROR(VLOOKUP($M6073,'Informations sur les produits'!$A$3:$H$10000,8,FALSE),"0")</f>
        <v>0</v>
      </c>
      <c r="P6073" s="33">
        <f t="shared" si="376"/>
        <v>0</v>
      </c>
      <c r="Q6073" s="31" t="str">
        <f t="shared" si="377"/>
        <v/>
      </c>
      <c r="R6073" s="32" t="str">
        <f>IFERROR(VLOOKUP($D6073,'Informations sur les produits'!$A$3:$B$15000,2,FALSE),"")</f>
        <v/>
      </c>
      <c r="V6073">
        <f t="shared" si="378"/>
        <v>0</v>
      </c>
      <c r="W6073">
        <f t="shared" si="379"/>
        <v>0</v>
      </c>
    </row>
    <row r="6074" spans="5:23" x14ac:dyDescent="0.25">
      <c r="E6074" s="4"/>
      <c r="F6074" s="4"/>
      <c r="G6074" s="33" t="str">
        <f>IFERROR(VLOOKUP($D6074,'Informations sur les produits'!$A$3:$H$10000,8,FALSE),"0")</f>
        <v>0</v>
      </c>
      <c r="K6074" s="4"/>
      <c r="L6074" s="33" t="str">
        <f>IFERROR(VLOOKUP($J6074,'Informations sur les produits'!$A$3:$H$10000,8,FALSE),"0")</f>
        <v>0</v>
      </c>
      <c r="N6074" s="8"/>
      <c r="O6074" s="33" t="str">
        <f>IFERROR(VLOOKUP($M6074,'Informations sur les produits'!$A$3:$H$10000,8,FALSE),"0")</f>
        <v>0</v>
      </c>
      <c r="P6074" s="33">
        <f t="shared" si="376"/>
        <v>0</v>
      </c>
      <c r="Q6074" s="31" t="str">
        <f t="shared" si="377"/>
        <v/>
      </c>
      <c r="R6074" s="32" t="str">
        <f>IFERROR(VLOOKUP($D6074,'Informations sur les produits'!$A$3:$B$15000,2,FALSE),"")</f>
        <v/>
      </c>
      <c r="V6074">
        <f t="shared" si="378"/>
        <v>0</v>
      </c>
      <c r="W6074">
        <f t="shared" si="379"/>
        <v>0</v>
      </c>
    </row>
    <row r="6075" spans="5:23" x14ac:dyDescent="0.25">
      <c r="E6075" s="4"/>
      <c r="F6075" s="4"/>
      <c r="G6075" s="33" t="str">
        <f>IFERROR(VLOOKUP($D6075,'Informations sur les produits'!$A$3:$H$10000,8,FALSE),"0")</f>
        <v>0</v>
      </c>
      <c r="K6075" s="4"/>
      <c r="L6075" s="33" t="str">
        <f>IFERROR(VLOOKUP($J6075,'Informations sur les produits'!$A$3:$H$10000,8,FALSE),"0")</f>
        <v>0</v>
      </c>
      <c r="N6075" s="8"/>
      <c r="O6075" s="33" t="str">
        <f>IFERROR(VLOOKUP($M6075,'Informations sur les produits'!$A$3:$H$10000,8,FALSE),"0")</f>
        <v>0</v>
      </c>
      <c r="P6075" s="33">
        <f t="shared" si="376"/>
        <v>0</v>
      </c>
      <c r="Q6075" s="31" t="str">
        <f t="shared" si="377"/>
        <v/>
      </c>
      <c r="R6075" s="32" t="str">
        <f>IFERROR(VLOOKUP($D6075,'Informations sur les produits'!$A$3:$B$15000,2,FALSE),"")</f>
        <v/>
      </c>
      <c r="V6075">
        <f t="shared" si="378"/>
        <v>0</v>
      </c>
      <c r="W6075">
        <f t="shared" si="379"/>
        <v>0</v>
      </c>
    </row>
    <row r="6076" spans="5:23" x14ac:dyDescent="0.25">
      <c r="E6076" s="4"/>
      <c r="F6076" s="4"/>
      <c r="G6076" s="33" t="str">
        <f>IFERROR(VLOOKUP($D6076,'Informations sur les produits'!$A$3:$H$10000,8,FALSE),"0")</f>
        <v>0</v>
      </c>
      <c r="K6076" s="4"/>
      <c r="L6076" s="33" t="str">
        <f>IFERROR(VLOOKUP($J6076,'Informations sur les produits'!$A$3:$H$10000,8,FALSE),"0")</f>
        <v>0</v>
      </c>
      <c r="N6076" s="8"/>
      <c r="O6076" s="33" t="str">
        <f>IFERROR(VLOOKUP($M6076,'Informations sur les produits'!$A$3:$H$10000,8,FALSE),"0")</f>
        <v>0</v>
      </c>
      <c r="P6076" s="33">
        <f t="shared" si="376"/>
        <v>0</v>
      </c>
      <c r="Q6076" s="31" t="str">
        <f t="shared" si="377"/>
        <v/>
      </c>
      <c r="R6076" s="32" t="str">
        <f>IFERROR(VLOOKUP($D6076,'Informations sur les produits'!$A$3:$B$15000,2,FALSE),"")</f>
        <v/>
      </c>
      <c r="V6076">
        <f t="shared" si="378"/>
        <v>0</v>
      </c>
      <c r="W6076">
        <f t="shared" si="379"/>
        <v>0</v>
      </c>
    </row>
    <row r="6077" spans="5:23" x14ac:dyDescent="0.25">
      <c r="E6077" s="4"/>
      <c r="F6077" s="4"/>
      <c r="G6077" s="33" t="str">
        <f>IFERROR(VLOOKUP($D6077,'Informations sur les produits'!$A$3:$H$10000,8,FALSE),"0")</f>
        <v>0</v>
      </c>
      <c r="K6077" s="4"/>
      <c r="L6077" s="33" t="str">
        <f>IFERROR(VLOOKUP($J6077,'Informations sur les produits'!$A$3:$H$10000,8,FALSE),"0")</f>
        <v>0</v>
      </c>
      <c r="N6077" s="8"/>
      <c r="O6077" s="33" t="str">
        <f>IFERROR(VLOOKUP($M6077,'Informations sur les produits'!$A$3:$H$10000,8,FALSE),"0")</f>
        <v>0</v>
      </c>
      <c r="P6077" s="33">
        <f t="shared" si="376"/>
        <v>0</v>
      </c>
      <c r="Q6077" s="31" t="str">
        <f t="shared" si="377"/>
        <v/>
      </c>
      <c r="R6077" s="32" t="str">
        <f>IFERROR(VLOOKUP($D6077,'Informations sur les produits'!$A$3:$B$15000,2,FALSE),"")</f>
        <v/>
      </c>
      <c r="V6077">
        <f t="shared" si="378"/>
        <v>0</v>
      </c>
      <c r="W6077">
        <f t="shared" si="379"/>
        <v>0</v>
      </c>
    </row>
    <row r="6078" spans="5:23" x14ac:dyDescent="0.25">
      <c r="E6078" s="4"/>
      <c r="F6078" s="4"/>
      <c r="G6078" s="33" t="str">
        <f>IFERROR(VLOOKUP($D6078,'Informations sur les produits'!$A$3:$H$10000,8,FALSE),"0")</f>
        <v>0</v>
      </c>
      <c r="K6078" s="4"/>
      <c r="L6078" s="33" t="str">
        <f>IFERROR(VLOOKUP($J6078,'Informations sur les produits'!$A$3:$H$10000,8,FALSE),"0")</f>
        <v>0</v>
      </c>
      <c r="N6078" s="8"/>
      <c r="O6078" s="33" t="str">
        <f>IFERROR(VLOOKUP($M6078,'Informations sur les produits'!$A$3:$H$10000,8,FALSE),"0")</f>
        <v>0</v>
      </c>
      <c r="P6078" s="33">
        <f t="shared" si="376"/>
        <v>0</v>
      </c>
      <c r="Q6078" s="31" t="str">
        <f t="shared" si="377"/>
        <v/>
      </c>
      <c r="R6078" s="32" t="str">
        <f>IFERROR(VLOOKUP($D6078,'Informations sur les produits'!$A$3:$B$15000,2,FALSE),"")</f>
        <v/>
      </c>
      <c r="V6078">
        <f t="shared" si="378"/>
        <v>0</v>
      </c>
      <c r="W6078">
        <f t="shared" si="379"/>
        <v>0</v>
      </c>
    </row>
    <row r="6079" spans="5:23" x14ac:dyDescent="0.25">
      <c r="E6079" s="4"/>
      <c r="F6079" s="4"/>
      <c r="G6079" s="33" t="str">
        <f>IFERROR(VLOOKUP($D6079,'Informations sur les produits'!$A$3:$H$10000,8,FALSE),"0")</f>
        <v>0</v>
      </c>
      <c r="K6079" s="4"/>
      <c r="L6079" s="33" t="str">
        <f>IFERROR(VLOOKUP($J6079,'Informations sur les produits'!$A$3:$H$10000,8,FALSE),"0")</f>
        <v>0</v>
      </c>
      <c r="N6079" s="8"/>
      <c r="O6079" s="33" t="str">
        <f>IFERROR(VLOOKUP($M6079,'Informations sur les produits'!$A$3:$H$10000,8,FALSE),"0")</f>
        <v>0</v>
      </c>
      <c r="P6079" s="33">
        <f t="shared" si="376"/>
        <v>0</v>
      </c>
      <c r="Q6079" s="31" t="str">
        <f t="shared" si="377"/>
        <v/>
      </c>
      <c r="R6079" s="32" t="str">
        <f>IFERROR(VLOOKUP($D6079,'Informations sur les produits'!$A$3:$B$15000,2,FALSE),"")</f>
        <v/>
      </c>
      <c r="V6079">
        <f t="shared" si="378"/>
        <v>0</v>
      </c>
      <c r="W6079">
        <f t="shared" si="379"/>
        <v>0</v>
      </c>
    </row>
    <row r="6080" spans="5:23" x14ac:dyDescent="0.25">
      <c r="E6080" s="4"/>
      <c r="F6080" s="4"/>
      <c r="G6080" s="33" t="str">
        <f>IFERROR(VLOOKUP($D6080,'Informations sur les produits'!$A$3:$H$10000,8,FALSE),"0")</f>
        <v>0</v>
      </c>
      <c r="K6080" s="4"/>
      <c r="L6080" s="33" t="str">
        <f>IFERROR(VLOOKUP($J6080,'Informations sur les produits'!$A$3:$H$10000,8,FALSE),"0")</f>
        <v>0</v>
      </c>
      <c r="N6080" s="8"/>
      <c r="O6080" s="33" t="str">
        <f>IFERROR(VLOOKUP($M6080,'Informations sur les produits'!$A$3:$H$10000,8,FALSE),"0")</f>
        <v>0</v>
      </c>
      <c r="P6080" s="33">
        <f t="shared" si="376"/>
        <v>0</v>
      </c>
      <c r="Q6080" s="31" t="str">
        <f t="shared" si="377"/>
        <v/>
      </c>
      <c r="R6080" s="32" t="str">
        <f>IFERROR(VLOOKUP($D6080,'Informations sur les produits'!$A$3:$B$15000,2,FALSE),"")</f>
        <v/>
      </c>
      <c r="V6080">
        <f t="shared" si="378"/>
        <v>0</v>
      </c>
      <c r="W6080">
        <f t="shared" si="379"/>
        <v>0</v>
      </c>
    </row>
    <row r="6081" spans="5:23" x14ac:dyDescent="0.25">
      <c r="E6081" s="4"/>
      <c r="F6081" s="4"/>
      <c r="G6081" s="33" t="str">
        <f>IFERROR(VLOOKUP($D6081,'Informations sur les produits'!$A$3:$H$10000,8,FALSE),"0")</f>
        <v>0</v>
      </c>
      <c r="K6081" s="4"/>
      <c r="L6081" s="33" t="str">
        <f>IFERROR(VLOOKUP($J6081,'Informations sur les produits'!$A$3:$H$10000,8,FALSE),"0")</f>
        <v>0</v>
      </c>
      <c r="N6081" s="8"/>
      <c r="O6081" s="33" t="str">
        <f>IFERROR(VLOOKUP($M6081,'Informations sur les produits'!$A$3:$H$10000,8,FALSE),"0")</f>
        <v>0</v>
      </c>
      <c r="P6081" s="33">
        <f t="shared" si="376"/>
        <v>0</v>
      </c>
      <c r="Q6081" s="31" t="str">
        <f t="shared" si="377"/>
        <v/>
      </c>
      <c r="R6081" s="32" t="str">
        <f>IFERROR(VLOOKUP($D6081,'Informations sur les produits'!$A$3:$B$15000,2,FALSE),"")</f>
        <v/>
      </c>
      <c r="V6081">
        <f t="shared" si="378"/>
        <v>0</v>
      </c>
      <c r="W6081">
        <f t="shared" si="379"/>
        <v>0</v>
      </c>
    </row>
    <row r="6082" spans="5:23" x14ac:dyDescent="0.25">
      <c r="E6082" s="4"/>
      <c r="F6082" s="4"/>
      <c r="G6082" s="33" t="str">
        <f>IFERROR(VLOOKUP($D6082,'Informations sur les produits'!$A$3:$H$10000,8,FALSE),"0")</f>
        <v>0</v>
      </c>
      <c r="K6082" s="4"/>
      <c r="L6082" s="33" t="str">
        <f>IFERROR(VLOOKUP($J6082,'Informations sur les produits'!$A$3:$H$10000,8,FALSE),"0")</f>
        <v>0</v>
      </c>
      <c r="N6082" s="8"/>
      <c r="O6082" s="33" t="str">
        <f>IFERROR(VLOOKUP($M6082,'Informations sur les produits'!$A$3:$H$10000,8,FALSE),"0")</f>
        <v>0</v>
      </c>
      <c r="P6082" s="33">
        <f t="shared" si="376"/>
        <v>0</v>
      </c>
      <c r="Q6082" s="31" t="str">
        <f t="shared" si="377"/>
        <v/>
      </c>
      <c r="R6082" s="32" t="str">
        <f>IFERROR(VLOOKUP($D6082,'Informations sur les produits'!$A$3:$B$15000,2,FALSE),"")</f>
        <v/>
      </c>
      <c r="V6082">
        <f t="shared" si="378"/>
        <v>0</v>
      </c>
      <c r="W6082">
        <f t="shared" si="379"/>
        <v>0</v>
      </c>
    </row>
    <row r="6083" spans="5:23" x14ac:dyDescent="0.25">
      <c r="E6083" s="4"/>
      <c r="F6083" s="4"/>
      <c r="G6083" s="33" t="str">
        <f>IFERROR(VLOOKUP($D6083,'Informations sur les produits'!$A$3:$H$10000,8,FALSE),"0")</f>
        <v>0</v>
      </c>
      <c r="K6083" s="4"/>
      <c r="L6083" s="33" t="str">
        <f>IFERROR(VLOOKUP($J6083,'Informations sur les produits'!$A$3:$H$10000,8,FALSE),"0")</f>
        <v>0</v>
      </c>
      <c r="N6083" s="8"/>
      <c r="O6083" s="33" t="str">
        <f>IFERROR(VLOOKUP($M6083,'Informations sur les produits'!$A$3:$H$10000,8,FALSE),"0")</f>
        <v>0</v>
      </c>
      <c r="P6083" s="33">
        <f t="shared" si="376"/>
        <v>0</v>
      </c>
      <c r="Q6083" s="31" t="str">
        <f t="shared" si="377"/>
        <v/>
      </c>
      <c r="R6083" s="32" t="str">
        <f>IFERROR(VLOOKUP($D6083,'Informations sur les produits'!$A$3:$B$15000,2,FALSE),"")</f>
        <v/>
      </c>
      <c r="V6083">
        <f t="shared" si="378"/>
        <v>0</v>
      </c>
      <c r="W6083">
        <f t="shared" si="379"/>
        <v>0</v>
      </c>
    </row>
    <row r="6084" spans="5:23" x14ac:dyDescent="0.25">
      <c r="E6084" s="4"/>
      <c r="F6084" s="4"/>
      <c r="G6084" s="33" t="str">
        <f>IFERROR(VLOOKUP($D6084,'Informations sur les produits'!$A$3:$H$10000,8,FALSE),"0")</f>
        <v>0</v>
      </c>
      <c r="K6084" s="4"/>
      <c r="L6084" s="33" t="str">
        <f>IFERROR(VLOOKUP($J6084,'Informations sur les produits'!$A$3:$H$10000,8,FALSE),"0")</f>
        <v>0</v>
      </c>
      <c r="N6084" s="8"/>
      <c r="O6084" s="33" t="str">
        <f>IFERROR(VLOOKUP($M6084,'Informations sur les produits'!$A$3:$H$10000,8,FALSE),"0")</f>
        <v>0</v>
      </c>
      <c r="P6084" s="33">
        <f t="shared" ref="P6084:P6147" si="380">IFERROR((($E6084-$F6084)*$G6084+$K6084*$L6084+$N6084*$O6084),"")</f>
        <v>0</v>
      </c>
      <c r="Q6084" s="31" t="str">
        <f t="shared" ref="Q6084:Q6147" si="381">IFERROR((((($E6084-$F6084)*$G6084+$K6084*$L6084+$N6084*$O6084)*1000)/(($E6084-$F6084)+$K6084+$N6084)),"")</f>
        <v/>
      </c>
      <c r="R6084" s="32" t="str">
        <f>IFERROR(VLOOKUP($D6084,'Informations sur les produits'!$A$3:$B$15000,2,FALSE),"")</f>
        <v/>
      </c>
      <c r="V6084">
        <f t="shared" ref="V6084:V6147" si="382">IFERROR(P6084*1000,"")</f>
        <v>0</v>
      </c>
      <c r="W6084">
        <f t="shared" ref="W6084:W6147" si="383">IFERROR(($E6084-$F6084)+$K6084+$N6084,"")</f>
        <v>0</v>
      </c>
    </row>
    <row r="6085" spans="5:23" x14ac:dyDescent="0.25">
      <c r="E6085" s="4"/>
      <c r="F6085" s="4"/>
      <c r="G6085" s="33" t="str">
        <f>IFERROR(VLOOKUP($D6085,'Informations sur les produits'!$A$3:$H$10000,8,FALSE),"0")</f>
        <v>0</v>
      </c>
      <c r="K6085" s="4"/>
      <c r="L6085" s="33" t="str">
        <f>IFERROR(VLOOKUP($J6085,'Informations sur les produits'!$A$3:$H$10000,8,FALSE),"0")</f>
        <v>0</v>
      </c>
      <c r="N6085" s="8"/>
      <c r="O6085" s="33" t="str">
        <f>IFERROR(VLOOKUP($M6085,'Informations sur les produits'!$A$3:$H$10000,8,FALSE),"0")</f>
        <v>0</v>
      </c>
      <c r="P6085" s="33">
        <f t="shared" si="380"/>
        <v>0</v>
      </c>
      <c r="Q6085" s="31" t="str">
        <f t="shared" si="381"/>
        <v/>
      </c>
      <c r="R6085" s="32" t="str">
        <f>IFERROR(VLOOKUP($D6085,'Informations sur les produits'!$A$3:$B$15000,2,FALSE),"")</f>
        <v/>
      </c>
      <c r="V6085">
        <f t="shared" si="382"/>
        <v>0</v>
      </c>
      <c r="W6085">
        <f t="shared" si="383"/>
        <v>0</v>
      </c>
    </row>
    <row r="6086" spans="5:23" x14ac:dyDescent="0.25">
      <c r="E6086" s="4"/>
      <c r="F6086" s="4"/>
      <c r="G6086" s="33" t="str">
        <f>IFERROR(VLOOKUP($D6086,'Informations sur les produits'!$A$3:$H$10000,8,FALSE),"0")</f>
        <v>0</v>
      </c>
      <c r="K6086" s="4"/>
      <c r="L6086" s="33" t="str">
        <f>IFERROR(VLOOKUP($J6086,'Informations sur les produits'!$A$3:$H$10000,8,FALSE),"0")</f>
        <v>0</v>
      </c>
      <c r="N6086" s="8"/>
      <c r="O6086" s="33" t="str">
        <f>IFERROR(VLOOKUP($M6086,'Informations sur les produits'!$A$3:$H$10000,8,FALSE),"0")</f>
        <v>0</v>
      </c>
      <c r="P6086" s="33">
        <f t="shared" si="380"/>
        <v>0</v>
      </c>
      <c r="Q6086" s="31" t="str">
        <f t="shared" si="381"/>
        <v/>
      </c>
      <c r="R6086" s="32" t="str">
        <f>IFERROR(VLOOKUP($D6086,'Informations sur les produits'!$A$3:$B$15000,2,FALSE),"")</f>
        <v/>
      </c>
      <c r="V6086">
        <f t="shared" si="382"/>
        <v>0</v>
      </c>
      <c r="W6086">
        <f t="shared" si="383"/>
        <v>0</v>
      </c>
    </row>
    <row r="6087" spans="5:23" x14ac:dyDescent="0.25">
      <c r="E6087" s="4"/>
      <c r="F6087" s="4"/>
      <c r="G6087" s="33" t="str">
        <f>IFERROR(VLOOKUP($D6087,'Informations sur les produits'!$A$3:$H$10000,8,FALSE),"0")</f>
        <v>0</v>
      </c>
      <c r="K6087" s="4"/>
      <c r="L6087" s="33" t="str">
        <f>IFERROR(VLOOKUP($J6087,'Informations sur les produits'!$A$3:$H$10000,8,FALSE),"0")</f>
        <v>0</v>
      </c>
      <c r="N6087" s="8"/>
      <c r="O6087" s="33" t="str">
        <f>IFERROR(VLOOKUP($M6087,'Informations sur les produits'!$A$3:$H$10000,8,FALSE),"0")</f>
        <v>0</v>
      </c>
      <c r="P6087" s="33">
        <f t="shared" si="380"/>
        <v>0</v>
      </c>
      <c r="Q6087" s="31" t="str">
        <f t="shared" si="381"/>
        <v/>
      </c>
      <c r="R6087" s="32" t="str">
        <f>IFERROR(VLOOKUP($D6087,'Informations sur les produits'!$A$3:$B$15000,2,FALSE),"")</f>
        <v/>
      </c>
      <c r="V6087">
        <f t="shared" si="382"/>
        <v>0</v>
      </c>
      <c r="W6087">
        <f t="shared" si="383"/>
        <v>0</v>
      </c>
    </row>
    <row r="6088" spans="5:23" x14ac:dyDescent="0.25">
      <c r="E6088" s="4"/>
      <c r="F6088" s="4"/>
      <c r="G6088" s="33" t="str">
        <f>IFERROR(VLOOKUP($D6088,'Informations sur les produits'!$A$3:$H$10000,8,FALSE),"0")</f>
        <v>0</v>
      </c>
      <c r="K6088" s="4"/>
      <c r="L6088" s="33" t="str">
        <f>IFERROR(VLOOKUP($J6088,'Informations sur les produits'!$A$3:$H$10000,8,FALSE),"0")</f>
        <v>0</v>
      </c>
      <c r="N6088" s="8"/>
      <c r="O6088" s="33" t="str">
        <f>IFERROR(VLOOKUP($M6088,'Informations sur les produits'!$A$3:$H$10000,8,FALSE),"0")</f>
        <v>0</v>
      </c>
      <c r="P6088" s="33">
        <f t="shared" si="380"/>
        <v>0</v>
      </c>
      <c r="Q6088" s="31" t="str">
        <f t="shared" si="381"/>
        <v/>
      </c>
      <c r="R6088" s="32" t="str">
        <f>IFERROR(VLOOKUP($D6088,'Informations sur les produits'!$A$3:$B$15000,2,FALSE),"")</f>
        <v/>
      </c>
      <c r="V6088">
        <f t="shared" si="382"/>
        <v>0</v>
      </c>
      <c r="W6088">
        <f t="shared" si="383"/>
        <v>0</v>
      </c>
    </row>
    <row r="6089" spans="5:23" x14ac:dyDescent="0.25">
      <c r="E6089" s="4"/>
      <c r="F6089" s="4"/>
      <c r="G6089" s="33" t="str">
        <f>IFERROR(VLOOKUP($D6089,'Informations sur les produits'!$A$3:$H$10000,8,FALSE),"0")</f>
        <v>0</v>
      </c>
      <c r="K6089" s="4"/>
      <c r="L6089" s="33" t="str">
        <f>IFERROR(VLOOKUP($J6089,'Informations sur les produits'!$A$3:$H$10000,8,FALSE),"0")</f>
        <v>0</v>
      </c>
      <c r="N6089" s="8"/>
      <c r="O6089" s="33" t="str">
        <f>IFERROR(VLOOKUP($M6089,'Informations sur les produits'!$A$3:$H$10000,8,FALSE),"0")</f>
        <v>0</v>
      </c>
      <c r="P6089" s="33">
        <f t="shared" si="380"/>
        <v>0</v>
      </c>
      <c r="Q6089" s="31" t="str">
        <f t="shared" si="381"/>
        <v/>
      </c>
      <c r="R6089" s="32" t="str">
        <f>IFERROR(VLOOKUP($D6089,'Informations sur les produits'!$A$3:$B$15000,2,FALSE),"")</f>
        <v/>
      </c>
      <c r="V6089">
        <f t="shared" si="382"/>
        <v>0</v>
      </c>
      <c r="W6089">
        <f t="shared" si="383"/>
        <v>0</v>
      </c>
    </row>
    <row r="6090" spans="5:23" x14ac:dyDescent="0.25">
      <c r="E6090" s="4"/>
      <c r="F6090" s="4"/>
      <c r="G6090" s="33" t="str">
        <f>IFERROR(VLOOKUP($D6090,'Informations sur les produits'!$A$3:$H$10000,8,FALSE),"0")</f>
        <v>0</v>
      </c>
      <c r="K6090" s="4"/>
      <c r="L6090" s="33" t="str">
        <f>IFERROR(VLOOKUP($J6090,'Informations sur les produits'!$A$3:$H$10000,8,FALSE),"0")</f>
        <v>0</v>
      </c>
      <c r="N6090" s="8"/>
      <c r="O6090" s="33" t="str">
        <f>IFERROR(VLOOKUP($M6090,'Informations sur les produits'!$A$3:$H$10000,8,FALSE),"0")</f>
        <v>0</v>
      </c>
      <c r="P6090" s="33">
        <f t="shared" si="380"/>
        <v>0</v>
      </c>
      <c r="Q6090" s="31" t="str">
        <f t="shared" si="381"/>
        <v/>
      </c>
      <c r="R6090" s="32" t="str">
        <f>IFERROR(VLOOKUP($D6090,'Informations sur les produits'!$A$3:$B$15000,2,FALSE),"")</f>
        <v/>
      </c>
      <c r="V6090">
        <f t="shared" si="382"/>
        <v>0</v>
      </c>
      <c r="W6090">
        <f t="shared" si="383"/>
        <v>0</v>
      </c>
    </row>
    <row r="6091" spans="5:23" x14ac:dyDescent="0.25">
      <c r="E6091" s="4"/>
      <c r="F6091" s="4"/>
      <c r="G6091" s="33" t="str">
        <f>IFERROR(VLOOKUP($D6091,'Informations sur les produits'!$A$3:$H$10000,8,FALSE),"0")</f>
        <v>0</v>
      </c>
      <c r="K6091" s="4"/>
      <c r="L6091" s="33" t="str">
        <f>IFERROR(VLOOKUP($J6091,'Informations sur les produits'!$A$3:$H$10000,8,FALSE),"0")</f>
        <v>0</v>
      </c>
      <c r="N6091" s="8"/>
      <c r="O6091" s="33" t="str">
        <f>IFERROR(VLOOKUP($M6091,'Informations sur les produits'!$A$3:$H$10000,8,FALSE),"0")</f>
        <v>0</v>
      </c>
      <c r="P6091" s="33">
        <f t="shared" si="380"/>
        <v>0</v>
      </c>
      <c r="Q6091" s="31" t="str">
        <f t="shared" si="381"/>
        <v/>
      </c>
      <c r="R6091" s="32" t="str">
        <f>IFERROR(VLOOKUP($D6091,'Informations sur les produits'!$A$3:$B$15000,2,FALSE),"")</f>
        <v/>
      </c>
      <c r="V6091">
        <f t="shared" si="382"/>
        <v>0</v>
      </c>
      <c r="W6091">
        <f t="shared" si="383"/>
        <v>0</v>
      </c>
    </row>
    <row r="6092" spans="5:23" x14ac:dyDescent="0.25">
      <c r="E6092" s="4"/>
      <c r="F6092" s="4"/>
      <c r="G6092" s="33" t="str">
        <f>IFERROR(VLOOKUP($D6092,'Informations sur les produits'!$A$3:$H$10000,8,FALSE),"0")</f>
        <v>0</v>
      </c>
      <c r="K6092" s="4"/>
      <c r="L6092" s="33" t="str">
        <f>IFERROR(VLOOKUP($J6092,'Informations sur les produits'!$A$3:$H$10000,8,FALSE),"0")</f>
        <v>0</v>
      </c>
      <c r="N6092" s="8"/>
      <c r="O6092" s="33" t="str">
        <f>IFERROR(VLOOKUP($M6092,'Informations sur les produits'!$A$3:$H$10000,8,FALSE),"0")</f>
        <v>0</v>
      </c>
      <c r="P6092" s="33">
        <f t="shared" si="380"/>
        <v>0</v>
      </c>
      <c r="Q6092" s="31" t="str">
        <f t="shared" si="381"/>
        <v/>
      </c>
      <c r="R6092" s="32" t="str">
        <f>IFERROR(VLOOKUP($D6092,'Informations sur les produits'!$A$3:$B$15000,2,FALSE),"")</f>
        <v/>
      </c>
      <c r="V6092">
        <f t="shared" si="382"/>
        <v>0</v>
      </c>
      <c r="W6092">
        <f t="shared" si="383"/>
        <v>0</v>
      </c>
    </row>
    <row r="6093" spans="5:23" x14ac:dyDescent="0.25">
      <c r="E6093" s="4"/>
      <c r="F6093" s="4"/>
      <c r="G6093" s="33" t="str">
        <f>IFERROR(VLOOKUP($D6093,'Informations sur les produits'!$A$3:$H$10000,8,FALSE),"0")</f>
        <v>0</v>
      </c>
      <c r="K6093" s="4"/>
      <c r="L6093" s="33" t="str">
        <f>IFERROR(VLOOKUP($J6093,'Informations sur les produits'!$A$3:$H$10000,8,FALSE),"0")</f>
        <v>0</v>
      </c>
      <c r="N6093" s="8"/>
      <c r="O6093" s="33" t="str">
        <f>IFERROR(VLOOKUP($M6093,'Informations sur les produits'!$A$3:$H$10000,8,FALSE),"0")</f>
        <v>0</v>
      </c>
      <c r="P6093" s="33">
        <f t="shared" si="380"/>
        <v>0</v>
      </c>
      <c r="Q6093" s="31" t="str">
        <f t="shared" si="381"/>
        <v/>
      </c>
      <c r="R6093" s="32" t="str">
        <f>IFERROR(VLOOKUP($D6093,'Informations sur les produits'!$A$3:$B$15000,2,FALSE),"")</f>
        <v/>
      </c>
      <c r="V6093">
        <f t="shared" si="382"/>
        <v>0</v>
      </c>
      <c r="W6093">
        <f t="shared" si="383"/>
        <v>0</v>
      </c>
    </row>
    <row r="6094" spans="5:23" x14ac:dyDescent="0.25">
      <c r="E6094" s="4"/>
      <c r="F6094" s="4"/>
      <c r="G6094" s="33" t="str">
        <f>IFERROR(VLOOKUP($D6094,'Informations sur les produits'!$A$3:$H$10000,8,FALSE),"0")</f>
        <v>0</v>
      </c>
      <c r="K6094" s="4"/>
      <c r="L6094" s="33" t="str">
        <f>IFERROR(VLOOKUP($J6094,'Informations sur les produits'!$A$3:$H$10000,8,FALSE),"0")</f>
        <v>0</v>
      </c>
      <c r="N6094" s="8"/>
      <c r="O6094" s="33" t="str">
        <f>IFERROR(VLOOKUP($M6094,'Informations sur les produits'!$A$3:$H$10000,8,FALSE),"0")</f>
        <v>0</v>
      </c>
      <c r="P6094" s="33">
        <f t="shared" si="380"/>
        <v>0</v>
      </c>
      <c r="Q6094" s="31" t="str">
        <f t="shared" si="381"/>
        <v/>
      </c>
      <c r="R6094" s="32" t="str">
        <f>IFERROR(VLOOKUP($D6094,'Informations sur les produits'!$A$3:$B$15000,2,FALSE),"")</f>
        <v/>
      </c>
      <c r="V6094">
        <f t="shared" si="382"/>
        <v>0</v>
      </c>
      <c r="W6094">
        <f t="shared" si="383"/>
        <v>0</v>
      </c>
    </row>
    <row r="6095" spans="5:23" x14ac:dyDescent="0.25">
      <c r="E6095" s="4"/>
      <c r="F6095" s="4"/>
      <c r="G6095" s="33" t="str">
        <f>IFERROR(VLOOKUP($D6095,'Informations sur les produits'!$A$3:$H$10000,8,FALSE),"0")</f>
        <v>0</v>
      </c>
      <c r="K6095" s="4"/>
      <c r="L6095" s="33" t="str">
        <f>IFERROR(VLOOKUP($J6095,'Informations sur les produits'!$A$3:$H$10000,8,FALSE),"0")</f>
        <v>0</v>
      </c>
      <c r="N6095" s="8"/>
      <c r="O6095" s="33" t="str">
        <f>IFERROR(VLOOKUP($M6095,'Informations sur les produits'!$A$3:$H$10000,8,FALSE),"0")</f>
        <v>0</v>
      </c>
      <c r="P6095" s="33">
        <f t="shared" si="380"/>
        <v>0</v>
      </c>
      <c r="Q6095" s="31" t="str">
        <f t="shared" si="381"/>
        <v/>
      </c>
      <c r="R6095" s="32" t="str">
        <f>IFERROR(VLOOKUP($D6095,'Informations sur les produits'!$A$3:$B$15000,2,FALSE),"")</f>
        <v/>
      </c>
      <c r="V6095">
        <f t="shared" si="382"/>
        <v>0</v>
      </c>
      <c r="W6095">
        <f t="shared" si="383"/>
        <v>0</v>
      </c>
    </row>
    <row r="6096" spans="5:23" x14ac:dyDescent="0.25">
      <c r="E6096" s="4"/>
      <c r="F6096" s="4"/>
      <c r="G6096" s="33" t="str">
        <f>IFERROR(VLOOKUP($D6096,'Informations sur les produits'!$A$3:$H$10000,8,FALSE),"0")</f>
        <v>0</v>
      </c>
      <c r="K6096" s="4"/>
      <c r="L6096" s="33" t="str">
        <f>IFERROR(VLOOKUP($J6096,'Informations sur les produits'!$A$3:$H$10000,8,FALSE),"0")</f>
        <v>0</v>
      </c>
      <c r="N6096" s="8"/>
      <c r="O6096" s="33" t="str">
        <f>IFERROR(VLOOKUP($M6096,'Informations sur les produits'!$A$3:$H$10000,8,FALSE),"0")</f>
        <v>0</v>
      </c>
      <c r="P6096" s="33">
        <f t="shared" si="380"/>
        <v>0</v>
      </c>
      <c r="Q6096" s="31" t="str">
        <f t="shared" si="381"/>
        <v/>
      </c>
      <c r="R6096" s="32" t="str">
        <f>IFERROR(VLOOKUP($D6096,'Informations sur les produits'!$A$3:$B$15000,2,FALSE),"")</f>
        <v/>
      </c>
      <c r="V6096">
        <f t="shared" si="382"/>
        <v>0</v>
      </c>
      <c r="W6096">
        <f t="shared" si="383"/>
        <v>0</v>
      </c>
    </row>
    <row r="6097" spans="5:23" x14ac:dyDescent="0.25">
      <c r="E6097" s="4"/>
      <c r="F6097" s="4"/>
      <c r="G6097" s="33" t="str">
        <f>IFERROR(VLOOKUP($D6097,'Informations sur les produits'!$A$3:$H$10000,8,FALSE),"0")</f>
        <v>0</v>
      </c>
      <c r="K6097" s="4"/>
      <c r="L6097" s="33" t="str">
        <f>IFERROR(VLOOKUP($J6097,'Informations sur les produits'!$A$3:$H$10000,8,FALSE),"0")</f>
        <v>0</v>
      </c>
      <c r="N6097" s="8"/>
      <c r="O6097" s="33" t="str">
        <f>IFERROR(VLOOKUP($M6097,'Informations sur les produits'!$A$3:$H$10000,8,FALSE),"0")</f>
        <v>0</v>
      </c>
      <c r="P6097" s="33">
        <f t="shared" si="380"/>
        <v>0</v>
      </c>
      <c r="Q6097" s="31" t="str">
        <f t="shared" si="381"/>
        <v/>
      </c>
      <c r="R6097" s="32" t="str">
        <f>IFERROR(VLOOKUP($D6097,'Informations sur les produits'!$A$3:$B$15000,2,FALSE),"")</f>
        <v/>
      </c>
      <c r="V6097">
        <f t="shared" si="382"/>
        <v>0</v>
      </c>
      <c r="W6097">
        <f t="shared" si="383"/>
        <v>0</v>
      </c>
    </row>
    <row r="6098" spans="5:23" x14ac:dyDescent="0.25">
      <c r="E6098" s="4"/>
      <c r="F6098" s="4"/>
      <c r="G6098" s="33" t="str">
        <f>IFERROR(VLOOKUP($D6098,'Informations sur les produits'!$A$3:$H$10000,8,FALSE),"0")</f>
        <v>0</v>
      </c>
      <c r="K6098" s="4"/>
      <c r="L6098" s="33" t="str">
        <f>IFERROR(VLOOKUP($J6098,'Informations sur les produits'!$A$3:$H$10000,8,FALSE),"0")</f>
        <v>0</v>
      </c>
      <c r="N6098" s="8"/>
      <c r="O6098" s="33" t="str">
        <f>IFERROR(VLOOKUP($M6098,'Informations sur les produits'!$A$3:$H$10000,8,FALSE),"0")</f>
        <v>0</v>
      </c>
      <c r="P6098" s="33">
        <f t="shared" si="380"/>
        <v>0</v>
      </c>
      <c r="Q6098" s="31" t="str">
        <f t="shared" si="381"/>
        <v/>
      </c>
      <c r="R6098" s="32" t="str">
        <f>IFERROR(VLOOKUP($D6098,'Informations sur les produits'!$A$3:$B$15000,2,FALSE),"")</f>
        <v/>
      </c>
      <c r="V6098">
        <f t="shared" si="382"/>
        <v>0</v>
      </c>
      <c r="W6098">
        <f t="shared" si="383"/>
        <v>0</v>
      </c>
    </row>
    <row r="6099" spans="5:23" x14ac:dyDescent="0.25">
      <c r="E6099" s="4"/>
      <c r="F6099" s="4"/>
      <c r="G6099" s="33" t="str">
        <f>IFERROR(VLOOKUP($D6099,'Informations sur les produits'!$A$3:$H$10000,8,FALSE),"0")</f>
        <v>0</v>
      </c>
      <c r="K6099" s="4"/>
      <c r="L6099" s="33" t="str">
        <f>IFERROR(VLOOKUP($J6099,'Informations sur les produits'!$A$3:$H$10000,8,FALSE),"0")</f>
        <v>0</v>
      </c>
      <c r="N6099" s="8"/>
      <c r="O6099" s="33" t="str">
        <f>IFERROR(VLOOKUP($M6099,'Informations sur les produits'!$A$3:$H$10000,8,FALSE),"0")</f>
        <v>0</v>
      </c>
      <c r="P6099" s="33">
        <f t="shared" si="380"/>
        <v>0</v>
      </c>
      <c r="Q6099" s="31" t="str">
        <f t="shared" si="381"/>
        <v/>
      </c>
      <c r="R6099" s="32" t="str">
        <f>IFERROR(VLOOKUP($D6099,'Informations sur les produits'!$A$3:$B$15000,2,FALSE),"")</f>
        <v/>
      </c>
      <c r="V6099">
        <f t="shared" si="382"/>
        <v>0</v>
      </c>
      <c r="W6099">
        <f t="shared" si="383"/>
        <v>0</v>
      </c>
    </row>
    <row r="6100" spans="5:23" x14ac:dyDescent="0.25">
      <c r="E6100" s="4"/>
      <c r="F6100" s="4"/>
      <c r="G6100" s="33" t="str">
        <f>IFERROR(VLOOKUP($D6100,'Informations sur les produits'!$A$3:$H$10000,8,FALSE),"0")</f>
        <v>0</v>
      </c>
      <c r="K6100" s="4"/>
      <c r="L6100" s="33" t="str">
        <f>IFERROR(VLOOKUP($J6100,'Informations sur les produits'!$A$3:$H$10000,8,FALSE),"0")</f>
        <v>0</v>
      </c>
      <c r="N6100" s="8"/>
      <c r="O6100" s="33" t="str">
        <f>IFERROR(VLOOKUP($M6100,'Informations sur les produits'!$A$3:$H$10000,8,FALSE),"0")</f>
        <v>0</v>
      </c>
      <c r="P6100" s="33">
        <f t="shared" si="380"/>
        <v>0</v>
      </c>
      <c r="Q6100" s="31" t="str">
        <f t="shared" si="381"/>
        <v/>
      </c>
      <c r="R6100" s="32" t="str">
        <f>IFERROR(VLOOKUP($D6100,'Informations sur les produits'!$A$3:$B$15000,2,FALSE),"")</f>
        <v/>
      </c>
      <c r="V6100">
        <f t="shared" si="382"/>
        <v>0</v>
      </c>
      <c r="W6100">
        <f t="shared" si="383"/>
        <v>0</v>
      </c>
    </row>
    <row r="6101" spans="5:23" x14ac:dyDescent="0.25">
      <c r="E6101" s="4"/>
      <c r="F6101" s="4"/>
      <c r="G6101" s="33" t="str">
        <f>IFERROR(VLOOKUP($D6101,'Informations sur les produits'!$A$3:$H$10000,8,FALSE),"0")</f>
        <v>0</v>
      </c>
      <c r="K6101" s="4"/>
      <c r="L6101" s="33" t="str">
        <f>IFERROR(VLOOKUP($J6101,'Informations sur les produits'!$A$3:$H$10000,8,FALSE),"0")</f>
        <v>0</v>
      </c>
      <c r="N6101" s="8"/>
      <c r="O6101" s="33" t="str">
        <f>IFERROR(VLOOKUP($M6101,'Informations sur les produits'!$A$3:$H$10000,8,FALSE),"0")</f>
        <v>0</v>
      </c>
      <c r="P6101" s="33">
        <f t="shared" si="380"/>
        <v>0</v>
      </c>
      <c r="Q6101" s="31" t="str">
        <f t="shared" si="381"/>
        <v/>
      </c>
      <c r="R6101" s="32" t="str">
        <f>IFERROR(VLOOKUP($D6101,'Informations sur les produits'!$A$3:$B$15000,2,FALSE),"")</f>
        <v/>
      </c>
      <c r="V6101">
        <f t="shared" si="382"/>
        <v>0</v>
      </c>
      <c r="W6101">
        <f t="shared" si="383"/>
        <v>0</v>
      </c>
    </row>
    <row r="6102" spans="5:23" x14ac:dyDescent="0.25">
      <c r="E6102" s="4"/>
      <c r="F6102" s="4"/>
      <c r="G6102" s="33" t="str">
        <f>IFERROR(VLOOKUP($D6102,'Informations sur les produits'!$A$3:$H$10000,8,FALSE),"0")</f>
        <v>0</v>
      </c>
      <c r="K6102" s="4"/>
      <c r="L6102" s="33" t="str">
        <f>IFERROR(VLOOKUP($J6102,'Informations sur les produits'!$A$3:$H$10000,8,FALSE),"0")</f>
        <v>0</v>
      </c>
      <c r="N6102" s="8"/>
      <c r="O6102" s="33" t="str">
        <f>IFERROR(VLOOKUP($M6102,'Informations sur les produits'!$A$3:$H$10000,8,FALSE),"0")</f>
        <v>0</v>
      </c>
      <c r="P6102" s="33">
        <f t="shared" si="380"/>
        <v>0</v>
      </c>
      <c r="Q6102" s="31" t="str">
        <f t="shared" si="381"/>
        <v/>
      </c>
      <c r="R6102" s="32" t="str">
        <f>IFERROR(VLOOKUP($D6102,'Informations sur les produits'!$A$3:$B$15000,2,FALSE),"")</f>
        <v/>
      </c>
      <c r="V6102">
        <f t="shared" si="382"/>
        <v>0</v>
      </c>
      <c r="W6102">
        <f t="shared" si="383"/>
        <v>0</v>
      </c>
    </row>
    <row r="6103" spans="5:23" x14ac:dyDescent="0.25">
      <c r="E6103" s="4"/>
      <c r="F6103" s="4"/>
      <c r="G6103" s="33" t="str">
        <f>IFERROR(VLOOKUP($D6103,'Informations sur les produits'!$A$3:$H$10000,8,FALSE),"0")</f>
        <v>0</v>
      </c>
      <c r="K6103" s="4"/>
      <c r="L6103" s="33" t="str">
        <f>IFERROR(VLOOKUP($J6103,'Informations sur les produits'!$A$3:$H$10000,8,FALSE),"0")</f>
        <v>0</v>
      </c>
      <c r="N6103" s="8"/>
      <c r="O6103" s="33" t="str">
        <f>IFERROR(VLOOKUP($M6103,'Informations sur les produits'!$A$3:$H$10000,8,FALSE),"0")</f>
        <v>0</v>
      </c>
      <c r="P6103" s="33">
        <f t="shared" si="380"/>
        <v>0</v>
      </c>
      <c r="Q6103" s="31" t="str">
        <f t="shared" si="381"/>
        <v/>
      </c>
      <c r="R6103" s="32" t="str">
        <f>IFERROR(VLOOKUP($D6103,'Informations sur les produits'!$A$3:$B$15000,2,FALSE),"")</f>
        <v/>
      </c>
      <c r="V6103">
        <f t="shared" si="382"/>
        <v>0</v>
      </c>
      <c r="W6103">
        <f t="shared" si="383"/>
        <v>0</v>
      </c>
    </row>
    <row r="6104" spans="5:23" x14ac:dyDescent="0.25">
      <c r="E6104" s="4"/>
      <c r="F6104" s="4"/>
      <c r="G6104" s="33" t="str">
        <f>IFERROR(VLOOKUP($D6104,'Informations sur les produits'!$A$3:$H$10000,8,FALSE),"0")</f>
        <v>0</v>
      </c>
      <c r="K6104" s="4"/>
      <c r="L6104" s="33" t="str">
        <f>IFERROR(VLOOKUP($J6104,'Informations sur les produits'!$A$3:$H$10000,8,FALSE),"0")</f>
        <v>0</v>
      </c>
      <c r="N6104" s="8"/>
      <c r="O6104" s="33" t="str">
        <f>IFERROR(VLOOKUP($M6104,'Informations sur les produits'!$A$3:$H$10000,8,FALSE),"0")</f>
        <v>0</v>
      </c>
      <c r="P6104" s="33">
        <f t="shared" si="380"/>
        <v>0</v>
      </c>
      <c r="Q6104" s="31" t="str">
        <f t="shared" si="381"/>
        <v/>
      </c>
      <c r="R6104" s="32" t="str">
        <f>IFERROR(VLOOKUP($D6104,'Informations sur les produits'!$A$3:$B$15000,2,FALSE),"")</f>
        <v/>
      </c>
      <c r="V6104">
        <f t="shared" si="382"/>
        <v>0</v>
      </c>
      <c r="W6104">
        <f t="shared" si="383"/>
        <v>0</v>
      </c>
    </row>
    <row r="6105" spans="5:23" x14ac:dyDescent="0.25">
      <c r="E6105" s="4"/>
      <c r="F6105" s="4"/>
      <c r="G6105" s="33" t="str">
        <f>IFERROR(VLOOKUP($D6105,'Informations sur les produits'!$A$3:$H$10000,8,FALSE),"0")</f>
        <v>0</v>
      </c>
      <c r="K6105" s="4"/>
      <c r="L6105" s="33" t="str">
        <f>IFERROR(VLOOKUP($J6105,'Informations sur les produits'!$A$3:$H$10000,8,FALSE),"0")</f>
        <v>0</v>
      </c>
      <c r="N6105" s="8"/>
      <c r="O6105" s="33" t="str">
        <f>IFERROR(VLOOKUP($M6105,'Informations sur les produits'!$A$3:$H$10000,8,FALSE),"0")</f>
        <v>0</v>
      </c>
      <c r="P6105" s="33">
        <f t="shared" si="380"/>
        <v>0</v>
      </c>
      <c r="Q6105" s="31" t="str">
        <f t="shared" si="381"/>
        <v/>
      </c>
      <c r="R6105" s="32" t="str">
        <f>IFERROR(VLOOKUP($D6105,'Informations sur les produits'!$A$3:$B$15000,2,FALSE),"")</f>
        <v/>
      </c>
      <c r="V6105">
        <f t="shared" si="382"/>
        <v>0</v>
      </c>
      <c r="W6105">
        <f t="shared" si="383"/>
        <v>0</v>
      </c>
    </row>
    <row r="6106" spans="5:23" x14ac:dyDescent="0.25">
      <c r="E6106" s="4"/>
      <c r="F6106" s="4"/>
      <c r="G6106" s="33" t="str">
        <f>IFERROR(VLOOKUP($D6106,'Informations sur les produits'!$A$3:$H$10000,8,FALSE),"0")</f>
        <v>0</v>
      </c>
      <c r="K6106" s="4"/>
      <c r="L6106" s="33" t="str">
        <f>IFERROR(VLOOKUP($J6106,'Informations sur les produits'!$A$3:$H$10000,8,FALSE),"0")</f>
        <v>0</v>
      </c>
      <c r="N6106" s="8"/>
      <c r="O6106" s="33" t="str">
        <f>IFERROR(VLOOKUP($M6106,'Informations sur les produits'!$A$3:$H$10000,8,FALSE),"0")</f>
        <v>0</v>
      </c>
      <c r="P6106" s="33">
        <f t="shared" si="380"/>
        <v>0</v>
      </c>
      <c r="Q6106" s="31" t="str">
        <f t="shared" si="381"/>
        <v/>
      </c>
      <c r="R6106" s="32" t="str">
        <f>IFERROR(VLOOKUP($D6106,'Informations sur les produits'!$A$3:$B$15000,2,FALSE),"")</f>
        <v/>
      </c>
      <c r="V6106">
        <f t="shared" si="382"/>
        <v>0</v>
      </c>
      <c r="W6106">
        <f t="shared" si="383"/>
        <v>0</v>
      </c>
    </row>
    <row r="6107" spans="5:23" x14ac:dyDescent="0.25">
      <c r="E6107" s="4"/>
      <c r="F6107" s="4"/>
      <c r="G6107" s="33" t="str">
        <f>IFERROR(VLOOKUP($D6107,'Informations sur les produits'!$A$3:$H$10000,8,FALSE),"0")</f>
        <v>0</v>
      </c>
      <c r="K6107" s="4"/>
      <c r="L6107" s="33" t="str">
        <f>IFERROR(VLOOKUP($J6107,'Informations sur les produits'!$A$3:$H$10000,8,FALSE),"0")</f>
        <v>0</v>
      </c>
      <c r="N6107" s="8"/>
      <c r="O6107" s="33" t="str">
        <f>IFERROR(VLOOKUP($M6107,'Informations sur les produits'!$A$3:$H$10000,8,FALSE),"0")</f>
        <v>0</v>
      </c>
      <c r="P6107" s="33">
        <f t="shared" si="380"/>
        <v>0</v>
      </c>
      <c r="Q6107" s="31" t="str">
        <f t="shared" si="381"/>
        <v/>
      </c>
      <c r="R6107" s="32" t="str">
        <f>IFERROR(VLOOKUP($D6107,'Informations sur les produits'!$A$3:$B$15000,2,FALSE),"")</f>
        <v/>
      </c>
      <c r="V6107">
        <f t="shared" si="382"/>
        <v>0</v>
      </c>
      <c r="W6107">
        <f t="shared" si="383"/>
        <v>0</v>
      </c>
    </row>
    <row r="6108" spans="5:23" x14ac:dyDescent="0.25">
      <c r="E6108" s="4"/>
      <c r="F6108" s="4"/>
      <c r="G6108" s="33" t="str">
        <f>IFERROR(VLOOKUP($D6108,'Informations sur les produits'!$A$3:$H$10000,8,FALSE),"0")</f>
        <v>0</v>
      </c>
      <c r="K6108" s="4"/>
      <c r="L6108" s="33" t="str">
        <f>IFERROR(VLOOKUP($J6108,'Informations sur les produits'!$A$3:$H$10000,8,FALSE),"0")</f>
        <v>0</v>
      </c>
      <c r="N6108" s="8"/>
      <c r="O6108" s="33" t="str">
        <f>IFERROR(VLOOKUP($M6108,'Informations sur les produits'!$A$3:$H$10000,8,FALSE),"0")</f>
        <v>0</v>
      </c>
      <c r="P6108" s="33">
        <f t="shared" si="380"/>
        <v>0</v>
      </c>
      <c r="Q6108" s="31" t="str">
        <f t="shared" si="381"/>
        <v/>
      </c>
      <c r="R6108" s="32" t="str">
        <f>IFERROR(VLOOKUP($D6108,'Informations sur les produits'!$A$3:$B$15000,2,FALSE),"")</f>
        <v/>
      </c>
      <c r="V6108">
        <f t="shared" si="382"/>
        <v>0</v>
      </c>
      <c r="W6108">
        <f t="shared" si="383"/>
        <v>0</v>
      </c>
    </row>
    <row r="6109" spans="5:23" x14ac:dyDescent="0.25">
      <c r="E6109" s="4"/>
      <c r="F6109" s="4"/>
      <c r="G6109" s="33" t="str">
        <f>IFERROR(VLOOKUP($D6109,'Informations sur les produits'!$A$3:$H$10000,8,FALSE),"0")</f>
        <v>0</v>
      </c>
      <c r="K6109" s="4"/>
      <c r="L6109" s="33" t="str">
        <f>IFERROR(VLOOKUP($J6109,'Informations sur les produits'!$A$3:$H$10000,8,FALSE),"0")</f>
        <v>0</v>
      </c>
      <c r="N6109" s="8"/>
      <c r="O6109" s="33" t="str">
        <f>IFERROR(VLOOKUP($M6109,'Informations sur les produits'!$A$3:$H$10000,8,FALSE),"0")</f>
        <v>0</v>
      </c>
      <c r="P6109" s="33">
        <f t="shared" si="380"/>
        <v>0</v>
      </c>
      <c r="Q6109" s="31" t="str">
        <f t="shared" si="381"/>
        <v/>
      </c>
      <c r="R6109" s="32" t="str">
        <f>IFERROR(VLOOKUP($D6109,'Informations sur les produits'!$A$3:$B$15000,2,FALSE),"")</f>
        <v/>
      </c>
      <c r="V6109">
        <f t="shared" si="382"/>
        <v>0</v>
      </c>
      <c r="W6109">
        <f t="shared" si="383"/>
        <v>0</v>
      </c>
    </row>
    <row r="6110" spans="5:23" x14ac:dyDescent="0.25">
      <c r="E6110" s="4"/>
      <c r="F6110" s="4"/>
      <c r="G6110" s="33" t="str">
        <f>IFERROR(VLOOKUP($D6110,'Informations sur les produits'!$A$3:$H$10000,8,FALSE),"0")</f>
        <v>0</v>
      </c>
      <c r="K6110" s="4"/>
      <c r="L6110" s="33" t="str">
        <f>IFERROR(VLOOKUP($J6110,'Informations sur les produits'!$A$3:$H$10000,8,FALSE),"0")</f>
        <v>0</v>
      </c>
      <c r="N6110" s="8"/>
      <c r="O6110" s="33" t="str">
        <f>IFERROR(VLOOKUP($M6110,'Informations sur les produits'!$A$3:$H$10000,8,FALSE),"0")</f>
        <v>0</v>
      </c>
      <c r="P6110" s="33">
        <f t="shared" si="380"/>
        <v>0</v>
      </c>
      <c r="Q6110" s="31" t="str">
        <f t="shared" si="381"/>
        <v/>
      </c>
      <c r="R6110" s="32" t="str">
        <f>IFERROR(VLOOKUP($D6110,'Informations sur les produits'!$A$3:$B$15000,2,FALSE),"")</f>
        <v/>
      </c>
      <c r="V6110">
        <f t="shared" si="382"/>
        <v>0</v>
      </c>
      <c r="W6110">
        <f t="shared" si="383"/>
        <v>0</v>
      </c>
    </row>
    <row r="6111" spans="5:23" x14ac:dyDescent="0.25">
      <c r="E6111" s="4"/>
      <c r="F6111" s="4"/>
      <c r="G6111" s="33" t="str">
        <f>IFERROR(VLOOKUP($D6111,'Informations sur les produits'!$A$3:$H$10000,8,FALSE),"0")</f>
        <v>0</v>
      </c>
      <c r="K6111" s="4"/>
      <c r="L6111" s="33" t="str">
        <f>IFERROR(VLOOKUP($J6111,'Informations sur les produits'!$A$3:$H$10000,8,FALSE),"0")</f>
        <v>0</v>
      </c>
      <c r="N6111" s="8"/>
      <c r="O6111" s="33" t="str">
        <f>IFERROR(VLOOKUP($M6111,'Informations sur les produits'!$A$3:$H$10000,8,FALSE),"0")</f>
        <v>0</v>
      </c>
      <c r="P6111" s="33">
        <f t="shared" si="380"/>
        <v>0</v>
      </c>
      <c r="Q6111" s="31" t="str">
        <f t="shared" si="381"/>
        <v/>
      </c>
      <c r="R6111" s="32" t="str">
        <f>IFERROR(VLOOKUP($D6111,'Informations sur les produits'!$A$3:$B$15000,2,FALSE),"")</f>
        <v/>
      </c>
      <c r="V6111">
        <f t="shared" si="382"/>
        <v>0</v>
      </c>
      <c r="W6111">
        <f t="shared" si="383"/>
        <v>0</v>
      </c>
    </row>
    <row r="6112" spans="5:23" x14ac:dyDescent="0.25">
      <c r="E6112" s="4"/>
      <c r="F6112" s="4"/>
      <c r="G6112" s="33" t="str">
        <f>IFERROR(VLOOKUP($D6112,'Informations sur les produits'!$A$3:$H$10000,8,FALSE),"0")</f>
        <v>0</v>
      </c>
      <c r="K6112" s="4"/>
      <c r="L6112" s="33" t="str">
        <f>IFERROR(VLOOKUP($J6112,'Informations sur les produits'!$A$3:$H$10000,8,FALSE),"0")</f>
        <v>0</v>
      </c>
      <c r="N6112" s="8"/>
      <c r="O6112" s="33" t="str">
        <f>IFERROR(VLOOKUP($M6112,'Informations sur les produits'!$A$3:$H$10000,8,FALSE),"0")</f>
        <v>0</v>
      </c>
      <c r="P6112" s="33">
        <f t="shared" si="380"/>
        <v>0</v>
      </c>
      <c r="Q6112" s="31" t="str">
        <f t="shared" si="381"/>
        <v/>
      </c>
      <c r="R6112" s="32" t="str">
        <f>IFERROR(VLOOKUP($D6112,'Informations sur les produits'!$A$3:$B$15000,2,FALSE),"")</f>
        <v/>
      </c>
      <c r="V6112">
        <f t="shared" si="382"/>
        <v>0</v>
      </c>
      <c r="W6112">
        <f t="shared" si="383"/>
        <v>0</v>
      </c>
    </row>
    <row r="6113" spans="5:23" x14ac:dyDescent="0.25">
      <c r="E6113" s="4"/>
      <c r="F6113" s="4"/>
      <c r="G6113" s="33" t="str">
        <f>IFERROR(VLOOKUP($D6113,'Informations sur les produits'!$A$3:$H$10000,8,FALSE),"0")</f>
        <v>0</v>
      </c>
      <c r="K6113" s="4"/>
      <c r="L6113" s="33" t="str">
        <f>IFERROR(VLOOKUP($J6113,'Informations sur les produits'!$A$3:$H$10000,8,FALSE),"0")</f>
        <v>0</v>
      </c>
      <c r="N6113" s="8"/>
      <c r="O6113" s="33" t="str">
        <f>IFERROR(VLOOKUP($M6113,'Informations sur les produits'!$A$3:$H$10000,8,FALSE),"0")</f>
        <v>0</v>
      </c>
      <c r="P6113" s="33">
        <f t="shared" si="380"/>
        <v>0</v>
      </c>
      <c r="Q6113" s="31" t="str">
        <f t="shared" si="381"/>
        <v/>
      </c>
      <c r="R6113" s="32" t="str">
        <f>IFERROR(VLOOKUP($D6113,'Informations sur les produits'!$A$3:$B$15000,2,FALSE),"")</f>
        <v/>
      </c>
      <c r="V6113">
        <f t="shared" si="382"/>
        <v>0</v>
      </c>
      <c r="W6113">
        <f t="shared" si="383"/>
        <v>0</v>
      </c>
    </row>
    <row r="6114" spans="5:23" x14ac:dyDescent="0.25">
      <c r="E6114" s="4"/>
      <c r="F6114" s="4"/>
      <c r="G6114" s="33" t="str">
        <f>IFERROR(VLOOKUP($D6114,'Informations sur les produits'!$A$3:$H$10000,8,FALSE),"0")</f>
        <v>0</v>
      </c>
      <c r="K6114" s="4"/>
      <c r="L6114" s="33" t="str">
        <f>IFERROR(VLOOKUP($J6114,'Informations sur les produits'!$A$3:$H$10000,8,FALSE),"0")</f>
        <v>0</v>
      </c>
      <c r="N6114" s="8"/>
      <c r="O6114" s="33" t="str">
        <f>IFERROR(VLOOKUP($M6114,'Informations sur les produits'!$A$3:$H$10000,8,FALSE),"0")</f>
        <v>0</v>
      </c>
      <c r="P6114" s="33">
        <f t="shared" si="380"/>
        <v>0</v>
      </c>
      <c r="Q6114" s="31" t="str">
        <f t="shared" si="381"/>
        <v/>
      </c>
      <c r="R6114" s="32" t="str">
        <f>IFERROR(VLOOKUP($D6114,'Informations sur les produits'!$A$3:$B$15000,2,FALSE),"")</f>
        <v/>
      </c>
      <c r="V6114">
        <f t="shared" si="382"/>
        <v>0</v>
      </c>
      <c r="W6114">
        <f t="shared" si="383"/>
        <v>0</v>
      </c>
    </row>
    <row r="6115" spans="5:23" x14ac:dyDescent="0.25">
      <c r="E6115" s="4"/>
      <c r="F6115" s="4"/>
      <c r="G6115" s="33" t="str">
        <f>IFERROR(VLOOKUP($D6115,'Informations sur les produits'!$A$3:$H$10000,8,FALSE),"0")</f>
        <v>0</v>
      </c>
      <c r="K6115" s="4"/>
      <c r="L6115" s="33" t="str">
        <f>IFERROR(VLOOKUP($J6115,'Informations sur les produits'!$A$3:$H$10000,8,FALSE),"0")</f>
        <v>0</v>
      </c>
      <c r="N6115" s="8"/>
      <c r="O6115" s="33" t="str">
        <f>IFERROR(VLOOKUP($M6115,'Informations sur les produits'!$A$3:$H$10000,8,FALSE),"0")</f>
        <v>0</v>
      </c>
      <c r="P6115" s="33">
        <f t="shared" si="380"/>
        <v>0</v>
      </c>
      <c r="Q6115" s="31" t="str">
        <f t="shared" si="381"/>
        <v/>
      </c>
      <c r="R6115" s="32" t="str">
        <f>IFERROR(VLOOKUP($D6115,'Informations sur les produits'!$A$3:$B$15000,2,FALSE),"")</f>
        <v/>
      </c>
      <c r="V6115">
        <f t="shared" si="382"/>
        <v>0</v>
      </c>
      <c r="W6115">
        <f t="shared" si="383"/>
        <v>0</v>
      </c>
    </row>
    <row r="6116" spans="5:23" x14ac:dyDescent="0.25">
      <c r="E6116" s="4"/>
      <c r="F6116" s="4"/>
      <c r="G6116" s="33" t="str">
        <f>IFERROR(VLOOKUP($D6116,'Informations sur les produits'!$A$3:$H$10000,8,FALSE),"0")</f>
        <v>0</v>
      </c>
      <c r="K6116" s="4"/>
      <c r="L6116" s="33" t="str">
        <f>IFERROR(VLOOKUP($J6116,'Informations sur les produits'!$A$3:$H$10000,8,FALSE),"0")</f>
        <v>0</v>
      </c>
      <c r="N6116" s="8"/>
      <c r="O6116" s="33" t="str">
        <f>IFERROR(VLOOKUP($M6116,'Informations sur les produits'!$A$3:$H$10000,8,FALSE),"0")</f>
        <v>0</v>
      </c>
      <c r="P6116" s="33">
        <f t="shared" si="380"/>
        <v>0</v>
      </c>
      <c r="Q6116" s="31" t="str">
        <f t="shared" si="381"/>
        <v/>
      </c>
      <c r="R6116" s="32" t="str">
        <f>IFERROR(VLOOKUP($D6116,'Informations sur les produits'!$A$3:$B$15000,2,FALSE),"")</f>
        <v/>
      </c>
      <c r="V6116">
        <f t="shared" si="382"/>
        <v>0</v>
      </c>
      <c r="W6116">
        <f t="shared" si="383"/>
        <v>0</v>
      </c>
    </row>
    <row r="6117" spans="5:23" x14ac:dyDescent="0.25">
      <c r="E6117" s="4"/>
      <c r="F6117" s="4"/>
      <c r="G6117" s="33" t="str">
        <f>IFERROR(VLOOKUP($D6117,'Informations sur les produits'!$A$3:$H$10000,8,FALSE),"0")</f>
        <v>0</v>
      </c>
      <c r="K6117" s="4"/>
      <c r="L6117" s="33" t="str">
        <f>IFERROR(VLOOKUP($J6117,'Informations sur les produits'!$A$3:$H$10000,8,FALSE),"0")</f>
        <v>0</v>
      </c>
      <c r="N6117" s="8"/>
      <c r="O6117" s="33" t="str">
        <f>IFERROR(VLOOKUP($M6117,'Informations sur les produits'!$A$3:$H$10000,8,FALSE),"0")</f>
        <v>0</v>
      </c>
      <c r="P6117" s="33">
        <f t="shared" si="380"/>
        <v>0</v>
      </c>
      <c r="Q6117" s="31" t="str">
        <f t="shared" si="381"/>
        <v/>
      </c>
      <c r="R6117" s="32" t="str">
        <f>IFERROR(VLOOKUP($D6117,'Informations sur les produits'!$A$3:$B$15000,2,FALSE),"")</f>
        <v/>
      </c>
      <c r="V6117">
        <f t="shared" si="382"/>
        <v>0</v>
      </c>
      <c r="W6117">
        <f t="shared" si="383"/>
        <v>0</v>
      </c>
    </row>
    <row r="6118" spans="5:23" x14ac:dyDescent="0.25">
      <c r="E6118" s="4"/>
      <c r="F6118" s="4"/>
      <c r="G6118" s="33" t="str">
        <f>IFERROR(VLOOKUP($D6118,'Informations sur les produits'!$A$3:$H$10000,8,FALSE),"0")</f>
        <v>0</v>
      </c>
      <c r="K6118" s="4"/>
      <c r="L6118" s="33" t="str">
        <f>IFERROR(VLOOKUP($J6118,'Informations sur les produits'!$A$3:$H$10000,8,FALSE),"0")</f>
        <v>0</v>
      </c>
      <c r="N6118" s="8"/>
      <c r="O6118" s="33" t="str">
        <f>IFERROR(VLOOKUP($M6118,'Informations sur les produits'!$A$3:$H$10000,8,FALSE),"0")</f>
        <v>0</v>
      </c>
      <c r="P6118" s="33">
        <f t="shared" si="380"/>
        <v>0</v>
      </c>
      <c r="Q6118" s="31" t="str">
        <f t="shared" si="381"/>
        <v/>
      </c>
      <c r="R6118" s="32" t="str">
        <f>IFERROR(VLOOKUP($D6118,'Informations sur les produits'!$A$3:$B$15000,2,FALSE),"")</f>
        <v/>
      </c>
      <c r="V6118">
        <f t="shared" si="382"/>
        <v>0</v>
      </c>
      <c r="W6118">
        <f t="shared" si="383"/>
        <v>0</v>
      </c>
    </row>
    <row r="6119" spans="5:23" x14ac:dyDescent="0.25">
      <c r="E6119" s="4"/>
      <c r="F6119" s="4"/>
      <c r="G6119" s="33" t="str">
        <f>IFERROR(VLOOKUP($D6119,'Informations sur les produits'!$A$3:$H$10000,8,FALSE),"0")</f>
        <v>0</v>
      </c>
      <c r="K6119" s="4"/>
      <c r="L6119" s="33" t="str">
        <f>IFERROR(VLOOKUP($J6119,'Informations sur les produits'!$A$3:$H$10000,8,FALSE),"0")</f>
        <v>0</v>
      </c>
      <c r="N6119" s="8"/>
      <c r="O6119" s="33" t="str">
        <f>IFERROR(VLOOKUP($M6119,'Informations sur les produits'!$A$3:$H$10000,8,FALSE),"0")</f>
        <v>0</v>
      </c>
      <c r="P6119" s="33">
        <f t="shared" si="380"/>
        <v>0</v>
      </c>
      <c r="Q6119" s="31" t="str">
        <f t="shared" si="381"/>
        <v/>
      </c>
      <c r="R6119" s="32" t="str">
        <f>IFERROR(VLOOKUP($D6119,'Informations sur les produits'!$A$3:$B$15000,2,FALSE),"")</f>
        <v/>
      </c>
      <c r="V6119">
        <f t="shared" si="382"/>
        <v>0</v>
      </c>
      <c r="W6119">
        <f t="shared" si="383"/>
        <v>0</v>
      </c>
    </row>
    <row r="6120" spans="5:23" x14ac:dyDescent="0.25">
      <c r="E6120" s="4"/>
      <c r="F6120" s="4"/>
      <c r="G6120" s="33" t="str">
        <f>IFERROR(VLOOKUP($D6120,'Informations sur les produits'!$A$3:$H$10000,8,FALSE),"0")</f>
        <v>0</v>
      </c>
      <c r="K6120" s="4"/>
      <c r="L6120" s="33" t="str">
        <f>IFERROR(VLOOKUP($J6120,'Informations sur les produits'!$A$3:$H$10000,8,FALSE),"0")</f>
        <v>0</v>
      </c>
      <c r="N6120" s="8"/>
      <c r="O6120" s="33" t="str">
        <f>IFERROR(VLOOKUP($M6120,'Informations sur les produits'!$A$3:$H$10000,8,FALSE),"0")</f>
        <v>0</v>
      </c>
      <c r="P6120" s="33">
        <f t="shared" si="380"/>
        <v>0</v>
      </c>
      <c r="Q6120" s="31" t="str">
        <f t="shared" si="381"/>
        <v/>
      </c>
      <c r="R6120" s="32" t="str">
        <f>IFERROR(VLOOKUP($D6120,'Informations sur les produits'!$A$3:$B$15000,2,FALSE),"")</f>
        <v/>
      </c>
      <c r="V6120">
        <f t="shared" si="382"/>
        <v>0</v>
      </c>
      <c r="W6120">
        <f t="shared" si="383"/>
        <v>0</v>
      </c>
    </row>
    <row r="6121" spans="5:23" x14ac:dyDescent="0.25">
      <c r="E6121" s="4"/>
      <c r="F6121" s="4"/>
      <c r="G6121" s="33" t="str">
        <f>IFERROR(VLOOKUP($D6121,'Informations sur les produits'!$A$3:$H$10000,8,FALSE),"0")</f>
        <v>0</v>
      </c>
      <c r="K6121" s="4"/>
      <c r="L6121" s="33" t="str">
        <f>IFERROR(VLOOKUP($J6121,'Informations sur les produits'!$A$3:$H$10000,8,FALSE),"0")</f>
        <v>0</v>
      </c>
      <c r="N6121" s="8"/>
      <c r="O6121" s="33" t="str">
        <f>IFERROR(VLOOKUP($M6121,'Informations sur les produits'!$A$3:$H$10000,8,FALSE),"0")</f>
        <v>0</v>
      </c>
      <c r="P6121" s="33">
        <f t="shared" si="380"/>
        <v>0</v>
      </c>
      <c r="Q6121" s="31" t="str">
        <f t="shared" si="381"/>
        <v/>
      </c>
      <c r="R6121" s="32" t="str">
        <f>IFERROR(VLOOKUP($D6121,'Informations sur les produits'!$A$3:$B$15000,2,FALSE),"")</f>
        <v/>
      </c>
      <c r="V6121">
        <f t="shared" si="382"/>
        <v>0</v>
      </c>
      <c r="W6121">
        <f t="shared" si="383"/>
        <v>0</v>
      </c>
    </row>
    <row r="6122" spans="5:23" x14ac:dyDescent="0.25">
      <c r="E6122" s="4"/>
      <c r="F6122" s="4"/>
      <c r="G6122" s="33" t="str">
        <f>IFERROR(VLOOKUP($D6122,'Informations sur les produits'!$A$3:$H$10000,8,FALSE),"0")</f>
        <v>0</v>
      </c>
      <c r="K6122" s="4"/>
      <c r="L6122" s="33" t="str">
        <f>IFERROR(VLOOKUP($J6122,'Informations sur les produits'!$A$3:$H$10000,8,FALSE),"0")</f>
        <v>0</v>
      </c>
      <c r="N6122" s="8"/>
      <c r="O6122" s="33" t="str">
        <f>IFERROR(VLOOKUP($M6122,'Informations sur les produits'!$A$3:$H$10000,8,FALSE),"0")</f>
        <v>0</v>
      </c>
      <c r="P6122" s="33">
        <f t="shared" si="380"/>
        <v>0</v>
      </c>
      <c r="Q6122" s="31" t="str">
        <f t="shared" si="381"/>
        <v/>
      </c>
      <c r="R6122" s="32" t="str">
        <f>IFERROR(VLOOKUP($D6122,'Informations sur les produits'!$A$3:$B$15000,2,FALSE),"")</f>
        <v/>
      </c>
      <c r="V6122">
        <f t="shared" si="382"/>
        <v>0</v>
      </c>
      <c r="W6122">
        <f t="shared" si="383"/>
        <v>0</v>
      </c>
    </row>
    <row r="6123" spans="5:23" x14ac:dyDescent="0.25">
      <c r="E6123" s="4"/>
      <c r="F6123" s="4"/>
      <c r="G6123" s="33" t="str">
        <f>IFERROR(VLOOKUP($D6123,'Informations sur les produits'!$A$3:$H$10000,8,FALSE),"0")</f>
        <v>0</v>
      </c>
      <c r="K6123" s="4"/>
      <c r="L6123" s="33" t="str">
        <f>IFERROR(VLOOKUP($J6123,'Informations sur les produits'!$A$3:$H$10000,8,FALSE),"0")</f>
        <v>0</v>
      </c>
      <c r="N6123" s="8"/>
      <c r="O6123" s="33" t="str">
        <f>IFERROR(VLOOKUP($M6123,'Informations sur les produits'!$A$3:$H$10000,8,FALSE),"0")</f>
        <v>0</v>
      </c>
      <c r="P6123" s="33">
        <f t="shared" si="380"/>
        <v>0</v>
      </c>
      <c r="Q6123" s="31" t="str">
        <f t="shared" si="381"/>
        <v/>
      </c>
      <c r="R6123" s="32" t="str">
        <f>IFERROR(VLOOKUP($D6123,'Informations sur les produits'!$A$3:$B$15000,2,FALSE),"")</f>
        <v/>
      </c>
      <c r="V6123">
        <f t="shared" si="382"/>
        <v>0</v>
      </c>
      <c r="W6123">
        <f t="shared" si="383"/>
        <v>0</v>
      </c>
    </row>
    <row r="6124" spans="5:23" x14ac:dyDescent="0.25">
      <c r="E6124" s="4"/>
      <c r="F6124" s="4"/>
      <c r="G6124" s="33" t="str">
        <f>IFERROR(VLOOKUP($D6124,'Informations sur les produits'!$A$3:$H$10000,8,FALSE),"0")</f>
        <v>0</v>
      </c>
      <c r="K6124" s="4"/>
      <c r="L6124" s="33" t="str">
        <f>IFERROR(VLOOKUP($J6124,'Informations sur les produits'!$A$3:$H$10000,8,FALSE),"0")</f>
        <v>0</v>
      </c>
      <c r="N6124" s="8"/>
      <c r="O6124" s="33" t="str">
        <f>IFERROR(VLOOKUP($M6124,'Informations sur les produits'!$A$3:$H$10000,8,FALSE),"0")</f>
        <v>0</v>
      </c>
      <c r="P6124" s="33">
        <f t="shared" si="380"/>
        <v>0</v>
      </c>
      <c r="Q6124" s="31" t="str">
        <f t="shared" si="381"/>
        <v/>
      </c>
      <c r="R6124" s="32" t="str">
        <f>IFERROR(VLOOKUP($D6124,'Informations sur les produits'!$A$3:$B$15000,2,FALSE),"")</f>
        <v/>
      </c>
      <c r="V6124">
        <f t="shared" si="382"/>
        <v>0</v>
      </c>
      <c r="W6124">
        <f t="shared" si="383"/>
        <v>0</v>
      </c>
    </row>
    <row r="6125" spans="5:23" x14ac:dyDescent="0.25">
      <c r="E6125" s="4"/>
      <c r="F6125" s="4"/>
      <c r="G6125" s="33" t="str">
        <f>IFERROR(VLOOKUP($D6125,'Informations sur les produits'!$A$3:$H$10000,8,FALSE),"0")</f>
        <v>0</v>
      </c>
      <c r="K6125" s="4"/>
      <c r="L6125" s="33" t="str">
        <f>IFERROR(VLOOKUP($J6125,'Informations sur les produits'!$A$3:$H$10000,8,FALSE),"0")</f>
        <v>0</v>
      </c>
      <c r="N6125" s="8"/>
      <c r="O6125" s="33" t="str">
        <f>IFERROR(VLOOKUP($M6125,'Informations sur les produits'!$A$3:$H$10000,8,FALSE),"0")</f>
        <v>0</v>
      </c>
      <c r="P6125" s="33">
        <f t="shared" si="380"/>
        <v>0</v>
      </c>
      <c r="Q6125" s="31" t="str">
        <f t="shared" si="381"/>
        <v/>
      </c>
      <c r="R6125" s="32" t="str">
        <f>IFERROR(VLOOKUP($D6125,'Informations sur les produits'!$A$3:$B$15000,2,FALSE),"")</f>
        <v/>
      </c>
      <c r="V6125">
        <f t="shared" si="382"/>
        <v>0</v>
      </c>
      <c r="W6125">
        <f t="shared" si="383"/>
        <v>0</v>
      </c>
    </row>
    <row r="6126" spans="5:23" x14ac:dyDescent="0.25">
      <c r="E6126" s="4"/>
      <c r="F6126" s="4"/>
      <c r="G6126" s="33" t="str">
        <f>IFERROR(VLOOKUP($D6126,'Informations sur les produits'!$A$3:$H$10000,8,FALSE),"0")</f>
        <v>0</v>
      </c>
      <c r="K6126" s="4"/>
      <c r="L6126" s="33" t="str">
        <f>IFERROR(VLOOKUP($J6126,'Informations sur les produits'!$A$3:$H$10000,8,FALSE),"0")</f>
        <v>0</v>
      </c>
      <c r="N6126" s="8"/>
      <c r="O6126" s="33" t="str">
        <f>IFERROR(VLOOKUP($M6126,'Informations sur les produits'!$A$3:$H$10000,8,FALSE),"0")</f>
        <v>0</v>
      </c>
      <c r="P6126" s="33">
        <f t="shared" si="380"/>
        <v>0</v>
      </c>
      <c r="Q6126" s="31" t="str">
        <f t="shared" si="381"/>
        <v/>
      </c>
      <c r="R6126" s="32" t="str">
        <f>IFERROR(VLOOKUP($D6126,'Informations sur les produits'!$A$3:$B$15000,2,FALSE),"")</f>
        <v/>
      </c>
      <c r="V6126">
        <f t="shared" si="382"/>
        <v>0</v>
      </c>
      <c r="W6126">
        <f t="shared" si="383"/>
        <v>0</v>
      </c>
    </row>
    <row r="6127" spans="5:23" x14ac:dyDescent="0.25">
      <c r="E6127" s="4"/>
      <c r="F6127" s="4"/>
      <c r="G6127" s="33" t="str">
        <f>IFERROR(VLOOKUP($D6127,'Informations sur les produits'!$A$3:$H$10000,8,FALSE),"0")</f>
        <v>0</v>
      </c>
      <c r="K6127" s="4"/>
      <c r="L6127" s="33" t="str">
        <f>IFERROR(VLOOKUP($J6127,'Informations sur les produits'!$A$3:$H$10000,8,FALSE),"0")</f>
        <v>0</v>
      </c>
      <c r="N6127" s="8"/>
      <c r="O6127" s="33" t="str">
        <f>IFERROR(VLOOKUP($M6127,'Informations sur les produits'!$A$3:$H$10000,8,FALSE),"0")</f>
        <v>0</v>
      </c>
      <c r="P6127" s="33">
        <f t="shared" si="380"/>
        <v>0</v>
      </c>
      <c r="Q6127" s="31" t="str">
        <f t="shared" si="381"/>
        <v/>
      </c>
      <c r="R6127" s="32" t="str">
        <f>IFERROR(VLOOKUP($D6127,'Informations sur les produits'!$A$3:$B$15000,2,FALSE),"")</f>
        <v/>
      </c>
      <c r="V6127">
        <f t="shared" si="382"/>
        <v>0</v>
      </c>
      <c r="W6127">
        <f t="shared" si="383"/>
        <v>0</v>
      </c>
    </row>
    <row r="6128" spans="5:23" x14ac:dyDescent="0.25">
      <c r="E6128" s="4"/>
      <c r="F6128" s="4"/>
      <c r="G6128" s="33" t="str">
        <f>IFERROR(VLOOKUP($D6128,'Informations sur les produits'!$A$3:$H$10000,8,FALSE),"0")</f>
        <v>0</v>
      </c>
      <c r="K6128" s="4"/>
      <c r="L6128" s="33" t="str">
        <f>IFERROR(VLOOKUP($J6128,'Informations sur les produits'!$A$3:$H$10000,8,FALSE),"0")</f>
        <v>0</v>
      </c>
      <c r="N6128" s="8"/>
      <c r="O6128" s="33" t="str">
        <f>IFERROR(VLOOKUP($M6128,'Informations sur les produits'!$A$3:$H$10000,8,FALSE),"0")</f>
        <v>0</v>
      </c>
      <c r="P6128" s="33">
        <f t="shared" si="380"/>
        <v>0</v>
      </c>
      <c r="Q6128" s="31" t="str">
        <f t="shared" si="381"/>
        <v/>
      </c>
      <c r="R6128" s="32" t="str">
        <f>IFERROR(VLOOKUP($D6128,'Informations sur les produits'!$A$3:$B$15000,2,FALSE),"")</f>
        <v/>
      </c>
      <c r="V6128">
        <f t="shared" si="382"/>
        <v>0</v>
      </c>
      <c r="W6128">
        <f t="shared" si="383"/>
        <v>0</v>
      </c>
    </row>
    <row r="6129" spans="5:23" x14ac:dyDescent="0.25">
      <c r="E6129" s="4"/>
      <c r="F6129" s="4"/>
      <c r="G6129" s="33" t="str">
        <f>IFERROR(VLOOKUP($D6129,'Informations sur les produits'!$A$3:$H$10000,8,FALSE),"0")</f>
        <v>0</v>
      </c>
      <c r="K6129" s="4"/>
      <c r="L6129" s="33" t="str">
        <f>IFERROR(VLOOKUP($J6129,'Informations sur les produits'!$A$3:$H$10000,8,FALSE),"0")</f>
        <v>0</v>
      </c>
      <c r="N6129" s="8"/>
      <c r="O6129" s="33" t="str">
        <f>IFERROR(VLOOKUP($M6129,'Informations sur les produits'!$A$3:$H$10000,8,FALSE),"0")</f>
        <v>0</v>
      </c>
      <c r="P6129" s="33">
        <f t="shared" si="380"/>
        <v>0</v>
      </c>
      <c r="Q6129" s="31" t="str">
        <f t="shared" si="381"/>
        <v/>
      </c>
      <c r="R6129" s="32" t="str">
        <f>IFERROR(VLOOKUP($D6129,'Informations sur les produits'!$A$3:$B$15000,2,FALSE),"")</f>
        <v/>
      </c>
      <c r="V6129">
        <f t="shared" si="382"/>
        <v>0</v>
      </c>
      <c r="W6129">
        <f t="shared" si="383"/>
        <v>0</v>
      </c>
    </row>
    <row r="6130" spans="5:23" x14ac:dyDescent="0.25">
      <c r="E6130" s="4"/>
      <c r="F6130" s="4"/>
      <c r="G6130" s="33" t="str">
        <f>IFERROR(VLOOKUP($D6130,'Informations sur les produits'!$A$3:$H$10000,8,FALSE),"0")</f>
        <v>0</v>
      </c>
      <c r="K6130" s="4"/>
      <c r="L6130" s="33" t="str">
        <f>IFERROR(VLOOKUP($J6130,'Informations sur les produits'!$A$3:$H$10000,8,FALSE),"0")</f>
        <v>0</v>
      </c>
      <c r="N6130" s="8"/>
      <c r="O6130" s="33" t="str">
        <f>IFERROR(VLOOKUP($M6130,'Informations sur les produits'!$A$3:$H$10000,8,FALSE),"0")</f>
        <v>0</v>
      </c>
      <c r="P6130" s="33">
        <f t="shared" si="380"/>
        <v>0</v>
      </c>
      <c r="Q6130" s="31" t="str">
        <f t="shared" si="381"/>
        <v/>
      </c>
      <c r="R6130" s="32" t="str">
        <f>IFERROR(VLOOKUP($D6130,'Informations sur les produits'!$A$3:$B$15000,2,FALSE),"")</f>
        <v/>
      </c>
      <c r="V6130">
        <f t="shared" si="382"/>
        <v>0</v>
      </c>
      <c r="W6130">
        <f t="shared" si="383"/>
        <v>0</v>
      </c>
    </row>
    <row r="6131" spans="5:23" x14ac:dyDescent="0.25">
      <c r="E6131" s="4"/>
      <c r="F6131" s="4"/>
      <c r="G6131" s="33" t="str">
        <f>IFERROR(VLOOKUP($D6131,'Informations sur les produits'!$A$3:$H$10000,8,FALSE),"0")</f>
        <v>0</v>
      </c>
      <c r="K6131" s="4"/>
      <c r="L6131" s="33" t="str">
        <f>IFERROR(VLOOKUP($J6131,'Informations sur les produits'!$A$3:$H$10000,8,FALSE),"0")</f>
        <v>0</v>
      </c>
      <c r="N6131" s="8"/>
      <c r="O6131" s="33" t="str">
        <f>IFERROR(VLOOKUP($M6131,'Informations sur les produits'!$A$3:$H$10000,8,FALSE),"0")</f>
        <v>0</v>
      </c>
      <c r="P6131" s="33">
        <f t="shared" si="380"/>
        <v>0</v>
      </c>
      <c r="Q6131" s="31" t="str">
        <f t="shared" si="381"/>
        <v/>
      </c>
      <c r="R6131" s="32" t="str">
        <f>IFERROR(VLOOKUP($D6131,'Informations sur les produits'!$A$3:$B$15000,2,FALSE),"")</f>
        <v/>
      </c>
      <c r="V6131">
        <f t="shared" si="382"/>
        <v>0</v>
      </c>
      <c r="W6131">
        <f t="shared" si="383"/>
        <v>0</v>
      </c>
    </row>
    <row r="6132" spans="5:23" x14ac:dyDescent="0.25">
      <c r="E6132" s="4"/>
      <c r="F6132" s="4"/>
      <c r="G6132" s="33" t="str">
        <f>IFERROR(VLOOKUP($D6132,'Informations sur les produits'!$A$3:$H$10000,8,FALSE),"0")</f>
        <v>0</v>
      </c>
      <c r="K6132" s="4"/>
      <c r="L6132" s="33" t="str">
        <f>IFERROR(VLOOKUP($J6132,'Informations sur les produits'!$A$3:$H$10000,8,FALSE),"0")</f>
        <v>0</v>
      </c>
      <c r="N6132" s="8"/>
      <c r="O6132" s="33" t="str">
        <f>IFERROR(VLOOKUP($M6132,'Informations sur les produits'!$A$3:$H$10000,8,FALSE),"0")</f>
        <v>0</v>
      </c>
      <c r="P6132" s="33">
        <f t="shared" si="380"/>
        <v>0</v>
      </c>
      <c r="Q6132" s="31" t="str">
        <f t="shared" si="381"/>
        <v/>
      </c>
      <c r="R6132" s="32" t="str">
        <f>IFERROR(VLOOKUP($D6132,'Informations sur les produits'!$A$3:$B$15000,2,FALSE),"")</f>
        <v/>
      </c>
      <c r="V6132">
        <f t="shared" si="382"/>
        <v>0</v>
      </c>
      <c r="W6132">
        <f t="shared" si="383"/>
        <v>0</v>
      </c>
    </row>
    <row r="6133" spans="5:23" x14ac:dyDescent="0.25">
      <c r="E6133" s="4"/>
      <c r="F6133" s="4"/>
      <c r="G6133" s="33" t="str">
        <f>IFERROR(VLOOKUP($D6133,'Informations sur les produits'!$A$3:$H$10000,8,FALSE),"0")</f>
        <v>0</v>
      </c>
      <c r="K6133" s="4"/>
      <c r="L6133" s="33" t="str">
        <f>IFERROR(VLOOKUP($J6133,'Informations sur les produits'!$A$3:$H$10000,8,FALSE),"0")</f>
        <v>0</v>
      </c>
      <c r="N6133" s="8"/>
      <c r="O6133" s="33" t="str">
        <f>IFERROR(VLOOKUP($M6133,'Informations sur les produits'!$A$3:$H$10000,8,FALSE),"0")</f>
        <v>0</v>
      </c>
      <c r="P6133" s="33">
        <f t="shared" si="380"/>
        <v>0</v>
      </c>
      <c r="Q6133" s="31" t="str">
        <f t="shared" si="381"/>
        <v/>
      </c>
      <c r="R6133" s="32" t="str">
        <f>IFERROR(VLOOKUP($D6133,'Informations sur les produits'!$A$3:$B$15000,2,FALSE),"")</f>
        <v/>
      </c>
      <c r="V6133">
        <f t="shared" si="382"/>
        <v>0</v>
      </c>
      <c r="W6133">
        <f t="shared" si="383"/>
        <v>0</v>
      </c>
    </row>
    <row r="6134" spans="5:23" x14ac:dyDescent="0.25">
      <c r="E6134" s="4"/>
      <c r="F6134" s="4"/>
      <c r="G6134" s="33" t="str">
        <f>IFERROR(VLOOKUP($D6134,'Informations sur les produits'!$A$3:$H$10000,8,FALSE),"0")</f>
        <v>0</v>
      </c>
      <c r="K6134" s="4"/>
      <c r="L6134" s="33" t="str">
        <f>IFERROR(VLOOKUP($J6134,'Informations sur les produits'!$A$3:$H$10000,8,FALSE),"0")</f>
        <v>0</v>
      </c>
      <c r="N6134" s="8"/>
      <c r="O6134" s="33" t="str">
        <f>IFERROR(VLOOKUP($M6134,'Informations sur les produits'!$A$3:$H$10000,8,FALSE),"0")</f>
        <v>0</v>
      </c>
      <c r="P6134" s="33">
        <f t="shared" si="380"/>
        <v>0</v>
      </c>
      <c r="Q6134" s="31" t="str">
        <f t="shared" si="381"/>
        <v/>
      </c>
      <c r="R6134" s="32" t="str">
        <f>IFERROR(VLOOKUP($D6134,'Informations sur les produits'!$A$3:$B$15000,2,FALSE),"")</f>
        <v/>
      </c>
      <c r="V6134">
        <f t="shared" si="382"/>
        <v>0</v>
      </c>
      <c r="W6134">
        <f t="shared" si="383"/>
        <v>0</v>
      </c>
    </row>
    <row r="6135" spans="5:23" x14ac:dyDescent="0.25">
      <c r="E6135" s="4"/>
      <c r="F6135" s="4"/>
      <c r="G6135" s="33" t="str">
        <f>IFERROR(VLOOKUP($D6135,'Informations sur les produits'!$A$3:$H$10000,8,FALSE),"0")</f>
        <v>0</v>
      </c>
      <c r="K6135" s="4"/>
      <c r="L6135" s="33" t="str">
        <f>IFERROR(VLOOKUP($J6135,'Informations sur les produits'!$A$3:$H$10000,8,FALSE),"0")</f>
        <v>0</v>
      </c>
      <c r="N6135" s="8"/>
      <c r="O6135" s="33" t="str">
        <f>IFERROR(VLOOKUP($M6135,'Informations sur les produits'!$A$3:$H$10000,8,FALSE),"0")</f>
        <v>0</v>
      </c>
      <c r="P6135" s="33">
        <f t="shared" si="380"/>
        <v>0</v>
      </c>
      <c r="Q6135" s="31" t="str">
        <f t="shared" si="381"/>
        <v/>
      </c>
      <c r="R6135" s="32" t="str">
        <f>IFERROR(VLOOKUP($D6135,'Informations sur les produits'!$A$3:$B$15000,2,FALSE),"")</f>
        <v/>
      </c>
      <c r="V6135">
        <f t="shared" si="382"/>
        <v>0</v>
      </c>
      <c r="W6135">
        <f t="shared" si="383"/>
        <v>0</v>
      </c>
    </row>
    <row r="6136" spans="5:23" x14ac:dyDescent="0.25">
      <c r="E6136" s="4"/>
      <c r="F6136" s="4"/>
      <c r="G6136" s="33" t="str">
        <f>IFERROR(VLOOKUP($D6136,'Informations sur les produits'!$A$3:$H$10000,8,FALSE),"0")</f>
        <v>0</v>
      </c>
      <c r="K6136" s="4"/>
      <c r="L6136" s="33" t="str">
        <f>IFERROR(VLOOKUP($J6136,'Informations sur les produits'!$A$3:$H$10000,8,FALSE),"0")</f>
        <v>0</v>
      </c>
      <c r="N6136" s="8"/>
      <c r="O6136" s="33" t="str">
        <f>IFERROR(VLOOKUP($M6136,'Informations sur les produits'!$A$3:$H$10000,8,FALSE),"0")</f>
        <v>0</v>
      </c>
      <c r="P6136" s="33">
        <f t="shared" si="380"/>
        <v>0</v>
      </c>
      <c r="Q6136" s="31" t="str">
        <f t="shared" si="381"/>
        <v/>
      </c>
      <c r="R6136" s="32" t="str">
        <f>IFERROR(VLOOKUP($D6136,'Informations sur les produits'!$A$3:$B$15000,2,FALSE),"")</f>
        <v/>
      </c>
      <c r="V6136">
        <f t="shared" si="382"/>
        <v>0</v>
      </c>
      <c r="W6136">
        <f t="shared" si="383"/>
        <v>0</v>
      </c>
    </row>
    <row r="6137" spans="5:23" x14ac:dyDescent="0.25">
      <c r="E6137" s="4"/>
      <c r="F6137" s="4"/>
      <c r="G6137" s="33" t="str">
        <f>IFERROR(VLOOKUP($D6137,'Informations sur les produits'!$A$3:$H$10000,8,FALSE),"0")</f>
        <v>0</v>
      </c>
      <c r="K6137" s="4"/>
      <c r="L6137" s="33" t="str">
        <f>IFERROR(VLOOKUP($J6137,'Informations sur les produits'!$A$3:$H$10000,8,FALSE),"0")</f>
        <v>0</v>
      </c>
      <c r="N6137" s="8"/>
      <c r="O6137" s="33" t="str">
        <f>IFERROR(VLOOKUP($M6137,'Informations sur les produits'!$A$3:$H$10000,8,FALSE),"0")</f>
        <v>0</v>
      </c>
      <c r="P6137" s="33">
        <f t="shared" si="380"/>
        <v>0</v>
      </c>
      <c r="Q6137" s="31" t="str">
        <f t="shared" si="381"/>
        <v/>
      </c>
      <c r="R6137" s="32" t="str">
        <f>IFERROR(VLOOKUP($D6137,'Informations sur les produits'!$A$3:$B$15000,2,FALSE),"")</f>
        <v/>
      </c>
      <c r="V6137">
        <f t="shared" si="382"/>
        <v>0</v>
      </c>
      <c r="W6137">
        <f t="shared" si="383"/>
        <v>0</v>
      </c>
    </row>
    <row r="6138" spans="5:23" x14ac:dyDescent="0.25">
      <c r="E6138" s="4"/>
      <c r="F6138" s="4"/>
      <c r="G6138" s="33" t="str">
        <f>IFERROR(VLOOKUP($D6138,'Informations sur les produits'!$A$3:$H$10000,8,FALSE),"0")</f>
        <v>0</v>
      </c>
      <c r="K6138" s="4"/>
      <c r="L6138" s="33" t="str">
        <f>IFERROR(VLOOKUP($J6138,'Informations sur les produits'!$A$3:$H$10000,8,FALSE),"0")</f>
        <v>0</v>
      </c>
      <c r="N6138" s="8"/>
      <c r="O6138" s="33" t="str">
        <f>IFERROR(VLOOKUP($M6138,'Informations sur les produits'!$A$3:$H$10000,8,FALSE),"0")</f>
        <v>0</v>
      </c>
      <c r="P6138" s="33">
        <f t="shared" si="380"/>
        <v>0</v>
      </c>
      <c r="Q6138" s="31" t="str">
        <f t="shared" si="381"/>
        <v/>
      </c>
      <c r="R6138" s="32" t="str">
        <f>IFERROR(VLOOKUP($D6138,'Informations sur les produits'!$A$3:$B$15000,2,FALSE),"")</f>
        <v/>
      </c>
      <c r="V6138">
        <f t="shared" si="382"/>
        <v>0</v>
      </c>
      <c r="W6138">
        <f t="shared" si="383"/>
        <v>0</v>
      </c>
    </row>
    <row r="6139" spans="5:23" x14ac:dyDescent="0.25">
      <c r="E6139" s="4"/>
      <c r="F6139" s="4"/>
      <c r="G6139" s="33" t="str">
        <f>IFERROR(VLOOKUP($D6139,'Informations sur les produits'!$A$3:$H$10000,8,FALSE),"0")</f>
        <v>0</v>
      </c>
      <c r="K6139" s="4"/>
      <c r="L6139" s="33" t="str">
        <f>IFERROR(VLOOKUP($J6139,'Informations sur les produits'!$A$3:$H$10000,8,FALSE),"0")</f>
        <v>0</v>
      </c>
      <c r="N6139" s="8"/>
      <c r="O6139" s="33" t="str">
        <f>IFERROR(VLOOKUP($M6139,'Informations sur les produits'!$A$3:$H$10000,8,FALSE),"0")</f>
        <v>0</v>
      </c>
      <c r="P6139" s="33">
        <f t="shared" si="380"/>
        <v>0</v>
      </c>
      <c r="Q6139" s="31" t="str">
        <f t="shared" si="381"/>
        <v/>
      </c>
      <c r="R6139" s="32" t="str">
        <f>IFERROR(VLOOKUP($D6139,'Informations sur les produits'!$A$3:$B$15000,2,FALSE),"")</f>
        <v/>
      </c>
      <c r="V6139">
        <f t="shared" si="382"/>
        <v>0</v>
      </c>
      <c r="W6139">
        <f t="shared" si="383"/>
        <v>0</v>
      </c>
    </row>
    <row r="6140" spans="5:23" x14ac:dyDescent="0.25">
      <c r="E6140" s="4"/>
      <c r="F6140" s="4"/>
      <c r="G6140" s="33" t="str">
        <f>IFERROR(VLOOKUP($D6140,'Informations sur les produits'!$A$3:$H$10000,8,FALSE),"0")</f>
        <v>0</v>
      </c>
      <c r="K6140" s="4"/>
      <c r="L6140" s="33" t="str">
        <f>IFERROR(VLOOKUP($J6140,'Informations sur les produits'!$A$3:$H$10000,8,FALSE),"0")</f>
        <v>0</v>
      </c>
      <c r="N6140" s="8"/>
      <c r="O6140" s="33" t="str">
        <f>IFERROR(VLOOKUP($M6140,'Informations sur les produits'!$A$3:$H$10000,8,FALSE),"0")</f>
        <v>0</v>
      </c>
      <c r="P6140" s="33">
        <f t="shared" si="380"/>
        <v>0</v>
      </c>
      <c r="Q6140" s="31" t="str">
        <f t="shared" si="381"/>
        <v/>
      </c>
      <c r="R6140" s="32" t="str">
        <f>IFERROR(VLOOKUP($D6140,'Informations sur les produits'!$A$3:$B$15000,2,FALSE),"")</f>
        <v/>
      </c>
      <c r="V6140">
        <f t="shared" si="382"/>
        <v>0</v>
      </c>
      <c r="W6140">
        <f t="shared" si="383"/>
        <v>0</v>
      </c>
    </row>
    <row r="6141" spans="5:23" x14ac:dyDescent="0.25">
      <c r="E6141" s="4"/>
      <c r="F6141" s="4"/>
      <c r="G6141" s="33" t="str">
        <f>IFERROR(VLOOKUP($D6141,'Informations sur les produits'!$A$3:$H$10000,8,FALSE),"0")</f>
        <v>0</v>
      </c>
      <c r="K6141" s="4"/>
      <c r="L6141" s="33" t="str">
        <f>IFERROR(VLOOKUP($J6141,'Informations sur les produits'!$A$3:$H$10000,8,FALSE),"0")</f>
        <v>0</v>
      </c>
      <c r="N6141" s="8"/>
      <c r="O6141" s="33" t="str">
        <f>IFERROR(VLOOKUP($M6141,'Informations sur les produits'!$A$3:$H$10000,8,FALSE),"0")</f>
        <v>0</v>
      </c>
      <c r="P6141" s="33">
        <f t="shared" si="380"/>
        <v>0</v>
      </c>
      <c r="Q6141" s="31" t="str">
        <f t="shared" si="381"/>
        <v/>
      </c>
      <c r="R6141" s="32" t="str">
        <f>IFERROR(VLOOKUP($D6141,'Informations sur les produits'!$A$3:$B$15000,2,FALSE),"")</f>
        <v/>
      </c>
      <c r="V6141">
        <f t="shared" si="382"/>
        <v>0</v>
      </c>
      <c r="W6141">
        <f t="shared" si="383"/>
        <v>0</v>
      </c>
    </row>
    <row r="6142" spans="5:23" x14ac:dyDescent="0.25">
      <c r="E6142" s="4"/>
      <c r="F6142" s="4"/>
      <c r="G6142" s="33" t="str">
        <f>IFERROR(VLOOKUP($D6142,'Informations sur les produits'!$A$3:$H$10000,8,FALSE),"0")</f>
        <v>0</v>
      </c>
      <c r="K6142" s="4"/>
      <c r="L6142" s="33" t="str">
        <f>IFERROR(VLOOKUP($J6142,'Informations sur les produits'!$A$3:$H$10000,8,FALSE),"0")</f>
        <v>0</v>
      </c>
      <c r="N6142" s="8"/>
      <c r="O6142" s="33" t="str">
        <f>IFERROR(VLOOKUP($M6142,'Informations sur les produits'!$A$3:$H$10000,8,FALSE),"0")</f>
        <v>0</v>
      </c>
      <c r="P6142" s="33">
        <f t="shared" si="380"/>
        <v>0</v>
      </c>
      <c r="Q6142" s="31" t="str">
        <f t="shared" si="381"/>
        <v/>
      </c>
      <c r="R6142" s="32" t="str">
        <f>IFERROR(VLOOKUP($D6142,'Informations sur les produits'!$A$3:$B$15000,2,FALSE),"")</f>
        <v/>
      </c>
      <c r="V6142">
        <f t="shared" si="382"/>
        <v>0</v>
      </c>
      <c r="W6142">
        <f t="shared" si="383"/>
        <v>0</v>
      </c>
    </row>
    <row r="6143" spans="5:23" x14ac:dyDescent="0.25">
      <c r="E6143" s="4"/>
      <c r="F6143" s="4"/>
      <c r="G6143" s="33" t="str">
        <f>IFERROR(VLOOKUP($D6143,'Informations sur les produits'!$A$3:$H$10000,8,FALSE),"0")</f>
        <v>0</v>
      </c>
      <c r="K6143" s="4"/>
      <c r="L6143" s="33" t="str">
        <f>IFERROR(VLOOKUP($J6143,'Informations sur les produits'!$A$3:$H$10000,8,FALSE),"0")</f>
        <v>0</v>
      </c>
      <c r="N6143" s="8"/>
      <c r="O6143" s="33" t="str">
        <f>IFERROR(VLOOKUP($M6143,'Informations sur les produits'!$A$3:$H$10000,8,FALSE),"0")</f>
        <v>0</v>
      </c>
      <c r="P6143" s="33">
        <f t="shared" si="380"/>
        <v>0</v>
      </c>
      <c r="Q6143" s="31" t="str">
        <f t="shared" si="381"/>
        <v/>
      </c>
      <c r="R6143" s="32" t="str">
        <f>IFERROR(VLOOKUP($D6143,'Informations sur les produits'!$A$3:$B$15000,2,FALSE),"")</f>
        <v/>
      </c>
      <c r="V6143">
        <f t="shared" si="382"/>
        <v>0</v>
      </c>
      <c r="W6143">
        <f t="shared" si="383"/>
        <v>0</v>
      </c>
    </row>
    <row r="6144" spans="5:23" x14ac:dyDescent="0.25">
      <c r="E6144" s="4"/>
      <c r="F6144" s="4"/>
      <c r="G6144" s="33" t="str">
        <f>IFERROR(VLOOKUP($D6144,'Informations sur les produits'!$A$3:$H$10000,8,FALSE),"0")</f>
        <v>0</v>
      </c>
      <c r="K6144" s="4"/>
      <c r="L6144" s="33" t="str">
        <f>IFERROR(VLOOKUP($J6144,'Informations sur les produits'!$A$3:$H$10000,8,FALSE),"0")</f>
        <v>0</v>
      </c>
      <c r="N6144" s="8"/>
      <c r="O6144" s="33" t="str">
        <f>IFERROR(VLOOKUP($M6144,'Informations sur les produits'!$A$3:$H$10000,8,FALSE),"0")</f>
        <v>0</v>
      </c>
      <c r="P6144" s="33">
        <f t="shared" si="380"/>
        <v>0</v>
      </c>
      <c r="Q6144" s="31" t="str">
        <f t="shared" si="381"/>
        <v/>
      </c>
      <c r="R6144" s="32" t="str">
        <f>IFERROR(VLOOKUP($D6144,'Informations sur les produits'!$A$3:$B$15000,2,FALSE),"")</f>
        <v/>
      </c>
      <c r="V6144">
        <f t="shared" si="382"/>
        <v>0</v>
      </c>
      <c r="W6144">
        <f t="shared" si="383"/>
        <v>0</v>
      </c>
    </row>
    <row r="6145" spans="5:23" x14ac:dyDescent="0.25">
      <c r="E6145" s="4"/>
      <c r="F6145" s="4"/>
      <c r="G6145" s="33" t="str">
        <f>IFERROR(VLOOKUP($D6145,'Informations sur les produits'!$A$3:$H$10000,8,FALSE),"0")</f>
        <v>0</v>
      </c>
      <c r="K6145" s="4"/>
      <c r="L6145" s="33" t="str">
        <f>IFERROR(VLOOKUP($J6145,'Informations sur les produits'!$A$3:$H$10000,8,FALSE),"0")</f>
        <v>0</v>
      </c>
      <c r="N6145" s="8"/>
      <c r="O6145" s="33" t="str">
        <f>IFERROR(VLOOKUP($M6145,'Informations sur les produits'!$A$3:$H$10000,8,FALSE),"0")</f>
        <v>0</v>
      </c>
      <c r="P6145" s="33">
        <f t="shared" si="380"/>
        <v>0</v>
      </c>
      <c r="Q6145" s="31" t="str">
        <f t="shared" si="381"/>
        <v/>
      </c>
      <c r="R6145" s="32" t="str">
        <f>IFERROR(VLOOKUP($D6145,'Informations sur les produits'!$A$3:$B$15000,2,FALSE),"")</f>
        <v/>
      </c>
      <c r="V6145">
        <f t="shared" si="382"/>
        <v>0</v>
      </c>
      <c r="W6145">
        <f t="shared" si="383"/>
        <v>0</v>
      </c>
    </row>
    <row r="6146" spans="5:23" x14ac:dyDescent="0.25">
      <c r="E6146" s="4"/>
      <c r="F6146" s="4"/>
      <c r="G6146" s="33" t="str">
        <f>IFERROR(VLOOKUP($D6146,'Informations sur les produits'!$A$3:$H$10000,8,FALSE),"0")</f>
        <v>0</v>
      </c>
      <c r="K6146" s="4"/>
      <c r="L6146" s="33" t="str">
        <f>IFERROR(VLOOKUP($J6146,'Informations sur les produits'!$A$3:$H$10000,8,FALSE),"0")</f>
        <v>0</v>
      </c>
      <c r="N6146" s="8"/>
      <c r="O6146" s="33" t="str">
        <f>IFERROR(VLOOKUP($M6146,'Informations sur les produits'!$A$3:$H$10000,8,FALSE),"0")</f>
        <v>0</v>
      </c>
      <c r="P6146" s="33">
        <f t="shared" si="380"/>
        <v>0</v>
      </c>
      <c r="Q6146" s="31" t="str">
        <f t="shared" si="381"/>
        <v/>
      </c>
      <c r="R6146" s="32" t="str">
        <f>IFERROR(VLOOKUP($D6146,'Informations sur les produits'!$A$3:$B$15000,2,FALSE),"")</f>
        <v/>
      </c>
      <c r="V6146">
        <f t="shared" si="382"/>
        <v>0</v>
      </c>
      <c r="W6146">
        <f t="shared" si="383"/>
        <v>0</v>
      </c>
    </row>
    <row r="6147" spans="5:23" x14ac:dyDescent="0.25">
      <c r="E6147" s="4"/>
      <c r="F6147" s="4"/>
      <c r="G6147" s="33" t="str">
        <f>IFERROR(VLOOKUP($D6147,'Informations sur les produits'!$A$3:$H$10000,8,FALSE),"0")</f>
        <v>0</v>
      </c>
      <c r="K6147" s="4"/>
      <c r="L6147" s="33" t="str">
        <f>IFERROR(VLOOKUP($J6147,'Informations sur les produits'!$A$3:$H$10000,8,FALSE),"0")</f>
        <v>0</v>
      </c>
      <c r="N6147" s="8"/>
      <c r="O6147" s="33" t="str">
        <f>IFERROR(VLOOKUP($M6147,'Informations sur les produits'!$A$3:$H$10000,8,FALSE),"0")</f>
        <v>0</v>
      </c>
      <c r="P6147" s="33">
        <f t="shared" si="380"/>
        <v>0</v>
      </c>
      <c r="Q6147" s="31" t="str">
        <f t="shared" si="381"/>
        <v/>
      </c>
      <c r="R6147" s="32" t="str">
        <f>IFERROR(VLOOKUP($D6147,'Informations sur les produits'!$A$3:$B$15000,2,FALSE),"")</f>
        <v/>
      </c>
      <c r="V6147">
        <f t="shared" si="382"/>
        <v>0</v>
      </c>
      <c r="W6147">
        <f t="shared" si="383"/>
        <v>0</v>
      </c>
    </row>
    <row r="6148" spans="5:23" x14ac:dyDescent="0.25">
      <c r="E6148" s="4"/>
      <c r="F6148" s="4"/>
      <c r="G6148" s="33" t="str">
        <f>IFERROR(VLOOKUP($D6148,'Informations sur les produits'!$A$3:$H$10000,8,FALSE),"0")</f>
        <v>0</v>
      </c>
      <c r="K6148" s="4"/>
      <c r="L6148" s="33" t="str">
        <f>IFERROR(VLOOKUP($J6148,'Informations sur les produits'!$A$3:$H$10000,8,FALSE),"0")</f>
        <v>0</v>
      </c>
      <c r="N6148" s="8"/>
      <c r="O6148" s="33" t="str">
        <f>IFERROR(VLOOKUP($M6148,'Informations sur les produits'!$A$3:$H$10000,8,FALSE),"0")</f>
        <v>0</v>
      </c>
      <c r="P6148" s="33">
        <f t="shared" ref="P6148:P6211" si="384">IFERROR((($E6148-$F6148)*$G6148+$K6148*$L6148+$N6148*$O6148),"")</f>
        <v>0</v>
      </c>
      <c r="Q6148" s="31" t="str">
        <f t="shared" ref="Q6148:Q6211" si="385">IFERROR((((($E6148-$F6148)*$G6148+$K6148*$L6148+$N6148*$O6148)*1000)/(($E6148-$F6148)+$K6148+$N6148)),"")</f>
        <v/>
      </c>
      <c r="R6148" s="32" t="str">
        <f>IFERROR(VLOOKUP($D6148,'Informations sur les produits'!$A$3:$B$15000,2,FALSE),"")</f>
        <v/>
      </c>
      <c r="V6148">
        <f t="shared" ref="V6148:V6211" si="386">IFERROR(P6148*1000,"")</f>
        <v>0</v>
      </c>
      <c r="W6148">
        <f t="shared" ref="W6148:W6211" si="387">IFERROR(($E6148-$F6148)+$K6148+$N6148,"")</f>
        <v>0</v>
      </c>
    </row>
    <row r="6149" spans="5:23" x14ac:dyDescent="0.25">
      <c r="E6149" s="4"/>
      <c r="F6149" s="4"/>
      <c r="G6149" s="33" t="str">
        <f>IFERROR(VLOOKUP($D6149,'Informations sur les produits'!$A$3:$H$10000,8,FALSE),"0")</f>
        <v>0</v>
      </c>
      <c r="K6149" s="4"/>
      <c r="L6149" s="33" t="str">
        <f>IFERROR(VLOOKUP($J6149,'Informations sur les produits'!$A$3:$H$10000,8,FALSE),"0")</f>
        <v>0</v>
      </c>
      <c r="N6149" s="8"/>
      <c r="O6149" s="33" t="str">
        <f>IFERROR(VLOOKUP($M6149,'Informations sur les produits'!$A$3:$H$10000,8,FALSE),"0")</f>
        <v>0</v>
      </c>
      <c r="P6149" s="33">
        <f t="shared" si="384"/>
        <v>0</v>
      </c>
      <c r="Q6149" s="31" t="str">
        <f t="shared" si="385"/>
        <v/>
      </c>
      <c r="R6149" s="32" t="str">
        <f>IFERROR(VLOOKUP($D6149,'Informations sur les produits'!$A$3:$B$15000,2,FALSE),"")</f>
        <v/>
      </c>
      <c r="V6149">
        <f t="shared" si="386"/>
        <v>0</v>
      </c>
      <c r="W6149">
        <f t="shared" si="387"/>
        <v>0</v>
      </c>
    </row>
    <row r="6150" spans="5:23" x14ac:dyDescent="0.25">
      <c r="E6150" s="4"/>
      <c r="F6150" s="4"/>
      <c r="G6150" s="33" t="str">
        <f>IFERROR(VLOOKUP($D6150,'Informations sur les produits'!$A$3:$H$10000,8,FALSE),"0")</f>
        <v>0</v>
      </c>
      <c r="K6150" s="4"/>
      <c r="L6150" s="33" t="str">
        <f>IFERROR(VLOOKUP($J6150,'Informations sur les produits'!$A$3:$H$10000,8,FALSE),"0")</f>
        <v>0</v>
      </c>
      <c r="N6150" s="8"/>
      <c r="O6150" s="33" t="str">
        <f>IFERROR(VLOOKUP($M6150,'Informations sur les produits'!$A$3:$H$10000,8,FALSE),"0")</f>
        <v>0</v>
      </c>
      <c r="P6150" s="33">
        <f t="shared" si="384"/>
        <v>0</v>
      </c>
      <c r="Q6150" s="31" t="str">
        <f t="shared" si="385"/>
        <v/>
      </c>
      <c r="R6150" s="32" t="str">
        <f>IFERROR(VLOOKUP($D6150,'Informations sur les produits'!$A$3:$B$15000,2,FALSE),"")</f>
        <v/>
      </c>
      <c r="V6150">
        <f t="shared" si="386"/>
        <v>0</v>
      </c>
      <c r="W6150">
        <f t="shared" si="387"/>
        <v>0</v>
      </c>
    </row>
    <row r="6151" spans="5:23" x14ac:dyDescent="0.25">
      <c r="E6151" s="4"/>
      <c r="F6151" s="4"/>
      <c r="G6151" s="33" t="str">
        <f>IFERROR(VLOOKUP($D6151,'Informations sur les produits'!$A$3:$H$10000,8,FALSE),"0")</f>
        <v>0</v>
      </c>
      <c r="K6151" s="4"/>
      <c r="L6151" s="33" t="str">
        <f>IFERROR(VLOOKUP($J6151,'Informations sur les produits'!$A$3:$H$10000,8,FALSE),"0")</f>
        <v>0</v>
      </c>
      <c r="N6151" s="8"/>
      <c r="O6151" s="33" t="str">
        <f>IFERROR(VLOOKUP($M6151,'Informations sur les produits'!$A$3:$H$10000,8,FALSE),"0")</f>
        <v>0</v>
      </c>
      <c r="P6151" s="33">
        <f t="shared" si="384"/>
        <v>0</v>
      </c>
      <c r="Q6151" s="31" t="str">
        <f t="shared" si="385"/>
        <v/>
      </c>
      <c r="R6151" s="32" t="str">
        <f>IFERROR(VLOOKUP($D6151,'Informations sur les produits'!$A$3:$B$15000,2,FALSE),"")</f>
        <v/>
      </c>
      <c r="V6151">
        <f t="shared" si="386"/>
        <v>0</v>
      </c>
      <c r="W6151">
        <f t="shared" si="387"/>
        <v>0</v>
      </c>
    </row>
    <row r="6152" spans="5:23" x14ac:dyDescent="0.25">
      <c r="E6152" s="4"/>
      <c r="F6152" s="4"/>
      <c r="G6152" s="33" t="str">
        <f>IFERROR(VLOOKUP($D6152,'Informations sur les produits'!$A$3:$H$10000,8,FALSE),"0")</f>
        <v>0</v>
      </c>
      <c r="K6152" s="4"/>
      <c r="L6152" s="33" t="str">
        <f>IFERROR(VLOOKUP($J6152,'Informations sur les produits'!$A$3:$H$10000,8,FALSE),"0")</f>
        <v>0</v>
      </c>
      <c r="N6152" s="8"/>
      <c r="O6152" s="33" t="str">
        <f>IFERROR(VLOOKUP($M6152,'Informations sur les produits'!$A$3:$H$10000,8,FALSE),"0")</f>
        <v>0</v>
      </c>
      <c r="P6152" s="33">
        <f t="shared" si="384"/>
        <v>0</v>
      </c>
      <c r="Q6152" s="31" t="str">
        <f t="shared" si="385"/>
        <v/>
      </c>
      <c r="R6152" s="32" t="str">
        <f>IFERROR(VLOOKUP($D6152,'Informations sur les produits'!$A$3:$B$15000,2,FALSE),"")</f>
        <v/>
      </c>
      <c r="V6152">
        <f t="shared" si="386"/>
        <v>0</v>
      </c>
      <c r="W6152">
        <f t="shared" si="387"/>
        <v>0</v>
      </c>
    </row>
    <row r="6153" spans="5:23" x14ac:dyDescent="0.25">
      <c r="E6153" s="4"/>
      <c r="F6153" s="4"/>
      <c r="G6153" s="33" t="str">
        <f>IFERROR(VLOOKUP($D6153,'Informations sur les produits'!$A$3:$H$10000,8,FALSE),"0")</f>
        <v>0</v>
      </c>
      <c r="K6153" s="4"/>
      <c r="L6153" s="33" t="str">
        <f>IFERROR(VLOOKUP($J6153,'Informations sur les produits'!$A$3:$H$10000,8,FALSE),"0")</f>
        <v>0</v>
      </c>
      <c r="N6153" s="8"/>
      <c r="O6153" s="33" t="str">
        <f>IFERROR(VLOOKUP($M6153,'Informations sur les produits'!$A$3:$H$10000,8,FALSE),"0")</f>
        <v>0</v>
      </c>
      <c r="P6153" s="33">
        <f t="shared" si="384"/>
        <v>0</v>
      </c>
      <c r="Q6153" s="31" t="str">
        <f t="shared" si="385"/>
        <v/>
      </c>
      <c r="R6153" s="32" t="str">
        <f>IFERROR(VLOOKUP($D6153,'Informations sur les produits'!$A$3:$B$15000,2,FALSE),"")</f>
        <v/>
      </c>
      <c r="V6153">
        <f t="shared" si="386"/>
        <v>0</v>
      </c>
      <c r="W6153">
        <f t="shared" si="387"/>
        <v>0</v>
      </c>
    </row>
    <row r="6154" spans="5:23" x14ac:dyDescent="0.25">
      <c r="E6154" s="4"/>
      <c r="F6154" s="4"/>
      <c r="G6154" s="33" t="str">
        <f>IFERROR(VLOOKUP($D6154,'Informations sur les produits'!$A$3:$H$10000,8,FALSE),"0")</f>
        <v>0</v>
      </c>
      <c r="K6154" s="4"/>
      <c r="L6154" s="33" t="str">
        <f>IFERROR(VLOOKUP($J6154,'Informations sur les produits'!$A$3:$H$10000,8,FALSE),"0")</f>
        <v>0</v>
      </c>
      <c r="N6154" s="8"/>
      <c r="O6154" s="33" t="str">
        <f>IFERROR(VLOOKUP($M6154,'Informations sur les produits'!$A$3:$H$10000,8,FALSE),"0")</f>
        <v>0</v>
      </c>
      <c r="P6154" s="33">
        <f t="shared" si="384"/>
        <v>0</v>
      </c>
      <c r="Q6154" s="31" t="str">
        <f t="shared" si="385"/>
        <v/>
      </c>
      <c r="R6154" s="32" t="str">
        <f>IFERROR(VLOOKUP($D6154,'Informations sur les produits'!$A$3:$B$15000,2,FALSE),"")</f>
        <v/>
      </c>
      <c r="V6154">
        <f t="shared" si="386"/>
        <v>0</v>
      </c>
      <c r="W6154">
        <f t="shared" si="387"/>
        <v>0</v>
      </c>
    </row>
    <row r="6155" spans="5:23" x14ac:dyDescent="0.25">
      <c r="E6155" s="4"/>
      <c r="F6155" s="4"/>
      <c r="G6155" s="33" t="str">
        <f>IFERROR(VLOOKUP($D6155,'Informations sur les produits'!$A$3:$H$10000,8,FALSE),"0")</f>
        <v>0</v>
      </c>
      <c r="K6155" s="4"/>
      <c r="L6155" s="33" t="str">
        <f>IFERROR(VLOOKUP($J6155,'Informations sur les produits'!$A$3:$H$10000,8,FALSE),"0")</f>
        <v>0</v>
      </c>
      <c r="N6155" s="8"/>
      <c r="O6155" s="33" t="str">
        <f>IFERROR(VLOOKUP($M6155,'Informations sur les produits'!$A$3:$H$10000,8,FALSE),"0")</f>
        <v>0</v>
      </c>
      <c r="P6155" s="33">
        <f t="shared" si="384"/>
        <v>0</v>
      </c>
      <c r="Q6155" s="31" t="str">
        <f t="shared" si="385"/>
        <v/>
      </c>
      <c r="R6155" s="32" t="str">
        <f>IFERROR(VLOOKUP($D6155,'Informations sur les produits'!$A$3:$B$15000,2,FALSE),"")</f>
        <v/>
      </c>
      <c r="V6155">
        <f t="shared" si="386"/>
        <v>0</v>
      </c>
      <c r="W6155">
        <f t="shared" si="387"/>
        <v>0</v>
      </c>
    </row>
    <row r="6156" spans="5:23" x14ac:dyDescent="0.25">
      <c r="E6156" s="4"/>
      <c r="F6156" s="4"/>
      <c r="G6156" s="33" t="str">
        <f>IFERROR(VLOOKUP($D6156,'Informations sur les produits'!$A$3:$H$10000,8,FALSE),"0")</f>
        <v>0</v>
      </c>
      <c r="K6156" s="4"/>
      <c r="L6156" s="33" t="str">
        <f>IFERROR(VLOOKUP($J6156,'Informations sur les produits'!$A$3:$H$10000,8,FALSE),"0")</f>
        <v>0</v>
      </c>
      <c r="N6156" s="8"/>
      <c r="O6156" s="33" t="str">
        <f>IFERROR(VLOOKUP($M6156,'Informations sur les produits'!$A$3:$H$10000,8,FALSE),"0")</f>
        <v>0</v>
      </c>
      <c r="P6156" s="33">
        <f t="shared" si="384"/>
        <v>0</v>
      </c>
      <c r="Q6156" s="31" t="str">
        <f t="shared" si="385"/>
        <v/>
      </c>
      <c r="R6156" s="32" t="str">
        <f>IFERROR(VLOOKUP($D6156,'Informations sur les produits'!$A$3:$B$15000,2,FALSE),"")</f>
        <v/>
      </c>
      <c r="V6156">
        <f t="shared" si="386"/>
        <v>0</v>
      </c>
      <c r="W6156">
        <f t="shared" si="387"/>
        <v>0</v>
      </c>
    </row>
    <row r="6157" spans="5:23" x14ac:dyDescent="0.25">
      <c r="E6157" s="4"/>
      <c r="F6157" s="4"/>
      <c r="G6157" s="33" t="str">
        <f>IFERROR(VLOOKUP($D6157,'Informations sur les produits'!$A$3:$H$10000,8,FALSE),"0")</f>
        <v>0</v>
      </c>
      <c r="K6157" s="4"/>
      <c r="L6157" s="33" t="str">
        <f>IFERROR(VLOOKUP($J6157,'Informations sur les produits'!$A$3:$H$10000,8,FALSE),"0")</f>
        <v>0</v>
      </c>
      <c r="N6157" s="8"/>
      <c r="O6157" s="33" t="str">
        <f>IFERROR(VLOOKUP($M6157,'Informations sur les produits'!$A$3:$H$10000,8,FALSE),"0")</f>
        <v>0</v>
      </c>
      <c r="P6157" s="33">
        <f t="shared" si="384"/>
        <v>0</v>
      </c>
      <c r="Q6157" s="31" t="str">
        <f t="shared" si="385"/>
        <v/>
      </c>
      <c r="R6157" s="32" t="str">
        <f>IFERROR(VLOOKUP($D6157,'Informations sur les produits'!$A$3:$B$15000,2,FALSE),"")</f>
        <v/>
      </c>
      <c r="V6157">
        <f t="shared" si="386"/>
        <v>0</v>
      </c>
      <c r="W6157">
        <f t="shared" si="387"/>
        <v>0</v>
      </c>
    </row>
    <row r="6158" spans="5:23" x14ac:dyDescent="0.25">
      <c r="E6158" s="4"/>
      <c r="F6158" s="4"/>
      <c r="G6158" s="33" t="str">
        <f>IFERROR(VLOOKUP($D6158,'Informations sur les produits'!$A$3:$H$10000,8,FALSE),"0")</f>
        <v>0</v>
      </c>
      <c r="K6158" s="4"/>
      <c r="L6158" s="33" t="str">
        <f>IFERROR(VLOOKUP($J6158,'Informations sur les produits'!$A$3:$H$10000,8,FALSE),"0")</f>
        <v>0</v>
      </c>
      <c r="N6158" s="8"/>
      <c r="O6158" s="33" t="str">
        <f>IFERROR(VLOOKUP($M6158,'Informations sur les produits'!$A$3:$H$10000,8,FALSE),"0")</f>
        <v>0</v>
      </c>
      <c r="P6158" s="33">
        <f t="shared" si="384"/>
        <v>0</v>
      </c>
      <c r="Q6158" s="31" t="str">
        <f t="shared" si="385"/>
        <v/>
      </c>
      <c r="R6158" s="32" t="str">
        <f>IFERROR(VLOOKUP($D6158,'Informations sur les produits'!$A$3:$B$15000,2,FALSE),"")</f>
        <v/>
      </c>
      <c r="V6158">
        <f t="shared" si="386"/>
        <v>0</v>
      </c>
      <c r="W6158">
        <f t="shared" si="387"/>
        <v>0</v>
      </c>
    </row>
    <row r="6159" spans="5:23" x14ac:dyDescent="0.25">
      <c r="E6159" s="4"/>
      <c r="F6159" s="4"/>
      <c r="G6159" s="33" t="str">
        <f>IFERROR(VLOOKUP($D6159,'Informations sur les produits'!$A$3:$H$10000,8,FALSE),"0")</f>
        <v>0</v>
      </c>
      <c r="K6159" s="4"/>
      <c r="L6159" s="33" t="str">
        <f>IFERROR(VLOOKUP($J6159,'Informations sur les produits'!$A$3:$H$10000,8,FALSE),"0")</f>
        <v>0</v>
      </c>
      <c r="N6159" s="8"/>
      <c r="O6159" s="33" t="str">
        <f>IFERROR(VLOOKUP($M6159,'Informations sur les produits'!$A$3:$H$10000,8,FALSE),"0")</f>
        <v>0</v>
      </c>
      <c r="P6159" s="33">
        <f t="shared" si="384"/>
        <v>0</v>
      </c>
      <c r="Q6159" s="31" t="str">
        <f t="shared" si="385"/>
        <v/>
      </c>
      <c r="R6159" s="32" t="str">
        <f>IFERROR(VLOOKUP($D6159,'Informations sur les produits'!$A$3:$B$15000,2,FALSE),"")</f>
        <v/>
      </c>
      <c r="V6159">
        <f t="shared" si="386"/>
        <v>0</v>
      </c>
      <c r="W6159">
        <f t="shared" si="387"/>
        <v>0</v>
      </c>
    </row>
    <row r="6160" spans="5:23" x14ac:dyDescent="0.25">
      <c r="E6160" s="4"/>
      <c r="F6160" s="4"/>
      <c r="G6160" s="33" t="str">
        <f>IFERROR(VLOOKUP($D6160,'Informations sur les produits'!$A$3:$H$10000,8,FALSE),"0")</f>
        <v>0</v>
      </c>
      <c r="K6160" s="4"/>
      <c r="L6160" s="33" t="str">
        <f>IFERROR(VLOOKUP($J6160,'Informations sur les produits'!$A$3:$H$10000,8,FALSE),"0")</f>
        <v>0</v>
      </c>
      <c r="N6160" s="8"/>
      <c r="O6160" s="33" t="str">
        <f>IFERROR(VLOOKUP($M6160,'Informations sur les produits'!$A$3:$H$10000,8,FALSE),"0")</f>
        <v>0</v>
      </c>
      <c r="P6160" s="33">
        <f t="shared" si="384"/>
        <v>0</v>
      </c>
      <c r="Q6160" s="31" t="str">
        <f t="shared" si="385"/>
        <v/>
      </c>
      <c r="R6160" s="32" t="str">
        <f>IFERROR(VLOOKUP($D6160,'Informations sur les produits'!$A$3:$B$15000,2,FALSE),"")</f>
        <v/>
      </c>
      <c r="V6160">
        <f t="shared" si="386"/>
        <v>0</v>
      </c>
      <c r="W6160">
        <f t="shared" si="387"/>
        <v>0</v>
      </c>
    </row>
    <row r="6161" spans="5:23" x14ac:dyDescent="0.25">
      <c r="E6161" s="4"/>
      <c r="F6161" s="4"/>
      <c r="G6161" s="33" t="str">
        <f>IFERROR(VLOOKUP($D6161,'Informations sur les produits'!$A$3:$H$10000,8,FALSE),"0")</f>
        <v>0</v>
      </c>
      <c r="K6161" s="4"/>
      <c r="L6161" s="33" t="str">
        <f>IFERROR(VLOOKUP($J6161,'Informations sur les produits'!$A$3:$H$10000,8,FALSE),"0")</f>
        <v>0</v>
      </c>
      <c r="N6161" s="8"/>
      <c r="O6161" s="33" t="str">
        <f>IFERROR(VLOOKUP($M6161,'Informations sur les produits'!$A$3:$H$10000,8,FALSE),"0")</f>
        <v>0</v>
      </c>
      <c r="P6161" s="33">
        <f t="shared" si="384"/>
        <v>0</v>
      </c>
      <c r="Q6161" s="31" t="str">
        <f t="shared" si="385"/>
        <v/>
      </c>
      <c r="R6161" s="32" t="str">
        <f>IFERROR(VLOOKUP($D6161,'Informations sur les produits'!$A$3:$B$15000,2,FALSE),"")</f>
        <v/>
      </c>
      <c r="V6161">
        <f t="shared" si="386"/>
        <v>0</v>
      </c>
      <c r="W6161">
        <f t="shared" si="387"/>
        <v>0</v>
      </c>
    </row>
    <row r="6162" spans="5:23" x14ac:dyDescent="0.25">
      <c r="E6162" s="4"/>
      <c r="F6162" s="4"/>
      <c r="G6162" s="33" t="str">
        <f>IFERROR(VLOOKUP($D6162,'Informations sur les produits'!$A$3:$H$10000,8,FALSE),"0")</f>
        <v>0</v>
      </c>
      <c r="K6162" s="4"/>
      <c r="L6162" s="33" t="str">
        <f>IFERROR(VLOOKUP($J6162,'Informations sur les produits'!$A$3:$H$10000,8,FALSE),"0")</f>
        <v>0</v>
      </c>
      <c r="N6162" s="8"/>
      <c r="O6162" s="33" t="str">
        <f>IFERROR(VLOOKUP($M6162,'Informations sur les produits'!$A$3:$H$10000,8,FALSE),"0")</f>
        <v>0</v>
      </c>
      <c r="P6162" s="33">
        <f t="shared" si="384"/>
        <v>0</v>
      </c>
      <c r="Q6162" s="31" t="str">
        <f t="shared" si="385"/>
        <v/>
      </c>
      <c r="R6162" s="32" t="str">
        <f>IFERROR(VLOOKUP($D6162,'Informations sur les produits'!$A$3:$B$15000,2,FALSE),"")</f>
        <v/>
      </c>
      <c r="V6162">
        <f t="shared" si="386"/>
        <v>0</v>
      </c>
      <c r="W6162">
        <f t="shared" si="387"/>
        <v>0</v>
      </c>
    </row>
    <row r="6163" spans="5:23" x14ac:dyDescent="0.25">
      <c r="E6163" s="4"/>
      <c r="F6163" s="4"/>
      <c r="G6163" s="33" t="str">
        <f>IFERROR(VLOOKUP($D6163,'Informations sur les produits'!$A$3:$H$10000,8,FALSE),"0")</f>
        <v>0</v>
      </c>
      <c r="K6163" s="4"/>
      <c r="L6163" s="33" t="str">
        <f>IFERROR(VLOOKUP($J6163,'Informations sur les produits'!$A$3:$H$10000,8,FALSE),"0")</f>
        <v>0</v>
      </c>
      <c r="N6163" s="8"/>
      <c r="O6163" s="33" t="str">
        <f>IFERROR(VLOOKUP($M6163,'Informations sur les produits'!$A$3:$H$10000,8,FALSE),"0")</f>
        <v>0</v>
      </c>
      <c r="P6163" s="33">
        <f t="shared" si="384"/>
        <v>0</v>
      </c>
      <c r="Q6163" s="31" t="str">
        <f t="shared" si="385"/>
        <v/>
      </c>
      <c r="R6163" s="32" t="str">
        <f>IFERROR(VLOOKUP($D6163,'Informations sur les produits'!$A$3:$B$15000,2,FALSE),"")</f>
        <v/>
      </c>
      <c r="V6163">
        <f t="shared" si="386"/>
        <v>0</v>
      </c>
      <c r="W6163">
        <f t="shared" si="387"/>
        <v>0</v>
      </c>
    </row>
    <row r="6164" spans="5:23" x14ac:dyDescent="0.25">
      <c r="E6164" s="4"/>
      <c r="F6164" s="4"/>
      <c r="G6164" s="33" t="str">
        <f>IFERROR(VLOOKUP($D6164,'Informations sur les produits'!$A$3:$H$10000,8,FALSE),"0")</f>
        <v>0</v>
      </c>
      <c r="K6164" s="4"/>
      <c r="L6164" s="33" t="str">
        <f>IFERROR(VLOOKUP($J6164,'Informations sur les produits'!$A$3:$H$10000,8,FALSE),"0")</f>
        <v>0</v>
      </c>
      <c r="N6164" s="8"/>
      <c r="O6164" s="33" t="str">
        <f>IFERROR(VLOOKUP($M6164,'Informations sur les produits'!$A$3:$H$10000,8,FALSE),"0")</f>
        <v>0</v>
      </c>
      <c r="P6164" s="33">
        <f t="shared" si="384"/>
        <v>0</v>
      </c>
      <c r="Q6164" s="31" t="str">
        <f t="shared" si="385"/>
        <v/>
      </c>
      <c r="R6164" s="32" t="str">
        <f>IFERROR(VLOOKUP($D6164,'Informations sur les produits'!$A$3:$B$15000,2,FALSE),"")</f>
        <v/>
      </c>
      <c r="V6164">
        <f t="shared" si="386"/>
        <v>0</v>
      </c>
      <c r="W6164">
        <f t="shared" si="387"/>
        <v>0</v>
      </c>
    </row>
    <row r="6165" spans="5:23" x14ac:dyDescent="0.25">
      <c r="E6165" s="4"/>
      <c r="F6165" s="4"/>
      <c r="G6165" s="33" t="str">
        <f>IFERROR(VLOOKUP($D6165,'Informations sur les produits'!$A$3:$H$10000,8,FALSE),"0")</f>
        <v>0</v>
      </c>
      <c r="K6165" s="4"/>
      <c r="L6165" s="33" t="str">
        <f>IFERROR(VLOOKUP($J6165,'Informations sur les produits'!$A$3:$H$10000,8,FALSE),"0")</f>
        <v>0</v>
      </c>
      <c r="N6165" s="8"/>
      <c r="O6165" s="33" t="str">
        <f>IFERROR(VLOOKUP($M6165,'Informations sur les produits'!$A$3:$H$10000,8,FALSE),"0")</f>
        <v>0</v>
      </c>
      <c r="P6165" s="33">
        <f t="shared" si="384"/>
        <v>0</v>
      </c>
      <c r="Q6165" s="31" t="str">
        <f t="shared" si="385"/>
        <v/>
      </c>
      <c r="R6165" s="32" t="str">
        <f>IFERROR(VLOOKUP($D6165,'Informations sur les produits'!$A$3:$B$15000,2,FALSE),"")</f>
        <v/>
      </c>
      <c r="V6165">
        <f t="shared" si="386"/>
        <v>0</v>
      </c>
      <c r="W6165">
        <f t="shared" si="387"/>
        <v>0</v>
      </c>
    </row>
    <row r="6166" spans="5:23" x14ac:dyDescent="0.25">
      <c r="E6166" s="4"/>
      <c r="F6166" s="4"/>
      <c r="G6166" s="33" t="str">
        <f>IFERROR(VLOOKUP($D6166,'Informations sur les produits'!$A$3:$H$10000,8,FALSE),"0")</f>
        <v>0</v>
      </c>
      <c r="K6166" s="4"/>
      <c r="L6166" s="33" t="str">
        <f>IFERROR(VLOOKUP($J6166,'Informations sur les produits'!$A$3:$H$10000,8,FALSE),"0")</f>
        <v>0</v>
      </c>
      <c r="N6166" s="8"/>
      <c r="O6166" s="33" t="str">
        <f>IFERROR(VLOOKUP($M6166,'Informations sur les produits'!$A$3:$H$10000,8,FALSE),"0")</f>
        <v>0</v>
      </c>
      <c r="P6166" s="33">
        <f t="shared" si="384"/>
        <v>0</v>
      </c>
      <c r="Q6166" s="31" t="str">
        <f t="shared" si="385"/>
        <v/>
      </c>
      <c r="R6166" s="32" t="str">
        <f>IFERROR(VLOOKUP($D6166,'Informations sur les produits'!$A$3:$B$15000,2,FALSE),"")</f>
        <v/>
      </c>
      <c r="V6166">
        <f t="shared" si="386"/>
        <v>0</v>
      </c>
      <c r="W6166">
        <f t="shared" si="387"/>
        <v>0</v>
      </c>
    </row>
    <row r="6167" spans="5:23" x14ac:dyDescent="0.25">
      <c r="E6167" s="4"/>
      <c r="F6167" s="4"/>
      <c r="G6167" s="33" t="str">
        <f>IFERROR(VLOOKUP($D6167,'Informations sur les produits'!$A$3:$H$10000,8,FALSE),"0")</f>
        <v>0</v>
      </c>
      <c r="K6167" s="4"/>
      <c r="L6167" s="33" t="str">
        <f>IFERROR(VLOOKUP($J6167,'Informations sur les produits'!$A$3:$H$10000,8,FALSE),"0")</f>
        <v>0</v>
      </c>
      <c r="N6167" s="8"/>
      <c r="O6167" s="33" t="str">
        <f>IFERROR(VLOOKUP($M6167,'Informations sur les produits'!$A$3:$H$10000,8,FALSE),"0")</f>
        <v>0</v>
      </c>
      <c r="P6167" s="33">
        <f t="shared" si="384"/>
        <v>0</v>
      </c>
      <c r="Q6167" s="31" t="str">
        <f t="shared" si="385"/>
        <v/>
      </c>
      <c r="R6167" s="32" t="str">
        <f>IFERROR(VLOOKUP($D6167,'Informations sur les produits'!$A$3:$B$15000,2,FALSE),"")</f>
        <v/>
      </c>
      <c r="V6167">
        <f t="shared" si="386"/>
        <v>0</v>
      </c>
      <c r="W6167">
        <f t="shared" si="387"/>
        <v>0</v>
      </c>
    </row>
    <row r="6168" spans="5:23" x14ac:dyDescent="0.25">
      <c r="E6168" s="4"/>
      <c r="F6168" s="4"/>
      <c r="G6168" s="33" t="str">
        <f>IFERROR(VLOOKUP($D6168,'Informations sur les produits'!$A$3:$H$10000,8,FALSE),"0")</f>
        <v>0</v>
      </c>
      <c r="K6168" s="4"/>
      <c r="L6168" s="33" t="str">
        <f>IFERROR(VLOOKUP($J6168,'Informations sur les produits'!$A$3:$H$10000,8,FALSE),"0")</f>
        <v>0</v>
      </c>
      <c r="N6168" s="8"/>
      <c r="O6168" s="33" t="str">
        <f>IFERROR(VLOOKUP($M6168,'Informations sur les produits'!$A$3:$H$10000,8,FALSE),"0")</f>
        <v>0</v>
      </c>
      <c r="P6168" s="33">
        <f t="shared" si="384"/>
        <v>0</v>
      </c>
      <c r="Q6168" s="31" t="str">
        <f t="shared" si="385"/>
        <v/>
      </c>
      <c r="R6168" s="32" t="str">
        <f>IFERROR(VLOOKUP($D6168,'Informations sur les produits'!$A$3:$B$15000,2,FALSE),"")</f>
        <v/>
      </c>
      <c r="V6168">
        <f t="shared" si="386"/>
        <v>0</v>
      </c>
      <c r="W6168">
        <f t="shared" si="387"/>
        <v>0</v>
      </c>
    </row>
    <row r="6169" spans="5:23" x14ac:dyDescent="0.25">
      <c r="E6169" s="4"/>
      <c r="F6169" s="4"/>
      <c r="G6169" s="33" t="str">
        <f>IFERROR(VLOOKUP($D6169,'Informations sur les produits'!$A$3:$H$10000,8,FALSE),"0")</f>
        <v>0</v>
      </c>
      <c r="K6169" s="4"/>
      <c r="L6169" s="33" t="str">
        <f>IFERROR(VLOOKUP($J6169,'Informations sur les produits'!$A$3:$H$10000,8,FALSE),"0")</f>
        <v>0</v>
      </c>
      <c r="N6169" s="8"/>
      <c r="O6169" s="33" t="str">
        <f>IFERROR(VLOOKUP($M6169,'Informations sur les produits'!$A$3:$H$10000,8,FALSE),"0")</f>
        <v>0</v>
      </c>
      <c r="P6169" s="33">
        <f t="shared" si="384"/>
        <v>0</v>
      </c>
      <c r="Q6169" s="31" t="str">
        <f t="shared" si="385"/>
        <v/>
      </c>
      <c r="R6169" s="32" t="str">
        <f>IFERROR(VLOOKUP($D6169,'Informations sur les produits'!$A$3:$B$15000,2,FALSE),"")</f>
        <v/>
      </c>
      <c r="V6169">
        <f t="shared" si="386"/>
        <v>0</v>
      </c>
      <c r="W6169">
        <f t="shared" si="387"/>
        <v>0</v>
      </c>
    </row>
    <row r="6170" spans="5:23" x14ac:dyDescent="0.25">
      <c r="E6170" s="4"/>
      <c r="F6170" s="4"/>
      <c r="G6170" s="33" t="str">
        <f>IFERROR(VLOOKUP($D6170,'Informations sur les produits'!$A$3:$H$10000,8,FALSE),"0")</f>
        <v>0</v>
      </c>
      <c r="K6170" s="4"/>
      <c r="L6170" s="33" t="str">
        <f>IFERROR(VLOOKUP($J6170,'Informations sur les produits'!$A$3:$H$10000,8,FALSE),"0")</f>
        <v>0</v>
      </c>
      <c r="N6170" s="8"/>
      <c r="O6170" s="33" t="str">
        <f>IFERROR(VLOOKUP($M6170,'Informations sur les produits'!$A$3:$H$10000,8,FALSE),"0")</f>
        <v>0</v>
      </c>
      <c r="P6170" s="33">
        <f t="shared" si="384"/>
        <v>0</v>
      </c>
      <c r="Q6170" s="31" t="str">
        <f t="shared" si="385"/>
        <v/>
      </c>
      <c r="R6170" s="32" t="str">
        <f>IFERROR(VLOOKUP($D6170,'Informations sur les produits'!$A$3:$B$15000,2,FALSE),"")</f>
        <v/>
      </c>
      <c r="V6170">
        <f t="shared" si="386"/>
        <v>0</v>
      </c>
      <c r="W6170">
        <f t="shared" si="387"/>
        <v>0</v>
      </c>
    </row>
    <row r="6171" spans="5:23" x14ac:dyDescent="0.25">
      <c r="E6171" s="4"/>
      <c r="F6171" s="4"/>
      <c r="G6171" s="33" t="str">
        <f>IFERROR(VLOOKUP($D6171,'Informations sur les produits'!$A$3:$H$10000,8,FALSE),"0")</f>
        <v>0</v>
      </c>
      <c r="K6171" s="4"/>
      <c r="L6171" s="33" t="str">
        <f>IFERROR(VLOOKUP($J6171,'Informations sur les produits'!$A$3:$H$10000,8,FALSE),"0")</f>
        <v>0</v>
      </c>
      <c r="N6171" s="8"/>
      <c r="O6171" s="33" t="str">
        <f>IFERROR(VLOOKUP($M6171,'Informations sur les produits'!$A$3:$H$10000,8,FALSE),"0")</f>
        <v>0</v>
      </c>
      <c r="P6171" s="33">
        <f t="shared" si="384"/>
        <v>0</v>
      </c>
      <c r="Q6171" s="31" t="str">
        <f t="shared" si="385"/>
        <v/>
      </c>
      <c r="R6171" s="32" t="str">
        <f>IFERROR(VLOOKUP($D6171,'Informations sur les produits'!$A$3:$B$15000,2,FALSE),"")</f>
        <v/>
      </c>
      <c r="V6171">
        <f t="shared" si="386"/>
        <v>0</v>
      </c>
      <c r="W6171">
        <f t="shared" si="387"/>
        <v>0</v>
      </c>
    </row>
    <row r="6172" spans="5:23" x14ac:dyDescent="0.25">
      <c r="E6172" s="4"/>
      <c r="F6172" s="4"/>
      <c r="G6172" s="33" t="str">
        <f>IFERROR(VLOOKUP($D6172,'Informations sur les produits'!$A$3:$H$10000,8,FALSE),"0")</f>
        <v>0</v>
      </c>
      <c r="K6172" s="4"/>
      <c r="L6172" s="33" t="str">
        <f>IFERROR(VLOOKUP($J6172,'Informations sur les produits'!$A$3:$H$10000,8,FALSE),"0")</f>
        <v>0</v>
      </c>
      <c r="N6172" s="8"/>
      <c r="O6172" s="33" t="str">
        <f>IFERROR(VLOOKUP($M6172,'Informations sur les produits'!$A$3:$H$10000,8,FALSE),"0")</f>
        <v>0</v>
      </c>
      <c r="P6172" s="33">
        <f t="shared" si="384"/>
        <v>0</v>
      </c>
      <c r="Q6172" s="31" t="str">
        <f t="shared" si="385"/>
        <v/>
      </c>
      <c r="R6172" s="32" t="str">
        <f>IFERROR(VLOOKUP($D6172,'Informations sur les produits'!$A$3:$B$15000,2,FALSE),"")</f>
        <v/>
      </c>
      <c r="V6172">
        <f t="shared" si="386"/>
        <v>0</v>
      </c>
      <c r="W6172">
        <f t="shared" si="387"/>
        <v>0</v>
      </c>
    </row>
    <row r="6173" spans="5:23" x14ac:dyDescent="0.25">
      <c r="E6173" s="4"/>
      <c r="F6173" s="4"/>
      <c r="G6173" s="33" t="str">
        <f>IFERROR(VLOOKUP($D6173,'Informations sur les produits'!$A$3:$H$10000,8,FALSE),"0")</f>
        <v>0</v>
      </c>
      <c r="K6173" s="4"/>
      <c r="L6173" s="33" t="str">
        <f>IFERROR(VLOOKUP($J6173,'Informations sur les produits'!$A$3:$H$10000,8,FALSE),"0")</f>
        <v>0</v>
      </c>
      <c r="N6173" s="8"/>
      <c r="O6173" s="33" t="str">
        <f>IFERROR(VLOOKUP($M6173,'Informations sur les produits'!$A$3:$H$10000,8,FALSE),"0")</f>
        <v>0</v>
      </c>
      <c r="P6173" s="33">
        <f t="shared" si="384"/>
        <v>0</v>
      </c>
      <c r="Q6173" s="31" t="str">
        <f t="shared" si="385"/>
        <v/>
      </c>
      <c r="R6173" s="32" t="str">
        <f>IFERROR(VLOOKUP($D6173,'Informations sur les produits'!$A$3:$B$15000,2,FALSE),"")</f>
        <v/>
      </c>
      <c r="V6173">
        <f t="shared" si="386"/>
        <v>0</v>
      </c>
      <c r="W6173">
        <f t="shared" si="387"/>
        <v>0</v>
      </c>
    </row>
    <row r="6174" spans="5:23" x14ac:dyDescent="0.25">
      <c r="E6174" s="4"/>
      <c r="F6174" s="4"/>
      <c r="G6174" s="33" t="str">
        <f>IFERROR(VLOOKUP($D6174,'Informations sur les produits'!$A$3:$H$10000,8,FALSE),"0")</f>
        <v>0</v>
      </c>
      <c r="K6174" s="4"/>
      <c r="L6174" s="33" t="str">
        <f>IFERROR(VLOOKUP($J6174,'Informations sur les produits'!$A$3:$H$10000,8,FALSE),"0")</f>
        <v>0</v>
      </c>
      <c r="N6174" s="8"/>
      <c r="O6174" s="33" t="str">
        <f>IFERROR(VLOOKUP($M6174,'Informations sur les produits'!$A$3:$H$10000,8,FALSE),"0")</f>
        <v>0</v>
      </c>
      <c r="P6174" s="33">
        <f t="shared" si="384"/>
        <v>0</v>
      </c>
      <c r="Q6174" s="31" t="str">
        <f t="shared" si="385"/>
        <v/>
      </c>
      <c r="R6174" s="32" t="str">
        <f>IFERROR(VLOOKUP($D6174,'Informations sur les produits'!$A$3:$B$15000,2,FALSE),"")</f>
        <v/>
      </c>
      <c r="V6174">
        <f t="shared" si="386"/>
        <v>0</v>
      </c>
      <c r="W6174">
        <f t="shared" si="387"/>
        <v>0</v>
      </c>
    </row>
    <row r="6175" spans="5:23" x14ac:dyDescent="0.25">
      <c r="E6175" s="4"/>
      <c r="F6175" s="4"/>
      <c r="G6175" s="33" t="str">
        <f>IFERROR(VLOOKUP($D6175,'Informations sur les produits'!$A$3:$H$10000,8,FALSE),"0")</f>
        <v>0</v>
      </c>
      <c r="K6175" s="4"/>
      <c r="L6175" s="33" t="str">
        <f>IFERROR(VLOOKUP($J6175,'Informations sur les produits'!$A$3:$H$10000,8,FALSE),"0")</f>
        <v>0</v>
      </c>
      <c r="N6175" s="8"/>
      <c r="O6175" s="33" t="str">
        <f>IFERROR(VLOOKUP($M6175,'Informations sur les produits'!$A$3:$H$10000,8,FALSE),"0")</f>
        <v>0</v>
      </c>
      <c r="P6175" s="33">
        <f t="shared" si="384"/>
        <v>0</v>
      </c>
      <c r="Q6175" s="31" t="str">
        <f t="shared" si="385"/>
        <v/>
      </c>
      <c r="R6175" s="32" t="str">
        <f>IFERROR(VLOOKUP($D6175,'Informations sur les produits'!$A$3:$B$15000,2,FALSE),"")</f>
        <v/>
      </c>
      <c r="V6175">
        <f t="shared" si="386"/>
        <v>0</v>
      </c>
      <c r="W6175">
        <f t="shared" si="387"/>
        <v>0</v>
      </c>
    </row>
    <row r="6176" spans="5:23" x14ac:dyDescent="0.25">
      <c r="E6176" s="4"/>
      <c r="F6176" s="4"/>
      <c r="G6176" s="33" t="str">
        <f>IFERROR(VLOOKUP($D6176,'Informations sur les produits'!$A$3:$H$10000,8,FALSE),"0")</f>
        <v>0</v>
      </c>
      <c r="K6176" s="4"/>
      <c r="L6176" s="33" t="str">
        <f>IFERROR(VLOOKUP($J6176,'Informations sur les produits'!$A$3:$H$10000,8,FALSE),"0")</f>
        <v>0</v>
      </c>
      <c r="N6176" s="8"/>
      <c r="O6176" s="33" t="str">
        <f>IFERROR(VLOOKUP($M6176,'Informations sur les produits'!$A$3:$H$10000,8,FALSE),"0")</f>
        <v>0</v>
      </c>
      <c r="P6176" s="33">
        <f t="shared" si="384"/>
        <v>0</v>
      </c>
      <c r="Q6176" s="31" t="str">
        <f t="shared" si="385"/>
        <v/>
      </c>
      <c r="R6176" s="32" t="str">
        <f>IFERROR(VLOOKUP($D6176,'Informations sur les produits'!$A$3:$B$15000,2,FALSE),"")</f>
        <v/>
      </c>
      <c r="V6176">
        <f t="shared" si="386"/>
        <v>0</v>
      </c>
      <c r="W6176">
        <f t="shared" si="387"/>
        <v>0</v>
      </c>
    </row>
    <row r="6177" spans="5:23" x14ac:dyDescent="0.25">
      <c r="E6177" s="4"/>
      <c r="F6177" s="4"/>
      <c r="G6177" s="33" t="str">
        <f>IFERROR(VLOOKUP($D6177,'Informations sur les produits'!$A$3:$H$10000,8,FALSE),"0")</f>
        <v>0</v>
      </c>
      <c r="K6177" s="4"/>
      <c r="L6177" s="33" t="str">
        <f>IFERROR(VLOOKUP($J6177,'Informations sur les produits'!$A$3:$H$10000,8,FALSE),"0")</f>
        <v>0</v>
      </c>
      <c r="N6177" s="8"/>
      <c r="O6177" s="33" t="str">
        <f>IFERROR(VLOOKUP($M6177,'Informations sur les produits'!$A$3:$H$10000,8,FALSE),"0")</f>
        <v>0</v>
      </c>
      <c r="P6177" s="33">
        <f t="shared" si="384"/>
        <v>0</v>
      </c>
      <c r="Q6177" s="31" t="str">
        <f t="shared" si="385"/>
        <v/>
      </c>
      <c r="R6177" s="32" t="str">
        <f>IFERROR(VLOOKUP($D6177,'Informations sur les produits'!$A$3:$B$15000,2,FALSE),"")</f>
        <v/>
      </c>
      <c r="V6177">
        <f t="shared" si="386"/>
        <v>0</v>
      </c>
      <c r="W6177">
        <f t="shared" si="387"/>
        <v>0</v>
      </c>
    </row>
    <row r="6178" spans="5:23" x14ac:dyDescent="0.25">
      <c r="E6178" s="4"/>
      <c r="F6178" s="4"/>
      <c r="G6178" s="33" t="str">
        <f>IFERROR(VLOOKUP($D6178,'Informations sur les produits'!$A$3:$H$10000,8,FALSE),"0")</f>
        <v>0</v>
      </c>
      <c r="K6178" s="4"/>
      <c r="L6178" s="33" t="str">
        <f>IFERROR(VLOOKUP($J6178,'Informations sur les produits'!$A$3:$H$10000,8,FALSE),"0")</f>
        <v>0</v>
      </c>
      <c r="N6178" s="8"/>
      <c r="O6178" s="33" t="str">
        <f>IFERROR(VLOOKUP($M6178,'Informations sur les produits'!$A$3:$H$10000,8,FALSE),"0")</f>
        <v>0</v>
      </c>
      <c r="P6178" s="33">
        <f t="shared" si="384"/>
        <v>0</v>
      </c>
      <c r="Q6178" s="31" t="str">
        <f t="shared" si="385"/>
        <v/>
      </c>
      <c r="R6178" s="32" t="str">
        <f>IFERROR(VLOOKUP($D6178,'Informations sur les produits'!$A$3:$B$15000,2,FALSE),"")</f>
        <v/>
      </c>
      <c r="V6178">
        <f t="shared" si="386"/>
        <v>0</v>
      </c>
      <c r="W6178">
        <f t="shared" si="387"/>
        <v>0</v>
      </c>
    </row>
    <row r="6179" spans="5:23" x14ac:dyDescent="0.25">
      <c r="E6179" s="4"/>
      <c r="F6179" s="4"/>
      <c r="G6179" s="33" t="str">
        <f>IFERROR(VLOOKUP($D6179,'Informations sur les produits'!$A$3:$H$10000,8,FALSE),"0")</f>
        <v>0</v>
      </c>
      <c r="K6179" s="4"/>
      <c r="L6179" s="33" t="str">
        <f>IFERROR(VLOOKUP($J6179,'Informations sur les produits'!$A$3:$H$10000,8,FALSE),"0")</f>
        <v>0</v>
      </c>
      <c r="N6179" s="8"/>
      <c r="O6179" s="33" t="str">
        <f>IFERROR(VLOOKUP($M6179,'Informations sur les produits'!$A$3:$H$10000,8,FALSE),"0")</f>
        <v>0</v>
      </c>
      <c r="P6179" s="33">
        <f t="shared" si="384"/>
        <v>0</v>
      </c>
      <c r="Q6179" s="31" t="str">
        <f t="shared" si="385"/>
        <v/>
      </c>
      <c r="R6179" s="32" t="str">
        <f>IFERROR(VLOOKUP($D6179,'Informations sur les produits'!$A$3:$B$15000,2,FALSE),"")</f>
        <v/>
      </c>
      <c r="V6179">
        <f t="shared" si="386"/>
        <v>0</v>
      </c>
      <c r="W6179">
        <f t="shared" si="387"/>
        <v>0</v>
      </c>
    </row>
    <row r="6180" spans="5:23" x14ac:dyDescent="0.25">
      <c r="E6180" s="4"/>
      <c r="F6180" s="4"/>
      <c r="G6180" s="33" t="str">
        <f>IFERROR(VLOOKUP($D6180,'Informations sur les produits'!$A$3:$H$10000,8,FALSE),"0")</f>
        <v>0</v>
      </c>
      <c r="K6180" s="4"/>
      <c r="L6180" s="33" t="str">
        <f>IFERROR(VLOOKUP($J6180,'Informations sur les produits'!$A$3:$H$10000,8,FALSE),"0")</f>
        <v>0</v>
      </c>
      <c r="N6180" s="8"/>
      <c r="O6180" s="33" t="str">
        <f>IFERROR(VLOOKUP($M6180,'Informations sur les produits'!$A$3:$H$10000,8,FALSE),"0")</f>
        <v>0</v>
      </c>
      <c r="P6180" s="33">
        <f t="shared" si="384"/>
        <v>0</v>
      </c>
      <c r="Q6180" s="31" t="str">
        <f t="shared" si="385"/>
        <v/>
      </c>
      <c r="R6180" s="32" t="str">
        <f>IFERROR(VLOOKUP($D6180,'Informations sur les produits'!$A$3:$B$15000,2,FALSE),"")</f>
        <v/>
      </c>
      <c r="V6180">
        <f t="shared" si="386"/>
        <v>0</v>
      </c>
      <c r="W6180">
        <f t="shared" si="387"/>
        <v>0</v>
      </c>
    </row>
    <row r="6181" spans="5:23" x14ac:dyDescent="0.25">
      <c r="E6181" s="4"/>
      <c r="F6181" s="4"/>
      <c r="G6181" s="33" t="str">
        <f>IFERROR(VLOOKUP($D6181,'Informations sur les produits'!$A$3:$H$10000,8,FALSE),"0")</f>
        <v>0</v>
      </c>
      <c r="K6181" s="4"/>
      <c r="L6181" s="33" t="str">
        <f>IFERROR(VLOOKUP($J6181,'Informations sur les produits'!$A$3:$H$10000,8,FALSE),"0")</f>
        <v>0</v>
      </c>
      <c r="N6181" s="8"/>
      <c r="O6181" s="33" t="str">
        <f>IFERROR(VLOOKUP($M6181,'Informations sur les produits'!$A$3:$H$10000,8,FALSE),"0")</f>
        <v>0</v>
      </c>
      <c r="P6181" s="33">
        <f t="shared" si="384"/>
        <v>0</v>
      </c>
      <c r="Q6181" s="31" t="str">
        <f t="shared" si="385"/>
        <v/>
      </c>
      <c r="R6181" s="32" t="str">
        <f>IFERROR(VLOOKUP($D6181,'Informations sur les produits'!$A$3:$B$15000,2,FALSE),"")</f>
        <v/>
      </c>
      <c r="V6181">
        <f t="shared" si="386"/>
        <v>0</v>
      </c>
      <c r="W6181">
        <f t="shared" si="387"/>
        <v>0</v>
      </c>
    </row>
    <row r="6182" spans="5:23" x14ac:dyDescent="0.25">
      <c r="E6182" s="4"/>
      <c r="F6182" s="4"/>
      <c r="G6182" s="33" t="str">
        <f>IFERROR(VLOOKUP($D6182,'Informations sur les produits'!$A$3:$H$10000,8,FALSE),"0")</f>
        <v>0</v>
      </c>
      <c r="K6182" s="4"/>
      <c r="L6182" s="33" t="str">
        <f>IFERROR(VLOOKUP($J6182,'Informations sur les produits'!$A$3:$H$10000,8,FALSE),"0")</f>
        <v>0</v>
      </c>
      <c r="N6182" s="8"/>
      <c r="O6182" s="33" t="str">
        <f>IFERROR(VLOOKUP($M6182,'Informations sur les produits'!$A$3:$H$10000,8,FALSE),"0")</f>
        <v>0</v>
      </c>
      <c r="P6182" s="33">
        <f t="shared" si="384"/>
        <v>0</v>
      </c>
      <c r="Q6182" s="31" t="str">
        <f t="shared" si="385"/>
        <v/>
      </c>
      <c r="R6182" s="32" t="str">
        <f>IFERROR(VLOOKUP($D6182,'Informations sur les produits'!$A$3:$B$15000,2,FALSE),"")</f>
        <v/>
      </c>
      <c r="V6182">
        <f t="shared" si="386"/>
        <v>0</v>
      </c>
      <c r="W6182">
        <f t="shared" si="387"/>
        <v>0</v>
      </c>
    </row>
    <row r="6183" spans="5:23" x14ac:dyDescent="0.25">
      <c r="E6183" s="4"/>
      <c r="F6183" s="4"/>
      <c r="G6183" s="33" t="str">
        <f>IFERROR(VLOOKUP($D6183,'Informations sur les produits'!$A$3:$H$10000,8,FALSE),"0")</f>
        <v>0</v>
      </c>
      <c r="K6183" s="4"/>
      <c r="L6183" s="33" t="str">
        <f>IFERROR(VLOOKUP($J6183,'Informations sur les produits'!$A$3:$H$10000,8,FALSE),"0")</f>
        <v>0</v>
      </c>
      <c r="N6183" s="8"/>
      <c r="O6183" s="33" t="str">
        <f>IFERROR(VLOOKUP($M6183,'Informations sur les produits'!$A$3:$H$10000,8,FALSE),"0")</f>
        <v>0</v>
      </c>
      <c r="P6183" s="33">
        <f t="shared" si="384"/>
        <v>0</v>
      </c>
      <c r="Q6183" s="31" t="str">
        <f t="shared" si="385"/>
        <v/>
      </c>
      <c r="R6183" s="32" t="str">
        <f>IFERROR(VLOOKUP($D6183,'Informations sur les produits'!$A$3:$B$15000,2,FALSE),"")</f>
        <v/>
      </c>
      <c r="V6183">
        <f t="shared" si="386"/>
        <v>0</v>
      </c>
      <c r="W6183">
        <f t="shared" si="387"/>
        <v>0</v>
      </c>
    </row>
    <row r="6184" spans="5:23" x14ac:dyDescent="0.25">
      <c r="E6184" s="4"/>
      <c r="F6184" s="4"/>
      <c r="G6184" s="33" t="str">
        <f>IFERROR(VLOOKUP($D6184,'Informations sur les produits'!$A$3:$H$10000,8,FALSE),"0")</f>
        <v>0</v>
      </c>
      <c r="K6184" s="4"/>
      <c r="L6184" s="33" t="str">
        <f>IFERROR(VLOOKUP($J6184,'Informations sur les produits'!$A$3:$H$10000,8,FALSE),"0")</f>
        <v>0</v>
      </c>
      <c r="N6184" s="8"/>
      <c r="O6184" s="33" t="str">
        <f>IFERROR(VLOOKUP($M6184,'Informations sur les produits'!$A$3:$H$10000,8,FALSE),"0")</f>
        <v>0</v>
      </c>
      <c r="P6184" s="33">
        <f t="shared" si="384"/>
        <v>0</v>
      </c>
      <c r="Q6184" s="31" t="str">
        <f t="shared" si="385"/>
        <v/>
      </c>
      <c r="R6184" s="32" t="str">
        <f>IFERROR(VLOOKUP($D6184,'Informations sur les produits'!$A$3:$B$15000,2,FALSE),"")</f>
        <v/>
      </c>
      <c r="V6184">
        <f t="shared" si="386"/>
        <v>0</v>
      </c>
      <c r="W6184">
        <f t="shared" si="387"/>
        <v>0</v>
      </c>
    </row>
    <row r="6185" spans="5:23" x14ac:dyDescent="0.25">
      <c r="E6185" s="4"/>
      <c r="F6185" s="4"/>
      <c r="G6185" s="33" t="str">
        <f>IFERROR(VLOOKUP($D6185,'Informations sur les produits'!$A$3:$H$10000,8,FALSE),"0")</f>
        <v>0</v>
      </c>
      <c r="K6185" s="4"/>
      <c r="L6185" s="33" t="str">
        <f>IFERROR(VLOOKUP($J6185,'Informations sur les produits'!$A$3:$H$10000,8,FALSE),"0")</f>
        <v>0</v>
      </c>
      <c r="N6185" s="8"/>
      <c r="O6185" s="33" t="str">
        <f>IFERROR(VLOOKUP($M6185,'Informations sur les produits'!$A$3:$H$10000,8,FALSE),"0")</f>
        <v>0</v>
      </c>
      <c r="P6185" s="33">
        <f t="shared" si="384"/>
        <v>0</v>
      </c>
      <c r="Q6185" s="31" t="str">
        <f t="shared" si="385"/>
        <v/>
      </c>
      <c r="R6185" s="32" t="str">
        <f>IFERROR(VLOOKUP($D6185,'Informations sur les produits'!$A$3:$B$15000,2,FALSE),"")</f>
        <v/>
      </c>
      <c r="V6185">
        <f t="shared" si="386"/>
        <v>0</v>
      </c>
      <c r="W6185">
        <f t="shared" si="387"/>
        <v>0</v>
      </c>
    </row>
    <row r="6186" spans="5:23" x14ac:dyDescent="0.25">
      <c r="E6186" s="4"/>
      <c r="F6186" s="4"/>
      <c r="G6186" s="33" t="str">
        <f>IFERROR(VLOOKUP($D6186,'Informations sur les produits'!$A$3:$H$10000,8,FALSE),"0")</f>
        <v>0</v>
      </c>
      <c r="K6186" s="4"/>
      <c r="L6186" s="33" t="str">
        <f>IFERROR(VLOOKUP($J6186,'Informations sur les produits'!$A$3:$H$10000,8,FALSE),"0")</f>
        <v>0</v>
      </c>
      <c r="N6186" s="8"/>
      <c r="O6186" s="33" t="str">
        <f>IFERROR(VLOOKUP($M6186,'Informations sur les produits'!$A$3:$H$10000,8,FALSE),"0")</f>
        <v>0</v>
      </c>
      <c r="P6186" s="33">
        <f t="shared" si="384"/>
        <v>0</v>
      </c>
      <c r="Q6186" s="31" t="str">
        <f t="shared" si="385"/>
        <v/>
      </c>
      <c r="R6186" s="32" t="str">
        <f>IFERROR(VLOOKUP($D6186,'Informations sur les produits'!$A$3:$B$15000,2,FALSE),"")</f>
        <v/>
      </c>
      <c r="V6186">
        <f t="shared" si="386"/>
        <v>0</v>
      </c>
      <c r="W6186">
        <f t="shared" si="387"/>
        <v>0</v>
      </c>
    </row>
    <row r="6187" spans="5:23" x14ac:dyDescent="0.25">
      <c r="E6187" s="4"/>
      <c r="F6187" s="4"/>
      <c r="G6187" s="33" t="str">
        <f>IFERROR(VLOOKUP($D6187,'Informations sur les produits'!$A$3:$H$10000,8,FALSE),"0")</f>
        <v>0</v>
      </c>
      <c r="K6187" s="4"/>
      <c r="L6187" s="33" t="str">
        <f>IFERROR(VLOOKUP($J6187,'Informations sur les produits'!$A$3:$H$10000,8,FALSE),"0")</f>
        <v>0</v>
      </c>
      <c r="N6187" s="8"/>
      <c r="O6187" s="33" t="str">
        <f>IFERROR(VLOOKUP($M6187,'Informations sur les produits'!$A$3:$H$10000,8,FALSE),"0")</f>
        <v>0</v>
      </c>
      <c r="P6187" s="33">
        <f t="shared" si="384"/>
        <v>0</v>
      </c>
      <c r="Q6187" s="31" t="str">
        <f t="shared" si="385"/>
        <v/>
      </c>
      <c r="R6187" s="32" t="str">
        <f>IFERROR(VLOOKUP($D6187,'Informations sur les produits'!$A$3:$B$15000,2,FALSE),"")</f>
        <v/>
      </c>
      <c r="V6187">
        <f t="shared" si="386"/>
        <v>0</v>
      </c>
      <c r="W6187">
        <f t="shared" si="387"/>
        <v>0</v>
      </c>
    </row>
    <row r="6188" spans="5:23" x14ac:dyDescent="0.25">
      <c r="E6188" s="4"/>
      <c r="F6188" s="4"/>
      <c r="G6188" s="33" t="str">
        <f>IFERROR(VLOOKUP($D6188,'Informations sur les produits'!$A$3:$H$10000,8,FALSE),"0")</f>
        <v>0</v>
      </c>
      <c r="K6188" s="4"/>
      <c r="L6188" s="33" t="str">
        <f>IFERROR(VLOOKUP($J6188,'Informations sur les produits'!$A$3:$H$10000,8,FALSE),"0")</f>
        <v>0</v>
      </c>
      <c r="N6188" s="8"/>
      <c r="O6188" s="33" t="str">
        <f>IFERROR(VLOOKUP($M6188,'Informations sur les produits'!$A$3:$H$10000,8,FALSE),"0")</f>
        <v>0</v>
      </c>
      <c r="P6188" s="33">
        <f t="shared" si="384"/>
        <v>0</v>
      </c>
      <c r="Q6188" s="31" t="str">
        <f t="shared" si="385"/>
        <v/>
      </c>
      <c r="R6188" s="32" t="str">
        <f>IFERROR(VLOOKUP($D6188,'Informations sur les produits'!$A$3:$B$15000,2,FALSE),"")</f>
        <v/>
      </c>
      <c r="V6188">
        <f t="shared" si="386"/>
        <v>0</v>
      </c>
      <c r="W6188">
        <f t="shared" si="387"/>
        <v>0</v>
      </c>
    </row>
    <row r="6189" spans="5:23" x14ac:dyDescent="0.25">
      <c r="E6189" s="4"/>
      <c r="F6189" s="4"/>
      <c r="G6189" s="33" t="str">
        <f>IFERROR(VLOOKUP($D6189,'Informations sur les produits'!$A$3:$H$10000,8,FALSE),"0")</f>
        <v>0</v>
      </c>
      <c r="K6189" s="4"/>
      <c r="L6189" s="33" t="str">
        <f>IFERROR(VLOOKUP($J6189,'Informations sur les produits'!$A$3:$H$10000,8,FALSE),"0")</f>
        <v>0</v>
      </c>
      <c r="N6189" s="8"/>
      <c r="O6189" s="33" t="str">
        <f>IFERROR(VLOOKUP($M6189,'Informations sur les produits'!$A$3:$H$10000,8,FALSE),"0")</f>
        <v>0</v>
      </c>
      <c r="P6189" s="33">
        <f t="shared" si="384"/>
        <v>0</v>
      </c>
      <c r="Q6189" s="31" t="str">
        <f t="shared" si="385"/>
        <v/>
      </c>
      <c r="R6189" s="32" t="str">
        <f>IFERROR(VLOOKUP($D6189,'Informations sur les produits'!$A$3:$B$15000,2,FALSE),"")</f>
        <v/>
      </c>
      <c r="V6189">
        <f t="shared" si="386"/>
        <v>0</v>
      </c>
      <c r="W6189">
        <f t="shared" si="387"/>
        <v>0</v>
      </c>
    </row>
    <row r="6190" spans="5:23" x14ac:dyDescent="0.25">
      <c r="E6190" s="4"/>
      <c r="F6190" s="4"/>
      <c r="G6190" s="33" t="str">
        <f>IFERROR(VLOOKUP($D6190,'Informations sur les produits'!$A$3:$H$10000,8,FALSE),"0")</f>
        <v>0</v>
      </c>
      <c r="K6190" s="4"/>
      <c r="L6190" s="33" t="str">
        <f>IFERROR(VLOOKUP($J6190,'Informations sur les produits'!$A$3:$H$10000,8,FALSE),"0")</f>
        <v>0</v>
      </c>
      <c r="N6190" s="8"/>
      <c r="O6190" s="33" t="str">
        <f>IFERROR(VLOOKUP($M6190,'Informations sur les produits'!$A$3:$H$10000,8,FALSE),"0")</f>
        <v>0</v>
      </c>
      <c r="P6190" s="33">
        <f t="shared" si="384"/>
        <v>0</v>
      </c>
      <c r="Q6190" s="31" t="str">
        <f t="shared" si="385"/>
        <v/>
      </c>
      <c r="R6190" s="32" t="str">
        <f>IFERROR(VLOOKUP($D6190,'Informations sur les produits'!$A$3:$B$15000,2,FALSE),"")</f>
        <v/>
      </c>
      <c r="V6190">
        <f t="shared" si="386"/>
        <v>0</v>
      </c>
      <c r="W6190">
        <f t="shared" si="387"/>
        <v>0</v>
      </c>
    </row>
    <row r="6191" spans="5:23" x14ac:dyDescent="0.25">
      <c r="E6191" s="4"/>
      <c r="F6191" s="4"/>
      <c r="G6191" s="33" t="str">
        <f>IFERROR(VLOOKUP($D6191,'Informations sur les produits'!$A$3:$H$10000,8,FALSE),"0")</f>
        <v>0</v>
      </c>
      <c r="K6191" s="4"/>
      <c r="L6191" s="33" t="str">
        <f>IFERROR(VLOOKUP($J6191,'Informations sur les produits'!$A$3:$H$10000,8,FALSE),"0")</f>
        <v>0</v>
      </c>
      <c r="N6191" s="8"/>
      <c r="O6191" s="33" t="str">
        <f>IFERROR(VLOOKUP($M6191,'Informations sur les produits'!$A$3:$H$10000,8,FALSE),"0")</f>
        <v>0</v>
      </c>
      <c r="P6191" s="33">
        <f t="shared" si="384"/>
        <v>0</v>
      </c>
      <c r="Q6191" s="31" t="str">
        <f t="shared" si="385"/>
        <v/>
      </c>
      <c r="R6191" s="32" t="str">
        <f>IFERROR(VLOOKUP($D6191,'Informations sur les produits'!$A$3:$B$15000,2,FALSE),"")</f>
        <v/>
      </c>
      <c r="V6191">
        <f t="shared" si="386"/>
        <v>0</v>
      </c>
      <c r="W6191">
        <f t="shared" si="387"/>
        <v>0</v>
      </c>
    </row>
    <row r="6192" spans="5:23" x14ac:dyDescent="0.25">
      <c r="E6192" s="4"/>
      <c r="F6192" s="4"/>
      <c r="G6192" s="33" t="str">
        <f>IFERROR(VLOOKUP($D6192,'Informations sur les produits'!$A$3:$H$10000,8,FALSE),"0")</f>
        <v>0</v>
      </c>
      <c r="K6192" s="4"/>
      <c r="L6192" s="33" t="str">
        <f>IFERROR(VLOOKUP($J6192,'Informations sur les produits'!$A$3:$H$10000,8,FALSE),"0")</f>
        <v>0</v>
      </c>
      <c r="N6192" s="8"/>
      <c r="O6192" s="33" t="str">
        <f>IFERROR(VLOOKUP($M6192,'Informations sur les produits'!$A$3:$H$10000,8,FALSE),"0")</f>
        <v>0</v>
      </c>
      <c r="P6192" s="33">
        <f t="shared" si="384"/>
        <v>0</v>
      </c>
      <c r="Q6192" s="31" t="str">
        <f t="shared" si="385"/>
        <v/>
      </c>
      <c r="R6192" s="32" t="str">
        <f>IFERROR(VLOOKUP($D6192,'Informations sur les produits'!$A$3:$B$15000,2,FALSE),"")</f>
        <v/>
      </c>
      <c r="V6192">
        <f t="shared" si="386"/>
        <v>0</v>
      </c>
      <c r="W6192">
        <f t="shared" si="387"/>
        <v>0</v>
      </c>
    </row>
    <row r="6193" spans="5:23" x14ac:dyDescent="0.25">
      <c r="E6193" s="4"/>
      <c r="F6193" s="4"/>
      <c r="G6193" s="33" t="str">
        <f>IFERROR(VLOOKUP($D6193,'Informations sur les produits'!$A$3:$H$10000,8,FALSE),"0")</f>
        <v>0</v>
      </c>
      <c r="K6193" s="4"/>
      <c r="L6193" s="33" t="str">
        <f>IFERROR(VLOOKUP($J6193,'Informations sur les produits'!$A$3:$H$10000,8,FALSE),"0")</f>
        <v>0</v>
      </c>
      <c r="N6193" s="8"/>
      <c r="O6193" s="33" t="str">
        <f>IFERROR(VLOOKUP($M6193,'Informations sur les produits'!$A$3:$H$10000,8,FALSE),"0")</f>
        <v>0</v>
      </c>
      <c r="P6193" s="33">
        <f t="shared" si="384"/>
        <v>0</v>
      </c>
      <c r="Q6193" s="31" t="str">
        <f t="shared" si="385"/>
        <v/>
      </c>
      <c r="R6193" s="32" t="str">
        <f>IFERROR(VLOOKUP($D6193,'Informations sur les produits'!$A$3:$B$15000,2,FALSE),"")</f>
        <v/>
      </c>
      <c r="V6193">
        <f t="shared" si="386"/>
        <v>0</v>
      </c>
      <c r="W6193">
        <f t="shared" si="387"/>
        <v>0</v>
      </c>
    </row>
    <row r="6194" spans="5:23" x14ac:dyDescent="0.25">
      <c r="E6194" s="4"/>
      <c r="F6194" s="4"/>
      <c r="G6194" s="33" t="str">
        <f>IFERROR(VLOOKUP($D6194,'Informations sur les produits'!$A$3:$H$10000,8,FALSE),"0")</f>
        <v>0</v>
      </c>
      <c r="K6194" s="4"/>
      <c r="L6194" s="33" t="str">
        <f>IFERROR(VLOOKUP($J6194,'Informations sur les produits'!$A$3:$H$10000,8,FALSE),"0")</f>
        <v>0</v>
      </c>
      <c r="N6194" s="8"/>
      <c r="O6194" s="33" t="str">
        <f>IFERROR(VLOOKUP($M6194,'Informations sur les produits'!$A$3:$H$10000,8,FALSE),"0")</f>
        <v>0</v>
      </c>
      <c r="P6194" s="33">
        <f t="shared" si="384"/>
        <v>0</v>
      </c>
      <c r="Q6194" s="31" t="str">
        <f t="shared" si="385"/>
        <v/>
      </c>
      <c r="R6194" s="32" t="str">
        <f>IFERROR(VLOOKUP($D6194,'Informations sur les produits'!$A$3:$B$15000,2,FALSE),"")</f>
        <v/>
      </c>
      <c r="V6194">
        <f t="shared" si="386"/>
        <v>0</v>
      </c>
      <c r="W6194">
        <f t="shared" si="387"/>
        <v>0</v>
      </c>
    </row>
    <row r="6195" spans="5:23" x14ac:dyDescent="0.25">
      <c r="E6195" s="4"/>
      <c r="F6195" s="4"/>
      <c r="G6195" s="33" t="str">
        <f>IFERROR(VLOOKUP($D6195,'Informations sur les produits'!$A$3:$H$10000,8,FALSE),"0")</f>
        <v>0</v>
      </c>
      <c r="K6195" s="4"/>
      <c r="L6195" s="33" t="str">
        <f>IFERROR(VLOOKUP($J6195,'Informations sur les produits'!$A$3:$H$10000,8,FALSE),"0")</f>
        <v>0</v>
      </c>
      <c r="N6195" s="8"/>
      <c r="O6195" s="33" t="str">
        <f>IFERROR(VLOOKUP($M6195,'Informations sur les produits'!$A$3:$H$10000,8,FALSE),"0")</f>
        <v>0</v>
      </c>
      <c r="P6195" s="33">
        <f t="shared" si="384"/>
        <v>0</v>
      </c>
      <c r="Q6195" s="31" t="str">
        <f t="shared" si="385"/>
        <v/>
      </c>
      <c r="R6195" s="32" t="str">
        <f>IFERROR(VLOOKUP($D6195,'Informations sur les produits'!$A$3:$B$15000,2,FALSE),"")</f>
        <v/>
      </c>
      <c r="V6195">
        <f t="shared" si="386"/>
        <v>0</v>
      </c>
      <c r="W6195">
        <f t="shared" si="387"/>
        <v>0</v>
      </c>
    </row>
    <row r="6196" spans="5:23" x14ac:dyDescent="0.25">
      <c r="E6196" s="4"/>
      <c r="F6196" s="4"/>
      <c r="G6196" s="33" t="str">
        <f>IFERROR(VLOOKUP($D6196,'Informations sur les produits'!$A$3:$H$10000,8,FALSE),"0")</f>
        <v>0</v>
      </c>
      <c r="K6196" s="4"/>
      <c r="L6196" s="33" t="str">
        <f>IFERROR(VLOOKUP($J6196,'Informations sur les produits'!$A$3:$H$10000,8,FALSE),"0")</f>
        <v>0</v>
      </c>
      <c r="N6196" s="8"/>
      <c r="O6196" s="33" t="str">
        <f>IFERROR(VLOOKUP($M6196,'Informations sur les produits'!$A$3:$H$10000,8,FALSE),"0")</f>
        <v>0</v>
      </c>
      <c r="P6196" s="33">
        <f t="shared" si="384"/>
        <v>0</v>
      </c>
      <c r="Q6196" s="31" t="str">
        <f t="shared" si="385"/>
        <v/>
      </c>
      <c r="R6196" s="32" t="str">
        <f>IFERROR(VLOOKUP($D6196,'Informations sur les produits'!$A$3:$B$15000,2,FALSE),"")</f>
        <v/>
      </c>
      <c r="V6196">
        <f t="shared" si="386"/>
        <v>0</v>
      </c>
      <c r="W6196">
        <f t="shared" si="387"/>
        <v>0</v>
      </c>
    </row>
    <row r="6197" spans="5:23" x14ac:dyDescent="0.25">
      <c r="E6197" s="4"/>
      <c r="F6197" s="4"/>
      <c r="G6197" s="33" t="str">
        <f>IFERROR(VLOOKUP($D6197,'Informations sur les produits'!$A$3:$H$10000,8,FALSE),"0")</f>
        <v>0</v>
      </c>
      <c r="K6197" s="4"/>
      <c r="L6197" s="33" t="str">
        <f>IFERROR(VLOOKUP($J6197,'Informations sur les produits'!$A$3:$H$10000,8,FALSE),"0")</f>
        <v>0</v>
      </c>
      <c r="N6197" s="8"/>
      <c r="O6197" s="33" t="str">
        <f>IFERROR(VLOOKUP($M6197,'Informations sur les produits'!$A$3:$H$10000,8,FALSE),"0")</f>
        <v>0</v>
      </c>
      <c r="P6197" s="33">
        <f t="shared" si="384"/>
        <v>0</v>
      </c>
      <c r="Q6197" s="31" t="str">
        <f t="shared" si="385"/>
        <v/>
      </c>
      <c r="R6197" s="32" t="str">
        <f>IFERROR(VLOOKUP($D6197,'Informations sur les produits'!$A$3:$B$15000,2,FALSE),"")</f>
        <v/>
      </c>
      <c r="V6197">
        <f t="shared" si="386"/>
        <v>0</v>
      </c>
      <c r="W6197">
        <f t="shared" si="387"/>
        <v>0</v>
      </c>
    </row>
    <row r="6198" spans="5:23" x14ac:dyDescent="0.25">
      <c r="E6198" s="4"/>
      <c r="F6198" s="4"/>
      <c r="G6198" s="33" t="str">
        <f>IFERROR(VLOOKUP($D6198,'Informations sur les produits'!$A$3:$H$10000,8,FALSE),"0")</f>
        <v>0</v>
      </c>
      <c r="K6198" s="4"/>
      <c r="L6198" s="33" t="str">
        <f>IFERROR(VLOOKUP($J6198,'Informations sur les produits'!$A$3:$H$10000,8,FALSE),"0")</f>
        <v>0</v>
      </c>
      <c r="N6198" s="8"/>
      <c r="O6198" s="33" t="str">
        <f>IFERROR(VLOOKUP($M6198,'Informations sur les produits'!$A$3:$H$10000,8,FALSE),"0")</f>
        <v>0</v>
      </c>
      <c r="P6198" s="33">
        <f t="shared" si="384"/>
        <v>0</v>
      </c>
      <c r="Q6198" s="31" t="str">
        <f t="shared" si="385"/>
        <v/>
      </c>
      <c r="R6198" s="32" t="str">
        <f>IFERROR(VLOOKUP($D6198,'Informations sur les produits'!$A$3:$B$15000,2,FALSE),"")</f>
        <v/>
      </c>
      <c r="V6198">
        <f t="shared" si="386"/>
        <v>0</v>
      </c>
      <c r="W6198">
        <f t="shared" si="387"/>
        <v>0</v>
      </c>
    </row>
    <row r="6199" spans="5:23" x14ac:dyDescent="0.25">
      <c r="E6199" s="4"/>
      <c r="F6199" s="4"/>
      <c r="G6199" s="33" t="str">
        <f>IFERROR(VLOOKUP($D6199,'Informations sur les produits'!$A$3:$H$10000,8,FALSE),"0")</f>
        <v>0</v>
      </c>
      <c r="K6199" s="4"/>
      <c r="L6199" s="33" t="str">
        <f>IFERROR(VLOOKUP($J6199,'Informations sur les produits'!$A$3:$H$10000,8,FALSE),"0")</f>
        <v>0</v>
      </c>
      <c r="N6199" s="8"/>
      <c r="O6199" s="33" t="str">
        <f>IFERROR(VLOOKUP($M6199,'Informations sur les produits'!$A$3:$H$10000,8,FALSE),"0")</f>
        <v>0</v>
      </c>
      <c r="P6199" s="33">
        <f t="shared" si="384"/>
        <v>0</v>
      </c>
      <c r="Q6199" s="31" t="str">
        <f t="shared" si="385"/>
        <v/>
      </c>
      <c r="R6199" s="32" t="str">
        <f>IFERROR(VLOOKUP($D6199,'Informations sur les produits'!$A$3:$B$15000,2,FALSE),"")</f>
        <v/>
      </c>
      <c r="V6199">
        <f t="shared" si="386"/>
        <v>0</v>
      </c>
      <c r="W6199">
        <f t="shared" si="387"/>
        <v>0</v>
      </c>
    </row>
    <row r="6200" spans="5:23" x14ac:dyDescent="0.25">
      <c r="E6200" s="4"/>
      <c r="F6200" s="4"/>
      <c r="G6200" s="33" t="str">
        <f>IFERROR(VLOOKUP($D6200,'Informations sur les produits'!$A$3:$H$10000,8,FALSE),"0")</f>
        <v>0</v>
      </c>
      <c r="K6200" s="4"/>
      <c r="L6200" s="33" t="str">
        <f>IFERROR(VLOOKUP($J6200,'Informations sur les produits'!$A$3:$H$10000,8,FALSE),"0")</f>
        <v>0</v>
      </c>
      <c r="N6200" s="8"/>
      <c r="O6200" s="33" t="str">
        <f>IFERROR(VLOOKUP($M6200,'Informations sur les produits'!$A$3:$H$10000,8,FALSE),"0")</f>
        <v>0</v>
      </c>
      <c r="P6200" s="33">
        <f t="shared" si="384"/>
        <v>0</v>
      </c>
      <c r="Q6200" s="31" t="str">
        <f t="shared" si="385"/>
        <v/>
      </c>
      <c r="R6200" s="32" t="str">
        <f>IFERROR(VLOOKUP($D6200,'Informations sur les produits'!$A$3:$B$15000,2,FALSE),"")</f>
        <v/>
      </c>
      <c r="V6200">
        <f t="shared" si="386"/>
        <v>0</v>
      </c>
      <c r="W6200">
        <f t="shared" si="387"/>
        <v>0</v>
      </c>
    </row>
    <row r="6201" spans="5:23" x14ac:dyDescent="0.25">
      <c r="E6201" s="4"/>
      <c r="F6201" s="4"/>
      <c r="G6201" s="33" t="str">
        <f>IFERROR(VLOOKUP($D6201,'Informations sur les produits'!$A$3:$H$10000,8,FALSE),"0")</f>
        <v>0</v>
      </c>
      <c r="K6201" s="4"/>
      <c r="L6201" s="33" t="str">
        <f>IFERROR(VLOOKUP($J6201,'Informations sur les produits'!$A$3:$H$10000,8,FALSE),"0")</f>
        <v>0</v>
      </c>
      <c r="N6201" s="8"/>
      <c r="O6201" s="33" t="str">
        <f>IFERROR(VLOOKUP($M6201,'Informations sur les produits'!$A$3:$H$10000,8,FALSE),"0")</f>
        <v>0</v>
      </c>
      <c r="P6201" s="33">
        <f t="shared" si="384"/>
        <v>0</v>
      </c>
      <c r="Q6201" s="31" t="str">
        <f t="shared" si="385"/>
        <v/>
      </c>
      <c r="R6201" s="32" t="str">
        <f>IFERROR(VLOOKUP($D6201,'Informations sur les produits'!$A$3:$B$15000,2,FALSE),"")</f>
        <v/>
      </c>
      <c r="V6201">
        <f t="shared" si="386"/>
        <v>0</v>
      </c>
      <c r="W6201">
        <f t="shared" si="387"/>
        <v>0</v>
      </c>
    </row>
    <row r="6202" spans="5:23" x14ac:dyDescent="0.25">
      <c r="E6202" s="4"/>
      <c r="F6202" s="4"/>
      <c r="G6202" s="33" t="str">
        <f>IFERROR(VLOOKUP($D6202,'Informations sur les produits'!$A$3:$H$10000,8,FALSE),"0")</f>
        <v>0</v>
      </c>
      <c r="K6202" s="4"/>
      <c r="L6202" s="33" t="str">
        <f>IFERROR(VLOOKUP($J6202,'Informations sur les produits'!$A$3:$H$10000,8,FALSE),"0")</f>
        <v>0</v>
      </c>
      <c r="N6202" s="8"/>
      <c r="O6202" s="33" t="str">
        <f>IFERROR(VLOOKUP($M6202,'Informations sur les produits'!$A$3:$H$10000,8,FALSE),"0")</f>
        <v>0</v>
      </c>
      <c r="P6202" s="33">
        <f t="shared" si="384"/>
        <v>0</v>
      </c>
      <c r="Q6202" s="31" t="str">
        <f t="shared" si="385"/>
        <v/>
      </c>
      <c r="R6202" s="32" t="str">
        <f>IFERROR(VLOOKUP($D6202,'Informations sur les produits'!$A$3:$B$15000,2,FALSE),"")</f>
        <v/>
      </c>
      <c r="V6202">
        <f t="shared" si="386"/>
        <v>0</v>
      </c>
      <c r="W6202">
        <f t="shared" si="387"/>
        <v>0</v>
      </c>
    </row>
    <row r="6203" spans="5:23" x14ac:dyDescent="0.25">
      <c r="E6203" s="4"/>
      <c r="F6203" s="4"/>
      <c r="G6203" s="33" t="str">
        <f>IFERROR(VLOOKUP($D6203,'Informations sur les produits'!$A$3:$H$10000,8,FALSE),"0")</f>
        <v>0</v>
      </c>
      <c r="K6203" s="4"/>
      <c r="L6203" s="33" t="str">
        <f>IFERROR(VLOOKUP($J6203,'Informations sur les produits'!$A$3:$H$10000,8,FALSE),"0")</f>
        <v>0</v>
      </c>
      <c r="N6203" s="8"/>
      <c r="O6203" s="33" t="str">
        <f>IFERROR(VLOOKUP($M6203,'Informations sur les produits'!$A$3:$H$10000,8,FALSE),"0")</f>
        <v>0</v>
      </c>
      <c r="P6203" s="33">
        <f t="shared" si="384"/>
        <v>0</v>
      </c>
      <c r="Q6203" s="31" t="str">
        <f t="shared" si="385"/>
        <v/>
      </c>
      <c r="R6203" s="32" t="str">
        <f>IFERROR(VLOOKUP($D6203,'Informations sur les produits'!$A$3:$B$15000,2,FALSE),"")</f>
        <v/>
      </c>
      <c r="V6203">
        <f t="shared" si="386"/>
        <v>0</v>
      </c>
      <c r="W6203">
        <f t="shared" si="387"/>
        <v>0</v>
      </c>
    </row>
    <row r="6204" spans="5:23" x14ac:dyDescent="0.25">
      <c r="E6204" s="4"/>
      <c r="F6204" s="4"/>
      <c r="G6204" s="33" t="str">
        <f>IFERROR(VLOOKUP($D6204,'Informations sur les produits'!$A$3:$H$10000,8,FALSE),"0")</f>
        <v>0</v>
      </c>
      <c r="K6204" s="4"/>
      <c r="L6204" s="33" t="str">
        <f>IFERROR(VLOOKUP($J6204,'Informations sur les produits'!$A$3:$H$10000,8,FALSE),"0")</f>
        <v>0</v>
      </c>
      <c r="N6204" s="8"/>
      <c r="O6204" s="33" t="str">
        <f>IFERROR(VLOOKUP($M6204,'Informations sur les produits'!$A$3:$H$10000,8,FALSE),"0")</f>
        <v>0</v>
      </c>
      <c r="P6204" s="33">
        <f t="shared" si="384"/>
        <v>0</v>
      </c>
      <c r="Q6204" s="31" t="str">
        <f t="shared" si="385"/>
        <v/>
      </c>
      <c r="R6204" s="32" t="str">
        <f>IFERROR(VLOOKUP($D6204,'Informations sur les produits'!$A$3:$B$15000,2,FALSE),"")</f>
        <v/>
      </c>
      <c r="V6204">
        <f t="shared" si="386"/>
        <v>0</v>
      </c>
      <c r="W6204">
        <f t="shared" si="387"/>
        <v>0</v>
      </c>
    </row>
    <row r="6205" spans="5:23" x14ac:dyDescent="0.25">
      <c r="E6205" s="4"/>
      <c r="F6205" s="4"/>
      <c r="G6205" s="33" t="str">
        <f>IFERROR(VLOOKUP($D6205,'Informations sur les produits'!$A$3:$H$10000,8,FALSE),"0")</f>
        <v>0</v>
      </c>
      <c r="K6205" s="4"/>
      <c r="L6205" s="33" t="str">
        <f>IFERROR(VLOOKUP($J6205,'Informations sur les produits'!$A$3:$H$10000,8,FALSE),"0")</f>
        <v>0</v>
      </c>
      <c r="N6205" s="8"/>
      <c r="O6205" s="33" t="str">
        <f>IFERROR(VLOOKUP($M6205,'Informations sur les produits'!$A$3:$H$10000,8,FALSE),"0")</f>
        <v>0</v>
      </c>
      <c r="P6205" s="33">
        <f t="shared" si="384"/>
        <v>0</v>
      </c>
      <c r="Q6205" s="31" t="str">
        <f t="shared" si="385"/>
        <v/>
      </c>
      <c r="R6205" s="32" t="str">
        <f>IFERROR(VLOOKUP($D6205,'Informations sur les produits'!$A$3:$B$15000,2,FALSE),"")</f>
        <v/>
      </c>
      <c r="V6205">
        <f t="shared" si="386"/>
        <v>0</v>
      </c>
      <c r="W6205">
        <f t="shared" si="387"/>
        <v>0</v>
      </c>
    </row>
    <row r="6206" spans="5:23" x14ac:dyDescent="0.25">
      <c r="E6206" s="4"/>
      <c r="F6206" s="4"/>
      <c r="G6206" s="33" t="str">
        <f>IFERROR(VLOOKUP($D6206,'Informations sur les produits'!$A$3:$H$10000,8,FALSE),"0")</f>
        <v>0</v>
      </c>
      <c r="K6206" s="4"/>
      <c r="L6206" s="33" t="str">
        <f>IFERROR(VLOOKUP($J6206,'Informations sur les produits'!$A$3:$H$10000,8,FALSE),"0")</f>
        <v>0</v>
      </c>
      <c r="N6206" s="8"/>
      <c r="O6206" s="33" t="str">
        <f>IFERROR(VLOOKUP($M6206,'Informations sur les produits'!$A$3:$H$10000,8,FALSE),"0")</f>
        <v>0</v>
      </c>
      <c r="P6206" s="33">
        <f t="shared" si="384"/>
        <v>0</v>
      </c>
      <c r="Q6206" s="31" t="str">
        <f t="shared" si="385"/>
        <v/>
      </c>
      <c r="R6206" s="32" t="str">
        <f>IFERROR(VLOOKUP($D6206,'Informations sur les produits'!$A$3:$B$15000,2,FALSE),"")</f>
        <v/>
      </c>
      <c r="V6206">
        <f t="shared" si="386"/>
        <v>0</v>
      </c>
      <c r="W6206">
        <f t="shared" si="387"/>
        <v>0</v>
      </c>
    </row>
    <row r="6207" spans="5:23" x14ac:dyDescent="0.25">
      <c r="E6207" s="4"/>
      <c r="F6207" s="4"/>
      <c r="G6207" s="33" t="str">
        <f>IFERROR(VLOOKUP($D6207,'Informations sur les produits'!$A$3:$H$10000,8,FALSE),"0")</f>
        <v>0</v>
      </c>
      <c r="K6207" s="4"/>
      <c r="L6207" s="33" t="str">
        <f>IFERROR(VLOOKUP($J6207,'Informations sur les produits'!$A$3:$H$10000,8,FALSE),"0")</f>
        <v>0</v>
      </c>
      <c r="N6207" s="8"/>
      <c r="O6207" s="33" t="str">
        <f>IFERROR(VLOOKUP($M6207,'Informations sur les produits'!$A$3:$H$10000,8,FALSE),"0")</f>
        <v>0</v>
      </c>
      <c r="P6207" s="33">
        <f t="shared" si="384"/>
        <v>0</v>
      </c>
      <c r="Q6207" s="31" t="str">
        <f t="shared" si="385"/>
        <v/>
      </c>
      <c r="R6207" s="32" t="str">
        <f>IFERROR(VLOOKUP($D6207,'Informations sur les produits'!$A$3:$B$15000,2,FALSE),"")</f>
        <v/>
      </c>
      <c r="V6207">
        <f t="shared" si="386"/>
        <v>0</v>
      </c>
      <c r="W6207">
        <f t="shared" si="387"/>
        <v>0</v>
      </c>
    </row>
    <row r="6208" spans="5:23" x14ac:dyDescent="0.25">
      <c r="E6208" s="4"/>
      <c r="F6208" s="4"/>
      <c r="G6208" s="33" t="str">
        <f>IFERROR(VLOOKUP($D6208,'Informations sur les produits'!$A$3:$H$10000,8,FALSE),"0")</f>
        <v>0</v>
      </c>
      <c r="K6208" s="4"/>
      <c r="L6208" s="33" t="str">
        <f>IFERROR(VLOOKUP($J6208,'Informations sur les produits'!$A$3:$H$10000,8,FALSE),"0")</f>
        <v>0</v>
      </c>
      <c r="N6208" s="8"/>
      <c r="O6208" s="33" t="str">
        <f>IFERROR(VLOOKUP($M6208,'Informations sur les produits'!$A$3:$H$10000,8,FALSE),"0")</f>
        <v>0</v>
      </c>
      <c r="P6208" s="33">
        <f t="shared" si="384"/>
        <v>0</v>
      </c>
      <c r="Q6208" s="31" t="str">
        <f t="shared" si="385"/>
        <v/>
      </c>
      <c r="R6208" s="32" t="str">
        <f>IFERROR(VLOOKUP($D6208,'Informations sur les produits'!$A$3:$B$15000,2,FALSE),"")</f>
        <v/>
      </c>
      <c r="V6208">
        <f t="shared" si="386"/>
        <v>0</v>
      </c>
      <c r="W6208">
        <f t="shared" si="387"/>
        <v>0</v>
      </c>
    </row>
    <row r="6209" spans="5:23" x14ac:dyDescent="0.25">
      <c r="E6209" s="4"/>
      <c r="F6209" s="4"/>
      <c r="G6209" s="33" t="str">
        <f>IFERROR(VLOOKUP($D6209,'Informations sur les produits'!$A$3:$H$10000,8,FALSE),"0")</f>
        <v>0</v>
      </c>
      <c r="K6209" s="4"/>
      <c r="L6209" s="33" t="str">
        <f>IFERROR(VLOOKUP($J6209,'Informations sur les produits'!$A$3:$H$10000,8,FALSE),"0")</f>
        <v>0</v>
      </c>
      <c r="N6209" s="8"/>
      <c r="O6209" s="33" t="str">
        <f>IFERROR(VLOOKUP($M6209,'Informations sur les produits'!$A$3:$H$10000,8,FALSE),"0")</f>
        <v>0</v>
      </c>
      <c r="P6209" s="33">
        <f t="shared" si="384"/>
        <v>0</v>
      </c>
      <c r="Q6209" s="31" t="str">
        <f t="shared" si="385"/>
        <v/>
      </c>
      <c r="R6209" s="32" t="str">
        <f>IFERROR(VLOOKUP($D6209,'Informations sur les produits'!$A$3:$B$15000,2,FALSE),"")</f>
        <v/>
      </c>
      <c r="V6209">
        <f t="shared" si="386"/>
        <v>0</v>
      </c>
      <c r="W6209">
        <f t="shared" si="387"/>
        <v>0</v>
      </c>
    </row>
    <row r="6210" spans="5:23" x14ac:dyDescent="0.25">
      <c r="E6210" s="4"/>
      <c r="F6210" s="4"/>
      <c r="G6210" s="33" t="str">
        <f>IFERROR(VLOOKUP($D6210,'Informations sur les produits'!$A$3:$H$10000,8,FALSE),"0")</f>
        <v>0</v>
      </c>
      <c r="K6210" s="4"/>
      <c r="L6210" s="33" t="str">
        <f>IFERROR(VLOOKUP($J6210,'Informations sur les produits'!$A$3:$H$10000,8,FALSE),"0")</f>
        <v>0</v>
      </c>
      <c r="N6210" s="8"/>
      <c r="O6210" s="33" t="str">
        <f>IFERROR(VLOOKUP($M6210,'Informations sur les produits'!$A$3:$H$10000,8,FALSE),"0")</f>
        <v>0</v>
      </c>
      <c r="P6210" s="33">
        <f t="shared" si="384"/>
        <v>0</v>
      </c>
      <c r="Q6210" s="31" t="str">
        <f t="shared" si="385"/>
        <v/>
      </c>
      <c r="R6210" s="32" t="str">
        <f>IFERROR(VLOOKUP($D6210,'Informations sur les produits'!$A$3:$B$15000,2,FALSE),"")</f>
        <v/>
      </c>
      <c r="V6210">
        <f t="shared" si="386"/>
        <v>0</v>
      </c>
      <c r="W6210">
        <f t="shared" si="387"/>
        <v>0</v>
      </c>
    </row>
    <row r="6211" spans="5:23" x14ac:dyDescent="0.25">
      <c r="E6211" s="4"/>
      <c r="F6211" s="4"/>
      <c r="G6211" s="33" t="str">
        <f>IFERROR(VLOOKUP($D6211,'Informations sur les produits'!$A$3:$H$10000,8,FALSE),"0")</f>
        <v>0</v>
      </c>
      <c r="K6211" s="4"/>
      <c r="L6211" s="33" t="str">
        <f>IFERROR(VLOOKUP($J6211,'Informations sur les produits'!$A$3:$H$10000,8,FALSE),"0")</f>
        <v>0</v>
      </c>
      <c r="N6211" s="8"/>
      <c r="O6211" s="33" t="str">
        <f>IFERROR(VLOOKUP($M6211,'Informations sur les produits'!$A$3:$H$10000,8,FALSE),"0")</f>
        <v>0</v>
      </c>
      <c r="P6211" s="33">
        <f t="shared" si="384"/>
        <v>0</v>
      </c>
      <c r="Q6211" s="31" t="str">
        <f t="shared" si="385"/>
        <v/>
      </c>
      <c r="R6211" s="32" t="str">
        <f>IFERROR(VLOOKUP($D6211,'Informations sur les produits'!$A$3:$B$15000,2,FALSE),"")</f>
        <v/>
      </c>
      <c r="V6211">
        <f t="shared" si="386"/>
        <v>0</v>
      </c>
      <c r="W6211">
        <f t="shared" si="387"/>
        <v>0</v>
      </c>
    </row>
    <row r="6212" spans="5:23" x14ac:dyDescent="0.25">
      <c r="E6212" s="4"/>
      <c r="F6212" s="4"/>
      <c r="G6212" s="33" t="str">
        <f>IFERROR(VLOOKUP($D6212,'Informations sur les produits'!$A$3:$H$10000,8,FALSE),"0")</f>
        <v>0</v>
      </c>
      <c r="K6212" s="4"/>
      <c r="L6212" s="33" t="str">
        <f>IFERROR(VLOOKUP($J6212,'Informations sur les produits'!$A$3:$H$10000,8,FALSE),"0")</f>
        <v>0</v>
      </c>
      <c r="N6212" s="8"/>
      <c r="O6212" s="33" t="str">
        <f>IFERROR(VLOOKUP($M6212,'Informations sur les produits'!$A$3:$H$10000,8,FALSE),"0")</f>
        <v>0</v>
      </c>
      <c r="P6212" s="33">
        <f t="shared" ref="P6212:P6275" si="388">IFERROR((($E6212-$F6212)*$G6212+$K6212*$L6212+$N6212*$O6212),"")</f>
        <v>0</v>
      </c>
      <c r="Q6212" s="31" t="str">
        <f t="shared" ref="Q6212:Q6275" si="389">IFERROR((((($E6212-$F6212)*$G6212+$K6212*$L6212+$N6212*$O6212)*1000)/(($E6212-$F6212)+$K6212+$N6212)),"")</f>
        <v/>
      </c>
      <c r="R6212" s="32" t="str">
        <f>IFERROR(VLOOKUP($D6212,'Informations sur les produits'!$A$3:$B$15000,2,FALSE),"")</f>
        <v/>
      </c>
      <c r="V6212">
        <f t="shared" ref="V6212:V6275" si="390">IFERROR(P6212*1000,"")</f>
        <v>0</v>
      </c>
      <c r="W6212">
        <f t="shared" ref="W6212:W6275" si="391">IFERROR(($E6212-$F6212)+$K6212+$N6212,"")</f>
        <v>0</v>
      </c>
    </row>
    <row r="6213" spans="5:23" x14ac:dyDescent="0.25">
      <c r="E6213" s="4"/>
      <c r="F6213" s="4"/>
      <c r="G6213" s="33" t="str">
        <f>IFERROR(VLOOKUP($D6213,'Informations sur les produits'!$A$3:$H$10000,8,FALSE),"0")</f>
        <v>0</v>
      </c>
      <c r="K6213" s="4"/>
      <c r="L6213" s="33" t="str">
        <f>IFERROR(VLOOKUP($J6213,'Informations sur les produits'!$A$3:$H$10000,8,FALSE),"0")</f>
        <v>0</v>
      </c>
      <c r="N6213" s="8"/>
      <c r="O6213" s="33" t="str">
        <f>IFERROR(VLOOKUP($M6213,'Informations sur les produits'!$A$3:$H$10000,8,FALSE),"0")</f>
        <v>0</v>
      </c>
      <c r="P6213" s="33">
        <f t="shared" si="388"/>
        <v>0</v>
      </c>
      <c r="Q6213" s="31" t="str">
        <f t="shared" si="389"/>
        <v/>
      </c>
      <c r="R6213" s="32" t="str">
        <f>IFERROR(VLOOKUP($D6213,'Informations sur les produits'!$A$3:$B$15000,2,FALSE),"")</f>
        <v/>
      </c>
      <c r="V6213">
        <f t="shared" si="390"/>
        <v>0</v>
      </c>
      <c r="W6213">
        <f t="shared" si="391"/>
        <v>0</v>
      </c>
    </row>
    <row r="6214" spans="5:23" x14ac:dyDescent="0.25">
      <c r="E6214" s="4"/>
      <c r="F6214" s="4"/>
      <c r="G6214" s="33" t="str">
        <f>IFERROR(VLOOKUP($D6214,'Informations sur les produits'!$A$3:$H$10000,8,FALSE),"0")</f>
        <v>0</v>
      </c>
      <c r="K6214" s="4"/>
      <c r="L6214" s="33" t="str">
        <f>IFERROR(VLOOKUP($J6214,'Informations sur les produits'!$A$3:$H$10000,8,FALSE),"0")</f>
        <v>0</v>
      </c>
      <c r="N6214" s="8"/>
      <c r="O6214" s="33" t="str">
        <f>IFERROR(VLOOKUP($M6214,'Informations sur les produits'!$A$3:$H$10000,8,FALSE),"0")</f>
        <v>0</v>
      </c>
      <c r="P6214" s="33">
        <f t="shared" si="388"/>
        <v>0</v>
      </c>
      <c r="Q6214" s="31" t="str">
        <f t="shared" si="389"/>
        <v/>
      </c>
      <c r="R6214" s="32" t="str">
        <f>IFERROR(VLOOKUP($D6214,'Informations sur les produits'!$A$3:$B$15000,2,FALSE),"")</f>
        <v/>
      </c>
      <c r="V6214">
        <f t="shared" si="390"/>
        <v>0</v>
      </c>
      <c r="W6214">
        <f t="shared" si="391"/>
        <v>0</v>
      </c>
    </row>
    <row r="6215" spans="5:23" x14ac:dyDescent="0.25">
      <c r="E6215" s="4"/>
      <c r="F6215" s="4"/>
      <c r="G6215" s="33" t="str">
        <f>IFERROR(VLOOKUP($D6215,'Informations sur les produits'!$A$3:$H$10000,8,FALSE),"0")</f>
        <v>0</v>
      </c>
      <c r="K6215" s="4"/>
      <c r="L6215" s="33" t="str">
        <f>IFERROR(VLOOKUP($J6215,'Informations sur les produits'!$A$3:$H$10000,8,FALSE),"0")</f>
        <v>0</v>
      </c>
      <c r="N6215" s="8"/>
      <c r="O6215" s="33" t="str">
        <f>IFERROR(VLOOKUP($M6215,'Informations sur les produits'!$A$3:$H$10000,8,FALSE),"0")</f>
        <v>0</v>
      </c>
      <c r="P6215" s="33">
        <f t="shared" si="388"/>
        <v>0</v>
      </c>
      <c r="Q6215" s="31" t="str">
        <f t="shared" si="389"/>
        <v/>
      </c>
      <c r="R6215" s="32" t="str">
        <f>IFERROR(VLOOKUP($D6215,'Informations sur les produits'!$A$3:$B$15000,2,FALSE),"")</f>
        <v/>
      </c>
      <c r="V6215">
        <f t="shared" si="390"/>
        <v>0</v>
      </c>
      <c r="W6215">
        <f t="shared" si="391"/>
        <v>0</v>
      </c>
    </row>
    <row r="6216" spans="5:23" x14ac:dyDescent="0.25">
      <c r="E6216" s="4"/>
      <c r="F6216" s="4"/>
      <c r="G6216" s="33" t="str">
        <f>IFERROR(VLOOKUP($D6216,'Informations sur les produits'!$A$3:$H$10000,8,FALSE),"0")</f>
        <v>0</v>
      </c>
      <c r="K6216" s="4"/>
      <c r="L6216" s="33" t="str">
        <f>IFERROR(VLOOKUP($J6216,'Informations sur les produits'!$A$3:$H$10000,8,FALSE),"0")</f>
        <v>0</v>
      </c>
      <c r="N6216" s="8"/>
      <c r="O6216" s="33" t="str">
        <f>IFERROR(VLOOKUP($M6216,'Informations sur les produits'!$A$3:$H$10000,8,FALSE),"0")</f>
        <v>0</v>
      </c>
      <c r="P6216" s="33">
        <f t="shared" si="388"/>
        <v>0</v>
      </c>
      <c r="Q6216" s="31" t="str">
        <f t="shared" si="389"/>
        <v/>
      </c>
      <c r="R6216" s="32" t="str">
        <f>IFERROR(VLOOKUP($D6216,'Informations sur les produits'!$A$3:$B$15000,2,FALSE),"")</f>
        <v/>
      </c>
      <c r="V6216">
        <f t="shared" si="390"/>
        <v>0</v>
      </c>
      <c r="W6216">
        <f t="shared" si="391"/>
        <v>0</v>
      </c>
    </row>
    <row r="6217" spans="5:23" x14ac:dyDescent="0.25">
      <c r="E6217" s="4"/>
      <c r="F6217" s="4"/>
      <c r="G6217" s="33" t="str">
        <f>IFERROR(VLOOKUP($D6217,'Informations sur les produits'!$A$3:$H$10000,8,FALSE),"0")</f>
        <v>0</v>
      </c>
      <c r="K6217" s="4"/>
      <c r="L6217" s="33" t="str">
        <f>IFERROR(VLOOKUP($J6217,'Informations sur les produits'!$A$3:$H$10000,8,FALSE),"0")</f>
        <v>0</v>
      </c>
      <c r="N6217" s="8"/>
      <c r="O6217" s="33" t="str">
        <f>IFERROR(VLOOKUP($M6217,'Informations sur les produits'!$A$3:$H$10000,8,FALSE),"0")</f>
        <v>0</v>
      </c>
      <c r="P6217" s="33">
        <f t="shared" si="388"/>
        <v>0</v>
      </c>
      <c r="Q6217" s="31" t="str">
        <f t="shared" si="389"/>
        <v/>
      </c>
      <c r="R6217" s="32" t="str">
        <f>IFERROR(VLOOKUP($D6217,'Informations sur les produits'!$A$3:$B$15000,2,FALSE),"")</f>
        <v/>
      </c>
      <c r="V6217">
        <f t="shared" si="390"/>
        <v>0</v>
      </c>
      <c r="W6217">
        <f t="shared" si="391"/>
        <v>0</v>
      </c>
    </row>
    <row r="6218" spans="5:23" x14ac:dyDescent="0.25">
      <c r="E6218" s="4"/>
      <c r="F6218" s="4"/>
      <c r="G6218" s="33" t="str">
        <f>IFERROR(VLOOKUP($D6218,'Informations sur les produits'!$A$3:$H$10000,8,FALSE),"0")</f>
        <v>0</v>
      </c>
      <c r="K6218" s="4"/>
      <c r="L6218" s="33" t="str">
        <f>IFERROR(VLOOKUP($J6218,'Informations sur les produits'!$A$3:$H$10000,8,FALSE),"0")</f>
        <v>0</v>
      </c>
      <c r="N6218" s="8"/>
      <c r="O6218" s="33" t="str">
        <f>IFERROR(VLOOKUP($M6218,'Informations sur les produits'!$A$3:$H$10000,8,FALSE),"0")</f>
        <v>0</v>
      </c>
      <c r="P6218" s="33">
        <f t="shared" si="388"/>
        <v>0</v>
      </c>
      <c r="Q6218" s="31" t="str">
        <f t="shared" si="389"/>
        <v/>
      </c>
      <c r="R6218" s="32" t="str">
        <f>IFERROR(VLOOKUP($D6218,'Informations sur les produits'!$A$3:$B$15000,2,FALSE),"")</f>
        <v/>
      </c>
      <c r="V6218">
        <f t="shared" si="390"/>
        <v>0</v>
      </c>
      <c r="W6218">
        <f t="shared" si="391"/>
        <v>0</v>
      </c>
    </row>
    <row r="6219" spans="5:23" x14ac:dyDescent="0.25">
      <c r="E6219" s="4"/>
      <c r="F6219" s="4"/>
      <c r="G6219" s="33" t="str">
        <f>IFERROR(VLOOKUP($D6219,'Informations sur les produits'!$A$3:$H$10000,8,FALSE),"0")</f>
        <v>0</v>
      </c>
      <c r="K6219" s="4"/>
      <c r="L6219" s="33" t="str">
        <f>IFERROR(VLOOKUP($J6219,'Informations sur les produits'!$A$3:$H$10000,8,FALSE),"0")</f>
        <v>0</v>
      </c>
      <c r="N6219" s="8"/>
      <c r="O6219" s="33" t="str">
        <f>IFERROR(VLOOKUP($M6219,'Informations sur les produits'!$A$3:$H$10000,8,FALSE),"0")</f>
        <v>0</v>
      </c>
      <c r="P6219" s="33">
        <f t="shared" si="388"/>
        <v>0</v>
      </c>
      <c r="Q6219" s="31" t="str">
        <f t="shared" si="389"/>
        <v/>
      </c>
      <c r="R6219" s="32" t="str">
        <f>IFERROR(VLOOKUP($D6219,'Informations sur les produits'!$A$3:$B$15000,2,FALSE),"")</f>
        <v/>
      </c>
      <c r="V6219">
        <f t="shared" si="390"/>
        <v>0</v>
      </c>
      <c r="W6219">
        <f t="shared" si="391"/>
        <v>0</v>
      </c>
    </row>
    <row r="6220" spans="5:23" x14ac:dyDescent="0.25">
      <c r="E6220" s="4"/>
      <c r="F6220" s="4"/>
      <c r="G6220" s="33" t="str">
        <f>IFERROR(VLOOKUP($D6220,'Informations sur les produits'!$A$3:$H$10000,8,FALSE),"0")</f>
        <v>0</v>
      </c>
      <c r="K6220" s="4"/>
      <c r="L6220" s="33" t="str">
        <f>IFERROR(VLOOKUP($J6220,'Informations sur les produits'!$A$3:$H$10000,8,FALSE),"0")</f>
        <v>0</v>
      </c>
      <c r="N6220" s="8"/>
      <c r="O6220" s="33" t="str">
        <f>IFERROR(VLOOKUP($M6220,'Informations sur les produits'!$A$3:$H$10000,8,FALSE),"0")</f>
        <v>0</v>
      </c>
      <c r="P6220" s="33">
        <f t="shared" si="388"/>
        <v>0</v>
      </c>
      <c r="Q6220" s="31" t="str">
        <f t="shared" si="389"/>
        <v/>
      </c>
      <c r="R6220" s="32" t="str">
        <f>IFERROR(VLOOKUP($D6220,'Informations sur les produits'!$A$3:$B$15000,2,FALSE),"")</f>
        <v/>
      </c>
      <c r="V6220">
        <f t="shared" si="390"/>
        <v>0</v>
      </c>
      <c r="W6220">
        <f t="shared" si="391"/>
        <v>0</v>
      </c>
    </row>
    <row r="6221" spans="5:23" x14ac:dyDescent="0.25">
      <c r="E6221" s="4"/>
      <c r="F6221" s="4"/>
      <c r="G6221" s="33" t="str">
        <f>IFERROR(VLOOKUP($D6221,'Informations sur les produits'!$A$3:$H$10000,8,FALSE),"0")</f>
        <v>0</v>
      </c>
      <c r="K6221" s="4"/>
      <c r="L6221" s="33" t="str">
        <f>IFERROR(VLOOKUP($J6221,'Informations sur les produits'!$A$3:$H$10000,8,FALSE),"0")</f>
        <v>0</v>
      </c>
      <c r="N6221" s="8"/>
      <c r="O6221" s="33" t="str">
        <f>IFERROR(VLOOKUP($M6221,'Informations sur les produits'!$A$3:$H$10000,8,FALSE),"0")</f>
        <v>0</v>
      </c>
      <c r="P6221" s="33">
        <f t="shared" si="388"/>
        <v>0</v>
      </c>
      <c r="Q6221" s="31" t="str">
        <f t="shared" si="389"/>
        <v/>
      </c>
      <c r="R6221" s="32" t="str">
        <f>IFERROR(VLOOKUP($D6221,'Informations sur les produits'!$A$3:$B$15000,2,FALSE),"")</f>
        <v/>
      </c>
      <c r="V6221">
        <f t="shared" si="390"/>
        <v>0</v>
      </c>
      <c r="W6221">
        <f t="shared" si="391"/>
        <v>0</v>
      </c>
    </row>
    <row r="6222" spans="5:23" x14ac:dyDescent="0.25">
      <c r="E6222" s="4"/>
      <c r="F6222" s="4"/>
      <c r="G6222" s="33" t="str">
        <f>IFERROR(VLOOKUP($D6222,'Informations sur les produits'!$A$3:$H$10000,8,FALSE),"0")</f>
        <v>0</v>
      </c>
      <c r="K6222" s="4"/>
      <c r="L6222" s="33" t="str">
        <f>IFERROR(VLOOKUP($J6222,'Informations sur les produits'!$A$3:$H$10000,8,FALSE),"0")</f>
        <v>0</v>
      </c>
      <c r="N6222" s="8"/>
      <c r="O6222" s="33" t="str">
        <f>IFERROR(VLOOKUP($M6222,'Informations sur les produits'!$A$3:$H$10000,8,FALSE),"0")</f>
        <v>0</v>
      </c>
      <c r="P6222" s="33">
        <f t="shared" si="388"/>
        <v>0</v>
      </c>
      <c r="Q6222" s="31" t="str">
        <f t="shared" si="389"/>
        <v/>
      </c>
      <c r="R6222" s="32" t="str">
        <f>IFERROR(VLOOKUP($D6222,'Informations sur les produits'!$A$3:$B$15000,2,FALSE),"")</f>
        <v/>
      </c>
      <c r="V6222">
        <f t="shared" si="390"/>
        <v>0</v>
      </c>
      <c r="W6222">
        <f t="shared" si="391"/>
        <v>0</v>
      </c>
    </row>
    <row r="6223" spans="5:23" x14ac:dyDescent="0.25">
      <c r="E6223" s="4"/>
      <c r="F6223" s="4"/>
      <c r="G6223" s="33" t="str">
        <f>IFERROR(VLOOKUP($D6223,'Informations sur les produits'!$A$3:$H$10000,8,FALSE),"0")</f>
        <v>0</v>
      </c>
      <c r="K6223" s="4"/>
      <c r="L6223" s="33" t="str">
        <f>IFERROR(VLOOKUP($J6223,'Informations sur les produits'!$A$3:$H$10000,8,FALSE),"0")</f>
        <v>0</v>
      </c>
      <c r="N6223" s="8"/>
      <c r="O6223" s="33" t="str">
        <f>IFERROR(VLOOKUP($M6223,'Informations sur les produits'!$A$3:$H$10000,8,FALSE),"0")</f>
        <v>0</v>
      </c>
      <c r="P6223" s="33">
        <f t="shared" si="388"/>
        <v>0</v>
      </c>
      <c r="Q6223" s="31" t="str">
        <f t="shared" si="389"/>
        <v/>
      </c>
      <c r="R6223" s="32" t="str">
        <f>IFERROR(VLOOKUP($D6223,'Informations sur les produits'!$A$3:$B$15000,2,FALSE),"")</f>
        <v/>
      </c>
      <c r="V6223">
        <f t="shared" si="390"/>
        <v>0</v>
      </c>
      <c r="W6223">
        <f t="shared" si="391"/>
        <v>0</v>
      </c>
    </row>
    <row r="6224" spans="5:23" x14ac:dyDescent="0.25">
      <c r="E6224" s="4"/>
      <c r="F6224" s="4"/>
      <c r="G6224" s="33" t="str">
        <f>IFERROR(VLOOKUP($D6224,'Informations sur les produits'!$A$3:$H$10000,8,FALSE),"0")</f>
        <v>0</v>
      </c>
      <c r="K6224" s="4"/>
      <c r="L6224" s="33" t="str">
        <f>IFERROR(VLOOKUP($J6224,'Informations sur les produits'!$A$3:$H$10000,8,FALSE),"0")</f>
        <v>0</v>
      </c>
      <c r="N6224" s="8"/>
      <c r="O6224" s="33" t="str">
        <f>IFERROR(VLOOKUP($M6224,'Informations sur les produits'!$A$3:$H$10000,8,FALSE),"0")</f>
        <v>0</v>
      </c>
      <c r="P6224" s="33">
        <f t="shared" si="388"/>
        <v>0</v>
      </c>
      <c r="Q6224" s="31" t="str">
        <f t="shared" si="389"/>
        <v/>
      </c>
      <c r="R6224" s="32" t="str">
        <f>IFERROR(VLOOKUP($D6224,'Informations sur les produits'!$A$3:$B$15000,2,FALSE),"")</f>
        <v/>
      </c>
      <c r="V6224">
        <f t="shared" si="390"/>
        <v>0</v>
      </c>
      <c r="W6224">
        <f t="shared" si="391"/>
        <v>0</v>
      </c>
    </row>
    <row r="6225" spans="5:23" x14ac:dyDescent="0.25">
      <c r="E6225" s="4"/>
      <c r="F6225" s="4"/>
      <c r="G6225" s="33" t="str">
        <f>IFERROR(VLOOKUP($D6225,'Informations sur les produits'!$A$3:$H$10000,8,FALSE),"0")</f>
        <v>0</v>
      </c>
      <c r="K6225" s="4"/>
      <c r="L6225" s="33" t="str">
        <f>IFERROR(VLOOKUP($J6225,'Informations sur les produits'!$A$3:$H$10000,8,FALSE),"0")</f>
        <v>0</v>
      </c>
      <c r="N6225" s="8"/>
      <c r="O6225" s="33" t="str">
        <f>IFERROR(VLOOKUP($M6225,'Informations sur les produits'!$A$3:$H$10000,8,FALSE),"0")</f>
        <v>0</v>
      </c>
      <c r="P6225" s="33">
        <f t="shared" si="388"/>
        <v>0</v>
      </c>
      <c r="Q6225" s="31" t="str">
        <f t="shared" si="389"/>
        <v/>
      </c>
      <c r="R6225" s="32" t="str">
        <f>IFERROR(VLOOKUP($D6225,'Informations sur les produits'!$A$3:$B$15000,2,FALSE),"")</f>
        <v/>
      </c>
      <c r="V6225">
        <f t="shared" si="390"/>
        <v>0</v>
      </c>
      <c r="W6225">
        <f t="shared" si="391"/>
        <v>0</v>
      </c>
    </row>
    <row r="6226" spans="5:23" x14ac:dyDescent="0.25">
      <c r="E6226" s="4"/>
      <c r="F6226" s="4"/>
      <c r="G6226" s="33" t="str">
        <f>IFERROR(VLOOKUP($D6226,'Informations sur les produits'!$A$3:$H$10000,8,FALSE),"0")</f>
        <v>0</v>
      </c>
      <c r="K6226" s="4"/>
      <c r="L6226" s="33" t="str">
        <f>IFERROR(VLOOKUP($J6226,'Informations sur les produits'!$A$3:$H$10000,8,FALSE),"0")</f>
        <v>0</v>
      </c>
      <c r="N6226" s="8"/>
      <c r="O6226" s="33" t="str">
        <f>IFERROR(VLOOKUP($M6226,'Informations sur les produits'!$A$3:$H$10000,8,FALSE),"0")</f>
        <v>0</v>
      </c>
      <c r="P6226" s="33">
        <f t="shared" si="388"/>
        <v>0</v>
      </c>
      <c r="Q6226" s="31" t="str">
        <f t="shared" si="389"/>
        <v/>
      </c>
      <c r="R6226" s="32" t="str">
        <f>IFERROR(VLOOKUP($D6226,'Informations sur les produits'!$A$3:$B$15000,2,FALSE),"")</f>
        <v/>
      </c>
      <c r="V6226">
        <f t="shared" si="390"/>
        <v>0</v>
      </c>
      <c r="W6226">
        <f t="shared" si="391"/>
        <v>0</v>
      </c>
    </row>
    <row r="6227" spans="5:23" x14ac:dyDescent="0.25">
      <c r="E6227" s="4"/>
      <c r="F6227" s="4"/>
      <c r="G6227" s="33" t="str">
        <f>IFERROR(VLOOKUP($D6227,'Informations sur les produits'!$A$3:$H$10000,8,FALSE),"0")</f>
        <v>0</v>
      </c>
      <c r="K6227" s="4"/>
      <c r="L6227" s="33" t="str">
        <f>IFERROR(VLOOKUP($J6227,'Informations sur les produits'!$A$3:$H$10000,8,FALSE),"0")</f>
        <v>0</v>
      </c>
      <c r="N6227" s="8"/>
      <c r="O6227" s="33" t="str">
        <f>IFERROR(VLOOKUP($M6227,'Informations sur les produits'!$A$3:$H$10000,8,FALSE),"0")</f>
        <v>0</v>
      </c>
      <c r="P6227" s="33">
        <f t="shared" si="388"/>
        <v>0</v>
      </c>
      <c r="Q6227" s="31" t="str">
        <f t="shared" si="389"/>
        <v/>
      </c>
      <c r="R6227" s="32" t="str">
        <f>IFERROR(VLOOKUP($D6227,'Informations sur les produits'!$A$3:$B$15000,2,FALSE),"")</f>
        <v/>
      </c>
      <c r="V6227">
        <f t="shared" si="390"/>
        <v>0</v>
      </c>
      <c r="W6227">
        <f t="shared" si="391"/>
        <v>0</v>
      </c>
    </row>
    <row r="6228" spans="5:23" x14ac:dyDescent="0.25">
      <c r="E6228" s="4"/>
      <c r="F6228" s="4"/>
      <c r="G6228" s="33" t="str">
        <f>IFERROR(VLOOKUP($D6228,'Informations sur les produits'!$A$3:$H$10000,8,FALSE),"0")</f>
        <v>0</v>
      </c>
      <c r="K6228" s="4"/>
      <c r="L6228" s="33" t="str">
        <f>IFERROR(VLOOKUP($J6228,'Informations sur les produits'!$A$3:$H$10000,8,FALSE),"0")</f>
        <v>0</v>
      </c>
      <c r="N6228" s="8"/>
      <c r="O6228" s="33" t="str">
        <f>IFERROR(VLOOKUP($M6228,'Informations sur les produits'!$A$3:$H$10000,8,FALSE),"0")</f>
        <v>0</v>
      </c>
      <c r="P6228" s="33">
        <f t="shared" si="388"/>
        <v>0</v>
      </c>
      <c r="Q6228" s="31" t="str">
        <f t="shared" si="389"/>
        <v/>
      </c>
      <c r="R6228" s="32" t="str">
        <f>IFERROR(VLOOKUP($D6228,'Informations sur les produits'!$A$3:$B$15000,2,FALSE),"")</f>
        <v/>
      </c>
      <c r="V6228">
        <f t="shared" si="390"/>
        <v>0</v>
      </c>
      <c r="W6228">
        <f t="shared" si="391"/>
        <v>0</v>
      </c>
    </row>
    <row r="6229" spans="5:23" x14ac:dyDescent="0.25">
      <c r="E6229" s="4"/>
      <c r="F6229" s="4"/>
      <c r="G6229" s="33" t="str">
        <f>IFERROR(VLOOKUP($D6229,'Informations sur les produits'!$A$3:$H$10000,8,FALSE),"0")</f>
        <v>0</v>
      </c>
      <c r="K6229" s="4"/>
      <c r="L6229" s="33" t="str">
        <f>IFERROR(VLOOKUP($J6229,'Informations sur les produits'!$A$3:$H$10000,8,FALSE),"0")</f>
        <v>0</v>
      </c>
      <c r="N6229" s="8"/>
      <c r="O6229" s="33" t="str">
        <f>IFERROR(VLOOKUP($M6229,'Informations sur les produits'!$A$3:$H$10000,8,FALSE),"0")</f>
        <v>0</v>
      </c>
      <c r="P6229" s="33">
        <f t="shared" si="388"/>
        <v>0</v>
      </c>
      <c r="Q6229" s="31" t="str">
        <f t="shared" si="389"/>
        <v/>
      </c>
      <c r="R6229" s="32" t="str">
        <f>IFERROR(VLOOKUP($D6229,'Informations sur les produits'!$A$3:$B$15000,2,FALSE),"")</f>
        <v/>
      </c>
      <c r="V6229">
        <f t="shared" si="390"/>
        <v>0</v>
      </c>
      <c r="W6229">
        <f t="shared" si="391"/>
        <v>0</v>
      </c>
    </row>
    <row r="6230" spans="5:23" x14ac:dyDescent="0.25">
      <c r="E6230" s="4"/>
      <c r="F6230" s="4"/>
      <c r="G6230" s="33" t="str">
        <f>IFERROR(VLOOKUP($D6230,'Informations sur les produits'!$A$3:$H$10000,8,FALSE),"0")</f>
        <v>0</v>
      </c>
      <c r="K6230" s="4"/>
      <c r="L6230" s="33" t="str">
        <f>IFERROR(VLOOKUP($J6230,'Informations sur les produits'!$A$3:$H$10000,8,FALSE),"0")</f>
        <v>0</v>
      </c>
      <c r="N6230" s="8"/>
      <c r="O6230" s="33" t="str">
        <f>IFERROR(VLOOKUP($M6230,'Informations sur les produits'!$A$3:$H$10000,8,FALSE),"0")</f>
        <v>0</v>
      </c>
      <c r="P6230" s="33">
        <f t="shared" si="388"/>
        <v>0</v>
      </c>
      <c r="Q6230" s="31" t="str">
        <f t="shared" si="389"/>
        <v/>
      </c>
      <c r="R6230" s="32" t="str">
        <f>IFERROR(VLOOKUP($D6230,'Informations sur les produits'!$A$3:$B$15000,2,FALSE),"")</f>
        <v/>
      </c>
      <c r="V6230">
        <f t="shared" si="390"/>
        <v>0</v>
      </c>
      <c r="W6230">
        <f t="shared" si="391"/>
        <v>0</v>
      </c>
    </row>
    <row r="6231" spans="5:23" x14ac:dyDescent="0.25">
      <c r="E6231" s="4"/>
      <c r="F6231" s="4"/>
      <c r="G6231" s="33" t="str">
        <f>IFERROR(VLOOKUP($D6231,'Informations sur les produits'!$A$3:$H$10000,8,FALSE),"0")</f>
        <v>0</v>
      </c>
      <c r="K6231" s="4"/>
      <c r="L6231" s="33" t="str">
        <f>IFERROR(VLOOKUP($J6231,'Informations sur les produits'!$A$3:$H$10000,8,FALSE),"0")</f>
        <v>0</v>
      </c>
      <c r="N6231" s="8"/>
      <c r="O6231" s="33" t="str">
        <f>IFERROR(VLOOKUP($M6231,'Informations sur les produits'!$A$3:$H$10000,8,FALSE),"0")</f>
        <v>0</v>
      </c>
      <c r="P6231" s="33">
        <f t="shared" si="388"/>
        <v>0</v>
      </c>
      <c r="Q6231" s="31" t="str">
        <f t="shared" si="389"/>
        <v/>
      </c>
      <c r="R6231" s="32" t="str">
        <f>IFERROR(VLOOKUP($D6231,'Informations sur les produits'!$A$3:$B$15000,2,FALSE),"")</f>
        <v/>
      </c>
      <c r="V6231">
        <f t="shared" si="390"/>
        <v>0</v>
      </c>
      <c r="W6231">
        <f t="shared" si="391"/>
        <v>0</v>
      </c>
    </row>
    <row r="6232" spans="5:23" x14ac:dyDescent="0.25">
      <c r="E6232" s="4"/>
      <c r="F6232" s="4"/>
      <c r="G6232" s="33" t="str">
        <f>IFERROR(VLOOKUP($D6232,'Informations sur les produits'!$A$3:$H$10000,8,FALSE),"0")</f>
        <v>0</v>
      </c>
      <c r="K6232" s="4"/>
      <c r="L6232" s="33" t="str">
        <f>IFERROR(VLOOKUP($J6232,'Informations sur les produits'!$A$3:$H$10000,8,FALSE),"0")</f>
        <v>0</v>
      </c>
      <c r="N6232" s="8"/>
      <c r="O6232" s="33" t="str">
        <f>IFERROR(VLOOKUP($M6232,'Informations sur les produits'!$A$3:$H$10000,8,FALSE),"0")</f>
        <v>0</v>
      </c>
      <c r="P6232" s="33">
        <f t="shared" si="388"/>
        <v>0</v>
      </c>
      <c r="Q6232" s="31" t="str">
        <f t="shared" si="389"/>
        <v/>
      </c>
      <c r="R6232" s="32" t="str">
        <f>IFERROR(VLOOKUP($D6232,'Informations sur les produits'!$A$3:$B$15000,2,FALSE),"")</f>
        <v/>
      </c>
      <c r="V6232">
        <f t="shared" si="390"/>
        <v>0</v>
      </c>
      <c r="W6232">
        <f t="shared" si="391"/>
        <v>0</v>
      </c>
    </row>
    <row r="6233" spans="5:23" x14ac:dyDescent="0.25">
      <c r="E6233" s="4"/>
      <c r="F6233" s="4"/>
      <c r="G6233" s="33" t="str">
        <f>IFERROR(VLOOKUP($D6233,'Informations sur les produits'!$A$3:$H$10000,8,FALSE),"0")</f>
        <v>0</v>
      </c>
      <c r="K6233" s="4"/>
      <c r="L6233" s="33" t="str">
        <f>IFERROR(VLOOKUP($J6233,'Informations sur les produits'!$A$3:$H$10000,8,FALSE),"0")</f>
        <v>0</v>
      </c>
      <c r="N6233" s="8"/>
      <c r="O6233" s="33" t="str">
        <f>IFERROR(VLOOKUP($M6233,'Informations sur les produits'!$A$3:$H$10000,8,FALSE),"0")</f>
        <v>0</v>
      </c>
      <c r="P6233" s="33">
        <f t="shared" si="388"/>
        <v>0</v>
      </c>
      <c r="Q6233" s="31" t="str">
        <f t="shared" si="389"/>
        <v/>
      </c>
      <c r="R6233" s="32" t="str">
        <f>IFERROR(VLOOKUP($D6233,'Informations sur les produits'!$A$3:$B$15000,2,FALSE),"")</f>
        <v/>
      </c>
      <c r="V6233">
        <f t="shared" si="390"/>
        <v>0</v>
      </c>
      <c r="W6233">
        <f t="shared" si="391"/>
        <v>0</v>
      </c>
    </row>
    <row r="6234" spans="5:23" x14ac:dyDescent="0.25">
      <c r="E6234" s="4"/>
      <c r="F6234" s="4"/>
      <c r="G6234" s="33" t="str">
        <f>IFERROR(VLOOKUP($D6234,'Informations sur les produits'!$A$3:$H$10000,8,FALSE),"0")</f>
        <v>0</v>
      </c>
      <c r="K6234" s="4"/>
      <c r="L6234" s="33" t="str">
        <f>IFERROR(VLOOKUP($J6234,'Informations sur les produits'!$A$3:$H$10000,8,FALSE),"0")</f>
        <v>0</v>
      </c>
      <c r="N6234" s="8"/>
      <c r="O6234" s="33" t="str">
        <f>IFERROR(VLOOKUP($M6234,'Informations sur les produits'!$A$3:$H$10000,8,FALSE),"0")</f>
        <v>0</v>
      </c>
      <c r="P6234" s="33">
        <f t="shared" si="388"/>
        <v>0</v>
      </c>
      <c r="Q6234" s="31" t="str">
        <f t="shared" si="389"/>
        <v/>
      </c>
      <c r="R6234" s="32" t="str">
        <f>IFERROR(VLOOKUP($D6234,'Informations sur les produits'!$A$3:$B$15000,2,FALSE),"")</f>
        <v/>
      </c>
      <c r="V6234">
        <f t="shared" si="390"/>
        <v>0</v>
      </c>
      <c r="W6234">
        <f t="shared" si="391"/>
        <v>0</v>
      </c>
    </row>
    <row r="6235" spans="5:23" x14ac:dyDescent="0.25">
      <c r="E6235" s="4"/>
      <c r="F6235" s="4"/>
      <c r="G6235" s="33" t="str">
        <f>IFERROR(VLOOKUP($D6235,'Informations sur les produits'!$A$3:$H$10000,8,FALSE),"0")</f>
        <v>0</v>
      </c>
      <c r="K6235" s="4"/>
      <c r="L6235" s="33" t="str">
        <f>IFERROR(VLOOKUP($J6235,'Informations sur les produits'!$A$3:$H$10000,8,FALSE),"0")</f>
        <v>0</v>
      </c>
      <c r="N6235" s="8"/>
      <c r="O6235" s="33" t="str">
        <f>IFERROR(VLOOKUP($M6235,'Informations sur les produits'!$A$3:$H$10000,8,FALSE),"0")</f>
        <v>0</v>
      </c>
      <c r="P6235" s="33">
        <f t="shared" si="388"/>
        <v>0</v>
      </c>
      <c r="Q6235" s="31" t="str">
        <f t="shared" si="389"/>
        <v/>
      </c>
      <c r="R6235" s="32" t="str">
        <f>IFERROR(VLOOKUP($D6235,'Informations sur les produits'!$A$3:$B$15000,2,FALSE),"")</f>
        <v/>
      </c>
      <c r="V6235">
        <f t="shared" si="390"/>
        <v>0</v>
      </c>
      <c r="W6235">
        <f t="shared" si="391"/>
        <v>0</v>
      </c>
    </row>
    <row r="6236" spans="5:23" x14ac:dyDescent="0.25">
      <c r="E6236" s="4"/>
      <c r="F6236" s="4"/>
      <c r="G6236" s="33" t="str">
        <f>IFERROR(VLOOKUP($D6236,'Informations sur les produits'!$A$3:$H$10000,8,FALSE),"0")</f>
        <v>0</v>
      </c>
      <c r="K6236" s="4"/>
      <c r="L6236" s="33" t="str">
        <f>IFERROR(VLOOKUP($J6236,'Informations sur les produits'!$A$3:$H$10000,8,FALSE),"0")</f>
        <v>0</v>
      </c>
      <c r="N6236" s="8"/>
      <c r="O6236" s="33" t="str">
        <f>IFERROR(VLOOKUP($M6236,'Informations sur les produits'!$A$3:$H$10000,8,FALSE),"0")</f>
        <v>0</v>
      </c>
      <c r="P6236" s="33">
        <f t="shared" si="388"/>
        <v>0</v>
      </c>
      <c r="Q6236" s="31" t="str">
        <f t="shared" si="389"/>
        <v/>
      </c>
      <c r="R6236" s="32" t="str">
        <f>IFERROR(VLOOKUP($D6236,'Informations sur les produits'!$A$3:$B$15000,2,FALSE),"")</f>
        <v/>
      </c>
      <c r="V6236">
        <f t="shared" si="390"/>
        <v>0</v>
      </c>
      <c r="W6236">
        <f t="shared" si="391"/>
        <v>0</v>
      </c>
    </row>
    <row r="6237" spans="5:23" x14ac:dyDescent="0.25">
      <c r="E6237" s="4"/>
      <c r="F6237" s="4"/>
      <c r="G6237" s="33" t="str">
        <f>IFERROR(VLOOKUP($D6237,'Informations sur les produits'!$A$3:$H$10000,8,FALSE),"0")</f>
        <v>0</v>
      </c>
      <c r="K6237" s="4"/>
      <c r="L6237" s="33" t="str">
        <f>IFERROR(VLOOKUP($J6237,'Informations sur les produits'!$A$3:$H$10000,8,FALSE),"0")</f>
        <v>0</v>
      </c>
      <c r="N6237" s="8"/>
      <c r="O6237" s="33" t="str">
        <f>IFERROR(VLOOKUP($M6237,'Informations sur les produits'!$A$3:$H$10000,8,FALSE),"0")</f>
        <v>0</v>
      </c>
      <c r="P6237" s="33">
        <f t="shared" si="388"/>
        <v>0</v>
      </c>
      <c r="Q6237" s="31" t="str">
        <f t="shared" si="389"/>
        <v/>
      </c>
      <c r="R6237" s="32" t="str">
        <f>IFERROR(VLOOKUP($D6237,'Informations sur les produits'!$A$3:$B$15000,2,FALSE),"")</f>
        <v/>
      </c>
      <c r="V6237">
        <f t="shared" si="390"/>
        <v>0</v>
      </c>
      <c r="W6237">
        <f t="shared" si="391"/>
        <v>0</v>
      </c>
    </row>
    <row r="6238" spans="5:23" x14ac:dyDescent="0.25">
      <c r="E6238" s="4"/>
      <c r="F6238" s="4"/>
      <c r="G6238" s="33" t="str">
        <f>IFERROR(VLOOKUP($D6238,'Informations sur les produits'!$A$3:$H$10000,8,FALSE),"0")</f>
        <v>0</v>
      </c>
      <c r="K6238" s="4"/>
      <c r="L6238" s="33" t="str">
        <f>IFERROR(VLOOKUP($J6238,'Informations sur les produits'!$A$3:$H$10000,8,FALSE),"0")</f>
        <v>0</v>
      </c>
      <c r="N6238" s="8"/>
      <c r="O6238" s="33" t="str">
        <f>IFERROR(VLOOKUP($M6238,'Informations sur les produits'!$A$3:$H$10000,8,FALSE),"0")</f>
        <v>0</v>
      </c>
      <c r="P6238" s="33">
        <f t="shared" si="388"/>
        <v>0</v>
      </c>
      <c r="Q6238" s="31" t="str">
        <f t="shared" si="389"/>
        <v/>
      </c>
      <c r="R6238" s="32" t="str">
        <f>IFERROR(VLOOKUP($D6238,'Informations sur les produits'!$A$3:$B$15000,2,FALSE),"")</f>
        <v/>
      </c>
      <c r="V6238">
        <f t="shared" si="390"/>
        <v>0</v>
      </c>
      <c r="W6238">
        <f t="shared" si="391"/>
        <v>0</v>
      </c>
    </row>
    <row r="6239" spans="5:23" x14ac:dyDescent="0.25">
      <c r="E6239" s="4"/>
      <c r="F6239" s="4"/>
      <c r="G6239" s="33" t="str">
        <f>IFERROR(VLOOKUP($D6239,'Informations sur les produits'!$A$3:$H$10000,8,FALSE),"0")</f>
        <v>0</v>
      </c>
      <c r="K6239" s="4"/>
      <c r="L6239" s="33" t="str">
        <f>IFERROR(VLOOKUP($J6239,'Informations sur les produits'!$A$3:$H$10000,8,FALSE),"0")</f>
        <v>0</v>
      </c>
      <c r="N6239" s="8"/>
      <c r="O6239" s="33" t="str">
        <f>IFERROR(VLOOKUP($M6239,'Informations sur les produits'!$A$3:$H$10000,8,FALSE),"0")</f>
        <v>0</v>
      </c>
      <c r="P6239" s="33">
        <f t="shared" si="388"/>
        <v>0</v>
      </c>
      <c r="Q6239" s="31" t="str">
        <f t="shared" si="389"/>
        <v/>
      </c>
      <c r="R6239" s="32" t="str">
        <f>IFERROR(VLOOKUP($D6239,'Informations sur les produits'!$A$3:$B$15000,2,FALSE),"")</f>
        <v/>
      </c>
      <c r="V6239">
        <f t="shared" si="390"/>
        <v>0</v>
      </c>
      <c r="W6239">
        <f t="shared" si="391"/>
        <v>0</v>
      </c>
    </row>
    <row r="6240" spans="5:23" x14ac:dyDescent="0.25">
      <c r="E6240" s="4"/>
      <c r="F6240" s="4"/>
      <c r="G6240" s="33" t="str">
        <f>IFERROR(VLOOKUP($D6240,'Informations sur les produits'!$A$3:$H$10000,8,FALSE),"0")</f>
        <v>0</v>
      </c>
      <c r="K6240" s="4"/>
      <c r="L6240" s="33" t="str">
        <f>IFERROR(VLOOKUP($J6240,'Informations sur les produits'!$A$3:$H$10000,8,FALSE),"0")</f>
        <v>0</v>
      </c>
      <c r="N6240" s="8"/>
      <c r="O6240" s="33" t="str">
        <f>IFERROR(VLOOKUP($M6240,'Informations sur les produits'!$A$3:$H$10000,8,FALSE),"0")</f>
        <v>0</v>
      </c>
      <c r="P6240" s="33">
        <f t="shared" si="388"/>
        <v>0</v>
      </c>
      <c r="Q6240" s="31" t="str">
        <f t="shared" si="389"/>
        <v/>
      </c>
      <c r="R6240" s="32" t="str">
        <f>IFERROR(VLOOKUP($D6240,'Informations sur les produits'!$A$3:$B$15000,2,FALSE),"")</f>
        <v/>
      </c>
      <c r="V6240">
        <f t="shared" si="390"/>
        <v>0</v>
      </c>
      <c r="W6240">
        <f t="shared" si="391"/>
        <v>0</v>
      </c>
    </row>
    <row r="6241" spans="5:23" x14ac:dyDescent="0.25">
      <c r="E6241" s="4"/>
      <c r="F6241" s="4"/>
      <c r="G6241" s="33" t="str">
        <f>IFERROR(VLOOKUP($D6241,'Informations sur les produits'!$A$3:$H$10000,8,FALSE),"0")</f>
        <v>0</v>
      </c>
      <c r="K6241" s="4"/>
      <c r="L6241" s="33" t="str">
        <f>IFERROR(VLOOKUP($J6241,'Informations sur les produits'!$A$3:$H$10000,8,FALSE),"0")</f>
        <v>0</v>
      </c>
      <c r="N6241" s="8"/>
      <c r="O6241" s="33" t="str">
        <f>IFERROR(VLOOKUP($M6241,'Informations sur les produits'!$A$3:$H$10000,8,FALSE),"0")</f>
        <v>0</v>
      </c>
      <c r="P6241" s="33">
        <f t="shared" si="388"/>
        <v>0</v>
      </c>
      <c r="Q6241" s="31" t="str">
        <f t="shared" si="389"/>
        <v/>
      </c>
      <c r="R6241" s="32" t="str">
        <f>IFERROR(VLOOKUP($D6241,'Informations sur les produits'!$A$3:$B$15000,2,FALSE),"")</f>
        <v/>
      </c>
      <c r="V6241">
        <f t="shared" si="390"/>
        <v>0</v>
      </c>
      <c r="W6241">
        <f t="shared" si="391"/>
        <v>0</v>
      </c>
    </row>
    <row r="6242" spans="5:23" x14ac:dyDescent="0.25">
      <c r="E6242" s="4"/>
      <c r="F6242" s="4"/>
      <c r="G6242" s="33" t="str">
        <f>IFERROR(VLOOKUP($D6242,'Informations sur les produits'!$A$3:$H$10000,8,FALSE),"0")</f>
        <v>0</v>
      </c>
      <c r="K6242" s="4"/>
      <c r="L6242" s="33" t="str">
        <f>IFERROR(VLOOKUP($J6242,'Informations sur les produits'!$A$3:$H$10000,8,FALSE),"0")</f>
        <v>0</v>
      </c>
      <c r="N6242" s="8"/>
      <c r="O6242" s="33" t="str">
        <f>IFERROR(VLOOKUP($M6242,'Informations sur les produits'!$A$3:$H$10000,8,FALSE),"0")</f>
        <v>0</v>
      </c>
      <c r="P6242" s="33">
        <f t="shared" si="388"/>
        <v>0</v>
      </c>
      <c r="Q6242" s="31" t="str">
        <f t="shared" si="389"/>
        <v/>
      </c>
      <c r="R6242" s="32" t="str">
        <f>IFERROR(VLOOKUP($D6242,'Informations sur les produits'!$A$3:$B$15000,2,FALSE),"")</f>
        <v/>
      </c>
      <c r="V6242">
        <f t="shared" si="390"/>
        <v>0</v>
      </c>
      <c r="W6242">
        <f t="shared" si="391"/>
        <v>0</v>
      </c>
    </row>
    <row r="6243" spans="5:23" x14ac:dyDescent="0.25">
      <c r="E6243" s="4"/>
      <c r="F6243" s="4"/>
      <c r="G6243" s="33" t="str">
        <f>IFERROR(VLOOKUP($D6243,'Informations sur les produits'!$A$3:$H$10000,8,FALSE),"0")</f>
        <v>0</v>
      </c>
      <c r="K6243" s="4"/>
      <c r="L6243" s="33" t="str">
        <f>IFERROR(VLOOKUP($J6243,'Informations sur les produits'!$A$3:$H$10000,8,FALSE),"0")</f>
        <v>0</v>
      </c>
      <c r="N6243" s="8"/>
      <c r="O6243" s="33" t="str">
        <f>IFERROR(VLOOKUP($M6243,'Informations sur les produits'!$A$3:$H$10000,8,FALSE),"0")</f>
        <v>0</v>
      </c>
      <c r="P6243" s="33">
        <f t="shared" si="388"/>
        <v>0</v>
      </c>
      <c r="Q6243" s="31" t="str">
        <f t="shared" si="389"/>
        <v/>
      </c>
      <c r="R6243" s="32" t="str">
        <f>IFERROR(VLOOKUP($D6243,'Informations sur les produits'!$A$3:$B$15000,2,FALSE),"")</f>
        <v/>
      </c>
      <c r="V6243">
        <f t="shared" si="390"/>
        <v>0</v>
      </c>
      <c r="W6243">
        <f t="shared" si="391"/>
        <v>0</v>
      </c>
    </row>
    <row r="6244" spans="5:23" x14ac:dyDescent="0.25">
      <c r="E6244" s="4"/>
      <c r="F6244" s="4"/>
      <c r="G6244" s="33" t="str">
        <f>IFERROR(VLOOKUP($D6244,'Informations sur les produits'!$A$3:$H$10000,8,FALSE),"0")</f>
        <v>0</v>
      </c>
      <c r="K6244" s="4"/>
      <c r="L6244" s="33" t="str">
        <f>IFERROR(VLOOKUP($J6244,'Informations sur les produits'!$A$3:$H$10000,8,FALSE),"0")</f>
        <v>0</v>
      </c>
      <c r="N6244" s="8"/>
      <c r="O6244" s="33" t="str">
        <f>IFERROR(VLOOKUP($M6244,'Informations sur les produits'!$A$3:$H$10000,8,FALSE),"0")</f>
        <v>0</v>
      </c>
      <c r="P6244" s="33">
        <f t="shared" si="388"/>
        <v>0</v>
      </c>
      <c r="Q6244" s="31" t="str">
        <f t="shared" si="389"/>
        <v/>
      </c>
      <c r="R6244" s="32" t="str">
        <f>IFERROR(VLOOKUP($D6244,'Informations sur les produits'!$A$3:$B$15000,2,FALSE),"")</f>
        <v/>
      </c>
      <c r="V6244">
        <f t="shared" si="390"/>
        <v>0</v>
      </c>
      <c r="W6244">
        <f t="shared" si="391"/>
        <v>0</v>
      </c>
    </row>
    <row r="6245" spans="5:23" x14ac:dyDescent="0.25">
      <c r="E6245" s="4"/>
      <c r="F6245" s="4"/>
      <c r="G6245" s="33" t="str">
        <f>IFERROR(VLOOKUP($D6245,'Informations sur les produits'!$A$3:$H$10000,8,FALSE),"0")</f>
        <v>0</v>
      </c>
      <c r="K6245" s="4"/>
      <c r="L6245" s="33" t="str">
        <f>IFERROR(VLOOKUP($J6245,'Informations sur les produits'!$A$3:$H$10000,8,FALSE),"0")</f>
        <v>0</v>
      </c>
      <c r="N6245" s="8"/>
      <c r="O6245" s="33" t="str">
        <f>IFERROR(VLOOKUP($M6245,'Informations sur les produits'!$A$3:$H$10000,8,FALSE),"0")</f>
        <v>0</v>
      </c>
      <c r="P6245" s="33">
        <f t="shared" si="388"/>
        <v>0</v>
      </c>
      <c r="Q6245" s="31" t="str">
        <f t="shared" si="389"/>
        <v/>
      </c>
      <c r="R6245" s="32" t="str">
        <f>IFERROR(VLOOKUP($D6245,'Informations sur les produits'!$A$3:$B$15000,2,FALSE),"")</f>
        <v/>
      </c>
      <c r="V6245">
        <f t="shared" si="390"/>
        <v>0</v>
      </c>
      <c r="W6245">
        <f t="shared" si="391"/>
        <v>0</v>
      </c>
    </row>
    <row r="6246" spans="5:23" x14ac:dyDescent="0.25">
      <c r="E6246" s="4"/>
      <c r="F6246" s="4"/>
      <c r="G6246" s="33" t="str">
        <f>IFERROR(VLOOKUP($D6246,'Informations sur les produits'!$A$3:$H$10000,8,FALSE),"0")</f>
        <v>0</v>
      </c>
      <c r="K6246" s="4"/>
      <c r="L6246" s="33" t="str">
        <f>IFERROR(VLOOKUP($J6246,'Informations sur les produits'!$A$3:$H$10000,8,FALSE),"0")</f>
        <v>0</v>
      </c>
      <c r="N6246" s="8"/>
      <c r="O6246" s="33" t="str">
        <f>IFERROR(VLOOKUP($M6246,'Informations sur les produits'!$A$3:$H$10000,8,FALSE),"0")</f>
        <v>0</v>
      </c>
      <c r="P6246" s="33">
        <f t="shared" si="388"/>
        <v>0</v>
      </c>
      <c r="Q6246" s="31" t="str">
        <f t="shared" si="389"/>
        <v/>
      </c>
      <c r="R6246" s="32" t="str">
        <f>IFERROR(VLOOKUP($D6246,'Informations sur les produits'!$A$3:$B$15000,2,FALSE),"")</f>
        <v/>
      </c>
      <c r="V6246">
        <f t="shared" si="390"/>
        <v>0</v>
      </c>
      <c r="W6246">
        <f t="shared" si="391"/>
        <v>0</v>
      </c>
    </row>
    <row r="6247" spans="5:23" x14ac:dyDescent="0.25">
      <c r="E6247" s="4"/>
      <c r="F6247" s="4"/>
      <c r="G6247" s="33" t="str">
        <f>IFERROR(VLOOKUP($D6247,'Informations sur les produits'!$A$3:$H$10000,8,FALSE),"0")</f>
        <v>0</v>
      </c>
      <c r="K6247" s="4"/>
      <c r="L6247" s="33" t="str">
        <f>IFERROR(VLOOKUP($J6247,'Informations sur les produits'!$A$3:$H$10000,8,FALSE),"0")</f>
        <v>0</v>
      </c>
      <c r="N6247" s="8"/>
      <c r="O6247" s="33" t="str">
        <f>IFERROR(VLOOKUP($M6247,'Informations sur les produits'!$A$3:$H$10000,8,FALSE),"0")</f>
        <v>0</v>
      </c>
      <c r="P6247" s="33">
        <f t="shared" si="388"/>
        <v>0</v>
      </c>
      <c r="Q6247" s="31" t="str">
        <f t="shared" si="389"/>
        <v/>
      </c>
      <c r="R6247" s="32" t="str">
        <f>IFERROR(VLOOKUP($D6247,'Informations sur les produits'!$A$3:$B$15000,2,FALSE),"")</f>
        <v/>
      </c>
      <c r="V6247">
        <f t="shared" si="390"/>
        <v>0</v>
      </c>
      <c r="W6247">
        <f t="shared" si="391"/>
        <v>0</v>
      </c>
    </row>
    <row r="6248" spans="5:23" x14ac:dyDescent="0.25">
      <c r="E6248" s="4"/>
      <c r="F6248" s="4"/>
      <c r="G6248" s="33" t="str">
        <f>IFERROR(VLOOKUP($D6248,'Informations sur les produits'!$A$3:$H$10000,8,FALSE),"0")</f>
        <v>0</v>
      </c>
      <c r="K6248" s="4"/>
      <c r="L6248" s="33" t="str">
        <f>IFERROR(VLOOKUP($J6248,'Informations sur les produits'!$A$3:$H$10000,8,FALSE),"0")</f>
        <v>0</v>
      </c>
      <c r="N6248" s="8"/>
      <c r="O6248" s="33" t="str">
        <f>IFERROR(VLOOKUP($M6248,'Informations sur les produits'!$A$3:$H$10000,8,FALSE),"0")</f>
        <v>0</v>
      </c>
      <c r="P6248" s="33">
        <f t="shared" si="388"/>
        <v>0</v>
      </c>
      <c r="Q6248" s="31" t="str">
        <f t="shared" si="389"/>
        <v/>
      </c>
      <c r="R6248" s="32" t="str">
        <f>IFERROR(VLOOKUP($D6248,'Informations sur les produits'!$A$3:$B$15000,2,FALSE),"")</f>
        <v/>
      </c>
      <c r="V6248">
        <f t="shared" si="390"/>
        <v>0</v>
      </c>
      <c r="W6248">
        <f t="shared" si="391"/>
        <v>0</v>
      </c>
    </row>
    <row r="6249" spans="5:23" x14ac:dyDescent="0.25">
      <c r="E6249" s="4"/>
      <c r="F6249" s="4"/>
      <c r="G6249" s="33" t="str">
        <f>IFERROR(VLOOKUP($D6249,'Informations sur les produits'!$A$3:$H$10000,8,FALSE),"0")</f>
        <v>0</v>
      </c>
      <c r="K6249" s="4"/>
      <c r="L6249" s="33" t="str">
        <f>IFERROR(VLOOKUP($J6249,'Informations sur les produits'!$A$3:$H$10000,8,FALSE),"0")</f>
        <v>0</v>
      </c>
      <c r="N6249" s="8"/>
      <c r="O6249" s="33" t="str">
        <f>IFERROR(VLOOKUP($M6249,'Informations sur les produits'!$A$3:$H$10000,8,FALSE),"0")</f>
        <v>0</v>
      </c>
      <c r="P6249" s="33">
        <f t="shared" si="388"/>
        <v>0</v>
      </c>
      <c r="Q6249" s="31" t="str">
        <f t="shared" si="389"/>
        <v/>
      </c>
      <c r="R6249" s="32" t="str">
        <f>IFERROR(VLOOKUP($D6249,'Informations sur les produits'!$A$3:$B$15000,2,FALSE),"")</f>
        <v/>
      </c>
      <c r="V6249">
        <f t="shared" si="390"/>
        <v>0</v>
      </c>
      <c r="W6249">
        <f t="shared" si="391"/>
        <v>0</v>
      </c>
    </row>
    <row r="6250" spans="5:23" x14ac:dyDescent="0.25">
      <c r="E6250" s="4"/>
      <c r="F6250" s="4"/>
      <c r="G6250" s="33" t="str">
        <f>IFERROR(VLOOKUP($D6250,'Informations sur les produits'!$A$3:$H$10000,8,FALSE),"0")</f>
        <v>0</v>
      </c>
      <c r="K6250" s="4"/>
      <c r="L6250" s="33" t="str">
        <f>IFERROR(VLOOKUP($J6250,'Informations sur les produits'!$A$3:$H$10000,8,FALSE),"0")</f>
        <v>0</v>
      </c>
      <c r="N6250" s="8"/>
      <c r="O6250" s="33" t="str">
        <f>IFERROR(VLOOKUP($M6250,'Informations sur les produits'!$A$3:$H$10000,8,FALSE),"0")</f>
        <v>0</v>
      </c>
      <c r="P6250" s="33">
        <f t="shared" si="388"/>
        <v>0</v>
      </c>
      <c r="Q6250" s="31" t="str">
        <f t="shared" si="389"/>
        <v/>
      </c>
      <c r="R6250" s="32" t="str">
        <f>IFERROR(VLOOKUP($D6250,'Informations sur les produits'!$A$3:$B$15000,2,FALSE),"")</f>
        <v/>
      </c>
      <c r="V6250">
        <f t="shared" si="390"/>
        <v>0</v>
      </c>
      <c r="W6250">
        <f t="shared" si="391"/>
        <v>0</v>
      </c>
    </row>
    <row r="6251" spans="5:23" x14ac:dyDescent="0.25">
      <c r="E6251" s="4"/>
      <c r="F6251" s="4"/>
      <c r="G6251" s="33" t="str">
        <f>IFERROR(VLOOKUP($D6251,'Informations sur les produits'!$A$3:$H$10000,8,FALSE),"0")</f>
        <v>0</v>
      </c>
      <c r="K6251" s="4"/>
      <c r="L6251" s="33" t="str">
        <f>IFERROR(VLOOKUP($J6251,'Informations sur les produits'!$A$3:$H$10000,8,FALSE),"0")</f>
        <v>0</v>
      </c>
      <c r="N6251" s="8"/>
      <c r="O6251" s="33" t="str">
        <f>IFERROR(VLOOKUP($M6251,'Informations sur les produits'!$A$3:$H$10000,8,FALSE),"0")</f>
        <v>0</v>
      </c>
      <c r="P6251" s="33">
        <f t="shared" si="388"/>
        <v>0</v>
      </c>
      <c r="Q6251" s="31" t="str">
        <f t="shared" si="389"/>
        <v/>
      </c>
      <c r="R6251" s="32" t="str">
        <f>IFERROR(VLOOKUP($D6251,'Informations sur les produits'!$A$3:$B$15000,2,FALSE),"")</f>
        <v/>
      </c>
      <c r="V6251">
        <f t="shared" si="390"/>
        <v>0</v>
      </c>
      <c r="W6251">
        <f t="shared" si="391"/>
        <v>0</v>
      </c>
    </row>
    <row r="6252" spans="5:23" x14ac:dyDescent="0.25">
      <c r="E6252" s="4"/>
      <c r="F6252" s="4"/>
      <c r="G6252" s="33" t="str">
        <f>IFERROR(VLOOKUP($D6252,'Informations sur les produits'!$A$3:$H$10000,8,FALSE),"0")</f>
        <v>0</v>
      </c>
      <c r="K6252" s="4"/>
      <c r="L6252" s="33" t="str">
        <f>IFERROR(VLOOKUP($J6252,'Informations sur les produits'!$A$3:$H$10000,8,FALSE),"0")</f>
        <v>0</v>
      </c>
      <c r="N6252" s="8"/>
      <c r="O6252" s="33" t="str">
        <f>IFERROR(VLOOKUP($M6252,'Informations sur les produits'!$A$3:$H$10000,8,FALSE),"0")</f>
        <v>0</v>
      </c>
      <c r="P6252" s="33">
        <f t="shared" si="388"/>
        <v>0</v>
      </c>
      <c r="Q6252" s="31" t="str">
        <f t="shared" si="389"/>
        <v/>
      </c>
      <c r="R6252" s="32" t="str">
        <f>IFERROR(VLOOKUP($D6252,'Informations sur les produits'!$A$3:$B$15000,2,FALSE),"")</f>
        <v/>
      </c>
      <c r="V6252">
        <f t="shared" si="390"/>
        <v>0</v>
      </c>
      <c r="W6252">
        <f t="shared" si="391"/>
        <v>0</v>
      </c>
    </row>
    <row r="6253" spans="5:23" x14ac:dyDescent="0.25">
      <c r="E6253" s="4"/>
      <c r="F6253" s="4"/>
      <c r="G6253" s="33" t="str">
        <f>IFERROR(VLOOKUP($D6253,'Informations sur les produits'!$A$3:$H$10000,8,FALSE),"0")</f>
        <v>0</v>
      </c>
      <c r="K6253" s="4"/>
      <c r="L6253" s="33" t="str">
        <f>IFERROR(VLOOKUP($J6253,'Informations sur les produits'!$A$3:$H$10000,8,FALSE),"0")</f>
        <v>0</v>
      </c>
      <c r="N6253" s="8"/>
      <c r="O6253" s="33" t="str">
        <f>IFERROR(VLOOKUP($M6253,'Informations sur les produits'!$A$3:$H$10000,8,FALSE),"0")</f>
        <v>0</v>
      </c>
      <c r="P6253" s="33">
        <f t="shared" si="388"/>
        <v>0</v>
      </c>
      <c r="Q6253" s="31" t="str">
        <f t="shared" si="389"/>
        <v/>
      </c>
      <c r="R6253" s="32" t="str">
        <f>IFERROR(VLOOKUP($D6253,'Informations sur les produits'!$A$3:$B$15000,2,FALSE),"")</f>
        <v/>
      </c>
      <c r="V6253">
        <f t="shared" si="390"/>
        <v>0</v>
      </c>
      <c r="W6253">
        <f t="shared" si="391"/>
        <v>0</v>
      </c>
    </row>
    <row r="6254" spans="5:23" x14ac:dyDescent="0.25">
      <c r="E6254" s="4"/>
      <c r="F6254" s="4"/>
      <c r="G6254" s="33" t="str">
        <f>IFERROR(VLOOKUP($D6254,'Informations sur les produits'!$A$3:$H$10000,8,FALSE),"0")</f>
        <v>0</v>
      </c>
      <c r="K6254" s="4"/>
      <c r="L6254" s="33" t="str">
        <f>IFERROR(VLOOKUP($J6254,'Informations sur les produits'!$A$3:$H$10000,8,FALSE),"0")</f>
        <v>0</v>
      </c>
      <c r="N6254" s="8"/>
      <c r="O6254" s="33" t="str">
        <f>IFERROR(VLOOKUP($M6254,'Informations sur les produits'!$A$3:$H$10000,8,FALSE),"0")</f>
        <v>0</v>
      </c>
      <c r="P6254" s="33">
        <f t="shared" si="388"/>
        <v>0</v>
      </c>
      <c r="Q6254" s="31" t="str">
        <f t="shared" si="389"/>
        <v/>
      </c>
      <c r="R6254" s="32" t="str">
        <f>IFERROR(VLOOKUP($D6254,'Informations sur les produits'!$A$3:$B$15000,2,FALSE),"")</f>
        <v/>
      </c>
      <c r="V6254">
        <f t="shared" si="390"/>
        <v>0</v>
      </c>
      <c r="W6254">
        <f t="shared" si="391"/>
        <v>0</v>
      </c>
    </row>
    <row r="6255" spans="5:23" x14ac:dyDescent="0.25">
      <c r="E6255" s="4"/>
      <c r="F6255" s="4"/>
      <c r="G6255" s="33" t="str">
        <f>IFERROR(VLOOKUP($D6255,'Informations sur les produits'!$A$3:$H$10000,8,FALSE),"0")</f>
        <v>0</v>
      </c>
      <c r="K6255" s="4"/>
      <c r="L6255" s="33" t="str">
        <f>IFERROR(VLOOKUP($J6255,'Informations sur les produits'!$A$3:$H$10000,8,FALSE),"0")</f>
        <v>0</v>
      </c>
      <c r="N6255" s="8"/>
      <c r="O6255" s="33" t="str">
        <f>IFERROR(VLOOKUP($M6255,'Informations sur les produits'!$A$3:$H$10000,8,FALSE),"0")</f>
        <v>0</v>
      </c>
      <c r="P6255" s="33">
        <f t="shared" si="388"/>
        <v>0</v>
      </c>
      <c r="Q6255" s="31" t="str">
        <f t="shared" si="389"/>
        <v/>
      </c>
      <c r="R6255" s="32" t="str">
        <f>IFERROR(VLOOKUP($D6255,'Informations sur les produits'!$A$3:$B$15000,2,FALSE),"")</f>
        <v/>
      </c>
      <c r="V6255">
        <f t="shared" si="390"/>
        <v>0</v>
      </c>
      <c r="W6255">
        <f t="shared" si="391"/>
        <v>0</v>
      </c>
    </row>
    <row r="6256" spans="5:23" x14ac:dyDescent="0.25">
      <c r="E6256" s="4"/>
      <c r="F6256" s="4"/>
      <c r="G6256" s="33" t="str">
        <f>IFERROR(VLOOKUP($D6256,'Informations sur les produits'!$A$3:$H$10000,8,FALSE),"0")</f>
        <v>0</v>
      </c>
      <c r="K6256" s="4"/>
      <c r="L6256" s="33" t="str">
        <f>IFERROR(VLOOKUP($J6256,'Informations sur les produits'!$A$3:$H$10000,8,FALSE),"0")</f>
        <v>0</v>
      </c>
      <c r="N6256" s="8"/>
      <c r="O6256" s="33" t="str">
        <f>IFERROR(VLOOKUP($M6256,'Informations sur les produits'!$A$3:$H$10000,8,FALSE),"0")</f>
        <v>0</v>
      </c>
      <c r="P6256" s="33">
        <f t="shared" si="388"/>
        <v>0</v>
      </c>
      <c r="Q6256" s="31" t="str">
        <f t="shared" si="389"/>
        <v/>
      </c>
      <c r="R6256" s="32" t="str">
        <f>IFERROR(VLOOKUP($D6256,'Informations sur les produits'!$A$3:$B$15000,2,FALSE),"")</f>
        <v/>
      </c>
      <c r="V6256">
        <f t="shared" si="390"/>
        <v>0</v>
      </c>
      <c r="W6256">
        <f t="shared" si="391"/>
        <v>0</v>
      </c>
    </row>
    <row r="6257" spans="5:23" x14ac:dyDescent="0.25">
      <c r="E6257" s="4"/>
      <c r="F6257" s="4"/>
      <c r="G6257" s="33" t="str">
        <f>IFERROR(VLOOKUP($D6257,'Informations sur les produits'!$A$3:$H$10000,8,FALSE),"0")</f>
        <v>0</v>
      </c>
      <c r="K6257" s="4"/>
      <c r="L6257" s="33" t="str">
        <f>IFERROR(VLOOKUP($J6257,'Informations sur les produits'!$A$3:$H$10000,8,FALSE),"0")</f>
        <v>0</v>
      </c>
      <c r="N6257" s="8"/>
      <c r="O6257" s="33" t="str">
        <f>IFERROR(VLOOKUP($M6257,'Informations sur les produits'!$A$3:$H$10000,8,FALSE),"0")</f>
        <v>0</v>
      </c>
      <c r="P6257" s="33">
        <f t="shared" si="388"/>
        <v>0</v>
      </c>
      <c r="Q6257" s="31" t="str">
        <f t="shared" si="389"/>
        <v/>
      </c>
      <c r="R6257" s="32" t="str">
        <f>IFERROR(VLOOKUP($D6257,'Informations sur les produits'!$A$3:$B$15000,2,FALSE),"")</f>
        <v/>
      </c>
      <c r="V6257">
        <f t="shared" si="390"/>
        <v>0</v>
      </c>
      <c r="W6257">
        <f t="shared" si="391"/>
        <v>0</v>
      </c>
    </row>
    <row r="6258" spans="5:23" x14ac:dyDescent="0.25">
      <c r="E6258" s="4"/>
      <c r="F6258" s="4"/>
      <c r="G6258" s="33" t="str">
        <f>IFERROR(VLOOKUP($D6258,'Informations sur les produits'!$A$3:$H$10000,8,FALSE),"0")</f>
        <v>0</v>
      </c>
      <c r="K6258" s="4"/>
      <c r="L6258" s="33" t="str">
        <f>IFERROR(VLOOKUP($J6258,'Informations sur les produits'!$A$3:$H$10000,8,FALSE),"0")</f>
        <v>0</v>
      </c>
      <c r="N6258" s="8"/>
      <c r="O6258" s="33" t="str">
        <f>IFERROR(VLOOKUP($M6258,'Informations sur les produits'!$A$3:$H$10000,8,FALSE),"0")</f>
        <v>0</v>
      </c>
      <c r="P6258" s="33">
        <f t="shared" si="388"/>
        <v>0</v>
      </c>
      <c r="Q6258" s="31" t="str">
        <f t="shared" si="389"/>
        <v/>
      </c>
      <c r="R6258" s="32" t="str">
        <f>IFERROR(VLOOKUP($D6258,'Informations sur les produits'!$A$3:$B$15000,2,FALSE),"")</f>
        <v/>
      </c>
      <c r="V6258">
        <f t="shared" si="390"/>
        <v>0</v>
      </c>
      <c r="W6258">
        <f t="shared" si="391"/>
        <v>0</v>
      </c>
    </row>
    <row r="6259" spans="5:23" x14ac:dyDescent="0.25">
      <c r="E6259" s="4"/>
      <c r="F6259" s="4"/>
      <c r="G6259" s="33" t="str">
        <f>IFERROR(VLOOKUP($D6259,'Informations sur les produits'!$A$3:$H$10000,8,FALSE),"0")</f>
        <v>0</v>
      </c>
      <c r="K6259" s="4"/>
      <c r="L6259" s="33" t="str">
        <f>IFERROR(VLOOKUP($J6259,'Informations sur les produits'!$A$3:$H$10000,8,FALSE),"0")</f>
        <v>0</v>
      </c>
      <c r="N6259" s="8"/>
      <c r="O6259" s="33" t="str">
        <f>IFERROR(VLOOKUP($M6259,'Informations sur les produits'!$A$3:$H$10000,8,FALSE),"0")</f>
        <v>0</v>
      </c>
      <c r="P6259" s="33">
        <f t="shared" si="388"/>
        <v>0</v>
      </c>
      <c r="Q6259" s="31" t="str">
        <f t="shared" si="389"/>
        <v/>
      </c>
      <c r="R6259" s="32" t="str">
        <f>IFERROR(VLOOKUP($D6259,'Informations sur les produits'!$A$3:$B$15000,2,FALSE),"")</f>
        <v/>
      </c>
      <c r="V6259">
        <f t="shared" si="390"/>
        <v>0</v>
      </c>
      <c r="W6259">
        <f t="shared" si="391"/>
        <v>0</v>
      </c>
    </row>
    <row r="6260" spans="5:23" x14ac:dyDescent="0.25">
      <c r="E6260" s="4"/>
      <c r="F6260" s="4"/>
      <c r="G6260" s="33" t="str">
        <f>IFERROR(VLOOKUP($D6260,'Informations sur les produits'!$A$3:$H$10000,8,FALSE),"0")</f>
        <v>0</v>
      </c>
      <c r="K6260" s="4"/>
      <c r="L6260" s="33" t="str">
        <f>IFERROR(VLOOKUP($J6260,'Informations sur les produits'!$A$3:$H$10000,8,FALSE),"0")</f>
        <v>0</v>
      </c>
      <c r="N6260" s="8"/>
      <c r="O6260" s="33" t="str">
        <f>IFERROR(VLOOKUP($M6260,'Informations sur les produits'!$A$3:$H$10000,8,FALSE),"0")</f>
        <v>0</v>
      </c>
      <c r="P6260" s="33">
        <f t="shared" si="388"/>
        <v>0</v>
      </c>
      <c r="Q6260" s="31" t="str">
        <f t="shared" si="389"/>
        <v/>
      </c>
      <c r="R6260" s="32" t="str">
        <f>IFERROR(VLOOKUP($D6260,'Informations sur les produits'!$A$3:$B$15000,2,FALSE),"")</f>
        <v/>
      </c>
      <c r="V6260">
        <f t="shared" si="390"/>
        <v>0</v>
      </c>
      <c r="W6260">
        <f t="shared" si="391"/>
        <v>0</v>
      </c>
    </row>
    <row r="6261" spans="5:23" x14ac:dyDescent="0.25">
      <c r="E6261" s="4"/>
      <c r="F6261" s="4"/>
      <c r="G6261" s="33" t="str">
        <f>IFERROR(VLOOKUP($D6261,'Informations sur les produits'!$A$3:$H$10000,8,FALSE),"0")</f>
        <v>0</v>
      </c>
      <c r="K6261" s="4"/>
      <c r="L6261" s="33" t="str">
        <f>IFERROR(VLOOKUP($J6261,'Informations sur les produits'!$A$3:$H$10000,8,FALSE),"0")</f>
        <v>0</v>
      </c>
      <c r="N6261" s="8"/>
      <c r="O6261" s="33" t="str">
        <f>IFERROR(VLOOKUP($M6261,'Informations sur les produits'!$A$3:$H$10000,8,FALSE),"0")</f>
        <v>0</v>
      </c>
      <c r="P6261" s="33">
        <f t="shared" si="388"/>
        <v>0</v>
      </c>
      <c r="Q6261" s="31" t="str">
        <f t="shared" si="389"/>
        <v/>
      </c>
      <c r="R6261" s="32" t="str">
        <f>IFERROR(VLOOKUP($D6261,'Informations sur les produits'!$A$3:$B$15000,2,FALSE),"")</f>
        <v/>
      </c>
      <c r="V6261">
        <f t="shared" si="390"/>
        <v>0</v>
      </c>
      <c r="W6261">
        <f t="shared" si="391"/>
        <v>0</v>
      </c>
    </row>
    <row r="6262" spans="5:23" x14ac:dyDescent="0.25">
      <c r="E6262" s="4"/>
      <c r="F6262" s="4"/>
      <c r="G6262" s="33" t="str">
        <f>IFERROR(VLOOKUP($D6262,'Informations sur les produits'!$A$3:$H$10000,8,FALSE),"0")</f>
        <v>0</v>
      </c>
      <c r="K6262" s="4"/>
      <c r="L6262" s="33" t="str">
        <f>IFERROR(VLOOKUP($J6262,'Informations sur les produits'!$A$3:$H$10000,8,FALSE),"0")</f>
        <v>0</v>
      </c>
      <c r="N6262" s="8"/>
      <c r="O6262" s="33" t="str">
        <f>IFERROR(VLOOKUP($M6262,'Informations sur les produits'!$A$3:$H$10000,8,FALSE),"0")</f>
        <v>0</v>
      </c>
      <c r="P6262" s="33">
        <f t="shared" si="388"/>
        <v>0</v>
      </c>
      <c r="Q6262" s="31" t="str">
        <f t="shared" si="389"/>
        <v/>
      </c>
      <c r="R6262" s="32" t="str">
        <f>IFERROR(VLOOKUP($D6262,'Informations sur les produits'!$A$3:$B$15000,2,FALSE),"")</f>
        <v/>
      </c>
      <c r="V6262">
        <f t="shared" si="390"/>
        <v>0</v>
      </c>
      <c r="W6262">
        <f t="shared" si="391"/>
        <v>0</v>
      </c>
    </row>
    <row r="6263" spans="5:23" x14ac:dyDescent="0.25">
      <c r="E6263" s="4"/>
      <c r="F6263" s="4"/>
      <c r="G6263" s="33" t="str">
        <f>IFERROR(VLOOKUP($D6263,'Informations sur les produits'!$A$3:$H$10000,8,FALSE),"0")</f>
        <v>0</v>
      </c>
      <c r="K6263" s="4"/>
      <c r="L6263" s="33" t="str">
        <f>IFERROR(VLOOKUP($J6263,'Informations sur les produits'!$A$3:$H$10000,8,FALSE),"0")</f>
        <v>0</v>
      </c>
      <c r="N6263" s="8"/>
      <c r="O6263" s="33" t="str">
        <f>IFERROR(VLOOKUP($M6263,'Informations sur les produits'!$A$3:$H$10000,8,FALSE),"0")</f>
        <v>0</v>
      </c>
      <c r="P6263" s="33">
        <f t="shared" si="388"/>
        <v>0</v>
      </c>
      <c r="Q6263" s="31" t="str">
        <f t="shared" si="389"/>
        <v/>
      </c>
      <c r="R6263" s="32" t="str">
        <f>IFERROR(VLOOKUP($D6263,'Informations sur les produits'!$A$3:$B$15000,2,FALSE),"")</f>
        <v/>
      </c>
      <c r="V6263">
        <f t="shared" si="390"/>
        <v>0</v>
      </c>
      <c r="W6263">
        <f t="shared" si="391"/>
        <v>0</v>
      </c>
    </row>
    <row r="6264" spans="5:23" x14ac:dyDescent="0.25">
      <c r="E6264" s="4"/>
      <c r="F6264" s="4"/>
      <c r="G6264" s="33" t="str">
        <f>IFERROR(VLOOKUP($D6264,'Informations sur les produits'!$A$3:$H$10000,8,FALSE),"0")</f>
        <v>0</v>
      </c>
      <c r="K6264" s="4"/>
      <c r="L6264" s="33" t="str">
        <f>IFERROR(VLOOKUP($J6264,'Informations sur les produits'!$A$3:$H$10000,8,FALSE),"0")</f>
        <v>0</v>
      </c>
      <c r="N6264" s="8"/>
      <c r="O6264" s="33" t="str">
        <f>IFERROR(VLOOKUP($M6264,'Informations sur les produits'!$A$3:$H$10000,8,FALSE),"0")</f>
        <v>0</v>
      </c>
      <c r="P6264" s="33">
        <f t="shared" si="388"/>
        <v>0</v>
      </c>
      <c r="Q6264" s="31" t="str">
        <f t="shared" si="389"/>
        <v/>
      </c>
      <c r="R6264" s="32" t="str">
        <f>IFERROR(VLOOKUP($D6264,'Informations sur les produits'!$A$3:$B$15000,2,FALSE),"")</f>
        <v/>
      </c>
      <c r="V6264">
        <f t="shared" si="390"/>
        <v>0</v>
      </c>
      <c r="W6264">
        <f t="shared" si="391"/>
        <v>0</v>
      </c>
    </row>
    <row r="6265" spans="5:23" x14ac:dyDescent="0.25">
      <c r="E6265" s="4"/>
      <c r="F6265" s="4"/>
      <c r="G6265" s="33" t="str">
        <f>IFERROR(VLOOKUP($D6265,'Informations sur les produits'!$A$3:$H$10000,8,FALSE),"0")</f>
        <v>0</v>
      </c>
      <c r="K6265" s="4"/>
      <c r="L6265" s="33" t="str">
        <f>IFERROR(VLOOKUP($J6265,'Informations sur les produits'!$A$3:$H$10000,8,FALSE),"0")</f>
        <v>0</v>
      </c>
      <c r="N6265" s="8"/>
      <c r="O6265" s="33" t="str">
        <f>IFERROR(VLOOKUP($M6265,'Informations sur les produits'!$A$3:$H$10000,8,FALSE),"0")</f>
        <v>0</v>
      </c>
      <c r="P6265" s="33">
        <f t="shared" si="388"/>
        <v>0</v>
      </c>
      <c r="Q6265" s="31" t="str">
        <f t="shared" si="389"/>
        <v/>
      </c>
      <c r="R6265" s="32" t="str">
        <f>IFERROR(VLOOKUP($D6265,'Informations sur les produits'!$A$3:$B$15000,2,FALSE),"")</f>
        <v/>
      </c>
      <c r="V6265">
        <f t="shared" si="390"/>
        <v>0</v>
      </c>
      <c r="W6265">
        <f t="shared" si="391"/>
        <v>0</v>
      </c>
    </row>
    <row r="6266" spans="5:23" x14ac:dyDescent="0.25">
      <c r="E6266" s="4"/>
      <c r="F6266" s="4"/>
      <c r="G6266" s="33" t="str">
        <f>IFERROR(VLOOKUP($D6266,'Informations sur les produits'!$A$3:$H$10000,8,FALSE),"0")</f>
        <v>0</v>
      </c>
      <c r="K6266" s="4"/>
      <c r="L6266" s="33" t="str">
        <f>IFERROR(VLOOKUP($J6266,'Informations sur les produits'!$A$3:$H$10000,8,FALSE),"0")</f>
        <v>0</v>
      </c>
      <c r="N6266" s="8"/>
      <c r="O6266" s="33" t="str">
        <f>IFERROR(VLOOKUP($M6266,'Informations sur les produits'!$A$3:$H$10000,8,FALSE),"0")</f>
        <v>0</v>
      </c>
      <c r="P6266" s="33">
        <f t="shared" si="388"/>
        <v>0</v>
      </c>
      <c r="Q6266" s="31" t="str">
        <f t="shared" si="389"/>
        <v/>
      </c>
      <c r="R6266" s="32" t="str">
        <f>IFERROR(VLOOKUP($D6266,'Informations sur les produits'!$A$3:$B$15000,2,FALSE),"")</f>
        <v/>
      </c>
      <c r="V6266">
        <f t="shared" si="390"/>
        <v>0</v>
      </c>
      <c r="W6266">
        <f t="shared" si="391"/>
        <v>0</v>
      </c>
    </row>
    <row r="6267" spans="5:23" x14ac:dyDescent="0.25">
      <c r="E6267" s="4"/>
      <c r="F6267" s="4"/>
      <c r="G6267" s="33" t="str">
        <f>IFERROR(VLOOKUP($D6267,'Informations sur les produits'!$A$3:$H$10000,8,FALSE),"0")</f>
        <v>0</v>
      </c>
      <c r="K6267" s="4"/>
      <c r="L6267" s="33" t="str">
        <f>IFERROR(VLOOKUP($J6267,'Informations sur les produits'!$A$3:$H$10000,8,FALSE),"0")</f>
        <v>0</v>
      </c>
      <c r="N6267" s="8"/>
      <c r="O6267" s="33" t="str">
        <f>IFERROR(VLOOKUP($M6267,'Informations sur les produits'!$A$3:$H$10000,8,FALSE),"0")</f>
        <v>0</v>
      </c>
      <c r="P6267" s="33">
        <f t="shared" si="388"/>
        <v>0</v>
      </c>
      <c r="Q6267" s="31" t="str">
        <f t="shared" si="389"/>
        <v/>
      </c>
      <c r="R6267" s="32" t="str">
        <f>IFERROR(VLOOKUP($D6267,'Informations sur les produits'!$A$3:$B$15000,2,FALSE),"")</f>
        <v/>
      </c>
      <c r="V6267">
        <f t="shared" si="390"/>
        <v>0</v>
      </c>
      <c r="W6267">
        <f t="shared" si="391"/>
        <v>0</v>
      </c>
    </row>
    <row r="6268" spans="5:23" x14ac:dyDescent="0.25">
      <c r="E6268" s="4"/>
      <c r="F6268" s="4"/>
      <c r="G6268" s="33" t="str">
        <f>IFERROR(VLOOKUP($D6268,'Informations sur les produits'!$A$3:$H$10000,8,FALSE),"0")</f>
        <v>0</v>
      </c>
      <c r="K6268" s="4"/>
      <c r="L6268" s="33" t="str">
        <f>IFERROR(VLOOKUP($J6268,'Informations sur les produits'!$A$3:$H$10000,8,FALSE),"0")</f>
        <v>0</v>
      </c>
      <c r="N6268" s="8"/>
      <c r="O6268" s="33" t="str">
        <f>IFERROR(VLOOKUP($M6268,'Informations sur les produits'!$A$3:$H$10000,8,FALSE),"0")</f>
        <v>0</v>
      </c>
      <c r="P6268" s="33">
        <f t="shared" si="388"/>
        <v>0</v>
      </c>
      <c r="Q6268" s="31" t="str">
        <f t="shared" si="389"/>
        <v/>
      </c>
      <c r="R6268" s="32" t="str">
        <f>IFERROR(VLOOKUP($D6268,'Informations sur les produits'!$A$3:$B$15000,2,FALSE),"")</f>
        <v/>
      </c>
      <c r="V6268">
        <f t="shared" si="390"/>
        <v>0</v>
      </c>
      <c r="W6268">
        <f t="shared" si="391"/>
        <v>0</v>
      </c>
    </row>
    <row r="6269" spans="5:23" x14ac:dyDescent="0.25">
      <c r="E6269" s="4"/>
      <c r="F6269" s="4"/>
      <c r="G6269" s="33" t="str">
        <f>IFERROR(VLOOKUP($D6269,'Informations sur les produits'!$A$3:$H$10000,8,FALSE),"0")</f>
        <v>0</v>
      </c>
      <c r="K6269" s="4"/>
      <c r="L6269" s="33" t="str">
        <f>IFERROR(VLOOKUP($J6269,'Informations sur les produits'!$A$3:$H$10000,8,FALSE),"0")</f>
        <v>0</v>
      </c>
      <c r="N6269" s="8"/>
      <c r="O6269" s="33" t="str">
        <f>IFERROR(VLOOKUP($M6269,'Informations sur les produits'!$A$3:$H$10000,8,FALSE),"0")</f>
        <v>0</v>
      </c>
      <c r="P6269" s="33">
        <f t="shared" si="388"/>
        <v>0</v>
      </c>
      <c r="Q6269" s="31" t="str">
        <f t="shared" si="389"/>
        <v/>
      </c>
      <c r="R6269" s="32" t="str">
        <f>IFERROR(VLOOKUP($D6269,'Informations sur les produits'!$A$3:$B$15000,2,FALSE),"")</f>
        <v/>
      </c>
      <c r="V6269">
        <f t="shared" si="390"/>
        <v>0</v>
      </c>
      <c r="W6269">
        <f t="shared" si="391"/>
        <v>0</v>
      </c>
    </row>
    <row r="6270" spans="5:23" x14ac:dyDescent="0.25">
      <c r="E6270" s="4"/>
      <c r="F6270" s="4"/>
      <c r="G6270" s="33" t="str">
        <f>IFERROR(VLOOKUP($D6270,'Informations sur les produits'!$A$3:$H$10000,8,FALSE),"0")</f>
        <v>0</v>
      </c>
      <c r="K6270" s="4"/>
      <c r="L6270" s="33" t="str">
        <f>IFERROR(VLOOKUP($J6270,'Informations sur les produits'!$A$3:$H$10000,8,FALSE),"0")</f>
        <v>0</v>
      </c>
      <c r="N6270" s="8"/>
      <c r="O6270" s="33" t="str">
        <f>IFERROR(VLOOKUP($M6270,'Informations sur les produits'!$A$3:$H$10000,8,FALSE),"0")</f>
        <v>0</v>
      </c>
      <c r="P6270" s="33">
        <f t="shared" si="388"/>
        <v>0</v>
      </c>
      <c r="Q6270" s="31" t="str">
        <f t="shared" si="389"/>
        <v/>
      </c>
      <c r="R6270" s="32" t="str">
        <f>IFERROR(VLOOKUP($D6270,'Informations sur les produits'!$A$3:$B$15000,2,FALSE),"")</f>
        <v/>
      </c>
      <c r="V6270">
        <f t="shared" si="390"/>
        <v>0</v>
      </c>
      <c r="W6270">
        <f t="shared" si="391"/>
        <v>0</v>
      </c>
    </row>
    <row r="6271" spans="5:23" x14ac:dyDescent="0.25">
      <c r="E6271" s="4"/>
      <c r="F6271" s="4"/>
      <c r="G6271" s="33" t="str">
        <f>IFERROR(VLOOKUP($D6271,'Informations sur les produits'!$A$3:$H$10000,8,FALSE),"0")</f>
        <v>0</v>
      </c>
      <c r="K6271" s="4"/>
      <c r="L6271" s="33" t="str">
        <f>IFERROR(VLOOKUP($J6271,'Informations sur les produits'!$A$3:$H$10000,8,FALSE),"0")</f>
        <v>0</v>
      </c>
      <c r="N6271" s="8"/>
      <c r="O6271" s="33" t="str">
        <f>IFERROR(VLOOKUP($M6271,'Informations sur les produits'!$A$3:$H$10000,8,FALSE),"0")</f>
        <v>0</v>
      </c>
      <c r="P6271" s="33">
        <f t="shared" si="388"/>
        <v>0</v>
      </c>
      <c r="Q6271" s="31" t="str">
        <f t="shared" si="389"/>
        <v/>
      </c>
      <c r="R6271" s="32" t="str">
        <f>IFERROR(VLOOKUP($D6271,'Informations sur les produits'!$A$3:$B$15000,2,FALSE),"")</f>
        <v/>
      </c>
      <c r="V6271">
        <f t="shared" si="390"/>
        <v>0</v>
      </c>
      <c r="W6271">
        <f t="shared" si="391"/>
        <v>0</v>
      </c>
    </row>
    <row r="6272" spans="5:23" x14ac:dyDescent="0.25">
      <c r="E6272" s="4"/>
      <c r="F6272" s="4"/>
      <c r="G6272" s="33" t="str">
        <f>IFERROR(VLOOKUP($D6272,'Informations sur les produits'!$A$3:$H$10000,8,FALSE),"0")</f>
        <v>0</v>
      </c>
      <c r="K6272" s="4"/>
      <c r="L6272" s="33" t="str">
        <f>IFERROR(VLOOKUP($J6272,'Informations sur les produits'!$A$3:$H$10000,8,FALSE),"0")</f>
        <v>0</v>
      </c>
      <c r="N6272" s="8"/>
      <c r="O6272" s="33" t="str">
        <f>IFERROR(VLOOKUP($M6272,'Informations sur les produits'!$A$3:$H$10000,8,FALSE),"0")</f>
        <v>0</v>
      </c>
      <c r="P6272" s="33">
        <f t="shared" si="388"/>
        <v>0</v>
      </c>
      <c r="Q6272" s="31" t="str">
        <f t="shared" si="389"/>
        <v/>
      </c>
      <c r="R6272" s="32" t="str">
        <f>IFERROR(VLOOKUP($D6272,'Informations sur les produits'!$A$3:$B$15000,2,FALSE),"")</f>
        <v/>
      </c>
      <c r="V6272">
        <f t="shared" si="390"/>
        <v>0</v>
      </c>
      <c r="W6272">
        <f t="shared" si="391"/>
        <v>0</v>
      </c>
    </row>
    <row r="6273" spans="5:23" x14ac:dyDescent="0.25">
      <c r="E6273" s="4"/>
      <c r="F6273" s="4"/>
      <c r="G6273" s="33" t="str">
        <f>IFERROR(VLOOKUP($D6273,'Informations sur les produits'!$A$3:$H$10000,8,FALSE),"0")</f>
        <v>0</v>
      </c>
      <c r="K6273" s="4"/>
      <c r="L6273" s="33" t="str">
        <f>IFERROR(VLOOKUP($J6273,'Informations sur les produits'!$A$3:$H$10000,8,FALSE),"0")</f>
        <v>0</v>
      </c>
      <c r="N6273" s="8"/>
      <c r="O6273" s="33" t="str">
        <f>IFERROR(VLOOKUP($M6273,'Informations sur les produits'!$A$3:$H$10000,8,FALSE),"0")</f>
        <v>0</v>
      </c>
      <c r="P6273" s="33">
        <f t="shared" si="388"/>
        <v>0</v>
      </c>
      <c r="Q6273" s="31" t="str">
        <f t="shared" si="389"/>
        <v/>
      </c>
      <c r="R6273" s="32" t="str">
        <f>IFERROR(VLOOKUP($D6273,'Informations sur les produits'!$A$3:$B$15000,2,FALSE),"")</f>
        <v/>
      </c>
      <c r="V6273">
        <f t="shared" si="390"/>
        <v>0</v>
      </c>
      <c r="W6273">
        <f t="shared" si="391"/>
        <v>0</v>
      </c>
    </row>
    <row r="6274" spans="5:23" x14ac:dyDescent="0.25">
      <c r="E6274" s="4"/>
      <c r="F6274" s="4"/>
      <c r="G6274" s="33" t="str">
        <f>IFERROR(VLOOKUP($D6274,'Informations sur les produits'!$A$3:$H$10000,8,FALSE),"0")</f>
        <v>0</v>
      </c>
      <c r="K6274" s="4"/>
      <c r="L6274" s="33" t="str">
        <f>IFERROR(VLOOKUP($J6274,'Informations sur les produits'!$A$3:$H$10000,8,FALSE),"0")</f>
        <v>0</v>
      </c>
      <c r="N6274" s="8"/>
      <c r="O6274" s="33" t="str">
        <f>IFERROR(VLOOKUP($M6274,'Informations sur les produits'!$A$3:$H$10000,8,FALSE),"0")</f>
        <v>0</v>
      </c>
      <c r="P6274" s="33">
        <f t="shared" si="388"/>
        <v>0</v>
      </c>
      <c r="Q6274" s="31" t="str">
        <f t="shared" si="389"/>
        <v/>
      </c>
      <c r="R6274" s="32" t="str">
        <f>IFERROR(VLOOKUP($D6274,'Informations sur les produits'!$A$3:$B$15000,2,FALSE),"")</f>
        <v/>
      </c>
      <c r="V6274">
        <f t="shared" si="390"/>
        <v>0</v>
      </c>
      <c r="W6274">
        <f t="shared" si="391"/>
        <v>0</v>
      </c>
    </row>
    <row r="6275" spans="5:23" x14ac:dyDescent="0.25">
      <c r="E6275" s="4"/>
      <c r="F6275" s="4"/>
      <c r="G6275" s="33" t="str">
        <f>IFERROR(VLOOKUP($D6275,'Informations sur les produits'!$A$3:$H$10000,8,FALSE),"0")</f>
        <v>0</v>
      </c>
      <c r="K6275" s="4"/>
      <c r="L6275" s="33" t="str">
        <f>IFERROR(VLOOKUP($J6275,'Informations sur les produits'!$A$3:$H$10000,8,FALSE),"0")</f>
        <v>0</v>
      </c>
      <c r="N6275" s="8"/>
      <c r="O6275" s="33" t="str">
        <f>IFERROR(VLOOKUP($M6275,'Informations sur les produits'!$A$3:$H$10000,8,FALSE),"0")</f>
        <v>0</v>
      </c>
      <c r="P6275" s="33">
        <f t="shared" si="388"/>
        <v>0</v>
      </c>
      <c r="Q6275" s="31" t="str">
        <f t="shared" si="389"/>
        <v/>
      </c>
      <c r="R6275" s="32" t="str">
        <f>IFERROR(VLOOKUP($D6275,'Informations sur les produits'!$A$3:$B$15000,2,FALSE),"")</f>
        <v/>
      </c>
      <c r="V6275">
        <f t="shared" si="390"/>
        <v>0</v>
      </c>
      <c r="W6275">
        <f t="shared" si="391"/>
        <v>0</v>
      </c>
    </row>
    <row r="6276" spans="5:23" x14ac:dyDescent="0.25">
      <c r="E6276" s="4"/>
      <c r="F6276" s="4"/>
      <c r="G6276" s="33" t="str">
        <f>IFERROR(VLOOKUP($D6276,'Informations sur les produits'!$A$3:$H$10000,8,FALSE),"0")</f>
        <v>0</v>
      </c>
      <c r="K6276" s="4"/>
      <c r="L6276" s="33" t="str">
        <f>IFERROR(VLOOKUP($J6276,'Informations sur les produits'!$A$3:$H$10000,8,FALSE),"0")</f>
        <v>0</v>
      </c>
      <c r="N6276" s="8"/>
      <c r="O6276" s="33" t="str">
        <f>IFERROR(VLOOKUP($M6276,'Informations sur les produits'!$A$3:$H$10000,8,FALSE),"0")</f>
        <v>0</v>
      </c>
      <c r="P6276" s="33">
        <f t="shared" ref="P6276:P6339" si="392">IFERROR((($E6276-$F6276)*$G6276+$K6276*$L6276+$N6276*$O6276),"")</f>
        <v>0</v>
      </c>
      <c r="Q6276" s="31" t="str">
        <f t="shared" ref="Q6276:Q6339" si="393">IFERROR((((($E6276-$F6276)*$G6276+$K6276*$L6276+$N6276*$O6276)*1000)/(($E6276-$F6276)+$K6276+$N6276)),"")</f>
        <v/>
      </c>
      <c r="R6276" s="32" t="str">
        <f>IFERROR(VLOOKUP($D6276,'Informations sur les produits'!$A$3:$B$15000,2,FALSE),"")</f>
        <v/>
      </c>
      <c r="V6276">
        <f t="shared" ref="V6276:V6339" si="394">IFERROR(P6276*1000,"")</f>
        <v>0</v>
      </c>
      <c r="W6276">
        <f t="shared" ref="W6276:W6339" si="395">IFERROR(($E6276-$F6276)+$K6276+$N6276,"")</f>
        <v>0</v>
      </c>
    </row>
    <row r="6277" spans="5:23" x14ac:dyDescent="0.25">
      <c r="E6277" s="4"/>
      <c r="F6277" s="4"/>
      <c r="G6277" s="33" t="str">
        <f>IFERROR(VLOOKUP($D6277,'Informations sur les produits'!$A$3:$H$10000,8,FALSE),"0")</f>
        <v>0</v>
      </c>
      <c r="K6277" s="4"/>
      <c r="L6277" s="33" t="str">
        <f>IFERROR(VLOOKUP($J6277,'Informations sur les produits'!$A$3:$H$10000,8,FALSE),"0")</f>
        <v>0</v>
      </c>
      <c r="N6277" s="8"/>
      <c r="O6277" s="33" t="str">
        <f>IFERROR(VLOOKUP($M6277,'Informations sur les produits'!$A$3:$H$10000,8,FALSE),"0")</f>
        <v>0</v>
      </c>
      <c r="P6277" s="33">
        <f t="shared" si="392"/>
        <v>0</v>
      </c>
      <c r="Q6277" s="31" t="str">
        <f t="shared" si="393"/>
        <v/>
      </c>
      <c r="R6277" s="32" t="str">
        <f>IFERROR(VLOOKUP($D6277,'Informations sur les produits'!$A$3:$B$15000,2,FALSE),"")</f>
        <v/>
      </c>
      <c r="V6277">
        <f t="shared" si="394"/>
        <v>0</v>
      </c>
      <c r="W6277">
        <f t="shared" si="395"/>
        <v>0</v>
      </c>
    </row>
    <row r="6278" spans="5:23" x14ac:dyDescent="0.25">
      <c r="E6278" s="4"/>
      <c r="F6278" s="4"/>
      <c r="G6278" s="33" t="str">
        <f>IFERROR(VLOOKUP($D6278,'Informations sur les produits'!$A$3:$H$10000,8,FALSE),"0")</f>
        <v>0</v>
      </c>
      <c r="K6278" s="4"/>
      <c r="L6278" s="33" t="str">
        <f>IFERROR(VLOOKUP($J6278,'Informations sur les produits'!$A$3:$H$10000,8,FALSE),"0")</f>
        <v>0</v>
      </c>
      <c r="N6278" s="8"/>
      <c r="O6278" s="33" t="str">
        <f>IFERROR(VLOOKUP($M6278,'Informations sur les produits'!$A$3:$H$10000,8,FALSE),"0")</f>
        <v>0</v>
      </c>
      <c r="P6278" s="33">
        <f t="shared" si="392"/>
        <v>0</v>
      </c>
      <c r="Q6278" s="31" t="str">
        <f t="shared" si="393"/>
        <v/>
      </c>
      <c r="R6278" s="32" t="str">
        <f>IFERROR(VLOOKUP($D6278,'Informations sur les produits'!$A$3:$B$15000,2,FALSE),"")</f>
        <v/>
      </c>
      <c r="V6278">
        <f t="shared" si="394"/>
        <v>0</v>
      </c>
      <c r="W6278">
        <f t="shared" si="395"/>
        <v>0</v>
      </c>
    </row>
    <row r="6279" spans="5:23" x14ac:dyDescent="0.25">
      <c r="E6279" s="4"/>
      <c r="F6279" s="4"/>
      <c r="G6279" s="33" t="str">
        <f>IFERROR(VLOOKUP($D6279,'Informations sur les produits'!$A$3:$H$10000,8,FALSE),"0")</f>
        <v>0</v>
      </c>
      <c r="K6279" s="4"/>
      <c r="L6279" s="33" t="str">
        <f>IFERROR(VLOOKUP($J6279,'Informations sur les produits'!$A$3:$H$10000,8,FALSE),"0")</f>
        <v>0</v>
      </c>
      <c r="N6279" s="8"/>
      <c r="O6279" s="33" t="str">
        <f>IFERROR(VLOOKUP($M6279,'Informations sur les produits'!$A$3:$H$10000,8,FALSE),"0")</f>
        <v>0</v>
      </c>
      <c r="P6279" s="33">
        <f t="shared" si="392"/>
        <v>0</v>
      </c>
      <c r="Q6279" s="31" t="str">
        <f t="shared" si="393"/>
        <v/>
      </c>
      <c r="R6279" s="32" t="str">
        <f>IFERROR(VLOOKUP($D6279,'Informations sur les produits'!$A$3:$B$15000,2,FALSE),"")</f>
        <v/>
      </c>
      <c r="V6279">
        <f t="shared" si="394"/>
        <v>0</v>
      </c>
      <c r="W6279">
        <f t="shared" si="395"/>
        <v>0</v>
      </c>
    </row>
    <row r="6280" spans="5:23" x14ac:dyDescent="0.25">
      <c r="E6280" s="4"/>
      <c r="F6280" s="4"/>
      <c r="G6280" s="33" t="str">
        <f>IFERROR(VLOOKUP($D6280,'Informations sur les produits'!$A$3:$H$10000,8,FALSE),"0")</f>
        <v>0</v>
      </c>
      <c r="K6280" s="4"/>
      <c r="L6280" s="33" t="str">
        <f>IFERROR(VLOOKUP($J6280,'Informations sur les produits'!$A$3:$H$10000,8,FALSE),"0")</f>
        <v>0</v>
      </c>
      <c r="N6280" s="8"/>
      <c r="O6280" s="33" t="str">
        <f>IFERROR(VLOOKUP($M6280,'Informations sur les produits'!$A$3:$H$10000,8,FALSE),"0")</f>
        <v>0</v>
      </c>
      <c r="P6280" s="33">
        <f t="shared" si="392"/>
        <v>0</v>
      </c>
      <c r="Q6280" s="31" t="str">
        <f t="shared" si="393"/>
        <v/>
      </c>
      <c r="R6280" s="32" t="str">
        <f>IFERROR(VLOOKUP($D6280,'Informations sur les produits'!$A$3:$B$15000,2,FALSE),"")</f>
        <v/>
      </c>
      <c r="V6280">
        <f t="shared" si="394"/>
        <v>0</v>
      </c>
      <c r="W6280">
        <f t="shared" si="395"/>
        <v>0</v>
      </c>
    </row>
    <row r="6281" spans="5:23" x14ac:dyDescent="0.25">
      <c r="E6281" s="4"/>
      <c r="F6281" s="4"/>
      <c r="G6281" s="33" t="str">
        <f>IFERROR(VLOOKUP($D6281,'Informations sur les produits'!$A$3:$H$10000,8,FALSE),"0")</f>
        <v>0</v>
      </c>
      <c r="K6281" s="4"/>
      <c r="L6281" s="33" t="str">
        <f>IFERROR(VLOOKUP($J6281,'Informations sur les produits'!$A$3:$H$10000,8,FALSE),"0")</f>
        <v>0</v>
      </c>
      <c r="N6281" s="8"/>
      <c r="O6281" s="33" t="str">
        <f>IFERROR(VLOOKUP($M6281,'Informations sur les produits'!$A$3:$H$10000,8,FALSE),"0")</f>
        <v>0</v>
      </c>
      <c r="P6281" s="33">
        <f t="shared" si="392"/>
        <v>0</v>
      </c>
      <c r="Q6281" s="31" t="str">
        <f t="shared" si="393"/>
        <v/>
      </c>
      <c r="R6281" s="32" t="str">
        <f>IFERROR(VLOOKUP($D6281,'Informations sur les produits'!$A$3:$B$15000,2,FALSE),"")</f>
        <v/>
      </c>
      <c r="V6281">
        <f t="shared" si="394"/>
        <v>0</v>
      </c>
      <c r="W6281">
        <f t="shared" si="395"/>
        <v>0</v>
      </c>
    </row>
    <row r="6282" spans="5:23" x14ac:dyDescent="0.25">
      <c r="E6282" s="4"/>
      <c r="F6282" s="4"/>
      <c r="G6282" s="33" t="str">
        <f>IFERROR(VLOOKUP($D6282,'Informations sur les produits'!$A$3:$H$10000,8,FALSE),"0")</f>
        <v>0</v>
      </c>
      <c r="K6282" s="4"/>
      <c r="L6282" s="33" t="str">
        <f>IFERROR(VLOOKUP($J6282,'Informations sur les produits'!$A$3:$H$10000,8,FALSE),"0")</f>
        <v>0</v>
      </c>
      <c r="N6282" s="8"/>
      <c r="O6282" s="33" t="str">
        <f>IFERROR(VLOOKUP($M6282,'Informations sur les produits'!$A$3:$H$10000,8,FALSE),"0")</f>
        <v>0</v>
      </c>
      <c r="P6282" s="33">
        <f t="shared" si="392"/>
        <v>0</v>
      </c>
      <c r="Q6282" s="31" t="str">
        <f t="shared" si="393"/>
        <v/>
      </c>
      <c r="R6282" s="32" t="str">
        <f>IFERROR(VLOOKUP($D6282,'Informations sur les produits'!$A$3:$B$15000,2,FALSE),"")</f>
        <v/>
      </c>
      <c r="V6282">
        <f t="shared" si="394"/>
        <v>0</v>
      </c>
      <c r="W6282">
        <f t="shared" si="395"/>
        <v>0</v>
      </c>
    </row>
    <row r="6283" spans="5:23" x14ac:dyDescent="0.25">
      <c r="E6283" s="4"/>
      <c r="F6283" s="4"/>
      <c r="G6283" s="33" t="str">
        <f>IFERROR(VLOOKUP($D6283,'Informations sur les produits'!$A$3:$H$10000,8,FALSE),"0")</f>
        <v>0</v>
      </c>
      <c r="K6283" s="4"/>
      <c r="L6283" s="33" t="str">
        <f>IFERROR(VLOOKUP($J6283,'Informations sur les produits'!$A$3:$H$10000,8,FALSE),"0")</f>
        <v>0</v>
      </c>
      <c r="N6283" s="8"/>
      <c r="O6283" s="33" t="str">
        <f>IFERROR(VLOOKUP($M6283,'Informations sur les produits'!$A$3:$H$10000,8,FALSE),"0")</f>
        <v>0</v>
      </c>
      <c r="P6283" s="33">
        <f t="shared" si="392"/>
        <v>0</v>
      </c>
      <c r="Q6283" s="31" t="str">
        <f t="shared" si="393"/>
        <v/>
      </c>
      <c r="R6283" s="32" t="str">
        <f>IFERROR(VLOOKUP($D6283,'Informations sur les produits'!$A$3:$B$15000,2,FALSE),"")</f>
        <v/>
      </c>
      <c r="V6283">
        <f t="shared" si="394"/>
        <v>0</v>
      </c>
      <c r="W6283">
        <f t="shared" si="395"/>
        <v>0</v>
      </c>
    </row>
    <row r="6284" spans="5:23" x14ac:dyDescent="0.25">
      <c r="E6284" s="4"/>
      <c r="F6284" s="4"/>
      <c r="G6284" s="33" t="str">
        <f>IFERROR(VLOOKUP($D6284,'Informations sur les produits'!$A$3:$H$10000,8,FALSE),"0")</f>
        <v>0</v>
      </c>
      <c r="K6284" s="4"/>
      <c r="L6284" s="33" t="str">
        <f>IFERROR(VLOOKUP($J6284,'Informations sur les produits'!$A$3:$H$10000,8,FALSE),"0")</f>
        <v>0</v>
      </c>
      <c r="N6284" s="8"/>
      <c r="O6284" s="33" t="str">
        <f>IFERROR(VLOOKUP($M6284,'Informations sur les produits'!$A$3:$H$10000,8,FALSE),"0")</f>
        <v>0</v>
      </c>
      <c r="P6284" s="33">
        <f t="shared" si="392"/>
        <v>0</v>
      </c>
      <c r="Q6284" s="31" t="str">
        <f t="shared" si="393"/>
        <v/>
      </c>
      <c r="R6284" s="32" t="str">
        <f>IFERROR(VLOOKUP($D6284,'Informations sur les produits'!$A$3:$B$15000,2,FALSE),"")</f>
        <v/>
      </c>
      <c r="V6284">
        <f t="shared" si="394"/>
        <v>0</v>
      </c>
      <c r="W6284">
        <f t="shared" si="395"/>
        <v>0</v>
      </c>
    </row>
    <row r="6285" spans="5:23" x14ac:dyDescent="0.25">
      <c r="E6285" s="4"/>
      <c r="F6285" s="4"/>
      <c r="G6285" s="33" t="str">
        <f>IFERROR(VLOOKUP($D6285,'Informations sur les produits'!$A$3:$H$10000,8,FALSE),"0")</f>
        <v>0</v>
      </c>
      <c r="K6285" s="4"/>
      <c r="L6285" s="33" t="str">
        <f>IFERROR(VLOOKUP($J6285,'Informations sur les produits'!$A$3:$H$10000,8,FALSE),"0")</f>
        <v>0</v>
      </c>
      <c r="N6285" s="8"/>
      <c r="O6285" s="33" t="str">
        <f>IFERROR(VLOOKUP($M6285,'Informations sur les produits'!$A$3:$H$10000,8,FALSE),"0")</f>
        <v>0</v>
      </c>
      <c r="P6285" s="33">
        <f t="shared" si="392"/>
        <v>0</v>
      </c>
      <c r="Q6285" s="31" t="str">
        <f t="shared" si="393"/>
        <v/>
      </c>
      <c r="R6285" s="32" t="str">
        <f>IFERROR(VLOOKUP($D6285,'Informations sur les produits'!$A$3:$B$15000,2,FALSE),"")</f>
        <v/>
      </c>
      <c r="V6285">
        <f t="shared" si="394"/>
        <v>0</v>
      </c>
      <c r="W6285">
        <f t="shared" si="395"/>
        <v>0</v>
      </c>
    </row>
    <row r="6286" spans="5:23" x14ac:dyDescent="0.25">
      <c r="E6286" s="4"/>
      <c r="F6286" s="4"/>
      <c r="G6286" s="33" t="str">
        <f>IFERROR(VLOOKUP($D6286,'Informations sur les produits'!$A$3:$H$10000,8,FALSE),"0")</f>
        <v>0</v>
      </c>
      <c r="K6286" s="4"/>
      <c r="L6286" s="33" t="str">
        <f>IFERROR(VLOOKUP($J6286,'Informations sur les produits'!$A$3:$H$10000,8,FALSE),"0")</f>
        <v>0</v>
      </c>
      <c r="N6286" s="8"/>
      <c r="O6286" s="33" t="str">
        <f>IFERROR(VLOOKUP($M6286,'Informations sur les produits'!$A$3:$H$10000,8,FALSE),"0")</f>
        <v>0</v>
      </c>
      <c r="P6286" s="33">
        <f t="shared" si="392"/>
        <v>0</v>
      </c>
      <c r="Q6286" s="31" t="str">
        <f t="shared" si="393"/>
        <v/>
      </c>
      <c r="R6286" s="32" t="str">
        <f>IFERROR(VLOOKUP($D6286,'Informations sur les produits'!$A$3:$B$15000,2,FALSE),"")</f>
        <v/>
      </c>
      <c r="V6286">
        <f t="shared" si="394"/>
        <v>0</v>
      </c>
      <c r="W6286">
        <f t="shared" si="395"/>
        <v>0</v>
      </c>
    </row>
    <row r="6287" spans="5:23" x14ac:dyDescent="0.25">
      <c r="E6287" s="4"/>
      <c r="F6287" s="4"/>
      <c r="G6287" s="33" t="str">
        <f>IFERROR(VLOOKUP($D6287,'Informations sur les produits'!$A$3:$H$10000,8,FALSE),"0")</f>
        <v>0</v>
      </c>
      <c r="K6287" s="4"/>
      <c r="L6287" s="33" t="str">
        <f>IFERROR(VLOOKUP($J6287,'Informations sur les produits'!$A$3:$H$10000,8,FALSE),"0")</f>
        <v>0</v>
      </c>
      <c r="N6287" s="8"/>
      <c r="O6287" s="33" t="str">
        <f>IFERROR(VLOOKUP($M6287,'Informations sur les produits'!$A$3:$H$10000,8,FALSE),"0")</f>
        <v>0</v>
      </c>
      <c r="P6287" s="33">
        <f t="shared" si="392"/>
        <v>0</v>
      </c>
      <c r="Q6287" s="31" t="str">
        <f t="shared" si="393"/>
        <v/>
      </c>
      <c r="R6287" s="32" t="str">
        <f>IFERROR(VLOOKUP($D6287,'Informations sur les produits'!$A$3:$B$15000,2,FALSE),"")</f>
        <v/>
      </c>
      <c r="V6287">
        <f t="shared" si="394"/>
        <v>0</v>
      </c>
      <c r="W6287">
        <f t="shared" si="395"/>
        <v>0</v>
      </c>
    </row>
    <row r="6288" spans="5:23" x14ac:dyDescent="0.25">
      <c r="E6288" s="4"/>
      <c r="F6288" s="4"/>
      <c r="G6288" s="33" t="str">
        <f>IFERROR(VLOOKUP($D6288,'Informations sur les produits'!$A$3:$H$10000,8,FALSE),"0")</f>
        <v>0</v>
      </c>
      <c r="K6288" s="4"/>
      <c r="L6288" s="33" t="str">
        <f>IFERROR(VLOOKUP($J6288,'Informations sur les produits'!$A$3:$H$10000,8,FALSE),"0")</f>
        <v>0</v>
      </c>
      <c r="N6288" s="8"/>
      <c r="O6288" s="33" t="str">
        <f>IFERROR(VLOOKUP($M6288,'Informations sur les produits'!$A$3:$H$10000,8,FALSE),"0")</f>
        <v>0</v>
      </c>
      <c r="P6288" s="33">
        <f t="shared" si="392"/>
        <v>0</v>
      </c>
      <c r="Q6288" s="31" t="str">
        <f t="shared" si="393"/>
        <v/>
      </c>
      <c r="R6288" s="32" t="str">
        <f>IFERROR(VLOOKUP($D6288,'Informations sur les produits'!$A$3:$B$15000,2,FALSE),"")</f>
        <v/>
      </c>
      <c r="V6288">
        <f t="shared" si="394"/>
        <v>0</v>
      </c>
      <c r="W6288">
        <f t="shared" si="395"/>
        <v>0</v>
      </c>
    </row>
    <row r="6289" spans="5:23" x14ac:dyDescent="0.25">
      <c r="E6289" s="4"/>
      <c r="F6289" s="4"/>
      <c r="G6289" s="33" t="str">
        <f>IFERROR(VLOOKUP($D6289,'Informations sur les produits'!$A$3:$H$10000,8,FALSE),"0")</f>
        <v>0</v>
      </c>
      <c r="K6289" s="4"/>
      <c r="L6289" s="33" t="str">
        <f>IFERROR(VLOOKUP($J6289,'Informations sur les produits'!$A$3:$H$10000,8,FALSE),"0")</f>
        <v>0</v>
      </c>
      <c r="N6289" s="8"/>
      <c r="O6289" s="33" t="str">
        <f>IFERROR(VLOOKUP($M6289,'Informations sur les produits'!$A$3:$H$10000,8,FALSE),"0")</f>
        <v>0</v>
      </c>
      <c r="P6289" s="33">
        <f t="shared" si="392"/>
        <v>0</v>
      </c>
      <c r="Q6289" s="31" t="str">
        <f t="shared" si="393"/>
        <v/>
      </c>
      <c r="R6289" s="32" t="str">
        <f>IFERROR(VLOOKUP($D6289,'Informations sur les produits'!$A$3:$B$15000,2,FALSE),"")</f>
        <v/>
      </c>
      <c r="V6289">
        <f t="shared" si="394"/>
        <v>0</v>
      </c>
      <c r="W6289">
        <f t="shared" si="395"/>
        <v>0</v>
      </c>
    </row>
    <row r="6290" spans="5:23" x14ac:dyDescent="0.25">
      <c r="E6290" s="4"/>
      <c r="F6290" s="4"/>
      <c r="G6290" s="33" t="str">
        <f>IFERROR(VLOOKUP($D6290,'Informations sur les produits'!$A$3:$H$10000,8,FALSE),"0")</f>
        <v>0</v>
      </c>
      <c r="K6290" s="4"/>
      <c r="L6290" s="33" t="str">
        <f>IFERROR(VLOOKUP($J6290,'Informations sur les produits'!$A$3:$H$10000,8,FALSE),"0")</f>
        <v>0</v>
      </c>
      <c r="N6290" s="8"/>
      <c r="O6290" s="33" t="str">
        <f>IFERROR(VLOOKUP($M6290,'Informations sur les produits'!$A$3:$H$10000,8,FALSE),"0")</f>
        <v>0</v>
      </c>
      <c r="P6290" s="33">
        <f t="shared" si="392"/>
        <v>0</v>
      </c>
      <c r="Q6290" s="31" t="str">
        <f t="shared" si="393"/>
        <v/>
      </c>
      <c r="R6290" s="32" t="str">
        <f>IFERROR(VLOOKUP($D6290,'Informations sur les produits'!$A$3:$B$15000,2,FALSE),"")</f>
        <v/>
      </c>
      <c r="V6290">
        <f t="shared" si="394"/>
        <v>0</v>
      </c>
      <c r="W6290">
        <f t="shared" si="395"/>
        <v>0</v>
      </c>
    </row>
    <row r="6291" spans="5:23" x14ac:dyDescent="0.25">
      <c r="E6291" s="4"/>
      <c r="F6291" s="4"/>
      <c r="G6291" s="33" t="str">
        <f>IFERROR(VLOOKUP($D6291,'Informations sur les produits'!$A$3:$H$10000,8,FALSE),"0")</f>
        <v>0</v>
      </c>
      <c r="K6291" s="4"/>
      <c r="L6291" s="33" t="str">
        <f>IFERROR(VLOOKUP($J6291,'Informations sur les produits'!$A$3:$H$10000,8,FALSE),"0")</f>
        <v>0</v>
      </c>
      <c r="N6291" s="8"/>
      <c r="O6291" s="33" t="str">
        <f>IFERROR(VLOOKUP($M6291,'Informations sur les produits'!$A$3:$H$10000,8,FALSE),"0")</f>
        <v>0</v>
      </c>
      <c r="P6291" s="33">
        <f t="shared" si="392"/>
        <v>0</v>
      </c>
      <c r="Q6291" s="31" t="str">
        <f t="shared" si="393"/>
        <v/>
      </c>
      <c r="R6291" s="32" t="str">
        <f>IFERROR(VLOOKUP($D6291,'Informations sur les produits'!$A$3:$B$15000,2,FALSE),"")</f>
        <v/>
      </c>
      <c r="V6291">
        <f t="shared" si="394"/>
        <v>0</v>
      </c>
      <c r="W6291">
        <f t="shared" si="395"/>
        <v>0</v>
      </c>
    </row>
    <row r="6292" spans="5:23" x14ac:dyDescent="0.25">
      <c r="E6292" s="4"/>
      <c r="F6292" s="4"/>
      <c r="G6292" s="33" t="str">
        <f>IFERROR(VLOOKUP($D6292,'Informations sur les produits'!$A$3:$H$10000,8,FALSE),"0")</f>
        <v>0</v>
      </c>
      <c r="K6292" s="4"/>
      <c r="L6292" s="33" t="str">
        <f>IFERROR(VLOOKUP($J6292,'Informations sur les produits'!$A$3:$H$10000,8,FALSE),"0")</f>
        <v>0</v>
      </c>
      <c r="N6292" s="8"/>
      <c r="O6292" s="33" t="str">
        <f>IFERROR(VLOOKUP($M6292,'Informations sur les produits'!$A$3:$H$10000,8,FALSE),"0")</f>
        <v>0</v>
      </c>
      <c r="P6292" s="33">
        <f t="shared" si="392"/>
        <v>0</v>
      </c>
      <c r="Q6292" s="31" t="str">
        <f t="shared" si="393"/>
        <v/>
      </c>
      <c r="R6292" s="32" t="str">
        <f>IFERROR(VLOOKUP($D6292,'Informations sur les produits'!$A$3:$B$15000,2,FALSE),"")</f>
        <v/>
      </c>
      <c r="V6292">
        <f t="shared" si="394"/>
        <v>0</v>
      </c>
      <c r="W6292">
        <f t="shared" si="395"/>
        <v>0</v>
      </c>
    </row>
    <row r="6293" spans="5:23" x14ac:dyDescent="0.25">
      <c r="E6293" s="4"/>
      <c r="F6293" s="4"/>
      <c r="G6293" s="33" t="str">
        <f>IFERROR(VLOOKUP($D6293,'Informations sur les produits'!$A$3:$H$10000,8,FALSE),"0")</f>
        <v>0</v>
      </c>
      <c r="K6293" s="4"/>
      <c r="L6293" s="33" t="str">
        <f>IFERROR(VLOOKUP($J6293,'Informations sur les produits'!$A$3:$H$10000,8,FALSE),"0")</f>
        <v>0</v>
      </c>
      <c r="N6293" s="8"/>
      <c r="O6293" s="33" t="str">
        <f>IFERROR(VLOOKUP($M6293,'Informations sur les produits'!$A$3:$H$10000,8,FALSE),"0")</f>
        <v>0</v>
      </c>
      <c r="P6293" s="33">
        <f t="shared" si="392"/>
        <v>0</v>
      </c>
      <c r="Q6293" s="31" t="str">
        <f t="shared" si="393"/>
        <v/>
      </c>
      <c r="R6293" s="32" t="str">
        <f>IFERROR(VLOOKUP($D6293,'Informations sur les produits'!$A$3:$B$15000,2,FALSE),"")</f>
        <v/>
      </c>
      <c r="V6293">
        <f t="shared" si="394"/>
        <v>0</v>
      </c>
      <c r="W6293">
        <f t="shared" si="395"/>
        <v>0</v>
      </c>
    </row>
    <row r="6294" spans="5:23" x14ac:dyDescent="0.25">
      <c r="E6294" s="4"/>
      <c r="F6294" s="4"/>
      <c r="G6294" s="33" t="str">
        <f>IFERROR(VLOOKUP($D6294,'Informations sur les produits'!$A$3:$H$10000,8,FALSE),"0")</f>
        <v>0</v>
      </c>
      <c r="K6294" s="4"/>
      <c r="L6294" s="33" t="str">
        <f>IFERROR(VLOOKUP($J6294,'Informations sur les produits'!$A$3:$H$10000,8,FALSE),"0")</f>
        <v>0</v>
      </c>
      <c r="N6294" s="8"/>
      <c r="O6294" s="33" t="str">
        <f>IFERROR(VLOOKUP($M6294,'Informations sur les produits'!$A$3:$H$10000,8,FALSE),"0")</f>
        <v>0</v>
      </c>
      <c r="P6294" s="33">
        <f t="shared" si="392"/>
        <v>0</v>
      </c>
      <c r="Q6294" s="31" t="str">
        <f t="shared" si="393"/>
        <v/>
      </c>
      <c r="R6294" s="32" t="str">
        <f>IFERROR(VLOOKUP($D6294,'Informations sur les produits'!$A$3:$B$15000,2,FALSE),"")</f>
        <v/>
      </c>
      <c r="V6294">
        <f t="shared" si="394"/>
        <v>0</v>
      </c>
      <c r="W6294">
        <f t="shared" si="395"/>
        <v>0</v>
      </c>
    </row>
    <row r="6295" spans="5:23" x14ac:dyDescent="0.25">
      <c r="E6295" s="4"/>
      <c r="F6295" s="4"/>
      <c r="G6295" s="33" t="str">
        <f>IFERROR(VLOOKUP($D6295,'Informations sur les produits'!$A$3:$H$10000,8,FALSE),"0")</f>
        <v>0</v>
      </c>
      <c r="K6295" s="4"/>
      <c r="L6295" s="33" t="str">
        <f>IFERROR(VLOOKUP($J6295,'Informations sur les produits'!$A$3:$H$10000,8,FALSE),"0")</f>
        <v>0</v>
      </c>
      <c r="N6295" s="8"/>
      <c r="O6295" s="33" t="str">
        <f>IFERROR(VLOOKUP($M6295,'Informations sur les produits'!$A$3:$H$10000,8,FALSE),"0")</f>
        <v>0</v>
      </c>
      <c r="P6295" s="33">
        <f t="shared" si="392"/>
        <v>0</v>
      </c>
      <c r="Q6295" s="31" t="str">
        <f t="shared" si="393"/>
        <v/>
      </c>
      <c r="R6295" s="32" t="str">
        <f>IFERROR(VLOOKUP($D6295,'Informations sur les produits'!$A$3:$B$15000,2,FALSE),"")</f>
        <v/>
      </c>
      <c r="V6295">
        <f t="shared" si="394"/>
        <v>0</v>
      </c>
      <c r="W6295">
        <f t="shared" si="395"/>
        <v>0</v>
      </c>
    </row>
    <row r="6296" spans="5:23" x14ac:dyDescent="0.25">
      <c r="E6296" s="4"/>
      <c r="F6296" s="4"/>
      <c r="G6296" s="33" t="str">
        <f>IFERROR(VLOOKUP($D6296,'Informations sur les produits'!$A$3:$H$10000,8,FALSE),"0")</f>
        <v>0</v>
      </c>
      <c r="K6296" s="4"/>
      <c r="L6296" s="33" t="str">
        <f>IFERROR(VLOOKUP($J6296,'Informations sur les produits'!$A$3:$H$10000,8,FALSE),"0")</f>
        <v>0</v>
      </c>
      <c r="N6296" s="8"/>
      <c r="O6296" s="33" t="str">
        <f>IFERROR(VLOOKUP($M6296,'Informations sur les produits'!$A$3:$H$10000,8,FALSE),"0")</f>
        <v>0</v>
      </c>
      <c r="P6296" s="33">
        <f t="shared" si="392"/>
        <v>0</v>
      </c>
      <c r="Q6296" s="31" t="str">
        <f t="shared" si="393"/>
        <v/>
      </c>
      <c r="R6296" s="32" t="str">
        <f>IFERROR(VLOOKUP($D6296,'Informations sur les produits'!$A$3:$B$15000,2,FALSE),"")</f>
        <v/>
      </c>
      <c r="V6296">
        <f t="shared" si="394"/>
        <v>0</v>
      </c>
      <c r="W6296">
        <f t="shared" si="395"/>
        <v>0</v>
      </c>
    </row>
    <row r="6297" spans="5:23" x14ac:dyDescent="0.25">
      <c r="E6297" s="4"/>
      <c r="F6297" s="4"/>
      <c r="G6297" s="33" t="str">
        <f>IFERROR(VLOOKUP($D6297,'Informations sur les produits'!$A$3:$H$10000,8,FALSE),"0")</f>
        <v>0</v>
      </c>
      <c r="K6297" s="4"/>
      <c r="L6297" s="33" t="str">
        <f>IFERROR(VLOOKUP($J6297,'Informations sur les produits'!$A$3:$H$10000,8,FALSE),"0")</f>
        <v>0</v>
      </c>
      <c r="N6297" s="8"/>
      <c r="O6297" s="33" t="str">
        <f>IFERROR(VLOOKUP($M6297,'Informations sur les produits'!$A$3:$H$10000,8,FALSE),"0")</f>
        <v>0</v>
      </c>
      <c r="P6297" s="33">
        <f t="shared" si="392"/>
        <v>0</v>
      </c>
      <c r="Q6297" s="31" t="str">
        <f t="shared" si="393"/>
        <v/>
      </c>
      <c r="R6297" s="32" t="str">
        <f>IFERROR(VLOOKUP($D6297,'Informations sur les produits'!$A$3:$B$15000,2,FALSE),"")</f>
        <v/>
      </c>
      <c r="V6297">
        <f t="shared" si="394"/>
        <v>0</v>
      </c>
      <c r="W6297">
        <f t="shared" si="395"/>
        <v>0</v>
      </c>
    </row>
    <row r="6298" spans="5:23" x14ac:dyDescent="0.25">
      <c r="E6298" s="4"/>
      <c r="F6298" s="4"/>
      <c r="G6298" s="33" t="str">
        <f>IFERROR(VLOOKUP($D6298,'Informations sur les produits'!$A$3:$H$10000,8,FALSE),"0")</f>
        <v>0</v>
      </c>
      <c r="K6298" s="4"/>
      <c r="L6298" s="33" t="str">
        <f>IFERROR(VLOOKUP($J6298,'Informations sur les produits'!$A$3:$H$10000,8,FALSE),"0")</f>
        <v>0</v>
      </c>
      <c r="N6298" s="8"/>
      <c r="O6298" s="33" t="str">
        <f>IFERROR(VLOOKUP($M6298,'Informations sur les produits'!$A$3:$H$10000,8,FALSE),"0")</f>
        <v>0</v>
      </c>
      <c r="P6298" s="33">
        <f t="shared" si="392"/>
        <v>0</v>
      </c>
      <c r="Q6298" s="31" t="str">
        <f t="shared" si="393"/>
        <v/>
      </c>
      <c r="R6298" s="32" t="str">
        <f>IFERROR(VLOOKUP($D6298,'Informations sur les produits'!$A$3:$B$15000,2,FALSE),"")</f>
        <v/>
      </c>
      <c r="V6298">
        <f t="shared" si="394"/>
        <v>0</v>
      </c>
      <c r="W6298">
        <f t="shared" si="395"/>
        <v>0</v>
      </c>
    </row>
    <row r="6299" spans="5:23" x14ac:dyDescent="0.25">
      <c r="E6299" s="4"/>
      <c r="F6299" s="4"/>
      <c r="G6299" s="33" t="str">
        <f>IFERROR(VLOOKUP($D6299,'Informations sur les produits'!$A$3:$H$10000,8,FALSE),"0")</f>
        <v>0</v>
      </c>
      <c r="K6299" s="4"/>
      <c r="L6299" s="33" t="str">
        <f>IFERROR(VLOOKUP($J6299,'Informations sur les produits'!$A$3:$H$10000,8,FALSE),"0")</f>
        <v>0</v>
      </c>
      <c r="N6299" s="8"/>
      <c r="O6299" s="33" t="str">
        <f>IFERROR(VLOOKUP($M6299,'Informations sur les produits'!$A$3:$H$10000,8,FALSE),"0")</f>
        <v>0</v>
      </c>
      <c r="P6299" s="33">
        <f t="shared" si="392"/>
        <v>0</v>
      </c>
      <c r="Q6299" s="31" t="str">
        <f t="shared" si="393"/>
        <v/>
      </c>
      <c r="R6299" s="32" t="str">
        <f>IFERROR(VLOOKUP($D6299,'Informations sur les produits'!$A$3:$B$15000,2,FALSE),"")</f>
        <v/>
      </c>
      <c r="V6299">
        <f t="shared" si="394"/>
        <v>0</v>
      </c>
      <c r="W6299">
        <f t="shared" si="395"/>
        <v>0</v>
      </c>
    </row>
    <row r="6300" spans="5:23" x14ac:dyDescent="0.25">
      <c r="E6300" s="4"/>
      <c r="F6300" s="4"/>
      <c r="G6300" s="33" t="str">
        <f>IFERROR(VLOOKUP($D6300,'Informations sur les produits'!$A$3:$H$10000,8,FALSE),"0")</f>
        <v>0</v>
      </c>
      <c r="K6300" s="4"/>
      <c r="L6300" s="33" t="str">
        <f>IFERROR(VLOOKUP($J6300,'Informations sur les produits'!$A$3:$H$10000,8,FALSE),"0")</f>
        <v>0</v>
      </c>
      <c r="N6300" s="8"/>
      <c r="O6300" s="33" t="str">
        <f>IFERROR(VLOOKUP($M6300,'Informations sur les produits'!$A$3:$H$10000,8,FALSE),"0")</f>
        <v>0</v>
      </c>
      <c r="P6300" s="33">
        <f t="shared" si="392"/>
        <v>0</v>
      </c>
      <c r="Q6300" s="31" t="str">
        <f t="shared" si="393"/>
        <v/>
      </c>
      <c r="R6300" s="32" t="str">
        <f>IFERROR(VLOOKUP($D6300,'Informations sur les produits'!$A$3:$B$15000,2,FALSE),"")</f>
        <v/>
      </c>
      <c r="V6300">
        <f t="shared" si="394"/>
        <v>0</v>
      </c>
      <c r="W6300">
        <f t="shared" si="395"/>
        <v>0</v>
      </c>
    </row>
    <row r="6301" spans="5:23" x14ac:dyDescent="0.25">
      <c r="E6301" s="4"/>
      <c r="F6301" s="4"/>
      <c r="G6301" s="33" t="str">
        <f>IFERROR(VLOOKUP($D6301,'Informations sur les produits'!$A$3:$H$10000,8,FALSE),"0")</f>
        <v>0</v>
      </c>
      <c r="K6301" s="4"/>
      <c r="L6301" s="33" t="str">
        <f>IFERROR(VLOOKUP($J6301,'Informations sur les produits'!$A$3:$H$10000,8,FALSE),"0")</f>
        <v>0</v>
      </c>
      <c r="N6301" s="8"/>
      <c r="O6301" s="33" t="str">
        <f>IFERROR(VLOOKUP($M6301,'Informations sur les produits'!$A$3:$H$10000,8,FALSE),"0")</f>
        <v>0</v>
      </c>
      <c r="P6301" s="33">
        <f t="shared" si="392"/>
        <v>0</v>
      </c>
      <c r="Q6301" s="31" t="str">
        <f t="shared" si="393"/>
        <v/>
      </c>
      <c r="R6301" s="32" t="str">
        <f>IFERROR(VLOOKUP($D6301,'Informations sur les produits'!$A$3:$B$15000,2,FALSE),"")</f>
        <v/>
      </c>
      <c r="V6301">
        <f t="shared" si="394"/>
        <v>0</v>
      </c>
      <c r="W6301">
        <f t="shared" si="395"/>
        <v>0</v>
      </c>
    </row>
    <row r="6302" spans="5:23" x14ac:dyDescent="0.25">
      <c r="E6302" s="4"/>
      <c r="F6302" s="4"/>
      <c r="G6302" s="33" t="str">
        <f>IFERROR(VLOOKUP($D6302,'Informations sur les produits'!$A$3:$H$10000,8,FALSE),"0")</f>
        <v>0</v>
      </c>
      <c r="K6302" s="4"/>
      <c r="L6302" s="33" t="str">
        <f>IFERROR(VLOOKUP($J6302,'Informations sur les produits'!$A$3:$H$10000,8,FALSE),"0")</f>
        <v>0</v>
      </c>
      <c r="N6302" s="8"/>
      <c r="O6302" s="33" t="str">
        <f>IFERROR(VLOOKUP($M6302,'Informations sur les produits'!$A$3:$H$10000,8,FALSE),"0")</f>
        <v>0</v>
      </c>
      <c r="P6302" s="33">
        <f t="shared" si="392"/>
        <v>0</v>
      </c>
      <c r="Q6302" s="31" t="str">
        <f t="shared" si="393"/>
        <v/>
      </c>
      <c r="R6302" s="32" t="str">
        <f>IFERROR(VLOOKUP($D6302,'Informations sur les produits'!$A$3:$B$15000,2,FALSE),"")</f>
        <v/>
      </c>
      <c r="V6302">
        <f t="shared" si="394"/>
        <v>0</v>
      </c>
      <c r="W6302">
        <f t="shared" si="395"/>
        <v>0</v>
      </c>
    </row>
    <row r="6303" spans="5:23" x14ac:dyDescent="0.25">
      <c r="E6303" s="4"/>
      <c r="F6303" s="4"/>
      <c r="G6303" s="33" t="str">
        <f>IFERROR(VLOOKUP($D6303,'Informations sur les produits'!$A$3:$H$10000,8,FALSE),"0")</f>
        <v>0</v>
      </c>
      <c r="K6303" s="4"/>
      <c r="L6303" s="33" t="str">
        <f>IFERROR(VLOOKUP($J6303,'Informations sur les produits'!$A$3:$H$10000,8,FALSE),"0")</f>
        <v>0</v>
      </c>
      <c r="N6303" s="8"/>
      <c r="O6303" s="33" t="str">
        <f>IFERROR(VLOOKUP($M6303,'Informations sur les produits'!$A$3:$H$10000,8,FALSE),"0")</f>
        <v>0</v>
      </c>
      <c r="P6303" s="33">
        <f t="shared" si="392"/>
        <v>0</v>
      </c>
      <c r="Q6303" s="31" t="str">
        <f t="shared" si="393"/>
        <v/>
      </c>
      <c r="R6303" s="32" t="str">
        <f>IFERROR(VLOOKUP($D6303,'Informations sur les produits'!$A$3:$B$15000,2,FALSE),"")</f>
        <v/>
      </c>
      <c r="V6303">
        <f t="shared" si="394"/>
        <v>0</v>
      </c>
      <c r="W6303">
        <f t="shared" si="395"/>
        <v>0</v>
      </c>
    </row>
    <row r="6304" spans="5:23" x14ac:dyDescent="0.25">
      <c r="E6304" s="4"/>
      <c r="F6304" s="4"/>
      <c r="G6304" s="33" t="str">
        <f>IFERROR(VLOOKUP($D6304,'Informations sur les produits'!$A$3:$H$10000,8,FALSE),"0")</f>
        <v>0</v>
      </c>
      <c r="K6304" s="4"/>
      <c r="L6304" s="33" t="str">
        <f>IFERROR(VLOOKUP($J6304,'Informations sur les produits'!$A$3:$H$10000,8,FALSE),"0")</f>
        <v>0</v>
      </c>
      <c r="N6304" s="8"/>
      <c r="O6304" s="33" t="str">
        <f>IFERROR(VLOOKUP($M6304,'Informations sur les produits'!$A$3:$H$10000,8,FALSE),"0")</f>
        <v>0</v>
      </c>
      <c r="P6304" s="33">
        <f t="shared" si="392"/>
        <v>0</v>
      </c>
      <c r="Q6304" s="31" t="str">
        <f t="shared" si="393"/>
        <v/>
      </c>
      <c r="R6304" s="32" t="str">
        <f>IFERROR(VLOOKUP($D6304,'Informations sur les produits'!$A$3:$B$15000,2,FALSE),"")</f>
        <v/>
      </c>
      <c r="V6304">
        <f t="shared" si="394"/>
        <v>0</v>
      </c>
      <c r="W6304">
        <f t="shared" si="395"/>
        <v>0</v>
      </c>
    </row>
    <row r="6305" spans="5:23" x14ac:dyDescent="0.25">
      <c r="E6305" s="4"/>
      <c r="F6305" s="4"/>
      <c r="G6305" s="33" t="str">
        <f>IFERROR(VLOOKUP($D6305,'Informations sur les produits'!$A$3:$H$10000,8,FALSE),"0")</f>
        <v>0</v>
      </c>
      <c r="K6305" s="4"/>
      <c r="L6305" s="33" t="str">
        <f>IFERROR(VLOOKUP($J6305,'Informations sur les produits'!$A$3:$H$10000,8,FALSE),"0")</f>
        <v>0</v>
      </c>
      <c r="N6305" s="8"/>
      <c r="O6305" s="33" t="str">
        <f>IFERROR(VLOOKUP($M6305,'Informations sur les produits'!$A$3:$H$10000,8,FALSE),"0")</f>
        <v>0</v>
      </c>
      <c r="P6305" s="33">
        <f t="shared" si="392"/>
        <v>0</v>
      </c>
      <c r="Q6305" s="31" t="str">
        <f t="shared" si="393"/>
        <v/>
      </c>
      <c r="R6305" s="32" t="str">
        <f>IFERROR(VLOOKUP($D6305,'Informations sur les produits'!$A$3:$B$15000,2,FALSE),"")</f>
        <v/>
      </c>
      <c r="V6305">
        <f t="shared" si="394"/>
        <v>0</v>
      </c>
      <c r="W6305">
        <f t="shared" si="395"/>
        <v>0</v>
      </c>
    </row>
    <row r="6306" spans="5:23" x14ac:dyDescent="0.25">
      <c r="E6306" s="4"/>
      <c r="F6306" s="4"/>
      <c r="G6306" s="33" t="str">
        <f>IFERROR(VLOOKUP($D6306,'Informations sur les produits'!$A$3:$H$10000,8,FALSE),"0")</f>
        <v>0</v>
      </c>
      <c r="K6306" s="4"/>
      <c r="L6306" s="33" t="str">
        <f>IFERROR(VLOOKUP($J6306,'Informations sur les produits'!$A$3:$H$10000,8,FALSE),"0")</f>
        <v>0</v>
      </c>
      <c r="N6306" s="8"/>
      <c r="O6306" s="33" t="str">
        <f>IFERROR(VLOOKUP($M6306,'Informations sur les produits'!$A$3:$H$10000,8,FALSE),"0")</f>
        <v>0</v>
      </c>
      <c r="P6306" s="33">
        <f t="shared" si="392"/>
        <v>0</v>
      </c>
      <c r="Q6306" s="31" t="str">
        <f t="shared" si="393"/>
        <v/>
      </c>
      <c r="R6306" s="32" t="str">
        <f>IFERROR(VLOOKUP($D6306,'Informations sur les produits'!$A$3:$B$15000,2,FALSE),"")</f>
        <v/>
      </c>
      <c r="V6306">
        <f t="shared" si="394"/>
        <v>0</v>
      </c>
      <c r="W6306">
        <f t="shared" si="395"/>
        <v>0</v>
      </c>
    </row>
    <row r="6307" spans="5:23" x14ac:dyDescent="0.25">
      <c r="E6307" s="4"/>
      <c r="F6307" s="4"/>
      <c r="G6307" s="33" t="str">
        <f>IFERROR(VLOOKUP($D6307,'Informations sur les produits'!$A$3:$H$10000,8,FALSE),"0")</f>
        <v>0</v>
      </c>
      <c r="K6307" s="4"/>
      <c r="L6307" s="33" t="str">
        <f>IFERROR(VLOOKUP($J6307,'Informations sur les produits'!$A$3:$H$10000,8,FALSE),"0")</f>
        <v>0</v>
      </c>
      <c r="N6307" s="8"/>
      <c r="O6307" s="33" t="str">
        <f>IFERROR(VLOOKUP($M6307,'Informations sur les produits'!$A$3:$H$10000,8,FALSE),"0")</f>
        <v>0</v>
      </c>
      <c r="P6307" s="33">
        <f t="shared" si="392"/>
        <v>0</v>
      </c>
      <c r="Q6307" s="31" t="str">
        <f t="shared" si="393"/>
        <v/>
      </c>
      <c r="R6307" s="32" t="str">
        <f>IFERROR(VLOOKUP($D6307,'Informations sur les produits'!$A$3:$B$15000,2,FALSE),"")</f>
        <v/>
      </c>
      <c r="V6307">
        <f t="shared" si="394"/>
        <v>0</v>
      </c>
      <c r="W6307">
        <f t="shared" si="395"/>
        <v>0</v>
      </c>
    </row>
    <row r="6308" spans="5:23" x14ac:dyDescent="0.25">
      <c r="E6308" s="4"/>
      <c r="F6308" s="4"/>
      <c r="G6308" s="33" t="str">
        <f>IFERROR(VLOOKUP($D6308,'Informations sur les produits'!$A$3:$H$10000,8,FALSE),"0")</f>
        <v>0</v>
      </c>
      <c r="K6308" s="4"/>
      <c r="L6308" s="33" t="str">
        <f>IFERROR(VLOOKUP($J6308,'Informations sur les produits'!$A$3:$H$10000,8,FALSE),"0")</f>
        <v>0</v>
      </c>
      <c r="N6308" s="8"/>
      <c r="O6308" s="33" t="str">
        <f>IFERROR(VLOOKUP($M6308,'Informations sur les produits'!$A$3:$H$10000,8,FALSE),"0")</f>
        <v>0</v>
      </c>
      <c r="P6308" s="33">
        <f t="shared" si="392"/>
        <v>0</v>
      </c>
      <c r="Q6308" s="31" t="str">
        <f t="shared" si="393"/>
        <v/>
      </c>
      <c r="R6308" s="32" t="str">
        <f>IFERROR(VLOOKUP($D6308,'Informations sur les produits'!$A$3:$B$15000,2,FALSE),"")</f>
        <v/>
      </c>
      <c r="V6308">
        <f t="shared" si="394"/>
        <v>0</v>
      </c>
      <c r="W6308">
        <f t="shared" si="395"/>
        <v>0</v>
      </c>
    </row>
    <row r="6309" spans="5:23" x14ac:dyDescent="0.25">
      <c r="E6309" s="4"/>
      <c r="F6309" s="4"/>
      <c r="G6309" s="33" t="str">
        <f>IFERROR(VLOOKUP($D6309,'Informations sur les produits'!$A$3:$H$10000,8,FALSE),"0")</f>
        <v>0</v>
      </c>
      <c r="K6309" s="4"/>
      <c r="L6309" s="33" t="str">
        <f>IFERROR(VLOOKUP($J6309,'Informations sur les produits'!$A$3:$H$10000,8,FALSE),"0")</f>
        <v>0</v>
      </c>
      <c r="N6309" s="8"/>
      <c r="O6309" s="33" t="str">
        <f>IFERROR(VLOOKUP($M6309,'Informations sur les produits'!$A$3:$H$10000,8,FALSE),"0")</f>
        <v>0</v>
      </c>
      <c r="P6309" s="33">
        <f t="shared" si="392"/>
        <v>0</v>
      </c>
      <c r="Q6309" s="31" t="str">
        <f t="shared" si="393"/>
        <v/>
      </c>
      <c r="R6309" s="32" t="str">
        <f>IFERROR(VLOOKUP($D6309,'Informations sur les produits'!$A$3:$B$15000,2,FALSE),"")</f>
        <v/>
      </c>
      <c r="V6309">
        <f t="shared" si="394"/>
        <v>0</v>
      </c>
      <c r="W6309">
        <f t="shared" si="395"/>
        <v>0</v>
      </c>
    </row>
    <row r="6310" spans="5:23" x14ac:dyDescent="0.25">
      <c r="E6310" s="4"/>
      <c r="F6310" s="4"/>
      <c r="G6310" s="33" t="str">
        <f>IFERROR(VLOOKUP($D6310,'Informations sur les produits'!$A$3:$H$10000,8,FALSE),"0")</f>
        <v>0</v>
      </c>
      <c r="K6310" s="4"/>
      <c r="L6310" s="33" t="str">
        <f>IFERROR(VLOOKUP($J6310,'Informations sur les produits'!$A$3:$H$10000,8,FALSE),"0")</f>
        <v>0</v>
      </c>
      <c r="N6310" s="8"/>
      <c r="O6310" s="33" t="str">
        <f>IFERROR(VLOOKUP($M6310,'Informations sur les produits'!$A$3:$H$10000,8,FALSE),"0")</f>
        <v>0</v>
      </c>
      <c r="P6310" s="33">
        <f t="shared" si="392"/>
        <v>0</v>
      </c>
      <c r="Q6310" s="31" t="str">
        <f t="shared" si="393"/>
        <v/>
      </c>
      <c r="R6310" s="32" t="str">
        <f>IFERROR(VLOOKUP($D6310,'Informations sur les produits'!$A$3:$B$15000,2,FALSE),"")</f>
        <v/>
      </c>
      <c r="V6310">
        <f t="shared" si="394"/>
        <v>0</v>
      </c>
      <c r="W6310">
        <f t="shared" si="395"/>
        <v>0</v>
      </c>
    </row>
    <row r="6311" spans="5:23" x14ac:dyDescent="0.25">
      <c r="E6311" s="4"/>
      <c r="F6311" s="4"/>
      <c r="G6311" s="33" t="str">
        <f>IFERROR(VLOOKUP($D6311,'Informations sur les produits'!$A$3:$H$10000,8,FALSE),"0")</f>
        <v>0</v>
      </c>
      <c r="K6311" s="4"/>
      <c r="L6311" s="33" t="str">
        <f>IFERROR(VLOOKUP($J6311,'Informations sur les produits'!$A$3:$H$10000,8,FALSE),"0")</f>
        <v>0</v>
      </c>
      <c r="N6311" s="8"/>
      <c r="O6311" s="33" t="str">
        <f>IFERROR(VLOOKUP($M6311,'Informations sur les produits'!$A$3:$H$10000,8,FALSE),"0")</f>
        <v>0</v>
      </c>
      <c r="P6311" s="33">
        <f t="shared" si="392"/>
        <v>0</v>
      </c>
      <c r="Q6311" s="31" t="str">
        <f t="shared" si="393"/>
        <v/>
      </c>
      <c r="R6311" s="32" t="str">
        <f>IFERROR(VLOOKUP($D6311,'Informations sur les produits'!$A$3:$B$15000,2,FALSE),"")</f>
        <v/>
      </c>
      <c r="V6311">
        <f t="shared" si="394"/>
        <v>0</v>
      </c>
      <c r="W6311">
        <f t="shared" si="395"/>
        <v>0</v>
      </c>
    </row>
    <row r="6312" spans="5:23" x14ac:dyDescent="0.25">
      <c r="E6312" s="4"/>
      <c r="F6312" s="4"/>
      <c r="G6312" s="33" t="str">
        <f>IFERROR(VLOOKUP($D6312,'Informations sur les produits'!$A$3:$H$10000,8,FALSE),"0")</f>
        <v>0</v>
      </c>
      <c r="K6312" s="4"/>
      <c r="L6312" s="33" t="str">
        <f>IFERROR(VLOOKUP($J6312,'Informations sur les produits'!$A$3:$H$10000,8,FALSE),"0")</f>
        <v>0</v>
      </c>
      <c r="N6312" s="8"/>
      <c r="O6312" s="33" t="str">
        <f>IFERROR(VLOOKUP($M6312,'Informations sur les produits'!$A$3:$H$10000,8,FALSE),"0")</f>
        <v>0</v>
      </c>
      <c r="P6312" s="33">
        <f t="shared" si="392"/>
        <v>0</v>
      </c>
      <c r="Q6312" s="31" t="str">
        <f t="shared" si="393"/>
        <v/>
      </c>
      <c r="R6312" s="32" t="str">
        <f>IFERROR(VLOOKUP($D6312,'Informations sur les produits'!$A$3:$B$15000,2,FALSE),"")</f>
        <v/>
      </c>
      <c r="V6312">
        <f t="shared" si="394"/>
        <v>0</v>
      </c>
      <c r="W6312">
        <f t="shared" si="395"/>
        <v>0</v>
      </c>
    </row>
    <row r="6313" spans="5:23" x14ac:dyDescent="0.25">
      <c r="E6313" s="4"/>
      <c r="F6313" s="4"/>
      <c r="G6313" s="33" t="str">
        <f>IFERROR(VLOOKUP($D6313,'Informations sur les produits'!$A$3:$H$10000,8,FALSE),"0")</f>
        <v>0</v>
      </c>
      <c r="K6313" s="4"/>
      <c r="L6313" s="33" t="str">
        <f>IFERROR(VLOOKUP($J6313,'Informations sur les produits'!$A$3:$H$10000,8,FALSE),"0")</f>
        <v>0</v>
      </c>
      <c r="N6313" s="8"/>
      <c r="O6313" s="33" t="str">
        <f>IFERROR(VLOOKUP($M6313,'Informations sur les produits'!$A$3:$H$10000,8,FALSE),"0")</f>
        <v>0</v>
      </c>
      <c r="P6313" s="33">
        <f t="shared" si="392"/>
        <v>0</v>
      </c>
      <c r="Q6313" s="31" t="str">
        <f t="shared" si="393"/>
        <v/>
      </c>
      <c r="R6313" s="32" t="str">
        <f>IFERROR(VLOOKUP($D6313,'Informations sur les produits'!$A$3:$B$15000,2,FALSE),"")</f>
        <v/>
      </c>
      <c r="V6313">
        <f t="shared" si="394"/>
        <v>0</v>
      </c>
      <c r="W6313">
        <f t="shared" si="395"/>
        <v>0</v>
      </c>
    </row>
    <row r="6314" spans="5:23" x14ac:dyDescent="0.25">
      <c r="E6314" s="4"/>
      <c r="F6314" s="4"/>
      <c r="G6314" s="33" t="str">
        <f>IFERROR(VLOOKUP($D6314,'Informations sur les produits'!$A$3:$H$10000,8,FALSE),"0")</f>
        <v>0</v>
      </c>
      <c r="K6314" s="4"/>
      <c r="L6314" s="33" t="str">
        <f>IFERROR(VLOOKUP($J6314,'Informations sur les produits'!$A$3:$H$10000,8,FALSE),"0")</f>
        <v>0</v>
      </c>
      <c r="N6314" s="8"/>
      <c r="O6314" s="33" t="str">
        <f>IFERROR(VLOOKUP($M6314,'Informations sur les produits'!$A$3:$H$10000,8,FALSE),"0")</f>
        <v>0</v>
      </c>
      <c r="P6314" s="33">
        <f t="shared" si="392"/>
        <v>0</v>
      </c>
      <c r="Q6314" s="31" t="str">
        <f t="shared" si="393"/>
        <v/>
      </c>
      <c r="R6314" s="32" t="str">
        <f>IFERROR(VLOOKUP($D6314,'Informations sur les produits'!$A$3:$B$15000,2,FALSE),"")</f>
        <v/>
      </c>
      <c r="V6314">
        <f t="shared" si="394"/>
        <v>0</v>
      </c>
      <c r="W6314">
        <f t="shared" si="395"/>
        <v>0</v>
      </c>
    </row>
    <row r="6315" spans="5:23" x14ac:dyDescent="0.25">
      <c r="E6315" s="4"/>
      <c r="F6315" s="4"/>
      <c r="G6315" s="33" t="str">
        <f>IFERROR(VLOOKUP($D6315,'Informations sur les produits'!$A$3:$H$10000,8,FALSE),"0")</f>
        <v>0</v>
      </c>
      <c r="K6315" s="4"/>
      <c r="L6315" s="33" t="str">
        <f>IFERROR(VLOOKUP($J6315,'Informations sur les produits'!$A$3:$H$10000,8,FALSE),"0")</f>
        <v>0</v>
      </c>
      <c r="N6315" s="8"/>
      <c r="O6315" s="33" t="str">
        <f>IFERROR(VLOOKUP($M6315,'Informations sur les produits'!$A$3:$H$10000,8,FALSE),"0")</f>
        <v>0</v>
      </c>
      <c r="P6315" s="33">
        <f t="shared" si="392"/>
        <v>0</v>
      </c>
      <c r="Q6315" s="31" t="str">
        <f t="shared" si="393"/>
        <v/>
      </c>
      <c r="R6315" s="32" t="str">
        <f>IFERROR(VLOOKUP($D6315,'Informations sur les produits'!$A$3:$B$15000,2,FALSE),"")</f>
        <v/>
      </c>
      <c r="V6315">
        <f t="shared" si="394"/>
        <v>0</v>
      </c>
      <c r="W6315">
        <f t="shared" si="395"/>
        <v>0</v>
      </c>
    </row>
    <row r="6316" spans="5:23" x14ac:dyDescent="0.25">
      <c r="E6316" s="4"/>
      <c r="F6316" s="4"/>
      <c r="G6316" s="33" t="str">
        <f>IFERROR(VLOOKUP($D6316,'Informations sur les produits'!$A$3:$H$10000,8,FALSE),"0")</f>
        <v>0</v>
      </c>
      <c r="K6316" s="4"/>
      <c r="L6316" s="33" t="str">
        <f>IFERROR(VLOOKUP($J6316,'Informations sur les produits'!$A$3:$H$10000,8,FALSE),"0")</f>
        <v>0</v>
      </c>
      <c r="N6316" s="8"/>
      <c r="O6316" s="33" t="str">
        <f>IFERROR(VLOOKUP($M6316,'Informations sur les produits'!$A$3:$H$10000,8,FALSE),"0")</f>
        <v>0</v>
      </c>
      <c r="P6316" s="33">
        <f t="shared" si="392"/>
        <v>0</v>
      </c>
      <c r="Q6316" s="31" t="str">
        <f t="shared" si="393"/>
        <v/>
      </c>
      <c r="R6316" s="32" t="str">
        <f>IFERROR(VLOOKUP($D6316,'Informations sur les produits'!$A$3:$B$15000,2,FALSE),"")</f>
        <v/>
      </c>
      <c r="V6316">
        <f t="shared" si="394"/>
        <v>0</v>
      </c>
      <c r="W6316">
        <f t="shared" si="395"/>
        <v>0</v>
      </c>
    </row>
    <row r="6317" spans="5:23" x14ac:dyDescent="0.25">
      <c r="E6317" s="4"/>
      <c r="F6317" s="4"/>
      <c r="G6317" s="33" t="str">
        <f>IFERROR(VLOOKUP($D6317,'Informations sur les produits'!$A$3:$H$10000,8,FALSE),"0")</f>
        <v>0</v>
      </c>
      <c r="K6317" s="4"/>
      <c r="L6317" s="33" t="str">
        <f>IFERROR(VLOOKUP($J6317,'Informations sur les produits'!$A$3:$H$10000,8,FALSE),"0")</f>
        <v>0</v>
      </c>
      <c r="N6317" s="8"/>
      <c r="O6317" s="33" t="str">
        <f>IFERROR(VLOOKUP($M6317,'Informations sur les produits'!$A$3:$H$10000,8,FALSE),"0")</f>
        <v>0</v>
      </c>
      <c r="P6317" s="33">
        <f t="shared" si="392"/>
        <v>0</v>
      </c>
      <c r="Q6317" s="31" t="str">
        <f t="shared" si="393"/>
        <v/>
      </c>
      <c r="R6317" s="32" t="str">
        <f>IFERROR(VLOOKUP($D6317,'Informations sur les produits'!$A$3:$B$15000,2,FALSE),"")</f>
        <v/>
      </c>
      <c r="V6317">
        <f t="shared" si="394"/>
        <v>0</v>
      </c>
      <c r="W6317">
        <f t="shared" si="395"/>
        <v>0</v>
      </c>
    </row>
    <row r="6318" spans="5:23" x14ac:dyDescent="0.25">
      <c r="E6318" s="4"/>
      <c r="F6318" s="4"/>
      <c r="G6318" s="33" t="str">
        <f>IFERROR(VLOOKUP($D6318,'Informations sur les produits'!$A$3:$H$10000,8,FALSE),"0")</f>
        <v>0</v>
      </c>
      <c r="K6318" s="4"/>
      <c r="L6318" s="33" t="str">
        <f>IFERROR(VLOOKUP($J6318,'Informations sur les produits'!$A$3:$H$10000,8,FALSE),"0")</f>
        <v>0</v>
      </c>
      <c r="N6318" s="8"/>
      <c r="O6318" s="33" t="str">
        <f>IFERROR(VLOOKUP($M6318,'Informations sur les produits'!$A$3:$H$10000,8,FALSE),"0")</f>
        <v>0</v>
      </c>
      <c r="P6318" s="33">
        <f t="shared" si="392"/>
        <v>0</v>
      </c>
      <c r="Q6318" s="31" t="str">
        <f t="shared" si="393"/>
        <v/>
      </c>
      <c r="R6318" s="32" t="str">
        <f>IFERROR(VLOOKUP($D6318,'Informations sur les produits'!$A$3:$B$15000,2,FALSE),"")</f>
        <v/>
      </c>
      <c r="V6318">
        <f t="shared" si="394"/>
        <v>0</v>
      </c>
      <c r="W6318">
        <f t="shared" si="395"/>
        <v>0</v>
      </c>
    </row>
    <row r="6319" spans="5:23" x14ac:dyDescent="0.25">
      <c r="E6319" s="4"/>
      <c r="F6319" s="4"/>
      <c r="G6319" s="33" t="str">
        <f>IFERROR(VLOOKUP($D6319,'Informations sur les produits'!$A$3:$H$10000,8,FALSE),"0")</f>
        <v>0</v>
      </c>
      <c r="K6319" s="4"/>
      <c r="L6319" s="33" t="str">
        <f>IFERROR(VLOOKUP($J6319,'Informations sur les produits'!$A$3:$H$10000,8,FALSE),"0")</f>
        <v>0</v>
      </c>
      <c r="N6319" s="8"/>
      <c r="O6319" s="33" t="str">
        <f>IFERROR(VLOOKUP($M6319,'Informations sur les produits'!$A$3:$H$10000,8,FALSE),"0")</f>
        <v>0</v>
      </c>
      <c r="P6319" s="33">
        <f t="shared" si="392"/>
        <v>0</v>
      </c>
      <c r="Q6319" s="31" t="str">
        <f t="shared" si="393"/>
        <v/>
      </c>
      <c r="R6319" s="32" t="str">
        <f>IFERROR(VLOOKUP($D6319,'Informations sur les produits'!$A$3:$B$15000,2,FALSE),"")</f>
        <v/>
      </c>
      <c r="V6319">
        <f t="shared" si="394"/>
        <v>0</v>
      </c>
      <c r="W6319">
        <f t="shared" si="395"/>
        <v>0</v>
      </c>
    </row>
    <row r="6320" spans="5:23" x14ac:dyDescent="0.25">
      <c r="E6320" s="4"/>
      <c r="F6320" s="4"/>
      <c r="G6320" s="33" t="str">
        <f>IFERROR(VLOOKUP($D6320,'Informations sur les produits'!$A$3:$H$10000,8,FALSE),"0")</f>
        <v>0</v>
      </c>
      <c r="K6320" s="4"/>
      <c r="L6320" s="33" t="str">
        <f>IFERROR(VLOOKUP($J6320,'Informations sur les produits'!$A$3:$H$10000,8,FALSE),"0")</f>
        <v>0</v>
      </c>
      <c r="N6320" s="8"/>
      <c r="O6320" s="33" t="str">
        <f>IFERROR(VLOOKUP($M6320,'Informations sur les produits'!$A$3:$H$10000,8,FALSE),"0")</f>
        <v>0</v>
      </c>
      <c r="P6320" s="33">
        <f t="shared" si="392"/>
        <v>0</v>
      </c>
      <c r="Q6320" s="31" t="str">
        <f t="shared" si="393"/>
        <v/>
      </c>
      <c r="R6320" s="32" t="str">
        <f>IFERROR(VLOOKUP($D6320,'Informations sur les produits'!$A$3:$B$15000,2,FALSE),"")</f>
        <v/>
      </c>
      <c r="V6320">
        <f t="shared" si="394"/>
        <v>0</v>
      </c>
      <c r="W6320">
        <f t="shared" si="395"/>
        <v>0</v>
      </c>
    </row>
    <row r="6321" spans="5:23" x14ac:dyDescent="0.25">
      <c r="E6321" s="4"/>
      <c r="F6321" s="4"/>
      <c r="G6321" s="33" t="str">
        <f>IFERROR(VLOOKUP($D6321,'Informations sur les produits'!$A$3:$H$10000,8,FALSE),"0")</f>
        <v>0</v>
      </c>
      <c r="K6321" s="4"/>
      <c r="L6321" s="33" t="str">
        <f>IFERROR(VLOOKUP($J6321,'Informations sur les produits'!$A$3:$H$10000,8,FALSE),"0")</f>
        <v>0</v>
      </c>
      <c r="N6321" s="8"/>
      <c r="O6321" s="33" t="str">
        <f>IFERROR(VLOOKUP($M6321,'Informations sur les produits'!$A$3:$H$10000,8,FALSE),"0")</f>
        <v>0</v>
      </c>
      <c r="P6321" s="33">
        <f t="shared" si="392"/>
        <v>0</v>
      </c>
      <c r="Q6321" s="31" t="str">
        <f t="shared" si="393"/>
        <v/>
      </c>
      <c r="R6321" s="32" t="str">
        <f>IFERROR(VLOOKUP($D6321,'Informations sur les produits'!$A$3:$B$15000,2,FALSE),"")</f>
        <v/>
      </c>
      <c r="V6321">
        <f t="shared" si="394"/>
        <v>0</v>
      </c>
      <c r="W6321">
        <f t="shared" si="395"/>
        <v>0</v>
      </c>
    </row>
    <row r="6322" spans="5:23" x14ac:dyDescent="0.25">
      <c r="E6322" s="4"/>
      <c r="F6322" s="4"/>
      <c r="G6322" s="33" t="str">
        <f>IFERROR(VLOOKUP($D6322,'Informations sur les produits'!$A$3:$H$10000,8,FALSE),"0")</f>
        <v>0</v>
      </c>
      <c r="K6322" s="4"/>
      <c r="L6322" s="33" t="str">
        <f>IFERROR(VLOOKUP($J6322,'Informations sur les produits'!$A$3:$H$10000,8,FALSE),"0")</f>
        <v>0</v>
      </c>
      <c r="N6322" s="8"/>
      <c r="O6322" s="33" t="str">
        <f>IFERROR(VLOOKUP($M6322,'Informations sur les produits'!$A$3:$H$10000,8,FALSE),"0")</f>
        <v>0</v>
      </c>
      <c r="P6322" s="33">
        <f t="shared" si="392"/>
        <v>0</v>
      </c>
      <c r="Q6322" s="31" t="str">
        <f t="shared" si="393"/>
        <v/>
      </c>
      <c r="R6322" s="32" t="str">
        <f>IFERROR(VLOOKUP($D6322,'Informations sur les produits'!$A$3:$B$15000,2,FALSE),"")</f>
        <v/>
      </c>
      <c r="V6322">
        <f t="shared" si="394"/>
        <v>0</v>
      </c>
      <c r="W6322">
        <f t="shared" si="395"/>
        <v>0</v>
      </c>
    </row>
    <row r="6323" spans="5:23" x14ac:dyDescent="0.25">
      <c r="E6323" s="4"/>
      <c r="F6323" s="4"/>
      <c r="G6323" s="33" t="str">
        <f>IFERROR(VLOOKUP($D6323,'Informations sur les produits'!$A$3:$H$10000,8,FALSE),"0")</f>
        <v>0</v>
      </c>
      <c r="K6323" s="4"/>
      <c r="L6323" s="33" t="str">
        <f>IFERROR(VLOOKUP($J6323,'Informations sur les produits'!$A$3:$H$10000,8,FALSE),"0")</f>
        <v>0</v>
      </c>
      <c r="N6323" s="8"/>
      <c r="O6323" s="33" t="str">
        <f>IFERROR(VLOOKUP($M6323,'Informations sur les produits'!$A$3:$H$10000,8,FALSE),"0")</f>
        <v>0</v>
      </c>
      <c r="P6323" s="33">
        <f t="shared" si="392"/>
        <v>0</v>
      </c>
      <c r="Q6323" s="31" t="str">
        <f t="shared" si="393"/>
        <v/>
      </c>
      <c r="R6323" s="32" t="str">
        <f>IFERROR(VLOOKUP($D6323,'Informations sur les produits'!$A$3:$B$15000,2,FALSE),"")</f>
        <v/>
      </c>
      <c r="V6323">
        <f t="shared" si="394"/>
        <v>0</v>
      </c>
      <c r="W6323">
        <f t="shared" si="395"/>
        <v>0</v>
      </c>
    </row>
    <row r="6324" spans="5:23" x14ac:dyDescent="0.25">
      <c r="E6324" s="4"/>
      <c r="F6324" s="4"/>
      <c r="G6324" s="33" t="str">
        <f>IFERROR(VLOOKUP($D6324,'Informations sur les produits'!$A$3:$H$10000,8,FALSE),"0")</f>
        <v>0</v>
      </c>
      <c r="K6324" s="4"/>
      <c r="L6324" s="33" t="str">
        <f>IFERROR(VLOOKUP($J6324,'Informations sur les produits'!$A$3:$H$10000,8,FALSE),"0")</f>
        <v>0</v>
      </c>
      <c r="N6324" s="8"/>
      <c r="O6324" s="33" t="str">
        <f>IFERROR(VLOOKUP($M6324,'Informations sur les produits'!$A$3:$H$10000,8,FALSE),"0")</f>
        <v>0</v>
      </c>
      <c r="P6324" s="33">
        <f t="shared" si="392"/>
        <v>0</v>
      </c>
      <c r="Q6324" s="31" t="str">
        <f t="shared" si="393"/>
        <v/>
      </c>
      <c r="R6324" s="32" t="str">
        <f>IFERROR(VLOOKUP($D6324,'Informations sur les produits'!$A$3:$B$15000,2,FALSE),"")</f>
        <v/>
      </c>
      <c r="V6324">
        <f t="shared" si="394"/>
        <v>0</v>
      </c>
      <c r="W6324">
        <f t="shared" si="395"/>
        <v>0</v>
      </c>
    </row>
    <row r="6325" spans="5:23" x14ac:dyDescent="0.25">
      <c r="E6325" s="4"/>
      <c r="F6325" s="4"/>
      <c r="G6325" s="33" t="str">
        <f>IFERROR(VLOOKUP($D6325,'Informations sur les produits'!$A$3:$H$10000,8,FALSE),"0")</f>
        <v>0</v>
      </c>
      <c r="K6325" s="4"/>
      <c r="L6325" s="33" t="str">
        <f>IFERROR(VLOOKUP($J6325,'Informations sur les produits'!$A$3:$H$10000,8,FALSE),"0")</f>
        <v>0</v>
      </c>
      <c r="N6325" s="8"/>
      <c r="O6325" s="33" t="str">
        <f>IFERROR(VLOOKUP($M6325,'Informations sur les produits'!$A$3:$H$10000,8,FALSE),"0")</f>
        <v>0</v>
      </c>
      <c r="P6325" s="33">
        <f t="shared" si="392"/>
        <v>0</v>
      </c>
      <c r="Q6325" s="31" t="str">
        <f t="shared" si="393"/>
        <v/>
      </c>
      <c r="R6325" s="32" t="str">
        <f>IFERROR(VLOOKUP($D6325,'Informations sur les produits'!$A$3:$B$15000,2,FALSE),"")</f>
        <v/>
      </c>
      <c r="V6325">
        <f t="shared" si="394"/>
        <v>0</v>
      </c>
      <c r="W6325">
        <f t="shared" si="395"/>
        <v>0</v>
      </c>
    </row>
    <row r="6326" spans="5:23" x14ac:dyDescent="0.25">
      <c r="E6326" s="4"/>
      <c r="F6326" s="4"/>
      <c r="G6326" s="33" t="str">
        <f>IFERROR(VLOOKUP($D6326,'Informations sur les produits'!$A$3:$H$10000,8,FALSE),"0")</f>
        <v>0</v>
      </c>
      <c r="K6326" s="4"/>
      <c r="L6326" s="33" t="str">
        <f>IFERROR(VLOOKUP($J6326,'Informations sur les produits'!$A$3:$H$10000,8,FALSE),"0")</f>
        <v>0</v>
      </c>
      <c r="N6326" s="8"/>
      <c r="O6326" s="33" t="str">
        <f>IFERROR(VLOOKUP($M6326,'Informations sur les produits'!$A$3:$H$10000,8,FALSE),"0")</f>
        <v>0</v>
      </c>
      <c r="P6326" s="33">
        <f t="shared" si="392"/>
        <v>0</v>
      </c>
      <c r="Q6326" s="31" t="str">
        <f t="shared" si="393"/>
        <v/>
      </c>
      <c r="R6326" s="32" t="str">
        <f>IFERROR(VLOOKUP($D6326,'Informations sur les produits'!$A$3:$B$15000,2,FALSE),"")</f>
        <v/>
      </c>
      <c r="V6326">
        <f t="shared" si="394"/>
        <v>0</v>
      </c>
      <c r="W6326">
        <f t="shared" si="395"/>
        <v>0</v>
      </c>
    </row>
    <row r="6327" spans="5:23" x14ac:dyDescent="0.25">
      <c r="E6327" s="4"/>
      <c r="F6327" s="4"/>
      <c r="G6327" s="33" t="str">
        <f>IFERROR(VLOOKUP($D6327,'Informations sur les produits'!$A$3:$H$10000,8,FALSE),"0")</f>
        <v>0</v>
      </c>
      <c r="K6327" s="4"/>
      <c r="L6327" s="33" t="str">
        <f>IFERROR(VLOOKUP($J6327,'Informations sur les produits'!$A$3:$H$10000,8,FALSE),"0")</f>
        <v>0</v>
      </c>
      <c r="N6327" s="8"/>
      <c r="O6327" s="33" t="str">
        <f>IFERROR(VLOOKUP($M6327,'Informations sur les produits'!$A$3:$H$10000,8,FALSE),"0")</f>
        <v>0</v>
      </c>
      <c r="P6327" s="33">
        <f t="shared" si="392"/>
        <v>0</v>
      </c>
      <c r="Q6327" s="31" t="str">
        <f t="shared" si="393"/>
        <v/>
      </c>
      <c r="R6327" s="32" t="str">
        <f>IFERROR(VLOOKUP($D6327,'Informations sur les produits'!$A$3:$B$15000,2,FALSE),"")</f>
        <v/>
      </c>
      <c r="V6327">
        <f t="shared" si="394"/>
        <v>0</v>
      </c>
      <c r="W6327">
        <f t="shared" si="395"/>
        <v>0</v>
      </c>
    </row>
    <row r="6328" spans="5:23" x14ac:dyDescent="0.25">
      <c r="E6328" s="4"/>
      <c r="F6328" s="4"/>
      <c r="G6328" s="33" t="str">
        <f>IFERROR(VLOOKUP($D6328,'Informations sur les produits'!$A$3:$H$10000,8,FALSE),"0")</f>
        <v>0</v>
      </c>
      <c r="K6328" s="4"/>
      <c r="L6328" s="33" t="str">
        <f>IFERROR(VLOOKUP($J6328,'Informations sur les produits'!$A$3:$H$10000,8,FALSE),"0")</f>
        <v>0</v>
      </c>
      <c r="N6328" s="8"/>
      <c r="O6328" s="33" t="str">
        <f>IFERROR(VLOOKUP($M6328,'Informations sur les produits'!$A$3:$H$10000,8,FALSE),"0")</f>
        <v>0</v>
      </c>
      <c r="P6328" s="33">
        <f t="shared" si="392"/>
        <v>0</v>
      </c>
      <c r="Q6328" s="31" t="str">
        <f t="shared" si="393"/>
        <v/>
      </c>
      <c r="R6328" s="32" t="str">
        <f>IFERROR(VLOOKUP($D6328,'Informations sur les produits'!$A$3:$B$15000,2,FALSE),"")</f>
        <v/>
      </c>
      <c r="V6328">
        <f t="shared" si="394"/>
        <v>0</v>
      </c>
      <c r="W6328">
        <f t="shared" si="395"/>
        <v>0</v>
      </c>
    </row>
    <row r="6329" spans="5:23" x14ac:dyDescent="0.25">
      <c r="E6329" s="4"/>
      <c r="F6329" s="4"/>
      <c r="G6329" s="33" t="str">
        <f>IFERROR(VLOOKUP($D6329,'Informations sur les produits'!$A$3:$H$10000,8,FALSE),"0")</f>
        <v>0</v>
      </c>
      <c r="K6329" s="4"/>
      <c r="L6329" s="33" t="str">
        <f>IFERROR(VLOOKUP($J6329,'Informations sur les produits'!$A$3:$H$10000,8,FALSE),"0")</f>
        <v>0</v>
      </c>
      <c r="N6329" s="8"/>
      <c r="O6329" s="33" t="str">
        <f>IFERROR(VLOOKUP($M6329,'Informations sur les produits'!$A$3:$H$10000,8,FALSE),"0")</f>
        <v>0</v>
      </c>
      <c r="P6329" s="33">
        <f t="shared" si="392"/>
        <v>0</v>
      </c>
      <c r="Q6329" s="31" t="str">
        <f t="shared" si="393"/>
        <v/>
      </c>
      <c r="R6329" s="32" t="str">
        <f>IFERROR(VLOOKUP($D6329,'Informations sur les produits'!$A$3:$B$15000,2,FALSE),"")</f>
        <v/>
      </c>
      <c r="V6329">
        <f t="shared" si="394"/>
        <v>0</v>
      </c>
      <c r="W6329">
        <f t="shared" si="395"/>
        <v>0</v>
      </c>
    </row>
    <row r="6330" spans="5:23" x14ac:dyDescent="0.25">
      <c r="E6330" s="4"/>
      <c r="F6330" s="4"/>
      <c r="G6330" s="33" t="str">
        <f>IFERROR(VLOOKUP($D6330,'Informations sur les produits'!$A$3:$H$10000,8,FALSE),"0")</f>
        <v>0</v>
      </c>
      <c r="K6330" s="4"/>
      <c r="L6330" s="33" t="str">
        <f>IFERROR(VLOOKUP($J6330,'Informations sur les produits'!$A$3:$H$10000,8,FALSE),"0")</f>
        <v>0</v>
      </c>
      <c r="N6330" s="8"/>
      <c r="O6330" s="33" t="str">
        <f>IFERROR(VLOOKUP($M6330,'Informations sur les produits'!$A$3:$H$10000,8,FALSE),"0")</f>
        <v>0</v>
      </c>
      <c r="P6330" s="33">
        <f t="shared" si="392"/>
        <v>0</v>
      </c>
      <c r="Q6330" s="31" t="str">
        <f t="shared" si="393"/>
        <v/>
      </c>
      <c r="R6330" s="32" t="str">
        <f>IFERROR(VLOOKUP($D6330,'Informations sur les produits'!$A$3:$B$15000,2,FALSE),"")</f>
        <v/>
      </c>
      <c r="V6330">
        <f t="shared" si="394"/>
        <v>0</v>
      </c>
      <c r="W6330">
        <f t="shared" si="395"/>
        <v>0</v>
      </c>
    </row>
    <row r="6331" spans="5:23" x14ac:dyDescent="0.25">
      <c r="E6331" s="4"/>
      <c r="F6331" s="4"/>
      <c r="G6331" s="33" t="str">
        <f>IFERROR(VLOOKUP($D6331,'Informations sur les produits'!$A$3:$H$10000,8,FALSE),"0")</f>
        <v>0</v>
      </c>
      <c r="K6331" s="4"/>
      <c r="L6331" s="33" t="str">
        <f>IFERROR(VLOOKUP($J6331,'Informations sur les produits'!$A$3:$H$10000,8,FALSE),"0")</f>
        <v>0</v>
      </c>
      <c r="N6331" s="8"/>
      <c r="O6331" s="33" t="str">
        <f>IFERROR(VLOOKUP($M6331,'Informations sur les produits'!$A$3:$H$10000,8,FALSE),"0")</f>
        <v>0</v>
      </c>
      <c r="P6331" s="33">
        <f t="shared" si="392"/>
        <v>0</v>
      </c>
      <c r="Q6331" s="31" t="str">
        <f t="shared" si="393"/>
        <v/>
      </c>
      <c r="R6331" s="32" t="str">
        <f>IFERROR(VLOOKUP($D6331,'Informations sur les produits'!$A$3:$B$15000,2,FALSE),"")</f>
        <v/>
      </c>
      <c r="V6331">
        <f t="shared" si="394"/>
        <v>0</v>
      </c>
      <c r="W6331">
        <f t="shared" si="395"/>
        <v>0</v>
      </c>
    </row>
    <row r="6332" spans="5:23" x14ac:dyDescent="0.25">
      <c r="E6332" s="4"/>
      <c r="F6332" s="4"/>
      <c r="G6332" s="33" t="str">
        <f>IFERROR(VLOOKUP($D6332,'Informations sur les produits'!$A$3:$H$10000,8,FALSE),"0")</f>
        <v>0</v>
      </c>
      <c r="K6332" s="4"/>
      <c r="L6332" s="33" t="str">
        <f>IFERROR(VLOOKUP($J6332,'Informations sur les produits'!$A$3:$H$10000,8,FALSE),"0")</f>
        <v>0</v>
      </c>
      <c r="N6332" s="8"/>
      <c r="O6332" s="33" t="str">
        <f>IFERROR(VLOOKUP($M6332,'Informations sur les produits'!$A$3:$H$10000,8,FALSE),"0")</f>
        <v>0</v>
      </c>
      <c r="P6332" s="33">
        <f t="shared" si="392"/>
        <v>0</v>
      </c>
      <c r="Q6332" s="31" t="str">
        <f t="shared" si="393"/>
        <v/>
      </c>
      <c r="R6332" s="32" t="str">
        <f>IFERROR(VLOOKUP($D6332,'Informations sur les produits'!$A$3:$B$15000,2,FALSE),"")</f>
        <v/>
      </c>
      <c r="V6332">
        <f t="shared" si="394"/>
        <v>0</v>
      </c>
      <c r="W6332">
        <f t="shared" si="395"/>
        <v>0</v>
      </c>
    </row>
    <row r="6333" spans="5:23" x14ac:dyDescent="0.25">
      <c r="E6333" s="4"/>
      <c r="F6333" s="4"/>
      <c r="G6333" s="33" t="str">
        <f>IFERROR(VLOOKUP($D6333,'Informations sur les produits'!$A$3:$H$10000,8,FALSE),"0")</f>
        <v>0</v>
      </c>
      <c r="K6333" s="4"/>
      <c r="L6333" s="33" t="str">
        <f>IFERROR(VLOOKUP($J6333,'Informations sur les produits'!$A$3:$H$10000,8,FALSE),"0")</f>
        <v>0</v>
      </c>
      <c r="N6333" s="8"/>
      <c r="O6333" s="33" t="str">
        <f>IFERROR(VLOOKUP($M6333,'Informations sur les produits'!$A$3:$H$10000,8,FALSE),"0")</f>
        <v>0</v>
      </c>
      <c r="P6333" s="33">
        <f t="shared" si="392"/>
        <v>0</v>
      </c>
      <c r="Q6333" s="31" t="str">
        <f t="shared" si="393"/>
        <v/>
      </c>
      <c r="R6333" s="32" t="str">
        <f>IFERROR(VLOOKUP($D6333,'Informations sur les produits'!$A$3:$B$15000,2,FALSE),"")</f>
        <v/>
      </c>
      <c r="V6333">
        <f t="shared" si="394"/>
        <v>0</v>
      </c>
      <c r="W6333">
        <f t="shared" si="395"/>
        <v>0</v>
      </c>
    </row>
    <row r="6334" spans="5:23" x14ac:dyDescent="0.25">
      <c r="E6334" s="4"/>
      <c r="F6334" s="4"/>
      <c r="G6334" s="33" t="str">
        <f>IFERROR(VLOOKUP($D6334,'Informations sur les produits'!$A$3:$H$10000,8,FALSE),"0")</f>
        <v>0</v>
      </c>
      <c r="K6334" s="4"/>
      <c r="L6334" s="33" t="str">
        <f>IFERROR(VLOOKUP($J6334,'Informations sur les produits'!$A$3:$H$10000,8,FALSE),"0")</f>
        <v>0</v>
      </c>
      <c r="N6334" s="8"/>
      <c r="O6334" s="33" t="str">
        <f>IFERROR(VLOOKUP($M6334,'Informations sur les produits'!$A$3:$H$10000,8,FALSE),"0")</f>
        <v>0</v>
      </c>
      <c r="P6334" s="33">
        <f t="shared" si="392"/>
        <v>0</v>
      </c>
      <c r="Q6334" s="31" t="str">
        <f t="shared" si="393"/>
        <v/>
      </c>
      <c r="R6334" s="32" t="str">
        <f>IFERROR(VLOOKUP($D6334,'Informations sur les produits'!$A$3:$B$15000,2,FALSE),"")</f>
        <v/>
      </c>
      <c r="V6334">
        <f t="shared" si="394"/>
        <v>0</v>
      </c>
      <c r="W6334">
        <f t="shared" si="395"/>
        <v>0</v>
      </c>
    </row>
    <row r="6335" spans="5:23" x14ac:dyDescent="0.25">
      <c r="E6335" s="4"/>
      <c r="F6335" s="4"/>
      <c r="G6335" s="33" t="str">
        <f>IFERROR(VLOOKUP($D6335,'Informations sur les produits'!$A$3:$H$10000,8,FALSE),"0")</f>
        <v>0</v>
      </c>
      <c r="K6335" s="4"/>
      <c r="L6335" s="33" t="str">
        <f>IFERROR(VLOOKUP($J6335,'Informations sur les produits'!$A$3:$H$10000,8,FALSE),"0")</f>
        <v>0</v>
      </c>
      <c r="N6335" s="8"/>
      <c r="O6335" s="33" t="str">
        <f>IFERROR(VLOOKUP($M6335,'Informations sur les produits'!$A$3:$H$10000,8,FALSE),"0")</f>
        <v>0</v>
      </c>
      <c r="P6335" s="33">
        <f t="shared" si="392"/>
        <v>0</v>
      </c>
      <c r="Q6335" s="31" t="str">
        <f t="shared" si="393"/>
        <v/>
      </c>
      <c r="R6335" s="32" t="str">
        <f>IFERROR(VLOOKUP($D6335,'Informations sur les produits'!$A$3:$B$15000,2,FALSE),"")</f>
        <v/>
      </c>
      <c r="V6335">
        <f t="shared" si="394"/>
        <v>0</v>
      </c>
      <c r="W6335">
        <f t="shared" si="395"/>
        <v>0</v>
      </c>
    </row>
    <row r="6336" spans="5:23" x14ac:dyDescent="0.25">
      <c r="E6336" s="4"/>
      <c r="F6336" s="4"/>
      <c r="G6336" s="33" t="str">
        <f>IFERROR(VLOOKUP($D6336,'Informations sur les produits'!$A$3:$H$10000,8,FALSE),"0")</f>
        <v>0</v>
      </c>
      <c r="K6336" s="4"/>
      <c r="L6336" s="33" t="str">
        <f>IFERROR(VLOOKUP($J6336,'Informations sur les produits'!$A$3:$H$10000,8,FALSE),"0")</f>
        <v>0</v>
      </c>
      <c r="N6336" s="8"/>
      <c r="O6336" s="33" t="str">
        <f>IFERROR(VLOOKUP($M6336,'Informations sur les produits'!$A$3:$H$10000,8,FALSE),"0")</f>
        <v>0</v>
      </c>
      <c r="P6336" s="33">
        <f t="shared" si="392"/>
        <v>0</v>
      </c>
      <c r="Q6336" s="31" t="str">
        <f t="shared" si="393"/>
        <v/>
      </c>
      <c r="R6336" s="32" t="str">
        <f>IFERROR(VLOOKUP($D6336,'Informations sur les produits'!$A$3:$B$15000,2,FALSE),"")</f>
        <v/>
      </c>
      <c r="V6336">
        <f t="shared" si="394"/>
        <v>0</v>
      </c>
      <c r="W6336">
        <f t="shared" si="395"/>
        <v>0</v>
      </c>
    </row>
    <row r="6337" spans="5:23" x14ac:dyDescent="0.25">
      <c r="E6337" s="4"/>
      <c r="F6337" s="4"/>
      <c r="G6337" s="33" t="str">
        <f>IFERROR(VLOOKUP($D6337,'Informations sur les produits'!$A$3:$H$10000,8,FALSE),"0")</f>
        <v>0</v>
      </c>
      <c r="K6337" s="4"/>
      <c r="L6337" s="33" t="str">
        <f>IFERROR(VLOOKUP($J6337,'Informations sur les produits'!$A$3:$H$10000,8,FALSE),"0")</f>
        <v>0</v>
      </c>
      <c r="N6337" s="8"/>
      <c r="O6337" s="33" t="str">
        <f>IFERROR(VLOOKUP($M6337,'Informations sur les produits'!$A$3:$H$10000,8,FALSE),"0")</f>
        <v>0</v>
      </c>
      <c r="P6337" s="33">
        <f t="shared" si="392"/>
        <v>0</v>
      </c>
      <c r="Q6337" s="31" t="str">
        <f t="shared" si="393"/>
        <v/>
      </c>
      <c r="R6337" s="32" t="str">
        <f>IFERROR(VLOOKUP($D6337,'Informations sur les produits'!$A$3:$B$15000,2,FALSE),"")</f>
        <v/>
      </c>
      <c r="V6337">
        <f t="shared" si="394"/>
        <v>0</v>
      </c>
      <c r="W6337">
        <f t="shared" si="395"/>
        <v>0</v>
      </c>
    </row>
    <row r="6338" spans="5:23" x14ac:dyDescent="0.25">
      <c r="E6338" s="4"/>
      <c r="F6338" s="4"/>
      <c r="G6338" s="33" t="str">
        <f>IFERROR(VLOOKUP($D6338,'Informations sur les produits'!$A$3:$H$10000,8,FALSE),"0")</f>
        <v>0</v>
      </c>
      <c r="K6338" s="4"/>
      <c r="L6338" s="33" t="str">
        <f>IFERROR(VLOOKUP($J6338,'Informations sur les produits'!$A$3:$H$10000,8,FALSE),"0")</f>
        <v>0</v>
      </c>
      <c r="N6338" s="8"/>
      <c r="O6338" s="33" t="str">
        <f>IFERROR(VLOOKUP($M6338,'Informations sur les produits'!$A$3:$H$10000,8,FALSE),"0")</f>
        <v>0</v>
      </c>
      <c r="P6338" s="33">
        <f t="shared" si="392"/>
        <v>0</v>
      </c>
      <c r="Q6338" s="31" t="str">
        <f t="shared" si="393"/>
        <v/>
      </c>
      <c r="R6338" s="32" t="str">
        <f>IFERROR(VLOOKUP($D6338,'Informations sur les produits'!$A$3:$B$15000,2,FALSE),"")</f>
        <v/>
      </c>
      <c r="V6338">
        <f t="shared" si="394"/>
        <v>0</v>
      </c>
      <c r="W6338">
        <f t="shared" si="395"/>
        <v>0</v>
      </c>
    </row>
    <row r="6339" spans="5:23" x14ac:dyDescent="0.25">
      <c r="E6339" s="4"/>
      <c r="F6339" s="4"/>
      <c r="G6339" s="33" t="str">
        <f>IFERROR(VLOOKUP($D6339,'Informations sur les produits'!$A$3:$H$10000,8,FALSE),"0")</f>
        <v>0</v>
      </c>
      <c r="K6339" s="4"/>
      <c r="L6339" s="33" t="str">
        <f>IFERROR(VLOOKUP($J6339,'Informations sur les produits'!$A$3:$H$10000,8,FALSE),"0")</f>
        <v>0</v>
      </c>
      <c r="N6339" s="8"/>
      <c r="O6339" s="33" t="str">
        <f>IFERROR(VLOOKUP($M6339,'Informations sur les produits'!$A$3:$H$10000,8,FALSE),"0")</f>
        <v>0</v>
      </c>
      <c r="P6339" s="33">
        <f t="shared" si="392"/>
        <v>0</v>
      </c>
      <c r="Q6339" s="31" t="str">
        <f t="shared" si="393"/>
        <v/>
      </c>
      <c r="R6339" s="32" t="str">
        <f>IFERROR(VLOOKUP($D6339,'Informations sur les produits'!$A$3:$B$15000,2,FALSE),"")</f>
        <v/>
      </c>
      <c r="V6339">
        <f t="shared" si="394"/>
        <v>0</v>
      </c>
      <c r="W6339">
        <f t="shared" si="395"/>
        <v>0</v>
      </c>
    </row>
    <row r="6340" spans="5:23" x14ac:dyDescent="0.25">
      <c r="E6340" s="4"/>
      <c r="F6340" s="4"/>
      <c r="G6340" s="33" t="str">
        <f>IFERROR(VLOOKUP($D6340,'Informations sur les produits'!$A$3:$H$10000,8,FALSE),"0")</f>
        <v>0</v>
      </c>
      <c r="K6340" s="4"/>
      <c r="L6340" s="33" t="str">
        <f>IFERROR(VLOOKUP($J6340,'Informations sur les produits'!$A$3:$H$10000,8,FALSE),"0")</f>
        <v>0</v>
      </c>
      <c r="N6340" s="8"/>
      <c r="O6340" s="33" t="str">
        <f>IFERROR(VLOOKUP($M6340,'Informations sur les produits'!$A$3:$H$10000,8,FALSE),"0")</f>
        <v>0</v>
      </c>
      <c r="P6340" s="33">
        <f t="shared" ref="P6340:P6403" si="396">IFERROR((($E6340-$F6340)*$G6340+$K6340*$L6340+$N6340*$O6340),"")</f>
        <v>0</v>
      </c>
      <c r="Q6340" s="31" t="str">
        <f t="shared" ref="Q6340:Q6403" si="397">IFERROR((((($E6340-$F6340)*$G6340+$K6340*$L6340+$N6340*$O6340)*1000)/(($E6340-$F6340)+$K6340+$N6340)),"")</f>
        <v/>
      </c>
      <c r="R6340" s="32" t="str">
        <f>IFERROR(VLOOKUP($D6340,'Informations sur les produits'!$A$3:$B$15000,2,FALSE),"")</f>
        <v/>
      </c>
      <c r="V6340">
        <f t="shared" ref="V6340:V6403" si="398">IFERROR(P6340*1000,"")</f>
        <v>0</v>
      </c>
      <c r="W6340">
        <f t="shared" ref="W6340:W6403" si="399">IFERROR(($E6340-$F6340)+$K6340+$N6340,"")</f>
        <v>0</v>
      </c>
    </row>
    <row r="6341" spans="5:23" x14ac:dyDescent="0.25">
      <c r="E6341" s="4"/>
      <c r="F6341" s="4"/>
      <c r="G6341" s="33" t="str">
        <f>IFERROR(VLOOKUP($D6341,'Informations sur les produits'!$A$3:$H$10000,8,FALSE),"0")</f>
        <v>0</v>
      </c>
      <c r="K6341" s="4"/>
      <c r="L6341" s="33" t="str">
        <f>IFERROR(VLOOKUP($J6341,'Informations sur les produits'!$A$3:$H$10000,8,FALSE),"0")</f>
        <v>0</v>
      </c>
      <c r="N6341" s="8"/>
      <c r="O6341" s="33" t="str">
        <f>IFERROR(VLOOKUP($M6341,'Informations sur les produits'!$A$3:$H$10000,8,FALSE),"0")</f>
        <v>0</v>
      </c>
      <c r="P6341" s="33">
        <f t="shared" si="396"/>
        <v>0</v>
      </c>
      <c r="Q6341" s="31" t="str">
        <f t="shared" si="397"/>
        <v/>
      </c>
      <c r="R6341" s="32" t="str">
        <f>IFERROR(VLOOKUP($D6341,'Informations sur les produits'!$A$3:$B$15000,2,FALSE),"")</f>
        <v/>
      </c>
      <c r="V6341">
        <f t="shared" si="398"/>
        <v>0</v>
      </c>
      <c r="W6341">
        <f t="shared" si="399"/>
        <v>0</v>
      </c>
    </row>
    <row r="6342" spans="5:23" x14ac:dyDescent="0.25">
      <c r="E6342" s="4"/>
      <c r="F6342" s="4"/>
      <c r="G6342" s="33" t="str">
        <f>IFERROR(VLOOKUP($D6342,'Informations sur les produits'!$A$3:$H$10000,8,FALSE),"0")</f>
        <v>0</v>
      </c>
      <c r="K6342" s="4"/>
      <c r="L6342" s="33" t="str">
        <f>IFERROR(VLOOKUP($J6342,'Informations sur les produits'!$A$3:$H$10000,8,FALSE),"0")</f>
        <v>0</v>
      </c>
      <c r="N6342" s="8"/>
      <c r="O6342" s="33" t="str">
        <f>IFERROR(VLOOKUP($M6342,'Informations sur les produits'!$A$3:$H$10000,8,FALSE),"0")</f>
        <v>0</v>
      </c>
      <c r="P6342" s="33">
        <f t="shared" si="396"/>
        <v>0</v>
      </c>
      <c r="Q6342" s="31" t="str">
        <f t="shared" si="397"/>
        <v/>
      </c>
      <c r="R6342" s="32" t="str">
        <f>IFERROR(VLOOKUP($D6342,'Informations sur les produits'!$A$3:$B$15000,2,FALSE),"")</f>
        <v/>
      </c>
      <c r="V6342">
        <f t="shared" si="398"/>
        <v>0</v>
      </c>
      <c r="W6342">
        <f t="shared" si="399"/>
        <v>0</v>
      </c>
    </row>
    <row r="6343" spans="5:23" x14ac:dyDescent="0.25">
      <c r="E6343" s="4"/>
      <c r="F6343" s="4"/>
      <c r="G6343" s="33" t="str">
        <f>IFERROR(VLOOKUP($D6343,'Informations sur les produits'!$A$3:$H$10000,8,FALSE),"0")</f>
        <v>0</v>
      </c>
      <c r="K6343" s="4"/>
      <c r="L6343" s="33" t="str">
        <f>IFERROR(VLOOKUP($J6343,'Informations sur les produits'!$A$3:$H$10000,8,FALSE),"0")</f>
        <v>0</v>
      </c>
      <c r="N6343" s="8"/>
      <c r="O6343" s="33" t="str">
        <f>IFERROR(VLOOKUP($M6343,'Informations sur les produits'!$A$3:$H$10000,8,FALSE),"0")</f>
        <v>0</v>
      </c>
      <c r="P6343" s="33">
        <f t="shared" si="396"/>
        <v>0</v>
      </c>
      <c r="Q6343" s="31" t="str">
        <f t="shared" si="397"/>
        <v/>
      </c>
      <c r="R6343" s="32" t="str">
        <f>IFERROR(VLOOKUP($D6343,'Informations sur les produits'!$A$3:$B$15000,2,FALSE),"")</f>
        <v/>
      </c>
      <c r="V6343">
        <f t="shared" si="398"/>
        <v>0</v>
      </c>
      <c r="W6343">
        <f t="shared" si="399"/>
        <v>0</v>
      </c>
    </row>
    <row r="6344" spans="5:23" x14ac:dyDescent="0.25">
      <c r="E6344" s="4"/>
      <c r="F6344" s="4"/>
      <c r="G6344" s="33" t="str">
        <f>IFERROR(VLOOKUP($D6344,'Informations sur les produits'!$A$3:$H$10000,8,FALSE),"0")</f>
        <v>0</v>
      </c>
      <c r="K6344" s="4"/>
      <c r="L6344" s="33" t="str">
        <f>IFERROR(VLOOKUP($J6344,'Informations sur les produits'!$A$3:$H$10000,8,FALSE),"0")</f>
        <v>0</v>
      </c>
      <c r="N6344" s="8"/>
      <c r="O6344" s="33" t="str">
        <f>IFERROR(VLOOKUP($M6344,'Informations sur les produits'!$A$3:$H$10000,8,FALSE),"0")</f>
        <v>0</v>
      </c>
      <c r="P6344" s="33">
        <f t="shared" si="396"/>
        <v>0</v>
      </c>
      <c r="Q6344" s="31" t="str">
        <f t="shared" si="397"/>
        <v/>
      </c>
      <c r="R6344" s="32" t="str">
        <f>IFERROR(VLOOKUP($D6344,'Informations sur les produits'!$A$3:$B$15000,2,FALSE),"")</f>
        <v/>
      </c>
      <c r="V6344">
        <f t="shared" si="398"/>
        <v>0</v>
      </c>
      <c r="W6344">
        <f t="shared" si="399"/>
        <v>0</v>
      </c>
    </row>
    <row r="6345" spans="5:23" x14ac:dyDescent="0.25">
      <c r="E6345" s="4"/>
      <c r="F6345" s="4"/>
      <c r="G6345" s="33" t="str">
        <f>IFERROR(VLOOKUP($D6345,'Informations sur les produits'!$A$3:$H$10000,8,FALSE),"0")</f>
        <v>0</v>
      </c>
      <c r="K6345" s="4"/>
      <c r="L6345" s="33" t="str">
        <f>IFERROR(VLOOKUP($J6345,'Informations sur les produits'!$A$3:$H$10000,8,FALSE),"0")</f>
        <v>0</v>
      </c>
      <c r="N6345" s="8"/>
      <c r="O6345" s="33" t="str">
        <f>IFERROR(VLOOKUP($M6345,'Informations sur les produits'!$A$3:$H$10000,8,FALSE),"0")</f>
        <v>0</v>
      </c>
      <c r="P6345" s="33">
        <f t="shared" si="396"/>
        <v>0</v>
      </c>
      <c r="Q6345" s="31" t="str">
        <f t="shared" si="397"/>
        <v/>
      </c>
      <c r="R6345" s="32" t="str">
        <f>IFERROR(VLOOKUP($D6345,'Informations sur les produits'!$A$3:$B$15000,2,FALSE),"")</f>
        <v/>
      </c>
      <c r="V6345">
        <f t="shared" si="398"/>
        <v>0</v>
      </c>
      <c r="W6345">
        <f t="shared" si="399"/>
        <v>0</v>
      </c>
    </row>
    <row r="6346" spans="5:23" x14ac:dyDescent="0.25">
      <c r="E6346" s="4"/>
      <c r="F6346" s="4"/>
      <c r="G6346" s="33" t="str">
        <f>IFERROR(VLOOKUP($D6346,'Informations sur les produits'!$A$3:$H$10000,8,FALSE),"0")</f>
        <v>0</v>
      </c>
      <c r="K6346" s="4"/>
      <c r="L6346" s="33" t="str">
        <f>IFERROR(VLOOKUP($J6346,'Informations sur les produits'!$A$3:$H$10000,8,FALSE),"0")</f>
        <v>0</v>
      </c>
      <c r="N6346" s="8"/>
      <c r="O6346" s="33" t="str">
        <f>IFERROR(VLOOKUP($M6346,'Informations sur les produits'!$A$3:$H$10000,8,FALSE),"0")</f>
        <v>0</v>
      </c>
      <c r="P6346" s="33">
        <f t="shared" si="396"/>
        <v>0</v>
      </c>
      <c r="Q6346" s="31" t="str">
        <f t="shared" si="397"/>
        <v/>
      </c>
      <c r="R6346" s="32" t="str">
        <f>IFERROR(VLOOKUP($D6346,'Informations sur les produits'!$A$3:$B$15000,2,FALSE),"")</f>
        <v/>
      </c>
      <c r="V6346">
        <f t="shared" si="398"/>
        <v>0</v>
      </c>
      <c r="W6346">
        <f t="shared" si="399"/>
        <v>0</v>
      </c>
    </row>
    <row r="6347" spans="5:23" x14ac:dyDescent="0.25">
      <c r="E6347" s="4"/>
      <c r="F6347" s="4"/>
      <c r="G6347" s="33" t="str">
        <f>IFERROR(VLOOKUP($D6347,'Informations sur les produits'!$A$3:$H$10000,8,FALSE),"0")</f>
        <v>0</v>
      </c>
      <c r="K6347" s="4"/>
      <c r="L6347" s="33" t="str">
        <f>IFERROR(VLOOKUP($J6347,'Informations sur les produits'!$A$3:$H$10000,8,FALSE),"0")</f>
        <v>0</v>
      </c>
      <c r="N6347" s="8"/>
      <c r="O6347" s="33" t="str">
        <f>IFERROR(VLOOKUP($M6347,'Informations sur les produits'!$A$3:$H$10000,8,FALSE),"0")</f>
        <v>0</v>
      </c>
      <c r="P6347" s="33">
        <f t="shared" si="396"/>
        <v>0</v>
      </c>
      <c r="Q6347" s="31" t="str">
        <f t="shared" si="397"/>
        <v/>
      </c>
      <c r="R6347" s="32" t="str">
        <f>IFERROR(VLOOKUP($D6347,'Informations sur les produits'!$A$3:$B$15000,2,FALSE),"")</f>
        <v/>
      </c>
      <c r="V6347">
        <f t="shared" si="398"/>
        <v>0</v>
      </c>
      <c r="W6347">
        <f t="shared" si="399"/>
        <v>0</v>
      </c>
    </row>
    <row r="6348" spans="5:23" x14ac:dyDescent="0.25">
      <c r="E6348" s="4"/>
      <c r="F6348" s="4"/>
      <c r="G6348" s="33" t="str">
        <f>IFERROR(VLOOKUP($D6348,'Informations sur les produits'!$A$3:$H$10000,8,FALSE),"0")</f>
        <v>0</v>
      </c>
      <c r="K6348" s="4"/>
      <c r="L6348" s="33" t="str">
        <f>IFERROR(VLOOKUP($J6348,'Informations sur les produits'!$A$3:$H$10000,8,FALSE),"0")</f>
        <v>0</v>
      </c>
      <c r="N6348" s="8"/>
      <c r="O6348" s="33" t="str">
        <f>IFERROR(VLOOKUP($M6348,'Informations sur les produits'!$A$3:$H$10000,8,FALSE),"0")</f>
        <v>0</v>
      </c>
      <c r="P6348" s="33">
        <f t="shared" si="396"/>
        <v>0</v>
      </c>
      <c r="Q6348" s="31" t="str">
        <f t="shared" si="397"/>
        <v/>
      </c>
      <c r="R6348" s="32" t="str">
        <f>IFERROR(VLOOKUP($D6348,'Informations sur les produits'!$A$3:$B$15000,2,FALSE),"")</f>
        <v/>
      </c>
      <c r="V6348">
        <f t="shared" si="398"/>
        <v>0</v>
      </c>
      <c r="W6348">
        <f t="shared" si="399"/>
        <v>0</v>
      </c>
    </row>
    <row r="6349" spans="5:23" x14ac:dyDescent="0.25">
      <c r="E6349" s="4"/>
      <c r="F6349" s="4"/>
      <c r="G6349" s="33" t="str">
        <f>IFERROR(VLOOKUP($D6349,'Informations sur les produits'!$A$3:$H$10000,8,FALSE),"0")</f>
        <v>0</v>
      </c>
      <c r="K6349" s="4"/>
      <c r="L6349" s="33" t="str">
        <f>IFERROR(VLOOKUP($J6349,'Informations sur les produits'!$A$3:$H$10000,8,FALSE),"0")</f>
        <v>0</v>
      </c>
      <c r="N6349" s="8"/>
      <c r="O6349" s="33" t="str">
        <f>IFERROR(VLOOKUP($M6349,'Informations sur les produits'!$A$3:$H$10000,8,FALSE),"0")</f>
        <v>0</v>
      </c>
      <c r="P6349" s="33">
        <f t="shared" si="396"/>
        <v>0</v>
      </c>
      <c r="Q6349" s="31" t="str">
        <f t="shared" si="397"/>
        <v/>
      </c>
      <c r="R6349" s="32" t="str">
        <f>IFERROR(VLOOKUP($D6349,'Informations sur les produits'!$A$3:$B$15000,2,FALSE),"")</f>
        <v/>
      </c>
      <c r="V6349">
        <f t="shared" si="398"/>
        <v>0</v>
      </c>
      <c r="W6349">
        <f t="shared" si="399"/>
        <v>0</v>
      </c>
    </row>
    <row r="6350" spans="5:23" x14ac:dyDescent="0.25">
      <c r="E6350" s="4"/>
      <c r="F6350" s="4"/>
      <c r="G6350" s="33" t="str">
        <f>IFERROR(VLOOKUP($D6350,'Informations sur les produits'!$A$3:$H$10000,8,FALSE),"0")</f>
        <v>0</v>
      </c>
      <c r="K6350" s="4"/>
      <c r="L6350" s="33" t="str">
        <f>IFERROR(VLOOKUP($J6350,'Informations sur les produits'!$A$3:$H$10000,8,FALSE),"0")</f>
        <v>0</v>
      </c>
      <c r="N6350" s="8"/>
      <c r="O6350" s="33" t="str">
        <f>IFERROR(VLOOKUP($M6350,'Informations sur les produits'!$A$3:$H$10000,8,FALSE),"0")</f>
        <v>0</v>
      </c>
      <c r="P6350" s="33">
        <f t="shared" si="396"/>
        <v>0</v>
      </c>
      <c r="Q6350" s="31" t="str">
        <f t="shared" si="397"/>
        <v/>
      </c>
      <c r="R6350" s="32" t="str">
        <f>IFERROR(VLOOKUP($D6350,'Informations sur les produits'!$A$3:$B$15000,2,FALSE),"")</f>
        <v/>
      </c>
      <c r="V6350">
        <f t="shared" si="398"/>
        <v>0</v>
      </c>
      <c r="W6350">
        <f t="shared" si="399"/>
        <v>0</v>
      </c>
    </row>
    <row r="6351" spans="5:23" x14ac:dyDescent="0.25">
      <c r="E6351" s="4"/>
      <c r="F6351" s="4"/>
      <c r="G6351" s="33" t="str">
        <f>IFERROR(VLOOKUP($D6351,'Informations sur les produits'!$A$3:$H$10000,8,FALSE),"0")</f>
        <v>0</v>
      </c>
      <c r="K6351" s="4"/>
      <c r="L6351" s="33" t="str">
        <f>IFERROR(VLOOKUP($J6351,'Informations sur les produits'!$A$3:$H$10000,8,FALSE),"0")</f>
        <v>0</v>
      </c>
      <c r="N6351" s="8"/>
      <c r="O6351" s="33" t="str">
        <f>IFERROR(VLOOKUP($M6351,'Informations sur les produits'!$A$3:$H$10000,8,FALSE),"0")</f>
        <v>0</v>
      </c>
      <c r="P6351" s="33">
        <f t="shared" si="396"/>
        <v>0</v>
      </c>
      <c r="Q6351" s="31" t="str">
        <f t="shared" si="397"/>
        <v/>
      </c>
      <c r="R6351" s="32" t="str">
        <f>IFERROR(VLOOKUP($D6351,'Informations sur les produits'!$A$3:$B$15000,2,FALSE),"")</f>
        <v/>
      </c>
      <c r="V6351">
        <f t="shared" si="398"/>
        <v>0</v>
      </c>
      <c r="W6351">
        <f t="shared" si="399"/>
        <v>0</v>
      </c>
    </row>
    <row r="6352" spans="5:23" x14ac:dyDescent="0.25">
      <c r="E6352" s="4"/>
      <c r="F6352" s="4"/>
      <c r="G6352" s="33" t="str">
        <f>IFERROR(VLOOKUP($D6352,'Informations sur les produits'!$A$3:$H$10000,8,FALSE),"0")</f>
        <v>0</v>
      </c>
      <c r="K6352" s="4"/>
      <c r="L6352" s="33" t="str">
        <f>IFERROR(VLOOKUP($J6352,'Informations sur les produits'!$A$3:$H$10000,8,FALSE),"0")</f>
        <v>0</v>
      </c>
      <c r="N6352" s="8"/>
      <c r="O6352" s="33" t="str">
        <f>IFERROR(VLOOKUP($M6352,'Informations sur les produits'!$A$3:$H$10000,8,FALSE),"0")</f>
        <v>0</v>
      </c>
      <c r="P6352" s="33">
        <f t="shared" si="396"/>
        <v>0</v>
      </c>
      <c r="Q6352" s="31" t="str">
        <f t="shared" si="397"/>
        <v/>
      </c>
      <c r="R6352" s="32" t="str">
        <f>IFERROR(VLOOKUP($D6352,'Informations sur les produits'!$A$3:$B$15000,2,FALSE),"")</f>
        <v/>
      </c>
      <c r="V6352">
        <f t="shared" si="398"/>
        <v>0</v>
      </c>
      <c r="W6352">
        <f t="shared" si="399"/>
        <v>0</v>
      </c>
    </row>
    <row r="6353" spans="5:23" x14ac:dyDescent="0.25">
      <c r="E6353" s="4"/>
      <c r="F6353" s="4"/>
      <c r="G6353" s="33" t="str">
        <f>IFERROR(VLOOKUP($D6353,'Informations sur les produits'!$A$3:$H$10000,8,FALSE),"0")</f>
        <v>0</v>
      </c>
      <c r="K6353" s="4"/>
      <c r="L6353" s="33" t="str">
        <f>IFERROR(VLOOKUP($J6353,'Informations sur les produits'!$A$3:$H$10000,8,FALSE),"0")</f>
        <v>0</v>
      </c>
      <c r="N6353" s="8"/>
      <c r="O6353" s="33" t="str">
        <f>IFERROR(VLOOKUP($M6353,'Informations sur les produits'!$A$3:$H$10000,8,FALSE),"0")</f>
        <v>0</v>
      </c>
      <c r="P6353" s="33">
        <f t="shared" si="396"/>
        <v>0</v>
      </c>
      <c r="Q6353" s="31" t="str">
        <f t="shared" si="397"/>
        <v/>
      </c>
      <c r="R6353" s="32" t="str">
        <f>IFERROR(VLOOKUP($D6353,'Informations sur les produits'!$A$3:$B$15000,2,FALSE),"")</f>
        <v/>
      </c>
      <c r="V6353">
        <f t="shared" si="398"/>
        <v>0</v>
      </c>
      <c r="W6353">
        <f t="shared" si="399"/>
        <v>0</v>
      </c>
    </row>
    <row r="6354" spans="5:23" x14ac:dyDescent="0.25">
      <c r="E6354" s="4"/>
      <c r="F6354" s="4"/>
      <c r="G6354" s="33" t="str">
        <f>IFERROR(VLOOKUP($D6354,'Informations sur les produits'!$A$3:$H$10000,8,FALSE),"0")</f>
        <v>0</v>
      </c>
      <c r="K6354" s="4"/>
      <c r="L6354" s="33" t="str">
        <f>IFERROR(VLOOKUP($J6354,'Informations sur les produits'!$A$3:$H$10000,8,FALSE),"0")</f>
        <v>0</v>
      </c>
      <c r="N6354" s="8"/>
      <c r="O6354" s="33" t="str">
        <f>IFERROR(VLOOKUP($M6354,'Informations sur les produits'!$A$3:$H$10000,8,FALSE),"0")</f>
        <v>0</v>
      </c>
      <c r="P6354" s="33">
        <f t="shared" si="396"/>
        <v>0</v>
      </c>
      <c r="Q6354" s="31" t="str">
        <f t="shared" si="397"/>
        <v/>
      </c>
      <c r="R6354" s="32" t="str">
        <f>IFERROR(VLOOKUP($D6354,'Informations sur les produits'!$A$3:$B$15000,2,FALSE),"")</f>
        <v/>
      </c>
      <c r="V6354">
        <f t="shared" si="398"/>
        <v>0</v>
      </c>
      <c r="W6354">
        <f t="shared" si="399"/>
        <v>0</v>
      </c>
    </row>
    <row r="6355" spans="5:23" x14ac:dyDescent="0.25">
      <c r="E6355" s="4"/>
      <c r="F6355" s="4"/>
      <c r="G6355" s="33" t="str">
        <f>IFERROR(VLOOKUP($D6355,'Informations sur les produits'!$A$3:$H$10000,8,FALSE),"0")</f>
        <v>0</v>
      </c>
      <c r="K6355" s="4"/>
      <c r="L6355" s="33" t="str">
        <f>IFERROR(VLOOKUP($J6355,'Informations sur les produits'!$A$3:$H$10000,8,FALSE),"0")</f>
        <v>0</v>
      </c>
      <c r="N6355" s="8"/>
      <c r="O6355" s="33" t="str">
        <f>IFERROR(VLOOKUP($M6355,'Informations sur les produits'!$A$3:$H$10000,8,FALSE),"0")</f>
        <v>0</v>
      </c>
      <c r="P6355" s="33">
        <f t="shared" si="396"/>
        <v>0</v>
      </c>
      <c r="Q6355" s="31" t="str">
        <f t="shared" si="397"/>
        <v/>
      </c>
      <c r="R6355" s="32" t="str">
        <f>IFERROR(VLOOKUP($D6355,'Informations sur les produits'!$A$3:$B$15000,2,FALSE),"")</f>
        <v/>
      </c>
      <c r="V6355">
        <f t="shared" si="398"/>
        <v>0</v>
      </c>
      <c r="W6355">
        <f t="shared" si="399"/>
        <v>0</v>
      </c>
    </row>
    <row r="6356" spans="5:23" x14ac:dyDescent="0.25">
      <c r="E6356" s="4"/>
      <c r="F6356" s="4"/>
      <c r="G6356" s="33" t="str">
        <f>IFERROR(VLOOKUP($D6356,'Informations sur les produits'!$A$3:$H$10000,8,FALSE),"0")</f>
        <v>0</v>
      </c>
      <c r="K6356" s="4"/>
      <c r="L6356" s="33" t="str">
        <f>IFERROR(VLOOKUP($J6356,'Informations sur les produits'!$A$3:$H$10000,8,FALSE),"0")</f>
        <v>0</v>
      </c>
      <c r="N6356" s="8"/>
      <c r="O6356" s="33" t="str">
        <f>IFERROR(VLOOKUP($M6356,'Informations sur les produits'!$A$3:$H$10000,8,FALSE),"0")</f>
        <v>0</v>
      </c>
      <c r="P6356" s="33">
        <f t="shared" si="396"/>
        <v>0</v>
      </c>
      <c r="Q6356" s="31" t="str">
        <f t="shared" si="397"/>
        <v/>
      </c>
      <c r="R6356" s="32" t="str">
        <f>IFERROR(VLOOKUP($D6356,'Informations sur les produits'!$A$3:$B$15000,2,FALSE),"")</f>
        <v/>
      </c>
      <c r="V6356">
        <f t="shared" si="398"/>
        <v>0</v>
      </c>
      <c r="W6356">
        <f t="shared" si="399"/>
        <v>0</v>
      </c>
    </row>
    <row r="6357" spans="5:23" x14ac:dyDescent="0.25">
      <c r="E6357" s="4"/>
      <c r="F6357" s="4"/>
      <c r="G6357" s="33" t="str">
        <f>IFERROR(VLOOKUP($D6357,'Informations sur les produits'!$A$3:$H$10000,8,FALSE),"0")</f>
        <v>0</v>
      </c>
      <c r="K6357" s="4"/>
      <c r="L6357" s="33" t="str">
        <f>IFERROR(VLOOKUP($J6357,'Informations sur les produits'!$A$3:$H$10000,8,FALSE),"0")</f>
        <v>0</v>
      </c>
      <c r="N6357" s="8"/>
      <c r="O6357" s="33" t="str">
        <f>IFERROR(VLOOKUP($M6357,'Informations sur les produits'!$A$3:$H$10000,8,FALSE),"0")</f>
        <v>0</v>
      </c>
      <c r="P6357" s="33">
        <f t="shared" si="396"/>
        <v>0</v>
      </c>
      <c r="Q6357" s="31" t="str">
        <f t="shared" si="397"/>
        <v/>
      </c>
      <c r="R6357" s="32" t="str">
        <f>IFERROR(VLOOKUP($D6357,'Informations sur les produits'!$A$3:$B$15000,2,FALSE),"")</f>
        <v/>
      </c>
      <c r="V6357">
        <f t="shared" si="398"/>
        <v>0</v>
      </c>
      <c r="W6357">
        <f t="shared" si="399"/>
        <v>0</v>
      </c>
    </row>
    <row r="6358" spans="5:23" x14ac:dyDescent="0.25">
      <c r="E6358" s="4"/>
      <c r="F6358" s="4"/>
      <c r="G6358" s="33" t="str">
        <f>IFERROR(VLOOKUP($D6358,'Informations sur les produits'!$A$3:$H$10000,8,FALSE),"0")</f>
        <v>0</v>
      </c>
      <c r="K6358" s="4"/>
      <c r="L6358" s="33" t="str">
        <f>IFERROR(VLOOKUP($J6358,'Informations sur les produits'!$A$3:$H$10000,8,FALSE),"0")</f>
        <v>0</v>
      </c>
      <c r="N6358" s="8"/>
      <c r="O6358" s="33" t="str">
        <f>IFERROR(VLOOKUP($M6358,'Informations sur les produits'!$A$3:$H$10000,8,FALSE),"0")</f>
        <v>0</v>
      </c>
      <c r="P6358" s="33">
        <f t="shared" si="396"/>
        <v>0</v>
      </c>
      <c r="Q6358" s="31" t="str">
        <f t="shared" si="397"/>
        <v/>
      </c>
      <c r="R6358" s="32" t="str">
        <f>IFERROR(VLOOKUP($D6358,'Informations sur les produits'!$A$3:$B$15000,2,FALSE),"")</f>
        <v/>
      </c>
      <c r="V6358">
        <f t="shared" si="398"/>
        <v>0</v>
      </c>
      <c r="W6358">
        <f t="shared" si="399"/>
        <v>0</v>
      </c>
    </row>
    <row r="6359" spans="5:23" x14ac:dyDescent="0.25">
      <c r="E6359" s="4"/>
      <c r="F6359" s="4"/>
      <c r="G6359" s="33" t="str">
        <f>IFERROR(VLOOKUP($D6359,'Informations sur les produits'!$A$3:$H$10000,8,FALSE),"0")</f>
        <v>0</v>
      </c>
      <c r="K6359" s="4"/>
      <c r="L6359" s="33" t="str">
        <f>IFERROR(VLOOKUP($J6359,'Informations sur les produits'!$A$3:$H$10000,8,FALSE),"0")</f>
        <v>0</v>
      </c>
      <c r="N6359" s="8"/>
      <c r="O6359" s="33" t="str">
        <f>IFERROR(VLOOKUP($M6359,'Informations sur les produits'!$A$3:$H$10000,8,FALSE),"0")</f>
        <v>0</v>
      </c>
      <c r="P6359" s="33">
        <f t="shared" si="396"/>
        <v>0</v>
      </c>
      <c r="Q6359" s="31" t="str">
        <f t="shared" si="397"/>
        <v/>
      </c>
      <c r="R6359" s="32" t="str">
        <f>IFERROR(VLOOKUP($D6359,'Informations sur les produits'!$A$3:$B$15000,2,FALSE),"")</f>
        <v/>
      </c>
      <c r="V6359">
        <f t="shared" si="398"/>
        <v>0</v>
      </c>
      <c r="W6359">
        <f t="shared" si="399"/>
        <v>0</v>
      </c>
    </row>
    <row r="6360" spans="5:23" x14ac:dyDescent="0.25">
      <c r="E6360" s="4"/>
      <c r="F6360" s="4"/>
      <c r="G6360" s="33" t="str">
        <f>IFERROR(VLOOKUP($D6360,'Informations sur les produits'!$A$3:$H$10000,8,FALSE),"0")</f>
        <v>0</v>
      </c>
      <c r="K6360" s="4"/>
      <c r="L6360" s="33" t="str">
        <f>IFERROR(VLOOKUP($J6360,'Informations sur les produits'!$A$3:$H$10000,8,FALSE),"0")</f>
        <v>0</v>
      </c>
      <c r="N6360" s="8"/>
      <c r="O6360" s="33" t="str">
        <f>IFERROR(VLOOKUP($M6360,'Informations sur les produits'!$A$3:$H$10000,8,FALSE),"0")</f>
        <v>0</v>
      </c>
      <c r="P6360" s="33">
        <f t="shared" si="396"/>
        <v>0</v>
      </c>
      <c r="Q6360" s="31" t="str">
        <f t="shared" si="397"/>
        <v/>
      </c>
      <c r="R6360" s="32" t="str">
        <f>IFERROR(VLOOKUP($D6360,'Informations sur les produits'!$A$3:$B$15000,2,FALSE),"")</f>
        <v/>
      </c>
      <c r="V6360">
        <f t="shared" si="398"/>
        <v>0</v>
      </c>
      <c r="W6360">
        <f t="shared" si="399"/>
        <v>0</v>
      </c>
    </row>
    <row r="6361" spans="5:23" x14ac:dyDescent="0.25">
      <c r="E6361" s="4"/>
      <c r="F6361" s="4"/>
      <c r="G6361" s="33" t="str">
        <f>IFERROR(VLOOKUP($D6361,'Informations sur les produits'!$A$3:$H$10000,8,FALSE),"0")</f>
        <v>0</v>
      </c>
      <c r="K6361" s="4"/>
      <c r="L6361" s="33" t="str">
        <f>IFERROR(VLOOKUP($J6361,'Informations sur les produits'!$A$3:$H$10000,8,FALSE),"0")</f>
        <v>0</v>
      </c>
      <c r="N6361" s="8"/>
      <c r="O6361" s="33" t="str">
        <f>IFERROR(VLOOKUP($M6361,'Informations sur les produits'!$A$3:$H$10000,8,FALSE),"0")</f>
        <v>0</v>
      </c>
      <c r="P6361" s="33">
        <f t="shared" si="396"/>
        <v>0</v>
      </c>
      <c r="Q6361" s="31" t="str">
        <f t="shared" si="397"/>
        <v/>
      </c>
      <c r="R6361" s="32" t="str">
        <f>IFERROR(VLOOKUP($D6361,'Informations sur les produits'!$A$3:$B$15000,2,FALSE),"")</f>
        <v/>
      </c>
      <c r="V6361">
        <f t="shared" si="398"/>
        <v>0</v>
      </c>
      <c r="W6361">
        <f t="shared" si="399"/>
        <v>0</v>
      </c>
    </row>
    <row r="6362" spans="5:23" x14ac:dyDescent="0.25">
      <c r="E6362" s="4"/>
      <c r="F6362" s="4"/>
      <c r="G6362" s="33" t="str">
        <f>IFERROR(VLOOKUP($D6362,'Informations sur les produits'!$A$3:$H$10000,8,FALSE),"0")</f>
        <v>0</v>
      </c>
      <c r="K6362" s="4"/>
      <c r="L6362" s="33" t="str">
        <f>IFERROR(VLOOKUP($J6362,'Informations sur les produits'!$A$3:$H$10000,8,FALSE),"0")</f>
        <v>0</v>
      </c>
      <c r="N6362" s="8"/>
      <c r="O6362" s="33" t="str">
        <f>IFERROR(VLOOKUP($M6362,'Informations sur les produits'!$A$3:$H$10000,8,FALSE),"0")</f>
        <v>0</v>
      </c>
      <c r="P6362" s="33">
        <f t="shared" si="396"/>
        <v>0</v>
      </c>
      <c r="Q6362" s="31" t="str">
        <f t="shared" si="397"/>
        <v/>
      </c>
      <c r="R6362" s="32" t="str">
        <f>IFERROR(VLOOKUP($D6362,'Informations sur les produits'!$A$3:$B$15000,2,FALSE),"")</f>
        <v/>
      </c>
      <c r="V6362">
        <f t="shared" si="398"/>
        <v>0</v>
      </c>
      <c r="W6362">
        <f t="shared" si="399"/>
        <v>0</v>
      </c>
    </row>
    <row r="6363" spans="5:23" x14ac:dyDescent="0.25">
      <c r="E6363" s="4"/>
      <c r="F6363" s="4"/>
      <c r="G6363" s="33" t="str">
        <f>IFERROR(VLOOKUP($D6363,'Informations sur les produits'!$A$3:$H$10000,8,FALSE),"0")</f>
        <v>0</v>
      </c>
      <c r="K6363" s="4"/>
      <c r="L6363" s="33" t="str">
        <f>IFERROR(VLOOKUP($J6363,'Informations sur les produits'!$A$3:$H$10000,8,FALSE),"0")</f>
        <v>0</v>
      </c>
      <c r="N6363" s="8"/>
      <c r="O6363" s="33" t="str">
        <f>IFERROR(VLOOKUP($M6363,'Informations sur les produits'!$A$3:$H$10000,8,FALSE),"0")</f>
        <v>0</v>
      </c>
      <c r="P6363" s="33">
        <f t="shared" si="396"/>
        <v>0</v>
      </c>
      <c r="Q6363" s="31" t="str">
        <f t="shared" si="397"/>
        <v/>
      </c>
      <c r="R6363" s="32" t="str">
        <f>IFERROR(VLOOKUP($D6363,'Informations sur les produits'!$A$3:$B$15000,2,FALSE),"")</f>
        <v/>
      </c>
      <c r="V6363">
        <f t="shared" si="398"/>
        <v>0</v>
      </c>
      <c r="W6363">
        <f t="shared" si="399"/>
        <v>0</v>
      </c>
    </row>
    <row r="6364" spans="5:23" x14ac:dyDescent="0.25">
      <c r="E6364" s="4"/>
      <c r="F6364" s="4"/>
      <c r="G6364" s="33" t="str">
        <f>IFERROR(VLOOKUP($D6364,'Informations sur les produits'!$A$3:$H$10000,8,FALSE),"0")</f>
        <v>0</v>
      </c>
      <c r="K6364" s="4"/>
      <c r="L6364" s="33" t="str">
        <f>IFERROR(VLOOKUP($J6364,'Informations sur les produits'!$A$3:$H$10000,8,FALSE),"0")</f>
        <v>0</v>
      </c>
      <c r="N6364" s="8"/>
      <c r="O6364" s="33" t="str">
        <f>IFERROR(VLOOKUP($M6364,'Informations sur les produits'!$A$3:$H$10000,8,FALSE),"0")</f>
        <v>0</v>
      </c>
      <c r="P6364" s="33">
        <f t="shared" si="396"/>
        <v>0</v>
      </c>
      <c r="Q6364" s="31" t="str">
        <f t="shared" si="397"/>
        <v/>
      </c>
      <c r="R6364" s="32" t="str">
        <f>IFERROR(VLOOKUP($D6364,'Informations sur les produits'!$A$3:$B$15000,2,FALSE),"")</f>
        <v/>
      </c>
      <c r="V6364">
        <f t="shared" si="398"/>
        <v>0</v>
      </c>
      <c r="W6364">
        <f t="shared" si="399"/>
        <v>0</v>
      </c>
    </row>
    <row r="6365" spans="5:23" x14ac:dyDescent="0.25">
      <c r="E6365" s="4"/>
      <c r="F6365" s="4"/>
      <c r="G6365" s="33" t="str">
        <f>IFERROR(VLOOKUP($D6365,'Informations sur les produits'!$A$3:$H$10000,8,FALSE),"0")</f>
        <v>0</v>
      </c>
      <c r="K6365" s="4"/>
      <c r="L6365" s="33" t="str">
        <f>IFERROR(VLOOKUP($J6365,'Informations sur les produits'!$A$3:$H$10000,8,FALSE),"0")</f>
        <v>0</v>
      </c>
      <c r="N6365" s="8"/>
      <c r="O6365" s="33" t="str">
        <f>IFERROR(VLOOKUP($M6365,'Informations sur les produits'!$A$3:$H$10000,8,FALSE),"0")</f>
        <v>0</v>
      </c>
      <c r="P6365" s="33">
        <f t="shared" si="396"/>
        <v>0</v>
      </c>
      <c r="Q6365" s="31" t="str">
        <f t="shared" si="397"/>
        <v/>
      </c>
      <c r="R6365" s="32" t="str">
        <f>IFERROR(VLOOKUP($D6365,'Informations sur les produits'!$A$3:$B$15000,2,FALSE),"")</f>
        <v/>
      </c>
      <c r="V6365">
        <f t="shared" si="398"/>
        <v>0</v>
      </c>
      <c r="W6365">
        <f t="shared" si="399"/>
        <v>0</v>
      </c>
    </row>
    <row r="6366" spans="5:23" x14ac:dyDescent="0.25">
      <c r="E6366" s="4"/>
      <c r="F6366" s="4"/>
      <c r="G6366" s="33" t="str">
        <f>IFERROR(VLOOKUP($D6366,'Informations sur les produits'!$A$3:$H$10000,8,FALSE),"0")</f>
        <v>0</v>
      </c>
      <c r="K6366" s="4"/>
      <c r="L6366" s="33" t="str">
        <f>IFERROR(VLOOKUP($J6366,'Informations sur les produits'!$A$3:$H$10000,8,FALSE),"0")</f>
        <v>0</v>
      </c>
      <c r="N6366" s="8"/>
      <c r="O6366" s="33" t="str">
        <f>IFERROR(VLOOKUP($M6366,'Informations sur les produits'!$A$3:$H$10000,8,FALSE),"0")</f>
        <v>0</v>
      </c>
      <c r="P6366" s="33">
        <f t="shared" si="396"/>
        <v>0</v>
      </c>
      <c r="Q6366" s="31" t="str">
        <f t="shared" si="397"/>
        <v/>
      </c>
      <c r="R6366" s="32" t="str">
        <f>IFERROR(VLOOKUP($D6366,'Informations sur les produits'!$A$3:$B$15000,2,FALSE),"")</f>
        <v/>
      </c>
      <c r="V6366">
        <f t="shared" si="398"/>
        <v>0</v>
      </c>
      <c r="W6366">
        <f t="shared" si="399"/>
        <v>0</v>
      </c>
    </row>
    <row r="6367" spans="5:23" x14ac:dyDescent="0.25">
      <c r="E6367" s="4"/>
      <c r="F6367" s="4"/>
      <c r="G6367" s="33" t="str">
        <f>IFERROR(VLOOKUP($D6367,'Informations sur les produits'!$A$3:$H$10000,8,FALSE),"0")</f>
        <v>0</v>
      </c>
      <c r="K6367" s="4"/>
      <c r="L6367" s="33" t="str">
        <f>IFERROR(VLOOKUP($J6367,'Informations sur les produits'!$A$3:$H$10000,8,FALSE),"0")</f>
        <v>0</v>
      </c>
      <c r="N6367" s="8"/>
      <c r="O6367" s="33" t="str">
        <f>IFERROR(VLOOKUP($M6367,'Informations sur les produits'!$A$3:$H$10000,8,FALSE),"0")</f>
        <v>0</v>
      </c>
      <c r="P6367" s="33">
        <f t="shared" si="396"/>
        <v>0</v>
      </c>
      <c r="Q6367" s="31" t="str">
        <f t="shared" si="397"/>
        <v/>
      </c>
      <c r="R6367" s="32" t="str">
        <f>IFERROR(VLOOKUP($D6367,'Informations sur les produits'!$A$3:$B$15000,2,FALSE),"")</f>
        <v/>
      </c>
      <c r="V6367">
        <f t="shared" si="398"/>
        <v>0</v>
      </c>
      <c r="W6367">
        <f t="shared" si="399"/>
        <v>0</v>
      </c>
    </row>
    <row r="6368" spans="5:23" x14ac:dyDescent="0.25">
      <c r="E6368" s="4"/>
      <c r="F6368" s="4"/>
      <c r="G6368" s="33" t="str">
        <f>IFERROR(VLOOKUP($D6368,'Informations sur les produits'!$A$3:$H$10000,8,FALSE),"0")</f>
        <v>0</v>
      </c>
      <c r="K6368" s="4"/>
      <c r="L6368" s="33" t="str">
        <f>IFERROR(VLOOKUP($J6368,'Informations sur les produits'!$A$3:$H$10000,8,FALSE),"0")</f>
        <v>0</v>
      </c>
      <c r="N6368" s="8"/>
      <c r="O6368" s="33" t="str">
        <f>IFERROR(VLOOKUP($M6368,'Informations sur les produits'!$A$3:$H$10000,8,FALSE),"0")</f>
        <v>0</v>
      </c>
      <c r="P6368" s="33">
        <f t="shared" si="396"/>
        <v>0</v>
      </c>
      <c r="Q6368" s="31" t="str">
        <f t="shared" si="397"/>
        <v/>
      </c>
      <c r="R6368" s="32" t="str">
        <f>IFERROR(VLOOKUP($D6368,'Informations sur les produits'!$A$3:$B$15000,2,FALSE),"")</f>
        <v/>
      </c>
      <c r="V6368">
        <f t="shared" si="398"/>
        <v>0</v>
      </c>
      <c r="W6368">
        <f t="shared" si="399"/>
        <v>0</v>
      </c>
    </row>
    <row r="6369" spans="5:23" x14ac:dyDescent="0.25">
      <c r="E6369" s="4"/>
      <c r="F6369" s="4"/>
      <c r="G6369" s="33" t="str">
        <f>IFERROR(VLOOKUP($D6369,'Informations sur les produits'!$A$3:$H$10000,8,FALSE),"0")</f>
        <v>0</v>
      </c>
      <c r="K6369" s="4"/>
      <c r="L6369" s="33" t="str">
        <f>IFERROR(VLOOKUP($J6369,'Informations sur les produits'!$A$3:$H$10000,8,FALSE),"0")</f>
        <v>0</v>
      </c>
      <c r="N6369" s="8"/>
      <c r="O6369" s="33" t="str">
        <f>IFERROR(VLOOKUP($M6369,'Informations sur les produits'!$A$3:$H$10000,8,FALSE),"0")</f>
        <v>0</v>
      </c>
      <c r="P6369" s="33">
        <f t="shared" si="396"/>
        <v>0</v>
      </c>
      <c r="Q6369" s="31" t="str">
        <f t="shared" si="397"/>
        <v/>
      </c>
      <c r="R6369" s="32" t="str">
        <f>IFERROR(VLOOKUP($D6369,'Informations sur les produits'!$A$3:$B$15000,2,FALSE),"")</f>
        <v/>
      </c>
      <c r="V6369">
        <f t="shared" si="398"/>
        <v>0</v>
      </c>
      <c r="W6369">
        <f t="shared" si="399"/>
        <v>0</v>
      </c>
    </row>
    <row r="6370" spans="5:23" x14ac:dyDescent="0.25">
      <c r="E6370" s="4"/>
      <c r="F6370" s="4"/>
      <c r="G6370" s="33" t="str">
        <f>IFERROR(VLOOKUP($D6370,'Informations sur les produits'!$A$3:$H$10000,8,FALSE),"0")</f>
        <v>0</v>
      </c>
      <c r="K6370" s="4"/>
      <c r="L6370" s="33" t="str">
        <f>IFERROR(VLOOKUP($J6370,'Informations sur les produits'!$A$3:$H$10000,8,FALSE),"0")</f>
        <v>0</v>
      </c>
      <c r="N6370" s="8"/>
      <c r="O6370" s="33" t="str">
        <f>IFERROR(VLOOKUP($M6370,'Informations sur les produits'!$A$3:$H$10000,8,FALSE),"0")</f>
        <v>0</v>
      </c>
      <c r="P6370" s="33">
        <f t="shared" si="396"/>
        <v>0</v>
      </c>
      <c r="Q6370" s="31" t="str">
        <f t="shared" si="397"/>
        <v/>
      </c>
      <c r="R6370" s="32" t="str">
        <f>IFERROR(VLOOKUP($D6370,'Informations sur les produits'!$A$3:$B$15000,2,FALSE),"")</f>
        <v/>
      </c>
      <c r="V6370">
        <f t="shared" si="398"/>
        <v>0</v>
      </c>
      <c r="W6370">
        <f t="shared" si="399"/>
        <v>0</v>
      </c>
    </row>
    <row r="6371" spans="5:23" x14ac:dyDescent="0.25">
      <c r="E6371" s="4"/>
      <c r="F6371" s="4"/>
      <c r="G6371" s="33" t="str">
        <f>IFERROR(VLOOKUP($D6371,'Informations sur les produits'!$A$3:$H$10000,8,FALSE),"0")</f>
        <v>0</v>
      </c>
      <c r="K6371" s="4"/>
      <c r="L6371" s="33" t="str">
        <f>IFERROR(VLOOKUP($J6371,'Informations sur les produits'!$A$3:$H$10000,8,FALSE),"0")</f>
        <v>0</v>
      </c>
      <c r="N6371" s="8"/>
      <c r="O6371" s="33" t="str">
        <f>IFERROR(VLOOKUP($M6371,'Informations sur les produits'!$A$3:$H$10000,8,FALSE),"0")</f>
        <v>0</v>
      </c>
      <c r="P6371" s="33">
        <f t="shared" si="396"/>
        <v>0</v>
      </c>
      <c r="Q6371" s="31" t="str">
        <f t="shared" si="397"/>
        <v/>
      </c>
      <c r="R6371" s="32" t="str">
        <f>IFERROR(VLOOKUP($D6371,'Informations sur les produits'!$A$3:$B$15000,2,FALSE),"")</f>
        <v/>
      </c>
      <c r="V6371">
        <f t="shared" si="398"/>
        <v>0</v>
      </c>
      <c r="W6371">
        <f t="shared" si="399"/>
        <v>0</v>
      </c>
    </row>
    <row r="6372" spans="5:23" x14ac:dyDescent="0.25">
      <c r="E6372" s="4"/>
      <c r="F6372" s="4"/>
      <c r="G6372" s="33" t="str">
        <f>IFERROR(VLOOKUP($D6372,'Informations sur les produits'!$A$3:$H$10000,8,FALSE),"0")</f>
        <v>0</v>
      </c>
      <c r="K6372" s="4"/>
      <c r="L6372" s="33" t="str">
        <f>IFERROR(VLOOKUP($J6372,'Informations sur les produits'!$A$3:$H$10000,8,FALSE),"0")</f>
        <v>0</v>
      </c>
      <c r="N6372" s="8"/>
      <c r="O6372" s="33" t="str">
        <f>IFERROR(VLOOKUP($M6372,'Informations sur les produits'!$A$3:$H$10000,8,FALSE),"0")</f>
        <v>0</v>
      </c>
      <c r="P6372" s="33">
        <f t="shared" si="396"/>
        <v>0</v>
      </c>
      <c r="Q6372" s="31" t="str">
        <f t="shared" si="397"/>
        <v/>
      </c>
      <c r="R6372" s="32" t="str">
        <f>IFERROR(VLOOKUP($D6372,'Informations sur les produits'!$A$3:$B$15000,2,FALSE),"")</f>
        <v/>
      </c>
      <c r="V6372">
        <f t="shared" si="398"/>
        <v>0</v>
      </c>
      <c r="W6372">
        <f t="shared" si="399"/>
        <v>0</v>
      </c>
    </row>
    <row r="6373" spans="5:23" x14ac:dyDescent="0.25">
      <c r="E6373" s="4"/>
      <c r="F6373" s="4"/>
      <c r="G6373" s="33" t="str">
        <f>IFERROR(VLOOKUP($D6373,'Informations sur les produits'!$A$3:$H$10000,8,FALSE),"0")</f>
        <v>0</v>
      </c>
      <c r="K6373" s="4"/>
      <c r="L6373" s="33" t="str">
        <f>IFERROR(VLOOKUP($J6373,'Informations sur les produits'!$A$3:$H$10000,8,FALSE),"0")</f>
        <v>0</v>
      </c>
      <c r="N6373" s="8"/>
      <c r="O6373" s="33" t="str">
        <f>IFERROR(VLOOKUP($M6373,'Informations sur les produits'!$A$3:$H$10000,8,FALSE),"0")</f>
        <v>0</v>
      </c>
      <c r="P6373" s="33">
        <f t="shared" si="396"/>
        <v>0</v>
      </c>
      <c r="Q6373" s="31" t="str">
        <f t="shared" si="397"/>
        <v/>
      </c>
      <c r="R6373" s="32" t="str">
        <f>IFERROR(VLOOKUP($D6373,'Informations sur les produits'!$A$3:$B$15000,2,FALSE),"")</f>
        <v/>
      </c>
      <c r="V6373">
        <f t="shared" si="398"/>
        <v>0</v>
      </c>
      <c r="W6373">
        <f t="shared" si="399"/>
        <v>0</v>
      </c>
    </row>
    <row r="6374" spans="5:23" x14ac:dyDescent="0.25">
      <c r="E6374" s="4"/>
      <c r="F6374" s="4"/>
      <c r="G6374" s="33" t="str">
        <f>IFERROR(VLOOKUP($D6374,'Informations sur les produits'!$A$3:$H$10000,8,FALSE),"0")</f>
        <v>0</v>
      </c>
      <c r="K6374" s="4"/>
      <c r="L6374" s="33" t="str">
        <f>IFERROR(VLOOKUP($J6374,'Informations sur les produits'!$A$3:$H$10000,8,FALSE),"0")</f>
        <v>0</v>
      </c>
      <c r="N6374" s="8"/>
      <c r="O6374" s="33" t="str">
        <f>IFERROR(VLOOKUP($M6374,'Informations sur les produits'!$A$3:$H$10000,8,FALSE),"0")</f>
        <v>0</v>
      </c>
      <c r="P6374" s="33">
        <f t="shared" si="396"/>
        <v>0</v>
      </c>
      <c r="Q6374" s="31" t="str">
        <f t="shared" si="397"/>
        <v/>
      </c>
      <c r="R6374" s="32" t="str">
        <f>IFERROR(VLOOKUP($D6374,'Informations sur les produits'!$A$3:$B$15000,2,FALSE),"")</f>
        <v/>
      </c>
      <c r="V6374">
        <f t="shared" si="398"/>
        <v>0</v>
      </c>
      <c r="W6374">
        <f t="shared" si="399"/>
        <v>0</v>
      </c>
    </row>
    <row r="6375" spans="5:23" x14ac:dyDescent="0.25">
      <c r="E6375" s="4"/>
      <c r="F6375" s="4"/>
      <c r="G6375" s="33" t="str">
        <f>IFERROR(VLOOKUP($D6375,'Informations sur les produits'!$A$3:$H$10000,8,FALSE),"0")</f>
        <v>0</v>
      </c>
      <c r="K6375" s="4"/>
      <c r="L6375" s="33" t="str">
        <f>IFERROR(VLOOKUP($J6375,'Informations sur les produits'!$A$3:$H$10000,8,FALSE),"0")</f>
        <v>0</v>
      </c>
      <c r="N6375" s="8"/>
      <c r="O6375" s="33" t="str">
        <f>IFERROR(VLOOKUP($M6375,'Informations sur les produits'!$A$3:$H$10000,8,FALSE),"0")</f>
        <v>0</v>
      </c>
      <c r="P6375" s="33">
        <f t="shared" si="396"/>
        <v>0</v>
      </c>
      <c r="Q6375" s="31" t="str">
        <f t="shared" si="397"/>
        <v/>
      </c>
      <c r="R6375" s="32" t="str">
        <f>IFERROR(VLOOKUP($D6375,'Informations sur les produits'!$A$3:$B$15000,2,FALSE),"")</f>
        <v/>
      </c>
      <c r="V6375">
        <f t="shared" si="398"/>
        <v>0</v>
      </c>
      <c r="W6375">
        <f t="shared" si="399"/>
        <v>0</v>
      </c>
    </row>
    <row r="6376" spans="5:23" x14ac:dyDescent="0.25">
      <c r="E6376" s="4"/>
      <c r="F6376" s="4"/>
      <c r="G6376" s="33" t="str">
        <f>IFERROR(VLOOKUP($D6376,'Informations sur les produits'!$A$3:$H$10000,8,FALSE),"0")</f>
        <v>0</v>
      </c>
      <c r="K6376" s="4"/>
      <c r="L6376" s="33" t="str">
        <f>IFERROR(VLOOKUP($J6376,'Informations sur les produits'!$A$3:$H$10000,8,FALSE),"0")</f>
        <v>0</v>
      </c>
      <c r="N6376" s="8"/>
      <c r="O6376" s="33" t="str">
        <f>IFERROR(VLOOKUP($M6376,'Informations sur les produits'!$A$3:$H$10000,8,FALSE),"0")</f>
        <v>0</v>
      </c>
      <c r="P6376" s="33">
        <f t="shared" si="396"/>
        <v>0</v>
      </c>
      <c r="Q6376" s="31" t="str">
        <f t="shared" si="397"/>
        <v/>
      </c>
      <c r="R6376" s="32" t="str">
        <f>IFERROR(VLOOKUP($D6376,'Informations sur les produits'!$A$3:$B$15000,2,FALSE),"")</f>
        <v/>
      </c>
      <c r="V6376">
        <f t="shared" si="398"/>
        <v>0</v>
      </c>
      <c r="W6376">
        <f t="shared" si="399"/>
        <v>0</v>
      </c>
    </row>
    <row r="6377" spans="5:23" x14ac:dyDescent="0.25">
      <c r="E6377" s="4"/>
      <c r="F6377" s="4"/>
      <c r="G6377" s="33" t="str">
        <f>IFERROR(VLOOKUP($D6377,'Informations sur les produits'!$A$3:$H$10000,8,FALSE),"0")</f>
        <v>0</v>
      </c>
      <c r="K6377" s="4"/>
      <c r="L6377" s="33" t="str">
        <f>IFERROR(VLOOKUP($J6377,'Informations sur les produits'!$A$3:$H$10000,8,FALSE),"0")</f>
        <v>0</v>
      </c>
      <c r="N6377" s="8"/>
      <c r="O6377" s="33" t="str">
        <f>IFERROR(VLOOKUP($M6377,'Informations sur les produits'!$A$3:$H$10000,8,FALSE),"0")</f>
        <v>0</v>
      </c>
      <c r="P6377" s="33">
        <f t="shared" si="396"/>
        <v>0</v>
      </c>
      <c r="Q6377" s="31" t="str">
        <f t="shared" si="397"/>
        <v/>
      </c>
      <c r="R6377" s="32" t="str">
        <f>IFERROR(VLOOKUP($D6377,'Informations sur les produits'!$A$3:$B$15000,2,FALSE),"")</f>
        <v/>
      </c>
      <c r="V6377">
        <f t="shared" si="398"/>
        <v>0</v>
      </c>
      <c r="W6377">
        <f t="shared" si="399"/>
        <v>0</v>
      </c>
    </row>
    <row r="6378" spans="5:23" x14ac:dyDescent="0.25">
      <c r="E6378" s="4"/>
      <c r="F6378" s="4"/>
      <c r="G6378" s="33" t="str">
        <f>IFERROR(VLOOKUP($D6378,'Informations sur les produits'!$A$3:$H$10000,8,FALSE),"0")</f>
        <v>0</v>
      </c>
      <c r="K6378" s="4"/>
      <c r="L6378" s="33" t="str">
        <f>IFERROR(VLOOKUP($J6378,'Informations sur les produits'!$A$3:$H$10000,8,FALSE),"0")</f>
        <v>0</v>
      </c>
      <c r="N6378" s="8"/>
      <c r="O6378" s="33" t="str">
        <f>IFERROR(VLOOKUP($M6378,'Informations sur les produits'!$A$3:$H$10000,8,FALSE),"0")</f>
        <v>0</v>
      </c>
      <c r="P6378" s="33">
        <f t="shared" si="396"/>
        <v>0</v>
      </c>
      <c r="Q6378" s="31" t="str">
        <f t="shared" si="397"/>
        <v/>
      </c>
      <c r="R6378" s="32" t="str">
        <f>IFERROR(VLOOKUP($D6378,'Informations sur les produits'!$A$3:$B$15000,2,FALSE),"")</f>
        <v/>
      </c>
      <c r="V6378">
        <f t="shared" si="398"/>
        <v>0</v>
      </c>
      <c r="W6378">
        <f t="shared" si="399"/>
        <v>0</v>
      </c>
    </row>
    <row r="6379" spans="5:23" x14ac:dyDescent="0.25">
      <c r="E6379" s="4"/>
      <c r="F6379" s="4"/>
      <c r="G6379" s="33" t="str">
        <f>IFERROR(VLOOKUP($D6379,'Informations sur les produits'!$A$3:$H$10000,8,FALSE),"0")</f>
        <v>0</v>
      </c>
      <c r="K6379" s="4"/>
      <c r="L6379" s="33" t="str">
        <f>IFERROR(VLOOKUP($J6379,'Informations sur les produits'!$A$3:$H$10000,8,FALSE),"0")</f>
        <v>0</v>
      </c>
      <c r="N6379" s="8"/>
      <c r="O6379" s="33" t="str">
        <f>IFERROR(VLOOKUP($M6379,'Informations sur les produits'!$A$3:$H$10000,8,FALSE),"0")</f>
        <v>0</v>
      </c>
      <c r="P6379" s="33">
        <f t="shared" si="396"/>
        <v>0</v>
      </c>
      <c r="Q6379" s="31" t="str">
        <f t="shared" si="397"/>
        <v/>
      </c>
      <c r="R6379" s="32" t="str">
        <f>IFERROR(VLOOKUP($D6379,'Informations sur les produits'!$A$3:$B$15000,2,FALSE),"")</f>
        <v/>
      </c>
      <c r="V6379">
        <f t="shared" si="398"/>
        <v>0</v>
      </c>
      <c r="W6379">
        <f t="shared" si="399"/>
        <v>0</v>
      </c>
    </row>
    <row r="6380" spans="5:23" x14ac:dyDescent="0.25">
      <c r="E6380" s="4"/>
      <c r="F6380" s="4"/>
      <c r="G6380" s="33" t="str">
        <f>IFERROR(VLOOKUP($D6380,'Informations sur les produits'!$A$3:$H$10000,8,FALSE),"0")</f>
        <v>0</v>
      </c>
      <c r="K6380" s="4"/>
      <c r="L6380" s="33" t="str">
        <f>IFERROR(VLOOKUP($J6380,'Informations sur les produits'!$A$3:$H$10000,8,FALSE),"0")</f>
        <v>0</v>
      </c>
      <c r="N6380" s="8"/>
      <c r="O6380" s="33" t="str">
        <f>IFERROR(VLOOKUP($M6380,'Informations sur les produits'!$A$3:$H$10000,8,FALSE),"0")</f>
        <v>0</v>
      </c>
      <c r="P6380" s="33">
        <f t="shared" si="396"/>
        <v>0</v>
      </c>
      <c r="Q6380" s="31" t="str">
        <f t="shared" si="397"/>
        <v/>
      </c>
      <c r="R6380" s="32" t="str">
        <f>IFERROR(VLOOKUP($D6380,'Informations sur les produits'!$A$3:$B$15000,2,FALSE),"")</f>
        <v/>
      </c>
      <c r="V6380">
        <f t="shared" si="398"/>
        <v>0</v>
      </c>
      <c r="W6380">
        <f t="shared" si="399"/>
        <v>0</v>
      </c>
    </row>
    <row r="6381" spans="5:23" x14ac:dyDescent="0.25">
      <c r="E6381" s="4"/>
      <c r="F6381" s="4"/>
      <c r="G6381" s="33" t="str">
        <f>IFERROR(VLOOKUP($D6381,'Informations sur les produits'!$A$3:$H$10000,8,FALSE),"0")</f>
        <v>0</v>
      </c>
      <c r="K6381" s="4"/>
      <c r="L6381" s="33" t="str">
        <f>IFERROR(VLOOKUP($J6381,'Informations sur les produits'!$A$3:$H$10000,8,FALSE),"0")</f>
        <v>0</v>
      </c>
      <c r="N6381" s="8"/>
      <c r="O6381" s="33" t="str">
        <f>IFERROR(VLOOKUP($M6381,'Informations sur les produits'!$A$3:$H$10000,8,FALSE),"0")</f>
        <v>0</v>
      </c>
      <c r="P6381" s="33">
        <f t="shared" si="396"/>
        <v>0</v>
      </c>
      <c r="Q6381" s="31" t="str">
        <f t="shared" si="397"/>
        <v/>
      </c>
      <c r="R6381" s="32" t="str">
        <f>IFERROR(VLOOKUP($D6381,'Informations sur les produits'!$A$3:$B$15000,2,FALSE),"")</f>
        <v/>
      </c>
      <c r="V6381">
        <f t="shared" si="398"/>
        <v>0</v>
      </c>
      <c r="W6381">
        <f t="shared" si="399"/>
        <v>0</v>
      </c>
    </row>
    <row r="6382" spans="5:23" x14ac:dyDescent="0.25">
      <c r="E6382" s="4"/>
      <c r="F6382" s="4"/>
      <c r="G6382" s="33" t="str">
        <f>IFERROR(VLOOKUP($D6382,'Informations sur les produits'!$A$3:$H$10000,8,FALSE),"0")</f>
        <v>0</v>
      </c>
      <c r="K6382" s="4"/>
      <c r="L6382" s="33" t="str">
        <f>IFERROR(VLOOKUP($J6382,'Informations sur les produits'!$A$3:$H$10000,8,FALSE),"0")</f>
        <v>0</v>
      </c>
      <c r="N6382" s="8"/>
      <c r="O6382" s="33" t="str">
        <f>IFERROR(VLOOKUP($M6382,'Informations sur les produits'!$A$3:$H$10000,8,FALSE),"0")</f>
        <v>0</v>
      </c>
      <c r="P6382" s="33">
        <f t="shared" si="396"/>
        <v>0</v>
      </c>
      <c r="Q6382" s="31" t="str">
        <f t="shared" si="397"/>
        <v/>
      </c>
      <c r="R6382" s="32" t="str">
        <f>IFERROR(VLOOKUP($D6382,'Informations sur les produits'!$A$3:$B$15000,2,FALSE),"")</f>
        <v/>
      </c>
      <c r="V6382">
        <f t="shared" si="398"/>
        <v>0</v>
      </c>
      <c r="W6382">
        <f t="shared" si="399"/>
        <v>0</v>
      </c>
    </row>
    <row r="6383" spans="5:23" x14ac:dyDescent="0.25">
      <c r="E6383" s="4"/>
      <c r="F6383" s="4"/>
      <c r="G6383" s="33" t="str">
        <f>IFERROR(VLOOKUP($D6383,'Informations sur les produits'!$A$3:$H$10000,8,FALSE),"0")</f>
        <v>0</v>
      </c>
      <c r="K6383" s="4"/>
      <c r="L6383" s="33" t="str">
        <f>IFERROR(VLOOKUP($J6383,'Informations sur les produits'!$A$3:$H$10000,8,FALSE),"0")</f>
        <v>0</v>
      </c>
      <c r="N6383" s="8"/>
      <c r="O6383" s="33" t="str">
        <f>IFERROR(VLOOKUP($M6383,'Informations sur les produits'!$A$3:$H$10000,8,FALSE),"0")</f>
        <v>0</v>
      </c>
      <c r="P6383" s="33">
        <f t="shared" si="396"/>
        <v>0</v>
      </c>
      <c r="Q6383" s="31" t="str">
        <f t="shared" si="397"/>
        <v/>
      </c>
      <c r="R6383" s="32" t="str">
        <f>IFERROR(VLOOKUP($D6383,'Informations sur les produits'!$A$3:$B$15000,2,FALSE),"")</f>
        <v/>
      </c>
      <c r="V6383">
        <f t="shared" si="398"/>
        <v>0</v>
      </c>
      <c r="W6383">
        <f t="shared" si="399"/>
        <v>0</v>
      </c>
    </row>
    <row r="6384" spans="5:23" x14ac:dyDescent="0.25">
      <c r="E6384" s="4"/>
      <c r="F6384" s="4"/>
      <c r="G6384" s="33" t="str">
        <f>IFERROR(VLOOKUP($D6384,'Informations sur les produits'!$A$3:$H$10000,8,FALSE),"0")</f>
        <v>0</v>
      </c>
      <c r="K6384" s="4"/>
      <c r="L6384" s="33" t="str">
        <f>IFERROR(VLOOKUP($J6384,'Informations sur les produits'!$A$3:$H$10000,8,FALSE),"0")</f>
        <v>0</v>
      </c>
      <c r="N6384" s="8"/>
      <c r="O6384" s="33" t="str">
        <f>IFERROR(VLOOKUP($M6384,'Informations sur les produits'!$A$3:$H$10000,8,FALSE),"0")</f>
        <v>0</v>
      </c>
      <c r="P6384" s="33">
        <f t="shared" si="396"/>
        <v>0</v>
      </c>
      <c r="Q6384" s="31" t="str">
        <f t="shared" si="397"/>
        <v/>
      </c>
      <c r="R6384" s="32" t="str">
        <f>IFERROR(VLOOKUP($D6384,'Informations sur les produits'!$A$3:$B$15000,2,FALSE),"")</f>
        <v/>
      </c>
      <c r="V6384">
        <f t="shared" si="398"/>
        <v>0</v>
      </c>
      <c r="W6384">
        <f t="shared" si="399"/>
        <v>0</v>
      </c>
    </row>
    <row r="6385" spans="5:23" x14ac:dyDescent="0.25">
      <c r="E6385" s="4"/>
      <c r="F6385" s="4"/>
      <c r="G6385" s="33" t="str">
        <f>IFERROR(VLOOKUP($D6385,'Informations sur les produits'!$A$3:$H$10000,8,FALSE),"0")</f>
        <v>0</v>
      </c>
      <c r="K6385" s="4"/>
      <c r="L6385" s="33" t="str">
        <f>IFERROR(VLOOKUP($J6385,'Informations sur les produits'!$A$3:$H$10000,8,FALSE),"0")</f>
        <v>0</v>
      </c>
      <c r="N6385" s="8"/>
      <c r="O6385" s="33" t="str">
        <f>IFERROR(VLOOKUP($M6385,'Informations sur les produits'!$A$3:$H$10000,8,FALSE),"0")</f>
        <v>0</v>
      </c>
      <c r="P6385" s="33">
        <f t="shared" si="396"/>
        <v>0</v>
      </c>
      <c r="Q6385" s="31" t="str">
        <f t="shared" si="397"/>
        <v/>
      </c>
      <c r="R6385" s="32" t="str">
        <f>IFERROR(VLOOKUP($D6385,'Informations sur les produits'!$A$3:$B$15000,2,FALSE),"")</f>
        <v/>
      </c>
      <c r="V6385">
        <f t="shared" si="398"/>
        <v>0</v>
      </c>
      <c r="W6385">
        <f t="shared" si="399"/>
        <v>0</v>
      </c>
    </row>
    <row r="6386" spans="5:23" x14ac:dyDescent="0.25">
      <c r="E6386" s="4"/>
      <c r="F6386" s="4"/>
      <c r="G6386" s="33" t="str">
        <f>IFERROR(VLOOKUP($D6386,'Informations sur les produits'!$A$3:$H$10000,8,FALSE),"0")</f>
        <v>0</v>
      </c>
      <c r="K6386" s="4"/>
      <c r="L6386" s="33" t="str">
        <f>IFERROR(VLOOKUP($J6386,'Informations sur les produits'!$A$3:$H$10000,8,FALSE),"0")</f>
        <v>0</v>
      </c>
      <c r="N6386" s="8"/>
      <c r="O6386" s="33" t="str">
        <f>IFERROR(VLOOKUP($M6386,'Informations sur les produits'!$A$3:$H$10000,8,FALSE),"0")</f>
        <v>0</v>
      </c>
      <c r="P6386" s="33">
        <f t="shared" si="396"/>
        <v>0</v>
      </c>
      <c r="Q6386" s="31" t="str">
        <f t="shared" si="397"/>
        <v/>
      </c>
      <c r="R6386" s="32" t="str">
        <f>IFERROR(VLOOKUP($D6386,'Informations sur les produits'!$A$3:$B$15000,2,FALSE),"")</f>
        <v/>
      </c>
      <c r="V6386">
        <f t="shared" si="398"/>
        <v>0</v>
      </c>
      <c r="W6386">
        <f t="shared" si="399"/>
        <v>0</v>
      </c>
    </row>
    <row r="6387" spans="5:23" x14ac:dyDescent="0.25">
      <c r="E6387" s="4"/>
      <c r="F6387" s="4"/>
      <c r="G6387" s="33" t="str">
        <f>IFERROR(VLOOKUP($D6387,'Informations sur les produits'!$A$3:$H$10000,8,FALSE),"0")</f>
        <v>0</v>
      </c>
      <c r="K6387" s="4"/>
      <c r="L6387" s="33" t="str">
        <f>IFERROR(VLOOKUP($J6387,'Informations sur les produits'!$A$3:$H$10000,8,FALSE),"0")</f>
        <v>0</v>
      </c>
      <c r="N6387" s="8"/>
      <c r="O6387" s="33" t="str">
        <f>IFERROR(VLOOKUP($M6387,'Informations sur les produits'!$A$3:$H$10000,8,FALSE),"0")</f>
        <v>0</v>
      </c>
      <c r="P6387" s="33">
        <f t="shared" si="396"/>
        <v>0</v>
      </c>
      <c r="Q6387" s="31" t="str">
        <f t="shared" si="397"/>
        <v/>
      </c>
      <c r="R6387" s="32" t="str">
        <f>IFERROR(VLOOKUP($D6387,'Informations sur les produits'!$A$3:$B$15000,2,FALSE),"")</f>
        <v/>
      </c>
      <c r="V6387">
        <f t="shared" si="398"/>
        <v>0</v>
      </c>
      <c r="W6387">
        <f t="shared" si="399"/>
        <v>0</v>
      </c>
    </row>
    <row r="6388" spans="5:23" x14ac:dyDescent="0.25">
      <c r="E6388" s="4"/>
      <c r="F6388" s="4"/>
      <c r="G6388" s="33" t="str">
        <f>IFERROR(VLOOKUP($D6388,'Informations sur les produits'!$A$3:$H$10000,8,FALSE),"0")</f>
        <v>0</v>
      </c>
      <c r="K6388" s="4"/>
      <c r="L6388" s="33" t="str">
        <f>IFERROR(VLOOKUP($J6388,'Informations sur les produits'!$A$3:$H$10000,8,FALSE),"0")</f>
        <v>0</v>
      </c>
      <c r="N6388" s="8"/>
      <c r="O6388" s="33" t="str">
        <f>IFERROR(VLOOKUP($M6388,'Informations sur les produits'!$A$3:$H$10000,8,FALSE),"0")</f>
        <v>0</v>
      </c>
      <c r="P6388" s="33">
        <f t="shared" si="396"/>
        <v>0</v>
      </c>
      <c r="Q6388" s="31" t="str">
        <f t="shared" si="397"/>
        <v/>
      </c>
      <c r="R6388" s="32" t="str">
        <f>IFERROR(VLOOKUP($D6388,'Informations sur les produits'!$A$3:$B$15000,2,FALSE),"")</f>
        <v/>
      </c>
      <c r="V6388">
        <f t="shared" si="398"/>
        <v>0</v>
      </c>
      <c r="W6388">
        <f t="shared" si="399"/>
        <v>0</v>
      </c>
    </row>
    <row r="6389" spans="5:23" x14ac:dyDescent="0.25">
      <c r="E6389" s="4"/>
      <c r="F6389" s="4"/>
      <c r="G6389" s="33" t="str">
        <f>IFERROR(VLOOKUP($D6389,'Informations sur les produits'!$A$3:$H$10000,8,FALSE),"0")</f>
        <v>0</v>
      </c>
      <c r="K6389" s="4"/>
      <c r="L6389" s="33" t="str">
        <f>IFERROR(VLOOKUP($J6389,'Informations sur les produits'!$A$3:$H$10000,8,FALSE),"0")</f>
        <v>0</v>
      </c>
      <c r="N6389" s="8"/>
      <c r="O6389" s="33" t="str">
        <f>IFERROR(VLOOKUP($M6389,'Informations sur les produits'!$A$3:$H$10000,8,FALSE),"0")</f>
        <v>0</v>
      </c>
      <c r="P6389" s="33">
        <f t="shared" si="396"/>
        <v>0</v>
      </c>
      <c r="Q6389" s="31" t="str">
        <f t="shared" si="397"/>
        <v/>
      </c>
      <c r="R6389" s="32" t="str">
        <f>IFERROR(VLOOKUP($D6389,'Informations sur les produits'!$A$3:$B$15000,2,FALSE),"")</f>
        <v/>
      </c>
      <c r="V6389">
        <f t="shared" si="398"/>
        <v>0</v>
      </c>
      <c r="W6389">
        <f t="shared" si="399"/>
        <v>0</v>
      </c>
    </row>
    <row r="6390" spans="5:23" x14ac:dyDescent="0.25">
      <c r="E6390" s="4"/>
      <c r="F6390" s="4"/>
      <c r="G6390" s="33" t="str">
        <f>IFERROR(VLOOKUP($D6390,'Informations sur les produits'!$A$3:$H$10000,8,FALSE),"0")</f>
        <v>0</v>
      </c>
      <c r="K6390" s="4"/>
      <c r="L6390" s="33" t="str">
        <f>IFERROR(VLOOKUP($J6390,'Informations sur les produits'!$A$3:$H$10000,8,FALSE),"0")</f>
        <v>0</v>
      </c>
      <c r="N6390" s="8"/>
      <c r="O6390" s="33" t="str">
        <f>IFERROR(VLOOKUP($M6390,'Informations sur les produits'!$A$3:$H$10000,8,FALSE),"0")</f>
        <v>0</v>
      </c>
      <c r="P6390" s="33">
        <f t="shared" si="396"/>
        <v>0</v>
      </c>
      <c r="Q6390" s="31" t="str">
        <f t="shared" si="397"/>
        <v/>
      </c>
      <c r="R6390" s="32" t="str">
        <f>IFERROR(VLOOKUP($D6390,'Informations sur les produits'!$A$3:$B$15000,2,FALSE),"")</f>
        <v/>
      </c>
      <c r="V6390">
        <f t="shared" si="398"/>
        <v>0</v>
      </c>
      <c r="W6390">
        <f t="shared" si="399"/>
        <v>0</v>
      </c>
    </row>
    <row r="6391" spans="5:23" x14ac:dyDescent="0.25">
      <c r="E6391" s="4"/>
      <c r="F6391" s="4"/>
      <c r="G6391" s="33" t="str">
        <f>IFERROR(VLOOKUP($D6391,'Informations sur les produits'!$A$3:$H$10000,8,FALSE),"0")</f>
        <v>0</v>
      </c>
      <c r="K6391" s="4"/>
      <c r="L6391" s="33" t="str">
        <f>IFERROR(VLOOKUP($J6391,'Informations sur les produits'!$A$3:$H$10000,8,FALSE),"0")</f>
        <v>0</v>
      </c>
      <c r="N6391" s="8"/>
      <c r="O6391" s="33" t="str">
        <f>IFERROR(VLOOKUP($M6391,'Informations sur les produits'!$A$3:$H$10000,8,FALSE),"0")</f>
        <v>0</v>
      </c>
      <c r="P6391" s="33">
        <f t="shared" si="396"/>
        <v>0</v>
      </c>
      <c r="Q6391" s="31" t="str">
        <f t="shared" si="397"/>
        <v/>
      </c>
      <c r="R6391" s="32" t="str">
        <f>IFERROR(VLOOKUP($D6391,'Informations sur les produits'!$A$3:$B$15000,2,FALSE),"")</f>
        <v/>
      </c>
      <c r="V6391">
        <f t="shared" si="398"/>
        <v>0</v>
      </c>
      <c r="W6391">
        <f t="shared" si="399"/>
        <v>0</v>
      </c>
    </row>
    <row r="6392" spans="5:23" x14ac:dyDescent="0.25">
      <c r="E6392" s="4"/>
      <c r="F6392" s="4"/>
      <c r="G6392" s="33" t="str">
        <f>IFERROR(VLOOKUP($D6392,'Informations sur les produits'!$A$3:$H$10000,8,FALSE),"0")</f>
        <v>0</v>
      </c>
      <c r="K6392" s="4"/>
      <c r="L6392" s="33" t="str">
        <f>IFERROR(VLOOKUP($J6392,'Informations sur les produits'!$A$3:$H$10000,8,FALSE),"0")</f>
        <v>0</v>
      </c>
      <c r="N6392" s="8"/>
      <c r="O6392" s="33" t="str">
        <f>IFERROR(VLOOKUP($M6392,'Informations sur les produits'!$A$3:$H$10000,8,FALSE),"0")</f>
        <v>0</v>
      </c>
      <c r="P6392" s="33">
        <f t="shared" si="396"/>
        <v>0</v>
      </c>
      <c r="Q6392" s="31" t="str">
        <f t="shared" si="397"/>
        <v/>
      </c>
      <c r="R6392" s="32" t="str">
        <f>IFERROR(VLOOKUP($D6392,'Informations sur les produits'!$A$3:$B$15000,2,FALSE),"")</f>
        <v/>
      </c>
      <c r="V6392">
        <f t="shared" si="398"/>
        <v>0</v>
      </c>
      <c r="W6392">
        <f t="shared" si="399"/>
        <v>0</v>
      </c>
    </row>
    <row r="6393" spans="5:23" x14ac:dyDescent="0.25">
      <c r="E6393" s="4"/>
      <c r="F6393" s="4"/>
      <c r="G6393" s="33" t="str">
        <f>IFERROR(VLOOKUP($D6393,'Informations sur les produits'!$A$3:$H$10000,8,FALSE),"0")</f>
        <v>0</v>
      </c>
      <c r="K6393" s="4"/>
      <c r="L6393" s="33" t="str">
        <f>IFERROR(VLOOKUP($J6393,'Informations sur les produits'!$A$3:$H$10000,8,FALSE),"0")</f>
        <v>0</v>
      </c>
      <c r="N6393" s="8"/>
      <c r="O6393" s="33" t="str">
        <f>IFERROR(VLOOKUP($M6393,'Informations sur les produits'!$A$3:$H$10000,8,FALSE),"0")</f>
        <v>0</v>
      </c>
      <c r="P6393" s="33">
        <f t="shared" si="396"/>
        <v>0</v>
      </c>
      <c r="Q6393" s="31" t="str">
        <f t="shared" si="397"/>
        <v/>
      </c>
      <c r="R6393" s="32" t="str">
        <f>IFERROR(VLOOKUP($D6393,'Informations sur les produits'!$A$3:$B$15000,2,FALSE),"")</f>
        <v/>
      </c>
      <c r="V6393">
        <f t="shared" si="398"/>
        <v>0</v>
      </c>
      <c r="W6393">
        <f t="shared" si="399"/>
        <v>0</v>
      </c>
    </row>
    <row r="6394" spans="5:23" x14ac:dyDescent="0.25">
      <c r="E6394" s="4"/>
      <c r="F6394" s="4"/>
      <c r="G6394" s="33" t="str">
        <f>IFERROR(VLOOKUP($D6394,'Informations sur les produits'!$A$3:$H$10000,8,FALSE),"0")</f>
        <v>0</v>
      </c>
      <c r="K6394" s="4"/>
      <c r="L6394" s="33" t="str">
        <f>IFERROR(VLOOKUP($J6394,'Informations sur les produits'!$A$3:$H$10000,8,FALSE),"0")</f>
        <v>0</v>
      </c>
      <c r="N6394" s="8"/>
      <c r="O6394" s="33" t="str">
        <f>IFERROR(VLOOKUP($M6394,'Informations sur les produits'!$A$3:$H$10000,8,FALSE),"0")</f>
        <v>0</v>
      </c>
      <c r="P6394" s="33">
        <f t="shared" si="396"/>
        <v>0</v>
      </c>
      <c r="Q6394" s="31" t="str">
        <f t="shared" si="397"/>
        <v/>
      </c>
      <c r="R6394" s="32" t="str">
        <f>IFERROR(VLOOKUP($D6394,'Informations sur les produits'!$A$3:$B$15000,2,FALSE),"")</f>
        <v/>
      </c>
      <c r="V6394">
        <f t="shared" si="398"/>
        <v>0</v>
      </c>
      <c r="W6394">
        <f t="shared" si="399"/>
        <v>0</v>
      </c>
    </row>
    <row r="6395" spans="5:23" x14ac:dyDescent="0.25">
      <c r="E6395" s="4"/>
      <c r="F6395" s="4"/>
      <c r="G6395" s="33" t="str">
        <f>IFERROR(VLOOKUP($D6395,'Informations sur les produits'!$A$3:$H$10000,8,FALSE),"0")</f>
        <v>0</v>
      </c>
      <c r="K6395" s="4"/>
      <c r="L6395" s="33" t="str">
        <f>IFERROR(VLOOKUP($J6395,'Informations sur les produits'!$A$3:$H$10000,8,FALSE),"0")</f>
        <v>0</v>
      </c>
      <c r="N6395" s="8"/>
      <c r="O6395" s="33" t="str">
        <f>IFERROR(VLOOKUP($M6395,'Informations sur les produits'!$A$3:$H$10000,8,FALSE),"0")</f>
        <v>0</v>
      </c>
      <c r="P6395" s="33">
        <f t="shared" si="396"/>
        <v>0</v>
      </c>
      <c r="Q6395" s="31" t="str">
        <f t="shared" si="397"/>
        <v/>
      </c>
      <c r="R6395" s="32" t="str">
        <f>IFERROR(VLOOKUP($D6395,'Informations sur les produits'!$A$3:$B$15000,2,FALSE),"")</f>
        <v/>
      </c>
      <c r="V6395">
        <f t="shared" si="398"/>
        <v>0</v>
      </c>
      <c r="W6395">
        <f t="shared" si="399"/>
        <v>0</v>
      </c>
    </row>
    <row r="6396" spans="5:23" x14ac:dyDescent="0.25">
      <c r="E6396" s="4"/>
      <c r="F6396" s="4"/>
      <c r="G6396" s="33" t="str">
        <f>IFERROR(VLOOKUP($D6396,'Informations sur les produits'!$A$3:$H$10000,8,FALSE),"0")</f>
        <v>0</v>
      </c>
      <c r="K6396" s="4"/>
      <c r="L6396" s="33" t="str">
        <f>IFERROR(VLOOKUP($J6396,'Informations sur les produits'!$A$3:$H$10000,8,FALSE),"0")</f>
        <v>0</v>
      </c>
      <c r="N6396" s="8"/>
      <c r="O6396" s="33" t="str">
        <f>IFERROR(VLOOKUP($M6396,'Informations sur les produits'!$A$3:$H$10000,8,FALSE),"0")</f>
        <v>0</v>
      </c>
      <c r="P6396" s="33">
        <f t="shared" si="396"/>
        <v>0</v>
      </c>
      <c r="Q6396" s="31" t="str">
        <f t="shared" si="397"/>
        <v/>
      </c>
      <c r="R6396" s="32" t="str">
        <f>IFERROR(VLOOKUP($D6396,'Informations sur les produits'!$A$3:$B$15000,2,FALSE),"")</f>
        <v/>
      </c>
      <c r="V6396">
        <f t="shared" si="398"/>
        <v>0</v>
      </c>
      <c r="W6396">
        <f t="shared" si="399"/>
        <v>0</v>
      </c>
    </row>
    <row r="6397" spans="5:23" x14ac:dyDescent="0.25">
      <c r="E6397" s="4"/>
      <c r="F6397" s="4"/>
      <c r="G6397" s="33" t="str">
        <f>IFERROR(VLOOKUP($D6397,'Informations sur les produits'!$A$3:$H$10000,8,FALSE),"0")</f>
        <v>0</v>
      </c>
      <c r="K6397" s="4"/>
      <c r="L6397" s="33" t="str">
        <f>IFERROR(VLOOKUP($J6397,'Informations sur les produits'!$A$3:$H$10000,8,FALSE),"0")</f>
        <v>0</v>
      </c>
      <c r="N6397" s="8"/>
      <c r="O6397" s="33" t="str">
        <f>IFERROR(VLOOKUP($M6397,'Informations sur les produits'!$A$3:$H$10000,8,FALSE),"0")</f>
        <v>0</v>
      </c>
      <c r="P6397" s="33">
        <f t="shared" si="396"/>
        <v>0</v>
      </c>
      <c r="Q6397" s="31" t="str">
        <f t="shared" si="397"/>
        <v/>
      </c>
      <c r="R6397" s="32" t="str">
        <f>IFERROR(VLOOKUP($D6397,'Informations sur les produits'!$A$3:$B$15000,2,FALSE),"")</f>
        <v/>
      </c>
      <c r="V6397">
        <f t="shared" si="398"/>
        <v>0</v>
      </c>
      <c r="W6397">
        <f t="shared" si="399"/>
        <v>0</v>
      </c>
    </row>
    <row r="6398" spans="5:23" x14ac:dyDescent="0.25">
      <c r="E6398" s="4"/>
      <c r="F6398" s="4"/>
      <c r="G6398" s="33" t="str">
        <f>IFERROR(VLOOKUP($D6398,'Informations sur les produits'!$A$3:$H$10000,8,FALSE),"0")</f>
        <v>0</v>
      </c>
      <c r="K6398" s="4"/>
      <c r="L6398" s="33" t="str">
        <f>IFERROR(VLOOKUP($J6398,'Informations sur les produits'!$A$3:$H$10000,8,FALSE),"0")</f>
        <v>0</v>
      </c>
      <c r="N6398" s="8"/>
      <c r="O6398" s="33" t="str">
        <f>IFERROR(VLOOKUP($M6398,'Informations sur les produits'!$A$3:$H$10000,8,FALSE),"0")</f>
        <v>0</v>
      </c>
      <c r="P6398" s="33">
        <f t="shared" si="396"/>
        <v>0</v>
      </c>
      <c r="Q6398" s="31" t="str">
        <f t="shared" si="397"/>
        <v/>
      </c>
      <c r="R6398" s="32" t="str">
        <f>IFERROR(VLOOKUP($D6398,'Informations sur les produits'!$A$3:$B$15000,2,FALSE),"")</f>
        <v/>
      </c>
      <c r="V6398">
        <f t="shared" si="398"/>
        <v>0</v>
      </c>
      <c r="W6398">
        <f t="shared" si="399"/>
        <v>0</v>
      </c>
    </row>
    <row r="6399" spans="5:23" x14ac:dyDescent="0.25">
      <c r="E6399" s="4"/>
      <c r="F6399" s="4"/>
      <c r="G6399" s="33" t="str">
        <f>IFERROR(VLOOKUP($D6399,'Informations sur les produits'!$A$3:$H$10000,8,FALSE),"0")</f>
        <v>0</v>
      </c>
      <c r="K6399" s="4"/>
      <c r="L6399" s="33" t="str">
        <f>IFERROR(VLOOKUP($J6399,'Informations sur les produits'!$A$3:$H$10000,8,FALSE),"0")</f>
        <v>0</v>
      </c>
      <c r="N6399" s="8"/>
      <c r="O6399" s="33" t="str">
        <f>IFERROR(VLOOKUP($M6399,'Informations sur les produits'!$A$3:$H$10000,8,FALSE),"0")</f>
        <v>0</v>
      </c>
      <c r="P6399" s="33">
        <f t="shared" si="396"/>
        <v>0</v>
      </c>
      <c r="Q6399" s="31" t="str">
        <f t="shared" si="397"/>
        <v/>
      </c>
      <c r="R6399" s="32" t="str">
        <f>IFERROR(VLOOKUP($D6399,'Informations sur les produits'!$A$3:$B$15000,2,FALSE),"")</f>
        <v/>
      </c>
      <c r="V6399">
        <f t="shared" si="398"/>
        <v>0</v>
      </c>
      <c r="W6399">
        <f t="shared" si="399"/>
        <v>0</v>
      </c>
    </row>
    <row r="6400" spans="5:23" x14ac:dyDescent="0.25">
      <c r="E6400" s="4"/>
      <c r="F6400" s="4"/>
      <c r="G6400" s="33" t="str">
        <f>IFERROR(VLOOKUP($D6400,'Informations sur les produits'!$A$3:$H$10000,8,FALSE),"0")</f>
        <v>0</v>
      </c>
      <c r="K6400" s="4"/>
      <c r="L6400" s="33" t="str">
        <f>IFERROR(VLOOKUP($J6400,'Informations sur les produits'!$A$3:$H$10000,8,FALSE),"0")</f>
        <v>0</v>
      </c>
      <c r="N6400" s="8"/>
      <c r="O6400" s="33" t="str">
        <f>IFERROR(VLOOKUP($M6400,'Informations sur les produits'!$A$3:$H$10000,8,FALSE),"0")</f>
        <v>0</v>
      </c>
      <c r="P6400" s="33">
        <f t="shared" si="396"/>
        <v>0</v>
      </c>
      <c r="Q6400" s="31" t="str">
        <f t="shared" si="397"/>
        <v/>
      </c>
      <c r="R6400" s="32" t="str">
        <f>IFERROR(VLOOKUP($D6400,'Informations sur les produits'!$A$3:$B$15000,2,FALSE),"")</f>
        <v/>
      </c>
      <c r="V6400">
        <f t="shared" si="398"/>
        <v>0</v>
      </c>
      <c r="W6400">
        <f t="shared" si="399"/>
        <v>0</v>
      </c>
    </row>
    <row r="6401" spans="5:23" x14ac:dyDescent="0.25">
      <c r="E6401" s="4"/>
      <c r="F6401" s="4"/>
      <c r="G6401" s="33" t="str">
        <f>IFERROR(VLOOKUP($D6401,'Informations sur les produits'!$A$3:$H$10000,8,FALSE),"0")</f>
        <v>0</v>
      </c>
      <c r="K6401" s="4"/>
      <c r="L6401" s="33" t="str">
        <f>IFERROR(VLOOKUP($J6401,'Informations sur les produits'!$A$3:$H$10000,8,FALSE),"0")</f>
        <v>0</v>
      </c>
      <c r="N6401" s="8"/>
      <c r="O6401" s="33" t="str">
        <f>IFERROR(VLOOKUP($M6401,'Informations sur les produits'!$A$3:$H$10000,8,FALSE),"0")</f>
        <v>0</v>
      </c>
      <c r="P6401" s="33">
        <f t="shared" si="396"/>
        <v>0</v>
      </c>
      <c r="Q6401" s="31" t="str">
        <f t="shared" si="397"/>
        <v/>
      </c>
      <c r="R6401" s="32" t="str">
        <f>IFERROR(VLOOKUP($D6401,'Informations sur les produits'!$A$3:$B$15000,2,FALSE),"")</f>
        <v/>
      </c>
      <c r="V6401">
        <f t="shared" si="398"/>
        <v>0</v>
      </c>
      <c r="W6401">
        <f t="shared" si="399"/>
        <v>0</v>
      </c>
    </row>
    <row r="6402" spans="5:23" x14ac:dyDescent="0.25">
      <c r="E6402" s="4"/>
      <c r="F6402" s="4"/>
      <c r="G6402" s="33" t="str">
        <f>IFERROR(VLOOKUP($D6402,'Informations sur les produits'!$A$3:$H$10000,8,FALSE),"0")</f>
        <v>0</v>
      </c>
      <c r="K6402" s="4"/>
      <c r="L6402" s="33" t="str">
        <f>IFERROR(VLOOKUP($J6402,'Informations sur les produits'!$A$3:$H$10000,8,FALSE),"0")</f>
        <v>0</v>
      </c>
      <c r="N6402" s="8"/>
      <c r="O6402" s="33" t="str">
        <f>IFERROR(VLOOKUP($M6402,'Informations sur les produits'!$A$3:$H$10000,8,FALSE),"0")</f>
        <v>0</v>
      </c>
      <c r="P6402" s="33">
        <f t="shared" si="396"/>
        <v>0</v>
      </c>
      <c r="Q6402" s="31" t="str">
        <f t="shared" si="397"/>
        <v/>
      </c>
      <c r="R6402" s="32" t="str">
        <f>IFERROR(VLOOKUP($D6402,'Informations sur les produits'!$A$3:$B$15000,2,FALSE),"")</f>
        <v/>
      </c>
      <c r="V6402">
        <f t="shared" si="398"/>
        <v>0</v>
      </c>
      <c r="W6402">
        <f t="shared" si="399"/>
        <v>0</v>
      </c>
    </row>
    <row r="6403" spans="5:23" x14ac:dyDescent="0.25">
      <c r="E6403" s="4"/>
      <c r="F6403" s="4"/>
      <c r="G6403" s="33" t="str">
        <f>IFERROR(VLOOKUP($D6403,'Informations sur les produits'!$A$3:$H$10000,8,FALSE),"0")</f>
        <v>0</v>
      </c>
      <c r="K6403" s="4"/>
      <c r="L6403" s="33" t="str">
        <f>IFERROR(VLOOKUP($J6403,'Informations sur les produits'!$A$3:$H$10000,8,FALSE),"0")</f>
        <v>0</v>
      </c>
      <c r="N6403" s="8"/>
      <c r="O6403" s="33" t="str">
        <f>IFERROR(VLOOKUP($M6403,'Informations sur les produits'!$A$3:$H$10000,8,FALSE),"0")</f>
        <v>0</v>
      </c>
      <c r="P6403" s="33">
        <f t="shared" si="396"/>
        <v>0</v>
      </c>
      <c r="Q6403" s="31" t="str">
        <f t="shared" si="397"/>
        <v/>
      </c>
      <c r="R6403" s="32" t="str">
        <f>IFERROR(VLOOKUP($D6403,'Informations sur les produits'!$A$3:$B$15000,2,FALSE),"")</f>
        <v/>
      </c>
      <c r="V6403">
        <f t="shared" si="398"/>
        <v>0</v>
      </c>
      <c r="W6403">
        <f t="shared" si="399"/>
        <v>0</v>
      </c>
    </row>
    <row r="6404" spans="5:23" x14ac:dyDescent="0.25">
      <c r="E6404" s="4"/>
      <c r="F6404" s="4"/>
      <c r="G6404" s="33" t="str">
        <f>IFERROR(VLOOKUP($D6404,'Informations sur les produits'!$A$3:$H$10000,8,FALSE),"0")</f>
        <v>0</v>
      </c>
      <c r="K6404" s="4"/>
      <c r="L6404" s="33" t="str">
        <f>IFERROR(VLOOKUP($J6404,'Informations sur les produits'!$A$3:$H$10000,8,FALSE),"0")</f>
        <v>0</v>
      </c>
      <c r="N6404" s="8"/>
      <c r="O6404" s="33" t="str">
        <f>IFERROR(VLOOKUP($M6404,'Informations sur les produits'!$A$3:$H$10000,8,FALSE),"0")</f>
        <v>0</v>
      </c>
      <c r="P6404" s="33">
        <f t="shared" ref="P6404:P6467" si="400">IFERROR((($E6404-$F6404)*$G6404+$K6404*$L6404+$N6404*$O6404),"")</f>
        <v>0</v>
      </c>
      <c r="Q6404" s="31" t="str">
        <f t="shared" ref="Q6404:Q6467" si="401">IFERROR((((($E6404-$F6404)*$G6404+$K6404*$L6404+$N6404*$O6404)*1000)/(($E6404-$F6404)+$K6404+$N6404)),"")</f>
        <v/>
      </c>
      <c r="R6404" s="32" t="str">
        <f>IFERROR(VLOOKUP($D6404,'Informations sur les produits'!$A$3:$B$15000,2,FALSE),"")</f>
        <v/>
      </c>
      <c r="V6404">
        <f t="shared" ref="V6404:V6467" si="402">IFERROR(P6404*1000,"")</f>
        <v>0</v>
      </c>
      <c r="W6404">
        <f t="shared" ref="W6404:W6467" si="403">IFERROR(($E6404-$F6404)+$K6404+$N6404,"")</f>
        <v>0</v>
      </c>
    </row>
    <row r="6405" spans="5:23" x14ac:dyDescent="0.25">
      <c r="E6405" s="4"/>
      <c r="F6405" s="4"/>
      <c r="G6405" s="33" t="str">
        <f>IFERROR(VLOOKUP($D6405,'Informations sur les produits'!$A$3:$H$10000,8,FALSE),"0")</f>
        <v>0</v>
      </c>
      <c r="K6405" s="4"/>
      <c r="L6405" s="33" t="str">
        <f>IFERROR(VLOOKUP($J6405,'Informations sur les produits'!$A$3:$H$10000,8,FALSE),"0")</f>
        <v>0</v>
      </c>
      <c r="N6405" s="8"/>
      <c r="O6405" s="33" t="str">
        <f>IFERROR(VLOOKUP($M6405,'Informations sur les produits'!$A$3:$H$10000,8,FALSE),"0")</f>
        <v>0</v>
      </c>
      <c r="P6405" s="33">
        <f t="shared" si="400"/>
        <v>0</v>
      </c>
      <c r="Q6405" s="31" t="str">
        <f t="shared" si="401"/>
        <v/>
      </c>
      <c r="R6405" s="32" t="str">
        <f>IFERROR(VLOOKUP($D6405,'Informations sur les produits'!$A$3:$B$15000,2,FALSE),"")</f>
        <v/>
      </c>
      <c r="V6405">
        <f t="shared" si="402"/>
        <v>0</v>
      </c>
      <c r="W6405">
        <f t="shared" si="403"/>
        <v>0</v>
      </c>
    </row>
    <row r="6406" spans="5:23" x14ac:dyDescent="0.25">
      <c r="E6406" s="4"/>
      <c r="F6406" s="4"/>
      <c r="G6406" s="33" t="str">
        <f>IFERROR(VLOOKUP($D6406,'Informations sur les produits'!$A$3:$H$10000,8,FALSE),"0")</f>
        <v>0</v>
      </c>
      <c r="K6406" s="4"/>
      <c r="L6406" s="33" t="str">
        <f>IFERROR(VLOOKUP($J6406,'Informations sur les produits'!$A$3:$H$10000,8,FALSE),"0")</f>
        <v>0</v>
      </c>
      <c r="N6406" s="8"/>
      <c r="O6406" s="33" t="str">
        <f>IFERROR(VLOOKUP($M6406,'Informations sur les produits'!$A$3:$H$10000,8,FALSE),"0")</f>
        <v>0</v>
      </c>
      <c r="P6406" s="33">
        <f t="shared" si="400"/>
        <v>0</v>
      </c>
      <c r="Q6406" s="31" t="str">
        <f t="shared" si="401"/>
        <v/>
      </c>
      <c r="R6406" s="32" t="str">
        <f>IFERROR(VLOOKUP($D6406,'Informations sur les produits'!$A$3:$B$15000,2,FALSE),"")</f>
        <v/>
      </c>
      <c r="V6406">
        <f t="shared" si="402"/>
        <v>0</v>
      </c>
      <c r="W6406">
        <f t="shared" si="403"/>
        <v>0</v>
      </c>
    </row>
    <row r="6407" spans="5:23" x14ac:dyDescent="0.25">
      <c r="E6407" s="4"/>
      <c r="F6407" s="4"/>
      <c r="G6407" s="33" t="str">
        <f>IFERROR(VLOOKUP($D6407,'Informations sur les produits'!$A$3:$H$10000,8,FALSE),"0")</f>
        <v>0</v>
      </c>
      <c r="K6407" s="4"/>
      <c r="L6407" s="33" t="str">
        <f>IFERROR(VLOOKUP($J6407,'Informations sur les produits'!$A$3:$H$10000,8,FALSE),"0")</f>
        <v>0</v>
      </c>
      <c r="N6407" s="8"/>
      <c r="O6407" s="33" t="str">
        <f>IFERROR(VLOOKUP($M6407,'Informations sur les produits'!$A$3:$H$10000,8,FALSE),"0")</f>
        <v>0</v>
      </c>
      <c r="P6407" s="33">
        <f t="shared" si="400"/>
        <v>0</v>
      </c>
      <c r="Q6407" s="31" t="str">
        <f t="shared" si="401"/>
        <v/>
      </c>
      <c r="R6407" s="32" t="str">
        <f>IFERROR(VLOOKUP($D6407,'Informations sur les produits'!$A$3:$B$15000,2,FALSE),"")</f>
        <v/>
      </c>
      <c r="V6407">
        <f t="shared" si="402"/>
        <v>0</v>
      </c>
      <c r="W6407">
        <f t="shared" si="403"/>
        <v>0</v>
      </c>
    </row>
    <row r="6408" spans="5:23" x14ac:dyDescent="0.25">
      <c r="E6408" s="4"/>
      <c r="F6408" s="4"/>
      <c r="G6408" s="33" t="str">
        <f>IFERROR(VLOOKUP($D6408,'Informations sur les produits'!$A$3:$H$10000,8,FALSE),"0")</f>
        <v>0</v>
      </c>
      <c r="K6408" s="4"/>
      <c r="L6408" s="33" t="str">
        <f>IFERROR(VLOOKUP($J6408,'Informations sur les produits'!$A$3:$H$10000,8,FALSE),"0")</f>
        <v>0</v>
      </c>
      <c r="N6408" s="8"/>
      <c r="O6408" s="33" t="str">
        <f>IFERROR(VLOOKUP($M6408,'Informations sur les produits'!$A$3:$H$10000,8,FALSE),"0")</f>
        <v>0</v>
      </c>
      <c r="P6408" s="33">
        <f t="shared" si="400"/>
        <v>0</v>
      </c>
      <c r="Q6408" s="31" t="str">
        <f t="shared" si="401"/>
        <v/>
      </c>
      <c r="R6408" s="32" t="str">
        <f>IFERROR(VLOOKUP($D6408,'Informations sur les produits'!$A$3:$B$15000,2,FALSE),"")</f>
        <v/>
      </c>
      <c r="V6408">
        <f t="shared" si="402"/>
        <v>0</v>
      </c>
      <c r="W6408">
        <f t="shared" si="403"/>
        <v>0</v>
      </c>
    </row>
    <row r="6409" spans="5:23" x14ac:dyDescent="0.25">
      <c r="E6409" s="4"/>
      <c r="F6409" s="4"/>
      <c r="G6409" s="33" t="str">
        <f>IFERROR(VLOOKUP($D6409,'Informations sur les produits'!$A$3:$H$10000,8,FALSE),"0")</f>
        <v>0</v>
      </c>
      <c r="K6409" s="4"/>
      <c r="L6409" s="33" t="str">
        <f>IFERROR(VLOOKUP($J6409,'Informations sur les produits'!$A$3:$H$10000,8,FALSE),"0")</f>
        <v>0</v>
      </c>
      <c r="N6409" s="8"/>
      <c r="O6409" s="33" t="str">
        <f>IFERROR(VLOOKUP($M6409,'Informations sur les produits'!$A$3:$H$10000,8,FALSE),"0")</f>
        <v>0</v>
      </c>
      <c r="P6409" s="33">
        <f t="shared" si="400"/>
        <v>0</v>
      </c>
      <c r="Q6409" s="31" t="str">
        <f t="shared" si="401"/>
        <v/>
      </c>
      <c r="R6409" s="32" t="str">
        <f>IFERROR(VLOOKUP($D6409,'Informations sur les produits'!$A$3:$B$15000,2,FALSE),"")</f>
        <v/>
      </c>
      <c r="V6409">
        <f t="shared" si="402"/>
        <v>0</v>
      </c>
      <c r="W6409">
        <f t="shared" si="403"/>
        <v>0</v>
      </c>
    </row>
    <row r="6410" spans="5:23" x14ac:dyDescent="0.25">
      <c r="E6410" s="4"/>
      <c r="F6410" s="4"/>
      <c r="G6410" s="33" t="str">
        <f>IFERROR(VLOOKUP($D6410,'Informations sur les produits'!$A$3:$H$10000,8,FALSE),"0")</f>
        <v>0</v>
      </c>
      <c r="K6410" s="4"/>
      <c r="L6410" s="33" t="str">
        <f>IFERROR(VLOOKUP($J6410,'Informations sur les produits'!$A$3:$H$10000,8,FALSE),"0")</f>
        <v>0</v>
      </c>
      <c r="N6410" s="8"/>
      <c r="O6410" s="33" t="str">
        <f>IFERROR(VLOOKUP($M6410,'Informations sur les produits'!$A$3:$H$10000,8,FALSE),"0")</f>
        <v>0</v>
      </c>
      <c r="P6410" s="33">
        <f t="shared" si="400"/>
        <v>0</v>
      </c>
      <c r="Q6410" s="31" t="str">
        <f t="shared" si="401"/>
        <v/>
      </c>
      <c r="R6410" s="32" t="str">
        <f>IFERROR(VLOOKUP($D6410,'Informations sur les produits'!$A$3:$B$15000,2,FALSE),"")</f>
        <v/>
      </c>
      <c r="V6410">
        <f t="shared" si="402"/>
        <v>0</v>
      </c>
      <c r="W6410">
        <f t="shared" si="403"/>
        <v>0</v>
      </c>
    </row>
    <row r="6411" spans="5:23" x14ac:dyDescent="0.25">
      <c r="E6411" s="4"/>
      <c r="F6411" s="4"/>
      <c r="G6411" s="33" t="str">
        <f>IFERROR(VLOOKUP($D6411,'Informations sur les produits'!$A$3:$H$10000,8,FALSE),"0")</f>
        <v>0</v>
      </c>
      <c r="K6411" s="4"/>
      <c r="L6411" s="33" t="str">
        <f>IFERROR(VLOOKUP($J6411,'Informations sur les produits'!$A$3:$H$10000,8,FALSE),"0")</f>
        <v>0</v>
      </c>
      <c r="N6411" s="8"/>
      <c r="O6411" s="33" t="str">
        <f>IFERROR(VLOOKUP($M6411,'Informations sur les produits'!$A$3:$H$10000,8,FALSE),"0")</f>
        <v>0</v>
      </c>
      <c r="P6411" s="33">
        <f t="shared" si="400"/>
        <v>0</v>
      </c>
      <c r="Q6411" s="31" t="str">
        <f t="shared" si="401"/>
        <v/>
      </c>
      <c r="R6411" s="32" t="str">
        <f>IFERROR(VLOOKUP($D6411,'Informations sur les produits'!$A$3:$B$15000,2,FALSE),"")</f>
        <v/>
      </c>
      <c r="V6411">
        <f t="shared" si="402"/>
        <v>0</v>
      </c>
      <c r="W6411">
        <f t="shared" si="403"/>
        <v>0</v>
      </c>
    </row>
    <row r="6412" spans="5:23" x14ac:dyDescent="0.25">
      <c r="E6412" s="4"/>
      <c r="F6412" s="4"/>
      <c r="G6412" s="33" t="str">
        <f>IFERROR(VLOOKUP($D6412,'Informations sur les produits'!$A$3:$H$10000,8,FALSE),"0")</f>
        <v>0</v>
      </c>
      <c r="K6412" s="4"/>
      <c r="L6412" s="33" t="str">
        <f>IFERROR(VLOOKUP($J6412,'Informations sur les produits'!$A$3:$H$10000,8,FALSE),"0")</f>
        <v>0</v>
      </c>
      <c r="N6412" s="8"/>
      <c r="O6412" s="33" t="str">
        <f>IFERROR(VLOOKUP($M6412,'Informations sur les produits'!$A$3:$H$10000,8,FALSE),"0")</f>
        <v>0</v>
      </c>
      <c r="P6412" s="33">
        <f t="shared" si="400"/>
        <v>0</v>
      </c>
      <c r="Q6412" s="31" t="str">
        <f t="shared" si="401"/>
        <v/>
      </c>
      <c r="R6412" s="32" t="str">
        <f>IFERROR(VLOOKUP($D6412,'Informations sur les produits'!$A$3:$B$15000,2,FALSE),"")</f>
        <v/>
      </c>
      <c r="V6412">
        <f t="shared" si="402"/>
        <v>0</v>
      </c>
      <c r="W6412">
        <f t="shared" si="403"/>
        <v>0</v>
      </c>
    </row>
    <row r="6413" spans="5:23" x14ac:dyDescent="0.25">
      <c r="E6413" s="4"/>
      <c r="F6413" s="4"/>
      <c r="G6413" s="33" t="str">
        <f>IFERROR(VLOOKUP($D6413,'Informations sur les produits'!$A$3:$H$10000,8,FALSE),"0")</f>
        <v>0</v>
      </c>
      <c r="K6413" s="4"/>
      <c r="L6413" s="33" t="str">
        <f>IFERROR(VLOOKUP($J6413,'Informations sur les produits'!$A$3:$H$10000,8,FALSE),"0")</f>
        <v>0</v>
      </c>
      <c r="N6413" s="8"/>
      <c r="O6413" s="33" t="str">
        <f>IFERROR(VLOOKUP($M6413,'Informations sur les produits'!$A$3:$H$10000,8,FALSE),"0")</f>
        <v>0</v>
      </c>
      <c r="P6413" s="33">
        <f t="shared" si="400"/>
        <v>0</v>
      </c>
      <c r="Q6413" s="31" t="str">
        <f t="shared" si="401"/>
        <v/>
      </c>
      <c r="R6413" s="32" t="str">
        <f>IFERROR(VLOOKUP($D6413,'Informations sur les produits'!$A$3:$B$15000,2,FALSE),"")</f>
        <v/>
      </c>
      <c r="V6413">
        <f t="shared" si="402"/>
        <v>0</v>
      </c>
      <c r="W6413">
        <f t="shared" si="403"/>
        <v>0</v>
      </c>
    </row>
    <row r="6414" spans="5:23" x14ac:dyDescent="0.25">
      <c r="E6414" s="4"/>
      <c r="F6414" s="4"/>
      <c r="G6414" s="33" t="str">
        <f>IFERROR(VLOOKUP($D6414,'Informations sur les produits'!$A$3:$H$10000,8,FALSE),"0")</f>
        <v>0</v>
      </c>
      <c r="K6414" s="4"/>
      <c r="L6414" s="33" t="str">
        <f>IFERROR(VLOOKUP($J6414,'Informations sur les produits'!$A$3:$H$10000,8,FALSE),"0")</f>
        <v>0</v>
      </c>
      <c r="N6414" s="8"/>
      <c r="O6414" s="33" t="str">
        <f>IFERROR(VLOOKUP($M6414,'Informations sur les produits'!$A$3:$H$10000,8,FALSE),"0")</f>
        <v>0</v>
      </c>
      <c r="P6414" s="33">
        <f t="shared" si="400"/>
        <v>0</v>
      </c>
      <c r="Q6414" s="31" t="str">
        <f t="shared" si="401"/>
        <v/>
      </c>
      <c r="R6414" s="32" t="str">
        <f>IFERROR(VLOOKUP($D6414,'Informations sur les produits'!$A$3:$B$15000,2,FALSE),"")</f>
        <v/>
      </c>
      <c r="V6414">
        <f t="shared" si="402"/>
        <v>0</v>
      </c>
      <c r="W6414">
        <f t="shared" si="403"/>
        <v>0</v>
      </c>
    </row>
    <row r="6415" spans="5:23" x14ac:dyDescent="0.25">
      <c r="E6415" s="4"/>
      <c r="F6415" s="4"/>
      <c r="G6415" s="33" t="str">
        <f>IFERROR(VLOOKUP($D6415,'Informations sur les produits'!$A$3:$H$10000,8,FALSE),"0")</f>
        <v>0</v>
      </c>
      <c r="K6415" s="4"/>
      <c r="L6415" s="33" t="str">
        <f>IFERROR(VLOOKUP($J6415,'Informations sur les produits'!$A$3:$H$10000,8,FALSE),"0")</f>
        <v>0</v>
      </c>
      <c r="N6415" s="8"/>
      <c r="O6415" s="33" t="str">
        <f>IFERROR(VLOOKUP($M6415,'Informations sur les produits'!$A$3:$H$10000,8,FALSE),"0")</f>
        <v>0</v>
      </c>
      <c r="P6415" s="33">
        <f t="shared" si="400"/>
        <v>0</v>
      </c>
      <c r="Q6415" s="31" t="str">
        <f t="shared" si="401"/>
        <v/>
      </c>
      <c r="R6415" s="32" t="str">
        <f>IFERROR(VLOOKUP($D6415,'Informations sur les produits'!$A$3:$B$15000,2,FALSE),"")</f>
        <v/>
      </c>
      <c r="V6415">
        <f t="shared" si="402"/>
        <v>0</v>
      </c>
      <c r="W6415">
        <f t="shared" si="403"/>
        <v>0</v>
      </c>
    </row>
    <row r="6416" spans="5:23" x14ac:dyDescent="0.25">
      <c r="E6416" s="4"/>
      <c r="F6416" s="4"/>
      <c r="G6416" s="33" t="str">
        <f>IFERROR(VLOOKUP($D6416,'Informations sur les produits'!$A$3:$H$10000,8,FALSE),"0")</f>
        <v>0</v>
      </c>
      <c r="K6416" s="4"/>
      <c r="L6416" s="33" t="str">
        <f>IFERROR(VLOOKUP($J6416,'Informations sur les produits'!$A$3:$H$10000,8,FALSE),"0")</f>
        <v>0</v>
      </c>
      <c r="N6416" s="8"/>
      <c r="O6416" s="33" t="str">
        <f>IFERROR(VLOOKUP($M6416,'Informations sur les produits'!$A$3:$H$10000,8,FALSE),"0")</f>
        <v>0</v>
      </c>
      <c r="P6416" s="33">
        <f t="shared" si="400"/>
        <v>0</v>
      </c>
      <c r="Q6416" s="31" t="str">
        <f t="shared" si="401"/>
        <v/>
      </c>
      <c r="R6416" s="32" t="str">
        <f>IFERROR(VLOOKUP($D6416,'Informations sur les produits'!$A$3:$B$15000,2,FALSE),"")</f>
        <v/>
      </c>
      <c r="V6416">
        <f t="shared" si="402"/>
        <v>0</v>
      </c>
      <c r="W6416">
        <f t="shared" si="403"/>
        <v>0</v>
      </c>
    </row>
    <row r="6417" spans="5:23" x14ac:dyDescent="0.25">
      <c r="E6417" s="4"/>
      <c r="F6417" s="4"/>
      <c r="G6417" s="33" t="str">
        <f>IFERROR(VLOOKUP($D6417,'Informations sur les produits'!$A$3:$H$10000,8,FALSE),"0")</f>
        <v>0</v>
      </c>
      <c r="K6417" s="4"/>
      <c r="L6417" s="33" t="str">
        <f>IFERROR(VLOOKUP($J6417,'Informations sur les produits'!$A$3:$H$10000,8,FALSE),"0")</f>
        <v>0</v>
      </c>
      <c r="N6417" s="8"/>
      <c r="O6417" s="33" t="str">
        <f>IFERROR(VLOOKUP($M6417,'Informations sur les produits'!$A$3:$H$10000,8,FALSE),"0")</f>
        <v>0</v>
      </c>
      <c r="P6417" s="33">
        <f t="shared" si="400"/>
        <v>0</v>
      </c>
      <c r="Q6417" s="31" t="str">
        <f t="shared" si="401"/>
        <v/>
      </c>
      <c r="R6417" s="32" t="str">
        <f>IFERROR(VLOOKUP($D6417,'Informations sur les produits'!$A$3:$B$15000,2,FALSE),"")</f>
        <v/>
      </c>
      <c r="V6417">
        <f t="shared" si="402"/>
        <v>0</v>
      </c>
      <c r="W6417">
        <f t="shared" si="403"/>
        <v>0</v>
      </c>
    </row>
    <row r="6418" spans="5:23" x14ac:dyDescent="0.25">
      <c r="E6418" s="4"/>
      <c r="F6418" s="4"/>
      <c r="G6418" s="33" t="str">
        <f>IFERROR(VLOOKUP($D6418,'Informations sur les produits'!$A$3:$H$10000,8,FALSE),"0")</f>
        <v>0</v>
      </c>
      <c r="K6418" s="4"/>
      <c r="L6418" s="33" t="str">
        <f>IFERROR(VLOOKUP($J6418,'Informations sur les produits'!$A$3:$H$10000,8,FALSE),"0")</f>
        <v>0</v>
      </c>
      <c r="N6418" s="8"/>
      <c r="O6418" s="33" t="str">
        <f>IFERROR(VLOOKUP($M6418,'Informations sur les produits'!$A$3:$H$10000,8,FALSE),"0")</f>
        <v>0</v>
      </c>
      <c r="P6418" s="33">
        <f t="shared" si="400"/>
        <v>0</v>
      </c>
      <c r="Q6418" s="31" t="str">
        <f t="shared" si="401"/>
        <v/>
      </c>
      <c r="R6418" s="32" t="str">
        <f>IFERROR(VLOOKUP($D6418,'Informations sur les produits'!$A$3:$B$15000,2,FALSE),"")</f>
        <v/>
      </c>
      <c r="V6418">
        <f t="shared" si="402"/>
        <v>0</v>
      </c>
      <c r="W6418">
        <f t="shared" si="403"/>
        <v>0</v>
      </c>
    </row>
    <row r="6419" spans="5:23" x14ac:dyDescent="0.25">
      <c r="E6419" s="4"/>
      <c r="F6419" s="4"/>
      <c r="G6419" s="33" t="str">
        <f>IFERROR(VLOOKUP($D6419,'Informations sur les produits'!$A$3:$H$10000,8,FALSE),"0")</f>
        <v>0</v>
      </c>
      <c r="K6419" s="4"/>
      <c r="L6419" s="33" t="str">
        <f>IFERROR(VLOOKUP($J6419,'Informations sur les produits'!$A$3:$H$10000,8,FALSE),"0")</f>
        <v>0</v>
      </c>
      <c r="N6419" s="8"/>
      <c r="O6419" s="33" t="str">
        <f>IFERROR(VLOOKUP($M6419,'Informations sur les produits'!$A$3:$H$10000,8,FALSE),"0")</f>
        <v>0</v>
      </c>
      <c r="P6419" s="33">
        <f t="shared" si="400"/>
        <v>0</v>
      </c>
      <c r="Q6419" s="31" t="str">
        <f t="shared" si="401"/>
        <v/>
      </c>
      <c r="R6419" s="32" t="str">
        <f>IFERROR(VLOOKUP($D6419,'Informations sur les produits'!$A$3:$B$15000,2,FALSE),"")</f>
        <v/>
      </c>
      <c r="V6419">
        <f t="shared" si="402"/>
        <v>0</v>
      </c>
      <c r="W6419">
        <f t="shared" si="403"/>
        <v>0</v>
      </c>
    </row>
    <row r="6420" spans="5:23" x14ac:dyDescent="0.25">
      <c r="E6420" s="4"/>
      <c r="F6420" s="4"/>
      <c r="G6420" s="33" t="str">
        <f>IFERROR(VLOOKUP($D6420,'Informations sur les produits'!$A$3:$H$10000,8,FALSE),"0")</f>
        <v>0</v>
      </c>
      <c r="K6420" s="4"/>
      <c r="L6420" s="33" t="str">
        <f>IFERROR(VLOOKUP($J6420,'Informations sur les produits'!$A$3:$H$10000,8,FALSE),"0")</f>
        <v>0</v>
      </c>
      <c r="N6420" s="8"/>
      <c r="O6420" s="33" t="str">
        <f>IFERROR(VLOOKUP($M6420,'Informations sur les produits'!$A$3:$H$10000,8,FALSE),"0")</f>
        <v>0</v>
      </c>
      <c r="P6420" s="33">
        <f t="shared" si="400"/>
        <v>0</v>
      </c>
      <c r="Q6420" s="31" t="str">
        <f t="shared" si="401"/>
        <v/>
      </c>
      <c r="R6420" s="32" t="str">
        <f>IFERROR(VLOOKUP($D6420,'Informations sur les produits'!$A$3:$B$15000,2,FALSE),"")</f>
        <v/>
      </c>
      <c r="V6420">
        <f t="shared" si="402"/>
        <v>0</v>
      </c>
      <c r="W6420">
        <f t="shared" si="403"/>
        <v>0</v>
      </c>
    </row>
    <row r="6421" spans="5:23" x14ac:dyDescent="0.25">
      <c r="E6421" s="4"/>
      <c r="F6421" s="4"/>
      <c r="G6421" s="33" t="str">
        <f>IFERROR(VLOOKUP($D6421,'Informations sur les produits'!$A$3:$H$10000,8,FALSE),"0")</f>
        <v>0</v>
      </c>
      <c r="K6421" s="4"/>
      <c r="L6421" s="33" t="str">
        <f>IFERROR(VLOOKUP($J6421,'Informations sur les produits'!$A$3:$H$10000,8,FALSE),"0")</f>
        <v>0</v>
      </c>
      <c r="N6421" s="8"/>
      <c r="O6421" s="33" t="str">
        <f>IFERROR(VLOOKUP($M6421,'Informations sur les produits'!$A$3:$H$10000,8,FALSE),"0")</f>
        <v>0</v>
      </c>
      <c r="P6421" s="33">
        <f t="shared" si="400"/>
        <v>0</v>
      </c>
      <c r="Q6421" s="31" t="str">
        <f t="shared" si="401"/>
        <v/>
      </c>
      <c r="R6421" s="32" t="str">
        <f>IFERROR(VLOOKUP($D6421,'Informations sur les produits'!$A$3:$B$15000,2,FALSE),"")</f>
        <v/>
      </c>
      <c r="V6421">
        <f t="shared" si="402"/>
        <v>0</v>
      </c>
      <c r="W6421">
        <f t="shared" si="403"/>
        <v>0</v>
      </c>
    </row>
    <row r="6422" spans="5:23" x14ac:dyDescent="0.25">
      <c r="E6422" s="4"/>
      <c r="F6422" s="4"/>
      <c r="G6422" s="33" t="str">
        <f>IFERROR(VLOOKUP($D6422,'Informations sur les produits'!$A$3:$H$10000,8,FALSE),"0")</f>
        <v>0</v>
      </c>
      <c r="K6422" s="4"/>
      <c r="L6422" s="33" t="str">
        <f>IFERROR(VLOOKUP($J6422,'Informations sur les produits'!$A$3:$H$10000,8,FALSE),"0")</f>
        <v>0</v>
      </c>
      <c r="N6422" s="8"/>
      <c r="O6422" s="33" t="str">
        <f>IFERROR(VLOOKUP($M6422,'Informations sur les produits'!$A$3:$H$10000,8,FALSE),"0")</f>
        <v>0</v>
      </c>
      <c r="P6422" s="33">
        <f t="shared" si="400"/>
        <v>0</v>
      </c>
      <c r="Q6422" s="31" t="str">
        <f t="shared" si="401"/>
        <v/>
      </c>
      <c r="R6422" s="32" t="str">
        <f>IFERROR(VLOOKUP($D6422,'Informations sur les produits'!$A$3:$B$15000,2,FALSE),"")</f>
        <v/>
      </c>
      <c r="V6422">
        <f t="shared" si="402"/>
        <v>0</v>
      </c>
      <c r="W6422">
        <f t="shared" si="403"/>
        <v>0</v>
      </c>
    </row>
    <row r="6423" spans="5:23" x14ac:dyDescent="0.25">
      <c r="E6423" s="4"/>
      <c r="F6423" s="4"/>
      <c r="G6423" s="33" t="str">
        <f>IFERROR(VLOOKUP($D6423,'Informations sur les produits'!$A$3:$H$10000,8,FALSE),"0")</f>
        <v>0</v>
      </c>
      <c r="K6423" s="4"/>
      <c r="L6423" s="33" t="str">
        <f>IFERROR(VLOOKUP($J6423,'Informations sur les produits'!$A$3:$H$10000,8,FALSE),"0")</f>
        <v>0</v>
      </c>
      <c r="N6423" s="8"/>
      <c r="O6423" s="33" t="str">
        <f>IFERROR(VLOOKUP($M6423,'Informations sur les produits'!$A$3:$H$10000,8,FALSE),"0")</f>
        <v>0</v>
      </c>
      <c r="P6423" s="33">
        <f t="shared" si="400"/>
        <v>0</v>
      </c>
      <c r="Q6423" s="31" t="str">
        <f t="shared" si="401"/>
        <v/>
      </c>
      <c r="R6423" s="32" t="str">
        <f>IFERROR(VLOOKUP($D6423,'Informations sur les produits'!$A$3:$B$15000,2,FALSE),"")</f>
        <v/>
      </c>
      <c r="V6423">
        <f t="shared" si="402"/>
        <v>0</v>
      </c>
      <c r="W6423">
        <f t="shared" si="403"/>
        <v>0</v>
      </c>
    </row>
    <row r="6424" spans="5:23" x14ac:dyDescent="0.25">
      <c r="E6424" s="4"/>
      <c r="F6424" s="4"/>
      <c r="G6424" s="33" t="str">
        <f>IFERROR(VLOOKUP($D6424,'Informations sur les produits'!$A$3:$H$10000,8,FALSE),"0")</f>
        <v>0</v>
      </c>
      <c r="K6424" s="4"/>
      <c r="L6424" s="33" t="str">
        <f>IFERROR(VLOOKUP($J6424,'Informations sur les produits'!$A$3:$H$10000,8,FALSE),"0")</f>
        <v>0</v>
      </c>
      <c r="N6424" s="8"/>
      <c r="O6424" s="33" t="str">
        <f>IFERROR(VLOOKUP($M6424,'Informations sur les produits'!$A$3:$H$10000,8,FALSE),"0")</f>
        <v>0</v>
      </c>
      <c r="P6424" s="33">
        <f t="shared" si="400"/>
        <v>0</v>
      </c>
      <c r="Q6424" s="31" t="str">
        <f t="shared" si="401"/>
        <v/>
      </c>
      <c r="R6424" s="32" t="str">
        <f>IFERROR(VLOOKUP($D6424,'Informations sur les produits'!$A$3:$B$15000,2,FALSE),"")</f>
        <v/>
      </c>
      <c r="V6424">
        <f t="shared" si="402"/>
        <v>0</v>
      </c>
      <c r="W6424">
        <f t="shared" si="403"/>
        <v>0</v>
      </c>
    </row>
    <row r="6425" spans="5:23" x14ac:dyDescent="0.25">
      <c r="E6425" s="4"/>
      <c r="F6425" s="4"/>
      <c r="G6425" s="33" t="str">
        <f>IFERROR(VLOOKUP($D6425,'Informations sur les produits'!$A$3:$H$10000,8,FALSE),"0")</f>
        <v>0</v>
      </c>
      <c r="K6425" s="4"/>
      <c r="L6425" s="33" t="str">
        <f>IFERROR(VLOOKUP($J6425,'Informations sur les produits'!$A$3:$H$10000,8,FALSE),"0")</f>
        <v>0</v>
      </c>
      <c r="N6425" s="8"/>
      <c r="O6425" s="33" t="str">
        <f>IFERROR(VLOOKUP($M6425,'Informations sur les produits'!$A$3:$H$10000,8,FALSE),"0")</f>
        <v>0</v>
      </c>
      <c r="P6425" s="33">
        <f t="shared" si="400"/>
        <v>0</v>
      </c>
      <c r="Q6425" s="31" t="str">
        <f t="shared" si="401"/>
        <v/>
      </c>
      <c r="R6425" s="32" t="str">
        <f>IFERROR(VLOOKUP($D6425,'Informations sur les produits'!$A$3:$B$15000,2,FALSE),"")</f>
        <v/>
      </c>
      <c r="V6425">
        <f t="shared" si="402"/>
        <v>0</v>
      </c>
      <c r="W6425">
        <f t="shared" si="403"/>
        <v>0</v>
      </c>
    </row>
    <row r="6426" spans="5:23" x14ac:dyDescent="0.25">
      <c r="E6426" s="4"/>
      <c r="F6426" s="4"/>
      <c r="G6426" s="33" t="str">
        <f>IFERROR(VLOOKUP($D6426,'Informations sur les produits'!$A$3:$H$10000,8,FALSE),"0")</f>
        <v>0</v>
      </c>
      <c r="K6426" s="4"/>
      <c r="L6426" s="33" t="str">
        <f>IFERROR(VLOOKUP($J6426,'Informations sur les produits'!$A$3:$H$10000,8,FALSE),"0")</f>
        <v>0</v>
      </c>
      <c r="N6426" s="8"/>
      <c r="O6426" s="33" t="str">
        <f>IFERROR(VLOOKUP($M6426,'Informations sur les produits'!$A$3:$H$10000,8,FALSE),"0")</f>
        <v>0</v>
      </c>
      <c r="P6426" s="33">
        <f t="shared" si="400"/>
        <v>0</v>
      </c>
      <c r="Q6426" s="31" t="str">
        <f t="shared" si="401"/>
        <v/>
      </c>
      <c r="R6426" s="32" t="str">
        <f>IFERROR(VLOOKUP($D6426,'Informations sur les produits'!$A$3:$B$15000,2,FALSE),"")</f>
        <v/>
      </c>
      <c r="V6426">
        <f t="shared" si="402"/>
        <v>0</v>
      </c>
      <c r="W6426">
        <f t="shared" si="403"/>
        <v>0</v>
      </c>
    </row>
    <row r="6427" spans="5:23" x14ac:dyDescent="0.25">
      <c r="E6427" s="4"/>
      <c r="F6427" s="4"/>
      <c r="G6427" s="33" t="str">
        <f>IFERROR(VLOOKUP($D6427,'Informations sur les produits'!$A$3:$H$10000,8,FALSE),"0")</f>
        <v>0</v>
      </c>
      <c r="K6427" s="4"/>
      <c r="L6427" s="33" t="str">
        <f>IFERROR(VLOOKUP($J6427,'Informations sur les produits'!$A$3:$H$10000,8,FALSE),"0")</f>
        <v>0</v>
      </c>
      <c r="N6427" s="8"/>
      <c r="O6427" s="33" t="str">
        <f>IFERROR(VLOOKUP($M6427,'Informations sur les produits'!$A$3:$H$10000,8,FALSE),"0")</f>
        <v>0</v>
      </c>
      <c r="P6427" s="33">
        <f t="shared" si="400"/>
        <v>0</v>
      </c>
      <c r="Q6427" s="31" t="str">
        <f t="shared" si="401"/>
        <v/>
      </c>
      <c r="R6427" s="32" t="str">
        <f>IFERROR(VLOOKUP($D6427,'Informations sur les produits'!$A$3:$B$15000,2,FALSE),"")</f>
        <v/>
      </c>
      <c r="V6427">
        <f t="shared" si="402"/>
        <v>0</v>
      </c>
      <c r="W6427">
        <f t="shared" si="403"/>
        <v>0</v>
      </c>
    </row>
    <row r="6428" spans="5:23" x14ac:dyDescent="0.25">
      <c r="E6428" s="4"/>
      <c r="F6428" s="4"/>
      <c r="G6428" s="33" t="str">
        <f>IFERROR(VLOOKUP($D6428,'Informations sur les produits'!$A$3:$H$10000,8,FALSE),"0")</f>
        <v>0</v>
      </c>
      <c r="K6428" s="4"/>
      <c r="L6428" s="33" t="str">
        <f>IFERROR(VLOOKUP($J6428,'Informations sur les produits'!$A$3:$H$10000,8,FALSE),"0")</f>
        <v>0</v>
      </c>
      <c r="N6428" s="8"/>
      <c r="O6428" s="33" t="str">
        <f>IFERROR(VLOOKUP($M6428,'Informations sur les produits'!$A$3:$H$10000,8,FALSE),"0")</f>
        <v>0</v>
      </c>
      <c r="P6428" s="33">
        <f t="shared" si="400"/>
        <v>0</v>
      </c>
      <c r="Q6428" s="31" t="str">
        <f t="shared" si="401"/>
        <v/>
      </c>
      <c r="R6428" s="32" t="str">
        <f>IFERROR(VLOOKUP($D6428,'Informations sur les produits'!$A$3:$B$15000,2,FALSE),"")</f>
        <v/>
      </c>
      <c r="V6428">
        <f t="shared" si="402"/>
        <v>0</v>
      </c>
      <c r="W6428">
        <f t="shared" si="403"/>
        <v>0</v>
      </c>
    </row>
    <row r="6429" spans="5:23" x14ac:dyDescent="0.25">
      <c r="E6429" s="4"/>
      <c r="F6429" s="4"/>
      <c r="G6429" s="33" t="str">
        <f>IFERROR(VLOOKUP($D6429,'Informations sur les produits'!$A$3:$H$10000,8,FALSE),"0")</f>
        <v>0</v>
      </c>
      <c r="K6429" s="4"/>
      <c r="L6429" s="33" t="str">
        <f>IFERROR(VLOOKUP($J6429,'Informations sur les produits'!$A$3:$H$10000,8,FALSE),"0")</f>
        <v>0</v>
      </c>
      <c r="N6429" s="8"/>
      <c r="O6429" s="33" t="str">
        <f>IFERROR(VLOOKUP($M6429,'Informations sur les produits'!$A$3:$H$10000,8,FALSE),"0")</f>
        <v>0</v>
      </c>
      <c r="P6429" s="33">
        <f t="shared" si="400"/>
        <v>0</v>
      </c>
      <c r="Q6429" s="31" t="str">
        <f t="shared" si="401"/>
        <v/>
      </c>
      <c r="R6429" s="32" t="str">
        <f>IFERROR(VLOOKUP($D6429,'Informations sur les produits'!$A$3:$B$15000,2,FALSE),"")</f>
        <v/>
      </c>
      <c r="V6429">
        <f t="shared" si="402"/>
        <v>0</v>
      </c>
      <c r="W6429">
        <f t="shared" si="403"/>
        <v>0</v>
      </c>
    </row>
    <row r="6430" spans="5:23" x14ac:dyDescent="0.25">
      <c r="E6430" s="4"/>
      <c r="F6430" s="4"/>
      <c r="G6430" s="33" t="str">
        <f>IFERROR(VLOOKUP($D6430,'Informations sur les produits'!$A$3:$H$10000,8,FALSE),"0")</f>
        <v>0</v>
      </c>
      <c r="K6430" s="4"/>
      <c r="L6430" s="33" t="str">
        <f>IFERROR(VLOOKUP($J6430,'Informations sur les produits'!$A$3:$H$10000,8,FALSE),"0")</f>
        <v>0</v>
      </c>
      <c r="N6430" s="8"/>
      <c r="O6430" s="33" t="str">
        <f>IFERROR(VLOOKUP($M6430,'Informations sur les produits'!$A$3:$H$10000,8,FALSE),"0")</f>
        <v>0</v>
      </c>
      <c r="P6430" s="33">
        <f t="shared" si="400"/>
        <v>0</v>
      </c>
      <c r="Q6430" s="31" t="str">
        <f t="shared" si="401"/>
        <v/>
      </c>
      <c r="R6430" s="32" t="str">
        <f>IFERROR(VLOOKUP($D6430,'Informations sur les produits'!$A$3:$B$15000,2,FALSE),"")</f>
        <v/>
      </c>
      <c r="V6430">
        <f t="shared" si="402"/>
        <v>0</v>
      </c>
      <c r="W6430">
        <f t="shared" si="403"/>
        <v>0</v>
      </c>
    </row>
    <row r="6431" spans="5:23" x14ac:dyDescent="0.25">
      <c r="E6431" s="4"/>
      <c r="F6431" s="4"/>
      <c r="G6431" s="33" t="str">
        <f>IFERROR(VLOOKUP($D6431,'Informations sur les produits'!$A$3:$H$10000,8,FALSE),"0")</f>
        <v>0</v>
      </c>
      <c r="K6431" s="4"/>
      <c r="L6431" s="33" t="str">
        <f>IFERROR(VLOOKUP($J6431,'Informations sur les produits'!$A$3:$H$10000,8,FALSE),"0")</f>
        <v>0</v>
      </c>
      <c r="N6431" s="8"/>
      <c r="O6431" s="33" t="str">
        <f>IFERROR(VLOOKUP($M6431,'Informations sur les produits'!$A$3:$H$10000,8,FALSE),"0")</f>
        <v>0</v>
      </c>
      <c r="P6431" s="33">
        <f t="shared" si="400"/>
        <v>0</v>
      </c>
      <c r="Q6431" s="31" t="str">
        <f t="shared" si="401"/>
        <v/>
      </c>
      <c r="R6431" s="32" t="str">
        <f>IFERROR(VLOOKUP($D6431,'Informations sur les produits'!$A$3:$B$15000,2,FALSE),"")</f>
        <v/>
      </c>
      <c r="V6431">
        <f t="shared" si="402"/>
        <v>0</v>
      </c>
      <c r="W6431">
        <f t="shared" si="403"/>
        <v>0</v>
      </c>
    </row>
    <row r="6432" spans="5:23" x14ac:dyDescent="0.25">
      <c r="E6432" s="4"/>
      <c r="F6432" s="4"/>
      <c r="G6432" s="33" t="str">
        <f>IFERROR(VLOOKUP($D6432,'Informations sur les produits'!$A$3:$H$10000,8,FALSE),"0")</f>
        <v>0</v>
      </c>
      <c r="K6432" s="4"/>
      <c r="L6432" s="33" t="str">
        <f>IFERROR(VLOOKUP($J6432,'Informations sur les produits'!$A$3:$H$10000,8,FALSE),"0")</f>
        <v>0</v>
      </c>
      <c r="N6432" s="8"/>
      <c r="O6432" s="33" t="str">
        <f>IFERROR(VLOOKUP($M6432,'Informations sur les produits'!$A$3:$H$10000,8,FALSE),"0")</f>
        <v>0</v>
      </c>
      <c r="P6432" s="33">
        <f t="shared" si="400"/>
        <v>0</v>
      </c>
      <c r="Q6432" s="31" t="str">
        <f t="shared" si="401"/>
        <v/>
      </c>
      <c r="R6432" s="32" t="str">
        <f>IFERROR(VLOOKUP($D6432,'Informations sur les produits'!$A$3:$B$15000,2,FALSE),"")</f>
        <v/>
      </c>
      <c r="V6432">
        <f t="shared" si="402"/>
        <v>0</v>
      </c>
      <c r="W6432">
        <f t="shared" si="403"/>
        <v>0</v>
      </c>
    </row>
    <row r="6433" spans="5:23" x14ac:dyDescent="0.25">
      <c r="E6433" s="4"/>
      <c r="F6433" s="4"/>
      <c r="G6433" s="33" t="str">
        <f>IFERROR(VLOOKUP($D6433,'Informations sur les produits'!$A$3:$H$10000,8,FALSE),"0")</f>
        <v>0</v>
      </c>
      <c r="K6433" s="4"/>
      <c r="L6433" s="33" t="str">
        <f>IFERROR(VLOOKUP($J6433,'Informations sur les produits'!$A$3:$H$10000,8,FALSE),"0")</f>
        <v>0</v>
      </c>
      <c r="N6433" s="8"/>
      <c r="O6433" s="33" t="str">
        <f>IFERROR(VLOOKUP($M6433,'Informations sur les produits'!$A$3:$H$10000,8,FALSE),"0")</f>
        <v>0</v>
      </c>
      <c r="P6433" s="33">
        <f t="shared" si="400"/>
        <v>0</v>
      </c>
      <c r="Q6433" s="31" t="str">
        <f t="shared" si="401"/>
        <v/>
      </c>
      <c r="R6433" s="32" t="str">
        <f>IFERROR(VLOOKUP($D6433,'Informations sur les produits'!$A$3:$B$15000,2,FALSE),"")</f>
        <v/>
      </c>
      <c r="V6433">
        <f t="shared" si="402"/>
        <v>0</v>
      </c>
      <c r="W6433">
        <f t="shared" si="403"/>
        <v>0</v>
      </c>
    </row>
    <row r="6434" spans="5:23" x14ac:dyDescent="0.25">
      <c r="E6434" s="4"/>
      <c r="F6434" s="4"/>
      <c r="G6434" s="33" t="str">
        <f>IFERROR(VLOOKUP($D6434,'Informations sur les produits'!$A$3:$H$10000,8,FALSE),"0")</f>
        <v>0</v>
      </c>
      <c r="K6434" s="4"/>
      <c r="L6434" s="33" t="str">
        <f>IFERROR(VLOOKUP($J6434,'Informations sur les produits'!$A$3:$H$10000,8,FALSE),"0")</f>
        <v>0</v>
      </c>
      <c r="N6434" s="8"/>
      <c r="O6434" s="33" t="str">
        <f>IFERROR(VLOOKUP($M6434,'Informations sur les produits'!$A$3:$H$10000,8,FALSE),"0")</f>
        <v>0</v>
      </c>
      <c r="P6434" s="33">
        <f t="shared" si="400"/>
        <v>0</v>
      </c>
      <c r="Q6434" s="31" t="str">
        <f t="shared" si="401"/>
        <v/>
      </c>
      <c r="R6434" s="32" t="str">
        <f>IFERROR(VLOOKUP($D6434,'Informations sur les produits'!$A$3:$B$15000,2,FALSE),"")</f>
        <v/>
      </c>
      <c r="V6434">
        <f t="shared" si="402"/>
        <v>0</v>
      </c>
      <c r="W6434">
        <f t="shared" si="403"/>
        <v>0</v>
      </c>
    </row>
    <row r="6435" spans="5:23" x14ac:dyDescent="0.25">
      <c r="E6435" s="4"/>
      <c r="F6435" s="4"/>
      <c r="G6435" s="33" t="str">
        <f>IFERROR(VLOOKUP($D6435,'Informations sur les produits'!$A$3:$H$10000,8,FALSE),"0")</f>
        <v>0</v>
      </c>
      <c r="K6435" s="4"/>
      <c r="L6435" s="33" t="str">
        <f>IFERROR(VLOOKUP($J6435,'Informations sur les produits'!$A$3:$H$10000,8,FALSE),"0")</f>
        <v>0</v>
      </c>
      <c r="N6435" s="8"/>
      <c r="O6435" s="33" t="str">
        <f>IFERROR(VLOOKUP($M6435,'Informations sur les produits'!$A$3:$H$10000,8,FALSE),"0")</f>
        <v>0</v>
      </c>
      <c r="P6435" s="33">
        <f t="shared" si="400"/>
        <v>0</v>
      </c>
      <c r="Q6435" s="31" t="str">
        <f t="shared" si="401"/>
        <v/>
      </c>
      <c r="R6435" s="32" t="str">
        <f>IFERROR(VLOOKUP($D6435,'Informations sur les produits'!$A$3:$B$15000,2,FALSE),"")</f>
        <v/>
      </c>
      <c r="V6435">
        <f t="shared" si="402"/>
        <v>0</v>
      </c>
      <c r="W6435">
        <f t="shared" si="403"/>
        <v>0</v>
      </c>
    </row>
    <row r="6436" spans="5:23" x14ac:dyDescent="0.25">
      <c r="E6436" s="4"/>
      <c r="F6436" s="4"/>
      <c r="G6436" s="33" t="str">
        <f>IFERROR(VLOOKUP($D6436,'Informations sur les produits'!$A$3:$H$10000,8,FALSE),"0")</f>
        <v>0</v>
      </c>
      <c r="K6436" s="4"/>
      <c r="L6436" s="33" t="str">
        <f>IFERROR(VLOOKUP($J6436,'Informations sur les produits'!$A$3:$H$10000,8,FALSE),"0")</f>
        <v>0</v>
      </c>
      <c r="N6436" s="8"/>
      <c r="O6436" s="33" t="str">
        <f>IFERROR(VLOOKUP($M6436,'Informations sur les produits'!$A$3:$H$10000,8,FALSE),"0")</f>
        <v>0</v>
      </c>
      <c r="P6436" s="33">
        <f t="shared" si="400"/>
        <v>0</v>
      </c>
      <c r="Q6436" s="31" t="str">
        <f t="shared" si="401"/>
        <v/>
      </c>
      <c r="R6436" s="32" t="str">
        <f>IFERROR(VLOOKUP($D6436,'Informations sur les produits'!$A$3:$B$15000,2,FALSE),"")</f>
        <v/>
      </c>
      <c r="V6436">
        <f t="shared" si="402"/>
        <v>0</v>
      </c>
      <c r="W6436">
        <f t="shared" si="403"/>
        <v>0</v>
      </c>
    </row>
    <row r="6437" spans="5:23" x14ac:dyDescent="0.25">
      <c r="E6437" s="4"/>
      <c r="F6437" s="4"/>
      <c r="G6437" s="33" t="str">
        <f>IFERROR(VLOOKUP($D6437,'Informations sur les produits'!$A$3:$H$10000,8,FALSE),"0")</f>
        <v>0</v>
      </c>
      <c r="K6437" s="4"/>
      <c r="L6437" s="33" t="str">
        <f>IFERROR(VLOOKUP($J6437,'Informations sur les produits'!$A$3:$H$10000,8,FALSE),"0")</f>
        <v>0</v>
      </c>
      <c r="N6437" s="8"/>
      <c r="O6437" s="33" t="str">
        <f>IFERROR(VLOOKUP($M6437,'Informations sur les produits'!$A$3:$H$10000,8,FALSE),"0")</f>
        <v>0</v>
      </c>
      <c r="P6437" s="33">
        <f t="shared" si="400"/>
        <v>0</v>
      </c>
      <c r="Q6437" s="31" t="str">
        <f t="shared" si="401"/>
        <v/>
      </c>
      <c r="R6437" s="32" t="str">
        <f>IFERROR(VLOOKUP($D6437,'Informations sur les produits'!$A$3:$B$15000,2,FALSE),"")</f>
        <v/>
      </c>
      <c r="V6437">
        <f t="shared" si="402"/>
        <v>0</v>
      </c>
      <c r="W6437">
        <f t="shared" si="403"/>
        <v>0</v>
      </c>
    </row>
    <row r="6438" spans="5:23" x14ac:dyDescent="0.25">
      <c r="E6438" s="4"/>
      <c r="F6438" s="4"/>
      <c r="G6438" s="33" t="str">
        <f>IFERROR(VLOOKUP($D6438,'Informations sur les produits'!$A$3:$H$10000,8,FALSE),"0")</f>
        <v>0</v>
      </c>
      <c r="K6438" s="4"/>
      <c r="L6438" s="33" t="str">
        <f>IFERROR(VLOOKUP($J6438,'Informations sur les produits'!$A$3:$H$10000,8,FALSE),"0")</f>
        <v>0</v>
      </c>
      <c r="N6438" s="8"/>
      <c r="O6438" s="33" t="str">
        <f>IFERROR(VLOOKUP($M6438,'Informations sur les produits'!$A$3:$H$10000,8,FALSE),"0")</f>
        <v>0</v>
      </c>
      <c r="P6438" s="33">
        <f t="shared" si="400"/>
        <v>0</v>
      </c>
      <c r="Q6438" s="31" t="str">
        <f t="shared" si="401"/>
        <v/>
      </c>
      <c r="R6438" s="32" t="str">
        <f>IFERROR(VLOOKUP($D6438,'Informations sur les produits'!$A$3:$B$15000,2,FALSE),"")</f>
        <v/>
      </c>
      <c r="V6438">
        <f t="shared" si="402"/>
        <v>0</v>
      </c>
      <c r="W6438">
        <f t="shared" si="403"/>
        <v>0</v>
      </c>
    </row>
    <row r="6439" spans="5:23" x14ac:dyDescent="0.25">
      <c r="E6439" s="4"/>
      <c r="F6439" s="4"/>
      <c r="G6439" s="33" t="str">
        <f>IFERROR(VLOOKUP($D6439,'Informations sur les produits'!$A$3:$H$10000,8,FALSE),"0")</f>
        <v>0</v>
      </c>
      <c r="K6439" s="4"/>
      <c r="L6439" s="33" t="str">
        <f>IFERROR(VLOOKUP($J6439,'Informations sur les produits'!$A$3:$H$10000,8,FALSE),"0")</f>
        <v>0</v>
      </c>
      <c r="N6439" s="8"/>
      <c r="O6439" s="33" t="str">
        <f>IFERROR(VLOOKUP($M6439,'Informations sur les produits'!$A$3:$H$10000,8,FALSE),"0")</f>
        <v>0</v>
      </c>
      <c r="P6439" s="33">
        <f t="shared" si="400"/>
        <v>0</v>
      </c>
      <c r="Q6439" s="31" t="str">
        <f t="shared" si="401"/>
        <v/>
      </c>
      <c r="R6439" s="32" t="str">
        <f>IFERROR(VLOOKUP($D6439,'Informations sur les produits'!$A$3:$B$15000,2,FALSE),"")</f>
        <v/>
      </c>
      <c r="V6439">
        <f t="shared" si="402"/>
        <v>0</v>
      </c>
      <c r="W6439">
        <f t="shared" si="403"/>
        <v>0</v>
      </c>
    </row>
    <row r="6440" spans="5:23" x14ac:dyDescent="0.25">
      <c r="E6440" s="4"/>
      <c r="F6440" s="4"/>
      <c r="G6440" s="33" t="str">
        <f>IFERROR(VLOOKUP($D6440,'Informations sur les produits'!$A$3:$H$10000,8,FALSE),"0")</f>
        <v>0</v>
      </c>
      <c r="K6440" s="4"/>
      <c r="L6440" s="33" t="str">
        <f>IFERROR(VLOOKUP($J6440,'Informations sur les produits'!$A$3:$H$10000,8,FALSE),"0")</f>
        <v>0</v>
      </c>
      <c r="N6440" s="8"/>
      <c r="O6440" s="33" t="str">
        <f>IFERROR(VLOOKUP($M6440,'Informations sur les produits'!$A$3:$H$10000,8,FALSE),"0")</f>
        <v>0</v>
      </c>
      <c r="P6440" s="33">
        <f t="shared" si="400"/>
        <v>0</v>
      </c>
      <c r="Q6440" s="31" t="str">
        <f t="shared" si="401"/>
        <v/>
      </c>
      <c r="R6440" s="32" t="str">
        <f>IFERROR(VLOOKUP($D6440,'Informations sur les produits'!$A$3:$B$15000,2,FALSE),"")</f>
        <v/>
      </c>
      <c r="V6440">
        <f t="shared" si="402"/>
        <v>0</v>
      </c>
      <c r="W6440">
        <f t="shared" si="403"/>
        <v>0</v>
      </c>
    </row>
    <row r="6441" spans="5:23" x14ac:dyDescent="0.25">
      <c r="E6441" s="4"/>
      <c r="F6441" s="4"/>
      <c r="G6441" s="33" t="str">
        <f>IFERROR(VLOOKUP($D6441,'Informations sur les produits'!$A$3:$H$10000,8,FALSE),"0")</f>
        <v>0</v>
      </c>
      <c r="K6441" s="4"/>
      <c r="L6441" s="33" t="str">
        <f>IFERROR(VLOOKUP($J6441,'Informations sur les produits'!$A$3:$H$10000,8,FALSE),"0")</f>
        <v>0</v>
      </c>
      <c r="N6441" s="8"/>
      <c r="O6441" s="33" t="str">
        <f>IFERROR(VLOOKUP($M6441,'Informations sur les produits'!$A$3:$H$10000,8,FALSE),"0")</f>
        <v>0</v>
      </c>
      <c r="P6441" s="33">
        <f t="shared" si="400"/>
        <v>0</v>
      </c>
      <c r="Q6441" s="31" t="str">
        <f t="shared" si="401"/>
        <v/>
      </c>
      <c r="R6441" s="32" t="str">
        <f>IFERROR(VLOOKUP($D6441,'Informations sur les produits'!$A$3:$B$15000,2,FALSE),"")</f>
        <v/>
      </c>
      <c r="V6441">
        <f t="shared" si="402"/>
        <v>0</v>
      </c>
      <c r="W6441">
        <f t="shared" si="403"/>
        <v>0</v>
      </c>
    </row>
    <row r="6442" spans="5:23" x14ac:dyDescent="0.25">
      <c r="E6442" s="4"/>
      <c r="F6442" s="4"/>
      <c r="G6442" s="33" t="str">
        <f>IFERROR(VLOOKUP($D6442,'Informations sur les produits'!$A$3:$H$10000,8,FALSE),"0")</f>
        <v>0</v>
      </c>
      <c r="K6442" s="4"/>
      <c r="L6442" s="33" t="str">
        <f>IFERROR(VLOOKUP($J6442,'Informations sur les produits'!$A$3:$H$10000,8,FALSE),"0")</f>
        <v>0</v>
      </c>
      <c r="N6442" s="8"/>
      <c r="O6442" s="33" t="str">
        <f>IFERROR(VLOOKUP($M6442,'Informations sur les produits'!$A$3:$H$10000,8,FALSE),"0")</f>
        <v>0</v>
      </c>
      <c r="P6442" s="33">
        <f t="shared" si="400"/>
        <v>0</v>
      </c>
      <c r="Q6442" s="31" t="str">
        <f t="shared" si="401"/>
        <v/>
      </c>
      <c r="R6442" s="32" t="str">
        <f>IFERROR(VLOOKUP($D6442,'Informations sur les produits'!$A$3:$B$15000,2,FALSE),"")</f>
        <v/>
      </c>
      <c r="V6442">
        <f t="shared" si="402"/>
        <v>0</v>
      </c>
      <c r="W6442">
        <f t="shared" si="403"/>
        <v>0</v>
      </c>
    </row>
    <row r="6443" spans="5:23" x14ac:dyDescent="0.25">
      <c r="E6443" s="4"/>
      <c r="F6443" s="4"/>
      <c r="G6443" s="33" t="str">
        <f>IFERROR(VLOOKUP($D6443,'Informations sur les produits'!$A$3:$H$10000,8,FALSE),"0")</f>
        <v>0</v>
      </c>
      <c r="K6443" s="4"/>
      <c r="L6443" s="33" t="str">
        <f>IFERROR(VLOOKUP($J6443,'Informations sur les produits'!$A$3:$H$10000,8,FALSE),"0")</f>
        <v>0</v>
      </c>
      <c r="N6443" s="8"/>
      <c r="O6443" s="33" t="str">
        <f>IFERROR(VLOOKUP($M6443,'Informations sur les produits'!$A$3:$H$10000,8,FALSE),"0")</f>
        <v>0</v>
      </c>
      <c r="P6443" s="33">
        <f t="shared" si="400"/>
        <v>0</v>
      </c>
      <c r="Q6443" s="31" t="str">
        <f t="shared" si="401"/>
        <v/>
      </c>
      <c r="R6443" s="32" t="str">
        <f>IFERROR(VLOOKUP($D6443,'Informations sur les produits'!$A$3:$B$15000,2,FALSE),"")</f>
        <v/>
      </c>
      <c r="V6443">
        <f t="shared" si="402"/>
        <v>0</v>
      </c>
      <c r="W6443">
        <f t="shared" si="403"/>
        <v>0</v>
      </c>
    </row>
    <row r="6444" spans="5:23" x14ac:dyDescent="0.25">
      <c r="E6444" s="4"/>
      <c r="F6444" s="4"/>
      <c r="G6444" s="33" t="str">
        <f>IFERROR(VLOOKUP($D6444,'Informations sur les produits'!$A$3:$H$10000,8,FALSE),"0")</f>
        <v>0</v>
      </c>
      <c r="K6444" s="4"/>
      <c r="L6444" s="33" t="str">
        <f>IFERROR(VLOOKUP($J6444,'Informations sur les produits'!$A$3:$H$10000,8,FALSE),"0")</f>
        <v>0</v>
      </c>
      <c r="N6444" s="8"/>
      <c r="O6444" s="33" t="str">
        <f>IFERROR(VLOOKUP($M6444,'Informations sur les produits'!$A$3:$H$10000,8,FALSE),"0")</f>
        <v>0</v>
      </c>
      <c r="P6444" s="33">
        <f t="shared" si="400"/>
        <v>0</v>
      </c>
      <c r="Q6444" s="31" t="str">
        <f t="shared" si="401"/>
        <v/>
      </c>
      <c r="R6444" s="32" t="str">
        <f>IFERROR(VLOOKUP($D6444,'Informations sur les produits'!$A$3:$B$15000,2,FALSE),"")</f>
        <v/>
      </c>
      <c r="V6444">
        <f t="shared" si="402"/>
        <v>0</v>
      </c>
      <c r="W6444">
        <f t="shared" si="403"/>
        <v>0</v>
      </c>
    </row>
    <row r="6445" spans="5:23" x14ac:dyDescent="0.25">
      <c r="E6445" s="4"/>
      <c r="F6445" s="4"/>
      <c r="G6445" s="33" t="str">
        <f>IFERROR(VLOOKUP($D6445,'Informations sur les produits'!$A$3:$H$10000,8,FALSE),"0")</f>
        <v>0</v>
      </c>
      <c r="K6445" s="4"/>
      <c r="L6445" s="33" t="str">
        <f>IFERROR(VLOOKUP($J6445,'Informations sur les produits'!$A$3:$H$10000,8,FALSE),"0")</f>
        <v>0</v>
      </c>
      <c r="N6445" s="8"/>
      <c r="O6445" s="33" t="str">
        <f>IFERROR(VLOOKUP($M6445,'Informations sur les produits'!$A$3:$H$10000,8,FALSE),"0")</f>
        <v>0</v>
      </c>
      <c r="P6445" s="33">
        <f t="shared" si="400"/>
        <v>0</v>
      </c>
      <c r="Q6445" s="31" t="str">
        <f t="shared" si="401"/>
        <v/>
      </c>
      <c r="R6445" s="32" t="str">
        <f>IFERROR(VLOOKUP($D6445,'Informations sur les produits'!$A$3:$B$15000,2,FALSE),"")</f>
        <v/>
      </c>
      <c r="V6445">
        <f t="shared" si="402"/>
        <v>0</v>
      </c>
      <c r="W6445">
        <f t="shared" si="403"/>
        <v>0</v>
      </c>
    </row>
    <row r="6446" spans="5:23" x14ac:dyDescent="0.25">
      <c r="E6446" s="4"/>
      <c r="F6446" s="4"/>
      <c r="G6446" s="33" t="str">
        <f>IFERROR(VLOOKUP($D6446,'Informations sur les produits'!$A$3:$H$10000,8,FALSE),"0")</f>
        <v>0</v>
      </c>
      <c r="K6446" s="4"/>
      <c r="L6446" s="33" t="str">
        <f>IFERROR(VLOOKUP($J6446,'Informations sur les produits'!$A$3:$H$10000,8,FALSE),"0")</f>
        <v>0</v>
      </c>
      <c r="N6446" s="8"/>
      <c r="O6446" s="33" t="str">
        <f>IFERROR(VLOOKUP($M6446,'Informations sur les produits'!$A$3:$H$10000,8,FALSE),"0")</f>
        <v>0</v>
      </c>
      <c r="P6446" s="33">
        <f t="shared" si="400"/>
        <v>0</v>
      </c>
      <c r="Q6446" s="31" t="str">
        <f t="shared" si="401"/>
        <v/>
      </c>
      <c r="R6446" s="32" t="str">
        <f>IFERROR(VLOOKUP($D6446,'Informations sur les produits'!$A$3:$B$15000,2,FALSE),"")</f>
        <v/>
      </c>
      <c r="V6446">
        <f t="shared" si="402"/>
        <v>0</v>
      </c>
      <c r="W6446">
        <f t="shared" si="403"/>
        <v>0</v>
      </c>
    </row>
    <row r="6447" spans="5:23" x14ac:dyDescent="0.25">
      <c r="E6447" s="4"/>
      <c r="F6447" s="4"/>
      <c r="G6447" s="33" t="str">
        <f>IFERROR(VLOOKUP($D6447,'Informations sur les produits'!$A$3:$H$10000,8,FALSE),"0")</f>
        <v>0</v>
      </c>
      <c r="K6447" s="4"/>
      <c r="L6447" s="33" t="str">
        <f>IFERROR(VLOOKUP($J6447,'Informations sur les produits'!$A$3:$H$10000,8,FALSE),"0")</f>
        <v>0</v>
      </c>
      <c r="N6447" s="8"/>
      <c r="O6447" s="33" t="str">
        <f>IFERROR(VLOOKUP($M6447,'Informations sur les produits'!$A$3:$H$10000,8,FALSE),"0")</f>
        <v>0</v>
      </c>
      <c r="P6447" s="33">
        <f t="shared" si="400"/>
        <v>0</v>
      </c>
      <c r="Q6447" s="31" t="str">
        <f t="shared" si="401"/>
        <v/>
      </c>
      <c r="R6447" s="32" t="str">
        <f>IFERROR(VLOOKUP($D6447,'Informations sur les produits'!$A$3:$B$15000,2,FALSE),"")</f>
        <v/>
      </c>
      <c r="V6447">
        <f t="shared" si="402"/>
        <v>0</v>
      </c>
      <c r="W6447">
        <f t="shared" si="403"/>
        <v>0</v>
      </c>
    </row>
    <row r="6448" spans="5:23" x14ac:dyDescent="0.25">
      <c r="E6448" s="4"/>
      <c r="F6448" s="4"/>
      <c r="G6448" s="33" t="str">
        <f>IFERROR(VLOOKUP($D6448,'Informations sur les produits'!$A$3:$H$10000,8,FALSE),"0")</f>
        <v>0</v>
      </c>
      <c r="K6448" s="4"/>
      <c r="L6448" s="33" t="str">
        <f>IFERROR(VLOOKUP($J6448,'Informations sur les produits'!$A$3:$H$10000,8,FALSE),"0")</f>
        <v>0</v>
      </c>
      <c r="N6448" s="8"/>
      <c r="O6448" s="33" t="str">
        <f>IFERROR(VLOOKUP($M6448,'Informations sur les produits'!$A$3:$H$10000,8,FALSE),"0")</f>
        <v>0</v>
      </c>
      <c r="P6448" s="33">
        <f t="shared" si="400"/>
        <v>0</v>
      </c>
      <c r="Q6448" s="31" t="str">
        <f t="shared" si="401"/>
        <v/>
      </c>
      <c r="R6448" s="32" t="str">
        <f>IFERROR(VLOOKUP($D6448,'Informations sur les produits'!$A$3:$B$15000,2,FALSE),"")</f>
        <v/>
      </c>
      <c r="V6448">
        <f t="shared" si="402"/>
        <v>0</v>
      </c>
      <c r="W6448">
        <f t="shared" si="403"/>
        <v>0</v>
      </c>
    </row>
    <row r="6449" spans="5:23" x14ac:dyDescent="0.25">
      <c r="E6449" s="4"/>
      <c r="F6449" s="4"/>
      <c r="G6449" s="33" t="str">
        <f>IFERROR(VLOOKUP($D6449,'Informations sur les produits'!$A$3:$H$10000,8,FALSE),"0")</f>
        <v>0</v>
      </c>
      <c r="K6449" s="4"/>
      <c r="L6449" s="33" t="str">
        <f>IFERROR(VLOOKUP($J6449,'Informations sur les produits'!$A$3:$H$10000,8,FALSE),"0")</f>
        <v>0</v>
      </c>
      <c r="N6449" s="8"/>
      <c r="O6449" s="33" t="str">
        <f>IFERROR(VLOOKUP($M6449,'Informations sur les produits'!$A$3:$H$10000,8,FALSE),"0")</f>
        <v>0</v>
      </c>
      <c r="P6449" s="33">
        <f t="shared" si="400"/>
        <v>0</v>
      </c>
      <c r="Q6449" s="31" t="str">
        <f t="shared" si="401"/>
        <v/>
      </c>
      <c r="R6449" s="32" t="str">
        <f>IFERROR(VLOOKUP($D6449,'Informations sur les produits'!$A$3:$B$15000,2,FALSE),"")</f>
        <v/>
      </c>
      <c r="V6449">
        <f t="shared" si="402"/>
        <v>0</v>
      </c>
      <c r="W6449">
        <f t="shared" si="403"/>
        <v>0</v>
      </c>
    </row>
    <row r="6450" spans="5:23" x14ac:dyDescent="0.25">
      <c r="E6450" s="4"/>
      <c r="F6450" s="4"/>
      <c r="G6450" s="33" t="str">
        <f>IFERROR(VLOOKUP($D6450,'Informations sur les produits'!$A$3:$H$10000,8,FALSE),"0")</f>
        <v>0</v>
      </c>
      <c r="K6450" s="4"/>
      <c r="L6450" s="33" t="str">
        <f>IFERROR(VLOOKUP($J6450,'Informations sur les produits'!$A$3:$H$10000,8,FALSE),"0")</f>
        <v>0</v>
      </c>
      <c r="N6450" s="8"/>
      <c r="O6450" s="33" t="str">
        <f>IFERROR(VLOOKUP($M6450,'Informations sur les produits'!$A$3:$H$10000,8,FALSE),"0")</f>
        <v>0</v>
      </c>
      <c r="P6450" s="33">
        <f t="shared" si="400"/>
        <v>0</v>
      </c>
      <c r="Q6450" s="31" t="str">
        <f t="shared" si="401"/>
        <v/>
      </c>
      <c r="R6450" s="32" t="str">
        <f>IFERROR(VLOOKUP($D6450,'Informations sur les produits'!$A$3:$B$15000,2,FALSE),"")</f>
        <v/>
      </c>
      <c r="V6450">
        <f t="shared" si="402"/>
        <v>0</v>
      </c>
      <c r="W6450">
        <f t="shared" si="403"/>
        <v>0</v>
      </c>
    </row>
    <row r="6451" spans="5:23" x14ac:dyDescent="0.25">
      <c r="E6451" s="4"/>
      <c r="F6451" s="4"/>
      <c r="G6451" s="33" t="str">
        <f>IFERROR(VLOOKUP($D6451,'Informations sur les produits'!$A$3:$H$10000,8,FALSE),"0")</f>
        <v>0</v>
      </c>
      <c r="K6451" s="4"/>
      <c r="L6451" s="33" t="str">
        <f>IFERROR(VLOOKUP($J6451,'Informations sur les produits'!$A$3:$H$10000,8,FALSE),"0")</f>
        <v>0</v>
      </c>
      <c r="N6451" s="8"/>
      <c r="O6451" s="33" t="str">
        <f>IFERROR(VLOOKUP($M6451,'Informations sur les produits'!$A$3:$H$10000,8,FALSE),"0")</f>
        <v>0</v>
      </c>
      <c r="P6451" s="33">
        <f t="shared" si="400"/>
        <v>0</v>
      </c>
      <c r="Q6451" s="31" t="str">
        <f t="shared" si="401"/>
        <v/>
      </c>
      <c r="R6451" s="32" t="str">
        <f>IFERROR(VLOOKUP($D6451,'Informations sur les produits'!$A$3:$B$15000,2,FALSE),"")</f>
        <v/>
      </c>
      <c r="V6451">
        <f t="shared" si="402"/>
        <v>0</v>
      </c>
      <c r="W6451">
        <f t="shared" si="403"/>
        <v>0</v>
      </c>
    </row>
    <row r="6452" spans="5:23" x14ac:dyDescent="0.25">
      <c r="E6452" s="4"/>
      <c r="F6452" s="4"/>
      <c r="G6452" s="33" t="str">
        <f>IFERROR(VLOOKUP($D6452,'Informations sur les produits'!$A$3:$H$10000,8,FALSE),"0")</f>
        <v>0</v>
      </c>
      <c r="K6452" s="4"/>
      <c r="L6452" s="33" t="str">
        <f>IFERROR(VLOOKUP($J6452,'Informations sur les produits'!$A$3:$H$10000,8,FALSE),"0")</f>
        <v>0</v>
      </c>
      <c r="N6452" s="8"/>
      <c r="O6452" s="33" t="str">
        <f>IFERROR(VLOOKUP($M6452,'Informations sur les produits'!$A$3:$H$10000,8,FALSE),"0")</f>
        <v>0</v>
      </c>
      <c r="P6452" s="33">
        <f t="shared" si="400"/>
        <v>0</v>
      </c>
      <c r="Q6452" s="31" t="str">
        <f t="shared" si="401"/>
        <v/>
      </c>
      <c r="R6452" s="32" t="str">
        <f>IFERROR(VLOOKUP($D6452,'Informations sur les produits'!$A$3:$B$15000,2,FALSE),"")</f>
        <v/>
      </c>
      <c r="V6452">
        <f t="shared" si="402"/>
        <v>0</v>
      </c>
      <c r="W6452">
        <f t="shared" si="403"/>
        <v>0</v>
      </c>
    </row>
    <row r="6453" spans="5:23" x14ac:dyDescent="0.25">
      <c r="E6453" s="4"/>
      <c r="F6453" s="4"/>
      <c r="G6453" s="33" t="str">
        <f>IFERROR(VLOOKUP($D6453,'Informations sur les produits'!$A$3:$H$10000,8,FALSE),"0")</f>
        <v>0</v>
      </c>
      <c r="K6453" s="4"/>
      <c r="L6453" s="33" t="str">
        <f>IFERROR(VLOOKUP($J6453,'Informations sur les produits'!$A$3:$H$10000,8,FALSE),"0")</f>
        <v>0</v>
      </c>
      <c r="N6453" s="8"/>
      <c r="O6453" s="33" t="str">
        <f>IFERROR(VLOOKUP($M6453,'Informations sur les produits'!$A$3:$H$10000,8,FALSE),"0")</f>
        <v>0</v>
      </c>
      <c r="P6453" s="33">
        <f t="shared" si="400"/>
        <v>0</v>
      </c>
      <c r="Q6453" s="31" t="str">
        <f t="shared" si="401"/>
        <v/>
      </c>
      <c r="R6453" s="32" t="str">
        <f>IFERROR(VLOOKUP($D6453,'Informations sur les produits'!$A$3:$B$15000,2,FALSE),"")</f>
        <v/>
      </c>
      <c r="V6453">
        <f t="shared" si="402"/>
        <v>0</v>
      </c>
      <c r="W6453">
        <f t="shared" si="403"/>
        <v>0</v>
      </c>
    </row>
    <row r="6454" spans="5:23" x14ac:dyDescent="0.25">
      <c r="E6454" s="4"/>
      <c r="F6454" s="4"/>
      <c r="G6454" s="33" t="str">
        <f>IFERROR(VLOOKUP($D6454,'Informations sur les produits'!$A$3:$H$10000,8,FALSE),"0")</f>
        <v>0</v>
      </c>
      <c r="K6454" s="4"/>
      <c r="L6454" s="33" t="str">
        <f>IFERROR(VLOOKUP($J6454,'Informations sur les produits'!$A$3:$H$10000,8,FALSE),"0")</f>
        <v>0</v>
      </c>
      <c r="N6454" s="8"/>
      <c r="O6454" s="33" t="str">
        <f>IFERROR(VLOOKUP($M6454,'Informations sur les produits'!$A$3:$H$10000,8,FALSE),"0")</f>
        <v>0</v>
      </c>
      <c r="P6454" s="33">
        <f t="shared" si="400"/>
        <v>0</v>
      </c>
      <c r="Q6454" s="31" t="str">
        <f t="shared" si="401"/>
        <v/>
      </c>
      <c r="R6454" s="32" t="str">
        <f>IFERROR(VLOOKUP($D6454,'Informations sur les produits'!$A$3:$B$15000,2,FALSE),"")</f>
        <v/>
      </c>
      <c r="V6454">
        <f t="shared" si="402"/>
        <v>0</v>
      </c>
      <c r="W6454">
        <f t="shared" si="403"/>
        <v>0</v>
      </c>
    </row>
    <row r="6455" spans="5:23" x14ac:dyDescent="0.25">
      <c r="E6455" s="4"/>
      <c r="F6455" s="4"/>
      <c r="G6455" s="33" t="str">
        <f>IFERROR(VLOOKUP($D6455,'Informations sur les produits'!$A$3:$H$10000,8,FALSE),"0")</f>
        <v>0</v>
      </c>
      <c r="K6455" s="4"/>
      <c r="L6455" s="33" t="str">
        <f>IFERROR(VLOOKUP($J6455,'Informations sur les produits'!$A$3:$H$10000,8,FALSE),"0")</f>
        <v>0</v>
      </c>
      <c r="N6455" s="8"/>
      <c r="O6455" s="33" t="str">
        <f>IFERROR(VLOOKUP($M6455,'Informations sur les produits'!$A$3:$H$10000,8,FALSE),"0")</f>
        <v>0</v>
      </c>
      <c r="P6455" s="33">
        <f t="shared" si="400"/>
        <v>0</v>
      </c>
      <c r="Q6455" s="31" t="str">
        <f t="shared" si="401"/>
        <v/>
      </c>
      <c r="R6455" s="32" t="str">
        <f>IFERROR(VLOOKUP($D6455,'Informations sur les produits'!$A$3:$B$15000,2,FALSE),"")</f>
        <v/>
      </c>
      <c r="V6455">
        <f t="shared" si="402"/>
        <v>0</v>
      </c>
      <c r="W6455">
        <f t="shared" si="403"/>
        <v>0</v>
      </c>
    </row>
    <row r="6456" spans="5:23" x14ac:dyDescent="0.25">
      <c r="E6456" s="4"/>
      <c r="F6456" s="4"/>
      <c r="G6456" s="33" t="str">
        <f>IFERROR(VLOOKUP($D6456,'Informations sur les produits'!$A$3:$H$10000,8,FALSE),"0")</f>
        <v>0</v>
      </c>
      <c r="K6456" s="4"/>
      <c r="L6456" s="33" t="str">
        <f>IFERROR(VLOOKUP($J6456,'Informations sur les produits'!$A$3:$H$10000,8,FALSE),"0")</f>
        <v>0</v>
      </c>
      <c r="N6456" s="8"/>
      <c r="O6456" s="33" t="str">
        <f>IFERROR(VLOOKUP($M6456,'Informations sur les produits'!$A$3:$H$10000,8,FALSE),"0")</f>
        <v>0</v>
      </c>
      <c r="P6456" s="33">
        <f t="shared" si="400"/>
        <v>0</v>
      </c>
      <c r="Q6456" s="31" t="str">
        <f t="shared" si="401"/>
        <v/>
      </c>
      <c r="R6456" s="32" t="str">
        <f>IFERROR(VLOOKUP($D6456,'Informations sur les produits'!$A$3:$B$15000,2,FALSE),"")</f>
        <v/>
      </c>
      <c r="V6456">
        <f t="shared" si="402"/>
        <v>0</v>
      </c>
      <c r="W6456">
        <f t="shared" si="403"/>
        <v>0</v>
      </c>
    </row>
    <row r="6457" spans="5:23" x14ac:dyDescent="0.25">
      <c r="E6457" s="4"/>
      <c r="F6457" s="4"/>
      <c r="G6457" s="33" t="str">
        <f>IFERROR(VLOOKUP($D6457,'Informations sur les produits'!$A$3:$H$10000,8,FALSE),"0")</f>
        <v>0</v>
      </c>
      <c r="K6457" s="4"/>
      <c r="L6457" s="33" t="str">
        <f>IFERROR(VLOOKUP($J6457,'Informations sur les produits'!$A$3:$H$10000,8,FALSE),"0")</f>
        <v>0</v>
      </c>
      <c r="N6457" s="8"/>
      <c r="O6457" s="33" t="str">
        <f>IFERROR(VLOOKUP($M6457,'Informations sur les produits'!$A$3:$H$10000,8,FALSE),"0")</f>
        <v>0</v>
      </c>
      <c r="P6457" s="33">
        <f t="shared" si="400"/>
        <v>0</v>
      </c>
      <c r="Q6457" s="31" t="str">
        <f t="shared" si="401"/>
        <v/>
      </c>
      <c r="R6457" s="32" t="str">
        <f>IFERROR(VLOOKUP($D6457,'Informations sur les produits'!$A$3:$B$15000,2,FALSE),"")</f>
        <v/>
      </c>
      <c r="V6457">
        <f t="shared" si="402"/>
        <v>0</v>
      </c>
      <c r="W6457">
        <f t="shared" si="403"/>
        <v>0</v>
      </c>
    </row>
    <row r="6458" spans="5:23" x14ac:dyDescent="0.25">
      <c r="E6458" s="4"/>
      <c r="F6458" s="4"/>
      <c r="G6458" s="33" t="str">
        <f>IFERROR(VLOOKUP($D6458,'Informations sur les produits'!$A$3:$H$10000,8,FALSE),"0")</f>
        <v>0</v>
      </c>
      <c r="K6458" s="4"/>
      <c r="L6458" s="33" t="str">
        <f>IFERROR(VLOOKUP($J6458,'Informations sur les produits'!$A$3:$H$10000,8,FALSE),"0")</f>
        <v>0</v>
      </c>
      <c r="N6458" s="8"/>
      <c r="O6458" s="33" t="str">
        <f>IFERROR(VLOOKUP($M6458,'Informations sur les produits'!$A$3:$H$10000,8,FALSE),"0")</f>
        <v>0</v>
      </c>
      <c r="P6458" s="33">
        <f t="shared" si="400"/>
        <v>0</v>
      </c>
      <c r="Q6458" s="31" t="str">
        <f t="shared" si="401"/>
        <v/>
      </c>
      <c r="R6458" s="32" t="str">
        <f>IFERROR(VLOOKUP($D6458,'Informations sur les produits'!$A$3:$B$15000,2,FALSE),"")</f>
        <v/>
      </c>
      <c r="V6458">
        <f t="shared" si="402"/>
        <v>0</v>
      </c>
      <c r="W6458">
        <f t="shared" si="403"/>
        <v>0</v>
      </c>
    </row>
    <row r="6459" spans="5:23" x14ac:dyDescent="0.25">
      <c r="E6459" s="4"/>
      <c r="F6459" s="4"/>
      <c r="G6459" s="33" t="str">
        <f>IFERROR(VLOOKUP($D6459,'Informations sur les produits'!$A$3:$H$10000,8,FALSE),"0")</f>
        <v>0</v>
      </c>
      <c r="K6459" s="4"/>
      <c r="L6459" s="33" t="str">
        <f>IFERROR(VLOOKUP($J6459,'Informations sur les produits'!$A$3:$H$10000,8,FALSE),"0")</f>
        <v>0</v>
      </c>
      <c r="N6459" s="8"/>
      <c r="O6459" s="33" t="str">
        <f>IFERROR(VLOOKUP($M6459,'Informations sur les produits'!$A$3:$H$10000,8,FALSE),"0")</f>
        <v>0</v>
      </c>
      <c r="P6459" s="33">
        <f t="shared" si="400"/>
        <v>0</v>
      </c>
      <c r="Q6459" s="31" t="str">
        <f t="shared" si="401"/>
        <v/>
      </c>
      <c r="R6459" s="32" t="str">
        <f>IFERROR(VLOOKUP($D6459,'Informations sur les produits'!$A$3:$B$15000,2,FALSE),"")</f>
        <v/>
      </c>
      <c r="V6459">
        <f t="shared" si="402"/>
        <v>0</v>
      </c>
      <c r="W6459">
        <f t="shared" si="403"/>
        <v>0</v>
      </c>
    </row>
    <row r="6460" spans="5:23" x14ac:dyDescent="0.25">
      <c r="E6460" s="4"/>
      <c r="F6460" s="4"/>
      <c r="G6460" s="33" t="str">
        <f>IFERROR(VLOOKUP($D6460,'Informations sur les produits'!$A$3:$H$10000,8,FALSE),"0")</f>
        <v>0</v>
      </c>
      <c r="K6460" s="4"/>
      <c r="L6460" s="33" t="str">
        <f>IFERROR(VLOOKUP($J6460,'Informations sur les produits'!$A$3:$H$10000,8,FALSE),"0")</f>
        <v>0</v>
      </c>
      <c r="N6460" s="8"/>
      <c r="O6460" s="33" t="str">
        <f>IFERROR(VLOOKUP($M6460,'Informations sur les produits'!$A$3:$H$10000,8,FALSE),"0")</f>
        <v>0</v>
      </c>
      <c r="P6460" s="33">
        <f t="shared" si="400"/>
        <v>0</v>
      </c>
      <c r="Q6460" s="31" t="str">
        <f t="shared" si="401"/>
        <v/>
      </c>
      <c r="R6460" s="32" t="str">
        <f>IFERROR(VLOOKUP($D6460,'Informations sur les produits'!$A$3:$B$15000,2,FALSE),"")</f>
        <v/>
      </c>
      <c r="V6460">
        <f t="shared" si="402"/>
        <v>0</v>
      </c>
      <c r="W6460">
        <f t="shared" si="403"/>
        <v>0</v>
      </c>
    </row>
    <row r="6461" spans="5:23" x14ac:dyDescent="0.25">
      <c r="E6461" s="4"/>
      <c r="F6461" s="4"/>
      <c r="G6461" s="33" t="str">
        <f>IFERROR(VLOOKUP($D6461,'Informations sur les produits'!$A$3:$H$10000,8,FALSE),"0")</f>
        <v>0</v>
      </c>
      <c r="K6461" s="4"/>
      <c r="L6461" s="33" t="str">
        <f>IFERROR(VLOOKUP($J6461,'Informations sur les produits'!$A$3:$H$10000,8,FALSE),"0")</f>
        <v>0</v>
      </c>
      <c r="N6461" s="8"/>
      <c r="O6461" s="33" t="str">
        <f>IFERROR(VLOOKUP($M6461,'Informations sur les produits'!$A$3:$H$10000,8,FALSE),"0")</f>
        <v>0</v>
      </c>
      <c r="P6461" s="33">
        <f t="shared" si="400"/>
        <v>0</v>
      </c>
      <c r="Q6461" s="31" t="str">
        <f t="shared" si="401"/>
        <v/>
      </c>
      <c r="R6461" s="32" t="str">
        <f>IFERROR(VLOOKUP($D6461,'Informations sur les produits'!$A$3:$B$15000,2,FALSE),"")</f>
        <v/>
      </c>
      <c r="V6461">
        <f t="shared" si="402"/>
        <v>0</v>
      </c>
      <c r="W6461">
        <f t="shared" si="403"/>
        <v>0</v>
      </c>
    </row>
    <row r="6462" spans="5:23" x14ac:dyDescent="0.25">
      <c r="E6462" s="4"/>
      <c r="F6462" s="4"/>
      <c r="G6462" s="33" t="str">
        <f>IFERROR(VLOOKUP($D6462,'Informations sur les produits'!$A$3:$H$10000,8,FALSE),"0")</f>
        <v>0</v>
      </c>
      <c r="K6462" s="4"/>
      <c r="L6462" s="33" t="str">
        <f>IFERROR(VLOOKUP($J6462,'Informations sur les produits'!$A$3:$H$10000,8,FALSE),"0")</f>
        <v>0</v>
      </c>
      <c r="N6462" s="8"/>
      <c r="O6462" s="33" t="str">
        <f>IFERROR(VLOOKUP($M6462,'Informations sur les produits'!$A$3:$H$10000,8,FALSE),"0")</f>
        <v>0</v>
      </c>
      <c r="P6462" s="33">
        <f t="shared" si="400"/>
        <v>0</v>
      </c>
      <c r="Q6462" s="31" t="str">
        <f t="shared" si="401"/>
        <v/>
      </c>
      <c r="R6462" s="32" t="str">
        <f>IFERROR(VLOOKUP($D6462,'Informations sur les produits'!$A$3:$B$15000,2,FALSE),"")</f>
        <v/>
      </c>
      <c r="V6462">
        <f t="shared" si="402"/>
        <v>0</v>
      </c>
      <c r="W6462">
        <f t="shared" si="403"/>
        <v>0</v>
      </c>
    </row>
    <row r="6463" spans="5:23" x14ac:dyDescent="0.25">
      <c r="E6463" s="4"/>
      <c r="F6463" s="4"/>
      <c r="G6463" s="33" t="str">
        <f>IFERROR(VLOOKUP($D6463,'Informations sur les produits'!$A$3:$H$10000,8,FALSE),"0")</f>
        <v>0</v>
      </c>
      <c r="K6463" s="4"/>
      <c r="L6463" s="33" t="str">
        <f>IFERROR(VLOOKUP($J6463,'Informations sur les produits'!$A$3:$H$10000,8,FALSE),"0")</f>
        <v>0</v>
      </c>
      <c r="N6463" s="8"/>
      <c r="O6463" s="33" t="str">
        <f>IFERROR(VLOOKUP($M6463,'Informations sur les produits'!$A$3:$H$10000,8,FALSE),"0")</f>
        <v>0</v>
      </c>
      <c r="P6463" s="33">
        <f t="shared" si="400"/>
        <v>0</v>
      </c>
      <c r="Q6463" s="31" t="str">
        <f t="shared" si="401"/>
        <v/>
      </c>
      <c r="R6463" s="32" t="str">
        <f>IFERROR(VLOOKUP($D6463,'Informations sur les produits'!$A$3:$B$15000,2,FALSE),"")</f>
        <v/>
      </c>
      <c r="V6463">
        <f t="shared" si="402"/>
        <v>0</v>
      </c>
      <c r="W6463">
        <f t="shared" si="403"/>
        <v>0</v>
      </c>
    </row>
    <row r="6464" spans="5:23" x14ac:dyDescent="0.25">
      <c r="E6464" s="4"/>
      <c r="F6464" s="4"/>
      <c r="G6464" s="33" t="str">
        <f>IFERROR(VLOOKUP($D6464,'Informations sur les produits'!$A$3:$H$10000,8,FALSE),"0")</f>
        <v>0</v>
      </c>
      <c r="K6464" s="4"/>
      <c r="L6464" s="33" t="str">
        <f>IFERROR(VLOOKUP($J6464,'Informations sur les produits'!$A$3:$H$10000,8,FALSE),"0")</f>
        <v>0</v>
      </c>
      <c r="N6464" s="8"/>
      <c r="O6464" s="33" t="str">
        <f>IFERROR(VLOOKUP($M6464,'Informations sur les produits'!$A$3:$H$10000,8,FALSE),"0")</f>
        <v>0</v>
      </c>
      <c r="P6464" s="33">
        <f t="shared" si="400"/>
        <v>0</v>
      </c>
      <c r="Q6464" s="31" t="str">
        <f t="shared" si="401"/>
        <v/>
      </c>
      <c r="R6464" s="32" t="str">
        <f>IFERROR(VLOOKUP($D6464,'Informations sur les produits'!$A$3:$B$15000,2,FALSE),"")</f>
        <v/>
      </c>
      <c r="V6464">
        <f t="shared" si="402"/>
        <v>0</v>
      </c>
      <c r="W6464">
        <f t="shared" si="403"/>
        <v>0</v>
      </c>
    </row>
    <row r="6465" spans="5:23" x14ac:dyDescent="0.25">
      <c r="E6465" s="4"/>
      <c r="F6465" s="4"/>
      <c r="G6465" s="33" t="str">
        <f>IFERROR(VLOOKUP($D6465,'Informations sur les produits'!$A$3:$H$10000,8,FALSE),"0")</f>
        <v>0</v>
      </c>
      <c r="K6465" s="4"/>
      <c r="L6465" s="33" t="str">
        <f>IFERROR(VLOOKUP($J6465,'Informations sur les produits'!$A$3:$H$10000,8,FALSE),"0")</f>
        <v>0</v>
      </c>
      <c r="N6465" s="8"/>
      <c r="O6465" s="33" t="str">
        <f>IFERROR(VLOOKUP($M6465,'Informations sur les produits'!$A$3:$H$10000,8,FALSE),"0")</f>
        <v>0</v>
      </c>
      <c r="P6465" s="33">
        <f t="shared" si="400"/>
        <v>0</v>
      </c>
      <c r="Q6465" s="31" t="str">
        <f t="shared" si="401"/>
        <v/>
      </c>
      <c r="R6465" s="32" t="str">
        <f>IFERROR(VLOOKUP($D6465,'Informations sur les produits'!$A$3:$B$15000,2,FALSE),"")</f>
        <v/>
      </c>
      <c r="V6465">
        <f t="shared" si="402"/>
        <v>0</v>
      </c>
      <c r="W6465">
        <f t="shared" si="403"/>
        <v>0</v>
      </c>
    </row>
    <row r="6466" spans="5:23" x14ac:dyDescent="0.25">
      <c r="E6466" s="4"/>
      <c r="F6466" s="4"/>
      <c r="G6466" s="33" t="str">
        <f>IFERROR(VLOOKUP($D6466,'Informations sur les produits'!$A$3:$H$10000,8,FALSE),"0")</f>
        <v>0</v>
      </c>
      <c r="K6466" s="4"/>
      <c r="L6466" s="33" t="str">
        <f>IFERROR(VLOOKUP($J6466,'Informations sur les produits'!$A$3:$H$10000,8,FALSE),"0")</f>
        <v>0</v>
      </c>
      <c r="N6466" s="8"/>
      <c r="O6466" s="33" t="str">
        <f>IFERROR(VLOOKUP($M6466,'Informations sur les produits'!$A$3:$H$10000,8,FALSE),"0")</f>
        <v>0</v>
      </c>
      <c r="P6466" s="33">
        <f t="shared" si="400"/>
        <v>0</v>
      </c>
      <c r="Q6466" s="31" t="str">
        <f t="shared" si="401"/>
        <v/>
      </c>
      <c r="R6466" s="32" t="str">
        <f>IFERROR(VLOOKUP($D6466,'Informations sur les produits'!$A$3:$B$15000,2,FALSE),"")</f>
        <v/>
      </c>
      <c r="V6466">
        <f t="shared" si="402"/>
        <v>0</v>
      </c>
      <c r="W6466">
        <f t="shared" si="403"/>
        <v>0</v>
      </c>
    </row>
    <row r="6467" spans="5:23" x14ac:dyDescent="0.25">
      <c r="E6467" s="4"/>
      <c r="F6467" s="4"/>
      <c r="G6467" s="33" t="str">
        <f>IFERROR(VLOOKUP($D6467,'Informations sur les produits'!$A$3:$H$10000,8,FALSE),"0")</f>
        <v>0</v>
      </c>
      <c r="K6467" s="4"/>
      <c r="L6467" s="33" t="str">
        <f>IFERROR(VLOOKUP($J6467,'Informations sur les produits'!$A$3:$H$10000,8,FALSE),"0")</f>
        <v>0</v>
      </c>
      <c r="N6467" s="8"/>
      <c r="O6467" s="33" t="str">
        <f>IFERROR(VLOOKUP($M6467,'Informations sur les produits'!$A$3:$H$10000,8,FALSE),"0")</f>
        <v>0</v>
      </c>
      <c r="P6467" s="33">
        <f t="shared" si="400"/>
        <v>0</v>
      </c>
      <c r="Q6467" s="31" t="str">
        <f t="shared" si="401"/>
        <v/>
      </c>
      <c r="R6467" s="32" t="str">
        <f>IFERROR(VLOOKUP($D6467,'Informations sur les produits'!$A$3:$B$15000,2,FALSE),"")</f>
        <v/>
      </c>
      <c r="V6467">
        <f t="shared" si="402"/>
        <v>0</v>
      </c>
      <c r="W6467">
        <f t="shared" si="403"/>
        <v>0</v>
      </c>
    </row>
    <row r="6468" spans="5:23" x14ac:dyDescent="0.25">
      <c r="E6468" s="4"/>
      <c r="F6468" s="4"/>
      <c r="G6468" s="33" t="str">
        <f>IFERROR(VLOOKUP($D6468,'Informations sur les produits'!$A$3:$H$10000,8,FALSE),"0")</f>
        <v>0</v>
      </c>
      <c r="K6468" s="4"/>
      <c r="L6468" s="33" t="str">
        <f>IFERROR(VLOOKUP($J6468,'Informations sur les produits'!$A$3:$H$10000,8,FALSE),"0")</f>
        <v>0</v>
      </c>
      <c r="N6468" s="8"/>
      <c r="O6468" s="33" t="str">
        <f>IFERROR(VLOOKUP($M6468,'Informations sur les produits'!$A$3:$H$10000,8,FALSE),"0")</f>
        <v>0</v>
      </c>
      <c r="P6468" s="33">
        <f t="shared" ref="P6468:P6531" si="404">IFERROR((($E6468-$F6468)*$G6468+$K6468*$L6468+$N6468*$O6468),"")</f>
        <v>0</v>
      </c>
      <c r="Q6468" s="31" t="str">
        <f t="shared" ref="Q6468:Q6531" si="405">IFERROR((((($E6468-$F6468)*$G6468+$K6468*$L6468+$N6468*$O6468)*1000)/(($E6468-$F6468)+$K6468+$N6468)),"")</f>
        <v/>
      </c>
      <c r="R6468" s="32" t="str">
        <f>IFERROR(VLOOKUP($D6468,'Informations sur les produits'!$A$3:$B$15000,2,FALSE),"")</f>
        <v/>
      </c>
      <c r="V6468">
        <f t="shared" ref="V6468:V6531" si="406">IFERROR(P6468*1000,"")</f>
        <v>0</v>
      </c>
      <c r="W6468">
        <f t="shared" ref="W6468:W6531" si="407">IFERROR(($E6468-$F6468)+$K6468+$N6468,"")</f>
        <v>0</v>
      </c>
    </row>
    <row r="6469" spans="5:23" x14ac:dyDescent="0.25">
      <c r="E6469" s="4"/>
      <c r="F6469" s="4"/>
      <c r="G6469" s="33" t="str">
        <f>IFERROR(VLOOKUP($D6469,'Informations sur les produits'!$A$3:$H$10000,8,FALSE),"0")</f>
        <v>0</v>
      </c>
      <c r="K6469" s="4"/>
      <c r="L6469" s="33" t="str">
        <f>IFERROR(VLOOKUP($J6469,'Informations sur les produits'!$A$3:$H$10000,8,FALSE),"0")</f>
        <v>0</v>
      </c>
      <c r="N6469" s="8"/>
      <c r="O6469" s="33" t="str">
        <f>IFERROR(VLOOKUP($M6469,'Informations sur les produits'!$A$3:$H$10000,8,FALSE),"0")</f>
        <v>0</v>
      </c>
      <c r="P6469" s="33">
        <f t="shared" si="404"/>
        <v>0</v>
      </c>
      <c r="Q6469" s="31" t="str">
        <f t="shared" si="405"/>
        <v/>
      </c>
      <c r="R6469" s="32" t="str">
        <f>IFERROR(VLOOKUP($D6469,'Informations sur les produits'!$A$3:$B$15000,2,FALSE),"")</f>
        <v/>
      </c>
      <c r="V6469">
        <f t="shared" si="406"/>
        <v>0</v>
      </c>
      <c r="W6469">
        <f t="shared" si="407"/>
        <v>0</v>
      </c>
    </row>
    <row r="6470" spans="5:23" x14ac:dyDescent="0.25">
      <c r="E6470" s="4"/>
      <c r="F6470" s="4"/>
      <c r="G6470" s="33" t="str">
        <f>IFERROR(VLOOKUP($D6470,'Informations sur les produits'!$A$3:$H$10000,8,FALSE),"0")</f>
        <v>0</v>
      </c>
      <c r="K6470" s="4"/>
      <c r="L6470" s="33" t="str">
        <f>IFERROR(VLOOKUP($J6470,'Informations sur les produits'!$A$3:$H$10000,8,FALSE),"0")</f>
        <v>0</v>
      </c>
      <c r="N6470" s="8"/>
      <c r="O6470" s="33" t="str">
        <f>IFERROR(VLOOKUP($M6470,'Informations sur les produits'!$A$3:$H$10000,8,FALSE),"0")</f>
        <v>0</v>
      </c>
      <c r="P6470" s="33">
        <f t="shared" si="404"/>
        <v>0</v>
      </c>
      <c r="Q6470" s="31" t="str">
        <f t="shared" si="405"/>
        <v/>
      </c>
      <c r="R6470" s="32" t="str">
        <f>IFERROR(VLOOKUP($D6470,'Informations sur les produits'!$A$3:$B$15000,2,FALSE),"")</f>
        <v/>
      </c>
      <c r="V6470">
        <f t="shared" si="406"/>
        <v>0</v>
      </c>
      <c r="W6470">
        <f t="shared" si="407"/>
        <v>0</v>
      </c>
    </row>
    <row r="6471" spans="5:23" x14ac:dyDescent="0.25">
      <c r="E6471" s="4"/>
      <c r="F6471" s="4"/>
      <c r="G6471" s="33" t="str">
        <f>IFERROR(VLOOKUP($D6471,'Informations sur les produits'!$A$3:$H$10000,8,FALSE),"0")</f>
        <v>0</v>
      </c>
      <c r="K6471" s="4"/>
      <c r="L6471" s="33" t="str">
        <f>IFERROR(VLOOKUP($J6471,'Informations sur les produits'!$A$3:$H$10000,8,FALSE),"0")</f>
        <v>0</v>
      </c>
      <c r="N6471" s="8"/>
      <c r="O6471" s="33" t="str">
        <f>IFERROR(VLOOKUP($M6471,'Informations sur les produits'!$A$3:$H$10000,8,FALSE),"0")</f>
        <v>0</v>
      </c>
      <c r="P6471" s="33">
        <f t="shared" si="404"/>
        <v>0</v>
      </c>
      <c r="Q6471" s="31" t="str">
        <f t="shared" si="405"/>
        <v/>
      </c>
      <c r="R6471" s="32" t="str">
        <f>IFERROR(VLOOKUP($D6471,'Informations sur les produits'!$A$3:$B$15000,2,FALSE),"")</f>
        <v/>
      </c>
      <c r="V6471">
        <f t="shared" si="406"/>
        <v>0</v>
      </c>
      <c r="W6471">
        <f t="shared" si="407"/>
        <v>0</v>
      </c>
    </row>
    <row r="6472" spans="5:23" x14ac:dyDescent="0.25">
      <c r="E6472" s="4"/>
      <c r="F6472" s="4"/>
      <c r="G6472" s="33" t="str">
        <f>IFERROR(VLOOKUP($D6472,'Informations sur les produits'!$A$3:$H$10000,8,FALSE),"0")</f>
        <v>0</v>
      </c>
      <c r="K6472" s="4"/>
      <c r="L6472" s="33" t="str">
        <f>IFERROR(VLOOKUP($J6472,'Informations sur les produits'!$A$3:$H$10000,8,FALSE),"0")</f>
        <v>0</v>
      </c>
      <c r="N6472" s="8"/>
      <c r="O6472" s="33" t="str">
        <f>IFERROR(VLOOKUP($M6472,'Informations sur les produits'!$A$3:$H$10000,8,FALSE),"0")</f>
        <v>0</v>
      </c>
      <c r="P6472" s="33">
        <f t="shared" si="404"/>
        <v>0</v>
      </c>
      <c r="Q6472" s="31" t="str">
        <f t="shared" si="405"/>
        <v/>
      </c>
      <c r="R6472" s="32" t="str">
        <f>IFERROR(VLOOKUP($D6472,'Informations sur les produits'!$A$3:$B$15000,2,FALSE),"")</f>
        <v/>
      </c>
      <c r="V6472">
        <f t="shared" si="406"/>
        <v>0</v>
      </c>
      <c r="W6472">
        <f t="shared" si="407"/>
        <v>0</v>
      </c>
    </row>
    <row r="6473" spans="5:23" x14ac:dyDescent="0.25">
      <c r="E6473" s="4"/>
      <c r="F6473" s="4"/>
      <c r="G6473" s="33" t="str">
        <f>IFERROR(VLOOKUP($D6473,'Informations sur les produits'!$A$3:$H$10000,8,FALSE),"0")</f>
        <v>0</v>
      </c>
      <c r="K6473" s="4"/>
      <c r="L6473" s="33" t="str">
        <f>IFERROR(VLOOKUP($J6473,'Informations sur les produits'!$A$3:$H$10000,8,FALSE),"0")</f>
        <v>0</v>
      </c>
      <c r="N6473" s="8"/>
      <c r="O6473" s="33" t="str">
        <f>IFERROR(VLOOKUP($M6473,'Informations sur les produits'!$A$3:$H$10000,8,FALSE),"0")</f>
        <v>0</v>
      </c>
      <c r="P6473" s="33">
        <f t="shared" si="404"/>
        <v>0</v>
      </c>
      <c r="Q6473" s="31" t="str">
        <f t="shared" si="405"/>
        <v/>
      </c>
      <c r="R6473" s="32" t="str">
        <f>IFERROR(VLOOKUP($D6473,'Informations sur les produits'!$A$3:$B$15000,2,FALSE),"")</f>
        <v/>
      </c>
      <c r="V6473">
        <f t="shared" si="406"/>
        <v>0</v>
      </c>
      <c r="W6473">
        <f t="shared" si="407"/>
        <v>0</v>
      </c>
    </row>
    <row r="6474" spans="5:23" x14ac:dyDescent="0.25">
      <c r="E6474" s="4"/>
      <c r="F6474" s="4"/>
      <c r="G6474" s="33" t="str">
        <f>IFERROR(VLOOKUP($D6474,'Informations sur les produits'!$A$3:$H$10000,8,FALSE),"0")</f>
        <v>0</v>
      </c>
      <c r="K6474" s="4"/>
      <c r="L6474" s="33" t="str">
        <f>IFERROR(VLOOKUP($J6474,'Informations sur les produits'!$A$3:$H$10000,8,FALSE),"0")</f>
        <v>0</v>
      </c>
      <c r="N6474" s="8"/>
      <c r="O6474" s="33" t="str">
        <f>IFERROR(VLOOKUP($M6474,'Informations sur les produits'!$A$3:$H$10000,8,FALSE),"0")</f>
        <v>0</v>
      </c>
      <c r="P6474" s="33">
        <f t="shared" si="404"/>
        <v>0</v>
      </c>
      <c r="Q6474" s="31" t="str">
        <f t="shared" si="405"/>
        <v/>
      </c>
      <c r="R6474" s="32" t="str">
        <f>IFERROR(VLOOKUP($D6474,'Informations sur les produits'!$A$3:$B$15000,2,FALSE),"")</f>
        <v/>
      </c>
      <c r="V6474">
        <f t="shared" si="406"/>
        <v>0</v>
      </c>
      <c r="W6474">
        <f t="shared" si="407"/>
        <v>0</v>
      </c>
    </row>
    <row r="6475" spans="5:23" x14ac:dyDescent="0.25">
      <c r="E6475" s="4"/>
      <c r="F6475" s="4"/>
      <c r="G6475" s="33" t="str">
        <f>IFERROR(VLOOKUP($D6475,'Informations sur les produits'!$A$3:$H$10000,8,FALSE),"0")</f>
        <v>0</v>
      </c>
      <c r="K6475" s="4"/>
      <c r="L6475" s="33" t="str">
        <f>IFERROR(VLOOKUP($J6475,'Informations sur les produits'!$A$3:$H$10000,8,FALSE),"0")</f>
        <v>0</v>
      </c>
      <c r="N6475" s="8"/>
      <c r="O6475" s="33" t="str">
        <f>IFERROR(VLOOKUP($M6475,'Informations sur les produits'!$A$3:$H$10000,8,FALSE),"0")</f>
        <v>0</v>
      </c>
      <c r="P6475" s="33">
        <f t="shared" si="404"/>
        <v>0</v>
      </c>
      <c r="Q6475" s="31" t="str">
        <f t="shared" si="405"/>
        <v/>
      </c>
      <c r="R6475" s="32" t="str">
        <f>IFERROR(VLOOKUP($D6475,'Informations sur les produits'!$A$3:$B$15000,2,FALSE),"")</f>
        <v/>
      </c>
      <c r="V6475">
        <f t="shared" si="406"/>
        <v>0</v>
      </c>
      <c r="W6475">
        <f t="shared" si="407"/>
        <v>0</v>
      </c>
    </row>
    <row r="6476" spans="5:23" x14ac:dyDescent="0.25">
      <c r="E6476" s="4"/>
      <c r="F6476" s="4"/>
      <c r="G6476" s="33" t="str">
        <f>IFERROR(VLOOKUP($D6476,'Informations sur les produits'!$A$3:$H$10000,8,FALSE),"0")</f>
        <v>0</v>
      </c>
      <c r="K6476" s="4"/>
      <c r="L6476" s="33" t="str">
        <f>IFERROR(VLOOKUP($J6476,'Informations sur les produits'!$A$3:$H$10000,8,FALSE),"0")</f>
        <v>0</v>
      </c>
      <c r="N6476" s="8"/>
      <c r="O6476" s="33" t="str">
        <f>IFERROR(VLOOKUP($M6476,'Informations sur les produits'!$A$3:$H$10000,8,FALSE),"0")</f>
        <v>0</v>
      </c>
      <c r="P6476" s="33">
        <f t="shared" si="404"/>
        <v>0</v>
      </c>
      <c r="Q6476" s="31" t="str">
        <f t="shared" si="405"/>
        <v/>
      </c>
      <c r="R6476" s="32" t="str">
        <f>IFERROR(VLOOKUP($D6476,'Informations sur les produits'!$A$3:$B$15000,2,FALSE),"")</f>
        <v/>
      </c>
      <c r="V6476">
        <f t="shared" si="406"/>
        <v>0</v>
      </c>
      <c r="W6476">
        <f t="shared" si="407"/>
        <v>0</v>
      </c>
    </row>
    <row r="6477" spans="5:23" x14ac:dyDescent="0.25">
      <c r="E6477" s="4"/>
      <c r="F6477" s="4"/>
      <c r="G6477" s="33" t="str">
        <f>IFERROR(VLOOKUP($D6477,'Informations sur les produits'!$A$3:$H$10000,8,FALSE),"0")</f>
        <v>0</v>
      </c>
      <c r="K6477" s="4"/>
      <c r="L6477" s="33" t="str">
        <f>IFERROR(VLOOKUP($J6477,'Informations sur les produits'!$A$3:$H$10000,8,FALSE),"0")</f>
        <v>0</v>
      </c>
      <c r="N6477" s="8"/>
      <c r="O6477" s="33" t="str">
        <f>IFERROR(VLOOKUP($M6477,'Informations sur les produits'!$A$3:$H$10000,8,FALSE),"0")</f>
        <v>0</v>
      </c>
      <c r="P6477" s="33">
        <f t="shared" si="404"/>
        <v>0</v>
      </c>
      <c r="Q6477" s="31" t="str">
        <f t="shared" si="405"/>
        <v/>
      </c>
      <c r="R6477" s="32" t="str">
        <f>IFERROR(VLOOKUP($D6477,'Informations sur les produits'!$A$3:$B$15000,2,FALSE),"")</f>
        <v/>
      </c>
      <c r="V6477">
        <f t="shared" si="406"/>
        <v>0</v>
      </c>
      <c r="W6477">
        <f t="shared" si="407"/>
        <v>0</v>
      </c>
    </row>
    <row r="6478" spans="5:23" x14ac:dyDescent="0.25">
      <c r="E6478" s="4"/>
      <c r="F6478" s="4"/>
      <c r="G6478" s="33" t="str">
        <f>IFERROR(VLOOKUP($D6478,'Informations sur les produits'!$A$3:$H$10000,8,FALSE),"0")</f>
        <v>0</v>
      </c>
      <c r="K6478" s="4"/>
      <c r="L6478" s="33" t="str">
        <f>IFERROR(VLOOKUP($J6478,'Informations sur les produits'!$A$3:$H$10000,8,FALSE),"0")</f>
        <v>0</v>
      </c>
      <c r="N6478" s="8"/>
      <c r="O6478" s="33" t="str">
        <f>IFERROR(VLOOKUP($M6478,'Informations sur les produits'!$A$3:$H$10000,8,FALSE),"0")</f>
        <v>0</v>
      </c>
      <c r="P6478" s="33">
        <f t="shared" si="404"/>
        <v>0</v>
      </c>
      <c r="Q6478" s="31" t="str">
        <f t="shared" si="405"/>
        <v/>
      </c>
      <c r="R6478" s="32" t="str">
        <f>IFERROR(VLOOKUP($D6478,'Informations sur les produits'!$A$3:$B$15000,2,FALSE),"")</f>
        <v/>
      </c>
      <c r="V6478">
        <f t="shared" si="406"/>
        <v>0</v>
      </c>
      <c r="W6478">
        <f t="shared" si="407"/>
        <v>0</v>
      </c>
    </row>
    <row r="6479" spans="5:23" x14ac:dyDescent="0.25">
      <c r="E6479" s="4"/>
      <c r="F6479" s="4"/>
      <c r="G6479" s="33" t="str">
        <f>IFERROR(VLOOKUP($D6479,'Informations sur les produits'!$A$3:$H$10000,8,FALSE),"0")</f>
        <v>0</v>
      </c>
      <c r="K6479" s="4"/>
      <c r="L6479" s="33" t="str">
        <f>IFERROR(VLOOKUP($J6479,'Informations sur les produits'!$A$3:$H$10000,8,FALSE),"0")</f>
        <v>0</v>
      </c>
      <c r="N6479" s="8"/>
      <c r="O6479" s="33" t="str">
        <f>IFERROR(VLOOKUP($M6479,'Informations sur les produits'!$A$3:$H$10000,8,FALSE),"0")</f>
        <v>0</v>
      </c>
      <c r="P6479" s="33">
        <f t="shared" si="404"/>
        <v>0</v>
      </c>
      <c r="Q6479" s="31" t="str">
        <f t="shared" si="405"/>
        <v/>
      </c>
      <c r="R6479" s="32" t="str">
        <f>IFERROR(VLOOKUP($D6479,'Informations sur les produits'!$A$3:$B$15000,2,FALSE),"")</f>
        <v/>
      </c>
      <c r="V6479">
        <f t="shared" si="406"/>
        <v>0</v>
      </c>
      <c r="W6479">
        <f t="shared" si="407"/>
        <v>0</v>
      </c>
    </row>
    <row r="6480" spans="5:23" x14ac:dyDescent="0.25">
      <c r="E6480" s="4"/>
      <c r="F6480" s="4"/>
      <c r="G6480" s="33" t="str">
        <f>IFERROR(VLOOKUP($D6480,'Informations sur les produits'!$A$3:$H$10000,8,FALSE),"0")</f>
        <v>0</v>
      </c>
      <c r="K6480" s="4"/>
      <c r="L6480" s="33" t="str">
        <f>IFERROR(VLOOKUP($J6480,'Informations sur les produits'!$A$3:$H$10000,8,FALSE),"0")</f>
        <v>0</v>
      </c>
      <c r="N6480" s="8"/>
      <c r="O6480" s="33" t="str">
        <f>IFERROR(VLOOKUP($M6480,'Informations sur les produits'!$A$3:$H$10000,8,FALSE),"0")</f>
        <v>0</v>
      </c>
      <c r="P6480" s="33">
        <f t="shared" si="404"/>
        <v>0</v>
      </c>
      <c r="Q6480" s="31" t="str">
        <f t="shared" si="405"/>
        <v/>
      </c>
      <c r="R6480" s="32" t="str">
        <f>IFERROR(VLOOKUP($D6480,'Informations sur les produits'!$A$3:$B$15000,2,FALSE),"")</f>
        <v/>
      </c>
      <c r="V6480">
        <f t="shared" si="406"/>
        <v>0</v>
      </c>
      <c r="W6480">
        <f t="shared" si="407"/>
        <v>0</v>
      </c>
    </row>
    <row r="6481" spans="5:23" x14ac:dyDescent="0.25">
      <c r="E6481" s="4"/>
      <c r="F6481" s="4"/>
      <c r="G6481" s="33" t="str">
        <f>IFERROR(VLOOKUP($D6481,'Informations sur les produits'!$A$3:$H$10000,8,FALSE),"0")</f>
        <v>0</v>
      </c>
      <c r="K6481" s="4"/>
      <c r="L6481" s="33" t="str">
        <f>IFERROR(VLOOKUP($J6481,'Informations sur les produits'!$A$3:$H$10000,8,FALSE),"0")</f>
        <v>0</v>
      </c>
      <c r="N6481" s="8"/>
      <c r="O6481" s="33" t="str">
        <f>IFERROR(VLOOKUP($M6481,'Informations sur les produits'!$A$3:$H$10000,8,FALSE),"0")</f>
        <v>0</v>
      </c>
      <c r="P6481" s="33">
        <f t="shared" si="404"/>
        <v>0</v>
      </c>
      <c r="Q6481" s="31" t="str">
        <f t="shared" si="405"/>
        <v/>
      </c>
      <c r="R6481" s="32" t="str">
        <f>IFERROR(VLOOKUP($D6481,'Informations sur les produits'!$A$3:$B$15000,2,FALSE),"")</f>
        <v/>
      </c>
      <c r="V6481">
        <f t="shared" si="406"/>
        <v>0</v>
      </c>
      <c r="W6481">
        <f t="shared" si="407"/>
        <v>0</v>
      </c>
    </row>
    <row r="6482" spans="5:23" x14ac:dyDescent="0.25">
      <c r="E6482" s="4"/>
      <c r="F6482" s="4"/>
      <c r="G6482" s="33" t="str">
        <f>IFERROR(VLOOKUP($D6482,'Informations sur les produits'!$A$3:$H$10000,8,FALSE),"0")</f>
        <v>0</v>
      </c>
      <c r="K6482" s="4"/>
      <c r="L6482" s="33" t="str">
        <f>IFERROR(VLOOKUP($J6482,'Informations sur les produits'!$A$3:$H$10000,8,FALSE),"0")</f>
        <v>0</v>
      </c>
      <c r="N6482" s="8"/>
      <c r="O6482" s="33" t="str">
        <f>IFERROR(VLOOKUP($M6482,'Informations sur les produits'!$A$3:$H$10000,8,FALSE),"0")</f>
        <v>0</v>
      </c>
      <c r="P6482" s="33">
        <f t="shared" si="404"/>
        <v>0</v>
      </c>
      <c r="Q6482" s="31" t="str">
        <f t="shared" si="405"/>
        <v/>
      </c>
      <c r="R6482" s="32" t="str">
        <f>IFERROR(VLOOKUP($D6482,'Informations sur les produits'!$A$3:$B$15000,2,FALSE),"")</f>
        <v/>
      </c>
      <c r="V6482">
        <f t="shared" si="406"/>
        <v>0</v>
      </c>
      <c r="W6482">
        <f t="shared" si="407"/>
        <v>0</v>
      </c>
    </row>
    <row r="6483" spans="5:23" x14ac:dyDescent="0.25">
      <c r="E6483" s="4"/>
      <c r="F6483" s="4"/>
      <c r="G6483" s="33" t="str">
        <f>IFERROR(VLOOKUP($D6483,'Informations sur les produits'!$A$3:$H$10000,8,FALSE),"0")</f>
        <v>0</v>
      </c>
      <c r="K6483" s="4"/>
      <c r="L6483" s="33" t="str">
        <f>IFERROR(VLOOKUP($J6483,'Informations sur les produits'!$A$3:$H$10000,8,FALSE),"0")</f>
        <v>0</v>
      </c>
      <c r="N6483" s="8"/>
      <c r="O6483" s="33" t="str">
        <f>IFERROR(VLOOKUP($M6483,'Informations sur les produits'!$A$3:$H$10000,8,FALSE),"0")</f>
        <v>0</v>
      </c>
      <c r="P6483" s="33">
        <f t="shared" si="404"/>
        <v>0</v>
      </c>
      <c r="Q6483" s="31" t="str">
        <f t="shared" si="405"/>
        <v/>
      </c>
      <c r="R6483" s="32" t="str">
        <f>IFERROR(VLOOKUP($D6483,'Informations sur les produits'!$A$3:$B$15000,2,FALSE),"")</f>
        <v/>
      </c>
      <c r="V6483">
        <f t="shared" si="406"/>
        <v>0</v>
      </c>
      <c r="W6483">
        <f t="shared" si="407"/>
        <v>0</v>
      </c>
    </row>
    <row r="6484" spans="5:23" x14ac:dyDescent="0.25">
      <c r="E6484" s="4"/>
      <c r="F6484" s="4"/>
      <c r="G6484" s="33" t="str">
        <f>IFERROR(VLOOKUP($D6484,'Informations sur les produits'!$A$3:$H$10000,8,FALSE),"0")</f>
        <v>0</v>
      </c>
      <c r="K6484" s="4"/>
      <c r="L6484" s="33" t="str">
        <f>IFERROR(VLOOKUP($J6484,'Informations sur les produits'!$A$3:$H$10000,8,FALSE),"0")</f>
        <v>0</v>
      </c>
      <c r="N6484" s="8"/>
      <c r="O6484" s="33" t="str">
        <f>IFERROR(VLOOKUP($M6484,'Informations sur les produits'!$A$3:$H$10000,8,FALSE),"0")</f>
        <v>0</v>
      </c>
      <c r="P6484" s="33">
        <f t="shared" si="404"/>
        <v>0</v>
      </c>
      <c r="Q6484" s="31" t="str">
        <f t="shared" si="405"/>
        <v/>
      </c>
      <c r="R6484" s="32" t="str">
        <f>IFERROR(VLOOKUP($D6484,'Informations sur les produits'!$A$3:$B$15000,2,FALSE),"")</f>
        <v/>
      </c>
      <c r="V6484">
        <f t="shared" si="406"/>
        <v>0</v>
      </c>
      <c r="W6484">
        <f t="shared" si="407"/>
        <v>0</v>
      </c>
    </row>
    <row r="6485" spans="5:23" x14ac:dyDescent="0.25">
      <c r="E6485" s="4"/>
      <c r="F6485" s="4"/>
      <c r="G6485" s="33" t="str">
        <f>IFERROR(VLOOKUP($D6485,'Informations sur les produits'!$A$3:$H$10000,8,FALSE),"0")</f>
        <v>0</v>
      </c>
      <c r="K6485" s="4"/>
      <c r="L6485" s="33" t="str">
        <f>IFERROR(VLOOKUP($J6485,'Informations sur les produits'!$A$3:$H$10000,8,FALSE),"0")</f>
        <v>0</v>
      </c>
      <c r="N6485" s="8"/>
      <c r="O6485" s="33" t="str">
        <f>IFERROR(VLOOKUP($M6485,'Informations sur les produits'!$A$3:$H$10000,8,FALSE),"0")</f>
        <v>0</v>
      </c>
      <c r="P6485" s="33">
        <f t="shared" si="404"/>
        <v>0</v>
      </c>
      <c r="Q6485" s="31" t="str">
        <f t="shared" si="405"/>
        <v/>
      </c>
      <c r="R6485" s="32" t="str">
        <f>IFERROR(VLOOKUP($D6485,'Informations sur les produits'!$A$3:$B$15000,2,FALSE),"")</f>
        <v/>
      </c>
      <c r="V6485">
        <f t="shared" si="406"/>
        <v>0</v>
      </c>
      <c r="W6485">
        <f t="shared" si="407"/>
        <v>0</v>
      </c>
    </row>
    <row r="6486" spans="5:23" x14ac:dyDescent="0.25">
      <c r="E6486" s="4"/>
      <c r="F6486" s="4"/>
      <c r="G6486" s="33" t="str">
        <f>IFERROR(VLOOKUP($D6486,'Informations sur les produits'!$A$3:$H$10000,8,FALSE),"0")</f>
        <v>0</v>
      </c>
      <c r="K6486" s="4"/>
      <c r="L6486" s="33" t="str">
        <f>IFERROR(VLOOKUP($J6486,'Informations sur les produits'!$A$3:$H$10000,8,FALSE),"0")</f>
        <v>0</v>
      </c>
      <c r="N6486" s="8"/>
      <c r="O6486" s="33" t="str">
        <f>IFERROR(VLOOKUP($M6486,'Informations sur les produits'!$A$3:$H$10000,8,FALSE),"0")</f>
        <v>0</v>
      </c>
      <c r="P6486" s="33">
        <f t="shared" si="404"/>
        <v>0</v>
      </c>
      <c r="Q6486" s="31" t="str">
        <f t="shared" si="405"/>
        <v/>
      </c>
      <c r="R6486" s="32" t="str">
        <f>IFERROR(VLOOKUP($D6486,'Informations sur les produits'!$A$3:$B$15000,2,FALSE),"")</f>
        <v/>
      </c>
      <c r="V6486">
        <f t="shared" si="406"/>
        <v>0</v>
      </c>
      <c r="W6486">
        <f t="shared" si="407"/>
        <v>0</v>
      </c>
    </row>
    <row r="6487" spans="5:23" x14ac:dyDescent="0.25">
      <c r="E6487" s="4"/>
      <c r="F6487" s="4"/>
      <c r="G6487" s="33" t="str">
        <f>IFERROR(VLOOKUP($D6487,'Informations sur les produits'!$A$3:$H$10000,8,FALSE),"0")</f>
        <v>0</v>
      </c>
      <c r="K6487" s="4"/>
      <c r="L6487" s="33" t="str">
        <f>IFERROR(VLOOKUP($J6487,'Informations sur les produits'!$A$3:$H$10000,8,FALSE),"0")</f>
        <v>0</v>
      </c>
      <c r="N6487" s="8"/>
      <c r="O6487" s="33" t="str">
        <f>IFERROR(VLOOKUP($M6487,'Informations sur les produits'!$A$3:$H$10000,8,FALSE),"0")</f>
        <v>0</v>
      </c>
      <c r="P6487" s="33">
        <f t="shared" si="404"/>
        <v>0</v>
      </c>
      <c r="Q6487" s="31" t="str">
        <f t="shared" si="405"/>
        <v/>
      </c>
      <c r="R6487" s="32" t="str">
        <f>IFERROR(VLOOKUP($D6487,'Informations sur les produits'!$A$3:$B$15000,2,FALSE),"")</f>
        <v/>
      </c>
      <c r="V6487">
        <f t="shared" si="406"/>
        <v>0</v>
      </c>
      <c r="W6487">
        <f t="shared" si="407"/>
        <v>0</v>
      </c>
    </row>
    <row r="6488" spans="5:23" x14ac:dyDescent="0.25">
      <c r="E6488" s="4"/>
      <c r="F6488" s="4"/>
      <c r="G6488" s="33" t="str">
        <f>IFERROR(VLOOKUP($D6488,'Informations sur les produits'!$A$3:$H$10000,8,FALSE),"0")</f>
        <v>0</v>
      </c>
      <c r="K6488" s="4"/>
      <c r="L6488" s="33" t="str">
        <f>IFERROR(VLOOKUP($J6488,'Informations sur les produits'!$A$3:$H$10000,8,FALSE),"0")</f>
        <v>0</v>
      </c>
      <c r="N6488" s="8"/>
      <c r="O6488" s="33" t="str">
        <f>IFERROR(VLOOKUP($M6488,'Informations sur les produits'!$A$3:$H$10000,8,FALSE),"0")</f>
        <v>0</v>
      </c>
      <c r="P6488" s="33">
        <f t="shared" si="404"/>
        <v>0</v>
      </c>
      <c r="Q6488" s="31" t="str">
        <f t="shared" si="405"/>
        <v/>
      </c>
      <c r="R6488" s="32" t="str">
        <f>IFERROR(VLOOKUP($D6488,'Informations sur les produits'!$A$3:$B$15000,2,FALSE),"")</f>
        <v/>
      </c>
      <c r="V6488">
        <f t="shared" si="406"/>
        <v>0</v>
      </c>
      <c r="W6488">
        <f t="shared" si="407"/>
        <v>0</v>
      </c>
    </row>
    <row r="6489" spans="5:23" x14ac:dyDescent="0.25">
      <c r="E6489" s="4"/>
      <c r="F6489" s="4"/>
      <c r="G6489" s="33" t="str">
        <f>IFERROR(VLOOKUP($D6489,'Informations sur les produits'!$A$3:$H$10000,8,FALSE),"0")</f>
        <v>0</v>
      </c>
      <c r="K6489" s="4"/>
      <c r="L6489" s="33" t="str">
        <f>IFERROR(VLOOKUP($J6489,'Informations sur les produits'!$A$3:$H$10000,8,FALSE),"0")</f>
        <v>0</v>
      </c>
      <c r="N6489" s="8"/>
      <c r="O6489" s="33" t="str">
        <f>IFERROR(VLOOKUP($M6489,'Informations sur les produits'!$A$3:$H$10000,8,FALSE),"0")</f>
        <v>0</v>
      </c>
      <c r="P6489" s="33">
        <f t="shared" si="404"/>
        <v>0</v>
      </c>
      <c r="Q6489" s="31" t="str">
        <f t="shared" si="405"/>
        <v/>
      </c>
      <c r="R6489" s="32" t="str">
        <f>IFERROR(VLOOKUP($D6489,'Informations sur les produits'!$A$3:$B$15000,2,FALSE),"")</f>
        <v/>
      </c>
      <c r="V6489">
        <f t="shared" si="406"/>
        <v>0</v>
      </c>
      <c r="W6489">
        <f t="shared" si="407"/>
        <v>0</v>
      </c>
    </row>
    <row r="6490" spans="5:23" x14ac:dyDescent="0.25">
      <c r="E6490" s="4"/>
      <c r="F6490" s="4"/>
      <c r="G6490" s="33" t="str">
        <f>IFERROR(VLOOKUP($D6490,'Informations sur les produits'!$A$3:$H$10000,8,FALSE),"0")</f>
        <v>0</v>
      </c>
      <c r="K6490" s="4"/>
      <c r="L6490" s="33" t="str">
        <f>IFERROR(VLOOKUP($J6490,'Informations sur les produits'!$A$3:$H$10000,8,FALSE),"0")</f>
        <v>0</v>
      </c>
      <c r="N6490" s="8"/>
      <c r="O6490" s="33" t="str">
        <f>IFERROR(VLOOKUP($M6490,'Informations sur les produits'!$A$3:$H$10000,8,FALSE),"0")</f>
        <v>0</v>
      </c>
      <c r="P6490" s="33">
        <f t="shared" si="404"/>
        <v>0</v>
      </c>
      <c r="Q6490" s="31" t="str">
        <f t="shared" si="405"/>
        <v/>
      </c>
      <c r="R6490" s="32" t="str">
        <f>IFERROR(VLOOKUP($D6490,'Informations sur les produits'!$A$3:$B$15000,2,FALSE),"")</f>
        <v/>
      </c>
      <c r="V6490">
        <f t="shared" si="406"/>
        <v>0</v>
      </c>
      <c r="W6490">
        <f t="shared" si="407"/>
        <v>0</v>
      </c>
    </row>
    <row r="6491" spans="5:23" x14ac:dyDescent="0.25">
      <c r="E6491" s="4"/>
      <c r="F6491" s="4"/>
      <c r="G6491" s="33" t="str">
        <f>IFERROR(VLOOKUP($D6491,'Informations sur les produits'!$A$3:$H$10000,8,FALSE),"0")</f>
        <v>0</v>
      </c>
      <c r="K6491" s="4"/>
      <c r="L6491" s="33" t="str">
        <f>IFERROR(VLOOKUP($J6491,'Informations sur les produits'!$A$3:$H$10000,8,FALSE),"0")</f>
        <v>0</v>
      </c>
      <c r="N6491" s="8"/>
      <c r="O6491" s="33" t="str">
        <f>IFERROR(VLOOKUP($M6491,'Informations sur les produits'!$A$3:$H$10000,8,FALSE),"0")</f>
        <v>0</v>
      </c>
      <c r="P6491" s="33">
        <f t="shared" si="404"/>
        <v>0</v>
      </c>
      <c r="Q6491" s="31" t="str">
        <f t="shared" si="405"/>
        <v/>
      </c>
      <c r="R6491" s="32" t="str">
        <f>IFERROR(VLOOKUP($D6491,'Informations sur les produits'!$A$3:$B$15000,2,FALSE),"")</f>
        <v/>
      </c>
      <c r="V6491">
        <f t="shared" si="406"/>
        <v>0</v>
      </c>
      <c r="W6491">
        <f t="shared" si="407"/>
        <v>0</v>
      </c>
    </row>
    <row r="6492" spans="5:23" x14ac:dyDescent="0.25">
      <c r="E6492" s="4"/>
      <c r="F6492" s="4"/>
      <c r="G6492" s="33" t="str">
        <f>IFERROR(VLOOKUP($D6492,'Informations sur les produits'!$A$3:$H$10000,8,FALSE),"0")</f>
        <v>0</v>
      </c>
      <c r="K6492" s="4"/>
      <c r="L6492" s="33" t="str">
        <f>IFERROR(VLOOKUP($J6492,'Informations sur les produits'!$A$3:$H$10000,8,FALSE),"0")</f>
        <v>0</v>
      </c>
      <c r="N6492" s="8"/>
      <c r="O6492" s="33" t="str">
        <f>IFERROR(VLOOKUP($M6492,'Informations sur les produits'!$A$3:$H$10000,8,FALSE),"0")</f>
        <v>0</v>
      </c>
      <c r="P6492" s="33">
        <f t="shared" si="404"/>
        <v>0</v>
      </c>
      <c r="Q6492" s="31" t="str">
        <f t="shared" si="405"/>
        <v/>
      </c>
      <c r="R6492" s="32" t="str">
        <f>IFERROR(VLOOKUP($D6492,'Informations sur les produits'!$A$3:$B$15000,2,FALSE),"")</f>
        <v/>
      </c>
      <c r="V6492">
        <f t="shared" si="406"/>
        <v>0</v>
      </c>
      <c r="W6492">
        <f t="shared" si="407"/>
        <v>0</v>
      </c>
    </row>
    <row r="6493" spans="5:23" x14ac:dyDescent="0.25">
      <c r="E6493" s="4"/>
      <c r="F6493" s="4"/>
      <c r="G6493" s="33" t="str">
        <f>IFERROR(VLOOKUP($D6493,'Informations sur les produits'!$A$3:$H$10000,8,FALSE),"0")</f>
        <v>0</v>
      </c>
      <c r="K6493" s="4"/>
      <c r="L6493" s="33" t="str">
        <f>IFERROR(VLOOKUP($J6493,'Informations sur les produits'!$A$3:$H$10000,8,FALSE),"0")</f>
        <v>0</v>
      </c>
      <c r="N6493" s="8"/>
      <c r="O6493" s="33" t="str">
        <f>IFERROR(VLOOKUP($M6493,'Informations sur les produits'!$A$3:$H$10000,8,FALSE),"0")</f>
        <v>0</v>
      </c>
      <c r="P6493" s="33">
        <f t="shared" si="404"/>
        <v>0</v>
      </c>
      <c r="Q6493" s="31" t="str">
        <f t="shared" si="405"/>
        <v/>
      </c>
      <c r="R6493" s="32" t="str">
        <f>IFERROR(VLOOKUP($D6493,'Informations sur les produits'!$A$3:$B$15000,2,FALSE),"")</f>
        <v/>
      </c>
      <c r="V6493">
        <f t="shared" si="406"/>
        <v>0</v>
      </c>
      <c r="W6493">
        <f t="shared" si="407"/>
        <v>0</v>
      </c>
    </row>
    <row r="6494" spans="5:23" x14ac:dyDescent="0.25">
      <c r="E6494" s="4"/>
      <c r="F6494" s="4"/>
      <c r="G6494" s="33" t="str">
        <f>IFERROR(VLOOKUP($D6494,'Informations sur les produits'!$A$3:$H$10000,8,FALSE),"0")</f>
        <v>0</v>
      </c>
      <c r="K6494" s="4"/>
      <c r="L6494" s="33" t="str">
        <f>IFERROR(VLOOKUP($J6494,'Informations sur les produits'!$A$3:$H$10000,8,FALSE),"0")</f>
        <v>0</v>
      </c>
      <c r="N6494" s="8"/>
      <c r="O6494" s="33" t="str">
        <f>IFERROR(VLOOKUP($M6494,'Informations sur les produits'!$A$3:$H$10000,8,FALSE),"0")</f>
        <v>0</v>
      </c>
      <c r="P6494" s="33">
        <f t="shared" si="404"/>
        <v>0</v>
      </c>
      <c r="Q6494" s="31" t="str">
        <f t="shared" si="405"/>
        <v/>
      </c>
      <c r="R6494" s="32" t="str">
        <f>IFERROR(VLOOKUP($D6494,'Informations sur les produits'!$A$3:$B$15000,2,FALSE),"")</f>
        <v/>
      </c>
      <c r="V6494">
        <f t="shared" si="406"/>
        <v>0</v>
      </c>
      <c r="W6494">
        <f t="shared" si="407"/>
        <v>0</v>
      </c>
    </row>
    <row r="6495" spans="5:23" x14ac:dyDescent="0.25">
      <c r="E6495" s="4"/>
      <c r="F6495" s="4"/>
      <c r="G6495" s="33" t="str">
        <f>IFERROR(VLOOKUP($D6495,'Informations sur les produits'!$A$3:$H$10000,8,FALSE),"0")</f>
        <v>0</v>
      </c>
      <c r="K6495" s="4"/>
      <c r="L6495" s="33" t="str">
        <f>IFERROR(VLOOKUP($J6495,'Informations sur les produits'!$A$3:$H$10000,8,FALSE),"0")</f>
        <v>0</v>
      </c>
      <c r="N6495" s="8"/>
      <c r="O6495" s="33" t="str">
        <f>IFERROR(VLOOKUP($M6495,'Informations sur les produits'!$A$3:$H$10000,8,FALSE),"0")</f>
        <v>0</v>
      </c>
      <c r="P6495" s="33">
        <f t="shared" si="404"/>
        <v>0</v>
      </c>
      <c r="Q6495" s="31" t="str">
        <f t="shared" si="405"/>
        <v/>
      </c>
      <c r="R6495" s="32" t="str">
        <f>IFERROR(VLOOKUP($D6495,'Informations sur les produits'!$A$3:$B$15000,2,FALSE),"")</f>
        <v/>
      </c>
      <c r="V6495">
        <f t="shared" si="406"/>
        <v>0</v>
      </c>
      <c r="W6495">
        <f t="shared" si="407"/>
        <v>0</v>
      </c>
    </row>
    <row r="6496" spans="5:23" x14ac:dyDescent="0.25">
      <c r="E6496" s="4"/>
      <c r="F6496" s="4"/>
      <c r="G6496" s="33" t="str">
        <f>IFERROR(VLOOKUP($D6496,'Informations sur les produits'!$A$3:$H$10000,8,FALSE),"0")</f>
        <v>0</v>
      </c>
      <c r="K6496" s="4"/>
      <c r="L6496" s="33" t="str">
        <f>IFERROR(VLOOKUP($J6496,'Informations sur les produits'!$A$3:$H$10000,8,FALSE),"0")</f>
        <v>0</v>
      </c>
      <c r="N6496" s="8"/>
      <c r="O6496" s="33" t="str">
        <f>IFERROR(VLOOKUP($M6496,'Informations sur les produits'!$A$3:$H$10000,8,FALSE),"0")</f>
        <v>0</v>
      </c>
      <c r="P6496" s="33">
        <f t="shared" si="404"/>
        <v>0</v>
      </c>
      <c r="Q6496" s="31" t="str">
        <f t="shared" si="405"/>
        <v/>
      </c>
      <c r="R6496" s="32" t="str">
        <f>IFERROR(VLOOKUP($D6496,'Informations sur les produits'!$A$3:$B$15000,2,FALSE),"")</f>
        <v/>
      </c>
      <c r="V6496">
        <f t="shared" si="406"/>
        <v>0</v>
      </c>
      <c r="W6496">
        <f t="shared" si="407"/>
        <v>0</v>
      </c>
    </row>
    <row r="6497" spans="5:23" x14ac:dyDescent="0.25">
      <c r="E6497" s="4"/>
      <c r="F6497" s="4"/>
      <c r="G6497" s="33" t="str">
        <f>IFERROR(VLOOKUP($D6497,'Informations sur les produits'!$A$3:$H$10000,8,FALSE),"0")</f>
        <v>0</v>
      </c>
      <c r="K6497" s="4"/>
      <c r="L6497" s="33" t="str">
        <f>IFERROR(VLOOKUP($J6497,'Informations sur les produits'!$A$3:$H$10000,8,FALSE),"0")</f>
        <v>0</v>
      </c>
      <c r="N6497" s="8"/>
      <c r="O6497" s="33" t="str">
        <f>IFERROR(VLOOKUP($M6497,'Informations sur les produits'!$A$3:$H$10000,8,FALSE),"0")</f>
        <v>0</v>
      </c>
      <c r="P6497" s="33">
        <f t="shared" si="404"/>
        <v>0</v>
      </c>
      <c r="Q6497" s="31" t="str">
        <f t="shared" si="405"/>
        <v/>
      </c>
      <c r="R6497" s="32" t="str">
        <f>IFERROR(VLOOKUP($D6497,'Informations sur les produits'!$A$3:$B$15000,2,FALSE),"")</f>
        <v/>
      </c>
      <c r="V6497">
        <f t="shared" si="406"/>
        <v>0</v>
      </c>
      <c r="W6497">
        <f t="shared" si="407"/>
        <v>0</v>
      </c>
    </row>
    <row r="6498" spans="5:23" x14ac:dyDescent="0.25">
      <c r="E6498" s="4"/>
      <c r="F6498" s="4"/>
      <c r="G6498" s="33" t="str">
        <f>IFERROR(VLOOKUP($D6498,'Informations sur les produits'!$A$3:$H$10000,8,FALSE),"0")</f>
        <v>0</v>
      </c>
      <c r="K6498" s="4"/>
      <c r="L6498" s="33" t="str">
        <f>IFERROR(VLOOKUP($J6498,'Informations sur les produits'!$A$3:$H$10000,8,FALSE),"0")</f>
        <v>0</v>
      </c>
      <c r="N6498" s="8"/>
      <c r="O6498" s="33" t="str">
        <f>IFERROR(VLOOKUP($M6498,'Informations sur les produits'!$A$3:$H$10000,8,FALSE),"0")</f>
        <v>0</v>
      </c>
      <c r="P6498" s="33">
        <f t="shared" si="404"/>
        <v>0</v>
      </c>
      <c r="Q6498" s="31" t="str">
        <f t="shared" si="405"/>
        <v/>
      </c>
      <c r="R6498" s="32" t="str">
        <f>IFERROR(VLOOKUP($D6498,'Informations sur les produits'!$A$3:$B$15000,2,FALSE),"")</f>
        <v/>
      </c>
      <c r="V6498">
        <f t="shared" si="406"/>
        <v>0</v>
      </c>
      <c r="W6498">
        <f t="shared" si="407"/>
        <v>0</v>
      </c>
    </row>
    <row r="6499" spans="5:23" x14ac:dyDescent="0.25">
      <c r="E6499" s="4"/>
      <c r="F6499" s="4"/>
      <c r="G6499" s="33" t="str">
        <f>IFERROR(VLOOKUP($D6499,'Informations sur les produits'!$A$3:$H$10000,8,FALSE),"0")</f>
        <v>0</v>
      </c>
      <c r="K6499" s="4"/>
      <c r="L6499" s="33" t="str">
        <f>IFERROR(VLOOKUP($J6499,'Informations sur les produits'!$A$3:$H$10000,8,FALSE),"0")</f>
        <v>0</v>
      </c>
      <c r="N6499" s="8"/>
      <c r="O6499" s="33" t="str">
        <f>IFERROR(VLOOKUP($M6499,'Informations sur les produits'!$A$3:$H$10000,8,FALSE),"0")</f>
        <v>0</v>
      </c>
      <c r="P6499" s="33">
        <f t="shared" si="404"/>
        <v>0</v>
      </c>
      <c r="Q6499" s="31" t="str">
        <f t="shared" si="405"/>
        <v/>
      </c>
      <c r="R6499" s="32" t="str">
        <f>IFERROR(VLOOKUP($D6499,'Informations sur les produits'!$A$3:$B$15000,2,FALSE),"")</f>
        <v/>
      </c>
      <c r="V6499">
        <f t="shared" si="406"/>
        <v>0</v>
      </c>
      <c r="W6499">
        <f t="shared" si="407"/>
        <v>0</v>
      </c>
    </row>
    <row r="6500" spans="5:23" x14ac:dyDescent="0.25">
      <c r="E6500" s="4"/>
      <c r="F6500" s="4"/>
      <c r="G6500" s="33" t="str">
        <f>IFERROR(VLOOKUP($D6500,'Informations sur les produits'!$A$3:$H$10000,8,FALSE),"0")</f>
        <v>0</v>
      </c>
      <c r="K6500" s="4"/>
      <c r="L6500" s="33" t="str">
        <f>IFERROR(VLOOKUP($J6500,'Informations sur les produits'!$A$3:$H$10000,8,FALSE),"0")</f>
        <v>0</v>
      </c>
      <c r="N6500" s="8"/>
      <c r="O6500" s="33" t="str">
        <f>IFERROR(VLOOKUP($M6500,'Informations sur les produits'!$A$3:$H$10000,8,FALSE),"0")</f>
        <v>0</v>
      </c>
      <c r="P6500" s="33">
        <f t="shared" si="404"/>
        <v>0</v>
      </c>
      <c r="Q6500" s="31" t="str">
        <f t="shared" si="405"/>
        <v/>
      </c>
      <c r="R6500" s="32" t="str">
        <f>IFERROR(VLOOKUP($D6500,'Informations sur les produits'!$A$3:$B$15000,2,FALSE),"")</f>
        <v/>
      </c>
      <c r="V6500">
        <f t="shared" si="406"/>
        <v>0</v>
      </c>
      <c r="W6500">
        <f t="shared" si="407"/>
        <v>0</v>
      </c>
    </row>
    <row r="6501" spans="5:23" x14ac:dyDescent="0.25">
      <c r="E6501" s="4"/>
      <c r="F6501" s="4"/>
      <c r="G6501" s="33" t="str">
        <f>IFERROR(VLOOKUP($D6501,'Informations sur les produits'!$A$3:$H$10000,8,FALSE),"0")</f>
        <v>0</v>
      </c>
      <c r="K6501" s="4"/>
      <c r="L6501" s="33" t="str">
        <f>IFERROR(VLOOKUP($J6501,'Informations sur les produits'!$A$3:$H$10000,8,FALSE),"0")</f>
        <v>0</v>
      </c>
      <c r="N6501" s="8"/>
      <c r="O6501" s="33" t="str">
        <f>IFERROR(VLOOKUP($M6501,'Informations sur les produits'!$A$3:$H$10000,8,FALSE),"0")</f>
        <v>0</v>
      </c>
      <c r="P6501" s="33">
        <f t="shared" si="404"/>
        <v>0</v>
      </c>
      <c r="Q6501" s="31" t="str">
        <f t="shared" si="405"/>
        <v/>
      </c>
      <c r="R6501" s="32" t="str">
        <f>IFERROR(VLOOKUP($D6501,'Informations sur les produits'!$A$3:$B$15000,2,FALSE),"")</f>
        <v/>
      </c>
      <c r="V6501">
        <f t="shared" si="406"/>
        <v>0</v>
      </c>
      <c r="W6501">
        <f t="shared" si="407"/>
        <v>0</v>
      </c>
    </row>
    <row r="6502" spans="5:23" x14ac:dyDescent="0.25">
      <c r="E6502" s="4"/>
      <c r="F6502" s="4"/>
      <c r="G6502" s="33" t="str">
        <f>IFERROR(VLOOKUP($D6502,'Informations sur les produits'!$A$3:$H$10000,8,FALSE),"0")</f>
        <v>0</v>
      </c>
      <c r="K6502" s="4"/>
      <c r="L6502" s="33" t="str">
        <f>IFERROR(VLOOKUP($J6502,'Informations sur les produits'!$A$3:$H$10000,8,FALSE),"0")</f>
        <v>0</v>
      </c>
      <c r="N6502" s="8"/>
      <c r="O6502" s="33" t="str">
        <f>IFERROR(VLOOKUP($M6502,'Informations sur les produits'!$A$3:$H$10000,8,FALSE),"0")</f>
        <v>0</v>
      </c>
      <c r="P6502" s="33">
        <f t="shared" si="404"/>
        <v>0</v>
      </c>
      <c r="Q6502" s="31" t="str">
        <f t="shared" si="405"/>
        <v/>
      </c>
      <c r="R6502" s="32" t="str">
        <f>IFERROR(VLOOKUP($D6502,'Informations sur les produits'!$A$3:$B$15000,2,FALSE),"")</f>
        <v/>
      </c>
      <c r="V6502">
        <f t="shared" si="406"/>
        <v>0</v>
      </c>
      <c r="W6502">
        <f t="shared" si="407"/>
        <v>0</v>
      </c>
    </row>
    <row r="6503" spans="5:23" x14ac:dyDescent="0.25">
      <c r="E6503" s="4"/>
      <c r="F6503" s="4"/>
      <c r="G6503" s="33" t="str">
        <f>IFERROR(VLOOKUP($D6503,'Informations sur les produits'!$A$3:$H$10000,8,FALSE),"0")</f>
        <v>0</v>
      </c>
      <c r="K6503" s="4"/>
      <c r="L6503" s="33" t="str">
        <f>IFERROR(VLOOKUP($J6503,'Informations sur les produits'!$A$3:$H$10000,8,FALSE),"0")</f>
        <v>0</v>
      </c>
      <c r="N6503" s="8"/>
      <c r="O6503" s="33" t="str">
        <f>IFERROR(VLOOKUP($M6503,'Informations sur les produits'!$A$3:$H$10000,8,FALSE),"0")</f>
        <v>0</v>
      </c>
      <c r="P6503" s="33">
        <f t="shared" si="404"/>
        <v>0</v>
      </c>
      <c r="Q6503" s="31" t="str">
        <f t="shared" si="405"/>
        <v/>
      </c>
      <c r="R6503" s="32" t="str">
        <f>IFERROR(VLOOKUP($D6503,'Informations sur les produits'!$A$3:$B$15000,2,FALSE),"")</f>
        <v/>
      </c>
      <c r="V6503">
        <f t="shared" si="406"/>
        <v>0</v>
      </c>
      <c r="W6503">
        <f t="shared" si="407"/>
        <v>0</v>
      </c>
    </row>
    <row r="6504" spans="5:23" x14ac:dyDescent="0.25">
      <c r="E6504" s="4"/>
      <c r="F6504" s="4"/>
      <c r="G6504" s="33" t="str">
        <f>IFERROR(VLOOKUP($D6504,'Informations sur les produits'!$A$3:$H$10000,8,FALSE),"0")</f>
        <v>0</v>
      </c>
      <c r="K6504" s="4"/>
      <c r="L6504" s="33" t="str">
        <f>IFERROR(VLOOKUP($J6504,'Informations sur les produits'!$A$3:$H$10000,8,FALSE),"0")</f>
        <v>0</v>
      </c>
      <c r="N6504" s="8"/>
      <c r="O6504" s="33" t="str">
        <f>IFERROR(VLOOKUP($M6504,'Informations sur les produits'!$A$3:$H$10000,8,FALSE),"0")</f>
        <v>0</v>
      </c>
      <c r="P6504" s="33">
        <f t="shared" si="404"/>
        <v>0</v>
      </c>
      <c r="Q6504" s="31" t="str">
        <f t="shared" si="405"/>
        <v/>
      </c>
      <c r="R6504" s="32" t="str">
        <f>IFERROR(VLOOKUP($D6504,'Informations sur les produits'!$A$3:$B$15000,2,FALSE),"")</f>
        <v/>
      </c>
      <c r="V6504">
        <f t="shared" si="406"/>
        <v>0</v>
      </c>
      <c r="W6504">
        <f t="shared" si="407"/>
        <v>0</v>
      </c>
    </row>
    <row r="6505" spans="5:23" x14ac:dyDescent="0.25">
      <c r="E6505" s="4"/>
      <c r="F6505" s="4"/>
      <c r="G6505" s="33" t="str">
        <f>IFERROR(VLOOKUP($D6505,'Informations sur les produits'!$A$3:$H$10000,8,FALSE),"0")</f>
        <v>0</v>
      </c>
      <c r="K6505" s="4"/>
      <c r="L6505" s="33" t="str">
        <f>IFERROR(VLOOKUP($J6505,'Informations sur les produits'!$A$3:$H$10000,8,FALSE),"0")</f>
        <v>0</v>
      </c>
      <c r="N6505" s="8"/>
      <c r="O6505" s="33" t="str">
        <f>IFERROR(VLOOKUP($M6505,'Informations sur les produits'!$A$3:$H$10000,8,FALSE),"0")</f>
        <v>0</v>
      </c>
      <c r="P6505" s="33">
        <f t="shared" si="404"/>
        <v>0</v>
      </c>
      <c r="Q6505" s="31" t="str">
        <f t="shared" si="405"/>
        <v/>
      </c>
      <c r="R6505" s="32" t="str">
        <f>IFERROR(VLOOKUP($D6505,'Informations sur les produits'!$A$3:$B$15000,2,FALSE),"")</f>
        <v/>
      </c>
      <c r="V6505">
        <f t="shared" si="406"/>
        <v>0</v>
      </c>
      <c r="W6505">
        <f t="shared" si="407"/>
        <v>0</v>
      </c>
    </row>
    <row r="6506" spans="5:23" x14ac:dyDescent="0.25">
      <c r="E6506" s="4"/>
      <c r="F6506" s="4"/>
      <c r="G6506" s="33" t="str">
        <f>IFERROR(VLOOKUP($D6506,'Informations sur les produits'!$A$3:$H$10000,8,FALSE),"0")</f>
        <v>0</v>
      </c>
      <c r="K6506" s="4"/>
      <c r="L6506" s="33" t="str">
        <f>IFERROR(VLOOKUP($J6506,'Informations sur les produits'!$A$3:$H$10000,8,FALSE),"0")</f>
        <v>0</v>
      </c>
      <c r="N6506" s="8"/>
      <c r="O6506" s="33" t="str">
        <f>IFERROR(VLOOKUP($M6506,'Informations sur les produits'!$A$3:$H$10000,8,FALSE),"0")</f>
        <v>0</v>
      </c>
      <c r="P6506" s="33">
        <f t="shared" si="404"/>
        <v>0</v>
      </c>
      <c r="Q6506" s="31" t="str">
        <f t="shared" si="405"/>
        <v/>
      </c>
      <c r="R6506" s="32" t="str">
        <f>IFERROR(VLOOKUP($D6506,'Informations sur les produits'!$A$3:$B$15000,2,FALSE),"")</f>
        <v/>
      </c>
      <c r="V6506">
        <f t="shared" si="406"/>
        <v>0</v>
      </c>
      <c r="W6506">
        <f t="shared" si="407"/>
        <v>0</v>
      </c>
    </row>
    <row r="6507" spans="5:23" x14ac:dyDescent="0.25">
      <c r="E6507" s="4"/>
      <c r="F6507" s="4"/>
      <c r="G6507" s="33" t="str">
        <f>IFERROR(VLOOKUP($D6507,'Informations sur les produits'!$A$3:$H$10000,8,FALSE),"0")</f>
        <v>0</v>
      </c>
      <c r="K6507" s="4"/>
      <c r="L6507" s="33" t="str">
        <f>IFERROR(VLOOKUP($J6507,'Informations sur les produits'!$A$3:$H$10000,8,FALSE),"0")</f>
        <v>0</v>
      </c>
      <c r="N6507" s="8"/>
      <c r="O6507" s="33" t="str">
        <f>IFERROR(VLOOKUP($M6507,'Informations sur les produits'!$A$3:$H$10000,8,FALSE),"0")</f>
        <v>0</v>
      </c>
      <c r="P6507" s="33">
        <f t="shared" si="404"/>
        <v>0</v>
      </c>
      <c r="Q6507" s="31" t="str">
        <f t="shared" si="405"/>
        <v/>
      </c>
      <c r="R6507" s="32" t="str">
        <f>IFERROR(VLOOKUP($D6507,'Informations sur les produits'!$A$3:$B$15000,2,FALSE),"")</f>
        <v/>
      </c>
      <c r="V6507">
        <f t="shared" si="406"/>
        <v>0</v>
      </c>
      <c r="W6507">
        <f t="shared" si="407"/>
        <v>0</v>
      </c>
    </row>
    <row r="6508" spans="5:23" x14ac:dyDescent="0.25">
      <c r="E6508" s="4"/>
      <c r="F6508" s="4"/>
      <c r="G6508" s="33" t="str">
        <f>IFERROR(VLOOKUP($D6508,'Informations sur les produits'!$A$3:$H$10000,8,FALSE),"0")</f>
        <v>0</v>
      </c>
      <c r="K6508" s="4"/>
      <c r="L6508" s="33" t="str">
        <f>IFERROR(VLOOKUP($J6508,'Informations sur les produits'!$A$3:$H$10000,8,FALSE),"0")</f>
        <v>0</v>
      </c>
      <c r="N6508" s="8"/>
      <c r="O6508" s="33" t="str">
        <f>IFERROR(VLOOKUP($M6508,'Informations sur les produits'!$A$3:$H$10000,8,FALSE),"0")</f>
        <v>0</v>
      </c>
      <c r="P6508" s="33">
        <f t="shared" si="404"/>
        <v>0</v>
      </c>
      <c r="Q6508" s="31" t="str">
        <f t="shared" si="405"/>
        <v/>
      </c>
      <c r="R6508" s="32" t="str">
        <f>IFERROR(VLOOKUP($D6508,'Informations sur les produits'!$A$3:$B$15000,2,FALSE),"")</f>
        <v/>
      </c>
      <c r="V6508">
        <f t="shared" si="406"/>
        <v>0</v>
      </c>
      <c r="W6508">
        <f t="shared" si="407"/>
        <v>0</v>
      </c>
    </row>
    <row r="6509" spans="5:23" x14ac:dyDescent="0.25">
      <c r="E6509" s="4"/>
      <c r="F6509" s="4"/>
      <c r="G6509" s="33" t="str">
        <f>IFERROR(VLOOKUP($D6509,'Informations sur les produits'!$A$3:$H$10000,8,FALSE),"0")</f>
        <v>0</v>
      </c>
      <c r="K6509" s="4"/>
      <c r="L6509" s="33" t="str">
        <f>IFERROR(VLOOKUP($J6509,'Informations sur les produits'!$A$3:$H$10000,8,FALSE),"0")</f>
        <v>0</v>
      </c>
      <c r="N6509" s="8"/>
      <c r="O6509" s="33" t="str">
        <f>IFERROR(VLOOKUP($M6509,'Informations sur les produits'!$A$3:$H$10000,8,FALSE),"0")</f>
        <v>0</v>
      </c>
      <c r="P6509" s="33">
        <f t="shared" si="404"/>
        <v>0</v>
      </c>
      <c r="Q6509" s="31" t="str">
        <f t="shared" si="405"/>
        <v/>
      </c>
      <c r="R6509" s="32" t="str">
        <f>IFERROR(VLOOKUP($D6509,'Informations sur les produits'!$A$3:$B$15000,2,FALSE),"")</f>
        <v/>
      </c>
      <c r="V6509">
        <f t="shared" si="406"/>
        <v>0</v>
      </c>
      <c r="W6509">
        <f t="shared" si="407"/>
        <v>0</v>
      </c>
    </row>
    <row r="6510" spans="5:23" x14ac:dyDescent="0.25">
      <c r="E6510" s="4"/>
      <c r="F6510" s="4"/>
      <c r="G6510" s="33" t="str">
        <f>IFERROR(VLOOKUP($D6510,'Informations sur les produits'!$A$3:$H$10000,8,FALSE),"0")</f>
        <v>0</v>
      </c>
      <c r="K6510" s="4"/>
      <c r="L6510" s="33" t="str">
        <f>IFERROR(VLOOKUP($J6510,'Informations sur les produits'!$A$3:$H$10000,8,FALSE),"0")</f>
        <v>0</v>
      </c>
      <c r="N6510" s="8"/>
      <c r="O6510" s="33" t="str">
        <f>IFERROR(VLOOKUP($M6510,'Informations sur les produits'!$A$3:$H$10000,8,FALSE),"0")</f>
        <v>0</v>
      </c>
      <c r="P6510" s="33">
        <f t="shared" si="404"/>
        <v>0</v>
      </c>
      <c r="Q6510" s="31" t="str">
        <f t="shared" si="405"/>
        <v/>
      </c>
      <c r="R6510" s="32" t="str">
        <f>IFERROR(VLOOKUP($D6510,'Informations sur les produits'!$A$3:$B$15000,2,FALSE),"")</f>
        <v/>
      </c>
      <c r="V6510">
        <f t="shared" si="406"/>
        <v>0</v>
      </c>
      <c r="W6510">
        <f t="shared" si="407"/>
        <v>0</v>
      </c>
    </row>
    <row r="6511" spans="5:23" x14ac:dyDescent="0.25">
      <c r="E6511" s="4"/>
      <c r="F6511" s="4"/>
      <c r="G6511" s="33" t="str">
        <f>IFERROR(VLOOKUP($D6511,'Informations sur les produits'!$A$3:$H$10000,8,FALSE),"0")</f>
        <v>0</v>
      </c>
      <c r="K6511" s="4"/>
      <c r="L6511" s="33" t="str">
        <f>IFERROR(VLOOKUP($J6511,'Informations sur les produits'!$A$3:$H$10000,8,FALSE),"0")</f>
        <v>0</v>
      </c>
      <c r="N6511" s="8"/>
      <c r="O6511" s="33" t="str">
        <f>IFERROR(VLOOKUP($M6511,'Informations sur les produits'!$A$3:$H$10000,8,FALSE),"0")</f>
        <v>0</v>
      </c>
      <c r="P6511" s="33">
        <f t="shared" si="404"/>
        <v>0</v>
      </c>
      <c r="Q6511" s="31" t="str">
        <f t="shared" si="405"/>
        <v/>
      </c>
      <c r="R6511" s="32" t="str">
        <f>IFERROR(VLOOKUP($D6511,'Informations sur les produits'!$A$3:$B$15000,2,FALSE),"")</f>
        <v/>
      </c>
      <c r="V6511">
        <f t="shared" si="406"/>
        <v>0</v>
      </c>
      <c r="W6511">
        <f t="shared" si="407"/>
        <v>0</v>
      </c>
    </row>
    <row r="6512" spans="5:23" x14ac:dyDescent="0.25">
      <c r="E6512" s="4"/>
      <c r="F6512" s="4"/>
      <c r="G6512" s="33" t="str">
        <f>IFERROR(VLOOKUP($D6512,'Informations sur les produits'!$A$3:$H$10000,8,FALSE),"0")</f>
        <v>0</v>
      </c>
      <c r="K6512" s="4"/>
      <c r="L6512" s="33" t="str">
        <f>IFERROR(VLOOKUP($J6512,'Informations sur les produits'!$A$3:$H$10000,8,FALSE),"0")</f>
        <v>0</v>
      </c>
      <c r="N6512" s="8"/>
      <c r="O6512" s="33" t="str">
        <f>IFERROR(VLOOKUP($M6512,'Informations sur les produits'!$A$3:$H$10000,8,FALSE),"0")</f>
        <v>0</v>
      </c>
      <c r="P6512" s="33">
        <f t="shared" si="404"/>
        <v>0</v>
      </c>
      <c r="Q6512" s="31" t="str">
        <f t="shared" si="405"/>
        <v/>
      </c>
      <c r="R6512" s="32" t="str">
        <f>IFERROR(VLOOKUP($D6512,'Informations sur les produits'!$A$3:$B$15000,2,FALSE),"")</f>
        <v/>
      </c>
      <c r="V6512">
        <f t="shared" si="406"/>
        <v>0</v>
      </c>
      <c r="W6512">
        <f t="shared" si="407"/>
        <v>0</v>
      </c>
    </row>
    <row r="6513" spans="5:23" x14ac:dyDescent="0.25">
      <c r="E6513" s="4"/>
      <c r="F6513" s="4"/>
      <c r="G6513" s="33" t="str">
        <f>IFERROR(VLOOKUP($D6513,'Informations sur les produits'!$A$3:$H$10000,8,FALSE),"0")</f>
        <v>0</v>
      </c>
      <c r="K6513" s="4"/>
      <c r="L6513" s="33" t="str">
        <f>IFERROR(VLOOKUP($J6513,'Informations sur les produits'!$A$3:$H$10000,8,FALSE),"0")</f>
        <v>0</v>
      </c>
      <c r="N6513" s="8"/>
      <c r="O6513" s="33" t="str">
        <f>IFERROR(VLOOKUP($M6513,'Informations sur les produits'!$A$3:$H$10000,8,FALSE),"0")</f>
        <v>0</v>
      </c>
      <c r="P6513" s="33">
        <f t="shared" si="404"/>
        <v>0</v>
      </c>
      <c r="Q6513" s="31" t="str">
        <f t="shared" si="405"/>
        <v/>
      </c>
      <c r="R6513" s="32" t="str">
        <f>IFERROR(VLOOKUP($D6513,'Informations sur les produits'!$A$3:$B$15000,2,FALSE),"")</f>
        <v/>
      </c>
      <c r="V6513">
        <f t="shared" si="406"/>
        <v>0</v>
      </c>
      <c r="W6513">
        <f t="shared" si="407"/>
        <v>0</v>
      </c>
    </row>
    <row r="6514" spans="5:23" x14ac:dyDescent="0.25">
      <c r="E6514" s="4"/>
      <c r="F6514" s="4"/>
      <c r="G6514" s="33" t="str">
        <f>IFERROR(VLOOKUP($D6514,'Informations sur les produits'!$A$3:$H$10000,8,FALSE),"0")</f>
        <v>0</v>
      </c>
      <c r="K6514" s="4"/>
      <c r="L6514" s="33" t="str">
        <f>IFERROR(VLOOKUP($J6514,'Informations sur les produits'!$A$3:$H$10000,8,FALSE),"0")</f>
        <v>0</v>
      </c>
      <c r="N6514" s="8"/>
      <c r="O6514" s="33" t="str">
        <f>IFERROR(VLOOKUP($M6514,'Informations sur les produits'!$A$3:$H$10000,8,FALSE),"0")</f>
        <v>0</v>
      </c>
      <c r="P6514" s="33">
        <f t="shared" si="404"/>
        <v>0</v>
      </c>
      <c r="Q6514" s="31" t="str">
        <f t="shared" si="405"/>
        <v/>
      </c>
      <c r="R6514" s="32" t="str">
        <f>IFERROR(VLOOKUP($D6514,'Informations sur les produits'!$A$3:$B$15000,2,FALSE),"")</f>
        <v/>
      </c>
      <c r="V6514">
        <f t="shared" si="406"/>
        <v>0</v>
      </c>
      <c r="W6514">
        <f t="shared" si="407"/>
        <v>0</v>
      </c>
    </row>
    <row r="6515" spans="5:23" x14ac:dyDescent="0.25">
      <c r="E6515" s="4"/>
      <c r="F6515" s="4"/>
      <c r="G6515" s="33" t="str">
        <f>IFERROR(VLOOKUP($D6515,'Informations sur les produits'!$A$3:$H$10000,8,FALSE),"0")</f>
        <v>0</v>
      </c>
      <c r="K6515" s="4"/>
      <c r="L6515" s="33" t="str">
        <f>IFERROR(VLOOKUP($J6515,'Informations sur les produits'!$A$3:$H$10000,8,FALSE),"0")</f>
        <v>0</v>
      </c>
      <c r="N6515" s="8"/>
      <c r="O6515" s="33" t="str">
        <f>IFERROR(VLOOKUP($M6515,'Informations sur les produits'!$A$3:$H$10000,8,FALSE),"0")</f>
        <v>0</v>
      </c>
      <c r="P6515" s="33">
        <f t="shared" si="404"/>
        <v>0</v>
      </c>
      <c r="Q6515" s="31" t="str">
        <f t="shared" si="405"/>
        <v/>
      </c>
      <c r="R6515" s="32" t="str">
        <f>IFERROR(VLOOKUP($D6515,'Informations sur les produits'!$A$3:$B$15000,2,FALSE),"")</f>
        <v/>
      </c>
      <c r="V6515">
        <f t="shared" si="406"/>
        <v>0</v>
      </c>
      <c r="W6515">
        <f t="shared" si="407"/>
        <v>0</v>
      </c>
    </row>
    <row r="6516" spans="5:23" x14ac:dyDescent="0.25">
      <c r="E6516" s="4"/>
      <c r="F6516" s="4"/>
      <c r="G6516" s="33" t="str">
        <f>IFERROR(VLOOKUP($D6516,'Informations sur les produits'!$A$3:$H$10000,8,FALSE),"0")</f>
        <v>0</v>
      </c>
      <c r="K6516" s="4"/>
      <c r="L6516" s="33" t="str">
        <f>IFERROR(VLOOKUP($J6516,'Informations sur les produits'!$A$3:$H$10000,8,FALSE),"0")</f>
        <v>0</v>
      </c>
      <c r="N6516" s="8"/>
      <c r="O6516" s="33" t="str">
        <f>IFERROR(VLOOKUP($M6516,'Informations sur les produits'!$A$3:$H$10000,8,FALSE),"0")</f>
        <v>0</v>
      </c>
      <c r="P6516" s="33">
        <f t="shared" si="404"/>
        <v>0</v>
      </c>
      <c r="Q6516" s="31" t="str">
        <f t="shared" si="405"/>
        <v/>
      </c>
      <c r="R6516" s="32" t="str">
        <f>IFERROR(VLOOKUP($D6516,'Informations sur les produits'!$A$3:$B$15000,2,FALSE),"")</f>
        <v/>
      </c>
      <c r="V6516">
        <f t="shared" si="406"/>
        <v>0</v>
      </c>
      <c r="W6516">
        <f t="shared" si="407"/>
        <v>0</v>
      </c>
    </row>
    <row r="6517" spans="5:23" x14ac:dyDescent="0.25">
      <c r="E6517" s="4"/>
      <c r="F6517" s="4"/>
      <c r="G6517" s="33" t="str">
        <f>IFERROR(VLOOKUP($D6517,'Informations sur les produits'!$A$3:$H$10000,8,FALSE),"0")</f>
        <v>0</v>
      </c>
      <c r="K6517" s="4"/>
      <c r="L6517" s="33" t="str">
        <f>IFERROR(VLOOKUP($J6517,'Informations sur les produits'!$A$3:$H$10000,8,FALSE),"0")</f>
        <v>0</v>
      </c>
      <c r="N6517" s="8"/>
      <c r="O6517" s="33" t="str">
        <f>IFERROR(VLOOKUP($M6517,'Informations sur les produits'!$A$3:$H$10000,8,FALSE),"0")</f>
        <v>0</v>
      </c>
      <c r="P6517" s="33">
        <f t="shared" si="404"/>
        <v>0</v>
      </c>
      <c r="Q6517" s="31" t="str">
        <f t="shared" si="405"/>
        <v/>
      </c>
      <c r="R6517" s="32" t="str">
        <f>IFERROR(VLOOKUP($D6517,'Informations sur les produits'!$A$3:$B$15000,2,FALSE),"")</f>
        <v/>
      </c>
      <c r="V6517">
        <f t="shared" si="406"/>
        <v>0</v>
      </c>
      <c r="W6517">
        <f t="shared" si="407"/>
        <v>0</v>
      </c>
    </row>
    <row r="6518" spans="5:23" x14ac:dyDescent="0.25">
      <c r="E6518" s="4"/>
      <c r="F6518" s="4"/>
      <c r="G6518" s="33" t="str">
        <f>IFERROR(VLOOKUP($D6518,'Informations sur les produits'!$A$3:$H$10000,8,FALSE),"0")</f>
        <v>0</v>
      </c>
      <c r="K6518" s="4"/>
      <c r="L6518" s="33" t="str">
        <f>IFERROR(VLOOKUP($J6518,'Informations sur les produits'!$A$3:$H$10000,8,FALSE),"0")</f>
        <v>0</v>
      </c>
      <c r="N6518" s="8"/>
      <c r="O6518" s="33" t="str">
        <f>IFERROR(VLOOKUP($M6518,'Informations sur les produits'!$A$3:$H$10000,8,FALSE),"0")</f>
        <v>0</v>
      </c>
      <c r="P6518" s="33">
        <f t="shared" si="404"/>
        <v>0</v>
      </c>
      <c r="Q6518" s="31" t="str">
        <f t="shared" si="405"/>
        <v/>
      </c>
      <c r="R6518" s="32" t="str">
        <f>IFERROR(VLOOKUP($D6518,'Informations sur les produits'!$A$3:$B$15000,2,FALSE),"")</f>
        <v/>
      </c>
      <c r="V6518">
        <f t="shared" si="406"/>
        <v>0</v>
      </c>
      <c r="W6518">
        <f t="shared" si="407"/>
        <v>0</v>
      </c>
    </row>
    <row r="6519" spans="5:23" x14ac:dyDescent="0.25">
      <c r="E6519" s="4"/>
      <c r="F6519" s="4"/>
      <c r="G6519" s="33" t="str">
        <f>IFERROR(VLOOKUP($D6519,'Informations sur les produits'!$A$3:$H$10000,8,FALSE),"0")</f>
        <v>0</v>
      </c>
      <c r="K6519" s="4"/>
      <c r="L6519" s="33" t="str">
        <f>IFERROR(VLOOKUP($J6519,'Informations sur les produits'!$A$3:$H$10000,8,FALSE),"0")</f>
        <v>0</v>
      </c>
      <c r="N6519" s="8"/>
      <c r="O6519" s="33" t="str">
        <f>IFERROR(VLOOKUP($M6519,'Informations sur les produits'!$A$3:$H$10000,8,FALSE),"0")</f>
        <v>0</v>
      </c>
      <c r="P6519" s="33">
        <f t="shared" si="404"/>
        <v>0</v>
      </c>
      <c r="Q6519" s="31" t="str">
        <f t="shared" si="405"/>
        <v/>
      </c>
      <c r="R6519" s="32" t="str">
        <f>IFERROR(VLOOKUP($D6519,'Informations sur les produits'!$A$3:$B$15000,2,FALSE),"")</f>
        <v/>
      </c>
      <c r="V6519">
        <f t="shared" si="406"/>
        <v>0</v>
      </c>
      <c r="W6519">
        <f t="shared" si="407"/>
        <v>0</v>
      </c>
    </row>
    <row r="6520" spans="5:23" x14ac:dyDescent="0.25">
      <c r="E6520" s="4"/>
      <c r="F6520" s="4"/>
      <c r="G6520" s="33" t="str">
        <f>IFERROR(VLOOKUP($D6520,'Informations sur les produits'!$A$3:$H$10000,8,FALSE),"0")</f>
        <v>0</v>
      </c>
      <c r="K6520" s="4"/>
      <c r="L6520" s="33" t="str">
        <f>IFERROR(VLOOKUP($J6520,'Informations sur les produits'!$A$3:$H$10000,8,FALSE),"0")</f>
        <v>0</v>
      </c>
      <c r="N6520" s="8"/>
      <c r="O6520" s="33" t="str">
        <f>IFERROR(VLOOKUP($M6520,'Informations sur les produits'!$A$3:$H$10000,8,FALSE),"0")</f>
        <v>0</v>
      </c>
      <c r="P6520" s="33">
        <f t="shared" si="404"/>
        <v>0</v>
      </c>
      <c r="Q6520" s="31" t="str">
        <f t="shared" si="405"/>
        <v/>
      </c>
      <c r="R6520" s="32" t="str">
        <f>IFERROR(VLOOKUP($D6520,'Informations sur les produits'!$A$3:$B$15000,2,FALSE),"")</f>
        <v/>
      </c>
      <c r="V6520">
        <f t="shared" si="406"/>
        <v>0</v>
      </c>
      <c r="W6520">
        <f t="shared" si="407"/>
        <v>0</v>
      </c>
    </row>
    <row r="6521" spans="5:23" x14ac:dyDescent="0.25">
      <c r="E6521" s="4"/>
      <c r="F6521" s="4"/>
      <c r="G6521" s="33" t="str">
        <f>IFERROR(VLOOKUP($D6521,'Informations sur les produits'!$A$3:$H$10000,8,FALSE),"0")</f>
        <v>0</v>
      </c>
      <c r="K6521" s="4"/>
      <c r="L6521" s="33" t="str">
        <f>IFERROR(VLOOKUP($J6521,'Informations sur les produits'!$A$3:$H$10000,8,FALSE),"0")</f>
        <v>0</v>
      </c>
      <c r="N6521" s="8"/>
      <c r="O6521" s="33" t="str">
        <f>IFERROR(VLOOKUP($M6521,'Informations sur les produits'!$A$3:$H$10000,8,FALSE),"0")</f>
        <v>0</v>
      </c>
      <c r="P6521" s="33">
        <f t="shared" si="404"/>
        <v>0</v>
      </c>
      <c r="Q6521" s="31" t="str">
        <f t="shared" si="405"/>
        <v/>
      </c>
      <c r="R6521" s="32" t="str">
        <f>IFERROR(VLOOKUP($D6521,'Informations sur les produits'!$A$3:$B$15000,2,FALSE),"")</f>
        <v/>
      </c>
      <c r="V6521">
        <f t="shared" si="406"/>
        <v>0</v>
      </c>
      <c r="W6521">
        <f t="shared" si="407"/>
        <v>0</v>
      </c>
    </row>
    <row r="6522" spans="5:23" x14ac:dyDescent="0.25">
      <c r="E6522" s="4"/>
      <c r="F6522" s="4"/>
      <c r="G6522" s="33" t="str">
        <f>IFERROR(VLOOKUP($D6522,'Informations sur les produits'!$A$3:$H$10000,8,FALSE),"0")</f>
        <v>0</v>
      </c>
      <c r="K6522" s="4"/>
      <c r="L6522" s="33" t="str">
        <f>IFERROR(VLOOKUP($J6522,'Informations sur les produits'!$A$3:$H$10000,8,FALSE),"0")</f>
        <v>0</v>
      </c>
      <c r="N6522" s="8"/>
      <c r="O6522" s="33" t="str">
        <f>IFERROR(VLOOKUP($M6522,'Informations sur les produits'!$A$3:$H$10000,8,FALSE),"0")</f>
        <v>0</v>
      </c>
      <c r="P6522" s="33">
        <f t="shared" si="404"/>
        <v>0</v>
      </c>
      <c r="Q6522" s="31" t="str">
        <f t="shared" si="405"/>
        <v/>
      </c>
      <c r="R6522" s="32" t="str">
        <f>IFERROR(VLOOKUP($D6522,'Informations sur les produits'!$A$3:$B$15000,2,FALSE),"")</f>
        <v/>
      </c>
      <c r="V6522">
        <f t="shared" si="406"/>
        <v>0</v>
      </c>
      <c r="W6522">
        <f t="shared" si="407"/>
        <v>0</v>
      </c>
    </row>
    <row r="6523" spans="5:23" x14ac:dyDescent="0.25">
      <c r="E6523" s="4"/>
      <c r="F6523" s="4"/>
      <c r="G6523" s="33" t="str">
        <f>IFERROR(VLOOKUP($D6523,'Informations sur les produits'!$A$3:$H$10000,8,FALSE),"0")</f>
        <v>0</v>
      </c>
      <c r="K6523" s="4"/>
      <c r="L6523" s="33" t="str">
        <f>IFERROR(VLOOKUP($J6523,'Informations sur les produits'!$A$3:$H$10000,8,FALSE),"0")</f>
        <v>0</v>
      </c>
      <c r="N6523" s="8"/>
      <c r="O6523" s="33" t="str">
        <f>IFERROR(VLOOKUP($M6523,'Informations sur les produits'!$A$3:$H$10000,8,FALSE),"0")</f>
        <v>0</v>
      </c>
      <c r="P6523" s="33">
        <f t="shared" si="404"/>
        <v>0</v>
      </c>
      <c r="Q6523" s="31" t="str">
        <f t="shared" si="405"/>
        <v/>
      </c>
      <c r="R6523" s="32" t="str">
        <f>IFERROR(VLOOKUP($D6523,'Informations sur les produits'!$A$3:$B$15000,2,FALSE),"")</f>
        <v/>
      </c>
      <c r="V6523">
        <f t="shared" si="406"/>
        <v>0</v>
      </c>
      <c r="W6523">
        <f t="shared" si="407"/>
        <v>0</v>
      </c>
    </row>
    <row r="6524" spans="5:23" x14ac:dyDescent="0.25">
      <c r="E6524" s="4"/>
      <c r="F6524" s="4"/>
      <c r="G6524" s="33" t="str">
        <f>IFERROR(VLOOKUP($D6524,'Informations sur les produits'!$A$3:$H$10000,8,FALSE),"0")</f>
        <v>0</v>
      </c>
      <c r="K6524" s="4"/>
      <c r="L6524" s="33" t="str">
        <f>IFERROR(VLOOKUP($J6524,'Informations sur les produits'!$A$3:$H$10000,8,FALSE),"0")</f>
        <v>0</v>
      </c>
      <c r="N6524" s="8"/>
      <c r="O6524" s="33" t="str">
        <f>IFERROR(VLOOKUP($M6524,'Informations sur les produits'!$A$3:$H$10000,8,FALSE),"0")</f>
        <v>0</v>
      </c>
      <c r="P6524" s="33">
        <f t="shared" si="404"/>
        <v>0</v>
      </c>
      <c r="Q6524" s="31" t="str">
        <f t="shared" si="405"/>
        <v/>
      </c>
      <c r="R6524" s="32" t="str">
        <f>IFERROR(VLOOKUP($D6524,'Informations sur les produits'!$A$3:$B$15000,2,FALSE),"")</f>
        <v/>
      </c>
      <c r="V6524">
        <f t="shared" si="406"/>
        <v>0</v>
      </c>
      <c r="W6524">
        <f t="shared" si="407"/>
        <v>0</v>
      </c>
    </row>
    <row r="6525" spans="5:23" x14ac:dyDescent="0.25">
      <c r="E6525" s="4"/>
      <c r="F6525" s="4"/>
      <c r="G6525" s="33" t="str">
        <f>IFERROR(VLOOKUP($D6525,'Informations sur les produits'!$A$3:$H$10000,8,FALSE),"0")</f>
        <v>0</v>
      </c>
      <c r="K6525" s="4"/>
      <c r="L6525" s="33" t="str">
        <f>IFERROR(VLOOKUP($J6525,'Informations sur les produits'!$A$3:$H$10000,8,FALSE),"0")</f>
        <v>0</v>
      </c>
      <c r="N6525" s="8"/>
      <c r="O6525" s="33" t="str">
        <f>IFERROR(VLOOKUP($M6525,'Informations sur les produits'!$A$3:$H$10000,8,FALSE),"0")</f>
        <v>0</v>
      </c>
      <c r="P6525" s="33">
        <f t="shared" si="404"/>
        <v>0</v>
      </c>
      <c r="Q6525" s="31" t="str">
        <f t="shared" si="405"/>
        <v/>
      </c>
      <c r="R6525" s="32" t="str">
        <f>IFERROR(VLOOKUP($D6525,'Informations sur les produits'!$A$3:$B$15000,2,FALSE),"")</f>
        <v/>
      </c>
      <c r="V6525">
        <f t="shared" si="406"/>
        <v>0</v>
      </c>
      <c r="W6525">
        <f t="shared" si="407"/>
        <v>0</v>
      </c>
    </row>
    <row r="6526" spans="5:23" x14ac:dyDescent="0.25">
      <c r="E6526" s="4"/>
      <c r="F6526" s="4"/>
      <c r="G6526" s="33" t="str">
        <f>IFERROR(VLOOKUP($D6526,'Informations sur les produits'!$A$3:$H$10000,8,FALSE),"0")</f>
        <v>0</v>
      </c>
      <c r="K6526" s="4"/>
      <c r="L6526" s="33" t="str">
        <f>IFERROR(VLOOKUP($J6526,'Informations sur les produits'!$A$3:$H$10000,8,FALSE),"0")</f>
        <v>0</v>
      </c>
      <c r="N6526" s="8"/>
      <c r="O6526" s="33" t="str">
        <f>IFERROR(VLOOKUP($M6526,'Informations sur les produits'!$A$3:$H$10000,8,FALSE),"0")</f>
        <v>0</v>
      </c>
      <c r="P6526" s="33">
        <f t="shared" si="404"/>
        <v>0</v>
      </c>
      <c r="Q6526" s="31" t="str">
        <f t="shared" si="405"/>
        <v/>
      </c>
      <c r="R6526" s="32" t="str">
        <f>IFERROR(VLOOKUP($D6526,'Informations sur les produits'!$A$3:$B$15000,2,FALSE),"")</f>
        <v/>
      </c>
      <c r="V6526">
        <f t="shared" si="406"/>
        <v>0</v>
      </c>
      <c r="W6526">
        <f t="shared" si="407"/>
        <v>0</v>
      </c>
    </row>
    <row r="6527" spans="5:23" x14ac:dyDescent="0.25">
      <c r="E6527" s="4"/>
      <c r="F6527" s="4"/>
      <c r="G6527" s="33" t="str">
        <f>IFERROR(VLOOKUP($D6527,'Informations sur les produits'!$A$3:$H$10000,8,FALSE),"0")</f>
        <v>0</v>
      </c>
      <c r="K6527" s="4"/>
      <c r="L6527" s="33" t="str">
        <f>IFERROR(VLOOKUP($J6527,'Informations sur les produits'!$A$3:$H$10000,8,FALSE),"0")</f>
        <v>0</v>
      </c>
      <c r="N6527" s="8"/>
      <c r="O6527" s="33" t="str">
        <f>IFERROR(VLOOKUP($M6527,'Informations sur les produits'!$A$3:$H$10000,8,FALSE),"0")</f>
        <v>0</v>
      </c>
      <c r="P6527" s="33">
        <f t="shared" si="404"/>
        <v>0</v>
      </c>
      <c r="Q6527" s="31" t="str">
        <f t="shared" si="405"/>
        <v/>
      </c>
      <c r="R6527" s="32" t="str">
        <f>IFERROR(VLOOKUP($D6527,'Informations sur les produits'!$A$3:$B$15000,2,FALSE),"")</f>
        <v/>
      </c>
      <c r="V6527">
        <f t="shared" si="406"/>
        <v>0</v>
      </c>
      <c r="W6527">
        <f t="shared" si="407"/>
        <v>0</v>
      </c>
    </row>
    <row r="6528" spans="5:23" x14ac:dyDescent="0.25">
      <c r="E6528" s="4"/>
      <c r="F6528" s="4"/>
      <c r="G6528" s="33" t="str">
        <f>IFERROR(VLOOKUP($D6528,'Informations sur les produits'!$A$3:$H$10000,8,FALSE),"0")</f>
        <v>0</v>
      </c>
      <c r="K6528" s="4"/>
      <c r="L6528" s="33" t="str">
        <f>IFERROR(VLOOKUP($J6528,'Informations sur les produits'!$A$3:$H$10000,8,FALSE),"0")</f>
        <v>0</v>
      </c>
      <c r="N6528" s="8"/>
      <c r="O6528" s="33" t="str">
        <f>IFERROR(VLOOKUP($M6528,'Informations sur les produits'!$A$3:$H$10000,8,FALSE),"0")</f>
        <v>0</v>
      </c>
      <c r="P6528" s="33">
        <f t="shared" si="404"/>
        <v>0</v>
      </c>
      <c r="Q6528" s="31" t="str">
        <f t="shared" si="405"/>
        <v/>
      </c>
      <c r="R6528" s="32" t="str">
        <f>IFERROR(VLOOKUP($D6528,'Informations sur les produits'!$A$3:$B$15000,2,FALSE),"")</f>
        <v/>
      </c>
      <c r="V6528">
        <f t="shared" si="406"/>
        <v>0</v>
      </c>
      <c r="W6528">
        <f t="shared" si="407"/>
        <v>0</v>
      </c>
    </row>
    <row r="6529" spans="5:23" x14ac:dyDescent="0.25">
      <c r="E6529" s="4"/>
      <c r="F6529" s="4"/>
      <c r="G6529" s="33" t="str">
        <f>IFERROR(VLOOKUP($D6529,'Informations sur les produits'!$A$3:$H$10000,8,FALSE),"0")</f>
        <v>0</v>
      </c>
      <c r="K6529" s="4"/>
      <c r="L6529" s="33" t="str">
        <f>IFERROR(VLOOKUP($J6529,'Informations sur les produits'!$A$3:$H$10000,8,FALSE),"0")</f>
        <v>0</v>
      </c>
      <c r="N6529" s="8"/>
      <c r="O6529" s="33" t="str">
        <f>IFERROR(VLOOKUP($M6529,'Informations sur les produits'!$A$3:$H$10000,8,FALSE),"0")</f>
        <v>0</v>
      </c>
      <c r="P6529" s="33">
        <f t="shared" si="404"/>
        <v>0</v>
      </c>
      <c r="Q6529" s="31" t="str">
        <f t="shared" si="405"/>
        <v/>
      </c>
      <c r="R6529" s="32" t="str">
        <f>IFERROR(VLOOKUP($D6529,'Informations sur les produits'!$A$3:$B$15000,2,FALSE),"")</f>
        <v/>
      </c>
      <c r="V6529">
        <f t="shared" si="406"/>
        <v>0</v>
      </c>
      <c r="W6529">
        <f t="shared" si="407"/>
        <v>0</v>
      </c>
    </row>
    <row r="6530" spans="5:23" x14ac:dyDescent="0.25">
      <c r="E6530" s="4"/>
      <c r="F6530" s="4"/>
      <c r="G6530" s="33" t="str">
        <f>IFERROR(VLOOKUP($D6530,'Informations sur les produits'!$A$3:$H$10000,8,FALSE),"0")</f>
        <v>0</v>
      </c>
      <c r="K6530" s="4"/>
      <c r="L6530" s="33" t="str">
        <f>IFERROR(VLOOKUP($J6530,'Informations sur les produits'!$A$3:$H$10000,8,FALSE),"0")</f>
        <v>0</v>
      </c>
      <c r="N6530" s="8"/>
      <c r="O6530" s="33" t="str">
        <f>IFERROR(VLOOKUP($M6530,'Informations sur les produits'!$A$3:$H$10000,8,FALSE),"0")</f>
        <v>0</v>
      </c>
      <c r="P6530" s="33">
        <f t="shared" si="404"/>
        <v>0</v>
      </c>
      <c r="Q6530" s="31" t="str">
        <f t="shared" si="405"/>
        <v/>
      </c>
      <c r="R6530" s="32" t="str">
        <f>IFERROR(VLOOKUP($D6530,'Informations sur les produits'!$A$3:$B$15000,2,FALSE),"")</f>
        <v/>
      </c>
      <c r="V6530">
        <f t="shared" si="406"/>
        <v>0</v>
      </c>
      <c r="W6530">
        <f t="shared" si="407"/>
        <v>0</v>
      </c>
    </row>
    <row r="6531" spans="5:23" x14ac:dyDescent="0.25">
      <c r="E6531" s="4"/>
      <c r="F6531" s="4"/>
      <c r="G6531" s="33" t="str">
        <f>IFERROR(VLOOKUP($D6531,'Informations sur les produits'!$A$3:$H$10000,8,FALSE),"0")</f>
        <v>0</v>
      </c>
      <c r="K6531" s="4"/>
      <c r="L6531" s="33" t="str">
        <f>IFERROR(VLOOKUP($J6531,'Informations sur les produits'!$A$3:$H$10000,8,FALSE),"0")</f>
        <v>0</v>
      </c>
      <c r="N6531" s="8"/>
      <c r="O6531" s="33" t="str">
        <f>IFERROR(VLOOKUP($M6531,'Informations sur les produits'!$A$3:$H$10000,8,FALSE),"0")</f>
        <v>0</v>
      </c>
      <c r="P6531" s="33">
        <f t="shared" si="404"/>
        <v>0</v>
      </c>
      <c r="Q6531" s="31" t="str">
        <f t="shared" si="405"/>
        <v/>
      </c>
      <c r="R6531" s="32" t="str">
        <f>IFERROR(VLOOKUP($D6531,'Informations sur les produits'!$A$3:$B$15000,2,FALSE),"")</f>
        <v/>
      </c>
      <c r="V6531">
        <f t="shared" si="406"/>
        <v>0</v>
      </c>
      <c r="W6531">
        <f t="shared" si="407"/>
        <v>0</v>
      </c>
    </row>
    <row r="6532" spans="5:23" x14ac:dyDescent="0.25">
      <c r="E6532" s="4"/>
      <c r="F6532" s="4"/>
      <c r="G6532" s="33" t="str">
        <f>IFERROR(VLOOKUP($D6532,'Informations sur les produits'!$A$3:$H$10000,8,FALSE),"0")</f>
        <v>0</v>
      </c>
      <c r="K6532" s="4"/>
      <c r="L6532" s="33" t="str">
        <f>IFERROR(VLOOKUP($J6532,'Informations sur les produits'!$A$3:$H$10000,8,FALSE),"0")</f>
        <v>0</v>
      </c>
      <c r="N6532" s="8"/>
      <c r="O6532" s="33" t="str">
        <f>IFERROR(VLOOKUP($M6532,'Informations sur les produits'!$A$3:$H$10000,8,FALSE),"0")</f>
        <v>0</v>
      </c>
      <c r="P6532" s="33">
        <f t="shared" ref="P6532:P6595" si="408">IFERROR((($E6532-$F6532)*$G6532+$K6532*$L6532+$N6532*$O6532),"")</f>
        <v>0</v>
      </c>
      <c r="Q6532" s="31" t="str">
        <f t="shared" ref="Q6532:Q6595" si="409">IFERROR((((($E6532-$F6532)*$G6532+$K6532*$L6532+$N6532*$O6532)*1000)/(($E6532-$F6532)+$K6532+$N6532)),"")</f>
        <v/>
      </c>
      <c r="R6532" s="32" t="str">
        <f>IFERROR(VLOOKUP($D6532,'Informations sur les produits'!$A$3:$B$15000,2,FALSE),"")</f>
        <v/>
      </c>
      <c r="V6532">
        <f t="shared" ref="V6532:V6595" si="410">IFERROR(P6532*1000,"")</f>
        <v>0</v>
      </c>
      <c r="W6532">
        <f t="shared" ref="W6532:W6595" si="411">IFERROR(($E6532-$F6532)+$K6532+$N6532,"")</f>
        <v>0</v>
      </c>
    </row>
    <row r="6533" spans="5:23" x14ac:dyDescent="0.25">
      <c r="E6533" s="4"/>
      <c r="F6533" s="4"/>
      <c r="G6533" s="33" t="str">
        <f>IFERROR(VLOOKUP($D6533,'Informations sur les produits'!$A$3:$H$10000,8,FALSE),"0")</f>
        <v>0</v>
      </c>
      <c r="K6533" s="4"/>
      <c r="L6533" s="33" t="str">
        <f>IFERROR(VLOOKUP($J6533,'Informations sur les produits'!$A$3:$H$10000,8,FALSE),"0")</f>
        <v>0</v>
      </c>
      <c r="N6533" s="8"/>
      <c r="O6533" s="33" t="str">
        <f>IFERROR(VLOOKUP($M6533,'Informations sur les produits'!$A$3:$H$10000,8,FALSE),"0")</f>
        <v>0</v>
      </c>
      <c r="P6533" s="33">
        <f t="shared" si="408"/>
        <v>0</v>
      </c>
      <c r="Q6533" s="31" t="str">
        <f t="shared" si="409"/>
        <v/>
      </c>
      <c r="R6533" s="32" t="str">
        <f>IFERROR(VLOOKUP($D6533,'Informations sur les produits'!$A$3:$B$15000,2,FALSE),"")</f>
        <v/>
      </c>
      <c r="V6533">
        <f t="shared" si="410"/>
        <v>0</v>
      </c>
      <c r="W6533">
        <f t="shared" si="411"/>
        <v>0</v>
      </c>
    </row>
    <row r="6534" spans="5:23" x14ac:dyDescent="0.25">
      <c r="E6534" s="4"/>
      <c r="F6534" s="4"/>
      <c r="G6534" s="33" t="str">
        <f>IFERROR(VLOOKUP($D6534,'Informations sur les produits'!$A$3:$H$10000,8,FALSE),"0")</f>
        <v>0</v>
      </c>
      <c r="K6534" s="4"/>
      <c r="L6534" s="33" t="str">
        <f>IFERROR(VLOOKUP($J6534,'Informations sur les produits'!$A$3:$H$10000,8,FALSE),"0")</f>
        <v>0</v>
      </c>
      <c r="N6534" s="8"/>
      <c r="O6534" s="33" t="str">
        <f>IFERROR(VLOOKUP($M6534,'Informations sur les produits'!$A$3:$H$10000,8,FALSE),"0")</f>
        <v>0</v>
      </c>
      <c r="P6534" s="33">
        <f t="shared" si="408"/>
        <v>0</v>
      </c>
      <c r="Q6534" s="31" t="str">
        <f t="shared" si="409"/>
        <v/>
      </c>
      <c r="R6534" s="32" t="str">
        <f>IFERROR(VLOOKUP($D6534,'Informations sur les produits'!$A$3:$B$15000,2,FALSE),"")</f>
        <v/>
      </c>
      <c r="V6534">
        <f t="shared" si="410"/>
        <v>0</v>
      </c>
      <c r="W6534">
        <f t="shared" si="411"/>
        <v>0</v>
      </c>
    </row>
    <row r="6535" spans="5:23" x14ac:dyDescent="0.25">
      <c r="E6535" s="4"/>
      <c r="F6535" s="4"/>
      <c r="G6535" s="33" t="str">
        <f>IFERROR(VLOOKUP($D6535,'Informations sur les produits'!$A$3:$H$10000,8,FALSE),"0")</f>
        <v>0</v>
      </c>
      <c r="K6535" s="4"/>
      <c r="L6535" s="33" t="str">
        <f>IFERROR(VLOOKUP($J6535,'Informations sur les produits'!$A$3:$H$10000,8,FALSE),"0")</f>
        <v>0</v>
      </c>
      <c r="N6535" s="8"/>
      <c r="O6535" s="33" t="str">
        <f>IFERROR(VLOOKUP($M6535,'Informations sur les produits'!$A$3:$H$10000,8,FALSE),"0")</f>
        <v>0</v>
      </c>
      <c r="P6535" s="33">
        <f t="shared" si="408"/>
        <v>0</v>
      </c>
      <c r="Q6535" s="31" t="str">
        <f t="shared" si="409"/>
        <v/>
      </c>
      <c r="R6535" s="32" t="str">
        <f>IFERROR(VLOOKUP($D6535,'Informations sur les produits'!$A$3:$B$15000,2,FALSE),"")</f>
        <v/>
      </c>
      <c r="V6535">
        <f t="shared" si="410"/>
        <v>0</v>
      </c>
      <c r="W6535">
        <f t="shared" si="411"/>
        <v>0</v>
      </c>
    </row>
    <row r="6536" spans="5:23" x14ac:dyDescent="0.25">
      <c r="E6536" s="4"/>
      <c r="F6536" s="4"/>
      <c r="G6536" s="33" t="str">
        <f>IFERROR(VLOOKUP($D6536,'Informations sur les produits'!$A$3:$H$10000,8,FALSE),"0")</f>
        <v>0</v>
      </c>
      <c r="K6536" s="4"/>
      <c r="L6536" s="33" t="str">
        <f>IFERROR(VLOOKUP($J6536,'Informations sur les produits'!$A$3:$H$10000,8,FALSE),"0")</f>
        <v>0</v>
      </c>
      <c r="N6536" s="8"/>
      <c r="O6536" s="33" t="str">
        <f>IFERROR(VLOOKUP($M6536,'Informations sur les produits'!$A$3:$H$10000,8,FALSE),"0")</f>
        <v>0</v>
      </c>
      <c r="P6536" s="33">
        <f t="shared" si="408"/>
        <v>0</v>
      </c>
      <c r="Q6536" s="31" t="str">
        <f t="shared" si="409"/>
        <v/>
      </c>
      <c r="R6536" s="32" t="str">
        <f>IFERROR(VLOOKUP($D6536,'Informations sur les produits'!$A$3:$B$15000,2,FALSE),"")</f>
        <v/>
      </c>
      <c r="V6536">
        <f t="shared" si="410"/>
        <v>0</v>
      </c>
      <c r="W6536">
        <f t="shared" si="411"/>
        <v>0</v>
      </c>
    </row>
    <row r="6537" spans="5:23" x14ac:dyDescent="0.25">
      <c r="E6537" s="4"/>
      <c r="F6537" s="4"/>
      <c r="G6537" s="33" t="str">
        <f>IFERROR(VLOOKUP($D6537,'Informations sur les produits'!$A$3:$H$10000,8,FALSE),"0")</f>
        <v>0</v>
      </c>
      <c r="K6537" s="4"/>
      <c r="L6537" s="33" t="str">
        <f>IFERROR(VLOOKUP($J6537,'Informations sur les produits'!$A$3:$H$10000,8,FALSE),"0")</f>
        <v>0</v>
      </c>
      <c r="N6537" s="8"/>
      <c r="O6537" s="33" t="str">
        <f>IFERROR(VLOOKUP($M6537,'Informations sur les produits'!$A$3:$H$10000,8,FALSE),"0")</f>
        <v>0</v>
      </c>
      <c r="P6537" s="33">
        <f t="shared" si="408"/>
        <v>0</v>
      </c>
      <c r="Q6537" s="31" t="str">
        <f t="shared" si="409"/>
        <v/>
      </c>
      <c r="R6537" s="32" t="str">
        <f>IFERROR(VLOOKUP($D6537,'Informations sur les produits'!$A$3:$B$15000,2,FALSE),"")</f>
        <v/>
      </c>
      <c r="V6537">
        <f t="shared" si="410"/>
        <v>0</v>
      </c>
      <c r="W6537">
        <f t="shared" si="411"/>
        <v>0</v>
      </c>
    </row>
    <row r="6538" spans="5:23" x14ac:dyDescent="0.25">
      <c r="E6538" s="4"/>
      <c r="F6538" s="4"/>
      <c r="G6538" s="33" t="str">
        <f>IFERROR(VLOOKUP($D6538,'Informations sur les produits'!$A$3:$H$10000,8,FALSE),"0")</f>
        <v>0</v>
      </c>
      <c r="K6538" s="4"/>
      <c r="L6538" s="33" t="str">
        <f>IFERROR(VLOOKUP($J6538,'Informations sur les produits'!$A$3:$H$10000,8,FALSE),"0")</f>
        <v>0</v>
      </c>
      <c r="N6538" s="8"/>
      <c r="O6538" s="33" t="str">
        <f>IFERROR(VLOOKUP($M6538,'Informations sur les produits'!$A$3:$H$10000,8,FALSE),"0")</f>
        <v>0</v>
      </c>
      <c r="P6538" s="33">
        <f t="shared" si="408"/>
        <v>0</v>
      </c>
      <c r="Q6538" s="31" t="str">
        <f t="shared" si="409"/>
        <v/>
      </c>
      <c r="R6538" s="32" t="str">
        <f>IFERROR(VLOOKUP($D6538,'Informations sur les produits'!$A$3:$B$15000,2,FALSE),"")</f>
        <v/>
      </c>
      <c r="V6538">
        <f t="shared" si="410"/>
        <v>0</v>
      </c>
      <c r="W6538">
        <f t="shared" si="411"/>
        <v>0</v>
      </c>
    </row>
    <row r="6539" spans="5:23" x14ac:dyDescent="0.25">
      <c r="E6539" s="4"/>
      <c r="F6539" s="4"/>
      <c r="G6539" s="33" t="str">
        <f>IFERROR(VLOOKUP($D6539,'Informations sur les produits'!$A$3:$H$10000,8,FALSE),"0")</f>
        <v>0</v>
      </c>
      <c r="K6539" s="4"/>
      <c r="L6539" s="33" t="str">
        <f>IFERROR(VLOOKUP($J6539,'Informations sur les produits'!$A$3:$H$10000,8,FALSE),"0")</f>
        <v>0</v>
      </c>
      <c r="N6539" s="8"/>
      <c r="O6539" s="33" t="str">
        <f>IFERROR(VLOOKUP($M6539,'Informations sur les produits'!$A$3:$H$10000,8,FALSE),"0")</f>
        <v>0</v>
      </c>
      <c r="P6539" s="33">
        <f t="shared" si="408"/>
        <v>0</v>
      </c>
      <c r="Q6539" s="31" t="str">
        <f t="shared" si="409"/>
        <v/>
      </c>
      <c r="R6539" s="32" t="str">
        <f>IFERROR(VLOOKUP($D6539,'Informations sur les produits'!$A$3:$B$15000,2,FALSE),"")</f>
        <v/>
      </c>
      <c r="V6539">
        <f t="shared" si="410"/>
        <v>0</v>
      </c>
      <c r="W6539">
        <f t="shared" si="411"/>
        <v>0</v>
      </c>
    </row>
    <row r="6540" spans="5:23" x14ac:dyDescent="0.25">
      <c r="E6540" s="4"/>
      <c r="F6540" s="4"/>
      <c r="G6540" s="33" t="str">
        <f>IFERROR(VLOOKUP($D6540,'Informations sur les produits'!$A$3:$H$10000,8,FALSE),"0")</f>
        <v>0</v>
      </c>
      <c r="K6540" s="4"/>
      <c r="L6540" s="33" t="str">
        <f>IFERROR(VLOOKUP($J6540,'Informations sur les produits'!$A$3:$H$10000,8,FALSE),"0")</f>
        <v>0</v>
      </c>
      <c r="N6540" s="8"/>
      <c r="O6540" s="33" t="str">
        <f>IFERROR(VLOOKUP($M6540,'Informations sur les produits'!$A$3:$H$10000,8,FALSE),"0")</f>
        <v>0</v>
      </c>
      <c r="P6540" s="33">
        <f t="shared" si="408"/>
        <v>0</v>
      </c>
      <c r="Q6540" s="31" t="str">
        <f t="shared" si="409"/>
        <v/>
      </c>
      <c r="R6540" s="32" t="str">
        <f>IFERROR(VLOOKUP($D6540,'Informations sur les produits'!$A$3:$B$15000,2,FALSE),"")</f>
        <v/>
      </c>
      <c r="V6540">
        <f t="shared" si="410"/>
        <v>0</v>
      </c>
      <c r="W6540">
        <f t="shared" si="411"/>
        <v>0</v>
      </c>
    </row>
    <row r="6541" spans="5:23" x14ac:dyDescent="0.25">
      <c r="E6541" s="4"/>
      <c r="F6541" s="4"/>
      <c r="G6541" s="33" t="str">
        <f>IFERROR(VLOOKUP($D6541,'Informations sur les produits'!$A$3:$H$10000,8,FALSE),"0")</f>
        <v>0</v>
      </c>
      <c r="K6541" s="4"/>
      <c r="L6541" s="33" t="str">
        <f>IFERROR(VLOOKUP($J6541,'Informations sur les produits'!$A$3:$H$10000,8,FALSE),"0")</f>
        <v>0</v>
      </c>
      <c r="N6541" s="8"/>
      <c r="O6541" s="33" t="str">
        <f>IFERROR(VLOOKUP($M6541,'Informations sur les produits'!$A$3:$H$10000,8,FALSE),"0")</f>
        <v>0</v>
      </c>
      <c r="P6541" s="33">
        <f t="shared" si="408"/>
        <v>0</v>
      </c>
      <c r="Q6541" s="31" t="str">
        <f t="shared" si="409"/>
        <v/>
      </c>
      <c r="R6541" s="32" t="str">
        <f>IFERROR(VLOOKUP($D6541,'Informations sur les produits'!$A$3:$B$15000,2,FALSE),"")</f>
        <v/>
      </c>
      <c r="V6541">
        <f t="shared" si="410"/>
        <v>0</v>
      </c>
      <c r="W6541">
        <f t="shared" si="411"/>
        <v>0</v>
      </c>
    </row>
    <row r="6542" spans="5:23" x14ac:dyDescent="0.25">
      <c r="E6542" s="4"/>
      <c r="F6542" s="4"/>
      <c r="G6542" s="33" t="str">
        <f>IFERROR(VLOOKUP($D6542,'Informations sur les produits'!$A$3:$H$10000,8,FALSE),"0")</f>
        <v>0</v>
      </c>
      <c r="K6542" s="4"/>
      <c r="L6542" s="33" t="str">
        <f>IFERROR(VLOOKUP($J6542,'Informations sur les produits'!$A$3:$H$10000,8,FALSE),"0")</f>
        <v>0</v>
      </c>
      <c r="N6542" s="8"/>
      <c r="O6542" s="33" t="str">
        <f>IFERROR(VLOOKUP($M6542,'Informations sur les produits'!$A$3:$H$10000,8,FALSE),"0")</f>
        <v>0</v>
      </c>
      <c r="P6542" s="33">
        <f t="shared" si="408"/>
        <v>0</v>
      </c>
      <c r="Q6542" s="31" t="str">
        <f t="shared" si="409"/>
        <v/>
      </c>
      <c r="R6542" s="32" t="str">
        <f>IFERROR(VLOOKUP($D6542,'Informations sur les produits'!$A$3:$B$15000,2,FALSE),"")</f>
        <v/>
      </c>
      <c r="V6542">
        <f t="shared" si="410"/>
        <v>0</v>
      </c>
      <c r="W6542">
        <f t="shared" si="411"/>
        <v>0</v>
      </c>
    </row>
    <row r="6543" spans="5:23" x14ac:dyDescent="0.25">
      <c r="E6543" s="4"/>
      <c r="F6543" s="4"/>
      <c r="G6543" s="33" t="str">
        <f>IFERROR(VLOOKUP($D6543,'Informations sur les produits'!$A$3:$H$10000,8,FALSE),"0")</f>
        <v>0</v>
      </c>
      <c r="K6543" s="4"/>
      <c r="L6543" s="33" t="str">
        <f>IFERROR(VLOOKUP($J6543,'Informations sur les produits'!$A$3:$H$10000,8,FALSE),"0")</f>
        <v>0</v>
      </c>
      <c r="N6543" s="8"/>
      <c r="O6543" s="33" t="str">
        <f>IFERROR(VLOOKUP($M6543,'Informations sur les produits'!$A$3:$H$10000,8,FALSE),"0")</f>
        <v>0</v>
      </c>
      <c r="P6543" s="33">
        <f t="shared" si="408"/>
        <v>0</v>
      </c>
      <c r="Q6543" s="31" t="str">
        <f t="shared" si="409"/>
        <v/>
      </c>
      <c r="R6543" s="32" t="str">
        <f>IFERROR(VLOOKUP($D6543,'Informations sur les produits'!$A$3:$B$15000,2,FALSE),"")</f>
        <v/>
      </c>
      <c r="V6543">
        <f t="shared" si="410"/>
        <v>0</v>
      </c>
      <c r="W6543">
        <f t="shared" si="411"/>
        <v>0</v>
      </c>
    </row>
    <row r="6544" spans="5:23" x14ac:dyDescent="0.25">
      <c r="E6544" s="4"/>
      <c r="F6544" s="4"/>
      <c r="G6544" s="33" t="str">
        <f>IFERROR(VLOOKUP($D6544,'Informations sur les produits'!$A$3:$H$10000,8,FALSE),"0")</f>
        <v>0</v>
      </c>
      <c r="K6544" s="4"/>
      <c r="L6544" s="33" t="str">
        <f>IFERROR(VLOOKUP($J6544,'Informations sur les produits'!$A$3:$H$10000,8,FALSE),"0")</f>
        <v>0</v>
      </c>
      <c r="N6544" s="8"/>
      <c r="O6544" s="33" t="str">
        <f>IFERROR(VLOOKUP($M6544,'Informations sur les produits'!$A$3:$H$10000,8,FALSE),"0")</f>
        <v>0</v>
      </c>
      <c r="P6544" s="33">
        <f t="shared" si="408"/>
        <v>0</v>
      </c>
      <c r="Q6544" s="31" t="str">
        <f t="shared" si="409"/>
        <v/>
      </c>
      <c r="R6544" s="32" t="str">
        <f>IFERROR(VLOOKUP($D6544,'Informations sur les produits'!$A$3:$B$15000,2,FALSE),"")</f>
        <v/>
      </c>
      <c r="V6544">
        <f t="shared" si="410"/>
        <v>0</v>
      </c>
      <c r="W6544">
        <f t="shared" si="411"/>
        <v>0</v>
      </c>
    </row>
    <row r="6545" spans="5:23" x14ac:dyDescent="0.25">
      <c r="E6545" s="4"/>
      <c r="F6545" s="4"/>
      <c r="G6545" s="33" t="str">
        <f>IFERROR(VLOOKUP($D6545,'Informations sur les produits'!$A$3:$H$10000,8,FALSE),"0")</f>
        <v>0</v>
      </c>
      <c r="K6545" s="4"/>
      <c r="L6545" s="33" t="str">
        <f>IFERROR(VLOOKUP($J6545,'Informations sur les produits'!$A$3:$H$10000,8,FALSE),"0")</f>
        <v>0</v>
      </c>
      <c r="N6545" s="8"/>
      <c r="O6545" s="33" t="str">
        <f>IFERROR(VLOOKUP($M6545,'Informations sur les produits'!$A$3:$H$10000,8,FALSE),"0")</f>
        <v>0</v>
      </c>
      <c r="P6545" s="33">
        <f t="shared" si="408"/>
        <v>0</v>
      </c>
      <c r="Q6545" s="31" t="str">
        <f t="shared" si="409"/>
        <v/>
      </c>
      <c r="R6545" s="32" t="str">
        <f>IFERROR(VLOOKUP($D6545,'Informations sur les produits'!$A$3:$B$15000,2,FALSE),"")</f>
        <v/>
      </c>
      <c r="V6545">
        <f t="shared" si="410"/>
        <v>0</v>
      </c>
      <c r="W6545">
        <f t="shared" si="411"/>
        <v>0</v>
      </c>
    </row>
    <row r="6546" spans="5:23" x14ac:dyDescent="0.25">
      <c r="E6546" s="4"/>
      <c r="F6546" s="4"/>
      <c r="G6546" s="33" t="str">
        <f>IFERROR(VLOOKUP($D6546,'Informations sur les produits'!$A$3:$H$10000,8,FALSE),"0")</f>
        <v>0</v>
      </c>
      <c r="K6546" s="4"/>
      <c r="L6546" s="33" t="str">
        <f>IFERROR(VLOOKUP($J6546,'Informations sur les produits'!$A$3:$H$10000,8,FALSE),"0")</f>
        <v>0</v>
      </c>
      <c r="N6546" s="8"/>
      <c r="O6546" s="33" t="str">
        <f>IFERROR(VLOOKUP($M6546,'Informations sur les produits'!$A$3:$H$10000,8,FALSE),"0")</f>
        <v>0</v>
      </c>
      <c r="P6546" s="33">
        <f t="shared" si="408"/>
        <v>0</v>
      </c>
      <c r="Q6546" s="31" t="str">
        <f t="shared" si="409"/>
        <v/>
      </c>
      <c r="R6546" s="32" t="str">
        <f>IFERROR(VLOOKUP($D6546,'Informations sur les produits'!$A$3:$B$15000,2,FALSE),"")</f>
        <v/>
      </c>
      <c r="V6546">
        <f t="shared" si="410"/>
        <v>0</v>
      </c>
      <c r="W6546">
        <f t="shared" si="411"/>
        <v>0</v>
      </c>
    </row>
    <row r="6547" spans="5:23" x14ac:dyDescent="0.25">
      <c r="E6547" s="4"/>
      <c r="F6547" s="4"/>
      <c r="G6547" s="33" t="str">
        <f>IFERROR(VLOOKUP($D6547,'Informations sur les produits'!$A$3:$H$10000,8,FALSE),"0")</f>
        <v>0</v>
      </c>
      <c r="K6547" s="4"/>
      <c r="L6547" s="33" t="str">
        <f>IFERROR(VLOOKUP($J6547,'Informations sur les produits'!$A$3:$H$10000,8,FALSE),"0")</f>
        <v>0</v>
      </c>
      <c r="N6547" s="8"/>
      <c r="O6547" s="33" t="str">
        <f>IFERROR(VLOOKUP($M6547,'Informations sur les produits'!$A$3:$H$10000,8,FALSE),"0")</f>
        <v>0</v>
      </c>
      <c r="P6547" s="33">
        <f t="shared" si="408"/>
        <v>0</v>
      </c>
      <c r="Q6547" s="31" t="str">
        <f t="shared" si="409"/>
        <v/>
      </c>
      <c r="R6547" s="32" t="str">
        <f>IFERROR(VLOOKUP($D6547,'Informations sur les produits'!$A$3:$B$15000,2,FALSE),"")</f>
        <v/>
      </c>
      <c r="V6547">
        <f t="shared" si="410"/>
        <v>0</v>
      </c>
      <c r="W6547">
        <f t="shared" si="411"/>
        <v>0</v>
      </c>
    </row>
    <row r="6548" spans="5:23" x14ac:dyDescent="0.25">
      <c r="E6548" s="4"/>
      <c r="F6548" s="4"/>
      <c r="G6548" s="33" t="str">
        <f>IFERROR(VLOOKUP($D6548,'Informations sur les produits'!$A$3:$H$10000,8,FALSE),"0")</f>
        <v>0</v>
      </c>
      <c r="K6548" s="4"/>
      <c r="L6548" s="33" t="str">
        <f>IFERROR(VLOOKUP($J6548,'Informations sur les produits'!$A$3:$H$10000,8,FALSE),"0")</f>
        <v>0</v>
      </c>
      <c r="N6548" s="8"/>
      <c r="O6548" s="33" t="str">
        <f>IFERROR(VLOOKUP($M6548,'Informations sur les produits'!$A$3:$H$10000,8,FALSE),"0")</f>
        <v>0</v>
      </c>
      <c r="P6548" s="33">
        <f t="shared" si="408"/>
        <v>0</v>
      </c>
      <c r="Q6548" s="31" t="str">
        <f t="shared" si="409"/>
        <v/>
      </c>
      <c r="R6548" s="32" t="str">
        <f>IFERROR(VLOOKUP($D6548,'Informations sur les produits'!$A$3:$B$15000,2,FALSE),"")</f>
        <v/>
      </c>
      <c r="V6548">
        <f t="shared" si="410"/>
        <v>0</v>
      </c>
      <c r="W6548">
        <f t="shared" si="411"/>
        <v>0</v>
      </c>
    </row>
    <row r="6549" spans="5:23" x14ac:dyDescent="0.25">
      <c r="E6549" s="4"/>
      <c r="F6549" s="4"/>
      <c r="G6549" s="33" t="str">
        <f>IFERROR(VLOOKUP($D6549,'Informations sur les produits'!$A$3:$H$10000,8,FALSE),"0")</f>
        <v>0</v>
      </c>
      <c r="K6549" s="4"/>
      <c r="L6549" s="33" t="str">
        <f>IFERROR(VLOOKUP($J6549,'Informations sur les produits'!$A$3:$H$10000,8,FALSE),"0")</f>
        <v>0</v>
      </c>
      <c r="N6549" s="8"/>
      <c r="O6549" s="33" t="str">
        <f>IFERROR(VLOOKUP($M6549,'Informations sur les produits'!$A$3:$H$10000,8,FALSE),"0")</f>
        <v>0</v>
      </c>
      <c r="P6549" s="33">
        <f t="shared" si="408"/>
        <v>0</v>
      </c>
      <c r="Q6549" s="31" t="str">
        <f t="shared" si="409"/>
        <v/>
      </c>
      <c r="R6549" s="32" t="str">
        <f>IFERROR(VLOOKUP($D6549,'Informations sur les produits'!$A$3:$B$15000,2,FALSE),"")</f>
        <v/>
      </c>
      <c r="V6549">
        <f t="shared" si="410"/>
        <v>0</v>
      </c>
      <c r="W6549">
        <f t="shared" si="411"/>
        <v>0</v>
      </c>
    </row>
    <row r="6550" spans="5:23" x14ac:dyDescent="0.25">
      <c r="E6550" s="4"/>
      <c r="F6550" s="4"/>
      <c r="G6550" s="33" t="str">
        <f>IFERROR(VLOOKUP($D6550,'Informations sur les produits'!$A$3:$H$10000,8,FALSE),"0")</f>
        <v>0</v>
      </c>
      <c r="K6550" s="4"/>
      <c r="L6550" s="33" t="str">
        <f>IFERROR(VLOOKUP($J6550,'Informations sur les produits'!$A$3:$H$10000,8,FALSE),"0")</f>
        <v>0</v>
      </c>
      <c r="N6550" s="8"/>
      <c r="O6550" s="33" t="str">
        <f>IFERROR(VLOOKUP($M6550,'Informations sur les produits'!$A$3:$H$10000,8,FALSE),"0")</f>
        <v>0</v>
      </c>
      <c r="P6550" s="33">
        <f t="shared" si="408"/>
        <v>0</v>
      </c>
      <c r="Q6550" s="31" t="str">
        <f t="shared" si="409"/>
        <v/>
      </c>
      <c r="R6550" s="32" t="str">
        <f>IFERROR(VLOOKUP($D6550,'Informations sur les produits'!$A$3:$B$15000,2,FALSE),"")</f>
        <v/>
      </c>
      <c r="V6550">
        <f t="shared" si="410"/>
        <v>0</v>
      </c>
      <c r="W6550">
        <f t="shared" si="411"/>
        <v>0</v>
      </c>
    </row>
    <row r="6551" spans="5:23" x14ac:dyDescent="0.25">
      <c r="E6551" s="4"/>
      <c r="F6551" s="4"/>
      <c r="G6551" s="33" t="str">
        <f>IFERROR(VLOOKUP($D6551,'Informations sur les produits'!$A$3:$H$10000,8,FALSE),"0")</f>
        <v>0</v>
      </c>
      <c r="K6551" s="4"/>
      <c r="L6551" s="33" t="str">
        <f>IFERROR(VLOOKUP($J6551,'Informations sur les produits'!$A$3:$H$10000,8,FALSE),"0")</f>
        <v>0</v>
      </c>
      <c r="N6551" s="8"/>
      <c r="O6551" s="33" t="str">
        <f>IFERROR(VLOOKUP($M6551,'Informations sur les produits'!$A$3:$H$10000,8,FALSE),"0")</f>
        <v>0</v>
      </c>
      <c r="P6551" s="33">
        <f t="shared" si="408"/>
        <v>0</v>
      </c>
      <c r="Q6551" s="31" t="str">
        <f t="shared" si="409"/>
        <v/>
      </c>
      <c r="R6551" s="32" t="str">
        <f>IFERROR(VLOOKUP($D6551,'Informations sur les produits'!$A$3:$B$15000,2,FALSE),"")</f>
        <v/>
      </c>
      <c r="V6551">
        <f t="shared" si="410"/>
        <v>0</v>
      </c>
      <c r="W6551">
        <f t="shared" si="411"/>
        <v>0</v>
      </c>
    </row>
    <row r="6552" spans="5:23" x14ac:dyDescent="0.25">
      <c r="E6552" s="4"/>
      <c r="F6552" s="4"/>
      <c r="G6552" s="33" t="str">
        <f>IFERROR(VLOOKUP($D6552,'Informations sur les produits'!$A$3:$H$10000,8,FALSE),"0")</f>
        <v>0</v>
      </c>
      <c r="K6552" s="4"/>
      <c r="L6552" s="33" t="str">
        <f>IFERROR(VLOOKUP($J6552,'Informations sur les produits'!$A$3:$H$10000,8,FALSE),"0")</f>
        <v>0</v>
      </c>
      <c r="N6552" s="8"/>
      <c r="O6552" s="33" t="str">
        <f>IFERROR(VLOOKUP($M6552,'Informations sur les produits'!$A$3:$H$10000,8,FALSE),"0")</f>
        <v>0</v>
      </c>
      <c r="P6552" s="33">
        <f t="shared" si="408"/>
        <v>0</v>
      </c>
      <c r="Q6552" s="31" t="str">
        <f t="shared" si="409"/>
        <v/>
      </c>
      <c r="R6552" s="32" t="str">
        <f>IFERROR(VLOOKUP($D6552,'Informations sur les produits'!$A$3:$B$15000,2,FALSE),"")</f>
        <v/>
      </c>
      <c r="V6552">
        <f t="shared" si="410"/>
        <v>0</v>
      </c>
      <c r="W6552">
        <f t="shared" si="411"/>
        <v>0</v>
      </c>
    </row>
    <row r="6553" spans="5:23" x14ac:dyDescent="0.25">
      <c r="E6553" s="4"/>
      <c r="F6553" s="4"/>
      <c r="G6553" s="33" t="str">
        <f>IFERROR(VLOOKUP($D6553,'Informations sur les produits'!$A$3:$H$10000,8,FALSE),"0")</f>
        <v>0</v>
      </c>
      <c r="K6553" s="4"/>
      <c r="L6553" s="33" t="str">
        <f>IFERROR(VLOOKUP($J6553,'Informations sur les produits'!$A$3:$H$10000,8,FALSE),"0")</f>
        <v>0</v>
      </c>
      <c r="N6553" s="8"/>
      <c r="O6553" s="33" t="str">
        <f>IFERROR(VLOOKUP($M6553,'Informations sur les produits'!$A$3:$H$10000,8,FALSE),"0")</f>
        <v>0</v>
      </c>
      <c r="P6553" s="33">
        <f t="shared" si="408"/>
        <v>0</v>
      </c>
      <c r="Q6553" s="31" t="str">
        <f t="shared" si="409"/>
        <v/>
      </c>
      <c r="R6553" s="32" t="str">
        <f>IFERROR(VLOOKUP($D6553,'Informations sur les produits'!$A$3:$B$15000,2,FALSE),"")</f>
        <v/>
      </c>
      <c r="V6553">
        <f t="shared" si="410"/>
        <v>0</v>
      </c>
      <c r="W6553">
        <f t="shared" si="411"/>
        <v>0</v>
      </c>
    </row>
    <row r="6554" spans="5:23" x14ac:dyDescent="0.25">
      <c r="E6554" s="4"/>
      <c r="F6554" s="4"/>
      <c r="G6554" s="33" t="str">
        <f>IFERROR(VLOOKUP($D6554,'Informations sur les produits'!$A$3:$H$10000,8,FALSE),"0")</f>
        <v>0</v>
      </c>
      <c r="K6554" s="4"/>
      <c r="L6554" s="33" t="str">
        <f>IFERROR(VLOOKUP($J6554,'Informations sur les produits'!$A$3:$H$10000,8,FALSE),"0")</f>
        <v>0</v>
      </c>
      <c r="N6554" s="8"/>
      <c r="O6554" s="33" t="str">
        <f>IFERROR(VLOOKUP($M6554,'Informations sur les produits'!$A$3:$H$10000,8,FALSE),"0")</f>
        <v>0</v>
      </c>
      <c r="P6554" s="33">
        <f t="shared" si="408"/>
        <v>0</v>
      </c>
      <c r="Q6554" s="31" t="str">
        <f t="shared" si="409"/>
        <v/>
      </c>
      <c r="R6554" s="32" t="str">
        <f>IFERROR(VLOOKUP($D6554,'Informations sur les produits'!$A$3:$B$15000,2,FALSE),"")</f>
        <v/>
      </c>
      <c r="V6554">
        <f t="shared" si="410"/>
        <v>0</v>
      </c>
      <c r="W6554">
        <f t="shared" si="411"/>
        <v>0</v>
      </c>
    </row>
    <row r="6555" spans="5:23" x14ac:dyDescent="0.25">
      <c r="E6555" s="4"/>
      <c r="F6555" s="4"/>
      <c r="G6555" s="33" t="str">
        <f>IFERROR(VLOOKUP($D6555,'Informations sur les produits'!$A$3:$H$10000,8,FALSE),"0")</f>
        <v>0</v>
      </c>
      <c r="K6555" s="4"/>
      <c r="L6555" s="33" t="str">
        <f>IFERROR(VLOOKUP($J6555,'Informations sur les produits'!$A$3:$H$10000,8,FALSE),"0")</f>
        <v>0</v>
      </c>
      <c r="N6555" s="8"/>
      <c r="O6555" s="33" t="str">
        <f>IFERROR(VLOOKUP($M6555,'Informations sur les produits'!$A$3:$H$10000,8,FALSE),"0")</f>
        <v>0</v>
      </c>
      <c r="P6555" s="33">
        <f t="shared" si="408"/>
        <v>0</v>
      </c>
      <c r="Q6555" s="31" t="str">
        <f t="shared" si="409"/>
        <v/>
      </c>
      <c r="R6555" s="32" t="str">
        <f>IFERROR(VLOOKUP($D6555,'Informations sur les produits'!$A$3:$B$15000,2,FALSE),"")</f>
        <v/>
      </c>
      <c r="V6555">
        <f t="shared" si="410"/>
        <v>0</v>
      </c>
      <c r="W6555">
        <f t="shared" si="411"/>
        <v>0</v>
      </c>
    </row>
    <row r="6556" spans="5:23" x14ac:dyDescent="0.25">
      <c r="E6556" s="4"/>
      <c r="F6556" s="4"/>
      <c r="G6556" s="33" t="str">
        <f>IFERROR(VLOOKUP($D6556,'Informations sur les produits'!$A$3:$H$10000,8,FALSE),"0")</f>
        <v>0</v>
      </c>
      <c r="K6556" s="4"/>
      <c r="L6556" s="33" t="str">
        <f>IFERROR(VLOOKUP($J6556,'Informations sur les produits'!$A$3:$H$10000,8,FALSE),"0")</f>
        <v>0</v>
      </c>
      <c r="N6556" s="8"/>
      <c r="O6556" s="33" t="str">
        <f>IFERROR(VLOOKUP($M6556,'Informations sur les produits'!$A$3:$H$10000,8,FALSE),"0")</f>
        <v>0</v>
      </c>
      <c r="P6556" s="33">
        <f t="shared" si="408"/>
        <v>0</v>
      </c>
      <c r="Q6556" s="31" t="str">
        <f t="shared" si="409"/>
        <v/>
      </c>
      <c r="R6556" s="32" t="str">
        <f>IFERROR(VLOOKUP($D6556,'Informations sur les produits'!$A$3:$B$15000,2,FALSE),"")</f>
        <v/>
      </c>
      <c r="V6556">
        <f t="shared" si="410"/>
        <v>0</v>
      </c>
      <c r="W6556">
        <f t="shared" si="411"/>
        <v>0</v>
      </c>
    </row>
    <row r="6557" spans="5:23" x14ac:dyDescent="0.25">
      <c r="E6557" s="4"/>
      <c r="F6557" s="4"/>
      <c r="G6557" s="33" t="str">
        <f>IFERROR(VLOOKUP($D6557,'Informations sur les produits'!$A$3:$H$10000,8,FALSE),"0")</f>
        <v>0</v>
      </c>
      <c r="K6557" s="4"/>
      <c r="L6557" s="33" t="str">
        <f>IFERROR(VLOOKUP($J6557,'Informations sur les produits'!$A$3:$H$10000,8,FALSE),"0")</f>
        <v>0</v>
      </c>
      <c r="N6557" s="8"/>
      <c r="O6557" s="33" t="str">
        <f>IFERROR(VLOOKUP($M6557,'Informations sur les produits'!$A$3:$H$10000,8,FALSE),"0")</f>
        <v>0</v>
      </c>
      <c r="P6557" s="33">
        <f t="shared" si="408"/>
        <v>0</v>
      </c>
      <c r="Q6557" s="31" t="str">
        <f t="shared" si="409"/>
        <v/>
      </c>
      <c r="R6557" s="32" t="str">
        <f>IFERROR(VLOOKUP($D6557,'Informations sur les produits'!$A$3:$B$15000,2,FALSE),"")</f>
        <v/>
      </c>
      <c r="V6557">
        <f t="shared" si="410"/>
        <v>0</v>
      </c>
      <c r="W6557">
        <f t="shared" si="411"/>
        <v>0</v>
      </c>
    </row>
    <row r="6558" spans="5:23" x14ac:dyDescent="0.25">
      <c r="E6558" s="4"/>
      <c r="F6558" s="4"/>
      <c r="G6558" s="33" t="str">
        <f>IFERROR(VLOOKUP($D6558,'Informations sur les produits'!$A$3:$H$10000,8,FALSE),"0")</f>
        <v>0</v>
      </c>
      <c r="K6558" s="4"/>
      <c r="L6558" s="33" t="str">
        <f>IFERROR(VLOOKUP($J6558,'Informations sur les produits'!$A$3:$H$10000,8,FALSE),"0")</f>
        <v>0</v>
      </c>
      <c r="N6558" s="8"/>
      <c r="O6558" s="33" t="str">
        <f>IFERROR(VLOOKUP($M6558,'Informations sur les produits'!$A$3:$H$10000,8,FALSE),"0")</f>
        <v>0</v>
      </c>
      <c r="P6558" s="33">
        <f t="shared" si="408"/>
        <v>0</v>
      </c>
      <c r="Q6558" s="31" t="str">
        <f t="shared" si="409"/>
        <v/>
      </c>
      <c r="R6558" s="32" t="str">
        <f>IFERROR(VLOOKUP($D6558,'Informations sur les produits'!$A$3:$B$15000,2,FALSE),"")</f>
        <v/>
      </c>
      <c r="V6558">
        <f t="shared" si="410"/>
        <v>0</v>
      </c>
      <c r="W6558">
        <f t="shared" si="411"/>
        <v>0</v>
      </c>
    </row>
    <row r="6559" spans="5:23" x14ac:dyDescent="0.25">
      <c r="E6559" s="4"/>
      <c r="F6559" s="4"/>
      <c r="G6559" s="33" t="str">
        <f>IFERROR(VLOOKUP($D6559,'Informations sur les produits'!$A$3:$H$10000,8,FALSE),"0")</f>
        <v>0</v>
      </c>
      <c r="K6559" s="4"/>
      <c r="L6559" s="33" t="str">
        <f>IFERROR(VLOOKUP($J6559,'Informations sur les produits'!$A$3:$H$10000,8,FALSE),"0")</f>
        <v>0</v>
      </c>
      <c r="N6559" s="8"/>
      <c r="O6559" s="33" t="str">
        <f>IFERROR(VLOOKUP($M6559,'Informations sur les produits'!$A$3:$H$10000,8,FALSE),"0")</f>
        <v>0</v>
      </c>
      <c r="P6559" s="33">
        <f t="shared" si="408"/>
        <v>0</v>
      </c>
      <c r="Q6559" s="31" t="str">
        <f t="shared" si="409"/>
        <v/>
      </c>
      <c r="R6559" s="32" t="str">
        <f>IFERROR(VLOOKUP($D6559,'Informations sur les produits'!$A$3:$B$15000,2,FALSE),"")</f>
        <v/>
      </c>
      <c r="V6559">
        <f t="shared" si="410"/>
        <v>0</v>
      </c>
      <c r="W6559">
        <f t="shared" si="411"/>
        <v>0</v>
      </c>
    </row>
    <row r="6560" spans="5:23" x14ac:dyDescent="0.25">
      <c r="E6560" s="4"/>
      <c r="F6560" s="4"/>
      <c r="G6560" s="33" t="str">
        <f>IFERROR(VLOOKUP($D6560,'Informations sur les produits'!$A$3:$H$10000,8,FALSE),"0")</f>
        <v>0</v>
      </c>
      <c r="K6560" s="4"/>
      <c r="L6560" s="33" t="str">
        <f>IFERROR(VLOOKUP($J6560,'Informations sur les produits'!$A$3:$H$10000,8,FALSE),"0")</f>
        <v>0</v>
      </c>
      <c r="N6560" s="8"/>
      <c r="O6560" s="33" t="str">
        <f>IFERROR(VLOOKUP($M6560,'Informations sur les produits'!$A$3:$H$10000,8,FALSE),"0")</f>
        <v>0</v>
      </c>
      <c r="P6560" s="33">
        <f t="shared" si="408"/>
        <v>0</v>
      </c>
      <c r="Q6560" s="31" t="str">
        <f t="shared" si="409"/>
        <v/>
      </c>
      <c r="R6560" s="32" t="str">
        <f>IFERROR(VLOOKUP($D6560,'Informations sur les produits'!$A$3:$B$15000,2,FALSE),"")</f>
        <v/>
      </c>
      <c r="V6560">
        <f t="shared" si="410"/>
        <v>0</v>
      </c>
      <c r="W6560">
        <f t="shared" si="411"/>
        <v>0</v>
      </c>
    </row>
    <row r="6561" spans="5:23" x14ac:dyDescent="0.25">
      <c r="E6561" s="4"/>
      <c r="F6561" s="4"/>
      <c r="G6561" s="33" t="str">
        <f>IFERROR(VLOOKUP($D6561,'Informations sur les produits'!$A$3:$H$10000,8,FALSE),"0")</f>
        <v>0</v>
      </c>
      <c r="K6561" s="4"/>
      <c r="L6561" s="33" t="str">
        <f>IFERROR(VLOOKUP($J6561,'Informations sur les produits'!$A$3:$H$10000,8,FALSE),"0")</f>
        <v>0</v>
      </c>
      <c r="N6561" s="8"/>
      <c r="O6561" s="33" t="str">
        <f>IFERROR(VLOOKUP($M6561,'Informations sur les produits'!$A$3:$H$10000,8,FALSE),"0")</f>
        <v>0</v>
      </c>
      <c r="P6561" s="33">
        <f t="shared" si="408"/>
        <v>0</v>
      </c>
      <c r="Q6561" s="31" t="str">
        <f t="shared" si="409"/>
        <v/>
      </c>
      <c r="R6561" s="32" t="str">
        <f>IFERROR(VLOOKUP($D6561,'Informations sur les produits'!$A$3:$B$15000,2,FALSE),"")</f>
        <v/>
      </c>
      <c r="V6561">
        <f t="shared" si="410"/>
        <v>0</v>
      </c>
      <c r="W6561">
        <f t="shared" si="411"/>
        <v>0</v>
      </c>
    </row>
    <row r="6562" spans="5:23" x14ac:dyDescent="0.25">
      <c r="E6562" s="4"/>
      <c r="F6562" s="4"/>
      <c r="G6562" s="33" t="str">
        <f>IFERROR(VLOOKUP($D6562,'Informations sur les produits'!$A$3:$H$10000,8,FALSE),"0")</f>
        <v>0</v>
      </c>
      <c r="K6562" s="4"/>
      <c r="L6562" s="33" t="str">
        <f>IFERROR(VLOOKUP($J6562,'Informations sur les produits'!$A$3:$H$10000,8,FALSE),"0")</f>
        <v>0</v>
      </c>
      <c r="N6562" s="8"/>
      <c r="O6562" s="33" t="str">
        <f>IFERROR(VLOOKUP($M6562,'Informations sur les produits'!$A$3:$H$10000,8,FALSE),"0")</f>
        <v>0</v>
      </c>
      <c r="P6562" s="33">
        <f t="shared" si="408"/>
        <v>0</v>
      </c>
      <c r="Q6562" s="31" t="str">
        <f t="shared" si="409"/>
        <v/>
      </c>
      <c r="R6562" s="32" t="str">
        <f>IFERROR(VLOOKUP($D6562,'Informations sur les produits'!$A$3:$B$15000,2,FALSE),"")</f>
        <v/>
      </c>
      <c r="V6562">
        <f t="shared" si="410"/>
        <v>0</v>
      </c>
      <c r="W6562">
        <f t="shared" si="411"/>
        <v>0</v>
      </c>
    </row>
    <row r="6563" spans="5:23" x14ac:dyDescent="0.25">
      <c r="E6563" s="4"/>
      <c r="F6563" s="4"/>
      <c r="G6563" s="33" t="str">
        <f>IFERROR(VLOOKUP($D6563,'Informations sur les produits'!$A$3:$H$10000,8,FALSE),"0")</f>
        <v>0</v>
      </c>
      <c r="K6563" s="4"/>
      <c r="L6563" s="33" t="str">
        <f>IFERROR(VLOOKUP($J6563,'Informations sur les produits'!$A$3:$H$10000,8,FALSE),"0")</f>
        <v>0</v>
      </c>
      <c r="N6563" s="8"/>
      <c r="O6563" s="33" t="str">
        <f>IFERROR(VLOOKUP($M6563,'Informations sur les produits'!$A$3:$H$10000,8,FALSE),"0")</f>
        <v>0</v>
      </c>
      <c r="P6563" s="33">
        <f t="shared" si="408"/>
        <v>0</v>
      </c>
      <c r="Q6563" s="31" t="str">
        <f t="shared" si="409"/>
        <v/>
      </c>
      <c r="R6563" s="32" t="str">
        <f>IFERROR(VLOOKUP($D6563,'Informations sur les produits'!$A$3:$B$15000,2,FALSE),"")</f>
        <v/>
      </c>
      <c r="V6563">
        <f t="shared" si="410"/>
        <v>0</v>
      </c>
      <c r="W6563">
        <f t="shared" si="411"/>
        <v>0</v>
      </c>
    </row>
    <row r="6564" spans="5:23" x14ac:dyDescent="0.25">
      <c r="E6564" s="4"/>
      <c r="F6564" s="4"/>
      <c r="G6564" s="33" t="str">
        <f>IFERROR(VLOOKUP($D6564,'Informations sur les produits'!$A$3:$H$10000,8,FALSE),"0")</f>
        <v>0</v>
      </c>
      <c r="K6564" s="4"/>
      <c r="L6564" s="33" t="str">
        <f>IFERROR(VLOOKUP($J6564,'Informations sur les produits'!$A$3:$H$10000,8,FALSE),"0")</f>
        <v>0</v>
      </c>
      <c r="N6564" s="8"/>
      <c r="O6564" s="33" t="str">
        <f>IFERROR(VLOOKUP($M6564,'Informations sur les produits'!$A$3:$H$10000,8,FALSE),"0")</f>
        <v>0</v>
      </c>
      <c r="P6564" s="33">
        <f t="shared" si="408"/>
        <v>0</v>
      </c>
      <c r="Q6564" s="31" t="str">
        <f t="shared" si="409"/>
        <v/>
      </c>
      <c r="R6564" s="32" t="str">
        <f>IFERROR(VLOOKUP($D6564,'Informations sur les produits'!$A$3:$B$15000,2,FALSE),"")</f>
        <v/>
      </c>
      <c r="V6564">
        <f t="shared" si="410"/>
        <v>0</v>
      </c>
      <c r="W6564">
        <f t="shared" si="411"/>
        <v>0</v>
      </c>
    </row>
    <row r="6565" spans="5:23" x14ac:dyDescent="0.25">
      <c r="E6565" s="4"/>
      <c r="F6565" s="4"/>
      <c r="G6565" s="33" t="str">
        <f>IFERROR(VLOOKUP($D6565,'Informations sur les produits'!$A$3:$H$10000,8,FALSE),"0")</f>
        <v>0</v>
      </c>
      <c r="K6565" s="4"/>
      <c r="L6565" s="33" t="str">
        <f>IFERROR(VLOOKUP($J6565,'Informations sur les produits'!$A$3:$H$10000,8,FALSE),"0")</f>
        <v>0</v>
      </c>
      <c r="N6565" s="8"/>
      <c r="O6565" s="33" t="str">
        <f>IFERROR(VLOOKUP($M6565,'Informations sur les produits'!$A$3:$H$10000,8,FALSE),"0")</f>
        <v>0</v>
      </c>
      <c r="P6565" s="33">
        <f t="shared" si="408"/>
        <v>0</v>
      </c>
      <c r="Q6565" s="31" t="str">
        <f t="shared" si="409"/>
        <v/>
      </c>
      <c r="R6565" s="32" t="str">
        <f>IFERROR(VLOOKUP($D6565,'Informations sur les produits'!$A$3:$B$15000,2,FALSE),"")</f>
        <v/>
      </c>
      <c r="V6565">
        <f t="shared" si="410"/>
        <v>0</v>
      </c>
      <c r="W6565">
        <f t="shared" si="411"/>
        <v>0</v>
      </c>
    </row>
    <row r="6566" spans="5:23" x14ac:dyDescent="0.25">
      <c r="E6566" s="4"/>
      <c r="F6566" s="4"/>
      <c r="G6566" s="33" t="str">
        <f>IFERROR(VLOOKUP($D6566,'Informations sur les produits'!$A$3:$H$10000,8,FALSE),"0")</f>
        <v>0</v>
      </c>
      <c r="K6566" s="4"/>
      <c r="L6566" s="33" t="str">
        <f>IFERROR(VLOOKUP($J6566,'Informations sur les produits'!$A$3:$H$10000,8,FALSE),"0")</f>
        <v>0</v>
      </c>
      <c r="N6566" s="8"/>
      <c r="O6566" s="33" t="str">
        <f>IFERROR(VLOOKUP($M6566,'Informations sur les produits'!$A$3:$H$10000,8,FALSE),"0")</f>
        <v>0</v>
      </c>
      <c r="P6566" s="33">
        <f t="shared" si="408"/>
        <v>0</v>
      </c>
      <c r="Q6566" s="31" t="str">
        <f t="shared" si="409"/>
        <v/>
      </c>
      <c r="R6566" s="32" t="str">
        <f>IFERROR(VLOOKUP($D6566,'Informations sur les produits'!$A$3:$B$15000,2,FALSE),"")</f>
        <v/>
      </c>
      <c r="V6566">
        <f t="shared" si="410"/>
        <v>0</v>
      </c>
      <c r="W6566">
        <f t="shared" si="411"/>
        <v>0</v>
      </c>
    </row>
    <row r="6567" spans="5:23" x14ac:dyDescent="0.25">
      <c r="E6567" s="4"/>
      <c r="F6567" s="4"/>
      <c r="G6567" s="33" t="str">
        <f>IFERROR(VLOOKUP($D6567,'Informations sur les produits'!$A$3:$H$10000,8,FALSE),"0")</f>
        <v>0</v>
      </c>
      <c r="K6567" s="4"/>
      <c r="L6567" s="33" t="str">
        <f>IFERROR(VLOOKUP($J6567,'Informations sur les produits'!$A$3:$H$10000,8,FALSE),"0")</f>
        <v>0</v>
      </c>
      <c r="N6567" s="8"/>
      <c r="O6567" s="33" t="str">
        <f>IFERROR(VLOOKUP($M6567,'Informations sur les produits'!$A$3:$H$10000,8,FALSE),"0")</f>
        <v>0</v>
      </c>
      <c r="P6567" s="33">
        <f t="shared" si="408"/>
        <v>0</v>
      </c>
      <c r="Q6567" s="31" t="str">
        <f t="shared" si="409"/>
        <v/>
      </c>
      <c r="R6567" s="32" t="str">
        <f>IFERROR(VLOOKUP($D6567,'Informations sur les produits'!$A$3:$B$15000,2,FALSE),"")</f>
        <v/>
      </c>
      <c r="V6567">
        <f t="shared" si="410"/>
        <v>0</v>
      </c>
      <c r="W6567">
        <f t="shared" si="411"/>
        <v>0</v>
      </c>
    </row>
    <row r="6568" spans="5:23" x14ac:dyDescent="0.25">
      <c r="E6568" s="4"/>
      <c r="F6568" s="4"/>
      <c r="G6568" s="33" t="str">
        <f>IFERROR(VLOOKUP($D6568,'Informations sur les produits'!$A$3:$H$10000,8,FALSE),"0")</f>
        <v>0</v>
      </c>
      <c r="K6568" s="4"/>
      <c r="L6568" s="33" t="str">
        <f>IFERROR(VLOOKUP($J6568,'Informations sur les produits'!$A$3:$H$10000,8,FALSE),"0")</f>
        <v>0</v>
      </c>
      <c r="N6568" s="8"/>
      <c r="O6568" s="33" t="str">
        <f>IFERROR(VLOOKUP($M6568,'Informations sur les produits'!$A$3:$H$10000,8,FALSE),"0")</f>
        <v>0</v>
      </c>
      <c r="P6568" s="33">
        <f t="shared" si="408"/>
        <v>0</v>
      </c>
      <c r="Q6568" s="31" t="str">
        <f t="shared" si="409"/>
        <v/>
      </c>
      <c r="R6568" s="32" t="str">
        <f>IFERROR(VLOOKUP($D6568,'Informations sur les produits'!$A$3:$B$15000,2,FALSE),"")</f>
        <v/>
      </c>
      <c r="V6568">
        <f t="shared" si="410"/>
        <v>0</v>
      </c>
      <c r="W6568">
        <f t="shared" si="411"/>
        <v>0</v>
      </c>
    </row>
    <row r="6569" spans="5:23" x14ac:dyDescent="0.25">
      <c r="E6569" s="4"/>
      <c r="F6569" s="4"/>
      <c r="G6569" s="33" t="str">
        <f>IFERROR(VLOOKUP($D6569,'Informations sur les produits'!$A$3:$H$10000,8,FALSE),"0")</f>
        <v>0</v>
      </c>
      <c r="K6569" s="4"/>
      <c r="L6569" s="33" t="str">
        <f>IFERROR(VLOOKUP($J6569,'Informations sur les produits'!$A$3:$H$10000,8,FALSE),"0")</f>
        <v>0</v>
      </c>
      <c r="N6569" s="8"/>
      <c r="O6569" s="33" t="str">
        <f>IFERROR(VLOOKUP($M6569,'Informations sur les produits'!$A$3:$H$10000,8,FALSE),"0")</f>
        <v>0</v>
      </c>
      <c r="P6569" s="33">
        <f t="shared" si="408"/>
        <v>0</v>
      </c>
      <c r="Q6569" s="31" t="str">
        <f t="shared" si="409"/>
        <v/>
      </c>
      <c r="R6569" s="32" t="str">
        <f>IFERROR(VLOOKUP($D6569,'Informations sur les produits'!$A$3:$B$15000,2,FALSE),"")</f>
        <v/>
      </c>
      <c r="V6569">
        <f t="shared" si="410"/>
        <v>0</v>
      </c>
      <c r="W6569">
        <f t="shared" si="411"/>
        <v>0</v>
      </c>
    </row>
    <row r="6570" spans="5:23" x14ac:dyDescent="0.25">
      <c r="E6570" s="4"/>
      <c r="F6570" s="4"/>
      <c r="G6570" s="33" t="str">
        <f>IFERROR(VLOOKUP($D6570,'Informations sur les produits'!$A$3:$H$10000,8,FALSE),"0")</f>
        <v>0</v>
      </c>
      <c r="K6570" s="4"/>
      <c r="L6570" s="33" t="str">
        <f>IFERROR(VLOOKUP($J6570,'Informations sur les produits'!$A$3:$H$10000,8,FALSE),"0")</f>
        <v>0</v>
      </c>
      <c r="N6570" s="8"/>
      <c r="O6570" s="33" t="str">
        <f>IFERROR(VLOOKUP($M6570,'Informations sur les produits'!$A$3:$H$10000,8,FALSE),"0")</f>
        <v>0</v>
      </c>
      <c r="P6570" s="33">
        <f t="shared" si="408"/>
        <v>0</v>
      </c>
      <c r="Q6570" s="31" t="str">
        <f t="shared" si="409"/>
        <v/>
      </c>
      <c r="R6570" s="32" t="str">
        <f>IFERROR(VLOOKUP($D6570,'Informations sur les produits'!$A$3:$B$15000,2,FALSE),"")</f>
        <v/>
      </c>
      <c r="V6570">
        <f t="shared" si="410"/>
        <v>0</v>
      </c>
      <c r="W6570">
        <f t="shared" si="411"/>
        <v>0</v>
      </c>
    </row>
    <row r="6571" spans="5:23" x14ac:dyDescent="0.25">
      <c r="E6571" s="4"/>
      <c r="F6571" s="4"/>
      <c r="G6571" s="33" t="str">
        <f>IFERROR(VLOOKUP($D6571,'Informations sur les produits'!$A$3:$H$10000,8,FALSE),"0")</f>
        <v>0</v>
      </c>
      <c r="K6571" s="4"/>
      <c r="L6571" s="33" t="str">
        <f>IFERROR(VLOOKUP($J6571,'Informations sur les produits'!$A$3:$H$10000,8,FALSE),"0")</f>
        <v>0</v>
      </c>
      <c r="N6571" s="8"/>
      <c r="O6571" s="33" t="str">
        <f>IFERROR(VLOOKUP($M6571,'Informations sur les produits'!$A$3:$H$10000,8,FALSE),"0")</f>
        <v>0</v>
      </c>
      <c r="P6571" s="33">
        <f t="shared" si="408"/>
        <v>0</v>
      </c>
      <c r="Q6571" s="31" t="str">
        <f t="shared" si="409"/>
        <v/>
      </c>
      <c r="R6571" s="32" t="str">
        <f>IFERROR(VLOOKUP($D6571,'Informations sur les produits'!$A$3:$B$15000,2,FALSE),"")</f>
        <v/>
      </c>
      <c r="V6571">
        <f t="shared" si="410"/>
        <v>0</v>
      </c>
      <c r="W6571">
        <f t="shared" si="411"/>
        <v>0</v>
      </c>
    </row>
    <row r="6572" spans="5:23" x14ac:dyDescent="0.25">
      <c r="E6572" s="4"/>
      <c r="F6572" s="4"/>
      <c r="G6572" s="33" t="str">
        <f>IFERROR(VLOOKUP($D6572,'Informations sur les produits'!$A$3:$H$10000,8,FALSE),"0")</f>
        <v>0</v>
      </c>
      <c r="K6572" s="4"/>
      <c r="L6572" s="33" t="str">
        <f>IFERROR(VLOOKUP($J6572,'Informations sur les produits'!$A$3:$H$10000,8,FALSE),"0")</f>
        <v>0</v>
      </c>
      <c r="N6572" s="8"/>
      <c r="O6572" s="33" t="str">
        <f>IFERROR(VLOOKUP($M6572,'Informations sur les produits'!$A$3:$H$10000,8,FALSE),"0")</f>
        <v>0</v>
      </c>
      <c r="P6572" s="33">
        <f t="shared" si="408"/>
        <v>0</v>
      </c>
      <c r="Q6572" s="31" t="str">
        <f t="shared" si="409"/>
        <v/>
      </c>
      <c r="R6572" s="32" t="str">
        <f>IFERROR(VLOOKUP($D6572,'Informations sur les produits'!$A$3:$B$15000,2,FALSE),"")</f>
        <v/>
      </c>
      <c r="V6572">
        <f t="shared" si="410"/>
        <v>0</v>
      </c>
      <c r="W6572">
        <f t="shared" si="411"/>
        <v>0</v>
      </c>
    </row>
    <row r="6573" spans="5:23" x14ac:dyDescent="0.25">
      <c r="E6573" s="4"/>
      <c r="F6573" s="4"/>
      <c r="G6573" s="33" t="str">
        <f>IFERROR(VLOOKUP($D6573,'Informations sur les produits'!$A$3:$H$10000,8,FALSE),"0")</f>
        <v>0</v>
      </c>
      <c r="K6573" s="4"/>
      <c r="L6573" s="33" t="str">
        <f>IFERROR(VLOOKUP($J6573,'Informations sur les produits'!$A$3:$H$10000,8,FALSE),"0")</f>
        <v>0</v>
      </c>
      <c r="N6573" s="8"/>
      <c r="O6573" s="33" t="str">
        <f>IFERROR(VLOOKUP($M6573,'Informations sur les produits'!$A$3:$H$10000,8,FALSE),"0")</f>
        <v>0</v>
      </c>
      <c r="P6573" s="33">
        <f t="shared" si="408"/>
        <v>0</v>
      </c>
      <c r="Q6573" s="31" t="str">
        <f t="shared" si="409"/>
        <v/>
      </c>
      <c r="R6573" s="32" t="str">
        <f>IFERROR(VLOOKUP($D6573,'Informations sur les produits'!$A$3:$B$15000,2,FALSE),"")</f>
        <v/>
      </c>
      <c r="V6573">
        <f t="shared" si="410"/>
        <v>0</v>
      </c>
      <c r="W6573">
        <f t="shared" si="411"/>
        <v>0</v>
      </c>
    </row>
    <row r="6574" spans="5:23" x14ac:dyDescent="0.25">
      <c r="E6574" s="4"/>
      <c r="F6574" s="4"/>
      <c r="G6574" s="33" t="str">
        <f>IFERROR(VLOOKUP($D6574,'Informations sur les produits'!$A$3:$H$10000,8,FALSE),"0")</f>
        <v>0</v>
      </c>
      <c r="K6574" s="4"/>
      <c r="L6574" s="33" t="str">
        <f>IFERROR(VLOOKUP($J6574,'Informations sur les produits'!$A$3:$H$10000,8,FALSE),"0")</f>
        <v>0</v>
      </c>
      <c r="N6574" s="8"/>
      <c r="O6574" s="33" t="str">
        <f>IFERROR(VLOOKUP($M6574,'Informations sur les produits'!$A$3:$H$10000,8,FALSE),"0")</f>
        <v>0</v>
      </c>
      <c r="P6574" s="33">
        <f t="shared" si="408"/>
        <v>0</v>
      </c>
      <c r="Q6574" s="31" t="str">
        <f t="shared" si="409"/>
        <v/>
      </c>
      <c r="R6574" s="32" t="str">
        <f>IFERROR(VLOOKUP($D6574,'Informations sur les produits'!$A$3:$B$15000,2,FALSE),"")</f>
        <v/>
      </c>
      <c r="V6574">
        <f t="shared" si="410"/>
        <v>0</v>
      </c>
      <c r="W6574">
        <f t="shared" si="411"/>
        <v>0</v>
      </c>
    </row>
    <row r="6575" spans="5:23" x14ac:dyDescent="0.25">
      <c r="E6575" s="4"/>
      <c r="F6575" s="4"/>
      <c r="G6575" s="33" t="str">
        <f>IFERROR(VLOOKUP($D6575,'Informations sur les produits'!$A$3:$H$10000,8,FALSE),"0")</f>
        <v>0</v>
      </c>
      <c r="K6575" s="4"/>
      <c r="L6575" s="33" t="str">
        <f>IFERROR(VLOOKUP($J6575,'Informations sur les produits'!$A$3:$H$10000,8,FALSE),"0")</f>
        <v>0</v>
      </c>
      <c r="N6575" s="8"/>
      <c r="O6575" s="33" t="str">
        <f>IFERROR(VLOOKUP($M6575,'Informations sur les produits'!$A$3:$H$10000,8,FALSE),"0")</f>
        <v>0</v>
      </c>
      <c r="P6575" s="33">
        <f t="shared" si="408"/>
        <v>0</v>
      </c>
      <c r="Q6575" s="31" t="str">
        <f t="shared" si="409"/>
        <v/>
      </c>
      <c r="R6575" s="32" t="str">
        <f>IFERROR(VLOOKUP($D6575,'Informations sur les produits'!$A$3:$B$15000,2,FALSE),"")</f>
        <v/>
      </c>
      <c r="V6575">
        <f t="shared" si="410"/>
        <v>0</v>
      </c>
      <c r="W6575">
        <f t="shared" si="411"/>
        <v>0</v>
      </c>
    </row>
    <row r="6576" spans="5:23" x14ac:dyDescent="0.25">
      <c r="E6576" s="4"/>
      <c r="F6576" s="4"/>
      <c r="G6576" s="33" t="str">
        <f>IFERROR(VLOOKUP($D6576,'Informations sur les produits'!$A$3:$H$10000,8,FALSE),"0")</f>
        <v>0</v>
      </c>
      <c r="K6576" s="4"/>
      <c r="L6576" s="33" t="str">
        <f>IFERROR(VLOOKUP($J6576,'Informations sur les produits'!$A$3:$H$10000,8,FALSE),"0")</f>
        <v>0</v>
      </c>
      <c r="N6576" s="8"/>
      <c r="O6576" s="33" t="str">
        <f>IFERROR(VLOOKUP($M6576,'Informations sur les produits'!$A$3:$H$10000,8,FALSE),"0")</f>
        <v>0</v>
      </c>
      <c r="P6576" s="33">
        <f t="shared" si="408"/>
        <v>0</v>
      </c>
      <c r="Q6576" s="31" t="str">
        <f t="shared" si="409"/>
        <v/>
      </c>
      <c r="R6576" s="32" t="str">
        <f>IFERROR(VLOOKUP($D6576,'Informations sur les produits'!$A$3:$B$15000,2,FALSE),"")</f>
        <v/>
      </c>
      <c r="V6576">
        <f t="shared" si="410"/>
        <v>0</v>
      </c>
      <c r="W6576">
        <f t="shared" si="411"/>
        <v>0</v>
      </c>
    </row>
    <row r="6577" spans="5:23" x14ac:dyDescent="0.25">
      <c r="E6577" s="4"/>
      <c r="F6577" s="4"/>
      <c r="G6577" s="33" t="str">
        <f>IFERROR(VLOOKUP($D6577,'Informations sur les produits'!$A$3:$H$10000,8,FALSE),"0")</f>
        <v>0</v>
      </c>
      <c r="K6577" s="4"/>
      <c r="L6577" s="33" t="str">
        <f>IFERROR(VLOOKUP($J6577,'Informations sur les produits'!$A$3:$H$10000,8,FALSE),"0")</f>
        <v>0</v>
      </c>
      <c r="N6577" s="8"/>
      <c r="O6577" s="33" t="str">
        <f>IFERROR(VLOOKUP($M6577,'Informations sur les produits'!$A$3:$H$10000,8,FALSE),"0")</f>
        <v>0</v>
      </c>
      <c r="P6577" s="33">
        <f t="shared" si="408"/>
        <v>0</v>
      </c>
      <c r="Q6577" s="31" t="str">
        <f t="shared" si="409"/>
        <v/>
      </c>
      <c r="R6577" s="32" t="str">
        <f>IFERROR(VLOOKUP($D6577,'Informations sur les produits'!$A$3:$B$15000,2,FALSE),"")</f>
        <v/>
      </c>
      <c r="V6577">
        <f t="shared" si="410"/>
        <v>0</v>
      </c>
      <c r="W6577">
        <f t="shared" si="411"/>
        <v>0</v>
      </c>
    </row>
    <row r="6578" spans="5:23" x14ac:dyDescent="0.25">
      <c r="E6578" s="4"/>
      <c r="F6578" s="4"/>
      <c r="G6578" s="33" t="str">
        <f>IFERROR(VLOOKUP($D6578,'Informations sur les produits'!$A$3:$H$10000,8,FALSE),"0")</f>
        <v>0</v>
      </c>
      <c r="K6578" s="4"/>
      <c r="L6578" s="33" t="str">
        <f>IFERROR(VLOOKUP($J6578,'Informations sur les produits'!$A$3:$H$10000,8,FALSE),"0")</f>
        <v>0</v>
      </c>
      <c r="N6578" s="8"/>
      <c r="O6578" s="33" t="str">
        <f>IFERROR(VLOOKUP($M6578,'Informations sur les produits'!$A$3:$H$10000,8,FALSE),"0")</f>
        <v>0</v>
      </c>
      <c r="P6578" s="33">
        <f t="shared" si="408"/>
        <v>0</v>
      </c>
      <c r="Q6578" s="31" t="str">
        <f t="shared" si="409"/>
        <v/>
      </c>
      <c r="R6578" s="32" t="str">
        <f>IFERROR(VLOOKUP($D6578,'Informations sur les produits'!$A$3:$B$15000,2,FALSE),"")</f>
        <v/>
      </c>
      <c r="V6578">
        <f t="shared" si="410"/>
        <v>0</v>
      </c>
      <c r="W6578">
        <f t="shared" si="411"/>
        <v>0</v>
      </c>
    </row>
    <row r="6579" spans="5:23" x14ac:dyDescent="0.25">
      <c r="E6579" s="4"/>
      <c r="F6579" s="4"/>
      <c r="G6579" s="33" t="str">
        <f>IFERROR(VLOOKUP($D6579,'Informations sur les produits'!$A$3:$H$10000,8,FALSE),"0")</f>
        <v>0</v>
      </c>
      <c r="K6579" s="4"/>
      <c r="L6579" s="33" t="str">
        <f>IFERROR(VLOOKUP($J6579,'Informations sur les produits'!$A$3:$H$10000,8,FALSE),"0")</f>
        <v>0</v>
      </c>
      <c r="N6579" s="8"/>
      <c r="O6579" s="33" t="str">
        <f>IFERROR(VLOOKUP($M6579,'Informations sur les produits'!$A$3:$H$10000,8,FALSE),"0")</f>
        <v>0</v>
      </c>
      <c r="P6579" s="33">
        <f t="shared" si="408"/>
        <v>0</v>
      </c>
      <c r="Q6579" s="31" t="str">
        <f t="shared" si="409"/>
        <v/>
      </c>
      <c r="R6579" s="32" t="str">
        <f>IFERROR(VLOOKUP($D6579,'Informations sur les produits'!$A$3:$B$15000,2,FALSE),"")</f>
        <v/>
      </c>
      <c r="V6579">
        <f t="shared" si="410"/>
        <v>0</v>
      </c>
      <c r="W6579">
        <f t="shared" si="411"/>
        <v>0</v>
      </c>
    </row>
    <row r="6580" spans="5:23" x14ac:dyDescent="0.25">
      <c r="E6580" s="4"/>
      <c r="F6580" s="4"/>
      <c r="G6580" s="33" t="str">
        <f>IFERROR(VLOOKUP($D6580,'Informations sur les produits'!$A$3:$H$10000,8,FALSE),"0")</f>
        <v>0</v>
      </c>
      <c r="K6580" s="4"/>
      <c r="L6580" s="33" t="str">
        <f>IFERROR(VLOOKUP($J6580,'Informations sur les produits'!$A$3:$H$10000,8,FALSE),"0")</f>
        <v>0</v>
      </c>
      <c r="N6580" s="8"/>
      <c r="O6580" s="33" t="str">
        <f>IFERROR(VLOOKUP($M6580,'Informations sur les produits'!$A$3:$H$10000,8,FALSE),"0")</f>
        <v>0</v>
      </c>
      <c r="P6580" s="33">
        <f t="shared" si="408"/>
        <v>0</v>
      </c>
      <c r="Q6580" s="31" t="str">
        <f t="shared" si="409"/>
        <v/>
      </c>
      <c r="R6580" s="32" t="str">
        <f>IFERROR(VLOOKUP($D6580,'Informations sur les produits'!$A$3:$B$15000,2,FALSE),"")</f>
        <v/>
      </c>
      <c r="V6580">
        <f t="shared" si="410"/>
        <v>0</v>
      </c>
      <c r="W6580">
        <f t="shared" si="411"/>
        <v>0</v>
      </c>
    </row>
    <row r="6581" spans="5:23" x14ac:dyDescent="0.25">
      <c r="E6581" s="4"/>
      <c r="F6581" s="4"/>
      <c r="G6581" s="33" t="str">
        <f>IFERROR(VLOOKUP($D6581,'Informations sur les produits'!$A$3:$H$10000,8,FALSE),"0")</f>
        <v>0</v>
      </c>
      <c r="K6581" s="4"/>
      <c r="L6581" s="33" t="str">
        <f>IFERROR(VLOOKUP($J6581,'Informations sur les produits'!$A$3:$H$10000,8,FALSE),"0")</f>
        <v>0</v>
      </c>
      <c r="N6581" s="8"/>
      <c r="O6581" s="33" t="str">
        <f>IFERROR(VLOOKUP($M6581,'Informations sur les produits'!$A$3:$H$10000,8,FALSE),"0")</f>
        <v>0</v>
      </c>
      <c r="P6581" s="33">
        <f t="shared" si="408"/>
        <v>0</v>
      </c>
      <c r="Q6581" s="31" t="str">
        <f t="shared" si="409"/>
        <v/>
      </c>
      <c r="R6581" s="32" t="str">
        <f>IFERROR(VLOOKUP($D6581,'Informations sur les produits'!$A$3:$B$15000,2,FALSE),"")</f>
        <v/>
      </c>
      <c r="V6581">
        <f t="shared" si="410"/>
        <v>0</v>
      </c>
      <c r="W6581">
        <f t="shared" si="411"/>
        <v>0</v>
      </c>
    </row>
    <row r="6582" spans="5:23" x14ac:dyDescent="0.25">
      <c r="E6582" s="4"/>
      <c r="F6582" s="4"/>
      <c r="G6582" s="33" t="str">
        <f>IFERROR(VLOOKUP($D6582,'Informations sur les produits'!$A$3:$H$10000,8,FALSE),"0")</f>
        <v>0</v>
      </c>
      <c r="K6582" s="4"/>
      <c r="L6582" s="33" t="str">
        <f>IFERROR(VLOOKUP($J6582,'Informations sur les produits'!$A$3:$H$10000,8,FALSE),"0")</f>
        <v>0</v>
      </c>
      <c r="N6582" s="8"/>
      <c r="O6582" s="33" t="str">
        <f>IFERROR(VLOOKUP($M6582,'Informations sur les produits'!$A$3:$H$10000,8,FALSE),"0")</f>
        <v>0</v>
      </c>
      <c r="P6582" s="33">
        <f t="shared" si="408"/>
        <v>0</v>
      </c>
      <c r="Q6582" s="31" t="str">
        <f t="shared" si="409"/>
        <v/>
      </c>
      <c r="R6582" s="32" t="str">
        <f>IFERROR(VLOOKUP($D6582,'Informations sur les produits'!$A$3:$B$15000,2,FALSE),"")</f>
        <v/>
      </c>
      <c r="V6582">
        <f t="shared" si="410"/>
        <v>0</v>
      </c>
      <c r="W6582">
        <f t="shared" si="411"/>
        <v>0</v>
      </c>
    </row>
    <row r="6583" spans="5:23" x14ac:dyDescent="0.25">
      <c r="E6583" s="4"/>
      <c r="F6583" s="4"/>
      <c r="G6583" s="33" t="str">
        <f>IFERROR(VLOOKUP($D6583,'Informations sur les produits'!$A$3:$H$10000,8,FALSE),"0")</f>
        <v>0</v>
      </c>
      <c r="K6583" s="4"/>
      <c r="L6583" s="33" t="str">
        <f>IFERROR(VLOOKUP($J6583,'Informations sur les produits'!$A$3:$H$10000,8,FALSE),"0")</f>
        <v>0</v>
      </c>
      <c r="N6583" s="8"/>
      <c r="O6583" s="33" t="str">
        <f>IFERROR(VLOOKUP($M6583,'Informations sur les produits'!$A$3:$H$10000,8,FALSE),"0")</f>
        <v>0</v>
      </c>
      <c r="P6583" s="33">
        <f t="shared" si="408"/>
        <v>0</v>
      </c>
      <c r="Q6583" s="31" t="str">
        <f t="shared" si="409"/>
        <v/>
      </c>
      <c r="R6583" s="32" t="str">
        <f>IFERROR(VLOOKUP($D6583,'Informations sur les produits'!$A$3:$B$15000,2,FALSE),"")</f>
        <v/>
      </c>
      <c r="V6583">
        <f t="shared" si="410"/>
        <v>0</v>
      </c>
      <c r="W6583">
        <f t="shared" si="411"/>
        <v>0</v>
      </c>
    </row>
    <row r="6584" spans="5:23" x14ac:dyDescent="0.25">
      <c r="E6584" s="4"/>
      <c r="F6584" s="4"/>
      <c r="G6584" s="33" t="str">
        <f>IFERROR(VLOOKUP($D6584,'Informations sur les produits'!$A$3:$H$10000,8,FALSE),"0")</f>
        <v>0</v>
      </c>
      <c r="K6584" s="4"/>
      <c r="L6584" s="33" t="str">
        <f>IFERROR(VLOOKUP($J6584,'Informations sur les produits'!$A$3:$H$10000,8,FALSE),"0")</f>
        <v>0</v>
      </c>
      <c r="N6584" s="8"/>
      <c r="O6584" s="33" t="str">
        <f>IFERROR(VLOOKUP($M6584,'Informations sur les produits'!$A$3:$H$10000,8,FALSE),"0")</f>
        <v>0</v>
      </c>
      <c r="P6584" s="33">
        <f t="shared" si="408"/>
        <v>0</v>
      </c>
      <c r="Q6584" s="31" t="str">
        <f t="shared" si="409"/>
        <v/>
      </c>
      <c r="R6584" s="32" t="str">
        <f>IFERROR(VLOOKUP($D6584,'Informations sur les produits'!$A$3:$B$15000,2,FALSE),"")</f>
        <v/>
      </c>
      <c r="V6584">
        <f t="shared" si="410"/>
        <v>0</v>
      </c>
      <c r="W6584">
        <f t="shared" si="411"/>
        <v>0</v>
      </c>
    </row>
    <row r="6585" spans="5:23" x14ac:dyDescent="0.25">
      <c r="E6585" s="4"/>
      <c r="F6585" s="4"/>
      <c r="G6585" s="33" t="str">
        <f>IFERROR(VLOOKUP($D6585,'Informations sur les produits'!$A$3:$H$10000,8,FALSE),"0")</f>
        <v>0</v>
      </c>
      <c r="K6585" s="4"/>
      <c r="L6585" s="33" t="str">
        <f>IFERROR(VLOOKUP($J6585,'Informations sur les produits'!$A$3:$H$10000,8,FALSE),"0")</f>
        <v>0</v>
      </c>
      <c r="N6585" s="8"/>
      <c r="O6585" s="33" t="str">
        <f>IFERROR(VLOOKUP($M6585,'Informations sur les produits'!$A$3:$H$10000,8,FALSE),"0")</f>
        <v>0</v>
      </c>
      <c r="P6585" s="33">
        <f t="shared" si="408"/>
        <v>0</v>
      </c>
      <c r="Q6585" s="31" t="str">
        <f t="shared" si="409"/>
        <v/>
      </c>
      <c r="R6585" s="32" t="str">
        <f>IFERROR(VLOOKUP($D6585,'Informations sur les produits'!$A$3:$B$15000,2,FALSE),"")</f>
        <v/>
      </c>
      <c r="V6585">
        <f t="shared" si="410"/>
        <v>0</v>
      </c>
      <c r="W6585">
        <f t="shared" si="411"/>
        <v>0</v>
      </c>
    </row>
    <row r="6586" spans="5:23" x14ac:dyDescent="0.25">
      <c r="E6586" s="4"/>
      <c r="F6586" s="4"/>
      <c r="G6586" s="33" t="str">
        <f>IFERROR(VLOOKUP($D6586,'Informations sur les produits'!$A$3:$H$10000,8,FALSE),"0")</f>
        <v>0</v>
      </c>
      <c r="K6586" s="4"/>
      <c r="L6586" s="33" t="str">
        <f>IFERROR(VLOOKUP($J6586,'Informations sur les produits'!$A$3:$H$10000,8,FALSE),"0")</f>
        <v>0</v>
      </c>
      <c r="N6586" s="8"/>
      <c r="O6586" s="33" t="str">
        <f>IFERROR(VLOOKUP($M6586,'Informations sur les produits'!$A$3:$H$10000,8,FALSE),"0")</f>
        <v>0</v>
      </c>
      <c r="P6586" s="33">
        <f t="shared" si="408"/>
        <v>0</v>
      </c>
      <c r="Q6586" s="31" t="str">
        <f t="shared" si="409"/>
        <v/>
      </c>
      <c r="R6586" s="32" t="str">
        <f>IFERROR(VLOOKUP($D6586,'Informations sur les produits'!$A$3:$B$15000,2,FALSE),"")</f>
        <v/>
      </c>
      <c r="V6586">
        <f t="shared" si="410"/>
        <v>0</v>
      </c>
      <c r="W6586">
        <f t="shared" si="411"/>
        <v>0</v>
      </c>
    </row>
    <row r="6587" spans="5:23" x14ac:dyDescent="0.25">
      <c r="E6587" s="4"/>
      <c r="F6587" s="4"/>
      <c r="G6587" s="33" t="str">
        <f>IFERROR(VLOOKUP($D6587,'Informations sur les produits'!$A$3:$H$10000,8,FALSE),"0")</f>
        <v>0</v>
      </c>
      <c r="K6587" s="4"/>
      <c r="L6587" s="33" t="str">
        <f>IFERROR(VLOOKUP($J6587,'Informations sur les produits'!$A$3:$H$10000,8,FALSE),"0")</f>
        <v>0</v>
      </c>
      <c r="N6587" s="8"/>
      <c r="O6587" s="33" t="str">
        <f>IFERROR(VLOOKUP($M6587,'Informations sur les produits'!$A$3:$H$10000,8,FALSE),"0")</f>
        <v>0</v>
      </c>
      <c r="P6587" s="33">
        <f t="shared" si="408"/>
        <v>0</v>
      </c>
      <c r="Q6587" s="31" t="str">
        <f t="shared" si="409"/>
        <v/>
      </c>
      <c r="R6587" s="32" t="str">
        <f>IFERROR(VLOOKUP($D6587,'Informations sur les produits'!$A$3:$B$15000,2,FALSE),"")</f>
        <v/>
      </c>
      <c r="V6587">
        <f t="shared" si="410"/>
        <v>0</v>
      </c>
      <c r="W6587">
        <f t="shared" si="411"/>
        <v>0</v>
      </c>
    </row>
    <row r="6588" spans="5:23" x14ac:dyDescent="0.25">
      <c r="E6588" s="4"/>
      <c r="F6588" s="4"/>
      <c r="G6588" s="33" t="str">
        <f>IFERROR(VLOOKUP($D6588,'Informations sur les produits'!$A$3:$H$10000,8,FALSE),"0")</f>
        <v>0</v>
      </c>
      <c r="K6588" s="4"/>
      <c r="L6588" s="33" t="str">
        <f>IFERROR(VLOOKUP($J6588,'Informations sur les produits'!$A$3:$H$10000,8,FALSE),"0")</f>
        <v>0</v>
      </c>
      <c r="N6588" s="8"/>
      <c r="O6588" s="33" t="str">
        <f>IFERROR(VLOOKUP($M6588,'Informations sur les produits'!$A$3:$H$10000,8,FALSE),"0")</f>
        <v>0</v>
      </c>
      <c r="P6588" s="33">
        <f t="shared" si="408"/>
        <v>0</v>
      </c>
      <c r="Q6588" s="31" t="str">
        <f t="shared" si="409"/>
        <v/>
      </c>
      <c r="R6588" s="32" t="str">
        <f>IFERROR(VLOOKUP($D6588,'Informations sur les produits'!$A$3:$B$15000,2,FALSE),"")</f>
        <v/>
      </c>
      <c r="V6588">
        <f t="shared" si="410"/>
        <v>0</v>
      </c>
      <c r="W6588">
        <f t="shared" si="411"/>
        <v>0</v>
      </c>
    </row>
    <row r="6589" spans="5:23" x14ac:dyDescent="0.25">
      <c r="E6589" s="4"/>
      <c r="F6589" s="4"/>
      <c r="G6589" s="33" t="str">
        <f>IFERROR(VLOOKUP($D6589,'Informations sur les produits'!$A$3:$H$10000,8,FALSE),"0")</f>
        <v>0</v>
      </c>
      <c r="K6589" s="4"/>
      <c r="L6589" s="33" t="str">
        <f>IFERROR(VLOOKUP($J6589,'Informations sur les produits'!$A$3:$H$10000,8,FALSE),"0")</f>
        <v>0</v>
      </c>
      <c r="N6589" s="8"/>
      <c r="O6589" s="33" t="str">
        <f>IFERROR(VLOOKUP($M6589,'Informations sur les produits'!$A$3:$H$10000,8,FALSE),"0")</f>
        <v>0</v>
      </c>
      <c r="P6589" s="33">
        <f t="shared" si="408"/>
        <v>0</v>
      </c>
      <c r="Q6589" s="31" t="str">
        <f t="shared" si="409"/>
        <v/>
      </c>
      <c r="R6589" s="32" t="str">
        <f>IFERROR(VLOOKUP($D6589,'Informations sur les produits'!$A$3:$B$15000,2,FALSE),"")</f>
        <v/>
      </c>
      <c r="V6589">
        <f t="shared" si="410"/>
        <v>0</v>
      </c>
      <c r="W6589">
        <f t="shared" si="411"/>
        <v>0</v>
      </c>
    </row>
    <row r="6590" spans="5:23" x14ac:dyDescent="0.25">
      <c r="E6590" s="4"/>
      <c r="F6590" s="4"/>
      <c r="G6590" s="33" t="str">
        <f>IFERROR(VLOOKUP($D6590,'Informations sur les produits'!$A$3:$H$10000,8,FALSE),"0")</f>
        <v>0</v>
      </c>
      <c r="K6590" s="4"/>
      <c r="L6590" s="33" t="str">
        <f>IFERROR(VLOOKUP($J6590,'Informations sur les produits'!$A$3:$H$10000,8,FALSE),"0")</f>
        <v>0</v>
      </c>
      <c r="N6590" s="8"/>
      <c r="O6590" s="33" t="str">
        <f>IFERROR(VLOOKUP($M6590,'Informations sur les produits'!$A$3:$H$10000,8,FALSE),"0")</f>
        <v>0</v>
      </c>
      <c r="P6590" s="33">
        <f t="shared" si="408"/>
        <v>0</v>
      </c>
      <c r="Q6590" s="31" t="str">
        <f t="shared" si="409"/>
        <v/>
      </c>
      <c r="R6590" s="32" t="str">
        <f>IFERROR(VLOOKUP($D6590,'Informations sur les produits'!$A$3:$B$15000,2,FALSE),"")</f>
        <v/>
      </c>
      <c r="V6590">
        <f t="shared" si="410"/>
        <v>0</v>
      </c>
      <c r="W6590">
        <f t="shared" si="411"/>
        <v>0</v>
      </c>
    </row>
    <row r="6591" spans="5:23" x14ac:dyDescent="0.25">
      <c r="E6591" s="4"/>
      <c r="F6591" s="4"/>
      <c r="G6591" s="33" t="str">
        <f>IFERROR(VLOOKUP($D6591,'Informations sur les produits'!$A$3:$H$10000,8,FALSE),"0")</f>
        <v>0</v>
      </c>
      <c r="K6591" s="4"/>
      <c r="L6591" s="33" t="str">
        <f>IFERROR(VLOOKUP($J6591,'Informations sur les produits'!$A$3:$H$10000,8,FALSE),"0")</f>
        <v>0</v>
      </c>
      <c r="N6591" s="8"/>
      <c r="O6591" s="33" t="str">
        <f>IFERROR(VLOOKUP($M6591,'Informations sur les produits'!$A$3:$H$10000,8,FALSE),"0")</f>
        <v>0</v>
      </c>
      <c r="P6591" s="33">
        <f t="shared" si="408"/>
        <v>0</v>
      </c>
      <c r="Q6591" s="31" t="str">
        <f t="shared" si="409"/>
        <v/>
      </c>
      <c r="R6591" s="32" t="str">
        <f>IFERROR(VLOOKUP($D6591,'Informations sur les produits'!$A$3:$B$15000,2,FALSE),"")</f>
        <v/>
      </c>
      <c r="V6591">
        <f t="shared" si="410"/>
        <v>0</v>
      </c>
      <c r="W6591">
        <f t="shared" si="411"/>
        <v>0</v>
      </c>
    </row>
    <row r="6592" spans="5:23" x14ac:dyDescent="0.25">
      <c r="E6592" s="4"/>
      <c r="F6592" s="4"/>
      <c r="G6592" s="33" t="str">
        <f>IFERROR(VLOOKUP($D6592,'Informations sur les produits'!$A$3:$H$10000,8,FALSE),"0")</f>
        <v>0</v>
      </c>
      <c r="K6592" s="4"/>
      <c r="L6592" s="33" t="str">
        <f>IFERROR(VLOOKUP($J6592,'Informations sur les produits'!$A$3:$H$10000,8,FALSE),"0")</f>
        <v>0</v>
      </c>
      <c r="N6592" s="8"/>
      <c r="O6592" s="33" t="str">
        <f>IFERROR(VLOOKUP($M6592,'Informations sur les produits'!$A$3:$H$10000,8,FALSE),"0")</f>
        <v>0</v>
      </c>
      <c r="P6592" s="33">
        <f t="shared" si="408"/>
        <v>0</v>
      </c>
      <c r="Q6592" s="31" t="str">
        <f t="shared" si="409"/>
        <v/>
      </c>
      <c r="R6592" s="32" t="str">
        <f>IFERROR(VLOOKUP($D6592,'Informations sur les produits'!$A$3:$B$15000,2,FALSE),"")</f>
        <v/>
      </c>
      <c r="V6592">
        <f t="shared" si="410"/>
        <v>0</v>
      </c>
      <c r="W6592">
        <f t="shared" si="411"/>
        <v>0</v>
      </c>
    </row>
    <row r="6593" spans="5:23" x14ac:dyDescent="0.25">
      <c r="E6593" s="4"/>
      <c r="F6593" s="4"/>
      <c r="G6593" s="33" t="str">
        <f>IFERROR(VLOOKUP($D6593,'Informations sur les produits'!$A$3:$H$10000,8,FALSE),"0")</f>
        <v>0</v>
      </c>
      <c r="K6593" s="4"/>
      <c r="L6593" s="33" t="str">
        <f>IFERROR(VLOOKUP($J6593,'Informations sur les produits'!$A$3:$H$10000,8,FALSE),"0")</f>
        <v>0</v>
      </c>
      <c r="N6593" s="8"/>
      <c r="O6593" s="33" t="str">
        <f>IFERROR(VLOOKUP($M6593,'Informations sur les produits'!$A$3:$H$10000,8,FALSE),"0")</f>
        <v>0</v>
      </c>
      <c r="P6593" s="33">
        <f t="shared" si="408"/>
        <v>0</v>
      </c>
      <c r="Q6593" s="31" t="str">
        <f t="shared" si="409"/>
        <v/>
      </c>
      <c r="R6593" s="32" t="str">
        <f>IFERROR(VLOOKUP($D6593,'Informations sur les produits'!$A$3:$B$15000,2,FALSE),"")</f>
        <v/>
      </c>
      <c r="V6593">
        <f t="shared" si="410"/>
        <v>0</v>
      </c>
      <c r="W6593">
        <f t="shared" si="411"/>
        <v>0</v>
      </c>
    </row>
    <row r="6594" spans="5:23" x14ac:dyDescent="0.25">
      <c r="E6594" s="4"/>
      <c r="F6594" s="4"/>
      <c r="G6594" s="33" t="str">
        <f>IFERROR(VLOOKUP($D6594,'Informations sur les produits'!$A$3:$H$10000,8,FALSE),"0")</f>
        <v>0</v>
      </c>
      <c r="K6594" s="4"/>
      <c r="L6594" s="33" t="str">
        <f>IFERROR(VLOOKUP($J6594,'Informations sur les produits'!$A$3:$H$10000,8,FALSE),"0")</f>
        <v>0</v>
      </c>
      <c r="N6594" s="8"/>
      <c r="O6594" s="33" t="str">
        <f>IFERROR(VLOOKUP($M6594,'Informations sur les produits'!$A$3:$H$10000,8,FALSE),"0")</f>
        <v>0</v>
      </c>
      <c r="P6594" s="33">
        <f t="shared" si="408"/>
        <v>0</v>
      </c>
      <c r="Q6594" s="31" t="str">
        <f t="shared" si="409"/>
        <v/>
      </c>
      <c r="R6594" s="32" t="str">
        <f>IFERROR(VLOOKUP($D6594,'Informations sur les produits'!$A$3:$B$15000,2,FALSE),"")</f>
        <v/>
      </c>
      <c r="V6594">
        <f t="shared" si="410"/>
        <v>0</v>
      </c>
      <c r="W6594">
        <f t="shared" si="411"/>
        <v>0</v>
      </c>
    </row>
    <row r="6595" spans="5:23" x14ac:dyDescent="0.25">
      <c r="E6595" s="4"/>
      <c r="F6595" s="4"/>
      <c r="G6595" s="33" t="str">
        <f>IFERROR(VLOOKUP($D6595,'Informations sur les produits'!$A$3:$H$10000,8,FALSE),"0")</f>
        <v>0</v>
      </c>
      <c r="K6595" s="4"/>
      <c r="L6595" s="33" t="str">
        <f>IFERROR(VLOOKUP($J6595,'Informations sur les produits'!$A$3:$H$10000,8,FALSE),"0")</f>
        <v>0</v>
      </c>
      <c r="N6595" s="8"/>
      <c r="O6595" s="33" t="str">
        <f>IFERROR(VLOOKUP($M6595,'Informations sur les produits'!$A$3:$H$10000,8,FALSE),"0")</f>
        <v>0</v>
      </c>
      <c r="P6595" s="33">
        <f t="shared" si="408"/>
        <v>0</v>
      </c>
      <c r="Q6595" s="31" t="str">
        <f t="shared" si="409"/>
        <v/>
      </c>
      <c r="R6595" s="32" t="str">
        <f>IFERROR(VLOOKUP($D6595,'Informations sur les produits'!$A$3:$B$15000,2,FALSE),"")</f>
        <v/>
      </c>
      <c r="V6595">
        <f t="shared" si="410"/>
        <v>0</v>
      </c>
      <c r="W6595">
        <f t="shared" si="411"/>
        <v>0</v>
      </c>
    </row>
    <row r="6596" spans="5:23" x14ac:dyDescent="0.25">
      <c r="E6596" s="4"/>
      <c r="F6596" s="4"/>
      <c r="G6596" s="33" t="str">
        <f>IFERROR(VLOOKUP($D6596,'Informations sur les produits'!$A$3:$H$10000,8,FALSE),"0")</f>
        <v>0</v>
      </c>
      <c r="K6596" s="4"/>
      <c r="L6596" s="33" t="str">
        <f>IFERROR(VLOOKUP($J6596,'Informations sur les produits'!$A$3:$H$10000,8,FALSE),"0")</f>
        <v>0</v>
      </c>
      <c r="N6596" s="8"/>
      <c r="O6596" s="33" t="str">
        <f>IFERROR(VLOOKUP($M6596,'Informations sur les produits'!$A$3:$H$10000,8,FALSE),"0")</f>
        <v>0</v>
      </c>
      <c r="P6596" s="33">
        <f t="shared" ref="P6596:P6659" si="412">IFERROR((($E6596-$F6596)*$G6596+$K6596*$L6596+$N6596*$O6596),"")</f>
        <v>0</v>
      </c>
      <c r="Q6596" s="31" t="str">
        <f t="shared" ref="Q6596:Q6659" si="413">IFERROR((((($E6596-$F6596)*$G6596+$K6596*$L6596+$N6596*$O6596)*1000)/(($E6596-$F6596)+$K6596+$N6596)),"")</f>
        <v/>
      </c>
      <c r="R6596" s="32" t="str">
        <f>IFERROR(VLOOKUP($D6596,'Informations sur les produits'!$A$3:$B$15000,2,FALSE),"")</f>
        <v/>
      </c>
      <c r="V6596">
        <f t="shared" ref="V6596:V6659" si="414">IFERROR(P6596*1000,"")</f>
        <v>0</v>
      </c>
      <c r="W6596">
        <f t="shared" ref="W6596:W6659" si="415">IFERROR(($E6596-$F6596)+$K6596+$N6596,"")</f>
        <v>0</v>
      </c>
    </row>
    <row r="6597" spans="5:23" x14ac:dyDescent="0.25">
      <c r="E6597" s="4"/>
      <c r="F6597" s="4"/>
      <c r="G6597" s="33" t="str">
        <f>IFERROR(VLOOKUP($D6597,'Informations sur les produits'!$A$3:$H$10000,8,FALSE),"0")</f>
        <v>0</v>
      </c>
      <c r="K6597" s="4"/>
      <c r="L6597" s="33" t="str">
        <f>IFERROR(VLOOKUP($J6597,'Informations sur les produits'!$A$3:$H$10000,8,FALSE),"0")</f>
        <v>0</v>
      </c>
      <c r="N6597" s="8"/>
      <c r="O6597" s="33" t="str">
        <f>IFERROR(VLOOKUP($M6597,'Informations sur les produits'!$A$3:$H$10000,8,FALSE),"0")</f>
        <v>0</v>
      </c>
      <c r="P6597" s="33">
        <f t="shared" si="412"/>
        <v>0</v>
      </c>
      <c r="Q6597" s="31" t="str">
        <f t="shared" si="413"/>
        <v/>
      </c>
      <c r="R6597" s="32" t="str">
        <f>IFERROR(VLOOKUP($D6597,'Informations sur les produits'!$A$3:$B$15000,2,FALSE),"")</f>
        <v/>
      </c>
      <c r="V6597">
        <f t="shared" si="414"/>
        <v>0</v>
      </c>
      <c r="W6597">
        <f t="shared" si="415"/>
        <v>0</v>
      </c>
    </row>
    <row r="6598" spans="5:23" x14ac:dyDescent="0.25">
      <c r="E6598" s="4"/>
      <c r="F6598" s="4"/>
      <c r="G6598" s="33" t="str">
        <f>IFERROR(VLOOKUP($D6598,'Informations sur les produits'!$A$3:$H$10000,8,FALSE),"0")</f>
        <v>0</v>
      </c>
      <c r="K6598" s="4"/>
      <c r="L6598" s="33" t="str">
        <f>IFERROR(VLOOKUP($J6598,'Informations sur les produits'!$A$3:$H$10000,8,FALSE),"0")</f>
        <v>0</v>
      </c>
      <c r="N6598" s="8"/>
      <c r="O6598" s="33" t="str">
        <f>IFERROR(VLOOKUP($M6598,'Informations sur les produits'!$A$3:$H$10000,8,FALSE),"0")</f>
        <v>0</v>
      </c>
      <c r="P6598" s="33">
        <f t="shared" si="412"/>
        <v>0</v>
      </c>
      <c r="Q6598" s="31" t="str">
        <f t="shared" si="413"/>
        <v/>
      </c>
      <c r="R6598" s="32" t="str">
        <f>IFERROR(VLOOKUP($D6598,'Informations sur les produits'!$A$3:$B$15000,2,FALSE),"")</f>
        <v/>
      </c>
      <c r="V6598">
        <f t="shared" si="414"/>
        <v>0</v>
      </c>
      <c r="W6598">
        <f t="shared" si="415"/>
        <v>0</v>
      </c>
    </row>
    <row r="6599" spans="5:23" x14ac:dyDescent="0.25">
      <c r="E6599" s="4"/>
      <c r="F6599" s="4"/>
      <c r="G6599" s="33" t="str">
        <f>IFERROR(VLOOKUP($D6599,'Informations sur les produits'!$A$3:$H$10000,8,FALSE),"0")</f>
        <v>0</v>
      </c>
      <c r="K6599" s="4"/>
      <c r="L6599" s="33" t="str">
        <f>IFERROR(VLOOKUP($J6599,'Informations sur les produits'!$A$3:$H$10000,8,FALSE),"0")</f>
        <v>0</v>
      </c>
      <c r="N6599" s="8"/>
      <c r="O6599" s="33" t="str">
        <f>IFERROR(VLOOKUP($M6599,'Informations sur les produits'!$A$3:$H$10000,8,FALSE),"0")</f>
        <v>0</v>
      </c>
      <c r="P6599" s="33">
        <f t="shared" si="412"/>
        <v>0</v>
      </c>
      <c r="Q6599" s="31" t="str">
        <f t="shared" si="413"/>
        <v/>
      </c>
      <c r="R6599" s="32" t="str">
        <f>IFERROR(VLOOKUP($D6599,'Informations sur les produits'!$A$3:$B$15000,2,FALSE),"")</f>
        <v/>
      </c>
      <c r="V6599">
        <f t="shared" si="414"/>
        <v>0</v>
      </c>
      <c r="W6599">
        <f t="shared" si="415"/>
        <v>0</v>
      </c>
    </row>
    <row r="6600" spans="5:23" x14ac:dyDescent="0.25">
      <c r="E6600" s="4"/>
      <c r="F6600" s="4"/>
      <c r="G6600" s="33" t="str">
        <f>IFERROR(VLOOKUP($D6600,'Informations sur les produits'!$A$3:$H$10000,8,FALSE),"0")</f>
        <v>0</v>
      </c>
      <c r="K6600" s="4"/>
      <c r="L6600" s="33" t="str">
        <f>IFERROR(VLOOKUP($J6600,'Informations sur les produits'!$A$3:$H$10000,8,FALSE),"0")</f>
        <v>0</v>
      </c>
      <c r="N6600" s="8"/>
      <c r="O6600" s="33" t="str">
        <f>IFERROR(VLOOKUP($M6600,'Informations sur les produits'!$A$3:$H$10000,8,FALSE),"0")</f>
        <v>0</v>
      </c>
      <c r="P6600" s="33">
        <f t="shared" si="412"/>
        <v>0</v>
      </c>
      <c r="Q6600" s="31" t="str">
        <f t="shared" si="413"/>
        <v/>
      </c>
      <c r="R6600" s="32" t="str">
        <f>IFERROR(VLOOKUP($D6600,'Informations sur les produits'!$A$3:$B$15000,2,FALSE),"")</f>
        <v/>
      </c>
      <c r="V6600">
        <f t="shared" si="414"/>
        <v>0</v>
      </c>
      <c r="W6600">
        <f t="shared" si="415"/>
        <v>0</v>
      </c>
    </row>
    <row r="6601" spans="5:23" x14ac:dyDescent="0.25">
      <c r="E6601" s="4"/>
      <c r="F6601" s="4"/>
      <c r="G6601" s="33" t="str">
        <f>IFERROR(VLOOKUP($D6601,'Informations sur les produits'!$A$3:$H$10000,8,FALSE),"0")</f>
        <v>0</v>
      </c>
      <c r="K6601" s="4"/>
      <c r="L6601" s="33" t="str">
        <f>IFERROR(VLOOKUP($J6601,'Informations sur les produits'!$A$3:$H$10000,8,FALSE),"0")</f>
        <v>0</v>
      </c>
      <c r="N6601" s="8"/>
      <c r="O6601" s="33" t="str">
        <f>IFERROR(VLOOKUP($M6601,'Informations sur les produits'!$A$3:$H$10000,8,FALSE),"0")</f>
        <v>0</v>
      </c>
      <c r="P6601" s="33">
        <f t="shared" si="412"/>
        <v>0</v>
      </c>
      <c r="Q6601" s="31" t="str">
        <f t="shared" si="413"/>
        <v/>
      </c>
      <c r="R6601" s="32" t="str">
        <f>IFERROR(VLOOKUP($D6601,'Informations sur les produits'!$A$3:$B$15000,2,FALSE),"")</f>
        <v/>
      </c>
      <c r="V6601">
        <f t="shared" si="414"/>
        <v>0</v>
      </c>
      <c r="W6601">
        <f t="shared" si="415"/>
        <v>0</v>
      </c>
    </row>
    <row r="6602" spans="5:23" x14ac:dyDescent="0.25">
      <c r="E6602" s="4"/>
      <c r="F6602" s="4"/>
      <c r="G6602" s="33" t="str">
        <f>IFERROR(VLOOKUP($D6602,'Informations sur les produits'!$A$3:$H$10000,8,FALSE),"0")</f>
        <v>0</v>
      </c>
      <c r="K6602" s="4"/>
      <c r="L6602" s="33" t="str">
        <f>IFERROR(VLOOKUP($J6602,'Informations sur les produits'!$A$3:$H$10000,8,FALSE),"0")</f>
        <v>0</v>
      </c>
      <c r="N6602" s="8"/>
      <c r="O6602" s="33" t="str">
        <f>IFERROR(VLOOKUP($M6602,'Informations sur les produits'!$A$3:$H$10000,8,FALSE),"0")</f>
        <v>0</v>
      </c>
      <c r="P6602" s="33">
        <f t="shared" si="412"/>
        <v>0</v>
      </c>
      <c r="Q6602" s="31" t="str">
        <f t="shared" si="413"/>
        <v/>
      </c>
      <c r="R6602" s="32" t="str">
        <f>IFERROR(VLOOKUP($D6602,'Informations sur les produits'!$A$3:$B$15000,2,FALSE),"")</f>
        <v/>
      </c>
      <c r="V6602">
        <f t="shared" si="414"/>
        <v>0</v>
      </c>
      <c r="W6602">
        <f t="shared" si="415"/>
        <v>0</v>
      </c>
    </row>
    <row r="6603" spans="5:23" x14ac:dyDescent="0.25">
      <c r="E6603" s="4"/>
      <c r="F6603" s="4"/>
      <c r="G6603" s="33" t="str">
        <f>IFERROR(VLOOKUP($D6603,'Informations sur les produits'!$A$3:$H$10000,8,FALSE),"0")</f>
        <v>0</v>
      </c>
      <c r="K6603" s="4"/>
      <c r="L6603" s="33" t="str">
        <f>IFERROR(VLOOKUP($J6603,'Informations sur les produits'!$A$3:$H$10000,8,FALSE),"0")</f>
        <v>0</v>
      </c>
      <c r="N6603" s="8"/>
      <c r="O6603" s="33" t="str">
        <f>IFERROR(VLOOKUP($M6603,'Informations sur les produits'!$A$3:$H$10000,8,FALSE),"0")</f>
        <v>0</v>
      </c>
      <c r="P6603" s="33">
        <f t="shared" si="412"/>
        <v>0</v>
      </c>
      <c r="Q6603" s="31" t="str">
        <f t="shared" si="413"/>
        <v/>
      </c>
      <c r="R6603" s="32" t="str">
        <f>IFERROR(VLOOKUP($D6603,'Informations sur les produits'!$A$3:$B$15000,2,FALSE),"")</f>
        <v/>
      </c>
      <c r="V6603">
        <f t="shared" si="414"/>
        <v>0</v>
      </c>
      <c r="W6603">
        <f t="shared" si="415"/>
        <v>0</v>
      </c>
    </row>
    <row r="6604" spans="5:23" x14ac:dyDescent="0.25">
      <c r="E6604" s="4"/>
      <c r="F6604" s="4"/>
      <c r="G6604" s="33" t="str">
        <f>IFERROR(VLOOKUP($D6604,'Informations sur les produits'!$A$3:$H$10000,8,FALSE),"0")</f>
        <v>0</v>
      </c>
      <c r="K6604" s="4"/>
      <c r="L6604" s="33" t="str">
        <f>IFERROR(VLOOKUP($J6604,'Informations sur les produits'!$A$3:$H$10000,8,FALSE),"0")</f>
        <v>0</v>
      </c>
      <c r="N6604" s="8"/>
      <c r="O6604" s="33" t="str">
        <f>IFERROR(VLOOKUP($M6604,'Informations sur les produits'!$A$3:$H$10000,8,FALSE),"0")</f>
        <v>0</v>
      </c>
      <c r="P6604" s="33">
        <f t="shared" si="412"/>
        <v>0</v>
      </c>
      <c r="Q6604" s="31" t="str">
        <f t="shared" si="413"/>
        <v/>
      </c>
      <c r="R6604" s="32" t="str">
        <f>IFERROR(VLOOKUP($D6604,'Informations sur les produits'!$A$3:$B$15000,2,FALSE),"")</f>
        <v/>
      </c>
      <c r="V6604">
        <f t="shared" si="414"/>
        <v>0</v>
      </c>
      <c r="W6604">
        <f t="shared" si="415"/>
        <v>0</v>
      </c>
    </row>
    <row r="6605" spans="5:23" x14ac:dyDescent="0.25">
      <c r="E6605" s="4"/>
      <c r="F6605" s="4"/>
      <c r="G6605" s="33" t="str">
        <f>IFERROR(VLOOKUP($D6605,'Informations sur les produits'!$A$3:$H$10000,8,FALSE),"0")</f>
        <v>0</v>
      </c>
      <c r="K6605" s="4"/>
      <c r="L6605" s="33" t="str">
        <f>IFERROR(VLOOKUP($J6605,'Informations sur les produits'!$A$3:$H$10000,8,FALSE),"0")</f>
        <v>0</v>
      </c>
      <c r="N6605" s="8"/>
      <c r="O6605" s="33" t="str">
        <f>IFERROR(VLOOKUP($M6605,'Informations sur les produits'!$A$3:$H$10000,8,FALSE),"0")</f>
        <v>0</v>
      </c>
      <c r="P6605" s="33">
        <f t="shared" si="412"/>
        <v>0</v>
      </c>
      <c r="Q6605" s="31" t="str">
        <f t="shared" si="413"/>
        <v/>
      </c>
      <c r="R6605" s="32" t="str">
        <f>IFERROR(VLOOKUP($D6605,'Informations sur les produits'!$A$3:$B$15000,2,FALSE),"")</f>
        <v/>
      </c>
      <c r="V6605">
        <f t="shared" si="414"/>
        <v>0</v>
      </c>
      <c r="W6605">
        <f t="shared" si="415"/>
        <v>0</v>
      </c>
    </row>
    <row r="6606" spans="5:23" x14ac:dyDescent="0.25">
      <c r="E6606" s="4"/>
      <c r="F6606" s="4"/>
      <c r="G6606" s="33" t="str">
        <f>IFERROR(VLOOKUP($D6606,'Informations sur les produits'!$A$3:$H$10000,8,FALSE),"0")</f>
        <v>0</v>
      </c>
      <c r="K6606" s="4"/>
      <c r="L6606" s="33" t="str">
        <f>IFERROR(VLOOKUP($J6606,'Informations sur les produits'!$A$3:$H$10000,8,FALSE),"0")</f>
        <v>0</v>
      </c>
      <c r="N6606" s="8"/>
      <c r="O6606" s="33" t="str">
        <f>IFERROR(VLOOKUP($M6606,'Informations sur les produits'!$A$3:$H$10000,8,FALSE),"0")</f>
        <v>0</v>
      </c>
      <c r="P6606" s="33">
        <f t="shared" si="412"/>
        <v>0</v>
      </c>
      <c r="Q6606" s="31" t="str">
        <f t="shared" si="413"/>
        <v/>
      </c>
      <c r="R6606" s="32" t="str">
        <f>IFERROR(VLOOKUP($D6606,'Informations sur les produits'!$A$3:$B$15000,2,FALSE),"")</f>
        <v/>
      </c>
      <c r="V6606">
        <f t="shared" si="414"/>
        <v>0</v>
      </c>
      <c r="W6606">
        <f t="shared" si="415"/>
        <v>0</v>
      </c>
    </row>
    <row r="6607" spans="5:23" x14ac:dyDescent="0.25">
      <c r="E6607" s="4"/>
      <c r="F6607" s="4"/>
      <c r="G6607" s="33" t="str">
        <f>IFERROR(VLOOKUP($D6607,'Informations sur les produits'!$A$3:$H$10000,8,FALSE),"0")</f>
        <v>0</v>
      </c>
      <c r="K6607" s="4"/>
      <c r="L6607" s="33" t="str">
        <f>IFERROR(VLOOKUP($J6607,'Informations sur les produits'!$A$3:$H$10000,8,FALSE),"0")</f>
        <v>0</v>
      </c>
      <c r="N6607" s="8"/>
      <c r="O6607" s="33" t="str">
        <f>IFERROR(VLOOKUP($M6607,'Informations sur les produits'!$A$3:$H$10000,8,FALSE),"0")</f>
        <v>0</v>
      </c>
      <c r="P6607" s="33">
        <f t="shared" si="412"/>
        <v>0</v>
      </c>
      <c r="Q6607" s="31" t="str">
        <f t="shared" si="413"/>
        <v/>
      </c>
      <c r="R6607" s="32" t="str">
        <f>IFERROR(VLOOKUP($D6607,'Informations sur les produits'!$A$3:$B$15000,2,FALSE),"")</f>
        <v/>
      </c>
      <c r="V6607">
        <f t="shared" si="414"/>
        <v>0</v>
      </c>
      <c r="W6607">
        <f t="shared" si="415"/>
        <v>0</v>
      </c>
    </row>
    <row r="6608" spans="5:23" x14ac:dyDescent="0.25">
      <c r="E6608" s="4"/>
      <c r="F6608" s="4"/>
      <c r="G6608" s="33" t="str">
        <f>IFERROR(VLOOKUP($D6608,'Informations sur les produits'!$A$3:$H$10000,8,FALSE),"0")</f>
        <v>0</v>
      </c>
      <c r="K6608" s="4"/>
      <c r="L6608" s="33" t="str">
        <f>IFERROR(VLOOKUP($J6608,'Informations sur les produits'!$A$3:$H$10000,8,FALSE),"0")</f>
        <v>0</v>
      </c>
      <c r="N6608" s="8"/>
      <c r="O6608" s="33" t="str">
        <f>IFERROR(VLOOKUP($M6608,'Informations sur les produits'!$A$3:$H$10000,8,FALSE),"0")</f>
        <v>0</v>
      </c>
      <c r="P6608" s="33">
        <f t="shared" si="412"/>
        <v>0</v>
      </c>
      <c r="Q6608" s="31" t="str">
        <f t="shared" si="413"/>
        <v/>
      </c>
      <c r="R6608" s="32" t="str">
        <f>IFERROR(VLOOKUP($D6608,'Informations sur les produits'!$A$3:$B$15000,2,FALSE),"")</f>
        <v/>
      </c>
      <c r="V6608">
        <f t="shared" si="414"/>
        <v>0</v>
      </c>
      <c r="W6608">
        <f t="shared" si="415"/>
        <v>0</v>
      </c>
    </row>
    <row r="6609" spans="5:23" x14ac:dyDescent="0.25">
      <c r="E6609" s="4"/>
      <c r="F6609" s="4"/>
      <c r="G6609" s="33" t="str">
        <f>IFERROR(VLOOKUP($D6609,'Informations sur les produits'!$A$3:$H$10000,8,FALSE),"0")</f>
        <v>0</v>
      </c>
      <c r="K6609" s="4"/>
      <c r="L6609" s="33" t="str">
        <f>IFERROR(VLOOKUP($J6609,'Informations sur les produits'!$A$3:$H$10000,8,FALSE),"0")</f>
        <v>0</v>
      </c>
      <c r="N6609" s="8"/>
      <c r="O6609" s="33" t="str">
        <f>IFERROR(VLOOKUP($M6609,'Informations sur les produits'!$A$3:$H$10000,8,FALSE),"0")</f>
        <v>0</v>
      </c>
      <c r="P6609" s="33">
        <f t="shared" si="412"/>
        <v>0</v>
      </c>
      <c r="Q6609" s="31" t="str">
        <f t="shared" si="413"/>
        <v/>
      </c>
      <c r="R6609" s="32" t="str">
        <f>IFERROR(VLOOKUP($D6609,'Informations sur les produits'!$A$3:$B$15000,2,FALSE),"")</f>
        <v/>
      </c>
      <c r="V6609">
        <f t="shared" si="414"/>
        <v>0</v>
      </c>
      <c r="W6609">
        <f t="shared" si="415"/>
        <v>0</v>
      </c>
    </row>
    <row r="6610" spans="5:23" x14ac:dyDescent="0.25">
      <c r="E6610" s="4"/>
      <c r="F6610" s="4"/>
      <c r="G6610" s="33" t="str">
        <f>IFERROR(VLOOKUP($D6610,'Informations sur les produits'!$A$3:$H$10000,8,FALSE),"0")</f>
        <v>0</v>
      </c>
      <c r="K6610" s="4"/>
      <c r="L6610" s="33" t="str">
        <f>IFERROR(VLOOKUP($J6610,'Informations sur les produits'!$A$3:$H$10000,8,FALSE),"0")</f>
        <v>0</v>
      </c>
      <c r="N6610" s="8"/>
      <c r="O6610" s="33" t="str">
        <f>IFERROR(VLOOKUP($M6610,'Informations sur les produits'!$A$3:$H$10000,8,FALSE),"0")</f>
        <v>0</v>
      </c>
      <c r="P6610" s="33">
        <f t="shared" si="412"/>
        <v>0</v>
      </c>
      <c r="Q6610" s="31" t="str">
        <f t="shared" si="413"/>
        <v/>
      </c>
      <c r="R6610" s="32" t="str">
        <f>IFERROR(VLOOKUP($D6610,'Informations sur les produits'!$A$3:$B$15000,2,FALSE),"")</f>
        <v/>
      </c>
      <c r="V6610">
        <f t="shared" si="414"/>
        <v>0</v>
      </c>
      <c r="W6610">
        <f t="shared" si="415"/>
        <v>0</v>
      </c>
    </row>
    <row r="6611" spans="5:23" x14ac:dyDescent="0.25">
      <c r="E6611" s="4"/>
      <c r="F6611" s="4"/>
      <c r="G6611" s="33" t="str">
        <f>IFERROR(VLOOKUP($D6611,'Informations sur les produits'!$A$3:$H$10000,8,FALSE),"0")</f>
        <v>0</v>
      </c>
      <c r="K6611" s="4"/>
      <c r="L6611" s="33" t="str">
        <f>IFERROR(VLOOKUP($J6611,'Informations sur les produits'!$A$3:$H$10000,8,FALSE),"0")</f>
        <v>0</v>
      </c>
      <c r="N6611" s="8"/>
      <c r="O6611" s="33" t="str">
        <f>IFERROR(VLOOKUP($M6611,'Informations sur les produits'!$A$3:$H$10000,8,FALSE),"0")</f>
        <v>0</v>
      </c>
      <c r="P6611" s="33">
        <f t="shared" si="412"/>
        <v>0</v>
      </c>
      <c r="Q6611" s="31" t="str">
        <f t="shared" si="413"/>
        <v/>
      </c>
      <c r="R6611" s="32" t="str">
        <f>IFERROR(VLOOKUP($D6611,'Informations sur les produits'!$A$3:$B$15000,2,FALSE),"")</f>
        <v/>
      </c>
      <c r="V6611">
        <f t="shared" si="414"/>
        <v>0</v>
      </c>
      <c r="W6611">
        <f t="shared" si="415"/>
        <v>0</v>
      </c>
    </row>
    <row r="6612" spans="5:23" x14ac:dyDescent="0.25">
      <c r="E6612" s="4"/>
      <c r="F6612" s="4"/>
      <c r="G6612" s="33" t="str">
        <f>IFERROR(VLOOKUP($D6612,'Informations sur les produits'!$A$3:$H$10000,8,FALSE),"0")</f>
        <v>0</v>
      </c>
      <c r="K6612" s="4"/>
      <c r="L6612" s="33" t="str">
        <f>IFERROR(VLOOKUP($J6612,'Informations sur les produits'!$A$3:$H$10000,8,FALSE),"0")</f>
        <v>0</v>
      </c>
      <c r="N6612" s="8"/>
      <c r="O6612" s="33" t="str">
        <f>IFERROR(VLOOKUP($M6612,'Informations sur les produits'!$A$3:$H$10000,8,FALSE),"0")</f>
        <v>0</v>
      </c>
      <c r="P6612" s="33">
        <f t="shared" si="412"/>
        <v>0</v>
      </c>
      <c r="Q6612" s="31" t="str">
        <f t="shared" si="413"/>
        <v/>
      </c>
      <c r="R6612" s="32" t="str">
        <f>IFERROR(VLOOKUP($D6612,'Informations sur les produits'!$A$3:$B$15000,2,FALSE),"")</f>
        <v/>
      </c>
      <c r="V6612">
        <f t="shared" si="414"/>
        <v>0</v>
      </c>
      <c r="W6612">
        <f t="shared" si="415"/>
        <v>0</v>
      </c>
    </row>
    <row r="6613" spans="5:23" x14ac:dyDescent="0.25">
      <c r="E6613" s="4"/>
      <c r="F6613" s="4"/>
      <c r="G6613" s="33" t="str">
        <f>IFERROR(VLOOKUP($D6613,'Informations sur les produits'!$A$3:$H$10000,8,FALSE),"0")</f>
        <v>0</v>
      </c>
      <c r="K6613" s="4"/>
      <c r="L6613" s="33" t="str">
        <f>IFERROR(VLOOKUP($J6613,'Informations sur les produits'!$A$3:$H$10000,8,FALSE),"0")</f>
        <v>0</v>
      </c>
      <c r="N6613" s="8"/>
      <c r="O6613" s="33" t="str">
        <f>IFERROR(VLOOKUP($M6613,'Informations sur les produits'!$A$3:$H$10000,8,FALSE),"0")</f>
        <v>0</v>
      </c>
      <c r="P6613" s="33">
        <f t="shared" si="412"/>
        <v>0</v>
      </c>
      <c r="Q6613" s="31" t="str">
        <f t="shared" si="413"/>
        <v/>
      </c>
      <c r="R6613" s="32" t="str">
        <f>IFERROR(VLOOKUP($D6613,'Informations sur les produits'!$A$3:$B$15000,2,FALSE),"")</f>
        <v/>
      </c>
      <c r="V6613">
        <f t="shared" si="414"/>
        <v>0</v>
      </c>
      <c r="W6613">
        <f t="shared" si="415"/>
        <v>0</v>
      </c>
    </row>
    <row r="6614" spans="5:23" x14ac:dyDescent="0.25">
      <c r="E6614" s="4"/>
      <c r="F6614" s="4"/>
      <c r="G6614" s="33" t="str">
        <f>IFERROR(VLOOKUP($D6614,'Informations sur les produits'!$A$3:$H$10000,8,FALSE),"0")</f>
        <v>0</v>
      </c>
      <c r="K6614" s="4"/>
      <c r="L6614" s="33" t="str">
        <f>IFERROR(VLOOKUP($J6614,'Informations sur les produits'!$A$3:$H$10000,8,FALSE),"0")</f>
        <v>0</v>
      </c>
      <c r="N6614" s="8"/>
      <c r="O6614" s="33" t="str">
        <f>IFERROR(VLOOKUP($M6614,'Informations sur les produits'!$A$3:$H$10000,8,FALSE),"0")</f>
        <v>0</v>
      </c>
      <c r="P6614" s="33">
        <f t="shared" si="412"/>
        <v>0</v>
      </c>
      <c r="Q6614" s="31" t="str">
        <f t="shared" si="413"/>
        <v/>
      </c>
      <c r="R6614" s="32" t="str">
        <f>IFERROR(VLOOKUP($D6614,'Informations sur les produits'!$A$3:$B$15000,2,FALSE),"")</f>
        <v/>
      </c>
      <c r="V6614">
        <f t="shared" si="414"/>
        <v>0</v>
      </c>
      <c r="W6614">
        <f t="shared" si="415"/>
        <v>0</v>
      </c>
    </row>
    <row r="6615" spans="5:23" x14ac:dyDescent="0.25">
      <c r="E6615" s="4"/>
      <c r="F6615" s="4"/>
      <c r="G6615" s="33" t="str">
        <f>IFERROR(VLOOKUP($D6615,'Informations sur les produits'!$A$3:$H$10000,8,FALSE),"0")</f>
        <v>0</v>
      </c>
      <c r="K6615" s="4"/>
      <c r="L6615" s="33" t="str">
        <f>IFERROR(VLOOKUP($J6615,'Informations sur les produits'!$A$3:$H$10000,8,FALSE),"0")</f>
        <v>0</v>
      </c>
      <c r="N6615" s="8"/>
      <c r="O6615" s="33" t="str">
        <f>IFERROR(VLOOKUP($M6615,'Informations sur les produits'!$A$3:$H$10000,8,FALSE),"0")</f>
        <v>0</v>
      </c>
      <c r="P6615" s="33">
        <f t="shared" si="412"/>
        <v>0</v>
      </c>
      <c r="Q6615" s="31" t="str">
        <f t="shared" si="413"/>
        <v/>
      </c>
      <c r="R6615" s="32" t="str">
        <f>IFERROR(VLOOKUP($D6615,'Informations sur les produits'!$A$3:$B$15000,2,FALSE),"")</f>
        <v/>
      </c>
      <c r="V6615">
        <f t="shared" si="414"/>
        <v>0</v>
      </c>
      <c r="W6615">
        <f t="shared" si="415"/>
        <v>0</v>
      </c>
    </row>
    <row r="6616" spans="5:23" x14ac:dyDescent="0.25">
      <c r="E6616" s="4"/>
      <c r="F6616" s="4"/>
      <c r="G6616" s="33" t="str">
        <f>IFERROR(VLOOKUP($D6616,'Informations sur les produits'!$A$3:$H$10000,8,FALSE),"0")</f>
        <v>0</v>
      </c>
      <c r="K6616" s="4"/>
      <c r="L6616" s="33" t="str">
        <f>IFERROR(VLOOKUP($J6616,'Informations sur les produits'!$A$3:$H$10000,8,FALSE),"0")</f>
        <v>0</v>
      </c>
      <c r="N6616" s="8"/>
      <c r="O6616" s="33" t="str">
        <f>IFERROR(VLOOKUP($M6616,'Informations sur les produits'!$A$3:$H$10000,8,FALSE),"0")</f>
        <v>0</v>
      </c>
      <c r="P6616" s="33">
        <f t="shared" si="412"/>
        <v>0</v>
      </c>
      <c r="Q6616" s="31" t="str">
        <f t="shared" si="413"/>
        <v/>
      </c>
      <c r="R6616" s="32" t="str">
        <f>IFERROR(VLOOKUP($D6616,'Informations sur les produits'!$A$3:$B$15000,2,FALSE),"")</f>
        <v/>
      </c>
      <c r="V6616">
        <f t="shared" si="414"/>
        <v>0</v>
      </c>
      <c r="W6616">
        <f t="shared" si="415"/>
        <v>0</v>
      </c>
    </row>
    <row r="6617" spans="5:23" x14ac:dyDescent="0.25">
      <c r="E6617" s="4"/>
      <c r="F6617" s="4"/>
      <c r="G6617" s="33" t="str">
        <f>IFERROR(VLOOKUP($D6617,'Informations sur les produits'!$A$3:$H$10000,8,FALSE),"0")</f>
        <v>0</v>
      </c>
      <c r="K6617" s="4"/>
      <c r="L6617" s="33" t="str">
        <f>IFERROR(VLOOKUP($J6617,'Informations sur les produits'!$A$3:$H$10000,8,FALSE),"0")</f>
        <v>0</v>
      </c>
      <c r="N6617" s="8"/>
      <c r="O6617" s="33" t="str">
        <f>IFERROR(VLOOKUP($M6617,'Informations sur les produits'!$A$3:$H$10000,8,FALSE),"0")</f>
        <v>0</v>
      </c>
      <c r="P6617" s="33">
        <f t="shared" si="412"/>
        <v>0</v>
      </c>
      <c r="Q6617" s="31" t="str">
        <f t="shared" si="413"/>
        <v/>
      </c>
      <c r="R6617" s="32" t="str">
        <f>IFERROR(VLOOKUP($D6617,'Informations sur les produits'!$A$3:$B$15000,2,FALSE),"")</f>
        <v/>
      </c>
      <c r="V6617">
        <f t="shared" si="414"/>
        <v>0</v>
      </c>
      <c r="W6617">
        <f t="shared" si="415"/>
        <v>0</v>
      </c>
    </row>
    <row r="6618" spans="5:23" x14ac:dyDescent="0.25">
      <c r="E6618" s="4"/>
      <c r="F6618" s="4"/>
      <c r="G6618" s="33" t="str">
        <f>IFERROR(VLOOKUP($D6618,'Informations sur les produits'!$A$3:$H$10000,8,FALSE),"0")</f>
        <v>0</v>
      </c>
      <c r="K6618" s="4"/>
      <c r="L6618" s="33" t="str">
        <f>IFERROR(VLOOKUP($J6618,'Informations sur les produits'!$A$3:$H$10000,8,FALSE),"0")</f>
        <v>0</v>
      </c>
      <c r="N6618" s="8"/>
      <c r="O6618" s="33" t="str">
        <f>IFERROR(VLOOKUP($M6618,'Informations sur les produits'!$A$3:$H$10000,8,FALSE),"0")</f>
        <v>0</v>
      </c>
      <c r="P6618" s="33">
        <f t="shared" si="412"/>
        <v>0</v>
      </c>
      <c r="Q6618" s="31" t="str">
        <f t="shared" si="413"/>
        <v/>
      </c>
      <c r="R6618" s="32" t="str">
        <f>IFERROR(VLOOKUP($D6618,'Informations sur les produits'!$A$3:$B$15000,2,FALSE),"")</f>
        <v/>
      </c>
      <c r="V6618">
        <f t="shared" si="414"/>
        <v>0</v>
      </c>
      <c r="W6618">
        <f t="shared" si="415"/>
        <v>0</v>
      </c>
    </row>
    <row r="6619" spans="5:23" x14ac:dyDescent="0.25">
      <c r="E6619" s="4"/>
      <c r="F6619" s="4"/>
      <c r="G6619" s="33" t="str">
        <f>IFERROR(VLOOKUP($D6619,'Informations sur les produits'!$A$3:$H$10000,8,FALSE),"0")</f>
        <v>0</v>
      </c>
      <c r="K6619" s="4"/>
      <c r="L6619" s="33" t="str">
        <f>IFERROR(VLOOKUP($J6619,'Informations sur les produits'!$A$3:$H$10000,8,FALSE),"0")</f>
        <v>0</v>
      </c>
      <c r="N6619" s="8"/>
      <c r="O6619" s="33" t="str">
        <f>IFERROR(VLOOKUP($M6619,'Informations sur les produits'!$A$3:$H$10000,8,FALSE),"0")</f>
        <v>0</v>
      </c>
      <c r="P6619" s="33">
        <f t="shared" si="412"/>
        <v>0</v>
      </c>
      <c r="Q6619" s="31" t="str">
        <f t="shared" si="413"/>
        <v/>
      </c>
      <c r="R6619" s="32" t="str">
        <f>IFERROR(VLOOKUP($D6619,'Informations sur les produits'!$A$3:$B$15000,2,FALSE),"")</f>
        <v/>
      </c>
      <c r="V6619">
        <f t="shared" si="414"/>
        <v>0</v>
      </c>
      <c r="W6619">
        <f t="shared" si="415"/>
        <v>0</v>
      </c>
    </row>
    <row r="6620" spans="5:23" x14ac:dyDescent="0.25">
      <c r="E6620" s="4"/>
      <c r="F6620" s="4"/>
      <c r="G6620" s="33" t="str">
        <f>IFERROR(VLOOKUP($D6620,'Informations sur les produits'!$A$3:$H$10000,8,FALSE),"0")</f>
        <v>0</v>
      </c>
      <c r="K6620" s="4"/>
      <c r="L6620" s="33" t="str">
        <f>IFERROR(VLOOKUP($J6620,'Informations sur les produits'!$A$3:$H$10000,8,FALSE),"0")</f>
        <v>0</v>
      </c>
      <c r="N6620" s="8"/>
      <c r="O6620" s="33" t="str">
        <f>IFERROR(VLOOKUP($M6620,'Informations sur les produits'!$A$3:$H$10000,8,FALSE),"0")</f>
        <v>0</v>
      </c>
      <c r="P6620" s="33">
        <f t="shared" si="412"/>
        <v>0</v>
      </c>
      <c r="Q6620" s="31" t="str">
        <f t="shared" si="413"/>
        <v/>
      </c>
      <c r="R6620" s="32" t="str">
        <f>IFERROR(VLOOKUP($D6620,'Informations sur les produits'!$A$3:$B$15000,2,FALSE),"")</f>
        <v/>
      </c>
      <c r="V6620">
        <f t="shared" si="414"/>
        <v>0</v>
      </c>
      <c r="W6620">
        <f t="shared" si="415"/>
        <v>0</v>
      </c>
    </row>
    <row r="6621" spans="5:23" x14ac:dyDescent="0.25">
      <c r="E6621" s="4"/>
      <c r="F6621" s="4"/>
      <c r="G6621" s="33" t="str">
        <f>IFERROR(VLOOKUP($D6621,'Informations sur les produits'!$A$3:$H$10000,8,FALSE),"0")</f>
        <v>0</v>
      </c>
      <c r="K6621" s="4"/>
      <c r="L6621" s="33" t="str">
        <f>IFERROR(VLOOKUP($J6621,'Informations sur les produits'!$A$3:$H$10000,8,FALSE),"0")</f>
        <v>0</v>
      </c>
      <c r="N6621" s="8"/>
      <c r="O6621" s="33" t="str">
        <f>IFERROR(VLOOKUP($M6621,'Informations sur les produits'!$A$3:$H$10000,8,FALSE),"0")</f>
        <v>0</v>
      </c>
      <c r="P6621" s="33">
        <f t="shared" si="412"/>
        <v>0</v>
      </c>
      <c r="Q6621" s="31" t="str">
        <f t="shared" si="413"/>
        <v/>
      </c>
      <c r="R6621" s="32" t="str">
        <f>IFERROR(VLOOKUP($D6621,'Informations sur les produits'!$A$3:$B$15000,2,FALSE),"")</f>
        <v/>
      </c>
      <c r="V6621">
        <f t="shared" si="414"/>
        <v>0</v>
      </c>
      <c r="W6621">
        <f t="shared" si="415"/>
        <v>0</v>
      </c>
    </row>
    <row r="6622" spans="5:23" x14ac:dyDescent="0.25">
      <c r="E6622" s="4"/>
      <c r="F6622" s="4"/>
      <c r="G6622" s="33" t="str">
        <f>IFERROR(VLOOKUP($D6622,'Informations sur les produits'!$A$3:$H$10000,8,FALSE),"0")</f>
        <v>0</v>
      </c>
      <c r="K6622" s="4"/>
      <c r="L6622" s="33" t="str">
        <f>IFERROR(VLOOKUP($J6622,'Informations sur les produits'!$A$3:$H$10000,8,FALSE),"0")</f>
        <v>0</v>
      </c>
      <c r="N6622" s="8"/>
      <c r="O6622" s="33" t="str">
        <f>IFERROR(VLOOKUP($M6622,'Informations sur les produits'!$A$3:$H$10000,8,FALSE),"0")</f>
        <v>0</v>
      </c>
      <c r="P6622" s="33">
        <f t="shared" si="412"/>
        <v>0</v>
      </c>
      <c r="Q6622" s="31" t="str">
        <f t="shared" si="413"/>
        <v/>
      </c>
      <c r="R6622" s="32" t="str">
        <f>IFERROR(VLOOKUP($D6622,'Informations sur les produits'!$A$3:$B$15000,2,FALSE),"")</f>
        <v/>
      </c>
      <c r="V6622">
        <f t="shared" si="414"/>
        <v>0</v>
      </c>
      <c r="W6622">
        <f t="shared" si="415"/>
        <v>0</v>
      </c>
    </row>
    <row r="6623" spans="5:23" x14ac:dyDescent="0.25">
      <c r="E6623" s="4"/>
      <c r="F6623" s="4"/>
      <c r="G6623" s="33" t="str">
        <f>IFERROR(VLOOKUP($D6623,'Informations sur les produits'!$A$3:$H$10000,8,FALSE),"0")</f>
        <v>0</v>
      </c>
      <c r="K6623" s="4"/>
      <c r="L6623" s="33" t="str">
        <f>IFERROR(VLOOKUP($J6623,'Informations sur les produits'!$A$3:$H$10000,8,FALSE),"0")</f>
        <v>0</v>
      </c>
      <c r="N6623" s="8"/>
      <c r="O6623" s="33" t="str">
        <f>IFERROR(VLOOKUP($M6623,'Informations sur les produits'!$A$3:$H$10000,8,FALSE),"0")</f>
        <v>0</v>
      </c>
      <c r="P6623" s="33">
        <f t="shared" si="412"/>
        <v>0</v>
      </c>
      <c r="Q6623" s="31" t="str">
        <f t="shared" si="413"/>
        <v/>
      </c>
      <c r="R6623" s="32" t="str">
        <f>IFERROR(VLOOKUP($D6623,'Informations sur les produits'!$A$3:$B$15000,2,FALSE),"")</f>
        <v/>
      </c>
      <c r="V6623">
        <f t="shared" si="414"/>
        <v>0</v>
      </c>
      <c r="W6623">
        <f t="shared" si="415"/>
        <v>0</v>
      </c>
    </row>
    <row r="6624" spans="5:23" x14ac:dyDescent="0.25">
      <c r="E6624" s="4"/>
      <c r="F6624" s="4"/>
      <c r="G6624" s="33" t="str">
        <f>IFERROR(VLOOKUP($D6624,'Informations sur les produits'!$A$3:$H$10000,8,FALSE),"0")</f>
        <v>0</v>
      </c>
      <c r="K6624" s="4"/>
      <c r="L6624" s="33" t="str">
        <f>IFERROR(VLOOKUP($J6624,'Informations sur les produits'!$A$3:$H$10000,8,FALSE),"0")</f>
        <v>0</v>
      </c>
      <c r="N6624" s="8"/>
      <c r="O6624" s="33" t="str">
        <f>IFERROR(VLOOKUP($M6624,'Informations sur les produits'!$A$3:$H$10000,8,FALSE),"0")</f>
        <v>0</v>
      </c>
      <c r="P6624" s="33">
        <f t="shared" si="412"/>
        <v>0</v>
      </c>
      <c r="Q6624" s="31" t="str">
        <f t="shared" si="413"/>
        <v/>
      </c>
      <c r="R6624" s="32" t="str">
        <f>IFERROR(VLOOKUP($D6624,'Informations sur les produits'!$A$3:$B$15000,2,FALSE),"")</f>
        <v/>
      </c>
      <c r="V6624">
        <f t="shared" si="414"/>
        <v>0</v>
      </c>
      <c r="W6624">
        <f t="shared" si="415"/>
        <v>0</v>
      </c>
    </row>
    <row r="6625" spans="5:23" x14ac:dyDescent="0.25">
      <c r="E6625" s="4"/>
      <c r="F6625" s="4"/>
      <c r="G6625" s="33" t="str">
        <f>IFERROR(VLOOKUP($D6625,'Informations sur les produits'!$A$3:$H$10000,8,FALSE),"0")</f>
        <v>0</v>
      </c>
      <c r="K6625" s="4"/>
      <c r="L6625" s="33" t="str">
        <f>IFERROR(VLOOKUP($J6625,'Informations sur les produits'!$A$3:$H$10000,8,FALSE),"0")</f>
        <v>0</v>
      </c>
      <c r="N6625" s="8"/>
      <c r="O6625" s="33" t="str">
        <f>IFERROR(VLOOKUP($M6625,'Informations sur les produits'!$A$3:$H$10000,8,FALSE),"0")</f>
        <v>0</v>
      </c>
      <c r="P6625" s="33">
        <f t="shared" si="412"/>
        <v>0</v>
      </c>
      <c r="Q6625" s="31" t="str">
        <f t="shared" si="413"/>
        <v/>
      </c>
      <c r="R6625" s="32" t="str">
        <f>IFERROR(VLOOKUP($D6625,'Informations sur les produits'!$A$3:$B$15000,2,FALSE),"")</f>
        <v/>
      </c>
      <c r="V6625">
        <f t="shared" si="414"/>
        <v>0</v>
      </c>
      <c r="W6625">
        <f t="shared" si="415"/>
        <v>0</v>
      </c>
    </row>
    <row r="6626" spans="5:23" x14ac:dyDescent="0.25">
      <c r="E6626" s="4"/>
      <c r="F6626" s="4"/>
      <c r="G6626" s="33" t="str">
        <f>IFERROR(VLOOKUP($D6626,'Informations sur les produits'!$A$3:$H$10000,8,FALSE),"0")</f>
        <v>0</v>
      </c>
      <c r="K6626" s="4"/>
      <c r="L6626" s="33" t="str">
        <f>IFERROR(VLOOKUP($J6626,'Informations sur les produits'!$A$3:$H$10000,8,FALSE),"0")</f>
        <v>0</v>
      </c>
      <c r="N6626" s="8"/>
      <c r="O6626" s="33" t="str">
        <f>IFERROR(VLOOKUP($M6626,'Informations sur les produits'!$A$3:$H$10000,8,FALSE),"0")</f>
        <v>0</v>
      </c>
      <c r="P6626" s="33">
        <f t="shared" si="412"/>
        <v>0</v>
      </c>
      <c r="Q6626" s="31" t="str">
        <f t="shared" si="413"/>
        <v/>
      </c>
      <c r="R6626" s="32" t="str">
        <f>IFERROR(VLOOKUP($D6626,'Informations sur les produits'!$A$3:$B$15000,2,FALSE),"")</f>
        <v/>
      </c>
      <c r="V6626">
        <f t="shared" si="414"/>
        <v>0</v>
      </c>
      <c r="W6626">
        <f t="shared" si="415"/>
        <v>0</v>
      </c>
    </row>
    <row r="6627" spans="5:23" x14ac:dyDescent="0.25">
      <c r="E6627" s="4"/>
      <c r="F6627" s="4"/>
      <c r="G6627" s="33" t="str">
        <f>IFERROR(VLOOKUP($D6627,'Informations sur les produits'!$A$3:$H$10000,8,FALSE),"0")</f>
        <v>0</v>
      </c>
      <c r="K6627" s="4"/>
      <c r="L6627" s="33" t="str">
        <f>IFERROR(VLOOKUP($J6627,'Informations sur les produits'!$A$3:$H$10000,8,FALSE),"0")</f>
        <v>0</v>
      </c>
      <c r="N6627" s="8"/>
      <c r="O6627" s="33" t="str">
        <f>IFERROR(VLOOKUP($M6627,'Informations sur les produits'!$A$3:$H$10000,8,FALSE),"0")</f>
        <v>0</v>
      </c>
      <c r="P6627" s="33">
        <f t="shared" si="412"/>
        <v>0</v>
      </c>
      <c r="Q6627" s="31" t="str">
        <f t="shared" si="413"/>
        <v/>
      </c>
      <c r="R6627" s="32" t="str">
        <f>IFERROR(VLOOKUP($D6627,'Informations sur les produits'!$A$3:$B$15000,2,FALSE),"")</f>
        <v/>
      </c>
      <c r="V6627">
        <f t="shared" si="414"/>
        <v>0</v>
      </c>
      <c r="W6627">
        <f t="shared" si="415"/>
        <v>0</v>
      </c>
    </row>
    <row r="6628" spans="5:23" x14ac:dyDescent="0.25">
      <c r="E6628" s="4"/>
      <c r="F6628" s="4"/>
      <c r="G6628" s="33" t="str">
        <f>IFERROR(VLOOKUP($D6628,'Informations sur les produits'!$A$3:$H$10000,8,FALSE),"0")</f>
        <v>0</v>
      </c>
      <c r="K6628" s="4"/>
      <c r="L6628" s="33" t="str">
        <f>IFERROR(VLOOKUP($J6628,'Informations sur les produits'!$A$3:$H$10000,8,FALSE),"0")</f>
        <v>0</v>
      </c>
      <c r="N6628" s="8"/>
      <c r="O6628" s="33" t="str">
        <f>IFERROR(VLOOKUP($M6628,'Informations sur les produits'!$A$3:$H$10000,8,FALSE),"0")</f>
        <v>0</v>
      </c>
      <c r="P6628" s="33">
        <f t="shared" si="412"/>
        <v>0</v>
      </c>
      <c r="Q6628" s="31" t="str">
        <f t="shared" si="413"/>
        <v/>
      </c>
      <c r="R6628" s="32" t="str">
        <f>IFERROR(VLOOKUP($D6628,'Informations sur les produits'!$A$3:$B$15000,2,FALSE),"")</f>
        <v/>
      </c>
      <c r="V6628">
        <f t="shared" si="414"/>
        <v>0</v>
      </c>
      <c r="W6628">
        <f t="shared" si="415"/>
        <v>0</v>
      </c>
    </row>
    <row r="6629" spans="5:23" x14ac:dyDescent="0.25">
      <c r="E6629" s="4"/>
      <c r="F6629" s="4"/>
      <c r="G6629" s="33" t="str">
        <f>IFERROR(VLOOKUP($D6629,'Informations sur les produits'!$A$3:$H$10000,8,FALSE),"0")</f>
        <v>0</v>
      </c>
      <c r="K6629" s="4"/>
      <c r="L6629" s="33" t="str">
        <f>IFERROR(VLOOKUP($J6629,'Informations sur les produits'!$A$3:$H$10000,8,FALSE),"0")</f>
        <v>0</v>
      </c>
      <c r="N6629" s="8"/>
      <c r="O6629" s="33" t="str">
        <f>IFERROR(VLOOKUP($M6629,'Informations sur les produits'!$A$3:$H$10000,8,FALSE),"0")</f>
        <v>0</v>
      </c>
      <c r="P6629" s="33">
        <f t="shared" si="412"/>
        <v>0</v>
      </c>
      <c r="Q6629" s="31" t="str">
        <f t="shared" si="413"/>
        <v/>
      </c>
      <c r="R6629" s="32" t="str">
        <f>IFERROR(VLOOKUP($D6629,'Informations sur les produits'!$A$3:$B$15000,2,FALSE),"")</f>
        <v/>
      </c>
      <c r="V6629">
        <f t="shared" si="414"/>
        <v>0</v>
      </c>
      <c r="W6629">
        <f t="shared" si="415"/>
        <v>0</v>
      </c>
    </row>
    <row r="6630" spans="5:23" x14ac:dyDescent="0.25">
      <c r="E6630" s="4"/>
      <c r="F6630" s="4"/>
      <c r="G6630" s="33" t="str">
        <f>IFERROR(VLOOKUP($D6630,'Informations sur les produits'!$A$3:$H$10000,8,FALSE),"0")</f>
        <v>0</v>
      </c>
      <c r="K6630" s="4"/>
      <c r="L6630" s="33" t="str">
        <f>IFERROR(VLOOKUP($J6630,'Informations sur les produits'!$A$3:$H$10000,8,FALSE),"0")</f>
        <v>0</v>
      </c>
      <c r="N6630" s="8"/>
      <c r="O6630" s="33" t="str">
        <f>IFERROR(VLOOKUP($M6630,'Informations sur les produits'!$A$3:$H$10000,8,FALSE),"0")</f>
        <v>0</v>
      </c>
      <c r="P6630" s="33">
        <f t="shared" si="412"/>
        <v>0</v>
      </c>
      <c r="Q6630" s="31" t="str">
        <f t="shared" si="413"/>
        <v/>
      </c>
      <c r="R6630" s="32" t="str">
        <f>IFERROR(VLOOKUP($D6630,'Informations sur les produits'!$A$3:$B$15000,2,FALSE),"")</f>
        <v/>
      </c>
      <c r="V6630">
        <f t="shared" si="414"/>
        <v>0</v>
      </c>
      <c r="W6630">
        <f t="shared" si="415"/>
        <v>0</v>
      </c>
    </row>
    <row r="6631" spans="5:23" x14ac:dyDescent="0.25">
      <c r="E6631" s="4"/>
      <c r="F6631" s="4"/>
      <c r="G6631" s="33" t="str">
        <f>IFERROR(VLOOKUP($D6631,'Informations sur les produits'!$A$3:$H$10000,8,FALSE),"0")</f>
        <v>0</v>
      </c>
      <c r="K6631" s="4"/>
      <c r="L6631" s="33" t="str">
        <f>IFERROR(VLOOKUP($J6631,'Informations sur les produits'!$A$3:$H$10000,8,FALSE),"0")</f>
        <v>0</v>
      </c>
      <c r="N6631" s="8"/>
      <c r="O6631" s="33" t="str">
        <f>IFERROR(VLOOKUP($M6631,'Informations sur les produits'!$A$3:$H$10000,8,FALSE),"0")</f>
        <v>0</v>
      </c>
      <c r="P6631" s="33">
        <f t="shared" si="412"/>
        <v>0</v>
      </c>
      <c r="Q6631" s="31" t="str">
        <f t="shared" si="413"/>
        <v/>
      </c>
      <c r="R6631" s="32" t="str">
        <f>IFERROR(VLOOKUP($D6631,'Informations sur les produits'!$A$3:$B$15000,2,FALSE),"")</f>
        <v/>
      </c>
      <c r="V6631">
        <f t="shared" si="414"/>
        <v>0</v>
      </c>
      <c r="W6631">
        <f t="shared" si="415"/>
        <v>0</v>
      </c>
    </row>
    <row r="6632" spans="5:23" x14ac:dyDescent="0.25">
      <c r="E6632" s="4"/>
      <c r="F6632" s="4"/>
      <c r="G6632" s="33" t="str">
        <f>IFERROR(VLOOKUP($D6632,'Informations sur les produits'!$A$3:$H$10000,8,FALSE),"0")</f>
        <v>0</v>
      </c>
      <c r="K6632" s="4"/>
      <c r="L6632" s="33" t="str">
        <f>IFERROR(VLOOKUP($J6632,'Informations sur les produits'!$A$3:$H$10000,8,FALSE),"0")</f>
        <v>0</v>
      </c>
      <c r="N6632" s="8"/>
      <c r="O6632" s="33" t="str">
        <f>IFERROR(VLOOKUP($M6632,'Informations sur les produits'!$A$3:$H$10000,8,FALSE),"0")</f>
        <v>0</v>
      </c>
      <c r="P6632" s="33">
        <f t="shared" si="412"/>
        <v>0</v>
      </c>
      <c r="Q6632" s="31" t="str">
        <f t="shared" si="413"/>
        <v/>
      </c>
      <c r="R6632" s="32" t="str">
        <f>IFERROR(VLOOKUP($D6632,'Informations sur les produits'!$A$3:$B$15000,2,FALSE),"")</f>
        <v/>
      </c>
      <c r="V6632">
        <f t="shared" si="414"/>
        <v>0</v>
      </c>
      <c r="W6632">
        <f t="shared" si="415"/>
        <v>0</v>
      </c>
    </row>
    <row r="6633" spans="5:23" x14ac:dyDescent="0.25">
      <c r="E6633" s="4"/>
      <c r="F6633" s="4"/>
      <c r="G6633" s="33" t="str">
        <f>IFERROR(VLOOKUP($D6633,'Informations sur les produits'!$A$3:$H$10000,8,FALSE),"0")</f>
        <v>0</v>
      </c>
      <c r="K6633" s="4"/>
      <c r="L6633" s="33" t="str">
        <f>IFERROR(VLOOKUP($J6633,'Informations sur les produits'!$A$3:$H$10000,8,FALSE),"0")</f>
        <v>0</v>
      </c>
      <c r="N6633" s="8"/>
      <c r="O6633" s="33" t="str">
        <f>IFERROR(VLOOKUP($M6633,'Informations sur les produits'!$A$3:$H$10000,8,FALSE),"0")</f>
        <v>0</v>
      </c>
      <c r="P6633" s="33">
        <f t="shared" si="412"/>
        <v>0</v>
      </c>
      <c r="Q6633" s="31" t="str">
        <f t="shared" si="413"/>
        <v/>
      </c>
      <c r="R6633" s="32" t="str">
        <f>IFERROR(VLOOKUP($D6633,'Informations sur les produits'!$A$3:$B$15000,2,FALSE),"")</f>
        <v/>
      </c>
      <c r="V6633">
        <f t="shared" si="414"/>
        <v>0</v>
      </c>
      <c r="W6633">
        <f t="shared" si="415"/>
        <v>0</v>
      </c>
    </row>
    <row r="6634" spans="5:23" x14ac:dyDescent="0.25">
      <c r="E6634" s="4"/>
      <c r="F6634" s="4"/>
      <c r="G6634" s="33" t="str">
        <f>IFERROR(VLOOKUP($D6634,'Informations sur les produits'!$A$3:$H$10000,8,FALSE),"0")</f>
        <v>0</v>
      </c>
      <c r="K6634" s="4"/>
      <c r="L6634" s="33" t="str">
        <f>IFERROR(VLOOKUP($J6634,'Informations sur les produits'!$A$3:$H$10000,8,FALSE),"0")</f>
        <v>0</v>
      </c>
      <c r="N6634" s="8"/>
      <c r="O6634" s="33" t="str">
        <f>IFERROR(VLOOKUP($M6634,'Informations sur les produits'!$A$3:$H$10000,8,FALSE),"0")</f>
        <v>0</v>
      </c>
      <c r="P6634" s="33">
        <f t="shared" si="412"/>
        <v>0</v>
      </c>
      <c r="Q6634" s="31" t="str">
        <f t="shared" si="413"/>
        <v/>
      </c>
      <c r="R6634" s="32" t="str">
        <f>IFERROR(VLOOKUP($D6634,'Informations sur les produits'!$A$3:$B$15000,2,FALSE),"")</f>
        <v/>
      </c>
      <c r="V6634">
        <f t="shared" si="414"/>
        <v>0</v>
      </c>
      <c r="W6634">
        <f t="shared" si="415"/>
        <v>0</v>
      </c>
    </row>
    <row r="6635" spans="5:23" x14ac:dyDescent="0.25">
      <c r="E6635" s="4"/>
      <c r="F6635" s="4"/>
      <c r="G6635" s="33" t="str">
        <f>IFERROR(VLOOKUP($D6635,'Informations sur les produits'!$A$3:$H$10000,8,FALSE),"0")</f>
        <v>0</v>
      </c>
      <c r="K6635" s="4"/>
      <c r="L6635" s="33" t="str">
        <f>IFERROR(VLOOKUP($J6635,'Informations sur les produits'!$A$3:$H$10000,8,FALSE),"0")</f>
        <v>0</v>
      </c>
      <c r="N6635" s="8"/>
      <c r="O6635" s="33" t="str">
        <f>IFERROR(VLOOKUP($M6635,'Informations sur les produits'!$A$3:$H$10000,8,FALSE),"0")</f>
        <v>0</v>
      </c>
      <c r="P6635" s="33">
        <f t="shared" si="412"/>
        <v>0</v>
      </c>
      <c r="Q6635" s="31" t="str">
        <f t="shared" si="413"/>
        <v/>
      </c>
      <c r="R6635" s="32" t="str">
        <f>IFERROR(VLOOKUP($D6635,'Informations sur les produits'!$A$3:$B$15000,2,FALSE),"")</f>
        <v/>
      </c>
      <c r="V6635">
        <f t="shared" si="414"/>
        <v>0</v>
      </c>
      <c r="W6635">
        <f t="shared" si="415"/>
        <v>0</v>
      </c>
    </row>
    <row r="6636" spans="5:23" x14ac:dyDescent="0.25">
      <c r="E6636" s="4"/>
      <c r="F6636" s="4"/>
      <c r="G6636" s="33" t="str">
        <f>IFERROR(VLOOKUP($D6636,'Informations sur les produits'!$A$3:$H$10000,8,FALSE),"0")</f>
        <v>0</v>
      </c>
      <c r="K6636" s="4"/>
      <c r="L6636" s="33" t="str">
        <f>IFERROR(VLOOKUP($J6636,'Informations sur les produits'!$A$3:$H$10000,8,FALSE),"0")</f>
        <v>0</v>
      </c>
      <c r="N6636" s="8"/>
      <c r="O6636" s="33" t="str">
        <f>IFERROR(VLOOKUP($M6636,'Informations sur les produits'!$A$3:$H$10000,8,FALSE),"0")</f>
        <v>0</v>
      </c>
      <c r="P6636" s="33">
        <f t="shared" si="412"/>
        <v>0</v>
      </c>
      <c r="Q6636" s="31" t="str">
        <f t="shared" si="413"/>
        <v/>
      </c>
      <c r="R6636" s="32" t="str">
        <f>IFERROR(VLOOKUP($D6636,'Informations sur les produits'!$A$3:$B$15000,2,FALSE),"")</f>
        <v/>
      </c>
      <c r="V6636">
        <f t="shared" si="414"/>
        <v>0</v>
      </c>
      <c r="W6636">
        <f t="shared" si="415"/>
        <v>0</v>
      </c>
    </row>
    <row r="6637" spans="5:23" x14ac:dyDescent="0.25">
      <c r="E6637" s="4"/>
      <c r="F6637" s="4"/>
      <c r="G6637" s="33" t="str">
        <f>IFERROR(VLOOKUP($D6637,'Informations sur les produits'!$A$3:$H$10000,8,FALSE),"0")</f>
        <v>0</v>
      </c>
      <c r="K6637" s="4"/>
      <c r="L6637" s="33" t="str">
        <f>IFERROR(VLOOKUP($J6637,'Informations sur les produits'!$A$3:$H$10000,8,FALSE),"0")</f>
        <v>0</v>
      </c>
      <c r="N6637" s="8"/>
      <c r="O6637" s="33" t="str">
        <f>IFERROR(VLOOKUP($M6637,'Informations sur les produits'!$A$3:$H$10000,8,FALSE),"0")</f>
        <v>0</v>
      </c>
      <c r="P6637" s="33">
        <f t="shared" si="412"/>
        <v>0</v>
      </c>
      <c r="Q6637" s="31" t="str">
        <f t="shared" si="413"/>
        <v/>
      </c>
      <c r="R6637" s="32" t="str">
        <f>IFERROR(VLOOKUP($D6637,'Informations sur les produits'!$A$3:$B$15000,2,FALSE),"")</f>
        <v/>
      </c>
      <c r="V6637">
        <f t="shared" si="414"/>
        <v>0</v>
      </c>
      <c r="W6637">
        <f t="shared" si="415"/>
        <v>0</v>
      </c>
    </row>
    <row r="6638" spans="5:23" x14ac:dyDescent="0.25">
      <c r="E6638" s="4"/>
      <c r="F6638" s="4"/>
      <c r="G6638" s="33" t="str">
        <f>IFERROR(VLOOKUP($D6638,'Informations sur les produits'!$A$3:$H$10000,8,FALSE),"0")</f>
        <v>0</v>
      </c>
      <c r="K6638" s="4"/>
      <c r="L6638" s="33" t="str">
        <f>IFERROR(VLOOKUP($J6638,'Informations sur les produits'!$A$3:$H$10000,8,FALSE),"0")</f>
        <v>0</v>
      </c>
      <c r="N6638" s="8"/>
      <c r="O6638" s="33" t="str">
        <f>IFERROR(VLOOKUP($M6638,'Informations sur les produits'!$A$3:$H$10000,8,FALSE),"0")</f>
        <v>0</v>
      </c>
      <c r="P6638" s="33">
        <f t="shared" si="412"/>
        <v>0</v>
      </c>
      <c r="Q6638" s="31" t="str">
        <f t="shared" si="413"/>
        <v/>
      </c>
      <c r="R6638" s="32" t="str">
        <f>IFERROR(VLOOKUP($D6638,'Informations sur les produits'!$A$3:$B$15000,2,FALSE),"")</f>
        <v/>
      </c>
      <c r="V6638">
        <f t="shared" si="414"/>
        <v>0</v>
      </c>
      <c r="W6638">
        <f t="shared" si="415"/>
        <v>0</v>
      </c>
    </row>
    <row r="6639" spans="5:23" x14ac:dyDescent="0.25">
      <c r="E6639" s="4"/>
      <c r="F6639" s="4"/>
      <c r="G6639" s="33" t="str">
        <f>IFERROR(VLOOKUP($D6639,'Informations sur les produits'!$A$3:$H$10000,8,FALSE),"0")</f>
        <v>0</v>
      </c>
      <c r="K6639" s="4"/>
      <c r="L6639" s="33" t="str">
        <f>IFERROR(VLOOKUP($J6639,'Informations sur les produits'!$A$3:$H$10000,8,FALSE),"0")</f>
        <v>0</v>
      </c>
      <c r="N6639" s="8"/>
      <c r="O6639" s="33" t="str">
        <f>IFERROR(VLOOKUP($M6639,'Informations sur les produits'!$A$3:$H$10000,8,FALSE),"0")</f>
        <v>0</v>
      </c>
      <c r="P6639" s="33">
        <f t="shared" si="412"/>
        <v>0</v>
      </c>
      <c r="Q6639" s="31" t="str">
        <f t="shared" si="413"/>
        <v/>
      </c>
      <c r="R6639" s="32" t="str">
        <f>IFERROR(VLOOKUP($D6639,'Informations sur les produits'!$A$3:$B$15000,2,FALSE),"")</f>
        <v/>
      </c>
      <c r="V6639">
        <f t="shared" si="414"/>
        <v>0</v>
      </c>
      <c r="W6639">
        <f t="shared" si="415"/>
        <v>0</v>
      </c>
    </row>
    <row r="6640" spans="5:23" x14ac:dyDescent="0.25">
      <c r="E6640" s="4"/>
      <c r="F6640" s="4"/>
      <c r="G6640" s="33" t="str">
        <f>IFERROR(VLOOKUP($D6640,'Informations sur les produits'!$A$3:$H$10000,8,FALSE),"0")</f>
        <v>0</v>
      </c>
      <c r="K6640" s="4"/>
      <c r="L6640" s="33" t="str">
        <f>IFERROR(VLOOKUP($J6640,'Informations sur les produits'!$A$3:$H$10000,8,FALSE),"0")</f>
        <v>0</v>
      </c>
      <c r="N6640" s="8"/>
      <c r="O6640" s="33" t="str">
        <f>IFERROR(VLOOKUP($M6640,'Informations sur les produits'!$A$3:$H$10000,8,FALSE),"0")</f>
        <v>0</v>
      </c>
      <c r="P6640" s="33">
        <f t="shared" si="412"/>
        <v>0</v>
      </c>
      <c r="Q6640" s="31" t="str">
        <f t="shared" si="413"/>
        <v/>
      </c>
      <c r="R6640" s="32" t="str">
        <f>IFERROR(VLOOKUP($D6640,'Informations sur les produits'!$A$3:$B$15000,2,FALSE),"")</f>
        <v/>
      </c>
      <c r="V6640">
        <f t="shared" si="414"/>
        <v>0</v>
      </c>
      <c r="W6640">
        <f t="shared" si="415"/>
        <v>0</v>
      </c>
    </row>
    <row r="6641" spans="5:23" x14ac:dyDescent="0.25">
      <c r="E6641" s="4"/>
      <c r="F6641" s="4"/>
      <c r="G6641" s="33" t="str">
        <f>IFERROR(VLOOKUP($D6641,'Informations sur les produits'!$A$3:$H$10000,8,FALSE),"0")</f>
        <v>0</v>
      </c>
      <c r="K6641" s="4"/>
      <c r="L6641" s="33" t="str">
        <f>IFERROR(VLOOKUP($J6641,'Informations sur les produits'!$A$3:$H$10000,8,FALSE),"0")</f>
        <v>0</v>
      </c>
      <c r="N6641" s="8"/>
      <c r="O6641" s="33" t="str">
        <f>IFERROR(VLOOKUP($M6641,'Informations sur les produits'!$A$3:$H$10000,8,FALSE),"0")</f>
        <v>0</v>
      </c>
      <c r="P6641" s="33">
        <f t="shared" si="412"/>
        <v>0</v>
      </c>
      <c r="Q6641" s="31" t="str">
        <f t="shared" si="413"/>
        <v/>
      </c>
      <c r="R6641" s="32" t="str">
        <f>IFERROR(VLOOKUP($D6641,'Informations sur les produits'!$A$3:$B$15000,2,FALSE),"")</f>
        <v/>
      </c>
      <c r="V6641">
        <f t="shared" si="414"/>
        <v>0</v>
      </c>
      <c r="W6641">
        <f t="shared" si="415"/>
        <v>0</v>
      </c>
    </row>
    <row r="6642" spans="5:23" x14ac:dyDescent="0.25">
      <c r="E6642" s="4"/>
      <c r="F6642" s="4"/>
      <c r="G6642" s="33" t="str">
        <f>IFERROR(VLOOKUP($D6642,'Informations sur les produits'!$A$3:$H$10000,8,FALSE),"0")</f>
        <v>0</v>
      </c>
      <c r="K6642" s="4"/>
      <c r="L6642" s="33" t="str">
        <f>IFERROR(VLOOKUP($J6642,'Informations sur les produits'!$A$3:$H$10000,8,FALSE),"0")</f>
        <v>0</v>
      </c>
      <c r="N6642" s="8"/>
      <c r="O6642" s="33" t="str">
        <f>IFERROR(VLOOKUP($M6642,'Informations sur les produits'!$A$3:$H$10000,8,FALSE),"0")</f>
        <v>0</v>
      </c>
      <c r="P6642" s="33">
        <f t="shared" si="412"/>
        <v>0</v>
      </c>
      <c r="Q6642" s="31" t="str">
        <f t="shared" si="413"/>
        <v/>
      </c>
      <c r="R6642" s="32" t="str">
        <f>IFERROR(VLOOKUP($D6642,'Informations sur les produits'!$A$3:$B$15000,2,FALSE),"")</f>
        <v/>
      </c>
      <c r="V6642">
        <f t="shared" si="414"/>
        <v>0</v>
      </c>
      <c r="W6642">
        <f t="shared" si="415"/>
        <v>0</v>
      </c>
    </row>
    <row r="6643" spans="5:23" x14ac:dyDescent="0.25">
      <c r="E6643" s="4"/>
      <c r="F6643" s="4"/>
      <c r="G6643" s="33" t="str">
        <f>IFERROR(VLOOKUP($D6643,'Informations sur les produits'!$A$3:$H$10000,8,FALSE),"0")</f>
        <v>0</v>
      </c>
      <c r="K6643" s="4"/>
      <c r="L6643" s="33" t="str">
        <f>IFERROR(VLOOKUP($J6643,'Informations sur les produits'!$A$3:$H$10000,8,FALSE),"0")</f>
        <v>0</v>
      </c>
      <c r="N6643" s="8"/>
      <c r="O6643" s="33" t="str">
        <f>IFERROR(VLOOKUP($M6643,'Informations sur les produits'!$A$3:$H$10000,8,FALSE),"0")</f>
        <v>0</v>
      </c>
      <c r="P6643" s="33">
        <f t="shared" si="412"/>
        <v>0</v>
      </c>
      <c r="Q6643" s="31" t="str">
        <f t="shared" si="413"/>
        <v/>
      </c>
      <c r="R6643" s="32" t="str">
        <f>IFERROR(VLOOKUP($D6643,'Informations sur les produits'!$A$3:$B$15000,2,FALSE),"")</f>
        <v/>
      </c>
      <c r="V6643">
        <f t="shared" si="414"/>
        <v>0</v>
      </c>
      <c r="W6643">
        <f t="shared" si="415"/>
        <v>0</v>
      </c>
    </row>
    <row r="6644" spans="5:23" x14ac:dyDescent="0.25">
      <c r="E6644" s="4"/>
      <c r="F6644" s="4"/>
      <c r="G6644" s="33" t="str">
        <f>IFERROR(VLOOKUP($D6644,'Informations sur les produits'!$A$3:$H$10000,8,FALSE),"0")</f>
        <v>0</v>
      </c>
      <c r="K6644" s="4"/>
      <c r="L6644" s="33" t="str">
        <f>IFERROR(VLOOKUP($J6644,'Informations sur les produits'!$A$3:$H$10000,8,FALSE),"0")</f>
        <v>0</v>
      </c>
      <c r="N6644" s="8"/>
      <c r="O6644" s="33" t="str">
        <f>IFERROR(VLOOKUP($M6644,'Informations sur les produits'!$A$3:$H$10000,8,FALSE),"0")</f>
        <v>0</v>
      </c>
      <c r="P6644" s="33">
        <f t="shared" si="412"/>
        <v>0</v>
      </c>
      <c r="Q6644" s="31" t="str">
        <f t="shared" si="413"/>
        <v/>
      </c>
      <c r="R6644" s="32" t="str">
        <f>IFERROR(VLOOKUP($D6644,'Informations sur les produits'!$A$3:$B$15000,2,FALSE),"")</f>
        <v/>
      </c>
      <c r="V6644">
        <f t="shared" si="414"/>
        <v>0</v>
      </c>
      <c r="W6644">
        <f t="shared" si="415"/>
        <v>0</v>
      </c>
    </row>
    <row r="6645" spans="5:23" x14ac:dyDescent="0.25">
      <c r="E6645" s="4"/>
      <c r="F6645" s="4"/>
      <c r="G6645" s="33" t="str">
        <f>IFERROR(VLOOKUP($D6645,'Informations sur les produits'!$A$3:$H$10000,8,FALSE),"0")</f>
        <v>0</v>
      </c>
      <c r="K6645" s="4"/>
      <c r="L6645" s="33" t="str">
        <f>IFERROR(VLOOKUP($J6645,'Informations sur les produits'!$A$3:$H$10000,8,FALSE),"0")</f>
        <v>0</v>
      </c>
      <c r="N6645" s="8"/>
      <c r="O6645" s="33" t="str">
        <f>IFERROR(VLOOKUP($M6645,'Informations sur les produits'!$A$3:$H$10000,8,FALSE),"0")</f>
        <v>0</v>
      </c>
      <c r="P6645" s="33">
        <f t="shared" si="412"/>
        <v>0</v>
      </c>
      <c r="Q6645" s="31" t="str">
        <f t="shared" si="413"/>
        <v/>
      </c>
      <c r="R6645" s="32" t="str">
        <f>IFERROR(VLOOKUP($D6645,'Informations sur les produits'!$A$3:$B$15000,2,FALSE),"")</f>
        <v/>
      </c>
      <c r="V6645">
        <f t="shared" si="414"/>
        <v>0</v>
      </c>
      <c r="W6645">
        <f t="shared" si="415"/>
        <v>0</v>
      </c>
    </row>
    <row r="6646" spans="5:23" x14ac:dyDescent="0.25">
      <c r="E6646" s="4"/>
      <c r="F6646" s="4"/>
      <c r="G6646" s="33" t="str">
        <f>IFERROR(VLOOKUP($D6646,'Informations sur les produits'!$A$3:$H$10000,8,FALSE),"0")</f>
        <v>0</v>
      </c>
      <c r="K6646" s="4"/>
      <c r="L6646" s="33" t="str">
        <f>IFERROR(VLOOKUP($J6646,'Informations sur les produits'!$A$3:$H$10000,8,FALSE),"0")</f>
        <v>0</v>
      </c>
      <c r="N6646" s="8"/>
      <c r="O6646" s="33" t="str">
        <f>IFERROR(VLOOKUP($M6646,'Informations sur les produits'!$A$3:$H$10000,8,FALSE),"0")</f>
        <v>0</v>
      </c>
      <c r="P6646" s="33">
        <f t="shared" si="412"/>
        <v>0</v>
      </c>
      <c r="Q6646" s="31" t="str">
        <f t="shared" si="413"/>
        <v/>
      </c>
      <c r="R6646" s="32" t="str">
        <f>IFERROR(VLOOKUP($D6646,'Informations sur les produits'!$A$3:$B$15000,2,FALSE),"")</f>
        <v/>
      </c>
      <c r="V6646">
        <f t="shared" si="414"/>
        <v>0</v>
      </c>
      <c r="W6646">
        <f t="shared" si="415"/>
        <v>0</v>
      </c>
    </row>
    <row r="6647" spans="5:23" x14ac:dyDescent="0.25">
      <c r="E6647" s="4"/>
      <c r="F6647" s="4"/>
      <c r="G6647" s="33" t="str">
        <f>IFERROR(VLOOKUP($D6647,'Informations sur les produits'!$A$3:$H$10000,8,FALSE),"0")</f>
        <v>0</v>
      </c>
      <c r="K6647" s="4"/>
      <c r="L6647" s="33" t="str">
        <f>IFERROR(VLOOKUP($J6647,'Informations sur les produits'!$A$3:$H$10000,8,FALSE),"0")</f>
        <v>0</v>
      </c>
      <c r="N6647" s="8"/>
      <c r="O6647" s="33" t="str">
        <f>IFERROR(VLOOKUP($M6647,'Informations sur les produits'!$A$3:$H$10000,8,FALSE),"0")</f>
        <v>0</v>
      </c>
      <c r="P6647" s="33">
        <f t="shared" si="412"/>
        <v>0</v>
      </c>
      <c r="Q6647" s="31" t="str">
        <f t="shared" si="413"/>
        <v/>
      </c>
      <c r="R6647" s="32" t="str">
        <f>IFERROR(VLOOKUP($D6647,'Informations sur les produits'!$A$3:$B$15000,2,FALSE),"")</f>
        <v/>
      </c>
      <c r="V6647">
        <f t="shared" si="414"/>
        <v>0</v>
      </c>
      <c r="W6647">
        <f t="shared" si="415"/>
        <v>0</v>
      </c>
    </row>
    <row r="6648" spans="5:23" x14ac:dyDescent="0.25">
      <c r="E6648" s="4"/>
      <c r="F6648" s="4"/>
      <c r="G6648" s="33" t="str">
        <f>IFERROR(VLOOKUP($D6648,'Informations sur les produits'!$A$3:$H$10000,8,FALSE),"0")</f>
        <v>0</v>
      </c>
      <c r="K6648" s="4"/>
      <c r="L6648" s="33" t="str">
        <f>IFERROR(VLOOKUP($J6648,'Informations sur les produits'!$A$3:$H$10000,8,FALSE),"0")</f>
        <v>0</v>
      </c>
      <c r="N6648" s="8"/>
      <c r="O6648" s="33" t="str">
        <f>IFERROR(VLOOKUP($M6648,'Informations sur les produits'!$A$3:$H$10000,8,FALSE),"0")</f>
        <v>0</v>
      </c>
      <c r="P6648" s="33">
        <f t="shared" si="412"/>
        <v>0</v>
      </c>
      <c r="Q6648" s="31" t="str">
        <f t="shared" si="413"/>
        <v/>
      </c>
      <c r="R6648" s="32" t="str">
        <f>IFERROR(VLOOKUP($D6648,'Informations sur les produits'!$A$3:$B$15000,2,FALSE),"")</f>
        <v/>
      </c>
      <c r="V6648">
        <f t="shared" si="414"/>
        <v>0</v>
      </c>
      <c r="W6648">
        <f t="shared" si="415"/>
        <v>0</v>
      </c>
    </row>
    <row r="6649" spans="5:23" x14ac:dyDescent="0.25">
      <c r="E6649" s="4"/>
      <c r="F6649" s="4"/>
      <c r="G6649" s="33" t="str">
        <f>IFERROR(VLOOKUP($D6649,'Informations sur les produits'!$A$3:$H$10000,8,FALSE),"0")</f>
        <v>0</v>
      </c>
      <c r="K6649" s="4"/>
      <c r="L6649" s="33" t="str">
        <f>IFERROR(VLOOKUP($J6649,'Informations sur les produits'!$A$3:$H$10000,8,FALSE),"0")</f>
        <v>0</v>
      </c>
      <c r="N6649" s="8"/>
      <c r="O6649" s="33" t="str">
        <f>IFERROR(VLOOKUP($M6649,'Informations sur les produits'!$A$3:$H$10000,8,FALSE),"0")</f>
        <v>0</v>
      </c>
      <c r="P6649" s="33">
        <f t="shared" si="412"/>
        <v>0</v>
      </c>
      <c r="Q6649" s="31" t="str">
        <f t="shared" si="413"/>
        <v/>
      </c>
      <c r="R6649" s="32" t="str">
        <f>IFERROR(VLOOKUP($D6649,'Informations sur les produits'!$A$3:$B$15000,2,FALSE),"")</f>
        <v/>
      </c>
      <c r="V6649">
        <f t="shared" si="414"/>
        <v>0</v>
      </c>
      <c r="W6649">
        <f t="shared" si="415"/>
        <v>0</v>
      </c>
    </row>
    <row r="6650" spans="5:23" x14ac:dyDescent="0.25">
      <c r="E6650" s="4"/>
      <c r="F6650" s="4"/>
      <c r="G6650" s="33" t="str">
        <f>IFERROR(VLOOKUP($D6650,'Informations sur les produits'!$A$3:$H$10000,8,FALSE),"0")</f>
        <v>0</v>
      </c>
      <c r="K6650" s="4"/>
      <c r="L6650" s="33" t="str">
        <f>IFERROR(VLOOKUP($J6650,'Informations sur les produits'!$A$3:$H$10000,8,FALSE),"0")</f>
        <v>0</v>
      </c>
      <c r="N6650" s="8"/>
      <c r="O6650" s="33" t="str">
        <f>IFERROR(VLOOKUP($M6650,'Informations sur les produits'!$A$3:$H$10000,8,FALSE),"0")</f>
        <v>0</v>
      </c>
      <c r="P6650" s="33">
        <f t="shared" si="412"/>
        <v>0</v>
      </c>
      <c r="Q6650" s="31" t="str">
        <f t="shared" si="413"/>
        <v/>
      </c>
      <c r="R6650" s="32" t="str">
        <f>IFERROR(VLOOKUP($D6650,'Informations sur les produits'!$A$3:$B$15000,2,FALSE),"")</f>
        <v/>
      </c>
      <c r="V6650">
        <f t="shared" si="414"/>
        <v>0</v>
      </c>
      <c r="W6650">
        <f t="shared" si="415"/>
        <v>0</v>
      </c>
    </row>
    <row r="6651" spans="5:23" x14ac:dyDescent="0.25">
      <c r="E6651" s="4"/>
      <c r="F6651" s="4"/>
      <c r="G6651" s="33" t="str">
        <f>IFERROR(VLOOKUP($D6651,'Informations sur les produits'!$A$3:$H$10000,8,FALSE),"0")</f>
        <v>0</v>
      </c>
      <c r="K6651" s="4"/>
      <c r="L6651" s="33" t="str">
        <f>IFERROR(VLOOKUP($J6651,'Informations sur les produits'!$A$3:$H$10000,8,FALSE),"0")</f>
        <v>0</v>
      </c>
      <c r="N6651" s="8"/>
      <c r="O6651" s="33" t="str">
        <f>IFERROR(VLOOKUP($M6651,'Informations sur les produits'!$A$3:$H$10000,8,FALSE),"0")</f>
        <v>0</v>
      </c>
      <c r="P6651" s="33">
        <f t="shared" si="412"/>
        <v>0</v>
      </c>
      <c r="Q6651" s="31" t="str">
        <f t="shared" si="413"/>
        <v/>
      </c>
      <c r="R6651" s="32" t="str">
        <f>IFERROR(VLOOKUP($D6651,'Informations sur les produits'!$A$3:$B$15000,2,FALSE),"")</f>
        <v/>
      </c>
      <c r="V6651">
        <f t="shared" si="414"/>
        <v>0</v>
      </c>
      <c r="W6651">
        <f t="shared" si="415"/>
        <v>0</v>
      </c>
    </row>
    <row r="6652" spans="5:23" x14ac:dyDescent="0.25">
      <c r="E6652" s="4"/>
      <c r="F6652" s="4"/>
      <c r="G6652" s="33" t="str">
        <f>IFERROR(VLOOKUP($D6652,'Informations sur les produits'!$A$3:$H$10000,8,FALSE),"0")</f>
        <v>0</v>
      </c>
      <c r="K6652" s="4"/>
      <c r="L6652" s="33" t="str">
        <f>IFERROR(VLOOKUP($J6652,'Informations sur les produits'!$A$3:$H$10000,8,FALSE),"0")</f>
        <v>0</v>
      </c>
      <c r="N6652" s="8"/>
      <c r="O6652" s="33" t="str">
        <f>IFERROR(VLOOKUP($M6652,'Informations sur les produits'!$A$3:$H$10000,8,FALSE),"0")</f>
        <v>0</v>
      </c>
      <c r="P6652" s="33">
        <f t="shared" si="412"/>
        <v>0</v>
      </c>
      <c r="Q6652" s="31" t="str">
        <f t="shared" si="413"/>
        <v/>
      </c>
      <c r="R6652" s="32" t="str">
        <f>IFERROR(VLOOKUP($D6652,'Informations sur les produits'!$A$3:$B$15000,2,FALSE),"")</f>
        <v/>
      </c>
      <c r="V6652">
        <f t="shared" si="414"/>
        <v>0</v>
      </c>
      <c r="W6652">
        <f t="shared" si="415"/>
        <v>0</v>
      </c>
    </row>
    <row r="6653" spans="5:23" x14ac:dyDescent="0.25">
      <c r="E6653" s="4"/>
      <c r="F6653" s="4"/>
      <c r="G6653" s="33" t="str">
        <f>IFERROR(VLOOKUP($D6653,'Informations sur les produits'!$A$3:$H$10000,8,FALSE),"0")</f>
        <v>0</v>
      </c>
      <c r="K6653" s="4"/>
      <c r="L6653" s="33" t="str">
        <f>IFERROR(VLOOKUP($J6653,'Informations sur les produits'!$A$3:$H$10000,8,FALSE),"0")</f>
        <v>0</v>
      </c>
      <c r="N6653" s="8"/>
      <c r="O6653" s="33" t="str">
        <f>IFERROR(VLOOKUP($M6653,'Informations sur les produits'!$A$3:$H$10000,8,FALSE),"0")</f>
        <v>0</v>
      </c>
      <c r="P6653" s="33">
        <f t="shared" si="412"/>
        <v>0</v>
      </c>
      <c r="Q6653" s="31" t="str">
        <f t="shared" si="413"/>
        <v/>
      </c>
      <c r="R6653" s="32" t="str">
        <f>IFERROR(VLOOKUP($D6653,'Informations sur les produits'!$A$3:$B$15000,2,FALSE),"")</f>
        <v/>
      </c>
      <c r="V6653">
        <f t="shared" si="414"/>
        <v>0</v>
      </c>
      <c r="W6653">
        <f t="shared" si="415"/>
        <v>0</v>
      </c>
    </row>
    <row r="6654" spans="5:23" x14ac:dyDescent="0.25">
      <c r="E6654" s="4"/>
      <c r="F6654" s="4"/>
      <c r="G6654" s="33" t="str">
        <f>IFERROR(VLOOKUP($D6654,'Informations sur les produits'!$A$3:$H$10000,8,FALSE),"0")</f>
        <v>0</v>
      </c>
      <c r="K6654" s="4"/>
      <c r="L6654" s="33" t="str">
        <f>IFERROR(VLOOKUP($J6654,'Informations sur les produits'!$A$3:$H$10000,8,FALSE),"0")</f>
        <v>0</v>
      </c>
      <c r="N6654" s="8"/>
      <c r="O6654" s="33" t="str">
        <f>IFERROR(VLOOKUP($M6654,'Informations sur les produits'!$A$3:$H$10000,8,FALSE),"0")</f>
        <v>0</v>
      </c>
      <c r="P6654" s="33">
        <f t="shared" si="412"/>
        <v>0</v>
      </c>
      <c r="Q6654" s="31" t="str">
        <f t="shared" si="413"/>
        <v/>
      </c>
      <c r="R6654" s="32" t="str">
        <f>IFERROR(VLOOKUP($D6654,'Informations sur les produits'!$A$3:$B$15000,2,FALSE),"")</f>
        <v/>
      </c>
      <c r="V6654">
        <f t="shared" si="414"/>
        <v>0</v>
      </c>
      <c r="W6654">
        <f t="shared" si="415"/>
        <v>0</v>
      </c>
    </row>
    <row r="6655" spans="5:23" x14ac:dyDescent="0.25">
      <c r="E6655" s="4"/>
      <c r="F6655" s="4"/>
      <c r="G6655" s="33" t="str">
        <f>IFERROR(VLOOKUP($D6655,'Informations sur les produits'!$A$3:$H$10000,8,FALSE),"0")</f>
        <v>0</v>
      </c>
      <c r="K6655" s="4"/>
      <c r="L6655" s="33" t="str">
        <f>IFERROR(VLOOKUP($J6655,'Informations sur les produits'!$A$3:$H$10000,8,FALSE),"0")</f>
        <v>0</v>
      </c>
      <c r="N6655" s="8"/>
      <c r="O6655" s="33" t="str">
        <f>IFERROR(VLOOKUP($M6655,'Informations sur les produits'!$A$3:$H$10000,8,FALSE),"0")</f>
        <v>0</v>
      </c>
      <c r="P6655" s="33">
        <f t="shared" si="412"/>
        <v>0</v>
      </c>
      <c r="Q6655" s="31" t="str">
        <f t="shared" si="413"/>
        <v/>
      </c>
      <c r="R6655" s="32" t="str">
        <f>IFERROR(VLOOKUP($D6655,'Informations sur les produits'!$A$3:$B$15000,2,FALSE),"")</f>
        <v/>
      </c>
      <c r="V6655">
        <f t="shared" si="414"/>
        <v>0</v>
      </c>
      <c r="W6655">
        <f t="shared" si="415"/>
        <v>0</v>
      </c>
    </row>
    <row r="6656" spans="5:23" x14ac:dyDescent="0.25">
      <c r="E6656" s="4"/>
      <c r="F6656" s="4"/>
      <c r="G6656" s="33" t="str">
        <f>IFERROR(VLOOKUP($D6656,'Informations sur les produits'!$A$3:$H$10000,8,FALSE),"0")</f>
        <v>0</v>
      </c>
      <c r="K6656" s="4"/>
      <c r="L6656" s="33" t="str">
        <f>IFERROR(VLOOKUP($J6656,'Informations sur les produits'!$A$3:$H$10000,8,FALSE),"0")</f>
        <v>0</v>
      </c>
      <c r="N6656" s="8"/>
      <c r="O6656" s="33" t="str">
        <f>IFERROR(VLOOKUP($M6656,'Informations sur les produits'!$A$3:$H$10000,8,FALSE),"0")</f>
        <v>0</v>
      </c>
      <c r="P6656" s="33">
        <f t="shared" si="412"/>
        <v>0</v>
      </c>
      <c r="Q6656" s="31" t="str">
        <f t="shared" si="413"/>
        <v/>
      </c>
      <c r="R6656" s="32" t="str">
        <f>IFERROR(VLOOKUP($D6656,'Informations sur les produits'!$A$3:$B$15000,2,FALSE),"")</f>
        <v/>
      </c>
      <c r="V6656">
        <f t="shared" si="414"/>
        <v>0</v>
      </c>
      <c r="W6656">
        <f t="shared" si="415"/>
        <v>0</v>
      </c>
    </row>
    <row r="6657" spans="5:23" x14ac:dyDescent="0.25">
      <c r="E6657" s="4"/>
      <c r="F6657" s="4"/>
      <c r="G6657" s="33" t="str">
        <f>IFERROR(VLOOKUP($D6657,'Informations sur les produits'!$A$3:$H$10000,8,FALSE),"0")</f>
        <v>0</v>
      </c>
      <c r="K6657" s="4"/>
      <c r="L6657" s="33" t="str">
        <f>IFERROR(VLOOKUP($J6657,'Informations sur les produits'!$A$3:$H$10000,8,FALSE),"0")</f>
        <v>0</v>
      </c>
      <c r="N6657" s="8"/>
      <c r="O6657" s="33" t="str">
        <f>IFERROR(VLOOKUP($M6657,'Informations sur les produits'!$A$3:$H$10000,8,FALSE),"0")</f>
        <v>0</v>
      </c>
      <c r="P6657" s="33">
        <f t="shared" si="412"/>
        <v>0</v>
      </c>
      <c r="Q6657" s="31" t="str">
        <f t="shared" si="413"/>
        <v/>
      </c>
      <c r="R6657" s="32" t="str">
        <f>IFERROR(VLOOKUP($D6657,'Informations sur les produits'!$A$3:$B$15000,2,FALSE),"")</f>
        <v/>
      </c>
      <c r="V6657">
        <f t="shared" si="414"/>
        <v>0</v>
      </c>
      <c r="W6657">
        <f t="shared" si="415"/>
        <v>0</v>
      </c>
    </row>
    <row r="6658" spans="5:23" x14ac:dyDescent="0.25">
      <c r="E6658" s="4"/>
      <c r="F6658" s="4"/>
      <c r="G6658" s="33" t="str">
        <f>IFERROR(VLOOKUP($D6658,'Informations sur les produits'!$A$3:$H$10000,8,FALSE),"0")</f>
        <v>0</v>
      </c>
      <c r="K6658" s="4"/>
      <c r="L6658" s="33" t="str">
        <f>IFERROR(VLOOKUP($J6658,'Informations sur les produits'!$A$3:$H$10000,8,FALSE),"0")</f>
        <v>0</v>
      </c>
      <c r="N6658" s="8"/>
      <c r="O6658" s="33" t="str">
        <f>IFERROR(VLOOKUP($M6658,'Informations sur les produits'!$A$3:$H$10000,8,FALSE),"0")</f>
        <v>0</v>
      </c>
      <c r="P6658" s="33">
        <f t="shared" si="412"/>
        <v>0</v>
      </c>
      <c r="Q6658" s="31" t="str">
        <f t="shared" si="413"/>
        <v/>
      </c>
      <c r="R6658" s="32" t="str">
        <f>IFERROR(VLOOKUP($D6658,'Informations sur les produits'!$A$3:$B$15000,2,FALSE),"")</f>
        <v/>
      </c>
      <c r="V6658">
        <f t="shared" si="414"/>
        <v>0</v>
      </c>
      <c r="W6658">
        <f t="shared" si="415"/>
        <v>0</v>
      </c>
    </row>
    <row r="6659" spans="5:23" x14ac:dyDescent="0.25">
      <c r="E6659" s="4"/>
      <c r="F6659" s="4"/>
      <c r="G6659" s="33" t="str">
        <f>IFERROR(VLOOKUP($D6659,'Informations sur les produits'!$A$3:$H$10000,8,FALSE),"0")</f>
        <v>0</v>
      </c>
      <c r="K6659" s="4"/>
      <c r="L6659" s="33" t="str">
        <f>IFERROR(VLOOKUP($J6659,'Informations sur les produits'!$A$3:$H$10000,8,FALSE),"0")</f>
        <v>0</v>
      </c>
      <c r="N6659" s="8"/>
      <c r="O6659" s="33" t="str">
        <f>IFERROR(VLOOKUP($M6659,'Informations sur les produits'!$A$3:$H$10000,8,FALSE),"0")</f>
        <v>0</v>
      </c>
      <c r="P6659" s="33">
        <f t="shared" si="412"/>
        <v>0</v>
      </c>
      <c r="Q6659" s="31" t="str">
        <f t="shared" si="413"/>
        <v/>
      </c>
      <c r="R6659" s="32" t="str">
        <f>IFERROR(VLOOKUP($D6659,'Informations sur les produits'!$A$3:$B$15000,2,FALSE),"")</f>
        <v/>
      </c>
      <c r="V6659">
        <f t="shared" si="414"/>
        <v>0</v>
      </c>
      <c r="W6659">
        <f t="shared" si="415"/>
        <v>0</v>
      </c>
    </row>
    <row r="6660" spans="5:23" x14ac:dyDescent="0.25">
      <c r="E6660" s="4"/>
      <c r="F6660" s="4"/>
      <c r="G6660" s="33" t="str">
        <f>IFERROR(VLOOKUP($D6660,'Informations sur les produits'!$A$3:$H$10000,8,FALSE),"0")</f>
        <v>0</v>
      </c>
      <c r="K6660" s="4"/>
      <c r="L6660" s="33" t="str">
        <f>IFERROR(VLOOKUP($J6660,'Informations sur les produits'!$A$3:$H$10000,8,FALSE),"0")</f>
        <v>0</v>
      </c>
      <c r="N6660" s="8"/>
      <c r="O6660" s="33" t="str">
        <f>IFERROR(VLOOKUP($M6660,'Informations sur les produits'!$A$3:$H$10000,8,FALSE),"0")</f>
        <v>0</v>
      </c>
      <c r="P6660" s="33">
        <f t="shared" ref="P6660:P6723" si="416">IFERROR((($E6660-$F6660)*$G6660+$K6660*$L6660+$N6660*$O6660),"")</f>
        <v>0</v>
      </c>
      <c r="Q6660" s="31" t="str">
        <f t="shared" ref="Q6660:Q6723" si="417">IFERROR((((($E6660-$F6660)*$G6660+$K6660*$L6660+$N6660*$O6660)*1000)/(($E6660-$F6660)+$K6660+$N6660)),"")</f>
        <v/>
      </c>
      <c r="R6660" s="32" t="str">
        <f>IFERROR(VLOOKUP($D6660,'Informations sur les produits'!$A$3:$B$15000,2,FALSE),"")</f>
        <v/>
      </c>
      <c r="V6660">
        <f t="shared" ref="V6660:V6723" si="418">IFERROR(P6660*1000,"")</f>
        <v>0</v>
      </c>
      <c r="W6660">
        <f t="shared" ref="W6660:W6723" si="419">IFERROR(($E6660-$F6660)+$K6660+$N6660,"")</f>
        <v>0</v>
      </c>
    </row>
    <row r="6661" spans="5:23" x14ac:dyDescent="0.25">
      <c r="E6661" s="4"/>
      <c r="F6661" s="4"/>
      <c r="G6661" s="33" t="str">
        <f>IFERROR(VLOOKUP($D6661,'Informations sur les produits'!$A$3:$H$10000,8,FALSE),"0")</f>
        <v>0</v>
      </c>
      <c r="K6661" s="4"/>
      <c r="L6661" s="33" t="str">
        <f>IFERROR(VLOOKUP($J6661,'Informations sur les produits'!$A$3:$H$10000,8,FALSE),"0")</f>
        <v>0</v>
      </c>
      <c r="N6661" s="8"/>
      <c r="O6661" s="33" t="str">
        <f>IFERROR(VLOOKUP($M6661,'Informations sur les produits'!$A$3:$H$10000,8,FALSE),"0")</f>
        <v>0</v>
      </c>
      <c r="P6661" s="33">
        <f t="shared" si="416"/>
        <v>0</v>
      </c>
      <c r="Q6661" s="31" t="str">
        <f t="shared" si="417"/>
        <v/>
      </c>
      <c r="R6661" s="32" t="str">
        <f>IFERROR(VLOOKUP($D6661,'Informations sur les produits'!$A$3:$B$15000,2,FALSE),"")</f>
        <v/>
      </c>
      <c r="V6661">
        <f t="shared" si="418"/>
        <v>0</v>
      </c>
      <c r="W6661">
        <f t="shared" si="419"/>
        <v>0</v>
      </c>
    </row>
    <row r="6662" spans="5:23" x14ac:dyDescent="0.25">
      <c r="E6662" s="4"/>
      <c r="F6662" s="4"/>
      <c r="G6662" s="33" t="str">
        <f>IFERROR(VLOOKUP($D6662,'Informations sur les produits'!$A$3:$H$10000,8,FALSE),"0")</f>
        <v>0</v>
      </c>
      <c r="K6662" s="4"/>
      <c r="L6662" s="33" t="str">
        <f>IFERROR(VLOOKUP($J6662,'Informations sur les produits'!$A$3:$H$10000,8,FALSE),"0")</f>
        <v>0</v>
      </c>
      <c r="N6662" s="8"/>
      <c r="O6662" s="33" t="str">
        <f>IFERROR(VLOOKUP($M6662,'Informations sur les produits'!$A$3:$H$10000,8,FALSE),"0")</f>
        <v>0</v>
      </c>
      <c r="P6662" s="33">
        <f t="shared" si="416"/>
        <v>0</v>
      </c>
      <c r="Q6662" s="31" t="str">
        <f t="shared" si="417"/>
        <v/>
      </c>
      <c r="R6662" s="32" t="str">
        <f>IFERROR(VLOOKUP($D6662,'Informations sur les produits'!$A$3:$B$15000,2,FALSE),"")</f>
        <v/>
      </c>
      <c r="V6662">
        <f t="shared" si="418"/>
        <v>0</v>
      </c>
      <c r="W6662">
        <f t="shared" si="419"/>
        <v>0</v>
      </c>
    </row>
    <row r="6663" spans="5:23" x14ac:dyDescent="0.25">
      <c r="E6663" s="4"/>
      <c r="F6663" s="4"/>
      <c r="G6663" s="33" t="str">
        <f>IFERROR(VLOOKUP($D6663,'Informations sur les produits'!$A$3:$H$10000,8,FALSE),"0")</f>
        <v>0</v>
      </c>
      <c r="K6663" s="4"/>
      <c r="L6663" s="33" t="str">
        <f>IFERROR(VLOOKUP($J6663,'Informations sur les produits'!$A$3:$H$10000,8,FALSE),"0")</f>
        <v>0</v>
      </c>
      <c r="N6663" s="8"/>
      <c r="O6663" s="33" t="str">
        <f>IFERROR(VLOOKUP($M6663,'Informations sur les produits'!$A$3:$H$10000,8,FALSE),"0")</f>
        <v>0</v>
      </c>
      <c r="P6663" s="33">
        <f t="shared" si="416"/>
        <v>0</v>
      </c>
      <c r="Q6663" s="31" t="str">
        <f t="shared" si="417"/>
        <v/>
      </c>
      <c r="R6663" s="32" t="str">
        <f>IFERROR(VLOOKUP($D6663,'Informations sur les produits'!$A$3:$B$15000,2,FALSE),"")</f>
        <v/>
      </c>
      <c r="V6663">
        <f t="shared" si="418"/>
        <v>0</v>
      </c>
      <c r="W6663">
        <f t="shared" si="419"/>
        <v>0</v>
      </c>
    </row>
    <row r="6664" spans="5:23" x14ac:dyDescent="0.25">
      <c r="E6664" s="4"/>
      <c r="F6664" s="4"/>
      <c r="G6664" s="33" t="str">
        <f>IFERROR(VLOOKUP($D6664,'Informations sur les produits'!$A$3:$H$10000,8,FALSE),"0")</f>
        <v>0</v>
      </c>
      <c r="K6664" s="4"/>
      <c r="L6664" s="33" t="str">
        <f>IFERROR(VLOOKUP($J6664,'Informations sur les produits'!$A$3:$H$10000,8,FALSE),"0")</f>
        <v>0</v>
      </c>
      <c r="N6664" s="8"/>
      <c r="O6664" s="33" t="str">
        <f>IFERROR(VLOOKUP($M6664,'Informations sur les produits'!$A$3:$H$10000,8,FALSE),"0")</f>
        <v>0</v>
      </c>
      <c r="P6664" s="33">
        <f t="shared" si="416"/>
        <v>0</v>
      </c>
      <c r="Q6664" s="31" t="str">
        <f t="shared" si="417"/>
        <v/>
      </c>
      <c r="R6664" s="32" t="str">
        <f>IFERROR(VLOOKUP($D6664,'Informations sur les produits'!$A$3:$B$15000,2,FALSE),"")</f>
        <v/>
      </c>
      <c r="V6664">
        <f t="shared" si="418"/>
        <v>0</v>
      </c>
      <c r="W6664">
        <f t="shared" si="419"/>
        <v>0</v>
      </c>
    </row>
    <row r="6665" spans="5:23" x14ac:dyDescent="0.25">
      <c r="E6665" s="4"/>
      <c r="F6665" s="4"/>
      <c r="G6665" s="33" t="str">
        <f>IFERROR(VLOOKUP($D6665,'Informations sur les produits'!$A$3:$H$10000,8,FALSE),"0")</f>
        <v>0</v>
      </c>
      <c r="K6665" s="4"/>
      <c r="L6665" s="33" t="str">
        <f>IFERROR(VLOOKUP($J6665,'Informations sur les produits'!$A$3:$H$10000,8,FALSE),"0")</f>
        <v>0</v>
      </c>
      <c r="N6665" s="8"/>
      <c r="O6665" s="33" t="str">
        <f>IFERROR(VLOOKUP($M6665,'Informations sur les produits'!$A$3:$H$10000,8,FALSE),"0")</f>
        <v>0</v>
      </c>
      <c r="P6665" s="33">
        <f t="shared" si="416"/>
        <v>0</v>
      </c>
      <c r="Q6665" s="31" t="str">
        <f t="shared" si="417"/>
        <v/>
      </c>
      <c r="R6665" s="32" t="str">
        <f>IFERROR(VLOOKUP($D6665,'Informations sur les produits'!$A$3:$B$15000,2,FALSE),"")</f>
        <v/>
      </c>
      <c r="V6665">
        <f t="shared" si="418"/>
        <v>0</v>
      </c>
      <c r="W6665">
        <f t="shared" si="419"/>
        <v>0</v>
      </c>
    </row>
    <row r="6666" spans="5:23" x14ac:dyDescent="0.25">
      <c r="E6666" s="4"/>
      <c r="F6666" s="4"/>
      <c r="G6666" s="33" t="str">
        <f>IFERROR(VLOOKUP($D6666,'Informations sur les produits'!$A$3:$H$10000,8,FALSE),"0")</f>
        <v>0</v>
      </c>
      <c r="K6666" s="4"/>
      <c r="L6666" s="33" t="str">
        <f>IFERROR(VLOOKUP($J6666,'Informations sur les produits'!$A$3:$H$10000,8,FALSE),"0")</f>
        <v>0</v>
      </c>
      <c r="N6666" s="8"/>
      <c r="O6666" s="33" t="str">
        <f>IFERROR(VLOOKUP($M6666,'Informations sur les produits'!$A$3:$H$10000,8,FALSE),"0")</f>
        <v>0</v>
      </c>
      <c r="P6666" s="33">
        <f t="shared" si="416"/>
        <v>0</v>
      </c>
      <c r="Q6666" s="31" t="str">
        <f t="shared" si="417"/>
        <v/>
      </c>
      <c r="R6666" s="32" t="str">
        <f>IFERROR(VLOOKUP($D6666,'Informations sur les produits'!$A$3:$B$15000,2,FALSE),"")</f>
        <v/>
      </c>
      <c r="V6666">
        <f t="shared" si="418"/>
        <v>0</v>
      </c>
      <c r="W6666">
        <f t="shared" si="419"/>
        <v>0</v>
      </c>
    </row>
    <row r="6667" spans="5:23" x14ac:dyDescent="0.25">
      <c r="E6667" s="4"/>
      <c r="F6667" s="4"/>
      <c r="G6667" s="33" t="str">
        <f>IFERROR(VLOOKUP($D6667,'Informations sur les produits'!$A$3:$H$10000,8,FALSE),"0")</f>
        <v>0</v>
      </c>
      <c r="K6667" s="4"/>
      <c r="L6667" s="33" t="str">
        <f>IFERROR(VLOOKUP($J6667,'Informations sur les produits'!$A$3:$H$10000,8,FALSE),"0")</f>
        <v>0</v>
      </c>
      <c r="N6667" s="8"/>
      <c r="O6667" s="33" t="str">
        <f>IFERROR(VLOOKUP($M6667,'Informations sur les produits'!$A$3:$H$10000,8,FALSE),"0")</f>
        <v>0</v>
      </c>
      <c r="P6667" s="33">
        <f t="shared" si="416"/>
        <v>0</v>
      </c>
      <c r="Q6667" s="31" t="str">
        <f t="shared" si="417"/>
        <v/>
      </c>
      <c r="R6667" s="32" t="str">
        <f>IFERROR(VLOOKUP($D6667,'Informations sur les produits'!$A$3:$B$15000,2,FALSE),"")</f>
        <v/>
      </c>
      <c r="V6667">
        <f t="shared" si="418"/>
        <v>0</v>
      </c>
      <c r="W6667">
        <f t="shared" si="419"/>
        <v>0</v>
      </c>
    </row>
    <row r="6668" spans="5:23" x14ac:dyDescent="0.25">
      <c r="E6668" s="4"/>
      <c r="F6668" s="4"/>
      <c r="G6668" s="33" t="str">
        <f>IFERROR(VLOOKUP($D6668,'Informations sur les produits'!$A$3:$H$10000,8,FALSE),"0")</f>
        <v>0</v>
      </c>
      <c r="K6668" s="4"/>
      <c r="L6668" s="33" t="str">
        <f>IFERROR(VLOOKUP($J6668,'Informations sur les produits'!$A$3:$H$10000,8,FALSE),"0")</f>
        <v>0</v>
      </c>
      <c r="N6668" s="8"/>
      <c r="O6668" s="33" t="str">
        <f>IFERROR(VLOOKUP($M6668,'Informations sur les produits'!$A$3:$H$10000,8,FALSE),"0")</f>
        <v>0</v>
      </c>
      <c r="P6668" s="33">
        <f t="shared" si="416"/>
        <v>0</v>
      </c>
      <c r="Q6668" s="31" t="str">
        <f t="shared" si="417"/>
        <v/>
      </c>
      <c r="R6668" s="32" t="str">
        <f>IFERROR(VLOOKUP($D6668,'Informations sur les produits'!$A$3:$B$15000,2,FALSE),"")</f>
        <v/>
      </c>
      <c r="V6668">
        <f t="shared" si="418"/>
        <v>0</v>
      </c>
      <c r="W6668">
        <f t="shared" si="419"/>
        <v>0</v>
      </c>
    </row>
    <row r="6669" spans="5:23" x14ac:dyDescent="0.25">
      <c r="E6669" s="4"/>
      <c r="F6669" s="4"/>
      <c r="G6669" s="33" t="str">
        <f>IFERROR(VLOOKUP($D6669,'Informations sur les produits'!$A$3:$H$10000,8,FALSE),"0")</f>
        <v>0</v>
      </c>
      <c r="K6669" s="4"/>
      <c r="L6669" s="33" t="str">
        <f>IFERROR(VLOOKUP($J6669,'Informations sur les produits'!$A$3:$H$10000,8,FALSE),"0")</f>
        <v>0</v>
      </c>
      <c r="N6669" s="8"/>
      <c r="O6669" s="33" t="str">
        <f>IFERROR(VLOOKUP($M6669,'Informations sur les produits'!$A$3:$H$10000,8,FALSE),"0")</f>
        <v>0</v>
      </c>
      <c r="P6669" s="33">
        <f t="shared" si="416"/>
        <v>0</v>
      </c>
      <c r="Q6669" s="31" t="str">
        <f t="shared" si="417"/>
        <v/>
      </c>
      <c r="R6669" s="32" t="str">
        <f>IFERROR(VLOOKUP($D6669,'Informations sur les produits'!$A$3:$B$15000,2,FALSE),"")</f>
        <v/>
      </c>
      <c r="V6669">
        <f t="shared" si="418"/>
        <v>0</v>
      </c>
      <c r="W6669">
        <f t="shared" si="419"/>
        <v>0</v>
      </c>
    </row>
    <row r="6670" spans="5:23" x14ac:dyDescent="0.25">
      <c r="E6670" s="4"/>
      <c r="F6670" s="4"/>
      <c r="G6670" s="33" t="str">
        <f>IFERROR(VLOOKUP($D6670,'Informations sur les produits'!$A$3:$H$10000,8,FALSE),"0")</f>
        <v>0</v>
      </c>
      <c r="K6670" s="4"/>
      <c r="L6670" s="33" t="str">
        <f>IFERROR(VLOOKUP($J6670,'Informations sur les produits'!$A$3:$H$10000,8,FALSE),"0")</f>
        <v>0</v>
      </c>
      <c r="N6670" s="8"/>
      <c r="O6670" s="33" t="str">
        <f>IFERROR(VLOOKUP($M6670,'Informations sur les produits'!$A$3:$H$10000,8,FALSE),"0")</f>
        <v>0</v>
      </c>
      <c r="P6670" s="33">
        <f t="shared" si="416"/>
        <v>0</v>
      </c>
      <c r="Q6670" s="31" t="str">
        <f t="shared" si="417"/>
        <v/>
      </c>
      <c r="R6670" s="32" t="str">
        <f>IFERROR(VLOOKUP($D6670,'Informations sur les produits'!$A$3:$B$15000,2,FALSE),"")</f>
        <v/>
      </c>
      <c r="V6670">
        <f t="shared" si="418"/>
        <v>0</v>
      </c>
      <c r="W6670">
        <f t="shared" si="419"/>
        <v>0</v>
      </c>
    </row>
    <row r="6671" spans="5:23" x14ac:dyDescent="0.25">
      <c r="E6671" s="4"/>
      <c r="F6671" s="4"/>
      <c r="G6671" s="33" t="str">
        <f>IFERROR(VLOOKUP($D6671,'Informations sur les produits'!$A$3:$H$10000,8,FALSE),"0")</f>
        <v>0</v>
      </c>
      <c r="K6671" s="4"/>
      <c r="L6671" s="33" t="str">
        <f>IFERROR(VLOOKUP($J6671,'Informations sur les produits'!$A$3:$H$10000,8,FALSE),"0")</f>
        <v>0</v>
      </c>
      <c r="N6671" s="8"/>
      <c r="O6671" s="33" t="str">
        <f>IFERROR(VLOOKUP($M6671,'Informations sur les produits'!$A$3:$H$10000,8,FALSE),"0")</f>
        <v>0</v>
      </c>
      <c r="P6671" s="33">
        <f t="shared" si="416"/>
        <v>0</v>
      </c>
      <c r="Q6671" s="31" t="str">
        <f t="shared" si="417"/>
        <v/>
      </c>
      <c r="R6671" s="32" t="str">
        <f>IFERROR(VLOOKUP($D6671,'Informations sur les produits'!$A$3:$B$15000,2,FALSE),"")</f>
        <v/>
      </c>
      <c r="V6671">
        <f t="shared" si="418"/>
        <v>0</v>
      </c>
      <c r="W6671">
        <f t="shared" si="419"/>
        <v>0</v>
      </c>
    </row>
    <row r="6672" spans="5:23" x14ac:dyDescent="0.25">
      <c r="E6672" s="4"/>
      <c r="F6672" s="4"/>
      <c r="G6672" s="33" t="str">
        <f>IFERROR(VLOOKUP($D6672,'Informations sur les produits'!$A$3:$H$10000,8,FALSE),"0")</f>
        <v>0</v>
      </c>
      <c r="K6672" s="4"/>
      <c r="L6672" s="33" t="str">
        <f>IFERROR(VLOOKUP($J6672,'Informations sur les produits'!$A$3:$H$10000,8,FALSE),"0")</f>
        <v>0</v>
      </c>
      <c r="N6672" s="8"/>
      <c r="O6672" s="33" t="str">
        <f>IFERROR(VLOOKUP($M6672,'Informations sur les produits'!$A$3:$H$10000,8,FALSE),"0")</f>
        <v>0</v>
      </c>
      <c r="P6672" s="33">
        <f t="shared" si="416"/>
        <v>0</v>
      </c>
      <c r="Q6672" s="31" t="str">
        <f t="shared" si="417"/>
        <v/>
      </c>
      <c r="R6672" s="32" t="str">
        <f>IFERROR(VLOOKUP($D6672,'Informations sur les produits'!$A$3:$B$15000,2,FALSE),"")</f>
        <v/>
      </c>
      <c r="V6672">
        <f t="shared" si="418"/>
        <v>0</v>
      </c>
      <c r="W6672">
        <f t="shared" si="419"/>
        <v>0</v>
      </c>
    </row>
    <row r="6673" spans="5:23" x14ac:dyDescent="0.25">
      <c r="E6673" s="4"/>
      <c r="F6673" s="4"/>
      <c r="G6673" s="33" t="str">
        <f>IFERROR(VLOOKUP($D6673,'Informations sur les produits'!$A$3:$H$10000,8,FALSE),"0")</f>
        <v>0</v>
      </c>
      <c r="K6673" s="4"/>
      <c r="L6673" s="33" t="str">
        <f>IFERROR(VLOOKUP($J6673,'Informations sur les produits'!$A$3:$H$10000,8,FALSE),"0")</f>
        <v>0</v>
      </c>
      <c r="N6673" s="8"/>
      <c r="O6673" s="33" t="str">
        <f>IFERROR(VLOOKUP($M6673,'Informations sur les produits'!$A$3:$H$10000,8,FALSE),"0")</f>
        <v>0</v>
      </c>
      <c r="P6673" s="33">
        <f t="shared" si="416"/>
        <v>0</v>
      </c>
      <c r="Q6673" s="31" t="str">
        <f t="shared" si="417"/>
        <v/>
      </c>
      <c r="R6673" s="32" t="str">
        <f>IFERROR(VLOOKUP($D6673,'Informations sur les produits'!$A$3:$B$15000,2,FALSE),"")</f>
        <v/>
      </c>
      <c r="V6673">
        <f t="shared" si="418"/>
        <v>0</v>
      </c>
      <c r="W6673">
        <f t="shared" si="419"/>
        <v>0</v>
      </c>
    </row>
    <row r="6674" spans="5:23" x14ac:dyDescent="0.25">
      <c r="E6674" s="4"/>
      <c r="F6674" s="4"/>
      <c r="G6674" s="33" t="str">
        <f>IFERROR(VLOOKUP($D6674,'Informations sur les produits'!$A$3:$H$10000,8,FALSE),"0")</f>
        <v>0</v>
      </c>
      <c r="K6674" s="4"/>
      <c r="L6674" s="33" t="str">
        <f>IFERROR(VLOOKUP($J6674,'Informations sur les produits'!$A$3:$H$10000,8,FALSE),"0")</f>
        <v>0</v>
      </c>
      <c r="N6674" s="8"/>
      <c r="O6674" s="33" t="str">
        <f>IFERROR(VLOOKUP($M6674,'Informations sur les produits'!$A$3:$H$10000,8,FALSE),"0")</f>
        <v>0</v>
      </c>
      <c r="P6674" s="33">
        <f t="shared" si="416"/>
        <v>0</v>
      </c>
      <c r="Q6674" s="31" t="str">
        <f t="shared" si="417"/>
        <v/>
      </c>
      <c r="R6674" s="32" t="str">
        <f>IFERROR(VLOOKUP($D6674,'Informations sur les produits'!$A$3:$B$15000,2,FALSE),"")</f>
        <v/>
      </c>
      <c r="V6674">
        <f t="shared" si="418"/>
        <v>0</v>
      </c>
      <c r="W6674">
        <f t="shared" si="419"/>
        <v>0</v>
      </c>
    </row>
    <row r="6675" spans="5:23" x14ac:dyDescent="0.25">
      <c r="E6675" s="4"/>
      <c r="F6675" s="4"/>
      <c r="G6675" s="33" t="str">
        <f>IFERROR(VLOOKUP($D6675,'Informations sur les produits'!$A$3:$H$10000,8,FALSE),"0")</f>
        <v>0</v>
      </c>
      <c r="K6675" s="4"/>
      <c r="L6675" s="33" t="str">
        <f>IFERROR(VLOOKUP($J6675,'Informations sur les produits'!$A$3:$H$10000,8,FALSE),"0")</f>
        <v>0</v>
      </c>
      <c r="N6675" s="8"/>
      <c r="O6675" s="33" t="str">
        <f>IFERROR(VLOOKUP($M6675,'Informations sur les produits'!$A$3:$H$10000,8,FALSE),"0")</f>
        <v>0</v>
      </c>
      <c r="P6675" s="33">
        <f t="shared" si="416"/>
        <v>0</v>
      </c>
      <c r="Q6675" s="31" t="str">
        <f t="shared" si="417"/>
        <v/>
      </c>
      <c r="R6675" s="32" t="str">
        <f>IFERROR(VLOOKUP($D6675,'Informations sur les produits'!$A$3:$B$15000,2,FALSE),"")</f>
        <v/>
      </c>
      <c r="V6675">
        <f t="shared" si="418"/>
        <v>0</v>
      </c>
      <c r="W6675">
        <f t="shared" si="419"/>
        <v>0</v>
      </c>
    </row>
    <row r="6676" spans="5:23" x14ac:dyDescent="0.25">
      <c r="E6676" s="4"/>
      <c r="F6676" s="4"/>
      <c r="G6676" s="33" t="str">
        <f>IFERROR(VLOOKUP($D6676,'Informations sur les produits'!$A$3:$H$10000,8,FALSE),"0")</f>
        <v>0</v>
      </c>
      <c r="K6676" s="4"/>
      <c r="L6676" s="33" t="str">
        <f>IFERROR(VLOOKUP($J6676,'Informations sur les produits'!$A$3:$H$10000,8,FALSE),"0")</f>
        <v>0</v>
      </c>
      <c r="N6676" s="8"/>
      <c r="O6676" s="33" t="str">
        <f>IFERROR(VLOOKUP($M6676,'Informations sur les produits'!$A$3:$H$10000,8,FALSE),"0")</f>
        <v>0</v>
      </c>
      <c r="P6676" s="33">
        <f t="shared" si="416"/>
        <v>0</v>
      </c>
      <c r="Q6676" s="31" t="str">
        <f t="shared" si="417"/>
        <v/>
      </c>
      <c r="R6676" s="32" t="str">
        <f>IFERROR(VLOOKUP($D6676,'Informations sur les produits'!$A$3:$B$15000,2,FALSE),"")</f>
        <v/>
      </c>
      <c r="V6676">
        <f t="shared" si="418"/>
        <v>0</v>
      </c>
      <c r="W6676">
        <f t="shared" si="419"/>
        <v>0</v>
      </c>
    </row>
    <row r="6677" spans="5:23" x14ac:dyDescent="0.25">
      <c r="E6677" s="4"/>
      <c r="F6677" s="4"/>
      <c r="G6677" s="33" t="str">
        <f>IFERROR(VLOOKUP($D6677,'Informations sur les produits'!$A$3:$H$10000,8,FALSE),"0")</f>
        <v>0</v>
      </c>
      <c r="K6677" s="4"/>
      <c r="L6677" s="33" t="str">
        <f>IFERROR(VLOOKUP($J6677,'Informations sur les produits'!$A$3:$H$10000,8,FALSE),"0")</f>
        <v>0</v>
      </c>
      <c r="N6677" s="8"/>
      <c r="O6677" s="33" t="str">
        <f>IFERROR(VLOOKUP($M6677,'Informations sur les produits'!$A$3:$H$10000,8,FALSE),"0")</f>
        <v>0</v>
      </c>
      <c r="P6677" s="33">
        <f t="shared" si="416"/>
        <v>0</v>
      </c>
      <c r="Q6677" s="31" t="str">
        <f t="shared" si="417"/>
        <v/>
      </c>
      <c r="R6677" s="32" t="str">
        <f>IFERROR(VLOOKUP($D6677,'Informations sur les produits'!$A$3:$B$15000,2,FALSE),"")</f>
        <v/>
      </c>
      <c r="V6677">
        <f t="shared" si="418"/>
        <v>0</v>
      </c>
      <c r="W6677">
        <f t="shared" si="419"/>
        <v>0</v>
      </c>
    </row>
    <row r="6678" spans="5:23" x14ac:dyDescent="0.25">
      <c r="E6678" s="4"/>
      <c r="F6678" s="4"/>
      <c r="G6678" s="33" t="str">
        <f>IFERROR(VLOOKUP($D6678,'Informations sur les produits'!$A$3:$H$10000,8,FALSE),"0")</f>
        <v>0</v>
      </c>
      <c r="K6678" s="4"/>
      <c r="L6678" s="33" t="str">
        <f>IFERROR(VLOOKUP($J6678,'Informations sur les produits'!$A$3:$H$10000,8,FALSE),"0")</f>
        <v>0</v>
      </c>
      <c r="N6678" s="8"/>
      <c r="O6678" s="33" t="str">
        <f>IFERROR(VLOOKUP($M6678,'Informations sur les produits'!$A$3:$H$10000,8,FALSE),"0")</f>
        <v>0</v>
      </c>
      <c r="P6678" s="33">
        <f t="shared" si="416"/>
        <v>0</v>
      </c>
      <c r="Q6678" s="31" t="str">
        <f t="shared" si="417"/>
        <v/>
      </c>
      <c r="R6678" s="32" t="str">
        <f>IFERROR(VLOOKUP($D6678,'Informations sur les produits'!$A$3:$B$15000,2,FALSE),"")</f>
        <v/>
      </c>
      <c r="V6678">
        <f t="shared" si="418"/>
        <v>0</v>
      </c>
      <c r="W6678">
        <f t="shared" si="419"/>
        <v>0</v>
      </c>
    </row>
    <row r="6679" spans="5:23" x14ac:dyDescent="0.25">
      <c r="E6679" s="4"/>
      <c r="F6679" s="4"/>
      <c r="G6679" s="33" t="str">
        <f>IFERROR(VLOOKUP($D6679,'Informations sur les produits'!$A$3:$H$10000,8,FALSE),"0")</f>
        <v>0</v>
      </c>
      <c r="K6679" s="4"/>
      <c r="L6679" s="33" t="str">
        <f>IFERROR(VLOOKUP($J6679,'Informations sur les produits'!$A$3:$H$10000,8,FALSE),"0")</f>
        <v>0</v>
      </c>
      <c r="N6679" s="8"/>
      <c r="O6679" s="33" t="str">
        <f>IFERROR(VLOOKUP($M6679,'Informations sur les produits'!$A$3:$H$10000,8,FALSE),"0")</f>
        <v>0</v>
      </c>
      <c r="P6679" s="33">
        <f t="shared" si="416"/>
        <v>0</v>
      </c>
      <c r="Q6679" s="31" t="str">
        <f t="shared" si="417"/>
        <v/>
      </c>
      <c r="R6679" s="32" t="str">
        <f>IFERROR(VLOOKUP($D6679,'Informations sur les produits'!$A$3:$B$15000,2,FALSE),"")</f>
        <v/>
      </c>
      <c r="V6679">
        <f t="shared" si="418"/>
        <v>0</v>
      </c>
      <c r="W6679">
        <f t="shared" si="419"/>
        <v>0</v>
      </c>
    </row>
    <row r="6680" spans="5:23" x14ac:dyDescent="0.25">
      <c r="E6680" s="4"/>
      <c r="F6680" s="4"/>
      <c r="G6680" s="33" t="str">
        <f>IFERROR(VLOOKUP($D6680,'Informations sur les produits'!$A$3:$H$10000,8,FALSE),"0")</f>
        <v>0</v>
      </c>
      <c r="K6680" s="4"/>
      <c r="L6680" s="33" t="str">
        <f>IFERROR(VLOOKUP($J6680,'Informations sur les produits'!$A$3:$H$10000,8,FALSE),"0")</f>
        <v>0</v>
      </c>
      <c r="N6680" s="8"/>
      <c r="O6680" s="33" t="str">
        <f>IFERROR(VLOOKUP($M6680,'Informations sur les produits'!$A$3:$H$10000,8,FALSE),"0")</f>
        <v>0</v>
      </c>
      <c r="P6680" s="33">
        <f t="shared" si="416"/>
        <v>0</v>
      </c>
      <c r="Q6680" s="31" t="str">
        <f t="shared" si="417"/>
        <v/>
      </c>
      <c r="R6680" s="32" t="str">
        <f>IFERROR(VLOOKUP($D6680,'Informations sur les produits'!$A$3:$B$15000,2,FALSE),"")</f>
        <v/>
      </c>
      <c r="V6680">
        <f t="shared" si="418"/>
        <v>0</v>
      </c>
      <c r="W6680">
        <f t="shared" si="419"/>
        <v>0</v>
      </c>
    </row>
    <row r="6681" spans="5:23" x14ac:dyDescent="0.25">
      <c r="E6681" s="4"/>
      <c r="F6681" s="4"/>
      <c r="G6681" s="33" t="str">
        <f>IFERROR(VLOOKUP($D6681,'Informations sur les produits'!$A$3:$H$10000,8,FALSE),"0")</f>
        <v>0</v>
      </c>
      <c r="K6681" s="4"/>
      <c r="L6681" s="33" t="str">
        <f>IFERROR(VLOOKUP($J6681,'Informations sur les produits'!$A$3:$H$10000,8,FALSE),"0")</f>
        <v>0</v>
      </c>
      <c r="N6681" s="8"/>
      <c r="O6681" s="33" t="str">
        <f>IFERROR(VLOOKUP($M6681,'Informations sur les produits'!$A$3:$H$10000,8,FALSE),"0")</f>
        <v>0</v>
      </c>
      <c r="P6681" s="33">
        <f t="shared" si="416"/>
        <v>0</v>
      </c>
      <c r="Q6681" s="31" t="str">
        <f t="shared" si="417"/>
        <v/>
      </c>
      <c r="R6681" s="32" t="str">
        <f>IFERROR(VLOOKUP($D6681,'Informations sur les produits'!$A$3:$B$15000,2,FALSE),"")</f>
        <v/>
      </c>
      <c r="V6681">
        <f t="shared" si="418"/>
        <v>0</v>
      </c>
      <c r="W6681">
        <f t="shared" si="419"/>
        <v>0</v>
      </c>
    </row>
    <row r="6682" spans="5:23" x14ac:dyDescent="0.25">
      <c r="E6682" s="4"/>
      <c r="F6682" s="4"/>
      <c r="G6682" s="33" t="str">
        <f>IFERROR(VLOOKUP($D6682,'Informations sur les produits'!$A$3:$H$10000,8,FALSE),"0")</f>
        <v>0</v>
      </c>
      <c r="K6682" s="4"/>
      <c r="L6682" s="33" t="str">
        <f>IFERROR(VLOOKUP($J6682,'Informations sur les produits'!$A$3:$H$10000,8,FALSE),"0")</f>
        <v>0</v>
      </c>
      <c r="N6682" s="8"/>
      <c r="O6682" s="33" t="str">
        <f>IFERROR(VLOOKUP($M6682,'Informations sur les produits'!$A$3:$H$10000,8,FALSE),"0")</f>
        <v>0</v>
      </c>
      <c r="P6682" s="33">
        <f t="shared" si="416"/>
        <v>0</v>
      </c>
      <c r="Q6682" s="31" t="str">
        <f t="shared" si="417"/>
        <v/>
      </c>
      <c r="R6682" s="32" t="str">
        <f>IFERROR(VLOOKUP($D6682,'Informations sur les produits'!$A$3:$B$15000,2,FALSE),"")</f>
        <v/>
      </c>
      <c r="V6682">
        <f t="shared" si="418"/>
        <v>0</v>
      </c>
      <c r="W6682">
        <f t="shared" si="419"/>
        <v>0</v>
      </c>
    </row>
    <row r="6683" spans="5:23" x14ac:dyDescent="0.25">
      <c r="E6683" s="4"/>
      <c r="F6683" s="4"/>
      <c r="G6683" s="33" t="str">
        <f>IFERROR(VLOOKUP($D6683,'Informations sur les produits'!$A$3:$H$10000,8,FALSE),"0")</f>
        <v>0</v>
      </c>
      <c r="K6683" s="4"/>
      <c r="L6683" s="33" t="str">
        <f>IFERROR(VLOOKUP($J6683,'Informations sur les produits'!$A$3:$H$10000,8,FALSE),"0")</f>
        <v>0</v>
      </c>
      <c r="N6683" s="8"/>
      <c r="O6683" s="33" t="str">
        <f>IFERROR(VLOOKUP($M6683,'Informations sur les produits'!$A$3:$H$10000,8,FALSE),"0")</f>
        <v>0</v>
      </c>
      <c r="P6683" s="33">
        <f t="shared" si="416"/>
        <v>0</v>
      </c>
      <c r="Q6683" s="31" t="str">
        <f t="shared" si="417"/>
        <v/>
      </c>
      <c r="R6683" s="32" t="str">
        <f>IFERROR(VLOOKUP($D6683,'Informations sur les produits'!$A$3:$B$15000,2,FALSE),"")</f>
        <v/>
      </c>
      <c r="V6683">
        <f t="shared" si="418"/>
        <v>0</v>
      </c>
      <c r="W6683">
        <f t="shared" si="419"/>
        <v>0</v>
      </c>
    </row>
    <row r="6684" spans="5:23" x14ac:dyDescent="0.25">
      <c r="E6684" s="4"/>
      <c r="F6684" s="4"/>
      <c r="G6684" s="33" t="str">
        <f>IFERROR(VLOOKUP($D6684,'Informations sur les produits'!$A$3:$H$10000,8,FALSE),"0")</f>
        <v>0</v>
      </c>
      <c r="K6684" s="4"/>
      <c r="L6684" s="33" t="str">
        <f>IFERROR(VLOOKUP($J6684,'Informations sur les produits'!$A$3:$H$10000,8,FALSE),"0")</f>
        <v>0</v>
      </c>
      <c r="N6684" s="8"/>
      <c r="O6684" s="33" t="str">
        <f>IFERROR(VLOOKUP($M6684,'Informations sur les produits'!$A$3:$H$10000,8,FALSE),"0")</f>
        <v>0</v>
      </c>
      <c r="P6684" s="33">
        <f t="shared" si="416"/>
        <v>0</v>
      </c>
      <c r="Q6684" s="31" t="str">
        <f t="shared" si="417"/>
        <v/>
      </c>
      <c r="R6684" s="32" t="str">
        <f>IFERROR(VLOOKUP($D6684,'Informations sur les produits'!$A$3:$B$15000,2,FALSE),"")</f>
        <v/>
      </c>
      <c r="V6684">
        <f t="shared" si="418"/>
        <v>0</v>
      </c>
      <c r="W6684">
        <f t="shared" si="419"/>
        <v>0</v>
      </c>
    </row>
    <row r="6685" spans="5:23" x14ac:dyDescent="0.25">
      <c r="E6685" s="4"/>
      <c r="F6685" s="4"/>
      <c r="G6685" s="33" t="str">
        <f>IFERROR(VLOOKUP($D6685,'Informations sur les produits'!$A$3:$H$10000,8,FALSE),"0")</f>
        <v>0</v>
      </c>
      <c r="K6685" s="4"/>
      <c r="L6685" s="33" t="str">
        <f>IFERROR(VLOOKUP($J6685,'Informations sur les produits'!$A$3:$H$10000,8,FALSE),"0")</f>
        <v>0</v>
      </c>
      <c r="N6685" s="8"/>
      <c r="O6685" s="33" t="str">
        <f>IFERROR(VLOOKUP($M6685,'Informations sur les produits'!$A$3:$H$10000,8,FALSE),"0")</f>
        <v>0</v>
      </c>
      <c r="P6685" s="33">
        <f t="shared" si="416"/>
        <v>0</v>
      </c>
      <c r="Q6685" s="31" t="str">
        <f t="shared" si="417"/>
        <v/>
      </c>
      <c r="R6685" s="32" t="str">
        <f>IFERROR(VLOOKUP($D6685,'Informations sur les produits'!$A$3:$B$15000,2,FALSE),"")</f>
        <v/>
      </c>
      <c r="V6685">
        <f t="shared" si="418"/>
        <v>0</v>
      </c>
      <c r="W6685">
        <f t="shared" si="419"/>
        <v>0</v>
      </c>
    </row>
    <row r="6686" spans="5:23" x14ac:dyDescent="0.25">
      <c r="E6686" s="4"/>
      <c r="F6686" s="4"/>
      <c r="G6686" s="33" t="str">
        <f>IFERROR(VLOOKUP($D6686,'Informations sur les produits'!$A$3:$H$10000,8,FALSE),"0")</f>
        <v>0</v>
      </c>
      <c r="K6686" s="4"/>
      <c r="L6686" s="33" t="str">
        <f>IFERROR(VLOOKUP($J6686,'Informations sur les produits'!$A$3:$H$10000,8,FALSE),"0")</f>
        <v>0</v>
      </c>
      <c r="N6686" s="8"/>
      <c r="O6686" s="33" t="str">
        <f>IFERROR(VLOOKUP($M6686,'Informations sur les produits'!$A$3:$H$10000,8,FALSE),"0")</f>
        <v>0</v>
      </c>
      <c r="P6686" s="33">
        <f t="shared" si="416"/>
        <v>0</v>
      </c>
      <c r="Q6686" s="31" t="str">
        <f t="shared" si="417"/>
        <v/>
      </c>
      <c r="R6686" s="32" t="str">
        <f>IFERROR(VLOOKUP($D6686,'Informations sur les produits'!$A$3:$B$15000,2,FALSE),"")</f>
        <v/>
      </c>
      <c r="V6686">
        <f t="shared" si="418"/>
        <v>0</v>
      </c>
      <c r="W6686">
        <f t="shared" si="419"/>
        <v>0</v>
      </c>
    </row>
    <row r="6687" spans="5:23" x14ac:dyDescent="0.25">
      <c r="E6687" s="4"/>
      <c r="F6687" s="4"/>
      <c r="G6687" s="33" t="str">
        <f>IFERROR(VLOOKUP($D6687,'Informations sur les produits'!$A$3:$H$10000,8,FALSE),"0")</f>
        <v>0</v>
      </c>
      <c r="K6687" s="4"/>
      <c r="L6687" s="33" t="str">
        <f>IFERROR(VLOOKUP($J6687,'Informations sur les produits'!$A$3:$H$10000,8,FALSE),"0")</f>
        <v>0</v>
      </c>
      <c r="N6687" s="8"/>
      <c r="O6687" s="33" t="str">
        <f>IFERROR(VLOOKUP($M6687,'Informations sur les produits'!$A$3:$H$10000,8,FALSE),"0")</f>
        <v>0</v>
      </c>
      <c r="P6687" s="33">
        <f t="shared" si="416"/>
        <v>0</v>
      </c>
      <c r="Q6687" s="31" t="str">
        <f t="shared" si="417"/>
        <v/>
      </c>
      <c r="R6687" s="32" t="str">
        <f>IFERROR(VLOOKUP($D6687,'Informations sur les produits'!$A$3:$B$15000,2,FALSE),"")</f>
        <v/>
      </c>
      <c r="V6687">
        <f t="shared" si="418"/>
        <v>0</v>
      </c>
      <c r="W6687">
        <f t="shared" si="419"/>
        <v>0</v>
      </c>
    </row>
    <row r="6688" spans="5:23" x14ac:dyDescent="0.25">
      <c r="E6688" s="4"/>
      <c r="F6688" s="4"/>
      <c r="G6688" s="33" t="str">
        <f>IFERROR(VLOOKUP($D6688,'Informations sur les produits'!$A$3:$H$10000,8,FALSE),"0")</f>
        <v>0</v>
      </c>
      <c r="K6688" s="4"/>
      <c r="L6688" s="33" t="str">
        <f>IFERROR(VLOOKUP($J6688,'Informations sur les produits'!$A$3:$H$10000,8,FALSE),"0")</f>
        <v>0</v>
      </c>
      <c r="N6688" s="8"/>
      <c r="O6688" s="33" t="str">
        <f>IFERROR(VLOOKUP($M6688,'Informations sur les produits'!$A$3:$H$10000,8,FALSE),"0")</f>
        <v>0</v>
      </c>
      <c r="P6688" s="33">
        <f t="shared" si="416"/>
        <v>0</v>
      </c>
      <c r="Q6688" s="31" t="str">
        <f t="shared" si="417"/>
        <v/>
      </c>
      <c r="R6688" s="32" t="str">
        <f>IFERROR(VLOOKUP($D6688,'Informations sur les produits'!$A$3:$B$15000,2,FALSE),"")</f>
        <v/>
      </c>
      <c r="V6688">
        <f t="shared" si="418"/>
        <v>0</v>
      </c>
      <c r="W6688">
        <f t="shared" si="419"/>
        <v>0</v>
      </c>
    </row>
    <row r="6689" spans="5:23" x14ac:dyDescent="0.25">
      <c r="E6689" s="4"/>
      <c r="F6689" s="4"/>
      <c r="G6689" s="33" t="str">
        <f>IFERROR(VLOOKUP($D6689,'Informations sur les produits'!$A$3:$H$10000,8,FALSE),"0")</f>
        <v>0</v>
      </c>
      <c r="K6689" s="4"/>
      <c r="L6689" s="33" t="str">
        <f>IFERROR(VLOOKUP($J6689,'Informations sur les produits'!$A$3:$H$10000,8,FALSE),"0")</f>
        <v>0</v>
      </c>
      <c r="N6689" s="8"/>
      <c r="O6689" s="33" t="str">
        <f>IFERROR(VLOOKUP($M6689,'Informations sur les produits'!$A$3:$H$10000,8,FALSE),"0")</f>
        <v>0</v>
      </c>
      <c r="P6689" s="33">
        <f t="shared" si="416"/>
        <v>0</v>
      </c>
      <c r="Q6689" s="31" t="str">
        <f t="shared" si="417"/>
        <v/>
      </c>
      <c r="R6689" s="32" t="str">
        <f>IFERROR(VLOOKUP($D6689,'Informations sur les produits'!$A$3:$B$15000,2,FALSE),"")</f>
        <v/>
      </c>
      <c r="V6689">
        <f t="shared" si="418"/>
        <v>0</v>
      </c>
      <c r="W6689">
        <f t="shared" si="419"/>
        <v>0</v>
      </c>
    </row>
    <row r="6690" spans="5:23" x14ac:dyDescent="0.25">
      <c r="E6690" s="4"/>
      <c r="F6690" s="4"/>
      <c r="G6690" s="33" t="str">
        <f>IFERROR(VLOOKUP($D6690,'Informations sur les produits'!$A$3:$H$10000,8,FALSE),"0")</f>
        <v>0</v>
      </c>
      <c r="K6690" s="4"/>
      <c r="L6690" s="33" t="str">
        <f>IFERROR(VLOOKUP($J6690,'Informations sur les produits'!$A$3:$H$10000,8,FALSE),"0")</f>
        <v>0</v>
      </c>
      <c r="N6690" s="8"/>
      <c r="O6690" s="33" t="str">
        <f>IFERROR(VLOOKUP($M6690,'Informations sur les produits'!$A$3:$H$10000,8,FALSE),"0")</f>
        <v>0</v>
      </c>
      <c r="P6690" s="33">
        <f t="shared" si="416"/>
        <v>0</v>
      </c>
      <c r="Q6690" s="31" t="str">
        <f t="shared" si="417"/>
        <v/>
      </c>
      <c r="R6690" s="32" t="str">
        <f>IFERROR(VLOOKUP($D6690,'Informations sur les produits'!$A$3:$B$15000,2,FALSE),"")</f>
        <v/>
      </c>
      <c r="V6690">
        <f t="shared" si="418"/>
        <v>0</v>
      </c>
      <c r="W6690">
        <f t="shared" si="419"/>
        <v>0</v>
      </c>
    </row>
    <row r="6691" spans="5:23" x14ac:dyDescent="0.25">
      <c r="E6691" s="4"/>
      <c r="F6691" s="4"/>
      <c r="G6691" s="33" t="str">
        <f>IFERROR(VLOOKUP($D6691,'Informations sur les produits'!$A$3:$H$10000,8,FALSE),"0")</f>
        <v>0</v>
      </c>
      <c r="K6691" s="4"/>
      <c r="L6691" s="33" t="str">
        <f>IFERROR(VLOOKUP($J6691,'Informations sur les produits'!$A$3:$H$10000,8,FALSE),"0")</f>
        <v>0</v>
      </c>
      <c r="N6691" s="8"/>
      <c r="O6691" s="33" t="str">
        <f>IFERROR(VLOOKUP($M6691,'Informations sur les produits'!$A$3:$H$10000,8,FALSE),"0")</f>
        <v>0</v>
      </c>
      <c r="P6691" s="33">
        <f t="shared" si="416"/>
        <v>0</v>
      </c>
      <c r="Q6691" s="31" t="str">
        <f t="shared" si="417"/>
        <v/>
      </c>
      <c r="R6691" s="32" t="str">
        <f>IFERROR(VLOOKUP($D6691,'Informations sur les produits'!$A$3:$B$15000,2,FALSE),"")</f>
        <v/>
      </c>
      <c r="V6691">
        <f t="shared" si="418"/>
        <v>0</v>
      </c>
      <c r="W6691">
        <f t="shared" si="419"/>
        <v>0</v>
      </c>
    </row>
    <row r="6692" spans="5:23" x14ac:dyDescent="0.25">
      <c r="E6692" s="4"/>
      <c r="F6692" s="4"/>
      <c r="G6692" s="33" t="str">
        <f>IFERROR(VLOOKUP($D6692,'Informations sur les produits'!$A$3:$H$10000,8,FALSE),"0")</f>
        <v>0</v>
      </c>
      <c r="K6692" s="4"/>
      <c r="L6692" s="33" t="str">
        <f>IFERROR(VLOOKUP($J6692,'Informations sur les produits'!$A$3:$H$10000,8,FALSE),"0")</f>
        <v>0</v>
      </c>
      <c r="N6692" s="8"/>
      <c r="O6692" s="33" t="str">
        <f>IFERROR(VLOOKUP($M6692,'Informations sur les produits'!$A$3:$H$10000,8,FALSE),"0")</f>
        <v>0</v>
      </c>
      <c r="P6692" s="33">
        <f t="shared" si="416"/>
        <v>0</v>
      </c>
      <c r="Q6692" s="31" t="str">
        <f t="shared" si="417"/>
        <v/>
      </c>
      <c r="R6692" s="32" t="str">
        <f>IFERROR(VLOOKUP($D6692,'Informations sur les produits'!$A$3:$B$15000,2,FALSE),"")</f>
        <v/>
      </c>
      <c r="V6692">
        <f t="shared" si="418"/>
        <v>0</v>
      </c>
      <c r="W6692">
        <f t="shared" si="419"/>
        <v>0</v>
      </c>
    </row>
    <row r="6693" spans="5:23" x14ac:dyDescent="0.25">
      <c r="E6693" s="4"/>
      <c r="F6693" s="4"/>
      <c r="G6693" s="33" t="str">
        <f>IFERROR(VLOOKUP($D6693,'Informations sur les produits'!$A$3:$H$10000,8,FALSE),"0")</f>
        <v>0</v>
      </c>
      <c r="K6693" s="4"/>
      <c r="L6693" s="33" t="str">
        <f>IFERROR(VLOOKUP($J6693,'Informations sur les produits'!$A$3:$H$10000,8,FALSE),"0")</f>
        <v>0</v>
      </c>
      <c r="N6693" s="8"/>
      <c r="O6693" s="33" t="str">
        <f>IFERROR(VLOOKUP($M6693,'Informations sur les produits'!$A$3:$H$10000,8,FALSE),"0")</f>
        <v>0</v>
      </c>
      <c r="P6693" s="33">
        <f t="shared" si="416"/>
        <v>0</v>
      </c>
      <c r="Q6693" s="31" t="str">
        <f t="shared" si="417"/>
        <v/>
      </c>
      <c r="R6693" s="32" t="str">
        <f>IFERROR(VLOOKUP($D6693,'Informations sur les produits'!$A$3:$B$15000,2,FALSE),"")</f>
        <v/>
      </c>
      <c r="V6693">
        <f t="shared" si="418"/>
        <v>0</v>
      </c>
      <c r="W6693">
        <f t="shared" si="419"/>
        <v>0</v>
      </c>
    </row>
    <row r="6694" spans="5:23" x14ac:dyDescent="0.25">
      <c r="E6694" s="4"/>
      <c r="F6694" s="4"/>
      <c r="G6694" s="33" t="str">
        <f>IFERROR(VLOOKUP($D6694,'Informations sur les produits'!$A$3:$H$10000,8,FALSE),"0")</f>
        <v>0</v>
      </c>
      <c r="K6694" s="4"/>
      <c r="L6694" s="33" t="str">
        <f>IFERROR(VLOOKUP($J6694,'Informations sur les produits'!$A$3:$H$10000,8,FALSE),"0")</f>
        <v>0</v>
      </c>
      <c r="N6694" s="8"/>
      <c r="O6694" s="33" t="str">
        <f>IFERROR(VLOOKUP($M6694,'Informations sur les produits'!$A$3:$H$10000,8,FALSE),"0")</f>
        <v>0</v>
      </c>
      <c r="P6694" s="33">
        <f t="shared" si="416"/>
        <v>0</v>
      </c>
      <c r="Q6694" s="31" t="str">
        <f t="shared" si="417"/>
        <v/>
      </c>
      <c r="R6694" s="32" t="str">
        <f>IFERROR(VLOOKUP($D6694,'Informations sur les produits'!$A$3:$B$15000,2,FALSE),"")</f>
        <v/>
      </c>
      <c r="V6694">
        <f t="shared" si="418"/>
        <v>0</v>
      </c>
      <c r="W6694">
        <f t="shared" si="419"/>
        <v>0</v>
      </c>
    </row>
    <row r="6695" spans="5:23" x14ac:dyDescent="0.25">
      <c r="E6695" s="4"/>
      <c r="F6695" s="4"/>
      <c r="G6695" s="33" t="str">
        <f>IFERROR(VLOOKUP($D6695,'Informations sur les produits'!$A$3:$H$10000,8,FALSE),"0")</f>
        <v>0</v>
      </c>
      <c r="K6695" s="4"/>
      <c r="L6695" s="33" t="str">
        <f>IFERROR(VLOOKUP($J6695,'Informations sur les produits'!$A$3:$H$10000,8,FALSE),"0")</f>
        <v>0</v>
      </c>
      <c r="N6695" s="8"/>
      <c r="O6695" s="33" t="str">
        <f>IFERROR(VLOOKUP($M6695,'Informations sur les produits'!$A$3:$H$10000,8,FALSE),"0")</f>
        <v>0</v>
      </c>
      <c r="P6695" s="33">
        <f t="shared" si="416"/>
        <v>0</v>
      </c>
      <c r="Q6695" s="31" t="str">
        <f t="shared" si="417"/>
        <v/>
      </c>
      <c r="R6695" s="32" t="str">
        <f>IFERROR(VLOOKUP($D6695,'Informations sur les produits'!$A$3:$B$15000,2,FALSE),"")</f>
        <v/>
      </c>
      <c r="V6695">
        <f t="shared" si="418"/>
        <v>0</v>
      </c>
      <c r="W6695">
        <f t="shared" si="419"/>
        <v>0</v>
      </c>
    </row>
    <row r="6696" spans="5:23" x14ac:dyDescent="0.25">
      <c r="E6696" s="4"/>
      <c r="F6696" s="4"/>
      <c r="G6696" s="33" t="str">
        <f>IFERROR(VLOOKUP($D6696,'Informations sur les produits'!$A$3:$H$10000,8,FALSE),"0")</f>
        <v>0</v>
      </c>
      <c r="K6696" s="4"/>
      <c r="L6696" s="33" t="str">
        <f>IFERROR(VLOOKUP($J6696,'Informations sur les produits'!$A$3:$H$10000,8,FALSE),"0")</f>
        <v>0</v>
      </c>
      <c r="N6696" s="8"/>
      <c r="O6696" s="33" t="str">
        <f>IFERROR(VLOOKUP($M6696,'Informations sur les produits'!$A$3:$H$10000,8,FALSE),"0")</f>
        <v>0</v>
      </c>
      <c r="P6696" s="33">
        <f t="shared" si="416"/>
        <v>0</v>
      </c>
      <c r="Q6696" s="31" t="str">
        <f t="shared" si="417"/>
        <v/>
      </c>
      <c r="R6696" s="32" t="str">
        <f>IFERROR(VLOOKUP($D6696,'Informations sur les produits'!$A$3:$B$15000,2,FALSE),"")</f>
        <v/>
      </c>
      <c r="V6696">
        <f t="shared" si="418"/>
        <v>0</v>
      </c>
      <c r="W6696">
        <f t="shared" si="419"/>
        <v>0</v>
      </c>
    </row>
    <row r="6697" spans="5:23" x14ac:dyDescent="0.25">
      <c r="E6697" s="4"/>
      <c r="F6697" s="4"/>
      <c r="G6697" s="33" t="str">
        <f>IFERROR(VLOOKUP($D6697,'Informations sur les produits'!$A$3:$H$10000,8,FALSE),"0")</f>
        <v>0</v>
      </c>
      <c r="K6697" s="4"/>
      <c r="L6697" s="33" t="str">
        <f>IFERROR(VLOOKUP($J6697,'Informations sur les produits'!$A$3:$H$10000,8,FALSE),"0")</f>
        <v>0</v>
      </c>
      <c r="N6697" s="8"/>
      <c r="O6697" s="33" t="str">
        <f>IFERROR(VLOOKUP($M6697,'Informations sur les produits'!$A$3:$H$10000,8,FALSE),"0")</f>
        <v>0</v>
      </c>
      <c r="P6697" s="33">
        <f t="shared" si="416"/>
        <v>0</v>
      </c>
      <c r="Q6697" s="31" t="str">
        <f t="shared" si="417"/>
        <v/>
      </c>
      <c r="R6697" s="32" t="str">
        <f>IFERROR(VLOOKUP($D6697,'Informations sur les produits'!$A$3:$B$15000,2,FALSE),"")</f>
        <v/>
      </c>
      <c r="V6697">
        <f t="shared" si="418"/>
        <v>0</v>
      </c>
      <c r="W6697">
        <f t="shared" si="419"/>
        <v>0</v>
      </c>
    </row>
    <row r="6698" spans="5:23" x14ac:dyDescent="0.25">
      <c r="E6698" s="4"/>
      <c r="F6698" s="4"/>
      <c r="G6698" s="33" t="str">
        <f>IFERROR(VLOOKUP($D6698,'Informations sur les produits'!$A$3:$H$10000,8,FALSE),"0")</f>
        <v>0</v>
      </c>
      <c r="K6698" s="4"/>
      <c r="L6698" s="33" t="str">
        <f>IFERROR(VLOOKUP($J6698,'Informations sur les produits'!$A$3:$H$10000,8,FALSE),"0")</f>
        <v>0</v>
      </c>
      <c r="N6698" s="8"/>
      <c r="O6698" s="33" t="str">
        <f>IFERROR(VLOOKUP($M6698,'Informations sur les produits'!$A$3:$H$10000,8,FALSE),"0")</f>
        <v>0</v>
      </c>
      <c r="P6698" s="33">
        <f t="shared" si="416"/>
        <v>0</v>
      </c>
      <c r="Q6698" s="31" t="str">
        <f t="shared" si="417"/>
        <v/>
      </c>
      <c r="R6698" s="32" t="str">
        <f>IFERROR(VLOOKUP($D6698,'Informations sur les produits'!$A$3:$B$15000,2,FALSE),"")</f>
        <v/>
      </c>
      <c r="V6698">
        <f t="shared" si="418"/>
        <v>0</v>
      </c>
      <c r="W6698">
        <f t="shared" si="419"/>
        <v>0</v>
      </c>
    </row>
    <row r="6699" spans="5:23" x14ac:dyDescent="0.25">
      <c r="E6699" s="4"/>
      <c r="F6699" s="4"/>
      <c r="G6699" s="33" t="str">
        <f>IFERROR(VLOOKUP($D6699,'Informations sur les produits'!$A$3:$H$10000,8,FALSE),"0")</f>
        <v>0</v>
      </c>
      <c r="K6699" s="4"/>
      <c r="L6699" s="33" t="str">
        <f>IFERROR(VLOOKUP($J6699,'Informations sur les produits'!$A$3:$H$10000,8,FALSE),"0")</f>
        <v>0</v>
      </c>
      <c r="N6699" s="8"/>
      <c r="O6699" s="33" t="str">
        <f>IFERROR(VLOOKUP($M6699,'Informations sur les produits'!$A$3:$H$10000,8,FALSE),"0")</f>
        <v>0</v>
      </c>
      <c r="P6699" s="33">
        <f t="shared" si="416"/>
        <v>0</v>
      </c>
      <c r="Q6699" s="31" t="str">
        <f t="shared" si="417"/>
        <v/>
      </c>
      <c r="R6699" s="32" t="str">
        <f>IFERROR(VLOOKUP($D6699,'Informations sur les produits'!$A$3:$B$15000,2,FALSE),"")</f>
        <v/>
      </c>
      <c r="V6699">
        <f t="shared" si="418"/>
        <v>0</v>
      </c>
      <c r="W6699">
        <f t="shared" si="419"/>
        <v>0</v>
      </c>
    </row>
    <row r="6700" spans="5:23" x14ac:dyDescent="0.25">
      <c r="E6700" s="4"/>
      <c r="F6700" s="4"/>
      <c r="G6700" s="33" t="str">
        <f>IFERROR(VLOOKUP($D6700,'Informations sur les produits'!$A$3:$H$10000,8,FALSE),"0")</f>
        <v>0</v>
      </c>
      <c r="K6700" s="4"/>
      <c r="L6700" s="33" t="str">
        <f>IFERROR(VLOOKUP($J6700,'Informations sur les produits'!$A$3:$H$10000,8,FALSE),"0")</f>
        <v>0</v>
      </c>
      <c r="N6700" s="8"/>
      <c r="O6700" s="33" t="str">
        <f>IFERROR(VLOOKUP($M6700,'Informations sur les produits'!$A$3:$H$10000,8,FALSE),"0")</f>
        <v>0</v>
      </c>
      <c r="P6700" s="33">
        <f t="shared" si="416"/>
        <v>0</v>
      </c>
      <c r="Q6700" s="31" t="str">
        <f t="shared" si="417"/>
        <v/>
      </c>
      <c r="R6700" s="32" t="str">
        <f>IFERROR(VLOOKUP($D6700,'Informations sur les produits'!$A$3:$B$15000,2,FALSE),"")</f>
        <v/>
      </c>
      <c r="V6700">
        <f t="shared" si="418"/>
        <v>0</v>
      </c>
      <c r="W6700">
        <f t="shared" si="419"/>
        <v>0</v>
      </c>
    </row>
    <row r="6701" spans="5:23" x14ac:dyDescent="0.25">
      <c r="E6701" s="4"/>
      <c r="F6701" s="4"/>
      <c r="G6701" s="33" t="str">
        <f>IFERROR(VLOOKUP($D6701,'Informations sur les produits'!$A$3:$H$10000,8,FALSE),"0")</f>
        <v>0</v>
      </c>
      <c r="K6701" s="4"/>
      <c r="L6701" s="33" t="str">
        <f>IFERROR(VLOOKUP($J6701,'Informations sur les produits'!$A$3:$H$10000,8,FALSE),"0")</f>
        <v>0</v>
      </c>
      <c r="N6701" s="8"/>
      <c r="O6701" s="33" t="str">
        <f>IFERROR(VLOOKUP($M6701,'Informations sur les produits'!$A$3:$H$10000,8,FALSE),"0")</f>
        <v>0</v>
      </c>
      <c r="P6701" s="33">
        <f t="shared" si="416"/>
        <v>0</v>
      </c>
      <c r="Q6701" s="31" t="str">
        <f t="shared" si="417"/>
        <v/>
      </c>
      <c r="R6701" s="32" t="str">
        <f>IFERROR(VLOOKUP($D6701,'Informations sur les produits'!$A$3:$B$15000,2,FALSE),"")</f>
        <v/>
      </c>
      <c r="V6701">
        <f t="shared" si="418"/>
        <v>0</v>
      </c>
      <c r="W6701">
        <f t="shared" si="419"/>
        <v>0</v>
      </c>
    </row>
    <row r="6702" spans="5:23" x14ac:dyDescent="0.25">
      <c r="E6702" s="4"/>
      <c r="F6702" s="4"/>
      <c r="G6702" s="33" t="str">
        <f>IFERROR(VLOOKUP($D6702,'Informations sur les produits'!$A$3:$H$10000,8,FALSE),"0")</f>
        <v>0</v>
      </c>
      <c r="K6702" s="4"/>
      <c r="L6702" s="33" t="str">
        <f>IFERROR(VLOOKUP($J6702,'Informations sur les produits'!$A$3:$H$10000,8,FALSE),"0")</f>
        <v>0</v>
      </c>
      <c r="N6702" s="8"/>
      <c r="O6702" s="33" t="str">
        <f>IFERROR(VLOOKUP($M6702,'Informations sur les produits'!$A$3:$H$10000,8,FALSE),"0")</f>
        <v>0</v>
      </c>
      <c r="P6702" s="33">
        <f t="shared" si="416"/>
        <v>0</v>
      </c>
      <c r="Q6702" s="31" t="str">
        <f t="shared" si="417"/>
        <v/>
      </c>
      <c r="R6702" s="32" t="str">
        <f>IFERROR(VLOOKUP($D6702,'Informations sur les produits'!$A$3:$B$15000,2,FALSE),"")</f>
        <v/>
      </c>
      <c r="V6702">
        <f t="shared" si="418"/>
        <v>0</v>
      </c>
      <c r="W6702">
        <f t="shared" si="419"/>
        <v>0</v>
      </c>
    </row>
    <row r="6703" spans="5:23" x14ac:dyDescent="0.25">
      <c r="E6703" s="4"/>
      <c r="F6703" s="4"/>
      <c r="G6703" s="33" t="str">
        <f>IFERROR(VLOOKUP($D6703,'Informations sur les produits'!$A$3:$H$10000,8,FALSE),"0")</f>
        <v>0</v>
      </c>
      <c r="K6703" s="4"/>
      <c r="L6703" s="33" t="str">
        <f>IFERROR(VLOOKUP($J6703,'Informations sur les produits'!$A$3:$H$10000,8,FALSE),"0")</f>
        <v>0</v>
      </c>
      <c r="N6703" s="8"/>
      <c r="O6703" s="33" t="str">
        <f>IFERROR(VLOOKUP($M6703,'Informations sur les produits'!$A$3:$H$10000,8,FALSE),"0")</f>
        <v>0</v>
      </c>
      <c r="P6703" s="33">
        <f t="shared" si="416"/>
        <v>0</v>
      </c>
      <c r="Q6703" s="31" t="str">
        <f t="shared" si="417"/>
        <v/>
      </c>
      <c r="R6703" s="32" t="str">
        <f>IFERROR(VLOOKUP($D6703,'Informations sur les produits'!$A$3:$B$15000,2,FALSE),"")</f>
        <v/>
      </c>
      <c r="V6703">
        <f t="shared" si="418"/>
        <v>0</v>
      </c>
      <c r="W6703">
        <f t="shared" si="419"/>
        <v>0</v>
      </c>
    </row>
    <row r="6704" spans="5:23" x14ac:dyDescent="0.25">
      <c r="E6704" s="4"/>
      <c r="F6704" s="4"/>
      <c r="G6704" s="33" t="str">
        <f>IFERROR(VLOOKUP($D6704,'Informations sur les produits'!$A$3:$H$10000,8,FALSE),"0")</f>
        <v>0</v>
      </c>
      <c r="K6704" s="4"/>
      <c r="L6704" s="33" t="str">
        <f>IFERROR(VLOOKUP($J6704,'Informations sur les produits'!$A$3:$H$10000,8,FALSE),"0")</f>
        <v>0</v>
      </c>
      <c r="N6704" s="8"/>
      <c r="O6704" s="33" t="str">
        <f>IFERROR(VLOOKUP($M6704,'Informations sur les produits'!$A$3:$H$10000,8,FALSE),"0")</f>
        <v>0</v>
      </c>
      <c r="P6704" s="33">
        <f t="shared" si="416"/>
        <v>0</v>
      </c>
      <c r="Q6704" s="31" t="str">
        <f t="shared" si="417"/>
        <v/>
      </c>
      <c r="R6704" s="32" t="str">
        <f>IFERROR(VLOOKUP($D6704,'Informations sur les produits'!$A$3:$B$15000,2,FALSE),"")</f>
        <v/>
      </c>
      <c r="V6704">
        <f t="shared" si="418"/>
        <v>0</v>
      </c>
      <c r="W6704">
        <f t="shared" si="419"/>
        <v>0</v>
      </c>
    </row>
    <row r="6705" spans="5:23" x14ac:dyDescent="0.25">
      <c r="E6705" s="4"/>
      <c r="F6705" s="4"/>
      <c r="G6705" s="33" t="str">
        <f>IFERROR(VLOOKUP($D6705,'Informations sur les produits'!$A$3:$H$10000,8,FALSE),"0")</f>
        <v>0</v>
      </c>
      <c r="K6705" s="4"/>
      <c r="L6705" s="33" t="str">
        <f>IFERROR(VLOOKUP($J6705,'Informations sur les produits'!$A$3:$H$10000,8,FALSE),"0")</f>
        <v>0</v>
      </c>
      <c r="N6705" s="8"/>
      <c r="O6705" s="33" t="str">
        <f>IFERROR(VLOOKUP($M6705,'Informations sur les produits'!$A$3:$H$10000,8,FALSE),"0")</f>
        <v>0</v>
      </c>
      <c r="P6705" s="33">
        <f t="shared" si="416"/>
        <v>0</v>
      </c>
      <c r="Q6705" s="31" t="str">
        <f t="shared" si="417"/>
        <v/>
      </c>
      <c r="R6705" s="32" t="str">
        <f>IFERROR(VLOOKUP($D6705,'Informations sur les produits'!$A$3:$B$15000,2,FALSE),"")</f>
        <v/>
      </c>
      <c r="V6705">
        <f t="shared" si="418"/>
        <v>0</v>
      </c>
      <c r="W6705">
        <f t="shared" si="419"/>
        <v>0</v>
      </c>
    </row>
    <row r="6706" spans="5:23" x14ac:dyDescent="0.25">
      <c r="E6706" s="4"/>
      <c r="F6706" s="4"/>
      <c r="G6706" s="33" t="str">
        <f>IFERROR(VLOOKUP($D6706,'Informations sur les produits'!$A$3:$H$10000,8,FALSE),"0")</f>
        <v>0</v>
      </c>
      <c r="K6706" s="4"/>
      <c r="L6706" s="33" t="str">
        <f>IFERROR(VLOOKUP($J6706,'Informations sur les produits'!$A$3:$H$10000,8,FALSE),"0")</f>
        <v>0</v>
      </c>
      <c r="N6706" s="8"/>
      <c r="O6706" s="33" t="str">
        <f>IFERROR(VLOOKUP($M6706,'Informations sur les produits'!$A$3:$H$10000,8,FALSE),"0")</f>
        <v>0</v>
      </c>
      <c r="P6706" s="33">
        <f t="shared" si="416"/>
        <v>0</v>
      </c>
      <c r="Q6706" s="31" t="str">
        <f t="shared" si="417"/>
        <v/>
      </c>
      <c r="R6706" s="32" t="str">
        <f>IFERROR(VLOOKUP($D6706,'Informations sur les produits'!$A$3:$B$15000,2,FALSE),"")</f>
        <v/>
      </c>
      <c r="V6706">
        <f t="shared" si="418"/>
        <v>0</v>
      </c>
      <c r="W6706">
        <f t="shared" si="419"/>
        <v>0</v>
      </c>
    </row>
    <row r="6707" spans="5:23" x14ac:dyDescent="0.25">
      <c r="E6707" s="4"/>
      <c r="F6707" s="4"/>
      <c r="G6707" s="33" t="str">
        <f>IFERROR(VLOOKUP($D6707,'Informations sur les produits'!$A$3:$H$10000,8,FALSE),"0")</f>
        <v>0</v>
      </c>
      <c r="K6707" s="4"/>
      <c r="L6707" s="33" t="str">
        <f>IFERROR(VLOOKUP($J6707,'Informations sur les produits'!$A$3:$H$10000,8,FALSE),"0")</f>
        <v>0</v>
      </c>
      <c r="N6707" s="8"/>
      <c r="O6707" s="33" t="str">
        <f>IFERROR(VLOOKUP($M6707,'Informations sur les produits'!$A$3:$H$10000,8,FALSE),"0")</f>
        <v>0</v>
      </c>
      <c r="P6707" s="33">
        <f t="shared" si="416"/>
        <v>0</v>
      </c>
      <c r="Q6707" s="31" t="str">
        <f t="shared" si="417"/>
        <v/>
      </c>
      <c r="R6707" s="32" t="str">
        <f>IFERROR(VLOOKUP($D6707,'Informations sur les produits'!$A$3:$B$15000,2,FALSE),"")</f>
        <v/>
      </c>
      <c r="V6707">
        <f t="shared" si="418"/>
        <v>0</v>
      </c>
      <c r="W6707">
        <f t="shared" si="419"/>
        <v>0</v>
      </c>
    </row>
    <row r="6708" spans="5:23" x14ac:dyDescent="0.25">
      <c r="E6708" s="4"/>
      <c r="F6708" s="4"/>
      <c r="G6708" s="33" t="str">
        <f>IFERROR(VLOOKUP($D6708,'Informations sur les produits'!$A$3:$H$10000,8,FALSE),"0")</f>
        <v>0</v>
      </c>
      <c r="K6708" s="4"/>
      <c r="L6708" s="33" t="str">
        <f>IFERROR(VLOOKUP($J6708,'Informations sur les produits'!$A$3:$H$10000,8,FALSE),"0")</f>
        <v>0</v>
      </c>
      <c r="N6708" s="8"/>
      <c r="O6708" s="33" t="str">
        <f>IFERROR(VLOOKUP($M6708,'Informations sur les produits'!$A$3:$H$10000,8,FALSE),"0")</f>
        <v>0</v>
      </c>
      <c r="P6708" s="33">
        <f t="shared" si="416"/>
        <v>0</v>
      </c>
      <c r="Q6708" s="31" t="str">
        <f t="shared" si="417"/>
        <v/>
      </c>
      <c r="R6708" s="32" t="str">
        <f>IFERROR(VLOOKUP($D6708,'Informations sur les produits'!$A$3:$B$15000,2,FALSE),"")</f>
        <v/>
      </c>
      <c r="V6708">
        <f t="shared" si="418"/>
        <v>0</v>
      </c>
      <c r="W6708">
        <f t="shared" si="419"/>
        <v>0</v>
      </c>
    </row>
    <row r="6709" spans="5:23" x14ac:dyDescent="0.25">
      <c r="E6709" s="4"/>
      <c r="F6709" s="4"/>
      <c r="G6709" s="33" t="str">
        <f>IFERROR(VLOOKUP($D6709,'Informations sur les produits'!$A$3:$H$10000,8,FALSE),"0")</f>
        <v>0</v>
      </c>
      <c r="K6709" s="4"/>
      <c r="L6709" s="33" t="str">
        <f>IFERROR(VLOOKUP($J6709,'Informations sur les produits'!$A$3:$H$10000,8,FALSE),"0")</f>
        <v>0</v>
      </c>
      <c r="N6709" s="8"/>
      <c r="O6709" s="33" t="str">
        <f>IFERROR(VLOOKUP($M6709,'Informations sur les produits'!$A$3:$H$10000,8,FALSE),"0")</f>
        <v>0</v>
      </c>
      <c r="P6709" s="33">
        <f t="shared" si="416"/>
        <v>0</v>
      </c>
      <c r="Q6709" s="31" t="str">
        <f t="shared" si="417"/>
        <v/>
      </c>
      <c r="R6709" s="32" t="str">
        <f>IFERROR(VLOOKUP($D6709,'Informations sur les produits'!$A$3:$B$15000,2,FALSE),"")</f>
        <v/>
      </c>
      <c r="V6709">
        <f t="shared" si="418"/>
        <v>0</v>
      </c>
      <c r="W6709">
        <f t="shared" si="419"/>
        <v>0</v>
      </c>
    </row>
    <row r="6710" spans="5:23" x14ac:dyDescent="0.25">
      <c r="E6710" s="4"/>
      <c r="F6710" s="4"/>
      <c r="G6710" s="33" t="str">
        <f>IFERROR(VLOOKUP($D6710,'Informations sur les produits'!$A$3:$H$10000,8,FALSE),"0")</f>
        <v>0</v>
      </c>
      <c r="K6710" s="4"/>
      <c r="L6710" s="33" t="str">
        <f>IFERROR(VLOOKUP($J6710,'Informations sur les produits'!$A$3:$H$10000,8,FALSE),"0")</f>
        <v>0</v>
      </c>
      <c r="N6710" s="8"/>
      <c r="O6710" s="33" t="str">
        <f>IFERROR(VLOOKUP($M6710,'Informations sur les produits'!$A$3:$H$10000,8,FALSE),"0")</f>
        <v>0</v>
      </c>
      <c r="P6710" s="33">
        <f t="shared" si="416"/>
        <v>0</v>
      </c>
      <c r="Q6710" s="31" t="str">
        <f t="shared" si="417"/>
        <v/>
      </c>
      <c r="R6710" s="32" t="str">
        <f>IFERROR(VLOOKUP($D6710,'Informations sur les produits'!$A$3:$B$15000,2,FALSE),"")</f>
        <v/>
      </c>
      <c r="V6710">
        <f t="shared" si="418"/>
        <v>0</v>
      </c>
      <c r="W6710">
        <f t="shared" si="419"/>
        <v>0</v>
      </c>
    </row>
    <row r="6711" spans="5:23" x14ac:dyDescent="0.25">
      <c r="E6711" s="4"/>
      <c r="F6711" s="4"/>
      <c r="G6711" s="33" t="str">
        <f>IFERROR(VLOOKUP($D6711,'Informations sur les produits'!$A$3:$H$10000,8,FALSE),"0")</f>
        <v>0</v>
      </c>
      <c r="K6711" s="4"/>
      <c r="L6711" s="33" t="str">
        <f>IFERROR(VLOOKUP($J6711,'Informations sur les produits'!$A$3:$H$10000,8,FALSE),"0")</f>
        <v>0</v>
      </c>
      <c r="N6711" s="8"/>
      <c r="O6711" s="33" t="str">
        <f>IFERROR(VLOOKUP($M6711,'Informations sur les produits'!$A$3:$H$10000,8,FALSE),"0")</f>
        <v>0</v>
      </c>
      <c r="P6711" s="33">
        <f t="shared" si="416"/>
        <v>0</v>
      </c>
      <c r="Q6711" s="31" t="str">
        <f t="shared" si="417"/>
        <v/>
      </c>
      <c r="R6711" s="32" t="str">
        <f>IFERROR(VLOOKUP($D6711,'Informations sur les produits'!$A$3:$B$15000,2,FALSE),"")</f>
        <v/>
      </c>
      <c r="V6711">
        <f t="shared" si="418"/>
        <v>0</v>
      </c>
      <c r="W6711">
        <f t="shared" si="419"/>
        <v>0</v>
      </c>
    </row>
    <row r="6712" spans="5:23" x14ac:dyDescent="0.25">
      <c r="E6712" s="4"/>
      <c r="F6712" s="4"/>
      <c r="G6712" s="33" t="str">
        <f>IFERROR(VLOOKUP($D6712,'Informations sur les produits'!$A$3:$H$10000,8,FALSE),"0")</f>
        <v>0</v>
      </c>
      <c r="K6712" s="4"/>
      <c r="L6712" s="33" t="str">
        <f>IFERROR(VLOOKUP($J6712,'Informations sur les produits'!$A$3:$H$10000,8,FALSE),"0")</f>
        <v>0</v>
      </c>
      <c r="N6712" s="8"/>
      <c r="O6712" s="33" t="str">
        <f>IFERROR(VLOOKUP($M6712,'Informations sur les produits'!$A$3:$H$10000,8,FALSE),"0")</f>
        <v>0</v>
      </c>
      <c r="P6712" s="33">
        <f t="shared" si="416"/>
        <v>0</v>
      </c>
      <c r="Q6712" s="31" t="str">
        <f t="shared" si="417"/>
        <v/>
      </c>
      <c r="R6712" s="32" t="str">
        <f>IFERROR(VLOOKUP($D6712,'Informations sur les produits'!$A$3:$B$15000,2,FALSE),"")</f>
        <v/>
      </c>
      <c r="V6712">
        <f t="shared" si="418"/>
        <v>0</v>
      </c>
      <c r="W6712">
        <f t="shared" si="419"/>
        <v>0</v>
      </c>
    </row>
    <row r="6713" spans="5:23" x14ac:dyDescent="0.25">
      <c r="E6713" s="4"/>
      <c r="F6713" s="4"/>
      <c r="G6713" s="33" t="str">
        <f>IFERROR(VLOOKUP($D6713,'Informations sur les produits'!$A$3:$H$10000,8,FALSE),"0")</f>
        <v>0</v>
      </c>
      <c r="K6713" s="4"/>
      <c r="L6713" s="33" t="str">
        <f>IFERROR(VLOOKUP($J6713,'Informations sur les produits'!$A$3:$H$10000,8,FALSE),"0")</f>
        <v>0</v>
      </c>
      <c r="N6713" s="8"/>
      <c r="O6713" s="33" t="str">
        <f>IFERROR(VLOOKUP($M6713,'Informations sur les produits'!$A$3:$H$10000,8,FALSE),"0")</f>
        <v>0</v>
      </c>
      <c r="P6713" s="33">
        <f t="shared" si="416"/>
        <v>0</v>
      </c>
      <c r="Q6713" s="31" t="str">
        <f t="shared" si="417"/>
        <v/>
      </c>
      <c r="R6713" s="32" t="str">
        <f>IFERROR(VLOOKUP($D6713,'Informations sur les produits'!$A$3:$B$15000,2,FALSE),"")</f>
        <v/>
      </c>
      <c r="V6713">
        <f t="shared" si="418"/>
        <v>0</v>
      </c>
      <c r="W6713">
        <f t="shared" si="419"/>
        <v>0</v>
      </c>
    </row>
    <row r="6714" spans="5:23" x14ac:dyDescent="0.25">
      <c r="E6714" s="4"/>
      <c r="F6714" s="4"/>
      <c r="G6714" s="33" t="str">
        <f>IFERROR(VLOOKUP($D6714,'Informations sur les produits'!$A$3:$H$10000,8,FALSE),"0")</f>
        <v>0</v>
      </c>
      <c r="K6714" s="4"/>
      <c r="L6714" s="33" t="str">
        <f>IFERROR(VLOOKUP($J6714,'Informations sur les produits'!$A$3:$H$10000,8,FALSE),"0")</f>
        <v>0</v>
      </c>
      <c r="N6714" s="8"/>
      <c r="O6714" s="33" t="str">
        <f>IFERROR(VLOOKUP($M6714,'Informations sur les produits'!$A$3:$H$10000,8,FALSE),"0")</f>
        <v>0</v>
      </c>
      <c r="P6714" s="33">
        <f t="shared" si="416"/>
        <v>0</v>
      </c>
      <c r="Q6714" s="31" t="str">
        <f t="shared" si="417"/>
        <v/>
      </c>
      <c r="R6714" s="32" t="str">
        <f>IFERROR(VLOOKUP($D6714,'Informations sur les produits'!$A$3:$B$15000,2,FALSE),"")</f>
        <v/>
      </c>
      <c r="V6714">
        <f t="shared" si="418"/>
        <v>0</v>
      </c>
      <c r="W6714">
        <f t="shared" si="419"/>
        <v>0</v>
      </c>
    </row>
    <row r="6715" spans="5:23" x14ac:dyDescent="0.25">
      <c r="E6715" s="4"/>
      <c r="F6715" s="4"/>
      <c r="G6715" s="33" t="str">
        <f>IFERROR(VLOOKUP($D6715,'Informations sur les produits'!$A$3:$H$10000,8,FALSE),"0")</f>
        <v>0</v>
      </c>
      <c r="K6715" s="4"/>
      <c r="L6715" s="33" t="str">
        <f>IFERROR(VLOOKUP($J6715,'Informations sur les produits'!$A$3:$H$10000,8,FALSE),"0")</f>
        <v>0</v>
      </c>
      <c r="N6715" s="8"/>
      <c r="O6715" s="33" t="str">
        <f>IFERROR(VLOOKUP($M6715,'Informations sur les produits'!$A$3:$H$10000,8,FALSE),"0")</f>
        <v>0</v>
      </c>
      <c r="P6715" s="33">
        <f t="shared" si="416"/>
        <v>0</v>
      </c>
      <c r="Q6715" s="31" t="str">
        <f t="shared" si="417"/>
        <v/>
      </c>
      <c r="R6715" s="32" t="str">
        <f>IFERROR(VLOOKUP($D6715,'Informations sur les produits'!$A$3:$B$15000,2,FALSE),"")</f>
        <v/>
      </c>
      <c r="V6715">
        <f t="shared" si="418"/>
        <v>0</v>
      </c>
      <c r="W6715">
        <f t="shared" si="419"/>
        <v>0</v>
      </c>
    </row>
    <row r="6716" spans="5:23" x14ac:dyDescent="0.25">
      <c r="E6716" s="4"/>
      <c r="F6716" s="4"/>
      <c r="G6716" s="33" t="str">
        <f>IFERROR(VLOOKUP($D6716,'Informations sur les produits'!$A$3:$H$10000,8,FALSE),"0")</f>
        <v>0</v>
      </c>
      <c r="K6716" s="4"/>
      <c r="L6716" s="33" t="str">
        <f>IFERROR(VLOOKUP($J6716,'Informations sur les produits'!$A$3:$H$10000,8,FALSE),"0")</f>
        <v>0</v>
      </c>
      <c r="N6716" s="8"/>
      <c r="O6716" s="33" t="str">
        <f>IFERROR(VLOOKUP($M6716,'Informations sur les produits'!$A$3:$H$10000,8,FALSE),"0")</f>
        <v>0</v>
      </c>
      <c r="P6716" s="33">
        <f t="shared" si="416"/>
        <v>0</v>
      </c>
      <c r="Q6716" s="31" t="str">
        <f t="shared" si="417"/>
        <v/>
      </c>
      <c r="R6716" s="32" t="str">
        <f>IFERROR(VLOOKUP($D6716,'Informations sur les produits'!$A$3:$B$15000,2,FALSE),"")</f>
        <v/>
      </c>
      <c r="V6716">
        <f t="shared" si="418"/>
        <v>0</v>
      </c>
      <c r="W6716">
        <f t="shared" si="419"/>
        <v>0</v>
      </c>
    </row>
    <row r="6717" spans="5:23" x14ac:dyDescent="0.25">
      <c r="E6717" s="4"/>
      <c r="F6717" s="4"/>
      <c r="G6717" s="33" t="str">
        <f>IFERROR(VLOOKUP($D6717,'Informations sur les produits'!$A$3:$H$10000,8,FALSE),"0")</f>
        <v>0</v>
      </c>
      <c r="K6717" s="4"/>
      <c r="L6717" s="33" t="str">
        <f>IFERROR(VLOOKUP($J6717,'Informations sur les produits'!$A$3:$H$10000,8,FALSE),"0")</f>
        <v>0</v>
      </c>
      <c r="N6717" s="8"/>
      <c r="O6717" s="33" t="str">
        <f>IFERROR(VLOOKUP($M6717,'Informations sur les produits'!$A$3:$H$10000,8,FALSE),"0")</f>
        <v>0</v>
      </c>
      <c r="P6717" s="33">
        <f t="shared" si="416"/>
        <v>0</v>
      </c>
      <c r="Q6717" s="31" t="str">
        <f t="shared" si="417"/>
        <v/>
      </c>
      <c r="R6717" s="32" t="str">
        <f>IFERROR(VLOOKUP($D6717,'Informations sur les produits'!$A$3:$B$15000,2,FALSE),"")</f>
        <v/>
      </c>
      <c r="V6717">
        <f t="shared" si="418"/>
        <v>0</v>
      </c>
      <c r="W6717">
        <f t="shared" si="419"/>
        <v>0</v>
      </c>
    </row>
    <row r="6718" spans="5:23" x14ac:dyDescent="0.25">
      <c r="E6718" s="4"/>
      <c r="F6718" s="4"/>
      <c r="G6718" s="33" t="str">
        <f>IFERROR(VLOOKUP($D6718,'Informations sur les produits'!$A$3:$H$10000,8,FALSE),"0")</f>
        <v>0</v>
      </c>
      <c r="K6718" s="4"/>
      <c r="L6718" s="33" t="str">
        <f>IFERROR(VLOOKUP($J6718,'Informations sur les produits'!$A$3:$H$10000,8,FALSE),"0")</f>
        <v>0</v>
      </c>
      <c r="N6718" s="8"/>
      <c r="O6718" s="33" t="str">
        <f>IFERROR(VLOOKUP($M6718,'Informations sur les produits'!$A$3:$H$10000,8,FALSE),"0")</f>
        <v>0</v>
      </c>
      <c r="P6718" s="33">
        <f t="shared" si="416"/>
        <v>0</v>
      </c>
      <c r="Q6718" s="31" t="str">
        <f t="shared" si="417"/>
        <v/>
      </c>
      <c r="R6718" s="32" t="str">
        <f>IFERROR(VLOOKUP($D6718,'Informations sur les produits'!$A$3:$B$15000,2,FALSE),"")</f>
        <v/>
      </c>
      <c r="V6718">
        <f t="shared" si="418"/>
        <v>0</v>
      </c>
      <c r="W6718">
        <f t="shared" si="419"/>
        <v>0</v>
      </c>
    </row>
    <row r="6719" spans="5:23" x14ac:dyDescent="0.25">
      <c r="E6719" s="4"/>
      <c r="F6719" s="4"/>
      <c r="G6719" s="33" t="str">
        <f>IFERROR(VLOOKUP($D6719,'Informations sur les produits'!$A$3:$H$10000,8,FALSE),"0")</f>
        <v>0</v>
      </c>
      <c r="K6719" s="4"/>
      <c r="L6719" s="33" t="str">
        <f>IFERROR(VLOOKUP($J6719,'Informations sur les produits'!$A$3:$H$10000,8,FALSE),"0")</f>
        <v>0</v>
      </c>
      <c r="N6719" s="8"/>
      <c r="O6719" s="33" t="str">
        <f>IFERROR(VLOOKUP($M6719,'Informations sur les produits'!$A$3:$H$10000,8,FALSE),"0")</f>
        <v>0</v>
      </c>
      <c r="P6719" s="33">
        <f t="shared" si="416"/>
        <v>0</v>
      </c>
      <c r="Q6719" s="31" t="str">
        <f t="shared" si="417"/>
        <v/>
      </c>
      <c r="R6719" s="32" t="str">
        <f>IFERROR(VLOOKUP($D6719,'Informations sur les produits'!$A$3:$B$15000,2,FALSE),"")</f>
        <v/>
      </c>
      <c r="V6719">
        <f t="shared" si="418"/>
        <v>0</v>
      </c>
      <c r="W6719">
        <f t="shared" si="419"/>
        <v>0</v>
      </c>
    </row>
    <row r="6720" spans="5:23" x14ac:dyDescent="0.25">
      <c r="E6720" s="4"/>
      <c r="F6720" s="4"/>
      <c r="G6720" s="33" t="str">
        <f>IFERROR(VLOOKUP($D6720,'Informations sur les produits'!$A$3:$H$10000,8,FALSE),"0")</f>
        <v>0</v>
      </c>
      <c r="K6720" s="4"/>
      <c r="L6720" s="33" t="str">
        <f>IFERROR(VLOOKUP($J6720,'Informations sur les produits'!$A$3:$H$10000,8,FALSE),"0")</f>
        <v>0</v>
      </c>
      <c r="N6720" s="8"/>
      <c r="O6720" s="33" t="str">
        <f>IFERROR(VLOOKUP($M6720,'Informations sur les produits'!$A$3:$H$10000,8,FALSE),"0")</f>
        <v>0</v>
      </c>
      <c r="P6720" s="33">
        <f t="shared" si="416"/>
        <v>0</v>
      </c>
      <c r="Q6720" s="31" t="str">
        <f t="shared" si="417"/>
        <v/>
      </c>
      <c r="R6720" s="32" t="str">
        <f>IFERROR(VLOOKUP($D6720,'Informations sur les produits'!$A$3:$B$15000,2,FALSE),"")</f>
        <v/>
      </c>
      <c r="V6720">
        <f t="shared" si="418"/>
        <v>0</v>
      </c>
      <c r="W6720">
        <f t="shared" si="419"/>
        <v>0</v>
      </c>
    </row>
    <row r="6721" spans="5:23" x14ac:dyDescent="0.25">
      <c r="E6721" s="4"/>
      <c r="F6721" s="4"/>
      <c r="G6721" s="33" t="str">
        <f>IFERROR(VLOOKUP($D6721,'Informations sur les produits'!$A$3:$H$10000,8,FALSE),"0")</f>
        <v>0</v>
      </c>
      <c r="K6721" s="4"/>
      <c r="L6721" s="33" t="str">
        <f>IFERROR(VLOOKUP($J6721,'Informations sur les produits'!$A$3:$H$10000,8,FALSE),"0")</f>
        <v>0</v>
      </c>
      <c r="N6721" s="8"/>
      <c r="O6721" s="33" t="str">
        <f>IFERROR(VLOOKUP($M6721,'Informations sur les produits'!$A$3:$H$10000,8,FALSE),"0")</f>
        <v>0</v>
      </c>
      <c r="P6721" s="33">
        <f t="shared" si="416"/>
        <v>0</v>
      </c>
      <c r="Q6721" s="31" t="str">
        <f t="shared" si="417"/>
        <v/>
      </c>
      <c r="R6721" s="32" t="str">
        <f>IFERROR(VLOOKUP($D6721,'Informations sur les produits'!$A$3:$B$15000,2,FALSE),"")</f>
        <v/>
      </c>
      <c r="V6721">
        <f t="shared" si="418"/>
        <v>0</v>
      </c>
      <c r="W6721">
        <f t="shared" si="419"/>
        <v>0</v>
      </c>
    </row>
    <row r="6722" spans="5:23" x14ac:dyDescent="0.25">
      <c r="E6722" s="4"/>
      <c r="F6722" s="4"/>
      <c r="G6722" s="33" t="str">
        <f>IFERROR(VLOOKUP($D6722,'Informations sur les produits'!$A$3:$H$10000,8,FALSE),"0")</f>
        <v>0</v>
      </c>
      <c r="K6722" s="4"/>
      <c r="L6722" s="33" t="str">
        <f>IFERROR(VLOOKUP($J6722,'Informations sur les produits'!$A$3:$H$10000,8,FALSE),"0")</f>
        <v>0</v>
      </c>
      <c r="N6722" s="8"/>
      <c r="O6722" s="33" t="str">
        <f>IFERROR(VLOOKUP($M6722,'Informations sur les produits'!$A$3:$H$10000,8,FALSE),"0")</f>
        <v>0</v>
      </c>
      <c r="P6722" s="33">
        <f t="shared" si="416"/>
        <v>0</v>
      </c>
      <c r="Q6722" s="31" t="str">
        <f t="shared" si="417"/>
        <v/>
      </c>
      <c r="R6722" s="32" t="str">
        <f>IFERROR(VLOOKUP($D6722,'Informations sur les produits'!$A$3:$B$15000,2,FALSE),"")</f>
        <v/>
      </c>
      <c r="V6722">
        <f t="shared" si="418"/>
        <v>0</v>
      </c>
      <c r="W6722">
        <f t="shared" si="419"/>
        <v>0</v>
      </c>
    </row>
    <row r="6723" spans="5:23" x14ac:dyDescent="0.25">
      <c r="E6723" s="4"/>
      <c r="F6723" s="4"/>
      <c r="G6723" s="33" t="str">
        <f>IFERROR(VLOOKUP($D6723,'Informations sur les produits'!$A$3:$H$10000,8,FALSE),"0")</f>
        <v>0</v>
      </c>
      <c r="K6723" s="4"/>
      <c r="L6723" s="33" t="str">
        <f>IFERROR(VLOOKUP($J6723,'Informations sur les produits'!$A$3:$H$10000,8,FALSE),"0")</f>
        <v>0</v>
      </c>
      <c r="N6723" s="8"/>
      <c r="O6723" s="33" t="str">
        <f>IFERROR(VLOOKUP($M6723,'Informations sur les produits'!$A$3:$H$10000,8,FALSE),"0")</f>
        <v>0</v>
      </c>
      <c r="P6723" s="33">
        <f t="shared" si="416"/>
        <v>0</v>
      </c>
      <c r="Q6723" s="31" t="str">
        <f t="shared" si="417"/>
        <v/>
      </c>
      <c r="R6723" s="32" t="str">
        <f>IFERROR(VLOOKUP($D6723,'Informations sur les produits'!$A$3:$B$15000,2,FALSE),"")</f>
        <v/>
      </c>
      <c r="V6723">
        <f t="shared" si="418"/>
        <v>0</v>
      </c>
      <c r="W6723">
        <f t="shared" si="419"/>
        <v>0</v>
      </c>
    </row>
    <row r="6724" spans="5:23" x14ac:dyDescent="0.25">
      <c r="E6724" s="4"/>
      <c r="F6724" s="4"/>
      <c r="G6724" s="33" t="str">
        <f>IFERROR(VLOOKUP($D6724,'Informations sur les produits'!$A$3:$H$10000,8,FALSE),"0")</f>
        <v>0</v>
      </c>
      <c r="K6724" s="4"/>
      <c r="L6724" s="33" t="str">
        <f>IFERROR(VLOOKUP($J6724,'Informations sur les produits'!$A$3:$H$10000,8,FALSE),"0")</f>
        <v>0</v>
      </c>
      <c r="N6724" s="8"/>
      <c r="O6724" s="33" t="str">
        <f>IFERROR(VLOOKUP($M6724,'Informations sur les produits'!$A$3:$H$10000,8,FALSE),"0")</f>
        <v>0</v>
      </c>
      <c r="P6724" s="33">
        <f t="shared" ref="P6724:P6787" si="420">IFERROR((($E6724-$F6724)*$G6724+$K6724*$L6724+$N6724*$O6724),"")</f>
        <v>0</v>
      </c>
      <c r="Q6724" s="31" t="str">
        <f t="shared" ref="Q6724:Q6787" si="421">IFERROR((((($E6724-$F6724)*$G6724+$K6724*$L6724+$N6724*$O6724)*1000)/(($E6724-$F6724)+$K6724+$N6724)),"")</f>
        <v/>
      </c>
      <c r="R6724" s="32" t="str">
        <f>IFERROR(VLOOKUP($D6724,'Informations sur les produits'!$A$3:$B$15000,2,FALSE),"")</f>
        <v/>
      </c>
      <c r="V6724">
        <f t="shared" ref="V6724:V6787" si="422">IFERROR(P6724*1000,"")</f>
        <v>0</v>
      </c>
      <c r="W6724">
        <f t="shared" ref="W6724:W6787" si="423">IFERROR(($E6724-$F6724)+$K6724+$N6724,"")</f>
        <v>0</v>
      </c>
    </row>
    <row r="6725" spans="5:23" x14ac:dyDescent="0.25">
      <c r="E6725" s="4"/>
      <c r="F6725" s="4"/>
      <c r="G6725" s="33" t="str">
        <f>IFERROR(VLOOKUP($D6725,'Informations sur les produits'!$A$3:$H$10000,8,FALSE),"0")</f>
        <v>0</v>
      </c>
      <c r="K6725" s="4"/>
      <c r="L6725" s="33" t="str">
        <f>IFERROR(VLOOKUP($J6725,'Informations sur les produits'!$A$3:$H$10000,8,FALSE),"0")</f>
        <v>0</v>
      </c>
      <c r="N6725" s="8"/>
      <c r="O6725" s="33" t="str">
        <f>IFERROR(VLOOKUP($M6725,'Informations sur les produits'!$A$3:$H$10000,8,FALSE),"0")</f>
        <v>0</v>
      </c>
      <c r="P6725" s="33">
        <f t="shared" si="420"/>
        <v>0</v>
      </c>
      <c r="Q6725" s="31" t="str">
        <f t="shared" si="421"/>
        <v/>
      </c>
      <c r="R6725" s="32" t="str">
        <f>IFERROR(VLOOKUP($D6725,'Informations sur les produits'!$A$3:$B$15000,2,FALSE),"")</f>
        <v/>
      </c>
      <c r="V6725">
        <f t="shared" si="422"/>
        <v>0</v>
      </c>
      <c r="W6725">
        <f t="shared" si="423"/>
        <v>0</v>
      </c>
    </row>
    <row r="6726" spans="5:23" x14ac:dyDescent="0.25">
      <c r="E6726" s="4"/>
      <c r="F6726" s="4"/>
      <c r="G6726" s="33" t="str">
        <f>IFERROR(VLOOKUP($D6726,'Informations sur les produits'!$A$3:$H$10000,8,FALSE),"0")</f>
        <v>0</v>
      </c>
      <c r="K6726" s="4"/>
      <c r="L6726" s="33" t="str">
        <f>IFERROR(VLOOKUP($J6726,'Informations sur les produits'!$A$3:$H$10000,8,FALSE),"0")</f>
        <v>0</v>
      </c>
      <c r="N6726" s="8"/>
      <c r="O6726" s="33" t="str">
        <f>IFERROR(VLOOKUP($M6726,'Informations sur les produits'!$A$3:$H$10000,8,FALSE),"0")</f>
        <v>0</v>
      </c>
      <c r="P6726" s="33">
        <f t="shared" si="420"/>
        <v>0</v>
      </c>
      <c r="Q6726" s="31" t="str">
        <f t="shared" si="421"/>
        <v/>
      </c>
      <c r="R6726" s="32" t="str">
        <f>IFERROR(VLOOKUP($D6726,'Informations sur les produits'!$A$3:$B$15000,2,FALSE),"")</f>
        <v/>
      </c>
      <c r="V6726">
        <f t="shared" si="422"/>
        <v>0</v>
      </c>
      <c r="W6726">
        <f t="shared" si="423"/>
        <v>0</v>
      </c>
    </row>
    <row r="6727" spans="5:23" x14ac:dyDescent="0.25">
      <c r="E6727" s="4"/>
      <c r="F6727" s="4"/>
      <c r="G6727" s="33" t="str">
        <f>IFERROR(VLOOKUP($D6727,'Informations sur les produits'!$A$3:$H$10000,8,FALSE),"0")</f>
        <v>0</v>
      </c>
      <c r="K6727" s="4"/>
      <c r="L6727" s="33" t="str">
        <f>IFERROR(VLOOKUP($J6727,'Informations sur les produits'!$A$3:$H$10000,8,FALSE),"0")</f>
        <v>0</v>
      </c>
      <c r="N6727" s="8"/>
      <c r="O6727" s="33" t="str">
        <f>IFERROR(VLOOKUP($M6727,'Informations sur les produits'!$A$3:$H$10000,8,FALSE),"0")</f>
        <v>0</v>
      </c>
      <c r="P6727" s="33">
        <f t="shared" si="420"/>
        <v>0</v>
      </c>
      <c r="Q6727" s="31" t="str">
        <f t="shared" si="421"/>
        <v/>
      </c>
      <c r="R6727" s="32" t="str">
        <f>IFERROR(VLOOKUP($D6727,'Informations sur les produits'!$A$3:$B$15000,2,FALSE),"")</f>
        <v/>
      </c>
      <c r="V6727">
        <f t="shared" si="422"/>
        <v>0</v>
      </c>
      <c r="W6727">
        <f t="shared" si="423"/>
        <v>0</v>
      </c>
    </row>
    <row r="6728" spans="5:23" x14ac:dyDescent="0.25">
      <c r="E6728" s="4"/>
      <c r="F6728" s="4"/>
      <c r="G6728" s="33" t="str">
        <f>IFERROR(VLOOKUP($D6728,'Informations sur les produits'!$A$3:$H$10000,8,FALSE),"0")</f>
        <v>0</v>
      </c>
      <c r="K6728" s="4"/>
      <c r="L6728" s="33" t="str">
        <f>IFERROR(VLOOKUP($J6728,'Informations sur les produits'!$A$3:$H$10000,8,FALSE),"0")</f>
        <v>0</v>
      </c>
      <c r="N6728" s="8"/>
      <c r="O6728" s="33" t="str">
        <f>IFERROR(VLOOKUP($M6728,'Informations sur les produits'!$A$3:$H$10000,8,FALSE),"0")</f>
        <v>0</v>
      </c>
      <c r="P6728" s="33">
        <f t="shared" si="420"/>
        <v>0</v>
      </c>
      <c r="Q6728" s="31" t="str">
        <f t="shared" si="421"/>
        <v/>
      </c>
      <c r="R6728" s="32" t="str">
        <f>IFERROR(VLOOKUP($D6728,'Informations sur les produits'!$A$3:$B$15000,2,FALSE),"")</f>
        <v/>
      </c>
      <c r="V6728">
        <f t="shared" si="422"/>
        <v>0</v>
      </c>
      <c r="W6728">
        <f t="shared" si="423"/>
        <v>0</v>
      </c>
    </row>
    <row r="6729" spans="5:23" x14ac:dyDescent="0.25">
      <c r="E6729" s="4"/>
      <c r="F6729" s="4"/>
      <c r="G6729" s="33" t="str">
        <f>IFERROR(VLOOKUP($D6729,'Informations sur les produits'!$A$3:$H$10000,8,FALSE),"0")</f>
        <v>0</v>
      </c>
      <c r="K6729" s="4"/>
      <c r="L6729" s="33" t="str">
        <f>IFERROR(VLOOKUP($J6729,'Informations sur les produits'!$A$3:$H$10000,8,FALSE),"0")</f>
        <v>0</v>
      </c>
      <c r="N6729" s="8"/>
      <c r="O6729" s="33" t="str">
        <f>IFERROR(VLOOKUP($M6729,'Informations sur les produits'!$A$3:$H$10000,8,FALSE),"0")</f>
        <v>0</v>
      </c>
      <c r="P6729" s="33">
        <f t="shared" si="420"/>
        <v>0</v>
      </c>
      <c r="Q6729" s="31" t="str">
        <f t="shared" si="421"/>
        <v/>
      </c>
      <c r="R6729" s="32" t="str">
        <f>IFERROR(VLOOKUP($D6729,'Informations sur les produits'!$A$3:$B$15000,2,FALSE),"")</f>
        <v/>
      </c>
      <c r="V6729">
        <f t="shared" si="422"/>
        <v>0</v>
      </c>
      <c r="W6729">
        <f t="shared" si="423"/>
        <v>0</v>
      </c>
    </row>
    <row r="6730" spans="5:23" x14ac:dyDescent="0.25">
      <c r="E6730" s="4"/>
      <c r="F6730" s="4"/>
      <c r="G6730" s="33" t="str">
        <f>IFERROR(VLOOKUP($D6730,'Informations sur les produits'!$A$3:$H$10000,8,FALSE),"0")</f>
        <v>0</v>
      </c>
      <c r="K6730" s="4"/>
      <c r="L6730" s="33" t="str">
        <f>IFERROR(VLOOKUP($J6730,'Informations sur les produits'!$A$3:$H$10000,8,FALSE),"0")</f>
        <v>0</v>
      </c>
      <c r="N6730" s="8"/>
      <c r="O6730" s="33" t="str">
        <f>IFERROR(VLOOKUP($M6730,'Informations sur les produits'!$A$3:$H$10000,8,FALSE),"0")</f>
        <v>0</v>
      </c>
      <c r="P6730" s="33">
        <f t="shared" si="420"/>
        <v>0</v>
      </c>
      <c r="Q6730" s="31" t="str">
        <f t="shared" si="421"/>
        <v/>
      </c>
      <c r="R6730" s="32" t="str">
        <f>IFERROR(VLOOKUP($D6730,'Informations sur les produits'!$A$3:$B$15000,2,FALSE),"")</f>
        <v/>
      </c>
      <c r="V6730">
        <f t="shared" si="422"/>
        <v>0</v>
      </c>
      <c r="W6730">
        <f t="shared" si="423"/>
        <v>0</v>
      </c>
    </row>
    <row r="6731" spans="5:23" x14ac:dyDescent="0.25">
      <c r="E6731" s="4"/>
      <c r="F6731" s="4"/>
      <c r="G6731" s="33" t="str">
        <f>IFERROR(VLOOKUP($D6731,'Informations sur les produits'!$A$3:$H$10000,8,FALSE),"0")</f>
        <v>0</v>
      </c>
      <c r="K6731" s="4"/>
      <c r="L6731" s="33" t="str">
        <f>IFERROR(VLOOKUP($J6731,'Informations sur les produits'!$A$3:$H$10000,8,FALSE),"0")</f>
        <v>0</v>
      </c>
      <c r="N6731" s="8"/>
      <c r="O6731" s="33" t="str">
        <f>IFERROR(VLOOKUP($M6731,'Informations sur les produits'!$A$3:$H$10000,8,FALSE),"0")</f>
        <v>0</v>
      </c>
      <c r="P6731" s="33">
        <f t="shared" si="420"/>
        <v>0</v>
      </c>
      <c r="Q6731" s="31" t="str">
        <f t="shared" si="421"/>
        <v/>
      </c>
      <c r="R6731" s="32" t="str">
        <f>IFERROR(VLOOKUP($D6731,'Informations sur les produits'!$A$3:$B$15000,2,FALSE),"")</f>
        <v/>
      </c>
      <c r="V6731">
        <f t="shared" si="422"/>
        <v>0</v>
      </c>
      <c r="W6731">
        <f t="shared" si="423"/>
        <v>0</v>
      </c>
    </row>
    <row r="6732" spans="5:23" x14ac:dyDescent="0.25">
      <c r="E6732" s="4"/>
      <c r="F6732" s="4"/>
      <c r="G6732" s="33" t="str">
        <f>IFERROR(VLOOKUP($D6732,'Informations sur les produits'!$A$3:$H$10000,8,FALSE),"0")</f>
        <v>0</v>
      </c>
      <c r="K6732" s="4"/>
      <c r="L6732" s="33" t="str">
        <f>IFERROR(VLOOKUP($J6732,'Informations sur les produits'!$A$3:$H$10000,8,FALSE),"0")</f>
        <v>0</v>
      </c>
      <c r="N6732" s="8"/>
      <c r="O6732" s="33" t="str">
        <f>IFERROR(VLOOKUP($M6732,'Informations sur les produits'!$A$3:$H$10000,8,FALSE),"0")</f>
        <v>0</v>
      </c>
      <c r="P6732" s="33">
        <f t="shared" si="420"/>
        <v>0</v>
      </c>
      <c r="Q6732" s="31" t="str">
        <f t="shared" si="421"/>
        <v/>
      </c>
      <c r="R6732" s="32" t="str">
        <f>IFERROR(VLOOKUP($D6732,'Informations sur les produits'!$A$3:$B$15000,2,FALSE),"")</f>
        <v/>
      </c>
      <c r="V6732">
        <f t="shared" si="422"/>
        <v>0</v>
      </c>
      <c r="W6732">
        <f t="shared" si="423"/>
        <v>0</v>
      </c>
    </row>
    <row r="6733" spans="5:23" x14ac:dyDescent="0.25">
      <c r="E6733" s="4"/>
      <c r="F6733" s="4"/>
      <c r="G6733" s="33" t="str">
        <f>IFERROR(VLOOKUP($D6733,'Informations sur les produits'!$A$3:$H$10000,8,FALSE),"0")</f>
        <v>0</v>
      </c>
      <c r="K6733" s="4"/>
      <c r="L6733" s="33" t="str">
        <f>IFERROR(VLOOKUP($J6733,'Informations sur les produits'!$A$3:$H$10000,8,FALSE),"0")</f>
        <v>0</v>
      </c>
      <c r="N6733" s="8"/>
      <c r="O6733" s="33" t="str">
        <f>IFERROR(VLOOKUP($M6733,'Informations sur les produits'!$A$3:$H$10000,8,FALSE),"0")</f>
        <v>0</v>
      </c>
      <c r="P6733" s="33">
        <f t="shared" si="420"/>
        <v>0</v>
      </c>
      <c r="Q6733" s="31" t="str">
        <f t="shared" si="421"/>
        <v/>
      </c>
      <c r="R6733" s="32" t="str">
        <f>IFERROR(VLOOKUP($D6733,'Informations sur les produits'!$A$3:$B$15000,2,FALSE),"")</f>
        <v/>
      </c>
      <c r="V6733">
        <f t="shared" si="422"/>
        <v>0</v>
      </c>
      <c r="W6733">
        <f t="shared" si="423"/>
        <v>0</v>
      </c>
    </row>
    <row r="6734" spans="5:23" x14ac:dyDescent="0.25">
      <c r="E6734" s="4"/>
      <c r="F6734" s="4"/>
      <c r="G6734" s="33" t="str">
        <f>IFERROR(VLOOKUP($D6734,'Informations sur les produits'!$A$3:$H$10000,8,FALSE),"0")</f>
        <v>0</v>
      </c>
      <c r="K6734" s="4"/>
      <c r="L6734" s="33" t="str">
        <f>IFERROR(VLOOKUP($J6734,'Informations sur les produits'!$A$3:$H$10000,8,FALSE),"0")</f>
        <v>0</v>
      </c>
      <c r="N6734" s="8"/>
      <c r="O6734" s="33" t="str">
        <f>IFERROR(VLOOKUP($M6734,'Informations sur les produits'!$A$3:$H$10000,8,FALSE),"0")</f>
        <v>0</v>
      </c>
      <c r="P6734" s="33">
        <f t="shared" si="420"/>
        <v>0</v>
      </c>
      <c r="Q6734" s="31" t="str">
        <f t="shared" si="421"/>
        <v/>
      </c>
      <c r="R6734" s="32" t="str">
        <f>IFERROR(VLOOKUP($D6734,'Informations sur les produits'!$A$3:$B$15000,2,FALSE),"")</f>
        <v/>
      </c>
      <c r="V6734">
        <f t="shared" si="422"/>
        <v>0</v>
      </c>
      <c r="W6734">
        <f t="shared" si="423"/>
        <v>0</v>
      </c>
    </row>
    <row r="6735" spans="5:23" x14ac:dyDescent="0.25">
      <c r="E6735" s="4"/>
      <c r="F6735" s="4"/>
      <c r="G6735" s="33" t="str">
        <f>IFERROR(VLOOKUP($D6735,'Informations sur les produits'!$A$3:$H$10000,8,FALSE),"0")</f>
        <v>0</v>
      </c>
      <c r="K6735" s="4"/>
      <c r="L6735" s="33" t="str">
        <f>IFERROR(VLOOKUP($J6735,'Informations sur les produits'!$A$3:$H$10000,8,FALSE),"0")</f>
        <v>0</v>
      </c>
      <c r="N6735" s="8"/>
      <c r="O6735" s="33" t="str">
        <f>IFERROR(VLOOKUP($M6735,'Informations sur les produits'!$A$3:$H$10000,8,FALSE),"0")</f>
        <v>0</v>
      </c>
      <c r="P6735" s="33">
        <f t="shared" si="420"/>
        <v>0</v>
      </c>
      <c r="Q6735" s="31" t="str">
        <f t="shared" si="421"/>
        <v/>
      </c>
      <c r="R6735" s="32" t="str">
        <f>IFERROR(VLOOKUP($D6735,'Informations sur les produits'!$A$3:$B$15000,2,FALSE),"")</f>
        <v/>
      </c>
      <c r="V6735">
        <f t="shared" si="422"/>
        <v>0</v>
      </c>
      <c r="W6735">
        <f t="shared" si="423"/>
        <v>0</v>
      </c>
    </row>
    <row r="6736" spans="5:23" x14ac:dyDescent="0.25">
      <c r="E6736" s="4"/>
      <c r="F6736" s="4"/>
      <c r="G6736" s="33" t="str">
        <f>IFERROR(VLOOKUP($D6736,'Informations sur les produits'!$A$3:$H$10000,8,FALSE),"0")</f>
        <v>0</v>
      </c>
      <c r="K6736" s="4"/>
      <c r="L6736" s="33" t="str">
        <f>IFERROR(VLOOKUP($J6736,'Informations sur les produits'!$A$3:$H$10000,8,FALSE),"0")</f>
        <v>0</v>
      </c>
      <c r="N6736" s="8"/>
      <c r="O6736" s="33" t="str">
        <f>IFERROR(VLOOKUP($M6736,'Informations sur les produits'!$A$3:$H$10000,8,FALSE),"0")</f>
        <v>0</v>
      </c>
      <c r="P6736" s="33">
        <f t="shared" si="420"/>
        <v>0</v>
      </c>
      <c r="Q6736" s="31" t="str">
        <f t="shared" si="421"/>
        <v/>
      </c>
      <c r="R6736" s="32" t="str">
        <f>IFERROR(VLOOKUP($D6736,'Informations sur les produits'!$A$3:$B$15000,2,FALSE),"")</f>
        <v/>
      </c>
      <c r="V6736">
        <f t="shared" si="422"/>
        <v>0</v>
      </c>
      <c r="W6736">
        <f t="shared" si="423"/>
        <v>0</v>
      </c>
    </row>
    <row r="6737" spans="5:23" x14ac:dyDescent="0.25">
      <c r="E6737" s="4"/>
      <c r="F6737" s="4"/>
      <c r="G6737" s="33" t="str">
        <f>IFERROR(VLOOKUP($D6737,'Informations sur les produits'!$A$3:$H$10000,8,FALSE),"0")</f>
        <v>0</v>
      </c>
      <c r="K6737" s="4"/>
      <c r="L6737" s="33" t="str">
        <f>IFERROR(VLOOKUP($J6737,'Informations sur les produits'!$A$3:$H$10000,8,FALSE),"0")</f>
        <v>0</v>
      </c>
      <c r="N6737" s="8"/>
      <c r="O6737" s="33" t="str">
        <f>IFERROR(VLOOKUP($M6737,'Informations sur les produits'!$A$3:$H$10000,8,FALSE),"0")</f>
        <v>0</v>
      </c>
      <c r="P6737" s="33">
        <f t="shared" si="420"/>
        <v>0</v>
      </c>
      <c r="Q6737" s="31" t="str">
        <f t="shared" si="421"/>
        <v/>
      </c>
      <c r="R6737" s="32" t="str">
        <f>IFERROR(VLOOKUP($D6737,'Informations sur les produits'!$A$3:$B$15000,2,FALSE),"")</f>
        <v/>
      </c>
      <c r="V6737">
        <f t="shared" si="422"/>
        <v>0</v>
      </c>
      <c r="W6737">
        <f t="shared" si="423"/>
        <v>0</v>
      </c>
    </row>
    <row r="6738" spans="5:23" x14ac:dyDescent="0.25">
      <c r="E6738" s="4"/>
      <c r="F6738" s="4"/>
      <c r="G6738" s="33" t="str">
        <f>IFERROR(VLOOKUP($D6738,'Informations sur les produits'!$A$3:$H$10000,8,FALSE),"0")</f>
        <v>0</v>
      </c>
      <c r="K6738" s="4"/>
      <c r="L6738" s="33" t="str">
        <f>IFERROR(VLOOKUP($J6738,'Informations sur les produits'!$A$3:$H$10000,8,FALSE),"0")</f>
        <v>0</v>
      </c>
      <c r="N6738" s="8"/>
      <c r="O6738" s="33" t="str">
        <f>IFERROR(VLOOKUP($M6738,'Informations sur les produits'!$A$3:$H$10000,8,FALSE),"0")</f>
        <v>0</v>
      </c>
      <c r="P6738" s="33">
        <f t="shared" si="420"/>
        <v>0</v>
      </c>
      <c r="Q6738" s="31" t="str">
        <f t="shared" si="421"/>
        <v/>
      </c>
      <c r="R6738" s="32" t="str">
        <f>IFERROR(VLOOKUP($D6738,'Informations sur les produits'!$A$3:$B$15000,2,FALSE),"")</f>
        <v/>
      </c>
      <c r="V6738">
        <f t="shared" si="422"/>
        <v>0</v>
      </c>
      <c r="W6738">
        <f t="shared" si="423"/>
        <v>0</v>
      </c>
    </row>
    <row r="6739" spans="5:23" x14ac:dyDescent="0.25">
      <c r="E6739" s="4"/>
      <c r="F6739" s="4"/>
      <c r="G6739" s="33" t="str">
        <f>IFERROR(VLOOKUP($D6739,'Informations sur les produits'!$A$3:$H$10000,8,FALSE),"0")</f>
        <v>0</v>
      </c>
      <c r="K6739" s="4"/>
      <c r="L6739" s="33" t="str">
        <f>IFERROR(VLOOKUP($J6739,'Informations sur les produits'!$A$3:$H$10000,8,FALSE),"0")</f>
        <v>0</v>
      </c>
      <c r="N6739" s="8"/>
      <c r="O6739" s="33" t="str">
        <f>IFERROR(VLOOKUP($M6739,'Informations sur les produits'!$A$3:$H$10000,8,FALSE),"0")</f>
        <v>0</v>
      </c>
      <c r="P6739" s="33">
        <f t="shared" si="420"/>
        <v>0</v>
      </c>
      <c r="Q6739" s="31" t="str">
        <f t="shared" si="421"/>
        <v/>
      </c>
      <c r="R6739" s="32" t="str">
        <f>IFERROR(VLOOKUP($D6739,'Informations sur les produits'!$A$3:$B$15000,2,FALSE),"")</f>
        <v/>
      </c>
      <c r="V6739">
        <f t="shared" si="422"/>
        <v>0</v>
      </c>
      <c r="W6739">
        <f t="shared" si="423"/>
        <v>0</v>
      </c>
    </row>
    <row r="6740" spans="5:23" x14ac:dyDescent="0.25">
      <c r="E6740" s="4"/>
      <c r="F6740" s="4"/>
      <c r="G6740" s="33" t="str">
        <f>IFERROR(VLOOKUP($D6740,'Informations sur les produits'!$A$3:$H$10000,8,FALSE),"0")</f>
        <v>0</v>
      </c>
      <c r="K6740" s="4"/>
      <c r="L6740" s="33" t="str">
        <f>IFERROR(VLOOKUP($J6740,'Informations sur les produits'!$A$3:$H$10000,8,FALSE),"0")</f>
        <v>0</v>
      </c>
      <c r="N6740" s="8"/>
      <c r="O6740" s="33" t="str">
        <f>IFERROR(VLOOKUP($M6740,'Informations sur les produits'!$A$3:$H$10000,8,FALSE),"0")</f>
        <v>0</v>
      </c>
      <c r="P6740" s="33">
        <f t="shared" si="420"/>
        <v>0</v>
      </c>
      <c r="Q6740" s="31" t="str">
        <f t="shared" si="421"/>
        <v/>
      </c>
      <c r="R6740" s="32" t="str">
        <f>IFERROR(VLOOKUP($D6740,'Informations sur les produits'!$A$3:$B$15000,2,FALSE),"")</f>
        <v/>
      </c>
      <c r="V6740">
        <f t="shared" si="422"/>
        <v>0</v>
      </c>
      <c r="W6740">
        <f t="shared" si="423"/>
        <v>0</v>
      </c>
    </row>
    <row r="6741" spans="5:23" x14ac:dyDescent="0.25">
      <c r="E6741" s="4"/>
      <c r="F6741" s="4"/>
      <c r="G6741" s="33" t="str">
        <f>IFERROR(VLOOKUP($D6741,'Informations sur les produits'!$A$3:$H$10000,8,FALSE),"0")</f>
        <v>0</v>
      </c>
      <c r="K6741" s="4"/>
      <c r="L6741" s="33" t="str">
        <f>IFERROR(VLOOKUP($J6741,'Informations sur les produits'!$A$3:$H$10000,8,FALSE),"0")</f>
        <v>0</v>
      </c>
      <c r="N6741" s="8"/>
      <c r="O6741" s="33" t="str">
        <f>IFERROR(VLOOKUP($M6741,'Informations sur les produits'!$A$3:$H$10000,8,FALSE),"0")</f>
        <v>0</v>
      </c>
      <c r="P6741" s="33">
        <f t="shared" si="420"/>
        <v>0</v>
      </c>
      <c r="Q6741" s="31" t="str">
        <f t="shared" si="421"/>
        <v/>
      </c>
      <c r="R6741" s="32" t="str">
        <f>IFERROR(VLOOKUP($D6741,'Informations sur les produits'!$A$3:$B$15000,2,FALSE),"")</f>
        <v/>
      </c>
      <c r="V6741">
        <f t="shared" si="422"/>
        <v>0</v>
      </c>
      <c r="W6741">
        <f t="shared" si="423"/>
        <v>0</v>
      </c>
    </row>
    <row r="6742" spans="5:23" x14ac:dyDescent="0.25">
      <c r="E6742" s="4"/>
      <c r="F6742" s="4"/>
      <c r="G6742" s="33" t="str">
        <f>IFERROR(VLOOKUP($D6742,'Informations sur les produits'!$A$3:$H$10000,8,FALSE),"0")</f>
        <v>0</v>
      </c>
      <c r="K6742" s="4"/>
      <c r="L6742" s="33" t="str">
        <f>IFERROR(VLOOKUP($J6742,'Informations sur les produits'!$A$3:$H$10000,8,FALSE),"0")</f>
        <v>0</v>
      </c>
      <c r="N6742" s="8"/>
      <c r="O6742" s="33" t="str">
        <f>IFERROR(VLOOKUP($M6742,'Informations sur les produits'!$A$3:$H$10000,8,FALSE),"0")</f>
        <v>0</v>
      </c>
      <c r="P6742" s="33">
        <f t="shared" si="420"/>
        <v>0</v>
      </c>
      <c r="Q6742" s="31" t="str">
        <f t="shared" si="421"/>
        <v/>
      </c>
      <c r="R6742" s="32" t="str">
        <f>IFERROR(VLOOKUP($D6742,'Informations sur les produits'!$A$3:$B$15000,2,FALSE),"")</f>
        <v/>
      </c>
      <c r="V6742">
        <f t="shared" si="422"/>
        <v>0</v>
      </c>
      <c r="W6742">
        <f t="shared" si="423"/>
        <v>0</v>
      </c>
    </row>
    <row r="6743" spans="5:23" x14ac:dyDescent="0.25">
      <c r="E6743" s="4"/>
      <c r="F6743" s="4"/>
      <c r="G6743" s="33" t="str">
        <f>IFERROR(VLOOKUP($D6743,'Informations sur les produits'!$A$3:$H$10000,8,FALSE),"0")</f>
        <v>0</v>
      </c>
      <c r="K6743" s="4"/>
      <c r="L6743" s="33" t="str">
        <f>IFERROR(VLOOKUP($J6743,'Informations sur les produits'!$A$3:$H$10000,8,FALSE),"0")</f>
        <v>0</v>
      </c>
      <c r="N6743" s="8"/>
      <c r="O6743" s="33" t="str">
        <f>IFERROR(VLOOKUP($M6743,'Informations sur les produits'!$A$3:$H$10000,8,FALSE),"0")</f>
        <v>0</v>
      </c>
      <c r="P6743" s="33">
        <f t="shared" si="420"/>
        <v>0</v>
      </c>
      <c r="Q6743" s="31" t="str">
        <f t="shared" si="421"/>
        <v/>
      </c>
      <c r="R6743" s="32" t="str">
        <f>IFERROR(VLOOKUP($D6743,'Informations sur les produits'!$A$3:$B$15000,2,FALSE),"")</f>
        <v/>
      </c>
      <c r="V6743">
        <f t="shared" si="422"/>
        <v>0</v>
      </c>
      <c r="W6743">
        <f t="shared" si="423"/>
        <v>0</v>
      </c>
    </row>
    <row r="6744" spans="5:23" x14ac:dyDescent="0.25">
      <c r="E6744" s="4"/>
      <c r="F6744" s="4"/>
      <c r="G6744" s="33" t="str">
        <f>IFERROR(VLOOKUP($D6744,'Informations sur les produits'!$A$3:$H$10000,8,FALSE),"0")</f>
        <v>0</v>
      </c>
      <c r="K6744" s="4"/>
      <c r="L6744" s="33" t="str">
        <f>IFERROR(VLOOKUP($J6744,'Informations sur les produits'!$A$3:$H$10000,8,FALSE),"0")</f>
        <v>0</v>
      </c>
      <c r="N6744" s="8"/>
      <c r="O6744" s="33" t="str">
        <f>IFERROR(VLOOKUP($M6744,'Informations sur les produits'!$A$3:$H$10000,8,FALSE),"0")</f>
        <v>0</v>
      </c>
      <c r="P6744" s="33">
        <f t="shared" si="420"/>
        <v>0</v>
      </c>
      <c r="Q6744" s="31" t="str">
        <f t="shared" si="421"/>
        <v/>
      </c>
      <c r="R6744" s="32" t="str">
        <f>IFERROR(VLOOKUP($D6744,'Informations sur les produits'!$A$3:$B$15000,2,FALSE),"")</f>
        <v/>
      </c>
      <c r="V6744">
        <f t="shared" si="422"/>
        <v>0</v>
      </c>
      <c r="W6744">
        <f t="shared" si="423"/>
        <v>0</v>
      </c>
    </row>
    <row r="6745" spans="5:23" x14ac:dyDescent="0.25">
      <c r="E6745" s="4"/>
      <c r="F6745" s="4"/>
      <c r="G6745" s="33" t="str">
        <f>IFERROR(VLOOKUP($D6745,'Informations sur les produits'!$A$3:$H$10000,8,FALSE),"0")</f>
        <v>0</v>
      </c>
      <c r="K6745" s="4"/>
      <c r="L6745" s="33" t="str">
        <f>IFERROR(VLOOKUP($J6745,'Informations sur les produits'!$A$3:$H$10000,8,FALSE),"0")</f>
        <v>0</v>
      </c>
      <c r="N6745" s="8"/>
      <c r="O6745" s="33" t="str">
        <f>IFERROR(VLOOKUP($M6745,'Informations sur les produits'!$A$3:$H$10000,8,FALSE),"0")</f>
        <v>0</v>
      </c>
      <c r="P6745" s="33">
        <f t="shared" si="420"/>
        <v>0</v>
      </c>
      <c r="Q6745" s="31" t="str">
        <f t="shared" si="421"/>
        <v/>
      </c>
      <c r="R6745" s="32" t="str">
        <f>IFERROR(VLOOKUP($D6745,'Informations sur les produits'!$A$3:$B$15000,2,FALSE),"")</f>
        <v/>
      </c>
      <c r="V6745">
        <f t="shared" si="422"/>
        <v>0</v>
      </c>
      <c r="W6745">
        <f t="shared" si="423"/>
        <v>0</v>
      </c>
    </row>
    <row r="6746" spans="5:23" x14ac:dyDescent="0.25">
      <c r="E6746" s="4"/>
      <c r="F6746" s="4"/>
      <c r="G6746" s="33" t="str">
        <f>IFERROR(VLOOKUP($D6746,'Informations sur les produits'!$A$3:$H$10000,8,FALSE),"0")</f>
        <v>0</v>
      </c>
      <c r="K6746" s="4"/>
      <c r="L6746" s="33" t="str">
        <f>IFERROR(VLOOKUP($J6746,'Informations sur les produits'!$A$3:$H$10000,8,FALSE),"0")</f>
        <v>0</v>
      </c>
      <c r="N6746" s="8"/>
      <c r="O6746" s="33" t="str">
        <f>IFERROR(VLOOKUP($M6746,'Informations sur les produits'!$A$3:$H$10000,8,FALSE),"0")</f>
        <v>0</v>
      </c>
      <c r="P6746" s="33">
        <f t="shared" si="420"/>
        <v>0</v>
      </c>
      <c r="Q6746" s="31" t="str">
        <f t="shared" si="421"/>
        <v/>
      </c>
      <c r="R6746" s="32" t="str">
        <f>IFERROR(VLOOKUP($D6746,'Informations sur les produits'!$A$3:$B$15000,2,FALSE),"")</f>
        <v/>
      </c>
      <c r="V6746">
        <f t="shared" si="422"/>
        <v>0</v>
      </c>
      <c r="W6746">
        <f t="shared" si="423"/>
        <v>0</v>
      </c>
    </row>
    <row r="6747" spans="5:23" x14ac:dyDescent="0.25">
      <c r="E6747" s="4"/>
      <c r="F6747" s="4"/>
      <c r="G6747" s="33" t="str">
        <f>IFERROR(VLOOKUP($D6747,'Informations sur les produits'!$A$3:$H$10000,8,FALSE),"0")</f>
        <v>0</v>
      </c>
      <c r="K6747" s="4"/>
      <c r="L6747" s="33" t="str">
        <f>IFERROR(VLOOKUP($J6747,'Informations sur les produits'!$A$3:$H$10000,8,FALSE),"0")</f>
        <v>0</v>
      </c>
      <c r="N6747" s="8"/>
      <c r="O6747" s="33" t="str">
        <f>IFERROR(VLOOKUP($M6747,'Informations sur les produits'!$A$3:$H$10000,8,FALSE),"0")</f>
        <v>0</v>
      </c>
      <c r="P6747" s="33">
        <f t="shared" si="420"/>
        <v>0</v>
      </c>
      <c r="Q6747" s="31" t="str">
        <f t="shared" si="421"/>
        <v/>
      </c>
      <c r="R6747" s="32" t="str">
        <f>IFERROR(VLOOKUP($D6747,'Informations sur les produits'!$A$3:$B$15000,2,FALSE),"")</f>
        <v/>
      </c>
      <c r="V6747">
        <f t="shared" si="422"/>
        <v>0</v>
      </c>
      <c r="W6747">
        <f t="shared" si="423"/>
        <v>0</v>
      </c>
    </row>
    <row r="6748" spans="5:23" x14ac:dyDescent="0.25">
      <c r="E6748" s="4"/>
      <c r="F6748" s="4"/>
      <c r="G6748" s="33" t="str">
        <f>IFERROR(VLOOKUP($D6748,'Informations sur les produits'!$A$3:$H$10000,8,FALSE),"0")</f>
        <v>0</v>
      </c>
      <c r="K6748" s="4"/>
      <c r="L6748" s="33" t="str">
        <f>IFERROR(VLOOKUP($J6748,'Informations sur les produits'!$A$3:$H$10000,8,FALSE),"0")</f>
        <v>0</v>
      </c>
      <c r="N6748" s="8"/>
      <c r="O6748" s="33" t="str">
        <f>IFERROR(VLOOKUP($M6748,'Informations sur les produits'!$A$3:$H$10000,8,FALSE),"0")</f>
        <v>0</v>
      </c>
      <c r="P6748" s="33">
        <f t="shared" si="420"/>
        <v>0</v>
      </c>
      <c r="Q6748" s="31" t="str">
        <f t="shared" si="421"/>
        <v/>
      </c>
      <c r="R6748" s="32" t="str">
        <f>IFERROR(VLOOKUP($D6748,'Informations sur les produits'!$A$3:$B$15000,2,FALSE),"")</f>
        <v/>
      </c>
      <c r="V6748">
        <f t="shared" si="422"/>
        <v>0</v>
      </c>
      <c r="W6748">
        <f t="shared" si="423"/>
        <v>0</v>
      </c>
    </row>
    <row r="6749" spans="5:23" x14ac:dyDescent="0.25">
      <c r="E6749" s="4"/>
      <c r="F6749" s="4"/>
      <c r="G6749" s="33" t="str">
        <f>IFERROR(VLOOKUP($D6749,'Informations sur les produits'!$A$3:$H$10000,8,FALSE),"0")</f>
        <v>0</v>
      </c>
      <c r="K6749" s="4"/>
      <c r="L6749" s="33" t="str">
        <f>IFERROR(VLOOKUP($J6749,'Informations sur les produits'!$A$3:$H$10000,8,FALSE),"0")</f>
        <v>0</v>
      </c>
      <c r="N6749" s="8"/>
      <c r="O6749" s="33" t="str">
        <f>IFERROR(VLOOKUP($M6749,'Informations sur les produits'!$A$3:$H$10000,8,FALSE),"0")</f>
        <v>0</v>
      </c>
      <c r="P6749" s="33">
        <f t="shared" si="420"/>
        <v>0</v>
      </c>
      <c r="Q6749" s="31" t="str">
        <f t="shared" si="421"/>
        <v/>
      </c>
      <c r="R6749" s="32" t="str">
        <f>IFERROR(VLOOKUP($D6749,'Informations sur les produits'!$A$3:$B$15000,2,FALSE),"")</f>
        <v/>
      </c>
      <c r="V6749">
        <f t="shared" si="422"/>
        <v>0</v>
      </c>
      <c r="W6749">
        <f t="shared" si="423"/>
        <v>0</v>
      </c>
    </row>
    <row r="6750" spans="5:23" x14ac:dyDescent="0.25">
      <c r="E6750" s="4"/>
      <c r="F6750" s="4"/>
      <c r="G6750" s="33" t="str">
        <f>IFERROR(VLOOKUP($D6750,'Informations sur les produits'!$A$3:$H$10000,8,FALSE),"0")</f>
        <v>0</v>
      </c>
      <c r="K6750" s="4"/>
      <c r="L6750" s="33" t="str">
        <f>IFERROR(VLOOKUP($J6750,'Informations sur les produits'!$A$3:$H$10000,8,FALSE),"0")</f>
        <v>0</v>
      </c>
      <c r="N6750" s="8"/>
      <c r="O6750" s="33" t="str">
        <f>IFERROR(VLOOKUP($M6750,'Informations sur les produits'!$A$3:$H$10000,8,FALSE),"0")</f>
        <v>0</v>
      </c>
      <c r="P6750" s="33">
        <f t="shared" si="420"/>
        <v>0</v>
      </c>
      <c r="Q6750" s="31" t="str">
        <f t="shared" si="421"/>
        <v/>
      </c>
      <c r="R6750" s="32" t="str">
        <f>IFERROR(VLOOKUP($D6750,'Informations sur les produits'!$A$3:$B$15000,2,FALSE),"")</f>
        <v/>
      </c>
      <c r="V6750">
        <f t="shared" si="422"/>
        <v>0</v>
      </c>
      <c r="W6750">
        <f t="shared" si="423"/>
        <v>0</v>
      </c>
    </row>
    <row r="6751" spans="5:23" x14ac:dyDescent="0.25">
      <c r="E6751" s="4"/>
      <c r="F6751" s="4"/>
      <c r="G6751" s="33" t="str">
        <f>IFERROR(VLOOKUP($D6751,'Informations sur les produits'!$A$3:$H$10000,8,FALSE),"0")</f>
        <v>0</v>
      </c>
      <c r="K6751" s="4"/>
      <c r="L6751" s="33" t="str">
        <f>IFERROR(VLOOKUP($J6751,'Informations sur les produits'!$A$3:$H$10000,8,FALSE),"0")</f>
        <v>0</v>
      </c>
      <c r="N6751" s="8"/>
      <c r="O6751" s="33" t="str">
        <f>IFERROR(VLOOKUP($M6751,'Informations sur les produits'!$A$3:$H$10000,8,FALSE),"0")</f>
        <v>0</v>
      </c>
      <c r="P6751" s="33">
        <f t="shared" si="420"/>
        <v>0</v>
      </c>
      <c r="Q6751" s="31" t="str">
        <f t="shared" si="421"/>
        <v/>
      </c>
      <c r="R6751" s="32" t="str">
        <f>IFERROR(VLOOKUP($D6751,'Informations sur les produits'!$A$3:$B$15000,2,FALSE),"")</f>
        <v/>
      </c>
      <c r="V6751">
        <f t="shared" si="422"/>
        <v>0</v>
      </c>
      <c r="W6751">
        <f t="shared" si="423"/>
        <v>0</v>
      </c>
    </row>
    <row r="6752" spans="5:23" x14ac:dyDescent="0.25">
      <c r="E6752" s="4"/>
      <c r="F6752" s="4"/>
      <c r="G6752" s="33" t="str">
        <f>IFERROR(VLOOKUP($D6752,'Informations sur les produits'!$A$3:$H$10000,8,FALSE),"0")</f>
        <v>0</v>
      </c>
      <c r="K6752" s="4"/>
      <c r="L6752" s="33" t="str">
        <f>IFERROR(VLOOKUP($J6752,'Informations sur les produits'!$A$3:$H$10000,8,FALSE),"0")</f>
        <v>0</v>
      </c>
      <c r="N6752" s="8"/>
      <c r="O6752" s="33" t="str">
        <f>IFERROR(VLOOKUP($M6752,'Informations sur les produits'!$A$3:$H$10000,8,FALSE),"0")</f>
        <v>0</v>
      </c>
      <c r="P6752" s="33">
        <f t="shared" si="420"/>
        <v>0</v>
      </c>
      <c r="Q6752" s="31" t="str">
        <f t="shared" si="421"/>
        <v/>
      </c>
      <c r="R6752" s="32" t="str">
        <f>IFERROR(VLOOKUP($D6752,'Informations sur les produits'!$A$3:$B$15000,2,FALSE),"")</f>
        <v/>
      </c>
      <c r="V6752">
        <f t="shared" si="422"/>
        <v>0</v>
      </c>
      <c r="W6752">
        <f t="shared" si="423"/>
        <v>0</v>
      </c>
    </row>
    <row r="6753" spans="5:23" x14ac:dyDescent="0.25">
      <c r="E6753" s="4"/>
      <c r="F6753" s="4"/>
      <c r="G6753" s="33" t="str">
        <f>IFERROR(VLOOKUP($D6753,'Informations sur les produits'!$A$3:$H$10000,8,FALSE),"0")</f>
        <v>0</v>
      </c>
      <c r="K6753" s="4"/>
      <c r="L6753" s="33" t="str">
        <f>IFERROR(VLOOKUP($J6753,'Informations sur les produits'!$A$3:$H$10000,8,FALSE),"0")</f>
        <v>0</v>
      </c>
      <c r="N6753" s="8"/>
      <c r="O6753" s="33" t="str">
        <f>IFERROR(VLOOKUP($M6753,'Informations sur les produits'!$A$3:$H$10000,8,FALSE),"0")</f>
        <v>0</v>
      </c>
      <c r="P6753" s="33">
        <f t="shared" si="420"/>
        <v>0</v>
      </c>
      <c r="Q6753" s="31" t="str">
        <f t="shared" si="421"/>
        <v/>
      </c>
      <c r="R6753" s="32" t="str">
        <f>IFERROR(VLOOKUP($D6753,'Informations sur les produits'!$A$3:$B$15000,2,FALSE),"")</f>
        <v/>
      </c>
      <c r="V6753">
        <f t="shared" si="422"/>
        <v>0</v>
      </c>
      <c r="W6753">
        <f t="shared" si="423"/>
        <v>0</v>
      </c>
    </row>
    <row r="6754" spans="5:23" x14ac:dyDescent="0.25">
      <c r="E6754" s="4"/>
      <c r="F6754" s="4"/>
      <c r="G6754" s="33" t="str">
        <f>IFERROR(VLOOKUP($D6754,'Informations sur les produits'!$A$3:$H$10000,8,FALSE),"0")</f>
        <v>0</v>
      </c>
      <c r="K6754" s="4"/>
      <c r="L6754" s="33" t="str">
        <f>IFERROR(VLOOKUP($J6754,'Informations sur les produits'!$A$3:$H$10000,8,FALSE),"0")</f>
        <v>0</v>
      </c>
      <c r="N6754" s="8"/>
      <c r="O6754" s="33" t="str">
        <f>IFERROR(VLOOKUP($M6754,'Informations sur les produits'!$A$3:$H$10000,8,FALSE),"0")</f>
        <v>0</v>
      </c>
      <c r="P6754" s="33">
        <f t="shared" si="420"/>
        <v>0</v>
      </c>
      <c r="Q6754" s="31" t="str">
        <f t="shared" si="421"/>
        <v/>
      </c>
      <c r="R6754" s="32" t="str">
        <f>IFERROR(VLOOKUP($D6754,'Informations sur les produits'!$A$3:$B$15000,2,FALSE),"")</f>
        <v/>
      </c>
      <c r="V6754">
        <f t="shared" si="422"/>
        <v>0</v>
      </c>
      <c r="W6754">
        <f t="shared" si="423"/>
        <v>0</v>
      </c>
    </row>
    <row r="6755" spans="5:23" x14ac:dyDescent="0.25">
      <c r="E6755" s="4"/>
      <c r="F6755" s="4"/>
      <c r="G6755" s="33" t="str">
        <f>IFERROR(VLOOKUP($D6755,'Informations sur les produits'!$A$3:$H$10000,8,FALSE),"0")</f>
        <v>0</v>
      </c>
      <c r="K6755" s="4"/>
      <c r="L6755" s="33" t="str">
        <f>IFERROR(VLOOKUP($J6755,'Informations sur les produits'!$A$3:$H$10000,8,FALSE),"0")</f>
        <v>0</v>
      </c>
      <c r="N6755" s="8"/>
      <c r="O6755" s="33" t="str">
        <f>IFERROR(VLOOKUP($M6755,'Informations sur les produits'!$A$3:$H$10000,8,FALSE),"0")</f>
        <v>0</v>
      </c>
      <c r="P6755" s="33">
        <f t="shared" si="420"/>
        <v>0</v>
      </c>
      <c r="Q6755" s="31" t="str">
        <f t="shared" si="421"/>
        <v/>
      </c>
      <c r="R6755" s="32" t="str">
        <f>IFERROR(VLOOKUP($D6755,'Informations sur les produits'!$A$3:$B$15000,2,FALSE),"")</f>
        <v/>
      </c>
      <c r="V6755">
        <f t="shared" si="422"/>
        <v>0</v>
      </c>
      <c r="W6755">
        <f t="shared" si="423"/>
        <v>0</v>
      </c>
    </row>
    <row r="6756" spans="5:23" x14ac:dyDescent="0.25">
      <c r="E6756" s="4"/>
      <c r="F6756" s="4"/>
      <c r="G6756" s="33" t="str">
        <f>IFERROR(VLOOKUP($D6756,'Informations sur les produits'!$A$3:$H$10000,8,FALSE),"0")</f>
        <v>0</v>
      </c>
      <c r="K6756" s="4"/>
      <c r="L6756" s="33" t="str">
        <f>IFERROR(VLOOKUP($J6756,'Informations sur les produits'!$A$3:$H$10000,8,FALSE),"0")</f>
        <v>0</v>
      </c>
      <c r="N6756" s="8"/>
      <c r="O6756" s="33" t="str">
        <f>IFERROR(VLOOKUP($M6756,'Informations sur les produits'!$A$3:$H$10000,8,FALSE),"0")</f>
        <v>0</v>
      </c>
      <c r="P6756" s="33">
        <f t="shared" si="420"/>
        <v>0</v>
      </c>
      <c r="Q6756" s="31" t="str">
        <f t="shared" si="421"/>
        <v/>
      </c>
      <c r="R6756" s="32" t="str">
        <f>IFERROR(VLOOKUP($D6756,'Informations sur les produits'!$A$3:$B$15000,2,FALSE),"")</f>
        <v/>
      </c>
      <c r="V6756">
        <f t="shared" si="422"/>
        <v>0</v>
      </c>
      <c r="W6756">
        <f t="shared" si="423"/>
        <v>0</v>
      </c>
    </row>
    <row r="6757" spans="5:23" x14ac:dyDescent="0.25">
      <c r="E6757" s="4"/>
      <c r="F6757" s="4"/>
      <c r="G6757" s="33" t="str">
        <f>IFERROR(VLOOKUP($D6757,'Informations sur les produits'!$A$3:$H$10000,8,FALSE),"0")</f>
        <v>0</v>
      </c>
      <c r="K6757" s="4"/>
      <c r="L6757" s="33" t="str">
        <f>IFERROR(VLOOKUP($J6757,'Informations sur les produits'!$A$3:$H$10000,8,FALSE),"0")</f>
        <v>0</v>
      </c>
      <c r="N6757" s="8"/>
      <c r="O6757" s="33" t="str">
        <f>IFERROR(VLOOKUP($M6757,'Informations sur les produits'!$A$3:$H$10000,8,FALSE),"0")</f>
        <v>0</v>
      </c>
      <c r="P6757" s="33">
        <f t="shared" si="420"/>
        <v>0</v>
      </c>
      <c r="Q6757" s="31" t="str">
        <f t="shared" si="421"/>
        <v/>
      </c>
      <c r="R6757" s="32" t="str">
        <f>IFERROR(VLOOKUP($D6757,'Informations sur les produits'!$A$3:$B$15000,2,FALSE),"")</f>
        <v/>
      </c>
      <c r="V6757">
        <f t="shared" si="422"/>
        <v>0</v>
      </c>
      <c r="W6757">
        <f t="shared" si="423"/>
        <v>0</v>
      </c>
    </row>
    <row r="6758" spans="5:23" x14ac:dyDescent="0.25">
      <c r="E6758" s="4"/>
      <c r="F6758" s="4"/>
      <c r="G6758" s="33" t="str">
        <f>IFERROR(VLOOKUP($D6758,'Informations sur les produits'!$A$3:$H$10000,8,FALSE),"0")</f>
        <v>0</v>
      </c>
      <c r="K6758" s="4"/>
      <c r="L6758" s="33" t="str">
        <f>IFERROR(VLOOKUP($J6758,'Informations sur les produits'!$A$3:$H$10000,8,FALSE),"0")</f>
        <v>0</v>
      </c>
      <c r="N6758" s="8"/>
      <c r="O6758" s="33" t="str">
        <f>IFERROR(VLOOKUP($M6758,'Informations sur les produits'!$A$3:$H$10000,8,FALSE),"0")</f>
        <v>0</v>
      </c>
      <c r="P6758" s="33">
        <f t="shared" si="420"/>
        <v>0</v>
      </c>
      <c r="Q6758" s="31" t="str">
        <f t="shared" si="421"/>
        <v/>
      </c>
      <c r="R6758" s="32" t="str">
        <f>IFERROR(VLOOKUP($D6758,'Informations sur les produits'!$A$3:$B$15000,2,FALSE),"")</f>
        <v/>
      </c>
      <c r="V6758">
        <f t="shared" si="422"/>
        <v>0</v>
      </c>
      <c r="W6758">
        <f t="shared" si="423"/>
        <v>0</v>
      </c>
    </row>
    <row r="6759" spans="5:23" x14ac:dyDescent="0.25">
      <c r="E6759" s="4"/>
      <c r="F6759" s="4"/>
      <c r="G6759" s="33" t="str">
        <f>IFERROR(VLOOKUP($D6759,'Informations sur les produits'!$A$3:$H$10000,8,FALSE),"0")</f>
        <v>0</v>
      </c>
      <c r="K6759" s="4"/>
      <c r="L6759" s="33" t="str">
        <f>IFERROR(VLOOKUP($J6759,'Informations sur les produits'!$A$3:$H$10000,8,FALSE),"0")</f>
        <v>0</v>
      </c>
      <c r="N6759" s="8"/>
      <c r="O6759" s="33" t="str">
        <f>IFERROR(VLOOKUP($M6759,'Informations sur les produits'!$A$3:$H$10000,8,FALSE),"0")</f>
        <v>0</v>
      </c>
      <c r="P6759" s="33">
        <f t="shared" si="420"/>
        <v>0</v>
      </c>
      <c r="Q6759" s="31" t="str">
        <f t="shared" si="421"/>
        <v/>
      </c>
      <c r="R6759" s="32" t="str">
        <f>IFERROR(VLOOKUP($D6759,'Informations sur les produits'!$A$3:$B$15000,2,FALSE),"")</f>
        <v/>
      </c>
      <c r="V6759">
        <f t="shared" si="422"/>
        <v>0</v>
      </c>
      <c r="W6759">
        <f t="shared" si="423"/>
        <v>0</v>
      </c>
    </row>
    <row r="6760" spans="5:23" x14ac:dyDescent="0.25">
      <c r="E6760" s="4"/>
      <c r="F6760" s="4"/>
      <c r="G6760" s="33" t="str">
        <f>IFERROR(VLOOKUP($D6760,'Informations sur les produits'!$A$3:$H$10000,8,FALSE),"0")</f>
        <v>0</v>
      </c>
      <c r="K6760" s="4"/>
      <c r="L6760" s="33" t="str">
        <f>IFERROR(VLOOKUP($J6760,'Informations sur les produits'!$A$3:$H$10000,8,FALSE),"0")</f>
        <v>0</v>
      </c>
      <c r="N6760" s="8"/>
      <c r="O6760" s="33" t="str">
        <f>IFERROR(VLOOKUP($M6760,'Informations sur les produits'!$A$3:$H$10000,8,FALSE),"0")</f>
        <v>0</v>
      </c>
      <c r="P6760" s="33">
        <f t="shared" si="420"/>
        <v>0</v>
      </c>
      <c r="Q6760" s="31" t="str">
        <f t="shared" si="421"/>
        <v/>
      </c>
      <c r="R6760" s="32" t="str">
        <f>IFERROR(VLOOKUP($D6760,'Informations sur les produits'!$A$3:$B$15000,2,FALSE),"")</f>
        <v/>
      </c>
      <c r="V6760">
        <f t="shared" si="422"/>
        <v>0</v>
      </c>
      <c r="W6760">
        <f t="shared" si="423"/>
        <v>0</v>
      </c>
    </row>
    <row r="6761" spans="5:23" x14ac:dyDescent="0.25">
      <c r="E6761" s="4"/>
      <c r="F6761" s="4"/>
      <c r="G6761" s="33" t="str">
        <f>IFERROR(VLOOKUP($D6761,'Informations sur les produits'!$A$3:$H$10000,8,FALSE),"0")</f>
        <v>0</v>
      </c>
      <c r="K6761" s="4"/>
      <c r="L6761" s="33" t="str">
        <f>IFERROR(VLOOKUP($J6761,'Informations sur les produits'!$A$3:$H$10000,8,FALSE),"0")</f>
        <v>0</v>
      </c>
      <c r="N6761" s="8"/>
      <c r="O6761" s="33" t="str">
        <f>IFERROR(VLOOKUP($M6761,'Informations sur les produits'!$A$3:$H$10000,8,FALSE),"0")</f>
        <v>0</v>
      </c>
      <c r="P6761" s="33">
        <f t="shared" si="420"/>
        <v>0</v>
      </c>
      <c r="Q6761" s="31" t="str">
        <f t="shared" si="421"/>
        <v/>
      </c>
      <c r="R6761" s="32" t="str">
        <f>IFERROR(VLOOKUP($D6761,'Informations sur les produits'!$A$3:$B$15000,2,FALSE),"")</f>
        <v/>
      </c>
      <c r="V6761">
        <f t="shared" si="422"/>
        <v>0</v>
      </c>
      <c r="W6761">
        <f t="shared" si="423"/>
        <v>0</v>
      </c>
    </row>
    <row r="6762" spans="5:23" x14ac:dyDescent="0.25">
      <c r="E6762" s="4"/>
      <c r="F6762" s="4"/>
      <c r="G6762" s="33" t="str">
        <f>IFERROR(VLOOKUP($D6762,'Informations sur les produits'!$A$3:$H$10000,8,FALSE),"0")</f>
        <v>0</v>
      </c>
      <c r="K6762" s="4"/>
      <c r="L6762" s="33" t="str">
        <f>IFERROR(VLOOKUP($J6762,'Informations sur les produits'!$A$3:$H$10000,8,FALSE),"0")</f>
        <v>0</v>
      </c>
      <c r="N6762" s="8"/>
      <c r="O6762" s="33" t="str">
        <f>IFERROR(VLOOKUP($M6762,'Informations sur les produits'!$A$3:$H$10000,8,FALSE),"0")</f>
        <v>0</v>
      </c>
      <c r="P6762" s="33">
        <f t="shared" si="420"/>
        <v>0</v>
      </c>
      <c r="Q6762" s="31" t="str">
        <f t="shared" si="421"/>
        <v/>
      </c>
      <c r="R6762" s="32" t="str">
        <f>IFERROR(VLOOKUP($D6762,'Informations sur les produits'!$A$3:$B$15000,2,FALSE),"")</f>
        <v/>
      </c>
      <c r="V6762">
        <f t="shared" si="422"/>
        <v>0</v>
      </c>
      <c r="W6762">
        <f t="shared" si="423"/>
        <v>0</v>
      </c>
    </row>
    <row r="6763" spans="5:23" x14ac:dyDescent="0.25">
      <c r="E6763" s="4"/>
      <c r="F6763" s="4"/>
      <c r="G6763" s="33" t="str">
        <f>IFERROR(VLOOKUP($D6763,'Informations sur les produits'!$A$3:$H$10000,8,FALSE),"0")</f>
        <v>0</v>
      </c>
      <c r="K6763" s="4"/>
      <c r="L6763" s="33" t="str">
        <f>IFERROR(VLOOKUP($J6763,'Informations sur les produits'!$A$3:$H$10000,8,FALSE),"0")</f>
        <v>0</v>
      </c>
      <c r="N6763" s="8"/>
      <c r="O6763" s="33" t="str">
        <f>IFERROR(VLOOKUP($M6763,'Informations sur les produits'!$A$3:$H$10000,8,FALSE),"0")</f>
        <v>0</v>
      </c>
      <c r="P6763" s="33">
        <f t="shared" si="420"/>
        <v>0</v>
      </c>
      <c r="Q6763" s="31" t="str">
        <f t="shared" si="421"/>
        <v/>
      </c>
      <c r="R6763" s="32" t="str">
        <f>IFERROR(VLOOKUP($D6763,'Informations sur les produits'!$A$3:$B$15000,2,FALSE),"")</f>
        <v/>
      </c>
      <c r="V6763">
        <f t="shared" si="422"/>
        <v>0</v>
      </c>
      <c r="W6763">
        <f t="shared" si="423"/>
        <v>0</v>
      </c>
    </row>
    <row r="6764" spans="5:23" x14ac:dyDescent="0.25">
      <c r="E6764" s="4"/>
      <c r="F6764" s="4"/>
      <c r="G6764" s="33" t="str">
        <f>IFERROR(VLOOKUP($D6764,'Informations sur les produits'!$A$3:$H$10000,8,FALSE),"0")</f>
        <v>0</v>
      </c>
      <c r="K6764" s="4"/>
      <c r="L6764" s="33" t="str">
        <f>IFERROR(VLOOKUP($J6764,'Informations sur les produits'!$A$3:$H$10000,8,FALSE),"0")</f>
        <v>0</v>
      </c>
      <c r="N6764" s="8"/>
      <c r="O6764" s="33" t="str">
        <f>IFERROR(VLOOKUP($M6764,'Informations sur les produits'!$A$3:$H$10000,8,FALSE),"0")</f>
        <v>0</v>
      </c>
      <c r="P6764" s="33">
        <f t="shared" si="420"/>
        <v>0</v>
      </c>
      <c r="Q6764" s="31" t="str">
        <f t="shared" si="421"/>
        <v/>
      </c>
      <c r="R6764" s="32" t="str">
        <f>IFERROR(VLOOKUP($D6764,'Informations sur les produits'!$A$3:$B$15000,2,FALSE),"")</f>
        <v/>
      </c>
      <c r="V6764">
        <f t="shared" si="422"/>
        <v>0</v>
      </c>
      <c r="W6764">
        <f t="shared" si="423"/>
        <v>0</v>
      </c>
    </row>
    <row r="6765" spans="5:23" x14ac:dyDescent="0.25">
      <c r="E6765" s="4"/>
      <c r="F6765" s="4"/>
      <c r="G6765" s="33" t="str">
        <f>IFERROR(VLOOKUP($D6765,'Informations sur les produits'!$A$3:$H$10000,8,FALSE),"0")</f>
        <v>0</v>
      </c>
      <c r="K6765" s="4"/>
      <c r="L6765" s="33" t="str">
        <f>IFERROR(VLOOKUP($J6765,'Informations sur les produits'!$A$3:$H$10000,8,FALSE),"0")</f>
        <v>0</v>
      </c>
      <c r="N6765" s="8"/>
      <c r="O6765" s="33" t="str">
        <f>IFERROR(VLOOKUP($M6765,'Informations sur les produits'!$A$3:$H$10000,8,FALSE),"0")</f>
        <v>0</v>
      </c>
      <c r="P6765" s="33">
        <f t="shared" si="420"/>
        <v>0</v>
      </c>
      <c r="Q6765" s="31" t="str">
        <f t="shared" si="421"/>
        <v/>
      </c>
      <c r="R6765" s="32" t="str">
        <f>IFERROR(VLOOKUP($D6765,'Informations sur les produits'!$A$3:$B$15000,2,FALSE),"")</f>
        <v/>
      </c>
      <c r="V6765">
        <f t="shared" si="422"/>
        <v>0</v>
      </c>
      <c r="W6765">
        <f t="shared" si="423"/>
        <v>0</v>
      </c>
    </row>
    <row r="6766" spans="5:23" x14ac:dyDescent="0.25">
      <c r="E6766" s="4"/>
      <c r="F6766" s="4"/>
      <c r="G6766" s="33" t="str">
        <f>IFERROR(VLOOKUP($D6766,'Informations sur les produits'!$A$3:$H$10000,8,FALSE),"0")</f>
        <v>0</v>
      </c>
      <c r="K6766" s="4"/>
      <c r="L6766" s="33" t="str">
        <f>IFERROR(VLOOKUP($J6766,'Informations sur les produits'!$A$3:$H$10000,8,FALSE),"0")</f>
        <v>0</v>
      </c>
      <c r="N6766" s="8"/>
      <c r="O6766" s="33" t="str">
        <f>IFERROR(VLOOKUP($M6766,'Informations sur les produits'!$A$3:$H$10000,8,FALSE),"0")</f>
        <v>0</v>
      </c>
      <c r="P6766" s="33">
        <f t="shared" si="420"/>
        <v>0</v>
      </c>
      <c r="Q6766" s="31" t="str">
        <f t="shared" si="421"/>
        <v/>
      </c>
      <c r="R6766" s="32" t="str">
        <f>IFERROR(VLOOKUP($D6766,'Informations sur les produits'!$A$3:$B$15000,2,FALSE),"")</f>
        <v/>
      </c>
      <c r="V6766">
        <f t="shared" si="422"/>
        <v>0</v>
      </c>
      <c r="W6766">
        <f t="shared" si="423"/>
        <v>0</v>
      </c>
    </row>
    <row r="6767" spans="5:23" x14ac:dyDescent="0.25">
      <c r="E6767" s="4"/>
      <c r="F6767" s="4"/>
      <c r="G6767" s="33" t="str">
        <f>IFERROR(VLOOKUP($D6767,'Informations sur les produits'!$A$3:$H$10000,8,FALSE),"0")</f>
        <v>0</v>
      </c>
      <c r="K6767" s="4"/>
      <c r="L6767" s="33" t="str">
        <f>IFERROR(VLOOKUP($J6767,'Informations sur les produits'!$A$3:$H$10000,8,FALSE),"0")</f>
        <v>0</v>
      </c>
      <c r="N6767" s="8"/>
      <c r="O6767" s="33" t="str">
        <f>IFERROR(VLOOKUP($M6767,'Informations sur les produits'!$A$3:$H$10000,8,FALSE),"0")</f>
        <v>0</v>
      </c>
      <c r="P6767" s="33">
        <f t="shared" si="420"/>
        <v>0</v>
      </c>
      <c r="Q6767" s="31" t="str">
        <f t="shared" si="421"/>
        <v/>
      </c>
      <c r="R6767" s="32" t="str">
        <f>IFERROR(VLOOKUP($D6767,'Informations sur les produits'!$A$3:$B$15000,2,FALSE),"")</f>
        <v/>
      </c>
      <c r="V6767">
        <f t="shared" si="422"/>
        <v>0</v>
      </c>
      <c r="W6767">
        <f t="shared" si="423"/>
        <v>0</v>
      </c>
    </row>
    <row r="6768" spans="5:23" x14ac:dyDescent="0.25">
      <c r="E6768" s="4"/>
      <c r="F6768" s="4"/>
      <c r="G6768" s="33" t="str">
        <f>IFERROR(VLOOKUP($D6768,'Informations sur les produits'!$A$3:$H$10000,8,FALSE),"0")</f>
        <v>0</v>
      </c>
      <c r="K6768" s="4"/>
      <c r="L6768" s="33" t="str">
        <f>IFERROR(VLOOKUP($J6768,'Informations sur les produits'!$A$3:$H$10000,8,FALSE),"0")</f>
        <v>0</v>
      </c>
      <c r="N6768" s="8"/>
      <c r="O6768" s="33" t="str">
        <f>IFERROR(VLOOKUP($M6768,'Informations sur les produits'!$A$3:$H$10000,8,FALSE),"0")</f>
        <v>0</v>
      </c>
      <c r="P6768" s="33">
        <f t="shared" si="420"/>
        <v>0</v>
      </c>
      <c r="Q6768" s="31" t="str">
        <f t="shared" si="421"/>
        <v/>
      </c>
      <c r="R6768" s="32" t="str">
        <f>IFERROR(VLOOKUP($D6768,'Informations sur les produits'!$A$3:$B$15000,2,FALSE),"")</f>
        <v/>
      </c>
      <c r="V6768">
        <f t="shared" si="422"/>
        <v>0</v>
      </c>
      <c r="W6768">
        <f t="shared" si="423"/>
        <v>0</v>
      </c>
    </row>
    <row r="6769" spans="5:23" x14ac:dyDescent="0.25">
      <c r="E6769" s="4"/>
      <c r="F6769" s="4"/>
      <c r="G6769" s="33" t="str">
        <f>IFERROR(VLOOKUP($D6769,'Informations sur les produits'!$A$3:$H$10000,8,FALSE),"0")</f>
        <v>0</v>
      </c>
      <c r="K6769" s="4"/>
      <c r="L6769" s="33" t="str">
        <f>IFERROR(VLOOKUP($J6769,'Informations sur les produits'!$A$3:$H$10000,8,FALSE),"0")</f>
        <v>0</v>
      </c>
      <c r="N6769" s="8"/>
      <c r="O6769" s="33" t="str">
        <f>IFERROR(VLOOKUP($M6769,'Informations sur les produits'!$A$3:$H$10000,8,FALSE),"0")</f>
        <v>0</v>
      </c>
      <c r="P6769" s="33">
        <f t="shared" si="420"/>
        <v>0</v>
      </c>
      <c r="Q6769" s="31" t="str">
        <f t="shared" si="421"/>
        <v/>
      </c>
      <c r="R6769" s="32" t="str">
        <f>IFERROR(VLOOKUP($D6769,'Informations sur les produits'!$A$3:$B$15000,2,FALSE),"")</f>
        <v/>
      </c>
      <c r="V6769">
        <f t="shared" si="422"/>
        <v>0</v>
      </c>
      <c r="W6769">
        <f t="shared" si="423"/>
        <v>0</v>
      </c>
    </row>
    <row r="6770" spans="5:23" x14ac:dyDescent="0.25">
      <c r="E6770" s="4"/>
      <c r="F6770" s="4"/>
      <c r="G6770" s="33" t="str">
        <f>IFERROR(VLOOKUP($D6770,'Informations sur les produits'!$A$3:$H$10000,8,FALSE),"0")</f>
        <v>0</v>
      </c>
      <c r="K6770" s="4"/>
      <c r="L6770" s="33" t="str">
        <f>IFERROR(VLOOKUP($J6770,'Informations sur les produits'!$A$3:$H$10000,8,FALSE),"0")</f>
        <v>0</v>
      </c>
      <c r="N6770" s="8"/>
      <c r="O6770" s="33" t="str">
        <f>IFERROR(VLOOKUP($M6770,'Informations sur les produits'!$A$3:$H$10000,8,FALSE),"0")</f>
        <v>0</v>
      </c>
      <c r="P6770" s="33">
        <f t="shared" si="420"/>
        <v>0</v>
      </c>
      <c r="Q6770" s="31" t="str">
        <f t="shared" si="421"/>
        <v/>
      </c>
      <c r="R6770" s="32" t="str">
        <f>IFERROR(VLOOKUP($D6770,'Informations sur les produits'!$A$3:$B$15000,2,FALSE),"")</f>
        <v/>
      </c>
      <c r="V6770">
        <f t="shared" si="422"/>
        <v>0</v>
      </c>
      <c r="W6770">
        <f t="shared" si="423"/>
        <v>0</v>
      </c>
    </row>
    <row r="6771" spans="5:23" x14ac:dyDescent="0.25">
      <c r="E6771" s="4"/>
      <c r="F6771" s="4"/>
      <c r="G6771" s="33" t="str">
        <f>IFERROR(VLOOKUP($D6771,'Informations sur les produits'!$A$3:$H$10000,8,FALSE),"0")</f>
        <v>0</v>
      </c>
      <c r="K6771" s="4"/>
      <c r="L6771" s="33" t="str">
        <f>IFERROR(VLOOKUP($J6771,'Informations sur les produits'!$A$3:$H$10000,8,FALSE),"0")</f>
        <v>0</v>
      </c>
      <c r="N6771" s="8"/>
      <c r="O6771" s="33" t="str">
        <f>IFERROR(VLOOKUP($M6771,'Informations sur les produits'!$A$3:$H$10000,8,FALSE),"0")</f>
        <v>0</v>
      </c>
      <c r="P6771" s="33">
        <f t="shared" si="420"/>
        <v>0</v>
      </c>
      <c r="Q6771" s="31" t="str">
        <f t="shared" si="421"/>
        <v/>
      </c>
      <c r="R6771" s="32" t="str">
        <f>IFERROR(VLOOKUP($D6771,'Informations sur les produits'!$A$3:$B$15000,2,FALSE),"")</f>
        <v/>
      </c>
      <c r="V6771">
        <f t="shared" si="422"/>
        <v>0</v>
      </c>
      <c r="W6771">
        <f t="shared" si="423"/>
        <v>0</v>
      </c>
    </row>
    <row r="6772" spans="5:23" x14ac:dyDescent="0.25">
      <c r="E6772" s="4"/>
      <c r="F6772" s="4"/>
      <c r="G6772" s="33" t="str">
        <f>IFERROR(VLOOKUP($D6772,'Informations sur les produits'!$A$3:$H$10000,8,FALSE),"0")</f>
        <v>0</v>
      </c>
      <c r="K6772" s="4"/>
      <c r="L6772" s="33" t="str">
        <f>IFERROR(VLOOKUP($J6772,'Informations sur les produits'!$A$3:$H$10000,8,FALSE),"0")</f>
        <v>0</v>
      </c>
      <c r="N6772" s="8"/>
      <c r="O6772" s="33" t="str">
        <f>IFERROR(VLOOKUP($M6772,'Informations sur les produits'!$A$3:$H$10000,8,FALSE),"0")</f>
        <v>0</v>
      </c>
      <c r="P6772" s="33">
        <f t="shared" si="420"/>
        <v>0</v>
      </c>
      <c r="Q6772" s="31" t="str">
        <f t="shared" si="421"/>
        <v/>
      </c>
      <c r="R6772" s="32" t="str">
        <f>IFERROR(VLOOKUP($D6772,'Informations sur les produits'!$A$3:$B$15000,2,FALSE),"")</f>
        <v/>
      </c>
      <c r="V6772">
        <f t="shared" si="422"/>
        <v>0</v>
      </c>
      <c r="W6772">
        <f t="shared" si="423"/>
        <v>0</v>
      </c>
    </row>
    <row r="6773" spans="5:23" x14ac:dyDescent="0.25">
      <c r="E6773" s="4"/>
      <c r="F6773" s="4"/>
      <c r="G6773" s="33" t="str">
        <f>IFERROR(VLOOKUP($D6773,'Informations sur les produits'!$A$3:$H$10000,8,FALSE),"0")</f>
        <v>0</v>
      </c>
      <c r="K6773" s="4"/>
      <c r="L6773" s="33" t="str">
        <f>IFERROR(VLOOKUP($J6773,'Informations sur les produits'!$A$3:$H$10000,8,FALSE),"0")</f>
        <v>0</v>
      </c>
      <c r="N6773" s="8"/>
      <c r="O6773" s="33" t="str">
        <f>IFERROR(VLOOKUP($M6773,'Informations sur les produits'!$A$3:$H$10000,8,FALSE),"0")</f>
        <v>0</v>
      </c>
      <c r="P6773" s="33">
        <f t="shared" si="420"/>
        <v>0</v>
      </c>
      <c r="Q6773" s="31" t="str">
        <f t="shared" si="421"/>
        <v/>
      </c>
      <c r="R6773" s="32" t="str">
        <f>IFERROR(VLOOKUP($D6773,'Informations sur les produits'!$A$3:$B$15000,2,FALSE),"")</f>
        <v/>
      </c>
      <c r="V6773">
        <f t="shared" si="422"/>
        <v>0</v>
      </c>
      <c r="W6773">
        <f t="shared" si="423"/>
        <v>0</v>
      </c>
    </row>
    <row r="6774" spans="5:23" x14ac:dyDescent="0.25">
      <c r="E6774" s="4"/>
      <c r="F6774" s="4"/>
      <c r="G6774" s="33" t="str">
        <f>IFERROR(VLOOKUP($D6774,'Informations sur les produits'!$A$3:$H$10000,8,FALSE),"0")</f>
        <v>0</v>
      </c>
      <c r="K6774" s="4"/>
      <c r="L6774" s="33" t="str">
        <f>IFERROR(VLOOKUP($J6774,'Informations sur les produits'!$A$3:$H$10000,8,FALSE),"0")</f>
        <v>0</v>
      </c>
      <c r="N6774" s="8"/>
      <c r="O6774" s="33" t="str">
        <f>IFERROR(VLOOKUP($M6774,'Informations sur les produits'!$A$3:$H$10000,8,FALSE),"0")</f>
        <v>0</v>
      </c>
      <c r="P6774" s="33">
        <f t="shared" si="420"/>
        <v>0</v>
      </c>
      <c r="Q6774" s="31" t="str">
        <f t="shared" si="421"/>
        <v/>
      </c>
      <c r="R6774" s="32" t="str">
        <f>IFERROR(VLOOKUP($D6774,'Informations sur les produits'!$A$3:$B$15000,2,FALSE),"")</f>
        <v/>
      </c>
      <c r="V6774">
        <f t="shared" si="422"/>
        <v>0</v>
      </c>
      <c r="W6774">
        <f t="shared" si="423"/>
        <v>0</v>
      </c>
    </row>
    <row r="6775" spans="5:23" x14ac:dyDescent="0.25">
      <c r="E6775" s="4"/>
      <c r="F6775" s="4"/>
      <c r="G6775" s="33" t="str">
        <f>IFERROR(VLOOKUP($D6775,'Informations sur les produits'!$A$3:$H$10000,8,FALSE),"0")</f>
        <v>0</v>
      </c>
      <c r="K6775" s="4"/>
      <c r="L6775" s="33" t="str">
        <f>IFERROR(VLOOKUP($J6775,'Informations sur les produits'!$A$3:$H$10000,8,FALSE),"0")</f>
        <v>0</v>
      </c>
      <c r="N6775" s="8"/>
      <c r="O6775" s="33" t="str">
        <f>IFERROR(VLOOKUP($M6775,'Informations sur les produits'!$A$3:$H$10000,8,FALSE),"0")</f>
        <v>0</v>
      </c>
      <c r="P6775" s="33">
        <f t="shared" si="420"/>
        <v>0</v>
      </c>
      <c r="Q6775" s="31" t="str">
        <f t="shared" si="421"/>
        <v/>
      </c>
      <c r="R6775" s="32" t="str">
        <f>IFERROR(VLOOKUP($D6775,'Informations sur les produits'!$A$3:$B$15000,2,FALSE),"")</f>
        <v/>
      </c>
      <c r="V6775">
        <f t="shared" si="422"/>
        <v>0</v>
      </c>
      <c r="W6775">
        <f t="shared" si="423"/>
        <v>0</v>
      </c>
    </row>
    <row r="6776" spans="5:23" x14ac:dyDescent="0.25">
      <c r="E6776" s="4"/>
      <c r="F6776" s="4"/>
      <c r="G6776" s="33" t="str">
        <f>IFERROR(VLOOKUP($D6776,'Informations sur les produits'!$A$3:$H$10000,8,FALSE),"0")</f>
        <v>0</v>
      </c>
      <c r="K6776" s="4"/>
      <c r="L6776" s="33" t="str">
        <f>IFERROR(VLOOKUP($J6776,'Informations sur les produits'!$A$3:$H$10000,8,FALSE),"0")</f>
        <v>0</v>
      </c>
      <c r="N6776" s="8"/>
      <c r="O6776" s="33" t="str">
        <f>IFERROR(VLOOKUP($M6776,'Informations sur les produits'!$A$3:$H$10000,8,FALSE),"0")</f>
        <v>0</v>
      </c>
      <c r="P6776" s="33">
        <f t="shared" si="420"/>
        <v>0</v>
      </c>
      <c r="Q6776" s="31" t="str">
        <f t="shared" si="421"/>
        <v/>
      </c>
      <c r="R6776" s="32" t="str">
        <f>IFERROR(VLOOKUP($D6776,'Informations sur les produits'!$A$3:$B$15000,2,FALSE),"")</f>
        <v/>
      </c>
      <c r="V6776">
        <f t="shared" si="422"/>
        <v>0</v>
      </c>
      <c r="W6776">
        <f t="shared" si="423"/>
        <v>0</v>
      </c>
    </row>
    <row r="6777" spans="5:23" x14ac:dyDescent="0.25">
      <c r="E6777" s="4"/>
      <c r="F6777" s="4"/>
      <c r="G6777" s="33" t="str">
        <f>IFERROR(VLOOKUP($D6777,'Informations sur les produits'!$A$3:$H$10000,8,FALSE),"0")</f>
        <v>0</v>
      </c>
      <c r="K6777" s="4"/>
      <c r="L6777" s="33" t="str">
        <f>IFERROR(VLOOKUP($J6777,'Informations sur les produits'!$A$3:$H$10000,8,FALSE),"0")</f>
        <v>0</v>
      </c>
      <c r="N6777" s="8"/>
      <c r="O6777" s="33" t="str">
        <f>IFERROR(VLOOKUP($M6777,'Informations sur les produits'!$A$3:$H$10000,8,FALSE),"0")</f>
        <v>0</v>
      </c>
      <c r="P6777" s="33">
        <f t="shared" si="420"/>
        <v>0</v>
      </c>
      <c r="Q6777" s="31" t="str">
        <f t="shared" si="421"/>
        <v/>
      </c>
      <c r="R6777" s="32" t="str">
        <f>IFERROR(VLOOKUP($D6777,'Informations sur les produits'!$A$3:$B$15000,2,FALSE),"")</f>
        <v/>
      </c>
      <c r="V6777">
        <f t="shared" si="422"/>
        <v>0</v>
      </c>
      <c r="W6777">
        <f t="shared" si="423"/>
        <v>0</v>
      </c>
    </row>
    <row r="6778" spans="5:23" x14ac:dyDescent="0.25">
      <c r="E6778" s="4"/>
      <c r="F6778" s="4"/>
      <c r="G6778" s="33" t="str">
        <f>IFERROR(VLOOKUP($D6778,'Informations sur les produits'!$A$3:$H$10000,8,FALSE),"0")</f>
        <v>0</v>
      </c>
      <c r="K6778" s="4"/>
      <c r="L6778" s="33" t="str">
        <f>IFERROR(VLOOKUP($J6778,'Informations sur les produits'!$A$3:$H$10000,8,FALSE),"0")</f>
        <v>0</v>
      </c>
      <c r="N6778" s="8"/>
      <c r="O6778" s="33" t="str">
        <f>IFERROR(VLOOKUP($M6778,'Informations sur les produits'!$A$3:$H$10000,8,FALSE),"0")</f>
        <v>0</v>
      </c>
      <c r="P6778" s="33">
        <f t="shared" si="420"/>
        <v>0</v>
      </c>
      <c r="Q6778" s="31" t="str">
        <f t="shared" si="421"/>
        <v/>
      </c>
      <c r="R6778" s="32" t="str">
        <f>IFERROR(VLOOKUP($D6778,'Informations sur les produits'!$A$3:$B$15000,2,FALSE),"")</f>
        <v/>
      </c>
      <c r="V6778">
        <f t="shared" si="422"/>
        <v>0</v>
      </c>
      <c r="W6778">
        <f t="shared" si="423"/>
        <v>0</v>
      </c>
    </row>
    <row r="6779" spans="5:23" x14ac:dyDescent="0.25">
      <c r="E6779" s="4"/>
      <c r="F6779" s="4"/>
      <c r="G6779" s="33" t="str">
        <f>IFERROR(VLOOKUP($D6779,'Informations sur les produits'!$A$3:$H$10000,8,FALSE),"0")</f>
        <v>0</v>
      </c>
      <c r="K6779" s="4"/>
      <c r="L6779" s="33" t="str">
        <f>IFERROR(VLOOKUP($J6779,'Informations sur les produits'!$A$3:$H$10000,8,FALSE),"0")</f>
        <v>0</v>
      </c>
      <c r="N6779" s="8"/>
      <c r="O6779" s="33" t="str">
        <f>IFERROR(VLOOKUP($M6779,'Informations sur les produits'!$A$3:$H$10000,8,FALSE),"0")</f>
        <v>0</v>
      </c>
      <c r="P6779" s="33">
        <f t="shared" si="420"/>
        <v>0</v>
      </c>
      <c r="Q6779" s="31" t="str">
        <f t="shared" si="421"/>
        <v/>
      </c>
      <c r="R6779" s="32" t="str">
        <f>IFERROR(VLOOKUP($D6779,'Informations sur les produits'!$A$3:$B$15000,2,FALSE),"")</f>
        <v/>
      </c>
      <c r="V6779">
        <f t="shared" si="422"/>
        <v>0</v>
      </c>
      <c r="W6779">
        <f t="shared" si="423"/>
        <v>0</v>
      </c>
    </row>
    <row r="6780" spans="5:23" x14ac:dyDescent="0.25">
      <c r="E6780" s="4"/>
      <c r="F6780" s="4"/>
      <c r="G6780" s="33" t="str">
        <f>IFERROR(VLOOKUP($D6780,'Informations sur les produits'!$A$3:$H$10000,8,FALSE),"0")</f>
        <v>0</v>
      </c>
      <c r="K6780" s="4"/>
      <c r="L6780" s="33" t="str">
        <f>IFERROR(VLOOKUP($J6780,'Informations sur les produits'!$A$3:$H$10000,8,FALSE),"0")</f>
        <v>0</v>
      </c>
      <c r="N6780" s="8"/>
      <c r="O6780" s="33" t="str">
        <f>IFERROR(VLOOKUP($M6780,'Informations sur les produits'!$A$3:$H$10000,8,FALSE),"0")</f>
        <v>0</v>
      </c>
      <c r="P6780" s="33">
        <f t="shared" si="420"/>
        <v>0</v>
      </c>
      <c r="Q6780" s="31" t="str">
        <f t="shared" si="421"/>
        <v/>
      </c>
      <c r="R6780" s="32" t="str">
        <f>IFERROR(VLOOKUP($D6780,'Informations sur les produits'!$A$3:$B$15000,2,FALSE),"")</f>
        <v/>
      </c>
      <c r="V6780">
        <f t="shared" si="422"/>
        <v>0</v>
      </c>
      <c r="W6780">
        <f t="shared" si="423"/>
        <v>0</v>
      </c>
    </row>
    <row r="6781" spans="5:23" x14ac:dyDescent="0.25">
      <c r="E6781" s="4"/>
      <c r="F6781" s="4"/>
      <c r="G6781" s="33" t="str">
        <f>IFERROR(VLOOKUP($D6781,'Informations sur les produits'!$A$3:$H$10000,8,FALSE),"0")</f>
        <v>0</v>
      </c>
      <c r="K6781" s="4"/>
      <c r="L6781" s="33" t="str">
        <f>IFERROR(VLOOKUP($J6781,'Informations sur les produits'!$A$3:$H$10000,8,FALSE),"0")</f>
        <v>0</v>
      </c>
      <c r="N6781" s="8"/>
      <c r="O6781" s="33" t="str">
        <f>IFERROR(VLOOKUP($M6781,'Informations sur les produits'!$A$3:$H$10000,8,FALSE),"0")</f>
        <v>0</v>
      </c>
      <c r="P6781" s="33">
        <f t="shared" si="420"/>
        <v>0</v>
      </c>
      <c r="Q6781" s="31" t="str">
        <f t="shared" si="421"/>
        <v/>
      </c>
      <c r="R6781" s="32" t="str">
        <f>IFERROR(VLOOKUP($D6781,'Informations sur les produits'!$A$3:$B$15000,2,FALSE),"")</f>
        <v/>
      </c>
      <c r="V6781">
        <f t="shared" si="422"/>
        <v>0</v>
      </c>
      <c r="W6781">
        <f t="shared" si="423"/>
        <v>0</v>
      </c>
    </row>
    <row r="6782" spans="5:23" x14ac:dyDescent="0.25">
      <c r="E6782" s="4"/>
      <c r="F6782" s="4"/>
      <c r="G6782" s="33" t="str">
        <f>IFERROR(VLOOKUP($D6782,'Informations sur les produits'!$A$3:$H$10000,8,FALSE),"0")</f>
        <v>0</v>
      </c>
      <c r="K6782" s="4"/>
      <c r="L6782" s="33" t="str">
        <f>IFERROR(VLOOKUP($J6782,'Informations sur les produits'!$A$3:$H$10000,8,FALSE),"0")</f>
        <v>0</v>
      </c>
      <c r="N6782" s="8"/>
      <c r="O6782" s="33" t="str">
        <f>IFERROR(VLOOKUP($M6782,'Informations sur les produits'!$A$3:$H$10000,8,FALSE),"0")</f>
        <v>0</v>
      </c>
      <c r="P6782" s="33">
        <f t="shared" si="420"/>
        <v>0</v>
      </c>
      <c r="Q6782" s="31" t="str">
        <f t="shared" si="421"/>
        <v/>
      </c>
      <c r="R6782" s="32" t="str">
        <f>IFERROR(VLOOKUP($D6782,'Informations sur les produits'!$A$3:$B$15000,2,FALSE),"")</f>
        <v/>
      </c>
      <c r="V6782">
        <f t="shared" si="422"/>
        <v>0</v>
      </c>
      <c r="W6782">
        <f t="shared" si="423"/>
        <v>0</v>
      </c>
    </row>
    <row r="6783" spans="5:23" x14ac:dyDescent="0.25">
      <c r="E6783" s="4"/>
      <c r="F6783" s="4"/>
      <c r="G6783" s="33" t="str">
        <f>IFERROR(VLOOKUP($D6783,'Informations sur les produits'!$A$3:$H$10000,8,FALSE),"0")</f>
        <v>0</v>
      </c>
      <c r="K6783" s="4"/>
      <c r="L6783" s="33" t="str">
        <f>IFERROR(VLOOKUP($J6783,'Informations sur les produits'!$A$3:$H$10000,8,FALSE),"0")</f>
        <v>0</v>
      </c>
      <c r="N6783" s="8"/>
      <c r="O6783" s="33" t="str">
        <f>IFERROR(VLOOKUP($M6783,'Informations sur les produits'!$A$3:$H$10000,8,FALSE),"0")</f>
        <v>0</v>
      </c>
      <c r="P6783" s="33">
        <f t="shared" si="420"/>
        <v>0</v>
      </c>
      <c r="Q6783" s="31" t="str">
        <f t="shared" si="421"/>
        <v/>
      </c>
      <c r="R6783" s="32" t="str">
        <f>IFERROR(VLOOKUP($D6783,'Informations sur les produits'!$A$3:$B$15000,2,FALSE),"")</f>
        <v/>
      </c>
      <c r="V6783">
        <f t="shared" si="422"/>
        <v>0</v>
      </c>
      <c r="W6783">
        <f t="shared" si="423"/>
        <v>0</v>
      </c>
    </row>
    <row r="6784" spans="5:23" x14ac:dyDescent="0.25">
      <c r="E6784" s="4"/>
      <c r="F6784" s="4"/>
      <c r="G6784" s="33" t="str">
        <f>IFERROR(VLOOKUP($D6784,'Informations sur les produits'!$A$3:$H$10000,8,FALSE),"0")</f>
        <v>0</v>
      </c>
      <c r="K6784" s="4"/>
      <c r="L6784" s="33" t="str">
        <f>IFERROR(VLOOKUP($J6784,'Informations sur les produits'!$A$3:$H$10000,8,FALSE),"0")</f>
        <v>0</v>
      </c>
      <c r="N6784" s="8"/>
      <c r="O6784" s="33" t="str">
        <f>IFERROR(VLOOKUP($M6784,'Informations sur les produits'!$A$3:$H$10000,8,FALSE),"0")</f>
        <v>0</v>
      </c>
      <c r="P6784" s="33">
        <f t="shared" si="420"/>
        <v>0</v>
      </c>
      <c r="Q6784" s="31" t="str">
        <f t="shared" si="421"/>
        <v/>
      </c>
      <c r="R6784" s="32" t="str">
        <f>IFERROR(VLOOKUP($D6784,'Informations sur les produits'!$A$3:$B$15000,2,FALSE),"")</f>
        <v/>
      </c>
      <c r="V6784">
        <f t="shared" si="422"/>
        <v>0</v>
      </c>
      <c r="W6784">
        <f t="shared" si="423"/>
        <v>0</v>
      </c>
    </row>
    <row r="6785" spans="5:23" x14ac:dyDescent="0.25">
      <c r="E6785" s="4"/>
      <c r="F6785" s="4"/>
      <c r="G6785" s="33" t="str">
        <f>IFERROR(VLOOKUP($D6785,'Informations sur les produits'!$A$3:$H$10000,8,FALSE),"0")</f>
        <v>0</v>
      </c>
      <c r="K6785" s="4"/>
      <c r="L6785" s="33" t="str">
        <f>IFERROR(VLOOKUP($J6785,'Informations sur les produits'!$A$3:$H$10000,8,FALSE),"0")</f>
        <v>0</v>
      </c>
      <c r="N6785" s="8"/>
      <c r="O6785" s="33" t="str">
        <f>IFERROR(VLOOKUP($M6785,'Informations sur les produits'!$A$3:$H$10000,8,FALSE),"0")</f>
        <v>0</v>
      </c>
      <c r="P6785" s="33">
        <f t="shared" si="420"/>
        <v>0</v>
      </c>
      <c r="Q6785" s="31" t="str">
        <f t="shared" si="421"/>
        <v/>
      </c>
      <c r="R6785" s="32" t="str">
        <f>IFERROR(VLOOKUP($D6785,'Informations sur les produits'!$A$3:$B$15000,2,FALSE),"")</f>
        <v/>
      </c>
      <c r="V6785">
        <f t="shared" si="422"/>
        <v>0</v>
      </c>
      <c r="W6785">
        <f t="shared" si="423"/>
        <v>0</v>
      </c>
    </row>
    <row r="6786" spans="5:23" x14ac:dyDescent="0.25">
      <c r="E6786" s="4"/>
      <c r="F6786" s="4"/>
      <c r="G6786" s="33" t="str">
        <f>IFERROR(VLOOKUP($D6786,'Informations sur les produits'!$A$3:$H$10000,8,FALSE),"0")</f>
        <v>0</v>
      </c>
      <c r="K6786" s="4"/>
      <c r="L6786" s="33" t="str">
        <f>IFERROR(VLOOKUP($J6786,'Informations sur les produits'!$A$3:$H$10000,8,FALSE),"0")</f>
        <v>0</v>
      </c>
      <c r="N6786" s="8"/>
      <c r="O6786" s="33" t="str">
        <f>IFERROR(VLOOKUP($M6786,'Informations sur les produits'!$A$3:$H$10000,8,FALSE),"0")</f>
        <v>0</v>
      </c>
      <c r="P6786" s="33">
        <f t="shared" si="420"/>
        <v>0</v>
      </c>
      <c r="Q6786" s="31" t="str">
        <f t="shared" si="421"/>
        <v/>
      </c>
      <c r="R6786" s="32" t="str">
        <f>IFERROR(VLOOKUP($D6786,'Informations sur les produits'!$A$3:$B$15000,2,FALSE),"")</f>
        <v/>
      </c>
      <c r="V6786">
        <f t="shared" si="422"/>
        <v>0</v>
      </c>
      <c r="W6786">
        <f t="shared" si="423"/>
        <v>0</v>
      </c>
    </row>
    <row r="6787" spans="5:23" x14ac:dyDescent="0.25">
      <c r="E6787" s="4"/>
      <c r="F6787" s="4"/>
      <c r="G6787" s="33" t="str">
        <f>IFERROR(VLOOKUP($D6787,'Informations sur les produits'!$A$3:$H$10000,8,FALSE),"0")</f>
        <v>0</v>
      </c>
      <c r="K6787" s="4"/>
      <c r="L6787" s="33" t="str">
        <f>IFERROR(VLOOKUP($J6787,'Informations sur les produits'!$A$3:$H$10000,8,FALSE),"0")</f>
        <v>0</v>
      </c>
      <c r="N6787" s="8"/>
      <c r="O6787" s="33" t="str">
        <f>IFERROR(VLOOKUP($M6787,'Informations sur les produits'!$A$3:$H$10000,8,FALSE),"0")</f>
        <v>0</v>
      </c>
      <c r="P6787" s="33">
        <f t="shared" si="420"/>
        <v>0</v>
      </c>
      <c r="Q6787" s="31" t="str">
        <f t="shared" si="421"/>
        <v/>
      </c>
      <c r="R6787" s="32" t="str">
        <f>IFERROR(VLOOKUP($D6787,'Informations sur les produits'!$A$3:$B$15000,2,FALSE),"")</f>
        <v/>
      </c>
      <c r="V6787">
        <f t="shared" si="422"/>
        <v>0</v>
      </c>
      <c r="W6787">
        <f t="shared" si="423"/>
        <v>0</v>
      </c>
    </row>
    <row r="6788" spans="5:23" x14ac:dyDescent="0.25">
      <c r="E6788" s="4"/>
      <c r="F6788" s="4"/>
      <c r="G6788" s="33" t="str">
        <f>IFERROR(VLOOKUP($D6788,'Informations sur les produits'!$A$3:$H$10000,8,FALSE),"0")</f>
        <v>0</v>
      </c>
      <c r="K6788" s="4"/>
      <c r="L6788" s="33" t="str">
        <f>IFERROR(VLOOKUP($J6788,'Informations sur les produits'!$A$3:$H$10000,8,FALSE),"0")</f>
        <v>0</v>
      </c>
      <c r="N6788" s="8"/>
      <c r="O6788" s="33" t="str">
        <f>IFERROR(VLOOKUP($M6788,'Informations sur les produits'!$A$3:$H$10000,8,FALSE),"0")</f>
        <v>0</v>
      </c>
      <c r="P6788" s="33">
        <f t="shared" ref="P6788:P6851" si="424">IFERROR((($E6788-$F6788)*$G6788+$K6788*$L6788+$N6788*$O6788),"")</f>
        <v>0</v>
      </c>
      <c r="Q6788" s="31" t="str">
        <f t="shared" ref="Q6788:Q6851" si="425">IFERROR((((($E6788-$F6788)*$G6788+$K6788*$L6788+$N6788*$O6788)*1000)/(($E6788-$F6788)+$K6788+$N6788)),"")</f>
        <v/>
      </c>
      <c r="R6788" s="32" t="str">
        <f>IFERROR(VLOOKUP($D6788,'Informations sur les produits'!$A$3:$B$15000,2,FALSE),"")</f>
        <v/>
      </c>
      <c r="V6788">
        <f t="shared" ref="V6788:V6851" si="426">IFERROR(P6788*1000,"")</f>
        <v>0</v>
      </c>
      <c r="W6788">
        <f t="shared" ref="W6788:W6851" si="427">IFERROR(($E6788-$F6788)+$K6788+$N6788,"")</f>
        <v>0</v>
      </c>
    </row>
    <row r="6789" spans="5:23" x14ac:dyDescent="0.25">
      <c r="E6789" s="4"/>
      <c r="F6789" s="4"/>
      <c r="G6789" s="33" t="str">
        <f>IFERROR(VLOOKUP($D6789,'Informations sur les produits'!$A$3:$H$10000,8,FALSE),"0")</f>
        <v>0</v>
      </c>
      <c r="K6789" s="4"/>
      <c r="L6789" s="33" t="str">
        <f>IFERROR(VLOOKUP($J6789,'Informations sur les produits'!$A$3:$H$10000,8,FALSE),"0")</f>
        <v>0</v>
      </c>
      <c r="N6789" s="8"/>
      <c r="O6789" s="33" t="str">
        <f>IFERROR(VLOOKUP($M6789,'Informations sur les produits'!$A$3:$H$10000,8,FALSE),"0")</f>
        <v>0</v>
      </c>
      <c r="P6789" s="33">
        <f t="shared" si="424"/>
        <v>0</v>
      </c>
      <c r="Q6789" s="31" t="str">
        <f t="shared" si="425"/>
        <v/>
      </c>
      <c r="R6789" s="32" t="str">
        <f>IFERROR(VLOOKUP($D6789,'Informations sur les produits'!$A$3:$B$15000,2,FALSE),"")</f>
        <v/>
      </c>
      <c r="V6789">
        <f t="shared" si="426"/>
        <v>0</v>
      </c>
      <c r="W6789">
        <f t="shared" si="427"/>
        <v>0</v>
      </c>
    </row>
    <row r="6790" spans="5:23" x14ac:dyDescent="0.25">
      <c r="E6790" s="4"/>
      <c r="F6790" s="4"/>
      <c r="G6790" s="33" t="str">
        <f>IFERROR(VLOOKUP($D6790,'Informations sur les produits'!$A$3:$H$10000,8,FALSE),"0")</f>
        <v>0</v>
      </c>
      <c r="K6790" s="4"/>
      <c r="L6790" s="33" t="str">
        <f>IFERROR(VLOOKUP($J6790,'Informations sur les produits'!$A$3:$H$10000,8,FALSE),"0")</f>
        <v>0</v>
      </c>
      <c r="N6790" s="8"/>
      <c r="O6790" s="33" t="str">
        <f>IFERROR(VLOOKUP($M6790,'Informations sur les produits'!$A$3:$H$10000,8,FALSE),"0")</f>
        <v>0</v>
      </c>
      <c r="P6790" s="33">
        <f t="shared" si="424"/>
        <v>0</v>
      </c>
      <c r="Q6790" s="31" t="str">
        <f t="shared" si="425"/>
        <v/>
      </c>
      <c r="R6790" s="32" t="str">
        <f>IFERROR(VLOOKUP($D6790,'Informations sur les produits'!$A$3:$B$15000,2,FALSE),"")</f>
        <v/>
      </c>
      <c r="V6790">
        <f t="shared" si="426"/>
        <v>0</v>
      </c>
      <c r="W6790">
        <f t="shared" si="427"/>
        <v>0</v>
      </c>
    </row>
    <row r="6791" spans="5:23" x14ac:dyDescent="0.25">
      <c r="E6791" s="4"/>
      <c r="F6791" s="4"/>
      <c r="G6791" s="33" t="str">
        <f>IFERROR(VLOOKUP($D6791,'Informations sur les produits'!$A$3:$H$10000,8,FALSE),"0")</f>
        <v>0</v>
      </c>
      <c r="K6791" s="4"/>
      <c r="L6791" s="33" t="str">
        <f>IFERROR(VLOOKUP($J6791,'Informations sur les produits'!$A$3:$H$10000,8,FALSE),"0")</f>
        <v>0</v>
      </c>
      <c r="N6791" s="8"/>
      <c r="O6791" s="33" t="str">
        <f>IFERROR(VLOOKUP($M6791,'Informations sur les produits'!$A$3:$H$10000,8,FALSE),"0")</f>
        <v>0</v>
      </c>
      <c r="P6791" s="33">
        <f t="shared" si="424"/>
        <v>0</v>
      </c>
      <c r="Q6791" s="31" t="str">
        <f t="shared" si="425"/>
        <v/>
      </c>
      <c r="R6791" s="32" t="str">
        <f>IFERROR(VLOOKUP($D6791,'Informations sur les produits'!$A$3:$B$15000,2,FALSE),"")</f>
        <v/>
      </c>
      <c r="V6791">
        <f t="shared" si="426"/>
        <v>0</v>
      </c>
      <c r="W6791">
        <f t="shared" si="427"/>
        <v>0</v>
      </c>
    </row>
    <row r="6792" spans="5:23" x14ac:dyDescent="0.25">
      <c r="E6792" s="4"/>
      <c r="F6792" s="4"/>
      <c r="G6792" s="33" t="str">
        <f>IFERROR(VLOOKUP($D6792,'Informations sur les produits'!$A$3:$H$10000,8,FALSE),"0")</f>
        <v>0</v>
      </c>
      <c r="K6792" s="4"/>
      <c r="L6792" s="33" t="str">
        <f>IFERROR(VLOOKUP($J6792,'Informations sur les produits'!$A$3:$H$10000,8,FALSE),"0")</f>
        <v>0</v>
      </c>
      <c r="N6792" s="8"/>
      <c r="O6792" s="33" t="str">
        <f>IFERROR(VLOOKUP($M6792,'Informations sur les produits'!$A$3:$H$10000,8,FALSE),"0")</f>
        <v>0</v>
      </c>
      <c r="P6792" s="33">
        <f t="shared" si="424"/>
        <v>0</v>
      </c>
      <c r="Q6792" s="31" t="str">
        <f t="shared" si="425"/>
        <v/>
      </c>
      <c r="R6792" s="32" t="str">
        <f>IFERROR(VLOOKUP($D6792,'Informations sur les produits'!$A$3:$B$15000,2,FALSE),"")</f>
        <v/>
      </c>
      <c r="V6792">
        <f t="shared" si="426"/>
        <v>0</v>
      </c>
      <c r="W6792">
        <f t="shared" si="427"/>
        <v>0</v>
      </c>
    </row>
    <row r="6793" spans="5:23" x14ac:dyDescent="0.25">
      <c r="E6793" s="4"/>
      <c r="F6793" s="4"/>
      <c r="G6793" s="33" t="str">
        <f>IFERROR(VLOOKUP($D6793,'Informations sur les produits'!$A$3:$H$10000,8,FALSE),"0")</f>
        <v>0</v>
      </c>
      <c r="K6793" s="4"/>
      <c r="L6793" s="33" t="str">
        <f>IFERROR(VLOOKUP($J6793,'Informations sur les produits'!$A$3:$H$10000,8,FALSE),"0")</f>
        <v>0</v>
      </c>
      <c r="N6793" s="8"/>
      <c r="O6793" s="33" t="str">
        <f>IFERROR(VLOOKUP($M6793,'Informations sur les produits'!$A$3:$H$10000,8,FALSE),"0")</f>
        <v>0</v>
      </c>
      <c r="P6793" s="33">
        <f t="shared" si="424"/>
        <v>0</v>
      </c>
      <c r="Q6793" s="31" t="str">
        <f t="shared" si="425"/>
        <v/>
      </c>
      <c r="R6793" s="32" t="str">
        <f>IFERROR(VLOOKUP($D6793,'Informations sur les produits'!$A$3:$B$15000,2,FALSE),"")</f>
        <v/>
      </c>
      <c r="V6793">
        <f t="shared" si="426"/>
        <v>0</v>
      </c>
      <c r="W6793">
        <f t="shared" si="427"/>
        <v>0</v>
      </c>
    </row>
    <row r="6794" spans="5:23" x14ac:dyDescent="0.25">
      <c r="E6794" s="4"/>
      <c r="F6794" s="4"/>
      <c r="G6794" s="33" t="str">
        <f>IFERROR(VLOOKUP($D6794,'Informations sur les produits'!$A$3:$H$10000,8,FALSE),"0")</f>
        <v>0</v>
      </c>
      <c r="K6794" s="4"/>
      <c r="L6794" s="33" t="str">
        <f>IFERROR(VLOOKUP($J6794,'Informations sur les produits'!$A$3:$H$10000,8,FALSE),"0")</f>
        <v>0</v>
      </c>
      <c r="N6794" s="8"/>
      <c r="O6794" s="33" t="str">
        <f>IFERROR(VLOOKUP($M6794,'Informations sur les produits'!$A$3:$H$10000,8,FALSE),"0")</f>
        <v>0</v>
      </c>
      <c r="P6794" s="33">
        <f t="shared" si="424"/>
        <v>0</v>
      </c>
      <c r="Q6794" s="31" t="str">
        <f t="shared" si="425"/>
        <v/>
      </c>
      <c r="R6794" s="32" t="str">
        <f>IFERROR(VLOOKUP($D6794,'Informations sur les produits'!$A$3:$B$15000,2,FALSE),"")</f>
        <v/>
      </c>
      <c r="V6794">
        <f t="shared" si="426"/>
        <v>0</v>
      </c>
      <c r="W6794">
        <f t="shared" si="427"/>
        <v>0</v>
      </c>
    </row>
    <row r="6795" spans="5:23" x14ac:dyDescent="0.25">
      <c r="E6795" s="4"/>
      <c r="F6795" s="4"/>
      <c r="G6795" s="33" t="str">
        <f>IFERROR(VLOOKUP($D6795,'Informations sur les produits'!$A$3:$H$10000,8,FALSE),"0")</f>
        <v>0</v>
      </c>
      <c r="K6795" s="4"/>
      <c r="L6795" s="33" t="str">
        <f>IFERROR(VLOOKUP($J6795,'Informations sur les produits'!$A$3:$H$10000,8,FALSE),"0")</f>
        <v>0</v>
      </c>
      <c r="N6795" s="8"/>
      <c r="O6795" s="33" t="str">
        <f>IFERROR(VLOOKUP($M6795,'Informations sur les produits'!$A$3:$H$10000,8,FALSE),"0")</f>
        <v>0</v>
      </c>
      <c r="P6795" s="33">
        <f t="shared" si="424"/>
        <v>0</v>
      </c>
      <c r="Q6795" s="31" t="str">
        <f t="shared" si="425"/>
        <v/>
      </c>
      <c r="R6795" s="32" t="str">
        <f>IFERROR(VLOOKUP($D6795,'Informations sur les produits'!$A$3:$B$15000,2,FALSE),"")</f>
        <v/>
      </c>
      <c r="V6795">
        <f t="shared" si="426"/>
        <v>0</v>
      </c>
      <c r="W6795">
        <f t="shared" si="427"/>
        <v>0</v>
      </c>
    </row>
    <row r="6796" spans="5:23" x14ac:dyDescent="0.25">
      <c r="E6796" s="4"/>
      <c r="F6796" s="4"/>
      <c r="G6796" s="33" t="str">
        <f>IFERROR(VLOOKUP($D6796,'Informations sur les produits'!$A$3:$H$10000,8,FALSE),"0")</f>
        <v>0</v>
      </c>
      <c r="K6796" s="4"/>
      <c r="L6796" s="33" t="str">
        <f>IFERROR(VLOOKUP($J6796,'Informations sur les produits'!$A$3:$H$10000,8,FALSE),"0")</f>
        <v>0</v>
      </c>
      <c r="N6796" s="8"/>
      <c r="O6796" s="33" t="str">
        <f>IFERROR(VLOOKUP($M6796,'Informations sur les produits'!$A$3:$H$10000,8,FALSE),"0")</f>
        <v>0</v>
      </c>
      <c r="P6796" s="33">
        <f t="shared" si="424"/>
        <v>0</v>
      </c>
      <c r="Q6796" s="31" t="str">
        <f t="shared" si="425"/>
        <v/>
      </c>
      <c r="R6796" s="32" t="str">
        <f>IFERROR(VLOOKUP($D6796,'Informations sur les produits'!$A$3:$B$15000,2,FALSE),"")</f>
        <v/>
      </c>
      <c r="V6796">
        <f t="shared" si="426"/>
        <v>0</v>
      </c>
      <c r="W6796">
        <f t="shared" si="427"/>
        <v>0</v>
      </c>
    </row>
    <row r="6797" spans="5:23" x14ac:dyDescent="0.25">
      <c r="E6797" s="4"/>
      <c r="F6797" s="4"/>
      <c r="G6797" s="33" t="str">
        <f>IFERROR(VLOOKUP($D6797,'Informations sur les produits'!$A$3:$H$10000,8,FALSE),"0")</f>
        <v>0</v>
      </c>
      <c r="K6797" s="4"/>
      <c r="L6797" s="33" t="str">
        <f>IFERROR(VLOOKUP($J6797,'Informations sur les produits'!$A$3:$H$10000,8,FALSE),"0")</f>
        <v>0</v>
      </c>
      <c r="N6797" s="8"/>
      <c r="O6797" s="33" t="str">
        <f>IFERROR(VLOOKUP($M6797,'Informations sur les produits'!$A$3:$H$10000,8,FALSE),"0")</f>
        <v>0</v>
      </c>
      <c r="P6797" s="33">
        <f t="shared" si="424"/>
        <v>0</v>
      </c>
      <c r="Q6797" s="31" t="str">
        <f t="shared" si="425"/>
        <v/>
      </c>
      <c r="R6797" s="32" t="str">
        <f>IFERROR(VLOOKUP($D6797,'Informations sur les produits'!$A$3:$B$15000,2,FALSE),"")</f>
        <v/>
      </c>
      <c r="V6797">
        <f t="shared" si="426"/>
        <v>0</v>
      </c>
      <c r="W6797">
        <f t="shared" si="427"/>
        <v>0</v>
      </c>
    </row>
    <row r="6798" spans="5:23" x14ac:dyDescent="0.25">
      <c r="E6798" s="4"/>
      <c r="F6798" s="4"/>
      <c r="G6798" s="33" t="str">
        <f>IFERROR(VLOOKUP($D6798,'Informations sur les produits'!$A$3:$H$10000,8,FALSE),"0")</f>
        <v>0</v>
      </c>
      <c r="K6798" s="4"/>
      <c r="L6798" s="33" t="str">
        <f>IFERROR(VLOOKUP($J6798,'Informations sur les produits'!$A$3:$H$10000,8,FALSE),"0")</f>
        <v>0</v>
      </c>
      <c r="N6798" s="8"/>
      <c r="O6798" s="33" t="str">
        <f>IFERROR(VLOOKUP($M6798,'Informations sur les produits'!$A$3:$H$10000,8,FALSE),"0")</f>
        <v>0</v>
      </c>
      <c r="P6798" s="33">
        <f t="shared" si="424"/>
        <v>0</v>
      </c>
      <c r="Q6798" s="31" t="str">
        <f t="shared" si="425"/>
        <v/>
      </c>
      <c r="R6798" s="32" t="str">
        <f>IFERROR(VLOOKUP($D6798,'Informations sur les produits'!$A$3:$B$15000,2,FALSE),"")</f>
        <v/>
      </c>
      <c r="V6798">
        <f t="shared" si="426"/>
        <v>0</v>
      </c>
      <c r="W6798">
        <f t="shared" si="427"/>
        <v>0</v>
      </c>
    </row>
    <row r="6799" spans="5:23" x14ac:dyDescent="0.25">
      <c r="E6799" s="4"/>
      <c r="F6799" s="4"/>
      <c r="G6799" s="33" t="str">
        <f>IFERROR(VLOOKUP($D6799,'Informations sur les produits'!$A$3:$H$10000,8,FALSE),"0")</f>
        <v>0</v>
      </c>
      <c r="K6799" s="4"/>
      <c r="L6799" s="33" t="str">
        <f>IFERROR(VLOOKUP($J6799,'Informations sur les produits'!$A$3:$H$10000,8,FALSE),"0")</f>
        <v>0</v>
      </c>
      <c r="N6799" s="8"/>
      <c r="O6799" s="33" t="str">
        <f>IFERROR(VLOOKUP($M6799,'Informations sur les produits'!$A$3:$H$10000,8,FALSE),"0")</f>
        <v>0</v>
      </c>
      <c r="P6799" s="33">
        <f t="shared" si="424"/>
        <v>0</v>
      </c>
      <c r="Q6799" s="31" t="str">
        <f t="shared" si="425"/>
        <v/>
      </c>
      <c r="R6799" s="32" t="str">
        <f>IFERROR(VLOOKUP($D6799,'Informations sur les produits'!$A$3:$B$15000,2,FALSE),"")</f>
        <v/>
      </c>
      <c r="V6799">
        <f t="shared" si="426"/>
        <v>0</v>
      </c>
      <c r="W6799">
        <f t="shared" si="427"/>
        <v>0</v>
      </c>
    </row>
    <row r="6800" spans="5:23" x14ac:dyDescent="0.25">
      <c r="E6800" s="4"/>
      <c r="F6800" s="4"/>
      <c r="G6800" s="33" t="str">
        <f>IFERROR(VLOOKUP($D6800,'Informations sur les produits'!$A$3:$H$10000,8,FALSE),"0")</f>
        <v>0</v>
      </c>
      <c r="K6800" s="4"/>
      <c r="L6800" s="33" t="str">
        <f>IFERROR(VLOOKUP($J6800,'Informations sur les produits'!$A$3:$H$10000,8,FALSE),"0")</f>
        <v>0</v>
      </c>
      <c r="N6800" s="8"/>
      <c r="O6800" s="33" t="str">
        <f>IFERROR(VLOOKUP($M6800,'Informations sur les produits'!$A$3:$H$10000,8,FALSE),"0")</f>
        <v>0</v>
      </c>
      <c r="P6800" s="33">
        <f t="shared" si="424"/>
        <v>0</v>
      </c>
      <c r="Q6800" s="31" t="str">
        <f t="shared" si="425"/>
        <v/>
      </c>
      <c r="R6800" s="32" t="str">
        <f>IFERROR(VLOOKUP($D6800,'Informations sur les produits'!$A$3:$B$15000,2,FALSE),"")</f>
        <v/>
      </c>
      <c r="V6800">
        <f t="shared" si="426"/>
        <v>0</v>
      </c>
      <c r="W6800">
        <f t="shared" si="427"/>
        <v>0</v>
      </c>
    </row>
    <row r="6801" spans="5:23" x14ac:dyDescent="0.25">
      <c r="E6801" s="4"/>
      <c r="F6801" s="4"/>
      <c r="G6801" s="33" t="str">
        <f>IFERROR(VLOOKUP($D6801,'Informations sur les produits'!$A$3:$H$10000,8,FALSE),"0")</f>
        <v>0</v>
      </c>
      <c r="K6801" s="4"/>
      <c r="L6801" s="33" t="str">
        <f>IFERROR(VLOOKUP($J6801,'Informations sur les produits'!$A$3:$H$10000,8,FALSE),"0")</f>
        <v>0</v>
      </c>
      <c r="N6801" s="8"/>
      <c r="O6801" s="33" t="str">
        <f>IFERROR(VLOOKUP($M6801,'Informations sur les produits'!$A$3:$H$10000,8,FALSE),"0")</f>
        <v>0</v>
      </c>
      <c r="P6801" s="33">
        <f t="shared" si="424"/>
        <v>0</v>
      </c>
      <c r="Q6801" s="31" t="str">
        <f t="shared" si="425"/>
        <v/>
      </c>
      <c r="R6801" s="32" t="str">
        <f>IFERROR(VLOOKUP($D6801,'Informations sur les produits'!$A$3:$B$15000,2,FALSE),"")</f>
        <v/>
      </c>
      <c r="V6801">
        <f t="shared" si="426"/>
        <v>0</v>
      </c>
      <c r="W6801">
        <f t="shared" si="427"/>
        <v>0</v>
      </c>
    </row>
    <row r="6802" spans="5:23" x14ac:dyDescent="0.25">
      <c r="E6802" s="4"/>
      <c r="F6802" s="4"/>
      <c r="G6802" s="33" t="str">
        <f>IFERROR(VLOOKUP($D6802,'Informations sur les produits'!$A$3:$H$10000,8,FALSE),"0")</f>
        <v>0</v>
      </c>
      <c r="K6802" s="4"/>
      <c r="L6802" s="33" t="str">
        <f>IFERROR(VLOOKUP($J6802,'Informations sur les produits'!$A$3:$H$10000,8,FALSE),"0")</f>
        <v>0</v>
      </c>
      <c r="N6802" s="8"/>
      <c r="O6802" s="33" t="str">
        <f>IFERROR(VLOOKUP($M6802,'Informations sur les produits'!$A$3:$H$10000,8,FALSE),"0")</f>
        <v>0</v>
      </c>
      <c r="P6802" s="33">
        <f t="shared" si="424"/>
        <v>0</v>
      </c>
      <c r="Q6802" s="31" t="str">
        <f t="shared" si="425"/>
        <v/>
      </c>
      <c r="R6802" s="32" t="str">
        <f>IFERROR(VLOOKUP($D6802,'Informations sur les produits'!$A$3:$B$15000,2,FALSE),"")</f>
        <v/>
      </c>
      <c r="V6802">
        <f t="shared" si="426"/>
        <v>0</v>
      </c>
      <c r="W6802">
        <f t="shared" si="427"/>
        <v>0</v>
      </c>
    </row>
    <row r="6803" spans="5:23" x14ac:dyDescent="0.25">
      <c r="E6803" s="4"/>
      <c r="F6803" s="4"/>
      <c r="G6803" s="33" t="str">
        <f>IFERROR(VLOOKUP($D6803,'Informations sur les produits'!$A$3:$H$10000,8,FALSE),"0")</f>
        <v>0</v>
      </c>
      <c r="K6803" s="4"/>
      <c r="L6803" s="33" t="str">
        <f>IFERROR(VLOOKUP($J6803,'Informations sur les produits'!$A$3:$H$10000,8,FALSE),"0")</f>
        <v>0</v>
      </c>
      <c r="N6803" s="8"/>
      <c r="O6803" s="33" t="str">
        <f>IFERROR(VLOOKUP($M6803,'Informations sur les produits'!$A$3:$H$10000,8,FALSE),"0")</f>
        <v>0</v>
      </c>
      <c r="P6803" s="33">
        <f t="shared" si="424"/>
        <v>0</v>
      </c>
      <c r="Q6803" s="31" t="str">
        <f t="shared" si="425"/>
        <v/>
      </c>
      <c r="R6803" s="32" t="str">
        <f>IFERROR(VLOOKUP($D6803,'Informations sur les produits'!$A$3:$B$15000,2,FALSE),"")</f>
        <v/>
      </c>
      <c r="V6803">
        <f t="shared" si="426"/>
        <v>0</v>
      </c>
      <c r="W6803">
        <f t="shared" si="427"/>
        <v>0</v>
      </c>
    </row>
    <row r="6804" spans="5:23" x14ac:dyDescent="0.25">
      <c r="E6804" s="4"/>
      <c r="F6804" s="4"/>
      <c r="G6804" s="33" t="str">
        <f>IFERROR(VLOOKUP($D6804,'Informations sur les produits'!$A$3:$H$10000,8,FALSE),"0")</f>
        <v>0</v>
      </c>
      <c r="K6804" s="4"/>
      <c r="L6804" s="33" t="str">
        <f>IFERROR(VLOOKUP($J6804,'Informations sur les produits'!$A$3:$H$10000,8,FALSE),"0")</f>
        <v>0</v>
      </c>
      <c r="N6804" s="8"/>
      <c r="O6804" s="33" t="str">
        <f>IFERROR(VLOOKUP($M6804,'Informations sur les produits'!$A$3:$H$10000,8,FALSE),"0")</f>
        <v>0</v>
      </c>
      <c r="P6804" s="33">
        <f t="shared" si="424"/>
        <v>0</v>
      </c>
      <c r="Q6804" s="31" t="str">
        <f t="shared" si="425"/>
        <v/>
      </c>
      <c r="R6804" s="32" t="str">
        <f>IFERROR(VLOOKUP($D6804,'Informations sur les produits'!$A$3:$B$15000,2,FALSE),"")</f>
        <v/>
      </c>
      <c r="V6804">
        <f t="shared" si="426"/>
        <v>0</v>
      </c>
      <c r="W6804">
        <f t="shared" si="427"/>
        <v>0</v>
      </c>
    </row>
    <row r="6805" spans="5:23" x14ac:dyDescent="0.25">
      <c r="E6805" s="4"/>
      <c r="F6805" s="4"/>
      <c r="G6805" s="33" t="str">
        <f>IFERROR(VLOOKUP($D6805,'Informations sur les produits'!$A$3:$H$10000,8,FALSE),"0")</f>
        <v>0</v>
      </c>
      <c r="K6805" s="4"/>
      <c r="L6805" s="33" t="str">
        <f>IFERROR(VLOOKUP($J6805,'Informations sur les produits'!$A$3:$H$10000,8,FALSE),"0")</f>
        <v>0</v>
      </c>
      <c r="N6805" s="8"/>
      <c r="O6805" s="33" t="str">
        <f>IFERROR(VLOOKUP($M6805,'Informations sur les produits'!$A$3:$H$10000,8,FALSE),"0")</f>
        <v>0</v>
      </c>
      <c r="P6805" s="33">
        <f t="shared" si="424"/>
        <v>0</v>
      </c>
      <c r="Q6805" s="31" t="str">
        <f t="shared" si="425"/>
        <v/>
      </c>
      <c r="R6805" s="32" t="str">
        <f>IFERROR(VLOOKUP($D6805,'Informations sur les produits'!$A$3:$B$15000,2,FALSE),"")</f>
        <v/>
      </c>
      <c r="V6805">
        <f t="shared" si="426"/>
        <v>0</v>
      </c>
      <c r="W6805">
        <f t="shared" si="427"/>
        <v>0</v>
      </c>
    </row>
    <row r="6806" spans="5:23" x14ac:dyDescent="0.25">
      <c r="E6806" s="4"/>
      <c r="F6806" s="4"/>
      <c r="G6806" s="33" t="str">
        <f>IFERROR(VLOOKUP($D6806,'Informations sur les produits'!$A$3:$H$10000,8,FALSE),"0")</f>
        <v>0</v>
      </c>
      <c r="K6806" s="4"/>
      <c r="L6806" s="33" t="str">
        <f>IFERROR(VLOOKUP($J6806,'Informations sur les produits'!$A$3:$H$10000,8,FALSE),"0")</f>
        <v>0</v>
      </c>
      <c r="N6806" s="8"/>
      <c r="O6806" s="33" t="str">
        <f>IFERROR(VLOOKUP($M6806,'Informations sur les produits'!$A$3:$H$10000,8,FALSE),"0")</f>
        <v>0</v>
      </c>
      <c r="P6806" s="33">
        <f t="shared" si="424"/>
        <v>0</v>
      </c>
      <c r="Q6806" s="31" t="str">
        <f t="shared" si="425"/>
        <v/>
      </c>
      <c r="R6806" s="32" t="str">
        <f>IFERROR(VLOOKUP($D6806,'Informations sur les produits'!$A$3:$B$15000,2,FALSE),"")</f>
        <v/>
      </c>
      <c r="V6806">
        <f t="shared" si="426"/>
        <v>0</v>
      </c>
      <c r="W6806">
        <f t="shared" si="427"/>
        <v>0</v>
      </c>
    </row>
    <row r="6807" spans="5:23" x14ac:dyDescent="0.25">
      <c r="E6807" s="4"/>
      <c r="F6807" s="4"/>
      <c r="G6807" s="33" t="str">
        <f>IFERROR(VLOOKUP($D6807,'Informations sur les produits'!$A$3:$H$10000,8,FALSE),"0")</f>
        <v>0</v>
      </c>
      <c r="K6807" s="4"/>
      <c r="L6807" s="33" t="str">
        <f>IFERROR(VLOOKUP($J6807,'Informations sur les produits'!$A$3:$H$10000,8,FALSE),"0")</f>
        <v>0</v>
      </c>
      <c r="N6807" s="8"/>
      <c r="O6807" s="33" t="str">
        <f>IFERROR(VLOOKUP($M6807,'Informations sur les produits'!$A$3:$H$10000,8,FALSE),"0")</f>
        <v>0</v>
      </c>
      <c r="P6807" s="33">
        <f t="shared" si="424"/>
        <v>0</v>
      </c>
      <c r="Q6807" s="31" t="str">
        <f t="shared" si="425"/>
        <v/>
      </c>
      <c r="R6807" s="32" t="str">
        <f>IFERROR(VLOOKUP($D6807,'Informations sur les produits'!$A$3:$B$15000,2,FALSE),"")</f>
        <v/>
      </c>
      <c r="V6807">
        <f t="shared" si="426"/>
        <v>0</v>
      </c>
      <c r="W6807">
        <f t="shared" si="427"/>
        <v>0</v>
      </c>
    </row>
    <row r="6808" spans="5:23" x14ac:dyDescent="0.25">
      <c r="E6808" s="4"/>
      <c r="F6808" s="4"/>
      <c r="G6808" s="33" t="str">
        <f>IFERROR(VLOOKUP($D6808,'Informations sur les produits'!$A$3:$H$10000,8,FALSE),"0")</f>
        <v>0</v>
      </c>
      <c r="K6808" s="4"/>
      <c r="L6808" s="33" t="str">
        <f>IFERROR(VLOOKUP($J6808,'Informations sur les produits'!$A$3:$H$10000,8,FALSE),"0")</f>
        <v>0</v>
      </c>
      <c r="N6808" s="8"/>
      <c r="O6808" s="33" t="str">
        <f>IFERROR(VLOOKUP($M6808,'Informations sur les produits'!$A$3:$H$10000,8,FALSE),"0")</f>
        <v>0</v>
      </c>
      <c r="P6808" s="33">
        <f t="shared" si="424"/>
        <v>0</v>
      </c>
      <c r="Q6808" s="31" t="str">
        <f t="shared" si="425"/>
        <v/>
      </c>
      <c r="R6808" s="32" t="str">
        <f>IFERROR(VLOOKUP($D6808,'Informations sur les produits'!$A$3:$B$15000,2,FALSE),"")</f>
        <v/>
      </c>
      <c r="V6808">
        <f t="shared" si="426"/>
        <v>0</v>
      </c>
      <c r="W6808">
        <f t="shared" si="427"/>
        <v>0</v>
      </c>
    </row>
    <row r="6809" spans="5:23" x14ac:dyDescent="0.25">
      <c r="E6809" s="4"/>
      <c r="F6809" s="4"/>
      <c r="G6809" s="33" t="str">
        <f>IFERROR(VLOOKUP($D6809,'Informations sur les produits'!$A$3:$H$10000,8,FALSE),"0")</f>
        <v>0</v>
      </c>
      <c r="K6809" s="4"/>
      <c r="L6809" s="33" t="str">
        <f>IFERROR(VLOOKUP($J6809,'Informations sur les produits'!$A$3:$H$10000,8,FALSE),"0")</f>
        <v>0</v>
      </c>
      <c r="N6809" s="8"/>
      <c r="O6809" s="33" t="str">
        <f>IFERROR(VLOOKUP($M6809,'Informations sur les produits'!$A$3:$H$10000,8,FALSE),"0")</f>
        <v>0</v>
      </c>
      <c r="P6809" s="33">
        <f t="shared" si="424"/>
        <v>0</v>
      </c>
      <c r="Q6809" s="31" t="str">
        <f t="shared" si="425"/>
        <v/>
      </c>
      <c r="R6809" s="32" t="str">
        <f>IFERROR(VLOOKUP($D6809,'Informations sur les produits'!$A$3:$B$15000,2,FALSE),"")</f>
        <v/>
      </c>
      <c r="V6809">
        <f t="shared" si="426"/>
        <v>0</v>
      </c>
      <c r="W6809">
        <f t="shared" si="427"/>
        <v>0</v>
      </c>
    </row>
    <row r="6810" spans="5:23" x14ac:dyDescent="0.25">
      <c r="E6810" s="4"/>
      <c r="F6810" s="4"/>
      <c r="G6810" s="33" t="str">
        <f>IFERROR(VLOOKUP($D6810,'Informations sur les produits'!$A$3:$H$10000,8,FALSE),"0")</f>
        <v>0</v>
      </c>
      <c r="K6810" s="4"/>
      <c r="L6810" s="33" t="str">
        <f>IFERROR(VLOOKUP($J6810,'Informations sur les produits'!$A$3:$H$10000,8,FALSE),"0")</f>
        <v>0</v>
      </c>
      <c r="N6810" s="8"/>
      <c r="O6810" s="33" t="str">
        <f>IFERROR(VLOOKUP($M6810,'Informations sur les produits'!$A$3:$H$10000,8,FALSE),"0")</f>
        <v>0</v>
      </c>
      <c r="P6810" s="33">
        <f t="shared" si="424"/>
        <v>0</v>
      </c>
      <c r="Q6810" s="31" t="str">
        <f t="shared" si="425"/>
        <v/>
      </c>
      <c r="R6810" s="32" t="str">
        <f>IFERROR(VLOOKUP($D6810,'Informations sur les produits'!$A$3:$B$15000,2,FALSE),"")</f>
        <v/>
      </c>
      <c r="V6810">
        <f t="shared" si="426"/>
        <v>0</v>
      </c>
      <c r="W6810">
        <f t="shared" si="427"/>
        <v>0</v>
      </c>
    </row>
    <row r="6811" spans="5:23" x14ac:dyDescent="0.25">
      <c r="E6811" s="4"/>
      <c r="F6811" s="4"/>
      <c r="G6811" s="33" t="str">
        <f>IFERROR(VLOOKUP($D6811,'Informations sur les produits'!$A$3:$H$10000,8,FALSE),"0")</f>
        <v>0</v>
      </c>
      <c r="K6811" s="4"/>
      <c r="L6811" s="33" t="str">
        <f>IFERROR(VLOOKUP($J6811,'Informations sur les produits'!$A$3:$H$10000,8,FALSE),"0")</f>
        <v>0</v>
      </c>
      <c r="N6811" s="8"/>
      <c r="O6811" s="33" t="str">
        <f>IFERROR(VLOOKUP($M6811,'Informations sur les produits'!$A$3:$H$10000,8,FALSE),"0")</f>
        <v>0</v>
      </c>
      <c r="P6811" s="33">
        <f t="shared" si="424"/>
        <v>0</v>
      </c>
      <c r="Q6811" s="31" t="str">
        <f t="shared" si="425"/>
        <v/>
      </c>
      <c r="R6811" s="32" t="str">
        <f>IFERROR(VLOOKUP($D6811,'Informations sur les produits'!$A$3:$B$15000,2,FALSE),"")</f>
        <v/>
      </c>
      <c r="V6811">
        <f t="shared" si="426"/>
        <v>0</v>
      </c>
      <c r="W6811">
        <f t="shared" si="427"/>
        <v>0</v>
      </c>
    </row>
    <row r="6812" spans="5:23" x14ac:dyDescent="0.25">
      <c r="E6812" s="4"/>
      <c r="F6812" s="4"/>
      <c r="G6812" s="33" t="str">
        <f>IFERROR(VLOOKUP($D6812,'Informations sur les produits'!$A$3:$H$10000,8,FALSE),"0")</f>
        <v>0</v>
      </c>
      <c r="K6812" s="4"/>
      <c r="L6812" s="33" t="str">
        <f>IFERROR(VLOOKUP($J6812,'Informations sur les produits'!$A$3:$H$10000,8,FALSE),"0")</f>
        <v>0</v>
      </c>
      <c r="N6812" s="8"/>
      <c r="O6812" s="33" t="str">
        <f>IFERROR(VLOOKUP($M6812,'Informations sur les produits'!$A$3:$H$10000,8,FALSE),"0")</f>
        <v>0</v>
      </c>
      <c r="P6812" s="33">
        <f t="shared" si="424"/>
        <v>0</v>
      </c>
      <c r="Q6812" s="31" t="str">
        <f t="shared" si="425"/>
        <v/>
      </c>
      <c r="R6812" s="32" t="str">
        <f>IFERROR(VLOOKUP($D6812,'Informations sur les produits'!$A$3:$B$15000,2,FALSE),"")</f>
        <v/>
      </c>
      <c r="V6812">
        <f t="shared" si="426"/>
        <v>0</v>
      </c>
      <c r="W6812">
        <f t="shared" si="427"/>
        <v>0</v>
      </c>
    </row>
    <row r="6813" spans="5:23" x14ac:dyDescent="0.25">
      <c r="E6813" s="4"/>
      <c r="F6813" s="4"/>
      <c r="G6813" s="33" t="str">
        <f>IFERROR(VLOOKUP($D6813,'Informations sur les produits'!$A$3:$H$10000,8,FALSE),"0")</f>
        <v>0</v>
      </c>
      <c r="K6813" s="4"/>
      <c r="L6813" s="33" t="str">
        <f>IFERROR(VLOOKUP($J6813,'Informations sur les produits'!$A$3:$H$10000,8,FALSE),"0")</f>
        <v>0</v>
      </c>
      <c r="N6813" s="8"/>
      <c r="O6813" s="33" t="str">
        <f>IFERROR(VLOOKUP($M6813,'Informations sur les produits'!$A$3:$H$10000,8,FALSE),"0")</f>
        <v>0</v>
      </c>
      <c r="P6813" s="33">
        <f t="shared" si="424"/>
        <v>0</v>
      </c>
      <c r="Q6813" s="31" t="str">
        <f t="shared" si="425"/>
        <v/>
      </c>
      <c r="R6813" s="32" t="str">
        <f>IFERROR(VLOOKUP($D6813,'Informations sur les produits'!$A$3:$B$15000,2,FALSE),"")</f>
        <v/>
      </c>
      <c r="V6813">
        <f t="shared" si="426"/>
        <v>0</v>
      </c>
      <c r="W6813">
        <f t="shared" si="427"/>
        <v>0</v>
      </c>
    </row>
    <row r="6814" spans="5:23" x14ac:dyDescent="0.25">
      <c r="E6814" s="4"/>
      <c r="F6814" s="4"/>
      <c r="G6814" s="33" t="str">
        <f>IFERROR(VLOOKUP($D6814,'Informations sur les produits'!$A$3:$H$10000,8,FALSE),"0")</f>
        <v>0</v>
      </c>
      <c r="K6814" s="4"/>
      <c r="L6814" s="33" t="str">
        <f>IFERROR(VLOOKUP($J6814,'Informations sur les produits'!$A$3:$H$10000,8,FALSE),"0")</f>
        <v>0</v>
      </c>
      <c r="N6814" s="8"/>
      <c r="O6814" s="33" t="str">
        <f>IFERROR(VLOOKUP($M6814,'Informations sur les produits'!$A$3:$H$10000,8,FALSE),"0")</f>
        <v>0</v>
      </c>
      <c r="P6814" s="33">
        <f t="shared" si="424"/>
        <v>0</v>
      </c>
      <c r="Q6814" s="31" t="str">
        <f t="shared" si="425"/>
        <v/>
      </c>
      <c r="R6814" s="32" t="str">
        <f>IFERROR(VLOOKUP($D6814,'Informations sur les produits'!$A$3:$B$15000,2,FALSE),"")</f>
        <v/>
      </c>
      <c r="V6814">
        <f t="shared" si="426"/>
        <v>0</v>
      </c>
      <c r="W6814">
        <f t="shared" si="427"/>
        <v>0</v>
      </c>
    </row>
    <row r="6815" spans="5:23" x14ac:dyDescent="0.25">
      <c r="E6815" s="4"/>
      <c r="F6815" s="4"/>
      <c r="G6815" s="33" t="str">
        <f>IFERROR(VLOOKUP($D6815,'Informations sur les produits'!$A$3:$H$10000,8,FALSE),"0")</f>
        <v>0</v>
      </c>
      <c r="K6815" s="4"/>
      <c r="L6815" s="33" t="str">
        <f>IFERROR(VLOOKUP($J6815,'Informations sur les produits'!$A$3:$H$10000,8,FALSE),"0")</f>
        <v>0</v>
      </c>
      <c r="N6815" s="8"/>
      <c r="O6815" s="33" t="str">
        <f>IFERROR(VLOOKUP($M6815,'Informations sur les produits'!$A$3:$H$10000,8,FALSE),"0")</f>
        <v>0</v>
      </c>
      <c r="P6815" s="33">
        <f t="shared" si="424"/>
        <v>0</v>
      </c>
      <c r="Q6815" s="31" t="str">
        <f t="shared" si="425"/>
        <v/>
      </c>
      <c r="R6815" s="32" t="str">
        <f>IFERROR(VLOOKUP($D6815,'Informations sur les produits'!$A$3:$B$15000,2,FALSE),"")</f>
        <v/>
      </c>
      <c r="V6815">
        <f t="shared" si="426"/>
        <v>0</v>
      </c>
      <c r="W6815">
        <f t="shared" si="427"/>
        <v>0</v>
      </c>
    </row>
    <row r="6816" spans="5:23" x14ac:dyDescent="0.25">
      <c r="E6816" s="4"/>
      <c r="F6816" s="4"/>
      <c r="G6816" s="33" t="str">
        <f>IFERROR(VLOOKUP($D6816,'Informations sur les produits'!$A$3:$H$10000,8,FALSE),"0")</f>
        <v>0</v>
      </c>
      <c r="K6816" s="4"/>
      <c r="L6816" s="33" t="str">
        <f>IFERROR(VLOOKUP($J6816,'Informations sur les produits'!$A$3:$H$10000,8,FALSE),"0")</f>
        <v>0</v>
      </c>
      <c r="N6816" s="8"/>
      <c r="O6816" s="33" t="str">
        <f>IFERROR(VLOOKUP($M6816,'Informations sur les produits'!$A$3:$H$10000,8,FALSE),"0")</f>
        <v>0</v>
      </c>
      <c r="P6816" s="33">
        <f t="shared" si="424"/>
        <v>0</v>
      </c>
      <c r="Q6816" s="31" t="str">
        <f t="shared" si="425"/>
        <v/>
      </c>
      <c r="R6816" s="32" t="str">
        <f>IFERROR(VLOOKUP($D6816,'Informations sur les produits'!$A$3:$B$15000,2,FALSE),"")</f>
        <v/>
      </c>
      <c r="V6816">
        <f t="shared" si="426"/>
        <v>0</v>
      </c>
      <c r="W6816">
        <f t="shared" si="427"/>
        <v>0</v>
      </c>
    </row>
    <row r="6817" spans="5:23" x14ac:dyDescent="0.25">
      <c r="E6817" s="4"/>
      <c r="F6817" s="4"/>
      <c r="G6817" s="33" t="str">
        <f>IFERROR(VLOOKUP($D6817,'Informations sur les produits'!$A$3:$H$10000,8,FALSE),"0")</f>
        <v>0</v>
      </c>
      <c r="K6817" s="4"/>
      <c r="L6817" s="33" t="str">
        <f>IFERROR(VLOOKUP($J6817,'Informations sur les produits'!$A$3:$H$10000,8,FALSE),"0")</f>
        <v>0</v>
      </c>
      <c r="N6817" s="8"/>
      <c r="O6817" s="33" t="str">
        <f>IFERROR(VLOOKUP($M6817,'Informations sur les produits'!$A$3:$H$10000,8,FALSE),"0")</f>
        <v>0</v>
      </c>
      <c r="P6817" s="33">
        <f t="shared" si="424"/>
        <v>0</v>
      </c>
      <c r="Q6817" s="31" t="str">
        <f t="shared" si="425"/>
        <v/>
      </c>
      <c r="R6817" s="32" t="str">
        <f>IFERROR(VLOOKUP($D6817,'Informations sur les produits'!$A$3:$B$15000,2,FALSE),"")</f>
        <v/>
      </c>
      <c r="V6817">
        <f t="shared" si="426"/>
        <v>0</v>
      </c>
      <c r="W6817">
        <f t="shared" si="427"/>
        <v>0</v>
      </c>
    </row>
    <row r="6818" spans="5:23" x14ac:dyDescent="0.25">
      <c r="E6818" s="4"/>
      <c r="F6818" s="4"/>
      <c r="G6818" s="33" t="str">
        <f>IFERROR(VLOOKUP($D6818,'Informations sur les produits'!$A$3:$H$10000,8,FALSE),"0")</f>
        <v>0</v>
      </c>
      <c r="K6818" s="4"/>
      <c r="L6818" s="33" t="str">
        <f>IFERROR(VLOOKUP($J6818,'Informations sur les produits'!$A$3:$H$10000,8,FALSE),"0")</f>
        <v>0</v>
      </c>
      <c r="N6818" s="8"/>
      <c r="O6818" s="33" t="str">
        <f>IFERROR(VLOOKUP($M6818,'Informations sur les produits'!$A$3:$H$10000,8,FALSE),"0")</f>
        <v>0</v>
      </c>
      <c r="P6818" s="33">
        <f t="shared" si="424"/>
        <v>0</v>
      </c>
      <c r="Q6818" s="31" t="str">
        <f t="shared" si="425"/>
        <v/>
      </c>
      <c r="R6818" s="32" t="str">
        <f>IFERROR(VLOOKUP($D6818,'Informations sur les produits'!$A$3:$B$15000,2,FALSE),"")</f>
        <v/>
      </c>
      <c r="V6818">
        <f t="shared" si="426"/>
        <v>0</v>
      </c>
      <c r="W6818">
        <f t="shared" si="427"/>
        <v>0</v>
      </c>
    </row>
    <row r="6819" spans="5:23" x14ac:dyDescent="0.25">
      <c r="E6819" s="4"/>
      <c r="F6819" s="4"/>
      <c r="G6819" s="33" t="str">
        <f>IFERROR(VLOOKUP($D6819,'Informations sur les produits'!$A$3:$H$10000,8,FALSE),"0")</f>
        <v>0</v>
      </c>
      <c r="K6819" s="4"/>
      <c r="L6819" s="33" t="str">
        <f>IFERROR(VLOOKUP($J6819,'Informations sur les produits'!$A$3:$H$10000,8,FALSE),"0")</f>
        <v>0</v>
      </c>
      <c r="N6819" s="8"/>
      <c r="O6819" s="33" t="str">
        <f>IFERROR(VLOOKUP($M6819,'Informations sur les produits'!$A$3:$H$10000,8,FALSE),"0")</f>
        <v>0</v>
      </c>
      <c r="P6819" s="33">
        <f t="shared" si="424"/>
        <v>0</v>
      </c>
      <c r="Q6819" s="31" t="str">
        <f t="shared" si="425"/>
        <v/>
      </c>
      <c r="R6819" s="32" t="str">
        <f>IFERROR(VLOOKUP($D6819,'Informations sur les produits'!$A$3:$B$15000,2,FALSE),"")</f>
        <v/>
      </c>
      <c r="V6819">
        <f t="shared" si="426"/>
        <v>0</v>
      </c>
      <c r="W6819">
        <f t="shared" si="427"/>
        <v>0</v>
      </c>
    </row>
    <row r="6820" spans="5:23" x14ac:dyDescent="0.25">
      <c r="E6820" s="4"/>
      <c r="F6820" s="4"/>
      <c r="G6820" s="33" t="str">
        <f>IFERROR(VLOOKUP($D6820,'Informations sur les produits'!$A$3:$H$10000,8,FALSE),"0")</f>
        <v>0</v>
      </c>
      <c r="K6820" s="4"/>
      <c r="L6820" s="33" t="str">
        <f>IFERROR(VLOOKUP($J6820,'Informations sur les produits'!$A$3:$H$10000,8,FALSE),"0")</f>
        <v>0</v>
      </c>
      <c r="N6820" s="8"/>
      <c r="O6820" s="33" t="str">
        <f>IFERROR(VLOOKUP($M6820,'Informations sur les produits'!$A$3:$H$10000,8,FALSE),"0")</f>
        <v>0</v>
      </c>
      <c r="P6820" s="33">
        <f t="shared" si="424"/>
        <v>0</v>
      </c>
      <c r="Q6820" s="31" t="str">
        <f t="shared" si="425"/>
        <v/>
      </c>
      <c r="R6820" s="32" t="str">
        <f>IFERROR(VLOOKUP($D6820,'Informations sur les produits'!$A$3:$B$15000,2,FALSE),"")</f>
        <v/>
      </c>
      <c r="V6820">
        <f t="shared" si="426"/>
        <v>0</v>
      </c>
      <c r="W6820">
        <f t="shared" si="427"/>
        <v>0</v>
      </c>
    </row>
    <row r="6821" spans="5:23" x14ac:dyDescent="0.25">
      <c r="E6821" s="4"/>
      <c r="F6821" s="4"/>
      <c r="G6821" s="33" t="str">
        <f>IFERROR(VLOOKUP($D6821,'Informations sur les produits'!$A$3:$H$10000,8,FALSE),"0")</f>
        <v>0</v>
      </c>
      <c r="K6821" s="4"/>
      <c r="L6821" s="33" t="str">
        <f>IFERROR(VLOOKUP($J6821,'Informations sur les produits'!$A$3:$H$10000,8,FALSE),"0")</f>
        <v>0</v>
      </c>
      <c r="N6821" s="8"/>
      <c r="O6821" s="33" t="str">
        <f>IFERROR(VLOOKUP($M6821,'Informations sur les produits'!$A$3:$H$10000,8,FALSE),"0")</f>
        <v>0</v>
      </c>
      <c r="P6821" s="33">
        <f t="shared" si="424"/>
        <v>0</v>
      </c>
      <c r="Q6821" s="31" t="str">
        <f t="shared" si="425"/>
        <v/>
      </c>
      <c r="R6821" s="32" t="str">
        <f>IFERROR(VLOOKUP($D6821,'Informations sur les produits'!$A$3:$B$15000,2,FALSE),"")</f>
        <v/>
      </c>
      <c r="V6821">
        <f t="shared" si="426"/>
        <v>0</v>
      </c>
      <c r="W6821">
        <f t="shared" si="427"/>
        <v>0</v>
      </c>
    </row>
    <row r="6822" spans="5:23" x14ac:dyDescent="0.25">
      <c r="E6822" s="4"/>
      <c r="F6822" s="4"/>
      <c r="G6822" s="33" t="str">
        <f>IFERROR(VLOOKUP($D6822,'Informations sur les produits'!$A$3:$H$10000,8,FALSE),"0")</f>
        <v>0</v>
      </c>
      <c r="K6822" s="4"/>
      <c r="L6822" s="33" t="str">
        <f>IFERROR(VLOOKUP($J6822,'Informations sur les produits'!$A$3:$H$10000,8,FALSE),"0")</f>
        <v>0</v>
      </c>
      <c r="N6822" s="8"/>
      <c r="O6822" s="33" t="str">
        <f>IFERROR(VLOOKUP($M6822,'Informations sur les produits'!$A$3:$H$10000,8,FALSE),"0")</f>
        <v>0</v>
      </c>
      <c r="P6822" s="33">
        <f t="shared" si="424"/>
        <v>0</v>
      </c>
      <c r="Q6822" s="31" t="str">
        <f t="shared" si="425"/>
        <v/>
      </c>
      <c r="R6822" s="32" t="str">
        <f>IFERROR(VLOOKUP($D6822,'Informations sur les produits'!$A$3:$B$15000,2,FALSE),"")</f>
        <v/>
      </c>
      <c r="V6822">
        <f t="shared" si="426"/>
        <v>0</v>
      </c>
      <c r="W6822">
        <f t="shared" si="427"/>
        <v>0</v>
      </c>
    </row>
    <row r="6823" spans="5:23" x14ac:dyDescent="0.25">
      <c r="E6823" s="4"/>
      <c r="F6823" s="4"/>
      <c r="G6823" s="33" t="str">
        <f>IFERROR(VLOOKUP($D6823,'Informations sur les produits'!$A$3:$H$10000,8,FALSE),"0")</f>
        <v>0</v>
      </c>
      <c r="K6823" s="4"/>
      <c r="L6823" s="33" t="str">
        <f>IFERROR(VLOOKUP($J6823,'Informations sur les produits'!$A$3:$H$10000,8,FALSE),"0")</f>
        <v>0</v>
      </c>
      <c r="N6823" s="8"/>
      <c r="O6823" s="33" t="str">
        <f>IFERROR(VLOOKUP($M6823,'Informations sur les produits'!$A$3:$H$10000,8,FALSE),"0")</f>
        <v>0</v>
      </c>
      <c r="P6823" s="33">
        <f t="shared" si="424"/>
        <v>0</v>
      </c>
      <c r="Q6823" s="31" t="str">
        <f t="shared" si="425"/>
        <v/>
      </c>
      <c r="R6823" s="32" t="str">
        <f>IFERROR(VLOOKUP($D6823,'Informations sur les produits'!$A$3:$B$15000,2,FALSE),"")</f>
        <v/>
      </c>
      <c r="V6823">
        <f t="shared" si="426"/>
        <v>0</v>
      </c>
      <c r="W6823">
        <f t="shared" si="427"/>
        <v>0</v>
      </c>
    </row>
    <row r="6824" spans="5:23" x14ac:dyDescent="0.25">
      <c r="E6824" s="4"/>
      <c r="F6824" s="4"/>
      <c r="G6824" s="33" t="str">
        <f>IFERROR(VLOOKUP($D6824,'Informations sur les produits'!$A$3:$H$10000,8,FALSE),"0")</f>
        <v>0</v>
      </c>
      <c r="K6824" s="4"/>
      <c r="L6824" s="33" t="str">
        <f>IFERROR(VLOOKUP($J6824,'Informations sur les produits'!$A$3:$H$10000,8,FALSE),"0")</f>
        <v>0</v>
      </c>
      <c r="N6824" s="8"/>
      <c r="O6824" s="33" t="str">
        <f>IFERROR(VLOOKUP($M6824,'Informations sur les produits'!$A$3:$H$10000,8,FALSE),"0")</f>
        <v>0</v>
      </c>
      <c r="P6824" s="33">
        <f t="shared" si="424"/>
        <v>0</v>
      </c>
      <c r="Q6824" s="31" t="str">
        <f t="shared" si="425"/>
        <v/>
      </c>
      <c r="R6824" s="32" t="str">
        <f>IFERROR(VLOOKUP($D6824,'Informations sur les produits'!$A$3:$B$15000,2,FALSE),"")</f>
        <v/>
      </c>
      <c r="V6824">
        <f t="shared" si="426"/>
        <v>0</v>
      </c>
      <c r="W6824">
        <f t="shared" si="427"/>
        <v>0</v>
      </c>
    </row>
    <row r="6825" spans="5:23" x14ac:dyDescent="0.25">
      <c r="E6825" s="4"/>
      <c r="F6825" s="4"/>
      <c r="G6825" s="33" t="str">
        <f>IFERROR(VLOOKUP($D6825,'Informations sur les produits'!$A$3:$H$10000,8,FALSE),"0")</f>
        <v>0</v>
      </c>
      <c r="K6825" s="4"/>
      <c r="L6825" s="33" t="str">
        <f>IFERROR(VLOOKUP($J6825,'Informations sur les produits'!$A$3:$H$10000,8,FALSE),"0")</f>
        <v>0</v>
      </c>
      <c r="N6825" s="8"/>
      <c r="O6825" s="33" t="str">
        <f>IFERROR(VLOOKUP($M6825,'Informations sur les produits'!$A$3:$H$10000,8,FALSE),"0")</f>
        <v>0</v>
      </c>
      <c r="P6825" s="33">
        <f t="shared" si="424"/>
        <v>0</v>
      </c>
      <c r="Q6825" s="31" t="str">
        <f t="shared" si="425"/>
        <v/>
      </c>
      <c r="R6825" s="32" t="str">
        <f>IFERROR(VLOOKUP($D6825,'Informations sur les produits'!$A$3:$B$15000,2,FALSE),"")</f>
        <v/>
      </c>
      <c r="V6825">
        <f t="shared" si="426"/>
        <v>0</v>
      </c>
      <c r="W6825">
        <f t="shared" si="427"/>
        <v>0</v>
      </c>
    </row>
    <row r="6826" spans="5:23" x14ac:dyDescent="0.25">
      <c r="E6826" s="4"/>
      <c r="F6826" s="4"/>
      <c r="G6826" s="33" t="str">
        <f>IFERROR(VLOOKUP($D6826,'Informations sur les produits'!$A$3:$H$10000,8,FALSE),"0")</f>
        <v>0</v>
      </c>
      <c r="K6826" s="4"/>
      <c r="L6826" s="33" t="str">
        <f>IFERROR(VLOOKUP($J6826,'Informations sur les produits'!$A$3:$H$10000,8,FALSE),"0")</f>
        <v>0</v>
      </c>
      <c r="N6826" s="8"/>
      <c r="O6826" s="33" t="str">
        <f>IFERROR(VLOOKUP($M6826,'Informations sur les produits'!$A$3:$H$10000,8,FALSE),"0")</f>
        <v>0</v>
      </c>
      <c r="P6826" s="33">
        <f t="shared" si="424"/>
        <v>0</v>
      </c>
      <c r="Q6826" s="31" t="str">
        <f t="shared" si="425"/>
        <v/>
      </c>
      <c r="R6826" s="32" t="str">
        <f>IFERROR(VLOOKUP($D6826,'Informations sur les produits'!$A$3:$B$15000,2,FALSE),"")</f>
        <v/>
      </c>
      <c r="V6826">
        <f t="shared" si="426"/>
        <v>0</v>
      </c>
      <c r="W6826">
        <f t="shared" si="427"/>
        <v>0</v>
      </c>
    </row>
    <row r="6827" spans="5:23" x14ac:dyDescent="0.25">
      <c r="E6827" s="4"/>
      <c r="F6827" s="4"/>
      <c r="G6827" s="33" t="str">
        <f>IFERROR(VLOOKUP($D6827,'Informations sur les produits'!$A$3:$H$10000,8,FALSE),"0")</f>
        <v>0</v>
      </c>
      <c r="K6827" s="4"/>
      <c r="L6827" s="33" t="str">
        <f>IFERROR(VLOOKUP($J6827,'Informations sur les produits'!$A$3:$H$10000,8,FALSE),"0")</f>
        <v>0</v>
      </c>
      <c r="N6827" s="8"/>
      <c r="O6827" s="33" t="str">
        <f>IFERROR(VLOOKUP($M6827,'Informations sur les produits'!$A$3:$H$10000,8,FALSE),"0")</f>
        <v>0</v>
      </c>
      <c r="P6827" s="33">
        <f t="shared" si="424"/>
        <v>0</v>
      </c>
      <c r="Q6827" s="31" t="str">
        <f t="shared" si="425"/>
        <v/>
      </c>
      <c r="R6827" s="32" t="str">
        <f>IFERROR(VLOOKUP($D6827,'Informations sur les produits'!$A$3:$B$15000,2,FALSE),"")</f>
        <v/>
      </c>
      <c r="V6827">
        <f t="shared" si="426"/>
        <v>0</v>
      </c>
      <c r="W6827">
        <f t="shared" si="427"/>
        <v>0</v>
      </c>
    </row>
    <row r="6828" spans="5:23" x14ac:dyDescent="0.25">
      <c r="E6828" s="4"/>
      <c r="F6828" s="4"/>
      <c r="G6828" s="33" t="str">
        <f>IFERROR(VLOOKUP($D6828,'Informations sur les produits'!$A$3:$H$10000,8,FALSE),"0")</f>
        <v>0</v>
      </c>
      <c r="K6828" s="4"/>
      <c r="L6828" s="33" t="str">
        <f>IFERROR(VLOOKUP($J6828,'Informations sur les produits'!$A$3:$H$10000,8,FALSE),"0")</f>
        <v>0</v>
      </c>
      <c r="N6828" s="8"/>
      <c r="O6828" s="33" t="str">
        <f>IFERROR(VLOOKUP($M6828,'Informations sur les produits'!$A$3:$H$10000,8,FALSE),"0")</f>
        <v>0</v>
      </c>
      <c r="P6828" s="33">
        <f t="shared" si="424"/>
        <v>0</v>
      </c>
      <c r="Q6828" s="31" t="str">
        <f t="shared" si="425"/>
        <v/>
      </c>
      <c r="R6828" s="32" t="str">
        <f>IFERROR(VLOOKUP($D6828,'Informations sur les produits'!$A$3:$B$15000,2,FALSE),"")</f>
        <v/>
      </c>
      <c r="V6828">
        <f t="shared" si="426"/>
        <v>0</v>
      </c>
      <c r="W6828">
        <f t="shared" si="427"/>
        <v>0</v>
      </c>
    </row>
    <row r="6829" spans="5:23" x14ac:dyDescent="0.25">
      <c r="E6829" s="4"/>
      <c r="F6829" s="4"/>
      <c r="G6829" s="33" t="str">
        <f>IFERROR(VLOOKUP($D6829,'Informations sur les produits'!$A$3:$H$10000,8,FALSE),"0")</f>
        <v>0</v>
      </c>
      <c r="K6829" s="4"/>
      <c r="L6829" s="33" t="str">
        <f>IFERROR(VLOOKUP($J6829,'Informations sur les produits'!$A$3:$H$10000,8,FALSE),"0")</f>
        <v>0</v>
      </c>
      <c r="N6829" s="8"/>
      <c r="O6829" s="33" t="str">
        <f>IFERROR(VLOOKUP($M6829,'Informations sur les produits'!$A$3:$H$10000,8,FALSE),"0")</f>
        <v>0</v>
      </c>
      <c r="P6829" s="33">
        <f t="shared" si="424"/>
        <v>0</v>
      </c>
      <c r="Q6829" s="31" t="str">
        <f t="shared" si="425"/>
        <v/>
      </c>
      <c r="R6829" s="32" t="str">
        <f>IFERROR(VLOOKUP($D6829,'Informations sur les produits'!$A$3:$B$15000,2,FALSE),"")</f>
        <v/>
      </c>
      <c r="V6829">
        <f t="shared" si="426"/>
        <v>0</v>
      </c>
      <c r="W6829">
        <f t="shared" si="427"/>
        <v>0</v>
      </c>
    </row>
    <row r="6830" spans="5:23" x14ac:dyDescent="0.25">
      <c r="E6830" s="4"/>
      <c r="F6830" s="4"/>
      <c r="G6830" s="33" t="str">
        <f>IFERROR(VLOOKUP($D6830,'Informations sur les produits'!$A$3:$H$10000,8,FALSE),"0")</f>
        <v>0</v>
      </c>
      <c r="K6830" s="4"/>
      <c r="L6830" s="33" t="str">
        <f>IFERROR(VLOOKUP($J6830,'Informations sur les produits'!$A$3:$H$10000,8,FALSE),"0")</f>
        <v>0</v>
      </c>
      <c r="N6830" s="8"/>
      <c r="O6830" s="33" t="str">
        <f>IFERROR(VLOOKUP($M6830,'Informations sur les produits'!$A$3:$H$10000,8,FALSE),"0")</f>
        <v>0</v>
      </c>
      <c r="P6830" s="33">
        <f t="shared" si="424"/>
        <v>0</v>
      </c>
      <c r="Q6830" s="31" t="str">
        <f t="shared" si="425"/>
        <v/>
      </c>
      <c r="R6830" s="32" t="str">
        <f>IFERROR(VLOOKUP($D6830,'Informations sur les produits'!$A$3:$B$15000,2,FALSE),"")</f>
        <v/>
      </c>
      <c r="V6830">
        <f t="shared" si="426"/>
        <v>0</v>
      </c>
      <c r="W6830">
        <f t="shared" si="427"/>
        <v>0</v>
      </c>
    </row>
    <row r="6831" spans="5:23" x14ac:dyDescent="0.25">
      <c r="E6831" s="4"/>
      <c r="F6831" s="4"/>
      <c r="G6831" s="33" t="str">
        <f>IFERROR(VLOOKUP($D6831,'Informations sur les produits'!$A$3:$H$10000,8,FALSE),"0")</f>
        <v>0</v>
      </c>
      <c r="K6831" s="4"/>
      <c r="L6831" s="33" t="str">
        <f>IFERROR(VLOOKUP($J6831,'Informations sur les produits'!$A$3:$H$10000,8,FALSE),"0")</f>
        <v>0</v>
      </c>
      <c r="N6831" s="8"/>
      <c r="O6831" s="33" t="str">
        <f>IFERROR(VLOOKUP($M6831,'Informations sur les produits'!$A$3:$H$10000,8,FALSE),"0")</f>
        <v>0</v>
      </c>
      <c r="P6831" s="33">
        <f t="shared" si="424"/>
        <v>0</v>
      </c>
      <c r="Q6831" s="31" t="str">
        <f t="shared" si="425"/>
        <v/>
      </c>
      <c r="R6831" s="32" t="str">
        <f>IFERROR(VLOOKUP($D6831,'Informations sur les produits'!$A$3:$B$15000,2,FALSE),"")</f>
        <v/>
      </c>
      <c r="V6831">
        <f t="shared" si="426"/>
        <v>0</v>
      </c>
      <c r="W6831">
        <f t="shared" si="427"/>
        <v>0</v>
      </c>
    </row>
    <row r="6832" spans="5:23" x14ac:dyDescent="0.25">
      <c r="E6832" s="4"/>
      <c r="F6832" s="4"/>
      <c r="G6832" s="33" t="str">
        <f>IFERROR(VLOOKUP($D6832,'Informations sur les produits'!$A$3:$H$10000,8,FALSE),"0")</f>
        <v>0</v>
      </c>
      <c r="K6832" s="4"/>
      <c r="L6832" s="33" t="str">
        <f>IFERROR(VLOOKUP($J6832,'Informations sur les produits'!$A$3:$H$10000,8,FALSE),"0")</f>
        <v>0</v>
      </c>
      <c r="N6832" s="8"/>
      <c r="O6832" s="33" t="str">
        <f>IFERROR(VLOOKUP($M6832,'Informations sur les produits'!$A$3:$H$10000,8,FALSE),"0")</f>
        <v>0</v>
      </c>
      <c r="P6832" s="33">
        <f t="shared" si="424"/>
        <v>0</v>
      </c>
      <c r="Q6832" s="31" t="str">
        <f t="shared" si="425"/>
        <v/>
      </c>
      <c r="R6832" s="32" t="str">
        <f>IFERROR(VLOOKUP($D6832,'Informations sur les produits'!$A$3:$B$15000,2,FALSE),"")</f>
        <v/>
      </c>
      <c r="V6832">
        <f t="shared" si="426"/>
        <v>0</v>
      </c>
      <c r="W6832">
        <f t="shared" si="427"/>
        <v>0</v>
      </c>
    </row>
    <row r="6833" spans="5:23" x14ac:dyDescent="0.25">
      <c r="E6833" s="4"/>
      <c r="F6833" s="4"/>
      <c r="G6833" s="33" t="str">
        <f>IFERROR(VLOOKUP($D6833,'Informations sur les produits'!$A$3:$H$10000,8,FALSE),"0")</f>
        <v>0</v>
      </c>
      <c r="K6833" s="4"/>
      <c r="L6833" s="33" t="str">
        <f>IFERROR(VLOOKUP($J6833,'Informations sur les produits'!$A$3:$H$10000,8,FALSE),"0")</f>
        <v>0</v>
      </c>
      <c r="N6833" s="8"/>
      <c r="O6833" s="33" t="str">
        <f>IFERROR(VLOOKUP($M6833,'Informations sur les produits'!$A$3:$H$10000,8,FALSE),"0")</f>
        <v>0</v>
      </c>
      <c r="P6833" s="33">
        <f t="shared" si="424"/>
        <v>0</v>
      </c>
      <c r="Q6833" s="31" t="str">
        <f t="shared" si="425"/>
        <v/>
      </c>
      <c r="R6833" s="32" t="str">
        <f>IFERROR(VLOOKUP($D6833,'Informations sur les produits'!$A$3:$B$15000,2,FALSE),"")</f>
        <v/>
      </c>
      <c r="V6833">
        <f t="shared" si="426"/>
        <v>0</v>
      </c>
      <c r="W6833">
        <f t="shared" si="427"/>
        <v>0</v>
      </c>
    </row>
    <row r="6834" spans="5:23" x14ac:dyDescent="0.25">
      <c r="E6834" s="4"/>
      <c r="F6834" s="4"/>
      <c r="G6834" s="33" t="str">
        <f>IFERROR(VLOOKUP($D6834,'Informations sur les produits'!$A$3:$H$10000,8,FALSE),"0")</f>
        <v>0</v>
      </c>
      <c r="K6834" s="4"/>
      <c r="L6834" s="33" t="str">
        <f>IFERROR(VLOOKUP($J6834,'Informations sur les produits'!$A$3:$H$10000,8,FALSE),"0")</f>
        <v>0</v>
      </c>
      <c r="N6834" s="8"/>
      <c r="O6834" s="33" t="str">
        <f>IFERROR(VLOOKUP($M6834,'Informations sur les produits'!$A$3:$H$10000,8,FALSE),"0")</f>
        <v>0</v>
      </c>
      <c r="P6834" s="33">
        <f t="shared" si="424"/>
        <v>0</v>
      </c>
      <c r="Q6834" s="31" t="str">
        <f t="shared" si="425"/>
        <v/>
      </c>
      <c r="R6834" s="32" t="str">
        <f>IFERROR(VLOOKUP($D6834,'Informations sur les produits'!$A$3:$B$15000,2,FALSE),"")</f>
        <v/>
      </c>
      <c r="V6834">
        <f t="shared" si="426"/>
        <v>0</v>
      </c>
      <c r="W6834">
        <f t="shared" si="427"/>
        <v>0</v>
      </c>
    </row>
    <row r="6835" spans="5:23" x14ac:dyDescent="0.25">
      <c r="E6835" s="4"/>
      <c r="F6835" s="4"/>
      <c r="G6835" s="33" t="str">
        <f>IFERROR(VLOOKUP($D6835,'Informations sur les produits'!$A$3:$H$10000,8,FALSE),"0")</f>
        <v>0</v>
      </c>
      <c r="K6835" s="4"/>
      <c r="L6835" s="33" t="str">
        <f>IFERROR(VLOOKUP($J6835,'Informations sur les produits'!$A$3:$H$10000,8,FALSE),"0")</f>
        <v>0</v>
      </c>
      <c r="N6835" s="8"/>
      <c r="O6835" s="33" t="str">
        <f>IFERROR(VLOOKUP($M6835,'Informations sur les produits'!$A$3:$H$10000,8,FALSE),"0")</f>
        <v>0</v>
      </c>
      <c r="P6835" s="33">
        <f t="shared" si="424"/>
        <v>0</v>
      </c>
      <c r="Q6835" s="31" t="str">
        <f t="shared" si="425"/>
        <v/>
      </c>
      <c r="R6835" s="32" t="str">
        <f>IFERROR(VLOOKUP($D6835,'Informations sur les produits'!$A$3:$B$15000,2,FALSE),"")</f>
        <v/>
      </c>
      <c r="V6835">
        <f t="shared" si="426"/>
        <v>0</v>
      </c>
      <c r="W6835">
        <f t="shared" si="427"/>
        <v>0</v>
      </c>
    </row>
    <row r="6836" spans="5:23" x14ac:dyDescent="0.25">
      <c r="E6836" s="4"/>
      <c r="F6836" s="4"/>
      <c r="G6836" s="33" t="str">
        <f>IFERROR(VLOOKUP($D6836,'Informations sur les produits'!$A$3:$H$10000,8,FALSE),"0")</f>
        <v>0</v>
      </c>
      <c r="K6836" s="4"/>
      <c r="L6836" s="33" t="str">
        <f>IFERROR(VLOOKUP($J6836,'Informations sur les produits'!$A$3:$H$10000,8,FALSE),"0")</f>
        <v>0</v>
      </c>
      <c r="N6836" s="8"/>
      <c r="O6836" s="33" t="str">
        <f>IFERROR(VLOOKUP($M6836,'Informations sur les produits'!$A$3:$H$10000,8,FALSE),"0")</f>
        <v>0</v>
      </c>
      <c r="P6836" s="33">
        <f t="shared" si="424"/>
        <v>0</v>
      </c>
      <c r="Q6836" s="31" t="str">
        <f t="shared" si="425"/>
        <v/>
      </c>
      <c r="R6836" s="32" t="str">
        <f>IFERROR(VLOOKUP($D6836,'Informations sur les produits'!$A$3:$B$15000,2,FALSE),"")</f>
        <v/>
      </c>
      <c r="V6836">
        <f t="shared" si="426"/>
        <v>0</v>
      </c>
      <c r="W6836">
        <f t="shared" si="427"/>
        <v>0</v>
      </c>
    </row>
    <row r="6837" spans="5:23" x14ac:dyDescent="0.25">
      <c r="E6837" s="4"/>
      <c r="F6837" s="4"/>
      <c r="G6837" s="33" t="str">
        <f>IFERROR(VLOOKUP($D6837,'Informations sur les produits'!$A$3:$H$10000,8,FALSE),"0")</f>
        <v>0</v>
      </c>
      <c r="K6837" s="4"/>
      <c r="L6837" s="33" t="str">
        <f>IFERROR(VLOOKUP($J6837,'Informations sur les produits'!$A$3:$H$10000,8,FALSE),"0")</f>
        <v>0</v>
      </c>
      <c r="N6837" s="8"/>
      <c r="O6837" s="33" t="str">
        <f>IFERROR(VLOOKUP($M6837,'Informations sur les produits'!$A$3:$H$10000,8,FALSE),"0")</f>
        <v>0</v>
      </c>
      <c r="P6837" s="33">
        <f t="shared" si="424"/>
        <v>0</v>
      </c>
      <c r="Q6837" s="31" t="str">
        <f t="shared" si="425"/>
        <v/>
      </c>
      <c r="R6837" s="32" t="str">
        <f>IFERROR(VLOOKUP($D6837,'Informations sur les produits'!$A$3:$B$15000,2,FALSE),"")</f>
        <v/>
      </c>
      <c r="V6837">
        <f t="shared" si="426"/>
        <v>0</v>
      </c>
      <c r="W6837">
        <f t="shared" si="427"/>
        <v>0</v>
      </c>
    </row>
    <row r="6838" spans="5:23" x14ac:dyDescent="0.25">
      <c r="E6838" s="4"/>
      <c r="F6838" s="4"/>
      <c r="G6838" s="33" t="str">
        <f>IFERROR(VLOOKUP($D6838,'Informations sur les produits'!$A$3:$H$10000,8,FALSE),"0")</f>
        <v>0</v>
      </c>
      <c r="K6838" s="4"/>
      <c r="L6838" s="33" t="str">
        <f>IFERROR(VLOOKUP($J6838,'Informations sur les produits'!$A$3:$H$10000,8,FALSE),"0")</f>
        <v>0</v>
      </c>
      <c r="N6838" s="8"/>
      <c r="O6838" s="33" t="str">
        <f>IFERROR(VLOOKUP($M6838,'Informations sur les produits'!$A$3:$H$10000,8,FALSE),"0")</f>
        <v>0</v>
      </c>
      <c r="P6838" s="33">
        <f t="shared" si="424"/>
        <v>0</v>
      </c>
      <c r="Q6838" s="31" t="str">
        <f t="shared" si="425"/>
        <v/>
      </c>
      <c r="R6838" s="32" t="str">
        <f>IFERROR(VLOOKUP($D6838,'Informations sur les produits'!$A$3:$B$15000,2,FALSE),"")</f>
        <v/>
      </c>
      <c r="V6838">
        <f t="shared" si="426"/>
        <v>0</v>
      </c>
      <c r="W6838">
        <f t="shared" si="427"/>
        <v>0</v>
      </c>
    </row>
    <row r="6839" spans="5:23" x14ac:dyDescent="0.25">
      <c r="E6839" s="4"/>
      <c r="F6839" s="4"/>
      <c r="G6839" s="33" t="str">
        <f>IFERROR(VLOOKUP($D6839,'Informations sur les produits'!$A$3:$H$10000,8,FALSE),"0")</f>
        <v>0</v>
      </c>
      <c r="K6839" s="4"/>
      <c r="L6839" s="33" t="str">
        <f>IFERROR(VLOOKUP($J6839,'Informations sur les produits'!$A$3:$H$10000,8,FALSE),"0")</f>
        <v>0</v>
      </c>
      <c r="N6839" s="8"/>
      <c r="O6839" s="33" t="str">
        <f>IFERROR(VLOOKUP($M6839,'Informations sur les produits'!$A$3:$H$10000,8,FALSE),"0")</f>
        <v>0</v>
      </c>
      <c r="P6839" s="33">
        <f t="shared" si="424"/>
        <v>0</v>
      </c>
      <c r="Q6839" s="31" t="str">
        <f t="shared" si="425"/>
        <v/>
      </c>
      <c r="R6839" s="32" t="str">
        <f>IFERROR(VLOOKUP($D6839,'Informations sur les produits'!$A$3:$B$15000,2,FALSE),"")</f>
        <v/>
      </c>
      <c r="V6839">
        <f t="shared" si="426"/>
        <v>0</v>
      </c>
      <c r="W6839">
        <f t="shared" si="427"/>
        <v>0</v>
      </c>
    </row>
    <row r="6840" spans="5:23" x14ac:dyDescent="0.25">
      <c r="E6840" s="4"/>
      <c r="F6840" s="4"/>
      <c r="G6840" s="33" t="str">
        <f>IFERROR(VLOOKUP($D6840,'Informations sur les produits'!$A$3:$H$10000,8,FALSE),"0")</f>
        <v>0</v>
      </c>
      <c r="K6840" s="4"/>
      <c r="L6840" s="33" t="str">
        <f>IFERROR(VLOOKUP($J6840,'Informations sur les produits'!$A$3:$H$10000,8,FALSE),"0")</f>
        <v>0</v>
      </c>
      <c r="N6840" s="8"/>
      <c r="O6840" s="33" t="str">
        <f>IFERROR(VLOOKUP($M6840,'Informations sur les produits'!$A$3:$H$10000,8,FALSE),"0")</f>
        <v>0</v>
      </c>
      <c r="P6840" s="33">
        <f t="shared" si="424"/>
        <v>0</v>
      </c>
      <c r="Q6840" s="31" t="str">
        <f t="shared" si="425"/>
        <v/>
      </c>
      <c r="R6840" s="32" t="str">
        <f>IFERROR(VLOOKUP($D6840,'Informations sur les produits'!$A$3:$B$15000,2,FALSE),"")</f>
        <v/>
      </c>
      <c r="V6840">
        <f t="shared" si="426"/>
        <v>0</v>
      </c>
      <c r="W6840">
        <f t="shared" si="427"/>
        <v>0</v>
      </c>
    </row>
    <row r="6841" spans="5:23" x14ac:dyDescent="0.25">
      <c r="E6841" s="4"/>
      <c r="F6841" s="4"/>
      <c r="G6841" s="33" t="str">
        <f>IFERROR(VLOOKUP($D6841,'Informations sur les produits'!$A$3:$H$10000,8,FALSE),"0")</f>
        <v>0</v>
      </c>
      <c r="K6841" s="4"/>
      <c r="L6841" s="33" t="str">
        <f>IFERROR(VLOOKUP($J6841,'Informations sur les produits'!$A$3:$H$10000,8,FALSE),"0")</f>
        <v>0</v>
      </c>
      <c r="N6841" s="8"/>
      <c r="O6841" s="33" t="str">
        <f>IFERROR(VLOOKUP($M6841,'Informations sur les produits'!$A$3:$H$10000,8,FALSE),"0")</f>
        <v>0</v>
      </c>
      <c r="P6841" s="33">
        <f t="shared" si="424"/>
        <v>0</v>
      </c>
      <c r="Q6841" s="31" t="str">
        <f t="shared" si="425"/>
        <v/>
      </c>
      <c r="R6841" s="32" t="str">
        <f>IFERROR(VLOOKUP($D6841,'Informations sur les produits'!$A$3:$B$15000,2,FALSE),"")</f>
        <v/>
      </c>
      <c r="V6841">
        <f t="shared" si="426"/>
        <v>0</v>
      </c>
      <c r="W6841">
        <f t="shared" si="427"/>
        <v>0</v>
      </c>
    </row>
    <row r="6842" spans="5:23" x14ac:dyDescent="0.25">
      <c r="E6842" s="4"/>
      <c r="F6842" s="4"/>
      <c r="G6842" s="33" t="str">
        <f>IFERROR(VLOOKUP($D6842,'Informations sur les produits'!$A$3:$H$10000,8,FALSE),"0")</f>
        <v>0</v>
      </c>
      <c r="K6842" s="4"/>
      <c r="L6842" s="33" t="str">
        <f>IFERROR(VLOOKUP($J6842,'Informations sur les produits'!$A$3:$H$10000,8,FALSE),"0")</f>
        <v>0</v>
      </c>
      <c r="N6842" s="8"/>
      <c r="O6842" s="33" t="str">
        <f>IFERROR(VLOOKUP($M6842,'Informations sur les produits'!$A$3:$H$10000,8,FALSE),"0")</f>
        <v>0</v>
      </c>
      <c r="P6842" s="33">
        <f t="shared" si="424"/>
        <v>0</v>
      </c>
      <c r="Q6842" s="31" t="str">
        <f t="shared" si="425"/>
        <v/>
      </c>
      <c r="R6842" s="32" t="str">
        <f>IFERROR(VLOOKUP($D6842,'Informations sur les produits'!$A$3:$B$15000,2,FALSE),"")</f>
        <v/>
      </c>
      <c r="V6842">
        <f t="shared" si="426"/>
        <v>0</v>
      </c>
      <c r="W6842">
        <f t="shared" si="427"/>
        <v>0</v>
      </c>
    </row>
    <row r="6843" spans="5:23" x14ac:dyDescent="0.25">
      <c r="E6843" s="4"/>
      <c r="F6843" s="4"/>
      <c r="G6843" s="33" t="str">
        <f>IFERROR(VLOOKUP($D6843,'Informations sur les produits'!$A$3:$H$10000,8,FALSE),"0")</f>
        <v>0</v>
      </c>
      <c r="K6843" s="4"/>
      <c r="L6843" s="33" t="str">
        <f>IFERROR(VLOOKUP($J6843,'Informations sur les produits'!$A$3:$H$10000,8,FALSE),"0")</f>
        <v>0</v>
      </c>
      <c r="N6843" s="8"/>
      <c r="O6843" s="33" t="str">
        <f>IFERROR(VLOOKUP($M6843,'Informations sur les produits'!$A$3:$H$10000,8,FALSE),"0")</f>
        <v>0</v>
      </c>
      <c r="P6843" s="33">
        <f t="shared" si="424"/>
        <v>0</v>
      </c>
      <c r="Q6843" s="31" t="str">
        <f t="shared" si="425"/>
        <v/>
      </c>
      <c r="R6843" s="32" t="str">
        <f>IFERROR(VLOOKUP($D6843,'Informations sur les produits'!$A$3:$B$15000,2,FALSE),"")</f>
        <v/>
      </c>
      <c r="V6843">
        <f t="shared" si="426"/>
        <v>0</v>
      </c>
      <c r="W6843">
        <f t="shared" si="427"/>
        <v>0</v>
      </c>
    </row>
    <row r="6844" spans="5:23" x14ac:dyDescent="0.25">
      <c r="E6844" s="4"/>
      <c r="F6844" s="4"/>
      <c r="G6844" s="33" t="str">
        <f>IFERROR(VLOOKUP($D6844,'Informations sur les produits'!$A$3:$H$10000,8,FALSE),"0")</f>
        <v>0</v>
      </c>
      <c r="K6844" s="4"/>
      <c r="L6844" s="33" t="str">
        <f>IFERROR(VLOOKUP($J6844,'Informations sur les produits'!$A$3:$H$10000,8,FALSE),"0")</f>
        <v>0</v>
      </c>
      <c r="N6844" s="8"/>
      <c r="O6844" s="33" t="str">
        <f>IFERROR(VLOOKUP($M6844,'Informations sur les produits'!$A$3:$H$10000,8,FALSE),"0")</f>
        <v>0</v>
      </c>
      <c r="P6844" s="33">
        <f t="shared" si="424"/>
        <v>0</v>
      </c>
      <c r="Q6844" s="31" t="str">
        <f t="shared" si="425"/>
        <v/>
      </c>
      <c r="R6844" s="32" t="str">
        <f>IFERROR(VLOOKUP($D6844,'Informations sur les produits'!$A$3:$B$15000,2,FALSE),"")</f>
        <v/>
      </c>
      <c r="V6844">
        <f t="shared" si="426"/>
        <v>0</v>
      </c>
      <c r="W6844">
        <f t="shared" si="427"/>
        <v>0</v>
      </c>
    </row>
    <row r="6845" spans="5:23" x14ac:dyDescent="0.25">
      <c r="E6845" s="4"/>
      <c r="F6845" s="4"/>
      <c r="G6845" s="33" t="str">
        <f>IFERROR(VLOOKUP($D6845,'Informations sur les produits'!$A$3:$H$10000,8,FALSE),"0")</f>
        <v>0</v>
      </c>
      <c r="K6845" s="4"/>
      <c r="L6845" s="33" t="str">
        <f>IFERROR(VLOOKUP($J6845,'Informations sur les produits'!$A$3:$H$10000,8,FALSE),"0")</f>
        <v>0</v>
      </c>
      <c r="N6845" s="8"/>
      <c r="O6845" s="33" t="str">
        <f>IFERROR(VLOOKUP($M6845,'Informations sur les produits'!$A$3:$H$10000,8,FALSE),"0")</f>
        <v>0</v>
      </c>
      <c r="P6845" s="33">
        <f t="shared" si="424"/>
        <v>0</v>
      </c>
      <c r="Q6845" s="31" t="str">
        <f t="shared" si="425"/>
        <v/>
      </c>
      <c r="R6845" s="32" t="str">
        <f>IFERROR(VLOOKUP($D6845,'Informations sur les produits'!$A$3:$B$15000,2,FALSE),"")</f>
        <v/>
      </c>
      <c r="V6845">
        <f t="shared" si="426"/>
        <v>0</v>
      </c>
      <c r="W6845">
        <f t="shared" si="427"/>
        <v>0</v>
      </c>
    </row>
    <row r="6846" spans="5:23" x14ac:dyDescent="0.25">
      <c r="E6846" s="4"/>
      <c r="F6846" s="4"/>
      <c r="G6846" s="33" t="str">
        <f>IFERROR(VLOOKUP($D6846,'Informations sur les produits'!$A$3:$H$10000,8,FALSE),"0")</f>
        <v>0</v>
      </c>
      <c r="K6846" s="4"/>
      <c r="L6846" s="33" t="str">
        <f>IFERROR(VLOOKUP($J6846,'Informations sur les produits'!$A$3:$H$10000,8,FALSE),"0")</f>
        <v>0</v>
      </c>
      <c r="N6846" s="8"/>
      <c r="O6846" s="33" t="str">
        <f>IFERROR(VLOOKUP($M6846,'Informations sur les produits'!$A$3:$H$10000,8,FALSE),"0")</f>
        <v>0</v>
      </c>
      <c r="P6846" s="33">
        <f t="shared" si="424"/>
        <v>0</v>
      </c>
      <c r="Q6846" s="31" t="str">
        <f t="shared" si="425"/>
        <v/>
      </c>
      <c r="R6846" s="32" t="str">
        <f>IFERROR(VLOOKUP($D6846,'Informations sur les produits'!$A$3:$B$15000,2,FALSE),"")</f>
        <v/>
      </c>
      <c r="V6846">
        <f t="shared" si="426"/>
        <v>0</v>
      </c>
      <c r="W6846">
        <f t="shared" si="427"/>
        <v>0</v>
      </c>
    </row>
    <row r="6847" spans="5:23" x14ac:dyDescent="0.25">
      <c r="E6847" s="4"/>
      <c r="F6847" s="4"/>
      <c r="G6847" s="33" t="str">
        <f>IFERROR(VLOOKUP($D6847,'Informations sur les produits'!$A$3:$H$10000,8,FALSE),"0")</f>
        <v>0</v>
      </c>
      <c r="K6847" s="4"/>
      <c r="L6847" s="33" t="str">
        <f>IFERROR(VLOOKUP($J6847,'Informations sur les produits'!$A$3:$H$10000,8,FALSE),"0")</f>
        <v>0</v>
      </c>
      <c r="N6847" s="8"/>
      <c r="O6847" s="33" t="str">
        <f>IFERROR(VLOOKUP($M6847,'Informations sur les produits'!$A$3:$H$10000,8,FALSE),"0")</f>
        <v>0</v>
      </c>
      <c r="P6847" s="33">
        <f t="shared" si="424"/>
        <v>0</v>
      </c>
      <c r="Q6847" s="31" t="str">
        <f t="shared" si="425"/>
        <v/>
      </c>
      <c r="R6847" s="32" t="str">
        <f>IFERROR(VLOOKUP($D6847,'Informations sur les produits'!$A$3:$B$15000,2,FALSE),"")</f>
        <v/>
      </c>
      <c r="V6847">
        <f t="shared" si="426"/>
        <v>0</v>
      </c>
      <c r="W6847">
        <f t="shared" si="427"/>
        <v>0</v>
      </c>
    </row>
    <row r="6848" spans="5:23" x14ac:dyDescent="0.25">
      <c r="E6848" s="4"/>
      <c r="F6848" s="4"/>
      <c r="G6848" s="33" t="str">
        <f>IFERROR(VLOOKUP($D6848,'Informations sur les produits'!$A$3:$H$10000,8,FALSE),"0")</f>
        <v>0</v>
      </c>
      <c r="K6848" s="4"/>
      <c r="L6848" s="33" t="str">
        <f>IFERROR(VLOOKUP($J6848,'Informations sur les produits'!$A$3:$H$10000,8,FALSE),"0")</f>
        <v>0</v>
      </c>
      <c r="N6848" s="8"/>
      <c r="O6848" s="33" t="str">
        <f>IFERROR(VLOOKUP($M6848,'Informations sur les produits'!$A$3:$H$10000,8,FALSE),"0")</f>
        <v>0</v>
      </c>
      <c r="P6848" s="33">
        <f t="shared" si="424"/>
        <v>0</v>
      </c>
      <c r="Q6848" s="31" t="str">
        <f t="shared" si="425"/>
        <v/>
      </c>
      <c r="R6848" s="32" t="str">
        <f>IFERROR(VLOOKUP($D6848,'Informations sur les produits'!$A$3:$B$15000,2,FALSE),"")</f>
        <v/>
      </c>
      <c r="V6848">
        <f t="shared" si="426"/>
        <v>0</v>
      </c>
      <c r="W6848">
        <f t="shared" si="427"/>
        <v>0</v>
      </c>
    </row>
    <row r="6849" spans="5:23" x14ac:dyDescent="0.25">
      <c r="E6849" s="4"/>
      <c r="F6849" s="4"/>
      <c r="G6849" s="33" t="str">
        <f>IFERROR(VLOOKUP($D6849,'Informations sur les produits'!$A$3:$H$10000,8,FALSE),"0")</f>
        <v>0</v>
      </c>
      <c r="K6849" s="4"/>
      <c r="L6849" s="33" t="str">
        <f>IFERROR(VLOOKUP($J6849,'Informations sur les produits'!$A$3:$H$10000,8,FALSE),"0")</f>
        <v>0</v>
      </c>
      <c r="N6849" s="8"/>
      <c r="O6849" s="33" t="str">
        <f>IFERROR(VLOOKUP($M6849,'Informations sur les produits'!$A$3:$H$10000,8,FALSE),"0")</f>
        <v>0</v>
      </c>
      <c r="P6849" s="33">
        <f t="shared" si="424"/>
        <v>0</v>
      </c>
      <c r="Q6849" s="31" t="str">
        <f t="shared" si="425"/>
        <v/>
      </c>
      <c r="R6849" s="32" t="str">
        <f>IFERROR(VLOOKUP($D6849,'Informations sur les produits'!$A$3:$B$15000,2,FALSE),"")</f>
        <v/>
      </c>
      <c r="V6849">
        <f t="shared" si="426"/>
        <v>0</v>
      </c>
      <c r="W6849">
        <f t="shared" si="427"/>
        <v>0</v>
      </c>
    </row>
    <row r="6850" spans="5:23" x14ac:dyDescent="0.25">
      <c r="E6850" s="4"/>
      <c r="F6850" s="4"/>
      <c r="G6850" s="33" t="str">
        <f>IFERROR(VLOOKUP($D6850,'Informations sur les produits'!$A$3:$H$10000,8,FALSE),"0")</f>
        <v>0</v>
      </c>
      <c r="K6850" s="4"/>
      <c r="L6850" s="33" t="str">
        <f>IFERROR(VLOOKUP($J6850,'Informations sur les produits'!$A$3:$H$10000,8,FALSE),"0")</f>
        <v>0</v>
      </c>
      <c r="N6850" s="8"/>
      <c r="O6850" s="33" t="str">
        <f>IFERROR(VLOOKUP($M6850,'Informations sur les produits'!$A$3:$H$10000,8,FALSE),"0")</f>
        <v>0</v>
      </c>
      <c r="P6850" s="33">
        <f t="shared" si="424"/>
        <v>0</v>
      </c>
      <c r="Q6850" s="31" t="str">
        <f t="shared" si="425"/>
        <v/>
      </c>
      <c r="R6850" s="32" t="str">
        <f>IFERROR(VLOOKUP($D6850,'Informations sur les produits'!$A$3:$B$15000,2,FALSE),"")</f>
        <v/>
      </c>
      <c r="V6850">
        <f t="shared" si="426"/>
        <v>0</v>
      </c>
      <c r="W6850">
        <f t="shared" si="427"/>
        <v>0</v>
      </c>
    </row>
    <row r="6851" spans="5:23" x14ac:dyDescent="0.25">
      <c r="E6851" s="4"/>
      <c r="F6851" s="4"/>
      <c r="G6851" s="33" t="str">
        <f>IFERROR(VLOOKUP($D6851,'Informations sur les produits'!$A$3:$H$10000,8,FALSE),"0")</f>
        <v>0</v>
      </c>
      <c r="K6851" s="4"/>
      <c r="L6851" s="33" t="str">
        <f>IFERROR(VLOOKUP($J6851,'Informations sur les produits'!$A$3:$H$10000,8,FALSE),"0")</f>
        <v>0</v>
      </c>
      <c r="N6851" s="8"/>
      <c r="O6851" s="33" t="str">
        <f>IFERROR(VLOOKUP($M6851,'Informations sur les produits'!$A$3:$H$10000,8,FALSE),"0")</f>
        <v>0</v>
      </c>
      <c r="P6851" s="33">
        <f t="shared" si="424"/>
        <v>0</v>
      </c>
      <c r="Q6851" s="31" t="str">
        <f t="shared" si="425"/>
        <v/>
      </c>
      <c r="R6851" s="32" t="str">
        <f>IFERROR(VLOOKUP($D6851,'Informations sur les produits'!$A$3:$B$15000,2,FALSE),"")</f>
        <v/>
      </c>
      <c r="V6851">
        <f t="shared" si="426"/>
        <v>0</v>
      </c>
      <c r="W6851">
        <f t="shared" si="427"/>
        <v>0</v>
      </c>
    </row>
    <row r="6852" spans="5:23" x14ac:dyDescent="0.25">
      <c r="E6852" s="4"/>
      <c r="F6852" s="4"/>
      <c r="G6852" s="33" t="str">
        <f>IFERROR(VLOOKUP($D6852,'Informations sur les produits'!$A$3:$H$10000,8,FALSE),"0")</f>
        <v>0</v>
      </c>
      <c r="K6852" s="4"/>
      <c r="L6852" s="33" t="str">
        <f>IFERROR(VLOOKUP($J6852,'Informations sur les produits'!$A$3:$H$10000,8,FALSE),"0")</f>
        <v>0</v>
      </c>
      <c r="N6852" s="8"/>
      <c r="O6852" s="33" t="str">
        <f>IFERROR(VLOOKUP($M6852,'Informations sur les produits'!$A$3:$H$10000,8,FALSE),"0")</f>
        <v>0</v>
      </c>
      <c r="P6852" s="33">
        <f t="shared" ref="P6852:P6915" si="428">IFERROR((($E6852-$F6852)*$G6852+$K6852*$L6852+$N6852*$O6852),"")</f>
        <v>0</v>
      </c>
      <c r="Q6852" s="31" t="str">
        <f t="shared" ref="Q6852:Q6915" si="429">IFERROR((((($E6852-$F6852)*$G6852+$K6852*$L6852+$N6852*$O6852)*1000)/(($E6852-$F6852)+$K6852+$N6852)),"")</f>
        <v/>
      </c>
      <c r="R6852" s="32" t="str">
        <f>IFERROR(VLOOKUP($D6852,'Informations sur les produits'!$A$3:$B$15000,2,FALSE),"")</f>
        <v/>
      </c>
      <c r="V6852">
        <f t="shared" ref="V6852:V6915" si="430">IFERROR(P6852*1000,"")</f>
        <v>0</v>
      </c>
      <c r="W6852">
        <f t="shared" ref="W6852:W6915" si="431">IFERROR(($E6852-$F6852)+$K6852+$N6852,"")</f>
        <v>0</v>
      </c>
    </row>
    <row r="6853" spans="5:23" x14ac:dyDescent="0.25">
      <c r="E6853" s="4"/>
      <c r="F6853" s="4"/>
      <c r="G6853" s="33" t="str">
        <f>IFERROR(VLOOKUP($D6853,'Informations sur les produits'!$A$3:$H$10000,8,FALSE),"0")</f>
        <v>0</v>
      </c>
      <c r="K6853" s="4"/>
      <c r="L6853" s="33" t="str">
        <f>IFERROR(VLOOKUP($J6853,'Informations sur les produits'!$A$3:$H$10000,8,FALSE),"0")</f>
        <v>0</v>
      </c>
      <c r="N6853" s="8"/>
      <c r="O6853" s="33" t="str">
        <f>IFERROR(VLOOKUP($M6853,'Informations sur les produits'!$A$3:$H$10000,8,FALSE),"0")</f>
        <v>0</v>
      </c>
      <c r="P6853" s="33">
        <f t="shared" si="428"/>
        <v>0</v>
      </c>
      <c r="Q6853" s="31" t="str">
        <f t="shared" si="429"/>
        <v/>
      </c>
      <c r="R6853" s="32" t="str">
        <f>IFERROR(VLOOKUP($D6853,'Informations sur les produits'!$A$3:$B$15000,2,FALSE),"")</f>
        <v/>
      </c>
      <c r="V6853">
        <f t="shared" si="430"/>
        <v>0</v>
      </c>
      <c r="W6853">
        <f t="shared" si="431"/>
        <v>0</v>
      </c>
    </row>
    <row r="6854" spans="5:23" x14ac:dyDescent="0.25">
      <c r="E6854" s="4"/>
      <c r="F6854" s="4"/>
      <c r="G6854" s="33" t="str">
        <f>IFERROR(VLOOKUP($D6854,'Informations sur les produits'!$A$3:$H$10000,8,FALSE),"0")</f>
        <v>0</v>
      </c>
      <c r="K6854" s="4"/>
      <c r="L6854" s="33" t="str">
        <f>IFERROR(VLOOKUP($J6854,'Informations sur les produits'!$A$3:$H$10000,8,FALSE),"0")</f>
        <v>0</v>
      </c>
      <c r="N6854" s="8"/>
      <c r="O6854" s="33" t="str">
        <f>IFERROR(VLOOKUP($M6854,'Informations sur les produits'!$A$3:$H$10000,8,FALSE),"0")</f>
        <v>0</v>
      </c>
      <c r="P6854" s="33">
        <f t="shared" si="428"/>
        <v>0</v>
      </c>
      <c r="Q6854" s="31" t="str">
        <f t="shared" si="429"/>
        <v/>
      </c>
      <c r="R6854" s="32" t="str">
        <f>IFERROR(VLOOKUP($D6854,'Informations sur les produits'!$A$3:$B$15000,2,FALSE),"")</f>
        <v/>
      </c>
      <c r="V6854">
        <f t="shared" si="430"/>
        <v>0</v>
      </c>
      <c r="W6854">
        <f t="shared" si="431"/>
        <v>0</v>
      </c>
    </row>
    <row r="6855" spans="5:23" x14ac:dyDescent="0.25">
      <c r="E6855" s="4"/>
      <c r="F6855" s="4"/>
      <c r="G6855" s="33" t="str">
        <f>IFERROR(VLOOKUP($D6855,'Informations sur les produits'!$A$3:$H$10000,8,FALSE),"0")</f>
        <v>0</v>
      </c>
      <c r="K6855" s="4"/>
      <c r="L6855" s="33" t="str">
        <f>IFERROR(VLOOKUP($J6855,'Informations sur les produits'!$A$3:$H$10000,8,FALSE),"0")</f>
        <v>0</v>
      </c>
      <c r="N6855" s="8"/>
      <c r="O6855" s="33" t="str">
        <f>IFERROR(VLOOKUP($M6855,'Informations sur les produits'!$A$3:$H$10000,8,FALSE),"0")</f>
        <v>0</v>
      </c>
      <c r="P6855" s="33">
        <f t="shared" si="428"/>
        <v>0</v>
      </c>
      <c r="Q6855" s="31" t="str">
        <f t="shared" si="429"/>
        <v/>
      </c>
      <c r="R6855" s="32" t="str">
        <f>IFERROR(VLOOKUP($D6855,'Informations sur les produits'!$A$3:$B$15000,2,FALSE),"")</f>
        <v/>
      </c>
      <c r="V6855">
        <f t="shared" si="430"/>
        <v>0</v>
      </c>
      <c r="W6855">
        <f t="shared" si="431"/>
        <v>0</v>
      </c>
    </row>
    <row r="6856" spans="5:23" x14ac:dyDescent="0.25">
      <c r="E6856" s="4"/>
      <c r="F6856" s="4"/>
      <c r="G6856" s="33" t="str">
        <f>IFERROR(VLOOKUP($D6856,'Informations sur les produits'!$A$3:$H$10000,8,FALSE),"0")</f>
        <v>0</v>
      </c>
      <c r="K6856" s="4"/>
      <c r="L6856" s="33" t="str">
        <f>IFERROR(VLOOKUP($J6856,'Informations sur les produits'!$A$3:$H$10000,8,FALSE),"0")</f>
        <v>0</v>
      </c>
      <c r="N6856" s="8"/>
      <c r="O6856" s="33" t="str">
        <f>IFERROR(VLOOKUP($M6856,'Informations sur les produits'!$A$3:$H$10000,8,FALSE),"0")</f>
        <v>0</v>
      </c>
      <c r="P6856" s="33">
        <f t="shared" si="428"/>
        <v>0</v>
      </c>
      <c r="Q6856" s="31" t="str">
        <f t="shared" si="429"/>
        <v/>
      </c>
      <c r="R6856" s="32" t="str">
        <f>IFERROR(VLOOKUP($D6856,'Informations sur les produits'!$A$3:$B$15000,2,FALSE),"")</f>
        <v/>
      </c>
      <c r="V6856">
        <f t="shared" si="430"/>
        <v>0</v>
      </c>
      <c r="W6856">
        <f t="shared" si="431"/>
        <v>0</v>
      </c>
    </row>
    <row r="6857" spans="5:23" x14ac:dyDescent="0.25">
      <c r="E6857" s="4"/>
      <c r="F6857" s="4"/>
      <c r="G6857" s="33" t="str">
        <f>IFERROR(VLOOKUP($D6857,'Informations sur les produits'!$A$3:$H$10000,8,FALSE),"0")</f>
        <v>0</v>
      </c>
      <c r="K6857" s="4"/>
      <c r="L6857" s="33" t="str">
        <f>IFERROR(VLOOKUP($J6857,'Informations sur les produits'!$A$3:$H$10000,8,FALSE),"0")</f>
        <v>0</v>
      </c>
      <c r="N6857" s="8"/>
      <c r="O6857" s="33" t="str">
        <f>IFERROR(VLOOKUP($M6857,'Informations sur les produits'!$A$3:$H$10000,8,FALSE),"0")</f>
        <v>0</v>
      </c>
      <c r="P6857" s="33">
        <f t="shared" si="428"/>
        <v>0</v>
      </c>
      <c r="Q6857" s="31" t="str">
        <f t="shared" si="429"/>
        <v/>
      </c>
      <c r="R6857" s="32" t="str">
        <f>IFERROR(VLOOKUP($D6857,'Informations sur les produits'!$A$3:$B$15000,2,FALSE),"")</f>
        <v/>
      </c>
      <c r="V6857">
        <f t="shared" si="430"/>
        <v>0</v>
      </c>
      <c r="W6857">
        <f t="shared" si="431"/>
        <v>0</v>
      </c>
    </row>
    <row r="6858" spans="5:23" x14ac:dyDescent="0.25">
      <c r="E6858" s="4"/>
      <c r="F6858" s="4"/>
      <c r="G6858" s="33" t="str">
        <f>IFERROR(VLOOKUP($D6858,'Informations sur les produits'!$A$3:$H$10000,8,FALSE),"0")</f>
        <v>0</v>
      </c>
      <c r="K6858" s="4"/>
      <c r="L6858" s="33" t="str">
        <f>IFERROR(VLOOKUP($J6858,'Informations sur les produits'!$A$3:$H$10000,8,FALSE),"0")</f>
        <v>0</v>
      </c>
      <c r="N6858" s="8"/>
      <c r="O6858" s="33" t="str">
        <f>IFERROR(VLOOKUP($M6858,'Informations sur les produits'!$A$3:$H$10000,8,FALSE),"0")</f>
        <v>0</v>
      </c>
      <c r="P6858" s="33">
        <f t="shared" si="428"/>
        <v>0</v>
      </c>
      <c r="Q6858" s="31" t="str">
        <f t="shared" si="429"/>
        <v/>
      </c>
      <c r="R6858" s="32" t="str">
        <f>IFERROR(VLOOKUP($D6858,'Informations sur les produits'!$A$3:$B$15000,2,FALSE),"")</f>
        <v/>
      </c>
      <c r="V6858">
        <f t="shared" si="430"/>
        <v>0</v>
      </c>
      <c r="W6858">
        <f t="shared" si="431"/>
        <v>0</v>
      </c>
    </row>
    <row r="6859" spans="5:23" x14ac:dyDescent="0.25">
      <c r="E6859" s="4"/>
      <c r="F6859" s="4"/>
      <c r="G6859" s="33" t="str">
        <f>IFERROR(VLOOKUP($D6859,'Informations sur les produits'!$A$3:$H$10000,8,FALSE),"0")</f>
        <v>0</v>
      </c>
      <c r="K6859" s="4"/>
      <c r="L6859" s="33" t="str">
        <f>IFERROR(VLOOKUP($J6859,'Informations sur les produits'!$A$3:$H$10000,8,FALSE),"0")</f>
        <v>0</v>
      </c>
      <c r="N6859" s="8"/>
      <c r="O6859" s="33" t="str">
        <f>IFERROR(VLOOKUP($M6859,'Informations sur les produits'!$A$3:$H$10000,8,FALSE),"0")</f>
        <v>0</v>
      </c>
      <c r="P6859" s="33">
        <f t="shared" si="428"/>
        <v>0</v>
      </c>
      <c r="Q6859" s="31" t="str">
        <f t="shared" si="429"/>
        <v/>
      </c>
      <c r="R6859" s="32" t="str">
        <f>IFERROR(VLOOKUP($D6859,'Informations sur les produits'!$A$3:$B$15000,2,FALSE),"")</f>
        <v/>
      </c>
      <c r="V6859">
        <f t="shared" si="430"/>
        <v>0</v>
      </c>
      <c r="W6859">
        <f t="shared" si="431"/>
        <v>0</v>
      </c>
    </row>
    <row r="6860" spans="5:23" x14ac:dyDescent="0.25">
      <c r="E6860" s="4"/>
      <c r="F6860" s="4"/>
      <c r="G6860" s="33" t="str">
        <f>IFERROR(VLOOKUP($D6860,'Informations sur les produits'!$A$3:$H$10000,8,FALSE),"0")</f>
        <v>0</v>
      </c>
      <c r="K6860" s="4"/>
      <c r="L6860" s="33" t="str">
        <f>IFERROR(VLOOKUP($J6860,'Informations sur les produits'!$A$3:$H$10000,8,FALSE),"0")</f>
        <v>0</v>
      </c>
      <c r="N6860" s="8"/>
      <c r="O6860" s="33" t="str">
        <f>IFERROR(VLOOKUP($M6860,'Informations sur les produits'!$A$3:$H$10000,8,FALSE),"0")</f>
        <v>0</v>
      </c>
      <c r="P6860" s="33">
        <f t="shared" si="428"/>
        <v>0</v>
      </c>
      <c r="Q6860" s="31" t="str">
        <f t="shared" si="429"/>
        <v/>
      </c>
      <c r="R6860" s="32" t="str">
        <f>IFERROR(VLOOKUP($D6860,'Informations sur les produits'!$A$3:$B$15000,2,FALSE),"")</f>
        <v/>
      </c>
      <c r="V6860">
        <f t="shared" si="430"/>
        <v>0</v>
      </c>
      <c r="W6860">
        <f t="shared" si="431"/>
        <v>0</v>
      </c>
    </row>
    <row r="6861" spans="5:23" x14ac:dyDescent="0.25">
      <c r="E6861" s="4"/>
      <c r="F6861" s="4"/>
      <c r="G6861" s="33" t="str">
        <f>IFERROR(VLOOKUP($D6861,'Informations sur les produits'!$A$3:$H$10000,8,FALSE),"0")</f>
        <v>0</v>
      </c>
      <c r="K6861" s="4"/>
      <c r="L6861" s="33" t="str">
        <f>IFERROR(VLOOKUP($J6861,'Informations sur les produits'!$A$3:$H$10000,8,FALSE),"0")</f>
        <v>0</v>
      </c>
      <c r="N6861" s="8"/>
      <c r="O6861" s="33" t="str">
        <f>IFERROR(VLOOKUP($M6861,'Informations sur les produits'!$A$3:$H$10000,8,FALSE),"0")</f>
        <v>0</v>
      </c>
      <c r="P6861" s="33">
        <f t="shared" si="428"/>
        <v>0</v>
      </c>
      <c r="Q6861" s="31" t="str">
        <f t="shared" si="429"/>
        <v/>
      </c>
      <c r="R6861" s="32" t="str">
        <f>IFERROR(VLOOKUP($D6861,'Informations sur les produits'!$A$3:$B$15000,2,FALSE),"")</f>
        <v/>
      </c>
      <c r="V6861">
        <f t="shared" si="430"/>
        <v>0</v>
      </c>
      <c r="W6861">
        <f t="shared" si="431"/>
        <v>0</v>
      </c>
    </row>
    <row r="6862" spans="5:23" x14ac:dyDescent="0.25">
      <c r="E6862" s="4"/>
      <c r="F6862" s="4"/>
      <c r="G6862" s="33" t="str">
        <f>IFERROR(VLOOKUP($D6862,'Informations sur les produits'!$A$3:$H$10000,8,FALSE),"0")</f>
        <v>0</v>
      </c>
      <c r="K6862" s="4"/>
      <c r="L6862" s="33" t="str">
        <f>IFERROR(VLOOKUP($J6862,'Informations sur les produits'!$A$3:$H$10000,8,FALSE),"0")</f>
        <v>0</v>
      </c>
      <c r="N6862" s="8"/>
      <c r="O6862" s="33" t="str">
        <f>IFERROR(VLOOKUP($M6862,'Informations sur les produits'!$A$3:$H$10000,8,FALSE),"0")</f>
        <v>0</v>
      </c>
      <c r="P6862" s="33">
        <f t="shared" si="428"/>
        <v>0</v>
      </c>
      <c r="Q6862" s="31" t="str">
        <f t="shared" si="429"/>
        <v/>
      </c>
      <c r="R6862" s="32" t="str">
        <f>IFERROR(VLOOKUP($D6862,'Informations sur les produits'!$A$3:$B$15000,2,FALSE),"")</f>
        <v/>
      </c>
      <c r="V6862">
        <f t="shared" si="430"/>
        <v>0</v>
      </c>
      <c r="W6862">
        <f t="shared" si="431"/>
        <v>0</v>
      </c>
    </row>
    <row r="6863" spans="5:23" x14ac:dyDescent="0.25">
      <c r="E6863" s="4"/>
      <c r="F6863" s="4"/>
      <c r="G6863" s="33" t="str">
        <f>IFERROR(VLOOKUP($D6863,'Informations sur les produits'!$A$3:$H$10000,8,FALSE),"0")</f>
        <v>0</v>
      </c>
      <c r="K6863" s="4"/>
      <c r="L6863" s="33" t="str">
        <f>IFERROR(VLOOKUP($J6863,'Informations sur les produits'!$A$3:$H$10000,8,FALSE),"0")</f>
        <v>0</v>
      </c>
      <c r="N6863" s="8"/>
      <c r="O6863" s="33" t="str">
        <f>IFERROR(VLOOKUP($M6863,'Informations sur les produits'!$A$3:$H$10000,8,FALSE),"0")</f>
        <v>0</v>
      </c>
      <c r="P6863" s="33">
        <f t="shared" si="428"/>
        <v>0</v>
      </c>
      <c r="Q6863" s="31" t="str">
        <f t="shared" si="429"/>
        <v/>
      </c>
      <c r="R6863" s="32" t="str">
        <f>IFERROR(VLOOKUP($D6863,'Informations sur les produits'!$A$3:$B$15000,2,FALSE),"")</f>
        <v/>
      </c>
      <c r="V6863">
        <f t="shared" si="430"/>
        <v>0</v>
      </c>
      <c r="W6863">
        <f t="shared" si="431"/>
        <v>0</v>
      </c>
    </row>
    <row r="6864" spans="5:23" x14ac:dyDescent="0.25">
      <c r="E6864" s="4"/>
      <c r="F6864" s="4"/>
      <c r="G6864" s="33" t="str">
        <f>IFERROR(VLOOKUP($D6864,'Informations sur les produits'!$A$3:$H$10000,8,FALSE),"0")</f>
        <v>0</v>
      </c>
      <c r="K6864" s="4"/>
      <c r="L6864" s="33" t="str">
        <f>IFERROR(VLOOKUP($J6864,'Informations sur les produits'!$A$3:$H$10000,8,FALSE),"0")</f>
        <v>0</v>
      </c>
      <c r="N6864" s="8"/>
      <c r="O6864" s="33" t="str">
        <f>IFERROR(VLOOKUP($M6864,'Informations sur les produits'!$A$3:$H$10000,8,FALSE),"0")</f>
        <v>0</v>
      </c>
      <c r="P6864" s="33">
        <f t="shared" si="428"/>
        <v>0</v>
      </c>
      <c r="Q6864" s="31" t="str">
        <f t="shared" si="429"/>
        <v/>
      </c>
      <c r="R6864" s="32" t="str">
        <f>IFERROR(VLOOKUP($D6864,'Informations sur les produits'!$A$3:$B$15000,2,FALSE),"")</f>
        <v/>
      </c>
      <c r="V6864">
        <f t="shared" si="430"/>
        <v>0</v>
      </c>
      <c r="W6864">
        <f t="shared" si="431"/>
        <v>0</v>
      </c>
    </row>
    <row r="6865" spans="5:23" x14ac:dyDescent="0.25">
      <c r="E6865" s="4"/>
      <c r="F6865" s="4"/>
      <c r="G6865" s="33" t="str">
        <f>IFERROR(VLOOKUP($D6865,'Informations sur les produits'!$A$3:$H$10000,8,FALSE),"0")</f>
        <v>0</v>
      </c>
      <c r="K6865" s="4"/>
      <c r="L6865" s="33" t="str">
        <f>IFERROR(VLOOKUP($J6865,'Informations sur les produits'!$A$3:$H$10000,8,FALSE),"0")</f>
        <v>0</v>
      </c>
      <c r="N6865" s="8"/>
      <c r="O6865" s="33" t="str">
        <f>IFERROR(VLOOKUP($M6865,'Informations sur les produits'!$A$3:$H$10000,8,FALSE),"0")</f>
        <v>0</v>
      </c>
      <c r="P6865" s="33">
        <f t="shared" si="428"/>
        <v>0</v>
      </c>
      <c r="Q6865" s="31" t="str">
        <f t="shared" si="429"/>
        <v/>
      </c>
      <c r="R6865" s="32" t="str">
        <f>IFERROR(VLOOKUP($D6865,'Informations sur les produits'!$A$3:$B$15000,2,FALSE),"")</f>
        <v/>
      </c>
      <c r="V6865">
        <f t="shared" si="430"/>
        <v>0</v>
      </c>
      <c r="W6865">
        <f t="shared" si="431"/>
        <v>0</v>
      </c>
    </row>
    <row r="6866" spans="5:23" x14ac:dyDescent="0.25">
      <c r="E6866" s="4"/>
      <c r="F6866" s="4"/>
      <c r="G6866" s="33" t="str">
        <f>IFERROR(VLOOKUP($D6866,'Informations sur les produits'!$A$3:$H$10000,8,FALSE),"0")</f>
        <v>0</v>
      </c>
      <c r="K6866" s="4"/>
      <c r="L6866" s="33" t="str">
        <f>IFERROR(VLOOKUP($J6866,'Informations sur les produits'!$A$3:$H$10000,8,FALSE),"0")</f>
        <v>0</v>
      </c>
      <c r="N6866" s="8"/>
      <c r="O6866" s="33" t="str">
        <f>IFERROR(VLOOKUP($M6866,'Informations sur les produits'!$A$3:$H$10000,8,FALSE),"0")</f>
        <v>0</v>
      </c>
      <c r="P6866" s="33">
        <f t="shared" si="428"/>
        <v>0</v>
      </c>
      <c r="Q6866" s="31" t="str">
        <f t="shared" si="429"/>
        <v/>
      </c>
      <c r="R6866" s="32" t="str">
        <f>IFERROR(VLOOKUP($D6866,'Informations sur les produits'!$A$3:$B$15000,2,FALSE),"")</f>
        <v/>
      </c>
      <c r="V6866">
        <f t="shared" si="430"/>
        <v>0</v>
      </c>
      <c r="W6866">
        <f t="shared" si="431"/>
        <v>0</v>
      </c>
    </row>
    <row r="6867" spans="5:23" x14ac:dyDescent="0.25">
      <c r="E6867" s="4"/>
      <c r="F6867" s="4"/>
      <c r="G6867" s="33" t="str">
        <f>IFERROR(VLOOKUP($D6867,'Informations sur les produits'!$A$3:$H$10000,8,FALSE),"0")</f>
        <v>0</v>
      </c>
      <c r="K6867" s="4"/>
      <c r="L6867" s="33" t="str">
        <f>IFERROR(VLOOKUP($J6867,'Informations sur les produits'!$A$3:$H$10000,8,FALSE),"0")</f>
        <v>0</v>
      </c>
      <c r="N6867" s="8"/>
      <c r="O6867" s="33" t="str">
        <f>IFERROR(VLOOKUP($M6867,'Informations sur les produits'!$A$3:$H$10000,8,FALSE),"0")</f>
        <v>0</v>
      </c>
      <c r="P6867" s="33">
        <f t="shared" si="428"/>
        <v>0</v>
      </c>
      <c r="Q6867" s="31" t="str">
        <f t="shared" si="429"/>
        <v/>
      </c>
      <c r="R6867" s="32" t="str">
        <f>IFERROR(VLOOKUP($D6867,'Informations sur les produits'!$A$3:$B$15000,2,FALSE),"")</f>
        <v/>
      </c>
      <c r="V6867">
        <f t="shared" si="430"/>
        <v>0</v>
      </c>
      <c r="W6867">
        <f t="shared" si="431"/>
        <v>0</v>
      </c>
    </row>
    <row r="6868" spans="5:23" x14ac:dyDescent="0.25">
      <c r="E6868" s="4"/>
      <c r="F6868" s="4"/>
      <c r="G6868" s="33" t="str">
        <f>IFERROR(VLOOKUP($D6868,'Informations sur les produits'!$A$3:$H$10000,8,FALSE),"0")</f>
        <v>0</v>
      </c>
      <c r="K6868" s="4"/>
      <c r="L6868" s="33" t="str">
        <f>IFERROR(VLOOKUP($J6868,'Informations sur les produits'!$A$3:$H$10000,8,FALSE),"0")</f>
        <v>0</v>
      </c>
      <c r="N6868" s="8"/>
      <c r="O6868" s="33" t="str">
        <f>IFERROR(VLOOKUP($M6868,'Informations sur les produits'!$A$3:$H$10000,8,FALSE),"0")</f>
        <v>0</v>
      </c>
      <c r="P6868" s="33">
        <f t="shared" si="428"/>
        <v>0</v>
      </c>
      <c r="Q6868" s="31" t="str">
        <f t="shared" si="429"/>
        <v/>
      </c>
      <c r="R6868" s="32" t="str">
        <f>IFERROR(VLOOKUP($D6868,'Informations sur les produits'!$A$3:$B$15000,2,FALSE),"")</f>
        <v/>
      </c>
      <c r="V6868">
        <f t="shared" si="430"/>
        <v>0</v>
      </c>
      <c r="W6868">
        <f t="shared" si="431"/>
        <v>0</v>
      </c>
    </row>
    <row r="6869" spans="5:23" x14ac:dyDescent="0.25">
      <c r="E6869" s="4"/>
      <c r="F6869" s="4"/>
      <c r="G6869" s="33" t="str">
        <f>IFERROR(VLOOKUP($D6869,'Informations sur les produits'!$A$3:$H$10000,8,FALSE),"0")</f>
        <v>0</v>
      </c>
      <c r="K6869" s="4"/>
      <c r="L6869" s="33" t="str">
        <f>IFERROR(VLOOKUP($J6869,'Informations sur les produits'!$A$3:$H$10000,8,FALSE),"0")</f>
        <v>0</v>
      </c>
      <c r="N6869" s="8"/>
      <c r="O6869" s="33" t="str">
        <f>IFERROR(VLOOKUP($M6869,'Informations sur les produits'!$A$3:$H$10000,8,FALSE),"0")</f>
        <v>0</v>
      </c>
      <c r="P6869" s="33">
        <f t="shared" si="428"/>
        <v>0</v>
      </c>
      <c r="Q6869" s="31" t="str">
        <f t="shared" si="429"/>
        <v/>
      </c>
      <c r="R6869" s="32" t="str">
        <f>IFERROR(VLOOKUP($D6869,'Informations sur les produits'!$A$3:$B$15000,2,FALSE),"")</f>
        <v/>
      </c>
      <c r="V6869">
        <f t="shared" si="430"/>
        <v>0</v>
      </c>
      <c r="W6869">
        <f t="shared" si="431"/>
        <v>0</v>
      </c>
    </row>
    <row r="6870" spans="5:23" x14ac:dyDescent="0.25">
      <c r="E6870" s="4"/>
      <c r="F6870" s="4"/>
      <c r="G6870" s="33" t="str">
        <f>IFERROR(VLOOKUP($D6870,'Informations sur les produits'!$A$3:$H$10000,8,FALSE),"0")</f>
        <v>0</v>
      </c>
      <c r="K6870" s="4"/>
      <c r="L6870" s="33" t="str">
        <f>IFERROR(VLOOKUP($J6870,'Informations sur les produits'!$A$3:$H$10000,8,FALSE),"0")</f>
        <v>0</v>
      </c>
      <c r="N6870" s="8"/>
      <c r="O6870" s="33" t="str">
        <f>IFERROR(VLOOKUP($M6870,'Informations sur les produits'!$A$3:$H$10000,8,FALSE),"0")</f>
        <v>0</v>
      </c>
      <c r="P6870" s="33">
        <f t="shared" si="428"/>
        <v>0</v>
      </c>
      <c r="Q6870" s="31" t="str">
        <f t="shared" si="429"/>
        <v/>
      </c>
      <c r="R6870" s="32" t="str">
        <f>IFERROR(VLOOKUP($D6870,'Informations sur les produits'!$A$3:$B$15000,2,FALSE),"")</f>
        <v/>
      </c>
      <c r="V6870">
        <f t="shared" si="430"/>
        <v>0</v>
      </c>
      <c r="W6870">
        <f t="shared" si="431"/>
        <v>0</v>
      </c>
    </row>
    <row r="6871" spans="5:23" x14ac:dyDescent="0.25">
      <c r="E6871" s="4"/>
      <c r="F6871" s="4"/>
      <c r="G6871" s="33" t="str">
        <f>IFERROR(VLOOKUP($D6871,'Informations sur les produits'!$A$3:$H$10000,8,FALSE),"0")</f>
        <v>0</v>
      </c>
      <c r="K6871" s="4"/>
      <c r="L6871" s="33" t="str">
        <f>IFERROR(VLOOKUP($J6871,'Informations sur les produits'!$A$3:$H$10000,8,FALSE),"0")</f>
        <v>0</v>
      </c>
      <c r="N6871" s="8"/>
      <c r="O6871" s="33" t="str">
        <f>IFERROR(VLOOKUP($M6871,'Informations sur les produits'!$A$3:$H$10000,8,FALSE),"0")</f>
        <v>0</v>
      </c>
      <c r="P6871" s="33">
        <f t="shared" si="428"/>
        <v>0</v>
      </c>
      <c r="Q6871" s="31" t="str">
        <f t="shared" si="429"/>
        <v/>
      </c>
      <c r="R6871" s="32" t="str">
        <f>IFERROR(VLOOKUP($D6871,'Informations sur les produits'!$A$3:$B$15000,2,FALSE),"")</f>
        <v/>
      </c>
      <c r="V6871">
        <f t="shared" si="430"/>
        <v>0</v>
      </c>
      <c r="W6871">
        <f t="shared" si="431"/>
        <v>0</v>
      </c>
    </row>
    <row r="6872" spans="5:23" x14ac:dyDescent="0.25">
      <c r="E6872" s="4"/>
      <c r="F6872" s="4"/>
      <c r="G6872" s="33" t="str">
        <f>IFERROR(VLOOKUP($D6872,'Informations sur les produits'!$A$3:$H$10000,8,FALSE),"0")</f>
        <v>0</v>
      </c>
      <c r="K6872" s="4"/>
      <c r="L6872" s="33" t="str">
        <f>IFERROR(VLOOKUP($J6872,'Informations sur les produits'!$A$3:$H$10000,8,FALSE),"0")</f>
        <v>0</v>
      </c>
      <c r="N6872" s="8"/>
      <c r="O6872" s="33" t="str">
        <f>IFERROR(VLOOKUP($M6872,'Informations sur les produits'!$A$3:$H$10000,8,FALSE),"0")</f>
        <v>0</v>
      </c>
      <c r="P6872" s="33">
        <f t="shared" si="428"/>
        <v>0</v>
      </c>
      <c r="Q6872" s="31" t="str">
        <f t="shared" si="429"/>
        <v/>
      </c>
      <c r="R6872" s="32" t="str">
        <f>IFERROR(VLOOKUP($D6872,'Informations sur les produits'!$A$3:$B$15000,2,FALSE),"")</f>
        <v/>
      </c>
      <c r="V6872">
        <f t="shared" si="430"/>
        <v>0</v>
      </c>
      <c r="W6872">
        <f t="shared" si="431"/>
        <v>0</v>
      </c>
    </row>
    <row r="6873" spans="5:23" x14ac:dyDescent="0.25">
      <c r="E6873" s="4"/>
      <c r="F6873" s="4"/>
      <c r="G6873" s="33" t="str">
        <f>IFERROR(VLOOKUP($D6873,'Informations sur les produits'!$A$3:$H$10000,8,FALSE),"0")</f>
        <v>0</v>
      </c>
      <c r="K6873" s="4"/>
      <c r="L6873" s="33" t="str">
        <f>IFERROR(VLOOKUP($J6873,'Informations sur les produits'!$A$3:$H$10000,8,FALSE),"0")</f>
        <v>0</v>
      </c>
      <c r="N6873" s="8"/>
      <c r="O6873" s="33" t="str">
        <f>IFERROR(VLOOKUP($M6873,'Informations sur les produits'!$A$3:$H$10000,8,FALSE),"0")</f>
        <v>0</v>
      </c>
      <c r="P6873" s="33">
        <f t="shared" si="428"/>
        <v>0</v>
      </c>
      <c r="Q6873" s="31" t="str">
        <f t="shared" si="429"/>
        <v/>
      </c>
      <c r="R6873" s="32" t="str">
        <f>IFERROR(VLOOKUP($D6873,'Informations sur les produits'!$A$3:$B$15000,2,FALSE),"")</f>
        <v/>
      </c>
      <c r="V6873">
        <f t="shared" si="430"/>
        <v>0</v>
      </c>
      <c r="W6873">
        <f t="shared" si="431"/>
        <v>0</v>
      </c>
    </row>
    <row r="6874" spans="5:23" x14ac:dyDescent="0.25">
      <c r="E6874" s="4"/>
      <c r="F6874" s="4"/>
      <c r="G6874" s="33" t="str">
        <f>IFERROR(VLOOKUP($D6874,'Informations sur les produits'!$A$3:$H$10000,8,FALSE),"0")</f>
        <v>0</v>
      </c>
      <c r="K6874" s="4"/>
      <c r="L6874" s="33" t="str">
        <f>IFERROR(VLOOKUP($J6874,'Informations sur les produits'!$A$3:$H$10000,8,FALSE),"0")</f>
        <v>0</v>
      </c>
      <c r="N6874" s="8"/>
      <c r="O6874" s="33" t="str">
        <f>IFERROR(VLOOKUP($M6874,'Informations sur les produits'!$A$3:$H$10000,8,FALSE),"0")</f>
        <v>0</v>
      </c>
      <c r="P6874" s="33">
        <f t="shared" si="428"/>
        <v>0</v>
      </c>
      <c r="Q6874" s="31" t="str">
        <f t="shared" si="429"/>
        <v/>
      </c>
      <c r="R6874" s="32" t="str">
        <f>IFERROR(VLOOKUP($D6874,'Informations sur les produits'!$A$3:$B$15000,2,FALSE),"")</f>
        <v/>
      </c>
      <c r="V6874">
        <f t="shared" si="430"/>
        <v>0</v>
      </c>
      <c r="W6874">
        <f t="shared" si="431"/>
        <v>0</v>
      </c>
    </row>
    <row r="6875" spans="5:23" x14ac:dyDescent="0.25">
      <c r="E6875" s="4"/>
      <c r="F6875" s="4"/>
      <c r="G6875" s="33" t="str">
        <f>IFERROR(VLOOKUP($D6875,'Informations sur les produits'!$A$3:$H$10000,8,FALSE),"0")</f>
        <v>0</v>
      </c>
      <c r="K6875" s="4"/>
      <c r="L6875" s="33" t="str">
        <f>IFERROR(VLOOKUP($J6875,'Informations sur les produits'!$A$3:$H$10000,8,FALSE),"0")</f>
        <v>0</v>
      </c>
      <c r="N6875" s="8"/>
      <c r="O6875" s="33" t="str">
        <f>IFERROR(VLOOKUP($M6875,'Informations sur les produits'!$A$3:$H$10000,8,FALSE),"0")</f>
        <v>0</v>
      </c>
      <c r="P6875" s="33">
        <f t="shared" si="428"/>
        <v>0</v>
      </c>
      <c r="Q6875" s="31" t="str">
        <f t="shared" si="429"/>
        <v/>
      </c>
      <c r="R6875" s="32" t="str">
        <f>IFERROR(VLOOKUP($D6875,'Informations sur les produits'!$A$3:$B$15000,2,FALSE),"")</f>
        <v/>
      </c>
      <c r="V6875">
        <f t="shared" si="430"/>
        <v>0</v>
      </c>
      <c r="W6875">
        <f t="shared" si="431"/>
        <v>0</v>
      </c>
    </row>
    <row r="6876" spans="5:23" x14ac:dyDescent="0.25">
      <c r="E6876" s="4"/>
      <c r="F6876" s="4"/>
      <c r="G6876" s="33" t="str">
        <f>IFERROR(VLOOKUP($D6876,'Informations sur les produits'!$A$3:$H$10000,8,FALSE),"0")</f>
        <v>0</v>
      </c>
      <c r="K6876" s="4"/>
      <c r="L6876" s="33" t="str">
        <f>IFERROR(VLOOKUP($J6876,'Informations sur les produits'!$A$3:$H$10000,8,FALSE),"0")</f>
        <v>0</v>
      </c>
      <c r="N6876" s="8"/>
      <c r="O6876" s="33" t="str">
        <f>IFERROR(VLOOKUP($M6876,'Informations sur les produits'!$A$3:$H$10000,8,FALSE),"0")</f>
        <v>0</v>
      </c>
      <c r="P6876" s="33">
        <f t="shared" si="428"/>
        <v>0</v>
      </c>
      <c r="Q6876" s="31" t="str">
        <f t="shared" si="429"/>
        <v/>
      </c>
      <c r="R6876" s="32" t="str">
        <f>IFERROR(VLOOKUP($D6876,'Informations sur les produits'!$A$3:$B$15000,2,FALSE),"")</f>
        <v/>
      </c>
      <c r="V6876">
        <f t="shared" si="430"/>
        <v>0</v>
      </c>
      <c r="W6876">
        <f t="shared" si="431"/>
        <v>0</v>
      </c>
    </row>
    <row r="6877" spans="5:23" x14ac:dyDescent="0.25">
      <c r="E6877" s="4"/>
      <c r="F6877" s="4"/>
      <c r="G6877" s="33" t="str">
        <f>IFERROR(VLOOKUP($D6877,'Informations sur les produits'!$A$3:$H$10000,8,FALSE),"0")</f>
        <v>0</v>
      </c>
      <c r="K6877" s="4"/>
      <c r="L6877" s="33" t="str">
        <f>IFERROR(VLOOKUP($J6877,'Informations sur les produits'!$A$3:$H$10000,8,FALSE),"0")</f>
        <v>0</v>
      </c>
      <c r="N6877" s="8"/>
      <c r="O6877" s="33" t="str">
        <f>IFERROR(VLOOKUP($M6877,'Informations sur les produits'!$A$3:$H$10000,8,FALSE),"0")</f>
        <v>0</v>
      </c>
      <c r="P6877" s="33">
        <f t="shared" si="428"/>
        <v>0</v>
      </c>
      <c r="Q6877" s="31" t="str">
        <f t="shared" si="429"/>
        <v/>
      </c>
      <c r="R6877" s="32" t="str">
        <f>IFERROR(VLOOKUP($D6877,'Informations sur les produits'!$A$3:$B$15000,2,FALSE),"")</f>
        <v/>
      </c>
      <c r="V6877">
        <f t="shared" si="430"/>
        <v>0</v>
      </c>
      <c r="W6877">
        <f t="shared" si="431"/>
        <v>0</v>
      </c>
    </row>
    <row r="6878" spans="5:23" x14ac:dyDescent="0.25">
      <c r="E6878" s="4"/>
      <c r="F6878" s="4"/>
      <c r="G6878" s="33" t="str">
        <f>IFERROR(VLOOKUP($D6878,'Informations sur les produits'!$A$3:$H$10000,8,FALSE),"0")</f>
        <v>0</v>
      </c>
      <c r="K6878" s="4"/>
      <c r="L6878" s="33" t="str">
        <f>IFERROR(VLOOKUP($J6878,'Informations sur les produits'!$A$3:$H$10000,8,FALSE),"0")</f>
        <v>0</v>
      </c>
      <c r="N6878" s="8"/>
      <c r="O6878" s="33" t="str">
        <f>IFERROR(VLOOKUP($M6878,'Informations sur les produits'!$A$3:$H$10000,8,FALSE),"0")</f>
        <v>0</v>
      </c>
      <c r="P6878" s="33">
        <f t="shared" si="428"/>
        <v>0</v>
      </c>
      <c r="Q6878" s="31" t="str">
        <f t="shared" si="429"/>
        <v/>
      </c>
      <c r="R6878" s="32" t="str">
        <f>IFERROR(VLOOKUP($D6878,'Informations sur les produits'!$A$3:$B$15000,2,FALSE),"")</f>
        <v/>
      </c>
      <c r="V6878">
        <f t="shared" si="430"/>
        <v>0</v>
      </c>
      <c r="W6878">
        <f t="shared" si="431"/>
        <v>0</v>
      </c>
    </row>
    <row r="6879" spans="5:23" x14ac:dyDescent="0.25">
      <c r="E6879" s="4"/>
      <c r="F6879" s="4"/>
      <c r="G6879" s="33" t="str">
        <f>IFERROR(VLOOKUP($D6879,'Informations sur les produits'!$A$3:$H$10000,8,FALSE),"0")</f>
        <v>0</v>
      </c>
      <c r="K6879" s="4"/>
      <c r="L6879" s="33" t="str">
        <f>IFERROR(VLOOKUP($J6879,'Informations sur les produits'!$A$3:$H$10000,8,FALSE),"0")</f>
        <v>0</v>
      </c>
      <c r="N6879" s="8"/>
      <c r="O6879" s="33" t="str">
        <f>IFERROR(VLOOKUP($M6879,'Informations sur les produits'!$A$3:$H$10000,8,FALSE),"0")</f>
        <v>0</v>
      </c>
      <c r="P6879" s="33">
        <f t="shared" si="428"/>
        <v>0</v>
      </c>
      <c r="Q6879" s="31" t="str">
        <f t="shared" si="429"/>
        <v/>
      </c>
      <c r="R6879" s="32" t="str">
        <f>IFERROR(VLOOKUP($D6879,'Informations sur les produits'!$A$3:$B$15000,2,FALSE),"")</f>
        <v/>
      </c>
      <c r="V6879">
        <f t="shared" si="430"/>
        <v>0</v>
      </c>
      <c r="W6879">
        <f t="shared" si="431"/>
        <v>0</v>
      </c>
    </row>
    <row r="6880" spans="5:23" x14ac:dyDescent="0.25">
      <c r="E6880" s="4"/>
      <c r="F6880" s="4"/>
      <c r="G6880" s="33" t="str">
        <f>IFERROR(VLOOKUP($D6880,'Informations sur les produits'!$A$3:$H$10000,8,FALSE),"0")</f>
        <v>0</v>
      </c>
      <c r="K6880" s="4"/>
      <c r="L6880" s="33" t="str">
        <f>IFERROR(VLOOKUP($J6880,'Informations sur les produits'!$A$3:$H$10000,8,FALSE),"0")</f>
        <v>0</v>
      </c>
      <c r="N6880" s="8"/>
      <c r="O6880" s="33" t="str">
        <f>IFERROR(VLOOKUP($M6880,'Informations sur les produits'!$A$3:$H$10000,8,FALSE),"0")</f>
        <v>0</v>
      </c>
      <c r="P6880" s="33">
        <f t="shared" si="428"/>
        <v>0</v>
      </c>
      <c r="Q6880" s="31" t="str">
        <f t="shared" si="429"/>
        <v/>
      </c>
      <c r="R6880" s="32" t="str">
        <f>IFERROR(VLOOKUP($D6880,'Informations sur les produits'!$A$3:$B$15000,2,FALSE),"")</f>
        <v/>
      </c>
      <c r="V6880">
        <f t="shared" si="430"/>
        <v>0</v>
      </c>
      <c r="W6880">
        <f t="shared" si="431"/>
        <v>0</v>
      </c>
    </row>
    <row r="6881" spans="5:23" x14ac:dyDescent="0.25">
      <c r="E6881" s="4"/>
      <c r="F6881" s="4"/>
      <c r="G6881" s="33" t="str">
        <f>IFERROR(VLOOKUP($D6881,'Informations sur les produits'!$A$3:$H$10000,8,FALSE),"0")</f>
        <v>0</v>
      </c>
      <c r="K6881" s="4"/>
      <c r="L6881" s="33" t="str">
        <f>IFERROR(VLOOKUP($J6881,'Informations sur les produits'!$A$3:$H$10000,8,FALSE),"0")</f>
        <v>0</v>
      </c>
      <c r="N6881" s="8"/>
      <c r="O6881" s="33" t="str">
        <f>IFERROR(VLOOKUP($M6881,'Informations sur les produits'!$A$3:$H$10000,8,FALSE),"0")</f>
        <v>0</v>
      </c>
      <c r="P6881" s="33">
        <f t="shared" si="428"/>
        <v>0</v>
      </c>
      <c r="Q6881" s="31" t="str">
        <f t="shared" si="429"/>
        <v/>
      </c>
      <c r="R6881" s="32" t="str">
        <f>IFERROR(VLOOKUP($D6881,'Informations sur les produits'!$A$3:$B$15000,2,FALSE),"")</f>
        <v/>
      </c>
      <c r="V6881">
        <f t="shared" si="430"/>
        <v>0</v>
      </c>
      <c r="W6881">
        <f t="shared" si="431"/>
        <v>0</v>
      </c>
    </row>
    <row r="6882" spans="5:23" x14ac:dyDescent="0.25">
      <c r="E6882" s="4"/>
      <c r="F6882" s="4"/>
      <c r="G6882" s="33" t="str">
        <f>IFERROR(VLOOKUP($D6882,'Informations sur les produits'!$A$3:$H$10000,8,FALSE),"0")</f>
        <v>0</v>
      </c>
      <c r="K6882" s="4"/>
      <c r="L6882" s="33" t="str">
        <f>IFERROR(VLOOKUP($J6882,'Informations sur les produits'!$A$3:$H$10000,8,FALSE),"0")</f>
        <v>0</v>
      </c>
      <c r="N6882" s="8"/>
      <c r="O6882" s="33" t="str">
        <f>IFERROR(VLOOKUP($M6882,'Informations sur les produits'!$A$3:$H$10000,8,FALSE),"0")</f>
        <v>0</v>
      </c>
      <c r="P6882" s="33">
        <f t="shared" si="428"/>
        <v>0</v>
      </c>
      <c r="Q6882" s="31" t="str">
        <f t="shared" si="429"/>
        <v/>
      </c>
      <c r="R6882" s="32" t="str">
        <f>IFERROR(VLOOKUP($D6882,'Informations sur les produits'!$A$3:$B$15000,2,FALSE),"")</f>
        <v/>
      </c>
      <c r="V6882">
        <f t="shared" si="430"/>
        <v>0</v>
      </c>
      <c r="W6882">
        <f t="shared" si="431"/>
        <v>0</v>
      </c>
    </row>
    <row r="6883" spans="5:23" x14ac:dyDescent="0.25">
      <c r="E6883" s="4"/>
      <c r="F6883" s="4"/>
      <c r="G6883" s="33" t="str">
        <f>IFERROR(VLOOKUP($D6883,'Informations sur les produits'!$A$3:$H$10000,8,FALSE),"0")</f>
        <v>0</v>
      </c>
      <c r="K6883" s="4"/>
      <c r="L6883" s="33" t="str">
        <f>IFERROR(VLOOKUP($J6883,'Informations sur les produits'!$A$3:$H$10000,8,FALSE),"0")</f>
        <v>0</v>
      </c>
      <c r="N6883" s="8"/>
      <c r="O6883" s="33" t="str">
        <f>IFERROR(VLOOKUP($M6883,'Informations sur les produits'!$A$3:$H$10000,8,FALSE),"0")</f>
        <v>0</v>
      </c>
      <c r="P6883" s="33">
        <f t="shared" si="428"/>
        <v>0</v>
      </c>
      <c r="Q6883" s="31" t="str">
        <f t="shared" si="429"/>
        <v/>
      </c>
      <c r="R6883" s="32" t="str">
        <f>IFERROR(VLOOKUP($D6883,'Informations sur les produits'!$A$3:$B$15000,2,FALSE),"")</f>
        <v/>
      </c>
      <c r="V6883">
        <f t="shared" si="430"/>
        <v>0</v>
      </c>
      <c r="W6883">
        <f t="shared" si="431"/>
        <v>0</v>
      </c>
    </row>
    <row r="6884" spans="5:23" x14ac:dyDescent="0.25">
      <c r="E6884" s="4"/>
      <c r="F6884" s="4"/>
      <c r="G6884" s="33" t="str">
        <f>IFERROR(VLOOKUP($D6884,'Informations sur les produits'!$A$3:$H$10000,8,FALSE),"0")</f>
        <v>0</v>
      </c>
      <c r="K6884" s="4"/>
      <c r="L6884" s="33" t="str">
        <f>IFERROR(VLOOKUP($J6884,'Informations sur les produits'!$A$3:$H$10000,8,FALSE),"0")</f>
        <v>0</v>
      </c>
      <c r="N6884" s="8"/>
      <c r="O6884" s="33" t="str">
        <f>IFERROR(VLOOKUP($M6884,'Informations sur les produits'!$A$3:$H$10000,8,FALSE),"0")</f>
        <v>0</v>
      </c>
      <c r="P6884" s="33">
        <f t="shared" si="428"/>
        <v>0</v>
      </c>
      <c r="Q6884" s="31" t="str">
        <f t="shared" si="429"/>
        <v/>
      </c>
      <c r="R6884" s="32" t="str">
        <f>IFERROR(VLOOKUP($D6884,'Informations sur les produits'!$A$3:$B$15000,2,FALSE),"")</f>
        <v/>
      </c>
      <c r="V6884">
        <f t="shared" si="430"/>
        <v>0</v>
      </c>
      <c r="W6884">
        <f t="shared" si="431"/>
        <v>0</v>
      </c>
    </row>
    <row r="6885" spans="5:23" x14ac:dyDescent="0.25">
      <c r="E6885" s="4"/>
      <c r="F6885" s="4"/>
      <c r="G6885" s="33" t="str">
        <f>IFERROR(VLOOKUP($D6885,'Informations sur les produits'!$A$3:$H$10000,8,FALSE),"0")</f>
        <v>0</v>
      </c>
      <c r="K6885" s="4"/>
      <c r="L6885" s="33" t="str">
        <f>IFERROR(VLOOKUP($J6885,'Informations sur les produits'!$A$3:$H$10000,8,FALSE),"0")</f>
        <v>0</v>
      </c>
      <c r="N6885" s="8"/>
      <c r="O6885" s="33" t="str">
        <f>IFERROR(VLOOKUP($M6885,'Informations sur les produits'!$A$3:$H$10000,8,FALSE),"0")</f>
        <v>0</v>
      </c>
      <c r="P6885" s="33">
        <f t="shared" si="428"/>
        <v>0</v>
      </c>
      <c r="Q6885" s="31" t="str">
        <f t="shared" si="429"/>
        <v/>
      </c>
      <c r="R6885" s="32" t="str">
        <f>IFERROR(VLOOKUP($D6885,'Informations sur les produits'!$A$3:$B$15000,2,FALSE),"")</f>
        <v/>
      </c>
      <c r="V6885">
        <f t="shared" si="430"/>
        <v>0</v>
      </c>
      <c r="W6885">
        <f t="shared" si="431"/>
        <v>0</v>
      </c>
    </row>
    <row r="6886" spans="5:23" x14ac:dyDescent="0.25">
      <c r="E6886" s="4"/>
      <c r="F6886" s="4"/>
      <c r="G6886" s="33" t="str">
        <f>IFERROR(VLOOKUP($D6886,'Informations sur les produits'!$A$3:$H$10000,8,FALSE),"0")</f>
        <v>0</v>
      </c>
      <c r="K6886" s="4"/>
      <c r="L6886" s="33" t="str">
        <f>IFERROR(VLOOKUP($J6886,'Informations sur les produits'!$A$3:$H$10000,8,FALSE),"0")</f>
        <v>0</v>
      </c>
      <c r="N6886" s="8"/>
      <c r="O6886" s="33" t="str">
        <f>IFERROR(VLOOKUP($M6886,'Informations sur les produits'!$A$3:$H$10000,8,FALSE),"0")</f>
        <v>0</v>
      </c>
      <c r="P6886" s="33">
        <f t="shared" si="428"/>
        <v>0</v>
      </c>
      <c r="Q6886" s="31" t="str">
        <f t="shared" si="429"/>
        <v/>
      </c>
      <c r="R6886" s="32" t="str">
        <f>IFERROR(VLOOKUP($D6886,'Informations sur les produits'!$A$3:$B$15000,2,FALSE),"")</f>
        <v/>
      </c>
      <c r="V6886">
        <f t="shared" si="430"/>
        <v>0</v>
      </c>
      <c r="W6886">
        <f t="shared" si="431"/>
        <v>0</v>
      </c>
    </row>
    <row r="6887" spans="5:23" x14ac:dyDescent="0.25">
      <c r="E6887" s="4"/>
      <c r="F6887" s="4"/>
      <c r="G6887" s="33" t="str">
        <f>IFERROR(VLOOKUP($D6887,'Informations sur les produits'!$A$3:$H$10000,8,FALSE),"0")</f>
        <v>0</v>
      </c>
      <c r="K6887" s="4"/>
      <c r="L6887" s="33" t="str">
        <f>IFERROR(VLOOKUP($J6887,'Informations sur les produits'!$A$3:$H$10000,8,FALSE),"0")</f>
        <v>0</v>
      </c>
      <c r="N6887" s="8"/>
      <c r="O6887" s="33" t="str">
        <f>IFERROR(VLOOKUP($M6887,'Informations sur les produits'!$A$3:$H$10000,8,FALSE),"0")</f>
        <v>0</v>
      </c>
      <c r="P6887" s="33">
        <f t="shared" si="428"/>
        <v>0</v>
      </c>
      <c r="Q6887" s="31" t="str">
        <f t="shared" si="429"/>
        <v/>
      </c>
      <c r="R6887" s="32" t="str">
        <f>IFERROR(VLOOKUP($D6887,'Informations sur les produits'!$A$3:$B$15000,2,FALSE),"")</f>
        <v/>
      </c>
      <c r="V6887">
        <f t="shared" si="430"/>
        <v>0</v>
      </c>
      <c r="W6887">
        <f t="shared" si="431"/>
        <v>0</v>
      </c>
    </row>
    <row r="6888" spans="5:23" x14ac:dyDescent="0.25">
      <c r="E6888" s="4"/>
      <c r="F6888" s="4"/>
      <c r="G6888" s="33" t="str">
        <f>IFERROR(VLOOKUP($D6888,'Informations sur les produits'!$A$3:$H$10000,8,FALSE),"0")</f>
        <v>0</v>
      </c>
      <c r="K6888" s="4"/>
      <c r="L6888" s="33" t="str">
        <f>IFERROR(VLOOKUP($J6888,'Informations sur les produits'!$A$3:$H$10000,8,FALSE),"0")</f>
        <v>0</v>
      </c>
      <c r="N6888" s="8"/>
      <c r="O6888" s="33" t="str">
        <f>IFERROR(VLOOKUP($M6888,'Informations sur les produits'!$A$3:$H$10000,8,FALSE),"0")</f>
        <v>0</v>
      </c>
      <c r="P6888" s="33">
        <f t="shared" si="428"/>
        <v>0</v>
      </c>
      <c r="Q6888" s="31" t="str">
        <f t="shared" si="429"/>
        <v/>
      </c>
      <c r="R6888" s="32" t="str">
        <f>IFERROR(VLOOKUP($D6888,'Informations sur les produits'!$A$3:$B$15000,2,FALSE),"")</f>
        <v/>
      </c>
      <c r="V6888">
        <f t="shared" si="430"/>
        <v>0</v>
      </c>
      <c r="W6888">
        <f t="shared" si="431"/>
        <v>0</v>
      </c>
    </row>
    <row r="6889" spans="5:23" x14ac:dyDescent="0.25">
      <c r="E6889" s="4"/>
      <c r="F6889" s="4"/>
      <c r="G6889" s="33" t="str">
        <f>IFERROR(VLOOKUP($D6889,'Informations sur les produits'!$A$3:$H$10000,8,FALSE),"0")</f>
        <v>0</v>
      </c>
      <c r="K6889" s="4"/>
      <c r="L6889" s="33" t="str">
        <f>IFERROR(VLOOKUP($J6889,'Informations sur les produits'!$A$3:$H$10000,8,FALSE),"0")</f>
        <v>0</v>
      </c>
      <c r="N6889" s="8"/>
      <c r="O6889" s="33" t="str">
        <f>IFERROR(VLOOKUP($M6889,'Informations sur les produits'!$A$3:$H$10000,8,FALSE),"0")</f>
        <v>0</v>
      </c>
      <c r="P6889" s="33">
        <f t="shared" si="428"/>
        <v>0</v>
      </c>
      <c r="Q6889" s="31" t="str">
        <f t="shared" si="429"/>
        <v/>
      </c>
      <c r="R6889" s="32" t="str">
        <f>IFERROR(VLOOKUP($D6889,'Informations sur les produits'!$A$3:$B$15000,2,FALSE),"")</f>
        <v/>
      </c>
      <c r="V6889">
        <f t="shared" si="430"/>
        <v>0</v>
      </c>
      <c r="W6889">
        <f t="shared" si="431"/>
        <v>0</v>
      </c>
    </row>
    <row r="6890" spans="5:23" x14ac:dyDescent="0.25">
      <c r="E6890" s="4"/>
      <c r="F6890" s="4"/>
      <c r="G6890" s="33" t="str">
        <f>IFERROR(VLOOKUP($D6890,'Informations sur les produits'!$A$3:$H$10000,8,FALSE),"0")</f>
        <v>0</v>
      </c>
      <c r="K6890" s="4"/>
      <c r="L6890" s="33" t="str">
        <f>IFERROR(VLOOKUP($J6890,'Informations sur les produits'!$A$3:$H$10000,8,FALSE),"0")</f>
        <v>0</v>
      </c>
      <c r="N6890" s="8"/>
      <c r="O6890" s="33" t="str">
        <f>IFERROR(VLOOKUP($M6890,'Informations sur les produits'!$A$3:$H$10000,8,FALSE),"0")</f>
        <v>0</v>
      </c>
      <c r="P6890" s="33">
        <f t="shared" si="428"/>
        <v>0</v>
      </c>
      <c r="Q6890" s="31" t="str">
        <f t="shared" si="429"/>
        <v/>
      </c>
      <c r="R6890" s="32" t="str">
        <f>IFERROR(VLOOKUP($D6890,'Informations sur les produits'!$A$3:$B$15000,2,FALSE),"")</f>
        <v/>
      </c>
      <c r="V6890">
        <f t="shared" si="430"/>
        <v>0</v>
      </c>
      <c r="W6890">
        <f t="shared" si="431"/>
        <v>0</v>
      </c>
    </row>
    <row r="6891" spans="5:23" x14ac:dyDescent="0.25">
      <c r="E6891" s="4"/>
      <c r="F6891" s="4"/>
      <c r="G6891" s="33" t="str">
        <f>IFERROR(VLOOKUP($D6891,'Informations sur les produits'!$A$3:$H$10000,8,FALSE),"0")</f>
        <v>0</v>
      </c>
      <c r="K6891" s="4"/>
      <c r="L6891" s="33" t="str">
        <f>IFERROR(VLOOKUP($J6891,'Informations sur les produits'!$A$3:$H$10000,8,FALSE),"0")</f>
        <v>0</v>
      </c>
      <c r="N6891" s="8"/>
      <c r="O6891" s="33" t="str">
        <f>IFERROR(VLOOKUP($M6891,'Informations sur les produits'!$A$3:$H$10000,8,FALSE),"0")</f>
        <v>0</v>
      </c>
      <c r="P6891" s="33">
        <f t="shared" si="428"/>
        <v>0</v>
      </c>
      <c r="Q6891" s="31" t="str">
        <f t="shared" si="429"/>
        <v/>
      </c>
      <c r="R6891" s="32" t="str">
        <f>IFERROR(VLOOKUP($D6891,'Informations sur les produits'!$A$3:$B$15000,2,FALSE),"")</f>
        <v/>
      </c>
      <c r="V6891">
        <f t="shared" si="430"/>
        <v>0</v>
      </c>
      <c r="W6891">
        <f t="shared" si="431"/>
        <v>0</v>
      </c>
    </row>
    <row r="6892" spans="5:23" x14ac:dyDescent="0.25">
      <c r="E6892" s="4"/>
      <c r="F6892" s="4"/>
      <c r="G6892" s="33" t="str">
        <f>IFERROR(VLOOKUP($D6892,'Informations sur les produits'!$A$3:$H$10000,8,FALSE),"0")</f>
        <v>0</v>
      </c>
      <c r="K6892" s="4"/>
      <c r="L6892" s="33" t="str">
        <f>IFERROR(VLOOKUP($J6892,'Informations sur les produits'!$A$3:$H$10000,8,FALSE),"0")</f>
        <v>0</v>
      </c>
      <c r="N6892" s="8"/>
      <c r="O6892" s="33" t="str">
        <f>IFERROR(VLOOKUP($M6892,'Informations sur les produits'!$A$3:$H$10000,8,FALSE),"0")</f>
        <v>0</v>
      </c>
      <c r="P6892" s="33">
        <f t="shared" si="428"/>
        <v>0</v>
      </c>
      <c r="Q6892" s="31" t="str">
        <f t="shared" si="429"/>
        <v/>
      </c>
      <c r="R6892" s="32" t="str">
        <f>IFERROR(VLOOKUP($D6892,'Informations sur les produits'!$A$3:$B$15000,2,FALSE),"")</f>
        <v/>
      </c>
      <c r="V6892">
        <f t="shared" si="430"/>
        <v>0</v>
      </c>
      <c r="W6892">
        <f t="shared" si="431"/>
        <v>0</v>
      </c>
    </row>
    <row r="6893" spans="5:23" x14ac:dyDescent="0.25">
      <c r="E6893" s="4"/>
      <c r="F6893" s="4"/>
      <c r="G6893" s="33" t="str">
        <f>IFERROR(VLOOKUP($D6893,'Informations sur les produits'!$A$3:$H$10000,8,FALSE),"0")</f>
        <v>0</v>
      </c>
      <c r="K6893" s="4"/>
      <c r="L6893" s="33" t="str">
        <f>IFERROR(VLOOKUP($J6893,'Informations sur les produits'!$A$3:$H$10000,8,FALSE),"0")</f>
        <v>0</v>
      </c>
      <c r="N6893" s="8"/>
      <c r="O6893" s="33" t="str">
        <f>IFERROR(VLOOKUP($M6893,'Informations sur les produits'!$A$3:$H$10000,8,FALSE),"0")</f>
        <v>0</v>
      </c>
      <c r="P6893" s="33">
        <f t="shared" si="428"/>
        <v>0</v>
      </c>
      <c r="Q6893" s="31" t="str">
        <f t="shared" si="429"/>
        <v/>
      </c>
      <c r="R6893" s="32" t="str">
        <f>IFERROR(VLOOKUP($D6893,'Informations sur les produits'!$A$3:$B$15000,2,FALSE),"")</f>
        <v/>
      </c>
      <c r="V6893">
        <f t="shared" si="430"/>
        <v>0</v>
      </c>
      <c r="W6893">
        <f t="shared" si="431"/>
        <v>0</v>
      </c>
    </row>
    <row r="6894" spans="5:23" x14ac:dyDescent="0.25">
      <c r="E6894" s="4"/>
      <c r="F6894" s="4"/>
      <c r="G6894" s="33" t="str">
        <f>IFERROR(VLOOKUP($D6894,'Informations sur les produits'!$A$3:$H$10000,8,FALSE),"0")</f>
        <v>0</v>
      </c>
      <c r="K6894" s="4"/>
      <c r="L6894" s="33" t="str">
        <f>IFERROR(VLOOKUP($J6894,'Informations sur les produits'!$A$3:$H$10000,8,FALSE),"0")</f>
        <v>0</v>
      </c>
      <c r="N6894" s="8"/>
      <c r="O6894" s="33" t="str">
        <f>IFERROR(VLOOKUP($M6894,'Informations sur les produits'!$A$3:$H$10000,8,FALSE),"0")</f>
        <v>0</v>
      </c>
      <c r="P6894" s="33">
        <f t="shared" si="428"/>
        <v>0</v>
      </c>
      <c r="Q6894" s="31" t="str">
        <f t="shared" si="429"/>
        <v/>
      </c>
      <c r="R6894" s="32" t="str">
        <f>IFERROR(VLOOKUP($D6894,'Informations sur les produits'!$A$3:$B$15000,2,FALSE),"")</f>
        <v/>
      </c>
      <c r="V6894">
        <f t="shared" si="430"/>
        <v>0</v>
      </c>
      <c r="W6894">
        <f t="shared" si="431"/>
        <v>0</v>
      </c>
    </row>
    <row r="6895" spans="5:23" x14ac:dyDescent="0.25">
      <c r="E6895" s="4"/>
      <c r="F6895" s="4"/>
      <c r="G6895" s="33" t="str">
        <f>IFERROR(VLOOKUP($D6895,'Informations sur les produits'!$A$3:$H$10000,8,FALSE),"0")</f>
        <v>0</v>
      </c>
      <c r="K6895" s="4"/>
      <c r="L6895" s="33" t="str">
        <f>IFERROR(VLOOKUP($J6895,'Informations sur les produits'!$A$3:$H$10000,8,FALSE),"0")</f>
        <v>0</v>
      </c>
      <c r="N6895" s="8"/>
      <c r="O6895" s="33" t="str">
        <f>IFERROR(VLOOKUP($M6895,'Informations sur les produits'!$A$3:$H$10000,8,FALSE),"0")</f>
        <v>0</v>
      </c>
      <c r="P6895" s="33">
        <f t="shared" si="428"/>
        <v>0</v>
      </c>
      <c r="Q6895" s="31" t="str">
        <f t="shared" si="429"/>
        <v/>
      </c>
      <c r="R6895" s="32" t="str">
        <f>IFERROR(VLOOKUP($D6895,'Informations sur les produits'!$A$3:$B$15000,2,FALSE),"")</f>
        <v/>
      </c>
      <c r="V6895">
        <f t="shared" si="430"/>
        <v>0</v>
      </c>
      <c r="W6895">
        <f t="shared" si="431"/>
        <v>0</v>
      </c>
    </row>
    <row r="6896" spans="5:23" x14ac:dyDescent="0.25">
      <c r="E6896" s="4"/>
      <c r="F6896" s="4"/>
      <c r="G6896" s="33" t="str">
        <f>IFERROR(VLOOKUP($D6896,'Informations sur les produits'!$A$3:$H$10000,8,FALSE),"0")</f>
        <v>0</v>
      </c>
      <c r="K6896" s="4"/>
      <c r="L6896" s="33" t="str">
        <f>IFERROR(VLOOKUP($J6896,'Informations sur les produits'!$A$3:$H$10000,8,FALSE),"0")</f>
        <v>0</v>
      </c>
      <c r="N6896" s="8"/>
      <c r="O6896" s="33" t="str">
        <f>IFERROR(VLOOKUP($M6896,'Informations sur les produits'!$A$3:$H$10000,8,FALSE),"0")</f>
        <v>0</v>
      </c>
      <c r="P6896" s="33">
        <f t="shared" si="428"/>
        <v>0</v>
      </c>
      <c r="Q6896" s="31" t="str">
        <f t="shared" si="429"/>
        <v/>
      </c>
      <c r="R6896" s="32" t="str">
        <f>IFERROR(VLOOKUP($D6896,'Informations sur les produits'!$A$3:$B$15000,2,FALSE),"")</f>
        <v/>
      </c>
      <c r="V6896">
        <f t="shared" si="430"/>
        <v>0</v>
      </c>
      <c r="W6896">
        <f t="shared" si="431"/>
        <v>0</v>
      </c>
    </row>
    <row r="6897" spans="5:23" x14ac:dyDescent="0.25">
      <c r="E6897" s="4"/>
      <c r="F6897" s="4"/>
      <c r="G6897" s="33" t="str">
        <f>IFERROR(VLOOKUP($D6897,'Informations sur les produits'!$A$3:$H$10000,8,FALSE),"0")</f>
        <v>0</v>
      </c>
      <c r="K6897" s="4"/>
      <c r="L6897" s="33" t="str">
        <f>IFERROR(VLOOKUP($J6897,'Informations sur les produits'!$A$3:$H$10000,8,FALSE),"0")</f>
        <v>0</v>
      </c>
      <c r="N6897" s="8"/>
      <c r="O6897" s="33" t="str">
        <f>IFERROR(VLOOKUP($M6897,'Informations sur les produits'!$A$3:$H$10000,8,FALSE),"0")</f>
        <v>0</v>
      </c>
      <c r="P6897" s="33">
        <f t="shared" si="428"/>
        <v>0</v>
      </c>
      <c r="Q6897" s="31" t="str">
        <f t="shared" si="429"/>
        <v/>
      </c>
      <c r="R6897" s="32" t="str">
        <f>IFERROR(VLOOKUP($D6897,'Informations sur les produits'!$A$3:$B$15000,2,FALSE),"")</f>
        <v/>
      </c>
      <c r="V6897">
        <f t="shared" si="430"/>
        <v>0</v>
      </c>
      <c r="W6897">
        <f t="shared" si="431"/>
        <v>0</v>
      </c>
    </row>
    <row r="6898" spans="5:23" x14ac:dyDescent="0.25">
      <c r="E6898" s="4"/>
      <c r="F6898" s="4"/>
      <c r="G6898" s="33" t="str">
        <f>IFERROR(VLOOKUP($D6898,'Informations sur les produits'!$A$3:$H$10000,8,FALSE),"0")</f>
        <v>0</v>
      </c>
      <c r="K6898" s="4"/>
      <c r="L6898" s="33" t="str">
        <f>IFERROR(VLOOKUP($J6898,'Informations sur les produits'!$A$3:$H$10000,8,FALSE),"0")</f>
        <v>0</v>
      </c>
      <c r="N6898" s="8"/>
      <c r="O6898" s="33" t="str">
        <f>IFERROR(VLOOKUP($M6898,'Informations sur les produits'!$A$3:$H$10000,8,FALSE),"0")</f>
        <v>0</v>
      </c>
      <c r="P6898" s="33">
        <f t="shared" si="428"/>
        <v>0</v>
      </c>
      <c r="Q6898" s="31" t="str">
        <f t="shared" si="429"/>
        <v/>
      </c>
      <c r="R6898" s="32" t="str">
        <f>IFERROR(VLOOKUP($D6898,'Informations sur les produits'!$A$3:$B$15000,2,FALSE),"")</f>
        <v/>
      </c>
      <c r="V6898">
        <f t="shared" si="430"/>
        <v>0</v>
      </c>
      <c r="W6898">
        <f t="shared" si="431"/>
        <v>0</v>
      </c>
    </row>
    <row r="6899" spans="5:23" x14ac:dyDescent="0.25">
      <c r="E6899" s="4"/>
      <c r="F6899" s="4"/>
      <c r="G6899" s="33" t="str">
        <f>IFERROR(VLOOKUP($D6899,'Informations sur les produits'!$A$3:$H$10000,8,FALSE),"0")</f>
        <v>0</v>
      </c>
      <c r="K6899" s="4"/>
      <c r="L6899" s="33" t="str">
        <f>IFERROR(VLOOKUP($J6899,'Informations sur les produits'!$A$3:$H$10000,8,FALSE),"0")</f>
        <v>0</v>
      </c>
      <c r="N6899" s="8"/>
      <c r="O6899" s="33" t="str">
        <f>IFERROR(VLOOKUP($M6899,'Informations sur les produits'!$A$3:$H$10000,8,FALSE),"0")</f>
        <v>0</v>
      </c>
      <c r="P6899" s="33">
        <f t="shared" si="428"/>
        <v>0</v>
      </c>
      <c r="Q6899" s="31" t="str">
        <f t="shared" si="429"/>
        <v/>
      </c>
      <c r="R6899" s="32" t="str">
        <f>IFERROR(VLOOKUP($D6899,'Informations sur les produits'!$A$3:$B$15000,2,FALSE),"")</f>
        <v/>
      </c>
      <c r="V6899">
        <f t="shared" si="430"/>
        <v>0</v>
      </c>
      <c r="W6899">
        <f t="shared" si="431"/>
        <v>0</v>
      </c>
    </row>
    <row r="6900" spans="5:23" x14ac:dyDescent="0.25">
      <c r="E6900" s="4"/>
      <c r="F6900" s="4"/>
      <c r="G6900" s="33" t="str">
        <f>IFERROR(VLOOKUP($D6900,'Informations sur les produits'!$A$3:$H$10000,8,FALSE),"0")</f>
        <v>0</v>
      </c>
      <c r="K6900" s="4"/>
      <c r="L6900" s="33" t="str">
        <f>IFERROR(VLOOKUP($J6900,'Informations sur les produits'!$A$3:$H$10000,8,FALSE),"0")</f>
        <v>0</v>
      </c>
      <c r="N6900" s="8"/>
      <c r="O6900" s="33" t="str">
        <f>IFERROR(VLOOKUP($M6900,'Informations sur les produits'!$A$3:$H$10000,8,FALSE),"0")</f>
        <v>0</v>
      </c>
      <c r="P6900" s="33">
        <f t="shared" si="428"/>
        <v>0</v>
      </c>
      <c r="Q6900" s="31" t="str">
        <f t="shared" si="429"/>
        <v/>
      </c>
      <c r="R6900" s="32" t="str">
        <f>IFERROR(VLOOKUP($D6900,'Informations sur les produits'!$A$3:$B$15000,2,FALSE),"")</f>
        <v/>
      </c>
      <c r="V6900">
        <f t="shared" si="430"/>
        <v>0</v>
      </c>
      <c r="W6900">
        <f t="shared" si="431"/>
        <v>0</v>
      </c>
    </row>
    <row r="6901" spans="5:23" x14ac:dyDescent="0.25">
      <c r="E6901" s="4"/>
      <c r="F6901" s="4"/>
      <c r="G6901" s="33" t="str">
        <f>IFERROR(VLOOKUP($D6901,'Informations sur les produits'!$A$3:$H$10000,8,FALSE),"0")</f>
        <v>0</v>
      </c>
      <c r="K6901" s="4"/>
      <c r="L6901" s="33" t="str">
        <f>IFERROR(VLOOKUP($J6901,'Informations sur les produits'!$A$3:$H$10000,8,FALSE),"0")</f>
        <v>0</v>
      </c>
      <c r="N6901" s="8"/>
      <c r="O6901" s="33" t="str">
        <f>IFERROR(VLOOKUP($M6901,'Informations sur les produits'!$A$3:$H$10000,8,FALSE),"0")</f>
        <v>0</v>
      </c>
      <c r="P6901" s="33">
        <f t="shared" si="428"/>
        <v>0</v>
      </c>
      <c r="Q6901" s="31" t="str">
        <f t="shared" si="429"/>
        <v/>
      </c>
      <c r="R6901" s="32" t="str">
        <f>IFERROR(VLOOKUP($D6901,'Informations sur les produits'!$A$3:$B$15000,2,FALSE),"")</f>
        <v/>
      </c>
      <c r="V6901">
        <f t="shared" si="430"/>
        <v>0</v>
      </c>
      <c r="W6901">
        <f t="shared" si="431"/>
        <v>0</v>
      </c>
    </row>
    <row r="6902" spans="5:23" x14ac:dyDescent="0.25">
      <c r="E6902" s="4"/>
      <c r="F6902" s="4"/>
      <c r="G6902" s="33" t="str">
        <f>IFERROR(VLOOKUP($D6902,'Informations sur les produits'!$A$3:$H$10000,8,FALSE),"0")</f>
        <v>0</v>
      </c>
      <c r="K6902" s="4"/>
      <c r="L6902" s="33" t="str">
        <f>IFERROR(VLOOKUP($J6902,'Informations sur les produits'!$A$3:$H$10000,8,FALSE),"0")</f>
        <v>0</v>
      </c>
      <c r="N6902" s="8"/>
      <c r="O6902" s="33" t="str">
        <f>IFERROR(VLOOKUP($M6902,'Informations sur les produits'!$A$3:$H$10000,8,FALSE),"0")</f>
        <v>0</v>
      </c>
      <c r="P6902" s="33">
        <f t="shared" si="428"/>
        <v>0</v>
      </c>
      <c r="Q6902" s="31" t="str">
        <f t="shared" si="429"/>
        <v/>
      </c>
      <c r="R6902" s="32" t="str">
        <f>IFERROR(VLOOKUP($D6902,'Informations sur les produits'!$A$3:$B$15000,2,FALSE),"")</f>
        <v/>
      </c>
      <c r="V6902">
        <f t="shared" si="430"/>
        <v>0</v>
      </c>
      <c r="W6902">
        <f t="shared" si="431"/>
        <v>0</v>
      </c>
    </row>
    <row r="6903" spans="5:23" x14ac:dyDescent="0.25">
      <c r="E6903" s="4"/>
      <c r="F6903" s="4"/>
      <c r="G6903" s="33" t="str">
        <f>IFERROR(VLOOKUP($D6903,'Informations sur les produits'!$A$3:$H$10000,8,FALSE),"0")</f>
        <v>0</v>
      </c>
      <c r="K6903" s="4"/>
      <c r="L6903" s="33" t="str">
        <f>IFERROR(VLOOKUP($J6903,'Informations sur les produits'!$A$3:$H$10000,8,FALSE),"0")</f>
        <v>0</v>
      </c>
      <c r="N6903" s="8"/>
      <c r="O6903" s="33" t="str">
        <f>IFERROR(VLOOKUP($M6903,'Informations sur les produits'!$A$3:$H$10000,8,FALSE),"0")</f>
        <v>0</v>
      </c>
      <c r="P6903" s="33">
        <f t="shared" si="428"/>
        <v>0</v>
      </c>
      <c r="Q6903" s="31" t="str">
        <f t="shared" si="429"/>
        <v/>
      </c>
      <c r="R6903" s="32" t="str">
        <f>IFERROR(VLOOKUP($D6903,'Informations sur les produits'!$A$3:$B$15000,2,FALSE),"")</f>
        <v/>
      </c>
      <c r="V6903">
        <f t="shared" si="430"/>
        <v>0</v>
      </c>
      <c r="W6903">
        <f t="shared" si="431"/>
        <v>0</v>
      </c>
    </row>
    <row r="6904" spans="5:23" x14ac:dyDescent="0.25">
      <c r="E6904" s="4"/>
      <c r="F6904" s="4"/>
      <c r="G6904" s="33" t="str">
        <f>IFERROR(VLOOKUP($D6904,'Informations sur les produits'!$A$3:$H$10000,8,FALSE),"0")</f>
        <v>0</v>
      </c>
      <c r="K6904" s="4"/>
      <c r="L6904" s="33" t="str">
        <f>IFERROR(VLOOKUP($J6904,'Informations sur les produits'!$A$3:$H$10000,8,FALSE),"0")</f>
        <v>0</v>
      </c>
      <c r="N6904" s="8"/>
      <c r="O6904" s="33" t="str">
        <f>IFERROR(VLOOKUP($M6904,'Informations sur les produits'!$A$3:$H$10000,8,FALSE),"0")</f>
        <v>0</v>
      </c>
      <c r="P6904" s="33">
        <f t="shared" si="428"/>
        <v>0</v>
      </c>
      <c r="Q6904" s="31" t="str">
        <f t="shared" si="429"/>
        <v/>
      </c>
      <c r="R6904" s="32" t="str">
        <f>IFERROR(VLOOKUP($D6904,'Informations sur les produits'!$A$3:$B$15000,2,FALSE),"")</f>
        <v/>
      </c>
      <c r="V6904">
        <f t="shared" si="430"/>
        <v>0</v>
      </c>
      <c r="W6904">
        <f t="shared" si="431"/>
        <v>0</v>
      </c>
    </row>
    <row r="6905" spans="5:23" x14ac:dyDescent="0.25">
      <c r="E6905" s="4"/>
      <c r="F6905" s="4"/>
      <c r="G6905" s="33" t="str">
        <f>IFERROR(VLOOKUP($D6905,'Informations sur les produits'!$A$3:$H$10000,8,FALSE),"0")</f>
        <v>0</v>
      </c>
      <c r="K6905" s="4"/>
      <c r="L6905" s="33" t="str">
        <f>IFERROR(VLOOKUP($J6905,'Informations sur les produits'!$A$3:$H$10000,8,FALSE),"0")</f>
        <v>0</v>
      </c>
      <c r="N6905" s="8"/>
      <c r="O6905" s="33" t="str">
        <f>IFERROR(VLOOKUP($M6905,'Informations sur les produits'!$A$3:$H$10000,8,FALSE),"0")</f>
        <v>0</v>
      </c>
      <c r="P6905" s="33">
        <f t="shared" si="428"/>
        <v>0</v>
      </c>
      <c r="Q6905" s="31" t="str">
        <f t="shared" si="429"/>
        <v/>
      </c>
      <c r="R6905" s="32" t="str">
        <f>IFERROR(VLOOKUP($D6905,'Informations sur les produits'!$A$3:$B$15000,2,FALSE),"")</f>
        <v/>
      </c>
      <c r="V6905">
        <f t="shared" si="430"/>
        <v>0</v>
      </c>
      <c r="W6905">
        <f t="shared" si="431"/>
        <v>0</v>
      </c>
    </row>
    <row r="6906" spans="5:23" x14ac:dyDescent="0.25">
      <c r="E6906" s="4"/>
      <c r="F6906" s="4"/>
      <c r="G6906" s="33" t="str">
        <f>IFERROR(VLOOKUP($D6906,'Informations sur les produits'!$A$3:$H$10000,8,FALSE),"0")</f>
        <v>0</v>
      </c>
      <c r="K6906" s="4"/>
      <c r="L6906" s="33" t="str">
        <f>IFERROR(VLOOKUP($J6906,'Informations sur les produits'!$A$3:$H$10000,8,FALSE),"0")</f>
        <v>0</v>
      </c>
      <c r="N6906" s="8"/>
      <c r="O6906" s="33" t="str">
        <f>IFERROR(VLOOKUP($M6906,'Informations sur les produits'!$A$3:$H$10000,8,FALSE),"0")</f>
        <v>0</v>
      </c>
      <c r="P6906" s="33">
        <f t="shared" si="428"/>
        <v>0</v>
      </c>
      <c r="Q6906" s="31" t="str">
        <f t="shared" si="429"/>
        <v/>
      </c>
      <c r="R6906" s="32" t="str">
        <f>IFERROR(VLOOKUP($D6906,'Informations sur les produits'!$A$3:$B$15000,2,FALSE),"")</f>
        <v/>
      </c>
      <c r="V6906">
        <f t="shared" si="430"/>
        <v>0</v>
      </c>
      <c r="W6906">
        <f t="shared" si="431"/>
        <v>0</v>
      </c>
    </row>
    <row r="6907" spans="5:23" x14ac:dyDescent="0.25">
      <c r="E6907" s="4"/>
      <c r="F6907" s="4"/>
      <c r="G6907" s="33" t="str">
        <f>IFERROR(VLOOKUP($D6907,'Informations sur les produits'!$A$3:$H$10000,8,FALSE),"0")</f>
        <v>0</v>
      </c>
      <c r="K6907" s="4"/>
      <c r="L6907" s="33" t="str">
        <f>IFERROR(VLOOKUP($J6907,'Informations sur les produits'!$A$3:$H$10000,8,FALSE),"0")</f>
        <v>0</v>
      </c>
      <c r="N6907" s="8"/>
      <c r="O6907" s="33" t="str">
        <f>IFERROR(VLOOKUP($M6907,'Informations sur les produits'!$A$3:$H$10000,8,FALSE),"0")</f>
        <v>0</v>
      </c>
      <c r="P6907" s="33">
        <f t="shared" si="428"/>
        <v>0</v>
      </c>
      <c r="Q6907" s="31" t="str">
        <f t="shared" si="429"/>
        <v/>
      </c>
      <c r="R6907" s="32" t="str">
        <f>IFERROR(VLOOKUP($D6907,'Informations sur les produits'!$A$3:$B$15000,2,FALSE),"")</f>
        <v/>
      </c>
      <c r="V6907">
        <f t="shared" si="430"/>
        <v>0</v>
      </c>
      <c r="W6907">
        <f t="shared" si="431"/>
        <v>0</v>
      </c>
    </row>
    <row r="6908" spans="5:23" x14ac:dyDescent="0.25">
      <c r="E6908" s="4"/>
      <c r="F6908" s="4"/>
      <c r="G6908" s="33" t="str">
        <f>IFERROR(VLOOKUP($D6908,'Informations sur les produits'!$A$3:$H$10000,8,FALSE),"0")</f>
        <v>0</v>
      </c>
      <c r="K6908" s="4"/>
      <c r="L6908" s="33" t="str">
        <f>IFERROR(VLOOKUP($J6908,'Informations sur les produits'!$A$3:$H$10000,8,FALSE),"0")</f>
        <v>0</v>
      </c>
      <c r="N6908" s="8"/>
      <c r="O6908" s="33" t="str">
        <f>IFERROR(VLOOKUP($M6908,'Informations sur les produits'!$A$3:$H$10000,8,FALSE),"0")</f>
        <v>0</v>
      </c>
      <c r="P6908" s="33">
        <f t="shared" si="428"/>
        <v>0</v>
      </c>
      <c r="Q6908" s="31" t="str">
        <f t="shared" si="429"/>
        <v/>
      </c>
      <c r="R6908" s="32" t="str">
        <f>IFERROR(VLOOKUP($D6908,'Informations sur les produits'!$A$3:$B$15000,2,FALSE),"")</f>
        <v/>
      </c>
      <c r="V6908">
        <f t="shared" si="430"/>
        <v>0</v>
      </c>
      <c r="W6908">
        <f t="shared" si="431"/>
        <v>0</v>
      </c>
    </row>
    <row r="6909" spans="5:23" x14ac:dyDescent="0.25">
      <c r="E6909" s="4"/>
      <c r="F6909" s="4"/>
      <c r="G6909" s="33" t="str">
        <f>IFERROR(VLOOKUP($D6909,'Informations sur les produits'!$A$3:$H$10000,8,FALSE),"0")</f>
        <v>0</v>
      </c>
      <c r="K6909" s="4"/>
      <c r="L6909" s="33" t="str">
        <f>IFERROR(VLOOKUP($J6909,'Informations sur les produits'!$A$3:$H$10000,8,FALSE),"0")</f>
        <v>0</v>
      </c>
      <c r="N6909" s="8"/>
      <c r="O6909" s="33" t="str">
        <f>IFERROR(VLOOKUP($M6909,'Informations sur les produits'!$A$3:$H$10000,8,FALSE),"0")</f>
        <v>0</v>
      </c>
      <c r="P6909" s="33">
        <f t="shared" si="428"/>
        <v>0</v>
      </c>
      <c r="Q6909" s="31" t="str">
        <f t="shared" si="429"/>
        <v/>
      </c>
      <c r="R6909" s="32" t="str">
        <f>IFERROR(VLOOKUP($D6909,'Informations sur les produits'!$A$3:$B$15000,2,FALSE),"")</f>
        <v/>
      </c>
      <c r="V6909">
        <f t="shared" si="430"/>
        <v>0</v>
      </c>
      <c r="W6909">
        <f t="shared" si="431"/>
        <v>0</v>
      </c>
    </row>
    <row r="6910" spans="5:23" x14ac:dyDescent="0.25">
      <c r="E6910" s="4"/>
      <c r="F6910" s="4"/>
      <c r="G6910" s="33" t="str">
        <f>IFERROR(VLOOKUP($D6910,'Informations sur les produits'!$A$3:$H$10000,8,FALSE),"0")</f>
        <v>0</v>
      </c>
      <c r="K6910" s="4"/>
      <c r="L6910" s="33" t="str">
        <f>IFERROR(VLOOKUP($J6910,'Informations sur les produits'!$A$3:$H$10000,8,FALSE),"0")</f>
        <v>0</v>
      </c>
      <c r="N6910" s="8"/>
      <c r="O6910" s="33" t="str">
        <f>IFERROR(VLOOKUP($M6910,'Informations sur les produits'!$A$3:$H$10000,8,FALSE),"0")</f>
        <v>0</v>
      </c>
      <c r="P6910" s="33">
        <f t="shared" si="428"/>
        <v>0</v>
      </c>
      <c r="Q6910" s="31" t="str">
        <f t="shared" si="429"/>
        <v/>
      </c>
      <c r="R6910" s="32" t="str">
        <f>IFERROR(VLOOKUP($D6910,'Informations sur les produits'!$A$3:$B$15000,2,FALSE),"")</f>
        <v/>
      </c>
      <c r="V6910">
        <f t="shared" si="430"/>
        <v>0</v>
      </c>
      <c r="W6910">
        <f t="shared" si="431"/>
        <v>0</v>
      </c>
    </row>
    <row r="6911" spans="5:23" x14ac:dyDescent="0.25">
      <c r="E6911" s="4"/>
      <c r="F6911" s="4"/>
      <c r="G6911" s="33" t="str">
        <f>IFERROR(VLOOKUP($D6911,'Informations sur les produits'!$A$3:$H$10000,8,FALSE),"0")</f>
        <v>0</v>
      </c>
      <c r="K6911" s="4"/>
      <c r="L6911" s="33" t="str">
        <f>IFERROR(VLOOKUP($J6911,'Informations sur les produits'!$A$3:$H$10000,8,FALSE),"0")</f>
        <v>0</v>
      </c>
      <c r="N6911" s="8"/>
      <c r="O6911" s="33" t="str">
        <f>IFERROR(VLOOKUP($M6911,'Informations sur les produits'!$A$3:$H$10000,8,FALSE),"0")</f>
        <v>0</v>
      </c>
      <c r="P6911" s="33">
        <f t="shared" si="428"/>
        <v>0</v>
      </c>
      <c r="Q6911" s="31" t="str">
        <f t="shared" si="429"/>
        <v/>
      </c>
      <c r="R6911" s="32" t="str">
        <f>IFERROR(VLOOKUP($D6911,'Informations sur les produits'!$A$3:$B$15000,2,FALSE),"")</f>
        <v/>
      </c>
      <c r="V6911">
        <f t="shared" si="430"/>
        <v>0</v>
      </c>
      <c r="W6911">
        <f t="shared" si="431"/>
        <v>0</v>
      </c>
    </row>
    <row r="6912" spans="5:23" x14ac:dyDescent="0.25">
      <c r="E6912" s="4"/>
      <c r="F6912" s="4"/>
      <c r="G6912" s="33" t="str">
        <f>IFERROR(VLOOKUP($D6912,'Informations sur les produits'!$A$3:$H$10000,8,FALSE),"0")</f>
        <v>0</v>
      </c>
      <c r="K6912" s="4"/>
      <c r="L6912" s="33" t="str">
        <f>IFERROR(VLOOKUP($J6912,'Informations sur les produits'!$A$3:$H$10000,8,FALSE),"0")</f>
        <v>0</v>
      </c>
      <c r="N6912" s="8"/>
      <c r="O6912" s="33" t="str">
        <f>IFERROR(VLOOKUP($M6912,'Informations sur les produits'!$A$3:$H$10000,8,FALSE),"0")</f>
        <v>0</v>
      </c>
      <c r="P6912" s="33">
        <f t="shared" si="428"/>
        <v>0</v>
      </c>
      <c r="Q6912" s="31" t="str">
        <f t="shared" si="429"/>
        <v/>
      </c>
      <c r="R6912" s="32" t="str">
        <f>IFERROR(VLOOKUP($D6912,'Informations sur les produits'!$A$3:$B$15000,2,FALSE),"")</f>
        <v/>
      </c>
      <c r="V6912">
        <f t="shared" si="430"/>
        <v>0</v>
      </c>
      <c r="W6912">
        <f t="shared" si="431"/>
        <v>0</v>
      </c>
    </row>
    <row r="6913" spans="5:23" x14ac:dyDescent="0.25">
      <c r="E6913" s="4"/>
      <c r="F6913" s="4"/>
      <c r="G6913" s="33" t="str">
        <f>IFERROR(VLOOKUP($D6913,'Informations sur les produits'!$A$3:$H$10000,8,FALSE),"0")</f>
        <v>0</v>
      </c>
      <c r="K6913" s="4"/>
      <c r="L6913" s="33" t="str">
        <f>IFERROR(VLOOKUP($J6913,'Informations sur les produits'!$A$3:$H$10000,8,FALSE),"0")</f>
        <v>0</v>
      </c>
      <c r="N6913" s="8"/>
      <c r="O6913" s="33" t="str">
        <f>IFERROR(VLOOKUP($M6913,'Informations sur les produits'!$A$3:$H$10000,8,FALSE),"0")</f>
        <v>0</v>
      </c>
      <c r="P6913" s="33">
        <f t="shared" si="428"/>
        <v>0</v>
      </c>
      <c r="Q6913" s="31" t="str">
        <f t="shared" si="429"/>
        <v/>
      </c>
      <c r="R6913" s="32" t="str">
        <f>IFERROR(VLOOKUP($D6913,'Informations sur les produits'!$A$3:$B$15000,2,FALSE),"")</f>
        <v/>
      </c>
      <c r="V6913">
        <f t="shared" si="430"/>
        <v>0</v>
      </c>
      <c r="W6913">
        <f t="shared" si="431"/>
        <v>0</v>
      </c>
    </row>
    <row r="6914" spans="5:23" x14ac:dyDescent="0.25">
      <c r="E6914" s="4"/>
      <c r="F6914" s="4"/>
      <c r="G6914" s="33" t="str">
        <f>IFERROR(VLOOKUP($D6914,'Informations sur les produits'!$A$3:$H$10000,8,FALSE),"0")</f>
        <v>0</v>
      </c>
      <c r="K6914" s="4"/>
      <c r="L6914" s="33" t="str">
        <f>IFERROR(VLOOKUP($J6914,'Informations sur les produits'!$A$3:$H$10000,8,FALSE),"0")</f>
        <v>0</v>
      </c>
      <c r="N6914" s="8"/>
      <c r="O6914" s="33" t="str">
        <f>IFERROR(VLOOKUP($M6914,'Informations sur les produits'!$A$3:$H$10000,8,FALSE),"0")</f>
        <v>0</v>
      </c>
      <c r="P6914" s="33">
        <f t="shared" si="428"/>
        <v>0</v>
      </c>
      <c r="Q6914" s="31" t="str">
        <f t="shared" si="429"/>
        <v/>
      </c>
      <c r="R6914" s="32" t="str">
        <f>IFERROR(VLOOKUP($D6914,'Informations sur les produits'!$A$3:$B$15000,2,FALSE),"")</f>
        <v/>
      </c>
      <c r="V6914">
        <f t="shared" si="430"/>
        <v>0</v>
      </c>
      <c r="W6914">
        <f t="shared" si="431"/>
        <v>0</v>
      </c>
    </row>
    <row r="6915" spans="5:23" x14ac:dyDescent="0.25">
      <c r="E6915" s="4"/>
      <c r="F6915" s="4"/>
      <c r="G6915" s="33" t="str">
        <f>IFERROR(VLOOKUP($D6915,'Informations sur les produits'!$A$3:$H$10000,8,FALSE),"0")</f>
        <v>0</v>
      </c>
      <c r="K6915" s="4"/>
      <c r="L6915" s="33" t="str">
        <f>IFERROR(VLOOKUP($J6915,'Informations sur les produits'!$A$3:$H$10000,8,FALSE),"0")</f>
        <v>0</v>
      </c>
      <c r="N6915" s="8"/>
      <c r="O6915" s="33" t="str">
        <f>IFERROR(VLOOKUP($M6915,'Informations sur les produits'!$A$3:$H$10000,8,FALSE),"0")</f>
        <v>0</v>
      </c>
      <c r="P6915" s="33">
        <f t="shared" si="428"/>
        <v>0</v>
      </c>
      <c r="Q6915" s="31" t="str">
        <f t="shared" si="429"/>
        <v/>
      </c>
      <c r="R6915" s="32" t="str">
        <f>IFERROR(VLOOKUP($D6915,'Informations sur les produits'!$A$3:$B$15000,2,FALSE),"")</f>
        <v/>
      </c>
      <c r="V6915">
        <f t="shared" si="430"/>
        <v>0</v>
      </c>
      <c r="W6915">
        <f t="shared" si="431"/>
        <v>0</v>
      </c>
    </row>
    <row r="6916" spans="5:23" x14ac:dyDescent="0.25">
      <c r="E6916" s="4"/>
      <c r="F6916" s="4"/>
      <c r="G6916" s="33" t="str">
        <f>IFERROR(VLOOKUP($D6916,'Informations sur les produits'!$A$3:$H$10000,8,FALSE),"0")</f>
        <v>0</v>
      </c>
      <c r="K6916" s="4"/>
      <c r="L6916" s="33" t="str">
        <f>IFERROR(VLOOKUP($J6916,'Informations sur les produits'!$A$3:$H$10000,8,FALSE),"0")</f>
        <v>0</v>
      </c>
      <c r="N6916" s="8"/>
      <c r="O6916" s="33" t="str">
        <f>IFERROR(VLOOKUP($M6916,'Informations sur les produits'!$A$3:$H$10000,8,FALSE),"0")</f>
        <v>0</v>
      </c>
      <c r="P6916" s="33">
        <f t="shared" ref="P6916:P6979" si="432">IFERROR((($E6916-$F6916)*$G6916+$K6916*$L6916+$N6916*$O6916),"")</f>
        <v>0</v>
      </c>
      <c r="Q6916" s="31" t="str">
        <f t="shared" ref="Q6916:Q6979" si="433">IFERROR((((($E6916-$F6916)*$G6916+$K6916*$L6916+$N6916*$O6916)*1000)/(($E6916-$F6916)+$K6916+$N6916)),"")</f>
        <v/>
      </c>
      <c r="R6916" s="32" t="str">
        <f>IFERROR(VLOOKUP($D6916,'Informations sur les produits'!$A$3:$B$15000,2,FALSE),"")</f>
        <v/>
      </c>
      <c r="V6916">
        <f t="shared" ref="V6916:V6979" si="434">IFERROR(P6916*1000,"")</f>
        <v>0</v>
      </c>
      <c r="W6916">
        <f t="shared" ref="W6916:W6979" si="435">IFERROR(($E6916-$F6916)+$K6916+$N6916,"")</f>
        <v>0</v>
      </c>
    </row>
    <row r="6917" spans="5:23" x14ac:dyDescent="0.25">
      <c r="E6917" s="4"/>
      <c r="F6917" s="4"/>
      <c r="G6917" s="33" t="str">
        <f>IFERROR(VLOOKUP($D6917,'Informations sur les produits'!$A$3:$H$10000,8,FALSE),"0")</f>
        <v>0</v>
      </c>
      <c r="K6917" s="4"/>
      <c r="L6917" s="33" t="str">
        <f>IFERROR(VLOOKUP($J6917,'Informations sur les produits'!$A$3:$H$10000,8,FALSE),"0")</f>
        <v>0</v>
      </c>
      <c r="N6917" s="8"/>
      <c r="O6917" s="33" t="str">
        <f>IFERROR(VLOOKUP($M6917,'Informations sur les produits'!$A$3:$H$10000,8,FALSE),"0")</f>
        <v>0</v>
      </c>
      <c r="P6917" s="33">
        <f t="shared" si="432"/>
        <v>0</v>
      </c>
      <c r="Q6917" s="31" t="str">
        <f t="shared" si="433"/>
        <v/>
      </c>
      <c r="R6917" s="32" t="str">
        <f>IFERROR(VLOOKUP($D6917,'Informations sur les produits'!$A$3:$B$15000,2,FALSE),"")</f>
        <v/>
      </c>
      <c r="V6917">
        <f t="shared" si="434"/>
        <v>0</v>
      </c>
      <c r="W6917">
        <f t="shared" si="435"/>
        <v>0</v>
      </c>
    </row>
    <row r="6918" spans="5:23" x14ac:dyDescent="0.25">
      <c r="E6918" s="4"/>
      <c r="F6918" s="4"/>
      <c r="G6918" s="33" t="str">
        <f>IFERROR(VLOOKUP($D6918,'Informations sur les produits'!$A$3:$H$10000,8,FALSE),"0")</f>
        <v>0</v>
      </c>
      <c r="K6918" s="4"/>
      <c r="L6918" s="33" t="str">
        <f>IFERROR(VLOOKUP($J6918,'Informations sur les produits'!$A$3:$H$10000,8,FALSE),"0")</f>
        <v>0</v>
      </c>
      <c r="N6918" s="8"/>
      <c r="O6918" s="33" t="str">
        <f>IFERROR(VLOOKUP($M6918,'Informations sur les produits'!$A$3:$H$10000,8,FALSE),"0")</f>
        <v>0</v>
      </c>
      <c r="P6918" s="33">
        <f t="shared" si="432"/>
        <v>0</v>
      </c>
      <c r="Q6918" s="31" t="str">
        <f t="shared" si="433"/>
        <v/>
      </c>
      <c r="R6918" s="32" t="str">
        <f>IFERROR(VLOOKUP($D6918,'Informations sur les produits'!$A$3:$B$15000,2,FALSE),"")</f>
        <v/>
      </c>
      <c r="V6918">
        <f t="shared" si="434"/>
        <v>0</v>
      </c>
      <c r="W6918">
        <f t="shared" si="435"/>
        <v>0</v>
      </c>
    </row>
    <row r="6919" spans="5:23" x14ac:dyDescent="0.25">
      <c r="E6919" s="4"/>
      <c r="F6919" s="4"/>
      <c r="G6919" s="33" t="str">
        <f>IFERROR(VLOOKUP($D6919,'Informations sur les produits'!$A$3:$H$10000,8,FALSE),"0")</f>
        <v>0</v>
      </c>
      <c r="K6919" s="4"/>
      <c r="L6919" s="33" t="str">
        <f>IFERROR(VLOOKUP($J6919,'Informations sur les produits'!$A$3:$H$10000,8,FALSE),"0")</f>
        <v>0</v>
      </c>
      <c r="N6919" s="8"/>
      <c r="O6919" s="33" t="str">
        <f>IFERROR(VLOOKUP($M6919,'Informations sur les produits'!$A$3:$H$10000,8,FALSE),"0")</f>
        <v>0</v>
      </c>
      <c r="P6919" s="33">
        <f t="shared" si="432"/>
        <v>0</v>
      </c>
      <c r="Q6919" s="31" t="str">
        <f t="shared" si="433"/>
        <v/>
      </c>
      <c r="R6919" s="32" t="str">
        <f>IFERROR(VLOOKUP($D6919,'Informations sur les produits'!$A$3:$B$15000,2,FALSE),"")</f>
        <v/>
      </c>
      <c r="V6919">
        <f t="shared" si="434"/>
        <v>0</v>
      </c>
      <c r="W6919">
        <f t="shared" si="435"/>
        <v>0</v>
      </c>
    </row>
    <row r="6920" spans="5:23" x14ac:dyDescent="0.25">
      <c r="E6920" s="4"/>
      <c r="F6920" s="4"/>
      <c r="G6920" s="33" t="str">
        <f>IFERROR(VLOOKUP($D6920,'Informations sur les produits'!$A$3:$H$10000,8,FALSE),"0")</f>
        <v>0</v>
      </c>
      <c r="K6920" s="4"/>
      <c r="L6920" s="33" t="str">
        <f>IFERROR(VLOOKUP($J6920,'Informations sur les produits'!$A$3:$H$10000,8,FALSE),"0")</f>
        <v>0</v>
      </c>
      <c r="N6920" s="8"/>
      <c r="O6920" s="33" t="str">
        <f>IFERROR(VLOOKUP($M6920,'Informations sur les produits'!$A$3:$H$10000,8,FALSE),"0")</f>
        <v>0</v>
      </c>
      <c r="P6920" s="33">
        <f t="shared" si="432"/>
        <v>0</v>
      </c>
      <c r="Q6920" s="31" t="str">
        <f t="shared" si="433"/>
        <v/>
      </c>
      <c r="R6920" s="32" t="str">
        <f>IFERROR(VLOOKUP($D6920,'Informations sur les produits'!$A$3:$B$15000,2,FALSE),"")</f>
        <v/>
      </c>
      <c r="V6920">
        <f t="shared" si="434"/>
        <v>0</v>
      </c>
      <c r="W6920">
        <f t="shared" si="435"/>
        <v>0</v>
      </c>
    </row>
    <row r="6921" spans="5:23" x14ac:dyDescent="0.25">
      <c r="E6921" s="4"/>
      <c r="F6921" s="4"/>
      <c r="G6921" s="33" t="str">
        <f>IFERROR(VLOOKUP($D6921,'Informations sur les produits'!$A$3:$H$10000,8,FALSE),"0")</f>
        <v>0</v>
      </c>
      <c r="K6921" s="4"/>
      <c r="L6921" s="33" t="str">
        <f>IFERROR(VLOOKUP($J6921,'Informations sur les produits'!$A$3:$H$10000,8,FALSE),"0")</f>
        <v>0</v>
      </c>
      <c r="N6921" s="8"/>
      <c r="O6921" s="33" t="str">
        <f>IFERROR(VLOOKUP($M6921,'Informations sur les produits'!$A$3:$H$10000,8,FALSE),"0")</f>
        <v>0</v>
      </c>
      <c r="P6921" s="33">
        <f t="shared" si="432"/>
        <v>0</v>
      </c>
      <c r="Q6921" s="31" t="str">
        <f t="shared" si="433"/>
        <v/>
      </c>
      <c r="R6921" s="32" t="str">
        <f>IFERROR(VLOOKUP($D6921,'Informations sur les produits'!$A$3:$B$15000,2,FALSE),"")</f>
        <v/>
      </c>
      <c r="V6921">
        <f t="shared" si="434"/>
        <v>0</v>
      </c>
      <c r="W6921">
        <f t="shared" si="435"/>
        <v>0</v>
      </c>
    </row>
    <row r="6922" spans="5:23" x14ac:dyDescent="0.25">
      <c r="E6922" s="4"/>
      <c r="F6922" s="4"/>
      <c r="G6922" s="33" t="str">
        <f>IFERROR(VLOOKUP($D6922,'Informations sur les produits'!$A$3:$H$10000,8,FALSE),"0")</f>
        <v>0</v>
      </c>
      <c r="K6922" s="4"/>
      <c r="L6922" s="33" t="str">
        <f>IFERROR(VLOOKUP($J6922,'Informations sur les produits'!$A$3:$H$10000,8,FALSE),"0")</f>
        <v>0</v>
      </c>
      <c r="N6922" s="8"/>
      <c r="O6922" s="33" t="str">
        <f>IFERROR(VLOOKUP($M6922,'Informations sur les produits'!$A$3:$H$10000,8,FALSE),"0")</f>
        <v>0</v>
      </c>
      <c r="P6922" s="33">
        <f t="shared" si="432"/>
        <v>0</v>
      </c>
      <c r="Q6922" s="31" t="str">
        <f t="shared" si="433"/>
        <v/>
      </c>
      <c r="R6922" s="32" t="str">
        <f>IFERROR(VLOOKUP($D6922,'Informations sur les produits'!$A$3:$B$15000,2,FALSE),"")</f>
        <v/>
      </c>
      <c r="V6922">
        <f t="shared" si="434"/>
        <v>0</v>
      </c>
      <c r="W6922">
        <f t="shared" si="435"/>
        <v>0</v>
      </c>
    </row>
    <row r="6923" spans="5:23" x14ac:dyDescent="0.25">
      <c r="E6923" s="4"/>
      <c r="F6923" s="4"/>
      <c r="G6923" s="33" t="str">
        <f>IFERROR(VLOOKUP($D6923,'Informations sur les produits'!$A$3:$H$10000,8,FALSE),"0")</f>
        <v>0</v>
      </c>
      <c r="K6923" s="4"/>
      <c r="L6923" s="33" t="str">
        <f>IFERROR(VLOOKUP($J6923,'Informations sur les produits'!$A$3:$H$10000,8,FALSE),"0")</f>
        <v>0</v>
      </c>
      <c r="N6923" s="8"/>
      <c r="O6923" s="33" t="str">
        <f>IFERROR(VLOOKUP($M6923,'Informations sur les produits'!$A$3:$H$10000,8,FALSE),"0")</f>
        <v>0</v>
      </c>
      <c r="P6923" s="33">
        <f t="shared" si="432"/>
        <v>0</v>
      </c>
      <c r="Q6923" s="31" t="str">
        <f t="shared" si="433"/>
        <v/>
      </c>
      <c r="R6923" s="32" t="str">
        <f>IFERROR(VLOOKUP($D6923,'Informations sur les produits'!$A$3:$B$15000,2,FALSE),"")</f>
        <v/>
      </c>
      <c r="V6923">
        <f t="shared" si="434"/>
        <v>0</v>
      </c>
      <c r="W6923">
        <f t="shared" si="435"/>
        <v>0</v>
      </c>
    </row>
    <row r="6924" spans="5:23" x14ac:dyDescent="0.25">
      <c r="E6924" s="4"/>
      <c r="F6924" s="4"/>
      <c r="G6924" s="33" t="str">
        <f>IFERROR(VLOOKUP($D6924,'Informations sur les produits'!$A$3:$H$10000,8,FALSE),"0")</f>
        <v>0</v>
      </c>
      <c r="K6924" s="4"/>
      <c r="L6924" s="33" t="str">
        <f>IFERROR(VLOOKUP($J6924,'Informations sur les produits'!$A$3:$H$10000,8,FALSE),"0")</f>
        <v>0</v>
      </c>
      <c r="N6924" s="8"/>
      <c r="O6924" s="33" t="str">
        <f>IFERROR(VLOOKUP($M6924,'Informations sur les produits'!$A$3:$H$10000,8,FALSE),"0")</f>
        <v>0</v>
      </c>
      <c r="P6924" s="33">
        <f t="shared" si="432"/>
        <v>0</v>
      </c>
      <c r="Q6924" s="31" t="str">
        <f t="shared" si="433"/>
        <v/>
      </c>
      <c r="R6924" s="32" t="str">
        <f>IFERROR(VLOOKUP($D6924,'Informations sur les produits'!$A$3:$B$15000,2,FALSE),"")</f>
        <v/>
      </c>
      <c r="V6924">
        <f t="shared" si="434"/>
        <v>0</v>
      </c>
      <c r="W6924">
        <f t="shared" si="435"/>
        <v>0</v>
      </c>
    </row>
    <row r="6925" spans="5:23" x14ac:dyDescent="0.25">
      <c r="E6925" s="4"/>
      <c r="F6925" s="4"/>
      <c r="G6925" s="33" t="str">
        <f>IFERROR(VLOOKUP($D6925,'Informations sur les produits'!$A$3:$H$10000,8,FALSE),"0")</f>
        <v>0</v>
      </c>
      <c r="K6925" s="4"/>
      <c r="L6925" s="33" t="str">
        <f>IFERROR(VLOOKUP($J6925,'Informations sur les produits'!$A$3:$H$10000,8,FALSE),"0")</f>
        <v>0</v>
      </c>
      <c r="N6925" s="8"/>
      <c r="O6925" s="33" t="str">
        <f>IFERROR(VLOOKUP($M6925,'Informations sur les produits'!$A$3:$H$10000,8,FALSE),"0")</f>
        <v>0</v>
      </c>
      <c r="P6925" s="33">
        <f t="shared" si="432"/>
        <v>0</v>
      </c>
      <c r="Q6925" s="31" t="str">
        <f t="shared" si="433"/>
        <v/>
      </c>
      <c r="R6925" s="32" t="str">
        <f>IFERROR(VLOOKUP($D6925,'Informations sur les produits'!$A$3:$B$15000,2,FALSE),"")</f>
        <v/>
      </c>
      <c r="V6925">
        <f t="shared" si="434"/>
        <v>0</v>
      </c>
      <c r="W6925">
        <f t="shared" si="435"/>
        <v>0</v>
      </c>
    </row>
    <row r="6926" spans="5:23" x14ac:dyDescent="0.25">
      <c r="E6926" s="4"/>
      <c r="F6926" s="4"/>
      <c r="G6926" s="33" t="str">
        <f>IFERROR(VLOOKUP($D6926,'Informations sur les produits'!$A$3:$H$10000,8,FALSE),"0")</f>
        <v>0</v>
      </c>
      <c r="K6926" s="4"/>
      <c r="L6926" s="33" t="str">
        <f>IFERROR(VLOOKUP($J6926,'Informations sur les produits'!$A$3:$H$10000,8,FALSE),"0")</f>
        <v>0</v>
      </c>
      <c r="N6926" s="8"/>
      <c r="O6926" s="33" t="str">
        <f>IFERROR(VLOOKUP($M6926,'Informations sur les produits'!$A$3:$H$10000,8,FALSE),"0")</f>
        <v>0</v>
      </c>
      <c r="P6926" s="33">
        <f t="shared" si="432"/>
        <v>0</v>
      </c>
      <c r="Q6926" s="31" t="str">
        <f t="shared" si="433"/>
        <v/>
      </c>
      <c r="R6926" s="32" t="str">
        <f>IFERROR(VLOOKUP($D6926,'Informations sur les produits'!$A$3:$B$15000,2,FALSE),"")</f>
        <v/>
      </c>
      <c r="V6926">
        <f t="shared" si="434"/>
        <v>0</v>
      </c>
      <c r="W6926">
        <f t="shared" si="435"/>
        <v>0</v>
      </c>
    </row>
    <row r="6927" spans="5:23" x14ac:dyDescent="0.25">
      <c r="E6927" s="4"/>
      <c r="F6927" s="4"/>
      <c r="G6927" s="33" t="str">
        <f>IFERROR(VLOOKUP($D6927,'Informations sur les produits'!$A$3:$H$10000,8,FALSE),"0")</f>
        <v>0</v>
      </c>
      <c r="K6927" s="4"/>
      <c r="L6927" s="33" t="str">
        <f>IFERROR(VLOOKUP($J6927,'Informations sur les produits'!$A$3:$H$10000,8,FALSE),"0")</f>
        <v>0</v>
      </c>
      <c r="N6927" s="8"/>
      <c r="O6927" s="33" t="str">
        <f>IFERROR(VLOOKUP($M6927,'Informations sur les produits'!$A$3:$H$10000,8,FALSE),"0")</f>
        <v>0</v>
      </c>
      <c r="P6927" s="33">
        <f t="shared" si="432"/>
        <v>0</v>
      </c>
      <c r="Q6927" s="31" t="str">
        <f t="shared" si="433"/>
        <v/>
      </c>
      <c r="R6927" s="32" t="str">
        <f>IFERROR(VLOOKUP($D6927,'Informations sur les produits'!$A$3:$B$15000,2,FALSE),"")</f>
        <v/>
      </c>
      <c r="V6927">
        <f t="shared" si="434"/>
        <v>0</v>
      </c>
      <c r="W6927">
        <f t="shared" si="435"/>
        <v>0</v>
      </c>
    </row>
    <row r="6928" spans="5:23" x14ac:dyDescent="0.25">
      <c r="E6928" s="4"/>
      <c r="F6928" s="4"/>
      <c r="G6928" s="33" t="str">
        <f>IFERROR(VLOOKUP($D6928,'Informations sur les produits'!$A$3:$H$10000,8,FALSE),"0")</f>
        <v>0</v>
      </c>
      <c r="K6928" s="4"/>
      <c r="L6928" s="33" t="str">
        <f>IFERROR(VLOOKUP($J6928,'Informations sur les produits'!$A$3:$H$10000,8,FALSE),"0")</f>
        <v>0</v>
      </c>
      <c r="N6928" s="8"/>
      <c r="O6928" s="33" t="str">
        <f>IFERROR(VLOOKUP($M6928,'Informations sur les produits'!$A$3:$H$10000,8,FALSE),"0")</f>
        <v>0</v>
      </c>
      <c r="P6928" s="33">
        <f t="shared" si="432"/>
        <v>0</v>
      </c>
      <c r="Q6928" s="31" t="str">
        <f t="shared" si="433"/>
        <v/>
      </c>
      <c r="R6928" s="32" t="str">
        <f>IFERROR(VLOOKUP($D6928,'Informations sur les produits'!$A$3:$B$15000,2,FALSE),"")</f>
        <v/>
      </c>
      <c r="V6928">
        <f t="shared" si="434"/>
        <v>0</v>
      </c>
      <c r="W6928">
        <f t="shared" si="435"/>
        <v>0</v>
      </c>
    </row>
    <row r="6929" spans="5:23" x14ac:dyDescent="0.25">
      <c r="E6929" s="4"/>
      <c r="F6929" s="4"/>
      <c r="G6929" s="33" t="str">
        <f>IFERROR(VLOOKUP($D6929,'Informations sur les produits'!$A$3:$H$10000,8,FALSE),"0")</f>
        <v>0</v>
      </c>
      <c r="K6929" s="4"/>
      <c r="L6929" s="33" t="str">
        <f>IFERROR(VLOOKUP($J6929,'Informations sur les produits'!$A$3:$H$10000,8,FALSE),"0")</f>
        <v>0</v>
      </c>
      <c r="N6929" s="8"/>
      <c r="O6929" s="33" t="str">
        <f>IFERROR(VLOOKUP($M6929,'Informations sur les produits'!$A$3:$H$10000,8,FALSE),"0")</f>
        <v>0</v>
      </c>
      <c r="P6929" s="33">
        <f t="shared" si="432"/>
        <v>0</v>
      </c>
      <c r="Q6929" s="31" t="str">
        <f t="shared" si="433"/>
        <v/>
      </c>
      <c r="R6929" s="32" t="str">
        <f>IFERROR(VLOOKUP($D6929,'Informations sur les produits'!$A$3:$B$15000,2,FALSE),"")</f>
        <v/>
      </c>
      <c r="V6929">
        <f t="shared" si="434"/>
        <v>0</v>
      </c>
      <c r="W6929">
        <f t="shared" si="435"/>
        <v>0</v>
      </c>
    </row>
    <row r="6930" spans="5:23" x14ac:dyDescent="0.25">
      <c r="E6930" s="4"/>
      <c r="F6930" s="4"/>
      <c r="G6930" s="33" t="str">
        <f>IFERROR(VLOOKUP($D6930,'Informations sur les produits'!$A$3:$H$10000,8,FALSE),"0")</f>
        <v>0</v>
      </c>
      <c r="K6930" s="4"/>
      <c r="L6930" s="33" t="str">
        <f>IFERROR(VLOOKUP($J6930,'Informations sur les produits'!$A$3:$H$10000,8,FALSE),"0")</f>
        <v>0</v>
      </c>
      <c r="N6930" s="8"/>
      <c r="O6930" s="33" t="str">
        <f>IFERROR(VLOOKUP($M6930,'Informations sur les produits'!$A$3:$H$10000,8,FALSE),"0")</f>
        <v>0</v>
      </c>
      <c r="P6930" s="33">
        <f t="shared" si="432"/>
        <v>0</v>
      </c>
      <c r="Q6930" s="31" t="str">
        <f t="shared" si="433"/>
        <v/>
      </c>
      <c r="R6930" s="32" t="str">
        <f>IFERROR(VLOOKUP($D6930,'Informations sur les produits'!$A$3:$B$15000,2,FALSE),"")</f>
        <v/>
      </c>
      <c r="V6930">
        <f t="shared" si="434"/>
        <v>0</v>
      </c>
      <c r="W6930">
        <f t="shared" si="435"/>
        <v>0</v>
      </c>
    </row>
    <row r="6931" spans="5:23" x14ac:dyDescent="0.25">
      <c r="E6931" s="4"/>
      <c r="F6931" s="4"/>
      <c r="G6931" s="33" t="str">
        <f>IFERROR(VLOOKUP($D6931,'Informations sur les produits'!$A$3:$H$10000,8,FALSE),"0")</f>
        <v>0</v>
      </c>
      <c r="K6931" s="4"/>
      <c r="L6931" s="33" t="str">
        <f>IFERROR(VLOOKUP($J6931,'Informations sur les produits'!$A$3:$H$10000,8,FALSE),"0")</f>
        <v>0</v>
      </c>
      <c r="N6931" s="8"/>
      <c r="O6931" s="33" t="str">
        <f>IFERROR(VLOOKUP($M6931,'Informations sur les produits'!$A$3:$H$10000,8,FALSE),"0")</f>
        <v>0</v>
      </c>
      <c r="P6931" s="33">
        <f t="shared" si="432"/>
        <v>0</v>
      </c>
      <c r="Q6931" s="31" t="str">
        <f t="shared" si="433"/>
        <v/>
      </c>
      <c r="R6931" s="32" t="str">
        <f>IFERROR(VLOOKUP($D6931,'Informations sur les produits'!$A$3:$B$15000,2,FALSE),"")</f>
        <v/>
      </c>
      <c r="V6931">
        <f t="shared" si="434"/>
        <v>0</v>
      </c>
      <c r="W6931">
        <f t="shared" si="435"/>
        <v>0</v>
      </c>
    </row>
    <row r="6932" spans="5:23" x14ac:dyDescent="0.25">
      <c r="E6932" s="4"/>
      <c r="F6932" s="4"/>
      <c r="G6932" s="33" t="str">
        <f>IFERROR(VLOOKUP($D6932,'Informations sur les produits'!$A$3:$H$10000,8,FALSE),"0")</f>
        <v>0</v>
      </c>
      <c r="K6932" s="4"/>
      <c r="L6932" s="33" t="str">
        <f>IFERROR(VLOOKUP($J6932,'Informations sur les produits'!$A$3:$H$10000,8,FALSE),"0")</f>
        <v>0</v>
      </c>
      <c r="N6932" s="8"/>
      <c r="O6932" s="33" t="str">
        <f>IFERROR(VLOOKUP($M6932,'Informations sur les produits'!$A$3:$H$10000,8,FALSE),"0")</f>
        <v>0</v>
      </c>
      <c r="P6932" s="33">
        <f t="shared" si="432"/>
        <v>0</v>
      </c>
      <c r="Q6932" s="31" t="str">
        <f t="shared" si="433"/>
        <v/>
      </c>
      <c r="R6932" s="32" t="str">
        <f>IFERROR(VLOOKUP($D6932,'Informations sur les produits'!$A$3:$B$15000,2,FALSE),"")</f>
        <v/>
      </c>
      <c r="V6932">
        <f t="shared" si="434"/>
        <v>0</v>
      </c>
      <c r="W6932">
        <f t="shared" si="435"/>
        <v>0</v>
      </c>
    </row>
    <row r="6933" spans="5:23" x14ac:dyDescent="0.25">
      <c r="E6933" s="4"/>
      <c r="F6933" s="4"/>
      <c r="G6933" s="33" t="str">
        <f>IFERROR(VLOOKUP($D6933,'Informations sur les produits'!$A$3:$H$10000,8,FALSE),"0")</f>
        <v>0</v>
      </c>
      <c r="K6933" s="4"/>
      <c r="L6933" s="33" t="str">
        <f>IFERROR(VLOOKUP($J6933,'Informations sur les produits'!$A$3:$H$10000,8,FALSE),"0")</f>
        <v>0</v>
      </c>
      <c r="N6933" s="8"/>
      <c r="O6933" s="33" t="str">
        <f>IFERROR(VLOOKUP($M6933,'Informations sur les produits'!$A$3:$H$10000,8,FALSE),"0")</f>
        <v>0</v>
      </c>
      <c r="P6933" s="33">
        <f t="shared" si="432"/>
        <v>0</v>
      </c>
      <c r="Q6933" s="31" t="str">
        <f t="shared" si="433"/>
        <v/>
      </c>
      <c r="R6933" s="32" t="str">
        <f>IFERROR(VLOOKUP($D6933,'Informations sur les produits'!$A$3:$B$15000,2,FALSE),"")</f>
        <v/>
      </c>
      <c r="V6933">
        <f t="shared" si="434"/>
        <v>0</v>
      </c>
      <c r="W6933">
        <f t="shared" si="435"/>
        <v>0</v>
      </c>
    </row>
    <row r="6934" spans="5:23" x14ac:dyDescent="0.25">
      <c r="E6934" s="4"/>
      <c r="F6934" s="4"/>
      <c r="G6934" s="33" t="str">
        <f>IFERROR(VLOOKUP($D6934,'Informations sur les produits'!$A$3:$H$10000,8,FALSE),"0")</f>
        <v>0</v>
      </c>
      <c r="K6934" s="4"/>
      <c r="L6934" s="33" t="str">
        <f>IFERROR(VLOOKUP($J6934,'Informations sur les produits'!$A$3:$H$10000,8,FALSE),"0")</f>
        <v>0</v>
      </c>
      <c r="N6934" s="8"/>
      <c r="O6934" s="33" t="str">
        <f>IFERROR(VLOOKUP($M6934,'Informations sur les produits'!$A$3:$H$10000,8,FALSE),"0")</f>
        <v>0</v>
      </c>
      <c r="P6934" s="33">
        <f t="shared" si="432"/>
        <v>0</v>
      </c>
      <c r="Q6934" s="31" t="str">
        <f t="shared" si="433"/>
        <v/>
      </c>
      <c r="R6934" s="32" t="str">
        <f>IFERROR(VLOOKUP($D6934,'Informations sur les produits'!$A$3:$B$15000,2,FALSE),"")</f>
        <v/>
      </c>
      <c r="V6934">
        <f t="shared" si="434"/>
        <v>0</v>
      </c>
      <c r="W6934">
        <f t="shared" si="435"/>
        <v>0</v>
      </c>
    </row>
    <row r="6935" spans="5:23" x14ac:dyDescent="0.25">
      <c r="E6935" s="4"/>
      <c r="F6935" s="4"/>
      <c r="G6935" s="33" t="str">
        <f>IFERROR(VLOOKUP($D6935,'Informations sur les produits'!$A$3:$H$10000,8,FALSE),"0")</f>
        <v>0</v>
      </c>
      <c r="K6935" s="4"/>
      <c r="L6935" s="33" t="str">
        <f>IFERROR(VLOOKUP($J6935,'Informations sur les produits'!$A$3:$H$10000,8,FALSE),"0")</f>
        <v>0</v>
      </c>
      <c r="N6935" s="8"/>
      <c r="O6935" s="33" t="str">
        <f>IFERROR(VLOOKUP($M6935,'Informations sur les produits'!$A$3:$H$10000,8,FALSE),"0")</f>
        <v>0</v>
      </c>
      <c r="P6935" s="33">
        <f t="shared" si="432"/>
        <v>0</v>
      </c>
      <c r="Q6935" s="31" t="str">
        <f t="shared" si="433"/>
        <v/>
      </c>
      <c r="R6935" s="32" t="str">
        <f>IFERROR(VLOOKUP($D6935,'Informations sur les produits'!$A$3:$B$15000,2,FALSE),"")</f>
        <v/>
      </c>
      <c r="V6935">
        <f t="shared" si="434"/>
        <v>0</v>
      </c>
      <c r="W6935">
        <f t="shared" si="435"/>
        <v>0</v>
      </c>
    </row>
    <row r="6936" spans="5:23" x14ac:dyDescent="0.25">
      <c r="E6936" s="4"/>
      <c r="F6936" s="4"/>
      <c r="G6936" s="33" t="str">
        <f>IFERROR(VLOOKUP($D6936,'Informations sur les produits'!$A$3:$H$10000,8,FALSE),"0")</f>
        <v>0</v>
      </c>
      <c r="K6936" s="4"/>
      <c r="L6936" s="33" t="str">
        <f>IFERROR(VLOOKUP($J6936,'Informations sur les produits'!$A$3:$H$10000,8,FALSE),"0")</f>
        <v>0</v>
      </c>
      <c r="N6936" s="8"/>
      <c r="O6936" s="33" t="str">
        <f>IFERROR(VLOOKUP($M6936,'Informations sur les produits'!$A$3:$H$10000,8,FALSE),"0")</f>
        <v>0</v>
      </c>
      <c r="P6936" s="33">
        <f t="shared" si="432"/>
        <v>0</v>
      </c>
      <c r="Q6936" s="31" t="str">
        <f t="shared" si="433"/>
        <v/>
      </c>
      <c r="R6936" s="32" t="str">
        <f>IFERROR(VLOOKUP($D6936,'Informations sur les produits'!$A$3:$B$15000,2,FALSE),"")</f>
        <v/>
      </c>
      <c r="V6936">
        <f t="shared" si="434"/>
        <v>0</v>
      </c>
      <c r="W6936">
        <f t="shared" si="435"/>
        <v>0</v>
      </c>
    </row>
    <row r="6937" spans="5:23" x14ac:dyDescent="0.25">
      <c r="E6937" s="4"/>
      <c r="F6937" s="4"/>
      <c r="G6937" s="33" t="str">
        <f>IFERROR(VLOOKUP($D6937,'Informations sur les produits'!$A$3:$H$10000,8,FALSE),"0")</f>
        <v>0</v>
      </c>
      <c r="K6937" s="4"/>
      <c r="L6937" s="33" t="str">
        <f>IFERROR(VLOOKUP($J6937,'Informations sur les produits'!$A$3:$H$10000,8,FALSE),"0")</f>
        <v>0</v>
      </c>
      <c r="N6937" s="8"/>
      <c r="O6937" s="33" t="str">
        <f>IFERROR(VLOOKUP($M6937,'Informations sur les produits'!$A$3:$H$10000,8,FALSE),"0")</f>
        <v>0</v>
      </c>
      <c r="P6937" s="33">
        <f t="shared" si="432"/>
        <v>0</v>
      </c>
      <c r="Q6937" s="31" t="str">
        <f t="shared" si="433"/>
        <v/>
      </c>
      <c r="R6937" s="32" t="str">
        <f>IFERROR(VLOOKUP($D6937,'Informations sur les produits'!$A$3:$B$15000,2,FALSE),"")</f>
        <v/>
      </c>
      <c r="V6937">
        <f t="shared" si="434"/>
        <v>0</v>
      </c>
      <c r="W6937">
        <f t="shared" si="435"/>
        <v>0</v>
      </c>
    </row>
    <row r="6938" spans="5:23" x14ac:dyDescent="0.25">
      <c r="E6938" s="4"/>
      <c r="F6938" s="4"/>
      <c r="G6938" s="33" t="str">
        <f>IFERROR(VLOOKUP($D6938,'Informations sur les produits'!$A$3:$H$10000,8,FALSE),"0")</f>
        <v>0</v>
      </c>
      <c r="K6938" s="4"/>
      <c r="L6938" s="33" t="str">
        <f>IFERROR(VLOOKUP($J6938,'Informations sur les produits'!$A$3:$H$10000,8,FALSE),"0")</f>
        <v>0</v>
      </c>
      <c r="N6938" s="8"/>
      <c r="O6938" s="33" t="str">
        <f>IFERROR(VLOOKUP($M6938,'Informations sur les produits'!$A$3:$H$10000,8,FALSE),"0")</f>
        <v>0</v>
      </c>
      <c r="P6938" s="33">
        <f t="shared" si="432"/>
        <v>0</v>
      </c>
      <c r="Q6938" s="31" t="str">
        <f t="shared" si="433"/>
        <v/>
      </c>
      <c r="R6938" s="32" t="str">
        <f>IFERROR(VLOOKUP($D6938,'Informations sur les produits'!$A$3:$B$15000,2,FALSE),"")</f>
        <v/>
      </c>
      <c r="V6938">
        <f t="shared" si="434"/>
        <v>0</v>
      </c>
      <c r="W6938">
        <f t="shared" si="435"/>
        <v>0</v>
      </c>
    </row>
    <row r="6939" spans="5:23" x14ac:dyDescent="0.25">
      <c r="E6939" s="4"/>
      <c r="F6939" s="4"/>
      <c r="G6939" s="33" t="str">
        <f>IFERROR(VLOOKUP($D6939,'Informations sur les produits'!$A$3:$H$10000,8,FALSE),"0")</f>
        <v>0</v>
      </c>
      <c r="K6939" s="4"/>
      <c r="L6939" s="33" t="str">
        <f>IFERROR(VLOOKUP($J6939,'Informations sur les produits'!$A$3:$H$10000,8,FALSE),"0")</f>
        <v>0</v>
      </c>
      <c r="N6939" s="8"/>
      <c r="O6939" s="33" t="str">
        <f>IFERROR(VLOOKUP($M6939,'Informations sur les produits'!$A$3:$H$10000,8,FALSE),"0")</f>
        <v>0</v>
      </c>
      <c r="P6939" s="33">
        <f t="shared" si="432"/>
        <v>0</v>
      </c>
      <c r="Q6939" s="31" t="str">
        <f t="shared" si="433"/>
        <v/>
      </c>
      <c r="R6939" s="32" t="str">
        <f>IFERROR(VLOOKUP($D6939,'Informations sur les produits'!$A$3:$B$15000,2,FALSE),"")</f>
        <v/>
      </c>
      <c r="V6939">
        <f t="shared" si="434"/>
        <v>0</v>
      </c>
      <c r="W6939">
        <f t="shared" si="435"/>
        <v>0</v>
      </c>
    </row>
    <row r="6940" spans="5:23" x14ac:dyDescent="0.25">
      <c r="E6940" s="4"/>
      <c r="F6940" s="4"/>
      <c r="G6940" s="33" t="str">
        <f>IFERROR(VLOOKUP($D6940,'Informations sur les produits'!$A$3:$H$10000,8,FALSE),"0")</f>
        <v>0</v>
      </c>
      <c r="K6940" s="4"/>
      <c r="L6940" s="33" t="str">
        <f>IFERROR(VLOOKUP($J6940,'Informations sur les produits'!$A$3:$H$10000,8,FALSE),"0")</f>
        <v>0</v>
      </c>
      <c r="N6940" s="8"/>
      <c r="O6940" s="33" t="str">
        <f>IFERROR(VLOOKUP($M6940,'Informations sur les produits'!$A$3:$H$10000,8,FALSE),"0")</f>
        <v>0</v>
      </c>
      <c r="P6940" s="33">
        <f t="shared" si="432"/>
        <v>0</v>
      </c>
      <c r="Q6940" s="31" t="str">
        <f t="shared" si="433"/>
        <v/>
      </c>
      <c r="R6940" s="32" t="str">
        <f>IFERROR(VLOOKUP($D6940,'Informations sur les produits'!$A$3:$B$15000,2,FALSE),"")</f>
        <v/>
      </c>
      <c r="V6940">
        <f t="shared" si="434"/>
        <v>0</v>
      </c>
      <c r="W6940">
        <f t="shared" si="435"/>
        <v>0</v>
      </c>
    </row>
    <row r="6941" spans="5:23" x14ac:dyDescent="0.25">
      <c r="E6941" s="4"/>
      <c r="F6941" s="4"/>
      <c r="G6941" s="33" t="str">
        <f>IFERROR(VLOOKUP($D6941,'Informations sur les produits'!$A$3:$H$10000,8,FALSE),"0")</f>
        <v>0</v>
      </c>
      <c r="K6941" s="4"/>
      <c r="L6941" s="33" t="str">
        <f>IFERROR(VLOOKUP($J6941,'Informations sur les produits'!$A$3:$H$10000,8,FALSE),"0")</f>
        <v>0</v>
      </c>
      <c r="N6941" s="8"/>
      <c r="O6941" s="33" t="str">
        <f>IFERROR(VLOOKUP($M6941,'Informations sur les produits'!$A$3:$H$10000,8,FALSE),"0")</f>
        <v>0</v>
      </c>
      <c r="P6941" s="33">
        <f t="shared" si="432"/>
        <v>0</v>
      </c>
      <c r="Q6941" s="31" t="str">
        <f t="shared" si="433"/>
        <v/>
      </c>
      <c r="R6941" s="32" t="str">
        <f>IFERROR(VLOOKUP($D6941,'Informations sur les produits'!$A$3:$B$15000,2,FALSE),"")</f>
        <v/>
      </c>
      <c r="V6941">
        <f t="shared" si="434"/>
        <v>0</v>
      </c>
      <c r="W6941">
        <f t="shared" si="435"/>
        <v>0</v>
      </c>
    </row>
    <row r="6942" spans="5:23" x14ac:dyDescent="0.25">
      <c r="E6942" s="4"/>
      <c r="F6942" s="4"/>
      <c r="G6942" s="33" t="str">
        <f>IFERROR(VLOOKUP($D6942,'Informations sur les produits'!$A$3:$H$10000,8,FALSE),"0")</f>
        <v>0</v>
      </c>
      <c r="K6942" s="4"/>
      <c r="L6942" s="33" t="str">
        <f>IFERROR(VLOOKUP($J6942,'Informations sur les produits'!$A$3:$H$10000,8,FALSE),"0")</f>
        <v>0</v>
      </c>
      <c r="N6942" s="8"/>
      <c r="O6942" s="33" t="str">
        <f>IFERROR(VLOOKUP($M6942,'Informations sur les produits'!$A$3:$H$10000,8,FALSE),"0")</f>
        <v>0</v>
      </c>
      <c r="P6942" s="33">
        <f t="shared" si="432"/>
        <v>0</v>
      </c>
      <c r="Q6942" s="31" t="str">
        <f t="shared" si="433"/>
        <v/>
      </c>
      <c r="R6942" s="32" t="str">
        <f>IFERROR(VLOOKUP($D6942,'Informations sur les produits'!$A$3:$B$15000,2,FALSE),"")</f>
        <v/>
      </c>
      <c r="V6942">
        <f t="shared" si="434"/>
        <v>0</v>
      </c>
      <c r="W6942">
        <f t="shared" si="435"/>
        <v>0</v>
      </c>
    </row>
    <row r="6943" spans="5:23" x14ac:dyDescent="0.25">
      <c r="E6943" s="4"/>
      <c r="F6943" s="4"/>
      <c r="G6943" s="33" t="str">
        <f>IFERROR(VLOOKUP($D6943,'Informations sur les produits'!$A$3:$H$10000,8,FALSE),"0")</f>
        <v>0</v>
      </c>
      <c r="K6943" s="4"/>
      <c r="L6943" s="33" t="str">
        <f>IFERROR(VLOOKUP($J6943,'Informations sur les produits'!$A$3:$H$10000,8,FALSE),"0")</f>
        <v>0</v>
      </c>
      <c r="N6943" s="8"/>
      <c r="O6943" s="33" t="str">
        <f>IFERROR(VLOOKUP($M6943,'Informations sur les produits'!$A$3:$H$10000,8,FALSE),"0")</f>
        <v>0</v>
      </c>
      <c r="P6943" s="33">
        <f t="shared" si="432"/>
        <v>0</v>
      </c>
      <c r="Q6943" s="31" t="str">
        <f t="shared" si="433"/>
        <v/>
      </c>
      <c r="R6943" s="32" t="str">
        <f>IFERROR(VLOOKUP($D6943,'Informations sur les produits'!$A$3:$B$15000,2,FALSE),"")</f>
        <v/>
      </c>
      <c r="V6943">
        <f t="shared" si="434"/>
        <v>0</v>
      </c>
      <c r="W6943">
        <f t="shared" si="435"/>
        <v>0</v>
      </c>
    </row>
    <row r="6944" spans="5:23" x14ac:dyDescent="0.25">
      <c r="E6944" s="4"/>
      <c r="F6944" s="4"/>
      <c r="G6944" s="33" t="str">
        <f>IFERROR(VLOOKUP($D6944,'Informations sur les produits'!$A$3:$H$10000,8,FALSE),"0")</f>
        <v>0</v>
      </c>
      <c r="K6944" s="4"/>
      <c r="L6944" s="33" t="str">
        <f>IFERROR(VLOOKUP($J6944,'Informations sur les produits'!$A$3:$H$10000,8,FALSE),"0")</f>
        <v>0</v>
      </c>
      <c r="N6944" s="8"/>
      <c r="O6944" s="33" t="str">
        <f>IFERROR(VLOOKUP($M6944,'Informations sur les produits'!$A$3:$H$10000,8,FALSE),"0")</f>
        <v>0</v>
      </c>
      <c r="P6944" s="33">
        <f t="shared" si="432"/>
        <v>0</v>
      </c>
      <c r="Q6944" s="31" t="str">
        <f t="shared" si="433"/>
        <v/>
      </c>
      <c r="R6944" s="32" t="str">
        <f>IFERROR(VLOOKUP($D6944,'Informations sur les produits'!$A$3:$B$15000,2,FALSE),"")</f>
        <v/>
      </c>
      <c r="V6944">
        <f t="shared" si="434"/>
        <v>0</v>
      </c>
      <c r="W6944">
        <f t="shared" si="435"/>
        <v>0</v>
      </c>
    </row>
    <row r="6945" spans="5:23" x14ac:dyDescent="0.25">
      <c r="E6945" s="4"/>
      <c r="F6945" s="4"/>
      <c r="G6945" s="33" t="str">
        <f>IFERROR(VLOOKUP($D6945,'Informations sur les produits'!$A$3:$H$10000,8,FALSE),"0")</f>
        <v>0</v>
      </c>
      <c r="K6945" s="4"/>
      <c r="L6945" s="33" t="str">
        <f>IFERROR(VLOOKUP($J6945,'Informations sur les produits'!$A$3:$H$10000,8,FALSE),"0")</f>
        <v>0</v>
      </c>
      <c r="N6945" s="8"/>
      <c r="O6945" s="33" t="str">
        <f>IFERROR(VLOOKUP($M6945,'Informations sur les produits'!$A$3:$H$10000,8,FALSE),"0")</f>
        <v>0</v>
      </c>
      <c r="P6945" s="33">
        <f t="shared" si="432"/>
        <v>0</v>
      </c>
      <c r="Q6945" s="31" t="str">
        <f t="shared" si="433"/>
        <v/>
      </c>
      <c r="R6945" s="32" t="str">
        <f>IFERROR(VLOOKUP($D6945,'Informations sur les produits'!$A$3:$B$15000,2,FALSE),"")</f>
        <v/>
      </c>
      <c r="V6945">
        <f t="shared" si="434"/>
        <v>0</v>
      </c>
      <c r="W6945">
        <f t="shared" si="435"/>
        <v>0</v>
      </c>
    </row>
    <row r="6946" spans="5:23" x14ac:dyDescent="0.25">
      <c r="E6946" s="4"/>
      <c r="F6946" s="4"/>
      <c r="G6946" s="33" t="str">
        <f>IFERROR(VLOOKUP($D6946,'Informations sur les produits'!$A$3:$H$10000,8,FALSE),"0")</f>
        <v>0</v>
      </c>
      <c r="K6946" s="4"/>
      <c r="L6946" s="33" t="str">
        <f>IFERROR(VLOOKUP($J6946,'Informations sur les produits'!$A$3:$H$10000,8,FALSE),"0")</f>
        <v>0</v>
      </c>
      <c r="N6946" s="8"/>
      <c r="O6946" s="33" t="str">
        <f>IFERROR(VLOOKUP($M6946,'Informations sur les produits'!$A$3:$H$10000,8,FALSE),"0")</f>
        <v>0</v>
      </c>
      <c r="P6946" s="33">
        <f t="shared" si="432"/>
        <v>0</v>
      </c>
      <c r="Q6946" s="31" t="str">
        <f t="shared" si="433"/>
        <v/>
      </c>
      <c r="R6946" s="32" t="str">
        <f>IFERROR(VLOOKUP($D6946,'Informations sur les produits'!$A$3:$B$15000,2,FALSE),"")</f>
        <v/>
      </c>
      <c r="V6946">
        <f t="shared" si="434"/>
        <v>0</v>
      </c>
      <c r="W6946">
        <f t="shared" si="435"/>
        <v>0</v>
      </c>
    </row>
    <row r="6947" spans="5:23" x14ac:dyDescent="0.25">
      <c r="E6947" s="4"/>
      <c r="F6947" s="4"/>
      <c r="G6947" s="33" t="str">
        <f>IFERROR(VLOOKUP($D6947,'Informations sur les produits'!$A$3:$H$10000,8,FALSE),"0")</f>
        <v>0</v>
      </c>
      <c r="K6947" s="4"/>
      <c r="L6947" s="33" t="str">
        <f>IFERROR(VLOOKUP($J6947,'Informations sur les produits'!$A$3:$H$10000,8,FALSE),"0")</f>
        <v>0</v>
      </c>
      <c r="N6947" s="8"/>
      <c r="O6947" s="33" t="str">
        <f>IFERROR(VLOOKUP($M6947,'Informations sur les produits'!$A$3:$H$10000,8,FALSE),"0")</f>
        <v>0</v>
      </c>
      <c r="P6947" s="33">
        <f t="shared" si="432"/>
        <v>0</v>
      </c>
      <c r="Q6947" s="31" t="str">
        <f t="shared" si="433"/>
        <v/>
      </c>
      <c r="R6947" s="32" t="str">
        <f>IFERROR(VLOOKUP($D6947,'Informations sur les produits'!$A$3:$B$15000,2,FALSE),"")</f>
        <v/>
      </c>
      <c r="V6947">
        <f t="shared" si="434"/>
        <v>0</v>
      </c>
      <c r="W6947">
        <f t="shared" si="435"/>
        <v>0</v>
      </c>
    </row>
    <row r="6948" spans="5:23" x14ac:dyDescent="0.25">
      <c r="E6948" s="4"/>
      <c r="F6948" s="4"/>
      <c r="G6948" s="33" t="str">
        <f>IFERROR(VLOOKUP($D6948,'Informations sur les produits'!$A$3:$H$10000,8,FALSE),"0")</f>
        <v>0</v>
      </c>
      <c r="K6948" s="4"/>
      <c r="L6948" s="33" t="str">
        <f>IFERROR(VLOOKUP($J6948,'Informations sur les produits'!$A$3:$H$10000,8,FALSE),"0")</f>
        <v>0</v>
      </c>
      <c r="N6948" s="8"/>
      <c r="O6948" s="33" t="str">
        <f>IFERROR(VLOOKUP($M6948,'Informations sur les produits'!$A$3:$H$10000,8,FALSE),"0")</f>
        <v>0</v>
      </c>
      <c r="P6948" s="33">
        <f t="shared" si="432"/>
        <v>0</v>
      </c>
      <c r="Q6948" s="31" t="str">
        <f t="shared" si="433"/>
        <v/>
      </c>
      <c r="R6948" s="32" t="str">
        <f>IFERROR(VLOOKUP($D6948,'Informations sur les produits'!$A$3:$B$15000,2,FALSE),"")</f>
        <v/>
      </c>
      <c r="V6948">
        <f t="shared" si="434"/>
        <v>0</v>
      </c>
      <c r="W6948">
        <f t="shared" si="435"/>
        <v>0</v>
      </c>
    </row>
    <row r="6949" spans="5:23" x14ac:dyDescent="0.25">
      <c r="E6949" s="4"/>
      <c r="F6949" s="4"/>
      <c r="G6949" s="33" t="str">
        <f>IFERROR(VLOOKUP($D6949,'Informations sur les produits'!$A$3:$H$10000,8,FALSE),"0")</f>
        <v>0</v>
      </c>
      <c r="K6949" s="4"/>
      <c r="L6949" s="33" t="str">
        <f>IFERROR(VLOOKUP($J6949,'Informations sur les produits'!$A$3:$H$10000,8,FALSE),"0")</f>
        <v>0</v>
      </c>
      <c r="N6949" s="8"/>
      <c r="O6949" s="33" t="str">
        <f>IFERROR(VLOOKUP($M6949,'Informations sur les produits'!$A$3:$H$10000,8,FALSE),"0")</f>
        <v>0</v>
      </c>
      <c r="P6949" s="33">
        <f t="shared" si="432"/>
        <v>0</v>
      </c>
      <c r="Q6949" s="31" t="str">
        <f t="shared" si="433"/>
        <v/>
      </c>
      <c r="R6949" s="32" t="str">
        <f>IFERROR(VLOOKUP($D6949,'Informations sur les produits'!$A$3:$B$15000,2,FALSE),"")</f>
        <v/>
      </c>
      <c r="V6949">
        <f t="shared" si="434"/>
        <v>0</v>
      </c>
      <c r="W6949">
        <f t="shared" si="435"/>
        <v>0</v>
      </c>
    </row>
    <row r="6950" spans="5:23" x14ac:dyDescent="0.25">
      <c r="E6950" s="4"/>
      <c r="F6950" s="4"/>
      <c r="G6950" s="33" t="str">
        <f>IFERROR(VLOOKUP($D6950,'Informations sur les produits'!$A$3:$H$10000,8,FALSE),"0")</f>
        <v>0</v>
      </c>
      <c r="K6950" s="4"/>
      <c r="L6950" s="33" t="str">
        <f>IFERROR(VLOOKUP($J6950,'Informations sur les produits'!$A$3:$H$10000,8,FALSE),"0")</f>
        <v>0</v>
      </c>
      <c r="N6950" s="8"/>
      <c r="O6950" s="33" t="str">
        <f>IFERROR(VLOOKUP($M6950,'Informations sur les produits'!$A$3:$H$10000,8,FALSE),"0")</f>
        <v>0</v>
      </c>
      <c r="P6950" s="33">
        <f t="shared" si="432"/>
        <v>0</v>
      </c>
      <c r="Q6950" s="31" t="str">
        <f t="shared" si="433"/>
        <v/>
      </c>
      <c r="R6950" s="32" t="str">
        <f>IFERROR(VLOOKUP($D6950,'Informations sur les produits'!$A$3:$B$15000,2,FALSE),"")</f>
        <v/>
      </c>
      <c r="V6950">
        <f t="shared" si="434"/>
        <v>0</v>
      </c>
      <c r="W6950">
        <f t="shared" si="435"/>
        <v>0</v>
      </c>
    </row>
    <row r="6951" spans="5:23" x14ac:dyDescent="0.25">
      <c r="E6951" s="4"/>
      <c r="F6951" s="4"/>
      <c r="G6951" s="33" t="str">
        <f>IFERROR(VLOOKUP($D6951,'Informations sur les produits'!$A$3:$H$10000,8,FALSE),"0")</f>
        <v>0</v>
      </c>
      <c r="K6951" s="4"/>
      <c r="L6951" s="33" t="str">
        <f>IFERROR(VLOOKUP($J6951,'Informations sur les produits'!$A$3:$H$10000,8,FALSE),"0")</f>
        <v>0</v>
      </c>
      <c r="N6951" s="8"/>
      <c r="O6951" s="33" t="str">
        <f>IFERROR(VLOOKUP($M6951,'Informations sur les produits'!$A$3:$H$10000,8,FALSE),"0")</f>
        <v>0</v>
      </c>
      <c r="P6951" s="33">
        <f t="shared" si="432"/>
        <v>0</v>
      </c>
      <c r="Q6951" s="31" t="str">
        <f t="shared" si="433"/>
        <v/>
      </c>
      <c r="R6951" s="32" t="str">
        <f>IFERROR(VLOOKUP($D6951,'Informations sur les produits'!$A$3:$B$15000,2,FALSE),"")</f>
        <v/>
      </c>
      <c r="V6951">
        <f t="shared" si="434"/>
        <v>0</v>
      </c>
      <c r="W6951">
        <f t="shared" si="435"/>
        <v>0</v>
      </c>
    </row>
    <row r="6952" spans="5:23" x14ac:dyDescent="0.25">
      <c r="E6952" s="4"/>
      <c r="F6952" s="4"/>
      <c r="G6952" s="33" t="str">
        <f>IFERROR(VLOOKUP($D6952,'Informations sur les produits'!$A$3:$H$10000,8,FALSE),"0")</f>
        <v>0</v>
      </c>
      <c r="K6952" s="4"/>
      <c r="L6952" s="33" t="str">
        <f>IFERROR(VLOOKUP($J6952,'Informations sur les produits'!$A$3:$H$10000,8,FALSE),"0")</f>
        <v>0</v>
      </c>
      <c r="N6952" s="8"/>
      <c r="O6952" s="33" t="str">
        <f>IFERROR(VLOOKUP($M6952,'Informations sur les produits'!$A$3:$H$10000,8,FALSE),"0")</f>
        <v>0</v>
      </c>
      <c r="P6952" s="33">
        <f t="shared" si="432"/>
        <v>0</v>
      </c>
      <c r="Q6952" s="31" t="str">
        <f t="shared" si="433"/>
        <v/>
      </c>
      <c r="R6952" s="32" t="str">
        <f>IFERROR(VLOOKUP($D6952,'Informations sur les produits'!$A$3:$B$15000,2,FALSE),"")</f>
        <v/>
      </c>
      <c r="V6952">
        <f t="shared" si="434"/>
        <v>0</v>
      </c>
      <c r="W6952">
        <f t="shared" si="435"/>
        <v>0</v>
      </c>
    </row>
    <row r="6953" spans="5:23" x14ac:dyDescent="0.25">
      <c r="E6953" s="4"/>
      <c r="F6953" s="4"/>
      <c r="G6953" s="33" t="str">
        <f>IFERROR(VLOOKUP($D6953,'Informations sur les produits'!$A$3:$H$10000,8,FALSE),"0")</f>
        <v>0</v>
      </c>
      <c r="K6953" s="4"/>
      <c r="L6953" s="33" t="str">
        <f>IFERROR(VLOOKUP($J6953,'Informations sur les produits'!$A$3:$H$10000,8,FALSE),"0")</f>
        <v>0</v>
      </c>
      <c r="N6953" s="8"/>
      <c r="O6953" s="33" t="str">
        <f>IFERROR(VLOOKUP($M6953,'Informations sur les produits'!$A$3:$H$10000,8,FALSE),"0")</f>
        <v>0</v>
      </c>
      <c r="P6953" s="33">
        <f t="shared" si="432"/>
        <v>0</v>
      </c>
      <c r="Q6953" s="31" t="str">
        <f t="shared" si="433"/>
        <v/>
      </c>
      <c r="R6953" s="32" t="str">
        <f>IFERROR(VLOOKUP($D6953,'Informations sur les produits'!$A$3:$B$15000,2,FALSE),"")</f>
        <v/>
      </c>
      <c r="V6953">
        <f t="shared" si="434"/>
        <v>0</v>
      </c>
      <c r="W6953">
        <f t="shared" si="435"/>
        <v>0</v>
      </c>
    </row>
    <row r="6954" spans="5:23" x14ac:dyDescent="0.25">
      <c r="E6954" s="4"/>
      <c r="F6954" s="4"/>
      <c r="G6954" s="33" t="str">
        <f>IFERROR(VLOOKUP($D6954,'Informations sur les produits'!$A$3:$H$10000,8,FALSE),"0")</f>
        <v>0</v>
      </c>
      <c r="K6954" s="4"/>
      <c r="L6954" s="33" t="str">
        <f>IFERROR(VLOOKUP($J6954,'Informations sur les produits'!$A$3:$H$10000,8,FALSE),"0")</f>
        <v>0</v>
      </c>
      <c r="N6954" s="8"/>
      <c r="O6954" s="33" t="str">
        <f>IFERROR(VLOOKUP($M6954,'Informations sur les produits'!$A$3:$H$10000,8,FALSE),"0")</f>
        <v>0</v>
      </c>
      <c r="P6954" s="33">
        <f t="shared" si="432"/>
        <v>0</v>
      </c>
      <c r="Q6954" s="31" t="str">
        <f t="shared" si="433"/>
        <v/>
      </c>
      <c r="R6954" s="32" t="str">
        <f>IFERROR(VLOOKUP($D6954,'Informations sur les produits'!$A$3:$B$15000,2,FALSE),"")</f>
        <v/>
      </c>
      <c r="V6954">
        <f t="shared" si="434"/>
        <v>0</v>
      </c>
      <c r="W6954">
        <f t="shared" si="435"/>
        <v>0</v>
      </c>
    </row>
    <row r="6955" spans="5:23" x14ac:dyDescent="0.25">
      <c r="E6955" s="4"/>
      <c r="F6955" s="4"/>
      <c r="G6955" s="33" t="str">
        <f>IFERROR(VLOOKUP($D6955,'Informations sur les produits'!$A$3:$H$10000,8,FALSE),"0")</f>
        <v>0</v>
      </c>
      <c r="K6955" s="4"/>
      <c r="L6955" s="33" t="str">
        <f>IFERROR(VLOOKUP($J6955,'Informations sur les produits'!$A$3:$H$10000,8,FALSE),"0")</f>
        <v>0</v>
      </c>
      <c r="N6955" s="8"/>
      <c r="O6955" s="33" t="str">
        <f>IFERROR(VLOOKUP($M6955,'Informations sur les produits'!$A$3:$H$10000,8,FALSE),"0")</f>
        <v>0</v>
      </c>
      <c r="P6955" s="33">
        <f t="shared" si="432"/>
        <v>0</v>
      </c>
      <c r="Q6955" s="31" t="str">
        <f t="shared" si="433"/>
        <v/>
      </c>
      <c r="R6955" s="32" t="str">
        <f>IFERROR(VLOOKUP($D6955,'Informations sur les produits'!$A$3:$B$15000,2,FALSE),"")</f>
        <v/>
      </c>
      <c r="V6955">
        <f t="shared" si="434"/>
        <v>0</v>
      </c>
      <c r="W6955">
        <f t="shared" si="435"/>
        <v>0</v>
      </c>
    </row>
    <row r="6956" spans="5:23" x14ac:dyDescent="0.25">
      <c r="E6956" s="4"/>
      <c r="F6956" s="4"/>
      <c r="G6956" s="33" t="str">
        <f>IFERROR(VLOOKUP($D6956,'Informations sur les produits'!$A$3:$H$10000,8,FALSE),"0")</f>
        <v>0</v>
      </c>
      <c r="K6956" s="4"/>
      <c r="L6956" s="33" t="str">
        <f>IFERROR(VLOOKUP($J6956,'Informations sur les produits'!$A$3:$H$10000,8,FALSE),"0")</f>
        <v>0</v>
      </c>
      <c r="N6956" s="8"/>
      <c r="O6956" s="33" t="str">
        <f>IFERROR(VLOOKUP($M6956,'Informations sur les produits'!$A$3:$H$10000,8,FALSE),"0")</f>
        <v>0</v>
      </c>
      <c r="P6956" s="33">
        <f t="shared" si="432"/>
        <v>0</v>
      </c>
      <c r="Q6956" s="31" t="str">
        <f t="shared" si="433"/>
        <v/>
      </c>
      <c r="R6956" s="32" t="str">
        <f>IFERROR(VLOOKUP($D6956,'Informations sur les produits'!$A$3:$B$15000,2,FALSE),"")</f>
        <v/>
      </c>
      <c r="V6956">
        <f t="shared" si="434"/>
        <v>0</v>
      </c>
      <c r="W6956">
        <f t="shared" si="435"/>
        <v>0</v>
      </c>
    </row>
    <row r="6957" spans="5:23" x14ac:dyDescent="0.25">
      <c r="E6957" s="4"/>
      <c r="F6957" s="4"/>
      <c r="G6957" s="33" t="str">
        <f>IFERROR(VLOOKUP($D6957,'Informations sur les produits'!$A$3:$H$10000,8,FALSE),"0")</f>
        <v>0</v>
      </c>
      <c r="K6957" s="4"/>
      <c r="L6957" s="33" t="str">
        <f>IFERROR(VLOOKUP($J6957,'Informations sur les produits'!$A$3:$H$10000,8,FALSE),"0")</f>
        <v>0</v>
      </c>
      <c r="N6957" s="8"/>
      <c r="O6957" s="33" t="str">
        <f>IFERROR(VLOOKUP($M6957,'Informations sur les produits'!$A$3:$H$10000,8,FALSE),"0")</f>
        <v>0</v>
      </c>
      <c r="P6957" s="33">
        <f t="shared" si="432"/>
        <v>0</v>
      </c>
      <c r="Q6957" s="31" t="str">
        <f t="shared" si="433"/>
        <v/>
      </c>
      <c r="R6957" s="32" t="str">
        <f>IFERROR(VLOOKUP($D6957,'Informations sur les produits'!$A$3:$B$15000,2,FALSE),"")</f>
        <v/>
      </c>
      <c r="V6957">
        <f t="shared" si="434"/>
        <v>0</v>
      </c>
      <c r="W6957">
        <f t="shared" si="435"/>
        <v>0</v>
      </c>
    </row>
    <row r="6958" spans="5:23" x14ac:dyDescent="0.25">
      <c r="E6958" s="4"/>
      <c r="F6958" s="4"/>
      <c r="G6958" s="33" t="str">
        <f>IFERROR(VLOOKUP($D6958,'Informations sur les produits'!$A$3:$H$10000,8,FALSE),"0")</f>
        <v>0</v>
      </c>
      <c r="K6958" s="4"/>
      <c r="L6958" s="33" t="str">
        <f>IFERROR(VLOOKUP($J6958,'Informations sur les produits'!$A$3:$H$10000,8,FALSE),"0")</f>
        <v>0</v>
      </c>
      <c r="N6958" s="8"/>
      <c r="O6958" s="33" t="str">
        <f>IFERROR(VLOOKUP($M6958,'Informations sur les produits'!$A$3:$H$10000,8,FALSE),"0")</f>
        <v>0</v>
      </c>
      <c r="P6958" s="33">
        <f t="shared" si="432"/>
        <v>0</v>
      </c>
      <c r="Q6958" s="31" t="str">
        <f t="shared" si="433"/>
        <v/>
      </c>
      <c r="R6958" s="32" t="str">
        <f>IFERROR(VLOOKUP($D6958,'Informations sur les produits'!$A$3:$B$15000,2,FALSE),"")</f>
        <v/>
      </c>
      <c r="V6958">
        <f t="shared" si="434"/>
        <v>0</v>
      </c>
      <c r="W6958">
        <f t="shared" si="435"/>
        <v>0</v>
      </c>
    </row>
    <row r="6959" spans="5:23" x14ac:dyDescent="0.25">
      <c r="E6959" s="4"/>
      <c r="F6959" s="4"/>
      <c r="G6959" s="33" t="str">
        <f>IFERROR(VLOOKUP($D6959,'Informations sur les produits'!$A$3:$H$10000,8,FALSE),"0")</f>
        <v>0</v>
      </c>
      <c r="K6959" s="4"/>
      <c r="L6959" s="33" t="str">
        <f>IFERROR(VLOOKUP($J6959,'Informations sur les produits'!$A$3:$H$10000,8,FALSE),"0")</f>
        <v>0</v>
      </c>
      <c r="N6959" s="8"/>
      <c r="O6959" s="33" t="str">
        <f>IFERROR(VLOOKUP($M6959,'Informations sur les produits'!$A$3:$H$10000,8,FALSE),"0")</f>
        <v>0</v>
      </c>
      <c r="P6959" s="33">
        <f t="shared" si="432"/>
        <v>0</v>
      </c>
      <c r="Q6959" s="31" t="str">
        <f t="shared" si="433"/>
        <v/>
      </c>
      <c r="R6959" s="32" t="str">
        <f>IFERROR(VLOOKUP($D6959,'Informations sur les produits'!$A$3:$B$15000,2,FALSE),"")</f>
        <v/>
      </c>
      <c r="V6959">
        <f t="shared" si="434"/>
        <v>0</v>
      </c>
      <c r="W6959">
        <f t="shared" si="435"/>
        <v>0</v>
      </c>
    </row>
    <row r="6960" spans="5:23" x14ac:dyDescent="0.25">
      <c r="E6960" s="4"/>
      <c r="F6960" s="4"/>
      <c r="G6960" s="33" t="str">
        <f>IFERROR(VLOOKUP($D6960,'Informations sur les produits'!$A$3:$H$10000,8,FALSE),"0")</f>
        <v>0</v>
      </c>
      <c r="K6960" s="4"/>
      <c r="L6960" s="33" t="str">
        <f>IFERROR(VLOOKUP($J6960,'Informations sur les produits'!$A$3:$H$10000,8,FALSE),"0")</f>
        <v>0</v>
      </c>
      <c r="N6960" s="8"/>
      <c r="O6960" s="33" t="str">
        <f>IFERROR(VLOOKUP($M6960,'Informations sur les produits'!$A$3:$H$10000,8,FALSE),"0")</f>
        <v>0</v>
      </c>
      <c r="P6960" s="33">
        <f t="shared" si="432"/>
        <v>0</v>
      </c>
      <c r="Q6960" s="31" t="str">
        <f t="shared" si="433"/>
        <v/>
      </c>
      <c r="R6960" s="32" t="str">
        <f>IFERROR(VLOOKUP($D6960,'Informations sur les produits'!$A$3:$B$15000,2,FALSE),"")</f>
        <v/>
      </c>
      <c r="V6960">
        <f t="shared" si="434"/>
        <v>0</v>
      </c>
      <c r="W6960">
        <f t="shared" si="435"/>
        <v>0</v>
      </c>
    </row>
    <row r="6961" spans="5:23" x14ac:dyDescent="0.25">
      <c r="E6961" s="4"/>
      <c r="F6961" s="4"/>
      <c r="G6961" s="33" t="str">
        <f>IFERROR(VLOOKUP($D6961,'Informations sur les produits'!$A$3:$H$10000,8,FALSE),"0")</f>
        <v>0</v>
      </c>
      <c r="K6961" s="4"/>
      <c r="L6961" s="33" t="str">
        <f>IFERROR(VLOOKUP($J6961,'Informations sur les produits'!$A$3:$H$10000,8,FALSE),"0")</f>
        <v>0</v>
      </c>
      <c r="N6961" s="8"/>
      <c r="O6961" s="33" t="str">
        <f>IFERROR(VLOOKUP($M6961,'Informations sur les produits'!$A$3:$H$10000,8,FALSE),"0")</f>
        <v>0</v>
      </c>
      <c r="P6961" s="33">
        <f t="shared" si="432"/>
        <v>0</v>
      </c>
      <c r="Q6961" s="31" t="str">
        <f t="shared" si="433"/>
        <v/>
      </c>
      <c r="R6961" s="32" t="str">
        <f>IFERROR(VLOOKUP($D6961,'Informations sur les produits'!$A$3:$B$15000,2,FALSE),"")</f>
        <v/>
      </c>
      <c r="V6961">
        <f t="shared" si="434"/>
        <v>0</v>
      </c>
      <c r="W6961">
        <f t="shared" si="435"/>
        <v>0</v>
      </c>
    </row>
    <row r="6962" spans="5:23" x14ac:dyDescent="0.25">
      <c r="E6962" s="4"/>
      <c r="F6962" s="4"/>
      <c r="G6962" s="33" t="str">
        <f>IFERROR(VLOOKUP($D6962,'Informations sur les produits'!$A$3:$H$10000,8,FALSE),"0")</f>
        <v>0</v>
      </c>
      <c r="K6962" s="4"/>
      <c r="L6962" s="33" t="str">
        <f>IFERROR(VLOOKUP($J6962,'Informations sur les produits'!$A$3:$H$10000,8,FALSE),"0")</f>
        <v>0</v>
      </c>
      <c r="N6962" s="8"/>
      <c r="O6962" s="33" t="str">
        <f>IFERROR(VLOOKUP($M6962,'Informations sur les produits'!$A$3:$H$10000,8,FALSE),"0")</f>
        <v>0</v>
      </c>
      <c r="P6962" s="33">
        <f t="shared" si="432"/>
        <v>0</v>
      </c>
      <c r="Q6962" s="31" t="str">
        <f t="shared" si="433"/>
        <v/>
      </c>
      <c r="R6962" s="32" t="str">
        <f>IFERROR(VLOOKUP($D6962,'Informations sur les produits'!$A$3:$B$15000,2,FALSE),"")</f>
        <v/>
      </c>
      <c r="V6962">
        <f t="shared" si="434"/>
        <v>0</v>
      </c>
      <c r="W6962">
        <f t="shared" si="435"/>
        <v>0</v>
      </c>
    </row>
    <row r="6963" spans="5:23" x14ac:dyDescent="0.25">
      <c r="E6963" s="4"/>
      <c r="F6963" s="4"/>
      <c r="G6963" s="33" t="str">
        <f>IFERROR(VLOOKUP($D6963,'Informations sur les produits'!$A$3:$H$10000,8,FALSE),"0")</f>
        <v>0</v>
      </c>
      <c r="K6963" s="4"/>
      <c r="L6963" s="33" t="str">
        <f>IFERROR(VLOOKUP($J6963,'Informations sur les produits'!$A$3:$H$10000,8,FALSE),"0")</f>
        <v>0</v>
      </c>
      <c r="N6963" s="8"/>
      <c r="O6963" s="33" t="str">
        <f>IFERROR(VLOOKUP($M6963,'Informations sur les produits'!$A$3:$H$10000,8,FALSE),"0")</f>
        <v>0</v>
      </c>
      <c r="P6963" s="33">
        <f t="shared" si="432"/>
        <v>0</v>
      </c>
      <c r="Q6963" s="31" t="str">
        <f t="shared" si="433"/>
        <v/>
      </c>
      <c r="R6963" s="32" t="str">
        <f>IFERROR(VLOOKUP($D6963,'Informations sur les produits'!$A$3:$B$15000,2,FALSE),"")</f>
        <v/>
      </c>
      <c r="V6963">
        <f t="shared" si="434"/>
        <v>0</v>
      </c>
      <c r="W6963">
        <f t="shared" si="435"/>
        <v>0</v>
      </c>
    </row>
    <row r="6964" spans="5:23" x14ac:dyDescent="0.25">
      <c r="E6964" s="4"/>
      <c r="F6964" s="4"/>
      <c r="G6964" s="33" t="str">
        <f>IFERROR(VLOOKUP($D6964,'Informations sur les produits'!$A$3:$H$10000,8,FALSE),"0")</f>
        <v>0</v>
      </c>
      <c r="K6964" s="4"/>
      <c r="L6964" s="33" t="str">
        <f>IFERROR(VLOOKUP($J6964,'Informations sur les produits'!$A$3:$H$10000,8,FALSE),"0")</f>
        <v>0</v>
      </c>
      <c r="N6964" s="8"/>
      <c r="O6964" s="33" t="str">
        <f>IFERROR(VLOOKUP($M6964,'Informations sur les produits'!$A$3:$H$10000,8,FALSE),"0")</f>
        <v>0</v>
      </c>
      <c r="P6964" s="33">
        <f t="shared" si="432"/>
        <v>0</v>
      </c>
      <c r="Q6964" s="31" t="str">
        <f t="shared" si="433"/>
        <v/>
      </c>
      <c r="R6964" s="32" t="str">
        <f>IFERROR(VLOOKUP($D6964,'Informations sur les produits'!$A$3:$B$15000,2,FALSE),"")</f>
        <v/>
      </c>
      <c r="V6964">
        <f t="shared" si="434"/>
        <v>0</v>
      </c>
      <c r="W6964">
        <f t="shared" si="435"/>
        <v>0</v>
      </c>
    </row>
    <row r="6965" spans="5:23" x14ac:dyDescent="0.25">
      <c r="E6965" s="4"/>
      <c r="F6965" s="4"/>
      <c r="G6965" s="33" t="str">
        <f>IFERROR(VLOOKUP($D6965,'Informations sur les produits'!$A$3:$H$10000,8,FALSE),"0")</f>
        <v>0</v>
      </c>
      <c r="K6965" s="4"/>
      <c r="L6965" s="33" t="str">
        <f>IFERROR(VLOOKUP($J6965,'Informations sur les produits'!$A$3:$H$10000,8,FALSE),"0")</f>
        <v>0</v>
      </c>
      <c r="N6965" s="8"/>
      <c r="O6965" s="33" t="str">
        <f>IFERROR(VLOOKUP($M6965,'Informations sur les produits'!$A$3:$H$10000,8,FALSE),"0")</f>
        <v>0</v>
      </c>
      <c r="P6965" s="33">
        <f t="shared" si="432"/>
        <v>0</v>
      </c>
      <c r="Q6965" s="31" t="str">
        <f t="shared" si="433"/>
        <v/>
      </c>
      <c r="R6965" s="32" t="str">
        <f>IFERROR(VLOOKUP($D6965,'Informations sur les produits'!$A$3:$B$15000,2,FALSE),"")</f>
        <v/>
      </c>
      <c r="V6965">
        <f t="shared" si="434"/>
        <v>0</v>
      </c>
      <c r="W6965">
        <f t="shared" si="435"/>
        <v>0</v>
      </c>
    </row>
    <row r="6966" spans="5:23" x14ac:dyDescent="0.25">
      <c r="E6966" s="4"/>
      <c r="F6966" s="4"/>
      <c r="G6966" s="33" t="str">
        <f>IFERROR(VLOOKUP($D6966,'Informations sur les produits'!$A$3:$H$10000,8,FALSE),"0")</f>
        <v>0</v>
      </c>
      <c r="K6966" s="4"/>
      <c r="L6966" s="33" t="str">
        <f>IFERROR(VLOOKUP($J6966,'Informations sur les produits'!$A$3:$H$10000,8,FALSE),"0")</f>
        <v>0</v>
      </c>
      <c r="N6966" s="8"/>
      <c r="O6966" s="33" t="str">
        <f>IFERROR(VLOOKUP($M6966,'Informations sur les produits'!$A$3:$H$10000,8,FALSE),"0")</f>
        <v>0</v>
      </c>
      <c r="P6966" s="33">
        <f t="shared" si="432"/>
        <v>0</v>
      </c>
      <c r="Q6966" s="31" t="str">
        <f t="shared" si="433"/>
        <v/>
      </c>
      <c r="R6966" s="32" t="str">
        <f>IFERROR(VLOOKUP($D6966,'Informations sur les produits'!$A$3:$B$15000,2,FALSE),"")</f>
        <v/>
      </c>
      <c r="V6966">
        <f t="shared" si="434"/>
        <v>0</v>
      </c>
      <c r="W6966">
        <f t="shared" si="435"/>
        <v>0</v>
      </c>
    </row>
    <row r="6967" spans="5:23" x14ac:dyDescent="0.25">
      <c r="E6967" s="4"/>
      <c r="F6967" s="4"/>
      <c r="G6967" s="33" t="str">
        <f>IFERROR(VLOOKUP($D6967,'Informations sur les produits'!$A$3:$H$10000,8,FALSE),"0")</f>
        <v>0</v>
      </c>
      <c r="K6967" s="4"/>
      <c r="L6967" s="33" t="str">
        <f>IFERROR(VLOOKUP($J6967,'Informations sur les produits'!$A$3:$H$10000,8,FALSE),"0")</f>
        <v>0</v>
      </c>
      <c r="N6967" s="8"/>
      <c r="O6967" s="33" t="str">
        <f>IFERROR(VLOOKUP($M6967,'Informations sur les produits'!$A$3:$H$10000,8,FALSE),"0")</f>
        <v>0</v>
      </c>
      <c r="P6967" s="33">
        <f t="shared" si="432"/>
        <v>0</v>
      </c>
      <c r="Q6967" s="31" t="str">
        <f t="shared" si="433"/>
        <v/>
      </c>
      <c r="R6967" s="32" t="str">
        <f>IFERROR(VLOOKUP($D6967,'Informations sur les produits'!$A$3:$B$15000,2,FALSE),"")</f>
        <v/>
      </c>
      <c r="V6967">
        <f t="shared" si="434"/>
        <v>0</v>
      </c>
      <c r="W6967">
        <f t="shared" si="435"/>
        <v>0</v>
      </c>
    </row>
    <row r="6968" spans="5:23" x14ac:dyDescent="0.25">
      <c r="E6968" s="4"/>
      <c r="F6968" s="4"/>
      <c r="G6968" s="33" t="str">
        <f>IFERROR(VLOOKUP($D6968,'Informations sur les produits'!$A$3:$H$10000,8,FALSE),"0")</f>
        <v>0</v>
      </c>
      <c r="K6968" s="4"/>
      <c r="L6968" s="33" t="str">
        <f>IFERROR(VLOOKUP($J6968,'Informations sur les produits'!$A$3:$H$10000,8,FALSE),"0")</f>
        <v>0</v>
      </c>
      <c r="N6968" s="8"/>
      <c r="O6968" s="33" t="str">
        <f>IFERROR(VLOOKUP($M6968,'Informations sur les produits'!$A$3:$H$10000,8,FALSE),"0")</f>
        <v>0</v>
      </c>
      <c r="P6968" s="33">
        <f t="shared" si="432"/>
        <v>0</v>
      </c>
      <c r="Q6968" s="31" t="str">
        <f t="shared" si="433"/>
        <v/>
      </c>
      <c r="R6968" s="32" t="str">
        <f>IFERROR(VLOOKUP($D6968,'Informations sur les produits'!$A$3:$B$15000,2,FALSE),"")</f>
        <v/>
      </c>
      <c r="V6968">
        <f t="shared" si="434"/>
        <v>0</v>
      </c>
      <c r="W6968">
        <f t="shared" si="435"/>
        <v>0</v>
      </c>
    </row>
    <row r="6969" spans="5:23" x14ac:dyDescent="0.25">
      <c r="E6969" s="4"/>
      <c r="F6969" s="4"/>
      <c r="G6969" s="33" t="str">
        <f>IFERROR(VLOOKUP($D6969,'Informations sur les produits'!$A$3:$H$10000,8,FALSE),"0")</f>
        <v>0</v>
      </c>
      <c r="K6969" s="4"/>
      <c r="L6969" s="33" t="str">
        <f>IFERROR(VLOOKUP($J6969,'Informations sur les produits'!$A$3:$H$10000,8,FALSE),"0")</f>
        <v>0</v>
      </c>
      <c r="N6969" s="8"/>
      <c r="O6969" s="33" t="str">
        <f>IFERROR(VLOOKUP($M6969,'Informations sur les produits'!$A$3:$H$10000,8,FALSE),"0")</f>
        <v>0</v>
      </c>
      <c r="P6969" s="33">
        <f t="shared" si="432"/>
        <v>0</v>
      </c>
      <c r="Q6969" s="31" t="str">
        <f t="shared" si="433"/>
        <v/>
      </c>
      <c r="R6969" s="32" t="str">
        <f>IFERROR(VLOOKUP($D6969,'Informations sur les produits'!$A$3:$B$15000,2,FALSE),"")</f>
        <v/>
      </c>
      <c r="V6969">
        <f t="shared" si="434"/>
        <v>0</v>
      </c>
      <c r="W6969">
        <f t="shared" si="435"/>
        <v>0</v>
      </c>
    </row>
    <row r="6970" spans="5:23" x14ac:dyDescent="0.25">
      <c r="E6970" s="4"/>
      <c r="F6970" s="4"/>
      <c r="G6970" s="33" t="str">
        <f>IFERROR(VLOOKUP($D6970,'Informations sur les produits'!$A$3:$H$10000,8,FALSE),"0")</f>
        <v>0</v>
      </c>
      <c r="K6970" s="4"/>
      <c r="L6970" s="33" t="str">
        <f>IFERROR(VLOOKUP($J6970,'Informations sur les produits'!$A$3:$H$10000,8,FALSE),"0")</f>
        <v>0</v>
      </c>
      <c r="N6970" s="8"/>
      <c r="O6970" s="33" t="str">
        <f>IFERROR(VLOOKUP($M6970,'Informations sur les produits'!$A$3:$H$10000,8,FALSE),"0")</f>
        <v>0</v>
      </c>
      <c r="P6970" s="33">
        <f t="shared" si="432"/>
        <v>0</v>
      </c>
      <c r="Q6970" s="31" t="str">
        <f t="shared" si="433"/>
        <v/>
      </c>
      <c r="R6970" s="32" t="str">
        <f>IFERROR(VLOOKUP($D6970,'Informations sur les produits'!$A$3:$B$15000,2,FALSE),"")</f>
        <v/>
      </c>
      <c r="V6970">
        <f t="shared" si="434"/>
        <v>0</v>
      </c>
      <c r="W6970">
        <f t="shared" si="435"/>
        <v>0</v>
      </c>
    </row>
    <row r="6971" spans="5:23" x14ac:dyDescent="0.25">
      <c r="E6971" s="4"/>
      <c r="F6971" s="4"/>
      <c r="G6971" s="33" t="str">
        <f>IFERROR(VLOOKUP($D6971,'Informations sur les produits'!$A$3:$H$10000,8,FALSE),"0")</f>
        <v>0</v>
      </c>
      <c r="K6971" s="4"/>
      <c r="L6971" s="33" t="str">
        <f>IFERROR(VLOOKUP($J6971,'Informations sur les produits'!$A$3:$H$10000,8,FALSE),"0")</f>
        <v>0</v>
      </c>
      <c r="N6971" s="8"/>
      <c r="O6971" s="33" t="str">
        <f>IFERROR(VLOOKUP($M6971,'Informations sur les produits'!$A$3:$H$10000,8,FALSE),"0")</f>
        <v>0</v>
      </c>
      <c r="P6971" s="33">
        <f t="shared" si="432"/>
        <v>0</v>
      </c>
      <c r="Q6971" s="31" t="str">
        <f t="shared" si="433"/>
        <v/>
      </c>
      <c r="R6971" s="32" t="str">
        <f>IFERROR(VLOOKUP($D6971,'Informations sur les produits'!$A$3:$B$15000,2,FALSE),"")</f>
        <v/>
      </c>
      <c r="V6971">
        <f t="shared" si="434"/>
        <v>0</v>
      </c>
      <c r="W6971">
        <f t="shared" si="435"/>
        <v>0</v>
      </c>
    </row>
    <row r="6972" spans="5:23" x14ac:dyDescent="0.25">
      <c r="E6972" s="4"/>
      <c r="F6972" s="4"/>
      <c r="G6972" s="33" t="str">
        <f>IFERROR(VLOOKUP($D6972,'Informations sur les produits'!$A$3:$H$10000,8,FALSE),"0")</f>
        <v>0</v>
      </c>
      <c r="K6972" s="4"/>
      <c r="L6972" s="33" t="str">
        <f>IFERROR(VLOOKUP($J6972,'Informations sur les produits'!$A$3:$H$10000,8,FALSE),"0")</f>
        <v>0</v>
      </c>
      <c r="N6972" s="8"/>
      <c r="O6972" s="33" t="str">
        <f>IFERROR(VLOOKUP($M6972,'Informations sur les produits'!$A$3:$H$10000,8,FALSE),"0")</f>
        <v>0</v>
      </c>
      <c r="P6972" s="33">
        <f t="shared" si="432"/>
        <v>0</v>
      </c>
      <c r="Q6972" s="31" t="str">
        <f t="shared" si="433"/>
        <v/>
      </c>
      <c r="R6972" s="32" t="str">
        <f>IFERROR(VLOOKUP($D6972,'Informations sur les produits'!$A$3:$B$15000,2,FALSE),"")</f>
        <v/>
      </c>
      <c r="V6972">
        <f t="shared" si="434"/>
        <v>0</v>
      </c>
      <c r="W6972">
        <f t="shared" si="435"/>
        <v>0</v>
      </c>
    </row>
    <row r="6973" spans="5:23" x14ac:dyDescent="0.25">
      <c r="E6973" s="4"/>
      <c r="F6973" s="4"/>
      <c r="G6973" s="33" t="str">
        <f>IFERROR(VLOOKUP($D6973,'Informations sur les produits'!$A$3:$H$10000,8,FALSE),"0")</f>
        <v>0</v>
      </c>
      <c r="K6973" s="4"/>
      <c r="L6973" s="33" t="str">
        <f>IFERROR(VLOOKUP($J6973,'Informations sur les produits'!$A$3:$H$10000,8,FALSE),"0")</f>
        <v>0</v>
      </c>
      <c r="N6973" s="8"/>
      <c r="O6973" s="33" t="str">
        <f>IFERROR(VLOOKUP($M6973,'Informations sur les produits'!$A$3:$H$10000,8,FALSE),"0")</f>
        <v>0</v>
      </c>
      <c r="P6973" s="33">
        <f t="shared" si="432"/>
        <v>0</v>
      </c>
      <c r="Q6973" s="31" t="str">
        <f t="shared" si="433"/>
        <v/>
      </c>
      <c r="R6973" s="32" t="str">
        <f>IFERROR(VLOOKUP($D6973,'Informations sur les produits'!$A$3:$B$15000,2,FALSE),"")</f>
        <v/>
      </c>
      <c r="V6973">
        <f t="shared" si="434"/>
        <v>0</v>
      </c>
      <c r="W6973">
        <f t="shared" si="435"/>
        <v>0</v>
      </c>
    </row>
    <row r="6974" spans="5:23" x14ac:dyDescent="0.25">
      <c r="E6974" s="4"/>
      <c r="F6974" s="4"/>
      <c r="G6974" s="33" t="str">
        <f>IFERROR(VLOOKUP($D6974,'Informations sur les produits'!$A$3:$H$10000,8,FALSE),"0")</f>
        <v>0</v>
      </c>
      <c r="K6974" s="4"/>
      <c r="L6974" s="33" t="str">
        <f>IFERROR(VLOOKUP($J6974,'Informations sur les produits'!$A$3:$H$10000,8,FALSE),"0")</f>
        <v>0</v>
      </c>
      <c r="N6974" s="8"/>
      <c r="O6974" s="33" t="str">
        <f>IFERROR(VLOOKUP($M6974,'Informations sur les produits'!$A$3:$H$10000,8,FALSE),"0")</f>
        <v>0</v>
      </c>
      <c r="P6974" s="33">
        <f t="shared" si="432"/>
        <v>0</v>
      </c>
      <c r="Q6974" s="31" t="str">
        <f t="shared" si="433"/>
        <v/>
      </c>
      <c r="R6974" s="32" t="str">
        <f>IFERROR(VLOOKUP($D6974,'Informations sur les produits'!$A$3:$B$15000,2,FALSE),"")</f>
        <v/>
      </c>
      <c r="V6974">
        <f t="shared" si="434"/>
        <v>0</v>
      </c>
      <c r="W6974">
        <f t="shared" si="435"/>
        <v>0</v>
      </c>
    </row>
    <row r="6975" spans="5:23" x14ac:dyDescent="0.25">
      <c r="E6975" s="4"/>
      <c r="F6975" s="4"/>
      <c r="G6975" s="33" t="str">
        <f>IFERROR(VLOOKUP($D6975,'Informations sur les produits'!$A$3:$H$10000,8,FALSE),"0")</f>
        <v>0</v>
      </c>
      <c r="K6975" s="4"/>
      <c r="L6975" s="33" t="str">
        <f>IFERROR(VLOOKUP($J6975,'Informations sur les produits'!$A$3:$H$10000,8,FALSE),"0")</f>
        <v>0</v>
      </c>
      <c r="N6975" s="8"/>
      <c r="O6975" s="33" t="str">
        <f>IFERROR(VLOOKUP($M6975,'Informations sur les produits'!$A$3:$H$10000,8,FALSE),"0")</f>
        <v>0</v>
      </c>
      <c r="P6975" s="33">
        <f t="shared" si="432"/>
        <v>0</v>
      </c>
      <c r="Q6975" s="31" t="str">
        <f t="shared" si="433"/>
        <v/>
      </c>
      <c r="R6975" s="32" t="str">
        <f>IFERROR(VLOOKUP($D6975,'Informations sur les produits'!$A$3:$B$15000,2,FALSE),"")</f>
        <v/>
      </c>
      <c r="V6975">
        <f t="shared" si="434"/>
        <v>0</v>
      </c>
      <c r="W6975">
        <f t="shared" si="435"/>
        <v>0</v>
      </c>
    </row>
    <row r="6976" spans="5:23" x14ac:dyDescent="0.25">
      <c r="E6976" s="4"/>
      <c r="F6976" s="4"/>
      <c r="G6976" s="33" t="str">
        <f>IFERROR(VLOOKUP($D6976,'Informations sur les produits'!$A$3:$H$10000,8,FALSE),"0")</f>
        <v>0</v>
      </c>
      <c r="K6976" s="4"/>
      <c r="L6976" s="33" t="str">
        <f>IFERROR(VLOOKUP($J6976,'Informations sur les produits'!$A$3:$H$10000,8,FALSE),"0")</f>
        <v>0</v>
      </c>
      <c r="N6976" s="8"/>
      <c r="O6976" s="33" t="str">
        <f>IFERROR(VLOOKUP($M6976,'Informations sur les produits'!$A$3:$H$10000,8,FALSE),"0")</f>
        <v>0</v>
      </c>
      <c r="P6976" s="33">
        <f t="shared" si="432"/>
        <v>0</v>
      </c>
      <c r="Q6976" s="31" t="str">
        <f t="shared" si="433"/>
        <v/>
      </c>
      <c r="R6976" s="32" t="str">
        <f>IFERROR(VLOOKUP($D6976,'Informations sur les produits'!$A$3:$B$15000,2,FALSE),"")</f>
        <v/>
      </c>
      <c r="V6976">
        <f t="shared" si="434"/>
        <v>0</v>
      </c>
      <c r="W6976">
        <f t="shared" si="435"/>
        <v>0</v>
      </c>
    </row>
    <row r="6977" spans="5:23" x14ac:dyDescent="0.25">
      <c r="E6977" s="4"/>
      <c r="F6977" s="4"/>
      <c r="G6977" s="33" t="str">
        <f>IFERROR(VLOOKUP($D6977,'Informations sur les produits'!$A$3:$H$10000,8,FALSE),"0")</f>
        <v>0</v>
      </c>
      <c r="K6977" s="4"/>
      <c r="L6977" s="33" t="str">
        <f>IFERROR(VLOOKUP($J6977,'Informations sur les produits'!$A$3:$H$10000,8,FALSE),"0")</f>
        <v>0</v>
      </c>
      <c r="N6977" s="8"/>
      <c r="O6977" s="33" t="str">
        <f>IFERROR(VLOOKUP($M6977,'Informations sur les produits'!$A$3:$H$10000,8,FALSE),"0")</f>
        <v>0</v>
      </c>
      <c r="P6977" s="33">
        <f t="shared" si="432"/>
        <v>0</v>
      </c>
      <c r="Q6977" s="31" t="str">
        <f t="shared" si="433"/>
        <v/>
      </c>
      <c r="R6977" s="32" t="str">
        <f>IFERROR(VLOOKUP($D6977,'Informations sur les produits'!$A$3:$B$15000,2,FALSE),"")</f>
        <v/>
      </c>
      <c r="V6977">
        <f t="shared" si="434"/>
        <v>0</v>
      </c>
      <c r="W6977">
        <f t="shared" si="435"/>
        <v>0</v>
      </c>
    </row>
    <row r="6978" spans="5:23" x14ac:dyDescent="0.25">
      <c r="E6978" s="4"/>
      <c r="F6978" s="4"/>
      <c r="G6978" s="33" t="str">
        <f>IFERROR(VLOOKUP($D6978,'Informations sur les produits'!$A$3:$H$10000,8,FALSE),"0")</f>
        <v>0</v>
      </c>
      <c r="K6978" s="4"/>
      <c r="L6978" s="33" t="str">
        <f>IFERROR(VLOOKUP($J6978,'Informations sur les produits'!$A$3:$H$10000,8,FALSE),"0")</f>
        <v>0</v>
      </c>
      <c r="N6978" s="8"/>
      <c r="O6978" s="33" t="str">
        <f>IFERROR(VLOOKUP($M6978,'Informations sur les produits'!$A$3:$H$10000,8,FALSE),"0")</f>
        <v>0</v>
      </c>
      <c r="P6978" s="33">
        <f t="shared" si="432"/>
        <v>0</v>
      </c>
      <c r="Q6978" s="31" t="str">
        <f t="shared" si="433"/>
        <v/>
      </c>
      <c r="R6978" s="32" t="str">
        <f>IFERROR(VLOOKUP($D6978,'Informations sur les produits'!$A$3:$B$15000,2,FALSE),"")</f>
        <v/>
      </c>
      <c r="V6978">
        <f t="shared" si="434"/>
        <v>0</v>
      </c>
      <c r="W6978">
        <f t="shared" si="435"/>
        <v>0</v>
      </c>
    </row>
    <row r="6979" spans="5:23" x14ac:dyDescent="0.25">
      <c r="E6979" s="4"/>
      <c r="F6979" s="4"/>
      <c r="G6979" s="33" t="str">
        <f>IFERROR(VLOOKUP($D6979,'Informations sur les produits'!$A$3:$H$10000,8,FALSE),"0")</f>
        <v>0</v>
      </c>
      <c r="K6979" s="4"/>
      <c r="L6979" s="33" t="str">
        <f>IFERROR(VLOOKUP($J6979,'Informations sur les produits'!$A$3:$H$10000,8,FALSE),"0")</f>
        <v>0</v>
      </c>
      <c r="N6979" s="8"/>
      <c r="O6979" s="33" t="str">
        <f>IFERROR(VLOOKUP($M6979,'Informations sur les produits'!$A$3:$H$10000,8,FALSE),"0")</f>
        <v>0</v>
      </c>
      <c r="P6979" s="33">
        <f t="shared" si="432"/>
        <v>0</v>
      </c>
      <c r="Q6979" s="31" t="str">
        <f t="shared" si="433"/>
        <v/>
      </c>
      <c r="R6979" s="32" t="str">
        <f>IFERROR(VLOOKUP($D6979,'Informations sur les produits'!$A$3:$B$15000,2,FALSE),"")</f>
        <v/>
      </c>
      <c r="V6979">
        <f t="shared" si="434"/>
        <v>0</v>
      </c>
      <c r="W6979">
        <f t="shared" si="435"/>
        <v>0</v>
      </c>
    </row>
    <row r="6980" spans="5:23" x14ac:dyDescent="0.25">
      <c r="E6980" s="4"/>
      <c r="F6980" s="4"/>
      <c r="G6980" s="33" t="str">
        <f>IFERROR(VLOOKUP($D6980,'Informations sur les produits'!$A$3:$H$10000,8,FALSE),"0")</f>
        <v>0</v>
      </c>
      <c r="K6980" s="4"/>
      <c r="L6980" s="33" t="str">
        <f>IFERROR(VLOOKUP($J6980,'Informations sur les produits'!$A$3:$H$10000,8,FALSE),"0")</f>
        <v>0</v>
      </c>
      <c r="N6980" s="8"/>
      <c r="O6980" s="33" t="str">
        <f>IFERROR(VLOOKUP($M6980,'Informations sur les produits'!$A$3:$H$10000,8,FALSE),"0")</f>
        <v>0</v>
      </c>
      <c r="P6980" s="33">
        <f t="shared" ref="P6980:P7043" si="436">IFERROR((($E6980-$F6980)*$G6980+$K6980*$L6980+$N6980*$O6980),"")</f>
        <v>0</v>
      </c>
      <c r="Q6980" s="31" t="str">
        <f t="shared" ref="Q6980:Q7043" si="437">IFERROR((((($E6980-$F6980)*$G6980+$K6980*$L6980+$N6980*$O6980)*1000)/(($E6980-$F6980)+$K6980+$N6980)),"")</f>
        <v/>
      </c>
      <c r="R6980" s="32" t="str">
        <f>IFERROR(VLOOKUP($D6980,'Informations sur les produits'!$A$3:$B$15000,2,FALSE),"")</f>
        <v/>
      </c>
      <c r="V6980">
        <f t="shared" ref="V6980:V7043" si="438">IFERROR(P6980*1000,"")</f>
        <v>0</v>
      </c>
      <c r="W6980">
        <f t="shared" ref="W6980:W7043" si="439">IFERROR(($E6980-$F6980)+$K6980+$N6980,"")</f>
        <v>0</v>
      </c>
    </row>
    <row r="6981" spans="5:23" x14ac:dyDescent="0.25">
      <c r="E6981" s="4"/>
      <c r="F6981" s="4"/>
      <c r="G6981" s="33" t="str">
        <f>IFERROR(VLOOKUP($D6981,'Informations sur les produits'!$A$3:$H$10000,8,FALSE),"0")</f>
        <v>0</v>
      </c>
      <c r="K6981" s="4"/>
      <c r="L6981" s="33" t="str">
        <f>IFERROR(VLOOKUP($J6981,'Informations sur les produits'!$A$3:$H$10000,8,FALSE),"0")</f>
        <v>0</v>
      </c>
      <c r="N6981" s="8"/>
      <c r="O6981" s="33" t="str">
        <f>IFERROR(VLOOKUP($M6981,'Informations sur les produits'!$A$3:$H$10000,8,FALSE),"0")</f>
        <v>0</v>
      </c>
      <c r="P6981" s="33">
        <f t="shared" si="436"/>
        <v>0</v>
      </c>
      <c r="Q6981" s="31" t="str">
        <f t="shared" si="437"/>
        <v/>
      </c>
      <c r="R6981" s="32" t="str">
        <f>IFERROR(VLOOKUP($D6981,'Informations sur les produits'!$A$3:$B$15000,2,FALSE),"")</f>
        <v/>
      </c>
      <c r="V6981">
        <f t="shared" si="438"/>
        <v>0</v>
      </c>
      <c r="W6981">
        <f t="shared" si="439"/>
        <v>0</v>
      </c>
    </row>
    <row r="6982" spans="5:23" x14ac:dyDescent="0.25">
      <c r="E6982" s="4"/>
      <c r="F6982" s="4"/>
      <c r="G6982" s="33" t="str">
        <f>IFERROR(VLOOKUP($D6982,'Informations sur les produits'!$A$3:$H$10000,8,FALSE),"0")</f>
        <v>0</v>
      </c>
      <c r="K6982" s="4"/>
      <c r="L6982" s="33" t="str">
        <f>IFERROR(VLOOKUP($J6982,'Informations sur les produits'!$A$3:$H$10000,8,FALSE),"0")</f>
        <v>0</v>
      </c>
      <c r="N6982" s="8"/>
      <c r="O6982" s="33" t="str">
        <f>IFERROR(VLOOKUP($M6982,'Informations sur les produits'!$A$3:$H$10000,8,FALSE),"0")</f>
        <v>0</v>
      </c>
      <c r="P6982" s="33">
        <f t="shared" si="436"/>
        <v>0</v>
      </c>
      <c r="Q6982" s="31" t="str">
        <f t="shared" si="437"/>
        <v/>
      </c>
      <c r="R6982" s="32" t="str">
        <f>IFERROR(VLOOKUP($D6982,'Informations sur les produits'!$A$3:$B$15000,2,FALSE),"")</f>
        <v/>
      </c>
      <c r="V6982">
        <f t="shared" si="438"/>
        <v>0</v>
      </c>
      <c r="W6982">
        <f t="shared" si="439"/>
        <v>0</v>
      </c>
    </row>
    <row r="6983" spans="5:23" x14ac:dyDescent="0.25">
      <c r="E6983" s="4"/>
      <c r="F6983" s="4"/>
      <c r="G6983" s="33" t="str">
        <f>IFERROR(VLOOKUP($D6983,'Informations sur les produits'!$A$3:$H$10000,8,FALSE),"0")</f>
        <v>0</v>
      </c>
      <c r="K6983" s="4"/>
      <c r="L6983" s="33" t="str">
        <f>IFERROR(VLOOKUP($J6983,'Informations sur les produits'!$A$3:$H$10000,8,FALSE),"0")</f>
        <v>0</v>
      </c>
      <c r="N6983" s="8"/>
      <c r="O6983" s="33" t="str">
        <f>IFERROR(VLOOKUP($M6983,'Informations sur les produits'!$A$3:$H$10000,8,FALSE),"0")</f>
        <v>0</v>
      </c>
      <c r="P6983" s="33">
        <f t="shared" si="436"/>
        <v>0</v>
      </c>
      <c r="Q6983" s="31" t="str">
        <f t="shared" si="437"/>
        <v/>
      </c>
      <c r="R6983" s="32" t="str">
        <f>IFERROR(VLOOKUP($D6983,'Informations sur les produits'!$A$3:$B$15000,2,FALSE),"")</f>
        <v/>
      </c>
      <c r="V6983">
        <f t="shared" si="438"/>
        <v>0</v>
      </c>
      <c r="W6983">
        <f t="shared" si="439"/>
        <v>0</v>
      </c>
    </row>
    <row r="6984" spans="5:23" x14ac:dyDescent="0.25">
      <c r="E6984" s="4"/>
      <c r="F6984" s="4"/>
      <c r="G6984" s="33" t="str">
        <f>IFERROR(VLOOKUP($D6984,'Informations sur les produits'!$A$3:$H$10000,8,FALSE),"0")</f>
        <v>0</v>
      </c>
      <c r="K6984" s="4"/>
      <c r="L6984" s="33" t="str">
        <f>IFERROR(VLOOKUP($J6984,'Informations sur les produits'!$A$3:$H$10000,8,FALSE),"0")</f>
        <v>0</v>
      </c>
      <c r="N6984" s="8"/>
      <c r="O6984" s="33" t="str">
        <f>IFERROR(VLOOKUP($M6984,'Informations sur les produits'!$A$3:$H$10000,8,FALSE),"0")</f>
        <v>0</v>
      </c>
      <c r="P6984" s="33">
        <f t="shared" si="436"/>
        <v>0</v>
      </c>
      <c r="Q6984" s="31" t="str">
        <f t="shared" si="437"/>
        <v/>
      </c>
      <c r="R6984" s="32" t="str">
        <f>IFERROR(VLOOKUP($D6984,'Informations sur les produits'!$A$3:$B$15000,2,FALSE),"")</f>
        <v/>
      </c>
      <c r="V6984">
        <f t="shared" si="438"/>
        <v>0</v>
      </c>
      <c r="W6984">
        <f t="shared" si="439"/>
        <v>0</v>
      </c>
    </row>
    <row r="6985" spans="5:23" x14ac:dyDescent="0.25">
      <c r="E6985" s="4"/>
      <c r="F6985" s="4"/>
      <c r="G6985" s="33" t="str">
        <f>IFERROR(VLOOKUP($D6985,'Informations sur les produits'!$A$3:$H$10000,8,FALSE),"0")</f>
        <v>0</v>
      </c>
      <c r="K6985" s="4"/>
      <c r="L6985" s="33" t="str">
        <f>IFERROR(VLOOKUP($J6985,'Informations sur les produits'!$A$3:$H$10000,8,FALSE),"0")</f>
        <v>0</v>
      </c>
      <c r="N6985" s="8"/>
      <c r="O6985" s="33" t="str">
        <f>IFERROR(VLOOKUP($M6985,'Informations sur les produits'!$A$3:$H$10000,8,FALSE),"0")</f>
        <v>0</v>
      </c>
      <c r="P6985" s="33">
        <f t="shared" si="436"/>
        <v>0</v>
      </c>
      <c r="Q6985" s="31" t="str">
        <f t="shared" si="437"/>
        <v/>
      </c>
      <c r="R6985" s="32" t="str">
        <f>IFERROR(VLOOKUP($D6985,'Informations sur les produits'!$A$3:$B$15000,2,FALSE),"")</f>
        <v/>
      </c>
      <c r="V6985">
        <f t="shared" si="438"/>
        <v>0</v>
      </c>
      <c r="W6985">
        <f t="shared" si="439"/>
        <v>0</v>
      </c>
    </row>
    <row r="6986" spans="5:23" x14ac:dyDescent="0.25">
      <c r="E6986" s="4"/>
      <c r="F6986" s="4"/>
      <c r="G6986" s="33" t="str">
        <f>IFERROR(VLOOKUP($D6986,'Informations sur les produits'!$A$3:$H$10000,8,FALSE),"0")</f>
        <v>0</v>
      </c>
      <c r="K6986" s="4"/>
      <c r="L6986" s="33" t="str">
        <f>IFERROR(VLOOKUP($J6986,'Informations sur les produits'!$A$3:$H$10000,8,FALSE),"0")</f>
        <v>0</v>
      </c>
      <c r="N6986" s="8"/>
      <c r="O6986" s="33" t="str">
        <f>IFERROR(VLOOKUP($M6986,'Informations sur les produits'!$A$3:$H$10000,8,FALSE),"0")</f>
        <v>0</v>
      </c>
      <c r="P6986" s="33">
        <f t="shared" si="436"/>
        <v>0</v>
      </c>
      <c r="Q6986" s="31" t="str">
        <f t="shared" si="437"/>
        <v/>
      </c>
      <c r="R6986" s="32" t="str">
        <f>IFERROR(VLOOKUP($D6986,'Informations sur les produits'!$A$3:$B$15000,2,FALSE),"")</f>
        <v/>
      </c>
      <c r="V6986">
        <f t="shared" si="438"/>
        <v>0</v>
      </c>
      <c r="W6986">
        <f t="shared" si="439"/>
        <v>0</v>
      </c>
    </row>
    <row r="6987" spans="5:23" x14ac:dyDescent="0.25">
      <c r="E6987" s="4"/>
      <c r="F6987" s="4"/>
      <c r="G6987" s="33" t="str">
        <f>IFERROR(VLOOKUP($D6987,'Informations sur les produits'!$A$3:$H$10000,8,FALSE),"0")</f>
        <v>0</v>
      </c>
      <c r="K6987" s="4"/>
      <c r="L6987" s="33" t="str">
        <f>IFERROR(VLOOKUP($J6987,'Informations sur les produits'!$A$3:$H$10000,8,FALSE),"0")</f>
        <v>0</v>
      </c>
      <c r="N6987" s="8"/>
      <c r="O6987" s="33" t="str">
        <f>IFERROR(VLOOKUP($M6987,'Informations sur les produits'!$A$3:$H$10000,8,FALSE),"0")</f>
        <v>0</v>
      </c>
      <c r="P6987" s="33">
        <f t="shared" si="436"/>
        <v>0</v>
      </c>
      <c r="Q6987" s="31" t="str">
        <f t="shared" si="437"/>
        <v/>
      </c>
      <c r="R6987" s="32" t="str">
        <f>IFERROR(VLOOKUP($D6987,'Informations sur les produits'!$A$3:$B$15000,2,FALSE),"")</f>
        <v/>
      </c>
      <c r="V6987">
        <f t="shared" si="438"/>
        <v>0</v>
      </c>
      <c r="W6987">
        <f t="shared" si="439"/>
        <v>0</v>
      </c>
    </row>
    <row r="6988" spans="5:23" x14ac:dyDescent="0.25">
      <c r="E6988" s="4"/>
      <c r="F6988" s="4"/>
      <c r="G6988" s="33" t="str">
        <f>IFERROR(VLOOKUP($D6988,'Informations sur les produits'!$A$3:$H$10000,8,FALSE),"0")</f>
        <v>0</v>
      </c>
      <c r="K6988" s="4"/>
      <c r="L6988" s="33" t="str">
        <f>IFERROR(VLOOKUP($J6988,'Informations sur les produits'!$A$3:$H$10000,8,FALSE),"0")</f>
        <v>0</v>
      </c>
      <c r="N6988" s="8"/>
      <c r="O6988" s="33" t="str">
        <f>IFERROR(VLOOKUP($M6988,'Informations sur les produits'!$A$3:$H$10000,8,FALSE),"0")</f>
        <v>0</v>
      </c>
      <c r="P6988" s="33">
        <f t="shared" si="436"/>
        <v>0</v>
      </c>
      <c r="Q6988" s="31" t="str">
        <f t="shared" si="437"/>
        <v/>
      </c>
      <c r="R6988" s="32" t="str">
        <f>IFERROR(VLOOKUP($D6988,'Informations sur les produits'!$A$3:$B$15000,2,FALSE),"")</f>
        <v/>
      </c>
      <c r="V6988">
        <f t="shared" si="438"/>
        <v>0</v>
      </c>
      <c r="W6988">
        <f t="shared" si="439"/>
        <v>0</v>
      </c>
    </row>
    <row r="6989" spans="5:23" x14ac:dyDescent="0.25">
      <c r="E6989" s="4"/>
      <c r="F6989" s="4"/>
      <c r="G6989" s="33" t="str">
        <f>IFERROR(VLOOKUP($D6989,'Informations sur les produits'!$A$3:$H$10000,8,FALSE),"0")</f>
        <v>0</v>
      </c>
      <c r="K6989" s="4"/>
      <c r="L6989" s="33" t="str">
        <f>IFERROR(VLOOKUP($J6989,'Informations sur les produits'!$A$3:$H$10000,8,FALSE),"0")</f>
        <v>0</v>
      </c>
      <c r="N6989" s="8"/>
      <c r="O6989" s="33" t="str">
        <f>IFERROR(VLOOKUP($M6989,'Informations sur les produits'!$A$3:$H$10000,8,FALSE),"0")</f>
        <v>0</v>
      </c>
      <c r="P6989" s="33">
        <f t="shared" si="436"/>
        <v>0</v>
      </c>
      <c r="Q6989" s="31" t="str">
        <f t="shared" si="437"/>
        <v/>
      </c>
      <c r="R6989" s="32" t="str">
        <f>IFERROR(VLOOKUP($D6989,'Informations sur les produits'!$A$3:$B$15000,2,FALSE),"")</f>
        <v/>
      </c>
      <c r="V6989">
        <f t="shared" si="438"/>
        <v>0</v>
      </c>
      <c r="W6989">
        <f t="shared" si="439"/>
        <v>0</v>
      </c>
    </row>
    <row r="6990" spans="5:23" x14ac:dyDescent="0.25">
      <c r="E6990" s="4"/>
      <c r="F6990" s="4"/>
      <c r="G6990" s="33" t="str">
        <f>IFERROR(VLOOKUP($D6990,'Informations sur les produits'!$A$3:$H$10000,8,FALSE),"0")</f>
        <v>0</v>
      </c>
      <c r="K6990" s="4"/>
      <c r="L6990" s="33" t="str">
        <f>IFERROR(VLOOKUP($J6990,'Informations sur les produits'!$A$3:$H$10000,8,FALSE),"0")</f>
        <v>0</v>
      </c>
      <c r="N6990" s="8"/>
      <c r="O6990" s="33" t="str">
        <f>IFERROR(VLOOKUP($M6990,'Informations sur les produits'!$A$3:$H$10000,8,FALSE),"0")</f>
        <v>0</v>
      </c>
      <c r="P6990" s="33">
        <f t="shared" si="436"/>
        <v>0</v>
      </c>
      <c r="Q6990" s="31" t="str">
        <f t="shared" si="437"/>
        <v/>
      </c>
      <c r="R6990" s="32" t="str">
        <f>IFERROR(VLOOKUP($D6990,'Informations sur les produits'!$A$3:$B$15000,2,FALSE),"")</f>
        <v/>
      </c>
      <c r="V6990">
        <f t="shared" si="438"/>
        <v>0</v>
      </c>
      <c r="W6990">
        <f t="shared" si="439"/>
        <v>0</v>
      </c>
    </row>
    <row r="6991" spans="5:23" x14ac:dyDescent="0.25">
      <c r="E6991" s="4"/>
      <c r="F6991" s="4"/>
      <c r="G6991" s="33" t="str">
        <f>IFERROR(VLOOKUP($D6991,'Informations sur les produits'!$A$3:$H$10000,8,FALSE),"0")</f>
        <v>0</v>
      </c>
      <c r="K6991" s="4"/>
      <c r="L6991" s="33" t="str">
        <f>IFERROR(VLOOKUP($J6991,'Informations sur les produits'!$A$3:$H$10000,8,FALSE),"0")</f>
        <v>0</v>
      </c>
      <c r="N6991" s="8"/>
      <c r="O6991" s="33" t="str">
        <f>IFERROR(VLOOKUP($M6991,'Informations sur les produits'!$A$3:$H$10000,8,FALSE),"0")</f>
        <v>0</v>
      </c>
      <c r="P6991" s="33">
        <f t="shared" si="436"/>
        <v>0</v>
      </c>
      <c r="Q6991" s="31" t="str">
        <f t="shared" si="437"/>
        <v/>
      </c>
      <c r="R6991" s="32" t="str">
        <f>IFERROR(VLOOKUP($D6991,'Informations sur les produits'!$A$3:$B$15000,2,FALSE),"")</f>
        <v/>
      </c>
      <c r="V6991">
        <f t="shared" si="438"/>
        <v>0</v>
      </c>
      <c r="W6991">
        <f t="shared" si="439"/>
        <v>0</v>
      </c>
    </row>
    <row r="6992" spans="5:23" x14ac:dyDescent="0.25">
      <c r="E6992" s="4"/>
      <c r="F6992" s="4"/>
      <c r="G6992" s="33" t="str">
        <f>IFERROR(VLOOKUP($D6992,'Informations sur les produits'!$A$3:$H$10000,8,FALSE),"0")</f>
        <v>0</v>
      </c>
      <c r="K6992" s="4"/>
      <c r="L6992" s="33" t="str">
        <f>IFERROR(VLOOKUP($J6992,'Informations sur les produits'!$A$3:$H$10000,8,FALSE),"0")</f>
        <v>0</v>
      </c>
      <c r="N6992" s="8"/>
      <c r="O6992" s="33" t="str">
        <f>IFERROR(VLOOKUP($M6992,'Informations sur les produits'!$A$3:$H$10000,8,FALSE),"0")</f>
        <v>0</v>
      </c>
      <c r="P6992" s="33">
        <f t="shared" si="436"/>
        <v>0</v>
      </c>
      <c r="Q6992" s="31" t="str">
        <f t="shared" si="437"/>
        <v/>
      </c>
      <c r="R6992" s="32" t="str">
        <f>IFERROR(VLOOKUP($D6992,'Informations sur les produits'!$A$3:$B$15000,2,FALSE),"")</f>
        <v/>
      </c>
      <c r="V6992">
        <f t="shared" si="438"/>
        <v>0</v>
      </c>
      <c r="W6992">
        <f t="shared" si="439"/>
        <v>0</v>
      </c>
    </row>
    <row r="6993" spans="5:23" x14ac:dyDescent="0.25">
      <c r="E6993" s="4"/>
      <c r="F6993" s="4"/>
      <c r="G6993" s="33" t="str">
        <f>IFERROR(VLOOKUP($D6993,'Informations sur les produits'!$A$3:$H$10000,8,FALSE),"0")</f>
        <v>0</v>
      </c>
      <c r="K6993" s="4"/>
      <c r="L6993" s="33" t="str">
        <f>IFERROR(VLOOKUP($J6993,'Informations sur les produits'!$A$3:$H$10000,8,FALSE),"0")</f>
        <v>0</v>
      </c>
      <c r="N6993" s="8"/>
      <c r="O6993" s="33" t="str">
        <f>IFERROR(VLOOKUP($M6993,'Informations sur les produits'!$A$3:$H$10000,8,FALSE),"0")</f>
        <v>0</v>
      </c>
      <c r="P6993" s="33">
        <f t="shared" si="436"/>
        <v>0</v>
      </c>
      <c r="Q6993" s="31" t="str">
        <f t="shared" si="437"/>
        <v/>
      </c>
      <c r="R6993" s="32" t="str">
        <f>IFERROR(VLOOKUP($D6993,'Informations sur les produits'!$A$3:$B$15000,2,FALSE),"")</f>
        <v/>
      </c>
      <c r="V6993">
        <f t="shared" si="438"/>
        <v>0</v>
      </c>
      <c r="W6993">
        <f t="shared" si="439"/>
        <v>0</v>
      </c>
    </row>
    <row r="6994" spans="5:23" x14ac:dyDescent="0.25">
      <c r="E6994" s="4"/>
      <c r="F6994" s="4"/>
      <c r="G6994" s="33" t="str">
        <f>IFERROR(VLOOKUP($D6994,'Informations sur les produits'!$A$3:$H$10000,8,FALSE),"0")</f>
        <v>0</v>
      </c>
      <c r="K6994" s="4"/>
      <c r="L6994" s="33" t="str">
        <f>IFERROR(VLOOKUP($J6994,'Informations sur les produits'!$A$3:$H$10000,8,FALSE),"0")</f>
        <v>0</v>
      </c>
      <c r="N6994" s="8"/>
      <c r="O6994" s="33" t="str">
        <f>IFERROR(VLOOKUP($M6994,'Informations sur les produits'!$A$3:$H$10000,8,FALSE),"0")</f>
        <v>0</v>
      </c>
      <c r="P6994" s="33">
        <f t="shared" si="436"/>
        <v>0</v>
      </c>
      <c r="Q6994" s="31" t="str">
        <f t="shared" si="437"/>
        <v/>
      </c>
      <c r="R6994" s="32" t="str">
        <f>IFERROR(VLOOKUP($D6994,'Informations sur les produits'!$A$3:$B$15000,2,FALSE),"")</f>
        <v/>
      </c>
      <c r="V6994">
        <f t="shared" si="438"/>
        <v>0</v>
      </c>
      <c r="W6994">
        <f t="shared" si="439"/>
        <v>0</v>
      </c>
    </row>
    <row r="6995" spans="5:23" x14ac:dyDescent="0.25">
      <c r="E6995" s="4"/>
      <c r="F6995" s="4"/>
      <c r="G6995" s="33" t="str">
        <f>IFERROR(VLOOKUP($D6995,'Informations sur les produits'!$A$3:$H$10000,8,FALSE),"0")</f>
        <v>0</v>
      </c>
      <c r="K6995" s="4"/>
      <c r="L6995" s="33" t="str">
        <f>IFERROR(VLOOKUP($J6995,'Informations sur les produits'!$A$3:$H$10000,8,FALSE),"0")</f>
        <v>0</v>
      </c>
      <c r="N6995" s="8"/>
      <c r="O6995" s="33" t="str">
        <f>IFERROR(VLOOKUP($M6995,'Informations sur les produits'!$A$3:$H$10000,8,FALSE),"0")</f>
        <v>0</v>
      </c>
      <c r="P6995" s="33">
        <f t="shared" si="436"/>
        <v>0</v>
      </c>
      <c r="Q6995" s="31" t="str">
        <f t="shared" si="437"/>
        <v/>
      </c>
      <c r="R6995" s="32" t="str">
        <f>IFERROR(VLOOKUP($D6995,'Informations sur les produits'!$A$3:$B$15000,2,FALSE),"")</f>
        <v/>
      </c>
      <c r="V6995">
        <f t="shared" si="438"/>
        <v>0</v>
      </c>
      <c r="W6995">
        <f t="shared" si="439"/>
        <v>0</v>
      </c>
    </row>
    <row r="6996" spans="5:23" x14ac:dyDescent="0.25">
      <c r="E6996" s="4"/>
      <c r="F6996" s="4"/>
      <c r="G6996" s="33" t="str">
        <f>IFERROR(VLOOKUP($D6996,'Informations sur les produits'!$A$3:$H$10000,8,FALSE),"0")</f>
        <v>0</v>
      </c>
      <c r="K6996" s="4"/>
      <c r="L6996" s="33" t="str">
        <f>IFERROR(VLOOKUP($J6996,'Informations sur les produits'!$A$3:$H$10000,8,FALSE),"0")</f>
        <v>0</v>
      </c>
      <c r="N6996" s="8"/>
      <c r="O6996" s="33" t="str">
        <f>IFERROR(VLOOKUP($M6996,'Informations sur les produits'!$A$3:$H$10000,8,FALSE),"0")</f>
        <v>0</v>
      </c>
      <c r="P6996" s="33">
        <f t="shared" si="436"/>
        <v>0</v>
      </c>
      <c r="Q6996" s="31" t="str">
        <f t="shared" si="437"/>
        <v/>
      </c>
      <c r="R6996" s="32" t="str">
        <f>IFERROR(VLOOKUP($D6996,'Informations sur les produits'!$A$3:$B$15000,2,FALSE),"")</f>
        <v/>
      </c>
      <c r="V6996">
        <f t="shared" si="438"/>
        <v>0</v>
      </c>
      <c r="W6996">
        <f t="shared" si="439"/>
        <v>0</v>
      </c>
    </row>
    <row r="6997" spans="5:23" x14ac:dyDescent="0.25">
      <c r="E6997" s="4"/>
      <c r="F6997" s="4"/>
      <c r="G6997" s="33" t="str">
        <f>IFERROR(VLOOKUP($D6997,'Informations sur les produits'!$A$3:$H$10000,8,FALSE),"0")</f>
        <v>0</v>
      </c>
      <c r="K6997" s="4"/>
      <c r="L6997" s="33" t="str">
        <f>IFERROR(VLOOKUP($J6997,'Informations sur les produits'!$A$3:$H$10000,8,FALSE),"0")</f>
        <v>0</v>
      </c>
      <c r="N6997" s="8"/>
      <c r="O6997" s="33" t="str">
        <f>IFERROR(VLOOKUP($M6997,'Informations sur les produits'!$A$3:$H$10000,8,FALSE),"0")</f>
        <v>0</v>
      </c>
      <c r="P6997" s="33">
        <f t="shared" si="436"/>
        <v>0</v>
      </c>
      <c r="Q6997" s="31" t="str">
        <f t="shared" si="437"/>
        <v/>
      </c>
      <c r="R6997" s="32" t="str">
        <f>IFERROR(VLOOKUP($D6997,'Informations sur les produits'!$A$3:$B$15000,2,FALSE),"")</f>
        <v/>
      </c>
      <c r="V6997">
        <f t="shared" si="438"/>
        <v>0</v>
      </c>
      <c r="W6997">
        <f t="shared" si="439"/>
        <v>0</v>
      </c>
    </row>
    <row r="6998" spans="5:23" x14ac:dyDescent="0.25">
      <c r="E6998" s="4"/>
      <c r="F6998" s="4"/>
      <c r="G6998" s="33" t="str">
        <f>IFERROR(VLOOKUP($D6998,'Informations sur les produits'!$A$3:$H$10000,8,FALSE),"0")</f>
        <v>0</v>
      </c>
      <c r="K6998" s="4"/>
      <c r="L6998" s="33" t="str">
        <f>IFERROR(VLOOKUP($J6998,'Informations sur les produits'!$A$3:$H$10000,8,FALSE),"0")</f>
        <v>0</v>
      </c>
      <c r="N6998" s="8"/>
      <c r="O6998" s="33" t="str">
        <f>IFERROR(VLOOKUP($M6998,'Informations sur les produits'!$A$3:$H$10000,8,FALSE),"0")</f>
        <v>0</v>
      </c>
      <c r="P6998" s="33">
        <f t="shared" si="436"/>
        <v>0</v>
      </c>
      <c r="Q6998" s="31" t="str">
        <f t="shared" si="437"/>
        <v/>
      </c>
      <c r="R6998" s="32" t="str">
        <f>IFERROR(VLOOKUP($D6998,'Informations sur les produits'!$A$3:$B$15000,2,FALSE),"")</f>
        <v/>
      </c>
      <c r="V6998">
        <f t="shared" si="438"/>
        <v>0</v>
      </c>
      <c r="W6998">
        <f t="shared" si="439"/>
        <v>0</v>
      </c>
    </row>
    <row r="6999" spans="5:23" x14ac:dyDescent="0.25">
      <c r="E6999" s="4"/>
      <c r="F6999" s="4"/>
      <c r="G6999" s="33" t="str">
        <f>IFERROR(VLOOKUP($D6999,'Informations sur les produits'!$A$3:$H$10000,8,FALSE),"0")</f>
        <v>0</v>
      </c>
      <c r="K6999" s="4"/>
      <c r="L6999" s="33" t="str">
        <f>IFERROR(VLOOKUP($J6999,'Informations sur les produits'!$A$3:$H$10000,8,FALSE),"0")</f>
        <v>0</v>
      </c>
      <c r="N6999" s="8"/>
      <c r="O6999" s="33" t="str">
        <f>IFERROR(VLOOKUP($M6999,'Informations sur les produits'!$A$3:$H$10000,8,FALSE),"0")</f>
        <v>0</v>
      </c>
      <c r="P6999" s="33">
        <f t="shared" si="436"/>
        <v>0</v>
      </c>
      <c r="Q6999" s="31" t="str">
        <f t="shared" si="437"/>
        <v/>
      </c>
      <c r="R6999" s="32" t="str">
        <f>IFERROR(VLOOKUP($D6999,'Informations sur les produits'!$A$3:$B$15000,2,FALSE),"")</f>
        <v/>
      </c>
      <c r="V6999">
        <f t="shared" si="438"/>
        <v>0</v>
      </c>
      <c r="W6999">
        <f t="shared" si="439"/>
        <v>0</v>
      </c>
    </row>
    <row r="7000" spans="5:23" x14ac:dyDescent="0.25">
      <c r="E7000" s="4"/>
      <c r="F7000" s="4"/>
      <c r="G7000" s="33" t="str">
        <f>IFERROR(VLOOKUP($D7000,'Informations sur les produits'!$A$3:$H$10000,8,FALSE),"0")</f>
        <v>0</v>
      </c>
      <c r="K7000" s="4"/>
      <c r="L7000" s="33" t="str">
        <f>IFERROR(VLOOKUP($J7000,'Informations sur les produits'!$A$3:$H$10000,8,FALSE),"0")</f>
        <v>0</v>
      </c>
      <c r="N7000" s="8"/>
      <c r="O7000" s="33" t="str">
        <f>IFERROR(VLOOKUP($M7000,'Informations sur les produits'!$A$3:$H$10000,8,FALSE),"0")</f>
        <v>0</v>
      </c>
      <c r="P7000" s="33">
        <f t="shared" si="436"/>
        <v>0</v>
      </c>
      <c r="Q7000" s="31" t="str">
        <f t="shared" si="437"/>
        <v/>
      </c>
      <c r="R7000" s="32" t="str">
        <f>IFERROR(VLOOKUP($D7000,'Informations sur les produits'!$A$3:$B$15000,2,FALSE),"")</f>
        <v/>
      </c>
      <c r="V7000">
        <f t="shared" si="438"/>
        <v>0</v>
      </c>
      <c r="W7000">
        <f t="shared" si="439"/>
        <v>0</v>
      </c>
    </row>
    <row r="7001" spans="5:23" x14ac:dyDescent="0.25">
      <c r="E7001" s="4"/>
      <c r="F7001" s="4"/>
      <c r="G7001" s="33" t="str">
        <f>IFERROR(VLOOKUP($D7001,'Informations sur les produits'!$A$3:$H$10000,8,FALSE),"0")</f>
        <v>0</v>
      </c>
      <c r="K7001" s="4"/>
      <c r="L7001" s="33" t="str">
        <f>IFERROR(VLOOKUP($J7001,'Informations sur les produits'!$A$3:$H$10000,8,FALSE),"0")</f>
        <v>0</v>
      </c>
      <c r="N7001" s="8"/>
      <c r="O7001" s="33" t="str">
        <f>IFERROR(VLOOKUP($M7001,'Informations sur les produits'!$A$3:$H$10000,8,FALSE),"0")</f>
        <v>0</v>
      </c>
      <c r="P7001" s="33">
        <f t="shared" si="436"/>
        <v>0</v>
      </c>
      <c r="Q7001" s="31" t="str">
        <f t="shared" si="437"/>
        <v/>
      </c>
      <c r="R7001" s="32" t="str">
        <f>IFERROR(VLOOKUP($D7001,'Informations sur les produits'!$A$3:$B$15000,2,FALSE),"")</f>
        <v/>
      </c>
      <c r="V7001">
        <f t="shared" si="438"/>
        <v>0</v>
      </c>
      <c r="W7001">
        <f t="shared" si="439"/>
        <v>0</v>
      </c>
    </row>
    <row r="7002" spans="5:23" x14ac:dyDescent="0.25">
      <c r="E7002" s="4"/>
      <c r="F7002" s="4"/>
      <c r="G7002" s="33" t="str">
        <f>IFERROR(VLOOKUP($D7002,'Informations sur les produits'!$A$3:$H$10000,8,FALSE),"0")</f>
        <v>0</v>
      </c>
      <c r="K7002" s="4"/>
      <c r="L7002" s="33" t="str">
        <f>IFERROR(VLOOKUP($J7002,'Informations sur les produits'!$A$3:$H$10000,8,FALSE),"0")</f>
        <v>0</v>
      </c>
      <c r="N7002" s="8"/>
      <c r="O7002" s="33" t="str">
        <f>IFERROR(VLOOKUP($M7002,'Informations sur les produits'!$A$3:$H$10000,8,FALSE),"0")</f>
        <v>0</v>
      </c>
      <c r="P7002" s="33">
        <f t="shared" si="436"/>
        <v>0</v>
      </c>
      <c r="Q7002" s="31" t="str">
        <f t="shared" si="437"/>
        <v/>
      </c>
      <c r="R7002" s="32" t="str">
        <f>IFERROR(VLOOKUP($D7002,'Informations sur les produits'!$A$3:$B$15000,2,FALSE),"")</f>
        <v/>
      </c>
      <c r="V7002">
        <f t="shared" si="438"/>
        <v>0</v>
      </c>
      <c r="W7002">
        <f t="shared" si="439"/>
        <v>0</v>
      </c>
    </row>
    <row r="7003" spans="5:23" x14ac:dyDescent="0.25">
      <c r="E7003" s="4"/>
      <c r="F7003" s="4"/>
      <c r="G7003" s="33" t="str">
        <f>IFERROR(VLOOKUP($D7003,'Informations sur les produits'!$A$3:$H$10000,8,FALSE),"0")</f>
        <v>0</v>
      </c>
      <c r="K7003" s="4"/>
      <c r="L7003" s="33" t="str">
        <f>IFERROR(VLOOKUP($J7003,'Informations sur les produits'!$A$3:$H$10000,8,FALSE),"0")</f>
        <v>0</v>
      </c>
      <c r="N7003" s="8"/>
      <c r="O7003" s="33" t="str">
        <f>IFERROR(VLOOKUP($M7003,'Informations sur les produits'!$A$3:$H$10000,8,FALSE),"0")</f>
        <v>0</v>
      </c>
      <c r="P7003" s="33">
        <f t="shared" si="436"/>
        <v>0</v>
      </c>
      <c r="Q7003" s="31" t="str">
        <f t="shared" si="437"/>
        <v/>
      </c>
      <c r="R7003" s="32" t="str">
        <f>IFERROR(VLOOKUP($D7003,'Informations sur les produits'!$A$3:$B$15000,2,FALSE),"")</f>
        <v/>
      </c>
      <c r="V7003">
        <f t="shared" si="438"/>
        <v>0</v>
      </c>
      <c r="W7003">
        <f t="shared" si="439"/>
        <v>0</v>
      </c>
    </row>
    <row r="7004" spans="5:23" x14ac:dyDescent="0.25">
      <c r="E7004" s="4"/>
      <c r="F7004" s="4"/>
      <c r="G7004" s="33" t="str">
        <f>IFERROR(VLOOKUP($D7004,'Informations sur les produits'!$A$3:$H$10000,8,FALSE),"0")</f>
        <v>0</v>
      </c>
      <c r="K7004" s="4"/>
      <c r="L7004" s="33" t="str">
        <f>IFERROR(VLOOKUP($J7004,'Informations sur les produits'!$A$3:$H$10000,8,FALSE),"0")</f>
        <v>0</v>
      </c>
      <c r="N7004" s="8"/>
      <c r="O7004" s="33" t="str">
        <f>IFERROR(VLOOKUP($M7004,'Informations sur les produits'!$A$3:$H$10000,8,FALSE),"0")</f>
        <v>0</v>
      </c>
      <c r="P7004" s="33">
        <f t="shared" si="436"/>
        <v>0</v>
      </c>
      <c r="Q7004" s="31" t="str">
        <f t="shared" si="437"/>
        <v/>
      </c>
      <c r="R7004" s="32" t="str">
        <f>IFERROR(VLOOKUP($D7004,'Informations sur les produits'!$A$3:$B$15000,2,FALSE),"")</f>
        <v/>
      </c>
      <c r="V7004">
        <f t="shared" si="438"/>
        <v>0</v>
      </c>
      <c r="W7004">
        <f t="shared" si="439"/>
        <v>0</v>
      </c>
    </row>
    <row r="7005" spans="5:23" x14ac:dyDescent="0.25">
      <c r="E7005" s="4"/>
      <c r="F7005" s="4"/>
      <c r="G7005" s="33" t="str">
        <f>IFERROR(VLOOKUP($D7005,'Informations sur les produits'!$A$3:$H$10000,8,FALSE),"0")</f>
        <v>0</v>
      </c>
      <c r="K7005" s="4"/>
      <c r="L7005" s="33" t="str">
        <f>IFERROR(VLOOKUP($J7005,'Informations sur les produits'!$A$3:$H$10000,8,FALSE),"0")</f>
        <v>0</v>
      </c>
      <c r="N7005" s="8"/>
      <c r="O7005" s="33" t="str">
        <f>IFERROR(VLOOKUP($M7005,'Informations sur les produits'!$A$3:$H$10000,8,FALSE),"0")</f>
        <v>0</v>
      </c>
      <c r="P7005" s="33">
        <f t="shared" si="436"/>
        <v>0</v>
      </c>
      <c r="Q7005" s="31" t="str">
        <f t="shared" si="437"/>
        <v/>
      </c>
      <c r="R7005" s="32" t="str">
        <f>IFERROR(VLOOKUP($D7005,'Informations sur les produits'!$A$3:$B$15000,2,FALSE),"")</f>
        <v/>
      </c>
      <c r="V7005">
        <f t="shared" si="438"/>
        <v>0</v>
      </c>
      <c r="W7005">
        <f t="shared" si="439"/>
        <v>0</v>
      </c>
    </row>
    <row r="7006" spans="5:23" x14ac:dyDescent="0.25">
      <c r="E7006" s="4"/>
      <c r="F7006" s="4"/>
      <c r="G7006" s="33" t="str">
        <f>IFERROR(VLOOKUP($D7006,'Informations sur les produits'!$A$3:$H$10000,8,FALSE),"0")</f>
        <v>0</v>
      </c>
      <c r="K7006" s="4"/>
      <c r="L7006" s="33" t="str">
        <f>IFERROR(VLOOKUP($J7006,'Informations sur les produits'!$A$3:$H$10000,8,FALSE),"0")</f>
        <v>0</v>
      </c>
      <c r="N7006" s="8"/>
      <c r="O7006" s="33" t="str">
        <f>IFERROR(VLOOKUP($M7006,'Informations sur les produits'!$A$3:$H$10000,8,FALSE),"0")</f>
        <v>0</v>
      </c>
      <c r="P7006" s="33">
        <f t="shared" si="436"/>
        <v>0</v>
      </c>
      <c r="Q7006" s="31" t="str">
        <f t="shared" si="437"/>
        <v/>
      </c>
      <c r="R7006" s="32" t="str">
        <f>IFERROR(VLOOKUP($D7006,'Informations sur les produits'!$A$3:$B$15000,2,FALSE),"")</f>
        <v/>
      </c>
      <c r="V7006">
        <f t="shared" si="438"/>
        <v>0</v>
      </c>
      <c r="W7006">
        <f t="shared" si="439"/>
        <v>0</v>
      </c>
    </row>
    <row r="7007" spans="5:23" x14ac:dyDescent="0.25">
      <c r="E7007" s="4"/>
      <c r="F7007" s="4"/>
      <c r="G7007" s="33" t="str">
        <f>IFERROR(VLOOKUP($D7007,'Informations sur les produits'!$A$3:$H$10000,8,FALSE),"0")</f>
        <v>0</v>
      </c>
      <c r="K7007" s="4"/>
      <c r="L7007" s="33" t="str">
        <f>IFERROR(VLOOKUP($J7007,'Informations sur les produits'!$A$3:$H$10000,8,FALSE),"0")</f>
        <v>0</v>
      </c>
      <c r="N7007" s="8"/>
      <c r="O7007" s="33" t="str">
        <f>IFERROR(VLOOKUP($M7007,'Informations sur les produits'!$A$3:$H$10000,8,FALSE),"0")</f>
        <v>0</v>
      </c>
      <c r="P7007" s="33">
        <f t="shared" si="436"/>
        <v>0</v>
      </c>
      <c r="Q7007" s="31" t="str">
        <f t="shared" si="437"/>
        <v/>
      </c>
      <c r="R7007" s="32" t="str">
        <f>IFERROR(VLOOKUP($D7007,'Informations sur les produits'!$A$3:$B$15000,2,FALSE),"")</f>
        <v/>
      </c>
      <c r="V7007">
        <f t="shared" si="438"/>
        <v>0</v>
      </c>
      <c r="W7007">
        <f t="shared" si="439"/>
        <v>0</v>
      </c>
    </row>
    <row r="7008" spans="5:23" x14ac:dyDescent="0.25">
      <c r="E7008" s="4"/>
      <c r="F7008" s="4"/>
      <c r="G7008" s="33" t="str">
        <f>IFERROR(VLOOKUP($D7008,'Informations sur les produits'!$A$3:$H$10000,8,FALSE),"0")</f>
        <v>0</v>
      </c>
      <c r="K7008" s="4"/>
      <c r="L7008" s="33" t="str">
        <f>IFERROR(VLOOKUP($J7008,'Informations sur les produits'!$A$3:$H$10000,8,FALSE),"0")</f>
        <v>0</v>
      </c>
      <c r="N7008" s="8"/>
      <c r="O7008" s="33" t="str">
        <f>IFERROR(VLOOKUP($M7008,'Informations sur les produits'!$A$3:$H$10000,8,FALSE),"0")</f>
        <v>0</v>
      </c>
      <c r="P7008" s="33">
        <f t="shared" si="436"/>
        <v>0</v>
      </c>
      <c r="Q7008" s="31" t="str">
        <f t="shared" si="437"/>
        <v/>
      </c>
      <c r="R7008" s="32" t="str">
        <f>IFERROR(VLOOKUP($D7008,'Informations sur les produits'!$A$3:$B$15000,2,FALSE),"")</f>
        <v/>
      </c>
      <c r="V7008">
        <f t="shared" si="438"/>
        <v>0</v>
      </c>
      <c r="W7008">
        <f t="shared" si="439"/>
        <v>0</v>
      </c>
    </row>
    <row r="7009" spans="5:23" x14ac:dyDescent="0.25">
      <c r="E7009" s="4"/>
      <c r="F7009" s="4"/>
      <c r="G7009" s="33" t="str">
        <f>IFERROR(VLOOKUP($D7009,'Informations sur les produits'!$A$3:$H$10000,8,FALSE),"0")</f>
        <v>0</v>
      </c>
      <c r="K7009" s="4"/>
      <c r="L7009" s="33" t="str">
        <f>IFERROR(VLOOKUP($J7009,'Informations sur les produits'!$A$3:$H$10000,8,FALSE),"0")</f>
        <v>0</v>
      </c>
      <c r="N7009" s="8"/>
      <c r="O7009" s="33" t="str">
        <f>IFERROR(VLOOKUP($M7009,'Informations sur les produits'!$A$3:$H$10000,8,FALSE),"0")</f>
        <v>0</v>
      </c>
      <c r="P7009" s="33">
        <f t="shared" si="436"/>
        <v>0</v>
      </c>
      <c r="Q7009" s="31" t="str">
        <f t="shared" si="437"/>
        <v/>
      </c>
      <c r="R7009" s="32" t="str">
        <f>IFERROR(VLOOKUP($D7009,'Informations sur les produits'!$A$3:$B$15000,2,FALSE),"")</f>
        <v/>
      </c>
      <c r="V7009">
        <f t="shared" si="438"/>
        <v>0</v>
      </c>
      <c r="W7009">
        <f t="shared" si="439"/>
        <v>0</v>
      </c>
    </row>
    <row r="7010" spans="5:23" x14ac:dyDescent="0.25">
      <c r="E7010" s="4"/>
      <c r="F7010" s="4"/>
      <c r="G7010" s="33" t="str">
        <f>IFERROR(VLOOKUP($D7010,'Informations sur les produits'!$A$3:$H$10000,8,FALSE),"0")</f>
        <v>0</v>
      </c>
      <c r="K7010" s="4"/>
      <c r="L7010" s="33" t="str">
        <f>IFERROR(VLOOKUP($J7010,'Informations sur les produits'!$A$3:$H$10000,8,FALSE),"0")</f>
        <v>0</v>
      </c>
      <c r="N7010" s="8"/>
      <c r="O7010" s="33" t="str">
        <f>IFERROR(VLOOKUP($M7010,'Informations sur les produits'!$A$3:$H$10000,8,FALSE),"0")</f>
        <v>0</v>
      </c>
      <c r="P7010" s="33">
        <f t="shared" si="436"/>
        <v>0</v>
      </c>
      <c r="Q7010" s="31" t="str">
        <f t="shared" si="437"/>
        <v/>
      </c>
      <c r="R7010" s="32" t="str">
        <f>IFERROR(VLOOKUP($D7010,'Informations sur les produits'!$A$3:$B$15000,2,FALSE),"")</f>
        <v/>
      </c>
      <c r="V7010">
        <f t="shared" si="438"/>
        <v>0</v>
      </c>
      <c r="W7010">
        <f t="shared" si="439"/>
        <v>0</v>
      </c>
    </row>
    <row r="7011" spans="5:23" x14ac:dyDescent="0.25">
      <c r="E7011" s="4"/>
      <c r="F7011" s="4"/>
      <c r="G7011" s="33" t="str">
        <f>IFERROR(VLOOKUP($D7011,'Informations sur les produits'!$A$3:$H$10000,8,FALSE),"0")</f>
        <v>0</v>
      </c>
      <c r="K7011" s="4"/>
      <c r="L7011" s="33" t="str">
        <f>IFERROR(VLOOKUP($J7011,'Informations sur les produits'!$A$3:$H$10000,8,FALSE),"0")</f>
        <v>0</v>
      </c>
      <c r="N7011" s="8"/>
      <c r="O7011" s="33" t="str">
        <f>IFERROR(VLOOKUP($M7011,'Informations sur les produits'!$A$3:$H$10000,8,FALSE),"0")</f>
        <v>0</v>
      </c>
      <c r="P7011" s="33">
        <f t="shared" si="436"/>
        <v>0</v>
      </c>
      <c r="Q7011" s="31" t="str">
        <f t="shared" si="437"/>
        <v/>
      </c>
      <c r="R7011" s="32" t="str">
        <f>IFERROR(VLOOKUP($D7011,'Informations sur les produits'!$A$3:$B$15000,2,FALSE),"")</f>
        <v/>
      </c>
      <c r="V7011">
        <f t="shared" si="438"/>
        <v>0</v>
      </c>
      <c r="W7011">
        <f t="shared" si="439"/>
        <v>0</v>
      </c>
    </row>
    <row r="7012" spans="5:23" x14ac:dyDescent="0.25">
      <c r="E7012" s="4"/>
      <c r="F7012" s="4"/>
      <c r="G7012" s="33" t="str">
        <f>IFERROR(VLOOKUP($D7012,'Informations sur les produits'!$A$3:$H$10000,8,FALSE),"0")</f>
        <v>0</v>
      </c>
      <c r="K7012" s="4"/>
      <c r="L7012" s="33" t="str">
        <f>IFERROR(VLOOKUP($J7012,'Informations sur les produits'!$A$3:$H$10000,8,FALSE),"0")</f>
        <v>0</v>
      </c>
      <c r="N7012" s="8"/>
      <c r="O7012" s="33" t="str">
        <f>IFERROR(VLOOKUP($M7012,'Informations sur les produits'!$A$3:$H$10000,8,FALSE),"0")</f>
        <v>0</v>
      </c>
      <c r="P7012" s="33">
        <f t="shared" si="436"/>
        <v>0</v>
      </c>
      <c r="Q7012" s="31" t="str">
        <f t="shared" si="437"/>
        <v/>
      </c>
      <c r="R7012" s="32" t="str">
        <f>IFERROR(VLOOKUP($D7012,'Informations sur les produits'!$A$3:$B$15000,2,FALSE),"")</f>
        <v/>
      </c>
      <c r="V7012">
        <f t="shared" si="438"/>
        <v>0</v>
      </c>
      <c r="W7012">
        <f t="shared" si="439"/>
        <v>0</v>
      </c>
    </row>
    <row r="7013" spans="5:23" x14ac:dyDescent="0.25">
      <c r="E7013" s="4"/>
      <c r="F7013" s="4"/>
      <c r="G7013" s="33" t="str">
        <f>IFERROR(VLOOKUP($D7013,'Informations sur les produits'!$A$3:$H$10000,8,FALSE),"0")</f>
        <v>0</v>
      </c>
      <c r="K7013" s="4"/>
      <c r="L7013" s="33" t="str">
        <f>IFERROR(VLOOKUP($J7013,'Informations sur les produits'!$A$3:$H$10000,8,FALSE),"0")</f>
        <v>0</v>
      </c>
      <c r="N7013" s="8"/>
      <c r="O7013" s="33" t="str">
        <f>IFERROR(VLOOKUP($M7013,'Informations sur les produits'!$A$3:$H$10000,8,FALSE),"0")</f>
        <v>0</v>
      </c>
      <c r="P7013" s="33">
        <f t="shared" si="436"/>
        <v>0</v>
      </c>
      <c r="Q7013" s="31" t="str">
        <f t="shared" si="437"/>
        <v/>
      </c>
      <c r="R7013" s="32" t="str">
        <f>IFERROR(VLOOKUP($D7013,'Informations sur les produits'!$A$3:$B$15000,2,FALSE),"")</f>
        <v/>
      </c>
      <c r="V7013">
        <f t="shared" si="438"/>
        <v>0</v>
      </c>
      <c r="W7013">
        <f t="shared" si="439"/>
        <v>0</v>
      </c>
    </row>
    <row r="7014" spans="5:23" x14ac:dyDescent="0.25">
      <c r="E7014" s="4"/>
      <c r="F7014" s="4"/>
      <c r="G7014" s="33" t="str">
        <f>IFERROR(VLOOKUP($D7014,'Informations sur les produits'!$A$3:$H$10000,8,FALSE),"0")</f>
        <v>0</v>
      </c>
      <c r="K7014" s="4"/>
      <c r="L7014" s="33" t="str">
        <f>IFERROR(VLOOKUP($J7014,'Informations sur les produits'!$A$3:$H$10000,8,FALSE),"0")</f>
        <v>0</v>
      </c>
      <c r="N7014" s="8"/>
      <c r="O7014" s="33" t="str">
        <f>IFERROR(VLOOKUP($M7014,'Informations sur les produits'!$A$3:$H$10000,8,FALSE),"0")</f>
        <v>0</v>
      </c>
      <c r="P7014" s="33">
        <f t="shared" si="436"/>
        <v>0</v>
      </c>
      <c r="Q7014" s="31" t="str">
        <f t="shared" si="437"/>
        <v/>
      </c>
      <c r="R7014" s="32" t="str">
        <f>IFERROR(VLOOKUP($D7014,'Informations sur les produits'!$A$3:$B$15000,2,FALSE),"")</f>
        <v/>
      </c>
      <c r="V7014">
        <f t="shared" si="438"/>
        <v>0</v>
      </c>
      <c r="W7014">
        <f t="shared" si="439"/>
        <v>0</v>
      </c>
    </row>
    <row r="7015" spans="5:23" x14ac:dyDescent="0.25">
      <c r="E7015" s="4"/>
      <c r="F7015" s="4"/>
      <c r="G7015" s="33" t="str">
        <f>IFERROR(VLOOKUP($D7015,'Informations sur les produits'!$A$3:$H$10000,8,FALSE),"0")</f>
        <v>0</v>
      </c>
      <c r="K7015" s="4"/>
      <c r="L7015" s="33" t="str">
        <f>IFERROR(VLOOKUP($J7015,'Informations sur les produits'!$A$3:$H$10000,8,FALSE),"0")</f>
        <v>0</v>
      </c>
      <c r="N7015" s="8"/>
      <c r="O7015" s="33" t="str">
        <f>IFERROR(VLOOKUP($M7015,'Informations sur les produits'!$A$3:$H$10000,8,FALSE),"0")</f>
        <v>0</v>
      </c>
      <c r="P7015" s="33">
        <f t="shared" si="436"/>
        <v>0</v>
      </c>
      <c r="Q7015" s="31" t="str">
        <f t="shared" si="437"/>
        <v/>
      </c>
      <c r="R7015" s="32" t="str">
        <f>IFERROR(VLOOKUP($D7015,'Informations sur les produits'!$A$3:$B$15000,2,FALSE),"")</f>
        <v/>
      </c>
      <c r="V7015">
        <f t="shared" si="438"/>
        <v>0</v>
      </c>
      <c r="W7015">
        <f t="shared" si="439"/>
        <v>0</v>
      </c>
    </row>
    <row r="7016" spans="5:23" x14ac:dyDescent="0.25">
      <c r="E7016" s="4"/>
      <c r="F7016" s="4"/>
      <c r="G7016" s="33" t="str">
        <f>IFERROR(VLOOKUP($D7016,'Informations sur les produits'!$A$3:$H$10000,8,FALSE),"0")</f>
        <v>0</v>
      </c>
      <c r="K7016" s="4"/>
      <c r="L7016" s="33" t="str">
        <f>IFERROR(VLOOKUP($J7016,'Informations sur les produits'!$A$3:$H$10000,8,FALSE),"0")</f>
        <v>0</v>
      </c>
      <c r="N7016" s="8"/>
      <c r="O7016" s="33" t="str">
        <f>IFERROR(VLOOKUP($M7016,'Informations sur les produits'!$A$3:$H$10000,8,FALSE),"0")</f>
        <v>0</v>
      </c>
      <c r="P7016" s="33">
        <f t="shared" si="436"/>
        <v>0</v>
      </c>
      <c r="Q7016" s="31" t="str">
        <f t="shared" si="437"/>
        <v/>
      </c>
      <c r="R7016" s="32" t="str">
        <f>IFERROR(VLOOKUP($D7016,'Informations sur les produits'!$A$3:$B$15000,2,FALSE),"")</f>
        <v/>
      </c>
      <c r="V7016">
        <f t="shared" si="438"/>
        <v>0</v>
      </c>
      <c r="W7016">
        <f t="shared" si="439"/>
        <v>0</v>
      </c>
    </row>
    <row r="7017" spans="5:23" x14ac:dyDescent="0.25">
      <c r="E7017" s="4"/>
      <c r="F7017" s="4"/>
      <c r="G7017" s="33" t="str">
        <f>IFERROR(VLOOKUP($D7017,'Informations sur les produits'!$A$3:$H$10000,8,FALSE),"0")</f>
        <v>0</v>
      </c>
      <c r="K7017" s="4"/>
      <c r="L7017" s="33" t="str">
        <f>IFERROR(VLOOKUP($J7017,'Informations sur les produits'!$A$3:$H$10000,8,FALSE),"0")</f>
        <v>0</v>
      </c>
      <c r="N7017" s="8"/>
      <c r="O7017" s="33" t="str">
        <f>IFERROR(VLOOKUP($M7017,'Informations sur les produits'!$A$3:$H$10000,8,FALSE),"0")</f>
        <v>0</v>
      </c>
      <c r="P7017" s="33">
        <f t="shared" si="436"/>
        <v>0</v>
      </c>
      <c r="Q7017" s="31" t="str">
        <f t="shared" si="437"/>
        <v/>
      </c>
      <c r="R7017" s="32" t="str">
        <f>IFERROR(VLOOKUP($D7017,'Informations sur les produits'!$A$3:$B$15000,2,FALSE),"")</f>
        <v/>
      </c>
      <c r="V7017">
        <f t="shared" si="438"/>
        <v>0</v>
      </c>
      <c r="W7017">
        <f t="shared" si="439"/>
        <v>0</v>
      </c>
    </row>
    <row r="7018" spans="5:23" x14ac:dyDescent="0.25">
      <c r="E7018" s="4"/>
      <c r="F7018" s="4"/>
      <c r="G7018" s="33" t="str">
        <f>IFERROR(VLOOKUP($D7018,'Informations sur les produits'!$A$3:$H$10000,8,FALSE),"0")</f>
        <v>0</v>
      </c>
      <c r="K7018" s="4"/>
      <c r="L7018" s="33" t="str">
        <f>IFERROR(VLOOKUP($J7018,'Informations sur les produits'!$A$3:$H$10000,8,FALSE),"0")</f>
        <v>0</v>
      </c>
      <c r="N7018" s="8"/>
      <c r="O7018" s="33" t="str">
        <f>IFERROR(VLOOKUP($M7018,'Informations sur les produits'!$A$3:$H$10000,8,FALSE),"0")</f>
        <v>0</v>
      </c>
      <c r="P7018" s="33">
        <f t="shared" si="436"/>
        <v>0</v>
      </c>
      <c r="Q7018" s="31" t="str">
        <f t="shared" si="437"/>
        <v/>
      </c>
      <c r="R7018" s="32" t="str">
        <f>IFERROR(VLOOKUP($D7018,'Informations sur les produits'!$A$3:$B$15000,2,FALSE),"")</f>
        <v/>
      </c>
      <c r="V7018">
        <f t="shared" si="438"/>
        <v>0</v>
      </c>
      <c r="W7018">
        <f t="shared" si="439"/>
        <v>0</v>
      </c>
    </row>
    <row r="7019" spans="5:23" x14ac:dyDescent="0.25">
      <c r="E7019" s="4"/>
      <c r="F7019" s="4"/>
      <c r="G7019" s="33" t="str">
        <f>IFERROR(VLOOKUP($D7019,'Informations sur les produits'!$A$3:$H$10000,8,FALSE),"0")</f>
        <v>0</v>
      </c>
      <c r="K7019" s="4"/>
      <c r="L7019" s="33" t="str">
        <f>IFERROR(VLOOKUP($J7019,'Informations sur les produits'!$A$3:$H$10000,8,FALSE),"0")</f>
        <v>0</v>
      </c>
      <c r="N7019" s="8"/>
      <c r="O7019" s="33" t="str">
        <f>IFERROR(VLOOKUP($M7019,'Informations sur les produits'!$A$3:$H$10000,8,FALSE),"0")</f>
        <v>0</v>
      </c>
      <c r="P7019" s="33">
        <f t="shared" si="436"/>
        <v>0</v>
      </c>
      <c r="Q7019" s="31" t="str">
        <f t="shared" si="437"/>
        <v/>
      </c>
      <c r="R7019" s="32" t="str">
        <f>IFERROR(VLOOKUP($D7019,'Informations sur les produits'!$A$3:$B$15000,2,FALSE),"")</f>
        <v/>
      </c>
      <c r="V7019">
        <f t="shared" si="438"/>
        <v>0</v>
      </c>
      <c r="W7019">
        <f t="shared" si="439"/>
        <v>0</v>
      </c>
    </row>
    <row r="7020" spans="5:23" x14ac:dyDescent="0.25">
      <c r="E7020" s="4"/>
      <c r="F7020" s="4"/>
      <c r="G7020" s="33" t="str">
        <f>IFERROR(VLOOKUP($D7020,'Informations sur les produits'!$A$3:$H$10000,8,FALSE),"0")</f>
        <v>0</v>
      </c>
      <c r="K7020" s="4"/>
      <c r="L7020" s="33" t="str">
        <f>IFERROR(VLOOKUP($J7020,'Informations sur les produits'!$A$3:$H$10000,8,FALSE),"0")</f>
        <v>0</v>
      </c>
      <c r="N7020" s="8"/>
      <c r="O7020" s="33" t="str">
        <f>IFERROR(VLOOKUP($M7020,'Informations sur les produits'!$A$3:$H$10000,8,FALSE),"0")</f>
        <v>0</v>
      </c>
      <c r="P7020" s="33">
        <f t="shared" si="436"/>
        <v>0</v>
      </c>
      <c r="Q7020" s="31" t="str">
        <f t="shared" si="437"/>
        <v/>
      </c>
      <c r="R7020" s="32" t="str">
        <f>IFERROR(VLOOKUP($D7020,'Informations sur les produits'!$A$3:$B$15000,2,FALSE),"")</f>
        <v/>
      </c>
      <c r="V7020">
        <f t="shared" si="438"/>
        <v>0</v>
      </c>
      <c r="W7020">
        <f t="shared" si="439"/>
        <v>0</v>
      </c>
    </row>
    <row r="7021" spans="5:23" x14ac:dyDescent="0.25">
      <c r="E7021" s="4"/>
      <c r="F7021" s="4"/>
      <c r="G7021" s="33" t="str">
        <f>IFERROR(VLOOKUP($D7021,'Informations sur les produits'!$A$3:$H$10000,8,FALSE),"0")</f>
        <v>0</v>
      </c>
      <c r="K7021" s="4"/>
      <c r="L7021" s="33" t="str">
        <f>IFERROR(VLOOKUP($J7021,'Informations sur les produits'!$A$3:$H$10000,8,FALSE),"0")</f>
        <v>0</v>
      </c>
      <c r="N7021" s="8"/>
      <c r="O7021" s="33" t="str">
        <f>IFERROR(VLOOKUP($M7021,'Informations sur les produits'!$A$3:$H$10000,8,FALSE),"0")</f>
        <v>0</v>
      </c>
      <c r="P7021" s="33">
        <f t="shared" si="436"/>
        <v>0</v>
      </c>
      <c r="Q7021" s="31" t="str">
        <f t="shared" si="437"/>
        <v/>
      </c>
      <c r="R7021" s="32" t="str">
        <f>IFERROR(VLOOKUP($D7021,'Informations sur les produits'!$A$3:$B$15000,2,FALSE),"")</f>
        <v/>
      </c>
      <c r="V7021">
        <f t="shared" si="438"/>
        <v>0</v>
      </c>
      <c r="W7021">
        <f t="shared" si="439"/>
        <v>0</v>
      </c>
    </row>
    <row r="7022" spans="5:23" x14ac:dyDescent="0.25">
      <c r="E7022" s="4"/>
      <c r="F7022" s="4"/>
      <c r="G7022" s="33" t="str">
        <f>IFERROR(VLOOKUP($D7022,'Informations sur les produits'!$A$3:$H$10000,8,FALSE),"0")</f>
        <v>0</v>
      </c>
      <c r="K7022" s="4"/>
      <c r="L7022" s="33" t="str">
        <f>IFERROR(VLOOKUP($J7022,'Informations sur les produits'!$A$3:$H$10000,8,FALSE),"0")</f>
        <v>0</v>
      </c>
      <c r="N7022" s="8"/>
      <c r="O7022" s="33" t="str">
        <f>IFERROR(VLOOKUP($M7022,'Informations sur les produits'!$A$3:$H$10000,8,FALSE),"0")</f>
        <v>0</v>
      </c>
      <c r="P7022" s="33">
        <f t="shared" si="436"/>
        <v>0</v>
      </c>
      <c r="Q7022" s="31" t="str">
        <f t="shared" si="437"/>
        <v/>
      </c>
      <c r="R7022" s="32" t="str">
        <f>IFERROR(VLOOKUP($D7022,'Informations sur les produits'!$A$3:$B$15000,2,FALSE),"")</f>
        <v/>
      </c>
      <c r="V7022">
        <f t="shared" si="438"/>
        <v>0</v>
      </c>
      <c r="W7022">
        <f t="shared" si="439"/>
        <v>0</v>
      </c>
    </row>
    <row r="7023" spans="5:23" x14ac:dyDescent="0.25">
      <c r="E7023" s="4"/>
      <c r="F7023" s="4"/>
      <c r="G7023" s="33" t="str">
        <f>IFERROR(VLOOKUP($D7023,'Informations sur les produits'!$A$3:$H$10000,8,FALSE),"0")</f>
        <v>0</v>
      </c>
      <c r="K7023" s="4"/>
      <c r="L7023" s="33" t="str">
        <f>IFERROR(VLOOKUP($J7023,'Informations sur les produits'!$A$3:$H$10000,8,FALSE),"0")</f>
        <v>0</v>
      </c>
      <c r="N7023" s="8"/>
      <c r="O7023" s="33" t="str">
        <f>IFERROR(VLOOKUP($M7023,'Informations sur les produits'!$A$3:$H$10000,8,FALSE),"0")</f>
        <v>0</v>
      </c>
      <c r="P7023" s="33">
        <f t="shared" si="436"/>
        <v>0</v>
      </c>
      <c r="Q7023" s="31" t="str">
        <f t="shared" si="437"/>
        <v/>
      </c>
      <c r="R7023" s="32" t="str">
        <f>IFERROR(VLOOKUP($D7023,'Informations sur les produits'!$A$3:$B$15000,2,FALSE),"")</f>
        <v/>
      </c>
      <c r="V7023">
        <f t="shared" si="438"/>
        <v>0</v>
      </c>
      <c r="W7023">
        <f t="shared" si="439"/>
        <v>0</v>
      </c>
    </row>
    <row r="7024" spans="5:23" x14ac:dyDescent="0.25">
      <c r="E7024" s="4"/>
      <c r="F7024" s="4"/>
      <c r="G7024" s="33" t="str">
        <f>IFERROR(VLOOKUP($D7024,'Informations sur les produits'!$A$3:$H$10000,8,FALSE),"0")</f>
        <v>0</v>
      </c>
      <c r="K7024" s="4"/>
      <c r="L7024" s="33" t="str">
        <f>IFERROR(VLOOKUP($J7024,'Informations sur les produits'!$A$3:$H$10000,8,FALSE),"0")</f>
        <v>0</v>
      </c>
      <c r="N7024" s="8"/>
      <c r="O7024" s="33" t="str">
        <f>IFERROR(VLOOKUP($M7024,'Informations sur les produits'!$A$3:$H$10000,8,FALSE),"0")</f>
        <v>0</v>
      </c>
      <c r="P7024" s="33">
        <f t="shared" si="436"/>
        <v>0</v>
      </c>
      <c r="Q7024" s="31" t="str">
        <f t="shared" si="437"/>
        <v/>
      </c>
      <c r="R7024" s="32" t="str">
        <f>IFERROR(VLOOKUP($D7024,'Informations sur les produits'!$A$3:$B$15000,2,FALSE),"")</f>
        <v/>
      </c>
      <c r="V7024">
        <f t="shared" si="438"/>
        <v>0</v>
      </c>
      <c r="W7024">
        <f t="shared" si="439"/>
        <v>0</v>
      </c>
    </row>
    <row r="7025" spans="5:23" x14ac:dyDescent="0.25">
      <c r="E7025" s="4"/>
      <c r="F7025" s="4"/>
      <c r="G7025" s="33" t="str">
        <f>IFERROR(VLOOKUP($D7025,'Informations sur les produits'!$A$3:$H$10000,8,FALSE),"0")</f>
        <v>0</v>
      </c>
      <c r="K7025" s="4"/>
      <c r="L7025" s="33" t="str">
        <f>IFERROR(VLOOKUP($J7025,'Informations sur les produits'!$A$3:$H$10000,8,FALSE),"0")</f>
        <v>0</v>
      </c>
      <c r="N7025" s="8"/>
      <c r="O7025" s="33" t="str">
        <f>IFERROR(VLOOKUP($M7025,'Informations sur les produits'!$A$3:$H$10000,8,FALSE),"0")</f>
        <v>0</v>
      </c>
      <c r="P7025" s="33">
        <f t="shared" si="436"/>
        <v>0</v>
      </c>
      <c r="Q7025" s="31" t="str">
        <f t="shared" si="437"/>
        <v/>
      </c>
      <c r="R7025" s="32" t="str">
        <f>IFERROR(VLOOKUP($D7025,'Informations sur les produits'!$A$3:$B$15000,2,FALSE),"")</f>
        <v/>
      </c>
      <c r="V7025">
        <f t="shared" si="438"/>
        <v>0</v>
      </c>
      <c r="W7025">
        <f t="shared" si="439"/>
        <v>0</v>
      </c>
    </row>
    <row r="7026" spans="5:23" x14ac:dyDescent="0.25">
      <c r="E7026" s="4"/>
      <c r="F7026" s="4"/>
      <c r="G7026" s="33" t="str">
        <f>IFERROR(VLOOKUP($D7026,'Informations sur les produits'!$A$3:$H$10000,8,FALSE),"0")</f>
        <v>0</v>
      </c>
      <c r="K7026" s="4"/>
      <c r="L7026" s="33" t="str">
        <f>IFERROR(VLOOKUP($J7026,'Informations sur les produits'!$A$3:$H$10000,8,FALSE),"0")</f>
        <v>0</v>
      </c>
      <c r="N7026" s="8"/>
      <c r="O7026" s="33" t="str">
        <f>IFERROR(VLOOKUP($M7026,'Informations sur les produits'!$A$3:$H$10000,8,FALSE),"0")</f>
        <v>0</v>
      </c>
      <c r="P7026" s="33">
        <f t="shared" si="436"/>
        <v>0</v>
      </c>
      <c r="Q7026" s="31" t="str">
        <f t="shared" si="437"/>
        <v/>
      </c>
      <c r="R7026" s="32" t="str">
        <f>IFERROR(VLOOKUP($D7026,'Informations sur les produits'!$A$3:$B$15000,2,FALSE),"")</f>
        <v/>
      </c>
      <c r="V7026">
        <f t="shared" si="438"/>
        <v>0</v>
      </c>
      <c r="W7026">
        <f t="shared" si="439"/>
        <v>0</v>
      </c>
    </row>
    <row r="7027" spans="5:23" x14ac:dyDescent="0.25">
      <c r="E7027" s="4"/>
      <c r="F7027" s="4"/>
      <c r="G7027" s="33" t="str">
        <f>IFERROR(VLOOKUP($D7027,'Informations sur les produits'!$A$3:$H$10000,8,FALSE),"0")</f>
        <v>0</v>
      </c>
      <c r="K7027" s="4"/>
      <c r="L7027" s="33" t="str">
        <f>IFERROR(VLOOKUP($J7027,'Informations sur les produits'!$A$3:$H$10000,8,FALSE),"0")</f>
        <v>0</v>
      </c>
      <c r="N7027" s="8"/>
      <c r="O7027" s="33" t="str">
        <f>IFERROR(VLOOKUP($M7027,'Informations sur les produits'!$A$3:$H$10000,8,FALSE),"0")</f>
        <v>0</v>
      </c>
      <c r="P7027" s="33">
        <f t="shared" si="436"/>
        <v>0</v>
      </c>
      <c r="Q7027" s="31" t="str">
        <f t="shared" si="437"/>
        <v/>
      </c>
      <c r="R7027" s="32" t="str">
        <f>IFERROR(VLOOKUP($D7027,'Informations sur les produits'!$A$3:$B$15000,2,FALSE),"")</f>
        <v/>
      </c>
      <c r="V7027">
        <f t="shared" si="438"/>
        <v>0</v>
      </c>
      <c r="W7027">
        <f t="shared" si="439"/>
        <v>0</v>
      </c>
    </row>
    <row r="7028" spans="5:23" x14ac:dyDescent="0.25">
      <c r="E7028" s="4"/>
      <c r="F7028" s="4"/>
      <c r="G7028" s="33" t="str">
        <f>IFERROR(VLOOKUP($D7028,'Informations sur les produits'!$A$3:$H$10000,8,FALSE),"0")</f>
        <v>0</v>
      </c>
      <c r="K7028" s="4"/>
      <c r="L7028" s="33" t="str">
        <f>IFERROR(VLOOKUP($J7028,'Informations sur les produits'!$A$3:$H$10000,8,FALSE),"0")</f>
        <v>0</v>
      </c>
      <c r="N7028" s="8"/>
      <c r="O7028" s="33" t="str">
        <f>IFERROR(VLOOKUP($M7028,'Informations sur les produits'!$A$3:$H$10000,8,FALSE),"0")</f>
        <v>0</v>
      </c>
      <c r="P7028" s="33">
        <f t="shared" si="436"/>
        <v>0</v>
      </c>
      <c r="Q7028" s="31" t="str">
        <f t="shared" si="437"/>
        <v/>
      </c>
      <c r="R7028" s="32" t="str">
        <f>IFERROR(VLOOKUP($D7028,'Informations sur les produits'!$A$3:$B$15000,2,FALSE),"")</f>
        <v/>
      </c>
      <c r="V7028">
        <f t="shared" si="438"/>
        <v>0</v>
      </c>
      <c r="W7028">
        <f t="shared" si="439"/>
        <v>0</v>
      </c>
    </row>
    <row r="7029" spans="5:23" x14ac:dyDescent="0.25">
      <c r="E7029" s="4"/>
      <c r="F7029" s="4"/>
      <c r="G7029" s="33" t="str">
        <f>IFERROR(VLOOKUP($D7029,'Informations sur les produits'!$A$3:$H$10000,8,FALSE),"0")</f>
        <v>0</v>
      </c>
      <c r="K7029" s="4"/>
      <c r="L7029" s="33" t="str">
        <f>IFERROR(VLOOKUP($J7029,'Informations sur les produits'!$A$3:$H$10000,8,FALSE),"0")</f>
        <v>0</v>
      </c>
      <c r="N7029" s="8"/>
      <c r="O7029" s="33" t="str">
        <f>IFERROR(VLOOKUP($M7029,'Informations sur les produits'!$A$3:$H$10000,8,FALSE),"0")</f>
        <v>0</v>
      </c>
      <c r="P7029" s="33">
        <f t="shared" si="436"/>
        <v>0</v>
      </c>
      <c r="Q7029" s="31" t="str">
        <f t="shared" si="437"/>
        <v/>
      </c>
      <c r="R7029" s="32" t="str">
        <f>IFERROR(VLOOKUP($D7029,'Informations sur les produits'!$A$3:$B$15000,2,FALSE),"")</f>
        <v/>
      </c>
      <c r="V7029">
        <f t="shared" si="438"/>
        <v>0</v>
      </c>
      <c r="W7029">
        <f t="shared" si="439"/>
        <v>0</v>
      </c>
    </row>
    <row r="7030" spans="5:23" x14ac:dyDescent="0.25">
      <c r="E7030" s="4"/>
      <c r="F7030" s="4"/>
      <c r="G7030" s="33" t="str">
        <f>IFERROR(VLOOKUP($D7030,'Informations sur les produits'!$A$3:$H$10000,8,FALSE),"0")</f>
        <v>0</v>
      </c>
      <c r="K7030" s="4"/>
      <c r="L7030" s="33" t="str">
        <f>IFERROR(VLOOKUP($J7030,'Informations sur les produits'!$A$3:$H$10000,8,FALSE),"0")</f>
        <v>0</v>
      </c>
      <c r="N7030" s="8"/>
      <c r="O7030" s="33" t="str">
        <f>IFERROR(VLOOKUP($M7030,'Informations sur les produits'!$A$3:$H$10000,8,FALSE),"0")</f>
        <v>0</v>
      </c>
      <c r="P7030" s="33">
        <f t="shared" si="436"/>
        <v>0</v>
      </c>
      <c r="Q7030" s="31" t="str">
        <f t="shared" si="437"/>
        <v/>
      </c>
      <c r="R7030" s="32" t="str">
        <f>IFERROR(VLOOKUP($D7030,'Informations sur les produits'!$A$3:$B$15000,2,FALSE),"")</f>
        <v/>
      </c>
      <c r="V7030">
        <f t="shared" si="438"/>
        <v>0</v>
      </c>
      <c r="W7030">
        <f t="shared" si="439"/>
        <v>0</v>
      </c>
    </row>
    <row r="7031" spans="5:23" x14ac:dyDescent="0.25">
      <c r="E7031" s="4"/>
      <c r="F7031" s="4"/>
      <c r="G7031" s="33" t="str">
        <f>IFERROR(VLOOKUP($D7031,'Informations sur les produits'!$A$3:$H$10000,8,FALSE),"0")</f>
        <v>0</v>
      </c>
      <c r="K7031" s="4"/>
      <c r="L7031" s="33" t="str">
        <f>IFERROR(VLOOKUP($J7031,'Informations sur les produits'!$A$3:$H$10000,8,FALSE),"0")</f>
        <v>0</v>
      </c>
      <c r="N7031" s="8"/>
      <c r="O7031" s="33" t="str">
        <f>IFERROR(VLOOKUP($M7031,'Informations sur les produits'!$A$3:$H$10000,8,FALSE),"0")</f>
        <v>0</v>
      </c>
      <c r="P7031" s="33">
        <f t="shared" si="436"/>
        <v>0</v>
      </c>
      <c r="Q7031" s="31" t="str">
        <f t="shared" si="437"/>
        <v/>
      </c>
      <c r="R7031" s="32" t="str">
        <f>IFERROR(VLOOKUP($D7031,'Informations sur les produits'!$A$3:$B$15000,2,FALSE),"")</f>
        <v/>
      </c>
      <c r="V7031">
        <f t="shared" si="438"/>
        <v>0</v>
      </c>
      <c r="W7031">
        <f t="shared" si="439"/>
        <v>0</v>
      </c>
    </row>
    <row r="7032" spans="5:23" x14ac:dyDescent="0.25">
      <c r="E7032" s="4"/>
      <c r="F7032" s="4"/>
      <c r="G7032" s="33" t="str">
        <f>IFERROR(VLOOKUP($D7032,'Informations sur les produits'!$A$3:$H$10000,8,FALSE),"0")</f>
        <v>0</v>
      </c>
      <c r="K7032" s="4"/>
      <c r="L7032" s="33" t="str">
        <f>IFERROR(VLOOKUP($J7032,'Informations sur les produits'!$A$3:$H$10000,8,FALSE),"0")</f>
        <v>0</v>
      </c>
      <c r="N7032" s="8"/>
      <c r="O7032" s="33" t="str">
        <f>IFERROR(VLOOKUP($M7032,'Informations sur les produits'!$A$3:$H$10000,8,FALSE),"0")</f>
        <v>0</v>
      </c>
      <c r="P7032" s="33">
        <f t="shared" si="436"/>
        <v>0</v>
      </c>
      <c r="Q7032" s="31" t="str">
        <f t="shared" si="437"/>
        <v/>
      </c>
      <c r="R7032" s="32" t="str">
        <f>IFERROR(VLOOKUP($D7032,'Informations sur les produits'!$A$3:$B$15000,2,FALSE),"")</f>
        <v/>
      </c>
      <c r="V7032">
        <f t="shared" si="438"/>
        <v>0</v>
      </c>
      <c r="W7032">
        <f t="shared" si="439"/>
        <v>0</v>
      </c>
    </row>
    <row r="7033" spans="5:23" x14ac:dyDescent="0.25">
      <c r="E7033" s="4"/>
      <c r="F7033" s="4"/>
      <c r="G7033" s="33" t="str">
        <f>IFERROR(VLOOKUP($D7033,'Informations sur les produits'!$A$3:$H$10000,8,FALSE),"0")</f>
        <v>0</v>
      </c>
      <c r="K7033" s="4"/>
      <c r="L7033" s="33" t="str">
        <f>IFERROR(VLOOKUP($J7033,'Informations sur les produits'!$A$3:$H$10000,8,FALSE),"0")</f>
        <v>0</v>
      </c>
      <c r="N7033" s="8"/>
      <c r="O7033" s="33" t="str">
        <f>IFERROR(VLOOKUP($M7033,'Informations sur les produits'!$A$3:$H$10000,8,FALSE),"0")</f>
        <v>0</v>
      </c>
      <c r="P7033" s="33">
        <f t="shared" si="436"/>
        <v>0</v>
      </c>
      <c r="Q7033" s="31" t="str">
        <f t="shared" si="437"/>
        <v/>
      </c>
      <c r="R7033" s="32" t="str">
        <f>IFERROR(VLOOKUP($D7033,'Informations sur les produits'!$A$3:$B$15000,2,FALSE),"")</f>
        <v/>
      </c>
      <c r="V7033">
        <f t="shared" si="438"/>
        <v>0</v>
      </c>
      <c r="W7033">
        <f t="shared" si="439"/>
        <v>0</v>
      </c>
    </row>
    <row r="7034" spans="5:23" x14ac:dyDescent="0.25">
      <c r="E7034" s="4"/>
      <c r="F7034" s="4"/>
      <c r="G7034" s="33" t="str">
        <f>IFERROR(VLOOKUP($D7034,'Informations sur les produits'!$A$3:$H$10000,8,FALSE),"0")</f>
        <v>0</v>
      </c>
      <c r="K7034" s="4"/>
      <c r="L7034" s="33" t="str">
        <f>IFERROR(VLOOKUP($J7034,'Informations sur les produits'!$A$3:$H$10000,8,FALSE),"0")</f>
        <v>0</v>
      </c>
      <c r="N7034" s="8"/>
      <c r="O7034" s="33" t="str">
        <f>IFERROR(VLOOKUP($M7034,'Informations sur les produits'!$A$3:$H$10000,8,FALSE),"0")</f>
        <v>0</v>
      </c>
      <c r="P7034" s="33">
        <f t="shared" si="436"/>
        <v>0</v>
      </c>
      <c r="Q7034" s="31" t="str">
        <f t="shared" si="437"/>
        <v/>
      </c>
      <c r="R7034" s="32" t="str">
        <f>IFERROR(VLOOKUP($D7034,'Informations sur les produits'!$A$3:$B$15000,2,FALSE),"")</f>
        <v/>
      </c>
      <c r="V7034">
        <f t="shared" si="438"/>
        <v>0</v>
      </c>
      <c r="W7034">
        <f t="shared" si="439"/>
        <v>0</v>
      </c>
    </row>
    <row r="7035" spans="5:23" x14ac:dyDescent="0.25">
      <c r="E7035" s="4"/>
      <c r="F7035" s="4"/>
      <c r="G7035" s="33" t="str">
        <f>IFERROR(VLOOKUP($D7035,'Informations sur les produits'!$A$3:$H$10000,8,FALSE),"0")</f>
        <v>0</v>
      </c>
      <c r="K7035" s="4"/>
      <c r="L7035" s="33" t="str">
        <f>IFERROR(VLOOKUP($J7035,'Informations sur les produits'!$A$3:$H$10000,8,FALSE),"0")</f>
        <v>0</v>
      </c>
      <c r="N7035" s="8"/>
      <c r="O7035" s="33" t="str">
        <f>IFERROR(VLOOKUP($M7035,'Informations sur les produits'!$A$3:$H$10000,8,FALSE),"0")</f>
        <v>0</v>
      </c>
      <c r="P7035" s="33">
        <f t="shared" si="436"/>
        <v>0</v>
      </c>
      <c r="Q7035" s="31" t="str">
        <f t="shared" si="437"/>
        <v/>
      </c>
      <c r="R7035" s="32" t="str">
        <f>IFERROR(VLOOKUP($D7035,'Informations sur les produits'!$A$3:$B$15000,2,FALSE),"")</f>
        <v/>
      </c>
      <c r="V7035">
        <f t="shared" si="438"/>
        <v>0</v>
      </c>
      <c r="W7035">
        <f t="shared" si="439"/>
        <v>0</v>
      </c>
    </row>
    <row r="7036" spans="5:23" x14ac:dyDescent="0.25">
      <c r="E7036" s="4"/>
      <c r="F7036" s="4"/>
      <c r="G7036" s="33" t="str">
        <f>IFERROR(VLOOKUP($D7036,'Informations sur les produits'!$A$3:$H$10000,8,FALSE),"0")</f>
        <v>0</v>
      </c>
      <c r="K7036" s="4"/>
      <c r="L7036" s="33" t="str">
        <f>IFERROR(VLOOKUP($J7036,'Informations sur les produits'!$A$3:$H$10000,8,FALSE),"0")</f>
        <v>0</v>
      </c>
      <c r="N7036" s="8"/>
      <c r="O7036" s="33" t="str">
        <f>IFERROR(VLOOKUP($M7036,'Informations sur les produits'!$A$3:$H$10000,8,FALSE),"0")</f>
        <v>0</v>
      </c>
      <c r="P7036" s="33">
        <f t="shared" si="436"/>
        <v>0</v>
      </c>
      <c r="Q7036" s="31" t="str">
        <f t="shared" si="437"/>
        <v/>
      </c>
      <c r="R7036" s="32" t="str">
        <f>IFERROR(VLOOKUP($D7036,'Informations sur les produits'!$A$3:$B$15000,2,FALSE),"")</f>
        <v/>
      </c>
      <c r="V7036">
        <f t="shared" si="438"/>
        <v>0</v>
      </c>
      <c r="W7036">
        <f t="shared" si="439"/>
        <v>0</v>
      </c>
    </row>
    <row r="7037" spans="5:23" x14ac:dyDescent="0.25">
      <c r="E7037" s="4"/>
      <c r="F7037" s="4"/>
      <c r="G7037" s="33" t="str">
        <f>IFERROR(VLOOKUP($D7037,'Informations sur les produits'!$A$3:$H$10000,8,FALSE),"0")</f>
        <v>0</v>
      </c>
      <c r="K7037" s="4"/>
      <c r="L7037" s="33" t="str">
        <f>IFERROR(VLOOKUP($J7037,'Informations sur les produits'!$A$3:$H$10000,8,FALSE),"0")</f>
        <v>0</v>
      </c>
      <c r="N7037" s="8"/>
      <c r="O7037" s="33" t="str">
        <f>IFERROR(VLOOKUP($M7037,'Informations sur les produits'!$A$3:$H$10000,8,FALSE),"0")</f>
        <v>0</v>
      </c>
      <c r="P7037" s="33">
        <f t="shared" si="436"/>
        <v>0</v>
      </c>
      <c r="Q7037" s="31" t="str">
        <f t="shared" si="437"/>
        <v/>
      </c>
      <c r="R7037" s="32" t="str">
        <f>IFERROR(VLOOKUP($D7037,'Informations sur les produits'!$A$3:$B$15000,2,FALSE),"")</f>
        <v/>
      </c>
      <c r="V7037">
        <f t="shared" si="438"/>
        <v>0</v>
      </c>
      <c r="W7037">
        <f t="shared" si="439"/>
        <v>0</v>
      </c>
    </row>
    <row r="7038" spans="5:23" x14ac:dyDescent="0.25">
      <c r="E7038" s="4"/>
      <c r="F7038" s="4"/>
      <c r="G7038" s="33" t="str">
        <f>IFERROR(VLOOKUP($D7038,'Informations sur les produits'!$A$3:$H$10000,8,FALSE),"0")</f>
        <v>0</v>
      </c>
      <c r="K7038" s="4"/>
      <c r="L7038" s="33" t="str">
        <f>IFERROR(VLOOKUP($J7038,'Informations sur les produits'!$A$3:$H$10000,8,FALSE),"0")</f>
        <v>0</v>
      </c>
      <c r="N7038" s="8"/>
      <c r="O7038" s="33" t="str">
        <f>IFERROR(VLOOKUP($M7038,'Informations sur les produits'!$A$3:$H$10000,8,FALSE),"0")</f>
        <v>0</v>
      </c>
      <c r="P7038" s="33">
        <f t="shared" si="436"/>
        <v>0</v>
      </c>
      <c r="Q7038" s="31" t="str">
        <f t="shared" si="437"/>
        <v/>
      </c>
      <c r="R7038" s="32" t="str">
        <f>IFERROR(VLOOKUP($D7038,'Informations sur les produits'!$A$3:$B$15000,2,FALSE),"")</f>
        <v/>
      </c>
      <c r="V7038">
        <f t="shared" si="438"/>
        <v>0</v>
      </c>
      <c r="W7038">
        <f t="shared" si="439"/>
        <v>0</v>
      </c>
    </row>
    <row r="7039" spans="5:23" x14ac:dyDescent="0.25">
      <c r="E7039" s="4"/>
      <c r="F7039" s="4"/>
      <c r="G7039" s="33" t="str">
        <f>IFERROR(VLOOKUP($D7039,'Informations sur les produits'!$A$3:$H$10000,8,FALSE),"0")</f>
        <v>0</v>
      </c>
      <c r="K7039" s="4"/>
      <c r="L7039" s="33" t="str">
        <f>IFERROR(VLOOKUP($J7039,'Informations sur les produits'!$A$3:$H$10000,8,FALSE),"0")</f>
        <v>0</v>
      </c>
      <c r="N7039" s="8"/>
      <c r="O7039" s="33" t="str">
        <f>IFERROR(VLOOKUP($M7039,'Informations sur les produits'!$A$3:$H$10000,8,FALSE),"0")</f>
        <v>0</v>
      </c>
      <c r="P7039" s="33">
        <f t="shared" si="436"/>
        <v>0</v>
      </c>
      <c r="Q7039" s="31" t="str">
        <f t="shared" si="437"/>
        <v/>
      </c>
      <c r="R7039" s="32" t="str">
        <f>IFERROR(VLOOKUP($D7039,'Informations sur les produits'!$A$3:$B$15000,2,FALSE),"")</f>
        <v/>
      </c>
      <c r="V7039">
        <f t="shared" si="438"/>
        <v>0</v>
      </c>
      <c r="W7039">
        <f t="shared" si="439"/>
        <v>0</v>
      </c>
    </row>
    <row r="7040" spans="5:23" x14ac:dyDescent="0.25">
      <c r="E7040" s="4"/>
      <c r="F7040" s="4"/>
      <c r="G7040" s="33" t="str">
        <f>IFERROR(VLOOKUP($D7040,'Informations sur les produits'!$A$3:$H$10000,8,FALSE),"0")</f>
        <v>0</v>
      </c>
      <c r="K7040" s="4"/>
      <c r="L7040" s="33" t="str">
        <f>IFERROR(VLOOKUP($J7040,'Informations sur les produits'!$A$3:$H$10000,8,FALSE),"0")</f>
        <v>0</v>
      </c>
      <c r="N7040" s="8"/>
      <c r="O7040" s="33" t="str">
        <f>IFERROR(VLOOKUP($M7040,'Informations sur les produits'!$A$3:$H$10000,8,FALSE),"0")</f>
        <v>0</v>
      </c>
      <c r="P7040" s="33">
        <f t="shared" si="436"/>
        <v>0</v>
      </c>
      <c r="Q7040" s="31" t="str">
        <f t="shared" si="437"/>
        <v/>
      </c>
      <c r="R7040" s="32" t="str">
        <f>IFERROR(VLOOKUP($D7040,'Informations sur les produits'!$A$3:$B$15000,2,FALSE),"")</f>
        <v/>
      </c>
      <c r="V7040">
        <f t="shared" si="438"/>
        <v>0</v>
      </c>
      <c r="W7040">
        <f t="shared" si="439"/>
        <v>0</v>
      </c>
    </row>
    <row r="7041" spans="5:23" x14ac:dyDescent="0.25">
      <c r="E7041" s="4"/>
      <c r="F7041" s="4"/>
      <c r="G7041" s="33" t="str">
        <f>IFERROR(VLOOKUP($D7041,'Informations sur les produits'!$A$3:$H$10000,8,FALSE),"0")</f>
        <v>0</v>
      </c>
      <c r="K7041" s="4"/>
      <c r="L7041" s="33" t="str">
        <f>IFERROR(VLOOKUP($J7041,'Informations sur les produits'!$A$3:$H$10000,8,FALSE),"0")</f>
        <v>0</v>
      </c>
      <c r="N7041" s="8"/>
      <c r="O7041" s="33" t="str">
        <f>IFERROR(VLOOKUP($M7041,'Informations sur les produits'!$A$3:$H$10000,8,FALSE),"0")</f>
        <v>0</v>
      </c>
      <c r="P7041" s="33">
        <f t="shared" si="436"/>
        <v>0</v>
      </c>
      <c r="Q7041" s="31" t="str">
        <f t="shared" si="437"/>
        <v/>
      </c>
      <c r="R7041" s="32" t="str">
        <f>IFERROR(VLOOKUP($D7041,'Informations sur les produits'!$A$3:$B$15000,2,FALSE),"")</f>
        <v/>
      </c>
      <c r="V7041">
        <f t="shared" si="438"/>
        <v>0</v>
      </c>
      <c r="W7041">
        <f t="shared" si="439"/>
        <v>0</v>
      </c>
    </row>
    <row r="7042" spans="5:23" x14ac:dyDescent="0.25">
      <c r="E7042" s="4"/>
      <c r="F7042" s="4"/>
      <c r="G7042" s="33" t="str">
        <f>IFERROR(VLOOKUP($D7042,'Informations sur les produits'!$A$3:$H$10000,8,FALSE),"0")</f>
        <v>0</v>
      </c>
      <c r="K7042" s="4"/>
      <c r="L7042" s="33" t="str">
        <f>IFERROR(VLOOKUP($J7042,'Informations sur les produits'!$A$3:$H$10000,8,FALSE),"0")</f>
        <v>0</v>
      </c>
      <c r="N7042" s="8"/>
      <c r="O7042" s="33" t="str">
        <f>IFERROR(VLOOKUP($M7042,'Informations sur les produits'!$A$3:$H$10000,8,FALSE),"0")</f>
        <v>0</v>
      </c>
      <c r="P7042" s="33">
        <f t="shared" si="436"/>
        <v>0</v>
      </c>
      <c r="Q7042" s="31" t="str">
        <f t="shared" si="437"/>
        <v/>
      </c>
      <c r="R7042" s="32" t="str">
        <f>IFERROR(VLOOKUP($D7042,'Informations sur les produits'!$A$3:$B$15000,2,FALSE),"")</f>
        <v/>
      </c>
      <c r="V7042">
        <f t="shared" si="438"/>
        <v>0</v>
      </c>
      <c r="W7042">
        <f t="shared" si="439"/>
        <v>0</v>
      </c>
    </row>
    <row r="7043" spans="5:23" x14ac:dyDescent="0.25">
      <c r="E7043" s="4"/>
      <c r="F7043" s="4"/>
      <c r="G7043" s="33" t="str">
        <f>IFERROR(VLOOKUP($D7043,'Informations sur les produits'!$A$3:$H$10000,8,FALSE),"0")</f>
        <v>0</v>
      </c>
      <c r="K7043" s="4"/>
      <c r="L7043" s="33" t="str">
        <f>IFERROR(VLOOKUP($J7043,'Informations sur les produits'!$A$3:$H$10000,8,FALSE),"0")</f>
        <v>0</v>
      </c>
      <c r="N7043" s="8"/>
      <c r="O7043" s="33" t="str">
        <f>IFERROR(VLOOKUP($M7043,'Informations sur les produits'!$A$3:$H$10000,8,FALSE),"0")</f>
        <v>0</v>
      </c>
      <c r="P7043" s="33">
        <f t="shared" si="436"/>
        <v>0</v>
      </c>
      <c r="Q7043" s="31" t="str">
        <f t="shared" si="437"/>
        <v/>
      </c>
      <c r="R7043" s="32" t="str">
        <f>IFERROR(VLOOKUP($D7043,'Informations sur les produits'!$A$3:$B$15000,2,FALSE),"")</f>
        <v/>
      </c>
      <c r="V7043">
        <f t="shared" si="438"/>
        <v>0</v>
      </c>
      <c r="W7043">
        <f t="shared" si="439"/>
        <v>0</v>
      </c>
    </row>
    <row r="7044" spans="5:23" x14ac:dyDescent="0.25">
      <c r="E7044" s="4"/>
      <c r="F7044" s="4"/>
      <c r="G7044" s="33" t="str">
        <f>IFERROR(VLOOKUP($D7044,'Informations sur les produits'!$A$3:$H$10000,8,FALSE),"0")</f>
        <v>0</v>
      </c>
      <c r="K7044" s="4"/>
      <c r="L7044" s="33" t="str">
        <f>IFERROR(VLOOKUP($J7044,'Informations sur les produits'!$A$3:$H$10000,8,FALSE),"0")</f>
        <v>0</v>
      </c>
      <c r="N7044" s="8"/>
      <c r="O7044" s="33" t="str">
        <f>IFERROR(VLOOKUP($M7044,'Informations sur les produits'!$A$3:$H$10000,8,FALSE),"0")</f>
        <v>0</v>
      </c>
      <c r="P7044" s="33">
        <f t="shared" ref="P7044:P7107" si="440">IFERROR((($E7044-$F7044)*$G7044+$K7044*$L7044+$N7044*$O7044),"")</f>
        <v>0</v>
      </c>
      <c r="Q7044" s="31" t="str">
        <f t="shared" ref="Q7044:Q7107" si="441">IFERROR((((($E7044-$F7044)*$G7044+$K7044*$L7044+$N7044*$O7044)*1000)/(($E7044-$F7044)+$K7044+$N7044)),"")</f>
        <v/>
      </c>
      <c r="R7044" s="32" t="str">
        <f>IFERROR(VLOOKUP($D7044,'Informations sur les produits'!$A$3:$B$15000,2,FALSE),"")</f>
        <v/>
      </c>
      <c r="V7044">
        <f t="shared" ref="V7044:V7107" si="442">IFERROR(P7044*1000,"")</f>
        <v>0</v>
      </c>
      <c r="W7044">
        <f t="shared" ref="W7044:W7107" si="443">IFERROR(($E7044-$F7044)+$K7044+$N7044,"")</f>
        <v>0</v>
      </c>
    </row>
    <row r="7045" spans="5:23" x14ac:dyDescent="0.25">
      <c r="E7045" s="4"/>
      <c r="F7045" s="4"/>
      <c r="G7045" s="33" t="str">
        <f>IFERROR(VLOOKUP($D7045,'Informations sur les produits'!$A$3:$H$10000,8,FALSE),"0")</f>
        <v>0</v>
      </c>
      <c r="K7045" s="4"/>
      <c r="L7045" s="33" t="str">
        <f>IFERROR(VLOOKUP($J7045,'Informations sur les produits'!$A$3:$H$10000,8,FALSE),"0")</f>
        <v>0</v>
      </c>
      <c r="N7045" s="8"/>
      <c r="O7045" s="33" t="str">
        <f>IFERROR(VLOOKUP($M7045,'Informations sur les produits'!$A$3:$H$10000,8,FALSE),"0")</f>
        <v>0</v>
      </c>
      <c r="P7045" s="33">
        <f t="shared" si="440"/>
        <v>0</v>
      </c>
      <c r="Q7045" s="31" t="str">
        <f t="shared" si="441"/>
        <v/>
      </c>
      <c r="R7045" s="32" t="str">
        <f>IFERROR(VLOOKUP($D7045,'Informations sur les produits'!$A$3:$B$15000,2,FALSE),"")</f>
        <v/>
      </c>
      <c r="V7045">
        <f t="shared" si="442"/>
        <v>0</v>
      </c>
      <c r="W7045">
        <f t="shared" si="443"/>
        <v>0</v>
      </c>
    </row>
    <row r="7046" spans="5:23" x14ac:dyDescent="0.25">
      <c r="E7046" s="4"/>
      <c r="F7046" s="4"/>
      <c r="G7046" s="33" t="str">
        <f>IFERROR(VLOOKUP($D7046,'Informations sur les produits'!$A$3:$H$10000,8,FALSE),"0")</f>
        <v>0</v>
      </c>
      <c r="K7046" s="4"/>
      <c r="L7046" s="33" t="str">
        <f>IFERROR(VLOOKUP($J7046,'Informations sur les produits'!$A$3:$H$10000,8,FALSE),"0")</f>
        <v>0</v>
      </c>
      <c r="N7046" s="8"/>
      <c r="O7046" s="33" t="str">
        <f>IFERROR(VLOOKUP($M7046,'Informations sur les produits'!$A$3:$H$10000,8,FALSE),"0")</f>
        <v>0</v>
      </c>
      <c r="P7046" s="33">
        <f t="shared" si="440"/>
        <v>0</v>
      </c>
      <c r="Q7046" s="31" t="str">
        <f t="shared" si="441"/>
        <v/>
      </c>
      <c r="R7046" s="32" t="str">
        <f>IFERROR(VLOOKUP($D7046,'Informations sur les produits'!$A$3:$B$15000,2,FALSE),"")</f>
        <v/>
      </c>
      <c r="V7046">
        <f t="shared" si="442"/>
        <v>0</v>
      </c>
      <c r="W7046">
        <f t="shared" si="443"/>
        <v>0</v>
      </c>
    </row>
    <row r="7047" spans="5:23" x14ac:dyDescent="0.25">
      <c r="E7047" s="4"/>
      <c r="F7047" s="4"/>
      <c r="G7047" s="33" t="str">
        <f>IFERROR(VLOOKUP($D7047,'Informations sur les produits'!$A$3:$H$10000,8,FALSE),"0")</f>
        <v>0</v>
      </c>
      <c r="K7047" s="4"/>
      <c r="L7047" s="33" t="str">
        <f>IFERROR(VLOOKUP($J7047,'Informations sur les produits'!$A$3:$H$10000,8,FALSE),"0")</f>
        <v>0</v>
      </c>
      <c r="N7047" s="8"/>
      <c r="O7047" s="33" t="str">
        <f>IFERROR(VLOOKUP($M7047,'Informations sur les produits'!$A$3:$H$10000,8,FALSE),"0")</f>
        <v>0</v>
      </c>
      <c r="P7047" s="33">
        <f t="shared" si="440"/>
        <v>0</v>
      </c>
      <c r="Q7047" s="31" t="str">
        <f t="shared" si="441"/>
        <v/>
      </c>
      <c r="R7047" s="32" t="str">
        <f>IFERROR(VLOOKUP($D7047,'Informations sur les produits'!$A$3:$B$15000,2,FALSE),"")</f>
        <v/>
      </c>
      <c r="V7047">
        <f t="shared" si="442"/>
        <v>0</v>
      </c>
      <c r="W7047">
        <f t="shared" si="443"/>
        <v>0</v>
      </c>
    </row>
    <row r="7048" spans="5:23" x14ac:dyDescent="0.25">
      <c r="E7048" s="4"/>
      <c r="F7048" s="4"/>
      <c r="G7048" s="33" t="str">
        <f>IFERROR(VLOOKUP($D7048,'Informations sur les produits'!$A$3:$H$10000,8,FALSE),"0")</f>
        <v>0</v>
      </c>
      <c r="K7048" s="4"/>
      <c r="L7048" s="33" t="str">
        <f>IFERROR(VLOOKUP($J7048,'Informations sur les produits'!$A$3:$H$10000,8,FALSE),"0")</f>
        <v>0</v>
      </c>
      <c r="N7048" s="8"/>
      <c r="O7048" s="33" t="str">
        <f>IFERROR(VLOOKUP($M7048,'Informations sur les produits'!$A$3:$H$10000,8,FALSE),"0")</f>
        <v>0</v>
      </c>
      <c r="P7048" s="33">
        <f t="shared" si="440"/>
        <v>0</v>
      </c>
      <c r="Q7048" s="31" t="str">
        <f t="shared" si="441"/>
        <v/>
      </c>
      <c r="R7048" s="32" t="str">
        <f>IFERROR(VLOOKUP($D7048,'Informations sur les produits'!$A$3:$B$15000,2,FALSE),"")</f>
        <v/>
      </c>
      <c r="V7048">
        <f t="shared" si="442"/>
        <v>0</v>
      </c>
      <c r="W7048">
        <f t="shared" si="443"/>
        <v>0</v>
      </c>
    </row>
    <row r="7049" spans="5:23" x14ac:dyDescent="0.25">
      <c r="E7049" s="4"/>
      <c r="F7049" s="4"/>
      <c r="G7049" s="33" t="str">
        <f>IFERROR(VLOOKUP($D7049,'Informations sur les produits'!$A$3:$H$10000,8,FALSE),"0")</f>
        <v>0</v>
      </c>
      <c r="K7049" s="4"/>
      <c r="L7049" s="33" t="str">
        <f>IFERROR(VLOOKUP($J7049,'Informations sur les produits'!$A$3:$H$10000,8,FALSE),"0")</f>
        <v>0</v>
      </c>
      <c r="N7049" s="8"/>
      <c r="O7049" s="33" t="str">
        <f>IFERROR(VLOOKUP($M7049,'Informations sur les produits'!$A$3:$H$10000,8,FALSE),"0")</f>
        <v>0</v>
      </c>
      <c r="P7049" s="33">
        <f t="shared" si="440"/>
        <v>0</v>
      </c>
      <c r="Q7049" s="31" t="str">
        <f t="shared" si="441"/>
        <v/>
      </c>
      <c r="R7049" s="32" t="str">
        <f>IFERROR(VLOOKUP($D7049,'Informations sur les produits'!$A$3:$B$15000,2,FALSE),"")</f>
        <v/>
      </c>
      <c r="V7049">
        <f t="shared" si="442"/>
        <v>0</v>
      </c>
      <c r="W7049">
        <f t="shared" si="443"/>
        <v>0</v>
      </c>
    </row>
    <row r="7050" spans="5:23" x14ac:dyDescent="0.25">
      <c r="E7050" s="4"/>
      <c r="F7050" s="4"/>
      <c r="G7050" s="33" t="str">
        <f>IFERROR(VLOOKUP($D7050,'Informations sur les produits'!$A$3:$H$10000,8,FALSE),"0")</f>
        <v>0</v>
      </c>
      <c r="K7050" s="4"/>
      <c r="L7050" s="33" t="str">
        <f>IFERROR(VLOOKUP($J7050,'Informations sur les produits'!$A$3:$H$10000,8,FALSE),"0")</f>
        <v>0</v>
      </c>
      <c r="N7050" s="8"/>
      <c r="O7050" s="33" t="str">
        <f>IFERROR(VLOOKUP($M7050,'Informations sur les produits'!$A$3:$H$10000,8,FALSE),"0")</f>
        <v>0</v>
      </c>
      <c r="P7050" s="33">
        <f t="shared" si="440"/>
        <v>0</v>
      </c>
      <c r="Q7050" s="31" t="str">
        <f t="shared" si="441"/>
        <v/>
      </c>
      <c r="R7050" s="32" t="str">
        <f>IFERROR(VLOOKUP($D7050,'Informations sur les produits'!$A$3:$B$15000,2,FALSE),"")</f>
        <v/>
      </c>
      <c r="V7050">
        <f t="shared" si="442"/>
        <v>0</v>
      </c>
      <c r="W7050">
        <f t="shared" si="443"/>
        <v>0</v>
      </c>
    </row>
    <row r="7051" spans="5:23" x14ac:dyDescent="0.25">
      <c r="E7051" s="4"/>
      <c r="F7051" s="4"/>
      <c r="G7051" s="33" t="str">
        <f>IFERROR(VLOOKUP($D7051,'Informations sur les produits'!$A$3:$H$10000,8,FALSE),"0")</f>
        <v>0</v>
      </c>
      <c r="K7051" s="4"/>
      <c r="L7051" s="33" t="str">
        <f>IFERROR(VLOOKUP($J7051,'Informations sur les produits'!$A$3:$H$10000,8,FALSE),"0")</f>
        <v>0</v>
      </c>
      <c r="N7051" s="8"/>
      <c r="O7051" s="33" t="str">
        <f>IFERROR(VLOOKUP($M7051,'Informations sur les produits'!$A$3:$H$10000,8,FALSE),"0")</f>
        <v>0</v>
      </c>
      <c r="P7051" s="33">
        <f t="shared" si="440"/>
        <v>0</v>
      </c>
      <c r="Q7051" s="31" t="str">
        <f t="shared" si="441"/>
        <v/>
      </c>
      <c r="R7051" s="32" t="str">
        <f>IFERROR(VLOOKUP($D7051,'Informations sur les produits'!$A$3:$B$15000,2,FALSE),"")</f>
        <v/>
      </c>
      <c r="V7051">
        <f t="shared" si="442"/>
        <v>0</v>
      </c>
      <c r="W7051">
        <f t="shared" si="443"/>
        <v>0</v>
      </c>
    </row>
    <row r="7052" spans="5:23" x14ac:dyDescent="0.25">
      <c r="E7052" s="4"/>
      <c r="F7052" s="4"/>
      <c r="G7052" s="33" t="str">
        <f>IFERROR(VLOOKUP($D7052,'Informations sur les produits'!$A$3:$H$10000,8,FALSE),"0")</f>
        <v>0</v>
      </c>
      <c r="K7052" s="4"/>
      <c r="L7052" s="33" t="str">
        <f>IFERROR(VLOOKUP($J7052,'Informations sur les produits'!$A$3:$H$10000,8,FALSE),"0")</f>
        <v>0</v>
      </c>
      <c r="N7052" s="8"/>
      <c r="O7052" s="33" t="str">
        <f>IFERROR(VLOOKUP($M7052,'Informations sur les produits'!$A$3:$H$10000,8,FALSE),"0")</f>
        <v>0</v>
      </c>
      <c r="P7052" s="33">
        <f t="shared" si="440"/>
        <v>0</v>
      </c>
      <c r="Q7052" s="31" t="str">
        <f t="shared" si="441"/>
        <v/>
      </c>
      <c r="R7052" s="32" t="str">
        <f>IFERROR(VLOOKUP($D7052,'Informations sur les produits'!$A$3:$B$15000,2,FALSE),"")</f>
        <v/>
      </c>
      <c r="V7052">
        <f t="shared" si="442"/>
        <v>0</v>
      </c>
      <c r="W7052">
        <f t="shared" si="443"/>
        <v>0</v>
      </c>
    </row>
    <row r="7053" spans="5:23" x14ac:dyDescent="0.25">
      <c r="E7053" s="4"/>
      <c r="F7053" s="4"/>
      <c r="G7053" s="33" t="str">
        <f>IFERROR(VLOOKUP($D7053,'Informations sur les produits'!$A$3:$H$10000,8,FALSE),"0")</f>
        <v>0</v>
      </c>
      <c r="K7053" s="4"/>
      <c r="L7053" s="33" t="str">
        <f>IFERROR(VLOOKUP($J7053,'Informations sur les produits'!$A$3:$H$10000,8,FALSE),"0")</f>
        <v>0</v>
      </c>
      <c r="N7053" s="8"/>
      <c r="O7053" s="33" t="str">
        <f>IFERROR(VLOOKUP($M7053,'Informations sur les produits'!$A$3:$H$10000,8,FALSE),"0")</f>
        <v>0</v>
      </c>
      <c r="P7053" s="33">
        <f t="shared" si="440"/>
        <v>0</v>
      </c>
      <c r="Q7053" s="31" t="str">
        <f t="shared" si="441"/>
        <v/>
      </c>
      <c r="R7053" s="32" t="str">
        <f>IFERROR(VLOOKUP($D7053,'Informations sur les produits'!$A$3:$B$15000,2,FALSE),"")</f>
        <v/>
      </c>
      <c r="V7053">
        <f t="shared" si="442"/>
        <v>0</v>
      </c>
      <c r="W7053">
        <f t="shared" si="443"/>
        <v>0</v>
      </c>
    </row>
    <row r="7054" spans="5:23" x14ac:dyDescent="0.25">
      <c r="E7054" s="4"/>
      <c r="F7054" s="4"/>
      <c r="G7054" s="33" t="str">
        <f>IFERROR(VLOOKUP($D7054,'Informations sur les produits'!$A$3:$H$10000,8,FALSE),"0")</f>
        <v>0</v>
      </c>
      <c r="K7054" s="4"/>
      <c r="L7054" s="33" t="str">
        <f>IFERROR(VLOOKUP($J7054,'Informations sur les produits'!$A$3:$H$10000,8,FALSE),"0")</f>
        <v>0</v>
      </c>
      <c r="N7054" s="8"/>
      <c r="O7054" s="33" t="str">
        <f>IFERROR(VLOOKUP($M7054,'Informations sur les produits'!$A$3:$H$10000,8,FALSE),"0")</f>
        <v>0</v>
      </c>
      <c r="P7054" s="33">
        <f t="shared" si="440"/>
        <v>0</v>
      </c>
      <c r="Q7054" s="31" t="str">
        <f t="shared" si="441"/>
        <v/>
      </c>
      <c r="R7054" s="32" t="str">
        <f>IFERROR(VLOOKUP($D7054,'Informations sur les produits'!$A$3:$B$15000,2,FALSE),"")</f>
        <v/>
      </c>
      <c r="V7054">
        <f t="shared" si="442"/>
        <v>0</v>
      </c>
      <c r="W7054">
        <f t="shared" si="443"/>
        <v>0</v>
      </c>
    </row>
    <row r="7055" spans="5:23" x14ac:dyDescent="0.25">
      <c r="E7055" s="4"/>
      <c r="F7055" s="4"/>
      <c r="G7055" s="33" t="str">
        <f>IFERROR(VLOOKUP($D7055,'Informations sur les produits'!$A$3:$H$10000,8,FALSE),"0")</f>
        <v>0</v>
      </c>
      <c r="K7055" s="4"/>
      <c r="L7055" s="33" t="str">
        <f>IFERROR(VLOOKUP($J7055,'Informations sur les produits'!$A$3:$H$10000,8,FALSE),"0")</f>
        <v>0</v>
      </c>
      <c r="N7055" s="8"/>
      <c r="O7055" s="33" t="str">
        <f>IFERROR(VLOOKUP($M7055,'Informations sur les produits'!$A$3:$H$10000,8,FALSE),"0")</f>
        <v>0</v>
      </c>
      <c r="P7055" s="33">
        <f t="shared" si="440"/>
        <v>0</v>
      </c>
      <c r="Q7055" s="31" t="str">
        <f t="shared" si="441"/>
        <v/>
      </c>
      <c r="R7055" s="32" t="str">
        <f>IFERROR(VLOOKUP($D7055,'Informations sur les produits'!$A$3:$B$15000,2,FALSE),"")</f>
        <v/>
      </c>
      <c r="V7055">
        <f t="shared" si="442"/>
        <v>0</v>
      </c>
      <c r="W7055">
        <f t="shared" si="443"/>
        <v>0</v>
      </c>
    </row>
    <row r="7056" spans="5:23" x14ac:dyDescent="0.25">
      <c r="E7056" s="4"/>
      <c r="F7056" s="4"/>
      <c r="G7056" s="33" t="str">
        <f>IFERROR(VLOOKUP($D7056,'Informations sur les produits'!$A$3:$H$10000,8,FALSE),"0")</f>
        <v>0</v>
      </c>
      <c r="K7056" s="4"/>
      <c r="L7056" s="33" t="str">
        <f>IFERROR(VLOOKUP($J7056,'Informations sur les produits'!$A$3:$H$10000,8,FALSE),"0")</f>
        <v>0</v>
      </c>
      <c r="N7056" s="8"/>
      <c r="O7056" s="33" t="str">
        <f>IFERROR(VLOOKUP($M7056,'Informations sur les produits'!$A$3:$H$10000,8,FALSE),"0")</f>
        <v>0</v>
      </c>
      <c r="P7056" s="33">
        <f t="shared" si="440"/>
        <v>0</v>
      </c>
      <c r="Q7056" s="31" t="str">
        <f t="shared" si="441"/>
        <v/>
      </c>
      <c r="R7056" s="32" t="str">
        <f>IFERROR(VLOOKUP($D7056,'Informations sur les produits'!$A$3:$B$15000,2,FALSE),"")</f>
        <v/>
      </c>
      <c r="V7056">
        <f t="shared" si="442"/>
        <v>0</v>
      </c>
      <c r="W7056">
        <f t="shared" si="443"/>
        <v>0</v>
      </c>
    </row>
    <row r="7057" spans="5:23" x14ac:dyDescent="0.25">
      <c r="E7057" s="4"/>
      <c r="F7057" s="4"/>
      <c r="G7057" s="33" t="str">
        <f>IFERROR(VLOOKUP($D7057,'Informations sur les produits'!$A$3:$H$10000,8,FALSE),"0")</f>
        <v>0</v>
      </c>
      <c r="K7057" s="4"/>
      <c r="L7057" s="33" t="str">
        <f>IFERROR(VLOOKUP($J7057,'Informations sur les produits'!$A$3:$H$10000,8,FALSE),"0")</f>
        <v>0</v>
      </c>
      <c r="N7057" s="8"/>
      <c r="O7057" s="33" t="str">
        <f>IFERROR(VLOOKUP($M7057,'Informations sur les produits'!$A$3:$H$10000,8,FALSE),"0")</f>
        <v>0</v>
      </c>
      <c r="P7057" s="33">
        <f t="shared" si="440"/>
        <v>0</v>
      </c>
      <c r="Q7057" s="31" t="str">
        <f t="shared" si="441"/>
        <v/>
      </c>
      <c r="R7057" s="32" t="str">
        <f>IFERROR(VLOOKUP($D7057,'Informations sur les produits'!$A$3:$B$15000,2,FALSE),"")</f>
        <v/>
      </c>
      <c r="V7057">
        <f t="shared" si="442"/>
        <v>0</v>
      </c>
      <c r="W7057">
        <f t="shared" si="443"/>
        <v>0</v>
      </c>
    </row>
    <row r="7058" spans="5:23" x14ac:dyDescent="0.25">
      <c r="E7058" s="4"/>
      <c r="F7058" s="4"/>
      <c r="G7058" s="33" t="str">
        <f>IFERROR(VLOOKUP($D7058,'Informations sur les produits'!$A$3:$H$10000,8,FALSE),"0")</f>
        <v>0</v>
      </c>
      <c r="K7058" s="4"/>
      <c r="L7058" s="33" t="str">
        <f>IFERROR(VLOOKUP($J7058,'Informations sur les produits'!$A$3:$H$10000,8,FALSE),"0")</f>
        <v>0</v>
      </c>
      <c r="N7058" s="8"/>
      <c r="O7058" s="33" t="str">
        <f>IFERROR(VLOOKUP($M7058,'Informations sur les produits'!$A$3:$H$10000,8,FALSE),"0")</f>
        <v>0</v>
      </c>
      <c r="P7058" s="33">
        <f t="shared" si="440"/>
        <v>0</v>
      </c>
      <c r="Q7058" s="31" t="str">
        <f t="shared" si="441"/>
        <v/>
      </c>
      <c r="R7058" s="32" t="str">
        <f>IFERROR(VLOOKUP($D7058,'Informations sur les produits'!$A$3:$B$15000,2,FALSE),"")</f>
        <v/>
      </c>
      <c r="V7058">
        <f t="shared" si="442"/>
        <v>0</v>
      </c>
      <c r="W7058">
        <f t="shared" si="443"/>
        <v>0</v>
      </c>
    </row>
    <row r="7059" spans="5:23" x14ac:dyDescent="0.25">
      <c r="E7059" s="4"/>
      <c r="F7059" s="4"/>
      <c r="G7059" s="33" t="str">
        <f>IFERROR(VLOOKUP($D7059,'Informations sur les produits'!$A$3:$H$10000,8,FALSE),"0")</f>
        <v>0</v>
      </c>
      <c r="K7059" s="4"/>
      <c r="L7059" s="33" t="str">
        <f>IFERROR(VLOOKUP($J7059,'Informations sur les produits'!$A$3:$H$10000,8,FALSE),"0")</f>
        <v>0</v>
      </c>
      <c r="N7059" s="8"/>
      <c r="O7059" s="33" t="str">
        <f>IFERROR(VLOOKUP($M7059,'Informations sur les produits'!$A$3:$H$10000,8,FALSE),"0")</f>
        <v>0</v>
      </c>
      <c r="P7059" s="33">
        <f t="shared" si="440"/>
        <v>0</v>
      </c>
      <c r="Q7059" s="31" t="str">
        <f t="shared" si="441"/>
        <v/>
      </c>
      <c r="R7059" s="32" t="str">
        <f>IFERROR(VLOOKUP($D7059,'Informations sur les produits'!$A$3:$B$15000,2,FALSE),"")</f>
        <v/>
      </c>
      <c r="V7059">
        <f t="shared" si="442"/>
        <v>0</v>
      </c>
      <c r="W7059">
        <f t="shared" si="443"/>
        <v>0</v>
      </c>
    </row>
    <row r="7060" spans="5:23" x14ac:dyDescent="0.25">
      <c r="E7060" s="4"/>
      <c r="F7060" s="4"/>
      <c r="G7060" s="33" t="str">
        <f>IFERROR(VLOOKUP($D7060,'Informations sur les produits'!$A$3:$H$10000,8,FALSE),"0")</f>
        <v>0</v>
      </c>
      <c r="K7060" s="4"/>
      <c r="L7060" s="33" t="str">
        <f>IFERROR(VLOOKUP($J7060,'Informations sur les produits'!$A$3:$H$10000,8,FALSE),"0")</f>
        <v>0</v>
      </c>
      <c r="N7060" s="8"/>
      <c r="O7060" s="33" t="str">
        <f>IFERROR(VLOOKUP($M7060,'Informations sur les produits'!$A$3:$H$10000,8,FALSE),"0")</f>
        <v>0</v>
      </c>
      <c r="P7060" s="33">
        <f t="shared" si="440"/>
        <v>0</v>
      </c>
      <c r="Q7060" s="31" t="str">
        <f t="shared" si="441"/>
        <v/>
      </c>
      <c r="R7060" s="32" t="str">
        <f>IFERROR(VLOOKUP($D7060,'Informations sur les produits'!$A$3:$B$15000,2,FALSE),"")</f>
        <v/>
      </c>
      <c r="V7060">
        <f t="shared" si="442"/>
        <v>0</v>
      </c>
      <c r="W7060">
        <f t="shared" si="443"/>
        <v>0</v>
      </c>
    </row>
    <row r="7061" spans="5:23" x14ac:dyDescent="0.25">
      <c r="E7061" s="4"/>
      <c r="F7061" s="4"/>
      <c r="G7061" s="33" t="str">
        <f>IFERROR(VLOOKUP($D7061,'Informations sur les produits'!$A$3:$H$10000,8,FALSE),"0")</f>
        <v>0</v>
      </c>
      <c r="K7061" s="4"/>
      <c r="L7061" s="33" t="str">
        <f>IFERROR(VLOOKUP($J7061,'Informations sur les produits'!$A$3:$H$10000,8,FALSE),"0")</f>
        <v>0</v>
      </c>
      <c r="N7061" s="8"/>
      <c r="O7061" s="33" t="str">
        <f>IFERROR(VLOOKUP($M7061,'Informations sur les produits'!$A$3:$H$10000,8,FALSE),"0")</f>
        <v>0</v>
      </c>
      <c r="P7061" s="33">
        <f t="shared" si="440"/>
        <v>0</v>
      </c>
      <c r="Q7061" s="31" t="str">
        <f t="shared" si="441"/>
        <v/>
      </c>
      <c r="R7061" s="32" t="str">
        <f>IFERROR(VLOOKUP($D7061,'Informations sur les produits'!$A$3:$B$15000,2,FALSE),"")</f>
        <v/>
      </c>
      <c r="V7061">
        <f t="shared" si="442"/>
        <v>0</v>
      </c>
      <c r="W7061">
        <f t="shared" si="443"/>
        <v>0</v>
      </c>
    </row>
    <row r="7062" spans="5:23" x14ac:dyDescent="0.25">
      <c r="E7062" s="4"/>
      <c r="F7062" s="4"/>
      <c r="G7062" s="33" t="str">
        <f>IFERROR(VLOOKUP($D7062,'Informations sur les produits'!$A$3:$H$10000,8,FALSE),"0")</f>
        <v>0</v>
      </c>
      <c r="K7062" s="4"/>
      <c r="L7062" s="33" t="str">
        <f>IFERROR(VLOOKUP($J7062,'Informations sur les produits'!$A$3:$H$10000,8,FALSE),"0")</f>
        <v>0</v>
      </c>
      <c r="N7062" s="8"/>
      <c r="O7062" s="33" t="str">
        <f>IFERROR(VLOOKUP($M7062,'Informations sur les produits'!$A$3:$H$10000,8,FALSE),"0")</f>
        <v>0</v>
      </c>
      <c r="P7062" s="33">
        <f t="shared" si="440"/>
        <v>0</v>
      </c>
      <c r="Q7062" s="31" t="str">
        <f t="shared" si="441"/>
        <v/>
      </c>
      <c r="R7062" s="32" t="str">
        <f>IFERROR(VLOOKUP($D7062,'Informations sur les produits'!$A$3:$B$15000,2,FALSE),"")</f>
        <v/>
      </c>
      <c r="V7062">
        <f t="shared" si="442"/>
        <v>0</v>
      </c>
      <c r="W7062">
        <f t="shared" si="443"/>
        <v>0</v>
      </c>
    </row>
    <row r="7063" spans="5:23" x14ac:dyDescent="0.25">
      <c r="E7063" s="4"/>
      <c r="F7063" s="4"/>
      <c r="G7063" s="33" t="str">
        <f>IFERROR(VLOOKUP($D7063,'Informations sur les produits'!$A$3:$H$10000,8,FALSE),"0")</f>
        <v>0</v>
      </c>
      <c r="K7063" s="4"/>
      <c r="L7063" s="33" t="str">
        <f>IFERROR(VLOOKUP($J7063,'Informations sur les produits'!$A$3:$H$10000,8,FALSE),"0")</f>
        <v>0</v>
      </c>
      <c r="N7063" s="8"/>
      <c r="O7063" s="33" t="str">
        <f>IFERROR(VLOOKUP($M7063,'Informations sur les produits'!$A$3:$H$10000,8,FALSE),"0")</f>
        <v>0</v>
      </c>
      <c r="P7063" s="33">
        <f t="shared" si="440"/>
        <v>0</v>
      </c>
      <c r="Q7063" s="31" t="str">
        <f t="shared" si="441"/>
        <v/>
      </c>
      <c r="R7063" s="32" t="str">
        <f>IFERROR(VLOOKUP($D7063,'Informations sur les produits'!$A$3:$B$15000,2,FALSE),"")</f>
        <v/>
      </c>
      <c r="V7063">
        <f t="shared" si="442"/>
        <v>0</v>
      </c>
      <c r="W7063">
        <f t="shared" si="443"/>
        <v>0</v>
      </c>
    </row>
    <row r="7064" spans="5:23" x14ac:dyDescent="0.25">
      <c r="E7064" s="4"/>
      <c r="F7064" s="4"/>
      <c r="G7064" s="33" t="str">
        <f>IFERROR(VLOOKUP($D7064,'Informations sur les produits'!$A$3:$H$10000,8,FALSE),"0")</f>
        <v>0</v>
      </c>
      <c r="K7064" s="4"/>
      <c r="L7064" s="33" t="str">
        <f>IFERROR(VLOOKUP($J7064,'Informations sur les produits'!$A$3:$H$10000,8,FALSE),"0")</f>
        <v>0</v>
      </c>
      <c r="N7064" s="8"/>
      <c r="O7064" s="33" t="str">
        <f>IFERROR(VLOOKUP($M7064,'Informations sur les produits'!$A$3:$H$10000,8,FALSE),"0")</f>
        <v>0</v>
      </c>
      <c r="P7064" s="33">
        <f t="shared" si="440"/>
        <v>0</v>
      </c>
      <c r="Q7064" s="31" t="str">
        <f t="shared" si="441"/>
        <v/>
      </c>
      <c r="R7064" s="32" t="str">
        <f>IFERROR(VLOOKUP($D7064,'Informations sur les produits'!$A$3:$B$15000,2,FALSE),"")</f>
        <v/>
      </c>
      <c r="V7064">
        <f t="shared" si="442"/>
        <v>0</v>
      </c>
      <c r="W7064">
        <f t="shared" si="443"/>
        <v>0</v>
      </c>
    </row>
    <row r="7065" spans="5:23" x14ac:dyDescent="0.25">
      <c r="E7065" s="4"/>
      <c r="F7065" s="4"/>
      <c r="G7065" s="33" t="str">
        <f>IFERROR(VLOOKUP($D7065,'Informations sur les produits'!$A$3:$H$10000,8,FALSE),"0")</f>
        <v>0</v>
      </c>
      <c r="K7065" s="4"/>
      <c r="L7065" s="33" t="str">
        <f>IFERROR(VLOOKUP($J7065,'Informations sur les produits'!$A$3:$H$10000,8,FALSE),"0")</f>
        <v>0</v>
      </c>
      <c r="N7065" s="8"/>
      <c r="O7065" s="33" t="str">
        <f>IFERROR(VLOOKUP($M7065,'Informations sur les produits'!$A$3:$H$10000,8,FALSE),"0")</f>
        <v>0</v>
      </c>
      <c r="P7065" s="33">
        <f t="shared" si="440"/>
        <v>0</v>
      </c>
      <c r="Q7065" s="31" t="str">
        <f t="shared" si="441"/>
        <v/>
      </c>
      <c r="R7065" s="32" t="str">
        <f>IFERROR(VLOOKUP($D7065,'Informations sur les produits'!$A$3:$B$15000,2,FALSE),"")</f>
        <v/>
      </c>
      <c r="V7065">
        <f t="shared" si="442"/>
        <v>0</v>
      </c>
      <c r="W7065">
        <f t="shared" si="443"/>
        <v>0</v>
      </c>
    </row>
    <row r="7066" spans="5:23" x14ac:dyDescent="0.25">
      <c r="E7066" s="4"/>
      <c r="F7066" s="4"/>
      <c r="G7066" s="33" t="str">
        <f>IFERROR(VLOOKUP($D7066,'Informations sur les produits'!$A$3:$H$10000,8,FALSE),"0")</f>
        <v>0</v>
      </c>
      <c r="K7066" s="4"/>
      <c r="L7066" s="33" t="str">
        <f>IFERROR(VLOOKUP($J7066,'Informations sur les produits'!$A$3:$H$10000,8,FALSE),"0")</f>
        <v>0</v>
      </c>
      <c r="N7066" s="8"/>
      <c r="O7066" s="33" t="str">
        <f>IFERROR(VLOOKUP($M7066,'Informations sur les produits'!$A$3:$H$10000,8,FALSE),"0")</f>
        <v>0</v>
      </c>
      <c r="P7066" s="33">
        <f t="shared" si="440"/>
        <v>0</v>
      </c>
      <c r="Q7066" s="31" t="str">
        <f t="shared" si="441"/>
        <v/>
      </c>
      <c r="R7066" s="32" t="str">
        <f>IFERROR(VLOOKUP($D7066,'Informations sur les produits'!$A$3:$B$15000,2,FALSE),"")</f>
        <v/>
      </c>
      <c r="V7066">
        <f t="shared" si="442"/>
        <v>0</v>
      </c>
      <c r="W7066">
        <f t="shared" si="443"/>
        <v>0</v>
      </c>
    </row>
    <row r="7067" spans="5:23" x14ac:dyDescent="0.25">
      <c r="E7067" s="4"/>
      <c r="F7067" s="4"/>
      <c r="G7067" s="33" t="str">
        <f>IFERROR(VLOOKUP($D7067,'Informations sur les produits'!$A$3:$H$10000,8,FALSE),"0")</f>
        <v>0</v>
      </c>
      <c r="K7067" s="4"/>
      <c r="L7067" s="33" t="str">
        <f>IFERROR(VLOOKUP($J7067,'Informations sur les produits'!$A$3:$H$10000,8,FALSE),"0")</f>
        <v>0</v>
      </c>
      <c r="N7067" s="8"/>
      <c r="O7067" s="33" t="str">
        <f>IFERROR(VLOOKUP($M7067,'Informations sur les produits'!$A$3:$H$10000,8,FALSE),"0")</f>
        <v>0</v>
      </c>
      <c r="P7067" s="33">
        <f t="shared" si="440"/>
        <v>0</v>
      </c>
      <c r="Q7067" s="31" t="str">
        <f t="shared" si="441"/>
        <v/>
      </c>
      <c r="R7067" s="32" t="str">
        <f>IFERROR(VLOOKUP($D7067,'Informations sur les produits'!$A$3:$B$15000,2,FALSE),"")</f>
        <v/>
      </c>
      <c r="V7067">
        <f t="shared" si="442"/>
        <v>0</v>
      </c>
      <c r="W7067">
        <f t="shared" si="443"/>
        <v>0</v>
      </c>
    </row>
    <row r="7068" spans="5:23" x14ac:dyDescent="0.25">
      <c r="E7068" s="4"/>
      <c r="F7068" s="4"/>
      <c r="G7068" s="33" t="str">
        <f>IFERROR(VLOOKUP($D7068,'Informations sur les produits'!$A$3:$H$10000,8,FALSE),"0")</f>
        <v>0</v>
      </c>
      <c r="K7068" s="4"/>
      <c r="L7068" s="33" t="str">
        <f>IFERROR(VLOOKUP($J7068,'Informations sur les produits'!$A$3:$H$10000,8,FALSE),"0")</f>
        <v>0</v>
      </c>
      <c r="N7068" s="8"/>
      <c r="O7068" s="33" t="str">
        <f>IFERROR(VLOOKUP($M7068,'Informations sur les produits'!$A$3:$H$10000,8,FALSE),"0")</f>
        <v>0</v>
      </c>
      <c r="P7068" s="33">
        <f t="shared" si="440"/>
        <v>0</v>
      </c>
      <c r="Q7068" s="31" t="str">
        <f t="shared" si="441"/>
        <v/>
      </c>
      <c r="R7068" s="32" t="str">
        <f>IFERROR(VLOOKUP($D7068,'Informations sur les produits'!$A$3:$B$15000,2,FALSE),"")</f>
        <v/>
      </c>
      <c r="V7068">
        <f t="shared" si="442"/>
        <v>0</v>
      </c>
      <c r="W7068">
        <f t="shared" si="443"/>
        <v>0</v>
      </c>
    </row>
    <row r="7069" spans="5:23" x14ac:dyDescent="0.25">
      <c r="E7069" s="4"/>
      <c r="F7069" s="4"/>
      <c r="G7069" s="33" t="str">
        <f>IFERROR(VLOOKUP($D7069,'Informations sur les produits'!$A$3:$H$10000,8,FALSE),"0")</f>
        <v>0</v>
      </c>
      <c r="K7069" s="4"/>
      <c r="L7069" s="33" t="str">
        <f>IFERROR(VLOOKUP($J7069,'Informations sur les produits'!$A$3:$H$10000,8,FALSE),"0")</f>
        <v>0</v>
      </c>
      <c r="N7069" s="8"/>
      <c r="O7069" s="33" t="str">
        <f>IFERROR(VLOOKUP($M7069,'Informations sur les produits'!$A$3:$H$10000,8,FALSE),"0")</f>
        <v>0</v>
      </c>
      <c r="P7069" s="33">
        <f t="shared" si="440"/>
        <v>0</v>
      </c>
      <c r="Q7069" s="31" t="str">
        <f t="shared" si="441"/>
        <v/>
      </c>
      <c r="R7069" s="32" t="str">
        <f>IFERROR(VLOOKUP($D7069,'Informations sur les produits'!$A$3:$B$15000,2,FALSE),"")</f>
        <v/>
      </c>
      <c r="V7069">
        <f t="shared" si="442"/>
        <v>0</v>
      </c>
      <c r="W7069">
        <f t="shared" si="443"/>
        <v>0</v>
      </c>
    </row>
    <row r="7070" spans="5:23" x14ac:dyDescent="0.25">
      <c r="E7070" s="4"/>
      <c r="F7070" s="4"/>
      <c r="G7070" s="33" t="str">
        <f>IFERROR(VLOOKUP($D7070,'Informations sur les produits'!$A$3:$H$10000,8,FALSE),"0")</f>
        <v>0</v>
      </c>
      <c r="K7070" s="4"/>
      <c r="L7070" s="33" t="str">
        <f>IFERROR(VLOOKUP($J7070,'Informations sur les produits'!$A$3:$H$10000,8,FALSE),"0")</f>
        <v>0</v>
      </c>
      <c r="N7070" s="8"/>
      <c r="O7070" s="33" t="str">
        <f>IFERROR(VLOOKUP($M7070,'Informations sur les produits'!$A$3:$H$10000,8,FALSE),"0")</f>
        <v>0</v>
      </c>
      <c r="P7070" s="33">
        <f t="shared" si="440"/>
        <v>0</v>
      </c>
      <c r="Q7070" s="31" t="str">
        <f t="shared" si="441"/>
        <v/>
      </c>
      <c r="R7070" s="32" t="str">
        <f>IFERROR(VLOOKUP($D7070,'Informations sur les produits'!$A$3:$B$15000,2,FALSE),"")</f>
        <v/>
      </c>
      <c r="V7070">
        <f t="shared" si="442"/>
        <v>0</v>
      </c>
      <c r="W7070">
        <f t="shared" si="443"/>
        <v>0</v>
      </c>
    </row>
    <row r="7071" spans="5:23" x14ac:dyDescent="0.25">
      <c r="E7071" s="4"/>
      <c r="F7071" s="4"/>
      <c r="G7071" s="33" t="str">
        <f>IFERROR(VLOOKUP($D7071,'Informations sur les produits'!$A$3:$H$10000,8,FALSE),"0")</f>
        <v>0</v>
      </c>
      <c r="K7071" s="4"/>
      <c r="L7071" s="33" t="str">
        <f>IFERROR(VLOOKUP($J7071,'Informations sur les produits'!$A$3:$H$10000,8,FALSE),"0")</f>
        <v>0</v>
      </c>
      <c r="N7071" s="8"/>
      <c r="O7071" s="33" t="str">
        <f>IFERROR(VLOOKUP($M7071,'Informations sur les produits'!$A$3:$H$10000,8,FALSE),"0")</f>
        <v>0</v>
      </c>
      <c r="P7071" s="33">
        <f t="shared" si="440"/>
        <v>0</v>
      </c>
      <c r="Q7071" s="31" t="str">
        <f t="shared" si="441"/>
        <v/>
      </c>
      <c r="R7071" s="32" t="str">
        <f>IFERROR(VLOOKUP($D7071,'Informations sur les produits'!$A$3:$B$15000,2,FALSE),"")</f>
        <v/>
      </c>
      <c r="V7071">
        <f t="shared" si="442"/>
        <v>0</v>
      </c>
      <c r="W7071">
        <f t="shared" si="443"/>
        <v>0</v>
      </c>
    </row>
    <row r="7072" spans="5:23" x14ac:dyDescent="0.25">
      <c r="E7072" s="4"/>
      <c r="F7072" s="4"/>
      <c r="G7072" s="33" t="str">
        <f>IFERROR(VLOOKUP($D7072,'Informations sur les produits'!$A$3:$H$10000,8,FALSE),"0")</f>
        <v>0</v>
      </c>
      <c r="K7072" s="4"/>
      <c r="L7072" s="33" t="str">
        <f>IFERROR(VLOOKUP($J7072,'Informations sur les produits'!$A$3:$H$10000,8,FALSE),"0")</f>
        <v>0</v>
      </c>
      <c r="N7072" s="8"/>
      <c r="O7072" s="33" t="str">
        <f>IFERROR(VLOOKUP($M7072,'Informations sur les produits'!$A$3:$H$10000,8,FALSE),"0")</f>
        <v>0</v>
      </c>
      <c r="P7072" s="33">
        <f t="shared" si="440"/>
        <v>0</v>
      </c>
      <c r="Q7072" s="31" t="str">
        <f t="shared" si="441"/>
        <v/>
      </c>
      <c r="R7072" s="32" t="str">
        <f>IFERROR(VLOOKUP($D7072,'Informations sur les produits'!$A$3:$B$15000,2,FALSE),"")</f>
        <v/>
      </c>
      <c r="V7072">
        <f t="shared" si="442"/>
        <v>0</v>
      </c>
      <c r="W7072">
        <f t="shared" si="443"/>
        <v>0</v>
      </c>
    </row>
    <row r="7073" spans="5:23" x14ac:dyDescent="0.25">
      <c r="E7073" s="4"/>
      <c r="F7073" s="4"/>
      <c r="G7073" s="33" t="str">
        <f>IFERROR(VLOOKUP($D7073,'Informations sur les produits'!$A$3:$H$10000,8,FALSE),"0")</f>
        <v>0</v>
      </c>
      <c r="K7073" s="4"/>
      <c r="L7073" s="33" t="str">
        <f>IFERROR(VLOOKUP($J7073,'Informations sur les produits'!$A$3:$H$10000,8,FALSE),"0")</f>
        <v>0</v>
      </c>
      <c r="N7073" s="8"/>
      <c r="O7073" s="33" t="str">
        <f>IFERROR(VLOOKUP($M7073,'Informations sur les produits'!$A$3:$H$10000,8,FALSE),"0")</f>
        <v>0</v>
      </c>
      <c r="P7073" s="33">
        <f t="shared" si="440"/>
        <v>0</v>
      </c>
      <c r="Q7073" s="31" t="str">
        <f t="shared" si="441"/>
        <v/>
      </c>
      <c r="R7073" s="32" t="str">
        <f>IFERROR(VLOOKUP($D7073,'Informations sur les produits'!$A$3:$B$15000,2,FALSE),"")</f>
        <v/>
      </c>
      <c r="V7073">
        <f t="shared" si="442"/>
        <v>0</v>
      </c>
      <c r="W7073">
        <f t="shared" si="443"/>
        <v>0</v>
      </c>
    </row>
    <row r="7074" spans="5:23" x14ac:dyDescent="0.25">
      <c r="E7074" s="4"/>
      <c r="F7074" s="4"/>
      <c r="G7074" s="33" t="str">
        <f>IFERROR(VLOOKUP($D7074,'Informations sur les produits'!$A$3:$H$10000,8,FALSE),"0")</f>
        <v>0</v>
      </c>
      <c r="K7074" s="4"/>
      <c r="L7074" s="33" t="str">
        <f>IFERROR(VLOOKUP($J7074,'Informations sur les produits'!$A$3:$H$10000,8,FALSE),"0")</f>
        <v>0</v>
      </c>
      <c r="N7074" s="8"/>
      <c r="O7074" s="33" t="str">
        <f>IFERROR(VLOOKUP($M7074,'Informations sur les produits'!$A$3:$H$10000,8,FALSE),"0")</f>
        <v>0</v>
      </c>
      <c r="P7074" s="33">
        <f t="shared" si="440"/>
        <v>0</v>
      </c>
      <c r="Q7074" s="31" t="str">
        <f t="shared" si="441"/>
        <v/>
      </c>
      <c r="R7074" s="32" t="str">
        <f>IFERROR(VLOOKUP($D7074,'Informations sur les produits'!$A$3:$B$15000,2,FALSE),"")</f>
        <v/>
      </c>
      <c r="V7074">
        <f t="shared" si="442"/>
        <v>0</v>
      </c>
      <c r="W7074">
        <f t="shared" si="443"/>
        <v>0</v>
      </c>
    </row>
    <row r="7075" spans="5:23" x14ac:dyDescent="0.25">
      <c r="E7075" s="4"/>
      <c r="F7075" s="4"/>
      <c r="G7075" s="33" t="str">
        <f>IFERROR(VLOOKUP($D7075,'Informations sur les produits'!$A$3:$H$10000,8,FALSE),"0")</f>
        <v>0</v>
      </c>
      <c r="K7075" s="4"/>
      <c r="L7075" s="33" t="str">
        <f>IFERROR(VLOOKUP($J7075,'Informations sur les produits'!$A$3:$H$10000,8,FALSE),"0")</f>
        <v>0</v>
      </c>
      <c r="N7075" s="8"/>
      <c r="O7075" s="33" t="str">
        <f>IFERROR(VLOOKUP($M7075,'Informations sur les produits'!$A$3:$H$10000,8,FALSE),"0")</f>
        <v>0</v>
      </c>
      <c r="P7075" s="33">
        <f t="shared" si="440"/>
        <v>0</v>
      </c>
      <c r="Q7075" s="31" t="str">
        <f t="shared" si="441"/>
        <v/>
      </c>
      <c r="R7075" s="32" t="str">
        <f>IFERROR(VLOOKUP($D7075,'Informations sur les produits'!$A$3:$B$15000,2,FALSE),"")</f>
        <v/>
      </c>
      <c r="V7075">
        <f t="shared" si="442"/>
        <v>0</v>
      </c>
      <c r="W7075">
        <f t="shared" si="443"/>
        <v>0</v>
      </c>
    </row>
    <row r="7076" spans="5:23" x14ac:dyDescent="0.25">
      <c r="E7076" s="4"/>
      <c r="F7076" s="4"/>
      <c r="G7076" s="33" t="str">
        <f>IFERROR(VLOOKUP($D7076,'Informations sur les produits'!$A$3:$H$10000,8,FALSE),"0")</f>
        <v>0</v>
      </c>
      <c r="K7076" s="4"/>
      <c r="L7076" s="33" t="str">
        <f>IFERROR(VLOOKUP($J7076,'Informations sur les produits'!$A$3:$H$10000,8,FALSE),"0")</f>
        <v>0</v>
      </c>
      <c r="N7076" s="8"/>
      <c r="O7076" s="33" t="str">
        <f>IFERROR(VLOOKUP($M7076,'Informations sur les produits'!$A$3:$H$10000,8,FALSE),"0")</f>
        <v>0</v>
      </c>
      <c r="P7076" s="33">
        <f t="shared" si="440"/>
        <v>0</v>
      </c>
      <c r="Q7076" s="31" t="str">
        <f t="shared" si="441"/>
        <v/>
      </c>
      <c r="R7076" s="32" t="str">
        <f>IFERROR(VLOOKUP($D7076,'Informations sur les produits'!$A$3:$B$15000,2,FALSE),"")</f>
        <v/>
      </c>
      <c r="V7076">
        <f t="shared" si="442"/>
        <v>0</v>
      </c>
      <c r="W7076">
        <f t="shared" si="443"/>
        <v>0</v>
      </c>
    </row>
    <row r="7077" spans="5:23" x14ac:dyDescent="0.25">
      <c r="E7077" s="4"/>
      <c r="F7077" s="4"/>
      <c r="G7077" s="33" t="str">
        <f>IFERROR(VLOOKUP($D7077,'Informations sur les produits'!$A$3:$H$10000,8,FALSE),"0")</f>
        <v>0</v>
      </c>
      <c r="K7077" s="4"/>
      <c r="L7077" s="33" t="str">
        <f>IFERROR(VLOOKUP($J7077,'Informations sur les produits'!$A$3:$H$10000,8,FALSE),"0")</f>
        <v>0</v>
      </c>
      <c r="N7077" s="8"/>
      <c r="O7077" s="33" t="str">
        <f>IFERROR(VLOOKUP($M7077,'Informations sur les produits'!$A$3:$H$10000,8,FALSE),"0")</f>
        <v>0</v>
      </c>
      <c r="P7077" s="33">
        <f t="shared" si="440"/>
        <v>0</v>
      </c>
      <c r="Q7077" s="31" t="str">
        <f t="shared" si="441"/>
        <v/>
      </c>
      <c r="R7077" s="32" t="str">
        <f>IFERROR(VLOOKUP($D7077,'Informations sur les produits'!$A$3:$B$15000,2,FALSE),"")</f>
        <v/>
      </c>
      <c r="V7077">
        <f t="shared" si="442"/>
        <v>0</v>
      </c>
      <c r="W7077">
        <f t="shared" si="443"/>
        <v>0</v>
      </c>
    </row>
    <row r="7078" spans="5:23" x14ac:dyDescent="0.25">
      <c r="E7078" s="4"/>
      <c r="F7078" s="4"/>
      <c r="G7078" s="33" t="str">
        <f>IFERROR(VLOOKUP($D7078,'Informations sur les produits'!$A$3:$H$10000,8,FALSE),"0")</f>
        <v>0</v>
      </c>
      <c r="K7078" s="4"/>
      <c r="L7078" s="33" t="str">
        <f>IFERROR(VLOOKUP($J7078,'Informations sur les produits'!$A$3:$H$10000,8,FALSE),"0")</f>
        <v>0</v>
      </c>
      <c r="N7078" s="8"/>
      <c r="O7078" s="33" t="str">
        <f>IFERROR(VLOOKUP($M7078,'Informations sur les produits'!$A$3:$H$10000,8,FALSE),"0")</f>
        <v>0</v>
      </c>
      <c r="P7078" s="33">
        <f t="shared" si="440"/>
        <v>0</v>
      </c>
      <c r="Q7078" s="31" t="str">
        <f t="shared" si="441"/>
        <v/>
      </c>
      <c r="R7078" s="32" t="str">
        <f>IFERROR(VLOOKUP($D7078,'Informations sur les produits'!$A$3:$B$15000,2,FALSE),"")</f>
        <v/>
      </c>
      <c r="V7078">
        <f t="shared" si="442"/>
        <v>0</v>
      </c>
      <c r="W7078">
        <f t="shared" si="443"/>
        <v>0</v>
      </c>
    </row>
    <row r="7079" spans="5:23" x14ac:dyDescent="0.25">
      <c r="E7079" s="4"/>
      <c r="F7079" s="4"/>
      <c r="G7079" s="33" t="str">
        <f>IFERROR(VLOOKUP($D7079,'Informations sur les produits'!$A$3:$H$10000,8,FALSE),"0")</f>
        <v>0</v>
      </c>
      <c r="K7079" s="4"/>
      <c r="L7079" s="33" t="str">
        <f>IFERROR(VLOOKUP($J7079,'Informations sur les produits'!$A$3:$H$10000,8,FALSE),"0")</f>
        <v>0</v>
      </c>
      <c r="N7079" s="8"/>
      <c r="O7079" s="33" t="str">
        <f>IFERROR(VLOOKUP($M7079,'Informations sur les produits'!$A$3:$H$10000,8,FALSE),"0")</f>
        <v>0</v>
      </c>
      <c r="P7079" s="33">
        <f t="shared" si="440"/>
        <v>0</v>
      </c>
      <c r="Q7079" s="31" t="str">
        <f t="shared" si="441"/>
        <v/>
      </c>
      <c r="R7079" s="32" t="str">
        <f>IFERROR(VLOOKUP($D7079,'Informations sur les produits'!$A$3:$B$15000,2,FALSE),"")</f>
        <v/>
      </c>
      <c r="V7079">
        <f t="shared" si="442"/>
        <v>0</v>
      </c>
      <c r="W7079">
        <f t="shared" si="443"/>
        <v>0</v>
      </c>
    </row>
    <row r="7080" spans="5:23" x14ac:dyDescent="0.25">
      <c r="E7080" s="4"/>
      <c r="F7080" s="4"/>
      <c r="G7080" s="33" t="str">
        <f>IFERROR(VLOOKUP($D7080,'Informations sur les produits'!$A$3:$H$10000,8,FALSE),"0")</f>
        <v>0</v>
      </c>
      <c r="K7080" s="4"/>
      <c r="L7080" s="33" t="str">
        <f>IFERROR(VLOOKUP($J7080,'Informations sur les produits'!$A$3:$H$10000,8,FALSE),"0")</f>
        <v>0</v>
      </c>
      <c r="N7080" s="8"/>
      <c r="O7080" s="33" t="str">
        <f>IFERROR(VLOOKUP($M7080,'Informations sur les produits'!$A$3:$H$10000,8,FALSE),"0")</f>
        <v>0</v>
      </c>
      <c r="P7080" s="33">
        <f t="shared" si="440"/>
        <v>0</v>
      </c>
      <c r="Q7080" s="31" t="str">
        <f t="shared" si="441"/>
        <v/>
      </c>
      <c r="R7080" s="32" t="str">
        <f>IFERROR(VLOOKUP($D7080,'Informations sur les produits'!$A$3:$B$15000,2,FALSE),"")</f>
        <v/>
      </c>
      <c r="V7080">
        <f t="shared" si="442"/>
        <v>0</v>
      </c>
      <c r="W7080">
        <f t="shared" si="443"/>
        <v>0</v>
      </c>
    </row>
    <row r="7081" spans="5:23" x14ac:dyDescent="0.25">
      <c r="E7081" s="4"/>
      <c r="F7081" s="4"/>
      <c r="G7081" s="33" t="str">
        <f>IFERROR(VLOOKUP($D7081,'Informations sur les produits'!$A$3:$H$10000,8,FALSE),"0")</f>
        <v>0</v>
      </c>
      <c r="K7081" s="4"/>
      <c r="L7081" s="33" t="str">
        <f>IFERROR(VLOOKUP($J7081,'Informations sur les produits'!$A$3:$H$10000,8,FALSE),"0")</f>
        <v>0</v>
      </c>
      <c r="N7081" s="8"/>
      <c r="O7081" s="33" t="str">
        <f>IFERROR(VLOOKUP($M7081,'Informations sur les produits'!$A$3:$H$10000,8,FALSE),"0")</f>
        <v>0</v>
      </c>
      <c r="P7081" s="33">
        <f t="shared" si="440"/>
        <v>0</v>
      </c>
      <c r="Q7081" s="31" t="str">
        <f t="shared" si="441"/>
        <v/>
      </c>
      <c r="R7081" s="32" t="str">
        <f>IFERROR(VLOOKUP($D7081,'Informations sur les produits'!$A$3:$B$15000,2,FALSE),"")</f>
        <v/>
      </c>
      <c r="V7081">
        <f t="shared" si="442"/>
        <v>0</v>
      </c>
      <c r="W7081">
        <f t="shared" si="443"/>
        <v>0</v>
      </c>
    </row>
    <row r="7082" spans="5:23" x14ac:dyDescent="0.25">
      <c r="E7082" s="4"/>
      <c r="F7082" s="4"/>
      <c r="G7082" s="33" t="str">
        <f>IFERROR(VLOOKUP($D7082,'Informations sur les produits'!$A$3:$H$10000,8,FALSE),"0")</f>
        <v>0</v>
      </c>
      <c r="K7082" s="4"/>
      <c r="L7082" s="33" t="str">
        <f>IFERROR(VLOOKUP($J7082,'Informations sur les produits'!$A$3:$H$10000,8,FALSE),"0")</f>
        <v>0</v>
      </c>
      <c r="N7082" s="8"/>
      <c r="O7082" s="33" t="str">
        <f>IFERROR(VLOOKUP($M7082,'Informations sur les produits'!$A$3:$H$10000,8,FALSE),"0")</f>
        <v>0</v>
      </c>
      <c r="P7082" s="33">
        <f t="shared" si="440"/>
        <v>0</v>
      </c>
      <c r="Q7082" s="31" t="str">
        <f t="shared" si="441"/>
        <v/>
      </c>
      <c r="R7082" s="32" t="str">
        <f>IFERROR(VLOOKUP($D7082,'Informations sur les produits'!$A$3:$B$15000,2,FALSE),"")</f>
        <v/>
      </c>
      <c r="V7082">
        <f t="shared" si="442"/>
        <v>0</v>
      </c>
      <c r="W7082">
        <f t="shared" si="443"/>
        <v>0</v>
      </c>
    </row>
    <row r="7083" spans="5:23" x14ac:dyDescent="0.25">
      <c r="E7083" s="4"/>
      <c r="F7083" s="4"/>
      <c r="G7083" s="33" t="str">
        <f>IFERROR(VLOOKUP($D7083,'Informations sur les produits'!$A$3:$H$10000,8,FALSE),"0")</f>
        <v>0</v>
      </c>
      <c r="K7083" s="4"/>
      <c r="L7083" s="33" t="str">
        <f>IFERROR(VLOOKUP($J7083,'Informations sur les produits'!$A$3:$H$10000,8,FALSE),"0")</f>
        <v>0</v>
      </c>
      <c r="N7083" s="8"/>
      <c r="O7083" s="33" t="str">
        <f>IFERROR(VLOOKUP($M7083,'Informations sur les produits'!$A$3:$H$10000,8,FALSE),"0")</f>
        <v>0</v>
      </c>
      <c r="P7083" s="33">
        <f t="shared" si="440"/>
        <v>0</v>
      </c>
      <c r="Q7083" s="31" t="str">
        <f t="shared" si="441"/>
        <v/>
      </c>
      <c r="R7083" s="32" t="str">
        <f>IFERROR(VLOOKUP($D7083,'Informations sur les produits'!$A$3:$B$15000,2,FALSE),"")</f>
        <v/>
      </c>
      <c r="V7083">
        <f t="shared" si="442"/>
        <v>0</v>
      </c>
      <c r="W7083">
        <f t="shared" si="443"/>
        <v>0</v>
      </c>
    </row>
    <row r="7084" spans="5:23" x14ac:dyDescent="0.25">
      <c r="E7084" s="4"/>
      <c r="F7084" s="4"/>
      <c r="G7084" s="33" t="str">
        <f>IFERROR(VLOOKUP($D7084,'Informations sur les produits'!$A$3:$H$10000,8,FALSE),"0")</f>
        <v>0</v>
      </c>
      <c r="K7084" s="4"/>
      <c r="L7084" s="33" t="str">
        <f>IFERROR(VLOOKUP($J7084,'Informations sur les produits'!$A$3:$H$10000,8,FALSE),"0")</f>
        <v>0</v>
      </c>
      <c r="N7084" s="8"/>
      <c r="O7084" s="33" t="str">
        <f>IFERROR(VLOOKUP($M7084,'Informations sur les produits'!$A$3:$H$10000,8,FALSE),"0")</f>
        <v>0</v>
      </c>
      <c r="P7084" s="33">
        <f t="shared" si="440"/>
        <v>0</v>
      </c>
      <c r="Q7084" s="31" t="str">
        <f t="shared" si="441"/>
        <v/>
      </c>
      <c r="R7084" s="32" t="str">
        <f>IFERROR(VLOOKUP($D7084,'Informations sur les produits'!$A$3:$B$15000,2,FALSE),"")</f>
        <v/>
      </c>
      <c r="V7084">
        <f t="shared" si="442"/>
        <v>0</v>
      </c>
      <c r="W7084">
        <f t="shared" si="443"/>
        <v>0</v>
      </c>
    </row>
    <row r="7085" spans="5:23" x14ac:dyDescent="0.25">
      <c r="E7085" s="4"/>
      <c r="F7085" s="4"/>
      <c r="G7085" s="33" t="str">
        <f>IFERROR(VLOOKUP($D7085,'Informations sur les produits'!$A$3:$H$10000,8,FALSE),"0")</f>
        <v>0</v>
      </c>
      <c r="K7085" s="4"/>
      <c r="L7085" s="33" t="str">
        <f>IFERROR(VLOOKUP($J7085,'Informations sur les produits'!$A$3:$H$10000,8,FALSE),"0")</f>
        <v>0</v>
      </c>
      <c r="N7085" s="8"/>
      <c r="O7085" s="33" t="str">
        <f>IFERROR(VLOOKUP($M7085,'Informations sur les produits'!$A$3:$H$10000,8,FALSE),"0")</f>
        <v>0</v>
      </c>
      <c r="P7085" s="33">
        <f t="shared" si="440"/>
        <v>0</v>
      </c>
      <c r="Q7085" s="31" t="str">
        <f t="shared" si="441"/>
        <v/>
      </c>
      <c r="R7085" s="32" t="str">
        <f>IFERROR(VLOOKUP($D7085,'Informations sur les produits'!$A$3:$B$15000,2,FALSE),"")</f>
        <v/>
      </c>
      <c r="V7085">
        <f t="shared" si="442"/>
        <v>0</v>
      </c>
      <c r="W7085">
        <f t="shared" si="443"/>
        <v>0</v>
      </c>
    </row>
    <row r="7086" spans="5:23" x14ac:dyDescent="0.25">
      <c r="E7086" s="4"/>
      <c r="F7086" s="4"/>
      <c r="G7086" s="33" t="str">
        <f>IFERROR(VLOOKUP($D7086,'Informations sur les produits'!$A$3:$H$10000,8,FALSE),"0")</f>
        <v>0</v>
      </c>
      <c r="K7086" s="4"/>
      <c r="L7086" s="33" t="str">
        <f>IFERROR(VLOOKUP($J7086,'Informations sur les produits'!$A$3:$H$10000,8,FALSE),"0")</f>
        <v>0</v>
      </c>
      <c r="N7086" s="8"/>
      <c r="O7086" s="33" t="str">
        <f>IFERROR(VLOOKUP($M7086,'Informations sur les produits'!$A$3:$H$10000,8,FALSE),"0")</f>
        <v>0</v>
      </c>
      <c r="P7086" s="33">
        <f t="shared" si="440"/>
        <v>0</v>
      </c>
      <c r="Q7086" s="31" t="str">
        <f t="shared" si="441"/>
        <v/>
      </c>
      <c r="R7086" s="32" t="str">
        <f>IFERROR(VLOOKUP($D7086,'Informations sur les produits'!$A$3:$B$15000,2,FALSE),"")</f>
        <v/>
      </c>
      <c r="V7086">
        <f t="shared" si="442"/>
        <v>0</v>
      </c>
      <c r="W7086">
        <f t="shared" si="443"/>
        <v>0</v>
      </c>
    </row>
    <row r="7087" spans="5:23" x14ac:dyDescent="0.25">
      <c r="E7087" s="4"/>
      <c r="F7087" s="4"/>
      <c r="G7087" s="33" t="str">
        <f>IFERROR(VLOOKUP($D7087,'Informations sur les produits'!$A$3:$H$10000,8,FALSE),"0")</f>
        <v>0</v>
      </c>
      <c r="K7087" s="4"/>
      <c r="L7087" s="33" t="str">
        <f>IFERROR(VLOOKUP($J7087,'Informations sur les produits'!$A$3:$H$10000,8,FALSE),"0")</f>
        <v>0</v>
      </c>
      <c r="N7087" s="8"/>
      <c r="O7087" s="33" t="str">
        <f>IFERROR(VLOOKUP($M7087,'Informations sur les produits'!$A$3:$H$10000,8,FALSE),"0")</f>
        <v>0</v>
      </c>
      <c r="P7087" s="33">
        <f t="shared" si="440"/>
        <v>0</v>
      </c>
      <c r="Q7087" s="31" t="str">
        <f t="shared" si="441"/>
        <v/>
      </c>
      <c r="R7087" s="32" t="str">
        <f>IFERROR(VLOOKUP($D7087,'Informations sur les produits'!$A$3:$B$15000,2,FALSE),"")</f>
        <v/>
      </c>
      <c r="V7087">
        <f t="shared" si="442"/>
        <v>0</v>
      </c>
      <c r="W7087">
        <f t="shared" si="443"/>
        <v>0</v>
      </c>
    </row>
    <row r="7088" spans="5:23" x14ac:dyDescent="0.25">
      <c r="E7088" s="4"/>
      <c r="F7088" s="4"/>
      <c r="G7088" s="33" t="str">
        <f>IFERROR(VLOOKUP($D7088,'Informations sur les produits'!$A$3:$H$10000,8,FALSE),"0")</f>
        <v>0</v>
      </c>
      <c r="K7088" s="4"/>
      <c r="L7088" s="33" t="str">
        <f>IFERROR(VLOOKUP($J7088,'Informations sur les produits'!$A$3:$H$10000,8,FALSE),"0")</f>
        <v>0</v>
      </c>
      <c r="N7088" s="8"/>
      <c r="O7088" s="33" t="str">
        <f>IFERROR(VLOOKUP($M7088,'Informations sur les produits'!$A$3:$H$10000,8,FALSE),"0")</f>
        <v>0</v>
      </c>
      <c r="P7088" s="33">
        <f t="shared" si="440"/>
        <v>0</v>
      </c>
      <c r="Q7088" s="31" t="str">
        <f t="shared" si="441"/>
        <v/>
      </c>
      <c r="R7088" s="32" t="str">
        <f>IFERROR(VLOOKUP($D7088,'Informations sur les produits'!$A$3:$B$15000,2,FALSE),"")</f>
        <v/>
      </c>
      <c r="V7088">
        <f t="shared" si="442"/>
        <v>0</v>
      </c>
      <c r="W7088">
        <f t="shared" si="443"/>
        <v>0</v>
      </c>
    </row>
    <row r="7089" spans="5:23" x14ac:dyDescent="0.25">
      <c r="E7089" s="4"/>
      <c r="F7089" s="4"/>
      <c r="G7089" s="33" t="str">
        <f>IFERROR(VLOOKUP($D7089,'Informations sur les produits'!$A$3:$H$10000,8,FALSE),"0")</f>
        <v>0</v>
      </c>
      <c r="K7089" s="4"/>
      <c r="L7089" s="33" t="str">
        <f>IFERROR(VLOOKUP($J7089,'Informations sur les produits'!$A$3:$H$10000,8,FALSE),"0")</f>
        <v>0</v>
      </c>
      <c r="N7089" s="8"/>
      <c r="O7089" s="33" t="str">
        <f>IFERROR(VLOOKUP($M7089,'Informations sur les produits'!$A$3:$H$10000,8,FALSE),"0")</f>
        <v>0</v>
      </c>
      <c r="P7089" s="33">
        <f t="shared" si="440"/>
        <v>0</v>
      </c>
      <c r="Q7089" s="31" t="str">
        <f t="shared" si="441"/>
        <v/>
      </c>
      <c r="R7089" s="32" t="str">
        <f>IFERROR(VLOOKUP($D7089,'Informations sur les produits'!$A$3:$B$15000,2,FALSE),"")</f>
        <v/>
      </c>
      <c r="V7089">
        <f t="shared" si="442"/>
        <v>0</v>
      </c>
      <c r="W7089">
        <f t="shared" si="443"/>
        <v>0</v>
      </c>
    </row>
    <row r="7090" spans="5:23" x14ac:dyDescent="0.25">
      <c r="E7090" s="4"/>
      <c r="F7090" s="4"/>
      <c r="G7090" s="33" t="str">
        <f>IFERROR(VLOOKUP($D7090,'Informations sur les produits'!$A$3:$H$10000,8,FALSE),"0")</f>
        <v>0</v>
      </c>
      <c r="K7090" s="4"/>
      <c r="L7090" s="33" t="str">
        <f>IFERROR(VLOOKUP($J7090,'Informations sur les produits'!$A$3:$H$10000,8,FALSE),"0")</f>
        <v>0</v>
      </c>
      <c r="N7090" s="8"/>
      <c r="O7090" s="33" t="str">
        <f>IFERROR(VLOOKUP($M7090,'Informations sur les produits'!$A$3:$H$10000,8,FALSE),"0")</f>
        <v>0</v>
      </c>
      <c r="P7090" s="33">
        <f t="shared" si="440"/>
        <v>0</v>
      </c>
      <c r="Q7090" s="31" t="str">
        <f t="shared" si="441"/>
        <v/>
      </c>
      <c r="R7090" s="32" t="str">
        <f>IFERROR(VLOOKUP($D7090,'Informations sur les produits'!$A$3:$B$15000,2,FALSE),"")</f>
        <v/>
      </c>
      <c r="V7090">
        <f t="shared" si="442"/>
        <v>0</v>
      </c>
      <c r="W7090">
        <f t="shared" si="443"/>
        <v>0</v>
      </c>
    </row>
    <row r="7091" spans="5:23" x14ac:dyDescent="0.25">
      <c r="E7091" s="4"/>
      <c r="F7091" s="4"/>
      <c r="G7091" s="33" t="str">
        <f>IFERROR(VLOOKUP($D7091,'Informations sur les produits'!$A$3:$H$10000,8,FALSE),"0")</f>
        <v>0</v>
      </c>
      <c r="K7091" s="4"/>
      <c r="L7091" s="33" t="str">
        <f>IFERROR(VLOOKUP($J7091,'Informations sur les produits'!$A$3:$H$10000,8,FALSE),"0")</f>
        <v>0</v>
      </c>
      <c r="N7091" s="8"/>
      <c r="O7091" s="33" t="str">
        <f>IFERROR(VLOOKUP($M7091,'Informations sur les produits'!$A$3:$H$10000,8,FALSE),"0")</f>
        <v>0</v>
      </c>
      <c r="P7091" s="33">
        <f t="shared" si="440"/>
        <v>0</v>
      </c>
      <c r="Q7091" s="31" t="str">
        <f t="shared" si="441"/>
        <v/>
      </c>
      <c r="R7091" s="32" t="str">
        <f>IFERROR(VLOOKUP($D7091,'Informations sur les produits'!$A$3:$B$15000,2,FALSE),"")</f>
        <v/>
      </c>
      <c r="V7091">
        <f t="shared" si="442"/>
        <v>0</v>
      </c>
      <c r="W7091">
        <f t="shared" si="443"/>
        <v>0</v>
      </c>
    </row>
    <row r="7092" spans="5:23" x14ac:dyDescent="0.25">
      <c r="E7092" s="4"/>
      <c r="F7092" s="4"/>
      <c r="G7092" s="33" t="str">
        <f>IFERROR(VLOOKUP($D7092,'Informations sur les produits'!$A$3:$H$10000,8,FALSE),"0")</f>
        <v>0</v>
      </c>
      <c r="K7092" s="4"/>
      <c r="L7092" s="33" t="str">
        <f>IFERROR(VLOOKUP($J7092,'Informations sur les produits'!$A$3:$H$10000,8,FALSE),"0")</f>
        <v>0</v>
      </c>
      <c r="N7092" s="8"/>
      <c r="O7092" s="33" t="str">
        <f>IFERROR(VLOOKUP($M7092,'Informations sur les produits'!$A$3:$H$10000,8,FALSE),"0")</f>
        <v>0</v>
      </c>
      <c r="P7092" s="33">
        <f t="shared" si="440"/>
        <v>0</v>
      </c>
      <c r="Q7092" s="31" t="str">
        <f t="shared" si="441"/>
        <v/>
      </c>
      <c r="R7092" s="32" t="str">
        <f>IFERROR(VLOOKUP($D7092,'Informations sur les produits'!$A$3:$B$15000,2,FALSE),"")</f>
        <v/>
      </c>
      <c r="V7092">
        <f t="shared" si="442"/>
        <v>0</v>
      </c>
      <c r="W7092">
        <f t="shared" si="443"/>
        <v>0</v>
      </c>
    </row>
    <row r="7093" spans="5:23" x14ac:dyDescent="0.25">
      <c r="E7093" s="4"/>
      <c r="F7093" s="4"/>
      <c r="G7093" s="33" t="str">
        <f>IFERROR(VLOOKUP($D7093,'Informations sur les produits'!$A$3:$H$10000,8,FALSE),"0")</f>
        <v>0</v>
      </c>
      <c r="K7093" s="4"/>
      <c r="L7093" s="33" t="str">
        <f>IFERROR(VLOOKUP($J7093,'Informations sur les produits'!$A$3:$H$10000,8,FALSE),"0")</f>
        <v>0</v>
      </c>
      <c r="N7093" s="8"/>
      <c r="O7093" s="33" t="str">
        <f>IFERROR(VLOOKUP($M7093,'Informations sur les produits'!$A$3:$H$10000,8,FALSE),"0")</f>
        <v>0</v>
      </c>
      <c r="P7093" s="33">
        <f t="shared" si="440"/>
        <v>0</v>
      </c>
      <c r="Q7093" s="31" t="str">
        <f t="shared" si="441"/>
        <v/>
      </c>
      <c r="R7093" s="32" t="str">
        <f>IFERROR(VLOOKUP($D7093,'Informations sur les produits'!$A$3:$B$15000,2,FALSE),"")</f>
        <v/>
      </c>
      <c r="V7093">
        <f t="shared" si="442"/>
        <v>0</v>
      </c>
      <c r="W7093">
        <f t="shared" si="443"/>
        <v>0</v>
      </c>
    </row>
    <row r="7094" spans="5:23" x14ac:dyDescent="0.25">
      <c r="E7094" s="4"/>
      <c r="F7094" s="4"/>
      <c r="G7094" s="33" t="str">
        <f>IFERROR(VLOOKUP($D7094,'Informations sur les produits'!$A$3:$H$10000,8,FALSE),"0")</f>
        <v>0</v>
      </c>
      <c r="K7094" s="4"/>
      <c r="L7094" s="33" t="str">
        <f>IFERROR(VLOOKUP($J7094,'Informations sur les produits'!$A$3:$H$10000,8,FALSE),"0")</f>
        <v>0</v>
      </c>
      <c r="N7094" s="8"/>
      <c r="O7094" s="33" t="str">
        <f>IFERROR(VLOOKUP($M7094,'Informations sur les produits'!$A$3:$H$10000,8,FALSE),"0")</f>
        <v>0</v>
      </c>
      <c r="P7094" s="33">
        <f t="shared" si="440"/>
        <v>0</v>
      </c>
      <c r="Q7094" s="31" t="str">
        <f t="shared" si="441"/>
        <v/>
      </c>
      <c r="R7094" s="32" t="str">
        <f>IFERROR(VLOOKUP($D7094,'Informations sur les produits'!$A$3:$B$15000,2,FALSE),"")</f>
        <v/>
      </c>
      <c r="V7094">
        <f t="shared" si="442"/>
        <v>0</v>
      </c>
      <c r="W7094">
        <f t="shared" si="443"/>
        <v>0</v>
      </c>
    </row>
    <row r="7095" spans="5:23" x14ac:dyDescent="0.25">
      <c r="E7095" s="4"/>
      <c r="F7095" s="4"/>
      <c r="G7095" s="33" t="str">
        <f>IFERROR(VLOOKUP($D7095,'Informations sur les produits'!$A$3:$H$10000,8,FALSE),"0")</f>
        <v>0</v>
      </c>
      <c r="K7095" s="4"/>
      <c r="L7095" s="33" t="str">
        <f>IFERROR(VLOOKUP($J7095,'Informations sur les produits'!$A$3:$H$10000,8,FALSE),"0")</f>
        <v>0</v>
      </c>
      <c r="N7095" s="8"/>
      <c r="O7095" s="33" t="str">
        <f>IFERROR(VLOOKUP($M7095,'Informations sur les produits'!$A$3:$H$10000,8,FALSE),"0")</f>
        <v>0</v>
      </c>
      <c r="P7095" s="33">
        <f t="shared" si="440"/>
        <v>0</v>
      </c>
      <c r="Q7095" s="31" t="str">
        <f t="shared" si="441"/>
        <v/>
      </c>
      <c r="R7095" s="32" t="str">
        <f>IFERROR(VLOOKUP($D7095,'Informations sur les produits'!$A$3:$B$15000,2,FALSE),"")</f>
        <v/>
      </c>
      <c r="V7095">
        <f t="shared" si="442"/>
        <v>0</v>
      </c>
      <c r="W7095">
        <f t="shared" si="443"/>
        <v>0</v>
      </c>
    </row>
    <row r="7096" spans="5:23" x14ac:dyDescent="0.25">
      <c r="E7096" s="4"/>
      <c r="F7096" s="4"/>
      <c r="G7096" s="33" t="str">
        <f>IFERROR(VLOOKUP($D7096,'Informations sur les produits'!$A$3:$H$10000,8,FALSE),"0")</f>
        <v>0</v>
      </c>
      <c r="K7096" s="4"/>
      <c r="L7096" s="33" t="str">
        <f>IFERROR(VLOOKUP($J7096,'Informations sur les produits'!$A$3:$H$10000,8,FALSE),"0")</f>
        <v>0</v>
      </c>
      <c r="N7096" s="8"/>
      <c r="O7096" s="33" t="str">
        <f>IFERROR(VLOOKUP($M7096,'Informations sur les produits'!$A$3:$H$10000,8,FALSE),"0")</f>
        <v>0</v>
      </c>
      <c r="P7096" s="33">
        <f t="shared" si="440"/>
        <v>0</v>
      </c>
      <c r="Q7096" s="31" t="str">
        <f t="shared" si="441"/>
        <v/>
      </c>
      <c r="R7096" s="32" t="str">
        <f>IFERROR(VLOOKUP($D7096,'Informations sur les produits'!$A$3:$B$15000,2,FALSE),"")</f>
        <v/>
      </c>
      <c r="V7096">
        <f t="shared" si="442"/>
        <v>0</v>
      </c>
      <c r="W7096">
        <f t="shared" si="443"/>
        <v>0</v>
      </c>
    </row>
    <row r="7097" spans="5:23" x14ac:dyDescent="0.25">
      <c r="E7097" s="4"/>
      <c r="F7097" s="4"/>
      <c r="G7097" s="33" t="str">
        <f>IFERROR(VLOOKUP($D7097,'Informations sur les produits'!$A$3:$H$10000,8,FALSE),"0")</f>
        <v>0</v>
      </c>
      <c r="K7097" s="4"/>
      <c r="L7097" s="33" t="str">
        <f>IFERROR(VLOOKUP($J7097,'Informations sur les produits'!$A$3:$H$10000,8,FALSE),"0")</f>
        <v>0</v>
      </c>
      <c r="N7097" s="8"/>
      <c r="O7097" s="33" t="str">
        <f>IFERROR(VLOOKUP($M7097,'Informations sur les produits'!$A$3:$H$10000,8,FALSE),"0")</f>
        <v>0</v>
      </c>
      <c r="P7097" s="33">
        <f t="shared" si="440"/>
        <v>0</v>
      </c>
      <c r="Q7097" s="31" t="str">
        <f t="shared" si="441"/>
        <v/>
      </c>
      <c r="R7097" s="32" t="str">
        <f>IFERROR(VLOOKUP($D7097,'Informations sur les produits'!$A$3:$B$15000,2,FALSE),"")</f>
        <v/>
      </c>
      <c r="V7097">
        <f t="shared" si="442"/>
        <v>0</v>
      </c>
      <c r="W7097">
        <f t="shared" si="443"/>
        <v>0</v>
      </c>
    </row>
    <row r="7098" spans="5:23" x14ac:dyDescent="0.25">
      <c r="E7098" s="4"/>
      <c r="F7098" s="4"/>
      <c r="G7098" s="33" t="str">
        <f>IFERROR(VLOOKUP($D7098,'Informations sur les produits'!$A$3:$H$10000,8,FALSE),"0")</f>
        <v>0</v>
      </c>
      <c r="K7098" s="4"/>
      <c r="L7098" s="33" t="str">
        <f>IFERROR(VLOOKUP($J7098,'Informations sur les produits'!$A$3:$H$10000,8,FALSE),"0")</f>
        <v>0</v>
      </c>
      <c r="N7098" s="8"/>
      <c r="O7098" s="33" t="str">
        <f>IFERROR(VLOOKUP($M7098,'Informations sur les produits'!$A$3:$H$10000,8,FALSE),"0")</f>
        <v>0</v>
      </c>
      <c r="P7098" s="33">
        <f t="shared" si="440"/>
        <v>0</v>
      </c>
      <c r="Q7098" s="31" t="str">
        <f t="shared" si="441"/>
        <v/>
      </c>
      <c r="R7098" s="32" t="str">
        <f>IFERROR(VLOOKUP($D7098,'Informations sur les produits'!$A$3:$B$15000,2,FALSE),"")</f>
        <v/>
      </c>
      <c r="V7098">
        <f t="shared" si="442"/>
        <v>0</v>
      </c>
      <c r="W7098">
        <f t="shared" si="443"/>
        <v>0</v>
      </c>
    </row>
    <row r="7099" spans="5:23" x14ac:dyDescent="0.25">
      <c r="E7099" s="4"/>
      <c r="F7099" s="4"/>
      <c r="G7099" s="33" t="str">
        <f>IFERROR(VLOOKUP($D7099,'Informations sur les produits'!$A$3:$H$10000,8,FALSE),"0")</f>
        <v>0</v>
      </c>
      <c r="K7099" s="4"/>
      <c r="L7099" s="33" t="str">
        <f>IFERROR(VLOOKUP($J7099,'Informations sur les produits'!$A$3:$H$10000,8,FALSE),"0")</f>
        <v>0</v>
      </c>
      <c r="N7099" s="8"/>
      <c r="O7099" s="33" t="str">
        <f>IFERROR(VLOOKUP($M7099,'Informations sur les produits'!$A$3:$H$10000,8,FALSE),"0")</f>
        <v>0</v>
      </c>
      <c r="P7099" s="33">
        <f t="shared" si="440"/>
        <v>0</v>
      </c>
      <c r="Q7099" s="31" t="str">
        <f t="shared" si="441"/>
        <v/>
      </c>
      <c r="R7099" s="32" t="str">
        <f>IFERROR(VLOOKUP($D7099,'Informations sur les produits'!$A$3:$B$15000,2,FALSE),"")</f>
        <v/>
      </c>
      <c r="V7099">
        <f t="shared" si="442"/>
        <v>0</v>
      </c>
      <c r="W7099">
        <f t="shared" si="443"/>
        <v>0</v>
      </c>
    </row>
    <row r="7100" spans="5:23" x14ac:dyDescent="0.25">
      <c r="E7100" s="4"/>
      <c r="F7100" s="4"/>
      <c r="G7100" s="33" t="str">
        <f>IFERROR(VLOOKUP($D7100,'Informations sur les produits'!$A$3:$H$10000,8,FALSE),"0")</f>
        <v>0</v>
      </c>
      <c r="K7100" s="4"/>
      <c r="L7100" s="33" t="str">
        <f>IFERROR(VLOOKUP($J7100,'Informations sur les produits'!$A$3:$H$10000,8,FALSE),"0")</f>
        <v>0</v>
      </c>
      <c r="N7100" s="8"/>
      <c r="O7100" s="33" t="str">
        <f>IFERROR(VLOOKUP($M7100,'Informations sur les produits'!$A$3:$H$10000,8,FALSE),"0")</f>
        <v>0</v>
      </c>
      <c r="P7100" s="33">
        <f t="shared" si="440"/>
        <v>0</v>
      </c>
      <c r="Q7100" s="31" t="str">
        <f t="shared" si="441"/>
        <v/>
      </c>
      <c r="R7100" s="32" t="str">
        <f>IFERROR(VLOOKUP($D7100,'Informations sur les produits'!$A$3:$B$15000,2,FALSE),"")</f>
        <v/>
      </c>
      <c r="V7100">
        <f t="shared" si="442"/>
        <v>0</v>
      </c>
      <c r="W7100">
        <f t="shared" si="443"/>
        <v>0</v>
      </c>
    </row>
    <row r="7101" spans="5:23" x14ac:dyDescent="0.25">
      <c r="E7101" s="4"/>
      <c r="F7101" s="4"/>
      <c r="G7101" s="33" t="str">
        <f>IFERROR(VLOOKUP($D7101,'Informations sur les produits'!$A$3:$H$10000,8,FALSE),"0")</f>
        <v>0</v>
      </c>
      <c r="K7101" s="4"/>
      <c r="L7101" s="33" t="str">
        <f>IFERROR(VLOOKUP($J7101,'Informations sur les produits'!$A$3:$H$10000,8,FALSE),"0")</f>
        <v>0</v>
      </c>
      <c r="N7101" s="8"/>
      <c r="O7101" s="33" t="str">
        <f>IFERROR(VLOOKUP($M7101,'Informations sur les produits'!$A$3:$H$10000,8,FALSE),"0")</f>
        <v>0</v>
      </c>
      <c r="P7101" s="33">
        <f t="shared" si="440"/>
        <v>0</v>
      </c>
      <c r="Q7101" s="31" t="str">
        <f t="shared" si="441"/>
        <v/>
      </c>
      <c r="R7101" s="32" t="str">
        <f>IFERROR(VLOOKUP($D7101,'Informations sur les produits'!$A$3:$B$15000,2,FALSE),"")</f>
        <v/>
      </c>
      <c r="V7101">
        <f t="shared" si="442"/>
        <v>0</v>
      </c>
      <c r="W7101">
        <f t="shared" si="443"/>
        <v>0</v>
      </c>
    </row>
    <row r="7102" spans="5:23" x14ac:dyDescent="0.25">
      <c r="E7102" s="4"/>
      <c r="F7102" s="4"/>
      <c r="G7102" s="33" t="str">
        <f>IFERROR(VLOOKUP($D7102,'Informations sur les produits'!$A$3:$H$10000,8,FALSE),"0")</f>
        <v>0</v>
      </c>
      <c r="K7102" s="4"/>
      <c r="L7102" s="33" t="str">
        <f>IFERROR(VLOOKUP($J7102,'Informations sur les produits'!$A$3:$H$10000,8,FALSE),"0")</f>
        <v>0</v>
      </c>
      <c r="N7102" s="8"/>
      <c r="O7102" s="33" t="str">
        <f>IFERROR(VLOOKUP($M7102,'Informations sur les produits'!$A$3:$H$10000,8,FALSE),"0")</f>
        <v>0</v>
      </c>
      <c r="P7102" s="33">
        <f t="shared" si="440"/>
        <v>0</v>
      </c>
      <c r="Q7102" s="31" t="str">
        <f t="shared" si="441"/>
        <v/>
      </c>
      <c r="R7102" s="32" t="str">
        <f>IFERROR(VLOOKUP($D7102,'Informations sur les produits'!$A$3:$B$15000,2,FALSE),"")</f>
        <v/>
      </c>
      <c r="V7102">
        <f t="shared" si="442"/>
        <v>0</v>
      </c>
      <c r="W7102">
        <f t="shared" si="443"/>
        <v>0</v>
      </c>
    </row>
    <row r="7103" spans="5:23" x14ac:dyDescent="0.25">
      <c r="E7103" s="4"/>
      <c r="F7103" s="4"/>
      <c r="G7103" s="33" t="str">
        <f>IFERROR(VLOOKUP($D7103,'Informations sur les produits'!$A$3:$H$10000,8,FALSE),"0")</f>
        <v>0</v>
      </c>
      <c r="K7103" s="4"/>
      <c r="L7103" s="33" t="str">
        <f>IFERROR(VLOOKUP($J7103,'Informations sur les produits'!$A$3:$H$10000,8,FALSE),"0")</f>
        <v>0</v>
      </c>
      <c r="N7103" s="8"/>
      <c r="O7103" s="33" t="str">
        <f>IFERROR(VLOOKUP($M7103,'Informations sur les produits'!$A$3:$H$10000,8,FALSE),"0")</f>
        <v>0</v>
      </c>
      <c r="P7103" s="33">
        <f t="shared" si="440"/>
        <v>0</v>
      </c>
      <c r="Q7103" s="31" t="str">
        <f t="shared" si="441"/>
        <v/>
      </c>
      <c r="R7103" s="32" t="str">
        <f>IFERROR(VLOOKUP($D7103,'Informations sur les produits'!$A$3:$B$15000,2,FALSE),"")</f>
        <v/>
      </c>
      <c r="V7103">
        <f t="shared" si="442"/>
        <v>0</v>
      </c>
      <c r="W7103">
        <f t="shared" si="443"/>
        <v>0</v>
      </c>
    </row>
    <row r="7104" spans="5:23" x14ac:dyDescent="0.25">
      <c r="E7104" s="4"/>
      <c r="F7104" s="4"/>
      <c r="G7104" s="33" t="str">
        <f>IFERROR(VLOOKUP($D7104,'Informations sur les produits'!$A$3:$H$10000,8,FALSE),"0")</f>
        <v>0</v>
      </c>
      <c r="K7104" s="4"/>
      <c r="L7104" s="33" t="str">
        <f>IFERROR(VLOOKUP($J7104,'Informations sur les produits'!$A$3:$H$10000,8,FALSE),"0")</f>
        <v>0</v>
      </c>
      <c r="N7104" s="8"/>
      <c r="O7104" s="33" t="str">
        <f>IFERROR(VLOOKUP($M7104,'Informations sur les produits'!$A$3:$H$10000,8,FALSE),"0")</f>
        <v>0</v>
      </c>
      <c r="P7104" s="33">
        <f t="shared" si="440"/>
        <v>0</v>
      </c>
      <c r="Q7104" s="31" t="str">
        <f t="shared" si="441"/>
        <v/>
      </c>
      <c r="R7104" s="32" t="str">
        <f>IFERROR(VLOOKUP($D7104,'Informations sur les produits'!$A$3:$B$15000,2,FALSE),"")</f>
        <v/>
      </c>
      <c r="V7104">
        <f t="shared" si="442"/>
        <v>0</v>
      </c>
      <c r="W7104">
        <f t="shared" si="443"/>
        <v>0</v>
      </c>
    </row>
    <row r="7105" spans="5:23" x14ac:dyDescent="0.25">
      <c r="E7105" s="4"/>
      <c r="F7105" s="4"/>
      <c r="G7105" s="33" t="str">
        <f>IFERROR(VLOOKUP($D7105,'Informations sur les produits'!$A$3:$H$10000,8,FALSE),"0")</f>
        <v>0</v>
      </c>
      <c r="K7105" s="4"/>
      <c r="L7105" s="33" t="str">
        <f>IFERROR(VLOOKUP($J7105,'Informations sur les produits'!$A$3:$H$10000,8,FALSE),"0")</f>
        <v>0</v>
      </c>
      <c r="N7105" s="8"/>
      <c r="O7105" s="33" t="str">
        <f>IFERROR(VLOOKUP($M7105,'Informations sur les produits'!$A$3:$H$10000,8,FALSE),"0")</f>
        <v>0</v>
      </c>
      <c r="P7105" s="33">
        <f t="shared" si="440"/>
        <v>0</v>
      </c>
      <c r="Q7105" s="31" t="str">
        <f t="shared" si="441"/>
        <v/>
      </c>
      <c r="R7105" s="32" t="str">
        <f>IFERROR(VLOOKUP($D7105,'Informations sur les produits'!$A$3:$B$15000,2,FALSE),"")</f>
        <v/>
      </c>
      <c r="V7105">
        <f t="shared" si="442"/>
        <v>0</v>
      </c>
      <c r="W7105">
        <f t="shared" si="443"/>
        <v>0</v>
      </c>
    </row>
    <row r="7106" spans="5:23" x14ac:dyDescent="0.25">
      <c r="E7106" s="4"/>
      <c r="F7106" s="4"/>
      <c r="G7106" s="33" t="str">
        <f>IFERROR(VLOOKUP($D7106,'Informations sur les produits'!$A$3:$H$10000,8,FALSE),"0")</f>
        <v>0</v>
      </c>
      <c r="K7106" s="4"/>
      <c r="L7106" s="33" t="str">
        <f>IFERROR(VLOOKUP($J7106,'Informations sur les produits'!$A$3:$H$10000,8,FALSE),"0")</f>
        <v>0</v>
      </c>
      <c r="N7106" s="8"/>
      <c r="O7106" s="33" t="str">
        <f>IFERROR(VLOOKUP($M7106,'Informations sur les produits'!$A$3:$H$10000,8,FALSE),"0")</f>
        <v>0</v>
      </c>
      <c r="P7106" s="33">
        <f t="shared" si="440"/>
        <v>0</v>
      </c>
      <c r="Q7106" s="31" t="str">
        <f t="shared" si="441"/>
        <v/>
      </c>
      <c r="R7106" s="32" t="str">
        <f>IFERROR(VLOOKUP($D7106,'Informations sur les produits'!$A$3:$B$15000,2,FALSE),"")</f>
        <v/>
      </c>
      <c r="V7106">
        <f t="shared" si="442"/>
        <v>0</v>
      </c>
      <c r="W7106">
        <f t="shared" si="443"/>
        <v>0</v>
      </c>
    </row>
    <row r="7107" spans="5:23" x14ac:dyDescent="0.25">
      <c r="E7107" s="4"/>
      <c r="F7107" s="4"/>
      <c r="G7107" s="33" t="str">
        <f>IFERROR(VLOOKUP($D7107,'Informations sur les produits'!$A$3:$H$10000,8,FALSE),"0")</f>
        <v>0</v>
      </c>
      <c r="K7107" s="4"/>
      <c r="L7107" s="33" t="str">
        <f>IFERROR(VLOOKUP($J7107,'Informations sur les produits'!$A$3:$H$10000,8,FALSE),"0")</f>
        <v>0</v>
      </c>
      <c r="N7107" s="8"/>
      <c r="O7107" s="33" t="str">
        <f>IFERROR(VLOOKUP($M7107,'Informations sur les produits'!$A$3:$H$10000,8,FALSE),"0")</f>
        <v>0</v>
      </c>
      <c r="P7107" s="33">
        <f t="shared" si="440"/>
        <v>0</v>
      </c>
      <c r="Q7107" s="31" t="str">
        <f t="shared" si="441"/>
        <v/>
      </c>
      <c r="R7107" s="32" t="str">
        <f>IFERROR(VLOOKUP($D7107,'Informations sur les produits'!$A$3:$B$15000,2,FALSE),"")</f>
        <v/>
      </c>
      <c r="V7107">
        <f t="shared" si="442"/>
        <v>0</v>
      </c>
      <c r="W7107">
        <f t="shared" si="443"/>
        <v>0</v>
      </c>
    </row>
    <row r="7108" spans="5:23" x14ac:dyDescent="0.25">
      <c r="E7108" s="4"/>
      <c r="F7108" s="4"/>
      <c r="G7108" s="33" t="str">
        <f>IFERROR(VLOOKUP($D7108,'Informations sur les produits'!$A$3:$H$10000,8,FALSE),"0")</f>
        <v>0</v>
      </c>
      <c r="K7108" s="4"/>
      <c r="L7108" s="33" t="str">
        <f>IFERROR(VLOOKUP($J7108,'Informations sur les produits'!$A$3:$H$10000,8,FALSE),"0")</f>
        <v>0</v>
      </c>
      <c r="N7108" s="8"/>
      <c r="O7108" s="33" t="str">
        <f>IFERROR(VLOOKUP($M7108,'Informations sur les produits'!$A$3:$H$10000,8,FALSE),"0")</f>
        <v>0</v>
      </c>
      <c r="P7108" s="33">
        <f t="shared" ref="P7108:P7171" si="444">IFERROR((($E7108-$F7108)*$G7108+$K7108*$L7108+$N7108*$O7108),"")</f>
        <v>0</v>
      </c>
      <c r="Q7108" s="31" t="str">
        <f t="shared" ref="Q7108:Q7171" si="445">IFERROR((((($E7108-$F7108)*$G7108+$K7108*$L7108+$N7108*$O7108)*1000)/(($E7108-$F7108)+$K7108+$N7108)),"")</f>
        <v/>
      </c>
      <c r="R7108" s="32" t="str">
        <f>IFERROR(VLOOKUP($D7108,'Informations sur les produits'!$A$3:$B$15000,2,FALSE),"")</f>
        <v/>
      </c>
      <c r="V7108">
        <f t="shared" ref="V7108:V7171" si="446">IFERROR(P7108*1000,"")</f>
        <v>0</v>
      </c>
      <c r="W7108">
        <f t="shared" ref="W7108:W7171" si="447">IFERROR(($E7108-$F7108)+$K7108+$N7108,"")</f>
        <v>0</v>
      </c>
    </row>
    <row r="7109" spans="5:23" x14ac:dyDescent="0.25">
      <c r="E7109" s="4"/>
      <c r="F7109" s="4"/>
      <c r="G7109" s="33" t="str">
        <f>IFERROR(VLOOKUP($D7109,'Informations sur les produits'!$A$3:$H$10000,8,FALSE),"0")</f>
        <v>0</v>
      </c>
      <c r="K7109" s="4"/>
      <c r="L7109" s="33" t="str">
        <f>IFERROR(VLOOKUP($J7109,'Informations sur les produits'!$A$3:$H$10000,8,FALSE),"0")</f>
        <v>0</v>
      </c>
      <c r="N7109" s="8"/>
      <c r="O7109" s="33" t="str">
        <f>IFERROR(VLOOKUP($M7109,'Informations sur les produits'!$A$3:$H$10000,8,FALSE),"0")</f>
        <v>0</v>
      </c>
      <c r="P7109" s="33">
        <f t="shared" si="444"/>
        <v>0</v>
      </c>
      <c r="Q7109" s="31" t="str">
        <f t="shared" si="445"/>
        <v/>
      </c>
      <c r="R7109" s="32" t="str">
        <f>IFERROR(VLOOKUP($D7109,'Informations sur les produits'!$A$3:$B$15000,2,FALSE),"")</f>
        <v/>
      </c>
      <c r="V7109">
        <f t="shared" si="446"/>
        <v>0</v>
      </c>
      <c r="W7109">
        <f t="shared" si="447"/>
        <v>0</v>
      </c>
    </row>
    <row r="7110" spans="5:23" x14ac:dyDescent="0.25">
      <c r="E7110" s="4"/>
      <c r="F7110" s="4"/>
      <c r="G7110" s="33" t="str">
        <f>IFERROR(VLOOKUP($D7110,'Informations sur les produits'!$A$3:$H$10000,8,FALSE),"0")</f>
        <v>0</v>
      </c>
      <c r="K7110" s="4"/>
      <c r="L7110" s="33" t="str">
        <f>IFERROR(VLOOKUP($J7110,'Informations sur les produits'!$A$3:$H$10000,8,FALSE),"0")</f>
        <v>0</v>
      </c>
      <c r="N7110" s="8"/>
      <c r="O7110" s="33" t="str">
        <f>IFERROR(VLOOKUP($M7110,'Informations sur les produits'!$A$3:$H$10000,8,FALSE),"0")</f>
        <v>0</v>
      </c>
      <c r="P7110" s="33">
        <f t="shared" si="444"/>
        <v>0</v>
      </c>
      <c r="Q7110" s="31" t="str">
        <f t="shared" si="445"/>
        <v/>
      </c>
      <c r="R7110" s="32" t="str">
        <f>IFERROR(VLOOKUP($D7110,'Informations sur les produits'!$A$3:$B$15000,2,FALSE),"")</f>
        <v/>
      </c>
      <c r="V7110">
        <f t="shared" si="446"/>
        <v>0</v>
      </c>
      <c r="W7110">
        <f t="shared" si="447"/>
        <v>0</v>
      </c>
    </row>
    <row r="7111" spans="5:23" x14ac:dyDescent="0.25">
      <c r="E7111" s="4"/>
      <c r="F7111" s="4"/>
      <c r="G7111" s="33" t="str">
        <f>IFERROR(VLOOKUP($D7111,'Informations sur les produits'!$A$3:$H$10000,8,FALSE),"0")</f>
        <v>0</v>
      </c>
      <c r="K7111" s="4"/>
      <c r="L7111" s="33" t="str">
        <f>IFERROR(VLOOKUP($J7111,'Informations sur les produits'!$A$3:$H$10000,8,FALSE),"0")</f>
        <v>0</v>
      </c>
      <c r="N7111" s="8"/>
      <c r="O7111" s="33" t="str">
        <f>IFERROR(VLOOKUP($M7111,'Informations sur les produits'!$A$3:$H$10000,8,FALSE),"0")</f>
        <v>0</v>
      </c>
      <c r="P7111" s="33">
        <f t="shared" si="444"/>
        <v>0</v>
      </c>
      <c r="Q7111" s="31" t="str">
        <f t="shared" si="445"/>
        <v/>
      </c>
      <c r="R7111" s="32" t="str">
        <f>IFERROR(VLOOKUP($D7111,'Informations sur les produits'!$A$3:$B$15000,2,FALSE),"")</f>
        <v/>
      </c>
      <c r="V7111">
        <f t="shared" si="446"/>
        <v>0</v>
      </c>
      <c r="W7111">
        <f t="shared" si="447"/>
        <v>0</v>
      </c>
    </row>
    <row r="7112" spans="5:23" x14ac:dyDescent="0.25">
      <c r="E7112" s="4"/>
      <c r="F7112" s="4"/>
      <c r="G7112" s="33" t="str">
        <f>IFERROR(VLOOKUP($D7112,'Informations sur les produits'!$A$3:$H$10000,8,FALSE),"0")</f>
        <v>0</v>
      </c>
      <c r="K7112" s="4"/>
      <c r="L7112" s="33" t="str">
        <f>IFERROR(VLOOKUP($J7112,'Informations sur les produits'!$A$3:$H$10000,8,FALSE),"0")</f>
        <v>0</v>
      </c>
      <c r="N7112" s="8"/>
      <c r="O7112" s="33" t="str">
        <f>IFERROR(VLOOKUP($M7112,'Informations sur les produits'!$A$3:$H$10000,8,FALSE),"0")</f>
        <v>0</v>
      </c>
      <c r="P7112" s="33">
        <f t="shared" si="444"/>
        <v>0</v>
      </c>
      <c r="Q7112" s="31" t="str">
        <f t="shared" si="445"/>
        <v/>
      </c>
      <c r="R7112" s="32" t="str">
        <f>IFERROR(VLOOKUP($D7112,'Informations sur les produits'!$A$3:$B$15000,2,FALSE),"")</f>
        <v/>
      </c>
      <c r="V7112">
        <f t="shared" si="446"/>
        <v>0</v>
      </c>
      <c r="W7112">
        <f t="shared" si="447"/>
        <v>0</v>
      </c>
    </row>
    <row r="7113" spans="5:23" x14ac:dyDescent="0.25">
      <c r="E7113" s="4"/>
      <c r="F7113" s="4"/>
      <c r="G7113" s="33" t="str">
        <f>IFERROR(VLOOKUP($D7113,'Informations sur les produits'!$A$3:$H$10000,8,FALSE),"0")</f>
        <v>0</v>
      </c>
      <c r="K7113" s="4"/>
      <c r="L7113" s="33" t="str">
        <f>IFERROR(VLOOKUP($J7113,'Informations sur les produits'!$A$3:$H$10000,8,FALSE),"0")</f>
        <v>0</v>
      </c>
      <c r="N7113" s="8"/>
      <c r="O7113" s="33" t="str">
        <f>IFERROR(VLOOKUP($M7113,'Informations sur les produits'!$A$3:$H$10000,8,FALSE),"0")</f>
        <v>0</v>
      </c>
      <c r="P7113" s="33">
        <f t="shared" si="444"/>
        <v>0</v>
      </c>
      <c r="Q7113" s="31" t="str">
        <f t="shared" si="445"/>
        <v/>
      </c>
      <c r="R7113" s="32" t="str">
        <f>IFERROR(VLOOKUP($D7113,'Informations sur les produits'!$A$3:$B$15000,2,FALSE),"")</f>
        <v/>
      </c>
      <c r="V7113">
        <f t="shared" si="446"/>
        <v>0</v>
      </c>
      <c r="W7113">
        <f t="shared" si="447"/>
        <v>0</v>
      </c>
    </row>
    <row r="7114" spans="5:23" x14ac:dyDescent="0.25">
      <c r="E7114" s="4"/>
      <c r="F7114" s="4"/>
      <c r="G7114" s="33" t="str">
        <f>IFERROR(VLOOKUP($D7114,'Informations sur les produits'!$A$3:$H$10000,8,FALSE),"0")</f>
        <v>0</v>
      </c>
      <c r="K7114" s="4"/>
      <c r="L7114" s="33" t="str">
        <f>IFERROR(VLOOKUP($J7114,'Informations sur les produits'!$A$3:$H$10000,8,FALSE),"0")</f>
        <v>0</v>
      </c>
      <c r="N7114" s="8"/>
      <c r="O7114" s="33" t="str">
        <f>IFERROR(VLOOKUP($M7114,'Informations sur les produits'!$A$3:$H$10000,8,FALSE),"0")</f>
        <v>0</v>
      </c>
      <c r="P7114" s="33">
        <f t="shared" si="444"/>
        <v>0</v>
      </c>
      <c r="Q7114" s="31" t="str">
        <f t="shared" si="445"/>
        <v/>
      </c>
      <c r="R7114" s="32" t="str">
        <f>IFERROR(VLOOKUP($D7114,'Informations sur les produits'!$A$3:$B$15000,2,FALSE),"")</f>
        <v/>
      </c>
      <c r="V7114">
        <f t="shared" si="446"/>
        <v>0</v>
      </c>
      <c r="W7114">
        <f t="shared" si="447"/>
        <v>0</v>
      </c>
    </row>
    <row r="7115" spans="5:23" x14ac:dyDescent="0.25">
      <c r="E7115" s="4"/>
      <c r="F7115" s="4"/>
      <c r="G7115" s="33" t="str">
        <f>IFERROR(VLOOKUP($D7115,'Informations sur les produits'!$A$3:$H$10000,8,FALSE),"0")</f>
        <v>0</v>
      </c>
      <c r="K7115" s="4"/>
      <c r="L7115" s="33" t="str">
        <f>IFERROR(VLOOKUP($J7115,'Informations sur les produits'!$A$3:$H$10000,8,FALSE),"0")</f>
        <v>0</v>
      </c>
      <c r="N7115" s="8"/>
      <c r="O7115" s="33" t="str">
        <f>IFERROR(VLOOKUP($M7115,'Informations sur les produits'!$A$3:$H$10000,8,FALSE),"0")</f>
        <v>0</v>
      </c>
      <c r="P7115" s="33">
        <f t="shared" si="444"/>
        <v>0</v>
      </c>
      <c r="Q7115" s="31" t="str">
        <f t="shared" si="445"/>
        <v/>
      </c>
      <c r="R7115" s="32" t="str">
        <f>IFERROR(VLOOKUP($D7115,'Informations sur les produits'!$A$3:$B$15000,2,FALSE),"")</f>
        <v/>
      </c>
      <c r="V7115">
        <f t="shared" si="446"/>
        <v>0</v>
      </c>
      <c r="W7115">
        <f t="shared" si="447"/>
        <v>0</v>
      </c>
    </row>
    <row r="7116" spans="5:23" x14ac:dyDescent="0.25">
      <c r="E7116" s="4"/>
      <c r="F7116" s="4"/>
      <c r="G7116" s="33" t="str">
        <f>IFERROR(VLOOKUP($D7116,'Informations sur les produits'!$A$3:$H$10000,8,FALSE),"0")</f>
        <v>0</v>
      </c>
      <c r="K7116" s="4"/>
      <c r="L7116" s="33" t="str">
        <f>IFERROR(VLOOKUP($J7116,'Informations sur les produits'!$A$3:$H$10000,8,FALSE),"0")</f>
        <v>0</v>
      </c>
      <c r="N7116" s="8"/>
      <c r="O7116" s="33" t="str">
        <f>IFERROR(VLOOKUP($M7116,'Informations sur les produits'!$A$3:$H$10000,8,FALSE),"0")</f>
        <v>0</v>
      </c>
      <c r="P7116" s="33">
        <f t="shared" si="444"/>
        <v>0</v>
      </c>
      <c r="Q7116" s="31" t="str">
        <f t="shared" si="445"/>
        <v/>
      </c>
      <c r="R7116" s="32" t="str">
        <f>IFERROR(VLOOKUP($D7116,'Informations sur les produits'!$A$3:$B$15000,2,FALSE),"")</f>
        <v/>
      </c>
      <c r="V7116">
        <f t="shared" si="446"/>
        <v>0</v>
      </c>
      <c r="W7116">
        <f t="shared" si="447"/>
        <v>0</v>
      </c>
    </row>
    <row r="7117" spans="5:23" x14ac:dyDescent="0.25">
      <c r="E7117" s="4"/>
      <c r="F7117" s="4"/>
      <c r="G7117" s="33" t="str">
        <f>IFERROR(VLOOKUP($D7117,'Informations sur les produits'!$A$3:$H$10000,8,FALSE),"0")</f>
        <v>0</v>
      </c>
      <c r="K7117" s="4"/>
      <c r="L7117" s="33" t="str">
        <f>IFERROR(VLOOKUP($J7117,'Informations sur les produits'!$A$3:$H$10000,8,FALSE),"0")</f>
        <v>0</v>
      </c>
      <c r="N7117" s="8"/>
      <c r="O7117" s="33" t="str">
        <f>IFERROR(VLOOKUP($M7117,'Informations sur les produits'!$A$3:$H$10000,8,FALSE),"0")</f>
        <v>0</v>
      </c>
      <c r="P7117" s="33">
        <f t="shared" si="444"/>
        <v>0</v>
      </c>
      <c r="Q7117" s="31" t="str">
        <f t="shared" si="445"/>
        <v/>
      </c>
      <c r="R7117" s="32" t="str">
        <f>IFERROR(VLOOKUP($D7117,'Informations sur les produits'!$A$3:$B$15000,2,FALSE),"")</f>
        <v/>
      </c>
      <c r="V7117">
        <f t="shared" si="446"/>
        <v>0</v>
      </c>
      <c r="W7117">
        <f t="shared" si="447"/>
        <v>0</v>
      </c>
    </row>
    <row r="7118" spans="5:23" x14ac:dyDescent="0.25">
      <c r="E7118" s="4"/>
      <c r="F7118" s="4"/>
      <c r="G7118" s="33" t="str">
        <f>IFERROR(VLOOKUP($D7118,'Informations sur les produits'!$A$3:$H$10000,8,FALSE),"0")</f>
        <v>0</v>
      </c>
      <c r="K7118" s="4"/>
      <c r="L7118" s="33" t="str">
        <f>IFERROR(VLOOKUP($J7118,'Informations sur les produits'!$A$3:$H$10000,8,FALSE),"0")</f>
        <v>0</v>
      </c>
      <c r="N7118" s="8"/>
      <c r="O7118" s="33" t="str">
        <f>IFERROR(VLOOKUP($M7118,'Informations sur les produits'!$A$3:$H$10000,8,FALSE),"0")</f>
        <v>0</v>
      </c>
      <c r="P7118" s="33">
        <f t="shared" si="444"/>
        <v>0</v>
      </c>
      <c r="Q7118" s="31" t="str">
        <f t="shared" si="445"/>
        <v/>
      </c>
      <c r="R7118" s="32" t="str">
        <f>IFERROR(VLOOKUP($D7118,'Informations sur les produits'!$A$3:$B$15000,2,FALSE),"")</f>
        <v/>
      </c>
      <c r="V7118">
        <f t="shared" si="446"/>
        <v>0</v>
      </c>
      <c r="W7118">
        <f t="shared" si="447"/>
        <v>0</v>
      </c>
    </row>
    <row r="7119" spans="5:23" x14ac:dyDescent="0.25">
      <c r="E7119" s="4"/>
      <c r="F7119" s="4"/>
      <c r="G7119" s="33" t="str">
        <f>IFERROR(VLOOKUP($D7119,'Informations sur les produits'!$A$3:$H$10000,8,FALSE),"0")</f>
        <v>0</v>
      </c>
      <c r="K7119" s="4"/>
      <c r="L7119" s="33" t="str">
        <f>IFERROR(VLOOKUP($J7119,'Informations sur les produits'!$A$3:$H$10000,8,FALSE),"0")</f>
        <v>0</v>
      </c>
      <c r="N7119" s="8"/>
      <c r="O7119" s="33" t="str">
        <f>IFERROR(VLOOKUP($M7119,'Informations sur les produits'!$A$3:$H$10000,8,FALSE),"0")</f>
        <v>0</v>
      </c>
      <c r="P7119" s="33">
        <f t="shared" si="444"/>
        <v>0</v>
      </c>
      <c r="Q7119" s="31" t="str">
        <f t="shared" si="445"/>
        <v/>
      </c>
      <c r="R7119" s="32" t="str">
        <f>IFERROR(VLOOKUP($D7119,'Informations sur les produits'!$A$3:$B$15000,2,FALSE),"")</f>
        <v/>
      </c>
      <c r="V7119">
        <f t="shared" si="446"/>
        <v>0</v>
      </c>
      <c r="W7119">
        <f t="shared" si="447"/>
        <v>0</v>
      </c>
    </row>
    <row r="7120" spans="5:23" x14ac:dyDescent="0.25">
      <c r="E7120" s="4"/>
      <c r="F7120" s="4"/>
      <c r="G7120" s="33" t="str">
        <f>IFERROR(VLOOKUP($D7120,'Informations sur les produits'!$A$3:$H$10000,8,FALSE),"0")</f>
        <v>0</v>
      </c>
      <c r="K7120" s="4"/>
      <c r="L7120" s="33" t="str">
        <f>IFERROR(VLOOKUP($J7120,'Informations sur les produits'!$A$3:$H$10000,8,FALSE),"0")</f>
        <v>0</v>
      </c>
      <c r="N7120" s="8"/>
      <c r="O7120" s="33" t="str">
        <f>IFERROR(VLOOKUP($M7120,'Informations sur les produits'!$A$3:$H$10000,8,FALSE),"0")</f>
        <v>0</v>
      </c>
      <c r="P7120" s="33">
        <f t="shared" si="444"/>
        <v>0</v>
      </c>
      <c r="Q7120" s="31" t="str">
        <f t="shared" si="445"/>
        <v/>
      </c>
      <c r="R7120" s="32" t="str">
        <f>IFERROR(VLOOKUP($D7120,'Informations sur les produits'!$A$3:$B$15000,2,FALSE),"")</f>
        <v/>
      </c>
      <c r="V7120">
        <f t="shared" si="446"/>
        <v>0</v>
      </c>
      <c r="W7120">
        <f t="shared" si="447"/>
        <v>0</v>
      </c>
    </row>
    <row r="7121" spans="5:23" x14ac:dyDescent="0.25">
      <c r="E7121" s="4"/>
      <c r="F7121" s="4"/>
      <c r="G7121" s="33" t="str">
        <f>IFERROR(VLOOKUP($D7121,'Informations sur les produits'!$A$3:$H$10000,8,FALSE),"0")</f>
        <v>0</v>
      </c>
      <c r="K7121" s="4"/>
      <c r="L7121" s="33" t="str">
        <f>IFERROR(VLOOKUP($J7121,'Informations sur les produits'!$A$3:$H$10000,8,FALSE),"0")</f>
        <v>0</v>
      </c>
      <c r="N7121" s="8"/>
      <c r="O7121" s="33" t="str">
        <f>IFERROR(VLOOKUP($M7121,'Informations sur les produits'!$A$3:$H$10000,8,FALSE),"0")</f>
        <v>0</v>
      </c>
      <c r="P7121" s="33">
        <f t="shared" si="444"/>
        <v>0</v>
      </c>
      <c r="Q7121" s="31" t="str">
        <f t="shared" si="445"/>
        <v/>
      </c>
      <c r="R7121" s="32" t="str">
        <f>IFERROR(VLOOKUP($D7121,'Informations sur les produits'!$A$3:$B$15000,2,FALSE),"")</f>
        <v/>
      </c>
      <c r="V7121">
        <f t="shared" si="446"/>
        <v>0</v>
      </c>
      <c r="W7121">
        <f t="shared" si="447"/>
        <v>0</v>
      </c>
    </row>
    <row r="7122" spans="5:23" x14ac:dyDescent="0.25">
      <c r="E7122" s="4"/>
      <c r="F7122" s="4"/>
      <c r="G7122" s="33" t="str">
        <f>IFERROR(VLOOKUP($D7122,'Informations sur les produits'!$A$3:$H$10000,8,FALSE),"0")</f>
        <v>0</v>
      </c>
      <c r="K7122" s="4"/>
      <c r="L7122" s="33" t="str">
        <f>IFERROR(VLOOKUP($J7122,'Informations sur les produits'!$A$3:$H$10000,8,FALSE),"0")</f>
        <v>0</v>
      </c>
      <c r="N7122" s="8"/>
      <c r="O7122" s="33" t="str">
        <f>IFERROR(VLOOKUP($M7122,'Informations sur les produits'!$A$3:$H$10000,8,FALSE),"0")</f>
        <v>0</v>
      </c>
      <c r="P7122" s="33">
        <f t="shared" si="444"/>
        <v>0</v>
      </c>
      <c r="Q7122" s="31" t="str">
        <f t="shared" si="445"/>
        <v/>
      </c>
      <c r="R7122" s="32" t="str">
        <f>IFERROR(VLOOKUP($D7122,'Informations sur les produits'!$A$3:$B$15000,2,FALSE),"")</f>
        <v/>
      </c>
      <c r="V7122">
        <f t="shared" si="446"/>
        <v>0</v>
      </c>
      <c r="W7122">
        <f t="shared" si="447"/>
        <v>0</v>
      </c>
    </row>
    <row r="7123" spans="5:23" x14ac:dyDescent="0.25">
      <c r="E7123" s="4"/>
      <c r="F7123" s="4"/>
      <c r="G7123" s="33" t="str">
        <f>IFERROR(VLOOKUP($D7123,'Informations sur les produits'!$A$3:$H$10000,8,FALSE),"0")</f>
        <v>0</v>
      </c>
      <c r="K7123" s="4"/>
      <c r="L7123" s="33" t="str">
        <f>IFERROR(VLOOKUP($J7123,'Informations sur les produits'!$A$3:$H$10000,8,FALSE),"0")</f>
        <v>0</v>
      </c>
      <c r="N7123" s="8"/>
      <c r="O7123" s="33" t="str">
        <f>IFERROR(VLOOKUP($M7123,'Informations sur les produits'!$A$3:$H$10000,8,FALSE),"0")</f>
        <v>0</v>
      </c>
      <c r="P7123" s="33">
        <f t="shared" si="444"/>
        <v>0</v>
      </c>
      <c r="Q7123" s="31" t="str">
        <f t="shared" si="445"/>
        <v/>
      </c>
      <c r="R7123" s="32" t="str">
        <f>IFERROR(VLOOKUP($D7123,'Informations sur les produits'!$A$3:$B$15000,2,FALSE),"")</f>
        <v/>
      </c>
      <c r="V7123">
        <f t="shared" si="446"/>
        <v>0</v>
      </c>
      <c r="W7123">
        <f t="shared" si="447"/>
        <v>0</v>
      </c>
    </row>
    <row r="7124" spans="5:23" x14ac:dyDescent="0.25">
      <c r="E7124" s="4"/>
      <c r="F7124" s="4"/>
      <c r="G7124" s="33" t="str">
        <f>IFERROR(VLOOKUP($D7124,'Informations sur les produits'!$A$3:$H$10000,8,FALSE),"0")</f>
        <v>0</v>
      </c>
      <c r="K7124" s="4"/>
      <c r="L7124" s="33" t="str">
        <f>IFERROR(VLOOKUP($J7124,'Informations sur les produits'!$A$3:$H$10000,8,FALSE),"0")</f>
        <v>0</v>
      </c>
      <c r="N7124" s="8"/>
      <c r="O7124" s="33" t="str">
        <f>IFERROR(VLOOKUP($M7124,'Informations sur les produits'!$A$3:$H$10000,8,FALSE),"0")</f>
        <v>0</v>
      </c>
      <c r="P7124" s="33">
        <f t="shared" si="444"/>
        <v>0</v>
      </c>
      <c r="Q7124" s="31" t="str">
        <f t="shared" si="445"/>
        <v/>
      </c>
      <c r="R7124" s="32" t="str">
        <f>IFERROR(VLOOKUP($D7124,'Informations sur les produits'!$A$3:$B$15000,2,FALSE),"")</f>
        <v/>
      </c>
      <c r="V7124">
        <f t="shared" si="446"/>
        <v>0</v>
      </c>
      <c r="W7124">
        <f t="shared" si="447"/>
        <v>0</v>
      </c>
    </row>
    <row r="7125" spans="5:23" x14ac:dyDescent="0.25">
      <c r="E7125" s="4"/>
      <c r="F7125" s="4"/>
      <c r="G7125" s="33" t="str">
        <f>IFERROR(VLOOKUP($D7125,'Informations sur les produits'!$A$3:$H$10000,8,FALSE),"0")</f>
        <v>0</v>
      </c>
      <c r="K7125" s="4"/>
      <c r="L7125" s="33" t="str">
        <f>IFERROR(VLOOKUP($J7125,'Informations sur les produits'!$A$3:$H$10000,8,FALSE),"0")</f>
        <v>0</v>
      </c>
      <c r="N7125" s="8"/>
      <c r="O7125" s="33" t="str">
        <f>IFERROR(VLOOKUP($M7125,'Informations sur les produits'!$A$3:$H$10000,8,FALSE),"0")</f>
        <v>0</v>
      </c>
      <c r="P7125" s="33">
        <f t="shared" si="444"/>
        <v>0</v>
      </c>
      <c r="Q7125" s="31" t="str">
        <f t="shared" si="445"/>
        <v/>
      </c>
      <c r="R7125" s="32" t="str">
        <f>IFERROR(VLOOKUP($D7125,'Informations sur les produits'!$A$3:$B$15000,2,FALSE),"")</f>
        <v/>
      </c>
      <c r="V7125">
        <f t="shared" si="446"/>
        <v>0</v>
      </c>
      <c r="W7125">
        <f t="shared" si="447"/>
        <v>0</v>
      </c>
    </row>
    <row r="7126" spans="5:23" x14ac:dyDescent="0.25">
      <c r="E7126" s="4"/>
      <c r="F7126" s="4"/>
      <c r="G7126" s="33" t="str">
        <f>IFERROR(VLOOKUP($D7126,'Informations sur les produits'!$A$3:$H$10000,8,FALSE),"0")</f>
        <v>0</v>
      </c>
      <c r="K7126" s="4"/>
      <c r="L7126" s="33" t="str">
        <f>IFERROR(VLOOKUP($J7126,'Informations sur les produits'!$A$3:$H$10000,8,FALSE),"0")</f>
        <v>0</v>
      </c>
      <c r="N7126" s="8"/>
      <c r="O7126" s="33" t="str">
        <f>IFERROR(VLOOKUP($M7126,'Informations sur les produits'!$A$3:$H$10000,8,FALSE),"0")</f>
        <v>0</v>
      </c>
      <c r="P7126" s="33">
        <f t="shared" si="444"/>
        <v>0</v>
      </c>
      <c r="Q7126" s="31" t="str">
        <f t="shared" si="445"/>
        <v/>
      </c>
      <c r="R7126" s="32" t="str">
        <f>IFERROR(VLOOKUP($D7126,'Informations sur les produits'!$A$3:$B$15000,2,FALSE),"")</f>
        <v/>
      </c>
      <c r="V7126">
        <f t="shared" si="446"/>
        <v>0</v>
      </c>
      <c r="W7126">
        <f t="shared" si="447"/>
        <v>0</v>
      </c>
    </row>
    <row r="7127" spans="5:23" x14ac:dyDescent="0.25">
      <c r="E7127" s="4"/>
      <c r="F7127" s="4"/>
      <c r="G7127" s="33" t="str">
        <f>IFERROR(VLOOKUP($D7127,'Informations sur les produits'!$A$3:$H$10000,8,FALSE),"0")</f>
        <v>0</v>
      </c>
      <c r="K7127" s="4"/>
      <c r="L7127" s="33" t="str">
        <f>IFERROR(VLOOKUP($J7127,'Informations sur les produits'!$A$3:$H$10000,8,FALSE),"0")</f>
        <v>0</v>
      </c>
      <c r="N7127" s="8"/>
      <c r="O7127" s="33" t="str">
        <f>IFERROR(VLOOKUP($M7127,'Informations sur les produits'!$A$3:$H$10000,8,FALSE),"0")</f>
        <v>0</v>
      </c>
      <c r="P7127" s="33">
        <f t="shared" si="444"/>
        <v>0</v>
      </c>
      <c r="Q7127" s="31" t="str">
        <f t="shared" si="445"/>
        <v/>
      </c>
      <c r="R7127" s="32" t="str">
        <f>IFERROR(VLOOKUP($D7127,'Informations sur les produits'!$A$3:$B$15000,2,FALSE),"")</f>
        <v/>
      </c>
      <c r="V7127">
        <f t="shared" si="446"/>
        <v>0</v>
      </c>
      <c r="W7127">
        <f t="shared" si="447"/>
        <v>0</v>
      </c>
    </row>
    <row r="7128" spans="5:23" x14ac:dyDescent="0.25">
      <c r="E7128" s="4"/>
      <c r="F7128" s="4"/>
      <c r="G7128" s="33" t="str">
        <f>IFERROR(VLOOKUP($D7128,'Informations sur les produits'!$A$3:$H$10000,8,FALSE),"0")</f>
        <v>0</v>
      </c>
      <c r="K7128" s="4"/>
      <c r="L7128" s="33" t="str">
        <f>IFERROR(VLOOKUP($J7128,'Informations sur les produits'!$A$3:$H$10000,8,FALSE),"0")</f>
        <v>0</v>
      </c>
      <c r="N7128" s="8"/>
      <c r="O7128" s="33" t="str">
        <f>IFERROR(VLOOKUP($M7128,'Informations sur les produits'!$A$3:$H$10000,8,FALSE),"0")</f>
        <v>0</v>
      </c>
      <c r="P7128" s="33">
        <f t="shared" si="444"/>
        <v>0</v>
      </c>
      <c r="Q7128" s="31" t="str">
        <f t="shared" si="445"/>
        <v/>
      </c>
      <c r="R7128" s="32" t="str">
        <f>IFERROR(VLOOKUP($D7128,'Informations sur les produits'!$A$3:$B$15000,2,FALSE),"")</f>
        <v/>
      </c>
      <c r="V7128">
        <f t="shared" si="446"/>
        <v>0</v>
      </c>
      <c r="W7128">
        <f t="shared" si="447"/>
        <v>0</v>
      </c>
    </row>
    <row r="7129" spans="5:23" x14ac:dyDescent="0.25">
      <c r="E7129" s="4"/>
      <c r="F7129" s="4"/>
      <c r="G7129" s="33" t="str">
        <f>IFERROR(VLOOKUP($D7129,'Informations sur les produits'!$A$3:$H$10000,8,FALSE),"0")</f>
        <v>0</v>
      </c>
      <c r="K7129" s="4"/>
      <c r="L7129" s="33" t="str">
        <f>IFERROR(VLOOKUP($J7129,'Informations sur les produits'!$A$3:$H$10000,8,FALSE),"0")</f>
        <v>0</v>
      </c>
      <c r="N7129" s="8"/>
      <c r="O7129" s="33" t="str">
        <f>IFERROR(VLOOKUP($M7129,'Informations sur les produits'!$A$3:$H$10000,8,FALSE),"0")</f>
        <v>0</v>
      </c>
      <c r="P7129" s="33">
        <f t="shared" si="444"/>
        <v>0</v>
      </c>
      <c r="Q7129" s="31" t="str">
        <f t="shared" si="445"/>
        <v/>
      </c>
      <c r="R7129" s="32" t="str">
        <f>IFERROR(VLOOKUP($D7129,'Informations sur les produits'!$A$3:$B$15000,2,FALSE),"")</f>
        <v/>
      </c>
      <c r="V7129">
        <f t="shared" si="446"/>
        <v>0</v>
      </c>
      <c r="W7129">
        <f t="shared" si="447"/>
        <v>0</v>
      </c>
    </row>
    <row r="7130" spans="5:23" x14ac:dyDescent="0.25">
      <c r="E7130" s="4"/>
      <c r="F7130" s="4"/>
      <c r="G7130" s="33" t="str">
        <f>IFERROR(VLOOKUP($D7130,'Informations sur les produits'!$A$3:$H$10000,8,FALSE),"0")</f>
        <v>0</v>
      </c>
      <c r="K7130" s="4"/>
      <c r="L7130" s="33" t="str">
        <f>IFERROR(VLOOKUP($J7130,'Informations sur les produits'!$A$3:$H$10000,8,FALSE),"0")</f>
        <v>0</v>
      </c>
      <c r="N7130" s="8"/>
      <c r="O7130" s="33" t="str">
        <f>IFERROR(VLOOKUP($M7130,'Informations sur les produits'!$A$3:$H$10000,8,FALSE),"0")</f>
        <v>0</v>
      </c>
      <c r="P7130" s="33">
        <f t="shared" si="444"/>
        <v>0</v>
      </c>
      <c r="Q7130" s="31" t="str">
        <f t="shared" si="445"/>
        <v/>
      </c>
      <c r="R7130" s="32" t="str">
        <f>IFERROR(VLOOKUP($D7130,'Informations sur les produits'!$A$3:$B$15000,2,FALSE),"")</f>
        <v/>
      </c>
      <c r="V7130">
        <f t="shared" si="446"/>
        <v>0</v>
      </c>
      <c r="W7130">
        <f t="shared" si="447"/>
        <v>0</v>
      </c>
    </row>
    <row r="7131" spans="5:23" x14ac:dyDescent="0.25">
      <c r="E7131" s="4"/>
      <c r="F7131" s="4"/>
      <c r="G7131" s="33" t="str">
        <f>IFERROR(VLOOKUP($D7131,'Informations sur les produits'!$A$3:$H$10000,8,FALSE),"0")</f>
        <v>0</v>
      </c>
      <c r="K7131" s="4"/>
      <c r="L7131" s="33" t="str">
        <f>IFERROR(VLOOKUP($J7131,'Informations sur les produits'!$A$3:$H$10000,8,FALSE),"0")</f>
        <v>0</v>
      </c>
      <c r="N7131" s="8"/>
      <c r="O7131" s="33" t="str">
        <f>IFERROR(VLOOKUP($M7131,'Informations sur les produits'!$A$3:$H$10000,8,FALSE),"0")</f>
        <v>0</v>
      </c>
      <c r="P7131" s="33">
        <f t="shared" si="444"/>
        <v>0</v>
      </c>
      <c r="Q7131" s="31" t="str">
        <f t="shared" si="445"/>
        <v/>
      </c>
      <c r="R7131" s="32" t="str">
        <f>IFERROR(VLOOKUP($D7131,'Informations sur les produits'!$A$3:$B$15000,2,FALSE),"")</f>
        <v/>
      </c>
      <c r="V7131">
        <f t="shared" si="446"/>
        <v>0</v>
      </c>
      <c r="W7131">
        <f t="shared" si="447"/>
        <v>0</v>
      </c>
    </row>
    <row r="7132" spans="5:23" x14ac:dyDescent="0.25">
      <c r="E7132" s="4"/>
      <c r="F7132" s="4"/>
      <c r="G7132" s="33" t="str">
        <f>IFERROR(VLOOKUP($D7132,'Informations sur les produits'!$A$3:$H$10000,8,FALSE),"0")</f>
        <v>0</v>
      </c>
      <c r="K7132" s="4"/>
      <c r="L7132" s="33" t="str">
        <f>IFERROR(VLOOKUP($J7132,'Informations sur les produits'!$A$3:$H$10000,8,FALSE),"0")</f>
        <v>0</v>
      </c>
      <c r="N7132" s="8"/>
      <c r="O7132" s="33" t="str">
        <f>IFERROR(VLOOKUP($M7132,'Informations sur les produits'!$A$3:$H$10000,8,FALSE),"0")</f>
        <v>0</v>
      </c>
      <c r="P7132" s="33">
        <f t="shared" si="444"/>
        <v>0</v>
      </c>
      <c r="Q7132" s="31" t="str">
        <f t="shared" si="445"/>
        <v/>
      </c>
      <c r="R7132" s="32" t="str">
        <f>IFERROR(VLOOKUP($D7132,'Informations sur les produits'!$A$3:$B$15000,2,FALSE),"")</f>
        <v/>
      </c>
      <c r="V7132">
        <f t="shared" si="446"/>
        <v>0</v>
      </c>
      <c r="W7132">
        <f t="shared" si="447"/>
        <v>0</v>
      </c>
    </row>
    <row r="7133" spans="5:23" x14ac:dyDescent="0.25">
      <c r="E7133" s="4"/>
      <c r="F7133" s="4"/>
      <c r="G7133" s="33" t="str">
        <f>IFERROR(VLOOKUP($D7133,'Informations sur les produits'!$A$3:$H$10000,8,FALSE),"0")</f>
        <v>0</v>
      </c>
      <c r="K7133" s="4"/>
      <c r="L7133" s="33" t="str">
        <f>IFERROR(VLOOKUP($J7133,'Informations sur les produits'!$A$3:$H$10000,8,FALSE),"0")</f>
        <v>0</v>
      </c>
      <c r="N7133" s="8"/>
      <c r="O7133" s="33" t="str">
        <f>IFERROR(VLOOKUP($M7133,'Informations sur les produits'!$A$3:$H$10000,8,FALSE),"0")</f>
        <v>0</v>
      </c>
      <c r="P7133" s="33">
        <f t="shared" si="444"/>
        <v>0</v>
      </c>
      <c r="Q7133" s="31" t="str">
        <f t="shared" si="445"/>
        <v/>
      </c>
      <c r="R7133" s="32" t="str">
        <f>IFERROR(VLOOKUP($D7133,'Informations sur les produits'!$A$3:$B$15000,2,FALSE),"")</f>
        <v/>
      </c>
      <c r="V7133">
        <f t="shared" si="446"/>
        <v>0</v>
      </c>
      <c r="W7133">
        <f t="shared" si="447"/>
        <v>0</v>
      </c>
    </row>
    <row r="7134" spans="5:23" x14ac:dyDescent="0.25">
      <c r="E7134" s="4"/>
      <c r="F7134" s="4"/>
      <c r="G7134" s="33" t="str">
        <f>IFERROR(VLOOKUP($D7134,'Informations sur les produits'!$A$3:$H$10000,8,FALSE),"0")</f>
        <v>0</v>
      </c>
      <c r="K7134" s="4"/>
      <c r="L7134" s="33" t="str">
        <f>IFERROR(VLOOKUP($J7134,'Informations sur les produits'!$A$3:$H$10000,8,FALSE),"0")</f>
        <v>0</v>
      </c>
      <c r="N7134" s="8"/>
      <c r="O7134" s="33" t="str">
        <f>IFERROR(VLOOKUP($M7134,'Informations sur les produits'!$A$3:$H$10000,8,FALSE),"0")</f>
        <v>0</v>
      </c>
      <c r="P7134" s="33">
        <f t="shared" si="444"/>
        <v>0</v>
      </c>
      <c r="Q7134" s="31" t="str">
        <f t="shared" si="445"/>
        <v/>
      </c>
      <c r="R7134" s="32" t="str">
        <f>IFERROR(VLOOKUP($D7134,'Informations sur les produits'!$A$3:$B$15000,2,FALSE),"")</f>
        <v/>
      </c>
      <c r="V7134">
        <f t="shared" si="446"/>
        <v>0</v>
      </c>
      <c r="W7134">
        <f t="shared" si="447"/>
        <v>0</v>
      </c>
    </row>
    <row r="7135" spans="5:23" x14ac:dyDescent="0.25">
      <c r="E7135" s="4"/>
      <c r="F7135" s="4"/>
      <c r="G7135" s="33" t="str">
        <f>IFERROR(VLOOKUP($D7135,'Informations sur les produits'!$A$3:$H$10000,8,FALSE),"0")</f>
        <v>0</v>
      </c>
      <c r="K7135" s="4"/>
      <c r="L7135" s="33" t="str">
        <f>IFERROR(VLOOKUP($J7135,'Informations sur les produits'!$A$3:$H$10000,8,FALSE),"0")</f>
        <v>0</v>
      </c>
      <c r="N7135" s="8"/>
      <c r="O7135" s="33" t="str">
        <f>IFERROR(VLOOKUP($M7135,'Informations sur les produits'!$A$3:$H$10000,8,FALSE),"0")</f>
        <v>0</v>
      </c>
      <c r="P7135" s="33">
        <f t="shared" si="444"/>
        <v>0</v>
      </c>
      <c r="Q7135" s="31" t="str">
        <f t="shared" si="445"/>
        <v/>
      </c>
      <c r="R7135" s="32" t="str">
        <f>IFERROR(VLOOKUP($D7135,'Informations sur les produits'!$A$3:$B$15000,2,FALSE),"")</f>
        <v/>
      </c>
      <c r="V7135">
        <f t="shared" si="446"/>
        <v>0</v>
      </c>
      <c r="W7135">
        <f t="shared" si="447"/>
        <v>0</v>
      </c>
    </row>
    <row r="7136" spans="5:23" x14ac:dyDescent="0.25">
      <c r="E7136" s="4"/>
      <c r="F7136" s="4"/>
      <c r="G7136" s="33" t="str">
        <f>IFERROR(VLOOKUP($D7136,'Informations sur les produits'!$A$3:$H$10000,8,FALSE),"0")</f>
        <v>0</v>
      </c>
      <c r="K7136" s="4"/>
      <c r="L7136" s="33" t="str">
        <f>IFERROR(VLOOKUP($J7136,'Informations sur les produits'!$A$3:$H$10000,8,FALSE),"0")</f>
        <v>0</v>
      </c>
      <c r="N7136" s="8"/>
      <c r="O7136" s="33" t="str">
        <f>IFERROR(VLOOKUP($M7136,'Informations sur les produits'!$A$3:$H$10000,8,FALSE),"0")</f>
        <v>0</v>
      </c>
      <c r="P7136" s="33">
        <f t="shared" si="444"/>
        <v>0</v>
      </c>
      <c r="Q7136" s="31" t="str">
        <f t="shared" si="445"/>
        <v/>
      </c>
      <c r="R7136" s="32" t="str">
        <f>IFERROR(VLOOKUP($D7136,'Informations sur les produits'!$A$3:$B$15000,2,FALSE),"")</f>
        <v/>
      </c>
      <c r="V7136">
        <f t="shared" si="446"/>
        <v>0</v>
      </c>
      <c r="W7136">
        <f t="shared" si="447"/>
        <v>0</v>
      </c>
    </row>
    <row r="7137" spans="5:23" x14ac:dyDescent="0.25">
      <c r="E7137" s="4"/>
      <c r="F7137" s="4"/>
      <c r="G7137" s="33" t="str">
        <f>IFERROR(VLOOKUP($D7137,'Informations sur les produits'!$A$3:$H$10000,8,FALSE),"0")</f>
        <v>0</v>
      </c>
      <c r="K7137" s="4"/>
      <c r="L7137" s="33" t="str">
        <f>IFERROR(VLOOKUP($J7137,'Informations sur les produits'!$A$3:$H$10000,8,FALSE),"0")</f>
        <v>0</v>
      </c>
      <c r="N7137" s="8"/>
      <c r="O7137" s="33" t="str">
        <f>IFERROR(VLOOKUP($M7137,'Informations sur les produits'!$A$3:$H$10000,8,FALSE),"0")</f>
        <v>0</v>
      </c>
      <c r="P7137" s="33">
        <f t="shared" si="444"/>
        <v>0</v>
      </c>
      <c r="Q7137" s="31" t="str">
        <f t="shared" si="445"/>
        <v/>
      </c>
      <c r="R7137" s="32" t="str">
        <f>IFERROR(VLOOKUP($D7137,'Informations sur les produits'!$A$3:$B$15000,2,FALSE),"")</f>
        <v/>
      </c>
      <c r="V7137">
        <f t="shared" si="446"/>
        <v>0</v>
      </c>
      <c r="W7137">
        <f t="shared" si="447"/>
        <v>0</v>
      </c>
    </row>
    <row r="7138" spans="5:23" x14ac:dyDescent="0.25">
      <c r="E7138" s="4"/>
      <c r="F7138" s="4"/>
      <c r="G7138" s="33" t="str">
        <f>IFERROR(VLOOKUP($D7138,'Informations sur les produits'!$A$3:$H$10000,8,FALSE),"0")</f>
        <v>0</v>
      </c>
      <c r="K7138" s="4"/>
      <c r="L7138" s="33" t="str">
        <f>IFERROR(VLOOKUP($J7138,'Informations sur les produits'!$A$3:$H$10000,8,FALSE),"0")</f>
        <v>0</v>
      </c>
      <c r="N7138" s="8"/>
      <c r="O7138" s="33" t="str">
        <f>IFERROR(VLOOKUP($M7138,'Informations sur les produits'!$A$3:$H$10000,8,FALSE),"0")</f>
        <v>0</v>
      </c>
      <c r="P7138" s="33">
        <f t="shared" si="444"/>
        <v>0</v>
      </c>
      <c r="Q7138" s="31" t="str">
        <f t="shared" si="445"/>
        <v/>
      </c>
      <c r="R7138" s="32" t="str">
        <f>IFERROR(VLOOKUP($D7138,'Informations sur les produits'!$A$3:$B$15000,2,FALSE),"")</f>
        <v/>
      </c>
      <c r="V7138">
        <f t="shared" si="446"/>
        <v>0</v>
      </c>
      <c r="W7138">
        <f t="shared" si="447"/>
        <v>0</v>
      </c>
    </row>
    <row r="7139" spans="5:23" x14ac:dyDescent="0.25">
      <c r="E7139" s="4"/>
      <c r="F7139" s="4"/>
      <c r="G7139" s="33" t="str">
        <f>IFERROR(VLOOKUP($D7139,'Informations sur les produits'!$A$3:$H$10000,8,FALSE),"0")</f>
        <v>0</v>
      </c>
      <c r="K7139" s="4"/>
      <c r="L7139" s="33" t="str">
        <f>IFERROR(VLOOKUP($J7139,'Informations sur les produits'!$A$3:$H$10000,8,FALSE),"0")</f>
        <v>0</v>
      </c>
      <c r="N7139" s="8"/>
      <c r="O7139" s="33" t="str">
        <f>IFERROR(VLOOKUP($M7139,'Informations sur les produits'!$A$3:$H$10000,8,FALSE),"0")</f>
        <v>0</v>
      </c>
      <c r="P7139" s="33">
        <f t="shared" si="444"/>
        <v>0</v>
      </c>
      <c r="Q7139" s="31" t="str">
        <f t="shared" si="445"/>
        <v/>
      </c>
      <c r="R7139" s="32" t="str">
        <f>IFERROR(VLOOKUP($D7139,'Informations sur les produits'!$A$3:$B$15000,2,FALSE),"")</f>
        <v/>
      </c>
      <c r="V7139">
        <f t="shared" si="446"/>
        <v>0</v>
      </c>
      <c r="W7139">
        <f t="shared" si="447"/>
        <v>0</v>
      </c>
    </row>
    <row r="7140" spans="5:23" x14ac:dyDescent="0.25">
      <c r="E7140" s="4"/>
      <c r="F7140" s="4"/>
      <c r="G7140" s="33" t="str">
        <f>IFERROR(VLOOKUP($D7140,'Informations sur les produits'!$A$3:$H$10000,8,FALSE),"0")</f>
        <v>0</v>
      </c>
      <c r="K7140" s="4"/>
      <c r="L7140" s="33" t="str">
        <f>IFERROR(VLOOKUP($J7140,'Informations sur les produits'!$A$3:$H$10000,8,FALSE),"0")</f>
        <v>0</v>
      </c>
      <c r="N7140" s="8"/>
      <c r="O7140" s="33" t="str">
        <f>IFERROR(VLOOKUP($M7140,'Informations sur les produits'!$A$3:$H$10000,8,FALSE),"0")</f>
        <v>0</v>
      </c>
      <c r="P7140" s="33">
        <f t="shared" si="444"/>
        <v>0</v>
      </c>
      <c r="Q7140" s="31" t="str">
        <f t="shared" si="445"/>
        <v/>
      </c>
      <c r="R7140" s="32" t="str">
        <f>IFERROR(VLOOKUP($D7140,'Informations sur les produits'!$A$3:$B$15000,2,FALSE),"")</f>
        <v/>
      </c>
      <c r="V7140">
        <f t="shared" si="446"/>
        <v>0</v>
      </c>
      <c r="W7140">
        <f t="shared" si="447"/>
        <v>0</v>
      </c>
    </row>
    <row r="7141" spans="5:23" x14ac:dyDescent="0.25">
      <c r="E7141" s="4"/>
      <c r="F7141" s="4"/>
      <c r="G7141" s="33" t="str">
        <f>IFERROR(VLOOKUP($D7141,'Informations sur les produits'!$A$3:$H$10000,8,FALSE),"0")</f>
        <v>0</v>
      </c>
      <c r="K7141" s="4"/>
      <c r="L7141" s="33" t="str">
        <f>IFERROR(VLOOKUP($J7141,'Informations sur les produits'!$A$3:$H$10000,8,FALSE),"0")</f>
        <v>0</v>
      </c>
      <c r="N7141" s="8"/>
      <c r="O7141" s="33" t="str">
        <f>IFERROR(VLOOKUP($M7141,'Informations sur les produits'!$A$3:$H$10000,8,FALSE),"0")</f>
        <v>0</v>
      </c>
      <c r="P7141" s="33">
        <f t="shared" si="444"/>
        <v>0</v>
      </c>
      <c r="Q7141" s="31" t="str">
        <f t="shared" si="445"/>
        <v/>
      </c>
      <c r="R7141" s="32" t="str">
        <f>IFERROR(VLOOKUP($D7141,'Informations sur les produits'!$A$3:$B$15000,2,FALSE),"")</f>
        <v/>
      </c>
      <c r="V7141">
        <f t="shared" si="446"/>
        <v>0</v>
      </c>
      <c r="W7141">
        <f t="shared" si="447"/>
        <v>0</v>
      </c>
    </row>
    <row r="7142" spans="5:23" x14ac:dyDescent="0.25">
      <c r="E7142" s="4"/>
      <c r="F7142" s="4"/>
      <c r="G7142" s="33" t="str">
        <f>IFERROR(VLOOKUP($D7142,'Informations sur les produits'!$A$3:$H$10000,8,FALSE),"0")</f>
        <v>0</v>
      </c>
      <c r="K7142" s="4"/>
      <c r="L7142" s="33" t="str">
        <f>IFERROR(VLOOKUP($J7142,'Informations sur les produits'!$A$3:$H$10000,8,FALSE),"0")</f>
        <v>0</v>
      </c>
      <c r="N7142" s="8"/>
      <c r="O7142" s="33" t="str">
        <f>IFERROR(VLOOKUP($M7142,'Informations sur les produits'!$A$3:$H$10000,8,FALSE),"0")</f>
        <v>0</v>
      </c>
      <c r="P7142" s="33">
        <f t="shared" si="444"/>
        <v>0</v>
      </c>
      <c r="Q7142" s="31" t="str">
        <f t="shared" si="445"/>
        <v/>
      </c>
      <c r="R7142" s="32" t="str">
        <f>IFERROR(VLOOKUP($D7142,'Informations sur les produits'!$A$3:$B$15000,2,FALSE),"")</f>
        <v/>
      </c>
      <c r="V7142">
        <f t="shared" si="446"/>
        <v>0</v>
      </c>
      <c r="W7142">
        <f t="shared" si="447"/>
        <v>0</v>
      </c>
    </row>
    <row r="7143" spans="5:23" x14ac:dyDescent="0.25">
      <c r="E7143" s="4"/>
      <c r="F7143" s="4"/>
      <c r="G7143" s="33" t="str">
        <f>IFERROR(VLOOKUP($D7143,'Informations sur les produits'!$A$3:$H$10000,8,FALSE),"0")</f>
        <v>0</v>
      </c>
      <c r="K7143" s="4"/>
      <c r="L7143" s="33" t="str">
        <f>IFERROR(VLOOKUP($J7143,'Informations sur les produits'!$A$3:$H$10000,8,FALSE),"0")</f>
        <v>0</v>
      </c>
      <c r="N7143" s="8"/>
      <c r="O7143" s="33" t="str">
        <f>IFERROR(VLOOKUP($M7143,'Informations sur les produits'!$A$3:$H$10000,8,FALSE),"0")</f>
        <v>0</v>
      </c>
      <c r="P7143" s="33">
        <f t="shared" si="444"/>
        <v>0</v>
      </c>
      <c r="Q7143" s="31" t="str">
        <f t="shared" si="445"/>
        <v/>
      </c>
      <c r="R7143" s="32" t="str">
        <f>IFERROR(VLOOKUP($D7143,'Informations sur les produits'!$A$3:$B$15000,2,FALSE),"")</f>
        <v/>
      </c>
      <c r="V7143">
        <f t="shared" si="446"/>
        <v>0</v>
      </c>
      <c r="W7143">
        <f t="shared" si="447"/>
        <v>0</v>
      </c>
    </row>
    <row r="7144" spans="5:23" x14ac:dyDescent="0.25">
      <c r="E7144" s="4"/>
      <c r="F7144" s="4"/>
      <c r="G7144" s="33" t="str">
        <f>IFERROR(VLOOKUP($D7144,'Informations sur les produits'!$A$3:$H$10000,8,FALSE),"0")</f>
        <v>0</v>
      </c>
      <c r="K7144" s="4"/>
      <c r="L7144" s="33" t="str">
        <f>IFERROR(VLOOKUP($J7144,'Informations sur les produits'!$A$3:$H$10000,8,FALSE),"0")</f>
        <v>0</v>
      </c>
      <c r="N7144" s="8"/>
      <c r="O7144" s="33" t="str">
        <f>IFERROR(VLOOKUP($M7144,'Informations sur les produits'!$A$3:$H$10000,8,FALSE),"0")</f>
        <v>0</v>
      </c>
      <c r="P7144" s="33">
        <f t="shared" si="444"/>
        <v>0</v>
      </c>
      <c r="Q7144" s="31" t="str">
        <f t="shared" si="445"/>
        <v/>
      </c>
      <c r="R7144" s="32" t="str">
        <f>IFERROR(VLOOKUP($D7144,'Informations sur les produits'!$A$3:$B$15000,2,FALSE),"")</f>
        <v/>
      </c>
      <c r="V7144">
        <f t="shared" si="446"/>
        <v>0</v>
      </c>
      <c r="W7144">
        <f t="shared" si="447"/>
        <v>0</v>
      </c>
    </row>
    <row r="7145" spans="5:23" x14ac:dyDescent="0.25">
      <c r="E7145" s="4"/>
      <c r="F7145" s="4"/>
      <c r="G7145" s="33" t="str">
        <f>IFERROR(VLOOKUP($D7145,'Informations sur les produits'!$A$3:$H$10000,8,FALSE),"0")</f>
        <v>0</v>
      </c>
      <c r="K7145" s="4"/>
      <c r="L7145" s="33" t="str">
        <f>IFERROR(VLOOKUP($J7145,'Informations sur les produits'!$A$3:$H$10000,8,FALSE),"0")</f>
        <v>0</v>
      </c>
      <c r="N7145" s="8"/>
      <c r="O7145" s="33" t="str">
        <f>IFERROR(VLOOKUP($M7145,'Informations sur les produits'!$A$3:$H$10000,8,FALSE),"0")</f>
        <v>0</v>
      </c>
      <c r="P7145" s="33">
        <f t="shared" si="444"/>
        <v>0</v>
      </c>
      <c r="Q7145" s="31" t="str">
        <f t="shared" si="445"/>
        <v/>
      </c>
      <c r="R7145" s="32" t="str">
        <f>IFERROR(VLOOKUP($D7145,'Informations sur les produits'!$A$3:$B$15000,2,FALSE),"")</f>
        <v/>
      </c>
      <c r="V7145">
        <f t="shared" si="446"/>
        <v>0</v>
      </c>
      <c r="W7145">
        <f t="shared" si="447"/>
        <v>0</v>
      </c>
    </row>
    <row r="7146" spans="5:23" x14ac:dyDescent="0.25">
      <c r="E7146" s="4"/>
      <c r="F7146" s="4"/>
      <c r="G7146" s="33" t="str">
        <f>IFERROR(VLOOKUP($D7146,'Informations sur les produits'!$A$3:$H$10000,8,FALSE),"0")</f>
        <v>0</v>
      </c>
      <c r="K7146" s="4"/>
      <c r="L7146" s="33" t="str">
        <f>IFERROR(VLOOKUP($J7146,'Informations sur les produits'!$A$3:$H$10000,8,FALSE),"0")</f>
        <v>0</v>
      </c>
      <c r="N7146" s="8"/>
      <c r="O7146" s="33" t="str">
        <f>IFERROR(VLOOKUP($M7146,'Informations sur les produits'!$A$3:$H$10000,8,FALSE),"0")</f>
        <v>0</v>
      </c>
      <c r="P7146" s="33">
        <f t="shared" si="444"/>
        <v>0</v>
      </c>
      <c r="Q7146" s="31" t="str">
        <f t="shared" si="445"/>
        <v/>
      </c>
      <c r="R7146" s="32" t="str">
        <f>IFERROR(VLOOKUP($D7146,'Informations sur les produits'!$A$3:$B$15000,2,FALSE),"")</f>
        <v/>
      </c>
      <c r="V7146">
        <f t="shared" si="446"/>
        <v>0</v>
      </c>
      <c r="W7146">
        <f t="shared" si="447"/>
        <v>0</v>
      </c>
    </row>
    <row r="7147" spans="5:23" x14ac:dyDescent="0.25">
      <c r="E7147" s="4"/>
      <c r="F7147" s="4"/>
      <c r="G7147" s="33" t="str">
        <f>IFERROR(VLOOKUP($D7147,'Informations sur les produits'!$A$3:$H$10000,8,FALSE),"0")</f>
        <v>0</v>
      </c>
      <c r="K7147" s="4"/>
      <c r="L7147" s="33" t="str">
        <f>IFERROR(VLOOKUP($J7147,'Informations sur les produits'!$A$3:$H$10000,8,FALSE),"0")</f>
        <v>0</v>
      </c>
      <c r="N7147" s="8"/>
      <c r="O7147" s="33" t="str">
        <f>IFERROR(VLOOKUP($M7147,'Informations sur les produits'!$A$3:$H$10000,8,FALSE),"0")</f>
        <v>0</v>
      </c>
      <c r="P7147" s="33">
        <f t="shared" si="444"/>
        <v>0</v>
      </c>
      <c r="Q7147" s="31" t="str">
        <f t="shared" si="445"/>
        <v/>
      </c>
      <c r="R7147" s="32" t="str">
        <f>IFERROR(VLOOKUP($D7147,'Informations sur les produits'!$A$3:$B$15000,2,FALSE),"")</f>
        <v/>
      </c>
      <c r="V7147">
        <f t="shared" si="446"/>
        <v>0</v>
      </c>
      <c r="W7147">
        <f t="shared" si="447"/>
        <v>0</v>
      </c>
    </row>
    <row r="7148" spans="5:23" x14ac:dyDescent="0.25">
      <c r="E7148" s="4"/>
      <c r="F7148" s="4"/>
      <c r="G7148" s="33" t="str">
        <f>IFERROR(VLOOKUP($D7148,'Informations sur les produits'!$A$3:$H$10000,8,FALSE),"0")</f>
        <v>0</v>
      </c>
      <c r="K7148" s="4"/>
      <c r="L7148" s="33" t="str">
        <f>IFERROR(VLOOKUP($J7148,'Informations sur les produits'!$A$3:$H$10000,8,FALSE),"0")</f>
        <v>0</v>
      </c>
      <c r="N7148" s="8"/>
      <c r="O7148" s="33" t="str">
        <f>IFERROR(VLOOKUP($M7148,'Informations sur les produits'!$A$3:$H$10000,8,FALSE),"0")</f>
        <v>0</v>
      </c>
      <c r="P7148" s="33">
        <f t="shared" si="444"/>
        <v>0</v>
      </c>
      <c r="Q7148" s="31" t="str">
        <f t="shared" si="445"/>
        <v/>
      </c>
      <c r="R7148" s="32" t="str">
        <f>IFERROR(VLOOKUP($D7148,'Informations sur les produits'!$A$3:$B$15000,2,FALSE),"")</f>
        <v/>
      </c>
      <c r="V7148">
        <f t="shared" si="446"/>
        <v>0</v>
      </c>
      <c r="W7148">
        <f t="shared" si="447"/>
        <v>0</v>
      </c>
    </row>
    <row r="7149" spans="5:23" x14ac:dyDescent="0.25">
      <c r="E7149" s="4"/>
      <c r="F7149" s="4"/>
      <c r="G7149" s="33" t="str">
        <f>IFERROR(VLOOKUP($D7149,'Informations sur les produits'!$A$3:$H$10000,8,FALSE),"0")</f>
        <v>0</v>
      </c>
      <c r="K7149" s="4"/>
      <c r="L7149" s="33" t="str">
        <f>IFERROR(VLOOKUP($J7149,'Informations sur les produits'!$A$3:$H$10000,8,FALSE),"0")</f>
        <v>0</v>
      </c>
      <c r="N7149" s="8"/>
      <c r="O7149" s="33" t="str">
        <f>IFERROR(VLOOKUP($M7149,'Informations sur les produits'!$A$3:$H$10000,8,FALSE),"0")</f>
        <v>0</v>
      </c>
      <c r="P7149" s="33">
        <f t="shared" si="444"/>
        <v>0</v>
      </c>
      <c r="Q7149" s="31" t="str">
        <f t="shared" si="445"/>
        <v/>
      </c>
      <c r="R7149" s="32" t="str">
        <f>IFERROR(VLOOKUP($D7149,'Informations sur les produits'!$A$3:$B$15000,2,FALSE),"")</f>
        <v/>
      </c>
      <c r="V7149">
        <f t="shared" si="446"/>
        <v>0</v>
      </c>
      <c r="W7149">
        <f t="shared" si="447"/>
        <v>0</v>
      </c>
    </row>
    <row r="7150" spans="5:23" x14ac:dyDescent="0.25">
      <c r="E7150" s="4"/>
      <c r="F7150" s="4"/>
      <c r="G7150" s="33" t="str">
        <f>IFERROR(VLOOKUP($D7150,'Informations sur les produits'!$A$3:$H$10000,8,FALSE),"0")</f>
        <v>0</v>
      </c>
      <c r="K7150" s="4"/>
      <c r="L7150" s="33" t="str">
        <f>IFERROR(VLOOKUP($J7150,'Informations sur les produits'!$A$3:$H$10000,8,FALSE),"0")</f>
        <v>0</v>
      </c>
      <c r="N7150" s="8"/>
      <c r="O7150" s="33" t="str">
        <f>IFERROR(VLOOKUP($M7150,'Informations sur les produits'!$A$3:$H$10000,8,FALSE),"0")</f>
        <v>0</v>
      </c>
      <c r="P7150" s="33">
        <f t="shared" si="444"/>
        <v>0</v>
      </c>
      <c r="Q7150" s="31" t="str">
        <f t="shared" si="445"/>
        <v/>
      </c>
      <c r="R7150" s="32" t="str">
        <f>IFERROR(VLOOKUP($D7150,'Informations sur les produits'!$A$3:$B$15000,2,FALSE),"")</f>
        <v/>
      </c>
      <c r="V7150">
        <f t="shared" si="446"/>
        <v>0</v>
      </c>
      <c r="W7150">
        <f t="shared" si="447"/>
        <v>0</v>
      </c>
    </row>
    <row r="7151" spans="5:23" x14ac:dyDescent="0.25">
      <c r="E7151" s="4"/>
      <c r="F7151" s="4"/>
      <c r="G7151" s="33" t="str">
        <f>IFERROR(VLOOKUP($D7151,'Informations sur les produits'!$A$3:$H$10000,8,FALSE),"0")</f>
        <v>0</v>
      </c>
      <c r="K7151" s="4"/>
      <c r="L7151" s="33" t="str">
        <f>IFERROR(VLOOKUP($J7151,'Informations sur les produits'!$A$3:$H$10000,8,FALSE),"0")</f>
        <v>0</v>
      </c>
      <c r="N7151" s="8"/>
      <c r="O7151" s="33" t="str">
        <f>IFERROR(VLOOKUP($M7151,'Informations sur les produits'!$A$3:$H$10000,8,FALSE),"0")</f>
        <v>0</v>
      </c>
      <c r="P7151" s="33">
        <f t="shared" si="444"/>
        <v>0</v>
      </c>
      <c r="Q7151" s="31" t="str">
        <f t="shared" si="445"/>
        <v/>
      </c>
      <c r="R7151" s="32" t="str">
        <f>IFERROR(VLOOKUP($D7151,'Informations sur les produits'!$A$3:$B$15000,2,FALSE),"")</f>
        <v/>
      </c>
      <c r="V7151">
        <f t="shared" si="446"/>
        <v>0</v>
      </c>
      <c r="W7151">
        <f t="shared" si="447"/>
        <v>0</v>
      </c>
    </row>
    <row r="7152" spans="5:23" x14ac:dyDescent="0.25">
      <c r="E7152" s="4"/>
      <c r="F7152" s="4"/>
      <c r="G7152" s="33" t="str">
        <f>IFERROR(VLOOKUP($D7152,'Informations sur les produits'!$A$3:$H$10000,8,FALSE),"0")</f>
        <v>0</v>
      </c>
      <c r="K7152" s="4"/>
      <c r="L7152" s="33" t="str">
        <f>IFERROR(VLOOKUP($J7152,'Informations sur les produits'!$A$3:$H$10000,8,FALSE),"0")</f>
        <v>0</v>
      </c>
      <c r="N7152" s="8"/>
      <c r="O7152" s="33" t="str">
        <f>IFERROR(VLOOKUP($M7152,'Informations sur les produits'!$A$3:$H$10000,8,FALSE),"0")</f>
        <v>0</v>
      </c>
      <c r="P7152" s="33">
        <f t="shared" si="444"/>
        <v>0</v>
      </c>
      <c r="Q7152" s="31" t="str">
        <f t="shared" si="445"/>
        <v/>
      </c>
      <c r="R7152" s="32" t="str">
        <f>IFERROR(VLOOKUP($D7152,'Informations sur les produits'!$A$3:$B$15000,2,FALSE),"")</f>
        <v/>
      </c>
      <c r="V7152">
        <f t="shared" si="446"/>
        <v>0</v>
      </c>
      <c r="W7152">
        <f t="shared" si="447"/>
        <v>0</v>
      </c>
    </row>
    <row r="7153" spans="5:23" x14ac:dyDescent="0.25">
      <c r="E7153" s="4"/>
      <c r="F7153" s="4"/>
      <c r="G7153" s="33" t="str">
        <f>IFERROR(VLOOKUP($D7153,'Informations sur les produits'!$A$3:$H$10000,8,FALSE),"0")</f>
        <v>0</v>
      </c>
      <c r="K7153" s="4"/>
      <c r="L7153" s="33" t="str">
        <f>IFERROR(VLOOKUP($J7153,'Informations sur les produits'!$A$3:$H$10000,8,FALSE),"0")</f>
        <v>0</v>
      </c>
      <c r="N7153" s="8"/>
      <c r="O7153" s="33" t="str">
        <f>IFERROR(VLOOKUP($M7153,'Informations sur les produits'!$A$3:$H$10000,8,FALSE),"0")</f>
        <v>0</v>
      </c>
      <c r="P7153" s="33">
        <f t="shared" si="444"/>
        <v>0</v>
      </c>
      <c r="Q7153" s="31" t="str">
        <f t="shared" si="445"/>
        <v/>
      </c>
      <c r="R7153" s="32" t="str">
        <f>IFERROR(VLOOKUP($D7153,'Informations sur les produits'!$A$3:$B$15000,2,FALSE),"")</f>
        <v/>
      </c>
      <c r="V7153">
        <f t="shared" si="446"/>
        <v>0</v>
      </c>
      <c r="W7153">
        <f t="shared" si="447"/>
        <v>0</v>
      </c>
    </row>
    <row r="7154" spans="5:23" x14ac:dyDescent="0.25">
      <c r="E7154" s="4"/>
      <c r="F7154" s="4"/>
      <c r="G7154" s="33" t="str">
        <f>IFERROR(VLOOKUP($D7154,'Informations sur les produits'!$A$3:$H$10000,8,FALSE),"0")</f>
        <v>0</v>
      </c>
      <c r="K7154" s="4"/>
      <c r="L7154" s="33" t="str">
        <f>IFERROR(VLOOKUP($J7154,'Informations sur les produits'!$A$3:$H$10000,8,FALSE),"0")</f>
        <v>0</v>
      </c>
      <c r="N7154" s="8"/>
      <c r="O7154" s="33" t="str">
        <f>IFERROR(VLOOKUP($M7154,'Informations sur les produits'!$A$3:$H$10000,8,FALSE),"0")</f>
        <v>0</v>
      </c>
      <c r="P7154" s="33">
        <f t="shared" si="444"/>
        <v>0</v>
      </c>
      <c r="Q7154" s="31" t="str">
        <f t="shared" si="445"/>
        <v/>
      </c>
      <c r="R7154" s="32" t="str">
        <f>IFERROR(VLOOKUP($D7154,'Informations sur les produits'!$A$3:$B$15000,2,FALSE),"")</f>
        <v/>
      </c>
      <c r="V7154">
        <f t="shared" si="446"/>
        <v>0</v>
      </c>
      <c r="W7154">
        <f t="shared" si="447"/>
        <v>0</v>
      </c>
    </row>
    <row r="7155" spans="5:23" x14ac:dyDescent="0.25">
      <c r="E7155" s="4"/>
      <c r="F7155" s="4"/>
      <c r="G7155" s="33" t="str">
        <f>IFERROR(VLOOKUP($D7155,'Informations sur les produits'!$A$3:$H$10000,8,FALSE),"0")</f>
        <v>0</v>
      </c>
      <c r="K7155" s="4"/>
      <c r="L7155" s="33" t="str">
        <f>IFERROR(VLOOKUP($J7155,'Informations sur les produits'!$A$3:$H$10000,8,FALSE),"0")</f>
        <v>0</v>
      </c>
      <c r="N7155" s="8"/>
      <c r="O7155" s="33" t="str">
        <f>IFERROR(VLOOKUP($M7155,'Informations sur les produits'!$A$3:$H$10000,8,FALSE),"0")</f>
        <v>0</v>
      </c>
      <c r="P7155" s="33">
        <f t="shared" si="444"/>
        <v>0</v>
      </c>
      <c r="Q7155" s="31" t="str">
        <f t="shared" si="445"/>
        <v/>
      </c>
      <c r="R7155" s="32" t="str">
        <f>IFERROR(VLOOKUP($D7155,'Informations sur les produits'!$A$3:$B$15000,2,FALSE),"")</f>
        <v/>
      </c>
      <c r="V7155">
        <f t="shared" si="446"/>
        <v>0</v>
      </c>
      <c r="W7155">
        <f t="shared" si="447"/>
        <v>0</v>
      </c>
    </row>
    <row r="7156" spans="5:23" x14ac:dyDescent="0.25">
      <c r="E7156" s="4"/>
      <c r="F7156" s="4"/>
      <c r="G7156" s="33" t="str">
        <f>IFERROR(VLOOKUP($D7156,'Informations sur les produits'!$A$3:$H$10000,8,FALSE),"0")</f>
        <v>0</v>
      </c>
      <c r="K7156" s="4"/>
      <c r="L7156" s="33" t="str">
        <f>IFERROR(VLOOKUP($J7156,'Informations sur les produits'!$A$3:$H$10000,8,FALSE),"0")</f>
        <v>0</v>
      </c>
      <c r="N7156" s="8"/>
      <c r="O7156" s="33" t="str">
        <f>IFERROR(VLOOKUP($M7156,'Informations sur les produits'!$A$3:$H$10000,8,FALSE),"0")</f>
        <v>0</v>
      </c>
      <c r="P7156" s="33">
        <f t="shared" si="444"/>
        <v>0</v>
      </c>
      <c r="Q7156" s="31" t="str">
        <f t="shared" si="445"/>
        <v/>
      </c>
      <c r="R7156" s="32" t="str">
        <f>IFERROR(VLOOKUP($D7156,'Informations sur les produits'!$A$3:$B$15000,2,FALSE),"")</f>
        <v/>
      </c>
      <c r="V7156">
        <f t="shared" si="446"/>
        <v>0</v>
      </c>
      <c r="W7156">
        <f t="shared" si="447"/>
        <v>0</v>
      </c>
    </row>
    <row r="7157" spans="5:23" x14ac:dyDescent="0.25">
      <c r="E7157" s="4"/>
      <c r="F7157" s="4"/>
      <c r="G7157" s="33" t="str">
        <f>IFERROR(VLOOKUP($D7157,'Informations sur les produits'!$A$3:$H$10000,8,FALSE),"0")</f>
        <v>0</v>
      </c>
      <c r="K7157" s="4"/>
      <c r="L7157" s="33" t="str">
        <f>IFERROR(VLOOKUP($J7157,'Informations sur les produits'!$A$3:$H$10000,8,FALSE),"0")</f>
        <v>0</v>
      </c>
      <c r="N7157" s="8"/>
      <c r="O7157" s="33" t="str">
        <f>IFERROR(VLOOKUP($M7157,'Informations sur les produits'!$A$3:$H$10000,8,FALSE),"0")</f>
        <v>0</v>
      </c>
      <c r="P7157" s="33">
        <f t="shared" si="444"/>
        <v>0</v>
      </c>
      <c r="Q7157" s="31" t="str">
        <f t="shared" si="445"/>
        <v/>
      </c>
      <c r="R7157" s="32" t="str">
        <f>IFERROR(VLOOKUP($D7157,'Informations sur les produits'!$A$3:$B$15000,2,FALSE),"")</f>
        <v/>
      </c>
      <c r="V7157">
        <f t="shared" si="446"/>
        <v>0</v>
      </c>
      <c r="W7157">
        <f t="shared" si="447"/>
        <v>0</v>
      </c>
    </row>
    <row r="7158" spans="5:23" x14ac:dyDescent="0.25">
      <c r="E7158" s="4"/>
      <c r="F7158" s="4"/>
      <c r="G7158" s="33" t="str">
        <f>IFERROR(VLOOKUP($D7158,'Informations sur les produits'!$A$3:$H$10000,8,FALSE),"0")</f>
        <v>0</v>
      </c>
      <c r="K7158" s="4"/>
      <c r="L7158" s="33" t="str">
        <f>IFERROR(VLOOKUP($J7158,'Informations sur les produits'!$A$3:$H$10000,8,FALSE),"0")</f>
        <v>0</v>
      </c>
      <c r="N7158" s="8"/>
      <c r="O7158" s="33" t="str">
        <f>IFERROR(VLOOKUP($M7158,'Informations sur les produits'!$A$3:$H$10000,8,FALSE),"0")</f>
        <v>0</v>
      </c>
      <c r="P7158" s="33">
        <f t="shared" si="444"/>
        <v>0</v>
      </c>
      <c r="Q7158" s="31" t="str">
        <f t="shared" si="445"/>
        <v/>
      </c>
      <c r="R7158" s="32" t="str">
        <f>IFERROR(VLOOKUP($D7158,'Informations sur les produits'!$A$3:$B$15000,2,FALSE),"")</f>
        <v/>
      </c>
      <c r="V7158">
        <f t="shared" si="446"/>
        <v>0</v>
      </c>
      <c r="W7158">
        <f t="shared" si="447"/>
        <v>0</v>
      </c>
    </row>
    <row r="7159" spans="5:23" x14ac:dyDescent="0.25">
      <c r="E7159" s="4"/>
      <c r="F7159" s="4"/>
      <c r="G7159" s="33" t="str">
        <f>IFERROR(VLOOKUP($D7159,'Informations sur les produits'!$A$3:$H$10000,8,FALSE),"0")</f>
        <v>0</v>
      </c>
      <c r="K7159" s="4"/>
      <c r="L7159" s="33" t="str">
        <f>IFERROR(VLOOKUP($J7159,'Informations sur les produits'!$A$3:$H$10000,8,FALSE),"0")</f>
        <v>0</v>
      </c>
      <c r="N7159" s="8"/>
      <c r="O7159" s="33" t="str">
        <f>IFERROR(VLOOKUP($M7159,'Informations sur les produits'!$A$3:$H$10000,8,FALSE),"0")</f>
        <v>0</v>
      </c>
      <c r="P7159" s="33">
        <f t="shared" si="444"/>
        <v>0</v>
      </c>
      <c r="Q7159" s="31" t="str">
        <f t="shared" si="445"/>
        <v/>
      </c>
      <c r="R7159" s="32" t="str">
        <f>IFERROR(VLOOKUP($D7159,'Informations sur les produits'!$A$3:$B$15000,2,FALSE),"")</f>
        <v/>
      </c>
      <c r="V7159">
        <f t="shared" si="446"/>
        <v>0</v>
      </c>
      <c r="W7159">
        <f t="shared" si="447"/>
        <v>0</v>
      </c>
    </row>
    <row r="7160" spans="5:23" x14ac:dyDescent="0.25">
      <c r="E7160" s="4"/>
      <c r="F7160" s="4"/>
      <c r="G7160" s="33" t="str">
        <f>IFERROR(VLOOKUP($D7160,'Informations sur les produits'!$A$3:$H$10000,8,FALSE),"0")</f>
        <v>0</v>
      </c>
      <c r="K7160" s="4"/>
      <c r="L7160" s="33" t="str">
        <f>IFERROR(VLOOKUP($J7160,'Informations sur les produits'!$A$3:$H$10000,8,FALSE),"0")</f>
        <v>0</v>
      </c>
      <c r="N7160" s="8"/>
      <c r="O7160" s="33" t="str">
        <f>IFERROR(VLOOKUP($M7160,'Informations sur les produits'!$A$3:$H$10000,8,FALSE),"0")</f>
        <v>0</v>
      </c>
      <c r="P7160" s="33">
        <f t="shared" si="444"/>
        <v>0</v>
      </c>
      <c r="Q7160" s="31" t="str">
        <f t="shared" si="445"/>
        <v/>
      </c>
      <c r="R7160" s="32" t="str">
        <f>IFERROR(VLOOKUP($D7160,'Informations sur les produits'!$A$3:$B$15000,2,FALSE),"")</f>
        <v/>
      </c>
      <c r="V7160">
        <f t="shared" si="446"/>
        <v>0</v>
      </c>
      <c r="W7160">
        <f t="shared" si="447"/>
        <v>0</v>
      </c>
    </row>
    <row r="7161" spans="5:23" x14ac:dyDescent="0.25">
      <c r="E7161" s="4"/>
      <c r="F7161" s="4"/>
      <c r="G7161" s="33" t="str">
        <f>IFERROR(VLOOKUP($D7161,'Informations sur les produits'!$A$3:$H$10000,8,FALSE),"0")</f>
        <v>0</v>
      </c>
      <c r="K7161" s="4"/>
      <c r="L7161" s="33" t="str">
        <f>IFERROR(VLOOKUP($J7161,'Informations sur les produits'!$A$3:$H$10000,8,FALSE),"0")</f>
        <v>0</v>
      </c>
      <c r="N7161" s="8"/>
      <c r="O7161" s="33" t="str">
        <f>IFERROR(VLOOKUP($M7161,'Informations sur les produits'!$A$3:$H$10000,8,FALSE),"0")</f>
        <v>0</v>
      </c>
      <c r="P7161" s="33">
        <f t="shared" si="444"/>
        <v>0</v>
      </c>
      <c r="Q7161" s="31" t="str">
        <f t="shared" si="445"/>
        <v/>
      </c>
      <c r="R7161" s="32" t="str">
        <f>IFERROR(VLOOKUP($D7161,'Informations sur les produits'!$A$3:$B$15000,2,FALSE),"")</f>
        <v/>
      </c>
      <c r="V7161">
        <f t="shared" si="446"/>
        <v>0</v>
      </c>
      <c r="W7161">
        <f t="shared" si="447"/>
        <v>0</v>
      </c>
    </row>
    <row r="7162" spans="5:23" x14ac:dyDescent="0.25">
      <c r="E7162" s="4"/>
      <c r="F7162" s="4"/>
      <c r="G7162" s="33" t="str">
        <f>IFERROR(VLOOKUP($D7162,'Informations sur les produits'!$A$3:$H$10000,8,FALSE),"0")</f>
        <v>0</v>
      </c>
      <c r="K7162" s="4"/>
      <c r="L7162" s="33" t="str">
        <f>IFERROR(VLOOKUP($J7162,'Informations sur les produits'!$A$3:$H$10000,8,FALSE),"0")</f>
        <v>0</v>
      </c>
      <c r="N7162" s="8"/>
      <c r="O7162" s="33" t="str">
        <f>IFERROR(VLOOKUP($M7162,'Informations sur les produits'!$A$3:$H$10000,8,FALSE),"0")</f>
        <v>0</v>
      </c>
      <c r="P7162" s="33">
        <f t="shared" si="444"/>
        <v>0</v>
      </c>
      <c r="Q7162" s="31" t="str">
        <f t="shared" si="445"/>
        <v/>
      </c>
      <c r="R7162" s="32" t="str">
        <f>IFERROR(VLOOKUP($D7162,'Informations sur les produits'!$A$3:$B$15000,2,FALSE),"")</f>
        <v/>
      </c>
      <c r="V7162">
        <f t="shared" si="446"/>
        <v>0</v>
      </c>
      <c r="W7162">
        <f t="shared" si="447"/>
        <v>0</v>
      </c>
    </row>
    <row r="7163" spans="5:23" x14ac:dyDescent="0.25">
      <c r="E7163" s="4"/>
      <c r="F7163" s="4"/>
      <c r="G7163" s="33" t="str">
        <f>IFERROR(VLOOKUP($D7163,'Informations sur les produits'!$A$3:$H$10000,8,FALSE),"0")</f>
        <v>0</v>
      </c>
      <c r="K7163" s="4"/>
      <c r="L7163" s="33" t="str">
        <f>IFERROR(VLOOKUP($J7163,'Informations sur les produits'!$A$3:$H$10000,8,FALSE),"0")</f>
        <v>0</v>
      </c>
      <c r="N7163" s="8"/>
      <c r="O7163" s="33" t="str">
        <f>IFERROR(VLOOKUP($M7163,'Informations sur les produits'!$A$3:$H$10000,8,FALSE),"0")</f>
        <v>0</v>
      </c>
      <c r="P7163" s="33">
        <f t="shared" si="444"/>
        <v>0</v>
      </c>
      <c r="Q7163" s="31" t="str">
        <f t="shared" si="445"/>
        <v/>
      </c>
      <c r="R7163" s="32" t="str">
        <f>IFERROR(VLOOKUP($D7163,'Informations sur les produits'!$A$3:$B$15000,2,FALSE),"")</f>
        <v/>
      </c>
      <c r="V7163">
        <f t="shared" si="446"/>
        <v>0</v>
      </c>
      <c r="W7163">
        <f t="shared" si="447"/>
        <v>0</v>
      </c>
    </row>
    <row r="7164" spans="5:23" x14ac:dyDescent="0.25">
      <c r="E7164" s="4"/>
      <c r="F7164" s="4"/>
      <c r="G7164" s="33" t="str">
        <f>IFERROR(VLOOKUP($D7164,'Informations sur les produits'!$A$3:$H$10000,8,FALSE),"0")</f>
        <v>0</v>
      </c>
      <c r="K7164" s="4"/>
      <c r="L7164" s="33" t="str">
        <f>IFERROR(VLOOKUP($J7164,'Informations sur les produits'!$A$3:$H$10000,8,FALSE),"0")</f>
        <v>0</v>
      </c>
      <c r="N7164" s="8"/>
      <c r="O7164" s="33" t="str">
        <f>IFERROR(VLOOKUP($M7164,'Informations sur les produits'!$A$3:$H$10000,8,FALSE),"0")</f>
        <v>0</v>
      </c>
      <c r="P7164" s="33">
        <f t="shared" si="444"/>
        <v>0</v>
      </c>
      <c r="Q7164" s="31" t="str">
        <f t="shared" si="445"/>
        <v/>
      </c>
      <c r="R7164" s="32" t="str">
        <f>IFERROR(VLOOKUP($D7164,'Informations sur les produits'!$A$3:$B$15000,2,FALSE),"")</f>
        <v/>
      </c>
      <c r="V7164">
        <f t="shared" si="446"/>
        <v>0</v>
      </c>
      <c r="W7164">
        <f t="shared" si="447"/>
        <v>0</v>
      </c>
    </row>
    <row r="7165" spans="5:23" x14ac:dyDescent="0.25">
      <c r="E7165" s="4"/>
      <c r="F7165" s="4"/>
      <c r="G7165" s="33" t="str">
        <f>IFERROR(VLOOKUP($D7165,'Informations sur les produits'!$A$3:$H$10000,8,FALSE),"0")</f>
        <v>0</v>
      </c>
      <c r="K7165" s="4"/>
      <c r="L7165" s="33" t="str">
        <f>IFERROR(VLOOKUP($J7165,'Informations sur les produits'!$A$3:$H$10000,8,FALSE),"0")</f>
        <v>0</v>
      </c>
      <c r="N7165" s="8"/>
      <c r="O7165" s="33" t="str">
        <f>IFERROR(VLOOKUP($M7165,'Informations sur les produits'!$A$3:$H$10000,8,FALSE),"0")</f>
        <v>0</v>
      </c>
      <c r="P7165" s="33">
        <f t="shared" si="444"/>
        <v>0</v>
      </c>
      <c r="Q7165" s="31" t="str">
        <f t="shared" si="445"/>
        <v/>
      </c>
      <c r="R7165" s="32" t="str">
        <f>IFERROR(VLOOKUP($D7165,'Informations sur les produits'!$A$3:$B$15000,2,FALSE),"")</f>
        <v/>
      </c>
      <c r="V7165">
        <f t="shared" si="446"/>
        <v>0</v>
      </c>
      <c r="W7165">
        <f t="shared" si="447"/>
        <v>0</v>
      </c>
    </row>
    <row r="7166" spans="5:23" x14ac:dyDescent="0.25">
      <c r="E7166" s="4"/>
      <c r="F7166" s="4"/>
      <c r="G7166" s="33" t="str">
        <f>IFERROR(VLOOKUP($D7166,'Informations sur les produits'!$A$3:$H$10000,8,FALSE),"0")</f>
        <v>0</v>
      </c>
      <c r="K7166" s="4"/>
      <c r="L7166" s="33" t="str">
        <f>IFERROR(VLOOKUP($J7166,'Informations sur les produits'!$A$3:$H$10000,8,FALSE),"0")</f>
        <v>0</v>
      </c>
      <c r="N7166" s="8"/>
      <c r="O7166" s="33" t="str">
        <f>IFERROR(VLOOKUP($M7166,'Informations sur les produits'!$A$3:$H$10000,8,FALSE),"0")</f>
        <v>0</v>
      </c>
      <c r="P7166" s="33">
        <f t="shared" si="444"/>
        <v>0</v>
      </c>
      <c r="Q7166" s="31" t="str">
        <f t="shared" si="445"/>
        <v/>
      </c>
      <c r="R7166" s="32" t="str">
        <f>IFERROR(VLOOKUP($D7166,'Informations sur les produits'!$A$3:$B$15000,2,FALSE),"")</f>
        <v/>
      </c>
      <c r="V7166">
        <f t="shared" si="446"/>
        <v>0</v>
      </c>
      <c r="W7166">
        <f t="shared" si="447"/>
        <v>0</v>
      </c>
    </row>
    <row r="7167" spans="5:23" x14ac:dyDescent="0.25">
      <c r="E7167" s="4"/>
      <c r="F7167" s="4"/>
      <c r="G7167" s="33" t="str">
        <f>IFERROR(VLOOKUP($D7167,'Informations sur les produits'!$A$3:$H$10000,8,FALSE),"0")</f>
        <v>0</v>
      </c>
      <c r="K7167" s="4"/>
      <c r="L7167" s="33" t="str">
        <f>IFERROR(VLOOKUP($J7167,'Informations sur les produits'!$A$3:$H$10000,8,FALSE),"0")</f>
        <v>0</v>
      </c>
      <c r="N7167" s="8"/>
      <c r="O7167" s="33" t="str">
        <f>IFERROR(VLOOKUP($M7167,'Informations sur les produits'!$A$3:$H$10000,8,FALSE),"0")</f>
        <v>0</v>
      </c>
      <c r="P7167" s="33">
        <f t="shared" si="444"/>
        <v>0</v>
      </c>
      <c r="Q7167" s="31" t="str">
        <f t="shared" si="445"/>
        <v/>
      </c>
      <c r="R7167" s="32" t="str">
        <f>IFERROR(VLOOKUP($D7167,'Informations sur les produits'!$A$3:$B$15000,2,FALSE),"")</f>
        <v/>
      </c>
      <c r="V7167">
        <f t="shared" si="446"/>
        <v>0</v>
      </c>
      <c r="W7167">
        <f t="shared" si="447"/>
        <v>0</v>
      </c>
    </row>
    <row r="7168" spans="5:23" x14ac:dyDescent="0.25">
      <c r="E7168" s="4"/>
      <c r="F7168" s="4"/>
      <c r="G7168" s="33" t="str">
        <f>IFERROR(VLOOKUP($D7168,'Informations sur les produits'!$A$3:$H$10000,8,FALSE),"0")</f>
        <v>0</v>
      </c>
      <c r="K7168" s="4"/>
      <c r="L7168" s="33" t="str">
        <f>IFERROR(VLOOKUP($J7168,'Informations sur les produits'!$A$3:$H$10000,8,FALSE),"0")</f>
        <v>0</v>
      </c>
      <c r="N7168" s="8"/>
      <c r="O7168" s="33" t="str">
        <f>IFERROR(VLOOKUP($M7168,'Informations sur les produits'!$A$3:$H$10000,8,FALSE),"0")</f>
        <v>0</v>
      </c>
      <c r="P7168" s="33">
        <f t="shared" si="444"/>
        <v>0</v>
      </c>
      <c r="Q7168" s="31" t="str">
        <f t="shared" si="445"/>
        <v/>
      </c>
      <c r="R7168" s="32" t="str">
        <f>IFERROR(VLOOKUP($D7168,'Informations sur les produits'!$A$3:$B$15000,2,FALSE),"")</f>
        <v/>
      </c>
      <c r="V7168">
        <f t="shared" si="446"/>
        <v>0</v>
      </c>
      <c r="W7168">
        <f t="shared" si="447"/>
        <v>0</v>
      </c>
    </row>
    <row r="7169" spans="5:23" x14ac:dyDescent="0.25">
      <c r="E7169" s="4"/>
      <c r="F7169" s="4"/>
      <c r="G7169" s="33" t="str">
        <f>IFERROR(VLOOKUP($D7169,'Informations sur les produits'!$A$3:$H$10000,8,FALSE),"0")</f>
        <v>0</v>
      </c>
      <c r="K7169" s="4"/>
      <c r="L7169" s="33" t="str">
        <f>IFERROR(VLOOKUP($J7169,'Informations sur les produits'!$A$3:$H$10000,8,FALSE),"0")</f>
        <v>0</v>
      </c>
      <c r="N7169" s="8"/>
      <c r="O7169" s="33" t="str">
        <f>IFERROR(VLOOKUP($M7169,'Informations sur les produits'!$A$3:$H$10000,8,FALSE),"0")</f>
        <v>0</v>
      </c>
      <c r="P7169" s="33">
        <f t="shared" si="444"/>
        <v>0</v>
      </c>
      <c r="Q7169" s="31" t="str">
        <f t="shared" si="445"/>
        <v/>
      </c>
      <c r="R7169" s="32" t="str">
        <f>IFERROR(VLOOKUP($D7169,'Informations sur les produits'!$A$3:$B$15000,2,FALSE),"")</f>
        <v/>
      </c>
      <c r="V7169">
        <f t="shared" si="446"/>
        <v>0</v>
      </c>
      <c r="W7169">
        <f t="shared" si="447"/>
        <v>0</v>
      </c>
    </row>
    <row r="7170" spans="5:23" x14ac:dyDescent="0.25">
      <c r="E7170" s="4"/>
      <c r="F7170" s="4"/>
      <c r="G7170" s="33" t="str">
        <f>IFERROR(VLOOKUP($D7170,'Informations sur les produits'!$A$3:$H$10000,8,FALSE),"0")</f>
        <v>0</v>
      </c>
      <c r="K7170" s="4"/>
      <c r="L7170" s="33" t="str">
        <f>IFERROR(VLOOKUP($J7170,'Informations sur les produits'!$A$3:$H$10000,8,FALSE),"0")</f>
        <v>0</v>
      </c>
      <c r="N7170" s="8"/>
      <c r="O7170" s="33" t="str">
        <f>IFERROR(VLOOKUP($M7170,'Informations sur les produits'!$A$3:$H$10000,8,FALSE),"0")</f>
        <v>0</v>
      </c>
      <c r="P7170" s="33">
        <f t="shared" si="444"/>
        <v>0</v>
      </c>
      <c r="Q7170" s="31" t="str">
        <f t="shared" si="445"/>
        <v/>
      </c>
      <c r="R7170" s="32" t="str">
        <f>IFERROR(VLOOKUP($D7170,'Informations sur les produits'!$A$3:$B$15000,2,FALSE),"")</f>
        <v/>
      </c>
      <c r="V7170">
        <f t="shared" si="446"/>
        <v>0</v>
      </c>
      <c r="W7170">
        <f t="shared" si="447"/>
        <v>0</v>
      </c>
    </row>
    <row r="7171" spans="5:23" x14ac:dyDescent="0.25">
      <c r="E7171" s="4"/>
      <c r="F7171" s="4"/>
      <c r="G7171" s="33" t="str">
        <f>IFERROR(VLOOKUP($D7171,'Informations sur les produits'!$A$3:$H$10000,8,FALSE),"0")</f>
        <v>0</v>
      </c>
      <c r="K7171" s="4"/>
      <c r="L7171" s="33" t="str">
        <f>IFERROR(VLOOKUP($J7171,'Informations sur les produits'!$A$3:$H$10000,8,FALSE),"0")</f>
        <v>0</v>
      </c>
      <c r="N7171" s="8"/>
      <c r="O7171" s="33" t="str">
        <f>IFERROR(VLOOKUP($M7171,'Informations sur les produits'!$A$3:$H$10000,8,FALSE),"0")</f>
        <v>0</v>
      </c>
      <c r="P7171" s="33">
        <f t="shared" si="444"/>
        <v>0</v>
      </c>
      <c r="Q7171" s="31" t="str">
        <f t="shared" si="445"/>
        <v/>
      </c>
      <c r="R7171" s="32" t="str">
        <f>IFERROR(VLOOKUP($D7171,'Informations sur les produits'!$A$3:$B$15000,2,FALSE),"")</f>
        <v/>
      </c>
      <c r="V7171">
        <f t="shared" si="446"/>
        <v>0</v>
      </c>
      <c r="W7171">
        <f t="shared" si="447"/>
        <v>0</v>
      </c>
    </row>
    <row r="7172" spans="5:23" x14ac:dyDescent="0.25">
      <c r="E7172" s="4"/>
      <c r="F7172" s="4"/>
      <c r="G7172" s="33" t="str">
        <f>IFERROR(VLOOKUP($D7172,'Informations sur les produits'!$A$3:$H$10000,8,FALSE),"0")</f>
        <v>0</v>
      </c>
      <c r="K7172" s="4"/>
      <c r="L7172" s="33" t="str">
        <f>IFERROR(VLOOKUP($J7172,'Informations sur les produits'!$A$3:$H$10000,8,FALSE),"0")</f>
        <v>0</v>
      </c>
      <c r="N7172" s="8"/>
      <c r="O7172" s="33" t="str">
        <f>IFERROR(VLOOKUP($M7172,'Informations sur les produits'!$A$3:$H$10000,8,FALSE),"0")</f>
        <v>0</v>
      </c>
      <c r="P7172" s="33">
        <f t="shared" ref="P7172:P7235" si="448">IFERROR((($E7172-$F7172)*$G7172+$K7172*$L7172+$N7172*$O7172),"")</f>
        <v>0</v>
      </c>
      <c r="Q7172" s="31" t="str">
        <f t="shared" ref="Q7172:Q7235" si="449">IFERROR((((($E7172-$F7172)*$G7172+$K7172*$L7172+$N7172*$O7172)*1000)/(($E7172-$F7172)+$K7172+$N7172)),"")</f>
        <v/>
      </c>
      <c r="R7172" s="32" t="str">
        <f>IFERROR(VLOOKUP($D7172,'Informations sur les produits'!$A$3:$B$15000,2,FALSE),"")</f>
        <v/>
      </c>
      <c r="V7172">
        <f t="shared" ref="V7172:V7235" si="450">IFERROR(P7172*1000,"")</f>
        <v>0</v>
      </c>
      <c r="W7172">
        <f t="shared" ref="W7172:W7235" si="451">IFERROR(($E7172-$F7172)+$K7172+$N7172,"")</f>
        <v>0</v>
      </c>
    </row>
    <row r="7173" spans="5:23" x14ac:dyDescent="0.25">
      <c r="E7173" s="4"/>
      <c r="F7173" s="4"/>
      <c r="G7173" s="33" t="str">
        <f>IFERROR(VLOOKUP($D7173,'Informations sur les produits'!$A$3:$H$10000,8,FALSE),"0")</f>
        <v>0</v>
      </c>
      <c r="K7173" s="4"/>
      <c r="L7173" s="33" t="str">
        <f>IFERROR(VLOOKUP($J7173,'Informations sur les produits'!$A$3:$H$10000,8,FALSE),"0")</f>
        <v>0</v>
      </c>
      <c r="N7173" s="8"/>
      <c r="O7173" s="33" t="str">
        <f>IFERROR(VLOOKUP($M7173,'Informations sur les produits'!$A$3:$H$10000,8,FALSE),"0")</f>
        <v>0</v>
      </c>
      <c r="P7173" s="33">
        <f t="shared" si="448"/>
        <v>0</v>
      </c>
      <c r="Q7173" s="31" t="str">
        <f t="shared" si="449"/>
        <v/>
      </c>
      <c r="R7173" s="32" t="str">
        <f>IFERROR(VLOOKUP($D7173,'Informations sur les produits'!$A$3:$B$15000,2,FALSE),"")</f>
        <v/>
      </c>
      <c r="V7173">
        <f t="shared" si="450"/>
        <v>0</v>
      </c>
      <c r="W7173">
        <f t="shared" si="451"/>
        <v>0</v>
      </c>
    </row>
    <row r="7174" spans="5:23" x14ac:dyDescent="0.25">
      <c r="E7174" s="4"/>
      <c r="F7174" s="4"/>
      <c r="G7174" s="33" t="str">
        <f>IFERROR(VLOOKUP($D7174,'Informations sur les produits'!$A$3:$H$10000,8,FALSE),"0")</f>
        <v>0</v>
      </c>
      <c r="K7174" s="4"/>
      <c r="L7174" s="33" t="str">
        <f>IFERROR(VLOOKUP($J7174,'Informations sur les produits'!$A$3:$H$10000,8,FALSE),"0")</f>
        <v>0</v>
      </c>
      <c r="N7174" s="8"/>
      <c r="O7174" s="33" t="str">
        <f>IFERROR(VLOOKUP($M7174,'Informations sur les produits'!$A$3:$H$10000,8,FALSE),"0")</f>
        <v>0</v>
      </c>
      <c r="P7174" s="33">
        <f t="shared" si="448"/>
        <v>0</v>
      </c>
      <c r="Q7174" s="31" t="str">
        <f t="shared" si="449"/>
        <v/>
      </c>
      <c r="R7174" s="32" t="str">
        <f>IFERROR(VLOOKUP($D7174,'Informations sur les produits'!$A$3:$B$15000,2,FALSE),"")</f>
        <v/>
      </c>
      <c r="V7174">
        <f t="shared" si="450"/>
        <v>0</v>
      </c>
      <c r="W7174">
        <f t="shared" si="451"/>
        <v>0</v>
      </c>
    </row>
    <row r="7175" spans="5:23" x14ac:dyDescent="0.25">
      <c r="E7175" s="4"/>
      <c r="F7175" s="4"/>
      <c r="G7175" s="33" t="str">
        <f>IFERROR(VLOOKUP($D7175,'Informations sur les produits'!$A$3:$H$10000,8,FALSE),"0")</f>
        <v>0</v>
      </c>
      <c r="K7175" s="4"/>
      <c r="L7175" s="33" t="str">
        <f>IFERROR(VLOOKUP($J7175,'Informations sur les produits'!$A$3:$H$10000,8,FALSE),"0")</f>
        <v>0</v>
      </c>
      <c r="N7175" s="8"/>
      <c r="O7175" s="33" t="str">
        <f>IFERROR(VLOOKUP($M7175,'Informations sur les produits'!$A$3:$H$10000,8,FALSE),"0")</f>
        <v>0</v>
      </c>
      <c r="P7175" s="33">
        <f t="shared" si="448"/>
        <v>0</v>
      </c>
      <c r="Q7175" s="31" t="str">
        <f t="shared" si="449"/>
        <v/>
      </c>
      <c r="R7175" s="32" t="str">
        <f>IFERROR(VLOOKUP($D7175,'Informations sur les produits'!$A$3:$B$15000,2,FALSE),"")</f>
        <v/>
      </c>
      <c r="V7175">
        <f t="shared" si="450"/>
        <v>0</v>
      </c>
      <c r="W7175">
        <f t="shared" si="451"/>
        <v>0</v>
      </c>
    </row>
    <row r="7176" spans="5:23" x14ac:dyDescent="0.25">
      <c r="E7176" s="4"/>
      <c r="F7176" s="4"/>
      <c r="G7176" s="33" t="str">
        <f>IFERROR(VLOOKUP($D7176,'Informations sur les produits'!$A$3:$H$10000,8,FALSE),"0")</f>
        <v>0</v>
      </c>
      <c r="K7176" s="4"/>
      <c r="L7176" s="33" t="str">
        <f>IFERROR(VLOOKUP($J7176,'Informations sur les produits'!$A$3:$H$10000,8,FALSE),"0")</f>
        <v>0</v>
      </c>
      <c r="N7176" s="8"/>
      <c r="O7176" s="33" t="str">
        <f>IFERROR(VLOOKUP($M7176,'Informations sur les produits'!$A$3:$H$10000,8,FALSE),"0")</f>
        <v>0</v>
      </c>
      <c r="P7176" s="33">
        <f t="shared" si="448"/>
        <v>0</v>
      </c>
      <c r="Q7176" s="31" t="str">
        <f t="shared" si="449"/>
        <v/>
      </c>
      <c r="R7176" s="32" t="str">
        <f>IFERROR(VLOOKUP($D7176,'Informations sur les produits'!$A$3:$B$15000,2,FALSE),"")</f>
        <v/>
      </c>
      <c r="V7176">
        <f t="shared" si="450"/>
        <v>0</v>
      </c>
      <c r="W7176">
        <f t="shared" si="451"/>
        <v>0</v>
      </c>
    </row>
    <row r="7177" spans="5:23" x14ac:dyDescent="0.25">
      <c r="E7177" s="4"/>
      <c r="F7177" s="4"/>
      <c r="G7177" s="33" t="str">
        <f>IFERROR(VLOOKUP($D7177,'Informations sur les produits'!$A$3:$H$10000,8,FALSE),"0")</f>
        <v>0</v>
      </c>
      <c r="K7177" s="4"/>
      <c r="L7177" s="33" t="str">
        <f>IFERROR(VLOOKUP($J7177,'Informations sur les produits'!$A$3:$H$10000,8,FALSE),"0")</f>
        <v>0</v>
      </c>
      <c r="N7177" s="8"/>
      <c r="O7177" s="33" t="str">
        <f>IFERROR(VLOOKUP($M7177,'Informations sur les produits'!$A$3:$H$10000,8,FALSE),"0")</f>
        <v>0</v>
      </c>
      <c r="P7177" s="33">
        <f t="shared" si="448"/>
        <v>0</v>
      </c>
      <c r="Q7177" s="31" t="str">
        <f t="shared" si="449"/>
        <v/>
      </c>
      <c r="R7177" s="32" t="str">
        <f>IFERROR(VLOOKUP($D7177,'Informations sur les produits'!$A$3:$B$15000,2,FALSE),"")</f>
        <v/>
      </c>
      <c r="V7177">
        <f t="shared" si="450"/>
        <v>0</v>
      </c>
      <c r="W7177">
        <f t="shared" si="451"/>
        <v>0</v>
      </c>
    </row>
    <row r="7178" spans="5:23" x14ac:dyDescent="0.25">
      <c r="E7178" s="4"/>
      <c r="F7178" s="4"/>
      <c r="G7178" s="33" t="str">
        <f>IFERROR(VLOOKUP($D7178,'Informations sur les produits'!$A$3:$H$10000,8,FALSE),"0")</f>
        <v>0</v>
      </c>
      <c r="K7178" s="4"/>
      <c r="L7178" s="33" t="str">
        <f>IFERROR(VLOOKUP($J7178,'Informations sur les produits'!$A$3:$H$10000,8,FALSE),"0")</f>
        <v>0</v>
      </c>
      <c r="N7178" s="8"/>
      <c r="O7178" s="33" t="str">
        <f>IFERROR(VLOOKUP($M7178,'Informations sur les produits'!$A$3:$H$10000,8,FALSE),"0")</f>
        <v>0</v>
      </c>
      <c r="P7178" s="33">
        <f t="shared" si="448"/>
        <v>0</v>
      </c>
      <c r="Q7178" s="31" t="str">
        <f t="shared" si="449"/>
        <v/>
      </c>
      <c r="R7178" s="32" t="str">
        <f>IFERROR(VLOOKUP($D7178,'Informations sur les produits'!$A$3:$B$15000,2,FALSE),"")</f>
        <v/>
      </c>
      <c r="V7178">
        <f t="shared" si="450"/>
        <v>0</v>
      </c>
      <c r="W7178">
        <f t="shared" si="451"/>
        <v>0</v>
      </c>
    </row>
    <row r="7179" spans="5:23" x14ac:dyDescent="0.25">
      <c r="E7179" s="4"/>
      <c r="F7179" s="4"/>
      <c r="G7179" s="33" t="str">
        <f>IFERROR(VLOOKUP($D7179,'Informations sur les produits'!$A$3:$H$10000,8,FALSE),"0")</f>
        <v>0</v>
      </c>
      <c r="K7179" s="4"/>
      <c r="L7179" s="33" t="str">
        <f>IFERROR(VLOOKUP($J7179,'Informations sur les produits'!$A$3:$H$10000,8,FALSE),"0")</f>
        <v>0</v>
      </c>
      <c r="N7179" s="8"/>
      <c r="O7179" s="33" t="str">
        <f>IFERROR(VLOOKUP($M7179,'Informations sur les produits'!$A$3:$H$10000,8,FALSE),"0")</f>
        <v>0</v>
      </c>
      <c r="P7179" s="33">
        <f t="shared" si="448"/>
        <v>0</v>
      </c>
      <c r="Q7179" s="31" t="str">
        <f t="shared" si="449"/>
        <v/>
      </c>
      <c r="R7179" s="32" t="str">
        <f>IFERROR(VLOOKUP($D7179,'Informations sur les produits'!$A$3:$B$15000,2,FALSE),"")</f>
        <v/>
      </c>
      <c r="V7179">
        <f t="shared" si="450"/>
        <v>0</v>
      </c>
      <c r="W7179">
        <f t="shared" si="451"/>
        <v>0</v>
      </c>
    </row>
    <row r="7180" spans="5:23" x14ac:dyDescent="0.25">
      <c r="E7180" s="4"/>
      <c r="F7180" s="4"/>
      <c r="G7180" s="33" t="str">
        <f>IFERROR(VLOOKUP($D7180,'Informations sur les produits'!$A$3:$H$10000,8,FALSE),"0")</f>
        <v>0</v>
      </c>
      <c r="K7180" s="4"/>
      <c r="L7180" s="33" t="str">
        <f>IFERROR(VLOOKUP($J7180,'Informations sur les produits'!$A$3:$H$10000,8,FALSE),"0")</f>
        <v>0</v>
      </c>
      <c r="N7180" s="8"/>
      <c r="O7180" s="33" t="str">
        <f>IFERROR(VLOOKUP($M7180,'Informations sur les produits'!$A$3:$H$10000,8,FALSE),"0")</f>
        <v>0</v>
      </c>
      <c r="P7180" s="33">
        <f t="shared" si="448"/>
        <v>0</v>
      </c>
      <c r="Q7180" s="31" t="str">
        <f t="shared" si="449"/>
        <v/>
      </c>
      <c r="R7180" s="32" t="str">
        <f>IFERROR(VLOOKUP($D7180,'Informations sur les produits'!$A$3:$B$15000,2,FALSE),"")</f>
        <v/>
      </c>
      <c r="V7180">
        <f t="shared" si="450"/>
        <v>0</v>
      </c>
      <c r="W7180">
        <f t="shared" si="451"/>
        <v>0</v>
      </c>
    </row>
    <row r="7181" spans="5:23" x14ac:dyDescent="0.25">
      <c r="E7181" s="4"/>
      <c r="F7181" s="4"/>
      <c r="G7181" s="33" t="str">
        <f>IFERROR(VLOOKUP($D7181,'Informations sur les produits'!$A$3:$H$10000,8,FALSE),"0")</f>
        <v>0</v>
      </c>
      <c r="K7181" s="4"/>
      <c r="L7181" s="33" t="str">
        <f>IFERROR(VLOOKUP($J7181,'Informations sur les produits'!$A$3:$H$10000,8,FALSE),"0")</f>
        <v>0</v>
      </c>
      <c r="N7181" s="8"/>
      <c r="O7181" s="33" t="str">
        <f>IFERROR(VLOOKUP($M7181,'Informations sur les produits'!$A$3:$H$10000,8,FALSE),"0")</f>
        <v>0</v>
      </c>
      <c r="P7181" s="33">
        <f t="shared" si="448"/>
        <v>0</v>
      </c>
      <c r="Q7181" s="31" t="str">
        <f t="shared" si="449"/>
        <v/>
      </c>
      <c r="R7181" s="32" t="str">
        <f>IFERROR(VLOOKUP($D7181,'Informations sur les produits'!$A$3:$B$15000,2,FALSE),"")</f>
        <v/>
      </c>
      <c r="V7181">
        <f t="shared" si="450"/>
        <v>0</v>
      </c>
      <c r="W7181">
        <f t="shared" si="451"/>
        <v>0</v>
      </c>
    </row>
    <row r="7182" spans="5:23" x14ac:dyDescent="0.25">
      <c r="E7182" s="4"/>
      <c r="F7182" s="4"/>
      <c r="G7182" s="33" t="str">
        <f>IFERROR(VLOOKUP($D7182,'Informations sur les produits'!$A$3:$H$10000,8,FALSE),"0")</f>
        <v>0</v>
      </c>
      <c r="K7182" s="4"/>
      <c r="L7182" s="33" t="str">
        <f>IFERROR(VLOOKUP($J7182,'Informations sur les produits'!$A$3:$H$10000,8,FALSE),"0")</f>
        <v>0</v>
      </c>
      <c r="N7182" s="8"/>
      <c r="O7182" s="33" t="str">
        <f>IFERROR(VLOOKUP($M7182,'Informations sur les produits'!$A$3:$H$10000,8,FALSE),"0")</f>
        <v>0</v>
      </c>
      <c r="P7182" s="33">
        <f t="shared" si="448"/>
        <v>0</v>
      </c>
      <c r="Q7182" s="31" t="str">
        <f t="shared" si="449"/>
        <v/>
      </c>
      <c r="R7182" s="32" t="str">
        <f>IFERROR(VLOOKUP($D7182,'Informations sur les produits'!$A$3:$B$15000,2,FALSE),"")</f>
        <v/>
      </c>
      <c r="V7182">
        <f t="shared" si="450"/>
        <v>0</v>
      </c>
      <c r="W7182">
        <f t="shared" si="451"/>
        <v>0</v>
      </c>
    </row>
    <row r="7183" spans="5:23" x14ac:dyDescent="0.25">
      <c r="E7183" s="4"/>
      <c r="F7183" s="4"/>
      <c r="G7183" s="33" t="str">
        <f>IFERROR(VLOOKUP($D7183,'Informations sur les produits'!$A$3:$H$10000,8,FALSE),"0")</f>
        <v>0</v>
      </c>
      <c r="K7183" s="4"/>
      <c r="L7183" s="33" t="str">
        <f>IFERROR(VLOOKUP($J7183,'Informations sur les produits'!$A$3:$H$10000,8,FALSE),"0")</f>
        <v>0</v>
      </c>
      <c r="N7183" s="8"/>
      <c r="O7183" s="33" t="str">
        <f>IFERROR(VLOOKUP($M7183,'Informations sur les produits'!$A$3:$H$10000,8,FALSE),"0")</f>
        <v>0</v>
      </c>
      <c r="P7183" s="33">
        <f t="shared" si="448"/>
        <v>0</v>
      </c>
      <c r="Q7183" s="31" t="str">
        <f t="shared" si="449"/>
        <v/>
      </c>
      <c r="R7183" s="32" t="str">
        <f>IFERROR(VLOOKUP($D7183,'Informations sur les produits'!$A$3:$B$15000,2,FALSE),"")</f>
        <v/>
      </c>
      <c r="V7183">
        <f t="shared" si="450"/>
        <v>0</v>
      </c>
      <c r="W7183">
        <f t="shared" si="451"/>
        <v>0</v>
      </c>
    </row>
    <row r="7184" spans="5:23" x14ac:dyDescent="0.25">
      <c r="E7184" s="4"/>
      <c r="F7184" s="4"/>
      <c r="G7184" s="33" t="str">
        <f>IFERROR(VLOOKUP($D7184,'Informations sur les produits'!$A$3:$H$10000,8,FALSE),"0")</f>
        <v>0</v>
      </c>
      <c r="K7184" s="4"/>
      <c r="L7184" s="33" t="str">
        <f>IFERROR(VLOOKUP($J7184,'Informations sur les produits'!$A$3:$H$10000,8,FALSE),"0")</f>
        <v>0</v>
      </c>
      <c r="N7184" s="8"/>
      <c r="O7184" s="33" t="str">
        <f>IFERROR(VLOOKUP($M7184,'Informations sur les produits'!$A$3:$H$10000,8,FALSE),"0")</f>
        <v>0</v>
      </c>
      <c r="P7184" s="33">
        <f t="shared" si="448"/>
        <v>0</v>
      </c>
      <c r="Q7184" s="31" t="str">
        <f t="shared" si="449"/>
        <v/>
      </c>
      <c r="R7184" s="32" t="str">
        <f>IFERROR(VLOOKUP($D7184,'Informations sur les produits'!$A$3:$B$15000,2,FALSE),"")</f>
        <v/>
      </c>
      <c r="V7184">
        <f t="shared" si="450"/>
        <v>0</v>
      </c>
      <c r="W7184">
        <f t="shared" si="451"/>
        <v>0</v>
      </c>
    </row>
    <row r="7185" spans="5:23" x14ac:dyDescent="0.25">
      <c r="E7185" s="4"/>
      <c r="F7185" s="4"/>
      <c r="G7185" s="33" t="str">
        <f>IFERROR(VLOOKUP($D7185,'Informations sur les produits'!$A$3:$H$10000,8,FALSE),"0")</f>
        <v>0</v>
      </c>
      <c r="K7185" s="4"/>
      <c r="L7185" s="33" t="str">
        <f>IFERROR(VLOOKUP($J7185,'Informations sur les produits'!$A$3:$H$10000,8,FALSE),"0")</f>
        <v>0</v>
      </c>
      <c r="N7185" s="8"/>
      <c r="O7185" s="33" t="str">
        <f>IFERROR(VLOOKUP($M7185,'Informations sur les produits'!$A$3:$H$10000,8,FALSE),"0")</f>
        <v>0</v>
      </c>
      <c r="P7185" s="33">
        <f t="shared" si="448"/>
        <v>0</v>
      </c>
      <c r="Q7185" s="31" t="str">
        <f t="shared" si="449"/>
        <v/>
      </c>
      <c r="R7185" s="32" t="str">
        <f>IFERROR(VLOOKUP($D7185,'Informations sur les produits'!$A$3:$B$15000,2,FALSE),"")</f>
        <v/>
      </c>
      <c r="V7185">
        <f t="shared" si="450"/>
        <v>0</v>
      </c>
      <c r="W7185">
        <f t="shared" si="451"/>
        <v>0</v>
      </c>
    </row>
    <row r="7186" spans="5:23" x14ac:dyDescent="0.25">
      <c r="E7186" s="4"/>
      <c r="F7186" s="4"/>
      <c r="G7186" s="33" t="str">
        <f>IFERROR(VLOOKUP($D7186,'Informations sur les produits'!$A$3:$H$10000,8,FALSE),"0")</f>
        <v>0</v>
      </c>
      <c r="K7186" s="4"/>
      <c r="L7186" s="33" t="str">
        <f>IFERROR(VLOOKUP($J7186,'Informations sur les produits'!$A$3:$H$10000,8,FALSE),"0")</f>
        <v>0</v>
      </c>
      <c r="N7186" s="8"/>
      <c r="O7186" s="33" t="str">
        <f>IFERROR(VLOOKUP($M7186,'Informations sur les produits'!$A$3:$H$10000,8,FALSE),"0")</f>
        <v>0</v>
      </c>
      <c r="P7186" s="33">
        <f t="shared" si="448"/>
        <v>0</v>
      </c>
      <c r="Q7186" s="31" t="str">
        <f t="shared" si="449"/>
        <v/>
      </c>
      <c r="R7186" s="32" t="str">
        <f>IFERROR(VLOOKUP($D7186,'Informations sur les produits'!$A$3:$B$15000,2,FALSE),"")</f>
        <v/>
      </c>
      <c r="V7186">
        <f t="shared" si="450"/>
        <v>0</v>
      </c>
      <c r="W7186">
        <f t="shared" si="451"/>
        <v>0</v>
      </c>
    </row>
    <row r="7187" spans="5:23" x14ac:dyDescent="0.25">
      <c r="E7187" s="4"/>
      <c r="F7187" s="4"/>
      <c r="G7187" s="33" t="str">
        <f>IFERROR(VLOOKUP($D7187,'Informations sur les produits'!$A$3:$H$10000,8,FALSE),"0")</f>
        <v>0</v>
      </c>
      <c r="K7187" s="4"/>
      <c r="L7187" s="33" t="str">
        <f>IFERROR(VLOOKUP($J7187,'Informations sur les produits'!$A$3:$H$10000,8,FALSE),"0")</f>
        <v>0</v>
      </c>
      <c r="N7187" s="8"/>
      <c r="O7187" s="33" t="str">
        <f>IFERROR(VLOOKUP($M7187,'Informations sur les produits'!$A$3:$H$10000,8,FALSE),"0")</f>
        <v>0</v>
      </c>
      <c r="P7187" s="33">
        <f t="shared" si="448"/>
        <v>0</v>
      </c>
      <c r="Q7187" s="31" t="str">
        <f t="shared" si="449"/>
        <v/>
      </c>
      <c r="R7187" s="32" t="str">
        <f>IFERROR(VLOOKUP($D7187,'Informations sur les produits'!$A$3:$B$15000,2,FALSE),"")</f>
        <v/>
      </c>
      <c r="V7187">
        <f t="shared" si="450"/>
        <v>0</v>
      </c>
      <c r="W7187">
        <f t="shared" si="451"/>
        <v>0</v>
      </c>
    </row>
    <row r="7188" spans="5:23" x14ac:dyDescent="0.25">
      <c r="E7188" s="4"/>
      <c r="F7188" s="4"/>
      <c r="G7188" s="33" t="str">
        <f>IFERROR(VLOOKUP($D7188,'Informations sur les produits'!$A$3:$H$10000,8,FALSE),"0")</f>
        <v>0</v>
      </c>
      <c r="K7188" s="4"/>
      <c r="L7188" s="33" t="str">
        <f>IFERROR(VLOOKUP($J7188,'Informations sur les produits'!$A$3:$H$10000,8,FALSE),"0")</f>
        <v>0</v>
      </c>
      <c r="N7188" s="8"/>
      <c r="O7188" s="33" t="str">
        <f>IFERROR(VLOOKUP($M7188,'Informations sur les produits'!$A$3:$H$10000,8,FALSE),"0")</f>
        <v>0</v>
      </c>
      <c r="P7188" s="33">
        <f t="shared" si="448"/>
        <v>0</v>
      </c>
      <c r="Q7188" s="31" t="str">
        <f t="shared" si="449"/>
        <v/>
      </c>
      <c r="R7188" s="32" t="str">
        <f>IFERROR(VLOOKUP($D7188,'Informations sur les produits'!$A$3:$B$15000,2,FALSE),"")</f>
        <v/>
      </c>
      <c r="V7188">
        <f t="shared" si="450"/>
        <v>0</v>
      </c>
      <c r="W7188">
        <f t="shared" si="451"/>
        <v>0</v>
      </c>
    </row>
    <row r="7189" spans="5:23" x14ac:dyDescent="0.25">
      <c r="E7189" s="4"/>
      <c r="F7189" s="4"/>
      <c r="G7189" s="33" t="str">
        <f>IFERROR(VLOOKUP($D7189,'Informations sur les produits'!$A$3:$H$10000,8,FALSE),"0")</f>
        <v>0</v>
      </c>
      <c r="K7189" s="4"/>
      <c r="L7189" s="33" t="str">
        <f>IFERROR(VLOOKUP($J7189,'Informations sur les produits'!$A$3:$H$10000,8,FALSE),"0")</f>
        <v>0</v>
      </c>
      <c r="N7189" s="8"/>
      <c r="O7189" s="33" t="str">
        <f>IFERROR(VLOOKUP($M7189,'Informations sur les produits'!$A$3:$H$10000,8,FALSE),"0")</f>
        <v>0</v>
      </c>
      <c r="P7189" s="33">
        <f t="shared" si="448"/>
        <v>0</v>
      </c>
      <c r="Q7189" s="31" t="str">
        <f t="shared" si="449"/>
        <v/>
      </c>
      <c r="R7189" s="32" t="str">
        <f>IFERROR(VLOOKUP($D7189,'Informations sur les produits'!$A$3:$B$15000,2,FALSE),"")</f>
        <v/>
      </c>
      <c r="V7189">
        <f t="shared" si="450"/>
        <v>0</v>
      </c>
      <c r="W7189">
        <f t="shared" si="451"/>
        <v>0</v>
      </c>
    </row>
    <row r="7190" spans="5:23" x14ac:dyDescent="0.25">
      <c r="E7190" s="4"/>
      <c r="F7190" s="4"/>
      <c r="G7190" s="33" t="str">
        <f>IFERROR(VLOOKUP($D7190,'Informations sur les produits'!$A$3:$H$10000,8,FALSE),"0")</f>
        <v>0</v>
      </c>
      <c r="K7190" s="4"/>
      <c r="L7190" s="33" t="str">
        <f>IFERROR(VLOOKUP($J7190,'Informations sur les produits'!$A$3:$H$10000,8,FALSE),"0")</f>
        <v>0</v>
      </c>
      <c r="N7190" s="8"/>
      <c r="O7190" s="33" t="str">
        <f>IFERROR(VLOOKUP($M7190,'Informations sur les produits'!$A$3:$H$10000,8,FALSE),"0")</f>
        <v>0</v>
      </c>
      <c r="P7190" s="33">
        <f t="shared" si="448"/>
        <v>0</v>
      </c>
      <c r="Q7190" s="31" t="str">
        <f t="shared" si="449"/>
        <v/>
      </c>
      <c r="R7190" s="32" t="str">
        <f>IFERROR(VLOOKUP($D7190,'Informations sur les produits'!$A$3:$B$15000,2,FALSE),"")</f>
        <v/>
      </c>
      <c r="V7190">
        <f t="shared" si="450"/>
        <v>0</v>
      </c>
      <c r="W7190">
        <f t="shared" si="451"/>
        <v>0</v>
      </c>
    </row>
    <row r="7191" spans="5:23" x14ac:dyDescent="0.25">
      <c r="E7191" s="4"/>
      <c r="F7191" s="4"/>
      <c r="G7191" s="33" t="str">
        <f>IFERROR(VLOOKUP($D7191,'Informations sur les produits'!$A$3:$H$10000,8,FALSE),"0")</f>
        <v>0</v>
      </c>
      <c r="K7191" s="4"/>
      <c r="L7191" s="33" t="str">
        <f>IFERROR(VLOOKUP($J7191,'Informations sur les produits'!$A$3:$H$10000,8,FALSE),"0")</f>
        <v>0</v>
      </c>
      <c r="N7191" s="8"/>
      <c r="O7191" s="33" t="str">
        <f>IFERROR(VLOOKUP($M7191,'Informations sur les produits'!$A$3:$H$10000,8,FALSE),"0")</f>
        <v>0</v>
      </c>
      <c r="P7191" s="33">
        <f t="shared" si="448"/>
        <v>0</v>
      </c>
      <c r="Q7191" s="31" t="str">
        <f t="shared" si="449"/>
        <v/>
      </c>
      <c r="R7191" s="32" t="str">
        <f>IFERROR(VLOOKUP($D7191,'Informations sur les produits'!$A$3:$B$15000,2,FALSE),"")</f>
        <v/>
      </c>
      <c r="V7191">
        <f t="shared" si="450"/>
        <v>0</v>
      </c>
      <c r="W7191">
        <f t="shared" si="451"/>
        <v>0</v>
      </c>
    </row>
    <row r="7192" spans="5:23" x14ac:dyDescent="0.25">
      <c r="E7192" s="4"/>
      <c r="F7192" s="4"/>
      <c r="G7192" s="33" t="str">
        <f>IFERROR(VLOOKUP($D7192,'Informations sur les produits'!$A$3:$H$10000,8,FALSE),"0")</f>
        <v>0</v>
      </c>
      <c r="K7192" s="4"/>
      <c r="L7192" s="33" t="str">
        <f>IFERROR(VLOOKUP($J7192,'Informations sur les produits'!$A$3:$H$10000,8,FALSE),"0")</f>
        <v>0</v>
      </c>
      <c r="N7192" s="8"/>
      <c r="O7192" s="33" t="str">
        <f>IFERROR(VLOOKUP($M7192,'Informations sur les produits'!$A$3:$H$10000,8,FALSE),"0")</f>
        <v>0</v>
      </c>
      <c r="P7192" s="33">
        <f t="shared" si="448"/>
        <v>0</v>
      </c>
      <c r="Q7192" s="31" t="str">
        <f t="shared" si="449"/>
        <v/>
      </c>
      <c r="R7192" s="32" t="str">
        <f>IFERROR(VLOOKUP($D7192,'Informations sur les produits'!$A$3:$B$15000,2,FALSE),"")</f>
        <v/>
      </c>
      <c r="V7192">
        <f t="shared" si="450"/>
        <v>0</v>
      </c>
      <c r="W7192">
        <f t="shared" si="451"/>
        <v>0</v>
      </c>
    </row>
    <row r="7193" spans="5:23" x14ac:dyDescent="0.25">
      <c r="E7193" s="4"/>
      <c r="F7193" s="4"/>
      <c r="G7193" s="33" t="str">
        <f>IFERROR(VLOOKUP($D7193,'Informations sur les produits'!$A$3:$H$10000,8,FALSE),"0")</f>
        <v>0</v>
      </c>
      <c r="K7193" s="4"/>
      <c r="L7193" s="33" t="str">
        <f>IFERROR(VLOOKUP($J7193,'Informations sur les produits'!$A$3:$H$10000,8,FALSE),"0")</f>
        <v>0</v>
      </c>
      <c r="N7193" s="8"/>
      <c r="O7193" s="33" t="str">
        <f>IFERROR(VLOOKUP($M7193,'Informations sur les produits'!$A$3:$H$10000,8,FALSE),"0")</f>
        <v>0</v>
      </c>
      <c r="P7193" s="33">
        <f t="shared" si="448"/>
        <v>0</v>
      </c>
      <c r="Q7193" s="31" t="str">
        <f t="shared" si="449"/>
        <v/>
      </c>
      <c r="R7193" s="32" t="str">
        <f>IFERROR(VLOOKUP($D7193,'Informations sur les produits'!$A$3:$B$15000,2,FALSE),"")</f>
        <v/>
      </c>
      <c r="V7193">
        <f t="shared" si="450"/>
        <v>0</v>
      </c>
      <c r="W7193">
        <f t="shared" si="451"/>
        <v>0</v>
      </c>
    </row>
    <row r="7194" spans="5:23" x14ac:dyDescent="0.25">
      <c r="E7194" s="4"/>
      <c r="F7194" s="4"/>
      <c r="G7194" s="33" t="str">
        <f>IFERROR(VLOOKUP($D7194,'Informations sur les produits'!$A$3:$H$10000,8,FALSE),"0")</f>
        <v>0</v>
      </c>
      <c r="K7194" s="4"/>
      <c r="L7194" s="33" t="str">
        <f>IFERROR(VLOOKUP($J7194,'Informations sur les produits'!$A$3:$H$10000,8,FALSE),"0")</f>
        <v>0</v>
      </c>
      <c r="N7194" s="8"/>
      <c r="O7194" s="33" t="str">
        <f>IFERROR(VLOOKUP($M7194,'Informations sur les produits'!$A$3:$H$10000,8,FALSE),"0")</f>
        <v>0</v>
      </c>
      <c r="P7194" s="33">
        <f t="shared" si="448"/>
        <v>0</v>
      </c>
      <c r="Q7194" s="31" t="str">
        <f t="shared" si="449"/>
        <v/>
      </c>
      <c r="R7194" s="32" t="str">
        <f>IFERROR(VLOOKUP($D7194,'Informations sur les produits'!$A$3:$B$15000,2,FALSE),"")</f>
        <v/>
      </c>
      <c r="V7194">
        <f t="shared" si="450"/>
        <v>0</v>
      </c>
      <c r="W7194">
        <f t="shared" si="451"/>
        <v>0</v>
      </c>
    </row>
    <row r="7195" spans="5:23" x14ac:dyDescent="0.25">
      <c r="E7195" s="4"/>
      <c r="F7195" s="4"/>
      <c r="G7195" s="33" t="str">
        <f>IFERROR(VLOOKUP($D7195,'Informations sur les produits'!$A$3:$H$10000,8,FALSE),"0")</f>
        <v>0</v>
      </c>
      <c r="K7195" s="4"/>
      <c r="L7195" s="33" t="str">
        <f>IFERROR(VLOOKUP($J7195,'Informations sur les produits'!$A$3:$H$10000,8,FALSE),"0")</f>
        <v>0</v>
      </c>
      <c r="N7195" s="8"/>
      <c r="O7195" s="33" t="str">
        <f>IFERROR(VLOOKUP($M7195,'Informations sur les produits'!$A$3:$H$10000,8,FALSE),"0")</f>
        <v>0</v>
      </c>
      <c r="P7195" s="33">
        <f t="shared" si="448"/>
        <v>0</v>
      </c>
      <c r="Q7195" s="31" t="str">
        <f t="shared" si="449"/>
        <v/>
      </c>
      <c r="R7195" s="32" t="str">
        <f>IFERROR(VLOOKUP($D7195,'Informations sur les produits'!$A$3:$B$15000,2,FALSE),"")</f>
        <v/>
      </c>
      <c r="V7195">
        <f t="shared" si="450"/>
        <v>0</v>
      </c>
      <c r="W7195">
        <f t="shared" si="451"/>
        <v>0</v>
      </c>
    </row>
    <row r="7196" spans="5:23" x14ac:dyDescent="0.25">
      <c r="E7196" s="4"/>
      <c r="F7196" s="4"/>
      <c r="G7196" s="33" t="str">
        <f>IFERROR(VLOOKUP($D7196,'Informations sur les produits'!$A$3:$H$10000,8,FALSE),"0")</f>
        <v>0</v>
      </c>
      <c r="K7196" s="4"/>
      <c r="L7196" s="33" t="str">
        <f>IFERROR(VLOOKUP($J7196,'Informations sur les produits'!$A$3:$H$10000,8,FALSE),"0")</f>
        <v>0</v>
      </c>
      <c r="N7196" s="8"/>
      <c r="O7196" s="33" t="str">
        <f>IFERROR(VLOOKUP($M7196,'Informations sur les produits'!$A$3:$H$10000,8,FALSE),"0")</f>
        <v>0</v>
      </c>
      <c r="P7196" s="33">
        <f t="shared" si="448"/>
        <v>0</v>
      </c>
      <c r="Q7196" s="31" t="str">
        <f t="shared" si="449"/>
        <v/>
      </c>
      <c r="R7196" s="32" t="str">
        <f>IFERROR(VLOOKUP($D7196,'Informations sur les produits'!$A$3:$B$15000,2,FALSE),"")</f>
        <v/>
      </c>
      <c r="V7196">
        <f t="shared" si="450"/>
        <v>0</v>
      </c>
      <c r="W7196">
        <f t="shared" si="451"/>
        <v>0</v>
      </c>
    </row>
    <row r="7197" spans="5:23" x14ac:dyDescent="0.25">
      <c r="E7197" s="4"/>
      <c r="F7197" s="4"/>
      <c r="G7197" s="33" t="str">
        <f>IFERROR(VLOOKUP($D7197,'Informations sur les produits'!$A$3:$H$10000,8,FALSE),"0")</f>
        <v>0</v>
      </c>
      <c r="K7197" s="4"/>
      <c r="L7197" s="33" t="str">
        <f>IFERROR(VLOOKUP($J7197,'Informations sur les produits'!$A$3:$H$10000,8,FALSE),"0")</f>
        <v>0</v>
      </c>
      <c r="N7197" s="8"/>
      <c r="O7197" s="33" t="str">
        <f>IFERROR(VLOOKUP($M7197,'Informations sur les produits'!$A$3:$H$10000,8,FALSE),"0")</f>
        <v>0</v>
      </c>
      <c r="P7197" s="33">
        <f t="shared" si="448"/>
        <v>0</v>
      </c>
      <c r="Q7197" s="31" t="str">
        <f t="shared" si="449"/>
        <v/>
      </c>
      <c r="R7197" s="32" t="str">
        <f>IFERROR(VLOOKUP($D7197,'Informations sur les produits'!$A$3:$B$15000,2,FALSE),"")</f>
        <v/>
      </c>
      <c r="V7197">
        <f t="shared" si="450"/>
        <v>0</v>
      </c>
      <c r="W7197">
        <f t="shared" si="451"/>
        <v>0</v>
      </c>
    </row>
    <row r="7198" spans="5:23" x14ac:dyDescent="0.25">
      <c r="E7198" s="4"/>
      <c r="F7198" s="4"/>
      <c r="G7198" s="33" t="str">
        <f>IFERROR(VLOOKUP($D7198,'Informations sur les produits'!$A$3:$H$10000,8,FALSE),"0")</f>
        <v>0</v>
      </c>
      <c r="K7198" s="4"/>
      <c r="L7198" s="33" t="str">
        <f>IFERROR(VLOOKUP($J7198,'Informations sur les produits'!$A$3:$H$10000,8,FALSE),"0")</f>
        <v>0</v>
      </c>
      <c r="N7198" s="8"/>
      <c r="O7198" s="33" t="str">
        <f>IFERROR(VLOOKUP($M7198,'Informations sur les produits'!$A$3:$H$10000,8,FALSE),"0")</f>
        <v>0</v>
      </c>
      <c r="P7198" s="33">
        <f t="shared" si="448"/>
        <v>0</v>
      </c>
      <c r="Q7198" s="31" t="str">
        <f t="shared" si="449"/>
        <v/>
      </c>
      <c r="R7198" s="32" t="str">
        <f>IFERROR(VLOOKUP($D7198,'Informations sur les produits'!$A$3:$B$15000,2,FALSE),"")</f>
        <v/>
      </c>
      <c r="V7198">
        <f t="shared" si="450"/>
        <v>0</v>
      </c>
      <c r="W7198">
        <f t="shared" si="451"/>
        <v>0</v>
      </c>
    </row>
    <row r="7199" spans="5:23" x14ac:dyDescent="0.25">
      <c r="E7199" s="4"/>
      <c r="F7199" s="4"/>
      <c r="G7199" s="33" t="str">
        <f>IFERROR(VLOOKUP($D7199,'Informations sur les produits'!$A$3:$H$10000,8,FALSE),"0")</f>
        <v>0</v>
      </c>
      <c r="K7199" s="4"/>
      <c r="L7199" s="33" t="str">
        <f>IFERROR(VLOOKUP($J7199,'Informations sur les produits'!$A$3:$H$10000,8,FALSE),"0")</f>
        <v>0</v>
      </c>
      <c r="N7199" s="8"/>
      <c r="O7199" s="33" t="str">
        <f>IFERROR(VLOOKUP($M7199,'Informations sur les produits'!$A$3:$H$10000,8,FALSE),"0")</f>
        <v>0</v>
      </c>
      <c r="P7199" s="33">
        <f t="shared" si="448"/>
        <v>0</v>
      </c>
      <c r="Q7199" s="31" t="str">
        <f t="shared" si="449"/>
        <v/>
      </c>
      <c r="R7199" s="32" t="str">
        <f>IFERROR(VLOOKUP($D7199,'Informations sur les produits'!$A$3:$B$15000,2,FALSE),"")</f>
        <v/>
      </c>
      <c r="V7199">
        <f t="shared" si="450"/>
        <v>0</v>
      </c>
      <c r="W7199">
        <f t="shared" si="451"/>
        <v>0</v>
      </c>
    </row>
    <row r="7200" spans="5:23" x14ac:dyDescent="0.25">
      <c r="E7200" s="4"/>
      <c r="F7200" s="4"/>
      <c r="G7200" s="33" t="str">
        <f>IFERROR(VLOOKUP($D7200,'Informations sur les produits'!$A$3:$H$10000,8,FALSE),"0")</f>
        <v>0</v>
      </c>
      <c r="K7200" s="4"/>
      <c r="L7200" s="33" t="str">
        <f>IFERROR(VLOOKUP($J7200,'Informations sur les produits'!$A$3:$H$10000,8,FALSE),"0")</f>
        <v>0</v>
      </c>
      <c r="N7200" s="8"/>
      <c r="O7200" s="33" t="str">
        <f>IFERROR(VLOOKUP($M7200,'Informations sur les produits'!$A$3:$H$10000,8,FALSE),"0")</f>
        <v>0</v>
      </c>
      <c r="P7200" s="33">
        <f t="shared" si="448"/>
        <v>0</v>
      </c>
      <c r="Q7200" s="31" t="str">
        <f t="shared" si="449"/>
        <v/>
      </c>
      <c r="R7200" s="32" t="str">
        <f>IFERROR(VLOOKUP($D7200,'Informations sur les produits'!$A$3:$B$15000,2,FALSE),"")</f>
        <v/>
      </c>
      <c r="V7200">
        <f t="shared" si="450"/>
        <v>0</v>
      </c>
      <c r="W7200">
        <f t="shared" si="451"/>
        <v>0</v>
      </c>
    </row>
    <row r="7201" spans="5:23" x14ac:dyDescent="0.25">
      <c r="E7201" s="4"/>
      <c r="F7201" s="4"/>
      <c r="G7201" s="33" t="str">
        <f>IFERROR(VLOOKUP($D7201,'Informations sur les produits'!$A$3:$H$10000,8,FALSE),"0")</f>
        <v>0</v>
      </c>
      <c r="K7201" s="4"/>
      <c r="L7201" s="33" t="str">
        <f>IFERROR(VLOOKUP($J7201,'Informations sur les produits'!$A$3:$H$10000,8,FALSE),"0")</f>
        <v>0</v>
      </c>
      <c r="N7201" s="8"/>
      <c r="O7201" s="33" t="str">
        <f>IFERROR(VLOOKUP($M7201,'Informations sur les produits'!$A$3:$H$10000,8,FALSE),"0")</f>
        <v>0</v>
      </c>
      <c r="P7201" s="33">
        <f t="shared" si="448"/>
        <v>0</v>
      </c>
      <c r="Q7201" s="31" t="str">
        <f t="shared" si="449"/>
        <v/>
      </c>
      <c r="R7201" s="32" t="str">
        <f>IFERROR(VLOOKUP($D7201,'Informations sur les produits'!$A$3:$B$15000,2,FALSE),"")</f>
        <v/>
      </c>
      <c r="V7201">
        <f t="shared" si="450"/>
        <v>0</v>
      </c>
      <c r="W7201">
        <f t="shared" si="451"/>
        <v>0</v>
      </c>
    </row>
    <row r="7202" spans="5:23" x14ac:dyDescent="0.25">
      <c r="E7202" s="4"/>
      <c r="F7202" s="4"/>
      <c r="G7202" s="33" t="str">
        <f>IFERROR(VLOOKUP($D7202,'Informations sur les produits'!$A$3:$H$10000,8,FALSE),"0")</f>
        <v>0</v>
      </c>
      <c r="K7202" s="4"/>
      <c r="L7202" s="33" t="str">
        <f>IFERROR(VLOOKUP($J7202,'Informations sur les produits'!$A$3:$H$10000,8,FALSE),"0")</f>
        <v>0</v>
      </c>
      <c r="N7202" s="8"/>
      <c r="O7202" s="33" t="str">
        <f>IFERROR(VLOOKUP($M7202,'Informations sur les produits'!$A$3:$H$10000,8,FALSE),"0")</f>
        <v>0</v>
      </c>
      <c r="P7202" s="33">
        <f t="shared" si="448"/>
        <v>0</v>
      </c>
      <c r="Q7202" s="31" t="str">
        <f t="shared" si="449"/>
        <v/>
      </c>
      <c r="R7202" s="32" t="str">
        <f>IFERROR(VLOOKUP($D7202,'Informations sur les produits'!$A$3:$B$15000,2,FALSE),"")</f>
        <v/>
      </c>
      <c r="V7202">
        <f t="shared" si="450"/>
        <v>0</v>
      </c>
      <c r="W7202">
        <f t="shared" si="451"/>
        <v>0</v>
      </c>
    </row>
    <row r="7203" spans="5:23" x14ac:dyDescent="0.25">
      <c r="E7203" s="4"/>
      <c r="F7203" s="4"/>
      <c r="G7203" s="33" t="str">
        <f>IFERROR(VLOOKUP($D7203,'Informations sur les produits'!$A$3:$H$10000,8,FALSE),"0")</f>
        <v>0</v>
      </c>
      <c r="K7203" s="4"/>
      <c r="L7203" s="33" t="str">
        <f>IFERROR(VLOOKUP($J7203,'Informations sur les produits'!$A$3:$H$10000,8,FALSE),"0")</f>
        <v>0</v>
      </c>
      <c r="N7203" s="8"/>
      <c r="O7203" s="33" t="str">
        <f>IFERROR(VLOOKUP($M7203,'Informations sur les produits'!$A$3:$H$10000,8,FALSE),"0")</f>
        <v>0</v>
      </c>
      <c r="P7203" s="33">
        <f t="shared" si="448"/>
        <v>0</v>
      </c>
      <c r="Q7203" s="31" t="str">
        <f t="shared" si="449"/>
        <v/>
      </c>
      <c r="R7203" s="32" t="str">
        <f>IFERROR(VLOOKUP($D7203,'Informations sur les produits'!$A$3:$B$15000,2,FALSE),"")</f>
        <v/>
      </c>
      <c r="V7203">
        <f t="shared" si="450"/>
        <v>0</v>
      </c>
      <c r="W7203">
        <f t="shared" si="451"/>
        <v>0</v>
      </c>
    </row>
    <row r="7204" spans="5:23" x14ac:dyDescent="0.25">
      <c r="E7204" s="4"/>
      <c r="F7204" s="4"/>
      <c r="G7204" s="33" t="str">
        <f>IFERROR(VLOOKUP($D7204,'Informations sur les produits'!$A$3:$H$10000,8,FALSE),"0")</f>
        <v>0</v>
      </c>
      <c r="K7204" s="4"/>
      <c r="L7204" s="33" t="str">
        <f>IFERROR(VLOOKUP($J7204,'Informations sur les produits'!$A$3:$H$10000,8,FALSE),"0")</f>
        <v>0</v>
      </c>
      <c r="N7204" s="8"/>
      <c r="O7204" s="33" t="str">
        <f>IFERROR(VLOOKUP($M7204,'Informations sur les produits'!$A$3:$H$10000,8,FALSE),"0")</f>
        <v>0</v>
      </c>
      <c r="P7204" s="33">
        <f t="shared" si="448"/>
        <v>0</v>
      </c>
      <c r="Q7204" s="31" t="str">
        <f t="shared" si="449"/>
        <v/>
      </c>
      <c r="R7204" s="32" t="str">
        <f>IFERROR(VLOOKUP($D7204,'Informations sur les produits'!$A$3:$B$15000,2,FALSE),"")</f>
        <v/>
      </c>
      <c r="V7204">
        <f t="shared" si="450"/>
        <v>0</v>
      </c>
      <c r="W7204">
        <f t="shared" si="451"/>
        <v>0</v>
      </c>
    </row>
    <row r="7205" spans="5:23" x14ac:dyDescent="0.25">
      <c r="E7205" s="4"/>
      <c r="F7205" s="4"/>
      <c r="G7205" s="33" t="str">
        <f>IFERROR(VLOOKUP($D7205,'Informations sur les produits'!$A$3:$H$10000,8,FALSE),"0")</f>
        <v>0</v>
      </c>
      <c r="K7205" s="4"/>
      <c r="L7205" s="33" t="str">
        <f>IFERROR(VLOOKUP($J7205,'Informations sur les produits'!$A$3:$H$10000,8,FALSE),"0")</f>
        <v>0</v>
      </c>
      <c r="N7205" s="8"/>
      <c r="O7205" s="33" t="str">
        <f>IFERROR(VLOOKUP($M7205,'Informations sur les produits'!$A$3:$H$10000,8,FALSE),"0")</f>
        <v>0</v>
      </c>
      <c r="P7205" s="33">
        <f t="shared" si="448"/>
        <v>0</v>
      </c>
      <c r="Q7205" s="31" t="str">
        <f t="shared" si="449"/>
        <v/>
      </c>
      <c r="R7205" s="32" t="str">
        <f>IFERROR(VLOOKUP($D7205,'Informations sur les produits'!$A$3:$B$15000,2,FALSE),"")</f>
        <v/>
      </c>
      <c r="V7205">
        <f t="shared" si="450"/>
        <v>0</v>
      </c>
      <c r="W7205">
        <f t="shared" si="451"/>
        <v>0</v>
      </c>
    </row>
    <row r="7206" spans="5:23" x14ac:dyDescent="0.25">
      <c r="E7206" s="4"/>
      <c r="F7206" s="4"/>
      <c r="G7206" s="33" t="str">
        <f>IFERROR(VLOOKUP($D7206,'Informations sur les produits'!$A$3:$H$10000,8,FALSE),"0")</f>
        <v>0</v>
      </c>
      <c r="K7206" s="4"/>
      <c r="L7206" s="33" t="str">
        <f>IFERROR(VLOOKUP($J7206,'Informations sur les produits'!$A$3:$H$10000,8,FALSE),"0")</f>
        <v>0</v>
      </c>
      <c r="N7206" s="8"/>
      <c r="O7206" s="33" t="str">
        <f>IFERROR(VLOOKUP($M7206,'Informations sur les produits'!$A$3:$H$10000,8,FALSE),"0")</f>
        <v>0</v>
      </c>
      <c r="P7206" s="33">
        <f t="shared" si="448"/>
        <v>0</v>
      </c>
      <c r="Q7206" s="31" t="str">
        <f t="shared" si="449"/>
        <v/>
      </c>
      <c r="R7206" s="32" t="str">
        <f>IFERROR(VLOOKUP($D7206,'Informations sur les produits'!$A$3:$B$15000,2,FALSE),"")</f>
        <v/>
      </c>
      <c r="V7206">
        <f t="shared" si="450"/>
        <v>0</v>
      </c>
      <c r="W7206">
        <f t="shared" si="451"/>
        <v>0</v>
      </c>
    </row>
    <row r="7207" spans="5:23" x14ac:dyDescent="0.25">
      <c r="E7207" s="4"/>
      <c r="F7207" s="4"/>
      <c r="G7207" s="33" t="str">
        <f>IFERROR(VLOOKUP($D7207,'Informations sur les produits'!$A$3:$H$10000,8,FALSE),"0")</f>
        <v>0</v>
      </c>
      <c r="K7207" s="4"/>
      <c r="L7207" s="33" t="str">
        <f>IFERROR(VLOOKUP($J7207,'Informations sur les produits'!$A$3:$H$10000,8,FALSE),"0")</f>
        <v>0</v>
      </c>
      <c r="N7207" s="8"/>
      <c r="O7207" s="33" t="str">
        <f>IFERROR(VLOOKUP($M7207,'Informations sur les produits'!$A$3:$H$10000,8,FALSE),"0")</f>
        <v>0</v>
      </c>
      <c r="P7207" s="33">
        <f t="shared" si="448"/>
        <v>0</v>
      </c>
      <c r="Q7207" s="31" t="str">
        <f t="shared" si="449"/>
        <v/>
      </c>
      <c r="R7207" s="32" t="str">
        <f>IFERROR(VLOOKUP($D7207,'Informations sur les produits'!$A$3:$B$15000,2,FALSE),"")</f>
        <v/>
      </c>
      <c r="V7207">
        <f t="shared" si="450"/>
        <v>0</v>
      </c>
      <c r="W7207">
        <f t="shared" si="451"/>
        <v>0</v>
      </c>
    </row>
    <row r="7208" spans="5:23" x14ac:dyDescent="0.25">
      <c r="E7208" s="4"/>
      <c r="F7208" s="4"/>
      <c r="G7208" s="33" t="str">
        <f>IFERROR(VLOOKUP($D7208,'Informations sur les produits'!$A$3:$H$10000,8,FALSE),"0")</f>
        <v>0</v>
      </c>
      <c r="K7208" s="4"/>
      <c r="L7208" s="33" t="str">
        <f>IFERROR(VLOOKUP($J7208,'Informations sur les produits'!$A$3:$H$10000,8,FALSE),"0")</f>
        <v>0</v>
      </c>
      <c r="N7208" s="8"/>
      <c r="O7208" s="33" t="str">
        <f>IFERROR(VLOOKUP($M7208,'Informations sur les produits'!$A$3:$H$10000,8,FALSE),"0")</f>
        <v>0</v>
      </c>
      <c r="P7208" s="33">
        <f t="shared" si="448"/>
        <v>0</v>
      </c>
      <c r="Q7208" s="31" t="str">
        <f t="shared" si="449"/>
        <v/>
      </c>
      <c r="R7208" s="32" t="str">
        <f>IFERROR(VLOOKUP($D7208,'Informations sur les produits'!$A$3:$B$15000,2,FALSE),"")</f>
        <v/>
      </c>
      <c r="V7208">
        <f t="shared" si="450"/>
        <v>0</v>
      </c>
      <c r="W7208">
        <f t="shared" si="451"/>
        <v>0</v>
      </c>
    </row>
    <row r="7209" spans="5:23" x14ac:dyDescent="0.25">
      <c r="E7209" s="4"/>
      <c r="F7209" s="4"/>
      <c r="G7209" s="33" t="str">
        <f>IFERROR(VLOOKUP($D7209,'Informations sur les produits'!$A$3:$H$10000,8,FALSE),"0")</f>
        <v>0</v>
      </c>
      <c r="K7209" s="4"/>
      <c r="L7209" s="33" t="str">
        <f>IFERROR(VLOOKUP($J7209,'Informations sur les produits'!$A$3:$H$10000,8,FALSE),"0")</f>
        <v>0</v>
      </c>
      <c r="N7209" s="8"/>
      <c r="O7209" s="33" t="str">
        <f>IFERROR(VLOOKUP($M7209,'Informations sur les produits'!$A$3:$H$10000,8,FALSE),"0")</f>
        <v>0</v>
      </c>
      <c r="P7209" s="33">
        <f t="shared" si="448"/>
        <v>0</v>
      </c>
      <c r="Q7209" s="31" t="str">
        <f t="shared" si="449"/>
        <v/>
      </c>
      <c r="R7209" s="32" t="str">
        <f>IFERROR(VLOOKUP($D7209,'Informations sur les produits'!$A$3:$B$15000,2,FALSE),"")</f>
        <v/>
      </c>
      <c r="V7209">
        <f t="shared" si="450"/>
        <v>0</v>
      </c>
      <c r="W7209">
        <f t="shared" si="451"/>
        <v>0</v>
      </c>
    </row>
    <row r="7210" spans="5:23" x14ac:dyDescent="0.25">
      <c r="E7210" s="4"/>
      <c r="F7210" s="4"/>
      <c r="G7210" s="33" t="str">
        <f>IFERROR(VLOOKUP($D7210,'Informations sur les produits'!$A$3:$H$10000,8,FALSE),"0")</f>
        <v>0</v>
      </c>
      <c r="K7210" s="4"/>
      <c r="L7210" s="33" t="str">
        <f>IFERROR(VLOOKUP($J7210,'Informations sur les produits'!$A$3:$H$10000,8,FALSE),"0")</f>
        <v>0</v>
      </c>
      <c r="N7210" s="8"/>
      <c r="O7210" s="33" t="str">
        <f>IFERROR(VLOOKUP($M7210,'Informations sur les produits'!$A$3:$H$10000,8,FALSE),"0")</f>
        <v>0</v>
      </c>
      <c r="P7210" s="33">
        <f t="shared" si="448"/>
        <v>0</v>
      </c>
      <c r="Q7210" s="31" t="str">
        <f t="shared" si="449"/>
        <v/>
      </c>
      <c r="R7210" s="32" t="str">
        <f>IFERROR(VLOOKUP($D7210,'Informations sur les produits'!$A$3:$B$15000,2,FALSE),"")</f>
        <v/>
      </c>
      <c r="V7210">
        <f t="shared" si="450"/>
        <v>0</v>
      </c>
      <c r="W7210">
        <f t="shared" si="451"/>
        <v>0</v>
      </c>
    </row>
    <row r="7211" spans="5:23" x14ac:dyDescent="0.25">
      <c r="E7211" s="4"/>
      <c r="F7211" s="4"/>
      <c r="G7211" s="33" t="str">
        <f>IFERROR(VLOOKUP($D7211,'Informations sur les produits'!$A$3:$H$10000,8,FALSE),"0")</f>
        <v>0</v>
      </c>
      <c r="K7211" s="4"/>
      <c r="L7211" s="33" t="str">
        <f>IFERROR(VLOOKUP($J7211,'Informations sur les produits'!$A$3:$H$10000,8,FALSE),"0")</f>
        <v>0</v>
      </c>
      <c r="N7211" s="8"/>
      <c r="O7211" s="33" t="str">
        <f>IFERROR(VLOOKUP($M7211,'Informations sur les produits'!$A$3:$H$10000,8,FALSE),"0")</f>
        <v>0</v>
      </c>
      <c r="P7211" s="33">
        <f t="shared" si="448"/>
        <v>0</v>
      </c>
      <c r="Q7211" s="31" t="str">
        <f t="shared" si="449"/>
        <v/>
      </c>
      <c r="R7211" s="32" t="str">
        <f>IFERROR(VLOOKUP($D7211,'Informations sur les produits'!$A$3:$B$15000,2,FALSE),"")</f>
        <v/>
      </c>
      <c r="V7211">
        <f t="shared" si="450"/>
        <v>0</v>
      </c>
      <c r="W7211">
        <f t="shared" si="451"/>
        <v>0</v>
      </c>
    </row>
    <row r="7212" spans="5:23" x14ac:dyDescent="0.25">
      <c r="E7212" s="4"/>
      <c r="F7212" s="4"/>
      <c r="G7212" s="33" t="str">
        <f>IFERROR(VLOOKUP($D7212,'Informations sur les produits'!$A$3:$H$10000,8,FALSE),"0")</f>
        <v>0</v>
      </c>
      <c r="K7212" s="4"/>
      <c r="L7212" s="33" t="str">
        <f>IFERROR(VLOOKUP($J7212,'Informations sur les produits'!$A$3:$H$10000,8,FALSE),"0")</f>
        <v>0</v>
      </c>
      <c r="N7212" s="8"/>
      <c r="O7212" s="33" t="str">
        <f>IFERROR(VLOOKUP($M7212,'Informations sur les produits'!$A$3:$H$10000,8,FALSE),"0")</f>
        <v>0</v>
      </c>
      <c r="P7212" s="33">
        <f t="shared" si="448"/>
        <v>0</v>
      </c>
      <c r="Q7212" s="31" t="str">
        <f t="shared" si="449"/>
        <v/>
      </c>
      <c r="R7212" s="32" t="str">
        <f>IFERROR(VLOOKUP($D7212,'Informations sur les produits'!$A$3:$B$15000,2,FALSE),"")</f>
        <v/>
      </c>
      <c r="V7212">
        <f t="shared" si="450"/>
        <v>0</v>
      </c>
      <c r="W7212">
        <f t="shared" si="451"/>
        <v>0</v>
      </c>
    </row>
    <row r="7213" spans="5:23" x14ac:dyDescent="0.25">
      <c r="E7213" s="4"/>
      <c r="F7213" s="4"/>
      <c r="G7213" s="33" t="str">
        <f>IFERROR(VLOOKUP($D7213,'Informations sur les produits'!$A$3:$H$10000,8,FALSE),"0")</f>
        <v>0</v>
      </c>
      <c r="K7213" s="4"/>
      <c r="L7213" s="33" t="str">
        <f>IFERROR(VLOOKUP($J7213,'Informations sur les produits'!$A$3:$H$10000,8,FALSE),"0")</f>
        <v>0</v>
      </c>
      <c r="N7213" s="8"/>
      <c r="O7213" s="33" t="str">
        <f>IFERROR(VLOOKUP($M7213,'Informations sur les produits'!$A$3:$H$10000,8,FALSE),"0")</f>
        <v>0</v>
      </c>
      <c r="P7213" s="33">
        <f t="shared" si="448"/>
        <v>0</v>
      </c>
      <c r="Q7213" s="31" t="str">
        <f t="shared" si="449"/>
        <v/>
      </c>
      <c r="R7213" s="32" t="str">
        <f>IFERROR(VLOOKUP($D7213,'Informations sur les produits'!$A$3:$B$15000,2,FALSE),"")</f>
        <v/>
      </c>
      <c r="V7213">
        <f t="shared" si="450"/>
        <v>0</v>
      </c>
      <c r="W7213">
        <f t="shared" si="451"/>
        <v>0</v>
      </c>
    </row>
    <row r="7214" spans="5:23" x14ac:dyDescent="0.25">
      <c r="E7214" s="4"/>
      <c r="F7214" s="4"/>
      <c r="G7214" s="33" t="str">
        <f>IFERROR(VLOOKUP($D7214,'Informations sur les produits'!$A$3:$H$10000,8,FALSE),"0")</f>
        <v>0</v>
      </c>
      <c r="K7214" s="4"/>
      <c r="L7214" s="33" t="str">
        <f>IFERROR(VLOOKUP($J7214,'Informations sur les produits'!$A$3:$H$10000,8,FALSE),"0")</f>
        <v>0</v>
      </c>
      <c r="N7214" s="8"/>
      <c r="O7214" s="33" t="str">
        <f>IFERROR(VLOOKUP($M7214,'Informations sur les produits'!$A$3:$H$10000,8,FALSE),"0")</f>
        <v>0</v>
      </c>
      <c r="P7214" s="33">
        <f t="shared" si="448"/>
        <v>0</v>
      </c>
      <c r="Q7214" s="31" t="str">
        <f t="shared" si="449"/>
        <v/>
      </c>
      <c r="R7214" s="32" t="str">
        <f>IFERROR(VLOOKUP($D7214,'Informations sur les produits'!$A$3:$B$15000,2,FALSE),"")</f>
        <v/>
      </c>
      <c r="V7214">
        <f t="shared" si="450"/>
        <v>0</v>
      </c>
      <c r="W7214">
        <f t="shared" si="451"/>
        <v>0</v>
      </c>
    </row>
    <row r="7215" spans="5:23" x14ac:dyDescent="0.25">
      <c r="E7215" s="4"/>
      <c r="F7215" s="4"/>
      <c r="G7215" s="33" t="str">
        <f>IFERROR(VLOOKUP($D7215,'Informations sur les produits'!$A$3:$H$10000,8,FALSE),"0")</f>
        <v>0</v>
      </c>
      <c r="K7215" s="4"/>
      <c r="L7215" s="33" t="str">
        <f>IFERROR(VLOOKUP($J7215,'Informations sur les produits'!$A$3:$H$10000,8,FALSE),"0")</f>
        <v>0</v>
      </c>
      <c r="N7215" s="8"/>
      <c r="O7215" s="33" t="str">
        <f>IFERROR(VLOOKUP($M7215,'Informations sur les produits'!$A$3:$H$10000,8,FALSE),"0")</f>
        <v>0</v>
      </c>
      <c r="P7215" s="33">
        <f t="shared" si="448"/>
        <v>0</v>
      </c>
      <c r="Q7215" s="31" t="str">
        <f t="shared" si="449"/>
        <v/>
      </c>
      <c r="R7215" s="32" t="str">
        <f>IFERROR(VLOOKUP($D7215,'Informations sur les produits'!$A$3:$B$15000,2,FALSE),"")</f>
        <v/>
      </c>
      <c r="V7215">
        <f t="shared" si="450"/>
        <v>0</v>
      </c>
      <c r="W7215">
        <f t="shared" si="451"/>
        <v>0</v>
      </c>
    </row>
    <row r="7216" spans="5:23" x14ac:dyDescent="0.25">
      <c r="E7216" s="4"/>
      <c r="F7216" s="4"/>
      <c r="G7216" s="33" t="str">
        <f>IFERROR(VLOOKUP($D7216,'Informations sur les produits'!$A$3:$H$10000,8,FALSE),"0")</f>
        <v>0</v>
      </c>
      <c r="K7216" s="4"/>
      <c r="L7216" s="33" t="str">
        <f>IFERROR(VLOOKUP($J7216,'Informations sur les produits'!$A$3:$H$10000,8,FALSE),"0")</f>
        <v>0</v>
      </c>
      <c r="N7216" s="8"/>
      <c r="O7216" s="33" t="str">
        <f>IFERROR(VLOOKUP($M7216,'Informations sur les produits'!$A$3:$H$10000,8,FALSE),"0")</f>
        <v>0</v>
      </c>
      <c r="P7216" s="33">
        <f t="shared" si="448"/>
        <v>0</v>
      </c>
      <c r="Q7216" s="31" t="str">
        <f t="shared" si="449"/>
        <v/>
      </c>
      <c r="R7216" s="32" t="str">
        <f>IFERROR(VLOOKUP($D7216,'Informations sur les produits'!$A$3:$B$15000,2,FALSE),"")</f>
        <v/>
      </c>
      <c r="V7216">
        <f t="shared" si="450"/>
        <v>0</v>
      </c>
      <c r="W7216">
        <f t="shared" si="451"/>
        <v>0</v>
      </c>
    </row>
    <row r="7217" spans="5:23" x14ac:dyDescent="0.25">
      <c r="E7217" s="4"/>
      <c r="F7217" s="4"/>
      <c r="G7217" s="33" t="str">
        <f>IFERROR(VLOOKUP($D7217,'Informations sur les produits'!$A$3:$H$10000,8,FALSE),"0")</f>
        <v>0</v>
      </c>
      <c r="K7217" s="4"/>
      <c r="L7217" s="33" t="str">
        <f>IFERROR(VLOOKUP($J7217,'Informations sur les produits'!$A$3:$H$10000,8,FALSE),"0")</f>
        <v>0</v>
      </c>
      <c r="N7217" s="8"/>
      <c r="O7217" s="33" t="str">
        <f>IFERROR(VLOOKUP($M7217,'Informations sur les produits'!$A$3:$H$10000,8,FALSE),"0")</f>
        <v>0</v>
      </c>
      <c r="P7217" s="33">
        <f t="shared" si="448"/>
        <v>0</v>
      </c>
      <c r="Q7217" s="31" t="str">
        <f t="shared" si="449"/>
        <v/>
      </c>
      <c r="R7217" s="32" t="str">
        <f>IFERROR(VLOOKUP($D7217,'Informations sur les produits'!$A$3:$B$15000,2,FALSE),"")</f>
        <v/>
      </c>
      <c r="V7217">
        <f t="shared" si="450"/>
        <v>0</v>
      </c>
      <c r="W7217">
        <f t="shared" si="451"/>
        <v>0</v>
      </c>
    </row>
    <row r="7218" spans="5:23" x14ac:dyDescent="0.25">
      <c r="E7218" s="4"/>
      <c r="F7218" s="4"/>
      <c r="G7218" s="33" t="str">
        <f>IFERROR(VLOOKUP($D7218,'Informations sur les produits'!$A$3:$H$10000,8,FALSE),"0")</f>
        <v>0</v>
      </c>
      <c r="K7218" s="4"/>
      <c r="L7218" s="33" t="str">
        <f>IFERROR(VLOOKUP($J7218,'Informations sur les produits'!$A$3:$H$10000,8,FALSE),"0")</f>
        <v>0</v>
      </c>
      <c r="N7218" s="8"/>
      <c r="O7218" s="33" t="str">
        <f>IFERROR(VLOOKUP($M7218,'Informations sur les produits'!$A$3:$H$10000,8,FALSE),"0")</f>
        <v>0</v>
      </c>
      <c r="P7218" s="33">
        <f t="shared" si="448"/>
        <v>0</v>
      </c>
      <c r="Q7218" s="31" t="str">
        <f t="shared" si="449"/>
        <v/>
      </c>
      <c r="R7218" s="32" t="str">
        <f>IFERROR(VLOOKUP($D7218,'Informations sur les produits'!$A$3:$B$15000,2,FALSE),"")</f>
        <v/>
      </c>
      <c r="V7218">
        <f t="shared" si="450"/>
        <v>0</v>
      </c>
      <c r="W7218">
        <f t="shared" si="451"/>
        <v>0</v>
      </c>
    </row>
    <row r="7219" spans="5:23" x14ac:dyDescent="0.25">
      <c r="E7219" s="4"/>
      <c r="F7219" s="4"/>
      <c r="G7219" s="33" t="str">
        <f>IFERROR(VLOOKUP($D7219,'Informations sur les produits'!$A$3:$H$10000,8,FALSE),"0")</f>
        <v>0</v>
      </c>
      <c r="K7219" s="4"/>
      <c r="L7219" s="33" t="str">
        <f>IFERROR(VLOOKUP($J7219,'Informations sur les produits'!$A$3:$H$10000,8,FALSE),"0")</f>
        <v>0</v>
      </c>
      <c r="N7219" s="8"/>
      <c r="O7219" s="33" t="str">
        <f>IFERROR(VLOOKUP($M7219,'Informations sur les produits'!$A$3:$H$10000,8,FALSE),"0")</f>
        <v>0</v>
      </c>
      <c r="P7219" s="33">
        <f t="shared" si="448"/>
        <v>0</v>
      </c>
      <c r="Q7219" s="31" t="str">
        <f t="shared" si="449"/>
        <v/>
      </c>
      <c r="R7219" s="32" t="str">
        <f>IFERROR(VLOOKUP($D7219,'Informations sur les produits'!$A$3:$B$15000,2,FALSE),"")</f>
        <v/>
      </c>
      <c r="V7219">
        <f t="shared" si="450"/>
        <v>0</v>
      </c>
      <c r="W7219">
        <f t="shared" si="451"/>
        <v>0</v>
      </c>
    </row>
    <row r="7220" spans="5:23" x14ac:dyDescent="0.25">
      <c r="E7220" s="4"/>
      <c r="F7220" s="4"/>
      <c r="G7220" s="33" t="str">
        <f>IFERROR(VLOOKUP($D7220,'Informations sur les produits'!$A$3:$H$10000,8,FALSE),"0")</f>
        <v>0</v>
      </c>
      <c r="K7220" s="4"/>
      <c r="L7220" s="33" t="str">
        <f>IFERROR(VLOOKUP($J7220,'Informations sur les produits'!$A$3:$H$10000,8,FALSE),"0")</f>
        <v>0</v>
      </c>
      <c r="N7220" s="8"/>
      <c r="O7220" s="33" t="str">
        <f>IFERROR(VLOOKUP($M7220,'Informations sur les produits'!$A$3:$H$10000,8,FALSE),"0")</f>
        <v>0</v>
      </c>
      <c r="P7220" s="33">
        <f t="shared" si="448"/>
        <v>0</v>
      </c>
      <c r="Q7220" s="31" t="str">
        <f t="shared" si="449"/>
        <v/>
      </c>
      <c r="R7220" s="32" t="str">
        <f>IFERROR(VLOOKUP($D7220,'Informations sur les produits'!$A$3:$B$15000,2,FALSE),"")</f>
        <v/>
      </c>
      <c r="V7220">
        <f t="shared" si="450"/>
        <v>0</v>
      </c>
      <c r="W7220">
        <f t="shared" si="451"/>
        <v>0</v>
      </c>
    </row>
    <row r="7221" spans="5:23" x14ac:dyDescent="0.25">
      <c r="E7221" s="4"/>
      <c r="F7221" s="4"/>
      <c r="G7221" s="33" t="str">
        <f>IFERROR(VLOOKUP($D7221,'Informations sur les produits'!$A$3:$H$10000,8,FALSE),"0")</f>
        <v>0</v>
      </c>
      <c r="K7221" s="4"/>
      <c r="L7221" s="33" t="str">
        <f>IFERROR(VLOOKUP($J7221,'Informations sur les produits'!$A$3:$H$10000,8,FALSE),"0")</f>
        <v>0</v>
      </c>
      <c r="N7221" s="8"/>
      <c r="O7221" s="33" t="str">
        <f>IFERROR(VLOOKUP($M7221,'Informations sur les produits'!$A$3:$H$10000,8,FALSE),"0")</f>
        <v>0</v>
      </c>
      <c r="P7221" s="33">
        <f t="shared" si="448"/>
        <v>0</v>
      </c>
      <c r="Q7221" s="31" t="str">
        <f t="shared" si="449"/>
        <v/>
      </c>
      <c r="R7221" s="32" t="str">
        <f>IFERROR(VLOOKUP($D7221,'Informations sur les produits'!$A$3:$B$15000,2,FALSE),"")</f>
        <v/>
      </c>
      <c r="V7221">
        <f t="shared" si="450"/>
        <v>0</v>
      </c>
      <c r="W7221">
        <f t="shared" si="451"/>
        <v>0</v>
      </c>
    </row>
    <row r="7222" spans="5:23" x14ac:dyDescent="0.25">
      <c r="E7222" s="4"/>
      <c r="F7222" s="4"/>
      <c r="G7222" s="33" t="str">
        <f>IFERROR(VLOOKUP($D7222,'Informations sur les produits'!$A$3:$H$10000,8,FALSE),"0")</f>
        <v>0</v>
      </c>
      <c r="K7222" s="4"/>
      <c r="L7222" s="33" t="str">
        <f>IFERROR(VLOOKUP($J7222,'Informations sur les produits'!$A$3:$H$10000,8,FALSE),"0")</f>
        <v>0</v>
      </c>
      <c r="N7222" s="8"/>
      <c r="O7222" s="33" t="str">
        <f>IFERROR(VLOOKUP($M7222,'Informations sur les produits'!$A$3:$H$10000,8,FALSE),"0")</f>
        <v>0</v>
      </c>
      <c r="P7222" s="33">
        <f t="shared" si="448"/>
        <v>0</v>
      </c>
      <c r="Q7222" s="31" t="str">
        <f t="shared" si="449"/>
        <v/>
      </c>
      <c r="R7222" s="32" t="str">
        <f>IFERROR(VLOOKUP($D7222,'Informations sur les produits'!$A$3:$B$15000,2,FALSE),"")</f>
        <v/>
      </c>
      <c r="V7222">
        <f t="shared" si="450"/>
        <v>0</v>
      </c>
      <c r="W7222">
        <f t="shared" si="451"/>
        <v>0</v>
      </c>
    </row>
    <row r="7223" spans="5:23" x14ac:dyDescent="0.25">
      <c r="E7223" s="4"/>
      <c r="F7223" s="4"/>
      <c r="G7223" s="33" t="str">
        <f>IFERROR(VLOOKUP($D7223,'Informations sur les produits'!$A$3:$H$10000,8,FALSE),"0")</f>
        <v>0</v>
      </c>
      <c r="K7223" s="4"/>
      <c r="L7223" s="33" t="str">
        <f>IFERROR(VLOOKUP($J7223,'Informations sur les produits'!$A$3:$H$10000,8,FALSE),"0")</f>
        <v>0</v>
      </c>
      <c r="N7223" s="8"/>
      <c r="O7223" s="33" t="str">
        <f>IFERROR(VLOOKUP($M7223,'Informations sur les produits'!$A$3:$H$10000,8,FALSE),"0")</f>
        <v>0</v>
      </c>
      <c r="P7223" s="33">
        <f t="shared" si="448"/>
        <v>0</v>
      </c>
      <c r="Q7223" s="31" t="str">
        <f t="shared" si="449"/>
        <v/>
      </c>
      <c r="R7223" s="32" t="str">
        <f>IFERROR(VLOOKUP($D7223,'Informations sur les produits'!$A$3:$B$15000,2,FALSE),"")</f>
        <v/>
      </c>
      <c r="V7223">
        <f t="shared" si="450"/>
        <v>0</v>
      </c>
      <c r="W7223">
        <f t="shared" si="451"/>
        <v>0</v>
      </c>
    </row>
    <row r="7224" spans="5:23" x14ac:dyDescent="0.25">
      <c r="E7224" s="4"/>
      <c r="F7224" s="4"/>
      <c r="G7224" s="33" t="str">
        <f>IFERROR(VLOOKUP($D7224,'Informations sur les produits'!$A$3:$H$10000,8,FALSE),"0")</f>
        <v>0</v>
      </c>
      <c r="K7224" s="4"/>
      <c r="L7224" s="33" t="str">
        <f>IFERROR(VLOOKUP($J7224,'Informations sur les produits'!$A$3:$H$10000,8,FALSE),"0")</f>
        <v>0</v>
      </c>
      <c r="N7224" s="8"/>
      <c r="O7224" s="33" t="str">
        <f>IFERROR(VLOOKUP($M7224,'Informations sur les produits'!$A$3:$H$10000,8,FALSE),"0")</f>
        <v>0</v>
      </c>
      <c r="P7224" s="33">
        <f t="shared" si="448"/>
        <v>0</v>
      </c>
      <c r="Q7224" s="31" t="str">
        <f t="shared" si="449"/>
        <v/>
      </c>
      <c r="R7224" s="32" t="str">
        <f>IFERROR(VLOOKUP($D7224,'Informations sur les produits'!$A$3:$B$15000,2,FALSE),"")</f>
        <v/>
      </c>
      <c r="V7224">
        <f t="shared" si="450"/>
        <v>0</v>
      </c>
      <c r="W7224">
        <f t="shared" si="451"/>
        <v>0</v>
      </c>
    </row>
    <row r="7225" spans="5:23" x14ac:dyDescent="0.25">
      <c r="E7225" s="4"/>
      <c r="F7225" s="4"/>
      <c r="G7225" s="33" t="str">
        <f>IFERROR(VLOOKUP($D7225,'Informations sur les produits'!$A$3:$H$10000,8,FALSE),"0")</f>
        <v>0</v>
      </c>
      <c r="K7225" s="4"/>
      <c r="L7225" s="33" t="str">
        <f>IFERROR(VLOOKUP($J7225,'Informations sur les produits'!$A$3:$H$10000,8,FALSE),"0")</f>
        <v>0</v>
      </c>
      <c r="N7225" s="8"/>
      <c r="O7225" s="33" t="str">
        <f>IFERROR(VLOOKUP($M7225,'Informations sur les produits'!$A$3:$H$10000,8,FALSE),"0")</f>
        <v>0</v>
      </c>
      <c r="P7225" s="33">
        <f t="shared" si="448"/>
        <v>0</v>
      </c>
      <c r="Q7225" s="31" t="str">
        <f t="shared" si="449"/>
        <v/>
      </c>
      <c r="R7225" s="32" t="str">
        <f>IFERROR(VLOOKUP($D7225,'Informations sur les produits'!$A$3:$B$15000,2,FALSE),"")</f>
        <v/>
      </c>
      <c r="V7225">
        <f t="shared" si="450"/>
        <v>0</v>
      </c>
      <c r="W7225">
        <f t="shared" si="451"/>
        <v>0</v>
      </c>
    </row>
    <row r="7226" spans="5:23" x14ac:dyDescent="0.25">
      <c r="E7226" s="4"/>
      <c r="F7226" s="4"/>
      <c r="G7226" s="33" t="str">
        <f>IFERROR(VLOOKUP($D7226,'Informations sur les produits'!$A$3:$H$10000,8,FALSE),"0")</f>
        <v>0</v>
      </c>
      <c r="K7226" s="4"/>
      <c r="L7226" s="33" t="str">
        <f>IFERROR(VLOOKUP($J7226,'Informations sur les produits'!$A$3:$H$10000,8,FALSE),"0")</f>
        <v>0</v>
      </c>
      <c r="N7226" s="8"/>
      <c r="O7226" s="33" t="str">
        <f>IFERROR(VLOOKUP($M7226,'Informations sur les produits'!$A$3:$H$10000,8,FALSE),"0")</f>
        <v>0</v>
      </c>
      <c r="P7226" s="33">
        <f t="shared" si="448"/>
        <v>0</v>
      </c>
      <c r="Q7226" s="31" t="str">
        <f t="shared" si="449"/>
        <v/>
      </c>
      <c r="R7226" s="32" t="str">
        <f>IFERROR(VLOOKUP($D7226,'Informations sur les produits'!$A$3:$B$15000,2,FALSE),"")</f>
        <v/>
      </c>
      <c r="V7226">
        <f t="shared" si="450"/>
        <v>0</v>
      </c>
      <c r="W7226">
        <f t="shared" si="451"/>
        <v>0</v>
      </c>
    </row>
    <row r="7227" spans="5:23" x14ac:dyDescent="0.25">
      <c r="E7227" s="4"/>
      <c r="F7227" s="4"/>
      <c r="G7227" s="33" t="str">
        <f>IFERROR(VLOOKUP($D7227,'Informations sur les produits'!$A$3:$H$10000,8,FALSE),"0")</f>
        <v>0</v>
      </c>
      <c r="K7227" s="4"/>
      <c r="L7227" s="33" t="str">
        <f>IFERROR(VLOOKUP($J7227,'Informations sur les produits'!$A$3:$H$10000,8,FALSE),"0")</f>
        <v>0</v>
      </c>
      <c r="N7227" s="8"/>
      <c r="O7227" s="33" t="str">
        <f>IFERROR(VLOOKUP($M7227,'Informations sur les produits'!$A$3:$H$10000,8,FALSE),"0")</f>
        <v>0</v>
      </c>
      <c r="P7227" s="33">
        <f t="shared" si="448"/>
        <v>0</v>
      </c>
      <c r="Q7227" s="31" t="str">
        <f t="shared" si="449"/>
        <v/>
      </c>
      <c r="R7227" s="32" t="str">
        <f>IFERROR(VLOOKUP($D7227,'Informations sur les produits'!$A$3:$B$15000,2,FALSE),"")</f>
        <v/>
      </c>
      <c r="V7227">
        <f t="shared" si="450"/>
        <v>0</v>
      </c>
      <c r="W7227">
        <f t="shared" si="451"/>
        <v>0</v>
      </c>
    </row>
    <row r="7228" spans="5:23" x14ac:dyDescent="0.25">
      <c r="E7228" s="4"/>
      <c r="F7228" s="4"/>
      <c r="G7228" s="33" t="str">
        <f>IFERROR(VLOOKUP($D7228,'Informations sur les produits'!$A$3:$H$10000,8,FALSE),"0")</f>
        <v>0</v>
      </c>
      <c r="K7228" s="4"/>
      <c r="L7228" s="33" t="str">
        <f>IFERROR(VLOOKUP($J7228,'Informations sur les produits'!$A$3:$H$10000,8,FALSE),"0")</f>
        <v>0</v>
      </c>
      <c r="N7228" s="8"/>
      <c r="O7228" s="33" t="str">
        <f>IFERROR(VLOOKUP($M7228,'Informations sur les produits'!$A$3:$H$10000,8,FALSE),"0")</f>
        <v>0</v>
      </c>
      <c r="P7228" s="33">
        <f t="shared" si="448"/>
        <v>0</v>
      </c>
      <c r="Q7228" s="31" t="str">
        <f t="shared" si="449"/>
        <v/>
      </c>
      <c r="R7228" s="32" t="str">
        <f>IFERROR(VLOOKUP($D7228,'Informations sur les produits'!$A$3:$B$15000,2,FALSE),"")</f>
        <v/>
      </c>
      <c r="V7228">
        <f t="shared" si="450"/>
        <v>0</v>
      </c>
      <c r="W7228">
        <f t="shared" si="451"/>
        <v>0</v>
      </c>
    </row>
    <row r="7229" spans="5:23" x14ac:dyDescent="0.25">
      <c r="E7229" s="4"/>
      <c r="F7229" s="4"/>
      <c r="G7229" s="33" t="str">
        <f>IFERROR(VLOOKUP($D7229,'Informations sur les produits'!$A$3:$H$10000,8,FALSE),"0")</f>
        <v>0</v>
      </c>
      <c r="K7229" s="4"/>
      <c r="L7229" s="33" t="str">
        <f>IFERROR(VLOOKUP($J7229,'Informations sur les produits'!$A$3:$H$10000,8,FALSE),"0")</f>
        <v>0</v>
      </c>
      <c r="N7229" s="8"/>
      <c r="O7229" s="33" t="str">
        <f>IFERROR(VLOOKUP($M7229,'Informations sur les produits'!$A$3:$H$10000,8,FALSE),"0")</f>
        <v>0</v>
      </c>
      <c r="P7229" s="33">
        <f t="shared" si="448"/>
        <v>0</v>
      </c>
      <c r="Q7229" s="31" t="str">
        <f t="shared" si="449"/>
        <v/>
      </c>
      <c r="R7229" s="32" t="str">
        <f>IFERROR(VLOOKUP($D7229,'Informations sur les produits'!$A$3:$B$15000,2,FALSE),"")</f>
        <v/>
      </c>
      <c r="V7229">
        <f t="shared" si="450"/>
        <v>0</v>
      </c>
      <c r="W7229">
        <f t="shared" si="451"/>
        <v>0</v>
      </c>
    </row>
    <row r="7230" spans="5:23" x14ac:dyDescent="0.25">
      <c r="E7230" s="4"/>
      <c r="F7230" s="4"/>
      <c r="G7230" s="33" t="str">
        <f>IFERROR(VLOOKUP($D7230,'Informations sur les produits'!$A$3:$H$10000,8,FALSE),"0")</f>
        <v>0</v>
      </c>
      <c r="K7230" s="4"/>
      <c r="L7230" s="33" t="str">
        <f>IFERROR(VLOOKUP($J7230,'Informations sur les produits'!$A$3:$H$10000,8,FALSE),"0")</f>
        <v>0</v>
      </c>
      <c r="N7230" s="8"/>
      <c r="O7230" s="33" t="str">
        <f>IFERROR(VLOOKUP($M7230,'Informations sur les produits'!$A$3:$H$10000,8,FALSE),"0")</f>
        <v>0</v>
      </c>
      <c r="P7230" s="33">
        <f t="shared" si="448"/>
        <v>0</v>
      </c>
      <c r="Q7230" s="31" t="str">
        <f t="shared" si="449"/>
        <v/>
      </c>
      <c r="R7230" s="32" t="str">
        <f>IFERROR(VLOOKUP($D7230,'Informations sur les produits'!$A$3:$B$15000,2,FALSE),"")</f>
        <v/>
      </c>
      <c r="V7230">
        <f t="shared" si="450"/>
        <v>0</v>
      </c>
      <c r="W7230">
        <f t="shared" si="451"/>
        <v>0</v>
      </c>
    </row>
    <row r="7231" spans="5:23" x14ac:dyDescent="0.25">
      <c r="E7231" s="4"/>
      <c r="F7231" s="4"/>
      <c r="G7231" s="33" t="str">
        <f>IFERROR(VLOOKUP($D7231,'Informations sur les produits'!$A$3:$H$10000,8,FALSE),"0")</f>
        <v>0</v>
      </c>
      <c r="K7231" s="4"/>
      <c r="L7231" s="33" t="str">
        <f>IFERROR(VLOOKUP($J7231,'Informations sur les produits'!$A$3:$H$10000,8,FALSE),"0")</f>
        <v>0</v>
      </c>
      <c r="N7231" s="8"/>
      <c r="O7231" s="33" t="str">
        <f>IFERROR(VLOOKUP($M7231,'Informations sur les produits'!$A$3:$H$10000,8,FALSE),"0")</f>
        <v>0</v>
      </c>
      <c r="P7231" s="33">
        <f t="shared" si="448"/>
        <v>0</v>
      </c>
      <c r="Q7231" s="31" t="str">
        <f t="shared" si="449"/>
        <v/>
      </c>
      <c r="R7231" s="32" t="str">
        <f>IFERROR(VLOOKUP($D7231,'Informations sur les produits'!$A$3:$B$15000,2,FALSE),"")</f>
        <v/>
      </c>
      <c r="V7231">
        <f t="shared" si="450"/>
        <v>0</v>
      </c>
      <c r="W7231">
        <f t="shared" si="451"/>
        <v>0</v>
      </c>
    </row>
    <row r="7232" spans="5:23" x14ac:dyDescent="0.25">
      <c r="E7232" s="4"/>
      <c r="F7232" s="4"/>
      <c r="G7232" s="33" t="str">
        <f>IFERROR(VLOOKUP($D7232,'Informations sur les produits'!$A$3:$H$10000,8,FALSE),"0")</f>
        <v>0</v>
      </c>
      <c r="K7232" s="4"/>
      <c r="L7232" s="33" t="str">
        <f>IFERROR(VLOOKUP($J7232,'Informations sur les produits'!$A$3:$H$10000,8,FALSE),"0")</f>
        <v>0</v>
      </c>
      <c r="N7232" s="8"/>
      <c r="O7232" s="33" t="str">
        <f>IFERROR(VLOOKUP($M7232,'Informations sur les produits'!$A$3:$H$10000,8,FALSE),"0")</f>
        <v>0</v>
      </c>
      <c r="P7232" s="33">
        <f t="shared" si="448"/>
        <v>0</v>
      </c>
      <c r="Q7232" s="31" t="str">
        <f t="shared" si="449"/>
        <v/>
      </c>
      <c r="R7232" s="32" t="str">
        <f>IFERROR(VLOOKUP($D7232,'Informations sur les produits'!$A$3:$B$15000,2,FALSE),"")</f>
        <v/>
      </c>
      <c r="V7232">
        <f t="shared" si="450"/>
        <v>0</v>
      </c>
      <c r="W7232">
        <f t="shared" si="451"/>
        <v>0</v>
      </c>
    </row>
    <row r="7233" spans="5:23" x14ac:dyDescent="0.25">
      <c r="E7233" s="4"/>
      <c r="F7233" s="4"/>
      <c r="G7233" s="33" t="str">
        <f>IFERROR(VLOOKUP($D7233,'Informations sur les produits'!$A$3:$H$10000,8,FALSE),"0")</f>
        <v>0</v>
      </c>
      <c r="K7233" s="4"/>
      <c r="L7233" s="33" t="str">
        <f>IFERROR(VLOOKUP($J7233,'Informations sur les produits'!$A$3:$H$10000,8,FALSE),"0")</f>
        <v>0</v>
      </c>
      <c r="N7233" s="8"/>
      <c r="O7233" s="33" t="str">
        <f>IFERROR(VLOOKUP($M7233,'Informations sur les produits'!$A$3:$H$10000,8,FALSE),"0")</f>
        <v>0</v>
      </c>
      <c r="P7233" s="33">
        <f t="shared" si="448"/>
        <v>0</v>
      </c>
      <c r="Q7233" s="31" t="str">
        <f t="shared" si="449"/>
        <v/>
      </c>
      <c r="R7233" s="32" t="str">
        <f>IFERROR(VLOOKUP($D7233,'Informations sur les produits'!$A$3:$B$15000,2,FALSE),"")</f>
        <v/>
      </c>
      <c r="V7233">
        <f t="shared" si="450"/>
        <v>0</v>
      </c>
      <c r="W7233">
        <f t="shared" si="451"/>
        <v>0</v>
      </c>
    </row>
    <row r="7234" spans="5:23" x14ac:dyDescent="0.25">
      <c r="E7234" s="4"/>
      <c r="F7234" s="4"/>
      <c r="G7234" s="33" t="str">
        <f>IFERROR(VLOOKUP($D7234,'Informations sur les produits'!$A$3:$H$10000,8,FALSE),"0")</f>
        <v>0</v>
      </c>
      <c r="K7234" s="4"/>
      <c r="L7234" s="33" t="str">
        <f>IFERROR(VLOOKUP($J7234,'Informations sur les produits'!$A$3:$H$10000,8,FALSE),"0")</f>
        <v>0</v>
      </c>
      <c r="N7234" s="8"/>
      <c r="O7234" s="33" t="str">
        <f>IFERROR(VLOOKUP($M7234,'Informations sur les produits'!$A$3:$H$10000,8,FALSE),"0")</f>
        <v>0</v>
      </c>
      <c r="P7234" s="33">
        <f t="shared" si="448"/>
        <v>0</v>
      </c>
      <c r="Q7234" s="31" t="str">
        <f t="shared" si="449"/>
        <v/>
      </c>
      <c r="R7234" s="32" t="str">
        <f>IFERROR(VLOOKUP($D7234,'Informations sur les produits'!$A$3:$B$15000,2,FALSE),"")</f>
        <v/>
      </c>
      <c r="V7234">
        <f t="shared" si="450"/>
        <v>0</v>
      </c>
      <c r="W7234">
        <f t="shared" si="451"/>
        <v>0</v>
      </c>
    </row>
    <row r="7235" spans="5:23" x14ac:dyDescent="0.25">
      <c r="E7235" s="4"/>
      <c r="F7235" s="4"/>
      <c r="G7235" s="33" t="str">
        <f>IFERROR(VLOOKUP($D7235,'Informations sur les produits'!$A$3:$H$10000,8,FALSE),"0")</f>
        <v>0</v>
      </c>
      <c r="K7235" s="4"/>
      <c r="L7235" s="33" t="str">
        <f>IFERROR(VLOOKUP($J7235,'Informations sur les produits'!$A$3:$H$10000,8,FALSE),"0")</f>
        <v>0</v>
      </c>
      <c r="N7235" s="8"/>
      <c r="O7235" s="33" t="str">
        <f>IFERROR(VLOOKUP($M7235,'Informations sur les produits'!$A$3:$H$10000,8,FALSE),"0")</f>
        <v>0</v>
      </c>
      <c r="P7235" s="33">
        <f t="shared" si="448"/>
        <v>0</v>
      </c>
      <c r="Q7235" s="31" t="str">
        <f t="shared" si="449"/>
        <v/>
      </c>
      <c r="R7235" s="32" t="str">
        <f>IFERROR(VLOOKUP($D7235,'Informations sur les produits'!$A$3:$B$15000,2,FALSE),"")</f>
        <v/>
      </c>
      <c r="V7235">
        <f t="shared" si="450"/>
        <v>0</v>
      </c>
      <c r="W7235">
        <f t="shared" si="451"/>
        <v>0</v>
      </c>
    </row>
    <row r="7236" spans="5:23" x14ac:dyDescent="0.25">
      <c r="E7236" s="4"/>
      <c r="F7236" s="4"/>
      <c r="G7236" s="33" t="str">
        <f>IFERROR(VLOOKUP($D7236,'Informations sur les produits'!$A$3:$H$10000,8,FALSE),"0")</f>
        <v>0</v>
      </c>
      <c r="K7236" s="4"/>
      <c r="L7236" s="33" t="str">
        <f>IFERROR(VLOOKUP($J7236,'Informations sur les produits'!$A$3:$H$10000,8,FALSE),"0")</f>
        <v>0</v>
      </c>
      <c r="N7236" s="8"/>
      <c r="O7236" s="33" t="str">
        <f>IFERROR(VLOOKUP($M7236,'Informations sur les produits'!$A$3:$H$10000,8,FALSE),"0")</f>
        <v>0</v>
      </c>
      <c r="P7236" s="33">
        <f t="shared" ref="P7236:P7299" si="452">IFERROR((($E7236-$F7236)*$G7236+$K7236*$L7236+$N7236*$O7236),"")</f>
        <v>0</v>
      </c>
      <c r="Q7236" s="31" t="str">
        <f t="shared" ref="Q7236:Q7299" si="453">IFERROR((((($E7236-$F7236)*$G7236+$K7236*$L7236+$N7236*$O7236)*1000)/(($E7236-$F7236)+$K7236+$N7236)),"")</f>
        <v/>
      </c>
      <c r="R7236" s="32" t="str">
        <f>IFERROR(VLOOKUP($D7236,'Informations sur les produits'!$A$3:$B$15000,2,FALSE),"")</f>
        <v/>
      </c>
      <c r="V7236">
        <f t="shared" ref="V7236:V7299" si="454">IFERROR(P7236*1000,"")</f>
        <v>0</v>
      </c>
      <c r="W7236">
        <f t="shared" ref="W7236:W7299" si="455">IFERROR(($E7236-$F7236)+$K7236+$N7236,"")</f>
        <v>0</v>
      </c>
    </row>
    <row r="7237" spans="5:23" x14ac:dyDescent="0.25">
      <c r="E7237" s="4"/>
      <c r="F7237" s="4"/>
      <c r="G7237" s="33" t="str">
        <f>IFERROR(VLOOKUP($D7237,'Informations sur les produits'!$A$3:$H$10000,8,FALSE),"0")</f>
        <v>0</v>
      </c>
      <c r="K7237" s="4"/>
      <c r="L7237" s="33" t="str">
        <f>IFERROR(VLOOKUP($J7237,'Informations sur les produits'!$A$3:$H$10000,8,FALSE),"0")</f>
        <v>0</v>
      </c>
      <c r="N7237" s="8"/>
      <c r="O7237" s="33" t="str">
        <f>IFERROR(VLOOKUP($M7237,'Informations sur les produits'!$A$3:$H$10000,8,FALSE),"0")</f>
        <v>0</v>
      </c>
      <c r="P7237" s="33">
        <f t="shared" si="452"/>
        <v>0</v>
      </c>
      <c r="Q7237" s="31" t="str">
        <f t="shared" si="453"/>
        <v/>
      </c>
      <c r="R7237" s="32" t="str">
        <f>IFERROR(VLOOKUP($D7237,'Informations sur les produits'!$A$3:$B$15000,2,FALSE),"")</f>
        <v/>
      </c>
      <c r="V7237">
        <f t="shared" si="454"/>
        <v>0</v>
      </c>
      <c r="W7237">
        <f t="shared" si="455"/>
        <v>0</v>
      </c>
    </row>
    <row r="7238" spans="5:23" x14ac:dyDescent="0.25">
      <c r="E7238" s="4"/>
      <c r="F7238" s="4"/>
      <c r="G7238" s="33" t="str">
        <f>IFERROR(VLOOKUP($D7238,'Informations sur les produits'!$A$3:$H$10000,8,FALSE),"0")</f>
        <v>0</v>
      </c>
      <c r="K7238" s="4"/>
      <c r="L7238" s="33" t="str">
        <f>IFERROR(VLOOKUP($J7238,'Informations sur les produits'!$A$3:$H$10000,8,FALSE),"0")</f>
        <v>0</v>
      </c>
      <c r="N7238" s="8"/>
      <c r="O7238" s="33" t="str">
        <f>IFERROR(VLOOKUP($M7238,'Informations sur les produits'!$A$3:$H$10000,8,FALSE),"0")</f>
        <v>0</v>
      </c>
      <c r="P7238" s="33">
        <f t="shared" si="452"/>
        <v>0</v>
      </c>
      <c r="Q7238" s="31" t="str">
        <f t="shared" si="453"/>
        <v/>
      </c>
      <c r="R7238" s="32" t="str">
        <f>IFERROR(VLOOKUP($D7238,'Informations sur les produits'!$A$3:$B$15000,2,FALSE),"")</f>
        <v/>
      </c>
      <c r="V7238">
        <f t="shared" si="454"/>
        <v>0</v>
      </c>
      <c r="W7238">
        <f t="shared" si="455"/>
        <v>0</v>
      </c>
    </row>
    <row r="7239" spans="5:23" x14ac:dyDescent="0.25">
      <c r="E7239" s="4"/>
      <c r="F7239" s="4"/>
      <c r="G7239" s="33" t="str">
        <f>IFERROR(VLOOKUP($D7239,'Informations sur les produits'!$A$3:$H$10000,8,FALSE),"0")</f>
        <v>0</v>
      </c>
      <c r="K7239" s="4"/>
      <c r="L7239" s="33" t="str">
        <f>IFERROR(VLOOKUP($J7239,'Informations sur les produits'!$A$3:$H$10000,8,FALSE),"0")</f>
        <v>0</v>
      </c>
      <c r="N7239" s="8"/>
      <c r="O7239" s="33" t="str">
        <f>IFERROR(VLOOKUP($M7239,'Informations sur les produits'!$A$3:$H$10000,8,FALSE),"0")</f>
        <v>0</v>
      </c>
      <c r="P7239" s="33">
        <f t="shared" si="452"/>
        <v>0</v>
      </c>
      <c r="Q7239" s="31" t="str">
        <f t="shared" si="453"/>
        <v/>
      </c>
      <c r="R7239" s="32" t="str">
        <f>IFERROR(VLOOKUP($D7239,'Informations sur les produits'!$A$3:$B$15000,2,FALSE),"")</f>
        <v/>
      </c>
      <c r="V7239">
        <f t="shared" si="454"/>
        <v>0</v>
      </c>
      <c r="W7239">
        <f t="shared" si="455"/>
        <v>0</v>
      </c>
    </row>
    <row r="7240" spans="5:23" x14ac:dyDescent="0.25">
      <c r="E7240" s="4"/>
      <c r="F7240" s="4"/>
      <c r="G7240" s="33" t="str">
        <f>IFERROR(VLOOKUP($D7240,'Informations sur les produits'!$A$3:$H$10000,8,FALSE),"0")</f>
        <v>0</v>
      </c>
      <c r="K7240" s="4"/>
      <c r="L7240" s="33" t="str">
        <f>IFERROR(VLOOKUP($J7240,'Informations sur les produits'!$A$3:$H$10000,8,FALSE),"0")</f>
        <v>0</v>
      </c>
      <c r="N7240" s="8"/>
      <c r="O7240" s="33" t="str">
        <f>IFERROR(VLOOKUP($M7240,'Informations sur les produits'!$A$3:$H$10000,8,FALSE),"0")</f>
        <v>0</v>
      </c>
      <c r="P7240" s="33">
        <f t="shared" si="452"/>
        <v>0</v>
      </c>
      <c r="Q7240" s="31" t="str">
        <f t="shared" si="453"/>
        <v/>
      </c>
      <c r="R7240" s="32" t="str">
        <f>IFERROR(VLOOKUP($D7240,'Informations sur les produits'!$A$3:$B$15000,2,FALSE),"")</f>
        <v/>
      </c>
      <c r="V7240">
        <f t="shared" si="454"/>
        <v>0</v>
      </c>
      <c r="W7240">
        <f t="shared" si="455"/>
        <v>0</v>
      </c>
    </row>
    <row r="7241" spans="5:23" x14ac:dyDescent="0.25">
      <c r="E7241" s="4"/>
      <c r="F7241" s="4"/>
      <c r="G7241" s="33" t="str">
        <f>IFERROR(VLOOKUP($D7241,'Informations sur les produits'!$A$3:$H$10000,8,FALSE),"0")</f>
        <v>0</v>
      </c>
      <c r="K7241" s="4"/>
      <c r="L7241" s="33" t="str">
        <f>IFERROR(VLOOKUP($J7241,'Informations sur les produits'!$A$3:$H$10000,8,FALSE),"0")</f>
        <v>0</v>
      </c>
      <c r="N7241" s="8"/>
      <c r="O7241" s="33" t="str">
        <f>IFERROR(VLOOKUP($M7241,'Informations sur les produits'!$A$3:$H$10000,8,FALSE),"0")</f>
        <v>0</v>
      </c>
      <c r="P7241" s="33">
        <f t="shared" si="452"/>
        <v>0</v>
      </c>
      <c r="Q7241" s="31" t="str">
        <f t="shared" si="453"/>
        <v/>
      </c>
      <c r="R7241" s="32" t="str">
        <f>IFERROR(VLOOKUP($D7241,'Informations sur les produits'!$A$3:$B$15000,2,FALSE),"")</f>
        <v/>
      </c>
      <c r="V7241">
        <f t="shared" si="454"/>
        <v>0</v>
      </c>
      <c r="W7241">
        <f t="shared" si="455"/>
        <v>0</v>
      </c>
    </row>
    <row r="7242" spans="5:23" x14ac:dyDescent="0.25">
      <c r="E7242" s="4"/>
      <c r="F7242" s="4"/>
      <c r="G7242" s="33" t="str">
        <f>IFERROR(VLOOKUP($D7242,'Informations sur les produits'!$A$3:$H$10000,8,FALSE),"0")</f>
        <v>0</v>
      </c>
      <c r="K7242" s="4"/>
      <c r="L7242" s="33" t="str">
        <f>IFERROR(VLOOKUP($J7242,'Informations sur les produits'!$A$3:$H$10000,8,FALSE),"0")</f>
        <v>0</v>
      </c>
      <c r="N7242" s="8"/>
      <c r="O7242" s="33" t="str">
        <f>IFERROR(VLOOKUP($M7242,'Informations sur les produits'!$A$3:$H$10000,8,FALSE),"0")</f>
        <v>0</v>
      </c>
      <c r="P7242" s="33">
        <f t="shared" si="452"/>
        <v>0</v>
      </c>
      <c r="Q7242" s="31" t="str">
        <f t="shared" si="453"/>
        <v/>
      </c>
      <c r="R7242" s="32" t="str">
        <f>IFERROR(VLOOKUP($D7242,'Informations sur les produits'!$A$3:$B$15000,2,FALSE),"")</f>
        <v/>
      </c>
      <c r="V7242">
        <f t="shared" si="454"/>
        <v>0</v>
      </c>
      <c r="W7242">
        <f t="shared" si="455"/>
        <v>0</v>
      </c>
    </row>
    <row r="7243" spans="5:23" x14ac:dyDescent="0.25">
      <c r="E7243" s="4"/>
      <c r="F7243" s="4"/>
      <c r="G7243" s="33" t="str">
        <f>IFERROR(VLOOKUP($D7243,'Informations sur les produits'!$A$3:$H$10000,8,FALSE),"0")</f>
        <v>0</v>
      </c>
      <c r="K7243" s="4"/>
      <c r="L7243" s="33" t="str">
        <f>IFERROR(VLOOKUP($J7243,'Informations sur les produits'!$A$3:$H$10000,8,FALSE),"0")</f>
        <v>0</v>
      </c>
      <c r="N7243" s="8"/>
      <c r="O7243" s="33" t="str">
        <f>IFERROR(VLOOKUP($M7243,'Informations sur les produits'!$A$3:$H$10000,8,FALSE),"0")</f>
        <v>0</v>
      </c>
      <c r="P7243" s="33">
        <f t="shared" si="452"/>
        <v>0</v>
      </c>
      <c r="Q7243" s="31" t="str">
        <f t="shared" si="453"/>
        <v/>
      </c>
      <c r="R7243" s="32" t="str">
        <f>IFERROR(VLOOKUP($D7243,'Informations sur les produits'!$A$3:$B$15000,2,FALSE),"")</f>
        <v/>
      </c>
      <c r="V7243">
        <f t="shared" si="454"/>
        <v>0</v>
      </c>
      <c r="W7243">
        <f t="shared" si="455"/>
        <v>0</v>
      </c>
    </row>
    <row r="7244" spans="5:23" x14ac:dyDescent="0.25">
      <c r="E7244" s="4"/>
      <c r="F7244" s="4"/>
      <c r="G7244" s="33" t="str">
        <f>IFERROR(VLOOKUP($D7244,'Informations sur les produits'!$A$3:$H$10000,8,FALSE),"0")</f>
        <v>0</v>
      </c>
      <c r="K7244" s="4"/>
      <c r="L7244" s="33" t="str">
        <f>IFERROR(VLOOKUP($J7244,'Informations sur les produits'!$A$3:$H$10000,8,FALSE),"0")</f>
        <v>0</v>
      </c>
      <c r="N7244" s="8"/>
      <c r="O7244" s="33" t="str">
        <f>IFERROR(VLOOKUP($M7244,'Informations sur les produits'!$A$3:$H$10000,8,FALSE),"0")</f>
        <v>0</v>
      </c>
      <c r="P7244" s="33">
        <f t="shared" si="452"/>
        <v>0</v>
      </c>
      <c r="Q7244" s="31" t="str">
        <f t="shared" si="453"/>
        <v/>
      </c>
      <c r="R7244" s="32" t="str">
        <f>IFERROR(VLOOKUP($D7244,'Informations sur les produits'!$A$3:$B$15000,2,FALSE),"")</f>
        <v/>
      </c>
      <c r="V7244">
        <f t="shared" si="454"/>
        <v>0</v>
      </c>
      <c r="W7244">
        <f t="shared" si="455"/>
        <v>0</v>
      </c>
    </row>
    <row r="7245" spans="5:23" x14ac:dyDescent="0.25">
      <c r="E7245" s="4"/>
      <c r="F7245" s="4"/>
      <c r="G7245" s="33" t="str">
        <f>IFERROR(VLOOKUP($D7245,'Informations sur les produits'!$A$3:$H$10000,8,FALSE),"0")</f>
        <v>0</v>
      </c>
      <c r="K7245" s="4"/>
      <c r="L7245" s="33" t="str">
        <f>IFERROR(VLOOKUP($J7245,'Informations sur les produits'!$A$3:$H$10000,8,FALSE),"0")</f>
        <v>0</v>
      </c>
      <c r="N7245" s="8"/>
      <c r="O7245" s="33" t="str">
        <f>IFERROR(VLOOKUP($M7245,'Informations sur les produits'!$A$3:$H$10000,8,FALSE),"0")</f>
        <v>0</v>
      </c>
      <c r="P7245" s="33">
        <f t="shared" si="452"/>
        <v>0</v>
      </c>
      <c r="Q7245" s="31" t="str">
        <f t="shared" si="453"/>
        <v/>
      </c>
      <c r="R7245" s="32" t="str">
        <f>IFERROR(VLOOKUP($D7245,'Informations sur les produits'!$A$3:$B$15000,2,FALSE),"")</f>
        <v/>
      </c>
      <c r="V7245">
        <f t="shared" si="454"/>
        <v>0</v>
      </c>
      <c r="W7245">
        <f t="shared" si="455"/>
        <v>0</v>
      </c>
    </row>
    <row r="7246" spans="5:23" x14ac:dyDescent="0.25">
      <c r="E7246" s="4"/>
      <c r="F7246" s="4"/>
      <c r="G7246" s="33" t="str">
        <f>IFERROR(VLOOKUP($D7246,'Informations sur les produits'!$A$3:$H$10000,8,FALSE),"0")</f>
        <v>0</v>
      </c>
      <c r="K7246" s="4"/>
      <c r="L7246" s="33" t="str">
        <f>IFERROR(VLOOKUP($J7246,'Informations sur les produits'!$A$3:$H$10000,8,FALSE),"0")</f>
        <v>0</v>
      </c>
      <c r="N7246" s="8"/>
      <c r="O7246" s="33" t="str">
        <f>IFERROR(VLOOKUP($M7246,'Informations sur les produits'!$A$3:$H$10000,8,FALSE),"0")</f>
        <v>0</v>
      </c>
      <c r="P7246" s="33">
        <f t="shared" si="452"/>
        <v>0</v>
      </c>
      <c r="Q7246" s="31" t="str">
        <f t="shared" si="453"/>
        <v/>
      </c>
      <c r="R7246" s="32" t="str">
        <f>IFERROR(VLOOKUP($D7246,'Informations sur les produits'!$A$3:$B$15000,2,FALSE),"")</f>
        <v/>
      </c>
      <c r="V7246">
        <f t="shared" si="454"/>
        <v>0</v>
      </c>
      <c r="W7246">
        <f t="shared" si="455"/>
        <v>0</v>
      </c>
    </row>
    <row r="7247" spans="5:23" x14ac:dyDescent="0.25">
      <c r="E7247" s="4"/>
      <c r="F7247" s="4"/>
      <c r="G7247" s="33" t="str">
        <f>IFERROR(VLOOKUP($D7247,'Informations sur les produits'!$A$3:$H$10000,8,FALSE),"0")</f>
        <v>0</v>
      </c>
      <c r="K7247" s="4"/>
      <c r="L7247" s="33" t="str">
        <f>IFERROR(VLOOKUP($J7247,'Informations sur les produits'!$A$3:$H$10000,8,FALSE),"0")</f>
        <v>0</v>
      </c>
      <c r="N7247" s="8"/>
      <c r="O7247" s="33" t="str">
        <f>IFERROR(VLOOKUP($M7247,'Informations sur les produits'!$A$3:$H$10000,8,FALSE),"0")</f>
        <v>0</v>
      </c>
      <c r="P7247" s="33">
        <f t="shared" si="452"/>
        <v>0</v>
      </c>
      <c r="Q7247" s="31" t="str">
        <f t="shared" si="453"/>
        <v/>
      </c>
      <c r="R7247" s="32" t="str">
        <f>IFERROR(VLOOKUP($D7247,'Informations sur les produits'!$A$3:$B$15000,2,FALSE),"")</f>
        <v/>
      </c>
      <c r="V7247">
        <f t="shared" si="454"/>
        <v>0</v>
      </c>
      <c r="W7247">
        <f t="shared" si="455"/>
        <v>0</v>
      </c>
    </row>
    <row r="7248" spans="5:23" x14ac:dyDescent="0.25">
      <c r="E7248" s="4"/>
      <c r="F7248" s="4"/>
      <c r="G7248" s="33" t="str">
        <f>IFERROR(VLOOKUP($D7248,'Informations sur les produits'!$A$3:$H$10000,8,FALSE),"0")</f>
        <v>0</v>
      </c>
      <c r="K7248" s="4"/>
      <c r="L7248" s="33" t="str">
        <f>IFERROR(VLOOKUP($J7248,'Informations sur les produits'!$A$3:$H$10000,8,FALSE),"0")</f>
        <v>0</v>
      </c>
      <c r="N7248" s="8"/>
      <c r="O7248" s="33" t="str">
        <f>IFERROR(VLOOKUP($M7248,'Informations sur les produits'!$A$3:$H$10000,8,FALSE),"0")</f>
        <v>0</v>
      </c>
      <c r="P7248" s="33">
        <f t="shared" si="452"/>
        <v>0</v>
      </c>
      <c r="Q7248" s="31" t="str">
        <f t="shared" si="453"/>
        <v/>
      </c>
      <c r="R7248" s="32" t="str">
        <f>IFERROR(VLOOKUP($D7248,'Informations sur les produits'!$A$3:$B$15000,2,FALSE),"")</f>
        <v/>
      </c>
      <c r="V7248">
        <f t="shared" si="454"/>
        <v>0</v>
      </c>
      <c r="W7248">
        <f t="shared" si="455"/>
        <v>0</v>
      </c>
    </row>
    <row r="7249" spans="5:23" x14ac:dyDescent="0.25">
      <c r="E7249" s="4"/>
      <c r="F7249" s="4"/>
      <c r="G7249" s="33" t="str">
        <f>IFERROR(VLOOKUP($D7249,'Informations sur les produits'!$A$3:$H$10000,8,FALSE),"0")</f>
        <v>0</v>
      </c>
      <c r="K7249" s="4"/>
      <c r="L7249" s="33" t="str">
        <f>IFERROR(VLOOKUP($J7249,'Informations sur les produits'!$A$3:$H$10000,8,FALSE),"0")</f>
        <v>0</v>
      </c>
      <c r="N7249" s="8"/>
      <c r="O7249" s="33" t="str">
        <f>IFERROR(VLOOKUP($M7249,'Informations sur les produits'!$A$3:$H$10000,8,FALSE),"0")</f>
        <v>0</v>
      </c>
      <c r="P7249" s="33">
        <f t="shared" si="452"/>
        <v>0</v>
      </c>
      <c r="Q7249" s="31" t="str">
        <f t="shared" si="453"/>
        <v/>
      </c>
      <c r="R7249" s="32" t="str">
        <f>IFERROR(VLOOKUP($D7249,'Informations sur les produits'!$A$3:$B$15000,2,FALSE),"")</f>
        <v/>
      </c>
      <c r="V7249">
        <f t="shared" si="454"/>
        <v>0</v>
      </c>
      <c r="W7249">
        <f t="shared" si="455"/>
        <v>0</v>
      </c>
    </row>
    <row r="7250" spans="5:23" x14ac:dyDescent="0.25">
      <c r="E7250" s="4"/>
      <c r="F7250" s="4"/>
      <c r="G7250" s="33" t="str">
        <f>IFERROR(VLOOKUP($D7250,'Informations sur les produits'!$A$3:$H$10000,8,FALSE),"0")</f>
        <v>0</v>
      </c>
      <c r="K7250" s="4"/>
      <c r="L7250" s="33" t="str">
        <f>IFERROR(VLOOKUP($J7250,'Informations sur les produits'!$A$3:$H$10000,8,FALSE),"0")</f>
        <v>0</v>
      </c>
      <c r="N7250" s="8"/>
      <c r="O7250" s="33" t="str">
        <f>IFERROR(VLOOKUP($M7250,'Informations sur les produits'!$A$3:$H$10000,8,FALSE),"0")</f>
        <v>0</v>
      </c>
      <c r="P7250" s="33">
        <f t="shared" si="452"/>
        <v>0</v>
      </c>
      <c r="Q7250" s="31" t="str">
        <f t="shared" si="453"/>
        <v/>
      </c>
      <c r="R7250" s="32" t="str">
        <f>IFERROR(VLOOKUP($D7250,'Informations sur les produits'!$A$3:$B$15000,2,FALSE),"")</f>
        <v/>
      </c>
      <c r="V7250">
        <f t="shared" si="454"/>
        <v>0</v>
      </c>
      <c r="W7250">
        <f t="shared" si="455"/>
        <v>0</v>
      </c>
    </row>
    <row r="7251" spans="5:23" x14ac:dyDescent="0.25">
      <c r="E7251" s="4"/>
      <c r="F7251" s="4"/>
      <c r="G7251" s="33" t="str">
        <f>IFERROR(VLOOKUP($D7251,'Informations sur les produits'!$A$3:$H$10000,8,FALSE),"0")</f>
        <v>0</v>
      </c>
      <c r="K7251" s="4"/>
      <c r="L7251" s="33" t="str">
        <f>IFERROR(VLOOKUP($J7251,'Informations sur les produits'!$A$3:$H$10000,8,FALSE),"0")</f>
        <v>0</v>
      </c>
      <c r="N7251" s="8"/>
      <c r="O7251" s="33" t="str">
        <f>IFERROR(VLOOKUP($M7251,'Informations sur les produits'!$A$3:$H$10000,8,FALSE),"0")</f>
        <v>0</v>
      </c>
      <c r="P7251" s="33">
        <f t="shared" si="452"/>
        <v>0</v>
      </c>
      <c r="Q7251" s="31" t="str">
        <f t="shared" si="453"/>
        <v/>
      </c>
      <c r="R7251" s="32" t="str">
        <f>IFERROR(VLOOKUP($D7251,'Informations sur les produits'!$A$3:$B$15000,2,FALSE),"")</f>
        <v/>
      </c>
      <c r="V7251">
        <f t="shared" si="454"/>
        <v>0</v>
      </c>
      <c r="W7251">
        <f t="shared" si="455"/>
        <v>0</v>
      </c>
    </row>
    <row r="7252" spans="5:23" x14ac:dyDescent="0.25">
      <c r="E7252" s="4"/>
      <c r="F7252" s="4"/>
      <c r="G7252" s="33" t="str">
        <f>IFERROR(VLOOKUP($D7252,'Informations sur les produits'!$A$3:$H$10000,8,FALSE),"0")</f>
        <v>0</v>
      </c>
      <c r="K7252" s="4"/>
      <c r="L7252" s="33" t="str">
        <f>IFERROR(VLOOKUP($J7252,'Informations sur les produits'!$A$3:$H$10000,8,FALSE),"0")</f>
        <v>0</v>
      </c>
      <c r="N7252" s="8"/>
      <c r="O7252" s="33" t="str">
        <f>IFERROR(VLOOKUP($M7252,'Informations sur les produits'!$A$3:$H$10000,8,FALSE),"0")</f>
        <v>0</v>
      </c>
      <c r="P7252" s="33">
        <f t="shared" si="452"/>
        <v>0</v>
      </c>
      <c r="Q7252" s="31" t="str">
        <f t="shared" si="453"/>
        <v/>
      </c>
      <c r="R7252" s="32" t="str">
        <f>IFERROR(VLOOKUP($D7252,'Informations sur les produits'!$A$3:$B$15000,2,FALSE),"")</f>
        <v/>
      </c>
      <c r="V7252">
        <f t="shared" si="454"/>
        <v>0</v>
      </c>
      <c r="W7252">
        <f t="shared" si="455"/>
        <v>0</v>
      </c>
    </row>
    <row r="7253" spans="5:23" x14ac:dyDescent="0.25">
      <c r="E7253" s="4"/>
      <c r="F7253" s="4"/>
      <c r="G7253" s="33" t="str">
        <f>IFERROR(VLOOKUP($D7253,'Informations sur les produits'!$A$3:$H$10000,8,FALSE),"0")</f>
        <v>0</v>
      </c>
      <c r="K7253" s="4"/>
      <c r="L7253" s="33" t="str">
        <f>IFERROR(VLOOKUP($J7253,'Informations sur les produits'!$A$3:$H$10000,8,FALSE),"0")</f>
        <v>0</v>
      </c>
      <c r="N7253" s="8"/>
      <c r="O7253" s="33" t="str">
        <f>IFERROR(VLOOKUP($M7253,'Informations sur les produits'!$A$3:$H$10000,8,FALSE),"0")</f>
        <v>0</v>
      </c>
      <c r="P7253" s="33">
        <f t="shared" si="452"/>
        <v>0</v>
      </c>
      <c r="Q7253" s="31" t="str">
        <f t="shared" si="453"/>
        <v/>
      </c>
      <c r="R7253" s="32" t="str">
        <f>IFERROR(VLOOKUP($D7253,'Informations sur les produits'!$A$3:$B$15000,2,FALSE),"")</f>
        <v/>
      </c>
      <c r="V7253">
        <f t="shared" si="454"/>
        <v>0</v>
      </c>
      <c r="W7253">
        <f t="shared" si="455"/>
        <v>0</v>
      </c>
    </row>
    <row r="7254" spans="5:23" x14ac:dyDescent="0.25">
      <c r="E7254" s="4"/>
      <c r="F7254" s="4"/>
      <c r="G7254" s="33" t="str">
        <f>IFERROR(VLOOKUP($D7254,'Informations sur les produits'!$A$3:$H$10000,8,FALSE),"0")</f>
        <v>0</v>
      </c>
      <c r="K7254" s="4"/>
      <c r="L7254" s="33" t="str">
        <f>IFERROR(VLOOKUP($J7254,'Informations sur les produits'!$A$3:$H$10000,8,FALSE),"0")</f>
        <v>0</v>
      </c>
      <c r="N7254" s="8"/>
      <c r="O7254" s="33" t="str">
        <f>IFERROR(VLOOKUP($M7254,'Informations sur les produits'!$A$3:$H$10000,8,FALSE),"0")</f>
        <v>0</v>
      </c>
      <c r="P7254" s="33">
        <f t="shared" si="452"/>
        <v>0</v>
      </c>
      <c r="Q7254" s="31" t="str">
        <f t="shared" si="453"/>
        <v/>
      </c>
      <c r="R7254" s="32" t="str">
        <f>IFERROR(VLOOKUP($D7254,'Informations sur les produits'!$A$3:$B$15000,2,FALSE),"")</f>
        <v/>
      </c>
      <c r="V7254">
        <f t="shared" si="454"/>
        <v>0</v>
      </c>
      <c r="W7254">
        <f t="shared" si="455"/>
        <v>0</v>
      </c>
    </row>
    <row r="7255" spans="5:23" x14ac:dyDescent="0.25">
      <c r="E7255" s="4"/>
      <c r="F7255" s="4"/>
      <c r="G7255" s="33" t="str">
        <f>IFERROR(VLOOKUP($D7255,'Informations sur les produits'!$A$3:$H$10000,8,FALSE),"0")</f>
        <v>0</v>
      </c>
      <c r="K7255" s="4"/>
      <c r="L7255" s="33" t="str">
        <f>IFERROR(VLOOKUP($J7255,'Informations sur les produits'!$A$3:$H$10000,8,FALSE),"0")</f>
        <v>0</v>
      </c>
      <c r="N7255" s="8"/>
      <c r="O7255" s="33" t="str">
        <f>IFERROR(VLOOKUP($M7255,'Informations sur les produits'!$A$3:$H$10000,8,FALSE),"0")</f>
        <v>0</v>
      </c>
      <c r="P7255" s="33">
        <f t="shared" si="452"/>
        <v>0</v>
      </c>
      <c r="Q7255" s="31" t="str">
        <f t="shared" si="453"/>
        <v/>
      </c>
      <c r="R7255" s="32" t="str">
        <f>IFERROR(VLOOKUP($D7255,'Informations sur les produits'!$A$3:$B$15000,2,FALSE),"")</f>
        <v/>
      </c>
      <c r="V7255">
        <f t="shared" si="454"/>
        <v>0</v>
      </c>
      <c r="W7255">
        <f t="shared" si="455"/>
        <v>0</v>
      </c>
    </row>
    <row r="7256" spans="5:23" x14ac:dyDescent="0.25">
      <c r="E7256" s="4"/>
      <c r="F7256" s="4"/>
      <c r="G7256" s="33" t="str">
        <f>IFERROR(VLOOKUP($D7256,'Informations sur les produits'!$A$3:$H$10000,8,FALSE),"0")</f>
        <v>0</v>
      </c>
      <c r="K7256" s="4"/>
      <c r="L7256" s="33" t="str">
        <f>IFERROR(VLOOKUP($J7256,'Informations sur les produits'!$A$3:$H$10000,8,FALSE),"0")</f>
        <v>0</v>
      </c>
      <c r="N7256" s="8"/>
      <c r="O7256" s="33" t="str">
        <f>IFERROR(VLOOKUP($M7256,'Informations sur les produits'!$A$3:$H$10000,8,FALSE),"0")</f>
        <v>0</v>
      </c>
      <c r="P7256" s="33">
        <f t="shared" si="452"/>
        <v>0</v>
      </c>
      <c r="Q7256" s="31" t="str">
        <f t="shared" si="453"/>
        <v/>
      </c>
      <c r="R7256" s="32" t="str">
        <f>IFERROR(VLOOKUP($D7256,'Informations sur les produits'!$A$3:$B$15000,2,FALSE),"")</f>
        <v/>
      </c>
      <c r="V7256">
        <f t="shared" si="454"/>
        <v>0</v>
      </c>
      <c r="W7256">
        <f t="shared" si="455"/>
        <v>0</v>
      </c>
    </row>
    <row r="7257" spans="5:23" x14ac:dyDescent="0.25">
      <c r="E7257" s="4"/>
      <c r="F7257" s="4"/>
      <c r="G7257" s="33" t="str">
        <f>IFERROR(VLOOKUP($D7257,'Informations sur les produits'!$A$3:$H$10000,8,FALSE),"0")</f>
        <v>0</v>
      </c>
      <c r="K7257" s="4"/>
      <c r="L7257" s="33" t="str">
        <f>IFERROR(VLOOKUP($J7257,'Informations sur les produits'!$A$3:$H$10000,8,FALSE),"0")</f>
        <v>0</v>
      </c>
      <c r="N7257" s="8"/>
      <c r="O7257" s="33" t="str">
        <f>IFERROR(VLOOKUP($M7257,'Informations sur les produits'!$A$3:$H$10000,8,FALSE),"0")</f>
        <v>0</v>
      </c>
      <c r="P7257" s="33">
        <f t="shared" si="452"/>
        <v>0</v>
      </c>
      <c r="Q7257" s="31" t="str">
        <f t="shared" si="453"/>
        <v/>
      </c>
      <c r="R7257" s="32" t="str">
        <f>IFERROR(VLOOKUP($D7257,'Informations sur les produits'!$A$3:$B$15000,2,FALSE),"")</f>
        <v/>
      </c>
      <c r="V7257">
        <f t="shared" si="454"/>
        <v>0</v>
      </c>
      <c r="W7257">
        <f t="shared" si="455"/>
        <v>0</v>
      </c>
    </row>
    <row r="7258" spans="5:23" x14ac:dyDescent="0.25">
      <c r="E7258" s="4"/>
      <c r="F7258" s="4"/>
      <c r="G7258" s="33" t="str">
        <f>IFERROR(VLOOKUP($D7258,'Informations sur les produits'!$A$3:$H$10000,8,FALSE),"0")</f>
        <v>0</v>
      </c>
      <c r="K7258" s="4"/>
      <c r="L7258" s="33" t="str">
        <f>IFERROR(VLOOKUP($J7258,'Informations sur les produits'!$A$3:$H$10000,8,FALSE),"0")</f>
        <v>0</v>
      </c>
      <c r="N7258" s="8"/>
      <c r="O7258" s="33" t="str">
        <f>IFERROR(VLOOKUP($M7258,'Informations sur les produits'!$A$3:$H$10000,8,FALSE),"0")</f>
        <v>0</v>
      </c>
      <c r="P7258" s="33">
        <f t="shared" si="452"/>
        <v>0</v>
      </c>
      <c r="Q7258" s="31" t="str">
        <f t="shared" si="453"/>
        <v/>
      </c>
      <c r="R7258" s="32" t="str">
        <f>IFERROR(VLOOKUP($D7258,'Informations sur les produits'!$A$3:$B$15000,2,FALSE),"")</f>
        <v/>
      </c>
      <c r="V7258">
        <f t="shared" si="454"/>
        <v>0</v>
      </c>
      <c r="W7258">
        <f t="shared" si="455"/>
        <v>0</v>
      </c>
    </row>
    <row r="7259" spans="5:23" x14ac:dyDescent="0.25">
      <c r="E7259" s="4"/>
      <c r="F7259" s="4"/>
      <c r="G7259" s="33" t="str">
        <f>IFERROR(VLOOKUP($D7259,'Informations sur les produits'!$A$3:$H$10000,8,FALSE),"0")</f>
        <v>0</v>
      </c>
      <c r="K7259" s="4"/>
      <c r="L7259" s="33" t="str">
        <f>IFERROR(VLOOKUP($J7259,'Informations sur les produits'!$A$3:$H$10000,8,FALSE),"0")</f>
        <v>0</v>
      </c>
      <c r="N7259" s="8"/>
      <c r="O7259" s="33" t="str">
        <f>IFERROR(VLOOKUP($M7259,'Informations sur les produits'!$A$3:$H$10000,8,FALSE),"0")</f>
        <v>0</v>
      </c>
      <c r="P7259" s="33">
        <f t="shared" si="452"/>
        <v>0</v>
      </c>
      <c r="Q7259" s="31" t="str">
        <f t="shared" si="453"/>
        <v/>
      </c>
      <c r="R7259" s="32" t="str">
        <f>IFERROR(VLOOKUP($D7259,'Informations sur les produits'!$A$3:$B$15000,2,FALSE),"")</f>
        <v/>
      </c>
      <c r="V7259">
        <f t="shared" si="454"/>
        <v>0</v>
      </c>
      <c r="W7259">
        <f t="shared" si="455"/>
        <v>0</v>
      </c>
    </row>
    <row r="7260" spans="5:23" x14ac:dyDescent="0.25">
      <c r="E7260" s="4"/>
      <c r="F7260" s="4"/>
      <c r="G7260" s="33" t="str">
        <f>IFERROR(VLOOKUP($D7260,'Informations sur les produits'!$A$3:$H$10000,8,FALSE),"0")</f>
        <v>0</v>
      </c>
      <c r="K7260" s="4"/>
      <c r="L7260" s="33" t="str">
        <f>IFERROR(VLOOKUP($J7260,'Informations sur les produits'!$A$3:$H$10000,8,FALSE),"0")</f>
        <v>0</v>
      </c>
      <c r="N7260" s="8"/>
      <c r="O7260" s="33" t="str">
        <f>IFERROR(VLOOKUP($M7260,'Informations sur les produits'!$A$3:$H$10000,8,FALSE),"0")</f>
        <v>0</v>
      </c>
      <c r="P7260" s="33">
        <f t="shared" si="452"/>
        <v>0</v>
      </c>
      <c r="Q7260" s="31" t="str">
        <f t="shared" si="453"/>
        <v/>
      </c>
      <c r="R7260" s="32" t="str">
        <f>IFERROR(VLOOKUP($D7260,'Informations sur les produits'!$A$3:$B$15000,2,FALSE),"")</f>
        <v/>
      </c>
      <c r="V7260">
        <f t="shared" si="454"/>
        <v>0</v>
      </c>
      <c r="W7260">
        <f t="shared" si="455"/>
        <v>0</v>
      </c>
    </row>
    <row r="7261" spans="5:23" x14ac:dyDescent="0.25">
      <c r="E7261" s="4"/>
      <c r="F7261" s="4"/>
      <c r="G7261" s="33" t="str">
        <f>IFERROR(VLOOKUP($D7261,'Informations sur les produits'!$A$3:$H$10000,8,FALSE),"0")</f>
        <v>0</v>
      </c>
      <c r="K7261" s="4"/>
      <c r="L7261" s="33" t="str">
        <f>IFERROR(VLOOKUP($J7261,'Informations sur les produits'!$A$3:$H$10000,8,FALSE),"0")</f>
        <v>0</v>
      </c>
      <c r="N7261" s="8"/>
      <c r="O7261" s="33" t="str">
        <f>IFERROR(VLOOKUP($M7261,'Informations sur les produits'!$A$3:$H$10000,8,FALSE),"0")</f>
        <v>0</v>
      </c>
      <c r="P7261" s="33">
        <f t="shared" si="452"/>
        <v>0</v>
      </c>
      <c r="Q7261" s="31" t="str">
        <f t="shared" si="453"/>
        <v/>
      </c>
      <c r="R7261" s="32" t="str">
        <f>IFERROR(VLOOKUP($D7261,'Informations sur les produits'!$A$3:$B$15000,2,FALSE),"")</f>
        <v/>
      </c>
      <c r="V7261">
        <f t="shared" si="454"/>
        <v>0</v>
      </c>
      <c r="W7261">
        <f t="shared" si="455"/>
        <v>0</v>
      </c>
    </row>
    <row r="7262" spans="5:23" x14ac:dyDescent="0.25">
      <c r="E7262" s="4"/>
      <c r="F7262" s="4"/>
      <c r="G7262" s="33" t="str">
        <f>IFERROR(VLOOKUP($D7262,'Informations sur les produits'!$A$3:$H$10000,8,FALSE),"0")</f>
        <v>0</v>
      </c>
      <c r="K7262" s="4"/>
      <c r="L7262" s="33" t="str">
        <f>IFERROR(VLOOKUP($J7262,'Informations sur les produits'!$A$3:$H$10000,8,FALSE),"0")</f>
        <v>0</v>
      </c>
      <c r="N7262" s="8"/>
      <c r="O7262" s="33" t="str">
        <f>IFERROR(VLOOKUP($M7262,'Informations sur les produits'!$A$3:$H$10000,8,FALSE),"0")</f>
        <v>0</v>
      </c>
      <c r="P7262" s="33">
        <f t="shared" si="452"/>
        <v>0</v>
      </c>
      <c r="Q7262" s="31" t="str">
        <f t="shared" si="453"/>
        <v/>
      </c>
      <c r="R7262" s="32" t="str">
        <f>IFERROR(VLOOKUP($D7262,'Informations sur les produits'!$A$3:$B$15000,2,FALSE),"")</f>
        <v/>
      </c>
      <c r="V7262">
        <f t="shared" si="454"/>
        <v>0</v>
      </c>
      <c r="W7262">
        <f t="shared" si="455"/>
        <v>0</v>
      </c>
    </row>
    <row r="7263" spans="5:23" x14ac:dyDescent="0.25">
      <c r="E7263" s="4"/>
      <c r="F7263" s="4"/>
      <c r="G7263" s="33" t="str">
        <f>IFERROR(VLOOKUP($D7263,'Informations sur les produits'!$A$3:$H$10000,8,FALSE),"0")</f>
        <v>0</v>
      </c>
      <c r="K7263" s="4"/>
      <c r="L7263" s="33" t="str">
        <f>IFERROR(VLOOKUP($J7263,'Informations sur les produits'!$A$3:$H$10000,8,FALSE),"0")</f>
        <v>0</v>
      </c>
      <c r="N7263" s="8"/>
      <c r="O7263" s="33" t="str">
        <f>IFERROR(VLOOKUP($M7263,'Informations sur les produits'!$A$3:$H$10000,8,FALSE),"0")</f>
        <v>0</v>
      </c>
      <c r="P7263" s="33">
        <f t="shared" si="452"/>
        <v>0</v>
      </c>
      <c r="Q7263" s="31" t="str">
        <f t="shared" si="453"/>
        <v/>
      </c>
      <c r="R7263" s="32" t="str">
        <f>IFERROR(VLOOKUP($D7263,'Informations sur les produits'!$A$3:$B$15000,2,FALSE),"")</f>
        <v/>
      </c>
      <c r="V7263">
        <f t="shared" si="454"/>
        <v>0</v>
      </c>
      <c r="W7263">
        <f t="shared" si="455"/>
        <v>0</v>
      </c>
    </row>
    <row r="7264" spans="5:23" x14ac:dyDescent="0.25">
      <c r="E7264" s="4"/>
      <c r="F7264" s="4"/>
      <c r="G7264" s="33" t="str">
        <f>IFERROR(VLOOKUP($D7264,'Informations sur les produits'!$A$3:$H$10000,8,FALSE),"0")</f>
        <v>0</v>
      </c>
      <c r="K7264" s="4"/>
      <c r="L7264" s="33" t="str">
        <f>IFERROR(VLOOKUP($J7264,'Informations sur les produits'!$A$3:$H$10000,8,FALSE),"0")</f>
        <v>0</v>
      </c>
      <c r="N7264" s="8"/>
      <c r="O7264" s="33" t="str">
        <f>IFERROR(VLOOKUP($M7264,'Informations sur les produits'!$A$3:$H$10000,8,FALSE),"0")</f>
        <v>0</v>
      </c>
      <c r="P7264" s="33">
        <f t="shared" si="452"/>
        <v>0</v>
      </c>
      <c r="Q7264" s="31" t="str">
        <f t="shared" si="453"/>
        <v/>
      </c>
      <c r="R7264" s="32" t="str">
        <f>IFERROR(VLOOKUP($D7264,'Informations sur les produits'!$A$3:$B$15000,2,FALSE),"")</f>
        <v/>
      </c>
      <c r="V7264">
        <f t="shared" si="454"/>
        <v>0</v>
      </c>
      <c r="W7264">
        <f t="shared" si="455"/>
        <v>0</v>
      </c>
    </row>
    <row r="7265" spans="5:23" x14ac:dyDescent="0.25">
      <c r="E7265" s="4"/>
      <c r="F7265" s="4"/>
      <c r="G7265" s="33" t="str">
        <f>IFERROR(VLOOKUP($D7265,'Informations sur les produits'!$A$3:$H$10000,8,FALSE),"0")</f>
        <v>0</v>
      </c>
      <c r="K7265" s="4"/>
      <c r="L7265" s="33" t="str">
        <f>IFERROR(VLOOKUP($J7265,'Informations sur les produits'!$A$3:$H$10000,8,FALSE),"0")</f>
        <v>0</v>
      </c>
      <c r="N7265" s="8"/>
      <c r="O7265" s="33" t="str">
        <f>IFERROR(VLOOKUP($M7265,'Informations sur les produits'!$A$3:$H$10000,8,FALSE),"0")</f>
        <v>0</v>
      </c>
      <c r="P7265" s="33">
        <f t="shared" si="452"/>
        <v>0</v>
      </c>
      <c r="Q7265" s="31" t="str">
        <f t="shared" si="453"/>
        <v/>
      </c>
      <c r="R7265" s="32" t="str">
        <f>IFERROR(VLOOKUP($D7265,'Informations sur les produits'!$A$3:$B$15000,2,FALSE),"")</f>
        <v/>
      </c>
      <c r="V7265">
        <f t="shared" si="454"/>
        <v>0</v>
      </c>
      <c r="W7265">
        <f t="shared" si="455"/>
        <v>0</v>
      </c>
    </row>
    <row r="7266" spans="5:23" x14ac:dyDescent="0.25">
      <c r="E7266" s="4"/>
      <c r="F7266" s="4"/>
      <c r="G7266" s="33" t="str">
        <f>IFERROR(VLOOKUP($D7266,'Informations sur les produits'!$A$3:$H$10000,8,FALSE),"0")</f>
        <v>0</v>
      </c>
      <c r="K7266" s="4"/>
      <c r="L7266" s="33" t="str">
        <f>IFERROR(VLOOKUP($J7266,'Informations sur les produits'!$A$3:$H$10000,8,FALSE),"0")</f>
        <v>0</v>
      </c>
      <c r="N7266" s="8"/>
      <c r="O7266" s="33" t="str">
        <f>IFERROR(VLOOKUP($M7266,'Informations sur les produits'!$A$3:$H$10000,8,FALSE),"0")</f>
        <v>0</v>
      </c>
      <c r="P7266" s="33">
        <f t="shared" si="452"/>
        <v>0</v>
      </c>
      <c r="Q7266" s="31" t="str">
        <f t="shared" si="453"/>
        <v/>
      </c>
      <c r="R7266" s="32" t="str">
        <f>IFERROR(VLOOKUP($D7266,'Informations sur les produits'!$A$3:$B$15000,2,FALSE),"")</f>
        <v/>
      </c>
      <c r="V7266">
        <f t="shared" si="454"/>
        <v>0</v>
      </c>
      <c r="W7266">
        <f t="shared" si="455"/>
        <v>0</v>
      </c>
    </row>
    <row r="7267" spans="5:23" x14ac:dyDescent="0.25">
      <c r="E7267" s="4"/>
      <c r="F7267" s="4"/>
      <c r="G7267" s="33" t="str">
        <f>IFERROR(VLOOKUP($D7267,'Informations sur les produits'!$A$3:$H$10000,8,FALSE),"0")</f>
        <v>0</v>
      </c>
      <c r="K7267" s="4"/>
      <c r="L7267" s="33" t="str">
        <f>IFERROR(VLOOKUP($J7267,'Informations sur les produits'!$A$3:$H$10000,8,FALSE),"0")</f>
        <v>0</v>
      </c>
      <c r="N7267" s="8"/>
      <c r="O7267" s="33" t="str">
        <f>IFERROR(VLOOKUP($M7267,'Informations sur les produits'!$A$3:$H$10000,8,FALSE),"0")</f>
        <v>0</v>
      </c>
      <c r="P7267" s="33">
        <f t="shared" si="452"/>
        <v>0</v>
      </c>
      <c r="Q7267" s="31" t="str">
        <f t="shared" si="453"/>
        <v/>
      </c>
      <c r="R7267" s="32" t="str">
        <f>IFERROR(VLOOKUP($D7267,'Informations sur les produits'!$A$3:$B$15000,2,FALSE),"")</f>
        <v/>
      </c>
      <c r="V7267">
        <f t="shared" si="454"/>
        <v>0</v>
      </c>
      <c r="W7267">
        <f t="shared" si="455"/>
        <v>0</v>
      </c>
    </row>
    <row r="7268" spans="5:23" x14ac:dyDescent="0.25">
      <c r="E7268" s="4"/>
      <c r="F7268" s="4"/>
      <c r="G7268" s="33" t="str">
        <f>IFERROR(VLOOKUP($D7268,'Informations sur les produits'!$A$3:$H$10000,8,FALSE),"0")</f>
        <v>0</v>
      </c>
      <c r="K7268" s="4"/>
      <c r="L7268" s="33" t="str">
        <f>IFERROR(VLOOKUP($J7268,'Informations sur les produits'!$A$3:$H$10000,8,FALSE),"0")</f>
        <v>0</v>
      </c>
      <c r="N7268" s="8"/>
      <c r="O7268" s="33" t="str">
        <f>IFERROR(VLOOKUP($M7268,'Informations sur les produits'!$A$3:$H$10000,8,FALSE),"0")</f>
        <v>0</v>
      </c>
      <c r="P7268" s="33">
        <f t="shared" si="452"/>
        <v>0</v>
      </c>
      <c r="Q7268" s="31" t="str">
        <f t="shared" si="453"/>
        <v/>
      </c>
      <c r="R7268" s="32" t="str">
        <f>IFERROR(VLOOKUP($D7268,'Informations sur les produits'!$A$3:$B$15000,2,FALSE),"")</f>
        <v/>
      </c>
      <c r="V7268">
        <f t="shared" si="454"/>
        <v>0</v>
      </c>
      <c r="W7268">
        <f t="shared" si="455"/>
        <v>0</v>
      </c>
    </row>
    <row r="7269" spans="5:23" x14ac:dyDescent="0.25">
      <c r="E7269" s="4"/>
      <c r="F7269" s="4"/>
      <c r="G7269" s="33" t="str">
        <f>IFERROR(VLOOKUP($D7269,'Informations sur les produits'!$A$3:$H$10000,8,FALSE),"0")</f>
        <v>0</v>
      </c>
      <c r="K7269" s="4"/>
      <c r="L7269" s="33" t="str">
        <f>IFERROR(VLOOKUP($J7269,'Informations sur les produits'!$A$3:$H$10000,8,FALSE),"0")</f>
        <v>0</v>
      </c>
      <c r="N7269" s="8"/>
      <c r="O7269" s="33" t="str">
        <f>IFERROR(VLOOKUP($M7269,'Informations sur les produits'!$A$3:$H$10000,8,FALSE),"0")</f>
        <v>0</v>
      </c>
      <c r="P7269" s="33">
        <f t="shared" si="452"/>
        <v>0</v>
      </c>
      <c r="Q7269" s="31" t="str">
        <f t="shared" si="453"/>
        <v/>
      </c>
      <c r="R7269" s="32" t="str">
        <f>IFERROR(VLOOKUP($D7269,'Informations sur les produits'!$A$3:$B$15000,2,FALSE),"")</f>
        <v/>
      </c>
      <c r="V7269">
        <f t="shared" si="454"/>
        <v>0</v>
      </c>
      <c r="W7269">
        <f t="shared" si="455"/>
        <v>0</v>
      </c>
    </row>
    <row r="7270" spans="5:23" x14ac:dyDescent="0.25">
      <c r="E7270" s="4"/>
      <c r="F7270" s="4"/>
      <c r="G7270" s="33" t="str">
        <f>IFERROR(VLOOKUP($D7270,'Informations sur les produits'!$A$3:$H$10000,8,FALSE),"0")</f>
        <v>0</v>
      </c>
      <c r="K7270" s="4"/>
      <c r="L7270" s="33" t="str">
        <f>IFERROR(VLOOKUP($J7270,'Informations sur les produits'!$A$3:$H$10000,8,FALSE),"0")</f>
        <v>0</v>
      </c>
      <c r="N7270" s="8"/>
      <c r="O7270" s="33" t="str">
        <f>IFERROR(VLOOKUP($M7270,'Informations sur les produits'!$A$3:$H$10000,8,FALSE),"0")</f>
        <v>0</v>
      </c>
      <c r="P7270" s="33">
        <f t="shared" si="452"/>
        <v>0</v>
      </c>
      <c r="Q7270" s="31" t="str">
        <f t="shared" si="453"/>
        <v/>
      </c>
      <c r="R7270" s="32" t="str">
        <f>IFERROR(VLOOKUP($D7270,'Informations sur les produits'!$A$3:$B$15000,2,FALSE),"")</f>
        <v/>
      </c>
      <c r="V7270">
        <f t="shared" si="454"/>
        <v>0</v>
      </c>
      <c r="W7270">
        <f t="shared" si="455"/>
        <v>0</v>
      </c>
    </row>
    <row r="7271" spans="5:23" x14ac:dyDescent="0.25">
      <c r="E7271" s="4"/>
      <c r="F7271" s="4"/>
      <c r="G7271" s="33" t="str">
        <f>IFERROR(VLOOKUP($D7271,'Informations sur les produits'!$A$3:$H$10000,8,FALSE),"0")</f>
        <v>0</v>
      </c>
      <c r="K7271" s="4"/>
      <c r="L7271" s="33" t="str">
        <f>IFERROR(VLOOKUP($J7271,'Informations sur les produits'!$A$3:$H$10000,8,FALSE),"0")</f>
        <v>0</v>
      </c>
      <c r="N7271" s="8"/>
      <c r="O7271" s="33" t="str">
        <f>IFERROR(VLOOKUP($M7271,'Informations sur les produits'!$A$3:$H$10000,8,FALSE),"0")</f>
        <v>0</v>
      </c>
      <c r="P7271" s="33">
        <f t="shared" si="452"/>
        <v>0</v>
      </c>
      <c r="Q7271" s="31" t="str">
        <f t="shared" si="453"/>
        <v/>
      </c>
      <c r="R7271" s="32" t="str">
        <f>IFERROR(VLOOKUP($D7271,'Informations sur les produits'!$A$3:$B$15000,2,FALSE),"")</f>
        <v/>
      </c>
      <c r="V7271">
        <f t="shared" si="454"/>
        <v>0</v>
      </c>
      <c r="W7271">
        <f t="shared" si="455"/>
        <v>0</v>
      </c>
    </row>
    <row r="7272" spans="5:23" x14ac:dyDescent="0.25">
      <c r="E7272" s="4"/>
      <c r="F7272" s="4"/>
      <c r="G7272" s="33" t="str">
        <f>IFERROR(VLOOKUP($D7272,'Informations sur les produits'!$A$3:$H$10000,8,FALSE),"0")</f>
        <v>0</v>
      </c>
      <c r="K7272" s="4"/>
      <c r="L7272" s="33" t="str">
        <f>IFERROR(VLOOKUP($J7272,'Informations sur les produits'!$A$3:$H$10000,8,FALSE),"0")</f>
        <v>0</v>
      </c>
      <c r="N7272" s="8"/>
      <c r="O7272" s="33" t="str">
        <f>IFERROR(VLOOKUP($M7272,'Informations sur les produits'!$A$3:$H$10000,8,FALSE),"0")</f>
        <v>0</v>
      </c>
      <c r="P7272" s="33">
        <f t="shared" si="452"/>
        <v>0</v>
      </c>
      <c r="Q7272" s="31" t="str">
        <f t="shared" si="453"/>
        <v/>
      </c>
      <c r="R7272" s="32" t="str">
        <f>IFERROR(VLOOKUP($D7272,'Informations sur les produits'!$A$3:$B$15000,2,FALSE),"")</f>
        <v/>
      </c>
      <c r="V7272">
        <f t="shared" si="454"/>
        <v>0</v>
      </c>
      <c r="W7272">
        <f t="shared" si="455"/>
        <v>0</v>
      </c>
    </row>
    <row r="7273" spans="5:23" x14ac:dyDescent="0.25">
      <c r="E7273" s="4"/>
      <c r="F7273" s="4"/>
      <c r="G7273" s="33" t="str">
        <f>IFERROR(VLOOKUP($D7273,'Informations sur les produits'!$A$3:$H$10000,8,FALSE),"0")</f>
        <v>0</v>
      </c>
      <c r="K7273" s="4"/>
      <c r="L7273" s="33" t="str">
        <f>IFERROR(VLOOKUP($J7273,'Informations sur les produits'!$A$3:$H$10000,8,FALSE),"0")</f>
        <v>0</v>
      </c>
      <c r="N7273" s="8"/>
      <c r="O7273" s="33" t="str">
        <f>IFERROR(VLOOKUP($M7273,'Informations sur les produits'!$A$3:$H$10000,8,FALSE),"0")</f>
        <v>0</v>
      </c>
      <c r="P7273" s="33">
        <f t="shared" si="452"/>
        <v>0</v>
      </c>
      <c r="Q7273" s="31" t="str">
        <f t="shared" si="453"/>
        <v/>
      </c>
      <c r="R7273" s="32" t="str">
        <f>IFERROR(VLOOKUP($D7273,'Informations sur les produits'!$A$3:$B$15000,2,FALSE),"")</f>
        <v/>
      </c>
      <c r="V7273">
        <f t="shared" si="454"/>
        <v>0</v>
      </c>
      <c r="W7273">
        <f t="shared" si="455"/>
        <v>0</v>
      </c>
    </row>
    <row r="7274" spans="5:23" x14ac:dyDescent="0.25">
      <c r="E7274" s="4"/>
      <c r="F7274" s="4"/>
      <c r="G7274" s="33" t="str">
        <f>IFERROR(VLOOKUP($D7274,'Informations sur les produits'!$A$3:$H$10000,8,FALSE),"0")</f>
        <v>0</v>
      </c>
      <c r="K7274" s="4"/>
      <c r="L7274" s="33" t="str">
        <f>IFERROR(VLOOKUP($J7274,'Informations sur les produits'!$A$3:$H$10000,8,FALSE),"0")</f>
        <v>0</v>
      </c>
      <c r="N7274" s="8"/>
      <c r="O7274" s="33" t="str">
        <f>IFERROR(VLOOKUP($M7274,'Informations sur les produits'!$A$3:$H$10000,8,FALSE),"0")</f>
        <v>0</v>
      </c>
      <c r="P7274" s="33">
        <f t="shared" si="452"/>
        <v>0</v>
      </c>
      <c r="Q7274" s="31" t="str">
        <f t="shared" si="453"/>
        <v/>
      </c>
      <c r="R7274" s="32" t="str">
        <f>IFERROR(VLOOKUP($D7274,'Informations sur les produits'!$A$3:$B$15000,2,FALSE),"")</f>
        <v/>
      </c>
      <c r="V7274">
        <f t="shared" si="454"/>
        <v>0</v>
      </c>
      <c r="W7274">
        <f t="shared" si="455"/>
        <v>0</v>
      </c>
    </row>
    <row r="7275" spans="5:23" x14ac:dyDescent="0.25">
      <c r="E7275" s="4"/>
      <c r="F7275" s="4"/>
      <c r="G7275" s="33" t="str">
        <f>IFERROR(VLOOKUP($D7275,'Informations sur les produits'!$A$3:$H$10000,8,FALSE),"0")</f>
        <v>0</v>
      </c>
      <c r="K7275" s="4"/>
      <c r="L7275" s="33" t="str">
        <f>IFERROR(VLOOKUP($J7275,'Informations sur les produits'!$A$3:$H$10000,8,FALSE),"0")</f>
        <v>0</v>
      </c>
      <c r="N7275" s="8"/>
      <c r="O7275" s="33" t="str">
        <f>IFERROR(VLOOKUP($M7275,'Informations sur les produits'!$A$3:$H$10000,8,FALSE),"0")</f>
        <v>0</v>
      </c>
      <c r="P7275" s="33">
        <f t="shared" si="452"/>
        <v>0</v>
      </c>
      <c r="Q7275" s="31" t="str">
        <f t="shared" si="453"/>
        <v/>
      </c>
      <c r="R7275" s="32" t="str">
        <f>IFERROR(VLOOKUP($D7275,'Informations sur les produits'!$A$3:$B$15000,2,FALSE),"")</f>
        <v/>
      </c>
      <c r="V7275">
        <f t="shared" si="454"/>
        <v>0</v>
      </c>
      <c r="W7275">
        <f t="shared" si="455"/>
        <v>0</v>
      </c>
    </row>
    <row r="7276" spans="5:23" x14ac:dyDescent="0.25">
      <c r="E7276" s="4"/>
      <c r="F7276" s="4"/>
      <c r="G7276" s="33" t="str">
        <f>IFERROR(VLOOKUP($D7276,'Informations sur les produits'!$A$3:$H$10000,8,FALSE),"0")</f>
        <v>0</v>
      </c>
      <c r="K7276" s="4"/>
      <c r="L7276" s="33" t="str">
        <f>IFERROR(VLOOKUP($J7276,'Informations sur les produits'!$A$3:$H$10000,8,FALSE),"0")</f>
        <v>0</v>
      </c>
      <c r="N7276" s="8"/>
      <c r="O7276" s="33" t="str">
        <f>IFERROR(VLOOKUP($M7276,'Informations sur les produits'!$A$3:$H$10000,8,FALSE),"0")</f>
        <v>0</v>
      </c>
      <c r="P7276" s="33">
        <f t="shared" si="452"/>
        <v>0</v>
      </c>
      <c r="Q7276" s="31" t="str">
        <f t="shared" si="453"/>
        <v/>
      </c>
      <c r="R7276" s="32" t="str">
        <f>IFERROR(VLOOKUP($D7276,'Informations sur les produits'!$A$3:$B$15000,2,FALSE),"")</f>
        <v/>
      </c>
      <c r="V7276">
        <f t="shared" si="454"/>
        <v>0</v>
      </c>
      <c r="W7276">
        <f t="shared" si="455"/>
        <v>0</v>
      </c>
    </row>
    <row r="7277" spans="5:23" x14ac:dyDescent="0.25">
      <c r="E7277" s="4"/>
      <c r="F7277" s="4"/>
      <c r="G7277" s="33" t="str">
        <f>IFERROR(VLOOKUP($D7277,'Informations sur les produits'!$A$3:$H$10000,8,FALSE),"0")</f>
        <v>0</v>
      </c>
      <c r="K7277" s="4"/>
      <c r="L7277" s="33" t="str">
        <f>IFERROR(VLOOKUP($J7277,'Informations sur les produits'!$A$3:$H$10000,8,FALSE),"0")</f>
        <v>0</v>
      </c>
      <c r="N7277" s="8"/>
      <c r="O7277" s="33" t="str">
        <f>IFERROR(VLOOKUP($M7277,'Informations sur les produits'!$A$3:$H$10000,8,FALSE),"0")</f>
        <v>0</v>
      </c>
      <c r="P7277" s="33">
        <f t="shared" si="452"/>
        <v>0</v>
      </c>
      <c r="Q7277" s="31" t="str">
        <f t="shared" si="453"/>
        <v/>
      </c>
      <c r="R7277" s="32" t="str">
        <f>IFERROR(VLOOKUP($D7277,'Informations sur les produits'!$A$3:$B$15000,2,FALSE),"")</f>
        <v/>
      </c>
      <c r="V7277">
        <f t="shared" si="454"/>
        <v>0</v>
      </c>
      <c r="W7277">
        <f t="shared" si="455"/>
        <v>0</v>
      </c>
    </row>
    <row r="7278" spans="5:23" x14ac:dyDescent="0.25">
      <c r="E7278" s="4"/>
      <c r="F7278" s="4"/>
      <c r="G7278" s="33" t="str">
        <f>IFERROR(VLOOKUP($D7278,'Informations sur les produits'!$A$3:$H$10000,8,FALSE),"0")</f>
        <v>0</v>
      </c>
      <c r="K7278" s="4"/>
      <c r="L7278" s="33" t="str">
        <f>IFERROR(VLOOKUP($J7278,'Informations sur les produits'!$A$3:$H$10000,8,FALSE),"0")</f>
        <v>0</v>
      </c>
      <c r="N7278" s="8"/>
      <c r="O7278" s="33" t="str">
        <f>IFERROR(VLOOKUP($M7278,'Informations sur les produits'!$A$3:$H$10000,8,FALSE),"0")</f>
        <v>0</v>
      </c>
      <c r="P7278" s="33">
        <f t="shared" si="452"/>
        <v>0</v>
      </c>
      <c r="Q7278" s="31" t="str">
        <f t="shared" si="453"/>
        <v/>
      </c>
      <c r="R7278" s="32" t="str">
        <f>IFERROR(VLOOKUP($D7278,'Informations sur les produits'!$A$3:$B$15000,2,FALSE),"")</f>
        <v/>
      </c>
      <c r="V7278">
        <f t="shared" si="454"/>
        <v>0</v>
      </c>
      <c r="W7278">
        <f t="shared" si="455"/>
        <v>0</v>
      </c>
    </row>
    <row r="7279" spans="5:23" x14ac:dyDescent="0.25">
      <c r="E7279" s="4"/>
      <c r="F7279" s="4"/>
      <c r="G7279" s="33" t="str">
        <f>IFERROR(VLOOKUP($D7279,'Informations sur les produits'!$A$3:$H$10000,8,FALSE),"0")</f>
        <v>0</v>
      </c>
      <c r="K7279" s="4"/>
      <c r="L7279" s="33" t="str">
        <f>IFERROR(VLOOKUP($J7279,'Informations sur les produits'!$A$3:$H$10000,8,FALSE),"0")</f>
        <v>0</v>
      </c>
      <c r="N7279" s="8"/>
      <c r="O7279" s="33" t="str">
        <f>IFERROR(VLOOKUP($M7279,'Informations sur les produits'!$A$3:$H$10000,8,FALSE),"0")</f>
        <v>0</v>
      </c>
      <c r="P7279" s="33">
        <f t="shared" si="452"/>
        <v>0</v>
      </c>
      <c r="Q7279" s="31" t="str">
        <f t="shared" si="453"/>
        <v/>
      </c>
      <c r="R7279" s="32" t="str">
        <f>IFERROR(VLOOKUP($D7279,'Informations sur les produits'!$A$3:$B$15000,2,FALSE),"")</f>
        <v/>
      </c>
      <c r="V7279">
        <f t="shared" si="454"/>
        <v>0</v>
      </c>
      <c r="W7279">
        <f t="shared" si="455"/>
        <v>0</v>
      </c>
    </row>
    <row r="7280" spans="5:23" x14ac:dyDescent="0.25">
      <c r="E7280" s="4"/>
      <c r="F7280" s="4"/>
      <c r="G7280" s="33" t="str">
        <f>IFERROR(VLOOKUP($D7280,'Informations sur les produits'!$A$3:$H$10000,8,FALSE),"0")</f>
        <v>0</v>
      </c>
      <c r="K7280" s="4"/>
      <c r="L7280" s="33" t="str">
        <f>IFERROR(VLOOKUP($J7280,'Informations sur les produits'!$A$3:$H$10000,8,FALSE),"0")</f>
        <v>0</v>
      </c>
      <c r="N7280" s="8"/>
      <c r="O7280" s="33" t="str">
        <f>IFERROR(VLOOKUP($M7280,'Informations sur les produits'!$A$3:$H$10000,8,FALSE),"0")</f>
        <v>0</v>
      </c>
      <c r="P7280" s="33">
        <f t="shared" si="452"/>
        <v>0</v>
      </c>
      <c r="Q7280" s="31" t="str">
        <f t="shared" si="453"/>
        <v/>
      </c>
      <c r="R7280" s="32" t="str">
        <f>IFERROR(VLOOKUP($D7280,'Informations sur les produits'!$A$3:$B$15000,2,FALSE),"")</f>
        <v/>
      </c>
      <c r="V7280">
        <f t="shared" si="454"/>
        <v>0</v>
      </c>
      <c r="W7280">
        <f t="shared" si="455"/>
        <v>0</v>
      </c>
    </row>
    <row r="7281" spans="5:23" x14ac:dyDescent="0.25">
      <c r="E7281" s="4"/>
      <c r="F7281" s="4"/>
      <c r="G7281" s="33" t="str">
        <f>IFERROR(VLOOKUP($D7281,'Informations sur les produits'!$A$3:$H$10000,8,FALSE),"0")</f>
        <v>0</v>
      </c>
      <c r="K7281" s="4"/>
      <c r="L7281" s="33" t="str">
        <f>IFERROR(VLOOKUP($J7281,'Informations sur les produits'!$A$3:$H$10000,8,FALSE),"0")</f>
        <v>0</v>
      </c>
      <c r="N7281" s="8"/>
      <c r="O7281" s="33" t="str">
        <f>IFERROR(VLOOKUP($M7281,'Informations sur les produits'!$A$3:$H$10000,8,FALSE),"0")</f>
        <v>0</v>
      </c>
      <c r="P7281" s="33">
        <f t="shared" si="452"/>
        <v>0</v>
      </c>
      <c r="Q7281" s="31" t="str">
        <f t="shared" si="453"/>
        <v/>
      </c>
      <c r="R7281" s="32" t="str">
        <f>IFERROR(VLOOKUP($D7281,'Informations sur les produits'!$A$3:$B$15000,2,FALSE),"")</f>
        <v/>
      </c>
      <c r="V7281">
        <f t="shared" si="454"/>
        <v>0</v>
      </c>
      <c r="W7281">
        <f t="shared" si="455"/>
        <v>0</v>
      </c>
    </row>
    <row r="7282" spans="5:23" x14ac:dyDescent="0.25">
      <c r="E7282" s="4"/>
      <c r="F7282" s="4"/>
      <c r="G7282" s="33" t="str">
        <f>IFERROR(VLOOKUP($D7282,'Informations sur les produits'!$A$3:$H$10000,8,FALSE),"0")</f>
        <v>0</v>
      </c>
      <c r="K7282" s="4"/>
      <c r="L7282" s="33" t="str">
        <f>IFERROR(VLOOKUP($J7282,'Informations sur les produits'!$A$3:$H$10000,8,FALSE),"0")</f>
        <v>0</v>
      </c>
      <c r="N7282" s="8"/>
      <c r="O7282" s="33" t="str">
        <f>IFERROR(VLOOKUP($M7282,'Informations sur les produits'!$A$3:$H$10000,8,FALSE),"0")</f>
        <v>0</v>
      </c>
      <c r="P7282" s="33">
        <f t="shared" si="452"/>
        <v>0</v>
      </c>
      <c r="Q7282" s="31" t="str">
        <f t="shared" si="453"/>
        <v/>
      </c>
      <c r="R7282" s="32" t="str">
        <f>IFERROR(VLOOKUP($D7282,'Informations sur les produits'!$A$3:$B$15000,2,FALSE),"")</f>
        <v/>
      </c>
      <c r="V7282">
        <f t="shared" si="454"/>
        <v>0</v>
      </c>
      <c r="W7282">
        <f t="shared" si="455"/>
        <v>0</v>
      </c>
    </row>
    <row r="7283" spans="5:23" x14ac:dyDescent="0.25">
      <c r="E7283" s="4"/>
      <c r="F7283" s="4"/>
      <c r="G7283" s="33" t="str">
        <f>IFERROR(VLOOKUP($D7283,'Informations sur les produits'!$A$3:$H$10000,8,FALSE),"0")</f>
        <v>0</v>
      </c>
      <c r="K7283" s="4"/>
      <c r="L7283" s="33" t="str">
        <f>IFERROR(VLOOKUP($J7283,'Informations sur les produits'!$A$3:$H$10000,8,FALSE),"0")</f>
        <v>0</v>
      </c>
      <c r="N7283" s="8"/>
      <c r="O7283" s="33" t="str">
        <f>IFERROR(VLOOKUP($M7283,'Informations sur les produits'!$A$3:$H$10000,8,FALSE),"0")</f>
        <v>0</v>
      </c>
      <c r="P7283" s="33">
        <f t="shared" si="452"/>
        <v>0</v>
      </c>
      <c r="Q7283" s="31" t="str">
        <f t="shared" si="453"/>
        <v/>
      </c>
      <c r="R7283" s="32" t="str">
        <f>IFERROR(VLOOKUP($D7283,'Informations sur les produits'!$A$3:$B$15000,2,FALSE),"")</f>
        <v/>
      </c>
      <c r="V7283">
        <f t="shared" si="454"/>
        <v>0</v>
      </c>
      <c r="W7283">
        <f t="shared" si="455"/>
        <v>0</v>
      </c>
    </row>
    <row r="7284" spans="5:23" x14ac:dyDescent="0.25">
      <c r="E7284" s="4"/>
      <c r="F7284" s="4"/>
      <c r="G7284" s="33" t="str">
        <f>IFERROR(VLOOKUP($D7284,'Informations sur les produits'!$A$3:$H$10000,8,FALSE),"0")</f>
        <v>0</v>
      </c>
      <c r="K7284" s="4"/>
      <c r="L7284" s="33" t="str">
        <f>IFERROR(VLOOKUP($J7284,'Informations sur les produits'!$A$3:$H$10000,8,FALSE),"0")</f>
        <v>0</v>
      </c>
      <c r="N7284" s="8"/>
      <c r="O7284" s="33" t="str">
        <f>IFERROR(VLOOKUP($M7284,'Informations sur les produits'!$A$3:$H$10000,8,FALSE),"0")</f>
        <v>0</v>
      </c>
      <c r="P7284" s="33">
        <f t="shared" si="452"/>
        <v>0</v>
      </c>
      <c r="Q7284" s="31" t="str">
        <f t="shared" si="453"/>
        <v/>
      </c>
      <c r="R7284" s="32" t="str">
        <f>IFERROR(VLOOKUP($D7284,'Informations sur les produits'!$A$3:$B$15000,2,FALSE),"")</f>
        <v/>
      </c>
      <c r="V7284">
        <f t="shared" si="454"/>
        <v>0</v>
      </c>
      <c r="W7284">
        <f t="shared" si="455"/>
        <v>0</v>
      </c>
    </row>
    <row r="7285" spans="5:23" x14ac:dyDescent="0.25">
      <c r="E7285" s="4"/>
      <c r="F7285" s="4"/>
      <c r="G7285" s="33" t="str">
        <f>IFERROR(VLOOKUP($D7285,'Informations sur les produits'!$A$3:$H$10000,8,FALSE),"0")</f>
        <v>0</v>
      </c>
      <c r="K7285" s="4"/>
      <c r="L7285" s="33" t="str">
        <f>IFERROR(VLOOKUP($J7285,'Informations sur les produits'!$A$3:$H$10000,8,FALSE),"0")</f>
        <v>0</v>
      </c>
      <c r="N7285" s="8"/>
      <c r="O7285" s="33" t="str">
        <f>IFERROR(VLOOKUP($M7285,'Informations sur les produits'!$A$3:$H$10000,8,FALSE),"0")</f>
        <v>0</v>
      </c>
      <c r="P7285" s="33">
        <f t="shared" si="452"/>
        <v>0</v>
      </c>
      <c r="Q7285" s="31" t="str">
        <f t="shared" si="453"/>
        <v/>
      </c>
      <c r="R7285" s="32" t="str">
        <f>IFERROR(VLOOKUP($D7285,'Informations sur les produits'!$A$3:$B$15000,2,FALSE),"")</f>
        <v/>
      </c>
      <c r="V7285">
        <f t="shared" si="454"/>
        <v>0</v>
      </c>
      <c r="W7285">
        <f t="shared" si="455"/>
        <v>0</v>
      </c>
    </row>
    <row r="7286" spans="5:23" x14ac:dyDescent="0.25">
      <c r="E7286" s="4"/>
      <c r="F7286" s="4"/>
      <c r="G7286" s="33" t="str">
        <f>IFERROR(VLOOKUP($D7286,'Informations sur les produits'!$A$3:$H$10000,8,FALSE),"0")</f>
        <v>0</v>
      </c>
      <c r="K7286" s="4"/>
      <c r="L7286" s="33" t="str">
        <f>IFERROR(VLOOKUP($J7286,'Informations sur les produits'!$A$3:$H$10000,8,FALSE),"0")</f>
        <v>0</v>
      </c>
      <c r="N7286" s="8"/>
      <c r="O7286" s="33" t="str">
        <f>IFERROR(VLOOKUP($M7286,'Informations sur les produits'!$A$3:$H$10000,8,FALSE),"0")</f>
        <v>0</v>
      </c>
      <c r="P7286" s="33">
        <f t="shared" si="452"/>
        <v>0</v>
      </c>
      <c r="Q7286" s="31" t="str">
        <f t="shared" si="453"/>
        <v/>
      </c>
      <c r="R7286" s="32" t="str">
        <f>IFERROR(VLOOKUP($D7286,'Informations sur les produits'!$A$3:$B$15000,2,FALSE),"")</f>
        <v/>
      </c>
      <c r="V7286">
        <f t="shared" si="454"/>
        <v>0</v>
      </c>
      <c r="W7286">
        <f t="shared" si="455"/>
        <v>0</v>
      </c>
    </row>
    <row r="7287" spans="5:23" x14ac:dyDescent="0.25">
      <c r="E7287" s="4"/>
      <c r="F7287" s="4"/>
      <c r="G7287" s="33" t="str">
        <f>IFERROR(VLOOKUP($D7287,'Informations sur les produits'!$A$3:$H$10000,8,FALSE),"0")</f>
        <v>0</v>
      </c>
      <c r="K7287" s="4"/>
      <c r="L7287" s="33" t="str">
        <f>IFERROR(VLOOKUP($J7287,'Informations sur les produits'!$A$3:$H$10000,8,FALSE),"0")</f>
        <v>0</v>
      </c>
      <c r="N7287" s="8"/>
      <c r="O7287" s="33" t="str">
        <f>IFERROR(VLOOKUP($M7287,'Informations sur les produits'!$A$3:$H$10000,8,FALSE),"0")</f>
        <v>0</v>
      </c>
      <c r="P7287" s="33">
        <f t="shared" si="452"/>
        <v>0</v>
      </c>
      <c r="Q7287" s="31" t="str">
        <f t="shared" si="453"/>
        <v/>
      </c>
      <c r="R7287" s="32" t="str">
        <f>IFERROR(VLOOKUP($D7287,'Informations sur les produits'!$A$3:$B$15000,2,FALSE),"")</f>
        <v/>
      </c>
      <c r="V7287">
        <f t="shared" si="454"/>
        <v>0</v>
      </c>
      <c r="W7287">
        <f t="shared" si="455"/>
        <v>0</v>
      </c>
    </row>
    <row r="7288" spans="5:23" x14ac:dyDescent="0.25">
      <c r="E7288" s="4"/>
      <c r="F7288" s="4"/>
      <c r="G7288" s="33" t="str">
        <f>IFERROR(VLOOKUP($D7288,'Informations sur les produits'!$A$3:$H$10000,8,FALSE),"0")</f>
        <v>0</v>
      </c>
      <c r="K7288" s="4"/>
      <c r="L7288" s="33" t="str">
        <f>IFERROR(VLOOKUP($J7288,'Informations sur les produits'!$A$3:$H$10000,8,FALSE),"0")</f>
        <v>0</v>
      </c>
      <c r="N7288" s="8"/>
      <c r="O7288" s="33" t="str">
        <f>IFERROR(VLOOKUP($M7288,'Informations sur les produits'!$A$3:$H$10000,8,FALSE),"0")</f>
        <v>0</v>
      </c>
      <c r="P7288" s="33">
        <f t="shared" si="452"/>
        <v>0</v>
      </c>
      <c r="Q7288" s="31" t="str">
        <f t="shared" si="453"/>
        <v/>
      </c>
      <c r="R7288" s="32" t="str">
        <f>IFERROR(VLOOKUP($D7288,'Informations sur les produits'!$A$3:$B$15000,2,FALSE),"")</f>
        <v/>
      </c>
      <c r="V7288">
        <f t="shared" si="454"/>
        <v>0</v>
      </c>
      <c r="W7288">
        <f t="shared" si="455"/>
        <v>0</v>
      </c>
    </row>
    <row r="7289" spans="5:23" x14ac:dyDescent="0.25">
      <c r="E7289" s="4"/>
      <c r="F7289" s="4"/>
      <c r="G7289" s="33" t="str">
        <f>IFERROR(VLOOKUP($D7289,'Informations sur les produits'!$A$3:$H$10000,8,FALSE),"0")</f>
        <v>0</v>
      </c>
      <c r="K7289" s="4"/>
      <c r="L7289" s="33" t="str">
        <f>IFERROR(VLOOKUP($J7289,'Informations sur les produits'!$A$3:$H$10000,8,FALSE),"0")</f>
        <v>0</v>
      </c>
      <c r="N7289" s="8"/>
      <c r="O7289" s="33" t="str">
        <f>IFERROR(VLOOKUP($M7289,'Informations sur les produits'!$A$3:$H$10000,8,FALSE),"0")</f>
        <v>0</v>
      </c>
      <c r="P7289" s="33">
        <f t="shared" si="452"/>
        <v>0</v>
      </c>
      <c r="Q7289" s="31" t="str">
        <f t="shared" si="453"/>
        <v/>
      </c>
      <c r="R7289" s="32" t="str">
        <f>IFERROR(VLOOKUP($D7289,'Informations sur les produits'!$A$3:$B$15000,2,FALSE),"")</f>
        <v/>
      </c>
      <c r="V7289">
        <f t="shared" si="454"/>
        <v>0</v>
      </c>
      <c r="W7289">
        <f t="shared" si="455"/>
        <v>0</v>
      </c>
    </row>
    <row r="7290" spans="5:23" x14ac:dyDescent="0.25">
      <c r="E7290" s="4"/>
      <c r="F7290" s="4"/>
      <c r="G7290" s="33" t="str">
        <f>IFERROR(VLOOKUP($D7290,'Informations sur les produits'!$A$3:$H$10000,8,FALSE),"0")</f>
        <v>0</v>
      </c>
      <c r="K7290" s="4"/>
      <c r="L7290" s="33" t="str">
        <f>IFERROR(VLOOKUP($J7290,'Informations sur les produits'!$A$3:$H$10000,8,FALSE),"0")</f>
        <v>0</v>
      </c>
      <c r="N7290" s="8"/>
      <c r="O7290" s="33" t="str">
        <f>IFERROR(VLOOKUP($M7290,'Informations sur les produits'!$A$3:$H$10000,8,FALSE),"0")</f>
        <v>0</v>
      </c>
      <c r="P7290" s="33">
        <f t="shared" si="452"/>
        <v>0</v>
      </c>
      <c r="Q7290" s="31" t="str">
        <f t="shared" si="453"/>
        <v/>
      </c>
      <c r="R7290" s="32" t="str">
        <f>IFERROR(VLOOKUP($D7290,'Informations sur les produits'!$A$3:$B$15000,2,FALSE),"")</f>
        <v/>
      </c>
      <c r="V7290">
        <f t="shared" si="454"/>
        <v>0</v>
      </c>
      <c r="W7290">
        <f t="shared" si="455"/>
        <v>0</v>
      </c>
    </row>
    <row r="7291" spans="5:23" x14ac:dyDescent="0.25">
      <c r="E7291" s="4"/>
      <c r="F7291" s="4"/>
      <c r="G7291" s="33" t="str">
        <f>IFERROR(VLOOKUP($D7291,'Informations sur les produits'!$A$3:$H$10000,8,FALSE),"0")</f>
        <v>0</v>
      </c>
      <c r="K7291" s="4"/>
      <c r="L7291" s="33" t="str">
        <f>IFERROR(VLOOKUP($J7291,'Informations sur les produits'!$A$3:$H$10000,8,FALSE),"0")</f>
        <v>0</v>
      </c>
      <c r="N7291" s="8"/>
      <c r="O7291" s="33" t="str">
        <f>IFERROR(VLOOKUP($M7291,'Informations sur les produits'!$A$3:$H$10000,8,FALSE),"0")</f>
        <v>0</v>
      </c>
      <c r="P7291" s="33">
        <f t="shared" si="452"/>
        <v>0</v>
      </c>
      <c r="Q7291" s="31" t="str">
        <f t="shared" si="453"/>
        <v/>
      </c>
      <c r="R7291" s="32" t="str">
        <f>IFERROR(VLOOKUP($D7291,'Informations sur les produits'!$A$3:$B$15000,2,FALSE),"")</f>
        <v/>
      </c>
      <c r="V7291">
        <f t="shared" si="454"/>
        <v>0</v>
      </c>
      <c r="W7291">
        <f t="shared" si="455"/>
        <v>0</v>
      </c>
    </row>
    <row r="7292" spans="5:23" x14ac:dyDescent="0.25">
      <c r="E7292" s="4"/>
      <c r="F7292" s="4"/>
      <c r="G7292" s="33" t="str">
        <f>IFERROR(VLOOKUP($D7292,'Informations sur les produits'!$A$3:$H$10000,8,FALSE),"0")</f>
        <v>0</v>
      </c>
      <c r="K7292" s="4"/>
      <c r="L7292" s="33" t="str">
        <f>IFERROR(VLOOKUP($J7292,'Informations sur les produits'!$A$3:$H$10000,8,FALSE),"0")</f>
        <v>0</v>
      </c>
      <c r="N7292" s="8"/>
      <c r="O7292" s="33" t="str">
        <f>IFERROR(VLOOKUP($M7292,'Informations sur les produits'!$A$3:$H$10000,8,FALSE),"0")</f>
        <v>0</v>
      </c>
      <c r="P7292" s="33">
        <f t="shared" si="452"/>
        <v>0</v>
      </c>
      <c r="Q7292" s="31" t="str">
        <f t="shared" si="453"/>
        <v/>
      </c>
      <c r="R7292" s="32" t="str">
        <f>IFERROR(VLOOKUP($D7292,'Informations sur les produits'!$A$3:$B$15000,2,FALSE),"")</f>
        <v/>
      </c>
      <c r="V7292">
        <f t="shared" si="454"/>
        <v>0</v>
      </c>
      <c r="W7292">
        <f t="shared" si="455"/>
        <v>0</v>
      </c>
    </row>
    <row r="7293" spans="5:23" x14ac:dyDescent="0.25">
      <c r="E7293" s="4"/>
      <c r="F7293" s="4"/>
      <c r="G7293" s="33" t="str">
        <f>IFERROR(VLOOKUP($D7293,'Informations sur les produits'!$A$3:$H$10000,8,FALSE),"0")</f>
        <v>0</v>
      </c>
      <c r="K7293" s="4"/>
      <c r="L7293" s="33" t="str">
        <f>IFERROR(VLOOKUP($J7293,'Informations sur les produits'!$A$3:$H$10000,8,FALSE),"0")</f>
        <v>0</v>
      </c>
      <c r="N7293" s="8"/>
      <c r="O7293" s="33" t="str">
        <f>IFERROR(VLOOKUP($M7293,'Informations sur les produits'!$A$3:$H$10000,8,FALSE),"0")</f>
        <v>0</v>
      </c>
      <c r="P7293" s="33">
        <f t="shared" si="452"/>
        <v>0</v>
      </c>
      <c r="Q7293" s="31" t="str">
        <f t="shared" si="453"/>
        <v/>
      </c>
      <c r="R7293" s="32" t="str">
        <f>IFERROR(VLOOKUP($D7293,'Informations sur les produits'!$A$3:$B$15000,2,FALSE),"")</f>
        <v/>
      </c>
      <c r="V7293">
        <f t="shared" si="454"/>
        <v>0</v>
      </c>
      <c r="W7293">
        <f t="shared" si="455"/>
        <v>0</v>
      </c>
    </row>
    <row r="7294" spans="5:23" x14ac:dyDescent="0.25">
      <c r="E7294" s="4"/>
      <c r="F7294" s="4"/>
      <c r="G7294" s="33" t="str">
        <f>IFERROR(VLOOKUP($D7294,'Informations sur les produits'!$A$3:$H$10000,8,FALSE),"0")</f>
        <v>0</v>
      </c>
      <c r="K7294" s="4"/>
      <c r="L7294" s="33" t="str">
        <f>IFERROR(VLOOKUP($J7294,'Informations sur les produits'!$A$3:$H$10000,8,FALSE),"0")</f>
        <v>0</v>
      </c>
      <c r="N7294" s="8"/>
      <c r="O7294" s="33" t="str">
        <f>IFERROR(VLOOKUP($M7294,'Informations sur les produits'!$A$3:$H$10000,8,FALSE),"0")</f>
        <v>0</v>
      </c>
      <c r="P7294" s="33">
        <f t="shared" si="452"/>
        <v>0</v>
      </c>
      <c r="Q7294" s="31" t="str">
        <f t="shared" si="453"/>
        <v/>
      </c>
      <c r="R7294" s="32" t="str">
        <f>IFERROR(VLOOKUP($D7294,'Informations sur les produits'!$A$3:$B$15000,2,FALSE),"")</f>
        <v/>
      </c>
      <c r="V7294">
        <f t="shared" si="454"/>
        <v>0</v>
      </c>
      <c r="W7294">
        <f t="shared" si="455"/>
        <v>0</v>
      </c>
    </row>
    <row r="7295" spans="5:23" x14ac:dyDescent="0.25">
      <c r="E7295" s="4"/>
      <c r="F7295" s="4"/>
      <c r="G7295" s="33" t="str">
        <f>IFERROR(VLOOKUP($D7295,'Informations sur les produits'!$A$3:$H$10000,8,FALSE),"0")</f>
        <v>0</v>
      </c>
      <c r="K7295" s="4"/>
      <c r="L7295" s="33" t="str">
        <f>IFERROR(VLOOKUP($J7295,'Informations sur les produits'!$A$3:$H$10000,8,FALSE),"0")</f>
        <v>0</v>
      </c>
      <c r="N7295" s="8"/>
      <c r="O7295" s="33" t="str">
        <f>IFERROR(VLOOKUP($M7295,'Informations sur les produits'!$A$3:$H$10000,8,FALSE),"0")</f>
        <v>0</v>
      </c>
      <c r="P7295" s="33">
        <f t="shared" si="452"/>
        <v>0</v>
      </c>
      <c r="Q7295" s="31" t="str">
        <f t="shared" si="453"/>
        <v/>
      </c>
      <c r="R7295" s="32" t="str">
        <f>IFERROR(VLOOKUP($D7295,'Informations sur les produits'!$A$3:$B$15000,2,FALSE),"")</f>
        <v/>
      </c>
      <c r="V7295">
        <f t="shared" si="454"/>
        <v>0</v>
      </c>
      <c r="W7295">
        <f t="shared" si="455"/>
        <v>0</v>
      </c>
    </row>
    <row r="7296" spans="5:23" x14ac:dyDescent="0.25">
      <c r="E7296" s="4"/>
      <c r="F7296" s="4"/>
      <c r="G7296" s="33" t="str">
        <f>IFERROR(VLOOKUP($D7296,'Informations sur les produits'!$A$3:$H$10000,8,FALSE),"0")</f>
        <v>0</v>
      </c>
      <c r="K7296" s="4"/>
      <c r="L7296" s="33" t="str">
        <f>IFERROR(VLOOKUP($J7296,'Informations sur les produits'!$A$3:$H$10000,8,FALSE),"0")</f>
        <v>0</v>
      </c>
      <c r="N7296" s="8"/>
      <c r="O7296" s="33" t="str">
        <f>IFERROR(VLOOKUP($M7296,'Informations sur les produits'!$A$3:$H$10000,8,FALSE),"0")</f>
        <v>0</v>
      </c>
      <c r="P7296" s="33">
        <f t="shared" si="452"/>
        <v>0</v>
      </c>
      <c r="Q7296" s="31" t="str">
        <f t="shared" si="453"/>
        <v/>
      </c>
      <c r="R7296" s="32" t="str">
        <f>IFERROR(VLOOKUP($D7296,'Informations sur les produits'!$A$3:$B$15000,2,FALSE),"")</f>
        <v/>
      </c>
      <c r="V7296">
        <f t="shared" si="454"/>
        <v>0</v>
      </c>
      <c r="W7296">
        <f t="shared" si="455"/>
        <v>0</v>
      </c>
    </row>
    <row r="7297" spans="5:23" x14ac:dyDescent="0.25">
      <c r="E7297" s="4"/>
      <c r="F7297" s="4"/>
      <c r="G7297" s="33" t="str">
        <f>IFERROR(VLOOKUP($D7297,'Informations sur les produits'!$A$3:$H$10000,8,FALSE),"0")</f>
        <v>0</v>
      </c>
      <c r="K7297" s="4"/>
      <c r="L7297" s="33" t="str">
        <f>IFERROR(VLOOKUP($J7297,'Informations sur les produits'!$A$3:$H$10000,8,FALSE),"0")</f>
        <v>0</v>
      </c>
      <c r="N7297" s="8"/>
      <c r="O7297" s="33" t="str">
        <f>IFERROR(VLOOKUP($M7297,'Informations sur les produits'!$A$3:$H$10000,8,FALSE),"0")</f>
        <v>0</v>
      </c>
      <c r="P7297" s="33">
        <f t="shared" si="452"/>
        <v>0</v>
      </c>
      <c r="Q7297" s="31" t="str">
        <f t="shared" si="453"/>
        <v/>
      </c>
      <c r="R7297" s="32" t="str">
        <f>IFERROR(VLOOKUP($D7297,'Informations sur les produits'!$A$3:$B$15000,2,FALSE),"")</f>
        <v/>
      </c>
      <c r="V7297">
        <f t="shared" si="454"/>
        <v>0</v>
      </c>
      <c r="W7297">
        <f t="shared" si="455"/>
        <v>0</v>
      </c>
    </row>
    <row r="7298" spans="5:23" x14ac:dyDescent="0.25">
      <c r="E7298" s="4"/>
      <c r="F7298" s="4"/>
      <c r="G7298" s="33" t="str">
        <f>IFERROR(VLOOKUP($D7298,'Informations sur les produits'!$A$3:$H$10000,8,FALSE),"0")</f>
        <v>0</v>
      </c>
      <c r="K7298" s="4"/>
      <c r="L7298" s="33" t="str">
        <f>IFERROR(VLOOKUP($J7298,'Informations sur les produits'!$A$3:$H$10000,8,FALSE),"0")</f>
        <v>0</v>
      </c>
      <c r="N7298" s="8"/>
      <c r="O7298" s="33" t="str">
        <f>IFERROR(VLOOKUP($M7298,'Informations sur les produits'!$A$3:$H$10000,8,FALSE),"0")</f>
        <v>0</v>
      </c>
      <c r="P7298" s="33">
        <f t="shared" si="452"/>
        <v>0</v>
      </c>
      <c r="Q7298" s="31" t="str">
        <f t="shared" si="453"/>
        <v/>
      </c>
      <c r="R7298" s="32" t="str">
        <f>IFERROR(VLOOKUP($D7298,'Informations sur les produits'!$A$3:$B$15000,2,FALSE),"")</f>
        <v/>
      </c>
      <c r="V7298">
        <f t="shared" si="454"/>
        <v>0</v>
      </c>
      <c r="W7298">
        <f t="shared" si="455"/>
        <v>0</v>
      </c>
    </row>
    <row r="7299" spans="5:23" x14ac:dyDescent="0.25">
      <c r="E7299" s="4"/>
      <c r="F7299" s="4"/>
      <c r="G7299" s="33" t="str">
        <f>IFERROR(VLOOKUP($D7299,'Informations sur les produits'!$A$3:$H$10000,8,FALSE),"0")</f>
        <v>0</v>
      </c>
      <c r="K7299" s="4"/>
      <c r="L7299" s="33" t="str">
        <f>IFERROR(VLOOKUP($J7299,'Informations sur les produits'!$A$3:$H$10000,8,FALSE),"0")</f>
        <v>0</v>
      </c>
      <c r="N7299" s="8"/>
      <c r="O7299" s="33" t="str">
        <f>IFERROR(VLOOKUP($M7299,'Informations sur les produits'!$A$3:$H$10000,8,FALSE),"0")</f>
        <v>0</v>
      </c>
      <c r="P7299" s="33">
        <f t="shared" si="452"/>
        <v>0</v>
      </c>
      <c r="Q7299" s="31" t="str">
        <f t="shared" si="453"/>
        <v/>
      </c>
      <c r="R7299" s="32" t="str">
        <f>IFERROR(VLOOKUP($D7299,'Informations sur les produits'!$A$3:$B$15000,2,FALSE),"")</f>
        <v/>
      </c>
      <c r="V7299">
        <f t="shared" si="454"/>
        <v>0</v>
      </c>
      <c r="W7299">
        <f t="shared" si="455"/>
        <v>0</v>
      </c>
    </row>
    <row r="7300" spans="5:23" x14ac:dyDescent="0.25">
      <c r="E7300" s="4"/>
      <c r="F7300" s="4"/>
      <c r="G7300" s="33" t="str">
        <f>IFERROR(VLOOKUP($D7300,'Informations sur les produits'!$A$3:$H$10000,8,FALSE),"0")</f>
        <v>0</v>
      </c>
      <c r="K7300" s="4"/>
      <c r="L7300" s="33" t="str">
        <f>IFERROR(VLOOKUP($J7300,'Informations sur les produits'!$A$3:$H$10000,8,FALSE),"0")</f>
        <v>0</v>
      </c>
      <c r="N7300" s="8"/>
      <c r="O7300" s="33" t="str">
        <f>IFERROR(VLOOKUP($M7300,'Informations sur les produits'!$A$3:$H$10000,8,FALSE),"0")</f>
        <v>0</v>
      </c>
      <c r="P7300" s="33">
        <f t="shared" ref="P7300:P7363" si="456">IFERROR((($E7300-$F7300)*$G7300+$K7300*$L7300+$N7300*$O7300),"")</f>
        <v>0</v>
      </c>
      <c r="Q7300" s="31" t="str">
        <f t="shared" ref="Q7300:Q7363" si="457">IFERROR((((($E7300-$F7300)*$G7300+$K7300*$L7300+$N7300*$O7300)*1000)/(($E7300-$F7300)+$K7300+$N7300)),"")</f>
        <v/>
      </c>
      <c r="R7300" s="32" t="str">
        <f>IFERROR(VLOOKUP($D7300,'Informations sur les produits'!$A$3:$B$15000,2,FALSE),"")</f>
        <v/>
      </c>
      <c r="V7300">
        <f t="shared" ref="V7300:V7363" si="458">IFERROR(P7300*1000,"")</f>
        <v>0</v>
      </c>
      <c r="W7300">
        <f t="shared" ref="W7300:W7363" si="459">IFERROR(($E7300-$F7300)+$K7300+$N7300,"")</f>
        <v>0</v>
      </c>
    </row>
    <row r="7301" spans="5:23" x14ac:dyDescent="0.25">
      <c r="E7301" s="4"/>
      <c r="F7301" s="4"/>
      <c r="G7301" s="33" t="str">
        <f>IFERROR(VLOOKUP($D7301,'Informations sur les produits'!$A$3:$H$10000,8,FALSE),"0")</f>
        <v>0</v>
      </c>
      <c r="K7301" s="4"/>
      <c r="L7301" s="33" t="str">
        <f>IFERROR(VLOOKUP($J7301,'Informations sur les produits'!$A$3:$H$10000,8,FALSE),"0")</f>
        <v>0</v>
      </c>
      <c r="N7301" s="8"/>
      <c r="O7301" s="33" t="str">
        <f>IFERROR(VLOOKUP($M7301,'Informations sur les produits'!$A$3:$H$10000,8,FALSE),"0")</f>
        <v>0</v>
      </c>
      <c r="P7301" s="33">
        <f t="shared" si="456"/>
        <v>0</v>
      </c>
      <c r="Q7301" s="31" t="str">
        <f t="shared" si="457"/>
        <v/>
      </c>
      <c r="R7301" s="32" t="str">
        <f>IFERROR(VLOOKUP($D7301,'Informations sur les produits'!$A$3:$B$15000,2,FALSE),"")</f>
        <v/>
      </c>
      <c r="V7301">
        <f t="shared" si="458"/>
        <v>0</v>
      </c>
      <c r="W7301">
        <f t="shared" si="459"/>
        <v>0</v>
      </c>
    </row>
    <row r="7302" spans="5:23" x14ac:dyDescent="0.25">
      <c r="E7302" s="4"/>
      <c r="F7302" s="4"/>
      <c r="G7302" s="33" t="str">
        <f>IFERROR(VLOOKUP($D7302,'Informations sur les produits'!$A$3:$H$10000,8,FALSE),"0")</f>
        <v>0</v>
      </c>
      <c r="K7302" s="4"/>
      <c r="L7302" s="33" t="str">
        <f>IFERROR(VLOOKUP($J7302,'Informations sur les produits'!$A$3:$H$10000,8,FALSE),"0")</f>
        <v>0</v>
      </c>
      <c r="N7302" s="8"/>
      <c r="O7302" s="33" t="str">
        <f>IFERROR(VLOOKUP($M7302,'Informations sur les produits'!$A$3:$H$10000,8,FALSE),"0")</f>
        <v>0</v>
      </c>
      <c r="P7302" s="33">
        <f t="shared" si="456"/>
        <v>0</v>
      </c>
      <c r="Q7302" s="31" t="str">
        <f t="shared" si="457"/>
        <v/>
      </c>
      <c r="R7302" s="32" t="str">
        <f>IFERROR(VLOOKUP($D7302,'Informations sur les produits'!$A$3:$B$15000,2,FALSE),"")</f>
        <v/>
      </c>
      <c r="V7302">
        <f t="shared" si="458"/>
        <v>0</v>
      </c>
      <c r="W7302">
        <f t="shared" si="459"/>
        <v>0</v>
      </c>
    </row>
    <row r="7303" spans="5:23" x14ac:dyDescent="0.25">
      <c r="E7303" s="4"/>
      <c r="F7303" s="4"/>
      <c r="G7303" s="33" t="str">
        <f>IFERROR(VLOOKUP($D7303,'Informations sur les produits'!$A$3:$H$10000,8,FALSE),"0")</f>
        <v>0</v>
      </c>
      <c r="K7303" s="4"/>
      <c r="L7303" s="33" t="str">
        <f>IFERROR(VLOOKUP($J7303,'Informations sur les produits'!$A$3:$H$10000,8,FALSE),"0")</f>
        <v>0</v>
      </c>
      <c r="N7303" s="8"/>
      <c r="O7303" s="33" t="str">
        <f>IFERROR(VLOOKUP($M7303,'Informations sur les produits'!$A$3:$H$10000,8,FALSE),"0")</f>
        <v>0</v>
      </c>
      <c r="P7303" s="33">
        <f t="shared" si="456"/>
        <v>0</v>
      </c>
      <c r="Q7303" s="31" t="str">
        <f t="shared" si="457"/>
        <v/>
      </c>
      <c r="R7303" s="32" t="str">
        <f>IFERROR(VLOOKUP($D7303,'Informations sur les produits'!$A$3:$B$15000,2,FALSE),"")</f>
        <v/>
      </c>
      <c r="V7303">
        <f t="shared" si="458"/>
        <v>0</v>
      </c>
      <c r="W7303">
        <f t="shared" si="459"/>
        <v>0</v>
      </c>
    </row>
    <row r="7304" spans="5:23" x14ac:dyDescent="0.25">
      <c r="E7304" s="4"/>
      <c r="F7304" s="4"/>
      <c r="G7304" s="33" t="str">
        <f>IFERROR(VLOOKUP($D7304,'Informations sur les produits'!$A$3:$H$10000,8,FALSE),"0")</f>
        <v>0</v>
      </c>
      <c r="K7304" s="4"/>
      <c r="L7304" s="33" t="str">
        <f>IFERROR(VLOOKUP($J7304,'Informations sur les produits'!$A$3:$H$10000,8,FALSE),"0")</f>
        <v>0</v>
      </c>
      <c r="N7304" s="8"/>
      <c r="O7304" s="33" t="str">
        <f>IFERROR(VLOOKUP($M7304,'Informations sur les produits'!$A$3:$H$10000,8,FALSE),"0")</f>
        <v>0</v>
      </c>
      <c r="P7304" s="33">
        <f t="shared" si="456"/>
        <v>0</v>
      </c>
      <c r="Q7304" s="31" t="str">
        <f t="shared" si="457"/>
        <v/>
      </c>
      <c r="R7304" s="32" t="str">
        <f>IFERROR(VLOOKUP($D7304,'Informations sur les produits'!$A$3:$B$15000,2,FALSE),"")</f>
        <v/>
      </c>
      <c r="V7304">
        <f t="shared" si="458"/>
        <v>0</v>
      </c>
      <c r="W7304">
        <f t="shared" si="459"/>
        <v>0</v>
      </c>
    </row>
    <row r="7305" spans="5:23" x14ac:dyDescent="0.25">
      <c r="E7305" s="4"/>
      <c r="F7305" s="4"/>
      <c r="G7305" s="33" t="str">
        <f>IFERROR(VLOOKUP($D7305,'Informations sur les produits'!$A$3:$H$10000,8,FALSE),"0")</f>
        <v>0</v>
      </c>
      <c r="K7305" s="4"/>
      <c r="L7305" s="33" t="str">
        <f>IFERROR(VLOOKUP($J7305,'Informations sur les produits'!$A$3:$H$10000,8,FALSE),"0")</f>
        <v>0</v>
      </c>
      <c r="N7305" s="8"/>
      <c r="O7305" s="33" t="str">
        <f>IFERROR(VLOOKUP($M7305,'Informations sur les produits'!$A$3:$H$10000,8,FALSE),"0")</f>
        <v>0</v>
      </c>
      <c r="P7305" s="33">
        <f t="shared" si="456"/>
        <v>0</v>
      </c>
      <c r="Q7305" s="31" t="str">
        <f t="shared" si="457"/>
        <v/>
      </c>
      <c r="R7305" s="32" t="str">
        <f>IFERROR(VLOOKUP($D7305,'Informations sur les produits'!$A$3:$B$15000,2,FALSE),"")</f>
        <v/>
      </c>
      <c r="V7305">
        <f t="shared" si="458"/>
        <v>0</v>
      </c>
      <c r="W7305">
        <f t="shared" si="459"/>
        <v>0</v>
      </c>
    </row>
    <row r="7306" spans="5:23" x14ac:dyDescent="0.25">
      <c r="E7306" s="4"/>
      <c r="F7306" s="4"/>
      <c r="G7306" s="33" t="str">
        <f>IFERROR(VLOOKUP($D7306,'Informations sur les produits'!$A$3:$H$10000,8,FALSE),"0")</f>
        <v>0</v>
      </c>
      <c r="K7306" s="4"/>
      <c r="L7306" s="33" t="str">
        <f>IFERROR(VLOOKUP($J7306,'Informations sur les produits'!$A$3:$H$10000,8,FALSE),"0")</f>
        <v>0</v>
      </c>
      <c r="N7306" s="8"/>
      <c r="O7306" s="33" t="str">
        <f>IFERROR(VLOOKUP($M7306,'Informations sur les produits'!$A$3:$H$10000,8,FALSE),"0")</f>
        <v>0</v>
      </c>
      <c r="P7306" s="33">
        <f t="shared" si="456"/>
        <v>0</v>
      </c>
      <c r="Q7306" s="31" t="str">
        <f t="shared" si="457"/>
        <v/>
      </c>
      <c r="R7306" s="32" t="str">
        <f>IFERROR(VLOOKUP($D7306,'Informations sur les produits'!$A$3:$B$15000,2,FALSE),"")</f>
        <v/>
      </c>
      <c r="V7306">
        <f t="shared" si="458"/>
        <v>0</v>
      </c>
      <c r="W7306">
        <f t="shared" si="459"/>
        <v>0</v>
      </c>
    </row>
    <row r="7307" spans="5:23" x14ac:dyDescent="0.25">
      <c r="E7307" s="4"/>
      <c r="F7307" s="4"/>
      <c r="G7307" s="33" t="str">
        <f>IFERROR(VLOOKUP($D7307,'Informations sur les produits'!$A$3:$H$10000,8,FALSE),"0")</f>
        <v>0</v>
      </c>
      <c r="K7307" s="4"/>
      <c r="L7307" s="33" t="str">
        <f>IFERROR(VLOOKUP($J7307,'Informations sur les produits'!$A$3:$H$10000,8,FALSE),"0")</f>
        <v>0</v>
      </c>
      <c r="N7307" s="8"/>
      <c r="O7307" s="33" t="str">
        <f>IFERROR(VLOOKUP($M7307,'Informations sur les produits'!$A$3:$H$10000,8,FALSE),"0")</f>
        <v>0</v>
      </c>
      <c r="P7307" s="33">
        <f t="shared" si="456"/>
        <v>0</v>
      </c>
      <c r="Q7307" s="31" t="str">
        <f t="shared" si="457"/>
        <v/>
      </c>
      <c r="R7307" s="32" t="str">
        <f>IFERROR(VLOOKUP($D7307,'Informations sur les produits'!$A$3:$B$15000,2,FALSE),"")</f>
        <v/>
      </c>
      <c r="V7307">
        <f t="shared" si="458"/>
        <v>0</v>
      </c>
      <c r="W7307">
        <f t="shared" si="459"/>
        <v>0</v>
      </c>
    </row>
    <row r="7308" spans="5:23" x14ac:dyDescent="0.25">
      <c r="E7308" s="4"/>
      <c r="F7308" s="4"/>
      <c r="G7308" s="33" t="str">
        <f>IFERROR(VLOOKUP($D7308,'Informations sur les produits'!$A$3:$H$10000,8,FALSE),"0")</f>
        <v>0</v>
      </c>
      <c r="K7308" s="4"/>
      <c r="L7308" s="33" t="str">
        <f>IFERROR(VLOOKUP($J7308,'Informations sur les produits'!$A$3:$H$10000,8,FALSE),"0")</f>
        <v>0</v>
      </c>
      <c r="N7308" s="8"/>
      <c r="O7308" s="33" t="str">
        <f>IFERROR(VLOOKUP($M7308,'Informations sur les produits'!$A$3:$H$10000,8,FALSE),"0")</f>
        <v>0</v>
      </c>
      <c r="P7308" s="33">
        <f t="shared" si="456"/>
        <v>0</v>
      </c>
      <c r="Q7308" s="31" t="str">
        <f t="shared" si="457"/>
        <v/>
      </c>
      <c r="R7308" s="32" t="str">
        <f>IFERROR(VLOOKUP($D7308,'Informations sur les produits'!$A$3:$B$15000,2,FALSE),"")</f>
        <v/>
      </c>
      <c r="V7308">
        <f t="shared" si="458"/>
        <v>0</v>
      </c>
      <c r="W7308">
        <f t="shared" si="459"/>
        <v>0</v>
      </c>
    </row>
    <row r="7309" spans="5:23" x14ac:dyDescent="0.25">
      <c r="E7309" s="4"/>
      <c r="F7309" s="4"/>
      <c r="G7309" s="33" t="str">
        <f>IFERROR(VLOOKUP($D7309,'Informations sur les produits'!$A$3:$H$10000,8,FALSE),"0")</f>
        <v>0</v>
      </c>
      <c r="K7309" s="4"/>
      <c r="L7309" s="33" t="str">
        <f>IFERROR(VLOOKUP($J7309,'Informations sur les produits'!$A$3:$H$10000,8,FALSE),"0")</f>
        <v>0</v>
      </c>
      <c r="N7309" s="8"/>
      <c r="O7309" s="33" t="str">
        <f>IFERROR(VLOOKUP($M7309,'Informations sur les produits'!$A$3:$H$10000,8,FALSE),"0")</f>
        <v>0</v>
      </c>
      <c r="P7309" s="33">
        <f t="shared" si="456"/>
        <v>0</v>
      </c>
      <c r="Q7309" s="31" t="str">
        <f t="shared" si="457"/>
        <v/>
      </c>
      <c r="R7309" s="32" t="str">
        <f>IFERROR(VLOOKUP($D7309,'Informations sur les produits'!$A$3:$B$15000,2,FALSE),"")</f>
        <v/>
      </c>
      <c r="V7309">
        <f t="shared" si="458"/>
        <v>0</v>
      </c>
      <c r="W7309">
        <f t="shared" si="459"/>
        <v>0</v>
      </c>
    </row>
    <row r="7310" spans="5:23" x14ac:dyDescent="0.25">
      <c r="E7310" s="4"/>
      <c r="F7310" s="4"/>
      <c r="G7310" s="33" t="str">
        <f>IFERROR(VLOOKUP($D7310,'Informations sur les produits'!$A$3:$H$10000,8,FALSE),"0")</f>
        <v>0</v>
      </c>
      <c r="K7310" s="4"/>
      <c r="L7310" s="33" t="str">
        <f>IFERROR(VLOOKUP($J7310,'Informations sur les produits'!$A$3:$H$10000,8,FALSE),"0")</f>
        <v>0</v>
      </c>
      <c r="N7310" s="8"/>
      <c r="O7310" s="33" t="str">
        <f>IFERROR(VLOOKUP($M7310,'Informations sur les produits'!$A$3:$H$10000,8,FALSE),"0")</f>
        <v>0</v>
      </c>
      <c r="P7310" s="33">
        <f t="shared" si="456"/>
        <v>0</v>
      </c>
      <c r="Q7310" s="31" t="str">
        <f t="shared" si="457"/>
        <v/>
      </c>
      <c r="R7310" s="32" t="str">
        <f>IFERROR(VLOOKUP($D7310,'Informations sur les produits'!$A$3:$B$15000,2,FALSE),"")</f>
        <v/>
      </c>
      <c r="V7310">
        <f t="shared" si="458"/>
        <v>0</v>
      </c>
      <c r="W7310">
        <f t="shared" si="459"/>
        <v>0</v>
      </c>
    </row>
    <row r="7311" spans="5:23" x14ac:dyDescent="0.25">
      <c r="E7311" s="4"/>
      <c r="F7311" s="4"/>
      <c r="G7311" s="33" t="str">
        <f>IFERROR(VLOOKUP($D7311,'Informations sur les produits'!$A$3:$H$10000,8,FALSE),"0")</f>
        <v>0</v>
      </c>
      <c r="K7311" s="4"/>
      <c r="L7311" s="33" t="str">
        <f>IFERROR(VLOOKUP($J7311,'Informations sur les produits'!$A$3:$H$10000,8,FALSE),"0")</f>
        <v>0</v>
      </c>
      <c r="N7311" s="8"/>
      <c r="O7311" s="33" t="str">
        <f>IFERROR(VLOOKUP($M7311,'Informations sur les produits'!$A$3:$H$10000,8,FALSE),"0")</f>
        <v>0</v>
      </c>
      <c r="P7311" s="33">
        <f t="shared" si="456"/>
        <v>0</v>
      </c>
      <c r="Q7311" s="31" t="str">
        <f t="shared" si="457"/>
        <v/>
      </c>
      <c r="R7311" s="32" t="str">
        <f>IFERROR(VLOOKUP($D7311,'Informations sur les produits'!$A$3:$B$15000,2,FALSE),"")</f>
        <v/>
      </c>
      <c r="V7311">
        <f t="shared" si="458"/>
        <v>0</v>
      </c>
      <c r="W7311">
        <f t="shared" si="459"/>
        <v>0</v>
      </c>
    </row>
    <row r="7312" spans="5:23" x14ac:dyDescent="0.25">
      <c r="E7312" s="4"/>
      <c r="F7312" s="4"/>
      <c r="G7312" s="33" t="str">
        <f>IFERROR(VLOOKUP($D7312,'Informations sur les produits'!$A$3:$H$10000,8,FALSE),"0")</f>
        <v>0</v>
      </c>
      <c r="K7312" s="4"/>
      <c r="L7312" s="33" t="str">
        <f>IFERROR(VLOOKUP($J7312,'Informations sur les produits'!$A$3:$H$10000,8,FALSE),"0")</f>
        <v>0</v>
      </c>
      <c r="N7312" s="8"/>
      <c r="O7312" s="33" t="str">
        <f>IFERROR(VLOOKUP($M7312,'Informations sur les produits'!$A$3:$H$10000,8,FALSE),"0")</f>
        <v>0</v>
      </c>
      <c r="P7312" s="33">
        <f t="shared" si="456"/>
        <v>0</v>
      </c>
      <c r="Q7312" s="31" t="str">
        <f t="shared" si="457"/>
        <v/>
      </c>
      <c r="R7312" s="32" t="str">
        <f>IFERROR(VLOOKUP($D7312,'Informations sur les produits'!$A$3:$B$15000,2,FALSE),"")</f>
        <v/>
      </c>
      <c r="V7312">
        <f t="shared" si="458"/>
        <v>0</v>
      </c>
      <c r="W7312">
        <f t="shared" si="459"/>
        <v>0</v>
      </c>
    </row>
    <row r="7313" spans="5:23" x14ac:dyDescent="0.25">
      <c r="E7313" s="4"/>
      <c r="F7313" s="4"/>
      <c r="G7313" s="33" t="str">
        <f>IFERROR(VLOOKUP($D7313,'Informations sur les produits'!$A$3:$H$10000,8,FALSE),"0")</f>
        <v>0</v>
      </c>
      <c r="K7313" s="4"/>
      <c r="L7313" s="33" t="str">
        <f>IFERROR(VLOOKUP($J7313,'Informations sur les produits'!$A$3:$H$10000,8,FALSE),"0")</f>
        <v>0</v>
      </c>
      <c r="N7313" s="8"/>
      <c r="O7313" s="33" t="str">
        <f>IFERROR(VLOOKUP($M7313,'Informations sur les produits'!$A$3:$H$10000,8,FALSE),"0")</f>
        <v>0</v>
      </c>
      <c r="P7313" s="33">
        <f t="shared" si="456"/>
        <v>0</v>
      </c>
      <c r="Q7313" s="31" t="str">
        <f t="shared" si="457"/>
        <v/>
      </c>
      <c r="R7313" s="32" t="str">
        <f>IFERROR(VLOOKUP($D7313,'Informations sur les produits'!$A$3:$B$15000,2,FALSE),"")</f>
        <v/>
      </c>
      <c r="V7313">
        <f t="shared" si="458"/>
        <v>0</v>
      </c>
      <c r="W7313">
        <f t="shared" si="459"/>
        <v>0</v>
      </c>
    </row>
    <row r="7314" spans="5:23" x14ac:dyDescent="0.25">
      <c r="E7314" s="4"/>
      <c r="F7314" s="4"/>
      <c r="G7314" s="33" t="str">
        <f>IFERROR(VLOOKUP($D7314,'Informations sur les produits'!$A$3:$H$10000,8,FALSE),"0")</f>
        <v>0</v>
      </c>
      <c r="K7314" s="4"/>
      <c r="L7314" s="33" t="str">
        <f>IFERROR(VLOOKUP($J7314,'Informations sur les produits'!$A$3:$H$10000,8,FALSE),"0")</f>
        <v>0</v>
      </c>
      <c r="N7314" s="8"/>
      <c r="O7314" s="33" t="str">
        <f>IFERROR(VLOOKUP($M7314,'Informations sur les produits'!$A$3:$H$10000,8,FALSE),"0")</f>
        <v>0</v>
      </c>
      <c r="P7314" s="33">
        <f t="shared" si="456"/>
        <v>0</v>
      </c>
      <c r="Q7314" s="31" t="str">
        <f t="shared" si="457"/>
        <v/>
      </c>
      <c r="R7314" s="32" t="str">
        <f>IFERROR(VLOOKUP($D7314,'Informations sur les produits'!$A$3:$B$15000,2,FALSE),"")</f>
        <v/>
      </c>
      <c r="V7314">
        <f t="shared" si="458"/>
        <v>0</v>
      </c>
      <c r="W7314">
        <f t="shared" si="459"/>
        <v>0</v>
      </c>
    </row>
    <row r="7315" spans="5:23" x14ac:dyDescent="0.25">
      <c r="E7315" s="4"/>
      <c r="F7315" s="4"/>
      <c r="G7315" s="33" t="str">
        <f>IFERROR(VLOOKUP($D7315,'Informations sur les produits'!$A$3:$H$10000,8,FALSE),"0")</f>
        <v>0</v>
      </c>
      <c r="K7315" s="4"/>
      <c r="L7315" s="33" t="str">
        <f>IFERROR(VLOOKUP($J7315,'Informations sur les produits'!$A$3:$H$10000,8,FALSE),"0")</f>
        <v>0</v>
      </c>
      <c r="N7315" s="8"/>
      <c r="O7315" s="33" t="str">
        <f>IFERROR(VLOOKUP($M7315,'Informations sur les produits'!$A$3:$H$10000,8,FALSE),"0")</f>
        <v>0</v>
      </c>
      <c r="P7315" s="33">
        <f t="shared" si="456"/>
        <v>0</v>
      </c>
      <c r="Q7315" s="31" t="str">
        <f t="shared" si="457"/>
        <v/>
      </c>
      <c r="R7315" s="32" t="str">
        <f>IFERROR(VLOOKUP($D7315,'Informations sur les produits'!$A$3:$B$15000,2,FALSE),"")</f>
        <v/>
      </c>
      <c r="V7315">
        <f t="shared" si="458"/>
        <v>0</v>
      </c>
      <c r="W7315">
        <f t="shared" si="459"/>
        <v>0</v>
      </c>
    </row>
    <row r="7316" spans="5:23" x14ac:dyDescent="0.25">
      <c r="E7316" s="4"/>
      <c r="F7316" s="4"/>
      <c r="G7316" s="33" t="str">
        <f>IFERROR(VLOOKUP($D7316,'Informations sur les produits'!$A$3:$H$10000,8,FALSE),"0")</f>
        <v>0</v>
      </c>
      <c r="K7316" s="4"/>
      <c r="L7316" s="33" t="str">
        <f>IFERROR(VLOOKUP($J7316,'Informations sur les produits'!$A$3:$H$10000,8,FALSE),"0")</f>
        <v>0</v>
      </c>
      <c r="N7316" s="8"/>
      <c r="O7316" s="33" t="str">
        <f>IFERROR(VLOOKUP($M7316,'Informations sur les produits'!$A$3:$H$10000,8,FALSE),"0")</f>
        <v>0</v>
      </c>
      <c r="P7316" s="33">
        <f t="shared" si="456"/>
        <v>0</v>
      </c>
      <c r="Q7316" s="31" t="str">
        <f t="shared" si="457"/>
        <v/>
      </c>
      <c r="R7316" s="32" t="str">
        <f>IFERROR(VLOOKUP($D7316,'Informations sur les produits'!$A$3:$B$15000,2,FALSE),"")</f>
        <v/>
      </c>
      <c r="V7316">
        <f t="shared" si="458"/>
        <v>0</v>
      </c>
      <c r="W7316">
        <f t="shared" si="459"/>
        <v>0</v>
      </c>
    </row>
    <row r="7317" spans="5:23" x14ac:dyDescent="0.25">
      <c r="E7317" s="4"/>
      <c r="F7317" s="4"/>
      <c r="G7317" s="33" t="str">
        <f>IFERROR(VLOOKUP($D7317,'Informations sur les produits'!$A$3:$H$10000,8,FALSE),"0")</f>
        <v>0</v>
      </c>
      <c r="K7317" s="4"/>
      <c r="L7317" s="33" t="str">
        <f>IFERROR(VLOOKUP($J7317,'Informations sur les produits'!$A$3:$H$10000,8,FALSE),"0")</f>
        <v>0</v>
      </c>
      <c r="N7317" s="8"/>
      <c r="O7317" s="33" t="str">
        <f>IFERROR(VLOOKUP($M7317,'Informations sur les produits'!$A$3:$H$10000,8,FALSE),"0")</f>
        <v>0</v>
      </c>
      <c r="P7317" s="33">
        <f t="shared" si="456"/>
        <v>0</v>
      </c>
      <c r="Q7317" s="31" t="str">
        <f t="shared" si="457"/>
        <v/>
      </c>
      <c r="R7317" s="32" t="str">
        <f>IFERROR(VLOOKUP($D7317,'Informations sur les produits'!$A$3:$B$15000,2,FALSE),"")</f>
        <v/>
      </c>
      <c r="V7317">
        <f t="shared" si="458"/>
        <v>0</v>
      </c>
      <c r="W7317">
        <f t="shared" si="459"/>
        <v>0</v>
      </c>
    </row>
    <row r="7318" spans="5:23" x14ac:dyDescent="0.25">
      <c r="E7318" s="4"/>
      <c r="F7318" s="4"/>
      <c r="G7318" s="33" t="str">
        <f>IFERROR(VLOOKUP($D7318,'Informations sur les produits'!$A$3:$H$10000,8,FALSE),"0")</f>
        <v>0</v>
      </c>
      <c r="K7318" s="4"/>
      <c r="L7318" s="33" t="str">
        <f>IFERROR(VLOOKUP($J7318,'Informations sur les produits'!$A$3:$H$10000,8,FALSE),"0")</f>
        <v>0</v>
      </c>
      <c r="N7318" s="8"/>
      <c r="O7318" s="33" t="str">
        <f>IFERROR(VLOOKUP($M7318,'Informations sur les produits'!$A$3:$H$10000,8,FALSE),"0")</f>
        <v>0</v>
      </c>
      <c r="P7318" s="33">
        <f t="shared" si="456"/>
        <v>0</v>
      </c>
      <c r="Q7318" s="31" t="str">
        <f t="shared" si="457"/>
        <v/>
      </c>
      <c r="R7318" s="32" t="str">
        <f>IFERROR(VLOOKUP($D7318,'Informations sur les produits'!$A$3:$B$15000,2,FALSE),"")</f>
        <v/>
      </c>
      <c r="V7318">
        <f t="shared" si="458"/>
        <v>0</v>
      </c>
      <c r="W7318">
        <f t="shared" si="459"/>
        <v>0</v>
      </c>
    </row>
    <row r="7319" spans="5:23" x14ac:dyDescent="0.25">
      <c r="E7319" s="4"/>
      <c r="F7319" s="4"/>
      <c r="G7319" s="33" t="str">
        <f>IFERROR(VLOOKUP($D7319,'Informations sur les produits'!$A$3:$H$10000,8,FALSE),"0")</f>
        <v>0</v>
      </c>
      <c r="K7319" s="4"/>
      <c r="L7319" s="33" t="str">
        <f>IFERROR(VLOOKUP($J7319,'Informations sur les produits'!$A$3:$H$10000,8,FALSE),"0")</f>
        <v>0</v>
      </c>
      <c r="N7319" s="8"/>
      <c r="O7319" s="33" t="str">
        <f>IFERROR(VLOOKUP($M7319,'Informations sur les produits'!$A$3:$H$10000,8,FALSE),"0")</f>
        <v>0</v>
      </c>
      <c r="P7319" s="33">
        <f t="shared" si="456"/>
        <v>0</v>
      </c>
      <c r="Q7319" s="31" t="str">
        <f t="shared" si="457"/>
        <v/>
      </c>
      <c r="R7319" s="32" t="str">
        <f>IFERROR(VLOOKUP($D7319,'Informations sur les produits'!$A$3:$B$15000,2,FALSE),"")</f>
        <v/>
      </c>
      <c r="V7319">
        <f t="shared" si="458"/>
        <v>0</v>
      </c>
      <c r="W7319">
        <f t="shared" si="459"/>
        <v>0</v>
      </c>
    </row>
    <row r="7320" spans="5:23" x14ac:dyDescent="0.25">
      <c r="E7320" s="4"/>
      <c r="F7320" s="4"/>
      <c r="G7320" s="33" t="str">
        <f>IFERROR(VLOOKUP($D7320,'Informations sur les produits'!$A$3:$H$10000,8,FALSE),"0")</f>
        <v>0</v>
      </c>
      <c r="K7320" s="4"/>
      <c r="L7320" s="33" t="str">
        <f>IFERROR(VLOOKUP($J7320,'Informations sur les produits'!$A$3:$H$10000,8,FALSE),"0")</f>
        <v>0</v>
      </c>
      <c r="N7320" s="8"/>
      <c r="O7320" s="33" t="str">
        <f>IFERROR(VLOOKUP($M7320,'Informations sur les produits'!$A$3:$H$10000,8,FALSE),"0")</f>
        <v>0</v>
      </c>
      <c r="P7320" s="33">
        <f t="shared" si="456"/>
        <v>0</v>
      </c>
      <c r="Q7320" s="31" t="str">
        <f t="shared" si="457"/>
        <v/>
      </c>
      <c r="R7320" s="32" t="str">
        <f>IFERROR(VLOOKUP($D7320,'Informations sur les produits'!$A$3:$B$15000,2,FALSE),"")</f>
        <v/>
      </c>
      <c r="V7320">
        <f t="shared" si="458"/>
        <v>0</v>
      </c>
      <c r="W7320">
        <f t="shared" si="459"/>
        <v>0</v>
      </c>
    </row>
    <row r="7321" spans="5:23" x14ac:dyDescent="0.25">
      <c r="E7321" s="4"/>
      <c r="F7321" s="4"/>
      <c r="G7321" s="33" t="str">
        <f>IFERROR(VLOOKUP($D7321,'Informations sur les produits'!$A$3:$H$10000,8,FALSE),"0")</f>
        <v>0</v>
      </c>
      <c r="K7321" s="4"/>
      <c r="L7321" s="33" t="str">
        <f>IFERROR(VLOOKUP($J7321,'Informations sur les produits'!$A$3:$H$10000,8,FALSE),"0")</f>
        <v>0</v>
      </c>
      <c r="N7321" s="8"/>
      <c r="O7321" s="33" t="str">
        <f>IFERROR(VLOOKUP($M7321,'Informations sur les produits'!$A$3:$H$10000,8,FALSE),"0")</f>
        <v>0</v>
      </c>
      <c r="P7321" s="33">
        <f t="shared" si="456"/>
        <v>0</v>
      </c>
      <c r="Q7321" s="31" t="str">
        <f t="shared" si="457"/>
        <v/>
      </c>
      <c r="R7321" s="32" t="str">
        <f>IFERROR(VLOOKUP($D7321,'Informations sur les produits'!$A$3:$B$15000,2,FALSE),"")</f>
        <v/>
      </c>
      <c r="V7321">
        <f t="shared" si="458"/>
        <v>0</v>
      </c>
      <c r="W7321">
        <f t="shared" si="459"/>
        <v>0</v>
      </c>
    </row>
    <row r="7322" spans="5:23" x14ac:dyDescent="0.25">
      <c r="E7322" s="4"/>
      <c r="F7322" s="4"/>
      <c r="G7322" s="33" t="str">
        <f>IFERROR(VLOOKUP($D7322,'Informations sur les produits'!$A$3:$H$10000,8,FALSE),"0")</f>
        <v>0</v>
      </c>
      <c r="K7322" s="4"/>
      <c r="L7322" s="33" t="str">
        <f>IFERROR(VLOOKUP($J7322,'Informations sur les produits'!$A$3:$H$10000,8,FALSE),"0")</f>
        <v>0</v>
      </c>
      <c r="N7322" s="8"/>
      <c r="O7322" s="33" t="str">
        <f>IFERROR(VLOOKUP($M7322,'Informations sur les produits'!$A$3:$H$10000,8,FALSE),"0")</f>
        <v>0</v>
      </c>
      <c r="P7322" s="33">
        <f t="shared" si="456"/>
        <v>0</v>
      </c>
      <c r="Q7322" s="31" t="str">
        <f t="shared" si="457"/>
        <v/>
      </c>
      <c r="R7322" s="32" t="str">
        <f>IFERROR(VLOOKUP($D7322,'Informations sur les produits'!$A$3:$B$15000,2,FALSE),"")</f>
        <v/>
      </c>
      <c r="V7322">
        <f t="shared" si="458"/>
        <v>0</v>
      </c>
      <c r="W7322">
        <f t="shared" si="459"/>
        <v>0</v>
      </c>
    </row>
    <row r="7323" spans="5:23" x14ac:dyDescent="0.25">
      <c r="E7323" s="4"/>
      <c r="F7323" s="4"/>
      <c r="G7323" s="33" t="str">
        <f>IFERROR(VLOOKUP($D7323,'Informations sur les produits'!$A$3:$H$10000,8,FALSE),"0")</f>
        <v>0</v>
      </c>
      <c r="K7323" s="4"/>
      <c r="L7323" s="33" t="str">
        <f>IFERROR(VLOOKUP($J7323,'Informations sur les produits'!$A$3:$H$10000,8,FALSE),"0")</f>
        <v>0</v>
      </c>
      <c r="N7323" s="8"/>
      <c r="O7323" s="33" t="str">
        <f>IFERROR(VLOOKUP($M7323,'Informations sur les produits'!$A$3:$H$10000,8,FALSE),"0")</f>
        <v>0</v>
      </c>
      <c r="P7323" s="33">
        <f t="shared" si="456"/>
        <v>0</v>
      </c>
      <c r="Q7323" s="31" t="str">
        <f t="shared" si="457"/>
        <v/>
      </c>
      <c r="R7323" s="32" t="str">
        <f>IFERROR(VLOOKUP($D7323,'Informations sur les produits'!$A$3:$B$15000,2,FALSE),"")</f>
        <v/>
      </c>
      <c r="V7323">
        <f t="shared" si="458"/>
        <v>0</v>
      </c>
      <c r="W7323">
        <f t="shared" si="459"/>
        <v>0</v>
      </c>
    </row>
    <row r="7324" spans="5:23" x14ac:dyDescent="0.25">
      <c r="E7324" s="4"/>
      <c r="F7324" s="4"/>
      <c r="G7324" s="33" t="str">
        <f>IFERROR(VLOOKUP($D7324,'Informations sur les produits'!$A$3:$H$10000,8,FALSE),"0")</f>
        <v>0</v>
      </c>
      <c r="K7324" s="4"/>
      <c r="L7324" s="33" t="str">
        <f>IFERROR(VLOOKUP($J7324,'Informations sur les produits'!$A$3:$H$10000,8,FALSE),"0")</f>
        <v>0</v>
      </c>
      <c r="N7324" s="8"/>
      <c r="O7324" s="33" t="str">
        <f>IFERROR(VLOOKUP($M7324,'Informations sur les produits'!$A$3:$H$10000,8,FALSE),"0")</f>
        <v>0</v>
      </c>
      <c r="P7324" s="33">
        <f t="shared" si="456"/>
        <v>0</v>
      </c>
      <c r="Q7324" s="31" t="str">
        <f t="shared" si="457"/>
        <v/>
      </c>
      <c r="R7324" s="32" t="str">
        <f>IFERROR(VLOOKUP($D7324,'Informations sur les produits'!$A$3:$B$15000,2,FALSE),"")</f>
        <v/>
      </c>
      <c r="V7324">
        <f t="shared" si="458"/>
        <v>0</v>
      </c>
      <c r="W7324">
        <f t="shared" si="459"/>
        <v>0</v>
      </c>
    </row>
    <row r="7325" spans="5:23" x14ac:dyDescent="0.25">
      <c r="E7325" s="4"/>
      <c r="F7325" s="4"/>
      <c r="G7325" s="33" t="str">
        <f>IFERROR(VLOOKUP($D7325,'Informations sur les produits'!$A$3:$H$10000,8,FALSE),"0")</f>
        <v>0</v>
      </c>
      <c r="K7325" s="4"/>
      <c r="L7325" s="33" t="str">
        <f>IFERROR(VLOOKUP($J7325,'Informations sur les produits'!$A$3:$H$10000,8,FALSE),"0")</f>
        <v>0</v>
      </c>
      <c r="N7325" s="8"/>
      <c r="O7325" s="33" t="str">
        <f>IFERROR(VLOOKUP($M7325,'Informations sur les produits'!$A$3:$H$10000,8,FALSE),"0")</f>
        <v>0</v>
      </c>
      <c r="P7325" s="33">
        <f t="shared" si="456"/>
        <v>0</v>
      </c>
      <c r="Q7325" s="31" t="str">
        <f t="shared" si="457"/>
        <v/>
      </c>
      <c r="R7325" s="32" t="str">
        <f>IFERROR(VLOOKUP($D7325,'Informations sur les produits'!$A$3:$B$15000,2,FALSE),"")</f>
        <v/>
      </c>
      <c r="V7325">
        <f t="shared" si="458"/>
        <v>0</v>
      </c>
      <c r="W7325">
        <f t="shared" si="459"/>
        <v>0</v>
      </c>
    </row>
    <row r="7326" spans="5:23" x14ac:dyDescent="0.25">
      <c r="E7326" s="4"/>
      <c r="F7326" s="4"/>
      <c r="G7326" s="33" t="str">
        <f>IFERROR(VLOOKUP($D7326,'Informations sur les produits'!$A$3:$H$10000,8,FALSE),"0")</f>
        <v>0</v>
      </c>
      <c r="K7326" s="4"/>
      <c r="L7326" s="33" t="str">
        <f>IFERROR(VLOOKUP($J7326,'Informations sur les produits'!$A$3:$H$10000,8,FALSE),"0")</f>
        <v>0</v>
      </c>
      <c r="N7326" s="8"/>
      <c r="O7326" s="33" t="str">
        <f>IFERROR(VLOOKUP($M7326,'Informations sur les produits'!$A$3:$H$10000,8,FALSE),"0")</f>
        <v>0</v>
      </c>
      <c r="P7326" s="33">
        <f t="shared" si="456"/>
        <v>0</v>
      </c>
      <c r="Q7326" s="31" t="str">
        <f t="shared" si="457"/>
        <v/>
      </c>
      <c r="R7326" s="32" t="str">
        <f>IFERROR(VLOOKUP($D7326,'Informations sur les produits'!$A$3:$B$15000,2,FALSE),"")</f>
        <v/>
      </c>
      <c r="V7326">
        <f t="shared" si="458"/>
        <v>0</v>
      </c>
      <c r="W7326">
        <f t="shared" si="459"/>
        <v>0</v>
      </c>
    </row>
    <row r="7327" spans="5:23" x14ac:dyDescent="0.25">
      <c r="E7327" s="4"/>
      <c r="F7327" s="4"/>
      <c r="G7327" s="33" t="str">
        <f>IFERROR(VLOOKUP($D7327,'Informations sur les produits'!$A$3:$H$10000,8,FALSE),"0")</f>
        <v>0</v>
      </c>
      <c r="K7327" s="4"/>
      <c r="L7327" s="33" t="str">
        <f>IFERROR(VLOOKUP($J7327,'Informations sur les produits'!$A$3:$H$10000,8,FALSE),"0")</f>
        <v>0</v>
      </c>
      <c r="N7327" s="8"/>
      <c r="O7327" s="33" t="str">
        <f>IFERROR(VLOOKUP($M7327,'Informations sur les produits'!$A$3:$H$10000,8,FALSE),"0")</f>
        <v>0</v>
      </c>
      <c r="P7327" s="33">
        <f t="shared" si="456"/>
        <v>0</v>
      </c>
      <c r="Q7327" s="31" t="str">
        <f t="shared" si="457"/>
        <v/>
      </c>
      <c r="R7327" s="32" t="str">
        <f>IFERROR(VLOOKUP($D7327,'Informations sur les produits'!$A$3:$B$15000,2,FALSE),"")</f>
        <v/>
      </c>
      <c r="V7327">
        <f t="shared" si="458"/>
        <v>0</v>
      </c>
      <c r="W7327">
        <f t="shared" si="459"/>
        <v>0</v>
      </c>
    </row>
    <row r="7328" spans="5:23" x14ac:dyDescent="0.25">
      <c r="E7328" s="4"/>
      <c r="F7328" s="4"/>
      <c r="G7328" s="33" t="str">
        <f>IFERROR(VLOOKUP($D7328,'Informations sur les produits'!$A$3:$H$10000,8,FALSE),"0")</f>
        <v>0</v>
      </c>
      <c r="K7328" s="4"/>
      <c r="L7328" s="33" t="str">
        <f>IFERROR(VLOOKUP($J7328,'Informations sur les produits'!$A$3:$H$10000,8,FALSE),"0")</f>
        <v>0</v>
      </c>
      <c r="N7328" s="8"/>
      <c r="O7328" s="33" t="str">
        <f>IFERROR(VLOOKUP($M7328,'Informations sur les produits'!$A$3:$H$10000,8,FALSE),"0")</f>
        <v>0</v>
      </c>
      <c r="P7328" s="33">
        <f t="shared" si="456"/>
        <v>0</v>
      </c>
      <c r="Q7328" s="31" t="str">
        <f t="shared" si="457"/>
        <v/>
      </c>
      <c r="R7328" s="32" t="str">
        <f>IFERROR(VLOOKUP($D7328,'Informations sur les produits'!$A$3:$B$15000,2,FALSE),"")</f>
        <v/>
      </c>
      <c r="V7328">
        <f t="shared" si="458"/>
        <v>0</v>
      </c>
      <c r="W7328">
        <f t="shared" si="459"/>
        <v>0</v>
      </c>
    </row>
    <row r="7329" spans="5:23" x14ac:dyDescent="0.25">
      <c r="E7329" s="4"/>
      <c r="F7329" s="4"/>
      <c r="G7329" s="33" t="str">
        <f>IFERROR(VLOOKUP($D7329,'Informations sur les produits'!$A$3:$H$10000,8,FALSE),"0")</f>
        <v>0</v>
      </c>
      <c r="K7329" s="4"/>
      <c r="L7329" s="33" t="str">
        <f>IFERROR(VLOOKUP($J7329,'Informations sur les produits'!$A$3:$H$10000,8,FALSE),"0")</f>
        <v>0</v>
      </c>
      <c r="N7329" s="8"/>
      <c r="O7329" s="33" t="str">
        <f>IFERROR(VLOOKUP($M7329,'Informations sur les produits'!$A$3:$H$10000,8,FALSE),"0")</f>
        <v>0</v>
      </c>
      <c r="P7329" s="33">
        <f t="shared" si="456"/>
        <v>0</v>
      </c>
      <c r="Q7329" s="31" t="str">
        <f t="shared" si="457"/>
        <v/>
      </c>
      <c r="R7329" s="32" t="str">
        <f>IFERROR(VLOOKUP($D7329,'Informations sur les produits'!$A$3:$B$15000,2,FALSE),"")</f>
        <v/>
      </c>
      <c r="V7329">
        <f t="shared" si="458"/>
        <v>0</v>
      </c>
      <c r="W7329">
        <f t="shared" si="459"/>
        <v>0</v>
      </c>
    </row>
    <row r="7330" spans="5:23" x14ac:dyDescent="0.25">
      <c r="E7330" s="4"/>
      <c r="F7330" s="4"/>
      <c r="G7330" s="33" t="str">
        <f>IFERROR(VLOOKUP($D7330,'Informations sur les produits'!$A$3:$H$10000,8,FALSE),"0")</f>
        <v>0</v>
      </c>
      <c r="K7330" s="4"/>
      <c r="L7330" s="33" t="str">
        <f>IFERROR(VLOOKUP($J7330,'Informations sur les produits'!$A$3:$H$10000,8,FALSE),"0")</f>
        <v>0</v>
      </c>
      <c r="N7330" s="8"/>
      <c r="O7330" s="33" t="str">
        <f>IFERROR(VLOOKUP($M7330,'Informations sur les produits'!$A$3:$H$10000,8,FALSE),"0")</f>
        <v>0</v>
      </c>
      <c r="P7330" s="33">
        <f t="shared" si="456"/>
        <v>0</v>
      </c>
      <c r="Q7330" s="31" t="str">
        <f t="shared" si="457"/>
        <v/>
      </c>
      <c r="R7330" s="32" t="str">
        <f>IFERROR(VLOOKUP($D7330,'Informations sur les produits'!$A$3:$B$15000,2,FALSE),"")</f>
        <v/>
      </c>
      <c r="V7330">
        <f t="shared" si="458"/>
        <v>0</v>
      </c>
      <c r="W7330">
        <f t="shared" si="459"/>
        <v>0</v>
      </c>
    </row>
    <row r="7331" spans="5:23" x14ac:dyDescent="0.25">
      <c r="E7331" s="4"/>
      <c r="F7331" s="4"/>
      <c r="G7331" s="33" t="str">
        <f>IFERROR(VLOOKUP($D7331,'Informations sur les produits'!$A$3:$H$10000,8,FALSE),"0")</f>
        <v>0</v>
      </c>
      <c r="K7331" s="4"/>
      <c r="L7331" s="33" t="str">
        <f>IFERROR(VLOOKUP($J7331,'Informations sur les produits'!$A$3:$H$10000,8,FALSE),"0")</f>
        <v>0</v>
      </c>
      <c r="N7331" s="8"/>
      <c r="O7331" s="33" t="str">
        <f>IFERROR(VLOOKUP($M7331,'Informations sur les produits'!$A$3:$H$10000,8,FALSE),"0")</f>
        <v>0</v>
      </c>
      <c r="P7331" s="33">
        <f t="shared" si="456"/>
        <v>0</v>
      </c>
      <c r="Q7331" s="31" t="str">
        <f t="shared" si="457"/>
        <v/>
      </c>
      <c r="R7331" s="32" t="str">
        <f>IFERROR(VLOOKUP($D7331,'Informations sur les produits'!$A$3:$B$15000,2,FALSE),"")</f>
        <v/>
      </c>
      <c r="V7331">
        <f t="shared" si="458"/>
        <v>0</v>
      </c>
      <c r="W7331">
        <f t="shared" si="459"/>
        <v>0</v>
      </c>
    </row>
    <row r="7332" spans="5:23" x14ac:dyDescent="0.25">
      <c r="E7332" s="4"/>
      <c r="F7332" s="4"/>
      <c r="G7332" s="33" t="str">
        <f>IFERROR(VLOOKUP($D7332,'Informations sur les produits'!$A$3:$H$10000,8,FALSE),"0")</f>
        <v>0</v>
      </c>
      <c r="K7332" s="4"/>
      <c r="L7332" s="33" t="str">
        <f>IFERROR(VLOOKUP($J7332,'Informations sur les produits'!$A$3:$H$10000,8,FALSE),"0")</f>
        <v>0</v>
      </c>
      <c r="N7332" s="8"/>
      <c r="O7332" s="33" t="str">
        <f>IFERROR(VLOOKUP($M7332,'Informations sur les produits'!$A$3:$H$10000,8,FALSE),"0")</f>
        <v>0</v>
      </c>
      <c r="P7332" s="33">
        <f t="shared" si="456"/>
        <v>0</v>
      </c>
      <c r="Q7332" s="31" t="str">
        <f t="shared" si="457"/>
        <v/>
      </c>
      <c r="R7332" s="32" t="str">
        <f>IFERROR(VLOOKUP($D7332,'Informations sur les produits'!$A$3:$B$15000,2,FALSE),"")</f>
        <v/>
      </c>
      <c r="V7332">
        <f t="shared" si="458"/>
        <v>0</v>
      </c>
      <c r="W7332">
        <f t="shared" si="459"/>
        <v>0</v>
      </c>
    </row>
    <row r="7333" spans="5:23" x14ac:dyDescent="0.25">
      <c r="E7333" s="4"/>
      <c r="F7333" s="4"/>
      <c r="G7333" s="33" t="str">
        <f>IFERROR(VLOOKUP($D7333,'Informations sur les produits'!$A$3:$H$10000,8,FALSE),"0")</f>
        <v>0</v>
      </c>
      <c r="K7333" s="4"/>
      <c r="L7333" s="33" t="str">
        <f>IFERROR(VLOOKUP($J7333,'Informations sur les produits'!$A$3:$H$10000,8,FALSE),"0")</f>
        <v>0</v>
      </c>
      <c r="N7333" s="8"/>
      <c r="O7333" s="33" t="str">
        <f>IFERROR(VLOOKUP($M7333,'Informations sur les produits'!$A$3:$H$10000,8,FALSE),"0")</f>
        <v>0</v>
      </c>
      <c r="P7333" s="33">
        <f t="shared" si="456"/>
        <v>0</v>
      </c>
      <c r="Q7333" s="31" t="str">
        <f t="shared" si="457"/>
        <v/>
      </c>
      <c r="R7333" s="32" t="str">
        <f>IFERROR(VLOOKUP($D7333,'Informations sur les produits'!$A$3:$B$15000,2,FALSE),"")</f>
        <v/>
      </c>
      <c r="V7333">
        <f t="shared" si="458"/>
        <v>0</v>
      </c>
      <c r="W7333">
        <f t="shared" si="459"/>
        <v>0</v>
      </c>
    </row>
    <row r="7334" spans="5:23" x14ac:dyDescent="0.25">
      <c r="E7334" s="4"/>
      <c r="F7334" s="4"/>
      <c r="G7334" s="33" t="str">
        <f>IFERROR(VLOOKUP($D7334,'Informations sur les produits'!$A$3:$H$10000,8,FALSE),"0")</f>
        <v>0</v>
      </c>
      <c r="K7334" s="4"/>
      <c r="L7334" s="33" t="str">
        <f>IFERROR(VLOOKUP($J7334,'Informations sur les produits'!$A$3:$H$10000,8,FALSE),"0")</f>
        <v>0</v>
      </c>
      <c r="N7334" s="8"/>
      <c r="O7334" s="33" t="str">
        <f>IFERROR(VLOOKUP($M7334,'Informations sur les produits'!$A$3:$H$10000,8,FALSE),"0")</f>
        <v>0</v>
      </c>
      <c r="P7334" s="33">
        <f t="shared" si="456"/>
        <v>0</v>
      </c>
      <c r="Q7334" s="31" t="str">
        <f t="shared" si="457"/>
        <v/>
      </c>
      <c r="R7334" s="32" t="str">
        <f>IFERROR(VLOOKUP($D7334,'Informations sur les produits'!$A$3:$B$15000,2,FALSE),"")</f>
        <v/>
      </c>
      <c r="V7334">
        <f t="shared" si="458"/>
        <v>0</v>
      </c>
      <c r="W7334">
        <f t="shared" si="459"/>
        <v>0</v>
      </c>
    </row>
    <row r="7335" spans="5:23" x14ac:dyDescent="0.25">
      <c r="E7335" s="4"/>
      <c r="F7335" s="4"/>
      <c r="G7335" s="33" t="str">
        <f>IFERROR(VLOOKUP($D7335,'Informations sur les produits'!$A$3:$H$10000,8,FALSE),"0")</f>
        <v>0</v>
      </c>
      <c r="K7335" s="4"/>
      <c r="L7335" s="33" t="str">
        <f>IFERROR(VLOOKUP($J7335,'Informations sur les produits'!$A$3:$H$10000,8,FALSE),"0")</f>
        <v>0</v>
      </c>
      <c r="N7335" s="8"/>
      <c r="O7335" s="33" t="str">
        <f>IFERROR(VLOOKUP($M7335,'Informations sur les produits'!$A$3:$H$10000,8,FALSE),"0")</f>
        <v>0</v>
      </c>
      <c r="P7335" s="33">
        <f t="shared" si="456"/>
        <v>0</v>
      </c>
      <c r="Q7335" s="31" t="str">
        <f t="shared" si="457"/>
        <v/>
      </c>
      <c r="R7335" s="32" t="str">
        <f>IFERROR(VLOOKUP($D7335,'Informations sur les produits'!$A$3:$B$15000,2,FALSE),"")</f>
        <v/>
      </c>
      <c r="V7335">
        <f t="shared" si="458"/>
        <v>0</v>
      </c>
      <c r="W7335">
        <f t="shared" si="459"/>
        <v>0</v>
      </c>
    </row>
    <row r="7336" spans="5:23" x14ac:dyDescent="0.25">
      <c r="E7336" s="4"/>
      <c r="F7336" s="4"/>
      <c r="G7336" s="33" t="str">
        <f>IFERROR(VLOOKUP($D7336,'Informations sur les produits'!$A$3:$H$10000,8,FALSE),"0")</f>
        <v>0</v>
      </c>
      <c r="K7336" s="4"/>
      <c r="L7336" s="33" t="str">
        <f>IFERROR(VLOOKUP($J7336,'Informations sur les produits'!$A$3:$H$10000,8,FALSE),"0")</f>
        <v>0</v>
      </c>
      <c r="N7336" s="8"/>
      <c r="O7336" s="33" t="str">
        <f>IFERROR(VLOOKUP($M7336,'Informations sur les produits'!$A$3:$H$10000,8,FALSE),"0")</f>
        <v>0</v>
      </c>
      <c r="P7336" s="33">
        <f t="shared" si="456"/>
        <v>0</v>
      </c>
      <c r="Q7336" s="31" t="str">
        <f t="shared" si="457"/>
        <v/>
      </c>
      <c r="R7336" s="32" t="str">
        <f>IFERROR(VLOOKUP($D7336,'Informations sur les produits'!$A$3:$B$15000,2,FALSE),"")</f>
        <v/>
      </c>
      <c r="V7336">
        <f t="shared" si="458"/>
        <v>0</v>
      </c>
      <c r="W7336">
        <f t="shared" si="459"/>
        <v>0</v>
      </c>
    </row>
    <row r="7337" spans="5:23" x14ac:dyDescent="0.25">
      <c r="E7337" s="4"/>
      <c r="F7337" s="4"/>
      <c r="G7337" s="33" t="str">
        <f>IFERROR(VLOOKUP($D7337,'Informations sur les produits'!$A$3:$H$10000,8,FALSE),"0")</f>
        <v>0</v>
      </c>
      <c r="K7337" s="4"/>
      <c r="L7337" s="33" t="str">
        <f>IFERROR(VLOOKUP($J7337,'Informations sur les produits'!$A$3:$H$10000,8,FALSE),"0")</f>
        <v>0</v>
      </c>
      <c r="N7337" s="8"/>
      <c r="O7337" s="33" t="str">
        <f>IFERROR(VLOOKUP($M7337,'Informations sur les produits'!$A$3:$H$10000,8,FALSE),"0")</f>
        <v>0</v>
      </c>
      <c r="P7337" s="33">
        <f t="shared" si="456"/>
        <v>0</v>
      </c>
      <c r="Q7337" s="31" t="str">
        <f t="shared" si="457"/>
        <v/>
      </c>
      <c r="R7337" s="32" t="str">
        <f>IFERROR(VLOOKUP($D7337,'Informations sur les produits'!$A$3:$B$15000,2,FALSE),"")</f>
        <v/>
      </c>
      <c r="V7337">
        <f t="shared" si="458"/>
        <v>0</v>
      </c>
      <c r="W7337">
        <f t="shared" si="459"/>
        <v>0</v>
      </c>
    </row>
    <row r="7338" spans="5:23" x14ac:dyDescent="0.25">
      <c r="E7338" s="4"/>
      <c r="F7338" s="4"/>
      <c r="G7338" s="33" t="str">
        <f>IFERROR(VLOOKUP($D7338,'Informations sur les produits'!$A$3:$H$10000,8,FALSE),"0")</f>
        <v>0</v>
      </c>
      <c r="K7338" s="4"/>
      <c r="L7338" s="33" t="str">
        <f>IFERROR(VLOOKUP($J7338,'Informations sur les produits'!$A$3:$H$10000,8,FALSE),"0")</f>
        <v>0</v>
      </c>
      <c r="N7338" s="8"/>
      <c r="O7338" s="33" t="str">
        <f>IFERROR(VLOOKUP($M7338,'Informations sur les produits'!$A$3:$H$10000,8,FALSE),"0")</f>
        <v>0</v>
      </c>
      <c r="P7338" s="33">
        <f t="shared" si="456"/>
        <v>0</v>
      </c>
      <c r="Q7338" s="31" t="str">
        <f t="shared" si="457"/>
        <v/>
      </c>
      <c r="R7338" s="32" t="str">
        <f>IFERROR(VLOOKUP($D7338,'Informations sur les produits'!$A$3:$B$15000,2,FALSE),"")</f>
        <v/>
      </c>
      <c r="V7338">
        <f t="shared" si="458"/>
        <v>0</v>
      </c>
      <c r="W7338">
        <f t="shared" si="459"/>
        <v>0</v>
      </c>
    </row>
    <row r="7339" spans="5:23" x14ac:dyDescent="0.25">
      <c r="E7339" s="4"/>
      <c r="F7339" s="4"/>
      <c r="G7339" s="33" t="str">
        <f>IFERROR(VLOOKUP($D7339,'Informations sur les produits'!$A$3:$H$10000,8,FALSE),"0")</f>
        <v>0</v>
      </c>
      <c r="K7339" s="4"/>
      <c r="L7339" s="33" t="str">
        <f>IFERROR(VLOOKUP($J7339,'Informations sur les produits'!$A$3:$H$10000,8,FALSE),"0")</f>
        <v>0</v>
      </c>
      <c r="N7339" s="8"/>
      <c r="O7339" s="33" t="str">
        <f>IFERROR(VLOOKUP($M7339,'Informations sur les produits'!$A$3:$H$10000,8,FALSE),"0")</f>
        <v>0</v>
      </c>
      <c r="P7339" s="33">
        <f t="shared" si="456"/>
        <v>0</v>
      </c>
      <c r="Q7339" s="31" t="str">
        <f t="shared" si="457"/>
        <v/>
      </c>
      <c r="R7339" s="32" t="str">
        <f>IFERROR(VLOOKUP($D7339,'Informations sur les produits'!$A$3:$B$15000,2,FALSE),"")</f>
        <v/>
      </c>
      <c r="V7339">
        <f t="shared" si="458"/>
        <v>0</v>
      </c>
      <c r="W7339">
        <f t="shared" si="459"/>
        <v>0</v>
      </c>
    </row>
    <row r="7340" spans="5:23" x14ac:dyDescent="0.25">
      <c r="E7340" s="4"/>
      <c r="F7340" s="4"/>
      <c r="G7340" s="33" t="str">
        <f>IFERROR(VLOOKUP($D7340,'Informations sur les produits'!$A$3:$H$10000,8,FALSE),"0")</f>
        <v>0</v>
      </c>
      <c r="K7340" s="4"/>
      <c r="L7340" s="33" t="str">
        <f>IFERROR(VLOOKUP($J7340,'Informations sur les produits'!$A$3:$H$10000,8,FALSE),"0")</f>
        <v>0</v>
      </c>
      <c r="N7340" s="8"/>
      <c r="O7340" s="33" t="str">
        <f>IFERROR(VLOOKUP($M7340,'Informations sur les produits'!$A$3:$H$10000,8,FALSE),"0")</f>
        <v>0</v>
      </c>
      <c r="P7340" s="33">
        <f t="shared" si="456"/>
        <v>0</v>
      </c>
      <c r="Q7340" s="31" t="str">
        <f t="shared" si="457"/>
        <v/>
      </c>
      <c r="R7340" s="32" t="str">
        <f>IFERROR(VLOOKUP($D7340,'Informations sur les produits'!$A$3:$B$15000,2,FALSE),"")</f>
        <v/>
      </c>
      <c r="V7340">
        <f t="shared" si="458"/>
        <v>0</v>
      </c>
      <c r="W7340">
        <f t="shared" si="459"/>
        <v>0</v>
      </c>
    </row>
    <row r="7341" spans="5:23" x14ac:dyDescent="0.25">
      <c r="E7341" s="4"/>
      <c r="F7341" s="4"/>
      <c r="G7341" s="33" t="str">
        <f>IFERROR(VLOOKUP($D7341,'Informations sur les produits'!$A$3:$H$10000,8,FALSE),"0")</f>
        <v>0</v>
      </c>
      <c r="K7341" s="4"/>
      <c r="L7341" s="33" t="str">
        <f>IFERROR(VLOOKUP($J7341,'Informations sur les produits'!$A$3:$H$10000,8,FALSE),"0")</f>
        <v>0</v>
      </c>
      <c r="N7341" s="8"/>
      <c r="O7341" s="33" t="str">
        <f>IFERROR(VLOOKUP($M7341,'Informations sur les produits'!$A$3:$H$10000,8,FALSE),"0")</f>
        <v>0</v>
      </c>
      <c r="P7341" s="33">
        <f t="shared" si="456"/>
        <v>0</v>
      </c>
      <c r="Q7341" s="31" t="str">
        <f t="shared" si="457"/>
        <v/>
      </c>
      <c r="R7341" s="32" t="str">
        <f>IFERROR(VLOOKUP($D7341,'Informations sur les produits'!$A$3:$B$15000,2,FALSE),"")</f>
        <v/>
      </c>
      <c r="V7341">
        <f t="shared" si="458"/>
        <v>0</v>
      </c>
      <c r="W7341">
        <f t="shared" si="459"/>
        <v>0</v>
      </c>
    </row>
    <row r="7342" spans="5:23" x14ac:dyDescent="0.25">
      <c r="E7342" s="4"/>
      <c r="F7342" s="4"/>
      <c r="G7342" s="33" t="str">
        <f>IFERROR(VLOOKUP($D7342,'Informations sur les produits'!$A$3:$H$10000,8,FALSE),"0")</f>
        <v>0</v>
      </c>
      <c r="K7342" s="4"/>
      <c r="L7342" s="33" t="str">
        <f>IFERROR(VLOOKUP($J7342,'Informations sur les produits'!$A$3:$H$10000,8,FALSE),"0")</f>
        <v>0</v>
      </c>
      <c r="N7342" s="8"/>
      <c r="O7342" s="33" t="str">
        <f>IFERROR(VLOOKUP($M7342,'Informations sur les produits'!$A$3:$H$10000,8,FALSE),"0")</f>
        <v>0</v>
      </c>
      <c r="P7342" s="33">
        <f t="shared" si="456"/>
        <v>0</v>
      </c>
      <c r="Q7342" s="31" t="str">
        <f t="shared" si="457"/>
        <v/>
      </c>
      <c r="R7342" s="32" t="str">
        <f>IFERROR(VLOOKUP($D7342,'Informations sur les produits'!$A$3:$B$15000,2,FALSE),"")</f>
        <v/>
      </c>
      <c r="V7342">
        <f t="shared" si="458"/>
        <v>0</v>
      </c>
      <c r="W7342">
        <f t="shared" si="459"/>
        <v>0</v>
      </c>
    </row>
    <row r="7343" spans="5:23" x14ac:dyDescent="0.25">
      <c r="E7343" s="4"/>
      <c r="F7343" s="4"/>
      <c r="G7343" s="33" t="str">
        <f>IFERROR(VLOOKUP($D7343,'Informations sur les produits'!$A$3:$H$10000,8,FALSE),"0")</f>
        <v>0</v>
      </c>
      <c r="K7343" s="4"/>
      <c r="L7343" s="33" t="str">
        <f>IFERROR(VLOOKUP($J7343,'Informations sur les produits'!$A$3:$H$10000,8,FALSE),"0")</f>
        <v>0</v>
      </c>
      <c r="N7343" s="8"/>
      <c r="O7343" s="33" t="str">
        <f>IFERROR(VLOOKUP($M7343,'Informations sur les produits'!$A$3:$H$10000,8,FALSE),"0")</f>
        <v>0</v>
      </c>
      <c r="P7343" s="33">
        <f t="shared" si="456"/>
        <v>0</v>
      </c>
      <c r="Q7343" s="31" t="str">
        <f t="shared" si="457"/>
        <v/>
      </c>
      <c r="R7343" s="32" t="str">
        <f>IFERROR(VLOOKUP($D7343,'Informations sur les produits'!$A$3:$B$15000,2,FALSE),"")</f>
        <v/>
      </c>
      <c r="V7343">
        <f t="shared" si="458"/>
        <v>0</v>
      </c>
      <c r="W7343">
        <f t="shared" si="459"/>
        <v>0</v>
      </c>
    </row>
    <row r="7344" spans="5:23" x14ac:dyDescent="0.25">
      <c r="E7344" s="4"/>
      <c r="F7344" s="4"/>
      <c r="G7344" s="33" t="str">
        <f>IFERROR(VLOOKUP($D7344,'Informations sur les produits'!$A$3:$H$10000,8,FALSE),"0")</f>
        <v>0</v>
      </c>
      <c r="K7344" s="4"/>
      <c r="L7344" s="33" t="str">
        <f>IFERROR(VLOOKUP($J7344,'Informations sur les produits'!$A$3:$H$10000,8,FALSE),"0")</f>
        <v>0</v>
      </c>
      <c r="N7344" s="8"/>
      <c r="O7344" s="33" t="str">
        <f>IFERROR(VLOOKUP($M7344,'Informations sur les produits'!$A$3:$H$10000,8,FALSE),"0")</f>
        <v>0</v>
      </c>
      <c r="P7344" s="33">
        <f t="shared" si="456"/>
        <v>0</v>
      </c>
      <c r="Q7344" s="31" t="str">
        <f t="shared" si="457"/>
        <v/>
      </c>
      <c r="R7344" s="32" t="str">
        <f>IFERROR(VLOOKUP($D7344,'Informations sur les produits'!$A$3:$B$15000,2,FALSE),"")</f>
        <v/>
      </c>
      <c r="V7344">
        <f t="shared" si="458"/>
        <v>0</v>
      </c>
      <c r="W7344">
        <f t="shared" si="459"/>
        <v>0</v>
      </c>
    </row>
    <row r="7345" spans="5:23" x14ac:dyDescent="0.25">
      <c r="E7345" s="4"/>
      <c r="F7345" s="4"/>
      <c r="G7345" s="33" t="str">
        <f>IFERROR(VLOOKUP($D7345,'Informations sur les produits'!$A$3:$H$10000,8,FALSE),"0")</f>
        <v>0</v>
      </c>
      <c r="K7345" s="4"/>
      <c r="L7345" s="33" t="str">
        <f>IFERROR(VLOOKUP($J7345,'Informations sur les produits'!$A$3:$H$10000,8,FALSE),"0")</f>
        <v>0</v>
      </c>
      <c r="N7345" s="8"/>
      <c r="O7345" s="33" t="str">
        <f>IFERROR(VLOOKUP($M7345,'Informations sur les produits'!$A$3:$H$10000,8,FALSE),"0")</f>
        <v>0</v>
      </c>
      <c r="P7345" s="33">
        <f t="shared" si="456"/>
        <v>0</v>
      </c>
      <c r="Q7345" s="31" t="str">
        <f t="shared" si="457"/>
        <v/>
      </c>
      <c r="R7345" s="32" t="str">
        <f>IFERROR(VLOOKUP($D7345,'Informations sur les produits'!$A$3:$B$15000,2,FALSE),"")</f>
        <v/>
      </c>
      <c r="V7345">
        <f t="shared" si="458"/>
        <v>0</v>
      </c>
      <c r="W7345">
        <f t="shared" si="459"/>
        <v>0</v>
      </c>
    </row>
    <row r="7346" spans="5:23" x14ac:dyDescent="0.25">
      <c r="E7346" s="4"/>
      <c r="F7346" s="4"/>
      <c r="G7346" s="33" t="str">
        <f>IFERROR(VLOOKUP($D7346,'Informations sur les produits'!$A$3:$H$10000,8,FALSE),"0")</f>
        <v>0</v>
      </c>
      <c r="K7346" s="4"/>
      <c r="L7346" s="33" t="str">
        <f>IFERROR(VLOOKUP($J7346,'Informations sur les produits'!$A$3:$H$10000,8,FALSE),"0")</f>
        <v>0</v>
      </c>
      <c r="N7346" s="8"/>
      <c r="O7346" s="33" t="str">
        <f>IFERROR(VLOOKUP($M7346,'Informations sur les produits'!$A$3:$H$10000,8,FALSE),"0")</f>
        <v>0</v>
      </c>
      <c r="P7346" s="33">
        <f t="shared" si="456"/>
        <v>0</v>
      </c>
      <c r="Q7346" s="31" t="str">
        <f t="shared" si="457"/>
        <v/>
      </c>
      <c r="R7346" s="32" t="str">
        <f>IFERROR(VLOOKUP($D7346,'Informations sur les produits'!$A$3:$B$15000,2,FALSE),"")</f>
        <v/>
      </c>
      <c r="V7346">
        <f t="shared" si="458"/>
        <v>0</v>
      </c>
      <c r="W7346">
        <f t="shared" si="459"/>
        <v>0</v>
      </c>
    </row>
    <row r="7347" spans="5:23" x14ac:dyDescent="0.25">
      <c r="E7347" s="4"/>
      <c r="F7347" s="4"/>
      <c r="G7347" s="33" t="str">
        <f>IFERROR(VLOOKUP($D7347,'Informations sur les produits'!$A$3:$H$10000,8,FALSE),"0")</f>
        <v>0</v>
      </c>
      <c r="K7347" s="4"/>
      <c r="L7347" s="33" t="str">
        <f>IFERROR(VLOOKUP($J7347,'Informations sur les produits'!$A$3:$H$10000,8,FALSE),"0")</f>
        <v>0</v>
      </c>
      <c r="N7347" s="8"/>
      <c r="O7347" s="33" t="str">
        <f>IFERROR(VLOOKUP($M7347,'Informations sur les produits'!$A$3:$H$10000,8,FALSE),"0")</f>
        <v>0</v>
      </c>
      <c r="P7347" s="33">
        <f t="shared" si="456"/>
        <v>0</v>
      </c>
      <c r="Q7347" s="31" t="str">
        <f t="shared" si="457"/>
        <v/>
      </c>
      <c r="R7347" s="32" t="str">
        <f>IFERROR(VLOOKUP($D7347,'Informations sur les produits'!$A$3:$B$15000,2,FALSE),"")</f>
        <v/>
      </c>
      <c r="V7347">
        <f t="shared" si="458"/>
        <v>0</v>
      </c>
      <c r="W7347">
        <f t="shared" si="459"/>
        <v>0</v>
      </c>
    </row>
    <row r="7348" spans="5:23" x14ac:dyDescent="0.25">
      <c r="E7348" s="4"/>
      <c r="F7348" s="4"/>
      <c r="G7348" s="33" t="str">
        <f>IFERROR(VLOOKUP($D7348,'Informations sur les produits'!$A$3:$H$10000,8,FALSE),"0")</f>
        <v>0</v>
      </c>
      <c r="K7348" s="4"/>
      <c r="L7348" s="33" t="str">
        <f>IFERROR(VLOOKUP($J7348,'Informations sur les produits'!$A$3:$H$10000,8,FALSE),"0")</f>
        <v>0</v>
      </c>
      <c r="N7348" s="8"/>
      <c r="O7348" s="33" t="str">
        <f>IFERROR(VLOOKUP($M7348,'Informations sur les produits'!$A$3:$H$10000,8,FALSE),"0")</f>
        <v>0</v>
      </c>
      <c r="P7348" s="33">
        <f t="shared" si="456"/>
        <v>0</v>
      </c>
      <c r="Q7348" s="31" t="str">
        <f t="shared" si="457"/>
        <v/>
      </c>
      <c r="R7348" s="32" t="str">
        <f>IFERROR(VLOOKUP($D7348,'Informations sur les produits'!$A$3:$B$15000,2,FALSE),"")</f>
        <v/>
      </c>
      <c r="V7348">
        <f t="shared" si="458"/>
        <v>0</v>
      </c>
      <c r="W7348">
        <f t="shared" si="459"/>
        <v>0</v>
      </c>
    </row>
    <row r="7349" spans="5:23" x14ac:dyDescent="0.25">
      <c r="E7349" s="4"/>
      <c r="F7349" s="4"/>
      <c r="G7349" s="33" t="str">
        <f>IFERROR(VLOOKUP($D7349,'Informations sur les produits'!$A$3:$H$10000,8,FALSE),"0")</f>
        <v>0</v>
      </c>
      <c r="K7349" s="4"/>
      <c r="L7349" s="33" t="str">
        <f>IFERROR(VLOOKUP($J7349,'Informations sur les produits'!$A$3:$H$10000,8,FALSE),"0")</f>
        <v>0</v>
      </c>
      <c r="N7349" s="8"/>
      <c r="O7349" s="33" t="str">
        <f>IFERROR(VLOOKUP($M7349,'Informations sur les produits'!$A$3:$H$10000,8,FALSE),"0")</f>
        <v>0</v>
      </c>
      <c r="P7349" s="33">
        <f t="shared" si="456"/>
        <v>0</v>
      </c>
      <c r="Q7349" s="31" t="str">
        <f t="shared" si="457"/>
        <v/>
      </c>
      <c r="R7349" s="32" t="str">
        <f>IFERROR(VLOOKUP($D7349,'Informations sur les produits'!$A$3:$B$15000,2,FALSE),"")</f>
        <v/>
      </c>
      <c r="V7349">
        <f t="shared" si="458"/>
        <v>0</v>
      </c>
      <c r="W7349">
        <f t="shared" si="459"/>
        <v>0</v>
      </c>
    </row>
    <row r="7350" spans="5:23" x14ac:dyDescent="0.25">
      <c r="E7350" s="4"/>
      <c r="F7350" s="4"/>
      <c r="G7350" s="33" t="str">
        <f>IFERROR(VLOOKUP($D7350,'Informations sur les produits'!$A$3:$H$10000,8,FALSE),"0")</f>
        <v>0</v>
      </c>
      <c r="K7350" s="4"/>
      <c r="L7350" s="33" t="str">
        <f>IFERROR(VLOOKUP($J7350,'Informations sur les produits'!$A$3:$H$10000,8,FALSE),"0")</f>
        <v>0</v>
      </c>
      <c r="N7350" s="8"/>
      <c r="O7350" s="33" t="str">
        <f>IFERROR(VLOOKUP($M7350,'Informations sur les produits'!$A$3:$H$10000,8,FALSE),"0")</f>
        <v>0</v>
      </c>
      <c r="P7350" s="33">
        <f t="shared" si="456"/>
        <v>0</v>
      </c>
      <c r="Q7350" s="31" t="str">
        <f t="shared" si="457"/>
        <v/>
      </c>
      <c r="R7350" s="32" t="str">
        <f>IFERROR(VLOOKUP($D7350,'Informations sur les produits'!$A$3:$B$15000,2,FALSE),"")</f>
        <v/>
      </c>
      <c r="V7350">
        <f t="shared" si="458"/>
        <v>0</v>
      </c>
      <c r="W7350">
        <f t="shared" si="459"/>
        <v>0</v>
      </c>
    </row>
    <row r="7351" spans="5:23" x14ac:dyDescent="0.25">
      <c r="E7351" s="4"/>
      <c r="F7351" s="4"/>
      <c r="G7351" s="33" t="str">
        <f>IFERROR(VLOOKUP($D7351,'Informations sur les produits'!$A$3:$H$10000,8,FALSE),"0")</f>
        <v>0</v>
      </c>
      <c r="K7351" s="4"/>
      <c r="L7351" s="33" t="str">
        <f>IFERROR(VLOOKUP($J7351,'Informations sur les produits'!$A$3:$H$10000,8,FALSE),"0")</f>
        <v>0</v>
      </c>
      <c r="N7351" s="8"/>
      <c r="O7351" s="33" t="str">
        <f>IFERROR(VLOOKUP($M7351,'Informations sur les produits'!$A$3:$H$10000,8,FALSE),"0")</f>
        <v>0</v>
      </c>
      <c r="P7351" s="33">
        <f t="shared" si="456"/>
        <v>0</v>
      </c>
      <c r="Q7351" s="31" t="str">
        <f t="shared" si="457"/>
        <v/>
      </c>
      <c r="R7351" s="32" t="str">
        <f>IFERROR(VLOOKUP($D7351,'Informations sur les produits'!$A$3:$B$15000,2,FALSE),"")</f>
        <v/>
      </c>
      <c r="V7351">
        <f t="shared" si="458"/>
        <v>0</v>
      </c>
      <c r="W7351">
        <f t="shared" si="459"/>
        <v>0</v>
      </c>
    </row>
    <row r="7352" spans="5:23" x14ac:dyDescent="0.25">
      <c r="E7352" s="4"/>
      <c r="F7352" s="4"/>
      <c r="G7352" s="33" t="str">
        <f>IFERROR(VLOOKUP($D7352,'Informations sur les produits'!$A$3:$H$10000,8,FALSE),"0")</f>
        <v>0</v>
      </c>
      <c r="K7352" s="4"/>
      <c r="L7352" s="33" t="str">
        <f>IFERROR(VLOOKUP($J7352,'Informations sur les produits'!$A$3:$H$10000,8,FALSE),"0")</f>
        <v>0</v>
      </c>
      <c r="N7352" s="8"/>
      <c r="O7352" s="33" t="str">
        <f>IFERROR(VLOOKUP($M7352,'Informations sur les produits'!$A$3:$H$10000,8,FALSE),"0")</f>
        <v>0</v>
      </c>
      <c r="P7352" s="33">
        <f t="shared" si="456"/>
        <v>0</v>
      </c>
      <c r="Q7352" s="31" t="str">
        <f t="shared" si="457"/>
        <v/>
      </c>
      <c r="R7352" s="32" t="str">
        <f>IFERROR(VLOOKUP($D7352,'Informations sur les produits'!$A$3:$B$15000,2,FALSE),"")</f>
        <v/>
      </c>
      <c r="V7352">
        <f t="shared" si="458"/>
        <v>0</v>
      </c>
      <c r="W7352">
        <f t="shared" si="459"/>
        <v>0</v>
      </c>
    </row>
    <row r="7353" spans="5:23" x14ac:dyDescent="0.25">
      <c r="E7353" s="4"/>
      <c r="F7353" s="4"/>
      <c r="G7353" s="33" t="str">
        <f>IFERROR(VLOOKUP($D7353,'Informations sur les produits'!$A$3:$H$10000,8,FALSE),"0")</f>
        <v>0</v>
      </c>
      <c r="K7353" s="4"/>
      <c r="L7353" s="33" t="str">
        <f>IFERROR(VLOOKUP($J7353,'Informations sur les produits'!$A$3:$H$10000,8,FALSE),"0")</f>
        <v>0</v>
      </c>
      <c r="N7353" s="8"/>
      <c r="O7353" s="33" t="str">
        <f>IFERROR(VLOOKUP($M7353,'Informations sur les produits'!$A$3:$H$10000,8,FALSE),"0")</f>
        <v>0</v>
      </c>
      <c r="P7353" s="33">
        <f t="shared" si="456"/>
        <v>0</v>
      </c>
      <c r="Q7353" s="31" t="str">
        <f t="shared" si="457"/>
        <v/>
      </c>
      <c r="R7353" s="32" t="str">
        <f>IFERROR(VLOOKUP($D7353,'Informations sur les produits'!$A$3:$B$15000,2,FALSE),"")</f>
        <v/>
      </c>
      <c r="V7353">
        <f t="shared" si="458"/>
        <v>0</v>
      </c>
      <c r="W7353">
        <f t="shared" si="459"/>
        <v>0</v>
      </c>
    </row>
    <row r="7354" spans="5:23" x14ac:dyDescent="0.25">
      <c r="E7354" s="4"/>
      <c r="F7354" s="4"/>
      <c r="G7354" s="33" t="str">
        <f>IFERROR(VLOOKUP($D7354,'Informations sur les produits'!$A$3:$H$10000,8,FALSE),"0")</f>
        <v>0</v>
      </c>
      <c r="K7354" s="4"/>
      <c r="L7354" s="33" t="str">
        <f>IFERROR(VLOOKUP($J7354,'Informations sur les produits'!$A$3:$H$10000,8,FALSE),"0")</f>
        <v>0</v>
      </c>
      <c r="N7354" s="8"/>
      <c r="O7354" s="33" t="str">
        <f>IFERROR(VLOOKUP($M7354,'Informations sur les produits'!$A$3:$H$10000,8,FALSE),"0")</f>
        <v>0</v>
      </c>
      <c r="P7354" s="33">
        <f t="shared" si="456"/>
        <v>0</v>
      </c>
      <c r="Q7354" s="31" t="str">
        <f t="shared" si="457"/>
        <v/>
      </c>
      <c r="R7354" s="32" t="str">
        <f>IFERROR(VLOOKUP($D7354,'Informations sur les produits'!$A$3:$B$15000,2,FALSE),"")</f>
        <v/>
      </c>
      <c r="V7354">
        <f t="shared" si="458"/>
        <v>0</v>
      </c>
      <c r="W7354">
        <f t="shared" si="459"/>
        <v>0</v>
      </c>
    </row>
    <row r="7355" spans="5:23" x14ac:dyDescent="0.25">
      <c r="E7355" s="4"/>
      <c r="F7355" s="4"/>
      <c r="G7355" s="33" t="str">
        <f>IFERROR(VLOOKUP($D7355,'Informations sur les produits'!$A$3:$H$10000,8,FALSE),"0")</f>
        <v>0</v>
      </c>
      <c r="K7355" s="4"/>
      <c r="L7355" s="33" t="str">
        <f>IFERROR(VLOOKUP($J7355,'Informations sur les produits'!$A$3:$H$10000,8,FALSE),"0")</f>
        <v>0</v>
      </c>
      <c r="N7355" s="8"/>
      <c r="O7355" s="33" t="str">
        <f>IFERROR(VLOOKUP($M7355,'Informations sur les produits'!$A$3:$H$10000,8,FALSE),"0")</f>
        <v>0</v>
      </c>
      <c r="P7355" s="33">
        <f t="shared" si="456"/>
        <v>0</v>
      </c>
      <c r="Q7355" s="31" t="str">
        <f t="shared" si="457"/>
        <v/>
      </c>
      <c r="R7355" s="32" t="str">
        <f>IFERROR(VLOOKUP($D7355,'Informations sur les produits'!$A$3:$B$15000,2,FALSE),"")</f>
        <v/>
      </c>
      <c r="V7355">
        <f t="shared" si="458"/>
        <v>0</v>
      </c>
      <c r="W7355">
        <f t="shared" si="459"/>
        <v>0</v>
      </c>
    </row>
    <row r="7356" spans="5:23" x14ac:dyDescent="0.25">
      <c r="E7356" s="4"/>
      <c r="F7356" s="4"/>
      <c r="G7356" s="33" t="str">
        <f>IFERROR(VLOOKUP($D7356,'Informations sur les produits'!$A$3:$H$10000,8,FALSE),"0")</f>
        <v>0</v>
      </c>
      <c r="K7356" s="4"/>
      <c r="L7356" s="33" t="str">
        <f>IFERROR(VLOOKUP($J7356,'Informations sur les produits'!$A$3:$H$10000,8,FALSE),"0")</f>
        <v>0</v>
      </c>
      <c r="N7356" s="8"/>
      <c r="O7356" s="33" t="str">
        <f>IFERROR(VLOOKUP($M7356,'Informations sur les produits'!$A$3:$H$10000,8,FALSE),"0")</f>
        <v>0</v>
      </c>
      <c r="P7356" s="33">
        <f t="shared" si="456"/>
        <v>0</v>
      </c>
      <c r="Q7356" s="31" t="str">
        <f t="shared" si="457"/>
        <v/>
      </c>
      <c r="R7356" s="32" t="str">
        <f>IFERROR(VLOOKUP($D7356,'Informations sur les produits'!$A$3:$B$15000,2,FALSE),"")</f>
        <v/>
      </c>
      <c r="V7356">
        <f t="shared" si="458"/>
        <v>0</v>
      </c>
      <c r="W7356">
        <f t="shared" si="459"/>
        <v>0</v>
      </c>
    </row>
    <row r="7357" spans="5:23" x14ac:dyDescent="0.25">
      <c r="E7357" s="4"/>
      <c r="F7357" s="4"/>
      <c r="G7357" s="33" t="str">
        <f>IFERROR(VLOOKUP($D7357,'Informations sur les produits'!$A$3:$H$10000,8,FALSE),"0")</f>
        <v>0</v>
      </c>
      <c r="K7357" s="4"/>
      <c r="L7357" s="33" t="str">
        <f>IFERROR(VLOOKUP($J7357,'Informations sur les produits'!$A$3:$H$10000,8,FALSE),"0")</f>
        <v>0</v>
      </c>
      <c r="N7357" s="8"/>
      <c r="O7357" s="33" t="str">
        <f>IFERROR(VLOOKUP($M7357,'Informations sur les produits'!$A$3:$H$10000,8,FALSE),"0")</f>
        <v>0</v>
      </c>
      <c r="P7357" s="33">
        <f t="shared" si="456"/>
        <v>0</v>
      </c>
      <c r="Q7357" s="31" t="str">
        <f t="shared" si="457"/>
        <v/>
      </c>
      <c r="R7357" s="32" t="str">
        <f>IFERROR(VLOOKUP($D7357,'Informations sur les produits'!$A$3:$B$15000,2,FALSE),"")</f>
        <v/>
      </c>
      <c r="V7357">
        <f t="shared" si="458"/>
        <v>0</v>
      </c>
      <c r="W7357">
        <f t="shared" si="459"/>
        <v>0</v>
      </c>
    </row>
    <row r="7358" spans="5:23" x14ac:dyDescent="0.25">
      <c r="E7358" s="4"/>
      <c r="F7358" s="4"/>
      <c r="G7358" s="33" t="str">
        <f>IFERROR(VLOOKUP($D7358,'Informations sur les produits'!$A$3:$H$10000,8,FALSE),"0")</f>
        <v>0</v>
      </c>
      <c r="K7358" s="4"/>
      <c r="L7358" s="33" t="str">
        <f>IFERROR(VLOOKUP($J7358,'Informations sur les produits'!$A$3:$H$10000,8,FALSE),"0")</f>
        <v>0</v>
      </c>
      <c r="N7358" s="8"/>
      <c r="O7358" s="33" t="str">
        <f>IFERROR(VLOOKUP($M7358,'Informations sur les produits'!$A$3:$H$10000,8,FALSE),"0")</f>
        <v>0</v>
      </c>
      <c r="P7358" s="33">
        <f t="shared" si="456"/>
        <v>0</v>
      </c>
      <c r="Q7358" s="31" t="str">
        <f t="shared" si="457"/>
        <v/>
      </c>
      <c r="R7358" s="32" t="str">
        <f>IFERROR(VLOOKUP($D7358,'Informations sur les produits'!$A$3:$B$15000,2,FALSE),"")</f>
        <v/>
      </c>
      <c r="V7358">
        <f t="shared" si="458"/>
        <v>0</v>
      </c>
      <c r="W7358">
        <f t="shared" si="459"/>
        <v>0</v>
      </c>
    </row>
    <row r="7359" spans="5:23" x14ac:dyDescent="0.25">
      <c r="E7359" s="4"/>
      <c r="F7359" s="4"/>
      <c r="G7359" s="33" t="str">
        <f>IFERROR(VLOOKUP($D7359,'Informations sur les produits'!$A$3:$H$10000,8,FALSE),"0")</f>
        <v>0</v>
      </c>
      <c r="K7359" s="4"/>
      <c r="L7359" s="33" t="str">
        <f>IFERROR(VLOOKUP($J7359,'Informations sur les produits'!$A$3:$H$10000,8,FALSE),"0")</f>
        <v>0</v>
      </c>
      <c r="N7359" s="8"/>
      <c r="O7359" s="33" t="str">
        <f>IFERROR(VLOOKUP($M7359,'Informations sur les produits'!$A$3:$H$10000,8,FALSE),"0")</f>
        <v>0</v>
      </c>
      <c r="P7359" s="33">
        <f t="shared" si="456"/>
        <v>0</v>
      </c>
      <c r="Q7359" s="31" t="str">
        <f t="shared" si="457"/>
        <v/>
      </c>
      <c r="R7359" s="32" t="str">
        <f>IFERROR(VLOOKUP($D7359,'Informations sur les produits'!$A$3:$B$15000,2,FALSE),"")</f>
        <v/>
      </c>
      <c r="V7359">
        <f t="shared" si="458"/>
        <v>0</v>
      </c>
      <c r="W7359">
        <f t="shared" si="459"/>
        <v>0</v>
      </c>
    </row>
    <row r="7360" spans="5:23" x14ac:dyDescent="0.25">
      <c r="E7360" s="4"/>
      <c r="F7360" s="4"/>
      <c r="G7360" s="33" t="str">
        <f>IFERROR(VLOOKUP($D7360,'Informations sur les produits'!$A$3:$H$10000,8,FALSE),"0")</f>
        <v>0</v>
      </c>
      <c r="K7360" s="4"/>
      <c r="L7360" s="33" t="str">
        <f>IFERROR(VLOOKUP($J7360,'Informations sur les produits'!$A$3:$H$10000,8,FALSE),"0")</f>
        <v>0</v>
      </c>
      <c r="N7360" s="8"/>
      <c r="O7360" s="33" t="str">
        <f>IFERROR(VLOOKUP($M7360,'Informations sur les produits'!$A$3:$H$10000,8,FALSE),"0")</f>
        <v>0</v>
      </c>
      <c r="P7360" s="33">
        <f t="shared" si="456"/>
        <v>0</v>
      </c>
      <c r="Q7360" s="31" t="str">
        <f t="shared" si="457"/>
        <v/>
      </c>
      <c r="R7360" s="32" t="str">
        <f>IFERROR(VLOOKUP($D7360,'Informations sur les produits'!$A$3:$B$15000,2,FALSE),"")</f>
        <v/>
      </c>
      <c r="V7360">
        <f t="shared" si="458"/>
        <v>0</v>
      </c>
      <c r="W7360">
        <f t="shared" si="459"/>
        <v>0</v>
      </c>
    </row>
    <row r="7361" spans="5:23" x14ac:dyDescent="0.25">
      <c r="E7361" s="4"/>
      <c r="F7361" s="4"/>
      <c r="G7361" s="33" t="str">
        <f>IFERROR(VLOOKUP($D7361,'Informations sur les produits'!$A$3:$H$10000,8,FALSE),"0")</f>
        <v>0</v>
      </c>
      <c r="K7361" s="4"/>
      <c r="L7361" s="33" t="str">
        <f>IFERROR(VLOOKUP($J7361,'Informations sur les produits'!$A$3:$H$10000,8,FALSE),"0")</f>
        <v>0</v>
      </c>
      <c r="N7361" s="8"/>
      <c r="O7361" s="33" t="str">
        <f>IFERROR(VLOOKUP($M7361,'Informations sur les produits'!$A$3:$H$10000,8,FALSE),"0")</f>
        <v>0</v>
      </c>
      <c r="P7361" s="33">
        <f t="shared" si="456"/>
        <v>0</v>
      </c>
      <c r="Q7361" s="31" t="str">
        <f t="shared" si="457"/>
        <v/>
      </c>
      <c r="R7361" s="32" t="str">
        <f>IFERROR(VLOOKUP($D7361,'Informations sur les produits'!$A$3:$B$15000,2,FALSE),"")</f>
        <v/>
      </c>
      <c r="V7361">
        <f t="shared" si="458"/>
        <v>0</v>
      </c>
      <c r="W7361">
        <f t="shared" si="459"/>
        <v>0</v>
      </c>
    </row>
    <row r="7362" spans="5:23" x14ac:dyDescent="0.25">
      <c r="E7362" s="4"/>
      <c r="F7362" s="4"/>
      <c r="G7362" s="33" t="str">
        <f>IFERROR(VLOOKUP($D7362,'Informations sur les produits'!$A$3:$H$10000,8,FALSE),"0")</f>
        <v>0</v>
      </c>
      <c r="K7362" s="4"/>
      <c r="L7362" s="33" t="str">
        <f>IFERROR(VLOOKUP($J7362,'Informations sur les produits'!$A$3:$H$10000,8,FALSE),"0")</f>
        <v>0</v>
      </c>
      <c r="N7362" s="8"/>
      <c r="O7362" s="33" t="str">
        <f>IFERROR(VLOOKUP($M7362,'Informations sur les produits'!$A$3:$H$10000,8,FALSE),"0")</f>
        <v>0</v>
      </c>
      <c r="P7362" s="33">
        <f t="shared" si="456"/>
        <v>0</v>
      </c>
      <c r="Q7362" s="31" t="str">
        <f t="shared" si="457"/>
        <v/>
      </c>
      <c r="R7362" s="32" t="str">
        <f>IFERROR(VLOOKUP($D7362,'Informations sur les produits'!$A$3:$B$15000,2,FALSE),"")</f>
        <v/>
      </c>
      <c r="V7362">
        <f t="shared" si="458"/>
        <v>0</v>
      </c>
      <c r="W7362">
        <f t="shared" si="459"/>
        <v>0</v>
      </c>
    </row>
    <row r="7363" spans="5:23" x14ac:dyDescent="0.25">
      <c r="E7363" s="4"/>
      <c r="F7363" s="4"/>
      <c r="G7363" s="33" t="str">
        <f>IFERROR(VLOOKUP($D7363,'Informations sur les produits'!$A$3:$H$10000,8,FALSE),"0")</f>
        <v>0</v>
      </c>
      <c r="K7363" s="4"/>
      <c r="L7363" s="33" t="str">
        <f>IFERROR(VLOOKUP($J7363,'Informations sur les produits'!$A$3:$H$10000,8,FALSE),"0")</f>
        <v>0</v>
      </c>
      <c r="N7363" s="8"/>
      <c r="O7363" s="33" t="str">
        <f>IFERROR(VLOOKUP($M7363,'Informations sur les produits'!$A$3:$H$10000,8,FALSE),"0")</f>
        <v>0</v>
      </c>
      <c r="P7363" s="33">
        <f t="shared" si="456"/>
        <v>0</v>
      </c>
      <c r="Q7363" s="31" t="str">
        <f t="shared" si="457"/>
        <v/>
      </c>
      <c r="R7363" s="32" t="str">
        <f>IFERROR(VLOOKUP($D7363,'Informations sur les produits'!$A$3:$B$15000,2,FALSE),"")</f>
        <v/>
      </c>
      <c r="V7363">
        <f t="shared" si="458"/>
        <v>0</v>
      </c>
      <c r="W7363">
        <f t="shared" si="459"/>
        <v>0</v>
      </c>
    </row>
    <row r="7364" spans="5:23" x14ac:dyDescent="0.25">
      <c r="E7364" s="4"/>
      <c r="F7364" s="4"/>
      <c r="G7364" s="33" t="str">
        <f>IFERROR(VLOOKUP($D7364,'Informations sur les produits'!$A$3:$H$10000,8,FALSE),"0")</f>
        <v>0</v>
      </c>
      <c r="K7364" s="4"/>
      <c r="L7364" s="33" t="str">
        <f>IFERROR(VLOOKUP($J7364,'Informations sur les produits'!$A$3:$H$10000,8,FALSE),"0")</f>
        <v>0</v>
      </c>
      <c r="N7364" s="8"/>
      <c r="O7364" s="33" t="str">
        <f>IFERROR(VLOOKUP($M7364,'Informations sur les produits'!$A$3:$H$10000,8,FALSE),"0")</f>
        <v>0</v>
      </c>
      <c r="P7364" s="33">
        <f t="shared" ref="P7364:P7427" si="460">IFERROR((($E7364-$F7364)*$G7364+$K7364*$L7364+$N7364*$O7364),"")</f>
        <v>0</v>
      </c>
      <c r="Q7364" s="31" t="str">
        <f t="shared" ref="Q7364:Q7427" si="461">IFERROR((((($E7364-$F7364)*$G7364+$K7364*$L7364+$N7364*$O7364)*1000)/(($E7364-$F7364)+$K7364+$N7364)),"")</f>
        <v/>
      </c>
      <c r="R7364" s="32" t="str">
        <f>IFERROR(VLOOKUP($D7364,'Informations sur les produits'!$A$3:$B$15000,2,FALSE),"")</f>
        <v/>
      </c>
      <c r="V7364">
        <f t="shared" ref="V7364:V7427" si="462">IFERROR(P7364*1000,"")</f>
        <v>0</v>
      </c>
      <c r="W7364">
        <f t="shared" ref="W7364:W7427" si="463">IFERROR(($E7364-$F7364)+$K7364+$N7364,"")</f>
        <v>0</v>
      </c>
    </row>
    <row r="7365" spans="5:23" x14ac:dyDescent="0.25">
      <c r="E7365" s="4"/>
      <c r="F7365" s="4"/>
      <c r="G7365" s="33" t="str">
        <f>IFERROR(VLOOKUP($D7365,'Informations sur les produits'!$A$3:$H$10000,8,FALSE),"0")</f>
        <v>0</v>
      </c>
      <c r="K7365" s="4"/>
      <c r="L7365" s="33" t="str">
        <f>IFERROR(VLOOKUP($J7365,'Informations sur les produits'!$A$3:$H$10000,8,FALSE),"0")</f>
        <v>0</v>
      </c>
      <c r="N7365" s="8"/>
      <c r="O7365" s="33" t="str">
        <f>IFERROR(VLOOKUP($M7365,'Informations sur les produits'!$A$3:$H$10000,8,FALSE),"0")</f>
        <v>0</v>
      </c>
      <c r="P7365" s="33">
        <f t="shared" si="460"/>
        <v>0</v>
      </c>
      <c r="Q7365" s="31" t="str">
        <f t="shared" si="461"/>
        <v/>
      </c>
      <c r="R7365" s="32" t="str">
        <f>IFERROR(VLOOKUP($D7365,'Informations sur les produits'!$A$3:$B$15000,2,FALSE),"")</f>
        <v/>
      </c>
      <c r="V7365">
        <f t="shared" si="462"/>
        <v>0</v>
      </c>
      <c r="W7365">
        <f t="shared" si="463"/>
        <v>0</v>
      </c>
    </row>
    <row r="7366" spans="5:23" x14ac:dyDescent="0.25">
      <c r="E7366" s="4"/>
      <c r="F7366" s="4"/>
      <c r="G7366" s="33" t="str">
        <f>IFERROR(VLOOKUP($D7366,'Informations sur les produits'!$A$3:$H$10000,8,FALSE),"0")</f>
        <v>0</v>
      </c>
      <c r="K7366" s="4"/>
      <c r="L7366" s="33" t="str">
        <f>IFERROR(VLOOKUP($J7366,'Informations sur les produits'!$A$3:$H$10000,8,FALSE),"0")</f>
        <v>0</v>
      </c>
      <c r="N7366" s="8"/>
      <c r="O7366" s="33" t="str">
        <f>IFERROR(VLOOKUP($M7366,'Informations sur les produits'!$A$3:$H$10000,8,FALSE),"0")</f>
        <v>0</v>
      </c>
      <c r="P7366" s="33">
        <f t="shared" si="460"/>
        <v>0</v>
      </c>
      <c r="Q7366" s="31" t="str">
        <f t="shared" si="461"/>
        <v/>
      </c>
      <c r="R7366" s="32" t="str">
        <f>IFERROR(VLOOKUP($D7366,'Informations sur les produits'!$A$3:$B$15000,2,FALSE),"")</f>
        <v/>
      </c>
      <c r="V7366">
        <f t="shared" si="462"/>
        <v>0</v>
      </c>
      <c r="W7366">
        <f t="shared" si="463"/>
        <v>0</v>
      </c>
    </row>
    <row r="7367" spans="5:23" x14ac:dyDescent="0.25">
      <c r="E7367" s="4"/>
      <c r="F7367" s="4"/>
      <c r="G7367" s="33" t="str">
        <f>IFERROR(VLOOKUP($D7367,'Informations sur les produits'!$A$3:$H$10000,8,FALSE),"0")</f>
        <v>0</v>
      </c>
      <c r="K7367" s="4"/>
      <c r="L7367" s="33" t="str">
        <f>IFERROR(VLOOKUP($J7367,'Informations sur les produits'!$A$3:$H$10000,8,FALSE),"0")</f>
        <v>0</v>
      </c>
      <c r="N7367" s="8"/>
      <c r="O7367" s="33" t="str">
        <f>IFERROR(VLOOKUP($M7367,'Informations sur les produits'!$A$3:$H$10000,8,FALSE),"0")</f>
        <v>0</v>
      </c>
      <c r="P7367" s="33">
        <f t="shared" si="460"/>
        <v>0</v>
      </c>
      <c r="Q7367" s="31" t="str">
        <f t="shared" si="461"/>
        <v/>
      </c>
      <c r="R7367" s="32" t="str">
        <f>IFERROR(VLOOKUP($D7367,'Informations sur les produits'!$A$3:$B$15000,2,FALSE),"")</f>
        <v/>
      </c>
      <c r="V7367">
        <f t="shared" si="462"/>
        <v>0</v>
      </c>
      <c r="W7367">
        <f t="shared" si="463"/>
        <v>0</v>
      </c>
    </row>
    <row r="7368" spans="5:23" x14ac:dyDescent="0.25">
      <c r="E7368" s="4"/>
      <c r="F7368" s="4"/>
      <c r="G7368" s="33" t="str">
        <f>IFERROR(VLOOKUP($D7368,'Informations sur les produits'!$A$3:$H$10000,8,FALSE),"0")</f>
        <v>0</v>
      </c>
      <c r="K7368" s="4"/>
      <c r="L7368" s="33" t="str">
        <f>IFERROR(VLOOKUP($J7368,'Informations sur les produits'!$A$3:$H$10000,8,FALSE),"0")</f>
        <v>0</v>
      </c>
      <c r="N7368" s="8"/>
      <c r="O7368" s="33" t="str">
        <f>IFERROR(VLOOKUP($M7368,'Informations sur les produits'!$A$3:$H$10000,8,FALSE),"0")</f>
        <v>0</v>
      </c>
      <c r="P7368" s="33">
        <f t="shared" si="460"/>
        <v>0</v>
      </c>
      <c r="Q7368" s="31" t="str">
        <f t="shared" si="461"/>
        <v/>
      </c>
      <c r="R7368" s="32" t="str">
        <f>IFERROR(VLOOKUP($D7368,'Informations sur les produits'!$A$3:$B$15000,2,FALSE),"")</f>
        <v/>
      </c>
      <c r="V7368">
        <f t="shared" si="462"/>
        <v>0</v>
      </c>
      <c r="W7368">
        <f t="shared" si="463"/>
        <v>0</v>
      </c>
    </row>
    <row r="7369" spans="5:23" x14ac:dyDescent="0.25">
      <c r="E7369" s="4"/>
      <c r="F7369" s="4"/>
      <c r="G7369" s="33" t="str">
        <f>IFERROR(VLOOKUP($D7369,'Informations sur les produits'!$A$3:$H$10000,8,FALSE),"0")</f>
        <v>0</v>
      </c>
      <c r="K7369" s="4"/>
      <c r="L7369" s="33" t="str">
        <f>IFERROR(VLOOKUP($J7369,'Informations sur les produits'!$A$3:$H$10000,8,FALSE),"0")</f>
        <v>0</v>
      </c>
      <c r="N7369" s="8"/>
      <c r="O7369" s="33" t="str">
        <f>IFERROR(VLOOKUP($M7369,'Informations sur les produits'!$A$3:$H$10000,8,FALSE),"0")</f>
        <v>0</v>
      </c>
      <c r="P7369" s="33">
        <f t="shared" si="460"/>
        <v>0</v>
      </c>
      <c r="Q7369" s="31" t="str">
        <f t="shared" si="461"/>
        <v/>
      </c>
      <c r="R7369" s="32" t="str">
        <f>IFERROR(VLOOKUP($D7369,'Informations sur les produits'!$A$3:$B$15000,2,FALSE),"")</f>
        <v/>
      </c>
      <c r="V7369">
        <f t="shared" si="462"/>
        <v>0</v>
      </c>
      <c r="W7369">
        <f t="shared" si="463"/>
        <v>0</v>
      </c>
    </row>
    <row r="7370" spans="5:23" x14ac:dyDescent="0.25">
      <c r="E7370" s="4"/>
      <c r="F7370" s="4"/>
      <c r="G7370" s="33" t="str">
        <f>IFERROR(VLOOKUP($D7370,'Informations sur les produits'!$A$3:$H$10000,8,FALSE),"0")</f>
        <v>0</v>
      </c>
      <c r="K7370" s="4"/>
      <c r="L7370" s="33" t="str">
        <f>IFERROR(VLOOKUP($J7370,'Informations sur les produits'!$A$3:$H$10000,8,FALSE),"0")</f>
        <v>0</v>
      </c>
      <c r="N7370" s="8"/>
      <c r="O7370" s="33" t="str">
        <f>IFERROR(VLOOKUP($M7370,'Informations sur les produits'!$A$3:$H$10000,8,FALSE),"0")</f>
        <v>0</v>
      </c>
      <c r="P7370" s="33">
        <f t="shared" si="460"/>
        <v>0</v>
      </c>
      <c r="Q7370" s="31" t="str">
        <f t="shared" si="461"/>
        <v/>
      </c>
      <c r="R7370" s="32" t="str">
        <f>IFERROR(VLOOKUP($D7370,'Informations sur les produits'!$A$3:$B$15000,2,FALSE),"")</f>
        <v/>
      </c>
      <c r="V7370">
        <f t="shared" si="462"/>
        <v>0</v>
      </c>
      <c r="W7370">
        <f t="shared" si="463"/>
        <v>0</v>
      </c>
    </row>
    <row r="7371" spans="5:23" x14ac:dyDescent="0.25">
      <c r="E7371" s="4"/>
      <c r="F7371" s="4"/>
      <c r="G7371" s="33" t="str">
        <f>IFERROR(VLOOKUP($D7371,'Informations sur les produits'!$A$3:$H$10000,8,FALSE),"0")</f>
        <v>0</v>
      </c>
      <c r="K7371" s="4"/>
      <c r="L7371" s="33" t="str">
        <f>IFERROR(VLOOKUP($J7371,'Informations sur les produits'!$A$3:$H$10000,8,FALSE),"0")</f>
        <v>0</v>
      </c>
      <c r="N7371" s="8"/>
      <c r="O7371" s="33" t="str">
        <f>IFERROR(VLOOKUP($M7371,'Informations sur les produits'!$A$3:$H$10000,8,FALSE),"0")</f>
        <v>0</v>
      </c>
      <c r="P7371" s="33">
        <f t="shared" si="460"/>
        <v>0</v>
      </c>
      <c r="Q7371" s="31" t="str">
        <f t="shared" si="461"/>
        <v/>
      </c>
      <c r="R7371" s="32" t="str">
        <f>IFERROR(VLOOKUP($D7371,'Informations sur les produits'!$A$3:$B$15000,2,FALSE),"")</f>
        <v/>
      </c>
      <c r="V7371">
        <f t="shared" si="462"/>
        <v>0</v>
      </c>
      <c r="W7371">
        <f t="shared" si="463"/>
        <v>0</v>
      </c>
    </row>
    <row r="7372" spans="5:23" x14ac:dyDescent="0.25">
      <c r="E7372" s="4"/>
      <c r="F7372" s="4"/>
      <c r="G7372" s="33" t="str">
        <f>IFERROR(VLOOKUP($D7372,'Informations sur les produits'!$A$3:$H$10000,8,FALSE),"0")</f>
        <v>0</v>
      </c>
      <c r="K7372" s="4"/>
      <c r="L7372" s="33" t="str">
        <f>IFERROR(VLOOKUP($J7372,'Informations sur les produits'!$A$3:$H$10000,8,FALSE),"0")</f>
        <v>0</v>
      </c>
      <c r="N7372" s="8"/>
      <c r="O7372" s="33" t="str">
        <f>IFERROR(VLOOKUP($M7372,'Informations sur les produits'!$A$3:$H$10000,8,FALSE),"0")</f>
        <v>0</v>
      </c>
      <c r="P7372" s="33">
        <f t="shared" si="460"/>
        <v>0</v>
      </c>
      <c r="Q7372" s="31" t="str">
        <f t="shared" si="461"/>
        <v/>
      </c>
      <c r="R7372" s="32" t="str">
        <f>IFERROR(VLOOKUP($D7372,'Informations sur les produits'!$A$3:$B$15000,2,FALSE),"")</f>
        <v/>
      </c>
      <c r="V7372">
        <f t="shared" si="462"/>
        <v>0</v>
      </c>
      <c r="W7372">
        <f t="shared" si="463"/>
        <v>0</v>
      </c>
    </row>
    <row r="7373" spans="5:23" x14ac:dyDescent="0.25">
      <c r="E7373" s="4"/>
      <c r="F7373" s="4"/>
      <c r="G7373" s="33" t="str">
        <f>IFERROR(VLOOKUP($D7373,'Informations sur les produits'!$A$3:$H$10000,8,FALSE),"0")</f>
        <v>0</v>
      </c>
      <c r="K7373" s="4"/>
      <c r="L7373" s="33" t="str">
        <f>IFERROR(VLOOKUP($J7373,'Informations sur les produits'!$A$3:$H$10000,8,FALSE),"0")</f>
        <v>0</v>
      </c>
      <c r="N7373" s="8"/>
      <c r="O7373" s="33" t="str">
        <f>IFERROR(VLOOKUP($M7373,'Informations sur les produits'!$A$3:$H$10000,8,FALSE),"0")</f>
        <v>0</v>
      </c>
      <c r="P7373" s="33">
        <f t="shared" si="460"/>
        <v>0</v>
      </c>
      <c r="Q7373" s="31" t="str">
        <f t="shared" si="461"/>
        <v/>
      </c>
      <c r="R7373" s="32" t="str">
        <f>IFERROR(VLOOKUP($D7373,'Informations sur les produits'!$A$3:$B$15000,2,FALSE),"")</f>
        <v/>
      </c>
      <c r="V7373">
        <f t="shared" si="462"/>
        <v>0</v>
      </c>
      <c r="W7373">
        <f t="shared" si="463"/>
        <v>0</v>
      </c>
    </row>
    <row r="7374" spans="5:23" x14ac:dyDescent="0.25">
      <c r="E7374" s="4"/>
      <c r="F7374" s="4"/>
      <c r="G7374" s="33" t="str">
        <f>IFERROR(VLOOKUP($D7374,'Informations sur les produits'!$A$3:$H$10000,8,FALSE),"0")</f>
        <v>0</v>
      </c>
      <c r="K7374" s="4"/>
      <c r="L7374" s="33" t="str">
        <f>IFERROR(VLOOKUP($J7374,'Informations sur les produits'!$A$3:$H$10000,8,FALSE),"0")</f>
        <v>0</v>
      </c>
      <c r="N7374" s="8"/>
      <c r="O7374" s="33" t="str">
        <f>IFERROR(VLOOKUP($M7374,'Informations sur les produits'!$A$3:$H$10000,8,FALSE),"0")</f>
        <v>0</v>
      </c>
      <c r="P7374" s="33">
        <f t="shared" si="460"/>
        <v>0</v>
      </c>
      <c r="Q7374" s="31" t="str">
        <f t="shared" si="461"/>
        <v/>
      </c>
      <c r="R7374" s="32" t="str">
        <f>IFERROR(VLOOKUP($D7374,'Informations sur les produits'!$A$3:$B$15000,2,FALSE),"")</f>
        <v/>
      </c>
      <c r="V7374">
        <f t="shared" si="462"/>
        <v>0</v>
      </c>
      <c r="W7374">
        <f t="shared" si="463"/>
        <v>0</v>
      </c>
    </row>
    <row r="7375" spans="5:23" x14ac:dyDescent="0.25">
      <c r="E7375" s="4"/>
      <c r="F7375" s="4"/>
      <c r="G7375" s="33" t="str">
        <f>IFERROR(VLOOKUP($D7375,'Informations sur les produits'!$A$3:$H$10000,8,FALSE),"0")</f>
        <v>0</v>
      </c>
      <c r="K7375" s="4"/>
      <c r="L7375" s="33" t="str">
        <f>IFERROR(VLOOKUP($J7375,'Informations sur les produits'!$A$3:$H$10000,8,FALSE),"0")</f>
        <v>0</v>
      </c>
      <c r="N7375" s="8"/>
      <c r="O7375" s="33" t="str">
        <f>IFERROR(VLOOKUP($M7375,'Informations sur les produits'!$A$3:$H$10000,8,FALSE),"0")</f>
        <v>0</v>
      </c>
      <c r="P7375" s="33">
        <f t="shared" si="460"/>
        <v>0</v>
      </c>
      <c r="Q7375" s="31" t="str">
        <f t="shared" si="461"/>
        <v/>
      </c>
      <c r="R7375" s="32" t="str">
        <f>IFERROR(VLOOKUP($D7375,'Informations sur les produits'!$A$3:$B$15000,2,FALSE),"")</f>
        <v/>
      </c>
      <c r="V7375">
        <f t="shared" si="462"/>
        <v>0</v>
      </c>
      <c r="W7375">
        <f t="shared" si="463"/>
        <v>0</v>
      </c>
    </row>
    <row r="7376" spans="5:23" x14ac:dyDescent="0.25">
      <c r="E7376" s="4"/>
      <c r="F7376" s="4"/>
      <c r="G7376" s="33" t="str">
        <f>IFERROR(VLOOKUP($D7376,'Informations sur les produits'!$A$3:$H$10000,8,FALSE),"0")</f>
        <v>0</v>
      </c>
      <c r="K7376" s="4"/>
      <c r="L7376" s="33" t="str">
        <f>IFERROR(VLOOKUP($J7376,'Informations sur les produits'!$A$3:$H$10000,8,FALSE),"0")</f>
        <v>0</v>
      </c>
      <c r="N7376" s="8"/>
      <c r="O7376" s="33" t="str">
        <f>IFERROR(VLOOKUP($M7376,'Informations sur les produits'!$A$3:$H$10000,8,FALSE),"0")</f>
        <v>0</v>
      </c>
      <c r="P7376" s="33">
        <f t="shared" si="460"/>
        <v>0</v>
      </c>
      <c r="Q7376" s="31" t="str">
        <f t="shared" si="461"/>
        <v/>
      </c>
      <c r="R7376" s="32" t="str">
        <f>IFERROR(VLOOKUP($D7376,'Informations sur les produits'!$A$3:$B$15000,2,FALSE),"")</f>
        <v/>
      </c>
      <c r="V7376">
        <f t="shared" si="462"/>
        <v>0</v>
      </c>
      <c r="W7376">
        <f t="shared" si="463"/>
        <v>0</v>
      </c>
    </row>
    <row r="7377" spans="5:23" x14ac:dyDescent="0.25">
      <c r="E7377" s="4"/>
      <c r="F7377" s="4"/>
      <c r="G7377" s="33" t="str">
        <f>IFERROR(VLOOKUP($D7377,'Informations sur les produits'!$A$3:$H$10000,8,FALSE),"0")</f>
        <v>0</v>
      </c>
      <c r="K7377" s="4"/>
      <c r="L7377" s="33" t="str">
        <f>IFERROR(VLOOKUP($J7377,'Informations sur les produits'!$A$3:$H$10000,8,FALSE),"0")</f>
        <v>0</v>
      </c>
      <c r="N7377" s="8"/>
      <c r="O7377" s="33" t="str">
        <f>IFERROR(VLOOKUP($M7377,'Informations sur les produits'!$A$3:$H$10000,8,FALSE),"0")</f>
        <v>0</v>
      </c>
      <c r="P7377" s="33">
        <f t="shared" si="460"/>
        <v>0</v>
      </c>
      <c r="Q7377" s="31" t="str">
        <f t="shared" si="461"/>
        <v/>
      </c>
      <c r="R7377" s="32" t="str">
        <f>IFERROR(VLOOKUP($D7377,'Informations sur les produits'!$A$3:$B$15000,2,FALSE),"")</f>
        <v/>
      </c>
      <c r="V7377">
        <f t="shared" si="462"/>
        <v>0</v>
      </c>
      <c r="W7377">
        <f t="shared" si="463"/>
        <v>0</v>
      </c>
    </row>
    <row r="7378" spans="5:23" x14ac:dyDescent="0.25">
      <c r="E7378" s="4"/>
      <c r="F7378" s="4"/>
      <c r="G7378" s="33" t="str">
        <f>IFERROR(VLOOKUP($D7378,'Informations sur les produits'!$A$3:$H$10000,8,FALSE),"0")</f>
        <v>0</v>
      </c>
      <c r="K7378" s="4"/>
      <c r="L7378" s="33" t="str">
        <f>IFERROR(VLOOKUP($J7378,'Informations sur les produits'!$A$3:$H$10000,8,FALSE),"0")</f>
        <v>0</v>
      </c>
      <c r="N7378" s="8"/>
      <c r="O7378" s="33" t="str">
        <f>IFERROR(VLOOKUP($M7378,'Informations sur les produits'!$A$3:$H$10000,8,FALSE),"0")</f>
        <v>0</v>
      </c>
      <c r="P7378" s="33">
        <f t="shared" si="460"/>
        <v>0</v>
      </c>
      <c r="Q7378" s="31" t="str">
        <f t="shared" si="461"/>
        <v/>
      </c>
      <c r="R7378" s="32" t="str">
        <f>IFERROR(VLOOKUP($D7378,'Informations sur les produits'!$A$3:$B$15000,2,FALSE),"")</f>
        <v/>
      </c>
      <c r="V7378">
        <f t="shared" si="462"/>
        <v>0</v>
      </c>
      <c r="W7378">
        <f t="shared" si="463"/>
        <v>0</v>
      </c>
    </row>
    <row r="7379" spans="5:23" x14ac:dyDescent="0.25">
      <c r="E7379" s="4"/>
      <c r="F7379" s="4"/>
      <c r="G7379" s="33" t="str">
        <f>IFERROR(VLOOKUP($D7379,'Informations sur les produits'!$A$3:$H$10000,8,FALSE),"0")</f>
        <v>0</v>
      </c>
      <c r="K7379" s="4"/>
      <c r="L7379" s="33" t="str">
        <f>IFERROR(VLOOKUP($J7379,'Informations sur les produits'!$A$3:$H$10000,8,FALSE),"0")</f>
        <v>0</v>
      </c>
      <c r="N7379" s="8"/>
      <c r="O7379" s="33" t="str">
        <f>IFERROR(VLOOKUP($M7379,'Informations sur les produits'!$A$3:$H$10000,8,FALSE),"0")</f>
        <v>0</v>
      </c>
      <c r="P7379" s="33">
        <f t="shared" si="460"/>
        <v>0</v>
      </c>
      <c r="Q7379" s="31" t="str">
        <f t="shared" si="461"/>
        <v/>
      </c>
      <c r="R7379" s="32" t="str">
        <f>IFERROR(VLOOKUP($D7379,'Informations sur les produits'!$A$3:$B$15000,2,FALSE),"")</f>
        <v/>
      </c>
      <c r="V7379">
        <f t="shared" si="462"/>
        <v>0</v>
      </c>
      <c r="W7379">
        <f t="shared" si="463"/>
        <v>0</v>
      </c>
    </row>
    <row r="7380" spans="5:23" x14ac:dyDescent="0.25">
      <c r="E7380" s="4"/>
      <c r="F7380" s="4"/>
      <c r="G7380" s="33" t="str">
        <f>IFERROR(VLOOKUP($D7380,'Informations sur les produits'!$A$3:$H$10000,8,FALSE),"0")</f>
        <v>0</v>
      </c>
      <c r="K7380" s="4"/>
      <c r="L7380" s="33" t="str">
        <f>IFERROR(VLOOKUP($J7380,'Informations sur les produits'!$A$3:$H$10000,8,FALSE),"0")</f>
        <v>0</v>
      </c>
      <c r="N7380" s="8"/>
      <c r="O7380" s="33" t="str">
        <f>IFERROR(VLOOKUP($M7380,'Informations sur les produits'!$A$3:$H$10000,8,FALSE),"0")</f>
        <v>0</v>
      </c>
      <c r="P7380" s="33">
        <f t="shared" si="460"/>
        <v>0</v>
      </c>
      <c r="Q7380" s="31" t="str">
        <f t="shared" si="461"/>
        <v/>
      </c>
      <c r="R7380" s="32" t="str">
        <f>IFERROR(VLOOKUP($D7380,'Informations sur les produits'!$A$3:$B$15000,2,FALSE),"")</f>
        <v/>
      </c>
      <c r="V7380">
        <f t="shared" si="462"/>
        <v>0</v>
      </c>
      <c r="W7380">
        <f t="shared" si="463"/>
        <v>0</v>
      </c>
    </row>
    <row r="7381" spans="5:23" x14ac:dyDescent="0.25">
      <c r="E7381" s="4"/>
      <c r="F7381" s="4"/>
      <c r="G7381" s="33" t="str">
        <f>IFERROR(VLOOKUP($D7381,'Informations sur les produits'!$A$3:$H$10000,8,FALSE),"0")</f>
        <v>0</v>
      </c>
      <c r="K7381" s="4"/>
      <c r="L7381" s="33" t="str">
        <f>IFERROR(VLOOKUP($J7381,'Informations sur les produits'!$A$3:$H$10000,8,FALSE),"0")</f>
        <v>0</v>
      </c>
      <c r="N7381" s="8"/>
      <c r="O7381" s="33" t="str">
        <f>IFERROR(VLOOKUP($M7381,'Informations sur les produits'!$A$3:$H$10000,8,FALSE),"0")</f>
        <v>0</v>
      </c>
      <c r="P7381" s="33">
        <f t="shared" si="460"/>
        <v>0</v>
      </c>
      <c r="Q7381" s="31" t="str">
        <f t="shared" si="461"/>
        <v/>
      </c>
      <c r="R7381" s="32" t="str">
        <f>IFERROR(VLOOKUP($D7381,'Informations sur les produits'!$A$3:$B$15000,2,FALSE),"")</f>
        <v/>
      </c>
      <c r="V7381">
        <f t="shared" si="462"/>
        <v>0</v>
      </c>
      <c r="W7381">
        <f t="shared" si="463"/>
        <v>0</v>
      </c>
    </row>
    <row r="7382" spans="5:23" x14ac:dyDescent="0.25">
      <c r="E7382" s="4"/>
      <c r="F7382" s="4"/>
      <c r="G7382" s="33" t="str">
        <f>IFERROR(VLOOKUP($D7382,'Informations sur les produits'!$A$3:$H$10000,8,FALSE),"0")</f>
        <v>0</v>
      </c>
      <c r="K7382" s="4"/>
      <c r="L7382" s="33" t="str">
        <f>IFERROR(VLOOKUP($J7382,'Informations sur les produits'!$A$3:$H$10000,8,FALSE),"0")</f>
        <v>0</v>
      </c>
      <c r="N7382" s="8"/>
      <c r="O7382" s="33" t="str">
        <f>IFERROR(VLOOKUP($M7382,'Informations sur les produits'!$A$3:$H$10000,8,FALSE),"0")</f>
        <v>0</v>
      </c>
      <c r="P7382" s="33">
        <f t="shared" si="460"/>
        <v>0</v>
      </c>
      <c r="Q7382" s="31" t="str">
        <f t="shared" si="461"/>
        <v/>
      </c>
      <c r="R7382" s="32" t="str">
        <f>IFERROR(VLOOKUP($D7382,'Informations sur les produits'!$A$3:$B$15000,2,FALSE),"")</f>
        <v/>
      </c>
      <c r="V7382">
        <f t="shared" si="462"/>
        <v>0</v>
      </c>
      <c r="W7382">
        <f t="shared" si="463"/>
        <v>0</v>
      </c>
    </row>
    <row r="7383" spans="5:23" x14ac:dyDescent="0.25">
      <c r="E7383" s="4"/>
      <c r="F7383" s="4"/>
      <c r="G7383" s="33" t="str">
        <f>IFERROR(VLOOKUP($D7383,'Informations sur les produits'!$A$3:$H$10000,8,FALSE),"0")</f>
        <v>0</v>
      </c>
      <c r="K7383" s="4"/>
      <c r="L7383" s="33" t="str">
        <f>IFERROR(VLOOKUP($J7383,'Informations sur les produits'!$A$3:$H$10000,8,FALSE),"0")</f>
        <v>0</v>
      </c>
      <c r="N7383" s="8"/>
      <c r="O7383" s="33" t="str">
        <f>IFERROR(VLOOKUP($M7383,'Informations sur les produits'!$A$3:$H$10000,8,FALSE),"0")</f>
        <v>0</v>
      </c>
      <c r="P7383" s="33">
        <f t="shared" si="460"/>
        <v>0</v>
      </c>
      <c r="Q7383" s="31" t="str">
        <f t="shared" si="461"/>
        <v/>
      </c>
      <c r="R7383" s="32" t="str">
        <f>IFERROR(VLOOKUP($D7383,'Informations sur les produits'!$A$3:$B$15000,2,FALSE),"")</f>
        <v/>
      </c>
      <c r="V7383">
        <f t="shared" si="462"/>
        <v>0</v>
      </c>
      <c r="W7383">
        <f t="shared" si="463"/>
        <v>0</v>
      </c>
    </row>
    <row r="7384" spans="5:23" x14ac:dyDescent="0.25">
      <c r="E7384" s="4"/>
      <c r="F7384" s="4"/>
      <c r="G7384" s="33" t="str">
        <f>IFERROR(VLOOKUP($D7384,'Informations sur les produits'!$A$3:$H$10000,8,FALSE),"0")</f>
        <v>0</v>
      </c>
      <c r="K7384" s="4"/>
      <c r="L7384" s="33" t="str">
        <f>IFERROR(VLOOKUP($J7384,'Informations sur les produits'!$A$3:$H$10000,8,FALSE),"0")</f>
        <v>0</v>
      </c>
      <c r="N7384" s="8"/>
      <c r="O7384" s="33" t="str">
        <f>IFERROR(VLOOKUP($M7384,'Informations sur les produits'!$A$3:$H$10000,8,FALSE),"0")</f>
        <v>0</v>
      </c>
      <c r="P7384" s="33">
        <f t="shared" si="460"/>
        <v>0</v>
      </c>
      <c r="Q7384" s="31" t="str">
        <f t="shared" si="461"/>
        <v/>
      </c>
      <c r="R7384" s="32" t="str">
        <f>IFERROR(VLOOKUP($D7384,'Informations sur les produits'!$A$3:$B$15000,2,FALSE),"")</f>
        <v/>
      </c>
      <c r="V7384">
        <f t="shared" si="462"/>
        <v>0</v>
      </c>
      <c r="W7384">
        <f t="shared" si="463"/>
        <v>0</v>
      </c>
    </row>
    <row r="7385" spans="5:23" x14ac:dyDescent="0.25">
      <c r="E7385" s="4"/>
      <c r="F7385" s="4"/>
      <c r="G7385" s="33" t="str">
        <f>IFERROR(VLOOKUP($D7385,'Informations sur les produits'!$A$3:$H$10000,8,FALSE),"0")</f>
        <v>0</v>
      </c>
      <c r="K7385" s="4"/>
      <c r="L7385" s="33" t="str">
        <f>IFERROR(VLOOKUP($J7385,'Informations sur les produits'!$A$3:$H$10000,8,FALSE),"0")</f>
        <v>0</v>
      </c>
      <c r="N7385" s="8"/>
      <c r="O7385" s="33" t="str">
        <f>IFERROR(VLOOKUP($M7385,'Informations sur les produits'!$A$3:$H$10000,8,FALSE),"0")</f>
        <v>0</v>
      </c>
      <c r="P7385" s="33">
        <f t="shared" si="460"/>
        <v>0</v>
      </c>
      <c r="Q7385" s="31" t="str">
        <f t="shared" si="461"/>
        <v/>
      </c>
      <c r="R7385" s="32" t="str">
        <f>IFERROR(VLOOKUP($D7385,'Informations sur les produits'!$A$3:$B$15000,2,FALSE),"")</f>
        <v/>
      </c>
      <c r="V7385">
        <f t="shared" si="462"/>
        <v>0</v>
      </c>
      <c r="W7385">
        <f t="shared" si="463"/>
        <v>0</v>
      </c>
    </row>
    <row r="7386" spans="5:23" x14ac:dyDescent="0.25">
      <c r="E7386" s="4"/>
      <c r="F7386" s="4"/>
      <c r="G7386" s="33" t="str">
        <f>IFERROR(VLOOKUP($D7386,'Informations sur les produits'!$A$3:$H$10000,8,FALSE),"0")</f>
        <v>0</v>
      </c>
      <c r="K7386" s="4"/>
      <c r="L7386" s="33" t="str">
        <f>IFERROR(VLOOKUP($J7386,'Informations sur les produits'!$A$3:$H$10000,8,FALSE),"0")</f>
        <v>0</v>
      </c>
      <c r="N7386" s="8"/>
      <c r="O7386" s="33" t="str">
        <f>IFERROR(VLOOKUP($M7386,'Informations sur les produits'!$A$3:$H$10000,8,FALSE),"0")</f>
        <v>0</v>
      </c>
      <c r="P7386" s="33">
        <f t="shared" si="460"/>
        <v>0</v>
      </c>
      <c r="Q7386" s="31" t="str">
        <f t="shared" si="461"/>
        <v/>
      </c>
      <c r="R7386" s="32" t="str">
        <f>IFERROR(VLOOKUP($D7386,'Informations sur les produits'!$A$3:$B$15000,2,FALSE),"")</f>
        <v/>
      </c>
      <c r="V7386">
        <f t="shared" si="462"/>
        <v>0</v>
      </c>
      <c r="W7386">
        <f t="shared" si="463"/>
        <v>0</v>
      </c>
    </row>
    <row r="7387" spans="5:23" x14ac:dyDescent="0.25">
      <c r="E7387" s="4"/>
      <c r="F7387" s="4"/>
      <c r="G7387" s="33" t="str">
        <f>IFERROR(VLOOKUP($D7387,'Informations sur les produits'!$A$3:$H$10000,8,FALSE),"0")</f>
        <v>0</v>
      </c>
      <c r="K7387" s="4"/>
      <c r="L7387" s="33" t="str">
        <f>IFERROR(VLOOKUP($J7387,'Informations sur les produits'!$A$3:$H$10000,8,FALSE),"0")</f>
        <v>0</v>
      </c>
      <c r="N7387" s="8"/>
      <c r="O7387" s="33" t="str">
        <f>IFERROR(VLOOKUP($M7387,'Informations sur les produits'!$A$3:$H$10000,8,FALSE),"0")</f>
        <v>0</v>
      </c>
      <c r="P7387" s="33">
        <f t="shared" si="460"/>
        <v>0</v>
      </c>
      <c r="Q7387" s="31" t="str">
        <f t="shared" si="461"/>
        <v/>
      </c>
      <c r="R7387" s="32" t="str">
        <f>IFERROR(VLOOKUP($D7387,'Informations sur les produits'!$A$3:$B$15000,2,FALSE),"")</f>
        <v/>
      </c>
      <c r="V7387">
        <f t="shared" si="462"/>
        <v>0</v>
      </c>
      <c r="W7387">
        <f t="shared" si="463"/>
        <v>0</v>
      </c>
    </row>
    <row r="7388" spans="5:23" x14ac:dyDescent="0.25">
      <c r="E7388" s="4"/>
      <c r="F7388" s="4"/>
      <c r="G7388" s="33" t="str">
        <f>IFERROR(VLOOKUP($D7388,'Informations sur les produits'!$A$3:$H$10000,8,FALSE),"0")</f>
        <v>0</v>
      </c>
      <c r="K7388" s="4"/>
      <c r="L7388" s="33" t="str">
        <f>IFERROR(VLOOKUP($J7388,'Informations sur les produits'!$A$3:$H$10000,8,FALSE),"0")</f>
        <v>0</v>
      </c>
      <c r="N7388" s="8"/>
      <c r="O7388" s="33" t="str">
        <f>IFERROR(VLOOKUP($M7388,'Informations sur les produits'!$A$3:$H$10000,8,FALSE),"0")</f>
        <v>0</v>
      </c>
      <c r="P7388" s="33">
        <f t="shared" si="460"/>
        <v>0</v>
      </c>
      <c r="Q7388" s="31" t="str">
        <f t="shared" si="461"/>
        <v/>
      </c>
      <c r="R7388" s="32" t="str">
        <f>IFERROR(VLOOKUP($D7388,'Informations sur les produits'!$A$3:$B$15000,2,FALSE),"")</f>
        <v/>
      </c>
      <c r="V7388">
        <f t="shared" si="462"/>
        <v>0</v>
      </c>
      <c r="W7388">
        <f t="shared" si="463"/>
        <v>0</v>
      </c>
    </row>
    <row r="7389" spans="5:23" x14ac:dyDescent="0.25">
      <c r="E7389" s="4"/>
      <c r="F7389" s="4"/>
      <c r="G7389" s="33" t="str">
        <f>IFERROR(VLOOKUP($D7389,'Informations sur les produits'!$A$3:$H$10000,8,FALSE),"0")</f>
        <v>0</v>
      </c>
      <c r="K7389" s="4"/>
      <c r="L7389" s="33" t="str">
        <f>IFERROR(VLOOKUP($J7389,'Informations sur les produits'!$A$3:$H$10000,8,FALSE),"0")</f>
        <v>0</v>
      </c>
      <c r="N7389" s="8"/>
      <c r="O7389" s="33" t="str">
        <f>IFERROR(VLOOKUP($M7389,'Informations sur les produits'!$A$3:$H$10000,8,FALSE),"0")</f>
        <v>0</v>
      </c>
      <c r="P7389" s="33">
        <f t="shared" si="460"/>
        <v>0</v>
      </c>
      <c r="Q7389" s="31" t="str">
        <f t="shared" si="461"/>
        <v/>
      </c>
      <c r="R7389" s="32" t="str">
        <f>IFERROR(VLOOKUP($D7389,'Informations sur les produits'!$A$3:$B$15000,2,FALSE),"")</f>
        <v/>
      </c>
      <c r="V7389">
        <f t="shared" si="462"/>
        <v>0</v>
      </c>
      <c r="W7389">
        <f t="shared" si="463"/>
        <v>0</v>
      </c>
    </row>
    <row r="7390" spans="5:23" x14ac:dyDescent="0.25">
      <c r="E7390" s="4"/>
      <c r="F7390" s="4"/>
      <c r="G7390" s="33" t="str">
        <f>IFERROR(VLOOKUP($D7390,'Informations sur les produits'!$A$3:$H$10000,8,FALSE),"0")</f>
        <v>0</v>
      </c>
      <c r="K7390" s="4"/>
      <c r="L7390" s="33" t="str">
        <f>IFERROR(VLOOKUP($J7390,'Informations sur les produits'!$A$3:$H$10000,8,FALSE),"0")</f>
        <v>0</v>
      </c>
      <c r="N7390" s="8"/>
      <c r="O7390" s="33" t="str">
        <f>IFERROR(VLOOKUP($M7390,'Informations sur les produits'!$A$3:$H$10000,8,FALSE),"0")</f>
        <v>0</v>
      </c>
      <c r="P7390" s="33">
        <f t="shared" si="460"/>
        <v>0</v>
      </c>
      <c r="Q7390" s="31" t="str">
        <f t="shared" si="461"/>
        <v/>
      </c>
      <c r="R7390" s="32" t="str">
        <f>IFERROR(VLOOKUP($D7390,'Informations sur les produits'!$A$3:$B$15000,2,FALSE),"")</f>
        <v/>
      </c>
      <c r="V7390">
        <f t="shared" si="462"/>
        <v>0</v>
      </c>
      <c r="W7390">
        <f t="shared" si="463"/>
        <v>0</v>
      </c>
    </row>
    <row r="7391" spans="5:23" x14ac:dyDescent="0.25">
      <c r="E7391" s="4"/>
      <c r="F7391" s="4"/>
      <c r="G7391" s="33" t="str">
        <f>IFERROR(VLOOKUP($D7391,'Informations sur les produits'!$A$3:$H$10000,8,FALSE),"0")</f>
        <v>0</v>
      </c>
      <c r="K7391" s="4"/>
      <c r="L7391" s="33" t="str">
        <f>IFERROR(VLOOKUP($J7391,'Informations sur les produits'!$A$3:$H$10000,8,FALSE),"0")</f>
        <v>0</v>
      </c>
      <c r="N7391" s="8"/>
      <c r="O7391" s="33" t="str">
        <f>IFERROR(VLOOKUP($M7391,'Informations sur les produits'!$A$3:$H$10000,8,FALSE),"0")</f>
        <v>0</v>
      </c>
      <c r="P7391" s="33">
        <f t="shared" si="460"/>
        <v>0</v>
      </c>
      <c r="Q7391" s="31" t="str">
        <f t="shared" si="461"/>
        <v/>
      </c>
      <c r="R7391" s="32" t="str">
        <f>IFERROR(VLOOKUP($D7391,'Informations sur les produits'!$A$3:$B$15000,2,FALSE),"")</f>
        <v/>
      </c>
      <c r="V7391">
        <f t="shared" si="462"/>
        <v>0</v>
      </c>
      <c r="W7391">
        <f t="shared" si="463"/>
        <v>0</v>
      </c>
    </row>
    <row r="7392" spans="5:23" x14ac:dyDescent="0.25">
      <c r="E7392" s="4"/>
      <c r="F7392" s="4"/>
      <c r="G7392" s="33" t="str">
        <f>IFERROR(VLOOKUP($D7392,'Informations sur les produits'!$A$3:$H$10000,8,FALSE),"0")</f>
        <v>0</v>
      </c>
      <c r="K7392" s="4"/>
      <c r="L7392" s="33" t="str">
        <f>IFERROR(VLOOKUP($J7392,'Informations sur les produits'!$A$3:$H$10000,8,FALSE),"0")</f>
        <v>0</v>
      </c>
      <c r="N7392" s="8"/>
      <c r="O7392" s="33" t="str">
        <f>IFERROR(VLOOKUP($M7392,'Informations sur les produits'!$A$3:$H$10000,8,FALSE),"0")</f>
        <v>0</v>
      </c>
      <c r="P7392" s="33">
        <f t="shared" si="460"/>
        <v>0</v>
      </c>
      <c r="Q7392" s="31" t="str">
        <f t="shared" si="461"/>
        <v/>
      </c>
      <c r="R7392" s="32" t="str">
        <f>IFERROR(VLOOKUP($D7392,'Informations sur les produits'!$A$3:$B$15000,2,FALSE),"")</f>
        <v/>
      </c>
      <c r="V7392">
        <f t="shared" si="462"/>
        <v>0</v>
      </c>
      <c r="W7392">
        <f t="shared" si="463"/>
        <v>0</v>
      </c>
    </row>
    <row r="7393" spans="5:23" x14ac:dyDescent="0.25">
      <c r="E7393" s="4"/>
      <c r="F7393" s="4"/>
      <c r="G7393" s="33" t="str">
        <f>IFERROR(VLOOKUP($D7393,'Informations sur les produits'!$A$3:$H$10000,8,FALSE),"0")</f>
        <v>0</v>
      </c>
      <c r="K7393" s="4"/>
      <c r="L7393" s="33" t="str">
        <f>IFERROR(VLOOKUP($J7393,'Informations sur les produits'!$A$3:$H$10000,8,FALSE),"0")</f>
        <v>0</v>
      </c>
      <c r="N7393" s="8"/>
      <c r="O7393" s="33" t="str">
        <f>IFERROR(VLOOKUP($M7393,'Informations sur les produits'!$A$3:$H$10000,8,FALSE),"0")</f>
        <v>0</v>
      </c>
      <c r="P7393" s="33">
        <f t="shared" si="460"/>
        <v>0</v>
      </c>
      <c r="Q7393" s="31" t="str">
        <f t="shared" si="461"/>
        <v/>
      </c>
      <c r="R7393" s="32" t="str">
        <f>IFERROR(VLOOKUP($D7393,'Informations sur les produits'!$A$3:$B$15000,2,FALSE),"")</f>
        <v/>
      </c>
      <c r="V7393">
        <f t="shared" si="462"/>
        <v>0</v>
      </c>
      <c r="W7393">
        <f t="shared" si="463"/>
        <v>0</v>
      </c>
    </row>
    <row r="7394" spans="5:23" x14ac:dyDescent="0.25">
      <c r="E7394" s="4"/>
      <c r="F7394" s="4"/>
      <c r="G7394" s="33" t="str">
        <f>IFERROR(VLOOKUP($D7394,'Informations sur les produits'!$A$3:$H$10000,8,FALSE),"0")</f>
        <v>0</v>
      </c>
      <c r="K7394" s="4"/>
      <c r="L7394" s="33" t="str">
        <f>IFERROR(VLOOKUP($J7394,'Informations sur les produits'!$A$3:$H$10000,8,FALSE),"0")</f>
        <v>0</v>
      </c>
      <c r="N7394" s="8"/>
      <c r="O7394" s="33" t="str">
        <f>IFERROR(VLOOKUP($M7394,'Informations sur les produits'!$A$3:$H$10000,8,FALSE),"0")</f>
        <v>0</v>
      </c>
      <c r="P7394" s="33">
        <f t="shared" si="460"/>
        <v>0</v>
      </c>
      <c r="Q7394" s="31" t="str">
        <f t="shared" si="461"/>
        <v/>
      </c>
      <c r="R7394" s="32" t="str">
        <f>IFERROR(VLOOKUP($D7394,'Informations sur les produits'!$A$3:$B$15000,2,FALSE),"")</f>
        <v/>
      </c>
      <c r="V7394">
        <f t="shared" si="462"/>
        <v>0</v>
      </c>
      <c r="W7394">
        <f t="shared" si="463"/>
        <v>0</v>
      </c>
    </row>
    <row r="7395" spans="5:23" x14ac:dyDescent="0.25">
      <c r="E7395" s="4"/>
      <c r="F7395" s="4"/>
      <c r="G7395" s="33" t="str">
        <f>IFERROR(VLOOKUP($D7395,'Informations sur les produits'!$A$3:$H$10000,8,FALSE),"0")</f>
        <v>0</v>
      </c>
      <c r="K7395" s="4"/>
      <c r="L7395" s="33" t="str">
        <f>IFERROR(VLOOKUP($J7395,'Informations sur les produits'!$A$3:$H$10000,8,FALSE),"0")</f>
        <v>0</v>
      </c>
      <c r="N7395" s="8"/>
      <c r="O7395" s="33" t="str">
        <f>IFERROR(VLOOKUP($M7395,'Informations sur les produits'!$A$3:$H$10000,8,FALSE),"0")</f>
        <v>0</v>
      </c>
      <c r="P7395" s="33">
        <f t="shared" si="460"/>
        <v>0</v>
      </c>
      <c r="Q7395" s="31" t="str">
        <f t="shared" si="461"/>
        <v/>
      </c>
      <c r="R7395" s="32" t="str">
        <f>IFERROR(VLOOKUP($D7395,'Informations sur les produits'!$A$3:$B$15000,2,FALSE),"")</f>
        <v/>
      </c>
      <c r="V7395">
        <f t="shared" si="462"/>
        <v>0</v>
      </c>
      <c r="W7395">
        <f t="shared" si="463"/>
        <v>0</v>
      </c>
    </row>
    <row r="7396" spans="5:23" x14ac:dyDescent="0.25">
      <c r="E7396" s="4"/>
      <c r="F7396" s="4"/>
      <c r="G7396" s="33" t="str">
        <f>IFERROR(VLOOKUP($D7396,'Informations sur les produits'!$A$3:$H$10000,8,FALSE),"0")</f>
        <v>0</v>
      </c>
      <c r="K7396" s="4"/>
      <c r="L7396" s="33" t="str">
        <f>IFERROR(VLOOKUP($J7396,'Informations sur les produits'!$A$3:$H$10000,8,FALSE),"0")</f>
        <v>0</v>
      </c>
      <c r="N7396" s="8"/>
      <c r="O7396" s="33" t="str">
        <f>IFERROR(VLOOKUP($M7396,'Informations sur les produits'!$A$3:$H$10000,8,FALSE),"0")</f>
        <v>0</v>
      </c>
      <c r="P7396" s="33">
        <f t="shared" si="460"/>
        <v>0</v>
      </c>
      <c r="Q7396" s="31" t="str">
        <f t="shared" si="461"/>
        <v/>
      </c>
      <c r="R7396" s="32" t="str">
        <f>IFERROR(VLOOKUP($D7396,'Informations sur les produits'!$A$3:$B$15000,2,FALSE),"")</f>
        <v/>
      </c>
      <c r="V7396">
        <f t="shared" si="462"/>
        <v>0</v>
      </c>
      <c r="W7396">
        <f t="shared" si="463"/>
        <v>0</v>
      </c>
    </row>
    <row r="7397" spans="5:23" x14ac:dyDescent="0.25">
      <c r="E7397" s="4"/>
      <c r="F7397" s="4"/>
      <c r="G7397" s="33" t="str">
        <f>IFERROR(VLOOKUP($D7397,'Informations sur les produits'!$A$3:$H$10000,8,FALSE),"0")</f>
        <v>0</v>
      </c>
      <c r="K7397" s="4"/>
      <c r="L7397" s="33" t="str">
        <f>IFERROR(VLOOKUP($J7397,'Informations sur les produits'!$A$3:$H$10000,8,FALSE),"0")</f>
        <v>0</v>
      </c>
      <c r="N7397" s="8"/>
      <c r="O7397" s="33" t="str">
        <f>IFERROR(VLOOKUP($M7397,'Informations sur les produits'!$A$3:$H$10000,8,FALSE),"0")</f>
        <v>0</v>
      </c>
      <c r="P7397" s="33">
        <f t="shared" si="460"/>
        <v>0</v>
      </c>
      <c r="Q7397" s="31" t="str">
        <f t="shared" si="461"/>
        <v/>
      </c>
      <c r="R7397" s="32" t="str">
        <f>IFERROR(VLOOKUP($D7397,'Informations sur les produits'!$A$3:$B$15000,2,FALSE),"")</f>
        <v/>
      </c>
      <c r="V7397">
        <f t="shared" si="462"/>
        <v>0</v>
      </c>
      <c r="W7397">
        <f t="shared" si="463"/>
        <v>0</v>
      </c>
    </row>
    <row r="7398" spans="5:23" x14ac:dyDescent="0.25">
      <c r="E7398" s="4"/>
      <c r="F7398" s="4"/>
      <c r="G7398" s="33" t="str">
        <f>IFERROR(VLOOKUP($D7398,'Informations sur les produits'!$A$3:$H$10000,8,FALSE),"0")</f>
        <v>0</v>
      </c>
      <c r="K7398" s="4"/>
      <c r="L7398" s="33" t="str">
        <f>IFERROR(VLOOKUP($J7398,'Informations sur les produits'!$A$3:$H$10000,8,FALSE),"0")</f>
        <v>0</v>
      </c>
      <c r="N7398" s="8"/>
      <c r="O7398" s="33" t="str">
        <f>IFERROR(VLOOKUP($M7398,'Informations sur les produits'!$A$3:$H$10000,8,FALSE),"0")</f>
        <v>0</v>
      </c>
      <c r="P7398" s="33">
        <f t="shared" si="460"/>
        <v>0</v>
      </c>
      <c r="Q7398" s="31" t="str">
        <f t="shared" si="461"/>
        <v/>
      </c>
      <c r="R7398" s="32" t="str">
        <f>IFERROR(VLOOKUP($D7398,'Informations sur les produits'!$A$3:$B$15000,2,FALSE),"")</f>
        <v/>
      </c>
      <c r="V7398">
        <f t="shared" si="462"/>
        <v>0</v>
      </c>
      <c r="W7398">
        <f t="shared" si="463"/>
        <v>0</v>
      </c>
    </row>
    <row r="7399" spans="5:23" x14ac:dyDescent="0.25">
      <c r="E7399" s="4"/>
      <c r="F7399" s="4"/>
      <c r="G7399" s="33" t="str">
        <f>IFERROR(VLOOKUP($D7399,'Informations sur les produits'!$A$3:$H$10000,8,FALSE),"0")</f>
        <v>0</v>
      </c>
      <c r="K7399" s="4"/>
      <c r="L7399" s="33" t="str">
        <f>IFERROR(VLOOKUP($J7399,'Informations sur les produits'!$A$3:$H$10000,8,FALSE),"0")</f>
        <v>0</v>
      </c>
      <c r="N7399" s="8"/>
      <c r="O7399" s="33" t="str">
        <f>IFERROR(VLOOKUP($M7399,'Informations sur les produits'!$A$3:$H$10000,8,FALSE),"0")</f>
        <v>0</v>
      </c>
      <c r="P7399" s="33">
        <f t="shared" si="460"/>
        <v>0</v>
      </c>
      <c r="Q7399" s="31" t="str">
        <f t="shared" si="461"/>
        <v/>
      </c>
      <c r="R7399" s="32" t="str">
        <f>IFERROR(VLOOKUP($D7399,'Informations sur les produits'!$A$3:$B$15000,2,FALSE),"")</f>
        <v/>
      </c>
      <c r="V7399">
        <f t="shared" si="462"/>
        <v>0</v>
      </c>
      <c r="W7399">
        <f t="shared" si="463"/>
        <v>0</v>
      </c>
    </row>
    <row r="7400" spans="5:23" x14ac:dyDescent="0.25">
      <c r="E7400" s="4"/>
      <c r="F7400" s="4"/>
      <c r="G7400" s="33" t="str">
        <f>IFERROR(VLOOKUP($D7400,'Informations sur les produits'!$A$3:$H$10000,8,FALSE),"0")</f>
        <v>0</v>
      </c>
      <c r="K7400" s="4"/>
      <c r="L7400" s="33" t="str">
        <f>IFERROR(VLOOKUP($J7400,'Informations sur les produits'!$A$3:$H$10000,8,FALSE),"0")</f>
        <v>0</v>
      </c>
      <c r="N7400" s="8"/>
      <c r="O7400" s="33" t="str">
        <f>IFERROR(VLOOKUP($M7400,'Informations sur les produits'!$A$3:$H$10000,8,FALSE),"0")</f>
        <v>0</v>
      </c>
      <c r="P7400" s="33">
        <f t="shared" si="460"/>
        <v>0</v>
      </c>
      <c r="Q7400" s="31" t="str">
        <f t="shared" si="461"/>
        <v/>
      </c>
      <c r="R7400" s="32" t="str">
        <f>IFERROR(VLOOKUP($D7400,'Informations sur les produits'!$A$3:$B$15000,2,FALSE),"")</f>
        <v/>
      </c>
      <c r="V7400">
        <f t="shared" si="462"/>
        <v>0</v>
      </c>
      <c r="W7400">
        <f t="shared" si="463"/>
        <v>0</v>
      </c>
    </row>
    <row r="7401" spans="5:23" x14ac:dyDescent="0.25">
      <c r="E7401" s="4"/>
      <c r="F7401" s="4"/>
      <c r="G7401" s="33" t="str">
        <f>IFERROR(VLOOKUP($D7401,'Informations sur les produits'!$A$3:$H$10000,8,FALSE),"0")</f>
        <v>0</v>
      </c>
      <c r="K7401" s="4"/>
      <c r="L7401" s="33" t="str">
        <f>IFERROR(VLOOKUP($J7401,'Informations sur les produits'!$A$3:$H$10000,8,FALSE),"0")</f>
        <v>0</v>
      </c>
      <c r="N7401" s="8"/>
      <c r="O7401" s="33" t="str">
        <f>IFERROR(VLOOKUP($M7401,'Informations sur les produits'!$A$3:$H$10000,8,FALSE),"0")</f>
        <v>0</v>
      </c>
      <c r="P7401" s="33">
        <f t="shared" si="460"/>
        <v>0</v>
      </c>
      <c r="Q7401" s="31" t="str">
        <f t="shared" si="461"/>
        <v/>
      </c>
      <c r="R7401" s="32" t="str">
        <f>IFERROR(VLOOKUP($D7401,'Informations sur les produits'!$A$3:$B$15000,2,FALSE),"")</f>
        <v/>
      </c>
      <c r="V7401">
        <f t="shared" si="462"/>
        <v>0</v>
      </c>
      <c r="W7401">
        <f t="shared" si="463"/>
        <v>0</v>
      </c>
    </row>
    <row r="7402" spans="5:23" x14ac:dyDescent="0.25">
      <c r="E7402" s="4"/>
      <c r="F7402" s="4"/>
      <c r="G7402" s="33" t="str">
        <f>IFERROR(VLOOKUP($D7402,'Informations sur les produits'!$A$3:$H$10000,8,FALSE),"0")</f>
        <v>0</v>
      </c>
      <c r="K7402" s="4"/>
      <c r="L7402" s="33" t="str">
        <f>IFERROR(VLOOKUP($J7402,'Informations sur les produits'!$A$3:$H$10000,8,FALSE),"0")</f>
        <v>0</v>
      </c>
      <c r="N7402" s="8"/>
      <c r="O7402" s="33" t="str">
        <f>IFERROR(VLOOKUP($M7402,'Informations sur les produits'!$A$3:$H$10000,8,FALSE),"0")</f>
        <v>0</v>
      </c>
      <c r="P7402" s="33">
        <f t="shared" si="460"/>
        <v>0</v>
      </c>
      <c r="Q7402" s="31" t="str">
        <f t="shared" si="461"/>
        <v/>
      </c>
      <c r="R7402" s="32" t="str">
        <f>IFERROR(VLOOKUP($D7402,'Informations sur les produits'!$A$3:$B$15000,2,FALSE),"")</f>
        <v/>
      </c>
      <c r="V7402">
        <f t="shared" si="462"/>
        <v>0</v>
      </c>
      <c r="W7402">
        <f t="shared" si="463"/>
        <v>0</v>
      </c>
    </row>
    <row r="7403" spans="5:23" x14ac:dyDescent="0.25">
      <c r="E7403" s="4"/>
      <c r="F7403" s="4"/>
      <c r="G7403" s="33" t="str">
        <f>IFERROR(VLOOKUP($D7403,'Informations sur les produits'!$A$3:$H$10000,8,FALSE),"0")</f>
        <v>0</v>
      </c>
      <c r="K7403" s="4"/>
      <c r="L7403" s="33" t="str">
        <f>IFERROR(VLOOKUP($J7403,'Informations sur les produits'!$A$3:$H$10000,8,FALSE),"0")</f>
        <v>0</v>
      </c>
      <c r="N7403" s="8"/>
      <c r="O7403" s="33" t="str">
        <f>IFERROR(VLOOKUP($M7403,'Informations sur les produits'!$A$3:$H$10000,8,FALSE),"0")</f>
        <v>0</v>
      </c>
      <c r="P7403" s="33">
        <f t="shared" si="460"/>
        <v>0</v>
      </c>
      <c r="Q7403" s="31" t="str">
        <f t="shared" si="461"/>
        <v/>
      </c>
      <c r="R7403" s="32" t="str">
        <f>IFERROR(VLOOKUP($D7403,'Informations sur les produits'!$A$3:$B$15000,2,FALSE),"")</f>
        <v/>
      </c>
      <c r="V7403">
        <f t="shared" si="462"/>
        <v>0</v>
      </c>
      <c r="W7403">
        <f t="shared" si="463"/>
        <v>0</v>
      </c>
    </row>
    <row r="7404" spans="5:23" x14ac:dyDescent="0.25">
      <c r="E7404" s="4"/>
      <c r="F7404" s="4"/>
      <c r="G7404" s="33" t="str">
        <f>IFERROR(VLOOKUP($D7404,'Informations sur les produits'!$A$3:$H$10000,8,FALSE),"0")</f>
        <v>0</v>
      </c>
      <c r="K7404" s="4"/>
      <c r="L7404" s="33" t="str">
        <f>IFERROR(VLOOKUP($J7404,'Informations sur les produits'!$A$3:$H$10000,8,FALSE),"0")</f>
        <v>0</v>
      </c>
      <c r="N7404" s="8"/>
      <c r="O7404" s="33" t="str">
        <f>IFERROR(VLOOKUP($M7404,'Informations sur les produits'!$A$3:$H$10000,8,FALSE),"0")</f>
        <v>0</v>
      </c>
      <c r="P7404" s="33">
        <f t="shared" si="460"/>
        <v>0</v>
      </c>
      <c r="Q7404" s="31" t="str">
        <f t="shared" si="461"/>
        <v/>
      </c>
      <c r="R7404" s="32" t="str">
        <f>IFERROR(VLOOKUP($D7404,'Informations sur les produits'!$A$3:$B$15000,2,FALSE),"")</f>
        <v/>
      </c>
      <c r="V7404">
        <f t="shared" si="462"/>
        <v>0</v>
      </c>
      <c r="W7404">
        <f t="shared" si="463"/>
        <v>0</v>
      </c>
    </row>
    <row r="7405" spans="5:23" x14ac:dyDescent="0.25">
      <c r="E7405" s="4"/>
      <c r="F7405" s="4"/>
      <c r="G7405" s="33" t="str">
        <f>IFERROR(VLOOKUP($D7405,'Informations sur les produits'!$A$3:$H$10000,8,FALSE),"0")</f>
        <v>0</v>
      </c>
      <c r="K7405" s="4"/>
      <c r="L7405" s="33" t="str">
        <f>IFERROR(VLOOKUP($J7405,'Informations sur les produits'!$A$3:$H$10000,8,FALSE),"0")</f>
        <v>0</v>
      </c>
      <c r="N7405" s="8"/>
      <c r="O7405" s="33" t="str">
        <f>IFERROR(VLOOKUP($M7405,'Informations sur les produits'!$A$3:$H$10000,8,FALSE),"0")</f>
        <v>0</v>
      </c>
      <c r="P7405" s="33">
        <f t="shared" si="460"/>
        <v>0</v>
      </c>
      <c r="Q7405" s="31" t="str">
        <f t="shared" si="461"/>
        <v/>
      </c>
      <c r="R7405" s="32" t="str">
        <f>IFERROR(VLOOKUP($D7405,'Informations sur les produits'!$A$3:$B$15000,2,FALSE),"")</f>
        <v/>
      </c>
      <c r="V7405">
        <f t="shared" si="462"/>
        <v>0</v>
      </c>
      <c r="W7405">
        <f t="shared" si="463"/>
        <v>0</v>
      </c>
    </row>
    <row r="7406" spans="5:23" x14ac:dyDescent="0.25">
      <c r="E7406" s="4"/>
      <c r="F7406" s="4"/>
      <c r="G7406" s="33" t="str">
        <f>IFERROR(VLOOKUP($D7406,'Informations sur les produits'!$A$3:$H$10000,8,FALSE),"0")</f>
        <v>0</v>
      </c>
      <c r="K7406" s="4"/>
      <c r="L7406" s="33" t="str">
        <f>IFERROR(VLOOKUP($J7406,'Informations sur les produits'!$A$3:$H$10000,8,FALSE),"0")</f>
        <v>0</v>
      </c>
      <c r="N7406" s="8"/>
      <c r="O7406" s="33" t="str">
        <f>IFERROR(VLOOKUP($M7406,'Informations sur les produits'!$A$3:$H$10000,8,FALSE),"0")</f>
        <v>0</v>
      </c>
      <c r="P7406" s="33">
        <f t="shared" si="460"/>
        <v>0</v>
      </c>
      <c r="Q7406" s="31" t="str">
        <f t="shared" si="461"/>
        <v/>
      </c>
      <c r="R7406" s="32" t="str">
        <f>IFERROR(VLOOKUP($D7406,'Informations sur les produits'!$A$3:$B$15000,2,FALSE),"")</f>
        <v/>
      </c>
      <c r="V7406">
        <f t="shared" si="462"/>
        <v>0</v>
      </c>
      <c r="W7406">
        <f t="shared" si="463"/>
        <v>0</v>
      </c>
    </row>
    <row r="7407" spans="5:23" x14ac:dyDescent="0.25">
      <c r="E7407" s="4"/>
      <c r="F7407" s="4"/>
      <c r="G7407" s="33" t="str">
        <f>IFERROR(VLOOKUP($D7407,'Informations sur les produits'!$A$3:$H$10000,8,FALSE),"0")</f>
        <v>0</v>
      </c>
      <c r="K7407" s="4"/>
      <c r="L7407" s="33" t="str">
        <f>IFERROR(VLOOKUP($J7407,'Informations sur les produits'!$A$3:$H$10000,8,FALSE),"0")</f>
        <v>0</v>
      </c>
      <c r="N7407" s="8"/>
      <c r="O7407" s="33" t="str">
        <f>IFERROR(VLOOKUP($M7407,'Informations sur les produits'!$A$3:$H$10000,8,FALSE),"0")</f>
        <v>0</v>
      </c>
      <c r="P7407" s="33">
        <f t="shared" si="460"/>
        <v>0</v>
      </c>
      <c r="Q7407" s="31" t="str">
        <f t="shared" si="461"/>
        <v/>
      </c>
      <c r="R7407" s="32" t="str">
        <f>IFERROR(VLOOKUP($D7407,'Informations sur les produits'!$A$3:$B$15000,2,FALSE),"")</f>
        <v/>
      </c>
      <c r="V7407">
        <f t="shared" si="462"/>
        <v>0</v>
      </c>
      <c r="W7407">
        <f t="shared" si="463"/>
        <v>0</v>
      </c>
    </row>
    <row r="7408" spans="5:23" x14ac:dyDescent="0.25">
      <c r="E7408" s="4"/>
      <c r="F7408" s="4"/>
      <c r="G7408" s="33" t="str">
        <f>IFERROR(VLOOKUP($D7408,'Informations sur les produits'!$A$3:$H$10000,8,FALSE),"0")</f>
        <v>0</v>
      </c>
      <c r="K7408" s="4"/>
      <c r="L7408" s="33" t="str">
        <f>IFERROR(VLOOKUP($J7408,'Informations sur les produits'!$A$3:$H$10000,8,FALSE),"0")</f>
        <v>0</v>
      </c>
      <c r="N7408" s="8"/>
      <c r="O7408" s="33" t="str">
        <f>IFERROR(VLOOKUP($M7408,'Informations sur les produits'!$A$3:$H$10000,8,FALSE),"0")</f>
        <v>0</v>
      </c>
      <c r="P7408" s="33">
        <f t="shared" si="460"/>
        <v>0</v>
      </c>
      <c r="Q7408" s="31" t="str">
        <f t="shared" si="461"/>
        <v/>
      </c>
      <c r="R7408" s="32" t="str">
        <f>IFERROR(VLOOKUP($D7408,'Informations sur les produits'!$A$3:$B$15000,2,FALSE),"")</f>
        <v/>
      </c>
      <c r="V7408">
        <f t="shared" si="462"/>
        <v>0</v>
      </c>
      <c r="W7408">
        <f t="shared" si="463"/>
        <v>0</v>
      </c>
    </row>
    <row r="7409" spans="5:23" x14ac:dyDescent="0.25">
      <c r="E7409" s="4"/>
      <c r="F7409" s="4"/>
      <c r="G7409" s="33" t="str">
        <f>IFERROR(VLOOKUP($D7409,'Informations sur les produits'!$A$3:$H$10000,8,FALSE),"0")</f>
        <v>0</v>
      </c>
      <c r="K7409" s="4"/>
      <c r="L7409" s="33" t="str">
        <f>IFERROR(VLOOKUP($J7409,'Informations sur les produits'!$A$3:$H$10000,8,FALSE),"0")</f>
        <v>0</v>
      </c>
      <c r="N7409" s="8"/>
      <c r="O7409" s="33" t="str">
        <f>IFERROR(VLOOKUP($M7409,'Informations sur les produits'!$A$3:$H$10000,8,FALSE),"0")</f>
        <v>0</v>
      </c>
      <c r="P7409" s="33">
        <f t="shared" si="460"/>
        <v>0</v>
      </c>
      <c r="Q7409" s="31" t="str">
        <f t="shared" si="461"/>
        <v/>
      </c>
      <c r="R7409" s="32" t="str">
        <f>IFERROR(VLOOKUP($D7409,'Informations sur les produits'!$A$3:$B$15000,2,FALSE),"")</f>
        <v/>
      </c>
      <c r="V7409">
        <f t="shared" si="462"/>
        <v>0</v>
      </c>
      <c r="W7409">
        <f t="shared" si="463"/>
        <v>0</v>
      </c>
    </row>
    <row r="7410" spans="5:23" x14ac:dyDescent="0.25">
      <c r="E7410" s="4"/>
      <c r="F7410" s="4"/>
      <c r="G7410" s="33" t="str">
        <f>IFERROR(VLOOKUP($D7410,'Informations sur les produits'!$A$3:$H$10000,8,FALSE),"0")</f>
        <v>0</v>
      </c>
      <c r="K7410" s="4"/>
      <c r="L7410" s="33" t="str">
        <f>IFERROR(VLOOKUP($J7410,'Informations sur les produits'!$A$3:$H$10000,8,FALSE),"0")</f>
        <v>0</v>
      </c>
      <c r="N7410" s="8"/>
      <c r="O7410" s="33" t="str">
        <f>IFERROR(VLOOKUP($M7410,'Informations sur les produits'!$A$3:$H$10000,8,FALSE),"0")</f>
        <v>0</v>
      </c>
      <c r="P7410" s="33">
        <f t="shared" si="460"/>
        <v>0</v>
      </c>
      <c r="Q7410" s="31" t="str">
        <f t="shared" si="461"/>
        <v/>
      </c>
      <c r="R7410" s="32" t="str">
        <f>IFERROR(VLOOKUP($D7410,'Informations sur les produits'!$A$3:$B$15000,2,FALSE),"")</f>
        <v/>
      </c>
      <c r="V7410">
        <f t="shared" si="462"/>
        <v>0</v>
      </c>
      <c r="W7410">
        <f t="shared" si="463"/>
        <v>0</v>
      </c>
    </row>
    <row r="7411" spans="5:23" x14ac:dyDescent="0.25">
      <c r="E7411" s="4"/>
      <c r="F7411" s="4"/>
      <c r="G7411" s="33" t="str">
        <f>IFERROR(VLOOKUP($D7411,'Informations sur les produits'!$A$3:$H$10000,8,FALSE),"0")</f>
        <v>0</v>
      </c>
      <c r="K7411" s="4"/>
      <c r="L7411" s="33" t="str">
        <f>IFERROR(VLOOKUP($J7411,'Informations sur les produits'!$A$3:$H$10000,8,FALSE),"0")</f>
        <v>0</v>
      </c>
      <c r="N7411" s="8"/>
      <c r="O7411" s="33" t="str">
        <f>IFERROR(VLOOKUP($M7411,'Informations sur les produits'!$A$3:$H$10000,8,FALSE),"0")</f>
        <v>0</v>
      </c>
      <c r="P7411" s="33">
        <f t="shared" si="460"/>
        <v>0</v>
      </c>
      <c r="Q7411" s="31" t="str">
        <f t="shared" si="461"/>
        <v/>
      </c>
      <c r="R7411" s="32" t="str">
        <f>IFERROR(VLOOKUP($D7411,'Informations sur les produits'!$A$3:$B$15000,2,FALSE),"")</f>
        <v/>
      </c>
      <c r="V7411">
        <f t="shared" si="462"/>
        <v>0</v>
      </c>
      <c r="W7411">
        <f t="shared" si="463"/>
        <v>0</v>
      </c>
    </row>
    <row r="7412" spans="5:23" x14ac:dyDescent="0.25">
      <c r="E7412" s="4"/>
      <c r="F7412" s="4"/>
      <c r="G7412" s="33" t="str">
        <f>IFERROR(VLOOKUP($D7412,'Informations sur les produits'!$A$3:$H$10000,8,FALSE),"0")</f>
        <v>0</v>
      </c>
      <c r="K7412" s="4"/>
      <c r="L7412" s="33" t="str">
        <f>IFERROR(VLOOKUP($J7412,'Informations sur les produits'!$A$3:$H$10000,8,FALSE),"0")</f>
        <v>0</v>
      </c>
      <c r="N7412" s="8"/>
      <c r="O7412" s="33" t="str">
        <f>IFERROR(VLOOKUP($M7412,'Informations sur les produits'!$A$3:$H$10000,8,FALSE),"0")</f>
        <v>0</v>
      </c>
      <c r="P7412" s="33">
        <f t="shared" si="460"/>
        <v>0</v>
      </c>
      <c r="Q7412" s="31" t="str">
        <f t="shared" si="461"/>
        <v/>
      </c>
      <c r="R7412" s="32" t="str">
        <f>IFERROR(VLOOKUP($D7412,'Informations sur les produits'!$A$3:$B$15000,2,FALSE),"")</f>
        <v/>
      </c>
      <c r="V7412">
        <f t="shared" si="462"/>
        <v>0</v>
      </c>
      <c r="W7412">
        <f t="shared" si="463"/>
        <v>0</v>
      </c>
    </row>
    <row r="7413" spans="5:23" x14ac:dyDescent="0.25">
      <c r="E7413" s="4"/>
      <c r="F7413" s="4"/>
      <c r="G7413" s="33" t="str">
        <f>IFERROR(VLOOKUP($D7413,'Informations sur les produits'!$A$3:$H$10000,8,FALSE),"0")</f>
        <v>0</v>
      </c>
      <c r="K7413" s="4"/>
      <c r="L7413" s="33" t="str">
        <f>IFERROR(VLOOKUP($J7413,'Informations sur les produits'!$A$3:$H$10000,8,FALSE),"0")</f>
        <v>0</v>
      </c>
      <c r="N7413" s="8"/>
      <c r="O7413" s="33" t="str">
        <f>IFERROR(VLOOKUP($M7413,'Informations sur les produits'!$A$3:$H$10000,8,FALSE),"0")</f>
        <v>0</v>
      </c>
      <c r="P7413" s="33">
        <f t="shared" si="460"/>
        <v>0</v>
      </c>
      <c r="Q7413" s="31" t="str">
        <f t="shared" si="461"/>
        <v/>
      </c>
      <c r="R7413" s="32" t="str">
        <f>IFERROR(VLOOKUP($D7413,'Informations sur les produits'!$A$3:$B$15000,2,FALSE),"")</f>
        <v/>
      </c>
      <c r="V7413">
        <f t="shared" si="462"/>
        <v>0</v>
      </c>
      <c r="W7413">
        <f t="shared" si="463"/>
        <v>0</v>
      </c>
    </row>
    <row r="7414" spans="5:23" x14ac:dyDescent="0.25">
      <c r="E7414" s="4"/>
      <c r="F7414" s="4"/>
      <c r="G7414" s="33" t="str">
        <f>IFERROR(VLOOKUP($D7414,'Informations sur les produits'!$A$3:$H$10000,8,FALSE),"0")</f>
        <v>0</v>
      </c>
      <c r="K7414" s="4"/>
      <c r="L7414" s="33" t="str">
        <f>IFERROR(VLOOKUP($J7414,'Informations sur les produits'!$A$3:$H$10000,8,FALSE),"0")</f>
        <v>0</v>
      </c>
      <c r="N7414" s="8"/>
      <c r="O7414" s="33" t="str">
        <f>IFERROR(VLOOKUP($M7414,'Informations sur les produits'!$A$3:$H$10000,8,FALSE),"0")</f>
        <v>0</v>
      </c>
      <c r="P7414" s="33">
        <f t="shared" si="460"/>
        <v>0</v>
      </c>
      <c r="Q7414" s="31" t="str">
        <f t="shared" si="461"/>
        <v/>
      </c>
      <c r="R7414" s="32" t="str">
        <f>IFERROR(VLOOKUP($D7414,'Informations sur les produits'!$A$3:$B$15000,2,FALSE),"")</f>
        <v/>
      </c>
      <c r="V7414">
        <f t="shared" si="462"/>
        <v>0</v>
      </c>
      <c r="W7414">
        <f t="shared" si="463"/>
        <v>0</v>
      </c>
    </row>
    <row r="7415" spans="5:23" x14ac:dyDescent="0.25">
      <c r="E7415" s="4"/>
      <c r="F7415" s="4"/>
      <c r="G7415" s="33" t="str">
        <f>IFERROR(VLOOKUP($D7415,'Informations sur les produits'!$A$3:$H$10000,8,FALSE),"0")</f>
        <v>0</v>
      </c>
      <c r="K7415" s="4"/>
      <c r="L7415" s="33" t="str">
        <f>IFERROR(VLOOKUP($J7415,'Informations sur les produits'!$A$3:$H$10000,8,FALSE),"0")</f>
        <v>0</v>
      </c>
      <c r="N7415" s="8"/>
      <c r="O7415" s="33" t="str">
        <f>IFERROR(VLOOKUP($M7415,'Informations sur les produits'!$A$3:$H$10000,8,FALSE),"0")</f>
        <v>0</v>
      </c>
      <c r="P7415" s="33">
        <f t="shared" si="460"/>
        <v>0</v>
      </c>
      <c r="Q7415" s="31" t="str">
        <f t="shared" si="461"/>
        <v/>
      </c>
      <c r="R7415" s="32" t="str">
        <f>IFERROR(VLOOKUP($D7415,'Informations sur les produits'!$A$3:$B$15000,2,FALSE),"")</f>
        <v/>
      </c>
      <c r="V7415">
        <f t="shared" si="462"/>
        <v>0</v>
      </c>
      <c r="W7415">
        <f t="shared" si="463"/>
        <v>0</v>
      </c>
    </row>
    <row r="7416" spans="5:23" x14ac:dyDescent="0.25">
      <c r="E7416" s="4"/>
      <c r="F7416" s="4"/>
      <c r="G7416" s="33" t="str">
        <f>IFERROR(VLOOKUP($D7416,'Informations sur les produits'!$A$3:$H$10000,8,FALSE),"0")</f>
        <v>0</v>
      </c>
      <c r="K7416" s="4"/>
      <c r="L7416" s="33" t="str">
        <f>IFERROR(VLOOKUP($J7416,'Informations sur les produits'!$A$3:$H$10000,8,FALSE),"0")</f>
        <v>0</v>
      </c>
      <c r="N7416" s="8"/>
      <c r="O7416" s="33" t="str">
        <f>IFERROR(VLOOKUP($M7416,'Informations sur les produits'!$A$3:$H$10000,8,FALSE),"0")</f>
        <v>0</v>
      </c>
      <c r="P7416" s="33">
        <f t="shared" si="460"/>
        <v>0</v>
      </c>
      <c r="Q7416" s="31" t="str">
        <f t="shared" si="461"/>
        <v/>
      </c>
      <c r="R7416" s="32" t="str">
        <f>IFERROR(VLOOKUP($D7416,'Informations sur les produits'!$A$3:$B$15000,2,FALSE),"")</f>
        <v/>
      </c>
      <c r="V7416">
        <f t="shared" si="462"/>
        <v>0</v>
      </c>
      <c r="W7416">
        <f t="shared" si="463"/>
        <v>0</v>
      </c>
    </row>
    <row r="7417" spans="5:23" x14ac:dyDescent="0.25">
      <c r="E7417" s="4"/>
      <c r="F7417" s="4"/>
      <c r="G7417" s="33" t="str">
        <f>IFERROR(VLOOKUP($D7417,'Informations sur les produits'!$A$3:$H$10000,8,FALSE),"0")</f>
        <v>0</v>
      </c>
      <c r="K7417" s="4"/>
      <c r="L7417" s="33" t="str">
        <f>IFERROR(VLOOKUP($J7417,'Informations sur les produits'!$A$3:$H$10000,8,FALSE),"0")</f>
        <v>0</v>
      </c>
      <c r="N7417" s="8"/>
      <c r="O7417" s="33" t="str">
        <f>IFERROR(VLOOKUP($M7417,'Informations sur les produits'!$A$3:$H$10000,8,FALSE),"0")</f>
        <v>0</v>
      </c>
      <c r="P7417" s="33">
        <f t="shared" si="460"/>
        <v>0</v>
      </c>
      <c r="Q7417" s="31" t="str">
        <f t="shared" si="461"/>
        <v/>
      </c>
      <c r="R7417" s="32" t="str">
        <f>IFERROR(VLOOKUP($D7417,'Informations sur les produits'!$A$3:$B$15000,2,FALSE),"")</f>
        <v/>
      </c>
      <c r="V7417">
        <f t="shared" si="462"/>
        <v>0</v>
      </c>
      <c r="W7417">
        <f t="shared" si="463"/>
        <v>0</v>
      </c>
    </row>
    <row r="7418" spans="5:23" x14ac:dyDescent="0.25">
      <c r="E7418" s="4"/>
      <c r="F7418" s="4"/>
      <c r="G7418" s="33" t="str">
        <f>IFERROR(VLOOKUP($D7418,'Informations sur les produits'!$A$3:$H$10000,8,FALSE),"0")</f>
        <v>0</v>
      </c>
      <c r="K7418" s="4"/>
      <c r="L7418" s="33" t="str">
        <f>IFERROR(VLOOKUP($J7418,'Informations sur les produits'!$A$3:$H$10000,8,FALSE),"0")</f>
        <v>0</v>
      </c>
      <c r="N7418" s="8"/>
      <c r="O7418" s="33" t="str">
        <f>IFERROR(VLOOKUP($M7418,'Informations sur les produits'!$A$3:$H$10000,8,FALSE),"0")</f>
        <v>0</v>
      </c>
      <c r="P7418" s="33">
        <f t="shared" si="460"/>
        <v>0</v>
      </c>
      <c r="Q7418" s="31" t="str">
        <f t="shared" si="461"/>
        <v/>
      </c>
      <c r="R7418" s="32" t="str">
        <f>IFERROR(VLOOKUP($D7418,'Informations sur les produits'!$A$3:$B$15000,2,FALSE),"")</f>
        <v/>
      </c>
      <c r="V7418">
        <f t="shared" si="462"/>
        <v>0</v>
      </c>
      <c r="W7418">
        <f t="shared" si="463"/>
        <v>0</v>
      </c>
    </row>
    <row r="7419" spans="5:23" x14ac:dyDescent="0.25">
      <c r="E7419" s="4"/>
      <c r="F7419" s="4"/>
      <c r="G7419" s="33" t="str">
        <f>IFERROR(VLOOKUP($D7419,'Informations sur les produits'!$A$3:$H$10000,8,FALSE),"0")</f>
        <v>0</v>
      </c>
      <c r="K7419" s="4"/>
      <c r="L7419" s="33" t="str">
        <f>IFERROR(VLOOKUP($J7419,'Informations sur les produits'!$A$3:$H$10000,8,FALSE),"0")</f>
        <v>0</v>
      </c>
      <c r="N7419" s="8"/>
      <c r="O7419" s="33" t="str">
        <f>IFERROR(VLOOKUP($M7419,'Informations sur les produits'!$A$3:$H$10000,8,FALSE),"0")</f>
        <v>0</v>
      </c>
      <c r="P7419" s="33">
        <f t="shared" si="460"/>
        <v>0</v>
      </c>
      <c r="Q7419" s="31" t="str">
        <f t="shared" si="461"/>
        <v/>
      </c>
      <c r="R7419" s="32" t="str">
        <f>IFERROR(VLOOKUP($D7419,'Informations sur les produits'!$A$3:$B$15000,2,FALSE),"")</f>
        <v/>
      </c>
      <c r="V7419">
        <f t="shared" si="462"/>
        <v>0</v>
      </c>
      <c r="W7419">
        <f t="shared" si="463"/>
        <v>0</v>
      </c>
    </row>
    <row r="7420" spans="5:23" x14ac:dyDescent="0.25">
      <c r="E7420" s="4"/>
      <c r="F7420" s="4"/>
      <c r="G7420" s="33" t="str">
        <f>IFERROR(VLOOKUP($D7420,'Informations sur les produits'!$A$3:$H$10000,8,FALSE),"0")</f>
        <v>0</v>
      </c>
      <c r="K7420" s="4"/>
      <c r="L7420" s="33" t="str">
        <f>IFERROR(VLOOKUP($J7420,'Informations sur les produits'!$A$3:$H$10000,8,FALSE),"0")</f>
        <v>0</v>
      </c>
      <c r="N7420" s="8"/>
      <c r="O7420" s="33" t="str">
        <f>IFERROR(VLOOKUP($M7420,'Informations sur les produits'!$A$3:$H$10000,8,FALSE),"0")</f>
        <v>0</v>
      </c>
      <c r="P7420" s="33">
        <f t="shared" si="460"/>
        <v>0</v>
      </c>
      <c r="Q7420" s="31" t="str">
        <f t="shared" si="461"/>
        <v/>
      </c>
      <c r="R7420" s="32" t="str">
        <f>IFERROR(VLOOKUP($D7420,'Informations sur les produits'!$A$3:$B$15000,2,FALSE),"")</f>
        <v/>
      </c>
      <c r="V7420">
        <f t="shared" si="462"/>
        <v>0</v>
      </c>
      <c r="W7420">
        <f t="shared" si="463"/>
        <v>0</v>
      </c>
    </row>
    <row r="7421" spans="5:23" x14ac:dyDescent="0.25">
      <c r="E7421" s="4"/>
      <c r="F7421" s="4"/>
      <c r="G7421" s="33" t="str">
        <f>IFERROR(VLOOKUP($D7421,'Informations sur les produits'!$A$3:$H$10000,8,FALSE),"0")</f>
        <v>0</v>
      </c>
      <c r="K7421" s="4"/>
      <c r="L7421" s="33" t="str">
        <f>IFERROR(VLOOKUP($J7421,'Informations sur les produits'!$A$3:$H$10000,8,FALSE),"0")</f>
        <v>0</v>
      </c>
      <c r="N7421" s="8"/>
      <c r="O7421" s="33" t="str">
        <f>IFERROR(VLOOKUP($M7421,'Informations sur les produits'!$A$3:$H$10000,8,FALSE),"0")</f>
        <v>0</v>
      </c>
      <c r="P7421" s="33">
        <f t="shared" si="460"/>
        <v>0</v>
      </c>
      <c r="Q7421" s="31" t="str">
        <f t="shared" si="461"/>
        <v/>
      </c>
      <c r="R7421" s="32" t="str">
        <f>IFERROR(VLOOKUP($D7421,'Informations sur les produits'!$A$3:$B$15000,2,FALSE),"")</f>
        <v/>
      </c>
      <c r="V7421">
        <f t="shared" si="462"/>
        <v>0</v>
      </c>
      <c r="W7421">
        <f t="shared" si="463"/>
        <v>0</v>
      </c>
    </row>
    <row r="7422" spans="5:23" x14ac:dyDescent="0.25">
      <c r="E7422" s="4"/>
      <c r="F7422" s="4"/>
      <c r="G7422" s="33" t="str">
        <f>IFERROR(VLOOKUP($D7422,'Informations sur les produits'!$A$3:$H$10000,8,FALSE),"0")</f>
        <v>0</v>
      </c>
      <c r="K7422" s="4"/>
      <c r="L7422" s="33" t="str">
        <f>IFERROR(VLOOKUP($J7422,'Informations sur les produits'!$A$3:$H$10000,8,FALSE),"0")</f>
        <v>0</v>
      </c>
      <c r="N7422" s="8"/>
      <c r="O7422" s="33" t="str">
        <f>IFERROR(VLOOKUP($M7422,'Informations sur les produits'!$A$3:$H$10000,8,FALSE),"0")</f>
        <v>0</v>
      </c>
      <c r="P7422" s="33">
        <f t="shared" si="460"/>
        <v>0</v>
      </c>
      <c r="Q7422" s="31" t="str">
        <f t="shared" si="461"/>
        <v/>
      </c>
      <c r="R7422" s="32" t="str">
        <f>IFERROR(VLOOKUP($D7422,'Informations sur les produits'!$A$3:$B$15000,2,FALSE),"")</f>
        <v/>
      </c>
      <c r="V7422">
        <f t="shared" si="462"/>
        <v>0</v>
      </c>
      <c r="W7422">
        <f t="shared" si="463"/>
        <v>0</v>
      </c>
    </row>
    <row r="7423" spans="5:23" x14ac:dyDescent="0.25">
      <c r="E7423" s="4"/>
      <c r="F7423" s="4"/>
      <c r="G7423" s="33" t="str">
        <f>IFERROR(VLOOKUP($D7423,'Informations sur les produits'!$A$3:$H$10000,8,FALSE),"0")</f>
        <v>0</v>
      </c>
      <c r="K7423" s="4"/>
      <c r="L7423" s="33" t="str">
        <f>IFERROR(VLOOKUP($J7423,'Informations sur les produits'!$A$3:$H$10000,8,FALSE),"0")</f>
        <v>0</v>
      </c>
      <c r="N7423" s="8"/>
      <c r="O7423" s="33" t="str">
        <f>IFERROR(VLOOKUP($M7423,'Informations sur les produits'!$A$3:$H$10000,8,FALSE),"0")</f>
        <v>0</v>
      </c>
      <c r="P7423" s="33">
        <f t="shared" si="460"/>
        <v>0</v>
      </c>
      <c r="Q7423" s="31" t="str">
        <f t="shared" si="461"/>
        <v/>
      </c>
      <c r="R7423" s="32" t="str">
        <f>IFERROR(VLOOKUP($D7423,'Informations sur les produits'!$A$3:$B$15000,2,FALSE),"")</f>
        <v/>
      </c>
      <c r="V7423">
        <f t="shared" si="462"/>
        <v>0</v>
      </c>
      <c r="W7423">
        <f t="shared" si="463"/>
        <v>0</v>
      </c>
    </row>
    <row r="7424" spans="5:23" x14ac:dyDescent="0.25">
      <c r="E7424" s="4"/>
      <c r="F7424" s="4"/>
      <c r="G7424" s="33" t="str">
        <f>IFERROR(VLOOKUP($D7424,'Informations sur les produits'!$A$3:$H$10000,8,FALSE),"0")</f>
        <v>0</v>
      </c>
      <c r="K7424" s="4"/>
      <c r="L7424" s="33" t="str">
        <f>IFERROR(VLOOKUP($J7424,'Informations sur les produits'!$A$3:$H$10000,8,FALSE),"0")</f>
        <v>0</v>
      </c>
      <c r="N7424" s="8"/>
      <c r="O7424" s="33" t="str">
        <f>IFERROR(VLOOKUP($M7424,'Informations sur les produits'!$A$3:$H$10000,8,FALSE),"0")</f>
        <v>0</v>
      </c>
      <c r="P7424" s="33">
        <f t="shared" si="460"/>
        <v>0</v>
      </c>
      <c r="Q7424" s="31" t="str">
        <f t="shared" si="461"/>
        <v/>
      </c>
      <c r="R7424" s="32" t="str">
        <f>IFERROR(VLOOKUP($D7424,'Informations sur les produits'!$A$3:$B$15000,2,FALSE),"")</f>
        <v/>
      </c>
      <c r="V7424">
        <f t="shared" si="462"/>
        <v>0</v>
      </c>
      <c r="W7424">
        <f t="shared" si="463"/>
        <v>0</v>
      </c>
    </row>
    <row r="7425" spans="5:23" x14ac:dyDescent="0.25">
      <c r="E7425" s="4"/>
      <c r="F7425" s="4"/>
      <c r="G7425" s="33" t="str">
        <f>IFERROR(VLOOKUP($D7425,'Informations sur les produits'!$A$3:$H$10000,8,FALSE),"0")</f>
        <v>0</v>
      </c>
      <c r="K7425" s="4"/>
      <c r="L7425" s="33" t="str">
        <f>IFERROR(VLOOKUP($J7425,'Informations sur les produits'!$A$3:$H$10000,8,FALSE),"0")</f>
        <v>0</v>
      </c>
      <c r="N7425" s="8"/>
      <c r="O7425" s="33" t="str">
        <f>IFERROR(VLOOKUP($M7425,'Informations sur les produits'!$A$3:$H$10000,8,FALSE),"0")</f>
        <v>0</v>
      </c>
      <c r="P7425" s="33">
        <f t="shared" si="460"/>
        <v>0</v>
      </c>
      <c r="Q7425" s="31" t="str">
        <f t="shared" si="461"/>
        <v/>
      </c>
      <c r="R7425" s="32" t="str">
        <f>IFERROR(VLOOKUP($D7425,'Informations sur les produits'!$A$3:$B$15000,2,FALSE),"")</f>
        <v/>
      </c>
      <c r="V7425">
        <f t="shared" si="462"/>
        <v>0</v>
      </c>
      <c r="W7425">
        <f t="shared" si="463"/>
        <v>0</v>
      </c>
    </row>
    <row r="7426" spans="5:23" x14ac:dyDescent="0.25">
      <c r="E7426" s="4"/>
      <c r="F7426" s="4"/>
      <c r="G7426" s="33" t="str">
        <f>IFERROR(VLOOKUP($D7426,'Informations sur les produits'!$A$3:$H$10000,8,FALSE),"0")</f>
        <v>0</v>
      </c>
      <c r="K7426" s="4"/>
      <c r="L7426" s="33" t="str">
        <f>IFERROR(VLOOKUP($J7426,'Informations sur les produits'!$A$3:$H$10000,8,FALSE),"0")</f>
        <v>0</v>
      </c>
      <c r="N7426" s="8"/>
      <c r="O7426" s="33" t="str">
        <f>IFERROR(VLOOKUP($M7426,'Informations sur les produits'!$A$3:$H$10000,8,FALSE),"0")</f>
        <v>0</v>
      </c>
      <c r="P7426" s="33">
        <f t="shared" si="460"/>
        <v>0</v>
      </c>
      <c r="Q7426" s="31" t="str">
        <f t="shared" si="461"/>
        <v/>
      </c>
      <c r="R7426" s="32" t="str">
        <f>IFERROR(VLOOKUP($D7426,'Informations sur les produits'!$A$3:$B$15000,2,FALSE),"")</f>
        <v/>
      </c>
      <c r="V7426">
        <f t="shared" si="462"/>
        <v>0</v>
      </c>
      <c r="W7426">
        <f t="shared" si="463"/>
        <v>0</v>
      </c>
    </row>
    <row r="7427" spans="5:23" x14ac:dyDescent="0.25">
      <c r="E7427" s="4"/>
      <c r="F7427" s="4"/>
      <c r="G7427" s="33" t="str">
        <f>IFERROR(VLOOKUP($D7427,'Informations sur les produits'!$A$3:$H$10000,8,FALSE),"0")</f>
        <v>0</v>
      </c>
      <c r="K7427" s="4"/>
      <c r="L7427" s="33" t="str">
        <f>IFERROR(VLOOKUP($J7427,'Informations sur les produits'!$A$3:$H$10000,8,FALSE),"0")</f>
        <v>0</v>
      </c>
      <c r="N7427" s="8"/>
      <c r="O7427" s="33" t="str">
        <f>IFERROR(VLOOKUP($M7427,'Informations sur les produits'!$A$3:$H$10000,8,FALSE),"0")</f>
        <v>0</v>
      </c>
      <c r="P7427" s="33">
        <f t="shared" si="460"/>
        <v>0</v>
      </c>
      <c r="Q7427" s="31" t="str">
        <f t="shared" si="461"/>
        <v/>
      </c>
      <c r="R7427" s="32" t="str">
        <f>IFERROR(VLOOKUP($D7427,'Informations sur les produits'!$A$3:$B$15000,2,FALSE),"")</f>
        <v/>
      </c>
      <c r="V7427">
        <f t="shared" si="462"/>
        <v>0</v>
      </c>
      <c r="W7427">
        <f t="shared" si="463"/>
        <v>0</v>
      </c>
    </row>
    <row r="7428" spans="5:23" x14ac:dyDescent="0.25">
      <c r="E7428" s="4"/>
      <c r="F7428" s="4"/>
      <c r="G7428" s="33" t="str">
        <f>IFERROR(VLOOKUP($D7428,'Informations sur les produits'!$A$3:$H$10000,8,FALSE),"0")</f>
        <v>0</v>
      </c>
      <c r="K7428" s="4"/>
      <c r="L7428" s="33" t="str">
        <f>IFERROR(VLOOKUP($J7428,'Informations sur les produits'!$A$3:$H$10000,8,FALSE),"0")</f>
        <v>0</v>
      </c>
      <c r="N7428" s="8"/>
      <c r="O7428" s="33" t="str">
        <f>IFERROR(VLOOKUP($M7428,'Informations sur les produits'!$A$3:$H$10000,8,FALSE),"0")</f>
        <v>0</v>
      </c>
      <c r="P7428" s="33">
        <f t="shared" ref="P7428:P7491" si="464">IFERROR((($E7428-$F7428)*$G7428+$K7428*$L7428+$N7428*$O7428),"")</f>
        <v>0</v>
      </c>
      <c r="Q7428" s="31" t="str">
        <f t="shared" ref="Q7428:Q7491" si="465">IFERROR((((($E7428-$F7428)*$G7428+$K7428*$L7428+$N7428*$O7428)*1000)/(($E7428-$F7428)+$K7428+$N7428)),"")</f>
        <v/>
      </c>
      <c r="R7428" s="32" t="str">
        <f>IFERROR(VLOOKUP($D7428,'Informations sur les produits'!$A$3:$B$15000,2,FALSE),"")</f>
        <v/>
      </c>
      <c r="V7428">
        <f t="shared" ref="V7428:V7491" si="466">IFERROR(P7428*1000,"")</f>
        <v>0</v>
      </c>
      <c r="W7428">
        <f t="shared" ref="W7428:W7491" si="467">IFERROR(($E7428-$F7428)+$K7428+$N7428,"")</f>
        <v>0</v>
      </c>
    </row>
    <row r="7429" spans="5:23" x14ac:dyDescent="0.25">
      <c r="E7429" s="4"/>
      <c r="F7429" s="4"/>
      <c r="G7429" s="33" t="str">
        <f>IFERROR(VLOOKUP($D7429,'Informations sur les produits'!$A$3:$H$10000,8,FALSE),"0")</f>
        <v>0</v>
      </c>
      <c r="K7429" s="4"/>
      <c r="L7429" s="33" t="str">
        <f>IFERROR(VLOOKUP($J7429,'Informations sur les produits'!$A$3:$H$10000,8,FALSE),"0")</f>
        <v>0</v>
      </c>
      <c r="N7429" s="8"/>
      <c r="O7429" s="33" t="str">
        <f>IFERROR(VLOOKUP($M7429,'Informations sur les produits'!$A$3:$H$10000,8,FALSE),"0")</f>
        <v>0</v>
      </c>
      <c r="P7429" s="33">
        <f t="shared" si="464"/>
        <v>0</v>
      </c>
      <c r="Q7429" s="31" t="str">
        <f t="shared" si="465"/>
        <v/>
      </c>
      <c r="R7429" s="32" t="str">
        <f>IFERROR(VLOOKUP($D7429,'Informations sur les produits'!$A$3:$B$15000,2,FALSE),"")</f>
        <v/>
      </c>
      <c r="V7429">
        <f t="shared" si="466"/>
        <v>0</v>
      </c>
      <c r="W7429">
        <f t="shared" si="467"/>
        <v>0</v>
      </c>
    </row>
    <row r="7430" spans="5:23" x14ac:dyDescent="0.25">
      <c r="E7430" s="4"/>
      <c r="F7430" s="4"/>
      <c r="G7430" s="33" t="str">
        <f>IFERROR(VLOOKUP($D7430,'Informations sur les produits'!$A$3:$H$10000,8,FALSE),"0")</f>
        <v>0</v>
      </c>
      <c r="K7430" s="4"/>
      <c r="L7430" s="33" t="str">
        <f>IFERROR(VLOOKUP($J7430,'Informations sur les produits'!$A$3:$H$10000,8,FALSE),"0")</f>
        <v>0</v>
      </c>
      <c r="N7430" s="8"/>
      <c r="O7430" s="33" t="str">
        <f>IFERROR(VLOOKUP($M7430,'Informations sur les produits'!$A$3:$H$10000,8,FALSE),"0")</f>
        <v>0</v>
      </c>
      <c r="P7430" s="33">
        <f t="shared" si="464"/>
        <v>0</v>
      </c>
      <c r="Q7430" s="31" t="str">
        <f t="shared" si="465"/>
        <v/>
      </c>
      <c r="R7430" s="32" t="str">
        <f>IFERROR(VLOOKUP($D7430,'Informations sur les produits'!$A$3:$B$15000,2,FALSE),"")</f>
        <v/>
      </c>
      <c r="V7430">
        <f t="shared" si="466"/>
        <v>0</v>
      </c>
      <c r="W7430">
        <f t="shared" si="467"/>
        <v>0</v>
      </c>
    </row>
    <row r="7431" spans="5:23" x14ac:dyDescent="0.25">
      <c r="E7431" s="4"/>
      <c r="F7431" s="4"/>
      <c r="G7431" s="33" t="str">
        <f>IFERROR(VLOOKUP($D7431,'Informations sur les produits'!$A$3:$H$10000,8,FALSE),"0")</f>
        <v>0</v>
      </c>
      <c r="K7431" s="4"/>
      <c r="L7431" s="33" t="str">
        <f>IFERROR(VLOOKUP($J7431,'Informations sur les produits'!$A$3:$H$10000,8,FALSE),"0")</f>
        <v>0</v>
      </c>
      <c r="N7431" s="8"/>
      <c r="O7431" s="33" t="str">
        <f>IFERROR(VLOOKUP($M7431,'Informations sur les produits'!$A$3:$H$10000,8,FALSE),"0")</f>
        <v>0</v>
      </c>
      <c r="P7431" s="33">
        <f t="shared" si="464"/>
        <v>0</v>
      </c>
      <c r="Q7431" s="31" t="str">
        <f t="shared" si="465"/>
        <v/>
      </c>
      <c r="R7431" s="32" t="str">
        <f>IFERROR(VLOOKUP($D7431,'Informations sur les produits'!$A$3:$B$15000,2,FALSE),"")</f>
        <v/>
      </c>
      <c r="V7431">
        <f t="shared" si="466"/>
        <v>0</v>
      </c>
      <c r="W7431">
        <f t="shared" si="467"/>
        <v>0</v>
      </c>
    </row>
    <row r="7432" spans="5:23" x14ac:dyDescent="0.25">
      <c r="E7432" s="4"/>
      <c r="F7432" s="4"/>
      <c r="G7432" s="33" t="str">
        <f>IFERROR(VLOOKUP($D7432,'Informations sur les produits'!$A$3:$H$10000,8,FALSE),"0")</f>
        <v>0</v>
      </c>
      <c r="K7432" s="4"/>
      <c r="L7432" s="33" t="str">
        <f>IFERROR(VLOOKUP($J7432,'Informations sur les produits'!$A$3:$H$10000,8,FALSE),"0")</f>
        <v>0</v>
      </c>
      <c r="N7432" s="8"/>
      <c r="O7432" s="33" t="str">
        <f>IFERROR(VLOOKUP($M7432,'Informations sur les produits'!$A$3:$H$10000,8,FALSE),"0")</f>
        <v>0</v>
      </c>
      <c r="P7432" s="33">
        <f t="shared" si="464"/>
        <v>0</v>
      </c>
      <c r="Q7432" s="31" t="str">
        <f t="shared" si="465"/>
        <v/>
      </c>
      <c r="R7432" s="32" t="str">
        <f>IFERROR(VLOOKUP($D7432,'Informations sur les produits'!$A$3:$B$15000,2,FALSE),"")</f>
        <v/>
      </c>
      <c r="V7432">
        <f t="shared" si="466"/>
        <v>0</v>
      </c>
      <c r="W7432">
        <f t="shared" si="467"/>
        <v>0</v>
      </c>
    </row>
    <row r="7433" spans="5:23" x14ac:dyDescent="0.25">
      <c r="E7433" s="4"/>
      <c r="F7433" s="4"/>
      <c r="G7433" s="33" t="str">
        <f>IFERROR(VLOOKUP($D7433,'Informations sur les produits'!$A$3:$H$10000,8,FALSE),"0")</f>
        <v>0</v>
      </c>
      <c r="K7433" s="4"/>
      <c r="L7433" s="33" t="str">
        <f>IFERROR(VLOOKUP($J7433,'Informations sur les produits'!$A$3:$H$10000,8,FALSE),"0")</f>
        <v>0</v>
      </c>
      <c r="N7433" s="8"/>
      <c r="O7433" s="33" t="str">
        <f>IFERROR(VLOOKUP($M7433,'Informations sur les produits'!$A$3:$H$10000,8,FALSE),"0")</f>
        <v>0</v>
      </c>
      <c r="P7433" s="33">
        <f t="shared" si="464"/>
        <v>0</v>
      </c>
      <c r="Q7433" s="31" t="str">
        <f t="shared" si="465"/>
        <v/>
      </c>
      <c r="R7433" s="32" t="str">
        <f>IFERROR(VLOOKUP($D7433,'Informations sur les produits'!$A$3:$B$15000,2,FALSE),"")</f>
        <v/>
      </c>
      <c r="V7433">
        <f t="shared" si="466"/>
        <v>0</v>
      </c>
      <c r="W7433">
        <f t="shared" si="467"/>
        <v>0</v>
      </c>
    </row>
    <row r="7434" spans="5:23" x14ac:dyDescent="0.25">
      <c r="E7434" s="4"/>
      <c r="F7434" s="4"/>
      <c r="G7434" s="33" t="str">
        <f>IFERROR(VLOOKUP($D7434,'Informations sur les produits'!$A$3:$H$10000,8,FALSE),"0")</f>
        <v>0</v>
      </c>
      <c r="K7434" s="4"/>
      <c r="L7434" s="33" t="str">
        <f>IFERROR(VLOOKUP($J7434,'Informations sur les produits'!$A$3:$H$10000,8,FALSE),"0")</f>
        <v>0</v>
      </c>
      <c r="N7434" s="8"/>
      <c r="O7434" s="33" t="str">
        <f>IFERROR(VLOOKUP($M7434,'Informations sur les produits'!$A$3:$H$10000,8,FALSE),"0")</f>
        <v>0</v>
      </c>
      <c r="P7434" s="33">
        <f t="shared" si="464"/>
        <v>0</v>
      </c>
      <c r="Q7434" s="31" t="str">
        <f t="shared" si="465"/>
        <v/>
      </c>
      <c r="R7434" s="32" t="str">
        <f>IFERROR(VLOOKUP($D7434,'Informations sur les produits'!$A$3:$B$15000,2,FALSE),"")</f>
        <v/>
      </c>
      <c r="V7434">
        <f t="shared" si="466"/>
        <v>0</v>
      </c>
      <c r="W7434">
        <f t="shared" si="467"/>
        <v>0</v>
      </c>
    </row>
    <row r="7435" spans="5:23" x14ac:dyDescent="0.25">
      <c r="E7435" s="4"/>
      <c r="F7435" s="4"/>
      <c r="G7435" s="33" t="str">
        <f>IFERROR(VLOOKUP($D7435,'Informations sur les produits'!$A$3:$H$10000,8,FALSE),"0")</f>
        <v>0</v>
      </c>
      <c r="K7435" s="4"/>
      <c r="L7435" s="33" t="str">
        <f>IFERROR(VLOOKUP($J7435,'Informations sur les produits'!$A$3:$H$10000,8,FALSE),"0")</f>
        <v>0</v>
      </c>
      <c r="N7435" s="8"/>
      <c r="O7435" s="33" t="str">
        <f>IFERROR(VLOOKUP($M7435,'Informations sur les produits'!$A$3:$H$10000,8,FALSE),"0")</f>
        <v>0</v>
      </c>
      <c r="P7435" s="33">
        <f t="shared" si="464"/>
        <v>0</v>
      </c>
      <c r="Q7435" s="31" t="str">
        <f t="shared" si="465"/>
        <v/>
      </c>
      <c r="R7435" s="32" t="str">
        <f>IFERROR(VLOOKUP($D7435,'Informations sur les produits'!$A$3:$B$15000,2,FALSE),"")</f>
        <v/>
      </c>
      <c r="V7435">
        <f t="shared" si="466"/>
        <v>0</v>
      </c>
      <c r="W7435">
        <f t="shared" si="467"/>
        <v>0</v>
      </c>
    </row>
    <row r="7436" spans="5:23" x14ac:dyDescent="0.25">
      <c r="E7436" s="4"/>
      <c r="F7436" s="4"/>
      <c r="G7436" s="33" t="str">
        <f>IFERROR(VLOOKUP($D7436,'Informations sur les produits'!$A$3:$H$10000,8,FALSE),"0")</f>
        <v>0</v>
      </c>
      <c r="K7436" s="4"/>
      <c r="L7436" s="33" t="str">
        <f>IFERROR(VLOOKUP($J7436,'Informations sur les produits'!$A$3:$H$10000,8,FALSE),"0")</f>
        <v>0</v>
      </c>
      <c r="N7436" s="8"/>
      <c r="O7436" s="33" t="str">
        <f>IFERROR(VLOOKUP($M7436,'Informations sur les produits'!$A$3:$H$10000,8,FALSE),"0")</f>
        <v>0</v>
      </c>
      <c r="P7436" s="33">
        <f t="shared" si="464"/>
        <v>0</v>
      </c>
      <c r="Q7436" s="31" t="str">
        <f t="shared" si="465"/>
        <v/>
      </c>
      <c r="R7436" s="32" t="str">
        <f>IFERROR(VLOOKUP($D7436,'Informations sur les produits'!$A$3:$B$15000,2,FALSE),"")</f>
        <v/>
      </c>
      <c r="V7436">
        <f t="shared" si="466"/>
        <v>0</v>
      </c>
      <c r="W7436">
        <f t="shared" si="467"/>
        <v>0</v>
      </c>
    </row>
    <row r="7437" spans="5:23" x14ac:dyDescent="0.25">
      <c r="E7437" s="4"/>
      <c r="F7437" s="4"/>
      <c r="G7437" s="33" t="str">
        <f>IFERROR(VLOOKUP($D7437,'Informations sur les produits'!$A$3:$H$10000,8,FALSE),"0")</f>
        <v>0</v>
      </c>
      <c r="K7437" s="4"/>
      <c r="L7437" s="33" t="str">
        <f>IFERROR(VLOOKUP($J7437,'Informations sur les produits'!$A$3:$H$10000,8,FALSE),"0")</f>
        <v>0</v>
      </c>
      <c r="N7437" s="8"/>
      <c r="O7437" s="33" t="str">
        <f>IFERROR(VLOOKUP($M7437,'Informations sur les produits'!$A$3:$H$10000,8,FALSE),"0")</f>
        <v>0</v>
      </c>
      <c r="P7437" s="33">
        <f t="shared" si="464"/>
        <v>0</v>
      </c>
      <c r="Q7437" s="31" t="str">
        <f t="shared" si="465"/>
        <v/>
      </c>
      <c r="R7437" s="32" t="str">
        <f>IFERROR(VLOOKUP($D7437,'Informations sur les produits'!$A$3:$B$15000,2,FALSE),"")</f>
        <v/>
      </c>
      <c r="V7437">
        <f t="shared" si="466"/>
        <v>0</v>
      </c>
      <c r="W7437">
        <f t="shared" si="467"/>
        <v>0</v>
      </c>
    </row>
    <row r="7438" spans="5:23" x14ac:dyDescent="0.25">
      <c r="E7438" s="4"/>
      <c r="F7438" s="4"/>
      <c r="G7438" s="33" t="str">
        <f>IFERROR(VLOOKUP($D7438,'Informations sur les produits'!$A$3:$H$10000,8,FALSE),"0")</f>
        <v>0</v>
      </c>
      <c r="K7438" s="4"/>
      <c r="L7438" s="33" t="str">
        <f>IFERROR(VLOOKUP($J7438,'Informations sur les produits'!$A$3:$H$10000,8,FALSE),"0")</f>
        <v>0</v>
      </c>
      <c r="N7438" s="8"/>
      <c r="O7438" s="33" t="str">
        <f>IFERROR(VLOOKUP($M7438,'Informations sur les produits'!$A$3:$H$10000,8,FALSE),"0")</f>
        <v>0</v>
      </c>
      <c r="P7438" s="33">
        <f t="shared" si="464"/>
        <v>0</v>
      </c>
      <c r="Q7438" s="31" t="str">
        <f t="shared" si="465"/>
        <v/>
      </c>
      <c r="R7438" s="32" t="str">
        <f>IFERROR(VLOOKUP($D7438,'Informations sur les produits'!$A$3:$B$15000,2,FALSE),"")</f>
        <v/>
      </c>
      <c r="V7438">
        <f t="shared" si="466"/>
        <v>0</v>
      </c>
      <c r="W7438">
        <f t="shared" si="467"/>
        <v>0</v>
      </c>
    </row>
    <row r="7439" spans="5:23" x14ac:dyDescent="0.25">
      <c r="E7439" s="4"/>
      <c r="F7439" s="4"/>
      <c r="G7439" s="33" t="str">
        <f>IFERROR(VLOOKUP($D7439,'Informations sur les produits'!$A$3:$H$10000,8,FALSE),"0")</f>
        <v>0</v>
      </c>
      <c r="K7439" s="4"/>
      <c r="L7439" s="33" t="str">
        <f>IFERROR(VLOOKUP($J7439,'Informations sur les produits'!$A$3:$H$10000,8,FALSE),"0")</f>
        <v>0</v>
      </c>
      <c r="N7439" s="8"/>
      <c r="O7439" s="33" t="str">
        <f>IFERROR(VLOOKUP($M7439,'Informations sur les produits'!$A$3:$H$10000,8,FALSE),"0")</f>
        <v>0</v>
      </c>
      <c r="P7439" s="33">
        <f t="shared" si="464"/>
        <v>0</v>
      </c>
      <c r="Q7439" s="31" t="str">
        <f t="shared" si="465"/>
        <v/>
      </c>
      <c r="R7439" s="32" t="str">
        <f>IFERROR(VLOOKUP($D7439,'Informations sur les produits'!$A$3:$B$15000,2,FALSE),"")</f>
        <v/>
      </c>
      <c r="V7439">
        <f t="shared" si="466"/>
        <v>0</v>
      </c>
      <c r="W7439">
        <f t="shared" si="467"/>
        <v>0</v>
      </c>
    </row>
    <row r="7440" spans="5:23" x14ac:dyDescent="0.25">
      <c r="E7440" s="4"/>
      <c r="F7440" s="4"/>
      <c r="G7440" s="33" t="str">
        <f>IFERROR(VLOOKUP($D7440,'Informations sur les produits'!$A$3:$H$10000,8,FALSE),"0")</f>
        <v>0</v>
      </c>
      <c r="K7440" s="4"/>
      <c r="L7440" s="33" t="str">
        <f>IFERROR(VLOOKUP($J7440,'Informations sur les produits'!$A$3:$H$10000,8,FALSE),"0")</f>
        <v>0</v>
      </c>
      <c r="N7440" s="8"/>
      <c r="O7440" s="33" t="str">
        <f>IFERROR(VLOOKUP($M7440,'Informations sur les produits'!$A$3:$H$10000,8,FALSE),"0")</f>
        <v>0</v>
      </c>
      <c r="P7440" s="33">
        <f t="shared" si="464"/>
        <v>0</v>
      </c>
      <c r="Q7440" s="31" t="str">
        <f t="shared" si="465"/>
        <v/>
      </c>
      <c r="R7440" s="32" t="str">
        <f>IFERROR(VLOOKUP($D7440,'Informations sur les produits'!$A$3:$B$15000,2,FALSE),"")</f>
        <v/>
      </c>
      <c r="V7440">
        <f t="shared" si="466"/>
        <v>0</v>
      </c>
      <c r="W7440">
        <f t="shared" si="467"/>
        <v>0</v>
      </c>
    </row>
    <row r="7441" spans="5:23" x14ac:dyDescent="0.25">
      <c r="E7441" s="4"/>
      <c r="F7441" s="4"/>
      <c r="G7441" s="33" t="str">
        <f>IFERROR(VLOOKUP($D7441,'Informations sur les produits'!$A$3:$H$10000,8,FALSE),"0")</f>
        <v>0</v>
      </c>
      <c r="K7441" s="4"/>
      <c r="L7441" s="33" t="str">
        <f>IFERROR(VLOOKUP($J7441,'Informations sur les produits'!$A$3:$H$10000,8,FALSE),"0")</f>
        <v>0</v>
      </c>
      <c r="N7441" s="8"/>
      <c r="O7441" s="33" t="str">
        <f>IFERROR(VLOOKUP($M7441,'Informations sur les produits'!$A$3:$H$10000,8,FALSE),"0")</f>
        <v>0</v>
      </c>
      <c r="P7441" s="33">
        <f t="shared" si="464"/>
        <v>0</v>
      </c>
      <c r="Q7441" s="31" t="str">
        <f t="shared" si="465"/>
        <v/>
      </c>
      <c r="R7441" s="32" t="str">
        <f>IFERROR(VLOOKUP($D7441,'Informations sur les produits'!$A$3:$B$15000,2,FALSE),"")</f>
        <v/>
      </c>
      <c r="V7441">
        <f t="shared" si="466"/>
        <v>0</v>
      </c>
      <c r="W7441">
        <f t="shared" si="467"/>
        <v>0</v>
      </c>
    </row>
    <row r="7442" spans="5:23" x14ac:dyDescent="0.25">
      <c r="E7442" s="4"/>
      <c r="F7442" s="4"/>
      <c r="G7442" s="33" t="str">
        <f>IFERROR(VLOOKUP($D7442,'Informations sur les produits'!$A$3:$H$10000,8,FALSE),"0")</f>
        <v>0</v>
      </c>
      <c r="K7442" s="4"/>
      <c r="L7442" s="33" t="str">
        <f>IFERROR(VLOOKUP($J7442,'Informations sur les produits'!$A$3:$H$10000,8,FALSE),"0")</f>
        <v>0</v>
      </c>
      <c r="N7442" s="8"/>
      <c r="O7442" s="33" t="str">
        <f>IFERROR(VLOOKUP($M7442,'Informations sur les produits'!$A$3:$H$10000,8,FALSE),"0")</f>
        <v>0</v>
      </c>
      <c r="P7442" s="33">
        <f t="shared" si="464"/>
        <v>0</v>
      </c>
      <c r="Q7442" s="31" t="str">
        <f t="shared" si="465"/>
        <v/>
      </c>
      <c r="R7442" s="32" t="str">
        <f>IFERROR(VLOOKUP($D7442,'Informations sur les produits'!$A$3:$B$15000,2,FALSE),"")</f>
        <v/>
      </c>
      <c r="V7442">
        <f t="shared" si="466"/>
        <v>0</v>
      </c>
      <c r="W7442">
        <f t="shared" si="467"/>
        <v>0</v>
      </c>
    </row>
    <row r="7443" spans="5:23" x14ac:dyDescent="0.25">
      <c r="E7443" s="4"/>
      <c r="F7443" s="4"/>
      <c r="G7443" s="33" t="str">
        <f>IFERROR(VLOOKUP($D7443,'Informations sur les produits'!$A$3:$H$10000,8,FALSE),"0")</f>
        <v>0</v>
      </c>
      <c r="K7443" s="4"/>
      <c r="L7443" s="33" t="str">
        <f>IFERROR(VLOOKUP($J7443,'Informations sur les produits'!$A$3:$H$10000,8,FALSE),"0")</f>
        <v>0</v>
      </c>
      <c r="N7443" s="8"/>
      <c r="O7443" s="33" t="str">
        <f>IFERROR(VLOOKUP($M7443,'Informations sur les produits'!$A$3:$H$10000,8,FALSE),"0")</f>
        <v>0</v>
      </c>
      <c r="P7443" s="33">
        <f t="shared" si="464"/>
        <v>0</v>
      </c>
      <c r="Q7443" s="31" t="str">
        <f t="shared" si="465"/>
        <v/>
      </c>
      <c r="R7443" s="32" t="str">
        <f>IFERROR(VLOOKUP($D7443,'Informations sur les produits'!$A$3:$B$15000,2,FALSE),"")</f>
        <v/>
      </c>
      <c r="V7443">
        <f t="shared" si="466"/>
        <v>0</v>
      </c>
      <c r="W7443">
        <f t="shared" si="467"/>
        <v>0</v>
      </c>
    </row>
    <row r="7444" spans="5:23" x14ac:dyDescent="0.25">
      <c r="E7444" s="4"/>
      <c r="F7444" s="4"/>
      <c r="G7444" s="33" t="str">
        <f>IFERROR(VLOOKUP($D7444,'Informations sur les produits'!$A$3:$H$10000,8,FALSE),"0")</f>
        <v>0</v>
      </c>
      <c r="K7444" s="4"/>
      <c r="L7444" s="33" t="str">
        <f>IFERROR(VLOOKUP($J7444,'Informations sur les produits'!$A$3:$H$10000,8,FALSE),"0")</f>
        <v>0</v>
      </c>
      <c r="N7444" s="8"/>
      <c r="O7444" s="33" t="str">
        <f>IFERROR(VLOOKUP($M7444,'Informations sur les produits'!$A$3:$H$10000,8,FALSE),"0")</f>
        <v>0</v>
      </c>
      <c r="P7444" s="33">
        <f t="shared" si="464"/>
        <v>0</v>
      </c>
      <c r="Q7444" s="31" t="str">
        <f t="shared" si="465"/>
        <v/>
      </c>
      <c r="R7444" s="32" t="str">
        <f>IFERROR(VLOOKUP($D7444,'Informations sur les produits'!$A$3:$B$15000,2,FALSE),"")</f>
        <v/>
      </c>
      <c r="V7444">
        <f t="shared" si="466"/>
        <v>0</v>
      </c>
      <c r="W7444">
        <f t="shared" si="467"/>
        <v>0</v>
      </c>
    </row>
    <row r="7445" spans="5:23" x14ac:dyDescent="0.25">
      <c r="E7445" s="4"/>
      <c r="F7445" s="4"/>
      <c r="G7445" s="33" t="str">
        <f>IFERROR(VLOOKUP($D7445,'Informations sur les produits'!$A$3:$H$10000,8,FALSE),"0")</f>
        <v>0</v>
      </c>
      <c r="K7445" s="4"/>
      <c r="L7445" s="33" t="str">
        <f>IFERROR(VLOOKUP($J7445,'Informations sur les produits'!$A$3:$H$10000,8,FALSE),"0")</f>
        <v>0</v>
      </c>
      <c r="N7445" s="8"/>
      <c r="O7445" s="33" t="str">
        <f>IFERROR(VLOOKUP($M7445,'Informations sur les produits'!$A$3:$H$10000,8,FALSE),"0")</f>
        <v>0</v>
      </c>
      <c r="P7445" s="33">
        <f t="shared" si="464"/>
        <v>0</v>
      </c>
      <c r="Q7445" s="31" t="str">
        <f t="shared" si="465"/>
        <v/>
      </c>
      <c r="R7445" s="32" t="str">
        <f>IFERROR(VLOOKUP($D7445,'Informations sur les produits'!$A$3:$B$15000,2,FALSE),"")</f>
        <v/>
      </c>
      <c r="V7445">
        <f t="shared" si="466"/>
        <v>0</v>
      </c>
      <c r="W7445">
        <f t="shared" si="467"/>
        <v>0</v>
      </c>
    </row>
    <row r="7446" spans="5:23" x14ac:dyDescent="0.25">
      <c r="E7446" s="4"/>
      <c r="F7446" s="4"/>
      <c r="G7446" s="33" t="str">
        <f>IFERROR(VLOOKUP($D7446,'Informations sur les produits'!$A$3:$H$10000,8,FALSE),"0")</f>
        <v>0</v>
      </c>
      <c r="K7446" s="4"/>
      <c r="L7446" s="33" t="str">
        <f>IFERROR(VLOOKUP($J7446,'Informations sur les produits'!$A$3:$H$10000,8,FALSE),"0")</f>
        <v>0</v>
      </c>
      <c r="N7446" s="8"/>
      <c r="O7446" s="33" t="str">
        <f>IFERROR(VLOOKUP($M7446,'Informations sur les produits'!$A$3:$H$10000,8,FALSE),"0")</f>
        <v>0</v>
      </c>
      <c r="P7446" s="33">
        <f t="shared" si="464"/>
        <v>0</v>
      </c>
      <c r="Q7446" s="31" t="str">
        <f t="shared" si="465"/>
        <v/>
      </c>
      <c r="R7446" s="32" t="str">
        <f>IFERROR(VLOOKUP($D7446,'Informations sur les produits'!$A$3:$B$15000,2,FALSE),"")</f>
        <v/>
      </c>
      <c r="V7446">
        <f t="shared" si="466"/>
        <v>0</v>
      </c>
      <c r="W7446">
        <f t="shared" si="467"/>
        <v>0</v>
      </c>
    </row>
    <row r="7447" spans="5:23" x14ac:dyDescent="0.25">
      <c r="E7447" s="4"/>
      <c r="F7447" s="4"/>
      <c r="G7447" s="33" t="str">
        <f>IFERROR(VLOOKUP($D7447,'Informations sur les produits'!$A$3:$H$10000,8,FALSE),"0")</f>
        <v>0</v>
      </c>
      <c r="K7447" s="4"/>
      <c r="L7447" s="33" t="str">
        <f>IFERROR(VLOOKUP($J7447,'Informations sur les produits'!$A$3:$H$10000,8,FALSE),"0")</f>
        <v>0</v>
      </c>
      <c r="N7447" s="8"/>
      <c r="O7447" s="33" t="str">
        <f>IFERROR(VLOOKUP($M7447,'Informations sur les produits'!$A$3:$H$10000,8,FALSE),"0")</f>
        <v>0</v>
      </c>
      <c r="P7447" s="33">
        <f t="shared" si="464"/>
        <v>0</v>
      </c>
      <c r="Q7447" s="31" t="str">
        <f t="shared" si="465"/>
        <v/>
      </c>
      <c r="R7447" s="32" t="str">
        <f>IFERROR(VLOOKUP($D7447,'Informations sur les produits'!$A$3:$B$15000,2,FALSE),"")</f>
        <v/>
      </c>
      <c r="V7447">
        <f t="shared" si="466"/>
        <v>0</v>
      </c>
      <c r="W7447">
        <f t="shared" si="467"/>
        <v>0</v>
      </c>
    </row>
    <row r="7448" spans="5:23" x14ac:dyDescent="0.25">
      <c r="E7448" s="4"/>
      <c r="F7448" s="4"/>
      <c r="G7448" s="33" t="str">
        <f>IFERROR(VLOOKUP($D7448,'Informations sur les produits'!$A$3:$H$10000,8,FALSE),"0")</f>
        <v>0</v>
      </c>
      <c r="K7448" s="4"/>
      <c r="L7448" s="33" t="str">
        <f>IFERROR(VLOOKUP($J7448,'Informations sur les produits'!$A$3:$H$10000,8,FALSE),"0")</f>
        <v>0</v>
      </c>
      <c r="N7448" s="8"/>
      <c r="O7448" s="33" t="str">
        <f>IFERROR(VLOOKUP($M7448,'Informations sur les produits'!$A$3:$H$10000,8,FALSE),"0")</f>
        <v>0</v>
      </c>
      <c r="P7448" s="33">
        <f t="shared" si="464"/>
        <v>0</v>
      </c>
      <c r="Q7448" s="31" t="str">
        <f t="shared" si="465"/>
        <v/>
      </c>
      <c r="R7448" s="32" t="str">
        <f>IFERROR(VLOOKUP($D7448,'Informations sur les produits'!$A$3:$B$15000,2,FALSE),"")</f>
        <v/>
      </c>
      <c r="V7448">
        <f t="shared" si="466"/>
        <v>0</v>
      </c>
      <c r="W7448">
        <f t="shared" si="467"/>
        <v>0</v>
      </c>
    </row>
    <row r="7449" spans="5:23" x14ac:dyDescent="0.25">
      <c r="E7449" s="4"/>
      <c r="F7449" s="4"/>
      <c r="G7449" s="33" t="str">
        <f>IFERROR(VLOOKUP($D7449,'Informations sur les produits'!$A$3:$H$10000,8,FALSE),"0")</f>
        <v>0</v>
      </c>
      <c r="K7449" s="4"/>
      <c r="L7449" s="33" t="str">
        <f>IFERROR(VLOOKUP($J7449,'Informations sur les produits'!$A$3:$H$10000,8,FALSE),"0")</f>
        <v>0</v>
      </c>
      <c r="N7449" s="8"/>
      <c r="O7449" s="33" t="str">
        <f>IFERROR(VLOOKUP($M7449,'Informations sur les produits'!$A$3:$H$10000,8,FALSE),"0")</f>
        <v>0</v>
      </c>
      <c r="P7449" s="33">
        <f t="shared" si="464"/>
        <v>0</v>
      </c>
      <c r="Q7449" s="31" t="str">
        <f t="shared" si="465"/>
        <v/>
      </c>
      <c r="R7449" s="32" t="str">
        <f>IFERROR(VLOOKUP($D7449,'Informations sur les produits'!$A$3:$B$15000,2,FALSE),"")</f>
        <v/>
      </c>
      <c r="V7449">
        <f t="shared" si="466"/>
        <v>0</v>
      </c>
      <c r="W7449">
        <f t="shared" si="467"/>
        <v>0</v>
      </c>
    </row>
    <row r="7450" spans="5:23" x14ac:dyDescent="0.25">
      <c r="E7450" s="4"/>
      <c r="F7450" s="4"/>
      <c r="G7450" s="33" t="str">
        <f>IFERROR(VLOOKUP($D7450,'Informations sur les produits'!$A$3:$H$10000,8,FALSE),"0")</f>
        <v>0</v>
      </c>
      <c r="K7450" s="4"/>
      <c r="L7450" s="33" t="str">
        <f>IFERROR(VLOOKUP($J7450,'Informations sur les produits'!$A$3:$H$10000,8,FALSE),"0")</f>
        <v>0</v>
      </c>
      <c r="N7450" s="8"/>
      <c r="O7450" s="33" t="str">
        <f>IFERROR(VLOOKUP($M7450,'Informations sur les produits'!$A$3:$H$10000,8,FALSE),"0")</f>
        <v>0</v>
      </c>
      <c r="P7450" s="33">
        <f t="shared" si="464"/>
        <v>0</v>
      </c>
      <c r="Q7450" s="31" t="str">
        <f t="shared" si="465"/>
        <v/>
      </c>
      <c r="R7450" s="32" t="str">
        <f>IFERROR(VLOOKUP($D7450,'Informations sur les produits'!$A$3:$B$15000,2,FALSE),"")</f>
        <v/>
      </c>
      <c r="V7450">
        <f t="shared" si="466"/>
        <v>0</v>
      </c>
      <c r="W7450">
        <f t="shared" si="467"/>
        <v>0</v>
      </c>
    </row>
    <row r="7451" spans="5:23" x14ac:dyDescent="0.25">
      <c r="E7451" s="4"/>
      <c r="F7451" s="4"/>
      <c r="G7451" s="33" t="str">
        <f>IFERROR(VLOOKUP($D7451,'Informations sur les produits'!$A$3:$H$10000,8,FALSE),"0")</f>
        <v>0</v>
      </c>
      <c r="K7451" s="4"/>
      <c r="L7451" s="33" t="str">
        <f>IFERROR(VLOOKUP($J7451,'Informations sur les produits'!$A$3:$H$10000,8,FALSE),"0")</f>
        <v>0</v>
      </c>
      <c r="N7451" s="8"/>
      <c r="O7451" s="33" t="str">
        <f>IFERROR(VLOOKUP($M7451,'Informations sur les produits'!$A$3:$H$10000,8,FALSE),"0")</f>
        <v>0</v>
      </c>
      <c r="P7451" s="33">
        <f t="shared" si="464"/>
        <v>0</v>
      </c>
      <c r="Q7451" s="31" t="str">
        <f t="shared" si="465"/>
        <v/>
      </c>
      <c r="R7451" s="32" t="str">
        <f>IFERROR(VLOOKUP($D7451,'Informations sur les produits'!$A$3:$B$15000,2,FALSE),"")</f>
        <v/>
      </c>
      <c r="V7451">
        <f t="shared" si="466"/>
        <v>0</v>
      </c>
      <c r="W7451">
        <f t="shared" si="467"/>
        <v>0</v>
      </c>
    </row>
    <row r="7452" spans="5:23" x14ac:dyDescent="0.25">
      <c r="E7452" s="4"/>
      <c r="F7452" s="4"/>
      <c r="G7452" s="33" t="str">
        <f>IFERROR(VLOOKUP($D7452,'Informations sur les produits'!$A$3:$H$10000,8,FALSE),"0")</f>
        <v>0</v>
      </c>
      <c r="K7452" s="4"/>
      <c r="L7452" s="33" t="str">
        <f>IFERROR(VLOOKUP($J7452,'Informations sur les produits'!$A$3:$H$10000,8,FALSE),"0")</f>
        <v>0</v>
      </c>
      <c r="N7452" s="8"/>
      <c r="O7452" s="33" t="str">
        <f>IFERROR(VLOOKUP($M7452,'Informations sur les produits'!$A$3:$H$10000,8,FALSE),"0")</f>
        <v>0</v>
      </c>
      <c r="P7452" s="33">
        <f t="shared" si="464"/>
        <v>0</v>
      </c>
      <c r="Q7452" s="31" t="str">
        <f t="shared" si="465"/>
        <v/>
      </c>
      <c r="R7452" s="32" t="str">
        <f>IFERROR(VLOOKUP($D7452,'Informations sur les produits'!$A$3:$B$15000,2,FALSE),"")</f>
        <v/>
      </c>
      <c r="V7452">
        <f t="shared" si="466"/>
        <v>0</v>
      </c>
      <c r="W7452">
        <f t="shared" si="467"/>
        <v>0</v>
      </c>
    </row>
    <row r="7453" spans="5:23" x14ac:dyDescent="0.25">
      <c r="E7453" s="4"/>
      <c r="F7453" s="4"/>
      <c r="G7453" s="33" t="str">
        <f>IFERROR(VLOOKUP($D7453,'Informations sur les produits'!$A$3:$H$10000,8,FALSE),"0")</f>
        <v>0</v>
      </c>
      <c r="K7453" s="4"/>
      <c r="L7453" s="33" t="str">
        <f>IFERROR(VLOOKUP($J7453,'Informations sur les produits'!$A$3:$H$10000,8,FALSE),"0")</f>
        <v>0</v>
      </c>
      <c r="N7453" s="8"/>
      <c r="O7453" s="33" t="str">
        <f>IFERROR(VLOOKUP($M7453,'Informations sur les produits'!$A$3:$H$10000,8,FALSE),"0")</f>
        <v>0</v>
      </c>
      <c r="P7453" s="33">
        <f t="shared" si="464"/>
        <v>0</v>
      </c>
      <c r="Q7453" s="31" t="str">
        <f t="shared" si="465"/>
        <v/>
      </c>
      <c r="R7453" s="32" t="str">
        <f>IFERROR(VLOOKUP($D7453,'Informations sur les produits'!$A$3:$B$15000,2,FALSE),"")</f>
        <v/>
      </c>
      <c r="V7453">
        <f t="shared" si="466"/>
        <v>0</v>
      </c>
      <c r="W7453">
        <f t="shared" si="467"/>
        <v>0</v>
      </c>
    </row>
    <row r="7454" spans="5:23" x14ac:dyDescent="0.25">
      <c r="E7454" s="4"/>
      <c r="F7454" s="4"/>
      <c r="G7454" s="33" t="str">
        <f>IFERROR(VLOOKUP($D7454,'Informations sur les produits'!$A$3:$H$10000,8,FALSE),"0")</f>
        <v>0</v>
      </c>
      <c r="K7454" s="4"/>
      <c r="L7454" s="33" t="str">
        <f>IFERROR(VLOOKUP($J7454,'Informations sur les produits'!$A$3:$H$10000,8,FALSE),"0")</f>
        <v>0</v>
      </c>
      <c r="N7454" s="8"/>
      <c r="O7454" s="33" t="str">
        <f>IFERROR(VLOOKUP($M7454,'Informations sur les produits'!$A$3:$H$10000,8,FALSE),"0")</f>
        <v>0</v>
      </c>
      <c r="P7454" s="33">
        <f t="shared" si="464"/>
        <v>0</v>
      </c>
      <c r="Q7454" s="31" t="str">
        <f t="shared" si="465"/>
        <v/>
      </c>
      <c r="R7454" s="32" t="str">
        <f>IFERROR(VLOOKUP($D7454,'Informations sur les produits'!$A$3:$B$15000,2,FALSE),"")</f>
        <v/>
      </c>
      <c r="V7454">
        <f t="shared" si="466"/>
        <v>0</v>
      </c>
      <c r="W7454">
        <f t="shared" si="467"/>
        <v>0</v>
      </c>
    </row>
    <row r="7455" spans="5:23" x14ac:dyDescent="0.25">
      <c r="E7455" s="4"/>
      <c r="F7455" s="4"/>
      <c r="G7455" s="33" t="str">
        <f>IFERROR(VLOOKUP($D7455,'Informations sur les produits'!$A$3:$H$10000,8,FALSE),"0")</f>
        <v>0</v>
      </c>
      <c r="K7455" s="4"/>
      <c r="L7455" s="33" t="str">
        <f>IFERROR(VLOOKUP($J7455,'Informations sur les produits'!$A$3:$H$10000,8,FALSE),"0")</f>
        <v>0</v>
      </c>
      <c r="N7455" s="8"/>
      <c r="O7455" s="33" t="str">
        <f>IFERROR(VLOOKUP($M7455,'Informations sur les produits'!$A$3:$H$10000,8,FALSE),"0")</f>
        <v>0</v>
      </c>
      <c r="P7455" s="33">
        <f t="shared" si="464"/>
        <v>0</v>
      </c>
      <c r="Q7455" s="31" t="str">
        <f t="shared" si="465"/>
        <v/>
      </c>
      <c r="R7455" s="32" t="str">
        <f>IFERROR(VLOOKUP($D7455,'Informations sur les produits'!$A$3:$B$15000,2,FALSE),"")</f>
        <v/>
      </c>
      <c r="V7455">
        <f t="shared" si="466"/>
        <v>0</v>
      </c>
      <c r="W7455">
        <f t="shared" si="467"/>
        <v>0</v>
      </c>
    </row>
    <row r="7456" spans="5:23" x14ac:dyDescent="0.25">
      <c r="E7456" s="4"/>
      <c r="F7456" s="4"/>
      <c r="G7456" s="33" t="str">
        <f>IFERROR(VLOOKUP($D7456,'Informations sur les produits'!$A$3:$H$10000,8,FALSE),"0")</f>
        <v>0</v>
      </c>
      <c r="K7456" s="4"/>
      <c r="L7456" s="33" t="str">
        <f>IFERROR(VLOOKUP($J7456,'Informations sur les produits'!$A$3:$H$10000,8,FALSE),"0")</f>
        <v>0</v>
      </c>
      <c r="N7456" s="8"/>
      <c r="O7456" s="33" t="str">
        <f>IFERROR(VLOOKUP($M7456,'Informations sur les produits'!$A$3:$H$10000,8,FALSE),"0")</f>
        <v>0</v>
      </c>
      <c r="P7456" s="33">
        <f t="shared" si="464"/>
        <v>0</v>
      </c>
      <c r="Q7456" s="31" t="str">
        <f t="shared" si="465"/>
        <v/>
      </c>
      <c r="R7456" s="32" t="str">
        <f>IFERROR(VLOOKUP($D7456,'Informations sur les produits'!$A$3:$B$15000,2,FALSE),"")</f>
        <v/>
      </c>
      <c r="V7456">
        <f t="shared" si="466"/>
        <v>0</v>
      </c>
      <c r="W7456">
        <f t="shared" si="467"/>
        <v>0</v>
      </c>
    </row>
    <row r="7457" spans="5:23" x14ac:dyDescent="0.25">
      <c r="E7457" s="4"/>
      <c r="F7457" s="4"/>
      <c r="G7457" s="33" t="str">
        <f>IFERROR(VLOOKUP($D7457,'Informations sur les produits'!$A$3:$H$10000,8,FALSE),"0")</f>
        <v>0</v>
      </c>
      <c r="K7457" s="4"/>
      <c r="L7457" s="33" t="str">
        <f>IFERROR(VLOOKUP($J7457,'Informations sur les produits'!$A$3:$H$10000,8,FALSE),"0")</f>
        <v>0</v>
      </c>
      <c r="N7457" s="8"/>
      <c r="O7457" s="33" t="str">
        <f>IFERROR(VLOOKUP($M7457,'Informations sur les produits'!$A$3:$H$10000,8,FALSE),"0")</f>
        <v>0</v>
      </c>
      <c r="P7457" s="33">
        <f t="shared" si="464"/>
        <v>0</v>
      </c>
      <c r="Q7457" s="31" t="str">
        <f t="shared" si="465"/>
        <v/>
      </c>
      <c r="R7457" s="32" t="str">
        <f>IFERROR(VLOOKUP($D7457,'Informations sur les produits'!$A$3:$B$15000,2,FALSE),"")</f>
        <v/>
      </c>
      <c r="V7457">
        <f t="shared" si="466"/>
        <v>0</v>
      </c>
      <c r="W7457">
        <f t="shared" si="467"/>
        <v>0</v>
      </c>
    </row>
    <row r="7458" spans="5:23" x14ac:dyDescent="0.25">
      <c r="E7458" s="4"/>
      <c r="F7458" s="4"/>
      <c r="G7458" s="33" t="str">
        <f>IFERROR(VLOOKUP($D7458,'Informations sur les produits'!$A$3:$H$10000,8,FALSE),"0")</f>
        <v>0</v>
      </c>
      <c r="K7458" s="4"/>
      <c r="L7458" s="33" t="str">
        <f>IFERROR(VLOOKUP($J7458,'Informations sur les produits'!$A$3:$H$10000,8,FALSE),"0")</f>
        <v>0</v>
      </c>
      <c r="N7458" s="8"/>
      <c r="O7458" s="33" t="str">
        <f>IFERROR(VLOOKUP($M7458,'Informations sur les produits'!$A$3:$H$10000,8,FALSE),"0")</f>
        <v>0</v>
      </c>
      <c r="P7458" s="33">
        <f t="shared" si="464"/>
        <v>0</v>
      </c>
      <c r="Q7458" s="31" t="str">
        <f t="shared" si="465"/>
        <v/>
      </c>
      <c r="R7458" s="32" t="str">
        <f>IFERROR(VLOOKUP($D7458,'Informations sur les produits'!$A$3:$B$15000,2,FALSE),"")</f>
        <v/>
      </c>
      <c r="V7458">
        <f t="shared" si="466"/>
        <v>0</v>
      </c>
      <c r="W7458">
        <f t="shared" si="467"/>
        <v>0</v>
      </c>
    </row>
    <row r="7459" spans="5:23" x14ac:dyDescent="0.25">
      <c r="E7459" s="4"/>
      <c r="F7459" s="4"/>
      <c r="G7459" s="33" t="str">
        <f>IFERROR(VLOOKUP($D7459,'Informations sur les produits'!$A$3:$H$10000,8,FALSE),"0")</f>
        <v>0</v>
      </c>
      <c r="K7459" s="4"/>
      <c r="L7459" s="33" t="str">
        <f>IFERROR(VLOOKUP($J7459,'Informations sur les produits'!$A$3:$H$10000,8,FALSE),"0")</f>
        <v>0</v>
      </c>
      <c r="N7459" s="8"/>
      <c r="O7459" s="33" t="str">
        <f>IFERROR(VLOOKUP($M7459,'Informations sur les produits'!$A$3:$H$10000,8,FALSE),"0")</f>
        <v>0</v>
      </c>
      <c r="P7459" s="33">
        <f t="shared" si="464"/>
        <v>0</v>
      </c>
      <c r="Q7459" s="31" t="str">
        <f t="shared" si="465"/>
        <v/>
      </c>
      <c r="R7459" s="32" t="str">
        <f>IFERROR(VLOOKUP($D7459,'Informations sur les produits'!$A$3:$B$15000,2,FALSE),"")</f>
        <v/>
      </c>
      <c r="V7459">
        <f t="shared" si="466"/>
        <v>0</v>
      </c>
      <c r="W7459">
        <f t="shared" si="467"/>
        <v>0</v>
      </c>
    </row>
    <row r="7460" spans="5:23" x14ac:dyDescent="0.25">
      <c r="E7460" s="4"/>
      <c r="F7460" s="4"/>
      <c r="G7460" s="33" t="str">
        <f>IFERROR(VLOOKUP($D7460,'Informations sur les produits'!$A$3:$H$10000,8,FALSE),"0")</f>
        <v>0</v>
      </c>
      <c r="K7460" s="4"/>
      <c r="L7460" s="33" t="str">
        <f>IFERROR(VLOOKUP($J7460,'Informations sur les produits'!$A$3:$H$10000,8,FALSE),"0")</f>
        <v>0</v>
      </c>
      <c r="N7460" s="8"/>
      <c r="O7460" s="33" t="str">
        <f>IFERROR(VLOOKUP($M7460,'Informations sur les produits'!$A$3:$H$10000,8,FALSE),"0")</f>
        <v>0</v>
      </c>
      <c r="P7460" s="33">
        <f t="shared" si="464"/>
        <v>0</v>
      </c>
      <c r="Q7460" s="31" t="str">
        <f t="shared" si="465"/>
        <v/>
      </c>
      <c r="R7460" s="32" t="str">
        <f>IFERROR(VLOOKUP($D7460,'Informations sur les produits'!$A$3:$B$15000,2,FALSE),"")</f>
        <v/>
      </c>
      <c r="V7460">
        <f t="shared" si="466"/>
        <v>0</v>
      </c>
      <c r="W7460">
        <f t="shared" si="467"/>
        <v>0</v>
      </c>
    </row>
    <row r="7461" spans="5:23" x14ac:dyDescent="0.25">
      <c r="E7461" s="4"/>
      <c r="F7461" s="4"/>
      <c r="G7461" s="33" t="str">
        <f>IFERROR(VLOOKUP($D7461,'Informations sur les produits'!$A$3:$H$10000,8,FALSE),"0")</f>
        <v>0</v>
      </c>
      <c r="K7461" s="4"/>
      <c r="L7461" s="33" t="str">
        <f>IFERROR(VLOOKUP($J7461,'Informations sur les produits'!$A$3:$H$10000,8,FALSE),"0")</f>
        <v>0</v>
      </c>
      <c r="N7461" s="8"/>
      <c r="O7461" s="33" t="str">
        <f>IFERROR(VLOOKUP($M7461,'Informations sur les produits'!$A$3:$H$10000,8,FALSE),"0")</f>
        <v>0</v>
      </c>
      <c r="P7461" s="33">
        <f t="shared" si="464"/>
        <v>0</v>
      </c>
      <c r="Q7461" s="31" t="str">
        <f t="shared" si="465"/>
        <v/>
      </c>
      <c r="R7461" s="32" t="str">
        <f>IFERROR(VLOOKUP($D7461,'Informations sur les produits'!$A$3:$B$15000,2,FALSE),"")</f>
        <v/>
      </c>
      <c r="V7461">
        <f t="shared" si="466"/>
        <v>0</v>
      </c>
      <c r="W7461">
        <f t="shared" si="467"/>
        <v>0</v>
      </c>
    </row>
    <row r="7462" spans="5:23" x14ac:dyDescent="0.25">
      <c r="E7462" s="4"/>
      <c r="F7462" s="4"/>
      <c r="G7462" s="33" t="str">
        <f>IFERROR(VLOOKUP($D7462,'Informations sur les produits'!$A$3:$H$10000,8,FALSE),"0")</f>
        <v>0</v>
      </c>
      <c r="K7462" s="4"/>
      <c r="L7462" s="33" t="str">
        <f>IFERROR(VLOOKUP($J7462,'Informations sur les produits'!$A$3:$H$10000,8,FALSE),"0")</f>
        <v>0</v>
      </c>
      <c r="N7462" s="8"/>
      <c r="O7462" s="33" t="str">
        <f>IFERROR(VLOOKUP($M7462,'Informations sur les produits'!$A$3:$H$10000,8,FALSE),"0")</f>
        <v>0</v>
      </c>
      <c r="P7462" s="33">
        <f t="shared" si="464"/>
        <v>0</v>
      </c>
      <c r="Q7462" s="31" t="str">
        <f t="shared" si="465"/>
        <v/>
      </c>
      <c r="R7462" s="32" t="str">
        <f>IFERROR(VLOOKUP($D7462,'Informations sur les produits'!$A$3:$B$15000,2,FALSE),"")</f>
        <v/>
      </c>
      <c r="V7462">
        <f t="shared" si="466"/>
        <v>0</v>
      </c>
      <c r="W7462">
        <f t="shared" si="467"/>
        <v>0</v>
      </c>
    </row>
    <row r="7463" spans="5:23" x14ac:dyDescent="0.25">
      <c r="E7463" s="4"/>
      <c r="F7463" s="4"/>
      <c r="G7463" s="33" t="str">
        <f>IFERROR(VLOOKUP($D7463,'Informations sur les produits'!$A$3:$H$10000,8,FALSE),"0")</f>
        <v>0</v>
      </c>
      <c r="K7463" s="4"/>
      <c r="L7463" s="33" t="str">
        <f>IFERROR(VLOOKUP($J7463,'Informations sur les produits'!$A$3:$H$10000,8,FALSE),"0")</f>
        <v>0</v>
      </c>
      <c r="N7463" s="8"/>
      <c r="O7463" s="33" t="str">
        <f>IFERROR(VLOOKUP($M7463,'Informations sur les produits'!$A$3:$H$10000,8,FALSE),"0")</f>
        <v>0</v>
      </c>
      <c r="P7463" s="33">
        <f t="shared" si="464"/>
        <v>0</v>
      </c>
      <c r="Q7463" s="31" t="str">
        <f t="shared" si="465"/>
        <v/>
      </c>
      <c r="R7463" s="32" t="str">
        <f>IFERROR(VLOOKUP($D7463,'Informations sur les produits'!$A$3:$B$15000,2,FALSE),"")</f>
        <v/>
      </c>
      <c r="V7463">
        <f t="shared" si="466"/>
        <v>0</v>
      </c>
      <c r="W7463">
        <f t="shared" si="467"/>
        <v>0</v>
      </c>
    </row>
    <row r="7464" spans="5:23" x14ac:dyDescent="0.25">
      <c r="E7464" s="4"/>
      <c r="F7464" s="4"/>
      <c r="G7464" s="33" t="str">
        <f>IFERROR(VLOOKUP($D7464,'Informations sur les produits'!$A$3:$H$10000,8,FALSE),"0")</f>
        <v>0</v>
      </c>
      <c r="K7464" s="4"/>
      <c r="L7464" s="33" t="str">
        <f>IFERROR(VLOOKUP($J7464,'Informations sur les produits'!$A$3:$H$10000,8,FALSE),"0")</f>
        <v>0</v>
      </c>
      <c r="N7464" s="8"/>
      <c r="O7464" s="33" t="str">
        <f>IFERROR(VLOOKUP($M7464,'Informations sur les produits'!$A$3:$H$10000,8,FALSE),"0")</f>
        <v>0</v>
      </c>
      <c r="P7464" s="33">
        <f t="shared" si="464"/>
        <v>0</v>
      </c>
      <c r="Q7464" s="31" t="str">
        <f t="shared" si="465"/>
        <v/>
      </c>
      <c r="R7464" s="32" t="str">
        <f>IFERROR(VLOOKUP($D7464,'Informations sur les produits'!$A$3:$B$15000,2,FALSE),"")</f>
        <v/>
      </c>
      <c r="V7464">
        <f t="shared" si="466"/>
        <v>0</v>
      </c>
      <c r="W7464">
        <f t="shared" si="467"/>
        <v>0</v>
      </c>
    </row>
    <row r="7465" spans="5:23" x14ac:dyDescent="0.25">
      <c r="E7465" s="4"/>
      <c r="F7465" s="4"/>
      <c r="G7465" s="33" t="str">
        <f>IFERROR(VLOOKUP($D7465,'Informations sur les produits'!$A$3:$H$10000,8,FALSE),"0")</f>
        <v>0</v>
      </c>
      <c r="K7465" s="4"/>
      <c r="L7465" s="33" t="str">
        <f>IFERROR(VLOOKUP($J7465,'Informations sur les produits'!$A$3:$H$10000,8,FALSE),"0")</f>
        <v>0</v>
      </c>
      <c r="N7465" s="8"/>
      <c r="O7465" s="33" t="str">
        <f>IFERROR(VLOOKUP($M7465,'Informations sur les produits'!$A$3:$H$10000,8,FALSE),"0")</f>
        <v>0</v>
      </c>
      <c r="P7465" s="33">
        <f t="shared" si="464"/>
        <v>0</v>
      </c>
      <c r="Q7465" s="31" t="str">
        <f t="shared" si="465"/>
        <v/>
      </c>
      <c r="R7465" s="32" t="str">
        <f>IFERROR(VLOOKUP($D7465,'Informations sur les produits'!$A$3:$B$15000,2,FALSE),"")</f>
        <v/>
      </c>
      <c r="V7465">
        <f t="shared" si="466"/>
        <v>0</v>
      </c>
      <c r="W7465">
        <f t="shared" si="467"/>
        <v>0</v>
      </c>
    </row>
    <row r="7466" spans="5:23" x14ac:dyDescent="0.25">
      <c r="E7466" s="4"/>
      <c r="F7466" s="4"/>
      <c r="G7466" s="33" t="str">
        <f>IFERROR(VLOOKUP($D7466,'Informations sur les produits'!$A$3:$H$10000,8,FALSE),"0")</f>
        <v>0</v>
      </c>
      <c r="K7466" s="4"/>
      <c r="L7466" s="33" t="str">
        <f>IFERROR(VLOOKUP($J7466,'Informations sur les produits'!$A$3:$H$10000,8,FALSE),"0")</f>
        <v>0</v>
      </c>
      <c r="N7466" s="8"/>
      <c r="O7466" s="33" t="str">
        <f>IFERROR(VLOOKUP($M7466,'Informations sur les produits'!$A$3:$H$10000,8,FALSE),"0")</f>
        <v>0</v>
      </c>
      <c r="P7466" s="33">
        <f t="shared" si="464"/>
        <v>0</v>
      </c>
      <c r="Q7466" s="31" t="str">
        <f t="shared" si="465"/>
        <v/>
      </c>
      <c r="R7466" s="32" t="str">
        <f>IFERROR(VLOOKUP($D7466,'Informations sur les produits'!$A$3:$B$15000,2,FALSE),"")</f>
        <v/>
      </c>
      <c r="V7466">
        <f t="shared" si="466"/>
        <v>0</v>
      </c>
      <c r="W7466">
        <f t="shared" si="467"/>
        <v>0</v>
      </c>
    </row>
    <row r="7467" spans="5:23" x14ac:dyDescent="0.25">
      <c r="E7467" s="4"/>
      <c r="F7467" s="4"/>
      <c r="G7467" s="33" t="str">
        <f>IFERROR(VLOOKUP($D7467,'Informations sur les produits'!$A$3:$H$10000,8,FALSE),"0")</f>
        <v>0</v>
      </c>
      <c r="K7467" s="4"/>
      <c r="L7467" s="33" t="str">
        <f>IFERROR(VLOOKUP($J7467,'Informations sur les produits'!$A$3:$H$10000,8,FALSE),"0")</f>
        <v>0</v>
      </c>
      <c r="N7467" s="8"/>
      <c r="O7467" s="33" t="str">
        <f>IFERROR(VLOOKUP($M7467,'Informations sur les produits'!$A$3:$H$10000,8,FALSE),"0")</f>
        <v>0</v>
      </c>
      <c r="P7467" s="33">
        <f t="shared" si="464"/>
        <v>0</v>
      </c>
      <c r="Q7467" s="31" t="str">
        <f t="shared" si="465"/>
        <v/>
      </c>
      <c r="R7467" s="32" t="str">
        <f>IFERROR(VLOOKUP($D7467,'Informations sur les produits'!$A$3:$B$15000,2,FALSE),"")</f>
        <v/>
      </c>
      <c r="V7467">
        <f t="shared" si="466"/>
        <v>0</v>
      </c>
      <c r="W7467">
        <f t="shared" si="467"/>
        <v>0</v>
      </c>
    </row>
    <row r="7468" spans="5:23" x14ac:dyDescent="0.25">
      <c r="E7468" s="4"/>
      <c r="F7468" s="4"/>
      <c r="G7468" s="33" t="str">
        <f>IFERROR(VLOOKUP($D7468,'Informations sur les produits'!$A$3:$H$10000,8,FALSE),"0")</f>
        <v>0</v>
      </c>
      <c r="K7468" s="4"/>
      <c r="L7468" s="33" t="str">
        <f>IFERROR(VLOOKUP($J7468,'Informations sur les produits'!$A$3:$H$10000,8,FALSE),"0")</f>
        <v>0</v>
      </c>
      <c r="N7468" s="8"/>
      <c r="O7468" s="33" t="str">
        <f>IFERROR(VLOOKUP($M7468,'Informations sur les produits'!$A$3:$H$10000,8,FALSE),"0")</f>
        <v>0</v>
      </c>
      <c r="P7468" s="33">
        <f t="shared" si="464"/>
        <v>0</v>
      </c>
      <c r="Q7468" s="31" t="str">
        <f t="shared" si="465"/>
        <v/>
      </c>
      <c r="R7468" s="32" t="str">
        <f>IFERROR(VLOOKUP($D7468,'Informations sur les produits'!$A$3:$B$15000,2,FALSE),"")</f>
        <v/>
      </c>
      <c r="V7468">
        <f t="shared" si="466"/>
        <v>0</v>
      </c>
      <c r="W7468">
        <f t="shared" si="467"/>
        <v>0</v>
      </c>
    </row>
    <row r="7469" spans="5:23" x14ac:dyDescent="0.25">
      <c r="E7469" s="4"/>
      <c r="F7469" s="4"/>
      <c r="G7469" s="33" t="str">
        <f>IFERROR(VLOOKUP($D7469,'Informations sur les produits'!$A$3:$H$10000,8,FALSE),"0")</f>
        <v>0</v>
      </c>
      <c r="K7469" s="4"/>
      <c r="L7469" s="33" t="str">
        <f>IFERROR(VLOOKUP($J7469,'Informations sur les produits'!$A$3:$H$10000,8,FALSE),"0")</f>
        <v>0</v>
      </c>
      <c r="N7469" s="8"/>
      <c r="O7469" s="33" t="str">
        <f>IFERROR(VLOOKUP($M7469,'Informations sur les produits'!$A$3:$H$10000,8,FALSE),"0")</f>
        <v>0</v>
      </c>
      <c r="P7469" s="33">
        <f t="shared" si="464"/>
        <v>0</v>
      </c>
      <c r="Q7469" s="31" t="str">
        <f t="shared" si="465"/>
        <v/>
      </c>
      <c r="R7469" s="32" t="str">
        <f>IFERROR(VLOOKUP($D7469,'Informations sur les produits'!$A$3:$B$15000,2,FALSE),"")</f>
        <v/>
      </c>
      <c r="V7469">
        <f t="shared" si="466"/>
        <v>0</v>
      </c>
      <c r="W7469">
        <f t="shared" si="467"/>
        <v>0</v>
      </c>
    </row>
    <row r="7470" spans="5:23" x14ac:dyDescent="0.25">
      <c r="E7470" s="4"/>
      <c r="F7470" s="4"/>
      <c r="G7470" s="33" t="str">
        <f>IFERROR(VLOOKUP($D7470,'Informations sur les produits'!$A$3:$H$10000,8,FALSE),"0")</f>
        <v>0</v>
      </c>
      <c r="K7470" s="4"/>
      <c r="L7470" s="33" t="str">
        <f>IFERROR(VLOOKUP($J7470,'Informations sur les produits'!$A$3:$H$10000,8,FALSE),"0")</f>
        <v>0</v>
      </c>
      <c r="N7470" s="8"/>
      <c r="O7470" s="33" t="str">
        <f>IFERROR(VLOOKUP($M7470,'Informations sur les produits'!$A$3:$H$10000,8,FALSE),"0")</f>
        <v>0</v>
      </c>
      <c r="P7470" s="33">
        <f t="shared" si="464"/>
        <v>0</v>
      </c>
      <c r="Q7470" s="31" t="str">
        <f t="shared" si="465"/>
        <v/>
      </c>
      <c r="R7470" s="32" t="str">
        <f>IFERROR(VLOOKUP($D7470,'Informations sur les produits'!$A$3:$B$15000,2,FALSE),"")</f>
        <v/>
      </c>
      <c r="V7470">
        <f t="shared" si="466"/>
        <v>0</v>
      </c>
      <c r="W7470">
        <f t="shared" si="467"/>
        <v>0</v>
      </c>
    </row>
    <row r="7471" spans="5:23" x14ac:dyDescent="0.25">
      <c r="E7471" s="4"/>
      <c r="F7471" s="4"/>
      <c r="G7471" s="33" t="str">
        <f>IFERROR(VLOOKUP($D7471,'Informations sur les produits'!$A$3:$H$10000,8,FALSE),"0")</f>
        <v>0</v>
      </c>
      <c r="K7471" s="4"/>
      <c r="L7471" s="33" t="str">
        <f>IFERROR(VLOOKUP($J7471,'Informations sur les produits'!$A$3:$H$10000,8,FALSE),"0")</f>
        <v>0</v>
      </c>
      <c r="N7471" s="8"/>
      <c r="O7471" s="33" t="str">
        <f>IFERROR(VLOOKUP($M7471,'Informations sur les produits'!$A$3:$H$10000,8,FALSE),"0")</f>
        <v>0</v>
      </c>
      <c r="P7471" s="33">
        <f t="shared" si="464"/>
        <v>0</v>
      </c>
      <c r="Q7471" s="31" t="str">
        <f t="shared" si="465"/>
        <v/>
      </c>
      <c r="R7471" s="32" t="str">
        <f>IFERROR(VLOOKUP($D7471,'Informations sur les produits'!$A$3:$B$15000,2,FALSE),"")</f>
        <v/>
      </c>
      <c r="V7471">
        <f t="shared" si="466"/>
        <v>0</v>
      </c>
      <c r="W7471">
        <f t="shared" si="467"/>
        <v>0</v>
      </c>
    </row>
    <row r="7472" spans="5:23" x14ac:dyDescent="0.25">
      <c r="E7472" s="4"/>
      <c r="F7472" s="4"/>
      <c r="G7472" s="33" t="str">
        <f>IFERROR(VLOOKUP($D7472,'Informations sur les produits'!$A$3:$H$10000,8,FALSE),"0")</f>
        <v>0</v>
      </c>
      <c r="K7472" s="4"/>
      <c r="L7472" s="33" t="str">
        <f>IFERROR(VLOOKUP($J7472,'Informations sur les produits'!$A$3:$H$10000,8,FALSE),"0")</f>
        <v>0</v>
      </c>
      <c r="N7472" s="8"/>
      <c r="O7472" s="33" t="str">
        <f>IFERROR(VLOOKUP($M7472,'Informations sur les produits'!$A$3:$H$10000,8,FALSE),"0")</f>
        <v>0</v>
      </c>
      <c r="P7472" s="33">
        <f t="shared" si="464"/>
        <v>0</v>
      </c>
      <c r="Q7472" s="31" t="str">
        <f t="shared" si="465"/>
        <v/>
      </c>
      <c r="R7472" s="32" t="str">
        <f>IFERROR(VLOOKUP($D7472,'Informations sur les produits'!$A$3:$B$15000,2,FALSE),"")</f>
        <v/>
      </c>
      <c r="V7472">
        <f t="shared" si="466"/>
        <v>0</v>
      </c>
      <c r="W7472">
        <f t="shared" si="467"/>
        <v>0</v>
      </c>
    </row>
    <row r="7473" spans="5:23" x14ac:dyDescent="0.25">
      <c r="E7473" s="4"/>
      <c r="F7473" s="4"/>
      <c r="G7473" s="33" t="str">
        <f>IFERROR(VLOOKUP($D7473,'Informations sur les produits'!$A$3:$H$10000,8,FALSE),"0")</f>
        <v>0</v>
      </c>
      <c r="K7473" s="4"/>
      <c r="L7473" s="33" t="str">
        <f>IFERROR(VLOOKUP($J7473,'Informations sur les produits'!$A$3:$H$10000,8,FALSE),"0")</f>
        <v>0</v>
      </c>
      <c r="N7473" s="8"/>
      <c r="O7473" s="33" t="str">
        <f>IFERROR(VLOOKUP($M7473,'Informations sur les produits'!$A$3:$H$10000,8,FALSE),"0")</f>
        <v>0</v>
      </c>
      <c r="P7473" s="33">
        <f t="shared" si="464"/>
        <v>0</v>
      </c>
      <c r="Q7473" s="31" t="str">
        <f t="shared" si="465"/>
        <v/>
      </c>
      <c r="R7473" s="32" t="str">
        <f>IFERROR(VLOOKUP($D7473,'Informations sur les produits'!$A$3:$B$15000,2,FALSE),"")</f>
        <v/>
      </c>
      <c r="V7473">
        <f t="shared" si="466"/>
        <v>0</v>
      </c>
      <c r="W7473">
        <f t="shared" si="467"/>
        <v>0</v>
      </c>
    </row>
    <row r="7474" spans="5:23" x14ac:dyDescent="0.25">
      <c r="E7474" s="4"/>
      <c r="F7474" s="4"/>
      <c r="G7474" s="33" t="str">
        <f>IFERROR(VLOOKUP($D7474,'Informations sur les produits'!$A$3:$H$10000,8,FALSE),"0")</f>
        <v>0</v>
      </c>
      <c r="K7474" s="4"/>
      <c r="L7474" s="33" t="str">
        <f>IFERROR(VLOOKUP($J7474,'Informations sur les produits'!$A$3:$H$10000,8,FALSE),"0")</f>
        <v>0</v>
      </c>
      <c r="N7474" s="8"/>
      <c r="O7474" s="33" t="str">
        <f>IFERROR(VLOOKUP($M7474,'Informations sur les produits'!$A$3:$H$10000,8,FALSE),"0")</f>
        <v>0</v>
      </c>
      <c r="P7474" s="33">
        <f t="shared" si="464"/>
        <v>0</v>
      </c>
      <c r="Q7474" s="31" t="str">
        <f t="shared" si="465"/>
        <v/>
      </c>
      <c r="R7474" s="32" t="str">
        <f>IFERROR(VLOOKUP($D7474,'Informations sur les produits'!$A$3:$B$15000,2,FALSE),"")</f>
        <v/>
      </c>
      <c r="V7474">
        <f t="shared" si="466"/>
        <v>0</v>
      </c>
      <c r="W7474">
        <f t="shared" si="467"/>
        <v>0</v>
      </c>
    </row>
    <row r="7475" spans="5:23" x14ac:dyDescent="0.25">
      <c r="E7475" s="4"/>
      <c r="F7475" s="4"/>
      <c r="G7475" s="33" t="str">
        <f>IFERROR(VLOOKUP($D7475,'Informations sur les produits'!$A$3:$H$10000,8,FALSE),"0")</f>
        <v>0</v>
      </c>
      <c r="K7475" s="4"/>
      <c r="L7475" s="33" t="str">
        <f>IFERROR(VLOOKUP($J7475,'Informations sur les produits'!$A$3:$H$10000,8,FALSE),"0")</f>
        <v>0</v>
      </c>
      <c r="N7475" s="8"/>
      <c r="O7475" s="33" t="str">
        <f>IFERROR(VLOOKUP($M7475,'Informations sur les produits'!$A$3:$H$10000,8,FALSE),"0")</f>
        <v>0</v>
      </c>
      <c r="P7475" s="33">
        <f t="shared" si="464"/>
        <v>0</v>
      </c>
      <c r="Q7475" s="31" t="str">
        <f t="shared" si="465"/>
        <v/>
      </c>
      <c r="R7475" s="32" t="str">
        <f>IFERROR(VLOOKUP($D7475,'Informations sur les produits'!$A$3:$B$15000,2,FALSE),"")</f>
        <v/>
      </c>
      <c r="V7475">
        <f t="shared" si="466"/>
        <v>0</v>
      </c>
      <c r="W7475">
        <f t="shared" si="467"/>
        <v>0</v>
      </c>
    </row>
    <row r="7476" spans="5:23" x14ac:dyDescent="0.25">
      <c r="E7476" s="4"/>
      <c r="F7476" s="4"/>
      <c r="G7476" s="33" t="str">
        <f>IFERROR(VLOOKUP($D7476,'Informations sur les produits'!$A$3:$H$10000,8,FALSE),"0")</f>
        <v>0</v>
      </c>
      <c r="K7476" s="4"/>
      <c r="L7476" s="33" t="str">
        <f>IFERROR(VLOOKUP($J7476,'Informations sur les produits'!$A$3:$H$10000,8,FALSE),"0")</f>
        <v>0</v>
      </c>
      <c r="N7476" s="8"/>
      <c r="O7476" s="33" t="str">
        <f>IFERROR(VLOOKUP($M7476,'Informations sur les produits'!$A$3:$H$10000,8,FALSE),"0")</f>
        <v>0</v>
      </c>
      <c r="P7476" s="33">
        <f t="shared" si="464"/>
        <v>0</v>
      </c>
      <c r="Q7476" s="31" t="str">
        <f t="shared" si="465"/>
        <v/>
      </c>
      <c r="R7476" s="32" t="str">
        <f>IFERROR(VLOOKUP($D7476,'Informations sur les produits'!$A$3:$B$15000,2,FALSE),"")</f>
        <v/>
      </c>
      <c r="V7476">
        <f t="shared" si="466"/>
        <v>0</v>
      </c>
      <c r="W7476">
        <f t="shared" si="467"/>
        <v>0</v>
      </c>
    </row>
    <row r="7477" spans="5:23" x14ac:dyDescent="0.25">
      <c r="E7477" s="4"/>
      <c r="F7477" s="4"/>
      <c r="G7477" s="33" t="str">
        <f>IFERROR(VLOOKUP($D7477,'Informations sur les produits'!$A$3:$H$10000,8,FALSE),"0")</f>
        <v>0</v>
      </c>
      <c r="K7477" s="4"/>
      <c r="L7477" s="33" t="str">
        <f>IFERROR(VLOOKUP($J7477,'Informations sur les produits'!$A$3:$H$10000,8,FALSE),"0")</f>
        <v>0</v>
      </c>
      <c r="N7477" s="8"/>
      <c r="O7477" s="33" t="str">
        <f>IFERROR(VLOOKUP($M7477,'Informations sur les produits'!$A$3:$H$10000,8,FALSE),"0")</f>
        <v>0</v>
      </c>
      <c r="P7477" s="33">
        <f t="shared" si="464"/>
        <v>0</v>
      </c>
      <c r="Q7477" s="31" t="str">
        <f t="shared" si="465"/>
        <v/>
      </c>
      <c r="R7477" s="32" t="str">
        <f>IFERROR(VLOOKUP($D7477,'Informations sur les produits'!$A$3:$B$15000,2,FALSE),"")</f>
        <v/>
      </c>
      <c r="V7477">
        <f t="shared" si="466"/>
        <v>0</v>
      </c>
      <c r="W7477">
        <f t="shared" si="467"/>
        <v>0</v>
      </c>
    </row>
    <row r="7478" spans="5:23" x14ac:dyDescent="0.25">
      <c r="E7478" s="4"/>
      <c r="F7478" s="4"/>
      <c r="G7478" s="33" t="str">
        <f>IFERROR(VLOOKUP($D7478,'Informations sur les produits'!$A$3:$H$10000,8,FALSE),"0")</f>
        <v>0</v>
      </c>
      <c r="K7478" s="4"/>
      <c r="L7478" s="33" t="str">
        <f>IFERROR(VLOOKUP($J7478,'Informations sur les produits'!$A$3:$H$10000,8,FALSE),"0")</f>
        <v>0</v>
      </c>
      <c r="N7478" s="8"/>
      <c r="O7478" s="33" t="str">
        <f>IFERROR(VLOOKUP($M7478,'Informations sur les produits'!$A$3:$H$10000,8,FALSE),"0")</f>
        <v>0</v>
      </c>
      <c r="P7478" s="33">
        <f t="shared" si="464"/>
        <v>0</v>
      </c>
      <c r="Q7478" s="31" t="str">
        <f t="shared" si="465"/>
        <v/>
      </c>
      <c r="R7478" s="32" t="str">
        <f>IFERROR(VLOOKUP($D7478,'Informations sur les produits'!$A$3:$B$15000,2,FALSE),"")</f>
        <v/>
      </c>
      <c r="V7478">
        <f t="shared" si="466"/>
        <v>0</v>
      </c>
      <c r="W7478">
        <f t="shared" si="467"/>
        <v>0</v>
      </c>
    </row>
    <row r="7479" spans="5:23" x14ac:dyDescent="0.25">
      <c r="E7479" s="4"/>
      <c r="F7479" s="4"/>
      <c r="G7479" s="33" t="str">
        <f>IFERROR(VLOOKUP($D7479,'Informations sur les produits'!$A$3:$H$10000,8,FALSE),"0")</f>
        <v>0</v>
      </c>
      <c r="K7479" s="4"/>
      <c r="L7479" s="33" t="str">
        <f>IFERROR(VLOOKUP($J7479,'Informations sur les produits'!$A$3:$H$10000,8,FALSE),"0")</f>
        <v>0</v>
      </c>
      <c r="N7479" s="8"/>
      <c r="O7479" s="33" t="str">
        <f>IFERROR(VLOOKUP($M7479,'Informations sur les produits'!$A$3:$H$10000,8,FALSE),"0")</f>
        <v>0</v>
      </c>
      <c r="P7479" s="33">
        <f t="shared" si="464"/>
        <v>0</v>
      </c>
      <c r="Q7479" s="31" t="str">
        <f t="shared" si="465"/>
        <v/>
      </c>
      <c r="R7479" s="32" t="str">
        <f>IFERROR(VLOOKUP($D7479,'Informations sur les produits'!$A$3:$B$15000,2,FALSE),"")</f>
        <v/>
      </c>
      <c r="V7479">
        <f t="shared" si="466"/>
        <v>0</v>
      </c>
      <c r="W7479">
        <f t="shared" si="467"/>
        <v>0</v>
      </c>
    </row>
    <row r="7480" spans="5:23" x14ac:dyDescent="0.25">
      <c r="E7480" s="4"/>
      <c r="F7480" s="4"/>
      <c r="G7480" s="33" t="str">
        <f>IFERROR(VLOOKUP($D7480,'Informations sur les produits'!$A$3:$H$10000,8,FALSE),"0")</f>
        <v>0</v>
      </c>
      <c r="K7480" s="4"/>
      <c r="L7480" s="33" t="str">
        <f>IFERROR(VLOOKUP($J7480,'Informations sur les produits'!$A$3:$H$10000,8,FALSE),"0")</f>
        <v>0</v>
      </c>
      <c r="N7480" s="8"/>
      <c r="O7480" s="33" t="str">
        <f>IFERROR(VLOOKUP($M7480,'Informations sur les produits'!$A$3:$H$10000,8,FALSE),"0")</f>
        <v>0</v>
      </c>
      <c r="P7480" s="33">
        <f t="shared" si="464"/>
        <v>0</v>
      </c>
      <c r="Q7480" s="31" t="str">
        <f t="shared" si="465"/>
        <v/>
      </c>
      <c r="R7480" s="32" t="str">
        <f>IFERROR(VLOOKUP($D7480,'Informations sur les produits'!$A$3:$B$15000,2,FALSE),"")</f>
        <v/>
      </c>
      <c r="V7480">
        <f t="shared" si="466"/>
        <v>0</v>
      </c>
      <c r="W7480">
        <f t="shared" si="467"/>
        <v>0</v>
      </c>
    </row>
    <row r="7481" spans="5:23" x14ac:dyDescent="0.25">
      <c r="E7481" s="4"/>
      <c r="F7481" s="4"/>
      <c r="G7481" s="33" t="str">
        <f>IFERROR(VLOOKUP($D7481,'Informations sur les produits'!$A$3:$H$10000,8,FALSE),"0")</f>
        <v>0</v>
      </c>
      <c r="K7481" s="4"/>
      <c r="L7481" s="33" t="str">
        <f>IFERROR(VLOOKUP($J7481,'Informations sur les produits'!$A$3:$H$10000,8,FALSE),"0")</f>
        <v>0</v>
      </c>
      <c r="N7481" s="8"/>
      <c r="O7481" s="33" t="str">
        <f>IFERROR(VLOOKUP($M7481,'Informations sur les produits'!$A$3:$H$10000,8,FALSE),"0")</f>
        <v>0</v>
      </c>
      <c r="P7481" s="33">
        <f t="shared" si="464"/>
        <v>0</v>
      </c>
      <c r="Q7481" s="31" t="str">
        <f t="shared" si="465"/>
        <v/>
      </c>
      <c r="R7481" s="32" t="str">
        <f>IFERROR(VLOOKUP($D7481,'Informations sur les produits'!$A$3:$B$15000,2,FALSE),"")</f>
        <v/>
      </c>
      <c r="V7481">
        <f t="shared" si="466"/>
        <v>0</v>
      </c>
      <c r="W7481">
        <f t="shared" si="467"/>
        <v>0</v>
      </c>
    </row>
    <row r="7482" spans="5:23" x14ac:dyDescent="0.25">
      <c r="E7482" s="4"/>
      <c r="F7482" s="4"/>
      <c r="G7482" s="33" t="str">
        <f>IFERROR(VLOOKUP($D7482,'Informations sur les produits'!$A$3:$H$10000,8,FALSE),"0")</f>
        <v>0</v>
      </c>
      <c r="K7482" s="4"/>
      <c r="L7482" s="33" t="str">
        <f>IFERROR(VLOOKUP($J7482,'Informations sur les produits'!$A$3:$H$10000,8,FALSE),"0")</f>
        <v>0</v>
      </c>
      <c r="N7482" s="8"/>
      <c r="O7482" s="33" t="str">
        <f>IFERROR(VLOOKUP($M7482,'Informations sur les produits'!$A$3:$H$10000,8,FALSE),"0")</f>
        <v>0</v>
      </c>
      <c r="P7482" s="33">
        <f t="shared" si="464"/>
        <v>0</v>
      </c>
      <c r="Q7482" s="31" t="str">
        <f t="shared" si="465"/>
        <v/>
      </c>
      <c r="R7482" s="32" t="str">
        <f>IFERROR(VLOOKUP($D7482,'Informations sur les produits'!$A$3:$B$15000,2,FALSE),"")</f>
        <v/>
      </c>
      <c r="V7482">
        <f t="shared" si="466"/>
        <v>0</v>
      </c>
      <c r="W7482">
        <f t="shared" si="467"/>
        <v>0</v>
      </c>
    </row>
    <row r="7483" spans="5:23" x14ac:dyDescent="0.25">
      <c r="E7483" s="4"/>
      <c r="F7483" s="4"/>
      <c r="G7483" s="33" t="str">
        <f>IFERROR(VLOOKUP($D7483,'Informations sur les produits'!$A$3:$H$10000,8,FALSE),"0")</f>
        <v>0</v>
      </c>
      <c r="K7483" s="4"/>
      <c r="L7483" s="33" t="str">
        <f>IFERROR(VLOOKUP($J7483,'Informations sur les produits'!$A$3:$H$10000,8,FALSE),"0")</f>
        <v>0</v>
      </c>
      <c r="N7483" s="8"/>
      <c r="O7483" s="33" t="str">
        <f>IFERROR(VLOOKUP($M7483,'Informations sur les produits'!$A$3:$H$10000,8,FALSE),"0")</f>
        <v>0</v>
      </c>
      <c r="P7483" s="33">
        <f t="shared" si="464"/>
        <v>0</v>
      </c>
      <c r="Q7483" s="31" t="str">
        <f t="shared" si="465"/>
        <v/>
      </c>
      <c r="R7483" s="32" t="str">
        <f>IFERROR(VLOOKUP($D7483,'Informations sur les produits'!$A$3:$B$15000,2,FALSE),"")</f>
        <v/>
      </c>
      <c r="V7483">
        <f t="shared" si="466"/>
        <v>0</v>
      </c>
      <c r="W7483">
        <f t="shared" si="467"/>
        <v>0</v>
      </c>
    </row>
    <row r="7484" spans="5:23" x14ac:dyDescent="0.25">
      <c r="E7484" s="4"/>
      <c r="F7484" s="4"/>
      <c r="G7484" s="33" t="str">
        <f>IFERROR(VLOOKUP($D7484,'Informations sur les produits'!$A$3:$H$10000,8,FALSE),"0")</f>
        <v>0</v>
      </c>
      <c r="K7484" s="4"/>
      <c r="L7484" s="33" t="str">
        <f>IFERROR(VLOOKUP($J7484,'Informations sur les produits'!$A$3:$H$10000,8,FALSE),"0")</f>
        <v>0</v>
      </c>
      <c r="N7484" s="8"/>
      <c r="O7484" s="33" t="str">
        <f>IFERROR(VLOOKUP($M7484,'Informations sur les produits'!$A$3:$H$10000,8,FALSE),"0")</f>
        <v>0</v>
      </c>
      <c r="P7484" s="33">
        <f t="shared" si="464"/>
        <v>0</v>
      </c>
      <c r="Q7484" s="31" t="str">
        <f t="shared" si="465"/>
        <v/>
      </c>
      <c r="R7484" s="32" t="str">
        <f>IFERROR(VLOOKUP($D7484,'Informations sur les produits'!$A$3:$B$15000,2,FALSE),"")</f>
        <v/>
      </c>
      <c r="V7484">
        <f t="shared" si="466"/>
        <v>0</v>
      </c>
      <c r="W7484">
        <f t="shared" si="467"/>
        <v>0</v>
      </c>
    </row>
    <row r="7485" spans="5:23" x14ac:dyDescent="0.25">
      <c r="E7485" s="4"/>
      <c r="F7485" s="4"/>
      <c r="G7485" s="33" t="str">
        <f>IFERROR(VLOOKUP($D7485,'Informations sur les produits'!$A$3:$H$10000,8,FALSE),"0")</f>
        <v>0</v>
      </c>
      <c r="K7485" s="4"/>
      <c r="L7485" s="33" t="str">
        <f>IFERROR(VLOOKUP($J7485,'Informations sur les produits'!$A$3:$H$10000,8,FALSE),"0")</f>
        <v>0</v>
      </c>
      <c r="N7485" s="8"/>
      <c r="O7485" s="33" t="str">
        <f>IFERROR(VLOOKUP($M7485,'Informations sur les produits'!$A$3:$H$10000,8,FALSE),"0")</f>
        <v>0</v>
      </c>
      <c r="P7485" s="33">
        <f t="shared" si="464"/>
        <v>0</v>
      </c>
      <c r="Q7485" s="31" t="str">
        <f t="shared" si="465"/>
        <v/>
      </c>
      <c r="R7485" s="32" t="str">
        <f>IFERROR(VLOOKUP($D7485,'Informations sur les produits'!$A$3:$B$15000,2,FALSE),"")</f>
        <v/>
      </c>
      <c r="V7485">
        <f t="shared" si="466"/>
        <v>0</v>
      </c>
      <c r="W7485">
        <f t="shared" si="467"/>
        <v>0</v>
      </c>
    </row>
    <row r="7486" spans="5:23" x14ac:dyDescent="0.25">
      <c r="E7486" s="4"/>
      <c r="F7486" s="4"/>
      <c r="G7486" s="33" t="str">
        <f>IFERROR(VLOOKUP($D7486,'Informations sur les produits'!$A$3:$H$10000,8,FALSE),"0")</f>
        <v>0</v>
      </c>
      <c r="K7486" s="4"/>
      <c r="L7486" s="33" t="str">
        <f>IFERROR(VLOOKUP($J7486,'Informations sur les produits'!$A$3:$H$10000,8,FALSE),"0")</f>
        <v>0</v>
      </c>
      <c r="N7486" s="8"/>
      <c r="O7486" s="33" t="str">
        <f>IFERROR(VLOOKUP($M7486,'Informations sur les produits'!$A$3:$H$10000,8,FALSE),"0")</f>
        <v>0</v>
      </c>
      <c r="P7486" s="33">
        <f t="shared" si="464"/>
        <v>0</v>
      </c>
      <c r="Q7486" s="31" t="str">
        <f t="shared" si="465"/>
        <v/>
      </c>
      <c r="R7486" s="32" t="str">
        <f>IFERROR(VLOOKUP($D7486,'Informations sur les produits'!$A$3:$B$15000,2,FALSE),"")</f>
        <v/>
      </c>
      <c r="V7486">
        <f t="shared" si="466"/>
        <v>0</v>
      </c>
      <c r="W7486">
        <f t="shared" si="467"/>
        <v>0</v>
      </c>
    </row>
    <row r="7487" spans="5:23" x14ac:dyDescent="0.25">
      <c r="E7487" s="4"/>
      <c r="F7487" s="4"/>
      <c r="G7487" s="33" t="str">
        <f>IFERROR(VLOOKUP($D7487,'Informations sur les produits'!$A$3:$H$10000,8,FALSE),"0")</f>
        <v>0</v>
      </c>
      <c r="K7487" s="4"/>
      <c r="L7487" s="33" t="str">
        <f>IFERROR(VLOOKUP($J7487,'Informations sur les produits'!$A$3:$H$10000,8,FALSE),"0")</f>
        <v>0</v>
      </c>
      <c r="N7487" s="8"/>
      <c r="O7487" s="33" t="str">
        <f>IFERROR(VLOOKUP($M7487,'Informations sur les produits'!$A$3:$H$10000,8,FALSE),"0")</f>
        <v>0</v>
      </c>
      <c r="P7487" s="33">
        <f t="shared" si="464"/>
        <v>0</v>
      </c>
      <c r="Q7487" s="31" t="str">
        <f t="shared" si="465"/>
        <v/>
      </c>
      <c r="R7487" s="32" t="str">
        <f>IFERROR(VLOOKUP($D7487,'Informations sur les produits'!$A$3:$B$15000,2,FALSE),"")</f>
        <v/>
      </c>
      <c r="V7487">
        <f t="shared" si="466"/>
        <v>0</v>
      </c>
      <c r="W7487">
        <f t="shared" si="467"/>
        <v>0</v>
      </c>
    </row>
    <row r="7488" spans="5:23" x14ac:dyDescent="0.25">
      <c r="E7488" s="4"/>
      <c r="F7488" s="4"/>
      <c r="G7488" s="33" t="str">
        <f>IFERROR(VLOOKUP($D7488,'Informations sur les produits'!$A$3:$H$10000,8,FALSE),"0")</f>
        <v>0</v>
      </c>
      <c r="K7488" s="4"/>
      <c r="L7488" s="33" t="str">
        <f>IFERROR(VLOOKUP($J7488,'Informations sur les produits'!$A$3:$H$10000,8,FALSE),"0")</f>
        <v>0</v>
      </c>
      <c r="N7488" s="8"/>
      <c r="O7488" s="33" t="str">
        <f>IFERROR(VLOOKUP($M7488,'Informations sur les produits'!$A$3:$H$10000,8,FALSE),"0")</f>
        <v>0</v>
      </c>
      <c r="P7488" s="33">
        <f t="shared" si="464"/>
        <v>0</v>
      </c>
      <c r="Q7488" s="31" t="str">
        <f t="shared" si="465"/>
        <v/>
      </c>
      <c r="R7488" s="32" t="str">
        <f>IFERROR(VLOOKUP($D7488,'Informations sur les produits'!$A$3:$B$15000,2,FALSE),"")</f>
        <v/>
      </c>
      <c r="V7488">
        <f t="shared" si="466"/>
        <v>0</v>
      </c>
      <c r="W7488">
        <f t="shared" si="467"/>
        <v>0</v>
      </c>
    </row>
    <row r="7489" spans="5:23" x14ac:dyDescent="0.25">
      <c r="E7489" s="4"/>
      <c r="F7489" s="4"/>
      <c r="G7489" s="33" t="str">
        <f>IFERROR(VLOOKUP($D7489,'Informations sur les produits'!$A$3:$H$10000,8,FALSE),"0")</f>
        <v>0</v>
      </c>
      <c r="K7489" s="4"/>
      <c r="L7489" s="33" t="str">
        <f>IFERROR(VLOOKUP($J7489,'Informations sur les produits'!$A$3:$H$10000,8,FALSE),"0")</f>
        <v>0</v>
      </c>
      <c r="N7489" s="8"/>
      <c r="O7489" s="33" t="str">
        <f>IFERROR(VLOOKUP($M7489,'Informations sur les produits'!$A$3:$H$10000,8,FALSE),"0")</f>
        <v>0</v>
      </c>
      <c r="P7489" s="33">
        <f t="shared" si="464"/>
        <v>0</v>
      </c>
      <c r="Q7489" s="31" t="str">
        <f t="shared" si="465"/>
        <v/>
      </c>
      <c r="R7489" s="32" t="str">
        <f>IFERROR(VLOOKUP($D7489,'Informations sur les produits'!$A$3:$B$15000,2,FALSE),"")</f>
        <v/>
      </c>
      <c r="V7489">
        <f t="shared" si="466"/>
        <v>0</v>
      </c>
      <c r="W7489">
        <f t="shared" si="467"/>
        <v>0</v>
      </c>
    </row>
    <row r="7490" spans="5:23" x14ac:dyDescent="0.25">
      <c r="E7490" s="4"/>
      <c r="F7490" s="4"/>
      <c r="G7490" s="33" t="str">
        <f>IFERROR(VLOOKUP($D7490,'Informations sur les produits'!$A$3:$H$10000,8,FALSE),"0")</f>
        <v>0</v>
      </c>
      <c r="K7490" s="4"/>
      <c r="L7490" s="33" t="str">
        <f>IFERROR(VLOOKUP($J7490,'Informations sur les produits'!$A$3:$H$10000,8,FALSE),"0")</f>
        <v>0</v>
      </c>
      <c r="N7490" s="8"/>
      <c r="O7490" s="33" t="str">
        <f>IFERROR(VLOOKUP($M7490,'Informations sur les produits'!$A$3:$H$10000,8,FALSE),"0")</f>
        <v>0</v>
      </c>
      <c r="P7490" s="33">
        <f t="shared" si="464"/>
        <v>0</v>
      </c>
      <c r="Q7490" s="31" t="str">
        <f t="shared" si="465"/>
        <v/>
      </c>
      <c r="R7490" s="32" t="str">
        <f>IFERROR(VLOOKUP($D7490,'Informations sur les produits'!$A$3:$B$15000,2,FALSE),"")</f>
        <v/>
      </c>
      <c r="V7490">
        <f t="shared" si="466"/>
        <v>0</v>
      </c>
      <c r="W7490">
        <f t="shared" si="467"/>
        <v>0</v>
      </c>
    </row>
    <row r="7491" spans="5:23" x14ac:dyDescent="0.25">
      <c r="E7491" s="4"/>
      <c r="F7491" s="4"/>
      <c r="G7491" s="33" t="str">
        <f>IFERROR(VLOOKUP($D7491,'Informations sur les produits'!$A$3:$H$10000,8,FALSE),"0")</f>
        <v>0</v>
      </c>
      <c r="K7491" s="4"/>
      <c r="L7491" s="33" t="str">
        <f>IFERROR(VLOOKUP($J7491,'Informations sur les produits'!$A$3:$H$10000,8,FALSE),"0")</f>
        <v>0</v>
      </c>
      <c r="N7491" s="8"/>
      <c r="O7491" s="33" t="str">
        <f>IFERROR(VLOOKUP($M7491,'Informations sur les produits'!$A$3:$H$10000,8,FALSE),"0")</f>
        <v>0</v>
      </c>
      <c r="P7491" s="33">
        <f t="shared" si="464"/>
        <v>0</v>
      </c>
      <c r="Q7491" s="31" t="str">
        <f t="shared" si="465"/>
        <v/>
      </c>
      <c r="R7491" s="32" t="str">
        <f>IFERROR(VLOOKUP($D7491,'Informations sur les produits'!$A$3:$B$15000,2,FALSE),"")</f>
        <v/>
      </c>
      <c r="V7491">
        <f t="shared" si="466"/>
        <v>0</v>
      </c>
      <c r="W7491">
        <f t="shared" si="467"/>
        <v>0</v>
      </c>
    </row>
    <row r="7492" spans="5:23" x14ac:dyDescent="0.25">
      <c r="E7492" s="4"/>
      <c r="F7492" s="4"/>
      <c r="G7492" s="33" t="str">
        <f>IFERROR(VLOOKUP($D7492,'Informations sur les produits'!$A$3:$H$10000,8,FALSE),"0")</f>
        <v>0</v>
      </c>
      <c r="K7492" s="4"/>
      <c r="L7492" s="33" t="str">
        <f>IFERROR(VLOOKUP($J7492,'Informations sur les produits'!$A$3:$H$10000,8,FALSE),"0")</f>
        <v>0</v>
      </c>
      <c r="N7492" s="8"/>
      <c r="O7492" s="33" t="str">
        <f>IFERROR(VLOOKUP($M7492,'Informations sur les produits'!$A$3:$H$10000,8,FALSE),"0")</f>
        <v>0</v>
      </c>
      <c r="P7492" s="33">
        <f t="shared" ref="P7492:P7555" si="468">IFERROR((($E7492-$F7492)*$G7492+$K7492*$L7492+$N7492*$O7492),"")</f>
        <v>0</v>
      </c>
      <c r="Q7492" s="31" t="str">
        <f t="shared" ref="Q7492:Q7555" si="469">IFERROR((((($E7492-$F7492)*$G7492+$K7492*$L7492+$N7492*$O7492)*1000)/(($E7492-$F7492)+$K7492+$N7492)),"")</f>
        <v/>
      </c>
      <c r="R7492" s="32" t="str">
        <f>IFERROR(VLOOKUP($D7492,'Informations sur les produits'!$A$3:$B$15000,2,FALSE),"")</f>
        <v/>
      </c>
      <c r="V7492">
        <f t="shared" ref="V7492:V7555" si="470">IFERROR(P7492*1000,"")</f>
        <v>0</v>
      </c>
      <c r="W7492">
        <f t="shared" ref="W7492:W7555" si="471">IFERROR(($E7492-$F7492)+$K7492+$N7492,"")</f>
        <v>0</v>
      </c>
    </row>
    <row r="7493" spans="5:23" x14ac:dyDescent="0.25">
      <c r="E7493" s="4"/>
      <c r="F7493" s="4"/>
      <c r="G7493" s="33" t="str">
        <f>IFERROR(VLOOKUP($D7493,'Informations sur les produits'!$A$3:$H$10000,8,FALSE),"0")</f>
        <v>0</v>
      </c>
      <c r="K7493" s="4"/>
      <c r="L7493" s="33" t="str">
        <f>IFERROR(VLOOKUP($J7493,'Informations sur les produits'!$A$3:$H$10000,8,FALSE),"0")</f>
        <v>0</v>
      </c>
      <c r="N7493" s="8"/>
      <c r="O7493" s="33" t="str">
        <f>IFERROR(VLOOKUP($M7493,'Informations sur les produits'!$A$3:$H$10000,8,FALSE),"0")</f>
        <v>0</v>
      </c>
      <c r="P7493" s="33">
        <f t="shared" si="468"/>
        <v>0</v>
      </c>
      <c r="Q7493" s="31" t="str">
        <f t="shared" si="469"/>
        <v/>
      </c>
      <c r="R7493" s="32" t="str">
        <f>IFERROR(VLOOKUP($D7493,'Informations sur les produits'!$A$3:$B$15000,2,FALSE),"")</f>
        <v/>
      </c>
      <c r="V7493">
        <f t="shared" si="470"/>
        <v>0</v>
      </c>
      <c r="W7493">
        <f t="shared" si="471"/>
        <v>0</v>
      </c>
    </row>
    <row r="7494" spans="5:23" x14ac:dyDescent="0.25">
      <c r="E7494" s="4"/>
      <c r="F7494" s="4"/>
      <c r="G7494" s="33" t="str">
        <f>IFERROR(VLOOKUP($D7494,'Informations sur les produits'!$A$3:$H$10000,8,FALSE),"0")</f>
        <v>0</v>
      </c>
      <c r="K7494" s="4"/>
      <c r="L7494" s="33" t="str">
        <f>IFERROR(VLOOKUP($J7494,'Informations sur les produits'!$A$3:$H$10000,8,FALSE),"0")</f>
        <v>0</v>
      </c>
      <c r="N7494" s="8"/>
      <c r="O7494" s="33" t="str">
        <f>IFERROR(VLOOKUP($M7494,'Informations sur les produits'!$A$3:$H$10000,8,FALSE),"0")</f>
        <v>0</v>
      </c>
      <c r="P7494" s="33">
        <f t="shared" si="468"/>
        <v>0</v>
      </c>
      <c r="Q7494" s="31" t="str">
        <f t="shared" si="469"/>
        <v/>
      </c>
      <c r="R7494" s="32" t="str">
        <f>IFERROR(VLOOKUP($D7494,'Informations sur les produits'!$A$3:$B$15000,2,FALSE),"")</f>
        <v/>
      </c>
      <c r="V7494">
        <f t="shared" si="470"/>
        <v>0</v>
      </c>
      <c r="W7494">
        <f t="shared" si="471"/>
        <v>0</v>
      </c>
    </row>
    <row r="7495" spans="5:23" x14ac:dyDescent="0.25">
      <c r="E7495" s="4"/>
      <c r="F7495" s="4"/>
      <c r="G7495" s="33" t="str">
        <f>IFERROR(VLOOKUP($D7495,'Informations sur les produits'!$A$3:$H$10000,8,FALSE),"0")</f>
        <v>0</v>
      </c>
      <c r="K7495" s="4"/>
      <c r="L7495" s="33" t="str">
        <f>IFERROR(VLOOKUP($J7495,'Informations sur les produits'!$A$3:$H$10000,8,FALSE),"0")</f>
        <v>0</v>
      </c>
      <c r="N7495" s="8"/>
      <c r="O7495" s="33" t="str">
        <f>IFERROR(VLOOKUP($M7495,'Informations sur les produits'!$A$3:$H$10000,8,FALSE),"0")</f>
        <v>0</v>
      </c>
      <c r="P7495" s="33">
        <f t="shared" si="468"/>
        <v>0</v>
      </c>
      <c r="Q7495" s="31" t="str">
        <f t="shared" si="469"/>
        <v/>
      </c>
      <c r="R7495" s="32" t="str">
        <f>IFERROR(VLOOKUP($D7495,'Informations sur les produits'!$A$3:$B$15000,2,FALSE),"")</f>
        <v/>
      </c>
      <c r="V7495">
        <f t="shared" si="470"/>
        <v>0</v>
      </c>
      <c r="W7495">
        <f t="shared" si="471"/>
        <v>0</v>
      </c>
    </row>
    <row r="7496" spans="5:23" x14ac:dyDescent="0.25">
      <c r="E7496" s="4"/>
      <c r="F7496" s="4"/>
      <c r="G7496" s="33" t="str">
        <f>IFERROR(VLOOKUP($D7496,'Informations sur les produits'!$A$3:$H$10000,8,FALSE),"0")</f>
        <v>0</v>
      </c>
      <c r="K7496" s="4"/>
      <c r="L7496" s="33" t="str">
        <f>IFERROR(VLOOKUP($J7496,'Informations sur les produits'!$A$3:$H$10000,8,FALSE),"0")</f>
        <v>0</v>
      </c>
      <c r="N7496" s="8"/>
      <c r="O7496" s="33" t="str">
        <f>IFERROR(VLOOKUP($M7496,'Informations sur les produits'!$A$3:$H$10000,8,FALSE),"0")</f>
        <v>0</v>
      </c>
      <c r="P7496" s="33">
        <f t="shared" si="468"/>
        <v>0</v>
      </c>
      <c r="Q7496" s="31" t="str">
        <f t="shared" si="469"/>
        <v/>
      </c>
      <c r="R7496" s="32" t="str">
        <f>IFERROR(VLOOKUP($D7496,'Informations sur les produits'!$A$3:$B$15000,2,FALSE),"")</f>
        <v/>
      </c>
      <c r="V7496">
        <f t="shared" si="470"/>
        <v>0</v>
      </c>
      <c r="W7496">
        <f t="shared" si="471"/>
        <v>0</v>
      </c>
    </row>
    <row r="7497" spans="5:23" x14ac:dyDescent="0.25">
      <c r="E7497" s="4"/>
      <c r="F7497" s="4"/>
      <c r="G7497" s="33" t="str">
        <f>IFERROR(VLOOKUP($D7497,'Informations sur les produits'!$A$3:$H$10000,8,FALSE),"0")</f>
        <v>0</v>
      </c>
      <c r="K7497" s="4"/>
      <c r="L7497" s="33" t="str">
        <f>IFERROR(VLOOKUP($J7497,'Informations sur les produits'!$A$3:$H$10000,8,FALSE),"0")</f>
        <v>0</v>
      </c>
      <c r="N7497" s="8"/>
      <c r="O7497" s="33" t="str">
        <f>IFERROR(VLOOKUP($M7497,'Informations sur les produits'!$A$3:$H$10000,8,FALSE),"0")</f>
        <v>0</v>
      </c>
      <c r="P7497" s="33">
        <f t="shared" si="468"/>
        <v>0</v>
      </c>
      <c r="Q7497" s="31" t="str">
        <f t="shared" si="469"/>
        <v/>
      </c>
      <c r="R7497" s="32" t="str">
        <f>IFERROR(VLOOKUP($D7497,'Informations sur les produits'!$A$3:$B$15000,2,FALSE),"")</f>
        <v/>
      </c>
      <c r="V7497">
        <f t="shared" si="470"/>
        <v>0</v>
      </c>
      <c r="W7497">
        <f t="shared" si="471"/>
        <v>0</v>
      </c>
    </row>
    <row r="7498" spans="5:23" x14ac:dyDescent="0.25">
      <c r="E7498" s="4"/>
      <c r="F7498" s="4"/>
      <c r="G7498" s="33" t="str">
        <f>IFERROR(VLOOKUP($D7498,'Informations sur les produits'!$A$3:$H$10000,8,FALSE),"0")</f>
        <v>0</v>
      </c>
      <c r="K7498" s="4"/>
      <c r="L7498" s="33" t="str">
        <f>IFERROR(VLOOKUP($J7498,'Informations sur les produits'!$A$3:$H$10000,8,FALSE),"0")</f>
        <v>0</v>
      </c>
      <c r="N7498" s="8"/>
      <c r="O7498" s="33" t="str">
        <f>IFERROR(VLOOKUP($M7498,'Informations sur les produits'!$A$3:$H$10000,8,FALSE),"0")</f>
        <v>0</v>
      </c>
      <c r="P7498" s="33">
        <f t="shared" si="468"/>
        <v>0</v>
      </c>
      <c r="Q7498" s="31" t="str">
        <f t="shared" si="469"/>
        <v/>
      </c>
      <c r="R7498" s="32" t="str">
        <f>IFERROR(VLOOKUP($D7498,'Informations sur les produits'!$A$3:$B$15000,2,FALSE),"")</f>
        <v/>
      </c>
      <c r="V7498">
        <f t="shared" si="470"/>
        <v>0</v>
      </c>
      <c r="W7498">
        <f t="shared" si="471"/>
        <v>0</v>
      </c>
    </row>
    <row r="7499" spans="5:23" x14ac:dyDescent="0.25">
      <c r="E7499" s="4"/>
      <c r="F7499" s="4"/>
      <c r="G7499" s="33" t="str">
        <f>IFERROR(VLOOKUP($D7499,'Informations sur les produits'!$A$3:$H$10000,8,FALSE),"0")</f>
        <v>0</v>
      </c>
      <c r="K7499" s="4"/>
      <c r="L7499" s="33" t="str">
        <f>IFERROR(VLOOKUP($J7499,'Informations sur les produits'!$A$3:$H$10000,8,FALSE),"0")</f>
        <v>0</v>
      </c>
      <c r="N7499" s="8"/>
      <c r="O7499" s="33" t="str">
        <f>IFERROR(VLOOKUP($M7499,'Informations sur les produits'!$A$3:$H$10000,8,FALSE),"0")</f>
        <v>0</v>
      </c>
      <c r="P7499" s="33">
        <f t="shared" si="468"/>
        <v>0</v>
      </c>
      <c r="Q7499" s="31" t="str">
        <f t="shared" si="469"/>
        <v/>
      </c>
      <c r="R7499" s="32" t="str">
        <f>IFERROR(VLOOKUP($D7499,'Informations sur les produits'!$A$3:$B$15000,2,FALSE),"")</f>
        <v/>
      </c>
      <c r="V7499">
        <f t="shared" si="470"/>
        <v>0</v>
      </c>
      <c r="W7499">
        <f t="shared" si="471"/>
        <v>0</v>
      </c>
    </row>
    <row r="7500" spans="5:23" x14ac:dyDescent="0.25">
      <c r="E7500" s="4"/>
      <c r="F7500" s="4"/>
      <c r="G7500" s="33" t="str">
        <f>IFERROR(VLOOKUP($D7500,'Informations sur les produits'!$A$3:$H$10000,8,FALSE),"0")</f>
        <v>0</v>
      </c>
      <c r="K7500" s="4"/>
      <c r="L7500" s="33" t="str">
        <f>IFERROR(VLOOKUP($J7500,'Informations sur les produits'!$A$3:$H$10000,8,FALSE),"0")</f>
        <v>0</v>
      </c>
      <c r="N7500" s="8"/>
      <c r="O7500" s="33" t="str">
        <f>IFERROR(VLOOKUP($M7500,'Informations sur les produits'!$A$3:$H$10000,8,FALSE),"0")</f>
        <v>0</v>
      </c>
      <c r="P7500" s="33">
        <f t="shared" si="468"/>
        <v>0</v>
      </c>
      <c r="Q7500" s="31" t="str">
        <f t="shared" si="469"/>
        <v/>
      </c>
      <c r="R7500" s="32" t="str">
        <f>IFERROR(VLOOKUP($D7500,'Informations sur les produits'!$A$3:$B$15000,2,FALSE),"")</f>
        <v/>
      </c>
      <c r="V7500">
        <f t="shared" si="470"/>
        <v>0</v>
      </c>
      <c r="W7500">
        <f t="shared" si="471"/>
        <v>0</v>
      </c>
    </row>
    <row r="7501" spans="5:23" x14ac:dyDescent="0.25">
      <c r="E7501" s="4"/>
      <c r="F7501" s="4"/>
      <c r="G7501" s="33" t="str">
        <f>IFERROR(VLOOKUP($D7501,'Informations sur les produits'!$A$3:$H$10000,8,FALSE),"0")</f>
        <v>0</v>
      </c>
      <c r="K7501" s="4"/>
      <c r="L7501" s="33" t="str">
        <f>IFERROR(VLOOKUP($J7501,'Informations sur les produits'!$A$3:$H$10000,8,FALSE),"0")</f>
        <v>0</v>
      </c>
      <c r="N7501" s="8"/>
      <c r="O7501" s="33" t="str">
        <f>IFERROR(VLOOKUP($M7501,'Informations sur les produits'!$A$3:$H$10000,8,FALSE),"0")</f>
        <v>0</v>
      </c>
      <c r="P7501" s="33">
        <f t="shared" si="468"/>
        <v>0</v>
      </c>
      <c r="Q7501" s="31" t="str">
        <f t="shared" si="469"/>
        <v/>
      </c>
      <c r="R7501" s="32" t="str">
        <f>IFERROR(VLOOKUP($D7501,'Informations sur les produits'!$A$3:$B$15000,2,FALSE),"")</f>
        <v/>
      </c>
      <c r="V7501">
        <f t="shared" si="470"/>
        <v>0</v>
      </c>
      <c r="W7501">
        <f t="shared" si="471"/>
        <v>0</v>
      </c>
    </row>
    <row r="7502" spans="5:23" x14ac:dyDescent="0.25">
      <c r="E7502" s="4"/>
      <c r="F7502" s="4"/>
      <c r="G7502" s="33" t="str">
        <f>IFERROR(VLOOKUP($D7502,'Informations sur les produits'!$A$3:$H$10000,8,FALSE),"0")</f>
        <v>0</v>
      </c>
      <c r="K7502" s="4"/>
      <c r="L7502" s="33" t="str">
        <f>IFERROR(VLOOKUP($J7502,'Informations sur les produits'!$A$3:$H$10000,8,FALSE),"0")</f>
        <v>0</v>
      </c>
      <c r="N7502" s="8"/>
      <c r="O7502" s="33" t="str">
        <f>IFERROR(VLOOKUP($M7502,'Informations sur les produits'!$A$3:$H$10000,8,FALSE),"0")</f>
        <v>0</v>
      </c>
      <c r="P7502" s="33">
        <f t="shared" si="468"/>
        <v>0</v>
      </c>
      <c r="Q7502" s="31" t="str">
        <f t="shared" si="469"/>
        <v/>
      </c>
      <c r="R7502" s="32" t="str">
        <f>IFERROR(VLOOKUP($D7502,'Informations sur les produits'!$A$3:$B$15000,2,FALSE),"")</f>
        <v/>
      </c>
      <c r="V7502">
        <f t="shared" si="470"/>
        <v>0</v>
      </c>
      <c r="W7502">
        <f t="shared" si="471"/>
        <v>0</v>
      </c>
    </row>
    <row r="7503" spans="5:23" x14ac:dyDescent="0.25">
      <c r="E7503" s="4"/>
      <c r="F7503" s="4"/>
      <c r="G7503" s="33" t="str">
        <f>IFERROR(VLOOKUP($D7503,'Informations sur les produits'!$A$3:$H$10000,8,FALSE),"0")</f>
        <v>0</v>
      </c>
      <c r="K7503" s="4"/>
      <c r="L7503" s="33" t="str">
        <f>IFERROR(VLOOKUP($J7503,'Informations sur les produits'!$A$3:$H$10000,8,FALSE),"0")</f>
        <v>0</v>
      </c>
      <c r="N7503" s="8"/>
      <c r="O7503" s="33" t="str">
        <f>IFERROR(VLOOKUP($M7503,'Informations sur les produits'!$A$3:$H$10000,8,FALSE),"0")</f>
        <v>0</v>
      </c>
      <c r="P7503" s="33">
        <f t="shared" si="468"/>
        <v>0</v>
      </c>
      <c r="Q7503" s="31" t="str">
        <f t="shared" si="469"/>
        <v/>
      </c>
      <c r="R7503" s="32" t="str">
        <f>IFERROR(VLOOKUP($D7503,'Informations sur les produits'!$A$3:$B$15000,2,FALSE),"")</f>
        <v/>
      </c>
      <c r="V7503">
        <f t="shared" si="470"/>
        <v>0</v>
      </c>
      <c r="W7503">
        <f t="shared" si="471"/>
        <v>0</v>
      </c>
    </row>
    <row r="7504" spans="5:23" x14ac:dyDescent="0.25">
      <c r="E7504" s="4"/>
      <c r="F7504" s="4"/>
      <c r="G7504" s="33" t="str">
        <f>IFERROR(VLOOKUP($D7504,'Informations sur les produits'!$A$3:$H$10000,8,FALSE),"0")</f>
        <v>0</v>
      </c>
      <c r="K7504" s="4"/>
      <c r="L7504" s="33" t="str">
        <f>IFERROR(VLOOKUP($J7504,'Informations sur les produits'!$A$3:$H$10000,8,FALSE),"0")</f>
        <v>0</v>
      </c>
      <c r="N7504" s="8"/>
      <c r="O7504" s="33" t="str">
        <f>IFERROR(VLOOKUP($M7504,'Informations sur les produits'!$A$3:$H$10000,8,FALSE),"0")</f>
        <v>0</v>
      </c>
      <c r="P7504" s="33">
        <f t="shared" si="468"/>
        <v>0</v>
      </c>
      <c r="Q7504" s="31" t="str">
        <f t="shared" si="469"/>
        <v/>
      </c>
      <c r="R7504" s="32" t="str">
        <f>IFERROR(VLOOKUP($D7504,'Informations sur les produits'!$A$3:$B$15000,2,FALSE),"")</f>
        <v/>
      </c>
      <c r="V7504">
        <f t="shared" si="470"/>
        <v>0</v>
      </c>
      <c r="W7504">
        <f t="shared" si="471"/>
        <v>0</v>
      </c>
    </row>
    <row r="7505" spans="5:23" x14ac:dyDescent="0.25">
      <c r="E7505" s="4"/>
      <c r="F7505" s="4"/>
      <c r="G7505" s="33" t="str">
        <f>IFERROR(VLOOKUP($D7505,'Informations sur les produits'!$A$3:$H$10000,8,FALSE),"0")</f>
        <v>0</v>
      </c>
      <c r="K7505" s="4"/>
      <c r="L7505" s="33" t="str">
        <f>IFERROR(VLOOKUP($J7505,'Informations sur les produits'!$A$3:$H$10000,8,FALSE),"0")</f>
        <v>0</v>
      </c>
      <c r="N7505" s="8"/>
      <c r="O7505" s="33" t="str">
        <f>IFERROR(VLOOKUP($M7505,'Informations sur les produits'!$A$3:$H$10000,8,FALSE),"0")</f>
        <v>0</v>
      </c>
      <c r="P7505" s="33">
        <f t="shared" si="468"/>
        <v>0</v>
      </c>
      <c r="Q7505" s="31" t="str">
        <f t="shared" si="469"/>
        <v/>
      </c>
      <c r="R7505" s="32" t="str">
        <f>IFERROR(VLOOKUP($D7505,'Informations sur les produits'!$A$3:$B$15000,2,FALSE),"")</f>
        <v/>
      </c>
      <c r="V7505">
        <f t="shared" si="470"/>
        <v>0</v>
      </c>
      <c r="W7505">
        <f t="shared" si="471"/>
        <v>0</v>
      </c>
    </row>
    <row r="7506" spans="5:23" x14ac:dyDescent="0.25">
      <c r="E7506" s="4"/>
      <c r="F7506" s="4"/>
      <c r="G7506" s="33" t="str">
        <f>IFERROR(VLOOKUP($D7506,'Informations sur les produits'!$A$3:$H$10000,8,FALSE),"0")</f>
        <v>0</v>
      </c>
      <c r="K7506" s="4"/>
      <c r="L7506" s="33" t="str">
        <f>IFERROR(VLOOKUP($J7506,'Informations sur les produits'!$A$3:$H$10000,8,FALSE),"0")</f>
        <v>0</v>
      </c>
      <c r="N7506" s="8"/>
      <c r="O7506" s="33" t="str">
        <f>IFERROR(VLOOKUP($M7506,'Informations sur les produits'!$A$3:$H$10000,8,FALSE),"0")</f>
        <v>0</v>
      </c>
      <c r="P7506" s="33">
        <f t="shared" si="468"/>
        <v>0</v>
      </c>
      <c r="Q7506" s="31" t="str">
        <f t="shared" si="469"/>
        <v/>
      </c>
      <c r="R7506" s="32" t="str">
        <f>IFERROR(VLOOKUP($D7506,'Informations sur les produits'!$A$3:$B$15000,2,FALSE),"")</f>
        <v/>
      </c>
      <c r="V7506">
        <f t="shared" si="470"/>
        <v>0</v>
      </c>
      <c r="W7506">
        <f t="shared" si="471"/>
        <v>0</v>
      </c>
    </row>
    <row r="7507" spans="5:23" x14ac:dyDescent="0.25">
      <c r="E7507" s="4"/>
      <c r="F7507" s="4"/>
      <c r="G7507" s="33" t="str">
        <f>IFERROR(VLOOKUP($D7507,'Informations sur les produits'!$A$3:$H$10000,8,FALSE),"0")</f>
        <v>0</v>
      </c>
      <c r="K7507" s="4"/>
      <c r="L7507" s="33" t="str">
        <f>IFERROR(VLOOKUP($J7507,'Informations sur les produits'!$A$3:$H$10000,8,FALSE),"0")</f>
        <v>0</v>
      </c>
      <c r="N7507" s="8"/>
      <c r="O7507" s="33" t="str">
        <f>IFERROR(VLOOKUP($M7507,'Informations sur les produits'!$A$3:$H$10000,8,FALSE),"0")</f>
        <v>0</v>
      </c>
      <c r="P7507" s="33">
        <f t="shared" si="468"/>
        <v>0</v>
      </c>
      <c r="Q7507" s="31" t="str">
        <f t="shared" si="469"/>
        <v/>
      </c>
      <c r="R7507" s="32" t="str">
        <f>IFERROR(VLOOKUP($D7507,'Informations sur les produits'!$A$3:$B$15000,2,FALSE),"")</f>
        <v/>
      </c>
      <c r="V7507">
        <f t="shared" si="470"/>
        <v>0</v>
      </c>
      <c r="W7507">
        <f t="shared" si="471"/>
        <v>0</v>
      </c>
    </row>
    <row r="7508" spans="5:23" x14ac:dyDescent="0.25">
      <c r="E7508" s="4"/>
      <c r="F7508" s="4"/>
      <c r="G7508" s="33" t="str">
        <f>IFERROR(VLOOKUP($D7508,'Informations sur les produits'!$A$3:$H$10000,8,FALSE),"0")</f>
        <v>0</v>
      </c>
      <c r="K7508" s="4"/>
      <c r="L7508" s="33" t="str">
        <f>IFERROR(VLOOKUP($J7508,'Informations sur les produits'!$A$3:$H$10000,8,FALSE),"0")</f>
        <v>0</v>
      </c>
      <c r="N7508" s="8"/>
      <c r="O7508" s="33" t="str">
        <f>IFERROR(VLOOKUP($M7508,'Informations sur les produits'!$A$3:$H$10000,8,FALSE),"0")</f>
        <v>0</v>
      </c>
      <c r="P7508" s="33">
        <f t="shared" si="468"/>
        <v>0</v>
      </c>
      <c r="Q7508" s="31" t="str">
        <f t="shared" si="469"/>
        <v/>
      </c>
      <c r="R7508" s="32" t="str">
        <f>IFERROR(VLOOKUP($D7508,'Informations sur les produits'!$A$3:$B$15000,2,FALSE),"")</f>
        <v/>
      </c>
      <c r="V7508">
        <f t="shared" si="470"/>
        <v>0</v>
      </c>
      <c r="W7508">
        <f t="shared" si="471"/>
        <v>0</v>
      </c>
    </row>
    <row r="7509" spans="5:23" x14ac:dyDescent="0.25">
      <c r="E7509" s="4"/>
      <c r="F7509" s="4"/>
      <c r="G7509" s="33" t="str">
        <f>IFERROR(VLOOKUP($D7509,'Informations sur les produits'!$A$3:$H$10000,8,FALSE),"0")</f>
        <v>0</v>
      </c>
      <c r="K7509" s="4"/>
      <c r="L7509" s="33" t="str">
        <f>IFERROR(VLOOKUP($J7509,'Informations sur les produits'!$A$3:$H$10000,8,FALSE),"0")</f>
        <v>0</v>
      </c>
      <c r="N7509" s="8"/>
      <c r="O7509" s="33" t="str">
        <f>IFERROR(VLOOKUP($M7509,'Informations sur les produits'!$A$3:$H$10000,8,FALSE),"0")</f>
        <v>0</v>
      </c>
      <c r="P7509" s="33">
        <f t="shared" si="468"/>
        <v>0</v>
      </c>
      <c r="Q7509" s="31" t="str">
        <f t="shared" si="469"/>
        <v/>
      </c>
      <c r="R7509" s="32" t="str">
        <f>IFERROR(VLOOKUP($D7509,'Informations sur les produits'!$A$3:$B$15000,2,FALSE),"")</f>
        <v/>
      </c>
      <c r="V7509">
        <f t="shared" si="470"/>
        <v>0</v>
      </c>
      <c r="W7509">
        <f t="shared" si="471"/>
        <v>0</v>
      </c>
    </row>
    <row r="7510" spans="5:23" x14ac:dyDescent="0.25">
      <c r="E7510" s="4"/>
      <c r="F7510" s="4"/>
      <c r="G7510" s="33" t="str">
        <f>IFERROR(VLOOKUP($D7510,'Informations sur les produits'!$A$3:$H$10000,8,FALSE),"0")</f>
        <v>0</v>
      </c>
      <c r="K7510" s="4"/>
      <c r="L7510" s="33" t="str">
        <f>IFERROR(VLOOKUP($J7510,'Informations sur les produits'!$A$3:$H$10000,8,FALSE),"0")</f>
        <v>0</v>
      </c>
      <c r="N7510" s="8"/>
      <c r="O7510" s="33" t="str">
        <f>IFERROR(VLOOKUP($M7510,'Informations sur les produits'!$A$3:$H$10000,8,FALSE),"0")</f>
        <v>0</v>
      </c>
      <c r="P7510" s="33">
        <f t="shared" si="468"/>
        <v>0</v>
      </c>
      <c r="Q7510" s="31" t="str">
        <f t="shared" si="469"/>
        <v/>
      </c>
      <c r="R7510" s="32" t="str">
        <f>IFERROR(VLOOKUP($D7510,'Informations sur les produits'!$A$3:$B$15000,2,FALSE),"")</f>
        <v/>
      </c>
      <c r="V7510">
        <f t="shared" si="470"/>
        <v>0</v>
      </c>
      <c r="W7510">
        <f t="shared" si="471"/>
        <v>0</v>
      </c>
    </row>
    <row r="7511" spans="5:23" x14ac:dyDescent="0.25">
      <c r="E7511" s="4"/>
      <c r="F7511" s="4"/>
      <c r="G7511" s="33" t="str">
        <f>IFERROR(VLOOKUP($D7511,'Informations sur les produits'!$A$3:$H$10000,8,FALSE),"0")</f>
        <v>0</v>
      </c>
      <c r="K7511" s="4"/>
      <c r="L7511" s="33" t="str">
        <f>IFERROR(VLOOKUP($J7511,'Informations sur les produits'!$A$3:$H$10000,8,FALSE),"0")</f>
        <v>0</v>
      </c>
      <c r="N7511" s="8"/>
      <c r="O7511" s="33" t="str">
        <f>IFERROR(VLOOKUP($M7511,'Informations sur les produits'!$A$3:$H$10000,8,FALSE),"0")</f>
        <v>0</v>
      </c>
      <c r="P7511" s="33">
        <f t="shared" si="468"/>
        <v>0</v>
      </c>
      <c r="Q7511" s="31" t="str">
        <f t="shared" si="469"/>
        <v/>
      </c>
      <c r="R7511" s="32" t="str">
        <f>IFERROR(VLOOKUP($D7511,'Informations sur les produits'!$A$3:$B$15000,2,FALSE),"")</f>
        <v/>
      </c>
      <c r="V7511">
        <f t="shared" si="470"/>
        <v>0</v>
      </c>
      <c r="W7511">
        <f t="shared" si="471"/>
        <v>0</v>
      </c>
    </row>
    <row r="7512" spans="5:23" x14ac:dyDescent="0.25">
      <c r="E7512" s="4"/>
      <c r="F7512" s="4"/>
      <c r="G7512" s="33" t="str">
        <f>IFERROR(VLOOKUP($D7512,'Informations sur les produits'!$A$3:$H$10000,8,FALSE),"0")</f>
        <v>0</v>
      </c>
      <c r="K7512" s="4"/>
      <c r="L7512" s="33" t="str">
        <f>IFERROR(VLOOKUP($J7512,'Informations sur les produits'!$A$3:$H$10000,8,FALSE),"0")</f>
        <v>0</v>
      </c>
      <c r="N7512" s="8"/>
      <c r="O7512" s="33" t="str">
        <f>IFERROR(VLOOKUP($M7512,'Informations sur les produits'!$A$3:$H$10000,8,FALSE),"0")</f>
        <v>0</v>
      </c>
      <c r="P7512" s="33">
        <f t="shared" si="468"/>
        <v>0</v>
      </c>
      <c r="Q7512" s="31" t="str">
        <f t="shared" si="469"/>
        <v/>
      </c>
      <c r="R7512" s="32" t="str">
        <f>IFERROR(VLOOKUP($D7512,'Informations sur les produits'!$A$3:$B$15000,2,FALSE),"")</f>
        <v/>
      </c>
      <c r="V7512">
        <f t="shared" si="470"/>
        <v>0</v>
      </c>
      <c r="W7512">
        <f t="shared" si="471"/>
        <v>0</v>
      </c>
    </row>
    <row r="7513" spans="5:23" x14ac:dyDescent="0.25">
      <c r="E7513" s="4"/>
      <c r="F7513" s="4"/>
      <c r="G7513" s="33" t="str">
        <f>IFERROR(VLOOKUP($D7513,'Informations sur les produits'!$A$3:$H$10000,8,FALSE),"0")</f>
        <v>0</v>
      </c>
      <c r="K7513" s="4"/>
      <c r="L7513" s="33" t="str">
        <f>IFERROR(VLOOKUP($J7513,'Informations sur les produits'!$A$3:$H$10000,8,FALSE),"0")</f>
        <v>0</v>
      </c>
      <c r="N7513" s="8"/>
      <c r="O7513" s="33" t="str">
        <f>IFERROR(VLOOKUP($M7513,'Informations sur les produits'!$A$3:$H$10000,8,FALSE),"0")</f>
        <v>0</v>
      </c>
      <c r="P7513" s="33">
        <f t="shared" si="468"/>
        <v>0</v>
      </c>
      <c r="Q7513" s="31" t="str">
        <f t="shared" si="469"/>
        <v/>
      </c>
      <c r="R7513" s="32" t="str">
        <f>IFERROR(VLOOKUP($D7513,'Informations sur les produits'!$A$3:$B$15000,2,FALSE),"")</f>
        <v/>
      </c>
      <c r="V7513">
        <f t="shared" si="470"/>
        <v>0</v>
      </c>
      <c r="W7513">
        <f t="shared" si="471"/>
        <v>0</v>
      </c>
    </row>
    <row r="7514" spans="5:23" x14ac:dyDescent="0.25">
      <c r="E7514" s="4"/>
      <c r="F7514" s="4"/>
      <c r="G7514" s="33" t="str">
        <f>IFERROR(VLOOKUP($D7514,'Informations sur les produits'!$A$3:$H$10000,8,FALSE),"0")</f>
        <v>0</v>
      </c>
      <c r="K7514" s="4"/>
      <c r="L7514" s="33" t="str">
        <f>IFERROR(VLOOKUP($J7514,'Informations sur les produits'!$A$3:$H$10000,8,FALSE),"0")</f>
        <v>0</v>
      </c>
      <c r="N7514" s="8"/>
      <c r="O7514" s="33" t="str">
        <f>IFERROR(VLOOKUP($M7514,'Informations sur les produits'!$A$3:$H$10000,8,FALSE),"0")</f>
        <v>0</v>
      </c>
      <c r="P7514" s="33">
        <f t="shared" si="468"/>
        <v>0</v>
      </c>
      <c r="Q7514" s="31" t="str">
        <f t="shared" si="469"/>
        <v/>
      </c>
      <c r="R7514" s="32" t="str">
        <f>IFERROR(VLOOKUP($D7514,'Informations sur les produits'!$A$3:$B$15000,2,FALSE),"")</f>
        <v/>
      </c>
      <c r="V7514">
        <f t="shared" si="470"/>
        <v>0</v>
      </c>
      <c r="W7514">
        <f t="shared" si="471"/>
        <v>0</v>
      </c>
    </row>
    <row r="7515" spans="5:23" x14ac:dyDescent="0.25">
      <c r="E7515" s="4"/>
      <c r="F7515" s="4"/>
      <c r="G7515" s="33" t="str">
        <f>IFERROR(VLOOKUP($D7515,'Informations sur les produits'!$A$3:$H$10000,8,FALSE),"0")</f>
        <v>0</v>
      </c>
      <c r="K7515" s="4"/>
      <c r="L7515" s="33" t="str">
        <f>IFERROR(VLOOKUP($J7515,'Informations sur les produits'!$A$3:$H$10000,8,FALSE),"0")</f>
        <v>0</v>
      </c>
      <c r="N7515" s="8"/>
      <c r="O7515" s="33" t="str">
        <f>IFERROR(VLOOKUP($M7515,'Informations sur les produits'!$A$3:$H$10000,8,FALSE),"0")</f>
        <v>0</v>
      </c>
      <c r="P7515" s="33">
        <f t="shared" si="468"/>
        <v>0</v>
      </c>
      <c r="Q7515" s="31" t="str">
        <f t="shared" si="469"/>
        <v/>
      </c>
      <c r="R7515" s="32" t="str">
        <f>IFERROR(VLOOKUP($D7515,'Informations sur les produits'!$A$3:$B$15000,2,FALSE),"")</f>
        <v/>
      </c>
      <c r="V7515">
        <f t="shared" si="470"/>
        <v>0</v>
      </c>
      <c r="W7515">
        <f t="shared" si="471"/>
        <v>0</v>
      </c>
    </row>
    <row r="7516" spans="5:23" x14ac:dyDescent="0.25">
      <c r="E7516" s="4"/>
      <c r="F7516" s="4"/>
      <c r="G7516" s="33" t="str">
        <f>IFERROR(VLOOKUP($D7516,'Informations sur les produits'!$A$3:$H$10000,8,FALSE),"0")</f>
        <v>0</v>
      </c>
      <c r="K7516" s="4"/>
      <c r="L7516" s="33" t="str">
        <f>IFERROR(VLOOKUP($J7516,'Informations sur les produits'!$A$3:$H$10000,8,FALSE),"0")</f>
        <v>0</v>
      </c>
      <c r="N7516" s="8"/>
      <c r="O7516" s="33" t="str">
        <f>IFERROR(VLOOKUP($M7516,'Informations sur les produits'!$A$3:$H$10000,8,FALSE),"0")</f>
        <v>0</v>
      </c>
      <c r="P7516" s="33">
        <f t="shared" si="468"/>
        <v>0</v>
      </c>
      <c r="Q7516" s="31" t="str">
        <f t="shared" si="469"/>
        <v/>
      </c>
      <c r="R7516" s="32" t="str">
        <f>IFERROR(VLOOKUP($D7516,'Informations sur les produits'!$A$3:$B$15000,2,FALSE),"")</f>
        <v/>
      </c>
      <c r="V7516">
        <f t="shared" si="470"/>
        <v>0</v>
      </c>
      <c r="W7516">
        <f t="shared" si="471"/>
        <v>0</v>
      </c>
    </row>
    <row r="7517" spans="5:23" x14ac:dyDescent="0.25">
      <c r="E7517" s="4"/>
      <c r="F7517" s="4"/>
      <c r="G7517" s="33" t="str">
        <f>IFERROR(VLOOKUP($D7517,'Informations sur les produits'!$A$3:$H$10000,8,FALSE),"0")</f>
        <v>0</v>
      </c>
      <c r="K7517" s="4"/>
      <c r="L7517" s="33" t="str">
        <f>IFERROR(VLOOKUP($J7517,'Informations sur les produits'!$A$3:$H$10000,8,FALSE),"0")</f>
        <v>0</v>
      </c>
      <c r="N7517" s="8"/>
      <c r="O7517" s="33" t="str">
        <f>IFERROR(VLOOKUP($M7517,'Informations sur les produits'!$A$3:$H$10000,8,FALSE),"0")</f>
        <v>0</v>
      </c>
      <c r="P7517" s="33">
        <f t="shared" si="468"/>
        <v>0</v>
      </c>
      <c r="Q7517" s="31" t="str">
        <f t="shared" si="469"/>
        <v/>
      </c>
      <c r="R7517" s="32" t="str">
        <f>IFERROR(VLOOKUP($D7517,'Informations sur les produits'!$A$3:$B$15000,2,FALSE),"")</f>
        <v/>
      </c>
      <c r="V7517">
        <f t="shared" si="470"/>
        <v>0</v>
      </c>
      <c r="W7517">
        <f t="shared" si="471"/>
        <v>0</v>
      </c>
    </row>
    <row r="7518" spans="5:23" x14ac:dyDescent="0.25">
      <c r="E7518" s="4"/>
      <c r="F7518" s="4"/>
      <c r="G7518" s="33" t="str">
        <f>IFERROR(VLOOKUP($D7518,'Informations sur les produits'!$A$3:$H$10000,8,FALSE),"0")</f>
        <v>0</v>
      </c>
      <c r="K7518" s="4"/>
      <c r="L7518" s="33" t="str">
        <f>IFERROR(VLOOKUP($J7518,'Informations sur les produits'!$A$3:$H$10000,8,FALSE),"0")</f>
        <v>0</v>
      </c>
      <c r="N7518" s="8"/>
      <c r="O7518" s="33" t="str">
        <f>IFERROR(VLOOKUP($M7518,'Informations sur les produits'!$A$3:$H$10000,8,FALSE),"0")</f>
        <v>0</v>
      </c>
      <c r="P7518" s="33">
        <f t="shared" si="468"/>
        <v>0</v>
      </c>
      <c r="Q7518" s="31" t="str">
        <f t="shared" si="469"/>
        <v/>
      </c>
      <c r="R7518" s="32" t="str">
        <f>IFERROR(VLOOKUP($D7518,'Informations sur les produits'!$A$3:$B$15000,2,FALSE),"")</f>
        <v/>
      </c>
      <c r="V7518">
        <f t="shared" si="470"/>
        <v>0</v>
      </c>
      <c r="W7518">
        <f t="shared" si="471"/>
        <v>0</v>
      </c>
    </row>
    <row r="7519" spans="5:23" x14ac:dyDescent="0.25">
      <c r="E7519" s="4"/>
      <c r="F7519" s="4"/>
      <c r="G7519" s="33" t="str">
        <f>IFERROR(VLOOKUP($D7519,'Informations sur les produits'!$A$3:$H$10000,8,FALSE),"0")</f>
        <v>0</v>
      </c>
      <c r="K7519" s="4"/>
      <c r="L7519" s="33" t="str">
        <f>IFERROR(VLOOKUP($J7519,'Informations sur les produits'!$A$3:$H$10000,8,FALSE),"0")</f>
        <v>0</v>
      </c>
      <c r="N7519" s="8"/>
      <c r="O7519" s="33" t="str">
        <f>IFERROR(VLOOKUP($M7519,'Informations sur les produits'!$A$3:$H$10000,8,FALSE),"0")</f>
        <v>0</v>
      </c>
      <c r="P7519" s="33">
        <f t="shared" si="468"/>
        <v>0</v>
      </c>
      <c r="Q7519" s="31" t="str">
        <f t="shared" si="469"/>
        <v/>
      </c>
      <c r="R7519" s="32" t="str">
        <f>IFERROR(VLOOKUP($D7519,'Informations sur les produits'!$A$3:$B$15000,2,FALSE),"")</f>
        <v/>
      </c>
      <c r="V7519">
        <f t="shared" si="470"/>
        <v>0</v>
      </c>
      <c r="W7519">
        <f t="shared" si="471"/>
        <v>0</v>
      </c>
    </row>
    <row r="7520" spans="5:23" x14ac:dyDescent="0.25">
      <c r="E7520" s="4"/>
      <c r="F7520" s="4"/>
      <c r="G7520" s="33" t="str">
        <f>IFERROR(VLOOKUP($D7520,'Informations sur les produits'!$A$3:$H$10000,8,FALSE),"0")</f>
        <v>0</v>
      </c>
      <c r="K7520" s="4"/>
      <c r="L7520" s="33" t="str">
        <f>IFERROR(VLOOKUP($J7520,'Informations sur les produits'!$A$3:$H$10000,8,FALSE),"0")</f>
        <v>0</v>
      </c>
      <c r="N7520" s="8"/>
      <c r="O7520" s="33" t="str">
        <f>IFERROR(VLOOKUP($M7520,'Informations sur les produits'!$A$3:$H$10000,8,FALSE),"0")</f>
        <v>0</v>
      </c>
      <c r="P7520" s="33">
        <f t="shared" si="468"/>
        <v>0</v>
      </c>
      <c r="Q7520" s="31" t="str">
        <f t="shared" si="469"/>
        <v/>
      </c>
      <c r="R7520" s="32" t="str">
        <f>IFERROR(VLOOKUP($D7520,'Informations sur les produits'!$A$3:$B$15000,2,FALSE),"")</f>
        <v/>
      </c>
      <c r="V7520">
        <f t="shared" si="470"/>
        <v>0</v>
      </c>
      <c r="W7520">
        <f t="shared" si="471"/>
        <v>0</v>
      </c>
    </row>
    <row r="7521" spans="5:23" x14ac:dyDescent="0.25">
      <c r="E7521" s="4"/>
      <c r="F7521" s="4"/>
      <c r="G7521" s="33" t="str">
        <f>IFERROR(VLOOKUP($D7521,'Informations sur les produits'!$A$3:$H$10000,8,FALSE),"0")</f>
        <v>0</v>
      </c>
      <c r="K7521" s="4"/>
      <c r="L7521" s="33" t="str">
        <f>IFERROR(VLOOKUP($J7521,'Informations sur les produits'!$A$3:$H$10000,8,FALSE),"0")</f>
        <v>0</v>
      </c>
      <c r="N7521" s="8"/>
      <c r="O7521" s="33" t="str">
        <f>IFERROR(VLOOKUP($M7521,'Informations sur les produits'!$A$3:$H$10000,8,FALSE),"0")</f>
        <v>0</v>
      </c>
      <c r="P7521" s="33">
        <f t="shared" si="468"/>
        <v>0</v>
      </c>
      <c r="Q7521" s="31" t="str">
        <f t="shared" si="469"/>
        <v/>
      </c>
      <c r="R7521" s="32" t="str">
        <f>IFERROR(VLOOKUP($D7521,'Informations sur les produits'!$A$3:$B$15000,2,FALSE),"")</f>
        <v/>
      </c>
      <c r="V7521">
        <f t="shared" si="470"/>
        <v>0</v>
      </c>
      <c r="W7521">
        <f t="shared" si="471"/>
        <v>0</v>
      </c>
    </row>
    <row r="7522" spans="5:23" x14ac:dyDescent="0.25">
      <c r="E7522" s="4"/>
      <c r="F7522" s="4"/>
      <c r="G7522" s="33" t="str">
        <f>IFERROR(VLOOKUP($D7522,'Informations sur les produits'!$A$3:$H$10000,8,FALSE),"0")</f>
        <v>0</v>
      </c>
      <c r="K7522" s="4"/>
      <c r="L7522" s="33" t="str">
        <f>IFERROR(VLOOKUP($J7522,'Informations sur les produits'!$A$3:$H$10000,8,FALSE),"0")</f>
        <v>0</v>
      </c>
      <c r="N7522" s="8"/>
      <c r="O7522" s="33" t="str">
        <f>IFERROR(VLOOKUP($M7522,'Informations sur les produits'!$A$3:$H$10000,8,FALSE),"0")</f>
        <v>0</v>
      </c>
      <c r="P7522" s="33">
        <f t="shared" si="468"/>
        <v>0</v>
      </c>
      <c r="Q7522" s="31" t="str">
        <f t="shared" si="469"/>
        <v/>
      </c>
      <c r="R7522" s="32" t="str">
        <f>IFERROR(VLOOKUP($D7522,'Informations sur les produits'!$A$3:$B$15000,2,FALSE),"")</f>
        <v/>
      </c>
      <c r="V7522">
        <f t="shared" si="470"/>
        <v>0</v>
      </c>
      <c r="W7522">
        <f t="shared" si="471"/>
        <v>0</v>
      </c>
    </row>
    <row r="7523" spans="5:23" x14ac:dyDescent="0.25">
      <c r="E7523" s="4"/>
      <c r="F7523" s="4"/>
      <c r="G7523" s="33" t="str">
        <f>IFERROR(VLOOKUP($D7523,'Informations sur les produits'!$A$3:$H$10000,8,FALSE),"0")</f>
        <v>0</v>
      </c>
      <c r="K7523" s="4"/>
      <c r="L7523" s="33" t="str">
        <f>IFERROR(VLOOKUP($J7523,'Informations sur les produits'!$A$3:$H$10000,8,FALSE),"0")</f>
        <v>0</v>
      </c>
      <c r="N7523" s="8"/>
      <c r="O7523" s="33" t="str">
        <f>IFERROR(VLOOKUP($M7523,'Informations sur les produits'!$A$3:$H$10000,8,FALSE),"0")</f>
        <v>0</v>
      </c>
      <c r="P7523" s="33">
        <f t="shared" si="468"/>
        <v>0</v>
      </c>
      <c r="Q7523" s="31" t="str">
        <f t="shared" si="469"/>
        <v/>
      </c>
      <c r="R7523" s="32" t="str">
        <f>IFERROR(VLOOKUP($D7523,'Informations sur les produits'!$A$3:$B$15000,2,FALSE),"")</f>
        <v/>
      </c>
      <c r="V7523">
        <f t="shared" si="470"/>
        <v>0</v>
      </c>
      <c r="W7523">
        <f t="shared" si="471"/>
        <v>0</v>
      </c>
    </row>
    <row r="7524" spans="5:23" x14ac:dyDescent="0.25">
      <c r="E7524" s="4"/>
      <c r="F7524" s="4"/>
      <c r="G7524" s="33" t="str">
        <f>IFERROR(VLOOKUP($D7524,'Informations sur les produits'!$A$3:$H$10000,8,FALSE),"0")</f>
        <v>0</v>
      </c>
      <c r="K7524" s="4"/>
      <c r="L7524" s="33" t="str">
        <f>IFERROR(VLOOKUP($J7524,'Informations sur les produits'!$A$3:$H$10000,8,FALSE),"0")</f>
        <v>0</v>
      </c>
      <c r="N7524" s="8"/>
      <c r="O7524" s="33" t="str">
        <f>IFERROR(VLOOKUP($M7524,'Informations sur les produits'!$A$3:$H$10000,8,FALSE),"0")</f>
        <v>0</v>
      </c>
      <c r="P7524" s="33">
        <f t="shared" si="468"/>
        <v>0</v>
      </c>
      <c r="Q7524" s="31" t="str">
        <f t="shared" si="469"/>
        <v/>
      </c>
      <c r="R7524" s="32" t="str">
        <f>IFERROR(VLOOKUP($D7524,'Informations sur les produits'!$A$3:$B$15000,2,FALSE),"")</f>
        <v/>
      </c>
      <c r="V7524">
        <f t="shared" si="470"/>
        <v>0</v>
      </c>
      <c r="W7524">
        <f t="shared" si="471"/>
        <v>0</v>
      </c>
    </row>
    <row r="7525" spans="5:23" x14ac:dyDescent="0.25">
      <c r="E7525" s="4"/>
      <c r="F7525" s="4"/>
      <c r="G7525" s="33" t="str">
        <f>IFERROR(VLOOKUP($D7525,'Informations sur les produits'!$A$3:$H$10000,8,FALSE),"0")</f>
        <v>0</v>
      </c>
      <c r="K7525" s="4"/>
      <c r="L7525" s="33" t="str">
        <f>IFERROR(VLOOKUP($J7525,'Informations sur les produits'!$A$3:$H$10000,8,FALSE),"0")</f>
        <v>0</v>
      </c>
      <c r="N7525" s="8"/>
      <c r="O7525" s="33" t="str">
        <f>IFERROR(VLOOKUP($M7525,'Informations sur les produits'!$A$3:$H$10000,8,FALSE),"0")</f>
        <v>0</v>
      </c>
      <c r="P7525" s="33">
        <f t="shared" si="468"/>
        <v>0</v>
      </c>
      <c r="Q7525" s="31" t="str">
        <f t="shared" si="469"/>
        <v/>
      </c>
      <c r="R7525" s="32" t="str">
        <f>IFERROR(VLOOKUP($D7525,'Informations sur les produits'!$A$3:$B$15000,2,FALSE),"")</f>
        <v/>
      </c>
      <c r="V7525">
        <f t="shared" si="470"/>
        <v>0</v>
      </c>
      <c r="W7525">
        <f t="shared" si="471"/>
        <v>0</v>
      </c>
    </row>
    <row r="7526" spans="5:23" x14ac:dyDescent="0.25">
      <c r="E7526" s="4"/>
      <c r="F7526" s="4"/>
      <c r="G7526" s="33" t="str">
        <f>IFERROR(VLOOKUP($D7526,'Informations sur les produits'!$A$3:$H$10000,8,FALSE),"0")</f>
        <v>0</v>
      </c>
      <c r="K7526" s="4"/>
      <c r="L7526" s="33" t="str">
        <f>IFERROR(VLOOKUP($J7526,'Informations sur les produits'!$A$3:$H$10000,8,FALSE),"0")</f>
        <v>0</v>
      </c>
      <c r="N7526" s="8"/>
      <c r="O7526" s="33" t="str">
        <f>IFERROR(VLOOKUP($M7526,'Informations sur les produits'!$A$3:$H$10000,8,FALSE),"0")</f>
        <v>0</v>
      </c>
      <c r="P7526" s="33">
        <f t="shared" si="468"/>
        <v>0</v>
      </c>
      <c r="Q7526" s="31" t="str">
        <f t="shared" si="469"/>
        <v/>
      </c>
      <c r="R7526" s="32" t="str">
        <f>IFERROR(VLOOKUP($D7526,'Informations sur les produits'!$A$3:$B$15000,2,FALSE),"")</f>
        <v/>
      </c>
      <c r="V7526">
        <f t="shared" si="470"/>
        <v>0</v>
      </c>
      <c r="W7526">
        <f t="shared" si="471"/>
        <v>0</v>
      </c>
    </row>
    <row r="7527" spans="5:23" x14ac:dyDescent="0.25">
      <c r="E7527" s="4"/>
      <c r="F7527" s="4"/>
      <c r="G7527" s="33" t="str">
        <f>IFERROR(VLOOKUP($D7527,'Informations sur les produits'!$A$3:$H$10000,8,FALSE),"0")</f>
        <v>0</v>
      </c>
      <c r="K7527" s="4"/>
      <c r="L7527" s="33" t="str">
        <f>IFERROR(VLOOKUP($J7527,'Informations sur les produits'!$A$3:$H$10000,8,FALSE),"0")</f>
        <v>0</v>
      </c>
      <c r="N7527" s="8"/>
      <c r="O7527" s="33" t="str">
        <f>IFERROR(VLOOKUP($M7527,'Informations sur les produits'!$A$3:$H$10000,8,FALSE),"0")</f>
        <v>0</v>
      </c>
      <c r="P7527" s="33">
        <f t="shared" si="468"/>
        <v>0</v>
      </c>
      <c r="Q7527" s="31" t="str">
        <f t="shared" si="469"/>
        <v/>
      </c>
      <c r="R7527" s="32" t="str">
        <f>IFERROR(VLOOKUP($D7527,'Informations sur les produits'!$A$3:$B$15000,2,FALSE),"")</f>
        <v/>
      </c>
      <c r="V7527">
        <f t="shared" si="470"/>
        <v>0</v>
      </c>
      <c r="W7527">
        <f t="shared" si="471"/>
        <v>0</v>
      </c>
    </row>
    <row r="7528" spans="5:23" x14ac:dyDescent="0.25">
      <c r="E7528" s="4"/>
      <c r="F7528" s="4"/>
      <c r="G7528" s="33" t="str">
        <f>IFERROR(VLOOKUP($D7528,'Informations sur les produits'!$A$3:$H$10000,8,FALSE),"0")</f>
        <v>0</v>
      </c>
      <c r="K7528" s="4"/>
      <c r="L7528" s="33" t="str">
        <f>IFERROR(VLOOKUP($J7528,'Informations sur les produits'!$A$3:$H$10000,8,FALSE),"0")</f>
        <v>0</v>
      </c>
      <c r="N7528" s="8"/>
      <c r="O7528" s="33" t="str">
        <f>IFERROR(VLOOKUP($M7528,'Informations sur les produits'!$A$3:$H$10000,8,FALSE),"0")</f>
        <v>0</v>
      </c>
      <c r="P7528" s="33">
        <f t="shared" si="468"/>
        <v>0</v>
      </c>
      <c r="Q7528" s="31" t="str">
        <f t="shared" si="469"/>
        <v/>
      </c>
      <c r="R7528" s="32" t="str">
        <f>IFERROR(VLOOKUP($D7528,'Informations sur les produits'!$A$3:$B$15000,2,FALSE),"")</f>
        <v/>
      </c>
      <c r="V7528">
        <f t="shared" si="470"/>
        <v>0</v>
      </c>
      <c r="W7528">
        <f t="shared" si="471"/>
        <v>0</v>
      </c>
    </row>
    <row r="7529" spans="5:23" x14ac:dyDescent="0.25">
      <c r="E7529" s="4"/>
      <c r="F7529" s="4"/>
      <c r="G7529" s="33" t="str">
        <f>IFERROR(VLOOKUP($D7529,'Informations sur les produits'!$A$3:$H$10000,8,FALSE),"0")</f>
        <v>0</v>
      </c>
      <c r="K7529" s="4"/>
      <c r="L7529" s="33" t="str">
        <f>IFERROR(VLOOKUP($J7529,'Informations sur les produits'!$A$3:$H$10000,8,FALSE),"0")</f>
        <v>0</v>
      </c>
      <c r="N7529" s="8"/>
      <c r="O7529" s="33" t="str">
        <f>IFERROR(VLOOKUP($M7529,'Informations sur les produits'!$A$3:$H$10000,8,FALSE),"0")</f>
        <v>0</v>
      </c>
      <c r="P7529" s="33">
        <f t="shared" si="468"/>
        <v>0</v>
      </c>
      <c r="Q7529" s="31" t="str">
        <f t="shared" si="469"/>
        <v/>
      </c>
      <c r="R7529" s="32" t="str">
        <f>IFERROR(VLOOKUP($D7529,'Informations sur les produits'!$A$3:$B$15000,2,FALSE),"")</f>
        <v/>
      </c>
      <c r="V7529">
        <f t="shared" si="470"/>
        <v>0</v>
      </c>
      <c r="W7529">
        <f t="shared" si="471"/>
        <v>0</v>
      </c>
    </row>
    <row r="7530" spans="5:23" x14ac:dyDescent="0.25">
      <c r="E7530" s="4"/>
      <c r="F7530" s="4"/>
      <c r="G7530" s="33" t="str">
        <f>IFERROR(VLOOKUP($D7530,'Informations sur les produits'!$A$3:$H$10000,8,FALSE),"0")</f>
        <v>0</v>
      </c>
      <c r="K7530" s="4"/>
      <c r="L7530" s="33" t="str">
        <f>IFERROR(VLOOKUP($J7530,'Informations sur les produits'!$A$3:$H$10000,8,FALSE),"0")</f>
        <v>0</v>
      </c>
      <c r="N7530" s="8"/>
      <c r="O7530" s="33" t="str">
        <f>IFERROR(VLOOKUP($M7530,'Informations sur les produits'!$A$3:$H$10000,8,FALSE),"0")</f>
        <v>0</v>
      </c>
      <c r="P7530" s="33">
        <f t="shared" si="468"/>
        <v>0</v>
      </c>
      <c r="Q7530" s="31" t="str">
        <f t="shared" si="469"/>
        <v/>
      </c>
      <c r="R7530" s="32" t="str">
        <f>IFERROR(VLOOKUP($D7530,'Informations sur les produits'!$A$3:$B$15000,2,FALSE),"")</f>
        <v/>
      </c>
      <c r="V7530">
        <f t="shared" si="470"/>
        <v>0</v>
      </c>
      <c r="W7530">
        <f t="shared" si="471"/>
        <v>0</v>
      </c>
    </row>
    <row r="7531" spans="5:23" x14ac:dyDescent="0.25">
      <c r="E7531" s="4"/>
      <c r="F7531" s="4"/>
      <c r="G7531" s="33" t="str">
        <f>IFERROR(VLOOKUP($D7531,'Informations sur les produits'!$A$3:$H$10000,8,FALSE),"0")</f>
        <v>0</v>
      </c>
      <c r="K7531" s="4"/>
      <c r="L7531" s="33" t="str">
        <f>IFERROR(VLOOKUP($J7531,'Informations sur les produits'!$A$3:$H$10000,8,FALSE),"0")</f>
        <v>0</v>
      </c>
      <c r="N7531" s="8"/>
      <c r="O7531" s="33" t="str">
        <f>IFERROR(VLOOKUP($M7531,'Informations sur les produits'!$A$3:$H$10000,8,FALSE),"0")</f>
        <v>0</v>
      </c>
      <c r="P7531" s="33">
        <f t="shared" si="468"/>
        <v>0</v>
      </c>
      <c r="Q7531" s="31" t="str">
        <f t="shared" si="469"/>
        <v/>
      </c>
      <c r="R7531" s="32" t="str">
        <f>IFERROR(VLOOKUP($D7531,'Informations sur les produits'!$A$3:$B$15000,2,FALSE),"")</f>
        <v/>
      </c>
      <c r="V7531">
        <f t="shared" si="470"/>
        <v>0</v>
      </c>
      <c r="W7531">
        <f t="shared" si="471"/>
        <v>0</v>
      </c>
    </row>
    <row r="7532" spans="5:23" x14ac:dyDescent="0.25">
      <c r="E7532" s="4"/>
      <c r="F7532" s="4"/>
      <c r="G7532" s="33" t="str">
        <f>IFERROR(VLOOKUP($D7532,'Informations sur les produits'!$A$3:$H$10000,8,FALSE),"0")</f>
        <v>0</v>
      </c>
      <c r="K7532" s="4"/>
      <c r="L7532" s="33" t="str">
        <f>IFERROR(VLOOKUP($J7532,'Informations sur les produits'!$A$3:$H$10000,8,FALSE),"0")</f>
        <v>0</v>
      </c>
      <c r="N7532" s="8"/>
      <c r="O7532" s="33" t="str">
        <f>IFERROR(VLOOKUP($M7532,'Informations sur les produits'!$A$3:$H$10000,8,FALSE),"0")</f>
        <v>0</v>
      </c>
      <c r="P7532" s="33">
        <f t="shared" si="468"/>
        <v>0</v>
      </c>
      <c r="Q7532" s="31" t="str">
        <f t="shared" si="469"/>
        <v/>
      </c>
      <c r="R7532" s="32" t="str">
        <f>IFERROR(VLOOKUP($D7532,'Informations sur les produits'!$A$3:$B$15000,2,FALSE),"")</f>
        <v/>
      </c>
      <c r="V7532">
        <f t="shared" si="470"/>
        <v>0</v>
      </c>
      <c r="W7532">
        <f t="shared" si="471"/>
        <v>0</v>
      </c>
    </row>
    <row r="7533" spans="5:23" x14ac:dyDescent="0.25">
      <c r="E7533" s="4"/>
      <c r="F7533" s="4"/>
      <c r="G7533" s="33" t="str">
        <f>IFERROR(VLOOKUP($D7533,'Informations sur les produits'!$A$3:$H$10000,8,FALSE),"0")</f>
        <v>0</v>
      </c>
      <c r="K7533" s="4"/>
      <c r="L7533" s="33" t="str">
        <f>IFERROR(VLOOKUP($J7533,'Informations sur les produits'!$A$3:$H$10000,8,FALSE),"0")</f>
        <v>0</v>
      </c>
      <c r="N7533" s="8"/>
      <c r="O7533" s="33" t="str">
        <f>IFERROR(VLOOKUP($M7533,'Informations sur les produits'!$A$3:$H$10000,8,FALSE),"0")</f>
        <v>0</v>
      </c>
      <c r="P7533" s="33">
        <f t="shared" si="468"/>
        <v>0</v>
      </c>
      <c r="Q7533" s="31" t="str">
        <f t="shared" si="469"/>
        <v/>
      </c>
      <c r="R7533" s="32" t="str">
        <f>IFERROR(VLOOKUP($D7533,'Informations sur les produits'!$A$3:$B$15000,2,FALSE),"")</f>
        <v/>
      </c>
      <c r="V7533">
        <f t="shared" si="470"/>
        <v>0</v>
      </c>
      <c r="W7533">
        <f t="shared" si="471"/>
        <v>0</v>
      </c>
    </row>
    <row r="7534" spans="5:23" x14ac:dyDescent="0.25">
      <c r="E7534" s="4"/>
      <c r="F7534" s="4"/>
      <c r="G7534" s="33" t="str">
        <f>IFERROR(VLOOKUP($D7534,'Informations sur les produits'!$A$3:$H$10000,8,FALSE),"0")</f>
        <v>0</v>
      </c>
      <c r="K7534" s="4"/>
      <c r="L7534" s="33" t="str">
        <f>IFERROR(VLOOKUP($J7534,'Informations sur les produits'!$A$3:$H$10000,8,FALSE),"0")</f>
        <v>0</v>
      </c>
      <c r="N7534" s="8"/>
      <c r="O7534" s="33" t="str">
        <f>IFERROR(VLOOKUP($M7534,'Informations sur les produits'!$A$3:$H$10000,8,FALSE),"0")</f>
        <v>0</v>
      </c>
      <c r="P7534" s="33">
        <f t="shared" si="468"/>
        <v>0</v>
      </c>
      <c r="Q7534" s="31" t="str">
        <f t="shared" si="469"/>
        <v/>
      </c>
      <c r="R7534" s="32" t="str">
        <f>IFERROR(VLOOKUP($D7534,'Informations sur les produits'!$A$3:$B$15000,2,FALSE),"")</f>
        <v/>
      </c>
      <c r="V7534">
        <f t="shared" si="470"/>
        <v>0</v>
      </c>
      <c r="W7534">
        <f t="shared" si="471"/>
        <v>0</v>
      </c>
    </row>
    <row r="7535" spans="5:23" x14ac:dyDescent="0.25">
      <c r="E7535" s="4"/>
      <c r="F7535" s="4"/>
      <c r="G7535" s="33" t="str">
        <f>IFERROR(VLOOKUP($D7535,'Informations sur les produits'!$A$3:$H$10000,8,FALSE),"0")</f>
        <v>0</v>
      </c>
      <c r="K7535" s="4"/>
      <c r="L7535" s="33" t="str">
        <f>IFERROR(VLOOKUP($J7535,'Informations sur les produits'!$A$3:$H$10000,8,FALSE),"0")</f>
        <v>0</v>
      </c>
      <c r="N7535" s="8"/>
      <c r="O7535" s="33" t="str">
        <f>IFERROR(VLOOKUP($M7535,'Informations sur les produits'!$A$3:$H$10000,8,FALSE),"0")</f>
        <v>0</v>
      </c>
      <c r="P7535" s="33">
        <f t="shared" si="468"/>
        <v>0</v>
      </c>
      <c r="Q7535" s="31" t="str">
        <f t="shared" si="469"/>
        <v/>
      </c>
      <c r="R7535" s="32" t="str">
        <f>IFERROR(VLOOKUP($D7535,'Informations sur les produits'!$A$3:$B$15000,2,FALSE),"")</f>
        <v/>
      </c>
      <c r="V7535">
        <f t="shared" si="470"/>
        <v>0</v>
      </c>
      <c r="W7535">
        <f t="shared" si="471"/>
        <v>0</v>
      </c>
    </row>
    <row r="7536" spans="5:23" x14ac:dyDescent="0.25">
      <c r="E7536" s="4"/>
      <c r="F7536" s="4"/>
      <c r="G7536" s="33" t="str">
        <f>IFERROR(VLOOKUP($D7536,'Informations sur les produits'!$A$3:$H$10000,8,FALSE),"0")</f>
        <v>0</v>
      </c>
      <c r="K7536" s="4"/>
      <c r="L7536" s="33" t="str">
        <f>IFERROR(VLOOKUP($J7536,'Informations sur les produits'!$A$3:$H$10000,8,FALSE),"0")</f>
        <v>0</v>
      </c>
      <c r="N7536" s="8"/>
      <c r="O7536" s="33" t="str">
        <f>IFERROR(VLOOKUP($M7536,'Informations sur les produits'!$A$3:$H$10000,8,FALSE),"0")</f>
        <v>0</v>
      </c>
      <c r="P7536" s="33">
        <f t="shared" si="468"/>
        <v>0</v>
      </c>
      <c r="Q7536" s="31" t="str">
        <f t="shared" si="469"/>
        <v/>
      </c>
      <c r="R7536" s="32" t="str">
        <f>IFERROR(VLOOKUP($D7536,'Informations sur les produits'!$A$3:$B$15000,2,FALSE),"")</f>
        <v/>
      </c>
      <c r="V7536">
        <f t="shared" si="470"/>
        <v>0</v>
      </c>
      <c r="W7536">
        <f t="shared" si="471"/>
        <v>0</v>
      </c>
    </row>
    <row r="7537" spans="5:23" x14ac:dyDescent="0.25">
      <c r="E7537" s="4"/>
      <c r="F7537" s="4"/>
      <c r="G7537" s="33" t="str">
        <f>IFERROR(VLOOKUP($D7537,'Informations sur les produits'!$A$3:$H$10000,8,FALSE),"0")</f>
        <v>0</v>
      </c>
      <c r="K7537" s="4"/>
      <c r="L7537" s="33" t="str">
        <f>IFERROR(VLOOKUP($J7537,'Informations sur les produits'!$A$3:$H$10000,8,FALSE),"0")</f>
        <v>0</v>
      </c>
      <c r="N7537" s="8"/>
      <c r="O7537" s="33" t="str">
        <f>IFERROR(VLOOKUP($M7537,'Informations sur les produits'!$A$3:$H$10000,8,FALSE),"0")</f>
        <v>0</v>
      </c>
      <c r="P7537" s="33">
        <f t="shared" si="468"/>
        <v>0</v>
      </c>
      <c r="Q7537" s="31" t="str">
        <f t="shared" si="469"/>
        <v/>
      </c>
      <c r="R7537" s="32" t="str">
        <f>IFERROR(VLOOKUP($D7537,'Informations sur les produits'!$A$3:$B$15000,2,FALSE),"")</f>
        <v/>
      </c>
      <c r="V7537">
        <f t="shared" si="470"/>
        <v>0</v>
      </c>
      <c r="W7537">
        <f t="shared" si="471"/>
        <v>0</v>
      </c>
    </row>
    <row r="7538" spans="5:23" x14ac:dyDescent="0.25">
      <c r="E7538" s="4"/>
      <c r="F7538" s="4"/>
      <c r="G7538" s="33" t="str">
        <f>IFERROR(VLOOKUP($D7538,'Informations sur les produits'!$A$3:$H$10000,8,FALSE),"0")</f>
        <v>0</v>
      </c>
      <c r="K7538" s="4"/>
      <c r="L7538" s="33" t="str">
        <f>IFERROR(VLOOKUP($J7538,'Informations sur les produits'!$A$3:$H$10000,8,FALSE),"0")</f>
        <v>0</v>
      </c>
      <c r="N7538" s="8"/>
      <c r="O7538" s="33" t="str">
        <f>IFERROR(VLOOKUP($M7538,'Informations sur les produits'!$A$3:$H$10000,8,FALSE),"0")</f>
        <v>0</v>
      </c>
      <c r="P7538" s="33">
        <f t="shared" si="468"/>
        <v>0</v>
      </c>
      <c r="Q7538" s="31" t="str">
        <f t="shared" si="469"/>
        <v/>
      </c>
      <c r="R7538" s="32" t="str">
        <f>IFERROR(VLOOKUP($D7538,'Informations sur les produits'!$A$3:$B$15000,2,FALSE),"")</f>
        <v/>
      </c>
      <c r="V7538">
        <f t="shared" si="470"/>
        <v>0</v>
      </c>
      <c r="W7538">
        <f t="shared" si="471"/>
        <v>0</v>
      </c>
    </row>
    <row r="7539" spans="5:23" x14ac:dyDescent="0.25">
      <c r="E7539" s="4"/>
      <c r="F7539" s="4"/>
      <c r="G7539" s="33" t="str">
        <f>IFERROR(VLOOKUP($D7539,'Informations sur les produits'!$A$3:$H$10000,8,FALSE),"0")</f>
        <v>0</v>
      </c>
      <c r="K7539" s="4"/>
      <c r="L7539" s="33" t="str">
        <f>IFERROR(VLOOKUP($J7539,'Informations sur les produits'!$A$3:$H$10000,8,FALSE),"0")</f>
        <v>0</v>
      </c>
      <c r="N7539" s="8"/>
      <c r="O7539" s="33" t="str">
        <f>IFERROR(VLOOKUP($M7539,'Informations sur les produits'!$A$3:$H$10000,8,FALSE),"0")</f>
        <v>0</v>
      </c>
      <c r="P7539" s="33">
        <f t="shared" si="468"/>
        <v>0</v>
      </c>
      <c r="Q7539" s="31" t="str">
        <f t="shared" si="469"/>
        <v/>
      </c>
      <c r="R7539" s="32" t="str">
        <f>IFERROR(VLOOKUP($D7539,'Informations sur les produits'!$A$3:$B$15000,2,FALSE),"")</f>
        <v/>
      </c>
      <c r="V7539">
        <f t="shared" si="470"/>
        <v>0</v>
      </c>
      <c r="W7539">
        <f t="shared" si="471"/>
        <v>0</v>
      </c>
    </row>
    <row r="7540" spans="5:23" x14ac:dyDescent="0.25">
      <c r="E7540" s="4"/>
      <c r="F7540" s="4"/>
      <c r="G7540" s="33" t="str">
        <f>IFERROR(VLOOKUP($D7540,'Informations sur les produits'!$A$3:$H$10000,8,FALSE),"0")</f>
        <v>0</v>
      </c>
      <c r="K7540" s="4"/>
      <c r="L7540" s="33" t="str">
        <f>IFERROR(VLOOKUP($J7540,'Informations sur les produits'!$A$3:$H$10000,8,FALSE),"0")</f>
        <v>0</v>
      </c>
      <c r="N7540" s="8"/>
      <c r="O7540" s="33" t="str">
        <f>IFERROR(VLOOKUP($M7540,'Informations sur les produits'!$A$3:$H$10000,8,FALSE),"0")</f>
        <v>0</v>
      </c>
      <c r="P7540" s="33">
        <f t="shared" si="468"/>
        <v>0</v>
      </c>
      <c r="Q7540" s="31" t="str">
        <f t="shared" si="469"/>
        <v/>
      </c>
      <c r="R7540" s="32" t="str">
        <f>IFERROR(VLOOKUP($D7540,'Informations sur les produits'!$A$3:$B$15000,2,FALSE),"")</f>
        <v/>
      </c>
      <c r="V7540">
        <f t="shared" si="470"/>
        <v>0</v>
      </c>
      <c r="W7540">
        <f t="shared" si="471"/>
        <v>0</v>
      </c>
    </row>
    <row r="7541" spans="5:23" x14ac:dyDescent="0.25">
      <c r="E7541" s="4"/>
      <c r="F7541" s="4"/>
      <c r="G7541" s="33" t="str">
        <f>IFERROR(VLOOKUP($D7541,'Informations sur les produits'!$A$3:$H$10000,8,FALSE),"0")</f>
        <v>0</v>
      </c>
      <c r="K7541" s="4"/>
      <c r="L7541" s="33" t="str">
        <f>IFERROR(VLOOKUP($J7541,'Informations sur les produits'!$A$3:$H$10000,8,FALSE),"0")</f>
        <v>0</v>
      </c>
      <c r="N7541" s="8"/>
      <c r="O7541" s="33" t="str">
        <f>IFERROR(VLOOKUP($M7541,'Informations sur les produits'!$A$3:$H$10000,8,FALSE),"0")</f>
        <v>0</v>
      </c>
      <c r="P7541" s="33">
        <f t="shared" si="468"/>
        <v>0</v>
      </c>
      <c r="Q7541" s="31" t="str">
        <f t="shared" si="469"/>
        <v/>
      </c>
      <c r="R7541" s="32" t="str">
        <f>IFERROR(VLOOKUP($D7541,'Informations sur les produits'!$A$3:$B$15000,2,FALSE),"")</f>
        <v/>
      </c>
      <c r="V7541">
        <f t="shared" si="470"/>
        <v>0</v>
      </c>
      <c r="W7541">
        <f t="shared" si="471"/>
        <v>0</v>
      </c>
    </row>
    <row r="7542" spans="5:23" x14ac:dyDescent="0.25">
      <c r="E7542" s="4"/>
      <c r="F7542" s="4"/>
      <c r="G7542" s="33" t="str">
        <f>IFERROR(VLOOKUP($D7542,'Informations sur les produits'!$A$3:$H$10000,8,FALSE),"0")</f>
        <v>0</v>
      </c>
      <c r="K7542" s="4"/>
      <c r="L7542" s="33" t="str">
        <f>IFERROR(VLOOKUP($J7542,'Informations sur les produits'!$A$3:$H$10000,8,FALSE),"0")</f>
        <v>0</v>
      </c>
      <c r="N7542" s="8"/>
      <c r="O7542" s="33" t="str">
        <f>IFERROR(VLOOKUP($M7542,'Informations sur les produits'!$A$3:$H$10000,8,FALSE),"0")</f>
        <v>0</v>
      </c>
      <c r="P7542" s="33">
        <f t="shared" si="468"/>
        <v>0</v>
      </c>
      <c r="Q7542" s="31" t="str">
        <f t="shared" si="469"/>
        <v/>
      </c>
      <c r="R7542" s="32" t="str">
        <f>IFERROR(VLOOKUP($D7542,'Informations sur les produits'!$A$3:$B$15000,2,FALSE),"")</f>
        <v/>
      </c>
      <c r="V7542">
        <f t="shared" si="470"/>
        <v>0</v>
      </c>
      <c r="W7542">
        <f t="shared" si="471"/>
        <v>0</v>
      </c>
    </row>
    <row r="7543" spans="5:23" x14ac:dyDescent="0.25">
      <c r="E7543" s="4"/>
      <c r="F7543" s="4"/>
      <c r="G7543" s="33" t="str">
        <f>IFERROR(VLOOKUP($D7543,'Informations sur les produits'!$A$3:$H$10000,8,FALSE),"0")</f>
        <v>0</v>
      </c>
      <c r="K7543" s="4"/>
      <c r="L7543" s="33" t="str">
        <f>IFERROR(VLOOKUP($J7543,'Informations sur les produits'!$A$3:$H$10000,8,FALSE),"0")</f>
        <v>0</v>
      </c>
      <c r="N7543" s="8"/>
      <c r="O7543" s="33" t="str">
        <f>IFERROR(VLOOKUP($M7543,'Informations sur les produits'!$A$3:$H$10000,8,FALSE),"0")</f>
        <v>0</v>
      </c>
      <c r="P7543" s="33">
        <f t="shared" si="468"/>
        <v>0</v>
      </c>
      <c r="Q7543" s="31" t="str">
        <f t="shared" si="469"/>
        <v/>
      </c>
      <c r="R7543" s="32" t="str">
        <f>IFERROR(VLOOKUP($D7543,'Informations sur les produits'!$A$3:$B$15000,2,FALSE),"")</f>
        <v/>
      </c>
      <c r="V7543">
        <f t="shared" si="470"/>
        <v>0</v>
      </c>
      <c r="W7543">
        <f t="shared" si="471"/>
        <v>0</v>
      </c>
    </row>
    <row r="7544" spans="5:23" x14ac:dyDescent="0.25">
      <c r="E7544" s="4"/>
      <c r="F7544" s="4"/>
      <c r="G7544" s="33" t="str">
        <f>IFERROR(VLOOKUP($D7544,'Informations sur les produits'!$A$3:$H$10000,8,FALSE),"0")</f>
        <v>0</v>
      </c>
      <c r="K7544" s="4"/>
      <c r="L7544" s="33" t="str">
        <f>IFERROR(VLOOKUP($J7544,'Informations sur les produits'!$A$3:$H$10000,8,FALSE),"0")</f>
        <v>0</v>
      </c>
      <c r="N7544" s="8"/>
      <c r="O7544" s="33" t="str">
        <f>IFERROR(VLOOKUP($M7544,'Informations sur les produits'!$A$3:$H$10000,8,FALSE),"0")</f>
        <v>0</v>
      </c>
      <c r="P7544" s="33">
        <f t="shared" si="468"/>
        <v>0</v>
      </c>
      <c r="Q7544" s="31" t="str">
        <f t="shared" si="469"/>
        <v/>
      </c>
      <c r="R7544" s="32" t="str">
        <f>IFERROR(VLOOKUP($D7544,'Informations sur les produits'!$A$3:$B$15000,2,FALSE),"")</f>
        <v/>
      </c>
      <c r="V7544">
        <f t="shared" si="470"/>
        <v>0</v>
      </c>
      <c r="W7544">
        <f t="shared" si="471"/>
        <v>0</v>
      </c>
    </row>
    <row r="7545" spans="5:23" x14ac:dyDescent="0.25">
      <c r="E7545" s="4"/>
      <c r="F7545" s="4"/>
      <c r="G7545" s="33" t="str">
        <f>IFERROR(VLOOKUP($D7545,'Informations sur les produits'!$A$3:$H$10000,8,FALSE),"0")</f>
        <v>0</v>
      </c>
      <c r="K7545" s="4"/>
      <c r="L7545" s="33" t="str">
        <f>IFERROR(VLOOKUP($J7545,'Informations sur les produits'!$A$3:$H$10000,8,FALSE),"0")</f>
        <v>0</v>
      </c>
      <c r="N7545" s="8"/>
      <c r="O7545" s="33" t="str">
        <f>IFERROR(VLOOKUP($M7545,'Informations sur les produits'!$A$3:$H$10000,8,FALSE),"0")</f>
        <v>0</v>
      </c>
      <c r="P7545" s="33">
        <f t="shared" si="468"/>
        <v>0</v>
      </c>
      <c r="Q7545" s="31" t="str">
        <f t="shared" si="469"/>
        <v/>
      </c>
      <c r="R7545" s="32" t="str">
        <f>IFERROR(VLOOKUP($D7545,'Informations sur les produits'!$A$3:$B$15000,2,FALSE),"")</f>
        <v/>
      </c>
      <c r="V7545">
        <f t="shared" si="470"/>
        <v>0</v>
      </c>
      <c r="W7545">
        <f t="shared" si="471"/>
        <v>0</v>
      </c>
    </row>
    <row r="7546" spans="5:23" x14ac:dyDescent="0.25">
      <c r="E7546" s="4"/>
      <c r="F7546" s="4"/>
      <c r="G7546" s="33" t="str">
        <f>IFERROR(VLOOKUP($D7546,'Informations sur les produits'!$A$3:$H$10000,8,FALSE),"0")</f>
        <v>0</v>
      </c>
      <c r="K7546" s="4"/>
      <c r="L7546" s="33" t="str">
        <f>IFERROR(VLOOKUP($J7546,'Informations sur les produits'!$A$3:$H$10000,8,FALSE),"0")</f>
        <v>0</v>
      </c>
      <c r="N7546" s="8"/>
      <c r="O7546" s="33" t="str">
        <f>IFERROR(VLOOKUP($M7546,'Informations sur les produits'!$A$3:$H$10000,8,FALSE),"0")</f>
        <v>0</v>
      </c>
      <c r="P7546" s="33">
        <f t="shared" si="468"/>
        <v>0</v>
      </c>
      <c r="Q7546" s="31" t="str">
        <f t="shared" si="469"/>
        <v/>
      </c>
      <c r="R7546" s="32" t="str">
        <f>IFERROR(VLOOKUP($D7546,'Informations sur les produits'!$A$3:$B$15000,2,FALSE),"")</f>
        <v/>
      </c>
      <c r="V7546">
        <f t="shared" si="470"/>
        <v>0</v>
      </c>
      <c r="W7546">
        <f t="shared" si="471"/>
        <v>0</v>
      </c>
    </row>
    <row r="7547" spans="5:23" x14ac:dyDescent="0.25">
      <c r="E7547" s="4"/>
      <c r="F7547" s="4"/>
      <c r="G7547" s="33" t="str">
        <f>IFERROR(VLOOKUP($D7547,'Informations sur les produits'!$A$3:$H$10000,8,FALSE),"0")</f>
        <v>0</v>
      </c>
      <c r="K7547" s="4"/>
      <c r="L7547" s="33" t="str">
        <f>IFERROR(VLOOKUP($J7547,'Informations sur les produits'!$A$3:$H$10000,8,FALSE),"0")</f>
        <v>0</v>
      </c>
      <c r="N7547" s="8"/>
      <c r="O7547" s="33" t="str">
        <f>IFERROR(VLOOKUP($M7547,'Informations sur les produits'!$A$3:$H$10000,8,FALSE),"0")</f>
        <v>0</v>
      </c>
      <c r="P7547" s="33">
        <f t="shared" si="468"/>
        <v>0</v>
      </c>
      <c r="Q7547" s="31" t="str">
        <f t="shared" si="469"/>
        <v/>
      </c>
      <c r="R7547" s="32" t="str">
        <f>IFERROR(VLOOKUP($D7547,'Informations sur les produits'!$A$3:$B$15000,2,FALSE),"")</f>
        <v/>
      </c>
      <c r="V7547">
        <f t="shared" si="470"/>
        <v>0</v>
      </c>
      <c r="W7547">
        <f t="shared" si="471"/>
        <v>0</v>
      </c>
    </row>
    <row r="7548" spans="5:23" x14ac:dyDescent="0.25">
      <c r="E7548" s="4"/>
      <c r="F7548" s="4"/>
      <c r="G7548" s="33" t="str">
        <f>IFERROR(VLOOKUP($D7548,'Informations sur les produits'!$A$3:$H$10000,8,FALSE),"0")</f>
        <v>0</v>
      </c>
      <c r="K7548" s="4"/>
      <c r="L7548" s="33" t="str">
        <f>IFERROR(VLOOKUP($J7548,'Informations sur les produits'!$A$3:$H$10000,8,FALSE),"0")</f>
        <v>0</v>
      </c>
      <c r="N7548" s="8"/>
      <c r="O7548" s="33" t="str">
        <f>IFERROR(VLOOKUP($M7548,'Informations sur les produits'!$A$3:$H$10000,8,FALSE),"0")</f>
        <v>0</v>
      </c>
      <c r="P7548" s="33">
        <f t="shared" si="468"/>
        <v>0</v>
      </c>
      <c r="Q7548" s="31" t="str">
        <f t="shared" si="469"/>
        <v/>
      </c>
      <c r="R7548" s="32" t="str">
        <f>IFERROR(VLOOKUP($D7548,'Informations sur les produits'!$A$3:$B$15000,2,FALSE),"")</f>
        <v/>
      </c>
      <c r="V7548">
        <f t="shared" si="470"/>
        <v>0</v>
      </c>
      <c r="W7548">
        <f t="shared" si="471"/>
        <v>0</v>
      </c>
    </row>
    <row r="7549" spans="5:23" x14ac:dyDescent="0.25">
      <c r="E7549" s="4"/>
      <c r="F7549" s="4"/>
      <c r="G7549" s="33" t="str">
        <f>IFERROR(VLOOKUP($D7549,'Informations sur les produits'!$A$3:$H$10000,8,FALSE),"0")</f>
        <v>0</v>
      </c>
      <c r="K7549" s="4"/>
      <c r="L7549" s="33" t="str">
        <f>IFERROR(VLOOKUP($J7549,'Informations sur les produits'!$A$3:$H$10000,8,FALSE),"0")</f>
        <v>0</v>
      </c>
      <c r="N7549" s="8"/>
      <c r="O7549" s="33" t="str">
        <f>IFERROR(VLOOKUP($M7549,'Informations sur les produits'!$A$3:$H$10000,8,FALSE),"0")</f>
        <v>0</v>
      </c>
      <c r="P7549" s="33">
        <f t="shared" si="468"/>
        <v>0</v>
      </c>
      <c r="Q7549" s="31" t="str">
        <f t="shared" si="469"/>
        <v/>
      </c>
      <c r="R7549" s="32" t="str">
        <f>IFERROR(VLOOKUP($D7549,'Informations sur les produits'!$A$3:$B$15000,2,FALSE),"")</f>
        <v/>
      </c>
      <c r="V7549">
        <f t="shared" si="470"/>
        <v>0</v>
      </c>
      <c r="W7549">
        <f t="shared" si="471"/>
        <v>0</v>
      </c>
    </row>
    <row r="7550" spans="5:23" x14ac:dyDescent="0.25">
      <c r="E7550" s="4"/>
      <c r="F7550" s="4"/>
      <c r="G7550" s="33" t="str">
        <f>IFERROR(VLOOKUP($D7550,'Informations sur les produits'!$A$3:$H$10000,8,FALSE),"0")</f>
        <v>0</v>
      </c>
      <c r="K7550" s="4"/>
      <c r="L7550" s="33" t="str">
        <f>IFERROR(VLOOKUP($J7550,'Informations sur les produits'!$A$3:$H$10000,8,FALSE),"0")</f>
        <v>0</v>
      </c>
      <c r="N7550" s="8"/>
      <c r="O7550" s="33" t="str">
        <f>IFERROR(VLOOKUP($M7550,'Informations sur les produits'!$A$3:$H$10000,8,FALSE),"0")</f>
        <v>0</v>
      </c>
      <c r="P7550" s="33">
        <f t="shared" si="468"/>
        <v>0</v>
      </c>
      <c r="Q7550" s="31" t="str">
        <f t="shared" si="469"/>
        <v/>
      </c>
      <c r="R7550" s="32" t="str">
        <f>IFERROR(VLOOKUP($D7550,'Informations sur les produits'!$A$3:$B$15000,2,FALSE),"")</f>
        <v/>
      </c>
      <c r="V7550">
        <f t="shared" si="470"/>
        <v>0</v>
      </c>
      <c r="W7550">
        <f t="shared" si="471"/>
        <v>0</v>
      </c>
    </row>
    <row r="7551" spans="5:23" x14ac:dyDescent="0.25">
      <c r="E7551" s="4"/>
      <c r="F7551" s="4"/>
      <c r="G7551" s="33" t="str">
        <f>IFERROR(VLOOKUP($D7551,'Informations sur les produits'!$A$3:$H$10000,8,FALSE),"0")</f>
        <v>0</v>
      </c>
      <c r="K7551" s="4"/>
      <c r="L7551" s="33" t="str">
        <f>IFERROR(VLOOKUP($J7551,'Informations sur les produits'!$A$3:$H$10000,8,FALSE),"0")</f>
        <v>0</v>
      </c>
      <c r="N7551" s="8"/>
      <c r="O7551" s="33" t="str">
        <f>IFERROR(VLOOKUP($M7551,'Informations sur les produits'!$A$3:$H$10000,8,FALSE),"0")</f>
        <v>0</v>
      </c>
      <c r="P7551" s="33">
        <f t="shared" si="468"/>
        <v>0</v>
      </c>
      <c r="Q7551" s="31" t="str">
        <f t="shared" si="469"/>
        <v/>
      </c>
      <c r="R7551" s="32" t="str">
        <f>IFERROR(VLOOKUP($D7551,'Informations sur les produits'!$A$3:$B$15000,2,FALSE),"")</f>
        <v/>
      </c>
      <c r="V7551">
        <f t="shared" si="470"/>
        <v>0</v>
      </c>
      <c r="W7551">
        <f t="shared" si="471"/>
        <v>0</v>
      </c>
    </row>
    <row r="7552" spans="5:23" x14ac:dyDescent="0.25">
      <c r="E7552" s="4"/>
      <c r="F7552" s="4"/>
      <c r="G7552" s="33" t="str">
        <f>IFERROR(VLOOKUP($D7552,'Informations sur les produits'!$A$3:$H$10000,8,FALSE),"0")</f>
        <v>0</v>
      </c>
      <c r="K7552" s="4"/>
      <c r="L7552" s="33" t="str">
        <f>IFERROR(VLOOKUP($J7552,'Informations sur les produits'!$A$3:$H$10000,8,FALSE),"0")</f>
        <v>0</v>
      </c>
      <c r="N7552" s="8"/>
      <c r="O7552" s="33" t="str">
        <f>IFERROR(VLOOKUP($M7552,'Informations sur les produits'!$A$3:$H$10000,8,FALSE),"0")</f>
        <v>0</v>
      </c>
      <c r="P7552" s="33">
        <f t="shared" si="468"/>
        <v>0</v>
      </c>
      <c r="Q7552" s="31" t="str">
        <f t="shared" si="469"/>
        <v/>
      </c>
      <c r="R7552" s="32" t="str">
        <f>IFERROR(VLOOKUP($D7552,'Informations sur les produits'!$A$3:$B$15000,2,FALSE),"")</f>
        <v/>
      </c>
      <c r="V7552">
        <f t="shared" si="470"/>
        <v>0</v>
      </c>
      <c r="W7552">
        <f t="shared" si="471"/>
        <v>0</v>
      </c>
    </row>
    <row r="7553" spans="5:23" x14ac:dyDescent="0.25">
      <c r="E7553" s="4"/>
      <c r="F7553" s="4"/>
      <c r="G7553" s="33" t="str">
        <f>IFERROR(VLOOKUP($D7553,'Informations sur les produits'!$A$3:$H$10000,8,FALSE),"0")</f>
        <v>0</v>
      </c>
      <c r="K7553" s="4"/>
      <c r="L7553" s="33" t="str">
        <f>IFERROR(VLOOKUP($J7553,'Informations sur les produits'!$A$3:$H$10000,8,FALSE),"0")</f>
        <v>0</v>
      </c>
      <c r="N7553" s="8"/>
      <c r="O7553" s="33" t="str">
        <f>IFERROR(VLOOKUP($M7553,'Informations sur les produits'!$A$3:$H$10000,8,FALSE),"0")</f>
        <v>0</v>
      </c>
      <c r="P7553" s="33">
        <f t="shared" si="468"/>
        <v>0</v>
      </c>
      <c r="Q7553" s="31" t="str">
        <f t="shared" si="469"/>
        <v/>
      </c>
      <c r="R7553" s="32" t="str">
        <f>IFERROR(VLOOKUP($D7553,'Informations sur les produits'!$A$3:$B$15000,2,FALSE),"")</f>
        <v/>
      </c>
      <c r="V7553">
        <f t="shared" si="470"/>
        <v>0</v>
      </c>
      <c r="W7553">
        <f t="shared" si="471"/>
        <v>0</v>
      </c>
    </row>
    <row r="7554" spans="5:23" x14ac:dyDescent="0.25">
      <c r="E7554" s="4"/>
      <c r="F7554" s="4"/>
      <c r="G7554" s="33" t="str">
        <f>IFERROR(VLOOKUP($D7554,'Informations sur les produits'!$A$3:$H$10000,8,FALSE),"0")</f>
        <v>0</v>
      </c>
      <c r="K7554" s="4"/>
      <c r="L7554" s="33" t="str">
        <f>IFERROR(VLOOKUP($J7554,'Informations sur les produits'!$A$3:$H$10000,8,FALSE),"0")</f>
        <v>0</v>
      </c>
      <c r="N7554" s="8"/>
      <c r="O7554" s="33" t="str">
        <f>IFERROR(VLOOKUP($M7554,'Informations sur les produits'!$A$3:$H$10000,8,FALSE),"0")</f>
        <v>0</v>
      </c>
      <c r="P7554" s="33">
        <f t="shared" si="468"/>
        <v>0</v>
      </c>
      <c r="Q7554" s="31" t="str">
        <f t="shared" si="469"/>
        <v/>
      </c>
      <c r="R7554" s="32" t="str">
        <f>IFERROR(VLOOKUP($D7554,'Informations sur les produits'!$A$3:$B$15000,2,FALSE),"")</f>
        <v/>
      </c>
      <c r="V7554">
        <f t="shared" si="470"/>
        <v>0</v>
      </c>
      <c r="W7554">
        <f t="shared" si="471"/>
        <v>0</v>
      </c>
    </row>
    <row r="7555" spans="5:23" x14ac:dyDescent="0.25">
      <c r="E7555" s="4"/>
      <c r="F7555" s="4"/>
      <c r="G7555" s="33" t="str">
        <f>IFERROR(VLOOKUP($D7555,'Informations sur les produits'!$A$3:$H$10000,8,FALSE),"0")</f>
        <v>0</v>
      </c>
      <c r="K7555" s="4"/>
      <c r="L7555" s="33" t="str">
        <f>IFERROR(VLOOKUP($J7555,'Informations sur les produits'!$A$3:$H$10000,8,FALSE),"0")</f>
        <v>0</v>
      </c>
      <c r="N7555" s="8"/>
      <c r="O7555" s="33" t="str">
        <f>IFERROR(VLOOKUP($M7555,'Informations sur les produits'!$A$3:$H$10000,8,FALSE),"0")</f>
        <v>0</v>
      </c>
      <c r="P7555" s="33">
        <f t="shared" si="468"/>
        <v>0</v>
      </c>
      <c r="Q7555" s="31" t="str">
        <f t="shared" si="469"/>
        <v/>
      </c>
      <c r="R7555" s="32" t="str">
        <f>IFERROR(VLOOKUP($D7555,'Informations sur les produits'!$A$3:$B$15000,2,FALSE),"")</f>
        <v/>
      </c>
      <c r="V7555">
        <f t="shared" si="470"/>
        <v>0</v>
      </c>
      <c r="W7555">
        <f t="shared" si="471"/>
        <v>0</v>
      </c>
    </row>
    <row r="7556" spans="5:23" x14ac:dyDescent="0.25">
      <c r="E7556" s="4"/>
      <c r="F7556" s="4"/>
      <c r="G7556" s="33" t="str">
        <f>IFERROR(VLOOKUP($D7556,'Informations sur les produits'!$A$3:$H$10000,8,FALSE),"0")</f>
        <v>0</v>
      </c>
      <c r="K7556" s="4"/>
      <c r="L7556" s="33" t="str">
        <f>IFERROR(VLOOKUP($J7556,'Informations sur les produits'!$A$3:$H$10000,8,FALSE),"0")</f>
        <v>0</v>
      </c>
      <c r="N7556" s="8"/>
      <c r="O7556" s="33" t="str">
        <f>IFERROR(VLOOKUP($M7556,'Informations sur les produits'!$A$3:$H$10000,8,FALSE),"0")</f>
        <v>0</v>
      </c>
      <c r="P7556" s="33">
        <f t="shared" ref="P7556:P7619" si="472">IFERROR((($E7556-$F7556)*$G7556+$K7556*$L7556+$N7556*$O7556),"")</f>
        <v>0</v>
      </c>
      <c r="Q7556" s="31" t="str">
        <f t="shared" ref="Q7556:Q7619" si="473">IFERROR((((($E7556-$F7556)*$G7556+$K7556*$L7556+$N7556*$O7556)*1000)/(($E7556-$F7556)+$K7556+$N7556)),"")</f>
        <v/>
      </c>
      <c r="R7556" s="32" t="str">
        <f>IFERROR(VLOOKUP($D7556,'Informations sur les produits'!$A$3:$B$15000,2,FALSE),"")</f>
        <v/>
      </c>
      <c r="V7556">
        <f t="shared" ref="V7556:V7619" si="474">IFERROR(P7556*1000,"")</f>
        <v>0</v>
      </c>
      <c r="W7556">
        <f t="shared" ref="W7556:W7619" si="475">IFERROR(($E7556-$F7556)+$K7556+$N7556,"")</f>
        <v>0</v>
      </c>
    </row>
    <row r="7557" spans="5:23" x14ac:dyDescent="0.25">
      <c r="E7557" s="4"/>
      <c r="F7557" s="4"/>
      <c r="G7557" s="33" t="str">
        <f>IFERROR(VLOOKUP($D7557,'Informations sur les produits'!$A$3:$H$10000,8,FALSE),"0")</f>
        <v>0</v>
      </c>
      <c r="K7557" s="4"/>
      <c r="L7557" s="33" t="str">
        <f>IFERROR(VLOOKUP($J7557,'Informations sur les produits'!$A$3:$H$10000,8,FALSE),"0")</f>
        <v>0</v>
      </c>
      <c r="N7557" s="8"/>
      <c r="O7557" s="33" t="str">
        <f>IFERROR(VLOOKUP($M7557,'Informations sur les produits'!$A$3:$H$10000,8,FALSE),"0")</f>
        <v>0</v>
      </c>
      <c r="P7557" s="33">
        <f t="shared" si="472"/>
        <v>0</v>
      </c>
      <c r="Q7557" s="31" t="str">
        <f t="shared" si="473"/>
        <v/>
      </c>
      <c r="R7557" s="32" t="str">
        <f>IFERROR(VLOOKUP($D7557,'Informations sur les produits'!$A$3:$B$15000,2,FALSE),"")</f>
        <v/>
      </c>
      <c r="V7557">
        <f t="shared" si="474"/>
        <v>0</v>
      </c>
      <c r="W7557">
        <f t="shared" si="475"/>
        <v>0</v>
      </c>
    </row>
    <row r="7558" spans="5:23" x14ac:dyDescent="0.25">
      <c r="E7558" s="4"/>
      <c r="F7558" s="4"/>
      <c r="G7558" s="33" t="str">
        <f>IFERROR(VLOOKUP($D7558,'Informations sur les produits'!$A$3:$H$10000,8,FALSE),"0")</f>
        <v>0</v>
      </c>
      <c r="K7558" s="4"/>
      <c r="L7558" s="33" t="str">
        <f>IFERROR(VLOOKUP($J7558,'Informations sur les produits'!$A$3:$H$10000,8,FALSE),"0")</f>
        <v>0</v>
      </c>
      <c r="N7558" s="8"/>
      <c r="O7558" s="33" t="str">
        <f>IFERROR(VLOOKUP($M7558,'Informations sur les produits'!$A$3:$H$10000,8,FALSE),"0")</f>
        <v>0</v>
      </c>
      <c r="P7558" s="33">
        <f t="shared" si="472"/>
        <v>0</v>
      </c>
      <c r="Q7558" s="31" t="str">
        <f t="shared" si="473"/>
        <v/>
      </c>
      <c r="R7558" s="32" t="str">
        <f>IFERROR(VLOOKUP($D7558,'Informations sur les produits'!$A$3:$B$15000,2,FALSE),"")</f>
        <v/>
      </c>
      <c r="V7558">
        <f t="shared" si="474"/>
        <v>0</v>
      </c>
      <c r="W7558">
        <f t="shared" si="475"/>
        <v>0</v>
      </c>
    </row>
    <row r="7559" spans="5:23" x14ac:dyDescent="0.25">
      <c r="E7559" s="4"/>
      <c r="F7559" s="4"/>
      <c r="G7559" s="33" t="str">
        <f>IFERROR(VLOOKUP($D7559,'Informations sur les produits'!$A$3:$H$10000,8,FALSE),"0")</f>
        <v>0</v>
      </c>
      <c r="K7559" s="4"/>
      <c r="L7559" s="33" t="str">
        <f>IFERROR(VLOOKUP($J7559,'Informations sur les produits'!$A$3:$H$10000,8,FALSE),"0")</f>
        <v>0</v>
      </c>
      <c r="N7559" s="8"/>
      <c r="O7559" s="33" t="str">
        <f>IFERROR(VLOOKUP($M7559,'Informations sur les produits'!$A$3:$H$10000,8,FALSE),"0")</f>
        <v>0</v>
      </c>
      <c r="P7559" s="33">
        <f t="shared" si="472"/>
        <v>0</v>
      </c>
      <c r="Q7559" s="31" t="str">
        <f t="shared" si="473"/>
        <v/>
      </c>
      <c r="R7559" s="32" t="str">
        <f>IFERROR(VLOOKUP($D7559,'Informations sur les produits'!$A$3:$B$15000,2,FALSE),"")</f>
        <v/>
      </c>
      <c r="V7559">
        <f t="shared" si="474"/>
        <v>0</v>
      </c>
      <c r="W7559">
        <f t="shared" si="475"/>
        <v>0</v>
      </c>
    </row>
    <row r="7560" spans="5:23" x14ac:dyDescent="0.25">
      <c r="E7560" s="4"/>
      <c r="F7560" s="4"/>
      <c r="G7560" s="33" t="str">
        <f>IFERROR(VLOOKUP($D7560,'Informations sur les produits'!$A$3:$H$10000,8,FALSE),"0")</f>
        <v>0</v>
      </c>
      <c r="K7560" s="4"/>
      <c r="L7560" s="33" t="str">
        <f>IFERROR(VLOOKUP($J7560,'Informations sur les produits'!$A$3:$H$10000,8,FALSE),"0")</f>
        <v>0</v>
      </c>
      <c r="N7560" s="8"/>
      <c r="O7560" s="33" t="str">
        <f>IFERROR(VLOOKUP($M7560,'Informations sur les produits'!$A$3:$H$10000,8,FALSE),"0")</f>
        <v>0</v>
      </c>
      <c r="P7560" s="33">
        <f t="shared" si="472"/>
        <v>0</v>
      </c>
      <c r="Q7560" s="31" t="str">
        <f t="shared" si="473"/>
        <v/>
      </c>
      <c r="R7560" s="32" t="str">
        <f>IFERROR(VLOOKUP($D7560,'Informations sur les produits'!$A$3:$B$15000,2,FALSE),"")</f>
        <v/>
      </c>
      <c r="V7560">
        <f t="shared" si="474"/>
        <v>0</v>
      </c>
      <c r="W7560">
        <f t="shared" si="475"/>
        <v>0</v>
      </c>
    </row>
    <row r="7561" spans="5:23" x14ac:dyDescent="0.25">
      <c r="E7561" s="4"/>
      <c r="F7561" s="4"/>
      <c r="G7561" s="33" t="str">
        <f>IFERROR(VLOOKUP($D7561,'Informations sur les produits'!$A$3:$H$10000,8,FALSE),"0")</f>
        <v>0</v>
      </c>
      <c r="K7561" s="4"/>
      <c r="L7561" s="33" t="str">
        <f>IFERROR(VLOOKUP($J7561,'Informations sur les produits'!$A$3:$H$10000,8,FALSE),"0")</f>
        <v>0</v>
      </c>
      <c r="N7561" s="8"/>
      <c r="O7561" s="33" t="str">
        <f>IFERROR(VLOOKUP($M7561,'Informations sur les produits'!$A$3:$H$10000,8,FALSE),"0")</f>
        <v>0</v>
      </c>
      <c r="P7561" s="33">
        <f t="shared" si="472"/>
        <v>0</v>
      </c>
      <c r="Q7561" s="31" t="str">
        <f t="shared" si="473"/>
        <v/>
      </c>
      <c r="R7561" s="32" t="str">
        <f>IFERROR(VLOOKUP($D7561,'Informations sur les produits'!$A$3:$B$15000,2,FALSE),"")</f>
        <v/>
      </c>
      <c r="V7561">
        <f t="shared" si="474"/>
        <v>0</v>
      </c>
      <c r="W7561">
        <f t="shared" si="475"/>
        <v>0</v>
      </c>
    </row>
    <row r="7562" spans="5:23" x14ac:dyDescent="0.25">
      <c r="E7562" s="4"/>
      <c r="F7562" s="4"/>
      <c r="G7562" s="33" t="str">
        <f>IFERROR(VLOOKUP($D7562,'Informations sur les produits'!$A$3:$H$10000,8,FALSE),"0")</f>
        <v>0</v>
      </c>
      <c r="K7562" s="4"/>
      <c r="L7562" s="33" t="str">
        <f>IFERROR(VLOOKUP($J7562,'Informations sur les produits'!$A$3:$H$10000,8,FALSE),"0")</f>
        <v>0</v>
      </c>
      <c r="N7562" s="8"/>
      <c r="O7562" s="33" t="str">
        <f>IFERROR(VLOOKUP($M7562,'Informations sur les produits'!$A$3:$H$10000,8,FALSE),"0")</f>
        <v>0</v>
      </c>
      <c r="P7562" s="33">
        <f t="shared" si="472"/>
        <v>0</v>
      </c>
      <c r="Q7562" s="31" t="str">
        <f t="shared" si="473"/>
        <v/>
      </c>
      <c r="R7562" s="32" t="str">
        <f>IFERROR(VLOOKUP($D7562,'Informations sur les produits'!$A$3:$B$15000,2,FALSE),"")</f>
        <v/>
      </c>
      <c r="V7562">
        <f t="shared" si="474"/>
        <v>0</v>
      </c>
      <c r="W7562">
        <f t="shared" si="475"/>
        <v>0</v>
      </c>
    </row>
    <row r="7563" spans="5:23" x14ac:dyDescent="0.25">
      <c r="E7563" s="4"/>
      <c r="F7563" s="4"/>
      <c r="G7563" s="33" t="str">
        <f>IFERROR(VLOOKUP($D7563,'Informations sur les produits'!$A$3:$H$10000,8,FALSE),"0")</f>
        <v>0</v>
      </c>
      <c r="K7563" s="4"/>
      <c r="L7563" s="33" t="str">
        <f>IFERROR(VLOOKUP($J7563,'Informations sur les produits'!$A$3:$H$10000,8,FALSE),"0")</f>
        <v>0</v>
      </c>
      <c r="N7563" s="8"/>
      <c r="O7563" s="33" t="str">
        <f>IFERROR(VLOOKUP($M7563,'Informations sur les produits'!$A$3:$H$10000,8,FALSE),"0")</f>
        <v>0</v>
      </c>
      <c r="P7563" s="33">
        <f t="shared" si="472"/>
        <v>0</v>
      </c>
      <c r="Q7563" s="31" t="str">
        <f t="shared" si="473"/>
        <v/>
      </c>
      <c r="R7563" s="32" t="str">
        <f>IFERROR(VLOOKUP($D7563,'Informations sur les produits'!$A$3:$B$15000,2,FALSE),"")</f>
        <v/>
      </c>
      <c r="V7563">
        <f t="shared" si="474"/>
        <v>0</v>
      </c>
      <c r="W7563">
        <f t="shared" si="475"/>
        <v>0</v>
      </c>
    </row>
    <row r="7564" spans="5:23" x14ac:dyDescent="0.25">
      <c r="E7564" s="4"/>
      <c r="F7564" s="4"/>
      <c r="G7564" s="33" t="str">
        <f>IFERROR(VLOOKUP($D7564,'Informations sur les produits'!$A$3:$H$10000,8,FALSE),"0")</f>
        <v>0</v>
      </c>
      <c r="K7564" s="4"/>
      <c r="L7564" s="33" t="str">
        <f>IFERROR(VLOOKUP($J7564,'Informations sur les produits'!$A$3:$H$10000,8,FALSE),"0")</f>
        <v>0</v>
      </c>
      <c r="N7564" s="8"/>
      <c r="O7564" s="33" t="str">
        <f>IFERROR(VLOOKUP($M7564,'Informations sur les produits'!$A$3:$H$10000,8,FALSE),"0")</f>
        <v>0</v>
      </c>
      <c r="P7564" s="33">
        <f t="shared" si="472"/>
        <v>0</v>
      </c>
      <c r="Q7564" s="31" t="str">
        <f t="shared" si="473"/>
        <v/>
      </c>
      <c r="R7564" s="32" t="str">
        <f>IFERROR(VLOOKUP($D7564,'Informations sur les produits'!$A$3:$B$15000,2,FALSE),"")</f>
        <v/>
      </c>
      <c r="V7564">
        <f t="shared" si="474"/>
        <v>0</v>
      </c>
      <c r="W7564">
        <f t="shared" si="475"/>
        <v>0</v>
      </c>
    </row>
    <row r="7565" spans="5:23" x14ac:dyDescent="0.25">
      <c r="E7565" s="4"/>
      <c r="F7565" s="4"/>
      <c r="G7565" s="33" t="str">
        <f>IFERROR(VLOOKUP($D7565,'Informations sur les produits'!$A$3:$H$10000,8,FALSE),"0")</f>
        <v>0</v>
      </c>
      <c r="K7565" s="4"/>
      <c r="L7565" s="33" t="str">
        <f>IFERROR(VLOOKUP($J7565,'Informations sur les produits'!$A$3:$H$10000,8,FALSE),"0")</f>
        <v>0</v>
      </c>
      <c r="N7565" s="8"/>
      <c r="O7565" s="33" t="str">
        <f>IFERROR(VLOOKUP($M7565,'Informations sur les produits'!$A$3:$H$10000,8,FALSE),"0")</f>
        <v>0</v>
      </c>
      <c r="P7565" s="33">
        <f t="shared" si="472"/>
        <v>0</v>
      </c>
      <c r="Q7565" s="31" t="str">
        <f t="shared" si="473"/>
        <v/>
      </c>
      <c r="R7565" s="32" t="str">
        <f>IFERROR(VLOOKUP($D7565,'Informations sur les produits'!$A$3:$B$15000,2,FALSE),"")</f>
        <v/>
      </c>
      <c r="V7565">
        <f t="shared" si="474"/>
        <v>0</v>
      </c>
      <c r="W7565">
        <f t="shared" si="475"/>
        <v>0</v>
      </c>
    </row>
    <row r="7566" spans="5:23" x14ac:dyDescent="0.25">
      <c r="E7566" s="4"/>
      <c r="F7566" s="4"/>
      <c r="G7566" s="33" t="str">
        <f>IFERROR(VLOOKUP($D7566,'Informations sur les produits'!$A$3:$H$10000,8,FALSE),"0")</f>
        <v>0</v>
      </c>
      <c r="K7566" s="4"/>
      <c r="L7566" s="33" t="str">
        <f>IFERROR(VLOOKUP($J7566,'Informations sur les produits'!$A$3:$H$10000,8,FALSE),"0")</f>
        <v>0</v>
      </c>
      <c r="N7566" s="8"/>
      <c r="O7566" s="33" t="str">
        <f>IFERROR(VLOOKUP($M7566,'Informations sur les produits'!$A$3:$H$10000,8,FALSE),"0")</f>
        <v>0</v>
      </c>
      <c r="P7566" s="33">
        <f t="shared" si="472"/>
        <v>0</v>
      </c>
      <c r="Q7566" s="31" t="str">
        <f t="shared" si="473"/>
        <v/>
      </c>
      <c r="R7566" s="32" t="str">
        <f>IFERROR(VLOOKUP($D7566,'Informations sur les produits'!$A$3:$B$15000,2,FALSE),"")</f>
        <v/>
      </c>
      <c r="V7566">
        <f t="shared" si="474"/>
        <v>0</v>
      </c>
      <c r="W7566">
        <f t="shared" si="475"/>
        <v>0</v>
      </c>
    </row>
    <row r="7567" spans="5:23" x14ac:dyDescent="0.25">
      <c r="E7567" s="4"/>
      <c r="F7567" s="4"/>
      <c r="G7567" s="33" t="str">
        <f>IFERROR(VLOOKUP($D7567,'Informations sur les produits'!$A$3:$H$10000,8,FALSE),"0")</f>
        <v>0</v>
      </c>
      <c r="K7567" s="4"/>
      <c r="L7567" s="33" t="str">
        <f>IFERROR(VLOOKUP($J7567,'Informations sur les produits'!$A$3:$H$10000,8,FALSE),"0")</f>
        <v>0</v>
      </c>
      <c r="N7567" s="8"/>
      <c r="O7567" s="33" t="str">
        <f>IFERROR(VLOOKUP($M7567,'Informations sur les produits'!$A$3:$H$10000,8,FALSE),"0")</f>
        <v>0</v>
      </c>
      <c r="P7567" s="33">
        <f t="shared" si="472"/>
        <v>0</v>
      </c>
      <c r="Q7567" s="31" t="str">
        <f t="shared" si="473"/>
        <v/>
      </c>
      <c r="R7567" s="32" t="str">
        <f>IFERROR(VLOOKUP($D7567,'Informations sur les produits'!$A$3:$B$15000,2,FALSE),"")</f>
        <v/>
      </c>
      <c r="V7567">
        <f t="shared" si="474"/>
        <v>0</v>
      </c>
      <c r="W7567">
        <f t="shared" si="475"/>
        <v>0</v>
      </c>
    </row>
    <row r="7568" spans="5:23" x14ac:dyDescent="0.25">
      <c r="E7568" s="4"/>
      <c r="F7568" s="4"/>
      <c r="G7568" s="33" t="str">
        <f>IFERROR(VLOOKUP($D7568,'Informations sur les produits'!$A$3:$H$10000,8,FALSE),"0")</f>
        <v>0</v>
      </c>
      <c r="K7568" s="4"/>
      <c r="L7568" s="33" t="str">
        <f>IFERROR(VLOOKUP($J7568,'Informations sur les produits'!$A$3:$H$10000,8,FALSE),"0")</f>
        <v>0</v>
      </c>
      <c r="N7568" s="8"/>
      <c r="O7568" s="33" t="str">
        <f>IFERROR(VLOOKUP($M7568,'Informations sur les produits'!$A$3:$H$10000,8,FALSE),"0")</f>
        <v>0</v>
      </c>
      <c r="P7568" s="33">
        <f t="shared" si="472"/>
        <v>0</v>
      </c>
      <c r="Q7568" s="31" t="str">
        <f t="shared" si="473"/>
        <v/>
      </c>
      <c r="R7568" s="32" t="str">
        <f>IFERROR(VLOOKUP($D7568,'Informations sur les produits'!$A$3:$B$15000,2,FALSE),"")</f>
        <v/>
      </c>
      <c r="V7568">
        <f t="shared" si="474"/>
        <v>0</v>
      </c>
      <c r="W7568">
        <f t="shared" si="475"/>
        <v>0</v>
      </c>
    </row>
    <row r="7569" spans="5:23" x14ac:dyDescent="0.25">
      <c r="E7569" s="4"/>
      <c r="F7569" s="4"/>
      <c r="G7569" s="33" t="str">
        <f>IFERROR(VLOOKUP($D7569,'Informations sur les produits'!$A$3:$H$10000,8,FALSE),"0")</f>
        <v>0</v>
      </c>
      <c r="K7569" s="4"/>
      <c r="L7569" s="33" t="str">
        <f>IFERROR(VLOOKUP($J7569,'Informations sur les produits'!$A$3:$H$10000,8,FALSE),"0")</f>
        <v>0</v>
      </c>
      <c r="N7569" s="8"/>
      <c r="O7569" s="33" t="str">
        <f>IFERROR(VLOOKUP($M7569,'Informations sur les produits'!$A$3:$H$10000,8,FALSE),"0")</f>
        <v>0</v>
      </c>
      <c r="P7569" s="33">
        <f t="shared" si="472"/>
        <v>0</v>
      </c>
      <c r="Q7569" s="31" t="str">
        <f t="shared" si="473"/>
        <v/>
      </c>
      <c r="R7569" s="32" t="str">
        <f>IFERROR(VLOOKUP($D7569,'Informations sur les produits'!$A$3:$B$15000,2,FALSE),"")</f>
        <v/>
      </c>
      <c r="V7569">
        <f t="shared" si="474"/>
        <v>0</v>
      </c>
      <c r="W7569">
        <f t="shared" si="475"/>
        <v>0</v>
      </c>
    </row>
    <row r="7570" spans="5:23" x14ac:dyDescent="0.25">
      <c r="E7570" s="4"/>
      <c r="F7570" s="4"/>
      <c r="G7570" s="33" t="str">
        <f>IFERROR(VLOOKUP($D7570,'Informations sur les produits'!$A$3:$H$10000,8,FALSE),"0")</f>
        <v>0</v>
      </c>
      <c r="K7570" s="4"/>
      <c r="L7570" s="33" t="str">
        <f>IFERROR(VLOOKUP($J7570,'Informations sur les produits'!$A$3:$H$10000,8,FALSE),"0")</f>
        <v>0</v>
      </c>
      <c r="N7570" s="8"/>
      <c r="O7570" s="33" t="str">
        <f>IFERROR(VLOOKUP($M7570,'Informations sur les produits'!$A$3:$H$10000,8,FALSE),"0")</f>
        <v>0</v>
      </c>
      <c r="P7570" s="33">
        <f t="shared" si="472"/>
        <v>0</v>
      </c>
      <c r="Q7570" s="31" t="str">
        <f t="shared" si="473"/>
        <v/>
      </c>
      <c r="R7570" s="32" t="str">
        <f>IFERROR(VLOOKUP($D7570,'Informations sur les produits'!$A$3:$B$15000,2,FALSE),"")</f>
        <v/>
      </c>
      <c r="V7570">
        <f t="shared" si="474"/>
        <v>0</v>
      </c>
      <c r="W7570">
        <f t="shared" si="475"/>
        <v>0</v>
      </c>
    </row>
    <row r="7571" spans="5:23" x14ac:dyDescent="0.25">
      <c r="E7571" s="4"/>
      <c r="F7571" s="4"/>
      <c r="G7571" s="33" t="str">
        <f>IFERROR(VLOOKUP($D7571,'Informations sur les produits'!$A$3:$H$10000,8,FALSE),"0")</f>
        <v>0</v>
      </c>
      <c r="K7571" s="4"/>
      <c r="L7571" s="33" t="str">
        <f>IFERROR(VLOOKUP($J7571,'Informations sur les produits'!$A$3:$H$10000,8,FALSE),"0")</f>
        <v>0</v>
      </c>
      <c r="N7571" s="8"/>
      <c r="O7571" s="33" t="str">
        <f>IFERROR(VLOOKUP($M7571,'Informations sur les produits'!$A$3:$H$10000,8,FALSE),"0")</f>
        <v>0</v>
      </c>
      <c r="P7571" s="33">
        <f t="shared" si="472"/>
        <v>0</v>
      </c>
      <c r="Q7571" s="31" t="str">
        <f t="shared" si="473"/>
        <v/>
      </c>
      <c r="R7571" s="32" t="str">
        <f>IFERROR(VLOOKUP($D7571,'Informations sur les produits'!$A$3:$B$15000,2,FALSE),"")</f>
        <v/>
      </c>
      <c r="V7571">
        <f t="shared" si="474"/>
        <v>0</v>
      </c>
      <c r="W7571">
        <f t="shared" si="475"/>
        <v>0</v>
      </c>
    </row>
    <row r="7572" spans="5:23" x14ac:dyDescent="0.25">
      <c r="E7572" s="4"/>
      <c r="F7572" s="4"/>
      <c r="G7572" s="33" t="str">
        <f>IFERROR(VLOOKUP($D7572,'Informations sur les produits'!$A$3:$H$10000,8,FALSE),"0")</f>
        <v>0</v>
      </c>
      <c r="K7572" s="4"/>
      <c r="L7572" s="33" t="str">
        <f>IFERROR(VLOOKUP($J7572,'Informations sur les produits'!$A$3:$H$10000,8,FALSE),"0")</f>
        <v>0</v>
      </c>
      <c r="N7572" s="8"/>
      <c r="O7572" s="33" t="str">
        <f>IFERROR(VLOOKUP($M7572,'Informations sur les produits'!$A$3:$H$10000,8,FALSE),"0")</f>
        <v>0</v>
      </c>
      <c r="P7572" s="33">
        <f t="shared" si="472"/>
        <v>0</v>
      </c>
      <c r="Q7572" s="31" t="str">
        <f t="shared" si="473"/>
        <v/>
      </c>
      <c r="R7572" s="32" t="str">
        <f>IFERROR(VLOOKUP($D7572,'Informations sur les produits'!$A$3:$B$15000,2,FALSE),"")</f>
        <v/>
      </c>
      <c r="V7572">
        <f t="shared" si="474"/>
        <v>0</v>
      </c>
      <c r="W7572">
        <f t="shared" si="475"/>
        <v>0</v>
      </c>
    </row>
    <row r="7573" spans="5:23" x14ac:dyDescent="0.25">
      <c r="E7573" s="4"/>
      <c r="F7573" s="4"/>
      <c r="G7573" s="33" t="str">
        <f>IFERROR(VLOOKUP($D7573,'Informations sur les produits'!$A$3:$H$10000,8,FALSE),"0")</f>
        <v>0</v>
      </c>
      <c r="K7573" s="4"/>
      <c r="L7573" s="33" t="str">
        <f>IFERROR(VLOOKUP($J7573,'Informations sur les produits'!$A$3:$H$10000,8,FALSE),"0")</f>
        <v>0</v>
      </c>
      <c r="N7573" s="8"/>
      <c r="O7573" s="33" t="str">
        <f>IFERROR(VLOOKUP($M7573,'Informations sur les produits'!$A$3:$H$10000,8,FALSE),"0")</f>
        <v>0</v>
      </c>
      <c r="P7573" s="33">
        <f t="shared" si="472"/>
        <v>0</v>
      </c>
      <c r="Q7573" s="31" t="str">
        <f t="shared" si="473"/>
        <v/>
      </c>
      <c r="R7573" s="32" t="str">
        <f>IFERROR(VLOOKUP($D7573,'Informations sur les produits'!$A$3:$B$15000,2,FALSE),"")</f>
        <v/>
      </c>
      <c r="V7573">
        <f t="shared" si="474"/>
        <v>0</v>
      </c>
      <c r="W7573">
        <f t="shared" si="475"/>
        <v>0</v>
      </c>
    </row>
    <row r="7574" spans="5:23" x14ac:dyDescent="0.25">
      <c r="E7574" s="4"/>
      <c r="F7574" s="4"/>
      <c r="G7574" s="33" t="str">
        <f>IFERROR(VLOOKUP($D7574,'Informations sur les produits'!$A$3:$H$10000,8,FALSE),"0")</f>
        <v>0</v>
      </c>
      <c r="K7574" s="4"/>
      <c r="L7574" s="33" t="str">
        <f>IFERROR(VLOOKUP($J7574,'Informations sur les produits'!$A$3:$H$10000,8,FALSE),"0")</f>
        <v>0</v>
      </c>
      <c r="N7574" s="8"/>
      <c r="O7574" s="33" t="str">
        <f>IFERROR(VLOOKUP($M7574,'Informations sur les produits'!$A$3:$H$10000,8,FALSE),"0")</f>
        <v>0</v>
      </c>
      <c r="P7574" s="33">
        <f t="shared" si="472"/>
        <v>0</v>
      </c>
      <c r="Q7574" s="31" t="str">
        <f t="shared" si="473"/>
        <v/>
      </c>
      <c r="R7574" s="32" t="str">
        <f>IFERROR(VLOOKUP($D7574,'Informations sur les produits'!$A$3:$B$15000,2,FALSE),"")</f>
        <v/>
      </c>
      <c r="V7574">
        <f t="shared" si="474"/>
        <v>0</v>
      </c>
      <c r="W7574">
        <f t="shared" si="475"/>
        <v>0</v>
      </c>
    </row>
    <row r="7575" spans="5:23" x14ac:dyDescent="0.25">
      <c r="E7575" s="4"/>
      <c r="F7575" s="4"/>
      <c r="G7575" s="33" t="str">
        <f>IFERROR(VLOOKUP($D7575,'Informations sur les produits'!$A$3:$H$10000,8,FALSE),"0")</f>
        <v>0</v>
      </c>
      <c r="K7575" s="4"/>
      <c r="L7575" s="33" t="str">
        <f>IFERROR(VLOOKUP($J7575,'Informations sur les produits'!$A$3:$H$10000,8,FALSE),"0")</f>
        <v>0</v>
      </c>
      <c r="N7575" s="8"/>
      <c r="O7575" s="33" t="str">
        <f>IFERROR(VLOOKUP($M7575,'Informations sur les produits'!$A$3:$H$10000,8,FALSE),"0")</f>
        <v>0</v>
      </c>
      <c r="P7575" s="33">
        <f t="shared" si="472"/>
        <v>0</v>
      </c>
      <c r="Q7575" s="31" t="str">
        <f t="shared" si="473"/>
        <v/>
      </c>
      <c r="R7575" s="32" t="str">
        <f>IFERROR(VLOOKUP($D7575,'Informations sur les produits'!$A$3:$B$15000,2,FALSE),"")</f>
        <v/>
      </c>
      <c r="V7575">
        <f t="shared" si="474"/>
        <v>0</v>
      </c>
      <c r="W7575">
        <f t="shared" si="475"/>
        <v>0</v>
      </c>
    </row>
    <row r="7576" spans="5:23" x14ac:dyDescent="0.25">
      <c r="E7576" s="4"/>
      <c r="F7576" s="4"/>
      <c r="G7576" s="33" t="str">
        <f>IFERROR(VLOOKUP($D7576,'Informations sur les produits'!$A$3:$H$10000,8,FALSE),"0")</f>
        <v>0</v>
      </c>
      <c r="K7576" s="4"/>
      <c r="L7576" s="33" t="str">
        <f>IFERROR(VLOOKUP($J7576,'Informations sur les produits'!$A$3:$H$10000,8,FALSE),"0")</f>
        <v>0</v>
      </c>
      <c r="N7576" s="8"/>
      <c r="O7576" s="33" t="str">
        <f>IFERROR(VLOOKUP($M7576,'Informations sur les produits'!$A$3:$H$10000,8,FALSE),"0")</f>
        <v>0</v>
      </c>
      <c r="P7576" s="33">
        <f t="shared" si="472"/>
        <v>0</v>
      </c>
      <c r="Q7576" s="31" t="str">
        <f t="shared" si="473"/>
        <v/>
      </c>
      <c r="R7576" s="32" t="str">
        <f>IFERROR(VLOOKUP($D7576,'Informations sur les produits'!$A$3:$B$15000,2,FALSE),"")</f>
        <v/>
      </c>
      <c r="V7576">
        <f t="shared" si="474"/>
        <v>0</v>
      </c>
      <c r="W7576">
        <f t="shared" si="475"/>
        <v>0</v>
      </c>
    </row>
    <row r="7577" spans="5:23" x14ac:dyDescent="0.25">
      <c r="E7577" s="4"/>
      <c r="F7577" s="4"/>
      <c r="G7577" s="33" t="str">
        <f>IFERROR(VLOOKUP($D7577,'Informations sur les produits'!$A$3:$H$10000,8,FALSE),"0")</f>
        <v>0</v>
      </c>
      <c r="K7577" s="4"/>
      <c r="L7577" s="33" t="str">
        <f>IFERROR(VLOOKUP($J7577,'Informations sur les produits'!$A$3:$H$10000,8,FALSE),"0")</f>
        <v>0</v>
      </c>
      <c r="N7577" s="8"/>
      <c r="O7577" s="33" t="str">
        <f>IFERROR(VLOOKUP($M7577,'Informations sur les produits'!$A$3:$H$10000,8,FALSE),"0")</f>
        <v>0</v>
      </c>
      <c r="P7577" s="33">
        <f t="shared" si="472"/>
        <v>0</v>
      </c>
      <c r="Q7577" s="31" t="str">
        <f t="shared" si="473"/>
        <v/>
      </c>
      <c r="R7577" s="32" t="str">
        <f>IFERROR(VLOOKUP($D7577,'Informations sur les produits'!$A$3:$B$15000,2,FALSE),"")</f>
        <v/>
      </c>
      <c r="V7577">
        <f t="shared" si="474"/>
        <v>0</v>
      </c>
      <c r="W7577">
        <f t="shared" si="475"/>
        <v>0</v>
      </c>
    </row>
    <row r="7578" spans="5:23" x14ac:dyDescent="0.25">
      <c r="E7578" s="4"/>
      <c r="F7578" s="4"/>
      <c r="G7578" s="33" t="str">
        <f>IFERROR(VLOOKUP($D7578,'Informations sur les produits'!$A$3:$H$10000,8,FALSE),"0")</f>
        <v>0</v>
      </c>
      <c r="K7578" s="4"/>
      <c r="L7578" s="33" t="str">
        <f>IFERROR(VLOOKUP($J7578,'Informations sur les produits'!$A$3:$H$10000,8,FALSE),"0")</f>
        <v>0</v>
      </c>
      <c r="N7578" s="8"/>
      <c r="O7578" s="33" t="str">
        <f>IFERROR(VLOOKUP($M7578,'Informations sur les produits'!$A$3:$H$10000,8,FALSE),"0")</f>
        <v>0</v>
      </c>
      <c r="P7578" s="33">
        <f t="shared" si="472"/>
        <v>0</v>
      </c>
      <c r="Q7578" s="31" t="str">
        <f t="shared" si="473"/>
        <v/>
      </c>
      <c r="R7578" s="32" t="str">
        <f>IFERROR(VLOOKUP($D7578,'Informations sur les produits'!$A$3:$B$15000,2,FALSE),"")</f>
        <v/>
      </c>
      <c r="V7578">
        <f t="shared" si="474"/>
        <v>0</v>
      </c>
      <c r="W7578">
        <f t="shared" si="475"/>
        <v>0</v>
      </c>
    </row>
    <row r="7579" spans="5:23" x14ac:dyDescent="0.25">
      <c r="E7579" s="4"/>
      <c r="F7579" s="4"/>
      <c r="G7579" s="33" t="str">
        <f>IFERROR(VLOOKUP($D7579,'Informations sur les produits'!$A$3:$H$10000,8,FALSE),"0")</f>
        <v>0</v>
      </c>
      <c r="K7579" s="4"/>
      <c r="L7579" s="33" t="str">
        <f>IFERROR(VLOOKUP($J7579,'Informations sur les produits'!$A$3:$H$10000,8,FALSE),"0")</f>
        <v>0</v>
      </c>
      <c r="N7579" s="8"/>
      <c r="O7579" s="33" t="str">
        <f>IFERROR(VLOOKUP($M7579,'Informations sur les produits'!$A$3:$H$10000,8,FALSE),"0")</f>
        <v>0</v>
      </c>
      <c r="P7579" s="33">
        <f t="shared" si="472"/>
        <v>0</v>
      </c>
      <c r="Q7579" s="31" t="str">
        <f t="shared" si="473"/>
        <v/>
      </c>
      <c r="R7579" s="32" t="str">
        <f>IFERROR(VLOOKUP($D7579,'Informations sur les produits'!$A$3:$B$15000,2,FALSE),"")</f>
        <v/>
      </c>
      <c r="V7579">
        <f t="shared" si="474"/>
        <v>0</v>
      </c>
      <c r="W7579">
        <f t="shared" si="475"/>
        <v>0</v>
      </c>
    </row>
    <row r="7580" spans="5:23" x14ac:dyDescent="0.25">
      <c r="E7580" s="4"/>
      <c r="F7580" s="4"/>
      <c r="G7580" s="33" t="str">
        <f>IFERROR(VLOOKUP($D7580,'Informations sur les produits'!$A$3:$H$10000,8,FALSE),"0")</f>
        <v>0</v>
      </c>
      <c r="K7580" s="4"/>
      <c r="L7580" s="33" t="str">
        <f>IFERROR(VLOOKUP($J7580,'Informations sur les produits'!$A$3:$H$10000,8,FALSE),"0")</f>
        <v>0</v>
      </c>
      <c r="N7580" s="8"/>
      <c r="O7580" s="33" t="str">
        <f>IFERROR(VLOOKUP($M7580,'Informations sur les produits'!$A$3:$H$10000,8,FALSE),"0")</f>
        <v>0</v>
      </c>
      <c r="P7580" s="33">
        <f t="shared" si="472"/>
        <v>0</v>
      </c>
      <c r="Q7580" s="31" t="str">
        <f t="shared" si="473"/>
        <v/>
      </c>
      <c r="R7580" s="32" t="str">
        <f>IFERROR(VLOOKUP($D7580,'Informations sur les produits'!$A$3:$B$15000,2,FALSE),"")</f>
        <v/>
      </c>
      <c r="V7580">
        <f t="shared" si="474"/>
        <v>0</v>
      </c>
      <c r="W7580">
        <f t="shared" si="475"/>
        <v>0</v>
      </c>
    </row>
    <row r="7581" spans="5:23" x14ac:dyDescent="0.25">
      <c r="E7581" s="4"/>
      <c r="F7581" s="4"/>
      <c r="G7581" s="33" t="str">
        <f>IFERROR(VLOOKUP($D7581,'Informations sur les produits'!$A$3:$H$10000,8,FALSE),"0")</f>
        <v>0</v>
      </c>
      <c r="K7581" s="4"/>
      <c r="L7581" s="33" t="str">
        <f>IFERROR(VLOOKUP($J7581,'Informations sur les produits'!$A$3:$H$10000,8,FALSE),"0")</f>
        <v>0</v>
      </c>
      <c r="N7581" s="8"/>
      <c r="O7581" s="33" t="str">
        <f>IFERROR(VLOOKUP($M7581,'Informations sur les produits'!$A$3:$H$10000,8,FALSE),"0")</f>
        <v>0</v>
      </c>
      <c r="P7581" s="33">
        <f t="shared" si="472"/>
        <v>0</v>
      </c>
      <c r="Q7581" s="31" t="str">
        <f t="shared" si="473"/>
        <v/>
      </c>
      <c r="R7581" s="32" t="str">
        <f>IFERROR(VLOOKUP($D7581,'Informations sur les produits'!$A$3:$B$15000,2,FALSE),"")</f>
        <v/>
      </c>
      <c r="V7581">
        <f t="shared" si="474"/>
        <v>0</v>
      </c>
      <c r="W7581">
        <f t="shared" si="475"/>
        <v>0</v>
      </c>
    </row>
    <row r="7582" spans="5:23" x14ac:dyDescent="0.25">
      <c r="E7582" s="4"/>
      <c r="F7582" s="4"/>
      <c r="G7582" s="33" t="str">
        <f>IFERROR(VLOOKUP($D7582,'Informations sur les produits'!$A$3:$H$10000,8,FALSE),"0")</f>
        <v>0</v>
      </c>
      <c r="K7582" s="4"/>
      <c r="L7582" s="33" t="str">
        <f>IFERROR(VLOOKUP($J7582,'Informations sur les produits'!$A$3:$H$10000,8,FALSE),"0")</f>
        <v>0</v>
      </c>
      <c r="N7582" s="8"/>
      <c r="O7582" s="33" t="str">
        <f>IFERROR(VLOOKUP($M7582,'Informations sur les produits'!$A$3:$H$10000,8,FALSE),"0")</f>
        <v>0</v>
      </c>
      <c r="P7582" s="33">
        <f t="shared" si="472"/>
        <v>0</v>
      </c>
      <c r="Q7582" s="31" t="str">
        <f t="shared" si="473"/>
        <v/>
      </c>
      <c r="R7582" s="32" t="str">
        <f>IFERROR(VLOOKUP($D7582,'Informations sur les produits'!$A$3:$B$15000,2,FALSE),"")</f>
        <v/>
      </c>
      <c r="V7582">
        <f t="shared" si="474"/>
        <v>0</v>
      </c>
      <c r="W7582">
        <f t="shared" si="475"/>
        <v>0</v>
      </c>
    </row>
    <row r="7583" spans="5:23" x14ac:dyDescent="0.25">
      <c r="E7583" s="4"/>
      <c r="F7583" s="4"/>
      <c r="G7583" s="33" t="str">
        <f>IFERROR(VLOOKUP($D7583,'Informations sur les produits'!$A$3:$H$10000,8,FALSE),"0")</f>
        <v>0</v>
      </c>
      <c r="K7583" s="4"/>
      <c r="L7583" s="33" t="str">
        <f>IFERROR(VLOOKUP($J7583,'Informations sur les produits'!$A$3:$H$10000,8,FALSE),"0")</f>
        <v>0</v>
      </c>
      <c r="N7583" s="8"/>
      <c r="O7583" s="33" t="str">
        <f>IFERROR(VLOOKUP($M7583,'Informations sur les produits'!$A$3:$H$10000,8,FALSE),"0")</f>
        <v>0</v>
      </c>
      <c r="P7583" s="33">
        <f t="shared" si="472"/>
        <v>0</v>
      </c>
      <c r="Q7583" s="31" t="str">
        <f t="shared" si="473"/>
        <v/>
      </c>
      <c r="R7583" s="32" t="str">
        <f>IFERROR(VLOOKUP($D7583,'Informations sur les produits'!$A$3:$B$15000,2,FALSE),"")</f>
        <v/>
      </c>
      <c r="V7583">
        <f t="shared" si="474"/>
        <v>0</v>
      </c>
      <c r="W7583">
        <f t="shared" si="475"/>
        <v>0</v>
      </c>
    </row>
    <row r="7584" spans="5:23" x14ac:dyDescent="0.25">
      <c r="E7584" s="4"/>
      <c r="F7584" s="4"/>
      <c r="G7584" s="33" t="str">
        <f>IFERROR(VLOOKUP($D7584,'Informations sur les produits'!$A$3:$H$10000,8,FALSE),"0")</f>
        <v>0</v>
      </c>
      <c r="K7584" s="4"/>
      <c r="L7584" s="33" t="str">
        <f>IFERROR(VLOOKUP($J7584,'Informations sur les produits'!$A$3:$H$10000,8,FALSE),"0")</f>
        <v>0</v>
      </c>
      <c r="N7584" s="8"/>
      <c r="O7584" s="33" t="str">
        <f>IFERROR(VLOOKUP($M7584,'Informations sur les produits'!$A$3:$H$10000,8,FALSE),"0")</f>
        <v>0</v>
      </c>
      <c r="P7584" s="33">
        <f t="shared" si="472"/>
        <v>0</v>
      </c>
      <c r="Q7584" s="31" t="str">
        <f t="shared" si="473"/>
        <v/>
      </c>
      <c r="R7584" s="32" t="str">
        <f>IFERROR(VLOOKUP($D7584,'Informations sur les produits'!$A$3:$B$15000,2,FALSE),"")</f>
        <v/>
      </c>
      <c r="V7584">
        <f t="shared" si="474"/>
        <v>0</v>
      </c>
      <c r="W7584">
        <f t="shared" si="475"/>
        <v>0</v>
      </c>
    </row>
    <row r="7585" spans="5:23" x14ac:dyDescent="0.25">
      <c r="E7585" s="4"/>
      <c r="F7585" s="4"/>
      <c r="G7585" s="33" t="str">
        <f>IFERROR(VLOOKUP($D7585,'Informations sur les produits'!$A$3:$H$10000,8,FALSE),"0")</f>
        <v>0</v>
      </c>
      <c r="K7585" s="4"/>
      <c r="L7585" s="33" t="str">
        <f>IFERROR(VLOOKUP($J7585,'Informations sur les produits'!$A$3:$H$10000,8,FALSE),"0")</f>
        <v>0</v>
      </c>
      <c r="N7585" s="8"/>
      <c r="O7585" s="33" t="str">
        <f>IFERROR(VLOOKUP($M7585,'Informations sur les produits'!$A$3:$H$10000,8,FALSE),"0")</f>
        <v>0</v>
      </c>
      <c r="P7585" s="33">
        <f t="shared" si="472"/>
        <v>0</v>
      </c>
      <c r="Q7585" s="31" t="str">
        <f t="shared" si="473"/>
        <v/>
      </c>
      <c r="R7585" s="32" t="str">
        <f>IFERROR(VLOOKUP($D7585,'Informations sur les produits'!$A$3:$B$15000,2,FALSE),"")</f>
        <v/>
      </c>
      <c r="V7585">
        <f t="shared" si="474"/>
        <v>0</v>
      </c>
      <c r="W7585">
        <f t="shared" si="475"/>
        <v>0</v>
      </c>
    </row>
    <row r="7586" spans="5:23" x14ac:dyDescent="0.25">
      <c r="E7586" s="4"/>
      <c r="F7586" s="4"/>
      <c r="G7586" s="33" t="str">
        <f>IFERROR(VLOOKUP($D7586,'Informations sur les produits'!$A$3:$H$10000,8,FALSE),"0")</f>
        <v>0</v>
      </c>
      <c r="K7586" s="4"/>
      <c r="L7586" s="33" t="str">
        <f>IFERROR(VLOOKUP($J7586,'Informations sur les produits'!$A$3:$H$10000,8,FALSE),"0")</f>
        <v>0</v>
      </c>
      <c r="N7586" s="8"/>
      <c r="O7586" s="33" t="str">
        <f>IFERROR(VLOOKUP($M7586,'Informations sur les produits'!$A$3:$H$10000,8,FALSE),"0")</f>
        <v>0</v>
      </c>
      <c r="P7586" s="33">
        <f t="shared" si="472"/>
        <v>0</v>
      </c>
      <c r="Q7586" s="31" t="str">
        <f t="shared" si="473"/>
        <v/>
      </c>
      <c r="R7586" s="32" t="str">
        <f>IFERROR(VLOOKUP($D7586,'Informations sur les produits'!$A$3:$B$15000,2,FALSE),"")</f>
        <v/>
      </c>
      <c r="V7586">
        <f t="shared" si="474"/>
        <v>0</v>
      </c>
      <c r="W7586">
        <f t="shared" si="475"/>
        <v>0</v>
      </c>
    </row>
    <row r="7587" spans="5:23" x14ac:dyDescent="0.25">
      <c r="E7587" s="4"/>
      <c r="F7587" s="4"/>
      <c r="G7587" s="33" t="str">
        <f>IFERROR(VLOOKUP($D7587,'Informations sur les produits'!$A$3:$H$10000,8,FALSE),"0")</f>
        <v>0</v>
      </c>
      <c r="K7587" s="4"/>
      <c r="L7587" s="33" t="str">
        <f>IFERROR(VLOOKUP($J7587,'Informations sur les produits'!$A$3:$H$10000,8,FALSE),"0")</f>
        <v>0</v>
      </c>
      <c r="N7587" s="8"/>
      <c r="O7587" s="33" t="str">
        <f>IFERROR(VLOOKUP($M7587,'Informations sur les produits'!$A$3:$H$10000,8,FALSE),"0")</f>
        <v>0</v>
      </c>
      <c r="P7587" s="33">
        <f t="shared" si="472"/>
        <v>0</v>
      </c>
      <c r="Q7587" s="31" t="str">
        <f t="shared" si="473"/>
        <v/>
      </c>
      <c r="R7587" s="32" t="str">
        <f>IFERROR(VLOOKUP($D7587,'Informations sur les produits'!$A$3:$B$15000,2,FALSE),"")</f>
        <v/>
      </c>
      <c r="V7587">
        <f t="shared" si="474"/>
        <v>0</v>
      </c>
      <c r="W7587">
        <f t="shared" si="475"/>
        <v>0</v>
      </c>
    </row>
    <row r="7588" spans="5:23" x14ac:dyDescent="0.25">
      <c r="E7588" s="4"/>
      <c r="F7588" s="4"/>
      <c r="G7588" s="33" t="str">
        <f>IFERROR(VLOOKUP($D7588,'Informations sur les produits'!$A$3:$H$10000,8,FALSE),"0")</f>
        <v>0</v>
      </c>
      <c r="K7588" s="4"/>
      <c r="L7588" s="33" t="str">
        <f>IFERROR(VLOOKUP($J7588,'Informations sur les produits'!$A$3:$H$10000,8,FALSE),"0")</f>
        <v>0</v>
      </c>
      <c r="N7588" s="8"/>
      <c r="O7588" s="33" t="str">
        <f>IFERROR(VLOOKUP($M7588,'Informations sur les produits'!$A$3:$H$10000,8,FALSE),"0")</f>
        <v>0</v>
      </c>
      <c r="P7588" s="33">
        <f t="shared" si="472"/>
        <v>0</v>
      </c>
      <c r="Q7588" s="31" t="str">
        <f t="shared" si="473"/>
        <v/>
      </c>
      <c r="R7588" s="32" t="str">
        <f>IFERROR(VLOOKUP($D7588,'Informations sur les produits'!$A$3:$B$15000,2,FALSE),"")</f>
        <v/>
      </c>
      <c r="V7588">
        <f t="shared" si="474"/>
        <v>0</v>
      </c>
      <c r="W7588">
        <f t="shared" si="475"/>
        <v>0</v>
      </c>
    </row>
    <row r="7589" spans="5:23" x14ac:dyDescent="0.25">
      <c r="E7589" s="4"/>
      <c r="F7589" s="4"/>
      <c r="G7589" s="33" t="str">
        <f>IFERROR(VLOOKUP($D7589,'Informations sur les produits'!$A$3:$H$10000,8,FALSE),"0")</f>
        <v>0</v>
      </c>
      <c r="K7589" s="4"/>
      <c r="L7589" s="33" t="str">
        <f>IFERROR(VLOOKUP($J7589,'Informations sur les produits'!$A$3:$H$10000,8,FALSE),"0")</f>
        <v>0</v>
      </c>
      <c r="N7589" s="8"/>
      <c r="O7589" s="33" t="str">
        <f>IFERROR(VLOOKUP($M7589,'Informations sur les produits'!$A$3:$H$10000,8,FALSE),"0")</f>
        <v>0</v>
      </c>
      <c r="P7589" s="33">
        <f t="shared" si="472"/>
        <v>0</v>
      </c>
      <c r="Q7589" s="31" t="str">
        <f t="shared" si="473"/>
        <v/>
      </c>
      <c r="R7589" s="32" t="str">
        <f>IFERROR(VLOOKUP($D7589,'Informations sur les produits'!$A$3:$B$15000,2,FALSE),"")</f>
        <v/>
      </c>
      <c r="V7589">
        <f t="shared" si="474"/>
        <v>0</v>
      </c>
      <c r="W7589">
        <f t="shared" si="475"/>
        <v>0</v>
      </c>
    </row>
    <row r="7590" spans="5:23" x14ac:dyDescent="0.25">
      <c r="E7590" s="4"/>
      <c r="F7590" s="4"/>
      <c r="G7590" s="33" t="str">
        <f>IFERROR(VLOOKUP($D7590,'Informations sur les produits'!$A$3:$H$10000,8,FALSE),"0")</f>
        <v>0</v>
      </c>
      <c r="K7590" s="4"/>
      <c r="L7590" s="33" t="str">
        <f>IFERROR(VLOOKUP($J7590,'Informations sur les produits'!$A$3:$H$10000,8,FALSE),"0")</f>
        <v>0</v>
      </c>
      <c r="N7590" s="8"/>
      <c r="O7590" s="33" t="str">
        <f>IFERROR(VLOOKUP($M7590,'Informations sur les produits'!$A$3:$H$10000,8,FALSE),"0")</f>
        <v>0</v>
      </c>
      <c r="P7590" s="33">
        <f t="shared" si="472"/>
        <v>0</v>
      </c>
      <c r="Q7590" s="31" t="str">
        <f t="shared" si="473"/>
        <v/>
      </c>
      <c r="R7590" s="32" t="str">
        <f>IFERROR(VLOOKUP($D7590,'Informations sur les produits'!$A$3:$B$15000,2,FALSE),"")</f>
        <v/>
      </c>
      <c r="V7590">
        <f t="shared" si="474"/>
        <v>0</v>
      </c>
      <c r="W7590">
        <f t="shared" si="475"/>
        <v>0</v>
      </c>
    </row>
    <row r="7591" spans="5:23" x14ac:dyDescent="0.25">
      <c r="E7591" s="4"/>
      <c r="F7591" s="4"/>
      <c r="G7591" s="33" t="str">
        <f>IFERROR(VLOOKUP($D7591,'Informations sur les produits'!$A$3:$H$10000,8,FALSE),"0")</f>
        <v>0</v>
      </c>
      <c r="K7591" s="4"/>
      <c r="L7591" s="33" t="str">
        <f>IFERROR(VLOOKUP($J7591,'Informations sur les produits'!$A$3:$H$10000,8,FALSE),"0")</f>
        <v>0</v>
      </c>
      <c r="N7591" s="8"/>
      <c r="O7591" s="33" t="str">
        <f>IFERROR(VLOOKUP($M7591,'Informations sur les produits'!$A$3:$H$10000,8,FALSE),"0")</f>
        <v>0</v>
      </c>
      <c r="P7591" s="33">
        <f t="shared" si="472"/>
        <v>0</v>
      </c>
      <c r="Q7591" s="31" t="str">
        <f t="shared" si="473"/>
        <v/>
      </c>
      <c r="R7591" s="32" t="str">
        <f>IFERROR(VLOOKUP($D7591,'Informations sur les produits'!$A$3:$B$15000,2,FALSE),"")</f>
        <v/>
      </c>
      <c r="V7591">
        <f t="shared" si="474"/>
        <v>0</v>
      </c>
      <c r="W7591">
        <f t="shared" si="475"/>
        <v>0</v>
      </c>
    </row>
    <row r="7592" spans="5:23" x14ac:dyDescent="0.25">
      <c r="E7592" s="4"/>
      <c r="F7592" s="4"/>
      <c r="G7592" s="33" t="str">
        <f>IFERROR(VLOOKUP($D7592,'Informations sur les produits'!$A$3:$H$10000,8,FALSE),"0")</f>
        <v>0</v>
      </c>
      <c r="K7592" s="4"/>
      <c r="L7592" s="33" t="str">
        <f>IFERROR(VLOOKUP($J7592,'Informations sur les produits'!$A$3:$H$10000,8,FALSE),"0")</f>
        <v>0</v>
      </c>
      <c r="N7592" s="8"/>
      <c r="O7592" s="33" t="str">
        <f>IFERROR(VLOOKUP($M7592,'Informations sur les produits'!$A$3:$H$10000,8,FALSE),"0")</f>
        <v>0</v>
      </c>
      <c r="P7592" s="33">
        <f t="shared" si="472"/>
        <v>0</v>
      </c>
      <c r="Q7592" s="31" t="str">
        <f t="shared" si="473"/>
        <v/>
      </c>
      <c r="R7592" s="32" t="str">
        <f>IFERROR(VLOOKUP($D7592,'Informations sur les produits'!$A$3:$B$15000,2,FALSE),"")</f>
        <v/>
      </c>
      <c r="V7592">
        <f t="shared" si="474"/>
        <v>0</v>
      </c>
      <c r="W7592">
        <f t="shared" si="475"/>
        <v>0</v>
      </c>
    </row>
    <row r="7593" spans="5:23" x14ac:dyDescent="0.25">
      <c r="E7593" s="4"/>
      <c r="F7593" s="4"/>
      <c r="G7593" s="33" t="str">
        <f>IFERROR(VLOOKUP($D7593,'Informations sur les produits'!$A$3:$H$10000,8,FALSE),"0")</f>
        <v>0</v>
      </c>
      <c r="K7593" s="4"/>
      <c r="L7593" s="33" t="str">
        <f>IFERROR(VLOOKUP($J7593,'Informations sur les produits'!$A$3:$H$10000,8,FALSE),"0")</f>
        <v>0</v>
      </c>
      <c r="N7593" s="8"/>
      <c r="O7593" s="33" t="str">
        <f>IFERROR(VLOOKUP($M7593,'Informations sur les produits'!$A$3:$H$10000,8,FALSE),"0")</f>
        <v>0</v>
      </c>
      <c r="P7593" s="33">
        <f t="shared" si="472"/>
        <v>0</v>
      </c>
      <c r="Q7593" s="31" t="str">
        <f t="shared" si="473"/>
        <v/>
      </c>
      <c r="R7593" s="32" t="str">
        <f>IFERROR(VLOOKUP($D7593,'Informations sur les produits'!$A$3:$B$15000,2,FALSE),"")</f>
        <v/>
      </c>
      <c r="V7593">
        <f t="shared" si="474"/>
        <v>0</v>
      </c>
      <c r="W7593">
        <f t="shared" si="475"/>
        <v>0</v>
      </c>
    </row>
    <row r="7594" spans="5:23" x14ac:dyDescent="0.25">
      <c r="E7594" s="4"/>
      <c r="F7594" s="4"/>
      <c r="G7594" s="33" t="str">
        <f>IFERROR(VLOOKUP($D7594,'Informations sur les produits'!$A$3:$H$10000,8,FALSE),"0")</f>
        <v>0</v>
      </c>
      <c r="K7594" s="4"/>
      <c r="L7594" s="33" t="str">
        <f>IFERROR(VLOOKUP($J7594,'Informations sur les produits'!$A$3:$H$10000,8,FALSE),"0")</f>
        <v>0</v>
      </c>
      <c r="N7594" s="8"/>
      <c r="O7594" s="33" t="str">
        <f>IFERROR(VLOOKUP($M7594,'Informations sur les produits'!$A$3:$H$10000,8,FALSE),"0")</f>
        <v>0</v>
      </c>
      <c r="P7594" s="33">
        <f t="shared" si="472"/>
        <v>0</v>
      </c>
      <c r="Q7594" s="31" t="str">
        <f t="shared" si="473"/>
        <v/>
      </c>
      <c r="R7594" s="32" t="str">
        <f>IFERROR(VLOOKUP($D7594,'Informations sur les produits'!$A$3:$B$15000,2,FALSE),"")</f>
        <v/>
      </c>
      <c r="V7594">
        <f t="shared" si="474"/>
        <v>0</v>
      </c>
      <c r="W7594">
        <f t="shared" si="475"/>
        <v>0</v>
      </c>
    </row>
    <row r="7595" spans="5:23" x14ac:dyDescent="0.25">
      <c r="E7595" s="4"/>
      <c r="F7595" s="4"/>
      <c r="G7595" s="33" t="str">
        <f>IFERROR(VLOOKUP($D7595,'Informations sur les produits'!$A$3:$H$10000,8,FALSE),"0")</f>
        <v>0</v>
      </c>
      <c r="K7595" s="4"/>
      <c r="L7595" s="33" t="str">
        <f>IFERROR(VLOOKUP($J7595,'Informations sur les produits'!$A$3:$H$10000,8,FALSE),"0")</f>
        <v>0</v>
      </c>
      <c r="N7595" s="8"/>
      <c r="O7595" s="33" t="str">
        <f>IFERROR(VLOOKUP($M7595,'Informations sur les produits'!$A$3:$H$10000,8,FALSE),"0")</f>
        <v>0</v>
      </c>
      <c r="P7595" s="33">
        <f t="shared" si="472"/>
        <v>0</v>
      </c>
      <c r="Q7595" s="31" t="str">
        <f t="shared" si="473"/>
        <v/>
      </c>
      <c r="R7595" s="32" t="str">
        <f>IFERROR(VLOOKUP($D7595,'Informations sur les produits'!$A$3:$B$15000,2,FALSE),"")</f>
        <v/>
      </c>
      <c r="V7595">
        <f t="shared" si="474"/>
        <v>0</v>
      </c>
      <c r="W7595">
        <f t="shared" si="475"/>
        <v>0</v>
      </c>
    </row>
    <row r="7596" spans="5:23" x14ac:dyDescent="0.25">
      <c r="E7596" s="4"/>
      <c r="F7596" s="4"/>
      <c r="G7596" s="33" t="str">
        <f>IFERROR(VLOOKUP($D7596,'Informations sur les produits'!$A$3:$H$10000,8,FALSE),"0")</f>
        <v>0</v>
      </c>
      <c r="K7596" s="4"/>
      <c r="L7596" s="33" t="str">
        <f>IFERROR(VLOOKUP($J7596,'Informations sur les produits'!$A$3:$H$10000,8,FALSE),"0")</f>
        <v>0</v>
      </c>
      <c r="N7596" s="8"/>
      <c r="O7596" s="33" t="str">
        <f>IFERROR(VLOOKUP($M7596,'Informations sur les produits'!$A$3:$H$10000,8,FALSE),"0")</f>
        <v>0</v>
      </c>
      <c r="P7596" s="33">
        <f t="shared" si="472"/>
        <v>0</v>
      </c>
      <c r="Q7596" s="31" t="str">
        <f t="shared" si="473"/>
        <v/>
      </c>
      <c r="R7596" s="32" t="str">
        <f>IFERROR(VLOOKUP($D7596,'Informations sur les produits'!$A$3:$B$15000,2,FALSE),"")</f>
        <v/>
      </c>
      <c r="V7596">
        <f t="shared" si="474"/>
        <v>0</v>
      </c>
      <c r="W7596">
        <f t="shared" si="475"/>
        <v>0</v>
      </c>
    </row>
    <row r="7597" spans="5:23" x14ac:dyDescent="0.25">
      <c r="E7597" s="4"/>
      <c r="F7597" s="4"/>
      <c r="G7597" s="33" t="str">
        <f>IFERROR(VLOOKUP($D7597,'Informations sur les produits'!$A$3:$H$10000,8,FALSE),"0")</f>
        <v>0</v>
      </c>
      <c r="K7597" s="4"/>
      <c r="L7597" s="33" t="str">
        <f>IFERROR(VLOOKUP($J7597,'Informations sur les produits'!$A$3:$H$10000,8,FALSE),"0")</f>
        <v>0</v>
      </c>
      <c r="N7597" s="8"/>
      <c r="O7597" s="33" t="str">
        <f>IFERROR(VLOOKUP($M7597,'Informations sur les produits'!$A$3:$H$10000,8,FALSE),"0")</f>
        <v>0</v>
      </c>
      <c r="P7597" s="33">
        <f t="shared" si="472"/>
        <v>0</v>
      </c>
      <c r="Q7597" s="31" t="str">
        <f t="shared" si="473"/>
        <v/>
      </c>
      <c r="R7597" s="32" t="str">
        <f>IFERROR(VLOOKUP($D7597,'Informations sur les produits'!$A$3:$B$15000,2,FALSE),"")</f>
        <v/>
      </c>
      <c r="V7597">
        <f t="shared" si="474"/>
        <v>0</v>
      </c>
      <c r="W7597">
        <f t="shared" si="475"/>
        <v>0</v>
      </c>
    </row>
    <row r="7598" spans="5:23" x14ac:dyDescent="0.25">
      <c r="E7598" s="4"/>
      <c r="F7598" s="4"/>
      <c r="G7598" s="33" t="str">
        <f>IFERROR(VLOOKUP($D7598,'Informations sur les produits'!$A$3:$H$10000,8,FALSE),"0")</f>
        <v>0</v>
      </c>
      <c r="K7598" s="4"/>
      <c r="L7598" s="33" t="str">
        <f>IFERROR(VLOOKUP($J7598,'Informations sur les produits'!$A$3:$H$10000,8,FALSE),"0")</f>
        <v>0</v>
      </c>
      <c r="N7598" s="8"/>
      <c r="O7598" s="33" t="str">
        <f>IFERROR(VLOOKUP($M7598,'Informations sur les produits'!$A$3:$H$10000,8,FALSE),"0")</f>
        <v>0</v>
      </c>
      <c r="P7598" s="33">
        <f t="shared" si="472"/>
        <v>0</v>
      </c>
      <c r="Q7598" s="31" t="str">
        <f t="shared" si="473"/>
        <v/>
      </c>
      <c r="R7598" s="32" t="str">
        <f>IFERROR(VLOOKUP($D7598,'Informations sur les produits'!$A$3:$B$15000,2,FALSE),"")</f>
        <v/>
      </c>
      <c r="V7598">
        <f t="shared" si="474"/>
        <v>0</v>
      </c>
      <c r="W7598">
        <f t="shared" si="475"/>
        <v>0</v>
      </c>
    </row>
    <row r="7599" spans="5:23" x14ac:dyDescent="0.25">
      <c r="E7599" s="4"/>
      <c r="F7599" s="4"/>
      <c r="G7599" s="33" t="str">
        <f>IFERROR(VLOOKUP($D7599,'Informations sur les produits'!$A$3:$H$10000,8,FALSE),"0")</f>
        <v>0</v>
      </c>
      <c r="K7599" s="4"/>
      <c r="L7599" s="33" t="str">
        <f>IFERROR(VLOOKUP($J7599,'Informations sur les produits'!$A$3:$H$10000,8,FALSE),"0")</f>
        <v>0</v>
      </c>
      <c r="N7599" s="8"/>
      <c r="O7599" s="33" t="str">
        <f>IFERROR(VLOOKUP($M7599,'Informations sur les produits'!$A$3:$H$10000,8,FALSE),"0")</f>
        <v>0</v>
      </c>
      <c r="P7599" s="33">
        <f t="shared" si="472"/>
        <v>0</v>
      </c>
      <c r="Q7599" s="31" t="str">
        <f t="shared" si="473"/>
        <v/>
      </c>
      <c r="R7599" s="32" t="str">
        <f>IFERROR(VLOOKUP($D7599,'Informations sur les produits'!$A$3:$B$15000,2,FALSE),"")</f>
        <v/>
      </c>
      <c r="V7599">
        <f t="shared" si="474"/>
        <v>0</v>
      </c>
      <c r="W7599">
        <f t="shared" si="475"/>
        <v>0</v>
      </c>
    </row>
    <row r="7600" spans="5:23" x14ac:dyDescent="0.25">
      <c r="E7600" s="4"/>
      <c r="F7600" s="4"/>
      <c r="G7600" s="33" t="str">
        <f>IFERROR(VLOOKUP($D7600,'Informations sur les produits'!$A$3:$H$10000,8,FALSE),"0")</f>
        <v>0</v>
      </c>
      <c r="K7600" s="4"/>
      <c r="L7600" s="33" t="str">
        <f>IFERROR(VLOOKUP($J7600,'Informations sur les produits'!$A$3:$H$10000,8,FALSE),"0")</f>
        <v>0</v>
      </c>
      <c r="N7600" s="8"/>
      <c r="O7600" s="33" t="str">
        <f>IFERROR(VLOOKUP($M7600,'Informations sur les produits'!$A$3:$H$10000,8,FALSE),"0")</f>
        <v>0</v>
      </c>
      <c r="P7600" s="33">
        <f t="shared" si="472"/>
        <v>0</v>
      </c>
      <c r="Q7600" s="31" t="str">
        <f t="shared" si="473"/>
        <v/>
      </c>
      <c r="R7600" s="32" t="str">
        <f>IFERROR(VLOOKUP($D7600,'Informations sur les produits'!$A$3:$B$15000,2,FALSE),"")</f>
        <v/>
      </c>
      <c r="V7600">
        <f t="shared" si="474"/>
        <v>0</v>
      </c>
      <c r="W7600">
        <f t="shared" si="475"/>
        <v>0</v>
      </c>
    </row>
    <row r="7601" spans="5:23" x14ac:dyDescent="0.25">
      <c r="E7601" s="4"/>
      <c r="F7601" s="4"/>
      <c r="G7601" s="33" t="str">
        <f>IFERROR(VLOOKUP($D7601,'Informations sur les produits'!$A$3:$H$10000,8,FALSE),"0")</f>
        <v>0</v>
      </c>
      <c r="K7601" s="4"/>
      <c r="L7601" s="33" t="str">
        <f>IFERROR(VLOOKUP($J7601,'Informations sur les produits'!$A$3:$H$10000,8,FALSE),"0")</f>
        <v>0</v>
      </c>
      <c r="N7601" s="8"/>
      <c r="O7601" s="33" t="str">
        <f>IFERROR(VLOOKUP($M7601,'Informations sur les produits'!$A$3:$H$10000,8,FALSE),"0")</f>
        <v>0</v>
      </c>
      <c r="P7601" s="33">
        <f t="shared" si="472"/>
        <v>0</v>
      </c>
      <c r="Q7601" s="31" t="str">
        <f t="shared" si="473"/>
        <v/>
      </c>
      <c r="R7601" s="32" t="str">
        <f>IFERROR(VLOOKUP($D7601,'Informations sur les produits'!$A$3:$B$15000,2,FALSE),"")</f>
        <v/>
      </c>
      <c r="V7601">
        <f t="shared" si="474"/>
        <v>0</v>
      </c>
      <c r="W7601">
        <f t="shared" si="475"/>
        <v>0</v>
      </c>
    </row>
    <row r="7602" spans="5:23" x14ac:dyDescent="0.25">
      <c r="E7602" s="4"/>
      <c r="F7602" s="4"/>
      <c r="G7602" s="33" t="str">
        <f>IFERROR(VLOOKUP($D7602,'Informations sur les produits'!$A$3:$H$10000,8,FALSE),"0")</f>
        <v>0</v>
      </c>
      <c r="K7602" s="4"/>
      <c r="L7602" s="33" t="str">
        <f>IFERROR(VLOOKUP($J7602,'Informations sur les produits'!$A$3:$H$10000,8,FALSE),"0")</f>
        <v>0</v>
      </c>
      <c r="N7602" s="8"/>
      <c r="O7602" s="33" t="str">
        <f>IFERROR(VLOOKUP($M7602,'Informations sur les produits'!$A$3:$H$10000,8,FALSE),"0")</f>
        <v>0</v>
      </c>
      <c r="P7602" s="33">
        <f t="shared" si="472"/>
        <v>0</v>
      </c>
      <c r="Q7602" s="31" t="str">
        <f t="shared" si="473"/>
        <v/>
      </c>
      <c r="R7602" s="32" t="str">
        <f>IFERROR(VLOOKUP($D7602,'Informations sur les produits'!$A$3:$B$15000,2,FALSE),"")</f>
        <v/>
      </c>
      <c r="V7602">
        <f t="shared" si="474"/>
        <v>0</v>
      </c>
      <c r="W7602">
        <f t="shared" si="475"/>
        <v>0</v>
      </c>
    </row>
    <row r="7603" spans="5:23" x14ac:dyDescent="0.25">
      <c r="E7603" s="4"/>
      <c r="F7603" s="4"/>
      <c r="G7603" s="33" t="str">
        <f>IFERROR(VLOOKUP($D7603,'Informations sur les produits'!$A$3:$H$10000,8,FALSE),"0")</f>
        <v>0</v>
      </c>
      <c r="K7603" s="4"/>
      <c r="L7603" s="33" t="str">
        <f>IFERROR(VLOOKUP($J7603,'Informations sur les produits'!$A$3:$H$10000,8,FALSE),"0")</f>
        <v>0</v>
      </c>
      <c r="N7603" s="8"/>
      <c r="O7603" s="33" t="str">
        <f>IFERROR(VLOOKUP($M7603,'Informations sur les produits'!$A$3:$H$10000,8,FALSE),"0")</f>
        <v>0</v>
      </c>
      <c r="P7603" s="33">
        <f t="shared" si="472"/>
        <v>0</v>
      </c>
      <c r="Q7603" s="31" t="str">
        <f t="shared" si="473"/>
        <v/>
      </c>
      <c r="R7603" s="32" t="str">
        <f>IFERROR(VLOOKUP($D7603,'Informations sur les produits'!$A$3:$B$15000,2,FALSE),"")</f>
        <v/>
      </c>
      <c r="V7603">
        <f t="shared" si="474"/>
        <v>0</v>
      </c>
      <c r="W7603">
        <f t="shared" si="475"/>
        <v>0</v>
      </c>
    </row>
    <row r="7604" spans="5:23" x14ac:dyDescent="0.25">
      <c r="E7604" s="4"/>
      <c r="F7604" s="4"/>
      <c r="G7604" s="33" t="str">
        <f>IFERROR(VLOOKUP($D7604,'Informations sur les produits'!$A$3:$H$10000,8,FALSE),"0")</f>
        <v>0</v>
      </c>
      <c r="K7604" s="4"/>
      <c r="L7604" s="33" t="str">
        <f>IFERROR(VLOOKUP($J7604,'Informations sur les produits'!$A$3:$H$10000,8,FALSE),"0")</f>
        <v>0</v>
      </c>
      <c r="N7604" s="8"/>
      <c r="O7604" s="33" t="str">
        <f>IFERROR(VLOOKUP($M7604,'Informations sur les produits'!$A$3:$H$10000,8,FALSE),"0")</f>
        <v>0</v>
      </c>
      <c r="P7604" s="33">
        <f t="shared" si="472"/>
        <v>0</v>
      </c>
      <c r="Q7604" s="31" t="str">
        <f t="shared" si="473"/>
        <v/>
      </c>
      <c r="R7604" s="32" t="str">
        <f>IFERROR(VLOOKUP($D7604,'Informations sur les produits'!$A$3:$B$15000,2,FALSE),"")</f>
        <v/>
      </c>
      <c r="V7604">
        <f t="shared" si="474"/>
        <v>0</v>
      </c>
      <c r="W7604">
        <f t="shared" si="475"/>
        <v>0</v>
      </c>
    </row>
    <row r="7605" spans="5:23" x14ac:dyDescent="0.25">
      <c r="E7605" s="4"/>
      <c r="F7605" s="4"/>
      <c r="G7605" s="33" t="str">
        <f>IFERROR(VLOOKUP($D7605,'Informations sur les produits'!$A$3:$H$10000,8,FALSE),"0")</f>
        <v>0</v>
      </c>
      <c r="K7605" s="4"/>
      <c r="L7605" s="33" t="str">
        <f>IFERROR(VLOOKUP($J7605,'Informations sur les produits'!$A$3:$H$10000,8,FALSE),"0")</f>
        <v>0</v>
      </c>
      <c r="N7605" s="8"/>
      <c r="O7605" s="33" t="str">
        <f>IFERROR(VLOOKUP($M7605,'Informations sur les produits'!$A$3:$H$10000,8,FALSE),"0")</f>
        <v>0</v>
      </c>
      <c r="P7605" s="33">
        <f t="shared" si="472"/>
        <v>0</v>
      </c>
      <c r="Q7605" s="31" t="str">
        <f t="shared" si="473"/>
        <v/>
      </c>
      <c r="R7605" s="32" t="str">
        <f>IFERROR(VLOOKUP($D7605,'Informations sur les produits'!$A$3:$B$15000,2,FALSE),"")</f>
        <v/>
      </c>
      <c r="V7605">
        <f t="shared" si="474"/>
        <v>0</v>
      </c>
      <c r="W7605">
        <f t="shared" si="475"/>
        <v>0</v>
      </c>
    </row>
    <row r="7606" spans="5:23" x14ac:dyDescent="0.25">
      <c r="E7606" s="4"/>
      <c r="F7606" s="4"/>
      <c r="G7606" s="33" t="str">
        <f>IFERROR(VLOOKUP($D7606,'Informations sur les produits'!$A$3:$H$10000,8,FALSE),"0")</f>
        <v>0</v>
      </c>
      <c r="K7606" s="4"/>
      <c r="L7606" s="33" t="str">
        <f>IFERROR(VLOOKUP($J7606,'Informations sur les produits'!$A$3:$H$10000,8,FALSE),"0")</f>
        <v>0</v>
      </c>
      <c r="N7606" s="8"/>
      <c r="O7606" s="33" t="str">
        <f>IFERROR(VLOOKUP($M7606,'Informations sur les produits'!$A$3:$H$10000,8,FALSE),"0")</f>
        <v>0</v>
      </c>
      <c r="P7606" s="33">
        <f t="shared" si="472"/>
        <v>0</v>
      </c>
      <c r="Q7606" s="31" t="str">
        <f t="shared" si="473"/>
        <v/>
      </c>
      <c r="R7606" s="32" t="str">
        <f>IFERROR(VLOOKUP($D7606,'Informations sur les produits'!$A$3:$B$15000,2,FALSE),"")</f>
        <v/>
      </c>
      <c r="V7606">
        <f t="shared" si="474"/>
        <v>0</v>
      </c>
      <c r="W7606">
        <f t="shared" si="475"/>
        <v>0</v>
      </c>
    </row>
    <row r="7607" spans="5:23" x14ac:dyDescent="0.25">
      <c r="E7607" s="4"/>
      <c r="F7607" s="4"/>
      <c r="G7607" s="33" t="str">
        <f>IFERROR(VLOOKUP($D7607,'Informations sur les produits'!$A$3:$H$10000,8,FALSE),"0")</f>
        <v>0</v>
      </c>
      <c r="K7607" s="4"/>
      <c r="L7607" s="33" t="str">
        <f>IFERROR(VLOOKUP($J7607,'Informations sur les produits'!$A$3:$H$10000,8,FALSE),"0")</f>
        <v>0</v>
      </c>
      <c r="N7607" s="8"/>
      <c r="O7607" s="33" t="str">
        <f>IFERROR(VLOOKUP($M7607,'Informations sur les produits'!$A$3:$H$10000,8,FALSE),"0")</f>
        <v>0</v>
      </c>
      <c r="P7607" s="33">
        <f t="shared" si="472"/>
        <v>0</v>
      </c>
      <c r="Q7607" s="31" t="str">
        <f t="shared" si="473"/>
        <v/>
      </c>
      <c r="R7607" s="32" t="str">
        <f>IFERROR(VLOOKUP($D7607,'Informations sur les produits'!$A$3:$B$15000,2,FALSE),"")</f>
        <v/>
      </c>
      <c r="V7607">
        <f t="shared" si="474"/>
        <v>0</v>
      </c>
      <c r="W7607">
        <f t="shared" si="475"/>
        <v>0</v>
      </c>
    </row>
    <row r="7608" spans="5:23" x14ac:dyDescent="0.25">
      <c r="E7608" s="4"/>
      <c r="F7608" s="4"/>
      <c r="G7608" s="33" t="str">
        <f>IFERROR(VLOOKUP($D7608,'Informations sur les produits'!$A$3:$H$10000,8,FALSE),"0")</f>
        <v>0</v>
      </c>
      <c r="K7608" s="4"/>
      <c r="L7608" s="33" t="str">
        <f>IFERROR(VLOOKUP($J7608,'Informations sur les produits'!$A$3:$H$10000,8,FALSE),"0")</f>
        <v>0</v>
      </c>
      <c r="N7608" s="8"/>
      <c r="O7608" s="33" t="str">
        <f>IFERROR(VLOOKUP($M7608,'Informations sur les produits'!$A$3:$H$10000,8,FALSE),"0")</f>
        <v>0</v>
      </c>
      <c r="P7608" s="33">
        <f t="shared" si="472"/>
        <v>0</v>
      </c>
      <c r="Q7608" s="31" t="str">
        <f t="shared" si="473"/>
        <v/>
      </c>
      <c r="R7608" s="32" t="str">
        <f>IFERROR(VLOOKUP($D7608,'Informations sur les produits'!$A$3:$B$15000,2,FALSE),"")</f>
        <v/>
      </c>
      <c r="V7608">
        <f t="shared" si="474"/>
        <v>0</v>
      </c>
      <c r="W7608">
        <f t="shared" si="475"/>
        <v>0</v>
      </c>
    </row>
    <row r="7609" spans="5:23" x14ac:dyDescent="0.25">
      <c r="E7609" s="4"/>
      <c r="F7609" s="4"/>
      <c r="G7609" s="33" t="str">
        <f>IFERROR(VLOOKUP($D7609,'Informations sur les produits'!$A$3:$H$10000,8,FALSE),"0")</f>
        <v>0</v>
      </c>
      <c r="K7609" s="4"/>
      <c r="L7609" s="33" t="str">
        <f>IFERROR(VLOOKUP($J7609,'Informations sur les produits'!$A$3:$H$10000,8,FALSE),"0")</f>
        <v>0</v>
      </c>
      <c r="N7609" s="8"/>
      <c r="O7609" s="33" t="str">
        <f>IFERROR(VLOOKUP($M7609,'Informations sur les produits'!$A$3:$H$10000,8,FALSE),"0")</f>
        <v>0</v>
      </c>
      <c r="P7609" s="33">
        <f t="shared" si="472"/>
        <v>0</v>
      </c>
      <c r="Q7609" s="31" t="str">
        <f t="shared" si="473"/>
        <v/>
      </c>
      <c r="R7609" s="32" t="str">
        <f>IFERROR(VLOOKUP($D7609,'Informations sur les produits'!$A$3:$B$15000,2,FALSE),"")</f>
        <v/>
      </c>
      <c r="V7609">
        <f t="shared" si="474"/>
        <v>0</v>
      </c>
      <c r="W7609">
        <f t="shared" si="475"/>
        <v>0</v>
      </c>
    </row>
    <row r="7610" spans="5:23" x14ac:dyDescent="0.25">
      <c r="E7610" s="4"/>
      <c r="F7610" s="4"/>
      <c r="G7610" s="33" t="str">
        <f>IFERROR(VLOOKUP($D7610,'Informations sur les produits'!$A$3:$H$10000,8,FALSE),"0")</f>
        <v>0</v>
      </c>
      <c r="K7610" s="4"/>
      <c r="L7610" s="33" t="str">
        <f>IFERROR(VLOOKUP($J7610,'Informations sur les produits'!$A$3:$H$10000,8,FALSE),"0")</f>
        <v>0</v>
      </c>
      <c r="N7610" s="8"/>
      <c r="O7610" s="33" t="str">
        <f>IFERROR(VLOOKUP($M7610,'Informations sur les produits'!$A$3:$H$10000,8,FALSE),"0")</f>
        <v>0</v>
      </c>
      <c r="P7610" s="33">
        <f t="shared" si="472"/>
        <v>0</v>
      </c>
      <c r="Q7610" s="31" t="str">
        <f t="shared" si="473"/>
        <v/>
      </c>
      <c r="R7610" s="32" t="str">
        <f>IFERROR(VLOOKUP($D7610,'Informations sur les produits'!$A$3:$B$15000,2,FALSE),"")</f>
        <v/>
      </c>
      <c r="V7610">
        <f t="shared" si="474"/>
        <v>0</v>
      </c>
      <c r="W7610">
        <f t="shared" si="475"/>
        <v>0</v>
      </c>
    </row>
    <row r="7611" spans="5:23" x14ac:dyDescent="0.25">
      <c r="E7611" s="4"/>
      <c r="F7611" s="4"/>
      <c r="G7611" s="33" t="str">
        <f>IFERROR(VLOOKUP($D7611,'Informations sur les produits'!$A$3:$H$10000,8,FALSE),"0")</f>
        <v>0</v>
      </c>
      <c r="K7611" s="4"/>
      <c r="L7611" s="33" t="str">
        <f>IFERROR(VLOOKUP($J7611,'Informations sur les produits'!$A$3:$H$10000,8,FALSE),"0")</f>
        <v>0</v>
      </c>
      <c r="N7611" s="8"/>
      <c r="O7611" s="33" t="str">
        <f>IFERROR(VLOOKUP($M7611,'Informations sur les produits'!$A$3:$H$10000,8,FALSE),"0")</f>
        <v>0</v>
      </c>
      <c r="P7611" s="33">
        <f t="shared" si="472"/>
        <v>0</v>
      </c>
      <c r="Q7611" s="31" t="str">
        <f t="shared" si="473"/>
        <v/>
      </c>
      <c r="R7611" s="32" t="str">
        <f>IFERROR(VLOOKUP($D7611,'Informations sur les produits'!$A$3:$B$15000,2,FALSE),"")</f>
        <v/>
      </c>
      <c r="V7611">
        <f t="shared" si="474"/>
        <v>0</v>
      </c>
      <c r="W7611">
        <f t="shared" si="475"/>
        <v>0</v>
      </c>
    </row>
    <row r="7612" spans="5:23" x14ac:dyDescent="0.25">
      <c r="E7612" s="4"/>
      <c r="F7612" s="4"/>
      <c r="G7612" s="33" t="str">
        <f>IFERROR(VLOOKUP($D7612,'Informations sur les produits'!$A$3:$H$10000,8,FALSE),"0")</f>
        <v>0</v>
      </c>
      <c r="K7612" s="4"/>
      <c r="L7612" s="33" t="str">
        <f>IFERROR(VLOOKUP($J7612,'Informations sur les produits'!$A$3:$H$10000,8,FALSE),"0")</f>
        <v>0</v>
      </c>
      <c r="N7612" s="8"/>
      <c r="O7612" s="33" t="str">
        <f>IFERROR(VLOOKUP($M7612,'Informations sur les produits'!$A$3:$H$10000,8,FALSE),"0")</f>
        <v>0</v>
      </c>
      <c r="P7612" s="33">
        <f t="shared" si="472"/>
        <v>0</v>
      </c>
      <c r="Q7612" s="31" t="str">
        <f t="shared" si="473"/>
        <v/>
      </c>
      <c r="R7612" s="32" t="str">
        <f>IFERROR(VLOOKUP($D7612,'Informations sur les produits'!$A$3:$B$15000,2,FALSE),"")</f>
        <v/>
      </c>
      <c r="V7612">
        <f t="shared" si="474"/>
        <v>0</v>
      </c>
      <c r="W7612">
        <f t="shared" si="475"/>
        <v>0</v>
      </c>
    </row>
    <row r="7613" spans="5:23" x14ac:dyDescent="0.25">
      <c r="E7613" s="4"/>
      <c r="F7613" s="4"/>
      <c r="G7613" s="33" t="str">
        <f>IFERROR(VLOOKUP($D7613,'Informations sur les produits'!$A$3:$H$10000,8,FALSE),"0")</f>
        <v>0</v>
      </c>
      <c r="K7613" s="4"/>
      <c r="L7613" s="33" t="str">
        <f>IFERROR(VLOOKUP($J7613,'Informations sur les produits'!$A$3:$H$10000,8,FALSE),"0")</f>
        <v>0</v>
      </c>
      <c r="N7613" s="8"/>
      <c r="O7613" s="33" t="str">
        <f>IFERROR(VLOOKUP($M7613,'Informations sur les produits'!$A$3:$H$10000,8,FALSE),"0")</f>
        <v>0</v>
      </c>
      <c r="P7613" s="33">
        <f t="shared" si="472"/>
        <v>0</v>
      </c>
      <c r="Q7613" s="31" t="str">
        <f t="shared" si="473"/>
        <v/>
      </c>
      <c r="R7613" s="32" t="str">
        <f>IFERROR(VLOOKUP($D7613,'Informations sur les produits'!$A$3:$B$15000,2,FALSE),"")</f>
        <v/>
      </c>
      <c r="V7613">
        <f t="shared" si="474"/>
        <v>0</v>
      </c>
      <c r="W7613">
        <f t="shared" si="475"/>
        <v>0</v>
      </c>
    </row>
    <row r="7614" spans="5:23" x14ac:dyDescent="0.25">
      <c r="E7614" s="4"/>
      <c r="F7614" s="4"/>
      <c r="G7614" s="33" t="str">
        <f>IFERROR(VLOOKUP($D7614,'Informations sur les produits'!$A$3:$H$10000,8,FALSE),"0")</f>
        <v>0</v>
      </c>
      <c r="K7614" s="4"/>
      <c r="L7614" s="33" t="str">
        <f>IFERROR(VLOOKUP($J7614,'Informations sur les produits'!$A$3:$H$10000,8,FALSE),"0")</f>
        <v>0</v>
      </c>
      <c r="N7614" s="8"/>
      <c r="O7614" s="33" t="str">
        <f>IFERROR(VLOOKUP($M7614,'Informations sur les produits'!$A$3:$H$10000,8,FALSE),"0")</f>
        <v>0</v>
      </c>
      <c r="P7614" s="33">
        <f t="shared" si="472"/>
        <v>0</v>
      </c>
      <c r="Q7614" s="31" t="str">
        <f t="shared" si="473"/>
        <v/>
      </c>
      <c r="R7614" s="32" t="str">
        <f>IFERROR(VLOOKUP($D7614,'Informations sur les produits'!$A$3:$B$15000,2,FALSE),"")</f>
        <v/>
      </c>
      <c r="V7614">
        <f t="shared" si="474"/>
        <v>0</v>
      </c>
      <c r="W7614">
        <f t="shared" si="475"/>
        <v>0</v>
      </c>
    </row>
    <row r="7615" spans="5:23" x14ac:dyDescent="0.25">
      <c r="E7615" s="4"/>
      <c r="F7615" s="4"/>
      <c r="G7615" s="33" t="str">
        <f>IFERROR(VLOOKUP($D7615,'Informations sur les produits'!$A$3:$H$10000,8,FALSE),"0")</f>
        <v>0</v>
      </c>
      <c r="K7615" s="4"/>
      <c r="L7615" s="33" t="str">
        <f>IFERROR(VLOOKUP($J7615,'Informations sur les produits'!$A$3:$H$10000,8,FALSE),"0")</f>
        <v>0</v>
      </c>
      <c r="N7615" s="8"/>
      <c r="O7615" s="33" t="str">
        <f>IFERROR(VLOOKUP($M7615,'Informations sur les produits'!$A$3:$H$10000,8,FALSE),"0")</f>
        <v>0</v>
      </c>
      <c r="P7615" s="33">
        <f t="shared" si="472"/>
        <v>0</v>
      </c>
      <c r="Q7615" s="31" t="str">
        <f t="shared" si="473"/>
        <v/>
      </c>
      <c r="R7615" s="32" t="str">
        <f>IFERROR(VLOOKUP($D7615,'Informations sur les produits'!$A$3:$B$15000,2,FALSE),"")</f>
        <v/>
      </c>
      <c r="V7615">
        <f t="shared" si="474"/>
        <v>0</v>
      </c>
      <c r="W7615">
        <f t="shared" si="475"/>
        <v>0</v>
      </c>
    </row>
    <row r="7616" spans="5:23" x14ac:dyDescent="0.25">
      <c r="E7616" s="4"/>
      <c r="F7616" s="4"/>
      <c r="G7616" s="33" t="str">
        <f>IFERROR(VLOOKUP($D7616,'Informations sur les produits'!$A$3:$H$10000,8,FALSE),"0")</f>
        <v>0</v>
      </c>
      <c r="K7616" s="4"/>
      <c r="L7616" s="33" t="str">
        <f>IFERROR(VLOOKUP($J7616,'Informations sur les produits'!$A$3:$H$10000,8,FALSE),"0")</f>
        <v>0</v>
      </c>
      <c r="N7616" s="8"/>
      <c r="O7616" s="33" t="str">
        <f>IFERROR(VLOOKUP($M7616,'Informations sur les produits'!$A$3:$H$10000,8,FALSE),"0")</f>
        <v>0</v>
      </c>
      <c r="P7616" s="33">
        <f t="shared" si="472"/>
        <v>0</v>
      </c>
      <c r="Q7616" s="31" t="str">
        <f t="shared" si="473"/>
        <v/>
      </c>
      <c r="R7616" s="32" t="str">
        <f>IFERROR(VLOOKUP($D7616,'Informations sur les produits'!$A$3:$B$15000,2,FALSE),"")</f>
        <v/>
      </c>
      <c r="V7616">
        <f t="shared" si="474"/>
        <v>0</v>
      </c>
      <c r="W7616">
        <f t="shared" si="475"/>
        <v>0</v>
      </c>
    </row>
    <row r="7617" spans="5:23" x14ac:dyDescent="0.25">
      <c r="E7617" s="4"/>
      <c r="F7617" s="4"/>
      <c r="G7617" s="33" t="str">
        <f>IFERROR(VLOOKUP($D7617,'Informations sur les produits'!$A$3:$H$10000,8,FALSE),"0")</f>
        <v>0</v>
      </c>
      <c r="K7617" s="4"/>
      <c r="L7617" s="33" t="str">
        <f>IFERROR(VLOOKUP($J7617,'Informations sur les produits'!$A$3:$H$10000,8,FALSE),"0")</f>
        <v>0</v>
      </c>
      <c r="N7617" s="8"/>
      <c r="O7617" s="33" t="str">
        <f>IFERROR(VLOOKUP($M7617,'Informations sur les produits'!$A$3:$H$10000,8,FALSE),"0")</f>
        <v>0</v>
      </c>
      <c r="P7617" s="33">
        <f t="shared" si="472"/>
        <v>0</v>
      </c>
      <c r="Q7617" s="31" t="str">
        <f t="shared" si="473"/>
        <v/>
      </c>
      <c r="R7617" s="32" t="str">
        <f>IFERROR(VLOOKUP($D7617,'Informations sur les produits'!$A$3:$B$15000,2,FALSE),"")</f>
        <v/>
      </c>
      <c r="V7617">
        <f t="shared" si="474"/>
        <v>0</v>
      </c>
      <c r="W7617">
        <f t="shared" si="475"/>
        <v>0</v>
      </c>
    </row>
    <row r="7618" spans="5:23" x14ac:dyDescent="0.25">
      <c r="E7618" s="4"/>
      <c r="F7618" s="4"/>
      <c r="G7618" s="33" t="str">
        <f>IFERROR(VLOOKUP($D7618,'Informations sur les produits'!$A$3:$H$10000,8,FALSE),"0")</f>
        <v>0</v>
      </c>
      <c r="K7618" s="4"/>
      <c r="L7618" s="33" t="str">
        <f>IFERROR(VLOOKUP($J7618,'Informations sur les produits'!$A$3:$H$10000,8,FALSE),"0")</f>
        <v>0</v>
      </c>
      <c r="N7618" s="8"/>
      <c r="O7618" s="33" t="str">
        <f>IFERROR(VLOOKUP($M7618,'Informations sur les produits'!$A$3:$H$10000,8,FALSE),"0")</f>
        <v>0</v>
      </c>
      <c r="P7618" s="33">
        <f t="shared" si="472"/>
        <v>0</v>
      </c>
      <c r="Q7618" s="31" t="str">
        <f t="shared" si="473"/>
        <v/>
      </c>
      <c r="R7618" s="32" t="str">
        <f>IFERROR(VLOOKUP($D7618,'Informations sur les produits'!$A$3:$B$15000,2,FALSE),"")</f>
        <v/>
      </c>
      <c r="V7618">
        <f t="shared" si="474"/>
        <v>0</v>
      </c>
      <c r="W7618">
        <f t="shared" si="475"/>
        <v>0</v>
      </c>
    </row>
    <row r="7619" spans="5:23" x14ac:dyDescent="0.25">
      <c r="E7619" s="4"/>
      <c r="F7619" s="4"/>
      <c r="G7619" s="33" t="str">
        <f>IFERROR(VLOOKUP($D7619,'Informations sur les produits'!$A$3:$H$10000,8,FALSE),"0")</f>
        <v>0</v>
      </c>
      <c r="K7619" s="4"/>
      <c r="L7619" s="33" t="str">
        <f>IFERROR(VLOOKUP($J7619,'Informations sur les produits'!$A$3:$H$10000,8,FALSE),"0")</f>
        <v>0</v>
      </c>
      <c r="N7619" s="8"/>
      <c r="O7619" s="33" t="str">
        <f>IFERROR(VLOOKUP($M7619,'Informations sur les produits'!$A$3:$H$10000,8,FALSE),"0")</f>
        <v>0</v>
      </c>
      <c r="P7619" s="33">
        <f t="shared" si="472"/>
        <v>0</v>
      </c>
      <c r="Q7619" s="31" t="str">
        <f t="shared" si="473"/>
        <v/>
      </c>
      <c r="R7619" s="32" t="str">
        <f>IFERROR(VLOOKUP($D7619,'Informations sur les produits'!$A$3:$B$15000,2,FALSE),"")</f>
        <v/>
      </c>
      <c r="V7619">
        <f t="shared" si="474"/>
        <v>0</v>
      </c>
      <c r="W7619">
        <f t="shared" si="475"/>
        <v>0</v>
      </c>
    </row>
    <row r="7620" spans="5:23" x14ac:dyDescent="0.25">
      <c r="E7620" s="4"/>
      <c r="F7620" s="4"/>
      <c r="G7620" s="33" t="str">
        <f>IFERROR(VLOOKUP($D7620,'Informations sur les produits'!$A$3:$H$10000,8,FALSE),"0")</f>
        <v>0</v>
      </c>
      <c r="K7620" s="4"/>
      <c r="L7620" s="33" t="str">
        <f>IFERROR(VLOOKUP($J7620,'Informations sur les produits'!$A$3:$H$10000,8,FALSE),"0")</f>
        <v>0</v>
      </c>
      <c r="N7620" s="8"/>
      <c r="O7620" s="33" t="str">
        <f>IFERROR(VLOOKUP($M7620,'Informations sur les produits'!$A$3:$H$10000,8,FALSE),"0")</f>
        <v>0</v>
      </c>
      <c r="P7620" s="33">
        <f t="shared" ref="P7620:P7683" si="476">IFERROR((($E7620-$F7620)*$G7620+$K7620*$L7620+$N7620*$O7620),"")</f>
        <v>0</v>
      </c>
      <c r="Q7620" s="31" t="str">
        <f t="shared" ref="Q7620:Q7683" si="477">IFERROR((((($E7620-$F7620)*$G7620+$K7620*$L7620+$N7620*$O7620)*1000)/(($E7620-$F7620)+$K7620+$N7620)),"")</f>
        <v/>
      </c>
      <c r="R7620" s="32" t="str">
        <f>IFERROR(VLOOKUP($D7620,'Informations sur les produits'!$A$3:$B$15000,2,FALSE),"")</f>
        <v/>
      </c>
      <c r="V7620">
        <f t="shared" ref="V7620:V7683" si="478">IFERROR(P7620*1000,"")</f>
        <v>0</v>
      </c>
      <c r="W7620">
        <f t="shared" ref="W7620:W7683" si="479">IFERROR(($E7620-$F7620)+$K7620+$N7620,"")</f>
        <v>0</v>
      </c>
    </row>
    <row r="7621" spans="5:23" x14ac:dyDescent="0.25">
      <c r="E7621" s="4"/>
      <c r="F7621" s="4"/>
      <c r="G7621" s="33" t="str">
        <f>IFERROR(VLOOKUP($D7621,'Informations sur les produits'!$A$3:$H$10000,8,FALSE),"0")</f>
        <v>0</v>
      </c>
      <c r="K7621" s="4"/>
      <c r="L7621" s="33" t="str">
        <f>IFERROR(VLOOKUP($J7621,'Informations sur les produits'!$A$3:$H$10000,8,FALSE),"0")</f>
        <v>0</v>
      </c>
      <c r="N7621" s="8"/>
      <c r="O7621" s="33" t="str">
        <f>IFERROR(VLOOKUP($M7621,'Informations sur les produits'!$A$3:$H$10000,8,FALSE),"0")</f>
        <v>0</v>
      </c>
      <c r="P7621" s="33">
        <f t="shared" si="476"/>
        <v>0</v>
      </c>
      <c r="Q7621" s="31" t="str">
        <f t="shared" si="477"/>
        <v/>
      </c>
      <c r="R7621" s="32" t="str">
        <f>IFERROR(VLOOKUP($D7621,'Informations sur les produits'!$A$3:$B$15000,2,FALSE),"")</f>
        <v/>
      </c>
      <c r="V7621">
        <f t="shared" si="478"/>
        <v>0</v>
      </c>
      <c r="W7621">
        <f t="shared" si="479"/>
        <v>0</v>
      </c>
    </row>
    <row r="7622" spans="5:23" x14ac:dyDescent="0.25">
      <c r="E7622" s="4"/>
      <c r="F7622" s="4"/>
      <c r="G7622" s="33" t="str">
        <f>IFERROR(VLOOKUP($D7622,'Informations sur les produits'!$A$3:$H$10000,8,FALSE),"0")</f>
        <v>0</v>
      </c>
      <c r="K7622" s="4"/>
      <c r="L7622" s="33" t="str">
        <f>IFERROR(VLOOKUP($J7622,'Informations sur les produits'!$A$3:$H$10000,8,FALSE),"0")</f>
        <v>0</v>
      </c>
      <c r="N7622" s="8"/>
      <c r="O7622" s="33" t="str">
        <f>IFERROR(VLOOKUP($M7622,'Informations sur les produits'!$A$3:$H$10000,8,FALSE),"0")</f>
        <v>0</v>
      </c>
      <c r="P7622" s="33">
        <f t="shared" si="476"/>
        <v>0</v>
      </c>
      <c r="Q7622" s="31" t="str">
        <f t="shared" si="477"/>
        <v/>
      </c>
      <c r="R7622" s="32" t="str">
        <f>IFERROR(VLOOKUP($D7622,'Informations sur les produits'!$A$3:$B$15000,2,FALSE),"")</f>
        <v/>
      </c>
      <c r="V7622">
        <f t="shared" si="478"/>
        <v>0</v>
      </c>
      <c r="W7622">
        <f t="shared" si="479"/>
        <v>0</v>
      </c>
    </row>
    <row r="7623" spans="5:23" x14ac:dyDescent="0.25">
      <c r="E7623" s="4"/>
      <c r="F7623" s="4"/>
      <c r="G7623" s="33" t="str">
        <f>IFERROR(VLOOKUP($D7623,'Informations sur les produits'!$A$3:$H$10000,8,FALSE),"0")</f>
        <v>0</v>
      </c>
      <c r="K7623" s="4"/>
      <c r="L7623" s="33" t="str">
        <f>IFERROR(VLOOKUP($J7623,'Informations sur les produits'!$A$3:$H$10000,8,FALSE),"0")</f>
        <v>0</v>
      </c>
      <c r="N7623" s="8"/>
      <c r="O7623" s="33" t="str">
        <f>IFERROR(VLOOKUP($M7623,'Informations sur les produits'!$A$3:$H$10000,8,FALSE),"0")</f>
        <v>0</v>
      </c>
      <c r="P7623" s="33">
        <f t="shared" si="476"/>
        <v>0</v>
      </c>
      <c r="Q7623" s="31" t="str">
        <f t="shared" si="477"/>
        <v/>
      </c>
      <c r="R7623" s="32" t="str">
        <f>IFERROR(VLOOKUP($D7623,'Informations sur les produits'!$A$3:$B$15000,2,FALSE),"")</f>
        <v/>
      </c>
      <c r="V7623">
        <f t="shared" si="478"/>
        <v>0</v>
      </c>
      <c r="W7623">
        <f t="shared" si="479"/>
        <v>0</v>
      </c>
    </row>
    <row r="7624" spans="5:23" x14ac:dyDescent="0.25">
      <c r="E7624" s="4"/>
      <c r="F7624" s="4"/>
      <c r="G7624" s="33" t="str">
        <f>IFERROR(VLOOKUP($D7624,'Informations sur les produits'!$A$3:$H$10000,8,FALSE),"0")</f>
        <v>0</v>
      </c>
      <c r="K7624" s="4"/>
      <c r="L7624" s="33" t="str">
        <f>IFERROR(VLOOKUP($J7624,'Informations sur les produits'!$A$3:$H$10000,8,FALSE),"0")</f>
        <v>0</v>
      </c>
      <c r="N7624" s="8"/>
      <c r="O7624" s="33" t="str">
        <f>IFERROR(VLOOKUP($M7624,'Informations sur les produits'!$A$3:$H$10000,8,FALSE),"0")</f>
        <v>0</v>
      </c>
      <c r="P7624" s="33">
        <f t="shared" si="476"/>
        <v>0</v>
      </c>
      <c r="Q7624" s="31" t="str">
        <f t="shared" si="477"/>
        <v/>
      </c>
      <c r="R7624" s="32" t="str">
        <f>IFERROR(VLOOKUP($D7624,'Informations sur les produits'!$A$3:$B$15000,2,FALSE),"")</f>
        <v/>
      </c>
      <c r="V7624">
        <f t="shared" si="478"/>
        <v>0</v>
      </c>
      <c r="W7624">
        <f t="shared" si="479"/>
        <v>0</v>
      </c>
    </row>
    <row r="7625" spans="5:23" x14ac:dyDescent="0.25">
      <c r="E7625" s="4"/>
      <c r="F7625" s="4"/>
      <c r="G7625" s="33" t="str">
        <f>IFERROR(VLOOKUP($D7625,'Informations sur les produits'!$A$3:$H$10000,8,FALSE),"0")</f>
        <v>0</v>
      </c>
      <c r="K7625" s="4"/>
      <c r="L7625" s="33" t="str">
        <f>IFERROR(VLOOKUP($J7625,'Informations sur les produits'!$A$3:$H$10000,8,FALSE),"0")</f>
        <v>0</v>
      </c>
      <c r="N7625" s="8"/>
      <c r="O7625" s="33" t="str">
        <f>IFERROR(VLOOKUP($M7625,'Informations sur les produits'!$A$3:$H$10000,8,FALSE),"0")</f>
        <v>0</v>
      </c>
      <c r="P7625" s="33">
        <f t="shared" si="476"/>
        <v>0</v>
      </c>
      <c r="Q7625" s="31" t="str">
        <f t="shared" si="477"/>
        <v/>
      </c>
      <c r="R7625" s="32" t="str">
        <f>IFERROR(VLOOKUP($D7625,'Informations sur les produits'!$A$3:$B$15000,2,FALSE),"")</f>
        <v/>
      </c>
      <c r="V7625">
        <f t="shared" si="478"/>
        <v>0</v>
      </c>
      <c r="W7625">
        <f t="shared" si="479"/>
        <v>0</v>
      </c>
    </row>
    <row r="7626" spans="5:23" x14ac:dyDescent="0.25">
      <c r="E7626" s="4"/>
      <c r="F7626" s="4"/>
      <c r="G7626" s="33" t="str">
        <f>IFERROR(VLOOKUP($D7626,'Informations sur les produits'!$A$3:$H$10000,8,FALSE),"0")</f>
        <v>0</v>
      </c>
      <c r="K7626" s="4"/>
      <c r="L7626" s="33" t="str">
        <f>IFERROR(VLOOKUP($J7626,'Informations sur les produits'!$A$3:$H$10000,8,FALSE),"0")</f>
        <v>0</v>
      </c>
      <c r="N7626" s="8"/>
      <c r="O7626" s="33" t="str">
        <f>IFERROR(VLOOKUP($M7626,'Informations sur les produits'!$A$3:$H$10000,8,FALSE),"0")</f>
        <v>0</v>
      </c>
      <c r="P7626" s="33">
        <f t="shared" si="476"/>
        <v>0</v>
      </c>
      <c r="Q7626" s="31" t="str">
        <f t="shared" si="477"/>
        <v/>
      </c>
      <c r="R7626" s="32" t="str">
        <f>IFERROR(VLOOKUP($D7626,'Informations sur les produits'!$A$3:$B$15000,2,FALSE),"")</f>
        <v/>
      </c>
      <c r="V7626">
        <f t="shared" si="478"/>
        <v>0</v>
      </c>
      <c r="W7626">
        <f t="shared" si="479"/>
        <v>0</v>
      </c>
    </row>
    <row r="7627" spans="5:23" x14ac:dyDescent="0.25">
      <c r="E7627" s="4"/>
      <c r="F7627" s="4"/>
      <c r="G7627" s="33" t="str">
        <f>IFERROR(VLOOKUP($D7627,'Informations sur les produits'!$A$3:$H$10000,8,FALSE),"0")</f>
        <v>0</v>
      </c>
      <c r="K7627" s="4"/>
      <c r="L7627" s="33" t="str">
        <f>IFERROR(VLOOKUP($J7627,'Informations sur les produits'!$A$3:$H$10000,8,FALSE),"0")</f>
        <v>0</v>
      </c>
      <c r="N7627" s="8"/>
      <c r="O7627" s="33" t="str">
        <f>IFERROR(VLOOKUP($M7627,'Informations sur les produits'!$A$3:$H$10000,8,FALSE),"0")</f>
        <v>0</v>
      </c>
      <c r="P7627" s="33">
        <f t="shared" si="476"/>
        <v>0</v>
      </c>
      <c r="Q7627" s="31" t="str">
        <f t="shared" si="477"/>
        <v/>
      </c>
      <c r="R7627" s="32" t="str">
        <f>IFERROR(VLOOKUP($D7627,'Informations sur les produits'!$A$3:$B$15000,2,FALSE),"")</f>
        <v/>
      </c>
      <c r="V7627">
        <f t="shared" si="478"/>
        <v>0</v>
      </c>
      <c r="W7627">
        <f t="shared" si="479"/>
        <v>0</v>
      </c>
    </row>
    <row r="7628" spans="5:23" x14ac:dyDescent="0.25">
      <c r="E7628" s="4"/>
      <c r="F7628" s="4"/>
      <c r="G7628" s="33" t="str">
        <f>IFERROR(VLOOKUP($D7628,'Informations sur les produits'!$A$3:$H$10000,8,FALSE),"0")</f>
        <v>0</v>
      </c>
      <c r="K7628" s="4"/>
      <c r="L7628" s="33" t="str">
        <f>IFERROR(VLOOKUP($J7628,'Informations sur les produits'!$A$3:$H$10000,8,FALSE),"0")</f>
        <v>0</v>
      </c>
      <c r="N7628" s="8"/>
      <c r="O7628" s="33" t="str">
        <f>IFERROR(VLOOKUP($M7628,'Informations sur les produits'!$A$3:$H$10000,8,FALSE),"0")</f>
        <v>0</v>
      </c>
      <c r="P7628" s="33">
        <f t="shared" si="476"/>
        <v>0</v>
      </c>
      <c r="Q7628" s="31" t="str">
        <f t="shared" si="477"/>
        <v/>
      </c>
      <c r="R7628" s="32" t="str">
        <f>IFERROR(VLOOKUP($D7628,'Informations sur les produits'!$A$3:$B$15000,2,FALSE),"")</f>
        <v/>
      </c>
      <c r="V7628">
        <f t="shared" si="478"/>
        <v>0</v>
      </c>
      <c r="W7628">
        <f t="shared" si="479"/>
        <v>0</v>
      </c>
    </row>
    <row r="7629" spans="5:23" x14ac:dyDescent="0.25">
      <c r="E7629" s="4"/>
      <c r="F7629" s="4"/>
      <c r="G7629" s="33" t="str">
        <f>IFERROR(VLOOKUP($D7629,'Informations sur les produits'!$A$3:$H$10000,8,FALSE),"0")</f>
        <v>0</v>
      </c>
      <c r="K7629" s="4"/>
      <c r="L7629" s="33" t="str">
        <f>IFERROR(VLOOKUP($J7629,'Informations sur les produits'!$A$3:$H$10000,8,FALSE),"0")</f>
        <v>0</v>
      </c>
      <c r="N7629" s="8"/>
      <c r="O7629" s="33" t="str">
        <f>IFERROR(VLOOKUP($M7629,'Informations sur les produits'!$A$3:$H$10000,8,FALSE),"0")</f>
        <v>0</v>
      </c>
      <c r="P7629" s="33">
        <f t="shared" si="476"/>
        <v>0</v>
      </c>
      <c r="Q7629" s="31" t="str">
        <f t="shared" si="477"/>
        <v/>
      </c>
      <c r="R7629" s="32" t="str">
        <f>IFERROR(VLOOKUP($D7629,'Informations sur les produits'!$A$3:$B$15000,2,FALSE),"")</f>
        <v/>
      </c>
      <c r="V7629">
        <f t="shared" si="478"/>
        <v>0</v>
      </c>
      <c r="W7629">
        <f t="shared" si="479"/>
        <v>0</v>
      </c>
    </row>
    <row r="7630" spans="5:23" x14ac:dyDescent="0.25">
      <c r="E7630" s="4"/>
      <c r="F7630" s="4"/>
      <c r="G7630" s="33" t="str">
        <f>IFERROR(VLOOKUP($D7630,'Informations sur les produits'!$A$3:$H$10000,8,FALSE),"0")</f>
        <v>0</v>
      </c>
      <c r="K7630" s="4"/>
      <c r="L7630" s="33" t="str">
        <f>IFERROR(VLOOKUP($J7630,'Informations sur les produits'!$A$3:$H$10000,8,FALSE),"0")</f>
        <v>0</v>
      </c>
      <c r="N7630" s="8"/>
      <c r="O7630" s="33" t="str">
        <f>IFERROR(VLOOKUP($M7630,'Informations sur les produits'!$A$3:$H$10000,8,FALSE),"0")</f>
        <v>0</v>
      </c>
      <c r="P7630" s="33">
        <f t="shared" si="476"/>
        <v>0</v>
      </c>
      <c r="Q7630" s="31" t="str">
        <f t="shared" si="477"/>
        <v/>
      </c>
      <c r="R7630" s="32" t="str">
        <f>IFERROR(VLOOKUP($D7630,'Informations sur les produits'!$A$3:$B$15000,2,FALSE),"")</f>
        <v/>
      </c>
      <c r="V7630">
        <f t="shared" si="478"/>
        <v>0</v>
      </c>
      <c r="W7630">
        <f t="shared" si="479"/>
        <v>0</v>
      </c>
    </row>
    <row r="7631" spans="5:23" x14ac:dyDescent="0.25">
      <c r="E7631" s="4"/>
      <c r="F7631" s="4"/>
      <c r="G7631" s="33" t="str">
        <f>IFERROR(VLOOKUP($D7631,'Informations sur les produits'!$A$3:$H$10000,8,FALSE),"0")</f>
        <v>0</v>
      </c>
      <c r="K7631" s="4"/>
      <c r="L7631" s="33" t="str">
        <f>IFERROR(VLOOKUP($J7631,'Informations sur les produits'!$A$3:$H$10000,8,FALSE),"0")</f>
        <v>0</v>
      </c>
      <c r="N7631" s="8"/>
      <c r="O7631" s="33" t="str">
        <f>IFERROR(VLOOKUP($M7631,'Informations sur les produits'!$A$3:$H$10000,8,FALSE),"0")</f>
        <v>0</v>
      </c>
      <c r="P7631" s="33">
        <f t="shared" si="476"/>
        <v>0</v>
      </c>
      <c r="Q7631" s="31" t="str">
        <f t="shared" si="477"/>
        <v/>
      </c>
      <c r="R7631" s="32" t="str">
        <f>IFERROR(VLOOKUP($D7631,'Informations sur les produits'!$A$3:$B$15000,2,FALSE),"")</f>
        <v/>
      </c>
      <c r="V7631">
        <f t="shared" si="478"/>
        <v>0</v>
      </c>
      <c r="W7631">
        <f t="shared" si="479"/>
        <v>0</v>
      </c>
    </row>
    <row r="7632" spans="5:23" x14ac:dyDescent="0.25">
      <c r="E7632" s="4"/>
      <c r="F7632" s="4"/>
      <c r="G7632" s="33" t="str">
        <f>IFERROR(VLOOKUP($D7632,'Informations sur les produits'!$A$3:$H$10000,8,FALSE),"0")</f>
        <v>0</v>
      </c>
      <c r="K7632" s="4"/>
      <c r="L7632" s="33" t="str">
        <f>IFERROR(VLOOKUP($J7632,'Informations sur les produits'!$A$3:$H$10000,8,FALSE),"0")</f>
        <v>0</v>
      </c>
      <c r="N7632" s="8"/>
      <c r="O7632" s="33" t="str">
        <f>IFERROR(VLOOKUP($M7632,'Informations sur les produits'!$A$3:$H$10000,8,FALSE),"0")</f>
        <v>0</v>
      </c>
      <c r="P7632" s="33">
        <f t="shared" si="476"/>
        <v>0</v>
      </c>
      <c r="Q7632" s="31" t="str">
        <f t="shared" si="477"/>
        <v/>
      </c>
      <c r="R7632" s="32" t="str">
        <f>IFERROR(VLOOKUP($D7632,'Informations sur les produits'!$A$3:$B$15000,2,FALSE),"")</f>
        <v/>
      </c>
      <c r="V7632">
        <f t="shared" si="478"/>
        <v>0</v>
      </c>
      <c r="W7632">
        <f t="shared" si="479"/>
        <v>0</v>
      </c>
    </row>
    <row r="7633" spans="5:23" x14ac:dyDescent="0.25">
      <c r="E7633" s="4"/>
      <c r="F7633" s="4"/>
      <c r="G7633" s="33" t="str">
        <f>IFERROR(VLOOKUP($D7633,'Informations sur les produits'!$A$3:$H$10000,8,FALSE),"0")</f>
        <v>0</v>
      </c>
      <c r="K7633" s="4"/>
      <c r="L7633" s="33" t="str">
        <f>IFERROR(VLOOKUP($J7633,'Informations sur les produits'!$A$3:$H$10000,8,FALSE),"0")</f>
        <v>0</v>
      </c>
      <c r="N7633" s="8"/>
      <c r="O7633" s="33" t="str">
        <f>IFERROR(VLOOKUP($M7633,'Informations sur les produits'!$A$3:$H$10000,8,FALSE),"0")</f>
        <v>0</v>
      </c>
      <c r="P7633" s="33">
        <f t="shared" si="476"/>
        <v>0</v>
      </c>
      <c r="Q7633" s="31" t="str">
        <f t="shared" si="477"/>
        <v/>
      </c>
      <c r="R7633" s="32" t="str">
        <f>IFERROR(VLOOKUP($D7633,'Informations sur les produits'!$A$3:$B$15000,2,FALSE),"")</f>
        <v/>
      </c>
      <c r="V7633">
        <f t="shared" si="478"/>
        <v>0</v>
      </c>
      <c r="W7633">
        <f t="shared" si="479"/>
        <v>0</v>
      </c>
    </row>
    <row r="7634" spans="5:23" x14ac:dyDescent="0.25">
      <c r="E7634" s="4"/>
      <c r="F7634" s="4"/>
      <c r="G7634" s="33" t="str">
        <f>IFERROR(VLOOKUP($D7634,'Informations sur les produits'!$A$3:$H$10000,8,FALSE),"0")</f>
        <v>0</v>
      </c>
      <c r="K7634" s="4"/>
      <c r="L7634" s="33" t="str">
        <f>IFERROR(VLOOKUP($J7634,'Informations sur les produits'!$A$3:$H$10000,8,FALSE),"0")</f>
        <v>0</v>
      </c>
      <c r="N7634" s="8"/>
      <c r="O7634" s="33" t="str">
        <f>IFERROR(VLOOKUP($M7634,'Informations sur les produits'!$A$3:$H$10000,8,FALSE),"0")</f>
        <v>0</v>
      </c>
      <c r="P7634" s="33">
        <f t="shared" si="476"/>
        <v>0</v>
      </c>
      <c r="Q7634" s="31" t="str">
        <f t="shared" si="477"/>
        <v/>
      </c>
      <c r="R7634" s="32" t="str">
        <f>IFERROR(VLOOKUP($D7634,'Informations sur les produits'!$A$3:$B$15000,2,FALSE),"")</f>
        <v/>
      </c>
      <c r="V7634">
        <f t="shared" si="478"/>
        <v>0</v>
      </c>
      <c r="W7634">
        <f t="shared" si="479"/>
        <v>0</v>
      </c>
    </row>
    <row r="7635" spans="5:23" x14ac:dyDescent="0.25">
      <c r="E7635" s="4"/>
      <c r="F7635" s="4"/>
      <c r="G7635" s="33" t="str">
        <f>IFERROR(VLOOKUP($D7635,'Informations sur les produits'!$A$3:$H$10000,8,FALSE),"0")</f>
        <v>0</v>
      </c>
      <c r="K7635" s="4"/>
      <c r="L7635" s="33" t="str">
        <f>IFERROR(VLOOKUP($J7635,'Informations sur les produits'!$A$3:$H$10000,8,FALSE),"0")</f>
        <v>0</v>
      </c>
      <c r="N7635" s="8"/>
      <c r="O7635" s="33" t="str">
        <f>IFERROR(VLOOKUP($M7635,'Informations sur les produits'!$A$3:$H$10000,8,FALSE),"0")</f>
        <v>0</v>
      </c>
      <c r="P7635" s="33">
        <f t="shared" si="476"/>
        <v>0</v>
      </c>
      <c r="Q7635" s="31" t="str">
        <f t="shared" si="477"/>
        <v/>
      </c>
      <c r="R7635" s="32" t="str">
        <f>IFERROR(VLOOKUP($D7635,'Informations sur les produits'!$A$3:$B$15000,2,FALSE),"")</f>
        <v/>
      </c>
      <c r="V7635">
        <f t="shared" si="478"/>
        <v>0</v>
      </c>
      <c r="W7635">
        <f t="shared" si="479"/>
        <v>0</v>
      </c>
    </row>
    <row r="7636" spans="5:23" x14ac:dyDescent="0.25">
      <c r="E7636" s="4"/>
      <c r="F7636" s="4"/>
      <c r="G7636" s="33" t="str">
        <f>IFERROR(VLOOKUP($D7636,'Informations sur les produits'!$A$3:$H$10000,8,FALSE),"0")</f>
        <v>0</v>
      </c>
      <c r="K7636" s="4"/>
      <c r="L7636" s="33" t="str">
        <f>IFERROR(VLOOKUP($J7636,'Informations sur les produits'!$A$3:$H$10000,8,FALSE),"0")</f>
        <v>0</v>
      </c>
      <c r="N7636" s="8"/>
      <c r="O7636" s="33" t="str">
        <f>IFERROR(VLOOKUP($M7636,'Informations sur les produits'!$A$3:$H$10000,8,FALSE),"0")</f>
        <v>0</v>
      </c>
      <c r="P7636" s="33">
        <f t="shared" si="476"/>
        <v>0</v>
      </c>
      <c r="Q7636" s="31" t="str">
        <f t="shared" si="477"/>
        <v/>
      </c>
      <c r="R7636" s="32" t="str">
        <f>IFERROR(VLOOKUP($D7636,'Informations sur les produits'!$A$3:$B$15000,2,FALSE),"")</f>
        <v/>
      </c>
      <c r="V7636">
        <f t="shared" si="478"/>
        <v>0</v>
      </c>
      <c r="W7636">
        <f t="shared" si="479"/>
        <v>0</v>
      </c>
    </row>
    <row r="7637" spans="5:23" x14ac:dyDescent="0.25">
      <c r="E7637" s="4"/>
      <c r="F7637" s="4"/>
      <c r="G7637" s="33" t="str">
        <f>IFERROR(VLOOKUP($D7637,'Informations sur les produits'!$A$3:$H$10000,8,FALSE),"0")</f>
        <v>0</v>
      </c>
      <c r="K7637" s="4"/>
      <c r="L7637" s="33" t="str">
        <f>IFERROR(VLOOKUP($J7637,'Informations sur les produits'!$A$3:$H$10000,8,FALSE),"0")</f>
        <v>0</v>
      </c>
      <c r="N7637" s="8"/>
      <c r="O7637" s="33" t="str">
        <f>IFERROR(VLOOKUP($M7637,'Informations sur les produits'!$A$3:$H$10000,8,FALSE),"0")</f>
        <v>0</v>
      </c>
      <c r="P7637" s="33">
        <f t="shared" si="476"/>
        <v>0</v>
      </c>
      <c r="Q7637" s="31" t="str">
        <f t="shared" si="477"/>
        <v/>
      </c>
      <c r="R7637" s="32" t="str">
        <f>IFERROR(VLOOKUP($D7637,'Informations sur les produits'!$A$3:$B$15000,2,FALSE),"")</f>
        <v/>
      </c>
      <c r="V7637">
        <f t="shared" si="478"/>
        <v>0</v>
      </c>
      <c r="W7637">
        <f t="shared" si="479"/>
        <v>0</v>
      </c>
    </row>
    <row r="7638" spans="5:23" x14ac:dyDescent="0.25">
      <c r="E7638" s="4"/>
      <c r="F7638" s="4"/>
      <c r="G7638" s="33" t="str">
        <f>IFERROR(VLOOKUP($D7638,'Informations sur les produits'!$A$3:$H$10000,8,FALSE),"0")</f>
        <v>0</v>
      </c>
      <c r="K7638" s="4"/>
      <c r="L7638" s="33" t="str">
        <f>IFERROR(VLOOKUP($J7638,'Informations sur les produits'!$A$3:$H$10000,8,FALSE),"0")</f>
        <v>0</v>
      </c>
      <c r="N7638" s="8"/>
      <c r="O7638" s="33" t="str">
        <f>IFERROR(VLOOKUP($M7638,'Informations sur les produits'!$A$3:$H$10000,8,FALSE),"0")</f>
        <v>0</v>
      </c>
      <c r="P7638" s="33">
        <f t="shared" si="476"/>
        <v>0</v>
      </c>
      <c r="Q7638" s="31" t="str">
        <f t="shared" si="477"/>
        <v/>
      </c>
      <c r="R7638" s="32" t="str">
        <f>IFERROR(VLOOKUP($D7638,'Informations sur les produits'!$A$3:$B$15000,2,FALSE),"")</f>
        <v/>
      </c>
      <c r="V7638">
        <f t="shared" si="478"/>
        <v>0</v>
      </c>
      <c r="W7638">
        <f t="shared" si="479"/>
        <v>0</v>
      </c>
    </row>
    <row r="7639" spans="5:23" x14ac:dyDescent="0.25">
      <c r="E7639" s="4"/>
      <c r="F7639" s="4"/>
      <c r="G7639" s="33" t="str">
        <f>IFERROR(VLOOKUP($D7639,'Informations sur les produits'!$A$3:$H$10000,8,FALSE),"0")</f>
        <v>0</v>
      </c>
      <c r="K7639" s="4"/>
      <c r="L7639" s="33" t="str">
        <f>IFERROR(VLOOKUP($J7639,'Informations sur les produits'!$A$3:$H$10000,8,FALSE),"0")</f>
        <v>0</v>
      </c>
      <c r="N7639" s="8"/>
      <c r="O7639" s="33" t="str">
        <f>IFERROR(VLOOKUP($M7639,'Informations sur les produits'!$A$3:$H$10000,8,FALSE),"0")</f>
        <v>0</v>
      </c>
      <c r="P7639" s="33">
        <f t="shared" si="476"/>
        <v>0</v>
      </c>
      <c r="Q7639" s="31" t="str">
        <f t="shared" si="477"/>
        <v/>
      </c>
      <c r="R7639" s="32" t="str">
        <f>IFERROR(VLOOKUP($D7639,'Informations sur les produits'!$A$3:$B$15000,2,FALSE),"")</f>
        <v/>
      </c>
      <c r="V7639">
        <f t="shared" si="478"/>
        <v>0</v>
      </c>
      <c r="W7639">
        <f t="shared" si="479"/>
        <v>0</v>
      </c>
    </row>
    <row r="7640" spans="5:23" x14ac:dyDescent="0.25">
      <c r="E7640" s="4"/>
      <c r="F7640" s="4"/>
      <c r="G7640" s="33" t="str">
        <f>IFERROR(VLOOKUP($D7640,'Informations sur les produits'!$A$3:$H$10000,8,FALSE),"0")</f>
        <v>0</v>
      </c>
      <c r="K7640" s="4"/>
      <c r="L7640" s="33" t="str">
        <f>IFERROR(VLOOKUP($J7640,'Informations sur les produits'!$A$3:$H$10000,8,FALSE),"0")</f>
        <v>0</v>
      </c>
      <c r="N7640" s="8"/>
      <c r="O7640" s="33" t="str">
        <f>IFERROR(VLOOKUP($M7640,'Informations sur les produits'!$A$3:$H$10000,8,FALSE),"0")</f>
        <v>0</v>
      </c>
      <c r="P7640" s="33">
        <f t="shared" si="476"/>
        <v>0</v>
      </c>
      <c r="Q7640" s="31" t="str">
        <f t="shared" si="477"/>
        <v/>
      </c>
      <c r="R7640" s="32" t="str">
        <f>IFERROR(VLOOKUP($D7640,'Informations sur les produits'!$A$3:$B$15000,2,FALSE),"")</f>
        <v/>
      </c>
      <c r="V7640">
        <f t="shared" si="478"/>
        <v>0</v>
      </c>
      <c r="W7640">
        <f t="shared" si="479"/>
        <v>0</v>
      </c>
    </row>
    <row r="7641" spans="5:23" x14ac:dyDescent="0.25">
      <c r="E7641" s="4"/>
      <c r="F7641" s="4"/>
      <c r="G7641" s="33" t="str">
        <f>IFERROR(VLOOKUP($D7641,'Informations sur les produits'!$A$3:$H$10000,8,FALSE),"0")</f>
        <v>0</v>
      </c>
      <c r="K7641" s="4"/>
      <c r="L7641" s="33" t="str">
        <f>IFERROR(VLOOKUP($J7641,'Informations sur les produits'!$A$3:$H$10000,8,FALSE),"0")</f>
        <v>0</v>
      </c>
      <c r="N7641" s="8"/>
      <c r="O7641" s="33" t="str">
        <f>IFERROR(VLOOKUP($M7641,'Informations sur les produits'!$A$3:$H$10000,8,FALSE),"0")</f>
        <v>0</v>
      </c>
      <c r="P7641" s="33">
        <f t="shared" si="476"/>
        <v>0</v>
      </c>
      <c r="Q7641" s="31" t="str">
        <f t="shared" si="477"/>
        <v/>
      </c>
      <c r="R7641" s="32" t="str">
        <f>IFERROR(VLOOKUP($D7641,'Informations sur les produits'!$A$3:$B$15000,2,FALSE),"")</f>
        <v/>
      </c>
      <c r="V7641">
        <f t="shared" si="478"/>
        <v>0</v>
      </c>
      <c r="W7641">
        <f t="shared" si="479"/>
        <v>0</v>
      </c>
    </row>
    <row r="7642" spans="5:23" x14ac:dyDescent="0.25">
      <c r="E7642" s="4"/>
      <c r="F7642" s="4"/>
      <c r="G7642" s="33" t="str">
        <f>IFERROR(VLOOKUP($D7642,'Informations sur les produits'!$A$3:$H$10000,8,FALSE),"0")</f>
        <v>0</v>
      </c>
      <c r="K7642" s="4"/>
      <c r="L7642" s="33" t="str">
        <f>IFERROR(VLOOKUP($J7642,'Informations sur les produits'!$A$3:$H$10000,8,FALSE),"0")</f>
        <v>0</v>
      </c>
      <c r="N7642" s="8"/>
      <c r="O7642" s="33" t="str">
        <f>IFERROR(VLOOKUP($M7642,'Informations sur les produits'!$A$3:$H$10000,8,FALSE),"0")</f>
        <v>0</v>
      </c>
      <c r="P7642" s="33">
        <f t="shared" si="476"/>
        <v>0</v>
      </c>
      <c r="Q7642" s="31" t="str">
        <f t="shared" si="477"/>
        <v/>
      </c>
      <c r="R7642" s="32" t="str">
        <f>IFERROR(VLOOKUP($D7642,'Informations sur les produits'!$A$3:$B$15000,2,FALSE),"")</f>
        <v/>
      </c>
      <c r="V7642">
        <f t="shared" si="478"/>
        <v>0</v>
      </c>
      <c r="W7642">
        <f t="shared" si="479"/>
        <v>0</v>
      </c>
    </row>
    <row r="7643" spans="5:23" x14ac:dyDescent="0.25">
      <c r="E7643" s="4"/>
      <c r="F7643" s="4"/>
      <c r="G7643" s="33" t="str">
        <f>IFERROR(VLOOKUP($D7643,'Informations sur les produits'!$A$3:$H$10000,8,FALSE),"0")</f>
        <v>0</v>
      </c>
      <c r="K7643" s="4"/>
      <c r="L7643" s="33" t="str">
        <f>IFERROR(VLOOKUP($J7643,'Informations sur les produits'!$A$3:$H$10000,8,FALSE),"0")</f>
        <v>0</v>
      </c>
      <c r="N7643" s="8"/>
      <c r="O7643" s="33" t="str">
        <f>IFERROR(VLOOKUP($M7643,'Informations sur les produits'!$A$3:$H$10000,8,FALSE),"0")</f>
        <v>0</v>
      </c>
      <c r="P7643" s="33">
        <f t="shared" si="476"/>
        <v>0</v>
      </c>
      <c r="Q7643" s="31" t="str">
        <f t="shared" si="477"/>
        <v/>
      </c>
      <c r="R7643" s="32" t="str">
        <f>IFERROR(VLOOKUP($D7643,'Informations sur les produits'!$A$3:$B$15000,2,FALSE),"")</f>
        <v/>
      </c>
      <c r="V7643">
        <f t="shared" si="478"/>
        <v>0</v>
      </c>
      <c r="W7643">
        <f t="shared" si="479"/>
        <v>0</v>
      </c>
    </row>
    <row r="7644" spans="5:23" x14ac:dyDescent="0.25">
      <c r="E7644" s="4"/>
      <c r="F7644" s="4"/>
      <c r="G7644" s="33" t="str">
        <f>IFERROR(VLOOKUP($D7644,'Informations sur les produits'!$A$3:$H$10000,8,FALSE),"0")</f>
        <v>0</v>
      </c>
      <c r="K7644" s="4"/>
      <c r="L7644" s="33" t="str">
        <f>IFERROR(VLOOKUP($J7644,'Informations sur les produits'!$A$3:$H$10000,8,FALSE),"0")</f>
        <v>0</v>
      </c>
      <c r="N7644" s="8"/>
      <c r="O7644" s="33" t="str">
        <f>IFERROR(VLOOKUP($M7644,'Informations sur les produits'!$A$3:$H$10000,8,FALSE),"0")</f>
        <v>0</v>
      </c>
      <c r="P7644" s="33">
        <f t="shared" si="476"/>
        <v>0</v>
      </c>
      <c r="Q7644" s="31" t="str">
        <f t="shared" si="477"/>
        <v/>
      </c>
      <c r="R7644" s="32" t="str">
        <f>IFERROR(VLOOKUP($D7644,'Informations sur les produits'!$A$3:$B$15000,2,FALSE),"")</f>
        <v/>
      </c>
      <c r="V7644">
        <f t="shared" si="478"/>
        <v>0</v>
      </c>
      <c r="W7644">
        <f t="shared" si="479"/>
        <v>0</v>
      </c>
    </row>
    <row r="7645" spans="5:23" x14ac:dyDescent="0.25">
      <c r="E7645" s="4"/>
      <c r="F7645" s="4"/>
      <c r="G7645" s="33" t="str">
        <f>IFERROR(VLOOKUP($D7645,'Informations sur les produits'!$A$3:$H$10000,8,FALSE),"0")</f>
        <v>0</v>
      </c>
      <c r="K7645" s="4"/>
      <c r="L7645" s="33" t="str">
        <f>IFERROR(VLOOKUP($J7645,'Informations sur les produits'!$A$3:$H$10000,8,FALSE),"0")</f>
        <v>0</v>
      </c>
      <c r="N7645" s="8"/>
      <c r="O7645" s="33" t="str">
        <f>IFERROR(VLOOKUP($M7645,'Informations sur les produits'!$A$3:$H$10000,8,FALSE),"0")</f>
        <v>0</v>
      </c>
      <c r="P7645" s="33">
        <f t="shared" si="476"/>
        <v>0</v>
      </c>
      <c r="Q7645" s="31" t="str">
        <f t="shared" si="477"/>
        <v/>
      </c>
      <c r="R7645" s="32" t="str">
        <f>IFERROR(VLOOKUP($D7645,'Informations sur les produits'!$A$3:$B$15000,2,FALSE),"")</f>
        <v/>
      </c>
      <c r="V7645">
        <f t="shared" si="478"/>
        <v>0</v>
      </c>
      <c r="W7645">
        <f t="shared" si="479"/>
        <v>0</v>
      </c>
    </row>
    <row r="7646" spans="5:23" x14ac:dyDescent="0.25">
      <c r="E7646" s="4"/>
      <c r="F7646" s="4"/>
      <c r="G7646" s="33" t="str">
        <f>IFERROR(VLOOKUP($D7646,'Informations sur les produits'!$A$3:$H$10000,8,FALSE),"0")</f>
        <v>0</v>
      </c>
      <c r="K7646" s="4"/>
      <c r="L7646" s="33" t="str">
        <f>IFERROR(VLOOKUP($J7646,'Informations sur les produits'!$A$3:$H$10000,8,FALSE),"0")</f>
        <v>0</v>
      </c>
      <c r="N7646" s="8"/>
      <c r="O7646" s="33" t="str">
        <f>IFERROR(VLOOKUP($M7646,'Informations sur les produits'!$A$3:$H$10000,8,FALSE),"0")</f>
        <v>0</v>
      </c>
      <c r="P7646" s="33">
        <f t="shared" si="476"/>
        <v>0</v>
      </c>
      <c r="Q7646" s="31" t="str">
        <f t="shared" si="477"/>
        <v/>
      </c>
      <c r="R7646" s="32" t="str">
        <f>IFERROR(VLOOKUP($D7646,'Informations sur les produits'!$A$3:$B$15000,2,FALSE),"")</f>
        <v/>
      </c>
      <c r="V7646">
        <f t="shared" si="478"/>
        <v>0</v>
      </c>
      <c r="W7646">
        <f t="shared" si="479"/>
        <v>0</v>
      </c>
    </row>
    <row r="7647" spans="5:23" x14ac:dyDescent="0.25">
      <c r="E7647" s="4"/>
      <c r="F7647" s="4"/>
      <c r="G7647" s="33" t="str">
        <f>IFERROR(VLOOKUP($D7647,'Informations sur les produits'!$A$3:$H$10000,8,FALSE),"0")</f>
        <v>0</v>
      </c>
      <c r="K7647" s="4"/>
      <c r="L7647" s="33" t="str">
        <f>IFERROR(VLOOKUP($J7647,'Informations sur les produits'!$A$3:$H$10000,8,FALSE),"0")</f>
        <v>0</v>
      </c>
      <c r="N7647" s="8"/>
      <c r="O7647" s="33" t="str">
        <f>IFERROR(VLOOKUP($M7647,'Informations sur les produits'!$A$3:$H$10000,8,FALSE),"0")</f>
        <v>0</v>
      </c>
      <c r="P7647" s="33">
        <f t="shared" si="476"/>
        <v>0</v>
      </c>
      <c r="Q7647" s="31" t="str">
        <f t="shared" si="477"/>
        <v/>
      </c>
      <c r="R7647" s="32" t="str">
        <f>IFERROR(VLOOKUP($D7647,'Informations sur les produits'!$A$3:$B$15000,2,FALSE),"")</f>
        <v/>
      </c>
      <c r="V7647">
        <f t="shared" si="478"/>
        <v>0</v>
      </c>
      <c r="W7647">
        <f t="shared" si="479"/>
        <v>0</v>
      </c>
    </row>
    <row r="7648" spans="5:23" x14ac:dyDescent="0.25">
      <c r="E7648" s="4"/>
      <c r="F7648" s="4"/>
      <c r="G7648" s="33" t="str">
        <f>IFERROR(VLOOKUP($D7648,'Informations sur les produits'!$A$3:$H$10000,8,FALSE),"0")</f>
        <v>0</v>
      </c>
      <c r="K7648" s="4"/>
      <c r="L7648" s="33" t="str">
        <f>IFERROR(VLOOKUP($J7648,'Informations sur les produits'!$A$3:$H$10000,8,FALSE),"0")</f>
        <v>0</v>
      </c>
      <c r="N7648" s="8"/>
      <c r="O7648" s="33" t="str">
        <f>IFERROR(VLOOKUP($M7648,'Informations sur les produits'!$A$3:$H$10000,8,FALSE),"0")</f>
        <v>0</v>
      </c>
      <c r="P7648" s="33">
        <f t="shared" si="476"/>
        <v>0</v>
      </c>
      <c r="Q7648" s="31" t="str">
        <f t="shared" si="477"/>
        <v/>
      </c>
      <c r="R7648" s="32" t="str">
        <f>IFERROR(VLOOKUP($D7648,'Informations sur les produits'!$A$3:$B$15000,2,FALSE),"")</f>
        <v/>
      </c>
      <c r="V7648">
        <f t="shared" si="478"/>
        <v>0</v>
      </c>
      <c r="W7648">
        <f t="shared" si="479"/>
        <v>0</v>
      </c>
    </row>
    <row r="7649" spans="5:23" x14ac:dyDescent="0.25">
      <c r="E7649" s="4"/>
      <c r="F7649" s="4"/>
      <c r="G7649" s="33" t="str">
        <f>IFERROR(VLOOKUP($D7649,'Informations sur les produits'!$A$3:$H$10000,8,FALSE),"0")</f>
        <v>0</v>
      </c>
      <c r="K7649" s="4"/>
      <c r="L7649" s="33" t="str">
        <f>IFERROR(VLOOKUP($J7649,'Informations sur les produits'!$A$3:$H$10000,8,FALSE),"0")</f>
        <v>0</v>
      </c>
      <c r="N7649" s="8"/>
      <c r="O7649" s="33" t="str">
        <f>IFERROR(VLOOKUP($M7649,'Informations sur les produits'!$A$3:$H$10000,8,FALSE),"0")</f>
        <v>0</v>
      </c>
      <c r="P7649" s="33">
        <f t="shared" si="476"/>
        <v>0</v>
      </c>
      <c r="Q7649" s="31" t="str">
        <f t="shared" si="477"/>
        <v/>
      </c>
      <c r="R7649" s="32" t="str">
        <f>IFERROR(VLOOKUP($D7649,'Informations sur les produits'!$A$3:$B$15000,2,FALSE),"")</f>
        <v/>
      </c>
      <c r="V7649">
        <f t="shared" si="478"/>
        <v>0</v>
      </c>
      <c r="W7649">
        <f t="shared" si="479"/>
        <v>0</v>
      </c>
    </row>
    <row r="7650" spans="5:23" x14ac:dyDescent="0.25">
      <c r="E7650" s="4"/>
      <c r="F7650" s="4"/>
      <c r="G7650" s="33" t="str">
        <f>IFERROR(VLOOKUP($D7650,'Informations sur les produits'!$A$3:$H$10000,8,FALSE),"0")</f>
        <v>0</v>
      </c>
      <c r="K7650" s="4"/>
      <c r="L7650" s="33" t="str">
        <f>IFERROR(VLOOKUP($J7650,'Informations sur les produits'!$A$3:$H$10000,8,FALSE),"0")</f>
        <v>0</v>
      </c>
      <c r="N7650" s="8"/>
      <c r="O7650" s="33" t="str">
        <f>IFERROR(VLOOKUP($M7650,'Informations sur les produits'!$A$3:$H$10000,8,FALSE),"0")</f>
        <v>0</v>
      </c>
      <c r="P7650" s="33">
        <f t="shared" si="476"/>
        <v>0</v>
      </c>
      <c r="Q7650" s="31" t="str">
        <f t="shared" si="477"/>
        <v/>
      </c>
      <c r="R7650" s="32" t="str">
        <f>IFERROR(VLOOKUP($D7650,'Informations sur les produits'!$A$3:$B$15000,2,FALSE),"")</f>
        <v/>
      </c>
      <c r="V7650">
        <f t="shared" si="478"/>
        <v>0</v>
      </c>
      <c r="W7650">
        <f t="shared" si="479"/>
        <v>0</v>
      </c>
    </row>
    <row r="7651" spans="5:23" x14ac:dyDescent="0.25">
      <c r="E7651" s="4"/>
      <c r="F7651" s="4"/>
      <c r="G7651" s="33" t="str">
        <f>IFERROR(VLOOKUP($D7651,'Informations sur les produits'!$A$3:$H$10000,8,FALSE),"0")</f>
        <v>0</v>
      </c>
      <c r="K7651" s="4"/>
      <c r="L7651" s="33" t="str">
        <f>IFERROR(VLOOKUP($J7651,'Informations sur les produits'!$A$3:$H$10000,8,FALSE),"0")</f>
        <v>0</v>
      </c>
      <c r="N7651" s="8"/>
      <c r="O7651" s="33" t="str">
        <f>IFERROR(VLOOKUP($M7651,'Informations sur les produits'!$A$3:$H$10000,8,FALSE),"0")</f>
        <v>0</v>
      </c>
      <c r="P7651" s="33">
        <f t="shared" si="476"/>
        <v>0</v>
      </c>
      <c r="Q7651" s="31" t="str">
        <f t="shared" si="477"/>
        <v/>
      </c>
      <c r="R7651" s="32" t="str">
        <f>IFERROR(VLOOKUP($D7651,'Informations sur les produits'!$A$3:$B$15000,2,FALSE),"")</f>
        <v/>
      </c>
      <c r="V7651">
        <f t="shared" si="478"/>
        <v>0</v>
      </c>
      <c r="W7651">
        <f t="shared" si="479"/>
        <v>0</v>
      </c>
    </row>
    <row r="7652" spans="5:23" x14ac:dyDescent="0.25">
      <c r="E7652" s="4"/>
      <c r="F7652" s="4"/>
      <c r="G7652" s="33" t="str">
        <f>IFERROR(VLOOKUP($D7652,'Informations sur les produits'!$A$3:$H$10000,8,FALSE),"0")</f>
        <v>0</v>
      </c>
      <c r="K7652" s="4"/>
      <c r="L7652" s="33" t="str">
        <f>IFERROR(VLOOKUP($J7652,'Informations sur les produits'!$A$3:$H$10000,8,FALSE),"0")</f>
        <v>0</v>
      </c>
      <c r="N7652" s="8"/>
      <c r="O7652" s="33" t="str">
        <f>IFERROR(VLOOKUP($M7652,'Informations sur les produits'!$A$3:$H$10000,8,FALSE),"0")</f>
        <v>0</v>
      </c>
      <c r="P7652" s="33">
        <f t="shared" si="476"/>
        <v>0</v>
      </c>
      <c r="Q7652" s="31" t="str">
        <f t="shared" si="477"/>
        <v/>
      </c>
      <c r="R7652" s="32" t="str">
        <f>IFERROR(VLOOKUP($D7652,'Informations sur les produits'!$A$3:$B$15000,2,FALSE),"")</f>
        <v/>
      </c>
      <c r="V7652">
        <f t="shared" si="478"/>
        <v>0</v>
      </c>
      <c r="W7652">
        <f t="shared" si="479"/>
        <v>0</v>
      </c>
    </row>
    <row r="7653" spans="5:23" x14ac:dyDescent="0.25">
      <c r="E7653" s="4"/>
      <c r="F7653" s="4"/>
      <c r="G7653" s="33" t="str">
        <f>IFERROR(VLOOKUP($D7653,'Informations sur les produits'!$A$3:$H$10000,8,FALSE),"0")</f>
        <v>0</v>
      </c>
      <c r="K7653" s="4"/>
      <c r="L7653" s="33" t="str">
        <f>IFERROR(VLOOKUP($J7653,'Informations sur les produits'!$A$3:$H$10000,8,FALSE),"0")</f>
        <v>0</v>
      </c>
      <c r="N7653" s="8"/>
      <c r="O7653" s="33" t="str">
        <f>IFERROR(VLOOKUP($M7653,'Informations sur les produits'!$A$3:$H$10000,8,FALSE),"0")</f>
        <v>0</v>
      </c>
      <c r="P7653" s="33">
        <f t="shared" si="476"/>
        <v>0</v>
      </c>
      <c r="Q7653" s="31" t="str">
        <f t="shared" si="477"/>
        <v/>
      </c>
      <c r="R7653" s="32" t="str">
        <f>IFERROR(VLOOKUP($D7653,'Informations sur les produits'!$A$3:$B$15000,2,FALSE),"")</f>
        <v/>
      </c>
      <c r="V7653">
        <f t="shared" si="478"/>
        <v>0</v>
      </c>
      <c r="W7653">
        <f t="shared" si="479"/>
        <v>0</v>
      </c>
    </row>
    <row r="7654" spans="5:23" x14ac:dyDescent="0.25">
      <c r="E7654" s="4"/>
      <c r="F7654" s="4"/>
      <c r="G7654" s="33" t="str">
        <f>IFERROR(VLOOKUP($D7654,'Informations sur les produits'!$A$3:$H$10000,8,FALSE),"0")</f>
        <v>0</v>
      </c>
      <c r="K7654" s="4"/>
      <c r="L7654" s="33" t="str">
        <f>IFERROR(VLOOKUP($J7654,'Informations sur les produits'!$A$3:$H$10000,8,FALSE),"0")</f>
        <v>0</v>
      </c>
      <c r="N7654" s="8"/>
      <c r="O7654" s="33" t="str">
        <f>IFERROR(VLOOKUP($M7654,'Informations sur les produits'!$A$3:$H$10000,8,FALSE),"0")</f>
        <v>0</v>
      </c>
      <c r="P7654" s="33">
        <f t="shared" si="476"/>
        <v>0</v>
      </c>
      <c r="Q7654" s="31" t="str">
        <f t="shared" si="477"/>
        <v/>
      </c>
      <c r="R7654" s="32" t="str">
        <f>IFERROR(VLOOKUP($D7654,'Informations sur les produits'!$A$3:$B$15000,2,FALSE),"")</f>
        <v/>
      </c>
      <c r="V7654">
        <f t="shared" si="478"/>
        <v>0</v>
      </c>
      <c r="W7654">
        <f t="shared" si="479"/>
        <v>0</v>
      </c>
    </row>
    <row r="7655" spans="5:23" x14ac:dyDescent="0.25">
      <c r="E7655" s="4"/>
      <c r="F7655" s="4"/>
      <c r="G7655" s="33" t="str">
        <f>IFERROR(VLOOKUP($D7655,'Informations sur les produits'!$A$3:$H$10000,8,FALSE),"0")</f>
        <v>0</v>
      </c>
      <c r="K7655" s="4"/>
      <c r="L7655" s="33" t="str">
        <f>IFERROR(VLOOKUP($J7655,'Informations sur les produits'!$A$3:$H$10000,8,FALSE),"0")</f>
        <v>0</v>
      </c>
      <c r="N7655" s="8"/>
      <c r="O7655" s="33" t="str">
        <f>IFERROR(VLOOKUP($M7655,'Informations sur les produits'!$A$3:$H$10000,8,FALSE),"0")</f>
        <v>0</v>
      </c>
      <c r="P7655" s="33">
        <f t="shared" si="476"/>
        <v>0</v>
      </c>
      <c r="Q7655" s="31" t="str">
        <f t="shared" si="477"/>
        <v/>
      </c>
      <c r="R7655" s="32" t="str">
        <f>IFERROR(VLOOKUP($D7655,'Informations sur les produits'!$A$3:$B$15000,2,FALSE),"")</f>
        <v/>
      </c>
      <c r="V7655">
        <f t="shared" si="478"/>
        <v>0</v>
      </c>
      <c r="W7655">
        <f t="shared" si="479"/>
        <v>0</v>
      </c>
    </row>
    <row r="7656" spans="5:23" x14ac:dyDescent="0.25">
      <c r="E7656" s="4"/>
      <c r="F7656" s="4"/>
      <c r="G7656" s="33" t="str">
        <f>IFERROR(VLOOKUP($D7656,'Informations sur les produits'!$A$3:$H$10000,8,FALSE),"0")</f>
        <v>0</v>
      </c>
      <c r="K7656" s="4"/>
      <c r="L7656" s="33" t="str">
        <f>IFERROR(VLOOKUP($J7656,'Informations sur les produits'!$A$3:$H$10000,8,FALSE),"0")</f>
        <v>0</v>
      </c>
      <c r="N7656" s="8"/>
      <c r="O7656" s="33" t="str">
        <f>IFERROR(VLOOKUP($M7656,'Informations sur les produits'!$A$3:$H$10000,8,FALSE),"0")</f>
        <v>0</v>
      </c>
      <c r="P7656" s="33">
        <f t="shared" si="476"/>
        <v>0</v>
      </c>
      <c r="Q7656" s="31" t="str">
        <f t="shared" si="477"/>
        <v/>
      </c>
      <c r="R7656" s="32" t="str">
        <f>IFERROR(VLOOKUP($D7656,'Informations sur les produits'!$A$3:$B$15000,2,FALSE),"")</f>
        <v/>
      </c>
      <c r="V7656">
        <f t="shared" si="478"/>
        <v>0</v>
      </c>
      <c r="W7656">
        <f t="shared" si="479"/>
        <v>0</v>
      </c>
    </row>
    <row r="7657" spans="5:23" x14ac:dyDescent="0.25">
      <c r="E7657" s="4"/>
      <c r="F7657" s="4"/>
      <c r="G7657" s="33" t="str">
        <f>IFERROR(VLOOKUP($D7657,'Informations sur les produits'!$A$3:$H$10000,8,FALSE),"0")</f>
        <v>0</v>
      </c>
      <c r="K7657" s="4"/>
      <c r="L7657" s="33" t="str">
        <f>IFERROR(VLOOKUP($J7657,'Informations sur les produits'!$A$3:$H$10000,8,FALSE),"0")</f>
        <v>0</v>
      </c>
      <c r="N7657" s="8"/>
      <c r="O7657" s="33" t="str">
        <f>IFERROR(VLOOKUP($M7657,'Informations sur les produits'!$A$3:$H$10000,8,FALSE),"0")</f>
        <v>0</v>
      </c>
      <c r="P7657" s="33">
        <f t="shared" si="476"/>
        <v>0</v>
      </c>
      <c r="Q7657" s="31" t="str">
        <f t="shared" si="477"/>
        <v/>
      </c>
      <c r="R7657" s="32" t="str">
        <f>IFERROR(VLOOKUP($D7657,'Informations sur les produits'!$A$3:$B$15000,2,FALSE),"")</f>
        <v/>
      </c>
      <c r="V7657">
        <f t="shared" si="478"/>
        <v>0</v>
      </c>
      <c r="W7657">
        <f t="shared" si="479"/>
        <v>0</v>
      </c>
    </row>
    <row r="7658" spans="5:23" x14ac:dyDescent="0.25">
      <c r="E7658" s="4"/>
      <c r="F7658" s="4"/>
      <c r="G7658" s="33" t="str">
        <f>IFERROR(VLOOKUP($D7658,'Informations sur les produits'!$A$3:$H$10000,8,FALSE),"0")</f>
        <v>0</v>
      </c>
      <c r="K7658" s="4"/>
      <c r="L7658" s="33" t="str">
        <f>IFERROR(VLOOKUP($J7658,'Informations sur les produits'!$A$3:$H$10000,8,FALSE),"0")</f>
        <v>0</v>
      </c>
      <c r="N7658" s="8"/>
      <c r="O7658" s="33" t="str">
        <f>IFERROR(VLOOKUP($M7658,'Informations sur les produits'!$A$3:$H$10000,8,FALSE),"0")</f>
        <v>0</v>
      </c>
      <c r="P7658" s="33">
        <f t="shared" si="476"/>
        <v>0</v>
      </c>
      <c r="Q7658" s="31" t="str">
        <f t="shared" si="477"/>
        <v/>
      </c>
      <c r="R7658" s="32" t="str">
        <f>IFERROR(VLOOKUP($D7658,'Informations sur les produits'!$A$3:$B$15000,2,FALSE),"")</f>
        <v/>
      </c>
      <c r="V7658">
        <f t="shared" si="478"/>
        <v>0</v>
      </c>
      <c r="W7658">
        <f t="shared" si="479"/>
        <v>0</v>
      </c>
    </row>
    <row r="7659" spans="5:23" x14ac:dyDescent="0.25">
      <c r="E7659" s="4"/>
      <c r="F7659" s="4"/>
      <c r="G7659" s="33" t="str">
        <f>IFERROR(VLOOKUP($D7659,'Informations sur les produits'!$A$3:$H$10000,8,FALSE),"0")</f>
        <v>0</v>
      </c>
      <c r="K7659" s="4"/>
      <c r="L7659" s="33" t="str">
        <f>IFERROR(VLOOKUP($J7659,'Informations sur les produits'!$A$3:$H$10000,8,FALSE),"0")</f>
        <v>0</v>
      </c>
      <c r="N7659" s="8"/>
      <c r="O7659" s="33" t="str">
        <f>IFERROR(VLOOKUP($M7659,'Informations sur les produits'!$A$3:$H$10000,8,FALSE),"0")</f>
        <v>0</v>
      </c>
      <c r="P7659" s="33">
        <f t="shared" si="476"/>
        <v>0</v>
      </c>
      <c r="Q7659" s="31" t="str">
        <f t="shared" si="477"/>
        <v/>
      </c>
      <c r="R7659" s="32" t="str">
        <f>IFERROR(VLOOKUP($D7659,'Informations sur les produits'!$A$3:$B$15000,2,FALSE),"")</f>
        <v/>
      </c>
      <c r="V7659">
        <f t="shared" si="478"/>
        <v>0</v>
      </c>
      <c r="W7659">
        <f t="shared" si="479"/>
        <v>0</v>
      </c>
    </row>
    <row r="7660" spans="5:23" x14ac:dyDescent="0.25">
      <c r="E7660" s="4"/>
      <c r="F7660" s="4"/>
      <c r="G7660" s="33" t="str">
        <f>IFERROR(VLOOKUP($D7660,'Informations sur les produits'!$A$3:$H$10000,8,FALSE),"0")</f>
        <v>0</v>
      </c>
      <c r="K7660" s="4"/>
      <c r="L7660" s="33" t="str">
        <f>IFERROR(VLOOKUP($J7660,'Informations sur les produits'!$A$3:$H$10000,8,FALSE),"0")</f>
        <v>0</v>
      </c>
      <c r="N7660" s="8"/>
      <c r="O7660" s="33" t="str">
        <f>IFERROR(VLOOKUP($M7660,'Informations sur les produits'!$A$3:$H$10000,8,FALSE),"0")</f>
        <v>0</v>
      </c>
      <c r="P7660" s="33">
        <f t="shared" si="476"/>
        <v>0</v>
      </c>
      <c r="Q7660" s="31" t="str">
        <f t="shared" si="477"/>
        <v/>
      </c>
      <c r="R7660" s="32" t="str">
        <f>IFERROR(VLOOKUP($D7660,'Informations sur les produits'!$A$3:$B$15000,2,FALSE),"")</f>
        <v/>
      </c>
      <c r="V7660">
        <f t="shared" si="478"/>
        <v>0</v>
      </c>
      <c r="W7660">
        <f t="shared" si="479"/>
        <v>0</v>
      </c>
    </row>
    <row r="7661" spans="5:23" x14ac:dyDescent="0.25">
      <c r="E7661" s="4"/>
      <c r="F7661" s="4"/>
      <c r="G7661" s="33" t="str">
        <f>IFERROR(VLOOKUP($D7661,'Informations sur les produits'!$A$3:$H$10000,8,FALSE),"0")</f>
        <v>0</v>
      </c>
      <c r="K7661" s="4"/>
      <c r="L7661" s="33" t="str">
        <f>IFERROR(VLOOKUP($J7661,'Informations sur les produits'!$A$3:$H$10000,8,FALSE),"0")</f>
        <v>0</v>
      </c>
      <c r="N7661" s="8"/>
      <c r="O7661" s="33" t="str">
        <f>IFERROR(VLOOKUP($M7661,'Informations sur les produits'!$A$3:$H$10000,8,FALSE),"0")</f>
        <v>0</v>
      </c>
      <c r="P7661" s="33">
        <f t="shared" si="476"/>
        <v>0</v>
      </c>
      <c r="Q7661" s="31" t="str">
        <f t="shared" si="477"/>
        <v/>
      </c>
      <c r="R7661" s="32" t="str">
        <f>IFERROR(VLOOKUP($D7661,'Informations sur les produits'!$A$3:$B$15000,2,FALSE),"")</f>
        <v/>
      </c>
      <c r="V7661">
        <f t="shared" si="478"/>
        <v>0</v>
      </c>
      <c r="W7661">
        <f t="shared" si="479"/>
        <v>0</v>
      </c>
    </row>
    <row r="7662" spans="5:23" x14ac:dyDescent="0.25">
      <c r="E7662" s="4"/>
      <c r="F7662" s="4"/>
      <c r="G7662" s="33" t="str">
        <f>IFERROR(VLOOKUP($D7662,'Informations sur les produits'!$A$3:$H$10000,8,FALSE),"0")</f>
        <v>0</v>
      </c>
      <c r="K7662" s="4"/>
      <c r="L7662" s="33" t="str">
        <f>IFERROR(VLOOKUP($J7662,'Informations sur les produits'!$A$3:$H$10000,8,FALSE),"0")</f>
        <v>0</v>
      </c>
      <c r="N7662" s="8"/>
      <c r="O7662" s="33" t="str">
        <f>IFERROR(VLOOKUP($M7662,'Informations sur les produits'!$A$3:$H$10000,8,FALSE),"0")</f>
        <v>0</v>
      </c>
      <c r="P7662" s="33">
        <f t="shared" si="476"/>
        <v>0</v>
      </c>
      <c r="Q7662" s="31" t="str">
        <f t="shared" si="477"/>
        <v/>
      </c>
      <c r="R7662" s="32" t="str">
        <f>IFERROR(VLOOKUP($D7662,'Informations sur les produits'!$A$3:$B$15000,2,FALSE),"")</f>
        <v/>
      </c>
      <c r="V7662">
        <f t="shared" si="478"/>
        <v>0</v>
      </c>
      <c r="W7662">
        <f t="shared" si="479"/>
        <v>0</v>
      </c>
    </row>
    <row r="7663" spans="5:23" x14ac:dyDescent="0.25">
      <c r="E7663" s="4"/>
      <c r="F7663" s="4"/>
      <c r="G7663" s="33" t="str">
        <f>IFERROR(VLOOKUP($D7663,'Informations sur les produits'!$A$3:$H$10000,8,FALSE),"0")</f>
        <v>0</v>
      </c>
      <c r="K7663" s="4"/>
      <c r="L7663" s="33" t="str">
        <f>IFERROR(VLOOKUP($J7663,'Informations sur les produits'!$A$3:$H$10000,8,FALSE),"0")</f>
        <v>0</v>
      </c>
      <c r="N7663" s="8"/>
      <c r="O7663" s="33" t="str">
        <f>IFERROR(VLOOKUP($M7663,'Informations sur les produits'!$A$3:$H$10000,8,FALSE),"0")</f>
        <v>0</v>
      </c>
      <c r="P7663" s="33">
        <f t="shared" si="476"/>
        <v>0</v>
      </c>
      <c r="Q7663" s="31" t="str">
        <f t="shared" si="477"/>
        <v/>
      </c>
      <c r="R7663" s="32" t="str">
        <f>IFERROR(VLOOKUP($D7663,'Informations sur les produits'!$A$3:$B$15000,2,FALSE),"")</f>
        <v/>
      </c>
      <c r="V7663">
        <f t="shared" si="478"/>
        <v>0</v>
      </c>
      <c r="W7663">
        <f t="shared" si="479"/>
        <v>0</v>
      </c>
    </row>
    <row r="7664" spans="5:23" x14ac:dyDescent="0.25">
      <c r="E7664" s="4"/>
      <c r="F7664" s="4"/>
      <c r="G7664" s="33" t="str">
        <f>IFERROR(VLOOKUP($D7664,'Informations sur les produits'!$A$3:$H$10000,8,FALSE),"0")</f>
        <v>0</v>
      </c>
      <c r="K7664" s="4"/>
      <c r="L7664" s="33" t="str">
        <f>IFERROR(VLOOKUP($J7664,'Informations sur les produits'!$A$3:$H$10000,8,FALSE),"0")</f>
        <v>0</v>
      </c>
      <c r="N7664" s="8"/>
      <c r="O7664" s="33" t="str">
        <f>IFERROR(VLOOKUP($M7664,'Informations sur les produits'!$A$3:$H$10000,8,FALSE),"0")</f>
        <v>0</v>
      </c>
      <c r="P7664" s="33">
        <f t="shared" si="476"/>
        <v>0</v>
      </c>
      <c r="Q7664" s="31" t="str">
        <f t="shared" si="477"/>
        <v/>
      </c>
      <c r="R7664" s="32" t="str">
        <f>IFERROR(VLOOKUP($D7664,'Informations sur les produits'!$A$3:$B$15000,2,FALSE),"")</f>
        <v/>
      </c>
      <c r="V7664">
        <f t="shared" si="478"/>
        <v>0</v>
      </c>
      <c r="W7664">
        <f t="shared" si="479"/>
        <v>0</v>
      </c>
    </row>
    <row r="7665" spans="5:23" x14ac:dyDescent="0.25">
      <c r="E7665" s="4"/>
      <c r="F7665" s="4"/>
      <c r="G7665" s="33" t="str">
        <f>IFERROR(VLOOKUP($D7665,'Informations sur les produits'!$A$3:$H$10000,8,FALSE),"0")</f>
        <v>0</v>
      </c>
      <c r="K7665" s="4"/>
      <c r="L7665" s="33" t="str">
        <f>IFERROR(VLOOKUP($J7665,'Informations sur les produits'!$A$3:$H$10000,8,FALSE),"0")</f>
        <v>0</v>
      </c>
      <c r="N7665" s="8"/>
      <c r="O7665" s="33" t="str">
        <f>IFERROR(VLOOKUP($M7665,'Informations sur les produits'!$A$3:$H$10000,8,FALSE),"0")</f>
        <v>0</v>
      </c>
      <c r="P7665" s="33">
        <f t="shared" si="476"/>
        <v>0</v>
      </c>
      <c r="Q7665" s="31" t="str">
        <f t="shared" si="477"/>
        <v/>
      </c>
      <c r="R7665" s="32" t="str">
        <f>IFERROR(VLOOKUP($D7665,'Informations sur les produits'!$A$3:$B$15000,2,FALSE),"")</f>
        <v/>
      </c>
      <c r="V7665">
        <f t="shared" si="478"/>
        <v>0</v>
      </c>
      <c r="W7665">
        <f t="shared" si="479"/>
        <v>0</v>
      </c>
    </row>
    <row r="7666" spans="5:23" x14ac:dyDescent="0.25">
      <c r="E7666" s="4"/>
      <c r="F7666" s="4"/>
      <c r="G7666" s="33" t="str">
        <f>IFERROR(VLOOKUP($D7666,'Informations sur les produits'!$A$3:$H$10000,8,FALSE),"0")</f>
        <v>0</v>
      </c>
      <c r="K7666" s="4"/>
      <c r="L7666" s="33" t="str">
        <f>IFERROR(VLOOKUP($J7666,'Informations sur les produits'!$A$3:$H$10000,8,FALSE),"0")</f>
        <v>0</v>
      </c>
      <c r="N7666" s="8"/>
      <c r="O7666" s="33" t="str">
        <f>IFERROR(VLOOKUP($M7666,'Informations sur les produits'!$A$3:$H$10000,8,FALSE),"0")</f>
        <v>0</v>
      </c>
      <c r="P7666" s="33">
        <f t="shared" si="476"/>
        <v>0</v>
      </c>
      <c r="Q7666" s="31" t="str">
        <f t="shared" si="477"/>
        <v/>
      </c>
      <c r="R7666" s="32" t="str">
        <f>IFERROR(VLOOKUP($D7666,'Informations sur les produits'!$A$3:$B$15000,2,FALSE),"")</f>
        <v/>
      </c>
      <c r="V7666">
        <f t="shared" si="478"/>
        <v>0</v>
      </c>
      <c r="W7666">
        <f t="shared" si="479"/>
        <v>0</v>
      </c>
    </row>
    <row r="7667" spans="5:23" x14ac:dyDescent="0.25">
      <c r="E7667" s="4"/>
      <c r="F7667" s="4"/>
      <c r="G7667" s="33" t="str">
        <f>IFERROR(VLOOKUP($D7667,'Informations sur les produits'!$A$3:$H$10000,8,FALSE),"0")</f>
        <v>0</v>
      </c>
      <c r="K7667" s="4"/>
      <c r="L7667" s="33" t="str">
        <f>IFERROR(VLOOKUP($J7667,'Informations sur les produits'!$A$3:$H$10000,8,FALSE),"0")</f>
        <v>0</v>
      </c>
      <c r="N7667" s="8"/>
      <c r="O7667" s="33" t="str">
        <f>IFERROR(VLOOKUP($M7667,'Informations sur les produits'!$A$3:$H$10000,8,FALSE),"0")</f>
        <v>0</v>
      </c>
      <c r="P7667" s="33">
        <f t="shared" si="476"/>
        <v>0</v>
      </c>
      <c r="Q7667" s="31" t="str">
        <f t="shared" si="477"/>
        <v/>
      </c>
      <c r="R7667" s="32" t="str">
        <f>IFERROR(VLOOKUP($D7667,'Informations sur les produits'!$A$3:$B$15000,2,FALSE),"")</f>
        <v/>
      </c>
      <c r="V7667">
        <f t="shared" si="478"/>
        <v>0</v>
      </c>
      <c r="W7667">
        <f t="shared" si="479"/>
        <v>0</v>
      </c>
    </row>
    <row r="7668" spans="5:23" x14ac:dyDescent="0.25">
      <c r="E7668" s="4"/>
      <c r="F7668" s="4"/>
      <c r="G7668" s="33" t="str">
        <f>IFERROR(VLOOKUP($D7668,'Informations sur les produits'!$A$3:$H$10000,8,FALSE),"0")</f>
        <v>0</v>
      </c>
      <c r="K7668" s="4"/>
      <c r="L7668" s="33" t="str">
        <f>IFERROR(VLOOKUP($J7668,'Informations sur les produits'!$A$3:$H$10000,8,FALSE),"0")</f>
        <v>0</v>
      </c>
      <c r="N7668" s="8"/>
      <c r="O7668" s="33" t="str">
        <f>IFERROR(VLOOKUP($M7668,'Informations sur les produits'!$A$3:$H$10000,8,FALSE),"0")</f>
        <v>0</v>
      </c>
      <c r="P7668" s="33">
        <f t="shared" si="476"/>
        <v>0</v>
      </c>
      <c r="Q7668" s="31" t="str">
        <f t="shared" si="477"/>
        <v/>
      </c>
      <c r="R7668" s="32" t="str">
        <f>IFERROR(VLOOKUP($D7668,'Informations sur les produits'!$A$3:$B$15000,2,FALSE),"")</f>
        <v/>
      </c>
      <c r="V7668">
        <f t="shared" si="478"/>
        <v>0</v>
      </c>
      <c r="W7668">
        <f t="shared" si="479"/>
        <v>0</v>
      </c>
    </row>
    <row r="7669" spans="5:23" x14ac:dyDescent="0.25">
      <c r="E7669" s="4"/>
      <c r="F7669" s="4"/>
      <c r="G7669" s="33" t="str">
        <f>IFERROR(VLOOKUP($D7669,'Informations sur les produits'!$A$3:$H$10000,8,FALSE),"0")</f>
        <v>0</v>
      </c>
      <c r="K7669" s="4"/>
      <c r="L7669" s="33" t="str">
        <f>IFERROR(VLOOKUP($J7669,'Informations sur les produits'!$A$3:$H$10000,8,FALSE),"0")</f>
        <v>0</v>
      </c>
      <c r="N7669" s="8"/>
      <c r="O7669" s="33" t="str">
        <f>IFERROR(VLOOKUP($M7669,'Informations sur les produits'!$A$3:$H$10000,8,FALSE),"0")</f>
        <v>0</v>
      </c>
      <c r="P7669" s="33">
        <f t="shared" si="476"/>
        <v>0</v>
      </c>
      <c r="Q7669" s="31" t="str">
        <f t="shared" si="477"/>
        <v/>
      </c>
      <c r="R7669" s="32" t="str">
        <f>IFERROR(VLOOKUP($D7669,'Informations sur les produits'!$A$3:$B$15000,2,FALSE),"")</f>
        <v/>
      </c>
      <c r="V7669">
        <f t="shared" si="478"/>
        <v>0</v>
      </c>
      <c r="W7669">
        <f t="shared" si="479"/>
        <v>0</v>
      </c>
    </row>
    <row r="7670" spans="5:23" x14ac:dyDescent="0.25">
      <c r="E7670" s="4"/>
      <c r="F7670" s="4"/>
      <c r="G7670" s="33" t="str">
        <f>IFERROR(VLOOKUP($D7670,'Informations sur les produits'!$A$3:$H$10000,8,FALSE),"0")</f>
        <v>0</v>
      </c>
      <c r="K7670" s="4"/>
      <c r="L7670" s="33" t="str">
        <f>IFERROR(VLOOKUP($J7670,'Informations sur les produits'!$A$3:$H$10000,8,FALSE),"0")</f>
        <v>0</v>
      </c>
      <c r="N7670" s="8"/>
      <c r="O7670" s="33" t="str">
        <f>IFERROR(VLOOKUP($M7670,'Informations sur les produits'!$A$3:$H$10000,8,FALSE),"0")</f>
        <v>0</v>
      </c>
      <c r="P7670" s="33">
        <f t="shared" si="476"/>
        <v>0</v>
      </c>
      <c r="Q7670" s="31" t="str">
        <f t="shared" si="477"/>
        <v/>
      </c>
      <c r="R7670" s="32" t="str">
        <f>IFERROR(VLOOKUP($D7670,'Informations sur les produits'!$A$3:$B$15000,2,FALSE),"")</f>
        <v/>
      </c>
      <c r="V7670">
        <f t="shared" si="478"/>
        <v>0</v>
      </c>
      <c r="W7670">
        <f t="shared" si="479"/>
        <v>0</v>
      </c>
    </row>
    <row r="7671" spans="5:23" x14ac:dyDescent="0.25">
      <c r="E7671" s="4"/>
      <c r="F7671" s="4"/>
      <c r="G7671" s="33" t="str">
        <f>IFERROR(VLOOKUP($D7671,'Informations sur les produits'!$A$3:$H$10000,8,FALSE),"0")</f>
        <v>0</v>
      </c>
      <c r="K7671" s="4"/>
      <c r="L7671" s="33" t="str">
        <f>IFERROR(VLOOKUP($J7671,'Informations sur les produits'!$A$3:$H$10000,8,FALSE),"0")</f>
        <v>0</v>
      </c>
      <c r="N7671" s="8"/>
      <c r="O7671" s="33" t="str">
        <f>IFERROR(VLOOKUP($M7671,'Informations sur les produits'!$A$3:$H$10000,8,FALSE),"0")</f>
        <v>0</v>
      </c>
      <c r="P7671" s="33">
        <f t="shared" si="476"/>
        <v>0</v>
      </c>
      <c r="Q7671" s="31" t="str">
        <f t="shared" si="477"/>
        <v/>
      </c>
      <c r="R7671" s="32" t="str">
        <f>IFERROR(VLOOKUP($D7671,'Informations sur les produits'!$A$3:$B$15000,2,FALSE),"")</f>
        <v/>
      </c>
      <c r="V7671">
        <f t="shared" si="478"/>
        <v>0</v>
      </c>
      <c r="W7671">
        <f t="shared" si="479"/>
        <v>0</v>
      </c>
    </row>
    <row r="7672" spans="5:23" x14ac:dyDescent="0.25">
      <c r="E7672" s="4"/>
      <c r="F7672" s="4"/>
      <c r="G7672" s="33" t="str">
        <f>IFERROR(VLOOKUP($D7672,'Informations sur les produits'!$A$3:$H$10000,8,FALSE),"0")</f>
        <v>0</v>
      </c>
      <c r="K7672" s="4"/>
      <c r="L7672" s="33" t="str">
        <f>IFERROR(VLOOKUP($J7672,'Informations sur les produits'!$A$3:$H$10000,8,FALSE),"0")</f>
        <v>0</v>
      </c>
      <c r="N7672" s="8"/>
      <c r="O7672" s="33" t="str">
        <f>IFERROR(VLOOKUP($M7672,'Informations sur les produits'!$A$3:$H$10000,8,FALSE),"0")</f>
        <v>0</v>
      </c>
      <c r="P7672" s="33">
        <f t="shared" si="476"/>
        <v>0</v>
      </c>
      <c r="Q7672" s="31" t="str">
        <f t="shared" si="477"/>
        <v/>
      </c>
      <c r="R7672" s="32" t="str">
        <f>IFERROR(VLOOKUP($D7672,'Informations sur les produits'!$A$3:$B$15000,2,FALSE),"")</f>
        <v/>
      </c>
      <c r="V7672">
        <f t="shared" si="478"/>
        <v>0</v>
      </c>
      <c r="W7672">
        <f t="shared" si="479"/>
        <v>0</v>
      </c>
    </row>
    <row r="7673" spans="5:23" x14ac:dyDescent="0.25">
      <c r="E7673" s="4"/>
      <c r="F7673" s="4"/>
      <c r="G7673" s="33" t="str">
        <f>IFERROR(VLOOKUP($D7673,'Informations sur les produits'!$A$3:$H$10000,8,FALSE),"0")</f>
        <v>0</v>
      </c>
      <c r="K7673" s="4"/>
      <c r="L7673" s="33" t="str">
        <f>IFERROR(VLOOKUP($J7673,'Informations sur les produits'!$A$3:$H$10000,8,FALSE),"0")</f>
        <v>0</v>
      </c>
      <c r="N7673" s="8"/>
      <c r="O7673" s="33" t="str">
        <f>IFERROR(VLOOKUP($M7673,'Informations sur les produits'!$A$3:$H$10000,8,FALSE),"0")</f>
        <v>0</v>
      </c>
      <c r="P7673" s="33">
        <f t="shared" si="476"/>
        <v>0</v>
      </c>
      <c r="Q7673" s="31" t="str">
        <f t="shared" si="477"/>
        <v/>
      </c>
      <c r="R7673" s="32" t="str">
        <f>IFERROR(VLOOKUP($D7673,'Informations sur les produits'!$A$3:$B$15000,2,FALSE),"")</f>
        <v/>
      </c>
      <c r="V7673">
        <f t="shared" si="478"/>
        <v>0</v>
      </c>
      <c r="W7673">
        <f t="shared" si="479"/>
        <v>0</v>
      </c>
    </row>
    <row r="7674" spans="5:23" x14ac:dyDescent="0.25">
      <c r="E7674" s="4"/>
      <c r="F7674" s="4"/>
      <c r="G7674" s="33" t="str">
        <f>IFERROR(VLOOKUP($D7674,'Informations sur les produits'!$A$3:$H$10000,8,FALSE),"0")</f>
        <v>0</v>
      </c>
      <c r="K7674" s="4"/>
      <c r="L7674" s="33" t="str">
        <f>IFERROR(VLOOKUP($J7674,'Informations sur les produits'!$A$3:$H$10000,8,FALSE),"0")</f>
        <v>0</v>
      </c>
      <c r="N7674" s="8"/>
      <c r="O7674" s="33" t="str">
        <f>IFERROR(VLOOKUP($M7674,'Informations sur les produits'!$A$3:$H$10000,8,FALSE),"0")</f>
        <v>0</v>
      </c>
      <c r="P7674" s="33">
        <f t="shared" si="476"/>
        <v>0</v>
      </c>
      <c r="Q7674" s="31" t="str">
        <f t="shared" si="477"/>
        <v/>
      </c>
      <c r="R7674" s="32" t="str">
        <f>IFERROR(VLOOKUP($D7674,'Informations sur les produits'!$A$3:$B$15000,2,FALSE),"")</f>
        <v/>
      </c>
      <c r="V7674">
        <f t="shared" si="478"/>
        <v>0</v>
      </c>
      <c r="W7674">
        <f t="shared" si="479"/>
        <v>0</v>
      </c>
    </row>
    <row r="7675" spans="5:23" x14ac:dyDescent="0.25">
      <c r="E7675" s="4"/>
      <c r="F7675" s="4"/>
      <c r="G7675" s="33" t="str">
        <f>IFERROR(VLOOKUP($D7675,'Informations sur les produits'!$A$3:$H$10000,8,FALSE),"0")</f>
        <v>0</v>
      </c>
      <c r="K7675" s="4"/>
      <c r="L7675" s="33" t="str">
        <f>IFERROR(VLOOKUP($J7675,'Informations sur les produits'!$A$3:$H$10000,8,FALSE),"0")</f>
        <v>0</v>
      </c>
      <c r="N7675" s="8"/>
      <c r="O7675" s="33" t="str">
        <f>IFERROR(VLOOKUP($M7675,'Informations sur les produits'!$A$3:$H$10000,8,FALSE),"0")</f>
        <v>0</v>
      </c>
      <c r="P7675" s="33">
        <f t="shared" si="476"/>
        <v>0</v>
      </c>
      <c r="Q7675" s="31" t="str">
        <f t="shared" si="477"/>
        <v/>
      </c>
      <c r="R7675" s="32" t="str">
        <f>IFERROR(VLOOKUP($D7675,'Informations sur les produits'!$A$3:$B$15000,2,FALSE),"")</f>
        <v/>
      </c>
      <c r="V7675">
        <f t="shared" si="478"/>
        <v>0</v>
      </c>
      <c r="W7675">
        <f t="shared" si="479"/>
        <v>0</v>
      </c>
    </row>
    <row r="7676" spans="5:23" x14ac:dyDescent="0.25">
      <c r="E7676" s="4"/>
      <c r="F7676" s="4"/>
      <c r="G7676" s="33" t="str">
        <f>IFERROR(VLOOKUP($D7676,'Informations sur les produits'!$A$3:$H$10000,8,FALSE),"0")</f>
        <v>0</v>
      </c>
      <c r="K7676" s="4"/>
      <c r="L7676" s="33" t="str">
        <f>IFERROR(VLOOKUP($J7676,'Informations sur les produits'!$A$3:$H$10000,8,FALSE),"0")</f>
        <v>0</v>
      </c>
      <c r="N7676" s="8"/>
      <c r="O7676" s="33" t="str">
        <f>IFERROR(VLOOKUP($M7676,'Informations sur les produits'!$A$3:$H$10000,8,FALSE),"0")</f>
        <v>0</v>
      </c>
      <c r="P7676" s="33">
        <f t="shared" si="476"/>
        <v>0</v>
      </c>
      <c r="Q7676" s="31" t="str">
        <f t="shared" si="477"/>
        <v/>
      </c>
      <c r="R7676" s="32" t="str">
        <f>IFERROR(VLOOKUP($D7676,'Informations sur les produits'!$A$3:$B$15000,2,FALSE),"")</f>
        <v/>
      </c>
      <c r="V7676">
        <f t="shared" si="478"/>
        <v>0</v>
      </c>
      <c r="W7676">
        <f t="shared" si="479"/>
        <v>0</v>
      </c>
    </row>
    <row r="7677" spans="5:23" x14ac:dyDescent="0.25">
      <c r="E7677" s="4"/>
      <c r="F7677" s="4"/>
      <c r="G7677" s="33" t="str">
        <f>IFERROR(VLOOKUP($D7677,'Informations sur les produits'!$A$3:$H$10000,8,FALSE),"0")</f>
        <v>0</v>
      </c>
      <c r="K7677" s="4"/>
      <c r="L7677" s="33" t="str">
        <f>IFERROR(VLOOKUP($J7677,'Informations sur les produits'!$A$3:$H$10000,8,FALSE),"0")</f>
        <v>0</v>
      </c>
      <c r="N7677" s="8"/>
      <c r="O7677" s="33" t="str">
        <f>IFERROR(VLOOKUP($M7677,'Informations sur les produits'!$A$3:$H$10000,8,FALSE),"0")</f>
        <v>0</v>
      </c>
      <c r="P7677" s="33">
        <f t="shared" si="476"/>
        <v>0</v>
      </c>
      <c r="Q7677" s="31" t="str">
        <f t="shared" si="477"/>
        <v/>
      </c>
      <c r="R7677" s="32" t="str">
        <f>IFERROR(VLOOKUP($D7677,'Informations sur les produits'!$A$3:$B$15000,2,FALSE),"")</f>
        <v/>
      </c>
      <c r="V7677">
        <f t="shared" si="478"/>
        <v>0</v>
      </c>
      <c r="W7677">
        <f t="shared" si="479"/>
        <v>0</v>
      </c>
    </row>
    <row r="7678" spans="5:23" x14ac:dyDescent="0.25">
      <c r="E7678" s="4"/>
      <c r="F7678" s="4"/>
      <c r="G7678" s="33" t="str">
        <f>IFERROR(VLOOKUP($D7678,'Informations sur les produits'!$A$3:$H$10000,8,FALSE),"0")</f>
        <v>0</v>
      </c>
      <c r="K7678" s="4"/>
      <c r="L7678" s="33" t="str">
        <f>IFERROR(VLOOKUP($J7678,'Informations sur les produits'!$A$3:$H$10000,8,FALSE),"0")</f>
        <v>0</v>
      </c>
      <c r="N7678" s="8"/>
      <c r="O7678" s="33" t="str">
        <f>IFERROR(VLOOKUP($M7678,'Informations sur les produits'!$A$3:$H$10000,8,FALSE),"0")</f>
        <v>0</v>
      </c>
      <c r="P7678" s="33">
        <f t="shared" si="476"/>
        <v>0</v>
      </c>
      <c r="Q7678" s="31" t="str">
        <f t="shared" si="477"/>
        <v/>
      </c>
      <c r="R7678" s="32" t="str">
        <f>IFERROR(VLOOKUP($D7678,'Informations sur les produits'!$A$3:$B$15000,2,FALSE),"")</f>
        <v/>
      </c>
      <c r="V7678">
        <f t="shared" si="478"/>
        <v>0</v>
      </c>
      <c r="W7678">
        <f t="shared" si="479"/>
        <v>0</v>
      </c>
    </row>
    <row r="7679" spans="5:23" x14ac:dyDescent="0.25">
      <c r="E7679" s="4"/>
      <c r="F7679" s="4"/>
      <c r="G7679" s="33" t="str">
        <f>IFERROR(VLOOKUP($D7679,'Informations sur les produits'!$A$3:$H$10000,8,FALSE),"0")</f>
        <v>0</v>
      </c>
      <c r="K7679" s="4"/>
      <c r="L7679" s="33" t="str">
        <f>IFERROR(VLOOKUP($J7679,'Informations sur les produits'!$A$3:$H$10000,8,FALSE),"0")</f>
        <v>0</v>
      </c>
      <c r="N7679" s="8"/>
      <c r="O7679" s="33" t="str">
        <f>IFERROR(VLOOKUP($M7679,'Informations sur les produits'!$A$3:$H$10000,8,FALSE),"0")</f>
        <v>0</v>
      </c>
      <c r="P7679" s="33">
        <f t="shared" si="476"/>
        <v>0</v>
      </c>
      <c r="Q7679" s="31" t="str">
        <f t="shared" si="477"/>
        <v/>
      </c>
      <c r="R7679" s="32" t="str">
        <f>IFERROR(VLOOKUP($D7679,'Informations sur les produits'!$A$3:$B$15000,2,FALSE),"")</f>
        <v/>
      </c>
      <c r="V7679">
        <f t="shared" si="478"/>
        <v>0</v>
      </c>
      <c r="W7679">
        <f t="shared" si="479"/>
        <v>0</v>
      </c>
    </row>
    <row r="7680" spans="5:23" x14ac:dyDescent="0.25">
      <c r="E7680" s="4"/>
      <c r="F7680" s="4"/>
      <c r="G7680" s="33" t="str">
        <f>IFERROR(VLOOKUP($D7680,'Informations sur les produits'!$A$3:$H$10000,8,FALSE),"0")</f>
        <v>0</v>
      </c>
      <c r="K7680" s="4"/>
      <c r="L7680" s="33" t="str">
        <f>IFERROR(VLOOKUP($J7680,'Informations sur les produits'!$A$3:$H$10000,8,FALSE),"0")</f>
        <v>0</v>
      </c>
      <c r="N7680" s="8"/>
      <c r="O7680" s="33" t="str">
        <f>IFERROR(VLOOKUP($M7680,'Informations sur les produits'!$A$3:$H$10000,8,FALSE),"0")</f>
        <v>0</v>
      </c>
      <c r="P7680" s="33">
        <f t="shared" si="476"/>
        <v>0</v>
      </c>
      <c r="Q7680" s="31" t="str">
        <f t="shared" si="477"/>
        <v/>
      </c>
      <c r="R7680" s="32" t="str">
        <f>IFERROR(VLOOKUP($D7680,'Informations sur les produits'!$A$3:$B$15000,2,FALSE),"")</f>
        <v/>
      </c>
      <c r="V7680">
        <f t="shared" si="478"/>
        <v>0</v>
      </c>
      <c r="W7680">
        <f t="shared" si="479"/>
        <v>0</v>
      </c>
    </row>
    <row r="7681" spans="5:23" x14ac:dyDescent="0.25">
      <c r="E7681" s="4"/>
      <c r="F7681" s="4"/>
      <c r="G7681" s="33" t="str">
        <f>IFERROR(VLOOKUP($D7681,'Informations sur les produits'!$A$3:$H$10000,8,FALSE),"0")</f>
        <v>0</v>
      </c>
      <c r="K7681" s="4"/>
      <c r="L7681" s="33" t="str">
        <f>IFERROR(VLOOKUP($J7681,'Informations sur les produits'!$A$3:$H$10000,8,FALSE),"0")</f>
        <v>0</v>
      </c>
      <c r="N7681" s="8"/>
      <c r="O7681" s="33" t="str">
        <f>IFERROR(VLOOKUP($M7681,'Informations sur les produits'!$A$3:$H$10000,8,FALSE),"0")</f>
        <v>0</v>
      </c>
      <c r="P7681" s="33">
        <f t="shared" si="476"/>
        <v>0</v>
      </c>
      <c r="Q7681" s="31" t="str">
        <f t="shared" si="477"/>
        <v/>
      </c>
      <c r="R7681" s="32" t="str">
        <f>IFERROR(VLOOKUP($D7681,'Informations sur les produits'!$A$3:$B$15000,2,FALSE),"")</f>
        <v/>
      </c>
      <c r="V7681">
        <f t="shared" si="478"/>
        <v>0</v>
      </c>
      <c r="W7681">
        <f t="shared" si="479"/>
        <v>0</v>
      </c>
    </row>
    <row r="7682" spans="5:23" x14ac:dyDescent="0.25">
      <c r="E7682" s="4"/>
      <c r="F7682" s="4"/>
      <c r="G7682" s="33" t="str">
        <f>IFERROR(VLOOKUP($D7682,'Informations sur les produits'!$A$3:$H$10000,8,FALSE),"0")</f>
        <v>0</v>
      </c>
      <c r="K7682" s="4"/>
      <c r="L7682" s="33" t="str">
        <f>IFERROR(VLOOKUP($J7682,'Informations sur les produits'!$A$3:$H$10000,8,FALSE),"0")</f>
        <v>0</v>
      </c>
      <c r="N7682" s="8"/>
      <c r="O7682" s="33" t="str">
        <f>IFERROR(VLOOKUP($M7682,'Informations sur les produits'!$A$3:$H$10000,8,FALSE),"0")</f>
        <v>0</v>
      </c>
      <c r="P7682" s="33">
        <f t="shared" si="476"/>
        <v>0</v>
      </c>
      <c r="Q7682" s="31" t="str">
        <f t="shared" si="477"/>
        <v/>
      </c>
      <c r="R7682" s="32" t="str">
        <f>IFERROR(VLOOKUP($D7682,'Informations sur les produits'!$A$3:$B$15000,2,FALSE),"")</f>
        <v/>
      </c>
      <c r="V7682">
        <f t="shared" si="478"/>
        <v>0</v>
      </c>
      <c r="W7682">
        <f t="shared" si="479"/>
        <v>0</v>
      </c>
    </row>
    <row r="7683" spans="5:23" x14ac:dyDescent="0.25">
      <c r="E7683" s="4"/>
      <c r="F7683" s="4"/>
      <c r="G7683" s="33" t="str">
        <f>IFERROR(VLOOKUP($D7683,'Informations sur les produits'!$A$3:$H$10000,8,FALSE),"0")</f>
        <v>0</v>
      </c>
      <c r="K7683" s="4"/>
      <c r="L7683" s="33" t="str">
        <f>IFERROR(VLOOKUP($J7683,'Informations sur les produits'!$A$3:$H$10000,8,FALSE),"0")</f>
        <v>0</v>
      </c>
      <c r="N7683" s="8"/>
      <c r="O7683" s="33" t="str">
        <f>IFERROR(VLOOKUP($M7683,'Informations sur les produits'!$A$3:$H$10000,8,FALSE),"0")</f>
        <v>0</v>
      </c>
      <c r="P7683" s="33">
        <f t="shared" si="476"/>
        <v>0</v>
      </c>
      <c r="Q7683" s="31" t="str">
        <f t="shared" si="477"/>
        <v/>
      </c>
      <c r="R7683" s="32" t="str">
        <f>IFERROR(VLOOKUP($D7683,'Informations sur les produits'!$A$3:$B$15000,2,FALSE),"")</f>
        <v/>
      </c>
      <c r="V7683">
        <f t="shared" si="478"/>
        <v>0</v>
      </c>
      <c r="W7683">
        <f t="shared" si="479"/>
        <v>0</v>
      </c>
    </row>
    <row r="7684" spans="5:23" x14ac:dyDescent="0.25">
      <c r="E7684" s="4"/>
      <c r="F7684" s="4"/>
      <c r="G7684" s="33" t="str">
        <f>IFERROR(VLOOKUP($D7684,'Informations sur les produits'!$A$3:$H$10000,8,FALSE),"0")</f>
        <v>0</v>
      </c>
      <c r="K7684" s="4"/>
      <c r="L7684" s="33" t="str">
        <f>IFERROR(VLOOKUP($J7684,'Informations sur les produits'!$A$3:$H$10000,8,FALSE),"0")</f>
        <v>0</v>
      </c>
      <c r="N7684" s="8"/>
      <c r="O7684" s="33" t="str">
        <f>IFERROR(VLOOKUP($M7684,'Informations sur les produits'!$A$3:$H$10000,8,FALSE),"0")</f>
        <v>0</v>
      </c>
      <c r="P7684" s="33">
        <f t="shared" ref="P7684:P7747" si="480">IFERROR((($E7684-$F7684)*$G7684+$K7684*$L7684+$N7684*$O7684),"")</f>
        <v>0</v>
      </c>
      <c r="Q7684" s="31" t="str">
        <f t="shared" ref="Q7684:Q7747" si="481">IFERROR((((($E7684-$F7684)*$G7684+$K7684*$L7684+$N7684*$O7684)*1000)/(($E7684-$F7684)+$K7684+$N7684)),"")</f>
        <v/>
      </c>
      <c r="R7684" s="32" t="str">
        <f>IFERROR(VLOOKUP($D7684,'Informations sur les produits'!$A$3:$B$15000,2,FALSE),"")</f>
        <v/>
      </c>
      <c r="V7684">
        <f t="shared" ref="V7684:V7747" si="482">IFERROR(P7684*1000,"")</f>
        <v>0</v>
      </c>
      <c r="W7684">
        <f t="shared" ref="W7684:W7747" si="483">IFERROR(($E7684-$F7684)+$K7684+$N7684,"")</f>
        <v>0</v>
      </c>
    </row>
    <row r="7685" spans="5:23" x14ac:dyDescent="0.25">
      <c r="E7685" s="4"/>
      <c r="F7685" s="4"/>
      <c r="G7685" s="33" t="str">
        <f>IFERROR(VLOOKUP($D7685,'Informations sur les produits'!$A$3:$H$10000,8,FALSE),"0")</f>
        <v>0</v>
      </c>
      <c r="K7685" s="4"/>
      <c r="L7685" s="33" t="str">
        <f>IFERROR(VLOOKUP($J7685,'Informations sur les produits'!$A$3:$H$10000,8,FALSE),"0")</f>
        <v>0</v>
      </c>
      <c r="N7685" s="8"/>
      <c r="O7685" s="33" t="str">
        <f>IFERROR(VLOOKUP($M7685,'Informations sur les produits'!$A$3:$H$10000,8,FALSE),"0")</f>
        <v>0</v>
      </c>
      <c r="P7685" s="33">
        <f t="shared" si="480"/>
        <v>0</v>
      </c>
      <c r="Q7685" s="31" t="str">
        <f t="shared" si="481"/>
        <v/>
      </c>
      <c r="R7685" s="32" t="str">
        <f>IFERROR(VLOOKUP($D7685,'Informations sur les produits'!$A$3:$B$15000,2,FALSE),"")</f>
        <v/>
      </c>
      <c r="V7685">
        <f t="shared" si="482"/>
        <v>0</v>
      </c>
      <c r="W7685">
        <f t="shared" si="483"/>
        <v>0</v>
      </c>
    </row>
    <row r="7686" spans="5:23" x14ac:dyDescent="0.25">
      <c r="E7686" s="4"/>
      <c r="F7686" s="4"/>
      <c r="G7686" s="33" t="str">
        <f>IFERROR(VLOOKUP($D7686,'Informations sur les produits'!$A$3:$H$10000,8,FALSE),"0")</f>
        <v>0</v>
      </c>
      <c r="K7686" s="4"/>
      <c r="L7686" s="33" t="str">
        <f>IFERROR(VLOOKUP($J7686,'Informations sur les produits'!$A$3:$H$10000,8,FALSE),"0")</f>
        <v>0</v>
      </c>
      <c r="N7686" s="8"/>
      <c r="O7686" s="33" t="str">
        <f>IFERROR(VLOOKUP($M7686,'Informations sur les produits'!$A$3:$H$10000,8,FALSE),"0")</f>
        <v>0</v>
      </c>
      <c r="P7686" s="33">
        <f t="shared" si="480"/>
        <v>0</v>
      </c>
      <c r="Q7686" s="31" t="str">
        <f t="shared" si="481"/>
        <v/>
      </c>
      <c r="R7686" s="32" t="str">
        <f>IFERROR(VLOOKUP($D7686,'Informations sur les produits'!$A$3:$B$15000,2,FALSE),"")</f>
        <v/>
      </c>
      <c r="V7686">
        <f t="shared" si="482"/>
        <v>0</v>
      </c>
      <c r="W7686">
        <f t="shared" si="483"/>
        <v>0</v>
      </c>
    </row>
    <row r="7687" spans="5:23" x14ac:dyDescent="0.25">
      <c r="E7687" s="4"/>
      <c r="F7687" s="4"/>
      <c r="G7687" s="33" t="str">
        <f>IFERROR(VLOOKUP($D7687,'Informations sur les produits'!$A$3:$H$10000,8,FALSE),"0")</f>
        <v>0</v>
      </c>
      <c r="K7687" s="4"/>
      <c r="L7687" s="33" t="str">
        <f>IFERROR(VLOOKUP($J7687,'Informations sur les produits'!$A$3:$H$10000,8,FALSE),"0")</f>
        <v>0</v>
      </c>
      <c r="N7687" s="8"/>
      <c r="O7687" s="33" t="str">
        <f>IFERROR(VLOOKUP($M7687,'Informations sur les produits'!$A$3:$H$10000,8,FALSE),"0")</f>
        <v>0</v>
      </c>
      <c r="P7687" s="33">
        <f t="shared" si="480"/>
        <v>0</v>
      </c>
      <c r="Q7687" s="31" t="str">
        <f t="shared" si="481"/>
        <v/>
      </c>
      <c r="R7687" s="32" t="str">
        <f>IFERROR(VLOOKUP($D7687,'Informations sur les produits'!$A$3:$B$15000,2,FALSE),"")</f>
        <v/>
      </c>
      <c r="V7687">
        <f t="shared" si="482"/>
        <v>0</v>
      </c>
      <c r="W7687">
        <f t="shared" si="483"/>
        <v>0</v>
      </c>
    </row>
    <row r="7688" spans="5:23" x14ac:dyDescent="0.25">
      <c r="E7688" s="4"/>
      <c r="F7688" s="4"/>
      <c r="G7688" s="33" t="str">
        <f>IFERROR(VLOOKUP($D7688,'Informations sur les produits'!$A$3:$H$10000,8,FALSE),"0")</f>
        <v>0</v>
      </c>
      <c r="K7688" s="4"/>
      <c r="L7688" s="33" t="str">
        <f>IFERROR(VLOOKUP($J7688,'Informations sur les produits'!$A$3:$H$10000,8,FALSE),"0")</f>
        <v>0</v>
      </c>
      <c r="N7688" s="8"/>
      <c r="O7688" s="33" t="str">
        <f>IFERROR(VLOOKUP($M7688,'Informations sur les produits'!$A$3:$H$10000,8,FALSE),"0")</f>
        <v>0</v>
      </c>
      <c r="P7688" s="33">
        <f t="shared" si="480"/>
        <v>0</v>
      </c>
      <c r="Q7688" s="31" t="str">
        <f t="shared" si="481"/>
        <v/>
      </c>
      <c r="R7688" s="32" t="str">
        <f>IFERROR(VLOOKUP($D7688,'Informations sur les produits'!$A$3:$B$15000,2,FALSE),"")</f>
        <v/>
      </c>
      <c r="V7688">
        <f t="shared" si="482"/>
        <v>0</v>
      </c>
      <c r="W7688">
        <f t="shared" si="483"/>
        <v>0</v>
      </c>
    </row>
    <row r="7689" spans="5:23" x14ac:dyDescent="0.25">
      <c r="E7689" s="4"/>
      <c r="F7689" s="4"/>
      <c r="G7689" s="33" t="str">
        <f>IFERROR(VLOOKUP($D7689,'Informations sur les produits'!$A$3:$H$10000,8,FALSE),"0")</f>
        <v>0</v>
      </c>
      <c r="K7689" s="4"/>
      <c r="L7689" s="33" t="str">
        <f>IFERROR(VLOOKUP($J7689,'Informations sur les produits'!$A$3:$H$10000,8,FALSE),"0")</f>
        <v>0</v>
      </c>
      <c r="N7689" s="8"/>
      <c r="O7689" s="33" t="str">
        <f>IFERROR(VLOOKUP($M7689,'Informations sur les produits'!$A$3:$H$10000,8,FALSE),"0")</f>
        <v>0</v>
      </c>
      <c r="P7689" s="33">
        <f t="shared" si="480"/>
        <v>0</v>
      </c>
      <c r="Q7689" s="31" t="str">
        <f t="shared" si="481"/>
        <v/>
      </c>
      <c r="R7689" s="32" t="str">
        <f>IFERROR(VLOOKUP($D7689,'Informations sur les produits'!$A$3:$B$15000,2,FALSE),"")</f>
        <v/>
      </c>
      <c r="V7689">
        <f t="shared" si="482"/>
        <v>0</v>
      </c>
      <c r="W7689">
        <f t="shared" si="483"/>
        <v>0</v>
      </c>
    </row>
    <row r="7690" spans="5:23" x14ac:dyDescent="0.25">
      <c r="E7690" s="4"/>
      <c r="F7690" s="4"/>
      <c r="G7690" s="33" t="str">
        <f>IFERROR(VLOOKUP($D7690,'Informations sur les produits'!$A$3:$H$10000,8,FALSE),"0")</f>
        <v>0</v>
      </c>
      <c r="K7690" s="4"/>
      <c r="L7690" s="33" t="str">
        <f>IFERROR(VLOOKUP($J7690,'Informations sur les produits'!$A$3:$H$10000,8,FALSE),"0")</f>
        <v>0</v>
      </c>
      <c r="N7690" s="8"/>
      <c r="O7690" s="33" t="str">
        <f>IFERROR(VLOOKUP($M7690,'Informations sur les produits'!$A$3:$H$10000,8,FALSE),"0")</f>
        <v>0</v>
      </c>
      <c r="P7690" s="33">
        <f t="shared" si="480"/>
        <v>0</v>
      </c>
      <c r="Q7690" s="31" t="str">
        <f t="shared" si="481"/>
        <v/>
      </c>
      <c r="R7690" s="32" t="str">
        <f>IFERROR(VLOOKUP($D7690,'Informations sur les produits'!$A$3:$B$15000,2,FALSE),"")</f>
        <v/>
      </c>
      <c r="V7690">
        <f t="shared" si="482"/>
        <v>0</v>
      </c>
      <c r="W7690">
        <f t="shared" si="483"/>
        <v>0</v>
      </c>
    </row>
    <row r="7691" spans="5:23" x14ac:dyDescent="0.25">
      <c r="E7691" s="4"/>
      <c r="F7691" s="4"/>
      <c r="G7691" s="33" t="str">
        <f>IFERROR(VLOOKUP($D7691,'Informations sur les produits'!$A$3:$H$10000,8,FALSE),"0")</f>
        <v>0</v>
      </c>
      <c r="K7691" s="4"/>
      <c r="L7691" s="33" t="str">
        <f>IFERROR(VLOOKUP($J7691,'Informations sur les produits'!$A$3:$H$10000,8,FALSE),"0")</f>
        <v>0</v>
      </c>
      <c r="N7691" s="8"/>
      <c r="O7691" s="33" t="str">
        <f>IFERROR(VLOOKUP($M7691,'Informations sur les produits'!$A$3:$H$10000,8,FALSE),"0")</f>
        <v>0</v>
      </c>
      <c r="P7691" s="33">
        <f t="shared" si="480"/>
        <v>0</v>
      </c>
      <c r="Q7691" s="31" t="str">
        <f t="shared" si="481"/>
        <v/>
      </c>
      <c r="R7691" s="32" t="str">
        <f>IFERROR(VLOOKUP($D7691,'Informations sur les produits'!$A$3:$B$15000,2,FALSE),"")</f>
        <v/>
      </c>
      <c r="V7691">
        <f t="shared" si="482"/>
        <v>0</v>
      </c>
      <c r="W7691">
        <f t="shared" si="483"/>
        <v>0</v>
      </c>
    </row>
    <row r="7692" spans="5:23" x14ac:dyDescent="0.25">
      <c r="E7692" s="4"/>
      <c r="F7692" s="4"/>
      <c r="G7692" s="33" t="str">
        <f>IFERROR(VLOOKUP($D7692,'Informations sur les produits'!$A$3:$H$10000,8,FALSE),"0")</f>
        <v>0</v>
      </c>
      <c r="K7692" s="4"/>
      <c r="L7692" s="33" t="str">
        <f>IFERROR(VLOOKUP($J7692,'Informations sur les produits'!$A$3:$H$10000,8,FALSE),"0")</f>
        <v>0</v>
      </c>
      <c r="N7692" s="8"/>
      <c r="O7692" s="33" t="str">
        <f>IFERROR(VLOOKUP($M7692,'Informations sur les produits'!$A$3:$H$10000,8,FALSE),"0")</f>
        <v>0</v>
      </c>
      <c r="P7692" s="33">
        <f t="shared" si="480"/>
        <v>0</v>
      </c>
      <c r="Q7692" s="31" t="str">
        <f t="shared" si="481"/>
        <v/>
      </c>
      <c r="R7692" s="32" t="str">
        <f>IFERROR(VLOOKUP($D7692,'Informations sur les produits'!$A$3:$B$15000,2,FALSE),"")</f>
        <v/>
      </c>
      <c r="V7692">
        <f t="shared" si="482"/>
        <v>0</v>
      </c>
      <c r="W7692">
        <f t="shared" si="483"/>
        <v>0</v>
      </c>
    </row>
    <row r="7693" spans="5:23" x14ac:dyDescent="0.25">
      <c r="E7693" s="4"/>
      <c r="F7693" s="4"/>
      <c r="G7693" s="33" t="str">
        <f>IFERROR(VLOOKUP($D7693,'Informations sur les produits'!$A$3:$H$10000,8,FALSE),"0")</f>
        <v>0</v>
      </c>
      <c r="K7693" s="4"/>
      <c r="L7693" s="33" t="str">
        <f>IFERROR(VLOOKUP($J7693,'Informations sur les produits'!$A$3:$H$10000,8,FALSE),"0")</f>
        <v>0</v>
      </c>
      <c r="N7693" s="8"/>
      <c r="O7693" s="33" t="str">
        <f>IFERROR(VLOOKUP($M7693,'Informations sur les produits'!$A$3:$H$10000,8,FALSE),"0")</f>
        <v>0</v>
      </c>
      <c r="P7693" s="33">
        <f t="shared" si="480"/>
        <v>0</v>
      </c>
      <c r="Q7693" s="31" t="str">
        <f t="shared" si="481"/>
        <v/>
      </c>
      <c r="R7693" s="32" t="str">
        <f>IFERROR(VLOOKUP($D7693,'Informations sur les produits'!$A$3:$B$15000,2,FALSE),"")</f>
        <v/>
      </c>
      <c r="V7693">
        <f t="shared" si="482"/>
        <v>0</v>
      </c>
      <c r="W7693">
        <f t="shared" si="483"/>
        <v>0</v>
      </c>
    </row>
    <row r="7694" spans="5:23" x14ac:dyDescent="0.25">
      <c r="E7694" s="4"/>
      <c r="F7694" s="4"/>
      <c r="G7694" s="33" t="str">
        <f>IFERROR(VLOOKUP($D7694,'Informations sur les produits'!$A$3:$H$10000,8,FALSE),"0")</f>
        <v>0</v>
      </c>
      <c r="K7694" s="4"/>
      <c r="L7694" s="33" t="str">
        <f>IFERROR(VLOOKUP($J7694,'Informations sur les produits'!$A$3:$H$10000,8,FALSE),"0")</f>
        <v>0</v>
      </c>
      <c r="N7694" s="8"/>
      <c r="O7694" s="33" t="str">
        <f>IFERROR(VLOOKUP($M7694,'Informations sur les produits'!$A$3:$H$10000,8,FALSE),"0")</f>
        <v>0</v>
      </c>
      <c r="P7694" s="33">
        <f t="shared" si="480"/>
        <v>0</v>
      </c>
      <c r="Q7694" s="31" t="str">
        <f t="shared" si="481"/>
        <v/>
      </c>
      <c r="R7694" s="32" t="str">
        <f>IFERROR(VLOOKUP($D7694,'Informations sur les produits'!$A$3:$B$15000,2,FALSE),"")</f>
        <v/>
      </c>
      <c r="V7694">
        <f t="shared" si="482"/>
        <v>0</v>
      </c>
      <c r="W7694">
        <f t="shared" si="483"/>
        <v>0</v>
      </c>
    </row>
    <row r="7695" spans="5:23" x14ac:dyDescent="0.25">
      <c r="E7695" s="4"/>
      <c r="F7695" s="4"/>
      <c r="G7695" s="33" t="str">
        <f>IFERROR(VLOOKUP($D7695,'Informations sur les produits'!$A$3:$H$10000,8,FALSE),"0")</f>
        <v>0</v>
      </c>
      <c r="K7695" s="4"/>
      <c r="L7695" s="33" t="str">
        <f>IFERROR(VLOOKUP($J7695,'Informations sur les produits'!$A$3:$H$10000,8,FALSE),"0")</f>
        <v>0</v>
      </c>
      <c r="N7695" s="8"/>
      <c r="O7695" s="33" t="str">
        <f>IFERROR(VLOOKUP($M7695,'Informations sur les produits'!$A$3:$H$10000,8,FALSE),"0")</f>
        <v>0</v>
      </c>
      <c r="P7695" s="33">
        <f t="shared" si="480"/>
        <v>0</v>
      </c>
      <c r="Q7695" s="31" t="str">
        <f t="shared" si="481"/>
        <v/>
      </c>
      <c r="R7695" s="32" t="str">
        <f>IFERROR(VLOOKUP($D7695,'Informations sur les produits'!$A$3:$B$15000,2,FALSE),"")</f>
        <v/>
      </c>
      <c r="V7695">
        <f t="shared" si="482"/>
        <v>0</v>
      </c>
      <c r="W7695">
        <f t="shared" si="483"/>
        <v>0</v>
      </c>
    </row>
    <row r="7696" spans="5:23" x14ac:dyDescent="0.25">
      <c r="E7696" s="4"/>
      <c r="F7696" s="4"/>
      <c r="G7696" s="33" t="str">
        <f>IFERROR(VLOOKUP($D7696,'Informations sur les produits'!$A$3:$H$10000,8,FALSE),"0")</f>
        <v>0</v>
      </c>
      <c r="K7696" s="4"/>
      <c r="L7696" s="33" t="str">
        <f>IFERROR(VLOOKUP($J7696,'Informations sur les produits'!$A$3:$H$10000,8,FALSE),"0")</f>
        <v>0</v>
      </c>
      <c r="N7696" s="8"/>
      <c r="O7696" s="33" t="str">
        <f>IFERROR(VLOOKUP($M7696,'Informations sur les produits'!$A$3:$H$10000,8,FALSE),"0")</f>
        <v>0</v>
      </c>
      <c r="P7696" s="33">
        <f t="shared" si="480"/>
        <v>0</v>
      </c>
      <c r="Q7696" s="31" t="str">
        <f t="shared" si="481"/>
        <v/>
      </c>
      <c r="R7696" s="32" t="str">
        <f>IFERROR(VLOOKUP($D7696,'Informations sur les produits'!$A$3:$B$15000,2,FALSE),"")</f>
        <v/>
      </c>
      <c r="V7696">
        <f t="shared" si="482"/>
        <v>0</v>
      </c>
      <c r="W7696">
        <f t="shared" si="483"/>
        <v>0</v>
      </c>
    </row>
    <row r="7697" spans="5:23" x14ac:dyDescent="0.25">
      <c r="E7697" s="4"/>
      <c r="F7697" s="4"/>
      <c r="G7697" s="33" t="str">
        <f>IFERROR(VLOOKUP($D7697,'Informations sur les produits'!$A$3:$H$10000,8,FALSE),"0")</f>
        <v>0</v>
      </c>
      <c r="K7697" s="4"/>
      <c r="L7697" s="33" t="str">
        <f>IFERROR(VLOOKUP($J7697,'Informations sur les produits'!$A$3:$H$10000,8,FALSE),"0")</f>
        <v>0</v>
      </c>
      <c r="N7697" s="8"/>
      <c r="O7697" s="33" t="str">
        <f>IFERROR(VLOOKUP($M7697,'Informations sur les produits'!$A$3:$H$10000,8,FALSE),"0")</f>
        <v>0</v>
      </c>
      <c r="P7697" s="33">
        <f t="shared" si="480"/>
        <v>0</v>
      </c>
      <c r="Q7697" s="31" t="str">
        <f t="shared" si="481"/>
        <v/>
      </c>
      <c r="R7697" s="32" t="str">
        <f>IFERROR(VLOOKUP($D7697,'Informations sur les produits'!$A$3:$B$15000,2,FALSE),"")</f>
        <v/>
      </c>
      <c r="V7697">
        <f t="shared" si="482"/>
        <v>0</v>
      </c>
      <c r="W7697">
        <f t="shared" si="483"/>
        <v>0</v>
      </c>
    </row>
    <row r="7698" spans="5:23" x14ac:dyDescent="0.25">
      <c r="E7698" s="4"/>
      <c r="F7698" s="4"/>
      <c r="G7698" s="33" t="str">
        <f>IFERROR(VLOOKUP($D7698,'Informations sur les produits'!$A$3:$H$10000,8,FALSE),"0")</f>
        <v>0</v>
      </c>
      <c r="K7698" s="4"/>
      <c r="L7698" s="33" t="str">
        <f>IFERROR(VLOOKUP($J7698,'Informations sur les produits'!$A$3:$H$10000,8,FALSE),"0")</f>
        <v>0</v>
      </c>
      <c r="N7698" s="8"/>
      <c r="O7698" s="33" t="str">
        <f>IFERROR(VLOOKUP($M7698,'Informations sur les produits'!$A$3:$H$10000,8,FALSE),"0")</f>
        <v>0</v>
      </c>
      <c r="P7698" s="33">
        <f t="shared" si="480"/>
        <v>0</v>
      </c>
      <c r="Q7698" s="31" t="str">
        <f t="shared" si="481"/>
        <v/>
      </c>
      <c r="R7698" s="32" t="str">
        <f>IFERROR(VLOOKUP($D7698,'Informations sur les produits'!$A$3:$B$15000,2,FALSE),"")</f>
        <v/>
      </c>
      <c r="V7698">
        <f t="shared" si="482"/>
        <v>0</v>
      </c>
      <c r="W7698">
        <f t="shared" si="483"/>
        <v>0</v>
      </c>
    </row>
    <row r="7699" spans="5:23" x14ac:dyDescent="0.25">
      <c r="E7699" s="4"/>
      <c r="F7699" s="4"/>
      <c r="G7699" s="33" t="str">
        <f>IFERROR(VLOOKUP($D7699,'Informations sur les produits'!$A$3:$H$10000,8,FALSE),"0")</f>
        <v>0</v>
      </c>
      <c r="K7699" s="4"/>
      <c r="L7699" s="33" t="str">
        <f>IFERROR(VLOOKUP($J7699,'Informations sur les produits'!$A$3:$H$10000,8,FALSE),"0")</f>
        <v>0</v>
      </c>
      <c r="N7699" s="8"/>
      <c r="O7699" s="33" t="str">
        <f>IFERROR(VLOOKUP($M7699,'Informations sur les produits'!$A$3:$H$10000,8,FALSE),"0")</f>
        <v>0</v>
      </c>
      <c r="P7699" s="33">
        <f t="shared" si="480"/>
        <v>0</v>
      </c>
      <c r="Q7699" s="31" t="str">
        <f t="shared" si="481"/>
        <v/>
      </c>
      <c r="R7699" s="32" t="str">
        <f>IFERROR(VLOOKUP($D7699,'Informations sur les produits'!$A$3:$B$15000,2,FALSE),"")</f>
        <v/>
      </c>
      <c r="V7699">
        <f t="shared" si="482"/>
        <v>0</v>
      </c>
      <c r="W7699">
        <f t="shared" si="483"/>
        <v>0</v>
      </c>
    </row>
    <row r="7700" spans="5:23" x14ac:dyDescent="0.25">
      <c r="E7700" s="4"/>
      <c r="F7700" s="4"/>
      <c r="G7700" s="33" t="str">
        <f>IFERROR(VLOOKUP($D7700,'Informations sur les produits'!$A$3:$H$10000,8,FALSE),"0")</f>
        <v>0</v>
      </c>
      <c r="K7700" s="4"/>
      <c r="L7700" s="33" t="str">
        <f>IFERROR(VLOOKUP($J7700,'Informations sur les produits'!$A$3:$H$10000,8,FALSE),"0")</f>
        <v>0</v>
      </c>
      <c r="N7700" s="8"/>
      <c r="O7700" s="33" t="str">
        <f>IFERROR(VLOOKUP($M7700,'Informations sur les produits'!$A$3:$H$10000,8,FALSE),"0")</f>
        <v>0</v>
      </c>
      <c r="P7700" s="33">
        <f t="shared" si="480"/>
        <v>0</v>
      </c>
      <c r="Q7700" s="31" t="str">
        <f t="shared" si="481"/>
        <v/>
      </c>
      <c r="R7700" s="32" t="str">
        <f>IFERROR(VLOOKUP($D7700,'Informations sur les produits'!$A$3:$B$15000,2,FALSE),"")</f>
        <v/>
      </c>
      <c r="V7700">
        <f t="shared" si="482"/>
        <v>0</v>
      </c>
      <c r="W7700">
        <f t="shared" si="483"/>
        <v>0</v>
      </c>
    </row>
    <row r="7701" spans="5:23" x14ac:dyDescent="0.25">
      <c r="E7701" s="4"/>
      <c r="F7701" s="4"/>
      <c r="G7701" s="33" t="str">
        <f>IFERROR(VLOOKUP($D7701,'Informations sur les produits'!$A$3:$H$10000,8,FALSE),"0")</f>
        <v>0</v>
      </c>
      <c r="K7701" s="4"/>
      <c r="L7701" s="33" t="str">
        <f>IFERROR(VLOOKUP($J7701,'Informations sur les produits'!$A$3:$H$10000,8,FALSE),"0")</f>
        <v>0</v>
      </c>
      <c r="N7701" s="8"/>
      <c r="O7701" s="33" t="str">
        <f>IFERROR(VLOOKUP($M7701,'Informations sur les produits'!$A$3:$H$10000,8,FALSE),"0")</f>
        <v>0</v>
      </c>
      <c r="P7701" s="33">
        <f t="shared" si="480"/>
        <v>0</v>
      </c>
      <c r="Q7701" s="31" t="str">
        <f t="shared" si="481"/>
        <v/>
      </c>
      <c r="R7701" s="32" t="str">
        <f>IFERROR(VLOOKUP($D7701,'Informations sur les produits'!$A$3:$B$15000,2,FALSE),"")</f>
        <v/>
      </c>
      <c r="V7701">
        <f t="shared" si="482"/>
        <v>0</v>
      </c>
      <c r="W7701">
        <f t="shared" si="483"/>
        <v>0</v>
      </c>
    </row>
    <row r="7702" spans="5:23" x14ac:dyDescent="0.25">
      <c r="E7702" s="4"/>
      <c r="F7702" s="4"/>
      <c r="G7702" s="33" t="str">
        <f>IFERROR(VLOOKUP($D7702,'Informations sur les produits'!$A$3:$H$10000,8,FALSE),"0")</f>
        <v>0</v>
      </c>
      <c r="K7702" s="4"/>
      <c r="L7702" s="33" t="str">
        <f>IFERROR(VLOOKUP($J7702,'Informations sur les produits'!$A$3:$H$10000,8,FALSE),"0")</f>
        <v>0</v>
      </c>
      <c r="N7702" s="8"/>
      <c r="O7702" s="33" t="str">
        <f>IFERROR(VLOOKUP($M7702,'Informations sur les produits'!$A$3:$H$10000,8,FALSE),"0")</f>
        <v>0</v>
      </c>
      <c r="P7702" s="33">
        <f t="shared" si="480"/>
        <v>0</v>
      </c>
      <c r="Q7702" s="31" t="str">
        <f t="shared" si="481"/>
        <v/>
      </c>
      <c r="R7702" s="32" t="str">
        <f>IFERROR(VLOOKUP($D7702,'Informations sur les produits'!$A$3:$B$15000,2,FALSE),"")</f>
        <v/>
      </c>
      <c r="V7702">
        <f t="shared" si="482"/>
        <v>0</v>
      </c>
      <c r="W7702">
        <f t="shared" si="483"/>
        <v>0</v>
      </c>
    </row>
    <row r="7703" spans="5:23" x14ac:dyDescent="0.25">
      <c r="E7703" s="4"/>
      <c r="F7703" s="4"/>
      <c r="G7703" s="33" t="str">
        <f>IFERROR(VLOOKUP($D7703,'Informations sur les produits'!$A$3:$H$10000,8,FALSE),"0")</f>
        <v>0</v>
      </c>
      <c r="K7703" s="4"/>
      <c r="L7703" s="33" t="str">
        <f>IFERROR(VLOOKUP($J7703,'Informations sur les produits'!$A$3:$H$10000,8,FALSE),"0")</f>
        <v>0</v>
      </c>
      <c r="N7703" s="8"/>
      <c r="O7703" s="33" t="str">
        <f>IFERROR(VLOOKUP($M7703,'Informations sur les produits'!$A$3:$H$10000,8,FALSE),"0")</f>
        <v>0</v>
      </c>
      <c r="P7703" s="33">
        <f t="shared" si="480"/>
        <v>0</v>
      </c>
      <c r="Q7703" s="31" t="str">
        <f t="shared" si="481"/>
        <v/>
      </c>
      <c r="R7703" s="32" t="str">
        <f>IFERROR(VLOOKUP($D7703,'Informations sur les produits'!$A$3:$B$15000,2,FALSE),"")</f>
        <v/>
      </c>
      <c r="V7703">
        <f t="shared" si="482"/>
        <v>0</v>
      </c>
      <c r="W7703">
        <f t="shared" si="483"/>
        <v>0</v>
      </c>
    </row>
    <row r="7704" spans="5:23" x14ac:dyDescent="0.25">
      <c r="E7704" s="4"/>
      <c r="F7704" s="4"/>
      <c r="G7704" s="33" t="str">
        <f>IFERROR(VLOOKUP($D7704,'Informations sur les produits'!$A$3:$H$10000,8,FALSE),"0")</f>
        <v>0</v>
      </c>
      <c r="K7704" s="4"/>
      <c r="L7704" s="33" t="str">
        <f>IFERROR(VLOOKUP($J7704,'Informations sur les produits'!$A$3:$H$10000,8,FALSE),"0")</f>
        <v>0</v>
      </c>
      <c r="N7704" s="8"/>
      <c r="O7704" s="33" t="str">
        <f>IFERROR(VLOOKUP($M7704,'Informations sur les produits'!$A$3:$H$10000,8,FALSE),"0")</f>
        <v>0</v>
      </c>
      <c r="P7704" s="33">
        <f t="shared" si="480"/>
        <v>0</v>
      </c>
      <c r="Q7704" s="31" t="str">
        <f t="shared" si="481"/>
        <v/>
      </c>
      <c r="R7704" s="32" t="str">
        <f>IFERROR(VLOOKUP($D7704,'Informations sur les produits'!$A$3:$B$15000,2,FALSE),"")</f>
        <v/>
      </c>
      <c r="V7704">
        <f t="shared" si="482"/>
        <v>0</v>
      </c>
      <c r="W7704">
        <f t="shared" si="483"/>
        <v>0</v>
      </c>
    </row>
    <row r="7705" spans="5:23" x14ac:dyDescent="0.25">
      <c r="E7705" s="4"/>
      <c r="F7705" s="4"/>
      <c r="G7705" s="33" t="str">
        <f>IFERROR(VLOOKUP($D7705,'Informations sur les produits'!$A$3:$H$10000,8,FALSE),"0")</f>
        <v>0</v>
      </c>
      <c r="K7705" s="4"/>
      <c r="L7705" s="33" t="str">
        <f>IFERROR(VLOOKUP($J7705,'Informations sur les produits'!$A$3:$H$10000,8,FALSE),"0")</f>
        <v>0</v>
      </c>
      <c r="N7705" s="8"/>
      <c r="O7705" s="33" t="str">
        <f>IFERROR(VLOOKUP($M7705,'Informations sur les produits'!$A$3:$H$10000,8,FALSE),"0")</f>
        <v>0</v>
      </c>
      <c r="P7705" s="33">
        <f t="shared" si="480"/>
        <v>0</v>
      </c>
      <c r="Q7705" s="31" t="str">
        <f t="shared" si="481"/>
        <v/>
      </c>
      <c r="R7705" s="32" t="str">
        <f>IFERROR(VLOOKUP($D7705,'Informations sur les produits'!$A$3:$B$15000,2,FALSE),"")</f>
        <v/>
      </c>
      <c r="V7705">
        <f t="shared" si="482"/>
        <v>0</v>
      </c>
      <c r="W7705">
        <f t="shared" si="483"/>
        <v>0</v>
      </c>
    </row>
    <row r="7706" spans="5:23" x14ac:dyDescent="0.25">
      <c r="E7706" s="4"/>
      <c r="F7706" s="4"/>
      <c r="G7706" s="33" t="str">
        <f>IFERROR(VLOOKUP($D7706,'Informations sur les produits'!$A$3:$H$10000,8,FALSE),"0")</f>
        <v>0</v>
      </c>
      <c r="K7706" s="4"/>
      <c r="L7706" s="33" t="str">
        <f>IFERROR(VLOOKUP($J7706,'Informations sur les produits'!$A$3:$H$10000,8,FALSE),"0")</f>
        <v>0</v>
      </c>
      <c r="N7706" s="8"/>
      <c r="O7706" s="33" t="str">
        <f>IFERROR(VLOOKUP($M7706,'Informations sur les produits'!$A$3:$H$10000,8,FALSE),"0")</f>
        <v>0</v>
      </c>
      <c r="P7706" s="33">
        <f t="shared" si="480"/>
        <v>0</v>
      </c>
      <c r="Q7706" s="31" t="str">
        <f t="shared" si="481"/>
        <v/>
      </c>
      <c r="R7706" s="32" t="str">
        <f>IFERROR(VLOOKUP($D7706,'Informations sur les produits'!$A$3:$B$15000,2,FALSE),"")</f>
        <v/>
      </c>
      <c r="V7706">
        <f t="shared" si="482"/>
        <v>0</v>
      </c>
      <c r="W7706">
        <f t="shared" si="483"/>
        <v>0</v>
      </c>
    </row>
    <row r="7707" spans="5:23" x14ac:dyDescent="0.25">
      <c r="E7707" s="4"/>
      <c r="F7707" s="4"/>
      <c r="G7707" s="33" t="str">
        <f>IFERROR(VLOOKUP($D7707,'Informations sur les produits'!$A$3:$H$10000,8,FALSE),"0")</f>
        <v>0</v>
      </c>
      <c r="K7707" s="4"/>
      <c r="L7707" s="33" t="str">
        <f>IFERROR(VLOOKUP($J7707,'Informations sur les produits'!$A$3:$H$10000,8,FALSE),"0")</f>
        <v>0</v>
      </c>
      <c r="N7707" s="8"/>
      <c r="O7707" s="33" t="str">
        <f>IFERROR(VLOOKUP($M7707,'Informations sur les produits'!$A$3:$H$10000,8,FALSE),"0")</f>
        <v>0</v>
      </c>
      <c r="P7707" s="33">
        <f t="shared" si="480"/>
        <v>0</v>
      </c>
      <c r="Q7707" s="31" t="str">
        <f t="shared" si="481"/>
        <v/>
      </c>
      <c r="R7707" s="32" t="str">
        <f>IFERROR(VLOOKUP($D7707,'Informations sur les produits'!$A$3:$B$15000,2,FALSE),"")</f>
        <v/>
      </c>
      <c r="V7707">
        <f t="shared" si="482"/>
        <v>0</v>
      </c>
      <c r="W7707">
        <f t="shared" si="483"/>
        <v>0</v>
      </c>
    </row>
    <row r="7708" spans="5:23" x14ac:dyDescent="0.25">
      <c r="E7708" s="4"/>
      <c r="F7708" s="4"/>
      <c r="G7708" s="33" t="str">
        <f>IFERROR(VLOOKUP($D7708,'Informations sur les produits'!$A$3:$H$10000,8,FALSE),"0")</f>
        <v>0</v>
      </c>
      <c r="K7708" s="4"/>
      <c r="L7708" s="33" t="str">
        <f>IFERROR(VLOOKUP($J7708,'Informations sur les produits'!$A$3:$H$10000,8,FALSE),"0")</f>
        <v>0</v>
      </c>
      <c r="N7708" s="8"/>
      <c r="O7708" s="33" t="str">
        <f>IFERROR(VLOOKUP($M7708,'Informations sur les produits'!$A$3:$H$10000,8,FALSE),"0")</f>
        <v>0</v>
      </c>
      <c r="P7708" s="33">
        <f t="shared" si="480"/>
        <v>0</v>
      </c>
      <c r="Q7708" s="31" t="str">
        <f t="shared" si="481"/>
        <v/>
      </c>
      <c r="R7708" s="32" t="str">
        <f>IFERROR(VLOOKUP($D7708,'Informations sur les produits'!$A$3:$B$15000,2,FALSE),"")</f>
        <v/>
      </c>
      <c r="V7708">
        <f t="shared" si="482"/>
        <v>0</v>
      </c>
      <c r="W7708">
        <f t="shared" si="483"/>
        <v>0</v>
      </c>
    </row>
    <row r="7709" spans="5:23" x14ac:dyDescent="0.25">
      <c r="E7709" s="4"/>
      <c r="F7709" s="4"/>
      <c r="G7709" s="33" t="str">
        <f>IFERROR(VLOOKUP($D7709,'Informations sur les produits'!$A$3:$H$10000,8,FALSE),"0")</f>
        <v>0</v>
      </c>
      <c r="K7709" s="4"/>
      <c r="L7709" s="33" t="str">
        <f>IFERROR(VLOOKUP($J7709,'Informations sur les produits'!$A$3:$H$10000,8,FALSE),"0")</f>
        <v>0</v>
      </c>
      <c r="N7709" s="8"/>
      <c r="O7709" s="33" t="str">
        <f>IFERROR(VLOOKUP($M7709,'Informations sur les produits'!$A$3:$H$10000,8,FALSE),"0")</f>
        <v>0</v>
      </c>
      <c r="P7709" s="33">
        <f t="shared" si="480"/>
        <v>0</v>
      </c>
      <c r="Q7709" s="31" t="str">
        <f t="shared" si="481"/>
        <v/>
      </c>
      <c r="R7709" s="32" t="str">
        <f>IFERROR(VLOOKUP($D7709,'Informations sur les produits'!$A$3:$B$15000,2,FALSE),"")</f>
        <v/>
      </c>
      <c r="V7709">
        <f t="shared" si="482"/>
        <v>0</v>
      </c>
      <c r="W7709">
        <f t="shared" si="483"/>
        <v>0</v>
      </c>
    </row>
    <row r="7710" spans="5:23" x14ac:dyDescent="0.25">
      <c r="E7710" s="4"/>
      <c r="F7710" s="4"/>
      <c r="G7710" s="33" t="str">
        <f>IFERROR(VLOOKUP($D7710,'Informations sur les produits'!$A$3:$H$10000,8,FALSE),"0")</f>
        <v>0</v>
      </c>
      <c r="K7710" s="4"/>
      <c r="L7710" s="33" t="str">
        <f>IFERROR(VLOOKUP($J7710,'Informations sur les produits'!$A$3:$H$10000,8,FALSE),"0")</f>
        <v>0</v>
      </c>
      <c r="N7710" s="8"/>
      <c r="O7710" s="33" t="str">
        <f>IFERROR(VLOOKUP($M7710,'Informations sur les produits'!$A$3:$H$10000,8,FALSE),"0")</f>
        <v>0</v>
      </c>
      <c r="P7710" s="33">
        <f t="shared" si="480"/>
        <v>0</v>
      </c>
      <c r="Q7710" s="31" t="str">
        <f t="shared" si="481"/>
        <v/>
      </c>
      <c r="R7710" s="32" t="str">
        <f>IFERROR(VLOOKUP($D7710,'Informations sur les produits'!$A$3:$B$15000,2,FALSE),"")</f>
        <v/>
      </c>
      <c r="V7710">
        <f t="shared" si="482"/>
        <v>0</v>
      </c>
      <c r="W7710">
        <f t="shared" si="483"/>
        <v>0</v>
      </c>
    </row>
    <row r="7711" spans="5:23" x14ac:dyDescent="0.25">
      <c r="E7711" s="4"/>
      <c r="F7711" s="4"/>
      <c r="G7711" s="33" t="str">
        <f>IFERROR(VLOOKUP($D7711,'Informations sur les produits'!$A$3:$H$10000,8,FALSE),"0")</f>
        <v>0</v>
      </c>
      <c r="K7711" s="4"/>
      <c r="L7711" s="33" t="str">
        <f>IFERROR(VLOOKUP($J7711,'Informations sur les produits'!$A$3:$H$10000,8,FALSE),"0")</f>
        <v>0</v>
      </c>
      <c r="N7711" s="8"/>
      <c r="O7711" s="33" t="str">
        <f>IFERROR(VLOOKUP($M7711,'Informations sur les produits'!$A$3:$H$10000,8,FALSE),"0")</f>
        <v>0</v>
      </c>
      <c r="P7711" s="33">
        <f t="shared" si="480"/>
        <v>0</v>
      </c>
      <c r="Q7711" s="31" t="str">
        <f t="shared" si="481"/>
        <v/>
      </c>
      <c r="R7711" s="32" t="str">
        <f>IFERROR(VLOOKUP($D7711,'Informations sur les produits'!$A$3:$B$15000,2,FALSE),"")</f>
        <v/>
      </c>
      <c r="V7711">
        <f t="shared" si="482"/>
        <v>0</v>
      </c>
      <c r="W7711">
        <f t="shared" si="483"/>
        <v>0</v>
      </c>
    </row>
    <row r="7712" spans="5:23" x14ac:dyDescent="0.25">
      <c r="E7712" s="4"/>
      <c r="F7712" s="4"/>
      <c r="G7712" s="33" t="str">
        <f>IFERROR(VLOOKUP($D7712,'Informations sur les produits'!$A$3:$H$10000,8,FALSE),"0")</f>
        <v>0</v>
      </c>
      <c r="K7712" s="4"/>
      <c r="L7712" s="33" t="str">
        <f>IFERROR(VLOOKUP($J7712,'Informations sur les produits'!$A$3:$H$10000,8,FALSE),"0")</f>
        <v>0</v>
      </c>
      <c r="N7712" s="8"/>
      <c r="O7712" s="33" t="str">
        <f>IFERROR(VLOOKUP($M7712,'Informations sur les produits'!$A$3:$H$10000,8,FALSE),"0")</f>
        <v>0</v>
      </c>
      <c r="P7712" s="33">
        <f t="shared" si="480"/>
        <v>0</v>
      </c>
      <c r="Q7712" s="31" t="str">
        <f t="shared" si="481"/>
        <v/>
      </c>
      <c r="R7712" s="32" t="str">
        <f>IFERROR(VLOOKUP($D7712,'Informations sur les produits'!$A$3:$B$15000,2,FALSE),"")</f>
        <v/>
      </c>
      <c r="V7712">
        <f t="shared" si="482"/>
        <v>0</v>
      </c>
      <c r="W7712">
        <f t="shared" si="483"/>
        <v>0</v>
      </c>
    </row>
    <row r="7713" spans="5:23" x14ac:dyDescent="0.25">
      <c r="E7713" s="4"/>
      <c r="F7713" s="4"/>
      <c r="G7713" s="33" t="str">
        <f>IFERROR(VLOOKUP($D7713,'Informations sur les produits'!$A$3:$H$10000,8,FALSE),"0")</f>
        <v>0</v>
      </c>
      <c r="K7713" s="4"/>
      <c r="L7713" s="33" t="str">
        <f>IFERROR(VLOOKUP($J7713,'Informations sur les produits'!$A$3:$H$10000,8,FALSE),"0")</f>
        <v>0</v>
      </c>
      <c r="N7713" s="8"/>
      <c r="O7713" s="33" t="str">
        <f>IFERROR(VLOOKUP($M7713,'Informations sur les produits'!$A$3:$H$10000,8,FALSE),"0")</f>
        <v>0</v>
      </c>
      <c r="P7713" s="33">
        <f t="shared" si="480"/>
        <v>0</v>
      </c>
      <c r="Q7713" s="31" t="str">
        <f t="shared" si="481"/>
        <v/>
      </c>
      <c r="R7713" s="32" t="str">
        <f>IFERROR(VLOOKUP($D7713,'Informations sur les produits'!$A$3:$B$15000,2,FALSE),"")</f>
        <v/>
      </c>
      <c r="V7713">
        <f t="shared" si="482"/>
        <v>0</v>
      </c>
      <c r="W7713">
        <f t="shared" si="483"/>
        <v>0</v>
      </c>
    </row>
    <row r="7714" spans="5:23" x14ac:dyDescent="0.25">
      <c r="E7714" s="4"/>
      <c r="F7714" s="4"/>
      <c r="G7714" s="33" t="str">
        <f>IFERROR(VLOOKUP($D7714,'Informations sur les produits'!$A$3:$H$10000,8,FALSE),"0")</f>
        <v>0</v>
      </c>
      <c r="K7714" s="4"/>
      <c r="L7714" s="33" t="str">
        <f>IFERROR(VLOOKUP($J7714,'Informations sur les produits'!$A$3:$H$10000,8,FALSE),"0")</f>
        <v>0</v>
      </c>
      <c r="N7714" s="8"/>
      <c r="O7714" s="33" t="str">
        <f>IFERROR(VLOOKUP($M7714,'Informations sur les produits'!$A$3:$H$10000,8,FALSE),"0")</f>
        <v>0</v>
      </c>
      <c r="P7714" s="33">
        <f t="shared" si="480"/>
        <v>0</v>
      </c>
      <c r="Q7714" s="31" t="str">
        <f t="shared" si="481"/>
        <v/>
      </c>
      <c r="R7714" s="32" t="str">
        <f>IFERROR(VLOOKUP($D7714,'Informations sur les produits'!$A$3:$B$15000,2,FALSE),"")</f>
        <v/>
      </c>
      <c r="V7714">
        <f t="shared" si="482"/>
        <v>0</v>
      </c>
      <c r="W7714">
        <f t="shared" si="483"/>
        <v>0</v>
      </c>
    </row>
    <row r="7715" spans="5:23" x14ac:dyDescent="0.25">
      <c r="E7715" s="4"/>
      <c r="F7715" s="4"/>
      <c r="G7715" s="33" t="str">
        <f>IFERROR(VLOOKUP($D7715,'Informations sur les produits'!$A$3:$H$10000,8,FALSE),"0")</f>
        <v>0</v>
      </c>
      <c r="K7715" s="4"/>
      <c r="L7715" s="33" t="str">
        <f>IFERROR(VLOOKUP($J7715,'Informations sur les produits'!$A$3:$H$10000,8,FALSE),"0")</f>
        <v>0</v>
      </c>
      <c r="N7715" s="8"/>
      <c r="O7715" s="33" t="str">
        <f>IFERROR(VLOOKUP($M7715,'Informations sur les produits'!$A$3:$H$10000,8,FALSE),"0")</f>
        <v>0</v>
      </c>
      <c r="P7715" s="33">
        <f t="shared" si="480"/>
        <v>0</v>
      </c>
      <c r="Q7715" s="31" t="str">
        <f t="shared" si="481"/>
        <v/>
      </c>
      <c r="R7715" s="32" t="str">
        <f>IFERROR(VLOOKUP($D7715,'Informations sur les produits'!$A$3:$B$15000,2,FALSE),"")</f>
        <v/>
      </c>
      <c r="V7715">
        <f t="shared" si="482"/>
        <v>0</v>
      </c>
      <c r="W7715">
        <f t="shared" si="483"/>
        <v>0</v>
      </c>
    </row>
    <row r="7716" spans="5:23" x14ac:dyDescent="0.25">
      <c r="E7716" s="4"/>
      <c r="F7716" s="4"/>
      <c r="G7716" s="33" t="str">
        <f>IFERROR(VLOOKUP($D7716,'Informations sur les produits'!$A$3:$H$10000,8,FALSE),"0")</f>
        <v>0</v>
      </c>
      <c r="K7716" s="4"/>
      <c r="L7716" s="33" t="str">
        <f>IFERROR(VLOOKUP($J7716,'Informations sur les produits'!$A$3:$H$10000,8,FALSE),"0")</f>
        <v>0</v>
      </c>
      <c r="N7716" s="8"/>
      <c r="O7716" s="33" t="str">
        <f>IFERROR(VLOOKUP($M7716,'Informations sur les produits'!$A$3:$H$10000,8,FALSE),"0")</f>
        <v>0</v>
      </c>
      <c r="P7716" s="33">
        <f t="shared" si="480"/>
        <v>0</v>
      </c>
      <c r="Q7716" s="31" t="str">
        <f t="shared" si="481"/>
        <v/>
      </c>
      <c r="R7716" s="32" t="str">
        <f>IFERROR(VLOOKUP($D7716,'Informations sur les produits'!$A$3:$B$15000,2,FALSE),"")</f>
        <v/>
      </c>
      <c r="V7716">
        <f t="shared" si="482"/>
        <v>0</v>
      </c>
      <c r="W7716">
        <f t="shared" si="483"/>
        <v>0</v>
      </c>
    </row>
    <row r="7717" spans="5:23" x14ac:dyDescent="0.25">
      <c r="E7717" s="4"/>
      <c r="F7717" s="4"/>
      <c r="G7717" s="33" t="str">
        <f>IFERROR(VLOOKUP($D7717,'Informations sur les produits'!$A$3:$H$10000,8,FALSE),"0")</f>
        <v>0</v>
      </c>
      <c r="K7717" s="4"/>
      <c r="L7717" s="33" t="str">
        <f>IFERROR(VLOOKUP($J7717,'Informations sur les produits'!$A$3:$H$10000,8,FALSE),"0")</f>
        <v>0</v>
      </c>
      <c r="N7717" s="8"/>
      <c r="O7717" s="33" t="str">
        <f>IFERROR(VLOOKUP($M7717,'Informations sur les produits'!$A$3:$H$10000,8,FALSE),"0")</f>
        <v>0</v>
      </c>
      <c r="P7717" s="33">
        <f t="shared" si="480"/>
        <v>0</v>
      </c>
      <c r="Q7717" s="31" t="str">
        <f t="shared" si="481"/>
        <v/>
      </c>
      <c r="R7717" s="32" t="str">
        <f>IFERROR(VLOOKUP($D7717,'Informations sur les produits'!$A$3:$B$15000,2,FALSE),"")</f>
        <v/>
      </c>
      <c r="V7717">
        <f t="shared" si="482"/>
        <v>0</v>
      </c>
      <c r="W7717">
        <f t="shared" si="483"/>
        <v>0</v>
      </c>
    </row>
    <row r="7718" spans="5:23" x14ac:dyDescent="0.25">
      <c r="E7718" s="4"/>
      <c r="F7718" s="4"/>
      <c r="G7718" s="33" t="str">
        <f>IFERROR(VLOOKUP($D7718,'Informations sur les produits'!$A$3:$H$10000,8,FALSE),"0")</f>
        <v>0</v>
      </c>
      <c r="K7718" s="4"/>
      <c r="L7718" s="33" t="str">
        <f>IFERROR(VLOOKUP($J7718,'Informations sur les produits'!$A$3:$H$10000,8,FALSE),"0")</f>
        <v>0</v>
      </c>
      <c r="N7718" s="8"/>
      <c r="O7718" s="33" t="str">
        <f>IFERROR(VLOOKUP($M7718,'Informations sur les produits'!$A$3:$H$10000,8,FALSE),"0")</f>
        <v>0</v>
      </c>
      <c r="P7718" s="33">
        <f t="shared" si="480"/>
        <v>0</v>
      </c>
      <c r="Q7718" s="31" t="str">
        <f t="shared" si="481"/>
        <v/>
      </c>
      <c r="R7718" s="32" t="str">
        <f>IFERROR(VLOOKUP($D7718,'Informations sur les produits'!$A$3:$B$15000,2,FALSE),"")</f>
        <v/>
      </c>
      <c r="V7718">
        <f t="shared" si="482"/>
        <v>0</v>
      </c>
      <c r="W7718">
        <f t="shared" si="483"/>
        <v>0</v>
      </c>
    </row>
    <row r="7719" spans="5:23" x14ac:dyDescent="0.25">
      <c r="E7719" s="4"/>
      <c r="F7719" s="4"/>
      <c r="G7719" s="33" t="str">
        <f>IFERROR(VLOOKUP($D7719,'Informations sur les produits'!$A$3:$H$10000,8,FALSE),"0")</f>
        <v>0</v>
      </c>
      <c r="K7719" s="4"/>
      <c r="L7719" s="33" t="str">
        <f>IFERROR(VLOOKUP($J7719,'Informations sur les produits'!$A$3:$H$10000,8,FALSE),"0")</f>
        <v>0</v>
      </c>
      <c r="N7719" s="8"/>
      <c r="O7719" s="33" t="str">
        <f>IFERROR(VLOOKUP($M7719,'Informations sur les produits'!$A$3:$H$10000,8,FALSE),"0")</f>
        <v>0</v>
      </c>
      <c r="P7719" s="33">
        <f t="shared" si="480"/>
        <v>0</v>
      </c>
      <c r="Q7719" s="31" t="str">
        <f t="shared" si="481"/>
        <v/>
      </c>
      <c r="R7719" s="32" t="str">
        <f>IFERROR(VLOOKUP($D7719,'Informations sur les produits'!$A$3:$B$15000,2,FALSE),"")</f>
        <v/>
      </c>
      <c r="V7719">
        <f t="shared" si="482"/>
        <v>0</v>
      </c>
      <c r="W7719">
        <f t="shared" si="483"/>
        <v>0</v>
      </c>
    </row>
    <row r="7720" spans="5:23" x14ac:dyDescent="0.25">
      <c r="E7720" s="4"/>
      <c r="F7720" s="4"/>
      <c r="G7720" s="33" t="str">
        <f>IFERROR(VLOOKUP($D7720,'Informations sur les produits'!$A$3:$H$10000,8,FALSE),"0")</f>
        <v>0</v>
      </c>
      <c r="K7720" s="4"/>
      <c r="L7720" s="33" t="str">
        <f>IFERROR(VLOOKUP($J7720,'Informations sur les produits'!$A$3:$H$10000,8,FALSE),"0")</f>
        <v>0</v>
      </c>
      <c r="N7720" s="8"/>
      <c r="O7720" s="33" t="str">
        <f>IFERROR(VLOOKUP($M7720,'Informations sur les produits'!$A$3:$H$10000,8,FALSE),"0")</f>
        <v>0</v>
      </c>
      <c r="P7720" s="33">
        <f t="shared" si="480"/>
        <v>0</v>
      </c>
      <c r="Q7720" s="31" t="str">
        <f t="shared" si="481"/>
        <v/>
      </c>
      <c r="R7720" s="32" t="str">
        <f>IFERROR(VLOOKUP($D7720,'Informations sur les produits'!$A$3:$B$15000,2,FALSE),"")</f>
        <v/>
      </c>
      <c r="V7720">
        <f t="shared" si="482"/>
        <v>0</v>
      </c>
      <c r="W7720">
        <f t="shared" si="483"/>
        <v>0</v>
      </c>
    </row>
    <row r="7721" spans="5:23" x14ac:dyDescent="0.25">
      <c r="E7721" s="4"/>
      <c r="F7721" s="4"/>
      <c r="G7721" s="33" t="str">
        <f>IFERROR(VLOOKUP($D7721,'Informations sur les produits'!$A$3:$H$10000,8,FALSE),"0")</f>
        <v>0</v>
      </c>
      <c r="K7721" s="4"/>
      <c r="L7721" s="33" t="str">
        <f>IFERROR(VLOOKUP($J7721,'Informations sur les produits'!$A$3:$H$10000,8,FALSE),"0")</f>
        <v>0</v>
      </c>
      <c r="N7721" s="8"/>
      <c r="O7721" s="33" t="str">
        <f>IFERROR(VLOOKUP($M7721,'Informations sur les produits'!$A$3:$H$10000,8,FALSE),"0")</f>
        <v>0</v>
      </c>
      <c r="P7721" s="33">
        <f t="shared" si="480"/>
        <v>0</v>
      </c>
      <c r="Q7721" s="31" t="str">
        <f t="shared" si="481"/>
        <v/>
      </c>
      <c r="R7721" s="32" t="str">
        <f>IFERROR(VLOOKUP($D7721,'Informations sur les produits'!$A$3:$B$15000,2,FALSE),"")</f>
        <v/>
      </c>
      <c r="V7721">
        <f t="shared" si="482"/>
        <v>0</v>
      </c>
      <c r="W7721">
        <f t="shared" si="483"/>
        <v>0</v>
      </c>
    </row>
    <row r="7722" spans="5:23" x14ac:dyDescent="0.25">
      <c r="E7722" s="4"/>
      <c r="F7722" s="4"/>
      <c r="G7722" s="33" t="str">
        <f>IFERROR(VLOOKUP($D7722,'Informations sur les produits'!$A$3:$H$10000,8,FALSE),"0")</f>
        <v>0</v>
      </c>
      <c r="K7722" s="4"/>
      <c r="L7722" s="33" t="str">
        <f>IFERROR(VLOOKUP($J7722,'Informations sur les produits'!$A$3:$H$10000,8,FALSE),"0")</f>
        <v>0</v>
      </c>
      <c r="N7722" s="8"/>
      <c r="O7722" s="33" t="str">
        <f>IFERROR(VLOOKUP($M7722,'Informations sur les produits'!$A$3:$H$10000,8,FALSE),"0")</f>
        <v>0</v>
      </c>
      <c r="P7722" s="33">
        <f t="shared" si="480"/>
        <v>0</v>
      </c>
      <c r="Q7722" s="31" t="str">
        <f t="shared" si="481"/>
        <v/>
      </c>
      <c r="R7722" s="32" t="str">
        <f>IFERROR(VLOOKUP($D7722,'Informations sur les produits'!$A$3:$B$15000,2,FALSE),"")</f>
        <v/>
      </c>
      <c r="V7722">
        <f t="shared" si="482"/>
        <v>0</v>
      </c>
      <c r="W7722">
        <f t="shared" si="483"/>
        <v>0</v>
      </c>
    </row>
    <row r="7723" spans="5:23" x14ac:dyDescent="0.25">
      <c r="E7723" s="4"/>
      <c r="F7723" s="4"/>
      <c r="G7723" s="33" t="str">
        <f>IFERROR(VLOOKUP($D7723,'Informations sur les produits'!$A$3:$H$10000,8,FALSE),"0")</f>
        <v>0</v>
      </c>
      <c r="K7723" s="4"/>
      <c r="L7723" s="33" t="str">
        <f>IFERROR(VLOOKUP($J7723,'Informations sur les produits'!$A$3:$H$10000,8,FALSE),"0")</f>
        <v>0</v>
      </c>
      <c r="N7723" s="8"/>
      <c r="O7723" s="33" t="str">
        <f>IFERROR(VLOOKUP($M7723,'Informations sur les produits'!$A$3:$H$10000,8,FALSE),"0")</f>
        <v>0</v>
      </c>
      <c r="P7723" s="33">
        <f t="shared" si="480"/>
        <v>0</v>
      </c>
      <c r="Q7723" s="31" t="str">
        <f t="shared" si="481"/>
        <v/>
      </c>
      <c r="R7723" s="32" t="str">
        <f>IFERROR(VLOOKUP($D7723,'Informations sur les produits'!$A$3:$B$15000,2,FALSE),"")</f>
        <v/>
      </c>
      <c r="V7723">
        <f t="shared" si="482"/>
        <v>0</v>
      </c>
      <c r="W7723">
        <f t="shared" si="483"/>
        <v>0</v>
      </c>
    </row>
    <row r="7724" spans="5:23" x14ac:dyDescent="0.25">
      <c r="E7724" s="4"/>
      <c r="F7724" s="4"/>
      <c r="G7724" s="33" t="str">
        <f>IFERROR(VLOOKUP($D7724,'Informations sur les produits'!$A$3:$H$10000,8,FALSE),"0")</f>
        <v>0</v>
      </c>
      <c r="K7724" s="4"/>
      <c r="L7724" s="33" t="str">
        <f>IFERROR(VLOOKUP($J7724,'Informations sur les produits'!$A$3:$H$10000,8,FALSE),"0")</f>
        <v>0</v>
      </c>
      <c r="N7724" s="8"/>
      <c r="O7724" s="33" t="str">
        <f>IFERROR(VLOOKUP($M7724,'Informations sur les produits'!$A$3:$H$10000,8,FALSE),"0")</f>
        <v>0</v>
      </c>
      <c r="P7724" s="33">
        <f t="shared" si="480"/>
        <v>0</v>
      </c>
      <c r="Q7724" s="31" t="str">
        <f t="shared" si="481"/>
        <v/>
      </c>
      <c r="R7724" s="32" t="str">
        <f>IFERROR(VLOOKUP($D7724,'Informations sur les produits'!$A$3:$B$15000,2,FALSE),"")</f>
        <v/>
      </c>
      <c r="V7724">
        <f t="shared" si="482"/>
        <v>0</v>
      </c>
      <c r="W7724">
        <f t="shared" si="483"/>
        <v>0</v>
      </c>
    </row>
    <row r="7725" spans="5:23" x14ac:dyDescent="0.25">
      <c r="E7725" s="4"/>
      <c r="F7725" s="4"/>
      <c r="G7725" s="33" t="str">
        <f>IFERROR(VLOOKUP($D7725,'Informations sur les produits'!$A$3:$H$10000,8,FALSE),"0")</f>
        <v>0</v>
      </c>
      <c r="K7725" s="4"/>
      <c r="L7725" s="33" t="str">
        <f>IFERROR(VLOOKUP($J7725,'Informations sur les produits'!$A$3:$H$10000,8,FALSE),"0")</f>
        <v>0</v>
      </c>
      <c r="N7725" s="8"/>
      <c r="O7725" s="33" t="str">
        <f>IFERROR(VLOOKUP($M7725,'Informations sur les produits'!$A$3:$H$10000,8,FALSE),"0")</f>
        <v>0</v>
      </c>
      <c r="P7725" s="33">
        <f t="shared" si="480"/>
        <v>0</v>
      </c>
      <c r="Q7725" s="31" t="str">
        <f t="shared" si="481"/>
        <v/>
      </c>
      <c r="R7725" s="32" t="str">
        <f>IFERROR(VLOOKUP($D7725,'Informations sur les produits'!$A$3:$B$15000,2,FALSE),"")</f>
        <v/>
      </c>
      <c r="V7725">
        <f t="shared" si="482"/>
        <v>0</v>
      </c>
      <c r="W7725">
        <f t="shared" si="483"/>
        <v>0</v>
      </c>
    </row>
    <row r="7726" spans="5:23" x14ac:dyDescent="0.25">
      <c r="E7726" s="4"/>
      <c r="F7726" s="4"/>
      <c r="G7726" s="33" t="str">
        <f>IFERROR(VLOOKUP($D7726,'Informations sur les produits'!$A$3:$H$10000,8,FALSE),"0")</f>
        <v>0</v>
      </c>
      <c r="K7726" s="4"/>
      <c r="L7726" s="33" t="str">
        <f>IFERROR(VLOOKUP($J7726,'Informations sur les produits'!$A$3:$H$10000,8,FALSE),"0")</f>
        <v>0</v>
      </c>
      <c r="N7726" s="8"/>
      <c r="O7726" s="33" t="str">
        <f>IFERROR(VLOOKUP($M7726,'Informations sur les produits'!$A$3:$H$10000,8,FALSE),"0")</f>
        <v>0</v>
      </c>
      <c r="P7726" s="33">
        <f t="shared" si="480"/>
        <v>0</v>
      </c>
      <c r="Q7726" s="31" t="str">
        <f t="shared" si="481"/>
        <v/>
      </c>
      <c r="R7726" s="32" t="str">
        <f>IFERROR(VLOOKUP($D7726,'Informations sur les produits'!$A$3:$B$15000,2,FALSE),"")</f>
        <v/>
      </c>
      <c r="V7726">
        <f t="shared" si="482"/>
        <v>0</v>
      </c>
      <c r="W7726">
        <f t="shared" si="483"/>
        <v>0</v>
      </c>
    </row>
    <row r="7727" spans="5:23" x14ac:dyDescent="0.25">
      <c r="E7727" s="4"/>
      <c r="F7727" s="4"/>
      <c r="G7727" s="33" t="str">
        <f>IFERROR(VLOOKUP($D7727,'Informations sur les produits'!$A$3:$H$10000,8,FALSE),"0")</f>
        <v>0</v>
      </c>
      <c r="K7727" s="4"/>
      <c r="L7727" s="33" t="str">
        <f>IFERROR(VLOOKUP($J7727,'Informations sur les produits'!$A$3:$H$10000,8,FALSE),"0")</f>
        <v>0</v>
      </c>
      <c r="N7727" s="8"/>
      <c r="O7727" s="33" t="str">
        <f>IFERROR(VLOOKUP($M7727,'Informations sur les produits'!$A$3:$H$10000,8,FALSE),"0")</f>
        <v>0</v>
      </c>
      <c r="P7727" s="33">
        <f t="shared" si="480"/>
        <v>0</v>
      </c>
      <c r="Q7727" s="31" t="str">
        <f t="shared" si="481"/>
        <v/>
      </c>
      <c r="R7727" s="32" t="str">
        <f>IFERROR(VLOOKUP($D7727,'Informations sur les produits'!$A$3:$B$15000,2,FALSE),"")</f>
        <v/>
      </c>
      <c r="V7727">
        <f t="shared" si="482"/>
        <v>0</v>
      </c>
      <c r="W7727">
        <f t="shared" si="483"/>
        <v>0</v>
      </c>
    </row>
    <row r="7728" spans="5:23" x14ac:dyDescent="0.25">
      <c r="E7728" s="4"/>
      <c r="F7728" s="4"/>
      <c r="G7728" s="33" t="str">
        <f>IFERROR(VLOOKUP($D7728,'Informations sur les produits'!$A$3:$H$10000,8,FALSE),"0")</f>
        <v>0</v>
      </c>
      <c r="K7728" s="4"/>
      <c r="L7728" s="33" t="str">
        <f>IFERROR(VLOOKUP($J7728,'Informations sur les produits'!$A$3:$H$10000,8,FALSE),"0")</f>
        <v>0</v>
      </c>
      <c r="N7728" s="8"/>
      <c r="O7728" s="33" t="str">
        <f>IFERROR(VLOOKUP($M7728,'Informations sur les produits'!$A$3:$H$10000,8,FALSE),"0")</f>
        <v>0</v>
      </c>
      <c r="P7728" s="33">
        <f t="shared" si="480"/>
        <v>0</v>
      </c>
      <c r="Q7728" s="31" t="str">
        <f t="shared" si="481"/>
        <v/>
      </c>
      <c r="R7728" s="32" t="str">
        <f>IFERROR(VLOOKUP($D7728,'Informations sur les produits'!$A$3:$B$15000,2,FALSE),"")</f>
        <v/>
      </c>
      <c r="V7728">
        <f t="shared" si="482"/>
        <v>0</v>
      </c>
      <c r="W7728">
        <f t="shared" si="483"/>
        <v>0</v>
      </c>
    </row>
    <row r="7729" spans="5:23" x14ac:dyDescent="0.25">
      <c r="E7729" s="4"/>
      <c r="F7729" s="4"/>
      <c r="G7729" s="33" t="str">
        <f>IFERROR(VLOOKUP($D7729,'Informations sur les produits'!$A$3:$H$10000,8,FALSE),"0")</f>
        <v>0</v>
      </c>
      <c r="K7729" s="4"/>
      <c r="L7729" s="33" t="str">
        <f>IFERROR(VLOOKUP($J7729,'Informations sur les produits'!$A$3:$H$10000,8,FALSE),"0")</f>
        <v>0</v>
      </c>
      <c r="N7729" s="8"/>
      <c r="O7729" s="33" t="str">
        <f>IFERROR(VLOOKUP($M7729,'Informations sur les produits'!$A$3:$H$10000,8,FALSE),"0")</f>
        <v>0</v>
      </c>
      <c r="P7729" s="33">
        <f t="shared" si="480"/>
        <v>0</v>
      </c>
      <c r="Q7729" s="31" t="str">
        <f t="shared" si="481"/>
        <v/>
      </c>
      <c r="R7729" s="32" t="str">
        <f>IFERROR(VLOOKUP($D7729,'Informations sur les produits'!$A$3:$B$15000,2,FALSE),"")</f>
        <v/>
      </c>
      <c r="V7729">
        <f t="shared" si="482"/>
        <v>0</v>
      </c>
      <c r="W7729">
        <f t="shared" si="483"/>
        <v>0</v>
      </c>
    </row>
    <row r="7730" spans="5:23" x14ac:dyDescent="0.25">
      <c r="E7730" s="4"/>
      <c r="F7730" s="4"/>
      <c r="G7730" s="33" t="str">
        <f>IFERROR(VLOOKUP($D7730,'Informations sur les produits'!$A$3:$H$10000,8,FALSE),"0")</f>
        <v>0</v>
      </c>
      <c r="K7730" s="4"/>
      <c r="L7730" s="33" t="str">
        <f>IFERROR(VLOOKUP($J7730,'Informations sur les produits'!$A$3:$H$10000,8,FALSE),"0")</f>
        <v>0</v>
      </c>
      <c r="N7730" s="8"/>
      <c r="O7730" s="33" t="str">
        <f>IFERROR(VLOOKUP($M7730,'Informations sur les produits'!$A$3:$H$10000,8,FALSE),"0")</f>
        <v>0</v>
      </c>
      <c r="P7730" s="33">
        <f t="shared" si="480"/>
        <v>0</v>
      </c>
      <c r="Q7730" s="31" t="str">
        <f t="shared" si="481"/>
        <v/>
      </c>
      <c r="R7730" s="32" t="str">
        <f>IFERROR(VLOOKUP($D7730,'Informations sur les produits'!$A$3:$B$15000,2,FALSE),"")</f>
        <v/>
      </c>
      <c r="V7730">
        <f t="shared" si="482"/>
        <v>0</v>
      </c>
      <c r="W7730">
        <f t="shared" si="483"/>
        <v>0</v>
      </c>
    </row>
    <row r="7731" spans="5:23" x14ac:dyDescent="0.25">
      <c r="E7731" s="4"/>
      <c r="F7731" s="4"/>
      <c r="G7731" s="33" t="str">
        <f>IFERROR(VLOOKUP($D7731,'Informations sur les produits'!$A$3:$H$10000,8,FALSE),"0")</f>
        <v>0</v>
      </c>
      <c r="K7731" s="4"/>
      <c r="L7731" s="33" t="str">
        <f>IFERROR(VLOOKUP($J7731,'Informations sur les produits'!$A$3:$H$10000,8,FALSE),"0")</f>
        <v>0</v>
      </c>
      <c r="N7731" s="8"/>
      <c r="O7731" s="33" t="str">
        <f>IFERROR(VLOOKUP($M7731,'Informations sur les produits'!$A$3:$H$10000,8,FALSE),"0")</f>
        <v>0</v>
      </c>
      <c r="P7731" s="33">
        <f t="shared" si="480"/>
        <v>0</v>
      </c>
      <c r="Q7731" s="31" t="str">
        <f t="shared" si="481"/>
        <v/>
      </c>
      <c r="R7731" s="32" t="str">
        <f>IFERROR(VLOOKUP($D7731,'Informations sur les produits'!$A$3:$B$15000,2,FALSE),"")</f>
        <v/>
      </c>
      <c r="V7731">
        <f t="shared" si="482"/>
        <v>0</v>
      </c>
      <c r="W7731">
        <f t="shared" si="483"/>
        <v>0</v>
      </c>
    </row>
    <row r="7732" spans="5:23" x14ac:dyDescent="0.25">
      <c r="E7732" s="4"/>
      <c r="F7732" s="4"/>
      <c r="G7732" s="33" t="str">
        <f>IFERROR(VLOOKUP($D7732,'Informations sur les produits'!$A$3:$H$10000,8,FALSE),"0")</f>
        <v>0</v>
      </c>
      <c r="K7732" s="4"/>
      <c r="L7732" s="33" t="str">
        <f>IFERROR(VLOOKUP($J7732,'Informations sur les produits'!$A$3:$H$10000,8,FALSE),"0")</f>
        <v>0</v>
      </c>
      <c r="N7732" s="8"/>
      <c r="O7732" s="33" t="str">
        <f>IFERROR(VLOOKUP($M7732,'Informations sur les produits'!$A$3:$H$10000,8,FALSE),"0")</f>
        <v>0</v>
      </c>
      <c r="P7732" s="33">
        <f t="shared" si="480"/>
        <v>0</v>
      </c>
      <c r="Q7732" s="31" t="str">
        <f t="shared" si="481"/>
        <v/>
      </c>
      <c r="R7732" s="32" t="str">
        <f>IFERROR(VLOOKUP($D7732,'Informations sur les produits'!$A$3:$B$15000,2,FALSE),"")</f>
        <v/>
      </c>
      <c r="V7732">
        <f t="shared" si="482"/>
        <v>0</v>
      </c>
      <c r="W7732">
        <f t="shared" si="483"/>
        <v>0</v>
      </c>
    </row>
    <row r="7733" spans="5:23" x14ac:dyDescent="0.25">
      <c r="E7733" s="4"/>
      <c r="F7733" s="4"/>
      <c r="G7733" s="33" t="str">
        <f>IFERROR(VLOOKUP($D7733,'Informations sur les produits'!$A$3:$H$10000,8,FALSE),"0")</f>
        <v>0</v>
      </c>
      <c r="K7733" s="4"/>
      <c r="L7733" s="33" t="str">
        <f>IFERROR(VLOOKUP($J7733,'Informations sur les produits'!$A$3:$H$10000,8,FALSE),"0")</f>
        <v>0</v>
      </c>
      <c r="N7733" s="8"/>
      <c r="O7733" s="33" t="str">
        <f>IFERROR(VLOOKUP($M7733,'Informations sur les produits'!$A$3:$H$10000,8,FALSE),"0")</f>
        <v>0</v>
      </c>
      <c r="P7733" s="33">
        <f t="shared" si="480"/>
        <v>0</v>
      </c>
      <c r="Q7733" s="31" t="str">
        <f t="shared" si="481"/>
        <v/>
      </c>
      <c r="R7733" s="32" t="str">
        <f>IFERROR(VLOOKUP($D7733,'Informations sur les produits'!$A$3:$B$15000,2,FALSE),"")</f>
        <v/>
      </c>
      <c r="V7733">
        <f t="shared" si="482"/>
        <v>0</v>
      </c>
      <c r="W7733">
        <f t="shared" si="483"/>
        <v>0</v>
      </c>
    </row>
    <row r="7734" spans="5:23" x14ac:dyDescent="0.25">
      <c r="E7734" s="4"/>
      <c r="F7734" s="4"/>
      <c r="G7734" s="33" t="str">
        <f>IFERROR(VLOOKUP($D7734,'Informations sur les produits'!$A$3:$H$10000,8,FALSE),"0")</f>
        <v>0</v>
      </c>
      <c r="K7734" s="4"/>
      <c r="L7734" s="33" t="str">
        <f>IFERROR(VLOOKUP($J7734,'Informations sur les produits'!$A$3:$H$10000,8,FALSE),"0")</f>
        <v>0</v>
      </c>
      <c r="N7734" s="8"/>
      <c r="O7734" s="33" t="str">
        <f>IFERROR(VLOOKUP($M7734,'Informations sur les produits'!$A$3:$H$10000,8,FALSE),"0")</f>
        <v>0</v>
      </c>
      <c r="P7734" s="33">
        <f t="shared" si="480"/>
        <v>0</v>
      </c>
      <c r="Q7734" s="31" t="str">
        <f t="shared" si="481"/>
        <v/>
      </c>
      <c r="R7734" s="32" t="str">
        <f>IFERROR(VLOOKUP($D7734,'Informations sur les produits'!$A$3:$B$15000,2,FALSE),"")</f>
        <v/>
      </c>
      <c r="V7734">
        <f t="shared" si="482"/>
        <v>0</v>
      </c>
      <c r="W7734">
        <f t="shared" si="483"/>
        <v>0</v>
      </c>
    </row>
    <row r="7735" spans="5:23" x14ac:dyDescent="0.25">
      <c r="E7735" s="4"/>
      <c r="F7735" s="4"/>
      <c r="G7735" s="33" t="str">
        <f>IFERROR(VLOOKUP($D7735,'Informations sur les produits'!$A$3:$H$10000,8,FALSE),"0")</f>
        <v>0</v>
      </c>
      <c r="K7735" s="4"/>
      <c r="L7735" s="33" t="str">
        <f>IFERROR(VLOOKUP($J7735,'Informations sur les produits'!$A$3:$H$10000,8,FALSE),"0")</f>
        <v>0</v>
      </c>
      <c r="N7735" s="8"/>
      <c r="O7735" s="33" t="str">
        <f>IFERROR(VLOOKUP($M7735,'Informations sur les produits'!$A$3:$H$10000,8,FALSE),"0")</f>
        <v>0</v>
      </c>
      <c r="P7735" s="33">
        <f t="shared" si="480"/>
        <v>0</v>
      </c>
      <c r="Q7735" s="31" t="str">
        <f t="shared" si="481"/>
        <v/>
      </c>
      <c r="R7735" s="32" t="str">
        <f>IFERROR(VLOOKUP($D7735,'Informations sur les produits'!$A$3:$B$15000,2,FALSE),"")</f>
        <v/>
      </c>
      <c r="V7735">
        <f t="shared" si="482"/>
        <v>0</v>
      </c>
      <c r="W7735">
        <f t="shared" si="483"/>
        <v>0</v>
      </c>
    </row>
    <row r="7736" spans="5:23" x14ac:dyDescent="0.25">
      <c r="E7736" s="4"/>
      <c r="F7736" s="4"/>
      <c r="G7736" s="33" t="str">
        <f>IFERROR(VLOOKUP($D7736,'Informations sur les produits'!$A$3:$H$10000,8,FALSE),"0")</f>
        <v>0</v>
      </c>
      <c r="K7736" s="4"/>
      <c r="L7736" s="33" t="str">
        <f>IFERROR(VLOOKUP($J7736,'Informations sur les produits'!$A$3:$H$10000,8,FALSE),"0")</f>
        <v>0</v>
      </c>
      <c r="N7736" s="8"/>
      <c r="O7736" s="33" t="str">
        <f>IFERROR(VLOOKUP($M7736,'Informations sur les produits'!$A$3:$H$10000,8,FALSE),"0")</f>
        <v>0</v>
      </c>
      <c r="P7736" s="33">
        <f t="shared" si="480"/>
        <v>0</v>
      </c>
      <c r="Q7736" s="31" t="str">
        <f t="shared" si="481"/>
        <v/>
      </c>
      <c r="R7736" s="32" t="str">
        <f>IFERROR(VLOOKUP($D7736,'Informations sur les produits'!$A$3:$B$15000,2,FALSE),"")</f>
        <v/>
      </c>
      <c r="V7736">
        <f t="shared" si="482"/>
        <v>0</v>
      </c>
      <c r="W7736">
        <f t="shared" si="483"/>
        <v>0</v>
      </c>
    </row>
    <row r="7737" spans="5:23" x14ac:dyDescent="0.25">
      <c r="E7737" s="4"/>
      <c r="F7737" s="4"/>
      <c r="G7737" s="33" t="str">
        <f>IFERROR(VLOOKUP($D7737,'Informations sur les produits'!$A$3:$H$10000,8,FALSE),"0")</f>
        <v>0</v>
      </c>
      <c r="K7737" s="4"/>
      <c r="L7737" s="33" t="str">
        <f>IFERROR(VLOOKUP($J7737,'Informations sur les produits'!$A$3:$H$10000,8,FALSE),"0")</f>
        <v>0</v>
      </c>
      <c r="N7737" s="8"/>
      <c r="O7737" s="33" t="str">
        <f>IFERROR(VLOOKUP($M7737,'Informations sur les produits'!$A$3:$H$10000,8,FALSE),"0")</f>
        <v>0</v>
      </c>
      <c r="P7737" s="33">
        <f t="shared" si="480"/>
        <v>0</v>
      </c>
      <c r="Q7737" s="31" t="str">
        <f t="shared" si="481"/>
        <v/>
      </c>
      <c r="R7737" s="32" t="str">
        <f>IFERROR(VLOOKUP($D7737,'Informations sur les produits'!$A$3:$B$15000,2,FALSE),"")</f>
        <v/>
      </c>
      <c r="V7737">
        <f t="shared" si="482"/>
        <v>0</v>
      </c>
      <c r="W7737">
        <f t="shared" si="483"/>
        <v>0</v>
      </c>
    </row>
    <row r="7738" spans="5:23" x14ac:dyDescent="0.25">
      <c r="E7738" s="4"/>
      <c r="F7738" s="4"/>
      <c r="G7738" s="33" t="str">
        <f>IFERROR(VLOOKUP($D7738,'Informations sur les produits'!$A$3:$H$10000,8,FALSE),"0")</f>
        <v>0</v>
      </c>
      <c r="K7738" s="4"/>
      <c r="L7738" s="33" t="str">
        <f>IFERROR(VLOOKUP($J7738,'Informations sur les produits'!$A$3:$H$10000,8,FALSE),"0")</f>
        <v>0</v>
      </c>
      <c r="N7738" s="8"/>
      <c r="O7738" s="33" t="str">
        <f>IFERROR(VLOOKUP($M7738,'Informations sur les produits'!$A$3:$H$10000,8,FALSE),"0")</f>
        <v>0</v>
      </c>
      <c r="P7738" s="33">
        <f t="shared" si="480"/>
        <v>0</v>
      </c>
      <c r="Q7738" s="31" t="str">
        <f t="shared" si="481"/>
        <v/>
      </c>
      <c r="R7738" s="32" t="str">
        <f>IFERROR(VLOOKUP($D7738,'Informations sur les produits'!$A$3:$B$15000,2,FALSE),"")</f>
        <v/>
      </c>
      <c r="V7738">
        <f t="shared" si="482"/>
        <v>0</v>
      </c>
      <c r="W7738">
        <f t="shared" si="483"/>
        <v>0</v>
      </c>
    </row>
    <row r="7739" spans="5:23" x14ac:dyDescent="0.25">
      <c r="E7739" s="4"/>
      <c r="F7739" s="4"/>
      <c r="G7739" s="33" t="str">
        <f>IFERROR(VLOOKUP($D7739,'Informations sur les produits'!$A$3:$H$10000,8,FALSE),"0")</f>
        <v>0</v>
      </c>
      <c r="K7739" s="4"/>
      <c r="L7739" s="33" t="str">
        <f>IFERROR(VLOOKUP($J7739,'Informations sur les produits'!$A$3:$H$10000,8,FALSE),"0")</f>
        <v>0</v>
      </c>
      <c r="N7739" s="8"/>
      <c r="O7739" s="33" t="str">
        <f>IFERROR(VLOOKUP($M7739,'Informations sur les produits'!$A$3:$H$10000,8,FALSE),"0")</f>
        <v>0</v>
      </c>
      <c r="P7739" s="33">
        <f t="shared" si="480"/>
        <v>0</v>
      </c>
      <c r="Q7739" s="31" t="str">
        <f t="shared" si="481"/>
        <v/>
      </c>
      <c r="R7739" s="32" t="str">
        <f>IFERROR(VLOOKUP($D7739,'Informations sur les produits'!$A$3:$B$15000,2,FALSE),"")</f>
        <v/>
      </c>
      <c r="V7739">
        <f t="shared" si="482"/>
        <v>0</v>
      </c>
      <c r="W7739">
        <f t="shared" si="483"/>
        <v>0</v>
      </c>
    </row>
    <row r="7740" spans="5:23" x14ac:dyDescent="0.25">
      <c r="E7740" s="4"/>
      <c r="F7740" s="4"/>
      <c r="G7740" s="33" t="str">
        <f>IFERROR(VLOOKUP($D7740,'Informations sur les produits'!$A$3:$H$10000,8,FALSE),"0")</f>
        <v>0</v>
      </c>
      <c r="K7740" s="4"/>
      <c r="L7740" s="33" t="str">
        <f>IFERROR(VLOOKUP($J7740,'Informations sur les produits'!$A$3:$H$10000,8,FALSE),"0")</f>
        <v>0</v>
      </c>
      <c r="N7740" s="8"/>
      <c r="O7740" s="33" t="str">
        <f>IFERROR(VLOOKUP($M7740,'Informations sur les produits'!$A$3:$H$10000,8,FALSE),"0")</f>
        <v>0</v>
      </c>
      <c r="P7740" s="33">
        <f t="shared" si="480"/>
        <v>0</v>
      </c>
      <c r="Q7740" s="31" t="str">
        <f t="shared" si="481"/>
        <v/>
      </c>
      <c r="R7740" s="32" t="str">
        <f>IFERROR(VLOOKUP($D7740,'Informations sur les produits'!$A$3:$B$15000,2,FALSE),"")</f>
        <v/>
      </c>
      <c r="V7740">
        <f t="shared" si="482"/>
        <v>0</v>
      </c>
      <c r="W7740">
        <f t="shared" si="483"/>
        <v>0</v>
      </c>
    </row>
    <row r="7741" spans="5:23" x14ac:dyDescent="0.25">
      <c r="E7741" s="4"/>
      <c r="F7741" s="4"/>
      <c r="G7741" s="33" t="str">
        <f>IFERROR(VLOOKUP($D7741,'Informations sur les produits'!$A$3:$H$10000,8,FALSE),"0")</f>
        <v>0</v>
      </c>
      <c r="K7741" s="4"/>
      <c r="L7741" s="33" t="str">
        <f>IFERROR(VLOOKUP($J7741,'Informations sur les produits'!$A$3:$H$10000,8,FALSE),"0")</f>
        <v>0</v>
      </c>
      <c r="N7741" s="8"/>
      <c r="O7741" s="33" t="str">
        <f>IFERROR(VLOOKUP($M7741,'Informations sur les produits'!$A$3:$H$10000,8,FALSE),"0")</f>
        <v>0</v>
      </c>
      <c r="P7741" s="33">
        <f t="shared" si="480"/>
        <v>0</v>
      </c>
      <c r="Q7741" s="31" t="str">
        <f t="shared" si="481"/>
        <v/>
      </c>
      <c r="R7741" s="32" t="str">
        <f>IFERROR(VLOOKUP($D7741,'Informations sur les produits'!$A$3:$B$15000,2,FALSE),"")</f>
        <v/>
      </c>
      <c r="V7741">
        <f t="shared" si="482"/>
        <v>0</v>
      </c>
      <c r="W7741">
        <f t="shared" si="483"/>
        <v>0</v>
      </c>
    </row>
    <row r="7742" spans="5:23" x14ac:dyDescent="0.25">
      <c r="E7742" s="4"/>
      <c r="F7742" s="4"/>
      <c r="G7742" s="33" t="str">
        <f>IFERROR(VLOOKUP($D7742,'Informations sur les produits'!$A$3:$H$10000,8,FALSE),"0")</f>
        <v>0</v>
      </c>
      <c r="K7742" s="4"/>
      <c r="L7742" s="33" t="str">
        <f>IFERROR(VLOOKUP($J7742,'Informations sur les produits'!$A$3:$H$10000,8,FALSE),"0")</f>
        <v>0</v>
      </c>
      <c r="N7742" s="8"/>
      <c r="O7742" s="33" t="str">
        <f>IFERROR(VLOOKUP($M7742,'Informations sur les produits'!$A$3:$H$10000,8,FALSE),"0")</f>
        <v>0</v>
      </c>
      <c r="P7742" s="33">
        <f t="shared" si="480"/>
        <v>0</v>
      </c>
      <c r="Q7742" s="31" t="str">
        <f t="shared" si="481"/>
        <v/>
      </c>
      <c r="R7742" s="32" t="str">
        <f>IFERROR(VLOOKUP($D7742,'Informations sur les produits'!$A$3:$B$15000,2,FALSE),"")</f>
        <v/>
      </c>
      <c r="V7742">
        <f t="shared" si="482"/>
        <v>0</v>
      </c>
      <c r="W7742">
        <f t="shared" si="483"/>
        <v>0</v>
      </c>
    </row>
    <row r="7743" spans="5:23" x14ac:dyDescent="0.25">
      <c r="E7743" s="4"/>
      <c r="F7743" s="4"/>
      <c r="G7743" s="33" t="str">
        <f>IFERROR(VLOOKUP($D7743,'Informations sur les produits'!$A$3:$H$10000,8,FALSE),"0")</f>
        <v>0</v>
      </c>
      <c r="K7743" s="4"/>
      <c r="L7743" s="33" t="str">
        <f>IFERROR(VLOOKUP($J7743,'Informations sur les produits'!$A$3:$H$10000,8,FALSE),"0")</f>
        <v>0</v>
      </c>
      <c r="N7743" s="8"/>
      <c r="O7743" s="33" t="str">
        <f>IFERROR(VLOOKUP($M7743,'Informations sur les produits'!$A$3:$H$10000,8,FALSE),"0")</f>
        <v>0</v>
      </c>
      <c r="P7743" s="33">
        <f t="shared" si="480"/>
        <v>0</v>
      </c>
      <c r="Q7743" s="31" t="str">
        <f t="shared" si="481"/>
        <v/>
      </c>
      <c r="R7743" s="32" t="str">
        <f>IFERROR(VLOOKUP($D7743,'Informations sur les produits'!$A$3:$B$15000,2,FALSE),"")</f>
        <v/>
      </c>
      <c r="V7743">
        <f t="shared" si="482"/>
        <v>0</v>
      </c>
      <c r="W7743">
        <f t="shared" si="483"/>
        <v>0</v>
      </c>
    </row>
    <row r="7744" spans="5:23" x14ac:dyDescent="0.25">
      <c r="E7744" s="4"/>
      <c r="F7744" s="4"/>
      <c r="G7744" s="33" t="str">
        <f>IFERROR(VLOOKUP($D7744,'Informations sur les produits'!$A$3:$H$10000,8,FALSE),"0")</f>
        <v>0</v>
      </c>
      <c r="K7744" s="4"/>
      <c r="L7744" s="33" t="str">
        <f>IFERROR(VLOOKUP($J7744,'Informations sur les produits'!$A$3:$H$10000,8,FALSE),"0")</f>
        <v>0</v>
      </c>
      <c r="N7744" s="8"/>
      <c r="O7744" s="33" t="str">
        <f>IFERROR(VLOOKUP($M7744,'Informations sur les produits'!$A$3:$H$10000,8,FALSE),"0")</f>
        <v>0</v>
      </c>
      <c r="P7744" s="33">
        <f t="shared" si="480"/>
        <v>0</v>
      </c>
      <c r="Q7744" s="31" t="str">
        <f t="shared" si="481"/>
        <v/>
      </c>
      <c r="R7744" s="32" t="str">
        <f>IFERROR(VLOOKUP($D7744,'Informations sur les produits'!$A$3:$B$15000,2,FALSE),"")</f>
        <v/>
      </c>
      <c r="V7744">
        <f t="shared" si="482"/>
        <v>0</v>
      </c>
      <c r="W7744">
        <f t="shared" si="483"/>
        <v>0</v>
      </c>
    </row>
    <row r="7745" spans="5:23" x14ac:dyDescent="0.25">
      <c r="E7745" s="4"/>
      <c r="F7745" s="4"/>
      <c r="G7745" s="33" t="str">
        <f>IFERROR(VLOOKUP($D7745,'Informations sur les produits'!$A$3:$H$10000,8,FALSE),"0")</f>
        <v>0</v>
      </c>
      <c r="K7745" s="4"/>
      <c r="L7745" s="33" t="str">
        <f>IFERROR(VLOOKUP($J7745,'Informations sur les produits'!$A$3:$H$10000,8,FALSE),"0")</f>
        <v>0</v>
      </c>
      <c r="N7745" s="8"/>
      <c r="O7745" s="33" t="str">
        <f>IFERROR(VLOOKUP($M7745,'Informations sur les produits'!$A$3:$H$10000,8,FALSE),"0")</f>
        <v>0</v>
      </c>
      <c r="P7745" s="33">
        <f t="shared" si="480"/>
        <v>0</v>
      </c>
      <c r="Q7745" s="31" t="str">
        <f t="shared" si="481"/>
        <v/>
      </c>
      <c r="R7745" s="32" t="str">
        <f>IFERROR(VLOOKUP($D7745,'Informations sur les produits'!$A$3:$B$15000,2,FALSE),"")</f>
        <v/>
      </c>
      <c r="V7745">
        <f t="shared" si="482"/>
        <v>0</v>
      </c>
      <c r="W7745">
        <f t="shared" si="483"/>
        <v>0</v>
      </c>
    </row>
    <row r="7746" spans="5:23" x14ac:dyDescent="0.25">
      <c r="E7746" s="4"/>
      <c r="F7746" s="4"/>
      <c r="G7746" s="33" t="str">
        <f>IFERROR(VLOOKUP($D7746,'Informations sur les produits'!$A$3:$H$10000,8,FALSE),"0")</f>
        <v>0</v>
      </c>
      <c r="K7746" s="4"/>
      <c r="L7746" s="33" t="str">
        <f>IFERROR(VLOOKUP($J7746,'Informations sur les produits'!$A$3:$H$10000,8,FALSE),"0")</f>
        <v>0</v>
      </c>
      <c r="N7746" s="8"/>
      <c r="O7746" s="33" t="str">
        <f>IFERROR(VLOOKUP($M7746,'Informations sur les produits'!$A$3:$H$10000,8,FALSE),"0")</f>
        <v>0</v>
      </c>
      <c r="P7746" s="33">
        <f t="shared" si="480"/>
        <v>0</v>
      </c>
      <c r="Q7746" s="31" t="str">
        <f t="shared" si="481"/>
        <v/>
      </c>
      <c r="R7746" s="32" t="str">
        <f>IFERROR(VLOOKUP($D7746,'Informations sur les produits'!$A$3:$B$15000,2,FALSE),"")</f>
        <v/>
      </c>
      <c r="V7746">
        <f t="shared" si="482"/>
        <v>0</v>
      </c>
      <c r="W7746">
        <f t="shared" si="483"/>
        <v>0</v>
      </c>
    </row>
    <row r="7747" spans="5:23" x14ac:dyDescent="0.25">
      <c r="E7747" s="4"/>
      <c r="F7747" s="4"/>
      <c r="G7747" s="33" t="str">
        <f>IFERROR(VLOOKUP($D7747,'Informations sur les produits'!$A$3:$H$10000,8,FALSE),"0")</f>
        <v>0</v>
      </c>
      <c r="K7747" s="4"/>
      <c r="L7747" s="33" t="str">
        <f>IFERROR(VLOOKUP($J7747,'Informations sur les produits'!$A$3:$H$10000,8,FALSE),"0")</f>
        <v>0</v>
      </c>
      <c r="N7747" s="8"/>
      <c r="O7747" s="33" t="str">
        <f>IFERROR(VLOOKUP($M7747,'Informations sur les produits'!$A$3:$H$10000,8,FALSE),"0")</f>
        <v>0</v>
      </c>
      <c r="P7747" s="33">
        <f t="shared" si="480"/>
        <v>0</v>
      </c>
      <c r="Q7747" s="31" t="str">
        <f t="shared" si="481"/>
        <v/>
      </c>
      <c r="R7747" s="32" t="str">
        <f>IFERROR(VLOOKUP($D7747,'Informations sur les produits'!$A$3:$B$15000,2,FALSE),"")</f>
        <v/>
      </c>
      <c r="V7747">
        <f t="shared" si="482"/>
        <v>0</v>
      </c>
      <c r="W7747">
        <f t="shared" si="483"/>
        <v>0</v>
      </c>
    </row>
    <row r="7748" spans="5:23" x14ac:dyDescent="0.25">
      <c r="E7748" s="4"/>
      <c r="F7748" s="4"/>
      <c r="G7748" s="33" t="str">
        <f>IFERROR(VLOOKUP($D7748,'Informations sur les produits'!$A$3:$H$10000,8,FALSE),"0")</f>
        <v>0</v>
      </c>
      <c r="K7748" s="4"/>
      <c r="L7748" s="33" t="str">
        <f>IFERROR(VLOOKUP($J7748,'Informations sur les produits'!$A$3:$H$10000,8,FALSE),"0")</f>
        <v>0</v>
      </c>
      <c r="N7748" s="8"/>
      <c r="O7748" s="33" t="str">
        <f>IFERROR(VLOOKUP($M7748,'Informations sur les produits'!$A$3:$H$10000,8,FALSE),"0")</f>
        <v>0</v>
      </c>
      <c r="P7748" s="33">
        <f t="shared" ref="P7748:P7811" si="484">IFERROR((($E7748-$F7748)*$G7748+$K7748*$L7748+$N7748*$O7748),"")</f>
        <v>0</v>
      </c>
      <c r="Q7748" s="31" t="str">
        <f t="shared" ref="Q7748:Q7811" si="485">IFERROR((((($E7748-$F7748)*$G7748+$K7748*$L7748+$N7748*$O7748)*1000)/(($E7748-$F7748)+$K7748+$N7748)),"")</f>
        <v/>
      </c>
      <c r="R7748" s="32" t="str">
        <f>IFERROR(VLOOKUP($D7748,'Informations sur les produits'!$A$3:$B$15000,2,FALSE),"")</f>
        <v/>
      </c>
      <c r="V7748">
        <f t="shared" ref="V7748:V7811" si="486">IFERROR(P7748*1000,"")</f>
        <v>0</v>
      </c>
      <c r="W7748">
        <f t="shared" ref="W7748:W7811" si="487">IFERROR(($E7748-$F7748)+$K7748+$N7748,"")</f>
        <v>0</v>
      </c>
    </row>
    <row r="7749" spans="5:23" x14ac:dyDescent="0.25">
      <c r="E7749" s="4"/>
      <c r="F7749" s="4"/>
      <c r="G7749" s="33" t="str">
        <f>IFERROR(VLOOKUP($D7749,'Informations sur les produits'!$A$3:$H$10000,8,FALSE),"0")</f>
        <v>0</v>
      </c>
      <c r="K7749" s="4"/>
      <c r="L7749" s="33" t="str">
        <f>IFERROR(VLOOKUP($J7749,'Informations sur les produits'!$A$3:$H$10000,8,FALSE),"0")</f>
        <v>0</v>
      </c>
      <c r="N7749" s="8"/>
      <c r="O7749" s="33" t="str">
        <f>IFERROR(VLOOKUP($M7749,'Informations sur les produits'!$A$3:$H$10000,8,FALSE),"0")</f>
        <v>0</v>
      </c>
      <c r="P7749" s="33">
        <f t="shared" si="484"/>
        <v>0</v>
      </c>
      <c r="Q7749" s="31" t="str">
        <f t="shared" si="485"/>
        <v/>
      </c>
      <c r="R7749" s="32" t="str">
        <f>IFERROR(VLOOKUP($D7749,'Informations sur les produits'!$A$3:$B$15000,2,FALSE),"")</f>
        <v/>
      </c>
      <c r="V7749">
        <f t="shared" si="486"/>
        <v>0</v>
      </c>
      <c r="W7749">
        <f t="shared" si="487"/>
        <v>0</v>
      </c>
    </row>
    <row r="7750" spans="5:23" x14ac:dyDescent="0.25">
      <c r="E7750" s="4"/>
      <c r="F7750" s="4"/>
      <c r="G7750" s="33" t="str">
        <f>IFERROR(VLOOKUP($D7750,'Informations sur les produits'!$A$3:$H$10000,8,FALSE),"0")</f>
        <v>0</v>
      </c>
      <c r="K7750" s="4"/>
      <c r="L7750" s="33" t="str">
        <f>IFERROR(VLOOKUP($J7750,'Informations sur les produits'!$A$3:$H$10000,8,FALSE),"0")</f>
        <v>0</v>
      </c>
      <c r="N7750" s="8"/>
      <c r="O7750" s="33" t="str">
        <f>IFERROR(VLOOKUP($M7750,'Informations sur les produits'!$A$3:$H$10000,8,FALSE),"0")</f>
        <v>0</v>
      </c>
      <c r="P7750" s="33">
        <f t="shared" si="484"/>
        <v>0</v>
      </c>
      <c r="Q7750" s="31" t="str">
        <f t="shared" si="485"/>
        <v/>
      </c>
      <c r="R7750" s="32" t="str">
        <f>IFERROR(VLOOKUP($D7750,'Informations sur les produits'!$A$3:$B$15000,2,FALSE),"")</f>
        <v/>
      </c>
      <c r="V7750">
        <f t="shared" si="486"/>
        <v>0</v>
      </c>
      <c r="W7750">
        <f t="shared" si="487"/>
        <v>0</v>
      </c>
    </row>
    <row r="7751" spans="5:23" x14ac:dyDescent="0.25">
      <c r="E7751" s="4"/>
      <c r="F7751" s="4"/>
      <c r="G7751" s="33" t="str">
        <f>IFERROR(VLOOKUP($D7751,'Informations sur les produits'!$A$3:$H$10000,8,FALSE),"0")</f>
        <v>0</v>
      </c>
      <c r="K7751" s="4"/>
      <c r="L7751" s="33" t="str">
        <f>IFERROR(VLOOKUP($J7751,'Informations sur les produits'!$A$3:$H$10000,8,FALSE),"0")</f>
        <v>0</v>
      </c>
      <c r="N7751" s="8"/>
      <c r="O7751" s="33" t="str">
        <f>IFERROR(VLOOKUP($M7751,'Informations sur les produits'!$A$3:$H$10000,8,FALSE),"0")</f>
        <v>0</v>
      </c>
      <c r="P7751" s="33">
        <f t="shared" si="484"/>
        <v>0</v>
      </c>
      <c r="Q7751" s="31" t="str">
        <f t="shared" si="485"/>
        <v/>
      </c>
      <c r="R7751" s="32" t="str">
        <f>IFERROR(VLOOKUP($D7751,'Informations sur les produits'!$A$3:$B$15000,2,FALSE),"")</f>
        <v/>
      </c>
      <c r="V7751">
        <f t="shared" si="486"/>
        <v>0</v>
      </c>
      <c r="W7751">
        <f t="shared" si="487"/>
        <v>0</v>
      </c>
    </row>
    <row r="7752" spans="5:23" x14ac:dyDescent="0.25">
      <c r="E7752" s="4"/>
      <c r="F7752" s="4"/>
      <c r="G7752" s="33" t="str">
        <f>IFERROR(VLOOKUP($D7752,'Informations sur les produits'!$A$3:$H$10000,8,FALSE),"0")</f>
        <v>0</v>
      </c>
      <c r="K7752" s="4"/>
      <c r="L7752" s="33" t="str">
        <f>IFERROR(VLOOKUP($J7752,'Informations sur les produits'!$A$3:$H$10000,8,FALSE),"0")</f>
        <v>0</v>
      </c>
      <c r="N7752" s="8"/>
      <c r="O7752" s="33" t="str">
        <f>IFERROR(VLOOKUP($M7752,'Informations sur les produits'!$A$3:$H$10000,8,FALSE),"0")</f>
        <v>0</v>
      </c>
      <c r="P7752" s="33">
        <f t="shared" si="484"/>
        <v>0</v>
      </c>
      <c r="Q7752" s="31" t="str">
        <f t="shared" si="485"/>
        <v/>
      </c>
      <c r="R7752" s="32" t="str">
        <f>IFERROR(VLOOKUP($D7752,'Informations sur les produits'!$A$3:$B$15000,2,FALSE),"")</f>
        <v/>
      </c>
      <c r="V7752">
        <f t="shared" si="486"/>
        <v>0</v>
      </c>
      <c r="W7752">
        <f t="shared" si="487"/>
        <v>0</v>
      </c>
    </row>
    <row r="7753" spans="5:23" x14ac:dyDescent="0.25">
      <c r="E7753" s="4"/>
      <c r="F7753" s="4"/>
      <c r="G7753" s="33" t="str">
        <f>IFERROR(VLOOKUP($D7753,'Informations sur les produits'!$A$3:$H$10000,8,FALSE),"0")</f>
        <v>0</v>
      </c>
      <c r="K7753" s="4"/>
      <c r="L7753" s="33" t="str">
        <f>IFERROR(VLOOKUP($J7753,'Informations sur les produits'!$A$3:$H$10000,8,FALSE),"0")</f>
        <v>0</v>
      </c>
      <c r="N7753" s="8"/>
      <c r="O7753" s="33" t="str">
        <f>IFERROR(VLOOKUP($M7753,'Informations sur les produits'!$A$3:$H$10000,8,FALSE),"0")</f>
        <v>0</v>
      </c>
      <c r="P7753" s="33">
        <f t="shared" si="484"/>
        <v>0</v>
      </c>
      <c r="Q7753" s="31" t="str">
        <f t="shared" si="485"/>
        <v/>
      </c>
      <c r="R7753" s="32" t="str">
        <f>IFERROR(VLOOKUP($D7753,'Informations sur les produits'!$A$3:$B$15000,2,FALSE),"")</f>
        <v/>
      </c>
      <c r="V7753">
        <f t="shared" si="486"/>
        <v>0</v>
      </c>
      <c r="W7753">
        <f t="shared" si="487"/>
        <v>0</v>
      </c>
    </row>
    <row r="7754" spans="5:23" x14ac:dyDescent="0.25">
      <c r="E7754" s="4"/>
      <c r="F7754" s="4"/>
      <c r="G7754" s="33" t="str">
        <f>IFERROR(VLOOKUP($D7754,'Informations sur les produits'!$A$3:$H$10000,8,FALSE),"0")</f>
        <v>0</v>
      </c>
      <c r="K7754" s="4"/>
      <c r="L7754" s="33" t="str">
        <f>IFERROR(VLOOKUP($J7754,'Informations sur les produits'!$A$3:$H$10000,8,FALSE),"0")</f>
        <v>0</v>
      </c>
      <c r="N7754" s="8"/>
      <c r="O7754" s="33" t="str">
        <f>IFERROR(VLOOKUP($M7754,'Informations sur les produits'!$A$3:$H$10000,8,FALSE),"0")</f>
        <v>0</v>
      </c>
      <c r="P7754" s="33">
        <f t="shared" si="484"/>
        <v>0</v>
      </c>
      <c r="Q7754" s="31" t="str">
        <f t="shared" si="485"/>
        <v/>
      </c>
      <c r="R7754" s="32" t="str">
        <f>IFERROR(VLOOKUP($D7754,'Informations sur les produits'!$A$3:$B$15000,2,FALSE),"")</f>
        <v/>
      </c>
      <c r="V7754">
        <f t="shared" si="486"/>
        <v>0</v>
      </c>
      <c r="W7754">
        <f t="shared" si="487"/>
        <v>0</v>
      </c>
    </row>
    <row r="7755" spans="5:23" x14ac:dyDescent="0.25">
      <c r="E7755" s="4"/>
      <c r="F7755" s="4"/>
      <c r="G7755" s="33" t="str">
        <f>IFERROR(VLOOKUP($D7755,'Informations sur les produits'!$A$3:$H$10000,8,FALSE),"0")</f>
        <v>0</v>
      </c>
      <c r="K7755" s="4"/>
      <c r="L7755" s="33" t="str">
        <f>IFERROR(VLOOKUP($J7755,'Informations sur les produits'!$A$3:$H$10000,8,FALSE),"0")</f>
        <v>0</v>
      </c>
      <c r="N7755" s="8"/>
      <c r="O7755" s="33" t="str">
        <f>IFERROR(VLOOKUP($M7755,'Informations sur les produits'!$A$3:$H$10000,8,FALSE),"0")</f>
        <v>0</v>
      </c>
      <c r="P7755" s="33">
        <f t="shared" si="484"/>
        <v>0</v>
      </c>
      <c r="Q7755" s="31" t="str">
        <f t="shared" si="485"/>
        <v/>
      </c>
      <c r="R7755" s="32" t="str">
        <f>IFERROR(VLOOKUP($D7755,'Informations sur les produits'!$A$3:$B$15000,2,FALSE),"")</f>
        <v/>
      </c>
      <c r="V7755">
        <f t="shared" si="486"/>
        <v>0</v>
      </c>
      <c r="W7755">
        <f t="shared" si="487"/>
        <v>0</v>
      </c>
    </row>
    <row r="7756" spans="5:23" x14ac:dyDescent="0.25">
      <c r="E7756" s="4"/>
      <c r="F7756" s="4"/>
      <c r="G7756" s="33" t="str">
        <f>IFERROR(VLOOKUP($D7756,'Informations sur les produits'!$A$3:$H$10000,8,FALSE),"0")</f>
        <v>0</v>
      </c>
      <c r="K7756" s="4"/>
      <c r="L7756" s="33" t="str">
        <f>IFERROR(VLOOKUP($J7756,'Informations sur les produits'!$A$3:$H$10000,8,FALSE),"0")</f>
        <v>0</v>
      </c>
      <c r="N7756" s="8"/>
      <c r="O7756" s="33" t="str">
        <f>IFERROR(VLOOKUP($M7756,'Informations sur les produits'!$A$3:$H$10000,8,FALSE),"0")</f>
        <v>0</v>
      </c>
      <c r="P7756" s="33">
        <f t="shared" si="484"/>
        <v>0</v>
      </c>
      <c r="Q7756" s="31" t="str">
        <f t="shared" si="485"/>
        <v/>
      </c>
      <c r="R7756" s="32" t="str">
        <f>IFERROR(VLOOKUP($D7756,'Informations sur les produits'!$A$3:$B$15000,2,FALSE),"")</f>
        <v/>
      </c>
      <c r="V7756">
        <f t="shared" si="486"/>
        <v>0</v>
      </c>
      <c r="W7756">
        <f t="shared" si="487"/>
        <v>0</v>
      </c>
    </row>
    <row r="7757" spans="5:23" x14ac:dyDescent="0.25">
      <c r="E7757" s="4"/>
      <c r="F7757" s="4"/>
      <c r="G7757" s="33" t="str">
        <f>IFERROR(VLOOKUP($D7757,'Informations sur les produits'!$A$3:$H$10000,8,FALSE),"0")</f>
        <v>0</v>
      </c>
      <c r="K7757" s="4"/>
      <c r="L7757" s="33" t="str">
        <f>IFERROR(VLOOKUP($J7757,'Informations sur les produits'!$A$3:$H$10000,8,FALSE),"0")</f>
        <v>0</v>
      </c>
      <c r="N7757" s="8"/>
      <c r="O7757" s="33" t="str">
        <f>IFERROR(VLOOKUP($M7757,'Informations sur les produits'!$A$3:$H$10000,8,FALSE),"0")</f>
        <v>0</v>
      </c>
      <c r="P7757" s="33">
        <f t="shared" si="484"/>
        <v>0</v>
      </c>
      <c r="Q7757" s="31" t="str">
        <f t="shared" si="485"/>
        <v/>
      </c>
      <c r="R7757" s="32" t="str">
        <f>IFERROR(VLOOKUP($D7757,'Informations sur les produits'!$A$3:$B$15000,2,FALSE),"")</f>
        <v/>
      </c>
      <c r="V7757">
        <f t="shared" si="486"/>
        <v>0</v>
      </c>
      <c r="W7757">
        <f t="shared" si="487"/>
        <v>0</v>
      </c>
    </row>
    <row r="7758" spans="5:23" x14ac:dyDescent="0.25">
      <c r="E7758" s="4"/>
      <c r="F7758" s="4"/>
      <c r="G7758" s="33" t="str">
        <f>IFERROR(VLOOKUP($D7758,'Informations sur les produits'!$A$3:$H$10000,8,FALSE),"0")</f>
        <v>0</v>
      </c>
      <c r="K7758" s="4"/>
      <c r="L7758" s="33" t="str">
        <f>IFERROR(VLOOKUP($J7758,'Informations sur les produits'!$A$3:$H$10000,8,FALSE),"0")</f>
        <v>0</v>
      </c>
      <c r="N7758" s="8"/>
      <c r="O7758" s="33" t="str">
        <f>IFERROR(VLOOKUP($M7758,'Informations sur les produits'!$A$3:$H$10000,8,FALSE),"0")</f>
        <v>0</v>
      </c>
      <c r="P7758" s="33">
        <f t="shared" si="484"/>
        <v>0</v>
      </c>
      <c r="Q7758" s="31" t="str">
        <f t="shared" si="485"/>
        <v/>
      </c>
      <c r="R7758" s="32" t="str">
        <f>IFERROR(VLOOKUP($D7758,'Informations sur les produits'!$A$3:$B$15000,2,FALSE),"")</f>
        <v/>
      </c>
      <c r="V7758">
        <f t="shared" si="486"/>
        <v>0</v>
      </c>
      <c r="W7758">
        <f t="shared" si="487"/>
        <v>0</v>
      </c>
    </row>
    <row r="7759" spans="5:23" x14ac:dyDescent="0.25">
      <c r="E7759" s="4"/>
      <c r="F7759" s="4"/>
      <c r="G7759" s="33" t="str">
        <f>IFERROR(VLOOKUP($D7759,'Informations sur les produits'!$A$3:$H$10000,8,FALSE),"0")</f>
        <v>0</v>
      </c>
      <c r="K7759" s="4"/>
      <c r="L7759" s="33" t="str">
        <f>IFERROR(VLOOKUP($J7759,'Informations sur les produits'!$A$3:$H$10000,8,FALSE),"0")</f>
        <v>0</v>
      </c>
      <c r="N7759" s="8"/>
      <c r="O7759" s="33" t="str">
        <f>IFERROR(VLOOKUP($M7759,'Informations sur les produits'!$A$3:$H$10000,8,FALSE),"0")</f>
        <v>0</v>
      </c>
      <c r="P7759" s="33">
        <f t="shared" si="484"/>
        <v>0</v>
      </c>
      <c r="Q7759" s="31" t="str">
        <f t="shared" si="485"/>
        <v/>
      </c>
      <c r="R7759" s="32" t="str">
        <f>IFERROR(VLOOKUP($D7759,'Informations sur les produits'!$A$3:$B$15000,2,FALSE),"")</f>
        <v/>
      </c>
      <c r="V7759">
        <f t="shared" si="486"/>
        <v>0</v>
      </c>
      <c r="W7759">
        <f t="shared" si="487"/>
        <v>0</v>
      </c>
    </row>
    <row r="7760" spans="5:23" x14ac:dyDescent="0.25">
      <c r="E7760" s="4"/>
      <c r="F7760" s="4"/>
      <c r="G7760" s="33" t="str">
        <f>IFERROR(VLOOKUP($D7760,'Informations sur les produits'!$A$3:$H$10000,8,FALSE),"0")</f>
        <v>0</v>
      </c>
      <c r="K7760" s="4"/>
      <c r="L7760" s="33" t="str">
        <f>IFERROR(VLOOKUP($J7760,'Informations sur les produits'!$A$3:$H$10000,8,FALSE),"0")</f>
        <v>0</v>
      </c>
      <c r="N7760" s="8"/>
      <c r="O7760" s="33" t="str">
        <f>IFERROR(VLOOKUP($M7760,'Informations sur les produits'!$A$3:$H$10000,8,FALSE),"0")</f>
        <v>0</v>
      </c>
      <c r="P7760" s="33">
        <f t="shared" si="484"/>
        <v>0</v>
      </c>
      <c r="Q7760" s="31" t="str">
        <f t="shared" si="485"/>
        <v/>
      </c>
      <c r="R7760" s="32" t="str">
        <f>IFERROR(VLOOKUP($D7760,'Informations sur les produits'!$A$3:$B$15000,2,FALSE),"")</f>
        <v/>
      </c>
      <c r="V7760">
        <f t="shared" si="486"/>
        <v>0</v>
      </c>
      <c r="W7760">
        <f t="shared" si="487"/>
        <v>0</v>
      </c>
    </row>
    <row r="7761" spans="5:23" x14ac:dyDescent="0.25">
      <c r="E7761" s="4"/>
      <c r="F7761" s="4"/>
      <c r="G7761" s="33" t="str">
        <f>IFERROR(VLOOKUP($D7761,'Informations sur les produits'!$A$3:$H$10000,8,FALSE),"0")</f>
        <v>0</v>
      </c>
      <c r="K7761" s="4"/>
      <c r="L7761" s="33" t="str">
        <f>IFERROR(VLOOKUP($J7761,'Informations sur les produits'!$A$3:$H$10000,8,FALSE),"0")</f>
        <v>0</v>
      </c>
      <c r="N7761" s="8"/>
      <c r="O7761" s="33" t="str">
        <f>IFERROR(VLOOKUP($M7761,'Informations sur les produits'!$A$3:$H$10000,8,FALSE),"0")</f>
        <v>0</v>
      </c>
      <c r="P7761" s="33">
        <f t="shared" si="484"/>
        <v>0</v>
      </c>
      <c r="Q7761" s="31" t="str">
        <f t="shared" si="485"/>
        <v/>
      </c>
      <c r="R7761" s="32" t="str">
        <f>IFERROR(VLOOKUP($D7761,'Informations sur les produits'!$A$3:$B$15000,2,FALSE),"")</f>
        <v/>
      </c>
      <c r="V7761">
        <f t="shared" si="486"/>
        <v>0</v>
      </c>
      <c r="W7761">
        <f t="shared" si="487"/>
        <v>0</v>
      </c>
    </row>
    <row r="7762" spans="5:23" x14ac:dyDescent="0.25">
      <c r="E7762" s="4"/>
      <c r="F7762" s="4"/>
      <c r="G7762" s="33" t="str">
        <f>IFERROR(VLOOKUP($D7762,'Informations sur les produits'!$A$3:$H$10000,8,FALSE),"0")</f>
        <v>0</v>
      </c>
      <c r="K7762" s="4"/>
      <c r="L7762" s="33" t="str">
        <f>IFERROR(VLOOKUP($J7762,'Informations sur les produits'!$A$3:$H$10000,8,FALSE),"0")</f>
        <v>0</v>
      </c>
      <c r="N7762" s="8"/>
      <c r="O7762" s="33" t="str">
        <f>IFERROR(VLOOKUP($M7762,'Informations sur les produits'!$A$3:$H$10000,8,FALSE),"0")</f>
        <v>0</v>
      </c>
      <c r="P7762" s="33">
        <f t="shared" si="484"/>
        <v>0</v>
      </c>
      <c r="Q7762" s="31" t="str">
        <f t="shared" si="485"/>
        <v/>
      </c>
      <c r="R7762" s="32" t="str">
        <f>IFERROR(VLOOKUP($D7762,'Informations sur les produits'!$A$3:$B$15000,2,FALSE),"")</f>
        <v/>
      </c>
      <c r="V7762">
        <f t="shared" si="486"/>
        <v>0</v>
      </c>
      <c r="W7762">
        <f t="shared" si="487"/>
        <v>0</v>
      </c>
    </row>
    <row r="7763" spans="5:23" x14ac:dyDescent="0.25">
      <c r="E7763" s="4"/>
      <c r="F7763" s="4"/>
      <c r="G7763" s="33" t="str">
        <f>IFERROR(VLOOKUP($D7763,'Informations sur les produits'!$A$3:$H$10000,8,FALSE),"0")</f>
        <v>0</v>
      </c>
      <c r="K7763" s="4"/>
      <c r="L7763" s="33" t="str">
        <f>IFERROR(VLOOKUP($J7763,'Informations sur les produits'!$A$3:$H$10000,8,FALSE),"0")</f>
        <v>0</v>
      </c>
      <c r="N7763" s="8"/>
      <c r="O7763" s="33" t="str">
        <f>IFERROR(VLOOKUP($M7763,'Informations sur les produits'!$A$3:$H$10000,8,FALSE),"0")</f>
        <v>0</v>
      </c>
      <c r="P7763" s="33">
        <f t="shared" si="484"/>
        <v>0</v>
      </c>
      <c r="Q7763" s="31" t="str">
        <f t="shared" si="485"/>
        <v/>
      </c>
      <c r="R7763" s="32" t="str">
        <f>IFERROR(VLOOKUP($D7763,'Informations sur les produits'!$A$3:$B$15000,2,FALSE),"")</f>
        <v/>
      </c>
      <c r="V7763">
        <f t="shared" si="486"/>
        <v>0</v>
      </c>
      <c r="W7763">
        <f t="shared" si="487"/>
        <v>0</v>
      </c>
    </row>
    <row r="7764" spans="5:23" x14ac:dyDescent="0.25">
      <c r="E7764" s="4"/>
      <c r="F7764" s="4"/>
      <c r="G7764" s="33" t="str">
        <f>IFERROR(VLOOKUP($D7764,'Informations sur les produits'!$A$3:$H$10000,8,FALSE),"0")</f>
        <v>0</v>
      </c>
      <c r="K7764" s="4"/>
      <c r="L7764" s="33" t="str">
        <f>IFERROR(VLOOKUP($J7764,'Informations sur les produits'!$A$3:$H$10000,8,FALSE),"0")</f>
        <v>0</v>
      </c>
      <c r="N7764" s="8"/>
      <c r="O7764" s="33" t="str">
        <f>IFERROR(VLOOKUP($M7764,'Informations sur les produits'!$A$3:$H$10000,8,FALSE),"0")</f>
        <v>0</v>
      </c>
      <c r="P7764" s="33">
        <f t="shared" si="484"/>
        <v>0</v>
      </c>
      <c r="Q7764" s="31" t="str">
        <f t="shared" si="485"/>
        <v/>
      </c>
      <c r="R7764" s="32" t="str">
        <f>IFERROR(VLOOKUP($D7764,'Informations sur les produits'!$A$3:$B$15000,2,FALSE),"")</f>
        <v/>
      </c>
      <c r="V7764">
        <f t="shared" si="486"/>
        <v>0</v>
      </c>
      <c r="W7764">
        <f t="shared" si="487"/>
        <v>0</v>
      </c>
    </row>
    <row r="7765" spans="5:23" x14ac:dyDescent="0.25">
      <c r="E7765" s="4"/>
      <c r="F7765" s="4"/>
      <c r="G7765" s="33" t="str">
        <f>IFERROR(VLOOKUP($D7765,'Informations sur les produits'!$A$3:$H$10000,8,FALSE),"0")</f>
        <v>0</v>
      </c>
      <c r="K7765" s="4"/>
      <c r="L7765" s="33" t="str">
        <f>IFERROR(VLOOKUP($J7765,'Informations sur les produits'!$A$3:$H$10000,8,FALSE),"0")</f>
        <v>0</v>
      </c>
      <c r="N7765" s="8"/>
      <c r="O7765" s="33" t="str">
        <f>IFERROR(VLOOKUP($M7765,'Informations sur les produits'!$A$3:$H$10000,8,FALSE),"0")</f>
        <v>0</v>
      </c>
      <c r="P7765" s="33">
        <f t="shared" si="484"/>
        <v>0</v>
      </c>
      <c r="Q7765" s="31" t="str">
        <f t="shared" si="485"/>
        <v/>
      </c>
      <c r="R7765" s="32" t="str">
        <f>IFERROR(VLOOKUP($D7765,'Informations sur les produits'!$A$3:$B$15000,2,FALSE),"")</f>
        <v/>
      </c>
      <c r="V7765">
        <f t="shared" si="486"/>
        <v>0</v>
      </c>
      <c r="W7765">
        <f t="shared" si="487"/>
        <v>0</v>
      </c>
    </row>
    <row r="7766" spans="5:23" x14ac:dyDescent="0.25">
      <c r="E7766" s="4"/>
      <c r="F7766" s="4"/>
      <c r="G7766" s="33" t="str">
        <f>IFERROR(VLOOKUP($D7766,'Informations sur les produits'!$A$3:$H$10000,8,FALSE),"0")</f>
        <v>0</v>
      </c>
      <c r="K7766" s="4"/>
      <c r="L7766" s="33" t="str">
        <f>IFERROR(VLOOKUP($J7766,'Informations sur les produits'!$A$3:$H$10000,8,FALSE),"0")</f>
        <v>0</v>
      </c>
      <c r="N7766" s="8"/>
      <c r="O7766" s="33" t="str">
        <f>IFERROR(VLOOKUP($M7766,'Informations sur les produits'!$A$3:$H$10000,8,FALSE),"0")</f>
        <v>0</v>
      </c>
      <c r="P7766" s="33">
        <f t="shared" si="484"/>
        <v>0</v>
      </c>
      <c r="Q7766" s="31" t="str">
        <f t="shared" si="485"/>
        <v/>
      </c>
      <c r="R7766" s="32" t="str">
        <f>IFERROR(VLOOKUP($D7766,'Informations sur les produits'!$A$3:$B$15000,2,FALSE),"")</f>
        <v/>
      </c>
      <c r="V7766">
        <f t="shared" si="486"/>
        <v>0</v>
      </c>
      <c r="W7766">
        <f t="shared" si="487"/>
        <v>0</v>
      </c>
    </row>
    <row r="7767" spans="5:23" x14ac:dyDescent="0.25">
      <c r="E7767" s="4"/>
      <c r="F7767" s="4"/>
      <c r="G7767" s="33" t="str">
        <f>IFERROR(VLOOKUP($D7767,'Informations sur les produits'!$A$3:$H$10000,8,FALSE),"0")</f>
        <v>0</v>
      </c>
      <c r="K7767" s="4"/>
      <c r="L7767" s="33" t="str">
        <f>IFERROR(VLOOKUP($J7767,'Informations sur les produits'!$A$3:$H$10000,8,FALSE),"0")</f>
        <v>0</v>
      </c>
      <c r="N7767" s="8"/>
      <c r="O7767" s="33" t="str">
        <f>IFERROR(VLOOKUP($M7767,'Informations sur les produits'!$A$3:$H$10000,8,FALSE),"0")</f>
        <v>0</v>
      </c>
      <c r="P7767" s="33">
        <f t="shared" si="484"/>
        <v>0</v>
      </c>
      <c r="Q7767" s="31" t="str">
        <f t="shared" si="485"/>
        <v/>
      </c>
      <c r="R7767" s="32" t="str">
        <f>IFERROR(VLOOKUP($D7767,'Informations sur les produits'!$A$3:$B$15000,2,FALSE),"")</f>
        <v/>
      </c>
      <c r="V7767">
        <f t="shared" si="486"/>
        <v>0</v>
      </c>
      <c r="W7767">
        <f t="shared" si="487"/>
        <v>0</v>
      </c>
    </row>
    <row r="7768" spans="5:23" x14ac:dyDescent="0.25">
      <c r="E7768" s="4"/>
      <c r="F7768" s="4"/>
      <c r="G7768" s="33" t="str">
        <f>IFERROR(VLOOKUP($D7768,'Informations sur les produits'!$A$3:$H$10000,8,FALSE),"0")</f>
        <v>0</v>
      </c>
      <c r="K7768" s="4"/>
      <c r="L7768" s="33" t="str">
        <f>IFERROR(VLOOKUP($J7768,'Informations sur les produits'!$A$3:$H$10000,8,FALSE),"0")</f>
        <v>0</v>
      </c>
      <c r="N7768" s="8"/>
      <c r="O7768" s="33" t="str">
        <f>IFERROR(VLOOKUP($M7768,'Informations sur les produits'!$A$3:$H$10000,8,FALSE),"0")</f>
        <v>0</v>
      </c>
      <c r="P7768" s="33">
        <f t="shared" si="484"/>
        <v>0</v>
      </c>
      <c r="Q7768" s="31" t="str">
        <f t="shared" si="485"/>
        <v/>
      </c>
      <c r="R7768" s="32" t="str">
        <f>IFERROR(VLOOKUP($D7768,'Informations sur les produits'!$A$3:$B$15000,2,FALSE),"")</f>
        <v/>
      </c>
      <c r="V7768">
        <f t="shared" si="486"/>
        <v>0</v>
      </c>
      <c r="W7768">
        <f t="shared" si="487"/>
        <v>0</v>
      </c>
    </row>
    <row r="7769" spans="5:23" x14ac:dyDescent="0.25">
      <c r="E7769" s="4"/>
      <c r="F7769" s="4"/>
      <c r="G7769" s="33" t="str">
        <f>IFERROR(VLOOKUP($D7769,'Informations sur les produits'!$A$3:$H$10000,8,FALSE),"0")</f>
        <v>0</v>
      </c>
      <c r="K7769" s="4"/>
      <c r="L7769" s="33" t="str">
        <f>IFERROR(VLOOKUP($J7769,'Informations sur les produits'!$A$3:$H$10000,8,FALSE),"0")</f>
        <v>0</v>
      </c>
      <c r="N7769" s="8"/>
      <c r="O7769" s="33" t="str">
        <f>IFERROR(VLOOKUP($M7769,'Informations sur les produits'!$A$3:$H$10000,8,FALSE),"0")</f>
        <v>0</v>
      </c>
      <c r="P7769" s="33">
        <f t="shared" si="484"/>
        <v>0</v>
      </c>
      <c r="Q7769" s="31" t="str">
        <f t="shared" si="485"/>
        <v/>
      </c>
      <c r="R7769" s="32" t="str">
        <f>IFERROR(VLOOKUP($D7769,'Informations sur les produits'!$A$3:$B$15000,2,FALSE),"")</f>
        <v/>
      </c>
      <c r="V7769">
        <f t="shared" si="486"/>
        <v>0</v>
      </c>
      <c r="W7769">
        <f t="shared" si="487"/>
        <v>0</v>
      </c>
    </row>
    <row r="7770" spans="5:23" x14ac:dyDescent="0.25">
      <c r="E7770" s="4"/>
      <c r="F7770" s="4"/>
      <c r="G7770" s="33" t="str">
        <f>IFERROR(VLOOKUP($D7770,'Informations sur les produits'!$A$3:$H$10000,8,FALSE),"0")</f>
        <v>0</v>
      </c>
      <c r="K7770" s="4"/>
      <c r="L7770" s="33" t="str">
        <f>IFERROR(VLOOKUP($J7770,'Informations sur les produits'!$A$3:$H$10000,8,FALSE),"0")</f>
        <v>0</v>
      </c>
      <c r="N7770" s="8"/>
      <c r="O7770" s="33" t="str">
        <f>IFERROR(VLOOKUP($M7770,'Informations sur les produits'!$A$3:$H$10000,8,FALSE),"0")</f>
        <v>0</v>
      </c>
      <c r="P7770" s="33">
        <f t="shared" si="484"/>
        <v>0</v>
      </c>
      <c r="Q7770" s="31" t="str">
        <f t="shared" si="485"/>
        <v/>
      </c>
      <c r="R7770" s="32" t="str">
        <f>IFERROR(VLOOKUP($D7770,'Informations sur les produits'!$A$3:$B$15000,2,FALSE),"")</f>
        <v/>
      </c>
      <c r="V7770">
        <f t="shared" si="486"/>
        <v>0</v>
      </c>
      <c r="W7770">
        <f t="shared" si="487"/>
        <v>0</v>
      </c>
    </row>
    <row r="7771" spans="5:23" x14ac:dyDescent="0.25">
      <c r="E7771" s="4"/>
      <c r="F7771" s="4"/>
      <c r="G7771" s="33" t="str">
        <f>IFERROR(VLOOKUP($D7771,'Informations sur les produits'!$A$3:$H$10000,8,FALSE),"0")</f>
        <v>0</v>
      </c>
      <c r="K7771" s="4"/>
      <c r="L7771" s="33" t="str">
        <f>IFERROR(VLOOKUP($J7771,'Informations sur les produits'!$A$3:$H$10000,8,FALSE),"0")</f>
        <v>0</v>
      </c>
      <c r="N7771" s="8"/>
      <c r="O7771" s="33" t="str">
        <f>IFERROR(VLOOKUP($M7771,'Informations sur les produits'!$A$3:$H$10000,8,FALSE),"0")</f>
        <v>0</v>
      </c>
      <c r="P7771" s="33">
        <f t="shared" si="484"/>
        <v>0</v>
      </c>
      <c r="Q7771" s="31" t="str">
        <f t="shared" si="485"/>
        <v/>
      </c>
      <c r="R7771" s="32" t="str">
        <f>IFERROR(VLOOKUP($D7771,'Informations sur les produits'!$A$3:$B$15000,2,FALSE),"")</f>
        <v/>
      </c>
      <c r="V7771">
        <f t="shared" si="486"/>
        <v>0</v>
      </c>
      <c r="W7771">
        <f t="shared" si="487"/>
        <v>0</v>
      </c>
    </row>
    <row r="7772" spans="5:23" x14ac:dyDescent="0.25">
      <c r="E7772" s="4"/>
      <c r="F7772" s="4"/>
      <c r="G7772" s="33" t="str">
        <f>IFERROR(VLOOKUP($D7772,'Informations sur les produits'!$A$3:$H$10000,8,FALSE),"0")</f>
        <v>0</v>
      </c>
      <c r="K7772" s="4"/>
      <c r="L7772" s="33" t="str">
        <f>IFERROR(VLOOKUP($J7772,'Informations sur les produits'!$A$3:$H$10000,8,FALSE),"0")</f>
        <v>0</v>
      </c>
      <c r="N7772" s="8"/>
      <c r="O7772" s="33" t="str">
        <f>IFERROR(VLOOKUP($M7772,'Informations sur les produits'!$A$3:$H$10000,8,FALSE),"0")</f>
        <v>0</v>
      </c>
      <c r="P7772" s="33">
        <f t="shared" si="484"/>
        <v>0</v>
      </c>
      <c r="Q7772" s="31" t="str">
        <f t="shared" si="485"/>
        <v/>
      </c>
      <c r="R7772" s="32" t="str">
        <f>IFERROR(VLOOKUP($D7772,'Informations sur les produits'!$A$3:$B$15000,2,FALSE),"")</f>
        <v/>
      </c>
      <c r="V7772">
        <f t="shared" si="486"/>
        <v>0</v>
      </c>
      <c r="W7772">
        <f t="shared" si="487"/>
        <v>0</v>
      </c>
    </row>
    <row r="7773" spans="5:23" x14ac:dyDescent="0.25">
      <c r="E7773" s="4"/>
      <c r="F7773" s="4"/>
      <c r="G7773" s="33" t="str">
        <f>IFERROR(VLOOKUP($D7773,'Informations sur les produits'!$A$3:$H$10000,8,FALSE),"0")</f>
        <v>0</v>
      </c>
      <c r="K7773" s="4"/>
      <c r="L7773" s="33" t="str">
        <f>IFERROR(VLOOKUP($J7773,'Informations sur les produits'!$A$3:$H$10000,8,FALSE),"0")</f>
        <v>0</v>
      </c>
      <c r="N7773" s="8"/>
      <c r="O7773" s="33" t="str">
        <f>IFERROR(VLOOKUP($M7773,'Informations sur les produits'!$A$3:$H$10000,8,FALSE),"0")</f>
        <v>0</v>
      </c>
      <c r="P7773" s="33">
        <f t="shared" si="484"/>
        <v>0</v>
      </c>
      <c r="Q7773" s="31" t="str">
        <f t="shared" si="485"/>
        <v/>
      </c>
      <c r="R7773" s="32" t="str">
        <f>IFERROR(VLOOKUP($D7773,'Informations sur les produits'!$A$3:$B$15000,2,FALSE),"")</f>
        <v/>
      </c>
      <c r="V7773">
        <f t="shared" si="486"/>
        <v>0</v>
      </c>
      <c r="W7773">
        <f t="shared" si="487"/>
        <v>0</v>
      </c>
    </row>
    <row r="7774" spans="5:23" x14ac:dyDescent="0.25">
      <c r="E7774" s="4"/>
      <c r="F7774" s="4"/>
      <c r="G7774" s="33" t="str">
        <f>IFERROR(VLOOKUP($D7774,'Informations sur les produits'!$A$3:$H$10000,8,FALSE),"0")</f>
        <v>0</v>
      </c>
      <c r="K7774" s="4"/>
      <c r="L7774" s="33" t="str">
        <f>IFERROR(VLOOKUP($J7774,'Informations sur les produits'!$A$3:$H$10000,8,FALSE),"0")</f>
        <v>0</v>
      </c>
      <c r="N7774" s="8"/>
      <c r="O7774" s="33" t="str">
        <f>IFERROR(VLOOKUP($M7774,'Informations sur les produits'!$A$3:$H$10000,8,FALSE),"0")</f>
        <v>0</v>
      </c>
      <c r="P7774" s="33">
        <f t="shared" si="484"/>
        <v>0</v>
      </c>
      <c r="Q7774" s="31" t="str">
        <f t="shared" si="485"/>
        <v/>
      </c>
      <c r="R7774" s="32" t="str">
        <f>IFERROR(VLOOKUP($D7774,'Informations sur les produits'!$A$3:$B$15000,2,FALSE),"")</f>
        <v/>
      </c>
      <c r="V7774">
        <f t="shared" si="486"/>
        <v>0</v>
      </c>
      <c r="W7774">
        <f t="shared" si="487"/>
        <v>0</v>
      </c>
    </row>
    <row r="7775" spans="5:23" x14ac:dyDescent="0.25">
      <c r="E7775" s="4"/>
      <c r="F7775" s="4"/>
      <c r="G7775" s="33" t="str">
        <f>IFERROR(VLOOKUP($D7775,'Informations sur les produits'!$A$3:$H$10000,8,FALSE),"0")</f>
        <v>0</v>
      </c>
      <c r="K7775" s="4"/>
      <c r="L7775" s="33" t="str">
        <f>IFERROR(VLOOKUP($J7775,'Informations sur les produits'!$A$3:$H$10000,8,FALSE),"0")</f>
        <v>0</v>
      </c>
      <c r="N7775" s="8"/>
      <c r="O7775" s="33" t="str">
        <f>IFERROR(VLOOKUP($M7775,'Informations sur les produits'!$A$3:$H$10000,8,FALSE),"0")</f>
        <v>0</v>
      </c>
      <c r="P7775" s="33">
        <f t="shared" si="484"/>
        <v>0</v>
      </c>
      <c r="Q7775" s="31" t="str">
        <f t="shared" si="485"/>
        <v/>
      </c>
      <c r="R7775" s="32" t="str">
        <f>IFERROR(VLOOKUP($D7775,'Informations sur les produits'!$A$3:$B$15000,2,FALSE),"")</f>
        <v/>
      </c>
      <c r="V7775">
        <f t="shared" si="486"/>
        <v>0</v>
      </c>
      <c r="W7775">
        <f t="shared" si="487"/>
        <v>0</v>
      </c>
    </row>
    <row r="7776" spans="5:23" x14ac:dyDescent="0.25">
      <c r="E7776" s="4"/>
      <c r="F7776" s="4"/>
      <c r="G7776" s="33" t="str">
        <f>IFERROR(VLOOKUP($D7776,'Informations sur les produits'!$A$3:$H$10000,8,FALSE),"0")</f>
        <v>0</v>
      </c>
      <c r="K7776" s="4"/>
      <c r="L7776" s="33" t="str">
        <f>IFERROR(VLOOKUP($J7776,'Informations sur les produits'!$A$3:$H$10000,8,FALSE),"0")</f>
        <v>0</v>
      </c>
      <c r="N7776" s="8"/>
      <c r="O7776" s="33" t="str">
        <f>IFERROR(VLOOKUP($M7776,'Informations sur les produits'!$A$3:$H$10000,8,FALSE),"0")</f>
        <v>0</v>
      </c>
      <c r="P7776" s="33">
        <f t="shared" si="484"/>
        <v>0</v>
      </c>
      <c r="Q7776" s="31" t="str">
        <f t="shared" si="485"/>
        <v/>
      </c>
      <c r="R7776" s="32" t="str">
        <f>IFERROR(VLOOKUP($D7776,'Informations sur les produits'!$A$3:$B$15000,2,FALSE),"")</f>
        <v/>
      </c>
      <c r="V7776">
        <f t="shared" si="486"/>
        <v>0</v>
      </c>
      <c r="W7776">
        <f t="shared" si="487"/>
        <v>0</v>
      </c>
    </row>
    <row r="7777" spans="5:23" x14ac:dyDescent="0.25">
      <c r="E7777" s="4"/>
      <c r="F7777" s="4"/>
      <c r="G7777" s="33" t="str">
        <f>IFERROR(VLOOKUP($D7777,'Informations sur les produits'!$A$3:$H$10000,8,FALSE),"0")</f>
        <v>0</v>
      </c>
      <c r="K7777" s="4"/>
      <c r="L7777" s="33" t="str">
        <f>IFERROR(VLOOKUP($J7777,'Informations sur les produits'!$A$3:$H$10000,8,FALSE),"0")</f>
        <v>0</v>
      </c>
      <c r="N7777" s="8"/>
      <c r="O7777" s="33" t="str">
        <f>IFERROR(VLOOKUP($M7777,'Informations sur les produits'!$A$3:$H$10000,8,FALSE),"0")</f>
        <v>0</v>
      </c>
      <c r="P7777" s="33">
        <f t="shared" si="484"/>
        <v>0</v>
      </c>
      <c r="Q7777" s="31" t="str">
        <f t="shared" si="485"/>
        <v/>
      </c>
      <c r="R7777" s="32" t="str">
        <f>IFERROR(VLOOKUP($D7777,'Informations sur les produits'!$A$3:$B$15000,2,FALSE),"")</f>
        <v/>
      </c>
      <c r="V7777">
        <f t="shared" si="486"/>
        <v>0</v>
      </c>
      <c r="W7777">
        <f t="shared" si="487"/>
        <v>0</v>
      </c>
    </row>
    <row r="7778" spans="5:23" x14ac:dyDescent="0.25">
      <c r="E7778" s="4"/>
      <c r="F7778" s="4"/>
      <c r="G7778" s="33" t="str">
        <f>IFERROR(VLOOKUP($D7778,'Informations sur les produits'!$A$3:$H$10000,8,FALSE),"0")</f>
        <v>0</v>
      </c>
      <c r="K7778" s="4"/>
      <c r="L7778" s="33" t="str">
        <f>IFERROR(VLOOKUP($J7778,'Informations sur les produits'!$A$3:$H$10000,8,FALSE),"0")</f>
        <v>0</v>
      </c>
      <c r="N7778" s="8"/>
      <c r="O7778" s="33" t="str">
        <f>IFERROR(VLOOKUP($M7778,'Informations sur les produits'!$A$3:$H$10000,8,FALSE),"0")</f>
        <v>0</v>
      </c>
      <c r="P7778" s="33">
        <f t="shared" si="484"/>
        <v>0</v>
      </c>
      <c r="Q7778" s="31" t="str">
        <f t="shared" si="485"/>
        <v/>
      </c>
      <c r="R7778" s="32" t="str">
        <f>IFERROR(VLOOKUP($D7778,'Informations sur les produits'!$A$3:$B$15000,2,FALSE),"")</f>
        <v/>
      </c>
      <c r="V7778">
        <f t="shared" si="486"/>
        <v>0</v>
      </c>
      <c r="W7778">
        <f t="shared" si="487"/>
        <v>0</v>
      </c>
    </row>
    <row r="7779" spans="5:23" x14ac:dyDescent="0.25">
      <c r="E7779" s="4"/>
      <c r="F7779" s="4"/>
      <c r="G7779" s="33" t="str">
        <f>IFERROR(VLOOKUP($D7779,'Informations sur les produits'!$A$3:$H$10000,8,FALSE),"0")</f>
        <v>0</v>
      </c>
      <c r="K7779" s="4"/>
      <c r="L7779" s="33" t="str">
        <f>IFERROR(VLOOKUP($J7779,'Informations sur les produits'!$A$3:$H$10000,8,FALSE),"0")</f>
        <v>0</v>
      </c>
      <c r="N7779" s="8"/>
      <c r="O7779" s="33" t="str">
        <f>IFERROR(VLOOKUP($M7779,'Informations sur les produits'!$A$3:$H$10000,8,FALSE),"0")</f>
        <v>0</v>
      </c>
      <c r="P7779" s="33">
        <f t="shared" si="484"/>
        <v>0</v>
      </c>
      <c r="Q7779" s="31" t="str">
        <f t="shared" si="485"/>
        <v/>
      </c>
      <c r="R7779" s="32" t="str">
        <f>IFERROR(VLOOKUP($D7779,'Informations sur les produits'!$A$3:$B$15000,2,FALSE),"")</f>
        <v/>
      </c>
      <c r="V7779">
        <f t="shared" si="486"/>
        <v>0</v>
      </c>
      <c r="W7779">
        <f t="shared" si="487"/>
        <v>0</v>
      </c>
    </row>
    <row r="7780" spans="5:23" x14ac:dyDescent="0.25">
      <c r="E7780" s="4"/>
      <c r="F7780" s="4"/>
      <c r="G7780" s="33" t="str">
        <f>IFERROR(VLOOKUP($D7780,'Informations sur les produits'!$A$3:$H$10000,8,FALSE),"0")</f>
        <v>0</v>
      </c>
      <c r="K7780" s="4"/>
      <c r="L7780" s="33" t="str">
        <f>IFERROR(VLOOKUP($J7780,'Informations sur les produits'!$A$3:$H$10000,8,FALSE),"0")</f>
        <v>0</v>
      </c>
      <c r="N7780" s="8"/>
      <c r="O7780" s="33" t="str">
        <f>IFERROR(VLOOKUP($M7780,'Informations sur les produits'!$A$3:$H$10000,8,FALSE),"0")</f>
        <v>0</v>
      </c>
      <c r="P7780" s="33">
        <f t="shared" si="484"/>
        <v>0</v>
      </c>
      <c r="Q7780" s="31" t="str">
        <f t="shared" si="485"/>
        <v/>
      </c>
      <c r="R7780" s="32" t="str">
        <f>IFERROR(VLOOKUP($D7780,'Informations sur les produits'!$A$3:$B$15000,2,FALSE),"")</f>
        <v/>
      </c>
      <c r="V7780">
        <f t="shared" si="486"/>
        <v>0</v>
      </c>
      <c r="W7780">
        <f t="shared" si="487"/>
        <v>0</v>
      </c>
    </row>
    <row r="7781" spans="5:23" x14ac:dyDescent="0.25">
      <c r="E7781" s="4"/>
      <c r="F7781" s="4"/>
      <c r="G7781" s="33" t="str">
        <f>IFERROR(VLOOKUP($D7781,'Informations sur les produits'!$A$3:$H$10000,8,FALSE),"0")</f>
        <v>0</v>
      </c>
      <c r="K7781" s="4"/>
      <c r="L7781" s="33" t="str">
        <f>IFERROR(VLOOKUP($J7781,'Informations sur les produits'!$A$3:$H$10000,8,FALSE),"0")</f>
        <v>0</v>
      </c>
      <c r="N7781" s="8"/>
      <c r="O7781" s="33" t="str">
        <f>IFERROR(VLOOKUP($M7781,'Informations sur les produits'!$A$3:$H$10000,8,FALSE),"0")</f>
        <v>0</v>
      </c>
      <c r="P7781" s="33">
        <f t="shared" si="484"/>
        <v>0</v>
      </c>
      <c r="Q7781" s="31" t="str">
        <f t="shared" si="485"/>
        <v/>
      </c>
      <c r="R7781" s="32" t="str">
        <f>IFERROR(VLOOKUP($D7781,'Informations sur les produits'!$A$3:$B$15000,2,FALSE),"")</f>
        <v/>
      </c>
      <c r="V7781">
        <f t="shared" si="486"/>
        <v>0</v>
      </c>
      <c r="W7781">
        <f t="shared" si="487"/>
        <v>0</v>
      </c>
    </row>
    <row r="7782" spans="5:23" x14ac:dyDescent="0.25">
      <c r="E7782" s="4"/>
      <c r="F7782" s="4"/>
      <c r="G7782" s="33" t="str">
        <f>IFERROR(VLOOKUP($D7782,'Informations sur les produits'!$A$3:$H$10000,8,FALSE),"0")</f>
        <v>0</v>
      </c>
      <c r="K7782" s="4"/>
      <c r="L7782" s="33" t="str">
        <f>IFERROR(VLOOKUP($J7782,'Informations sur les produits'!$A$3:$H$10000,8,FALSE),"0")</f>
        <v>0</v>
      </c>
      <c r="N7782" s="8"/>
      <c r="O7782" s="33" t="str">
        <f>IFERROR(VLOOKUP($M7782,'Informations sur les produits'!$A$3:$H$10000,8,FALSE),"0")</f>
        <v>0</v>
      </c>
      <c r="P7782" s="33">
        <f t="shared" si="484"/>
        <v>0</v>
      </c>
      <c r="Q7782" s="31" t="str">
        <f t="shared" si="485"/>
        <v/>
      </c>
      <c r="R7782" s="32" t="str">
        <f>IFERROR(VLOOKUP($D7782,'Informations sur les produits'!$A$3:$B$15000,2,FALSE),"")</f>
        <v/>
      </c>
      <c r="V7782">
        <f t="shared" si="486"/>
        <v>0</v>
      </c>
      <c r="W7782">
        <f t="shared" si="487"/>
        <v>0</v>
      </c>
    </row>
    <row r="7783" spans="5:23" x14ac:dyDescent="0.25">
      <c r="E7783" s="4"/>
      <c r="F7783" s="4"/>
      <c r="G7783" s="33" t="str">
        <f>IFERROR(VLOOKUP($D7783,'Informations sur les produits'!$A$3:$H$10000,8,FALSE),"0")</f>
        <v>0</v>
      </c>
      <c r="K7783" s="4"/>
      <c r="L7783" s="33" t="str">
        <f>IFERROR(VLOOKUP($J7783,'Informations sur les produits'!$A$3:$H$10000,8,FALSE),"0")</f>
        <v>0</v>
      </c>
      <c r="N7783" s="8"/>
      <c r="O7783" s="33" t="str">
        <f>IFERROR(VLOOKUP($M7783,'Informations sur les produits'!$A$3:$H$10000,8,FALSE),"0")</f>
        <v>0</v>
      </c>
      <c r="P7783" s="33">
        <f t="shared" si="484"/>
        <v>0</v>
      </c>
      <c r="Q7783" s="31" t="str">
        <f t="shared" si="485"/>
        <v/>
      </c>
      <c r="R7783" s="32" t="str">
        <f>IFERROR(VLOOKUP($D7783,'Informations sur les produits'!$A$3:$B$15000,2,FALSE),"")</f>
        <v/>
      </c>
      <c r="V7783">
        <f t="shared" si="486"/>
        <v>0</v>
      </c>
      <c r="W7783">
        <f t="shared" si="487"/>
        <v>0</v>
      </c>
    </row>
    <row r="7784" spans="5:23" x14ac:dyDescent="0.25">
      <c r="E7784" s="4"/>
      <c r="F7784" s="4"/>
      <c r="G7784" s="33" t="str">
        <f>IFERROR(VLOOKUP($D7784,'Informations sur les produits'!$A$3:$H$10000,8,FALSE),"0")</f>
        <v>0</v>
      </c>
      <c r="K7784" s="4"/>
      <c r="L7784" s="33" t="str">
        <f>IFERROR(VLOOKUP($J7784,'Informations sur les produits'!$A$3:$H$10000,8,FALSE),"0")</f>
        <v>0</v>
      </c>
      <c r="N7784" s="8"/>
      <c r="O7784" s="33" t="str">
        <f>IFERROR(VLOOKUP($M7784,'Informations sur les produits'!$A$3:$H$10000,8,FALSE),"0")</f>
        <v>0</v>
      </c>
      <c r="P7784" s="33">
        <f t="shared" si="484"/>
        <v>0</v>
      </c>
      <c r="Q7784" s="31" t="str">
        <f t="shared" si="485"/>
        <v/>
      </c>
      <c r="R7784" s="32" t="str">
        <f>IFERROR(VLOOKUP($D7784,'Informations sur les produits'!$A$3:$B$15000,2,FALSE),"")</f>
        <v/>
      </c>
      <c r="V7784">
        <f t="shared" si="486"/>
        <v>0</v>
      </c>
      <c r="W7784">
        <f t="shared" si="487"/>
        <v>0</v>
      </c>
    </row>
    <row r="7785" spans="5:23" x14ac:dyDescent="0.25">
      <c r="E7785" s="4"/>
      <c r="F7785" s="4"/>
      <c r="G7785" s="33" t="str">
        <f>IFERROR(VLOOKUP($D7785,'Informations sur les produits'!$A$3:$H$10000,8,FALSE),"0")</f>
        <v>0</v>
      </c>
      <c r="K7785" s="4"/>
      <c r="L7785" s="33" t="str">
        <f>IFERROR(VLOOKUP($J7785,'Informations sur les produits'!$A$3:$H$10000,8,FALSE),"0")</f>
        <v>0</v>
      </c>
      <c r="N7785" s="8"/>
      <c r="O7785" s="33" t="str">
        <f>IFERROR(VLOOKUP($M7785,'Informations sur les produits'!$A$3:$H$10000,8,FALSE),"0")</f>
        <v>0</v>
      </c>
      <c r="P7785" s="33">
        <f t="shared" si="484"/>
        <v>0</v>
      </c>
      <c r="Q7785" s="31" t="str">
        <f t="shared" si="485"/>
        <v/>
      </c>
      <c r="R7785" s="32" t="str">
        <f>IFERROR(VLOOKUP($D7785,'Informations sur les produits'!$A$3:$B$15000,2,FALSE),"")</f>
        <v/>
      </c>
      <c r="V7785">
        <f t="shared" si="486"/>
        <v>0</v>
      </c>
      <c r="W7785">
        <f t="shared" si="487"/>
        <v>0</v>
      </c>
    </row>
    <row r="7786" spans="5:23" x14ac:dyDescent="0.25">
      <c r="E7786" s="4"/>
      <c r="F7786" s="4"/>
      <c r="G7786" s="33" t="str">
        <f>IFERROR(VLOOKUP($D7786,'Informations sur les produits'!$A$3:$H$10000,8,FALSE),"0")</f>
        <v>0</v>
      </c>
      <c r="K7786" s="4"/>
      <c r="L7786" s="33" t="str">
        <f>IFERROR(VLOOKUP($J7786,'Informations sur les produits'!$A$3:$H$10000,8,FALSE),"0")</f>
        <v>0</v>
      </c>
      <c r="N7786" s="8"/>
      <c r="O7786" s="33" t="str">
        <f>IFERROR(VLOOKUP($M7786,'Informations sur les produits'!$A$3:$H$10000,8,FALSE),"0")</f>
        <v>0</v>
      </c>
      <c r="P7786" s="33">
        <f t="shared" si="484"/>
        <v>0</v>
      </c>
      <c r="Q7786" s="31" t="str">
        <f t="shared" si="485"/>
        <v/>
      </c>
      <c r="R7786" s="32" t="str">
        <f>IFERROR(VLOOKUP($D7786,'Informations sur les produits'!$A$3:$B$15000,2,FALSE),"")</f>
        <v/>
      </c>
      <c r="V7786">
        <f t="shared" si="486"/>
        <v>0</v>
      </c>
      <c r="W7786">
        <f t="shared" si="487"/>
        <v>0</v>
      </c>
    </row>
    <row r="7787" spans="5:23" x14ac:dyDescent="0.25">
      <c r="E7787" s="4"/>
      <c r="F7787" s="4"/>
      <c r="G7787" s="33" t="str">
        <f>IFERROR(VLOOKUP($D7787,'Informations sur les produits'!$A$3:$H$10000,8,FALSE),"0")</f>
        <v>0</v>
      </c>
      <c r="K7787" s="4"/>
      <c r="L7787" s="33" t="str">
        <f>IFERROR(VLOOKUP($J7787,'Informations sur les produits'!$A$3:$H$10000,8,FALSE),"0")</f>
        <v>0</v>
      </c>
      <c r="N7787" s="8"/>
      <c r="O7787" s="33" t="str">
        <f>IFERROR(VLOOKUP($M7787,'Informations sur les produits'!$A$3:$H$10000,8,FALSE),"0")</f>
        <v>0</v>
      </c>
      <c r="P7787" s="33">
        <f t="shared" si="484"/>
        <v>0</v>
      </c>
      <c r="Q7787" s="31" t="str">
        <f t="shared" si="485"/>
        <v/>
      </c>
      <c r="R7787" s="32" t="str">
        <f>IFERROR(VLOOKUP($D7787,'Informations sur les produits'!$A$3:$B$15000,2,FALSE),"")</f>
        <v/>
      </c>
      <c r="V7787">
        <f t="shared" si="486"/>
        <v>0</v>
      </c>
      <c r="W7787">
        <f t="shared" si="487"/>
        <v>0</v>
      </c>
    </row>
    <row r="7788" spans="5:23" x14ac:dyDescent="0.25">
      <c r="E7788" s="4"/>
      <c r="F7788" s="4"/>
      <c r="G7788" s="33" t="str">
        <f>IFERROR(VLOOKUP($D7788,'Informations sur les produits'!$A$3:$H$10000,8,FALSE),"0")</f>
        <v>0</v>
      </c>
      <c r="K7788" s="4"/>
      <c r="L7788" s="33" t="str">
        <f>IFERROR(VLOOKUP($J7788,'Informations sur les produits'!$A$3:$H$10000,8,FALSE),"0")</f>
        <v>0</v>
      </c>
      <c r="N7788" s="8"/>
      <c r="O7788" s="33" t="str">
        <f>IFERROR(VLOOKUP($M7788,'Informations sur les produits'!$A$3:$H$10000,8,FALSE),"0")</f>
        <v>0</v>
      </c>
      <c r="P7788" s="33">
        <f t="shared" si="484"/>
        <v>0</v>
      </c>
      <c r="Q7788" s="31" t="str">
        <f t="shared" si="485"/>
        <v/>
      </c>
      <c r="R7788" s="32" t="str">
        <f>IFERROR(VLOOKUP($D7788,'Informations sur les produits'!$A$3:$B$15000,2,FALSE),"")</f>
        <v/>
      </c>
      <c r="V7788">
        <f t="shared" si="486"/>
        <v>0</v>
      </c>
      <c r="W7788">
        <f t="shared" si="487"/>
        <v>0</v>
      </c>
    </row>
    <row r="7789" spans="5:23" x14ac:dyDescent="0.25">
      <c r="E7789" s="4"/>
      <c r="F7789" s="4"/>
      <c r="G7789" s="33" t="str">
        <f>IFERROR(VLOOKUP($D7789,'Informations sur les produits'!$A$3:$H$10000,8,FALSE),"0")</f>
        <v>0</v>
      </c>
      <c r="K7789" s="4"/>
      <c r="L7789" s="33" t="str">
        <f>IFERROR(VLOOKUP($J7789,'Informations sur les produits'!$A$3:$H$10000,8,FALSE),"0")</f>
        <v>0</v>
      </c>
      <c r="N7789" s="8"/>
      <c r="O7789" s="33" t="str">
        <f>IFERROR(VLOOKUP($M7789,'Informations sur les produits'!$A$3:$H$10000,8,FALSE),"0")</f>
        <v>0</v>
      </c>
      <c r="P7789" s="33">
        <f t="shared" si="484"/>
        <v>0</v>
      </c>
      <c r="Q7789" s="31" t="str">
        <f t="shared" si="485"/>
        <v/>
      </c>
      <c r="R7789" s="32" t="str">
        <f>IFERROR(VLOOKUP($D7789,'Informations sur les produits'!$A$3:$B$15000,2,FALSE),"")</f>
        <v/>
      </c>
      <c r="V7789">
        <f t="shared" si="486"/>
        <v>0</v>
      </c>
      <c r="W7789">
        <f t="shared" si="487"/>
        <v>0</v>
      </c>
    </row>
    <row r="7790" spans="5:23" x14ac:dyDescent="0.25">
      <c r="E7790" s="4"/>
      <c r="F7790" s="4"/>
      <c r="G7790" s="33" t="str">
        <f>IFERROR(VLOOKUP($D7790,'Informations sur les produits'!$A$3:$H$10000,8,FALSE),"0")</f>
        <v>0</v>
      </c>
      <c r="K7790" s="4"/>
      <c r="L7790" s="33" t="str">
        <f>IFERROR(VLOOKUP($J7790,'Informations sur les produits'!$A$3:$H$10000,8,FALSE),"0")</f>
        <v>0</v>
      </c>
      <c r="N7790" s="8"/>
      <c r="O7790" s="33" t="str">
        <f>IFERROR(VLOOKUP($M7790,'Informations sur les produits'!$A$3:$H$10000,8,FALSE),"0")</f>
        <v>0</v>
      </c>
      <c r="P7790" s="33">
        <f t="shared" si="484"/>
        <v>0</v>
      </c>
      <c r="Q7790" s="31" t="str">
        <f t="shared" si="485"/>
        <v/>
      </c>
      <c r="R7790" s="32" t="str">
        <f>IFERROR(VLOOKUP($D7790,'Informations sur les produits'!$A$3:$B$15000,2,FALSE),"")</f>
        <v/>
      </c>
      <c r="V7790">
        <f t="shared" si="486"/>
        <v>0</v>
      </c>
      <c r="W7790">
        <f t="shared" si="487"/>
        <v>0</v>
      </c>
    </row>
    <row r="7791" spans="5:23" x14ac:dyDescent="0.25">
      <c r="E7791" s="4"/>
      <c r="F7791" s="4"/>
      <c r="G7791" s="33" t="str">
        <f>IFERROR(VLOOKUP($D7791,'Informations sur les produits'!$A$3:$H$10000,8,FALSE),"0")</f>
        <v>0</v>
      </c>
      <c r="K7791" s="4"/>
      <c r="L7791" s="33" t="str">
        <f>IFERROR(VLOOKUP($J7791,'Informations sur les produits'!$A$3:$H$10000,8,FALSE),"0")</f>
        <v>0</v>
      </c>
      <c r="N7791" s="8"/>
      <c r="O7791" s="33" t="str">
        <f>IFERROR(VLOOKUP($M7791,'Informations sur les produits'!$A$3:$H$10000,8,FALSE),"0")</f>
        <v>0</v>
      </c>
      <c r="P7791" s="33">
        <f t="shared" si="484"/>
        <v>0</v>
      </c>
      <c r="Q7791" s="31" t="str">
        <f t="shared" si="485"/>
        <v/>
      </c>
      <c r="R7791" s="32" t="str">
        <f>IFERROR(VLOOKUP($D7791,'Informations sur les produits'!$A$3:$B$15000,2,FALSE),"")</f>
        <v/>
      </c>
      <c r="V7791">
        <f t="shared" si="486"/>
        <v>0</v>
      </c>
      <c r="W7791">
        <f t="shared" si="487"/>
        <v>0</v>
      </c>
    </row>
    <row r="7792" spans="5:23" x14ac:dyDescent="0.25">
      <c r="E7792" s="4"/>
      <c r="F7792" s="4"/>
      <c r="G7792" s="33" t="str">
        <f>IFERROR(VLOOKUP($D7792,'Informations sur les produits'!$A$3:$H$10000,8,FALSE),"0")</f>
        <v>0</v>
      </c>
      <c r="K7792" s="4"/>
      <c r="L7792" s="33" t="str">
        <f>IFERROR(VLOOKUP($J7792,'Informations sur les produits'!$A$3:$H$10000,8,FALSE),"0")</f>
        <v>0</v>
      </c>
      <c r="N7792" s="8"/>
      <c r="O7792" s="33" t="str">
        <f>IFERROR(VLOOKUP($M7792,'Informations sur les produits'!$A$3:$H$10000,8,FALSE),"0")</f>
        <v>0</v>
      </c>
      <c r="P7792" s="33">
        <f t="shared" si="484"/>
        <v>0</v>
      </c>
      <c r="Q7792" s="31" t="str">
        <f t="shared" si="485"/>
        <v/>
      </c>
      <c r="R7792" s="32" t="str">
        <f>IFERROR(VLOOKUP($D7792,'Informations sur les produits'!$A$3:$B$15000,2,FALSE),"")</f>
        <v/>
      </c>
      <c r="V7792">
        <f t="shared" si="486"/>
        <v>0</v>
      </c>
      <c r="W7792">
        <f t="shared" si="487"/>
        <v>0</v>
      </c>
    </row>
    <row r="7793" spans="5:23" x14ac:dyDescent="0.25">
      <c r="E7793" s="4"/>
      <c r="F7793" s="4"/>
      <c r="G7793" s="33" t="str">
        <f>IFERROR(VLOOKUP($D7793,'Informations sur les produits'!$A$3:$H$10000,8,FALSE),"0")</f>
        <v>0</v>
      </c>
      <c r="K7793" s="4"/>
      <c r="L7793" s="33" t="str">
        <f>IFERROR(VLOOKUP($J7793,'Informations sur les produits'!$A$3:$H$10000,8,FALSE),"0")</f>
        <v>0</v>
      </c>
      <c r="N7793" s="8"/>
      <c r="O7793" s="33" t="str">
        <f>IFERROR(VLOOKUP($M7793,'Informations sur les produits'!$A$3:$H$10000,8,FALSE),"0")</f>
        <v>0</v>
      </c>
      <c r="P7793" s="33">
        <f t="shared" si="484"/>
        <v>0</v>
      </c>
      <c r="Q7793" s="31" t="str">
        <f t="shared" si="485"/>
        <v/>
      </c>
      <c r="R7793" s="32" t="str">
        <f>IFERROR(VLOOKUP($D7793,'Informations sur les produits'!$A$3:$B$15000,2,FALSE),"")</f>
        <v/>
      </c>
      <c r="V7793">
        <f t="shared" si="486"/>
        <v>0</v>
      </c>
      <c r="W7793">
        <f t="shared" si="487"/>
        <v>0</v>
      </c>
    </row>
    <row r="7794" spans="5:23" x14ac:dyDescent="0.25">
      <c r="E7794" s="4"/>
      <c r="F7794" s="4"/>
      <c r="G7794" s="33" t="str">
        <f>IFERROR(VLOOKUP($D7794,'Informations sur les produits'!$A$3:$H$10000,8,FALSE),"0")</f>
        <v>0</v>
      </c>
      <c r="K7794" s="4"/>
      <c r="L7794" s="33" t="str">
        <f>IFERROR(VLOOKUP($J7794,'Informations sur les produits'!$A$3:$H$10000,8,FALSE),"0")</f>
        <v>0</v>
      </c>
      <c r="N7794" s="8"/>
      <c r="O7794" s="33" t="str">
        <f>IFERROR(VLOOKUP($M7794,'Informations sur les produits'!$A$3:$H$10000,8,FALSE),"0")</f>
        <v>0</v>
      </c>
      <c r="P7794" s="33">
        <f t="shared" si="484"/>
        <v>0</v>
      </c>
      <c r="Q7794" s="31" t="str">
        <f t="shared" si="485"/>
        <v/>
      </c>
      <c r="R7794" s="32" t="str">
        <f>IFERROR(VLOOKUP($D7794,'Informations sur les produits'!$A$3:$B$15000,2,FALSE),"")</f>
        <v/>
      </c>
      <c r="V7794">
        <f t="shared" si="486"/>
        <v>0</v>
      </c>
      <c r="W7794">
        <f t="shared" si="487"/>
        <v>0</v>
      </c>
    </row>
    <row r="7795" spans="5:23" x14ac:dyDescent="0.25">
      <c r="E7795" s="4"/>
      <c r="F7795" s="4"/>
      <c r="G7795" s="33" t="str">
        <f>IFERROR(VLOOKUP($D7795,'Informations sur les produits'!$A$3:$H$10000,8,FALSE),"0")</f>
        <v>0</v>
      </c>
      <c r="K7795" s="4"/>
      <c r="L7795" s="33" t="str">
        <f>IFERROR(VLOOKUP($J7795,'Informations sur les produits'!$A$3:$H$10000,8,FALSE),"0")</f>
        <v>0</v>
      </c>
      <c r="N7795" s="8"/>
      <c r="O7795" s="33" t="str">
        <f>IFERROR(VLOOKUP($M7795,'Informations sur les produits'!$A$3:$H$10000,8,FALSE),"0")</f>
        <v>0</v>
      </c>
      <c r="P7795" s="33">
        <f t="shared" si="484"/>
        <v>0</v>
      </c>
      <c r="Q7795" s="31" t="str">
        <f t="shared" si="485"/>
        <v/>
      </c>
      <c r="R7795" s="32" t="str">
        <f>IFERROR(VLOOKUP($D7795,'Informations sur les produits'!$A$3:$B$15000,2,FALSE),"")</f>
        <v/>
      </c>
      <c r="V7795">
        <f t="shared" si="486"/>
        <v>0</v>
      </c>
      <c r="W7795">
        <f t="shared" si="487"/>
        <v>0</v>
      </c>
    </row>
    <row r="7796" spans="5:23" x14ac:dyDescent="0.25">
      <c r="E7796" s="4"/>
      <c r="F7796" s="4"/>
      <c r="G7796" s="33" t="str">
        <f>IFERROR(VLOOKUP($D7796,'Informations sur les produits'!$A$3:$H$10000,8,FALSE),"0")</f>
        <v>0</v>
      </c>
      <c r="K7796" s="4"/>
      <c r="L7796" s="33" t="str">
        <f>IFERROR(VLOOKUP($J7796,'Informations sur les produits'!$A$3:$H$10000,8,FALSE),"0")</f>
        <v>0</v>
      </c>
      <c r="N7796" s="8"/>
      <c r="O7796" s="33" t="str">
        <f>IFERROR(VLOOKUP($M7796,'Informations sur les produits'!$A$3:$H$10000,8,FALSE),"0")</f>
        <v>0</v>
      </c>
      <c r="P7796" s="33">
        <f t="shared" si="484"/>
        <v>0</v>
      </c>
      <c r="Q7796" s="31" t="str">
        <f t="shared" si="485"/>
        <v/>
      </c>
      <c r="R7796" s="32" t="str">
        <f>IFERROR(VLOOKUP($D7796,'Informations sur les produits'!$A$3:$B$15000,2,FALSE),"")</f>
        <v/>
      </c>
      <c r="V7796">
        <f t="shared" si="486"/>
        <v>0</v>
      </c>
      <c r="W7796">
        <f t="shared" si="487"/>
        <v>0</v>
      </c>
    </row>
    <row r="7797" spans="5:23" x14ac:dyDescent="0.25">
      <c r="E7797" s="4"/>
      <c r="F7797" s="4"/>
      <c r="G7797" s="33" t="str">
        <f>IFERROR(VLOOKUP($D7797,'Informations sur les produits'!$A$3:$H$10000,8,FALSE),"0")</f>
        <v>0</v>
      </c>
      <c r="K7797" s="4"/>
      <c r="L7797" s="33" t="str">
        <f>IFERROR(VLOOKUP($J7797,'Informations sur les produits'!$A$3:$H$10000,8,FALSE),"0")</f>
        <v>0</v>
      </c>
      <c r="N7797" s="8"/>
      <c r="O7797" s="33" t="str">
        <f>IFERROR(VLOOKUP($M7797,'Informations sur les produits'!$A$3:$H$10000,8,FALSE),"0")</f>
        <v>0</v>
      </c>
      <c r="P7797" s="33">
        <f t="shared" si="484"/>
        <v>0</v>
      </c>
      <c r="Q7797" s="31" t="str">
        <f t="shared" si="485"/>
        <v/>
      </c>
      <c r="R7797" s="32" t="str">
        <f>IFERROR(VLOOKUP($D7797,'Informations sur les produits'!$A$3:$B$15000,2,FALSE),"")</f>
        <v/>
      </c>
      <c r="V7797">
        <f t="shared" si="486"/>
        <v>0</v>
      </c>
      <c r="W7797">
        <f t="shared" si="487"/>
        <v>0</v>
      </c>
    </row>
    <row r="7798" spans="5:23" x14ac:dyDescent="0.25">
      <c r="E7798" s="4"/>
      <c r="F7798" s="4"/>
      <c r="G7798" s="33" t="str">
        <f>IFERROR(VLOOKUP($D7798,'Informations sur les produits'!$A$3:$H$10000,8,FALSE),"0")</f>
        <v>0</v>
      </c>
      <c r="K7798" s="4"/>
      <c r="L7798" s="33" t="str">
        <f>IFERROR(VLOOKUP($J7798,'Informations sur les produits'!$A$3:$H$10000,8,FALSE),"0")</f>
        <v>0</v>
      </c>
      <c r="N7798" s="8"/>
      <c r="O7798" s="33" t="str">
        <f>IFERROR(VLOOKUP($M7798,'Informations sur les produits'!$A$3:$H$10000,8,FALSE),"0")</f>
        <v>0</v>
      </c>
      <c r="P7798" s="33">
        <f t="shared" si="484"/>
        <v>0</v>
      </c>
      <c r="Q7798" s="31" t="str">
        <f t="shared" si="485"/>
        <v/>
      </c>
      <c r="R7798" s="32" t="str">
        <f>IFERROR(VLOOKUP($D7798,'Informations sur les produits'!$A$3:$B$15000,2,FALSE),"")</f>
        <v/>
      </c>
      <c r="V7798">
        <f t="shared" si="486"/>
        <v>0</v>
      </c>
      <c r="W7798">
        <f t="shared" si="487"/>
        <v>0</v>
      </c>
    </row>
    <row r="7799" spans="5:23" x14ac:dyDescent="0.25">
      <c r="E7799" s="4"/>
      <c r="F7799" s="4"/>
      <c r="G7799" s="33" t="str">
        <f>IFERROR(VLOOKUP($D7799,'Informations sur les produits'!$A$3:$H$10000,8,FALSE),"0")</f>
        <v>0</v>
      </c>
      <c r="K7799" s="4"/>
      <c r="L7799" s="33" t="str">
        <f>IFERROR(VLOOKUP($J7799,'Informations sur les produits'!$A$3:$H$10000,8,FALSE),"0")</f>
        <v>0</v>
      </c>
      <c r="N7799" s="8"/>
      <c r="O7799" s="33" t="str">
        <f>IFERROR(VLOOKUP($M7799,'Informations sur les produits'!$A$3:$H$10000,8,FALSE),"0")</f>
        <v>0</v>
      </c>
      <c r="P7799" s="33">
        <f t="shared" si="484"/>
        <v>0</v>
      </c>
      <c r="Q7799" s="31" t="str">
        <f t="shared" si="485"/>
        <v/>
      </c>
      <c r="R7799" s="32" t="str">
        <f>IFERROR(VLOOKUP($D7799,'Informations sur les produits'!$A$3:$B$15000,2,FALSE),"")</f>
        <v/>
      </c>
      <c r="V7799">
        <f t="shared" si="486"/>
        <v>0</v>
      </c>
      <c r="W7799">
        <f t="shared" si="487"/>
        <v>0</v>
      </c>
    </row>
    <row r="7800" spans="5:23" x14ac:dyDescent="0.25">
      <c r="E7800" s="4"/>
      <c r="F7800" s="4"/>
      <c r="G7800" s="33" t="str">
        <f>IFERROR(VLOOKUP($D7800,'Informations sur les produits'!$A$3:$H$10000,8,FALSE),"0")</f>
        <v>0</v>
      </c>
      <c r="K7800" s="4"/>
      <c r="L7800" s="33" t="str">
        <f>IFERROR(VLOOKUP($J7800,'Informations sur les produits'!$A$3:$H$10000,8,FALSE),"0")</f>
        <v>0</v>
      </c>
      <c r="N7800" s="8"/>
      <c r="O7800" s="33" t="str">
        <f>IFERROR(VLOOKUP($M7800,'Informations sur les produits'!$A$3:$H$10000,8,FALSE),"0")</f>
        <v>0</v>
      </c>
      <c r="P7800" s="33">
        <f t="shared" si="484"/>
        <v>0</v>
      </c>
      <c r="Q7800" s="31" t="str">
        <f t="shared" si="485"/>
        <v/>
      </c>
      <c r="R7800" s="32" t="str">
        <f>IFERROR(VLOOKUP($D7800,'Informations sur les produits'!$A$3:$B$15000,2,FALSE),"")</f>
        <v/>
      </c>
      <c r="V7800">
        <f t="shared" si="486"/>
        <v>0</v>
      </c>
      <c r="W7800">
        <f t="shared" si="487"/>
        <v>0</v>
      </c>
    </row>
    <row r="7801" spans="5:23" x14ac:dyDescent="0.25">
      <c r="E7801" s="4"/>
      <c r="F7801" s="4"/>
      <c r="G7801" s="33" t="str">
        <f>IFERROR(VLOOKUP($D7801,'Informations sur les produits'!$A$3:$H$10000,8,FALSE),"0")</f>
        <v>0</v>
      </c>
      <c r="K7801" s="4"/>
      <c r="L7801" s="33" t="str">
        <f>IFERROR(VLOOKUP($J7801,'Informations sur les produits'!$A$3:$H$10000,8,FALSE),"0")</f>
        <v>0</v>
      </c>
      <c r="N7801" s="8"/>
      <c r="O7801" s="33" t="str">
        <f>IFERROR(VLOOKUP($M7801,'Informations sur les produits'!$A$3:$H$10000,8,FALSE),"0")</f>
        <v>0</v>
      </c>
      <c r="P7801" s="33">
        <f t="shared" si="484"/>
        <v>0</v>
      </c>
      <c r="Q7801" s="31" t="str">
        <f t="shared" si="485"/>
        <v/>
      </c>
      <c r="R7801" s="32" t="str">
        <f>IFERROR(VLOOKUP($D7801,'Informations sur les produits'!$A$3:$B$15000,2,FALSE),"")</f>
        <v/>
      </c>
      <c r="V7801">
        <f t="shared" si="486"/>
        <v>0</v>
      </c>
      <c r="W7801">
        <f t="shared" si="487"/>
        <v>0</v>
      </c>
    </row>
    <row r="7802" spans="5:23" x14ac:dyDescent="0.25">
      <c r="E7802" s="4"/>
      <c r="F7802" s="4"/>
      <c r="G7802" s="33" t="str">
        <f>IFERROR(VLOOKUP($D7802,'Informations sur les produits'!$A$3:$H$10000,8,FALSE),"0")</f>
        <v>0</v>
      </c>
      <c r="K7802" s="4"/>
      <c r="L7802" s="33" t="str">
        <f>IFERROR(VLOOKUP($J7802,'Informations sur les produits'!$A$3:$H$10000,8,FALSE),"0")</f>
        <v>0</v>
      </c>
      <c r="N7802" s="8"/>
      <c r="O7802" s="33" t="str">
        <f>IFERROR(VLOOKUP($M7802,'Informations sur les produits'!$A$3:$H$10000,8,FALSE),"0")</f>
        <v>0</v>
      </c>
      <c r="P7802" s="33">
        <f t="shared" si="484"/>
        <v>0</v>
      </c>
      <c r="Q7802" s="31" t="str">
        <f t="shared" si="485"/>
        <v/>
      </c>
      <c r="R7802" s="32" t="str">
        <f>IFERROR(VLOOKUP($D7802,'Informations sur les produits'!$A$3:$B$15000,2,FALSE),"")</f>
        <v/>
      </c>
      <c r="V7802">
        <f t="shared" si="486"/>
        <v>0</v>
      </c>
      <c r="W7802">
        <f t="shared" si="487"/>
        <v>0</v>
      </c>
    </row>
    <row r="7803" spans="5:23" x14ac:dyDescent="0.25">
      <c r="E7803" s="4"/>
      <c r="F7803" s="4"/>
      <c r="G7803" s="33" t="str">
        <f>IFERROR(VLOOKUP($D7803,'Informations sur les produits'!$A$3:$H$10000,8,FALSE),"0")</f>
        <v>0</v>
      </c>
      <c r="K7803" s="4"/>
      <c r="L7803" s="33" t="str">
        <f>IFERROR(VLOOKUP($J7803,'Informations sur les produits'!$A$3:$H$10000,8,FALSE),"0")</f>
        <v>0</v>
      </c>
      <c r="N7803" s="8"/>
      <c r="O7803" s="33" t="str">
        <f>IFERROR(VLOOKUP($M7803,'Informations sur les produits'!$A$3:$H$10000,8,FALSE),"0")</f>
        <v>0</v>
      </c>
      <c r="P7803" s="33">
        <f t="shared" si="484"/>
        <v>0</v>
      </c>
      <c r="Q7803" s="31" t="str">
        <f t="shared" si="485"/>
        <v/>
      </c>
      <c r="R7803" s="32" t="str">
        <f>IFERROR(VLOOKUP($D7803,'Informations sur les produits'!$A$3:$B$15000,2,FALSE),"")</f>
        <v/>
      </c>
      <c r="V7803">
        <f t="shared" si="486"/>
        <v>0</v>
      </c>
      <c r="W7803">
        <f t="shared" si="487"/>
        <v>0</v>
      </c>
    </row>
    <row r="7804" spans="5:23" x14ac:dyDescent="0.25">
      <c r="E7804" s="4"/>
      <c r="F7804" s="4"/>
      <c r="G7804" s="33" t="str">
        <f>IFERROR(VLOOKUP($D7804,'Informations sur les produits'!$A$3:$H$10000,8,FALSE),"0")</f>
        <v>0</v>
      </c>
      <c r="K7804" s="4"/>
      <c r="L7804" s="33" t="str">
        <f>IFERROR(VLOOKUP($J7804,'Informations sur les produits'!$A$3:$H$10000,8,FALSE),"0")</f>
        <v>0</v>
      </c>
      <c r="N7804" s="8"/>
      <c r="O7804" s="33" t="str">
        <f>IFERROR(VLOOKUP($M7804,'Informations sur les produits'!$A$3:$H$10000,8,FALSE),"0")</f>
        <v>0</v>
      </c>
      <c r="P7804" s="33">
        <f t="shared" si="484"/>
        <v>0</v>
      </c>
      <c r="Q7804" s="31" t="str">
        <f t="shared" si="485"/>
        <v/>
      </c>
      <c r="R7804" s="32" t="str">
        <f>IFERROR(VLOOKUP($D7804,'Informations sur les produits'!$A$3:$B$15000,2,FALSE),"")</f>
        <v/>
      </c>
      <c r="V7804">
        <f t="shared" si="486"/>
        <v>0</v>
      </c>
      <c r="W7804">
        <f t="shared" si="487"/>
        <v>0</v>
      </c>
    </row>
    <row r="7805" spans="5:23" x14ac:dyDescent="0.25">
      <c r="E7805" s="4"/>
      <c r="F7805" s="4"/>
      <c r="G7805" s="33" t="str">
        <f>IFERROR(VLOOKUP($D7805,'Informations sur les produits'!$A$3:$H$10000,8,FALSE),"0")</f>
        <v>0</v>
      </c>
      <c r="K7805" s="4"/>
      <c r="L7805" s="33" t="str">
        <f>IFERROR(VLOOKUP($J7805,'Informations sur les produits'!$A$3:$H$10000,8,FALSE),"0")</f>
        <v>0</v>
      </c>
      <c r="N7805" s="8"/>
      <c r="O7805" s="33" t="str">
        <f>IFERROR(VLOOKUP($M7805,'Informations sur les produits'!$A$3:$H$10000,8,FALSE),"0")</f>
        <v>0</v>
      </c>
      <c r="P7805" s="33">
        <f t="shared" si="484"/>
        <v>0</v>
      </c>
      <c r="Q7805" s="31" t="str">
        <f t="shared" si="485"/>
        <v/>
      </c>
      <c r="R7805" s="32" t="str">
        <f>IFERROR(VLOOKUP($D7805,'Informations sur les produits'!$A$3:$B$15000,2,FALSE),"")</f>
        <v/>
      </c>
      <c r="V7805">
        <f t="shared" si="486"/>
        <v>0</v>
      </c>
      <c r="W7805">
        <f t="shared" si="487"/>
        <v>0</v>
      </c>
    </row>
    <row r="7806" spans="5:23" x14ac:dyDescent="0.25">
      <c r="E7806" s="4"/>
      <c r="F7806" s="4"/>
      <c r="G7806" s="33" t="str">
        <f>IFERROR(VLOOKUP($D7806,'Informations sur les produits'!$A$3:$H$10000,8,FALSE),"0")</f>
        <v>0</v>
      </c>
      <c r="K7806" s="4"/>
      <c r="L7806" s="33" t="str">
        <f>IFERROR(VLOOKUP($J7806,'Informations sur les produits'!$A$3:$H$10000,8,FALSE),"0")</f>
        <v>0</v>
      </c>
      <c r="N7806" s="8"/>
      <c r="O7806" s="33" t="str">
        <f>IFERROR(VLOOKUP($M7806,'Informations sur les produits'!$A$3:$H$10000,8,FALSE),"0")</f>
        <v>0</v>
      </c>
      <c r="P7806" s="33">
        <f t="shared" si="484"/>
        <v>0</v>
      </c>
      <c r="Q7806" s="31" t="str">
        <f t="shared" si="485"/>
        <v/>
      </c>
      <c r="R7806" s="32" t="str">
        <f>IFERROR(VLOOKUP($D7806,'Informations sur les produits'!$A$3:$B$15000,2,FALSE),"")</f>
        <v/>
      </c>
      <c r="V7806">
        <f t="shared" si="486"/>
        <v>0</v>
      </c>
      <c r="W7806">
        <f t="shared" si="487"/>
        <v>0</v>
      </c>
    </row>
    <row r="7807" spans="5:23" x14ac:dyDescent="0.25">
      <c r="E7807" s="4"/>
      <c r="F7807" s="4"/>
      <c r="G7807" s="33" t="str">
        <f>IFERROR(VLOOKUP($D7807,'Informations sur les produits'!$A$3:$H$10000,8,FALSE),"0")</f>
        <v>0</v>
      </c>
      <c r="K7807" s="4"/>
      <c r="L7807" s="33" t="str">
        <f>IFERROR(VLOOKUP($J7807,'Informations sur les produits'!$A$3:$H$10000,8,FALSE),"0")</f>
        <v>0</v>
      </c>
      <c r="N7807" s="8"/>
      <c r="O7807" s="33" t="str">
        <f>IFERROR(VLOOKUP($M7807,'Informations sur les produits'!$A$3:$H$10000,8,FALSE),"0")</f>
        <v>0</v>
      </c>
      <c r="P7807" s="33">
        <f t="shared" si="484"/>
        <v>0</v>
      </c>
      <c r="Q7807" s="31" t="str">
        <f t="shared" si="485"/>
        <v/>
      </c>
      <c r="R7807" s="32" t="str">
        <f>IFERROR(VLOOKUP($D7807,'Informations sur les produits'!$A$3:$B$15000,2,FALSE),"")</f>
        <v/>
      </c>
      <c r="V7807">
        <f t="shared" si="486"/>
        <v>0</v>
      </c>
      <c r="W7807">
        <f t="shared" si="487"/>
        <v>0</v>
      </c>
    </row>
    <row r="7808" spans="5:23" x14ac:dyDescent="0.25">
      <c r="E7808" s="4"/>
      <c r="F7808" s="4"/>
      <c r="G7808" s="33" t="str">
        <f>IFERROR(VLOOKUP($D7808,'Informations sur les produits'!$A$3:$H$10000,8,FALSE),"0")</f>
        <v>0</v>
      </c>
      <c r="K7808" s="4"/>
      <c r="L7808" s="33" t="str">
        <f>IFERROR(VLOOKUP($J7808,'Informations sur les produits'!$A$3:$H$10000,8,FALSE),"0")</f>
        <v>0</v>
      </c>
      <c r="N7808" s="8"/>
      <c r="O7808" s="33" t="str">
        <f>IFERROR(VLOOKUP($M7808,'Informations sur les produits'!$A$3:$H$10000,8,FALSE),"0")</f>
        <v>0</v>
      </c>
      <c r="P7808" s="33">
        <f t="shared" si="484"/>
        <v>0</v>
      </c>
      <c r="Q7808" s="31" t="str">
        <f t="shared" si="485"/>
        <v/>
      </c>
      <c r="R7808" s="32" t="str">
        <f>IFERROR(VLOOKUP($D7808,'Informations sur les produits'!$A$3:$B$15000,2,FALSE),"")</f>
        <v/>
      </c>
      <c r="V7808">
        <f t="shared" si="486"/>
        <v>0</v>
      </c>
      <c r="W7808">
        <f t="shared" si="487"/>
        <v>0</v>
      </c>
    </row>
    <row r="7809" spans="5:23" x14ac:dyDescent="0.25">
      <c r="E7809" s="4"/>
      <c r="F7809" s="4"/>
      <c r="G7809" s="33" t="str">
        <f>IFERROR(VLOOKUP($D7809,'Informations sur les produits'!$A$3:$H$10000,8,FALSE),"0")</f>
        <v>0</v>
      </c>
      <c r="K7809" s="4"/>
      <c r="L7809" s="33" t="str">
        <f>IFERROR(VLOOKUP($J7809,'Informations sur les produits'!$A$3:$H$10000,8,FALSE),"0")</f>
        <v>0</v>
      </c>
      <c r="N7809" s="8"/>
      <c r="O7809" s="33" t="str">
        <f>IFERROR(VLOOKUP($M7809,'Informations sur les produits'!$A$3:$H$10000,8,FALSE),"0")</f>
        <v>0</v>
      </c>
      <c r="P7809" s="33">
        <f t="shared" si="484"/>
        <v>0</v>
      </c>
      <c r="Q7809" s="31" t="str">
        <f t="shared" si="485"/>
        <v/>
      </c>
      <c r="R7809" s="32" t="str">
        <f>IFERROR(VLOOKUP($D7809,'Informations sur les produits'!$A$3:$B$15000,2,FALSE),"")</f>
        <v/>
      </c>
      <c r="V7809">
        <f t="shared" si="486"/>
        <v>0</v>
      </c>
      <c r="W7809">
        <f t="shared" si="487"/>
        <v>0</v>
      </c>
    </row>
    <row r="7810" spans="5:23" x14ac:dyDescent="0.25">
      <c r="E7810" s="4"/>
      <c r="F7810" s="4"/>
      <c r="G7810" s="33" t="str">
        <f>IFERROR(VLOOKUP($D7810,'Informations sur les produits'!$A$3:$H$10000,8,FALSE),"0")</f>
        <v>0</v>
      </c>
      <c r="K7810" s="4"/>
      <c r="L7810" s="33" t="str">
        <f>IFERROR(VLOOKUP($J7810,'Informations sur les produits'!$A$3:$H$10000,8,FALSE),"0")</f>
        <v>0</v>
      </c>
      <c r="N7810" s="8"/>
      <c r="O7810" s="33" t="str">
        <f>IFERROR(VLOOKUP($M7810,'Informations sur les produits'!$A$3:$H$10000,8,FALSE),"0")</f>
        <v>0</v>
      </c>
      <c r="P7810" s="33">
        <f t="shared" si="484"/>
        <v>0</v>
      </c>
      <c r="Q7810" s="31" t="str">
        <f t="shared" si="485"/>
        <v/>
      </c>
      <c r="R7810" s="32" t="str">
        <f>IFERROR(VLOOKUP($D7810,'Informations sur les produits'!$A$3:$B$15000,2,FALSE),"")</f>
        <v/>
      </c>
      <c r="V7810">
        <f t="shared" si="486"/>
        <v>0</v>
      </c>
      <c r="W7810">
        <f t="shared" si="487"/>
        <v>0</v>
      </c>
    </row>
    <row r="7811" spans="5:23" x14ac:dyDescent="0.25">
      <c r="E7811" s="4"/>
      <c r="F7811" s="4"/>
      <c r="G7811" s="33" t="str">
        <f>IFERROR(VLOOKUP($D7811,'Informations sur les produits'!$A$3:$H$10000,8,FALSE),"0")</f>
        <v>0</v>
      </c>
      <c r="K7811" s="4"/>
      <c r="L7811" s="33" t="str">
        <f>IFERROR(VLOOKUP($J7811,'Informations sur les produits'!$A$3:$H$10000,8,FALSE),"0")</f>
        <v>0</v>
      </c>
      <c r="N7811" s="8"/>
      <c r="O7811" s="33" t="str">
        <f>IFERROR(VLOOKUP($M7811,'Informations sur les produits'!$A$3:$H$10000,8,FALSE),"0")</f>
        <v>0</v>
      </c>
      <c r="P7811" s="33">
        <f t="shared" si="484"/>
        <v>0</v>
      </c>
      <c r="Q7811" s="31" t="str">
        <f t="shared" si="485"/>
        <v/>
      </c>
      <c r="R7811" s="32" t="str">
        <f>IFERROR(VLOOKUP($D7811,'Informations sur les produits'!$A$3:$B$15000,2,FALSE),"")</f>
        <v/>
      </c>
      <c r="V7811">
        <f t="shared" si="486"/>
        <v>0</v>
      </c>
      <c r="W7811">
        <f t="shared" si="487"/>
        <v>0</v>
      </c>
    </row>
    <row r="7812" spans="5:23" x14ac:dyDescent="0.25">
      <c r="E7812" s="4"/>
      <c r="F7812" s="4"/>
      <c r="G7812" s="33" t="str">
        <f>IFERROR(VLOOKUP($D7812,'Informations sur les produits'!$A$3:$H$10000,8,FALSE),"0")</f>
        <v>0</v>
      </c>
      <c r="K7812" s="4"/>
      <c r="L7812" s="33" t="str">
        <f>IFERROR(VLOOKUP($J7812,'Informations sur les produits'!$A$3:$H$10000,8,FALSE),"0")</f>
        <v>0</v>
      </c>
      <c r="N7812" s="8"/>
      <c r="O7812" s="33" t="str">
        <f>IFERROR(VLOOKUP($M7812,'Informations sur les produits'!$A$3:$H$10000,8,FALSE),"0")</f>
        <v>0</v>
      </c>
      <c r="P7812" s="33">
        <f t="shared" ref="P7812:P7875" si="488">IFERROR((($E7812-$F7812)*$G7812+$K7812*$L7812+$N7812*$O7812),"")</f>
        <v>0</v>
      </c>
      <c r="Q7812" s="31" t="str">
        <f t="shared" ref="Q7812:Q7875" si="489">IFERROR((((($E7812-$F7812)*$G7812+$K7812*$L7812+$N7812*$O7812)*1000)/(($E7812-$F7812)+$K7812+$N7812)),"")</f>
        <v/>
      </c>
      <c r="R7812" s="32" t="str">
        <f>IFERROR(VLOOKUP($D7812,'Informations sur les produits'!$A$3:$B$15000,2,FALSE),"")</f>
        <v/>
      </c>
      <c r="V7812">
        <f t="shared" ref="V7812:V7875" si="490">IFERROR(P7812*1000,"")</f>
        <v>0</v>
      </c>
      <c r="W7812">
        <f t="shared" ref="W7812:W7875" si="491">IFERROR(($E7812-$F7812)+$K7812+$N7812,"")</f>
        <v>0</v>
      </c>
    </row>
    <row r="7813" spans="5:23" x14ac:dyDescent="0.25">
      <c r="E7813" s="4"/>
      <c r="F7813" s="4"/>
      <c r="G7813" s="33" t="str">
        <f>IFERROR(VLOOKUP($D7813,'Informations sur les produits'!$A$3:$H$10000,8,FALSE),"0")</f>
        <v>0</v>
      </c>
      <c r="K7813" s="4"/>
      <c r="L7813" s="33" t="str">
        <f>IFERROR(VLOOKUP($J7813,'Informations sur les produits'!$A$3:$H$10000,8,FALSE),"0")</f>
        <v>0</v>
      </c>
      <c r="N7813" s="8"/>
      <c r="O7813" s="33" t="str">
        <f>IFERROR(VLOOKUP($M7813,'Informations sur les produits'!$A$3:$H$10000,8,FALSE),"0")</f>
        <v>0</v>
      </c>
      <c r="P7813" s="33">
        <f t="shared" si="488"/>
        <v>0</v>
      </c>
      <c r="Q7813" s="31" t="str">
        <f t="shared" si="489"/>
        <v/>
      </c>
      <c r="R7813" s="32" t="str">
        <f>IFERROR(VLOOKUP($D7813,'Informations sur les produits'!$A$3:$B$15000,2,FALSE),"")</f>
        <v/>
      </c>
      <c r="V7813">
        <f t="shared" si="490"/>
        <v>0</v>
      </c>
      <c r="W7813">
        <f t="shared" si="491"/>
        <v>0</v>
      </c>
    </row>
    <row r="7814" spans="5:23" x14ac:dyDescent="0.25">
      <c r="E7814" s="4"/>
      <c r="F7814" s="4"/>
      <c r="G7814" s="33" t="str">
        <f>IFERROR(VLOOKUP($D7814,'Informations sur les produits'!$A$3:$H$10000,8,FALSE),"0")</f>
        <v>0</v>
      </c>
      <c r="K7814" s="4"/>
      <c r="L7814" s="33" t="str">
        <f>IFERROR(VLOOKUP($J7814,'Informations sur les produits'!$A$3:$H$10000,8,FALSE),"0")</f>
        <v>0</v>
      </c>
      <c r="N7814" s="8"/>
      <c r="O7814" s="33" t="str">
        <f>IFERROR(VLOOKUP($M7814,'Informations sur les produits'!$A$3:$H$10000,8,FALSE),"0")</f>
        <v>0</v>
      </c>
      <c r="P7814" s="33">
        <f t="shared" si="488"/>
        <v>0</v>
      </c>
      <c r="Q7814" s="31" t="str">
        <f t="shared" si="489"/>
        <v/>
      </c>
      <c r="R7814" s="32" t="str">
        <f>IFERROR(VLOOKUP($D7814,'Informations sur les produits'!$A$3:$B$15000,2,FALSE),"")</f>
        <v/>
      </c>
      <c r="V7814">
        <f t="shared" si="490"/>
        <v>0</v>
      </c>
      <c r="W7814">
        <f t="shared" si="491"/>
        <v>0</v>
      </c>
    </row>
    <row r="7815" spans="5:23" x14ac:dyDescent="0.25">
      <c r="E7815" s="4"/>
      <c r="F7815" s="4"/>
      <c r="G7815" s="33" t="str">
        <f>IFERROR(VLOOKUP($D7815,'Informations sur les produits'!$A$3:$H$10000,8,FALSE),"0")</f>
        <v>0</v>
      </c>
      <c r="K7815" s="4"/>
      <c r="L7815" s="33" t="str">
        <f>IFERROR(VLOOKUP($J7815,'Informations sur les produits'!$A$3:$H$10000,8,FALSE),"0")</f>
        <v>0</v>
      </c>
      <c r="N7815" s="8"/>
      <c r="O7815" s="33" t="str">
        <f>IFERROR(VLOOKUP($M7815,'Informations sur les produits'!$A$3:$H$10000,8,FALSE),"0")</f>
        <v>0</v>
      </c>
      <c r="P7815" s="33">
        <f t="shared" si="488"/>
        <v>0</v>
      </c>
      <c r="Q7815" s="31" t="str">
        <f t="shared" si="489"/>
        <v/>
      </c>
      <c r="R7815" s="32" t="str">
        <f>IFERROR(VLOOKUP($D7815,'Informations sur les produits'!$A$3:$B$15000,2,FALSE),"")</f>
        <v/>
      </c>
      <c r="V7815">
        <f t="shared" si="490"/>
        <v>0</v>
      </c>
      <c r="W7815">
        <f t="shared" si="491"/>
        <v>0</v>
      </c>
    </row>
    <row r="7816" spans="5:23" x14ac:dyDescent="0.25">
      <c r="E7816" s="4"/>
      <c r="F7816" s="4"/>
      <c r="G7816" s="33" t="str">
        <f>IFERROR(VLOOKUP($D7816,'Informations sur les produits'!$A$3:$H$10000,8,FALSE),"0")</f>
        <v>0</v>
      </c>
      <c r="K7816" s="4"/>
      <c r="L7816" s="33" t="str">
        <f>IFERROR(VLOOKUP($J7816,'Informations sur les produits'!$A$3:$H$10000,8,FALSE),"0")</f>
        <v>0</v>
      </c>
      <c r="N7816" s="8"/>
      <c r="O7816" s="33" t="str">
        <f>IFERROR(VLOOKUP($M7816,'Informations sur les produits'!$A$3:$H$10000,8,FALSE),"0")</f>
        <v>0</v>
      </c>
      <c r="P7816" s="33">
        <f t="shared" si="488"/>
        <v>0</v>
      </c>
      <c r="Q7816" s="31" t="str">
        <f t="shared" si="489"/>
        <v/>
      </c>
      <c r="R7816" s="32" t="str">
        <f>IFERROR(VLOOKUP($D7816,'Informations sur les produits'!$A$3:$B$15000,2,FALSE),"")</f>
        <v/>
      </c>
      <c r="V7816">
        <f t="shared" si="490"/>
        <v>0</v>
      </c>
      <c r="W7816">
        <f t="shared" si="491"/>
        <v>0</v>
      </c>
    </row>
    <row r="7817" spans="5:23" x14ac:dyDescent="0.25">
      <c r="E7817" s="4"/>
      <c r="F7817" s="4"/>
      <c r="G7817" s="33" t="str">
        <f>IFERROR(VLOOKUP($D7817,'Informations sur les produits'!$A$3:$H$10000,8,FALSE),"0")</f>
        <v>0</v>
      </c>
      <c r="K7817" s="4"/>
      <c r="L7817" s="33" t="str">
        <f>IFERROR(VLOOKUP($J7817,'Informations sur les produits'!$A$3:$H$10000,8,FALSE),"0")</f>
        <v>0</v>
      </c>
      <c r="N7817" s="8"/>
      <c r="O7817" s="33" t="str">
        <f>IFERROR(VLOOKUP($M7817,'Informations sur les produits'!$A$3:$H$10000,8,FALSE),"0")</f>
        <v>0</v>
      </c>
      <c r="P7817" s="33">
        <f t="shared" si="488"/>
        <v>0</v>
      </c>
      <c r="Q7817" s="31" t="str">
        <f t="shared" si="489"/>
        <v/>
      </c>
      <c r="R7817" s="32" t="str">
        <f>IFERROR(VLOOKUP($D7817,'Informations sur les produits'!$A$3:$B$15000,2,FALSE),"")</f>
        <v/>
      </c>
      <c r="V7817">
        <f t="shared" si="490"/>
        <v>0</v>
      </c>
      <c r="W7817">
        <f t="shared" si="491"/>
        <v>0</v>
      </c>
    </row>
    <row r="7818" spans="5:23" x14ac:dyDescent="0.25">
      <c r="E7818" s="4"/>
      <c r="F7818" s="4"/>
      <c r="G7818" s="33" t="str">
        <f>IFERROR(VLOOKUP($D7818,'Informations sur les produits'!$A$3:$H$10000,8,FALSE),"0")</f>
        <v>0</v>
      </c>
      <c r="K7818" s="4"/>
      <c r="L7818" s="33" t="str">
        <f>IFERROR(VLOOKUP($J7818,'Informations sur les produits'!$A$3:$H$10000,8,FALSE),"0")</f>
        <v>0</v>
      </c>
      <c r="N7818" s="8"/>
      <c r="O7818" s="33" t="str">
        <f>IFERROR(VLOOKUP($M7818,'Informations sur les produits'!$A$3:$H$10000,8,FALSE),"0")</f>
        <v>0</v>
      </c>
      <c r="P7818" s="33">
        <f t="shared" si="488"/>
        <v>0</v>
      </c>
      <c r="Q7818" s="31" t="str">
        <f t="shared" si="489"/>
        <v/>
      </c>
      <c r="R7818" s="32" t="str">
        <f>IFERROR(VLOOKUP($D7818,'Informations sur les produits'!$A$3:$B$15000,2,FALSE),"")</f>
        <v/>
      </c>
      <c r="V7818">
        <f t="shared" si="490"/>
        <v>0</v>
      </c>
      <c r="W7818">
        <f t="shared" si="491"/>
        <v>0</v>
      </c>
    </row>
    <row r="7819" spans="5:23" x14ac:dyDescent="0.25">
      <c r="E7819" s="4"/>
      <c r="F7819" s="4"/>
      <c r="G7819" s="33" t="str">
        <f>IFERROR(VLOOKUP($D7819,'Informations sur les produits'!$A$3:$H$10000,8,FALSE),"0")</f>
        <v>0</v>
      </c>
      <c r="K7819" s="4"/>
      <c r="L7819" s="33" t="str">
        <f>IFERROR(VLOOKUP($J7819,'Informations sur les produits'!$A$3:$H$10000,8,FALSE),"0")</f>
        <v>0</v>
      </c>
      <c r="N7819" s="8"/>
      <c r="O7819" s="33" t="str">
        <f>IFERROR(VLOOKUP($M7819,'Informations sur les produits'!$A$3:$H$10000,8,FALSE),"0")</f>
        <v>0</v>
      </c>
      <c r="P7819" s="33">
        <f t="shared" si="488"/>
        <v>0</v>
      </c>
      <c r="Q7819" s="31" t="str">
        <f t="shared" si="489"/>
        <v/>
      </c>
      <c r="R7819" s="32" t="str">
        <f>IFERROR(VLOOKUP($D7819,'Informations sur les produits'!$A$3:$B$15000,2,FALSE),"")</f>
        <v/>
      </c>
      <c r="V7819">
        <f t="shared" si="490"/>
        <v>0</v>
      </c>
      <c r="W7819">
        <f t="shared" si="491"/>
        <v>0</v>
      </c>
    </row>
    <row r="7820" spans="5:23" x14ac:dyDescent="0.25">
      <c r="E7820" s="4"/>
      <c r="F7820" s="4"/>
      <c r="G7820" s="33" t="str">
        <f>IFERROR(VLOOKUP($D7820,'Informations sur les produits'!$A$3:$H$10000,8,FALSE),"0")</f>
        <v>0</v>
      </c>
      <c r="K7820" s="4"/>
      <c r="L7820" s="33" t="str">
        <f>IFERROR(VLOOKUP($J7820,'Informations sur les produits'!$A$3:$H$10000,8,FALSE),"0")</f>
        <v>0</v>
      </c>
      <c r="N7820" s="8"/>
      <c r="O7820" s="33" t="str">
        <f>IFERROR(VLOOKUP($M7820,'Informations sur les produits'!$A$3:$H$10000,8,FALSE),"0")</f>
        <v>0</v>
      </c>
      <c r="P7820" s="33">
        <f t="shared" si="488"/>
        <v>0</v>
      </c>
      <c r="Q7820" s="31" t="str">
        <f t="shared" si="489"/>
        <v/>
      </c>
      <c r="R7820" s="32" t="str">
        <f>IFERROR(VLOOKUP($D7820,'Informations sur les produits'!$A$3:$B$15000,2,FALSE),"")</f>
        <v/>
      </c>
      <c r="V7820">
        <f t="shared" si="490"/>
        <v>0</v>
      </c>
      <c r="W7820">
        <f t="shared" si="491"/>
        <v>0</v>
      </c>
    </row>
    <row r="7821" spans="5:23" x14ac:dyDescent="0.25">
      <c r="E7821" s="4"/>
      <c r="F7821" s="4"/>
      <c r="G7821" s="33" t="str">
        <f>IFERROR(VLOOKUP($D7821,'Informations sur les produits'!$A$3:$H$10000,8,FALSE),"0")</f>
        <v>0</v>
      </c>
      <c r="K7821" s="4"/>
      <c r="L7821" s="33" t="str">
        <f>IFERROR(VLOOKUP($J7821,'Informations sur les produits'!$A$3:$H$10000,8,FALSE),"0")</f>
        <v>0</v>
      </c>
      <c r="N7821" s="8"/>
      <c r="O7821" s="33" t="str">
        <f>IFERROR(VLOOKUP($M7821,'Informations sur les produits'!$A$3:$H$10000,8,FALSE),"0")</f>
        <v>0</v>
      </c>
      <c r="P7821" s="33">
        <f t="shared" si="488"/>
        <v>0</v>
      </c>
      <c r="Q7821" s="31" t="str">
        <f t="shared" si="489"/>
        <v/>
      </c>
      <c r="R7821" s="32" t="str">
        <f>IFERROR(VLOOKUP($D7821,'Informations sur les produits'!$A$3:$B$15000,2,FALSE),"")</f>
        <v/>
      </c>
      <c r="V7821">
        <f t="shared" si="490"/>
        <v>0</v>
      </c>
      <c r="W7821">
        <f t="shared" si="491"/>
        <v>0</v>
      </c>
    </row>
    <row r="7822" spans="5:23" x14ac:dyDescent="0.25">
      <c r="E7822" s="4"/>
      <c r="F7822" s="4"/>
      <c r="G7822" s="33" t="str">
        <f>IFERROR(VLOOKUP($D7822,'Informations sur les produits'!$A$3:$H$10000,8,FALSE),"0")</f>
        <v>0</v>
      </c>
      <c r="K7822" s="4"/>
      <c r="L7822" s="33" t="str">
        <f>IFERROR(VLOOKUP($J7822,'Informations sur les produits'!$A$3:$H$10000,8,FALSE),"0")</f>
        <v>0</v>
      </c>
      <c r="N7822" s="8"/>
      <c r="O7822" s="33" t="str">
        <f>IFERROR(VLOOKUP($M7822,'Informations sur les produits'!$A$3:$H$10000,8,FALSE),"0")</f>
        <v>0</v>
      </c>
      <c r="P7822" s="33">
        <f t="shared" si="488"/>
        <v>0</v>
      </c>
      <c r="Q7822" s="31" t="str">
        <f t="shared" si="489"/>
        <v/>
      </c>
      <c r="R7822" s="32" t="str">
        <f>IFERROR(VLOOKUP($D7822,'Informations sur les produits'!$A$3:$B$15000,2,FALSE),"")</f>
        <v/>
      </c>
      <c r="V7822">
        <f t="shared" si="490"/>
        <v>0</v>
      </c>
      <c r="W7822">
        <f t="shared" si="491"/>
        <v>0</v>
      </c>
    </row>
    <row r="7823" spans="5:23" x14ac:dyDescent="0.25">
      <c r="E7823" s="4"/>
      <c r="F7823" s="4"/>
      <c r="G7823" s="33" t="str">
        <f>IFERROR(VLOOKUP($D7823,'Informations sur les produits'!$A$3:$H$10000,8,FALSE),"0")</f>
        <v>0</v>
      </c>
      <c r="K7823" s="4"/>
      <c r="L7823" s="33" t="str">
        <f>IFERROR(VLOOKUP($J7823,'Informations sur les produits'!$A$3:$H$10000,8,FALSE),"0")</f>
        <v>0</v>
      </c>
      <c r="N7823" s="8"/>
      <c r="O7823" s="33" t="str">
        <f>IFERROR(VLOOKUP($M7823,'Informations sur les produits'!$A$3:$H$10000,8,FALSE),"0")</f>
        <v>0</v>
      </c>
      <c r="P7823" s="33">
        <f t="shared" si="488"/>
        <v>0</v>
      </c>
      <c r="Q7823" s="31" t="str">
        <f t="shared" si="489"/>
        <v/>
      </c>
      <c r="R7823" s="32" t="str">
        <f>IFERROR(VLOOKUP($D7823,'Informations sur les produits'!$A$3:$B$15000,2,FALSE),"")</f>
        <v/>
      </c>
      <c r="V7823">
        <f t="shared" si="490"/>
        <v>0</v>
      </c>
      <c r="W7823">
        <f t="shared" si="491"/>
        <v>0</v>
      </c>
    </row>
    <row r="7824" spans="5:23" x14ac:dyDescent="0.25">
      <c r="E7824" s="4"/>
      <c r="F7824" s="4"/>
      <c r="G7824" s="33" t="str">
        <f>IFERROR(VLOOKUP($D7824,'Informations sur les produits'!$A$3:$H$10000,8,FALSE),"0")</f>
        <v>0</v>
      </c>
      <c r="K7824" s="4"/>
      <c r="L7824" s="33" t="str">
        <f>IFERROR(VLOOKUP($J7824,'Informations sur les produits'!$A$3:$H$10000,8,FALSE),"0")</f>
        <v>0</v>
      </c>
      <c r="N7824" s="8"/>
      <c r="O7824" s="33" t="str">
        <f>IFERROR(VLOOKUP($M7824,'Informations sur les produits'!$A$3:$H$10000,8,FALSE),"0")</f>
        <v>0</v>
      </c>
      <c r="P7824" s="33">
        <f t="shared" si="488"/>
        <v>0</v>
      </c>
      <c r="Q7824" s="31" t="str">
        <f t="shared" si="489"/>
        <v/>
      </c>
      <c r="R7824" s="32" t="str">
        <f>IFERROR(VLOOKUP($D7824,'Informations sur les produits'!$A$3:$B$15000,2,FALSE),"")</f>
        <v/>
      </c>
      <c r="V7824">
        <f t="shared" si="490"/>
        <v>0</v>
      </c>
      <c r="W7824">
        <f t="shared" si="491"/>
        <v>0</v>
      </c>
    </row>
    <row r="7825" spans="5:23" x14ac:dyDescent="0.25">
      <c r="E7825" s="4"/>
      <c r="F7825" s="4"/>
      <c r="G7825" s="33" t="str">
        <f>IFERROR(VLOOKUP($D7825,'Informations sur les produits'!$A$3:$H$10000,8,FALSE),"0")</f>
        <v>0</v>
      </c>
      <c r="K7825" s="4"/>
      <c r="L7825" s="33" t="str">
        <f>IFERROR(VLOOKUP($J7825,'Informations sur les produits'!$A$3:$H$10000,8,FALSE),"0")</f>
        <v>0</v>
      </c>
      <c r="N7825" s="8"/>
      <c r="O7825" s="33" t="str">
        <f>IFERROR(VLOOKUP($M7825,'Informations sur les produits'!$A$3:$H$10000,8,FALSE),"0")</f>
        <v>0</v>
      </c>
      <c r="P7825" s="33">
        <f t="shared" si="488"/>
        <v>0</v>
      </c>
      <c r="Q7825" s="31" t="str">
        <f t="shared" si="489"/>
        <v/>
      </c>
      <c r="R7825" s="32" t="str">
        <f>IFERROR(VLOOKUP($D7825,'Informations sur les produits'!$A$3:$B$15000,2,FALSE),"")</f>
        <v/>
      </c>
      <c r="V7825">
        <f t="shared" si="490"/>
        <v>0</v>
      </c>
      <c r="W7825">
        <f t="shared" si="491"/>
        <v>0</v>
      </c>
    </row>
    <row r="7826" spans="5:23" x14ac:dyDescent="0.25">
      <c r="E7826" s="4"/>
      <c r="F7826" s="4"/>
      <c r="G7826" s="33" t="str">
        <f>IFERROR(VLOOKUP($D7826,'Informations sur les produits'!$A$3:$H$10000,8,FALSE),"0")</f>
        <v>0</v>
      </c>
      <c r="K7826" s="4"/>
      <c r="L7826" s="33" t="str">
        <f>IFERROR(VLOOKUP($J7826,'Informations sur les produits'!$A$3:$H$10000,8,FALSE),"0")</f>
        <v>0</v>
      </c>
      <c r="N7826" s="8"/>
      <c r="O7826" s="33" t="str">
        <f>IFERROR(VLOOKUP($M7826,'Informations sur les produits'!$A$3:$H$10000,8,FALSE),"0")</f>
        <v>0</v>
      </c>
      <c r="P7826" s="33">
        <f t="shared" si="488"/>
        <v>0</v>
      </c>
      <c r="Q7826" s="31" t="str">
        <f t="shared" si="489"/>
        <v/>
      </c>
      <c r="R7826" s="32" t="str">
        <f>IFERROR(VLOOKUP($D7826,'Informations sur les produits'!$A$3:$B$15000,2,FALSE),"")</f>
        <v/>
      </c>
      <c r="V7826">
        <f t="shared" si="490"/>
        <v>0</v>
      </c>
      <c r="W7826">
        <f t="shared" si="491"/>
        <v>0</v>
      </c>
    </row>
    <row r="7827" spans="5:23" x14ac:dyDescent="0.25">
      <c r="E7827" s="4"/>
      <c r="F7827" s="4"/>
      <c r="G7827" s="33" t="str">
        <f>IFERROR(VLOOKUP($D7827,'Informations sur les produits'!$A$3:$H$10000,8,FALSE),"0")</f>
        <v>0</v>
      </c>
      <c r="K7827" s="4"/>
      <c r="L7827" s="33" t="str">
        <f>IFERROR(VLOOKUP($J7827,'Informations sur les produits'!$A$3:$H$10000,8,FALSE),"0")</f>
        <v>0</v>
      </c>
      <c r="N7827" s="8"/>
      <c r="O7827" s="33" t="str">
        <f>IFERROR(VLOOKUP($M7827,'Informations sur les produits'!$A$3:$H$10000,8,FALSE),"0")</f>
        <v>0</v>
      </c>
      <c r="P7827" s="33">
        <f t="shared" si="488"/>
        <v>0</v>
      </c>
      <c r="Q7827" s="31" t="str">
        <f t="shared" si="489"/>
        <v/>
      </c>
      <c r="R7827" s="32" t="str">
        <f>IFERROR(VLOOKUP($D7827,'Informations sur les produits'!$A$3:$B$15000,2,FALSE),"")</f>
        <v/>
      </c>
      <c r="V7827">
        <f t="shared" si="490"/>
        <v>0</v>
      </c>
      <c r="W7827">
        <f t="shared" si="491"/>
        <v>0</v>
      </c>
    </row>
    <row r="7828" spans="5:23" x14ac:dyDescent="0.25">
      <c r="E7828" s="4"/>
      <c r="F7828" s="4"/>
      <c r="G7828" s="33" t="str">
        <f>IFERROR(VLOOKUP($D7828,'Informations sur les produits'!$A$3:$H$10000,8,FALSE),"0")</f>
        <v>0</v>
      </c>
      <c r="K7828" s="4"/>
      <c r="L7828" s="33" t="str">
        <f>IFERROR(VLOOKUP($J7828,'Informations sur les produits'!$A$3:$H$10000,8,FALSE),"0")</f>
        <v>0</v>
      </c>
      <c r="N7828" s="8"/>
      <c r="O7828" s="33" t="str">
        <f>IFERROR(VLOOKUP($M7828,'Informations sur les produits'!$A$3:$H$10000,8,FALSE),"0")</f>
        <v>0</v>
      </c>
      <c r="P7828" s="33">
        <f t="shared" si="488"/>
        <v>0</v>
      </c>
      <c r="Q7828" s="31" t="str">
        <f t="shared" si="489"/>
        <v/>
      </c>
      <c r="R7828" s="32" t="str">
        <f>IFERROR(VLOOKUP($D7828,'Informations sur les produits'!$A$3:$B$15000,2,FALSE),"")</f>
        <v/>
      </c>
      <c r="V7828">
        <f t="shared" si="490"/>
        <v>0</v>
      </c>
      <c r="W7828">
        <f t="shared" si="491"/>
        <v>0</v>
      </c>
    </row>
    <row r="7829" spans="5:23" x14ac:dyDescent="0.25">
      <c r="E7829" s="4"/>
      <c r="F7829" s="4"/>
      <c r="G7829" s="33" t="str">
        <f>IFERROR(VLOOKUP($D7829,'Informations sur les produits'!$A$3:$H$10000,8,FALSE),"0")</f>
        <v>0</v>
      </c>
      <c r="K7829" s="4"/>
      <c r="L7829" s="33" t="str">
        <f>IFERROR(VLOOKUP($J7829,'Informations sur les produits'!$A$3:$H$10000,8,FALSE),"0")</f>
        <v>0</v>
      </c>
      <c r="N7829" s="8"/>
      <c r="O7829" s="33" t="str">
        <f>IFERROR(VLOOKUP($M7829,'Informations sur les produits'!$A$3:$H$10000,8,FALSE),"0")</f>
        <v>0</v>
      </c>
      <c r="P7829" s="33">
        <f t="shared" si="488"/>
        <v>0</v>
      </c>
      <c r="Q7829" s="31" t="str">
        <f t="shared" si="489"/>
        <v/>
      </c>
      <c r="R7829" s="32" t="str">
        <f>IFERROR(VLOOKUP($D7829,'Informations sur les produits'!$A$3:$B$15000,2,FALSE),"")</f>
        <v/>
      </c>
      <c r="V7829">
        <f t="shared" si="490"/>
        <v>0</v>
      </c>
      <c r="W7829">
        <f t="shared" si="491"/>
        <v>0</v>
      </c>
    </row>
    <row r="7830" spans="5:23" x14ac:dyDescent="0.25">
      <c r="E7830" s="4"/>
      <c r="F7830" s="4"/>
      <c r="G7830" s="33" t="str">
        <f>IFERROR(VLOOKUP($D7830,'Informations sur les produits'!$A$3:$H$10000,8,FALSE),"0")</f>
        <v>0</v>
      </c>
      <c r="K7830" s="4"/>
      <c r="L7830" s="33" t="str">
        <f>IFERROR(VLOOKUP($J7830,'Informations sur les produits'!$A$3:$H$10000,8,FALSE),"0")</f>
        <v>0</v>
      </c>
      <c r="N7830" s="8"/>
      <c r="O7830" s="33" t="str">
        <f>IFERROR(VLOOKUP($M7830,'Informations sur les produits'!$A$3:$H$10000,8,FALSE),"0")</f>
        <v>0</v>
      </c>
      <c r="P7830" s="33">
        <f t="shared" si="488"/>
        <v>0</v>
      </c>
      <c r="Q7830" s="31" t="str">
        <f t="shared" si="489"/>
        <v/>
      </c>
      <c r="R7830" s="32" t="str">
        <f>IFERROR(VLOOKUP($D7830,'Informations sur les produits'!$A$3:$B$15000,2,FALSE),"")</f>
        <v/>
      </c>
      <c r="V7830">
        <f t="shared" si="490"/>
        <v>0</v>
      </c>
      <c r="W7830">
        <f t="shared" si="491"/>
        <v>0</v>
      </c>
    </row>
    <row r="7831" spans="5:23" x14ac:dyDescent="0.25">
      <c r="E7831" s="4"/>
      <c r="F7831" s="4"/>
      <c r="G7831" s="33" t="str">
        <f>IFERROR(VLOOKUP($D7831,'Informations sur les produits'!$A$3:$H$10000,8,FALSE),"0")</f>
        <v>0</v>
      </c>
      <c r="K7831" s="4"/>
      <c r="L7831" s="33" t="str">
        <f>IFERROR(VLOOKUP($J7831,'Informations sur les produits'!$A$3:$H$10000,8,FALSE),"0")</f>
        <v>0</v>
      </c>
      <c r="N7831" s="8"/>
      <c r="O7831" s="33" t="str">
        <f>IFERROR(VLOOKUP($M7831,'Informations sur les produits'!$A$3:$H$10000,8,FALSE),"0")</f>
        <v>0</v>
      </c>
      <c r="P7831" s="33">
        <f t="shared" si="488"/>
        <v>0</v>
      </c>
      <c r="Q7831" s="31" t="str">
        <f t="shared" si="489"/>
        <v/>
      </c>
      <c r="R7831" s="32" t="str">
        <f>IFERROR(VLOOKUP($D7831,'Informations sur les produits'!$A$3:$B$15000,2,FALSE),"")</f>
        <v/>
      </c>
      <c r="V7831">
        <f t="shared" si="490"/>
        <v>0</v>
      </c>
      <c r="W7831">
        <f t="shared" si="491"/>
        <v>0</v>
      </c>
    </row>
    <row r="7832" spans="5:23" x14ac:dyDescent="0.25">
      <c r="E7832" s="4"/>
      <c r="F7832" s="4"/>
      <c r="G7832" s="33" t="str">
        <f>IFERROR(VLOOKUP($D7832,'Informations sur les produits'!$A$3:$H$10000,8,FALSE),"0")</f>
        <v>0</v>
      </c>
      <c r="K7832" s="4"/>
      <c r="L7832" s="33" t="str">
        <f>IFERROR(VLOOKUP($J7832,'Informations sur les produits'!$A$3:$H$10000,8,FALSE),"0")</f>
        <v>0</v>
      </c>
      <c r="N7832" s="8"/>
      <c r="O7832" s="33" t="str">
        <f>IFERROR(VLOOKUP($M7832,'Informations sur les produits'!$A$3:$H$10000,8,FALSE),"0")</f>
        <v>0</v>
      </c>
      <c r="P7832" s="33">
        <f t="shared" si="488"/>
        <v>0</v>
      </c>
      <c r="Q7832" s="31" t="str">
        <f t="shared" si="489"/>
        <v/>
      </c>
      <c r="R7832" s="32" t="str">
        <f>IFERROR(VLOOKUP($D7832,'Informations sur les produits'!$A$3:$B$15000,2,FALSE),"")</f>
        <v/>
      </c>
      <c r="V7832">
        <f t="shared" si="490"/>
        <v>0</v>
      </c>
      <c r="W7832">
        <f t="shared" si="491"/>
        <v>0</v>
      </c>
    </row>
    <row r="7833" spans="5:23" x14ac:dyDescent="0.25">
      <c r="E7833" s="4"/>
      <c r="F7833" s="4"/>
      <c r="G7833" s="33" t="str">
        <f>IFERROR(VLOOKUP($D7833,'Informations sur les produits'!$A$3:$H$10000,8,FALSE),"0")</f>
        <v>0</v>
      </c>
      <c r="K7833" s="4"/>
      <c r="L7833" s="33" t="str">
        <f>IFERROR(VLOOKUP($J7833,'Informations sur les produits'!$A$3:$H$10000,8,FALSE),"0")</f>
        <v>0</v>
      </c>
      <c r="N7833" s="8"/>
      <c r="O7833" s="33" t="str">
        <f>IFERROR(VLOOKUP($M7833,'Informations sur les produits'!$A$3:$H$10000,8,FALSE),"0")</f>
        <v>0</v>
      </c>
      <c r="P7833" s="33">
        <f t="shared" si="488"/>
        <v>0</v>
      </c>
      <c r="Q7833" s="31" t="str">
        <f t="shared" si="489"/>
        <v/>
      </c>
      <c r="R7833" s="32" t="str">
        <f>IFERROR(VLOOKUP($D7833,'Informations sur les produits'!$A$3:$B$15000,2,FALSE),"")</f>
        <v/>
      </c>
      <c r="V7833">
        <f t="shared" si="490"/>
        <v>0</v>
      </c>
      <c r="W7833">
        <f t="shared" si="491"/>
        <v>0</v>
      </c>
    </row>
    <row r="7834" spans="5:23" x14ac:dyDescent="0.25">
      <c r="E7834" s="4"/>
      <c r="F7834" s="4"/>
      <c r="G7834" s="33" t="str">
        <f>IFERROR(VLOOKUP($D7834,'Informations sur les produits'!$A$3:$H$10000,8,FALSE),"0")</f>
        <v>0</v>
      </c>
      <c r="K7834" s="4"/>
      <c r="L7834" s="33" t="str">
        <f>IFERROR(VLOOKUP($J7834,'Informations sur les produits'!$A$3:$H$10000,8,FALSE),"0")</f>
        <v>0</v>
      </c>
      <c r="N7834" s="8"/>
      <c r="O7834" s="33" t="str">
        <f>IFERROR(VLOOKUP($M7834,'Informations sur les produits'!$A$3:$H$10000,8,FALSE),"0")</f>
        <v>0</v>
      </c>
      <c r="P7834" s="33">
        <f t="shared" si="488"/>
        <v>0</v>
      </c>
      <c r="Q7834" s="31" t="str">
        <f t="shared" si="489"/>
        <v/>
      </c>
      <c r="R7834" s="32" t="str">
        <f>IFERROR(VLOOKUP($D7834,'Informations sur les produits'!$A$3:$B$15000,2,FALSE),"")</f>
        <v/>
      </c>
      <c r="V7834">
        <f t="shared" si="490"/>
        <v>0</v>
      </c>
      <c r="W7834">
        <f t="shared" si="491"/>
        <v>0</v>
      </c>
    </row>
    <row r="7835" spans="5:23" x14ac:dyDescent="0.25">
      <c r="E7835" s="4"/>
      <c r="F7835" s="4"/>
      <c r="G7835" s="33" t="str">
        <f>IFERROR(VLOOKUP($D7835,'Informations sur les produits'!$A$3:$H$10000,8,FALSE),"0")</f>
        <v>0</v>
      </c>
      <c r="K7835" s="4"/>
      <c r="L7835" s="33" t="str">
        <f>IFERROR(VLOOKUP($J7835,'Informations sur les produits'!$A$3:$H$10000,8,FALSE),"0")</f>
        <v>0</v>
      </c>
      <c r="N7835" s="8"/>
      <c r="O7835" s="33" t="str">
        <f>IFERROR(VLOOKUP($M7835,'Informations sur les produits'!$A$3:$H$10000,8,FALSE),"0")</f>
        <v>0</v>
      </c>
      <c r="P7835" s="33">
        <f t="shared" si="488"/>
        <v>0</v>
      </c>
      <c r="Q7835" s="31" t="str">
        <f t="shared" si="489"/>
        <v/>
      </c>
      <c r="R7835" s="32" t="str">
        <f>IFERROR(VLOOKUP($D7835,'Informations sur les produits'!$A$3:$B$15000,2,FALSE),"")</f>
        <v/>
      </c>
      <c r="V7835">
        <f t="shared" si="490"/>
        <v>0</v>
      </c>
      <c r="W7835">
        <f t="shared" si="491"/>
        <v>0</v>
      </c>
    </row>
    <row r="7836" spans="5:23" x14ac:dyDescent="0.25">
      <c r="E7836" s="4"/>
      <c r="F7836" s="4"/>
      <c r="G7836" s="33" t="str">
        <f>IFERROR(VLOOKUP($D7836,'Informations sur les produits'!$A$3:$H$10000,8,FALSE),"0")</f>
        <v>0</v>
      </c>
      <c r="K7836" s="4"/>
      <c r="L7836" s="33" t="str">
        <f>IFERROR(VLOOKUP($J7836,'Informations sur les produits'!$A$3:$H$10000,8,FALSE),"0")</f>
        <v>0</v>
      </c>
      <c r="N7836" s="8"/>
      <c r="O7836" s="33" t="str">
        <f>IFERROR(VLOOKUP($M7836,'Informations sur les produits'!$A$3:$H$10000,8,FALSE),"0")</f>
        <v>0</v>
      </c>
      <c r="P7836" s="33">
        <f t="shared" si="488"/>
        <v>0</v>
      </c>
      <c r="Q7836" s="31" t="str">
        <f t="shared" si="489"/>
        <v/>
      </c>
      <c r="R7836" s="32" t="str">
        <f>IFERROR(VLOOKUP($D7836,'Informations sur les produits'!$A$3:$B$15000,2,FALSE),"")</f>
        <v/>
      </c>
      <c r="V7836">
        <f t="shared" si="490"/>
        <v>0</v>
      </c>
      <c r="W7836">
        <f t="shared" si="491"/>
        <v>0</v>
      </c>
    </row>
    <row r="7837" spans="5:23" x14ac:dyDescent="0.25">
      <c r="E7837" s="4"/>
      <c r="F7837" s="4"/>
      <c r="G7837" s="33" t="str">
        <f>IFERROR(VLOOKUP($D7837,'Informations sur les produits'!$A$3:$H$10000,8,FALSE),"0")</f>
        <v>0</v>
      </c>
      <c r="K7837" s="4"/>
      <c r="L7837" s="33" t="str">
        <f>IFERROR(VLOOKUP($J7837,'Informations sur les produits'!$A$3:$H$10000,8,FALSE),"0")</f>
        <v>0</v>
      </c>
      <c r="N7837" s="8"/>
      <c r="O7837" s="33" t="str">
        <f>IFERROR(VLOOKUP($M7837,'Informations sur les produits'!$A$3:$H$10000,8,FALSE),"0")</f>
        <v>0</v>
      </c>
      <c r="P7837" s="33">
        <f t="shared" si="488"/>
        <v>0</v>
      </c>
      <c r="Q7837" s="31" t="str">
        <f t="shared" si="489"/>
        <v/>
      </c>
      <c r="R7837" s="32" t="str">
        <f>IFERROR(VLOOKUP($D7837,'Informations sur les produits'!$A$3:$B$15000,2,FALSE),"")</f>
        <v/>
      </c>
      <c r="V7837">
        <f t="shared" si="490"/>
        <v>0</v>
      </c>
      <c r="W7837">
        <f t="shared" si="491"/>
        <v>0</v>
      </c>
    </row>
    <row r="7838" spans="5:23" x14ac:dyDescent="0.25">
      <c r="E7838" s="4"/>
      <c r="F7838" s="4"/>
      <c r="G7838" s="33" t="str">
        <f>IFERROR(VLOOKUP($D7838,'Informations sur les produits'!$A$3:$H$10000,8,FALSE),"0")</f>
        <v>0</v>
      </c>
      <c r="K7838" s="4"/>
      <c r="L7838" s="33" t="str">
        <f>IFERROR(VLOOKUP($J7838,'Informations sur les produits'!$A$3:$H$10000,8,FALSE),"0")</f>
        <v>0</v>
      </c>
      <c r="N7838" s="8"/>
      <c r="O7838" s="33" t="str">
        <f>IFERROR(VLOOKUP($M7838,'Informations sur les produits'!$A$3:$H$10000,8,FALSE),"0")</f>
        <v>0</v>
      </c>
      <c r="P7838" s="33">
        <f t="shared" si="488"/>
        <v>0</v>
      </c>
      <c r="Q7838" s="31" t="str">
        <f t="shared" si="489"/>
        <v/>
      </c>
      <c r="R7838" s="32" t="str">
        <f>IFERROR(VLOOKUP($D7838,'Informations sur les produits'!$A$3:$B$15000,2,FALSE),"")</f>
        <v/>
      </c>
      <c r="V7838">
        <f t="shared" si="490"/>
        <v>0</v>
      </c>
      <c r="W7838">
        <f t="shared" si="491"/>
        <v>0</v>
      </c>
    </row>
    <row r="7839" spans="5:23" x14ac:dyDescent="0.25">
      <c r="E7839" s="4"/>
      <c r="F7839" s="4"/>
      <c r="G7839" s="33" t="str">
        <f>IFERROR(VLOOKUP($D7839,'Informations sur les produits'!$A$3:$H$10000,8,FALSE),"0")</f>
        <v>0</v>
      </c>
      <c r="K7839" s="4"/>
      <c r="L7839" s="33" t="str">
        <f>IFERROR(VLOOKUP($J7839,'Informations sur les produits'!$A$3:$H$10000,8,FALSE),"0")</f>
        <v>0</v>
      </c>
      <c r="N7839" s="8"/>
      <c r="O7839" s="33" t="str">
        <f>IFERROR(VLOOKUP($M7839,'Informations sur les produits'!$A$3:$H$10000,8,FALSE),"0")</f>
        <v>0</v>
      </c>
      <c r="P7839" s="33">
        <f t="shared" si="488"/>
        <v>0</v>
      </c>
      <c r="Q7839" s="31" t="str">
        <f t="shared" si="489"/>
        <v/>
      </c>
      <c r="R7839" s="32" t="str">
        <f>IFERROR(VLOOKUP($D7839,'Informations sur les produits'!$A$3:$B$15000,2,FALSE),"")</f>
        <v/>
      </c>
      <c r="V7839">
        <f t="shared" si="490"/>
        <v>0</v>
      </c>
      <c r="W7839">
        <f t="shared" si="491"/>
        <v>0</v>
      </c>
    </row>
    <row r="7840" spans="5:23" x14ac:dyDescent="0.25">
      <c r="E7840" s="4"/>
      <c r="F7840" s="4"/>
      <c r="G7840" s="33" t="str">
        <f>IFERROR(VLOOKUP($D7840,'Informations sur les produits'!$A$3:$H$10000,8,FALSE),"0")</f>
        <v>0</v>
      </c>
      <c r="K7840" s="4"/>
      <c r="L7840" s="33" t="str">
        <f>IFERROR(VLOOKUP($J7840,'Informations sur les produits'!$A$3:$H$10000,8,FALSE),"0")</f>
        <v>0</v>
      </c>
      <c r="N7840" s="8"/>
      <c r="O7840" s="33" t="str">
        <f>IFERROR(VLOOKUP($M7840,'Informations sur les produits'!$A$3:$H$10000,8,FALSE),"0")</f>
        <v>0</v>
      </c>
      <c r="P7840" s="33">
        <f t="shared" si="488"/>
        <v>0</v>
      </c>
      <c r="Q7840" s="31" t="str">
        <f t="shared" si="489"/>
        <v/>
      </c>
      <c r="R7840" s="32" t="str">
        <f>IFERROR(VLOOKUP($D7840,'Informations sur les produits'!$A$3:$B$15000,2,FALSE),"")</f>
        <v/>
      </c>
      <c r="V7840">
        <f t="shared" si="490"/>
        <v>0</v>
      </c>
      <c r="W7840">
        <f t="shared" si="491"/>
        <v>0</v>
      </c>
    </row>
    <row r="7841" spans="5:23" x14ac:dyDescent="0.25">
      <c r="E7841" s="4"/>
      <c r="F7841" s="4"/>
      <c r="G7841" s="33" t="str">
        <f>IFERROR(VLOOKUP($D7841,'Informations sur les produits'!$A$3:$H$10000,8,FALSE),"0")</f>
        <v>0</v>
      </c>
      <c r="K7841" s="4"/>
      <c r="L7841" s="33" t="str">
        <f>IFERROR(VLOOKUP($J7841,'Informations sur les produits'!$A$3:$H$10000,8,FALSE),"0")</f>
        <v>0</v>
      </c>
      <c r="N7841" s="8"/>
      <c r="O7841" s="33" t="str">
        <f>IFERROR(VLOOKUP($M7841,'Informations sur les produits'!$A$3:$H$10000,8,FALSE),"0")</f>
        <v>0</v>
      </c>
      <c r="P7841" s="33">
        <f t="shared" si="488"/>
        <v>0</v>
      </c>
      <c r="Q7841" s="31" t="str">
        <f t="shared" si="489"/>
        <v/>
      </c>
      <c r="R7841" s="32" t="str">
        <f>IFERROR(VLOOKUP($D7841,'Informations sur les produits'!$A$3:$B$15000,2,FALSE),"")</f>
        <v/>
      </c>
      <c r="V7841">
        <f t="shared" si="490"/>
        <v>0</v>
      </c>
      <c r="W7841">
        <f t="shared" si="491"/>
        <v>0</v>
      </c>
    </row>
    <row r="7842" spans="5:23" x14ac:dyDescent="0.25">
      <c r="E7842" s="4"/>
      <c r="F7842" s="4"/>
      <c r="G7842" s="33" t="str">
        <f>IFERROR(VLOOKUP($D7842,'Informations sur les produits'!$A$3:$H$10000,8,FALSE),"0")</f>
        <v>0</v>
      </c>
      <c r="K7842" s="4"/>
      <c r="L7842" s="33" t="str">
        <f>IFERROR(VLOOKUP($J7842,'Informations sur les produits'!$A$3:$H$10000,8,FALSE),"0")</f>
        <v>0</v>
      </c>
      <c r="N7842" s="8"/>
      <c r="O7842" s="33" t="str">
        <f>IFERROR(VLOOKUP($M7842,'Informations sur les produits'!$A$3:$H$10000,8,FALSE),"0")</f>
        <v>0</v>
      </c>
      <c r="P7842" s="33">
        <f t="shared" si="488"/>
        <v>0</v>
      </c>
      <c r="Q7842" s="31" t="str">
        <f t="shared" si="489"/>
        <v/>
      </c>
      <c r="R7842" s="32" t="str">
        <f>IFERROR(VLOOKUP($D7842,'Informations sur les produits'!$A$3:$B$15000,2,FALSE),"")</f>
        <v/>
      </c>
      <c r="V7842">
        <f t="shared" si="490"/>
        <v>0</v>
      </c>
      <c r="W7842">
        <f t="shared" si="491"/>
        <v>0</v>
      </c>
    </row>
    <row r="7843" spans="5:23" x14ac:dyDescent="0.25">
      <c r="E7843" s="4"/>
      <c r="F7843" s="4"/>
      <c r="G7843" s="33" t="str">
        <f>IFERROR(VLOOKUP($D7843,'Informations sur les produits'!$A$3:$H$10000,8,FALSE),"0")</f>
        <v>0</v>
      </c>
      <c r="K7843" s="4"/>
      <c r="L7843" s="33" t="str">
        <f>IFERROR(VLOOKUP($J7843,'Informations sur les produits'!$A$3:$H$10000,8,FALSE),"0")</f>
        <v>0</v>
      </c>
      <c r="N7843" s="8"/>
      <c r="O7843" s="33" t="str">
        <f>IFERROR(VLOOKUP($M7843,'Informations sur les produits'!$A$3:$H$10000,8,FALSE),"0")</f>
        <v>0</v>
      </c>
      <c r="P7843" s="33">
        <f t="shared" si="488"/>
        <v>0</v>
      </c>
      <c r="Q7843" s="31" t="str">
        <f t="shared" si="489"/>
        <v/>
      </c>
      <c r="R7843" s="32" t="str">
        <f>IFERROR(VLOOKUP($D7843,'Informations sur les produits'!$A$3:$B$15000,2,FALSE),"")</f>
        <v/>
      </c>
      <c r="V7843">
        <f t="shared" si="490"/>
        <v>0</v>
      </c>
      <c r="W7843">
        <f t="shared" si="491"/>
        <v>0</v>
      </c>
    </row>
    <row r="7844" spans="5:23" x14ac:dyDescent="0.25">
      <c r="E7844" s="4"/>
      <c r="F7844" s="4"/>
      <c r="G7844" s="33" t="str">
        <f>IFERROR(VLOOKUP($D7844,'Informations sur les produits'!$A$3:$H$10000,8,FALSE),"0")</f>
        <v>0</v>
      </c>
      <c r="K7844" s="4"/>
      <c r="L7844" s="33" t="str">
        <f>IFERROR(VLOOKUP($J7844,'Informations sur les produits'!$A$3:$H$10000,8,FALSE),"0")</f>
        <v>0</v>
      </c>
      <c r="N7844" s="8"/>
      <c r="O7844" s="33" t="str">
        <f>IFERROR(VLOOKUP($M7844,'Informations sur les produits'!$A$3:$H$10000,8,FALSE),"0")</f>
        <v>0</v>
      </c>
      <c r="P7844" s="33">
        <f t="shared" si="488"/>
        <v>0</v>
      </c>
      <c r="Q7844" s="31" t="str">
        <f t="shared" si="489"/>
        <v/>
      </c>
      <c r="R7844" s="32" t="str">
        <f>IFERROR(VLOOKUP($D7844,'Informations sur les produits'!$A$3:$B$15000,2,FALSE),"")</f>
        <v/>
      </c>
      <c r="V7844">
        <f t="shared" si="490"/>
        <v>0</v>
      </c>
      <c r="W7844">
        <f t="shared" si="491"/>
        <v>0</v>
      </c>
    </row>
    <row r="7845" spans="5:23" x14ac:dyDescent="0.25">
      <c r="E7845" s="4"/>
      <c r="F7845" s="4"/>
      <c r="G7845" s="33" t="str">
        <f>IFERROR(VLOOKUP($D7845,'Informations sur les produits'!$A$3:$H$10000,8,FALSE),"0")</f>
        <v>0</v>
      </c>
      <c r="K7845" s="4"/>
      <c r="L7845" s="33" t="str">
        <f>IFERROR(VLOOKUP($J7845,'Informations sur les produits'!$A$3:$H$10000,8,FALSE),"0")</f>
        <v>0</v>
      </c>
      <c r="N7845" s="8"/>
      <c r="O7845" s="33" t="str">
        <f>IFERROR(VLOOKUP($M7845,'Informations sur les produits'!$A$3:$H$10000,8,FALSE),"0")</f>
        <v>0</v>
      </c>
      <c r="P7845" s="33">
        <f t="shared" si="488"/>
        <v>0</v>
      </c>
      <c r="Q7845" s="31" t="str">
        <f t="shared" si="489"/>
        <v/>
      </c>
      <c r="R7845" s="32" t="str">
        <f>IFERROR(VLOOKUP($D7845,'Informations sur les produits'!$A$3:$B$15000,2,FALSE),"")</f>
        <v/>
      </c>
      <c r="V7845">
        <f t="shared" si="490"/>
        <v>0</v>
      </c>
      <c r="W7845">
        <f t="shared" si="491"/>
        <v>0</v>
      </c>
    </row>
    <row r="7846" spans="5:23" x14ac:dyDescent="0.25">
      <c r="E7846" s="4"/>
      <c r="F7846" s="4"/>
      <c r="G7846" s="33" t="str">
        <f>IFERROR(VLOOKUP($D7846,'Informations sur les produits'!$A$3:$H$10000,8,FALSE),"0")</f>
        <v>0</v>
      </c>
      <c r="K7846" s="4"/>
      <c r="L7846" s="33" t="str">
        <f>IFERROR(VLOOKUP($J7846,'Informations sur les produits'!$A$3:$H$10000,8,FALSE),"0")</f>
        <v>0</v>
      </c>
      <c r="N7846" s="8"/>
      <c r="O7846" s="33" t="str">
        <f>IFERROR(VLOOKUP($M7846,'Informations sur les produits'!$A$3:$H$10000,8,FALSE),"0")</f>
        <v>0</v>
      </c>
      <c r="P7846" s="33">
        <f t="shared" si="488"/>
        <v>0</v>
      </c>
      <c r="Q7846" s="31" t="str">
        <f t="shared" si="489"/>
        <v/>
      </c>
      <c r="R7846" s="32" t="str">
        <f>IFERROR(VLOOKUP($D7846,'Informations sur les produits'!$A$3:$B$15000,2,FALSE),"")</f>
        <v/>
      </c>
      <c r="V7846">
        <f t="shared" si="490"/>
        <v>0</v>
      </c>
      <c r="W7846">
        <f t="shared" si="491"/>
        <v>0</v>
      </c>
    </row>
    <row r="7847" spans="5:23" x14ac:dyDescent="0.25">
      <c r="E7847" s="4"/>
      <c r="F7847" s="4"/>
      <c r="G7847" s="33" t="str">
        <f>IFERROR(VLOOKUP($D7847,'Informations sur les produits'!$A$3:$H$10000,8,FALSE),"0")</f>
        <v>0</v>
      </c>
      <c r="K7847" s="4"/>
      <c r="L7847" s="33" t="str">
        <f>IFERROR(VLOOKUP($J7847,'Informations sur les produits'!$A$3:$H$10000,8,FALSE),"0")</f>
        <v>0</v>
      </c>
      <c r="N7847" s="8"/>
      <c r="O7847" s="33" t="str">
        <f>IFERROR(VLOOKUP($M7847,'Informations sur les produits'!$A$3:$H$10000,8,FALSE),"0")</f>
        <v>0</v>
      </c>
      <c r="P7847" s="33">
        <f t="shared" si="488"/>
        <v>0</v>
      </c>
      <c r="Q7847" s="31" t="str">
        <f t="shared" si="489"/>
        <v/>
      </c>
      <c r="R7847" s="32" t="str">
        <f>IFERROR(VLOOKUP($D7847,'Informations sur les produits'!$A$3:$B$15000,2,FALSE),"")</f>
        <v/>
      </c>
      <c r="V7847">
        <f t="shared" si="490"/>
        <v>0</v>
      </c>
      <c r="W7847">
        <f t="shared" si="491"/>
        <v>0</v>
      </c>
    </row>
    <row r="7848" spans="5:23" x14ac:dyDescent="0.25">
      <c r="E7848" s="4"/>
      <c r="F7848" s="4"/>
      <c r="G7848" s="33" t="str">
        <f>IFERROR(VLOOKUP($D7848,'Informations sur les produits'!$A$3:$H$10000,8,FALSE),"0")</f>
        <v>0</v>
      </c>
      <c r="K7848" s="4"/>
      <c r="L7848" s="33" t="str">
        <f>IFERROR(VLOOKUP($J7848,'Informations sur les produits'!$A$3:$H$10000,8,FALSE),"0")</f>
        <v>0</v>
      </c>
      <c r="N7848" s="8"/>
      <c r="O7848" s="33" t="str">
        <f>IFERROR(VLOOKUP($M7848,'Informations sur les produits'!$A$3:$H$10000,8,FALSE),"0")</f>
        <v>0</v>
      </c>
      <c r="P7848" s="33">
        <f t="shared" si="488"/>
        <v>0</v>
      </c>
      <c r="Q7848" s="31" t="str">
        <f t="shared" si="489"/>
        <v/>
      </c>
      <c r="R7848" s="32" t="str">
        <f>IFERROR(VLOOKUP($D7848,'Informations sur les produits'!$A$3:$B$15000,2,FALSE),"")</f>
        <v/>
      </c>
      <c r="V7848">
        <f t="shared" si="490"/>
        <v>0</v>
      </c>
      <c r="W7848">
        <f t="shared" si="491"/>
        <v>0</v>
      </c>
    </row>
    <row r="7849" spans="5:23" x14ac:dyDescent="0.25">
      <c r="E7849" s="4"/>
      <c r="F7849" s="4"/>
      <c r="G7849" s="33" t="str">
        <f>IFERROR(VLOOKUP($D7849,'Informations sur les produits'!$A$3:$H$10000,8,FALSE),"0")</f>
        <v>0</v>
      </c>
      <c r="K7849" s="4"/>
      <c r="L7849" s="33" t="str">
        <f>IFERROR(VLOOKUP($J7849,'Informations sur les produits'!$A$3:$H$10000,8,FALSE),"0")</f>
        <v>0</v>
      </c>
      <c r="N7849" s="8"/>
      <c r="O7849" s="33" t="str">
        <f>IFERROR(VLOOKUP($M7849,'Informations sur les produits'!$A$3:$H$10000,8,FALSE),"0")</f>
        <v>0</v>
      </c>
      <c r="P7849" s="33">
        <f t="shared" si="488"/>
        <v>0</v>
      </c>
      <c r="Q7849" s="31" t="str">
        <f t="shared" si="489"/>
        <v/>
      </c>
      <c r="R7849" s="32" t="str">
        <f>IFERROR(VLOOKUP($D7849,'Informations sur les produits'!$A$3:$B$15000,2,FALSE),"")</f>
        <v/>
      </c>
      <c r="V7849">
        <f t="shared" si="490"/>
        <v>0</v>
      </c>
      <c r="W7849">
        <f t="shared" si="491"/>
        <v>0</v>
      </c>
    </row>
    <row r="7850" spans="5:23" x14ac:dyDescent="0.25">
      <c r="E7850" s="4"/>
      <c r="F7850" s="4"/>
      <c r="G7850" s="33" t="str">
        <f>IFERROR(VLOOKUP($D7850,'Informations sur les produits'!$A$3:$H$10000,8,FALSE),"0")</f>
        <v>0</v>
      </c>
      <c r="K7850" s="4"/>
      <c r="L7850" s="33" t="str">
        <f>IFERROR(VLOOKUP($J7850,'Informations sur les produits'!$A$3:$H$10000,8,FALSE),"0")</f>
        <v>0</v>
      </c>
      <c r="N7850" s="8"/>
      <c r="O7850" s="33" t="str">
        <f>IFERROR(VLOOKUP($M7850,'Informations sur les produits'!$A$3:$H$10000,8,FALSE),"0")</f>
        <v>0</v>
      </c>
      <c r="P7850" s="33">
        <f t="shared" si="488"/>
        <v>0</v>
      </c>
      <c r="Q7850" s="31" t="str">
        <f t="shared" si="489"/>
        <v/>
      </c>
      <c r="R7850" s="32" t="str">
        <f>IFERROR(VLOOKUP($D7850,'Informations sur les produits'!$A$3:$B$15000,2,FALSE),"")</f>
        <v/>
      </c>
      <c r="V7850">
        <f t="shared" si="490"/>
        <v>0</v>
      </c>
      <c r="W7850">
        <f t="shared" si="491"/>
        <v>0</v>
      </c>
    </row>
    <row r="7851" spans="5:23" x14ac:dyDescent="0.25">
      <c r="E7851" s="4"/>
      <c r="F7851" s="4"/>
      <c r="G7851" s="33" t="str">
        <f>IFERROR(VLOOKUP($D7851,'Informations sur les produits'!$A$3:$H$10000,8,FALSE),"0")</f>
        <v>0</v>
      </c>
      <c r="K7851" s="4"/>
      <c r="L7851" s="33" t="str">
        <f>IFERROR(VLOOKUP($J7851,'Informations sur les produits'!$A$3:$H$10000,8,FALSE),"0")</f>
        <v>0</v>
      </c>
      <c r="N7851" s="8"/>
      <c r="O7851" s="33" t="str">
        <f>IFERROR(VLOOKUP($M7851,'Informations sur les produits'!$A$3:$H$10000,8,FALSE),"0")</f>
        <v>0</v>
      </c>
      <c r="P7851" s="33">
        <f t="shared" si="488"/>
        <v>0</v>
      </c>
      <c r="Q7851" s="31" t="str">
        <f t="shared" si="489"/>
        <v/>
      </c>
      <c r="R7851" s="32" t="str">
        <f>IFERROR(VLOOKUP($D7851,'Informations sur les produits'!$A$3:$B$15000,2,FALSE),"")</f>
        <v/>
      </c>
      <c r="V7851">
        <f t="shared" si="490"/>
        <v>0</v>
      </c>
      <c r="W7851">
        <f t="shared" si="491"/>
        <v>0</v>
      </c>
    </row>
    <row r="7852" spans="5:23" x14ac:dyDescent="0.25">
      <c r="E7852" s="4"/>
      <c r="F7852" s="4"/>
      <c r="G7852" s="33" t="str">
        <f>IFERROR(VLOOKUP($D7852,'Informations sur les produits'!$A$3:$H$10000,8,FALSE),"0")</f>
        <v>0</v>
      </c>
      <c r="K7852" s="4"/>
      <c r="L7852" s="33" t="str">
        <f>IFERROR(VLOOKUP($J7852,'Informations sur les produits'!$A$3:$H$10000,8,FALSE),"0")</f>
        <v>0</v>
      </c>
      <c r="N7852" s="8"/>
      <c r="O7852" s="33" t="str">
        <f>IFERROR(VLOOKUP($M7852,'Informations sur les produits'!$A$3:$H$10000,8,FALSE),"0")</f>
        <v>0</v>
      </c>
      <c r="P7852" s="33">
        <f t="shared" si="488"/>
        <v>0</v>
      </c>
      <c r="Q7852" s="31" t="str">
        <f t="shared" si="489"/>
        <v/>
      </c>
      <c r="R7852" s="32" t="str">
        <f>IFERROR(VLOOKUP($D7852,'Informations sur les produits'!$A$3:$B$15000,2,FALSE),"")</f>
        <v/>
      </c>
      <c r="V7852">
        <f t="shared" si="490"/>
        <v>0</v>
      </c>
      <c r="W7852">
        <f t="shared" si="491"/>
        <v>0</v>
      </c>
    </row>
    <row r="7853" spans="5:23" x14ac:dyDescent="0.25">
      <c r="E7853" s="4"/>
      <c r="F7853" s="4"/>
      <c r="G7853" s="33" t="str">
        <f>IFERROR(VLOOKUP($D7853,'Informations sur les produits'!$A$3:$H$10000,8,FALSE),"0")</f>
        <v>0</v>
      </c>
      <c r="K7853" s="4"/>
      <c r="L7853" s="33" t="str">
        <f>IFERROR(VLOOKUP($J7853,'Informations sur les produits'!$A$3:$H$10000,8,FALSE),"0")</f>
        <v>0</v>
      </c>
      <c r="N7853" s="8"/>
      <c r="O7853" s="33" t="str">
        <f>IFERROR(VLOOKUP($M7853,'Informations sur les produits'!$A$3:$H$10000,8,FALSE),"0")</f>
        <v>0</v>
      </c>
      <c r="P7853" s="33">
        <f t="shared" si="488"/>
        <v>0</v>
      </c>
      <c r="Q7853" s="31" t="str">
        <f t="shared" si="489"/>
        <v/>
      </c>
      <c r="R7853" s="32" t="str">
        <f>IFERROR(VLOOKUP($D7853,'Informations sur les produits'!$A$3:$B$15000,2,FALSE),"")</f>
        <v/>
      </c>
      <c r="V7853">
        <f t="shared" si="490"/>
        <v>0</v>
      </c>
      <c r="W7853">
        <f t="shared" si="491"/>
        <v>0</v>
      </c>
    </row>
    <row r="7854" spans="5:23" x14ac:dyDescent="0.25">
      <c r="E7854" s="4"/>
      <c r="F7854" s="4"/>
      <c r="G7854" s="33" t="str">
        <f>IFERROR(VLOOKUP($D7854,'Informations sur les produits'!$A$3:$H$10000,8,FALSE),"0")</f>
        <v>0</v>
      </c>
      <c r="K7854" s="4"/>
      <c r="L7854" s="33" t="str">
        <f>IFERROR(VLOOKUP($J7854,'Informations sur les produits'!$A$3:$H$10000,8,FALSE),"0")</f>
        <v>0</v>
      </c>
      <c r="N7854" s="8"/>
      <c r="O7854" s="33" t="str">
        <f>IFERROR(VLOOKUP($M7854,'Informations sur les produits'!$A$3:$H$10000,8,FALSE),"0")</f>
        <v>0</v>
      </c>
      <c r="P7854" s="33">
        <f t="shared" si="488"/>
        <v>0</v>
      </c>
      <c r="Q7854" s="31" t="str">
        <f t="shared" si="489"/>
        <v/>
      </c>
      <c r="R7854" s="32" t="str">
        <f>IFERROR(VLOOKUP($D7854,'Informations sur les produits'!$A$3:$B$15000,2,FALSE),"")</f>
        <v/>
      </c>
      <c r="V7854">
        <f t="shared" si="490"/>
        <v>0</v>
      </c>
      <c r="W7854">
        <f t="shared" si="491"/>
        <v>0</v>
      </c>
    </row>
    <row r="7855" spans="5:23" x14ac:dyDescent="0.25">
      <c r="E7855" s="4"/>
      <c r="F7855" s="4"/>
      <c r="G7855" s="33" t="str">
        <f>IFERROR(VLOOKUP($D7855,'Informations sur les produits'!$A$3:$H$10000,8,FALSE),"0")</f>
        <v>0</v>
      </c>
      <c r="K7855" s="4"/>
      <c r="L7855" s="33" t="str">
        <f>IFERROR(VLOOKUP($J7855,'Informations sur les produits'!$A$3:$H$10000,8,FALSE),"0")</f>
        <v>0</v>
      </c>
      <c r="N7855" s="8"/>
      <c r="O7855" s="33" t="str">
        <f>IFERROR(VLOOKUP($M7855,'Informations sur les produits'!$A$3:$H$10000,8,FALSE),"0")</f>
        <v>0</v>
      </c>
      <c r="P7855" s="33">
        <f t="shared" si="488"/>
        <v>0</v>
      </c>
      <c r="Q7855" s="31" t="str">
        <f t="shared" si="489"/>
        <v/>
      </c>
      <c r="R7855" s="32" t="str">
        <f>IFERROR(VLOOKUP($D7855,'Informations sur les produits'!$A$3:$B$15000,2,FALSE),"")</f>
        <v/>
      </c>
      <c r="V7855">
        <f t="shared" si="490"/>
        <v>0</v>
      </c>
      <c r="W7855">
        <f t="shared" si="491"/>
        <v>0</v>
      </c>
    </row>
    <row r="7856" spans="5:23" x14ac:dyDescent="0.25">
      <c r="E7856" s="4"/>
      <c r="F7856" s="4"/>
      <c r="G7856" s="33" t="str">
        <f>IFERROR(VLOOKUP($D7856,'Informations sur les produits'!$A$3:$H$10000,8,FALSE),"0")</f>
        <v>0</v>
      </c>
      <c r="K7856" s="4"/>
      <c r="L7856" s="33" t="str">
        <f>IFERROR(VLOOKUP($J7856,'Informations sur les produits'!$A$3:$H$10000,8,FALSE),"0")</f>
        <v>0</v>
      </c>
      <c r="N7856" s="8"/>
      <c r="O7856" s="33" t="str">
        <f>IFERROR(VLOOKUP($M7856,'Informations sur les produits'!$A$3:$H$10000,8,FALSE),"0")</f>
        <v>0</v>
      </c>
      <c r="P7856" s="33">
        <f t="shared" si="488"/>
        <v>0</v>
      </c>
      <c r="Q7856" s="31" t="str">
        <f t="shared" si="489"/>
        <v/>
      </c>
      <c r="R7856" s="32" t="str">
        <f>IFERROR(VLOOKUP($D7856,'Informations sur les produits'!$A$3:$B$15000,2,FALSE),"")</f>
        <v/>
      </c>
      <c r="V7856">
        <f t="shared" si="490"/>
        <v>0</v>
      </c>
      <c r="W7856">
        <f t="shared" si="491"/>
        <v>0</v>
      </c>
    </row>
    <row r="7857" spans="5:23" x14ac:dyDescent="0.25">
      <c r="E7857" s="4"/>
      <c r="F7857" s="4"/>
      <c r="G7857" s="33" t="str">
        <f>IFERROR(VLOOKUP($D7857,'Informations sur les produits'!$A$3:$H$10000,8,FALSE),"0")</f>
        <v>0</v>
      </c>
      <c r="K7857" s="4"/>
      <c r="L7857" s="33" t="str">
        <f>IFERROR(VLOOKUP($J7857,'Informations sur les produits'!$A$3:$H$10000,8,FALSE),"0")</f>
        <v>0</v>
      </c>
      <c r="N7857" s="8"/>
      <c r="O7857" s="33" t="str">
        <f>IFERROR(VLOOKUP($M7857,'Informations sur les produits'!$A$3:$H$10000,8,FALSE),"0")</f>
        <v>0</v>
      </c>
      <c r="P7857" s="33">
        <f t="shared" si="488"/>
        <v>0</v>
      </c>
      <c r="Q7857" s="31" t="str">
        <f t="shared" si="489"/>
        <v/>
      </c>
      <c r="R7857" s="32" t="str">
        <f>IFERROR(VLOOKUP($D7857,'Informations sur les produits'!$A$3:$B$15000,2,FALSE),"")</f>
        <v/>
      </c>
      <c r="V7857">
        <f t="shared" si="490"/>
        <v>0</v>
      </c>
      <c r="W7857">
        <f t="shared" si="491"/>
        <v>0</v>
      </c>
    </row>
    <row r="7858" spans="5:23" x14ac:dyDescent="0.25">
      <c r="E7858" s="4"/>
      <c r="F7858" s="4"/>
      <c r="G7858" s="33" t="str">
        <f>IFERROR(VLOOKUP($D7858,'Informations sur les produits'!$A$3:$H$10000,8,FALSE),"0")</f>
        <v>0</v>
      </c>
      <c r="K7858" s="4"/>
      <c r="L7858" s="33" t="str">
        <f>IFERROR(VLOOKUP($J7858,'Informations sur les produits'!$A$3:$H$10000,8,FALSE),"0")</f>
        <v>0</v>
      </c>
      <c r="N7858" s="8"/>
      <c r="O7858" s="33" t="str">
        <f>IFERROR(VLOOKUP($M7858,'Informations sur les produits'!$A$3:$H$10000,8,FALSE),"0")</f>
        <v>0</v>
      </c>
      <c r="P7858" s="33">
        <f t="shared" si="488"/>
        <v>0</v>
      </c>
      <c r="Q7858" s="31" t="str">
        <f t="shared" si="489"/>
        <v/>
      </c>
      <c r="R7858" s="32" t="str">
        <f>IFERROR(VLOOKUP($D7858,'Informations sur les produits'!$A$3:$B$15000,2,FALSE),"")</f>
        <v/>
      </c>
      <c r="V7858">
        <f t="shared" si="490"/>
        <v>0</v>
      </c>
      <c r="W7858">
        <f t="shared" si="491"/>
        <v>0</v>
      </c>
    </row>
    <row r="7859" spans="5:23" x14ac:dyDescent="0.25">
      <c r="E7859" s="4"/>
      <c r="F7859" s="4"/>
      <c r="G7859" s="33" t="str">
        <f>IFERROR(VLOOKUP($D7859,'Informations sur les produits'!$A$3:$H$10000,8,FALSE),"0")</f>
        <v>0</v>
      </c>
      <c r="K7859" s="4"/>
      <c r="L7859" s="33" t="str">
        <f>IFERROR(VLOOKUP($J7859,'Informations sur les produits'!$A$3:$H$10000,8,FALSE),"0")</f>
        <v>0</v>
      </c>
      <c r="N7859" s="8"/>
      <c r="O7859" s="33" t="str">
        <f>IFERROR(VLOOKUP($M7859,'Informations sur les produits'!$A$3:$H$10000,8,FALSE),"0")</f>
        <v>0</v>
      </c>
      <c r="P7859" s="33">
        <f t="shared" si="488"/>
        <v>0</v>
      </c>
      <c r="Q7859" s="31" t="str">
        <f t="shared" si="489"/>
        <v/>
      </c>
      <c r="R7859" s="32" t="str">
        <f>IFERROR(VLOOKUP($D7859,'Informations sur les produits'!$A$3:$B$15000,2,FALSE),"")</f>
        <v/>
      </c>
      <c r="V7859">
        <f t="shared" si="490"/>
        <v>0</v>
      </c>
      <c r="W7859">
        <f t="shared" si="491"/>
        <v>0</v>
      </c>
    </row>
    <row r="7860" spans="5:23" x14ac:dyDescent="0.25">
      <c r="E7860" s="4"/>
      <c r="F7860" s="4"/>
      <c r="G7860" s="33" t="str">
        <f>IFERROR(VLOOKUP($D7860,'Informations sur les produits'!$A$3:$H$10000,8,FALSE),"0")</f>
        <v>0</v>
      </c>
      <c r="K7860" s="4"/>
      <c r="L7860" s="33" t="str">
        <f>IFERROR(VLOOKUP($J7860,'Informations sur les produits'!$A$3:$H$10000,8,FALSE),"0")</f>
        <v>0</v>
      </c>
      <c r="N7860" s="8"/>
      <c r="O7860" s="33" t="str">
        <f>IFERROR(VLOOKUP($M7860,'Informations sur les produits'!$A$3:$H$10000,8,FALSE),"0")</f>
        <v>0</v>
      </c>
      <c r="P7860" s="33">
        <f t="shared" si="488"/>
        <v>0</v>
      </c>
      <c r="Q7860" s="31" t="str">
        <f t="shared" si="489"/>
        <v/>
      </c>
      <c r="R7860" s="32" t="str">
        <f>IFERROR(VLOOKUP($D7860,'Informations sur les produits'!$A$3:$B$15000,2,FALSE),"")</f>
        <v/>
      </c>
      <c r="V7860">
        <f t="shared" si="490"/>
        <v>0</v>
      </c>
      <c r="W7860">
        <f t="shared" si="491"/>
        <v>0</v>
      </c>
    </row>
    <row r="7861" spans="5:23" x14ac:dyDescent="0.25">
      <c r="E7861" s="4"/>
      <c r="F7861" s="4"/>
      <c r="G7861" s="33" t="str">
        <f>IFERROR(VLOOKUP($D7861,'Informations sur les produits'!$A$3:$H$10000,8,FALSE),"0")</f>
        <v>0</v>
      </c>
      <c r="K7861" s="4"/>
      <c r="L7861" s="33" t="str">
        <f>IFERROR(VLOOKUP($J7861,'Informations sur les produits'!$A$3:$H$10000,8,FALSE),"0")</f>
        <v>0</v>
      </c>
      <c r="N7861" s="8"/>
      <c r="O7861" s="33" t="str">
        <f>IFERROR(VLOOKUP($M7861,'Informations sur les produits'!$A$3:$H$10000,8,FALSE),"0")</f>
        <v>0</v>
      </c>
      <c r="P7861" s="33">
        <f t="shared" si="488"/>
        <v>0</v>
      </c>
      <c r="Q7861" s="31" t="str">
        <f t="shared" si="489"/>
        <v/>
      </c>
      <c r="R7861" s="32" t="str">
        <f>IFERROR(VLOOKUP($D7861,'Informations sur les produits'!$A$3:$B$15000,2,FALSE),"")</f>
        <v/>
      </c>
      <c r="V7861">
        <f t="shared" si="490"/>
        <v>0</v>
      </c>
      <c r="W7861">
        <f t="shared" si="491"/>
        <v>0</v>
      </c>
    </row>
    <row r="7862" spans="5:23" x14ac:dyDescent="0.25">
      <c r="E7862" s="4"/>
      <c r="F7862" s="4"/>
      <c r="G7862" s="33" t="str">
        <f>IFERROR(VLOOKUP($D7862,'Informations sur les produits'!$A$3:$H$10000,8,FALSE),"0")</f>
        <v>0</v>
      </c>
      <c r="K7862" s="4"/>
      <c r="L7862" s="33" t="str">
        <f>IFERROR(VLOOKUP($J7862,'Informations sur les produits'!$A$3:$H$10000,8,FALSE),"0")</f>
        <v>0</v>
      </c>
      <c r="N7862" s="8"/>
      <c r="O7862" s="33" t="str">
        <f>IFERROR(VLOOKUP($M7862,'Informations sur les produits'!$A$3:$H$10000,8,FALSE),"0")</f>
        <v>0</v>
      </c>
      <c r="P7862" s="33">
        <f t="shared" si="488"/>
        <v>0</v>
      </c>
      <c r="Q7862" s="31" t="str">
        <f t="shared" si="489"/>
        <v/>
      </c>
      <c r="R7862" s="32" t="str">
        <f>IFERROR(VLOOKUP($D7862,'Informations sur les produits'!$A$3:$B$15000,2,FALSE),"")</f>
        <v/>
      </c>
      <c r="V7862">
        <f t="shared" si="490"/>
        <v>0</v>
      </c>
      <c r="W7862">
        <f t="shared" si="491"/>
        <v>0</v>
      </c>
    </row>
    <row r="7863" spans="5:23" x14ac:dyDescent="0.25">
      <c r="E7863" s="4"/>
      <c r="F7863" s="4"/>
      <c r="G7863" s="33" t="str">
        <f>IFERROR(VLOOKUP($D7863,'Informations sur les produits'!$A$3:$H$10000,8,FALSE),"0")</f>
        <v>0</v>
      </c>
      <c r="K7863" s="4"/>
      <c r="L7863" s="33" t="str">
        <f>IFERROR(VLOOKUP($J7863,'Informations sur les produits'!$A$3:$H$10000,8,FALSE),"0")</f>
        <v>0</v>
      </c>
      <c r="N7863" s="8"/>
      <c r="O7863" s="33" t="str">
        <f>IFERROR(VLOOKUP($M7863,'Informations sur les produits'!$A$3:$H$10000,8,FALSE),"0")</f>
        <v>0</v>
      </c>
      <c r="P7863" s="33">
        <f t="shared" si="488"/>
        <v>0</v>
      </c>
      <c r="Q7863" s="31" t="str">
        <f t="shared" si="489"/>
        <v/>
      </c>
      <c r="R7863" s="32" t="str">
        <f>IFERROR(VLOOKUP($D7863,'Informations sur les produits'!$A$3:$B$15000,2,FALSE),"")</f>
        <v/>
      </c>
      <c r="V7863">
        <f t="shared" si="490"/>
        <v>0</v>
      </c>
      <c r="W7863">
        <f t="shared" si="491"/>
        <v>0</v>
      </c>
    </row>
    <row r="7864" spans="5:23" x14ac:dyDescent="0.25">
      <c r="E7864" s="4"/>
      <c r="F7864" s="4"/>
      <c r="G7864" s="33" t="str">
        <f>IFERROR(VLOOKUP($D7864,'Informations sur les produits'!$A$3:$H$10000,8,FALSE),"0")</f>
        <v>0</v>
      </c>
      <c r="K7864" s="4"/>
      <c r="L7864" s="33" t="str">
        <f>IFERROR(VLOOKUP($J7864,'Informations sur les produits'!$A$3:$H$10000,8,FALSE),"0")</f>
        <v>0</v>
      </c>
      <c r="N7864" s="8"/>
      <c r="O7864" s="33" t="str">
        <f>IFERROR(VLOOKUP($M7864,'Informations sur les produits'!$A$3:$H$10000,8,FALSE),"0")</f>
        <v>0</v>
      </c>
      <c r="P7864" s="33">
        <f t="shared" si="488"/>
        <v>0</v>
      </c>
      <c r="Q7864" s="31" t="str">
        <f t="shared" si="489"/>
        <v/>
      </c>
      <c r="R7864" s="32" t="str">
        <f>IFERROR(VLOOKUP($D7864,'Informations sur les produits'!$A$3:$B$15000,2,FALSE),"")</f>
        <v/>
      </c>
      <c r="V7864">
        <f t="shared" si="490"/>
        <v>0</v>
      </c>
      <c r="W7864">
        <f t="shared" si="491"/>
        <v>0</v>
      </c>
    </row>
    <row r="7865" spans="5:23" x14ac:dyDescent="0.25">
      <c r="E7865" s="4"/>
      <c r="F7865" s="4"/>
      <c r="G7865" s="33" t="str">
        <f>IFERROR(VLOOKUP($D7865,'Informations sur les produits'!$A$3:$H$10000,8,FALSE),"0")</f>
        <v>0</v>
      </c>
      <c r="K7865" s="4"/>
      <c r="L7865" s="33" t="str">
        <f>IFERROR(VLOOKUP($J7865,'Informations sur les produits'!$A$3:$H$10000,8,FALSE),"0")</f>
        <v>0</v>
      </c>
      <c r="N7865" s="8"/>
      <c r="O7865" s="33" t="str">
        <f>IFERROR(VLOOKUP($M7865,'Informations sur les produits'!$A$3:$H$10000,8,FALSE),"0")</f>
        <v>0</v>
      </c>
      <c r="P7865" s="33">
        <f t="shared" si="488"/>
        <v>0</v>
      </c>
      <c r="Q7865" s="31" t="str">
        <f t="shared" si="489"/>
        <v/>
      </c>
      <c r="R7865" s="32" t="str">
        <f>IFERROR(VLOOKUP($D7865,'Informations sur les produits'!$A$3:$B$15000,2,FALSE),"")</f>
        <v/>
      </c>
      <c r="V7865">
        <f t="shared" si="490"/>
        <v>0</v>
      </c>
      <c r="W7865">
        <f t="shared" si="491"/>
        <v>0</v>
      </c>
    </row>
    <row r="7866" spans="5:23" x14ac:dyDescent="0.25">
      <c r="E7866" s="4"/>
      <c r="F7866" s="4"/>
      <c r="G7866" s="33" t="str">
        <f>IFERROR(VLOOKUP($D7866,'Informations sur les produits'!$A$3:$H$10000,8,FALSE),"0")</f>
        <v>0</v>
      </c>
      <c r="K7866" s="4"/>
      <c r="L7866" s="33" t="str">
        <f>IFERROR(VLOOKUP($J7866,'Informations sur les produits'!$A$3:$H$10000,8,FALSE),"0")</f>
        <v>0</v>
      </c>
      <c r="N7866" s="8"/>
      <c r="O7866" s="33" t="str">
        <f>IFERROR(VLOOKUP($M7866,'Informations sur les produits'!$A$3:$H$10000,8,FALSE),"0")</f>
        <v>0</v>
      </c>
      <c r="P7866" s="33">
        <f t="shared" si="488"/>
        <v>0</v>
      </c>
      <c r="Q7866" s="31" t="str">
        <f t="shared" si="489"/>
        <v/>
      </c>
      <c r="R7866" s="32" t="str">
        <f>IFERROR(VLOOKUP($D7866,'Informations sur les produits'!$A$3:$B$15000,2,FALSE),"")</f>
        <v/>
      </c>
      <c r="V7866">
        <f t="shared" si="490"/>
        <v>0</v>
      </c>
      <c r="W7866">
        <f t="shared" si="491"/>
        <v>0</v>
      </c>
    </row>
    <row r="7867" spans="5:23" x14ac:dyDescent="0.25">
      <c r="E7867" s="4"/>
      <c r="F7867" s="4"/>
      <c r="G7867" s="33" t="str">
        <f>IFERROR(VLOOKUP($D7867,'Informations sur les produits'!$A$3:$H$10000,8,FALSE),"0")</f>
        <v>0</v>
      </c>
      <c r="K7867" s="4"/>
      <c r="L7867" s="33" t="str">
        <f>IFERROR(VLOOKUP($J7867,'Informations sur les produits'!$A$3:$H$10000,8,FALSE),"0")</f>
        <v>0</v>
      </c>
      <c r="N7867" s="8"/>
      <c r="O7867" s="33" t="str">
        <f>IFERROR(VLOOKUP($M7867,'Informations sur les produits'!$A$3:$H$10000,8,FALSE),"0")</f>
        <v>0</v>
      </c>
      <c r="P7867" s="33">
        <f t="shared" si="488"/>
        <v>0</v>
      </c>
      <c r="Q7867" s="31" t="str">
        <f t="shared" si="489"/>
        <v/>
      </c>
      <c r="R7867" s="32" t="str">
        <f>IFERROR(VLOOKUP($D7867,'Informations sur les produits'!$A$3:$B$15000,2,FALSE),"")</f>
        <v/>
      </c>
      <c r="V7867">
        <f t="shared" si="490"/>
        <v>0</v>
      </c>
      <c r="W7867">
        <f t="shared" si="491"/>
        <v>0</v>
      </c>
    </row>
    <row r="7868" spans="5:23" x14ac:dyDescent="0.25">
      <c r="E7868" s="4"/>
      <c r="F7868" s="4"/>
      <c r="G7868" s="33" t="str">
        <f>IFERROR(VLOOKUP($D7868,'Informations sur les produits'!$A$3:$H$10000,8,FALSE),"0")</f>
        <v>0</v>
      </c>
      <c r="K7868" s="4"/>
      <c r="L7868" s="33" t="str">
        <f>IFERROR(VLOOKUP($J7868,'Informations sur les produits'!$A$3:$H$10000,8,FALSE),"0")</f>
        <v>0</v>
      </c>
      <c r="N7868" s="8"/>
      <c r="O7868" s="33" t="str">
        <f>IFERROR(VLOOKUP($M7868,'Informations sur les produits'!$A$3:$H$10000,8,FALSE),"0")</f>
        <v>0</v>
      </c>
      <c r="P7868" s="33">
        <f t="shared" si="488"/>
        <v>0</v>
      </c>
      <c r="Q7868" s="31" t="str">
        <f t="shared" si="489"/>
        <v/>
      </c>
      <c r="R7868" s="32" t="str">
        <f>IFERROR(VLOOKUP($D7868,'Informations sur les produits'!$A$3:$B$15000,2,FALSE),"")</f>
        <v/>
      </c>
      <c r="V7868">
        <f t="shared" si="490"/>
        <v>0</v>
      </c>
      <c r="W7868">
        <f t="shared" si="491"/>
        <v>0</v>
      </c>
    </row>
    <row r="7869" spans="5:23" x14ac:dyDescent="0.25">
      <c r="E7869" s="4"/>
      <c r="F7869" s="4"/>
      <c r="G7869" s="33" t="str">
        <f>IFERROR(VLOOKUP($D7869,'Informations sur les produits'!$A$3:$H$10000,8,FALSE),"0")</f>
        <v>0</v>
      </c>
      <c r="K7869" s="4"/>
      <c r="L7869" s="33" t="str">
        <f>IFERROR(VLOOKUP($J7869,'Informations sur les produits'!$A$3:$H$10000,8,FALSE),"0")</f>
        <v>0</v>
      </c>
      <c r="N7869" s="8"/>
      <c r="O7869" s="33" t="str">
        <f>IFERROR(VLOOKUP($M7869,'Informations sur les produits'!$A$3:$H$10000,8,FALSE),"0")</f>
        <v>0</v>
      </c>
      <c r="P7869" s="33">
        <f t="shared" si="488"/>
        <v>0</v>
      </c>
      <c r="Q7869" s="31" t="str">
        <f t="shared" si="489"/>
        <v/>
      </c>
      <c r="R7869" s="32" t="str">
        <f>IFERROR(VLOOKUP($D7869,'Informations sur les produits'!$A$3:$B$15000,2,FALSE),"")</f>
        <v/>
      </c>
      <c r="V7869">
        <f t="shared" si="490"/>
        <v>0</v>
      </c>
      <c r="W7869">
        <f t="shared" si="491"/>
        <v>0</v>
      </c>
    </row>
    <row r="7870" spans="5:23" x14ac:dyDescent="0.25">
      <c r="E7870" s="4"/>
      <c r="F7870" s="4"/>
      <c r="G7870" s="33" t="str">
        <f>IFERROR(VLOOKUP($D7870,'Informations sur les produits'!$A$3:$H$10000,8,FALSE),"0")</f>
        <v>0</v>
      </c>
      <c r="K7870" s="4"/>
      <c r="L7870" s="33" t="str">
        <f>IFERROR(VLOOKUP($J7870,'Informations sur les produits'!$A$3:$H$10000,8,FALSE),"0")</f>
        <v>0</v>
      </c>
      <c r="N7870" s="8"/>
      <c r="O7870" s="33" t="str">
        <f>IFERROR(VLOOKUP($M7870,'Informations sur les produits'!$A$3:$H$10000,8,FALSE),"0")</f>
        <v>0</v>
      </c>
      <c r="P7870" s="33">
        <f t="shared" si="488"/>
        <v>0</v>
      </c>
      <c r="Q7870" s="31" t="str">
        <f t="shared" si="489"/>
        <v/>
      </c>
      <c r="R7870" s="32" t="str">
        <f>IFERROR(VLOOKUP($D7870,'Informations sur les produits'!$A$3:$B$15000,2,FALSE),"")</f>
        <v/>
      </c>
      <c r="V7870">
        <f t="shared" si="490"/>
        <v>0</v>
      </c>
      <c r="W7870">
        <f t="shared" si="491"/>
        <v>0</v>
      </c>
    </row>
    <row r="7871" spans="5:23" x14ac:dyDescent="0.25">
      <c r="E7871" s="4"/>
      <c r="F7871" s="4"/>
      <c r="G7871" s="33" t="str">
        <f>IFERROR(VLOOKUP($D7871,'Informations sur les produits'!$A$3:$H$10000,8,FALSE),"0")</f>
        <v>0</v>
      </c>
      <c r="K7871" s="4"/>
      <c r="L7871" s="33" t="str">
        <f>IFERROR(VLOOKUP($J7871,'Informations sur les produits'!$A$3:$H$10000,8,FALSE),"0")</f>
        <v>0</v>
      </c>
      <c r="N7871" s="8"/>
      <c r="O7871" s="33" t="str">
        <f>IFERROR(VLOOKUP($M7871,'Informations sur les produits'!$A$3:$H$10000,8,FALSE),"0")</f>
        <v>0</v>
      </c>
      <c r="P7871" s="33">
        <f t="shared" si="488"/>
        <v>0</v>
      </c>
      <c r="Q7871" s="31" t="str">
        <f t="shared" si="489"/>
        <v/>
      </c>
      <c r="R7871" s="32" t="str">
        <f>IFERROR(VLOOKUP($D7871,'Informations sur les produits'!$A$3:$B$15000,2,FALSE),"")</f>
        <v/>
      </c>
      <c r="V7871">
        <f t="shared" si="490"/>
        <v>0</v>
      </c>
      <c r="W7871">
        <f t="shared" si="491"/>
        <v>0</v>
      </c>
    </row>
    <row r="7872" spans="5:23" x14ac:dyDescent="0.25">
      <c r="E7872" s="4"/>
      <c r="F7872" s="4"/>
      <c r="G7872" s="33" t="str">
        <f>IFERROR(VLOOKUP($D7872,'Informations sur les produits'!$A$3:$H$10000,8,FALSE),"0")</f>
        <v>0</v>
      </c>
      <c r="K7872" s="4"/>
      <c r="L7872" s="33" t="str">
        <f>IFERROR(VLOOKUP($J7872,'Informations sur les produits'!$A$3:$H$10000,8,FALSE),"0")</f>
        <v>0</v>
      </c>
      <c r="N7872" s="8"/>
      <c r="O7872" s="33" t="str">
        <f>IFERROR(VLOOKUP($M7872,'Informations sur les produits'!$A$3:$H$10000,8,FALSE),"0")</f>
        <v>0</v>
      </c>
      <c r="P7872" s="33">
        <f t="shared" si="488"/>
        <v>0</v>
      </c>
      <c r="Q7872" s="31" t="str">
        <f t="shared" si="489"/>
        <v/>
      </c>
      <c r="R7872" s="32" t="str">
        <f>IFERROR(VLOOKUP($D7872,'Informations sur les produits'!$A$3:$B$15000,2,FALSE),"")</f>
        <v/>
      </c>
      <c r="V7872">
        <f t="shared" si="490"/>
        <v>0</v>
      </c>
      <c r="W7872">
        <f t="shared" si="491"/>
        <v>0</v>
      </c>
    </row>
    <row r="7873" spans="5:23" x14ac:dyDescent="0.25">
      <c r="E7873" s="4"/>
      <c r="F7873" s="4"/>
      <c r="G7873" s="33" t="str">
        <f>IFERROR(VLOOKUP($D7873,'Informations sur les produits'!$A$3:$H$10000,8,FALSE),"0")</f>
        <v>0</v>
      </c>
      <c r="K7873" s="4"/>
      <c r="L7873" s="33" t="str">
        <f>IFERROR(VLOOKUP($J7873,'Informations sur les produits'!$A$3:$H$10000,8,FALSE),"0")</f>
        <v>0</v>
      </c>
      <c r="N7873" s="8"/>
      <c r="O7873" s="33" t="str">
        <f>IFERROR(VLOOKUP($M7873,'Informations sur les produits'!$A$3:$H$10000,8,FALSE),"0")</f>
        <v>0</v>
      </c>
      <c r="P7873" s="33">
        <f t="shared" si="488"/>
        <v>0</v>
      </c>
      <c r="Q7873" s="31" t="str">
        <f t="shared" si="489"/>
        <v/>
      </c>
      <c r="R7873" s="32" t="str">
        <f>IFERROR(VLOOKUP($D7873,'Informations sur les produits'!$A$3:$B$15000,2,FALSE),"")</f>
        <v/>
      </c>
      <c r="V7873">
        <f t="shared" si="490"/>
        <v>0</v>
      </c>
      <c r="W7873">
        <f t="shared" si="491"/>
        <v>0</v>
      </c>
    </row>
    <row r="7874" spans="5:23" x14ac:dyDescent="0.25">
      <c r="E7874" s="4"/>
      <c r="F7874" s="4"/>
      <c r="G7874" s="33" t="str">
        <f>IFERROR(VLOOKUP($D7874,'Informations sur les produits'!$A$3:$H$10000,8,FALSE),"0")</f>
        <v>0</v>
      </c>
      <c r="K7874" s="4"/>
      <c r="L7874" s="33" t="str">
        <f>IFERROR(VLOOKUP($J7874,'Informations sur les produits'!$A$3:$H$10000,8,FALSE),"0")</f>
        <v>0</v>
      </c>
      <c r="N7874" s="8"/>
      <c r="O7874" s="33" t="str">
        <f>IFERROR(VLOOKUP($M7874,'Informations sur les produits'!$A$3:$H$10000,8,FALSE),"0")</f>
        <v>0</v>
      </c>
      <c r="P7874" s="33">
        <f t="shared" si="488"/>
        <v>0</v>
      </c>
      <c r="Q7874" s="31" t="str">
        <f t="shared" si="489"/>
        <v/>
      </c>
      <c r="R7874" s="32" t="str">
        <f>IFERROR(VLOOKUP($D7874,'Informations sur les produits'!$A$3:$B$15000,2,FALSE),"")</f>
        <v/>
      </c>
      <c r="V7874">
        <f t="shared" si="490"/>
        <v>0</v>
      </c>
      <c r="W7874">
        <f t="shared" si="491"/>
        <v>0</v>
      </c>
    </row>
    <row r="7875" spans="5:23" x14ac:dyDescent="0.25">
      <c r="E7875" s="4"/>
      <c r="F7875" s="4"/>
      <c r="G7875" s="33" t="str">
        <f>IFERROR(VLOOKUP($D7875,'Informations sur les produits'!$A$3:$H$10000,8,FALSE),"0")</f>
        <v>0</v>
      </c>
      <c r="K7875" s="4"/>
      <c r="L7875" s="33" t="str">
        <f>IFERROR(VLOOKUP($J7875,'Informations sur les produits'!$A$3:$H$10000,8,FALSE),"0")</f>
        <v>0</v>
      </c>
      <c r="N7875" s="8"/>
      <c r="O7875" s="33" t="str">
        <f>IFERROR(VLOOKUP($M7875,'Informations sur les produits'!$A$3:$H$10000,8,FALSE),"0")</f>
        <v>0</v>
      </c>
      <c r="P7875" s="33">
        <f t="shared" si="488"/>
        <v>0</v>
      </c>
      <c r="Q7875" s="31" t="str">
        <f t="shared" si="489"/>
        <v/>
      </c>
      <c r="R7875" s="32" t="str">
        <f>IFERROR(VLOOKUP($D7875,'Informations sur les produits'!$A$3:$B$15000,2,FALSE),"")</f>
        <v/>
      </c>
      <c r="V7875">
        <f t="shared" si="490"/>
        <v>0</v>
      </c>
      <c r="W7875">
        <f t="shared" si="491"/>
        <v>0</v>
      </c>
    </row>
    <row r="7876" spans="5:23" x14ac:dyDescent="0.25">
      <c r="E7876" s="4"/>
      <c r="F7876" s="4"/>
      <c r="G7876" s="33" t="str">
        <f>IFERROR(VLOOKUP($D7876,'Informations sur les produits'!$A$3:$H$10000,8,FALSE),"0")</f>
        <v>0</v>
      </c>
      <c r="K7876" s="4"/>
      <c r="L7876" s="33" t="str">
        <f>IFERROR(VLOOKUP($J7876,'Informations sur les produits'!$A$3:$H$10000,8,FALSE),"0")</f>
        <v>0</v>
      </c>
      <c r="N7876" s="8"/>
      <c r="O7876" s="33" t="str">
        <f>IFERROR(VLOOKUP($M7876,'Informations sur les produits'!$A$3:$H$10000,8,FALSE),"0")</f>
        <v>0</v>
      </c>
      <c r="P7876" s="33">
        <f t="shared" ref="P7876:P7939" si="492">IFERROR((($E7876-$F7876)*$G7876+$K7876*$L7876+$N7876*$O7876),"")</f>
        <v>0</v>
      </c>
      <c r="Q7876" s="31" t="str">
        <f t="shared" ref="Q7876:Q7939" si="493">IFERROR((((($E7876-$F7876)*$G7876+$K7876*$L7876+$N7876*$O7876)*1000)/(($E7876-$F7876)+$K7876+$N7876)),"")</f>
        <v/>
      </c>
      <c r="R7876" s="32" t="str">
        <f>IFERROR(VLOOKUP($D7876,'Informations sur les produits'!$A$3:$B$15000,2,FALSE),"")</f>
        <v/>
      </c>
      <c r="V7876">
        <f t="shared" ref="V7876:V7939" si="494">IFERROR(P7876*1000,"")</f>
        <v>0</v>
      </c>
      <c r="W7876">
        <f t="shared" ref="W7876:W7939" si="495">IFERROR(($E7876-$F7876)+$K7876+$N7876,"")</f>
        <v>0</v>
      </c>
    </row>
    <row r="7877" spans="5:23" x14ac:dyDescent="0.25">
      <c r="E7877" s="4"/>
      <c r="F7877" s="4"/>
      <c r="G7877" s="33" t="str">
        <f>IFERROR(VLOOKUP($D7877,'Informations sur les produits'!$A$3:$H$10000,8,FALSE),"0")</f>
        <v>0</v>
      </c>
      <c r="K7877" s="4"/>
      <c r="L7877" s="33" t="str">
        <f>IFERROR(VLOOKUP($J7877,'Informations sur les produits'!$A$3:$H$10000,8,FALSE),"0")</f>
        <v>0</v>
      </c>
      <c r="N7877" s="8"/>
      <c r="O7877" s="33" t="str">
        <f>IFERROR(VLOOKUP($M7877,'Informations sur les produits'!$A$3:$H$10000,8,FALSE),"0")</f>
        <v>0</v>
      </c>
      <c r="P7877" s="33">
        <f t="shared" si="492"/>
        <v>0</v>
      </c>
      <c r="Q7877" s="31" t="str">
        <f t="shared" si="493"/>
        <v/>
      </c>
      <c r="R7877" s="32" t="str">
        <f>IFERROR(VLOOKUP($D7877,'Informations sur les produits'!$A$3:$B$15000,2,FALSE),"")</f>
        <v/>
      </c>
      <c r="V7877">
        <f t="shared" si="494"/>
        <v>0</v>
      </c>
      <c r="W7877">
        <f t="shared" si="495"/>
        <v>0</v>
      </c>
    </row>
    <row r="7878" spans="5:23" x14ac:dyDescent="0.25">
      <c r="E7878" s="4"/>
      <c r="F7878" s="4"/>
      <c r="G7878" s="33" t="str">
        <f>IFERROR(VLOOKUP($D7878,'Informations sur les produits'!$A$3:$H$10000,8,FALSE),"0")</f>
        <v>0</v>
      </c>
      <c r="K7878" s="4"/>
      <c r="L7878" s="33" t="str">
        <f>IFERROR(VLOOKUP($J7878,'Informations sur les produits'!$A$3:$H$10000,8,FALSE),"0")</f>
        <v>0</v>
      </c>
      <c r="N7878" s="8"/>
      <c r="O7878" s="33" t="str">
        <f>IFERROR(VLOOKUP($M7878,'Informations sur les produits'!$A$3:$H$10000,8,FALSE),"0")</f>
        <v>0</v>
      </c>
      <c r="P7878" s="33">
        <f t="shared" si="492"/>
        <v>0</v>
      </c>
      <c r="Q7878" s="31" t="str">
        <f t="shared" si="493"/>
        <v/>
      </c>
      <c r="R7878" s="32" t="str">
        <f>IFERROR(VLOOKUP($D7878,'Informations sur les produits'!$A$3:$B$15000,2,FALSE),"")</f>
        <v/>
      </c>
      <c r="V7878">
        <f t="shared" si="494"/>
        <v>0</v>
      </c>
      <c r="W7878">
        <f t="shared" si="495"/>
        <v>0</v>
      </c>
    </row>
    <row r="7879" spans="5:23" x14ac:dyDescent="0.25">
      <c r="E7879" s="4"/>
      <c r="F7879" s="4"/>
      <c r="G7879" s="33" t="str">
        <f>IFERROR(VLOOKUP($D7879,'Informations sur les produits'!$A$3:$H$10000,8,FALSE),"0")</f>
        <v>0</v>
      </c>
      <c r="K7879" s="4"/>
      <c r="L7879" s="33" t="str">
        <f>IFERROR(VLOOKUP($J7879,'Informations sur les produits'!$A$3:$H$10000,8,FALSE),"0")</f>
        <v>0</v>
      </c>
      <c r="N7879" s="8"/>
      <c r="O7879" s="33" t="str">
        <f>IFERROR(VLOOKUP($M7879,'Informations sur les produits'!$A$3:$H$10000,8,FALSE),"0")</f>
        <v>0</v>
      </c>
      <c r="P7879" s="33">
        <f t="shared" si="492"/>
        <v>0</v>
      </c>
      <c r="Q7879" s="31" t="str">
        <f t="shared" si="493"/>
        <v/>
      </c>
      <c r="R7879" s="32" t="str">
        <f>IFERROR(VLOOKUP($D7879,'Informations sur les produits'!$A$3:$B$15000,2,FALSE),"")</f>
        <v/>
      </c>
      <c r="V7879">
        <f t="shared" si="494"/>
        <v>0</v>
      </c>
      <c r="W7879">
        <f t="shared" si="495"/>
        <v>0</v>
      </c>
    </row>
    <row r="7880" spans="5:23" x14ac:dyDescent="0.25">
      <c r="E7880" s="4"/>
      <c r="F7880" s="4"/>
      <c r="G7880" s="33" t="str">
        <f>IFERROR(VLOOKUP($D7880,'Informations sur les produits'!$A$3:$H$10000,8,FALSE),"0")</f>
        <v>0</v>
      </c>
      <c r="K7880" s="4"/>
      <c r="L7880" s="33" t="str">
        <f>IFERROR(VLOOKUP($J7880,'Informations sur les produits'!$A$3:$H$10000,8,FALSE),"0")</f>
        <v>0</v>
      </c>
      <c r="N7880" s="8"/>
      <c r="O7880" s="33" t="str">
        <f>IFERROR(VLOOKUP($M7880,'Informations sur les produits'!$A$3:$H$10000,8,FALSE),"0")</f>
        <v>0</v>
      </c>
      <c r="P7880" s="33">
        <f t="shared" si="492"/>
        <v>0</v>
      </c>
      <c r="Q7880" s="31" t="str">
        <f t="shared" si="493"/>
        <v/>
      </c>
      <c r="R7880" s="32" t="str">
        <f>IFERROR(VLOOKUP($D7880,'Informations sur les produits'!$A$3:$B$15000,2,FALSE),"")</f>
        <v/>
      </c>
      <c r="V7880">
        <f t="shared" si="494"/>
        <v>0</v>
      </c>
      <c r="W7880">
        <f t="shared" si="495"/>
        <v>0</v>
      </c>
    </row>
    <row r="7881" spans="5:23" x14ac:dyDescent="0.25">
      <c r="E7881" s="4"/>
      <c r="F7881" s="4"/>
      <c r="G7881" s="33" t="str">
        <f>IFERROR(VLOOKUP($D7881,'Informations sur les produits'!$A$3:$H$10000,8,FALSE),"0")</f>
        <v>0</v>
      </c>
      <c r="K7881" s="4"/>
      <c r="L7881" s="33" t="str">
        <f>IFERROR(VLOOKUP($J7881,'Informations sur les produits'!$A$3:$H$10000,8,FALSE),"0")</f>
        <v>0</v>
      </c>
      <c r="N7881" s="8"/>
      <c r="O7881" s="33" t="str">
        <f>IFERROR(VLOOKUP($M7881,'Informations sur les produits'!$A$3:$H$10000,8,FALSE),"0")</f>
        <v>0</v>
      </c>
      <c r="P7881" s="33">
        <f t="shared" si="492"/>
        <v>0</v>
      </c>
      <c r="Q7881" s="31" t="str">
        <f t="shared" si="493"/>
        <v/>
      </c>
      <c r="R7881" s="32" t="str">
        <f>IFERROR(VLOOKUP($D7881,'Informations sur les produits'!$A$3:$B$15000,2,FALSE),"")</f>
        <v/>
      </c>
      <c r="V7881">
        <f t="shared" si="494"/>
        <v>0</v>
      </c>
      <c r="W7881">
        <f t="shared" si="495"/>
        <v>0</v>
      </c>
    </row>
    <row r="7882" spans="5:23" x14ac:dyDescent="0.25">
      <c r="E7882" s="4"/>
      <c r="F7882" s="4"/>
      <c r="G7882" s="33" t="str">
        <f>IFERROR(VLOOKUP($D7882,'Informations sur les produits'!$A$3:$H$10000,8,FALSE),"0")</f>
        <v>0</v>
      </c>
      <c r="K7882" s="4"/>
      <c r="L7882" s="33" t="str">
        <f>IFERROR(VLOOKUP($J7882,'Informations sur les produits'!$A$3:$H$10000,8,FALSE),"0")</f>
        <v>0</v>
      </c>
      <c r="N7882" s="8"/>
      <c r="O7882" s="33" t="str">
        <f>IFERROR(VLOOKUP($M7882,'Informations sur les produits'!$A$3:$H$10000,8,FALSE),"0")</f>
        <v>0</v>
      </c>
      <c r="P7882" s="33">
        <f t="shared" si="492"/>
        <v>0</v>
      </c>
      <c r="Q7882" s="31" t="str">
        <f t="shared" si="493"/>
        <v/>
      </c>
      <c r="R7882" s="32" t="str">
        <f>IFERROR(VLOOKUP($D7882,'Informations sur les produits'!$A$3:$B$15000,2,FALSE),"")</f>
        <v/>
      </c>
      <c r="V7882">
        <f t="shared" si="494"/>
        <v>0</v>
      </c>
      <c r="W7882">
        <f t="shared" si="495"/>
        <v>0</v>
      </c>
    </row>
    <row r="7883" spans="5:23" x14ac:dyDescent="0.25">
      <c r="E7883" s="4"/>
      <c r="F7883" s="4"/>
      <c r="G7883" s="33" t="str">
        <f>IFERROR(VLOOKUP($D7883,'Informations sur les produits'!$A$3:$H$10000,8,FALSE),"0")</f>
        <v>0</v>
      </c>
      <c r="K7883" s="4"/>
      <c r="L7883" s="33" t="str">
        <f>IFERROR(VLOOKUP($J7883,'Informations sur les produits'!$A$3:$H$10000,8,FALSE),"0")</f>
        <v>0</v>
      </c>
      <c r="N7883" s="8"/>
      <c r="O7883" s="33" t="str">
        <f>IFERROR(VLOOKUP($M7883,'Informations sur les produits'!$A$3:$H$10000,8,FALSE),"0")</f>
        <v>0</v>
      </c>
      <c r="P7883" s="33">
        <f t="shared" si="492"/>
        <v>0</v>
      </c>
      <c r="Q7883" s="31" t="str">
        <f t="shared" si="493"/>
        <v/>
      </c>
      <c r="R7883" s="32" t="str">
        <f>IFERROR(VLOOKUP($D7883,'Informations sur les produits'!$A$3:$B$15000,2,FALSE),"")</f>
        <v/>
      </c>
      <c r="V7883">
        <f t="shared" si="494"/>
        <v>0</v>
      </c>
      <c r="W7883">
        <f t="shared" si="495"/>
        <v>0</v>
      </c>
    </row>
    <row r="7884" spans="5:23" x14ac:dyDescent="0.25">
      <c r="E7884" s="4"/>
      <c r="F7884" s="4"/>
      <c r="G7884" s="33" t="str">
        <f>IFERROR(VLOOKUP($D7884,'Informations sur les produits'!$A$3:$H$10000,8,FALSE),"0")</f>
        <v>0</v>
      </c>
      <c r="K7884" s="4"/>
      <c r="L7884" s="33" t="str">
        <f>IFERROR(VLOOKUP($J7884,'Informations sur les produits'!$A$3:$H$10000,8,FALSE),"0")</f>
        <v>0</v>
      </c>
      <c r="N7884" s="8"/>
      <c r="O7884" s="33" t="str">
        <f>IFERROR(VLOOKUP($M7884,'Informations sur les produits'!$A$3:$H$10000,8,FALSE),"0")</f>
        <v>0</v>
      </c>
      <c r="P7884" s="33">
        <f t="shared" si="492"/>
        <v>0</v>
      </c>
      <c r="Q7884" s="31" t="str">
        <f t="shared" si="493"/>
        <v/>
      </c>
      <c r="R7884" s="32" t="str">
        <f>IFERROR(VLOOKUP($D7884,'Informations sur les produits'!$A$3:$B$15000,2,FALSE),"")</f>
        <v/>
      </c>
      <c r="V7884">
        <f t="shared" si="494"/>
        <v>0</v>
      </c>
      <c r="W7884">
        <f t="shared" si="495"/>
        <v>0</v>
      </c>
    </row>
    <row r="7885" spans="5:23" x14ac:dyDescent="0.25">
      <c r="E7885" s="4"/>
      <c r="F7885" s="4"/>
      <c r="G7885" s="33" t="str">
        <f>IFERROR(VLOOKUP($D7885,'Informations sur les produits'!$A$3:$H$10000,8,FALSE),"0")</f>
        <v>0</v>
      </c>
      <c r="K7885" s="4"/>
      <c r="L7885" s="33" t="str">
        <f>IFERROR(VLOOKUP($J7885,'Informations sur les produits'!$A$3:$H$10000,8,FALSE),"0")</f>
        <v>0</v>
      </c>
      <c r="N7885" s="8"/>
      <c r="O7885" s="33" t="str">
        <f>IFERROR(VLOOKUP($M7885,'Informations sur les produits'!$A$3:$H$10000,8,FALSE),"0")</f>
        <v>0</v>
      </c>
      <c r="P7885" s="33">
        <f t="shared" si="492"/>
        <v>0</v>
      </c>
      <c r="Q7885" s="31" t="str">
        <f t="shared" si="493"/>
        <v/>
      </c>
      <c r="R7885" s="32" t="str">
        <f>IFERROR(VLOOKUP($D7885,'Informations sur les produits'!$A$3:$B$15000,2,FALSE),"")</f>
        <v/>
      </c>
      <c r="V7885">
        <f t="shared" si="494"/>
        <v>0</v>
      </c>
      <c r="W7885">
        <f t="shared" si="495"/>
        <v>0</v>
      </c>
    </row>
    <row r="7886" spans="5:23" x14ac:dyDescent="0.25">
      <c r="E7886" s="4"/>
      <c r="F7886" s="4"/>
      <c r="G7886" s="33" t="str">
        <f>IFERROR(VLOOKUP($D7886,'Informations sur les produits'!$A$3:$H$10000,8,FALSE),"0")</f>
        <v>0</v>
      </c>
      <c r="K7886" s="4"/>
      <c r="L7886" s="33" t="str">
        <f>IFERROR(VLOOKUP($J7886,'Informations sur les produits'!$A$3:$H$10000,8,FALSE),"0")</f>
        <v>0</v>
      </c>
      <c r="N7886" s="8"/>
      <c r="O7886" s="33" t="str">
        <f>IFERROR(VLOOKUP($M7886,'Informations sur les produits'!$A$3:$H$10000,8,FALSE),"0")</f>
        <v>0</v>
      </c>
      <c r="P7886" s="33">
        <f t="shared" si="492"/>
        <v>0</v>
      </c>
      <c r="Q7886" s="31" t="str">
        <f t="shared" si="493"/>
        <v/>
      </c>
      <c r="R7886" s="32" t="str">
        <f>IFERROR(VLOOKUP($D7886,'Informations sur les produits'!$A$3:$B$15000,2,FALSE),"")</f>
        <v/>
      </c>
      <c r="V7886">
        <f t="shared" si="494"/>
        <v>0</v>
      </c>
      <c r="W7886">
        <f t="shared" si="495"/>
        <v>0</v>
      </c>
    </row>
    <row r="7887" spans="5:23" x14ac:dyDescent="0.25">
      <c r="E7887" s="4"/>
      <c r="F7887" s="4"/>
      <c r="G7887" s="33" t="str">
        <f>IFERROR(VLOOKUP($D7887,'Informations sur les produits'!$A$3:$H$10000,8,FALSE),"0")</f>
        <v>0</v>
      </c>
      <c r="K7887" s="4"/>
      <c r="L7887" s="33" t="str">
        <f>IFERROR(VLOOKUP($J7887,'Informations sur les produits'!$A$3:$H$10000,8,FALSE),"0")</f>
        <v>0</v>
      </c>
      <c r="N7887" s="8"/>
      <c r="O7887" s="33" t="str">
        <f>IFERROR(VLOOKUP($M7887,'Informations sur les produits'!$A$3:$H$10000,8,FALSE),"0")</f>
        <v>0</v>
      </c>
      <c r="P7887" s="33">
        <f t="shared" si="492"/>
        <v>0</v>
      </c>
      <c r="Q7887" s="31" t="str">
        <f t="shared" si="493"/>
        <v/>
      </c>
      <c r="R7887" s="32" t="str">
        <f>IFERROR(VLOOKUP($D7887,'Informations sur les produits'!$A$3:$B$15000,2,FALSE),"")</f>
        <v/>
      </c>
      <c r="V7887">
        <f t="shared" si="494"/>
        <v>0</v>
      </c>
      <c r="W7887">
        <f t="shared" si="495"/>
        <v>0</v>
      </c>
    </row>
    <row r="7888" spans="5:23" x14ac:dyDescent="0.25">
      <c r="E7888" s="4"/>
      <c r="F7888" s="4"/>
      <c r="G7888" s="33" t="str">
        <f>IFERROR(VLOOKUP($D7888,'Informations sur les produits'!$A$3:$H$10000,8,FALSE),"0")</f>
        <v>0</v>
      </c>
      <c r="K7888" s="4"/>
      <c r="L7888" s="33" t="str">
        <f>IFERROR(VLOOKUP($J7888,'Informations sur les produits'!$A$3:$H$10000,8,FALSE),"0")</f>
        <v>0</v>
      </c>
      <c r="N7888" s="8"/>
      <c r="O7888" s="33" t="str">
        <f>IFERROR(VLOOKUP($M7888,'Informations sur les produits'!$A$3:$H$10000,8,FALSE),"0")</f>
        <v>0</v>
      </c>
      <c r="P7888" s="33">
        <f t="shared" si="492"/>
        <v>0</v>
      </c>
      <c r="Q7888" s="31" t="str">
        <f t="shared" si="493"/>
        <v/>
      </c>
      <c r="R7888" s="32" t="str">
        <f>IFERROR(VLOOKUP($D7888,'Informations sur les produits'!$A$3:$B$15000,2,FALSE),"")</f>
        <v/>
      </c>
      <c r="V7888">
        <f t="shared" si="494"/>
        <v>0</v>
      </c>
      <c r="W7888">
        <f t="shared" si="495"/>
        <v>0</v>
      </c>
    </row>
    <row r="7889" spans="5:23" x14ac:dyDescent="0.25">
      <c r="E7889" s="4"/>
      <c r="F7889" s="4"/>
      <c r="G7889" s="33" t="str">
        <f>IFERROR(VLOOKUP($D7889,'Informations sur les produits'!$A$3:$H$10000,8,FALSE),"0")</f>
        <v>0</v>
      </c>
      <c r="K7889" s="4"/>
      <c r="L7889" s="33" t="str">
        <f>IFERROR(VLOOKUP($J7889,'Informations sur les produits'!$A$3:$H$10000,8,FALSE),"0")</f>
        <v>0</v>
      </c>
      <c r="N7889" s="8"/>
      <c r="O7889" s="33" t="str">
        <f>IFERROR(VLOOKUP($M7889,'Informations sur les produits'!$A$3:$H$10000,8,FALSE),"0")</f>
        <v>0</v>
      </c>
      <c r="P7889" s="33">
        <f t="shared" si="492"/>
        <v>0</v>
      </c>
      <c r="Q7889" s="31" t="str">
        <f t="shared" si="493"/>
        <v/>
      </c>
      <c r="R7889" s="32" t="str">
        <f>IFERROR(VLOOKUP($D7889,'Informations sur les produits'!$A$3:$B$15000,2,FALSE),"")</f>
        <v/>
      </c>
      <c r="V7889">
        <f t="shared" si="494"/>
        <v>0</v>
      </c>
      <c r="W7889">
        <f t="shared" si="495"/>
        <v>0</v>
      </c>
    </row>
    <row r="7890" spans="5:23" x14ac:dyDescent="0.25">
      <c r="E7890" s="4"/>
      <c r="F7890" s="4"/>
      <c r="G7890" s="33" t="str">
        <f>IFERROR(VLOOKUP($D7890,'Informations sur les produits'!$A$3:$H$10000,8,FALSE),"0")</f>
        <v>0</v>
      </c>
      <c r="K7890" s="4"/>
      <c r="L7890" s="33" t="str">
        <f>IFERROR(VLOOKUP($J7890,'Informations sur les produits'!$A$3:$H$10000,8,FALSE),"0")</f>
        <v>0</v>
      </c>
      <c r="N7890" s="8"/>
      <c r="O7890" s="33" t="str">
        <f>IFERROR(VLOOKUP($M7890,'Informations sur les produits'!$A$3:$H$10000,8,FALSE),"0")</f>
        <v>0</v>
      </c>
      <c r="P7890" s="33">
        <f t="shared" si="492"/>
        <v>0</v>
      </c>
      <c r="Q7890" s="31" t="str">
        <f t="shared" si="493"/>
        <v/>
      </c>
      <c r="R7890" s="32" t="str">
        <f>IFERROR(VLOOKUP($D7890,'Informations sur les produits'!$A$3:$B$15000,2,FALSE),"")</f>
        <v/>
      </c>
      <c r="V7890">
        <f t="shared" si="494"/>
        <v>0</v>
      </c>
      <c r="W7890">
        <f t="shared" si="495"/>
        <v>0</v>
      </c>
    </row>
    <row r="7891" spans="5:23" x14ac:dyDescent="0.25">
      <c r="E7891" s="4"/>
      <c r="F7891" s="4"/>
      <c r="G7891" s="33" t="str">
        <f>IFERROR(VLOOKUP($D7891,'Informations sur les produits'!$A$3:$H$10000,8,FALSE),"0")</f>
        <v>0</v>
      </c>
      <c r="K7891" s="4"/>
      <c r="L7891" s="33" t="str">
        <f>IFERROR(VLOOKUP($J7891,'Informations sur les produits'!$A$3:$H$10000,8,FALSE),"0")</f>
        <v>0</v>
      </c>
      <c r="N7891" s="8"/>
      <c r="O7891" s="33" t="str">
        <f>IFERROR(VLOOKUP($M7891,'Informations sur les produits'!$A$3:$H$10000,8,FALSE),"0")</f>
        <v>0</v>
      </c>
      <c r="P7891" s="33">
        <f t="shared" si="492"/>
        <v>0</v>
      </c>
      <c r="Q7891" s="31" t="str">
        <f t="shared" si="493"/>
        <v/>
      </c>
      <c r="R7891" s="32" t="str">
        <f>IFERROR(VLOOKUP($D7891,'Informations sur les produits'!$A$3:$B$15000,2,FALSE),"")</f>
        <v/>
      </c>
      <c r="V7891">
        <f t="shared" si="494"/>
        <v>0</v>
      </c>
      <c r="W7891">
        <f t="shared" si="495"/>
        <v>0</v>
      </c>
    </row>
    <row r="7892" spans="5:23" x14ac:dyDescent="0.25">
      <c r="E7892" s="4"/>
      <c r="F7892" s="4"/>
      <c r="G7892" s="33" t="str">
        <f>IFERROR(VLOOKUP($D7892,'Informations sur les produits'!$A$3:$H$10000,8,FALSE),"0")</f>
        <v>0</v>
      </c>
      <c r="K7892" s="4"/>
      <c r="L7892" s="33" t="str">
        <f>IFERROR(VLOOKUP($J7892,'Informations sur les produits'!$A$3:$H$10000,8,FALSE),"0")</f>
        <v>0</v>
      </c>
      <c r="N7892" s="8"/>
      <c r="O7892" s="33" t="str">
        <f>IFERROR(VLOOKUP($M7892,'Informations sur les produits'!$A$3:$H$10000,8,FALSE),"0")</f>
        <v>0</v>
      </c>
      <c r="P7892" s="33">
        <f t="shared" si="492"/>
        <v>0</v>
      </c>
      <c r="Q7892" s="31" t="str">
        <f t="shared" si="493"/>
        <v/>
      </c>
      <c r="R7892" s="32" t="str">
        <f>IFERROR(VLOOKUP($D7892,'Informations sur les produits'!$A$3:$B$15000,2,FALSE),"")</f>
        <v/>
      </c>
      <c r="V7892">
        <f t="shared" si="494"/>
        <v>0</v>
      </c>
      <c r="W7892">
        <f t="shared" si="495"/>
        <v>0</v>
      </c>
    </row>
    <row r="7893" spans="5:23" x14ac:dyDescent="0.25">
      <c r="E7893" s="4"/>
      <c r="F7893" s="4"/>
      <c r="G7893" s="33" t="str">
        <f>IFERROR(VLOOKUP($D7893,'Informations sur les produits'!$A$3:$H$10000,8,FALSE),"0")</f>
        <v>0</v>
      </c>
      <c r="K7893" s="4"/>
      <c r="L7893" s="33" t="str">
        <f>IFERROR(VLOOKUP($J7893,'Informations sur les produits'!$A$3:$H$10000,8,FALSE),"0")</f>
        <v>0</v>
      </c>
      <c r="N7893" s="8"/>
      <c r="O7893" s="33" t="str">
        <f>IFERROR(VLOOKUP($M7893,'Informations sur les produits'!$A$3:$H$10000,8,FALSE),"0")</f>
        <v>0</v>
      </c>
      <c r="P7893" s="33">
        <f t="shared" si="492"/>
        <v>0</v>
      </c>
      <c r="Q7893" s="31" t="str">
        <f t="shared" si="493"/>
        <v/>
      </c>
      <c r="R7893" s="32" t="str">
        <f>IFERROR(VLOOKUP($D7893,'Informations sur les produits'!$A$3:$B$15000,2,FALSE),"")</f>
        <v/>
      </c>
      <c r="V7893">
        <f t="shared" si="494"/>
        <v>0</v>
      </c>
      <c r="W7893">
        <f t="shared" si="495"/>
        <v>0</v>
      </c>
    </row>
    <row r="7894" spans="5:23" x14ac:dyDescent="0.25">
      <c r="E7894" s="4"/>
      <c r="F7894" s="4"/>
      <c r="G7894" s="33" t="str">
        <f>IFERROR(VLOOKUP($D7894,'Informations sur les produits'!$A$3:$H$10000,8,FALSE),"0")</f>
        <v>0</v>
      </c>
      <c r="K7894" s="4"/>
      <c r="L7894" s="33" t="str">
        <f>IFERROR(VLOOKUP($J7894,'Informations sur les produits'!$A$3:$H$10000,8,FALSE),"0")</f>
        <v>0</v>
      </c>
      <c r="N7894" s="8"/>
      <c r="O7894" s="33" t="str">
        <f>IFERROR(VLOOKUP($M7894,'Informations sur les produits'!$A$3:$H$10000,8,FALSE),"0")</f>
        <v>0</v>
      </c>
      <c r="P7894" s="33">
        <f t="shared" si="492"/>
        <v>0</v>
      </c>
      <c r="Q7894" s="31" t="str">
        <f t="shared" si="493"/>
        <v/>
      </c>
      <c r="R7894" s="32" t="str">
        <f>IFERROR(VLOOKUP($D7894,'Informations sur les produits'!$A$3:$B$15000,2,FALSE),"")</f>
        <v/>
      </c>
      <c r="V7894">
        <f t="shared" si="494"/>
        <v>0</v>
      </c>
      <c r="W7894">
        <f t="shared" si="495"/>
        <v>0</v>
      </c>
    </row>
    <row r="7895" spans="5:23" x14ac:dyDescent="0.25">
      <c r="E7895" s="4"/>
      <c r="F7895" s="4"/>
      <c r="G7895" s="33" t="str">
        <f>IFERROR(VLOOKUP($D7895,'Informations sur les produits'!$A$3:$H$10000,8,FALSE),"0")</f>
        <v>0</v>
      </c>
      <c r="K7895" s="4"/>
      <c r="L7895" s="33" t="str">
        <f>IFERROR(VLOOKUP($J7895,'Informations sur les produits'!$A$3:$H$10000,8,FALSE),"0")</f>
        <v>0</v>
      </c>
      <c r="N7895" s="8"/>
      <c r="O7895" s="33" t="str">
        <f>IFERROR(VLOOKUP($M7895,'Informations sur les produits'!$A$3:$H$10000,8,FALSE),"0")</f>
        <v>0</v>
      </c>
      <c r="P7895" s="33">
        <f t="shared" si="492"/>
        <v>0</v>
      </c>
      <c r="Q7895" s="31" t="str">
        <f t="shared" si="493"/>
        <v/>
      </c>
      <c r="R7895" s="32" t="str">
        <f>IFERROR(VLOOKUP($D7895,'Informations sur les produits'!$A$3:$B$15000,2,FALSE),"")</f>
        <v/>
      </c>
      <c r="V7895">
        <f t="shared" si="494"/>
        <v>0</v>
      </c>
      <c r="W7895">
        <f t="shared" si="495"/>
        <v>0</v>
      </c>
    </row>
    <row r="7896" spans="5:23" x14ac:dyDescent="0.25">
      <c r="E7896" s="4"/>
      <c r="F7896" s="4"/>
      <c r="G7896" s="33" t="str">
        <f>IFERROR(VLOOKUP($D7896,'Informations sur les produits'!$A$3:$H$10000,8,FALSE),"0")</f>
        <v>0</v>
      </c>
      <c r="K7896" s="4"/>
      <c r="L7896" s="33" t="str">
        <f>IFERROR(VLOOKUP($J7896,'Informations sur les produits'!$A$3:$H$10000,8,FALSE),"0")</f>
        <v>0</v>
      </c>
      <c r="N7896" s="8"/>
      <c r="O7896" s="33" t="str">
        <f>IFERROR(VLOOKUP($M7896,'Informations sur les produits'!$A$3:$H$10000,8,FALSE),"0")</f>
        <v>0</v>
      </c>
      <c r="P7896" s="33">
        <f t="shared" si="492"/>
        <v>0</v>
      </c>
      <c r="Q7896" s="31" t="str">
        <f t="shared" si="493"/>
        <v/>
      </c>
      <c r="R7896" s="32" t="str">
        <f>IFERROR(VLOOKUP($D7896,'Informations sur les produits'!$A$3:$B$15000,2,FALSE),"")</f>
        <v/>
      </c>
      <c r="V7896">
        <f t="shared" si="494"/>
        <v>0</v>
      </c>
      <c r="W7896">
        <f t="shared" si="495"/>
        <v>0</v>
      </c>
    </row>
    <row r="7897" spans="5:23" x14ac:dyDescent="0.25">
      <c r="E7897" s="4"/>
      <c r="F7897" s="4"/>
      <c r="G7897" s="33" t="str">
        <f>IFERROR(VLOOKUP($D7897,'Informations sur les produits'!$A$3:$H$10000,8,FALSE),"0")</f>
        <v>0</v>
      </c>
      <c r="K7897" s="4"/>
      <c r="L7897" s="33" t="str">
        <f>IFERROR(VLOOKUP($J7897,'Informations sur les produits'!$A$3:$H$10000,8,FALSE),"0")</f>
        <v>0</v>
      </c>
      <c r="N7897" s="8"/>
      <c r="O7897" s="33" t="str">
        <f>IFERROR(VLOOKUP($M7897,'Informations sur les produits'!$A$3:$H$10000,8,FALSE),"0")</f>
        <v>0</v>
      </c>
      <c r="P7897" s="33">
        <f t="shared" si="492"/>
        <v>0</v>
      </c>
      <c r="Q7897" s="31" t="str">
        <f t="shared" si="493"/>
        <v/>
      </c>
      <c r="R7897" s="32" t="str">
        <f>IFERROR(VLOOKUP($D7897,'Informations sur les produits'!$A$3:$B$15000,2,FALSE),"")</f>
        <v/>
      </c>
      <c r="V7897">
        <f t="shared" si="494"/>
        <v>0</v>
      </c>
      <c r="W7897">
        <f t="shared" si="495"/>
        <v>0</v>
      </c>
    </row>
    <row r="7898" spans="5:23" x14ac:dyDescent="0.25">
      <c r="E7898" s="4"/>
      <c r="F7898" s="4"/>
      <c r="G7898" s="33" t="str">
        <f>IFERROR(VLOOKUP($D7898,'Informations sur les produits'!$A$3:$H$10000,8,FALSE),"0")</f>
        <v>0</v>
      </c>
      <c r="K7898" s="4"/>
      <c r="L7898" s="33" t="str">
        <f>IFERROR(VLOOKUP($J7898,'Informations sur les produits'!$A$3:$H$10000,8,FALSE),"0")</f>
        <v>0</v>
      </c>
      <c r="N7898" s="8"/>
      <c r="O7898" s="33" t="str">
        <f>IFERROR(VLOOKUP($M7898,'Informations sur les produits'!$A$3:$H$10000,8,FALSE),"0")</f>
        <v>0</v>
      </c>
      <c r="P7898" s="33">
        <f t="shared" si="492"/>
        <v>0</v>
      </c>
      <c r="Q7898" s="31" t="str">
        <f t="shared" si="493"/>
        <v/>
      </c>
      <c r="R7898" s="32" t="str">
        <f>IFERROR(VLOOKUP($D7898,'Informations sur les produits'!$A$3:$B$15000,2,FALSE),"")</f>
        <v/>
      </c>
      <c r="V7898">
        <f t="shared" si="494"/>
        <v>0</v>
      </c>
      <c r="W7898">
        <f t="shared" si="495"/>
        <v>0</v>
      </c>
    </row>
    <row r="7899" spans="5:23" x14ac:dyDescent="0.25">
      <c r="E7899" s="4"/>
      <c r="F7899" s="4"/>
      <c r="G7899" s="33" t="str">
        <f>IFERROR(VLOOKUP($D7899,'Informations sur les produits'!$A$3:$H$10000,8,FALSE),"0")</f>
        <v>0</v>
      </c>
      <c r="K7899" s="4"/>
      <c r="L7899" s="33" t="str">
        <f>IFERROR(VLOOKUP($J7899,'Informations sur les produits'!$A$3:$H$10000,8,FALSE),"0")</f>
        <v>0</v>
      </c>
      <c r="N7899" s="8"/>
      <c r="O7899" s="33" t="str">
        <f>IFERROR(VLOOKUP($M7899,'Informations sur les produits'!$A$3:$H$10000,8,FALSE),"0")</f>
        <v>0</v>
      </c>
      <c r="P7899" s="33">
        <f t="shared" si="492"/>
        <v>0</v>
      </c>
      <c r="Q7899" s="31" t="str">
        <f t="shared" si="493"/>
        <v/>
      </c>
      <c r="R7899" s="32" t="str">
        <f>IFERROR(VLOOKUP($D7899,'Informations sur les produits'!$A$3:$B$15000,2,FALSE),"")</f>
        <v/>
      </c>
      <c r="V7899">
        <f t="shared" si="494"/>
        <v>0</v>
      </c>
      <c r="W7899">
        <f t="shared" si="495"/>
        <v>0</v>
      </c>
    </row>
    <row r="7900" spans="5:23" x14ac:dyDescent="0.25">
      <c r="E7900" s="4"/>
      <c r="F7900" s="4"/>
      <c r="G7900" s="33" t="str">
        <f>IFERROR(VLOOKUP($D7900,'Informations sur les produits'!$A$3:$H$10000,8,FALSE),"0")</f>
        <v>0</v>
      </c>
      <c r="K7900" s="4"/>
      <c r="L7900" s="33" t="str">
        <f>IFERROR(VLOOKUP($J7900,'Informations sur les produits'!$A$3:$H$10000,8,FALSE),"0")</f>
        <v>0</v>
      </c>
      <c r="N7900" s="8"/>
      <c r="O7900" s="33" t="str">
        <f>IFERROR(VLOOKUP($M7900,'Informations sur les produits'!$A$3:$H$10000,8,FALSE),"0")</f>
        <v>0</v>
      </c>
      <c r="P7900" s="33">
        <f t="shared" si="492"/>
        <v>0</v>
      </c>
      <c r="Q7900" s="31" t="str">
        <f t="shared" si="493"/>
        <v/>
      </c>
      <c r="R7900" s="32" t="str">
        <f>IFERROR(VLOOKUP($D7900,'Informations sur les produits'!$A$3:$B$15000,2,FALSE),"")</f>
        <v/>
      </c>
      <c r="V7900">
        <f t="shared" si="494"/>
        <v>0</v>
      </c>
      <c r="W7900">
        <f t="shared" si="495"/>
        <v>0</v>
      </c>
    </row>
    <row r="7901" spans="5:23" x14ac:dyDescent="0.25">
      <c r="E7901" s="4"/>
      <c r="F7901" s="4"/>
      <c r="G7901" s="33" t="str">
        <f>IFERROR(VLOOKUP($D7901,'Informations sur les produits'!$A$3:$H$10000,8,FALSE),"0")</f>
        <v>0</v>
      </c>
      <c r="K7901" s="4"/>
      <c r="L7901" s="33" t="str">
        <f>IFERROR(VLOOKUP($J7901,'Informations sur les produits'!$A$3:$H$10000,8,FALSE),"0")</f>
        <v>0</v>
      </c>
      <c r="N7901" s="8"/>
      <c r="O7901" s="33" t="str">
        <f>IFERROR(VLOOKUP($M7901,'Informations sur les produits'!$A$3:$H$10000,8,FALSE),"0")</f>
        <v>0</v>
      </c>
      <c r="P7901" s="33">
        <f t="shared" si="492"/>
        <v>0</v>
      </c>
      <c r="Q7901" s="31" t="str">
        <f t="shared" si="493"/>
        <v/>
      </c>
      <c r="R7901" s="32" t="str">
        <f>IFERROR(VLOOKUP($D7901,'Informations sur les produits'!$A$3:$B$15000,2,FALSE),"")</f>
        <v/>
      </c>
      <c r="V7901">
        <f t="shared" si="494"/>
        <v>0</v>
      </c>
      <c r="W7901">
        <f t="shared" si="495"/>
        <v>0</v>
      </c>
    </row>
    <row r="7902" spans="5:23" x14ac:dyDescent="0.25">
      <c r="E7902" s="4"/>
      <c r="F7902" s="4"/>
      <c r="G7902" s="33" t="str">
        <f>IFERROR(VLOOKUP($D7902,'Informations sur les produits'!$A$3:$H$10000,8,FALSE),"0")</f>
        <v>0</v>
      </c>
      <c r="K7902" s="4"/>
      <c r="L7902" s="33" t="str">
        <f>IFERROR(VLOOKUP($J7902,'Informations sur les produits'!$A$3:$H$10000,8,FALSE),"0")</f>
        <v>0</v>
      </c>
      <c r="N7902" s="8"/>
      <c r="O7902" s="33" t="str">
        <f>IFERROR(VLOOKUP($M7902,'Informations sur les produits'!$A$3:$H$10000,8,FALSE),"0")</f>
        <v>0</v>
      </c>
      <c r="P7902" s="33">
        <f t="shared" si="492"/>
        <v>0</v>
      </c>
      <c r="Q7902" s="31" t="str">
        <f t="shared" si="493"/>
        <v/>
      </c>
      <c r="R7902" s="32" t="str">
        <f>IFERROR(VLOOKUP($D7902,'Informations sur les produits'!$A$3:$B$15000,2,FALSE),"")</f>
        <v/>
      </c>
      <c r="V7902">
        <f t="shared" si="494"/>
        <v>0</v>
      </c>
      <c r="W7902">
        <f t="shared" si="495"/>
        <v>0</v>
      </c>
    </row>
    <row r="7903" spans="5:23" x14ac:dyDescent="0.25">
      <c r="E7903" s="4"/>
      <c r="F7903" s="4"/>
      <c r="G7903" s="33" t="str">
        <f>IFERROR(VLOOKUP($D7903,'Informations sur les produits'!$A$3:$H$10000,8,FALSE),"0")</f>
        <v>0</v>
      </c>
      <c r="K7903" s="4"/>
      <c r="L7903" s="33" t="str">
        <f>IFERROR(VLOOKUP($J7903,'Informations sur les produits'!$A$3:$H$10000,8,FALSE),"0")</f>
        <v>0</v>
      </c>
      <c r="N7903" s="8"/>
      <c r="O7903" s="33" t="str">
        <f>IFERROR(VLOOKUP($M7903,'Informations sur les produits'!$A$3:$H$10000,8,FALSE),"0")</f>
        <v>0</v>
      </c>
      <c r="P7903" s="33">
        <f t="shared" si="492"/>
        <v>0</v>
      </c>
      <c r="Q7903" s="31" t="str">
        <f t="shared" si="493"/>
        <v/>
      </c>
      <c r="R7903" s="32" t="str">
        <f>IFERROR(VLOOKUP($D7903,'Informations sur les produits'!$A$3:$B$15000,2,FALSE),"")</f>
        <v/>
      </c>
      <c r="V7903">
        <f t="shared" si="494"/>
        <v>0</v>
      </c>
      <c r="W7903">
        <f t="shared" si="495"/>
        <v>0</v>
      </c>
    </row>
    <row r="7904" spans="5:23" x14ac:dyDescent="0.25">
      <c r="E7904" s="4"/>
      <c r="F7904" s="4"/>
      <c r="G7904" s="33" t="str">
        <f>IFERROR(VLOOKUP($D7904,'Informations sur les produits'!$A$3:$H$10000,8,FALSE),"0")</f>
        <v>0</v>
      </c>
      <c r="K7904" s="4"/>
      <c r="L7904" s="33" t="str">
        <f>IFERROR(VLOOKUP($J7904,'Informations sur les produits'!$A$3:$H$10000,8,FALSE),"0")</f>
        <v>0</v>
      </c>
      <c r="N7904" s="8"/>
      <c r="O7904" s="33" t="str">
        <f>IFERROR(VLOOKUP($M7904,'Informations sur les produits'!$A$3:$H$10000,8,FALSE),"0")</f>
        <v>0</v>
      </c>
      <c r="P7904" s="33">
        <f t="shared" si="492"/>
        <v>0</v>
      </c>
      <c r="Q7904" s="31" t="str">
        <f t="shared" si="493"/>
        <v/>
      </c>
      <c r="R7904" s="32" t="str">
        <f>IFERROR(VLOOKUP($D7904,'Informations sur les produits'!$A$3:$B$15000,2,FALSE),"")</f>
        <v/>
      </c>
      <c r="V7904">
        <f t="shared" si="494"/>
        <v>0</v>
      </c>
      <c r="W7904">
        <f t="shared" si="495"/>
        <v>0</v>
      </c>
    </row>
    <row r="7905" spans="5:23" x14ac:dyDescent="0.25">
      <c r="E7905" s="4"/>
      <c r="F7905" s="4"/>
      <c r="G7905" s="33" t="str">
        <f>IFERROR(VLOOKUP($D7905,'Informations sur les produits'!$A$3:$H$10000,8,FALSE),"0")</f>
        <v>0</v>
      </c>
      <c r="K7905" s="4"/>
      <c r="L7905" s="33" t="str">
        <f>IFERROR(VLOOKUP($J7905,'Informations sur les produits'!$A$3:$H$10000,8,FALSE),"0")</f>
        <v>0</v>
      </c>
      <c r="N7905" s="8"/>
      <c r="O7905" s="33" t="str">
        <f>IFERROR(VLOOKUP($M7905,'Informations sur les produits'!$A$3:$H$10000,8,FALSE),"0")</f>
        <v>0</v>
      </c>
      <c r="P7905" s="33">
        <f t="shared" si="492"/>
        <v>0</v>
      </c>
      <c r="Q7905" s="31" t="str">
        <f t="shared" si="493"/>
        <v/>
      </c>
      <c r="R7905" s="32" t="str">
        <f>IFERROR(VLOOKUP($D7905,'Informations sur les produits'!$A$3:$B$15000,2,FALSE),"")</f>
        <v/>
      </c>
      <c r="V7905">
        <f t="shared" si="494"/>
        <v>0</v>
      </c>
      <c r="W7905">
        <f t="shared" si="495"/>
        <v>0</v>
      </c>
    </row>
    <row r="7906" spans="5:23" x14ac:dyDescent="0.25">
      <c r="E7906" s="4"/>
      <c r="F7906" s="4"/>
      <c r="G7906" s="33" t="str">
        <f>IFERROR(VLOOKUP($D7906,'Informations sur les produits'!$A$3:$H$10000,8,FALSE),"0")</f>
        <v>0</v>
      </c>
      <c r="K7906" s="4"/>
      <c r="L7906" s="33" t="str">
        <f>IFERROR(VLOOKUP($J7906,'Informations sur les produits'!$A$3:$H$10000,8,FALSE),"0")</f>
        <v>0</v>
      </c>
      <c r="N7906" s="8"/>
      <c r="O7906" s="33" t="str">
        <f>IFERROR(VLOOKUP($M7906,'Informations sur les produits'!$A$3:$H$10000,8,FALSE),"0")</f>
        <v>0</v>
      </c>
      <c r="P7906" s="33">
        <f t="shared" si="492"/>
        <v>0</v>
      </c>
      <c r="Q7906" s="31" t="str">
        <f t="shared" si="493"/>
        <v/>
      </c>
      <c r="R7906" s="32" t="str">
        <f>IFERROR(VLOOKUP($D7906,'Informations sur les produits'!$A$3:$B$15000,2,FALSE),"")</f>
        <v/>
      </c>
      <c r="V7906">
        <f t="shared" si="494"/>
        <v>0</v>
      </c>
      <c r="W7906">
        <f t="shared" si="495"/>
        <v>0</v>
      </c>
    </row>
    <row r="7907" spans="5:23" x14ac:dyDescent="0.25">
      <c r="E7907" s="4"/>
      <c r="F7907" s="4"/>
      <c r="G7907" s="33" t="str">
        <f>IFERROR(VLOOKUP($D7907,'Informations sur les produits'!$A$3:$H$10000,8,FALSE),"0")</f>
        <v>0</v>
      </c>
      <c r="K7907" s="4"/>
      <c r="L7907" s="33" t="str">
        <f>IFERROR(VLOOKUP($J7907,'Informations sur les produits'!$A$3:$H$10000,8,FALSE),"0")</f>
        <v>0</v>
      </c>
      <c r="N7907" s="8"/>
      <c r="O7907" s="33" t="str">
        <f>IFERROR(VLOOKUP($M7907,'Informations sur les produits'!$A$3:$H$10000,8,FALSE),"0")</f>
        <v>0</v>
      </c>
      <c r="P7907" s="33">
        <f t="shared" si="492"/>
        <v>0</v>
      </c>
      <c r="Q7907" s="31" t="str">
        <f t="shared" si="493"/>
        <v/>
      </c>
      <c r="R7907" s="32" t="str">
        <f>IFERROR(VLOOKUP($D7907,'Informations sur les produits'!$A$3:$B$15000,2,FALSE),"")</f>
        <v/>
      </c>
      <c r="V7907">
        <f t="shared" si="494"/>
        <v>0</v>
      </c>
      <c r="W7907">
        <f t="shared" si="495"/>
        <v>0</v>
      </c>
    </row>
    <row r="7908" spans="5:23" x14ac:dyDescent="0.25">
      <c r="E7908" s="4"/>
      <c r="F7908" s="4"/>
      <c r="G7908" s="33" t="str">
        <f>IFERROR(VLOOKUP($D7908,'Informations sur les produits'!$A$3:$H$10000,8,FALSE),"0")</f>
        <v>0</v>
      </c>
      <c r="K7908" s="4"/>
      <c r="L7908" s="33" t="str">
        <f>IFERROR(VLOOKUP($J7908,'Informations sur les produits'!$A$3:$H$10000,8,FALSE),"0")</f>
        <v>0</v>
      </c>
      <c r="N7908" s="8"/>
      <c r="O7908" s="33" t="str">
        <f>IFERROR(VLOOKUP($M7908,'Informations sur les produits'!$A$3:$H$10000,8,FALSE),"0")</f>
        <v>0</v>
      </c>
      <c r="P7908" s="33">
        <f t="shared" si="492"/>
        <v>0</v>
      </c>
      <c r="Q7908" s="31" t="str">
        <f t="shared" si="493"/>
        <v/>
      </c>
      <c r="R7908" s="32" t="str">
        <f>IFERROR(VLOOKUP($D7908,'Informations sur les produits'!$A$3:$B$15000,2,FALSE),"")</f>
        <v/>
      </c>
      <c r="V7908">
        <f t="shared" si="494"/>
        <v>0</v>
      </c>
      <c r="W7908">
        <f t="shared" si="495"/>
        <v>0</v>
      </c>
    </row>
    <row r="7909" spans="5:23" x14ac:dyDescent="0.25">
      <c r="E7909" s="4"/>
      <c r="F7909" s="4"/>
      <c r="G7909" s="33" t="str">
        <f>IFERROR(VLOOKUP($D7909,'Informations sur les produits'!$A$3:$H$10000,8,FALSE),"0")</f>
        <v>0</v>
      </c>
      <c r="K7909" s="4"/>
      <c r="L7909" s="33" t="str">
        <f>IFERROR(VLOOKUP($J7909,'Informations sur les produits'!$A$3:$H$10000,8,FALSE),"0")</f>
        <v>0</v>
      </c>
      <c r="N7909" s="8"/>
      <c r="O7909" s="33" t="str">
        <f>IFERROR(VLOOKUP($M7909,'Informations sur les produits'!$A$3:$H$10000,8,FALSE),"0")</f>
        <v>0</v>
      </c>
      <c r="P7909" s="33">
        <f t="shared" si="492"/>
        <v>0</v>
      </c>
      <c r="Q7909" s="31" t="str">
        <f t="shared" si="493"/>
        <v/>
      </c>
      <c r="R7909" s="32" t="str">
        <f>IFERROR(VLOOKUP($D7909,'Informations sur les produits'!$A$3:$B$15000,2,FALSE),"")</f>
        <v/>
      </c>
      <c r="V7909">
        <f t="shared" si="494"/>
        <v>0</v>
      </c>
      <c r="W7909">
        <f t="shared" si="495"/>
        <v>0</v>
      </c>
    </row>
    <row r="7910" spans="5:23" x14ac:dyDescent="0.25">
      <c r="E7910" s="4"/>
      <c r="F7910" s="4"/>
      <c r="G7910" s="33" t="str">
        <f>IFERROR(VLOOKUP($D7910,'Informations sur les produits'!$A$3:$H$10000,8,FALSE),"0")</f>
        <v>0</v>
      </c>
      <c r="K7910" s="4"/>
      <c r="L7910" s="33" t="str">
        <f>IFERROR(VLOOKUP($J7910,'Informations sur les produits'!$A$3:$H$10000,8,FALSE),"0")</f>
        <v>0</v>
      </c>
      <c r="N7910" s="8"/>
      <c r="O7910" s="33" t="str">
        <f>IFERROR(VLOOKUP($M7910,'Informations sur les produits'!$A$3:$H$10000,8,FALSE),"0")</f>
        <v>0</v>
      </c>
      <c r="P7910" s="33">
        <f t="shared" si="492"/>
        <v>0</v>
      </c>
      <c r="Q7910" s="31" t="str">
        <f t="shared" si="493"/>
        <v/>
      </c>
      <c r="R7910" s="32" t="str">
        <f>IFERROR(VLOOKUP($D7910,'Informations sur les produits'!$A$3:$B$15000,2,FALSE),"")</f>
        <v/>
      </c>
      <c r="V7910">
        <f t="shared" si="494"/>
        <v>0</v>
      </c>
      <c r="W7910">
        <f t="shared" si="495"/>
        <v>0</v>
      </c>
    </row>
    <row r="7911" spans="5:23" x14ac:dyDescent="0.25">
      <c r="E7911" s="4"/>
      <c r="F7911" s="4"/>
      <c r="G7911" s="33" t="str">
        <f>IFERROR(VLOOKUP($D7911,'Informations sur les produits'!$A$3:$H$10000,8,FALSE),"0")</f>
        <v>0</v>
      </c>
      <c r="K7911" s="4"/>
      <c r="L7911" s="33" t="str">
        <f>IFERROR(VLOOKUP($J7911,'Informations sur les produits'!$A$3:$H$10000,8,FALSE),"0")</f>
        <v>0</v>
      </c>
      <c r="N7911" s="8"/>
      <c r="O7911" s="33" t="str">
        <f>IFERROR(VLOOKUP($M7911,'Informations sur les produits'!$A$3:$H$10000,8,FALSE),"0")</f>
        <v>0</v>
      </c>
      <c r="P7911" s="33">
        <f t="shared" si="492"/>
        <v>0</v>
      </c>
      <c r="Q7911" s="31" t="str">
        <f t="shared" si="493"/>
        <v/>
      </c>
      <c r="R7911" s="32" t="str">
        <f>IFERROR(VLOOKUP($D7911,'Informations sur les produits'!$A$3:$B$15000,2,FALSE),"")</f>
        <v/>
      </c>
      <c r="V7911">
        <f t="shared" si="494"/>
        <v>0</v>
      </c>
      <c r="W7911">
        <f t="shared" si="495"/>
        <v>0</v>
      </c>
    </row>
    <row r="7912" spans="5:23" x14ac:dyDescent="0.25">
      <c r="E7912" s="4"/>
      <c r="F7912" s="4"/>
      <c r="G7912" s="33" t="str">
        <f>IFERROR(VLOOKUP($D7912,'Informations sur les produits'!$A$3:$H$10000,8,FALSE),"0")</f>
        <v>0</v>
      </c>
      <c r="K7912" s="4"/>
      <c r="L7912" s="33" t="str">
        <f>IFERROR(VLOOKUP($J7912,'Informations sur les produits'!$A$3:$H$10000,8,FALSE),"0")</f>
        <v>0</v>
      </c>
      <c r="N7912" s="8"/>
      <c r="O7912" s="33" t="str">
        <f>IFERROR(VLOOKUP($M7912,'Informations sur les produits'!$A$3:$H$10000,8,FALSE),"0")</f>
        <v>0</v>
      </c>
      <c r="P7912" s="33">
        <f t="shared" si="492"/>
        <v>0</v>
      </c>
      <c r="Q7912" s="31" t="str">
        <f t="shared" si="493"/>
        <v/>
      </c>
      <c r="R7912" s="32" t="str">
        <f>IFERROR(VLOOKUP($D7912,'Informations sur les produits'!$A$3:$B$15000,2,FALSE),"")</f>
        <v/>
      </c>
      <c r="V7912">
        <f t="shared" si="494"/>
        <v>0</v>
      </c>
      <c r="W7912">
        <f t="shared" si="495"/>
        <v>0</v>
      </c>
    </row>
    <row r="7913" spans="5:23" x14ac:dyDescent="0.25">
      <c r="E7913" s="4"/>
      <c r="F7913" s="4"/>
      <c r="G7913" s="33" t="str">
        <f>IFERROR(VLOOKUP($D7913,'Informations sur les produits'!$A$3:$H$10000,8,FALSE),"0")</f>
        <v>0</v>
      </c>
      <c r="K7913" s="4"/>
      <c r="L7913" s="33" t="str">
        <f>IFERROR(VLOOKUP($J7913,'Informations sur les produits'!$A$3:$H$10000,8,FALSE),"0")</f>
        <v>0</v>
      </c>
      <c r="N7913" s="8"/>
      <c r="O7913" s="33" t="str">
        <f>IFERROR(VLOOKUP($M7913,'Informations sur les produits'!$A$3:$H$10000,8,FALSE),"0")</f>
        <v>0</v>
      </c>
      <c r="P7913" s="33">
        <f t="shared" si="492"/>
        <v>0</v>
      </c>
      <c r="Q7913" s="31" t="str">
        <f t="shared" si="493"/>
        <v/>
      </c>
      <c r="R7913" s="32" t="str">
        <f>IFERROR(VLOOKUP($D7913,'Informations sur les produits'!$A$3:$B$15000,2,FALSE),"")</f>
        <v/>
      </c>
      <c r="V7913">
        <f t="shared" si="494"/>
        <v>0</v>
      </c>
      <c r="W7913">
        <f t="shared" si="495"/>
        <v>0</v>
      </c>
    </row>
    <row r="7914" spans="5:23" x14ac:dyDescent="0.25">
      <c r="E7914" s="4"/>
      <c r="F7914" s="4"/>
      <c r="G7914" s="33" t="str">
        <f>IFERROR(VLOOKUP($D7914,'Informations sur les produits'!$A$3:$H$10000,8,FALSE),"0")</f>
        <v>0</v>
      </c>
      <c r="K7914" s="4"/>
      <c r="L7914" s="33" t="str">
        <f>IFERROR(VLOOKUP($J7914,'Informations sur les produits'!$A$3:$H$10000,8,FALSE),"0")</f>
        <v>0</v>
      </c>
      <c r="N7914" s="8"/>
      <c r="O7914" s="33" t="str">
        <f>IFERROR(VLOOKUP($M7914,'Informations sur les produits'!$A$3:$H$10000,8,FALSE),"0")</f>
        <v>0</v>
      </c>
      <c r="P7914" s="33">
        <f t="shared" si="492"/>
        <v>0</v>
      </c>
      <c r="Q7914" s="31" t="str">
        <f t="shared" si="493"/>
        <v/>
      </c>
      <c r="R7914" s="32" t="str">
        <f>IFERROR(VLOOKUP($D7914,'Informations sur les produits'!$A$3:$B$15000,2,FALSE),"")</f>
        <v/>
      </c>
      <c r="V7914">
        <f t="shared" si="494"/>
        <v>0</v>
      </c>
      <c r="W7914">
        <f t="shared" si="495"/>
        <v>0</v>
      </c>
    </row>
    <row r="7915" spans="5:23" x14ac:dyDescent="0.25">
      <c r="E7915" s="4"/>
      <c r="F7915" s="4"/>
      <c r="G7915" s="33" t="str">
        <f>IFERROR(VLOOKUP($D7915,'Informations sur les produits'!$A$3:$H$10000,8,FALSE),"0")</f>
        <v>0</v>
      </c>
      <c r="K7915" s="4"/>
      <c r="L7915" s="33" t="str">
        <f>IFERROR(VLOOKUP($J7915,'Informations sur les produits'!$A$3:$H$10000,8,FALSE),"0")</f>
        <v>0</v>
      </c>
      <c r="N7915" s="8"/>
      <c r="O7915" s="33" t="str">
        <f>IFERROR(VLOOKUP($M7915,'Informations sur les produits'!$A$3:$H$10000,8,FALSE),"0")</f>
        <v>0</v>
      </c>
      <c r="P7915" s="33">
        <f t="shared" si="492"/>
        <v>0</v>
      </c>
      <c r="Q7915" s="31" t="str">
        <f t="shared" si="493"/>
        <v/>
      </c>
      <c r="R7915" s="32" t="str">
        <f>IFERROR(VLOOKUP($D7915,'Informations sur les produits'!$A$3:$B$15000,2,FALSE),"")</f>
        <v/>
      </c>
      <c r="V7915">
        <f t="shared" si="494"/>
        <v>0</v>
      </c>
      <c r="W7915">
        <f t="shared" si="495"/>
        <v>0</v>
      </c>
    </row>
    <row r="7916" spans="5:23" x14ac:dyDescent="0.25">
      <c r="E7916" s="4"/>
      <c r="F7916" s="4"/>
      <c r="G7916" s="33" t="str">
        <f>IFERROR(VLOOKUP($D7916,'Informations sur les produits'!$A$3:$H$10000,8,FALSE),"0")</f>
        <v>0</v>
      </c>
      <c r="K7916" s="4"/>
      <c r="L7916" s="33" t="str">
        <f>IFERROR(VLOOKUP($J7916,'Informations sur les produits'!$A$3:$H$10000,8,FALSE),"0")</f>
        <v>0</v>
      </c>
      <c r="N7916" s="8"/>
      <c r="O7916" s="33" t="str">
        <f>IFERROR(VLOOKUP($M7916,'Informations sur les produits'!$A$3:$H$10000,8,FALSE),"0")</f>
        <v>0</v>
      </c>
      <c r="P7916" s="33">
        <f t="shared" si="492"/>
        <v>0</v>
      </c>
      <c r="Q7916" s="31" t="str">
        <f t="shared" si="493"/>
        <v/>
      </c>
      <c r="R7916" s="32" t="str">
        <f>IFERROR(VLOOKUP($D7916,'Informations sur les produits'!$A$3:$B$15000,2,FALSE),"")</f>
        <v/>
      </c>
      <c r="V7916">
        <f t="shared" si="494"/>
        <v>0</v>
      </c>
      <c r="W7916">
        <f t="shared" si="495"/>
        <v>0</v>
      </c>
    </row>
    <row r="7917" spans="5:23" x14ac:dyDescent="0.25">
      <c r="E7917" s="4"/>
      <c r="F7917" s="4"/>
      <c r="G7917" s="33" t="str">
        <f>IFERROR(VLOOKUP($D7917,'Informations sur les produits'!$A$3:$H$10000,8,FALSE),"0")</f>
        <v>0</v>
      </c>
      <c r="K7917" s="4"/>
      <c r="L7917" s="33" t="str">
        <f>IFERROR(VLOOKUP($J7917,'Informations sur les produits'!$A$3:$H$10000,8,FALSE),"0")</f>
        <v>0</v>
      </c>
      <c r="N7917" s="8"/>
      <c r="O7917" s="33" t="str">
        <f>IFERROR(VLOOKUP($M7917,'Informations sur les produits'!$A$3:$H$10000,8,FALSE),"0")</f>
        <v>0</v>
      </c>
      <c r="P7917" s="33">
        <f t="shared" si="492"/>
        <v>0</v>
      </c>
      <c r="Q7917" s="31" t="str">
        <f t="shared" si="493"/>
        <v/>
      </c>
      <c r="R7917" s="32" t="str">
        <f>IFERROR(VLOOKUP($D7917,'Informations sur les produits'!$A$3:$B$15000,2,FALSE),"")</f>
        <v/>
      </c>
      <c r="V7917">
        <f t="shared" si="494"/>
        <v>0</v>
      </c>
      <c r="W7917">
        <f t="shared" si="495"/>
        <v>0</v>
      </c>
    </row>
    <row r="7918" spans="5:23" x14ac:dyDescent="0.25">
      <c r="E7918" s="4"/>
      <c r="F7918" s="4"/>
      <c r="G7918" s="33" t="str">
        <f>IFERROR(VLOOKUP($D7918,'Informations sur les produits'!$A$3:$H$10000,8,FALSE),"0")</f>
        <v>0</v>
      </c>
      <c r="K7918" s="4"/>
      <c r="L7918" s="33" t="str">
        <f>IFERROR(VLOOKUP($J7918,'Informations sur les produits'!$A$3:$H$10000,8,FALSE),"0")</f>
        <v>0</v>
      </c>
      <c r="N7918" s="8"/>
      <c r="O7918" s="33" t="str">
        <f>IFERROR(VLOOKUP($M7918,'Informations sur les produits'!$A$3:$H$10000,8,FALSE),"0")</f>
        <v>0</v>
      </c>
      <c r="P7918" s="33">
        <f t="shared" si="492"/>
        <v>0</v>
      </c>
      <c r="Q7918" s="31" t="str">
        <f t="shared" si="493"/>
        <v/>
      </c>
      <c r="R7918" s="32" t="str">
        <f>IFERROR(VLOOKUP($D7918,'Informations sur les produits'!$A$3:$B$15000,2,FALSE),"")</f>
        <v/>
      </c>
      <c r="V7918">
        <f t="shared" si="494"/>
        <v>0</v>
      </c>
      <c r="W7918">
        <f t="shared" si="495"/>
        <v>0</v>
      </c>
    </row>
    <row r="7919" spans="5:23" x14ac:dyDescent="0.25">
      <c r="E7919" s="4"/>
      <c r="F7919" s="4"/>
      <c r="G7919" s="33" t="str">
        <f>IFERROR(VLOOKUP($D7919,'Informations sur les produits'!$A$3:$H$10000,8,FALSE),"0")</f>
        <v>0</v>
      </c>
      <c r="K7919" s="4"/>
      <c r="L7919" s="33" t="str">
        <f>IFERROR(VLOOKUP($J7919,'Informations sur les produits'!$A$3:$H$10000,8,FALSE),"0")</f>
        <v>0</v>
      </c>
      <c r="N7919" s="8"/>
      <c r="O7919" s="33" t="str">
        <f>IFERROR(VLOOKUP($M7919,'Informations sur les produits'!$A$3:$H$10000,8,FALSE),"0")</f>
        <v>0</v>
      </c>
      <c r="P7919" s="33">
        <f t="shared" si="492"/>
        <v>0</v>
      </c>
      <c r="Q7919" s="31" t="str">
        <f t="shared" si="493"/>
        <v/>
      </c>
      <c r="R7919" s="32" t="str">
        <f>IFERROR(VLOOKUP($D7919,'Informations sur les produits'!$A$3:$B$15000,2,FALSE),"")</f>
        <v/>
      </c>
      <c r="V7919">
        <f t="shared" si="494"/>
        <v>0</v>
      </c>
      <c r="W7919">
        <f t="shared" si="495"/>
        <v>0</v>
      </c>
    </row>
    <row r="7920" spans="5:23" x14ac:dyDescent="0.25">
      <c r="E7920" s="4"/>
      <c r="F7920" s="4"/>
      <c r="G7920" s="33" t="str">
        <f>IFERROR(VLOOKUP($D7920,'Informations sur les produits'!$A$3:$H$10000,8,FALSE),"0")</f>
        <v>0</v>
      </c>
      <c r="K7920" s="4"/>
      <c r="L7920" s="33" t="str">
        <f>IFERROR(VLOOKUP($J7920,'Informations sur les produits'!$A$3:$H$10000,8,FALSE),"0")</f>
        <v>0</v>
      </c>
      <c r="N7920" s="8"/>
      <c r="O7920" s="33" t="str">
        <f>IFERROR(VLOOKUP($M7920,'Informations sur les produits'!$A$3:$H$10000,8,FALSE),"0")</f>
        <v>0</v>
      </c>
      <c r="P7920" s="33">
        <f t="shared" si="492"/>
        <v>0</v>
      </c>
      <c r="Q7920" s="31" t="str">
        <f t="shared" si="493"/>
        <v/>
      </c>
      <c r="R7920" s="32" t="str">
        <f>IFERROR(VLOOKUP($D7920,'Informations sur les produits'!$A$3:$B$15000,2,FALSE),"")</f>
        <v/>
      </c>
      <c r="V7920">
        <f t="shared" si="494"/>
        <v>0</v>
      </c>
      <c r="W7920">
        <f t="shared" si="495"/>
        <v>0</v>
      </c>
    </row>
    <row r="7921" spans="5:23" x14ac:dyDescent="0.25">
      <c r="E7921" s="4"/>
      <c r="F7921" s="4"/>
      <c r="G7921" s="33" t="str">
        <f>IFERROR(VLOOKUP($D7921,'Informations sur les produits'!$A$3:$H$10000,8,FALSE),"0")</f>
        <v>0</v>
      </c>
      <c r="K7921" s="4"/>
      <c r="L7921" s="33" t="str">
        <f>IFERROR(VLOOKUP($J7921,'Informations sur les produits'!$A$3:$H$10000,8,FALSE),"0")</f>
        <v>0</v>
      </c>
      <c r="N7921" s="8"/>
      <c r="O7921" s="33" t="str">
        <f>IFERROR(VLOOKUP($M7921,'Informations sur les produits'!$A$3:$H$10000,8,FALSE),"0")</f>
        <v>0</v>
      </c>
      <c r="P7921" s="33">
        <f t="shared" si="492"/>
        <v>0</v>
      </c>
      <c r="Q7921" s="31" t="str">
        <f t="shared" si="493"/>
        <v/>
      </c>
      <c r="R7921" s="32" t="str">
        <f>IFERROR(VLOOKUP($D7921,'Informations sur les produits'!$A$3:$B$15000,2,FALSE),"")</f>
        <v/>
      </c>
      <c r="V7921">
        <f t="shared" si="494"/>
        <v>0</v>
      </c>
      <c r="W7921">
        <f t="shared" si="495"/>
        <v>0</v>
      </c>
    </row>
    <row r="7922" spans="5:23" x14ac:dyDescent="0.25">
      <c r="E7922" s="4"/>
      <c r="F7922" s="4"/>
      <c r="G7922" s="33" t="str">
        <f>IFERROR(VLOOKUP($D7922,'Informations sur les produits'!$A$3:$H$10000,8,FALSE),"0")</f>
        <v>0</v>
      </c>
      <c r="K7922" s="4"/>
      <c r="L7922" s="33" t="str">
        <f>IFERROR(VLOOKUP($J7922,'Informations sur les produits'!$A$3:$H$10000,8,FALSE),"0")</f>
        <v>0</v>
      </c>
      <c r="N7922" s="8"/>
      <c r="O7922" s="33" t="str">
        <f>IFERROR(VLOOKUP($M7922,'Informations sur les produits'!$A$3:$H$10000,8,FALSE),"0")</f>
        <v>0</v>
      </c>
      <c r="P7922" s="33">
        <f t="shared" si="492"/>
        <v>0</v>
      </c>
      <c r="Q7922" s="31" t="str">
        <f t="shared" si="493"/>
        <v/>
      </c>
      <c r="R7922" s="32" t="str">
        <f>IFERROR(VLOOKUP($D7922,'Informations sur les produits'!$A$3:$B$15000,2,FALSE),"")</f>
        <v/>
      </c>
      <c r="V7922">
        <f t="shared" si="494"/>
        <v>0</v>
      </c>
      <c r="W7922">
        <f t="shared" si="495"/>
        <v>0</v>
      </c>
    </row>
    <row r="7923" spans="5:23" x14ac:dyDescent="0.25">
      <c r="E7923" s="4"/>
      <c r="F7923" s="4"/>
      <c r="G7923" s="33" t="str">
        <f>IFERROR(VLOOKUP($D7923,'Informations sur les produits'!$A$3:$H$10000,8,FALSE),"0")</f>
        <v>0</v>
      </c>
      <c r="K7923" s="4"/>
      <c r="L7923" s="33" t="str">
        <f>IFERROR(VLOOKUP($J7923,'Informations sur les produits'!$A$3:$H$10000,8,FALSE),"0")</f>
        <v>0</v>
      </c>
      <c r="N7923" s="8"/>
      <c r="O7923" s="33" t="str">
        <f>IFERROR(VLOOKUP($M7923,'Informations sur les produits'!$A$3:$H$10000,8,FALSE),"0")</f>
        <v>0</v>
      </c>
      <c r="P7923" s="33">
        <f t="shared" si="492"/>
        <v>0</v>
      </c>
      <c r="Q7923" s="31" t="str">
        <f t="shared" si="493"/>
        <v/>
      </c>
      <c r="R7923" s="32" t="str">
        <f>IFERROR(VLOOKUP($D7923,'Informations sur les produits'!$A$3:$B$15000,2,FALSE),"")</f>
        <v/>
      </c>
      <c r="V7923">
        <f t="shared" si="494"/>
        <v>0</v>
      </c>
      <c r="W7923">
        <f t="shared" si="495"/>
        <v>0</v>
      </c>
    </row>
    <row r="7924" spans="5:23" x14ac:dyDescent="0.25">
      <c r="E7924" s="4"/>
      <c r="F7924" s="4"/>
      <c r="G7924" s="33" t="str">
        <f>IFERROR(VLOOKUP($D7924,'Informations sur les produits'!$A$3:$H$10000,8,FALSE),"0")</f>
        <v>0</v>
      </c>
      <c r="K7924" s="4"/>
      <c r="L7924" s="33" t="str">
        <f>IFERROR(VLOOKUP($J7924,'Informations sur les produits'!$A$3:$H$10000,8,FALSE),"0")</f>
        <v>0</v>
      </c>
      <c r="N7924" s="8"/>
      <c r="O7924" s="33" t="str">
        <f>IFERROR(VLOOKUP($M7924,'Informations sur les produits'!$A$3:$H$10000,8,FALSE),"0")</f>
        <v>0</v>
      </c>
      <c r="P7924" s="33">
        <f t="shared" si="492"/>
        <v>0</v>
      </c>
      <c r="Q7924" s="31" t="str">
        <f t="shared" si="493"/>
        <v/>
      </c>
      <c r="R7924" s="32" t="str">
        <f>IFERROR(VLOOKUP($D7924,'Informations sur les produits'!$A$3:$B$15000,2,FALSE),"")</f>
        <v/>
      </c>
      <c r="V7924">
        <f t="shared" si="494"/>
        <v>0</v>
      </c>
      <c r="W7924">
        <f t="shared" si="495"/>
        <v>0</v>
      </c>
    </row>
    <row r="7925" spans="5:23" x14ac:dyDescent="0.25">
      <c r="E7925" s="4"/>
      <c r="F7925" s="4"/>
      <c r="G7925" s="33" t="str">
        <f>IFERROR(VLOOKUP($D7925,'Informations sur les produits'!$A$3:$H$10000,8,FALSE),"0")</f>
        <v>0</v>
      </c>
      <c r="K7925" s="4"/>
      <c r="L7925" s="33" t="str">
        <f>IFERROR(VLOOKUP($J7925,'Informations sur les produits'!$A$3:$H$10000,8,FALSE),"0")</f>
        <v>0</v>
      </c>
      <c r="N7925" s="8"/>
      <c r="O7925" s="33" t="str">
        <f>IFERROR(VLOOKUP($M7925,'Informations sur les produits'!$A$3:$H$10000,8,FALSE),"0")</f>
        <v>0</v>
      </c>
      <c r="P7925" s="33">
        <f t="shared" si="492"/>
        <v>0</v>
      </c>
      <c r="Q7925" s="31" t="str">
        <f t="shared" si="493"/>
        <v/>
      </c>
      <c r="R7925" s="32" t="str">
        <f>IFERROR(VLOOKUP($D7925,'Informations sur les produits'!$A$3:$B$15000,2,FALSE),"")</f>
        <v/>
      </c>
      <c r="V7925">
        <f t="shared" si="494"/>
        <v>0</v>
      </c>
      <c r="W7925">
        <f t="shared" si="495"/>
        <v>0</v>
      </c>
    </row>
    <row r="7926" spans="5:23" x14ac:dyDescent="0.25">
      <c r="E7926" s="4"/>
      <c r="F7926" s="4"/>
      <c r="G7926" s="33" t="str">
        <f>IFERROR(VLOOKUP($D7926,'Informations sur les produits'!$A$3:$H$10000,8,FALSE),"0")</f>
        <v>0</v>
      </c>
      <c r="K7926" s="4"/>
      <c r="L7926" s="33" t="str">
        <f>IFERROR(VLOOKUP($J7926,'Informations sur les produits'!$A$3:$H$10000,8,FALSE),"0")</f>
        <v>0</v>
      </c>
      <c r="N7926" s="8"/>
      <c r="O7926" s="33" t="str">
        <f>IFERROR(VLOOKUP($M7926,'Informations sur les produits'!$A$3:$H$10000,8,FALSE),"0")</f>
        <v>0</v>
      </c>
      <c r="P7926" s="33">
        <f t="shared" si="492"/>
        <v>0</v>
      </c>
      <c r="Q7926" s="31" t="str">
        <f t="shared" si="493"/>
        <v/>
      </c>
      <c r="R7926" s="32" t="str">
        <f>IFERROR(VLOOKUP($D7926,'Informations sur les produits'!$A$3:$B$15000,2,FALSE),"")</f>
        <v/>
      </c>
      <c r="V7926">
        <f t="shared" si="494"/>
        <v>0</v>
      </c>
      <c r="W7926">
        <f t="shared" si="495"/>
        <v>0</v>
      </c>
    </row>
    <row r="7927" spans="5:23" x14ac:dyDescent="0.25">
      <c r="E7927" s="4"/>
      <c r="F7927" s="4"/>
      <c r="G7927" s="33" t="str">
        <f>IFERROR(VLOOKUP($D7927,'Informations sur les produits'!$A$3:$H$10000,8,FALSE),"0")</f>
        <v>0</v>
      </c>
      <c r="K7927" s="4"/>
      <c r="L7927" s="33" t="str">
        <f>IFERROR(VLOOKUP($J7927,'Informations sur les produits'!$A$3:$H$10000,8,FALSE),"0")</f>
        <v>0</v>
      </c>
      <c r="N7927" s="8"/>
      <c r="O7927" s="33" t="str">
        <f>IFERROR(VLOOKUP($M7927,'Informations sur les produits'!$A$3:$H$10000,8,FALSE),"0")</f>
        <v>0</v>
      </c>
      <c r="P7927" s="33">
        <f t="shared" si="492"/>
        <v>0</v>
      </c>
      <c r="Q7927" s="31" t="str">
        <f t="shared" si="493"/>
        <v/>
      </c>
      <c r="R7927" s="32" t="str">
        <f>IFERROR(VLOOKUP($D7927,'Informations sur les produits'!$A$3:$B$15000,2,FALSE),"")</f>
        <v/>
      </c>
      <c r="V7927">
        <f t="shared" si="494"/>
        <v>0</v>
      </c>
      <c r="W7927">
        <f t="shared" si="495"/>
        <v>0</v>
      </c>
    </row>
    <row r="7928" spans="5:23" x14ac:dyDescent="0.25">
      <c r="E7928" s="4"/>
      <c r="F7928" s="4"/>
      <c r="G7928" s="33" t="str">
        <f>IFERROR(VLOOKUP($D7928,'Informations sur les produits'!$A$3:$H$10000,8,FALSE),"0")</f>
        <v>0</v>
      </c>
      <c r="K7928" s="4"/>
      <c r="L7928" s="33" t="str">
        <f>IFERROR(VLOOKUP($J7928,'Informations sur les produits'!$A$3:$H$10000,8,FALSE),"0")</f>
        <v>0</v>
      </c>
      <c r="N7928" s="8"/>
      <c r="O7928" s="33" t="str">
        <f>IFERROR(VLOOKUP($M7928,'Informations sur les produits'!$A$3:$H$10000,8,FALSE),"0")</f>
        <v>0</v>
      </c>
      <c r="P7928" s="33">
        <f t="shared" si="492"/>
        <v>0</v>
      </c>
      <c r="Q7928" s="31" t="str">
        <f t="shared" si="493"/>
        <v/>
      </c>
      <c r="R7928" s="32" t="str">
        <f>IFERROR(VLOOKUP($D7928,'Informations sur les produits'!$A$3:$B$15000,2,FALSE),"")</f>
        <v/>
      </c>
      <c r="V7928">
        <f t="shared" si="494"/>
        <v>0</v>
      </c>
      <c r="W7928">
        <f t="shared" si="495"/>
        <v>0</v>
      </c>
    </row>
    <row r="7929" spans="5:23" x14ac:dyDescent="0.25">
      <c r="E7929" s="4"/>
      <c r="F7929" s="4"/>
      <c r="G7929" s="33" t="str">
        <f>IFERROR(VLOOKUP($D7929,'Informations sur les produits'!$A$3:$H$10000,8,FALSE),"0")</f>
        <v>0</v>
      </c>
      <c r="K7929" s="4"/>
      <c r="L7929" s="33" t="str">
        <f>IFERROR(VLOOKUP($J7929,'Informations sur les produits'!$A$3:$H$10000,8,FALSE),"0")</f>
        <v>0</v>
      </c>
      <c r="N7929" s="8"/>
      <c r="O7929" s="33" t="str">
        <f>IFERROR(VLOOKUP($M7929,'Informations sur les produits'!$A$3:$H$10000,8,FALSE),"0")</f>
        <v>0</v>
      </c>
      <c r="P7929" s="33">
        <f t="shared" si="492"/>
        <v>0</v>
      </c>
      <c r="Q7929" s="31" t="str">
        <f t="shared" si="493"/>
        <v/>
      </c>
      <c r="R7929" s="32" t="str">
        <f>IFERROR(VLOOKUP($D7929,'Informations sur les produits'!$A$3:$B$15000,2,FALSE),"")</f>
        <v/>
      </c>
      <c r="V7929">
        <f t="shared" si="494"/>
        <v>0</v>
      </c>
      <c r="W7929">
        <f t="shared" si="495"/>
        <v>0</v>
      </c>
    </row>
    <row r="7930" spans="5:23" x14ac:dyDescent="0.25">
      <c r="E7930" s="4"/>
      <c r="F7930" s="4"/>
      <c r="G7930" s="33" t="str">
        <f>IFERROR(VLOOKUP($D7930,'Informations sur les produits'!$A$3:$H$10000,8,FALSE),"0")</f>
        <v>0</v>
      </c>
      <c r="K7930" s="4"/>
      <c r="L7930" s="33" t="str">
        <f>IFERROR(VLOOKUP($J7930,'Informations sur les produits'!$A$3:$H$10000,8,FALSE),"0")</f>
        <v>0</v>
      </c>
      <c r="N7930" s="8"/>
      <c r="O7930" s="33" t="str">
        <f>IFERROR(VLOOKUP($M7930,'Informations sur les produits'!$A$3:$H$10000,8,FALSE),"0")</f>
        <v>0</v>
      </c>
      <c r="P7930" s="33">
        <f t="shared" si="492"/>
        <v>0</v>
      </c>
      <c r="Q7930" s="31" t="str">
        <f t="shared" si="493"/>
        <v/>
      </c>
      <c r="R7930" s="32" t="str">
        <f>IFERROR(VLOOKUP($D7930,'Informations sur les produits'!$A$3:$B$15000,2,FALSE),"")</f>
        <v/>
      </c>
      <c r="V7930">
        <f t="shared" si="494"/>
        <v>0</v>
      </c>
      <c r="W7930">
        <f t="shared" si="495"/>
        <v>0</v>
      </c>
    </row>
    <row r="7931" spans="5:23" x14ac:dyDescent="0.25">
      <c r="E7931" s="4"/>
      <c r="F7931" s="4"/>
      <c r="G7931" s="33" t="str">
        <f>IFERROR(VLOOKUP($D7931,'Informations sur les produits'!$A$3:$H$10000,8,FALSE),"0")</f>
        <v>0</v>
      </c>
      <c r="K7931" s="4"/>
      <c r="L7931" s="33" t="str">
        <f>IFERROR(VLOOKUP($J7931,'Informations sur les produits'!$A$3:$H$10000,8,FALSE),"0")</f>
        <v>0</v>
      </c>
      <c r="N7931" s="8"/>
      <c r="O7931" s="33" t="str">
        <f>IFERROR(VLOOKUP($M7931,'Informations sur les produits'!$A$3:$H$10000,8,FALSE),"0")</f>
        <v>0</v>
      </c>
      <c r="P7931" s="33">
        <f t="shared" si="492"/>
        <v>0</v>
      </c>
      <c r="Q7931" s="31" t="str">
        <f t="shared" si="493"/>
        <v/>
      </c>
      <c r="R7931" s="32" t="str">
        <f>IFERROR(VLOOKUP($D7931,'Informations sur les produits'!$A$3:$B$15000,2,FALSE),"")</f>
        <v/>
      </c>
      <c r="V7931">
        <f t="shared" si="494"/>
        <v>0</v>
      </c>
      <c r="W7931">
        <f t="shared" si="495"/>
        <v>0</v>
      </c>
    </row>
    <row r="7932" spans="5:23" x14ac:dyDescent="0.25">
      <c r="E7932" s="4"/>
      <c r="F7932" s="4"/>
      <c r="G7932" s="33" t="str">
        <f>IFERROR(VLOOKUP($D7932,'Informations sur les produits'!$A$3:$H$10000,8,FALSE),"0")</f>
        <v>0</v>
      </c>
      <c r="K7932" s="4"/>
      <c r="L7932" s="33" t="str">
        <f>IFERROR(VLOOKUP($J7932,'Informations sur les produits'!$A$3:$H$10000,8,FALSE),"0")</f>
        <v>0</v>
      </c>
      <c r="N7932" s="8"/>
      <c r="O7932" s="33" t="str">
        <f>IFERROR(VLOOKUP($M7932,'Informations sur les produits'!$A$3:$H$10000,8,FALSE),"0")</f>
        <v>0</v>
      </c>
      <c r="P7932" s="33">
        <f t="shared" si="492"/>
        <v>0</v>
      </c>
      <c r="Q7932" s="31" t="str">
        <f t="shared" si="493"/>
        <v/>
      </c>
      <c r="R7932" s="32" t="str">
        <f>IFERROR(VLOOKUP($D7932,'Informations sur les produits'!$A$3:$B$15000,2,FALSE),"")</f>
        <v/>
      </c>
      <c r="V7932">
        <f t="shared" si="494"/>
        <v>0</v>
      </c>
      <c r="W7932">
        <f t="shared" si="495"/>
        <v>0</v>
      </c>
    </row>
    <row r="7933" spans="5:23" x14ac:dyDescent="0.25">
      <c r="E7933" s="4"/>
      <c r="F7933" s="4"/>
      <c r="G7933" s="33" t="str">
        <f>IFERROR(VLOOKUP($D7933,'Informations sur les produits'!$A$3:$H$10000,8,FALSE),"0")</f>
        <v>0</v>
      </c>
      <c r="K7933" s="4"/>
      <c r="L7933" s="33" t="str">
        <f>IFERROR(VLOOKUP($J7933,'Informations sur les produits'!$A$3:$H$10000,8,FALSE),"0")</f>
        <v>0</v>
      </c>
      <c r="N7933" s="8"/>
      <c r="O7933" s="33" t="str">
        <f>IFERROR(VLOOKUP($M7933,'Informations sur les produits'!$A$3:$H$10000,8,FALSE),"0")</f>
        <v>0</v>
      </c>
      <c r="P7933" s="33">
        <f t="shared" si="492"/>
        <v>0</v>
      </c>
      <c r="Q7933" s="31" t="str">
        <f t="shared" si="493"/>
        <v/>
      </c>
      <c r="R7933" s="32" t="str">
        <f>IFERROR(VLOOKUP($D7933,'Informations sur les produits'!$A$3:$B$15000,2,FALSE),"")</f>
        <v/>
      </c>
      <c r="V7933">
        <f t="shared" si="494"/>
        <v>0</v>
      </c>
      <c r="W7933">
        <f t="shared" si="495"/>
        <v>0</v>
      </c>
    </row>
    <row r="7934" spans="5:23" x14ac:dyDescent="0.25">
      <c r="E7934" s="4"/>
      <c r="F7934" s="4"/>
      <c r="G7934" s="33" t="str">
        <f>IFERROR(VLOOKUP($D7934,'Informations sur les produits'!$A$3:$H$10000,8,FALSE),"0")</f>
        <v>0</v>
      </c>
      <c r="K7934" s="4"/>
      <c r="L7934" s="33" t="str">
        <f>IFERROR(VLOOKUP($J7934,'Informations sur les produits'!$A$3:$H$10000,8,FALSE),"0")</f>
        <v>0</v>
      </c>
      <c r="N7934" s="8"/>
      <c r="O7934" s="33" t="str">
        <f>IFERROR(VLOOKUP($M7934,'Informations sur les produits'!$A$3:$H$10000,8,FALSE),"0")</f>
        <v>0</v>
      </c>
      <c r="P7934" s="33">
        <f t="shared" si="492"/>
        <v>0</v>
      </c>
      <c r="Q7934" s="31" t="str">
        <f t="shared" si="493"/>
        <v/>
      </c>
      <c r="R7934" s="32" t="str">
        <f>IFERROR(VLOOKUP($D7934,'Informations sur les produits'!$A$3:$B$15000,2,FALSE),"")</f>
        <v/>
      </c>
      <c r="V7934">
        <f t="shared" si="494"/>
        <v>0</v>
      </c>
      <c r="W7934">
        <f t="shared" si="495"/>
        <v>0</v>
      </c>
    </row>
    <row r="7935" spans="5:23" x14ac:dyDescent="0.25">
      <c r="E7935" s="4"/>
      <c r="F7935" s="4"/>
      <c r="G7935" s="33" t="str">
        <f>IFERROR(VLOOKUP($D7935,'Informations sur les produits'!$A$3:$H$10000,8,FALSE),"0")</f>
        <v>0</v>
      </c>
      <c r="K7935" s="4"/>
      <c r="L7935" s="33" t="str">
        <f>IFERROR(VLOOKUP($J7935,'Informations sur les produits'!$A$3:$H$10000,8,FALSE),"0")</f>
        <v>0</v>
      </c>
      <c r="N7935" s="8"/>
      <c r="O7935" s="33" t="str">
        <f>IFERROR(VLOOKUP($M7935,'Informations sur les produits'!$A$3:$H$10000,8,FALSE),"0")</f>
        <v>0</v>
      </c>
      <c r="P7935" s="33">
        <f t="shared" si="492"/>
        <v>0</v>
      </c>
      <c r="Q7935" s="31" t="str">
        <f t="shared" si="493"/>
        <v/>
      </c>
      <c r="R7935" s="32" t="str">
        <f>IFERROR(VLOOKUP($D7935,'Informations sur les produits'!$A$3:$B$15000,2,FALSE),"")</f>
        <v/>
      </c>
      <c r="V7935">
        <f t="shared" si="494"/>
        <v>0</v>
      </c>
      <c r="W7935">
        <f t="shared" si="495"/>
        <v>0</v>
      </c>
    </row>
    <row r="7936" spans="5:23" x14ac:dyDescent="0.25">
      <c r="E7936" s="4"/>
      <c r="F7936" s="4"/>
      <c r="G7936" s="33" t="str">
        <f>IFERROR(VLOOKUP($D7936,'Informations sur les produits'!$A$3:$H$10000,8,FALSE),"0")</f>
        <v>0</v>
      </c>
      <c r="K7936" s="4"/>
      <c r="L7936" s="33" t="str">
        <f>IFERROR(VLOOKUP($J7936,'Informations sur les produits'!$A$3:$H$10000,8,FALSE),"0")</f>
        <v>0</v>
      </c>
      <c r="N7936" s="8"/>
      <c r="O7936" s="33" t="str">
        <f>IFERROR(VLOOKUP($M7936,'Informations sur les produits'!$A$3:$H$10000,8,FALSE),"0")</f>
        <v>0</v>
      </c>
      <c r="P7936" s="33">
        <f t="shared" si="492"/>
        <v>0</v>
      </c>
      <c r="Q7936" s="31" t="str">
        <f t="shared" si="493"/>
        <v/>
      </c>
      <c r="R7936" s="32" t="str">
        <f>IFERROR(VLOOKUP($D7936,'Informations sur les produits'!$A$3:$B$15000,2,FALSE),"")</f>
        <v/>
      </c>
      <c r="V7936">
        <f t="shared" si="494"/>
        <v>0</v>
      </c>
      <c r="W7936">
        <f t="shared" si="495"/>
        <v>0</v>
      </c>
    </row>
    <row r="7937" spans="5:23" x14ac:dyDescent="0.25">
      <c r="E7937" s="4"/>
      <c r="F7937" s="4"/>
      <c r="G7937" s="33" t="str">
        <f>IFERROR(VLOOKUP($D7937,'Informations sur les produits'!$A$3:$H$10000,8,FALSE),"0")</f>
        <v>0</v>
      </c>
      <c r="K7937" s="4"/>
      <c r="L7937" s="33" t="str">
        <f>IFERROR(VLOOKUP($J7937,'Informations sur les produits'!$A$3:$H$10000,8,FALSE),"0")</f>
        <v>0</v>
      </c>
      <c r="N7937" s="8"/>
      <c r="O7937" s="33" t="str">
        <f>IFERROR(VLOOKUP($M7937,'Informations sur les produits'!$A$3:$H$10000,8,FALSE),"0")</f>
        <v>0</v>
      </c>
      <c r="P7937" s="33">
        <f t="shared" si="492"/>
        <v>0</v>
      </c>
      <c r="Q7937" s="31" t="str">
        <f t="shared" si="493"/>
        <v/>
      </c>
      <c r="R7937" s="32" t="str">
        <f>IFERROR(VLOOKUP($D7937,'Informations sur les produits'!$A$3:$B$15000,2,FALSE),"")</f>
        <v/>
      </c>
      <c r="V7937">
        <f t="shared" si="494"/>
        <v>0</v>
      </c>
      <c r="W7937">
        <f t="shared" si="495"/>
        <v>0</v>
      </c>
    </row>
    <row r="7938" spans="5:23" x14ac:dyDescent="0.25">
      <c r="E7938" s="4"/>
      <c r="F7938" s="4"/>
      <c r="G7938" s="33" t="str">
        <f>IFERROR(VLOOKUP($D7938,'Informations sur les produits'!$A$3:$H$10000,8,FALSE),"0")</f>
        <v>0</v>
      </c>
      <c r="K7938" s="4"/>
      <c r="L7938" s="33" t="str">
        <f>IFERROR(VLOOKUP($J7938,'Informations sur les produits'!$A$3:$H$10000,8,FALSE),"0")</f>
        <v>0</v>
      </c>
      <c r="N7938" s="8"/>
      <c r="O7938" s="33" t="str">
        <f>IFERROR(VLOOKUP($M7938,'Informations sur les produits'!$A$3:$H$10000,8,FALSE),"0")</f>
        <v>0</v>
      </c>
      <c r="P7938" s="33">
        <f t="shared" si="492"/>
        <v>0</v>
      </c>
      <c r="Q7938" s="31" t="str">
        <f t="shared" si="493"/>
        <v/>
      </c>
      <c r="R7938" s="32" t="str">
        <f>IFERROR(VLOOKUP($D7938,'Informations sur les produits'!$A$3:$B$15000,2,FALSE),"")</f>
        <v/>
      </c>
      <c r="V7938">
        <f t="shared" si="494"/>
        <v>0</v>
      </c>
      <c r="W7938">
        <f t="shared" si="495"/>
        <v>0</v>
      </c>
    </row>
    <row r="7939" spans="5:23" x14ac:dyDescent="0.25">
      <c r="E7939" s="4"/>
      <c r="F7939" s="4"/>
      <c r="G7939" s="33" t="str">
        <f>IFERROR(VLOOKUP($D7939,'Informations sur les produits'!$A$3:$H$10000,8,FALSE),"0")</f>
        <v>0</v>
      </c>
      <c r="K7939" s="4"/>
      <c r="L7939" s="33" t="str">
        <f>IFERROR(VLOOKUP($J7939,'Informations sur les produits'!$A$3:$H$10000,8,FALSE),"0")</f>
        <v>0</v>
      </c>
      <c r="N7939" s="8"/>
      <c r="O7939" s="33" t="str">
        <f>IFERROR(VLOOKUP($M7939,'Informations sur les produits'!$A$3:$H$10000,8,FALSE),"0")</f>
        <v>0</v>
      </c>
      <c r="P7939" s="33">
        <f t="shared" si="492"/>
        <v>0</v>
      </c>
      <c r="Q7939" s="31" t="str">
        <f t="shared" si="493"/>
        <v/>
      </c>
      <c r="R7939" s="32" t="str">
        <f>IFERROR(VLOOKUP($D7939,'Informations sur les produits'!$A$3:$B$15000,2,FALSE),"")</f>
        <v/>
      </c>
      <c r="V7939">
        <f t="shared" si="494"/>
        <v>0</v>
      </c>
      <c r="W7939">
        <f t="shared" si="495"/>
        <v>0</v>
      </c>
    </row>
    <row r="7940" spans="5:23" x14ac:dyDescent="0.25">
      <c r="E7940" s="4"/>
      <c r="F7940" s="4"/>
      <c r="G7940" s="33" t="str">
        <f>IFERROR(VLOOKUP($D7940,'Informations sur les produits'!$A$3:$H$10000,8,FALSE),"0")</f>
        <v>0</v>
      </c>
      <c r="K7940" s="4"/>
      <c r="L7940" s="33" t="str">
        <f>IFERROR(VLOOKUP($J7940,'Informations sur les produits'!$A$3:$H$10000,8,FALSE),"0")</f>
        <v>0</v>
      </c>
      <c r="N7940" s="8"/>
      <c r="O7940" s="33" t="str">
        <f>IFERROR(VLOOKUP($M7940,'Informations sur les produits'!$A$3:$H$10000,8,FALSE),"0")</f>
        <v>0</v>
      </c>
      <c r="P7940" s="33">
        <f t="shared" ref="P7940:P8003" si="496">IFERROR((($E7940-$F7940)*$G7940+$K7940*$L7940+$N7940*$O7940),"")</f>
        <v>0</v>
      </c>
      <c r="Q7940" s="31" t="str">
        <f t="shared" ref="Q7940:Q8003" si="497">IFERROR((((($E7940-$F7940)*$G7940+$K7940*$L7940+$N7940*$O7940)*1000)/(($E7940-$F7940)+$K7940+$N7940)),"")</f>
        <v/>
      </c>
      <c r="R7940" s="32" t="str">
        <f>IFERROR(VLOOKUP($D7940,'Informations sur les produits'!$A$3:$B$15000,2,FALSE),"")</f>
        <v/>
      </c>
      <c r="V7940">
        <f t="shared" ref="V7940:V8003" si="498">IFERROR(P7940*1000,"")</f>
        <v>0</v>
      </c>
      <c r="W7940">
        <f t="shared" ref="W7940:W8003" si="499">IFERROR(($E7940-$F7940)+$K7940+$N7940,"")</f>
        <v>0</v>
      </c>
    </row>
    <row r="7941" spans="5:23" x14ac:dyDescent="0.25">
      <c r="E7941" s="4"/>
      <c r="F7941" s="4"/>
      <c r="G7941" s="33" t="str">
        <f>IFERROR(VLOOKUP($D7941,'Informations sur les produits'!$A$3:$H$10000,8,FALSE),"0")</f>
        <v>0</v>
      </c>
      <c r="K7941" s="4"/>
      <c r="L7941" s="33" t="str">
        <f>IFERROR(VLOOKUP($J7941,'Informations sur les produits'!$A$3:$H$10000,8,FALSE),"0")</f>
        <v>0</v>
      </c>
      <c r="N7941" s="8"/>
      <c r="O7941" s="33" t="str">
        <f>IFERROR(VLOOKUP($M7941,'Informations sur les produits'!$A$3:$H$10000,8,FALSE),"0")</f>
        <v>0</v>
      </c>
      <c r="P7941" s="33">
        <f t="shared" si="496"/>
        <v>0</v>
      </c>
      <c r="Q7941" s="31" t="str">
        <f t="shared" si="497"/>
        <v/>
      </c>
      <c r="R7941" s="32" t="str">
        <f>IFERROR(VLOOKUP($D7941,'Informations sur les produits'!$A$3:$B$15000,2,FALSE),"")</f>
        <v/>
      </c>
      <c r="V7941">
        <f t="shared" si="498"/>
        <v>0</v>
      </c>
      <c r="W7941">
        <f t="shared" si="499"/>
        <v>0</v>
      </c>
    </row>
    <row r="7942" spans="5:23" x14ac:dyDescent="0.25">
      <c r="E7942" s="4"/>
      <c r="F7942" s="4"/>
      <c r="G7942" s="33" t="str">
        <f>IFERROR(VLOOKUP($D7942,'Informations sur les produits'!$A$3:$H$10000,8,FALSE),"0")</f>
        <v>0</v>
      </c>
      <c r="K7942" s="4"/>
      <c r="L7942" s="33" t="str">
        <f>IFERROR(VLOOKUP($J7942,'Informations sur les produits'!$A$3:$H$10000,8,FALSE),"0")</f>
        <v>0</v>
      </c>
      <c r="N7942" s="8"/>
      <c r="O7942" s="33" t="str">
        <f>IFERROR(VLOOKUP($M7942,'Informations sur les produits'!$A$3:$H$10000,8,FALSE),"0")</f>
        <v>0</v>
      </c>
      <c r="P7942" s="33">
        <f t="shared" si="496"/>
        <v>0</v>
      </c>
      <c r="Q7942" s="31" t="str">
        <f t="shared" si="497"/>
        <v/>
      </c>
      <c r="R7942" s="32" t="str">
        <f>IFERROR(VLOOKUP($D7942,'Informations sur les produits'!$A$3:$B$15000,2,FALSE),"")</f>
        <v/>
      </c>
      <c r="V7942">
        <f t="shared" si="498"/>
        <v>0</v>
      </c>
      <c r="W7942">
        <f t="shared" si="499"/>
        <v>0</v>
      </c>
    </row>
    <row r="7943" spans="5:23" x14ac:dyDescent="0.25">
      <c r="E7943" s="4"/>
      <c r="F7943" s="4"/>
      <c r="G7943" s="33" t="str">
        <f>IFERROR(VLOOKUP($D7943,'Informations sur les produits'!$A$3:$H$10000,8,FALSE),"0")</f>
        <v>0</v>
      </c>
      <c r="K7943" s="4"/>
      <c r="L7943" s="33" t="str">
        <f>IFERROR(VLOOKUP($J7943,'Informations sur les produits'!$A$3:$H$10000,8,FALSE),"0")</f>
        <v>0</v>
      </c>
      <c r="N7943" s="8"/>
      <c r="O7943" s="33" t="str">
        <f>IFERROR(VLOOKUP($M7943,'Informations sur les produits'!$A$3:$H$10000,8,FALSE),"0")</f>
        <v>0</v>
      </c>
      <c r="P7943" s="33">
        <f t="shared" si="496"/>
        <v>0</v>
      </c>
      <c r="Q7943" s="31" t="str">
        <f t="shared" si="497"/>
        <v/>
      </c>
      <c r="R7943" s="32" t="str">
        <f>IFERROR(VLOOKUP($D7943,'Informations sur les produits'!$A$3:$B$15000,2,FALSE),"")</f>
        <v/>
      </c>
      <c r="V7943">
        <f t="shared" si="498"/>
        <v>0</v>
      </c>
      <c r="W7943">
        <f t="shared" si="499"/>
        <v>0</v>
      </c>
    </row>
    <row r="7944" spans="5:23" x14ac:dyDescent="0.25">
      <c r="E7944" s="4"/>
      <c r="F7944" s="4"/>
      <c r="G7944" s="33" t="str">
        <f>IFERROR(VLOOKUP($D7944,'Informations sur les produits'!$A$3:$H$10000,8,FALSE),"0")</f>
        <v>0</v>
      </c>
      <c r="K7944" s="4"/>
      <c r="L7944" s="33" t="str">
        <f>IFERROR(VLOOKUP($J7944,'Informations sur les produits'!$A$3:$H$10000,8,FALSE),"0")</f>
        <v>0</v>
      </c>
      <c r="N7944" s="8"/>
      <c r="O7944" s="33" t="str">
        <f>IFERROR(VLOOKUP($M7944,'Informations sur les produits'!$A$3:$H$10000,8,FALSE),"0")</f>
        <v>0</v>
      </c>
      <c r="P7944" s="33">
        <f t="shared" si="496"/>
        <v>0</v>
      </c>
      <c r="Q7944" s="31" t="str">
        <f t="shared" si="497"/>
        <v/>
      </c>
      <c r="R7944" s="32" t="str">
        <f>IFERROR(VLOOKUP($D7944,'Informations sur les produits'!$A$3:$B$15000,2,FALSE),"")</f>
        <v/>
      </c>
      <c r="V7944">
        <f t="shared" si="498"/>
        <v>0</v>
      </c>
      <c r="W7944">
        <f t="shared" si="499"/>
        <v>0</v>
      </c>
    </row>
    <row r="7945" spans="5:23" x14ac:dyDescent="0.25">
      <c r="E7945" s="4"/>
      <c r="F7945" s="4"/>
      <c r="G7945" s="33" t="str">
        <f>IFERROR(VLOOKUP($D7945,'Informations sur les produits'!$A$3:$H$10000,8,FALSE),"0")</f>
        <v>0</v>
      </c>
      <c r="K7945" s="4"/>
      <c r="L7945" s="33" t="str">
        <f>IFERROR(VLOOKUP($J7945,'Informations sur les produits'!$A$3:$H$10000,8,FALSE),"0")</f>
        <v>0</v>
      </c>
      <c r="N7945" s="8"/>
      <c r="O7945" s="33" t="str">
        <f>IFERROR(VLOOKUP($M7945,'Informations sur les produits'!$A$3:$H$10000,8,FALSE),"0")</f>
        <v>0</v>
      </c>
      <c r="P7945" s="33">
        <f t="shared" si="496"/>
        <v>0</v>
      </c>
      <c r="Q7945" s="31" t="str">
        <f t="shared" si="497"/>
        <v/>
      </c>
      <c r="R7945" s="32" t="str">
        <f>IFERROR(VLOOKUP($D7945,'Informations sur les produits'!$A$3:$B$15000,2,FALSE),"")</f>
        <v/>
      </c>
      <c r="V7945">
        <f t="shared" si="498"/>
        <v>0</v>
      </c>
      <c r="W7945">
        <f t="shared" si="499"/>
        <v>0</v>
      </c>
    </row>
    <row r="7946" spans="5:23" x14ac:dyDescent="0.25">
      <c r="E7946" s="4"/>
      <c r="F7946" s="4"/>
      <c r="G7946" s="33" t="str">
        <f>IFERROR(VLOOKUP($D7946,'Informations sur les produits'!$A$3:$H$10000,8,FALSE),"0")</f>
        <v>0</v>
      </c>
      <c r="K7946" s="4"/>
      <c r="L7946" s="33" t="str">
        <f>IFERROR(VLOOKUP($J7946,'Informations sur les produits'!$A$3:$H$10000,8,FALSE),"0")</f>
        <v>0</v>
      </c>
      <c r="N7946" s="8"/>
      <c r="O7946" s="33" t="str">
        <f>IFERROR(VLOOKUP($M7946,'Informations sur les produits'!$A$3:$H$10000,8,FALSE),"0")</f>
        <v>0</v>
      </c>
      <c r="P7946" s="33">
        <f t="shared" si="496"/>
        <v>0</v>
      </c>
      <c r="Q7946" s="31" t="str">
        <f t="shared" si="497"/>
        <v/>
      </c>
      <c r="R7946" s="32" t="str">
        <f>IFERROR(VLOOKUP($D7946,'Informations sur les produits'!$A$3:$B$15000,2,FALSE),"")</f>
        <v/>
      </c>
      <c r="V7946">
        <f t="shared" si="498"/>
        <v>0</v>
      </c>
      <c r="W7946">
        <f t="shared" si="499"/>
        <v>0</v>
      </c>
    </row>
    <row r="7947" spans="5:23" x14ac:dyDescent="0.25">
      <c r="E7947" s="4"/>
      <c r="F7947" s="4"/>
      <c r="G7947" s="33" t="str">
        <f>IFERROR(VLOOKUP($D7947,'Informations sur les produits'!$A$3:$H$10000,8,FALSE),"0")</f>
        <v>0</v>
      </c>
      <c r="K7947" s="4"/>
      <c r="L7947" s="33" t="str">
        <f>IFERROR(VLOOKUP($J7947,'Informations sur les produits'!$A$3:$H$10000,8,FALSE),"0")</f>
        <v>0</v>
      </c>
      <c r="N7947" s="8"/>
      <c r="O7947" s="33" t="str">
        <f>IFERROR(VLOOKUP($M7947,'Informations sur les produits'!$A$3:$H$10000,8,FALSE),"0")</f>
        <v>0</v>
      </c>
      <c r="P7947" s="33">
        <f t="shared" si="496"/>
        <v>0</v>
      </c>
      <c r="Q7947" s="31" t="str">
        <f t="shared" si="497"/>
        <v/>
      </c>
      <c r="R7947" s="32" t="str">
        <f>IFERROR(VLOOKUP($D7947,'Informations sur les produits'!$A$3:$B$15000,2,FALSE),"")</f>
        <v/>
      </c>
      <c r="V7947">
        <f t="shared" si="498"/>
        <v>0</v>
      </c>
      <c r="W7947">
        <f t="shared" si="499"/>
        <v>0</v>
      </c>
    </row>
    <row r="7948" spans="5:23" x14ac:dyDescent="0.25">
      <c r="E7948" s="4"/>
      <c r="F7948" s="4"/>
      <c r="G7948" s="33" t="str">
        <f>IFERROR(VLOOKUP($D7948,'Informations sur les produits'!$A$3:$H$10000,8,FALSE),"0")</f>
        <v>0</v>
      </c>
      <c r="K7948" s="4"/>
      <c r="L7948" s="33" t="str">
        <f>IFERROR(VLOOKUP($J7948,'Informations sur les produits'!$A$3:$H$10000,8,FALSE),"0")</f>
        <v>0</v>
      </c>
      <c r="N7948" s="8"/>
      <c r="O7948" s="33" t="str">
        <f>IFERROR(VLOOKUP($M7948,'Informations sur les produits'!$A$3:$H$10000,8,FALSE),"0")</f>
        <v>0</v>
      </c>
      <c r="P7948" s="33">
        <f t="shared" si="496"/>
        <v>0</v>
      </c>
      <c r="Q7948" s="31" t="str">
        <f t="shared" si="497"/>
        <v/>
      </c>
      <c r="R7948" s="32" t="str">
        <f>IFERROR(VLOOKUP($D7948,'Informations sur les produits'!$A$3:$B$15000,2,FALSE),"")</f>
        <v/>
      </c>
      <c r="V7948">
        <f t="shared" si="498"/>
        <v>0</v>
      </c>
      <c r="W7948">
        <f t="shared" si="499"/>
        <v>0</v>
      </c>
    </row>
    <row r="7949" spans="5:23" x14ac:dyDescent="0.25">
      <c r="E7949" s="4"/>
      <c r="F7949" s="4"/>
      <c r="G7949" s="33" t="str">
        <f>IFERROR(VLOOKUP($D7949,'Informations sur les produits'!$A$3:$H$10000,8,FALSE),"0")</f>
        <v>0</v>
      </c>
      <c r="K7949" s="4"/>
      <c r="L7949" s="33" t="str">
        <f>IFERROR(VLOOKUP($J7949,'Informations sur les produits'!$A$3:$H$10000,8,FALSE),"0")</f>
        <v>0</v>
      </c>
      <c r="N7949" s="8"/>
      <c r="O7949" s="33" t="str">
        <f>IFERROR(VLOOKUP($M7949,'Informations sur les produits'!$A$3:$H$10000,8,FALSE),"0")</f>
        <v>0</v>
      </c>
      <c r="P7949" s="33">
        <f t="shared" si="496"/>
        <v>0</v>
      </c>
      <c r="Q7949" s="31" t="str">
        <f t="shared" si="497"/>
        <v/>
      </c>
      <c r="R7949" s="32" t="str">
        <f>IFERROR(VLOOKUP($D7949,'Informations sur les produits'!$A$3:$B$15000,2,FALSE),"")</f>
        <v/>
      </c>
      <c r="V7949">
        <f t="shared" si="498"/>
        <v>0</v>
      </c>
      <c r="W7949">
        <f t="shared" si="499"/>
        <v>0</v>
      </c>
    </row>
    <row r="7950" spans="5:23" x14ac:dyDescent="0.25">
      <c r="E7950" s="4"/>
      <c r="F7950" s="4"/>
      <c r="G7950" s="33" t="str">
        <f>IFERROR(VLOOKUP($D7950,'Informations sur les produits'!$A$3:$H$10000,8,FALSE),"0")</f>
        <v>0</v>
      </c>
      <c r="K7950" s="4"/>
      <c r="L7950" s="33" t="str">
        <f>IFERROR(VLOOKUP($J7950,'Informations sur les produits'!$A$3:$H$10000,8,FALSE),"0")</f>
        <v>0</v>
      </c>
      <c r="N7950" s="8"/>
      <c r="O7950" s="33" t="str">
        <f>IFERROR(VLOOKUP($M7950,'Informations sur les produits'!$A$3:$H$10000,8,FALSE),"0")</f>
        <v>0</v>
      </c>
      <c r="P7950" s="33">
        <f t="shared" si="496"/>
        <v>0</v>
      </c>
      <c r="Q7950" s="31" t="str">
        <f t="shared" si="497"/>
        <v/>
      </c>
      <c r="R7950" s="32" t="str">
        <f>IFERROR(VLOOKUP($D7950,'Informations sur les produits'!$A$3:$B$15000,2,FALSE),"")</f>
        <v/>
      </c>
      <c r="V7950">
        <f t="shared" si="498"/>
        <v>0</v>
      </c>
      <c r="W7950">
        <f t="shared" si="499"/>
        <v>0</v>
      </c>
    </row>
    <row r="7951" spans="5:23" x14ac:dyDescent="0.25">
      <c r="E7951" s="4"/>
      <c r="F7951" s="4"/>
      <c r="G7951" s="33" t="str">
        <f>IFERROR(VLOOKUP($D7951,'Informations sur les produits'!$A$3:$H$10000,8,FALSE),"0")</f>
        <v>0</v>
      </c>
      <c r="K7951" s="4"/>
      <c r="L7951" s="33" t="str">
        <f>IFERROR(VLOOKUP($J7951,'Informations sur les produits'!$A$3:$H$10000,8,FALSE),"0")</f>
        <v>0</v>
      </c>
      <c r="N7951" s="8"/>
      <c r="O7951" s="33" t="str">
        <f>IFERROR(VLOOKUP($M7951,'Informations sur les produits'!$A$3:$H$10000,8,FALSE),"0")</f>
        <v>0</v>
      </c>
      <c r="P7951" s="33">
        <f t="shared" si="496"/>
        <v>0</v>
      </c>
      <c r="Q7951" s="31" t="str">
        <f t="shared" si="497"/>
        <v/>
      </c>
      <c r="R7951" s="32" t="str">
        <f>IFERROR(VLOOKUP($D7951,'Informations sur les produits'!$A$3:$B$15000,2,FALSE),"")</f>
        <v/>
      </c>
      <c r="V7951">
        <f t="shared" si="498"/>
        <v>0</v>
      </c>
      <c r="W7951">
        <f t="shared" si="499"/>
        <v>0</v>
      </c>
    </row>
    <row r="7952" spans="5:23" x14ac:dyDescent="0.25">
      <c r="E7952" s="4"/>
      <c r="F7952" s="4"/>
      <c r="G7952" s="33" t="str">
        <f>IFERROR(VLOOKUP($D7952,'Informations sur les produits'!$A$3:$H$10000,8,FALSE),"0")</f>
        <v>0</v>
      </c>
      <c r="K7952" s="4"/>
      <c r="L7952" s="33" t="str">
        <f>IFERROR(VLOOKUP($J7952,'Informations sur les produits'!$A$3:$H$10000,8,FALSE),"0")</f>
        <v>0</v>
      </c>
      <c r="N7952" s="8"/>
      <c r="O7952" s="33" t="str">
        <f>IFERROR(VLOOKUP($M7952,'Informations sur les produits'!$A$3:$H$10000,8,FALSE),"0")</f>
        <v>0</v>
      </c>
      <c r="P7952" s="33">
        <f t="shared" si="496"/>
        <v>0</v>
      </c>
      <c r="Q7952" s="31" t="str">
        <f t="shared" si="497"/>
        <v/>
      </c>
      <c r="R7952" s="32" t="str">
        <f>IFERROR(VLOOKUP($D7952,'Informations sur les produits'!$A$3:$B$15000,2,FALSE),"")</f>
        <v/>
      </c>
      <c r="V7952">
        <f t="shared" si="498"/>
        <v>0</v>
      </c>
      <c r="W7952">
        <f t="shared" si="499"/>
        <v>0</v>
      </c>
    </row>
    <row r="7953" spans="5:23" x14ac:dyDescent="0.25">
      <c r="E7953" s="4"/>
      <c r="F7953" s="4"/>
      <c r="G7953" s="33" t="str">
        <f>IFERROR(VLOOKUP($D7953,'Informations sur les produits'!$A$3:$H$10000,8,FALSE),"0")</f>
        <v>0</v>
      </c>
      <c r="K7953" s="4"/>
      <c r="L7953" s="33" t="str">
        <f>IFERROR(VLOOKUP($J7953,'Informations sur les produits'!$A$3:$H$10000,8,FALSE),"0")</f>
        <v>0</v>
      </c>
      <c r="N7953" s="8"/>
      <c r="O7953" s="33" t="str">
        <f>IFERROR(VLOOKUP($M7953,'Informations sur les produits'!$A$3:$H$10000,8,FALSE),"0")</f>
        <v>0</v>
      </c>
      <c r="P7953" s="33">
        <f t="shared" si="496"/>
        <v>0</v>
      </c>
      <c r="Q7953" s="31" t="str">
        <f t="shared" si="497"/>
        <v/>
      </c>
      <c r="R7953" s="32" t="str">
        <f>IFERROR(VLOOKUP($D7953,'Informations sur les produits'!$A$3:$B$15000,2,FALSE),"")</f>
        <v/>
      </c>
      <c r="V7953">
        <f t="shared" si="498"/>
        <v>0</v>
      </c>
      <c r="W7953">
        <f t="shared" si="499"/>
        <v>0</v>
      </c>
    </row>
    <row r="7954" spans="5:23" x14ac:dyDescent="0.25">
      <c r="E7954" s="4"/>
      <c r="F7954" s="4"/>
      <c r="G7954" s="33" t="str">
        <f>IFERROR(VLOOKUP($D7954,'Informations sur les produits'!$A$3:$H$10000,8,FALSE),"0")</f>
        <v>0</v>
      </c>
      <c r="K7954" s="4"/>
      <c r="L7954" s="33" t="str">
        <f>IFERROR(VLOOKUP($J7954,'Informations sur les produits'!$A$3:$H$10000,8,FALSE),"0")</f>
        <v>0</v>
      </c>
      <c r="N7954" s="8"/>
      <c r="O7954" s="33" t="str">
        <f>IFERROR(VLOOKUP($M7954,'Informations sur les produits'!$A$3:$H$10000,8,FALSE),"0")</f>
        <v>0</v>
      </c>
      <c r="P7954" s="33">
        <f t="shared" si="496"/>
        <v>0</v>
      </c>
      <c r="Q7954" s="31" t="str">
        <f t="shared" si="497"/>
        <v/>
      </c>
      <c r="R7954" s="32" t="str">
        <f>IFERROR(VLOOKUP($D7954,'Informations sur les produits'!$A$3:$B$15000,2,FALSE),"")</f>
        <v/>
      </c>
      <c r="V7954">
        <f t="shared" si="498"/>
        <v>0</v>
      </c>
      <c r="W7954">
        <f t="shared" si="499"/>
        <v>0</v>
      </c>
    </row>
    <row r="7955" spans="5:23" x14ac:dyDescent="0.25">
      <c r="E7955" s="4"/>
      <c r="F7955" s="4"/>
      <c r="G7955" s="33" t="str">
        <f>IFERROR(VLOOKUP($D7955,'Informations sur les produits'!$A$3:$H$10000,8,FALSE),"0")</f>
        <v>0</v>
      </c>
      <c r="K7955" s="4"/>
      <c r="L7955" s="33" t="str">
        <f>IFERROR(VLOOKUP($J7955,'Informations sur les produits'!$A$3:$H$10000,8,FALSE),"0")</f>
        <v>0</v>
      </c>
      <c r="N7955" s="8"/>
      <c r="O7955" s="33" t="str">
        <f>IFERROR(VLOOKUP($M7955,'Informations sur les produits'!$A$3:$H$10000,8,FALSE),"0")</f>
        <v>0</v>
      </c>
      <c r="P7955" s="33">
        <f t="shared" si="496"/>
        <v>0</v>
      </c>
      <c r="Q7955" s="31" t="str">
        <f t="shared" si="497"/>
        <v/>
      </c>
      <c r="R7955" s="32" t="str">
        <f>IFERROR(VLOOKUP($D7955,'Informations sur les produits'!$A$3:$B$15000,2,FALSE),"")</f>
        <v/>
      </c>
      <c r="V7955">
        <f t="shared" si="498"/>
        <v>0</v>
      </c>
      <c r="W7955">
        <f t="shared" si="499"/>
        <v>0</v>
      </c>
    </row>
    <row r="7956" spans="5:23" x14ac:dyDescent="0.25">
      <c r="E7956" s="4"/>
      <c r="F7956" s="4"/>
      <c r="G7956" s="33" t="str">
        <f>IFERROR(VLOOKUP($D7956,'Informations sur les produits'!$A$3:$H$10000,8,FALSE),"0")</f>
        <v>0</v>
      </c>
      <c r="K7956" s="4"/>
      <c r="L7956" s="33" t="str">
        <f>IFERROR(VLOOKUP($J7956,'Informations sur les produits'!$A$3:$H$10000,8,FALSE),"0")</f>
        <v>0</v>
      </c>
      <c r="N7956" s="8"/>
      <c r="O7956" s="33" t="str">
        <f>IFERROR(VLOOKUP($M7956,'Informations sur les produits'!$A$3:$H$10000,8,FALSE),"0")</f>
        <v>0</v>
      </c>
      <c r="P7956" s="33">
        <f t="shared" si="496"/>
        <v>0</v>
      </c>
      <c r="Q7956" s="31" t="str">
        <f t="shared" si="497"/>
        <v/>
      </c>
      <c r="R7956" s="32" t="str">
        <f>IFERROR(VLOOKUP($D7956,'Informations sur les produits'!$A$3:$B$15000,2,FALSE),"")</f>
        <v/>
      </c>
      <c r="V7956">
        <f t="shared" si="498"/>
        <v>0</v>
      </c>
      <c r="W7956">
        <f t="shared" si="499"/>
        <v>0</v>
      </c>
    </row>
    <row r="7957" spans="5:23" x14ac:dyDescent="0.25">
      <c r="E7957" s="4"/>
      <c r="F7957" s="4"/>
      <c r="G7957" s="33" t="str">
        <f>IFERROR(VLOOKUP($D7957,'Informations sur les produits'!$A$3:$H$10000,8,FALSE),"0")</f>
        <v>0</v>
      </c>
      <c r="K7957" s="4"/>
      <c r="L7957" s="33" t="str">
        <f>IFERROR(VLOOKUP($J7957,'Informations sur les produits'!$A$3:$H$10000,8,FALSE),"0")</f>
        <v>0</v>
      </c>
      <c r="N7957" s="8"/>
      <c r="O7957" s="33" t="str">
        <f>IFERROR(VLOOKUP($M7957,'Informations sur les produits'!$A$3:$H$10000,8,FALSE),"0")</f>
        <v>0</v>
      </c>
      <c r="P7957" s="33">
        <f t="shared" si="496"/>
        <v>0</v>
      </c>
      <c r="Q7957" s="31" t="str">
        <f t="shared" si="497"/>
        <v/>
      </c>
      <c r="R7957" s="32" t="str">
        <f>IFERROR(VLOOKUP($D7957,'Informations sur les produits'!$A$3:$B$15000,2,FALSE),"")</f>
        <v/>
      </c>
      <c r="V7957">
        <f t="shared" si="498"/>
        <v>0</v>
      </c>
      <c r="W7957">
        <f t="shared" si="499"/>
        <v>0</v>
      </c>
    </row>
    <row r="7958" spans="5:23" x14ac:dyDescent="0.25">
      <c r="E7958" s="4"/>
      <c r="F7958" s="4"/>
      <c r="G7958" s="33" t="str">
        <f>IFERROR(VLOOKUP($D7958,'Informations sur les produits'!$A$3:$H$10000,8,FALSE),"0")</f>
        <v>0</v>
      </c>
      <c r="K7958" s="4"/>
      <c r="L7958" s="33" t="str">
        <f>IFERROR(VLOOKUP($J7958,'Informations sur les produits'!$A$3:$H$10000,8,FALSE),"0")</f>
        <v>0</v>
      </c>
      <c r="N7958" s="8"/>
      <c r="O7958" s="33" t="str">
        <f>IFERROR(VLOOKUP($M7958,'Informations sur les produits'!$A$3:$H$10000,8,FALSE),"0")</f>
        <v>0</v>
      </c>
      <c r="P7958" s="33">
        <f t="shared" si="496"/>
        <v>0</v>
      </c>
      <c r="Q7958" s="31" t="str">
        <f t="shared" si="497"/>
        <v/>
      </c>
      <c r="R7958" s="32" t="str">
        <f>IFERROR(VLOOKUP($D7958,'Informations sur les produits'!$A$3:$B$15000,2,FALSE),"")</f>
        <v/>
      </c>
      <c r="V7958">
        <f t="shared" si="498"/>
        <v>0</v>
      </c>
      <c r="W7958">
        <f t="shared" si="499"/>
        <v>0</v>
      </c>
    </row>
    <row r="7959" spans="5:23" x14ac:dyDescent="0.25">
      <c r="E7959" s="4"/>
      <c r="F7959" s="4"/>
      <c r="G7959" s="33" t="str">
        <f>IFERROR(VLOOKUP($D7959,'Informations sur les produits'!$A$3:$H$10000,8,FALSE),"0")</f>
        <v>0</v>
      </c>
      <c r="K7959" s="4"/>
      <c r="L7959" s="33" t="str">
        <f>IFERROR(VLOOKUP($J7959,'Informations sur les produits'!$A$3:$H$10000,8,FALSE),"0")</f>
        <v>0</v>
      </c>
      <c r="N7959" s="8"/>
      <c r="O7959" s="33" t="str">
        <f>IFERROR(VLOOKUP($M7959,'Informations sur les produits'!$A$3:$H$10000,8,FALSE),"0")</f>
        <v>0</v>
      </c>
      <c r="P7959" s="33">
        <f t="shared" si="496"/>
        <v>0</v>
      </c>
      <c r="Q7959" s="31" t="str">
        <f t="shared" si="497"/>
        <v/>
      </c>
      <c r="R7959" s="32" t="str">
        <f>IFERROR(VLOOKUP($D7959,'Informations sur les produits'!$A$3:$B$15000,2,FALSE),"")</f>
        <v/>
      </c>
      <c r="V7959">
        <f t="shared" si="498"/>
        <v>0</v>
      </c>
      <c r="W7959">
        <f t="shared" si="499"/>
        <v>0</v>
      </c>
    </row>
    <row r="7960" spans="5:23" x14ac:dyDescent="0.25">
      <c r="E7960" s="4"/>
      <c r="F7960" s="4"/>
      <c r="G7960" s="33" t="str">
        <f>IFERROR(VLOOKUP($D7960,'Informations sur les produits'!$A$3:$H$10000,8,FALSE),"0")</f>
        <v>0</v>
      </c>
      <c r="K7960" s="4"/>
      <c r="L7960" s="33" t="str">
        <f>IFERROR(VLOOKUP($J7960,'Informations sur les produits'!$A$3:$H$10000,8,FALSE),"0")</f>
        <v>0</v>
      </c>
      <c r="N7960" s="8"/>
      <c r="O7960" s="33" t="str">
        <f>IFERROR(VLOOKUP($M7960,'Informations sur les produits'!$A$3:$H$10000,8,FALSE),"0")</f>
        <v>0</v>
      </c>
      <c r="P7960" s="33">
        <f t="shared" si="496"/>
        <v>0</v>
      </c>
      <c r="Q7960" s="31" t="str">
        <f t="shared" si="497"/>
        <v/>
      </c>
      <c r="R7960" s="32" t="str">
        <f>IFERROR(VLOOKUP($D7960,'Informations sur les produits'!$A$3:$B$15000,2,FALSE),"")</f>
        <v/>
      </c>
      <c r="V7960">
        <f t="shared" si="498"/>
        <v>0</v>
      </c>
      <c r="W7960">
        <f t="shared" si="499"/>
        <v>0</v>
      </c>
    </row>
    <row r="7961" spans="5:23" x14ac:dyDescent="0.25">
      <c r="E7961" s="4"/>
      <c r="F7961" s="4"/>
      <c r="G7961" s="33" t="str">
        <f>IFERROR(VLOOKUP($D7961,'Informations sur les produits'!$A$3:$H$10000,8,FALSE),"0")</f>
        <v>0</v>
      </c>
      <c r="K7961" s="4"/>
      <c r="L7961" s="33" t="str">
        <f>IFERROR(VLOOKUP($J7961,'Informations sur les produits'!$A$3:$H$10000,8,FALSE),"0")</f>
        <v>0</v>
      </c>
      <c r="N7961" s="8"/>
      <c r="O7961" s="33" t="str">
        <f>IFERROR(VLOOKUP($M7961,'Informations sur les produits'!$A$3:$H$10000,8,FALSE),"0")</f>
        <v>0</v>
      </c>
      <c r="P7961" s="33">
        <f t="shared" si="496"/>
        <v>0</v>
      </c>
      <c r="Q7961" s="31" t="str">
        <f t="shared" si="497"/>
        <v/>
      </c>
      <c r="R7961" s="32" t="str">
        <f>IFERROR(VLOOKUP($D7961,'Informations sur les produits'!$A$3:$B$15000,2,FALSE),"")</f>
        <v/>
      </c>
      <c r="V7961">
        <f t="shared" si="498"/>
        <v>0</v>
      </c>
      <c r="W7961">
        <f t="shared" si="499"/>
        <v>0</v>
      </c>
    </row>
    <row r="7962" spans="5:23" x14ac:dyDescent="0.25">
      <c r="E7962" s="4"/>
      <c r="F7962" s="4"/>
      <c r="G7962" s="33" t="str">
        <f>IFERROR(VLOOKUP($D7962,'Informations sur les produits'!$A$3:$H$10000,8,FALSE),"0")</f>
        <v>0</v>
      </c>
      <c r="K7962" s="4"/>
      <c r="L7962" s="33" t="str">
        <f>IFERROR(VLOOKUP($J7962,'Informations sur les produits'!$A$3:$H$10000,8,FALSE),"0")</f>
        <v>0</v>
      </c>
      <c r="N7962" s="8"/>
      <c r="O7962" s="33" t="str">
        <f>IFERROR(VLOOKUP($M7962,'Informations sur les produits'!$A$3:$H$10000,8,FALSE),"0")</f>
        <v>0</v>
      </c>
      <c r="P7962" s="33">
        <f t="shared" si="496"/>
        <v>0</v>
      </c>
      <c r="Q7962" s="31" t="str">
        <f t="shared" si="497"/>
        <v/>
      </c>
      <c r="R7962" s="32" t="str">
        <f>IFERROR(VLOOKUP($D7962,'Informations sur les produits'!$A$3:$B$15000,2,FALSE),"")</f>
        <v/>
      </c>
      <c r="V7962">
        <f t="shared" si="498"/>
        <v>0</v>
      </c>
      <c r="W7962">
        <f t="shared" si="499"/>
        <v>0</v>
      </c>
    </row>
    <row r="7963" spans="5:23" x14ac:dyDescent="0.25">
      <c r="E7963" s="4"/>
      <c r="F7963" s="4"/>
      <c r="G7963" s="33" t="str">
        <f>IFERROR(VLOOKUP($D7963,'Informations sur les produits'!$A$3:$H$10000,8,FALSE),"0")</f>
        <v>0</v>
      </c>
      <c r="K7963" s="4"/>
      <c r="L7963" s="33" t="str">
        <f>IFERROR(VLOOKUP($J7963,'Informations sur les produits'!$A$3:$H$10000,8,FALSE),"0")</f>
        <v>0</v>
      </c>
      <c r="N7963" s="8"/>
      <c r="O7963" s="33" t="str">
        <f>IFERROR(VLOOKUP($M7963,'Informations sur les produits'!$A$3:$H$10000,8,FALSE),"0")</f>
        <v>0</v>
      </c>
      <c r="P7963" s="33">
        <f t="shared" si="496"/>
        <v>0</v>
      </c>
      <c r="Q7963" s="31" t="str">
        <f t="shared" si="497"/>
        <v/>
      </c>
      <c r="R7963" s="32" t="str">
        <f>IFERROR(VLOOKUP($D7963,'Informations sur les produits'!$A$3:$B$15000,2,FALSE),"")</f>
        <v/>
      </c>
      <c r="V7963">
        <f t="shared" si="498"/>
        <v>0</v>
      </c>
      <c r="W7963">
        <f t="shared" si="499"/>
        <v>0</v>
      </c>
    </row>
    <row r="7964" spans="5:23" x14ac:dyDescent="0.25">
      <c r="E7964" s="4"/>
      <c r="F7964" s="4"/>
      <c r="G7964" s="33" t="str">
        <f>IFERROR(VLOOKUP($D7964,'Informations sur les produits'!$A$3:$H$10000,8,FALSE),"0")</f>
        <v>0</v>
      </c>
      <c r="K7964" s="4"/>
      <c r="L7964" s="33" t="str">
        <f>IFERROR(VLOOKUP($J7964,'Informations sur les produits'!$A$3:$H$10000,8,FALSE),"0")</f>
        <v>0</v>
      </c>
      <c r="N7964" s="8"/>
      <c r="O7964" s="33" t="str">
        <f>IFERROR(VLOOKUP($M7964,'Informations sur les produits'!$A$3:$H$10000,8,FALSE),"0")</f>
        <v>0</v>
      </c>
      <c r="P7964" s="33">
        <f t="shared" si="496"/>
        <v>0</v>
      </c>
      <c r="Q7964" s="31" t="str">
        <f t="shared" si="497"/>
        <v/>
      </c>
      <c r="R7964" s="32" t="str">
        <f>IFERROR(VLOOKUP($D7964,'Informations sur les produits'!$A$3:$B$15000,2,FALSE),"")</f>
        <v/>
      </c>
      <c r="V7964">
        <f t="shared" si="498"/>
        <v>0</v>
      </c>
      <c r="W7964">
        <f t="shared" si="499"/>
        <v>0</v>
      </c>
    </row>
    <row r="7965" spans="5:23" x14ac:dyDescent="0.25">
      <c r="E7965" s="4"/>
      <c r="F7965" s="4"/>
      <c r="G7965" s="33" t="str">
        <f>IFERROR(VLOOKUP($D7965,'Informations sur les produits'!$A$3:$H$10000,8,FALSE),"0")</f>
        <v>0</v>
      </c>
      <c r="K7965" s="4"/>
      <c r="L7965" s="33" t="str">
        <f>IFERROR(VLOOKUP($J7965,'Informations sur les produits'!$A$3:$H$10000,8,FALSE),"0")</f>
        <v>0</v>
      </c>
      <c r="N7965" s="8"/>
      <c r="O7965" s="33" t="str">
        <f>IFERROR(VLOOKUP($M7965,'Informations sur les produits'!$A$3:$H$10000,8,FALSE),"0")</f>
        <v>0</v>
      </c>
      <c r="P7965" s="33">
        <f t="shared" si="496"/>
        <v>0</v>
      </c>
      <c r="Q7965" s="31" t="str">
        <f t="shared" si="497"/>
        <v/>
      </c>
      <c r="R7965" s="32" t="str">
        <f>IFERROR(VLOOKUP($D7965,'Informations sur les produits'!$A$3:$B$15000,2,FALSE),"")</f>
        <v/>
      </c>
      <c r="V7965">
        <f t="shared" si="498"/>
        <v>0</v>
      </c>
      <c r="W7965">
        <f t="shared" si="499"/>
        <v>0</v>
      </c>
    </row>
    <row r="7966" spans="5:23" x14ac:dyDescent="0.25">
      <c r="E7966" s="4"/>
      <c r="F7966" s="4"/>
      <c r="G7966" s="33" t="str">
        <f>IFERROR(VLOOKUP($D7966,'Informations sur les produits'!$A$3:$H$10000,8,FALSE),"0")</f>
        <v>0</v>
      </c>
      <c r="K7966" s="4"/>
      <c r="L7966" s="33" t="str">
        <f>IFERROR(VLOOKUP($J7966,'Informations sur les produits'!$A$3:$H$10000,8,FALSE),"0")</f>
        <v>0</v>
      </c>
      <c r="N7966" s="8"/>
      <c r="O7966" s="33" t="str">
        <f>IFERROR(VLOOKUP($M7966,'Informations sur les produits'!$A$3:$H$10000,8,FALSE),"0")</f>
        <v>0</v>
      </c>
      <c r="P7966" s="33">
        <f t="shared" si="496"/>
        <v>0</v>
      </c>
      <c r="Q7966" s="31" t="str">
        <f t="shared" si="497"/>
        <v/>
      </c>
      <c r="R7966" s="32" t="str">
        <f>IFERROR(VLOOKUP($D7966,'Informations sur les produits'!$A$3:$B$15000,2,FALSE),"")</f>
        <v/>
      </c>
      <c r="V7966">
        <f t="shared" si="498"/>
        <v>0</v>
      </c>
      <c r="W7966">
        <f t="shared" si="499"/>
        <v>0</v>
      </c>
    </row>
    <row r="7967" spans="5:23" x14ac:dyDescent="0.25">
      <c r="E7967" s="4"/>
      <c r="F7967" s="4"/>
      <c r="G7967" s="33" t="str">
        <f>IFERROR(VLOOKUP($D7967,'Informations sur les produits'!$A$3:$H$10000,8,FALSE),"0")</f>
        <v>0</v>
      </c>
      <c r="K7967" s="4"/>
      <c r="L7967" s="33" t="str">
        <f>IFERROR(VLOOKUP($J7967,'Informations sur les produits'!$A$3:$H$10000,8,FALSE),"0")</f>
        <v>0</v>
      </c>
      <c r="N7967" s="8"/>
      <c r="O7967" s="33" t="str">
        <f>IFERROR(VLOOKUP($M7967,'Informations sur les produits'!$A$3:$H$10000,8,FALSE),"0")</f>
        <v>0</v>
      </c>
      <c r="P7967" s="33">
        <f t="shared" si="496"/>
        <v>0</v>
      </c>
      <c r="Q7967" s="31" t="str">
        <f t="shared" si="497"/>
        <v/>
      </c>
      <c r="R7967" s="32" t="str">
        <f>IFERROR(VLOOKUP($D7967,'Informations sur les produits'!$A$3:$B$15000,2,FALSE),"")</f>
        <v/>
      </c>
      <c r="V7967">
        <f t="shared" si="498"/>
        <v>0</v>
      </c>
      <c r="W7967">
        <f t="shared" si="499"/>
        <v>0</v>
      </c>
    </row>
    <row r="7968" spans="5:23" x14ac:dyDescent="0.25">
      <c r="E7968" s="4"/>
      <c r="F7968" s="4"/>
      <c r="G7968" s="33" t="str">
        <f>IFERROR(VLOOKUP($D7968,'Informations sur les produits'!$A$3:$H$10000,8,FALSE),"0")</f>
        <v>0</v>
      </c>
      <c r="K7968" s="4"/>
      <c r="L7968" s="33" t="str">
        <f>IFERROR(VLOOKUP($J7968,'Informations sur les produits'!$A$3:$H$10000,8,FALSE),"0")</f>
        <v>0</v>
      </c>
      <c r="N7968" s="8"/>
      <c r="O7968" s="33" t="str">
        <f>IFERROR(VLOOKUP($M7968,'Informations sur les produits'!$A$3:$H$10000,8,FALSE),"0")</f>
        <v>0</v>
      </c>
      <c r="P7968" s="33">
        <f t="shared" si="496"/>
        <v>0</v>
      </c>
      <c r="Q7968" s="31" t="str">
        <f t="shared" si="497"/>
        <v/>
      </c>
      <c r="R7968" s="32" t="str">
        <f>IFERROR(VLOOKUP($D7968,'Informations sur les produits'!$A$3:$B$15000,2,FALSE),"")</f>
        <v/>
      </c>
      <c r="V7968">
        <f t="shared" si="498"/>
        <v>0</v>
      </c>
      <c r="W7968">
        <f t="shared" si="499"/>
        <v>0</v>
      </c>
    </row>
    <row r="7969" spans="5:23" x14ac:dyDescent="0.25">
      <c r="E7969" s="4"/>
      <c r="F7969" s="4"/>
      <c r="G7969" s="33" t="str">
        <f>IFERROR(VLOOKUP($D7969,'Informations sur les produits'!$A$3:$H$10000,8,FALSE),"0")</f>
        <v>0</v>
      </c>
      <c r="K7969" s="4"/>
      <c r="L7969" s="33" t="str">
        <f>IFERROR(VLOOKUP($J7969,'Informations sur les produits'!$A$3:$H$10000,8,FALSE),"0")</f>
        <v>0</v>
      </c>
      <c r="N7969" s="8"/>
      <c r="O7969" s="33" t="str">
        <f>IFERROR(VLOOKUP($M7969,'Informations sur les produits'!$A$3:$H$10000,8,FALSE),"0")</f>
        <v>0</v>
      </c>
      <c r="P7969" s="33">
        <f t="shared" si="496"/>
        <v>0</v>
      </c>
      <c r="Q7969" s="31" t="str">
        <f t="shared" si="497"/>
        <v/>
      </c>
      <c r="R7969" s="32" t="str">
        <f>IFERROR(VLOOKUP($D7969,'Informations sur les produits'!$A$3:$B$15000,2,FALSE),"")</f>
        <v/>
      </c>
      <c r="V7969">
        <f t="shared" si="498"/>
        <v>0</v>
      </c>
      <c r="W7969">
        <f t="shared" si="499"/>
        <v>0</v>
      </c>
    </row>
    <row r="7970" spans="5:23" x14ac:dyDescent="0.25">
      <c r="E7970" s="4"/>
      <c r="F7970" s="4"/>
      <c r="G7970" s="33" t="str">
        <f>IFERROR(VLOOKUP($D7970,'Informations sur les produits'!$A$3:$H$10000,8,FALSE),"0")</f>
        <v>0</v>
      </c>
      <c r="K7970" s="4"/>
      <c r="L7970" s="33" t="str">
        <f>IFERROR(VLOOKUP($J7970,'Informations sur les produits'!$A$3:$H$10000,8,FALSE),"0")</f>
        <v>0</v>
      </c>
      <c r="N7970" s="8"/>
      <c r="O7970" s="33" t="str">
        <f>IFERROR(VLOOKUP($M7970,'Informations sur les produits'!$A$3:$H$10000,8,FALSE),"0")</f>
        <v>0</v>
      </c>
      <c r="P7970" s="33">
        <f t="shared" si="496"/>
        <v>0</v>
      </c>
      <c r="Q7970" s="31" t="str">
        <f t="shared" si="497"/>
        <v/>
      </c>
      <c r="R7970" s="32" t="str">
        <f>IFERROR(VLOOKUP($D7970,'Informations sur les produits'!$A$3:$B$15000,2,FALSE),"")</f>
        <v/>
      </c>
      <c r="V7970">
        <f t="shared" si="498"/>
        <v>0</v>
      </c>
      <c r="W7970">
        <f t="shared" si="499"/>
        <v>0</v>
      </c>
    </row>
    <row r="7971" spans="5:23" x14ac:dyDescent="0.25">
      <c r="E7971" s="4"/>
      <c r="F7971" s="4"/>
      <c r="G7971" s="33" t="str">
        <f>IFERROR(VLOOKUP($D7971,'Informations sur les produits'!$A$3:$H$10000,8,FALSE),"0")</f>
        <v>0</v>
      </c>
      <c r="K7971" s="4"/>
      <c r="L7971" s="33" t="str">
        <f>IFERROR(VLOOKUP($J7971,'Informations sur les produits'!$A$3:$H$10000,8,FALSE),"0")</f>
        <v>0</v>
      </c>
      <c r="N7971" s="8"/>
      <c r="O7971" s="33" t="str">
        <f>IFERROR(VLOOKUP($M7971,'Informations sur les produits'!$A$3:$H$10000,8,FALSE),"0")</f>
        <v>0</v>
      </c>
      <c r="P7971" s="33">
        <f t="shared" si="496"/>
        <v>0</v>
      </c>
      <c r="Q7971" s="31" t="str">
        <f t="shared" si="497"/>
        <v/>
      </c>
      <c r="R7971" s="32" t="str">
        <f>IFERROR(VLOOKUP($D7971,'Informations sur les produits'!$A$3:$B$15000,2,FALSE),"")</f>
        <v/>
      </c>
      <c r="V7971">
        <f t="shared" si="498"/>
        <v>0</v>
      </c>
      <c r="W7971">
        <f t="shared" si="499"/>
        <v>0</v>
      </c>
    </row>
    <row r="7972" spans="5:23" x14ac:dyDescent="0.25">
      <c r="E7972" s="4"/>
      <c r="F7972" s="4"/>
      <c r="G7972" s="33" t="str">
        <f>IFERROR(VLOOKUP($D7972,'Informations sur les produits'!$A$3:$H$10000,8,FALSE),"0")</f>
        <v>0</v>
      </c>
      <c r="K7972" s="4"/>
      <c r="L7972" s="33" t="str">
        <f>IFERROR(VLOOKUP($J7972,'Informations sur les produits'!$A$3:$H$10000,8,FALSE),"0")</f>
        <v>0</v>
      </c>
      <c r="N7972" s="8"/>
      <c r="O7972" s="33" t="str">
        <f>IFERROR(VLOOKUP($M7972,'Informations sur les produits'!$A$3:$H$10000,8,FALSE),"0")</f>
        <v>0</v>
      </c>
      <c r="P7972" s="33">
        <f t="shared" si="496"/>
        <v>0</v>
      </c>
      <c r="Q7972" s="31" t="str">
        <f t="shared" si="497"/>
        <v/>
      </c>
      <c r="R7972" s="32" t="str">
        <f>IFERROR(VLOOKUP($D7972,'Informations sur les produits'!$A$3:$B$15000,2,FALSE),"")</f>
        <v/>
      </c>
      <c r="V7972">
        <f t="shared" si="498"/>
        <v>0</v>
      </c>
      <c r="W7972">
        <f t="shared" si="499"/>
        <v>0</v>
      </c>
    </row>
    <row r="7973" spans="5:23" x14ac:dyDescent="0.25">
      <c r="E7973" s="4"/>
      <c r="F7973" s="4"/>
      <c r="G7973" s="33" t="str">
        <f>IFERROR(VLOOKUP($D7973,'Informations sur les produits'!$A$3:$H$10000,8,FALSE),"0")</f>
        <v>0</v>
      </c>
      <c r="K7973" s="4"/>
      <c r="L7973" s="33" t="str">
        <f>IFERROR(VLOOKUP($J7973,'Informations sur les produits'!$A$3:$H$10000,8,FALSE),"0")</f>
        <v>0</v>
      </c>
      <c r="N7973" s="8"/>
      <c r="O7973" s="33" t="str">
        <f>IFERROR(VLOOKUP($M7973,'Informations sur les produits'!$A$3:$H$10000,8,FALSE),"0")</f>
        <v>0</v>
      </c>
      <c r="P7973" s="33">
        <f t="shared" si="496"/>
        <v>0</v>
      </c>
      <c r="Q7973" s="31" t="str">
        <f t="shared" si="497"/>
        <v/>
      </c>
      <c r="R7973" s="32" t="str">
        <f>IFERROR(VLOOKUP($D7973,'Informations sur les produits'!$A$3:$B$15000,2,FALSE),"")</f>
        <v/>
      </c>
      <c r="V7973">
        <f t="shared" si="498"/>
        <v>0</v>
      </c>
      <c r="W7973">
        <f t="shared" si="499"/>
        <v>0</v>
      </c>
    </row>
    <row r="7974" spans="5:23" x14ac:dyDescent="0.25">
      <c r="E7974" s="4"/>
      <c r="F7974" s="4"/>
      <c r="G7974" s="33" t="str">
        <f>IFERROR(VLOOKUP($D7974,'Informations sur les produits'!$A$3:$H$10000,8,FALSE),"0")</f>
        <v>0</v>
      </c>
      <c r="K7974" s="4"/>
      <c r="L7974" s="33" t="str">
        <f>IFERROR(VLOOKUP($J7974,'Informations sur les produits'!$A$3:$H$10000,8,FALSE),"0")</f>
        <v>0</v>
      </c>
      <c r="N7974" s="8"/>
      <c r="O7974" s="33" t="str">
        <f>IFERROR(VLOOKUP($M7974,'Informations sur les produits'!$A$3:$H$10000,8,FALSE),"0")</f>
        <v>0</v>
      </c>
      <c r="P7974" s="33">
        <f t="shared" si="496"/>
        <v>0</v>
      </c>
      <c r="Q7974" s="31" t="str">
        <f t="shared" si="497"/>
        <v/>
      </c>
      <c r="R7974" s="32" t="str">
        <f>IFERROR(VLOOKUP($D7974,'Informations sur les produits'!$A$3:$B$15000,2,FALSE),"")</f>
        <v/>
      </c>
      <c r="V7974">
        <f t="shared" si="498"/>
        <v>0</v>
      </c>
      <c r="W7974">
        <f t="shared" si="499"/>
        <v>0</v>
      </c>
    </row>
    <row r="7975" spans="5:23" x14ac:dyDescent="0.25">
      <c r="E7975" s="4"/>
      <c r="F7975" s="4"/>
      <c r="G7975" s="33" t="str">
        <f>IFERROR(VLOOKUP($D7975,'Informations sur les produits'!$A$3:$H$10000,8,FALSE),"0")</f>
        <v>0</v>
      </c>
      <c r="K7975" s="4"/>
      <c r="L7975" s="33" t="str">
        <f>IFERROR(VLOOKUP($J7975,'Informations sur les produits'!$A$3:$H$10000,8,FALSE),"0")</f>
        <v>0</v>
      </c>
      <c r="N7975" s="8"/>
      <c r="O7975" s="33" t="str">
        <f>IFERROR(VLOOKUP($M7975,'Informations sur les produits'!$A$3:$H$10000,8,FALSE),"0")</f>
        <v>0</v>
      </c>
      <c r="P7975" s="33">
        <f t="shared" si="496"/>
        <v>0</v>
      </c>
      <c r="Q7975" s="31" t="str">
        <f t="shared" si="497"/>
        <v/>
      </c>
      <c r="R7975" s="32" t="str">
        <f>IFERROR(VLOOKUP($D7975,'Informations sur les produits'!$A$3:$B$15000,2,FALSE),"")</f>
        <v/>
      </c>
      <c r="V7975">
        <f t="shared" si="498"/>
        <v>0</v>
      </c>
      <c r="W7975">
        <f t="shared" si="499"/>
        <v>0</v>
      </c>
    </row>
    <row r="7976" spans="5:23" x14ac:dyDescent="0.25">
      <c r="E7976" s="4"/>
      <c r="F7976" s="4"/>
      <c r="G7976" s="33" t="str">
        <f>IFERROR(VLOOKUP($D7976,'Informations sur les produits'!$A$3:$H$10000,8,FALSE),"0")</f>
        <v>0</v>
      </c>
      <c r="K7976" s="4"/>
      <c r="L7976" s="33" t="str">
        <f>IFERROR(VLOOKUP($J7976,'Informations sur les produits'!$A$3:$H$10000,8,FALSE),"0")</f>
        <v>0</v>
      </c>
      <c r="N7976" s="8"/>
      <c r="O7976" s="33" t="str">
        <f>IFERROR(VLOOKUP($M7976,'Informations sur les produits'!$A$3:$H$10000,8,FALSE),"0")</f>
        <v>0</v>
      </c>
      <c r="P7976" s="33">
        <f t="shared" si="496"/>
        <v>0</v>
      </c>
      <c r="Q7976" s="31" t="str">
        <f t="shared" si="497"/>
        <v/>
      </c>
      <c r="R7976" s="32" t="str">
        <f>IFERROR(VLOOKUP($D7976,'Informations sur les produits'!$A$3:$B$15000,2,FALSE),"")</f>
        <v/>
      </c>
      <c r="V7976">
        <f t="shared" si="498"/>
        <v>0</v>
      </c>
      <c r="W7976">
        <f t="shared" si="499"/>
        <v>0</v>
      </c>
    </row>
    <row r="7977" spans="5:23" x14ac:dyDescent="0.25">
      <c r="E7977" s="4"/>
      <c r="F7977" s="4"/>
      <c r="G7977" s="33" t="str">
        <f>IFERROR(VLOOKUP($D7977,'Informations sur les produits'!$A$3:$H$10000,8,FALSE),"0")</f>
        <v>0</v>
      </c>
      <c r="K7977" s="4"/>
      <c r="L7977" s="33" t="str">
        <f>IFERROR(VLOOKUP($J7977,'Informations sur les produits'!$A$3:$H$10000,8,FALSE),"0")</f>
        <v>0</v>
      </c>
      <c r="N7977" s="8"/>
      <c r="O7977" s="33" t="str">
        <f>IFERROR(VLOOKUP($M7977,'Informations sur les produits'!$A$3:$H$10000,8,FALSE),"0")</f>
        <v>0</v>
      </c>
      <c r="P7977" s="33">
        <f t="shared" si="496"/>
        <v>0</v>
      </c>
      <c r="Q7977" s="31" t="str">
        <f t="shared" si="497"/>
        <v/>
      </c>
      <c r="R7977" s="32" t="str">
        <f>IFERROR(VLOOKUP($D7977,'Informations sur les produits'!$A$3:$B$15000,2,FALSE),"")</f>
        <v/>
      </c>
      <c r="V7977">
        <f t="shared" si="498"/>
        <v>0</v>
      </c>
      <c r="W7977">
        <f t="shared" si="499"/>
        <v>0</v>
      </c>
    </row>
    <row r="7978" spans="5:23" x14ac:dyDescent="0.25">
      <c r="E7978" s="4"/>
      <c r="F7978" s="4"/>
      <c r="G7978" s="33" t="str">
        <f>IFERROR(VLOOKUP($D7978,'Informations sur les produits'!$A$3:$H$10000,8,FALSE),"0")</f>
        <v>0</v>
      </c>
      <c r="K7978" s="4"/>
      <c r="L7978" s="33" t="str">
        <f>IFERROR(VLOOKUP($J7978,'Informations sur les produits'!$A$3:$H$10000,8,FALSE),"0")</f>
        <v>0</v>
      </c>
      <c r="N7978" s="8"/>
      <c r="O7978" s="33" t="str">
        <f>IFERROR(VLOOKUP($M7978,'Informations sur les produits'!$A$3:$H$10000,8,FALSE),"0")</f>
        <v>0</v>
      </c>
      <c r="P7978" s="33">
        <f t="shared" si="496"/>
        <v>0</v>
      </c>
      <c r="Q7978" s="31" t="str">
        <f t="shared" si="497"/>
        <v/>
      </c>
      <c r="R7978" s="32" t="str">
        <f>IFERROR(VLOOKUP($D7978,'Informations sur les produits'!$A$3:$B$15000,2,FALSE),"")</f>
        <v/>
      </c>
      <c r="V7978">
        <f t="shared" si="498"/>
        <v>0</v>
      </c>
      <c r="W7978">
        <f t="shared" si="499"/>
        <v>0</v>
      </c>
    </row>
    <row r="7979" spans="5:23" x14ac:dyDescent="0.25">
      <c r="E7979" s="4"/>
      <c r="F7979" s="4"/>
      <c r="G7979" s="33" t="str">
        <f>IFERROR(VLOOKUP($D7979,'Informations sur les produits'!$A$3:$H$10000,8,FALSE),"0")</f>
        <v>0</v>
      </c>
      <c r="K7979" s="4"/>
      <c r="L7979" s="33" t="str">
        <f>IFERROR(VLOOKUP($J7979,'Informations sur les produits'!$A$3:$H$10000,8,FALSE),"0")</f>
        <v>0</v>
      </c>
      <c r="N7979" s="8"/>
      <c r="O7979" s="33" t="str">
        <f>IFERROR(VLOOKUP($M7979,'Informations sur les produits'!$A$3:$H$10000,8,FALSE),"0")</f>
        <v>0</v>
      </c>
      <c r="P7979" s="33">
        <f t="shared" si="496"/>
        <v>0</v>
      </c>
      <c r="Q7979" s="31" t="str">
        <f t="shared" si="497"/>
        <v/>
      </c>
      <c r="R7979" s="32" t="str">
        <f>IFERROR(VLOOKUP($D7979,'Informations sur les produits'!$A$3:$B$15000,2,FALSE),"")</f>
        <v/>
      </c>
      <c r="V7979">
        <f t="shared" si="498"/>
        <v>0</v>
      </c>
      <c r="W7979">
        <f t="shared" si="499"/>
        <v>0</v>
      </c>
    </row>
    <row r="7980" spans="5:23" x14ac:dyDescent="0.25">
      <c r="E7980" s="4"/>
      <c r="F7980" s="4"/>
      <c r="G7980" s="33" t="str">
        <f>IFERROR(VLOOKUP($D7980,'Informations sur les produits'!$A$3:$H$10000,8,FALSE),"0")</f>
        <v>0</v>
      </c>
      <c r="K7980" s="4"/>
      <c r="L7980" s="33" t="str">
        <f>IFERROR(VLOOKUP($J7980,'Informations sur les produits'!$A$3:$H$10000,8,FALSE),"0")</f>
        <v>0</v>
      </c>
      <c r="N7980" s="8"/>
      <c r="O7980" s="33" t="str">
        <f>IFERROR(VLOOKUP($M7980,'Informations sur les produits'!$A$3:$H$10000,8,FALSE),"0")</f>
        <v>0</v>
      </c>
      <c r="P7980" s="33">
        <f t="shared" si="496"/>
        <v>0</v>
      </c>
      <c r="Q7980" s="31" t="str">
        <f t="shared" si="497"/>
        <v/>
      </c>
      <c r="R7980" s="32" t="str">
        <f>IFERROR(VLOOKUP($D7980,'Informations sur les produits'!$A$3:$B$15000,2,FALSE),"")</f>
        <v/>
      </c>
      <c r="V7980">
        <f t="shared" si="498"/>
        <v>0</v>
      </c>
      <c r="W7980">
        <f t="shared" si="499"/>
        <v>0</v>
      </c>
    </row>
    <row r="7981" spans="5:23" x14ac:dyDescent="0.25">
      <c r="E7981" s="4"/>
      <c r="F7981" s="4"/>
      <c r="G7981" s="33" t="str">
        <f>IFERROR(VLOOKUP($D7981,'Informations sur les produits'!$A$3:$H$10000,8,FALSE),"0")</f>
        <v>0</v>
      </c>
      <c r="K7981" s="4"/>
      <c r="L7981" s="33" t="str">
        <f>IFERROR(VLOOKUP($J7981,'Informations sur les produits'!$A$3:$H$10000,8,FALSE),"0")</f>
        <v>0</v>
      </c>
      <c r="N7981" s="8"/>
      <c r="O7981" s="33" t="str">
        <f>IFERROR(VLOOKUP($M7981,'Informations sur les produits'!$A$3:$H$10000,8,FALSE),"0")</f>
        <v>0</v>
      </c>
      <c r="P7981" s="33">
        <f t="shared" si="496"/>
        <v>0</v>
      </c>
      <c r="Q7981" s="31" t="str">
        <f t="shared" si="497"/>
        <v/>
      </c>
      <c r="R7981" s="32" t="str">
        <f>IFERROR(VLOOKUP($D7981,'Informations sur les produits'!$A$3:$B$15000,2,FALSE),"")</f>
        <v/>
      </c>
      <c r="V7981">
        <f t="shared" si="498"/>
        <v>0</v>
      </c>
      <c r="W7981">
        <f t="shared" si="499"/>
        <v>0</v>
      </c>
    </row>
    <row r="7982" spans="5:23" x14ac:dyDescent="0.25">
      <c r="E7982" s="4"/>
      <c r="F7982" s="4"/>
      <c r="G7982" s="33" t="str">
        <f>IFERROR(VLOOKUP($D7982,'Informations sur les produits'!$A$3:$H$10000,8,FALSE),"0")</f>
        <v>0</v>
      </c>
      <c r="K7982" s="4"/>
      <c r="L7982" s="33" t="str">
        <f>IFERROR(VLOOKUP($J7982,'Informations sur les produits'!$A$3:$H$10000,8,FALSE),"0")</f>
        <v>0</v>
      </c>
      <c r="N7982" s="8"/>
      <c r="O7982" s="33" t="str">
        <f>IFERROR(VLOOKUP($M7982,'Informations sur les produits'!$A$3:$H$10000,8,FALSE),"0")</f>
        <v>0</v>
      </c>
      <c r="P7982" s="33">
        <f t="shared" si="496"/>
        <v>0</v>
      </c>
      <c r="Q7982" s="31" t="str">
        <f t="shared" si="497"/>
        <v/>
      </c>
      <c r="R7982" s="32" t="str">
        <f>IFERROR(VLOOKUP($D7982,'Informations sur les produits'!$A$3:$B$15000,2,FALSE),"")</f>
        <v/>
      </c>
      <c r="V7982">
        <f t="shared" si="498"/>
        <v>0</v>
      </c>
      <c r="W7982">
        <f t="shared" si="499"/>
        <v>0</v>
      </c>
    </row>
    <row r="7983" spans="5:23" x14ac:dyDescent="0.25">
      <c r="E7983" s="4"/>
      <c r="F7983" s="4"/>
      <c r="G7983" s="33" t="str">
        <f>IFERROR(VLOOKUP($D7983,'Informations sur les produits'!$A$3:$H$10000,8,FALSE),"0")</f>
        <v>0</v>
      </c>
      <c r="K7983" s="4"/>
      <c r="L7983" s="33" t="str">
        <f>IFERROR(VLOOKUP($J7983,'Informations sur les produits'!$A$3:$H$10000,8,FALSE),"0")</f>
        <v>0</v>
      </c>
      <c r="N7983" s="8"/>
      <c r="O7983" s="33" t="str">
        <f>IFERROR(VLOOKUP($M7983,'Informations sur les produits'!$A$3:$H$10000,8,FALSE),"0")</f>
        <v>0</v>
      </c>
      <c r="P7983" s="33">
        <f t="shared" si="496"/>
        <v>0</v>
      </c>
      <c r="Q7983" s="31" t="str">
        <f t="shared" si="497"/>
        <v/>
      </c>
      <c r="R7983" s="32" t="str">
        <f>IFERROR(VLOOKUP($D7983,'Informations sur les produits'!$A$3:$B$15000,2,FALSE),"")</f>
        <v/>
      </c>
      <c r="V7983">
        <f t="shared" si="498"/>
        <v>0</v>
      </c>
      <c r="W7983">
        <f t="shared" si="499"/>
        <v>0</v>
      </c>
    </row>
    <row r="7984" spans="5:23" x14ac:dyDescent="0.25">
      <c r="E7984" s="4"/>
      <c r="F7984" s="4"/>
      <c r="G7984" s="33" t="str">
        <f>IFERROR(VLOOKUP($D7984,'Informations sur les produits'!$A$3:$H$10000,8,FALSE),"0")</f>
        <v>0</v>
      </c>
      <c r="K7984" s="4"/>
      <c r="L7984" s="33" t="str">
        <f>IFERROR(VLOOKUP($J7984,'Informations sur les produits'!$A$3:$H$10000,8,FALSE),"0")</f>
        <v>0</v>
      </c>
      <c r="N7984" s="8"/>
      <c r="O7984" s="33" t="str">
        <f>IFERROR(VLOOKUP($M7984,'Informations sur les produits'!$A$3:$H$10000,8,FALSE),"0")</f>
        <v>0</v>
      </c>
      <c r="P7984" s="33">
        <f t="shared" si="496"/>
        <v>0</v>
      </c>
      <c r="Q7984" s="31" t="str">
        <f t="shared" si="497"/>
        <v/>
      </c>
      <c r="R7984" s="32" t="str">
        <f>IFERROR(VLOOKUP($D7984,'Informations sur les produits'!$A$3:$B$15000,2,FALSE),"")</f>
        <v/>
      </c>
      <c r="V7984">
        <f t="shared" si="498"/>
        <v>0</v>
      </c>
      <c r="W7984">
        <f t="shared" si="499"/>
        <v>0</v>
      </c>
    </row>
    <row r="7985" spans="5:23" x14ac:dyDescent="0.25">
      <c r="E7985" s="4"/>
      <c r="F7985" s="4"/>
      <c r="G7985" s="33" t="str">
        <f>IFERROR(VLOOKUP($D7985,'Informations sur les produits'!$A$3:$H$10000,8,FALSE),"0")</f>
        <v>0</v>
      </c>
      <c r="K7985" s="4"/>
      <c r="L7985" s="33" t="str">
        <f>IFERROR(VLOOKUP($J7985,'Informations sur les produits'!$A$3:$H$10000,8,FALSE),"0")</f>
        <v>0</v>
      </c>
      <c r="N7985" s="8"/>
      <c r="O7985" s="33" t="str">
        <f>IFERROR(VLOOKUP($M7985,'Informations sur les produits'!$A$3:$H$10000,8,FALSE),"0")</f>
        <v>0</v>
      </c>
      <c r="P7985" s="33">
        <f t="shared" si="496"/>
        <v>0</v>
      </c>
      <c r="Q7985" s="31" t="str">
        <f t="shared" si="497"/>
        <v/>
      </c>
      <c r="R7985" s="32" t="str">
        <f>IFERROR(VLOOKUP($D7985,'Informations sur les produits'!$A$3:$B$15000,2,FALSE),"")</f>
        <v/>
      </c>
      <c r="V7985">
        <f t="shared" si="498"/>
        <v>0</v>
      </c>
      <c r="W7985">
        <f t="shared" si="499"/>
        <v>0</v>
      </c>
    </row>
    <row r="7986" spans="5:23" x14ac:dyDescent="0.25">
      <c r="E7986" s="4"/>
      <c r="F7986" s="4"/>
      <c r="G7986" s="33" t="str">
        <f>IFERROR(VLOOKUP($D7986,'Informations sur les produits'!$A$3:$H$10000,8,FALSE),"0")</f>
        <v>0</v>
      </c>
      <c r="K7986" s="4"/>
      <c r="L7986" s="33" t="str">
        <f>IFERROR(VLOOKUP($J7986,'Informations sur les produits'!$A$3:$H$10000,8,FALSE),"0")</f>
        <v>0</v>
      </c>
      <c r="N7986" s="8"/>
      <c r="O7986" s="33" t="str">
        <f>IFERROR(VLOOKUP($M7986,'Informations sur les produits'!$A$3:$H$10000,8,FALSE),"0")</f>
        <v>0</v>
      </c>
      <c r="P7986" s="33">
        <f t="shared" si="496"/>
        <v>0</v>
      </c>
      <c r="Q7986" s="31" t="str">
        <f t="shared" si="497"/>
        <v/>
      </c>
      <c r="R7986" s="32" t="str">
        <f>IFERROR(VLOOKUP($D7986,'Informations sur les produits'!$A$3:$B$15000,2,FALSE),"")</f>
        <v/>
      </c>
      <c r="V7986">
        <f t="shared" si="498"/>
        <v>0</v>
      </c>
      <c r="W7986">
        <f t="shared" si="499"/>
        <v>0</v>
      </c>
    </row>
    <row r="7987" spans="5:23" x14ac:dyDescent="0.25">
      <c r="E7987" s="4"/>
      <c r="F7987" s="4"/>
      <c r="G7987" s="33" t="str">
        <f>IFERROR(VLOOKUP($D7987,'Informations sur les produits'!$A$3:$H$10000,8,FALSE),"0")</f>
        <v>0</v>
      </c>
      <c r="K7987" s="4"/>
      <c r="L7987" s="33" t="str">
        <f>IFERROR(VLOOKUP($J7987,'Informations sur les produits'!$A$3:$H$10000,8,FALSE),"0")</f>
        <v>0</v>
      </c>
      <c r="N7987" s="8"/>
      <c r="O7987" s="33" t="str">
        <f>IFERROR(VLOOKUP($M7987,'Informations sur les produits'!$A$3:$H$10000,8,FALSE),"0")</f>
        <v>0</v>
      </c>
      <c r="P7987" s="33">
        <f t="shared" si="496"/>
        <v>0</v>
      </c>
      <c r="Q7987" s="31" t="str">
        <f t="shared" si="497"/>
        <v/>
      </c>
      <c r="R7987" s="32" t="str">
        <f>IFERROR(VLOOKUP($D7987,'Informations sur les produits'!$A$3:$B$15000,2,FALSE),"")</f>
        <v/>
      </c>
      <c r="V7987">
        <f t="shared" si="498"/>
        <v>0</v>
      </c>
      <c r="W7987">
        <f t="shared" si="499"/>
        <v>0</v>
      </c>
    </row>
    <row r="7988" spans="5:23" x14ac:dyDescent="0.25">
      <c r="E7988" s="4"/>
      <c r="F7988" s="4"/>
      <c r="G7988" s="33" t="str">
        <f>IFERROR(VLOOKUP($D7988,'Informations sur les produits'!$A$3:$H$10000,8,FALSE),"0")</f>
        <v>0</v>
      </c>
      <c r="K7988" s="4"/>
      <c r="L7988" s="33" t="str">
        <f>IFERROR(VLOOKUP($J7988,'Informations sur les produits'!$A$3:$H$10000,8,FALSE),"0")</f>
        <v>0</v>
      </c>
      <c r="N7988" s="8"/>
      <c r="O7988" s="33" t="str">
        <f>IFERROR(VLOOKUP($M7988,'Informations sur les produits'!$A$3:$H$10000,8,FALSE),"0")</f>
        <v>0</v>
      </c>
      <c r="P7988" s="33">
        <f t="shared" si="496"/>
        <v>0</v>
      </c>
      <c r="Q7988" s="31" t="str">
        <f t="shared" si="497"/>
        <v/>
      </c>
      <c r="R7988" s="32" t="str">
        <f>IFERROR(VLOOKUP($D7988,'Informations sur les produits'!$A$3:$B$15000,2,FALSE),"")</f>
        <v/>
      </c>
      <c r="V7988">
        <f t="shared" si="498"/>
        <v>0</v>
      </c>
      <c r="W7988">
        <f t="shared" si="499"/>
        <v>0</v>
      </c>
    </row>
    <row r="7989" spans="5:23" x14ac:dyDescent="0.25">
      <c r="E7989" s="4"/>
      <c r="F7989" s="4"/>
      <c r="G7989" s="33" t="str">
        <f>IFERROR(VLOOKUP($D7989,'Informations sur les produits'!$A$3:$H$10000,8,FALSE),"0")</f>
        <v>0</v>
      </c>
      <c r="K7989" s="4"/>
      <c r="L7989" s="33" t="str">
        <f>IFERROR(VLOOKUP($J7989,'Informations sur les produits'!$A$3:$H$10000,8,FALSE),"0")</f>
        <v>0</v>
      </c>
      <c r="N7989" s="8"/>
      <c r="O7989" s="33" t="str">
        <f>IFERROR(VLOOKUP($M7989,'Informations sur les produits'!$A$3:$H$10000,8,FALSE),"0")</f>
        <v>0</v>
      </c>
      <c r="P7989" s="33">
        <f t="shared" si="496"/>
        <v>0</v>
      </c>
      <c r="Q7989" s="31" t="str">
        <f t="shared" si="497"/>
        <v/>
      </c>
      <c r="R7989" s="32" t="str">
        <f>IFERROR(VLOOKUP($D7989,'Informations sur les produits'!$A$3:$B$15000,2,FALSE),"")</f>
        <v/>
      </c>
      <c r="V7989">
        <f t="shared" si="498"/>
        <v>0</v>
      </c>
      <c r="W7989">
        <f t="shared" si="499"/>
        <v>0</v>
      </c>
    </row>
    <row r="7990" spans="5:23" x14ac:dyDescent="0.25">
      <c r="E7990" s="4"/>
      <c r="F7990" s="4"/>
      <c r="G7990" s="33" t="str">
        <f>IFERROR(VLOOKUP($D7990,'Informations sur les produits'!$A$3:$H$10000,8,FALSE),"0")</f>
        <v>0</v>
      </c>
      <c r="K7990" s="4"/>
      <c r="L7990" s="33" t="str">
        <f>IFERROR(VLOOKUP($J7990,'Informations sur les produits'!$A$3:$H$10000,8,FALSE),"0")</f>
        <v>0</v>
      </c>
      <c r="N7990" s="8"/>
      <c r="O7990" s="33" t="str">
        <f>IFERROR(VLOOKUP($M7990,'Informations sur les produits'!$A$3:$H$10000,8,FALSE),"0")</f>
        <v>0</v>
      </c>
      <c r="P7990" s="33">
        <f t="shared" si="496"/>
        <v>0</v>
      </c>
      <c r="Q7990" s="31" t="str">
        <f t="shared" si="497"/>
        <v/>
      </c>
      <c r="R7990" s="32" t="str">
        <f>IFERROR(VLOOKUP($D7990,'Informations sur les produits'!$A$3:$B$15000,2,FALSE),"")</f>
        <v/>
      </c>
      <c r="V7990">
        <f t="shared" si="498"/>
        <v>0</v>
      </c>
      <c r="W7990">
        <f t="shared" si="499"/>
        <v>0</v>
      </c>
    </row>
    <row r="7991" spans="5:23" x14ac:dyDescent="0.25">
      <c r="E7991" s="4"/>
      <c r="F7991" s="4"/>
      <c r="G7991" s="33" t="str">
        <f>IFERROR(VLOOKUP($D7991,'Informations sur les produits'!$A$3:$H$10000,8,FALSE),"0")</f>
        <v>0</v>
      </c>
      <c r="K7991" s="4"/>
      <c r="L7991" s="33" t="str">
        <f>IFERROR(VLOOKUP($J7991,'Informations sur les produits'!$A$3:$H$10000,8,FALSE),"0")</f>
        <v>0</v>
      </c>
      <c r="N7991" s="8"/>
      <c r="O7991" s="33" t="str">
        <f>IFERROR(VLOOKUP($M7991,'Informations sur les produits'!$A$3:$H$10000,8,FALSE),"0")</f>
        <v>0</v>
      </c>
      <c r="P7991" s="33">
        <f t="shared" si="496"/>
        <v>0</v>
      </c>
      <c r="Q7991" s="31" t="str">
        <f t="shared" si="497"/>
        <v/>
      </c>
      <c r="R7991" s="32" t="str">
        <f>IFERROR(VLOOKUP($D7991,'Informations sur les produits'!$A$3:$B$15000,2,FALSE),"")</f>
        <v/>
      </c>
      <c r="V7991">
        <f t="shared" si="498"/>
        <v>0</v>
      </c>
      <c r="W7991">
        <f t="shared" si="499"/>
        <v>0</v>
      </c>
    </row>
    <row r="7992" spans="5:23" x14ac:dyDescent="0.25">
      <c r="E7992" s="4"/>
      <c r="F7992" s="4"/>
      <c r="G7992" s="33" t="str">
        <f>IFERROR(VLOOKUP($D7992,'Informations sur les produits'!$A$3:$H$10000,8,FALSE),"0")</f>
        <v>0</v>
      </c>
      <c r="K7992" s="4"/>
      <c r="L7992" s="33" t="str">
        <f>IFERROR(VLOOKUP($J7992,'Informations sur les produits'!$A$3:$H$10000,8,FALSE),"0")</f>
        <v>0</v>
      </c>
      <c r="N7992" s="8"/>
      <c r="O7992" s="33" t="str">
        <f>IFERROR(VLOOKUP($M7992,'Informations sur les produits'!$A$3:$H$10000,8,FALSE),"0")</f>
        <v>0</v>
      </c>
      <c r="P7992" s="33">
        <f t="shared" si="496"/>
        <v>0</v>
      </c>
      <c r="Q7992" s="31" t="str">
        <f t="shared" si="497"/>
        <v/>
      </c>
      <c r="R7992" s="32" t="str">
        <f>IFERROR(VLOOKUP($D7992,'Informations sur les produits'!$A$3:$B$15000,2,FALSE),"")</f>
        <v/>
      </c>
      <c r="V7992">
        <f t="shared" si="498"/>
        <v>0</v>
      </c>
      <c r="W7992">
        <f t="shared" si="499"/>
        <v>0</v>
      </c>
    </row>
    <row r="7993" spans="5:23" x14ac:dyDescent="0.25">
      <c r="E7993" s="4"/>
      <c r="F7993" s="4"/>
      <c r="G7993" s="33" t="str">
        <f>IFERROR(VLOOKUP($D7993,'Informations sur les produits'!$A$3:$H$10000,8,FALSE),"0")</f>
        <v>0</v>
      </c>
      <c r="K7993" s="4"/>
      <c r="L7993" s="33" t="str">
        <f>IFERROR(VLOOKUP($J7993,'Informations sur les produits'!$A$3:$H$10000,8,FALSE),"0")</f>
        <v>0</v>
      </c>
      <c r="N7993" s="8"/>
      <c r="O7993" s="33" t="str">
        <f>IFERROR(VLOOKUP($M7993,'Informations sur les produits'!$A$3:$H$10000,8,FALSE),"0")</f>
        <v>0</v>
      </c>
      <c r="P7993" s="33">
        <f t="shared" si="496"/>
        <v>0</v>
      </c>
      <c r="Q7993" s="31" t="str">
        <f t="shared" si="497"/>
        <v/>
      </c>
      <c r="R7993" s="32" t="str">
        <f>IFERROR(VLOOKUP($D7993,'Informations sur les produits'!$A$3:$B$15000,2,FALSE),"")</f>
        <v/>
      </c>
      <c r="V7993">
        <f t="shared" si="498"/>
        <v>0</v>
      </c>
      <c r="W7993">
        <f t="shared" si="499"/>
        <v>0</v>
      </c>
    </row>
    <row r="7994" spans="5:23" x14ac:dyDescent="0.25">
      <c r="E7994" s="4"/>
      <c r="F7994" s="4"/>
      <c r="G7994" s="33" t="str">
        <f>IFERROR(VLOOKUP($D7994,'Informations sur les produits'!$A$3:$H$10000,8,FALSE),"0")</f>
        <v>0</v>
      </c>
      <c r="K7994" s="4"/>
      <c r="L7994" s="33" t="str">
        <f>IFERROR(VLOOKUP($J7994,'Informations sur les produits'!$A$3:$H$10000,8,FALSE),"0")</f>
        <v>0</v>
      </c>
      <c r="N7994" s="8"/>
      <c r="O7994" s="33" t="str">
        <f>IFERROR(VLOOKUP($M7994,'Informations sur les produits'!$A$3:$H$10000,8,FALSE),"0")</f>
        <v>0</v>
      </c>
      <c r="P7994" s="33">
        <f t="shared" si="496"/>
        <v>0</v>
      </c>
      <c r="Q7994" s="31" t="str">
        <f t="shared" si="497"/>
        <v/>
      </c>
      <c r="R7994" s="32" t="str">
        <f>IFERROR(VLOOKUP($D7994,'Informations sur les produits'!$A$3:$B$15000,2,FALSE),"")</f>
        <v/>
      </c>
      <c r="V7994">
        <f t="shared" si="498"/>
        <v>0</v>
      </c>
      <c r="W7994">
        <f t="shared" si="499"/>
        <v>0</v>
      </c>
    </row>
    <row r="7995" spans="5:23" x14ac:dyDescent="0.25">
      <c r="E7995" s="4"/>
      <c r="F7995" s="4"/>
      <c r="G7995" s="33" t="str">
        <f>IFERROR(VLOOKUP($D7995,'Informations sur les produits'!$A$3:$H$10000,8,FALSE),"0")</f>
        <v>0</v>
      </c>
      <c r="K7995" s="4"/>
      <c r="L7995" s="33" t="str">
        <f>IFERROR(VLOOKUP($J7995,'Informations sur les produits'!$A$3:$H$10000,8,FALSE),"0")</f>
        <v>0</v>
      </c>
      <c r="N7995" s="8"/>
      <c r="O7995" s="33" t="str">
        <f>IFERROR(VLOOKUP($M7995,'Informations sur les produits'!$A$3:$H$10000,8,FALSE),"0")</f>
        <v>0</v>
      </c>
      <c r="P7995" s="33">
        <f t="shared" si="496"/>
        <v>0</v>
      </c>
      <c r="Q7995" s="31" t="str">
        <f t="shared" si="497"/>
        <v/>
      </c>
      <c r="R7995" s="32" t="str">
        <f>IFERROR(VLOOKUP($D7995,'Informations sur les produits'!$A$3:$B$15000,2,FALSE),"")</f>
        <v/>
      </c>
      <c r="V7995">
        <f t="shared" si="498"/>
        <v>0</v>
      </c>
      <c r="W7995">
        <f t="shared" si="499"/>
        <v>0</v>
      </c>
    </row>
    <row r="7996" spans="5:23" x14ac:dyDescent="0.25">
      <c r="E7996" s="4"/>
      <c r="F7996" s="4"/>
      <c r="G7996" s="33" t="str">
        <f>IFERROR(VLOOKUP($D7996,'Informations sur les produits'!$A$3:$H$10000,8,FALSE),"0")</f>
        <v>0</v>
      </c>
      <c r="K7996" s="4"/>
      <c r="L7996" s="33" t="str">
        <f>IFERROR(VLOOKUP($J7996,'Informations sur les produits'!$A$3:$H$10000,8,FALSE),"0")</f>
        <v>0</v>
      </c>
      <c r="N7996" s="8"/>
      <c r="O7996" s="33" t="str">
        <f>IFERROR(VLOOKUP($M7996,'Informations sur les produits'!$A$3:$H$10000,8,FALSE),"0")</f>
        <v>0</v>
      </c>
      <c r="P7996" s="33">
        <f t="shared" si="496"/>
        <v>0</v>
      </c>
      <c r="Q7996" s="31" t="str">
        <f t="shared" si="497"/>
        <v/>
      </c>
      <c r="R7996" s="32" t="str">
        <f>IFERROR(VLOOKUP($D7996,'Informations sur les produits'!$A$3:$B$15000,2,FALSE),"")</f>
        <v/>
      </c>
      <c r="V7996">
        <f t="shared" si="498"/>
        <v>0</v>
      </c>
      <c r="W7996">
        <f t="shared" si="499"/>
        <v>0</v>
      </c>
    </row>
    <row r="7997" spans="5:23" x14ac:dyDescent="0.25">
      <c r="E7997" s="4"/>
      <c r="F7997" s="4"/>
      <c r="G7997" s="33" t="str">
        <f>IFERROR(VLOOKUP($D7997,'Informations sur les produits'!$A$3:$H$10000,8,FALSE),"0")</f>
        <v>0</v>
      </c>
      <c r="K7997" s="4"/>
      <c r="L7997" s="33" t="str">
        <f>IFERROR(VLOOKUP($J7997,'Informations sur les produits'!$A$3:$H$10000,8,FALSE),"0")</f>
        <v>0</v>
      </c>
      <c r="N7997" s="8"/>
      <c r="O7997" s="33" t="str">
        <f>IFERROR(VLOOKUP($M7997,'Informations sur les produits'!$A$3:$H$10000,8,FALSE),"0")</f>
        <v>0</v>
      </c>
      <c r="P7997" s="33">
        <f t="shared" si="496"/>
        <v>0</v>
      </c>
      <c r="Q7997" s="31" t="str">
        <f t="shared" si="497"/>
        <v/>
      </c>
      <c r="R7997" s="32" t="str">
        <f>IFERROR(VLOOKUP($D7997,'Informations sur les produits'!$A$3:$B$15000,2,FALSE),"")</f>
        <v/>
      </c>
      <c r="V7997">
        <f t="shared" si="498"/>
        <v>0</v>
      </c>
      <c r="W7997">
        <f t="shared" si="499"/>
        <v>0</v>
      </c>
    </row>
    <row r="7998" spans="5:23" x14ac:dyDescent="0.25">
      <c r="E7998" s="4"/>
      <c r="F7998" s="4"/>
      <c r="G7998" s="33" t="str">
        <f>IFERROR(VLOOKUP($D7998,'Informations sur les produits'!$A$3:$H$10000,8,FALSE),"0")</f>
        <v>0</v>
      </c>
      <c r="K7998" s="4"/>
      <c r="L7998" s="33" t="str">
        <f>IFERROR(VLOOKUP($J7998,'Informations sur les produits'!$A$3:$H$10000,8,FALSE),"0")</f>
        <v>0</v>
      </c>
      <c r="N7998" s="8"/>
      <c r="O7998" s="33" t="str">
        <f>IFERROR(VLOOKUP($M7998,'Informations sur les produits'!$A$3:$H$10000,8,FALSE),"0")</f>
        <v>0</v>
      </c>
      <c r="P7998" s="33">
        <f t="shared" si="496"/>
        <v>0</v>
      </c>
      <c r="Q7998" s="31" t="str">
        <f t="shared" si="497"/>
        <v/>
      </c>
      <c r="R7998" s="32" t="str">
        <f>IFERROR(VLOOKUP($D7998,'Informations sur les produits'!$A$3:$B$15000,2,FALSE),"")</f>
        <v/>
      </c>
      <c r="V7998">
        <f t="shared" si="498"/>
        <v>0</v>
      </c>
      <c r="W7998">
        <f t="shared" si="499"/>
        <v>0</v>
      </c>
    </row>
    <row r="7999" spans="5:23" x14ac:dyDescent="0.25">
      <c r="E7999" s="4"/>
      <c r="F7999" s="4"/>
      <c r="G7999" s="33" t="str">
        <f>IFERROR(VLOOKUP($D7999,'Informations sur les produits'!$A$3:$H$10000,8,FALSE),"0")</f>
        <v>0</v>
      </c>
      <c r="K7999" s="4"/>
      <c r="L7999" s="33" t="str">
        <f>IFERROR(VLOOKUP($J7999,'Informations sur les produits'!$A$3:$H$10000,8,FALSE),"0")</f>
        <v>0</v>
      </c>
      <c r="N7999" s="8"/>
      <c r="O7999" s="33" t="str">
        <f>IFERROR(VLOOKUP($M7999,'Informations sur les produits'!$A$3:$H$10000,8,FALSE),"0")</f>
        <v>0</v>
      </c>
      <c r="P7999" s="33">
        <f t="shared" si="496"/>
        <v>0</v>
      </c>
      <c r="Q7999" s="31" t="str">
        <f t="shared" si="497"/>
        <v/>
      </c>
      <c r="R7999" s="32" t="str">
        <f>IFERROR(VLOOKUP($D7999,'Informations sur les produits'!$A$3:$B$15000,2,FALSE),"")</f>
        <v/>
      </c>
      <c r="V7999">
        <f t="shared" si="498"/>
        <v>0</v>
      </c>
      <c r="W7999">
        <f t="shared" si="499"/>
        <v>0</v>
      </c>
    </row>
    <row r="8000" spans="5:23" x14ac:dyDescent="0.25">
      <c r="E8000" s="4"/>
      <c r="F8000" s="4"/>
      <c r="G8000" s="33" t="str">
        <f>IFERROR(VLOOKUP($D8000,'Informations sur les produits'!$A$3:$H$10000,8,FALSE),"0")</f>
        <v>0</v>
      </c>
      <c r="K8000" s="4"/>
      <c r="L8000" s="33" t="str">
        <f>IFERROR(VLOOKUP($J8000,'Informations sur les produits'!$A$3:$H$10000,8,FALSE),"0")</f>
        <v>0</v>
      </c>
      <c r="N8000" s="8"/>
      <c r="O8000" s="33" t="str">
        <f>IFERROR(VLOOKUP($M8000,'Informations sur les produits'!$A$3:$H$10000,8,FALSE),"0")</f>
        <v>0</v>
      </c>
      <c r="P8000" s="33">
        <f t="shared" si="496"/>
        <v>0</v>
      </c>
      <c r="Q8000" s="31" t="str">
        <f t="shared" si="497"/>
        <v/>
      </c>
      <c r="R8000" s="32" t="str">
        <f>IFERROR(VLOOKUP($D8000,'Informations sur les produits'!$A$3:$B$15000,2,FALSE),"")</f>
        <v/>
      </c>
      <c r="V8000">
        <f t="shared" si="498"/>
        <v>0</v>
      </c>
      <c r="W8000">
        <f t="shared" si="499"/>
        <v>0</v>
      </c>
    </row>
    <row r="8001" spans="5:23" x14ac:dyDescent="0.25">
      <c r="E8001" s="4"/>
      <c r="F8001" s="4"/>
      <c r="G8001" s="33" t="str">
        <f>IFERROR(VLOOKUP($D8001,'Informations sur les produits'!$A$3:$H$10000,8,FALSE),"0")</f>
        <v>0</v>
      </c>
      <c r="K8001" s="4"/>
      <c r="L8001" s="33" t="str">
        <f>IFERROR(VLOOKUP($J8001,'Informations sur les produits'!$A$3:$H$10000,8,FALSE),"0")</f>
        <v>0</v>
      </c>
      <c r="N8001" s="8"/>
      <c r="O8001" s="33" t="str">
        <f>IFERROR(VLOOKUP($M8001,'Informations sur les produits'!$A$3:$H$10000,8,FALSE),"0")</f>
        <v>0</v>
      </c>
      <c r="P8001" s="33">
        <f t="shared" si="496"/>
        <v>0</v>
      </c>
      <c r="Q8001" s="31" t="str">
        <f t="shared" si="497"/>
        <v/>
      </c>
      <c r="R8001" s="32" t="str">
        <f>IFERROR(VLOOKUP($D8001,'Informations sur les produits'!$A$3:$B$15000,2,FALSE),"")</f>
        <v/>
      </c>
      <c r="V8001">
        <f t="shared" si="498"/>
        <v>0</v>
      </c>
      <c r="W8001">
        <f t="shared" si="499"/>
        <v>0</v>
      </c>
    </row>
    <row r="8002" spans="5:23" x14ac:dyDescent="0.25">
      <c r="E8002" s="4"/>
      <c r="F8002" s="4"/>
      <c r="G8002" s="33" t="str">
        <f>IFERROR(VLOOKUP($D8002,'Informations sur les produits'!$A$3:$H$10000,8,FALSE),"0")</f>
        <v>0</v>
      </c>
      <c r="K8002" s="4"/>
      <c r="L8002" s="33" t="str">
        <f>IFERROR(VLOOKUP($J8002,'Informations sur les produits'!$A$3:$H$10000,8,FALSE),"0")</f>
        <v>0</v>
      </c>
      <c r="N8002" s="8"/>
      <c r="O8002" s="33" t="str">
        <f>IFERROR(VLOOKUP($M8002,'Informations sur les produits'!$A$3:$H$10000,8,FALSE),"0")</f>
        <v>0</v>
      </c>
      <c r="P8002" s="33">
        <f t="shared" si="496"/>
        <v>0</v>
      </c>
      <c r="Q8002" s="31" t="str">
        <f t="shared" si="497"/>
        <v/>
      </c>
      <c r="R8002" s="32" t="str">
        <f>IFERROR(VLOOKUP($D8002,'Informations sur les produits'!$A$3:$B$15000,2,FALSE),"")</f>
        <v/>
      </c>
      <c r="V8002">
        <f t="shared" si="498"/>
        <v>0</v>
      </c>
      <c r="W8002">
        <f t="shared" si="499"/>
        <v>0</v>
      </c>
    </row>
    <row r="8003" spans="5:23" x14ac:dyDescent="0.25">
      <c r="E8003" s="4"/>
      <c r="F8003" s="4"/>
      <c r="G8003" s="33" t="str">
        <f>IFERROR(VLOOKUP($D8003,'Informations sur les produits'!$A$3:$H$10000,8,FALSE),"0")</f>
        <v>0</v>
      </c>
      <c r="K8003" s="4"/>
      <c r="L8003" s="33" t="str">
        <f>IFERROR(VLOOKUP($J8003,'Informations sur les produits'!$A$3:$H$10000,8,FALSE),"0")</f>
        <v>0</v>
      </c>
      <c r="N8003" s="8"/>
      <c r="O8003" s="33" t="str">
        <f>IFERROR(VLOOKUP($M8003,'Informations sur les produits'!$A$3:$H$10000,8,FALSE),"0")</f>
        <v>0</v>
      </c>
      <c r="P8003" s="33">
        <f t="shared" si="496"/>
        <v>0</v>
      </c>
      <c r="Q8003" s="31" t="str">
        <f t="shared" si="497"/>
        <v/>
      </c>
      <c r="R8003" s="32" t="str">
        <f>IFERROR(VLOOKUP($D8003,'Informations sur les produits'!$A$3:$B$15000,2,FALSE),"")</f>
        <v/>
      </c>
      <c r="V8003">
        <f t="shared" si="498"/>
        <v>0</v>
      </c>
      <c r="W8003">
        <f t="shared" si="499"/>
        <v>0</v>
      </c>
    </row>
    <row r="8004" spans="5:23" x14ac:dyDescent="0.25">
      <c r="E8004" s="4"/>
      <c r="F8004" s="4"/>
      <c r="G8004" s="33" t="str">
        <f>IFERROR(VLOOKUP($D8004,'Informations sur les produits'!$A$3:$H$10000,8,FALSE),"0")</f>
        <v>0</v>
      </c>
      <c r="K8004" s="4"/>
      <c r="L8004" s="33" t="str">
        <f>IFERROR(VLOOKUP($J8004,'Informations sur les produits'!$A$3:$H$10000,8,FALSE),"0")</f>
        <v>0</v>
      </c>
      <c r="N8004" s="8"/>
      <c r="O8004" s="33" t="str">
        <f>IFERROR(VLOOKUP($M8004,'Informations sur les produits'!$A$3:$H$10000,8,FALSE),"0")</f>
        <v>0</v>
      </c>
      <c r="P8004" s="33">
        <f t="shared" ref="P8004:P8067" si="500">IFERROR((($E8004-$F8004)*$G8004+$K8004*$L8004+$N8004*$O8004),"")</f>
        <v>0</v>
      </c>
      <c r="Q8004" s="31" t="str">
        <f t="shared" ref="Q8004:Q8067" si="501">IFERROR((((($E8004-$F8004)*$G8004+$K8004*$L8004+$N8004*$O8004)*1000)/(($E8004-$F8004)+$K8004+$N8004)),"")</f>
        <v/>
      </c>
      <c r="R8004" s="32" t="str">
        <f>IFERROR(VLOOKUP($D8004,'Informations sur les produits'!$A$3:$B$15000,2,FALSE),"")</f>
        <v/>
      </c>
      <c r="V8004">
        <f t="shared" ref="V8004:V8067" si="502">IFERROR(P8004*1000,"")</f>
        <v>0</v>
      </c>
      <c r="W8004">
        <f t="shared" ref="W8004:W8067" si="503">IFERROR(($E8004-$F8004)+$K8004+$N8004,"")</f>
        <v>0</v>
      </c>
    </row>
    <row r="8005" spans="5:23" x14ac:dyDescent="0.25">
      <c r="E8005" s="4"/>
      <c r="F8005" s="4"/>
      <c r="G8005" s="33" t="str">
        <f>IFERROR(VLOOKUP($D8005,'Informations sur les produits'!$A$3:$H$10000,8,FALSE),"0")</f>
        <v>0</v>
      </c>
      <c r="K8005" s="4"/>
      <c r="L8005" s="33" t="str">
        <f>IFERROR(VLOOKUP($J8005,'Informations sur les produits'!$A$3:$H$10000,8,FALSE),"0")</f>
        <v>0</v>
      </c>
      <c r="N8005" s="8"/>
      <c r="O8005" s="33" t="str">
        <f>IFERROR(VLOOKUP($M8005,'Informations sur les produits'!$A$3:$H$10000,8,FALSE),"0")</f>
        <v>0</v>
      </c>
      <c r="P8005" s="33">
        <f t="shared" si="500"/>
        <v>0</v>
      </c>
      <c r="Q8005" s="31" t="str">
        <f t="shared" si="501"/>
        <v/>
      </c>
      <c r="R8005" s="32" t="str">
        <f>IFERROR(VLOOKUP($D8005,'Informations sur les produits'!$A$3:$B$15000,2,FALSE),"")</f>
        <v/>
      </c>
      <c r="V8005">
        <f t="shared" si="502"/>
        <v>0</v>
      </c>
      <c r="W8005">
        <f t="shared" si="503"/>
        <v>0</v>
      </c>
    </row>
    <row r="8006" spans="5:23" x14ac:dyDescent="0.25">
      <c r="E8006" s="4"/>
      <c r="F8006" s="4"/>
      <c r="G8006" s="33" t="str">
        <f>IFERROR(VLOOKUP($D8006,'Informations sur les produits'!$A$3:$H$10000,8,FALSE),"0")</f>
        <v>0</v>
      </c>
      <c r="K8006" s="4"/>
      <c r="L8006" s="33" t="str">
        <f>IFERROR(VLOOKUP($J8006,'Informations sur les produits'!$A$3:$H$10000,8,FALSE),"0")</f>
        <v>0</v>
      </c>
      <c r="N8006" s="8"/>
      <c r="O8006" s="33" t="str">
        <f>IFERROR(VLOOKUP($M8006,'Informations sur les produits'!$A$3:$H$10000,8,FALSE),"0")</f>
        <v>0</v>
      </c>
      <c r="P8006" s="33">
        <f t="shared" si="500"/>
        <v>0</v>
      </c>
      <c r="Q8006" s="31" t="str">
        <f t="shared" si="501"/>
        <v/>
      </c>
      <c r="R8006" s="32" t="str">
        <f>IFERROR(VLOOKUP($D8006,'Informations sur les produits'!$A$3:$B$15000,2,FALSE),"")</f>
        <v/>
      </c>
      <c r="V8006">
        <f t="shared" si="502"/>
        <v>0</v>
      </c>
      <c r="W8006">
        <f t="shared" si="503"/>
        <v>0</v>
      </c>
    </row>
    <row r="8007" spans="5:23" x14ac:dyDescent="0.25">
      <c r="E8007" s="4"/>
      <c r="F8007" s="4"/>
      <c r="G8007" s="33" t="str">
        <f>IFERROR(VLOOKUP($D8007,'Informations sur les produits'!$A$3:$H$10000,8,FALSE),"0")</f>
        <v>0</v>
      </c>
      <c r="K8007" s="4"/>
      <c r="L8007" s="33" t="str">
        <f>IFERROR(VLOOKUP($J8007,'Informations sur les produits'!$A$3:$H$10000,8,FALSE),"0")</f>
        <v>0</v>
      </c>
      <c r="N8007" s="8"/>
      <c r="O8007" s="33" t="str">
        <f>IFERROR(VLOOKUP($M8007,'Informations sur les produits'!$A$3:$H$10000,8,FALSE),"0")</f>
        <v>0</v>
      </c>
      <c r="P8007" s="33">
        <f t="shared" si="500"/>
        <v>0</v>
      </c>
      <c r="Q8007" s="31" t="str">
        <f t="shared" si="501"/>
        <v/>
      </c>
      <c r="R8007" s="32" t="str">
        <f>IFERROR(VLOOKUP($D8007,'Informations sur les produits'!$A$3:$B$15000,2,FALSE),"")</f>
        <v/>
      </c>
      <c r="V8007">
        <f t="shared" si="502"/>
        <v>0</v>
      </c>
      <c r="W8007">
        <f t="shared" si="503"/>
        <v>0</v>
      </c>
    </row>
    <row r="8008" spans="5:23" x14ac:dyDescent="0.25">
      <c r="E8008" s="4"/>
      <c r="F8008" s="4"/>
      <c r="G8008" s="33" t="str">
        <f>IFERROR(VLOOKUP($D8008,'Informations sur les produits'!$A$3:$H$10000,8,FALSE),"0")</f>
        <v>0</v>
      </c>
      <c r="K8008" s="4"/>
      <c r="L8008" s="33" t="str">
        <f>IFERROR(VLOOKUP($J8008,'Informations sur les produits'!$A$3:$H$10000,8,FALSE),"0")</f>
        <v>0</v>
      </c>
      <c r="N8008" s="8"/>
      <c r="O8008" s="33" t="str">
        <f>IFERROR(VLOOKUP($M8008,'Informations sur les produits'!$A$3:$H$10000,8,FALSE),"0")</f>
        <v>0</v>
      </c>
      <c r="P8008" s="33">
        <f t="shared" si="500"/>
        <v>0</v>
      </c>
      <c r="Q8008" s="31" t="str">
        <f t="shared" si="501"/>
        <v/>
      </c>
      <c r="R8008" s="32" t="str">
        <f>IFERROR(VLOOKUP($D8008,'Informations sur les produits'!$A$3:$B$15000,2,FALSE),"")</f>
        <v/>
      </c>
      <c r="V8008">
        <f t="shared" si="502"/>
        <v>0</v>
      </c>
      <c r="W8008">
        <f t="shared" si="503"/>
        <v>0</v>
      </c>
    </row>
    <row r="8009" spans="5:23" x14ac:dyDescent="0.25">
      <c r="E8009" s="4"/>
      <c r="F8009" s="4"/>
      <c r="G8009" s="33" t="str">
        <f>IFERROR(VLOOKUP($D8009,'Informations sur les produits'!$A$3:$H$10000,8,FALSE),"0")</f>
        <v>0</v>
      </c>
      <c r="K8009" s="4"/>
      <c r="L8009" s="33" t="str">
        <f>IFERROR(VLOOKUP($J8009,'Informations sur les produits'!$A$3:$H$10000,8,FALSE),"0")</f>
        <v>0</v>
      </c>
      <c r="N8009" s="8"/>
      <c r="O8009" s="33" t="str">
        <f>IFERROR(VLOOKUP($M8009,'Informations sur les produits'!$A$3:$H$10000,8,FALSE),"0")</f>
        <v>0</v>
      </c>
      <c r="P8009" s="33">
        <f t="shared" si="500"/>
        <v>0</v>
      </c>
      <c r="Q8009" s="31" t="str">
        <f t="shared" si="501"/>
        <v/>
      </c>
      <c r="R8009" s="32" t="str">
        <f>IFERROR(VLOOKUP($D8009,'Informations sur les produits'!$A$3:$B$15000,2,FALSE),"")</f>
        <v/>
      </c>
      <c r="V8009">
        <f t="shared" si="502"/>
        <v>0</v>
      </c>
      <c r="W8009">
        <f t="shared" si="503"/>
        <v>0</v>
      </c>
    </row>
    <row r="8010" spans="5:23" x14ac:dyDescent="0.25">
      <c r="E8010" s="4"/>
      <c r="F8010" s="4"/>
      <c r="G8010" s="33" t="str">
        <f>IFERROR(VLOOKUP($D8010,'Informations sur les produits'!$A$3:$H$10000,8,FALSE),"0")</f>
        <v>0</v>
      </c>
      <c r="K8010" s="4"/>
      <c r="L8010" s="33" t="str">
        <f>IFERROR(VLOOKUP($J8010,'Informations sur les produits'!$A$3:$H$10000,8,FALSE),"0")</f>
        <v>0</v>
      </c>
      <c r="N8010" s="8"/>
      <c r="O8010" s="33" t="str">
        <f>IFERROR(VLOOKUP($M8010,'Informations sur les produits'!$A$3:$H$10000,8,FALSE),"0")</f>
        <v>0</v>
      </c>
      <c r="P8010" s="33">
        <f t="shared" si="500"/>
        <v>0</v>
      </c>
      <c r="Q8010" s="31" t="str">
        <f t="shared" si="501"/>
        <v/>
      </c>
      <c r="R8010" s="32" t="str">
        <f>IFERROR(VLOOKUP($D8010,'Informations sur les produits'!$A$3:$B$15000,2,FALSE),"")</f>
        <v/>
      </c>
      <c r="V8010">
        <f t="shared" si="502"/>
        <v>0</v>
      </c>
      <c r="W8010">
        <f t="shared" si="503"/>
        <v>0</v>
      </c>
    </row>
    <row r="8011" spans="5:23" x14ac:dyDescent="0.25">
      <c r="E8011" s="4"/>
      <c r="F8011" s="4"/>
      <c r="G8011" s="33" t="str">
        <f>IFERROR(VLOOKUP($D8011,'Informations sur les produits'!$A$3:$H$10000,8,FALSE),"0")</f>
        <v>0</v>
      </c>
      <c r="K8011" s="4"/>
      <c r="L8011" s="33" t="str">
        <f>IFERROR(VLOOKUP($J8011,'Informations sur les produits'!$A$3:$H$10000,8,FALSE),"0")</f>
        <v>0</v>
      </c>
      <c r="N8011" s="8"/>
      <c r="O8011" s="33" t="str">
        <f>IFERROR(VLOOKUP($M8011,'Informations sur les produits'!$A$3:$H$10000,8,FALSE),"0")</f>
        <v>0</v>
      </c>
      <c r="P8011" s="33">
        <f t="shared" si="500"/>
        <v>0</v>
      </c>
      <c r="Q8011" s="31" t="str">
        <f t="shared" si="501"/>
        <v/>
      </c>
      <c r="R8011" s="32" t="str">
        <f>IFERROR(VLOOKUP($D8011,'Informations sur les produits'!$A$3:$B$15000,2,FALSE),"")</f>
        <v/>
      </c>
      <c r="V8011">
        <f t="shared" si="502"/>
        <v>0</v>
      </c>
      <c r="W8011">
        <f t="shared" si="503"/>
        <v>0</v>
      </c>
    </row>
    <row r="8012" spans="5:23" x14ac:dyDescent="0.25">
      <c r="E8012" s="4"/>
      <c r="F8012" s="4"/>
      <c r="G8012" s="33" t="str">
        <f>IFERROR(VLOOKUP($D8012,'Informations sur les produits'!$A$3:$H$10000,8,FALSE),"0")</f>
        <v>0</v>
      </c>
      <c r="K8012" s="4"/>
      <c r="L8012" s="33" t="str">
        <f>IFERROR(VLOOKUP($J8012,'Informations sur les produits'!$A$3:$H$10000,8,FALSE),"0")</f>
        <v>0</v>
      </c>
      <c r="N8012" s="8"/>
      <c r="O8012" s="33" t="str">
        <f>IFERROR(VLOOKUP($M8012,'Informations sur les produits'!$A$3:$H$10000,8,FALSE),"0")</f>
        <v>0</v>
      </c>
      <c r="P8012" s="33">
        <f t="shared" si="500"/>
        <v>0</v>
      </c>
      <c r="Q8012" s="31" t="str">
        <f t="shared" si="501"/>
        <v/>
      </c>
      <c r="R8012" s="32" t="str">
        <f>IFERROR(VLOOKUP($D8012,'Informations sur les produits'!$A$3:$B$15000,2,FALSE),"")</f>
        <v/>
      </c>
      <c r="V8012">
        <f t="shared" si="502"/>
        <v>0</v>
      </c>
      <c r="W8012">
        <f t="shared" si="503"/>
        <v>0</v>
      </c>
    </row>
    <row r="8013" spans="5:23" x14ac:dyDescent="0.25">
      <c r="E8013" s="4"/>
      <c r="F8013" s="4"/>
      <c r="G8013" s="33" t="str">
        <f>IFERROR(VLOOKUP($D8013,'Informations sur les produits'!$A$3:$H$10000,8,FALSE),"0")</f>
        <v>0</v>
      </c>
      <c r="K8013" s="4"/>
      <c r="L8013" s="33" t="str">
        <f>IFERROR(VLOOKUP($J8013,'Informations sur les produits'!$A$3:$H$10000,8,FALSE),"0")</f>
        <v>0</v>
      </c>
      <c r="N8013" s="8"/>
      <c r="O8013" s="33" t="str">
        <f>IFERROR(VLOOKUP($M8013,'Informations sur les produits'!$A$3:$H$10000,8,FALSE),"0")</f>
        <v>0</v>
      </c>
      <c r="P8013" s="33">
        <f t="shared" si="500"/>
        <v>0</v>
      </c>
      <c r="Q8013" s="31" t="str">
        <f t="shared" si="501"/>
        <v/>
      </c>
      <c r="R8013" s="32" t="str">
        <f>IFERROR(VLOOKUP($D8013,'Informations sur les produits'!$A$3:$B$15000,2,FALSE),"")</f>
        <v/>
      </c>
      <c r="V8013">
        <f t="shared" si="502"/>
        <v>0</v>
      </c>
      <c r="W8013">
        <f t="shared" si="503"/>
        <v>0</v>
      </c>
    </row>
    <row r="8014" spans="5:23" x14ac:dyDescent="0.25">
      <c r="E8014" s="4"/>
      <c r="F8014" s="4"/>
      <c r="G8014" s="33" t="str">
        <f>IFERROR(VLOOKUP($D8014,'Informations sur les produits'!$A$3:$H$10000,8,FALSE),"0")</f>
        <v>0</v>
      </c>
      <c r="K8014" s="4"/>
      <c r="L8014" s="33" t="str">
        <f>IFERROR(VLOOKUP($J8014,'Informations sur les produits'!$A$3:$H$10000,8,FALSE),"0")</f>
        <v>0</v>
      </c>
      <c r="N8014" s="8"/>
      <c r="O8014" s="33" t="str">
        <f>IFERROR(VLOOKUP($M8014,'Informations sur les produits'!$A$3:$H$10000,8,FALSE),"0")</f>
        <v>0</v>
      </c>
      <c r="P8014" s="33">
        <f t="shared" si="500"/>
        <v>0</v>
      </c>
      <c r="Q8014" s="31" t="str">
        <f t="shared" si="501"/>
        <v/>
      </c>
      <c r="R8014" s="32" t="str">
        <f>IFERROR(VLOOKUP($D8014,'Informations sur les produits'!$A$3:$B$15000,2,FALSE),"")</f>
        <v/>
      </c>
      <c r="V8014">
        <f t="shared" si="502"/>
        <v>0</v>
      </c>
      <c r="W8014">
        <f t="shared" si="503"/>
        <v>0</v>
      </c>
    </row>
    <row r="8015" spans="5:23" x14ac:dyDescent="0.25">
      <c r="E8015" s="4"/>
      <c r="F8015" s="4"/>
      <c r="G8015" s="33" t="str">
        <f>IFERROR(VLOOKUP($D8015,'Informations sur les produits'!$A$3:$H$10000,8,FALSE),"0")</f>
        <v>0</v>
      </c>
      <c r="K8015" s="4"/>
      <c r="L8015" s="33" t="str">
        <f>IFERROR(VLOOKUP($J8015,'Informations sur les produits'!$A$3:$H$10000,8,FALSE),"0")</f>
        <v>0</v>
      </c>
      <c r="N8015" s="8"/>
      <c r="O8015" s="33" t="str">
        <f>IFERROR(VLOOKUP($M8015,'Informations sur les produits'!$A$3:$H$10000,8,FALSE),"0")</f>
        <v>0</v>
      </c>
      <c r="P8015" s="33">
        <f t="shared" si="500"/>
        <v>0</v>
      </c>
      <c r="Q8015" s="31" t="str">
        <f t="shared" si="501"/>
        <v/>
      </c>
      <c r="R8015" s="32" t="str">
        <f>IFERROR(VLOOKUP($D8015,'Informations sur les produits'!$A$3:$B$15000,2,FALSE),"")</f>
        <v/>
      </c>
      <c r="V8015">
        <f t="shared" si="502"/>
        <v>0</v>
      </c>
      <c r="W8015">
        <f t="shared" si="503"/>
        <v>0</v>
      </c>
    </row>
    <row r="8016" spans="5:23" x14ac:dyDescent="0.25">
      <c r="E8016" s="4"/>
      <c r="F8016" s="4"/>
      <c r="G8016" s="33" t="str">
        <f>IFERROR(VLOOKUP($D8016,'Informations sur les produits'!$A$3:$H$10000,8,FALSE),"0")</f>
        <v>0</v>
      </c>
      <c r="K8016" s="4"/>
      <c r="L8016" s="33" t="str">
        <f>IFERROR(VLOOKUP($J8016,'Informations sur les produits'!$A$3:$H$10000,8,FALSE),"0")</f>
        <v>0</v>
      </c>
      <c r="N8016" s="8"/>
      <c r="O8016" s="33" t="str">
        <f>IFERROR(VLOOKUP($M8016,'Informations sur les produits'!$A$3:$H$10000,8,FALSE),"0")</f>
        <v>0</v>
      </c>
      <c r="P8016" s="33">
        <f t="shared" si="500"/>
        <v>0</v>
      </c>
      <c r="Q8016" s="31" t="str">
        <f t="shared" si="501"/>
        <v/>
      </c>
      <c r="R8016" s="32" t="str">
        <f>IFERROR(VLOOKUP($D8016,'Informations sur les produits'!$A$3:$B$15000,2,FALSE),"")</f>
        <v/>
      </c>
      <c r="V8016">
        <f t="shared" si="502"/>
        <v>0</v>
      </c>
      <c r="W8016">
        <f t="shared" si="503"/>
        <v>0</v>
      </c>
    </row>
    <row r="8017" spans="5:23" x14ac:dyDescent="0.25">
      <c r="E8017" s="4"/>
      <c r="F8017" s="4"/>
      <c r="G8017" s="33" t="str">
        <f>IFERROR(VLOOKUP($D8017,'Informations sur les produits'!$A$3:$H$10000,8,FALSE),"0")</f>
        <v>0</v>
      </c>
      <c r="K8017" s="4"/>
      <c r="L8017" s="33" t="str">
        <f>IFERROR(VLOOKUP($J8017,'Informations sur les produits'!$A$3:$H$10000,8,FALSE),"0")</f>
        <v>0</v>
      </c>
      <c r="N8017" s="8"/>
      <c r="O8017" s="33" t="str">
        <f>IFERROR(VLOOKUP($M8017,'Informations sur les produits'!$A$3:$H$10000,8,FALSE),"0")</f>
        <v>0</v>
      </c>
      <c r="P8017" s="33">
        <f t="shared" si="500"/>
        <v>0</v>
      </c>
      <c r="Q8017" s="31" t="str">
        <f t="shared" si="501"/>
        <v/>
      </c>
      <c r="R8017" s="32" t="str">
        <f>IFERROR(VLOOKUP($D8017,'Informations sur les produits'!$A$3:$B$15000,2,FALSE),"")</f>
        <v/>
      </c>
      <c r="V8017">
        <f t="shared" si="502"/>
        <v>0</v>
      </c>
      <c r="W8017">
        <f t="shared" si="503"/>
        <v>0</v>
      </c>
    </row>
    <row r="8018" spans="5:23" x14ac:dyDescent="0.25">
      <c r="E8018" s="4"/>
      <c r="F8018" s="4"/>
      <c r="G8018" s="33" t="str">
        <f>IFERROR(VLOOKUP($D8018,'Informations sur les produits'!$A$3:$H$10000,8,FALSE),"0")</f>
        <v>0</v>
      </c>
      <c r="K8018" s="4"/>
      <c r="L8018" s="33" t="str">
        <f>IFERROR(VLOOKUP($J8018,'Informations sur les produits'!$A$3:$H$10000,8,FALSE),"0")</f>
        <v>0</v>
      </c>
      <c r="N8018" s="8"/>
      <c r="O8018" s="33" t="str">
        <f>IFERROR(VLOOKUP($M8018,'Informations sur les produits'!$A$3:$H$10000,8,FALSE),"0")</f>
        <v>0</v>
      </c>
      <c r="P8018" s="33">
        <f t="shared" si="500"/>
        <v>0</v>
      </c>
      <c r="Q8018" s="31" t="str">
        <f t="shared" si="501"/>
        <v/>
      </c>
      <c r="R8018" s="32" t="str">
        <f>IFERROR(VLOOKUP($D8018,'Informations sur les produits'!$A$3:$B$15000,2,FALSE),"")</f>
        <v/>
      </c>
      <c r="V8018">
        <f t="shared" si="502"/>
        <v>0</v>
      </c>
      <c r="W8018">
        <f t="shared" si="503"/>
        <v>0</v>
      </c>
    </row>
    <row r="8019" spans="5:23" x14ac:dyDescent="0.25">
      <c r="E8019" s="4"/>
      <c r="F8019" s="4"/>
      <c r="G8019" s="33" t="str">
        <f>IFERROR(VLOOKUP($D8019,'Informations sur les produits'!$A$3:$H$10000,8,FALSE),"0")</f>
        <v>0</v>
      </c>
      <c r="K8019" s="4"/>
      <c r="L8019" s="33" t="str">
        <f>IFERROR(VLOOKUP($J8019,'Informations sur les produits'!$A$3:$H$10000,8,FALSE),"0")</f>
        <v>0</v>
      </c>
      <c r="N8019" s="8"/>
      <c r="O8019" s="33" t="str">
        <f>IFERROR(VLOOKUP($M8019,'Informations sur les produits'!$A$3:$H$10000,8,FALSE),"0")</f>
        <v>0</v>
      </c>
      <c r="P8019" s="33">
        <f t="shared" si="500"/>
        <v>0</v>
      </c>
      <c r="Q8019" s="31" t="str">
        <f t="shared" si="501"/>
        <v/>
      </c>
      <c r="R8019" s="32" t="str">
        <f>IFERROR(VLOOKUP($D8019,'Informations sur les produits'!$A$3:$B$15000,2,FALSE),"")</f>
        <v/>
      </c>
      <c r="V8019">
        <f t="shared" si="502"/>
        <v>0</v>
      </c>
      <c r="W8019">
        <f t="shared" si="503"/>
        <v>0</v>
      </c>
    </row>
    <row r="8020" spans="5:23" x14ac:dyDescent="0.25">
      <c r="E8020" s="4"/>
      <c r="F8020" s="4"/>
      <c r="G8020" s="33" t="str">
        <f>IFERROR(VLOOKUP($D8020,'Informations sur les produits'!$A$3:$H$10000,8,FALSE),"0")</f>
        <v>0</v>
      </c>
      <c r="K8020" s="4"/>
      <c r="L8020" s="33" t="str">
        <f>IFERROR(VLOOKUP($J8020,'Informations sur les produits'!$A$3:$H$10000,8,FALSE),"0")</f>
        <v>0</v>
      </c>
      <c r="N8020" s="8"/>
      <c r="O8020" s="33" t="str">
        <f>IFERROR(VLOOKUP($M8020,'Informations sur les produits'!$A$3:$H$10000,8,FALSE),"0")</f>
        <v>0</v>
      </c>
      <c r="P8020" s="33">
        <f t="shared" si="500"/>
        <v>0</v>
      </c>
      <c r="Q8020" s="31" t="str">
        <f t="shared" si="501"/>
        <v/>
      </c>
      <c r="R8020" s="32" t="str">
        <f>IFERROR(VLOOKUP($D8020,'Informations sur les produits'!$A$3:$B$15000,2,FALSE),"")</f>
        <v/>
      </c>
      <c r="V8020">
        <f t="shared" si="502"/>
        <v>0</v>
      </c>
      <c r="W8020">
        <f t="shared" si="503"/>
        <v>0</v>
      </c>
    </row>
    <row r="8021" spans="5:23" x14ac:dyDescent="0.25">
      <c r="E8021" s="4"/>
      <c r="F8021" s="4"/>
      <c r="G8021" s="33" t="str">
        <f>IFERROR(VLOOKUP($D8021,'Informations sur les produits'!$A$3:$H$10000,8,FALSE),"0")</f>
        <v>0</v>
      </c>
      <c r="K8021" s="4"/>
      <c r="L8021" s="33" t="str">
        <f>IFERROR(VLOOKUP($J8021,'Informations sur les produits'!$A$3:$H$10000,8,FALSE),"0")</f>
        <v>0</v>
      </c>
      <c r="N8021" s="8"/>
      <c r="O8021" s="33" t="str">
        <f>IFERROR(VLOOKUP($M8021,'Informations sur les produits'!$A$3:$H$10000,8,FALSE),"0")</f>
        <v>0</v>
      </c>
      <c r="P8021" s="33">
        <f t="shared" si="500"/>
        <v>0</v>
      </c>
      <c r="Q8021" s="31" t="str">
        <f t="shared" si="501"/>
        <v/>
      </c>
      <c r="R8021" s="32" t="str">
        <f>IFERROR(VLOOKUP($D8021,'Informations sur les produits'!$A$3:$B$15000,2,FALSE),"")</f>
        <v/>
      </c>
      <c r="V8021">
        <f t="shared" si="502"/>
        <v>0</v>
      </c>
      <c r="W8021">
        <f t="shared" si="503"/>
        <v>0</v>
      </c>
    </row>
    <row r="8022" spans="5:23" x14ac:dyDescent="0.25">
      <c r="E8022" s="4"/>
      <c r="F8022" s="4"/>
      <c r="G8022" s="33" t="str">
        <f>IFERROR(VLOOKUP($D8022,'Informations sur les produits'!$A$3:$H$10000,8,FALSE),"0")</f>
        <v>0</v>
      </c>
      <c r="K8022" s="4"/>
      <c r="L8022" s="33" t="str">
        <f>IFERROR(VLOOKUP($J8022,'Informations sur les produits'!$A$3:$H$10000,8,FALSE),"0")</f>
        <v>0</v>
      </c>
      <c r="N8022" s="8"/>
      <c r="O8022" s="33" t="str">
        <f>IFERROR(VLOOKUP($M8022,'Informations sur les produits'!$A$3:$H$10000,8,FALSE),"0")</f>
        <v>0</v>
      </c>
      <c r="P8022" s="33">
        <f t="shared" si="500"/>
        <v>0</v>
      </c>
      <c r="Q8022" s="31" t="str">
        <f t="shared" si="501"/>
        <v/>
      </c>
      <c r="R8022" s="32" t="str">
        <f>IFERROR(VLOOKUP($D8022,'Informations sur les produits'!$A$3:$B$15000,2,FALSE),"")</f>
        <v/>
      </c>
      <c r="V8022">
        <f t="shared" si="502"/>
        <v>0</v>
      </c>
      <c r="W8022">
        <f t="shared" si="503"/>
        <v>0</v>
      </c>
    </row>
    <row r="8023" spans="5:23" x14ac:dyDescent="0.25">
      <c r="E8023" s="4"/>
      <c r="F8023" s="4"/>
      <c r="G8023" s="33" t="str">
        <f>IFERROR(VLOOKUP($D8023,'Informations sur les produits'!$A$3:$H$10000,8,FALSE),"0")</f>
        <v>0</v>
      </c>
      <c r="K8023" s="4"/>
      <c r="L8023" s="33" t="str">
        <f>IFERROR(VLOOKUP($J8023,'Informations sur les produits'!$A$3:$H$10000,8,FALSE),"0")</f>
        <v>0</v>
      </c>
      <c r="N8023" s="8"/>
      <c r="O8023" s="33" t="str">
        <f>IFERROR(VLOOKUP($M8023,'Informations sur les produits'!$A$3:$H$10000,8,FALSE),"0")</f>
        <v>0</v>
      </c>
      <c r="P8023" s="33">
        <f t="shared" si="500"/>
        <v>0</v>
      </c>
      <c r="Q8023" s="31" t="str">
        <f t="shared" si="501"/>
        <v/>
      </c>
      <c r="R8023" s="32" t="str">
        <f>IFERROR(VLOOKUP($D8023,'Informations sur les produits'!$A$3:$B$15000,2,FALSE),"")</f>
        <v/>
      </c>
      <c r="V8023">
        <f t="shared" si="502"/>
        <v>0</v>
      </c>
      <c r="W8023">
        <f t="shared" si="503"/>
        <v>0</v>
      </c>
    </row>
    <row r="8024" spans="5:23" x14ac:dyDescent="0.25">
      <c r="E8024" s="4"/>
      <c r="F8024" s="4"/>
      <c r="G8024" s="33" t="str">
        <f>IFERROR(VLOOKUP($D8024,'Informations sur les produits'!$A$3:$H$10000,8,FALSE),"0")</f>
        <v>0</v>
      </c>
      <c r="K8024" s="4"/>
      <c r="L8024" s="33" t="str">
        <f>IFERROR(VLOOKUP($J8024,'Informations sur les produits'!$A$3:$H$10000,8,FALSE),"0")</f>
        <v>0</v>
      </c>
      <c r="N8024" s="8"/>
      <c r="O8024" s="33" t="str">
        <f>IFERROR(VLOOKUP($M8024,'Informations sur les produits'!$A$3:$H$10000,8,FALSE),"0")</f>
        <v>0</v>
      </c>
      <c r="P8024" s="33">
        <f t="shared" si="500"/>
        <v>0</v>
      </c>
      <c r="Q8024" s="31" t="str">
        <f t="shared" si="501"/>
        <v/>
      </c>
      <c r="R8024" s="32" t="str">
        <f>IFERROR(VLOOKUP($D8024,'Informations sur les produits'!$A$3:$B$15000,2,FALSE),"")</f>
        <v/>
      </c>
      <c r="V8024">
        <f t="shared" si="502"/>
        <v>0</v>
      </c>
      <c r="W8024">
        <f t="shared" si="503"/>
        <v>0</v>
      </c>
    </row>
    <row r="8025" spans="5:23" x14ac:dyDescent="0.25">
      <c r="E8025" s="4"/>
      <c r="F8025" s="4"/>
      <c r="G8025" s="33" t="str">
        <f>IFERROR(VLOOKUP($D8025,'Informations sur les produits'!$A$3:$H$10000,8,FALSE),"0")</f>
        <v>0</v>
      </c>
      <c r="K8025" s="4"/>
      <c r="L8025" s="33" t="str">
        <f>IFERROR(VLOOKUP($J8025,'Informations sur les produits'!$A$3:$H$10000,8,FALSE),"0")</f>
        <v>0</v>
      </c>
      <c r="N8025" s="8"/>
      <c r="O8025" s="33" t="str">
        <f>IFERROR(VLOOKUP($M8025,'Informations sur les produits'!$A$3:$H$10000,8,FALSE),"0")</f>
        <v>0</v>
      </c>
      <c r="P8025" s="33">
        <f t="shared" si="500"/>
        <v>0</v>
      </c>
      <c r="Q8025" s="31" t="str">
        <f t="shared" si="501"/>
        <v/>
      </c>
      <c r="R8025" s="32" t="str">
        <f>IFERROR(VLOOKUP($D8025,'Informations sur les produits'!$A$3:$B$15000,2,FALSE),"")</f>
        <v/>
      </c>
      <c r="V8025">
        <f t="shared" si="502"/>
        <v>0</v>
      </c>
      <c r="W8025">
        <f t="shared" si="503"/>
        <v>0</v>
      </c>
    </row>
    <row r="8026" spans="5:23" x14ac:dyDescent="0.25">
      <c r="E8026" s="4"/>
      <c r="F8026" s="4"/>
      <c r="G8026" s="33" t="str">
        <f>IFERROR(VLOOKUP($D8026,'Informations sur les produits'!$A$3:$H$10000,8,FALSE),"0")</f>
        <v>0</v>
      </c>
      <c r="K8026" s="4"/>
      <c r="L8026" s="33" t="str">
        <f>IFERROR(VLOOKUP($J8026,'Informations sur les produits'!$A$3:$H$10000,8,FALSE),"0")</f>
        <v>0</v>
      </c>
      <c r="N8026" s="8"/>
      <c r="O8026" s="33" t="str">
        <f>IFERROR(VLOOKUP($M8026,'Informations sur les produits'!$A$3:$H$10000,8,FALSE),"0")</f>
        <v>0</v>
      </c>
      <c r="P8026" s="33">
        <f t="shared" si="500"/>
        <v>0</v>
      </c>
      <c r="Q8026" s="31" t="str">
        <f t="shared" si="501"/>
        <v/>
      </c>
      <c r="R8026" s="32" t="str">
        <f>IFERROR(VLOOKUP($D8026,'Informations sur les produits'!$A$3:$B$15000,2,FALSE),"")</f>
        <v/>
      </c>
      <c r="V8026">
        <f t="shared" si="502"/>
        <v>0</v>
      </c>
      <c r="W8026">
        <f t="shared" si="503"/>
        <v>0</v>
      </c>
    </row>
    <row r="8027" spans="5:23" x14ac:dyDescent="0.25">
      <c r="E8027" s="4"/>
      <c r="F8027" s="4"/>
      <c r="G8027" s="33" t="str">
        <f>IFERROR(VLOOKUP($D8027,'Informations sur les produits'!$A$3:$H$10000,8,FALSE),"0")</f>
        <v>0</v>
      </c>
      <c r="K8027" s="4"/>
      <c r="L8027" s="33" t="str">
        <f>IFERROR(VLOOKUP($J8027,'Informations sur les produits'!$A$3:$H$10000,8,FALSE),"0")</f>
        <v>0</v>
      </c>
      <c r="N8027" s="8"/>
      <c r="O8027" s="33" t="str">
        <f>IFERROR(VLOOKUP($M8027,'Informations sur les produits'!$A$3:$H$10000,8,FALSE),"0")</f>
        <v>0</v>
      </c>
      <c r="P8027" s="33">
        <f t="shared" si="500"/>
        <v>0</v>
      </c>
      <c r="Q8027" s="31" t="str">
        <f t="shared" si="501"/>
        <v/>
      </c>
      <c r="R8027" s="32" t="str">
        <f>IFERROR(VLOOKUP($D8027,'Informations sur les produits'!$A$3:$B$15000,2,FALSE),"")</f>
        <v/>
      </c>
      <c r="V8027">
        <f t="shared" si="502"/>
        <v>0</v>
      </c>
      <c r="W8027">
        <f t="shared" si="503"/>
        <v>0</v>
      </c>
    </row>
    <row r="8028" spans="5:23" x14ac:dyDescent="0.25">
      <c r="E8028" s="4"/>
      <c r="F8028" s="4"/>
      <c r="G8028" s="33" t="str">
        <f>IFERROR(VLOOKUP($D8028,'Informations sur les produits'!$A$3:$H$10000,8,FALSE),"0")</f>
        <v>0</v>
      </c>
      <c r="K8028" s="4"/>
      <c r="L8028" s="33" t="str">
        <f>IFERROR(VLOOKUP($J8028,'Informations sur les produits'!$A$3:$H$10000,8,FALSE),"0")</f>
        <v>0</v>
      </c>
      <c r="N8028" s="8"/>
      <c r="O8028" s="33" t="str">
        <f>IFERROR(VLOOKUP($M8028,'Informations sur les produits'!$A$3:$H$10000,8,FALSE),"0")</f>
        <v>0</v>
      </c>
      <c r="P8028" s="33">
        <f t="shared" si="500"/>
        <v>0</v>
      </c>
      <c r="Q8028" s="31" t="str">
        <f t="shared" si="501"/>
        <v/>
      </c>
      <c r="R8028" s="32" t="str">
        <f>IFERROR(VLOOKUP($D8028,'Informations sur les produits'!$A$3:$B$15000,2,FALSE),"")</f>
        <v/>
      </c>
      <c r="V8028">
        <f t="shared" si="502"/>
        <v>0</v>
      </c>
      <c r="W8028">
        <f t="shared" si="503"/>
        <v>0</v>
      </c>
    </row>
    <row r="8029" spans="5:23" x14ac:dyDescent="0.25">
      <c r="E8029" s="4"/>
      <c r="F8029" s="4"/>
      <c r="G8029" s="33" t="str">
        <f>IFERROR(VLOOKUP($D8029,'Informations sur les produits'!$A$3:$H$10000,8,FALSE),"0")</f>
        <v>0</v>
      </c>
      <c r="K8029" s="4"/>
      <c r="L8029" s="33" t="str">
        <f>IFERROR(VLOOKUP($J8029,'Informations sur les produits'!$A$3:$H$10000,8,FALSE),"0")</f>
        <v>0</v>
      </c>
      <c r="N8029" s="8"/>
      <c r="O8029" s="33" t="str">
        <f>IFERROR(VLOOKUP($M8029,'Informations sur les produits'!$A$3:$H$10000,8,FALSE),"0")</f>
        <v>0</v>
      </c>
      <c r="P8029" s="33">
        <f t="shared" si="500"/>
        <v>0</v>
      </c>
      <c r="Q8029" s="31" t="str">
        <f t="shared" si="501"/>
        <v/>
      </c>
      <c r="R8029" s="32" t="str">
        <f>IFERROR(VLOOKUP($D8029,'Informations sur les produits'!$A$3:$B$15000,2,FALSE),"")</f>
        <v/>
      </c>
      <c r="V8029">
        <f t="shared" si="502"/>
        <v>0</v>
      </c>
      <c r="W8029">
        <f t="shared" si="503"/>
        <v>0</v>
      </c>
    </row>
    <row r="8030" spans="5:23" x14ac:dyDescent="0.25">
      <c r="E8030" s="4"/>
      <c r="F8030" s="4"/>
      <c r="G8030" s="33" t="str">
        <f>IFERROR(VLOOKUP($D8030,'Informations sur les produits'!$A$3:$H$10000,8,FALSE),"0")</f>
        <v>0</v>
      </c>
      <c r="K8030" s="4"/>
      <c r="L8030" s="33" t="str">
        <f>IFERROR(VLOOKUP($J8030,'Informations sur les produits'!$A$3:$H$10000,8,FALSE),"0")</f>
        <v>0</v>
      </c>
      <c r="N8030" s="8"/>
      <c r="O8030" s="33" t="str">
        <f>IFERROR(VLOOKUP($M8030,'Informations sur les produits'!$A$3:$H$10000,8,FALSE),"0")</f>
        <v>0</v>
      </c>
      <c r="P8030" s="33">
        <f t="shared" si="500"/>
        <v>0</v>
      </c>
      <c r="Q8030" s="31" t="str">
        <f t="shared" si="501"/>
        <v/>
      </c>
      <c r="R8030" s="32" t="str">
        <f>IFERROR(VLOOKUP($D8030,'Informations sur les produits'!$A$3:$B$15000,2,FALSE),"")</f>
        <v/>
      </c>
      <c r="V8030">
        <f t="shared" si="502"/>
        <v>0</v>
      </c>
      <c r="W8030">
        <f t="shared" si="503"/>
        <v>0</v>
      </c>
    </row>
    <row r="8031" spans="5:23" x14ac:dyDescent="0.25">
      <c r="E8031" s="4"/>
      <c r="F8031" s="4"/>
      <c r="G8031" s="33" t="str">
        <f>IFERROR(VLOOKUP($D8031,'Informations sur les produits'!$A$3:$H$10000,8,FALSE),"0")</f>
        <v>0</v>
      </c>
      <c r="K8031" s="4"/>
      <c r="L8031" s="33" t="str">
        <f>IFERROR(VLOOKUP($J8031,'Informations sur les produits'!$A$3:$H$10000,8,FALSE),"0")</f>
        <v>0</v>
      </c>
      <c r="N8031" s="8"/>
      <c r="O8031" s="33" t="str">
        <f>IFERROR(VLOOKUP($M8031,'Informations sur les produits'!$A$3:$H$10000,8,FALSE),"0")</f>
        <v>0</v>
      </c>
      <c r="P8031" s="33">
        <f t="shared" si="500"/>
        <v>0</v>
      </c>
      <c r="Q8031" s="31" t="str">
        <f t="shared" si="501"/>
        <v/>
      </c>
      <c r="R8031" s="32" t="str">
        <f>IFERROR(VLOOKUP($D8031,'Informations sur les produits'!$A$3:$B$15000,2,FALSE),"")</f>
        <v/>
      </c>
      <c r="V8031">
        <f t="shared" si="502"/>
        <v>0</v>
      </c>
      <c r="W8031">
        <f t="shared" si="503"/>
        <v>0</v>
      </c>
    </row>
    <row r="8032" spans="5:23" x14ac:dyDescent="0.25">
      <c r="E8032" s="4"/>
      <c r="F8032" s="4"/>
      <c r="G8032" s="33" t="str">
        <f>IFERROR(VLOOKUP($D8032,'Informations sur les produits'!$A$3:$H$10000,8,FALSE),"0")</f>
        <v>0</v>
      </c>
      <c r="K8032" s="4"/>
      <c r="L8032" s="33" t="str">
        <f>IFERROR(VLOOKUP($J8032,'Informations sur les produits'!$A$3:$H$10000,8,FALSE),"0")</f>
        <v>0</v>
      </c>
      <c r="N8032" s="8"/>
      <c r="O8032" s="33" t="str">
        <f>IFERROR(VLOOKUP($M8032,'Informations sur les produits'!$A$3:$H$10000,8,FALSE),"0")</f>
        <v>0</v>
      </c>
      <c r="P8032" s="33">
        <f t="shared" si="500"/>
        <v>0</v>
      </c>
      <c r="Q8032" s="31" t="str">
        <f t="shared" si="501"/>
        <v/>
      </c>
      <c r="R8032" s="32" t="str">
        <f>IFERROR(VLOOKUP($D8032,'Informations sur les produits'!$A$3:$B$15000,2,FALSE),"")</f>
        <v/>
      </c>
      <c r="V8032">
        <f t="shared" si="502"/>
        <v>0</v>
      </c>
      <c r="W8032">
        <f t="shared" si="503"/>
        <v>0</v>
      </c>
    </row>
    <row r="8033" spans="5:23" x14ac:dyDescent="0.25">
      <c r="E8033" s="4"/>
      <c r="F8033" s="4"/>
      <c r="G8033" s="33" t="str">
        <f>IFERROR(VLOOKUP($D8033,'Informations sur les produits'!$A$3:$H$10000,8,FALSE),"0")</f>
        <v>0</v>
      </c>
      <c r="K8033" s="4"/>
      <c r="L8033" s="33" t="str">
        <f>IFERROR(VLOOKUP($J8033,'Informations sur les produits'!$A$3:$H$10000,8,FALSE),"0")</f>
        <v>0</v>
      </c>
      <c r="N8033" s="8"/>
      <c r="O8033" s="33" t="str">
        <f>IFERROR(VLOOKUP($M8033,'Informations sur les produits'!$A$3:$H$10000,8,FALSE),"0")</f>
        <v>0</v>
      </c>
      <c r="P8033" s="33">
        <f t="shared" si="500"/>
        <v>0</v>
      </c>
      <c r="Q8033" s="31" t="str">
        <f t="shared" si="501"/>
        <v/>
      </c>
      <c r="R8033" s="32" t="str">
        <f>IFERROR(VLOOKUP($D8033,'Informations sur les produits'!$A$3:$B$15000,2,FALSE),"")</f>
        <v/>
      </c>
      <c r="V8033">
        <f t="shared" si="502"/>
        <v>0</v>
      </c>
      <c r="W8033">
        <f t="shared" si="503"/>
        <v>0</v>
      </c>
    </row>
    <row r="8034" spans="5:23" x14ac:dyDescent="0.25">
      <c r="E8034" s="4"/>
      <c r="F8034" s="4"/>
      <c r="G8034" s="33" t="str">
        <f>IFERROR(VLOOKUP($D8034,'Informations sur les produits'!$A$3:$H$10000,8,FALSE),"0")</f>
        <v>0</v>
      </c>
      <c r="K8034" s="4"/>
      <c r="L8034" s="33" t="str">
        <f>IFERROR(VLOOKUP($J8034,'Informations sur les produits'!$A$3:$H$10000,8,FALSE),"0")</f>
        <v>0</v>
      </c>
      <c r="N8034" s="8"/>
      <c r="O8034" s="33" t="str">
        <f>IFERROR(VLOOKUP($M8034,'Informations sur les produits'!$A$3:$H$10000,8,FALSE),"0")</f>
        <v>0</v>
      </c>
      <c r="P8034" s="33">
        <f t="shared" si="500"/>
        <v>0</v>
      </c>
      <c r="Q8034" s="31" t="str">
        <f t="shared" si="501"/>
        <v/>
      </c>
      <c r="R8034" s="32" t="str">
        <f>IFERROR(VLOOKUP($D8034,'Informations sur les produits'!$A$3:$B$15000,2,FALSE),"")</f>
        <v/>
      </c>
      <c r="V8034">
        <f t="shared" si="502"/>
        <v>0</v>
      </c>
      <c r="W8034">
        <f t="shared" si="503"/>
        <v>0</v>
      </c>
    </row>
    <row r="8035" spans="5:23" x14ac:dyDescent="0.25">
      <c r="E8035" s="4"/>
      <c r="F8035" s="4"/>
      <c r="G8035" s="33" t="str">
        <f>IFERROR(VLOOKUP($D8035,'Informations sur les produits'!$A$3:$H$10000,8,FALSE),"0")</f>
        <v>0</v>
      </c>
      <c r="K8035" s="4"/>
      <c r="L8035" s="33" t="str">
        <f>IFERROR(VLOOKUP($J8035,'Informations sur les produits'!$A$3:$H$10000,8,FALSE),"0")</f>
        <v>0</v>
      </c>
      <c r="N8035" s="8"/>
      <c r="O8035" s="33" t="str">
        <f>IFERROR(VLOOKUP($M8035,'Informations sur les produits'!$A$3:$H$10000,8,FALSE),"0")</f>
        <v>0</v>
      </c>
      <c r="P8035" s="33">
        <f t="shared" si="500"/>
        <v>0</v>
      </c>
      <c r="Q8035" s="31" t="str">
        <f t="shared" si="501"/>
        <v/>
      </c>
      <c r="R8035" s="32" t="str">
        <f>IFERROR(VLOOKUP($D8035,'Informations sur les produits'!$A$3:$B$15000,2,FALSE),"")</f>
        <v/>
      </c>
      <c r="V8035">
        <f t="shared" si="502"/>
        <v>0</v>
      </c>
      <c r="W8035">
        <f t="shared" si="503"/>
        <v>0</v>
      </c>
    </row>
    <row r="8036" spans="5:23" x14ac:dyDescent="0.25">
      <c r="E8036" s="4"/>
      <c r="F8036" s="4"/>
      <c r="G8036" s="33" t="str">
        <f>IFERROR(VLOOKUP($D8036,'Informations sur les produits'!$A$3:$H$10000,8,FALSE),"0")</f>
        <v>0</v>
      </c>
      <c r="K8036" s="4"/>
      <c r="L8036" s="33" t="str">
        <f>IFERROR(VLOOKUP($J8036,'Informations sur les produits'!$A$3:$H$10000,8,FALSE),"0")</f>
        <v>0</v>
      </c>
      <c r="N8036" s="8"/>
      <c r="O8036" s="33" t="str">
        <f>IFERROR(VLOOKUP($M8036,'Informations sur les produits'!$A$3:$H$10000,8,FALSE),"0")</f>
        <v>0</v>
      </c>
      <c r="P8036" s="33">
        <f t="shared" si="500"/>
        <v>0</v>
      </c>
      <c r="Q8036" s="31" t="str">
        <f t="shared" si="501"/>
        <v/>
      </c>
      <c r="R8036" s="32" t="str">
        <f>IFERROR(VLOOKUP($D8036,'Informations sur les produits'!$A$3:$B$15000,2,FALSE),"")</f>
        <v/>
      </c>
      <c r="V8036">
        <f t="shared" si="502"/>
        <v>0</v>
      </c>
      <c r="W8036">
        <f t="shared" si="503"/>
        <v>0</v>
      </c>
    </row>
    <row r="8037" spans="5:23" x14ac:dyDescent="0.25">
      <c r="E8037" s="4"/>
      <c r="F8037" s="4"/>
      <c r="G8037" s="33" t="str">
        <f>IFERROR(VLOOKUP($D8037,'Informations sur les produits'!$A$3:$H$10000,8,FALSE),"0")</f>
        <v>0</v>
      </c>
      <c r="K8037" s="4"/>
      <c r="L8037" s="33" t="str">
        <f>IFERROR(VLOOKUP($J8037,'Informations sur les produits'!$A$3:$H$10000,8,FALSE),"0")</f>
        <v>0</v>
      </c>
      <c r="N8037" s="8"/>
      <c r="O8037" s="33" t="str">
        <f>IFERROR(VLOOKUP($M8037,'Informations sur les produits'!$A$3:$H$10000,8,FALSE),"0")</f>
        <v>0</v>
      </c>
      <c r="P8037" s="33">
        <f t="shared" si="500"/>
        <v>0</v>
      </c>
      <c r="Q8037" s="31" t="str">
        <f t="shared" si="501"/>
        <v/>
      </c>
      <c r="R8037" s="32" t="str">
        <f>IFERROR(VLOOKUP($D8037,'Informations sur les produits'!$A$3:$B$15000,2,FALSE),"")</f>
        <v/>
      </c>
      <c r="V8037">
        <f t="shared" si="502"/>
        <v>0</v>
      </c>
      <c r="W8037">
        <f t="shared" si="503"/>
        <v>0</v>
      </c>
    </row>
    <row r="8038" spans="5:23" x14ac:dyDescent="0.25">
      <c r="E8038" s="4"/>
      <c r="F8038" s="4"/>
      <c r="G8038" s="33" t="str">
        <f>IFERROR(VLOOKUP($D8038,'Informations sur les produits'!$A$3:$H$10000,8,FALSE),"0")</f>
        <v>0</v>
      </c>
      <c r="K8038" s="4"/>
      <c r="L8038" s="33" t="str">
        <f>IFERROR(VLOOKUP($J8038,'Informations sur les produits'!$A$3:$H$10000,8,FALSE),"0")</f>
        <v>0</v>
      </c>
      <c r="N8038" s="8"/>
      <c r="O8038" s="33" t="str">
        <f>IFERROR(VLOOKUP($M8038,'Informations sur les produits'!$A$3:$H$10000,8,FALSE),"0")</f>
        <v>0</v>
      </c>
      <c r="P8038" s="33">
        <f t="shared" si="500"/>
        <v>0</v>
      </c>
      <c r="Q8038" s="31" t="str">
        <f t="shared" si="501"/>
        <v/>
      </c>
      <c r="R8038" s="32" t="str">
        <f>IFERROR(VLOOKUP($D8038,'Informations sur les produits'!$A$3:$B$15000,2,FALSE),"")</f>
        <v/>
      </c>
      <c r="V8038">
        <f t="shared" si="502"/>
        <v>0</v>
      </c>
      <c r="W8038">
        <f t="shared" si="503"/>
        <v>0</v>
      </c>
    </row>
    <row r="8039" spans="5:23" x14ac:dyDescent="0.25">
      <c r="E8039" s="4"/>
      <c r="F8039" s="4"/>
      <c r="G8039" s="33" t="str">
        <f>IFERROR(VLOOKUP($D8039,'Informations sur les produits'!$A$3:$H$10000,8,FALSE),"0")</f>
        <v>0</v>
      </c>
      <c r="K8039" s="4"/>
      <c r="L8039" s="33" t="str">
        <f>IFERROR(VLOOKUP($J8039,'Informations sur les produits'!$A$3:$H$10000,8,FALSE),"0")</f>
        <v>0</v>
      </c>
      <c r="N8039" s="8"/>
      <c r="O8039" s="33" t="str">
        <f>IFERROR(VLOOKUP($M8039,'Informations sur les produits'!$A$3:$H$10000,8,FALSE),"0")</f>
        <v>0</v>
      </c>
      <c r="P8039" s="33">
        <f t="shared" si="500"/>
        <v>0</v>
      </c>
      <c r="Q8039" s="31" t="str">
        <f t="shared" si="501"/>
        <v/>
      </c>
      <c r="R8039" s="32" t="str">
        <f>IFERROR(VLOOKUP($D8039,'Informations sur les produits'!$A$3:$B$15000,2,FALSE),"")</f>
        <v/>
      </c>
      <c r="V8039">
        <f t="shared" si="502"/>
        <v>0</v>
      </c>
      <c r="W8039">
        <f t="shared" si="503"/>
        <v>0</v>
      </c>
    </row>
    <row r="8040" spans="5:23" x14ac:dyDescent="0.25">
      <c r="E8040" s="4"/>
      <c r="F8040" s="4"/>
      <c r="G8040" s="33" t="str">
        <f>IFERROR(VLOOKUP($D8040,'Informations sur les produits'!$A$3:$H$10000,8,FALSE),"0")</f>
        <v>0</v>
      </c>
      <c r="K8040" s="4"/>
      <c r="L8040" s="33" t="str">
        <f>IFERROR(VLOOKUP($J8040,'Informations sur les produits'!$A$3:$H$10000,8,FALSE),"0")</f>
        <v>0</v>
      </c>
      <c r="N8040" s="8"/>
      <c r="O8040" s="33" t="str">
        <f>IFERROR(VLOOKUP($M8040,'Informations sur les produits'!$A$3:$H$10000,8,FALSE),"0")</f>
        <v>0</v>
      </c>
      <c r="P8040" s="33">
        <f t="shared" si="500"/>
        <v>0</v>
      </c>
      <c r="Q8040" s="31" t="str">
        <f t="shared" si="501"/>
        <v/>
      </c>
      <c r="R8040" s="32" t="str">
        <f>IFERROR(VLOOKUP($D8040,'Informations sur les produits'!$A$3:$B$15000,2,FALSE),"")</f>
        <v/>
      </c>
      <c r="V8040">
        <f t="shared" si="502"/>
        <v>0</v>
      </c>
      <c r="W8040">
        <f t="shared" si="503"/>
        <v>0</v>
      </c>
    </row>
    <row r="8041" spans="5:23" x14ac:dyDescent="0.25">
      <c r="E8041" s="4"/>
      <c r="F8041" s="4"/>
      <c r="G8041" s="33" t="str">
        <f>IFERROR(VLOOKUP($D8041,'Informations sur les produits'!$A$3:$H$10000,8,FALSE),"0")</f>
        <v>0</v>
      </c>
      <c r="K8041" s="4"/>
      <c r="L8041" s="33" t="str">
        <f>IFERROR(VLOOKUP($J8041,'Informations sur les produits'!$A$3:$H$10000,8,FALSE),"0")</f>
        <v>0</v>
      </c>
      <c r="N8041" s="8"/>
      <c r="O8041" s="33" t="str">
        <f>IFERROR(VLOOKUP($M8041,'Informations sur les produits'!$A$3:$H$10000,8,FALSE),"0")</f>
        <v>0</v>
      </c>
      <c r="P8041" s="33">
        <f t="shared" si="500"/>
        <v>0</v>
      </c>
      <c r="Q8041" s="31" t="str">
        <f t="shared" si="501"/>
        <v/>
      </c>
      <c r="R8041" s="32" t="str">
        <f>IFERROR(VLOOKUP($D8041,'Informations sur les produits'!$A$3:$B$15000,2,FALSE),"")</f>
        <v/>
      </c>
      <c r="V8041">
        <f t="shared" si="502"/>
        <v>0</v>
      </c>
      <c r="W8041">
        <f t="shared" si="503"/>
        <v>0</v>
      </c>
    </row>
    <row r="8042" spans="5:23" x14ac:dyDescent="0.25">
      <c r="E8042" s="4"/>
      <c r="F8042" s="4"/>
      <c r="G8042" s="33" t="str">
        <f>IFERROR(VLOOKUP($D8042,'Informations sur les produits'!$A$3:$H$10000,8,FALSE),"0")</f>
        <v>0</v>
      </c>
      <c r="K8042" s="4"/>
      <c r="L8042" s="33" t="str">
        <f>IFERROR(VLOOKUP($J8042,'Informations sur les produits'!$A$3:$H$10000,8,FALSE),"0")</f>
        <v>0</v>
      </c>
      <c r="N8042" s="8"/>
      <c r="O8042" s="33" t="str">
        <f>IFERROR(VLOOKUP($M8042,'Informations sur les produits'!$A$3:$H$10000,8,FALSE),"0")</f>
        <v>0</v>
      </c>
      <c r="P8042" s="33">
        <f t="shared" si="500"/>
        <v>0</v>
      </c>
      <c r="Q8042" s="31" t="str">
        <f t="shared" si="501"/>
        <v/>
      </c>
      <c r="R8042" s="32" t="str">
        <f>IFERROR(VLOOKUP($D8042,'Informations sur les produits'!$A$3:$B$15000,2,FALSE),"")</f>
        <v/>
      </c>
      <c r="V8042">
        <f t="shared" si="502"/>
        <v>0</v>
      </c>
      <c r="W8042">
        <f t="shared" si="503"/>
        <v>0</v>
      </c>
    </row>
    <row r="8043" spans="5:23" x14ac:dyDescent="0.25">
      <c r="E8043" s="4"/>
      <c r="F8043" s="4"/>
      <c r="G8043" s="33" t="str">
        <f>IFERROR(VLOOKUP($D8043,'Informations sur les produits'!$A$3:$H$10000,8,FALSE),"0")</f>
        <v>0</v>
      </c>
      <c r="K8043" s="4"/>
      <c r="L8043" s="33" t="str">
        <f>IFERROR(VLOOKUP($J8043,'Informations sur les produits'!$A$3:$H$10000,8,FALSE),"0")</f>
        <v>0</v>
      </c>
      <c r="N8043" s="8"/>
      <c r="O8043" s="33" t="str">
        <f>IFERROR(VLOOKUP($M8043,'Informations sur les produits'!$A$3:$H$10000,8,FALSE),"0")</f>
        <v>0</v>
      </c>
      <c r="P8043" s="33">
        <f t="shared" si="500"/>
        <v>0</v>
      </c>
      <c r="Q8043" s="31" t="str">
        <f t="shared" si="501"/>
        <v/>
      </c>
      <c r="R8043" s="32" t="str">
        <f>IFERROR(VLOOKUP($D8043,'Informations sur les produits'!$A$3:$B$15000,2,FALSE),"")</f>
        <v/>
      </c>
      <c r="V8043">
        <f t="shared" si="502"/>
        <v>0</v>
      </c>
      <c r="W8043">
        <f t="shared" si="503"/>
        <v>0</v>
      </c>
    </row>
    <row r="8044" spans="5:23" x14ac:dyDescent="0.25">
      <c r="E8044" s="4"/>
      <c r="F8044" s="4"/>
      <c r="G8044" s="33" t="str">
        <f>IFERROR(VLOOKUP($D8044,'Informations sur les produits'!$A$3:$H$10000,8,FALSE),"0")</f>
        <v>0</v>
      </c>
      <c r="K8044" s="4"/>
      <c r="L8044" s="33" t="str">
        <f>IFERROR(VLOOKUP($J8044,'Informations sur les produits'!$A$3:$H$10000,8,FALSE),"0")</f>
        <v>0</v>
      </c>
      <c r="N8044" s="8"/>
      <c r="O8044" s="33" t="str">
        <f>IFERROR(VLOOKUP($M8044,'Informations sur les produits'!$A$3:$H$10000,8,FALSE),"0")</f>
        <v>0</v>
      </c>
      <c r="P8044" s="33">
        <f t="shared" si="500"/>
        <v>0</v>
      </c>
      <c r="Q8044" s="31" t="str">
        <f t="shared" si="501"/>
        <v/>
      </c>
      <c r="R8044" s="32" t="str">
        <f>IFERROR(VLOOKUP($D8044,'Informations sur les produits'!$A$3:$B$15000,2,FALSE),"")</f>
        <v/>
      </c>
      <c r="V8044">
        <f t="shared" si="502"/>
        <v>0</v>
      </c>
      <c r="W8044">
        <f t="shared" si="503"/>
        <v>0</v>
      </c>
    </row>
    <row r="8045" spans="5:23" x14ac:dyDescent="0.25">
      <c r="E8045" s="4"/>
      <c r="F8045" s="4"/>
      <c r="G8045" s="33" t="str">
        <f>IFERROR(VLOOKUP($D8045,'Informations sur les produits'!$A$3:$H$10000,8,FALSE),"0")</f>
        <v>0</v>
      </c>
      <c r="K8045" s="4"/>
      <c r="L8045" s="33" t="str">
        <f>IFERROR(VLOOKUP($J8045,'Informations sur les produits'!$A$3:$H$10000,8,FALSE),"0")</f>
        <v>0</v>
      </c>
      <c r="N8045" s="8"/>
      <c r="O8045" s="33" t="str">
        <f>IFERROR(VLOOKUP($M8045,'Informations sur les produits'!$A$3:$H$10000,8,FALSE),"0")</f>
        <v>0</v>
      </c>
      <c r="P8045" s="33">
        <f t="shared" si="500"/>
        <v>0</v>
      </c>
      <c r="Q8045" s="31" t="str">
        <f t="shared" si="501"/>
        <v/>
      </c>
      <c r="R8045" s="32" t="str">
        <f>IFERROR(VLOOKUP($D8045,'Informations sur les produits'!$A$3:$B$15000,2,FALSE),"")</f>
        <v/>
      </c>
      <c r="V8045">
        <f t="shared" si="502"/>
        <v>0</v>
      </c>
      <c r="W8045">
        <f t="shared" si="503"/>
        <v>0</v>
      </c>
    </row>
    <row r="8046" spans="5:23" x14ac:dyDescent="0.25">
      <c r="E8046" s="4"/>
      <c r="F8046" s="4"/>
      <c r="G8046" s="33" t="str">
        <f>IFERROR(VLOOKUP($D8046,'Informations sur les produits'!$A$3:$H$10000,8,FALSE),"0")</f>
        <v>0</v>
      </c>
      <c r="K8046" s="4"/>
      <c r="L8046" s="33" t="str">
        <f>IFERROR(VLOOKUP($J8046,'Informations sur les produits'!$A$3:$H$10000,8,FALSE),"0")</f>
        <v>0</v>
      </c>
      <c r="N8046" s="8"/>
      <c r="O8046" s="33" t="str">
        <f>IFERROR(VLOOKUP($M8046,'Informations sur les produits'!$A$3:$H$10000,8,FALSE),"0")</f>
        <v>0</v>
      </c>
      <c r="P8046" s="33">
        <f t="shared" si="500"/>
        <v>0</v>
      </c>
      <c r="Q8046" s="31" t="str">
        <f t="shared" si="501"/>
        <v/>
      </c>
      <c r="R8046" s="32" t="str">
        <f>IFERROR(VLOOKUP($D8046,'Informations sur les produits'!$A$3:$B$15000,2,FALSE),"")</f>
        <v/>
      </c>
      <c r="V8046">
        <f t="shared" si="502"/>
        <v>0</v>
      </c>
      <c r="W8046">
        <f t="shared" si="503"/>
        <v>0</v>
      </c>
    </row>
    <row r="8047" spans="5:23" x14ac:dyDescent="0.25">
      <c r="E8047" s="4"/>
      <c r="F8047" s="4"/>
      <c r="G8047" s="33" t="str">
        <f>IFERROR(VLOOKUP($D8047,'Informations sur les produits'!$A$3:$H$10000,8,FALSE),"0")</f>
        <v>0</v>
      </c>
      <c r="K8047" s="4"/>
      <c r="L8047" s="33" t="str">
        <f>IFERROR(VLOOKUP($J8047,'Informations sur les produits'!$A$3:$H$10000,8,FALSE),"0")</f>
        <v>0</v>
      </c>
      <c r="N8047" s="8"/>
      <c r="O8047" s="33" t="str">
        <f>IFERROR(VLOOKUP($M8047,'Informations sur les produits'!$A$3:$H$10000,8,FALSE),"0")</f>
        <v>0</v>
      </c>
      <c r="P8047" s="33">
        <f t="shared" si="500"/>
        <v>0</v>
      </c>
      <c r="Q8047" s="31" t="str">
        <f t="shared" si="501"/>
        <v/>
      </c>
      <c r="R8047" s="32" t="str">
        <f>IFERROR(VLOOKUP($D8047,'Informations sur les produits'!$A$3:$B$15000,2,FALSE),"")</f>
        <v/>
      </c>
      <c r="V8047">
        <f t="shared" si="502"/>
        <v>0</v>
      </c>
      <c r="W8047">
        <f t="shared" si="503"/>
        <v>0</v>
      </c>
    </row>
    <row r="8048" spans="5:23" x14ac:dyDescent="0.25">
      <c r="E8048" s="4"/>
      <c r="F8048" s="4"/>
      <c r="G8048" s="33" t="str">
        <f>IFERROR(VLOOKUP($D8048,'Informations sur les produits'!$A$3:$H$10000,8,FALSE),"0")</f>
        <v>0</v>
      </c>
      <c r="K8048" s="4"/>
      <c r="L8048" s="33" t="str">
        <f>IFERROR(VLOOKUP($J8048,'Informations sur les produits'!$A$3:$H$10000,8,FALSE),"0")</f>
        <v>0</v>
      </c>
      <c r="N8048" s="8"/>
      <c r="O8048" s="33" t="str">
        <f>IFERROR(VLOOKUP($M8048,'Informations sur les produits'!$A$3:$H$10000,8,FALSE),"0")</f>
        <v>0</v>
      </c>
      <c r="P8048" s="33">
        <f t="shared" si="500"/>
        <v>0</v>
      </c>
      <c r="Q8048" s="31" t="str">
        <f t="shared" si="501"/>
        <v/>
      </c>
      <c r="R8048" s="32" t="str">
        <f>IFERROR(VLOOKUP($D8048,'Informations sur les produits'!$A$3:$B$15000,2,FALSE),"")</f>
        <v/>
      </c>
      <c r="V8048">
        <f t="shared" si="502"/>
        <v>0</v>
      </c>
      <c r="W8048">
        <f t="shared" si="503"/>
        <v>0</v>
      </c>
    </row>
    <row r="8049" spans="5:23" x14ac:dyDescent="0.25">
      <c r="E8049" s="4"/>
      <c r="F8049" s="4"/>
      <c r="G8049" s="33" t="str">
        <f>IFERROR(VLOOKUP($D8049,'Informations sur les produits'!$A$3:$H$10000,8,FALSE),"0")</f>
        <v>0</v>
      </c>
      <c r="K8049" s="4"/>
      <c r="L8049" s="33" t="str">
        <f>IFERROR(VLOOKUP($J8049,'Informations sur les produits'!$A$3:$H$10000,8,FALSE),"0")</f>
        <v>0</v>
      </c>
      <c r="N8049" s="8"/>
      <c r="O8049" s="33" t="str">
        <f>IFERROR(VLOOKUP($M8049,'Informations sur les produits'!$A$3:$H$10000,8,FALSE),"0")</f>
        <v>0</v>
      </c>
      <c r="P8049" s="33">
        <f t="shared" si="500"/>
        <v>0</v>
      </c>
      <c r="Q8049" s="31" t="str">
        <f t="shared" si="501"/>
        <v/>
      </c>
      <c r="R8049" s="32" t="str">
        <f>IFERROR(VLOOKUP($D8049,'Informations sur les produits'!$A$3:$B$15000,2,FALSE),"")</f>
        <v/>
      </c>
      <c r="V8049">
        <f t="shared" si="502"/>
        <v>0</v>
      </c>
      <c r="W8049">
        <f t="shared" si="503"/>
        <v>0</v>
      </c>
    </row>
    <row r="8050" spans="5:23" x14ac:dyDescent="0.25">
      <c r="E8050" s="4"/>
      <c r="F8050" s="4"/>
      <c r="G8050" s="33" t="str">
        <f>IFERROR(VLOOKUP($D8050,'Informations sur les produits'!$A$3:$H$10000,8,FALSE),"0")</f>
        <v>0</v>
      </c>
      <c r="K8050" s="4"/>
      <c r="L8050" s="33" t="str">
        <f>IFERROR(VLOOKUP($J8050,'Informations sur les produits'!$A$3:$H$10000,8,FALSE),"0")</f>
        <v>0</v>
      </c>
      <c r="N8050" s="8"/>
      <c r="O8050" s="33" t="str">
        <f>IFERROR(VLOOKUP($M8050,'Informations sur les produits'!$A$3:$H$10000,8,FALSE),"0")</f>
        <v>0</v>
      </c>
      <c r="P8050" s="33">
        <f t="shared" si="500"/>
        <v>0</v>
      </c>
      <c r="Q8050" s="31" t="str">
        <f t="shared" si="501"/>
        <v/>
      </c>
      <c r="R8050" s="32" t="str">
        <f>IFERROR(VLOOKUP($D8050,'Informations sur les produits'!$A$3:$B$15000,2,FALSE),"")</f>
        <v/>
      </c>
      <c r="V8050">
        <f t="shared" si="502"/>
        <v>0</v>
      </c>
      <c r="W8050">
        <f t="shared" si="503"/>
        <v>0</v>
      </c>
    </row>
    <row r="8051" spans="5:23" x14ac:dyDescent="0.25">
      <c r="E8051" s="4"/>
      <c r="F8051" s="4"/>
      <c r="G8051" s="33" t="str">
        <f>IFERROR(VLOOKUP($D8051,'Informations sur les produits'!$A$3:$H$10000,8,FALSE),"0")</f>
        <v>0</v>
      </c>
      <c r="K8051" s="4"/>
      <c r="L8051" s="33" t="str">
        <f>IFERROR(VLOOKUP($J8051,'Informations sur les produits'!$A$3:$H$10000,8,FALSE),"0")</f>
        <v>0</v>
      </c>
      <c r="N8051" s="8"/>
      <c r="O8051" s="33" t="str">
        <f>IFERROR(VLOOKUP($M8051,'Informations sur les produits'!$A$3:$H$10000,8,FALSE),"0")</f>
        <v>0</v>
      </c>
      <c r="P8051" s="33">
        <f t="shared" si="500"/>
        <v>0</v>
      </c>
      <c r="Q8051" s="31" t="str">
        <f t="shared" si="501"/>
        <v/>
      </c>
      <c r="R8051" s="32" t="str">
        <f>IFERROR(VLOOKUP($D8051,'Informations sur les produits'!$A$3:$B$15000,2,FALSE),"")</f>
        <v/>
      </c>
      <c r="V8051">
        <f t="shared" si="502"/>
        <v>0</v>
      </c>
      <c r="W8051">
        <f t="shared" si="503"/>
        <v>0</v>
      </c>
    </row>
    <row r="8052" spans="5:23" x14ac:dyDescent="0.25">
      <c r="E8052" s="4"/>
      <c r="F8052" s="4"/>
      <c r="G8052" s="33" t="str">
        <f>IFERROR(VLOOKUP($D8052,'Informations sur les produits'!$A$3:$H$10000,8,FALSE),"0")</f>
        <v>0</v>
      </c>
      <c r="K8052" s="4"/>
      <c r="L8052" s="33" t="str">
        <f>IFERROR(VLOOKUP($J8052,'Informations sur les produits'!$A$3:$H$10000,8,FALSE),"0")</f>
        <v>0</v>
      </c>
      <c r="N8052" s="8"/>
      <c r="O8052" s="33" t="str">
        <f>IFERROR(VLOOKUP($M8052,'Informations sur les produits'!$A$3:$H$10000,8,FALSE),"0")</f>
        <v>0</v>
      </c>
      <c r="P8052" s="33">
        <f t="shared" si="500"/>
        <v>0</v>
      </c>
      <c r="Q8052" s="31" t="str">
        <f t="shared" si="501"/>
        <v/>
      </c>
      <c r="R8052" s="32" t="str">
        <f>IFERROR(VLOOKUP($D8052,'Informations sur les produits'!$A$3:$B$15000,2,FALSE),"")</f>
        <v/>
      </c>
      <c r="V8052">
        <f t="shared" si="502"/>
        <v>0</v>
      </c>
      <c r="W8052">
        <f t="shared" si="503"/>
        <v>0</v>
      </c>
    </row>
    <row r="8053" spans="5:23" x14ac:dyDescent="0.25">
      <c r="E8053" s="4"/>
      <c r="F8053" s="4"/>
      <c r="G8053" s="33" t="str">
        <f>IFERROR(VLOOKUP($D8053,'Informations sur les produits'!$A$3:$H$10000,8,FALSE),"0")</f>
        <v>0</v>
      </c>
      <c r="K8053" s="4"/>
      <c r="L8053" s="33" t="str">
        <f>IFERROR(VLOOKUP($J8053,'Informations sur les produits'!$A$3:$H$10000,8,FALSE),"0")</f>
        <v>0</v>
      </c>
      <c r="N8053" s="8"/>
      <c r="O8053" s="33" t="str">
        <f>IFERROR(VLOOKUP($M8053,'Informations sur les produits'!$A$3:$H$10000,8,FALSE),"0")</f>
        <v>0</v>
      </c>
      <c r="P8053" s="33">
        <f t="shared" si="500"/>
        <v>0</v>
      </c>
      <c r="Q8053" s="31" t="str">
        <f t="shared" si="501"/>
        <v/>
      </c>
      <c r="R8053" s="32" t="str">
        <f>IFERROR(VLOOKUP($D8053,'Informations sur les produits'!$A$3:$B$15000,2,FALSE),"")</f>
        <v/>
      </c>
      <c r="V8053">
        <f t="shared" si="502"/>
        <v>0</v>
      </c>
      <c r="W8053">
        <f t="shared" si="503"/>
        <v>0</v>
      </c>
    </row>
    <row r="8054" spans="5:23" x14ac:dyDescent="0.25">
      <c r="E8054" s="4"/>
      <c r="F8054" s="4"/>
      <c r="G8054" s="33" t="str">
        <f>IFERROR(VLOOKUP($D8054,'Informations sur les produits'!$A$3:$H$10000,8,FALSE),"0")</f>
        <v>0</v>
      </c>
      <c r="K8054" s="4"/>
      <c r="L8054" s="33" t="str">
        <f>IFERROR(VLOOKUP($J8054,'Informations sur les produits'!$A$3:$H$10000,8,FALSE),"0")</f>
        <v>0</v>
      </c>
      <c r="N8054" s="8"/>
      <c r="O8054" s="33" t="str">
        <f>IFERROR(VLOOKUP($M8054,'Informations sur les produits'!$A$3:$H$10000,8,FALSE),"0")</f>
        <v>0</v>
      </c>
      <c r="P8054" s="33">
        <f t="shared" si="500"/>
        <v>0</v>
      </c>
      <c r="Q8054" s="31" t="str">
        <f t="shared" si="501"/>
        <v/>
      </c>
      <c r="R8054" s="32" t="str">
        <f>IFERROR(VLOOKUP($D8054,'Informations sur les produits'!$A$3:$B$15000,2,FALSE),"")</f>
        <v/>
      </c>
      <c r="V8054">
        <f t="shared" si="502"/>
        <v>0</v>
      </c>
      <c r="W8054">
        <f t="shared" si="503"/>
        <v>0</v>
      </c>
    </row>
    <row r="8055" spans="5:23" x14ac:dyDescent="0.25">
      <c r="E8055" s="4"/>
      <c r="F8055" s="4"/>
      <c r="G8055" s="33" t="str">
        <f>IFERROR(VLOOKUP($D8055,'Informations sur les produits'!$A$3:$H$10000,8,FALSE),"0")</f>
        <v>0</v>
      </c>
      <c r="K8055" s="4"/>
      <c r="L8055" s="33" t="str">
        <f>IFERROR(VLOOKUP($J8055,'Informations sur les produits'!$A$3:$H$10000,8,FALSE),"0")</f>
        <v>0</v>
      </c>
      <c r="N8055" s="8"/>
      <c r="O8055" s="33" t="str">
        <f>IFERROR(VLOOKUP($M8055,'Informations sur les produits'!$A$3:$H$10000,8,FALSE),"0")</f>
        <v>0</v>
      </c>
      <c r="P8055" s="33">
        <f t="shared" si="500"/>
        <v>0</v>
      </c>
      <c r="Q8055" s="31" t="str">
        <f t="shared" si="501"/>
        <v/>
      </c>
      <c r="R8055" s="32" t="str">
        <f>IFERROR(VLOOKUP($D8055,'Informations sur les produits'!$A$3:$B$15000,2,FALSE),"")</f>
        <v/>
      </c>
      <c r="V8055">
        <f t="shared" si="502"/>
        <v>0</v>
      </c>
      <c r="W8055">
        <f t="shared" si="503"/>
        <v>0</v>
      </c>
    </row>
    <row r="8056" spans="5:23" x14ac:dyDescent="0.25">
      <c r="E8056" s="4"/>
      <c r="F8056" s="4"/>
      <c r="G8056" s="33" t="str">
        <f>IFERROR(VLOOKUP($D8056,'Informations sur les produits'!$A$3:$H$10000,8,FALSE),"0")</f>
        <v>0</v>
      </c>
      <c r="K8056" s="4"/>
      <c r="L8056" s="33" t="str">
        <f>IFERROR(VLOOKUP($J8056,'Informations sur les produits'!$A$3:$H$10000,8,FALSE),"0")</f>
        <v>0</v>
      </c>
      <c r="N8056" s="8"/>
      <c r="O8056" s="33" t="str">
        <f>IFERROR(VLOOKUP($M8056,'Informations sur les produits'!$A$3:$H$10000,8,FALSE),"0")</f>
        <v>0</v>
      </c>
      <c r="P8056" s="33">
        <f t="shared" si="500"/>
        <v>0</v>
      </c>
      <c r="Q8056" s="31" t="str">
        <f t="shared" si="501"/>
        <v/>
      </c>
      <c r="R8056" s="32" t="str">
        <f>IFERROR(VLOOKUP($D8056,'Informations sur les produits'!$A$3:$B$15000,2,FALSE),"")</f>
        <v/>
      </c>
      <c r="V8056">
        <f t="shared" si="502"/>
        <v>0</v>
      </c>
      <c r="W8056">
        <f t="shared" si="503"/>
        <v>0</v>
      </c>
    </row>
    <row r="8057" spans="5:23" x14ac:dyDescent="0.25">
      <c r="E8057" s="4"/>
      <c r="F8057" s="4"/>
      <c r="G8057" s="33" t="str">
        <f>IFERROR(VLOOKUP($D8057,'Informations sur les produits'!$A$3:$H$10000,8,FALSE),"0")</f>
        <v>0</v>
      </c>
      <c r="K8057" s="4"/>
      <c r="L8057" s="33" t="str">
        <f>IFERROR(VLOOKUP($J8057,'Informations sur les produits'!$A$3:$H$10000,8,FALSE),"0")</f>
        <v>0</v>
      </c>
      <c r="N8057" s="8"/>
      <c r="O8057" s="33" t="str">
        <f>IFERROR(VLOOKUP($M8057,'Informations sur les produits'!$A$3:$H$10000,8,FALSE),"0")</f>
        <v>0</v>
      </c>
      <c r="P8057" s="33">
        <f t="shared" si="500"/>
        <v>0</v>
      </c>
      <c r="Q8057" s="31" t="str">
        <f t="shared" si="501"/>
        <v/>
      </c>
      <c r="R8057" s="32" t="str">
        <f>IFERROR(VLOOKUP($D8057,'Informations sur les produits'!$A$3:$B$15000,2,FALSE),"")</f>
        <v/>
      </c>
      <c r="V8057">
        <f t="shared" si="502"/>
        <v>0</v>
      </c>
      <c r="W8057">
        <f t="shared" si="503"/>
        <v>0</v>
      </c>
    </row>
    <row r="8058" spans="5:23" x14ac:dyDescent="0.25">
      <c r="E8058" s="4"/>
      <c r="F8058" s="4"/>
      <c r="G8058" s="33" t="str">
        <f>IFERROR(VLOOKUP($D8058,'Informations sur les produits'!$A$3:$H$10000,8,FALSE),"0")</f>
        <v>0</v>
      </c>
      <c r="K8058" s="4"/>
      <c r="L8058" s="33" t="str">
        <f>IFERROR(VLOOKUP($J8058,'Informations sur les produits'!$A$3:$H$10000,8,FALSE),"0")</f>
        <v>0</v>
      </c>
      <c r="N8058" s="8"/>
      <c r="O8058" s="33" t="str">
        <f>IFERROR(VLOOKUP($M8058,'Informations sur les produits'!$A$3:$H$10000,8,FALSE),"0")</f>
        <v>0</v>
      </c>
      <c r="P8058" s="33">
        <f t="shared" si="500"/>
        <v>0</v>
      </c>
      <c r="Q8058" s="31" t="str">
        <f t="shared" si="501"/>
        <v/>
      </c>
      <c r="R8058" s="32" t="str">
        <f>IFERROR(VLOOKUP($D8058,'Informations sur les produits'!$A$3:$B$15000,2,FALSE),"")</f>
        <v/>
      </c>
      <c r="V8058">
        <f t="shared" si="502"/>
        <v>0</v>
      </c>
      <c r="W8058">
        <f t="shared" si="503"/>
        <v>0</v>
      </c>
    </row>
    <row r="8059" spans="5:23" x14ac:dyDescent="0.25">
      <c r="E8059" s="4"/>
      <c r="F8059" s="4"/>
      <c r="G8059" s="33" t="str">
        <f>IFERROR(VLOOKUP($D8059,'Informations sur les produits'!$A$3:$H$10000,8,FALSE),"0")</f>
        <v>0</v>
      </c>
      <c r="K8059" s="4"/>
      <c r="L8059" s="33" t="str">
        <f>IFERROR(VLOOKUP($J8059,'Informations sur les produits'!$A$3:$H$10000,8,FALSE),"0")</f>
        <v>0</v>
      </c>
      <c r="N8059" s="8"/>
      <c r="O8059" s="33" t="str">
        <f>IFERROR(VLOOKUP($M8059,'Informations sur les produits'!$A$3:$H$10000,8,FALSE),"0")</f>
        <v>0</v>
      </c>
      <c r="P8059" s="33">
        <f t="shared" si="500"/>
        <v>0</v>
      </c>
      <c r="Q8059" s="31" t="str">
        <f t="shared" si="501"/>
        <v/>
      </c>
      <c r="R8059" s="32" t="str">
        <f>IFERROR(VLOOKUP($D8059,'Informations sur les produits'!$A$3:$B$15000,2,FALSE),"")</f>
        <v/>
      </c>
      <c r="V8059">
        <f t="shared" si="502"/>
        <v>0</v>
      </c>
      <c r="W8059">
        <f t="shared" si="503"/>
        <v>0</v>
      </c>
    </row>
    <row r="8060" spans="5:23" x14ac:dyDescent="0.25">
      <c r="E8060" s="4"/>
      <c r="F8060" s="4"/>
      <c r="G8060" s="33" t="str">
        <f>IFERROR(VLOOKUP($D8060,'Informations sur les produits'!$A$3:$H$10000,8,FALSE),"0")</f>
        <v>0</v>
      </c>
      <c r="K8060" s="4"/>
      <c r="L8060" s="33" t="str">
        <f>IFERROR(VLOOKUP($J8060,'Informations sur les produits'!$A$3:$H$10000,8,FALSE),"0")</f>
        <v>0</v>
      </c>
      <c r="N8060" s="8"/>
      <c r="O8060" s="33" t="str">
        <f>IFERROR(VLOOKUP($M8060,'Informations sur les produits'!$A$3:$H$10000,8,FALSE),"0")</f>
        <v>0</v>
      </c>
      <c r="P8060" s="33">
        <f t="shared" si="500"/>
        <v>0</v>
      </c>
      <c r="Q8060" s="31" t="str">
        <f t="shared" si="501"/>
        <v/>
      </c>
      <c r="R8060" s="32" t="str">
        <f>IFERROR(VLOOKUP($D8060,'Informations sur les produits'!$A$3:$B$15000,2,FALSE),"")</f>
        <v/>
      </c>
      <c r="V8060">
        <f t="shared" si="502"/>
        <v>0</v>
      </c>
      <c r="W8060">
        <f t="shared" si="503"/>
        <v>0</v>
      </c>
    </row>
    <row r="8061" spans="5:23" x14ac:dyDescent="0.25">
      <c r="E8061" s="4"/>
      <c r="F8061" s="4"/>
      <c r="G8061" s="33" t="str">
        <f>IFERROR(VLOOKUP($D8061,'Informations sur les produits'!$A$3:$H$10000,8,FALSE),"0")</f>
        <v>0</v>
      </c>
      <c r="K8061" s="4"/>
      <c r="L8061" s="33" t="str">
        <f>IFERROR(VLOOKUP($J8061,'Informations sur les produits'!$A$3:$H$10000,8,FALSE),"0")</f>
        <v>0</v>
      </c>
      <c r="N8061" s="8"/>
      <c r="O8061" s="33" t="str">
        <f>IFERROR(VLOOKUP($M8061,'Informations sur les produits'!$A$3:$H$10000,8,FALSE),"0")</f>
        <v>0</v>
      </c>
      <c r="P8061" s="33">
        <f t="shared" si="500"/>
        <v>0</v>
      </c>
      <c r="Q8061" s="31" t="str">
        <f t="shared" si="501"/>
        <v/>
      </c>
      <c r="R8061" s="32" t="str">
        <f>IFERROR(VLOOKUP($D8061,'Informations sur les produits'!$A$3:$B$15000,2,FALSE),"")</f>
        <v/>
      </c>
      <c r="V8061">
        <f t="shared" si="502"/>
        <v>0</v>
      </c>
      <c r="W8061">
        <f t="shared" si="503"/>
        <v>0</v>
      </c>
    </row>
    <row r="8062" spans="5:23" x14ac:dyDescent="0.25">
      <c r="E8062" s="4"/>
      <c r="F8062" s="4"/>
      <c r="G8062" s="33" t="str">
        <f>IFERROR(VLOOKUP($D8062,'Informations sur les produits'!$A$3:$H$10000,8,FALSE),"0")</f>
        <v>0</v>
      </c>
      <c r="K8062" s="4"/>
      <c r="L8062" s="33" t="str">
        <f>IFERROR(VLOOKUP($J8062,'Informations sur les produits'!$A$3:$H$10000,8,FALSE),"0")</f>
        <v>0</v>
      </c>
      <c r="N8062" s="8"/>
      <c r="O8062" s="33" t="str">
        <f>IFERROR(VLOOKUP($M8062,'Informations sur les produits'!$A$3:$H$10000,8,FALSE),"0")</f>
        <v>0</v>
      </c>
      <c r="P8062" s="33">
        <f t="shared" si="500"/>
        <v>0</v>
      </c>
      <c r="Q8062" s="31" t="str">
        <f t="shared" si="501"/>
        <v/>
      </c>
      <c r="R8062" s="32" t="str">
        <f>IFERROR(VLOOKUP($D8062,'Informations sur les produits'!$A$3:$B$15000,2,FALSE),"")</f>
        <v/>
      </c>
      <c r="V8062">
        <f t="shared" si="502"/>
        <v>0</v>
      </c>
      <c r="W8062">
        <f t="shared" si="503"/>
        <v>0</v>
      </c>
    </row>
    <row r="8063" spans="5:23" x14ac:dyDescent="0.25">
      <c r="E8063" s="4"/>
      <c r="F8063" s="4"/>
      <c r="G8063" s="33" t="str">
        <f>IFERROR(VLOOKUP($D8063,'Informations sur les produits'!$A$3:$H$10000,8,FALSE),"0")</f>
        <v>0</v>
      </c>
      <c r="K8063" s="4"/>
      <c r="L8063" s="33" t="str">
        <f>IFERROR(VLOOKUP($J8063,'Informations sur les produits'!$A$3:$H$10000,8,FALSE),"0")</f>
        <v>0</v>
      </c>
      <c r="N8063" s="8"/>
      <c r="O8063" s="33" t="str">
        <f>IFERROR(VLOOKUP($M8063,'Informations sur les produits'!$A$3:$H$10000,8,FALSE),"0")</f>
        <v>0</v>
      </c>
      <c r="P8063" s="33">
        <f t="shared" si="500"/>
        <v>0</v>
      </c>
      <c r="Q8063" s="31" t="str">
        <f t="shared" si="501"/>
        <v/>
      </c>
      <c r="R8063" s="32" t="str">
        <f>IFERROR(VLOOKUP($D8063,'Informations sur les produits'!$A$3:$B$15000,2,FALSE),"")</f>
        <v/>
      </c>
      <c r="V8063">
        <f t="shared" si="502"/>
        <v>0</v>
      </c>
      <c r="W8063">
        <f t="shared" si="503"/>
        <v>0</v>
      </c>
    </row>
    <row r="8064" spans="5:23" x14ac:dyDescent="0.25">
      <c r="E8064" s="4"/>
      <c r="F8064" s="4"/>
      <c r="G8064" s="33" t="str">
        <f>IFERROR(VLOOKUP($D8064,'Informations sur les produits'!$A$3:$H$10000,8,FALSE),"0")</f>
        <v>0</v>
      </c>
      <c r="K8064" s="4"/>
      <c r="L8064" s="33" t="str">
        <f>IFERROR(VLOOKUP($J8064,'Informations sur les produits'!$A$3:$H$10000,8,FALSE),"0")</f>
        <v>0</v>
      </c>
      <c r="N8064" s="8"/>
      <c r="O8064" s="33" t="str">
        <f>IFERROR(VLOOKUP($M8064,'Informations sur les produits'!$A$3:$H$10000,8,FALSE),"0")</f>
        <v>0</v>
      </c>
      <c r="P8064" s="33">
        <f t="shared" si="500"/>
        <v>0</v>
      </c>
      <c r="Q8064" s="31" t="str">
        <f t="shared" si="501"/>
        <v/>
      </c>
      <c r="R8064" s="32" t="str">
        <f>IFERROR(VLOOKUP($D8064,'Informations sur les produits'!$A$3:$B$15000,2,FALSE),"")</f>
        <v/>
      </c>
      <c r="V8064">
        <f t="shared" si="502"/>
        <v>0</v>
      </c>
      <c r="W8064">
        <f t="shared" si="503"/>
        <v>0</v>
      </c>
    </row>
    <row r="8065" spans="5:23" x14ac:dyDescent="0.25">
      <c r="E8065" s="4"/>
      <c r="F8065" s="4"/>
      <c r="G8065" s="33" t="str">
        <f>IFERROR(VLOOKUP($D8065,'Informations sur les produits'!$A$3:$H$10000,8,FALSE),"0")</f>
        <v>0</v>
      </c>
      <c r="K8065" s="4"/>
      <c r="L8065" s="33" t="str">
        <f>IFERROR(VLOOKUP($J8065,'Informations sur les produits'!$A$3:$H$10000,8,FALSE),"0")</f>
        <v>0</v>
      </c>
      <c r="N8065" s="8"/>
      <c r="O8065" s="33" t="str">
        <f>IFERROR(VLOOKUP($M8065,'Informations sur les produits'!$A$3:$H$10000,8,FALSE),"0")</f>
        <v>0</v>
      </c>
      <c r="P8065" s="33">
        <f t="shared" si="500"/>
        <v>0</v>
      </c>
      <c r="Q8065" s="31" t="str">
        <f t="shared" si="501"/>
        <v/>
      </c>
      <c r="R8065" s="32" t="str">
        <f>IFERROR(VLOOKUP($D8065,'Informations sur les produits'!$A$3:$B$15000,2,FALSE),"")</f>
        <v/>
      </c>
      <c r="V8065">
        <f t="shared" si="502"/>
        <v>0</v>
      </c>
      <c r="W8065">
        <f t="shared" si="503"/>
        <v>0</v>
      </c>
    </row>
    <row r="8066" spans="5:23" x14ac:dyDescent="0.25">
      <c r="E8066" s="4"/>
      <c r="F8066" s="4"/>
      <c r="G8066" s="33" t="str">
        <f>IFERROR(VLOOKUP($D8066,'Informations sur les produits'!$A$3:$H$10000,8,FALSE),"0")</f>
        <v>0</v>
      </c>
      <c r="K8066" s="4"/>
      <c r="L8066" s="33" t="str">
        <f>IFERROR(VLOOKUP($J8066,'Informations sur les produits'!$A$3:$H$10000,8,FALSE),"0")</f>
        <v>0</v>
      </c>
      <c r="N8066" s="8"/>
      <c r="O8066" s="33" t="str">
        <f>IFERROR(VLOOKUP($M8066,'Informations sur les produits'!$A$3:$H$10000,8,FALSE),"0")</f>
        <v>0</v>
      </c>
      <c r="P8066" s="33">
        <f t="shared" si="500"/>
        <v>0</v>
      </c>
      <c r="Q8066" s="31" t="str">
        <f t="shared" si="501"/>
        <v/>
      </c>
      <c r="R8066" s="32" t="str">
        <f>IFERROR(VLOOKUP($D8066,'Informations sur les produits'!$A$3:$B$15000,2,FALSE),"")</f>
        <v/>
      </c>
      <c r="V8066">
        <f t="shared" si="502"/>
        <v>0</v>
      </c>
      <c r="W8066">
        <f t="shared" si="503"/>
        <v>0</v>
      </c>
    </row>
    <row r="8067" spans="5:23" x14ac:dyDescent="0.25">
      <c r="E8067" s="4"/>
      <c r="F8067" s="4"/>
      <c r="G8067" s="33" t="str">
        <f>IFERROR(VLOOKUP($D8067,'Informations sur les produits'!$A$3:$H$10000,8,FALSE),"0")</f>
        <v>0</v>
      </c>
      <c r="K8067" s="4"/>
      <c r="L8067" s="33" t="str">
        <f>IFERROR(VLOOKUP($J8067,'Informations sur les produits'!$A$3:$H$10000,8,FALSE),"0")</f>
        <v>0</v>
      </c>
      <c r="N8067" s="8"/>
      <c r="O8067" s="33" t="str">
        <f>IFERROR(VLOOKUP($M8067,'Informations sur les produits'!$A$3:$H$10000,8,FALSE),"0")</f>
        <v>0</v>
      </c>
      <c r="P8067" s="33">
        <f t="shared" si="500"/>
        <v>0</v>
      </c>
      <c r="Q8067" s="31" t="str">
        <f t="shared" si="501"/>
        <v/>
      </c>
      <c r="R8067" s="32" t="str">
        <f>IFERROR(VLOOKUP($D8067,'Informations sur les produits'!$A$3:$B$15000,2,FALSE),"")</f>
        <v/>
      </c>
      <c r="V8067">
        <f t="shared" si="502"/>
        <v>0</v>
      </c>
      <c r="W8067">
        <f t="shared" si="503"/>
        <v>0</v>
      </c>
    </row>
    <row r="8068" spans="5:23" x14ac:dyDescent="0.25">
      <c r="E8068" s="4"/>
      <c r="F8068" s="4"/>
      <c r="G8068" s="33" t="str">
        <f>IFERROR(VLOOKUP($D8068,'Informations sur les produits'!$A$3:$H$10000,8,FALSE),"0")</f>
        <v>0</v>
      </c>
      <c r="K8068" s="4"/>
      <c r="L8068" s="33" t="str">
        <f>IFERROR(VLOOKUP($J8068,'Informations sur les produits'!$A$3:$H$10000,8,FALSE),"0")</f>
        <v>0</v>
      </c>
      <c r="N8068" s="8"/>
      <c r="O8068" s="33" t="str">
        <f>IFERROR(VLOOKUP($M8068,'Informations sur les produits'!$A$3:$H$10000,8,FALSE),"0")</f>
        <v>0</v>
      </c>
      <c r="P8068" s="33">
        <f t="shared" ref="P8068:P8131" si="504">IFERROR((($E8068-$F8068)*$G8068+$K8068*$L8068+$N8068*$O8068),"")</f>
        <v>0</v>
      </c>
      <c r="Q8068" s="31" t="str">
        <f t="shared" ref="Q8068:Q8131" si="505">IFERROR((((($E8068-$F8068)*$G8068+$K8068*$L8068+$N8068*$O8068)*1000)/(($E8068-$F8068)+$K8068+$N8068)),"")</f>
        <v/>
      </c>
      <c r="R8068" s="32" t="str">
        <f>IFERROR(VLOOKUP($D8068,'Informations sur les produits'!$A$3:$B$15000,2,FALSE),"")</f>
        <v/>
      </c>
      <c r="V8068">
        <f t="shared" ref="V8068:V8131" si="506">IFERROR(P8068*1000,"")</f>
        <v>0</v>
      </c>
      <c r="W8068">
        <f t="shared" ref="W8068:W8131" si="507">IFERROR(($E8068-$F8068)+$K8068+$N8068,"")</f>
        <v>0</v>
      </c>
    </row>
    <row r="8069" spans="5:23" x14ac:dyDescent="0.25">
      <c r="E8069" s="4"/>
      <c r="F8069" s="4"/>
      <c r="G8069" s="33" t="str">
        <f>IFERROR(VLOOKUP($D8069,'Informations sur les produits'!$A$3:$H$10000,8,FALSE),"0")</f>
        <v>0</v>
      </c>
      <c r="K8069" s="4"/>
      <c r="L8069" s="33" t="str">
        <f>IFERROR(VLOOKUP($J8069,'Informations sur les produits'!$A$3:$H$10000,8,FALSE),"0")</f>
        <v>0</v>
      </c>
      <c r="N8069" s="8"/>
      <c r="O8069" s="33" t="str">
        <f>IFERROR(VLOOKUP($M8069,'Informations sur les produits'!$A$3:$H$10000,8,FALSE),"0")</f>
        <v>0</v>
      </c>
      <c r="P8069" s="33">
        <f t="shared" si="504"/>
        <v>0</v>
      </c>
      <c r="Q8069" s="31" t="str">
        <f t="shared" si="505"/>
        <v/>
      </c>
      <c r="R8069" s="32" t="str">
        <f>IFERROR(VLOOKUP($D8069,'Informations sur les produits'!$A$3:$B$15000,2,FALSE),"")</f>
        <v/>
      </c>
      <c r="V8069">
        <f t="shared" si="506"/>
        <v>0</v>
      </c>
      <c r="W8069">
        <f t="shared" si="507"/>
        <v>0</v>
      </c>
    </row>
    <row r="8070" spans="5:23" x14ac:dyDescent="0.25">
      <c r="E8070" s="4"/>
      <c r="F8070" s="4"/>
      <c r="G8070" s="33" t="str">
        <f>IFERROR(VLOOKUP($D8070,'Informations sur les produits'!$A$3:$H$10000,8,FALSE),"0")</f>
        <v>0</v>
      </c>
      <c r="K8070" s="4"/>
      <c r="L8070" s="33" t="str">
        <f>IFERROR(VLOOKUP($J8070,'Informations sur les produits'!$A$3:$H$10000,8,FALSE),"0")</f>
        <v>0</v>
      </c>
      <c r="N8070" s="8"/>
      <c r="O8070" s="33" t="str">
        <f>IFERROR(VLOOKUP($M8070,'Informations sur les produits'!$A$3:$H$10000,8,FALSE),"0")</f>
        <v>0</v>
      </c>
      <c r="P8070" s="33">
        <f t="shared" si="504"/>
        <v>0</v>
      </c>
      <c r="Q8070" s="31" t="str">
        <f t="shared" si="505"/>
        <v/>
      </c>
      <c r="R8070" s="32" t="str">
        <f>IFERROR(VLOOKUP($D8070,'Informations sur les produits'!$A$3:$B$15000,2,FALSE),"")</f>
        <v/>
      </c>
      <c r="V8070">
        <f t="shared" si="506"/>
        <v>0</v>
      </c>
      <c r="W8070">
        <f t="shared" si="507"/>
        <v>0</v>
      </c>
    </row>
    <row r="8071" spans="5:23" x14ac:dyDescent="0.25">
      <c r="E8071" s="4"/>
      <c r="F8071" s="4"/>
      <c r="G8071" s="33" t="str">
        <f>IFERROR(VLOOKUP($D8071,'Informations sur les produits'!$A$3:$H$10000,8,FALSE),"0")</f>
        <v>0</v>
      </c>
      <c r="K8071" s="4"/>
      <c r="L8071" s="33" t="str">
        <f>IFERROR(VLOOKUP($J8071,'Informations sur les produits'!$A$3:$H$10000,8,FALSE),"0")</f>
        <v>0</v>
      </c>
      <c r="N8071" s="8"/>
      <c r="O8071" s="33" t="str">
        <f>IFERROR(VLOOKUP($M8071,'Informations sur les produits'!$A$3:$H$10000,8,FALSE),"0")</f>
        <v>0</v>
      </c>
      <c r="P8071" s="33">
        <f t="shared" si="504"/>
        <v>0</v>
      </c>
      <c r="Q8071" s="31" t="str">
        <f t="shared" si="505"/>
        <v/>
      </c>
      <c r="R8071" s="32" t="str">
        <f>IFERROR(VLOOKUP($D8071,'Informations sur les produits'!$A$3:$B$15000,2,FALSE),"")</f>
        <v/>
      </c>
      <c r="V8071">
        <f t="shared" si="506"/>
        <v>0</v>
      </c>
      <c r="W8071">
        <f t="shared" si="507"/>
        <v>0</v>
      </c>
    </row>
    <row r="8072" spans="5:23" x14ac:dyDescent="0.25">
      <c r="E8072" s="4"/>
      <c r="F8072" s="4"/>
      <c r="G8072" s="33" t="str">
        <f>IFERROR(VLOOKUP($D8072,'Informations sur les produits'!$A$3:$H$10000,8,FALSE),"0")</f>
        <v>0</v>
      </c>
      <c r="K8072" s="4"/>
      <c r="L8072" s="33" t="str">
        <f>IFERROR(VLOOKUP($J8072,'Informations sur les produits'!$A$3:$H$10000,8,FALSE),"0")</f>
        <v>0</v>
      </c>
      <c r="N8072" s="8"/>
      <c r="O8072" s="33" t="str">
        <f>IFERROR(VLOOKUP($M8072,'Informations sur les produits'!$A$3:$H$10000,8,FALSE),"0")</f>
        <v>0</v>
      </c>
      <c r="P8072" s="33">
        <f t="shared" si="504"/>
        <v>0</v>
      </c>
      <c r="Q8072" s="31" t="str">
        <f t="shared" si="505"/>
        <v/>
      </c>
      <c r="R8072" s="32" t="str">
        <f>IFERROR(VLOOKUP($D8072,'Informations sur les produits'!$A$3:$B$15000,2,FALSE),"")</f>
        <v/>
      </c>
      <c r="V8072">
        <f t="shared" si="506"/>
        <v>0</v>
      </c>
      <c r="W8072">
        <f t="shared" si="507"/>
        <v>0</v>
      </c>
    </row>
    <row r="8073" spans="5:23" x14ac:dyDescent="0.25">
      <c r="E8073" s="4"/>
      <c r="F8073" s="4"/>
      <c r="G8073" s="33" t="str">
        <f>IFERROR(VLOOKUP($D8073,'Informations sur les produits'!$A$3:$H$10000,8,FALSE),"0")</f>
        <v>0</v>
      </c>
      <c r="K8073" s="4"/>
      <c r="L8073" s="33" t="str">
        <f>IFERROR(VLOOKUP($J8073,'Informations sur les produits'!$A$3:$H$10000,8,FALSE),"0")</f>
        <v>0</v>
      </c>
      <c r="N8073" s="8"/>
      <c r="O8073" s="33" t="str">
        <f>IFERROR(VLOOKUP($M8073,'Informations sur les produits'!$A$3:$H$10000,8,FALSE),"0")</f>
        <v>0</v>
      </c>
      <c r="P8073" s="33">
        <f t="shared" si="504"/>
        <v>0</v>
      </c>
      <c r="Q8073" s="31" t="str">
        <f t="shared" si="505"/>
        <v/>
      </c>
      <c r="R8073" s="32" t="str">
        <f>IFERROR(VLOOKUP($D8073,'Informations sur les produits'!$A$3:$B$15000,2,FALSE),"")</f>
        <v/>
      </c>
      <c r="V8073">
        <f t="shared" si="506"/>
        <v>0</v>
      </c>
      <c r="W8073">
        <f t="shared" si="507"/>
        <v>0</v>
      </c>
    </row>
    <row r="8074" spans="5:23" x14ac:dyDescent="0.25">
      <c r="E8074" s="4"/>
      <c r="F8074" s="4"/>
      <c r="G8074" s="33" t="str">
        <f>IFERROR(VLOOKUP($D8074,'Informations sur les produits'!$A$3:$H$10000,8,FALSE),"0")</f>
        <v>0</v>
      </c>
      <c r="K8074" s="4"/>
      <c r="L8074" s="33" t="str">
        <f>IFERROR(VLOOKUP($J8074,'Informations sur les produits'!$A$3:$H$10000,8,FALSE),"0")</f>
        <v>0</v>
      </c>
      <c r="N8074" s="8"/>
      <c r="O8074" s="33" t="str">
        <f>IFERROR(VLOOKUP($M8074,'Informations sur les produits'!$A$3:$H$10000,8,FALSE),"0")</f>
        <v>0</v>
      </c>
      <c r="P8074" s="33">
        <f t="shared" si="504"/>
        <v>0</v>
      </c>
      <c r="Q8074" s="31" t="str">
        <f t="shared" si="505"/>
        <v/>
      </c>
      <c r="R8074" s="32" t="str">
        <f>IFERROR(VLOOKUP($D8074,'Informations sur les produits'!$A$3:$B$15000,2,FALSE),"")</f>
        <v/>
      </c>
      <c r="V8074">
        <f t="shared" si="506"/>
        <v>0</v>
      </c>
      <c r="W8074">
        <f t="shared" si="507"/>
        <v>0</v>
      </c>
    </row>
    <row r="8075" spans="5:23" x14ac:dyDescent="0.25">
      <c r="E8075" s="4"/>
      <c r="F8075" s="4"/>
      <c r="G8075" s="33" t="str">
        <f>IFERROR(VLOOKUP($D8075,'Informations sur les produits'!$A$3:$H$10000,8,FALSE),"0")</f>
        <v>0</v>
      </c>
      <c r="K8075" s="4"/>
      <c r="L8075" s="33" t="str">
        <f>IFERROR(VLOOKUP($J8075,'Informations sur les produits'!$A$3:$H$10000,8,FALSE),"0")</f>
        <v>0</v>
      </c>
      <c r="N8075" s="8"/>
      <c r="O8075" s="33" t="str">
        <f>IFERROR(VLOOKUP($M8075,'Informations sur les produits'!$A$3:$H$10000,8,FALSE),"0")</f>
        <v>0</v>
      </c>
      <c r="P8075" s="33">
        <f t="shared" si="504"/>
        <v>0</v>
      </c>
      <c r="Q8075" s="31" t="str">
        <f t="shared" si="505"/>
        <v/>
      </c>
      <c r="R8075" s="32" t="str">
        <f>IFERROR(VLOOKUP($D8075,'Informations sur les produits'!$A$3:$B$15000,2,FALSE),"")</f>
        <v/>
      </c>
      <c r="V8075">
        <f t="shared" si="506"/>
        <v>0</v>
      </c>
      <c r="W8075">
        <f t="shared" si="507"/>
        <v>0</v>
      </c>
    </row>
    <row r="8076" spans="5:23" x14ac:dyDescent="0.25">
      <c r="E8076" s="4"/>
      <c r="F8076" s="4"/>
      <c r="G8076" s="33" t="str">
        <f>IFERROR(VLOOKUP($D8076,'Informations sur les produits'!$A$3:$H$10000,8,FALSE),"0")</f>
        <v>0</v>
      </c>
      <c r="K8076" s="4"/>
      <c r="L8076" s="33" t="str">
        <f>IFERROR(VLOOKUP($J8076,'Informations sur les produits'!$A$3:$H$10000,8,FALSE),"0")</f>
        <v>0</v>
      </c>
      <c r="N8076" s="8"/>
      <c r="O8076" s="33" t="str">
        <f>IFERROR(VLOOKUP($M8076,'Informations sur les produits'!$A$3:$H$10000,8,FALSE),"0")</f>
        <v>0</v>
      </c>
      <c r="P8076" s="33">
        <f t="shared" si="504"/>
        <v>0</v>
      </c>
      <c r="Q8076" s="31" t="str">
        <f t="shared" si="505"/>
        <v/>
      </c>
      <c r="R8076" s="32" t="str">
        <f>IFERROR(VLOOKUP($D8076,'Informations sur les produits'!$A$3:$B$15000,2,FALSE),"")</f>
        <v/>
      </c>
      <c r="V8076">
        <f t="shared" si="506"/>
        <v>0</v>
      </c>
      <c r="W8076">
        <f t="shared" si="507"/>
        <v>0</v>
      </c>
    </row>
    <row r="8077" spans="5:23" x14ac:dyDescent="0.25">
      <c r="E8077" s="4"/>
      <c r="F8077" s="4"/>
      <c r="G8077" s="33" t="str">
        <f>IFERROR(VLOOKUP($D8077,'Informations sur les produits'!$A$3:$H$10000,8,FALSE),"0")</f>
        <v>0</v>
      </c>
      <c r="K8077" s="4"/>
      <c r="L8077" s="33" t="str">
        <f>IFERROR(VLOOKUP($J8077,'Informations sur les produits'!$A$3:$H$10000,8,FALSE),"0")</f>
        <v>0</v>
      </c>
      <c r="N8077" s="8"/>
      <c r="O8077" s="33" t="str">
        <f>IFERROR(VLOOKUP($M8077,'Informations sur les produits'!$A$3:$H$10000,8,FALSE),"0")</f>
        <v>0</v>
      </c>
      <c r="P8077" s="33">
        <f t="shared" si="504"/>
        <v>0</v>
      </c>
      <c r="Q8077" s="31" t="str">
        <f t="shared" si="505"/>
        <v/>
      </c>
      <c r="R8077" s="32" t="str">
        <f>IFERROR(VLOOKUP($D8077,'Informations sur les produits'!$A$3:$B$15000,2,FALSE),"")</f>
        <v/>
      </c>
      <c r="V8077">
        <f t="shared" si="506"/>
        <v>0</v>
      </c>
      <c r="W8077">
        <f t="shared" si="507"/>
        <v>0</v>
      </c>
    </row>
    <row r="8078" spans="5:23" x14ac:dyDescent="0.25">
      <c r="E8078" s="4"/>
      <c r="F8078" s="4"/>
      <c r="G8078" s="33" t="str">
        <f>IFERROR(VLOOKUP($D8078,'Informations sur les produits'!$A$3:$H$10000,8,FALSE),"0")</f>
        <v>0</v>
      </c>
      <c r="K8078" s="4"/>
      <c r="L8078" s="33" t="str">
        <f>IFERROR(VLOOKUP($J8078,'Informations sur les produits'!$A$3:$H$10000,8,FALSE),"0")</f>
        <v>0</v>
      </c>
      <c r="N8078" s="8"/>
      <c r="O8078" s="33" t="str">
        <f>IFERROR(VLOOKUP($M8078,'Informations sur les produits'!$A$3:$H$10000,8,FALSE),"0")</f>
        <v>0</v>
      </c>
      <c r="P8078" s="33">
        <f t="shared" si="504"/>
        <v>0</v>
      </c>
      <c r="Q8078" s="31" t="str">
        <f t="shared" si="505"/>
        <v/>
      </c>
      <c r="R8078" s="32" t="str">
        <f>IFERROR(VLOOKUP($D8078,'Informations sur les produits'!$A$3:$B$15000,2,FALSE),"")</f>
        <v/>
      </c>
      <c r="V8078">
        <f t="shared" si="506"/>
        <v>0</v>
      </c>
      <c r="W8078">
        <f t="shared" si="507"/>
        <v>0</v>
      </c>
    </row>
    <row r="8079" spans="5:23" x14ac:dyDescent="0.25">
      <c r="E8079" s="4"/>
      <c r="F8079" s="4"/>
      <c r="G8079" s="33" t="str">
        <f>IFERROR(VLOOKUP($D8079,'Informations sur les produits'!$A$3:$H$10000,8,FALSE),"0")</f>
        <v>0</v>
      </c>
      <c r="K8079" s="4"/>
      <c r="L8079" s="33" t="str">
        <f>IFERROR(VLOOKUP($J8079,'Informations sur les produits'!$A$3:$H$10000,8,FALSE),"0")</f>
        <v>0</v>
      </c>
      <c r="N8079" s="8"/>
      <c r="O8079" s="33" t="str">
        <f>IFERROR(VLOOKUP($M8079,'Informations sur les produits'!$A$3:$H$10000,8,FALSE),"0")</f>
        <v>0</v>
      </c>
      <c r="P8079" s="33">
        <f t="shared" si="504"/>
        <v>0</v>
      </c>
      <c r="Q8079" s="31" t="str">
        <f t="shared" si="505"/>
        <v/>
      </c>
      <c r="R8079" s="32" t="str">
        <f>IFERROR(VLOOKUP($D8079,'Informations sur les produits'!$A$3:$B$15000,2,FALSE),"")</f>
        <v/>
      </c>
      <c r="V8079">
        <f t="shared" si="506"/>
        <v>0</v>
      </c>
      <c r="W8079">
        <f t="shared" si="507"/>
        <v>0</v>
      </c>
    </row>
    <row r="8080" spans="5:23" x14ac:dyDescent="0.25">
      <c r="E8080" s="4"/>
      <c r="F8080" s="4"/>
      <c r="G8080" s="33" t="str">
        <f>IFERROR(VLOOKUP($D8080,'Informations sur les produits'!$A$3:$H$10000,8,FALSE),"0")</f>
        <v>0</v>
      </c>
      <c r="K8080" s="4"/>
      <c r="L8080" s="33" t="str">
        <f>IFERROR(VLOOKUP($J8080,'Informations sur les produits'!$A$3:$H$10000,8,FALSE),"0")</f>
        <v>0</v>
      </c>
      <c r="N8080" s="8"/>
      <c r="O8080" s="33" t="str">
        <f>IFERROR(VLOOKUP($M8080,'Informations sur les produits'!$A$3:$H$10000,8,FALSE),"0")</f>
        <v>0</v>
      </c>
      <c r="P8080" s="33">
        <f t="shared" si="504"/>
        <v>0</v>
      </c>
      <c r="Q8080" s="31" t="str">
        <f t="shared" si="505"/>
        <v/>
      </c>
      <c r="R8080" s="32" t="str">
        <f>IFERROR(VLOOKUP($D8080,'Informations sur les produits'!$A$3:$B$15000,2,FALSE),"")</f>
        <v/>
      </c>
      <c r="V8080">
        <f t="shared" si="506"/>
        <v>0</v>
      </c>
      <c r="W8080">
        <f t="shared" si="507"/>
        <v>0</v>
      </c>
    </row>
    <row r="8081" spans="5:23" x14ac:dyDescent="0.25">
      <c r="E8081" s="4"/>
      <c r="F8081" s="4"/>
      <c r="G8081" s="33" t="str">
        <f>IFERROR(VLOOKUP($D8081,'Informations sur les produits'!$A$3:$H$10000,8,FALSE),"0")</f>
        <v>0</v>
      </c>
      <c r="K8081" s="4"/>
      <c r="L8081" s="33" t="str">
        <f>IFERROR(VLOOKUP($J8081,'Informations sur les produits'!$A$3:$H$10000,8,FALSE),"0")</f>
        <v>0</v>
      </c>
      <c r="N8081" s="8"/>
      <c r="O8081" s="33" t="str">
        <f>IFERROR(VLOOKUP($M8081,'Informations sur les produits'!$A$3:$H$10000,8,FALSE),"0")</f>
        <v>0</v>
      </c>
      <c r="P8081" s="33">
        <f t="shared" si="504"/>
        <v>0</v>
      </c>
      <c r="Q8081" s="31" t="str">
        <f t="shared" si="505"/>
        <v/>
      </c>
      <c r="R8081" s="32" t="str">
        <f>IFERROR(VLOOKUP($D8081,'Informations sur les produits'!$A$3:$B$15000,2,FALSE),"")</f>
        <v/>
      </c>
      <c r="V8081">
        <f t="shared" si="506"/>
        <v>0</v>
      </c>
      <c r="W8081">
        <f t="shared" si="507"/>
        <v>0</v>
      </c>
    </row>
    <row r="8082" spans="5:23" x14ac:dyDescent="0.25">
      <c r="E8082" s="4"/>
      <c r="F8082" s="4"/>
      <c r="G8082" s="33" t="str">
        <f>IFERROR(VLOOKUP($D8082,'Informations sur les produits'!$A$3:$H$10000,8,FALSE),"0")</f>
        <v>0</v>
      </c>
      <c r="K8082" s="4"/>
      <c r="L8082" s="33" t="str">
        <f>IFERROR(VLOOKUP($J8082,'Informations sur les produits'!$A$3:$H$10000,8,FALSE),"0")</f>
        <v>0</v>
      </c>
      <c r="N8082" s="8"/>
      <c r="O8082" s="33" t="str">
        <f>IFERROR(VLOOKUP($M8082,'Informations sur les produits'!$A$3:$H$10000,8,FALSE),"0")</f>
        <v>0</v>
      </c>
      <c r="P8082" s="33">
        <f t="shared" si="504"/>
        <v>0</v>
      </c>
      <c r="Q8082" s="31" t="str">
        <f t="shared" si="505"/>
        <v/>
      </c>
      <c r="R8082" s="32" t="str">
        <f>IFERROR(VLOOKUP($D8082,'Informations sur les produits'!$A$3:$B$15000,2,FALSE),"")</f>
        <v/>
      </c>
      <c r="V8082">
        <f t="shared" si="506"/>
        <v>0</v>
      </c>
      <c r="W8082">
        <f t="shared" si="507"/>
        <v>0</v>
      </c>
    </row>
    <row r="8083" spans="5:23" x14ac:dyDescent="0.25">
      <c r="E8083" s="4"/>
      <c r="F8083" s="4"/>
      <c r="G8083" s="33" t="str">
        <f>IFERROR(VLOOKUP($D8083,'Informations sur les produits'!$A$3:$H$10000,8,FALSE),"0")</f>
        <v>0</v>
      </c>
      <c r="K8083" s="4"/>
      <c r="L8083" s="33" t="str">
        <f>IFERROR(VLOOKUP($J8083,'Informations sur les produits'!$A$3:$H$10000,8,FALSE),"0")</f>
        <v>0</v>
      </c>
      <c r="N8083" s="8"/>
      <c r="O8083" s="33" t="str">
        <f>IFERROR(VLOOKUP($M8083,'Informations sur les produits'!$A$3:$H$10000,8,FALSE),"0")</f>
        <v>0</v>
      </c>
      <c r="P8083" s="33">
        <f t="shared" si="504"/>
        <v>0</v>
      </c>
      <c r="Q8083" s="31" t="str">
        <f t="shared" si="505"/>
        <v/>
      </c>
      <c r="R8083" s="32" t="str">
        <f>IFERROR(VLOOKUP($D8083,'Informations sur les produits'!$A$3:$B$15000,2,FALSE),"")</f>
        <v/>
      </c>
      <c r="V8083">
        <f t="shared" si="506"/>
        <v>0</v>
      </c>
      <c r="W8083">
        <f t="shared" si="507"/>
        <v>0</v>
      </c>
    </row>
    <row r="8084" spans="5:23" x14ac:dyDescent="0.25">
      <c r="E8084" s="4"/>
      <c r="F8084" s="4"/>
      <c r="G8084" s="33" t="str">
        <f>IFERROR(VLOOKUP($D8084,'Informations sur les produits'!$A$3:$H$10000,8,FALSE),"0")</f>
        <v>0</v>
      </c>
      <c r="K8084" s="4"/>
      <c r="L8084" s="33" t="str">
        <f>IFERROR(VLOOKUP($J8084,'Informations sur les produits'!$A$3:$H$10000,8,FALSE),"0")</f>
        <v>0</v>
      </c>
      <c r="N8084" s="8"/>
      <c r="O8084" s="33" t="str">
        <f>IFERROR(VLOOKUP($M8084,'Informations sur les produits'!$A$3:$H$10000,8,FALSE),"0")</f>
        <v>0</v>
      </c>
      <c r="P8084" s="33">
        <f t="shared" si="504"/>
        <v>0</v>
      </c>
      <c r="Q8084" s="31" t="str">
        <f t="shared" si="505"/>
        <v/>
      </c>
      <c r="R8084" s="32" t="str">
        <f>IFERROR(VLOOKUP($D8084,'Informations sur les produits'!$A$3:$B$15000,2,FALSE),"")</f>
        <v/>
      </c>
      <c r="V8084">
        <f t="shared" si="506"/>
        <v>0</v>
      </c>
      <c r="W8084">
        <f t="shared" si="507"/>
        <v>0</v>
      </c>
    </row>
    <row r="8085" spans="5:23" x14ac:dyDescent="0.25">
      <c r="E8085" s="4"/>
      <c r="F8085" s="4"/>
      <c r="G8085" s="33" t="str">
        <f>IFERROR(VLOOKUP($D8085,'Informations sur les produits'!$A$3:$H$10000,8,FALSE),"0")</f>
        <v>0</v>
      </c>
      <c r="K8085" s="4"/>
      <c r="L8085" s="33" t="str">
        <f>IFERROR(VLOOKUP($J8085,'Informations sur les produits'!$A$3:$H$10000,8,FALSE),"0")</f>
        <v>0</v>
      </c>
      <c r="N8085" s="8"/>
      <c r="O8085" s="33" t="str">
        <f>IFERROR(VLOOKUP($M8085,'Informations sur les produits'!$A$3:$H$10000,8,FALSE),"0")</f>
        <v>0</v>
      </c>
      <c r="P8085" s="33">
        <f t="shared" si="504"/>
        <v>0</v>
      </c>
      <c r="Q8085" s="31" t="str">
        <f t="shared" si="505"/>
        <v/>
      </c>
      <c r="R8085" s="32" t="str">
        <f>IFERROR(VLOOKUP($D8085,'Informations sur les produits'!$A$3:$B$15000,2,FALSE),"")</f>
        <v/>
      </c>
      <c r="V8085">
        <f t="shared" si="506"/>
        <v>0</v>
      </c>
      <c r="W8085">
        <f t="shared" si="507"/>
        <v>0</v>
      </c>
    </row>
    <row r="8086" spans="5:23" x14ac:dyDescent="0.25">
      <c r="E8086" s="4"/>
      <c r="F8086" s="4"/>
      <c r="G8086" s="33" t="str">
        <f>IFERROR(VLOOKUP($D8086,'Informations sur les produits'!$A$3:$H$10000,8,FALSE),"0")</f>
        <v>0</v>
      </c>
      <c r="K8086" s="4"/>
      <c r="L8086" s="33" t="str">
        <f>IFERROR(VLOOKUP($J8086,'Informations sur les produits'!$A$3:$H$10000,8,FALSE),"0")</f>
        <v>0</v>
      </c>
      <c r="N8086" s="8"/>
      <c r="O8086" s="33" t="str">
        <f>IFERROR(VLOOKUP($M8086,'Informations sur les produits'!$A$3:$H$10000,8,FALSE),"0")</f>
        <v>0</v>
      </c>
      <c r="P8086" s="33">
        <f t="shared" si="504"/>
        <v>0</v>
      </c>
      <c r="Q8086" s="31" t="str">
        <f t="shared" si="505"/>
        <v/>
      </c>
      <c r="R8086" s="32" t="str">
        <f>IFERROR(VLOOKUP($D8086,'Informations sur les produits'!$A$3:$B$15000,2,FALSE),"")</f>
        <v/>
      </c>
      <c r="V8086">
        <f t="shared" si="506"/>
        <v>0</v>
      </c>
      <c r="W8086">
        <f t="shared" si="507"/>
        <v>0</v>
      </c>
    </row>
    <row r="8087" spans="5:23" x14ac:dyDescent="0.25">
      <c r="E8087" s="4"/>
      <c r="F8087" s="4"/>
      <c r="G8087" s="33" t="str">
        <f>IFERROR(VLOOKUP($D8087,'Informations sur les produits'!$A$3:$H$10000,8,FALSE),"0")</f>
        <v>0</v>
      </c>
      <c r="K8087" s="4"/>
      <c r="L8087" s="33" t="str">
        <f>IFERROR(VLOOKUP($J8087,'Informations sur les produits'!$A$3:$H$10000,8,FALSE),"0")</f>
        <v>0</v>
      </c>
      <c r="N8087" s="8"/>
      <c r="O8087" s="33" t="str">
        <f>IFERROR(VLOOKUP($M8087,'Informations sur les produits'!$A$3:$H$10000,8,FALSE),"0")</f>
        <v>0</v>
      </c>
      <c r="P8087" s="33">
        <f t="shared" si="504"/>
        <v>0</v>
      </c>
      <c r="Q8087" s="31" t="str">
        <f t="shared" si="505"/>
        <v/>
      </c>
      <c r="R8087" s="32" t="str">
        <f>IFERROR(VLOOKUP($D8087,'Informations sur les produits'!$A$3:$B$15000,2,FALSE),"")</f>
        <v/>
      </c>
      <c r="V8087">
        <f t="shared" si="506"/>
        <v>0</v>
      </c>
      <c r="W8087">
        <f t="shared" si="507"/>
        <v>0</v>
      </c>
    </row>
    <row r="8088" spans="5:23" x14ac:dyDescent="0.25">
      <c r="E8088" s="4"/>
      <c r="F8088" s="4"/>
      <c r="G8088" s="33" t="str">
        <f>IFERROR(VLOOKUP($D8088,'Informations sur les produits'!$A$3:$H$10000,8,FALSE),"0")</f>
        <v>0</v>
      </c>
      <c r="K8088" s="4"/>
      <c r="L8088" s="33" t="str">
        <f>IFERROR(VLOOKUP($J8088,'Informations sur les produits'!$A$3:$H$10000,8,FALSE),"0")</f>
        <v>0</v>
      </c>
      <c r="N8088" s="8"/>
      <c r="O8088" s="33" t="str">
        <f>IFERROR(VLOOKUP($M8088,'Informations sur les produits'!$A$3:$H$10000,8,FALSE),"0")</f>
        <v>0</v>
      </c>
      <c r="P8088" s="33">
        <f t="shared" si="504"/>
        <v>0</v>
      </c>
      <c r="Q8088" s="31" t="str">
        <f t="shared" si="505"/>
        <v/>
      </c>
      <c r="R8088" s="32" t="str">
        <f>IFERROR(VLOOKUP($D8088,'Informations sur les produits'!$A$3:$B$15000,2,FALSE),"")</f>
        <v/>
      </c>
      <c r="V8088">
        <f t="shared" si="506"/>
        <v>0</v>
      </c>
      <c r="W8088">
        <f t="shared" si="507"/>
        <v>0</v>
      </c>
    </row>
    <row r="8089" spans="5:23" x14ac:dyDescent="0.25">
      <c r="E8089" s="4"/>
      <c r="F8089" s="4"/>
      <c r="G8089" s="33" t="str">
        <f>IFERROR(VLOOKUP($D8089,'Informations sur les produits'!$A$3:$H$10000,8,FALSE),"0")</f>
        <v>0</v>
      </c>
      <c r="K8089" s="4"/>
      <c r="L8089" s="33" t="str">
        <f>IFERROR(VLOOKUP($J8089,'Informations sur les produits'!$A$3:$H$10000,8,FALSE),"0")</f>
        <v>0</v>
      </c>
      <c r="N8089" s="8"/>
      <c r="O8089" s="33" t="str">
        <f>IFERROR(VLOOKUP($M8089,'Informations sur les produits'!$A$3:$H$10000,8,FALSE),"0")</f>
        <v>0</v>
      </c>
      <c r="P8089" s="33">
        <f t="shared" si="504"/>
        <v>0</v>
      </c>
      <c r="Q8089" s="31" t="str">
        <f t="shared" si="505"/>
        <v/>
      </c>
      <c r="R8089" s="32" t="str">
        <f>IFERROR(VLOOKUP($D8089,'Informations sur les produits'!$A$3:$B$15000,2,FALSE),"")</f>
        <v/>
      </c>
      <c r="V8089">
        <f t="shared" si="506"/>
        <v>0</v>
      </c>
      <c r="W8089">
        <f t="shared" si="507"/>
        <v>0</v>
      </c>
    </row>
    <row r="8090" spans="5:23" x14ac:dyDescent="0.25">
      <c r="E8090" s="4"/>
      <c r="F8090" s="4"/>
      <c r="G8090" s="33" t="str">
        <f>IFERROR(VLOOKUP($D8090,'Informations sur les produits'!$A$3:$H$10000,8,FALSE),"0")</f>
        <v>0</v>
      </c>
      <c r="K8090" s="4"/>
      <c r="L8090" s="33" t="str">
        <f>IFERROR(VLOOKUP($J8090,'Informations sur les produits'!$A$3:$H$10000,8,FALSE),"0")</f>
        <v>0</v>
      </c>
      <c r="N8090" s="8"/>
      <c r="O8090" s="33" t="str">
        <f>IFERROR(VLOOKUP($M8090,'Informations sur les produits'!$A$3:$H$10000,8,FALSE),"0")</f>
        <v>0</v>
      </c>
      <c r="P8090" s="33">
        <f t="shared" si="504"/>
        <v>0</v>
      </c>
      <c r="Q8090" s="31" t="str">
        <f t="shared" si="505"/>
        <v/>
      </c>
      <c r="R8090" s="32" t="str">
        <f>IFERROR(VLOOKUP($D8090,'Informations sur les produits'!$A$3:$B$15000,2,FALSE),"")</f>
        <v/>
      </c>
      <c r="V8090">
        <f t="shared" si="506"/>
        <v>0</v>
      </c>
      <c r="W8090">
        <f t="shared" si="507"/>
        <v>0</v>
      </c>
    </row>
    <row r="8091" spans="5:23" x14ac:dyDescent="0.25">
      <c r="E8091" s="4"/>
      <c r="F8091" s="4"/>
      <c r="G8091" s="33" t="str">
        <f>IFERROR(VLOOKUP($D8091,'Informations sur les produits'!$A$3:$H$10000,8,FALSE),"0")</f>
        <v>0</v>
      </c>
      <c r="K8091" s="4"/>
      <c r="L8091" s="33" t="str">
        <f>IFERROR(VLOOKUP($J8091,'Informations sur les produits'!$A$3:$H$10000,8,FALSE),"0")</f>
        <v>0</v>
      </c>
      <c r="N8091" s="8"/>
      <c r="O8091" s="33" t="str">
        <f>IFERROR(VLOOKUP($M8091,'Informations sur les produits'!$A$3:$H$10000,8,FALSE),"0")</f>
        <v>0</v>
      </c>
      <c r="P8091" s="33">
        <f t="shared" si="504"/>
        <v>0</v>
      </c>
      <c r="Q8091" s="31" t="str">
        <f t="shared" si="505"/>
        <v/>
      </c>
      <c r="R8091" s="32" t="str">
        <f>IFERROR(VLOOKUP($D8091,'Informations sur les produits'!$A$3:$B$15000,2,FALSE),"")</f>
        <v/>
      </c>
      <c r="V8091">
        <f t="shared" si="506"/>
        <v>0</v>
      </c>
      <c r="W8091">
        <f t="shared" si="507"/>
        <v>0</v>
      </c>
    </row>
    <row r="8092" spans="5:23" x14ac:dyDescent="0.25">
      <c r="E8092" s="4"/>
      <c r="F8092" s="4"/>
      <c r="G8092" s="33" t="str">
        <f>IFERROR(VLOOKUP($D8092,'Informations sur les produits'!$A$3:$H$10000,8,FALSE),"0")</f>
        <v>0</v>
      </c>
      <c r="K8092" s="4"/>
      <c r="L8092" s="33" t="str">
        <f>IFERROR(VLOOKUP($J8092,'Informations sur les produits'!$A$3:$H$10000,8,FALSE),"0")</f>
        <v>0</v>
      </c>
      <c r="N8092" s="8"/>
      <c r="O8092" s="33" t="str">
        <f>IFERROR(VLOOKUP($M8092,'Informations sur les produits'!$A$3:$H$10000,8,FALSE),"0")</f>
        <v>0</v>
      </c>
      <c r="P8092" s="33">
        <f t="shared" si="504"/>
        <v>0</v>
      </c>
      <c r="Q8092" s="31" t="str">
        <f t="shared" si="505"/>
        <v/>
      </c>
      <c r="R8092" s="32" t="str">
        <f>IFERROR(VLOOKUP($D8092,'Informations sur les produits'!$A$3:$B$15000,2,FALSE),"")</f>
        <v/>
      </c>
      <c r="V8092">
        <f t="shared" si="506"/>
        <v>0</v>
      </c>
      <c r="W8092">
        <f t="shared" si="507"/>
        <v>0</v>
      </c>
    </row>
    <row r="8093" spans="5:23" x14ac:dyDescent="0.25">
      <c r="E8093" s="4"/>
      <c r="F8093" s="4"/>
      <c r="G8093" s="33" t="str">
        <f>IFERROR(VLOOKUP($D8093,'Informations sur les produits'!$A$3:$H$10000,8,FALSE),"0")</f>
        <v>0</v>
      </c>
      <c r="K8093" s="4"/>
      <c r="L8093" s="33" t="str">
        <f>IFERROR(VLOOKUP($J8093,'Informations sur les produits'!$A$3:$H$10000,8,FALSE),"0")</f>
        <v>0</v>
      </c>
      <c r="N8093" s="8"/>
      <c r="O8093" s="33" t="str">
        <f>IFERROR(VLOOKUP($M8093,'Informations sur les produits'!$A$3:$H$10000,8,FALSE),"0")</f>
        <v>0</v>
      </c>
      <c r="P8093" s="33">
        <f t="shared" si="504"/>
        <v>0</v>
      </c>
      <c r="Q8093" s="31" t="str">
        <f t="shared" si="505"/>
        <v/>
      </c>
      <c r="R8093" s="32" t="str">
        <f>IFERROR(VLOOKUP($D8093,'Informations sur les produits'!$A$3:$B$15000,2,FALSE),"")</f>
        <v/>
      </c>
      <c r="V8093">
        <f t="shared" si="506"/>
        <v>0</v>
      </c>
      <c r="W8093">
        <f t="shared" si="507"/>
        <v>0</v>
      </c>
    </row>
    <row r="8094" spans="5:23" x14ac:dyDescent="0.25">
      <c r="E8094" s="4"/>
      <c r="F8094" s="4"/>
      <c r="G8094" s="33" t="str">
        <f>IFERROR(VLOOKUP($D8094,'Informations sur les produits'!$A$3:$H$10000,8,FALSE),"0")</f>
        <v>0</v>
      </c>
      <c r="K8094" s="4"/>
      <c r="L8094" s="33" t="str">
        <f>IFERROR(VLOOKUP($J8094,'Informations sur les produits'!$A$3:$H$10000,8,FALSE),"0")</f>
        <v>0</v>
      </c>
      <c r="N8094" s="8"/>
      <c r="O8094" s="33" t="str">
        <f>IFERROR(VLOOKUP($M8094,'Informations sur les produits'!$A$3:$H$10000,8,FALSE),"0")</f>
        <v>0</v>
      </c>
      <c r="P8094" s="33">
        <f t="shared" si="504"/>
        <v>0</v>
      </c>
      <c r="Q8094" s="31" t="str">
        <f t="shared" si="505"/>
        <v/>
      </c>
      <c r="R8094" s="32" t="str">
        <f>IFERROR(VLOOKUP($D8094,'Informations sur les produits'!$A$3:$B$15000,2,FALSE),"")</f>
        <v/>
      </c>
      <c r="V8094">
        <f t="shared" si="506"/>
        <v>0</v>
      </c>
      <c r="W8094">
        <f t="shared" si="507"/>
        <v>0</v>
      </c>
    </row>
    <row r="8095" spans="5:23" x14ac:dyDescent="0.25">
      <c r="E8095" s="4"/>
      <c r="F8095" s="4"/>
      <c r="G8095" s="33" t="str">
        <f>IFERROR(VLOOKUP($D8095,'Informations sur les produits'!$A$3:$H$10000,8,FALSE),"0")</f>
        <v>0</v>
      </c>
      <c r="K8095" s="4"/>
      <c r="L8095" s="33" t="str">
        <f>IFERROR(VLOOKUP($J8095,'Informations sur les produits'!$A$3:$H$10000,8,FALSE),"0")</f>
        <v>0</v>
      </c>
      <c r="N8095" s="8"/>
      <c r="O8095" s="33" t="str">
        <f>IFERROR(VLOOKUP($M8095,'Informations sur les produits'!$A$3:$H$10000,8,FALSE),"0")</f>
        <v>0</v>
      </c>
      <c r="P8095" s="33">
        <f t="shared" si="504"/>
        <v>0</v>
      </c>
      <c r="Q8095" s="31" t="str">
        <f t="shared" si="505"/>
        <v/>
      </c>
      <c r="R8095" s="32" t="str">
        <f>IFERROR(VLOOKUP($D8095,'Informations sur les produits'!$A$3:$B$15000,2,FALSE),"")</f>
        <v/>
      </c>
      <c r="V8095">
        <f t="shared" si="506"/>
        <v>0</v>
      </c>
      <c r="W8095">
        <f t="shared" si="507"/>
        <v>0</v>
      </c>
    </row>
    <row r="8096" spans="5:23" x14ac:dyDescent="0.25">
      <c r="E8096" s="4"/>
      <c r="F8096" s="4"/>
      <c r="G8096" s="33" t="str">
        <f>IFERROR(VLOOKUP($D8096,'Informations sur les produits'!$A$3:$H$10000,8,FALSE),"0")</f>
        <v>0</v>
      </c>
      <c r="K8096" s="4"/>
      <c r="L8096" s="33" t="str">
        <f>IFERROR(VLOOKUP($J8096,'Informations sur les produits'!$A$3:$H$10000,8,FALSE),"0")</f>
        <v>0</v>
      </c>
      <c r="N8096" s="8"/>
      <c r="O8096" s="33" t="str">
        <f>IFERROR(VLOOKUP($M8096,'Informations sur les produits'!$A$3:$H$10000,8,FALSE),"0")</f>
        <v>0</v>
      </c>
      <c r="P8096" s="33">
        <f t="shared" si="504"/>
        <v>0</v>
      </c>
      <c r="Q8096" s="31" t="str">
        <f t="shared" si="505"/>
        <v/>
      </c>
      <c r="R8096" s="32" t="str">
        <f>IFERROR(VLOOKUP($D8096,'Informations sur les produits'!$A$3:$B$15000,2,FALSE),"")</f>
        <v/>
      </c>
      <c r="V8096">
        <f t="shared" si="506"/>
        <v>0</v>
      </c>
      <c r="W8096">
        <f t="shared" si="507"/>
        <v>0</v>
      </c>
    </row>
    <row r="8097" spans="5:23" x14ac:dyDescent="0.25">
      <c r="E8097" s="4"/>
      <c r="F8097" s="4"/>
      <c r="G8097" s="33" t="str">
        <f>IFERROR(VLOOKUP($D8097,'Informations sur les produits'!$A$3:$H$10000,8,FALSE),"0")</f>
        <v>0</v>
      </c>
      <c r="K8097" s="4"/>
      <c r="L8097" s="33" t="str">
        <f>IFERROR(VLOOKUP($J8097,'Informations sur les produits'!$A$3:$H$10000,8,FALSE),"0")</f>
        <v>0</v>
      </c>
      <c r="N8097" s="8"/>
      <c r="O8097" s="33" t="str">
        <f>IFERROR(VLOOKUP($M8097,'Informations sur les produits'!$A$3:$H$10000,8,FALSE),"0")</f>
        <v>0</v>
      </c>
      <c r="P8097" s="33">
        <f t="shared" si="504"/>
        <v>0</v>
      </c>
      <c r="Q8097" s="31" t="str">
        <f t="shared" si="505"/>
        <v/>
      </c>
      <c r="R8097" s="32" t="str">
        <f>IFERROR(VLOOKUP($D8097,'Informations sur les produits'!$A$3:$B$15000,2,FALSE),"")</f>
        <v/>
      </c>
      <c r="V8097">
        <f t="shared" si="506"/>
        <v>0</v>
      </c>
      <c r="W8097">
        <f t="shared" si="507"/>
        <v>0</v>
      </c>
    </row>
    <row r="8098" spans="5:23" x14ac:dyDescent="0.25">
      <c r="E8098" s="4"/>
      <c r="F8098" s="4"/>
      <c r="G8098" s="33" t="str">
        <f>IFERROR(VLOOKUP($D8098,'Informations sur les produits'!$A$3:$H$10000,8,FALSE),"0")</f>
        <v>0</v>
      </c>
      <c r="K8098" s="4"/>
      <c r="L8098" s="33" t="str">
        <f>IFERROR(VLOOKUP($J8098,'Informations sur les produits'!$A$3:$H$10000,8,FALSE),"0")</f>
        <v>0</v>
      </c>
      <c r="N8098" s="8"/>
      <c r="O8098" s="33" t="str">
        <f>IFERROR(VLOOKUP($M8098,'Informations sur les produits'!$A$3:$H$10000,8,FALSE),"0")</f>
        <v>0</v>
      </c>
      <c r="P8098" s="33">
        <f t="shared" si="504"/>
        <v>0</v>
      </c>
      <c r="Q8098" s="31" t="str">
        <f t="shared" si="505"/>
        <v/>
      </c>
      <c r="R8098" s="32" t="str">
        <f>IFERROR(VLOOKUP($D8098,'Informations sur les produits'!$A$3:$B$15000,2,FALSE),"")</f>
        <v/>
      </c>
      <c r="V8098">
        <f t="shared" si="506"/>
        <v>0</v>
      </c>
      <c r="W8098">
        <f t="shared" si="507"/>
        <v>0</v>
      </c>
    </row>
    <row r="8099" spans="5:23" x14ac:dyDescent="0.25">
      <c r="E8099" s="4"/>
      <c r="F8099" s="4"/>
      <c r="G8099" s="33" t="str">
        <f>IFERROR(VLOOKUP($D8099,'Informations sur les produits'!$A$3:$H$10000,8,FALSE),"0")</f>
        <v>0</v>
      </c>
      <c r="K8099" s="4"/>
      <c r="L8099" s="33" t="str">
        <f>IFERROR(VLOOKUP($J8099,'Informations sur les produits'!$A$3:$H$10000,8,FALSE),"0")</f>
        <v>0</v>
      </c>
      <c r="N8099" s="8"/>
      <c r="O8099" s="33" t="str">
        <f>IFERROR(VLOOKUP($M8099,'Informations sur les produits'!$A$3:$H$10000,8,FALSE),"0")</f>
        <v>0</v>
      </c>
      <c r="P8099" s="33">
        <f t="shared" si="504"/>
        <v>0</v>
      </c>
      <c r="Q8099" s="31" t="str">
        <f t="shared" si="505"/>
        <v/>
      </c>
      <c r="R8099" s="32" t="str">
        <f>IFERROR(VLOOKUP($D8099,'Informations sur les produits'!$A$3:$B$15000,2,FALSE),"")</f>
        <v/>
      </c>
      <c r="V8099">
        <f t="shared" si="506"/>
        <v>0</v>
      </c>
      <c r="W8099">
        <f t="shared" si="507"/>
        <v>0</v>
      </c>
    </row>
    <row r="8100" spans="5:23" x14ac:dyDescent="0.25">
      <c r="E8100" s="4"/>
      <c r="F8100" s="4"/>
      <c r="G8100" s="33" t="str">
        <f>IFERROR(VLOOKUP($D8100,'Informations sur les produits'!$A$3:$H$10000,8,FALSE),"0")</f>
        <v>0</v>
      </c>
      <c r="K8100" s="4"/>
      <c r="L8100" s="33" t="str">
        <f>IFERROR(VLOOKUP($J8100,'Informations sur les produits'!$A$3:$H$10000,8,FALSE),"0")</f>
        <v>0</v>
      </c>
      <c r="N8100" s="8"/>
      <c r="O8100" s="33" t="str">
        <f>IFERROR(VLOOKUP($M8100,'Informations sur les produits'!$A$3:$H$10000,8,FALSE),"0")</f>
        <v>0</v>
      </c>
      <c r="P8100" s="33">
        <f t="shared" si="504"/>
        <v>0</v>
      </c>
      <c r="Q8100" s="31" t="str">
        <f t="shared" si="505"/>
        <v/>
      </c>
      <c r="R8100" s="32" t="str">
        <f>IFERROR(VLOOKUP($D8100,'Informations sur les produits'!$A$3:$B$15000,2,FALSE),"")</f>
        <v/>
      </c>
      <c r="V8100">
        <f t="shared" si="506"/>
        <v>0</v>
      </c>
      <c r="W8100">
        <f t="shared" si="507"/>
        <v>0</v>
      </c>
    </row>
    <row r="8101" spans="5:23" x14ac:dyDescent="0.25">
      <c r="E8101" s="4"/>
      <c r="F8101" s="4"/>
      <c r="G8101" s="33" t="str">
        <f>IFERROR(VLOOKUP($D8101,'Informations sur les produits'!$A$3:$H$10000,8,FALSE),"0")</f>
        <v>0</v>
      </c>
      <c r="K8101" s="4"/>
      <c r="L8101" s="33" t="str">
        <f>IFERROR(VLOOKUP($J8101,'Informations sur les produits'!$A$3:$H$10000,8,FALSE),"0")</f>
        <v>0</v>
      </c>
      <c r="N8101" s="8"/>
      <c r="O8101" s="33" t="str">
        <f>IFERROR(VLOOKUP($M8101,'Informations sur les produits'!$A$3:$H$10000,8,FALSE),"0")</f>
        <v>0</v>
      </c>
      <c r="P8101" s="33">
        <f t="shared" si="504"/>
        <v>0</v>
      </c>
      <c r="Q8101" s="31" t="str">
        <f t="shared" si="505"/>
        <v/>
      </c>
      <c r="R8101" s="32" t="str">
        <f>IFERROR(VLOOKUP($D8101,'Informations sur les produits'!$A$3:$B$15000,2,FALSE),"")</f>
        <v/>
      </c>
      <c r="V8101">
        <f t="shared" si="506"/>
        <v>0</v>
      </c>
      <c r="W8101">
        <f t="shared" si="507"/>
        <v>0</v>
      </c>
    </row>
    <row r="8102" spans="5:23" x14ac:dyDescent="0.25">
      <c r="E8102" s="4"/>
      <c r="F8102" s="4"/>
      <c r="G8102" s="33" t="str">
        <f>IFERROR(VLOOKUP($D8102,'Informations sur les produits'!$A$3:$H$10000,8,FALSE),"0")</f>
        <v>0</v>
      </c>
      <c r="K8102" s="4"/>
      <c r="L8102" s="33" t="str">
        <f>IFERROR(VLOOKUP($J8102,'Informations sur les produits'!$A$3:$H$10000,8,FALSE),"0")</f>
        <v>0</v>
      </c>
      <c r="N8102" s="8"/>
      <c r="O8102" s="33" t="str">
        <f>IFERROR(VLOOKUP($M8102,'Informations sur les produits'!$A$3:$H$10000,8,FALSE),"0")</f>
        <v>0</v>
      </c>
      <c r="P8102" s="33">
        <f t="shared" si="504"/>
        <v>0</v>
      </c>
      <c r="Q8102" s="31" t="str">
        <f t="shared" si="505"/>
        <v/>
      </c>
      <c r="R8102" s="32" t="str">
        <f>IFERROR(VLOOKUP($D8102,'Informations sur les produits'!$A$3:$B$15000,2,FALSE),"")</f>
        <v/>
      </c>
      <c r="V8102">
        <f t="shared" si="506"/>
        <v>0</v>
      </c>
      <c r="W8102">
        <f t="shared" si="507"/>
        <v>0</v>
      </c>
    </row>
    <row r="8103" spans="5:23" x14ac:dyDescent="0.25">
      <c r="E8103" s="4"/>
      <c r="F8103" s="4"/>
      <c r="G8103" s="33" t="str">
        <f>IFERROR(VLOOKUP($D8103,'Informations sur les produits'!$A$3:$H$10000,8,FALSE),"0")</f>
        <v>0</v>
      </c>
      <c r="K8103" s="4"/>
      <c r="L8103" s="33" t="str">
        <f>IFERROR(VLOOKUP($J8103,'Informations sur les produits'!$A$3:$H$10000,8,FALSE),"0")</f>
        <v>0</v>
      </c>
      <c r="N8103" s="8"/>
      <c r="O8103" s="33" t="str">
        <f>IFERROR(VLOOKUP($M8103,'Informations sur les produits'!$A$3:$H$10000,8,FALSE),"0")</f>
        <v>0</v>
      </c>
      <c r="P8103" s="33">
        <f t="shared" si="504"/>
        <v>0</v>
      </c>
      <c r="Q8103" s="31" t="str">
        <f t="shared" si="505"/>
        <v/>
      </c>
      <c r="R8103" s="32" t="str">
        <f>IFERROR(VLOOKUP($D8103,'Informations sur les produits'!$A$3:$B$15000,2,FALSE),"")</f>
        <v/>
      </c>
      <c r="V8103">
        <f t="shared" si="506"/>
        <v>0</v>
      </c>
      <c r="W8103">
        <f t="shared" si="507"/>
        <v>0</v>
      </c>
    </row>
    <row r="8104" spans="5:23" x14ac:dyDescent="0.25">
      <c r="E8104" s="4"/>
      <c r="F8104" s="4"/>
      <c r="G8104" s="33" t="str">
        <f>IFERROR(VLOOKUP($D8104,'Informations sur les produits'!$A$3:$H$10000,8,FALSE),"0")</f>
        <v>0</v>
      </c>
      <c r="K8104" s="4"/>
      <c r="L8104" s="33" t="str">
        <f>IFERROR(VLOOKUP($J8104,'Informations sur les produits'!$A$3:$H$10000,8,FALSE),"0")</f>
        <v>0</v>
      </c>
      <c r="N8104" s="8"/>
      <c r="O8104" s="33" t="str">
        <f>IFERROR(VLOOKUP($M8104,'Informations sur les produits'!$A$3:$H$10000,8,FALSE),"0")</f>
        <v>0</v>
      </c>
      <c r="P8104" s="33">
        <f t="shared" si="504"/>
        <v>0</v>
      </c>
      <c r="Q8104" s="31" t="str">
        <f t="shared" si="505"/>
        <v/>
      </c>
      <c r="R8104" s="32" t="str">
        <f>IFERROR(VLOOKUP($D8104,'Informations sur les produits'!$A$3:$B$15000,2,FALSE),"")</f>
        <v/>
      </c>
      <c r="V8104">
        <f t="shared" si="506"/>
        <v>0</v>
      </c>
      <c r="W8104">
        <f t="shared" si="507"/>
        <v>0</v>
      </c>
    </row>
    <row r="8105" spans="5:23" x14ac:dyDescent="0.25">
      <c r="E8105" s="4"/>
      <c r="F8105" s="4"/>
      <c r="G8105" s="33" t="str">
        <f>IFERROR(VLOOKUP($D8105,'Informations sur les produits'!$A$3:$H$10000,8,FALSE),"0")</f>
        <v>0</v>
      </c>
      <c r="K8105" s="4"/>
      <c r="L8105" s="33" t="str">
        <f>IFERROR(VLOOKUP($J8105,'Informations sur les produits'!$A$3:$H$10000,8,FALSE),"0")</f>
        <v>0</v>
      </c>
      <c r="N8105" s="8"/>
      <c r="O8105" s="33" t="str">
        <f>IFERROR(VLOOKUP($M8105,'Informations sur les produits'!$A$3:$H$10000,8,FALSE),"0")</f>
        <v>0</v>
      </c>
      <c r="P8105" s="33">
        <f t="shared" si="504"/>
        <v>0</v>
      </c>
      <c r="Q8105" s="31" t="str">
        <f t="shared" si="505"/>
        <v/>
      </c>
      <c r="R8105" s="32" t="str">
        <f>IFERROR(VLOOKUP($D8105,'Informations sur les produits'!$A$3:$B$15000,2,FALSE),"")</f>
        <v/>
      </c>
      <c r="V8105">
        <f t="shared" si="506"/>
        <v>0</v>
      </c>
      <c r="W8105">
        <f t="shared" si="507"/>
        <v>0</v>
      </c>
    </row>
    <row r="8106" spans="5:23" x14ac:dyDescent="0.25">
      <c r="E8106" s="4"/>
      <c r="F8106" s="4"/>
      <c r="G8106" s="33" t="str">
        <f>IFERROR(VLOOKUP($D8106,'Informations sur les produits'!$A$3:$H$10000,8,FALSE),"0")</f>
        <v>0</v>
      </c>
      <c r="K8106" s="4"/>
      <c r="L8106" s="33" t="str">
        <f>IFERROR(VLOOKUP($J8106,'Informations sur les produits'!$A$3:$H$10000,8,FALSE),"0")</f>
        <v>0</v>
      </c>
      <c r="N8106" s="8"/>
      <c r="O8106" s="33" t="str">
        <f>IFERROR(VLOOKUP($M8106,'Informations sur les produits'!$A$3:$H$10000,8,FALSE),"0")</f>
        <v>0</v>
      </c>
      <c r="P8106" s="33">
        <f t="shared" si="504"/>
        <v>0</v>
      </c>
      <c r="Q8106" s="31" t="str">
        <f t="shared" si="505"/>
        <v/>
      </c>
      <c r="R8106" s="32" t="str">
        <f>IFERROR(VLOOKUP($D8106,'Informations sur les produits'!$A$3:$B$15000,2,FALSE),"")</f>
        <v/>
      </c>
      <c r="V8106">
        <f t="shared" si="506"/>
        <v>0</v>
      </c>
      <c r="W8106">
        <f t="shared" si="507"/>
        <v>0</v>
      </c>
    </row>
    <row r="8107" spans="5:23" x14ac:dyDescent="0.25">
      <c r="E8107" s="4"/>
      <c r="F8107" s="4"/>
      <c r="G8107" s="33" t="str">
        <f>IFERROR(VLOOKUP($D8107,'Informations sur les produits'!$A$3:$H$10000,8,FALSE),"0")</f>
        <v>0</v>
      </c>
      <c r="K8107" s="4"/>
      <c r="L8107" s="33" t="str">
        <f>IFERROR(VLOOKUP($J8107,'Informations sur les produits'!$A$3:$H$10000,8,FALSE),"0")</f>
        <v>0</v>
      </c>
      <c r="N8107" s="8"/>
      <c r="O8107" s="33" t="str">
        <f>IFERROR(VLOOKUP($M8107,'Informations sur les produits'!$A$3:$H$10000,8,FALSE),"0")</f>
        <v>0</v>
      </c>
      <c r="P8107" s="33">
        <f t="shared" si="504"/>
        <v>0</v>
      </c>
      <c r="Q8107" s="31" t="str">
        <f t="shared" si="505"/>
        <v/>
      </c>
      <c r="R8107" s="32" t="str">
        <f>IFERROR(VLOOKUP($D8107,'Informations sur les produits'!$A$3:$B$15000,2,FALSE),"")</f>
        <v/>
      </c>
      <c r="V8107">
        <f t="shared" si="506"/>
        <v>0</v>
      </c>
      <c r="W8107">
        <f t="shared" si="507"/>
        <v>0</v>
      </c>
    </row>
    <row r="8108" spans="5:23" x14ac:dyDescent="0.25">
      <c r="E8108" s="4"/>
      <c r="F8108" s="4"/>
      <c r="G8108" s="33" t="str">
        <f>IFERROR(VLOOKUP($D8108,'Informations sur les produits'!$A$3:$H$10000,8,FALSE),"0")</f>
        <v>0</v>
      </c>
      <c r="K8108" s="4"/>
      <c r="L8108" s="33" t="str">
        <f>IFERROR(VLOOKUP($J8108,'Informations sur les produits'!$A$3:$H$10000,8,FALSE),"0")</f>
        <v>0</v>
      </c>
      <c r="N8108" s="8"/>
      <c r="O8108" s="33" t="str">
        <f>IFERROR(VLOOKUP($M8108,'Informations sur les produits'!$A$3:$H$10000,8,FALSE),"0")</f>
        <v>0</v>
      </c>
      <c r="P8108" s="33">
        <f t="shared" si="504"/>
        <v>0</v>
      </c>
      <c r="Q8108" s="31" t="str">
        <f t="shared" si="505"/>
        <v/>
      </c>
      <c r="R8108" s="32" t="str">
        <f>IFERROR(VLOOKUP($D8108,'Informations sur les produits'!$A$3:$B$15000,2,FALSE),"")</f>
        <v/>
      </c>
      <c r="V8108">
        <f t="shared" si="506"/>
        <v>0</v>
      </c>
      <c r="W8108">
        <f t="shared" si="507"/>
        <v>0</v>
      </c>
    </row>
    <row r="8109" spans="5:23" x14ac:dyDescent="0.25">
      <c r="E8109" s="4"/>
      <c r="F8109" s="4"/>
      <c r="G8109" s="33" t="str">
        <f>IFERROR(VLOOKUP($D8109,'Informations sur les produits'!$A$3:$H$10000,8,FALSE),"0")</f>
        <v>0</v>
      </c>
      <c r="K8109" s="4"/>
      <c r="L8109" s="33" t="str">
        <f>IFERROR(VLOOKUP($J8109,'Informations sur les produits'!$A$3:$H$10000,8,FALSE),"0")</f>
        <v>0</v>
      </c>
      <c r="N8109" s="8"/>
      <c r="O8109" s="33" t="str">
        <f>IFERROR(VLOOKUP($M8109,'Informations sur les produits'!$A$3:$H$10000,8,FALSE),"0")</f>
        <v>0</v>
      </c>
      <c r="P8109" s="33">
        <f t="shared" si="504"/>
        <v>0</v>
      </c>
      <c r="Q8109" s="31" t="str">
        <f t="shared" si="505"/>
        <v/>
      </c>
      <c r="R8109" s="32" t="str">
        <f>IFERROR(VLOOKUP($D8109,'Informations sur les produits'!$A$3:$B$15000,2,FALSE),"")</f>
        <v/>
      </c>
      <c r="V8109">
        <f t="shared" si="506"/>
        <v>0</v>
      </c>
      <c r="W8109">
        <f t="shared" si="507"/>
        <v>0</v>
      </c>
    </row>
    <row r="8110" spans="5:23" x14ac:dyDescent="0.25">
      <c r="E8110" s="4"/>
      <c r="F8110" s="4"/>
      <c r="G8110" s="33" t="str">
        <f>IFERROR(VLOOKUP($D8110,'Informations sur les produits'!$A$3:$H$10000,8,FALSE),"0")</f>
        <v>0</v>
      </c>
      <c r="K8110" s="4"/>
      <c r="L8110" s="33" t="str">
        <f>IFERROR(VLOOKUP($J8110,'Informations sur les produits'!$A$3:$H$10000,8,FALSE),"0")</f>
        <v>0</v>
      </c>
      <c r="N8110" s="8"/>
      <c r="O8110" s="33" t="str">
        <f>IFERROR(VLOOKUP($M8110,'Informations sur les produits'!$A$3:$H$10000,8,FALSE),"0")</f>
        <v>0</v>
      </c>
      <c r="P8110" s="33">
        <f t="shared" si="504"/>
        <v>0</v>
      </c>
      <c r="Q8110" s="31" t="str">
        <f t="shared" si="505"/>
        <v/>
      </c>
      <c r="R8110" s="32" t="str">
        <f>IFERROR(VLOOKUP($D8110,'Informations sur les produits'!$A$3:$B$15000,2,FALSE),"")</f>
        <v/>
      </c>
      <c r="V8110">
        <f t="shared" si="506"/>
        <v>0</v>
      </c>
      <c r="W8110">
        <f t="shared" si="507"/>
        <v>0</v>
      </c>
    </row>
    <row r="8111" spans="5:23" x14ac:dyDescent="0.25">
      <c r="E8111" s="4"/>
      <c r="F8111" s="4"/>
      <c r="G8111" s="33" t="str">
        <f>IFERROR(VLOOKUP($D8111,'Informations sur les produits'!$A$3:$H$10000,8,FALSE),"0")</f>
        <v>0</v>
      </c>
      <c r="K8111" s="4"/>
      <c r="L8111" s="33" t="str">
        <f>IFERROR(VLOOKUP($J8111,'Informations sur les produits'!$A$3:$H$10000,8,FALSE),"0")</f>
        <v>0</v>
      </c>
      <c r="N8111" s="8"/>
      <c r="O8111" s="33" t="str">
        <f>IFERROR(VLOOKUP($M8111,'Informations sur les produits'!$A$3:$H$10000,8,FALSE),"0")</f>
        <v>0</v>
      </c>
      <c r="P8111" s="33">
        <f t="shared" si="504"/>
        <v>0</v>
      </c>
      <c r="Q8111" s="31" t="str">
        <f t="shared" si="505"/>
        <v/>
      </c>
      <c r="R8111" s="32" t="str">
        <f>IFERROR(VLOOKUP($D8111,'Informations sur les produits'!$A$3:$B$15000,2,FALSE),"")</f>
        <v/>
      </c>
      <c r="V8111">
        <f t="shared" si="506"/>
        <v>0</v>
      </c>
      <c r="W8111">
        <f t="shared" si="507"/>
        <v>0</v>
      </c>
    </row>
    <row r="8112" spans="5:23" x14ac:dyDescent="0.25">
      <c r="E8112" s="4"/>
      <c r="F8112" s="4"/>
      <c r="G8112" s="33" t="str">
        <f>IFERROR(VLOOKUP($D8112,'Informations sur les produits'!$A$3:$H$10000,8,FALSE),"0")</f>
        <v>0</v>
      </c>
      <c r="K8112" s="4"/>
      <c r="L8112" s="33" t="str">
        <f>IFERROR(VLOOKUP($J8112,'Informations sur les produits'!$A$3:$H$10000,8,FALSE),"0")</f>
        <v>0</v>
      </c>
      <c r="N8112" s="8"/>
      <c r="O8112" s="33" t="str">
        <f>IFERROR(VLOOKUP($M8112,'Informations sur les produits'!$A$3:$H$10000,8,FALSE),"0")</f>
        <v>0</v>
      </c>
      <c r="P8112" s="33">
        <f t="shared" si="504"/>
        <v>0</v>
      </c>
      <c r="Q8112" s="31" t="str">
        <f t="shared" si="505"/>
        <v/>
      </c>
      <c r="R8112" s="32" t="str">
        <f>IFERROR(VLOOKUP($D8112,'Informations sur les produits'!$A$3:$B$15000,2,FALSE),"")</f>
        <v/>
      </c>
      <c r="V8112">
        <f t="shared" si="506"/>
        <v>0</v>
      </c>
      <c r="W8112">
        <f t="shared" si="507"/>
        <v>0</v>
      </c>
    </row>
    <row r="8113" spans="5:23" x14ac:dyDescent="0.25">
      <c r="E8113" s="4"/>
      <c r="F8113" s="4"/>
      <c r="G8113" s="33" t="str">
        <f>IFERROR(VLOOKUP($D8113,'Informations sur les produits'!$A$3:$H$10000,8,FALSE),"0")</f>
        <v>0</v>
      </c>
      <c r="K8113" s="4"/>
      <c r="L8113" s="33" t="str">
        <f>IFERROR(VLOOKUP($J8113,'Informations sur les produits'!$A$3:$H$10000,8,FALSE),"0")</f>
        <v>0</v>
      </c>
      <c r="N8113" s="8"/>
      <c r="O8113" s="33" t="str">
        <f>IFERROR(VLOOKUP($M8113,'Informations sur les produits'!$A$3:$H$10000,8,FALSE),"0")</f>
        <v>0</v>
      </c>
      <c r="P8113" s="33">
        <f t="shared" si="504"/>
        <v>0</v>
      </c>
      <c r="Q8113" s="31" t="str">
        <f t="shared" si="505"/>
        <v/>
      </c>
      <c r="R8113" s="32" t="str">
        <f>IFERROR(VLOOKUP($D8113,'Informations sur les produits'!$A$3:$B$15000,2,FALSE),"")</f>
        <v/>
      </c>
      <c r="V8113">
        <f t="shared" si="506"/>
        <v>0</v>
      </c>
      <c r="W8113">
        <f t="shared" si="507"/>
        <v>0</v>
      </c>
    </row>
    <row r="8114" spans="5:23" x14ac:dyDescent="0.25">
      <c r="E8114" s="4"/>
      <c r="F8114" s="4"/>
      <c r="G8114" s="33" t="str">
        <f>IFERROR(VLOOKUP($D8114,'Informations sur les produits'!$A$3:$H$10000,8,FALSE),"0")</f>
        <v>0</v>
      </c>
      <c r="K8114" s="4"/>
      <c r="L8114" s="33" t="str">
        <f>IFERROR(VLOOKUP($J8114,'Informations sur les produits'!$A$3:$H$10000,8,FALSE),"0")</f>
        <v>0</v>
      </c>
      <c r="N8114" s="8"/>
      <c r="O8114" s="33" t="str">
        <f>IFERROR(VLOOKUP($M8114,'Informations sur les produits'!$A$3:$H$10000,8,FALSE),"0")</f>
        <v>0</v>
      </c>
      <c r="P8114" s="33">
        <f t="shared" si="504"/>
        <v>0</v>
      </c>
      <c r="Q8114" s="31" t="str">
        <f t="shared" si="505"/>
        <v/>
      </c>
      <c r="R8114" s="32" t="str">
        <f>IFERROR(VLOOKUP($D8114,'Informations sur les produits'!$A$3:$B$15000,2,FALSE),"")</f>
        <v/>
      </c>
      <c r="V8114">
        <f t="shared" si="506"/>
        <v>0</v>
      </c>
      <c r="W8114">
        <f t="shared" si="507"/>
        <v>0</v>
      </c>
    </row>
    <row r="8115" spans="5:23" x14ac:dyDescent="0.25">
      <c r="E8115" s="4"/>
      <c r="F8115" s="4"/>
      <c r="G8115" s="33" t="str">
        <f>IFERROR(VLOOKUP($D8115,'Informations sur les produits'!$A$3:$H$10000,8,FALSE),"0")</f>
        <v>0</v>
      </c>
      <c r="K8115" s="4"/>
      <c r="L8115" s="33" t="str">
        <f>IFERROR(VLOOKUP($J8115,'Informations sur les produits'!$A$3:$H$10000,8,FALSE),"0")</f>
        <v>0</v>
      </c>
      <c r="N8115" s="8"/>
      <c r="O8115" s="33" t="str">
        <f>IFERROR(VLOOKUP($M8115,'Informations sur les produits'!$A$3:$H$10000,8,FALSE),"0")</f>
        <v>0</v>
      </c>
      <c r="P8115" s="33">
        <f t="shared" si="504"/>
        <v>0</v>
      </c>
      <c r="Q8115" s="31" t="str">
        <f t="shared" si="505"/>
        <v/>
      </c>
      <c r="R8115" s="32" t="str">
        <f>IFERROR(VLOOKUP($D8115,'Informations sur les produits'!$A$3:$B$15000,2,FALSE),"")</f>
        <v/>
      </c>
      <c r="V8115">
        <f t="shared" si="506"/>
        <v>0</v>
      </c>
      <c r="W8115">
        <f t="shared" si="507"/>
        <v>0</v>
      </c>
    </row>
    <row r="8116" spans="5:23" x14ac:dyDescent="0.25">
      <c r="E8116" s="4"/>
      <c r="F8116" s="4"/>
      <c r="G8116" s="33" t="str">
        <f>IFERROR(VLOOKUP($D8116,'Informations sur les produits'!$A$3:$H$10000,8,FALSE),"0")</f>
        <v>0</v>
      </c>
      <c r="K8116" s="4"/>
      <c r="L8116" s="33" t="str">
        <f>IFERROR(VLOOKUP($J8116,'Informations sur les produits'!$A$3:$H$10000,8,FALSE),"0")</f>
        <v>0</v>
      </c>
      <c r="N8116" s="8"/>
      <c r="O8116" s="33" t="str">
        <f>IFERROR(VLOOKUP($M8116,'Informations sur les produits'!$A$3:$H$10000,8,FALSE),"0")</f>
        <v>0</v>
      </c>
      <c r="P8116" s="33">
        <f t="shared" si="504"/>
        <v>0</v>
      </c>
      <c r="Q8116" s="31" t="str">
        <f t="shared" si="505"/>
        <v/>
      </c>
      <c r="R8116" s="32" t="str">
        <f>IFERROR(VLOOKUP($D8116,'Informations sur les produits'!$A$3:$B$15000,2,FALSE),"")</f>
        <v/>
      </c>
      <c r="V8116">
        <f t="shared" si="506"/>
        <v>0</v>
      </c>
      <c r="W8116">
        <f t="shared" si="507"/>
        <v>0</v>
      </c>
    </row>
    <row r="8117" spans="5:23" x14ac:dyDescent="0.25">
      <c r="E8117" s="4"/>
      <c r="F8117" s="4"/>
      <c r="G8117" s="33" t="str">
        <f>IFERROR(VLOOKUP($D8117,'Informations sur les produits'!$A$3:$H$10000,8,FALSE),"0")</f>
        <v>0</v>
      </c>
      <c r="K8117" s="4"/>
      <c r="L8117" s="33" t="str">
        <f>IFERROR(VLOOKUP($J8117,'Informations sur les produits'!$A$3:$H$10000,8,FALSE),"0")</f>
        <v>0</v>
      </c>
      <c r="N8117" s="8"/>
      <c r="O8117" s="33" t="str">
        <f>IFERROR(VLOOKUP($M8117,'Informations sur les produits'!$A$3:$H$10000,8,FALSE),"0")</f>
        <v>0</v>
      </c>
      <c r="P8117" s="33">
        <f t="shared" si="504"/>
        <v>0</v>
      </c>
      <c r="Q8117" s="31" t="str">
        <f t="shared" si="505"/>
        <v/>
      </c>
      <c r="R8117" s="32" t="str">
        <f>IFERROR(VLOOKUP($D8117,'Informations sur les produits'!$A$3:$B$15000,2,FALSE),"")</f>
        <v/>
      </c>
      <c r="V8117">
        <f t="shared" si="506"/>
        <v>0</v>
      </c>
      <c r="W8117">
        <f t="shared" si="507"/>
        <v>0</v>
      </c>
    </row>
    <row r="8118" spans="5:23" x14ac:dyDescent="0.25">
      <c r="E8118" s="4"/>
      <c r="F8118" s="4"/>
      <c r="G8118" s="33" t="str">
        <f>IFERROR(VLOOKUP($D8118,'Informations sur les produits'!$A$3:$H$10000,8,FALSE),"0")</f>
        <v>0</v>
      </c>
      <c r="K8118" s="4"/>
      <c r="L8118" s="33" t="str">
        <f>IFERROR(VLOOKUP($J8118,'Informations sur les produits'!$A$3:$H$10000,8,FALSE),"0")</f>
        <v>0</v>
      </c>
      <c r="N8118" s="8"/>
      <c r="O8118" s="33" t="str">
        <f>IFERROR(VLOOKUP($M8118,'Informations sur les produits'!$A$3:$H$10000,8,FALSE),"0")</f>
        <v>0</v>
      </c>
      <c r="P8118" s="33">
        <f t="shared" si="504"/>
        <v>0</v>
      </c>
      <c r="Q8118" s="31" t="str">
        <f t="shared" si="505"/>
        <v/>
      </c>
      <c r="R8118" s="32" t="str">
        <f>IFERROR(VLOOKUP($D8118,'Informations sur les produits'!$A$3:$B$15000,2,FALSE),"")</f>
        <v/>
      </c>
      <c r="V8118">
        <f t="shared" si="506"/>
        <v>0</v>
      </c>
      <c r="W8118">
        <f t="shared" si="507"/>
        <v>0</v>
      </c>
    </row>
    <row r="8119" spans="5:23" x14ac:dyDescent="0.25">
      <c r="E8119" s="4"/>
      <c r="F8119" s="4"/>
      <c r="G8119" s="33" t="str">
        <f>IFERROR(VLOOKUP($D8119,'Informations sur les produits'!$A$3:$H$10000,8,FALSE),"0")</f>
        <v>0</v>
      </c>
      <c r="K8119" s="4"/>
      <c r="L8119" s="33" t="str">
        <f>IFERROR(VLOOKUP($J8119,'Informations sur les produits'!$A$3:$H$10000,8,FALSE),"0")</f>
        <v>0</v>
      </c>
      <c r="N8119" s="8"/>
      <c r="O8119" s="33" t="str">
        <f>IFERROR(VLOOKUP($M8119,'Informations sur les produits'!$A$3:$H$10000,8,FALSE),"0")</f>
        <v>0</v>
      </c>
      <c r="P8119" s="33">
        <f t="shared" si="504"/>
        <v>0</v>
      </c>
      <c r="Q8119" s="31" t="str">
        <f t="shared" si="505"/>
        <v/>
      </c>
      <c r="R8119" s="32" t="str">
        <f>IFERROR(VLOOKUP($D8119,'Informations sur les produits'!$A$3:$B$15000,2,FALSE),"")</f>
        <v/>
      </c>
      <c r="V8119">
        <f t="shared" si="506"/>
        <v>0</v>
      </c>
      <c r="W8119">
        <f t="shared" si="507"/>
        <v>0</v>
      </c>
    </row>
    <row r="8120" spans="5:23" x14ac:dyDescent="0.25">
      <c r="E8120" s="4"/>
      <c r="F8120" s="4"/>
      <c r="G8120" s="33" t="str">
        <f>IFERROR(VLOOKUP($D8120,'Informations sur les produits'!$A$3:$H$10000,8,FALSE),"0")</f>
        <v>0</v>
      </c>
      <c r="K8120" s="4"/>
      <c r="L8120" s="33" t="str">
        <f>IFERROR(VLOOKUP($J8120,'Informations sur les produits'!$A$3:$H$10000,8,FALSE),"0")</f>
        <v>0</v>
      </c>
      <c r="N8120" s="8"/>
      <c r="O8120" s="33" t="str">
        <f>IFERROR(VLOOKUP($M8120,'Informations sur les produits'!$A$3:$H$10000,8,FALSE),"0")</f>
        <v>0</v>
      </c>
      <c r="P8120" s="33">
        <f t="shared" si="504"/>
        <v>0</v>
      </c>
      <c r="Q8120" s="31" t="str">
        <f t="shared" si="505"/>
        <v/>
      </c>
      <c r="R8120" s="32" t="str">
        <f>IFERROR(VLOOKUP($D8120,'Informations sur les produits'!$A$3:$B$15000,2,FALSE),"")</f>
        <v/>
      </c>
      <c r="V8120">
        <f t="shared" si="506"/>
        <v>0</v>
      </c>
      <c r="W8120">
        <f t="shared" si="507"/>
        <v>0</v>
      </c>
    </row>
    <row r="8121" spans="5:23" x14ac:dyDescent="0.25">
      <c r="E8121" s="4"/>
      <c r="F8121" s="4"/>
      <c r="G8121" s="33" t="str">
        <f>IFERROR(VLOOKUP($D8121,'Informations sur les produits'!$A$3:$H$10000,8,FALSE),"0")</f>
        <v>0</v>
      </c>
      <c r="K8121" s="4"/>
      <c r="L8121" s="33" t="str">
        <f>IFERROR(VLOOKUP($J8121,'Informations sur les produits'!$A$3:$H$10000,8,FALSE),"0")</f>
        <v>0</v>
      </c>
      <c r="N8121" s="8"/>
      <c r="O8121" s="33" t="str">
        <f>IFERROR(VLOOKUP($M8121,'Informations sur les produits'!$A$3:$H$10000,8,FALSE),"0")</f>
        <v>0</v>
      </c>
      <c r="P8121" s="33">
        <f t="shared" si="504"/>
        <v>0</v>
      </c>
      <c r="Q8121" s="31" t="str">
        <f t="shared" si="505"/>
        <v/>
      </c>
      <c r="R8121" s="32" t="str">
        <f>IFERROR(VLOOKUP($D8121,'Informations sur les produits'!$A$3:$B$15000,2,FALSE),"")</f>
        <v/>
      </c>
      <c r="V8121">
        <f t="shared" si="506"/>
        <v>0</v>
      </c>
      <c r="W8121">
        <f t="shared" si="507"/>
        <v>0</v>
      </c>
    </row>
    <row r="8122" spans="5:23" x14ac:dyDescent="0.25">
      <c r="E8122" s="4"/>
      <c r="F8122" s="4"/>
      <c r="G8122" s="33" t="str">
        <f>IFERROR(VLOOKUP($D8122,'Informations sur les produits'!$A$3:$H$10000,8,FALSE),"0")</f>
        <v>0</v>
      </c>
      <c r="K8122" s="4"/>
      <c r="L8122" s="33" t="str">
        <f>IFERROR(VLOOKUP($J8122,'Informations sur les produits'!$A$3:$H$10000,8,FALSE),"0")</f>
        <v>0</v>
      </c>
      <c r="N8122" s="8"/>
      <c r="O8122" s="33" t="str">
        <f>IFERROR(VLOOKUP($M8122,'Informations sur les produits'!$A$3:$H$10000,8,FALSE),"0")</f>
        <v>0</v>
      </c>
      <c r="P8122" s="33">
        <f t="shared" si="504"/>
        <v>0</v>
      </c>
      <c r="Q8122" s="31" t="str">
        <f t="shared" si="505"/>
        <v/>
      </c>
      <c r="R8122" s="32" t="str">
        <f>IFERROR(VLOOKUP($D8122,'Informations sur les produits'!$A$3:$B$15000,2,FALSE),"")</f>
        <v/>
      </c>
      <c r="V8122">
        <f t="shared" si="506"/>
        <v>0</v>
      </c>
      <c r="W8122">
        <f t="shared" si="507"/>
        <v>0</v>
      </c>
    </row>
    <row r="8123" spans="5:23" x14ac:dyDescent="0.25">
      <c r="E8123" s="4"/>
      <c r="F8123" s="4"/>
      <c r="G8123" s="33" t="str">
        <f>IFERROR(VLOOKUP($D8123,'Informations sur les produits'!$A$3:$H$10000,8,FALSE),"0")</f>
        <v>0</v>
      </c>
      <c r="K8123" s="4"/>
      <c r="L8123" s="33" t="str">
        <f>IFERROR(VLOOKUP($J8123,'Informations sur les produits'!$A$3:$H$10000,8,FALSE),"0")</f>
        <v>0</v>
      </c>
      <c r="N8123" s="8"/>
      <c r="O8123" s="33" t="str">
        <f>IFERROR(VLOOKUP($M8123,'Informations sur les produits'!$A$3:$H$10000,8,FALSE),"0")</f>
        <v>0</v>
      </c>
      <c r="P8123" s="33">
        <f t="shared" si="504"/>
        <v>0</v>
      </c>
      <c r="Q8123" s="31" t="str">
        <f t="shared" si="505"/>
        <v/>
      </c>
      <c r="R8123" s="32" t="str">
        <f>IFERROR(VLOOKUP($D8123,'Informations sur les produits'!$A$3:$B$15000,2,FALSE),"")</f>
        <v/>
      </c>
      <c r="V8123">
        <f t="shared" si="506"/>
        <v>0</v>
      </c>
      <c r="W8123">
        <f t="shared" si="507"/>
        <v>0</v>
      </c>
    </row>
    <row r="8124" spans="5:23" x14ac:dyDescent="0.25">
      <c r="E8124" s="4"/>
      <c r="F8124" s="4"/>
      <c r="G8124" s="33" t="str">
        <f>IFERROR(VLOOKUP($D8124,'Informations sur les produits'!$A$3:$H$10000,8,FALSE),"0")</f>
        <v>0</v>
      </c>
      <c r="K8124" s="4"/>
      <c r="L8124" s="33" t="str">
        <f>IFERROR(VLOOKUP($J8124,'Informations sur les produits'!$A$3:$H$10000,8,FALSE),"0")</f>
        <v>0</v>
      </c>
      <c r="N8124" s="8"/>
      <c r="O8124" s="33" t="str">
        <f>IFERROR(VLOOKUP($M8124,'Informations sur les produits'!$A$3:$H$10000,8,FALSE),"0")</f>
        <v>0</v>
      </c>
      <c r="P8124" s="33">
        <f t="shared" si="504"/>
        <v>0</v>
      </c>
      <c r="Q8124" s="31" t="str">
        <f t="shared" si="505"/>
        <v/>
      </c>
      <c r="R8124" s="32" t="str">
        <f>IFERROR(VLOOKUP($D8124,'Informations sur les produits'!$A$3:$B$15000,2,FALSE),"")</f>
        <v/>
      </c>
      <c r="V8124">
        <f t="shared" si="506"/>
        <v>0</v>
      </c>
      <c r="W8124">
        <f t="shared" si="507"/>
        <v>0</v>
      </c>
    </row>
    <row r="8125" spans="5:23" x14ac:dyDescent="0.25">
      <c r="E8125" s="4"/>
      <c r="F8125" s="4"/>
      <c r="G8125" s="33" t="str">
        <f>IFERROR(VLOOKUP($D8125,'Informations sur les produits'!$A$3:$H$10000,8,FALSE),"0")</f>
        <v>0</v>
      </c>
      <c r="K8125" s="4"/>
      <c r="L8125" s="33" t="str">
        <f>IFERROR(VLOOKUP($J8125,'Informations sur les produits'!$A$3:$H$10000,8,FALSE),"0")</f>
        <v>0</v>
      </c>
      <c r="N8125" s="8"/>
      <c r="O8125" s="33" t="str">
        <f>IFERROR(VLOOKUP($M8125,'Informations sur les produits'!$A$3:$H$10000,8,FALSE),"0")</f>
        <v>0</v>
      </c>
      <c r="P8125" s="33">
        <f t="shared" si="504"/>
        <v>0</v>
      </c>
      <c r="Q8125" s="31" t="str">
        <f t="shared" si="505"/>
        <v/>
      </c>
      <c r="R8125" s="32" t="str">
        <f>IFERROR(VLOOKUP($D8125,'Informations sur les produits'!$A$3:$B$15000,2,FALSE),"")</f>
        <v/>
      </c>
      <c r="V8125">
        <f t="shared" si="506"/>
        <v>0</v>
      </c>
      <c r="W8125">
        <f t="shared" si="507"/>
        <v>0</v>
      </c>
    </row>
    <row r="8126" spans="5:23" x14ac:dyDescent="0.25">
      <c r="E8126" s="4"/>
      <c r="F8126" s="4"/>
      <c r="G8126" s="33" t="str">
        <f>IFERROR(VLOOKUP($D8126,'Informations sur les produits'!$A$3:$H$10000,8,FALSE),"0")</f>
        <v>0</v>
      </c>
      <c r="K8126" s="4"/>
      <c r="L8126" s="33" t="str">
        <f>IFERROR(VLOOKUP($J8126,'Informations sur les produits'!$A$3:$H$10000,8,FALSE),"0")</f>
        <v>0</v>
      </c>
      <c r="N8126" s="8"/>
      <c r="O8126" s="33" t="str">
        <f>IFERROR(VLOOKUP($M8126,'Informations sur les produits'!$A$3:$H$10000,8,FALSE),"0")</f>
        <v>0</v>
      </c>
      <c r="P8126" s="33">
        <f t="shared" si="504"/>
        <v>0</v>
      </c>
      <c r="Q8126" s="31" t="str">
        <f t="shared" si="505"/>
        <v/>
      </c>
      <c r="R8126" s="32" t="str">
        <f>IFERROR(VLOOKUP($D8126,'Informations sur les produits'!$A$3:$B$15000,2,FALSE),"")</f>
        <v/>
      </c>
      <c r="V8126">
        <f t="shared" si="506"/>
        <v>0</v>
      </c>
      <c r="W8126">
        <f t="shared" si="507"/>
        <v>0</v>
      </c>
    </row>
    <row r="8127" spans="5:23" x14ac:dyDescent="0.25">
      <c r="E8127" s="4"/>
      <c r="F8127" s="4"/>
      <c r="G8127" s="33" t="str">
        <f>IFERROR(VLOOKUP($D8127,'Informations sur les produits'!$A$3:$H$10000,8,FALSE),"0")</f>
        <v>0</v>
      </c>
      <c r="K8127" s="4"/>
      <c r="L8127" s="33" t="str">
        <f>IFERROR(VLOOKUP($J8127,'Informations sur les produits'!$A$3:$H$10000,8,FALSE),"0")</f>
        <v>0</v>
      </c>
      <c r="N8127" s="8"/>
      <c r="O8127" s="33" t="str">
        <f>IFERROR(VLOOKUP($M8127,'Informations sur les produits'!$A$3:$H$10000,8,FALSE),"0")</f>
        <v>0</v>
      </c>
      <c r="P8127" s="33">
        <f t="shared" si="504"/>
        <v>0</v>
      </c>
      <c r="Q8127" s="31" t="str">
        <f t="shared" si="505"/>
        <v/>
      </c>
      <c r="R8127" s="32" t="str">
        <f>IFERROR(VLOOKUP($D8127,'Informations sur les produits'!$A$3:$B$15000,2,FALSE),"")</f>
        <v/>
      </c>
      <c r="V8127">
        <f t="shared" si="506"/>
        <v>0</v>
      </c>
      <c r="W8127">
        <f t="shared" si="507"/>
        <v>0</v>
      </c>
    </row>
    <row r="8128" spans="5:23" x14ac:dyDescent="0.25">
      <c r="E8128" s="4"/>
      <c r="F8128" s="4"/>
      <c r="G8128" s="33" t="str">
        <f>IFERROR(VLOOKUP($D8128,'Informations sur les produits'!$A$3:$H$10000,8,FALSE),"0")</f>
        <v>0</v>
      </c>
      <c r="K8128" s="4"/>
      <c r="L8128" s="33" t="str">
        <f>IFERROR(VLOOKUP($J8128,'Informations sur les produits'!$A$3:$H$10000,8,FALSE),"0")</f>
        <v>0</v>
      </c>
      <c r="N8128" s="8"/>
      <c r="O8128" s="33" t="str">
        <f>IFERROR(VLOOKUP($M8128,'Informations sur les produits'!$A$3:$H$10000,8,FALSE),"0")</f>
        <v>0</v>
      </c>
      <c r="P8128" s="33">
        <f t="shared" si="504"/>
        <v>0</v>
      </c>
      <c r="Q8128" s="31" t="str">
        <f t="shared" si="505"/>
        <v/>
      </c>
      <c r="R8128" s="32" t="str">
        <f>IFERROR(VLOOKUP($D8128,'Informations sur les produits'!$A$3:$B$15000,2,FALSE),"")</f>
        <v/>
      </c>
      <c r="V8128">
        <f t="shared" si="506"/>
        <v>0</v>
      </c>
      <c r="W8128">
        <f t="shared" si="507"/>
        <v>0</v>
      </c>
    </row>
    <row r="8129" spans="5:23" x14ac:dyDescent="0.25">
      <c r="E8129" s="4"/>
      <c r="F8129" s="4"/>
      <c r="G8129" s="33" t="str">
        <f>IFERROR(VLOOKUP($D8129,'Informations sur les produits'!$A$3:$H$10000,8,FALSE),"0")</f>
        <v>0</v>
      </c>
      <c r="K8129" s="4"/>
      <c r="L8129" s="33" t="str">
        <f>IFERROR(VLOOKUP($J8129,'Informations sur les produits'!$A$3:$H$10000,8,FALSE),"0")</f>
        <v>0</v>
      </c>
      <c r="N8129" s="8"/>
      <c r="O8129" s="33" t="str">
        <f>IFERROR(VLOOKUP($M8129,'Informations sur les produits'!$A$3:$H$10000,8,FALSE),"0")</f>
        <v>0</v>
      </c>
      <c r="P8129" s="33">
        <f t="shared" si="504"/>
        <v>0</v>
      </c>
      <c r="Q8129" s="31" t="str">
        <f t="shared" si="505"/>
        <v/>
      </c>
      <c r="R8129" s="32" t="str">
        <f>IFERROR(VLOOKUP($D8129,'Informations sur les produits'!$A$3:$B$15000,2,FALSE),"")</f>
        <v/>
      </c>
      <c r="V8129">
        <f t="shared" si="506"/>
        <v>0</v>
      </c>
      <c r="W8129">
        <f t="shared" si="507"/>
        <v>0</v>
      </c>
    </row>
    <row r="8130" spans="5:23" x14ac:dyDescent="0.25">
      <c r="E8130" s="4"/>
      <c r="F8130" s="4"/>
      <c r="G8130" s="33" t="str">
        <f>IFERROR(VLOOKUP($D8130,'Informations sur les produits'!$A$3:$H$10000,8,FALSE),"0")</f>
        <v>0</v>
      </c>
      <c r="K8130" s="4"/>
      <c r="L8130" s="33" t="str">
        <f>IFERROR(VLOOKUP($J8130,'Informations sur les produits'!$A$3:$H$10000,8,FALSE),"0")</f>
        <v>0</v>
      </c>
      <c r="N8130" s="8"/>
      <c r="O8130" s="33" t="str">
        <f>IFERROR(VLOOKUP($M8130,'Informations sur les produits'!$A$3:$H$10000,8,FALSE),"0")</f>
        <v>0</v>
      </c>
      <c r="P8130" s="33">
        <f t="shared" si="504"/>
        <v>0</v>
      </c>
      <c r="Q8130" s="31" t="str">
        <f t="shared" si="505"/>
        <v/>
      </c>
      <c r="R8130" s="32" t="str">
        <f>IFERROR(VLOOKUP($D8130,'Informations sur les produits'!$A$3:$B$15000,2,FALSE),"")</f>
        <v/>
      </c>
      <c r="V8130">
        <f t="shared" si="506"/>
        <v>0</v>
      </c>
      <c r="W8130">
        <f t="shared" si="507"/>
        <v>0</v>
      </c>
    </row>
    <row r="8131" spans="5:23" x14ac:dyDescent="0.25">
      <c r="E8131" s="4"/>
      <c r="F8131" s="4"/>
      <c r="G8131" s="33" t="str">
        <f>IFERROR(VLOOKUP($D8131,'Informations sur les produits'!$A$3:$H$10000,8,FALSE),"0")</f>
        <v>0</v>
      </c>
      <c r="K8131" s="4"/>
      <c r="L8131" s="33" t="str">
        <f>IFERROR(VLOOKUP($J8131,'Informations sur les produits'!$A$3:$H$10000,8,FALSE),"0")</f>
        <v>0</v>
      </c>
      <c r="N8131" s="8"/>
      <c r="O8131" s="33" t="str">
        <f>IFERROR(VLOOKUP($M8131,'Informations sur les produits'!$A$3:$H$10000,8,FALSE),"0")</f>
        <v>0</v>
      </c>
      <c r="P8131" s="33">
        <f t="shared" si="504"/>
        <v>0</v>
      </c>
      <c r="Q8131" s="31" t="str">
        <f t="shared" si="505"/>
        <v/>
      </c>
      <c r="R8131" s="32" t="str">
        <f>IFERROR(VLOOKUP($D8131,'Informations sur les produits'!$A$3:$B$15000,2,FALSE),"")</f>
        <v/>
      </c>
      <c r="V8131">
        <f t="shared" si="506"/>
        <v>0</v>
      </c>
      <c r="W8131">
        <f t="shared" si="507"/>
        <v>0</v>
      </c>
    </row>
    <row r="8132" spans="5:23" x14ac:dyDescent="0.25">
      <c r="E8132" s="4"/>
      <c r="F8132" s="4"/>
      <c r="G8132" s="33" t="str">
        <f>IFERROR(VLOOKUP($D8132,'Informations sur les produits'!$A$3:$H$10000,8,FALSE),"0")</f>
        <v>0</v>
      </c>
      <c r="K8132" s="4"/>
      <c r="L8132" s="33" t="str">
        <f>IFERROR(VLOOKUP($J8132,'Informations sur les produits'!$A$3:$H$10000,8,FALSE),"0")</f>
        <v>0</v>
      </c>
      <c r="N8132" s="8"/>
      <c r="O8132" s="33" t="str">
        <f>IFERROR(VLOOKUP($M8132,'Informations sur les produits'!$A$3:$H$10000,8,FALSE),"0")</f>
        <v>0</v>
      </c>
      <c r="P8132" s="33">
        <f t="shared" ref="P8132:P8195" si="508">IFERROR((($E8132-$F8132)*$G8132+$K8132*$L8132+$N8132*$O8132),"")</f>
        <v>0</v>
      </c>
      <c r="Q8132" s="31" t="str">
        <f t="shared" ref="Q8132:Q8195" si="509">IFERROR((((($E8132-$F8132)*$G8132+$K8132*$L8132+$N8132*$O8132)*1000)/(($E8132-$F8132)+$K8132+$N8132)),"")</f>
        <v/>
      </c>
      <c r="R8132" s="32" t="str">
        <f>IFERROR(VLOOKUP($D8132,'Informations sur les produits'!$A$3:$B$15000,2,FALSE),"")</f>
        <v/>
      </c>
      <c r="V8132">
        <f t="shared" ref="V8132:V8195" si="510">IFERROR(P8132*1000,"")</f>
        <v>0</v>
      </c>
      <c r="W8132">
        <f t="shared" ref="W8132:W8195" si="511">IFERROR(($E8132-$F8132)+$K8132+$N8132,"")</f>
        <v>0</v>
      </c>
    </row>
    <row r="8133" spans="5:23" x14ac:dyDescent="0.25">
      <c r="E8133" s="4"/>
      <c r="F8133" s="4"/>
      <c r="G8133" s="33" t="str">
        <f>IFERROR(VLOOKUP($D8133,'Informations sur les produits'!$A$3:$H$10000,8,FALSE),"0")</f>
        <v>0</v>
      </c>
      <c r="K8133" s="4"/>
      <c r="L8133" s="33" t="str">
        <f>IFERROR(VLOOKUP($J8133,'Informations sur les produits'!$A$3:$H$10000,8,FALSE),"0")</f>
        <v>0</v>
      </c>
      <c r="N8133" s="8"/>
      <c r="O8133" s="33" t="str">
        <f>IFERROR(VLOOKUP($M8133,'Informations sur les produits'!$A$3:$H$10000,8,FALSE),"0")</f>
        <v>0</v>
      </c>
      <c r="P8133" s="33">
        <f t="shared" si="508"/>
        <v>0</v>
      </c>
      <c r="Q8133" s="31" t="str">
        <f t="shared" si="509"/>
        <v/>
      </c>
      <c r="R8133" s="32" t="str">
        <f>IFERROR(VLOOKUP($D8133,'Informations sur les produits'!$A$3:$B$15000,2,FALSE),"")</f>
        <v/>
      </c>
      <c r="V8133">
        <f t="shared" si="510"/>
        <v>0</v>
      </c>
      <c r="W8133">
        <f t="shared" si="511"/>
        <v>0</v>
      </c>
    </row>
    <row r="8134" spans="5:23" x14ac:dyDescent="0.25">
      <c r="E8134" s="4"/>
      <c r="F8134" s="4"/>
      <c r="G8134" s="33" t="str">
        <f>IFERROR(VLOOKUP($D8134,'Informations sur les produits'!$A$3:$H$10000,8,FALSE),"0")</f>
        <v>0</v>
      </c>
      <c r="K8134" s="4"/>
      <c r="L8134" s="33" t="str">
        <f>IFERROR(VLOOKUP($J8134,'Informations sur les produits'!$A$3:$H$10000,8,FALSE),"0")</f>
        <v>0</v>
      </c>
      <c r="N8134" s="8"/>
      <c r="O8134" s="33" t="str">
        <f>IFERROR(VLOOKUP($M8134,'Informations sur les produits'!$A$3:$H$10000,8,FALSE),"0")</f>
        <v>0</v>
      </c>
      <c r="P8134" s="33">
        <f t="shared" si="508"/>
        <v>0</v>
      </c>
      <c r="Q8134" s="31" t="str">
        <f t="shared" si="509"/>
        <v/>
      </c>
      <c r="R8134" s="32" t="str">
        <f>IFERROR(VLOOKUP($D8134,'Informations sur les produits'!$A$3:$B$15000,2,FALSE),"")</f>
        <v/>
      </c>
      <c r="V8134">
        <f t="shared" si="510"/>
        <v>0</v>
      </c>
      <c r="W8134">
        <f t="shared" si="511"/>
        <v>0</v>
      </c>
    </row>
    <row r="8135" spans="5:23" x14ac:dyDescent="0.25">
      <c r="E8135" s="4"/>
      <c r="F8135" s="4"/>
      <c r="G8135" s="33" t="str">
        <f>IFERROR(VLOOKUP($D8135,'Informations sur les produits'!$A$3:$H$10000,8,FALSE),"0")</f>
        <v>0</v>
      </c>
      <c r="K8135" s="4"/>
      <c r="L8135" s="33" t="str">
        <f>IFERROR(VLOOKUP($J8135,'Informations sur les produits'!$A$3:$H$10000,8,FALSE),"0")</f>
        <v>0</v>
      </c>
      <c r="N8135" s="8"/>
      <c r="O8135" s="33" t="str">
        <f>IFERROR(VLOOKUP($M8135,'Informations sur les produits'!$A$3:$H$10000,8,FALSE),"0")</f>
        <v>0</v>
      </c>
      <c r="P8135" s="33">
        <f t="shared" si="508"/>
        <v>0</v>
      </c>
      <c r="Q8135" s="31" t="str">
        <f t="shared" si="509"/>
        <v/>
      </c>
      <c r="R8135" s="32" t="str">
        <f>IFERROR(VLOOKUP($D8135,'Informations sur les produits'!$A$3:$B$15000,2,FALSE),"")</f>
        <v/>
      </c>
      <c r="V8135">
        <f t="shared" si="510"/>
        <v>0</v>
      </c>
      <c r="W8135">
        <f t="shared" si="511"/>
        <v>0</v>
      </c>
    </row>
    <row r="8136" spans="5:23" x14ac:dyDescent="0.25">
      <c r="E8136" s="4"/>
      <c r="F8136" s="4"/>
      <c r="G8136" s="33" t="str">
        <f>IFERROR(VLOOKUP($D8136,'Informations sur les produits'!$A$3:$H$10000,8,FALSE),"0")</f>
        <v>0</v>
      </c>
      <c r="K8136" s="4"/>
      <c r="L8136" s="33" t="str">
        <f>IFERROR(VLOOKUP($J8136,'Informations sur les produits'!$A$3:$H$10000,8,FALSE),"0")</f>
        <v>0</v>
      </c>
      <c r="N8136" s="8"/>
      <c r="O8136" s="33" t="str">
        <f>IFERROR(VLOOKUP($M8136,'Informations sur les produits'!$A$3:$H$10000,8,FALSE),"0")</f>
        <v>0</v>
      </c>
      <c r="P8136" s="33">
        <f t="shared" si="508"/>
        <v>0</v>
      </c>
      <c r="Q8136" s="31" t="str">
        <f t="shared" si="509"/>
        <v/>
      </c>
      <c r="R8136" s="32" t="str">
        <f>IFERROR(VLOOKUP($D8136,'Informations sur les produits'!$A$3:$B$15000,2,FALSE),"")</f>
        <v/>
      </c>
      <c r="V8136">
        <f t="shared" si="510"/>
        <v>0</v>
      </c>
      <c r="W8136">
        <f t="shared" si="511"/>
        <v>0</v>
      </c>
    </row>
    <row r="8137" spans="5:23" x14ac:dyDescent="0.25">
      <c r="E8137" s="4"/>
      <c r="F8137" s="4"/>
      <c r="G8137" s="33" t="str">
        <f>IFERROR(VLOOKUP($D8137,'Informations sur les produits'!$A$3:$H$10000,8,FALSE),"0")</f>
        <v>0</v>
      </c>
      <c r="K8137" s="4"/>
      <c r="L8137" s="33" t="str">
        <f>IFERROR(VLOOKUP($J8137,'Informations sur les produits'!$A$3:$H$10000,8,FALSE),"0")</f>
        <v>0</v>
      </c>
      <c r="N8137" s="8"/>
      <c r="O8137" s="33" t="str">
        <f>IFERROR(VLOOKUP($M8137,'Informations sur les produits'!$A$3:$H$10000,8,FALSE),"0")</f>
        <v>0</v>
      </c>
      <c r="P8137" s="33">
        <f t="shared" si="508"/>
        <v>0</v>
      </c>
      <c r="Q8137" s="31" t="str">
        <f t="shared" si="509"/>
        <v/>
      </c>
      <c r="R8137" s="32" t="str">
        <f>IFERROR(VLOOKUP($D8137,'Informations sur les produits'!$A$3:$B$15000,2,FALSE),"")</f>
        <v/>
      </c>
      <c r="V8137">
        <f t="shared" si="510"/>
        <v>0</v>
      </c>
      <c r="W8137">
        <f t="shared" si="511"/>
        <v>0</v>
      </c>
    </row>
    <row r="8138" spans="5:23" x14ac:dyDescent="0.25">
      <c r="E8138" s="4"/>
      <c r="F8138" s="4"/>
      <c r="G8138" s="33" t="str">
        <f>IFERROR(VLOOKUP($D8138,'Informations sur les produits'!$A$3:$H$10000,8,FALSE),"0")</f>
        <v>0</v>
      </c>
      <c r="K8138" s="4"/>
      <c r="L8138" s="33" t="str">
        <f>IFERROR(VLOOKUP($J8138,'Informations sur les produits'!$A$3:$H$10000,8,FALSE),"0")</f>
        <v>0</v>
      </c>
      <c r="N8138" s="8"/>
      <c r="O8138" s="33" t="str">
        <f>IFERROR(VLOOKUP($M8138,'Informations sur les produits'!$A$3:$H$10000,8,FALSE),"0")</f>
        <v>0</v>
      </c>
      <c r="P8138" s="33">
        <f t="shared" si="508"/>
        <v>0</v>
      </c>
      <c r="Q8138" s="31" t="str">
        <f t="shared" si="509"/>
        <v/>
      </c>
      <c r="R8138" s="32" t="str">
        <f>IFERROR(VLOOKUP($D8138,'Informations sur les produits'!$A$3:$B$15000,2,FALSE),"")</f>
        <v/>
      </c>
      <c r="V8138">
        <f t="shared" si="510"/>
        <v>0</v>
      </c>
      <c r="W8138">
        <f t="shared" si="511"/>
        <v>0</v>
      </c>
    </row>
    <row r="8139" spans="5:23" x14ac:dyDescent="0.25">
      <c r="E8139" s="4"/>
      <c r="F8139" s="4"/>
      <c r="G8139" s="33" t="str">
        <f>IFERROR(VLOOKUP($D8139,'Informations sur les produits'!$A$3:$H$10000,8,FALSE),"0")</f>
        <v>0</v>
      </c>
      <c r="K8139" s="4"/>
      <c r="L8139" s="33" t="str">
        <f>IFERROR(VLOOKUP($J8139,'Informations sur les produits'!$A$3:$H$10000,8,FALSE),"0")</f>
        <v>0</v>
      </c>
      <c r="N8139" s="8"/>
      <c r="O8139" s="33" t="str">
        <f>IFERROR(VLOOKUP($M8139,'Informations sur les produits'!$A$3:$H$10000,8,FALSE),"0")</f>
        <v>0</v>
      </c>
      <c r="P8139" s="33">
        <f t="shared" si="508"/>
        <v>0</v>
      </c>
      <c r="Q8139" s="31" t="str">
        <f t="shared" si="509"/>
        <v/>
      </c>
      <c r="R8139" s="32" t="str">
        <f>IFERROR(VLOOKUP($D8139,'Informations sur les produits'!$A$3:$B$15000,2,FALSE),"")</f>
        <v/>
      </c>
      <c r="V8139">
        <f t="shared" si="510"/>
        <v>0</v>
      </c>
      <c r="W8139">
        <f t="shared" si="511"/>
        <v>0</v>
      </c>
    </row>
    <row r="8140" spans="5:23" x14ac:dyDescent="0.25">
      <c r="E8140" s="4"/>
      <c r="F8140" s="4"/>
      <c r="G8140" s="33" t="str">
        <f>IFERROR(VLOOKUP($D8140,'Informations sur les produits'!$A$3:$H$10000,8,FALSE),"0")</f>
        <v>0</v>
      </c>
      <c r="K8140" s="4"/>
      <c r="L8140" s="33" t="str">
        <f>IFERROR(VLOOKUP($J8140,'Informations sur les produits'!$A$3:$H$10000,8,FALSE),"0")</f>
        <v>0</v>
      </c>
      <c r="N8140" s="8"/>
      <c r="O8140" s="33" t="str">
        <f>IFERROR(VLOOKUP($M8140,'Informations sur les produits'!$A$3:$H$10000,8,FALSE),"0")</f>
        <v>0</v>
      </c>
      <c r="P8140" s="33">
        <f t="shared" si="508"/>
        <v>0</v>
      </c>
      <c r="Q8140" s="31" t="str">
        <f t="shared" si="509"/>
        <v/>
      </c>
      <c r="R8140" s="32" t="str">
        <f>IFERROR(VLOOKUP($D8140,'Informations sur les produits'!$A$3:$B$15000,2,FALSE),"")</f>
        <v/>
      </c>
      <c r="V8140">
        <f t="shared" si="510"/>
        <v>0</v>
      </c>
      <c r="W8140">
        <f t="shared" si="511"/>
        <v>0</v>
      </c>
    </row>
    <row r="8141" spans="5:23" x14ac:dyDescent="0.25">
      <c r="E8141" s="4"/>
      <c r="F8141" s="4"/>
      <c r="G8141" s="33" t="str">
        <f>IFERROR(VLOOKUP($D8141,'Informations sur les produits'!$A$3:$H$10000,8,FALSE),"0")</f>
        <v>0</v>
      </c>
      <c r="K8141" s="4"/>
      <c r="L8141" s="33" t="str">
        <f>IFERROR(VLOOKUP($J8141,'Informations sur les produits'!$A$3:$H$10000,8,FALSE),"0")</f>
        <v>0</v>
      </c>
      <c r="N8141" s="8"/>
      <c r="O8141" s="33" t="str">
        <f>IFERROR(VLOOKUP($M8141,'Informations sur les produits'!$A$3:$H$10000,8,FALSE),"0")</f>
        <v>0</v>
      </c>
      <c r="P8141" s="33">
        <f t="shared" si="508"/>
        <v>0</v>
      </c>
      <c r="Q8141" s="31" t="str">
        <f t="shared" si="509"/>
        <v/>
      </c>
      <c r="R8141" s="32" t="str">
        <f>IFERROR(VLOOKUP($D8141,'Informations sur les produits'!$A$3:$B$15000,2,FALSE),"")</f>
        <v/>
      </c>
      <c r="V8141">
        <f t="shared" si="510"/>
        <v>0</v>
      </c>
      <c r="W8141">
        <f t="shared" si="511"/>
        <v>0</v>
      </c>
    </row>
    <row r="8142" spans="5:23" x14ac:dyDescent="0.25">
      <c r="E8142" s="4"/>
      <c r="F8142" s="4"/>
      <c r="G8142" s="33" t="str">
        <f>IFERROR(VLOOKUP($D8142,'Informations sur les produits'!$A$3:$H$10000,8,FALSE),"0")</f>
        <v>0</v>
      </c>
      <c r="K8142" s="4"/>
      <c r="L8142" s="33" t="str">
        <f>IFERROR(VLOOKUP($J8142,'Informations sur les produits'!$A$3:$H$10000,8,FALSE),"0")</f>
        <v>0</v>
      </c>
      <c r="N8142" s="8"/>
      <c r="O8142" s="33" t="str">
        <f>IFERROR(VLOOKUP($M8142,'Informations sur les produits'!$A$3:$H$10000,8,FALSE),"0")</f>
        <v>0</v>
      </c>
      <c r="P8142" s="33">
        <f t="shared" si="508"/>
        <v>0</v>
      </c>
      <c r="Q8142" s="31" t="str">
        <f t="shared" si="509"/>
        <v/>
      </c>
      <c r="R8142" s="32" t="str">
        <f>IFERROR(VLOOKUP($D8142,'Informations sur les produits'!$A$3:$B$15000,2,FALSE),"")</f>
        <v/>
      </c>
      <c r="V8142">
        <f t="shared" si="510"/>
        <v>0</v>
      </c>
      <c r="W8142">
        <f t="shared" si="511"/>
        <v>0</v>
      </c>
    </row>
    <row r="8143" spans="5:23" x14ac:dyDescent="0.25">
      <c r="E8143" s="4"/>
      <c r="F8143" s="4"/>
      <c r="G8143" s="33" t="str">
        <f>IFERROR(VLOOKUP($D8143,'Informations sur les produits'!$A$3:$H$10000,8,FALSE),"0")</f>
        <v>0</v>
      </c>
      <c r="K8143" s="4"/>
      <c r="L8143" s="33" t="str">
        <f>IFERROR(VLOOKUP($J8143,'Informations sur les produits'!$A$3:$H$10000,8,FALSE),"0")</f>
        <v>0</v>
      </c>
      <c r="N8143" s="8"/>
      <c r="O8143" s="33" t="str">
        <f>IFERROR(VLOOKUP($M8143,'Informations sur les produits'!$A$3:$H$10000,8,FALSE),"0")</f>
        <v>0</v>
      </c>
      <c r="P8143" s="33">
        <f t="shared" si="508"/>
        <v>0</v>
      </c>
      <c r="Q8143" s="31" t="str">
        <f t="shared" si="509"/>
        <v/>
      </c>
      <c r="R8143" s="32" t="str">
        <f>IFERROR(VLOOKUP($D8143,'Informations sur les produits'!$A$3:$B$15000,2,FALSE),"")</f>
        <v/>
      </c>
      <c r="V8143">
        <f t="shared" si="510"/>
        <v>0</v>
      </c>
      <c r="W8143">
        <f t="shared" si="511"/>
        <v>0</v>
      </c>
    </row>
    <row r="8144" spans="5:23" x14ac:dyDescent="0.25">
      <c r="E8144" s="4"/>
      <c r="F8144" s="4"/>
      <c r="G8144" s="33" t="str">
        <f>IFERROR(VLOOKUP($D8144,'Informations sur les produits'!$A$3:$H$10000,8,FALSE),"0")</f>
        <v>0</v>
      </c>
      <c r="K8144" s="4"/>
      <c r="L8144" s="33" t="str">
        <f>IFERROR(VLOOKUP($J8144,'Informations sur les produits'!$A$3:$H$10000,8,FALSE),"0")</f>
        <v>0</v>
      </c>
      <c r="N8144" s="8"/>
      <c r="O8144" s="33" t="str">
        <f>IFERROR(VLOOKUP($M8144,'Informations sur les produits'!$A$3:$H$10000,8,FALSE),"0")</f>
        <v>0</v>
      </c>
      <c r="P8144" s="33">
        <f t="shared" si="508"/>
        <v>0</v>
      </c>
      <c r="Q8144" s="31" t="str">
        <f t="shared" si="509"/>
        <v/>
      </c>
      <c r="R8144" s="32" t="str">
        <f>IFERROR(VLOOKUP($D8144,'Informations sur les produits'!$A$3:$B$15000,2,FALSE),"")</f>
        <v/>
      </c>
      <c r="V8144">
        <f t="shared" si="510"/>
        <v>0</v>
      </c>
      <c r="W8144">
        <f t="shared" si="511"/>
        <v>0</v>
      </c>
    </row>
    <row r="8145" spans="5:23" x14ac:dyDescent="0.25">
      <c r="E8145" s="4"/>
      <c r="F8145" s="4"/>
      <c r="G8145" s="33" t="str">
        <f>IFERROR(VLOOKUP($D8145,'Informations sur les produits'!$A$3:$H$10000,8,FALSE),"0")</f>
        <v>0</v>
      </c>
      <c r="K8145" s="4"/>
      <c r="L8145" s="33" t="str">
        <f>IFERROR(VLOOKUP($J8145,'Informations sur les produits'!$A$3:$H$10000,8,FALSE),"0")</f>
        <v>0</v>
      </c>
      <c r="N8145" s="8"/>
      <c r="O8145" s="33" t="str">
        <f>IFERROR(VLOOKUP($M8145,'Informations sur les produits'!$A$3:$H$10000,8,FALSE),"0")</f>
        <v>0</v>
      </c>
      <c r="P8145" s="33">
        <f t="shared" si="508"/>
        <v>0</v>
      </c>
      <c r="Q8145" s="31" t="str">
        <f t="shared" si="509"/>
        <v/>
      </c>
      <c r="R8145" s="32" t="str">
        <f>IFERROR(VLOOKUP($D8145,'Informations sur les produits'!$A$3:$B$15000,2,FALSE),"")</f>
        <v/>
      </c>
      <c r="V8145">
        <f t="shared" si="510"/>
        <v>0</v>
      </c>
      <c r="W8145">
        <f t="shared" si="511"/>
        <v>0</v>
      </c>
    </row>
    <row r="8146" spans="5:23" x14ac:dyDescent="0.25">
      <c r="E8146" s="4"/>
      <c r="F8146" s="4"/>
      <c r="G8146" s="33" t="str">
        <f>IFERROR(VLOOKUP($D8146,'Informations sur les produits'!$A$3:$H$10000,8,FALSE),"0")</f>
        <v>0</v>
      </c>
      <c r="K8146" s="4"/>
      <c r="L8146" s="33" t="str">
        <f>IFERROR(VLOOKUP($J8146,'Informations sur les produits'!$A$3:$H$10000,8,FALSE),"0")</f>
        <v>0</v>
      </c>
      <c r="N8146" s="8"/>
      <c r="O8146" s="33" t="str">
        <f>IFERROR(VLOOKUP($M8146,'Informations sur les produits'!$A$3:$H$10000,8,FALSE),"0")</f>
        <v>0</v>
      </c>
      <c r="P8146" s="33">
        <f t="shared" si="508"/>
        <v>0</v>
      </c>
      <c r="Q8146" s="31" t="str">
        <f t="shared" si="509"/>
        <v/>
      </c>
      <c r="R8146" s="32" t="str">
        <f>IFERROR(VLOOKUP($D8146,'Informations sur les produits'!$A$3:$B$15000,2,FALSE),"")</f>
        <v/>
      </c>
      <c r="V8146">
        <f t="shared" si="510"/>
        <v>0</v>
      </c>
      <c r="W8146">
        <f t="shared" si="511"/>
        <v>0</v>
      </c>
    </row>
    <row r="8147" spans="5:23" x14ac:dyDescent="0.25">
      <c r="E8147" s="4"/>
      <c r="F8147" s="4"/>
      <c r="G8147" s="33" t="str">
        <f>IFERROR(VLOOKUP($D8147,'Informations sur les produits'!$A$3:$H$10000,8,FALSE),"0")</f>
        <v>0</v>
      </c>
      <c r="K8147" s="4"/>
      <c r="L8147" s="33" t="str">
        <f>IFERROR(VLOOKUP($J8147,'Informations sur les produits'!$A$3:$H$10000,8,FALSE),"0")</f>
        <v>0</v>
      </c>
      <c r="N8147" s="8"/>
      <c r="O8147" s="33" t="str">
        <f>IFERROR(VLOOKUP($M8147,'Informations sur les produits'!$A$3:$H$10000,8,FALSE),"0")</f>
        <v>0</v>
      </c>
      <c r="P8147" s="33">
        <f t="shared" si="508"/>
        <v>0</v>
      </c>
      <c r="Q8147" s="31" t="str">
        <f t="shared" si="509"/>
        <v/>
      </c>
      <c r="R8147" s="32" t="str">
        <f>IFERROR(VLOOKUP($D8147,'Informations sur les produits'!$A$3:$B$15000,2,FALSE),"")</f>
        <v/>
      </c>
      <c r="V8147">
        <f t="shared" si="510"/>
        <v>0</v>
      </c>
      <c r="W8147">
        <f t="shared" si="511"/>
        <v>0</v>
      </c>
    </row>
    <row r="8148" spans="5:23" x14ac:dyDescent="0.25">
      <c r="E8148" s="4"/>
      <c r="F8148" s="4"/>
      <c r="G8148" s="33" t="str">
        <f>IFERROR(VLOOKUP($D8148,'Informations sur les produits'!$A$3:$H$10000,8,FALSE),"0")</f>
        <v>0</v>
      </c>
      <c r="K8148" s="4"/>
      <c r="L8148" s="33" t="str">
        <f>IFERROR(VLOOKUP($J8148,'Informations sur les produits'!$A$3:$H$10000,8,FALSE),"0")</f>
        <v>0</v>
      </c>
      <c r="N8148" s="8"/>
      <c r="O8148" s="33" t="str">
        <f>IFERROR(VLOOKUP($M8148,'Informations sur les produits'!$A$3:$H$10000,8,FALSE),"0")</f>
        <v>0</v>
      </c>
      <c r="P8148" s="33">
        <f t="shared" si="508"/>
        <v>0</v>
      </c>
      <c r="Q8148" s="31" t="str">
        <f t="shared" si="509"/>
        <v/>
      </c>
      <c r="R8148" s="32" t="str">
        <f>IFERROR(VLOOKUP($D8148,'Informations sur les produits'!$A$3:$B$15000,2,FALSE),"")</f>
        <v/>
      </c>
      <c r="V8148">
        <f t="shared" si="510"/>
        <v>0</v>
      </c>
      <c r="W8148">
        <f t="shared" si="511"/>
        <v>0</v>
      </c>
    </row>
    <row r="8149" spans="5:23" x14ac:dyDescent="0.25">
      <c r="E8149" s="4"/>
      <c r="F8149" s="4"/>
      <c r="G8149" s="33" t="str">
        <f>IFERROR(VLOOKUP($D8149,'Informations sur les produits'!$A$3:$H$10000,8,FALSE),"0")</f>
        <v>0</v>
      </c>
      <c r="K8149" s="4"/>
      <c r="L8149" s="33" t="str">
        <f>IFERROR(VLOOKUP($J8149,'Informations sur les produits'!$A$3:$H$10000,8,FALSE),"0")</f>
        <v>0</v>
      </c>
      <c r="N8149" s="8"/>
      <c r="O8149" s="33" t="str">
        <f>IFERROR(VLOOKUP($M8149,'Informations sur les produits'!$A$3:$H$10000,8,FALSE),"0")</f>
        <v>0</v>
      </c>
      <c r="P8149" s="33">
        <f t="shared" si="508"/>
        <v>0</v>
      </c>
      <c r="Q8149" s="31" t="str">
        <f t="shared" si="509"/>
        <v/>
      </c>
      <c r="R8149" s="32" t="str">
        <f>IFERROR(VLOOKUP($D8149,'Informations sur les produits'!$A$3:$B$15000,2,FALSE),"")</f>
        <v/>
      </c>
      <c r="V8149">
        <f t="shared" si="510"/>
        <v>0</v>
      </c>
      <c r="W8149">
        <f t="shared" si="511"/>
        <v>0</v>
      </c>
    </row>
    <row r="8150" spans="5:23" x14ac:dyDescent="0.25">
      <c r="E8150" s="4"/>
      <c r="F8150" s="4"/>
      <c r="G8150" s="33" t="str">
        <f>IFERROR(VLOOKUP($D8150,'Informations sur les produits'!$A$3:$H$10000,8,FALSE),"0")</f>
        <v>0</v>
      </c>
      <c r="K8150" s="4"/>
      <c r="L8150" s="33" t="str">
        <f>IFERROR(VLOOKUP($J8150,'Informations sur les produits'!$A$3:$H$10000,8,FALSE),"0")</f>
        <v>0</v>
      </c>
      <c r="N8150" s="8"/>
      <c r="O8150" s="33" t="str">
        <f>IFERROR(VLOOKUP($M8150,'Informations sur les produits'!$A$3:$H$10000,8,FALSE),"0")</f>
        <v>0</v>
      </c>
      <c r="P8150" s="33">
        <f t="shared" si="508"/>
        <v>0</v>
      </c>
      <c r="Q8150" s="31" t="str">
        <f t="shared" si="509"/>
        <v/>
      </c>
      <c r="R8150" s="32" t="str">
        <f>IFERROR(VLOOKUP($D8150,'Informations sur les produits'!$A$3:$B$15000,2,FALSE),"")</f>
        <v/>
      </c>
      <c r="V8150">
        <f t="shared" si="510"/>
        <v>0</v>
      </c>
      <c r="W8150">
        <f t="shared" si="511"/>
        <v>0</v>
      </c>
    </row>
    <row r="8151" spans="5:23" x14ac:dyDescent="0.25">
      <c r="E8151" s="4"/>
      <c r="F8151" s="4"/>
      <c r="G8151" s="33" t="str">
        <f>IFERROR(VLOOKUP($D8151,'Informations sur les produits'!$A$3:$H$10000,8,FALSE),"0")</f>
        <v>0</v>
      </c>
      <c r="K8151" s="4"/>
      <c r="L8151" s="33" t="str">
        <f>IFERROR(VLOOKUP($J8151,'Informations sur les produits'!$A$3:$H$10000,8,FALSE),"0")</f>
        <v>0</v>
      </c>
      <c r="N8151" s="8"/>
      <c r="O8151" s="33" t="str">
        <f>IFERROR(VLOOKUP($M8151,'Informations sur les produits'!$A$3:$H$10000,8,FALSE),"0")</f>
        <v>0</v>
      </c>
      <c r="P8151" s="33">
        <f t="shared" si="508"/>
        <v>0</v>
      </c>
      <c r="Q8151" s="31" t="str">
        <f t="shared" si="509"/>
        <v/>
      </c>
      <c r="R8151" s="32" t="str">
        <f>IFERROR(VLOOKUP($D8151,'Informations sur les produits'!$A$3:$B$15000,2,FALSE),"")</f>
        <v/>
      </c>
      <c r="V8151">
        <f t="shared" si="510"/>
        <v>0</v>
      </c>
      <c r="W8151">
        <f t="shared" si="511"/>
        <v>0</v>
      </c>
    </row>
    <row r="8152" spans="5:23" x14ac:dyDescent="0.25">
      <c r="E8152" s="4"/>
      <c r="F8152" s="4"/>
      <c r="G8152" s="33" t="str">
        <f>IFERROR(VLOOKUP($D8152,'Informations sur les produits'!$A$3:$H$10000,8,FALSE),"0")</f>
        <v>0</v>
      </c>
      <c r="K8152" s="4"/>
      <c r="L8152" s="33" t="str">
        <f>IFERROR(VLOOKUP($J8152,'Informations sur les produits'!$A$3:$H$10000,8,FALSE),"0")</f>
        <v>0</v>
      </c>
      <c r="N8152" s="8"/>
      <c r="O8152" s="33" t="str">
        <f>IFERROR(VLOOKUP($M8152,'Informations sur les produits'!$A$3:$H$10000,8,FALSE),"0")</f>
        <v>0</v>
      </c>
      <c r="P8152" s="33">
        <f t="shared" si="508"/>
        <v>0</v>
      </c>
      <c r="Q8152" s="31" t="str">
        <f t="shared" si="509"/>
        <v/>
      </c>
      <c r="R8152" s="32" t="str">
        <f>IFERROR(VLOOKUP($D8152,'Informations sur les produits'!$A$3:$B$15000,2,FALSE),"")</f>
        <v/>
      </c>
      <c r="V8152">
        <f t="shared" si="510"/>
        <v>0</v>
      </c>
      <c r="W8152">
        <f t="shared" si="511"/>
        <v>0</v>
      </c>
    </row>
    <row r="8153" spans="5:23" x14ac:dyDescent="0.25">
      <c r="E8153" s="4"/>
      <c r="F8153" s="4"/>
      <c r="G8153" s="33" t="str">
        <f>IFERROR(VLOOKUP($D8153,'Informations sur les produits'!$A$3:$H$10000,8,FALSE),"0")</f>
        <v>0</v>
      </c>
      <c r="K8153" s="4"/>
      <c r="L8153" s="33" t="str">
        <f>IFERROR(VLOOKUP($J8153,'Informations sur les produits'!$A$3:$H$10000,8,FALSE),"0")</f>
        <v>0</v>
      </c>
      <c r="N8153" s="8"/>
      <c r="O8153" s="33" t="str">
        <f>IFERROR(VLOOKUP($M8153,'Informations sur les produits'!$A$3:$H$10000,8,FALSE),"0")</f>
        <v>0</v>
      </c>
      <c r="P8153" s="33">
        <f t="shared" si="508"/>
        <v>0</v>
      </c>
      <c r="Q8153" s="31" t="str">
        <f t="shared" si="509"/>
        <v/>
      </c>
      <c r="R8153" s="32" t="str">
        <f>IFERROR(VLOOKUP($D8153,'Informations sur les produits'!$A$3:$B$15000,2,FALSE),"")</f>
        <v/>
      </c>
      <c r="V8153">
        <f t="shared" si="510"/>
        <v>0</v>
      </c>
      <c r="W8153">
        <f t="shared" si="511"/>
        <v>0</v>
      </c>
    </row>
    <row r="8154" spans="5:23" x14ac:dyDescent="0.25">
      <c r="E8154" s="4"/>
      <c r="F8154" s="4"/>
      <c r="G8154" s="33" t="str">
        <f>IFERROR(VLOOKUP($D8154,'Informations sur les produits'!$A$3:$H$10000,8,FALSE),"0")</f>
        <v>0</v>
      </c>
      <c r="K8154" s="4"/>
      <c r="L8154" s="33" t="str">
        <f>IFERROR(VLOOKUP($J8154,'Informations sur les produits'!$A$3:$H$10000,8,FALSE),"0")</f>
        <v>0</v>
      </c>
      <c r="N8154" s="8"/>
      <c r="O8154" s="33" t="str">
        <f>IFERROR(VLOOKUP($M8154,'Informations sur les produits'!$A$3:$H$10000,8,FALSE),"0")</f>
        <v>0</v>
      </c>
      <c r="P8154" s="33">
        <f t="shared" si="508"/>
        <v>0</v>
      </c>
      <c r="Q8154" s="31" t="str">
        <f t="shared" si="509"/>
        <v/>
      </c>
      <c r="R8154" s="32" t="str">
        <f>IFERROR(VLOOKUP($D8154,'Informations sur les produits'!$A$3:$B$15000,2,FALSE),"")</f>
        <v/>
      </c>
      <c r="V8154">
        <f t="shared" si="510"/>
        <v>0</v>
      </c>
      <c r="W8154">
        <f t="shared" si="511"/>
        <v>0</v>
      </c>
    </row>
    <row r="8155" spans="5:23" x14ac:dyDescent="0.25">
      <c r="E8155" s="4"/>
      <c r="F8155" s="4"/>
      <c r="G8155" s="33" t="str">
        <f>IFERROR(VLOOKUP($D8155,'Informations sur les produits'!$A$3:$H$10000,8,FALSE),"0")</f>
        <v>0</v>
      </c>
      <c r="K8155" s="4"/>
      <c r="L8155" s="33" t="str">
        <f>IFERROR(VLOOKUP($J8155,'Informations sur les produits'!$A$3:$H$10000,8,FALSE),"0")</f>
        <v>0</v>
      </c>
      <c r="N8155" s="8"/>
      <c r="O8155" s="33" t="str">
        <f>IFERROR(VLOOKUP($M8155,'Informations sur les produits'!$A$3:$H$10000,8,FALSE),"0")</f>
        <v>0</v>
      </c>
      <c r="P8155" s="33">
        <f t="shared" si="508"/>
        <v>0</v>
      </c>
      <c r="Q8155" s="31" t="str">
        <f t="shared" si="509"/>
        <v/>
      </c>
      <c r="R8155" s="32" t="str">
        <f>IFERROR(VLOOKUP($D8155,'Informations sur les produits'!$A$3:$B$15000,2,FALSE),"")</f>
        <v/>
      </c>
      <c r="V8155">
        <f t="shared" si="510"/>
        <v>0</v>
      </c>
      <c r="W8155">
        <f t="shared" si="511"/>
        <v>0</v>
      </c>
    </row>
    <row r="8156" spans="5:23" x14ac:dyDescent="0.25">
      <c r="E8156" s="4"/>
      <c r="F8156" s="4"/>
      <c r="G8156" s="33" t="str">
        <f>IFERROR(VLOOKUP($D8156,'Informations sur les produits'!$A$3:$H$10000,8,FALSE),"0")</f>
        <v>0</v>
      </c>
      <c r="K8156" s="4"/>
      <c r="L8156" s="33" t="str">
        <f>IFERROR(VLOOKUP($J8156,'Informations sur les produits'!$A$3:$H$10000,8,FALSE),"0")</f>
        <v>0</v>
      </c>
      <c r="N8156" s="8"/>
      <c r="O8156" s="33" t="str">
        <f>IFERROR(VLOOKUP($M8156,'Informations sur les produits'!$A$3:$H$10000,8,FALSE),"0")</f>
        <v>0</v>
      </c>
      <c r="P8156" s="33">
        <f t="shared" si="508"/>
        <v>0</v>
      </c>
      <c r="Q8156" s="31" t="str">
        <f t="shared" si="509"/>
        <v/>
      </c>
      <c r="R8156" s="32" t="str">
        <f>IFERROR(VLOOKUP($D8156,'Informations sur les produits'!$A$3:$B$15000,2,FALSE),"")</f>
        <v/>
      </c>
      <c r="V8156">
        <f t="shared" si="510"/>
        <v>0</v>
      </c>
      <c r="W8156">
        <f t="shared" si="511"/>
        <v>0</v>
      </c>
    </row>
    <row r="8157" spans="5:23" x14ac:dyDescent="0.25">
      <c r="E8157" s="4"/>
      <c r="F8157" s="4"/>
      <c r="G8157" s="33" t="str">
        <f>IFERROR(VLOOKUP($D8157,'Informations sur les produits'!$A$3:$H$10000,8,FALSE),"0")</f>
        <v>0</v>
      </c>
      <c r="K8157" s="4"/>
      <c r="L8157" s="33" t="str">
        <f>IFERROR(VLOOKUP($J8157,'Informations sur les produits'!$A$3:$H$10000,8,FALSE),"0")</f>
        <v>0</v>
      </c>
      <c r="N8157" s="8"/>
      <c r="O8157" s="33" t="str">
        <f>IFERROR(VLOOKUP($M8157,'Informations sur les produits'!$A$3:$H$10000,8,FALSE),"0")</f>
        <v>0</v>
      </c>
      <c r="P8157" s="33">
        <f t="shared" si="508"/>
        <v>0</v>
      </c>
      <c r="Q8157" s="31" t="str">
        <f t="shared" si="509"/>
        <v/>
      </c>
      <c r="R8157" s="32" t="str">
        <f>IFERROR(VLOOKUP($D8157,'Informations sur les produits'!$A$3:$B$15000,2,FALSE),"")</f>
        <v/>
      </c>
      <c r="V8157">
        <f t="shared" si="510"/>
        <v>0</v>
      </c>
      <c r="W8157">
        <f t="shared" si="511"/>
        <v>0</v>
      </c>
    </row>
    <row r="8158" spans="5:23" x14ac:dyDescent="0.25">
      <c r="E8158" s="4"/>
      <c r="F8158" s="4"/>
      <c r="G8158" s="33" t="str">
        <f>IFERROR(VLOOKUP($D8158,'Informations sur les produits'!$A$3:$H$10000,8,FALSE),"0")</f>
        <v>0</v>
      </c>
      <c r="K8158" s="4"/>
      <c r="L8158" s="33" t="str">
        <f>IFERROR(VLOOKUP($J8158,'Informations sur les produits'!$A$3:$H$10000,8,FALSE),"0")</f>
        <v>0</v>
      </c>
      <c r="N8158" s="8"/>
      <c r="O8158" s="33" t="str">
        <f>IFERROR(VLOOKUP($M8158,'Informations sur les produits'!$A$3:$H$10000,8,FALSE),"0")</f>
        <v>0</v>
      </c>
      <c r="P8158" s="33">
        <f t="shared" si="508"/>
        <v>0</v>
      </c>
      <c r="Q8158" s="31" t="str">
        <f t="shared" si="509"/>
        <v/>
      </c>
      <c r="R8158" s="32" t="str">
        <f>IFERROR(VLOOKUP($D8158,'Informations sur les produits'!$A$3:$B$15000,2,FALSE),"")</f>
        <v/>
      </c>
      <c r="V8158">
        <f t="shared" si="510"/>
        <v>0</v>
      </c>
      <c r="W8158">
        <f t="shared" si="511"/>
        <v>0</v>
      </c>
    </row>
    <row r="8159" spans="5:23" x14ac:dyDescent="0.25">
      <c r="E8159" s="4"/>
      <c r="F8159" s="4"/>
      <c r="G8159" s="33" t="str">
        <f>IFERROR(VLOOKUP($D8159,'Informations sur les produits'!$A$3:$H$10000,8,FALSE),"0")</f>
        <v>0</v>
      </c>
      <c r="K8159" s="4"/>
      <c r="L8159" s="33" t="str">
        <f>IFERROR(VLOOKUP($J8159,'Informations sur les produits'!$A$3:$H$10000,8,FALSE),"0")</f>
        <v>0</v>
      </c>
      <c r="N8159" s="8"/>
      <c r="O8159" s="33" t="str">
        <f>IFERROR(VLOOKUP($M8159,'Informations sur les produits'!$A$3:$H$10000,8,FALSE),"0")</f>
        <v>0</v>
      </c>
      <c r="P8159" s="33">
        <f t="shared" si="508"/>
        <v>0</v>
      </c>
      <c r="Q8159" s="31" t="str">
        <f t="shared" si="509"/>
        <v/>
      </c>
      <c r="R8159" s="32" t="str">
        <f>IFERROR(VLOOKUP($D8159,'Informations sur les produits'!$A$3:$B$15000,2,FALSE),"")</f>
        <v/>
      </c>
      <c r="V8159">
        <f t="shared" si="510"/>
        <v>0</v>
      </c>
      <c r="W8159">
        <f t="shared" si="511"/>
        <v>0</v>
      </c>
    </row>
    <row r="8160" spans="5:23" x14ac:dyDescent="0.25">
      <c r="E8160" s="4"/>
      <c r="F8160" s="4"/>
      <c r="G8160" s="33" t="str">
        <f>IFERROR(VLOOKUP($D8160,'Informations sur les produits'!$A$3:$H$10000,8,FALSE),"0")</f>
        <v>0</v>
      </c>
      <c r="K8160" s="4"/>
      <c r="L8160" s="33" t="str">
        <f>IFERROR(VLOOKUP($J8160,'Informations sur les produits'!$A$3:$H$10000,8,FALSE),"0")</f>
        <v>0</v>
      </c>
      <c r="N8160" s="8"/>
      <c r="O8160" s="33" t="str">
        <f>IFERROR(VLOOKUP($M8160,'Informations sur les produits'!$A$3:$H$10000,8,FALSE),"0")</f>
        <v>0</v>
      </c>
      <c r="P8160" s="33">
        <f t="shared" si="508"/>
        <v>0</v>
      </c>
      <c r="Q8160" s="31" t="str">
        <f t="shared" si="509"/>
        <v/>
      </c>
      <c r="R8160" s="32" t="str">
        <f>IFERROR(VLOOKUP($D8160,'Informations sur les produits'!$A$3:$B$15000,2,FALSE),"")</f>
        <v/>
      </c>
      <c r="V8160">
        <f t="shared" si="510"/>
        <v>0</v>
      </c>
      <c r="W8160">
        <f t="shared" si="511"/>
        <v>0</v>
      </c>
    </row>
    <row r="8161" spans="5:23" x14ac:dyDescent="0.25">
      <c r="E8161" s="4"/>
      <c r="F8161" s="4"/>
      <c r="G8161" s="33" t="str">
        <f>IFERROR(VLOOKUP($D8161,'Informations sur les produits'!$A$3:$H$10000,8,FALSE),"0")</f>
        <v>0</v>
      </c>
      <c r="K8161" s="4"/>
      <c r="L8161" s="33" t="str">
        <f>IFERROR(VLOOKUP($J8161,'Informations sur les produits'!$A$3:$H$10000,8,FALSE),"0")</f>
        <v>0</v>
      </c>
      <c r="N8161" s="8"/>
      <c r="O8161" s="33" t="str">
        <f>IFERROR(VLOOKUP($M8161,'Informations sur les produits'!$A$3:$H$10000,8,FALSE),"0")</f>
        <v>0</v>
      </c>
      <c r="P8161" s="33">
        <f t="shared" si="508"/>
        <v>0</v>
      </c>
      <c r="Q8161" s="31" t="str">
        <f t="shared" si="509"/>
        <v/>
      </c>
      <c r="R8161" s="32" t="str">
        <f>IFERROR(VLOOKUP($D8161,'Informations sur les produits'!$A$3:$B$15000,2,FALSE),"")</f>
        <v/>
      </c>
      <c r="V8161">
        <f t="shared" si="510"/>
        <v>0</v>
      </c>
      <c r="W8161">
        <f t="shared" si="511"/>
        <v>0</v>
      </c>
    </row>
    <row r="8162" spans="5:23" x14ac:dyDescent="0.25">
      <c r="E8162" s="4"/>
      <c r="F8162" s="4"/>
      <c r="G8162" s="33" t="str">
        <f>IFERROR(VLOOKUP($D8162,'Informations sur les produits'!$A$3:$H$10000,8,FALSE),"0")</f>
        <v>0</v>
      </c>
      <c r="K8162" s="4"/>
      <c r="L8162" s="33" t="str">
        <f>IFERROR(VLOOKUP($J8162,'Informations sur les produits'!$A$3:$H$10000,8,FALSE),"0")</f>
        <v>0</v>
      </c>
      <c r="N8162" s="8"/>
      <c r="O8162" s="33" t="str">
        <f>IFERROR(VLOOKUP($M8162,'Informations sur les produits'!$A$3:$H$10000,8,FALSE),"0")</f>
        <v>0</v>
      </c>
      <c r="P8162" s="33">
        <f t="shared" si="508"/>
        <v>0</v>
      </c>
      <c r="Q8162" s="31" t="str">
        <f t="shared" si="509"/>
        <v/>
      </c>
      <c r="R8162" s="32" t="str">
        <f>IFERROR(VLOOKUP($D8162,'Informations sur les produits'!$A$3:$B$15000,2,FALSE),"")</f>
        <v/>
      </c>
      <c r="V8162">
        <f t="shared" si="510"/>
        <v>0</v>
      </c>
      <c r="W8162">
        <f t="shared" si="511"/>
        <v>0</v>
      </c>
    </row>
    <row r="8163" spans="5:23" x14ac:dyDescent="0.25">
      <c r="E8163" s="4"/>
      <c r="F8163" s="4"/>
      <c r="G8163" s="33" t="str">
        <f>IFERROR(VLOOKUP($D8163,'Informations sur les produits'!$A$3:$H$10000,8,FALSE),"0")</f>
        <v>0</v>
      </c>
      <c r="K8163" s="4"/>
      <c r="L8163" s="33" t="str">
        <f>IFERROR(VLOOKUP($J8163,'Informations sur les produits'!$A$3:$H$10000,8,FALSE),"0")</f>
        <v>0</v>
      </c>
      <c r="N8163" s="8"/>
      <c r="O8163" s="33" t="str">
        <f>IFERROR(VLOOKUP($M8163,'Informations sur les produits'!$A$3:$H$10000,8,FALSE),"0")</f>
        <v>0</v>
      </c>
      <c r="P8163" s="33">
        <f t="shared" si="508"/>
        <v>0</v>
      </c>
      <c r="Q8163" s="31" t="str">
        <f t="shared" si="509"/>
        <v/>
      </c>
      <c r="R8163" s="32" t="str">
        <f>IFERROR(VLOOKUP($D8163,'Informations sur les produits'!$A$3:$B$15000,2,FALSE),"")</f>
        <v/>
      </c>
      <c r="V8163">
        <f t="shared" si="510"/>
        <v>0</v>
      </c>
      <c r="W8163">
        <f t="shared" si="511"/>
        <v>0</v>
      </c>
    </row>
    <row r="8164" spans="5:23" x14ac:dyDescent="0.25">
      <c r="E8164" s="4"/>
      <c r="F8164" s="4"/>
      <c r="G8164" s="33" t="str">
        <f>IFERROR(VLOOKUP($D8164,'Informations sur les produits'!$A$3:$H$10000,8,FALSE),"0")</f>
        <v>0</v>
      </c>
      <c r="K8164" s="4"/>
      <c r="L8164" s="33" t="str">
        <f>IFERROR(VLOOKUP($J8164,'Informations sur les produits'!$A$3:$H$10000,8,FALSE),"0")</f>
        <v>0</v>
      </c>
      <c r="N8164" s="8"/>
      <c r="O8164" s="33" t="str">
        <f>IFERROR(VLOOKUP($M8164,'Informations sur les produits'!$A$3:$H$10000,8,FALSE),"0")</f>
        <v>0</v>
      </c>
      <c r="P8164" s="33">
        <f t="shared" si="508"/>
        <v>0</v>
      </c>
      <c r="Q8164" s="31" t="str">
        <f t="shared" si="509"/>
        <v/>
      </c>
      <c r="R8164" s="32" t="str">
        <f>IFERROR(VLOOKUP($D8164,'Informations sur les produits'!$A$3:$B$15000,2,FALSE),"")</f>
        <v/>
      </c>
      <c r="V8164">
        <f t="shared" si="510"/>
        <v>0</v>
      </c>
      <c r="W8164">
        <f t="shared" si="511"/>
        <v>0</v>
      </c>
    </row>
    <row r="8165" spans="5:23" x14ac:dyDescent="0.25">
      <c r="E8165" s="4"/>
      <c r="F8165" s="4"/>
      <c r="G8165" s="33" t="str">
        <f>IFERROR(VLOOKUP($D8165,'Informations sur les produits'!$A$3:$H$10000,8,FALSE),"0")</f>
        <v>0</v>
      </c>
      <c r="K8165" s="4"/>
      <c r="L8165" s="33" t="str">
        <f>IFERROR(VLOOKUP($J8165,'Informations sur les produits'!$A$3:$H$10000,8,FALSE),"0")</f>
        <v>0</v>
      </c>
      <c r="N8165" s="8"/>
      <c r="O8165" s="33" t="str">
        <f>IFERROR(VLOOKUP($M8165,'Informations sur les produits'!$A$3:$H$10000,8,FALSE),"0")</f>
        <v>0</v>
      </c>
      <c r="P8165" s="33">
        <f t="shared" si="508"/>
        <v>0</v>
      </c>
      <c r="Q8165" s="31" t="str">
        <f t="shared" si="509"/>
        <v/>
      </c>
      <c r="R8165" s="32" t="str">
        <f>IFERROR(VLOOKUP($D8165,'Informations sur les produits'!$A$3:$B$15000,2,FALSE),"")</f>
        <v/>
      </c>
      <c r="V8165">
        <f t="shared" si="510"/>
        <v>0</v>
      </c>
      <c r="W8165">
        <f t="shared" si="511"/>
        <v>0</v>
      </c>
    </row>
    <row r="8166" spans="5:23" x14ac:dyDescent="0.25">
      <c r="E8166" s="4"/>
      <c r="F8166" s="4"/>
      <c r="G8166" s="33" t="str">
        <f>IFERROR(VLOOKUP($D8166,'Informations sur les produits'!$A$3:$H$10000,8,FALSE),"0")</f>
        <v>0</v>
      </c>
      <c r="K8166" s="4"/>
      <c r="L8166" s="33" t="str">
        <f>IFERROR(VLOOKUP($J8166,'Informations sur les produits'!$A$3:$H$10000,8,FALSE),"0")</f>
        <v>0</v>
      </c>
      <c r="N8166" s="8"/>
      <c r="O8166" s="33" t="str">
        <f>IFERROR(VLOOKUP($M8166,'Informations sur les produits'!$A$3:$H$10000,8,FALSE),"0")</f>
        <v>0</v>
      </c>
      <c r="P8166" s="33">
        <f t="shared" si="508"/>
        <v>0</v>
      </c>
      <c r="Q8166" s="31" t="str">
        <f t="shared" si="509"/>
        <v/>
      </c>
      <c r="R8166" s="32" t="str">
        <f>IFERROR(VLOOKUP($D8166,'Informations sur les produits'!$A$3:$B$15000,2,FALSE),"")</f>
        <v/>
      </c>
      <c r="V8166">
        <f t="shared" si="510"/>
        <v>0</v>
      </c>
      <c r="W8166">
        <f t="shared" si="511"/>
        <v>0</v>
      </c>
    </row>
    <row r="8167" spans="5:23" x14ac:dyDescent="0.25">
      <c r="E8167" s="4"/>
      <c r="F8167" s="4"/>
      <c r="G8167" s="33" t="str">
        <f>IFERROR(VLOOKUP($D8167,'Informations sur les produits'!$A$3:$H$10000,8,FALSE),"0")</f>
        <v>0</v>
      </c>
      <c r="K8167" s="4"/>
      <c r="L8167" s="33" t="str">
        <f>IFERROR(VLOOKUP($J8167,'Informations sur les produits'!$A$3:$H$10000,8,FALSE),"0")</f>
        <v>0</v>
      </c>
      <c r="N8167" s="8"/>
      <c r="O8167" s="33" t="str">
        <f>IFERROR(VLOOKUP($M8167,'Informations sur les produits'!$A$3:$H$10000,8,FALSE),"0")</f>
        <v>0</v>
      </c>
      <c r="P8167" s="33">
        <f t="shared" si="508"/>
        <v>0</v>
      </c>
      <c r="Q8167" s="31" t="str">
        <f t="shared" si="509"/>
        <v/>
      </c>
      <c r="R8167" s="32" t="str">
        <f>IFERROR(VLOOKUP($D8167,'Informations sur les produits'!$A$3:$B$15000,2,FALSE),"")</f>
        <v/>
      </c>
      <c r="V8167">
        <f t="shared" si="510"/>
        <v>0</v>
      </c>
      <c r="W8167">
        <f t="shared" si="511"/>
        <v>0</v>
      </c>
    </row>
    <row r="8168" spans="5:23" x14ac:dyDescent="0.25">
      <c r="E8168" s="4"/>
      <c r="F8168" s="4"/>
      <c r="G8168" s="33" t="str">
        <f>IFERROR(VLOOKUP($D8168,'Informations sur les produits'!$A$3:$H$10000,8,FALSE),"0")</f>
        <v>0</v>
      </c>
      <c r="K8168" s="4"/>
      <c r="L8168" s="33" t="str">
        <f>IFERROR(VLOOKUP($J8168,'Informations sur les produits'!$A$3:$H$10000,8,FALSE),"0")</f>
        <v>0</v>
      </c>
      <c r="N8168" s="8"/>
      <c r="O8168" s="33" t="str">
        <f>IFERROR(VLOOKUP($M8168,'Informations sur les produits'!$A$3:$H$10000,8,FALSE),"0")</f>
        <v>0</v>
      </c>
      <c r="P8168" s="33">
        <f t="shared" si="508"/>
        <v>0</v>
      </c>
      <c r="Q8168" s="31" t="str">
        <f t="shared" si="509"/>
        <v/>
      </c>
      <c r="R8168" s="32" t="str">
        <f>IFERROR(VLOOKUP($D8168,'Informations sur les produits'!$A$3:$B$15000,2,FALSE),"")</f>
        <v/>
      </c>
      <c r="V8168">
        <f t="shared" si="510"/>
        <v>0</v>
      </c>
      <c r="W8168">
        <f t="shared" si="511"/>
        <v>0</v>
      </c>
    </row>
    <row r="8169" spans="5:23" x14ac:dyDescent="0.25">
      <c r="E8169" s="4"/>
      <c r="F8169" s="4"/>
      <c r="G8169" s="33" t="str">
        <f>IFERROR(VLOOKUP($D8169,'Informations sur les produits'!$A$3:$H$10000,8,FALSE),"0")</f>
        <v>0</v>
      </c>
      <c r="K8169" s="4"/>
      <c r="L8169" s="33" t="str">
        <f>IFERROR(VLOOKUP($J8169,'Informations sur les produits'!$A$3:$H$10000,8,FALSE),"0")</f>
        <v>0</v>
      </c>
      <c r="N8169" s="8"/>
      <c r="O8169" s="33" t="str">
        <f>IFERROR(VLOOKUP($M8169,'Informations sur les produits'!$A$3:$H$10000,8,FALSE),"0")</f>
        <v>0</v>
      </c>
      <c r="P8169" s="33">
        <f t="shared" si="508"/>
        <v>0</v>
      </c>
      <c r="Q8169" s="31" t="str">
        <f t="shared" si="509"/>
        <v/>
      </c>
      <c r="R8169" s="32" t="str">
        <f>IFERROR(VLOOKUP($D8169,'Informations sur les produits'!$A$3:$B$15000,2,FALSE),"")</f>
        <v/>
      </c>
      <c r="V8169">
        <f t="shared" si="510"/>
        <v>0</v>
      </c>
      <c r="W8169">
        <f t="shared" si="511"/>
        <v>0</v>
      </c>
    </row>
    <row r="8170" spans="5:23" x14ac:dyDescent="0.25">
      <c r="E8170" s="4"/>
      <c r="F8170" s="4"/>
      <c r="G8170" s="33" t="str">
        <f>IFERROR(VLOOKUP($D8170,'Informations sur les produits'!$A$3:$H$10000,8,FALSE),"0")</f>
        <v>0</v>
      </c>
      <c r="K8170" s="4"/>
      <c r="L8170" s="33" t="str">
        <f>IFERROR(VLOOKUP($J8170,'Informations sur les produits'!$A$3:$H$10000,8,FALSE),"0")</f>
        <v>0</v>
      </c>
      <c r="N8170" s="8"/>
      <c r="O8170" s="33" t="str">
        <f>IFERROR(VLOOKUP($M8170,'Informations sur les produits'!$A$3:$H$10000,8,FALSE),"0")</f>
        <v>0</v>
      </c>
      <c r="P8170" s="33">
        <f t="shared" si="508"/>
        <v>0</v>
      </c>
      <c r="Q8170" s="31" t="str">
        <f t="shared" si="509"/>
        <v/>
      </c>
      <c r="R8170" s="32" t="str">
        <f>IFERROR(VLOOKUP($D8170,'Informations sur les produits'!$A$3:$B$15000,2,FALSE),"")</f>
        <v/>
      </c>
      <c r="V8170">
        <f t="shared" si="510"/>
        <v>0</v>
      </c>
      <c r="W8170">
        <f t="shared" si="511"/>
        <v>0</v>
      </c>
    </row>
    <row r="8171" spans="5:23" x14ac:dyDescent="0.25">
      <c r="E8171" s="4"/>
      <c r="F8171" s="4"/>
      <c r="G8171" s="33" t="str">
        <f>IFERROR(VLOOKUP($D8171,'Informations sur les produits'!$A$3:$H$10000,8,FALSE),"0")</f>
        <v>0</v>
      </c>
      <c r="K8171" s="4"/>
      <c r="L8171" s="33" t="str">
        <f>IFERROR(VLOOKUP($J8171,'Informations sur les produits'!$A$3:$H$10000,8,FALSE),"0")</f>
        <v>0</v>
      </c>
      <c r="N8171" s="8"/>
      <c r="O8171" s="33" t="str">
        <f>IFERROR(VLOOKUP($M8171,'Informations sur les produits'!$A$3:$H$10000,8,FALSE),"0")</f>
        <v>0</v>
      </c>
      <c r="P8171" s="33">
        <f t="shared" si="508"/>
        <v>0</v>
      </c>
      <c r="Q8171" s="31" t="str">
        <f t="shared" si="509"/>
        <v/>
      </c>
      <c r="R8171" s="32" t="str">
        <f>IFERROR(VLOOKUP($D8171,'Informations sur les produits'!$A$3:$B$15000,2,FALSE),"")</f>
        <v/>
      </c>
      <c r="V8171">
        <f t="shared" si="510"/>
        <v>0</v>
      </c>
      <c r="W8171">
        <f t="shared" si="511"/>
        <v>0</v>
      </c>
    </row>
    <row r="8172" spans="5:23" x14ac:dyDescent="0.25">
      <c r="E8172" s="4"/>
      <c r="F8172" s="4"/>
      <c r="G8172" s="33" t="str">
        <f>IFERROR(VLOOKUP($D8172,'Informations sur les produits'!$A$3:$H$10000,8,FALSE),"0")</f>
        <v>0</v>
      </c>
      <c r="K8172" s="4"/>
      <c r="L8172" s="33" t="str">
        <f>IFERROR(VLOOKUP($J8172,'Informations sur les produits'!$A$3:$H$10000,8,FALSE),"0")</f>
        <v>0</v>
      </c>
      <c r="N8172" s="8"/>
      <c r="O8172" s="33" t="str">
        <f>IFERROR(VLOOKUP($M8172,'Informations sur les produits'!$A$3:$H$10000,8,FALSE),"0")</f>
        <v>0</v>
      </c>
      <c r="P8172" s="33">
        <f t="shared" si="508"/>
        <v>0</v>
      </c>
      <c r="Q8172" s="31" t="str">
        <f t="shared" si="509"/>
        <v/>
      </c>
      <c r="R8172" s="32" t="str">
        <f>IFERROR(VLOOKUP($D8172,'Informations sur les produits'!$A$3:$B$15000,2,FALSE),"")</f>
        <v/>
      </c>
      <c r="V8172">
        <f t="shared" si="510"/>
        <v>0</v>
      </c>
      <c r="W8172">
        <f t="shared" si="511"/>
        <v>0</v>
      </c>
    </row>
    <row r="8173" spans="5:23" x14ac:dyDescent="0.25">
      <c r="E8173" s="4"/>
      <c r="F8173" s="4"/>
      <c r="G8173" s="33" t="str">
        <f>IFERROR(VLOOKUP($D8173,'Informations sur les produits'!$A$3:$H$10000,8,FALSE),"0")</f>
        <v>0</v>
      </c>
      <c r="K8173" s="4"/>
      <c r="L8173" s="33" t="str">
        <f>IFERROR(VLOOKUP($J8173,'Informations sur les produits'!$A$3:$H$10000,8,FALSE),"0")</f>
        <v>0</v>
      </c>
      <c r="N8173" s="8"/>
      <c r="O8173" s="33" t="str">
        <f>IFERROR(VLOOKUP($M8173,'Informations sur les produits'!$A$3:$H$10000,8,FALSE),"0")</f>
        <v>0</v>
      </c>
      <c r="P8173" s="33">
        <f t="shared" si="508"/>
        <v>0</v>
      </c>
      <c r="Q8173" s="31" t="str">
        <f t="shared" si="509"/>
        <v/>
      </c>
      <c r="R8173" s="32" t="str">
        <f>IFERROR(VLOOKUP($D8173,'Informations sur les produits'!$A$3:$B$15000,2,FALSE),"")</f>
        <v/>
      </c>
      <c r="V8173">
        <f t="shared" si="510"/>
        <v>0</v>
      </c>
      <c r="W8173">
        <f t="shared" si="511"/>
        <v>0</v>
      </c>
    </row>
    <row r="8174" spans="5:23" x14ac:dyDescent="0.25">
      <c r="E8174" s="4"/>
      <c r="F8174" s="4"/>
      <c r="G8174" s="33" t="str">
        <f>IFERROR(VLOOKUP($D8174,'Informations sur les produits'!$A$3:$H$10000,8,FALSE),"0")</f>
        <v>0</v>
      </c>
      <c r="K8174" s="4"/>
      <c r="L8174" s="33" t="str">
        <f>IFERROR(VLOOKUP($J8174,'Informations sur les produits'!$A$3:$H$10000,8,FALSE),"0")</f>
        <v>0</v>
      </c>
      <c r="N8174" s="8"/>
      <c r="O8174" s="33" t="str">
        <f>IFERROR(VLOOKUP($M8174,'Informations sur les produits'!$A$3:$H$10000,8,FALSE),"0")</f>
        <v>0</v>
      </c>
      <c r="P8174" s="33">
        <f t="shared" si="508"/>
        <v>0</v>
      </c>
      <c r="Q8174" s="31" t="str">
        <f t="shared" si="509"/>
        <v/>
      </c>
      <c r="R8174" s="32" t="str">
        <f>IFERROR(VLOOKUP($D8174,'Informations sur les produits'!$A$3:$B$15000,2,FALSE),"")</f>
        <v/>
      </c>
      <c r="V8174">
        <f t="shared" si="510"/>
        <v>0</v>
      </c>
      <c r="W8174">
        <f t="shared" si="511"/>
        <v>0</v>
      </c>
    </row>
    <row r="8175" spans="5:23" x14ac:dyDescent="0.25">
      <c r="E8175" s="4"/>
      <c r="F8175" s="4"/>
      <c r="G8175" s="33" t="str">
        <f>IFERROR(VLOOKUP($D8175,'Informations sur les produits'!$A$3:$H$10000,8,FALSE),"0")</f>
        <v>0</v>
      </c>
      <c r="K8175" s="4"/>
      <c r="L8175" s="33" t="str">
        <f>IFERROR(VLOOKUP($J8175,'Informations sur les produits'!$A$3:$H$10000,8,FALSE),"0")</f>
        <v>0</v>
      </c>
      <c r="N8175" s="8"/>
      <c r="O8175" s="33" t="str">
        <f>IFERROR(VLOOKUP($M8175,'Informations sur les produits'!$A$3:$H$10000,8,FALSE),"0")</f>
        <v>0</v>
      </c>
      <c r="P8175" s="33">
        <f t="shared" si="508"/>
        <v>0</v>
      </c>
      <c r="Q8175" s="31" t="str">
        <f t="shared" si="509"/>
        <v/>
      </c>
      <c r="R8175" s="32" t="str">
        <f>IFERROR(VLOOKUP($D8175,'Informations sur les produits'!$A$3:$B$15000,2,FALSE),"")</f>
        <v/>
      </c>
      <c r="V8175">
        <f t="shared" si="510"/>
        <v>0</v>
      </c>
      <c r="W8175">
        <f t="shared" si="511"/>
        <v>0</v>
      </c>
    </row>
    <row r="8176" spans="5:23" x14ac:dyDescent="0.25">
      <c r="E8176" s="4"/>
      <c r="F8176" s="4"/>
      <c r="G8176" s="33" t="str">
        <f>IFERROR(VLOOKUP($D8176,'Informations sur les produits'!$A$3:$H$10000,8,FALSE),"0")</f>
        <v>0</v>
      </c>
      <c r="K8176" s="4"/>
      <c r="L8176" s="33" t="str">
        <f>IFERROR(VLOOKUP($J8176,'Informations sur les produits'!$A$3:$H$10000,8,FALSE),"0")</f>
        <v>0</v>
      </c>
      <c r="N8176" s="8"/>
      <c r="O8176" s="33" t="str">
        <f>IFERROR(VLOOKUP($M8176,'Informations sur les produits'!$A$3:$H$10000,8,FALSE),"0")</f>
        <v>0</v>
      </c>
      <c r="P8176" s="33">
        <f t="shared" si="508"/>
        <v>0</v>
      </c>
      <c r="Q8176" s="31" t="str">
        <f t="shared" si="509"/>
        <v/>
      </c>
      <c r="R8176" s="32" t="str">
        <f>IFERROR(VLOOKUP($D8176,'Informations sur les produits'!$A$3:$B$15000,2,FALSE),"")</f>
        <v/>
      </c>
      <c r="V8176">
        <f t="shared" si="510"/>
        <v>0</v>
      </c>
      <c r="W8176">
        <f t="shared" si="511"/>
        <v>0</v>
      </c>
    </row>
    <row r="8177" spans="5:23" x14ac:dyDescent="0.25">
      <c r="E8177" s="4"/>
      <c r="F8177" s="4"/>
      <c r="G8177" s="33" t="str">
        <f>IFERROR(VLOOKUP($D8177,'Informations sur les produits'!$A$3:$H$10000,8,FALSE),"0")</f>
        <v>0</v>
      </c>
      <c r="K8177" s="4"/>
      <c r="L8177" s="33" t="str">
        <f>IFERROR(VLOOKUP($J8177,'Informations sur les produits'!$A$3:$H$10000,8,FALSE),"0")</f>
        <v>0</v>
      </c>
      <c r="N8177" s="8"/>
      <c r="O8177" s="33" t="str">
        <f>IFERROR(VLOOKUP($M8177,'Informations sur les produits'!$A$3:$H$10000,8,FALSE),"0")</f>
        <v>0</v>
      </c>
      <c r="P8177" s="33">
        <f t="shared" si="508"/>
        <v>0</v>
      </c>
      <c r="Q8177" s="31" t="str">
        <f t="shared" si="509"/>
        <v/>
      </c>
      <c r="R8177" s="32" t="str">
        <f>IFERROR(VLOOKUP($D8177,'Informations sur les produits'!$A$3:$B$15000,2,FALSE),"")</f>
        <v/>
      </c>
      <c r="V8177">
        <f t="shared" si="510"/>
        <v>0</v>
      </c>
      <c r="W8177">
        <f t="shared" si="511"/>
        <v>0</v>
      </c>
    </row>
    <row r="8178" spans="5:23" x14ac:dyDescent="0.25">
      <c r="E8178" s="4"/>
      <c r="F8178" s="4"/>
      <c r="G8178" s="33" t="str">
        <f>IFERROR(VLOOKUP($D8178,'Informations sur les produits'!$A$3:$H$10000,8,FALSE),"0")</f>
        <v>0</v>
      </c>
      <c r="K8178" s="4"/>
      <c r="L8178" s="33" t="str">
        <f>IFERROR(VLOOKUP($J8178,'Informations sur les produits'!$A$3:$H$10000,8,FALSE),"0")</f>
        <v>0</v>
      </c>
      <c r="N8178" s="8"/>
      <c r="O8178" s="33" t="str">
        <f>IFERROR(VLOOKUP($M8178,'Informations sur les produits'!$A$3:$H$10000,8,FALSE),"0")</f>
        <v>0</v>
      </c>
      <c r="P8178" s="33">
        <f t="shared" si="508"/>
        <v>0</v>
      </c>
      <c r="Q8178" s="31" t="str">
        <f t="shared" si="509"/>
        <v/>
      </c>
      <c r="R8178" s="32" t="str">
        <f>IFERROR(VLOOKUP($D8178,'Informations sur les produits'!$A$3:$B$15000,2,FALSE),"")</f>
        <v/>
      </c>
      <c r="V8178">
        <f t="shared" si="510"/>
        <v>0</v>
      </c>
      <c r="W8178">
        <f t="shared" si="511"/>
        <v>0</v>
      </c>
    </row>
    <row r="8179" spans="5:23" x14ac:dyDescent="0.25">
      <c r="E8179" s="4"/>
      <c r="F8179" s="4"/>
      <c r="G8179" s="33" t="str">
        <f>IFERROR(VLOOKUP($D8179,'Informations sur les produits'!$A$3:$H$10000,8,FALSE),"0")</f>
        <v>0</v>
      </c>
      <c r="K8179" s="4"/>
      <c r="L8179" s="33" t="str">
        <f>IFERROR(VLOOKUP($J8179,'Informations sur les produits'!$A$3:$H$10000,8,FALSE),"0")</f>
        <v>0</v>
      </c>
      <c r="N8179" s="8"/>
      <c r="O8179" s="33" t="str">
        <f>IFERROR(VLOOKUP($M8179,'Informations sur les produits'!$A$3:$H$10000,8,FALSE),"0")</f>
        <v>0</v>
      </c>
      <c r="P8179" s="33">
        <f t="shared" si="508"/>
        <v>0</v>
      </c>
      <c r="Q8179" s="31" t="str">
        <f t="shared" si="509"/>
        <v/>
      </c>
      <c r="R8179" s="32" t="str">
        <f>IFERROR(VLOOKUP($D8179,'Informations sur les produits'!$A$3:$B$15000,2,FALSE),"")</f>
        <v/>
      </c>
      <c r="V8179">
        <f t="shared" si="510"/>
        <v>0</v>
      </c>
      <c r="W8179">
        <f t="shared" si="511"/>
        <v>0</v>
      </c>
    </row>
    <row r="8180" spans="5:23" x14ac:dyDescent="0.25">
      <c r="E8180" s="4"/>
      <c r="F8180" s="4"/>
      <c r="G8180" s="33" t="str">
        <f>IFERROR(VLOOKUP($D8180,'Informations sur les produits'!$A$3:$H$10000,8,FALSE),"0")</f>
        <v>0</v>
      </c>
      <c r="K8180" s="4"/>
      <c r="L8180" s="33" t="str">
        <f>IFERROR(VLOOKUP($J8180,'Informations sur les produits'!$A$3:$H$10000,8,FALSE),"0")</f>
        <v>0</v>
      </c>
      <c r="N8180" s="8"/>
      <c r="O8180" s="33" t="str">
        <f>IFERROR(VLOOKUP($M8180,'Informations sur les produits'!$A$3:$H$10000,8,FALSE),"0")</f>
        <v>0</v>
      </c>
      <c r="P8180" s="33">
        <f t="shared" si="508"/>
        <v>0</v>
      </c>
      <c r="Q8180" s="31" t="str">
        <f t="shared" si="509"/>
        <v/>
      </c>
      <c r="R8180" s="32" t="str">
        <f>IFERROR(VLOOKUP($D8180,'Informations sur les produits'!$A$3:$B$15000,2,FALSE),"")</f>
        <v/>
      </c>
      <c r="V8180">
        <f t="shared" si="510"/>
        <v>0</v>
      </c>
      <c r="W8180">
        <f t="shared" si="511"/>
        <v>0</v>
      </c>
    </row>
    <row r="8181" spans="5:23" x14ac:dyDescent="0.25">
      <c r="E8181" s="4"/>
      <c r="F8181" s="4"/>
      <c r="G8181" s="33" t="str">
        <f>IFERROR(VLOOKUP($D8181,'Informations sur les produits'!$A$3:$H$10000,8,FALSE),"0")</f>
        <v>0</v>
      </c>
      <c r="K8181" s="4"/>
      <c r="L8181" s="33" t="str">
        <f>IFERROR(VLOOKUP($J8181,'Informations sur les produits'!$A$3:$H$10000,8,FALSE),"0")</f>
        <v>0</v>
      </c>
      <c r="N8181" s="8"/>
      <c r="O8181" s="33" t="str">
        <f>IFERROR(VLOOKUP($M8181,'Informations sur les produits'!$A$3:$H$10000,8,FALSE),"0")</f>
        <v>0</v>
      </c>
      <c r="P8181" s="33">
        <f t="shared" si="508"/>
        <v>0</v>
      </c>
      <c r="Q8181" s="31" t="str">
        <f t="shared" si="509"/>
        <v/>
      </c>
      <c r="R8181" s="32" t="str">
        <f>IFERROR(VLOOKUP($D8181,'Informations sur les produits'!$A$3:$B$15000,2,FALSE),"")</f>
        <v/>
      </c>
      <c r="V8181">
        <f t="shared" si="510"/>
        <v>0</v>
      </c>
      <c r="W8181">
        <f t="shared" si="511"/>
        <v>0</v>
      </c>
    </row>
    <row r="8182" spans="5:23" x14ac:dyDescent="0.25">
      <c r="E8182" s="4"/>
      <c r="F8182" s="4"/>
      <c r="G8182" s="33" t="str">
        <f>IFERROR(VLOOKUP($D8182,'Informations sur les produits'!$A$3:$H$10000,8,FALSE),"0")</f>
        <v>0</v>
      </c>
      <c r="K8182" s="4"/>
      <c r="L8182" s="33" t="str">
        <f>IFERROR(VLOOKUP($J8182,'Informations sur les produits'!$A$3:$H$10000,8,FALSE),"0")</f>
        <v>0</v>
      </c>
      <c r="N8182" s="8"/>
      <c r="O8182" s="33" t="str">
        <f>IFERROR(VLOOKUP($M8182,'Informations sur les produits'!$A$3:$H$10000,8,FALSE),"0")</f>
        <v>0</v>
      </c>
      <c r="P8182" s="33">
        <f t="shared" si="508"/>
        <v>0</v>
      </c>
      <c r="Q8182" s="31" t="str">
        <f t="shared" si="509"/>
        <v/>
      </c>
      <c r="R8182" s="32" t="str">
        <f>IFERROR(VLOOKUP($D8182,'Informations sur les produits'!$A$3:$B$15000,2,FALSE),"")</f>
        <v/>
      </c>
      <c r="V8182">
        <f t="shared" si="510"/>
        <v>0</v>
      </c>
      <c r="W8182">
        <f t="shared" si="511"/>
        <v>0</v>
      </c>
    </row>
    <row r="8183" spans="5:23" x14ac:dyDescent="0.25">
      <c r="E8183" s="4"/>
      <c r="F8183" s="4"/>
      <c r="G8183" s="33" t="str">
        <f>IFERROR(VLOOKUP($D8183,'Informations sur les produits'!$A$3:$H$10000,8,FALSE),"0")</f>
        <v>0</v>
      </c>
      <c r="K8183" s="4"/>
      <c r="L8183" s="33" t="str">
        <f>IFERROR(VLOOKUP($J8183,'Informations sur les produits'!$A$3:$H$10000,8,FALSE),"0")</f>
        <v>0</v>
      </c>
      <c r="N8183" s="8"/>
      <c r="O8183" s="33" t="str">
        <f>IFERROR(VLOOKUP($M8183,'Informations sur les produits'!$A$3:$H$10000,8,FALSE),"0")</f>
        <v>0</v>
      </c>
      <c r="P8183" s="33">
        <f t="shared" si="508"/>
        <v>0</v>
      </c>
      <c r="Q8183" s="31" t="str">
        <f t="shared" si="509"/>
        <v/>
      </c>
      <c r="R8183" s="32" t="str">
        <f>IFERROR(VLOOKUP($D8183,'Informations sur les produits'!$A$3:$B$15000,2,FALSE),"")</f>
        <v/>
      </c>
      <c r="V8183">
        <f t="shared" si="510"/>
        <v>0</v>
      </c>
      <c r="W8183">
        <f t="shared" si="511"/>
        <v>0</v>
      </c>
    </row>
    <row r="8184" spans="5:23" x14ac:dyDescent="0.25">
      <c r="E8184" s="4"/>
      <c r="F8184" s="4"/>
      <c r="G8184" s="33" t="str">
        <f>IFERROR(VLOOKUP($D8184,'Informations sur les produits'!$A$3:$H$10000,8,FALSE),"0")</f>
        <v>0</v>
      </c>
      <c r="K8184" s="4"/>
      <c r="L8184" s="33" t="str">
        <f>IFERROR(VLOOKUP($J8184,'Informations sur les produits'!$A$3:$H$10000,8,FALSE),"0")</f>
        <v>0</v>
      </c>
      <c r="N8184" s="8"/>
      <c r="O8184" s="33" t="str">
        <f>IFERROR(VLOOKUP($M8184,'Informations sur les produits'!$A$3:$H$10000,8,FALSE),"0")</f>
        <v>0</v>
      </c>
      <c r="P8184" s="33">
        <f t="shared" si="508"/>
        <v>0</v>
      </c>
      <c r="Q8184" s="31" t="str">
        <f t="shared" si="509"/>
        <v/>
      </c>
      <c r="R8184" s="32" t="str">
        <f>IFERROR(VLOOKUP($D8184,'Informations sur les produits'!$A$3:$B$15000,2,FALSE),"")</f>
        <v/>
      </c>
      <c r="V8184">
        <f t="shared" si="510"/>
        <v>0</v>
      </c>
      <c r="W8184">
        <f t="shared" si="511"/>
        <v>0</v>
      </c>
    </row>
    <row r="8185" spans="5:23" x14ac:dyDescent="0.25">
      <c r="E8185" s="4"/>
      <c r="F8185" s="4"/>
      <c r="G8185" s="33" t="str">
        <f>IFERROR(VLOOKUP($D8185,'Informations sur les produits'!$A$3:$H$10000,8,FALSE),"0")</f>
        <v>0</v>
      </c>
      <c r="K8185" s="4"/>
      <c r="L8185" s="33" t="str">
        <f>IFERROR(VLOOKUP($J8185,'Informations sur les produits'!$A$3:$H$10000,8,FALSE),"0")</f>
        <v>0</v>
      </c>
      <c r="N8185" s="8"/>
      <c r="O8185" s="33" t="str">
        <f>IFERROR(VLOOKUP($M8185,'Informations sur les produits'!$A$3:$H$10000,8,FALSE),"0")</f>
        <v>0</v>
      </c>
      <c r="P8185" s="33">
        <f t="shared" si="508"/>
        <v>0</v>
      </c>
      <c r="Q8185" s="31" t="str">
        <f t="shared" si="509"/>
        <v/>
      </c>
      <c r="R8185" s="32" t="str">
        <f>IFERROR(VLOOKUP($D8185,'Informations sur les produits'!$A$3:$B$15000,2,FALSE),"")</f>
        <v/>
      </c>
      <c r="V8185">
        <f t="shared" si="510"/>
        <v>0</v>
      </c>
      <c r="W8185">
        <f t="shared" si="511"/>
        <v>0</v>
      </c>
    </row>
    <row r="8186" spans="5:23" x14ac:dyDescent="0.25">
      <c r="E8186" s="4"/>
      <c r="F8186" s="4"/>
      <c r="G8186" s="33" t="str">
        <f>IFERROR(VLOOKUP($D8186,'Informations sur les produits'!$A$3:$H$10000,8,FALSE),"0")</f>
        <v>0</v>
      </c>
      <c r="K8186" s="4"/>
      <c r="L8186" s="33" t="str">
        <f>IFERROR(VLOOKUP($J8186,'Informations sur les produits'!$A$3:$H$10000,8,FALSE),"0")</f>
        <v>0</v>
      </c>
      <c r="N8186" s="8"/>
      <c r="O8186" s="33" t="str">
        <f>IFERROR(VLOOKUP($M8186,'Informations sur les produits'!$A$3:$H$10000,8,FALSE),"0")</f>
        <v>0</v>
      </c>
      <c r="P8186" s="33">
        <f t="shared" si="508"/>
        <v>0</v>
      </c>
      <c r="Q8186" s="31" t="str">
        <f t="shared" si="509"/>
        <v/>
      </c>
      <c r="R8186" s="32" t="str">
        <f>IFERROR(VLOOKUP($D8186,'Informations sur les produits'!$A$3:$B$15000,2,FALSE),"")</f>
        <v/>
      </c>
      <c r="V8186">
        <f t="shared" si="510"/>
        <v>0</v>
      </c>
      <c r="W8186">
        <f t="shared" si="511"/>
        <v>0</v>
      </c>
    </row>
    <row r="8187" spans="5:23" x14ac:dyDescent="0.25">
      <c r="E8187" s="4"/>
      <c r="F8187" s="4"/>
      <c r="G8187" s="33" t="str">
        <f>IFERROR(VLOOKUP($D8187,'Informations sur les produits'!$A$3:$H$10000,8,FALSE),"0")</f>
        <v>0</v>
      </c>
      <c r="K8187" s="4"/>
      <c r="L8187" s="33" t="str">
        <f>IFERROR(VLOOKUP($J8187,'Informations sur les produits'!$A$3:$H$10000,8,FALSE),"0")</f>
        <v>0</v>
      </c>
      <c r="N8187" s="8"/>
      <c r="O8187" s="33" t="str">
        <f>IFERROR(VLOOKUP($M8187,'Informations sur les produits'!$A$3:$H$10000,8,FALSE),"0")</f>
        <v>0</v>
      </c>
      <c r="P8187" s="33">
        <f t="shared" si="508"/>
        <v>0</v>
      </c>
      <c r="Q8187" s="31" t="str">
        <f t="shared" si="509"/>
        <v/>
      </c>
      <c r="R8187" s="32" t="str">
        <f>IFERROR(VLOOKUP($D8187,'Informations sur les produits'!$A$3:$B$15000,2,FALSE),"")</f>
        <v/>
      </c>
      <c r="V8187">
        <f t="shared" si="510"/>
        <v>0</v>
      </c>
      <c r="W8187">
        <f t="shared" si="511"/>
        <v>0</v>
      </c>
    </row>
    <row r="8188" spans="5:23" x14ac:dyDescent="0.25">
      <c r="E8188" s="4"/>
      <c r="F8188" s="4"/>
      <c r="G8188" s="33" t="str">
        <f>IFERROR(VLOOKUP($D8188,'Informations sur les produits'!$A$3:$H$10000,8,FALSE),"0")</f>
        <v>0</v>
      </c>
      <c r="K8188" s="4"/>
      <c r="L8188" s="33" t="str">
        <f>IFERROR(VLOOKUP($J8188,'Informations sur les produits'!$A$3:$H$10000,8,FALSE),"0")</f>
        <v>0</v>
      </c>
      <c r="N8188" s="8"/>
      <c r="O8188" s="33" t="str">
        <f>IFERROR(VLOOKUP($M8188,'Informations sur les produits'!$A$3:$H$10000,8,FALSE),"0")</f>
        <v>0</v>
      </c>
      <c r="P8188" s="33">
        <f t="shared" si="508"/>
        <v>0</v>
      </c>
      <c r="Q8188" s="31" t="str">
        <f t="shared" si="509"/>
        <v/>
      </c>
      <c r="R8188" s="32" t="str">
        <f>IFERROR(VLOOKUP($D8188,'Informations sur les produits'!$A$3:$B$15000,2,FALSE),"")</f>
        <v/>
      </c>
      <c r="V8188">
        <f t="shared" si="510"/>
        <v>0</v>
      </c>
      <c r="W8188">
        <f t="shared" si="511"/>
        <v>0</v>
      </c>
    </row>
    <row r="8189" spans="5:23" x14ac:dyDescent="0.25">
      <c r="E8189" s="4"/>
      <c r="F8189" s="4"/>
      <c r="G8189" s="33" t="str">
        <f>IFERROR(VLOOKUP($D8189,'Informations sur les produits'!$A$3:$H$10000,8,FALSE),"0")</f>
        <v>0</v>
      </c>
      <c r="K8189" s="4"/>
      <c r="L8189" s="33" t="str">
        <f>IFERROR(VLOOKUP($J8189,'Informations sur les produits'!$A$3:$H$10000,8,FALSE),"0")</f>
        <v>0</v>
      </c>
      <c r="N8189" s="8"/>
      <c r="O8189" s="33" t="str">
        <f>IFERROR(VLOOKUP($M8189,'Informations sur les produits'!$A$3:$H$10000,8,FALSE),"0")</f>
        <v>0</v>
      </c>
      <c r="P8189" s="33">
        <f t="shared" si="508"/>
        <v>0</v>
      </c>
      <c r="Q8189" s="31" t="str">
        <f t="shared" si="509"/>
        <v/>
      </c>
      <c r="R8189" s="32" t="str">
        <f>IFERROR(VLOOKUP($D8189,'Informations sur les produits'!$A$3:$B$15000,2,FALSE),"")</f>
        <v/>
      </c>
      <c r="V8189">
        <f t="shared" si="510"/>
        <v>0</v>
      </c>
      <c r="W8189">
        <f t="shared" si="511"/>
        <v>0</v>
      </c>
    </row>
    <row r="8190" spans="5:23" x14ac:dyDescent="0.25">
      <c r="E8190" s="4"/>
      <c r="F8190" s="4"/>
      <c r="G8190" s="33" t="str">
        <f>IFERROR(VLOOKUP($D8190,'Informations sur les produits'!$A$3:$H$10000,8,FALSE),"0")</f>
        <v>0</v>
      </c>
      <c r="K8190" s="4"/>
      <c r="L8190" s="33" t="str">
        <f>IFERROR(VLOOKUP($J8190,'Informations sur les produits'!$A$3:$H$10000,8,FALSE),"0")</f>
        <v>0</v>
      </c>
      <c r="N8190" s="8"/>
      <c r="O8190" s="33" t="str">
        <f>IFERROR(VLOOKUP($M8190,'Informations sur les produits'!$A$3:$H$10000,8,FALSE),"0")</f>
        <v>0</v>
      </c>
      <c r="P8190" s="33">
        <f t="shared" si="508"/>
        <v>0</v>
      </c>
      <c r="Q8190" s="31" t="str">
        <f t="shared" si="509"/>
        <v/>
      </c>
      <c r="R8190" s="32" t="str">
        <f>IFERROR(VLOOKUP($D8190,'Informations sur les produits'!$A$3:$B$15000,2,FALSE),"")</f>
        <v/>
      </c>
      <c r="V8190">
        <f t="shared" si="510"/>
        <v>0</v>
      </c>
      <c r="W8190">
        <f t="shared" si="511"/>
        <v>0</v>
      </c>
    </row>
    <row r="8191" spans="5:23" x14ac:dyDescent="0.25">
      <c r="E8191" s="4"/>
      <c r="F8191" s="4"/>
      <c r="G8191" s="33" t="str">
        <f>IFERROR(VLOOKUP($D8191,'Informations sur les produits'!$A$3:$H$10000,8,FALSE),"0")</f>
        <v>0</v>
      </c>
      <c r="K8191" s="4"/>
      <c r="L8191" s="33" t="str">
        <f>IFERROR(VLOOKUP($J8191,'Informations sur les produits'!$A$3:$H$10000,8,FALSE),"0")</f>
        <v>0</v>
      </c>
      <c r="N8191" s="8"/>
      <c r="O8191" s="33" t="str">
        <f>IFERROR(VLOOKUP($M8191,'Informations sur les produits'!$A$3:$H$10000,8,FALSE),"0")</f>
        <v>0</v>
      </c>
      <c r="P8191" s="33">
        <f t="shared" si="508"/>
        <v>0</v>
      </c>
      <c r="Q8191" s="31" t="str">
        <f t="shared" si="509"/>
        <v/>
      </c>
      <c r="R8191" s="32" t="str">
        <f>IFERROR(VLOOKUP($D8191,'Informations sur les produits'!$A$3:$B$15000,2,FALSE),"")</f>
        <v/>
      </c>
      <c r="V8191">
        <f t="shared" si="510"/>
        <v>0</v>
      </c>
      <c r="W8191">
        <f t="shared" si="511"/>
        <v>0</v>
      </c>
    </row>
    <row r="8192" spans="5:23" x14ac:dyDescent="0.25">
      <c r="E8192" s="4"/>
      <c r="F8192" s="4"/>
      <c r="G8192" s="33" t="str">
        <f>IFERROR(VLOOKUP($D8192,'Informations sur les produits'!$A$3:$H$10000,8,FALSE),"0")</f>
        <v>0</v>
      </c>
      <c r="K8192" s="4"/>
      <c r="L8192" s="33" t="str">
        <f>IFERROR(VLOOKUP($J8192,'Informations sur les produits'!$A$3:$H$10000,8,FALSE),"0")</f>
        <v>0</v>
      </c>
      <c r="N8192" s="8"/>
      <c r="O8192" s="33" t="str">
        <f>IFERROR(VLOOKUP($M8192,'Informations sur les produits'!$A$3:$H$10000,8,FALSE),"0")</f>
        <v>0</v>
      </c>
      <c r="P8192" s="33">
        <f t="shared" si="508"/>
        <v>0</v>
      </c>
      <c r="Q8192" s="31" t="str">
        <f t="shared" si="509"/>
        <v/>
      </c>
      <c r="R8192" s="32" t="str">
        <f>IFERROR(VLOOKUP($D8192,'Informations sur les produits'!$A$3:$B$15000,2,FALSE),"")</f>
        <v/>
      </c>
      <c r="V8192">
        <f t="shared" si="510"/>
        <v>0</v>
      </c>
      <c r="W8192">
        <f t="shared" si="511"/>
        <v>0</v>
      </c>
    </row>
    <row r="8193" spans="5:23" x14ac:dyDescent="0.25">
      <c r="E8193" s="4"/>
      <c r="F8193" s="4"/>
      <c r="G8193" s="33" t="str">
        <f>IFERROR(VLOOKUP($D8193,'Informations sur les produits'!$A$3:$H$10000,8,FALSE),"0")</f>
        <v>0</v>
      </c>
      <c r="K8193" s="4"/>
      <c r="L8193" s="33" t="str">
        <f>IFERROR(VLOOKUP($J8193,'Informations sur les produits'!$A$3:$H$10000,8,FALSE),"0")</f>
        <v>0</v>
      </c>
      <c r="N8193" s="8"/>
      <c r="O8193" s="33" t="str">
        <f>IFERROR(VLOOKUP($M8193,'Informations sur les produits'!$A$3:$H$10000,8,FALSE),"0")</f>
        <v>0</v>
      </c>
      <c r="P8193" s="33">
        <f t="shared" si="508"/>
        <v>0</v>
      </c>
      <c r="Q8193" s="31" t="str">
        <f t="shared" si="509"/>
        <v/>
      </c>
      <c r="R8193" s="32" t="str">
        <f>IFERROR(VLOOKUP($D8193,'Informations sur les produits'!$A$3:$B$15000,2,FALSE),"")</f>
        <v/>
      </c>
      <c r="V8193">
        <f t="shared" si="510"/>
        <v>0</v>
      </c>
      <c r="W8193">
        <f t="shared" si="511"/>
        <v>0</v>
      </c>
    </row>
    <row r="8194" spans="5:23" x14ac:dyDescent="0.25">
      <c r="E8194" s="4"/>
      <c r="F8194" s="4"/>
      <c r="G8194" s="33" t="str">
        <f>IFERROR(VLOOKUP($D8194,'Informations sur les produits'!$A$3:$H$10000,8,FALSE),"0")</f>
        <v>0</v>
      </c>
      <c r="K8194" s="4"/>
      <c r="L8194" s="33" t="str">
        <f>IFERROR(VLOOKUP($J8194,'Informations sur les produits'!$A$3:$H$10000,8,FALSE),"0")</f>
        <v>0</v>
      </c>
      <c r="N8194" s="8"/>
      <c r="O8194" s="33" t="str">
        <f>IFERROR(VLOOKUP($M8194,'Informations sur les produits'!$A$3:$H$10000,8,FALSE),"0")</f>
        <v>0</v>
      </c>
      <c r="P8194" s="33">
        <f t="shared" si="508"/>
        <v>0</v>
      </c>
      <c r="Q8194" s="31" t="str">
        <f t="shared" si="509"/>
        <v/>
      </c>
      <c r="R8194" s="32" t="str">
        <f>IFERROR(VLOOKUP($D8194,'Informations sur les produits'!$A$3:$B$15000,2,FALSE),"")</f>
        <v/>
      </c>
      <c r="V8194">
        <f t="shared" si="510"/>
        <v>0</v>
      </c>
      <c r="W8194">
        <f t="shared" si="511"/>
        <v>0</v>
      </c>
    </row>
    <row r="8195" spans="5:23" x14ac:dyDescent="0.25">
      <c r="E8195" s="4"/>
      <c r="F8195" s="4"/>
      <c r="G8195" s="33" t="str">
        <f>IFERROR(VLOOKUP($D8195,'Informations sur les produits'!$A$3:$H$10000,8,FALSE),"0")</f>
        <v>0</v>
      </c>
      <c r="K8195" s="4"/>
      <c r="L8195" s="33" t="str">
        <f>IFERROR(VLOOKUP($J8195,'Informations sur les produits'!$A$3:$H$10000,8,FALSE),"0")</f>
        <v>0</v>
      </c>
      <c r="N8195" s="8"/>
      <c r="O8195" s="33" t="str">
        <f>IFERROR(VLOOKUP($M8195,'Informations sur les produits'!$A$3:$H$10000,8,FALSE),"0")</f>
        <v>0</v>
      </c>
      <c r="P8195" s="33">
        <f t="shared" si="508"/>
        <v>0</v>
      </c>
      <c r="Q8195" s="31" t="str">
        <f t="shared" si="509"/>
        <v/>
      </c>
      <c r="R8195" s="32" t="str">
        <f>IFERROR(VLOOKUP($D8195,'Informations sur les produits'!$A$3:$B$15000,2,FALSE),"")</f>
        <v/>
      </c>
      <c r="V8195">
        <f t="shared" si="510"/>
        <v>0</v>
      </c>
      <c r="W8195">
        <f t="shared" si="511"/>
        <v>0</v>
      </c>
    </row>
    <row r="8196" spans="5:23" x14ac:dyDescent="0.25">
      <c r="E8196" s="4"/>
      <c r="F8196" s="4"/>
      <c r="G8196" s="33" t="str">
        <f>IFERROR(VLOOKUP($D8196,'Informations sur les produits'!$A$3:$H$10000,8,FALSE),"0")</f>
        <v>0</v>
      </c>
      <c r="K8196" s="4"/>
      <c r="L8196" s="33" t="str">
        <f>IFERROR(VLOOKUP($J8196,'Informations sur les produits'!$A$3:$H$10000,8,FALSE),"0")</f>
        <v>0</v>
      </c>
      <c r="N8196" s="8"/>
      <c r="O8196" s="33" t="str">
        <f>IFERROR(VLOOKUP($M8196,'Informations sur les produits'!$A$3:$H$10000,8,FALSE),"0")</f>
        <v>0</v>
      </c>
      <c r="P8196" s="33">
        <f t="shared" ref="P8196:P8259" si="512">IFERROR((($E8196-$F8196)*$G8196+$K8196*$L8196+$N8196*$O8196),"")</f>
        <v>0</v>
      </c>
      <c r="Q8196" s="31" t="str">
        <f t="shared" ref="Q8196:Q8259" si="513">IFERROR((((($E8196-$F8196)*$G8196+$K8196*$L8196+$N8196*$O8196)*1000)/(($E8196-$F8196)+$K8196+$N8196)),"")</f>
        <v/>
      </c>
      <c r="R8196" s="32" t="str">
        <f>IFERROR(VLOOKUP($D8196,'Informations sur les produits'!$A$3:$B$15000,2,FALSE),"")</f>
        <v/>
      </c>
      <c r="V8196">
        <f t="shared" ref="V8196:V8259" si="514">IFERROR(P8196*1000,"")</f>
        <v>0</v>
      </c>
      <c r="W8196">
        <f t="shared" ref="W8196:W8259" si="515">IFERROR(($E8196-$F8196)+$K8196+$N8196,"")</f>
        <v>0</v>
      </c>
    </row>
    <row r="8197" spans="5:23" x14ac:dyDescent="0.25">
      <c r="E8197" s="4"/>
      <c r="F8197" s="4"/>
      <c r="G8197" s="33" t="str">
        <f>IFERROR(VLOOKUP($D8197,'Informations sur les produits'!$A$3:$H$10000,8,FALSE),"0")</f>
        <v>0</v>
      </c>
      <c r="K8197" s="4"/>
      <c r="L8197" s="33" t="str">
        <f>IFERROR(VLOOKUP($J8197,'Informations sur les produits'!$A$3:$H$10000,8,FALSE),"0")</f>
        <v>0</v>
      </c>
      <c r="N8197" s="8"/>
      <c r="O8197" s="33" t="str">
        <f>IFERROR(VLOOKUP($M8197,'Informations sur les produits'!$A$3:$H$10000,8,FALSE),"0")</f>
        <v>0</v>
      </c>
      <c r="P8197" s="33">
        <f t="shared" si="512"/>
        <v>0</v>
      </c>
      <c r="Q8197" s="31" t="str">
        <f t="shared" si="513"/>
        <v/>
      </c>
      <c r="R8197" s="32" t="str">
        <f>IFERROR(VLOOKUP($D8197,'Informations sur les produits'!$A$3:$B$15000,2,FALSE),"")</f>
        <v/>
      </c>
      <c r="V8197">
        <f t="shared" si="514"/>
        <v>0</v>
      </c>
      <c r="W8197">
        <f t="shared" si="515"/>
        <v>0</v>
      </c>
    </row>
    <row r="8198" spans="5:23" x14ac:dyDescent="0.25">
      <c r="E8198" s="4"/>
      <c r="F8198" s="4"/>
      <c r="G8198" s="33" t="str">
        <f>IFERROR(VLOOKUP($D8198,'Informations sur les produits'!$A$3:$H$10000,8,FALSE),"0")</f>
        <v>0</v>
      </c>
      <c r="K8198" s="4"/>
      <c r="L8198" s="33" t="str">
        <f>IFERROR(VLOOKUP($J8198,'Informations sur les produits'!$A$3:$H$10000,8,FALSE),"0")</f>
        <v>0</v>
      </c>
      <c r="N8198" s="8"/>
      <c r="O8198" s="33" t="str">
        <f>IFERROR(VLOOKUP($M8198,'Informations sur les produits'!$A$3:$H$10000,8,FALSE),"0")</f>
        <v>0</v>
      </c>
      <c r="P8198" s="33">
        <f t="shared" si="512"/>
        <v>0</v>
      </c>
      <c r="Q8198" s="31" t="str">
        <f t="shared" si="513"/>
        <v/>
      </c>
      <c r="R8198" s="32" t="str">
        <f>IFERROR(VLOOKUP($D8198,'Informations sur les produits'!$A$3:$B$15000,2,FALSE),"")</f>
        <v/>
      </c>
      <c r="V8198">
        <f t="shared" si="514"/>
        <v>0</v>
      </c>
      <c r="W8198">
        <f t="shared" si="515"/>
        <v>0</v>
      </c>
    </row>
    <row r="8199" spans="5:23" x14ac:dyDescent="0.25">
      <c r="E8199" s="4"/>
      <c r="F8199" s="4"/>
      <c r="G8199" s="33" t="str">
        <f>IFERROR(VLOOKUP($D8199,'Informations sur les produits'!$A$3:$H$10000,8,FALSE),"0")</f>
        <v>0</v>
      </c>
      <c r="K8199" s="4"/>
      <c r="L8199" s="33" t="str">
        <f>IFERROR(VLOOKUP($J8199,'Informations sur les produits'!$A$3:$H$10000,8,FALSE),"0")</f>
        <v>0</v>
      </c>
      <c r="N8199" s="8"/>
      <c r="O8199" s="33" t="str">
        <f>IFERROR(VLOOKUP($M8199,'Informations sur les produits'!$A$3:$H$10000,8,FALSE),"0")</f>
        <v>0</v>
      </c>
      <c r="P8199" s="33">
        <f t="shared" si="512"/>
        <v>0</v>
      </c>
      <c r="Q8199" s="31" t="str">
        <f t="shared" si="513"/>
        <v/>
      </c>
      <c r="R8199" s="32" t="str">
        <f>IFERROR(VLOOKUP($D8199,'Informations sur les produits'!$A$3:$B$15000,2,FALSE),"")</f>
        <v/>
      </c>
      <c r="V8199">
        <f t="shared" si="514"/>
        <v>0</v>
      </c>
      <c r="W8199">
        <f t="shared" si="515"/>
        <v>0</v>
      </c>
    </row>
    <row r="8200" spans="5:23" x14ac:dyDescent="0.25">
      <c r="E8200" s="4"/>
      <c r="F8200" s="4"/>
      <c r="G8200" s="33" t="str">
        <f>IFERROR(VLOOKUP($D8200,'Informations sur les produits'!$A$3:$H$10000,8,FALSE),"0")</f>
        <v>0</v>
      </c>
      <c r="K8200" s="4"/>
      <c r="L8200" s="33" t="str">
        <f>IFERROR(VLOOKUP($J8200,'Informations sur les produits'!$A$3:$H$10000,8,FALSE),"0")</f>
        <v>0</v>
      </c>
      <c r="N8200" s="8"/>
      <c r="O8200" s="33" t="str">
        <f>IFERROR(VLOOKUP($M8200,'Informations sur les produits'!$A$3:$H$10000,8,FALSE),"0")</f>
        <v>0</v>
      </c>
      <c r="P8200" s="33">
        <f t="shared" si="512"/>
        <v>0</v>
      </c>
      <c r="Q8200" s="31" t="str">
        <f t="shared" si="513"/>
        <v/>
      </c>
      <c r="R8200" s="32" t="str">
        <f>IFERROR(VLOOKUP($D8200,'Informations sur les produits'!$A$3:$B$15000,2,FALSE),"")</f>
        <v/>
      </c>
      <c r="V8200">
        <f t="shared" si="514"/>
        <v>0</v>
      </c>
      <c r="W8200">
        <f t="shared" si="515"/>
        <v>0</v>
      </c>
    </row>
    <row r="8201" spans="5:23" x14ac:dyDescent="0.25">
      <c r="E8201" s="4"/>
      <c r="F8201" s="4"/>
      <c r="G8201" s="33" t="str">
        <f>IFERROR(VLOOKUP($D8201,'Informations sur les produits'!$A$3:$H$10000,8,FALSE),"0")</f>
        <v>0</v>
      </c>
      <c r="K8201" s="4"/>
      <c r="L8201" s="33" t="str">
        <f>IFERROR(VLOOKUP($J8201,'Informations sur les produits'!$A$3:$H$10000,8,FALSE),"0")</f>
        <v>0</v>
      </c>
      <c r="N8201" s="8"/>
      <c r="O8201" s="33" t="str">
        <f>IFERROR(VLOOKUP($M8201,'Informations sur les produits'!$A$3:$H$10000,8,FALSE),"0")</f>
        <v>0</v>
      </c>
      <c r="P8201" s="33">
        <f t="shared" si="512"/>
        <v>0</v>
      </c>
      <c r="Q8201" s="31" t="str">
        <f t="shared" si="513"/>
        <v/>
      </c>
      <c r="R8201" s="32" t="str">
        <f>IFERROR(VLOOKUP($D8201,'Informations sur les produits'!$A$3:$B$15000,2,FALSE),"")</f>
        <v/>
      </c>
      <c r="V8201">
        <f t="shared" si="514"/>
        <v>0</v>
      </c>
      <c r="W8201">
        <f t="shared" si="515"/>
        <v>0</v>
      </c>
    </row>
    <row r="8202" spans="5:23" x14ac:dyDescent="0.25">
      <c r="E8202" s="4"/>
      <c r="F8202" s="4"/>
      <c r="G8202" s="33" t="str">
        <f>IFERROR(VLOOKUP($D8202,'Informations sur les produits'!$A$3:$H$10000,8,FALSE),"0")</f>
        <v>0</v>
      </c>
      <c r="K8202" s="4"/>
      <c r="L8202" s="33" t="str">
        <f>IFERROR(VLOOKUP($J8202,'Informations sur les produits'!$A$3:$H$10000,8,FALSE),"0")</f>
        <v>0</v>
      </c>
      <c r="N8202" s="8"/>
      <c r="O8202" s="33" t="str">
        <f>IFERROR(VLOOKUP($M8202,'Informations sur les produits'!$A$3:$H$10000,8,FALSE),"0")</f>
        <v>0</v>
      </c>
      <c r="P8202" s="33">
        <f t="shared" si="512"/>
        <v>0</v>
      </c>
      <c r="Q8202" s="31" t="str">
        <f t="shared" si="513"/>
        <v/>
      </c>
      <c r="R8202" s="32" t="str">
        <f>IFERROR(VLOOKUP($D8202,'Informations sur les produits'!$A$3:$B$15000,2,FALSE),"")</f>
        <v/>
      </c>
      <c r="V8202">
        <f t="shared" si="514"/>
        <v>0</v>
      </c>
      <c r="W8202">
        <f t="shared" si="515"/>
        <v>0</v>
      </c>
    </row>
    <row r="8203" spans="5:23" x14ac:dyDescent="0.25">
      <c r="E8203" s="4"/>
      <c r="F8203" s="4"/>
      <c r="G8203" s="33" t="str">
        <f>IFERROR(VLOOKUP($D8203,'Informations sur les produits'!$A$3:$H$10000,8,FALSE),"0")</f>
        <v>0</v>
      </c>
      <c r="K8203" s="4"/>
      <c r="L8203" s="33" t="str">
        <f>IFERROR(VLOOKUP($J8203,'Informations sur les produits'!$A$3:$H$10000,8,FALSE),"0")</f>
        <v>0</v>
      </c>
      <c r="N8203" s="8"/>
      <c r="O8203" s="33" t="str">
        <f>IFERROR(VLOOKUP($M8203,'Informations sur les produits'!$A$3:$H$10000,8,FALSE),"0")</f>
        <v>0</v>
      </c>
      <c r="P8203" s="33">
        <f t="shared" si="512"/>
        <v>0</v>
      </c>
      <c r="Q8203" s="31" t="str">
        <f t="shared" si="513"/>
        <v/>
      </c>
      <c r="R8203" s="32" t="str">
        <f>IFERROR(VLOOKUP($D8203,'Informations sur les produits'!$A$3:$B$15000,2,FALSE),"")</f>
        <v/>
      </c>
      <c r="V8203">
        <f t="shared" si="514"/>
        <v>0</v>
      </c>
      <c r="W8203">
        <f t="shared" si="515"/>
        <v>0</v>
      </c>
    </row>
    <row r="8204" spans="5:23" x14ac:dyDescent="0.25">
      <c r="E8204" s="4"/>
      <c r="F8204" s="4"/>
      <c r="G8204" s="33" t="str">
        <f>IFERROR(VLOOKUP($D8204,'Informations sur les produits'!$A$3:$H$10000,8,FALSE),"0")</f>
        <v>0</v>
      </c>
      <c r="K8204" s="4"/>
      <c r="L8204" s="33" t="str">
        <f>IFERROR(VLOOKUP($J8204,'Informations sur les produits'!$A$3:$H$10000,8,FALSE),"0")</f>
        <v>0</v>
      </c>
      <c r="N8204" s="8"/>
      <c r="O8204" s="33" t="str">
        <f>IFERROR(VLOOKUP($M8204,'Informations sur les produits'!$A$3:$H$10000,8,FALSE),"0")</f>
        <v>0</v>
      </c>
      <c r="P8204" s="33">
        <f t="shared" si="512"/>
        <v>0</v>
      </c>
      <c r="Q8204" s="31" t="str">
        <f t="shared" si="513"/>
        <v/>
      </c>
      <c r="R8204" s="32" t="str">
        <f>IFERROR(VLOOKUP($D8204,'Informations sur les produits'!$A$3:$B$15000,2,FALSE),"")</f>
        <v/>
      </c>
      <c r="V8204">
        <f t="shared" si="514"/>
        <v>0</v>
      </c>
      <c r="W8204">
        <f t="shared" si="515"/>
        <v>0</v>
      </c>
    </row>
    <row r="8205" spans="5:23" x14ac:dyDescent="0.25">
      <c r="E8205" s="4"/>
      <c r="F8205" s="4"/>
      <c r="G8205" s="33" t="str">
        <f>IFERROR(VLOOKUP($D8205,'Informations sur les produits'!$A$3:$H$10000,8,FALSE),"0")</f>
        <v>0</v>
      </c>
      <c r="K8205" s="4"/>
      <c r="L8205" s="33" t="str">
        <f>IFERROR(VLOOKUP($J8205,'Informations sur les produits'!$A$3:$H$10000,8,FALSE),"0")</f>
        <v>0</v>
      </c>
      <c r="N8205" s="8"/>
      <c r="O8205" s="33" t="str">
        <f>IFERROR(VLOOKUP($M8205,'Informations sur les produits'!$A$3:$H$10000,8,FALSE),"0")</f>
        <v>0</v>
      </c>
      <c r="P8205" s="33">
        <f t="shared" si="512"/>
        <v>0</v>
      </c>
      <c r="Q8205" s="31" t="str">
        <f t="shared" si="513"/>
        <v/>
      </c>
      <c r="R8205" s="32" t="str">
        <f>IFERROR(VLOOKUP($D8205,'Informations sur les produits'!$A$3:$B$15000,2,FALSE),"")</f>
        <v/>
      </c>
      <c r="V8205">
        <f t="shared" si="514"/>
        <v>0</v>
      </c>
      <c r="W8205">
        <f t="shared" si="515"/>
        <v>0</v>
      </c>
    </row>
    <row r="8206" spans="5:23" x14ac:dyDescent="0.25">
      <c r="E8206" s="4"/>
      <c r="F8206" s="4"/>
      <c r="G8206" s="33" t="str">
        <f>IFERROR(VLOOKUP($D8206,'Informations sur les produits'!$A$3:$H$10000,8,FALSE),"0")</f>
        <v>0</v>
      </c>
      <c r="K8206" s="4"/>
      <c r="L8206" s="33" t="str">
        <f>IFERROR(VLOOKUP($J8206,'Informations sur les produits'!$A$3:$H$10000,8,FALSE),"0")</f>
        <v>0</v>
      </c>
      <c r="N8206" s="8"/>
      <c r="O8206" s="33" t="str">
        <f>IFERROR(VLOOKUP($M8206,'Informations sur les produits'!$A$3:$H$10000,8,FALSE),"0")</f>
        <v>0</v>
      </c>
      <c r="P8206" s="33">
        <f t="shared" si="512"/>
        <v>0</v>
      </c>
      <c r="Q8206" s="31" t="str">
        <f t="shared" si="513"/>
        <v/>
      </c>
      <c r="R8206" s="32" t="str">
        <f>IFERROR(VLOOKUP($D8206,'Informations sur les produits'!$A$3:$B$15000,2,FALSE),"")</f>
        <v/>
      </c>
      <c r="V8206">
        <f t="shared" si="514"/>
        <v>0</v>
      </c>
      <c r="W8206">
        <f t="shared" si="515"/>
        <v>0</v>
      </c>
    </row>
    <row r="8207" spans="5:23" x14ac:dyDescent="0.25">
      <c r="E8207" s="4"/>
      <c r="F8207" s="4"/>
      <c r="G8207" s="33" t="str">
        <f>IFERROR(VLOOKUP($D8207,'Informations sur les produits'!$A$3:$H$10000,8,FALSE),"0")</f>
        <v>0</v>
      </c>
      <c r="K8207" s="4"/>
      <c r="L8207" s="33" t="str">
        <f>IFERROR(VLOOKUP($J8207,'Informations sur les produits'!$A$3:$H$10000,8,FALSE),"0")</f>
        <v>0</v>
      </c>
      <c r="N8207" s="8"/>
      <c r="O8207" s="33" t="str">
        <f>IFERROR(VLOOKUP($M8207,'Informations sur les produits'!$A$3:$H$10000,8,FALSE),"0")</f>
        <v>0</v>
      </c>
      <c r="P8207" s="33">
        <f t="shared" si="512"/>
        <v>0</v>
      </c>
      <c r="Q8207" s="31" t="str">
        <f t="shared" si="513"/>
        <v/>
      </c>
      <c r="R8207" s="32" t="str">
        <f>IFERROR(VLOOKUP($D8207,'Informations sur les produits'!$A$3:$B$15000,2,FALSE),"")</f>
        <v/>
      </c>
      <c r="V8207">
        <f t="shared" si="514"/>
        <v>0</v>
      </c>
      <c r="W8207">
        <f t="shared" si="515"/>
        <v>0</v>
      </c>
    </row>
    <row r="8208" spans="5:23" x14ac:dyDescent="0.25">
      <c r="E8208" s="4"/>
      <c r="F8208" s="4"/>
      <c r="G8208" s="33" t="str">
        <f>IFERROR(VLOOKUP($D8208,'Informations sur les produits'!$A$3:$H$10000,8,FALSE),"0")</f>
        <v>0</v>
      </c>
      <c r="K8208" s="4"/>
      <c r="L8208" s="33" t="str">
        <f>IFERROR(VLOOKUP($J8208,'Informations sur les produits'!$A$3:$H$10000,8,FALSE),"0")</f>
        <v>0</v>
      </c>
      <c r="N8208" s="8"/>
      <c r="O8208" s="33" t="str">
        <f>IFERROR(VLOOKUP($M8208,'Informations sur les produits'!$A$3:$H$10000,8,FALSE),"0")</f>
        <v>0</v>
      </c>
      <c r="P8208" s="33">
        <f t="shared" si="512"/>
        <v>0</v>
      </c>
      <c r="Q8208" s="31" t="str">
        <f t="shared" si="513"/>
        <v/>
      </c>
      <c r="R8208" s="32" t="str">
        <f>IFERROR(VLOOKUP($D8208,'Informations sur les produits'!$A$3:$B$15000,2,FALSE),"")</f>
        <v/>
      </c>
      <c r="V8208">
        <f t="shared" si="514"/>
        <v>0</v>
      </c>
      <c r="W8208">
        <f t="shared" si="515"/>
        <v>0</v>
      </c>
    </row>
    <row r="8209" spans="5:23" x14ac:dyDescent="0.25">
      <c r="E8209" s="4"/>
      <c r="F8209" s="4"/>
      <c r="G8209" s="33" t="str">
        <f>IFERROR(VLOOKUP($D8209,'Informations sur les produits'!$A$3:$H$10000,8,FALSE),"0")</f>
        <v>0</v>
      </c>
      <c r="K8209" s="4"/>
      <c r="L8209" s="33" t="str">
        <f>IFERROR(VLOOKUP($J8209,'Informations sur les produits'!$A$3:$H$10000,8,FALSE),"0")</f>
        <v>0</v>
      </c>
      <c r="N8209" s="8"/>
      <c r="O8209" s="33" t="str">
        <f>IFERROR(VLOOKUP($M8209,'Informations sur les produits'!$A$3:$H$10000,8,FALSE),"0")</f>
        <v>0</v>
      </c>
      <c r="P8209" s="33">
        <f t="shared" si="512"/>
        <v>0</v>
      </c>
      <c r="Q8209" s="31" t="str">
        <f t="shared" si="513"/>
        <v/>
      </c>
      <c r="R8209" s="32" t="str">
        <f>IFERROR(VLOOKUP($D8209,'Informations sur les produits'!$A$3:$B$15000,2,FALSE),"")</f>
        <v/>
      </c>
      <c r="V8209">
        <f t="shared" si="514"/>
        <v>0</v>
      </c>
      <c r="W8209">
        <f t="shared" si="515"/>
        <v>0</v>
      </c>
    </row>
    <row r="8210" spans="5:23" x14ac:dyDescent="0.25">
      <c r="E8210" s="4"/>
      <c r="F8210" s="4"/>
      <c r="G8210" s="33" t="str">
        <f>IFERROR(VLOOKUP($D8210,'Informations sur les produits'!$A$3:$H$10000,8,FALSE),"0")</f>
        <v>0</v>
      </c>
      <c r="K8210" s="4"/>
      <c r="L8210" s="33" t="str">
        <f>IFERROR(VLOOKUP($J8210,'Informations sur les produits'!$A$3:$H$10000,8,FALSE),"0")</f>
        <v>0</v>
      </c>
      <c r="N8210" s="8"/>
      <c r="O8210" s="33" t="str">
        <f>IFERROR(VLOOKUP($M8210,'Informations sur les produits'!$A$3:$H$10000,8,FALSE),"0")</f>
        <v>0</v>
      </c>
      <c r="P8210" s="33">
        <f t="shared" si="512"/>
        <v>0</v>
      </c>
      <c r="Q8210" s="31" t="str">
        <f t="shared" si="513"/>
        <v/>
      </c>
      <c r="R8210" s="32" t="str">
        <f>IFERROR(VLOOKUP($D8210,'Informations sur les produits'!$A$3:$B$15000,2,FALSE),"")</f>
        <v/>
      </c>
      <c r="V8210">
        <f t="shared" si="514"/>
        <v>0</v>
      </c>
      <c r="W8210">
        <f t="shared" si="515"/>
        <v>0</v>
      </c>
    </row>
    <row r="8211" spans="5:23" x14ac:dyDescent="0.25">
      <c r="E8211" s="4"/>
      <c r="F8211" s="4"/>
      <c r="G8211" s="33" t="str">
        <f>IFERROR(VLOOKUP($D8211,'Informations sur les produits'!$A$3:$H$10000,8,FALSE),"0")</f>
        <v>0</v>
      </c>
      <c r="K8211" s="4"/>
      <c r="L8211" s="33" t="str">
        <f>IFERROR(VLOOKUP($J8211,'Informations sur les produits'!$A$3:$H$10000,8,FALSE),"0")</f>
        <v>0</v>
      </c>
      <c r="N8211" s="8"/>
      <c r="O8211" s="33" t="str">
        <f>IFERROR(VLOOKUP($M8211,'Informations sur les produits'!$A$3:$H$10000,8,FALSE),"0")</f>
        <v>0</v>
      </c>
      <c r="P8211" s="33">
        <f t="shared" si="512"/>
        <v>0</v>
      </c>
      <c r="Q8211" s="31" t="str">
        <f t="shared" si="513"/>
        <v/>
      </c>
      <c r="R8211" s="32" t="str">
        <f>IFERROR(VLOOKUP($D8211,'Informations sur les produits'!$A$3:$B$15000,2,FALSE),"")</f>
        <v/>
      </c>
      <c r="V8211">
        <f t="shared" si="514"/>
        <v>0</v>
      </c>
      <c r="W8211">
        <f t="shared" si="515"/>
        <v>0</v>
      </c>
    </row>
    <row r="8212" spans="5:23" x14ac:dyDescent="0.25">
      <c r="E8212" s="4"/>
      <c r="F8212" s="4"/>
      <c r="G8212" s="33" t="str">
        <f>IFERROR(VLOOKUP($D8212,'Informations sur les produits'!$A$3:$H$10000,8,FALSE),"0")</f>
        <v>0</v>
      </c>
      <c r="K8212" s="4"/>
      <c r="L8212" s="33" t="str">
        <f>IFERROR(VLOOKUP($J8212,'Informations sur les produits'!$A$3:$H$10000,8,FALSE),"0")</f>
        <v>0</v>
      </c>
      <c r="N8212" s="8"/>
      <c r="O8212" s="33" t="str">
        <f>IFERROR(VLOOKUP($M8212,'Informations sur les produits'!$A$3:$H$10000,8,FALSE),"0")</f>
        <v>0</v>
      </c>
      <c r="P8212" s="33">
        <f t="shared" si="512"/>
        <v>0</v>
      </c>
      <c r="Q8212" s="31" t="str">
        <f t="shared" si="513"/>
        <v/>
      </c>
      <c r="R8212" s="32" t="str">
        <f>IFERROR(VLOOKUP($D8212,'Informations sur les produits'!$A$3:$B$15000,2,FALSE),"")</f>
        <v/>
      </c>
      <c r="V8212">
        <f t="shared" si="514"/>
        <v>0</v>
      </c>
      <c r="W8212">
        <f t="shared" si="515"/>
        <v>0</v>
      </c>
    </row>
    <row r="8213" spans="5:23" x14ac:dyDescent="0.25">
      <c r="E8213" s="4"/>
      <c r="F8213" s="4"/>
      <c r="G8213" s="33" t="str">
        <f>IFERROR(VLOOKUP($D8213,'Informations sur les produits'!$A$3:$H$10000,8,FALSE),"0")</f>
        <v>0</v>
      </c>
      <c r="K8213" s="4"/>
      <c r="L8213" s="33" t="str">
        <f>IFERROR(VLOOKUP($J8213,'Informations sur les produits'!$A$3:$H$10000,8,FALSE),"0")</f>
        <v>0</v>
      </c>
      <c r="N8213" s="8"/>
      <c r="O8213" s="33" t="str">
        <f>IFERROR(VLOOKUP($M8213,'Informations sur les produits'!$A$3:$H$10000,8,FALSE),"0")</f>
        <v>0</v>
      </c>
      <c r="P8213" s="33">
        <f t="shared" si="512"/>
        <v>0</v>
      </c>
      <c r="Q8213" s="31" t="str">
        <f t="shared" si="513"/>
        <v/>
      </c>
      <c r="R8213" s="32" t="str">
        <f>IFERROR(VLOOKUP($D8213,'Informations sur les produits'!$A$3:$B$15000,2,FALSE),"")</f>
        <v/>
      </c>
      <c r="V8213">
        <f t="shared" si="514"/>
        <v>0</v>
      </c>
      <c r="W8213">
        <f t="shared" si="515"/>
        <v>0</v>
      </c>
    </row>
    <row r="8214" spans="5:23" x14ac:dyDescent="0.25">
      <c r="E8214" s="4"/>
      <c r="F8214" s="4"/>
      <c r="G8214" s="33" t="str">
        <f>IFERROR(VLOOKUP($D8214,'Informations sur les produits'!$A$3:$H$10000,8,FALSE),"0")</f>
        <v>0</v>
      </c>
      <c r="K8214" s="4"/>
      <c r="L8214" s="33" t="str">
        <f>IFERROR(VLOOKUP($J8214,'Informations sur les produits'!$A$3:$H$10000,8,FALSE),"0")</f>
        <v>0</v>
      </c>
      <c r="N8214" s="8"/>
      <c r="O8214" s="33" t="str">
        <f>IFERROR(VLOOKUP($M8214,'Informations sur les produits'!$A$3:$H$10000,8,FALSE),"0")</f>
        <v>0</v>
      </c>
      <c r="P8214" s="33">
        <f t="shared" si="512"/>
        <v>0</v>
      </c>
      <c r="Q8214" s="31" t="str">
        <f t="shared" si="513"/>
        <v/>
      </c>
      <c r="R8214" s="32" t="str">
        <f>IFERROR(VLOOKUP($D8214,'Informations sur les produits'!$A$3:$B$15000,2,FALSE),"")</f>
        <v/>
      </c>
      <c r="V8214">
        <f t="shared" si="514"/>
        <v>0</v>
      </c>
      <c r="W8214">
        <f t="shared" si="515"/>
        <v>0</v>
      </c>
    </row>
    <row r="8215" spans="5:23" x14ac:dyDescent="0.25">
      <c r="E8215" s="4"/>
      <c r="F8215" s="4"/>
      <c r="G8215" s="33" t="str">
        <f>IFERROR(VLOOKUP($D8215,'Informations sur les produits'!$A$3:$H$10000,8,FALSE),"0")</f>
        <v>0</v>
      </c>
      <c r="K8215" s="4"/>
      <c r="L8215" s="33" t="str">
        <f>IFERROR(VLOOKUP($J8215,'Informations sur les produits'!$A$3:$H$10000,8,FALSE),"0")</f>
        <v>0</v>
      </c>
      <c r="N8215" s="8"/>
      <c r="O8215" s="33" t="str">
        <f>IFERROR(VLOOKUP($M8215,'Informations sur les produits'!$A$3:$H$10000,8,FALSE),"0")</f>
        <v>0</v>
      </c>
      <c r="P8215" s="33">
        <f t="shared" si="512"/>
        <v>0</v>
      </c>
      <c r="Q8215" s="31" t="str">
        <f t="shared" si="513"/>
        <v/>
      </c>
      <c r="R8215" s="32" t="str">
        <f>IFERROR(VLOOKUP($D8215,'Informations sur les produits'!$A$3:$B$15000,2,FALSE),"")</f>
        <v/>
      </c>
      <c r="V8215">
        <f t="shared" si="514"/>
        <v>0</v>
      </c>
      <c r="W8215">
        <f t="shared" si="515"/>
        <v>0</v>
      </c>
    </row>
    <row r="8216" spans="5:23" x14ac:dyDescent="0.25">
      <c r="E8216" s="4"/>
      <c r="F8216" s="4"/>
      <c r="G8216" s="33" t="str">
        <f>IFERROR(VLOOKUP($D8216,'Informations sur les produits'!$A$3:$H$10000,8,FALSE),"0")</f>
        <v>0</v>
      </c>
      <c r="K8216" s="4"/>
      <c r="L8216" s="33" t="str">
        <f>IFERROR(VLOOKUP($J8216,'Informations sur les produits'!$A$3:$H$10000,8,FALSE),"0")</f>
        <v>0</v>
      </c>
      <c r="N8216" s="8"/>
      <c r="O8216" s="33" t="str">
        <f>IFERROR(VLOOKUP($M8216,'Informations sur les produits'!$A$3:$H$10000,8,FALSE),"0")</f>
        <v>0</v>
      </c>
      <c r="P8216" s="33">
        <f t="shared" si="512"/>
        <v>0</v>
      </c>
      <c r="Q8216" s="31" t="str">
        <f t="shared" si="513"/>
        <v/>
      </c>
      <c r="R8216" s="32" t="str">
        <f>IFERROR(VLOOKUP($D8216,'Informations sur les produits'!$A$3:$B$15000,2,FALSE),"")</f>
        <v/>
      </c>
      <c r="V8216">
        <f t="shared" si="514"/>
        <v>0</v>
      </c>
      <c r="W8216">
        <f t="shared" si="515"/>
        <v>0</v>
      </c>
    </row>
    <row r="8217" spans="5:23" x14ac:dyDescent="0.25">
      <c r="E8217" s="4"/>
      <c r="F8217" s="4"/>
      <c r="G8217" s="33" t="str">
        <f>IFERROR(VLOOKUP($D8217,'Informations sur les produits'!$A$3:$H$10000,8,FALSE),"0")</f>
        <v>0</v>
      </c>
      <c r="K8217" s="4"/>
      <c r="L8217" s="33" t="str">
        <f>IFERROR(VLOOKUP($J8217,'Informations sur les produits'!$A$3:$H$10000,8,FALSE),"0")</f>
        <v>0</v>
      </c>
      <c r="N8217" s="8"/>
      <c r="O8217" s="33" t="str">
        <f>IFERROR(VLOOKUP($M8217,'Informations sur les produits'!$A$3:$H$10000,8,FALSE),"0")</f>
        <v>0</v>
      </c>
      <c r="P8217" s="33">
        <f t="shared" si="512"/>
        <v>0</v>
      </c>
      <c r="Q8217" s="31" t="str">
        <f t="shared" si="513"/>
        <v/>
      </c>
      <c r="R8217" s="32" t="str">
        <f>IFERROR(VLOOKUP($D8217,'Informations sur les produits'!$A$3:$B$15000,2,FALSE),"")</f>
        <v/>
      </c>
      <c r="V8217">
        <f t="shared" si="514"/>
        <v>0</v>
      </c>
      <c r="W8217">
        <f t="shared" si="515"/>
        <v>0</v>
      </c>
    </row>
    <row r="8218" spans="5:23" x14ac:dyDescent="0.25">
      <c r="E8218" s="4"/>
      <c r="F8218" s="4"/>
      <c r="G8218" s="33" t="str">
        <f>IFERROR(VLOOKUP($D8218,'Informations sur les produits'!$A$3:$H$10000,8,FALSE),"0")</f>
        <v>0</v>
      </c>
      <c r="K8218" s="4"/>
      <c r="L8218" s="33" t="str">
        <f>IFERROR(VLOOKUP($J8218,'Informations sur les produits'!$A$3:$H$10000,8,FALSE),"0")</f>
        <v>0</v>
      </c>
      <c r="N8218" s="8"/>
      <c r="O8218" s="33" t="str">
        <f>IFERROR(VLOOKUP($M8218,'Informations sur les produits'!$A$3:$H$10000,8,FALSE),"0")</f>
        <v>0</v>
      </c>
      <c r="P8218" s="33">
        <f t="shared" si="512"/>
        <v>0</v>
      </c>
      <c r="Q8218" s="31" t="str">
        <f t="shared" si="513"/>
        <v/>
      </c>
      <c r="R8218" s="32" t="str">
        <f>IFERROR(VLOOKUP($D8218,'Informations sur les produits'!$A$3:$B$15000,2,FALSE),"")</f>
        <v/>
      </c>
      <c r="V8218">
        <f t="shared" si="514"/>
        <v>0</v>
      </c>
      <c r="W8218">
        <f t="shared" si="515"/>
        <v>0</v>
      </c>
    </row>
    <row r="8219" spans="5:23" x14ac:dyDescent="0.25">
      <c r="E8219" s="4"/>
      <c r="F8219" s="4"/>
      <c r="G8219" s="33" t="str">
        <f>IFERROR(VLOOKUP($D8219,'Informations sur les produits'!$A$3:$H$10000,8,FALSE),"0")</f>
        <v>0</v>
      </c>
      <c r="K8219" s="4"/>
      <c r="L8219" s="33" t="str">
        <f>IFERROR(VLOOKUP($J8219,'Informations sur les produits'!$A$3:$H$10000,8,FALSE),"0")</f>
        <v>0</v>
      </c>
      <c r="N8219" s="8"/>
      <c r="O8219" s="33" t="str">
        <f>IFERROR(VLOOKUP($M8219,'Informations sur les produits'!$A$3:$H$10000,8,FALSE),"0")</f>
        <v>0</v>
      </c>
      <c r="P8219" s="33">
        <f t="shared" si="512"/>
        <v>0</v>
      </c>
      <c r="Q8219" s="31" t="str">
        <f t="shared" si="513"/>
        <v/>
      </c>
      <c r="R8219" s="32" t="str">
        <f>IFERROR(VLOOKUP($D8219,'Informations sur les produits'!$A$3:$B$15000,2,FALSE),"")</f>
        <v/>
      </c>
      <c r="V8219">
        <f t="shared" si="514"/>
        <v>0</v>
      </c>
      <c r="W8219">
        <f t="shared" si="515"/>
        <v>0</v>
      </c>
    </row>
    <row r="8220" spans="5:23" x14ac:dyDescent="0.25">
      <c r="E8220" s="4"/>
      <c r="F8220" s="4"/>
      <c r="G8220" s="33" t="str">
        <f>IFERROR(VLOOKUP($D8220,'Informations sur les produits'!$A$3:$H$10000,8,FALSE),"0")</f>
        <v>0</v>
      </c>
      <c r="K8220" s="4"/>
      <c r="L8220" s="33" t="str">
        <f>IFERROR(VLOOKUP($J8220,'Informations sur les produits'!$A$3:$H$10000,8,FALSE),"0")</f>
        <v>0</v>
      </c>
      <c r="N8220" s="8"/>
      <c r="O8220" s="33" t="str">
        <f>IFERROR(VLOOKUP($M8220,'Informations sur les produits'!$A$3:$H$10000,8,FALSE),"0")</f>
        <v>0</v>
      </c>
      <c r="P8220" s="33">
        <f t="shared" si="512"/>
        <v>0</v>
      </c>
      <c r="Q8220" s="31" t="str">
        <f t="shared" si="513"/>
        <v/>
      </c>
      <c r="R8220" s="32" t="str">
        <f>IFERROR(VLOOKUP($D8220,'Informations sur les produits'!$A$3:$B$15000,2,FALSE),"")</f>
        <v/>
      </c>
      <c r="V8220">
        <f t="shared" si="514"/>
        <v>0</v>
      </c>
      <c r="W8220">
        <f t="shared" si="515"/>
        <v>0</v>
      </c>
    </row>
    <row r="8221" spans="5:23" x14ac:dyDescent="0.25">
      <c r="E8221" s="4"/>
      <c r="F8221" s="4"/>
      <c r="G8221" s="33" t="str">
        <f>IFERROR(VLOOKUP($D8221,'Informations sur les produits'!$A$3:$H$10000,8,FALSE),"0")</f>
        <v>0</v>
      </c>
      <c r="K8221" s="4"/>
      <c r="L8221" s="33" t="str">
        <f>IFERROR(VLOOKUP($J8221,'Informations sur les produits'!$A$3:$H$10000,8,FALSE),"0")</f>
        <v>0</v>
      </c>
      <c r="N8221" s="8"/>
      <c r="O8221" s="33" t="str">
        <f>IFERROR(VLOOKUP($M8221,'Informations sur les produits'!$A$3:$H$10000,8,FALSE),"0")</f>
        <v>0</v>
      </c>
      <c r="P8221" s="33">
        <f t="shared" si="512"/>
        <v>0</v>
      </c>
      <c r="Q8221" s="31" t="str">
        <f t="shared" si="513"/>
        <v/>
      </c>
      <c r="R8221" s="32" t="str">
        <f>IFERROR(VLOOKUP($D8221,'Informations sur les produits'!$A$3:$B$15000,2,FALSE),"")</f>
        <v/>
      </c>
      <c r="V8221">
        <f t="shared" si="514"/>
        <v>0</v>
      </c>
      <c r="W8221">
        <f t="shared" si="515"/>
        <v>0</v>
      </c>
    </row>
    <row r="8222" spans="5:23" x14ac:dyDescent="0.25">
      <c r="E8222" s="4"/>
      <c r="F8222" s="4"/>
      <c r="G8222" s="33" t="str">
        <f>IFERROR(VLOOKUP($D8222,'Informations sur les produits'!$A$3:$H$10000,8,FALSE),"0")</f>
        <v>0</v>
      </c>
      <c r="K8222" s="4"/>
      <c r="L8222" s="33" t="str">
        <f>IFERROR(VLOOKUP($J8222,'Informations sur les produits'!$A$3:$H$10000,8,FALSE),"0")</f>
        <v>0</v>
      </c>
      <c r="N8222" s="8"/>
      <c r="O8222" s="33" t="str">
        <f>IFERROR(VLOOKUP($M8222,'Informations sur les produits'!$A$3:$H$10000,8,FALSE),"0")</f>
        <v>0</v>
      </c>
      <c r="P8222" s="33">
        <f t="shared" si="512"/>
        <v>0</v>
      </c>
      <c r="Q8222" s="31" t="str">
        <f t="shared" si="513"/>
        <v/>
      </c>
      <c r="R8222" s="32" t="str">
        <f>IFERROR(VLOOKUP($D8222,'Informations sur les produits'!$A$3:$B$15000,2,FALSE),"")</f>
        <v/>
      </c>
      <c r="V8222">
        <f t="shared" si="514"/>
        <v>0</v>
      </c>
      <c r="W8222">
        <f t="shared" si="515"/>
        <v>0</v>
      </c>
    </row>
    <row r="8223" spans="5:23" x14ac:dyDescent="0.25">
      <c r="E8223" s="4"/>
      <c r="F8223" s="4"/>
      <c r="G8223" s="33" t="str">
        <f>IFERROR(VLOOKUP($D8223,'Informations sur les produits'!$A$3:$H$10000,8,FALSE),"0")</f>
        <v>0</v>
      </c>
      <c r="K8223" s="4"/>
      <c r="L8223" s="33" t="str">
        <f>IFERROR(VLOOKUP($J8223,'Informations sur les produits'!$A$3:$H$10000,8,FALSE),"0")</f>
        <v>0</v>
      </c>
      <c r="N8223" s="8"/>
      <c r="O8223" s="33" t="str">
        <f>IFERROR(VLOOKUP($M8223,'Informations sur les produits'!$A$3:$H$10000,8,FALSE),"0")</f>
        <v>0</v>
      </c>
      <c r="P8223" s="33">
        <f t="shared" si="512"/>
        <v>0</v>
      </c>
      <c r="Q8223" s="31" t="str">
        <f t="shared" si="513"/>
        <v/>
      </c>
      <c r="R8223" s="32" t="str">
        <f>IFERROR(VLOOKUP($D8223,'Informations sur les produits'!$A$3:$B$15000,2,FALSE),"")</f>
        <v/>
      </c>
      <c r="V8223">
        <f t="shared" si="514"/>
        <v>0</v>
      </c>
      <c r="W8223">
        <f t="shared" si="515"/>
        <v>0</v>
      </c>
    </row>
    <row r="8224" spans="5:23" x14ac:dyDescent="0.25">
      <c r="E8224" s="4"/>
      <c r="F8224" s="4"/>
      <c r="G8224" s="33" t="str">
        <f>IFERROR(VLOOKUP($D8224,'Informations sur les produits'!$A$3:$H$10000,8,FALSE),"0")</f>
        <v>0</v>
      </c>
      <c r="K8224" s="4"/>
      <c r="L8224" s="33" t="str">
        <f>IFERROR(VLOOKUP($J8224,'Informations sur les produits'!$A$3:$H$10000,8,FALSE),"0")</f>
        <v>0</v>
      </c>
      <c r="N8224" s="8"/>
      <c r="O8224" s="33" t="str">
        <f>IFERROR(VLOOKUP($M8224,'Informations sur les produits'!$A$3:$H$10000,8,FALSE),"0")</f>
        <v>0</v>
      </c>
      <c r="P8224" s="33">
        <f t="shared" si="512"/>
        <v>0</v>
      </c>
      <c r="Q8224" s="31" t="str">
        <f t="shared" si="513"/>
        <v/>
      </c>
      <c r="R8224" s="32" t="str">
        <f>IFERROR(VLOOKUP($D8224,'Informations sur les produits'!$A$3:$B$15000,2,FALSE),"")</f>
        <v/>
      </c>
      <c r="V8224">
        <f t="shared" si="514"/>
        <v>0</v>
      </c>
      <c r="W8224">
        <f t="shared" si="515"/>
        <v>0</v>
      </c>
    </row>
    <row r="8225" spans="5:23" x14ac:dyDescent="0.25">
      <c r="E8225" s="4"/>
      <c r="F8225" s="4"/>
      <c r="G8225" s="33" t="str">
        <f>IFERROR(VLOOKUP($D8225,'Informations sur les produits'!$A$3:$H$10000,8,FALSE),"0")</f>
        <v>0</v>
      </c>
      <c r="K8225" s="4"/>
      <c r="L8225" s="33" t="str">
        <f>IFERROR(VLOOKUP($J8225,'Informations sur les produits'!$A$3:$H$10000,8,FALSE),"0")</f>
        <v>0</v>
      </c>
      <c r="N8225" s="8"/>
      <c r="O8225" s="33" t="str">
        <f>IFERROR(VLOOKUP($M8225,'Informations sur les produits'!$A$3:$H$10000,8,FALSE),"0")</f>
        <v>0</v>
      </c>
      <c r="P8225" s="33">
        <f t="shared" si="512"/>
        <v>0</v>
      </c>
      <c r="Q8225" s="31" t="str">
        <f t="shared" si="513"/>
        <v/>
      </c>
      <c r="R8225" s="32" t="str">
        <f>IFERROR(VLOOKUP($D8225,'Informations sur les produits'!$A$3:$B$15000,2,FALSE),"")</f>
        <v/>
      </c>
      <c r="V8225">
        <f t="shared" si="514"/>
        <v>0</v>
      </c>
      <c r="W8225">
        <f t="shared" si="515"/>
        <v>0</v>
      </c>
    </row>
    <row r="8226" spans="5:23" x14ac:dyDescent="0.25">
      <c r="E8226" s="4"/>
      <c r="F8226" s="4"/>
      <c r="G8226" s="33" t="str">
        <f>IFERROR(VLOOKUP($D8226,'Informations sur les produits'!$A$3:$H$10000,8,FALSE),"0")</f>
        <v>0</v>
      </c>
      <c r="K8226" s="4"/>
      <c r="L8226" s="33" t="str">
        <f>IFERROR(VLOOKUP($J8226,'Informations sur les produits'!$A$3:$H$10000,8,FALSE),"0")</f>
        <v>0</v>
      </c>
      <c r="N8226" s="8"/>
      <c r="O8226" s="33" t="str">
        <f>IFERROR(VLOOKUP($M8226,'Informations sur les produits'!$A$3:$H$10000,8,FALSE),"0")</f>
        <v>0</v>
      </c>
      <c r="P8226" s="33">
        <f t="shared" si="512"/>
        <v>0</v>
      </c>
      <c r="Q8226" s="31" t="str">
        <f t="shared" si="513"/>
        <v/>
      </c>
      <c r="R8226" s="32" t="str">
        <f>IFERROR(VLOOKUP($D8226,'Informations sur les produits'!$A$3:$B$15000,2,FALSE),"")</f>
        <v/>
      </c>
      <c r="V8226">
        <f t="shared" si="514"/>
        <v>0</v>
      </c>
      <c r="W8226">
        <f t="shared" si="515"/>
        <v>0</v>
      </c>
    </row>
    <row r="8227" spans="5:23" x14ac:dyDescent="0.25">
      <c r="E8227" s="4"/>
      <c r="F8227" s="4"/>
      <c r="G8227" s="33" t="str">
        <f>IFERROR(VLOOKUP($D8227,'Informations sur les produits'!$A$3:$H$10000,8,FALSE),"0")</f>
        <v>0</v>
      </c>
      <c r="K8227" s="4"/>
      <c r="L8227" s="33" t="str">
        <f>IFERROR(VLOOKUP($J8227,'Informations sur les produits'!$A$3:$H$10000,8,FALSE),"0")</f>
        <v>0</v>
      </c>
      <c r="N8227" s="8"/>
      <c r="O8227" s="33" t="str">
        <f>IFERROR(VLOOKUP($M8227,'Informations sur les produits'!$A$3:$H$10000,8,FALSE),"0")</f>
        <v>0</v>
      </c>
      <c r="P8227" s="33">
        <f t="shared" si="512"/>
        <v>0</v>
      </c>
      <c r="Q8227" s="31" t="str">
        <f t="shared" si="513"/>
        <v/>
      </c>
      <c r="R8227" s="32" t="str">
        <f>IFERROR(VLOOKUP($D8227,'Informations sur les produits'!$A$3:$B$15000,2,FALSE),"")</f>
        <v/>
      </c>
      <c r="V8227">
        <f t="shared" si="514"/>
        <v>0</v>
      </c>
      <c r="W8227">
        <f t="shared" si="515"/>
        <v>0</v>
      </c>
    </row>
    <row r="8228" spans="5:23" x14ac:dyDescent="0.25">
      <c r="E8228" s="4"/>
      <c r="F8228" s="4"/>
      <c r="G8228" s="33" t="str">
        <f>IFERROR(VLOOKUP($D8228,'Informations sur les produits'!$A$3:$H$10000,8,FALSE),"0")</f>
        <v>0</v>
      </c>
      <c r="K8228" s="4"/>
      <c r="L8228" s="33" t="str">
        <f>IFERROR(VLOOKUP($J8228,'Informations sur les produits'!$A$3:$H$10000,8,FALSE),"0")</f>
        <v>0</v>
      </c>
      <c r="N8228" s="8"/>
      <c r="O8228" s="33" t="str">
        <f>IFERROR(VLOOKUP($M8228,'Informations sur les produits'!$A$3:$H$10000,8,FALSE),"0")</f>
        <v>0</v>
      </c>
      <c r="P8228" s="33">
        <f t="shared" si="512"/>
        <v>0</v>
      </c>
      <c r="Q8228" s="31" t="str">
        <f t="shared" si="513"/>
        <v/>
      </c>
      <c r="R8228" s="32" t="str">
        <f>IFERROR(VLOOKUP($D8228,'Informations sur les produits'!$A$3:$B$15000,2,FALSE),"")</f>
        <v/>
      </c>
      <c r="V8228">
        <f t="shared" si="514"/>
        <v>0</v>
      </c>
      <c r="W8228">
        <f t="shared" si="515"/>
        <v>0</v>
      </c>
    </row>
    <row r="8229" spans="5:23" x14ac:dyDescent="0.25">
      <c r="E8229" s="4"/>
      <c r="F8229" s="4"/>
      <c r="G8229" s="33" t="str">
        <f>IFERROR(VLOOKUP($D8229,'Informations sur les produits'!$A$3:$H$10000,8,FALSE),"0")</f>
        <v>0</v>
      </c>
      <c r="K8229" s="4"/>
      <c r="L8229" s="33" t="str">
        <f>IFERROR(VLOOKUP($J8229,'Informations sur les produits'!$A$3:$H$10000,8,FALSE),"0")</f>
        <v>0</v>
      </c>
      <c r="N8229" s="8"/>
      <c r="O8229" s="33" t="str">
        <f>IFERROR(VLOOKUP($M8229,'Informations sur les produits'!$A$3:$H$10000,8,FALSE),"0")</f>
        <v>0</v>
      </c>
      <c r="P8229" s="33">
        <f t="shared" si="512"/>
        <v>0</v>
      </c>
      <c r="Q8229" s="31" t="str">
        <f t="shared" si="513"/>
        <v/>
      </c>
      <c r="R8229" s="32" t="str">
        <f>IFERROR(VLOOKUP($D8229,'Informations sur les produits'!$A$3:$B$15000,2,FALSE),"")</f>
        <v/>
      </c>
      <c r="V8229">
        <f t="shared" si="514"/>
        <v>0</v>
      </c>
      <c r="W8229">
        <f t="shared" si="515"/>
        <v>0</v>
      </c>
    </row>
    <row r="8230" spans="5:23" x14ac:dyDescent="0.25">
      <c r="E8230" s="4"/>
      <c r="F8230" s="4"/>
      <c r="G8230" s="33" t="str">
        <f>IFERROR(VLOOKUP($D8230,'Informations sur les produits'!$A$3:$H$10000,8,FALSE),"0")</f>
        <v>0</v>
      </c>
      <c r="K8230" s="4"/>
      <c r="L8230" s="33" t="str">
        <f>IFERROR(VLOOKUP($J8230,'Informations sur les produits'!$A$3:$H$10000,8,FALSE),"0")</f>
        <v>0</v>
      </c>
      <c r="N8230" s="8"/>
      <c r="O8230" s="33" t="str">
        <f>IFERROR(VLOOKUP($M8230,'Informations sur les produits'!$A$3:$H$10000,8,FALSE),"0")</f>
        <v>0</v>
      </c>
      <c r="P8230" s="33">
        <f t="shared" si="512"/>
        <v>0</v>
      </c>
      <c r="Q8230" s="31" t="str">
        <f t="shared" si="513"/>
        <v/>
      </c>
      <c r="R8230" s="32" t="str">
        <f>IFERROR(VLOOKUP($D8230,'Informations sur les produits'!$A$3:$B$15000,2,FALSE),"")</f>
        <v/>
      </c>
      <c r="V8230">
        <f t="shared" si="514"/>
        <v>0</v>
      </c>
      <c r="W8230">
        <f t="shared" si="515"/>
        <v>0</v>
      </c>
    </row>
    <row r="8231" spans="5:23" x14ac:dyDescent="0.25">
      <c r="E8231" s="4"/>
      <c r="F8231" s="4"/>
      <c r="G8231" s="33" t="str">
        <f>IFERROR(VLOOKUP($D8231,'Informations sur les produits'!$A$3:$H$10000,8,FALSE),"0")</f>
        <v>0</v>
      </c>
      <c r="K8231" s="4"/>
      <c r="L8231" s="33" t="str">
        <f>IFERROR(VLOOKUP($J8231,'Informations sur les produits'!$A$3:$H$10000,8,FALSE),"0")</f>
        <v>0</v>
      </c>
      <c r="N8231" s="8"/>
      <c r="O8231" s="33" t="str">
        <f>IFERROR(VLOOKUP($M8231,'Informations sur les produits'!$A$3:$H$10000,8,FALSE),"0")</f>
        <v>0</v>
      </c>
      <c r="P8231" s="33">
        <f t="shared" si="512"/>
        <v>0</v>
      </c>
      <c r="Q8231" s="31" t="str">
        <f t="shared" si="513"/>
        <v/>
      </c>
      <c r="R8231" s="32" t="str">
        <f>IFERROR(VLOOKUP($D8231,'Informations sur les produits'!$A$3:$B$15000,2,FALSE),"")</f>
        <v/>
      </c>
      <c r="V8231">
        <f t="shared" si="514"/>
        <v>0</v>
      </c>
      <c r="W8231">
        <f t="shared" si="515"/>
        <v>0</v>
      </c>
    </row>
    <row r="8232" spans="5:23" x14ac:dyDescent="0.25">
      <c r="E8232" s="4"/>
      <c r="F8232" s="4"/>
      <c r="G8232" s="33" t="str">
        <f>IFERROR(VLOOKUP($D8232,'Informations sur les produits'!$A$3:$H$10000,8,FALSE),"0")</f>
        <v>0</v>
      </c>
      <c r="K8232" s="4"/>
      <c r="L8232" s="33" t="str">
        <f>IFERROR(VLOOKUP($J8232,'Informations sur les produits'!$A$3:$H$10000,8,FALSE),"0")</f>
        <v>0</v>
      </c>
      <c r="N8232" s="8"/>
      <c r="O8232" s="33" t="str">
        <f>IFERROR(VLOOKUP($M8232,'Informations sur les produits'!$A$3:$H$10000,8,FALSE),"0")</f>
        <v>0</v>
      </c>
      <c r="P8232" s="33">
        <f t="shared" si="512"/>
        <v>0</v>
      </c>
      <c r="Q8232" s="31" t="str">
        <f t="shared" si="513"/>
        <v/>
      </c>
      <c r="R8232" s="32" t="str">
        <f>IFERROR(VLOOKUP($D8232,'Informations sur les produits'!$A$3:$B$15000,2,FALSE),"")</f>
        <v/>
      </c>
      <c r="V8232">
        <f t="shared" si="514"/>
        <v>0</v>
      </c>
      <c r="W8232">
        <f t="shared" si="515"/>
        <v>0</v>
      </c>
    </row>
    <row r="8233" spans="5:23" x14ac:dyDescent="0.25">
      <c r="E8233" s="4"/>
      <c r="F8233" s="4"/>
      <c r="G8233" s="33" t="str">
        <f>IFERROR(VLOOKUP($D8233,'Informations sur les produits'!$A$3:$H$10000,8,FALSE),"0")</f>
        <v>0</v>
      </c>
      <c r="K8233" s="4"/>
      <c r="L8233" s="33" t="str">
        <f>IFERROR(VLOOKUP($J8233,'Informations sur les produits'!$A$3:$H$10000,8,FALSE),"0")</f>
        <v>0</v>
      </c>
      <c r="N8233" s="8"/>
      <c r="O8233" s="33" t="str">
        <f>IFERROR(VLOOKUP($M8233,'Informations sur les produits'!$A$3:$H$10000,8,FALSE),"0")</f>
        <v>0</v>
      </c>
      <c r="P8233" s="33">
        <f t="shared" si="512"/>
        <v>0</v>
      </c>
      <c r="Q8233" s="31" t="str">
        <f t="shared" si="513"/>
        <v/>
      </c>
      <c r="R8233" s="32" t="str">
        <f>IFERROR(VLOOKUP($D8233,'Informations sur les produits'!$A$3:$B$15000,2,FALSE),"")</f>
        <v/>
      </c>
      <c r="V8233">
        <f t="shared" si="514"/>
        <v>0</v>
      </c>
      <c r="W8233">
        <f t="shared" si="515"/>
        <v>0</v>
      </c>
    </row>
    <row r="8234" spans="5:23" x14ac:dyDescent="0.25">
      <c r="E8234" s="4"/>
      <c r="F8234" s="4"/>
      <c r="G8234" s="33" t="str">
        <f>IFERROR(VLOOKUP($D8234,'Informations sur les produits'!$A$3:$H$10000,8,FALSE),"0")</f>
        <v>0</v>
      </c>
      <c r="K8234" s="4"/>
      <c r="L8234" s="33" t="str">
        <f>IFERROR(VLOOKUP($J8234,'Informations sur les produits'!$A$3:$H$10000,8,FALSE),"0")</f>
        <v>0</v>
      </c>
      <c r="N8234" s="8"/>
      <c r="O8234" s="33" t="str">
        <f>IFERROR(VLOOKUP($M8234,'Informations sur les produits'!$A$3:$H$10000,8,FALSE),"0")</f>
        <v>0</v>
      </c>
      <c r="P8234" s="33">
        <f t="shared" si="512"/>
        <v>0</v>
      </c>
      <c r="Q8234" s="31" t="str">
        <f t="shared" si="513"/>
        <v/>
      </c>
      <c r="R8234" s="32" t="str">
        <f>IFERROR(VLOOKUP($D8234,'Informations sur les produits'!$A$3:$B$15000,2,FALSE),"")</f>
        <v/>
      </c>
      <c r="V8234">
        <f t="shared" si="514"/>
        <v>0</v>
      </c>
      <c r="W8234">
        <f t="shared" si="515"/>
        <v>0</v>
      </c>
    </row>
    <row r="8235" spans="5:23" x14ac:dyDescent="0.25">
      <c r="E8235" s="4"/>
      <c r="F8235" s="4"/>
      <c r="G8235" s="33" t="str">
        <f>IFERROR(VLOOKUP($D8235,'Informations sur les produits'!$A$3:$H$10000,8,FALSE),"0")</f>
        <v>0</v>
      </c>
      <c r="K8235" s="4"/>
      <c r="L8235" s="33" t="str">
        <f>IFERROR(VLOOKUP($J8235,'Informations sur les produits'!$A$3:$H$10000,8,FALSE),"0")</f>
        <v>0</v>
      </c>
      <c r="N8235" s="8"/>
      <c r="O8235" s="33" t="str">
        <f>IFERROR(VLOOKUP($M8235,'Informations sur les produits'!$A$3:$H$10000,8,FALSE),"0")</f>
        <v>0</v>
      </c>
      <c r="P8235" s="33">
        <f t="shared" si="512"/>
        <v>0</v>
      </c>
      <c r="Q8235" s="31" t="str">
        <f t="shared" si="513"/>
        <v/>
      </c>
      <c r="R8235" s="32" t="str">
        <f>IFERROR(VLOOKUP($D8235,'Informations sur les produits'!$A$3:$B$15000,2,FALSE),"")</f>
        <v/>
      </c>
      <c r="V8235">
        <f t="shared" si="514"/>
        <v>0</v>
      </c>
      <c r="W8235">
        <f t="shared" si="515"/>
        <v>0</v>
      </c>
    </row>
    <row r="8236" spans="5:23" x14ac:dyDescent="0.25">
      <c r="E8236" s="4"/>
      <c r="F8236" s="4"/>
      <c r="G8236" s="33" t="str">
        <f>IFERROR(VLOOKUP($D8236,'Informations sur les produits'!$A$3:$H$10000,8,FALSE),"0")</f>
        <v>0</v>
      </c>
      <c r="K8236" s="4"/>
      <c r="L8236" s="33" t="str">
        <f>IFERROR(VLOOKUP($J8236,'Informations sur les produits'!$A$3:$H$10000,8,FALSE),"0")</f>
        <v>0</v>
      </c>
      <c r="N8236" s="8"/>
      <c r="O8236" s="33" t="str">
        <f>IFERROR(VLOOKUP($M8236,'Informations sur les produits'!$A$3:$H$10000,8,FALSE),"0")</f>
        <v>0</v>
      </c>
      <c r="P8236" s="33">
        <f t="shared" si="512"/>
        <v>0</v>
      </c>
      <c r="Q8236" s="31" t="str">
        <f t="shared" si="513"/>
        <v/>
      </c>
      <c r="R8236" s="32" t="str">
        <f>IFERROR(VLOOKUP($D8236,'Informations sur les produits'!$A$3:$B$15000,2,FALSE),"")</f>
        <v/>
      </c>
      <c r="V8236">
        <f t="shared" si="514"/>
        <v>0</v>
      </c>
      <c r="W8236">
        <f t="shared" si="515"/>
        <v>0</v>
      </c>
    </row>
    <row r="8237" spans="5:23" x14ac:dyDescent="0.25">
      <c r="E8237" s="4"/>
      <c r="F8237" s="4"/>
      <c r="G8237" s="33" t="str">
        <f>IFERROR(VLOOKUP($D8237,'Informations sur les produits'!$A$3:$H$10000,8,FALSE),"0")</f>
        <v>0</v>
      </c>
      <c r="K8237" s="4"/>
      <c r="L8237" s="33" t="str">
        <f>IFERROR(VLOOKUP($J8237,'Informations sur les produits'!$A$3:$H$10000,8,FALSE),"0")</f>
        <v>0</v>
      </c>
      <c r="N8237" s="8"/>
      <c r="O8237" s="33" t="str">
        <f>IFERROR(VLOOKUP($M8237,'Informations sur les produits'!$A$3:$H$10000,8,FALSE),"0")</f>
        <v>0</v>
      </c>
      <c r="P8237" s="33">
        <f t="shared" si="512"/>
        <v>0</v>
      </c>
      <c r="Q8237" s="31" t="str">
        <f t="shared" si="513"/>
        <v/>
      </c>
      <c r="R8237" s="32" t="str">
        <f>IFERROR(VLOOKUP($D8237,'Informations sur les produits'!$A$3:$B$15000,2,FALSE),"")</f>
        <v/>
      </c>
      <c r="V8237">
        <f t="shared" si="514"/>
        <v>0</v>
      </c>
      <c r="W8237">
        <f t="shared" si="515"/>
        <v>0</v>
      </c>
    </row>
    <row r="8238" spans="5:23" x14ac:dyDescent="0.25">
      <c r="E8238" s="4"/>
      <c r="F8238" s="4"/>
      <c r="G8238" s="33" t="str">
        <f>IFERROR(VLOOKUP($D8238,'Informations sur les produits'!$A$3:$H$10000,8,FALSE),"0")</f>
        <v>0</v>
      </c>
      <c r="K8238" s="4"/>
      <c r="L8238" s="33" t="str">
        <f>IFERROR(VLOOKUP($J8238,'Informations sur les produits'!$A$3:$H$10000,8,FALSE),"0")</f>
        <v>0</v>
      </c>
      <c r="N8238" s="8"/>
      <c r="O8238" s="33" t="str">
        <f>IFERROR(VLOOKUP($M8238,'Informations sur les produits'!$A$3:$H$10000,8,FALSE),"0")</f>
        <v>0</v>
      </c>
      <c r="P8238" s="33">
        <f t="shared" si="512"/>
        <v>0</v>
      </c>
      <c r="Q8238" s="31" t="str">
        <f t="shared" si="513"/>
        <v/>
      </c>
      <c r="R8238" s="32" t="str">
        <f>IFERROR(VLOOKUP($D8238,'Informations sur les produits'!$A$3:$B$15000,2,FALSE),"")</f>
        <v/>
      </c>
      <c r="V8238">
        <f t="shared" si="514"/>
        <v>0</v>
      </c>
      <c r="W8238">
        <f t="shared" si="515"/>
        <v>0</v>
      </c>
    </row>
    <row r="8239" spans="5:23" x14ac:dyDescent="0.25">
      <c r="E8239" s="4"/>
      <c r="F8239" s="4"/>
      <c r="G8239" s="33" t="str">
        <f>IFERROR(VLOOKUP($D8239,'Informations sur les produits'!$A$3:$H$10000,8,FALSE),"0")</f>
        <v>0</v>
      </c>
      <c r="K8239" s="4"/>
      <c r="L8239" s="33" t="str">
        <f>IFERROR(VLOOKUP($J8239,'Informations sur les produits'!$A$3:$H$10000,8,FALSE),"0")</f>
        <v>0</v>
      </c>
      <c r="N8239" s="8"/>
      <c r="O8239" s="33" t="str">
        <f>IFERROR(VLOOKUP($M8239,'Informations sur les produits'!$A$3:$H$10000,8,FALSE),"0")</f>
        <v>0</v>
      </c>
      <c r="P8239" s="33">
        <f t="shared" si="512"/>
        <v>0</v>
      </c>
      <c r="Q8239" s="31" t="str">
        <f t="shared" si="513"/>
        <v/>
      </c>
      <c r="R8239" s="32" t="str">
        <f>IFERROR(VLOOKUP($D8239,'Informations sur les produits'!$A$3:$B$15000,2,FALSE),"")</f>
        <v/>
      </c>
      <c r="V8239">
        <f t="shared" si="514"/>
        <v>0</v>
      </c>
      <c r="W8239">
        <f t="shared" si="515"/>
        <v>0</v>
      </c>
    </row>
    <row r="8240" spans="5:23" x14ac:dyDescent="0.25">
      <c r="E8240" s="4"/>
      <c r="F8240" s="4"/>
      <c r="G8240" s="33" t="str">
        <f>IFERROR(VLOOKUP($D8240,'Informations sur les produits'!$A$3:$H$10000,8,FALSE),"0")</f>
        <v>0</v>
      </c>
      <c r="K8240" s="4"/>
      <c r="L8240" s="33" t="str">
        <f>IFERROR(VLOOKUP($J8240,'Informations sur les produits'!$A$3:$H$10000,8,FALSE),"0")</f>
        <v>0</v>
      </c>
      <c r="N8240" s="8"/>
      <c r="O8240" s="33" t="str">
        <f>IFERROR(VLOOKUP($M8240,'Informations sur les produits'!$A$3:$H$10000,8,FALSE),"0")</f>
        <v>0</v>
      </c>
      <c r="P8240" s="33">
        <f t="shared" si="512"/>
        <v>0</v>
      </c>
      <c r="Q8240" s="31" t="str">
        <f t="shared" si="513"/>
        <v/>
      </c>
      <c r="R8240" s="32" t="str">
        <f>IFERROR(VLOOKUP($D8240,'Informations sur les produits'!$A$3:$B$15000,2,FALSE),"")</f>
        <v/>
      </c>
      <c r="V8240">
        <f t="shared" si="514"/>
        <v>0</v>
      </c>
      <c r="W8240">
        <f t="shared" si="515"/>
        <v>0</v>
      </c>
    </row>
    <row r="8241" spans="5:23" x14ac:dyDescent="0.25">
      <c r="E8241" s="4"/>
      <c r="F8241" s="4"/>
      <c r="G8241" s="33" t="str">
        <f>IFERROR(VLOOKUP($D8241,'Informations sur les produits'!$A$3:$H$10000,8,FALSE),"0")</f>
        <v>0</v>
      </c>
      <c r="K8241" s="4"/>
      <c r="L8241" s="33" t="str">
        <f>IFERROR(VLOOKUP($J8241,'Informations sur les produits'!$A$3:$H$10000,8,FALSE),"0")</f>
        <v>0</v>
      </c>
      <c r="N8241" s="8"/>
      <c r="O8241" s="33" t="str">
        <f>IFERROR(VLOOKUP($M8241,'Informations sur les produits'!$A$3:$H$10000,8,FALSE),"0")</f>
        <v>0</v>
      </c>
      <c r="P8241" s="33">
        <f t="shared" si="512"/>
        <v>0</v>
      </c>
      <c r="Q8241" s="31" t="str">
        <f t="shared" si="513"/>
        <v/>
      </c>
      <c r="R8241" s="32" t="str">
        <f>IFERROR(VLOOKUP($D8241,'Informations sur les produits'!$A$3:$B$15000,2,FALSE),"")</f>
        <v/>
      </c>
      <c r="V8241">
        <f t="shared" si="514"/>
        <v>0</v>
      </c>
      <c r="W8241">
        <f t="shared" si="515"/>
        <v>0</v>
      </c>
    </row>
    <row r="8242" spans="5:23" x14ac:dyDescent="0.25">
      <c r="E8242" s="4"/>
      <c r="F8242" s="4"/>
      <c r="G8242" s="33" t="str">
        <f>IFERROR(VLOOKUP($D8242,'Informations sur les produits'!$A$3:$H$10000,8,FALSE),"0")</f>
        <v>0</v>
      </c>
      <c r="K8242" s="4"/>
      <c r="L8242" s="33" t="str">
        <f>IFERROR(VLOOKUP($J8242,'Informations sur les produits'!$A$3:$H$10000,8,FALSE),"0")</f>
        <v>0</v>
      </c>
      <c r="N8242" s="8"/>
      <c r="O8242" s="33" t="str">
        <f>IFERROR(VLOOKUP($M8242,'Informations sur les produits'!$A$3:$H$10000,8,FALSE),"0")</f>
        <v>0</v>
      </c>
      <c r="P8242" s="33">
        <f t="shared" si="512"/>
        <v>0</v>
      </c>
      <c r="Q8242" s="31" t="str">
        <f t="shared" si="513"/>
        <v/>
      </c>
      <c r="R8242" s="32" t="str">
        <f>IFERROR(VLOOKUP($D8242,'Informations sur les produits'!$A$3:$B$15000,2,FALSE),"")</f>
        <v/>
      </c>
      <c r="V8242">
        <f t="shared" si="514"/>
        <v>0</v>
      </c>
      <c r="W8242">
        <f t="shared" si="515"/>
        <v>0</v>
      </c>
    </row>
    <row r="8243" spans="5:23" x14ac:dyDescent="0.25">
      <c r="E8243" s="4"/>
      <c r="F8243" s="4"/>
      <c r="G8243" s="33" t="str">
        <f>IFERROR(VLOOKUP($D8243,'Informations sur les produits'!$A$3:$H$10000,8,FALSE),"0")</f>
        <v>0</v>
      </c>
      <c r="K8243" s="4"/>
      <c r="L8243" s="33" t="str">
        <f>IFERROR(VLOOKUP($J8243,'Informations sur les produits'!$A$3:$H$10000,8,FALSE),"0")</f>
        <v>0</v>
      </c>
      <c r="N8243" s="8"/>
      <c r="O8243" s="33" t="str">
        <f>IFERROR(VLOOKUP($M8243,'Informations sur les produits'!$A$3:$H$10000,8,FALSE),"0")</f>
        <v>0</v>
      </c>
      <c r="P8243" s="33">
        <f t="shared" si="512"/>
        <v>0</v>
      </c>
      <c r="Q8243" s="31" t="str">
        <f t="shared" si="513"/>
        <v/>
      </c>
      <c r="R8243" s="32" t="str">
        <f>IFERROR(VLOOKUP($D8243,'Informations sur les produits'!$A$3:$B$15000,2,FALSE),"")</f>
        <v/>
      </c>
      <c r="V8243">
        <f t="shared" si="514"/>
        <v>0</v>
      </c>
      <c r="W8243">
        <f t="shared" si="515"/>
        <v>0</v>
      </c>
    </row>
    <row r="8244" spans="5:23" x14ac:dyDescent="0.25">
      <c r="E8244" s="4"/>
      <c r="F8244" s="4"/>
      <c r="G8244" s="33" t="str">
        <f>IFERROR(VLOOKUP($D8244,'Informations sur les produits'!$A$3:$H$10000,8,FALSE),"0")</f>
        <v>0</v>
      </c>
      <c r="K8244" s="4"/>
      <c r="L8244" s="33" t="str">
        <f>IFERROR(VLOOKUP($J8244,'Informations sur les produits'!$A$3:$H$10000,8,FALSE),"0")</f>
        <v>0</v>
      </c>
      <c r="N8244" s="8"/>
      <c r="O8244" s="33" t="str">
        <f>IFERROR(VLOOKUP($M8244,'Informations sur les produits'!$A$3:$H$10000,8,FALSE),"0")</f>
        <v>0</v>
      </c>
      <c r="P8244" s="33">
        <f t="shared" si="512"/>
        <v>0</v>
      </c>
      <c r="Q8244" s="31" t="str">
        <f t="shared" si="513"/>
        <v/>
      </c>
      <c r="R8244" s="32" t="str">
        <f>IFERROR(VLOOKUP($D8244,'Informations sur les produits'!$A$3:$B$15000,2,FALSE),"")</f>
        <v/>
      </c>
      <c r="V8244">
        <f t="shared" si="514"/>
        <v>0</v>
      </c>
      <c r="W8244">
        <f t="shared" si="515"/>
        <v>0</v>
      </c>
    </row>
    <row r="8245" spans="5:23" x14ac:dyDescent="0.25">
      <c r="E8245" s="4"/>
      <c r="F8245" s="4"/>
      <c r="G8245" s="33" t="str">
        <f>IFERROR(VLOOKUP($D8245,'Informations sur les produits'!$A$3:$H$10000,8,FALSE),"0")</f>
        <v>0</v>
      </c>
      <c r="K8245" s="4"/>
      <c r="L8245" s="33" t="str">
        <f>IFERROR(VLOOKUP($J8245,'Informations sur les produits'!$A$3:$H$10000,8,FALSE),"0")</f>
        <v>0</v>
      </c>
      <c r="N8245" s="8"/>
      <c r="O8245" s="33" t="str">
        <f>IFERROR(VLOOKUP($M8245,'Informations sur les produits'!$A$3:$H$10000,8,FALSE),"0")</f>
        <v>0</v>
      </c>
      <c r="P8245" s="33">
        <f t="shared" si="512"/>
        <v>0</v>
      </c>
      <c r="Q8245" s="31" t="str">
        <f t="shared" si="513"/>
        <v/>
      </c>
      <c r="R8245" s="32" t="str">
        <f>IFERROR(VLOOKUP($D8245,'Informations sur les produits'!$A$3:$B$15000,2,FALSE),"")</f>
        <v/>
      </c>
      <c r="V8245">
        <f t="shared" si="514"/>
        <v>0</v>
      </c>
      <c r="W8245">
        <f t="shared" si="515"/>
        <v>0</v>
      </c>
    </row>
    <row r="8246" spans="5:23" x14ac:dyDescent="0.25">
      <c r="E8246" s="4"/>
      <c r="F8246" s="4"/>
      <c r="G8246" s="33" t="str">
        <f>IFERROR(VLOOKUP($D8246,'Informations sur les produits'!$A$3:$H$10000,8,FALSE),"0")</f>
        <v>0</v>
      </c>
      <c r="K8246" s="4"/>
      <c r="L8246" s="33" t="str">
        <f>IFERROR(VLOOKUP($J8246,'Informations sur les produits'!$A$3:$H$10000,8,FALSE),"0")</f>
        <v>0</v>
      </c>
      <c r="N8246" s="8"/>
      <c r="O8246" s="33" t="str">
        <f>IFERROR(VLOOKUP($M8246,'Informations sur les produits'!$A$3:$H$10000,8,FALSE),"0")</f>
        <v>0</v>
      </c>
      <c r="P8246" s="33">
        <f t="shared" si="512"/>
        <v>0</v>
      </c>
      <c r="Q8246" s="31" t="str">
        <f t="shared" si="513"/>
        <v/>
      </c>
      <c r="R8246" s="32" t="str">
        <f>IFERROR(VLOOKUP($D8246,'Informations sur les produits'!$A$3:$B$15000,2,FALSE),"")</f>
        <v/>
      </c>
      <c r="V8246">
        <f t="shared" si="514"/>
        <v>0</v>
      </c>
      <c r="W8246">
        <f t="shared" si="515"/>
        <v>0</v>
      </c>
    </row>
    <row r="8247" spans="5:23" x14ac:dyDescent="0.25">
      <c r="E8247" s="4"/>
      <c r="F8247" s="4"/>
      <c r="G8247" s="33" t="str">
        <f>IFERROR(VLOOKUP($D8247,'Informations sur les produits'!$A$3:$H$10000,8,FALSE),"0")</f>
        <v>0</v>
      </c>
      <c r="K8247" s="4"/>
      <c r="L8247" s="33" t="str">
        <f>IFERROR(VLOOKUP($J8247,'Informations sur les produits'!$A$3:$H$10000,8,FALSE),"0")</f>
        <v>0</v>
      </c>
      <c r="N8247" s="8"/>
      <c r="O8247" s="33" t="str">
        <f>IFERROR(VLOOKUP($M8247,'Informations sur les produits'!$A$3:$H$10000,8,FALSE),"0")</f>
        <v>0</v>
      </c>
      <c r="P8247" s="33">
        <f t="shared" si="512"/>
        <v>0</v>
      </c>
      <c r="Q8247" s="31" t="str">
        <f t="shared" si="513"/>
        <v/>
      </c>
      <c r="R8247" s="32" t="str">
        <f>IFERROR(VLOOKUP($D8247,'Informations sur les produits'!$A$3:$B$15000,2,FALSE),"")</f>
        <v/>
      </c>
      <c r="V8247">
        <f t="shared" si="514"/>
        <v>0</v>
      </c>
      <c r="W8247">
        <f t="shared" si="515"/>
        <v>0</v>
      </c>
    </row>
    <row r="8248" spans="5:23" x14ac:dyDescent="0.25">
      <c r="E8248" s="4"/>
      <c r="F8248" s="4"/>
      <c r="G8248" s="33" t="str">
        <f>IFERROR(VLOOKUP($D8248,'Informations sur les produits'!$A$3:$H$10000,8,FALSE),"0")</f>
        <v>0</v>
      </c>
      <c r="K8248" s="4"/>
      <c r="L8248" s="33" t="str">
        <f>IFERROR(VLOOKUP($J8248,'Informations sur les produits'!$A$3:$H$10000,8,FALSE),"0")</f>
        <v>0</v>
      </c>
      <c r="N8248" s="8"/>
      <c r="O8248" s="33" t="str">
        <f>IFERROR(VLOOKUP($M8248,'Informations sur les produits'!$A$3:$H$10000,8,FALSE),"0")</f>
        <v>0</v>
      </c>
      <c r="P8248" s="33">
        <f t="shared" si="512"/>
        <v>0</v>
      </c>
      <c r="Q8248" s="31" t="str">
        <f t="shared" si="513"/>
        <v/>
      </c>
      <c r="R8248" s="32" t="str">
        <f>IFERROR(VLOOKUP($D8248,'Informations sur les produits'!$A$3:$B$15000,2,FALSE),"")</f>
        <v/>
      </c>
      <c r="V8248">
        <f t="shared" si="514"/>
        <v>0</v>
      </c>
      <c r="W8248">
        <f t="shared" si="515"/>
        <v>0</v>
      </c>
    </row>
    <row r="8249" spans="5:23" x14ac:dyDescent="0.25">
      <c r="E8249" s="4"/>
      <c r="F8249" s="4"/>
      <c r="G8249" s="33" t="str">
        <f>IFERROR(VLOOKUP($D8249,'Informations sur les produits'!$A$3:$H$10000,8,FALSE),"0")</f>
        <v>0</v>
      </c>
      <c r="K8249" s="4"/>
      <c r="L8249" s="33" t="str">
        <f>IFERROR(VLOOKUP($J8249,'Informations sur les produits'!$A$3:$H$10000,8,FALSE),"0")</f>
        <v>0</v>
      </c>
      <c r="N8249" s="8"/>
      <c r="O8249" s="33" t="str">
        <f>IFERROR(VLOOKUP($M8249,'Informations sur les produits'!$A$3:$H$10000,8,FALSE),"0")</f>
        <v>0</v>
      </c>
      <c r="P8249" s="33">
        <f t="shared" si="512"/>
        <v>0</v>
      </c>
      <c r="Q8249" s="31" t="str">
        <f t="shared" si="513"/>
        <v/>
      </c>
      <c r="R8249" s="32" t="str">
        <f>IFERROR(VLOOKUP($D8249,'Informations sur les produits'!$A$3:$B$15000,2,FALSE),"")</f>
        <v/>
      </c>
      <c r="V8249">
        <f t="shared" si="514"/>
        <v>0</v>
      </c>
      <c r="W8249">
        <f t="shared" si="515"/>
        <v>0</v>
      </c>
    </row>
    <row r="8250" spans="5:23" x14ac:dyDescent="0.25">
      <c r="E8250" s="4"/>
      <c r="F8250" s="4"/>
      <c r="G8250" s="33" t="str">
        <f>IFERROR(VLOOKUP($D8250,'Informations sur les produits'!$A$3:$H$10000,8,FALSE),"0")</f>
        <v>0</v>
      </c>
      <c r="K8250" s="4"/>
      <c r="L8250" s="33" t="str">
        <f>IFERROR(VLOOKUP($J8250,'Informations sur les produits'!$A$3:$H$10000,8,FALSE),"0")</f>
        <v>0</v>
      </c>
      <c r="N8250" s="8"/>
      <c r="O8250" s="33" t="str">
        <f>IFERROR(VLOOKUP($M8250,'Informations sur les produits'!$A$3:$H$10000,8,FALSE),"0")</f>
        <v>0</v>
      </c>
      <c r="P8250" s="33">
        <f t="shared" si="512"/>
        <v>0</v>
      </c>
      <c r="Q8250" s="31" t="str">
        <f t="shared" si="513"/>
        <v/>
      </c>
      <c r="R8250" s="32" t="str">
        <f>IFERROR(VLOOKUP($D8250,'Informations sur les produits'!$A$3:$B$15000,2,FALSE),"")</f>
        <v/>
      </c>
      <c r="V8250">
        <f t="shared" si="514"/>
        <v>0</v>
      </c>
      <c r="W8250">
        <f t="shared" si="515"/>
        <v>0</v>
      </c>
    </row>
    <row r="8251" spans="5:23" x14ac:dyDescent="0.25">
      <c r="E8251" s="4"/>
      <c r="F8251" s="4"/>
      <c r="G8251" s="33" t="str">
        <f>IFERROR(VLOOKUP($D8251,'Informations sur les produits'!$A$3:$H$10000,8,FALSE),"0")</f>
        <v>0</v>
      </c>
      <c r="K8251" s="4"/>
      <c r="L8251" s="33" t="str">
        <f>IFERROR(VLOOKUP($J8251,'Informations sur les produits'!$A$3:$H$10000,8,FALSE),"0")</f>
        <v>0</v>
      </c>
      <c r="N8251" s="8"/>
      <c r="O8251" s="33" t="str">
        <f>IFERROR(VLOOKUP($M8251,'Informations sur les produits'!$A$3:$H$10000,8,FALSE),"0")</f>
        <v>0</v>
      </c>
      <c r="P8251" s="33">
        <f t="shared" si="512"/>
        <v>0</v>
      </c>
      <c r="Q8251" s="31" t="str">
        <f t="shared" si="513"/>
        <v/>
      </c>
      <c r="R8251" s="32" t="str">
        <f>IFERROR(VLOOKUP($D8251,'Informations sur les produits'!$A$3:$B$15000,2,FALSE),"")</f>
        <v/>
      </c>
      <c r="V8251">
        <f t="shared" si="514"/>
        <v>0</v>
      </c>
      <c r="W8251">
        <f t="shared" si="515"/>
        <v>0</v>
      </c>
    </row>
    <row r="8252" spans="5:23" x14ac:dyDescent="0.25">
      <c r="E8252" s="4"/>
      <c r="F8252" s="4"/>
      <c r="G8252" s="33" t="str">
        <f>IFERROR(VLOOKUP($D8252,'Informations sur les produits'!$A$3:$H$10000,8,FALSE),"0")</f>
        <v>0</v>
      </c>
      <c r="K8252" s="4"/>
      <c r="L8252" s="33" t="str">
        <f>IFERROR(VLOOKUP($J8252,'Informations sur les produits'!$A$3:$H$10000,8,FALSE),"0")</f>
        <v>0</v>
      </c>
      <c r="N8252" s="8"/>
      <c r="O8252" s="33" t="str">
        <f>IFERROR(VLOOKUP($M8252,'Informations sur les produits'!$A$3:$H$10000,8,FALSE),"0")</f>
        <v>0</v>
      </c>
      <c r="P8252" s="33">
        <f t="shared" si="512"/>
        <v>0</v>
      </c>
      <c r="Q8252" s="31" t="str">
        <f t="shared" si="513"/>
        <v/>
      </c>
      <c r="R8252" s="32" t="str">
        <f>IFERROR(VLOOKUP($D8252,'Informations sur les produits'!$A$3:$B$15000,2,FALSE),"")</f>
        <v/>
      </c>
      <c r="V8252">
        <f t="shared" si="514"/>
        <v>0</v>
      </c>
      <c r="W8252">
        <f t="shared" si="515"/>
        <v>0</v>
      </c>
    </row>
    <row r="8253" spans="5:23" x14ac:dyDescent="0.25">
      <c r="E8253" s="4"/>
      <c r="F8253" s="4"/>
      <c r="G8253" s="33" t="str">
        <f>IFERROR(VLOOKUP($D8253,'Informations sur les produits'!$A$3:$H$10000,8,FALSE),"0")</f>
        <v>0</v>
      </c>
      <c r="K8253" s="4"/>
      <c r="L8253" s="33" t="str">
        <f>IFERROR(VLOOKUP($J8253,'Informations sur les produits'!$A$3:$H$10000,8,FALSE),"0")</f>
        <v>0</v>
      </c>
      <c r="N8253" s="8"/>
      <c r="O8253" s="33" t="str">
        <f>IFERROR(VLOOKUP($M8253,'Informations sur les produits'!$A$3:$H$10000,8,FALSE),"0")</f>
        <v>0</v>
      </c>
      <c r="P8253" s="33">
        <f t="shared" si="512"/>
        <v>0</v>
      </c>
      <c r="Q8253" s="31" t="str">
        <f t="shared" si="513"/>
        <v/>
      </c>
      <c r="R8253" s="32" t="str">
        <f>IFERROR(VLOOKUP($D8253,'Informations sur les produits'!$A$3:$B$15000,2,FALSE),"")</f>
        <v/>
      </c>
      <c r="V8253">
        <f t="shared" si="514"/>
        <v>0</v>
      </c>
      <c r="W8253">
        <f t="shared" si="515"/>
        <v>0</v>
      </c>
    </row>
    <row r="8254" spans="5:23" x14ac:dyDescent="0.25">
      <c r="E8254" s="4"/>
      <c r="F8254" s="4"/>
      <c r="G8254" s="33" t="str">
        <f>IFERROR(VLOOKUP($D8254,'Informations sur les produits'!$A$3:$H$10000,8,FALSE),"0")</f>
        <v>0</v>
      </c>
      <c r="K8254" s="4"/>
      <c r="L8254" s="33" t="str">
        <f>IFERROR(VLOOKUP($J8254,'Informations sur les produits'!$A$3:$H$10000,8,FALSE),"0")</f>
        <v>0</v>
      </c>
      <c r="N8254" s="8"/>
      <c r="O8254" s="33" t="str">
        <f>IFERROR(VLOOKUP($M8254,'Informations sur les produits'!$A$3:$H$10000,8,FALSE),"0")</f>
        <v>0</v>
      </c>
      <c r="P8254" s="33">
        <f t="shared" si="512"/>
        <v>0</v>
      </c>
      <c r="Q8254" s="31" t="str">
        <f t="shared" si="513"/>
        <v/>
      </c>
      <c r="R8254" s="32" t="str">
        <f>IFERROR(VLOOKUP($D8254,'Informations sur les produits'!$A$3:$B$15000,2,FALSE),"")</f>
        <v/>
      </c>
      <c r="V8254">
        <f t="shared" si="514"/>
        <v>0</v>
      </c>
      <c r="W8254">
        <f t="shared" si="515"/>
        <v>0</v>
      </c>
    </row>
    <row r="8255" spans="5:23" x14ac:dyDescent="0.25">
      <c r="E8255" s="4"/>
      <c r="F8255" s="4"/>
      <c r="G8255" s="33" t="str">
        <f>IFERROR(VLOOKUP($D8255,'Informations sur les produits'!$A$3:$H$10000,8,FALSE),"0")</f>
        <v>0</v>
      </c>
      <c r="K8255" s="4"/>
      <c r="L8255" s="33" t="str">
        <f>IFERROR(VLOOKUP($J8255,'Informations sur les produits'!$A$3:$H$10000,8,FALSE),"0")</f>
        <v>0</v>
      </c>
      <c r="N8255" s="8"/>
      <c r="O8255" s="33" t="str">
        <f>IFERROR(VLOOKUP($M8255,'Informations sur les produits'!$A$3:$H$10000,8,FALSE),"0")</f>
        <v>0</v>
      </c>
      <c r="P8255" s="33">
        <f t="shared" si="512"/>
        <v>0</v>
      </c>
      <c r="Q8255" s="31" t="str">
        <f t="shared" si="513"/>
        <v/>
      </c>
      <c r="R8255" s="32" t="str">
        <f>IFERROR(VLOOKUP($D8255,'Informations sur les produits'!$A$3:$B$15000,2,FALSE),"")</f>
        <v/>
      </c>
      <c r="V8255">
        <f t="shared" si="514"/>
        <v>0</v>
      </c>
      <c r="W8255">
        <f t="shared" si="515"/>
        <v>0</v>
      </c>
    </row>
    <row r="8256" spans="5:23" x14ac:dyDescent="0.25">
      <c r="E8256" s="4"/>
      <c r="F8256" s="4"/>
      <c r="G8256" s="33" t="str">
        <f>IFERROR(VLOOKUP($D8256,'Informations sur les produits'!$A$3:$H$10000,8,FALSE),"0")</f>
        <v>0</v>
      </c>
      <c r="K8256" s="4"/>
      <c r="L8256" s="33" t="str">
        <f>IFERROR(VLOOKUP($J8256,'Informations sur les produits'!$A$3:$H$10000,8,FALSE),"0")</f>
        <v>0</v>
      </c>
      <c r="N8256" s="8"/>
      <c r="O8256" s="33" t="str">
        <f>IFERROR(VLOOKUP($M8256,'Informations sur les produits'!$A$3:$H$10000,8,FALSE),"0")</f>
        <v>0</v>
      </c>
      <c r="P8256" s="33">
        <f t="shared" si="512"/>
        <v>0</v>
      </c>
      <c r="Q8256" s="31" t="str">
        <f t="shared" si="513"/>
        <v/>
      </c>
      <c r="R8256" s="32" t="str">
        <f>IFERROR(VLOOKUP($D8256,'Informations sur les produits'!$A$3:$B$15000,2,FALSE),"")</f>
        <v/>
      </c>
      <c r="V8256">
        <f t="shared" si="514"/>
        <v>0</v>
      </c>
      <c r="W8256">
        <f t="shared" si="515"/>
        <v>0</v>
      </c>
    </row>
    <row r="8257" spans="5:23" x14ac:dyDescent="0.25">
      <c r="E8257" s="4"/>
      <c r="F8257" s="4"/>
      <c r="G8257" s="33" t="str">
        <f>IFERROR(VLOOKUP($D8257,'Informations sur les produits'!$A$3:$H$10000,8,FALSE),"0")</f>
        <v>0</v>
      </c>
      <c r="K8257" s="4"/>
      <c r="L8257" s="33" t="str">
        <f>IFERROR(VLOOKUP($J8257,'Informations sur les produits'!$A$3:$H$10000,8,FALSE),"0")</f>
        <v>0</v>
      </c>
      <c r="N8257" s="8"/>
      <c r="O8257" s="33" t="str">
        <f>IFERROR(VLOOKUP($M8257,'Informations sur les produits'!$A$3:$H$10000,8,FALSE),"0")</f>
        <v>0</v>
      </c>
      <c r="P8257" s="33">
        <f t="shared" si="512"/>
        <v>0</v>
      </c>
      <c r="Q8257" s="31" t="str">
        <f t="shared" si="513"/>
        <v/>
      </c>
      <c r="R8257" s="32" t="str">
        <f>IFERROR(VLOOKUP($D8257,'Informations sur les produits'!$A$3:$B$15000,2,FALSE),"")</f>
        <v/>
      </c>
      <c r="V8257">
        <f t="shared" si="514"/>
        <v>0</v>
      </c>
      <c r="W8257">
        <f t="shared" si="515"/>
        <v>0</v>
      </c>
    </row>
    <row r="8258" spans="5:23" x14ac:dyDescent="0.25">
      <c r="E8258" s="4"/>
      <c r="F8258" s="4"/>
      <c r="G8258" s="33" t="str">
        <f>IFERROR(VLOOKUP($D8258,'Informations sur les produits'!$A$3:$H$10000,8,FALSE),"0")</f>
        <v>0</v>
      </c>
      <c r="K8258" s="4"/>
      <c r="L8258" s="33" t="str">
        <f>IFERROR(VLOOKUP($J8258,'Informations sur les produits'!$A$3:$H$10000,8,FALSE),"0")</f>
        <v>0</v>
      </c>
      <c r="N8258" s="8"/>
      <c r="O8258" s="33" t="str">
        <f>IFERROR(VLOOKUP($M8258,'Informations sur les produits'!$A$3:$H$10000,8,FALSE),"0")</f>
        <v>0</v>
      </c>
      <c r="P8258" s="33">
        <f t="shared" si="512"/>
        <v>0</v>
      </c>
      <c r="Q8258" s="31" t="str">
        <f t="shared" si="513"/>
        <v/>
      </c>
      <c r="R8258" s="32" t="str">
        <f>IFERROR(VLOOKUP($D8258,'Informations sur les produits'!$A$3:$B$15000,2,FALSE),"")</f>
        <v/>
      </c>
      <c r="V8258">
        <f t="shared" si="514"/>
        <v>0</v>
      </c>
      <c r="W8258">
        <f t="shared" si="515"/>
        <v>0</v>
      </c>
    </row>
    <row r="8259" spans="5:23" x14ac:dyDescent="0.25">
      <c r="E8259" s="4"/>
      <c r="F8259" s="4"/>
      <c r="G8259" s="33" t="str">
        <f>IFERROR(VLOOKUP($D8259,'Informations sur les produits'!$A$3:$H$10000,8,FALSE),"0")</f>
        <v>0</v>
      </c>
      <c r="K8259" s="4"/>
      <c r="L8259" s="33" t="str">
        <f>IFERROR(VLOOKUP($J8259,'Informations sur les produits'!$A$3:$H$10000,8,FALSE),"0")</f>
        <v>0</v>
      </c>
      <c r="N8259" s="8"/>
      <c r="O8259" s="33" t="str">
        <f>IFERROR(VLOOKUP($M8259,'Informations sur les produits'!$A$3:$H$10000,8,FALSE),"0")</f>
        <v>0</v>
      </c>
      <c r="P8259" s="33">
        <f t="shared" si="512"/>
        <v>0</v>
      </c>
      <c r="Q8259" s="31" t="str">
        <f t="shared" si="513"/>
        <v/>
      </c>
      <c r="R8259" s="32" t="str">
        <f>IFERROR(VLOOKUP($D8259,'Informations sur les produits'!$A$3:$B$15000,2,FALSE),"")</f>
        <v/>
      </c>
      <c r="V8259">
        <f t="shared" si="514"/>
        <v>0</v>
      </c>
      <c r="W8259">
        <f t="shared" si="515"/>
        <v>0</v>
      </c>
    </row>
    <row r="8260" spans="5:23" x14ac:dyDescent="0.25">
      <c r="E8260" s="4"/>
      <c r="F8260" s="4"/>
      <c r="G8260" s="33" t="str">
        <f>IFERROR(VLOOKUP($D8260,'Informations sur les produits'!$A$3:$H$10000,8,FALSE),"0")</f>
        <v>0</v>
      </c>
      <c r="K8260" s="4"/>
      <c r="L8260" s="33" t="str">
        <f>IFERROR(VLOOKUP($J8260,'Informations sur les produits'!$A$3:$H$10000,8,FALSE),"0")</f>
        <v>0</v>
      </c>
      <c r="N8260" s="8"/>
      <c r="O8260" s="33" t="str">
        <f>IFERROR(VLOOKUP($M8260,'Informations sur les produits'!$A$3:$H$10000,8,FALSE),"0")</f>
        <v>0</v>
      </c>
      <c r="P8260" s="33">
        <f t="shared" ref="P8260:P8323" si="516">IFERROR((($E8260-$F8260)*$G8260+$K8260*$L8260+$N8260*$O8260),"")</f>
        <v>0</v>
      </c>
      <c r="Q8260" s="31" t="str">
        <f t="shared" ref="Q8260:Q8323" si="517">IFERROR((((($E8260-$F8260)*$G8260+$K8260*$L8260+$N8260*$O8260)*1000)/(($E8260-$F8260)+$K8260+$N8260)),"")</f>
        <v/>
      </c>
      <c r="R8260" s="32" t="str">
        <f>IFERROR(VLOOKUP($D8260,'Informations sur les produits'!$A$3:$B$15000,2,FALSE),"")</f>
        <v/>
      </c>
      <c r="V8260">
        <f t="shared" ref="V8260:V8323" si="518">IFERROR(P8260*1000,"")</f>
        <v>0</v>
      </c>
      <c r="W8260">
        <f t="shared" ref="W8260:W8323" si="519">IFERROR(($E8260-$F8260)+$K8260+$N8260,"")</f>
        <v>0</v>
      </c>
    </row>
    <row r="8261" spans="5:23" x14ac:dyDescent="0.25">
      <c r="E8261" s="4"/>
      <c r="F8261" s="4"/>
      <c r="G8261" s="33" t="str">
        <f>IFERROR(VLOOKUP($D8261,'Informations sur les produits'!$A$3:$H$10000,8,FALSE),"0")</f>
        <v>0</v>
      </c>
      <c r="K8261" s="4"/>
      <c r="L8261" s="33" t="str">
        <f>IFERROR(VLOOKUP($J8261,'Informations sur les produits'!$A$3:$H$10000,8,FALSE),"0")</f>
        <v>0</v>
      </c>
      <c r="N8261" s="8"/>
      <c r="O8261" s="33" t="str">
        <f>IFERROR(VLOOKUP($M8261,'Informations sur les produits'!$A$3:$H$10000,8,FALSE),"0")</f>
        <v>0</v>
      </c>
      <c r="P8261" s="33">
        <f t="shared" si="516"/>
        <v>0</v>
      </c>
      <c r="Q8261" s="31" t="str">
        <f t="shared" si="517"/>
        <v/>
      </c>
      <c r="R8261" s="32" t="str">
        <f>IFERROR(VLOOKUP($D8261,'Informations sur les produits'!$A$3:$B$15000,2,FALSE),"")</f>
        <v/>
      </c>
      <c r="V8261">
        <f t="shared" si="518"/>
        <v>0</v>
      </c>
      <c r="W8261">
        <f t="shared" si="519"/>
        <v>0</v>
      </c>
    </row>
    <row r="8262" spans="5:23" x14ac:dyDescent="0.25">
      <c r="E8262" s="4"/>
      <c r="F8262" s="4"/>
      <c r="G8262" s="33" t="str">
        <f>IFERROR(VLOOKUP($D8262,'Informations sur les produits'!$A$3:$H$10000,8,FALSE),"0")</f>
        <v>0</v>
      </c>
      <c r="K8262" s="4"/>
      <c r="L8262" s="33" t="str">
        <f>IFERROR(VLOOKUP($J8262,'Informations sur les produits'!$A$3:$H$10000,8,FALSE),"0")</f>
        <v>0</v>
      </c>
      <c r="N8262" s="8"/>
      <c r="O8262" s="33" t="str">
        <f>IFERROR(VLOOKUP($M8262,'Informations sur les produits'!$A$3:$H$10000,8,FALSE),"0")</f>
        <v>0</v>
      </c>
      <c r="P8262" s="33">
        <f t="shared" si="516"/>
        <v>0</v>
      </c>
      <c r="Q8262" s="31" t="str">
        <f t="shared" si="517"/>
        <v/>
      </c>
      <c r="R8262" s="32" t="str">
        <f>IFERROR(VLOOKUP($D8262,'Informations sur les produits'!$A$3:$B$15000,2,FALSE),"")</f>
        <v/>
      </c>
      <c r="V8262">
        <f t="shared" si="518"/>
        <v>0</v>
      </c>
      <c r="W8262">
        <f t="shared" si="519"/>
        <v>0</v>
      </c>
    </row>
    <row r="8263" spans="5:23" x14ac:dyDescent="0.25">
      <c r="E8263" s="4"/>
      <c r="F8263" s="4"/>
      <c r="G8263" s="33" t="str">
        <f>IFERROR(VLOOKUP($D8263,'Informations sur les produits'!$A$3:$H$10000,8,FALSE),"0")</f>
        <v>0</v>
      </c>
      <c r="K8263" s="4"/>
      <c r="L8263" s="33" t="str">
        <f>IFERROR(VLOOKUP($J8263,'Informations sur les produits'!$A$3:$H$10000,8,FALSE),"0")</f>
        <v>0</v>
      </c>
      <c r="N8263" s="8"/>
      <c r="O8263" s="33" t="str">
        <f>IFERROR(VLOOKUP($M8263,'Informations sur les produits'!$A$3:$H$10000,8,FALSE),"0")</f>
        <v>0</v>
      </c>
      <c r="P8263" s="33">
        <f t="shared" si="516"/>
        <v>0</v>
      </c>
      <c r="Q8263" s="31" t="str">
        <f t="shared" si="517"/>
        <v/>
      </c>
      <c r="R8263" s="32" t="str">
        <f>IFERROR(VLOOKUP($D8263,'Informations sur les produits'!$A$3:$B$15000,2,FALSE),"")</f>
        <v/>
      </c>
      <c r="V8263">
        <f t="shared" si="518"/>
        <v>0</v>
      </c>
      <c r="W8263">
        <f t="shared" si="519"/>
        <v>0</v>
      </c>
    </row>
    <row r="8264" spans="5:23" x14ac:dyDescent="0.25">
      <c r="E8264" s="4"/>
      <c r="F8264" s="4"/>
      <c r="G8264" s="33" t="str">
        <f>IFERROR(VLOOKUP($D8264,'Informations sur les produits'!$A$3:$H$10000,8,FALSE),"0")</f>
        <v>0</v>
      </c>
      <c r="K8264" s="4"/>
      <c r="L8264" s="33" t="str">
        <f>IFERROR(VLOOKUP($J8264,'Informations sur les produits'!$A$3:$H$10000,8,FALSE),"0")</f>
        <v>0</v>
      </c>
      <c r="N8264" s="8"/>
      <c r="O8264" s="33" t="str">
        <f>IFERROR(VLOOKUP($M8264,'Informations sur les produits'!$A$3:$H$10000,8,FALSE),"0")</f>
        <v>0</v>
      </c>
      <c r="P8264" s="33">
        <f t="shared" si="516"/>
        <v>0</v>
      </c>
      <c r="Q8264" s="31" t="str">
        <f t="shared" si="517"/>
        <v/>
      </c>
      <c r="R8264" s="32" t="str">
        <f>IFERROR(VLOOKUP($D8264,'Informations sur les produits'!$A$3:$B$15000,2,FALSE),"")</f>
        <v/>
      </c>
      <c r="V8264">
        <f t="shared" si="518"/>
        <v>0</v>
      </c>
      <c r="W8264">
        <f t="shared" si="519"/>
        <v>0</v>
      </c>
    </row>
    <row r="8265" spans="5:23" x14ac:dyDescent="0.25">
      <c r="E8265" s="4"/>
      <c r="F8265" s="4"/>
      <c r="G8265" s="33" t="str">
        <f>IFERROR(VLOOKUP($D8265,'Informations sur les produits'!$A$3:$H$10000,8,FALSE),"0")</f>
        <v>0</v>
      </c>
      <c r="K8265" s="4"/>
      <c r="L8265" s="33" t="str">
        <f>IFERROR(VLOOKUP($J8265,'Informations sur les produits'!$A$3:$H$10000,8,FALSE),"0")</f>
        <v>0</v>
      </c>
      <c r="N8265" s="8"/>
      <c r="O8265" s="33" t="str">
        <f>IFERROR(VLOOKUP($M8265,'Informations sur les produits'!$A$3:$H$10000,8,FALSE),"0")</f>
        <v>0</v>
      </c>
      <c r="P8265" s="33">
        <f t="shared" si="516"/>
        <v>0</v>
      </c>
      <c r="Q8265" s="31" t="str">
        <f t="shared" si="517"/>
        <v/>
      </c>
      <c r="R8265" s="32" t="str">
        <f>IFERROR(VLOOKUP($D8265,'Informations sur les produits'!$A$3:$B$15000,2,FALSE),"")</f>
        <v/>
      </c>
      <c r="V8265">
        <f t="shared" si="518"/>
        <v>0</v>
      </c>
      <c r="W8265">
        <f t="shared" si="519"/>
        <v>0</v>
      </c>
    </row>
    <row r="8266" spans="5:23" x14ac:dyDescent="0.25">
      <c r="E8266" s="4"/>
      <c r="F8266" s="4"/>
      <c r="G8266" s="33" t="str">
        <f>IFERROR(VLOOKUP($D8266,'Informations sur les produits'!$A$3:$H$10000,8,FALSE),"0")</f>
        <v>0</v>
      </c>
      <c r="K8266" s="4"/>
      <c r="L8266" s="33" t="str">
        <f>IFERROR(VLOOKUP($J8266,'Informations sur les produits'!$A$3:$H$10000,8,FALSE),"0")</f>
        <v>0</v>
      </c>
      <c r="N8266" s="8"/>
      <c r="O8266" s="33" t="str">
        <f>IFERROR(VLOOKUP($M8266,'Informations sur les produits'!$A$3:$H$10000,8,FALSE),"0")</f>
        <v>0</v>
      </c>
      <c r="P8266" s="33">
        <f t="shared" si="516"/>
        <v>0</v>
      </c>
      <c r="Q8266" s="31" t="str">
        <f t="shared" si="517"/>
        <v/>
      </c>
      <c r="R8266" s="32" t="str">
        <f>IFERROR(VLOOKUP($D8266,'Informations sur les produits'!$A$3:$B$15000,2,FALSE),"")</f>
        <v/>
      </c>
      <c r="V8266">
        <f t="shared" si="518"/>
        <v>0</v>
      </c>
      <c r="W8266">
        <f t="shared" si="519"/>
        <v>0</v>
      </c>
    </row>
    <row r="8267" spans="5:23" x14ac:dyDescent="0.25">
      <c r="E8267" s="4"/>
      <c r="F8267" s="4"/>
      <c r="G8267" s="33" t="str">
        <f>IFERROR(VLOOKUP($D8267,'Informations sur les produits'!$A$3:$H$10000,8,FALSE),"0")</f>
        <v>0</v>
      </c>
      <c r="K8267" s="4"/>
      <c r="L8267" s="33" t="str">
        <f>IFERROR(VLOOKUP($J8267,'Informations sur les produits'!$A$3:$H$10000,8,FALSE),"0")</f>
        <v>0</v>
      </c>
      <c r="N8267" s="8"/>
      <c r="O8267" s="33" t="str">
        <f>IFERROR(VLOOKUP($M8267,'Informations sur les produits'!$A$3:$H$10000,8,FALSE),"0")</f>
        <v>0</v>
      </c>
      <c r="P8267" s="33">
        <f t="shared" si="516"/>
        <v>0</v>
      </c>
      <c r="Q8267" s="31" t="str">
        <f t="shared" si="517"/>
        <v/>
      </c>
      <c r="R8267" s="32" t="str">
        <f>IFERROR(VLOOKUP($D8267,'Informations sur les produits'!$A$3:$B$15000,2,FALSE),"")</f>
        <v/>
      </c>
      <c r="V8267">
        <f t="shared" si="518"/>
        <v>0</v>
      </c>
      <c r="W8267">
        <f t="shared" si="519"/>
        <v>0</v>
      </c>
    </row>
    <row r="8268" spans="5:23" x14ac:dyDescent="0.25">
      <c r="E8268" s="4"/>
      <c r="F8268" s="4"/>
      <c r="G8268" s="33" t="str">
        <f>IFERROR(VLOOKUP($D8268,'Informations sur les produits'!$A$3:$H$10000,8,FALSE),"0")</f>
        <v>0</v>
      </c>
      <c r="K8268" s="4"/>
      <c r="L8268" s="33" t="str">
        <f>IFERROR(VLOOKUP($J8268,'Informations sur les produits'!$A$3:$H$10000,8,FALSE),"0")</f>
        <v>0</v>
      </c>
      <c r="N8268" s="8"/>
      <c r="O8268" s="33" t="str">
        <f>IFERROR(VLOOKUP($M8268,'Informations sur les produits'!$A$3:$H$10000,8,FALSE),"0")</f>
        <v>0</v>
      </c>
      <c r="P8268" s="33">
        <f t="shared" si="516"/>
        <v>0</v>
      </c>
      <c r="Q8268" s="31" t="str">
        <f t="shared" si="517"/>
        <v/>
      </c>
      <c r="R8268" s="32" t="str">
        <f>IFERROR(VLOOKUP($D8268,'Informations sur les produits'!$A$3:$B$15000,2,FALSE),"")</f>
        <v/>
      </c>
      <c r="V8268">
        <f t="shared" si="518"/>
        <v>0</v>
      </c>
      <c r="W8268">
        <f t="shared" si="519"/>
        <v>0</v>
      </c>
    </row>
    <row r="8269" spans="5:23" x14ac:dyDescent="0.25">
      <c r="E8269" s="4"/>
      <c r="F8269" s="4"/>
      <c r="G8269" s="33" t="str">
        <f>IFERROR(VLOOKUP($D8269,'Informations sur les produits'!$A$3:$H$10000,8,FALSE),"0")</f>
        <v>0</v>
      </c>
      <c r="K8269" s="4"/>
      <c r="L8269" s="33" t="str">
        <f>IFERROR(VLOOKUP($J8269,'Informations sur les produits'!$A$3:$H$10000,8,FALSE),"0")</f>
        <v>0</v>
      </c>
      <c r="N8269" s="8"/>
      <c r="O8269" s="33" t="str">
        <f>IFERROR(VLOOKUP($M8269,'Informations sur les produits'!$A$3:$H$10000,8,FALSE),"0")</f>
        <v>0</v>
      </c>
      <c r="P8269" s="33">
        <f t="shared" si="516"/>
        <v>0</v>
      </c>
      <c r="Q8269" s="31" t="str">
        <f t="shared" si="517"/>
        <v/>
      </c>
      <c r="R8269" s="32" t="str">
        <f>IFERROR(VLOOKUP($D8269,'Informations sur les produits'!$A$3:$B$15000,2,FALSE),"")</f>
        <v/>
      </c>
      <c r="V8269">
        <f t="shared" si="518"/>
        <v>0</v>
      </c>
      <c r="W8269">
        <f t="shared" si="519"/>
        <v>0</v>
      </c>
    </row>
    <row r="8270" spans="5:23" x14ac:dyDescent="0.25">
      <c r="E8270" s="4"/>
      <c r="F8270" s="4"/>
      <c r="G8270" s="33" t="str">
        <f>IFERROR(VLOOKUP($D8270,'Informations sur les produits'!$A$3:$H$10000,8,FALSE),"0")</f>
        <v>0</v>
      </c>
      <c r="K8270" s="4"/>
      <c r="L8270" s="33" t="str">
        <f>IFERROR(VLOOKUP($J8270,'Informations sur les produits'!$A$3:$H$10000,8,FALSE),"0")</f>
        <v>0</v>
      </c>
      <c r="N8270" s="8"/>
      <c r="O8270" s="33" t="str">
        <f>IFERROR(VLOOKUP($M8270,'Informations sur les produits'!$A$3:$H$10000,8,FALSE),"0")</f>
        <v>0</v>
      </c>
      <c r="P8270" s="33">
        <f t="shared" si="516"/>
        <v>0</v>
      </c>
      <c r="Q8270" s="31" t="str">
        <f t="shared" si="517"/>
        <v/>
      </c>
      <c r="R8270" s="32" t="str">
        <f>IFERROR(VLOOKUP($D8270,'Informations sur les produits'!$A$3:$B$15000,2,FALSE),"")</f>
        <v/>
      </c>
      <c r="V8270">
        <f t="shared" si="518"/>
        <v>0</v>
      </c>
      <c r="W8270">
        <f t="shared" si="519"/>
        <v>0</v>
      </c>
    </row>
    <row r="8271" spans="5:23" x14ac:dyDescent="0.25">
      <c r="E8271" s="4"/>
      <c r="F8271" s="4"/>
      <c r="G8271" s="33" t="str">
        <f>IFERROR(VLOOKUP($D8271,'Informations sur les produits'!$A$3:$H$10000,8,FALSE),"0")</f>
        <v>0</v>
      </c>
      <c r="K8271" s="4"/>
      <c r="L8271" s="33" t="str">
        <f>IFERROR(VLOOKUP($J8271,'Informations sur les produits'!$A$3:$H$10000,8,FALSE),"0")</f>
        <v>0</v>
      </c>
      <c r="N8271" s="8"/>
      <c r="O8271" s="33" t="str">
        <f>IFERROR(VLOOKUP($M8271,'Informations sur les produits'!$A$3:$H$10000,8,FALSE),"0")</f>
        <v>0</v>
      </c>
      <c r="P8271" s="33">
        <f t="shared" si="516"/>
        <v>0</v>
      </c>
      <c r="Q8271" s="31" t="str">
        <f t="shared" si="517"/>
        <v/>
      </c>
      <c r="R8271" s="32" t="str">
        <f>IFERROR(VLOOKUP($D8271,'Informations sur les produits'!$A$3:$B$15000,2,FALSE),"")</f>
        <v/>
      </c>
      <c r="V8271">
        <f t="shared" si="518"/>
        <v>0</v>
      </c>
      <c r="W8271">
        <f t="shared" si="519"/>
        <v>0</v>
      </c>
    </row>
    <row r="8272" spans="5:23" x14ac:dyDescent="0.25">
      <c r="E8272" s="4"/>
      <c r="F8272" s="4"/>
      <c r="G8272" s="33" t="str">
        <f>IFERROR(VLOOKUP($D8272,'Informations sur les produits'!$A$3:$H$10000,8,FALSE),"0")</f>
        <v>0</v>
      </c>
      <c r="K8272" s="4"/>
      <c r="L8272" s="33" t="str">
        <f>IFERROR(VLOOKUP($J8272,'Informations sur les produits'!$A$3:$H$10000,8,FALSE),"0")</f>
        <v>0</v>
      </c>
      <c r="N8272" s="8"/>
      <c r="O8272" s="33" t="str">
        <f>IFERROR(VLOOKUP($M8272,'Informations sur les produits'!$A$3:$H$10000,8,FALSE),"0")</f>
        <v>0</v>
      </c>
      <c r="P8272" s="33">
        <f t="shared" si="516"/>
        <v>0</v>
      </c>
      <c r="Q8272" s="31" t="str">
        <f t="shared" si="517"/>
        <v/>
      </c>
      <c r="R8272" s="32" t="str">
        <f>IFERROR(VLOOKUP($D8272,'Informations sur les produits'!$A$3:$B$15000,2,FALSE),"")</f>
        <v/>
      </c>
      <c r="V8272">
        <f t="shared" si="518"/>
        <v>0</v>
      </c>
      <c r="W8272">
        <f t="shared" si="519"/>
        <v>0</v>
      </c>
    </row>
    <row r="8273" spans="5:23" x14ac:dyDescent="0.25">
      <c r="E8273" s="4"/>
      <c r="F8273" s="4"/>
      <c r="G8273" s="33" t="str">
        <f>IFERROR(VLOOKUP($D8273,'Informations sur les produits'!$A$3:$H$10000,8,FALSE),"0")</f>
        <v>0</v>
      </c>
      <c r="K8273" s="4"/>
      <c r="L8273" s="33" t="str">
        <f>IFERROR(VLOOKUP($J8273,'Informations sur les produits'!$A$3:$H$10000,8,FALSE),"0")</f>
        <v>0</v>
      </c>
      <c r="N8273" s="8"/>
      <c r="O8273" s="33" t="str">
        <f>IFERROR(VLOOKUP($M8273,'Informations sur les produits'!$A$3:$H$10000,8,FALSE),"0")</f>
        <v>0</v>
      </c>
      <c r="P8273" s="33">
        <f t="shared" si="516"/>
        <v>0</v>
      </c>
      <c r="Q8273" s="31" t="str">
        <f t="shared" si="517"/>
        <v/>
      </c>
      <c r="R8273" s="32" t="str">
        <f>IFERROR(VLOOKUP($D8273,'Informations sur les produits'!$A$3:$B$15000,2,FALSE),"")</f>
        <v/>
      </c>
      <c r="V8273">
        <f t="shared" si="518"/>
        <v>0</v>
      </c>
      <c r="W8273">
        <f t="shared" si="519"/>
        <v>0</v>
      </c>
    </row>
    <row r="8274" spans="5:23" x14ac:dyDescent="0.25">
      <c r="E8274" s="4"/>
      <c r="F8274" s="4"/>
      <c r="G8274" s="33" t="str">
        <f>IFERROR(VLOOKUP($D8274,'Informations sur les produits'!$A$3:$H$10000,8,FALSE),"0")</f>
        <v>0</v>
      </c>
      <c r="K8274" s="4"/>
      <c r="L8274" s="33" t="str">
        <f>IFERROR(VLOOKUP($J8274,'Informations sur les produits'!$A$3:$H$10000,8,FALSE),"0")</f>
        <v>0</v>
      </c>
      <c r="N8274" s="8"/>
      <c r="O8274" s="33" t="str">
        <f>IFERROR(VLOOKUP($M8274,'Informations sur les produits'!$A$3:$H$10000,8,FALSE),"0")</f>
        <v>0</v>
      </c>
      <c r="P8274" s="33">
        <f t="shared" si="516"/>
        <v>0</v>
      </c>
      <c r="Q8274" s="31" t="str">
        <f t="shared" si="517"/>
        <v/>
      </c>
      <c r="R8274" s="32" t="str">
        <f>IFERROR(VLOOKUP($D8274,'Informations sur les produits'!$A$3:$B$15000,2,FALSE),"")</f>
        <v/>
      </c>
      <c r="V8274">
        <f t="shared" si="518"/>
        <v>0</v>
      </c>
      <c r="W8274">
        <f t="shared" si="519"/>
        <v>0</v>
      </c>
    </row>
    <row r="8275" spans="5:23" x14ac:dyDescent="0.25">
      <c r="E8275" s="4"/>
      <c r="F8275" s="4"/>
      <c r="G8275" s="33" t="str">
        <f>IFERROR(VLOOKUP($D8275,'Informations sur les produits'!$A$3:$H$10000,8,FALSE),"0")</f>
        <v>0</v>
      </c>
      <c r="K8275" s="4"/>
      <c r="L8275" s="33" t="str">
        <f>IFERROR(VLOOKUP($J8275,'Informations sur les produits'!$A$3:$H$10000,8,FALSE),"0")</f>
        <v>0</v>
      </c>
      <c r="N8275" s="8"/>
      <c r="O8275" s="33" t="str">
        <f>IFERROR(VLOOKUP($M8275,'Informations sur les produits'!$A$3:$H$10000,8,FALSE),"0")</f>
        <v>0</v>
      </c>
      <c r="P8275" s="33">
        <f t="shared" si="516"/>
        <v>0</v>
      </c>
      <c r="Q8275" s="31" t="str">
        <f t="shared" si="517"/>
        <v/>
      </c>
      <c r="R8275" s="32" t="str">
        <f>IFERROR(VLOOKUP($D8275,'Informations sur les produits'!$A$3:$B$15000,2,FALSE),"")</f>
        <v/>
      </c>
      <c r="V8275">
        <f t="shared" si="518"/>
        <v>0</v>
      </c>
      <c r="W8275">
        <f t="shared" si="519"/>
        <v>0</v>
      </c>
    </row>
    <row r="8276" spans="5:23" x14ac:dyDescent="0.25">
      <c r="E8276" s="4"/>
      <c r="F8276" s="4"/>
      <c r="G8276" s="33" t="str">
        <f>IFERROR(VLOOKUP($D8276,'Informations sur les produits'!$A$3:$H$10000,8,FALSE),"0")</f>
        <v>0</v>
      </c>
      <c r="K8276" s="4"/>
      <c r="L8276" s="33" t="str">
        <f>IFERROR(VLOOKUP($J8276,'Informations sur les produits'!$A$3:$H$10000,8,FALSE),"0")</f>
        <v>0</v>
      </c>
      <c r="N8276" s="8"/>
      <c r="O8276" s="33" t="str">
        <f>IFERROR(VLOOKUP($M8276,'Informations sur les produits'!$A$3:$H$10000,8,FALSE),"0")</f>
        <v>0</v>
      </c>
      <c r="P8276" s="33">
        <f t="shared" si="516"/>
        <v>0</v>
      </c>
      <c r="Q8276" s="31" t="str">
        <f t="shared" si="517"/>
        <v/>
      </c>
      <c r="R8276" s="32" t="str">
        <f>IFERROR(VLOOKUP($D8276,'Informations sur les produits'!$A$3:$B$15000,2,FALSE),"")</f>
        <v/>
      </c>
      <c r="V8276">
        <f t="shared" si="518"/>
        <v>0</v>
      </c>
      <c r="W8276">
        <f t="shared" si="519"/>
        <v>0</v>
      </c>
    </row>
    <row r="8277" spans="5:23" x14ac:dyDescent="0.25">
      <c r="E8277" s="4"/>
      <c r="F8277" s="4"/>
      <c r="G8277" s="33" t="str">
        <f>IFERROR(VLOOKUP($D8277,'Informations sur les produits'!$A$3:$H$10000,8,FALSE),"0")</f>
        <v>0</v>
      </c>
      <c r="K8277" s="4"/>
      <c r="L8277" s="33" t="str">
        <f>IFERROR(VLOOKUP($J8277,'Informations sur les produits'!$A$3:$H$10000,8,FALSE),"0")</f>
        <v>0</v>
      </c>
      <c r="N8277" s="8"/>
      <c r="O8277" s="33" t="str">
        <f>IFERROR(VLOOKUP($M8277,'Informations sur les produits'!$A$3:$H$10000,8,FALSE),"0")</f>
        <v>0</v>
      </c>
      <c r="P8277" s="33">
        <f t="shared" si="516"/>
        <v>0</v>
      </c>
      <c r="Q8277" s="31" t="str">
        <f t="shared" si="517"/>
        <v/>
      </c>
      <c r="R8277" s="32" t="str">
        <f>IFERROR(VLOOKUP($D8277,'Informations sur les produits'!$A$3:$B$15000,2,FALSE),"")</f>
        <v/>
      </c>
      <c r="V8277">
        <f t="shared" si="518"/>
        <v>0</v>
      </c>
      <c r="W8277">
        <f t="shared" si="519"/>
        <v>0</v>
      </c>
    </row>
    <row r="8278" spans="5:23" x14ac:dyDescent="0.25">
      <c r="E8278" s="4"/>
      <c r="F8278" s="4"/>
      <c r="G8278" s="33" t="str">
        <f>IFERROR(VLOOKUP($D8278,'Informations sur les produits'!$A$3:$H$10000,8,FALSE),"0")</f>
        <v>0</v>
      </c>
      <c r="K8278" s="4"/>
      <c r="L8278" s="33" t="str">
        <f>IFERROR(VLOOKUP($J8278,'Informations sur les produits'!$A$3:$H$10000,8,FALSE),"0")</f>
        <v>0</v>
      </c>
      <c r="N8278" s="8"/>
      <c r="O8278" s="33" t="str">
        <f>IFERROR(VLOOKUP($M8278,'Informations sur les produits'!$A$3:$H$10000,8,FALSE),"0")</f>
        <v>0</v>
      </c>
      <c r="P8278" s="33">
        <f t="shared" si="516"/>
        <v>0</v>
      </c>
      <c r="Q8278" s="31" t="str">
        <f t="shared" si="517"/>
        <v/>
      </c>
      <c r="R8278" s="32" t="str">
        <f>IFERROR(VLOOKUP($D8278,'Informations sur les produits'!$A$3:$B$15000,2,FALSE),"")</f>
        <v/>
      </c>
      <c r="V8278">
        <f t="shared" si="518"/>
        <v>0</v>
      </c>
      <c r="W8278">
        <f t="shared" si="519"/>
        <v>0</v>
      </c>
    </row>
    <row r="8279" spans="5:23" x14ac:dyDescent="0.25">
      <c r="E8279" s="4"/>
      <c r="F8279" s="4"/>
      <c r="G8279" s="33" t="str">
        <f>IFERROR(VLOOKUP($D8279,'Informations sur les produits'!$A$3:$H$10000,8,FALSE),"0")</f>
        <v>0</v>
      </c>
      <c r="K8279" s="4"/>
      <c r="L8279" s="33" t="str">
        <f>IFERROR(VLOOKUP($J8279,'Informations sur les produits'!$A$3:$H$10000,8,FALSE),"0")</f>
        <v>0</v>
      </c>
      <c r="N8279" s="8"/>
      <c r="O8279" s="33" t="str">
        <f>IFERROR(VLOOKUP($M8279,'Informations sur les produits'!$A$3:$H$10000,8,FALSE),"0")</f>
        <v>0</v>
      </c>
      <c r="P8279" s="33">
        <f t="shared" si="516"/>
        <v>0</v>
      </c>
      <c r="Q8279" s="31" t="str">
        <f t="shared" si="517"/>
        <v/>
      </c>
      <c r="R8279" s="32" t="str">
        <f>IFERROR(VLOOKUP($D8279,'Informations sur les produits'!$A$3:$B$15000,2,FALSE),"")</f>
        <v/>
      </c>
      <c r="V8279">
        <f t="shared" si="518"/>
        <v>0</v>
      </c>
      <c r="W8279">
        <f t="shared" si="519"/>
        <v>0</v>
      </c>
    </row>
    <row r="8280" spans="5:23" x14ac:dyDescent="0.25">
      <c r="E8280" s="4"/>
      <c r="F8280" s="4"/>
      <c r="G8280" s="33" t="str">
        <f>IFERROR(VLOOKUP($D8280,'Informations sur les produits'!$A$3:$H$10000,8,FALSE),"0")</f>
        <v>0</v>
      </c>
      <c r="K8280" s="4"/>
      <c r="L8280" s="33" t="str">
        <f>IFERROR(VLOOKUP($J8280,'Informations sur les produits'!$A$3:$H$10000,8,FALSE),"0")</f>
        <v>0</v>
      </c>
      <c r="N8280" s="8"/>
      <c r="O8280" s="33" t="str">
        <f>IFERROR(VLOOKUP($M8280,'Informations sur les produits'!$A$3:$H$10000,8,FALSE),"0")</f>
        <v>0</v>
      </c>
      <c r="P8280" s="33">
        <f t="shared" si="516"/>
        <v>0</v>
      </c>
      <c r="Q8280" s="31" t="str">
        <f t="shared" si="517"/>
        <v/>
      </c>
      <c r="R8280" s="32" t="str">
        <f>IFERROR(VLOOKUP($D8280,'Informations sur les produits'!$A$3:$B$15000,2,FALSE),"")</f>
        <v/>
      </c>
      <c r="V8280">
        <f t="shared" si="518"/>
        <v>0</v>
      </c>
      <c r="W8280">
        <f t="shared" si="519"/>
        <v>0</v>
      </c>
    </row>
    <row r="8281" spans="5:23" x14ac:dyDescent="0.25">
      <c r="E8281" s="4"/>
      <c r="F8281" s="4"/>
      <c r="G8281" s="33" t="str">
        <f>IFERROR(VLOOKUP($D8281,'Informations sur les produits'!$A$3:$H$10000,8,FALSE),"0")</f>
        <v>0</v>
      </c>
      <c r="K8281" s="4"/>
      <c r="L8281" s="33" t="str">
        <f>IFERROR(VLOOKUP($J8281,'Informations sur les produits'!$A$3:$H$10000,8,FALSE),"0")</f>
        <v>0</v>
      </c>
      <c r="N8281" s="8"/>
      <c r="O8281" s="33" t="str">
        <f>IFERROR(VLOOKUP($M8281,'Informations sur les produits'!$A$3:$H$10000,8,FALSE),"0")</f>
        <v>0</v>
      </c>
      <c r="P8281" s="33">
        <f t="shared" si="516"/>
        <v>0</v>
      </c>
      <c r="Q8281" s="31" t="str">
        <f t="shared" si="517"/>
        <v/>
      </c>
      <c r="R8281" s="32" t="str">
        <f>IFERROR(VLOOKUP($D8281,'Informations sur les produits'!$A$3:$B$15000,2,FALSE),"")</f>
        <v/>
      </c>
      <c r="V8281">
        <f t="shared" si="518"/>
        <v>0</v>
      </c>
      <c r="W8281">
        <f t="shared" si="519"/>
        <v>0</v>
      </c>
    </row>
    <row r="8282" spans="5:23" x14ac:dyDescent="0.25">
      <c r="E8282" s="4"/>
      <c r="F8282" s="4"/>
      <c r="G8282" s="33" t="str">
        <f>IFERROR(VLOOKUP($D8282,'Informations sur les produits'!$A$3:$H$10000,8,FALSE),"0")</f>
        <v>0</v>
      </c>
      <c r="K8282" s="4"/>
      <c r="L8282" s="33" t="str">
        <f>IFERROR(VLOOKUP($J8282,'Informations sur les produits'!$A$3:$H$10000,8,FALSE),"0")</f>
        <v>0</v>
      </c>
      <c r="N8282" s="8"/>
      <c r="O8282" s="33" t="str">
        <f>IFERROR(VLOOKUP($M8282,'Informations sur les produits'!$A$3:$H$10000,8,FALSE),"0")</f>
        <v>0</v>
      </c>
      <c r="P8282" s="33">
        <f t="shared" si="516"/>
        <v>0</v>
      </c>
      <c r="Q8282" s="31" t="str">
        <f t="shared" si="517"/>
        <v/>
      </c>
      <c r="R8282" s="32" t="str">
        <f>IFERROR(VLOOKUP($D8282,'Informations sur les produits'!$A$3:$B$15000,2,FALSE),"")</f>
        <v/>
      </c>
      <c r="V8282">
        <f t="shared" si="518"/>
        <v>0</v>
      </c>
      <c r="W8282">
        <f t="shared" si="519"/>
        <v>0</v>
      </c>
    </row>
    <row r="8283" spans="5:23" x14ac:dyDescent="0.25">
      <c r="E8283" s="4"/>
      <c r="F8283" s="4"/>
      <c r="G8283" s="33" t="str">
        <f>IFERROR(VLOOKUP($D8283,'Informations sur les produits'!$A$3:$H$10000,8,FALSE),"0")</f>
        <v>0</v>
      </c>
      <c r="K8283" s="4"/>
      <c r="L8283" s="33" t="str">
        <f>IFERROR(VLOOKUP($J8283,'Informations sur les produits'!$A$3:$H$10000,8,FALSE),"0")</f>
        <v>0</v>
      </c>
      <c r="N8283" s="8"/>
      <c r="O8283" s="33" t="str">
        <f>IFERROR(VLOOKUP($M8283,'Informations sur les produits'!$A$3:$H$10000,8,FALSE),"0")</f>
        <v>0</v>
      </c>
      <c r="P8283" s="33">
        <f t="shared" si="516"/>
        <v>0</v>
      </c>
      <c r="Q8283" s="31" t="str">
        <f t="shared" si="517"/>
        <v/>
      </c>
      <c r="R8283" s="32" t="str">
        <f>IFERROR(VLOOKUP($D8283,'Informations sur les produits'!$A$3:$B$15000,2,FALSE),"")</f>
        <v/>
      </c>
      <c r="V8283">
        <f t="shared" si="518"/>
        <v>0</v>
      </c>
      <c r="W8283">
        <f t="shared" si="519"/>
        <v>0</v>
      </c>
    </row>
    <row r="8284" spans="5:23" x14ac:dyDescent="0.25">
      <c r="E8284" s="4"/>
      <c r="F8284" s="4"/>
      <c r="G8284" s="33" t="str">
        <f>IFERROR(VLOOKUP($D8284,'Informations sur les produits'!$A$3:$H$10000,8,FALSE),"0")</f>
        <v>0</v>
      </c>
      <c r="K8284" s="4"/>
      <c r="L8284" s="33" t="str">
        <f>IFERROR(VLOOKUP($J8284,'Informations sur les produits'!$A$3:$H$10000,8,FALSE),"0")</f>
        <v>0</v>
      </c>
      <c r="N8284" s="8"/>
      <c r="O8284" s="33" t="str">
        <f>IFERROR(VLOOKUP($M8284,'Informations sur les produits'!$A$3:$H$10000,8,FALSE),"0")</f>
        <v>0</v>
      </c>
      <c r="P8284" s="33">
        <f t="shared" si="516"/>
        <v>0</v>
      </c>
      <c r="Q8284" s="31" t="str">
        <f t="shared" si="517"/>
        <v/>
      </c>
      <c r="R8284" s="32" t="str">
        <f>IFERROR(VLOOKUP($D8284,'Informations sur les produits'!$A$3:$B$15000,2,FALSE),"")</f>
        <v/>
      </c>
      <c r="V8284">
        <f t="shared" si="518"/>
        <v>0</v>
      </c>
      <c r="W8284">
        <f t="shared" si="519"/>
        <v>0</v>
      </c>
    </row>
    <row r="8285" spans="5:23" x14ac:dyDescent="0.25">
      <c r="E8285" s="4"/>
      <c r="F8285" s="4"/>
      <c r="G8285" s="33" t="str">
        <f>IFERROR(VLOOKUP($D8285,'Informations sur les produits'!$A$3:$H$10000,8,FALSE),"0")</f>
        <v>0</v>
      </c>
      <c r="K8285" s="4"/>
      <c r="L8285" s="33" t="str">
        <f>IFERROR(VLOOKUP($J8285,'Informations sur les produits'!$A$3:$H$10000,8,FALSE),"0")</f>
        <v>0</v>
      </c>
      <c r="N8285" s="8"/>
      <c r="O8285" s="33" t="str">
        <f>IFERROR(VLOOKUP($M8285,'Informations sur les produits'!$A$3:$H$10000,8,FALSE),"0")</f>
        <v>0</v>
      </c>
      <c r="P8285" s="33">
        <f t="shared" si="516"/>
        <v>0</v>
      </c>
      <c r="Q8285" s="31" t="str">
        <f t="shared" si="517"/>
        <v/>
      </c>
      <c r="R8285" s="32" t="str">
        <f>IFERROR(VLOOKUP($D8285,'Informations sur les produits'!$A$3:$B$15000,2,FALSE),"")</f>
        <v/>
      </c>
      <c r="V8285">
        <f t="shared" si="518"/>
        <v>0</v>
      </c>
      <c r="W8285">
        <f t="shared" si="519"/>
        <v>0</v>
      </c>
    </row>
    <row r="8286" spans="5:23" x14ac:dyDescent="0.25">
      <c r="E8286" s="4"/>
      <c r="F8286" s="4"/>
      <c r="G8286" s="33" t="str">
        <f>IFERROR(VLOOKUP($D8286,'Informations sur les produits'!$A$3:$H$10000,8,FALSE),"0")</f>
        <v>0</v>
      </c>
      <c r="K8286" s="4"/>
      <c r="L8286" s="33" t="str">
        <f>IFERROR(VLOOKUP($J8286,'Informations sur les produits'!$A$3:$H$10000,8,FALSE),"0")</f>
        <v>0</v>
      </c>
      <c r="N8286" s="8"/>
      <c r="O8286" s="33" t="str">
        <f>IFERROR(VLOOKUP($M8286,'Informations sur les produits'!$A$3:$H$10000,8,FALSE),"0")</f>
        <v>0</v>
      </c>
      <c r="P8286" s="33">
        <f t="shared" si="516"/>
        <v>0</v>
      </c>
      <c r="Q8286" s="31" t="str">
        <f t="shared" si="517"/>
        <v/>
      </c>
      <c r="R8286" s="32" t="str">
        <f>IFERROR(VLOOKUP($D8286,'Informations sur les produits'!$A$3:$B$15000,2,FALSE),"")</f>
        <v/>
      </c>
      <c r="V8286">
        <f t="shared" si="518"/>
        <v>0</v>
      </c>
      <c r="W8286">
        <f t="shared" si="519"/>
        <v>0</v>
      </c>
    </row>
    <row r="8287" spans="5:23" x14ac:dyDescent="0.25">
      <c r="E8287" s="4"/>
      <c r="F8287" s="4"/>
      <c r="G8287" s="33" t="str">
        <f>IFERROR(VLOOKUP($D8287,'Informations sur les produits'!$A$3:$H$10000,8,FALSE),"0")</f>
        <v>0</v>
      </c>
      <c r="K8287" s="4"/>
      <c r="L8287" s="33" t="str">
        <f>IFERROR(VLOOKUP($J8287,'Informations sur les produits'!$A$3:$H$10000,8,FALSE),"0")</f>
        <v>0</v>
      </c>
      <c r="N8287" s="8"/>
      <c r="O8287" s="33" t="str">
        <f>IFERROR(VLOOKUP($M8287,'Informations sur les produits'!$A$3:$H$10000,8,FALSE),"0")</f>
        <v>0</v>
      </c>
      <c r="P8287" s="33">
        <f t="shared" si="516"/>
        <v>0</v>
      </c>
      <c r="Q8287" s="31" t="str">
        <f t="shared" si="517"/>
        <v/>
      </c>
      <c r="R8287" s="32" t="str">
        <f>IFERROR(VLOOKUP($D8287,'Informations sur les produits'!$A$3:$B$15000,2,FALSE),"")</f>
        <v/>
      </c>
      <c r="V8287">
        <f t="shared" si="518"/>
        <v>0</v>
      </c>
      <c r="W8287">
        <f t="shared" si="519"/>
        <v>0</v>
      </c>
    </row>
    <row r="8288" spans="5:23" x14ac:dyDescent="0.25">
      <c r="E8288" s="4"/>
      <c r="F8288" s="4"/>
      <c r="G8288" s="33" t="str">
        <f>IFERROR(VLOOKUP($D8288,'Informations sur les produits'!$A$3:$H$10000,8,FALSE),"0")</f>
        <v>0</v>
      </c>
      <c r="K8288" s="4"/>
      <c r="L8288" s="33" t="str">
        <f>IFERROR(VLOOKUP($J8288,'Informations sur les produits'!$A$3:$H$10000,8,FALSE),"0")</f>
        <v>0</v>
      </c>
      <c r="N8288" s="8"/>
      <c r="O8288" s="33" t="str">
        <f>IFERROR(VLOOKUP($M8288,'Informations sur les produits'!$A$3:$H$10000,8,FALSE),"0")</f>
        <v>0</v>
      </c>
      <c r="P8288" s="33">
        <f t="shared" si="516"/>
        <v>0</v>
      </c>
      <c r="Q8288" s="31" t="str">
        <f t="shared" si="517"/>
        <v/>
      </c>
      <c r="R8288" s="32" t="str">
        <f>IFERROR(VLOOKUP($D8288,'Informations sur les produits'!$A$3:$B$15000,2,FALSE),"")</f>
        <v/>
      </c>
      <c r="V8288">
        <f t="shared" si="518"/>
        <v>0</v>
      </c>
      <c r="W8288">
        <f t="shared" si="519"/>
        <v>0</v>
      </c>
    </row>
    <row r="8289" spans="5:23" x14ac:dyDescent="0.25">
      <c r="E8289" s="4"/>
      <c r="F8289" s="4"/>
      <c r="G8289" s="33" t="str">
        <f>IFERROR(VLOOKUP($D8289,'Informations sur les produits'!$A$3:$H$10000,8,FALSE),"0")</f>
        <v>0</v>
      </c>
      <c r="K8289" s="4"/>
      <c r="L8289" s="33" t="str">
        <f>IFERROR(VLOOKUP($J8289,'Informations sur les produits'!$A$3:$H$10000,8,FALSE),"0")</f>
        <v>0</v>
      </c>
      <c r="N8289" s="8"/>
      <c r="O8289" s="33" t="str">
        <f>IFERROR(VLOOKUP($M8289,'Informations sur les produits'!$A$3:$H$10000,8,FALSE),"0")</f>
        <v>0</v>
      </c>
      <c r="P8289" s="33">
        <f t="shared" si="516"/>
        <v>0</v>
      </c>
      <c r="Q8289" s="31" t="str">
        <f t="shared" si="517"/>
        <v/>
      </c>
      <c r="R8289" s="32" t="str">
        <f>IFERROR(VLOOKUP($D8289,'Informations sur les produits'!$A$3:$B$15000,2,FALSE),"")</f>
        <v/>
      </c>
      <c r="V8289">
        <f t="shared" si="518"/>
        <v>0</v>
      </c>
      <c r="W8289">
        <f t="shared" si="519"/>
        <v>0</v>
      </c>
    </row>
    <row r="8290" spans="5:23" x14ac:dyDescent="0.25">
      <c r="E8290" s="4"/>
      <c r="F8290" s="4"/>
      <c r="G8290" s="33" t="str">
        <f>IFERROR(VLOOKUP($D8290,'Informations sur les produits'!$A$3:$H$10000,8,FALSE),"0")</f>
        <v>0</v>
      </c>
      <c r="K8290" s="4"/>
      <c r="L8290" s="33" t="str">
        <f>IFERROR(VLOOKUP($J8290,'Informations sur les produits'!$A$3:$H$10000,8,FALSE),"0")</f>
        <v>0</v>
      </c>
      <c r="N8290" s="8"/>
      <c r="O8290" s="33" t="str">
        <f>IFERROR(VLOOKUP($M8290,'Informations sur les produits'!$A$3:$H$10000,8,FALSE),"0")</f>
        <v>0</v>
      </c>
      <c r="P8290" s="33">
        <f t="shared" si="516"/>
        <v>0</v>
      </c>
      <c r="Q8290" s="31" t="str">
        <f t="shared" si="517"/>
        <v/>
      </c>
      <c r="R8290" s="32" t="str">
        <f>IFERROR(VLOOKUP($D8290,'Informations sur les produits'!$A$3:$B$15000,2,FALSE),"")</f>
        <v/>
      </c>
      <c r="V8290">
        <f t="shared" si="518"/>
        <v>0</v>
      </c>
      <c r="W8290">
        <f t="shared" si="519"/>
        <v>0</v>
      </c>
    </row>
    <row r="8291" spans="5:23" x14ac:dyDescent="0.25">
      <c r="E8291" s="4"/>
      <c r="F8291" s="4"/>
      <c r="G8291" s="33" t="str">
        <f>IFERROR(VLOOKUP($D8291,'Informations sur les produits'!$A$3:$H$10000,8,FALSE),"0")</f>
        <v>0</v>
      </c>
      <c r="K8291" s="4"/>
      <c r="L8291" s="33" t="str">
        <f>IFERROR(VLOOKUP($J8291,'Informations sur les produits'!$A$3:$H$10000,8,FALSE),"0")</f>
        <v>0</v>
      </c>
      <c r="N8291" s="8"/>
      <c r="O8291" s="33" t="str">
        <f>IFERROR(VLOOKUP($M8291,'Informations sur les produits'!$A$3:$H$10000,8,FALSE),"0")</f>
        <v>0</v>
      </c>
      <c r="P8291" s="33">
        <f t="shared" si="516"/>
        <v>0</v>
      </c>
      <c r="Q8291" s="31" t="str">
        <f t="shared" si="517"/>
        <v/>
      </c>
      <c r="R8291" s="32" t="str">
        <f>IFERROR(VLOOKUP($D8291,'Informations sur les produits'!$A$3:$B$15000,2,FALSE),"")</f>
        <v/>
      </c>
      <c r="V8291">
        <f t="shared" si="518"/>
        <v>0</v>
      </c>
      <c r="W8291">
        <f t="shared" si="519"/>
        <v>0</v>
      </c>
    </row>
    <row r="8292" spans="5:23" x14ac:dyDescent="0.25">
      <c r="E8292" s="4"/>
      <c r="F8292" s="4"/>
      <c r="G8292" s="33" t="str">
        <f>IFERROR(VLOOKUP($D8292,'Informations sur les produits'!$A$3:$H$10000,8,FALSE),"0")</f>
        <v>0</v>
      </c>
      <c r="K8292" s="4"/>
      <c r="L8292" s="33" t="str">
        <f>IFERROR(VLOOKUP($J8292,'Informations sur les produits'!$A$3:$H$10000,8,FALSE),"0")</f>
        <v>0</v>
      </c>
      <c r="N8292" s="8"/>
      <c r="O8292" s="33" t="str">
        <f>IFERROR(VLOOKUP($M8292,'Informations sur les produits'!$A$3:$H$10000,8,FALSE),"0")</f>
        <v>0</v>
      </c>
      <c r="P8292" s="33">
        <f t="shared" si="516"/>
        <v>0</v>
      </c>
      <c r="Q8292" s="31" t="str">
        <f t="shared" si="517"/>
        <v/>
      </c>
      <c r="R8292" s="32" t="str">
        <f>IFERROR(VLOOKUP($D8292,'Informations sur les produits'!$A$3:$B$15000,2,FALSE),"")</f>
        <v/>
      </c>
      <c r="V8292">
        <f t="shared" si="518"/>
        <v>0</v>
      </c>
      <c r="W8292">
        <f t="shared" si="519"/>
        <v>0</v>
      </c>
    </row>
    <row r="8293" spans="5:23" x14ac:dyDescent="0.25">
      <c r="E8293" s="4"/>
      <c r="F8293" s="4"/>
      <c r="G8293" s="33" t="str">
        <f>IFERROR(VLOOKUP($D8293,'Informations sur les produits'!$A$3:$H$10000,8,FALSE),"0")</f>
        <v>0</v>
      </c>
      <c r="K8293" s="4"/>
      <c r="L8293" s="33" t="str">
        <f>IFERROR(VLOOKUP($J8293,'Informations sur les produits'!$A$3:$H$10000,8,FALSE),"0")</f>
        <v>0</v>
      </c>
      <c r="N8293" s="8"/>
      <c r="O8293" s="33" t="str">
        <f>IFERROR(VLOOKUP($M8293,'Informations sur les produits'!$A$3:$H$10000,8,FALSE),"0")</f>
        <v>0</v>
      </c>
      <c r="P8293" s="33">
        <f t="shared" si="516"/>
        <v>0</v>
      </c>
      <c r="Q8293" s="31" t="str">
        <f t="shared" si="517"/>
        <v/>
      </c>
      <c r="R8293" s="32" t="str">
        <f>IFERROR(VLOOKUP($D8293,'Informations sur les produits'!$A$3:$B$15000,2,FALSE),"")</f>
        <v/>
      </c>
      <c r="V8293">
        <f t="shared" si="518"/>
        <v>0</v>
      </c>
      <c r="W8293">
        <f t="shared" si="519"/>
        <v>0</v>
      </c>
    </row>
    <row r="8294" spans="5:23" x14ac:dyDescent="0.25">
      <c r="E8294" s="4"/>
      <c r="F8294" s="4"/>
      <c r="G8294" s="33" t="str">
        <f>IFERROR(VLOOKUP($D8294,'Informations sur les produits'!$A$3:$H$10000,8,FALSE),"0")</f>
        <v>0</v>
      </c>
      <c r="K8294" s="4"/>
      <c r="L8294" s="33" t="str">
        <f>IFERROR(VLOOKUP($J8294,'Informations sur les produits'!$A$3:$H$10000,8,FALSE),"0")</f>
        <v>0</v>
      </c>
      <c r="N8294" s="8"/>
      <c r="O8294" s="33" t="str">
        <f>IFERROR(VLOOKUP($M8294,'Informations sur les produits'!$A$3:$H$10000,8,FALSE),"0")</f>
        <v>0</v>
      </c>
      <c r="P8294" s="33">
        <f t="shared" si="516"/>
        <v>0</v>
      </c>
      <c r="Q8294" s="31" t="str">
        <f t="shared" si="517"/>
        <v/>
      </c>
      <c r="R8294" s="32" t="str">
        <f>IFERROR(VLOOKUP($D8294,'Informations sur les produits'!$A$3:$B$15000,2,FALSE),"")</f>
        <v/>
      </c>
      <c r="V8294">
        <f t="shared" si="518"/>
        <v>0</v>
      </c>
      <c r="W8294">
        <f t="shared" si="519"/>
        <v>0</v>
      </c>
    </row>
    <row r="8295" spans="5:23" x14ac:dyDescent="0.25">
      <c r="E8295" s="4"/>
      <c r="F8295" s="4"/>
      <c r="G8295" s="33" t="str">
        <f>IFERROR(VLOOKUP($D8295,'Informations sur les produits'!$A$3:$H$10000,8,FALSE),"0")</f>
        <v>0</v>
      </c>
      <c r="K8295" s="4"/>
      <c r="L8295" s="33" t="str">
        <f>IFERROR(VLOOKUP($J8295,'Informations sur les produits'!$A$3:$H$10000,8,FALSE),"0")</f>
        <v>0</v>
      </c>
      <c r="N8295" s="8"/>
      <c r="O8295" s="33" t="str">
        <f>IFERROR(VLOOKUP($M8295,'Informations sur les produits'!$A$3:$H$10000,8,FALSE),"0")</f>
        <v>0</v>
      </c>
      <c r="P8295" s="33">
        <f t="shared" si="516"/>
        <v>0</v>
      </c>
      <c r="Q8295" s="31" t="str">
        <f t="shared" si="517"/>
        <v/>
      </c>
      <c r="R8295" s="32" t="str">
        <f>IFERROR(VLOOKUP($D8295,'Informations sur les produits'!$A$3:$B$15000,2,FALSE),"")</f>
        <v/>
      </c>
      <c r="V8295">
        <f t="shared" si="518"/>
        <v>0</v>
      </c>
      <c r="W8295">
        <f t="shared" si="519"/>
        <v>0</v>
      </c>
    </row>
    <row r="8296" spans="5:23" x14ac:dyDescent="0.25">
      <c r="E8296" s="4"/>
      <c r="F8296" s="4"/>
      <c r="G8296" s="33" t="str">
        <f>IFERROR(VLOOKUP($D8296,'Informations sur les produits'!$A$3:$H$10000,8,FALSE),"0")</f>
        <v>0</v>
      </c>
      <c r="K8296" s="4"/>
      <c r="L8296" s="33" t="str">
        <f>IFERROR(VLOOKUP($J8296,'Informations sur les produits'!$A$3:$H$10000,8,FALSE),"0")</f>
        <v>0</v>
      </c>
      <c r="N8296" s="8"/>
      <c r="O8296" s="33" t="str">
        <f>IFERROR(VLOOKUP($M8296,'Informations sur les produits'!$A$3:$H$10000,8,FALSE),"0")</f>
        <v>0</v>
      </c>
      <c r="P8296" s="33">
        <f t="shared" si="516"/>
        <v>0</v>
      </c>
      <c r="Q8296" s="31" t="str">
        <f t="shared" si="517"/>
        <v/>
      </c>
      <c r="R8296" s="32" t="str">
        <f>IFERROR(VLOOKUP($D8296,'Informations sur les produits'!$A$3:$B$15000,2,FALSE),"")</f>
        <v/>
      </c>
      <c r="V8296">
        <f t="shared" si="518"/>
        <v>0</v>
      </c>
      <c r="W8296">
        <f t="shared" si="519"/>
        <v>0</v>
      </c>
    </row>
    <row r="8297" spans="5:23" x14ac:dyDescent="0.25">
      <c r="E8297" s="4"/>
      <c r="F8297" s="4"/>
      <c r="G8297" s="33" t="str">
        <f>IFERROR(VLOOKUP($D8297,'Informations sur les produits'!$A$3:$H$10000,8,FALSE),"0")</f>
        <v>0</v>
      </c>
      <c r="K8297" s="4"/>
      <c r="L8297" s="33" t="str">
        <f>IFERROR(VLOOKUP($J8297,'Informations sur les produits'!$A$3:$H$10000,8,FALSE),"0")</f>
        <v>0</v>
      </c>
      <c r="N8297" s="8"/>
      <c r="O8297" s="33" t="str">
        <f>IFERROR(VLOOKUP($M8297,'Informations sur les produits'!$A$3:$H$10000,8,FALSE),"0")</f>
        <v>0</v>
      </c>
      <c r="P8297" s="33">
        <f t="shared" si="516"/>
        <v>0</v>
      </c>
      <c r="Q8297" s="31" t="str">
        <f t="shared" si="517"/>
        <v/>
      </c>
      <c r="R8297" s="32" t="str">
        <f>IFERROR(VLOOKUP($D8297,'Informations sur les produits'!$A$3:$B$15000,2,FALSE),"")</f>
        <v/>
      </c>
      <c r="V8297">
        <f t="shared" si="518"/>
        <v>0</v>
      </c>
      <c r="W8297">
        <f t="shared" si="519"/>
        <v>0</v>
      </c>
    </row>
    <row r="8298" spans="5:23" x14ac:dyDescent="0.25">
      <c r="E8298" s="4"/>
      <c r="F8298" s="4"/>
      <c r="G8298" s="33" t="str">
        <f>IFERROR(VLOOKUP($D8298,'Informations sur les produits'!$A$3:$H$10000,8,FALSE),"0")</f>
        <v>0</v>
      </c>
      <c r="K8298" s="4"/>
      <c r="L8298" s="33" t="str">
        <f>IFERROR(VLOOKUP($J8298,'Informations sur les produits'!$A$3:$H$10000,8,FALSE),"0")</f>
        <v>0</v>
      </c>
      <c r="N8298" s="8"/>
      <c r="O8298" s="33" t="str">
        <f>IFERROR(VLOOKUP($M8298,'Informations sur les produits'!$A$3:$H$10000,8,FALSE),"0")</f>
        <v>0</v>
      </c>
      <c r="P8298" s="33">
        <f t="shared" si="516"/>
        <v>0</v>
      </c>
      <c r="Q8298" s="31" t="str">
        <f t="shared" si="517"/>
        <v/>
      </c>
      <c r="R8298" s="32" t="str">
        <f>IFERROR(VLOOKUP($D8298,'Informations sur les produits'!$A$3:$B$15000,2,FALSE),"")</f>
        <v/>
      </c>
      <c r="V8298">
        <f t="shared" si="518"/>
        <v>0</v>
      </c>
      <c r="W8298">
        <f t="shared" si="519"/>
        <v>0</v>
      </c>
    </row>
    <row r="8299" spans="5:23" x14ac:dyDescent="0.25">
      <c r="E8299" s="4"/>
      <c r="F8299" s="4"/>
      <c r="G8299" s="33" t="str">
        <f>IFERROR(VLOOKUP($D8299,'Informations sur les produits'!$A$3:$H$10000,8,FALSE),"0")</f>
        <v>0</v>
      </c>
      <c r="K8299" s="4"/>
      <c r="L8299" s="33" t="str">
        <f>IFERROR(VLOOKUP($J8299,'Informations sur les produits'!$A$3:$H$10000,8,FALSE),"0")</f>
        <v>0</v>
      </c>
      <c r="N8299" s="8"/>
      <c r="O8299" s="33" t="str">
        <f>IFERROR(VLOOKUP($M8299,'Informations sur les produits'!$A$3:$H$10000,8,FALSE),"0")</f>
        <v>0</v>
      </c>
      <c r="P8299" s="33">
        <f t="shared" si="516"/>
        <v>0</v>
      </c>
      <c r="Q8299" s="31" t="str">
        <f t="shared" si="517"/>
        <v/>
      </c>
      <c r="R8299" s="32" t="str">
        <f>IFERROR(VLOOKUP($D8299,'Informations sur les produits'!$A$3:$B$15000,2,FALSE),"")</f>
        <v/>
      </c>
      <c r="V8299">
        <f t="shared" si="518"/>
        <v>0</v>
      </c>
      <c r="W8299">
        <f t="shared" si="519"/>
        <v>0</v>
      </c>
    </row>
    <row r="8300" spans="5:23" x14ac:dyDescent="0.25">
      <c r="E8300" s="4"/>
      <c r="F8300" s="4"/>
      <c r="G8300" s="33" t="str">
        <f>IFERROR(VLOOKUP($D8300,'Informations sur les produits'!$A$3:$H$10000,8,FALSE),"0")</f>
        <v>0</v>
      </c>
      <c r="K8300" s="4"/>
      <c r="L8300" s="33" t="str">
        <f>IFERROR(VLOOKUP($J8300,'Informations sur les produits'!$A$3:$H$10000,8,FALSE),"0")</f>
        <v>0</v>
      </c>
      <c r="N8300" s="8"/>
      <c r="O8300" s="33" t="str">
        <f>IFERROR(VLOOKUP($M8300,'Informations sur les produits'!$A$3:$H$10000,8,FALSE),"0")</f>
        <v>0</v>
      </c>
      <c r="P8300" s="33">
        <f t="shared" si="516"/>
        <v>0</v>
      </c>
      <c r="Q8300" s="31" t="str">
        <f t="shared" si="517"/>
        <v/>
      </c>
      <c r="R8300" s="32" t="str">
        <f>IFERROR(VLOOKUP($D8300,'Informations sur les produits'!$A$3:$B$15000,2,FALSE),"")</f>
        <v/>
      </c>
      <c r="V8300">
        <f t="shared" si="518"/>
        <v>0</v>
      </c>
      <c r="W8300">
        <f t="shared" si="519"/>
        <v>0</v>
      </c>
    </row>
    <row r="8301" spans="5:23" x14ac:dyDescent="0.25">
      <c r="E8301" s="4"/>
      <c r="F8301" s="4"/>
      <c r="G8301" s="33" t="str">
        <f>IFERROR(VLOOKUP($D8301,'Informations sur les produits'!$A$3:$H$10000,8,FALSE),"0")</f>
        <v>0</v>
      </c>
      <c r="K8301" s="4"/>
      <c r="L8301" s="33" t="str">
        <f>IFERROR(VLOOKUP($J8301,'Informations sur les produits'!$A$3:$H$10000,8,FALSE),"0")</f>
        <v>0</v>
      </c>
      <c r="N8301" s="8"/>
      <c r="O8301" s="33" t="str">
        <f>IFERROR(VLOOKUP($M8301,'Informations sur les produits'!$A$3:$H$10000,8,FALSE),"0")</f>
        <v>0</v>
      </c>
      <c r="P8301" s="33">
        <f t="shared" si="516"/>
        <v>0</v>
      </c>
      <c r="Q8301" s="31" t="str">
        <f t="shared" si="517"/>
        <v/>
      </c>
      <c r="R8301" s="32" t="str">
        <f>IFERROR(VLOOKUP($D8301,'Informations sur les produits'!$A$3:$B$15000,2,FALSE),"")</f>
        <v/>
      </c>
      <c r="V8301">
        <f t="shared" si="518"/>
        <v>0</v>
      </c>
      <c r="W8301">
        <f t="shared" si="519"/>
        <v>0</v>
      </c>
    </row>
    <row r="8302" spans="5:23" x14ac:dyDescent="0.25">
      <c r="E8302" s="4"/>
      <c r="F8302" s="4"/>
      <c r="G8302" s="33" t="str">
        <f>IFERROR(VLOOKUP($D8302,'Informations sur les produits'!$A$3:$H$10000,8,FALSE),"0")</f>
        <v>0</v>
      </c>
      <c r="K8302" s="4"/>
      <c r="L8302" s="33" t="str">
        <f>IFERROR(VLOOKUP($J8302,'Informations sur les produits'!$A$3:$H$10000,8,FALSE),"0")</f>
        <v>0</v>
      </c>
      <c r="N8302" s="8"/>
      <c r="O8302" s="33" t="str">
        <f>IFERROR(VLOOKUP($M8302,'Informations sur les produits'!$A$3:$H$10000,8,FALSE),"0")</f>
        <v>0</v>
      </c>
      <c r="P8302" s="33">
        <f t="shared" si="516"/>
        <v>0</v>
      </c>
      <c r="Q8302" s="31" t="str">
        <f t="shared" si="517"/>
        <v/>
      </c>
      <c r="R8302" s="32" t="str">
        <f>IFERROR(VLOOKUP($D8302,'Informations sur les produits'!$A$3:$B$15000,2,FALSE),"")</f>
        <v/>
      </c>
      <c r="V8302">
        <f t="shared" si="518"/>
        <v>0</v>
      </c>
      <c r="W8302">
        <f t="shared" si="519"/>
        <v>0</v>
      </c>
    </row>
    <row r="8303" spans="5:23" x14ac:dyDescent="0.25">
      <c r="E8303" s="4"/>
      <c r="F8303" s="4"/>
      <c r="G8303" s="33" t="str">
        <f>IFERROR(VLOOKUP($D8303,'Informations sur les produits'!$A$3:$H$10000,8,FALSE),"0")</f>
        <v>0</v>
      </c>
      <c r="K8303" s="4"/>
      <c r="L8303" s="33" t="str">
        <f>IFERROR(VLOOKUP($J8303,'Informations sur les produits'!$A$3:$H$10000,8,FALSE),"0")</f>
        <v>0</v>
      </c>
      <c r="N8303" s="8"/>
      <c r="O8303" s="33" t="str">
        <f>IFERROR(VLOOKUP($M8303,'Informations sur les produits'!$A$3:$H$10000,8,FALSE),"0")</f>
        <v>0</v>
      </c>
      <c r="P8303" s="33">
        <f t="shared" si="516"/>
        <v>0</v>
      </c>
      <c r="Q8303" s="31" t="str">
        <f t="shared" si="517"/>
        <v/>
      </c>
      <c r="R8303" s="32" t="str">
        <f>IFERROR(VLOOKUP($D8303,'Informations sur les produits'!$A$3:$B$15000,2,FALSE),"")</f>
        <v/>
      </c>
      <c r="V8303">
        <f t="shared" si="518"/>
        <v>0</v>
      </c>
      <c r="W8303">
        <f t="shared" si="519"/>
        <v>0</v>
      </c>
    </row>
    <row r="8304" spans="5:23" x14ac:dyDescent="0.25">
      <c r="E8304" s="4"/>
      <c r="F8304" s="4"/>
      <c r="G8304" s="33" t="str">
        <f>IFERROR(VLOOKUP($D8304,'Informations sur les produits'!$A$3:$H$10000,8,FALSE),"0")</f>
        <v>0</v>
      </c>
      <c r="K8304" s="4"/>
      <c r="L8304" s="33" t="str">
        <f>IFERROR(VLOOKUP($J8304,'Informations sur les produits'!$A$3:$H$10000,8,FALSE),"0")</f>
        <v>0</v>
      </c>
      <c r="N8304" s="8"/>
      <c r="O8304" s="33" t="str">
        <f>IFERROR(VLOOKUP($M8304,'Informations sur les produits'!$A$3:$H$10000,8,FALSE),"0")</f>
        <v>0</v>
      </c>
      <c r="P8304" s="33">
        <f t="shared" si="516"/>
        <v>0</v>
      </c>
      <c r="Q8304" s="31" t="str">
        <f t="shared" si="517"/>
        <v/>
      </c>
      <c r="R8304" s="32" t="str">
        <f>IFERROR(VLOOKUP($D8304,'Informations sur les produits'!$A$3:$B$15000,2,FALSE),"")</f>
        <v/>
      </c>
      <c r="V8304">
        <f t="shared" si="518"/>
        <v>0</v>
      </c>
      <c r="W8304">
        <f t="shared" si="519"/>
        <v>0</v>
      </c>
    </row>
    <row r="8305" spans="5:23" x14ac:dyDescent="0.25">
      <c r="E8305" s="4"/>
      <c r="F8305" s="4"/>
      <c r="G8305" s="33" t="str">
        <f>IFERROR(VLOOKUP($D8305,'Informations sur les produits'!$A$3:$H$10000,8,FALSE),"0")</f>
        <v>0</v>
      </c>
      <c r="K8305" s="4"/>
      <c r="L8305" s="33" t="str">
        <f>IFERROR(VLOOKUP($J8305,'Informations sur les produits'!$A$3:$H$10000,8,FALSE),"0")</f>
        <v>0</v>
      </c>
      <c r="N8305" s="8"/>
      <c r="O8305" s="33" t="str">
        <f>IFERROR(VLOOKUP($M8305,'Informations sur les produits'!$A$3:$H$10000,8,FALSE),"0")</f>
        <v>0</v>
      </c>
      <c r="P8305" s="33">
        <f t="shared" si="516"/>
        <v>0</v>
      </c>
      <c r="Q8305" s="31" t="str">
        <f t="shared" si="517"/>
        <v/>
      </c>
      <c r="R8305" s="32" t="str">
        <f>IFERROR(VLOOKUP($D8305,'Informations sur les produits'!$A$3:$B$15000,2,FALSE),"")</f>
        <v/>
      </c>
      <c r="V8305">
        <f t="shared" si="518"/>
        <v>0</v>
      </c>
      <c r="W8305">
        <f t="shared" si="519"/>
        <v>0</v>
      </c>
    </row>
    <row r="8306" spans="5:23" x14ac:dyDescent="0.25">
      <c r="E8306" s="4"/>
      <c r="F8306" s="4"/>
      <c r="G8306" s="33" t="str">
        <f>IFERROR(VLOOKUP($D8306,'Informations sur les produits'!$A$3:$H$10000,8,FALSE),"0")</f>
        <v>0</v>
      </c>
      <c r="K8306" s="4"/>
      <c r="L8306" s="33" t="str">
        <f>IFERROR(VLOOKUP($J8306,'Informations sur les produits'!$A$3:$H$10000,8,FALSE),"0")</f>
        <v>0</v>
      </c>
      <c r="N8306" s="8"/>
      <c r="O8306" s="33" t="str">
        <f>IFERROR(VLOOKUP($M8306,'Informations sur les produits'!$A$3:$H$10000,8,FALSE),"0")</f>
        <v>0</v>
      </c>
      <c r="P8306" s="33">
        <f t="shared" si="516"/>
        <v>0</v>
      </c>
      <c r="Q8306" s="31" t="str">
        <f t="shared" si="517"/>
        <v/>
      </c>
      <c r="R8306" s="32" t="str">
        <f>IFERROR(VLOOKUP($D8306,'Informations sur les produits'!$A$3:$B$15000,2,FALSE),"")</f>
        <v/>
      </c>
      <c r="V8306">
        <f t="shared" si="518"/>
        <v>0</v>
      </c>
      <c r="W8306">
        <f t="shared" si="519"/>
        <v>0</v>
      </c>
    </row>
    <row r="8307" spans="5:23" x14ac:dyDescent="0.25">
      <c r="E8307" s="4"/>
      <c r="F8307" s="4"/>
      <c r="G8307" s="33" t="str">
        <f>IFERROR(VLOOKUP($D8307,'Informations sur les produits'!$A$3:$H$10000,8,FALSE),"0")</f>
        <v>0</v>
      </c>
      <c r="K8307" s="4"/>
      <c r="L8307" s="33" t="str">
        <f>IFERROR(VLOOKUP($J8307,'Informations sur les produits'!$A$3:$H$10000,8,FALSE),"0")</f>
        <v>0</v>
      </c>
      <c r="N8307" s="8"/>
      <c r="O8307" s="33" t="str">
        <f>IFERROR(VLOOKUP($M8307,'Informations sur les produits'!$A$3:$H$10000,8,FALSE),"0")</f>
        <v>0</v>
      </c>
      <c r="P8307" s="33">
        <f t="shared" si="516"/>
        <v>0</v>
      </c>
      <c r="Q8307" s="31" t="str">
        <f t="shared" si="517"/>
        <v/>
      </c>
      <c r="R8307" s="32" t="str">
        <f>IFERROR(VLOOKUP($D8307,'Informations sur les produits'!$A$3:$B$15000,2,FALSE),"")</f>
        <v/>
      </c>
      <c r="V8307">
        <f t="shared" si="518"/>
        <v>0</v>
      </c>
      <c r="W8307">
        <f t="shared" si="519"/>
        <v>0</v>
      </c>
    </row>
    <row r="8308" spans="5:23" x14ac:dyDescent="0.25">
      <c r="E8308" s="4"/>
      <c r="F8308" s="4"/>
      <c r="G8308" s="33" t="str">
        <f>IFERROR(VLOOKUP($D8308,'Informations sur les produits'!$A$3:$H$10000,8,FALSE),"0")</f>
        <v>0</v>
      </c>
      <c r="K8308" s="4"/>
      <c r="L8308" s="33" t="str">
        <f>IFERROR(VLOOKUP($J8308,'Informations sur les produits'!$A$3:$H$10000,8,FALSE),"0")</f>
        <v>0</v>
      </c>
      <c r="N8308" s="8"/>
      <c r="O8308" s="33" t="str">
        <f>IFERROR(VLOOKUP($M8308,'Informations sur les produits'!$A$3:$H$10000,8,FALSE),"0")</f>
        <v>0</v>
      </c>
      <c r="P8308" s="33">
        <f t="shared" si="516"/>
        <v>0</v>
      </c>
      <c r="Q8308" s="31" t="str">
        <f t="shared" si="517"/>
        <v/>
      </c>
      <c r="R8308" s="32" t="str">
        <f>IFERROR(VLOOKUP($D8308,'Informations sur les produits'!$A$3:$B$15000,2,FALSE),"")</f>
        <v/>
      </c>
      <c r="V8308">
        <f t="shared" si="518"/>
        <v>0</v>
      </c>
      <c r="W8308">
        <f t="shared" si="519"/>
        <v>0</v>
      </c>
    </row>
    <row r="8309" spans="5:23" x14ac:dyDescent="0.25">
      <c r="E8309" s="4"/>
      <c r="F8309" s="4"/>
      <c r="G8309" s="33" t="str">
        <f>IFERROR(VLOOKUP($D8309,'Informations sur les produits'!$A$3:$H$10000,8,FALSE),"0")</f>
        <v>0</v>
      </c>
      <c r="K8309" s="4"/>
      <c r="L8309" s="33" t="str">
        <f>IFERROR(VLOOKUP($J8309,'Informations sur les produits'!$A$3:$H$10000,8,FALSE),"0")</f>
        <v>0</v>
      </c>
      <c r="N8309" s="8"/>
      <c r="O8309" s="33" t="str">
        <f>IFERROR(VLOOKUP($M8309,'Informations sur les produits'!$A$3:$H$10000,8,FALSE),"0")</f>
        <v>0</v>
      </c>
      <c r="P8309" s="33">
        <f t="shared" si="516"/>
        <v>0</v>
      </c>
      <c r="Q8309" s="31" t="str">
        <f t="shared" si="517"/>
        <v/>
      </c>
      <c r="R8309" s="32" t="str">
        <f>IFERROR(VLOOKUP($D8309,'Informations sur les produits'!$A$3:$B$15000,2,FALSE),"")</f>
        <v/>
      </c>
      <c r="V8309">
        <f t="shared" si="518"/>
        <v>0</v>
      </c>
      <c r="W8309">
        <f t="shared" si="519"/>
        <v>0</v>
      </c>
    </row>
    <row r="8310" spans="5:23" x14ac:dyDescent="0.25">
      <c r="E8310" s="4"/>
      <c r="F8310" s="4"/>
      <c r="G8310" s="33" t="str">
        <f>IFERROR(VLOOKUP($D8310,'Informations sur les produits'!$A$3:$H$10000,8,FALSE),"0")</f>
        <v>0</v>
      </c>
      <c r="K8310" s="4"/>
      <c r="L8310" s="33" t="str">
        <f>IFERROR(VLOOKUP($J8310,'Informations sur les produits'!$A$3:$H$10000,8,FALSE),"0")</f>
        <v>0</v>
      </c>
      <c r="N8310" s="8"/>
      <c r="O8310" s="33" t="str">
        <f>IFERROR(VLOOKUP($M8310,'Informations sur les produits'!$A$3:$H$10000,8,FALSE),"0")</f>
        <v>0</v>
      </c>
      <c r="P8310" s="33">
        <f t="shared" si="516"/>
        <v>0</v>
      </c>
      <c r="Q8310" s="31" t="str">
        <f t="shared" si="517"/>
        <v/>
      </c>
      <c r="R8310" s="32" t="str">
        <f>IFERROR(VLOOKUP($D8310,'Informations sur les produits'!$A$3:$B$15000,2,FALSE),"")</f>
        <v/>
      </c>
      <c r="V8310">
        <f t="shared" si="518"/>
        <v>0</v>
      </c>
      <c r="W8310">
        <f t="shared" si="519"/>
        <v>0</v>
      </c>
    </row>
    <row r="8311" spans="5:23" x14ac:dyDescent="0.25">
      <c r="E8311" s="4"/>
      <c r="F8311" s="4"/>
      <c r="G8311" s="33" t="str">
        <f>IFERROR(VLOOKUP($D8311,'Informations sur les produits'!$A$3:$H$10000,8,FALSE),"0")</f>
        <v>0</v>
      </c>
      <c r="K8311" s="4"/>
      <c r="L8311" s="33" t="str">
        <f>IFERROR(VLOOKUP($J8311,'Informations sur les produits'!$A$3:$H$10000,8,FALSE),"0")</f>
        <v>0</v>
      </c>
      <c r="N8311" s="8"/>
      <c r="O8311" s="33" t="str">
        <f>IFERROR(VLOOKUP($M8311,'Informations sur les produits'!$A$3:$H$10000,8,FALSE),"0")</f>
        <v>0</v>
      </c>
      <c r="P8311" s="33">
        <f t="shared" si="516"/>
        <v>0</v>
      </c>
      <c r="Q8311" s="31" t="str">
        <f t="shared" si="517"/>
        <v/>
      </c>
      <c r="R8311" s="32" t="str">
        <f>IFERROR(VLOOKUP($D8311,'Informations sur les produits'!$A$3:$B$15000,2,FALSE),"")</f>
        <v/>
      </c>
      <c r="V8311">
        <f t="shared" si="518"/>
        <v>0</v>
      </c>
      <c r="W8311">
        <f t="shared" si="519"/>
        <v>0</v>
      </c>
    </row>
    <row r="8312" spans="5:23" x14ac:dyDescent="0.25">
      <c r="E8312" s="4"/>
      <c r="F8312" s="4"/>
      <c r="G8312" s="33" t="str">
        <f>IFERROR(VLOOKUP($D8312,'Informations sur les produits'!$A$3:$H$10000,8,FALSE),"0")</f>
        <v>0</v>
      </c>
      <c r="K8312" s="4"/>
      <c r="L8312" s="33" t="str">
        <f>IFERROR(VLOOKUP($J8312,'Informations sur les produits'!$A$3:$H$10000,8,FALSE),"0")</f>
        <v>0</v>
      </c>
      <c r="N8312" s="8"/>
      <c r="O8312" s="33" t="str">
        <f>IFERROR(VLOOKUP($M8312,'Informations sur les produits'!$A$3:$H$10000,8,FALSE),"0")</f>
        <v>0</v>
      </c>
      <c r="P8312" s="33">
        <f t="shared" si="516"/>
        <v>0</v>
      </c>
      <c r="Q8312" s="31" t="str">
        <f t="shared" si="517"/>
        <v/>
      </c>
      <c r="R8312" s="32" t="str">
        <f>IFERROR(VLOOKUP($D8312,'Informations sur les produits'!$A$3:$B$15000,2,FALSE),"")</f>
        <v/>
      </c>
      <c r="V8312">
        <f t="shared" si="518"/>
        <v>0</v>
      </c>
      <c r="W8312">
        <f t="shared" si="519"/>
        <v>0</v>
      </c>
    </row>
    <row r="8313" spans="5:23" x14ac:dyDescent="0.25">
      <c r="E8313" s="4"/>
      <c r="F8313" s="4"/>
      <c r="G8313" s="33" t="str">
        <f>IFERROR(VLOOKUP($D8313,'Informations sur les produits'!$A$3:$H$10000,8,FALSE),"0")</f>
        <v>0</v>
      </c>
      <c r="K8313" s="4"/>
      <c r="L8313" s="33" t="str">
        <f>IFERROR(VLOOKUP($J8313,'Informations sur les produits'!$A$3:$H$10000,8,FALSE),"0")</f>
        <v>0</v>
      </c>
      <c r="N8313" s="8"/>
      <c r="O8313" s="33" t="str">
        <f>IFERROR(VLOOKUP($M8313,'Informations sur les produits'!$A$3:$H$10000,8,FALSE),"0")</f>
        <v>0</v>
      </c>
      <c r="P8313" s="33">
        <f t="shared" si="516"/>
        <v>0</v>
      </c>
      <c r="Q8313" s="31" t="str">
        <f t="shared" si="517"/>
        <v/>
      </c>
      <c r="R8313" s="32" t="str">
        <f>IFERROR(VLOOKUP($D8313,'Informations sur les produits'!$A$3:$B$15000,2,FALSE),"")</f>
        <v/>
      </c>
      <c r="V8313">
        <f t="shared" si="518"/>
        <v>0</v>
      </c>
      <c r="W8313">
        <f t="shared" si="519"/>
        <v>0</v>
      </c>
    </row>
    <row r="8314" spans="5:23" x14ac:dyDescent="0.25">
      <c r="E8314" s="4"/>
      <c r="F8314" s="4"/>
      <c r="G8314" s="33" t="str">
        <f>IFERROR(VLOOKUP($D8314,'Informations sur les produits'!$A$3:$H$10000,8,FALSE),"0")</f>
        <v>0</v>
      </c>
      <c r="K8314" s="4"/>
      <c r="L8314" s="33" t="str">
        <f>IFERROR(VLOOKUP($J8314,'Informations sur les produits'!$A$3:$H$10000,8,FALSE),"0")</f>
        <v>0</v>
      </c>
      <c r="N8314" s="8"/>
      <c r="O8314" s="33" t="str">
        <f>IFERROR(VLOOKUP($M8314,'Informations sur les produits'!$A$3:$H$10000,8,FALSE),"0")</f>
        <v>0</v>
      </c>
      <c r="P8314" s="33">
        <f t="shared" si="516"/>
        <v>0</v>
      </c>
      <c r="Q8314" s="31" t="str">
        <f t="shared" si="517"/>
        <v/>
      </c>
      <c r="R8314" s="32" t="str">
        <f>IFERROR(VLOOKUP($D8314,'Informations sur les produits'!$A$3:$B$15000,2,FALSE),"")</f>
        <v/>
      </c>
      <c r="V8314">
        <f t="shared" si="518"/>
        <v>0</v>
      </c>
      <c r="W8314">
        <f t="shared" si="519"/>
        <v>0</v>
      </c>
    </row>
    <row r="8315" spans="5:23" x14ac:dyDescent="0.25">
      <c r="E8315" s="4"/>
      <c r="F8315" s="4"/>
      <c r="G8315" s="33" t="str">
        <f>IFERROR(VLOOKUP($D8315,'Informations sur les produits'!$A$3:$H$10000,8,FALSE),"0")</f>
        <v>0</v>
      </c>
      <c r="K8315" s="4"/>
      <c r="L8315" s="33" t="str">
        <f>IFERROR(VLOOKUP($J8315,'Informations sur les produits'!$A$3:$H$10000,8,FALSE),"0")</f>
        <v>0</v>
      </c>
      <c r="N8315" s="8"/>
      <c r="O8315" s="33" t="str">
        <f>IFERROR(VLOOKUP($M8315,'Informations sur les produits'!$A$3:$H$10000,8,FALSE),"0")</f>
        <v>0</v>
      </c>
      <c r="P8315" s="33">
        <f t="shared" si="516"/>
        <v>0</v>
      </c>
      <c r="Q8315" s="31" t="str">
        <f t="shared" si="517"/>
        <v/>
      </c>
      <c r="R8315" s="32" t="str">
        <f>IFERROR(VLOOKUP($D8315,'Informations sur les produits'!$A$3:$B$15000,2,FALSE),"")</f>
        <v/>
      </c>
      <c r="V8315">
        <f t="shared" si="518"/>
        <v>0</v>
      </c>
      <c r="W8315">
        <f t="shared" si="519"/>
        <v>0</v>
      </c>
    </row>
    <row r="8316" spans="5:23" x14ac:dyDescent="0.25">
      <c r="E8316" s="4"/>
      <c r="F8316" s="4"/>
      <c r="G8316" s="33" t="str">
        <f>IFERROR(VLOOKUP($D8316,'Informations sur les produits'!$A$3:$H$10000,8,FALSE),"0")</f>
        <v>0</v>
      </c>
      <c r="K8316" s="4"/>
      <c r="L8316" s="33" t="str">
        <f>IFERROR(VLOOKUP($J8316,'Informations sur les produits'!$A$3:$H$10000,8,FALSE),"0")</f>
        <v>0</v>
      </c>
      <c r="N8316" s="8"/>
      <c r="O8316" s="33" t="str">
        <f>IFERROR(VLOOKUP($M8316,'Informations sur les produits'!$A$3:$H$10000,8,FALSE),"0")</f>
        <v>0</v>
      </c>
      <c r="P8316" s="33">
        <f t="shared" si="516"/>
        <v>0</v>
      </c>
      <c r="Q8316" s="31" t="str">
        <f t="shared" si="517"/>
        <v/>
      </c>
      <c r="R8316" s="32" t="str">
        <f>IFERROR(VLOOKUP($D8316,'Informations sur les produits'!$A$3:$B$15000,2,FALSE),"")</f>
        <v/>
      </c>
      <c r="V8316">
        <f t="shared" si="518"/>
        <v>0</v>
      </c>
      <c r="W8316">
        <f t="shared" si="519"/>
        <v>0</v>
      </c>
    </row>
    <row r="8317" spans="5:23" x14ac:dyDescent="0.25">
      <c r="E8317" s="4"/>
      <c r="F8317" s="4"/>
      <c r="G8317" s="33" t="str">
        <f>IFERROR(VLOOKUP($D8317,'Informations sur les produits'!$A$3:$H$10000,8,FALSE),"0")</f>
        <v>0</v>
      </c>
      <c r="K8317" s="4"/>
      <c r="L8317" s="33" t="str">
        <f>IFERROR(VLOOKUP($J8317,'Informations sur les produits'!$A$3:$H$10000,8,FALSE),"0")</f>
        <v>0</v>
      </c>
      <c r="N8317" s="8"/>
      <c r="O8317" s="33" t="str">
        <f>IFERROR(VLOOKUP($M8317,'Informations sur les produits'!$A$3:$H$10000,8,FALSE),"0")</f>
        <v>0</v>
      </c>
      <c r="P8317" s="33">
        <f t="shared" si="516"/>
        <v>0</v>
      </c>
      <c r="Q8317" s="31" t="str">
        <f t="shared" si="517"/>
        <v/>
      </c>
      <c r="R8317" s="32" t="str">
        <f>IFERROR(VLOOKUP($D8317,'Informations sur les produits'!$A$3:$B$15000,2,FALSE),"")</f>
        <v/>
      </c>
      <c r="V8317">
        <f t="shared" si="518"/>
        <v>0</v>
      </c>
      <c r="W8317">
        <f t="shared" si="519"/>
        <v>0</v>
      </c>
    </row>
    <row r="8318" spans="5:23" x14ac:dyDescent="0.25">
      <c r="E8318" s="4"/>
      <c r="F8318" s="4"/>
      <c r="G8318" s="33" t="str">
        <f>IFERROR(VLOOKUP($D8318,'Informations sur les produits'!$A$3:$H$10000,8,FALSE),"0")</f>
        <v>0</v>
      </c>
      <c r="K8318" s="4"/>
      <c r="L8318" s="33" t="str">
        <f>IFERROR(VLOOKUP($J8318,'Informations sur les produits'!$A$3:$H$10000,8,FALSE),"0")</f>
        <v>0</v>
      </c>
      <c r="N8318" s="8"/>
      <c r="O8318" s="33" t="str">
        <f>IFERROR(VLOOKUP($M8318,'Informations sur les produits'!$A$3:$H$10000,8,FALSE),"0")</f>
        <v>0</v>
      </c>
      <c r="P8318" s="33">
        <f t="shared" si="516"/>
        <v>0</v>
      </c>
      <c r="Q8318" s="31" t="str">
        <f t="shared" si="517"/>
        <v/>
      </c>
      <c r="R8318" s="32" t="str">
        <f>IFERROR(VLOOKUP($D8318,'Informations sur les produits'!$A$3:$B$15000,2,FALSE),"")</f>
        <v/>
      </c>
      <c r="V8318">
        <f t="shared" si="518"/>
        <v>0</v>
      </c>
      <c r="W8318">
        <f t="shared" si="519"/>
        <v>0</v>
      </c>
    </row>
    <row r="8319" spans="5:23" x14ac:dyDescent="0.25">
      <c r="E8319" s="4"/>
      <c r="F8319" s="4"/>
      <c r="G8319" s="33" t="str">
        <f>IFERROR(VLOOKUP($D8319,'Informations sur les produits'!$A$3:$H$10000,8,FALSE),"0")</f>
        <v>0</v>
      </c>
      <c r="K8319" s="4"/>
      <c r="L8319" s="33" t="str">
        <f>IFERROR(VLOOKUP($J8319,'Informations sur les produits'!$A$3:$H$10000,8,FALSE),"0")</f>
        <v>0</v>
      </c>
      <c r="N8319" s="8"/>
      <c r="O8319" s="33" t="str">
        <f>IFERROR(VLOOKUP($M8319,'Informations sur les produits'!$A$3:$H$10000,8,FALSE),"0")</f>
        <v>0</v>
      </c>
      <c r="P8319" s="33">
        <f t="shared" si="516"/>
        <v>0</v>
      </c>
      <c r="Q8319" s="31" t="str">
        <f t="shared" si="517"/>
        <v/>
      </c>
      <c r="R8319" s="32" t="str">
        <f>IFERROR(VLOOKUP($D8319,'Informations sur les produits'!$A$3:$B$15000,2,FALSE),"")</f>
        <v/>
      </c>
      <c r="V8319">
        <f t="shared" si="518"/>
        <v>0</v>
      </c>
      <c r="W8319">
        <f t="shared" si="519"/>
        <v>0</v>
      </c>
    </row>
    <row r="8320" spans="5:23" x14ac:dyDescent="0.25">
      <c r="E8320" s="4"/>
      <c r="F8320" s="4"/>
      <c r="G8320" s="33" t="str">
        <f>IFERROR(VLOOKUP($D8320,'Informations sur les produits'!$A$3:$H$10000,8,FALSE),"0")</f>
        <v>0</v>
      </c>
      <c r="K8320" s="4"/>
      <c r="L8320" s="33" t="str">
        <f>IFERROR(VLOOKUP($J8320,'Informations sur les produits'!$A$3:$H$10000,8,FALSE),"0")</f>
        <v>0</v>
      </c>
      <c r="N8320" s="8"/>
      <c r="O8320" s="33" t="str">
        <f>IFERROR(VLOOKUP($M8320,'Informations sur les produits'!$A$3:$H$10000,8,FALSE),"0")</f>
        <v>0</v>
      </c>
      <c r="P8320" s="33">
        <f t="shared" si="516"/>
        <v>0</v>
      </c>
      <c r="Q8320" s="31" t="str">
        <f t="shared" si="517"/>
        <v/>
      </c>
      <c r="R8320" s="32" t="str">
        <f>IFERROR(VLOOKUP($D8320,'Informations sur les produits'!$A$3:$B$15000,2,FALSE),"")</f>
        <v/>
      </c>
      <c r="V8320">
        <f t="shared" si="518"/>
        <v>0</v>
      </c>
      <c r="W8320">
        <f t="shared" si="519"/>
        <v>0</v>
      </c>
    </row>
    <row r="8321" spans="5:23" x14ac:dyDescent="0.25">
      <c r="E8321" s="4"/>
      <c r="F8321" s="4"/>
      <c r="G8321" s="33" t="str">
        <f>IFERROR(VLOOKUP($D8321,'Informations sur les produits'!$A$3:$H$10000,8,FALSE),"0")</f>
        <v>0</v>
      </c>
      <c r="K8321" s="4"/>
      <c r="L8321" s="33" t="str">
        <f>IFERROR(VLOOKUP($J8321,'Informations sur les produits'!$A$3:$H$10000,8,FALSE),"0")</f>
        <v>0</v>
      </c>
      <c r="N8321" s="8"/>
      <c r="O8321" s="33" t="str">
        <f>IFERROR(VLOOKUP($M8321,'Informations sur les produits'!$A$3:$H$10000,8,FALSE),"0")</f>
        <v>0</v>
      </c>
      <c r="P8321" s="33">
        <f t="shared" si="516"/>
        <v>0</v>
      </c>
      <c r="Q8321" s="31" t="str">
        <f t="shared" si="517"/>
        <v/>
      </c>
      <c r="R8321" s="32" t="str">
        <f>IFERROR(VLOOKUP($D8321,'Informations sur les produits'!$A$3:$B$15000,2,FALSE),"")</f>
        <v/>
      </c>
      <c r="V8321">
        <f t="shared" si="518"/>
        <v>0</v>
      </c>
      <c r="W8321">
        <f t="shared" si="519"/>
        <v>0</v>
      </c>
    </row>
    <row r="8322" spans="5:23" x14ac:dyDescent="0.25">
      <c r="E8322" s="4"/>
      <c r="F8322" s="4"/>
      <c r="G8322" s="33" t="str">
        <f>IFERROR(VLOOKUP($D8322,'Informations sur les produits'!$A$3:$H$10000,8,FALSE),"0")</f>
        <v>0</v>
      </c>
      <c r="K8322" s="4"/>
      <c r="L8322" s="33" t="str">
        <f>IFERROR(VLOOKUP($J8322,'Informations sur les produits'!$A$3:$H$10000,8,FALSE),"0")</f>
        <v>0</v>
      </c>
      <c r="N8322" s="8"/>
      <c r="O8322" s="33" t="str">
        <f>IFERROR(VLOOKUP($M8322,'Informations sur les produits'!$A$3:$H$10000,8,FALSE),"0")</f>
        <v>0</v>
      </c>
      <c r="P8322" s="33">
        <f t="shared" si="516"/>
        <v>0</v>
      </c>
      <c r="Q8322" s="31" t="str">
        <f t="shared" si="517"/>
        <v/>
      </c>
      <c r="R8322" s="32" t="str">
        <f>IFERROR(VLOOKUP($D8322,'Informations sur les produits'!$A$3:$B$15000,2,FALSE),"")</f>
        <v/>
      </c>
      <c r="V8322">
        <f t="shared" si="518"/>
        <v>0</v>
      </c>
      <c r="W8322">
        <f t="shared" si="519"/>
        <v>0</v>
      </c>
    </row>
    <row r="8323" spans="5:23" x14ac:dyDescent="0.25">
      <c r="E8323" s="4"/>
      <c r="F8323" s="4"/>
      <c r="G8323" s="33" t="str">
        <f>IFERROR(VLOOKUP($D8323,'Informations sur les produits'!$A$3:$H$10000,8,FALSE),"0")</f>
        <v>0</v>
      </c>
      <c r="K8323" s="4"/>
      <c r="L8323" s="33" t="str">
        <f>IFERROR(VLOOKUP($J8323,'Informations sur les produits'!$A$3:$H$10000,8,FALSE),"0")</f>
        <v>0</v>
      </c>
      <c r="N8323" s="8"/>
      <c r="O8323" s="33" t="str">
        <f>IFERROR(VLOOKUP($M8323,'Informations sur les produits'!$A$3:$H$10000,8,FALSE),"0")</f>
        <v>0</v>
      </c>
      <c r="P8323" s="33">
        <f t="shared" si="516"/>
        <v>0</v>
      </c>
      <c r="Q8323" s="31" t="str">
        <f t="shared" si="517"/>
        <v/>
      </c>
      <c r="R8323" s="32" t="str">
        <f>IFERROR(VLOOKUP($D8323,'Informations sur les produits'!$A$3:$B$15000,2,FALSE),"")</f>
        <v/>
      </c>
      <c r="V8323">
        <f t="shared" si="518"/>
        <v>0</v>
      </c>
      <c r="W8323">
        <f t="shared" si="519"/>
        <v>0</v>
      </c>
    </row>
    <row r="8324" spans="5:23" x14ac:dyDescent="0.25">
      <c r="E8324" s="4"/>
      <c r="F8324" s="4"/>
      <c r="G8324" s="33" t="str">
        <f>IFERROR(VLOOKUP($D8324,'Informations sur les produits'!$A$3:$H$10000,8,FALSE),"0")</f>
        <v>0</v>
      </c>
      <c r="K8324" s="4"/>
      <c r="L8324" s="33" t="str">
        <f>IFERROR(VLOOKUP($J8324,'Informations sur les produits'!$A$3:$H$10000,8,FALSE),"0")</f>
        <v>0</v>
      </c>
      <c r="N8324" s="8"/>
      <c r="O8324" s="33" t="str">
        <f>IFERROR(VLOOKUP($M8324,'Informations sur les produits'!$A$3:$H$10000,8,FALSE),"0")</f>
        <v>0</v>
      </c>
      <c r="P8324" s="33">
        <f t="shared" ref="P8324:P8387" si="520">IFERROR((($E8324-$F8324)*$G8324+$K8324*$L8324+$N8324*$O8324),"")</f>
        <v>0</v>
      </c>
      <c r="Q8324" s="31" t="str">
        <f t="shared" ref="Q8324:Q8387" si="521">IFERROR((((($E8324-$F8324)*$G8324+$K8324*$L8324+$N8324*$O8324)*1000)/(($E8324-$F8324)+$K8324+$N8324)),"")</f>
        <v/>
      </c>
      <c r="R8324" s="32" t="str">
        <f>IFERROR(VLOOKUP($D8324,'Informations sur les produits'!$A$3:$B$15000,2,FALSE),"")</f>
        <v/>
      </c>
      <c r="V8324">
        <f t="shared" ref="V8324:V8387" si="522">IFERROR(P8324*1000,"")</f>
        <v>0</v>
      </c>
      <c r="W8324">
        <f t="shared" ref="W8324:W8387" si="523">IFERROR(($E8324-$F8324)+$K8324+$N8324,"")</f>
        <v>0</v>
      </c>
    </row>
    <row r="8325" spans="5:23" x14ac:dyDescent="0.25">
      <c r="E8325" s="4"/>
      <c r="F8325" s="4"/>
      <c r="G8325" s="33" t="str">
        <f>IFERROR(VLOOKUP($D8325,'Informations sur les produits'!$A$3:$H$10000,8,FALSE),"0")</f>
        <v>0</v>
      </c>
      <c r="K8325" s="4"/>
      <c r="L8325" s="33" t="str">
        <f>IFERROR(VLOOKUP($J8325,'Informations sur les produits'!$A$3:$H$10000,8,FALSE),"0")</f>
        <v>0</v>
      </c>
      <c r="N8325" s="8"/>
      <c r="O8325" s="33" t="str">
        <f>IFERROR(VLOOKUP($M8325,'Informations sur les produits'!$A$3:$H$10000,8,FALSE),"0")</f>
        <v>0</v>
      </c>
      <c r="P8325" s="33">
        <f t="shared" si="520"/>
        <v>0</v>
      </c>
      <c r="Q8325" s="31" t="str">
        <f t="shared" si="521"/>
        <v/>
      </c>
      <c r="R8325" s="32" t="str">
        <f>IFERROR(VLOOKUP($D8325,'Informations sur les produits'!$A$3:$B$15000,2,FALSE),"")</f>
        <v/>
      </c>
      <c r="V8325">
        <f t="shared" si="522"/>
        <v>0</v>
      </c>
      <c r="W8325">
        <f t="shared" si="523"/>
        <v>0</v>
      </c>
    </row>
    <row r="8326" spans="5:23" x14ac:dyDescent="0.25">
      <c r="E8326" s="4"/>
      <c r="F8326" s="4"/>
      <c r="G8326" s="33" t="str">
        <f>IFERROR(VLOOKUP($D8326,'Informations sur les produits'!$A$3:$H$10000,8,FALSE),"0")</f>
        <v>0</v>
      </c>
      <c r="K8326" s="4"/>
      <c r="L8326" s="33" t="str">
        <f>IFERROR(VLOOKUP($J8326,'Informations sur les produits'!$A$3:$H$10000,8,FALSE),"0")</f>
        <v>0</v>
      </c>
      <c r="N8326" s="8"/>
      <c r="O8326" s="33" t="str">
        <f>IFERROR(VLOOKUP($M8326,'Informations sur les produits'!$A$3:$H$10000,8,FALSE),"0")</f>
        <v>0</v>
      </c>
      <c r="P8326" s="33">
        <f t="shared" si="520"/>
        <v>0</v>
      </c>
      <c r="Q8326" s="31" t="str">
        <f t="shared" si="521"/>
        <v/>
      </c>
      <c r="R8326" s="32" t="str">
        <f>IFERROR(VLOOKUP($D8326,'Informations sur les produits'!$A$3:$B$15000,2,FALSE),"")</f>
        <v/>
      </c>
      <c r="V8326">
        <f t="shared" si="522"/>
        <v>0</v>
      </c>
      <c r="W8326">
        <f t="shared" si="523"/>
        <v>0</v>
      </c>
    </row>
    <row r="8327" spans="5:23" x14ac:dyDescent="0.25">
      <c r="E8327" s="4"/>
      <c r="F8327" s="4"/>
      <c r="G8327" s="33" t="str">
        <f>IFERROR(VLOOKUP($D8327,'Informations sur les produits'!$A$3:$H$10000,8,FALSE),"0")</f>
        <v>0</v>
      </c>
      <c r="K8327" s="4"/>
      <c r="L8327" s="33" t="str">
        <f>IFERROR(VLOOKUP($J8327,'Informations sur les produits'!$A$3:$H$10000,8,FALSE),"0")</f>
        <v>0</v>
      </c>
      <c r="N8327" s="8"/>
      <c r="O8327" s="33" t="str">
        <f>IFERROR(VLOOKUP($M8327,'Informations sur les produits'!$A$3:$H$10000,8,FALSE),"0")</f>
        <v>0</v>
      </c>
      <c r="P8327" s="33">
        <f t="shared" si="520"/>
        <v>0</v>
      </c>
      <c r="Q8327" s="31" t="str">
        <f t="shared" si="521"/>
        <v/>
      </c>
      <c r="R8327" s="32" t="str">
        <f>IFERROR(VLOOKUP($D8327,'Informations sur les produits'!$A$3:$B$15000,2,FALSE),"")</f>
        <v/>
      </c>
      <c r="V8327">
        <f t="shared" si="522"/>
        <v>0</v>
      </c>
      <c r="W8327">
        <f t="shared" si="523"/>
        <v>0</v>
      </c>
    </row>
    <row r="8328" spans="5:23" x14ac:dyDescent="0.25">
      <c r="E8328" s="4"/>
      <c r="F8328" s="4"/>
      <c r="G8328" s="33" t="str">
        <f>IFERROR(VLOOKUP($D8328,'Informations sur les produits'!$A$3:$H$10000,8,FALSE),"0")</f>
        <v>0</v>
      </c>
      <c r="K8328" s="4"/>
      <c r="L8328" s="33" t="str">
        <f>IFERROR(VLOOKUP($J8328,'Informations sur les produits'!$A$3:$H$10000,8,FALSE),"0")</f>
        <v>0</v>
      </c>
      <c r="N8328" s="8"/>
      <c r="O8328" s="33" t="str">
        <f>IFERROR(VLOOKUP($M8328,'Informations sur les produits'!$A$3:$H$10000,8,FALSE),"0")</f>
        <v>0</v>
      </c>
      <c r="P8328" s="33">
        <f t="shared" si="520"/>
        <v>0</v>
      </c>
      <c r="Q8328" s="31" t="str">
        <f t="shared" si="521"/>
        <v/>
      </c>
      <c r="R8328" s="32" t="str">
        <f>IFERROR(VLOOKUP($D8328,'Informations sur les produits'!$A$3:$B$15000,2,FALSE),"")</f>
        <v/>
      </c>
      <c r="V8328">
        <f t="shared" si="522"/>
        <v>0</v>
      </c>
      <c r="W8328">
        <f t="shared" si="523"/>
        <v>0</v>
      </c>
    </row>
    <row r="8329" spans="5:23" x14ac:dyDescent="0.25">
      <c r="E8329" s="4"/>
      <c r="F8329" s="4"/>
      <c r="G8329" s="33" t="str">
        <f>IFERROR(VLOOKUP($D8329,'Informations sur les produits'!$A$3:$H$10000,8,FALSE),"0")</f>
        <v>0</v>
      </c>
      <c r="K8329" s="4"/>
      <c r="L8329" s="33" t="str">
        <f>IFERROR(VLOOKUP($J8329,'Informations sur les produits'!$A$3:$H$10000,8,FALSE),"0")</f>
        <v>0</v>
      </c>
      <c r="N8329" s="8"/>
      <c r="O8329" s="33" t="str">
        <f>IFERROR(VLOOKUP($M8329,'Informations sur les produits'!$A$3:$H$10000,8,FALSE),"0")</f>
        <v>0</v>
      </c>
      <c r="P8329" s="33">
        <f t="shared" si="520"/>
        <v>0</v>
      </c>
      <c r="Q8329" s="31" t="str">
        <f t="shared" si="521"/>
        <v/>
      </c>
      <c r="R8329" s="32" t="str">
        <f>IFERROR(VLOOKUP($D8329,'Informations sur les produits'!$A$3:$B$15000,2,FALSE),"")</f>
        <v/>
      </c>
      <c r="V8329">
        <f t="shared" si="522"/>
        <v>0</v>
      </c>
      <c r="W8329">
        <f t="shared" si="523"/>
        <v>0</v>
      </c>
    </row>
    <row r="8330" spans="5:23" x14ac:dyDescent="0.25">
      <c r="E8330" s="4"/>
      <c r="F8330" s="4"/>
      <c r="G8330" s="33" t="str">
        <f>IFERROR(VLOOKUP($D8330,'Informations sur les produits'!$A$3:$H$10000,8,FALSE),"0")</f>
        <v>0</v>
      </c>
      <c r="K8330" s="4"/>
      <c r="L8330" s="33" t="str">
        <f>IFERROR(VLOOKUP($J8330,'Informations sur les produits'!$A$3:$H$10000,8,FALSE),"0")</f>
        <v>0</v>
      </c>
      <c r="N8330" s="8"/>
      <c r="O8330" s="33" t="str">
        <f>IFERROR(VLOOKUP($M8330,'Informations sur les produits'!$A$3:$H$10000,8,FALSE),"0")</f>
        <v>0</v>
      </c>
      <c r="P8330" s="33">
        <f t="shared" si="520"/>
        <v>0</v>
      </c>
      <c r="Q8330" s="31" t="str">
        <f t="shared" si="521"/>
        <v/>
      </c>
      <c r="R8330" s="32" t="str">
        <f>IFERROR(VLOOKUP($D8330,'Informations sur les produits'!$A$3:$B$15000,2,FALSE),"")</f>
        <v/>
      </c>
      <c r="V8330">
        <f t="shared" si="522"/>
        <v>0</v>
      </c>
      <c r="W8330">
        <f t="shared" si="523"/>
        <v>0</v>
      </c>
    </row>
    <row r="8331" spans="5:23" x14ac:dyDescent="0.25">
      <c r="E8331" s="4"/>
      <c r="F8331" s="4"/>
      <c r="G8331" s="33" t="str">
        <f>IFERROR(VLOOKUP($D8331,'Informations sur les produits'!$A$3:$H$10000,8,FALSE),"0")</f>
        <v>0</v>
      </c>
      <c r="K8331" s="4"/>
      <c r="L8331" s="33" t="str">
        <f>IFERROR(VLOOKUP($J8331,'Informations sur les produits'!$A$3:$H$10000,8,FALSE),"0")</f>
        <v>0</v>
      </c>
      <c r="N8331" s="8"/>
      <c r="O8331" s="33" t="str">
        <f>IFERROR(VLOOKUP($M8331,'Informations sur les produits'!$A$3:$H$10000,8,FALSE),"0")</f>
        <v>0</v>
      </c>
      <c r="P8331" s="33">
        <f t="shared" si="520"/>
        <v>0</v>
      </c>
      <c r="Q8331" s="31" t="str">
        <f t="shared" si="521"/>
        <v/>
      </c>
      <c r="R8331" s="32" t="str">
        <f>IFERROR(VLOOKUP($D8331,'Informations sur les produits'!$A$3:$B$15000,2,FALSE),"")</f>
        <v/>
      </c>
      <c r="V8331">
        <f t="shared" si="522"/>
        <v>0</v>
      </c>
      <c r="W8331">
        <f t="shared" si="523"/>
        <v>0</v>
      </c>
    </row>
    <row r="8332" spans="5:23" x14ac:dyDescent="0.25">
      <c r="E8332" s="4"/>
      <c r="F8332" s="4"/>
      <c r="G8332" s="33" t="str">
        <f>IFERROR(VLOOKUP($D8332,'Informations sur les produits'!$A$3:$H$10000,8,FALSE),"0")</f>
        <v>0</v>
      </c>
      <c r="K8332" s="4"/>
      <c r="L8332" s="33" t="str">
        <f>IFERROR(VLOOKUP($J8332,'Informations sur les produits'!$A$3:$H$10000,8,FALSE),"0")</f>
        <v>0</v>
      </c>
      <c r="N8332" s="8"/>
      <c r="O8332" s="33" t="str">
        <f>IFERROR(VLOOKUP($M8332,'Informations sur les produits'!$A$3:$H$10000,8,FALSE),"0")</f>
        <v>0</v>
      </c>
      <c r="P8332" s="33">
        <f t="shared" si="520"/>
        <v>0</v>
      </c>
      <c r="Q8332" s="31" t="str">
        <f t="shared" si="521"/>
        <v/>
      </c>
      <c r="R8332" s="32" t="str">
        <f>IFERROR(VLOOKUP($D8332,'Informations sur les produits'!$A$3:$B$15000,2,FALSE),"")</f>
        <v/>
      </c>
      <c r="V8332">
        <f t="shared" si="522"/>
        <v>0</v>
      </c>
      <c r="W8332">
        <f t="shared" si="523"/>
        <v>0</v>
      </c>
    </row>
    <row r="8333" spans="5:23" x14ac:dyDescent="0.25">
      <c r="E8333" s="4"/>
      <c r="F8333" s="4"/>
      <c r="G8333" s="33" t="str">
        <f>IFERROR(VLOOKUP($D8333,'Informations sur les produits'!$A$3:$H$10000,8,FALSE),"0")</f>
        <v>0</v>
      </c>
      <c r="K8333" s="4"/>
      <c r="L8333" s="33" t="str">
        <f>IFERROR(VLOOKUP($J8333,'Informations sur les produits'!$A$3:$H$10000,8,FALSE),"0")</f>
        <v>0</v>
      </c>
      <c r="N8333" s="8"/>
      <c r="O8333" s="33" t="str">
        <f>IFERROR(VLOOKUP($M8333,'Informations sur les produits'!$A$3:$H$10000,8,FALSE),"0")</f>
        <v>0</v>
      </c>
      <c r="P8333" s="33">
        <f t="shared" si="520"/>
        <v>0</v>
      </c>
      <c r="Q8333" s="31" t="str">
        <f t="shared" si="521"/>
        <v/>
      </c>
      <c r="R8333" s="32" t="str">
        <f>IFERROR(VLOOKUP($D8333,'Informations sur les produits'!$A$3:$B$15000,2,FALSE),"")</f>
        <v/>
      </c>
      <c r="V8333">
        <f t="shared" si="522"/>
        <v>0</v>
      </c>
      <c r="W8333">
        <f t="shared" si="523"/>
        <v>0</v>
      </c>
    </row>
    <row r="8334" spans="5:23" x14ac:dyDescent="0.25">
      <c r="E8334" s="4"/>
      <c r="F8334" s="4"/>
      <c r="G8334" s="33" t="str">
        <f>IFERROR(VLOOKUP($D8334,'Informations sur les produits'!$A$3:$H$10000,8,FALSE),"0")</f>
        <v>0</v>
      </c>
      <c r="K8334" s="4"/>
      <c r="L8334" s="33" t="str">
        <f>IFERROR(VLOOKUP($J8334,'Informations sur les produits'!$A$3:$H$10000,8,FALSE),"0")</f>
        <v>0</v>
      </c>
      <c r="N8334" s="8"/>
      <c r="O8334" s="33" t="str">
        <f>IFERROR(VLOOKUP($M8334,'Informations sur les produits'!$A$3:$H$10000,8,FALSE),"0")</f>
        <v>0</v>
      </c>
      <c r="P8334" s="33">
        <f t="shared" si="520"/>
        <v>0</v>
      </c>
      <c r="Q8334" s="31" t="str">
        <f t="shared" si="521"/>
        <v/>
      </c>
      <c r="R8334" s="32" t="str">
        <f>IFERROR(VLOOKUP($D8334,'Informations sur les produits'!$A$3:$B$15000,2,FALSE),"")</f>
        <v/>
      </c>
      <c r="V8334">
        <f t="shared" si="522"/>
        <v>0</v>
      </c>
      <c r="W8334">
        <f t="shared" si="523"/>
        <v>0</v>
      </c>
    </row>
    <row r="8335" spans="5:23" x14ac:dyDescent="0.25">
      <c r="E8335" s="4"/>
      <c r="F8335" s="4"/>
      <c r="G8335" s="33" t="str">
        <f>IFERROR(VLOOKUP($D8335,'Informations sur les produits'!$A$3:$H$10000,8,FALSE),"0")</f>
        <v>0</v>
      </c>
      <c r="K8335" s="4"/>
      <c r="L8335" s="33" t="str">
        <f>IFERROR(VLOOKUP($J8335,'Informations sur les produits'!$A$3:$H$10000,8,FALSE),"0")</f>
        <v>0</v>
      </c>
      <c r="N8335" s="8"/>
      <c r="O8335" s="33" t="str">
        <f>IFERROR(VLOOKUP($M8335,'Informations sur les produits'!$A$3:$H$10000,8,FALSE),"0")</f>
        <v>0</v>
      </c>
      <c r="P8335" s="33">
        <f t="shared" si="520"/>
        <v>0</v>
      </c>
      <c r="Q8335" s="31" t="str">
        <f t="shared" si="521"/>
        <v/>
      </c>
      <c r="R8335" s="32" t="str">
        <f>IFERROR(VLOOKUP($D8335,'Informations sur les produits'!$A$3:$B$15000,2,FALSE),"")</f>
        <v/>
      </c>
      <c r="V8335">
        <f t="shared" si="522"/>
        <v>0</v>
      </c>
      <c r="W8335">
        <f t="shared" si="523"/>
        <v>0</v>
      </c>
    </row>
    <row r="8336" spans="5:23" x14ac:dyDescent="0.25">
      <c r="E8336" s="4"/>
      <c r="F8336" s="4"/>
      <c r="G8336" s="33" t="str">
        <f>IFERROR(VLOOKUP($D8336,'Informations sur les produits'!$A$3:$H$10000,8,FALSE),"0")</f>
        <v>0</v>
      </c>
      <c r="K8336" s="4"/>
      <c r="L8336" s="33" t="str">
        <f>IFERROR(VLOOKUP($J8336,'Informations sur les produits'!$A$3:$H$10000,8,FALSE),"0")</f>
        <v>0</v>
      </c>
      <c r="N8336" s="8"/>
      <c r="O8336" s="33" t="str">
        <f>IFERROR(VLOOKUP($M8336,'Informations sur les produits'!$A$3:$H$10000,8,FALSE),"0")</f>
        <v>0</v>
      </c>
      <c r="P8336" s="33">
        <f t="shared" si="520"/>
        <v>0</v>
      </c>
      <c r="Q8336" s="31" t="str">
        <f t="shared" si="521"/>
        <v/>
      </c>
      <c r="R8336" s="32" t="str">
        <f>IFERROR(VLOOKUP($D8336,'Informations sur les produits'!$A$3:$B$15000,2,FALSE),"")</f>
        <v/>
      </c>
      <c r="V8336">
        <f t="shared" si="522"/>
        <v>0</v>
      </c>
      <c r="W8336">
        <f t="shared" si="523"/>
        <v>0</v>
      </c>
    </row>
    <row r="8337" spans="5:23" x14ac:dyDescent="0.25">
      <c r="E8337" s="4"/>
      <c r="F8337" s="4"/>
      <c r="G8337" s="33" t="str">
        <f>IFERROR(VLOOKUP($D8337,'Informations sur les produits'!$A$3:$H$10000,8,FALSE),"0")</f>
        <v>0</v>
      </c>
      <c r="K8337" s="4"/>
      <c r="L8337" s="33" t="str">
        <f>IFERROR(VLOOKUP($J8337,'Informations sur les produits'!$A$3:$H$10000,8,FALSE),"0")</f>
        <v>0</v>
      </c>
      <c r="N8337" s="8"/>
      <c r="O8337" s="33" t="str">
        <f>IFERROR(VLOOKUP($M8337,'Informations sur les produits'!$A$3:$H$10000,8,FALSE),"0")</f>
        <v>0</v>
      </c>
      <c r="P8337" s="33">
        <f t="shared" si="520"/>
        <v>0</v>
      </c>
      <c r="Q8337" s="31" t="str">
        <f t="shared" si="521"/>
        <v/>
      </c>
      <c r="R8337" s="32" t="str">
        <f>IFERROR(VLOOKUP($D8337,'Informations sur les produits'!$A$3:$B$15000,2,FALSE),"")</f>
        <v/>
      </c>
      <c r="V8337">
        <f t="shared" si="522"/>
        <v>0</v>
      </c>
      <c r="W8337">
        <f t="shared" si="523"/>
        <v>0</v>
      </c>
    </row>
    <row r="8338" spans="5:23" x14ac:dyDescent="0.25">
      <c r="E8338" s="4"/>
      <c r="F8338" s="4"/>
      <c r="G8338" s="33" t="str">
        <f>IFERROR(VLOOKUP($D8338,'Informations sur les produits'!$A$3:$H$10000,8,FALSE),"0")</f>
        <v>0</v>
      </c>
      <c r="K8338" s="4"/>
      <c r="L8338" s="33" t="str">
        <f>IFERROR(VLOOKUP($J8338,'Informations sur les produits'!$A$3:$H$10000,8,FALSE),"0")</f>
        <v>0</v>
      </c>
      <c r="N8338" s="8"/>
      <c r="O8338" s="33" t="str">
        <f>IFERROR(VLOOKUP($M8338,'Informations sur les produits'!$A$3:$H$10000,8,FALSE),"0")</f>
        <v>0</v>
      </c>
      <c r="P8338" s="33">
        <f t="shared" si="520"/>
        <v>0</v>
      </c>
      <c r="Q8338" s="31" t="str">
        <f t="shared" si="521"/>
        <v/>
      </c>
      <c r="R8338" s="32" t="str">
        <f>IFERROR(VLOOKUP($D8338,'Informations sur les produits'!$A$3:$B$15000,2,FALSE),"")</f>
        <v/>
      </c>
      <c r="V8338">
        <f t="shared" si="522"/>
        <v>0</v>
      </c>
      <c r="W8338">
        <f t="shared" si="523"/>
        <v>0</v>
      </c>
    </row>
    <row r="8339" spans="5:23" x14ac:dyDescent="0.25">
      <c r="E8339" s="4"/>
      <c r="F8339" s="4"/>
      <c r="G8339" s="33" t="str">
        <f>IFERROR(VLOOKUP($D8339,'Informations sur les produits'!$A$3:$H$10000,8,FALSE),"0")</f>
        <v>0</v>
      </c>
      <c r="K8339" s="4"/>
      <c r="L8339" s="33" t="str">
        <f>IFERROR(VLOOKUP($J8339,'Informations sur les produits'!$A$3:$H$10000,8,FALSE),"0")</f>
        <v>0</v>
      </c>
      <c r="N8339" s="8"/>
      <c r="O8339" s="33" t="str">
        <f>IFERROR(VLOOKUP($M8339,'Informations sur les produits'!$A$3:$H$10000,8,FALSE),"0")</f>
        <v>0</v>
      </c>
      <c r="P8339" s="33">
        <f t="shared" si="520"/>
        <v>0</v>
      </c>
      <c r="Q8339" s="31" t="str">
        <f t="shared" si="521"/>
        <v/>
      </c>
      <c r="R8339" s="32" t="str">
        <f>IFERROR(VLOOKUP($D8339,'Informations sur les produits'!$A$3:$B$15000,2,FALSE),"")</f>
        <v/>
      </c>
      <c r="V8339">
        <f t="shared" si="522"/>
        <v>0</v>
      </c>
      <c r="W8339">
        <f t="shared" si="523"/>
        <v>0</v>
      </c>
    </row>
    <row r="8340" spans="5:23" x14ac:dyDescent="0.25">
      <c r="E8340" s="4"/>
      <c r="F8340" s="4"/>
      <c r="G8340" s="33" t="str">
        <f>IFERROR(VLOOKUP($D8340,'Informations sur les produits'!$A$3:$H$10000,8,FALSE),"0")</f>
        <v>0</v>
      </c>
      <c r="K8340" s="4"/>
      <c r="L8340" s="33" t="str">
        <f>IFERROR(VLOOKUP($J8340,'Informations sur les produits'!$A$3:$H$10000,8,FALSE),"0")</f>
        <v>0</v>
      </c>
      <c r="N8340" s="8"/>
      <c r="O8340" s="33" t="str">
        <f>IFERROR(VLOOKUP($M8340,'Informations sur les produits'!$A$3:$H$10000,8,FALSE),"0")</f>
        <v>0</v>
      </c>
      <c r="P8340" s="33">
        <f t="shared" si="520"/>
        <v>0</v>
      </c>
      <c r="Q8340" s="31" t="str">
        <f t="shared" si="521"/>
        <v/>
      </c>
      <c r="R8340" s="32" t="str">
        <f>IFERROR(VLOOKUP($D8340,'Informations sur les produits'!$A$3:$B$15000,2,FALSE),"")</f>
        <v/>
      </c>
      <c r="V8340">
        <f t="shared" si="522"/>
        <v>0</v>
      </c>
      <c r="W8340">
        <f t="shared" si="523"/>
        <v>0</v>
      </c>
    </row>
    <row r="8341" spans="5:23" x14ac:dyDescent="0.25">
      <c r="E8341" s="4"/>
      <c r="F8341" s="4"/>
      <c r="G8341" s="33" t="str">
        <f>IFERROR(VLOOKUP($D8341,'Informations sur les produits'!$A$3:$H$10000,8,FALSE),"0")</f>
        <v>0</v>
      </c>
      <c r="K8341" s="4"/>
      <c r="L8341" s="33" t="str">
        <f>IFERROR(VLOOKUP($J8341,'Informations sur les produits'!$A$3:$H$10000,8,FALSE),"0")</f>
        <v>0</v>
      </c>
      <c r="N8341" s="8"/>
      <c r="O8341" s="33" t="str">
        <f>IFERROR(VLOOKUP($M8341,'Informations sur les produits'!$A$3:$H$10000,8,FALSE),"0")</f>
        <v>0</v>
      </c>
      <c r="P8341" s="33">
        <f t="shared" si="520"/>
        <v>0</v>
      </c>
      <c r="Q8341" s="31" t="str">
        <f t="shared" si="521"/>
        <v/>
      </c>
      <c r="R8341" s="32" t="str">
        <f>IFERROR(VLOOKUP($D8341,'Informations sur les produits'!$A$3:$B$15000,2,FALSE),"")</f>
        <v/>
      </c>
      <c r="V8341">
        <f t="shared" si="522"/>
        <v>0</v>
      </c>
      <c r="W8341">
        <f t="shared" si="523"/>
        <v>0</v>
      </c>
    </row>
    <row r="8342" spans="5:23" x14ac:dyDescent="0.25">
      <c r="E8342" s="4"/>
      <c r="F8342" s="4"/>
      <c r="G8342" s="33" t="str">
        <f>IFERROR(VLOOKUP($D8342,'Informations sur les produits'!$A$3:$H$10000,8,FALSE),"0")</f>
        <v>0</v>
      </c>
      <c r="K8342" s="4"/>
      <c r="L8342" s="33" t="str">
        <f>IFERROR(VLOOKUP($J8342,'Informations sur les produits'!$A$3:$H$10000,8,FALSE),"0")</f>
        <v>0</v>
      </c>
      <c r="N8342" s="8"/>
      <c r="O8342" s="33" t="str">
        <f>IFERROR(VLOOKUP($M8342,'Informations sur les produits'!$A$3:$H$10000,8,FALSE),"0")</f>
        <v>0</v>
      </c>
      <c r="P8342" s="33">
        <f t="shared" si="520"/>
        <v>0</v>
      </c>
      <c r="Q8342" s="31" t="str">
        <f t="shared" si="521"/>
        <v/>
      </c>
      <c r="R8342" s="32" t="str">
        <f>IFERROR(VLOOKUP($D8342,'Informations sur les produits'!$A$3:$B$15000,2,FALSE),"")</f>
        <v/>
      </c>
      <c r="V8342">
        <f t="shared" si="522"/>
        <v>0</v>
      </c>
      <c r="W8342">
        <f t="shared" si="523"/>
        <v>0</v>
      </c>
    </row>
    <row r="8343" spans="5:23" x14ac:dyDescent="0.25">
      <c r="E8343" s="4"/>
      <c r="F8343" s="4"/>
      <c r="G8343" s="33" t="str">
        <f>IFERROR(VLOOKUP($D8343,'Informations sur les produits'!$A$3:$H$10000,8,FALSE),"0")</f>
        <v>0</v>
      </c>
      <c r="K8343" s="4"/>
      <c r="L8343" s="33" t="str">
        <f>IFERROR(VLOOKUP($J8343,'Informations sur les produits'!$A$3:$H$10000,8,FALSE),"0")</f>
        <v>0</v>
      </c>
      <c r="N8343" s="8"/>
      <c r="O8343" s="33" t="str">
        <f>IFERROR(VLOOKUP($M8343,'Informations sur les produits'!$A$3:$H$10000,8,FALSE),"0")</f>
        <v>0</v>
      </c>
      <c r="P8343" s="33">
        <f t="shared" si="520"/>
        <v>0</v>
      </c>
      <c r="Q8343" s="31" t="str">
        <f t="shared" si="521"/>
        <v/>
      </c>
      <c r="R8343" s="32" t="str">
        <f>IFERROR(VLOOKUP($D8343,'Informations sur les produits'!$A$3:$B$15000,2,FALSE),"")</f>
        <v/>
      </c>
      <c r="V8343">
        <f t="shared" si="522"/>
        <v>0</v>
      </c>
      <c r="W8343">
        <f t="shared" si="523"/>
        <v>0</v>
      </c>
    </row>
    <row r="8344" spans="5:23" x14ac:dyDescent="0.25">
      <c r="E8344" s="4"/>
      <c r="F8344" s="4"/>
      <c r="G8344" s="33" t="str">
        <f>IFERROR(VLOOKUP($D8344,'Informations sur les produits'!$A$3:$H$10000,8,FALSE),"0")</f>
        <v>0</v>
      </c>
      <c r="K8344" s="4"/>
      <c r="L8344" s="33" t="str">
        <f>IFERROR(VLOOKUP($J8344,'Informations sur les produits'!$A$3:$H$10000,8,FALSE),"0")</f>
        <v>0</v>
      </c>
      <c r="N8344" s="8"/>
      <c r="O8344" s="33" t="str">
        <f>IFERROR(VLOOKUP($M8344,'Informations sur les produits'!$A$3:$H$10000,8,FALSE),"0")</f>
        <v>0</v>
      </c>
      <c r="P8344" s="33">
        <f t="shared" si="520"/>
        <v>0</v>
      </c>
      <c r="Q8344" s="31" t="str">
        <f t="shared" si="521"/>
        <v/>
      </c>
      <c r="R8344" s="32" t="str">
        <f>IFERROR(VLOOKUP($D8344,'Informations sur les produits'!$A$3:$B$15000,2,FALSE),"")</f>
        <v/>
      </c>
      <c r="V8344">
        <f t="shared" si="522"/>
        <v>0</v>
      </c>
      <c r="W8344">
        <f t="shared" si="523"/>
        <v>0</v>
      </c>
    </row>
    <row r="8345" spans="5:23" x14ac:dyDescent="0.25">
      <c r="E8345" s="4"/>
      <c r="F8345" s="4"/>
      <c r="G8345" s="33" t="str">
        <f>IFERROR(VLOOKUP($D8345,'Informations sur les produits'!$A$3:$H$10000,8,FALSE),"0")</f>
        <v>0</v>
      </c>
      <c r="K8345" s="4"/>
      <c r="L8345" s="33" t="str">
        <f>IFERROR(VLOOKUP($J8345,'Informations sur les produits'!$A$3:$H$10000,8,FALSE),"0")</f>
        <v>0</v>
      </c>
      <c r="N8345" s="8"/>
      <c r="O8345" s="33" t="str">
        <f>IFERROR(VLOOKUP($M8345,'Informations sur les produits'!$A$3:$H$10000,8,FALSE),"0")</f>
        <v>0</v>
      </c>
      <c r="P8345" s="33">
        <f t="shared" si="520"/>
        <v>0</v>
      </c>
      <c r="Q8345" s="31" t="str">
        <f t="shared" si="521"/>
        <v/>
      </c>
      <c r="R8345" s="32" t="str">
        <f>IFERROR(VLOOKUP($D8345,'Informations sur les produits'!$A$3:$B$15000,2,FALSE),"")</f>
        <v/>
      </c>
      <c r="V8345">
        <f t="shared" si="522"/>
        <v>0</v>
      </c>
      <c r="W8345">
        <f t="shared" si="523"/>
        <v>0</v>
      </c>
    </row>
    <row r="8346" spans="5:23" x14ac:dyDescent="0.25">
      <c r="E8346" s="4"/>
      <c r="F8346" s="4"/>
      <c r="G8346" s="33" t="str">
        <f>IFERROR(VLOOKUP($D8346,'Informations sur les produits'!$A$3:$H$10000,8,FALSE),"0")</f>
        <v>0</v>
      </c>
      <c r="K8346" s="4"/>
      <c r="L8346" s="33" t="str">
        <f>IFERROR(VLOOKUP($J8346,'Informations sur les produits'!$A$3:$H$10000,8,FALSE),"0")</f>
        <v>0</v>
      </c>
      <c r="N8346" s="8"/>
      <c r="O8346" s="33" t="str">
        <f>IFERROR(VLOOKUP($M8346,'Informations sur les produits'!$A$3:$H$10000,8,FALSE),"0")</f>
        <v>0</v>
      </c>
      <c r="P8346" s="33">
        <f t="shared" si="520"/>
        <v>0</v>
      </c>
      <c r="Q8346" s="31" t="str">
        <f t="shared" si="521"/>
        <v/>
      </c>
      <c r="R8346" s="32" t="str">
        <f>IFERROR(VLOOKUP($D8346,'Informations sur les produits'!$A$3:$B$15000,2,FALSE),"")</f>
        <v/>
      </c>
      <c r="V8346">
        <f t="shared" si="522"/>
        <v>0</v>
      </c>
      <c r="W8346">
        <f t="shared" si="523"/>
        <v>0</v>
      </c>
    </row>
    <row r="8347" spans="5:23" x14ac:dyDescent="0.25">
      <c r="E8347" s="4"/>
      <c r="F8347" s="4"/>
      <c r="G8347" s="33" t="str">
        <f>IFERROR(VLOOKUP($D8347,'Informations sur les produits'!$A$3:$H$10000,8,FALSE),"0")</f>
        <v>0</v>
      </c>
      <c r="K8347" s="4"/>
      <c r="L8347" s="33" t="str">
        <f>IFERROR(VLOOKUP($J8347,'Informations sur les produits'!$A$3:$H$10000,8,FALSE),"0")</f>
        <v>0</v>
      </c>
      <c r="N8347" s="8"/>
      <c r="O8347" s="33" t="str">
        <f>IFERROR(VLOOKUP($M8347,'Informations sur les produits'!$A$3:$H$10000,8,FALSE),"0")</f>
        <v>0</v>
      </c>
      <c r="P8347" s="33">
        <f t="shared" si="520"/>
        <v>0</v>
      </c>
      <c r="Q8347" s="31" t="str">
        <f t="shared" si="521"/>
        <v/>
      </c>
      <c r="R8347" s="32" t="str">
        <f>IFERROR(VLOOKUP($D8347,'Informations sur les produits'!$A$3:$B$15000,2,FALSE),"")</f>
        <v/>
      </c>
      <c r="V8347">
        <f t="shared" si="522"/>
        <v>0</v>
      </c>
      <c r="W8347">
        <f t="shared" si="523"/>
        <v>0</v>
      </c>
    </row>
    <row r="8348" spans="5:23" x14ac:dyDescent="0.25">
      <c r="E8348" s="4"/>
      <c r="F8348" s="4"/>
      <c r="G8348" s="33" t="str">
        <f>IFERROR(VLOOKUP($D8348,'Informations sur les produits'!$A$3:$H$10000,8,FALSE),"0")</f>
        <v>0</v>
      </c>
      <c r="K8348" s="4"/>
      <c r="L8348" s="33" t="str">
        <f>IFERROR(VLOOKUP($J8348,'Informations sur les produits'!$A$3:$H$10000,8,FALSE),"0")</f>
        <v>0</v>
      </c>
      <c r="N8348" s="8"/>
      <c r="O8348" s="33" t="str">
        <f>IFERROR(VLOOKUP($M8348,'Informations sur les produits'!$A$3:$H$10000,8,FALSE),"0")</f>
        <v>0</v>
      </c>
      <c r="P8348" s="33">
        <f t="shared" si="520"/>
        <v>0</v>
      </c>
      <c r="Q8348" s="31" t="str">
        <f t="shared" si="521"/>
        <v/>
      </c>
      <c r="R8348" s="32" t="str">
        <f>IFERROR(VLOOKUP($D8348,'Informations sur les produits'!$A$3:$B$15000,2,FALSE),"")</f>
        <v/>
      </c>
      <c r="V8348">
        <f t="shared" si="522"/>
        <v>0</v>
      </c>
      <c r="W8348">
        <f t="shared" si="523"/>
        <v>0</v>
      </c>
    </row>
    <row r="8349" spans="5:23" x14ac:dyDescent="0.25">
      <c r="E8349" s="4"/>
      <c r="F8349" s="4"/>
      <c r="G8349" s="33" t="str">
        <f>IFERROR(VLOOKUP($D8349,'Informations sur les produits'!$A$3:$H$10000,8,FALSE),"0")</f>
        <v>0</v>
      </c>
      <c r="K8349" s="4"/>
      <c r="L8349" s="33" t="str">
        <f>IFERROR(VLOOKUP($J8349,'Informations sur les produits'!$A$3:$H$10000,8,FALSE),"0")</f>
        <v>0</v>
      </c>
      <c r="N8349" s="8"/>
      <c r="O8349" s="33" t="str">
        <f>IFERROR(VLOOKUP($M8349,'Informations sur les produits'!$A$3:$H$10000,8,FALSE),"0")</f>
        <v>0</v>
      </c>
      <c r="P8349" s="33">
        <f t="shared" si="520"/>
        <v>0</v>
      </c>
      <c r="Q8349" s="31" t="str">
        <f t="shared" si="521"/>
        <v/>
      </c>
      <c r="R8349" s="32" t="str">
        <f>IFERROR(VLOOKUP($D8349,'Informations sur les produits'!$A$3:$B$15000,2,FALSE),"")</f>
        <v/>
      </c>
      <c r="V8349">
        <f t="shared" si="522"/>
        <v>0</v>
      </c>
      <c r="W8349">
        <f t="shared" si="523"/>
        <v>0</v>
      </c>
    </row>
    <row r="8350" spans="5:23" x14ac:dyDescent="0.25">
      <c r="E8350" s="4"/>
      <c r="F8350" s="4"/>
      <c r="G8350" s="33" t="str">
        <f>IFERROR(VLOOKUP($D8350,'Informations sur les produits'!$A$3:$H$10000,8,FALSE),"0")</f>
        <v>0</v>
      </c>
      <c r="K8350" s="4"/>
      <c r="L8350" s="33" t="str">
        <f>IFERROR(VLOOKUP($J8350,'Informations sur les produits'!$A$3:$H$10000,8,FALSE),"0")</f>
        <v>0</v>
      </c>
      <c r="N8350" s="8"/>
      <c r="O8350" s="33" t="str">
        <f>IFERROR(VLOOKUP($M8350,'Informations sur les produits'!$A$3:$H$10000,8,FALSE),"0")</f>
        <v>0</v>
      </c>
      <c r="P8350" s="33">
        <f t="shared" si="520"/>
        <v>0</v>
      </c>
      <c r="Q8350" s="31" t="str">
        <f t="shared" si="521"/>
        <v/>
      </c>
      <c r="R8350" s="32" t="str">
        <f>IFERROR(VLOOKUP($D8350,'Informations sur les produits'!$A$3:$B$15000,2,FALSE),"")</f>
        <v/>
      </c>
      <c r="V8350">
        <f t="shared" si="522"/>
        <v>0</v>
      </c>
      <c r="W8350">
        <f t="shared" si="523"/>
        <v>0</v>
      </c>
    </row>
    <row r="8351" spans="5:23" x14ac:dyDescent="0.25">
      <c r="E8351" s="4"/>
      <c r="F8351" s="4"/>
      <c r="G8351" s="33" t="str">
        <f>IFERROR(VLOOKUP($D8351,'Informations sur les produits'!$A$3:$H$10000,8,FALSE),"0")</f>
        <v>0</v>
      </c>
      <c r="K8351" s="4"/>
      <c r="L8351" s="33" t="str">
        <f>IFERROR(VLOOKUP($J8351,'Informations sur les produits'!$A$3:$H$10000,8,FALSE),"0")</f>
        <v>0</v>
      </c>
      <c r="N8351" s="8"/>
      <c r="O8351" s="33" t="str">
        <f>IFERROR(VLOOKUP($M8351,'Informations sur les produits'!$A$3:$H$10000,8,FALSE),"0")</f>
        <v>0</v>
      </c>
      <c r="P8351" s="33">
        <f t="shared" si="520"/>
        <v>0</v>
      </c>
      <c r="Q8351" s="31" t="str">
        <f t="shared" si="521"/>
        <v/>
      </c>
      <c r="R8351" s="32" t="str">
        <f>IFERROR(VLOOKUP($D8351,'Informations sur les produits'!$A$3:$B$15000,2,FALSE),"")</f>
        <v/>
      </c>
      <c r="V8351">
        <f t="shared" si="522"/>
        <v>0</v>
      </c>
      <c r="W8351">
        <f t="shared" si="523"/>
        <v>0</v>
      </c>
    </row>
    <row r="8352" spans="5:23" x14ac:dyDescent="0.25">
      <c r="E8352" s="4"/>
      <c r="F8352" s="4"/>
      <c r="G8352" s="33" t="str">
        <f>IFERROR(VLOOKUP($D8352,'Informations sur les produits'!$A$3:$H$10000,8,FALSE),"0")</f>
        <v>0</v>
      </c>
      <c r="K8352" s="4"/>
      <c r="L8352" s="33" t="str">
        <f>IFERROR(VLOOKUP($J8352,'Informations sur les produits'!$A$3:$H$10000,8,FALSE),"0")</f>
        <v>0</v>
      </c>
      <c r="N8352" s="8"/>
      <c r="O8352" s="33" t="str">
        <f>IFERROR(VLOOKUP($M8352,'Informations sur les produits'!$A$3:$H$10000,8,FALSE),"0")</f>
        <v>0</v>
      </c>
      <c r="P8352" s="33">
        <f t="shared" si="520"/>
        <v>0</v>
      </c>
      <c r="Q8352" s="31" t="str">
        <f t="shared" si="521"/>
        <v/>
      </c>
      <c r="R8352" s="32" t="str">
        <f>IFERROR(VLOOKUP($D8352,'Informations sur les produits'!$A$3:$B$15000,2,FALSE),"")</f>
        <v/>
      </c>
      <c r="V8352">
        <f t="shared" si="522"/>
        <v>0</v>
      </c>
      <c r="W8352">
        <f t="shared" si="523"/>
        <v>0</v>
      </c>
    </row>
    <row r="8353" spans="5:23" x14ac:dyDescent="0.25">
      <c r="E8353" s="4"/>
      <c r="F8353" s="4"/>
      <c r="G8353" s="33" t="str">
        <f>IFERROR(VLOOKUP($D8353,'Informations sur les produits'!$A$3:$H$10000,8,FALSE),"0")</f>
        <v>0</v>
      </c>
      <c r="K8353" s="4"/>
      <c r="L8353" s="33" t="str">
        <f>IFERROR(VLOOKUP($J8353,'Informations sur les produits'!$A$3:$H$10000,8,FALSE),"0")</f>
        <v>0</v>
      </c>
      <c r="N8353" s="8"/>
      <c r="O8353" s="33" t="str">
        <f>IFERROR(VLOOKUP($M8353,'Informations sur les produits'!$A$3:$H$10000,8,FALSE),"0")</f>
        <v>0</v>
      </c>
      <c r="P8353" s="33">
        <f t="shared" si="520"/>
        <v>0</v>
      </c>
      <c r="Q8353" s="31" t="str">
        <f t="shared" si="521"/>
        <v/>
      </c>
      <c r="R8353" s="32" t="str">
        <f>IFERROR(VLOOKUP($D8353,'Informations sur les produits'!$A$3:$B$15000,2,FALSE),"")</f>
        <v/>
      </c>
      <c r="V8353">
        <f t="shared" si="522"/>
        <v>0</v>
      </c>
      <c r="W8353">
        <f t="shared" si="523"/>
        <v>0</v>
      </c>
    </row>
    <row r="8354" spans="5:23" x14ac:dyDescent="0.25">
      <c r="E8354" s="4"/>
      <c r="F8354" s="4"/>
      <c r="G8354" s="33" t="str">
        <f>IFERROR(VLOOKUP($D8354,'Informations sur les produits'!$A$3:$H$10000,8,FALSE),"0")</f>
        <v>0</v>
      </c>
      <c r="K8354" s="4"/>
      <c r="L8354" s="33" t="str">
        <f>IFERROR(VLOOKUP($J8354,'Informations sur les produits'!$A$3:$H$10000,8,FALSE),"0")</f>
        <v>0</v>
      </c>
      <c r="N8354" s="8"/>
      <c r="O8354" s="33" t="str">
        <f>IFERROR(VLOOKUP($M8354,'Informations sur les produits'!$A$3:$H$10000,8,FALSE),"0")</f>
        <v>0</v>
      </c>
      <c r="P8354" s="33">
        <f t="shared" si="520"/>
        <v>0</v>
      </c>
      <c r="Q8354" s="31" t="str">
        <f t="shared" si="521"/>
        <v/>
      </c>
      <c r="R8354" s="32" t="str">
        <f>IFERROR(VLOOKUP($D8354,'Informations sur les produits'!$A$3:$B$15000,2,FALSE),"")</f>
        <v/>
      </c>
      <c r="V8354">
        <f t="shared" si="522"/>
        <v>0</v>
      </c>
      <c r="W8354">
        <f t="shared" si="523"/>
        <v>0</v>
      </c>
    </row>
    <row r="8355" spans="5:23" x14ac:dyDescent="0.25">
      <c r="E8355" s="4"/>
      <c r="F8355" s="4"/>
      <c r="G8355" s="33" t="str">
        <f>IFERROR(VLOOKUP($D8355,'Informations sur les produits'!$A$3:$H$10000,8,FALSE),"0")</f>
        <v>0</v>
      </c>
      <c r="K8355" s="4"/>
      <c r="L8355" s="33" t="str">
        <f>IFERROR(VLOOKUP($J8355,'Informations sur les produits'!$A$3:$H$10000,8,FALSE),"0")</f>
        <v>0</v>
      </c>
      <c r="N8355" s="8"/>
      <c r="O8355" s="33" t="str">
        <f>IFERROR(VLOOKUP($M8355,'Informations sur les produits'!$A$3:$H$10000,8,FALSE),"0")</f>
        <v>0</v>
      </c>
      <c r="P8355" s="33">
        <f t="shared" si="520"/>
        <v>0</v>
      </c>
      <c r="Q8355" s="31" t="str">
        <f t="shared" si="521"/>
        <v/>
      </c>
      <c r="R8355" s="32" t="str">
        <f>IFERROR(VLOOKUP($D8355,'Informations sur les produits'!$A$3:$B$15000,2,FALSE),"")</f>
        <v/>
      </c>
      <c r="V8355">
        <f t="shared" si="522"/>
        <v>0</v>
      </c>
      <c r="W8355">
        <f t="shared" si="523"/>
        <v>0</v>
      </c>
    </row>
    <row r="8356" spans="5:23" x14ac:dyDescent="0.25">
      <c r="E8356" s="4"/>
      <c r="F8356" s="4"/>
      <c r="G8356" s="33" t="str">
        <f>IFERROR(VLOOKUP($D8356,'Informations sur les produits'!$A$3:$H$10000,8,FALSE),"0")</f>
        <v>0</v>
      </c>
      <c r="K8356" s="4"/>
      <c r="L8356" s="33" t="str">
        <f>IFERROR(VLOOKUP($J8356,'Informations sur les produits'!$A$3:$H$10000,8,FALSE),"0")</f>
        <v>0</v>
      </c>
      <c r="N8356" s="8"/>
      <c r="O8356" s="33" t="str">
        <f>IFERROR(VLOOKUP($M8356,'Informations sur les produits'!$A$3:$H$10000,8,FALSE),"0")</f>
        <v>0</v>
      </c>
      <c r="P8356" s="33">
        <f t="shared" si="520"/>
        <v>0</v>
      </c>
      <c r="Q8356" s="31" t="str">
        <f t="shared" si="521"/>
        <v/>
      </c>
      <c r="R8356" s="32" t="str">
        <f>IFERROR(VLOOKUP($D8356,'Informations sur les produits'!$A$3:$B$15000,2,FALSE),"")</f>
        <v/>
      </c>
      <c r="V8356">
        <f t="shared" si="522"/>
        <v>0</v>
      </c>
      <c r="W8356">
        <f t="shared" si="523"/>
        <v>0</v>
      </c>
    </row>
    <row r="8357" spans="5:23" x14ac:dyDescent="0.25">
      <c r="E8357" s="4"/>
      <c r="F8357" s="4"/>
      <c r="G8357" s="33" t="str">
        <f>IFERROR(VLOOKUP($D8357,'Informations sur les produits'!$A$3:$H$10000,8,FALSE),"0")</f>
        <v>0</v>
      </c>
      <c r="K8357" s="4"/>
      <c r="L8357" s="33" t="str">
        <f>IFERROR(VLOOKUP($J8357,'Informations sur les produits'!$A$3:$H$10000,8,FALSE),"0")</f>
        <v>0</v>
      </c>
      <c r="N8357" s="8"/>
      <c r="O8357" s="33" t="str">
        <f>IFERROR(VLOOKUP($M8357,'Informations sur les produits'!$A$3:$H$10000,8,FALSE),"0")</f>
        <v>0</v>
      </c>
      <c r="P8357" s="33">
        <f t="shared" si="520"/>
        <v>0</v>
      </c>
      <c r="Q8357" s="31" t="str">
        <f t="shared" si="521"/>
        <v/>
      </c>
      <c r="R8357" s="32" t="str">
        <f>IFERROR(VLOOKUP($D8357,'Informations sur les produits'!$A$3:$B$15000,2,FALSE),"")</f>
        <v/>
      </c>
      <c r="V8357">
        <f t="shared" si="522"/>
        <v>0</v>
      </c>
      <c r="W8357">
        <f t="shared" si="523"/>
        <v>0</v>
      </c>
    </row>
    <row r="8358" spans="5:23" x14ac:dyDescent="0.25">
      <c r="E8358" s="4"/>
      <c r="F8358" s="4"/>
      <c r="G8358" s="33" t="str">
        <f>IFERROR(VLOOKUP($D8358,'Informations sur les produits'!$A$3:$H$10000,8,FALSE),"0")</f>
        <v>0</v>
      </c>
      <c r="K8358" s="4"/>
      <c r="L8358" s="33" t="str">
        <f>IFERROR(VLOOKUP($J8358,'Informations sur les produits'!$A$3:$H$10000,8,FALSE),"0")</f>
        <v>0</v>
      </c>
      <c r="N8358" s="8"/>
      <c r="O8358" s="33" t="str">
        <f>IFERROR(VLOOKUP($M8358,'Informations sur les produits'!$A$3:$H$10000,8,FALSE),"0")</f>
        <v>0</v>
      </c>
      <c r="P8358" s="33">
        <f t="shared" si="520"/>
        <v>0</v>
      </c>
      <c r="Q8358" s="31" t="str">
        <f t="shared" si="521"/>
        <v/>
      </c>
      <c r="R8358" s="32" t="str">
        <f>IFERROR(VLOOKUP($D8358,'Informations sur les produits'!$A$3:$B$15000,2,FALSE),"")</f>
        <v/>
      </c>
      <c r="V8358">
        <f t="shared" si="522"/>
        <v>0</v>
      </c>
      <c r="W8358">
        <f t="shared" si="523"/>
        <v>0</v>
      </c>
    </row>
    <row r="8359" spans="5:23" x14ac:dyDescent="0.25">
      <c r="E8359" s="4"/>
      <c r="F8359" s="4"/>
      <c r="G8359" s="33" t="str">
        <f>IFERROR(VLOOKUP($D8359,'Informations sur les produits'!$A$3:$H$10000,8,FALSE),"0")</f>
        <v>0</v>
      </c>
      <c r="K8359" s="4"/>
      <c r="L8359" s="33" t="str">
        <f>IFERROR(VLOOKUP($J8359,'Informations sur les produits'!$A$3:$H$10000,8,FALSE),"0")</f>
        <v>0</v>
      </c>
      <c r="N8359" s="8"/>
      <c r="O8359" s="33" t="str">
        <f>IFERROR(VLOOKUP($M8359,'Informations sur les produits'!$A$3:$H$10000,8,FALSE),"0")</f>
        <v>0</v>
      </c>
      <c r="P8359" s="33">
        <f t="shared" si="520"/>
        <v>0</v>
      </c>
      <c r="Q8359" s="31" t="str">
        <f t="shared" si="521"/>
        <v/>
      </c>
      <c r="R8359" s="32" t="str">
        <f>IFERROR(VLOOKUP($D8359,'Informations sur les produits'!$A$3:$B$15000,2,FALSE),"")</f>
        <v/>
      </c>
      <c r="V8359">
        <f t="shared" si="522"/>
        <v>0</v>
      </c>
      <c r="W8359">
        <f t="shared" si="523"/>
        <v>0</v>
      </c>
    </row>
    <row r="8360" spans="5:23" x14ac:dyDescent="0.25">
      <c r="E8360" s="4"/>
      <c r="F8360" s="4"/>
      <c r="G8360" s="33" t="str">
        <f>IFERROR(VLOOKUP($D8360,'Informations sur les produits'!$A$3:$H$10000,8,FALSE),"0")</f>
        <v>0</v>
      </c>
      <c r="K8360" s="4"/>
      <c r="L8360" s="33" t="str">
        <f>IFERROR(VLOOKUP($J8360,'Informations sur les produits'!$A$3:$H$10000,8,FALSE),"0")</f>
        <v>0</v>
      </c>
      <c r="N8360" s="8"/>
      <c r="O8360" s="33" t="str">
        <f>IFERROR(VLOOKUP($M8360,'Informations sur les produits'!$A$3:$H$10000,8,FALSE),"0")</f>
        <v>0</v>
      </c>
      <c r="P8360" s="33">
        <f t="shared" si="520"/>
        <v>0</v>
      </c>
      <c r="Q8360" s="31" t="str">
        <f t="shared" si="521"/>
        <v/>
      </c>
      <c r="R8360" s="32" t="str">
        <f>IFERROR(VLOOKUP($D8360,'Informations sur les produits'!$A$3:$B$15000,2,FALSE),"")</f>
        <v/>
      </c>
      <c r="V8360">
        <f t="shared" si="522"/>
        <v>0</v>
      </c>
      <c r="W8360">
        <f t="shared" si="523"/>
        <v>0</v>
      </c>
    </row>
    <row r="8361" spans="5:23" x14ac:dyDescent="0.25">
      <c r="E8361" s="4"/>
      <c r="F8361" s="4"/>
      <c r="G8361" s="33" t="str">
        <f>IFERROR(VLOOKUP($D8361,'Informations sur les produits'!$A$3:$H$10000,8,FALSE),"0")</f>
        <v>0</v>
      </c>
      <c r="K8361" s="4"/>
      <c r="L8361" s="33" t="str">
        <f>IFERROR(VLOOKUP($J8361,'Informations sur les produits'!$A$3:$H$10000,8,FALSE),"0")</f>
        <v>0</v>
      </c>
      <c r="N8361" s="8"/>
      <c r="O8361" s="33" t="str">
        <f>IFERROR(VLOOKUP($M8361,'Informations sur les produits'!$A$3:$H$10000,8,FALSE),"0")</f>
        <v>0</v>
      </c>
      <c r="P8361" s="33">
        <f t="shared" si="520"/>
        <v>0</v>
      </c>
      <c r="Q8361" s="31" t="str">
        <f t="shared" si="521"/>
        <v/>
      </c>
      <c r="R8361" s="32" t="str">
        <f>IFERROR(VLOOKUP($D8361,'Informations sur les produits'!$A$3:$B$15000,2,FALSE),"")</f>
        <v/>
      </c>
      <c r="V8361">
        <f t="shared" si="522"/>
        <v>0</v>
      </c>
      <c r="W8361">
        <f t="shared" si="523"/>
        <v>0</v>
      </c>
    </row>
    <row r="8362" spans="5:23" x14ac:dyDescent="0.25">
      <c r="E8362" s="4"/>
      <c r="F8362" s="4"/>
      <c r="G8362" s="33" t="str">
        <f>IFERROR(VLOOKUP($D8362,'Informations sur les produits'!$A$3:$H$10000,8,FALSE),"0")</f>
        <v>0</v>
      </c>
      <c r="K8362" s="4"/>
      <c r="L8362" s="33" t="str">
        <f>IFERROR(VLOOKUP($J8362,'Informations sur les produits'!$A$3:$H$10000,8,FALSE),"0")</f>
        <v>0</v>
      </c>
      <c r="N8362" s="8"/>
      <c r="O8362" s="33" t="str">
        <f>IFERROR(VLOOKUP($M8362,'Informations sur les produits'!$A$3:$H$10000,8,FALSE),"0")</f>
        <v>0</v>
      </c>
      <c r="P8362" s="33">
        <f t="shared" si="520"/>
        <v>0</v>
      </c>
      <c r="Q8362" s="31" t="str">
        <f t="shared" si="521"/>
        <v/>
      </c>
      <c r="R8362" s="32" t="str">
        <f>IFERROR(VLOOKUP($D8362,'Informations sur les produits'!$A$3:$B$15000,2,FALSE),"")</f>
        <v/>
      </c>
      <c r="V8362">
        <f t="shared" si="522"/>
        <v>0</v>
      </c>
      <c r="W8362">
        <f t="shared" si="523"/>
        <v>0</v>
      </c>
    </row>
    <row r="8363" spans="5:23" x14ac:dyDescent="0.25">
      <c r="E8363" s="4"/>
      <c r="F8363" s="4"/>
      <c r="G8363" s="33" t="str">
        <f>IFERROR(VLOOKUP($D8363,'Informations sur les produits'!$A$3:$H$10000,8,FALSE),"0")</f>
        <v>0</v>
      </c>
      <c r="K8363" s="4"/>
      <c r="L8363" s="33" t="str">
        <f>IFERROR(VLOOKUP($J8363,'Informations sur les produits'!$A$3:$H$10000,8,FALSE),"0")</f>
        <v>0</v>
      </c>
      <c r="N8363" s="8"/>
      <c r="O8363" s="33" t="str">
        <f>IFERROR(VLOOKUP($M8363,'Informations sur les produits'!$A$3:$H$10000,8,FALSE),"0")</f>
        <v>0</v>
      </c>
      <c r="P8363" s="33">
        <f t="shared" si="520"/>
        <v>0</v>
      </c>
      <c r="Q8363" s="31" t="str">
        <f t="shared" si="521"/>
        <v/>
      </c>
      <c r="R8363" s="32" t="str">
        <f>IFERROR(VLOOKUP($D8363,'Informations sur les produits'!$A$3:$B$15000,2,FALSE),"")</f>
        <v/>
      </c>
      <c r="V8363">
        <f t="shared" si="522"/>
        <v>0</v>
      </c>
      <c r="W8363">
        <f t="shared" si="523"/>
        <v>0</v>
      </c>
    </row>
    <row r="8364" spans="5:23" x14ac:dyDescent="0.25">
      <c r="E8364" s="4"/>
      <c r="F8364" s="4"/>
      <c r="G8364" s="33" t="str">
        <f>IFERROR(VLOOKUP($D8364,'Informations sur les produits'!$A$3:$H$10000,8,FALSE),"0")</f>
        <v>0</v>
      </c>
      <c r="K8364" s="4"/>
      <c r="L8364" s="33" t="str">
        <f>IFERROR(VLOOKUP($J8364,'Informations sur les produits'!$A$3:$H$10000,8,FALSE),"0")</f>
        <v>0</v>
      </c>
      <c r="N8364" s="8"/>
      <c r="O8364" s="33" t="str">
        <f>IFERROR(VLOOKUP($M8364,'Informations sur les produits'!$A$3:$H$10000,8,FALSE),"0")</f>
        <v>0</v>
      </c>
      <c r="P8364" s="33">
        <f t="shared" si="520"/>
        <v>0</v>
      </c>
      <c r="Q8364" s="31" t="str">
        <f t="shared" si="521"/>
        <v/>
      </c>
      <c r="R8364" s="32" t="str">
        <f>IFERROR(VLOOKUP($D8364,'Informations sur les produits'!$A$3:$B$15000,2,FALSE),"")</f>
        <v/>
      </c>
      <c r="V8364">
        <f t="shared" si="522"/>
        <v>0</v>
      </c>
      <c r="W8364">
        <f t="shared" si="523"/>
        <v>0</v>
      </c>
    </row>
    <row r="8365" spans="5:23" x14ac:dyDescent="0.25">
      <c r="E8365" s="4"/>
      <c r="F8365" s="4"/>
      <c r="G8365" s="33" t="str">
        <f>IFERROR(VLOOKUP($D8365,'Informations sur les produits'!$A$3:$H$10000,8,FALSE),"0")</f>
        <v>0</v>
      </c>
      <c r="K8365" s="4"/>
      <c r="L8365" s="33" t="str">
        <f>IFERROR(VLOOKUP($J8365,'Informations sur les produits'!$A$3:$H$10000,8,FALSE),"0")</f>
        <v>0</v>
      </c>
      <c r="N8365" s="8"/>
      <c r="O8365" s="33" t="str">
        <f>IFERROR(VLOOKUP($M8365,'Informations sur les produits'!$A$3:$H$10000,8,FALSE),"0")</f>
        <v>0</v>
      </c>
      <c r="P8365" s="33">
        <f t="shared" si="520"/>
        <v>0</v>
      </c>
      <c r="Q8365" s="31" t="str">
        <f t="shared" si="521"/>
        <v/>
      </c>
      <c r="R8365" s="32" t="str">
        <f>IFERROR(VLOOKUP($D8365,'Informations sur les produits'!$A$3:$B$15000,2,FALSE),"")</f>
        <v/>
      </c>
      <c r="V8365">
        <f t="shared" si="522"/>
        <v>0</v>
      </c>
      <c r="W8365">
        <f t="shared" si="523"/>
        <v>0</v>
      </c>
    </row>
    <row r="8366" spans="5:23" x14ac:dyDescent="0.25">
      <c r="E8366" s="4"/>
      <c r="F8366" s="4"/>
      <c r="G8366" s="33" t="str">
        <f>IFERROR(VLOOKUP($D8366,'Informations sur les produits'!$A$3:$H$10000,8,FALSE),"0")</f>
        <v>0</v>
      </c>
      <c r="K8366" s="4"/>
      <c r="L8366" s="33" t="str">
        <f>IFERROR(VLOOKUP($J8366,'Informations sur les produits'!$A$3:$H$10000,8,FALSE),"0")</f>
        <v>0</v>
      </c>
      <c r="N8366" s="8"/>
      <c r="O8366" s="33" t="str">
        <f>IFERROR(VLOOKUP($M8366,'Informations sur les produits'!$A$3:$H$10000,8,FALSE),"0")</f>
        <v>0</v>
      </c>
      <c r="P8366" s="33">
        <f t="shared" si="520"/>
        <v>0</v>
      </c>
      <c r="Q8366" s="31" t="str">
        <f t="shared" si="521"/>
        <v/>
      </c>
      <c r="R8366" s="32" t="str">
        <f>IFERROR(VLOOKUP($D8366,'Informations sur les produits'!$A$3:$B$15000,2,FALSE),"")</f>
        <v/>
      </c>
      <c r="V8366">
        <f t="shared" si="522"/>
        <v>0</v>
      </c>
      <c r="W8366">
        <f t="shared" si="523"/>
        <v>0</v>
      </c>
    </row>
    <row r="8367" spans="5:23" x14ac:dyDescent="0.25">
      <c r="E8367" s="4"/>
      <c r="F8367" s="4"/>
      <c r="G8367" s="33" t="str">
        <f>IFERROR(VLOOKUP($D8367,'Informations sur les produits'!$A$3:$H$10000,8,FALSE),"0")</f>
        <v>0</v>
      </c>
      <c r="K8367" s="4"/>
      <c r="L8367" s="33" t="str">
        <f>IFERROR(VLOOKUP($J8367,'Informations sur les produits'!$A$3:$H$10000,8,FALSE),"0")</f>
        <v>0</v>
      </c>
      <c r="N8367" s="8"/>
      <c r="O8367" s="33" t="str">
        <f>IFERROR(VLOOKUP($M8367,'Informations sur les produits'!$A$3:$H$10000,8,FALSE),"0")</f>
        <v>0</v>
      </c>
      <c r="P8367" s="33">
        <f t="shared" si="520"/>
        <v>0</v>
      </c>
      <c r="Q8367" s="31" t="str">
        <f t="shared" si="521"/>
        <v/>
      </c>
      <c r="R8367" s="32" t="str">
        <f>IFERROR(VLOOKUP($D8367,'Informations sur les produits'!$A$3:$B$15000,2,FALSE),"")</f>
        <v/>
      </c>
      <c r="V8367">
        <f t="shared" si="522"/>
        <v>0</v>
      </c>
      <c r="W8367">
        <f t="shared" si="523"/>
        <v>0</v>
      </c>
    </row>
    <row r="8368" spans="5:23" x14ac:dyDescent="0.25">
      <c r="E8368" s="4"/>
      <c r="F8368" s="4"/>
      <c r="G8368" s="33" t="str">
        <f>IFERROR(VLOOKUP($D8368,'Informations sur les produits'!$A$3:$H$10000,8,FALSE),"0")</f>
        <v>0</v>
      </c>
      <c r="K8368" s="4"/>
      <c r="L8368" s="33" t="str">
        <f>IFERROR(VLOOKUP($J8368,'Informations sur les produits'!$A$3:$H$10000,8,FALSE),"0")</f>
        <v>0</v>
      </c>
      <c r="N8368" s="8"/>
      <c r="O8368" s="33" t="str">
        <f>IFERROR(VLOOKUP($M8368,'Informations sur les produits'!$A$3:$H$10000,8,FALSE),"0")</f>
        <v>0</v>
      </c>
      <c r="P8368" s="33">
        <f t="shared" si="520"/>
        <v>0</v>
      </c>
      <c r="Q8368" s="31" t="str">
        <f t="shared" si="521"/>
        <v/>
      </c>
      <c r="R8368" s="32" t="str">
        <f>IFERROR(VLOOKUP($D8368,'Informations sur les produits'!$A$3:$B$15000,2,FALSE),"")</f>
        <v/>
      </c>
      <c r="V8368">
        <f t="shared" si="522"/>
        <v>0</v>
      </c>
      <c r="W8368">
        <f t="shared" si="523"/>
        <v>0</v>
      </c>
    </row>
    <row r="8369" spans="5:23" x14ac:dyDescent="0.25">
      <c r="E8369" s="4"/>
      <c r="F8369" s="4"/>
      <c r="G8369" s="33" t="str">
        <f>IFERROR(VLOOKUP($D8369,'Informations sur les produits'!$A$3:$H$10000,8,FALSE),"0")</f>
        <v>0</v>
      </c>
      <c r="K8369" s="4"/>
      <c r="L8369" s="33" t="str">
        <f>IFERROR(VLOOKUP($J8369,'Informations sur les produits'!$A$3:$H$10000,8,FALSE),"0")</f>
        <v>0</v>
      </c>
      <c r="N8369" s="8"/>
      <c r="O8369" s="33" t="str">
        <f>IFERROR(VLOOKUP($M8369,'Informations sur les produits'!$A$3:$H$10000,8,FALSE),"0")</f>
        <v>0</v>
      </c>
      <c r="P8369" s="33">
        <f t="shared" si="520"/>
        <v>0</v>
      </c>
      <c r="Q8369" s="31" t="str">
        <f t="shared" si="521"/>
        <v/>
      </c>
      <c r="R8369" s="32" t="str">
        <f>IFERROR(VLOOKUP($D8369,'Informations sur les produits'!$A$3:$B$15000,2,FALSE),"")</f>
        <v/>
      </c>
      <c r="V8369">
        <f t="shared" si="522"/>
        <v>0</v>
      </c>
      <c r="W8369">
        <f t="shared" si="523"/>
        <v>0</v>
      </c>
    </row>
    <row r="8370" spans="5:23" x14ac:dyDescent="0.25">
      <c r="E8370" s="4"/>
      <c r="F8370" s="4"/>
      <c r="G8370" s="33" t="str">
        <f>IFERROR(VLOOKUP($D8370,'Informations sur les produits'!$A$3:$H$10000,8,FALSE),"0")</f>
        <v>0</v>
      </c>
      <c r="K8370" s="4"/>
      <c r="L8370" s="33" t="str">
        <f>IFERROR(VLOOKUP($J8370,'Informations sur les produits'!$A$3:$H$10000,8,FALSE),"0")</f>
        <v>0</v>
      </c>
      <c r="N8370" s="8"/>
      <c r="O8370" s="33" t="str">
        <f>IFERROR(VLOOKUP($M8370,'Informations sur les produits'!$A$3:$H$10000,8,FALSE),"0")</f>
        <v>0</v>
      </c>
      <c r="P8370" s="33">
        <f t="shared" si="520"/>
        <v>0</v>
      </c>
      <c r="Q8370" s="31" t="str">
        <f t="shared" si="521"/>
        <v/>
      </c>
      <c r="R8370" s="32" t="str">
        <f>IFERROR(VLOOKUP($D8370,'Informations sur les produits'!$A$3:$B$15000,2,FALSE),"")</f>
        <v/>
      </c>
      <c r="V8370">
        <f t="shared" si="522"/>
        <v>0</v>
      </c>
      <c r="W8370">
        <f t="shared" si="523"/>
        <v>0</v>
      </c>
    </row>
    <row r="8371" spans="5:23" x14ac:dyDescent="0.25">
      <c r="E8371" s="4"/>
      <c r="F8371" s="4"/>
      <c r="G8371" s="33" t="str">
        <f>IFERROR(VLOOKUP($D8371,'Informations sur les produits'!$A$3:$H$10000,8,FALSE),"0")</f>
        <v>0</v>
      </c>
      <c r="K8371" s="4"/>
      <c r="L8371" s="33" t="str">
        <f>IFERROR(VLOOKUP($J8371,'Informations sur les produits'!$A$3:$H$10000,8,FALSE),"0")</f>
        <v>0</v>
      </c>
      <c r="N8371" s="8"/>
      <c r="O8371" s="33" t="str">
        <f>IFERROR(VLOOKUP($M8371,'Informations sur les produits'!$A$3:$H$10000,8,FALSE),"0")</f>
        <v>0</v>
      </c>
      <c r="P8371" s="33">
        <f t="shared" si="520"/>
        <v>0</v>
      </c>
      <c r="Q8371" s="31" t="str">
        <f t="shared" si="521"/>
        <v/>
      </c>
      <c r="R8371" s="32" t="str">
        <f>IFERROR(VLOOKUP($D8371,'Informations sur les produits'!$A$3:$B$15000,2,FALSE),"")</f>
        <v/>
      </c>
      <c r="V8371">
        <f t="shared" si="522"/>
        <v>0</v>
      </c>
      <c r="W8371">
        <f t="shared" si="523"/>
        <v>0</v>
      </c>
    </row>
    <row r="8372" spans="5:23" x14ac:dyDescent="0.25">
      <c r="E8372" s="4"/>
      <c r="F8372" s="4"/>
      <c r="G8372" s="33" t="str">
        <f>IFERROR(VLOOKUP($D8372,'Informations sur les produits'!$A$3:$H$10000,8,FALSE),"0")</f>
        <v>0</v>
      </c>
      <c r="K8372" s="4"/>
      <c r="L8372" s="33" t="str">
        <f>IFERROR(VLOOKUP($J8372,'Informations sur les produits'!$A$3:$H$10000,8,FALSE),"0")</f>
        <v>0</v>
      </c>
      <c r="N8372" s="8"/>
      <c r="O8372" s="33" t="str">
        <f>IFERROR(VLOOKUP($M8372,'Informations sur les produits'!$A$3:$H$10000,8,FALSE),"0")</f>
        <v>0</v>
      </c>
      <c r="P8372" s="33">
        <f t="shared" si="520"/>
        <v>0</v>
      </c>
      <c r="Q8372" s="31" t="str">
        <f t="shared" si="521"/>
        <v/>
      </c>
      <c r="R8372" s="32" t="str">
        <f>IFERROR(VLOOKUP($D8372,'Informations sur les produits'!$A$3:$B$15000,2,FALSE),"")</f>
        <v/>
      </c>
      <c r="V8372">
        <f t="shared" si="522"/>
        <v>0</v>
      </c>
      <c r="W8372">
        <f t="shared" si="523"/>
        <v>0</v>
      </c>
    </row>
    <row r="8373" spans="5:23" x14ac:dyDescent="0.25">
      <c r="E8373" s="4"/>
      <c r="F8373" s="4"/>
      <c r="G8373" s="33" t="str">
        <f>IFERROR(VLOOKUP($D8373,'Informations sur les produits'!$A$3:$H$10000,8,FALSE),"0")</f>
        <v>0</v>
      </c>
      <c r="K8373" s="4"/>
      <c r="L8373" s="33" t="str">
        <f>IFERROR(VLOOKUP($J8373,'Informations sur les produits'!$A$3:$H$10000,8,FALSE),"0")</f>
        <v>0</v>
      </c>
      <c r="N8373" s="8"/>
      <c r="O8373" s="33" t="str">
        <f>IFERROR(VLOOKUP($M8373,'Informations sur les produits'!$A$3:$H$10000,8,FALSE),"0")</f>
        <v>0</v>
      </c>
      <c r="P8373" s="33">
        <f t="shared" si="520"/>
        <v>0</v>
      </c>
      <c r="Q8373" s="31" t="str">
        <f t="shared" si="521"/>
        <v/>
      </c>
      <c r="R8373" s="32" t="str">
        <f>IFERROR(VLOOKUP($D8373,'Informations sur les produits'!$A$3:$B$15000,2,FALSE),"")</f>
        <v/>
      </c>
      <c r="V8373">
        <f t="shared" si="522"/>
        <v>0</v>
      </c>
      <c r="W8373">
        <f t="shared" si="523"/>
        <v>0</v>
      </c>
    </row>
    <row r="8374" spans="5:23" x14ac:dyDescent="0.25">
      <c r="E8374" s="4"/>
      <c r="F8374" s="4"/>
      <c r="G8374" s="33" t="str">
        <f>IFERROR(VLOOKUP($D8374,'Informations sur les produits'!$A$3:$H$10000,8,FALSE),"0")</f>
        <v>0</v>
      </c>
      <c r="K8374" s="4"/>
      <c r="L8374" s="33" t="str">
        <f>IFERROR(VLOOKUP($J8374,'Informations sur les produits'!$A$3:$H$10000,8,FALSE),"0")</f>
        <v>0</v>
      </c>
      <c r="N8374" s="8"/>
      <c r="O8374" s="33" t="str">
        <f>IFERROR(VLOOKUP($M8374,'Informations sur les produits'!$A$3:$H$10000,8,FALSE),"0")</f>
        <v>0</v>
      </c>
      <c r="P8374" s="33">
        <f t="shared" si="520"/>
        <v>0</v>
      </c>
      <c r="Q8374" s="31" t="str">
        <f t="shared" si="521"/>
        <v/>
      </c>
      <c r="R8374" s="32" t="str">
        <f>IFERROR(VLOOKUP($D8374,'Informations sur les produits'!$A$3:$B$15000,2,FALSE),"")</f>
        <v/>
      </c>
      <c r="V8374">
        <f t="shared" si="522"/>
        <v>0</v>
      </c>
      <c r="W8374">
        <f t="shared" si="523"/>
        <v>0</v>
      </c>
    </row>
    <row r="8375" spans="5:23" x14ac:dyDescent="0.25">
      <c r="E8375" s="4"/>
      <c r="F8375" s="4"/>
      <c r="G8375" s="33" t="str">
        <f>IFERROR(VLOOKUP($D8375,'Informations sur les produits'!$A$3:$H$10000,8,FALSE),"0")</f>
        <v>0</v>
      </c>
      <c r="K8375" s="4"/>
      <c r="L8375" s="33" t="str">
        <f>IFERROR(VLOOKUP($J8375,'Informations sur les produits'!$A$3:$H$10000,8,FALSE),"0")</f>
        <v>0</v>
      </c>
      <c r="N8375" s="8"/>
      <c r="O8375" s="33" t="str">
        <f>IFERROR(VLOOKUP($M8375,'Informations sur les produits'!$A$3:$H$10000,8,FALSE),"0")</f>
        <v>0</v>
      </c>
      <c r="P8375" s="33">
        <f t="shared" si="520"/>
        <v>0</v>
      </c>
      <c r="Q8375" s="31" t="str">
        <f t="shared" si="521"/>
        <v/>
      </c>
      <c r="R8375" s="32" t="str">
        <f>IFERROR(VLOOKUP($D8375,'Informations sur les produits'!$A$3:$B$15000,2,FALSE),"")</f>
        <v/>
      </c>
      <c r="V8375">
        <f t="shared" si="522"/>
        <v>0</v>
      </c>
      <c r="W8375">
        <f t="shared" si="523"/>
        <v>0</v>
      </c>
    </row>
    <row r="8376" spans="5:23" x14ac:dyDescent="0.25">
      <c r="E8376" s="4"/>
      <c r="F8376" s="4"/>
      <c r="G8376" s="33" t="str">
        <f>IFERROR(VLOOKUP($D8376,'Informations sur les produits'!$A$3:$H$10000,8,FALSE),"0")</f>
        <v>0</v>
      </c>
      <c r="K8376" s="4"/>
      <c r="L8376" s="33" t="str">
        <f>IFERROR(VLOOKUP($J8376,'Informations sur les produits'!$A$3:$H$10000,8,FALSE),"0")</f>
        <v>0</v>
      </c>
      <c r="N8376" s="8"/>
      <c r="O8376" s="33" t="str">
        <f>IFERROR(VLOOKUP($M8376,'Informations sur les produits'!$A$3:$H$10000,8,FALSE),"0")</f>
        <v>0</v>
      </c>
      <c r="P8376" s="33">
        <f t="shared" si="520"/>
        <v>0</v>
      </c>
      <c r="Q8376" s="31" t="str">
        <f t="shared" si="521"/>
        <v/>
      </c>
      <c r="R8376" s="32" t="str">
        <f>IFERROR(VLOOKUP($D8376,'Informations sur les produits'!$A$3:$B$15000,2,FALSE),"")</f>
        <v/>
      </c>
      <c r="V8376">
        <f t="shared" si="522"/>
        <v>0</v>
      </c>
      <c r="W8376">
        <f t="shared" si="523"/>
        <v>0</v>
      </c>
    </row>
    <row r="8377" spans="5:23" x14ac:dyDescent="0.25">
      <c r="E8377" s="4"/>
      <c r="F8377" s="4"/>
      <c r="G8377" s="33" t="str">
        <f>IFERROR(VLOOKUP($D8377,'Informations sur les produits'!$A$3:$H$10000,8,FALSE),"0")</f>
        <v>0</v>
      </c>
      <c r="K8377" s="4"/>
      <c r="L8377" s="33" t="str">
        <f>IFERROR(VLOOKUP($J8377,'Informations sur les produits'!$A$3:$H$10000,8,FALSE),"0")</f>
        <v>0</v>
      </c>
      <c r="N8377" s="8"/>
      <c r="O8377" s="33" t="str">
        <f>IFERROR(VLOOKUP($M8377,'Informations sur les produits'!$A$3:$H$10000,8,FALSE),"0")</f>
        <v>0</v>
      </c>
      <c r="P8377" s="33">
        <f t="shared" si="520"/>
        <v>0</v>
      </c>
      <c r="Q8377" s="31" t="str">
        <f t="shared" si="521"/>
        <v/>
      </c>
      <c r="R8377" s="32" t="str">
        <f>IFERROR(VLOOKUP($D8377,'Informations sur les produits'!$A$3:$B$15000,2,FALSE),"")</f>
        <v/>
      </c>
      <c r="V8377">
        <f t="shared" si="522"/>
        <v>0</v>
      </c>
      <c r="W8377">
        <f t="shared" si="523"/>
        <v>0</v>
      </c>
    </row>
    <row r="8378" spans="5:23" x14ac:dyDescent="0.25">
      <c r="E8378" s="4"/>
      <c r="F8378" s="4"/>
      <c r="G8378" s="33" t="str">
        <f>IFERROR(VLOOKUP($D8378,'Informations sur les produits'!$A$3:$H$10000,8,FALSE),"0")</f>
        <v>0</v>
      </c>
      <c r="K8378" s="4"/>
      <c r="L8378" s="33" t="str">
        <f>IFERROR(VLOOKUP($J8378,'Informations sur les produits'!$A$3:$H$10000,8,FALSE),"0")</f>
        <v>0</v>
      </c>
      <c r="N8378" s="8"/>
      <c r="O8378" s="33" t="str">
        <f>IFERROR(VLOOKUP($M8378,'Informations sur les produits'!$A$3:$H$10000,8,FALSE),"0")</f>
        <v>0</v>
      </c>
      <c r="P8378" s="33">
        <f t="shared" si="520"/>
        <v>0</v>
      </c>
      <c r="Q8378" s="31" t="str">
        <f t="shared" si="521"/>
        <v/>
      </c>
      <c r="R8378" s="32" t="str">
        <f>IFERROR(VLOOKUP($D8378,'Informations sur les produits'!$A$3:$B$15000,2,FALSE),"")</f>
        <v/>
      </c>
      <c r="V8378">
        <f t="shared" si="522"/>
        <v>0</v>
      </c>
      <c r="W8378">
        <f t="shared" si="523"/>
        <v>0</v>
      </c>
    </row>
    <row r="8379" spans="5:23" x14ac:dyDescent="0.25">
      <c r="E8379" s="4"/>
      <c r="F8379" s="4"/>
      <c r="G8379" s="33" t="str">
        <f>IFERROR(VLOOKUP($D8379,'Informations sur les produits'!$A$3:$H$10000,8,FALSE),"0")</f>
        <v>0</v>
      </c>
      <c r="K8379" s="4"/>
      <c r="L8379" s="33" t="str">
        <f>IFERROR(VLOOKUP($J8379,'Informations sur les produits'!$A$3:$H$10000,8,FALSE),"0")</f>
        <v>0</v>
      </c>
      <c r="N8379" s="8"/>
      <c r="O8379" s="33" t="str">
        <f>IFERROR(VLOOKUP($M8379,'Informations sur les produits'!$A$3:$H$10000,8,FALSE),"0")</f>
        <v>0</v>
      </c>
      <c r="P8379" s="33">
        <f t="shared" si="520"/>
        <v>0</v>
      </c>
      <c r="Q8379" s="31" t="str">
        <f t="shared" si="521"/>
        <v/>
      </c>
      <c r="R8379" s="32" t="str">
        <f>IFERROR(VLOOKUP($D8379,'Informations sur les produits'!$A$3:$B$15000,2,FALSE),"")</f>
        <v/>
      </c>
      <c r="V8379">
        <f t="shared" si="522"/>
        <v>0</v>
      </c>
      <c r="W8379">
        <f t="shared" si="523"/>
        <v>0</v>
      </c>
    </row>
    <row r="8380" spans="5:23" x14ac:dyDescent="0.25">
      <c r="E8380" s="4"/>
      <c r="F8380" s="4"/>
      <c r="G8380" s="33" t="str">
        <f>IFERROR(VLOOKUP($D8380,'Informations sur les produits'!$A$3:$H$10000,8,FALSE),"0")</f>
        <v>0</v>
      </c>
      <c r="K8380" s="4"/>
      <c r="L8380" s="33" t="str">
        <f>IFERROR(VLOOKUP($J8380,'Informations sur les produits'!$A$3:$H$10000,8,FALSE),"0")</f>
        <v>0</v>
      </c>
      <c r="N8380" s="8"/>
      <c r="O8380" s="33" t="str">
        <f>IFERROR(VLOOKUP($M8380,'Informations sur les produits'!$A$3:$H$10000,8,FALSE),"0")</f>
        <v>0</v>
      </c>
      <c r="P8380" s="33">
        <f t="shared" si="520"/>
        <v>0</v>
      </c>
      <c r="Q8380" s="31" t="str">
        <f t="shared" si="521"/>
        <v/>
      </c>
      <c r="R8380" s="32" t="str">
        <f>IFERROR(VLOOKUP($D8380,'Informations sur les produits'!$A$3:$B$15000,2,FALSE),"")</f>
        <v/>
      </c>
      <c r="V8380">
        <f t="shared" si="522"/>
        <v>0</v>
      </c>
      <c r="W8380">
        <f t="shared" si="523"/>
        <v>0</v>
      </c>
    </row>
    <row r="8381" spans="5:23" x14ac:dyDescent="0.25">
      <c r="E8381" s="4"/>
      <c r="F8381" s="4"/>
      <c r="G8381" s="33" t="str">
        <f>IFERROR(VLOOKUP($D8381,'Informations sur les produits'!$A$3:$H$10000,8,FALSE),"0")</f>
        <v>0</v>
      </c>
      <c r="K8381" s="4"/>
      <c r="L8381" s="33" t="str">
        <f>IFERROR(VLOOKUP($J8381,'Informations sur les produits'!$A$3:$H$10000,8,FALSE),"0")</f>
        <v>0</v>
      </c>
      <c r="N8381" s="8"/>
      <c r="O8381" s="33" t="str">
        <f>IFERROR(VLOOKUP($M8381,'Informations sur les produits'!$A$3:$H$10000,8,FALSE),"0")</f>
        <v>0</v>
      </c>
      <c r="P8381" s="33">
        <f t="shared" si="520"/>
        <v>0</v>
      </c>
      <c r="Q8381" s="31" t="str">
        <f t="shared" si="521"/>
        <v/>
      </c>
      <c r="R8381" s="32" t="str">
        <f>IFERROR(VLOOKUP($D8381,'Informations sur les produits'!$A$3:$B$15000,2,FALSE),"")</f>
        <v/>
      </c>
      <c r="V8381">
        <f t="shared" si="522"/>
        <v>0</v>
      </c>
      <c r="W8381">
        <f t="shared" si="523"/>
        <v>0</v>
      </c>
    </row>
    <row r="8382" spans="5:23" x14ac:dyDescent="0.25">
      <c r="E8382" s="4"/>
      <c r="F8382" s="4"/>
      <c r="G8382" s="33" t="str">
        <f>IFERROR(VLOOKUP($D8382,'Informations sur les produits'!$A$3:$H$10000,8,FALSE),"0")</f>
        <v>0</v>
      </c>
      <c r="K8382" s="4"/>
      <c r="L8382" s="33" t="str">
        <f>IFERROR(VLOOKUP($J8382,'Informations sur les produits'!$A$3:$H$10000,8,FALSE),"0")</f>
        <v>0</v>
      </c>
      <c r="N8382" s="8"/>
      <c r="O8382" s="33" t="str">
        <f>IFERROR(VLOOKUP($M8382,'Informations sur les produits'!$A$3:$H$10000,8,FALSE),"0")</f>
        <v>0</v>
      </c>
      <c r="P8382" s="33">
        <f t="shared" si="520"/>
        <v>0</v>
      </c>
      <c r="Q8382" s="31" t="str">
        <f t="shared" si="521"/>
        <v/>
      </c>
      <c r="R8382" s="32" t="str">
        <f>IFERROR(VLOOKUP($D8382,'Informations sur les produits'!$A$3:$B$15000,2,FALSE),"")</f>
        <v/>
      </c>
      <c r="V8382">
        <f t="shared" si="522"/>
        <v>0</v>
      </c>
      <c r="W8382">
        <f t="shared" si="523"/>
        <v>0</v>
      </c>
    </row>
    <row r="8383" spans="5:23" x14ac:dyDescent="0.25">
      <c r="E8383" s="4"/>
      <c r="F8383" s="4"/>
      <c r="G8383" s="33" t="str">
        <f>IFERROR(VLOOKUP($D8383,'Informations sur les produits'!$A$3:$H$10000,8,FALSE),"0")</f>
        <v>0</v>
      </c>
      <c r="K8383" s="4"/>
      <c r="L8383" s="33" t="str">
        <f>IFERROR(VLOOKUP($J8383,'Informations sur les produits'!$A$3:$H$10000,8,FALSE),"0")</f>
        <v>0</v>
      </c>
      <c r="N8383" s="8"/>
      <c r="O8383" s="33" t="str">
        <f>IFERROR(VLOOKUP($M8383,'Informations sur les produits'!$A$3:$H$10000,8,FALSE),"0")</f>
        <v>0</v>
      </c>
      <c r="P8383" s="33">
        <f t="shared" si="520"/>
        <v>0</v>
      </c>
      <c r="Q8383" s="31" t="str">
        <f t="shared" si="521"/>
        <v/>
      </c>
      <c r="R8383" s="32" t="str">
        <f>IFERROR(VLOOKUP($D8383,'Informations sur les produits'!$A$3:$B$15000,2,FALSE),"")</f>
        <v/>
      </c>
      <c r="V8383">
        <f t="shared" si="522"/>
        <v>0</v>
      </c>
      <c r="W8383">
        <f t="shared" si="523"/>
        <v>0</v>
      </c>
    </row>
    <row r="8384" spans="5:23" x14ac:dyDescent="0.25">
      <c r="E8384" s="4"/>
      <c r="F8384" s="4"/>
      <c r="G8384" s="33" t="str">
        <f>IFERROR(VLOOKUP($D8384,'Informations sur les produits'!$A$3:$H$10000,8,FALSE),"0")</f>
        <v>0</v>
      </c>
      <c r="K8384" s="4"/>
      <c r="L8384" s="33" t="str">
        <f>IFERROR(VLOOKUP($J8384,'Informations sur les produits'!$A$3:$H$10000,8,FALSE),"0")</f>
        <v>0</v>
      </c>
      <c r="N8384" s="8"/>
      <c r="O8384" s="33" t="str">
        <f>IFERROR(VLOOKUP($M8384,'Informations sur les produits'!$A$3:$H$10000,8,FALSE),"0")</f>
        <v>0</v>
      </c>
      <c r="P8384" s="33">
        <f t="shared" si="520"/>
        <v>0</v>
      </c>
      <c r="Q8384" s="31" t="str">
        <f t="shared" si="521"/>
        <v/>
      </c>
      <c r="R8384" s="32" t="str">
        <f>IFERROR(VLOOKUP($D8384,'Informations sur les produits'!$A$3:$B$15000,2,FALSE),"")</f>
        <v/>
      </c>
      <c r="V8384">
        <f t="shared" si="522"/>
        <v>0</v>
      </c>
      <c r="W8384">
        <f t="shared" si="523"/>
        <v>0</v>
      </c>
    </row>
    <row r="8385" spans="5:23" x14ac:dyDescent="0.25">
      <c r="E8385" s="4"/>
      <c r="F8385" s="4"/>
      <c r="G8385" s="33" t="str">
        <f>IFERROR(VLOOKUP($D8385,'Informations sur les produits'!$A$3:$H$10000,8,FALSE),"0")</f>
        <v>0</v>
      </c>
      <c r="K8385" s="4"/>
      <c r="L8385" s="33" t="str">
        <f>IFERROR(VLOOKUP($J8385,'Informations sur les produits'!$A$3:$H$10000,8,FALSE),"0")</f>
        <v>0</v>
      </c>
      <c r="N8385" s="8"/>
      <c r="O8385" s="33" t="str">
        <f>IFERROR(VLOOKUP($M8385,'Informations sur les produits'!$A$3:$H$10000,8,FALSE),"0")</f>
        <v>0</v>
      </c>
      <c r="P8385" s="33">
        <f t="shared" si="520"/>
        <v>0</v>
      </c>
      <c r="Q8385" s="31" t="str">
        <f t="shared" si="521"/>
        <v/>
      </c>
      <c r="R8385" s="32" t="str">
        <f>IFERROR(VLOOKUP($D8385,'Informations sur les produits'!$A$3:$B$15000,2,FALSE),"")</f>
        <v/>
      </c>
      <c r="V8385">
        <f t="shared" si="522"/>
        <v>0</v>
      </c>
      <c r="W8385">
        <f t="shared" si="523"/>
        <v>0</v>
      </c>
    </row>
    <row r="8386" spans="5:23" x14ac:dyDescent="0.25">
      <c r="E8386" s="4"/>
      <c r="F8386" s="4"/>
      <c r="G8386" s="33" t="str">
        <f>IFERROR(VLOOKUP($D8386,'Informations sur les produits'!$A$3:$H$10000,8,FALSE),"0")</f>
        <v>0</v>
      </c>
      <c r="K8386" s="4"/>
      <c r="L8386" s="33" t="str">
        <f>IFERROR(VLOOKUP($J8386,'Informations sur les produits'!$A$3:$H$10000,8,FALSE),"0")</f>
        <v>0</v>
      </c>
      <c r="N8386" s="8"/>
      <c r="O8386" s="33" t="str">
        <f>IFERROR(VLOOKUP($M8386,'Informations sur les produits'!$A$3:$H$10000,8,FALSE),"0")</f>
        <v>0</v>
      </c>
      <c r="P8386" s="33">
        <f t="shared" si="520"/>
        <v>0</v>
      </c>
      <c r="Q8386" s="31" t="str">
        <f t="shared" si="521"/>
        <v/>
      </c>
      <c r="R8386" s="32" t="str">
        <f>IFERROR(VLOOKUP($D8386,'Informations sur les produits'!$A$3:$B$15000,2,FALSE),"")</f>
        <v/>
      </c>
      <c r="V8386">
        <f t="shared" si="522"/>
        <v>0</v>
      </c>
      <c r="W8386">
        <f t="shared" si="523"/>
        <v>0</v>
      </c>
    </row>
    <row r="8387" spans="5:23" x14ac:dyDescent="0.25">
      <c r="E8387" s="4"/>
      <c r="F8387" s="4"/>
      <c r="G8387" s="33" t="str">
        <f>IFERROR(VLOOKUP($D8387,'Informations sur les produits'!$A$3:$H$10000,8,FALSE),"0")</f>
        <v>0</v>
      </c>
      <c r="K8387" s="4"/>
      <c r="L8387" s="33" t="str">
        <f>IFERROR(VLOOKUP($J8387,'Informations sur les produits'!$A$3:$H$10000,8,FALSE),"0")</f>
        <v>0</v>
      </c>
      <c r="N8387" s="8"/>
      <c r="O8387" s="33" t="str">
        <f>IFERROR(VLOOKUP($M8387,'Informations sur les produits'!$A$3:$H$10000,8,FALSE),"0")</f>
        <v>0</v>
      </c>
      <c r="P8387" s="33">
        <f t="shared" si="520"/>
        <v>0</v>
      </c>
      <c r="Q8387" s="31" t="str">
        <f t="shared" si="521"/>
        <v/>
      </c>
      <c r="R8387" s="32" t="str">
        <f>IFERROR(VLOOKUP($D8387,'Informations sur les produits'!$A$3:$B$15000,2,FALSE),"")</f>
        <v/>
      </c>
      <c r="V8387">
        <f t="shared" si="522"/>
        <v>0</v>
      </c>
      <c r="W8387">
        <f t="shared" si="523"/>
        <v>0</v>
      </c>
    </row>
    <row r="8388" spans="5:23" x14ac:dyDescent="0.25">
      <c r="E8388" s="4"/>
      <c r="F8388" s="4"/>
      <c r="G8388" s="33" t="str">
        <f>IFERROR(VLOOKUP($D8388,'Informations sur les produits'!$A$3:$H$10000,8,FALSE),"0")</f>
        <v>0</v>
      </c>
      <c r="K8388" s="4"/>
      <c r="L8388" s="33" t="str">
        <f>IFERROR(VLOOKUP($J8388,'Informations sur les produits'!$A$3:$H$10000,8,FALSE),"0")</f>
        <v>0</v>
      </c>
      <c r="N8388" s="8"/>
      <c r="O8388" s="33" t="str">
        <f>IFERROR(VLOOKUP($M8388,'Informations sur les produits'!$A$3:$H$10000,8,FALSE),"0")</f>
        <v>0</v>
      </c>
      <c r="P8388" s="33">
        <f t="shared" ref="P8388:P8451" si="524">IFERROR((($E8388-$F8388)*$G8388+$K8388*$L8388+$N8388*$O8388),"")</f>
        <v>0</v>
      </c>
      <c r="Q8388" s="31" t="str">
        <f t="shared" ref="Q8388:Q8451" si="525">IFERROR((((($E8388-$F8388)*$G8388+$K8388*$L8388+$N8388*$O8388)*1000)/(($E8388-$F8388)+$K8388+$N8388)),"")</f>
        <v/>
      </c>
      <c r="R8388" s="32" t="str">
        <f>IFERROR(VLOOKUP($D8388,'Informations sur les produits'!$A$3:$B$15000,2,FALSE),"")</f>
        <v/>
      </c>
      <c r="V8388">
        <f t="shared" ref="V8388:V8451" si="526">IFERROR(P8388*1000,"")</f>
        <v>0</v>
      </c>
      <c r="W8388">
        <f t="shared" ref="W8388:W8451" si="527">IFERROR(($E8388-$F8388)+$K8388+$N8388,"")</f>
        <v>0</v>
      </c>
    </row>
    <row r="8389" spans="5:23" x14ac:dyDescent="0.25">
      <c r="E8389" s="4"/>
      <c r="F8389" s="4"/>
      <c r="G8389" s="33" t="str">
        <f>IFERROR(VLOOKUP($D8389,'Informations sur les produits'!$A$3:$H$10000,8,FALSE),"0")</f>
        <v>0</v>
      </c>
      <c r="K8389" s="4"/>
      <c r="L8389" s="33" t="str">
        <f>IFERROR(VLOOKUP($J8389,'Informations sur les produits'!$A$3:$H$10000,8,FALSE),"0")</f>
        <v>0</v>
      </c>
      <c r="N8389" s="8"/>
      <c r="O8389" s="33" t="str">
        <f>IFERROR(VLOOKUP($M8389,'Informations sur les produits'!$A$3:$H$10000,8,FALSE),"0")</f>
        <v>0</v>
      </c>
      <c r="P8389" s="33">
        <f t="shared" si="524"/>
        <v>0</v>
      </c>
      <c r="Q8389" s="31" t="str">
        <f t="shared" si="525"/>
        <v/>
      </c>
      <c r="R8389" s="32" t="str">
        <f>IFERROR(VLOOKUP($D8389,'Informations sur les produits'!$A$3:$B$15000,2,FALSE),"")</f>
        <v/>
      </c>
      <c r="V8389">
        <f t="shared" si="526"/>
        <v>0</v>
      </c>
      <c r="W8389">
        <f t="shared" si="527"/>
        <v>0</v>
      </c>
    </row>
    <row r="8390" spans="5:23" x14ac:dyDescent="0.25">
      <c r="E8390" s="4"/>
      <c r="F8390" s="4"/>
      <c r="G8390" s="33" t="str">
        <f>IFERROR(VLOOKUP($D8390,'Informations sur les produits'!$A$3:$H$10000,8,FALSE),"0")</f>
        <v>0</v>
      </c>
      <c r="K8390" s="4"/>
      <c r="L8390" s="33" t="str">
        <f>IFERROR(VLOOKUP($J8390,'Informations sur les produits'!$A$3:$H$10000,8,FALSE),"0")</f>
        <v>0</v>
      </c>
      <c r="N8390" s="8"/>
      <c r="O8390" s="33" t="str">
        <f>IFERROR(VLOOKUP($M8390,'Informations sur les produits'!$A$3:$H$10000,8,FALSE),"0")</f>
        <v>0</v>
      </c>
      <c r="P8390" s="33">
        <f t="shared" si="524"/>
        <v>0</v>
      </c>
      <c r="Q8390" s="31" t="str">
        <f t="shared" si="525"/>
        <v/>
      </c>
      <c r="R8390" s="32" t="str">
        <f>IFERROR(VLOOKUP($D8390,'Informations sur les produits'!$A$3:$B$15000,2,FALSE),"")</f>
        <v/>
      </c>
      <c r="V8390">
        <f t="shared" si="526"/>
        <v>0</v>
      </c>
      <c r="W8390">
        <f t="shared" si="527"/>
        <v>0</v>
      </c>
    </row>
    <row r="8391" spans="5:23" x14ac:dyDescent="0.25">
      <c r="E8391" s="4"/>
      <c r="F8391" s="4"/>
      <c r="G8391" s="33" t="str">
        <f>IFERROR(VLOOKUP($D8391,'Informations sur les produits'!$A$3:$H$10000,8,FALSE),"0")</f>
        <v>0</v>
      </c>
      <c r="K8391" s="4"/>
      <c r="L8391" s="33" t="str">
        <f>IFERROR(VLOOKUP($J8391,'Informations sur les produits'!$A$3:$H$10000,8,FALSE),"0")</f>
        <v>0</v>
      </c>
      <c r="N8391" s="8"/>
      <c r="O8391" s="33" t="str">
        <f>IFERROR(VLOOKUP($M8391,'Informations sur les produits'!$A$3:$H$10000,8,FALSE),"0")</f>
        <v>0</v>
      </c>
      <c r="P8391" s="33">
        <f t="shared" si="524"/>
        <v>0</v>
      </c>
      <c r="Q8391" s="31" t="str">
        <f t="shared" si="525"/>
        <v/>
      </c>
      <c r="R8391" s="32" t="str">
        <f>IFERROR(VLOOKUP($D8391,'Informations sur les produits'!$A$3:$B$15000,2,FALSE),"")</f>
        <v/>
      </c>
      <c r="V8391">
        <f t="shared" si="526"/>
        <v>0</v>
      </c>
      <c r="W8391">
        <f t="shared" si="527"/>
        <v>0</v>
      </c>
    </row>
    <row r="8392" spans="5:23" x14ac:dyDescent="0.25">
      <c r="E8392" s="4"/>
      <c r="F8392" s="4"/>
      <c r="G8392" s="33" t="str">
        <f>IFERROR(VLOOKUP($D8392,'Informations sur les produits'!$A$3:$H$10000,8,FALSE),"0")</f>
        <v>0</v>
      </c>
      <c r="K8392" s="4"/>
      <c r="L8392" s="33" t="str">
        <f>IFERROR(VLOOKUP($J8392,'Informations sur les produits'!$A$3:$H$10000,8,FALSE),"0")</f>
        <v>0</v>
      </c>
      <c r="N8392" s="8"/>
      <c r="O8392" s="33" t="str">
        <f>IFERROR(VLOOKUP($M8392,'Informations sur les produits'!$A$3:$H$10000,8,FALSE),"0")</f>
        <v>0</v>
      </c>
      <c r="P8392" s="33">
        <f t="shared" si="524"/>
        <v>0</v>
      </c>
      <c r="Q8392" s="31" t="str">
        <f t="shared" si="525"/>
        <v/>
      </c>
      <c r="R8392" s="32" t="str">
        <f>IFERROR(VLOOKUP($D8392,'Informations sur les produits'!$A$3:$B$15000,2,FALSE),"")</f>
        <v/>
      </c>
      <c r="V8392">
        <f t="shared" si="526"/>
        <v>0</v>
      </c>
      <c r="W8392">
        <f t="shared" si="527"/>
        <v>0</v>
      </c>
    </row>
    <row r="8393" spans="5:23" x14ac:dyDescent="0.25">
      <c r="E8393" s="4"/>
      <c r="F8393" s="4"/>
      <c r="G8393" s="33" t="str">
        <f>IFERROR(VLOOKUP($D8393,'Informations sur les produits'!$A$3:$H$10000,8,FALSE),"0")</f>
        <v>0</v>
      </c>
      <c r="K8393" s="4"/>
      <c r="L8393" s="33" t="str">
        <f>IFERROR(VLOOKUP($J8393,'Informations sur les produits'!$A$3:$H$10000,8,FALSE),"0")</f>
        <v>0</v>
      </c>
      <c r="N8393" s="8"/>
      <c r="O8393" s="33" t="str">
        <f>IFERROR(VLOOKUP($M8393,'Informations sur les produits'!$A$3:$H$10000,8,FALSE),"0")</f>
        <v>0</v>
      </c>
      <c r="P8393" s="33">
        <f t="shared" si="524"/>
        <v>0</v>
      </c>
      <c r="Q8393" s="31" t="str">
        <f t="shared" si="525"/>
        <v/>
      </c>
      <c r="R8393" s="32" t="str">
        <f>IFERROR(VLOOKUP($D8393,'Informations sur les produits'!$A$3:$B$15000,2,FALSE),"")</f>
        <v/>
      </c>
      <c r="V8393">
        <f t="shared" si="526"/>
        <v>0</v>
      </c>
      <c r="W8393">
        <f t="shared" si="527"/>
        <v>0</v>
      </c>
    </row>
    <row r="8394" spans="5:23" x14ac:dyDescent="0.25">
      <c r="E8394" s="4"/>
      <c r="F8394" s="4"/>
      <c r="G8394" s="33" t="str">
        <f>IFERROR(VLOOKUP($D8394,'Informations sur les produits'!$A$3:$H$10000,8,FALSE),"0")</f>
        <v>0</v>
      </c>
      <c r="K8394" s="4"/>
      <c r="L8394" s="33" t="str">
        <f>IFERROR(VLOOKUP($J8394,'Informations sur les produits'!$A$3:$H$10000,8,FALSE),"0")</f>
        <v>0</v>
      </c>
      <c r="N8394" s="8"/>
      <c r="O8394" s="33" t="str">
        <f>IFERROR(VLOOKUP($M8394,'Informations sur les produits'!$A$3:$H$10000,8,FALSE),"0")</f>
        <v>0</v>
      </c>
      <c r="P8394" s="33">
        <f t="shared" si="524"/>
        <v>0</v>
      </c>
      <c r="Q8394" s="31" t="str">
        <f t="shared" si="525"/>
        <v/>
      </c>
      <c r="R8394" s="32" t="str">
        <f>IFERROR(VLOOKUP($D8394,'Informations sur les produits'!$A$3:$B$15000,2,FALSE),"")</f>
        <v/>
      </c>
      <c r="V8394">
        <f t="shared" si="526"/>
        <v>0</v>
      </c>
      <c r="W8394">
        <f t="shared" si="527"/>
        <v>0</v>
      </c>
    </row>
    <row r="8395" spans="5:23" x14ac:dyDescent="0.25">
      <c r="E8395" s="4"/>
      <c r="F8395" s="4"/>
      <c r="G8395" s="33" t="str">
        <f>IFERROR(VLOOKUP($D8395,'Informations sur les produits'!$A$3:$H$10000,8,FALSE),"0")</f>
        <v>0</v>
      </c>
      <c r="K8395" s="4"/>
      <c r="L8395" s="33" t="str">
        <f>IFERROR(VLOOKUP($J8395,'Informations sur les produits'!$A$3:$H$10000,8,FALSE),"0")</f>
        <v>0</v>
      </c>
      <c r="N8395" s="8"/>
      <c r="O8395" s="33" t="str">
        <f>IFERROR(VLOOKUP($M8395,'Informations sur les produits'!$A$3:$H$10000,8,FALSE),"0")</f>
        <v>0</v>
      </c>
      <c r="P8395" s="33">
        <f t="shared" si="524"/>
        <v>0</v>
      </c>
      <c r="Q8395" s="31" t="str">
        <f t="shared" si="525"/>
        <v/>
      </c>
      <c r="R8395" s="32" t="str">
        <f>IFERROR(VLOOKUP($D8395,'Informations sur les produits'!$A$3:$B$15000,2,FALSE),"")</f>
        <v/>
      </c>
      <c r="V8395">
        <f t="shared" si="526"/>
        <v>0</v>
      </c>
      <c r="W8395">
        <f t="shared" si="527"/>
        <v>0</v>
      </c>
    </row>
    <row r="8396" spans="5:23" x14ac:dyDescent="0.25">
      <c r="E8396" s="4"/>
      <c r="F8396" s="4"/>
      <c r="G8396" s="33" t="str">
        <f>IFERROR(VLOOKUP($D8396,'Informations sur les produits'!$A$3:$H$10000,8,FALSE),"0")</f>
        <v>0</v>
      </c>
      <c r="K8396" s="4"/>
      <c r="L8396" s="33" t="str">
        <f>IFERROR(VLOOKUP($J8396,'Informations sur les produits'!$A$3:$H$10000,8,FALSE),"0")</f>
        <v>0</v>
      </c>
      <c r="N8396" s="8"/>
      <c r="O8396" s="33" t="str">
        <f>IFERROR(VLOOKUP($M8396,'Informations sur les produits'!$A$3:$H$10000,8,FALSE),"0")</f>
        <v>0</v>
      </c>
      <c r="P8396" s="33">
        <f t="shared" si="524"/>
        <v>0</v>
      </c>
      <c r="Q8396" s="31" t="str">
        <f t="shared" si="525"/>
        <v/>
      </c>
      <c r="R8396" s="32" t="str">
        <f>IFERROR(VLOOKUP($D8396,'Informations sur les produits'!$A$3:$B$15000,2,FALSE),"")</f>
        <v/>
      </c>
      <c r="V8396">
        <f t="shared" si="526"/>
        <v>0</v>
      </c>
      <c r="W8396">
        <f t="shared" si="527"/>
        <v>0</v>
      </c>
    </row>
    <row r="8397" spans="5:23" x14ac:dyDescent="0.25">
      <c r="E8397" s="4"/>
      <c r="F8397" s="4"/>
      <c r="G8397" s="33" t="str">
        <f>IFERROR(VLOOKUP($D8397,'Informations sur les produits'!$A$3:$H$10000,8,FALSE),"0")</f>
        <v>0</v>
      </c>
      <c r="K8397" s="4"/>
      <c r="L8397" s="33" t="str">
        <f>IFERROR(VLOOKUP($J8397,'Informations sur les produits'!$A$3:$H$10000,8,FALSE),"0")</f>
        <v>0</v>
      </c>
      <c r="N8397" s="8"/>
      <c r="O8397" s="33" t="str">
        <f>IFERROR(VLOOKUP($M8397,'Informations sur les produits'!$A$3:$H$10000,8,FALSE),"0")</f>
        <v>0</v>
      </c>
      <c r="P8397" s="33">
        <f t="shared" si="524"/>
        <v>0</v>
      </c>
      <c r="Q8397" s="31" t="str">
        <f t="shared" si="525"/>
        <v/>
      </c>
      <c r="R8397" s="32" t="str">
        <f>IFERROR(VLOOKUP($D8397,'Informations sur les produits'!$A$3:$B$15000,2,FALSE),"")</f>
        <v/>
      </c>
      <c r="V8397">
        <f t="shared" si="526"/>
        <v>0</v>
      </c>
      <c r="W8397">
        <f t="shared" si="527"/>
        <v>0</v>
      </c>
    </row>
    <row r="8398" spans="5:23" x14ac:dyDescent="0.25">
      <c r="E8398" s="4"/>
      <c r="F8398" s="4"/>
      <c r="G8398" s="33" t="str">
        <f>IFERROR(VLOOKUP($D8398,'Informations sur les produits'!$A$3:$H$10000,8,FALSE),"0")</f>
        <v>0</v>
      </c>
      <c r="K8398" s="4"/>
      <c r="L8398" s="33" t="str">
        <f>IFERROR(VLOOKUP($J8398,'Informations sur les produits'!$A$3:$H$10000,8,FALSE),"0")</f>
        <v>0</v>
      </c>
      <c r="N8398" s="8"/>
      <c r="O8398" s="33" t="str">
        <f>IFERROR(VLOOKUP($M8398,'Informations sur les produits'!$A$3:$H$10000,8,FALSE),"0")</f>
        <v>0</v>
      </c>
      <c r="P8398" s="33">
        <f t="shared" si="524"/>
        <v>0</v>
      </c>
      <c r="Q8398" s="31" t="str">
        <f t="shared" si="525"/>
        <v/>
      </c>
      <c r="R8398" s="32" t="str">
        <f>IFERROR(VLOOKUP($D8398,'Informations sur les produits'!$A$3:$B$15000,2,FALSE),"")</f>
        <v/>
      </c>
      <c r="V8398">
        <f t="shared" si="526"/>
        <v>0</v>
      </c>
      <c r="W8398">
        <f t="shared" si="527"/>
        <v>0</v>
      </c>
    </row>
    <row r="8399" spans="5:23" x14ac:dyDescent="0.25">
      <c r="E8399" s="4"/>
      <c r="F8399" s="4"/>
      <c r="G8399" s="33" t="str">
        <f>IFERROR(VLOOKUP($D8399,'Informations sur les produits'!$A$3:$H$10000,8,FALSE),"0")</f>
        <v>0</v>
      </c>
      <c r="K8399" s="4"/>
      <c r="L8399" s="33" t="str">
        <f>IFERROR(VLOOKUP($J8399,'Informations sur les produits'!$A$3:$H$10000,8,FALSE),"0")</f>
        <v>0</v>
      </c>
      <c r="N8399" s="8"/>
      <c r="O8399" s="33" t="str">
        <f>IFERROR(VLOOKUP($M8399,'Informations sur les produits'!$A$3:$H$10000,8,FALSE),"0")</f>
        <v>0</v>
      </c>
      <c r="P8399" s="33">
        <f t="shared" si="524"/>
        <v>0</v>
      </c>
      <c r="Q8399" s="31" t="str">
        <f t="shared" si="525"/>
        <v/>
      </c>
      <c r="R8399" s="32" t="str">
        <f>IFERROR(VLOOKUP($D8399,'Informations sur les produits'!$A$3:$B$15000,2,FALSE),"")</f>
        <v/>
      </c>
      <c r="V8399">
        <f t="shared" si="526"/>
        <v>0</v>
      </c>
      <c r="W8399">
        <f t="shared" si="527"/>
        <v>0</v>
      </c>
    </row>
    <row r="8400" spans="5:23" x14ac:dyDescent="0.25">
      <c r="E8400" s="4"/>
      <c r="F8400" s="4"/>
      <c r="G8400" s="33" t="str">
        <f>IFERROR(VLOOKUP($D8400,'Informations sur les produits'!$A$3:$H$10000,8,FALSE),"0")</f>
        <v>0</v>
      </c>
      <c r="K8400" s="4"/>
      <c r="L8400" s="33" t="str">
        <f>IFERROR(VLOOKUP($J8400,'Informations sur les produits'!$A$3:$H$10000,8,FALSE),"0")</f>
        <v>0</v>
      </c>
      <c r="N8400" s="8"/>
      <c r="O8400" s="33" t="str">
        <f>IFERROR(VLOOKUP($M8400,'Informations sur les produits'!$A$3:$H$10000,8,FALSE),"0")</f>
        <v>0</v>
      </c>
      <c r="P8400" s="33">
        <f t="shared" si="524"/>
        <v>0</v>
      </c>
      <c r="Q8400" s="31" t="str">
        <f t="shared" si="525"/>
        <v/>
      </c>
      <c r="R8400" s="32" t="str">
        <f>IFERROR(VLOOKUP($D8400,'Informations sur les produits'!$A$3:$B$15000,2,FALSE),"")</f>
        <v/>
      </c>
      <c r="V8400">
        <f t="shared" si="526"/>
        <v>0</v>
      </c>
      <c r="W8400">
        <f t="shared" si="527"/>
        <v>0</v>
      </c>
    </row>
    <row r="8401" spans="5:23" x14ac:dyDescent="0.25">
      <c r="E8401" s="4"/>
      <c r="F8401" s="4"/>
      <c r="G8401" s="33" t="str">
        <f>IFERROR(VLOOKUP($D8401,'Informations sur les produits'!$A$3:$H$10000,8,FALSE),"0")</f>
        <v>0</v>
      </c>
      <c r="K8401" s="4"/>
      <c r="L8401" s="33" t="str">
        <f>IFERROR(VLOOKUP($J8401,'Informations sur les produits'!$A$3:$H$10000,8,FALSE),"0")</f>
        <v>0</v>
      </c>
      <c r="N8401" s="8"/>
      <c r="O8401" s="33" t="str">
        <f>IFERROR(VLOOKUP($M8401,'Informations sur les produits'!$A$3:$H$10000,8,FALSE),"0")</f>
        <v>0</v>
      </c>
      <c r="P8401" s="33">
        <f t="shared" si="524"/>
        <v>0</v>
      </c>
      <c r="Q8401" s="31" t="str">
        <f t="shared" si="525"/>
        <v/>
      </c>
      <c r="R8401" s="32" t="str">
        <f>IFERROR(VLOOKUP($D8401,'Informations sur les produits'!$A$3:$B$15000,2,FALSE),"")</f>
        <v/>
      </c>
      <c r="V8401">
        <f t="shared" si="526"/>
        <v>0</v>
      </c>
      <c r="W8401">
        <f t="shared" si="527"/>
        <v>0</v>
      </c>
    </row>
    <row r="8402" spans="5:23" x14ac:dyDescent="0.25">
      <c r="E8402" s="4"/>
      <c r="F8402" s="4"/>
      <c r="G8402" s="33" t="str">
        <f>IFERROR(VLOOKUP($D8402,'Informations sur les produits'!$A$3:$H$10000,8,FALSE),"0")</f>
        <v>0</v>
      </c>
      <c r="K8402" s="4"/>
      <c r="L8402" s="33" t="str">
        <f>IFERROR(VLOOKUP($J8402,'Informations sur les produits'!$A$3:$H$10000,8,FALSE),"0")</f>
        <v>0</v>
      </c>
      <c r="N8402" s="8"/>
      <c r="O8402" s="33" t="str">
        <f>IFERROR(VLOOKUP($M8402,'Informations sur les produits'!$A$3:$H$10000,8,FALSE),"0")</f>
        <v>0</v>
      </c>
      <c r="P8402" s="33">
        <f t="shared" si="524"/>
        <v>0</v>
      </c>
      <c r="Q8402" s="31" t="str">
        <f t="shared" si="525"/>
        <v/>
      </c>
      <c r="R8402" s="32" t="str">
        <f>IFERROR(VLOOKUP($D8402,'Informations sur les produits'!$A$3:$B$15000,2,FALSE),"")</f>
        <v/>
      </c>
      <c r="V8402">
        <f t="shared" si="526"/>
        <v>0</v>
      </c>
      <c r="W8402">
        <f t="shared" si="527"/>
        <v>0</v>
      </c>
    </row>
    <row r="8403" spans="5:23" x14ac:dyDescent="0.25">
      <c r="E8403" s="4"/>
      <c r="F8403" s="4"/>
      <c r="G8403" s="33" t="str">
        <f>IFERROR(VLOOKUP($D8403,'Informations sur les produits'!$A$3:$H$10000,8,FALSE),"0")</f>
        <v>0</v>
      </c>
      <c r="K8403" s="4"/>
      <c r="L8403" s="33" t="str">
        <f>IFERROR(VLOOKUP($J8403,'Informations sur les produits'!$A$3:$H$10000,8,FALSE),"0")</f>
        <v>0</v>
      </c>
      <c r="N8403" s="8"/>
      <c r="O8403" s="33" t="str">
        <f>IFERROR(VLOOKUP($M8403,'Informations sur les produits'!$A$3:$H$10000,8,FALSE),"0")</f>
        <v>0</v>
      </c>
      <c r="P8403" s="33">
        <f t="shared" si="524"/>
        <v>0</v>
      </c>
      <c r="Q8403" s="31" t="str">
        <f t="shared" si="525"/>
        <v/>
      </c>
      <c r="R8403" s="32" t="str">
        <f>IFERROR(VLOOKUP($D8403,'Informations sur les produits'!$A$3:$B$15000,2,FALSE),"")</f>
        <v/>
      </c>
      <c r="V8403">
        <f t="shared" si="526"/>
        <v>0</v>
      </c>
      <c r="W8403">
        <f t="shared" si="527"/>
        <v>0</v>
      </c>
    </row>
    <row r="8404" spans="5:23" x14ac:dyDescent="0.25">
      <c r="E8404" s="4"/>
      <c r="F8404" s="4"/>
      <c r="G8404" s="33" t="str">
        <f>IFERROR(VLOOKUP($D8404,'Informations sur les produits'!$A$3:$H$10000,8,FALSE),"0")</f>
        <v>0</v>
      </c>
      <c r="K8404" s="4"/>
      <c r="L8404" s="33" t="str">
        <f>IFERROR(VLOOKUP($J8404,'Informations sur les produits'!$A$3:$H$10000,8,FALSE),"0")</f>
        <v>0</v>
      </c>
      <c r="N8404" s="8"/>
      <c r="O8404" s="33" t="str">
        <f>IFERROR(VLOOKUP($M8404,'Informations sur les produits'!$A$3:$H$10000,8,FALSE),"0")</f>
        <v>0</v>
      </c>
      <c r="P8404" s="33">
        <f t="shared" si="524"/>
        <v>0</v>
      </c>
      <c r="Q8404" s="31" t="str">
        <f t="shared" si="525"/>
        <v/>
      </c>
      <c r="R8404" s="32" t="str">
        <f>IFERROR(VLOOKUP($D8404,'Informations sur les produits'!$A$3:$B$15000,2,FALSE),"")</f>
        <v/>
      </c>
      <c r="V8404">
        <f t="shared" si="526"/>
        <v>0</v>
      </c>
      <c r="W8404">
        <f t="shared" si="527"/>
        <v>0</v>
      </c>
    </row>
    <row r="8405" spans="5:23" x14ac:dyDescent="0.25">
      <c r="E8405" s="4"/>
      <c r="F8405" s="4"/>
      <c r="G8405" s="33" t="str">
        <f>IFERROR(VLOOKUP($D8405,'Informations sur les produits'!$A$3:$H$10000,8,FALSE),"0")</f>
        <v>0</v>
      </c>
      <c r="K8405" s="4"/>
      <c r="L8405" s="33" t="str">
        <f>IFERROR(VLOOKUP($J8405,'Informations sur les produits'!$A$3:$H$10000,8,FALSE),"0")</f>
        <v>0</v>
      </c>
      <c r="N8405" s="8"/>
      <c r="O8405" s="33" t="str">
        <f>IFERROR(VLOOKUP($M8405,'Informations sur les produits'!$A$3:$H$10000,8,FALSE),"0")</f>
        <v>0</v>
      </c>
      <c r="P8405" s="33">
        <f t="shared" si="524"/>
        <v>0</v>
      </c>
      <c r="Q8405" s="31" t="str">
        <f t="shared" si="525"/>
        <v/>
      </c>
      <c r="R8405" s="32" t="str">
        <f>IFERROR(VLOOKUP($D8405,'Informations sur les produits'!$A$3:$B$15000,2,FALSE),"")</f>
        <v/>
      </c>
      <c r="V8405">
        <f t="shared" si="526"/>
        <v>0</v>
      </c>
      <c r="W8405">
        <f t="shared" si="527"/>
        <v>0</v>
      </c>
    </row>
    <row r="8406" spans="5:23" x14ac:dyDescent="0.25">
      <c r="E8406" s="4"/>
      <c r="F8406" s="4"/>
      <c r="G8406" s="33" t="str">
        <f>IFERROR(VLOOKUP($D8406,'Informations sur les produits'!$A$3:$H$10000,8,FALSE),"0")</f>
        <v>0</v>
      </c>
      <c r="K8406" s="4"/>
      <c r="L8406" s="33" t="str">
        <f>IFERROR(VLOOKUP($J8406,'Informations sur les produits'!$A$3:$H$10000,8,FALSE),"0")</f>
        <v>0</v>
      </c>
      <c r="N8406" s="8"/>
      <c r="O8406" s="33" t="str">
        <f>IFERROR(VLOOKUP($M8406,'Informations sur les produits'!$A$3:$H$10000,8,FALSE),"0")</f>
        <v>0</v>
      </c>
      <c r="P8406" s="33">
        <f t="shared" si="524"/>
        <v>0</v>
      </c>
      <c r="Q8406" s="31" t="str">
        <f t="shared" si="525"/>
        <v/>
      </c>
      <c r="R8406" s="32" t="str">
        <f>IFERROR(VLOOKUP($D8406,'Informations sur les produits'!$A$3:$B$15000,2,FALSE),"")</f>
        <v/>
      </c>
      <c r="V8406">
        <f t="shared" si="526"/>
        <v>0</v>
      </c>
      <c r="W8406">
        <f t="shared" si="527"/>
        <v>0</v>
      </c>
    </row>
    <row r="8407" spans="5:23" x14ac:dyDescent="0.25">
      <c r="E8407" s="4"/>
      <c r="F8407" s="4"/>
      <c r="G8407" s="33" t="str">
        <f>IFERROR(VLOOKUP($D8407,'Informations sur les produits'!$A$3:$H$10000,8,FALSE),"0")</f>
        <v>0</v>
      </c>
      <c r="K8407" s="4"/>
      <c r="L8407" s="33" t="str">
        <f>IFERROR(VLOOKUP($J8407,'Informations sur les produits'!$A$3:$H$10000,8,FALSE),"0")</f>
        <v>0</v>
      </c>
      <c r="N8407" s="8"/>
      <c r="O8407" s="33" t="str">
        <f>IFERROR(VLOOKUP($M8407,'Informations sur les produits'!$A$3:$H$10000,8,FALSE),"0")</f>
        <v>0</v>
      </c>
      <c r="P8407" s="33">
        <f t="shared" si="524"/>
        <v>0</v>
      </c>
      <c r="Q8407" s="31" t="str">
        <f t="shared" si="525"/>
        <v/>
      </c>
      <c r="R8407" s="32" t="str">
        <f>IFERROR(VLOOKUP($D8407,'Informations sur les produits'!$A$3:$B$15000,2,FALSE),"")</f>
        <v/>
      </c>
      <c r="V8407">
        <f t="shared" si="526"/>
        <v>0</v>
      </c>
      <c r="W8407">
        <f t="shared" si="527"/>
        <v>0</v>
      </c>
    </row>
    <row r="8408" spans="5:23" x14ac:dyDescent="0.25">
      <c r="E8408" s="4"/>
      <c r="F8408" s="4"/>
      <c r="G8408" s="33" t="str">
        <f>IFERROR(VLOOKUP($D8408,'Informations sur les produits'!$A$3:$H$10000,8,FALSE),"0")</f>
        <v>0</v>
      </c>
      <c r="K8408" s="4"/>
      <c r="L8408" s="33" t="str">
        <f>IFERROR(VLOOKUP($J8408,'Informations sur les produits'!$A$3:$H$10000,8,FALSE),"0")</f>
        <v>0</v>
      </c>
      <c r="N8408" s="8"/>
      <c r="O8408" s="33" t="str">
        <f>IFERROR(VLOOKUP($M8408,'Informations sur les produits'!$A$3:$H$10000,8,FALSE),"0")</f>
        <v>0</v>
      </c>
      <c r="P8408" s="33">
        <f t="shared" si="524"/>
        <v>0</v>
      </c>
      <c r="Q8408" s="31" t="str">
        <f t="shared" si="525"/>
        <v/>
      </c>
      <c r="R8408" s="32" t="str">
        <f>IFERROR(VLOOKUP($D8408,'Informations sur les produits'!$A$3:$B$15000,2,FALSE),"")</f>
        <v/>
      </c>
      <c r="V8408">
        <f t="shared" si="526"/>
        <v>0</v>
      </c>
      <c r="W8408">
        <f t="shared" si="527"/>
        <v>0</v>
      </c>
    </row>
    <row r="8409" spans="5:23" x14ac:dyDescent="0.25">
      <c r="E8409" s="4"/>
      <c r="F8409" s="4"/>
      <c r="G8409" s="33" t="str">
        <f>IFERROR(VLOOKUP($D8409,'Informations sur les produits'!$A$3:$H$10000,8,FALSE),"0")</f>
        <v>0</v>
      </c>
      <c r="K8409" s="4"/>
      <c r="L8409" s="33" t="str">
        <f>IFERROR(VLOOKUP($J8409,'Informations sur les produits'!$A$3:$H$10000,8,FALSE),"0")</f>
        <v>0</v>
      </c>
      <c r="N8409" s="8"/>
      <c r="O8409" s="33" t="str">
        <f>IFERROR(VLOOKUP($M8409,'Informations sur les produits'!$A$3:$H$10000,8,FALSE),"0")</f>
        <v>0</v>
      </c>
      <c r="P8409" s="33">
        <f t="shared" si="524"/>
        <v>0</v>
      </c>
      <c r="Q8409" s="31" t="str">
        <f t="shared" si="525"/>
        <v/>
      </c>
      <c r="R8409" s="32" t="str">
        <f>IFERROR(VLOOKUP($D8409,'Informations sur les produits'!$A$3:$B$15000,2,FALSE),"")</f>
        <v/>
      </c>
      <c r="V8409">
        <f t="shared" si="526"/>
        <v>0</v>
      </c>
      <c r="W8409">
        <f t="shared" si="527"/>
        <v>0</v>
      </c>
    </row>
    <row r="8410" spans="5:23" x14ac:dyDescent="0.25">
      <c r="E8410" s="4"/>
      <c r="F8410" s="4"/>
      <c r="G8410" s="33" t="str">
        <f>IFERROR(VLOOKUP($D8410,'Informations sur les produits'!$A$3:$H$10000,8,FALSE),"0")</f>
        <v>0</v>
      </c>
      <c r="K8410" s="4"/>
      <c r="L8410" s="33" t="str">
        <f>IFERROR(VLOOKUP($J8410,'Informations sur les produits'!$A$3:$H$10000,8,FALSE),"0")</f>
        <v>0</v>
      </c>
      <c r="N8410" s="8"/>
      <c r="O8410" s="33" t="str">
        <f>IFERROR(VLOOKUP($M8410,'Informations sur les produits'!$A$3:$H$10000,8,FALSE),"0")</f>
        <v>0</v>
      </c>
      <c r="P8410" s="33">
        <f t="shared" si="524"/>
        <v>0</v>
      </c>
      <c r="Q8410" s="31" t="str">
        <f t="shared" si="525"/>
        <v/>
      </c>
      <c r="R8410" s="32" t="str">
        <f>IFERROR(VLOOKUP($D8410,'Informations sur les produits'!$A$3:$B$15000,2,FALSE),"")</f>
        <v/>
      </c>
      <c r="V8410">
        <f t="shared" si="526"/>
        <v>0</v>
      </c>
      <c r="W8410">
        <f t="shared" si="527"/>
        <v>0</v>
      </c>
    </row>
    <row r="8411" spans="5:23" x14ac:dyDescent="0.25">
      <c r="E8411" s="4"/>
      <c r="F8411" s="4"/>
      <c r="G8411" s="33" t="str">
        <f>IFERROR(VLOOKUP($D8411,'Informations sur les produits'!$A$3:$H$10000,8,FALSE),"0")</f>
        <v>0</v>
      </c>
      <c r="K8411" s="4"/>
      <c r="L8411" s="33" t="str">
        <f>IFERROR(VLOOKUP($J8411,'Informations sur les produits'!$A$3:$H$10000,8,FALSE),"0")</f>
        <v>0</v>
      </c>
      <c r="N8411" s="8"/>
      <c r="O8411" s="33" t="str">
        <f>IFERROR(VLOOKUP($M8411,'Informations sur les produits'!$A$3:$H$10000,8,FALSE),"0")</f>
        <v>0</v>
      </c>
      <c r="P8411" s="33">
        <f t="shared" si="524"/>
        <v>0</v>
      </c>
      <c r="Q8411" s="31" t="str">
        <f t="shared" si="525"/>
        <v/>
      </c>
      <c r="R8411" s="32" t="str">
        <f>IFERROR(VLOOKUP($D8411,'Informations sur les produits'!$A$3:$B$15000,2,FALSE),"")</f>
        <v/>
      </c>
      <c r="V8411">
        <f t="shared" si="526"/>
        <v>0</v>
      </c>
      <c r="W8411">
        <f t="shared" si="527"/>
        <v>0</v>
      </c>
    </row>
    <row r="8412" spans="5:23" x14ac:dyDescent="0.25">
      <c r="E8412" s="4"/>
      <c r="F8412" s="4"/>
      <c r="G8412" s="33" t="str">
        <f>IFERROR(VLOOKUP($D8412,'Informations sur les produits'!$A$3:$H$10000,8,FALSE),"0")</f>
        <v>0</v>
      </c>
      <c r="K8412" s="4"/>
      <c r="L8412" s="33" t="str">
        <f>IFERROR(VLOOKUP($J8412,'Informations sur les produits'!$A$3:$H$10000,8,FALSE),"0")</f>
        <v>0</v>
      </c>
      <c r="N8412" s="8"/>
      <c r="O8412" s="33" t="str">
        <f>IFERROR(VLOOKUP($M8412,'Informations sur les produits'!$A$3:$H$10000,8,FALSE),"0")</f>
        <v>0</v>
      </c>
      <c r="P8412" s="33">
        <f t="shared" si="524"/>
        <v>0</v>
      </c>
      <c r="Q8412" s="31" t="str">
        <f t="shared" si="525"/>
        <v/>
      </c>
      <c r="R8412" s="32" t="str">
        <f>IFERROR(VLOOKUP($D8412,'Informations sur les produits'!$A$3:$B$15000,2,FALSE),"")</f>
        <v/>
      </c>
      <c r="V8412">
        <f t="shared" si="526"/>
        <v>0</v>
      </c>
      <c r="W8412">
        <f t="shared" si="527"/>
        <v>0</v>
      </c>
    </row>
    <row r="8413" spans="5:23" x14ac:dyDescent="0.25">
      <c r="E8413" s="4"/>
      <c r="F8413" s="4"/>
      <c r="G8413" s="33" t="str">
        <f>IFERROR(VLOOKUP($D8413,'Informations sur les produits'!$A$3:$H$10000,8,FALSE),"0")</f>
        <v>0</v>
      </c>
      <c r="K8413" s="4"/>
      <c r="L8413" s="33" t="str">
        <f>IFERROR(VLOOKUP($J8413,'Informations sur les produits'!$A$3:$H$10000,8,FALSE),"0")</f>
        <v>0</v>
      </c>
      <c r="N8413" s="8"/>
      <c r="O8413" s="33" t="str">
        <f>IFERROR(VLOOKUP($M8413,'Informations sur les produits'!$A$3:$H$10000,8,FALSE),"0")</f>
        <v>0</v>
      </c>
      <c r="P8413" s="33">
        <f t="shared" si="524"/>
        <v>0</v>
      </c>
      <c r="Q8413" s="31" t="str">
        <f t="shared" si="525"/>
        <v/>
      </c>
      <c r="R8413" s="32" t="str">
        <f>IFERROR(VLOOKUP($D8413,'Informations sur les produits'!$A$3:$B$15000,2,FALSE),"")</f>
        <v/>
      </c>
      <c r="V8413">
        <f t="shared" si="526"/>
        <v>0</v>
      </c>
      <c r="W8413">
        <f t="shared" si="527"/>
        <v>0</v>
      </c>
    </row>
    <row r="8414" spans="5:23" x14ac:dyDescent="0.25">
      <c r="E8414" s="4"/>
      <c r="F8414" s="4"/>
      <c r="G8414" s="33" t="str">
        <f>IFERROR(VLOOKUP($D8414,'Informations sur les produits'!$A$3:$H$10000,8,FALSE),"0")</f>
        <v>0</v>
      </c>
      <c r="K8414" s="4"/>
      <c r="L8414" s="33" t="str">
        <f>IFERROR(VLOOKUP($J8414,'Informations sur les produits'!$A$3:$H$10000,8,FALSE),"0")</f>
        <v>0</v>
      </c>
      <c r="N8414" s="8"/>
      <c r="O8414" s="33" t="str">
        <f>IFERROR(VLOOKUP($M8414,'Informations sur les produits'!$A$3:$H$10000,8,FALSE),"0")</f>
        <v>0</v>
      </c>
      <c r="P8414" s="33">
        <f t="shared" si="524"/>
        <v>0</v>
      </c>
      <c r="Q8414" s="31" t="str">
        <f t="shared" si="525"/>
        <v/>
      </c>
      <c r="R8414" s="32" t="str">
        <f>IFERROR(VLOOKUP($D8414,'Informations sur les produits'!$A$3:$B$15000,2,FALSE),"")</f>
        <v/>
      </c>
      <c r="V8414">
        <f t="shared" si="526"/>
        <v>0</v>
      </c>
      <c r="W8414">
        <f t="shared" si="527"/>
        <v>0</v>
      </c>
    </row>
    <row r="8415" spans="5:23" x14ac:dyDescent="0.25">
      <c r="E8415" s="4"/>
      <c r="F8415" s="4"/>
      <c r="G8415" s="33" t="str">
        <f>IFERROR(VLOOKUP($D8415,'Informations sur les produits'!$A$3:$H$10000,8,FALSE),"0")</f>
        <v>0</v>
      </c>
      <c r="K8415" s="4"/>
      <c r="L8415" s="33" t="str">
        <f>IFERROR(VLOOKUP($J8415,'Informations sur les produits'!$A$3:$H$10000,8,FALSE),"0")</f>
        <v>0</v>
      </c>
      <c r="N8415" s="8"/>
      <c r="O8415" s="33" t="str">
        <f>IFERROR(VLOOKUP($M8415,'Informations sur les produits'!$A$3:$H$10000,8,FALSE),"0")</f>
        <v>0</v>
      </c>
      <c r="P8415" s="33">
        <f t="shared" si="524"/>
        <v>0</v>
      </c>
      <c r="Q8415" s="31" t="str">
        <f t="shared" si="525"/>
        <v/>
      </c>
      <c r="R8415" s="32" t="str">
        <f>IFERROR(VLOOKUP($D8415,'Informations sur les produits'!$A$3:$B$15000,2,FALSE),"")</f>
        <v/>
      </c>
      <c r="V8415">
        <f t="shared" si="526"/>
        <v>0</v>
      </c>
      <c r="W8415">
        <f t="shared" si="527"/>
        <v>0</v>
      </c>
    </row>
    <row r="8416" spans="5:23" x14ac:dyDescent="0.25">
      <c r="E8416" s="4"/>
      <c r="F8416" s="4"/>
      <c r="G8416" s="33" t="str">
        <f>IFERROR(VLOOKUP($D8416,'Informations sur les produits'!$A$3:$H$10000,8,FALSE),"0")</f>
        <v>0</v>
      </c>
      <c r="K8416" s="4"/>
      <c r="L8416" s="33" t="str">
        <f>IFERROR(VLOOKUP($J8416,'Informations sur les produits'!$A$3:$H$10000,8,FALSE),"0")</f>
        <v>0</v>
      </c>
      <c r="N8416" s="8"/>
      <c r="O8416" s="33" t="str">
        <f>IFERROR(VLOOKUP($M8416,'Informations sur les produits'!$A$3:$H$10000,8,FALSE),"0")</f>
        <v>0</v>
      </c>
      <c r="P8416" s="33">
        <f t="shared" si="524"/>
        <v>0</v>
      </c>
      <c r="Q8416" s="31" t="str">
        <f t="shared" si="525"/>
        <v/>
      </c>
      <c r="R8416" s="32" t="str">
        <f>IFERROR(VLOOKUP($D8416,'Informations sur les produits'!$A$3:$B$15000,2,FALSE),"")</f>
        <v/>
      </c>
      <c r="V8416">
        <f t="shared" si="526"/>
        <v>0</v>
      </c>
      <c r="W8416">
        <f t="shared" si="527"/>
        <v>0</v>
      </c>
    </row>
    <row r="8417" spans="5:23" x14ac:dyDescent="0.25">
      <c r="E8417" s="4"/>
      <c r="F8417" s="4"/>
      <c r="G8417" s="33" t="str">
        <f>IFERROR(VLOOKUP($D8417,'Informations sur les produits'!$A$3:$H$10000,8,FALSE),"0")</f>
        <v>0</v>
      </c>
      <c r="K8417" s="4"/>
      <c r="L8417" s="33" t="str">
        <f>IFERROR(VLOOKUP($J8417,'Informations sur les produits'!$A$3:$H$10000,8,FALSE),"0")</f>
        <v>0</v>
      </c>
      <c r="N8417" s="8"/>
      <c r="O8417" s="33" t="str">
        <f>IFERROR(VLOOKUP($M8417,'Informations sur les produits'!$A$3:$H$10000,8,FALSE),"0")</f>
        <v>0</v>
      </c>
      <c r="P8417" s="33">
        <f t="shared" si="524"/>
        <v>0</v>
      </c>
      <c r="Q8417" s="31" t="str">
        <f t="shared" si="525"/>
        <v/>
      </c>
      <c r="R8417" s="32" t="str">
        <f>IFERROR(VLOOKUP($D8417,'Informations sur les produits'!$A$3:$B$15000,2,FALSE),"")</f>
        <v/>
      </c>
      <c r="V8417">
        <f t="shared" si="526"/>
        <v>0</v>
      </c>
      <c r="W8417">
        <f t="shared" si="527"/>
        <v>0</v>
      </c>
    </row>
    <row r="8418" spans="5:23" x14ac:dyDescent="0.25">
      <c r="E8418" s="4"/>
      <c r="F8418" s="4"/>
      <c r="G8418" s="33" t="str">
        <f>IFERROR(VLOOKUP($D8418,'Informations sur les produits'!$A$3:$H$10000,8,FALSE),"0")</f>
        <v>0</v>
      </c>
      <c r="K8418" s="4"/>
      <c r="L8418" s="33" t="str">
        <f>IFERROR(VLOOKUP($J8418,'Informations sur les produits'!$A$3:$H$10000,8,FALSE),"0")</f>
        <v>0</v>
      </c>
      <c r="N8418" s="8"/>
      <c r="O8418" s="33" t="str">
        <f>IFERROR(VLOOKUP($M8418,'Informations sur les produits'!$A$3:$H$10000,8,FALSE),"0")</f>
        <v>0</v>
      </c>
      <c r="P8418" s="33">
        <f t="shared" si="524"/>
        <v>0</v>
      </c>
      <c r="Q8418" s="31" t="str">
        <f t="shared" si="525"/>
        <v/>
      </c>
      <c r="R8418" s="32" t="str">
        <f>IFERROR(VLOOKUP($D8418,'Informations sur les produits'!$A$3:$B$15000,2,FALSE),"")</f>
        <v/>
      </c>
      <c r="V8418">
        <f t="shared" si="526"/>
        <v>0</v>
      </c>
      <c r="W8418">
        <f t="shared" si="527"/>
        <v>0</v>
      </c>
    </row>
    <row r="8419" spans="5:23" x14ac:dyDescent="0.25">
      <c r="E8419" s="4"/>
      <c r="F8419" s="4"/>
      <c r="G8419" s="33" t="str">
        <f>IFERROR(VLOOKUP($D8419,'Informations sur les produits'!$A$3:$H$10000,8,FALSE),"0")</f>
        <v>0</v>
      </c>
      <c r="K8419" s="4"/>
      <c r="L8419" s="33" t="str">
        <f>IFERROR(VLOOKUP($J8419,'Informations sur les produits'!$A$3:$H$10000,8,FALSE),"0")</f>
        <v>0</v>
      </c>
      <c r="N8419" s="8"/>
      <c r="O8419" s="33" t="str">
        <f>IFERROR(VLOOKUP($M8419,'Informations sur les produits'!$A$3:$H$10000,8,FALSE),"0")</f>
        <v>0</v>
      </c>
      <c r="P8419" s="33">
        <f t="shared" si="524"/>
        <v>0</v>
      </c>
      <c r="Q8419" s="31" t="str">
        <f t="shared" si="525"/>
        <v/>
      </c>
      <c r="R8419" s="32" t="str">
        <f>IFERROR(VLOOKUP($D8419,'Informations sur les produits'!$A$3:$B$15000,2,FALSE),"")</f>
        <v/>
      </c>
      <c r="V8419">
        <f t="shared" si="526"/>
        <v>0</v>
      </c>
      <c r="W8419">
        <f t="shared" si="527"/>
        <v>0</v>
      </c>
    </row>
    <row r="8420" spans="5:23" x14ac:dyDescent="0.25">
      <c r="E8420" s="4"/>
      <c r="F8420" s="4"/>
      <c r="G8420" s="33" t="str">
        <f>IFERROR(VLOOKUP($D8420,'Informations sur les produits'!$A$3:$H$10000,8,FALSE),"0")</f>
        <v>0</v>
      </c>
      <c r="K8420" s="4"/>
      <c r="L8420" s="33" t="str">
        <f>IFERROR(VLOOKUP($J8420,'Informations sur les produits'!$A$3:$H$10000,8,FALSE),"0")</f>
        <v>0</v>
      </c>
      <c r="N8420" s="8"/>
      <c r="O8420" s="33" t="str">
        <f>IFERROR(VLOOKUP($M8420,'Informations sur les produits'!$A$3:$H$10000,8,FALSE),"0")</f>
        <v>0</v>
      </c>
      <c r="P8420" s="33">
        <f t="shared" si="524"/>
        <v>0</v>
      </c>
      <c r="Q8420" s="31" t="str">
        <f t="shared" si="525"/>
        <v/>
      </c>
      <c r="R8420" s="32" t="str">
        <f>IFERROR(VLOOKUP($D8420,'Informations sur les produits'!$A$3:$B$15000,2,FALSE),"")</f>
        <v/>
      </c>
      <c r="V8420">
        <f t="shared" si="526"/>
        <v>0</v>
      </c>
      <c r="W8420">
        <f t="shared" si="527"/>
        <v>0</v>
      </c>
    </row>
    <row r="8421" spans="5:23" x14ac:dyDescent="0.25">
      <c r="E8421" s="4"/>
      <c r="F8421" s="4"/>
      <c r="G8421" s="33" t="str">
        <f>IFERROR(VLOOKUP($D8421,'Informations sur les produits'!$A$3:$H$10000,8,FALSE),"0")</f>
        <v>0</v>
      </c>
      <c r="K8421" s="4"/>
      <c r="L8421" s="33" t="str">
        <f>IFERROR(VLOOKUP($J8421,'Informations sur les produits'!$A$3:$H$10000,8,FALSE),"0")</f>
        <v>0</v>
      </c>
      <c r="N8421" s="8"/>
      <c r="O8421" s="33" t="str">
        <f>IFERROR(VLOOKUP($M8421,'Informations sur les produits'!$A$3:$H$10000,8,FALSE),"0")</f>
        <v>0</v>
      </c>
      <c r="P8421" s="33">
        <f t="shared" si="524"/>
        <v>0</v>
      </c>
      <c r="Q8421" s="31" t="str">
        <f t="shared" si="525"/>
        <v/>
      </c>
      <c r="R8421" s="32" t="str">
        <f>IFERROR(VLOOKUP($D8421,'Informations sur les produits'!$A$3:$B$15000,2,FALSE),"")</f>
        <v/>
      </c>
      <c r="V8421">
        <f t="shared" si="526"/>
        <v>0</v>
      </c>
      <c r="W8421">
        <f t="shared" si="527"/>
        <v>0</v>
      </c>
    </row>
    <row r="8422" spans="5:23" x14ac:dyDescent="0.25">
      <c r="E8422" s="4"/>
      <c r="F8422" s="4"/>
      <c r="G8422" s="33" t="str">
        <f>IFERROR(VLOOKUP($D8422,'Informations sur les produits'!$A$3:$H$10000,8,FALSE),"0")</f>
        <v>0</v>
      </c>
      <c r="K8422" s="4"/>
      <c r="L8422" s="33" t="str">
        <f>IFERROR(VLOOKUP($J8422,'Informations sur les produits'!$A$3:$H$10000,8,FALSE),"0")</f>
        <v>0</v>
      </c>
      <c r="N8422" s="8"/>
      <c r="O8422" s="33" t="str">
        <f>IFERROR(VLOOKUP($M8422,'Informations sur les produits'!$A$3:$H$10000,8,FALSE),"0")</f>
        <v>0</v>
      </c>
      <c r="P8422" s="33">
        <f t="shared" si="524"/>
        <v>0</v>
      </c>
      <c r="Q8422" s="31" t="str">
        <f t="shared" si="525"/>
        <v/>
      </c>
      <c r="R8422" s="32" t="str">
        <f>IFERROR(VLOOKUP($D8422,'Informations sur les produits'!$A$3:$B$15000,2,FALSE),"")</f>
        <v/>
      </c>
      <c r="V8422">
        <f t="shared" si="526"/>
        <v>0</v>
      </c>
      <c r="W8422">
        <f t="shared" si="527"/>
        <v>0</v>
      </c>
    </row>
    <row r="8423" spans="5:23" x14ac:dyDescent="0.25">
      <c r="E8423" s="4"/>
      <c r="F8423" s="4"/>
      <c r="G8423" s="33" t="str">
        <f>IFERROR(VLOOKUP($D8423,'Informations sur les produits'!$A$3:$H$10000,8,FALSE),"0")</f>
        <v>0</v>
      </c>
      <c r="K8423" s="4"/>
      <c r="L8423" s="33" t="str">
        <f>IFERROR(VLOOKUP($J8423,'Informations sur les produits'!$A$3:$H$10000,8,FALSE),"0")</f>
        <v>0</v>
      </c>
      <c r="N8423" s="8"/>
      <c r="O8423" s="33" t="str">
        <f>IFERROR(VLOOKUP($M8423,'Informations sur les produits'!$A$3:$H$10000,8,FALSE),"0")</f>
        <v>0</v>
      </c>
      <c r="P8423" s="33">
        <f t="shared" si="524"/>
        <v>0</v>
      </c>
      <c r="Q8423" s="31" t="str">
        <f t="shared" si="525"/>
        <v/>
      </c>
      <c r="R8423" s="32" t="str">
        <f>IFERROR(VLOOKUP($D8423,'Informations sur les produits'!$A$3:$B$15000,2,FALSE),"")</f>
        <v/>
      </c>
      <c r="V8423">
        <f t="shared" si="526"/>
        <v>0</v>
      </c>
      <c r="W8423">
        <f t="shared" si="527"/>
        <v>0</v>
      </c>
    </row>
    <row r="8424" spans="5:23" x14ac:dyDescent="0.25">
      <c r="E8424" s="4"/>
      <c r="F8424" s="4"/>
      <c r="G8424" s="33" t="str">
        <f>IFERROR(VLOOKUP($D8424,'Informations sur les produits'!$A$3:$H$10000,8,FALSE),"0")</f>
        <v>0</v>
      </c>
      <c r="K8424" s="4"/>
      <c r="L8424" s="33" t="str">
        <f>IFERROR(VLOOKUP($J8424,'Informations sur les produits'!$A$3:$H$10000,8,FALSE),"0")</f>
        <v>0</v>
      </c>
      <c r="N8424" s="8"/>
      <c r="O8424" s="33" t="str">
        <f>IFERROR(VLOOKUP($M8424,'Informations sur les produits'!$A$3:$H$10000,8,FALSE),"0")</f>
        <v>0</v>
      </c>
      <c r="P8424" s="33">
        <f t="shared" si="524"/>
        <v>0</v>
      </c>
      <c r="Q8424" s="31" t="str">
        <f t="shared" si="525"/>
        <v/>
      </c>
      <c r="R8424" s="32" t="str">
        <f>IFERROR(VLOOKUP($D8424,'Informations sur les produits'!$A$3:$B$15000,2,FALSE),"")</f>
        <v/>
      </c>
      <c r="V8424">
        <f t="shared" si="526"/>
        <v>0</v>
      </c>
      <c r="W8424">
        <f t="shared" si="527"/>
        <v>0</v>
      </c>
    </row>
    <row r="8425" spans="5:23" x14ac:dyDescent="0.25">
      <c r="E8425" s="4"/>
      <c r="F8425" s="4"/>
      <c r="G8425" s="33" t="str">
        <f>IFERROR(VLOOKUP($D8425,'Informations sur les produits'!$A$3:$H$10000,8,FALSE),"0")</f>
        <v>0</v>
      </c>
      <c r="K8425" s="4"/>
      <c r="L8425" s="33" t="str">
        <f>IFERROR(VLOOKUP($J8425,'Informations sur les produits'!$A$3:$H$10000,8,FALSE),"0")</f>
        <v>0</v>
      </c>
      <c r="N8425" s="8"/>
      <c r="O8425" s="33" t="str">
        <f>IFERROR(VLOOKUP($M8425,'Informations sur les produits'!$A$3:$H$10000,8,FALSE),"0")</f>
        <v>0</v>
      </c>
      <c r="P8425" s="33">
        <f t="shared" si="524"/>
        <v>0</v>
      </c>
      <c r="Q8425" s="31" t="str">
        <f t="shared" si="525"/>
        <v/>
      </c>
      <c r="R8425" s="32" t="str">
        <f>IFERROR(VLOOKUP($D8425,'Informations sur les produits'!$A$3:$B$15000,2,FALSE),"")</f>
        <v/>
      </c>
      <c r="V8425">
        <f t="shared" si="526"/>
        <v>0</v>
      </c>
      <c r="W8425">
        <f t="shared" si="527"/>
        <v>0</v>
      </c>
    </row>
    <row r="8426" spans="5:23" x14ac:dyDescent="0.25">
      <c r="E8426" s="4"/>
      <c r="F8426" s="4"/>
      <c r="G8426" s="33" t="str">
        <f>IFERROR(VLOOKUP($D8426,'Informations sur les produits'!$A$3:$H$10000,8,FALSE),"0")</f>
        <v>0</v>
      </c>
      <c r="K8426" s="4"/>
      <c r="L8426" s="33" t="str">
        <f>IFERROR(VLOOKUP($J8426,'Informations sur les produits'!$A$3:$H$10000,8,FALSE),"0")</f>
        <v>0</v>
      </c>
      <c r="N8426" s="8"/>
      <c r="O8426" s="33" t="str">
        <f>IFERROR(VLOOKUP($M8426,'Informations sur les produits'!$A$3:$H$10000,8,FALSE),"0")</f>
        <v>0</v>
      </c>
      <c r="P8426" s="33">
        <f t="shared" si="524"/>
        <v>0</v>
      </c>
      <c r="Q8426" s="31" t="str">
        <f t="shared" si="525"/>
        <v/>
      </c>
      <c r="R8426" s="32" t="str">
        <f>IFERROR(VLOOKUP($D8426,'Informations sur les produits'!$A$3:$B$15000,2,FALSE),"")</f>
        <v/>
      </c>
      <c r="V8426">
        <f t="shared" si="526"/>
        <v>0</v>
      </c>
      <c r="W8426">
        <f t="shared" si="527"/>
        <v>0</v>
      </c>
    </row>
    <row r="8427" spans="5:23" x14ac:dyDescent="0.25">
      <c r="E8427" s="4"/>
      <c r="F8427" s="4"/>
      <c r="G8427" s="33" t="str">
        <f>IFERROR(VLOOKUP($D8427,'Informations sur les produits'!$A$3:$H$10000,8,FALSE),"0")</f>
        <v>0</v>
      </c>
      <c r="K8427" s="4"/>
      <c r="L8427" s="33" t="str">
        <f>IFERROR(VLOOKUP($J8427,'Informations sur les produits'!$A$3:$H$10000,8,FALSE),"0")</f>
        <v>0</v>
      </c>
      <c r="N8427" s="8"/>
      <c r="O8427" s="33" t="str">
        <f>IFERROR(VLOOKUP($M8427,'Informations sur les produits'!$A$3:$H$10000,8,FALSE),"0")</f>
        <v>0</v>
      </c>
      <c r="P8427" s="33">
        <f t="shared" si="524"/>
        <v>0</v>
      </c>
      <c r="Q8427" s="31" t="str">
        <f t="shared" si="525"/>
        <v/>
      </c>
      <c r="R8427" s="32" t="str">
        <f>IFERROR(VLOOKUP($D8427,'Informations sur les produits'!$A$3:$B$15000,2,FALSE),"")</f>
        <v/>
      </c>
      <c r="V8427">
        <f t="shared" si="526"/>
        <v>0</v>
      </c>
      <c r="W8427">
        <f t="shared" si="527"/>
        <v>0</v>
      </c>
    </row>
    <row r="8428" spans="5:23" x14ac:dyDescent="0.25">
      <c r="E8428" s="4"/>
      <c r="F8428" s="4"/>
      <c r="G8428" s="33" t="str">
        <f>IFERROR(VLOOKUP($D8428,'Informations sur les produits'!$A$3:$H$10000,8,FALSE),"0")</f>
        <v>0</v>
      </c>
      <c r="K8428" s="4"/>
      <c r="L8428" s="33" t="str">
        <f>IFERROR(VLOOKUP($J8428,'Informations sur les produits'!$A$3:$H$10000,8,FALSE),"0")</f>
        <v>0</v>
      </c>
      <c r="N8428" s="8"/>
      <c r="O8428" s="33" t="str">
        <f>IFERROR(VLOOKUP($M8428,'Informations sur les produits'!$A$3:$H$10000,8,FALSE),"0")</f>
        <v>0</v>
      </c>
      <c r="P8428" s="33">
        <f t="shared" si="524"/>
        <v>0</v>
      </c>
      <c r="Q8428" s="31" t="str">
        <f t="shared" si="525"/>
        <v/>
      </c>
      <c r="R8428" s="32" t="str">
        <f>IFERROR(VLOOKUP($D8428,'Informations sur les produits'!$A$3:$B$15000,2,FALSE),"")</f>
        <v/>
      </c>
      <c r="V8428">
        <f t="shared" si="526"/>
        <v>0</v>
      </c>
      <c r="W8428">
        <f t="shared" si="527"/>
        <v>0</v>
      </c>
    </row>
    <row r="8429" spans="5:23" x14ac:dyDescent="0.25">
      <c r="E8429" s="4"/>
      <c r="F8429" s="4"/>
      <c r="G8429" s="33" t="str">
        <f>IFERROR(VLOOKUP($D8429,'Informations sur les produits'!$A$3:$H$10000,8,FALSE),"0")</f>
        <v>0</v>
      </c>
      <c r="K8429" s="4"/>
      <c r="L8429" s="33" t="str">
        <f>IFERROR(VLOOKUP($J8429,'Informations sur les produits'!$A$3:$H$10000,8,FALSE),"0")</f>
        <v>0</v>
      </c>
      <c r="N8429" s="8"/>
      <c r="O8429" s="33" t="str">
        <f>IFERROR(VLOOKUP($M8429,'Informations sur les produits'!$A$3:$H$10000,8,FALSE),"0")</f>
        <v>0</v>
      </c>
      <c r="P8429" s="33">
        <f t="shared" si="524"/>
        <v>0</v>
      </c>
      <c r="Q8429" s="31" t="str">
        <f t="shared" si="525"/>
        <v/>
      </c>
      <c r="R8429" s="32" t="str">
        <f>IFERROR(VLOOKUP($D8429,'Informations sur les produits'!$A$3:$B$15000,2,FALSE),"")</f>
        <v/>
      </c>
      <c r="V8429">
        <f t="shared" si="526"/>
        <v>0</v>
      </c>
      <c r="W8429">
        <f t="shared" si="527"/>
        <v>0</v>
      </c>
    </row>
    <row r="8430" spans="5:23" x14ac:dyDescent="0.25">
      <c r="E8430" s="4"/>
      <c r="F8430" s="4"/>
      <c r="G8430" s="33" t="str">
        <f>IFERROR(VLOOKUP($D8430,'Informations sur les produits'!$A$3:$H$10000,8,FALSE),"0")</f>
        <v>0</v>
      </c>
      <c r="K8430" s="4"/>
      <c r="L8430" s="33" t="str">
        <f>IFERROR(VLOOKUP($J8430,'Informations sur les produits'!$A$3:$H$10000,8,FALSE),"0")</f>
        <v>0</v>
      </c>
      <c r="N8430" s="8"/>
      <c r="O8430" s="33" t="str">
        <f>IFERROR(VLOOKUP($M8430,'Informations sur les produits'!$A$3:$H$10000,8,FALSE),"0")</f>
        <v>0</v>
      </c>
      <c r="P8430" s="33">
        <f t="shared" si="524"/>
        <v>0</v>
      </c>
      <c r="Q8430" s="31" t="str">
        <f t="shared" si="525"/>
        <v/>
      </c>
      <c r="R8430" s="32" t="str">
        <f>IFERROR(VLOOKUP($D8430,'Informations sur les produits'!$A$3:$B$15000,2,FALSE),"")</f>
        <v/>
      </c>
      <c r="V8430">
        <f t="shared" si="526"/>
        <v>0</v>
      </c>
      <c r="W8430">
        <f t="shared" si="527"/>
        <v>0</v>
      </c>
    </row>
    <row r="8431" spans="5:23" x14ac:dyDescent="0.25">
      <c r="E8431" s="4"/>
      <c r="F8431" s="4"/>
      <c r="G8431" s="33" t="str">
        <f>IFERROR(VLOOKUP($D8431,'Informations sur les produits'!$A$3:$H$10000,8,FALSE),"0")</f>
        <v>0</v>
      </c>
      <c r="K8431" s="4"/>
      <c r="L8431" s="33" t="str">
        <f>IFERROR(VLOOKUP($J8431,'Informations sur les produits'!$A$3:$H$10000,8,FALSE),"0")</f>
        <v>0</v>
      </c>
      <c r="N8431" s="8"/>
      <c r="O8431" s="33" t="str">
        <f>IFERROR(VLOOKUP($M8431,'Informations sur les produits'!$A$3:$H$10000,8,FALSE),"0")</f>
        <v>0</v>
      </c>
      <c r="P8431" s="33">
        <f t="shared" si="524"/>
        <v>0</v>
      </c>
      <c r="Q8431" s="31" t="str">
        <f t="shared" si="525"/>
        <v/>
      </c>
      <c r="R8431" s="32" t="str">
        <f>IFERROR(VLOOKUP($D8431,'Informations sur les produits'!$A$3:$B$15000,2,FALSE),"")</f>
        <v/>
      </c>
      <c r="V8431">
        <f t="shared" si="526"/>
        <v>0</v>
      </c>
      <c r="W8431">
        <f t="shared" si="527"/>
        <v>0</v>
      </c>
    </row>
    <row r="8432" spans="5:23" x14ac:dyDescent="0.25">
      <c r="E8432" s="4"/>
      <c r="F8432" s="4"/>
      <c r="G8432" s="33" t="str">
        <f>IFERROR(VLOOKUP($D8432,'Informations sur les produits'!$A$3:$H$10000,8,FALSE),"0")</f>
        <v>0</v>
      </c>
      <c r="K8432" s="4"/>
      <c r="L8432" s="33" t="str">
        <f>IFERROR(VLOOKUP($J8432,'Informations sur les produits'!$A$3:$H$10000,8,FALSE),"0")</f>
        <v>0</v>
      </c>
      <c r="N8432" s="8"/>
      <c r="O8432" s="33" t="str">
        <f>IFERROR(VLOOKUP($M8432,'Informations sur les produits'!$A$3:$H$10000,8,FALSE),"0")</f>
        <v>0</v>
      </c>
      <c r="P8432" s="33">
        <f t="shared" si="524"/>
        <v>0</v>
      </c>
      <c r="Q8432" s="31" t="str">
        <f t="shared" si="525"/>
        <v/>
      </c>
      <c r="R8432" s="32" t="str">
        <f>IFERROR(VLOOKUP($D8432,'Informations sur les produits'!$A$3:$B$15000,2,FALSE),"")</f>
        <v/>
      </c>
      <c r="V8432">
        <f t="shared" si="526"/>
        <v>0</v>
      </c>
      <c r="W8432">
        <f t="shared" si="527"/>
        <v>0</v>
      </c>
    </row>
    <row r="8433" spans="5:23" x14ac:dyDescent="0.25">
      <c r="E8433" s="4"/>
      <c r="F8433" s="4"/>
      <c r="G8433" s="33" t="str">
        <f>IFERROR(VLOOKUP($D8433,'Informations sur les produits'!$A$3:$H$10000,8,FALSE),"0")</f>
        <v>0</v>
      </c>
      <c r="K8433" s="4"/>
      <c r="L8433" s="33" t="str">
        <f>IFERROR(VLOOKUP($J8433,'Informations sur les produits'!$A$3:$H$10000,8,FALSE),"0")</f>
        <v>0</v>
      </c>
      <c r="N8433" s="8"/>
      <c r="O8433" s="33" t="str">
        <f>IFERROR(VLOOKUP($M8433,'Informations sur les produits'!$A$3:$H$10000,8,FALSE),"0")</f>
        <v>0</v>
      </c>
      <c r="P8433" s="33">
        <f t="shared" si="524"/>
        <v>0</v>
      </c>
      <c r="Q8433" s="31" t="str">
        <f t="shared" si="525"/>
        <v/>
      </c>
      <c r="R8433" s="32" t="str">
        <f>IFERROR(VLOOKUP($D8433,'Informations sur les produits'!$A$3:$B$15000,2,FALSE),"")</f>
        <v/>
      </c>
      <c r="V8433">
        <f t="shared" si="526"/>
        <v>0</v>
      </c>
      <c r="W8433">
        <f t="shared" si="527"/>
        <v>0</v>
      </c>
    </row>
    <row r="8434" spans="5:23" x14ac:dyDescent="0.25">
      <c r="E8434" s="4"/>
      <c r="F8434" s="4"/>
      <c r="G8434" s="33" t="str">
        <f>IFERROR(VLOOKUP($D8434,'Informations sur les produits'!$A$3:$H$10000,8,FALSE),"0")</f>
        <v>0</v>
      </c>
      <c r="K8434" s="4"/>
      <c r="L8434" s="33" t="str">
        <f>IFERROR(VLOOKUP($J8434,'Informations sur les produits'!$A$3:$H$10000,8,FALSE),"0")</f>
        <v>0</v>
      </c>
      <c r="N8434" s="8"/>
      <c r="O8434" s="33" t="str">
        <f>IFERROR(VLOOKUP($M8434,'Informations sur les produits'!$A$3:$H$10000,8,FALSE),"0")</f>
        <v>0</v>
      </c>
      <c r="P8434" s="33">
        <f t="shared" si="524"/>
        <v>0</v>
      </c>
      <c r="Q8434" s="31" t="str">
        <f t="shared" si="525"/>
        <v/>
      </c>
      <c r="R8434" s="32" t="str">
        <f>IFERROR(VLOOKUP($D8434,'Informations sur les produits'!$A$3:$B$15000,2,FALSE),"")</f>
        <v/>
      </c>
      <c r="V8434">
        <f t="shared" si="526"/>
        <v>0</v>
      </c>
      <c r="W8434">
        <f t="shared" si="527"/>
        <v>0</v>
      </c>
    </row>
    <row r="8435" spans="5:23" x14ac:dyDescent="0.25">
      <c r="E8435" s="4"/>
      <c r="F8435" s="4"/>
      <c r="G8435" s="33" t="str">
        <f>IFERROR(VLOOKUP($D8435,'Informations sur les produits'!$A$3:$H$10000,8,FALSE),"0")</f>
        <v>0</v>
      </c>
      <c r="K8435" s="4"/>
      <c r="L8435" s="33" t="str">
        <f>IFERROR(VLOOKUP($J8435,'Informations sur les produits'!$A$3:$H$10000,8,FALSE),"0")</f>
        <v>0</v>
      </c>
      <c r="N8435" s="8"/>
      <c r="O8435" s="33" t="str">
        <f>IFERROR(VLOOKUP($M8435,'Informations sur les produits'!$A$3:$H$10000,8,FALSE),"0")</f>
        <v>0</v>
      </c>
      <c r="P8435" s="33">
        <f t="shared" si="524"/>
        <v>0</v>
      </c>
      <c r="Q8435" s="31" t="str">
        <f t="shared" si="525"/>
        <v/>
      </c>
      <c r="R8435" s="32" t="str">
        <f>IFERROR(VLOOKUP($D8435,'Informations sur les produits'!$A$3:$B$15000,2,FALSE),"")</f>
        <v/>
      </c>
      <c r="V8435">
        <f t="shared" si="526"/>
        <v>0</v>
      </c>
      <c r="W8435">
        <f t="shared" si="527"/>
        <v>0</v>
      </c>
    </row>
    <row r="8436" spans="5:23" x14ac:dyDescent="0.25">
      <c r="E8436" s="4"/>
      <c r="F8436" s="4"/>
      <c r="G8436" s="33" t="str">
        <f>IFERROR(VLOOKUP($D8436,'Informations sur les produits'!$A$3:$H$10000,8,FALSE),"0")</f>
        <v>0</v>
      </c>
      <c r="K8436" s="4"/>
      <c r="L8436" s="33" t="str">
        <f>IFERROR(VLOOKUP($J8436,'Informations sur les produits'!$A$3:$H$10000,8,FALSE),"0")</f>
        <v>0</v>
      </c>
      <c r="N8436" s="8"/>
      <c r="O8436" s="33" t="str">
        <f>IFERROR(VLOOKUP($M8436,'Informations sur les produits'!$A$3:$H$10000,8,FALSE),"0")</f>
        <v>0</v>
      </c>
      <c r="P8436" s="33">
        <f t="shared" si="524"/>
        <v>0</v>
      </c>
      <c r="Q8436" s="31" t="str">
        <f t="shared" si="525"/>
        <v/>
      </c>
      <c r="R8436" s="32" t="str">
        <f>IFERROR(VLOOKUP($D8436,'Informations sur les produits'!$A$3:$B$15000,2,FALSE),"")</f>
        <v/>
      </c>
      <c r="V8436">
        <f t="shared" si="526"/>
        <v>0</v>
      </c>
      <c r="W8436">
        <f t="shared" si="527"/>
        <v>0</v>
      </c>
    </row>
    <row r="8437" spans="5:23" x14ac:dyDescent="0.25">
      <c r="E8437" s="4"/>
      <c r="F8437" s="4"/>
      <c r="G8437" s="33" t="str">
        <f>IFERROR(VLOOKUP($D8437,'Informations sur les produits'!$A$3:$H$10000,8,FALSE),"0")</f>
        <v>0</v>
      </c>
      <c r="K8437" s="4"/>
      <c r="L8437" s="33" t="str">
        <f>IFERROR(VLOOKUP($J8437,'Informations sur les produits'!$A$3:$H$10000,8,FALSE),"0")</f>
        <v>0</v>
      </c>
      <c r="N8437" s="8"/>
      <c r="O8437" s="33" t="str">
        <f>IFERROR(VLOOKUP($M8437,'Informations sur les produits'!$A$3:$H$10000,8,FALSE),"0")</f>
        <v>0</v>
      </c>
      <c r="P8437" s="33">
        <f t="shared" si="524"/>
        <v>0</v>
      </c>
      <c r="Q8437" s="31" t="str">
        <f t="shared" si="525"/>
        <v/>
      </c>
      <c r="R8437" s="32" t="str">
        <f>IFERROR(VLOOKUP($D8437,'Informations sur les produits'!$A$3:$B$15000,2,FALSE),"")</f>
        <v/>
      </c>
      <c r="V8437">
        <f t="shared" si="526"/>
        <v>0</v>
      </c>
      <c r="W8437">
        <f t="shared" si="527"/>
        <v>0</v>
      </c>
    </row>
    <row r="8438" spans="5:23" x14ac:dyDescent="0.25">
      <c r="E8438" s="4"/>
      <c r="F8438" s="4"/>
      <c r="G8438" s="33" t="str">
        <f>IFERROR(VLOOKUP($D8438,'Informations sur les produits'!$A$3:$H$10000,8,FALSE),"0")</f>
        <v>0</v>
      </c>
      <c r="K8438" s="4"/>
      <c r="L8438" s="33" t="str">
        <f>IFERROR(VLOOKUP($J8438,'Informations sur les produits'!$A$3:$H$10000,8,FALSE),"0")</f>
        <v>0</v>
      </c>
      <c r="N8438" s="8"/>
      <c r="O8438" s="33" t="str">
        <f>IFERROR(VLOOKUP($M8438,'Informations sur les produits'!$A$3:$H$10000,8,FALSE),"0")</f>
        <v>0</v>
      </c>
      <c r="P8438" s="33">
        <f t="shared" si="524"/>
        <v>0</v>
      </c>
      <c r="Q8438" s="31" t="str">
        <f t="shared" si="525"/>
        <v/>
      </c>
      <c r="R8438" s="32" t="str">
        <f>IFERROR(VLOOKUP($D8438,'Informations sur les produits'!$A$3:$B$15000,2,FALSE),"")</f>
        <v/>
      </c>
      <c r="V8438">
        <f t="shared" si="526"/>
        <v>0</v>
      </c>
      <c r="W8438">
        <f t="shared" si="527"/>
        <v>0</v>
      </c>
    </row>
    <row r="8439" spans="5:23" x14ac:dyDescent="0.25">
      <c r="E8439" s="4"/>
      <c r="F8439" s="4"/>
      <c r="G8439" s="33" t="str">
        <f>IFERROR(VLOOKUP($D8439,'Informations sur les produits'!$A$3:$H$10000,8,FALSE),"0")</f>
        <v>0</v>
      </c>
      <c r="K8439" s="4"/>
      <c r="L8439" s="33" t="str">
        <f>IFERROR(VLOOKUP($J8439,'Informations sur les produits'!$A$3:$H$10000,8,FALSE),"0")</f>
        <v>0</v>
      </c>
      <c r="N8439" s="8"/>
      <c r="O8439" s="33" t="str">
        <f>IFERROR(VLOOKUP($M8439,'Informations sur les produits'!$A$3:$H$10000,8,FALSE),"0")</f>
        <v>0</v>
      </c>
      <c r="P8439" s="33">
        <f t="shared" si="524"/>
        <v>0</v>
      </c>
      <c r="Q8439" s="31" t="str">
        <f t="shared" si="525"/>
        <v/>
      </c>
      <c r="R8439" s="32" t="str">
        <f>IFERROR(VLOOKUP($D8439,'Informations sur les produits'!$A$3:$B$15000,2,FALSE),"")</f>
        <v/>
      </c>
      <c r="V8439">
        <f t="shared" si="526"/>
        <v>0</v>
      </c>
      <c r="W8439">
        <f t="shared" si="527"/>
        <v>0</v>
      </c>
    </row>
    <row r="8440" spans="5:23" x14ac:dyDescent="0.25">
      <c r="E8440" s="4"/>
      <c r="F8440" s="4"/>
      <c r="G8440" s="33" t="str">
        <f>IFERROR(VLOOKUP($D8440,'Informations sur les produits'!$A$3:$H$10000,8,FALSE),"0")</f>
        <v>0</v>
      </c>
      <c r="K8440" s="4"/>
      <c r="L8440" s="33" t="str">
        <f>IFERROR(VLOOKUP($J8440,'Informations sur les produits'!$A$3:$H$10000,8,FALSE),"0")</f>
        <v>0</v>
      </c>
      <c r="N8440" s="8"/>
      <c r="O8440" s="33" t="str">
        <f>IFERROR(VLOOKUP($M8440,'Informations sur les produits'!$A$3:$H$10000,8,FALSE),"0")</f>
        <v>0</v>
      </c>
      <c r="P8440" s="33">
        <f t="shared" si="524"/>
        <v>0</v>
      </c>
      <c r="Q8440" s="31" t="str">
        <f t="shared" si="525"/>
        <v/>
      </c>
      <c r="R8440" s="32" t="str">
        <f>IFERROR(VLOOKUP($D8440,'Informations sur les produits'!$A$3:$B$15000,2,FALSE),"")</f>
        <v/>
      </c>
      <c r="V8440">
        <f t="shared" si="526"/>
        <v>0</v>
      </c>
      <c r="W8440">
        <f t="shared" si="527"/>
        <v>0</v>
      </c>
    </row>
    <row r="8441" spans="5:23" x14ac:dyDescent="0.25">
      <c r="E8441" s="4"/>
      <c r="F8441" s="4"/>
      <c r="G8441" s="33" t="str">
        <f>IFERROR(VLOOKUP($D8441,'Informations sur les produits'!$A$3:$H$10000,8,FALSE),"0")</f>
        <v>0</v>
      </c>
      <c r="K8441" s="4"/>
      <c r="L8441" s="33" t="str">
        <f>IFERROR(VLOOKUP($J8441,'Informations sur les produits'!$A$3:$H$10000,8,FALSE),"0")</f>
        <v>0</v>
      </c>
      <c r="N8441" s="8"/>
      <c r="O8441" s="33" t="str">
        <f>IFERROR(VLOOKUP($M8441,'Informations sur les produits'!$A$3:$H$10000,8,FALSE),"0")</f>
        <v>0</v>
      </c>
      <c r="P8441" s="33">
        <f t="shared" si="524"/>
        <v>0</v>
      </c>
      <c r="Q8441" s="31" t="str">
        <f t="shared" si="525"/>
        <v/>
      </c>
      <c r="R8441" s="32" t="str">
        <f>IFERROR(VLOOKUP($D8441,'Informations sur les produits'!$A$3:$B$15000,2,FALSE),"")</f>
        <v/>
      </c>
      <c r="V8441">
        <f t="shared" si="526"/>
        <v>0</v>
      </c>
      <c r="W8441">
        <f t="shared" si="527"/>
        <v>0</v>
      </c>
    </row>
    <row r="8442" spans="5:23" x14ac:dyDescent="0.25">
      <c r="E8442" s="4"/>
      <c r="F8442" s="4"/>
      <c r="G8442" s="33" t="str">
        <f>IFERROR(VLOOKUP($D8442,'Informations sur les produits'!$A$3:$H$10000,8,FALSE),"0")</f>
        <v>0</v>
      </c>
      <c r="K8442" s="4"/>
      <c r="L8442" s="33" t="str">
        <f>IFERROR(VLOOKUP($J8442,'Informations sur les produits'!$A$3:$H$10000,8,FALSE),"0")</f>
        <v>0</v>
      </c>
      <c r="N8442" s="8"/>
      <c r="O8442" s="33" t="str">
        <f>IFERROR(VLOOKUP($M8442,'Informations sur les produits'!$A$3:$H$10000,8,FALSE),"0")</f>
        <v>0</v>
      </c>
      <c r="P8442" s="33">
        <f t="shared" si="524"/>
        <v>0</v>
      </c>
      <c r="Q8442" s="31" t="str">
        <f t="shared" si="525"/>
        <v/>
      </c>
      <c r="R8442" s="32" t="str">
        <f>IFERROR(VLOOKUP($D8442,'Informations sur les produits'!$A$3:$B$15000,2,FALSE),"")</f>
        <v/>
      </c>
      <c r="V8442">
        <f t="shared" si="526"/>
        <v>0</v>
      </c>
      <c r="W8442">
        <f t="shared" si="527"/>
        <v>0</v>
      </c>
    </row>
    <row r="8443" spans="5:23" x14ac:dyDescent="0.25">
      <c r="E8443" s="4"/>
      <c r="F8443" s="4"/>
      <c r="G8443" s="33" t="str">
        <f>IFERROR(VLOOKUP($D8443,'Informations sur les produits'!$A$3:$H$10000,8,FALSE),"0")</f>
        <v>0</v>
      </c>
      <c r="K8443" s="4"/>
      <c r="L8443" s="33" t="str">
        <f>IFERROR(VLOOKUP($J8443,'Informations sur les produits'!$A$3:$H$10000,8,FALSE),"0")</f>
        <v>0</v>
      </c>
      <c r="N8443" s="8"/>
      <c r="O8443" s="33" t="str">
        <f>IFERROR(VLOOKUP($M8443,'Informations sur les produits'!$A$3:$H$10000,8,FALSE),"0")</f>
        <v>0</v>
      </c>
      <c r="P8443" s="33">
        <f t="shared" si="524"/>
        <v>0</v>
      </c>
      <c r="Q8443" s="31" t="str">
        <f t="shared" si="525"/>
        <v/>
      </c>
      <c r="R8443" s="32" t="str">
        <f>IFERROR(VLOOKUP($D8443,'Informations sur les produits'!$A$3:$B$15000,2,FALSE),"")</f>
        <v/>
      </c>
      <c r="V8443">
        <f t="shared" si="526"/>
        <v>0</v>
      </c>
      <c r="W8443">
        <f t="shared" si="527"/>
        <v>0</v>
      </c>
    </row>
    <row r="8444" spans="5:23" x14ac:dyDescent="0.25">
      <c r="E8444" s="4"/>
      <c r="F8444" s="4"/>
      <c r="G8444" s="33" t="str">
        <f>IFERROR(VLOOKUP($D8444,'Informations sur les produits'!$A$3:$H$10000,8,FALSE),"0")</f>
        <v>0</v>
      </c>
      <c r="K8444" s="4"/>
      <c r="L8444" s="33" t="str">
        <f>IFERROR(VLOOKUP($J8444,'Informations sur les produits'!$A$3:$H$10000,8,FALSE),"0")</f>
        <v>0</v>
      </c>
      <c r="N8444" s="8"/>
      <c r="O8444" s="33" t="str">
        <f>IFERROR(VLOOKUP($M8444,'Informations sur les produits'!$A$3:$H$10000,8,FALSE),"0")</f>
        <v>0</v>
      </c>
      <c r="P8444" s="33">
        <f t="shared" si="524"/>
        <v>0</v>
      </c>
      <c r="Q8444" s="31" t="str">
        <f t="shared" si="525"/>
        <v/>
      </c>
      <c r="R8444" s="32" t="str">
        <f>IFERROR(VLOOKUP($D8444,'Informations sur les produits'!$A$3:$B$15000,2,FALSE),"")</f>
        <v/>
      </c>
      <c r="V8444">
        <f t="shared" si="526"/>
        <v>0</v>
      </c>
      <c r="W8444">
        <f t="shared" si="527"/>
        <v>0</v>
      </c>
    </row>
    <row r="8445" spans="5:23" x14ac:dyDescent="0.25">
      <c r="E8445" s="4"/>
      <c r="F8445" s="4"/>
      <c r="G8445" s="33" t="str">
        <f>IFERROR(VLOOKUP($D8445,'Informations sur les produits'!$A$3:$H$10000,8,FALSE),"0")</f>
        <v>0</v>
      </c>
      <c r="K8445" s="4"/>
      <c r="L8445" s="33" t="str">
        <f>IFERROR(VLOOKUP($J8445,'Informations sur les produits'!$A$3:$H$10000,8,FALSE),"0")</f>
        <v>0</v>
      </c>
      <c r="N8445" s="8"/>
      <c r="O8445" s="33" t="str">
        <f>IFERROR(VLOOKUP($M8445,'Informations sur les produits'!$A$3:$H$10000,8,FALSE),"0")</f>
        <v>0</v>
      </c>
      <c r="P8445" s="33">
        <f t="shared" si="524"/>
        <v>0</v>
      </c>
      <c r="Q8445" s="31" t="str">
        <f t="shared" si="525"/>
        <v/>
      </c>
      <c r="R8445" s="32" t="str">
        <f>IFERROR(VLOOKUP($D8445,'Informations sur les produits'!$A$3:$B$15000,2,FALSE),"")</f>
        <v/>
      </c>
      <c r="V8445">
        <f t="shared" si="526"/>
        <v>0</v>
      </c>
      <c r="W8445">
        <f t="shared" si="527"/>
        <v>0</v>
      </c>
    </row>
    <row r="8446" spans="5:23" x14ac:dyDescent="0.25">
      <c r="E8446" s="4"/>
      <c r="F8446" s="4"/>
      <c r="G8446" s="33" t="str">
        <f>IFERROR(VLOOKUP($D8446,'Informations sur les produits'!$A$3:$H$10000,8,FALSE),"0")</f>
        <v>0</v>
      </c>
      <c r="K8446" s="4"/>
      <c r="L8446" s="33" t="str">
        <f>IFERROR(VLOOKUP($J8446,'Informations sur les produits'!$A$3:$H$10000,8,FALSE),"0")</f>
        <v>0</v>
      </c>
      <c r="N8446" s="8"/>
      <c r="O8446" s="33" t="str">
        <f>IFERROR(VLOOKUP($M8446,'Informations sur les produits'!$A$3:$H$10000,8,FALSE),"0")</f>
        <v>0</v>
      </c>
      <c r="P8446" s="33">
        <f t="shared" si="524"/>
        <v>0</v>
      </c>
      <c r="Q8446" s="31" t="str">
        <f t="shared" si="525"/>
        <v/>
      </c>
      <c r="R8446" s="32" t="str">
        <f>IFERROR(VLOOKUP($D8446,'Informations sur les produits'!$A$3:$B$15000,2,FALSE),"")</f>
        <v/>
      </c>
      <c r="V8446">
        <f t="shared" si="526"/>
        <v>0</v>
      </c>
      <c r="W8446">
        <f t="shared" si="527"/>
        <v>0</v>
      </c>
    </row>
    <row r="8447" spans="5:23" x14ac:dyDescent="0.25">
      <c r="E8447" s="4"/>
      <c r="F8447" s="4"/>
      <c r="G8447" s="33" t="str">
        <f>IFERROR(VLOOKUP($D8447,'Informations sur les produits'!$A$3:$H$10000,8,FALSE),"0")</f>
        <v>0</v>
      </c>
      <c r="K8447" s="4"/>
      <c r="L8447" s="33" t="str">
        <f>IFERROR(VLOOKUP($J8447,'Informations sur les produits'!$A$3:$H$10000,8,FALSE),"0")</f>
        <v>0</v>
      </c>
      <c r="N8447" s="8"/>
      <c r="O8447" s="33" t="str">
        <f>IFERROR(VLOOKUP($M8447,'Informations sur les produits'!$A$3:$H$10000,8,FALSE),"0")</f>
        <v>0</v>
      </c>
      <c r="P8447" s="33">
        <f t="shared" si="524"/>
        <v>0</v>
      </c>
      <c r="Q8447" s="31" t="str">
        <f t="shared" si="525"/>
        <v/>
      </c>
      <c r="R8447" s="32" t="str">
        <f>IFERROR(VLOOKUP($D8447,'Informations sur les produits'!$A$3:$B$15000,2,FALSE),"")</f>
        <v/>
      </c>
      <c r="V8447">
        <f t="shared" si="526"/>
        <v>0</v>
      </c>
      <c r="W8447">
        <f t="shared" si="527"/>
        <v>0</v>
      </c>
    </row>
    <row r="8448" spans="5:23" x14ac:dyDescent="0.25">
      <c r="E8448" s="4"/>
      <c r="F8448" s="4"/>
      <c r="G8448" s="33" t="str">
        <f>IFERROR(VLOOKUP($D8448,'Informations sur les produits'!$A$3:$H$10000,8,FALSE),"0")</f>
        <v>0</v>
      </c>
      <c r="K8448" s="4"/>
      <c r="L8448" s="33" t="str">
        <f>IFERROR(VLOOKUP($J8448,'Informations sur les produits'!$A$3:$H$10000,8,FALSE),"0")</f>
        <v>0</v>
      </c>
      <c r="N8448" s="8"/>
      <c r="O8448" s="33" t="str">
        <f>IFERROR(VLOOKUP($M8448,'Informations sur les produits'!$A$3:$H$10000,8,FALSE),"0")</f>
        <v>0</v>
      </c>
      <c r="P8448" s="33">
        <f t="shared" si="524"/>
        <v>0</v>
      </c>
      <c r="Q8448" s="31" t="str">
        <f t="shared" si="525"/>
        <v/>
      </c>
      <c r="R8448" s="32" t="str">
        <f>IFERROR(VLOOKUP($D8448,'Informations sur les produits'!$A$3:$B$15000,2,FALSE),"")</f>
        <v/>
      </c>
      <c r="V8448">
        <f t="shared" si="526"/>
        <v>0</v>
      </c>
      <c r="W8448">
        <f t="shared" si="527"/>
        <v>0</v>
      </c>
    </row>
    <row r="8449" spans="5:23" x14ac:dyDescent="0.25">
      <c r="E8449" s="4"/>
      <c r="F8449" s="4"/>
      <c r="G8449" s="33" t="str">
        <f>IFERROR(VLOOKUP($D8449,'Informations sur les produits'!$A$3:$H$10000,8,FALSE),"0")</f>
        <v>0</v>
      </c>
      <c r="K8449" s="4"/>
      <c r="L8449" s="33" t="str">
        <f>IFERROR(VLOOKUP($J8449,'Informations sur les produits'!$A$3:$H$10000,8,FALSE),"0")</f>
        <v>0</v>
      </c>
      <c r="N8449" s="8"/>
      <c r="O8449" s="33" t="str">
        <f>IFERROR(VLOOKUP($M8449,'Informations sur les produits'!$A$3:$H$10000,8,FALSE),"0")</f>
        <v>0</v>
      </c>
      <c r="P8449" s="33">
        <f t="shared" si="524"/>
        <v>0</v>
      </c>
      <c r="Q8449" s="31" t="str">
        <f t="shared" si="525"/>
        <v/>
      </c>
      <c r="R8449" s="32" t="str">
        <f>IFERROR(VLOOKUP($D8449,'Informations sur les produits'!$A$3:$B$15000,2,FALSE),"")</f>
        <v/>
      </c>
      <c r="V8449">
        <f t="shared" si="526"/>
        <v>0</v>
      </c>
      <c r="W8449">
        <f t="shared" si="527"/>
        <v>0</v>
      </c>
    </row>
    <row r="8450" spans="5:23" x14ac:dyDescent="0.25">
      <c r="E8450" s="4"/>
      <c r="F8450" s="4"/>
      <c r="G8450" s="33" t="str">
        <f>IFERROR(VLOOKUP($D8450,'Informations sur les produits'!$A$3:$H$10000,8,FALSE),"0")</f>
        <v>0</v>
      </c>
      <c r="K8450" s="4"/>
      <c r="L8450" s="33" t="str">
        <f>IFERROR(VLOOKUP($J8450,'Informations sur les produits'!$A$3:$H$10000,8,FALSE),"0")</f>
        <v>0</v>
      </c>
      <c r="N8450" s="8"/>
      <c r="O8450" s="33" t="str">
        <f>IFERROR(VLOOKUP($M8450,'Informations sur les produits'!$A$3:$H$10000,8,FALSE),"0")</f>
        <v>0</v>
      </c>
      <c r="P8450" s="33">
        <f t="shared" si="524"/>
        <v>0</v>
      </c>
      <c r="Q8450" s="31" t="str">
        <f t="shared" si="525"/>
        <v/>
      </c>
      <c r="R8450" s="32" t="str">
        <f>IFERROR(VLOOKUP($D8450,'Informations sur les produits'!$A$3:$B$15000,2,FALSE),"")</f>
        <v/>
      </c>
      <c r="V8450">
        <f t="shared" si="526"/>
        <v>0</v>
      </c>
      <c r="W8450">
        <f t="shared" si="527"/>
        <v>0</v>
      </c>
    </row>
    <row r="8451" spans="5:23" x14ac:dyDescent="0.25">
      <c r="E8451" s="4"/>
      <c r="F8451" s="4"/>
      <c r="G8451" s="33" t="str">
        <f>IFERROR(VLOOKUP($D8451,'Informations sur les produits'!$A$3:$H$10000,8,FALSE),"0")</f>
        <v>0</v>
      </c>
      <c r="K8451" s="4"/>
      <c r="L8451" s="33" t="str">
        <f>IFERROR(VLOOKUP($J8451,'Informations sur les produits'!$A$3:$H$10000,8,FALSE),"0")</f>
        <v>0</v>
      </c>
      <c r="N8451" s="8"/>
      <c r="O8451" s="33" t="str">
        <f>IFERROR(VLOOKUP($M8451,'Informations sur les produits'!$A$3:$H$10000,8,FALSE),"0")</f>
        <v>0</v>
      </c>
      <c r="P8451" s="33">
        <f t="shared" si="524"/>
        <v>0</v>
      </c>
      <c r="Q8451" s="31" t="str">
        <f t="shared" si="525"/>
        <v/>
      </c>
      <c r="R8451" s="32" t="str">
        <f>IFERROR(VLOOKUP($D8451,'Informations sur les produits'!$A$3:$B$15000,2,FALSE),"")</f>
        <v/>
      </c>
      <c r="V8451">
        <f t="shared" si="526"/>
        <v>0</v>
      </c>
      <c r="W8451">
        <f t="shared" si="527"/>
        <v>0</v>
      </c>
    </row>
    <row r="8452" spans="5:23" x14ac:dyDescent="0.25">
      <c r="E8452" s="4"/>
      <c r="F8452" s="4"/>
      <c r="G8452" s="33" t="str">
        <f>IFERROR(VLOOKUP($D8452,'Informations sur les produits'!$A$3:$H$10000,8,FALSE),"0")</f>
        <v>0</v>
      </c>
      <c r="K8452" s="4"/>
      <c r="L8452" s="33" t="str">
        <f>IFERROR(VLOOKUP($J8452,'Informations sur les produits'!$A$3:$H$10000,8,FALSE),"0")</f>
        <v>0</v>
      </c>
      <c r="N8452" s="8"/>
      <c r="O8452" s="33" t="str">
        <f>IFERROR(VLOOKUP($M8452,'Informations sur les produits'!$A$3:$H$10000,8,FALSE),"0")</f>
        <v>0</v>
      </c>
      <c r="P8452" s="33">
        <f t="shared" ref="P8452:P8515" si="528">IFERROR((($E8452-$F8452)*$G8452+$K8452*$L8452+$N8452*$O8452),"")</f>
        <v>0</v>
      </c>
      <c r="Q8452" s="31" t="str">
        <f t="shared" ref="Q8452:Q8515" si="529">IFERROR((((($E8452-$F8452)*$G8452+$K8452*$L8452+$N8452*$O8452)*1000)/(($E8452-$F8452)+$K8452+$N8452)),"")</f>
        <v/>
      </c>
      <c r="R8452" s="32" t="str">
        <f>IFERROR(VLOOKUP($D8452,'Informations sur les produits'!$A$3:$B$15000,2,FALSE),"")</f>
        <v/>
      </c>
      <c r="V8452">
        <f t="shared" ref="V8452:V8515" si="530">IFERROR(P8452*1000,"")</f>
        <v>0</v>
      </c>
      <c r="W8452">
        <f t="shared" ref="W8452:W8515" si="531">IFERROR(($E8452-$F8452)+$K8452+$N8452,"")</f>
        <v>0</v>
      </c>
    </row>
    <row r="8453" spans="5:23" x14ac:dyDescent="0.25">
      <c r="E8453" s="4"/>
      <c r="F8453" s="4"/>
      <c r="G8453" s="33" t="str">
        <f>IFERROR(VLOOKUP($D8453,'Informations sur les produits'!$A$3:$H$10000,8,FALSE),"0")</f>
        <v>0</v>
      </c>
      <c r="K8453" s="4"/>
      <c r="L8453" s="33" t="str">
        <f>IFERROR(VLOOKUP($J8453,'Informations sur les produits'!$A$3:$H$10000,8,FALSE),"0")</f>
        <v>0</v>
      </c>
      <c r="N8453" s="8"/>
      <c r="O8453" s="33" t="str">
        <f>IFERROR(VLOOKUP($M8453,'Informations sur les produits'!$A$3:$H$10000,8,FALSE),"0")</f>
        <v>0</v>
      </c>
      <c r="P8453" s="33">
        <f t="shared" si="528"/>
        <v>0</v>
      </c>
      <c r="Q8453" s="31" t="str">
        <f t="shared" si="529"/>
        <v/>
      </c>
      <c r="R8453" s="32" t="str">
        <f>IFERROR(VLOOKUP($D8453,'Informations sur les produits'!$A$3:$B$15000,2,FALSE),"")</f>
        <v/>
      </c>
      <c r="V8453">
        <f t="shared" si="530"/>
        <v>0</v>
      </c>
      <c r="W8453">
        <f t="shared" si="531"/>
        <v>0</v>
      </c>
    </row>
    <row r="8454" spans="5:23" x14ac:dyDescent="0.25">
      <c r="E8454" s="4"/>
      <c r="F8454" s="4"/>
      <c r="G8454" s="33" t="str">
        <f>IFERROR(VLOOKUP($D8454,'Informations sur les produits'!$A$3:$H$10000,8,FALSE),"0")</f>
        <v>0</v>
      </c>
      <c r="K8454" s="4"/>
      <c r="L8454" s="33" t="str">
        <f>IFERROR(VLOOKUP($J8454,'Informations sur les produits'!$A$3:$H$10000,8,FALSE),"0")</f>
        <v>0</v>
      </c>
      <c r="N8454" s="8"/>
      <c r="O8454" s="33" t="str">
        <f>IFERROR(VLOOKUP($M8454,'Informations sur les produits'!$A$3:$H$10000,8,FALSE),"0")</f>
        <v>0</v>
      </c>
      <c r="P8454" s="33">
        <f t="shared" si="528"/>
        <v>0</v>
      </c>
      <c r="Q8454" s="31" t="str">
        <f t="shared" si="529"/>
        <v/>
      </c>
      <c r="R8454" s="32" t="str">
        <f>IFERROR(VLOOKUP($D8454,'Informations sur les produits'!$A$3:$B$15000,2,FALSE),"")</f>
        <v/>
      </c>
      <c r="V8454">
        <f t="shared" si="530"/>
        <v>0</v>
      </c>
      <c r="W8454">
        <f t="shared" si="531"/>
        <v>0</v>
      </c>
    </row>
    <row r="8455" spans="5:23" x14ac:dyDescent="0.25">
      <c r="E8455" s="4"/>
      <c r="F8455" s="4"/>
      <c r="G8455" s="33" t="str">
        <f>IFERROR(VLOOKUP($D8455,'Informations sur les produits'!$A$3:$H$10000,8,FALSE),"0")</f>
        <v>0</v>
      </c>
      <c r="K8455" s="4"/>
      <c r="L8455" s="33" t="str">
        <f>IFERROR(VLOOKUP($J8455,'Informations sur les produits'!$A$3:$H$10000,8,FALSE),"0")</f>
        <v>0</v>
      </c>
      <c r="N8455" s="8"/>
      <c r="O8455" s="33" t="str">
        <f>IFERROR(VLOOKUP($M8455,'Informations sur les produits'!$A$3:$H$10000,8,FALSE),"0")</f>
        <v>0</v>
      </c>
      <c r="P8455" s="33">
        <f t="shared" si="528"/>
        <v>0</v>
      </c>
      <c r="Q8455" s="31" t="str">
        <f t="shared" si="529"/>
        <v/>
      </c>
      <c r="R8455" s="32" t="str">
        <f>IFERROR(VLOOKUP($D8455,'Informations sur les produits'!$A$3:$B$15000,2,FALSE),"")</f>
        <v/>
      </c>
      <c r="V8455">
        <f t="shared" si="530"/>
        <v>0</v>
      </c>
      <c r="W8455">
        <f t="shared" si="531"/>
        <v>0</v>
      </c>
    </row>
    <row r="8456" spans="5:23" x14ac:dyDescent="0.25">
      <c r="E8456" s="4"/>
      <c r="F8456" s="4"/>
      <c r="G8456" s="33" t="str">
        <f>IFERROR(VLOOKUP($D8456,'Informations sur les produits'!$A$3:$H$10000,8,FALSE),"0")</f>
        <v>0</v>
      </c>
      <c r="K8456" s="4"/>
      <c r="L8456" s="33" t="str">
        <f>IFERROR(VLOOKUP($J8456,'Informations sur les produits'!$A$3:$H$10000,8,FALSE),"0")</f>
        <v>0</v>
      </c>
      <c r="N8456" s="8"/>
      <c r="O8456" s="33" t="str">
        <f>IFERROR(VLOOKUP($M8456,'Informations sur les produits'!$A$3:$H$10000,8,FALSE),"0")</f>
        <v>0</v>
      </c>
      <c r="P8456" s="33">
        <f t="shared" si="528"/>
        <v>0</v>
      </c>
      <c r="Q8456" s="31" t="str">
        <f t="shared" si="529"/>
        <v/>
      </c>
      <c r="R8456" s="32" t="str">
        <f>IFERROR(VLOOKUP($D8456,'Informations sur les produits'!$A$3:$B$15000,2,FALSE),"")</f>
        <v/>
      </c>
      <c r="V8456">
        <f t="shared" si="530"/>
        <v>0</v>
      </c>
      <c r="W8456">
        <f t="shared" si="531"/>
        <v>0</v>
      </c>
    </row>
    <row r="8457" spans="5:23" x14ac:dyDescent="0.25">
      <c r="E8457" s="4"/>
      <c r="F8457" s="4"/>
      <c r="G8457" s="33" t="str">
        <f>IFERROR(VLOOKUP($D8457,'Informations sur les produits'!$A$3:$H$10000,8,FALSE),"0")</f>
        <v>0</v>
      </c>
      <c r="K8457" s="4"/>
      <c r="L8457" s="33" t="str">
        <f>IFERROR(VLOOKUP($J8457,'Informations sur les produits'!$A$3:$H$10000,8,FALSE),"0")</f>
        <v>0</v>
      </c>
      <c r="N8457" s="8"/>
      <c r="O8457" s="33" t="str">
        <f>IFERROR(VLOOKUP($M8457,'Informations sur les produits'!$A$3:$H$10000,8,FALSE),"0")</f>
        <v>0</v>
      </c>
      <c r="P8457" s="33">
        <f t="shared" si="528"/>
        <v>0</v>
      </c>
      <c r="Q8457" s="31" t="str">
        <f t="shared" si="529"/>
        <v/>
      </c>
      <c r="R8457" s="32" t="str">
        <f>IFERROR(VLOOKUP($D8457,'Informations sur les produits'!$A$3:$B$15000,2,FALSE),"")</f>
        <v/>
      </c>
      <c r="V8457">
        <f t="shared" si="530"/>
        <v>0</v>
      </c>
      <c r="W8457">
        <f t="shared" si="531"/>
        <v>0</v>
      </c>
    </row>
    <row r="8458" spans="5:23" x14ac:dyDescent="0.25">
      <c r="E8458" s="4"/>
      <c r="F8458" s="4"/>
      <c r="G8458" s="33" t="str">
        <f>IFERROR(VLOOKUP($D8458,'Informations sur les produits'!$A$3:$H$10000,8,FALSE),"0")</f>
        <v>0</v>
      </c>
      <c r="K8458" s="4"/>
      <c r="L8458" s="33" t="str">
        <f>IFERROR(VLOOKUP($J8458,'Informations sur les produits'!$A$3:$H$10000,8,FALSE),"0")</f>
        <v>0</v>
      </c>
      <c r="N8458" s="8"/>
      <c r="O8458" s="33" t="str">
        <f>IFERROR(VLOOKUP($M8458,'Informations sur les produits'!$A$3:$H$10000,8,FALSE),"0")</f>
        <v>0</v>
      </c>
      <c r="P8458" s="33">
        <f t="shared" si="528"/>
        <v>0</v>
      </c>
      <c r="Q8458" s="31" t="str">
        <f t="shared" si="529"/>
        <v/>
      </c>
      <c r="R8458" s="32" t="str">
        <f>IFERROR(VLOOKUP($D8458,'Informations sur les produits'!$A$3:$B$15000,2,FALSE),"")</f>
        <v/>
      </c>
      <c r="V8458">
        <f t="shared" si="530"/>
        <v>0</v>
      </c>
      <c r="W8458">
        <f t="shared" si="531"/>
        <v>0</v>
      </c>
    </row>
    <row r="8459" spans="5:23" x14ac:dyDescent="0.25">
      <c r="E8459" s="4"/>
      <c r="F8459" s="4"/>
      <c r="G8459" s="33" t="str">
        <f>IFERROR(VLOOKUP($D8459,'Informations sur les produits'!$A$3:$H$10000,8,FALSE),"0")</f>
        <v>0</v>
      </c>
      <c r="K8459" s="4"/>
      <c r="L8459" s="33" t="str">
        <f>IFERROR(VLOOKUP($J8459,'Informations sur les produits'!$A$3:$H$10000,8,FALSE),"0")</f>
        <v>0</v>
      </c>
      <c r="N8459" s="8"/>
      <c r="O8459" s="33" t="str">
        <f>IFERROR(VLOOKUP($M8459,'Informations sur les produits'!$A$3:$H$10000,8,FALSE),"0")</f>
        <v>0</v>
      </c>
      <c r="P8459" s="33">
        <f t="shared" si="528"/>
        <v>0</v>
      </c>
      <c r="Q8459" s="31" t="str">
        <f t="shared" si="529"/>
        <v/>
      </c>
      <c r="R8459" s="32" t="str">
        <f>IFERROR(VLOOKUP($D8459,'Informations sur les produits'!$A$3:$B$15000,2,FALSE),"")</f>
        <v/>
      </c>
      <c r="V8459">
        <f t="shared" si="530"/>
        <v>0</v>
      </c>
      <c r="W8459">
        <f t="shared" si="531"/>
        <v>0</v>
      </c>
    </row>
    <row r="8460" spans="5:23" x14ac:dyDescent="0.25">
      <c r="E8460" s="4"/>
      <c r="F8460" s="4"/>
      <c r="G8460" s="33" t="str">
        <f>IFERROR(VLOOKUP($D8460,'Informations sur les produits'!$A$3:$H$10000,8,FALSE),"0")</f>
        <v>0</v>
      </c>
      <c r="K8460" s="4"/>
      <c r="L8460" s="33" t="str">
        <f>IFERROR(VLOOKUP($J8460,'Informations sur les produits'!$A$3:$H$10000,8,FALSE),"0")</f>
        <v>0</v>
      </c>
      <c r="N8460" s="8"/>
      <c r="O8460" s="33" t="str">
        <f>IFERROR(VLOOKUP($M8460,'Informations sur les produits'!$A$3:$H$10000,8,FALSE),"0")</f>
        <v>0</v>
      </c>
      <c r="P8460" s="33">
        <f t="shared" si="528"/>
        <v>0</v>
      </c>
      <c r="Q8460" s="31" t="str">
        <f t="shared" si="529"/>
        <v/>
      </c>
      <c r="R8460" s="32" t="str">
        <f>IFERROR(VLOOKUP($D8460,'Informations sur les produits'!$A$3:$B$15000,2,FALSE),"")</f>
        <v/>
      </c>
      <c r="V8460">
        <f t="shared" si="530"/>
        <v>0</v>
      </c>
      <c r="W8460">
        <f t="shared" si="531"/>
        <v>0</v>
      </c>
    </row>
    <row r="8461" spans="5:23" x14ac:dyDescent="0.25">
      <c r="E8461" s="4"/>
      <c r="F8461" s="4"/>
      <c r="G8461" s="33" t="str">
        <f>IFERROR(VLOOKUP($D8461,'Informations sur les produits'!$A$3:$H$10000,8,FALSE),"0")</f>
        <v>0</v>
      </c>
      <c r="K8461" s="4"/>
      <c r="L8461" s="33" t="str">
        <f>IFERROR(VLOOKUP($J8461,'Informations sur les produits'!$A$3:$H$10000,8,FALSE),"0")</f>
        <v>0</v>
      </c>
      <c r="N8461" s="8"/>
      <c r="O8461" s="33" t="str">
        <f>IFERROR(VLOOKUP($M8461,'Informations sur les produits'!$A$3:$H$10000,8,FALSE),"0")</f>
        <v>0</v>
      </c>
      <c r="P8461" s="33">
        <f t="shared" si="528"/>
        <v>0</v>
      </c>
      <c r="Q8461" s="31" t="str">
        <f t="shared" si="529"/>
        <v/>
      </c>
      <c r="R8461" s="32" t="str">
        <f>IFERROR(VLOOKUP($D8461,'Informations sur les produits'!$A$3:$B$15000,2,FALSE),"")</f>
        <v/>
      </c>
      <c r="V8461">
        <f t="shared" si="530"/>
        <v>0</v>
      </c>
      <c r="W8461">
        <f t="shared" si="531"/>
        <v>0</v>
      </c>
    </row>
    <row r="8462" spans="5:23" x14ac:dyDescent="0.25">
      <c r="E8462" s="4"/>
      <c r="F8462" s="4"/>
      <c r="G8462" s="33" t="str">
        <f>IFERROR(VLOOKUP($D8462,'Informations sur les produits'!$A$3:$H$10000,8,FALSE),"0")</f>
        <v>0</v>
      </c>
      <c r="K8462" s="4"/>
      <c r="L8462" s="33" t="str">
        <f>IFERROR(VLOOKUP($J8462,'Informations sur les produits'!$A$3:$H$10000,8,FALSE),"0")</f>
        <v>0</v>
      </c>
      <c r="N8462" s="8"/>
      <c r="O8462" s="33" t="str">
        <f>IFERROR(VLOOKUP($M8462,'Informations sur les produits'!$A$3:$H$10000,8,FALSE),"0")</f>
        <v>0</v>
      </c>
      <c r="P8462" s="33">
        <f t="shared" si="528"/>
        <v>0</v>
      </c>
      <c r="Q8462" s="31" t="str">
        <f t="shared" si="529"/>
        <v/>
      </c>
      <c r="R8462" s="32" t="str">
        <f>IFERROR(VLOOKUP($D8462,'Informations sur les produits'!$A$3:$B$15000,2,FALSE),"")</f>
        <v/>
      </c>
      <c r="V8462">
        <f t="shared" si="530"/>
        <v>0</v>
      </c>
      <c r="W8462">
        <f t="shared" si="531"/>
        <v>0</v>
      </c>
    </row>
    <row r="8463" spans="5:23" x14ac:dyDescent="0.25">
      <c r="E8463" s="4"/>
      <c r="F8463" s="4"/>
      <c r="G8463" s="33" t="str">
        <f>IFERROR(VLOOKUP($D8463,'Informations sur les produits'!$A$3:$H$10000,8,FALSE),"0")</f>
        <v>0</v>
      </c>
      <c r="K8463" s="4"/>
      <c r="L8463" s="33" t="str">
        <f>IFERROR(VLOOKUP($J8463,'Informations sur les produits'!$A$3:$H$10000,8,FALSE),"0")</f>
        <v>0</v>
      </c>
      <c r="N8463" s="8"/>
      <c r="O8463" s="33" t="str">
        <f>IFERROR(VLOOKUP($M8463,'Informations sur les produits'!$A$3:$H$10000,8,FALSE),"0")</f>
        <v>0</v>
      </c>
      <c r="P8463" s="33">
        <f t="shared" si="528"/>
        <v>0</v>
      </c>
      <c r="Q8463" s="31" t="str">
        <f t="shared" si="529"/>
        <v/>
      </c>
      <c r="R8463" s="32" t="str">
        <f>IFERROR(VLOOKUP($D8463,'Informations sur les produits'!$A$3:$B$15000,2,FALSE),"")</f>
        <v/>
      </c>
      <c r="V8463">
        <f t="shared" si="530"/>
        <v>0</v>
      </c>
      <c r="W8463">
        <f t="shared" si="531"/>
        <v>0</v>
      </c>
    </row>
    <row r="8464" spans="5:23" x14ac:dyDescent="0.25">
      <c r="E8464" s="4"/>
      <c r="F8464" s="4"/>
      <c r="G8464" s="33" t="str">
        <f>IFERROR(VLOOKUP($D8464,'Informations sur les produits'!$A$3:$H$10000,8,FALSE),"0")</f>
        <v>0</v>
      </c>
      <c r="K8464" s="4"/>
      <c r="L8464" s="33" t="str">
        <f>IFERROR(VLOOKUP($J8464,'Informations sur les produits'!$A$3:$H$10000,8,FALSE),"0")</f>
        <v>0</v>
      </c>
      <c r="N8464" s="8"/>
      <c r="O8464" s="33" t="str">
        <f>IFERROR(VLOOKUP($M8464,'Informations sur les produits'!$A$3:$H$10000,8,FALSE),"0")</f>
        <v>0</v>
      </c>
      <c r="P8464" s="33">
        <f t="shared" si="528"/>
        <v>0</v>
      </c>
      <c r="Q8464" s="31" t="str">
        <f t="shared" si="529"/>
        <v/>
      </c>
      <c r="R8464" s="32" t="str">
        <f>IFERROR(VLOOKUP($D8464,'Informations sur les produits'!$A$3:$B$15000,2,FALSE),"")</f>
        <v/>
      </c>
      <c r="V8464">
        <f t="shared" si="530"/>
        <v>0</v>
      </c>
      <c r="W8464">
        <f t="shared" si="531"/>
        <v>0</v>
      </c>
    </row>
    <row r="8465" spans="5:23" x14ac:dyDescent="0.25">
      <c r="E8465" s="4"/>
      <c r="F8465" s="4"/>
      <c r="G8465" s="33" t="str">
        <f>IFERROR(VLOOKUP($D8465,'Informations sur les produits'!$A$3:$H$10000,8,FALSE),"0")</f>
        <v>0</v>
      </c>
      <c r="K8465" s="4"/>
      <c r="L8465" s="33" t="str">
        <f>IFERROR(VLOOKUP($J8465,'Informations sur les produits'!$A$3:$H$10000,8,FALSE),"0")</f>
        <v>0</v>
      </c>
      <c r="N8465" s="8"/>
      <c r="O8465" s="33" t="str">
        <f>IFERROR(VLOOKUP($M8465,'Informations sur les produits'!$A$3:$H$10000,8,FALSE),"0")</f>
        <v>0</v>
      </c>
      <c r="P8465" s="33">
        <f t="shared" si="528"/>
        <v>0</v>
      </c>
      <c r="Q8465" s="31" t="str">
        <f t="shared" si="529"/>
        <v/>
      </c>
      <c r="R8465" s="32" t="str">
        <f>IFERROR(VLOOKUP($D8465,'Informations sur les produits'!$A$3:$B$15000,2,FALSE),"")</f>
        <v/>
      </c>
      <c r="V8465">
        <f t="shared" si="530"/>
        <v>0</v>
      </c>
      <c r="W8465">
        <f t="shared" si="531"/>
        <v>0</v>
      </c>
    </row>
    <row r="8466" spans="5:23" x14ac:dyDescent="0.25">
      <c r="E8466" s="4"/>
      <c r="F8466" s="4"/>
      <c r="G8466" s="33" t="str">
        <f>IFERROR(VLOOKUP($D8466,'Informations sur les produits'!$A$3:$H$10000,8,FALSE),"0")</f>
        <v>0</v>
      </c>
      <c r="K8466" s="4"/>
      <c r="L8466" s="33" t="str">
        <f>IFERROR(VLOOKUP($J8466,'Informations sur les produits'!$A$3:$H$10000,8,FALSE),"0")</f>
        <v>0</v>
      </c>
      <c r="N8466" s="8"/>
      <c r="O8466" s="33" t="str">
        <f>IFERROR(VLOOKUP($M8466,'Informations sur les produits'!$A$3:$H$10000,8,FALSE),"0")</f>
        <v>0</v>
      </c>
      <c r="P8466" s="33">
        <f t="shared" si="528"/>
        <v>0</v>
      </c>
      <c r="Q8466" s="31" t="str">
        <f t="shared" si="529"/>
        <v/>
      </c>
      <c r="R8466" s="32" t="str">
        <f>IFERROR(VLOOKUP($D8466,'Informations sur les produits'!$A$3:$B$15000,2,FALSE),"")</f>
        <v/>
      </c>
      <c r="V8466">
        <f t="shared" si="530"/>
        <v>0</v>
      </c>
      <c r="W8466">
        <f t="shared" si="531"/>
        <v>0</v>
      </c>
    </row>
    <row r="8467" spans="5:23" x14ac:dyDescent="0.25">
      <c r="E8467" s="4"/>
      <c r="F8467" s="4"/>
      <c r="G8467" s="33" t="str">
        <f>IFERROR(VLOOKUP($D8467,'Informations sur les produits'!$A$3:$H$10000,8,FALSE),"0")</f>
        <v>0</v>
      </c>
      <c r="K8467" s="4"/>
      <c r="L8467" s="33" t="str">
        <f>IFERROR(VLOOKUP($J8467,'Informations sur les produits'!$A$3:$H$10000,8,FALSE),"0")</f>
        <v>0</v>
      </c>
      <c r="N8467" s="8"/>
      <c r="O8467" s="33" t="str">
        <f>IFERROR(VLOOKUP($M8467,'Informations sur les produits'!$A$3:$H$10000,8,FALSE),"0")</f>
        <v>0</v>
      </c>
      <c r="P8467" s="33">
        <f t="shared" si="528"/>
        <v>0</v>
      </c>
      <c r="Q8467" s="31" t="str">
        <f t="shared" si="529"/>
        <v/>
      </c>
      <c r="R8467" s="32" t="str">
        <f>IFERROR(VLOOKUP($D8467,'Informations sur les produits'!$A$3:$B$15000,2,FALSE),"")</f>
        <v/>
      </c>
      <c r="V8467">
        <f t="shared" si="530"/>
        <v>0</v>
      </c>
      <c r="W8467">
        <f t="shared" si="531"/>
        <v>0</v>
      </c>
    </row>
    <row r="8468" spans="5:23" x14ac:dyDescent="0.25">
      <c r="E8468" s="4"/>
      <c r="F8468" s="4"/>
      <c r="G8468" s="33" t="str">
        <f>IFERROR(VLOOKUP($D8468,'Informations sur les produits'!$A$3:$H$10000,8,FALSE),"0")</f>
        <v>0</v>
      </c>
      <c r="K8468" s="4"/>
      <c r="L8468" s="33" t="str">
        <f>IFERROR(VLOOKUP($J8468,'Informations sur les produits'!$A$3:$H$10000,8,FALSE),"0")</f>
        <v>0</v>
      </c>
      <c r="N8468" s="8"/>
      <c r="O8468" s="33" t="str">
        <f>IFERROR(VLOOKUP($M8468,'Informations sur les produits'!$A$3:$H$10000,8,FALSE),"0")</f>
        <v>0</v>
      </c>
      <c r="P8468" s="33">
        <f t="shared" si="528"/>
        <v>0</v>
      </c>
      <c r="Q8468" s="31" t="str">
        <f t="shared" si="529"/>
        <v/>
      </c>
      <c r="R8468" s="32" t="str">
        <f>IFERROR(VLOOKUP($D8468,'Informations sur les produits'!$A$3:$B$15000,2,FALSE),"")</f>
        <v/>
      </c>
      <c r="V8468">
        <f t="shared" si="530"/>
        <v>0</v>
      </c>
      <c r="W8468">
        <f t="shared" si="531"/>
        <v>0</v>
      </c>
    </row>
    <row r="8469" spans="5:23" x14ac:dyDescent="0.25">
      <c r="E8469" s="4"/>
      <c r="F8469" s="4"/>
      <c r="G8469" s="33" t="str">
        <f>IFERROR(VLOOKUP($D8469,'Informations sur les produits'!$A$3:$H$10000,8,FALSE),"0")</f>
        <v>0</v>
      </c>
      <c r="K8469" s="4"/>
      <c r="L8469" s="33" t="str">
        <f>IFERROR(VLOOKUP($J8469,'Informations sur les produits'!$A$3:$H$10000,8,FALSE),"0")</f>
        <v>0</v>
      </c>
      <c r="N8469" s="8"/>
      <c r="O8469" s="33" t="str">
        <f>IFERROR(VLOOKUP($M8469,'Informations sur les produits'!$A$3:$H$10000,8,FALSE),"0")</f>
        <v>0</v>
      </c>
      <c r="P8469" s="33">
        <f t="shared" si="528"/>
        <v>0</v>
      </c>
      <c r="Q8469" s="31" t="str">
        <f t="shared" si="529"/>
        <v/>
      </c>
      <c r="R8469" s="32" t="str">
        <f>IFERROR(VLOOKUP($D8469,'Informations sur les produits'!$A$3:$B$15000,2,FALSE),"")</f>
        <v/>
      </c>
      <c r="V8469">
        <f t="shared" si="530"/>
        <v>0</v>
      </c>
      <c r="W8469">
        <f t="shared" si="531"/>
        <v>0</v>
      </c>
    </row>
    <row r="8470" spans="5:23" x14ac:dyDescent="0.25">
      <c r="E8470" s="4"/>
      <c r="F8470" s="4"/>
      <c r="G8470" s="33" t="str">
        <f>IFERROR(VLOOKUP($D8470,'Informations sur les produits'!$A$3:$H$10000,8,FALSE),"0")</f>
        <v>0</v>
      </c>
      <c r="K8470" s="4"/>
      <c r="L8470" s="33" t="str">
        <f>IFERROR(VLOOKUP($J8470,'Informations sur les produits'!$A$3:$H$10000,8,FALSE),"0")</f>
        <v>0</v>
      </c>
      <c r="N8470" s="8"/>
      <c r="O8470" s="33" t="str">
        <f>IFERROR(VLOOKUP($M8470,'Informations sur les produits'!$A$3:$H$10000,8,FALSE),"0")</f>
        <v>0</v>
      </c>
      <c r="P8470" s="33">
        <f t="shared" si="528"/>
        <v>0</v>
      </c>
      <c r="Q8470" s="31" t="str">
        <f t="shared" si="529"/>
        <v/>
      </c>
      <c r="R8470" s="32" t="str">
        <f>IFERROR(VLOOKUP($D8470,'Informations sur les produits'!$A$3:$B$15000,2,FALSE),"")</f>
        <v/>
      </c>
      <c r="V8470">
        <f t="shared" si="530"/>
        <v>0</v>
      </c>
      <c r="W8470">
        <f t="shared" si="531"/>
        <v>0</v>
      </c>
    </row>
    <row r="8471" spans="5:23" x14ac:dyDescent="0.25">
      <c r="E8471" s="4"/>
      <c r="F8471" s="4"/>
      <c r="G8471" s="33" t="str">
        <f>IFERROR(VLOOKUP($D8471,'Informations sur les produits'!$A$3:$H$10000,8,FALSE),"0")</f>
        <v>0</v>
      </c>
      <c r="K8471" s="4"/>
      <c r="L8471" s="33" t="str">
        <f>IFERROR(VLOOKUP($J8471,'Informations sur les produits'!$A$3:$H$10000,8,FALSE),"0")</f>
        <v>0</v>
      </c>
      <c r="N8471" s="8"/>
      <c r="O8471" s="33" t="str">
        <f>IFERROR(VLOOKUP($M8471,'Informations sur les produits'!$A$3:$H$10000,8,FALSE),"0")</f>
        <v>0</v>
      </c>
      <c r="P8471" s="33">
        <f t="shared" si="528"/>
        <v>0</v>
      </c>
      <c r="Q8471" s="31" t="str">
        <f t="shared" si="529"/>
        <v/>
      </c>
      <c r="R8471" s="32" t="str">
        <f>IFERROR(VLOOKUP($D8471,'Informations sur les produits'!$A$3:$B$15000,2,FALSE),"")</f>
        <v/>
      </c>
      <c r="V8471">
        <f t="shared" si="530"/>
        <v>0</v>
      </c>
      <c r="W8471">
        <f t="shared" si="531"/>
        <v>0</v>
      </c>
    </row>
    <row r="8472" spans="5:23" x14ac:dyDescent="0.25">
      <c r="E8472" s="4"/>
      <c r="F8472" s="4"/>
      <c r="G8472" s="33" t="str">
        <f>IFERROR(VLOOKUP($D8472,'Informations sur les produits'!$A$3:$H$10000,8,FALSE),"0")</f>
        <v>0</v>
      </c>
      <c r="K8472" s="4"/>
      <c r="L8472" s="33" t="str">
        <f>IFERROR(VLOOKUP($J8472,'Informations sur les produits'!$A$3:$H$10000,8,FALSE),"0")</f>
        <v>0</v>
      </c>
      <c r="N8472" s="8"/>
      <c r="O8472" s="33" t="str">
        <f>IFERROR(VLOOKUP($M8472,'Informations sur les produits'!$A$3:$H$10000,8,FALSE),"0")</f>
        <v>0</v>
      </c>
      <c r="P8472" s="33">
        <f t="shared" si="528"/>
        <v>0</v>
      </c>
      <c r="Q8472" s="31" t="str">
        <f t="shared" si="529"/>
        <v/>
      </c>
      <c r="R8472" s="32" t="str">
        <f>IFERROR(VLOOKUP($D8472,'Informations sur les produits'!$A$3:$B$15000,2,FALSE),"")</f>
        <v/>
      </c>
      <c r="V8472">
        <f t="shared" si="530"/>
        <v>0</v>
      </c>
      <c r="W8472">
        <f t="shared" si="531"/>
        <v>0</v>
      </c>
    </row>
    <row r="8473" spans="5:23" x14ac:dyDescent="0.25">
      <c r="E8473" s="4"/>
      <c r="F8473" s="4"/>
      <c r="G8473" s="33" t="str">
        <f>IFERROR(VLOOKUP($D8473,'Informations sur les produits'!$A$3:$H$10000,8,FALSE),"0")</f>
        <v>0</v>
      </c>
      <c r="K8473" s="4"/>
      <c r="L8473" s="33" t="str">
        <f>IFERROR(VLOOKUP($J8473,'Informations sur les produits'!$A$3:$H$10000,8,FALSE),"0")</f>
        <v>0</v>
      </c>
      <c r="N8473" s="8"/>
      <c r="O8473" s="33" t="str">
        <f>IFERROR(VLOOKUP($M8473,'Informations sur les produits'!$A$3:$H$10000,8,FALSE),"0")</f>
        <v>0</v>
      </c>
      <c r="P8473" s="33">
        <f t="shared" si="528"/>
        <v>0</v>
      </c>
      <c r="Q8473" s="31" t="str">
        <f t="shared" si="529"/>
        <v/>
      </c>
      <c r="R8473" s="32" t="str">
        <f>IFERROR(VLOOKUP($D8473,'Informations sur les produits'!$A$3:$B$15000,2,FALSE),"")</f>
        <v/>
      </c>
      <c r="V8473">
        <f t="shared" si="530"/>
        <v>0</v>
      </c>
      <c r="W8473">
        <f t="shared" si="531"/>
        <v>0</v>
      </c>
    </row>
    <row r="8474" spans="5:23" x14ac:dyDescent="0.25">
      <c r="E8474" s="4"/>
      <c r="F8474" s="4"/>
      <c r="G8474" s="33" t="str">
        <f>IFERROR(VLOOKUP($D8474,'Informations sur les produits'!$A$3:$H$10000,8,FALSE),"0")</f>
        <v>0</v>
      </c>
      <c r="K8474" s="4"/>
      <c r="L8474" s="33" t="str">
        <f>IFERROR(VLOOKUP($J8474,'Informations sur les produits'!$A$3:$H$10000,8,FALSE),"0")</f>
        <v>0</v>
      </c>
      <c r="N8474" s="8"/>
      <c r="O8474" s="33" t="str">
        <f>IFERROR(VLOOKUP($M8474,'Informations sur les produits'!$A$3:$H$10000,8,FALSE),"0")</f>
        <v>0</v>
      </c>
      <c r="P8474" s="33">
        <f t="shared" si="528"/>
        <v>0</v>
      </c>
      <c r="Q8474" s="31" t="str">
        <f t="shared" si="529"/>
        <v/>
      </c>
      <c r="R8474" s="32" t="str">
        <f>IFERROR(VLOOKUP($D8474,'Informations sur les produits'!$A$3:$B$15000,2,FALSE),"")</f>
        <v/>
      </c>
      <c r="V8474">
        <f t="shared" si="530"/>
        <v>0</v>
      </c>
      <c r="W8474">
        <f t="shared" si="531"/>
        <v>0</v>
      </c>
    </row>
    <row r="8475" spans="5:23" x14ac:dyDescent="0.25">
      <c r="E8475" s="4"/>
      <c r="F8475" s="4"/>
      <c r="G8475" s="33" t="str">
        <f>IFERROR(VLOOKUP($D8475,'Informations sur les produits'!$A$3:$H$10000,8,FALSE),"0")</f>
        <v>0</v>
      </c>
      <c r="K8475" s="4"/>
      <c r="L8475" s="33" t="str">
        <f>IFERROR(VLOOKUP($J8475,'Informations sur les produits'!$A$3:$H$10000,8,FALSE),"0")</f>
        <v>0</v>
      </c>
      <c r="N8475" s="8"/>
      <c r="O8475" s="33" t="str">
        <f>IFERROR(VLOOKUP($M8475,'Informations sur les produits'!$A$3:$H$10000,8,FALSE),"0")</f>
        <v>0</v>
      </c>
      <c r="P8475" s="33">
        <f t="shared" si="528"/>
        <v>0</v>
      </c>
      <c r="Q8475" s="31" t="str">
        <f t="shared" si="529"/>
        <v/>
      </c>
      <c r="R8475" s="32" t="str">
        <f>IFERROR(VLOOKUP($D8475,'Informations sur les produits'!$A$3:$B$15000,2,FALSE),"")</f>
        <v/>
      </c>
      <c r="V8475">
        <f t="shared" si="530"/>
        <v>0</v>
      </c>
      <c r="W8475">
        <f t="shared" si="531"/>
        <v>0</v>
      </c>
    </row>
    <row r="8476" spans="5:23" x14ac:dyDescent="0.25">
      <c r="E8476" s="4"/>
      <c r="F8476" s="4"/>
      <c r="G8476" s="33" t="str">
        <f>IFERROR(VLOOKUP($D8476,'Informations sur les produits'!$A$3:$H$10000,8,FALSE),"0")</f>
        <v>0</v>
      </c>
      <c r="K8476" s="4"/>
      <c r="L8476" s="33" t="str">
        <f>IFERROR(VLOOKUP($J8476,'Informations sur les produits'!$A$3:$H$10000,8,FALSE),"0")</f>
        <v>0</v>
      </c>
      <c r="N8476" s="8"/>
      <c r="O8476" s="33" t="str">
        <f>IFERROR(VLOOKUP($M8476,'Informations sur les produits'!$A$3:$H$10000,8,FALSE),"0")</f>
        <v>0</v>
      </c>
      <c r="P8476" s="33">
        <f t="shared" si="528"/>
        <v>0</v>
      </c>
      <c r="Q8476" s="31" t="str">
        <f t="shared" si="529"/>
        <v/>
      </c>
      <c r="R8476" s="32" t="str">
        <f>IFERROR(VLOOKUP($D8476,'Informations sur les produits'!$A$3:$B$15000,2,FALSE),"")</f>
        <v/>
      </c>
      <c r="V8476">
        <f t="shared" si="530"/>
        <v>0</v>
      </c>
      <c r="W8476">
        <f t="shared" si="531"/>
        <v>0</v>
      </c>
    </row>
    <row r="8477" spans="5:23" x14ac:dyDescent="0.25">
      <c r="E8477" s="4"/>
      <c r="F8477" s="4"/>
      <c r="G8477" s="33" t="str">
        <f>IFERROR(VLOOKUP($D8477,'Informations sur les produits'!$A$3:$H$10000,8,FALSE),"0")</f>
        <v>0</v>
      </c>
      <c r="K8477" s="4"/>
      <c r="L8477" s="33" t="str">
        <f>IFERROR(VLOOKUP($J8477,'Informations sur les produits'!$A$3:$H$10000,8,FALSE),"0")</f>
        <v>0</v>
      </c>
      <c r="N8477" s="8"/>
      <c r="O8477" s="33" t="str">
        <f>IFERROR(VLOOKUP($M8477,'Informations sur les produits'!$A$3:$H$10000,8,FALSE),"0")</f>
        <v>0</v>
      </c>
      <c r="P8477" s="33">
        <f t="shared" si="528"/>
        <v>0</v>
      </c>
      <c r="Q8477" s="31" t="str">
        <f t="shared" si="529"/>
        <v/>
      </c>
      <c r="R8477" s="32" t="str">
        <f>IFERROR(VLOOKUP($D8477,'Informations sur les produits'!$A$3:$B$15000,2,FALSE),"")</f>
        <v/>
      </c>
      <c r="V8477">
        <f t="shared" si="530"/>
        <v>0</v>
      </c>
      <c r="W8477">
        <f t="shared" si="531"/>
        <v>0</v>
      </c>
    </row>
    <row r="8478" spans="5:23" x14ac:dyDescent="0.25">
      <c r="E8478" s="4"/>
      <c r="F8478" s="4"/>
      <c r="G8478" s="33" t="str">
        <f>IFERROR(VLOOKUP($D8478,'Informations sur les produits'!$A$3:$H$10000,8,FALSE),"0")</f>
        <v>0</v>
      </c>
      <c r="K8478" s="4"/>
      <c r="L8478" s="33" t="str">
        <f>IFERROR(VLOOKUP($J8478,'Informations sur les produits'!$A$3:$H$10000,8,FALSE),"0")</f>
        <v>0</v>
      </c>
      <c r="N8478" s="8"/>
      <c r="O8478" s="33" t="str">
        <f>IFERROR(VLOOKUP($M8478,'Informations sur les produits'!$A$3:$H$10000,8,FALSE),"0")</f>
        <v>0</v>
      </c>
      <c r="P8478" s="33">
        <f t="shared" si="528"/>
        <v>0</v>
      </c>
      <c r="Q8478" s="31" t="str">
        <f t="shared" si="529"/>
        <v/>
      </c>
      <c r="R8478" s="32" t="str">
        <f>IFERROR(VLOOKUP($D8478,'Informations sur les produits'!$A$3:$B$15000,2,FALSE),"")</f>
        <v/>
      </c>
      <c r="V8478">
        <f t="shared" si="530"/>
        <v>0</v>
      </c>
      <c r="W8478">
        <f t="shared" si="531"/>
        <v>0</v>
      </c>
    </row>
    <row r="8479" spans="5:23" x14ac:dyDescent="0.25">
      <c r="E8479" s="4"/>
      <c r="F8479" s="4"/>
      <c r="G8479" s="33" t="str">
        <f>IFERROR(VLOOKUP($D8479,'Informations sur les produits'!$A$3:$H$10000,8,FALSE),"0")</f>
        <v>0</v>
      </c>
      <c r="K8479" s="4"/>
      <c r="L8479" s="33" t="str">
        <f>IFERROR(VLOOKUP($J8479,'Informations sur les produits'!$A$3:$H$10000,8,FALSE),"0")</f>
        <v>0</v>
      </c>
      <c r="N8479" s="8"/>
      <c r="O8479" s="33" t="str">
        <f>IFERROR(VLOOKUP($M8479,'Informations sur les produits'!$A$3:$H$10000,8,FALSE),"0")</f>
        <v>0</v>
      </c>
      <c r="P8479" s="33">
        <f t="shared" si="528"/>
        <v>0</v>
      </c>
      <c r="Q8479" s="31" t="str">
        <f t="shared" si="529"/>
        <v/>
      </c>
      <c r="R8479" s="32" t="str">
        <f>IFERROR(VLOOKUP($D8479,'Informations sur les produits'!$A$3:$B$15000,2,FALSE),"")</f>
        <v/>
      </c>
      <c r="V8479">
        <f t="shared" si="530"/>
        <v>0</v>
      </c>
      <c r="W8479">
        <f t="shared" si="531"/>
        <v>0</v>
      </c>
    </row>
    <row r="8480" spans="5:23" x14ac:dyDescent="0.25">
      <c r="E8480" s="4"/>
      <c r="F8480" s="4"/>
      <c r="G8480" s="33" t="str">
        <f>IFERROR(VLOOKUP($D8480,'Informations sur les produits'!$A$3:$H$10000,8,FALSE),"0")</f>
        <v>0</v>
      </c>
      <c r="K8480" s="4"/>
      <c r="L8480" s="33" t="str">
        <f>IFERROR(VLOOKUP($J8480,'Informations sur les produits'!$A$3:$H$10000,8,FALSE),"0")</f>
        <v>0</v>
      </c>
      <c r="N8480" s="8"/>
      <c r="O8480" s="33" t="str">
        <f>IFERROR(VLOOKUP($M8480,'Informations sur les produits'!$A$3:$H$10000,8,FALSE),"0")</f>
        <v>0</v>
      </c>
      <c r="P8480" s="33">
        <f t="shared" si="528"/>
        <v>0</v>
      </c>
      <c r="Q8480" s="31" t="str">
        <f t="shared" si="529"/>
        <v/>
      </c>
      <c r="R8480" s="32" t="str">
        <f>IFERROR(VLOOKUP($D8480,'Informations sur les produits'!$A$3:$B$15000,2,FALSE),"")</f>
        <v/>
      </c>
      <c r="V8480">
        <f t="shared" si="530"/>
        <v>0</v>
      </c>
      <c r="W8480">
        <f t="shared" si="531"/>
        <v>0</v>
      </c>
    </row>
    <row r="8481" spans="5:23" x14ac:dyDescent="0.25">
      <c r="E8481" s="4"/>
      <c r="F8481" s="4"/>
      <c r="G8481" s="33" t="str">
        <f>IFERROR(VLOOKUP($D8481,'Informations sur les produits'!$A$3:$H$10000,8,FALSE),"0")</f>
        <v>0</v>
      </c>
      <c r="K8481" s="4"/>
      <c r="L8481" s="33" t="str">
        <f>IFERROR(VLOOKUP($J8481,'Informations sur les produits'!$A$3:$H$10000,8,FALSE),"0")</f>
        <v>0</v>
      </c>
      <c r="N8481" s="8"/>
      <c r="O8481" s="33" t="str">
        <f>IFERROR(VLOOKUP($M8481,'Informations sur les produits'!$A$3:$H$10000,8,FALSE),"0")</f>
        <v>0</v>
      </c>
      <c r="P8481" s="33">
        <f t="shared" si="528"/>
        <v>0</v>
      </c>
      <c r="Q8481" s="31" t="str">
        <f t="shared" si="529"/>
        <v/>
      </c>
      <c r="R8481" s="32" t="str">
        <f>IFERROR(VLOOKUP($D8481,'Informations sur les produits'!$A$3:$B$15000,2,FALSE),"")</f>
        <v/>
      </c>
      <c r="V8481">
        <f t="shared" si="530"/>
        <v>0</v>
      </c>
      <c r="W8481">
        <f t="shared" si="531"/>
        <v>0</v>
      </c>
    </row>
    <row r="8482" spans="5:23" x14ac:dyDescent="0.25">
      <c r="E8482" s="4"/>
      <c r="F8482" s="4"/>
      <c r="G8482" s="33" t="str">
        <f>IFERROR(VLOOKUP($D8482,'Informations sur les produits'!$A$3:$H$10000,8,FALSE),"0")</f>
        <v>0</v>
      </c>
      <c r="K8482" s="4"/>
      <c r="L8482" s="33" t="str">
        <f>IFERROR(VLOOKUP($J8482,'Informations sur les produits'!$A$3:$H$10000,8,FALSE),"0")</f>
        <v>0</v>
      </c>
      <c r="N8482" s="8"/>
      <c r="O8482" s="33" t="str">
        <f>IFERROR(VLOOKUP($M8482,'Informations sur les produits'!$A$3:$H$10000,8,FALSE),"0")</f>
        <v>0</v>
      </c>
      <c r="P8482" s="33">
        <f t="shared" si="528"/>
        <v>0</v>
      </c>
      <c r="Q8482" s="31" t="str">
        <f t="shared" si="529"/>
        <v/>
      </c>
      <c r="R8482" s="32" t="str">
        <f>IFERROR(VLOOKUP($D8482,'Informations sur les produits'!$A$3:$B$15000,2,FALSE),"")</f>
        <v/>
      </c>
      <c r="V8482">
        <f t="shared" si="530"/>
        <v>0</v>
      </c>
      <c r="W8482">
        <f t="shared" si="531"/>
        <v>0</v>
      </c>
    </row>
    <row r="8483" spans="5:23" x14ac:dyDescent="0.25">
      <c r="E8483" s="4"/>
      <c r="F8483" s="4"/>
      <c r="G8483" s="33" t="str">
        <f>IFERROR(VLOOKUP($D8483,'Informations sur les produits'!$A$3:$H$10000,8,FALSE),"0")</f>
        <v>0</v>
      </c>
      <c r="K8483" s="4"/>
      <c r="L8483" s="33" t="str">
        <f>IFERROR(VLOOKUP($J8483,'Informations sur les produits'!$A$3:$H$10000,8,FALSE),"0")</f>
        <v>0</v>
      </c>
      <c r="N8483" s="8"/>
      <c r="O8483" s="33" t="str">
        <f>IFERROR(VLOOKUP($M8483,'Informations sur les produits'!$A$3:$H$10000,8,FALSE),"0")</f>
        <v>0</v>
      </c>
      <c r="P8483" s="33">
        <f t="shared" si="528"/>
        <v>0</v>
      </c>
      <c r="Q8483" s="31" t="str">
        <f t="shared" si="529"/>
        <v/>
      </c>
      <c r="R8483" s="32" t="str">
        <f>IFERROR(VLOOKUP($D8483,'Informations sur les produits'!$A$3:$B$15000,2,FALSE),"")</f>
        <v/>
      </c>
      <c r="V8483">
        <f t="shared" si="530"/>
        <v>0</v>
      </c>
      <c r="W8483">
        <f t="shared" si="531"/>
        <v>0</v>
      </c>
    </row>
    <row r="8484" spans="5:23" x14ac:dyDescent="0.25">
      <c r="E8484" s="4"/>
      <c r="F8484" s="4"/>
      <c r="G8484" s="33" t="str">
        <f>IFERROR(VLOOKUP($D8484,'Informations sur les produits'!$A$3:$H$10000,8,FALSE),"0")</f>
        <v>0</v>
      </c>
      <c r="K8484" s="4"/>
      <c r="L8484" s="33" t="str">
        <f>IFERROR(VLOOKUP($J8484,'Informations sur les produits'!$A$3:$H$10000,8,FALSE),"0")</f>
        <v>0</v>
      </c>
      <c r="N8484" s="8"/>
      <c r="O8484" s="33" t="str">
        <f>IFERROR(VLOOKUP($M8484,'Informations sur les produits'!$A$3:$H$10000,8,FALSE),"0")</f>
        <v>0</v>
      </c>
      <c r="P8484" s="33">
        <f t="shared" si="528"/>
        <v>0</v>
      </c>
      <c r="Q8484" s="31" t="str">
        <f t="shared" si="529"/>
        <v/>
      </c>
      <c r="R8484" s="32" t="str">
        <f>IFERROR(VLOOKUP($D8484,'Informations sur les produits'!$A$3:$B$15000,2,FALSE),"")</f>
        <v/>
      </c>
      <c r="V8484">
        <f t="shared" si="530"/>
        <v>0</v>
      </c>
      <c r="W8484">
        <f t="shared" si="531"/>
        <v>0</v>
      </c>
    </row>
    <row r="8485" spans="5:23" x14ac:dyDescent="0.25">
      <c r="E8485" s="4"/>
      <c r="F8485" s="4"/>
      <c r="G8485" s="33" t="str">
        <f>IFERROR(VLOOKUP($D8485,'Informations sur les produits'!$A$3:$H$10000,8,FALSE),"0")</f>
        <v>0</v>
      </c>
      <c r="K8485" s="4"/>
      <c r="L8485" s="33" t="str">
        <f>IFERROR(VLOOKUP($J8485,'Informations sur les produits'!$A$3:$H$10000,8,FALSE),"0")</f>
        <v>0</v>
      </c>
      <c r="N8485" s="8"/>
      <c r="O8485" s="33" t="str">
        <f>IFERROR(VLOOKUP($M8485,'Informations sur les produits'!$A$3:$H$10000,8,FALSE),"0")</f>
        <v>0</v>
      </c>
      <c r="P8485" s="33">
        <f t="shared" si="528"/>
        <v>0</v>
      </c>
      <c r="Q8485" s="31" t="str">
        <f t="shared" si="529"/>
        <v/>
      </c>
      <c r="R8485" s="32" t="str">
        <f>IFERROR(VLOOKUP($D8485,'Informations sur les produits'!$A$3:$B$15000,2,FALSE),"")</f>
        <v/>
      </c>
      <c r="V8485">
        <f t="shared" si="530"/>
        <v>0</v>
      </c>
      <c r="W8485">
        <f t="shared" si="531"/>
        <v>0</v>
      </c>
    </row>
    <row r="8486" spans="5:23" x14ac:dyDescent="0.25">
      <c r="E8486" s="4"/>
      <c r="F8486" s="4"/>
      <c r="G8486" s="33" t="str">
        <f>IFERROR(VLOOKUP($D8486,'Informations sur les produits'!$A$3:$H$10000,8,FALSE),"0")</f>
        <v>0</v>
      </c>
      <c r="K8486" s="4"/>
      <c r="L8486" s="33" t="str">
        <f>IFERROR(VLOOKUP($J8486,'Informations sur les produits'!$A$3:$H$10000,8,FALSE),"0")</f>
        <v>0</v>
      </c>
      <c r="N8486" s="8"/>
      <c r="O8486" s="33" t="str">
        <f>IFERROR(VLOOKUP($M8486,'Informations sur les produits'!$A$3:$H$10000,8,FALSE),"0")</f>
        <v>0</v>
      </c>
      <c r="P8486" s="33">
        <f t="shared" si="528"/>
        <v>0</v>
      </c>
      <c r="Q8486" s="31" t="str">
        <f t="shared" si="529"/>
        <v/>
      </c>
      <c r="R8486" s="32" t="str">
        <f>IFERROR(VLOOKUP($D8486,'Informations sur les produits'!$A$3:$B$15000,2,FALSE),"")</f>
        <v/>
      </c>
      <c r="V8486">
        <f t="shared" si="530"/>
        <v>0</v>
      </c>
      <c r="W8486">
        <f t="shared" si="531"/>
        <v>0</v>
      </c>
    </row>
    <row r="8487" spans="5:23" x14ac:dyDescent="0.25">
      <c r="E8487" s="4"/>
      <c r="F8487" s="4"/>
      <c r="G8487" s="33" t="str">
        <f>IFERROR(VLOOKUP($D8487,'Informations sur les produits'!$A$3:$H$10000,8,FALSE),"0")</f>
        <v>0</v>
      </c>
      <c r="K8487" s="4"/>
      <c r="L8487" s="33" t="str">
        <f>IFERROR(VLOOKUP($J8487,'Informations sur les produits'!$A$3:$H$10000,8,FALSE),"0")</f>
        <v>0</v>
      </c>
      <c r="N8487" s="8"/>
      <c r="O8487" s="33" t="str">
        <f>IFERROR(VLOOKUP($M8487,'Informations sur les produits'!$A$3:$H$10000,8,FALSE),"0")</f>
        <v>0</v>
      </c>
      <c r="P8487" s="33">
        <f t="shared" si="528"/>
        <v>0</v>
      </c>
      <c r="Q8487" s="31" t="str">
        <f t="shared" si="529"/>
        <v/>
      </c>
      <c r="R8487" s="32" t="str">
        <f>IFERROR(VLOOKUP($D8487,'Informations sur les produits'!$A$3:$B$15000,2,FALSE),"")</f>
        <v/>
      </c>
      <c r="V8487">
        <f t="shared" si="530"/>
        <v>0</v>
      </c>
      <c r="W8487">
        <f t="shared" si="531"/>
        <v>0</v>
      </c>
    </row>
    <row r="8488" spans="5:23" x14ac:dyDescent="0.25">
      <c r="E8488" s="4"/>
      <c r="F8488" s="4"/>
      <c r="G8488" s="33" t="str">
        <f>IFERROR(VLOOKUP($D8488,'Informations sur les produits'!$A$3:$H$10000,8,FALSE),"0")</f>
        <v>0</v>
      </c>
      <c r="K8488" s="4"/>
      <c r="L8488" s="33" t="str">
        <f>IFERROR(VLOOKUP($J8488,'Informations sur les produits'!$A$3:$H$10000,8,FALSE),"0")</f>
        <v>0</v>
      </c>
      <c r="N8488" s="8"/>
      <c r="O8488" s="33" t="str">
        <f>IFERROR(VLOOKUP($M8488,'Informations sur les produits'!$A$3:$H$10000,8,FALSE),"0")</f>
        <v>0</v>
      </c>
      <c r="P8488" s="33">
        <f t="shared" si="528"/>
        <v>0</v>
      </c>
      <c r="Q8488" s="31" t="str">
        <f t="shared" si="529"/>
        <v/>
      </c>
      <c r="R8488" s="32" t="str">
        <f>IFERROR(VLOOKUP($D8488,'Informations sur les produits'!$A$3:$B$15000,2,FALSE),"")</f>
        <v/>
      </c>
      <c r="V8488">
        <f t="shared" si="530"/>
        <v>0</v>
      </c>
      <c r="W8488">
        <f t="shared" si="531"/>
        <v>0</v>
      </c>
    </row>
    <row r="8489" spans="5:23" x14ac:dyDescent="0.25">
      <c r="E8489" s="4"/>
      <c r="F8489" s="4"/>
      <c r="G8489" s="33" t="str">
        <f>IFERROR(VLOOKUP($D8489,'Informations sur les produits'!$A$3:$H$10000,8,FALSE),"0")</f>
        <v>0</v>
      </c>
      <c r="K8489" s="4"/>
      <c r="L8489" s="33" t="str">
        <f>IFERROR(VLOOKUP($J8489,'Informations sur les produits'!$A$3:$H$10000,8,FALSE),"0")</f>
        <v>0</v>
      </c>
      <c r="N8489" s="8"/>
      <c r="O8489" s="33" t="str">
        <f>IFERROR(VLOOKUP($M8489,'Informations sur les produits'!$A$3:$H$10000,8,FALSE),"0")</f>
        <v>0</v>
      </c>
      <c r="P8489" s="33">
        <f t="shared" si="528"/>
        <v>0</v>
      </c>
      <c r="Q8489" s="31" t="str">
        <f t="shared" si="529"/>
        <v/>
      </c>
      <c r="R8489" s="32" t="str">
        <f>IFERROR(VLOOKUP($D8489,'Informations sur les produits'!$A$3:$B$15000,2,FALSE),"")</f>
        <v/>
      </c>
      <c r="V8489">
        <f t="shared" si="530"/>
        <v>0</v>
      </c>
      <c r="W8489">
        <f t="shared" si="531"/>
        <v>0</v>
      </c>
    </row>
    <row r="8490" spans="5:23" x14ac:dyDescent="0.25">
      <c r="E8490" s="4"/>
      <c r="F8490" s="4"/>
      <c r="G8490" s="33" t="str">
        <f>IFERROR(VLOOKUP($D8490,'Informations sur les produits'!$A$3:$H$10000,8,FALSE),"0")</f>
        <v>0</v>
      </c>
      <c r="K8490" s="4"/>
      <c r="L8490" s="33" t="str">
        <f>IFERROR(VLOOKUP($J8490,'Informations sur les produits'!$A$3:$H$10000,8,FALSE),"0")</f>
        <v>0</v>
      </c>
      <c r="N8490" s="8"/>
      <c r="O8490" s="33" t="str">
        <f>IFERROR(VLOOKUP($M8490,'Informations sur les produits'!$A$3:$H$10000,8,FALSE),"0")</f>
        <v>0</v>
      </c>
      <c r="P8490" s="33">
        <f t="shared" si="528"/>
        <v>0</v>
      </c>
      <c r="Q8490" s="31" t="str">
        <f t="shared" si="529"/>
        <v/>
      </c>
      <c r="R8490" s="32" t="str">
        <f>IFERROR(VLOOKUP($D8490,'Informations sur les produits'!$A$3:$B$15000,2,FALSE),"")</f>
        <v/>
      </c>
      <c r="V8490">
        <f t="shared" si="530"/>
        <v>0</v>
      </c>
      <c r="W8490">
        <f t="shared" si="531"/>
        <v>0</v>
      </c>
    </row>
    <row r="8491" spans="5:23" x14ac:dyDescent="0.25">
      <c r="E8491" s="4"/>
      <c r="F8491" s="4"/>
      <c r="G8491" s="33" t="str">
        <f>IFERROR(VLOOKUP($D8491,'Informations sur les produits'!$A$3:$H$10000,8,FALSE),"0")</f>
        <v>0</v>
      </c>
      <c r="K8491" s="4"/>
      <c r="L8491" s="33" t="str">
        <f>IFERROR(VLOOKUP($J8491,'Informations sur les produits'!$A$3:$H$10000,8,FALSE),"0")</f>
        <v>0</v>
      </c>
      <c r="N8491" s="8"/>
      <c r="O8491" s="33" t="str">
        <f>IFERROR(VLOOKUP($M8491,'Informations sur les produits'!$A$3:$H$10000,8,FALSE),"0")</f>
        <v>0</v>
      </c>
      <c r="P8491" s="33">
        <f t="shared" si="528"/>
        <v>0</v>
      </c>
      <c r="Q8491" s="31" t="str">
        <f t="shared" si="529"/>
        <v/>
      </c>
      <c r="R8491" s="32" t="str">
        <f>IFERROR(VLOOKUP($D8491,'Informations sur les produits'!$A$3:$B$15000,2,FALSE),"")</f>
        <v/>
      </c>
      <c r="V8491">
        <f t="shared" si="530"/>
        <v>0</v>
      </c>
      <c r="W8491">
        <f t="shared" si="531"/>
        <v>0</v>
      </c>
    </row>
    <row r="8492" spans="5:23" x14ac:dyDescent="0.25">
      <c r="E8492" s="4"/>
      <c r="F8492" s="4"/>
      <c r="G8492" s="33" t="str">
        <f>IFERROR(VLOOKUP($D8492,'Informations sur les produits'!$A$3:$H$10000,8,FALSE),"0")</f>
        <v>0</v>
      </c>
      <c r="K8492" s="4"/>
      <c r="L8492" s="33" t="str">
        <f>IFERROR(VLOOKUP($J8492,'Informations sur les produits'!$A$3:$H$10000,8,FALSE),"0")</f>
        <v>0</v>
      </c>
      <c r="N8492" s="8"/>
      <c r="O8492" s="33" t="str">
        <f>IFERROR(VLOOKUP($M8492,'Informations sur les produits'!$A$3:$H$10000,8,FALSE),"0")</f>
        <v>0</v>
      </c>
      <c r="P8492" s="33">
        <f t="shared" si="528"/>
        <v>0</v>
      </c>
      <c r="Q8492" s="31" t="str">
        <f t="shared" si="529"/>
        <v/>
      </c>
      <c r="R8492" s="32" t="str">
        <f>IFERROR(VLOOKUP($D8492,'Informations sur les produits'!$A$3:$B$15000,2,FALSE),"")</f>
        <v/>
      </c>
      <c r="V8492">
        <f t="shared" si="530"/>
        <v>0</v>
      </c>
      <c r="W8492">
        <f t="shared" si="531"/>
        <v>0</v>
      </c>
    </row>
    <row r="8493" spans="5:23" x14ac:dyDescent="0.25">
      <c r="E8493" s="4"/>
      <c r="F8493" s="4"/>
      <c r="G8493" s="33" t="str">
        <f>IFERROR(VLOOKUP($D8493,'Informations sur les produits'!$A$3:$H$10000,8,FALSE),"0")</f>
        <v>0</v>
      </c>
      <c r="K8493" s="4"/>
      <c r="L8493" s="33" t="str">
        <f>IFERROR(VLOOKUP($J8493,'Informations sur les produits'!$A$3:$H$10000,8,FALSE),"0")</f>
        <v>0</v>
      </c>
      <c r="N8493" s="8"/>
      <c r="O8493" s="33" t="str">
        <f>IFERROR(VLOOKUP($M8493,'Informations sur les produits'!$A$3:$H$10000,8,FALSE),"0")</f>
        <v>0</v>
      </c>
      <c r="P8493" s="33">
        <f t="shared" si="528"/>
        <v>0</v>
      </c>
      <c r="Q8493" s="31" t="str">
        <f t="shared" si="529"/>
        <v/>
      </c>
      <c r="R8493" s="32" t="str">
        <f>IFERROR(VLOOKUP($D8493,'Informations sur les produits'!$A$3:$B$15000,2,FALSE),"")</f>
        <v/>
      </c>
      <c r="V8493">
        <f t="shared" si="530"/>
        <v>0</v>
      </c>
      <c r="W8493">
        <f t="shared" si="531"/>
        <v>0</v>
      </c>
    </row>
    <row r="8494" spans="5:23" x14ac:dyDescent="0.25">
      <c r="E8494" s="4"/>
      <c r="F8494" s="4"/>
      <c r="G8494" s="33" t="str">
        <f>IFERROR(VLOOKUP($D8494,'Informations sur les produits'!$A$3:$H$10000,8,FALSE),"0")</f>
        <v>0</v>
      </c>
      <c r="K8494" s="4"/>
      <c r="L8494" s="33" t="str">
        <f>IFERROR(VLOOKUP($J8494,'Informations sur les produits'!$A$3:$H$10000,8,FALSE),"0")</f>
        <v>0</v>
      </c>
      <c r="N8494" s="8"/>
      <c r="O8494" s="33" t="str">
        <f>IFERROR(VLOOKUP($M8494,'Informations sur les produits'!$A$3:$H$10000,8,FALSE),"0")</f>
        <v>0</v>
      </c>
      <c r="P8494" s="33">
        <f t="shared" si="528"/>
        <v>0</v>
      </c>
      <c r="Q8494" s="31" t="str">
        <f t="shared" si="529"/>
        <v/>
      </c>
      <c r="R8494" s="32" t="str">
        <f>IFERROR(VLOOKUP($D8494,'Informations sur les produits'!$A$3:$B$15000,2,FALSE),"")</f>
        <v/>
      </c>
      <c r="V8494">
        <f t="shared" si="530"/>
        <v>0</v>
      </c>
      <c r="W8494">
        <f t="shared" si="531"/>
        <v>0</v>
      </c>
    </row>
    <row r="8495" spans="5:23" x14ac:dyDescent="0.25">
      <c r="E8495" s="4"/>
      <c r="F8495" s="4"/>
      <c r="G8495" s="33" t="str">
        <f>IFERROR(VLOOKUP($D8495,'Informations sur les produits'!$A$3:$H$10000,8,FALSE),"0")</f>
        <v>0</v>
      </c>
      <c r="K8495" s="4"/>
      <c r="L8495" s="33" t="str">
        <f>IFERROR(VLOOKUP($J8495,'Informations sur les produits'!$A$3:$H$10000,8,FALSE),"0")</f>
        <v>0</v>
      </c>
      <c r="N8495" s="8"/>
      <c r="O8495" s="33" t="str">
        <f>IFERROR(VLOOKUP($M8495,'Informations sur les produits'!$A$3:$H$10000,8,FALSE),"0")</f>
        <v>0</v>
      </c>
      <c r="P8495" s="33">
        <f t="shared" si="528"/>
        <v>0</v>
      </c>
      <c r="Q8495" s="31" t="str">
        <f t="shared" si="529"/>
        <v/>
      </c>
      <c r="R8495" s="32" t="str">
        <f>IFERROR(VLOOKUP($D8495,'Informations sur les produits'!$A$3:$B$15000,2,FALSE),"")</f>
        <v/>
      </c>
      <c r="V8495">
        <f t="shared" si="530"/>
        <v>0</v>
      </c>
      <c r="W8495">
        <f t="shared" si="531"/>
        <v>0</v>
      </c>
    </row>
    <row r="8496" spans="5:23" x14ac:dyDescent="0.25">
      <c r="E8496" s="4"/>
      <c r="F8496" s="4"/>
      <c r="G8496" s="33" t="str">
        <f>IFERROR(VLOOKUP($D8496,'Informations sur les produits'!$A$3:$H$10000,8,FALSE),"0")</f>
        <v>0</v>
      </c>
      <c r="K8496" s="4"/>
      <c r="L8496" s="33" t="str">
        <f>IFERROR(VLOOKUP($J8496,'Informations sur les produits'!$A$3:$H$10000,8,FALSE),"0")</f>
        <v>0</v>
      </c>
      <c r="N8496" s="8"/>
      <c r="O8496" s="33" t="str">
        <f>IFERROR(VLOOKUP($M8496,'Informations sur les produits'!$A$3:$H$10000,8,FALSE),"0")</f>
        <v>0</v>
      </c>
      <c r="P8496" s="33">
        <f t="shared" si="528"/>
        <v>0</v>
      </c>
      <c r="Q8496" s="31" t="str">
        <f t="shared" si="529"/>
        <v/>
      </c>
      <c r="R8496" s="32" t="str">
        <f>IFERROR(VLOOKUP($D8496,'Informations sur les produits'!$A$3:$B$15000,2,FALSE),"")</f>
        <v/>
      </c>
      <c r="V8496">
        <f t="shared" si="530"/>
        <v>0</v>
      </c>
      <c r="W8496">
        <f t="shared" si="531"/>
        <v>0</v>
      </c>
    </row>
    <row r="8497" spans="5:23" x14ac:dyDescent="0.25">
      <c r="E8497" s="4"/>
      <c r="F8497" s="4"/>
      <c r="G8497" s="33" t="str">
        <f>IFERROR(VLOOKUP($D8497,'Informations sur les produits'!$A$3:$H$10000,8,FALSE),"0")</f>
        <v>0</v>
      </c>
      <c r="K8497" s="4"/>
      <c r="L8497" s="33" t="str">
        <f>IFERROR(VLOOKUP($J8497,'Informations sur les produits'!$A$3:$H$10000,8,FALSE),"0")</f>
        <v>0</v>
      </c>
      <c r="N8497" s="8"/>
      <c r="O8497" s="33" t="str">
        <f>IFERROR(VLOOKUP($M8497,'Informations sur les produits'!$A$3:$H$10000,8,FALSE),"0")</f>
        <v>0</v>
      </c>
      <c r="P8497" s="33">
        <f t="shared" si="528"/>
        <v>0</v>
      </c>
      <c r="Q8497" s="31" t="str">
        <f t="shared" si="529"/>
        <v/>
      </c>
      <c r="R8497" s="32" t="str">
        <f>IFERROR(VLOOKUP($D8497,'Informations sur les produits'!$A$3:$B$15000,2,FALSE),"")</f>
        <v/>
      </c>
      <c r="V8497">
        <f t="shared" si="530"/>
        <v>0</v>
      </c>
      <c r="W8497">
        <f t="shared" si="531"/>
        <v>0</v>
      </c>
    </row>
    <row r="8498" spans="5:23" x14ac:dyDescent="0.25">
      <c r="E8498" s="4"/>
      <c r="F8498" s="4"/>
      <c r="G8498" s="33" t="str">
        <f>IFERROR(VLOOKUP($D8498,'Informations sur les produits'!$A$3:$H$10000,8,FALSE),"0")</f>
        <v>0</v>
      </c>
      <c r="K8498" s="4"/>
      <c r="L8498" s="33" t="str">
        <f>IFERROR(VLOOKUP($J8498,'Informations sur les produits'!$A$3:$H$10000,8,FALSE),"0")</f>
        <v>0</v>
      </c>
      <c r="N8498" s="8"/>
      <c r="O8498" s="33" t="str">
        <f>IFERROR(VLOOKUP($M8498,'Informations sur les produits'!$A$3:$H$10000,8,FALSE),"0")</f>
        <v>0</v>
      </c>
      <c r="P8498" s="33">
        <f t="shared" si="528"/>
        <v>0</v>
      </c>
      <c r="Q8498" s="31" t="str">
        <f t="shared" si="529"/>
        <v/>
      </c>
      <c r="R8498" s="32" t="str">
        <f>IFERROR(VLOOKUP($D8498,'Informations sur les produits'!$A$3:$B$15000,2,FALSE),"")</f>
        <v/>
      </c>
      <c r="V8498">
        <f t="shared" si="530"/>
        <v>0</v>
      </c>
      <c r="W8498">
        <f t="shared" si="531"/>
        <v>0</v>
      </c>
    </row>
    <row r="8499" spans="5:23" x14ac:dyDescent="0.25">
      <c r="E8499" s="4"/>
      <c r="F8499" s="4"/>
      <c r="G8499" s="33" t="str">
        <f>IFERROR(VLOOKUP($D8499,'Informations sur les produits'!$A$3:$H$10000,8,FALSE),"0")</f>
        <v>0</v>
      </c>
      <c r="K8499" s="4"/>
      <c r="L8499" s="33" t="str">
        <f>IFERROR(VLOOKUP($J8499,'Informations sur les produits'!$A$3:$H$10000,8,FALSE),"0")</f>
        <v>0</v>
      </c>
      <c r="N8499" s="8"/>
      <c r="O8499" s="33" t="str">
        <f>IFERROR(VLOOKUP($M8499,'Informations sur les produits'!$A$3:$H$10000,8,FALSE),"0")</f>
        <v>0</v>
      </c>
      <c r="P8499" s="33">
        <f t="shared" si="528"/>
        <v>0</v>
      </c>
      <c r="Q8499" s="31" t="str">
        <f t="shared" si="529"/>
        <v/>
      </c>
      <c r="R8499" s="32" t="str">
        <f>IFERROR(VLOOKUP($D8499,'Informations sur les produits'!$A$3:$B$15000,2,FALSE),"")</f>
        <v/>
      </c>
      <c r="V8499">
        <f t="shared" si="530"/>
        <v>0</v>
      </c>
      <c r="W8499">
        <f t="shared" si="531"/>
        <v>0</v>
      </c>
    </row>
    <row r="8500" spans="5:23" x14ac:dyDescent="0.25">
      <c r="E8500" s="4"/>
      <c r="F8500" s="4"/>
      <c r="G8500" s="33" t="str">
        <f>IFERROR(VLOOKUP($D8500,'Informations sur les produits'!$A$3:$H$10000,8,FALSE),"0")</f>
        <v>0</v>
      </c>
      <c r="K8500" s="4"/>
      <c r="L8500" s="33" t="str">
        <f>IFERROR(VLOOKUP($J8500,'Informations sur les produits'!$A$3:$H$10000,8,FALSE),"0")</f>
        <v>0</v>
      </c>
      <c r="N8500" s="8"/>
      <c r="O8500" s="33" t="str">
        <f>IFERROR(VLOOKUP($M8500,'Informations sur les produits'!$A$3:$H$10000,8,FALSE),"0")</f>
        <v>0</v>
      </c>
      <c r="P8500" s="33">
        <f t="shared" si="528"/>
        <v>0</v>
      </c>
      <c r="Q8500" s="31" t="str">
        <f t="shared" si="529"/>
        <v/>
      </c>
      <c r="R8500" s="32" t="str">
        <f>IFERROR(VLOOKUP($D8500,'Informations sur les produits'!$A$3:$B$15000,2,FALSE),"")</f>
        <v/>
      </c>
      <c r="V8500">
        <f t="shared" si="530"/>
        <v>0</v>
      </c>
      <c r="W8500">
        <f t="shared" si="531"/>
        <v>0</v>
      </c>
    </row>
    <row r="8501" spans="5:23" x14ac:dyDescent="0.25">
      <c r="E8501" s="4"/>
      <c r="F8501" s="4"/>
      <c r="G8501" s="33" t="str">
        <f>IFERROR(VLOOKUP($D8501,'Informations sur les produits'!$A$3:$H$10000,8,FALSE),"0")</f>
        <v>0</v>
      </c>
      <c r="K8501" s="4"/>
      <c r="L8501" s="33" t="str">
        <f>IFERROR(VLOOKUP($J8501,'Informations sur les produits'!$A$3:$H$10000,8,FALSE),"0")</f>
        <v>0</v>
      </c>
      <c r="N8501" s="8"/>
      <c r="O8501" s="33" t="str">
        <f>IFERROR(VLOOKUP($M8501,'Informations sur les produits'!$A$3:$H$10000,8,FALSE),"0")</f>
        <v>0</v>
      </c>
      <c r="P8501" s="33">
        <f t="shared" si="528"/>
        <v>0</v>
      </c>
      <c r="Q8501" s="31" t="str">
        <f t="shared" si="529"/>
        <v/>
      </c>
      <c r="R8501" s="32" t="str">
        <f>IFERROR(VLOOKUP($D8501,'Informations sur les produits'!$A$3:$B$15000,2,FALSE),"")</f>
        <v/>
      </c>
      <c r="V8501">
        <f t="shared" si="530"/>
        <v>0</v>
      </c>
      <c r="W8501">
        <f t="shared" si="531"/>
        <v>0</v>
      </c>
    </row>
    <row r="8502" spans="5:23" x14ac:dyDescent="0.25">
      <c r="E8502" s="4"/>
      <c r="F8502" s="4"/>
      <c r="G8502" s="33" t="str">
        <f>IFERROR(VLOOKUP($D8502,'Informations sur les produits'!$A$3:$H$10000,8,FALSE),"0")</f>
        <v>0</v>
      </c>
      <c r="K8502" s="4"/>
      <c r="L8502" s="33" t="str">
        <f>IFERROR(VLOOKUP($J8502,'Informations sur les produits'!$A$3:$H$10000,8,FALSE),"0")</f>
        <v>0</v>
      </c>
      <c r="N8502" s="8"/>
      <c r="O8502" s="33" t="str">
        <f>IFERROR(VLOOKUP($M8502,'Informations sur les produits'!$A$3:$H$10000,8,FALSE),"0")</f>
        <v>0</v>
      </c>
      <c r="P8502" s="33">
        <f t="shared" si="528"/>
        <v>0</v>
      </c>
      <c r="Q8502" s="31" t="str">
        <f t="shared" si="529"/>
        <v/>
      </c>
      <c r="R8502" s="32" t="str">
        <f>IFERROR(VLOOKUP($D8502,'Informations sur les produits'!$A$3:$B$15000,2,FALSE),"")</f>
        <v/>
      </c>
      <c r="V8502">
        <f t="shared" si="530"/>
        <v>0</v>
      </c>
      <c r="W8502">
        <f t="shared" si="531"/>
        <v>0</v>
      </c>
    </row>
    <row r="8503" spans="5:23" x14ac:dyDescent="0.25">
      <c r="E8503" s="4"/>
      <c r="F8503" s="4"/>
      <c r="G8503" s="33" t="str">
        <f>IFERROR(VLOOKUP($D8503,'Informations sur les produits'!$A$3:$H$10000,8,FALSE),"0")</f>
        <v>0</v>
      </c>
      <c r="K8503" s="4"/>
      <c r="L8503" s="33" t="str">
        <f>IFERROR(VLOOKUP($J8503,'Informations sur les produits'!$A$3:$H$10000,8,FALSE),"0")</f>
        <v>0</v>
      </c>
      <c r="N8503" s="8"/>
      <c r="O8503" s="33" t="str">
        <f>IFERROR(VLOOKUP($M8503,'Informations sur les produits'!$A$3:$H$10000,8,FALSE),"0")</f>
        <v>0</v>
      </c>
      <c r="P8503" s="33">
        <f t="shared" si="528"/>
        <v>0</v>
      </c>
      <c r="Q8503" s="31" t="str">
        <f t="shared" si="529"/>
        <v/>
      </c>
      <c r="R8503" s="32" t="str">
        <f>IFERROR(VLOOKUP($D8503,'Informations sur les produits'!$A$3:$B$15000,2,FALSE),"")</f>
        <v/>
      </c>
      <c r="V8503">
        <f t="shared" si="530"/>
        <v>0</v>
      </c>
      <c r="W8503">
        <f t="shared" si="531"/>
        <v>0</v>
      </c>
    </row>
    <row r="8504" spans="5:23" x14ac:dyDescent="0.25">
      <c r="E8504" s="4"/>
      <c r="F8504" s="4"/>
      <c r="G8504" s="33" t="str">
        <f>IFERROR(VLOOKUP($D8504,'Informations sur les produits'!$A$3:$H$10000,8,FALSE),"0")</f>
        <v>0</v>
      </c>
      <c r="K8504" s="4"/>
      <c r="L8504" s="33" t="str">
        <f>IFERROR(VLOOKUP($J8504,'Informations sur les produits'!$A$3:$H$10000,8,FALSE),"0")</f>
        <v>0</v>
      </c>
      <c r="N8504" s="8"/>
      <c r="O8504" s="33" t="str">
        <f>IFERROR(VLOOKUP($M8504,'Informations sur les produits'!$A$3:$H$10000,8,FALSE),"0")</f>
        <v>0</v>
      </c>
      <c r="P8504" s="33">
        <f t="shared" si="528"/>
        <v>0</v>
      </c>
      <c r="Q8504" s="31" t="str">
        <f t="shared" si="529"/>
        <v/>
      </c>
      <c r="R8504" s="32" t="str">
        <f>IFERROR(VLOOKUP($D8504,'Informations sur les produits'!$A$3:$B$15000,2,FALSE),"")</f>
        <v/>
      </c>
      <c r="V8504">
        <f t="shared" si="530"/>
        <v>0</v>
      </c>
      <c r="W8504">
        <f t="shared" si="531"/>
        <v>0</v>
      </c>
    </row>
    <row r="8505" spans="5:23" x14ac:dyDescent="0.25">
      <c r="E8505" s="4"/>
      <c r="F8505" s="4"/>
      <c r="G8505" s="33" t="str">
        <f>IFERROR(VLOOKUP($D8505,'Informations sur les produits'!$A$3:$H$10000,8,FALSE),"0")</f>
        <v>0</v>
      </c>
      <c r="K8505" s="4"/>
      <c r="L8505" s="33" t="str">
        <f>IFERROR(VLOOKUP($J8505,'Informations sur les produits'!$A$3:$H$10000,8,FALSE),"0")</f>
        <v>0</v>
      </c>
      <c r="N8505" s="8"/>
      <c r="O8505" s="33" t="str">
        <f>IFERROR(VLOOKUP($M8505,'Informations sur les produits'!$A$3:$H$10000,8,FALSE),"0")</f>
        <v>0</v>
      </c>
      <c r="P8505" s="33">
        <f t="shared" si="528"/>
        <v>0</v>
      </c>
      <c r="Q8505" s="31" t="str">
        <f t="shared" si="529"/>
        <v/>
      </c>
      <c r="R8505" s="32" t="str">
        <f>IFERROR(VLOOKUP($D8505,'Informations sur les produits'!$A$3:$B$15000,2,FALSE),"")</f>
        <v/>
      </c>
      <c r="V8505">
        <f t="shared" si="530"/>
        <v>0</v>
      </c>
      <c r="W8505">
        <f t="shared" si="531"/>
        <v>0</v>
      </c>
    </row>
    <row r="8506" spans="5:23" x14ac:dyDescent="0.25">
      <c r="E8506" s="4"/>
      <c r="F8506" s="4"/>
      <c r="G8506" s="33" t="str">
        <f>IFERROR(VLOOKUP($D8506,'Informations sur les produits'!$A$3:$H$10000,8,FALSE),"0")</f>
        <v>0</v>
      </c>
      <c r="K8506" s="4"/>
      <c r="L8506" s="33" t="str">
        <f>IFERROR(VLOOKUP($J8506,'Informations sur les produits'!$A$3:$H$10000,8,FALSE),"0")</f>
        <v>0</v>
      </c>
      <c r="N8506" s="8"/>
      <c r="O8506" s="33" t="str">
        <f>IFERROR(VLOOKUP($M8506,'Informations sur les produits'!$A$3:$H$10000,8,FALSE),"0")</f>
        <v>0</v>
      </c>
      <c r="P8506" s="33">
        <f t="shared" si="528"/>
        <v>0</v>
      </c>
      <c r="Q8506" s="31" t="str">
        <f t="shared" si="529"/>
        <v/>
      </c>
      <c r="R8506" s="32" t="str">
        <f>IFERROR(VLOOKUP($D8506,'Informations sur les produits'!$A$3:$B$15000,2,FALSE),"")</f>
        <v/>
      </c>
      <c r="V8506">
        <f t="shared" si="530"/>
        <v>0</v>
      </c>
      <c r="W8506">
        <f t="shared" si="531"/>
        <v>0</v>
      </c>
    </row>
    <row r="8507" spans="5:23" x14ac:dyDescent="0.25">
      <c r="E8507" s="4"/>
      <c r="F8507" s="4"/>
      <c r="G8507" s="33" t="str">
        <f>IFERROR(VLOOKUP($D8507,'Informations sur les produits'!$A$3:$H$10000,8,FALSE),"0")</f>
        <v>0</v>
      </c>
      <c r="K8507" s="4"/>
      <c r="L8507" s="33" t="str">
        <f>IFERROR(VLOOKUP($J8507,'Informations sur les produits'!$A$3:$H$10000,8,FALSE),"0")</f>
        <v>0</v>
      </c>
      <c r="N8507" s="8"/>
      <c r="O8507" s="33" t="str">
        <f>IFERROR(VLOOKUP($M8507,'Informations sur les produits'!$A$3:$H$10000,8,FALSE),"0")</f>
        <v>0</v>
      </c>
      <c r="P8507" s="33">
        <f t="shared" si="528"/>
        <v>0</v>
      </c>
      <c r="Q8507" s="31" t="str">
        <f t="shared" si="529"/>
        <v/>
      </c>
      <c r="R8507" s="32" t="str">
        <f>IFERROR(VLOOKUP($D8507,'Informations sur les produits'!$A$3:$B$15000,2,FALSE),"")</f>
        <v/>
      </c>
      <c r="V8507">
        <f t="shared" si="530"/>
        <v>0</v>
      </c>
      <c r="W8507">
        <f t="shared" si="531"/>
        <v>0</v>
      </c>
    </row>
    <row r="8508" spans="5:23" x14ac:dyDescent="0.25">
      <c r="E8508" s="4"/>
      <c r="F8508" s="4"/>
      <c r="G8508" s="33" t="str">
        <f>IFERROR(VLOOKUP($D8508,'Informations sur les produits'!$A$3:$H$10000,8,FALSE),"0")</f>
        <v>0</v>
      </c>
      <c r="K8508" s="4"/>
      <c r="L8508" s="33" t="str">
        <f>IFERROR(VLOOKUP($J8508,'Informations sur les produits'!$A$3:$H$10000,8,FALSE),"0")</f>
        <v>0</v>
      </c>
      <c r="N8508" s="8"/>
      <c r="O8508" s="33" t="str">
        <f>IFERROR(VLOOKUP($M8508,'Informations sur les produits'!$A$3:$H$10000,8,FALSE),"0")</f>
        <v>0</v>
      </c>
      <c r="P8508" s="33">
        <f t="shared" si="528"/>
        <v>0</v>
      </c>
      <c r="Q8508" s="31" t="str">
        <f t="shared" si="529"/>
        <v/>
      </c>
      <c r="R8508" s="32" t="str">
        <f>IFERROR(VLOOKUP($D8508,'Informations sur les produits'!$A$3:$B$15000,2,FALSE),"")</f>
        <v/>
      </c>
      <c r="V8508">
        <f t="shared" si="530"/>
        <v>0</v>
      </c>
      <c r="W8508">
        <f t="shared" si="531"/>
        <v>0</v>
      </c>
    </row>
    <row r="8509" spans="5:23" x14ac:dyDescent="0.25">
      <c r="E8509" s="4"/>
      <c r="F8509" s="4"/>
      <c r="G8509" s="33" t="str">
        <f>IFERROR(VLOOKUP($D8509,'Informations sur les produits'!$A$3:$H$10000,8,FALSE),"0")</f>
        <v>0</v>
      </c>
      <c r="K8509" s="4"/>
      <c r="L8509" s="33" t="str">
        <f>IFERROR(VLOOKUP($J8509,'Informations sur les produits'!$A$3:$H$10000,8,FALSE),"0")</f>
        <v>0</v>
      </c>
      <c r="N8509" s="8"/>
      <c r="O8509" s="33" t="str">
        <f>IFERROR(VLOOKUP($M8509,'Informations sur les produits'!$A$3:$H$10000,8,FALSE),"0")</f>
        <v>0</v>
      </c>
      <c r="P8509" s="33">
        <f t="shared" si="528"/>
        <v>0</v>
      </c>
      <c r="Q8509" s="31" t="str">
        <f t="shared" si="529"/>
        <v/>
      </c>
      <c r="R8509" s="32" t="str">
        <f>IFERROR(VLOOKUP($D8509,'Informations sur les produits'!$A$3:$B$15000,2,FALSE),"")</f>
        <v/>
      </c>
      <c r="V8509">
        <f t="shared" si="530"/>
        <v>0</v>
      </c>
      <c r="W8509">
        <f t="shared" si="531"/>
        <v>0</v>
      </c>
    </row>
    <row r="8510" spans="5:23" x14ac:dyDescent="0.25">
      <c r="E8510" s="4"/>
      <c r="F8510" s="4"/>
      <c r="G8510" s="33" t="str">
        <f>IFERROR(VLOOKUP($D8510,'Informations sur les produits'!$A$3:$H$10000,8,FALSE),"0")</f>
        <v>0</v>
      </c>
      <c r="K8510" s="4"/>
      <c r="L8510" s="33" t="str">
        <f>IFERROR(VLOOKUP($J8510,'Informations sur les produits'!$A$3:$H$10000,8,FALSE),"0")</f>
        <v>0</v>
      </c>
      <c r="N8510" s="8"/>
      <c r="O8510" s="33" t="str">
        <f>IFERROR(VLOOKUP($M8510,'Informations sur les produits'!$A$3:$H$10000,8,FALSE),"0")</f>
        <v>0</v>
      </c>
      <c r="P8510" s="33">
        <f t="shared" si="528"/>
        <v>0</v>
      </c>
      <c r="Q8510" s="31" t="str">
        <f t="shared" si="529"/>
        <v/>
      </c>
      <c r="R8510" s="32" t="str">
        <f>IFERROR(VLOOKUP($D8510,'Informations sur les produits'!$A$3:$B$15000,2,FALSE),"")</f>
        <v/>
      </c>
      <c r="V8510">
        <f t="shared" si="530"/>
        <v>0</v>
      </c>
      <c r="W8510">
        <f t="shared" si="531"/>
        <v>0</v>
      </c>
    </row>
    <row r="8511" spans="5:23" x14ac:dyDescent="0.25">
      <c r="E8511" s="4"/>
      <c r="F8511" s="4"/>
      <c r="G8511" s="33" t="str">
        <f>IFERROR(VLOOKUP($D8511,'Informations sur les produits'!$A$3:$H$10000,8,FALSE),"0")</f>
        <v>0</v>
      </c>
      <c r="K8511" s="4"/>
      <c r="L8511" s="33" t="str">
        <f>IFERROR(VLOOKUP($J8511,'Informations sur les produits'!$A$3:$H$10000,8,FALSE),"0")</f>
        <v>0</v>
      </c>
      <c r="N8511" s="8"/>
      <c r="O8511" s="33" t="str">
        <f>IFERROR(VLOOKUP($M8511,'Informations sur les produits'!$A$3:$H$10000,8,FALSE),"0")</f>
        <v>0</v>
      </c>
      <c r="P8511" s="33">
        <f t="shared" si="528"/>
        <v>0</v>
      </c>
      <c r="Q8511" s="31" t="str">
        <f t="shared" si="529"/>
        <v/>
      </c>
      <c r="R8511" s="32" t="str">
        <f>IFERROR(VLOOKUP($D8511,'Informations sur les produits'!$A$3:$B$15000,2,FALSE),"")</f>
        <v/>
      </c>
      <c r="V8511">
        <f t="shared" si="530"/>
        <v>0</v>
      </c>
      <c r="W8511">
        <f t="shared" si="531"/>
        <v>0</v>
      </c>
    </row>
    <row r="8512" spans="5:23" x14ac:dyDescent="0.25">
      <c r="E8512" s="4"/>
      <c r="F8512" s="4"/>
      <c r="G8512" s="33" t="str">
        <f>IFERROR(VLOOKUP($D8512,'Informations sur les produits'!$A$3:$H$10000,8,FALSE),"0")</f>
        <v>0</v>
      </c>
      <c r="K8512" s="4"/>
      <c r="L8512" s="33" t="str">
        <f>IFERROR(VLOOKUP($J8512,'Informations sur les produits'!$A$3:$H$10000,8,FALSE),"0")</f>
        <v>0</v>
      </c>
      <c r="N8512" s="8"/>
      <c r="O8512" s="33" t="str">
        <f>IFERROR(VLOOKUP($M8512,'Informations sur les produits'!$A$3:$H$10000,8,FALSE),"0")</f>
        <v>0</v>
      </c>
      <c r="P8512" s="33">
        <f t="shared" si="528"/>
        <v>0</v>
      </c>
      <c r="Q8512" s="31" t="str">
        <f t="shared" si="529"/>
        <v/>
      </c>
      <c r="R8512" s="32" t="str">
        <f>IFERROR(VLOOKUP($D8512,'Informations sur les produits'!$A$3:$B$15000,2,FALSE),"")</f>
        <v/>
      </c>
      <c r="V8512">
        <f t="shared" si="530"/>
        <v>0</v>
      </c>
      <c r="W8512">
        <f t="shared" si="531"/>
        <v>0</v>
      </c>
    </row>
    <row r="8513" spans="5:23" x14ac:dyDescent="0.25">
      <c r="E8513" s="4"/>
      <c r="F8513" s="4"/>
      <c r="G8513" s="33" t="str">
        <f>IFERROR(VLOOKUP($D8513,'Informations sur les produits'!$A$3:$H$10000,8,FALSE),"0")</f>
        <v>0</v>
      </c>
      <c r="K8513" s="4"/>
      <c r="L8513" s="33" t="str">
        <f>IFERROR(VLOOKUP($J8513,'Informations sur les produits'!$A$3:$H$10000,8,FALSE),"0")</f>
        <v>0</v>
      </c>
      <c r="N8513" s="8"/>
      <c r="O8513" s="33" t="str">
        <f>IFERROR(VLOOKUP($M8513,'Informations sur les produits'!$A$3:$H$10000,8,FALSE),"0")</f>
        <v>0</v>
      </c>
      <c r="P8513" s="33">
        <f t="shared" si="528"/>
        <v>0</v>
      </c>
      <c r="Q8513" s="31" t="str">
        <f t="shared" si="529"/>
        <v/>
      </c>
      <c r="R8513" s="32" t="str">
        <f>IFERROR(VLOOKUP($D8513,'Informations sur les produits'!$A$3:$B$15000,2,FALSE),"")</f>
        <v/>
      </c>
      <c r="V8513">
        <f t="shared" si="530"/>
        <v>0</v>
      </c>
      <c r="W8513">
        <f t="shared" si="531"/>
        <v>0</v>
      </c>
    </row>
    <row r="8514" spans="5:23" x14ac:dyDescent="0.25">
      <c r="E8514" s="4"/>
      <c r="F8514" s="4"/>
      <c r="G8514" s="33" t="str">
        <f>IFERROR(VLOOKUP($D8514,'Informations sur les produits'!$A$3:$H$10000,8,FALSE),"0")</f>
        <v>0</v>
      </c>
      <c r="K8514" s="4"/>
      <c r="L8514" s="33" t="str">
        <f>IFERROR(VLOOKUP($J8514,'Informations sur les produits'!$A$3:$H$10000,8,FALSE),"0")</f>
        <v>0</v>
      </c>
      <c r="N8514" s="8"/>
      <c r="O8514" s="33" t="str">
        <f>IFERROR(VLOOKUP($M8514,'Informations sur les produits'!$A$3:$H$10000,8,FALSE),"0")</f>
        <v>0</v>
      </c>
      <c r="P8514" s="33">
        <f t="shared" si="528"/>
        <v>0</v>
      </c>
      <c r="Q8514" s="31" t="str">
        <f t="shared" si="529"/>
        <v/>
      </c>
      <c r="R8514" s="32" t="str">
        <f>IFERROR(VLOOKUP($D8514,'Informations sur les produits'!$A$3:$B$15000,2,FALSE),"")</f>
        <v/>
      </c>
      <c r="V8514">
        <f t="shared" si="530"/>
        <v>0</v>
      </c>
      <c r="W8514">
        <f t="shared" si="531"/>
        <v>0</v>
      </c>
    </row>
    <row r="8515" spans="5:23" x14ac:dyDescent="0.25">
      <c r="E8515" s="4"/>
      <c r="F8515" s="4"/>
      <c r="G8515" s="33" t="str">
        <f>IFERROR(VLOOKUP($D8515,'Informations sur les produits'!$A$3:$H$10000,8,FALSE),"0")</f>
        <v>0</v>
      </c>
      <c r="K8515" s="4"/>
      <c r="L8515" s="33" t="str">
        <f>IFERROR(VLOOKUP($J8515,'Informations sur les produits'!$A$3:$H$10000,8,FALSE),"0")</f>
        <v>0</v>
      </c>
      <c r="N8515" s="8"/>
      <c r="O8515" s="33" t="str">
        <f>IFERROR(VLOOKUP($M8515,'Informations sur les produits'!$A$3:$H$10000,8,FALSE),"0")</f>
        <v>0</v>
      </c>
      <c r="P8515" s="33">
        <f t="shared" si="528"/>
        <v>0</v>
      </c>
      <c r="Q8515" s="31" t="str">
        <f t="shared" si="529"/>
        <v/>
      </c>
      <c r="R8515" s="32" t="str">
        <f>IFERROR(VLOOKUP($D8515,'Informations sur les produits'!$A$3:$B$15000,2,FALSE),"")</f>
        <v/>
      </c>
      <c r="V8515">
        <f t="shared" si="530"/>
        <v>0</v>
      </c>
      <c r="W8515">
        <f t="shared" si="531"/>
        <v>0</v>
      </c>
    </row>
    <row r="8516" spans="5:23" x14ac:dyDescent="0.25">
      <c r="E8516" s="4"/>
      <c r="F8516" s="4"/>
      <c r="G8516" s="33" t="str">
        <f>IFERROR(VLOOKUP($D8516,'Informations sur les produits'!$A$3:$H$10000,8,FALSE),"0")</f>
        <v>0</v>
      </c>
      <c r="K8516" s="4"/>
      <c r="L8516" s="33" t="str">
        <f>IFERROR(VLOOKUP($J8516,'Informations sur les produits'!$A$3:$H$10000,8,FALSE),"0")</f>
        <v>0</v>
      </c>
      <c r="N8516" s="8"/>
      <c r="O8516" s="33" t="str">
        <f>IFERROR(VLOOKUP($M8516,'Informations sur les produits'!$A$3:$H$10000,8,FALSE),"0")</f>
        <v>0</v>
      </c>
      <c r="P8516" s="33">
        <f t="shared" ref="P8516:P8579" si="532">IFERROR((($E8516-$F8516)*$G8516+$K8516*$L8516+$N8516*$O8516),"")</f>
        <v>0</v>
      </c>
      <c r="Q8516" s="31" t="str">
        <f t="shared" ref="Q8516:Q8579" si="533">IFERROR((((($E8516-$F8516)*$G8516+$K8516*$L8516+$N8516*$O8516)*1000)/(($E8516-$F8516)+$K8516+$N8516)),"")</f>
        <v/>
      </c>
      <c r="R8516" s="32" t="str">
        <f>IFERROR(VLOOKUP($D8516,'Informations sur les produits'!$A$3:$B$15000,2,FALSE),"")</f>
        <v/>
      </c>
      <c r="V8516">
        <f t="shared" ref="V8516:V8579" si="534">IFERROR(P8516*1000,"")</f>
        <v>0</v>
      </c>
      <c r="W8516">
        <f t="shared" ref="W8516:W8579" si="535">IFERROR(($E8516-$F8516)+$K8516+$N8516,"")</f>
        <v>0</v>
      </c>
    </row>
    <row r="8517" spans="5:23" x14ac:dyDescent="0.25">
      <c r="E8517" s="4"/>
      <c r="F8517" s="4"/>
      <c r="G8517" s="33" t="str">
        <f>IFERROR(VLOOKUP($D8517,'Informations sur les produits'!$A$3:$H$10000,8,FALSE),"0")</f>
        <v>0</v>
      </c>
      <c r="K8517" s="4"/>
      <c r="L8517" s="33" t="str">
        <f>IFERROR(VLOOKUP($J8517,'Informations sur les produits'!$A$3:$H$10000,8,FALSE),"0")</f>
        <v>0</v>
      </c>
      <c r="N8517" s="8"/>
      <c r="O8517" s="33" t="str">
        <f>IFERROR(VLOOKUP($M8517,'Informations sur les produits'!$A$3:$H$10000,8,FALSE),"0")</f>
        <v>0</v>
      </c>
      <c r="P8517" s="33">
        <f t="shared" si="532"/>
        <v>0</v>
      </c>
      <c r="Q8517" s="31" t="str">
        <f t="shared" si="533"/>
        <v/>
      </c>
      <c r="R8517" s="32" t="str">
        <f>IFERROR(VLOOKUP($D8517,'Informations sur les produits'!$A$3:$B$15000,2,FALSE),"")</f>
        <v/>
      </c>
      <c r="V8517">
        <f t="shared" si="534"/>
        <v>0</v>
      </c>
      <c r="W8517">
        <f t="shared" si="535"/>
        <v>0</v>
      </c>
    </row>
    <row r="8518" spans="5:23" x14ac:dyDescent="0.25">
      <c r="E8518" s="4"/>
      <c r="F8518" s="4"/>
      <c r="G8518" s="33" t="str">
        <f>IFERROR(VLOOKUP($D8518,'Informations sur les produits'!$A$3:$H$10000,8,FALSE),"0")</f>
        <v>0</v>
      </c>
      <c r="K8518" s="4"/>
      <c r="L8518" s="33" t="str">
        <f>IFERROR(VLOOKUP($J8518,'Informations sur les produits'!$A$3:$H$10000,8,FALSE),"0")</f>
        <v>0</v>
      </c>
      <c r="N8518" s="8"/>
      <c r="O8518" s="33" t="str">
        <f>IFERROR(VLOOKUP($M8518,'Informations sur les produits'!$A$3:$H$10000,8,FALSE),"0")</f>
        <v>0</v>
      </c>
      <c r="P8518" s="33">
        <f t="shared" si="532"/>
        <v>0</v>
      </c>
      <c r="Q8518" s="31" t="str">
        <f t="shared" si="533"/>
        <v/>
      </c>
      <c r="R8518" s="32" t="str">
        <f>IFERROR(VLOOKUP($D8518,'Informations sur les produits'!$A$3:$B$15000,2,FALSE),"")</f>
        <v/>
      </c>
      <c r="V8518">
        <f t="shared" si="534"/>
        <v>0</v>
      </c>
      <c r="W8518">
        <f t="shared" si="535"/>
        <v>0</v>
      </c>
    </row>
    <row r="8519" spans="5:23" x14ac:dyDescent="0.25">
      <c r="E8519" s="4"/>
      <c r="F8519" s="4"/>
      <c r="G8519" s="33" t="str">
        <f>IFERROR(VLOOKUP($D8519,'Informations sur les produits'!$A$3:$H$10000,8,FALSE),"0")</f>
        <v>0</v>
      </c>
      <c r="K8519" s="4"/>
      <c r="L8519" s="33" t="str">
        <f>IFERROR(VLOOKUP($J8519,'Informations sur les produits'!$A$3:$H$10000,8,FALSE),"0")</f>
        <v>0</v>
      </c>
      <c r="N8519" s="8"/>
      <c r="O8519" s="33" t="str">
        <f>IFERROR(VLOOKUP($M8519,'Informations sur les produits'!$A$3:$H$10000,8,FALSE),"0")</f>
        <v>0</v>
      </c>
      <c r="P8519" s="33">
        <f t="shared" si="532"/>
        <v>0</v>
      </c>
      <c r="Q8519" s="31" t="str">
        <f t="shared" si="533"/>
        <v/>
      </c>
      <c r="R8519" s="32" t="str">
        <f>IFERROR(VLOOKUP($D8519,'Informations sur les produits'!$A$3:$B$15000,2,FALSE),"")</f>
        <v/>
      </c>
      <c r="V8519">
        <f t="shared" si="534"/>
        <v>0</v>
      </c>
      <c r="W8519">
        <f t="shared" si="535"/>
        <v>0</v>
      </c>
    </row>
    <row r="8520" spans="5:23" x14ac:dyDescent="0.25">
      <c r="E8520" s="4"/>
      <c r="F8520" s="4"/>
      <c r="G8520" s="33" t="str">
        <f>IFERROR(VLOOKUP($D8520,'Informations sur les produits'!$A$3:$H$10000,8,FALSE),"0")</f>
        <v>0</v>
      </c>
      <c r="K8520" s="4"/>
      <c r="L8520" s="33" t="str">
        <f>IFERROR(VLOOKUP($J8520,'Informations sur les produits'!$A$3:$H$10000,8,FALSE),"0")</f>
        <v>0</v>
      </c>
      <c r="N8520" s="8"/>
      <c r="O8520" s="33" t="str">
        <f>IFERROR(VLOOKUP($M8520,'Informations sur les produits'!$A$3:$H$10000,8,FALSE),"0")</f>
        <v>0</v>
      </c>
      <c r="P8520" s="33">
        <f t="shared" si="532"/>
        <v>0</v>
      </c>
      <c r="Q8520" s="31" t="str">
        <f t="shared" si="533"/>
        <v/>
      </c>
      <c r="R8520" s="32" t="str">
        <f>IFERROR(VLOOKUP($D8520,'Informations sur les produits'!$A$3:$B$15000,2,FALSE),"")</f>
        <v/>
      </c>
      <c r="V8520">
        <f t="shared" si="534"/>
        <v>0</v>
      </c>
      <c r="W8520">
        <f t="shared" si="535"/>
        <v>0</v>
      </c>
    </row>
    <row r="8521" spans="5:23" x14ac:dyDescent="0.25">
      <c r="E8521" s="4"/>
      <c r="F8521" s="4"/>
      <c r="G8521" s="33" t="str">
        <f>IFERROR(VLOOKUP($D8521,'Informations sur les produits'!$A$3:$H$10000,8,FALSE),"0")</f>
        <v>0</v>
      </c>
      <c r="K8521" s="4"/>
      <c r="L8521" s="33" t="str">
        <f>IFERROR(VLOOKUP($J8521,'Informations sur les produits'!$A$3:$H$10000,8,FALSE),"0")</f>
        <v>0</v>
      </c>
      <c r="N8521" s="8"/>
      <c r="O8521" s="33" t="str">
        <f>IFERROR(VLOOKUP($M8521,'Informations sur les produits'!$A$3:$H$10000,8,FALSE),"0")</f>
        <v>0</v>
      </c>
      <c r="P8521" s="33">
        <f t="shared" si="532"/>
        <v>0</v>
      </c>
      <c r="Q8521" s="31" t="str">
        <f t="shared" si="533"/>
        <v/>
      </c>
      <c r="R8521" s="32" t="str">
        <f>IFERROR(VLOOKUP($D8521,'Informations sur les produits'!$A$3:$B$15000,2,FALSE),"")</f>
        <v/>
      </c>
      <c r="V8521">
        <f t="shared" si="534"/>
        <v>0</v>
      </c>
      <c r="W8521">
        <f t="shared" si="535"/>
        <v>0</v>
      </c>
    </row>
    <row r="8522" spans="5:23" x14ac:dyDescent="0.25">
      <c r="E8522" s="4"/>
      <c r="F8522" s="4"/>
      <c r="G8522" s="33" t="str">
        <f>IFERROR(VLOOKUP($D8522,'Informations sur les produits'!$A$3:$H$10000,8,FALSE),"0")</f>
        <v>0</v>
      </c>
      <c r="K8522" s="4"/>
      <c r="L8522" s="33" t="str">
        <f>IFERROR(VLOOKUP($J8522,'Informations sur les produits'!$A$3:$H$10000,8,FALSE),"0")</f>
        <v>0</v>
      </c>
      <c r="N8522" s="8"/>
      <c r="O8522" s="33" t="str">
        <f>IFERROR(VLOOKUP($M8522,'Informations sur les produits'!$A$3:$H$10000,8,FALSE),"0")</f>
        <v>0</v>
      </c>
      <c r="P8522" s="33">
        <f t="shared" si="532"/>
        <v>0</v>
      </c>
      <c r="Q8522" s="31" t="str">
        <f t="shared" si="533"/>
        <v/>
      </c>
      <c r="R8522" s="32" t="str">
        <f>IFERROR(VLOOKUP($D8522,'Informations sur les produits'!$A$3:$B$15000,2,FALSE),"")</f>
        <v/>
      </c>
      <c r="V8522">
        <f t="shared" si="534"/>
        <v>0</v>
      </c>
      <c r="W8522">
        <f t="shared" si="535"/>
        <v>0</v>
      </c>
    </row>
    <row r="8523" spans="5:23" x14ac:dyDescent="0.25">
      <c r="E8523" s="4"/>
      <c r="F8523" s="4"/>
      <c r="G8523" s="33" t="str">
        <f>IFERROR(VLOOKUP($D8523,'Informations sur les produits'!$A$3:$H$10000,8,FALSE),"0")</f>
        <v>0</v>
      </c>
      <c r="K8523" s="4"/>
      <c r="L8523" s="33" t="str">
        <f>IFERROR(VLOOKUP($J8523,'Informations sur les produits'!$A$3:$H$10000,8,FALSE),"0")</f>
        <v>0</v>
      </c>
      <c r="N8523" s="8"/>
      <c r="O8523" s="33" t="str">
        <f>IFERROR(VLOOKUP($M8523,'Informations sur les produits'!$A$3:$H$10000,8,FALSE),"0")</f>
        <v>0</v>
      </c>
      <c r="P8523" s="33">
        <f t="shared" si="532"/>
        <v>0</v>
      </c>
      <c r="Q8523" s="31" t="str">
        <f t="shared" si="533"/>
        <v/>
      </c>
      <c r="R8523" s="32" t="str">
        <f>IFERROR(VLOOKUP($D8523,'Informations sur les produits'!$A$3:$B$15000,2,FALSE),"")</f>
        <v/>
      </c>
      <c r="V8523">
        <f t="shared" si="534"/>
        <v>0</v>
      </c>
      <c r="W8523">
        <f t="shared" si="535"/>
        <v>0</v>
      </c>
    </row>
    <row r="8524" spans="5:23" x14ac:dyDescent="0.25">
      <c r="E8524" s="4"/>
      <c r="F8524" s="4"/>
      <c r="G8524" s="33" t="str">
        <f>IFERROR(VLOOKUP($D8524,'Informations sur les produits'!$A$3:$H$10000,8,FALSE),"0")</f>
        <v>0</v>
      </c>
      <c r="K8524" s="4"/>
      <c r="L8524" s="33" t="str">
        <f>IFERROR(VLOOKUP($J8524,'Informations sur les produits'!$A$3:$H$10000,8,FALSE),"0")</f>
        <v>0</v>
      </c>
      <c r="N8524" s="8"/>
      <c r="O8524" s="33" t="str">
        <f>IFERROR(VLOOKUP($M8524,'Informations sur les produits'!$A$3:$H$10000,8,FALSE),"0")</f>
        <v>0</v>
      </c>
      <c r="P8524" s="33">
        <f t="shared" si="532"/>
        <v>0</v>
      </c>
      <c r="Q8524" s="31" t="str">
        <f t="shared" si="533"/>
        <v/>
      </c>
      <c r="R8524" s="32" t="str">
        <f>IFERROR(VLOOKUP($D8524,'Informations sur les produits'!$A$3:$B$15000,2,FALSE),"")</f>
        <v/>
      </c>
      <c r="V8524">
        <f t="shared" si="534"/>
        <v>0</v>
      </c>
      <c r="W8524">
        <f t="shared" si="535"/>
        <v>0</v>
      </c>
    </row>
    <row r="8525" spans="5:23" x14ac:dyDescent="0.25">
      <c r="E8525" s="4"/>
      <c r="F8525" s="4"/>
      <c r="G8525" s="33" t="str">
        <f>IFERROR(VLOOKUP($D8525,'Informations sur les produits'!$A$3:$H$10000,8,FALSE),"0")</f>
        <v>0</v>
      </c>
      <c r="K8525" s="4"/>
      <c r="L8525" s="33" t="str">
        <f>IFERROR(VLOOKUP($J8525,'Informations sur les produits'!$A$3:$H$10000,8,FALSE),"0")</f>
        <v>0</v>
      </c>
      <c r="N8525" s="8"/>
      <c r="O8525" s="33" t="str">
        <f>IFERROR(VLOOKUP($M8525,'Informations sur les produits'!$A$3:$H$10000,8,FALSE),"0")</f>
        <v>0</v>
      </c>
      <c r="P8525" s="33">
        <f t="shared" si="532"/>
        <v>0</v>
      </c>
      <c r="Q8525" s="31" t="str">
        <f t="shared" si="533"/>
        <v/>
      </c>
      <c r="R8525" s="32" t="str">
        <f>IFERROR(VLOOKUP($D8525,'Informations sur les produits'!$A$3:$B$15000,2,FALSE),"")</f>
        <v/>
      </c>
      <c r="V8525">
        <f t="shared" si="534"/>
        <v>0</v>
      </c>
      <c r="W8525">
        <f t="shared" si="535"/>
        <v>0</v>
      </c>
    </row>
    <row r="8526" spans="5:23" x14ac:dyDescent="0.25">
      <c r="E8526" s="4"/>
      <c r="F8526" s="4"/>
      <c r="G8526" s="33" t="str">
        <f>IFERROR(VLOOKUP($D8526,'Informations sur les produits'!$A$3:$H$10000,8,FALSE),"0")</f>
        <v>0</v>
      </c>
      <c r="K8526" s="4"/>
      <c r="L8526" s="33" t="str">
        <f>IFERROR(VLOOKUP($J8526,'Informations sur les produits'!$A$3:$H$10000,8,FALSE),"0")</f>
        <v>0</v>
      </c>
      <c r="N8526" s="8"/>
      <c r="O8526" s="33" t="str">
        <f>IFERROR(VLOOKUP($M8526,'Informations sur les produits'!$A$3:$H$10000,8,FALSE),"0")</f>
        <v>0</v>
      </c>
      <c r="P8526" s="33">
        <f t="shared" si="532"/>
        <v>0</v>
      </c>
      <c r="Q8526" s="31" t="str">
        <f t="shared" si="533"/>
        <v/>
      </c>
      <c r="R8526" s="32" t="str">
        <f>IFERROR(VLOOKUP($D8526,'Informations sur les produits'!$A$3:$B$15000,2,FALSE),"")</f>
        <v/>
      </c>
      <c r="V8526">
        <f t="shared" si="534"/>
        <v>0</v>
      </c>
      <c r="W8526">
        <f t="shared" si="535"/>
        <v>0</v>
      </c>
    </row>
    <row r="8527" spans="5:23" x14ac:dyDescent="0.25">
      <c r="E8527" s="4"/>
      <c r="F8527" s="4"/>
      <c r="G8527" s="33" t="str">
        <f>IFERROR(VLOOKUP($D8527,'Informations sur les produits'!$A$3:$H$10000,8,FALSE),"0")</f>
        <v>0</v>
      </c>
      <c r="K8527" s="4"/>
      <c r="L8527" s="33" t="str">
        <f>IFERROR(VLOOKUP($J8527,'Informations sur les produits'!$A$3:$H$10000,8,FALSE),"0")</f>
        <v>0</v>
      </c>
      <c r="N8527" s="8"/>
      <c r="O8527" s="33" t="str">
        <f>IFERROR(VLOOKUP($M8527,'Informations sur les produits'!$A$3:$H$10000,8,FALSE),"0")</f>
        <v>0</v>
      </c>
      <c r="P8527" s="33">
        <f t="shared" si="532"/>
        <v>0</v>
      </c>
      <c r="Q8527" s="31" t="str">
        <f t="shared" si="533"/>
        <v/>
      </c>
      <c r="R8527" s="32" t="str">
        <f>IFERROR(VLOOKUP($D8527,'Informations sur les produits'!$A$3:$B$15000,2,FALSE),"")</f>
        <v/>
      </c>
      <c r="V8527">
        <f t="shared" si="534"/>
        <v>0</v>
      </c>
      <c r="W8527">
        <f t="shared" si="535"/>
        <v>0</v>
      </c>
    </row>
    <row r="8528" spans="5:23" x14ac:dyDescent="0.25">
      <c r="E8528" s="4"/>
      <c r="F8528" s="4"/>
      <c r="G8528" s="33" t="str">
        <f>IFERROR(VLOOKUP($D8528,'Informations sur les produits'!$A$3:$H$10000,8,FALSE),"0")</f>
        <v>0</v>
      </c>
      <c r="K8528" s="4"/>
      <c r="L8528" s="33" t="str">
        <f>IFERROR(VLOOKUP($J8528,'Informations sur les produits'!$A$3:$H$10000,8,FALSE),"0")</f>
        <v>0</v>
      </c>
      <c r="N8528" s="8"/>
      <c r="O8528" s="33" t="str">
        <f>IFERROR(VLOOKUP($M8528,'Informations sur les produits'!$A$3:$H$10000,8,FALSE),"0")</f>
        <v>0</v>
      </c>
      <c r="P8528" s="33">
        <f t="shared" si="532"/>
        <v>0</v>
      </c>
      <c r="Q8528" s="31" t="str">
        <f t="shared" si="533"/>
        <v/>
      </c>
      <c r="R8528" s="32" t="str">
        <f>IFERROR(VLOOKUP($D8528,'Informations sur les produits'!$A$3:$B$15000,2,FALSE),"")</f>
        <v/>
      </c>
      <c r="V8528">
        <f t="shared" si="534"/>
        <v>0</v>
      </c>
      <c r="W8528">
        <f t="shared" si="535"/>
        <v>0</v>
      </c>
    </row>
    <row r="8529" spans="5:23" x14ac:dyDescent="0.25">
      <c r="E8529" s="4"/>
      <c r="F8529" s="4"/>
      <c r="G8529" s="33" t="str">
        <f>IFERROR(VLOOKUP($D8529,'Informations sur les produits'!$A$3:$H$10000,8,FALSE),"0")</f>
        <v>0</v>
      </c>
      <c r="K8529" s="4"/>
      <c r="L8529" s="33" t="str">
        <f>IFERROR(VLOOKUP($J8529,'Informations sur les produits'!$A$3:$H$10000,8,FALSE),"0")</f>
        <v>0</v>
      </c>
      <c r="N8529" s="8"/>
      <c r="O8529" s="33" t="str">
        <f>IFERROR(VLOOKUP($M8529,'Informations sur les produits'!$A$3:$H$10000,8,FALSE),"0")</f>
        <v>0</v>
      </c>
      <c r="P8529" s="33">
        <f t="shared" si="532"/>
        <v>0</v>
      </c>
      <c r="Q8529" s="31" t="str">
        <f t="shared" si="533"/>
        <v/>
      </c>
      <c r="R8529" s="32" t="str">
        <f>IFERROR(VLOOKUP($D8529,'Informations sur les produits'!$A$3:$B$15000,2,FALSE),"")</f>
        <v/>
      </c>
      <c r="V8529">
        <f t="shared" si="534"/>
        <v>0</v>
      </c>
      <c r="W8529">
        <f t="shared" si="535"/>
        <v>0</v>
      </c>
    </row>
    <row r="8530" spans="5:23" x14ac:dyDescent="0.25">
      <c r="E8530" s="4"/>
      <c r="F8530" s="4"/>
      <c r="G8530" s="33" t="str">
        <f>IFERROR(VLOOKUP($D8530,'Informations sur les produits'!$A$3:$H$10000,8,FALSE),"0")</f>
        <v>0</v>
      </c>
      <c r="K8530" s="4"/>
      <c r="L8530" s="33" t="str">
        <f>IFERROR(VLOOKUP($J8530,'Informations sur les produits'!$A$3:$H$10000,8,FALSE),"0")</f>
        <v>0</v>
      </c>
      <c r="N8530" s="8"/>
      <c r="O8530" s="33" t="str">
        <f>IFERROR(VLOOKUP($M8530,'Informations sur les produits'!$A$3:$H$10000,8,FALSE),"0")</f>
        <v>0</v>
      </c>
      <c r="P8530" s="33">
        <f t="shared" si="532"/>
        <v>0</v>
      </c>
      <c r="Q8530" s="31" t="str">
        <f t="shared" si="533"/>
        <v/>
      </c>
      <c r="R8530" s="32" t="str">
        <f>IFERROR(VLOOKUP($D8530,'Informations sur les produits'!$A$3:$B$15000,2,FALSE),"")</f>
        <v/>
      </c>
      <c r="V8530">
        <f t="shared" si="534"/>
        <v>0</v>
      </c>
      <c r="W8530">
        <f t="shared" si="535"/>
        <v>0</v>
      </c>
    </row>
    <row r="8531" spans="5:23" x14ac:dyDescent="0.25">
      <c r="E8531" s="4"/>
      <c r="F8531" s="4"/>
      <c r="G8531" s="33" t="str">
        <f>IFERROR(VLOOKUP($D8531,'Informations sur les produits'!$A$3:$H$10000,8,FALSE),"0")</f>
        <v>0</v>
      </c>
      <c r="K8531" s="4"/>
      <c r="L8531" s="33" t="str">
        <f>IFERROR(VLOOKUP($J8531,'Informations sur les produits'!$A$3:$H$10000,8,FALSE),"0")</f>
        <v>0</v>
      </c>
      <c r="N8531" s="8"/>
      <c r="O8531" s="33" t="str">
        <f>IFERROR(VLOOKUP($M8531,'Informations sur les produits'!$A$3:$H$10000,8,FALSE),"0")</f>
        <v>0</v>
      </c>
      <c r="P8531" s="33">
        <f t="shared" si="532"/>
        <v>0</v>
      </c>
      <c r="Q8531" s="31" t="str">
        <f t="shared" si="533"/>
        <v/>
      </c>
      <c r="R8531" s="32" t="str">
        <f>IFERROR(VLOOKUP($D8531,'Informations sur les produits'!$A$3:$B$15000,2,FALSE),"")</f>
        <v/>
      </c>
      <c r="V8531">
        <f t="shared" si="534"/>
        <v>0</v>
      </c>
      <c r="W8531">
        <f t="shared" si="535"/>
        <v>0</v>
      </c>
    </row>
    <row r="8532" spans="5:23" x14ac:dyDescent="0.25">
      <c r="E8532" s="4"/>
      <c r="F8532" s="4"/>
      <c r="G8532" s="33" t="str">
        <f>IFERROR(VLOOKUP($D8532,'Informations sur les produits'!$A$3:$H$10000,8,FALSE),"0")</f>
        <v>0</v>
      </c>
      <c r="K8532" s="4"/>
      <c r="L8532" s="33" t="str">
        <f>IFERROR(VLOOKUP($J8532,'Informations sur les produits'!$A$3:$H$10000,8,FALSE),"0")</f>
        <v>0</v>
      </c>
      <c r="N8532" s="8"/>
      <c r="O8532" s="33" t="str">
        <f>IFERROR(VLOOKUP($M8532,'Informations sur les produits'!$A$3:$H$10000,8,FALSE),"0")</f>
        <v>0</v>
      </c>
      <c r="P8532" s="33">
        <f t="shared" si="532"/>
        <v>0</v>
      </c>
      <c r="Q8532" s="31" t="str">
        <f t="shared" si="533"/>
        <v/>
      </c>
      <c r="R8532" s="32" t="str">
        <f>IFERROR(VLOOKUP($D8532,'Informations sur les produits'!$A$3:$B$15000,2,FALSE),"")</f>
        <v/>
      </c>
      <c r="V8532">
        <f t="shared" si="534"/>
        <v>0</v>
      </c>
      <c r="W8532">
        <f t="shared" si="535"/>
        <v>0</v>
      </c>
    </row>
    <row r="8533" spans="5:23" x14ac:dyDescent="0.25">
      <c r="E8533" s="4"/>
      <c r="F8533" s="4"/>
      <c r="G8533" s="33" t="str">
        <f>IFERROR(VLOOKUP($D8533,'Informations sur les produits'!$A$3:$H$10000,8,FALSE),"0")</f>
        <v>0</v>
      </c>
      <c r="K8533" s="4"/>
      <c r="L8533" s="33" t="str">
        <f>IFERROR(VLOOKUP($J8533,'Informations sur les produits'!$A$3:$H$10000,8,FALSE),"0")</f>
        <v>0</v>
      </c>
      <c r="N8533" s="8"/>
      <c r="O8533" s="33" t="str">
        <f>IFERROR(VLOOKUP($M8533,'Informations sur les produits'!$A$3:$H$10000,8,FALSE),"0")</f>
        <v>0</v>
      </c>
      <c r="P8533" s="33">
        <f t="shared" si="532"/>
        <v>0</v>
      </c>
      <c r="Q8533" s="31" t="str">
        <f t="shared" si="533"/>
        <v/>
      </c>
      <c r="R8533" s="32" t="str">
        <f>IFERROR(VLOOKUP($D8533,'Informations sur les produits'!$A$3:$B$15000,2,FALSE),"")</f>
        <v/>
      </c>
      <c r="V8533">
        <f t="shared" si="534"/>
        <v>0</v>
      </c>
      <c r="W8533">
        <f t="shared" si="535"/>
        <v>0</v>
      </c>
    </row>
    <row r="8534" spans="5:23" x14ac:dyDescent="0.25">
      <c r="E8534" s="4"/>
      <c r="F8534" s="4"/>
      <c r="G8534" s="33" t="str">
        <f>IFERROR(VLOOKUP($D8534,'Informations sur les produits'!$A$3:$H$10000,8,FALSE),"0")</f>
        <v>0</v>
      </c>
      <c r="K8534" s="4"/>
      <c r="L8534" s="33" t="str">
        <f>IFERROR(VLOOKUP($J8534,'Informations sur les produits'!$A$3:$H$10000,8,FALSE),"0")</f>
        <v>0</v>
      </c>
      <c r="N8534" s="8"/>
      <c r="O8534" s="33" t="str">
        <f>IFERROR(VLOOKUP($M8534,'Informations sur les produits'!$A$3:$H$10000,8,FALSE),"0")</f>
        <v>0</v>
      </c>
      <c r="P8534" s="33">
        <f t="shared" si="532"/>
        <v>0</v>
      </c>
      <c r="Q8534" s="31" t="str">
        <f t="shared" si="533"/>
        <v/>
      </c>
      <c r="R8534" s="32" t="str">
        <f>IFERROR(VLOOKUP($D8534,'Informations sur les produits'!$A$3:$B$15000,2,FALSE),"")</f>
        <v/>
      </c>
      <c r="V8534">
        <f t="shared" si="534"/>
        <v>0</v>
      </c>
      <c r="W8534">
        <f t="shared" si="535"/>
        <v>0</v>
      </c>
    </row>
    <row r="8535" spans="5:23" x14ac:dyDescent="0.25">
      <c r="E8535" s="4"/>
      <c r="F8535" s="4"/>
      <c r="G8535" s="33" t="str">
        <f>IFERROR(VLOOKUP($D8535,'Informations sur les produits'!$A$3:$H$10000,8,FALSE),"0")</f>
        <v>0</v>
      </c>
      <c r="K8535" s="4"/>
      <c r="L8535" s="33" t="str">
        <f>IFERROR(VLOOKUP($J8535,'Informations sur les produits'!$A$3:$H$10000,8,FALSE),"0")</f>
        <v>0</v>
      </c>
      <c r="N8535" s="8"/>
      <c r="O8535" s="33" t="str">
        <f>IFERROR(VLOOKUP($M8535,'Informations sur les produits'!$A$3:$H$10000,8,FALSE),"0")</f>
        <v>0</v>
      </c>
      <c r="P8535" s="33">
        <f t="shared" si="532"/>
        <v>0</v>
      </c>
      <c r="Q8535" s="31" t="str">
        <f t="shared" si="533"/>
        <v/>
      </c>
      <c r="R8535" s="32" t="str">
        <f>IFERROR(VLOOKUP($D8535,'Informations sur les produits'!$A$3:$B$15000,2,FALSE),"")</f>
        <v/>
      </c>
      <c r="V8535">
        <f t="shared" si="534"/>
        <v>0</v>
      </c>
      <c r="W8535">
        <f t="shared" si="535"/>
        <v>0</v>
      </c>
    </row>
    <row r="8536" spans="5:23" x14ac:dyDescent="0.25">
      <c r="E8536" s="4"/>
      <c r="F8536" s="4"/>
      <c r="G8536" s="33" t="str">
        <f>IFERROR(VLOOKUP($D8536,'Informations sur les produits'!$A$3:$H$10000,8,FALSE),"0")</f>
        <v>0</v>
      </c>
      <c r="K8536" s="4"/>
      <c r="L8536" s="33" t="str">
        <f>IFERROR(VLOOKUP($J8536,'Informations sur les produits'!$A$3:$H$10000,8,FALSE),"0")</f>
        <v>0</v>
      </c>
      <c r="N8536" s="8"/>
      <c r="O8536" s="33" t="str">
        <f>IFERROR(VLOOKUP($M8536,'Informations sur les produits'!$A$3:$H$10000,8,FALSE),"0")</f>
        <v>0</v>
      </c>
      <c r="P8536" s="33">
        <f t="shared" si="532"/>
        <v>0</v>
      </c>
      <c r="Q8536" s="31" t="str">
        <f t="shared" si="533"/>
        <v/>
      </c>
      <c r="R8536" s="32" t="str">
        <f>IFERROR(VLOOKUP($D8536,'Informations sur les produits'!$A$3:$B$15000,2,FALSE),"")</f>
        <v/>
      </c>
      <c r="V8536">
        <f t="shared" si="534"/>
        <v>0</v>
      </c>
      <c r="W8536">
        <f t="shared" si="535"/>
        <v>0</v>
      </c>
    </row>
    <row r="8537" spans="5:23" x14ac:dyDescent="0.25">
      <c r="E8537" s="4"/>
      <c r="F8537" s="4"/>
      <c r="G8537" s="33" t="str">
        <f>IFERROR(VLOOKUP($D8537,'Informations sur les produits'!$A$3:$H$10000,8,FALSE),"0")</f>
        <v>0</v>
      </c>
      <c r="K8537" s="4"/>
      <c r="L8537" s="33" t="str">
        <f>IFERROR(VLOOKUP($J8537,'Informations sur les produits'!$A$3:$H$10000,8,FALSE),"0")</f>
        <v>0</v>
      </c>
      <c r="N8537" s="8"/>
      <c r="O8537" s="33" t="str">
        <f>IFERROR(VLOOKUP($M8537,'Informations sur les produits'!$A$3:$H$10000,8,FALSE),"0")</f>
        <v>0</v>
      </c>
      <c r="P8537" s="33">
        <f t="shared" si="532"/>
        <v>0</v>
      </c>
      <c r="Q8537" s="31" t="str">
        <f t="shared" si="533"/>
        <v/>
      </c>
      <c r="R8537" s="32" t="str">
        <f>IFERROR(VLOOKUP($D8537,'Informations sur les produits'!$A$3:$B$15000,2,FALSE),"")</f>
        <v/>
      </c>
      <c r="V8537">
        <f t="shared" si="534"/>
        <v>0</v>
      </c>
      <c r="W8537">
        <f t="shared" si="535"/>
        <v>0</v>
      </c>
    </row>
    <row r="8538" spans="5:23" x14ac:dyDescent="0.25">
      <c r="E8538" s="4"/>
      <c r="F8538" s="4"/>
      <c r="G8538" s="33" t="str">
        <f>IFERROR(VLOOKUP($D8538,'Informations sur les produits'!$A$3:$H$10000,8,FALSE),"0")</f>
        <v>0</v>
      </c>
      <c r="K8538" s="4"/>
      <c r="L8538" s="33" t="str">
        <f>IFERROR(VLOOKUP($J8538,'Informations sur les produits'!$A$3:$H$10000,8,FALSE),"0")</f>
        <v>0</v>
      </c>
      <c r="N8538" s="8"/>
      <c r="O8538" s="33" t="str">
        <f>IFERROR(VLOOKUP($M8538,'Informations sur les produits'!$A$3:$H$10000,8,FALSE),"0")</f>
        <v>0</v>
      </c>
      <c r="P8538" s="33">
        <f t="shared" si="532"/>
        <v>0</v>
      </c>
      <c r="Q8538" s="31" t="str">
        <f t="shared" si="533"/>
        <v/>
      </c>
      <c r="R8538" s="32" t="str">
        <f>IFERROR(VLOOKUP($D8538,'Informations sur les produits'!$A$3:$B$15000,2,FALSE),"")</f>
        <v/>
      </c>
      <c r="V8538">
        <f t="shared" si="534"/>
        <v>0</v>
      </c>
      <c r="W8538">
        <f t="shared" si="535"/>
        <v>0</v>
      </c>
    </row>
    <row r="8539" spans="5:23" x14ac:dyDescent="0.25">
      <c r="E8539" s="4"/>
      <c r="F8539" s="4"/>
      <c r="G8539" s="33" t="str">
        <f>IFERROR(VLOOKUP($D8539,'Informations sur les produits'!$A$3:$H$10000,8,FALSE),"0")</f>
        <v>0</v>
      </c>
      <c r="K8539" s="4"/>
      <c r="L8539" s="33" t="str">
        <f>IFERROR(VLOOKUP($J8539,'Informations sur les produits'!$A$3:$H$10000,8,FALSE),"0")</f>
        <v>0</v>
      </c>
      <c r="N8539" s="8"/>
      <c r="O8539" s="33" t="str">
        <f>IFERROR(VLOOKUP($M8539,'Informations sur les produits'!$A$3:$H$10000,8,FALSE),"0")</f>
        <v>0</v>
      </c>
      <c r="P8539" s="33">
        <f t="shared" si="532"/>
        <v>0</v>
      </c>
      <c r="Q8539" s="31" t="str">
        <f t="shared" si="533"/>
        <v/>
      </c>
      <c r="R8539" s="32" t="str">
        <f>IFERROR(VLOOKUP($D8539,'Informations sur les produits'!$A$3:$B$15000,2,FALSE),"")</f>
        <v/>
      </c>
      <c r="V8539">
        <f t="shared" si="534"/>
        <v>0</v>
      </c>
      <c r="W8539">
        <f t="shared" si="535"/>
        <v>0</v>
      </c>
    </row>
    <row r="8540" spans="5:23" x14ac:dyDescent="0.25">
      <c r="E8540" s="4"/>
      <c r="F8540" s="4"/>
      <c r="G8540" s="33" t="str">
        <f>IFERROR(VLOOKUP($D8540,'Informations sur les produits'!$A$3:$H$10000,8,FALSE),"0")</f>
        <v>0</v>
      </c>
      <c r="K8540" s="4"/>
      <c r="L8540" s="33" t="str">
        <f>IFERROR(VLOOKUP($J8540,'Informations sur les produits'!$A$3:$H$10000,8,FALSE),"0")</f>
        <v>0</v>
      </c>
      <c r="N8540" s="8"/>
      <c r="O8540" s="33" t="str">
        <f>IFERROR(VLOOKUP($M8540,'Informations sur les produits'!$A$3:$H$10000,8,FALSE),"0")</f>
        <v>0</v>
      </c>
      <c r="P8540" s="33">
        <f t="shared" si="532"/>
        <v>0</v>
      </c>
      <c r="Q8540" s="31" t="str">
        <f t="shared" si="533"/>
        <v/>
      </c>
      <c r="R8540" s="32" t="str">
        <f>IFERROR(VLOOKUP($D8540,'Informations sur les produits'!$A$3:$B$15000,2,FALSE),"")</f>
        <v/>
      </c>
      <c r="V8540">
        <f t="shared" si="534"/>
        <v>0</v>
      </c>
      <c r="W8540">
        <f t="shared" si="535"/>
        <v>0</v>
      </c>
    </row>
    <row r="8541" spans="5:23" x14ac:dyDescent="0.25">
      <c r="E8541" s="4"/>
      <c r="F8541" s="4"/>
      <c r="G8541" s="33" t="str">
        <f>IFERROR(VLOOKUP($D8541,'Informations sur les produits'!$A$3:$H$10000,8,FALSE),"0")</f>
        <v>0</v>
      </c>
      <c r="K8541" s="4"/>
      <c r="L8541" s="33" t="str">
        <f>IFERROR(VLOOKUP($J8541,'Informations sur les produits'!$A$3:$H$10000,8,FALSE),"0")</f>
        <v>0</v>
      </c>
      <c r="N8541" s="8"/>
      <c r="O8541" s="33" t="str">
        <f>IFERROR(VLOOKUP($M8541,'Informations sur les produits'!$A$3:$H$10000,8,FALSE),"0")</f>
        <v>0</v>
      </c>
      <c r="P8541" s="33">
        <f t="shared" si="532"/>
        <v>0</v>
      </c>
      <c r="Q8541" s="31" t="str">
        <f t="shared" si="533"/>
        <v/>
      </c>
      <c r="R8541" s="32" t="str">
        <f>IFERROR(VLOOKUP($D8541,'Informations sur les produits'!$A$3:$B$15000,2,FALSE),"")</f>
        <v/>
      </c>
      <c r="V8541">
        <f t="shared" si="534"/>
        <v>0</v>
      </c>
      <c r="W8541">
        <f t="shared" si="535"/>
        <v>0</v>
      </c>
    </row>
    <row r="8542" spans="5:23" x14ac:dyDescent="0.25">
      <c r="E8542" s="4"/>
      <c r="F8542" s="4"/>
      <c r="G8542" s="33" t="str">
        <f>IFERROR(VLOOKUP($D8542,'Informations sur les produits'!$A$3:$H$10000,8,FALSE),"0")</f>
        <v>0</v>
      </c>
      <c r="K8542" s="4"/>
      <c r="L8542" s="33" t="str">
        <f>IFERROR(VLOOKUP($J8542,'Informations sur les produits'!$A$3:$H$10000,8,FALSE),"0")</f>
        <v>0</v>
      </c>
      <c r="N8542" s="8"/>
      <c r="O8542" s="33" t="str">
        <f>IFERROR(VLOOKUP($M8542,'Informations sur les produits'!$A$3:$H$10000,8,FALSE),"0")</f>
        <v>0</v>
      </c>
      <c r="P8542" s="33">
        <f t="shared" si="532"/>
        <v>0</v>
      </c>
      <c r="Q8542" s="31" t="str">
        <f t="shared" si="533"/>
        <v/>
      </c>
      <c r="R8542" s="32" t="str">
        <f>IFERROR(VLOOKUP($D8542,'Informations sur les produits'!$A$3:$B$15000,2,FALSE),"")</f>
        <v/>
      </c>
      <c r="V8542">
        <f t="shared" si="534"/>
        <v>0</v>
      </c>
      <c r="W8542">
        <f t="shared" si="535"/>
        <v>0</v>
      </c>
    </row>
    <row r="8543" spans="5:23" x14ac:dyDescent="0.25">
      <c r="E8543" s="4"/>
      <c r="F8543" s="4"/>
      <c r="G8543" s="33" t="str">
        <f>IFERROR(VLOOKUP($D8543,'Informations sur les produits'!$A$3:$H$10000,8,FALSE),"0")</f>
        <v>0</v>
      </c>
      <c r="K8543" s="4"/>
      <c r="L8543" s="33" t="str">
        <f>IFERROR(VLOOKUP($J8543,'Informations sur les produits'!$A$3:$H$10000,8,FALSE),"0")</f>
        <v>0</v>
      </c>
      <c r="N8543" s="8"/>
      <c r="O8543" s="33" t="str">
        <f>IFERROR(VLOOKUP($M8543,'Informations sur les produits'!$A$3:$H$10000,8,FALSE),"0")</f>
        <v>0</v>
      </c>
      <c r="P8543" s="33">
        <f t="shared" si="532"/>
        <v>0</v>
      </c>
      <c r="Q8543" s="31" t="str">
        <f t="shared" si="533"/>
        <v/>
      </c>
      <c r="R8543" s="32" t="str">
        <f>IFERROR(VLOOKUP($D8543,'Informations sur les produits'!$A$3:$B$15000,2,FALSE),"")</f>
        <v/>
      </c>
      <c r="V8543">
        <f t="shared" si="534"/>
        <v>0</v>
      </c>
      <c r="W8543">
        <f t="shared" si="535"/>
        <v>0</v>
      </c>
    </row>
    <row r="8544" spans="5:23" x14ac:dyDescent="0.25">
      <c r="E8544" s="4"/>
      <c r="F8544" s="4"/>
      <c r="G8544" s="33" t="str">
        <f>IFERROR(VLOOKUP($D8544,'Informations sur les produits'!$A$3:$H$10000,8,FALSE),"0")</f>
        <v>0</v>
      </c>
      <c r="K8544" s="4"/>
      <c r="L8544" s="33" t="str">
        <f>IFERROR(VLOOKUP($J8544,'Informations sur les produits'!$A$3:$H$10000,8,FALSE),"0")</f>
        <v>0</v>
      </c>
      <c r="N8544" s="8"/>
      <c r="O8544" s="33" t="str">
        <f>IFERROR(VLOOKUP($M8544,'Informations sur les produits'!$A$3:$H$10000,8,FALSE),"0")</f>
        <v>0</v>
      </c>
      <c r="P8544" s="33">
        <f t="shared" si="532"/>
        <v>0</v>
      </c>
      <c r="Q8544" s="31" t="str">
        <f t="shared" si="533"/>
        <v/>
      </c>
      <c r="R8544" s="32" t="str">
        <f>IFERROR(VLOOKUP($D8544,'Informations sur les produits'!$A$3:$B$15000,2,FALSE),"")</f>
        <v/>
      </c>
      <c r="V8544">
        <f t="shared" si="534"/>
        <v>0</v>
      </c>
      <c r="W8544">
        <f t="shared" si="535"/>
        <v>0</v>
      </c>
    </row>
    <row r="8545" spans="5:23" x14ac:dyDescent="0.25">
      <c r="E8545" s="4"/>
      <c r="F8545" s="4"/>
      <c r="G8545" s="33" t="str">
        <f>IFERROR(VLOOKUP($D8545,'Informations sur les produits'!$A$3:$H$10000,8,FALSE),"0")</f>
        <v>0</v>
      </c>
      <c r="K8545" s="4"/>
      <c r="L8545" s="33" t="str">
        <f>IFERROR(VLOOKUP($J8545,'Informations sur les produits'!$A$3:$H$10000,8,FALSE),"0")</f>
        <v>0</v>
      </c>
      <c r="N8545" s="8"/>
      <c r="O8545" s="33" t="str">
        <f>IFERROR(VLOOKUP($M8545,'Informations sur les produits'!$A$3:$H$10000,8,FALSE),"0")</f>
        <v>0</v>
      </c>
      <c r="P8545" s="33">
        <f t="shared" si="532"/>
        <v>0</v>
      </c>
      <c r="Q8545" s="31" t="str">
        <f t="shared" si="533"/>
        <v/>
      </c>
      <c r="R8545" s="32" t="str">
        <f>IFERROR(VLOOKUP($D8545,'Informations sur les produits'!$A$3:$B$15000,2,FALSE),"")</f>
        <v/>
      </c>
      <c r="V8545">
        <f t="shared" si="534"/>
        <v>0</v>
      </c>
      <c r="W8545">
        <f t="shared" si="535"/>
        <v>0</v>
      </c>
    </row>
    <row r="8546" spans="5:23" x14ac:dyDescent="0.25">
      <c r="E8546" s="4"/>
      <c r="F8546" s="4"/>
      <c r="G8546" s="33" t="str">
        <f>IFERROR(VLOOKUP($D8546,'Informations sur les produits'!$A$3:$H$10000,8,FALSE),"0")</f>
        <v>0</v>
      </c>
      <c r="K8546" s="4"/>
      <c r="L8546" s="33" t="str">
        <f>IFERROR(VLOOKUP($J8546,'Informations sur les produits'!$A$3:$H$10000,8,FALSE),"0")</f>
        <v>0</v>
      </c>
      <c r="N8546" s="8"/>
      <c r="O8546" s="33" t="str">
        <f>IFERROR(VLOOKUP($M8546,'Informations sur les produits'!$A$3:$H$10000,8,FALSE),"0")</f>
        <v>0</v>
      </c>
      <c r="P8546" s="33">
        <f t="shared" si="532"/>
        <v>0</v>
      </c>
      <c r="Q8546" s="31" t="str">
        <f t="shared" si="533"/>
        <v/>
      </c>
      <c r="R8546" s="32" t="str">
        <f>IFERROR(VLOOKUP($D8546,'Informations sur les produits'!$A$3:$B$15000,2,FALSE),"")</f>
        <v/>
      </c>
      <c r="V8546">
        <f t="shared" si="534"/>
        <v>0</v>
      </c>
      <c r="W8546">
        <f t="shared" si="535"/>
        <v>0</v>
      </c>
    </row>
    <row r="8547" spans="5:23" x14ac:dyDescent="0.25">
      <c r="E8547" s="4"/>
      <c r="F8547" s="4"/>
      <c r="G8547" s="33" t="str">
        <f>IFERROR(VLOOKUP($D8547,'Informations sur les produits'!$A$3:$H$10000,8,FALSE),"0")</f>
        <v>0</v>
      </c>
      <c r="K8547" s="4"/>
      <c r="L8547" s="33" t="str">
        <f>IFERROR(VLOOKUP($J8547,'Informations sur les produits'!$A$3:$H$10000,8,FALSE),"0")</f>
        <v>0</v>
      </c>
      <c r="N8547" s="8"/>
      <c r="O8547" s="33" t="str">
        <f>IFERROR(VLOOKUP($M8547,'Informations sur les produits'!$A$3:$H$10000,8,FALSE),"0")</f>
        <v>0</v>
      </c>
      <c r="P8547" s="33">
        <f t="shared" si="532"/>
        <v>0</v>
      </c>
      <c r="Q8547" s="31" t="str">
        <f t="shared" si="533"/>
        <v/>
      </c>
      <c r="R8547" s="32" t="str">
        <f>IFERROR(VLOOKUP($D8547,'Informations sur les produits'!$A$3:$B$15000,2,FALSE),"")</f>
        <v/>
      </c>
      <c r="V8547">
        <f t="shared" si="534"/>
        <v>0</v>
      </c>
      <c r="W8547">
        <f t="shared" si="535"/>
        <v>0</v>
      </c>
    </row>
    <row r="8548" spans="5:23" x14ac:dyDescent="0.25">
      <c r="E8548" s="4"/>
      <c r="F8548" s="4"/>
      <c r="G8548" s="33" t="str">
        <f>IFERROR(VLOOKUP($D8548,'Informations sur les produits'!$A$3:$H$10000,8,FALSE),"0")</f>
        <v>0</v>
      </c>
      <c r="K8548" s="4"/>
      <c r="L8548" s="33" t="str">
        <f>IFERROR(VLOOKUP($J8548,'Informations sur les produits'!$A$3:$H$10000,8,FALSE),"0")</f>
        <v>0</v>
      </c>
      <c r="N8548" s="8"/>
      <c r="O8548" s="33" t="str">
        <f>IFERROR(VLOOKUP($M8548,'Informations sur les produits'!$A$3:$H$10000,8,FALSE),"0")</f>
        <v>0</v>
      </c>
      <c r="P8548" s="33">
        <f t="shared" si="532"/>
        <v>0</v>
      </c>
      <c r="Q8548" s="31" t="str">
        <f t="shared" si="533"/>
        <v/>
      </c>
      <c r="R8548" s="32" t="str">
        <f>IFERROR(VLOOKUP($D8548,'Informations sur les produits'!$A$3:$B$15000,2,FALSE),"")</f>
        <v/>
      </c>
      <c r="V8548">
        <f t="shared" si="534"/>
        <v>0</v>
      </c>
      <c r="W8548">
        <f t="shared" si="535"/>
        <v>0</v>
      </c>
    </row>
    <row r="8549" spans="5:23" x14ac:dyDescent="0.25">
      <c r="E8549" s="4"/>
      <c r="F8549" s="4"/>
      <c r="G8549" s="33" t="str">
        <f>IFERROR(VLOOKUP($D8549,'Informations sur les produits'!$A$3:$H$10000,8,FALSE),"0")</f>
        <v>0</v>
      </c>
      <c r="K8549" s="4"/>
      <c r="L8549" s="33" t="str">
        <f>IFERROR(VLOOKUP($J8549,'Informations sur les produits'!$A$3:$H$10000,8,FALSE),"0")</f>
        <v>0</v>
      </c>
      <c r="N8549" s="8"/>
      <c r="O8549" s="33" t="str">
        <f>IFERROR(VLOOKUP($M8549,'Informations sur les produits'!$A$3:$H$10000,8,FALSE),"0")</f>
        <v>0</v>
      </c>
      <c r="P8549" s="33">
        <f t="shared" si="532"/>
        <v>0</v>
      </c>
      <c r="Q8549" s="31" t="str">
        <f t="shared" si="533"/>
        <v/>
      </c>
      <c r="R8549" s="32" t="str">
        <f>IFERROR(VLOOKUP($D8549,'Informations sur les produits'!$A$3:$B$15000,2,FALSE),"")</f>
        <v/>
      </c>
      <c r="V8549">
        <f t="shared" si="534"/>
        <v>0</v>
      </c>
      <c r="W8549">
        <f t="shared" si="535"/>
        <v>0</v>
      </c>
    </row>
    <row r="8550" spans="5:23" x14ac:dyDescent="0.25">
      <c r="E8550" s="4"/>
      <c r="F8550" s="4"/>
      <c r="G8550" s="33" t="str">
        <f>IFERROR(VLOOKUP($D8550,'Informations sur les produits'!$A$3:$H$10000,8,FALSE),"0")</f>
        <v>0</v>
      </c>
      <c r="K8550" s="4"/>
      <c r="L8550" s="33" t="str">
        <f>IFERROR(VLOOKUP($J8550,'Informations sur les produits'!$A$3:$H$10000,8,FALSE),"0")</f>
        <v>0</v>
      </c>
      <c r="N8550" s="8"/>
      <c r="O8550" s="33" t="str">
        <f>IFERROR(VLOOKUP($M8550,'Informations sur les produits'!$A$3:$H$10000,8,FALSE),"0")</f>
        <v>0</v>
      </c>
      <c r="P8550" s="33">
        <f t="shared" si="532"/>
        <v>0</v>
      </c>
      <c r="Q8550" s="31" t="str">
        <f t="shared" si="533"/>
        <v/>
      </c>
      <c r="R8550" s="32" t="str">
        <f>IFERROR(VLOOKUP($D8550,'Informations sur les produits'!$A$3:$B$15000,2,FALSE),"")</f>
        <v/>
      </c>
      <c r="V8550">
        <f t="shared" si="534"/>
        <v>0</v>
      </c>
      <c r="W8550">
        <f t="shared" si="535"/>
        <v>0</v>
      </c>
    </row>
    <row r="8551" spans="5:23" x14ac:dyDescent="0.25">
      <c r="E8551" s="4"/>
      <c r="F8551" s="4"/>
      <c r="G8551" s="33" t="str">
        <f>IFERROR(VLOOKUP($D8551,'Informations sur les produits'!$A$3:$H$10000,8,FALSE),"0")</f>
        <v>0</v>
      </c>
      <c r="K8551" s="4"/>
      <c r="L8551" s="33" t="str">
        <f>IFERROR(VLOOKUP($J8551,'Informations sur les produits'!$A$3:$H$10000,8,FALSE),"0")</f>
        <v>0</v>
      </c>
      <c r="N8551" s="8"/>
      <c r="O8551" s="33" t="str">
        <f>IFERROR(VLOOKUP($M8551,'Informations sur les produits'!$A$3:$H$10000,8,FALSE),"0")</f>
        <v>0</v>
      </c>
      <c r="P8551" s="33">
        <f t="shared" si="532"/>
        <v>0</v>
      </c>
      <c r="Q8551" s="31" t="str">
        <f t="shared" si="533"/>
        <v/>
      </c>
      <c r="R8551" s="32" t="str">
        <f>IFERROR(VLOOKUP($D8551,'Informations sur les produits'!$A$3:$B$15000,2,FALSE),"")</f>
        <v/>
      </c>
      <c r="V8551">
        <f t="shared" si="534"/>
        <v>0</v>
      </c>
      <c r="W8551">
        <f t="shared" si="535"/>
        <v>0</v>
      </c>
    </row>
    <row r="8552" spans="5:23" x14ac:dyDescent="0.25">
      <c r="E8552" s="4"/>
      <c r="F8552" s="4"/>
      <c r="G8552" s="33" t="str">
        <f>IFERROR(VLOOKUP($D8552,'Informations sur les produits'!$A$3:$H$10000,8,FALSE),"0")</f>
        <v>0</v>
      </c>
      <c r="K8552" s="4"/>
      <c r="L8552" s="33" t="str">
        <f>IFERROR(VLOOKUP($J8552,'Informations sur les produits'!$A$3:$H$10000,8,FALSE),"0")</f>
        <v>0</v>
      </c>
      <c r="N8552" s="8"/>
      <c r="O8552" s="33" t="str">
        <f>IFERROR(VLOOKUP($M8552,'Informations sur les produits'!$A$3:$H$10000,8,FALSE),"0")</f>
        <v>0</v>
      </c>
      <c r="P8552" s="33">
        <f t="shared" si="532"/>
        <v>0</v>
      </c>
      <c r="Q8552" s="31" t="str">
        <f t="shared" si="533"/>
        <v/>
      </c>
      <c r="R8552" s="32" t="str">
        <f>IFERROR(VLOOKUP($D8552,'Informations sur les produits'!$A$3:$B$15000,2,FALSE),"")</f>
        <v/>
      </c>
      <c r="V8552">
        <f t="shared" si="534"/>
        <v>0</v>
      </c>
      <c r="W8552">
        <f t="shared" si="535"/>
        <v>0</v>
      </c>
    </row>
    <row r="8553" spans="5:23" x14ac:dyDescent="0.25">
      <c r="E8553" s="4"/>
      <c r="F8553" s="4"/>
      <c r="G8553" s="33" t="str">
        <f>IFERROR(VLOOKUP($D8553,'Informations sur les produits'!$A$3:$H$10000,8,FALSE),"0")</f>
        <v>0</v>
      </c>
      <c r="K8553" s="4"/>
      <c r="L8553" s="33" t="str">
        <f>IFERROR(VLOOKUP($J8553,'Informations sur les produits'!$A$3:$H$10000,8,FALSE),"0")</f>
        <v>0</v>
      </c>
      <c r="N8553" s="8"/>
      <c r="O8553" s="33" t="str">
        <f>IFERROR(VLOOKUP($M8553,'Informations sur les produits'!$A$3:$H$10000,8,FALSE),"0")</f>
        <v>0</v>
      </c>
      <c r="P8553" s="33">
        <f t="shared" si="532"/>
        <v>0</v>
      </c>
      <c r="Q8553" s="31" t="str">
        <f t="shared" si="533"/>
        <v/>
      </c>
      <c r="R8553" s="32" t="str">
        <f>IFERROR(VLOOKUP($D8553,'Informations sur les produits'!$A$3:$B$15000,2,FALSE),"")</f>
        <v/>
      </c>
      <c r="V8553">
        <f t="shared" si="534"/>
        <v>0</v>
      </c>
      <c r="W8553">
        <f t="shared" si="535"/>
        <v>0</v>
      </c>
    </row>
    <row r="8554" spans="5:23" x14ac:dyDescent="0.25">
      <c r="E8554" s="4"/>
      <c r="F8554" s="4"/>
      <c r="G8554" s="33" t="str">
        <f>IFERROR(VLOOKUP($D8554,'Informations sur les produits'!$A$3:$H$10000,8,FALSE),"0")</f>
        <v>0</v>
      </c>
      <c r="K8554" s="4"/>
      <c r="L8554" s="33" t="str">
        <f>IFERROR(VLOOKUP($J8554,'Informations sur les produits'!$A$3:$H$10000,8,FALSE),"0")</f>
        <v>0</v>
      </c>
      <c r="N8554" s="8"/>
      <c r="O8554" s="33" t="str">
        <f>IFERROR(VLOOKUP($M8554,'Informations sur les produits'!$A$3:$H$10000,8,FALSE),"0")</f>
        <v>0</v>
      </c>
      <c r="P8554" s="33">
        <f t="shared" si="532"/>
        <v>0</v>
      </c>
      <c r="Q8554" s="31" t="str">
        <f t="shared" si="533"/>
        <v/>
      </c>
      <c r="R8554" s="32" t="str">
        <f>IFERROR(VLOOKUP($D8554,'Informations sur les produits'!$A$3:$B$15000,2,FALSE),"")</f>
        <v/>
      </c>
      <c r="V8554">
        <f t="shared" si="534"/>
        <v>0</v>
      </c>
      <c r="W8554">
        <f t="shared" si="535"/>
        <v>0</v>
      </c>
    </row>
    <row r="8555" spans="5:23" x14ac:dyDescent="0.25">
      <c r="E8555" s="4"/>
      <c r="F8555" s="4"/>
      <c r="G8555" s="33" t="str">
        <f>IFERROR(VLOOKUP($D8555,'Informations sur les produits'!$A$3:$H$10000,8,FALSE),"0")</f>
        <v>0</v>
      </c>
      <c r="K8555" s="4"/>
      <c r="L8555" s="33" t="str">
        <f>IFERROR(VLOOKUP($J8555,'Informations sur les produits'!$A$3:$H$10000,8,FALSE),"0")</f>
        <v>0</v>
      </c>
      <c r="N8555" s="8"/>
      <c r="O8555" s="33" t="str">
        <f>IFERROR(VLOOKUP($M8555,'Informations sur les produits'!$A$3:$H$10000,8,FALSE),"0")</f>
        <v>0</v>
      </c>
      <c r="P8555" s="33">
        <f t="shared" si="532"/>
        <v>0</v>
      </c>
      <c r="Q8555" s="31" t="str">
        <f t="shared" si="533"/>
        <v/>
      </c>
      <c r="R8555" s="32" t="str">
        <f>IFERROR(VLOOKUP($D8555,'Informations sur les produits'!$A$3:$B$15000,2,FALSE),"")</f>
        <v/>
      </c>
      <c r="V8555">
        <f t="shared" si="534"/>
        <v>0</v>
      </c>
      <c r="W8555">
        <f t="shared" si="535"/>
        <v>0</v>
      </c>
    </row>
    <row r="8556" spans="5:23" x14ac:dyDescent="0.25">
      <c r="E8556" s="4"/>
      <c r="F8556" s="4"/>
      <c r="G8556" s="33" t="str">
        <f>IFERROR(VLOOKUP($D8556,'Informations sur les produits'!$A$3:$H$10000,8,FALSE),"0")</f>
        <v>0</v>
      </c>
      <c r="K8556" s="4"/>
      <c r="L8556" s="33" t="str">
        <f>IFERROR(VLOOKUP($J8556,'Informations sur les produits'!$A$3:$H$10000,8,FALSE),"0")</f>
        <v>0</v>
      </c>
      <c r="N8556" s="8"/>
      <c r="O8556" s="33" t="str">
        <f>IFERROR(VLOOKUP($M8556,'Informations sur les produits'!$A$3:$H$10000,8,FALSE),"0")</f>
        <v>0</v>
      </c>
      <c r="P8556" s="33">
        <f t="shared" si="532"/>
        <v>0</v>
      </c>
      <c r="Q8556" s="31" t="str">
        <f t="shared" si="533"/>
        <v/>
      </c>
      <c r="R8556" s="32" t="str">
        <f>IFERROR(VLOOKUP($D8556,'Informations sur les produits'!$A$3:$B$15000,2,FALSE),"")</f>
        <v/>
      </c>
      <c r="V8556">
        <f t="shared" si="534"/>
        <v>0</v>
      </c>
      <c r="W8556">
        <f t="shared" si="535"/>
        <v>0</v>
      </c>
    </row>
    <row r="8557" spans="5:23" x14ac:dyDescent="0.25">
      <c r="E8557" s="4"/>
      <c r="F8557" s="4"/>
      <c r="G8557" s="33" t="str">
        <f>IFERROR(VLOOKUP($D8557,'Informations sur les produits'!$A$3:$H$10000,8,FALSE),"0")</f>
        <v>0</v>
      </c>
      <c r="K8557" s="4"/>
      <c r="L8557" s="33" t="str">
        <f>IFERROR(VLOOKUP($J8557,'Informations sur les produits'!$A$3:$H$10000,8,FALSE),"0")</f>
        <v>0</v>
      </c>
      <c r="N8557" s="8"/>
      <c r="O8557" s="33" t="str">
        <f>IFERROR(VLOOKUP($M8557,'Informations sur les produits'!$A$3:$H$10000,8,FALSE),"0")</f>
        <v>0</v>
      </c>
      <c r="P8557" s="33">
        <f t="shared" si="532"/>
        <v>0</v>
      </c>
      <c r="Q8557" s="31" t="str">
        <f t="shared" si="533"/>
        <v/>
      </c>
      <c r="R8557" s="32" t="str">
        <f>IFERROR(VLOOKUP($D8557,'Informations sur les produits'!$A$3:$B$15000,2,FALSE),"")</f>
        <v/>
      </c>
      <c r="V8557">
        <f t="shared" si="534"/>
        <v>0</v>
      </c>
      <c r="W8557">
        <f t="shared" si="535"/>
        <v>0</v>
      </c>
    </row>
    <row r="8558" spans="5:23" x14ac:dyDescent="0.25">
      <c r="E8558" s="4"/>
      <c r="F8558" s="4"/>
      <c r="G8558" s="33" t="str">
        <f>IFERROR(VLOOKUP($D8558,'Informations sur les produits'!$A$3:$H$10000,8,FALSE),"0")</f>
        <v>0</v>
      </c>
      <c r="K8558" s="4"/>
      <c r="L8558" s="33" t="str">
        <f>IFERROR(VLOOKUP($J8558,'Informations sur les produits'!$A$3:$H$10000,8,FALSE),"0")</f>
        <v>0</v>
      </c>
      <c r="N8558" s="8"/>
      <c r="O8558" s="33" t="str">
        <f>IFERROR(VLOOKUP($M8558,'Informations sur les produits'!$A$3:$H$10000,8,FALSE),"0")</f>
        <v>0</v>
      </c>
      <c r="P8558" s="33">
        <f t="shared" si="532"/>
        <v>0</v>
      </c>
      <c r="Q8558" s="31" t="str">
        <f t="shared" si="533"/>
        <v/>
      </c>
      <c r="R8558" s="32" t="str">
        <f>IFERROR(VLOOKUP($D8558,'Informations sur les produits'!$A$3:$B$15000,2,FALSE),"")</f>
        <v/>
      </c>
      <c r="V8558">
        <f t="shared" si="534"/>
        <v>0</v>
      </c>
      <c r="W8558">
        <f t="shared" si="535"/>
        <v>0</v>
      </c>
    </row>
    <row r="8559" spans="5:23" x14ac:dyDescent="0.25">
      <c r="E8559" s="4"/>
      <c r="F8559" s="4"/>
      <c r="G8559" s="33" t="str">
        <f>IFERROR(VLOOKUP($D8559,'Informations sur les produits'!$A$3:$H$10000,8,FALSE),"0")</f>
        <v>0</v>
      </c>
      <c r="K8559" s="4"/>
      <c r="L8559" s="33" t="str">
        <f>IFERROR(VLOOKUP($J8559,'Informations sur les produits'!$A$3:$H$10000,8,FALSE),"0")</f>
        <v>0</v>
      </c>
      <c r="N8559" s="8"/>
      <c r="O8559" s="33" t="str">
        <f>IFERROR(VLOOKUP($M8559,'Informations sur les produits'!$A$3:$H$10000,8,FALSE),"0")</f>
        <v>0</v>
      </c>
      <c r="P8559" s="33">
        <f t="shared" si="532"/>
        <v>0</v>
      </c>
      <c r="Q8559" s="31" t="str">
        <f t="shared" si="533"/>
        <v/>
      </c>
      <c r="R8559" s="32" t="str">
        <f>IFERROR(VLOOKUP($D8559,'Informations sur les produits'!$A$3:$B$15000,2,FALSE),"")</f>
        <v/>
      </c>
      <c r="V8559">
        <f t="shared" si="534"/>
        <v>0</v>
      </c>
      <c r="W8559">
        <f t="shared" si="535"/>
        <v>0</v>
      </c>
    </row>
    <row r="8560" spans="5:23" x14ac:dyDescent="0.25">
      <c r="E8560" s="4"/>
      <c r="F8560" s="4"/>
      <c r="G8560" s="33" t="str">
        <f>IFERROR(VLOOKUP($D8560,'Informations sur les produits'!$A$3:$H$10000,8,FALSE),"0")</f>
        <v>0</v>
      </c>
      <c r="K8560" s="4"/>
      <c r="L8560" s="33" t="str">
        <f>IFERROR(VLOOKUP($J8560,'Informations sur les produits'!$A$3:$H$10000,8,FALSE),"0")</f>
        <v>0</v>
      </c>
      <c r="N8560" s="8"/>
      <c r="O8560" s="33" t="str">
        <f>IFERROR(VLOOKUP($M8560,'Informations sur les produits'!$A$3:$H$10000,8,FALSE),"0")</f>
        <v>0</v>
      </c>
      <c r="P8560" s="33">
        <f t="shared" si="532"/>
        <v>0</v>
      </c>
      <c r="Q8560" s="31" t="str">
        <f t="shared" si="533"/>
        <v/>
      </c>
      <c r="R8560" s="32" t="str">
        <f>IFERROR(VLOOKUP($D8560,'Informations sur les produits'!$A$3:$B$15000,2,FALSE),"")</f>
        <v/>
      </c>
      <c r="V8560">
        <f t="shared" si="534"/>
        <v>0</v>
      </c>
      <c r="W8560">
        <f t="shared" si="535"/>
        <v>0</v>
      </c>
    </row>
    <row r="8561" spans="5:23" x14ac:dyDescent="0.25">
      <c r="E8561" s="4"/>
      <c r="F8561" s="4"/>
      <c r="G8561" s="33" t="str">
        <f>IFERROR(VLOOKUP($D8561,'Informations sur les produits'!$A$3:$H$10000,8,FALSE),"0")</f>
        <v>0</v>
      </c>
      <c r="K8561" s="4"/>
      <c r="L8561" s="33" t="str">
        <f>IFERROR(VLOOKUP($J8561,'Informations sur les produits'!$A$3:$H$10000,8,FALSE),"0")</f>
        <v>0</v>
      </c>
      <c r="N8561" s="8"/>
      <c r="O8561" s="33" t="str">
        <f>IFERROR(VLOOKUP($M8561,'Informations sur les produits'!$A$3:$H$10000,8,FALSE),"0")</f>
        <v>0</v>
      </c>
      <c r="P8561" s="33">
        <f t="shared" si="532"/>
        <v>0</v>
      </c>
      <c r="Q8561" s="31" t="str">
        <f t="shared" si="533"/>
        <v/>
      </c>
      <c r="R8561" s="32" t="str">
        <f>IFERROR(VLOOKUP($D8561,'Informations sur les produits'!$A$3:$B$15000,2,FALSE),"")</f>
        <v/>
      </c>
      <c r="V8561">
        <f t="shared" si="534"/>
        <v>0</v>
      </c>
      <c r="W8561">
        <f t="shared" si="535"/>
        <v>0</v>
      </c>
    </row>
    <row r="8562" spans="5:23" x14ac:dyDescent="0.25">
      <c r="E8562" s="4"/>
      <c r="F8562" s="4"/>
      <c r="G8562" s="33" t="str">
        <f>IFERROR(VLOOKUP($D8562,'Informations sur les produits'!$A$3:$H$10000,8,FALSE),"0")</f>
        <v>0</v>
      </c>
      <c r="K8562" s="4"/>
      <c r="L8562" s="33" t="str">
        <f>IFERROR(VLOOKUP($J8562,'Informations sur les produits'!$A$3:$H$10000,8,FALSE),"0")</f>
        <v>0</v>
      </c>
      <c r="N8562" s="8"/>
      <c r="O8562" s="33" t="str">
        <f>IFERROR(VLOOKUP($M8562,'Informations sur les produits'!$A$3:$H$10000,8,FALSE),"0")</f>
        <v>0</v>
      </c>
      <c r="P8562" s="33">
        <f t="shared" si="532"/>
        <v>0</v>
      </c>
      <c r="Q8562" s="31" t="str">
        <f t="shared" si="533"/>
        <v/>
      </c>
      <c r="R8562" s="32" t="str">
        <f>IFERROR(VLOOKUP($D8562,'Informations sur les produits'!$A$3:$B$15000,2,FALSE),"")</f>
        <v/>
      </c>
      <c r="V8562">
        <f t="shared" si="534"/>
        <v>0</v>
      </c>
      <c r="W8562">
        <f t="shared" si="535"/>
        <v>0</v>
      </c>
    </row>
    <row r="8563" spans="5:23" x14ac:dyDescent="0.25">
      <c r="E8563" s="4"/>
      <c r="F8563" s="4"/>
      <c r="G8563" s="33" t="str">
        <f>IFERROR(VLOOKUP($D8563,'Informations sur les produits'!$A$3:$H$10000,8,FALSE),"0")</f>
        <v>0</v>
      </c>
      <c r="K8563" s="4"/>
      <c r="L8563" s="33" t="str">
        <f>IFERROR(VLOOKUP($J8563,'Informations sur les produits'!$A$3:$H$10000,8,FALSE),"0")</f>
        <v>0</v>
      </c>
      <c r="N8563" s="8"/>
      <c r="O8563" s="33" t="str">
        <f>IFERROR(VLOOKUP($M8563,'Informations sur les produits'!$A$3:$H$10000,8,FALSE),"0")</f>
        <v>0</v>
      </c>
      <c r="P8563" s="33">
        <f t="shared" si="532"/>
        <v>0</v>
      </c>
      <c r="Q8563" s="31" t="str">
        <f t="shared" si="533"/>
        <v/>
      </c>
      <c r="R8563" s="32" t="str">
        <f>IFERROR(VLOOKUP($D8563,'Informations sur les produits'!$A$3:$B$15000,2,FALSE),"")</f>
        <v/>
      </c>
      <c r="V8563">
        <f t="shared" si="534"/>
        <v>0</v>
      </c>
      <c r="W8563">
        <f t="shared" si="535"/>
        <v>0</v>
      </c>
    </row>
    <row r="8564" spans="5:23" x14ac:dyDescent="0.25">
      <c r="E8564" s="4"/>
      <c r="F8564" s="4"/>
      <c r="G8564" s="33" t="str">
        <f>IFERROR(VLOOKUP($D8564,'Informations sur les produits'!$A$3:$H$10000,8,FALSE),"0")</f>
        <v>0</v>
      </c>
      <c r="K8564" s="4"/>
      <c r="L8564" s="33" t="str">
        <f>IFERROR(VLOOKUP($J8564,'Informations sur les produits'!$A$3:$H$10000,8,FALSE),"0")</f>
        <v>0</v>
      </c>
      <c r="N8564" s="8"/>
      <c r="O8564" s="33" t="str">
        <f>IFERROR(VLOOKUP($M8564,'Informations sur les produits'!$A$3:$H$10000,8,FALSE),"0")</f>
        <v>0</v>
      </c>
      <c r="P8564" s="33">
        <f t="shared" si="532"/>
        <v>0</v>
      </c>
      <c r="Q8564" s="31" t="str">
        <f t="shared" si="533"/>
        <v/>
      </c>
      <c r="R8564" s="32" t="str">
        <f>IFERROR(VLOOKUP($D8564,'Informations sur les produits'!$A$3:$B$15000,2,FALSE),"")</f>
        <v/>
      </c>
      <c r="V8564">
        <f t="shared" si="534"/>
        <v>0</v>
      </c>
      <c r="W8564">
        <f t="shared" si="535"/>
        <v>0</v>
      </c>
    </row>
    <row r="8565" spans="5:23" x14ac:dyDescent="0.25">
      <c r="E8565" s="4"/>
      <c r="F8565" s="4"/>
      <c r="G8565" s="33" t="str">
        <f>IFERROR(VLOOKUP($D8565,'Informations sur les produits'!$A$3:$H$10000,8,FALSE),"0")</f>
        <v>0</v>
      </c>
      <c r="K8565" s="4"/>
      <c r="L8565" s="33" t="str">
        <f>IFERROR(VLOOKUP($J8565,'Informations sur les produits'!$A$3:$H$10000,8,FALSE),"0")</f>
        <v>0</v>
      </c>
      <c r="N8565" s="8"/>
      <c r="O8565" s="33" t="str">
        <f>IFERROR(VLOOKUP($M8565,'Informations sur les produits'!$A$3:$H$10000,8,FALSE),"0")</f>
        <v>0</v>
      </c>
      <c r="P8565" s="33">
        <f t="shared" si="532"/>
        <v>0</v>
      </c>
      <c r="Q8565" s="31" t="str">
        <f t="shared" si="533"/>
        <v/>
      </c>
      <c r="R8565" s="32" t="str">
        <f>IFERROR(VLOOKUP($D8565,'Informations sur les produits'!$A$3:$B$15000,2,FALSE),"")</f>
        <v/>
      </c>
      <c r="V8565">
        <f t="shared" si="534"/>
        <v>0</v>
      </c>
      <c r="W8565">
        <f t="shared" si="535"/>
        <v>0</v>
      </c>
    </row>
    <row r="8566" spans="5:23" x14ac:dyDescent="0.25">
      <c r="E8566" s="4"/>
      <c r="F8566" s="4"/>
      <c r="G8566" s="33" t="str">
        <f>IFERROR(VLOOKUP($D8566,'Informations sur les produits'!$A$3:$H$10000,8,FALSE),"0")</f>
        <v>0</v>
      </c>
      <c r="K8566" s="4"/>
      <c r="L8566" s="33" t="str">
        <f>IFERROR(VLOOKUP($J8566,'Informations sur les produits'!$A$3:$H$10000,8,FALSE),"0")</f>
        <v>0</v>
      </c>
      <c r="N8566" s="8"/>
      <c r="O8566" s="33" t="str">
        <f>IFERROR(VLOOKUP($M8566,'Informations sur les produits'!$A$3:$H$10000,8,FALSE),"0")</f>
        <v>0</v>
      </c>
      <c r="P8566" s="33">
        <f t="shared" si="532"/>
        <v>0</v>
      </c>
      <c r="Q8566" s="31" t="str">
        <f t="shared" si="533"/>
        <v/>
      </c>
      <c r="R8566" s="32" t="str">
        <f>IFERROR(VLOOKUP($D8566,'Informations sur les produits'!$A$3:$B$15000,2,FALSE),"")</f>
        <v/>
      </c>
      <c r="V8566">
        <f t="shared" si="534"/>
        <v>0</v>
      </c>
      <c r="W8566">
        <f t="shared" si="535"/>
        <v>0</v>
      </c>
    </row>
    <row r="8567" spans="5:23" x14ac:dyDescent="0.25">
      <c r="E8567" s="4"/>
      <c r="F8567" s="4"/>
      <c r="G8567" s="33" t="str">
        <f>IFERROR(VLOOKUP($D8567,'Informations sur les produits'!$A$3:$H$10000,8,FALSE),"0")</f>
        <v>0</v>
      </c>
      <c r="K8567" s="4"/>
      <c r="L8567" s="33" t="str">
        <f>IFERROR(VLOOKUP($J8567,'Informations sur les produits'!$A$3:$H$10000,8,FALSE),"0")</f>
        <v>0</v>
      </c>
      <c r="N8567" s="8"/>
      <c r="O8567" s="33" t="str">
        <f>IFERROR(VLOOKUP($M8567,'Informations sur les produits'!$A$3:$H$10000,8,FALSE),"0")</f>
        <v>0</v>
      </c>
      <c r="P8567" s="33">
        <f t="shared" si="532"/>
        <v>0</v>
      </c>
      <c r="Q8567" s="31" t="str">
        <f t="shared" si="533"/>
        <v/>
      </c>
      <c r="R8567" s="32" t="str">
        <f>IFERROR(VLOOKUP($D8567,'Informations sur les produits'!$A$3:$B$15000,2,FALSE),"")</f>
        <v/>
      </c>
      <c r="V8567">
        <f t="shared" si="534"/>
        <v>0</v>
      </c>
      <c r="W8567">
        <f t="shared" si="535"/>
        <v>0</v>
      </c>
    </row>
    <row r="8568" spans="5:23" x14ac:dyDescent="0.25">
      <c r="E8568" s="4"/>
      <c r="F8568" s="4"/>
      <c r="G8568" s="33" t="str">
        <f>IFERROR(VLOOKUP($D8568,'Informations sur les produits'!$A$3:$H$10000,8,FALSE),"0")</f>
        <v>0</v>
      </c>
      <c r="K8568" s="4"/>
      <c r="L8568" s="33" t="str">
        <f>IFERROR(VLOOKUP($J8568,'Informations sur les produits'!$A$3:$H$10000,8,FALSE),"0")</f>
        <v>0</v>
      </c>
      <c r="N8568" s="8"/>
      <c r="O8568" s="33" t="str">
        <f>IFERROR(VLOOKUP($M8568,'Informations sur les produits'!$A$3:$H$10000,8,FALSE),"0")</f>
        <v>0</v>
      </c>
      <c r="P8568" s="33">
        <f t="shared" si="532"/>
        <v>0</v>
      </c>
      <c r="Q8568" s="31" t="str">
        <f t="shared" si="533"/>
        <v/>
      </c>
      <c r="R8568" s="32" t="str">
        <f>IFERROR(VLOOKUP($D8568,'Informations sur les produits'!$A$3:$B$15000,2,FALSE),"")</f>
        <v/>
      </c>
      <c r="V8568">
        <f t="shared" si="534"/>
        <v>0</v>
      </c>
      <c r="W8568">
        <f t="shared" si="535"/>
        <v>0</v>
      </c>
    </row>
    <row r="8569" spans="5:23" x14ac:dyDescent="0.25">
      <c r="E8569" s="4"/>
      <c r="F8569" s="4"/>
      <c r="G8569" s="33" t="str">
        <f>IFERROR(VLOOKUP($D8569,'Informations sur les produits'!$A$3:$H$10000,8,FALSE),"0")</f>
        <v>0</v>
      </c>
      <c r="K8569" s="4"/>
      <c r="L8569" s="33" t="str">
        <f>IFERROR(VLOOKUP($J8569,'Informations sur les produits'!$A$3:$H$10000,8,FALSE),"0")</f>
        <v>0</v>
      </c>
      <c r="N8569" s="8"/>
      <c r="O8569" s="33" t="str">
        <f>IFERROR(VLOOKUP($M8569,'Informations sur les produits'!$A$3:$H$10000,8,FALSE),"0")</f>
        <v>0</v>
      </c>
      <c r="P8569" s="33">
        <f t="shared" si="532"/>
        <v>0</v>
      </c>
      <c r="Q8569" s="31" t="str">
        <f t="shared" si="533"/>
        <v/>
      </c>
      <c r="R8569" s="32" t="str">
        <f>IFERROR(VLOOKUP($D8569,'Informations sur les produits'!$A$3:$B$15000,2,FALSE),"")</f>
        <v/>
      </c>
      <c r="V8569">
        <f t="shared" si="534"/>
        <v>0</v>
      </c>
      <c r="W8569">
        <f t="shared" si="535"/>
        <v>0</v>
      </c>
    </row>
    <row r="8570" spans="5:23" x14ac:dyDescent="0.25">
      <c r="E8570" s="4"/>
      <c r="F8570" s="4"/>
      <c r="G8570" s="33" t="str">
        <f>IFERROR(VLOOKUP($D8570,'Informations sur les produits'!$A$3:$H$10000,8,FALSE),"0")</f>
        <v>0</v>
      </c>
      <c r="K8570" s="4"/>
      <c r="L8570" s="33" t="str">
        <f>IFERROR(VLOOKUP($J8570,'Informations sur les produits'!$A$3:$H$10000,8,FALSE),"0")</f>
        <v>0</v>
      </c>
      <c r="N8570" s="8"/>
      <c r="O8570" s="33" t="str">
        <f>IFERROR(VLOOKUP($M8570,'Informations sur les produits'!$A$3:$H$10000,8,FALSE),"0")</f>
        <v>0</v>
      </c>
      <c r="P8570" s="33">
        <f t="shared" si="532"/>
        <v>0</v>
      </c>
      <c r="Q8570" s="31" t="str">
        <f t="shared" si="533"/>
        <v/>
      </c>
      <c r="R8570" s="32" t="str">
        <f>IFERROR(VLOOKUP($D8570,'Informations sur les produits'!$A$3:$B$15000,2,FALSE),"")</f>
        <v/>
      </c>
      <c r="V8570">
        <f t="shared" si="534"/>
        <v>0</v>
      </c>
      <c r="W8570">
        <f t="shared" si="535"/>
        <v>0</v>
      </c>
    </row>
    <row r="8571" spans="5:23" x14ac:dyDescent="0.25">
      <c r="E8571" s="4"/>
      <c r="F8571" s="4"/>
      <c r="G8571" s="33" t="str">
        <f>IFERROR(VLOOKUP($D8571,'Informations sur les produits'!$A$3:$H$10000,8,FALSE),"0")</f>
        <v>0</v>
      </c>
      <c r="K8571" s="4"/>
      <c r="L8571" s="33" t="str">
        <f>IFERROR(VLOOKUP($J8571,'Informations sur les produits'!$A$3:$H$10000,8,FALSE),"0")</f>
        <v>0</v>
      </c>
      <c r="N8571" s="8"/>
      <c r="O8571" s="33" t="str">
        <f>IFERROR(VLOOKUP($M8571,'Informations sur les produits'!$A$3:$H$10000,8,FALSE),"0")</f>
        <v>0</v>
      </c>
      <c r="P8571" s="33">
        <f t="shared" si="532"/>
        <v>0</v>
      </c>
      <c r="Q8571" s="31" t="str">
        <f t="shared" si="533"/>
        <v/>
      </c>
      <c r="R8571" s="32" t="str">
        <f>IFERROR(VLOOKUP($D8571,'Informations sur les produits'!$A$3:$B$15000,2,FALSE),"")</f>
        <v/>
      </c>
      <c r="V8571">
        <f t="shared" si="534"/>
        <v>0</v>
      </c>
      <c r="W8571">
        <f t="shared" si="535"/>
        <v>0</v>
      </c>
    </row>
    <row r="8572" spans="5:23" x14ac:dyDescent="0.25">
      <c r="E8572" s="4"/>
      <c r="F8572" s="4"/>
      <c r="G8572" s="33" t="str">
        <f>IFERROR(VLOOKUP($D8572,'Informations sur les produits'!$A$3:$H$10000,8,FALSE),"0")</f>
        <v>0</v>
      </c>
      <c r="K8572" s="4"/>
      <c r="L8572" s="33" t="str">
        <f>IFERROR(VLOOKUP($J8572,'Informations sur les produits'!$A$3:$H$10000,8,FALSE),"0")</f>
        <v>0</v>
      </c>
      <c r="N8572" s="8"/>
      <c r="O8572" s="33" t="str">
        <f>IFERROR(VLOOKUP($M8572,'Informations sur les produits'!$A$3:$H$10000,8,FALSE),"0")</f>
        <v>0</v>
      </c>
      <c r="P8572" s="33">
        <f t="shared" si="532"/>
        <v>0</v>
      </c>
      <c r="Q8572" s="31" t="str">
        <f t="shared" si="533"/>
        <v/>
      </c>
      <c r="R8572" s="32" t="str">
        <f>IFERROR(VLOOKUP($D8572,'Informations sur les produits'!$A$3:$B$15000,2,FALSE),"")</f>
        <v/>
      </c>
      <c r="V8572">
        <f t="shared" si="534"/>
        <v>0</v>
      </c>
      <c r="W8572">
        <f t="shared" si="535"/>
        <v>0</v>
      </c>
    </row>
    <row r="8573" spans="5:23" x14ac:dyDescent="0.25">
      <c r="E8573" s="4"/>
      <c r="F8573" s="4"/>
      <c r="G8573" s="33" t="str">
        <f>IFERROR(VLOOKUP($D8573,'Informations sur les produits'!$A$3:$H$10000,8,FALSE),"0")</f>
        <v>0</v>
      </c>
      <c r="K8573" s="4"/>
      <c r="L8573" s="33" t="str">
        <f>IFERROR(VLOOKUP($J8573,'Informations sur les produits'!$A$3:$H$10000,8,FALSE),"0")</f>
        <v>0</v>
      </c>
      <c r="N8573" s="8"/>
      <c r="O8573" s="33" t="str">
        <f>IFERROR(VLOOKUP($M8573,'Informations sur les produits'!$A$3:$H$10000,8,FALSE),"0")</f>
        <v>0</v>
      </c>
      <c r="P8573" s="33">
        <f t="shared" si="532"/>
        <v>0</v>
      </c>
      <c r="Q8573" s="31" t="str">
        <f t="shared" si="533"/>
        <v/>
      </c>
      <c r="R8573" s="32" t="str">
        <f>IFERROR(VLOOKUP($D8573,'Informations sur les produits'!$A$3:$B$15000,2,FALSE),"")</f>
        <v/>
      </c>
      <c r="V8573">
        <f t="shared" si="534"/>
        <v>0</v>
      </c>
      <c r="W8573">
        <f t="shared" si="535"/>
        <v>0</v>
      </c>
    </row>
    <row r="8574" spans="5:23" x14ac:dyDescent="0.25">
      <c r="E8574" s="4"/>
      <c r="F8574" s="4"/>
      <c r="G8574" s="33" t="str">
        <f>IFERROR(VLOOKUP($D8574,'Informations sur les produits'!$A$3:$H$10000,8,FALSE),"0")</f>
        <v>0</v>
      </c>
      <c r="K8574" s="4"/>
      <c r="L8574" s="33" t="str">
        <f>IFERROR(VLOOKUP($J8574,'Informations sur les produits'!$A$3:$H$10000,8,FALSE),"0")</f>
        <v>0</v>
      </c>
      <c r="N8574" s="8"/>
      <c r="O8574" s="33" t="str">
        <f>IFERROR(VLOOKUP($M8574,'Informations sur les produits'!$A$3:$H$10000,8,FALSE),"0")</f>
        <v>0</v>
      </c>
      <c r="P8574" s="33">
        <f t="shared" si="532"/>
        <v>0</v>
      </c>
      <c r="Q8574" s="31" t="str">
        <f t="shared" si="533"/>
        <v/>
      </c>
      <c r="R8574" s="32" t="str">
        <f>IFERROR(VLOOKUP($D8574,'Informations sur les produits'!$A$3:$B$15000,2,FALSE),"")</f>
        <v/>
      </c>
      <c r="V8574">
        <f t="shared" si="534"/>
        <v>0</v>
      </c>
      <c r="W8574">
        <f t="shared" si="535"/>
        <v>0</v>
      </c>
    </row>
    <row r="8575" spans="5:23" x14ac:dyDescent="0.25">
      <c r="E8575" s="4"/>
      <c r="F8575" s="4"/>
      <c r="G8575" s="33" t="str">
        <f>IFERROR(VLOOKUP($D8575,'Informations sur les produits'!$A$3:$H$10000,8,FALSE),"0")</f>
        <v>0</v>
      </c>
      <c r="K8575" s="4"/>
      <c r="L8575" s="33" t="str">
        <f>IFERROR(VLOOKUP($J8575,'Informations sur les produits'!$A$3:$H$10000,8,FALSE),"0")</f>
        <v>0</v>
      </c>
      <c r="N8575" s="8"/>
      <c r="O8575" s="33" t="str">
        <f>IFERROR(VLOOKUP($M8575,'Informations sur les produits'!$A$3:$H$10000,8,FALSE),"0")</f>
        <v>0</v>
      </c>
      <c r="P8575" s="33">
        <f t="shared" si="532"/>
        <v>0</v>
      </c>
      <c r="Q8575" s="31" t="str">
        <f t="shared" si="533"/>
        <v/>
      </c>
      <c r="R8575" s="32" t="str">
        <f>IFERROR(VLOOKUP($D8575,'Informations sur les produits'!$A$3:$B$15000,2,FALSE),"")</f>
        <v/>
      </c>
      <c r="V8575">
        <f t="shared" si="534"/>
        <v>0</v>
      </c>
      <c r="W8575">
        <f t="shared" si="535"/>
        <v>0</v>
      </c>
    </row>
    <row r="8576" spans="5:23" x14ac:dyDescent="0.25">
      <c r="E8576" s="4"/>
      <c r="F8576" s="4"/>
      <c r="G8576" s="33" t="str">
        <f>IFERROR(VLOOKUP($D8576,'Informations sur les produits'!$A$3:$H$10000,8,FALSE),"0")</f>
        <v>0</v>
      </c>
      <c r="K8576" s="4"/>
      <c r="L8576" s="33" t="str">
        <f>IFERROR(VLOOKUP($J8576,'Informations sur les produits'!$A$3:$H$10000,8,FALSE),"0")</f>
        <v>0</v>
      </c>
      <c r="N8576" s="8"/>
      <c r="O8576" s="33" t="str">
        <f>IFERROR(VLOOKUP($M8576,'Informations sur les produits'!$A$3:$H$10000,8,FALSE),"0")</f>
        <v>0</v>
      </c>
      <c r="P8576" s="33">
        <f t="shared" si="532"/>
        <v>0</v>
      </c>
      <c r="Q8576" s="31" t="str">
        <f t="shared" si="533"/>
        <v/>
      </c>
      <c r="R8576" s="32" t="str">
        <f>IFERROR(VLOOKUP($D8576,'Informations sur les produits'!$A$3:$B$15000,2,FALSE),"")</f>
        <v/>
      </c>
      <c r="V8576">
        <f t="shared" si="534"/>
        <v>0</v>
      </c>
      <c r="W8576">
        <f t="shared" si="535"/>
        <v>0</v>
      </c>
    </row>
    <row r="8577" spans="5:23" x14ac:dyDescent="0.25">
      <c r="E8577" s="4"/>
      <c r="F8577" s="4"/>
      <c r="G8577" s="33" t="str">
        <f>IFERROR(VLOOKUP($D8577,'Informations sur les produits'!$A$3:$H$10000,8,FALSE),"0")</f>
        <v>0</v>
      </c>
      <c r="K8577" s="4"/>
      <c r="L8577" s="33" t="str">
        <f>IFERROR(VLOOKUP($J8577,'Informations sur les produits'!$A$3:$H$10000,8,FALSE),"0")</f>
        <v>0</v>
      </c>
      <c r="N8577" s="8"/>
      <c r="O8577" s="33" t="str">
        <f>IFERROR(VLOOKUP($M8577,'Informations sur les produits'!$A$3:$H$10000,8,FALSE),"0")</f>
        <v>0</v>
      </c>
      <c r="P8577" s="33">
        <f t="shared" si="532"/>
        <v>0</v>
      </c>
      <c r="Q8577" s="31" t="str">
        <f t="shared" si="533"/>
        <v/>
      </c>
      <c r="R8577" s="32" t="str">
        <f>IFERROR(VLOOKUP($D8577,'Informations sur les produits'!$A$3:$B$15000,2,FALSE),"")</f>
        <v/>
      </c>
      <c r="V8577">
        <f t="shared" si="534"/>
        <v>0</v>
      </c>
      <c r="W8577">
        <f t="shared" si="535"/>
        <v>0</v>
      </c>
    </row>
    <row r="8578" spans="5:23" x14ac:dyDescent="0.25">
      <c r="E8578" s="4"/>
      <c r="F8578" s="4"/>
      <c r="G8578" s="33" t="str">
        <f>IFERROR(VLOOKUP($D8578,'Informations sur les produits'!$A$3:$H$10000,8,FALSE),"0")</f>
        <v>0</v>
      </c>
      <c r="K8578" s="4"/>
      <c r="L8578" s="33" t="str">
        <f>IFERROR(VLOOKUP($J8578,'Informations sur les produits'!$A$3:$H$10000,8,FALSE),"0")</f>
        <v>0</v>
      </c>
      <c r="N8578" s="8"/>
      <c r="O8578" s="33" t="str">
        <f>IFERROR(VLOOKUP($M8578,'Informations sur les produits'!$A$3:$H$10000,8,FALSE),"0")</f>
        <v>0</v>
      </c>
      <c r="P8578" s="33">
        <f t="shared" si="532"/>
        <v>0</v>
      </c>
      <c r="Q8578" s="31" t="str">
        <f t="shared" si="533"/>
        <v/>
      </c>
      <c r="R8578" s="32" t="str">
        <f>IFERROR(VLOOKUP($D8578,'Informations sur les produits'!$A$3:$B$15000,2,FALSE),"")</f>
        <v/>
      </c>
      <c r="V8578">
        <f t="shared" si="534"/>
        <v>0</v>
      </c>
      <c r="W8578">
        <f t="shared" si="535"/>
        <v>0</v>
      </c>
    </row>
    <row r="8579" spans="5:23" x14ac:dyDescent="0.25">
      <c r="E8579" s="4"/>
      <c r="F8579" s="4"/>
      <c r="G8579" s="33" t="str">
        <f>IFERROR(VLOOKUP($D8579,'Informations sur les produits'!$A$3:$H$10000,8,FALSE),"0")</f>
        <v>0</v>
      </c>
      <c r="K8579" s="4"/>
      <c r="L8579" s="33" t="str">
        <f>IFERROR(VLOOKUP($J8579,'Informations sur les produits'!$A$3:$H$10000,8,FALSE),"0")</f>
        <v>0</v>
      </c>
      <c r="N8579" s="8"/>
      <c r="O8579" s="33" t="str">
        <f>IFERROR(VLOOKUP($M8579,'Informations sur les produits'!$A$3:$H$10000,8,FALSE),"0")</f>
        <v>0</v>
      </c>
      <c r="P8579" s="33">
        <f t="shared" si="532"/>
        <v>0</v>
      </c>
      <c r="Q8579" s="31" t="str">
        <f t="shared" si="533"/>
        <v/>
      </c>
      <c r="R8579" s="32" t="str">
        <f>IFERROR(VLOOKUP($D8579,'Informations sur les produits'!$A$3:$B$15000,2,FALSE),"")</f>
        <v/>
      </c>
      <c r="V8579">
        <f t="shared" si="534"/>
        <v>0</v>
      </c>
      <c r="W8579">
        <f t="shared" si="535"/>
        <v>0</v>
      </c>
    </row>
    <row r="8580" spans="5:23" x14ac:dyDescent="0.25">
      <c r="E8580" s="4"/>
      <c r="F8580" s="4"/>
      <c r="G8580" s="33" t="str">
        <f>IFERROR(VLOOKUP($D8580,'Informations sur les produits'!$A$3:$H$10000,8,FALSE),"0")</f>
        <v>0</v>
      </c>
      <c r="K8580" s="4"/>
      <c r="L8580" s="33" t="str">
        <f>IFERROR(VLOOKUP($J8580,'Informations sur les produits'!$A$3:$H$10000,8,FALSE),"0")</f>
        <v>0</v>
      </c>
      <c r="N8580" s="8"/>
      <c r="O8580" s="33" t="str">
        <f>IFERROR(VLOOKUP($M8580,'Informations sur les produits'!$A$3:$H$10000,8,FALSE),"0")</f>
        <v>0</v>
      </c>
      <c r="P8580" s="33">
        <f t="shared" ref="P8580:P8643" si="536">IFERROR((($E8580-$F8580)*$G8580+$K8580*$L8580+$N8580*$O8580),"")</f>
        <v>0</v>
      </c>
      <c r="Q8580" s="31" t="str">
        <f t="shared" ref="Q8580:Q8643" si="537">IFERROR((((($E8580-$F8580)*$G8580+$K8580*$L8580+$N8580*$O8580)*1000)/(($E8580-$F8580)+$K8580+$N8580)),"")</f>
        <v/>
      </c>
      <c r="R8580" s="32" t="str">
        <f>IFERROR(VLOOKUP($D8580,'Informations sur les produits'!$A$3:$B$15000,2,FALSE),"")</f>
        <v/>
      </c>
      <c r="V8580">
        <f t="shared" ref="V8580:V8643" si="538">IFERROR(P8580*1000,"")</f>
        <v>0</v>
      </c>
      <c r="W8580">
        <f t="shared" ref="W8580:W8643" si="539">IFERROR(($E8580-$F8580)+$K8580+$N8580,"")</f>
        <v>0</v>
      </c>
    </row>
    <row r="8581" spans="5:23" x14ac:dyDescent="0.25">
      <c r="E8581" s="4"/>
      <c r="F8581" s="4"/>
      <c r="G8581" s="33" t="str">
        <f>IFERROR(VLOOKUP($D8581,'Informations sur les produits'!$A$3:$H$10000,8,FALSE),"0")</f>
        <v>0</v>
      </c>
      <c r="K8581" s="4"/>
      <c r="L8581" s="33" t="str">
        <f>IFERROR(VLOOKUP($J8581,'Informations sur les produits'!$A$3:$H$10000,8,FALSE),"0")</f>
        <v>0</v>
      </c>
      <c r="N8581" s="8"/>
      <c r="O8581" s="33" t="str">
        <f>IFERROR(VLOOKUP($M8581,'Informations sur les produits'!$A$3:$H$10000,8,FALSE),"0")</f>
        <v>0</v>
      </c>
      <c r="P8581" s="33">
        <f t="shared" si="536"/>
        <v>0</v>
      </c>
      <c r="Q8581" s="31" t="str">
        <f t="shared" si="537"/>
        <v/>
      </c>
      <c r="R8581" s="32" t="str">
        <f>IFERROR(VLOOKUP($D8581,'Informations sur les produits'!$A$3:$B$15000,2,FALSE),"")</f>
        <v/>
      </c>
      <c r="V8581">
        <f t="shared" si="538"/>
        <v>0</v>
      </c>
      <c r="W8581">
        <f t="shared" si="539"/>
        <v>0</v>
      </c>
    </row>
    <row r="8582" spans="5:23" x14ac:dyDescent="0.25">
      <c r="E8582" s="4"/>
      <c r="F8582" s="4"/>
      <c r="G8582" s="33" t="str">
        <f>IFERROR(VLOOKUP($D8582,'Informations sur les produits'!$A$3:$H$10000,8,FALSE),"0")</f>
        <v>0</v>
      </c>
      <c r="K8582" s="4"/>
      <c r="L8582" s="33" t="str">
        <f>IFERROR(VLOOKUP($J8582,'Informations sur les produits'!$A$3:$H$10000,8,FALSE),"0")</f>
        <v>0</v>
      </c>
      <c r="N8582" s="8"/>
      <c r="O8582" s="33" t="str">
        <f>IFERROR(VLOOKUP($M8582,'Informations sur les produits'!$A$3:$H$10000,8,FALSE),"0")</f>
        <v>0</v>
      </c>
      <c r="P8582" s="33">
        <f t="shared" si="536"/>
        <v>0</v>
      </c>
      <c r="Q8582" s="31" t="str">
        <f t="shared" si="537"/>
        <v/>
      </c>
      <c r="R8582" s="32" t="str">
        <f>IFERROR(VLOOKUP($D8582,'Informations sur les produits'!$A$3:$B$15000,2,FALSE),"")</f>
        <v/>
      </c>
      <c r="V8582">
        <f t="shared" si="538"/>
        <v>0</v>
      </c>
      <c r="W8582">
        <f t="shared" si="539"/>
        <v>0</v>
      </c>
    </row>
    <row r="8583" spans="5:23" x14ac:dyDescent="0.25">
      <c r="E8583" s="4"/>
      <c r="F8583" s="4"/>
      <c r="G8583" s="33" t="str">
        <f>IFERROR(VLOOKUP($D8583,'Informations sur les produits'!$A$3:$H$10000,8,FALSE),"0")</f>
        <v>0</v>
      </c>
      <c r="K8583" s="4"/>
      <c r="L8583" s="33" t="str">
        <f>IFERROR(VLOOKUP($J8583,'Informations sur les produits'!$A$3:$H$10000,8,FALSE),"0")</f>
        <v>0</v>
      </c>
      <c r="N8583" s="8"/>
      <c r="O8583" s="33" t="str">
        <f>IFERROR(VLOOKUP($M8583,'Informations sur les produits'!$A$3:$H$10000,8,FALSE),"0")</f>
        <v>0</v>
      </c>
      <c r="P8583" s="33">
        <f t="shared" si="536"/>
        <v>0</v>
      </c>
      <c r="Q8583" s="31" t="str">
        <f t="shared" si="537"/>
        <v/>
      </c>
      <c r="R8583" s="32" t="str">
        <f>IFERROR(VLOOKUP($D8583,'Informations sur les produits'!$A$3:$B$15000,2,FALSE),"")</f>
        <v/>
      </c>
      <c r="V8583">
        <f t="shared" si="538"/>
        <v>0</v>
      </c>
      <c r="W8583">
        <f t="shared" si="539"/>
        <v>0</v>
      </c>
    </row>
    <row r="8584" spans="5:23" x14ac:dyDescent="0.25">
      <c r="E8584" s="4"/>
      <c r="F8584" s="4"/>
      <c r="G8584" s="33" t="str">
        <f>IFERROR(VLOOKUP($D8584,'Informations sur les produits'!$A$3:$H$10000,8,FALSE),"0")</f>
        <v>0</v>
      </c>
      <c r="K8584" s="4"/>
      <c r="L8584" s="33" t="str">
        <f>IFERROR(VLOOKUP($J8584,'Informations sur les produits'!$A$3:$H$10000,8,FALSE),"0")</f>
        <v>0</v>
      </c>
      <c r="N8584" s="8"/>
      <c r="O8584" s="33" t="str">
        <f>IFERROR(VLOOKUP($M8584,'Informations sur les produits'!$A$3:$H$10000,8,FALSE),"0")</f>
        <v>0</v>
      </c>
      <c r="P8584" s="33">
        <f t="shared" si="536"/>
        <v>0</v>
      </c>
      <c r="Q8584" s="31" t="str">
        <f t="shared" si="537"/>
        <v/>
      </c>
      <c r="R8584" s="32" t="str">
        <f>IFERROR(VLOOKUP($D8584,'Informations sur les produits'!$A$3:$B$15000,2,FALSE),"")</f>
        <v/>
      </c>
      <c r="V8584">
        <f t="shared" si="538"/>
        <v>0</v>
      </c>
      <c r="W8584">
        <f t="shared" si="539"/>
        <v>0</v>
      </c>
    </row>
    <row r="8585" spans="5:23" x14ac:dyDescent="0.25">
      <c r="E8585" s="4"/>
      <c r="F8585" s="4"/>
      <c r="G8585" s="33" t="str">
        <f>IFERROR(VLOOKUP($D8585,'Informations sur les produits'!$A$3:$H$10000,8,FALSE),"0")</f>
        <v>0</v>
      </c>
      <c r="K8585" s="4"/>
      <c r="L8585" s="33" t="str">
        <f>IFERROR(VLOOKUP($J8585,'Informations sur les produits'!$A$3:$H$10000,8,FALSE),"0")</f>
        <v>0</v>
      </c>
      <c r="N8585" s="8"/>
      <c r="O8585" s="33" t="str">
        <f>IFERROR(VLOOKUP($M8585,'Informations sur les produits'!$A$3:$H$10000,8,FALSE),"0")</f>
        <v>0</v>
      </c>
      <c r="P8585" s="33">
        <f t="shared" si="536"/>
        <v>0</v>
      </c>
      <c r="Q8585" s="31" t="str">
        <f t="shared" si="537"/>
        <v/>
      </c>
      <c r="R8585" s="32" t="str">
        <f>IFERROR(VLOOKUP($D8585,'Informations sur les produits'!$A$3:$B$15000,2,FALSE),"")</f>
        <v/>
      </c>
      <c r="V8585">
        <f t="shared" si="538"/>
        <v>0</v>
      </c>
      <c r="W8585">
        <f t="shared" si="539"/>
        <v>0</v>
      </c>
    </row>
    <row r="8586" spans="5:23" x14ac:dyDescent="0.25">
      <c r="E8586" s="4"/>
      <c r="F8586" s="4"/>
      <c r="G8586" s="33" t="str">
        <f>IFERROR(VLOOKUP($D8586,'Informations sur les produits'!$A$3:$H$10000,8,FALSE),"0")</f>
        <v>0</v>
      </c>
      <c r="K8586" s="4"/>
      <c r="L8586" s="33" t="str">
        <f>IFERROR(VLOOKUP($J8586,'Informations sur les produits'!$A$3:$H$10000,8,FALSE),"0")</f>
        <v>0</v>
      </c>
      <c r="N8586" s="8"/>
      <c r="O8586" s="33" t="str">
        <f>IFERROR(VLOOKUP($M8586,'Informations sur les produits'!$A$3:$H$10000,8,FALSE),"0")</f>
        <v>0</v>
      </c>
      <c r="P8586" s="33">
        <f t="shared" si="536"/>
        <v>0</v>
      </c>
      <c r="Q8586" s="31" t="str">
        <f t="shared" si="537"/>
        <v/>
      </c>
      <c r="R8586" s="32" t="str">
        <f>IFERROR(VLOOKUP($D8586,'Informations sur les produits'!$A$3:$B$15000,2,FALSE),"")</f>
        <v/>
      </c>
      <c r="V8586">
        <f t="shared" si="538"/>
        <v>0</v>
      </c>
      <c r="W8586">
        <f t="shared" si="539"/>
        <v>0</v>
      </c>
    </row>
    <row r="8587" spans="5:23" x14ac:dyDescent="0.25">
      <c r="E8587" s="4"/>
      <c r="F8587" s="4"/>
      <c r="G8587" s="33" t="str">
        <f>IFERROR(VLOOKUP($D8587,'Informations sur les produits'!$A$3:$H$10000,8,FALSE),"0")</f>
        <v>0</v>
      </c>
      <c r="K8587" s="4"/>
      <c r="L8587" s="33" t="str">
        <f>IFERROR(VLOOKUP($J8587,'Informations sur les produits'!$A$3:$H$10000,8,FALSE),"0")</f>
        <v>0</v>
      </c>
      <c r="N8587" s="8"/>
      <c r="O8587" s="33" t="str">
        <f>IFERROR(VLOOKUP($M8587,'Informations sur les produits'!$A$3:$H$10000,8,FALSE),"0")</f>
        <v>0</v>
      </c>
      <c r="P8587" s="33">
        <f t="shared" si="536"/>
        <v>0</v>
      </c>
      <c r="Q8587" s="31" t="str">
        <f t="shared" si="537"/>
        <v/>
      </c>
      <c r="R8587" s="32" t="str">
        <f>IFERROR(VLOOKUP($D8587,'Informations sur les produits'!$A$3:$B$15000,2,FALSE),"")</f>
        <v/>
      </c>
      <c r="V8587">
        <f t="shared" si="538"/>
        <v>0</v>
      </c>
      <c r="W8587">
        <f t="shared" si="539"/>
        <v>0</v>
      </c>
    </row>
    <row r="8588" spans="5:23" x14ac:dyDescent="0.25">
      <c r="E8588" s="4"/>
      <c r="F8588" s="4"/>
      <c r="G8588" s="33" t="str">
        <f>IFERROR(VLOOKUP($D8588,'Informations sur les produits'!$A$3:$H$10000,8,FALSE),"0")</f>
        <v>0</v>
      </c>
      <c r="K8588" s="4"/>
      <c r="L8588" s="33" t="str">
        <f>IFERROR(VLOOKUP($J8588,'Informations sur les produits'!$A$3:$H$10000,8,FALSE),"0")</f>
        <v>0</v>
      </c>
      <c r="N8588" s="8"/>
      <c r="O8588" s="33" t="str">
        <f>IFERROR(VLOOKUP($M8588,'Informations sur les produits'!$A$3:$H$10000,8,FALSE),"0")</f>
        <v>0</v>
      </c>
      <c r="P8588" s="33">
        <f t="shared" si="536"/>
        <v>0</v>
      </c>
      <c r="Q8588" s="31" t="str">
        <f t="shared" si="537"/>
        <v/>
      </c>
      <c r="R8588" s="32" t="str">
        <f>IFERROR(VLOOKUP($D8588,'Informations sur les produits'!$A$3:$B$15000,2,FALSE),"")</f>
        <v/>
      </c>
      <c r="V8588">
        <f t="shared" si="538"/>
        <v>0</v>
      </c>
      <c r="W8588">
        <f t="shared" si="539"/>
        <v>0</v>
      </c>
    </row>
    <row r="8589" spans="5:23" x14ac:dyDescent="0.25">
      <c r="E8589" s="4"/>
      <c r="F8589" s="4"/>
      <c r="G8589" s="33" t="str">
        <f>IFERROR(VLOOKUP($D8589,'Informations sur les produits'!$A$3:$H$10000,8,FALSE),"0")</f>
        <v>0</v>
      </c>
      <c r="K8589" s="4"/>
      <c r="L8589" s="33" t="str">
        <f>IFERROR(VLOOKUP($J8589,'Informations sur les produits'!$A$3:$H$10000,8,FALSE),"0")</f>
        <v>0</v>
      </c>
      <c r="N8589" s="8"/>
      <c r="O8589" s="33" t="str">
        <f>IFERROR(VLOOKUP($M8589,'Informations sur les produits'!$A$3:$H$10000,8,FALSE),"0")</f>
        <v>0</v>
      </c>
      <c r="P8589" s="33">
        <f t="shared" si="536"/>
        <v>0</v>
      </c>
      <c r="Q8589" s="31" t="str">
        <f t="shared" si="537"/>
        <v/>
      </c>
      <c r="R8589" s="32" t="str">
        <f>IFERROR(VLOOKUP($D8589,'Informations sur les produits'!$A$3:$B$15000,2,FALSE),"")</f>
        <v/>
      </c>
      <c r="V8589">
        <f t="shared" si="538"/>
        <v>0</v>
      </c>
      <c r="W8589">
        <f t="shared" si="539"/>
        <v>0</v>
      </c>
    </row>
    <row r="8590" spans="5:23" x14ac:dyDescent="0.25">
      <c r="E8590" s="4"/>
      <c r="F8590" s="4"/>
      <c r="G8590" s="33" t="str">
        <f>IFERROR(VLOOKUP($D8590,'Informations sur les produits'!$A$3:$H$10000,8,FALSE),"0")</f>
        <v>0</v>
      </c>
      <c r="K8590" s="4"/>
      <c r="L8590" s="33" t="str">
        <f>IFERROR(VLOOKUP($J8590,'Informations sur les produits'!$A$3:$H$10000,8,FALSE),"0")</f>
        <v>0</v>
      </c>
      <c r="N8590" s="8"/>
      <c r="O8590" s="33" t="str">
        <f>IFERROR(VLOOKUP($M8590,'Informations sur les produits'!$A$3:$H$10000,8,FALSE),"0")</f>
        <v>0</v>
      </c>
      <c r="P8590" s="33">
        <f t="shared" si="536"/>
        <v>0</v>
      </c>
      <c r="Q8590" s="31" t="str">
        <f t="shared" si="537"/>
        <v/>
      </c>
      <c r="R8590" s="32" t="str">
        <f>IFERROR(VLOOKUP($D8590,'Informations sur les produits'!$A$3:$B$15000,2,FALSE),"")</f>
        <v/>
      </c>
      <c r="V8590">
        <f t="shared" si="538"/>
        <v>0</v>
      </c>
      <c r="W8590">
        <f t="shared" si="539"/>
        <v>0</v>
      </c>
    </row>
    <row r="8591" spans="5:23" x14ac:dyDescent="0.25">
      <c r="E8591" s="4"/>
      <c r="F8591" s="4"/>
      <c r="G8591" s="33" t="str">
        <f>IFERROR(VLOOKUP($D8591,'Informations sur les produits'!$A$3:$H$10000,8,FALSE),"0")</f>
        <v>0</v>
      </c>
      <c r="K8591" s="4"/>
      <c r="L8591" s="33" t="str">
        <f>IFERROR(VLOOKUP($J8591,'Informations sur les produits'!$A$3:$H$10000,8,FALSE),"0")</f>
        <v>0</v>
      </c>
      <c r="N8591" s="8"/>
      <c r="O8591" s="33" t="str">
        <f>IFERROR(VLOOKUP($M8591,'Informations sur les produits'!$A$3:$H$10000,8,FALSE),"0")</f>
        <v>0</v>
      </c>
      <c r="P8591" s="33">
        <f t="shared" si="536"/>
        <v>0</v>
      </c>
      <c r="Q8591" s="31" t="str">
        <f t="shared" si="537"/>
        <v/>
      </c>
      <c r="R8591" s="32" t="str">
        <f>IFERROR(VLOOKUP($D8591,'Informations sur les produits'!$A$3:$B$15000,2,FALSE),"")</f>
        <v/>
      </c>
      <c r="V8591">
        <f t="shared" si="538"/>
        <v>0</v>
      </c>
      <c r="W8591">
        <f t="shared" si="539"/>
        <v>0</v>
      </c>
    </row>
    <row r="8592" spans="5:23" x14ac:dyDescent="0.25">
      <c r="E8592" s="4"/>
      <c r="F8592" s="4"/>
      <c r="G8592" s="33" t="str">
        <f>IFERROR(VLOOKUP($D8592,'Informations sur les produits'!$A$3:$H$10000,8,FALSE),"0")</f>
        <v>0</v>
      </c>
      <c r="K8592" s="4"/>
      <c r="L8592" s="33" t="str">
        <f>IFERROR(VLOOKUP($J8592,'Informations sur les produits'!$A$3:$H$10000,8,FALSE),"0")</f>
        <v>0</v>
      </c>
      <c r="N8592" s="8"/>
      <c r="O8592" s="33" t="str">
        <f>IFERROR(VLOOKUP($M8592,'Informations sur les produits'!$A$3:$H$10000,8,FALSE),"0")</f>
        <v>0</v>
      </c>
      <c r="P8592" s="33">
        <f t="shared" si="536"/>
        <v>0</v>
      </c>
      <c r="Q8592" s="31" t="str">
        <f t="shared" si="537"/>
        <v/>
      </c>
      <c r="R8592" s="32" t="str">
        <f>IFERROR(VLOOKUP($D8592,'Informations sur les produits'!$A$3:$B$15000,2,FALSE),"")</f>
        <v/>
      </c>
      <c r="V8592">
        <f t="shared" si="538"/>
        <v>0</v>
      </c>
      <c r="W8592">
        <f t="shared" si="539"/>
        <v>0</v>
      </c>
    </row>
    <row r="8593" spans="5:23" x14ac:dyDescent="0.25">
      <c r="E8593" s="4"/>
      <c r="F8593" s="4"/>
      <c r="G8593" s="33" t="str">
        <f>IFERROR(VLOOKUP($D8593,'Informations sur les produits'!$A$3:$H$10000,8,FALSE),"0")</f>
        <v>0</v>
      </c>
      <c r="K8593" s="4"/>
      <c r="L8593" s="33" t="str">
        <f>IFERROR(VLOOKUP($J8593,'Informations sur les produits'!$A$3:$H$10000,8,FALSE),"0")</f>
        <v>0</v>
      </c>
      <c r="N8593" s="8"/>
      <c r="O8593" s="33" t="str">
        <f>IFERROR(VLOOKUP($M8593,'Informations sur les produits'!$A$3:$H$10000,8,FALSE),"0")</f>
        <v>0</v>
      </c>
      <c r="P8593" s="33">
        <f t="shared" si="536"/>
        <v>0</v>
      </c>
      <c r="Q8593" s="31" t="str">
        <f t="shared" si="537"/>
        <v/>
      </c>
      <c r="R8593" s="32" t="str">
        <f>IFERROR(VLOOKUP($D8593,'Informations sur les produits'!$A$3:$B$15000,2,FALSE),"")</f>
        <v/>
      </c>
      <c r="V8593">
        <f t="shared" si="538"/>
        <v>0</v>
      </c>
      <c r="W8593">
        <f t="shared" si="539"/>
        <v>0</v>
      </c>
    </row>
    <row r="8594" spans="5:23" x14ac:dyDescent="0.25">
      <c r="E8594" s="4"/>
      <c r="F8594" s="4"/>
      <c r="G8594" s="33" t="str">
        <f>IFERROR(VLOOKUP($D8594,'Informations sur les produits'!$A$3:$H$10000,8,FALSE),"0")</f>
        <v>0</v>
      </c>
      <c r="K8594" s="4"/>
      <c r="L8594" s="33" t="str">
        <f>IFERROR(VLOOKUP($J8594,'Informations sur les produits'!$A$3:$H$10000,8,FALSE),"0")</f>
        <v>0</v>
      </c>
      <c r="N8594" s="8"/>
      <c r="O8594" s="33" t="str">
        <f>IFERROR(VLOOKUP($M8594,'Informations sur les produits'!$A$3:$H$10000,8,FALSE),"0")</f>
        <v>0</v>
      </c>
      <c r="P8594" s="33">
        <f t="shared" si="536"/>
        <v>0</v>
      </c>
      <c r="Q8594" s="31" t="str">
        <f t="shared" si="537"/>
        <v/>
      </c>
      <c r="R8594" s="32" t="str">
        <f>IFERROR(VLOOKUP($D8594,'Informations sur les produits'!$A$3:$B$15000,2,FALSE),"")</f>
        <v/>
      </c>
      <c r="V8594">
        <f t="shared" si="538"/>
        <v>0</v>
      </c>
      <c r="W8594">
        <f t="shared" si="539"/>
        <v>0</v>
      </c>
    </row>
    <row r="8595" spans="5:23" x14ac:dyDescent="0.25">
      <c r="E8595" s="4"/>
      <c r="F8595" s="4"/>
      <c r="G8595" s="33" t="str">
        <f>IFERROR(VLOOKUP($D8595,'Informations sur les produits'!$A$3:$H$10000,8,FALSE),"0")</f>
        <v>0</v>
      </c>
      <c r="K8595" s="4"/>
      <c r="L8595" s="33" t="str">
        <f>IFERROR(VLOOKUP($J8595,'Informations sur les produits'!$A$3:$H$10000,8,FALSE),"0")</f>
        <v>0</v>
      </c>
      <c r="N8595" s="8"/>
      <c r="O8595" s="33" t="str">
        <f>IFERROR(VLOOKUP($M8595,'Informations sur les produits'!$A$3:$H$10000,8,FALSE),"0")</f>
        <v>0</v>
      </c>
      <c r="P8595" s="33">
        <f t="shared" si="536"/>
        <v>0</v>
      </c>
      <c r="Q8595" s="31" t="str">
        <f t="shared" si="537"/>
        <v/>
      </c>
      <c r="R8595" s="32" t="str">
        <f>IFERROR(VLOOKUP($D8595,'Informations sur les produits'!$A$3:$B$15000,2,FALSE),"")</f>
        <v/>
      </c>
      <c r="V8595">
        <f t="shared" si="538"/>
        <v>0</v>
      </c>
      <c r="W8595">
        <f t="shared" si="539"/>
        <v>0</v>
      </c>
    </row>
    <row r="8596" spans="5:23" x14ac:dyDescent="0.25">
      <c r="E8596" s="4"/>
      <c r="F8596" s="4"/>
      <c r="G8596" s="33" t="str">
        <f>IFERROR(VLOOKUP($D8596,'Informations sur les produits'!$A$3:$H$10000,8,FALSE),"0")</f>
        <v>0</v>
      </c>
      <c r="K8596" s="4"/>
      <c r="L8596" s="33" t="str">
        <f>IFERROR(VLOOKUP($J8596,'Informations sur les produits'!$A$3:$H$10000,8,FALSE),"0")</f>
        <v>0</v>
      </c>
      <c r="N8596" s="8"/>
      <c r="O8596" s="33" t="str">
        <f>IFERROR(VLOOKUP($M8596,'Informations sur les produits'!$A$3:$H$10000,8,FALSE),"0")</f>
        <v>0</v>
      </c>
      <c r="P8596" s="33">
        <f t="shared" si="536"/>
        <v>0</v>
      </c>
      <c r="Q8596" s="31" t="str">
        <f t="shared" si="537"/>
        <v/>
      </c>
      <c r="R8596" s="32" t="str">
        <f>IFERROR(VLOOKUP($D8596,'Informations sur les produits'!$A$3:$B$15000,2,FALSE),"")</f>
        <v/>
      </c>
      <c r="V8596">
        <f t="shared" si="538"/>
        <v>0</v>
      </c>
      <c r="W8596">
        <f t="shared" si="539"/>
        <v>0</v>
      </c>
    </row>
    <row r="8597" spans="5:23" x14ac:dyDescent="0.25">
      <c r="E8597" s="4"/>
      <c r="F8597" s="4"/>
      <c r="G8597" s="33" t="str">
        <f>IFERROR(VLOOKUP($D8597,'Informations sur les produits'!$A$3:$H$10000,8,FALSE),"0")</f>
        <v>0</v>
      </c>
      <c r="K8597" s="4"/>
      <c r="L8597" s="33" t="str">
        <f>IFERROR(VLOOKUP($J8597,'Informations sur les produits'!$A$3:$H$10000,8,FALSE),"0")</f>
        <v>0</v>
      </c>
      <c r="N8597" s="8"/>
      <c r="O8597" s="33" t="str">
        <f>IFERROR(VLOOKUP($M8597,'Informations sur les produits'!$A$3:$H$10000,8,FALSE),"0")</f>
        <v>0</v>
      </c>
      <c r="P8597" s="33">
        <f t="shared" si="536"/>
        <v>0</v>
      </c>
      <c r="Q8597" s="31" t="str">
        <f t="shared" si="537"/>
        <v/>
      </c>
      <c r="R8597" s="32" t="str">
        <f>IFERROR(VLOOKUP($D8597,'Informations sur les produits'!$A$3:$B$15000,2,FALSE),"")</f>
        <v/>
      </c>
      <c r="V8597">
        <f t="shared" si="538"/>
        <v>0</v>
      </c>
      <c r="W8597">
        <f t="shared" si="539"/>
        <v>0</v>
      </c>
    </row>
    <row r="8598" spans="5:23" x14ac:dyDescent="0.25">
      <c r="E8598" s="4"/>
      <c r="F8598" s="4"/>
      <c r="G8598" s="33" t="str">
        <f>IFERROR(VLOOKUP($D8598,'Informations sur les produits'!$A$3:$H$10000,8,FALSE),"0")</f>
        <v>0</v>
      </c>
      <c r="K8598" s="4"/>
      <c r="L8598" s="33" t="str">
        <f>IFERROR(VLOOKUP($J8598,'Informations sur les produits'!$A$3:$H$10000,8,FALSE),"0")</f>
        <v>0</v>
      </c>
      <c r="N8598" s="8"/>
      <c r="O8598" s="33" t="str">
        <f>IFERROR(VLOOKUP($M8598,'Informations sur les produits'!$A$3:$H$10000,8,FALSE),"0")</f>
        <v>0</v>
      </c>
      <c r="P8598" s="33">
        <f t="shared" si="536"/>
        <v>0</v>
      </c>
      <c r="Q8598" s="31" t="str">
        <f t="shared" si="537"/>
        <v/>
      </c>
      <c r="R8598" s="32" t="str">
        <f>IFERROR(VLOOKUP($D8598,'Informations sur les produits'!$A$3:$B$15000,2,FALSE),"")</f>
        <v/>
      </c>
      <c r="V8598">
        <f t="shared" si="538"/>
        <v>0</v>
      </c>
      <c r="W8598">
        <f t="shared" si="539"/>
        <v>0</v>
      </c>
    </row>
    <row r="8599" spans="5:23" x14ac:dyDescent="0.25">
      <c r="E8599" s="4"/>
      <c r="F8599" s="4"/>
      <c r="G8599" s="33" t="str">
        <f>IFERROR(VLOOKUP($D8599,'Informations sur les produits'!$A$3:$H$10000,8,FALSE),"0")</f>
        <v>0</v>
      </c>
      <c r="K8599" s="4"/>
      <c r="L8599" s="33" t="str">
        <f>IFERROR(VLOOKUP($J8599,'Informations sur les produits'!$A$3:$H$10000,8,FALSE),"0")</f>
        <v>0</v>
      </c>
      <c r="N8599" s="8"/>
      <c r="O8599" s="33" t="str">
        <f>IFERROR(VLOOKUP($M8599,'Informations sur les produits'!$A$3:$H$10000,8,FALSE),"0")</f>
        <v>0</v>
      </c>
      <c r="P8599" s="33">
        <f t="shared" si="536"/>
        <v>0</v>
      </c>
      <c r="Q8599" s="31" t="str">
        <f t="shared" si="537"/>
        <v/>
      </c>
      <c r="R8599" s="32" t="str">
        <f>IFERROR(VLOOKUP($D8599,'Informations sur les produits'!$A$3:$B$15000,2,FALSE),"")</f>
        <v/>
      </c>
      <c r="V8599">
        <f t="shared" si="538"/>
        <v>0</v>
      </c>
      <c r="W8599">
        <f t="shared" si="539"/>
        <v>0</v>
      </c>
    </row>
    <row r="8600" spans="5:23" x14ac:dyDescent="0.25">
      <c r="E8600" s="4"/>
      <c r="F8600" s="4"/>
      <c r="G8600" s="33" t="str">
        <f>IFERROR(VLOOKUP($D8600,'Informations sur les produits'!$A$3:$H$10000,8,FALSE),"0")</f>
        <v>0</v>
      </c>
      <c r="K8600" s="4"/>
      <c r="L8600" s="33" t="str">
        <f>IFERROR(VLOOKUP($J8600,'Informations sur les produits'!$A$3:$H$10000,8,FALSE),"0")</f>
        <v>0</v>
      </c>
      <c r="N8600" s="8"/>
      <c r="O8600" s="33" t="str">
        <f>IFERROR(VLOOKUP($M8600,'Informations sur les produits'!$A$3:$H$10000,8,FALSE),"0")</f>
        <v>0</v>
      </c>
      <c r="P8600" s="33">
        <f t="shared" si="536"/>
        <v>0</v>
      </c>
      <c r="Q8600" s="31" t="str">
        <f t="shared" si="537"/>
        <v/>
      </c>
      <c r="R8600" s="32" t="str">
        <f>IFERROR(VLOOKUP($D8600,'Informations sur les produits'!$A$3:$B$15000,2,FALSE),"")</f>
        <v/>
      </c>
      <c r="V8600">
        <f t="shared" si="538"/>
        <v>0</v>
      </c>
      <c r="W8600">
        <f t="shared" si="539"/>
        <v>0</v>
      </c>
    </row>
    <row r="8601" spans="5:23" x14ac:dyDescent="0.25">
      <c r="E8601" s="4"/>
      <c r="F8601" s="4"/>
      <c r="G8601" s="33" t="str">
        <f>IFERROR(VLOOKUP($D8601,'Informations sur les produits'!$A$3:$H$10000,8,FALSE),"0")</f>
        <v>0</v>
      </c>
      <c r="K8601" s="4"/>
      <c r="L8601" s="33" t="str">
        <f>IFERROR(VLOOKUP($J8601,'Informations sur les produits'!$A$3:$H$10000,8,FALSE),"0")</f>
        <v>0</v>
      </c>
      <c r="N8601" s="8"/>
      <c r="O8601" s="33" t="str">
        <f>IFERROR(VLOOKUP($M8601,'Informations sur les produits'!$A$3:$H$10000,8,FALSE),"0")</f>
        <v>0</v>
      </c>
      <c r="P8601" s="33">
        <f t="shared" si="536"/>
        <v>0</v>
      </c>
      <c r="Q8601" s="31" t="str">
        <f t="shared" si="537"/>
        <v/>
      </c>
      <c r="R8601" s="32" t="str">
        <f>IFERROR(VLOOKUP($D8601,'Informations sur les produits'!$A$3:$B$15000,2,FALSE),"")</f>
        <v/>
      </c>
      <c r="V8601">
        <f t="shared" si="538"/>
        <v>0</v>
      </c>
      <c r="W8601">
        <f t="shared" si="539"/>
        <v>0</v>
      </c>
    </row>
    <row r="8602" spans="5:23" x14ac:dyDescent="0.25">
      <c r="E8602" s="4"/>
      <c r="F8602" s="4"/>
      <c r="G8602" s="33" t="str">
        <f>IFERROR(VLOOKUP($D8602,'Informations sur les produits'!$A$3:$H$10000,8,FALSE),"0")</f>
        <v>0</v>
      </c>
      <c r="K8602" s="4"/>
      <c r="L8602" s="33" t="str">
        <f>IFERROR(VLOOKUP($J8602,'Informations sur les produits'!$A$3:$H$10000,8,FALSE),"0")</f>
        <v>0</v>
      </c>
      <c r="N8602" s="8"/>
      <c r="O8602" s="33" t="str">
        <f>IFERROR(VLOOKUP($M8602,'Informations sur les produits'!$A$3:$H$10000,8,FALSE),"0")</f>
        <v>0</v>
      </c>
      <c r="P8602" s="33">
        <f t="shared" si="536"/>
        <v>0</v>
      </c>
      <c r="Q8602" s="31" t="str">
        <f t="shared" si="537"/>
        <v/>
      </c>
      <c r="R8602" s="32" t="str">
        <f>IFERROR(VLOOKUP($D8602,'Informations sur les produits'!$A$3:$B$15000,2,FALSE),"")</f>
        <v/>
      </c>
      <c r="V8602">
        <f t="shared" si="538"/>
        <v>0</v>
      </c>
      <c r="W8602">
        <f t="shared" si="539"/>
        <v>0</v>
      </c>
    </row>
    <row r="8603" spans="5:23" x14ac:dyDescent="0.25">
      <c r="E8603" s="4"/>
      <c r="F8603" s="4"/>
      <c r="G8603" s="33" t="str">
        <f>IFERROR(VLOOKUP($D8603,'Informations sur les produits'!$A$3:$H$10000,8,FALSE),"0")</f>
        <v>0</v>
      </c>
      <c r="K8603" s="4"/>
      <c r="L8603" s="33" t="str">
        <f>IFERROR(VLOOKUP($J8603,'Informations sur les produits'!$A$3:$H$10000,8,FALSE),"0")</f>
        <v>0</v>
      </c>
      <c r="N8603" s="8"/>
      <c r="O8603" s="33" t="str">
        <f>IFERROR(VLOOKUP($M8603,'Informations sur les produits'!$A$3:$H$10000,8,FALSE),"0")</f>
        <v>0</v>
      </c>
      <c r="P8603" s="33">
        <f t="shared" si="536"/>
        <v>0</v>
      </c>
      <c r="Q8603" s="31" t="str">
        <f t="shared" si="537"/>
        <v/>
      </c>
      <c r="R8603" s="32" t="str">
        <f>IFERROR(VLOOKUP($D8603,'Informations sur les produits'!$A$3:$B$15000,2,FALSE),"")</f>
        <v/>
      </c>
      <c r="V8603">
        <f t="shared" si="538"/>
        <v>0</v>
      </c>
      <c r="W8603">
        <f t="shared" si="539"/>
        <v>0</v>
      </c>
    </row>
    <row r="8604" spans="5:23" x14ac:dyDescent="0.25">
      <c r="E8604" s="4"/>
      <c r="F8604" s="4"/>
      <c r="G8604" s="33" t="str">
        <f>IFERROR(VLOOKUP($D8604,'Informations sur les produits'!$A$3:$H$10000,8,FALSE),"0")</f>
        <v>0</v>
      </c>
      <c r="K8604" s="4"/>
      <c r="L8604" s="33" t="str">
        <f>IFERROR(VLOOKUP($J8604,'Informations sur les produits'!$A$3:$H$10000,8,FALSE),"0")</f>
        <v>0</v>
      </c>
      <c r="N8604" s="8"/>
      <c r="O8604" s="33" t="str">
        <f>IFERROR(VLOOKUP($M8604,'Informations sur les produits'!$A$3:$H$10000,8,FALSE),"0")</f>
        <v>0</v>
      </c>
      <c r="P8604" s="33">
        <f t="shared" si="536"/>
        <v>0</v>
      </c>
      <c r="Q8604" s="31" t="str">
        <f t="shared" si="537"/>
        <v/>
      </c>
      <c r="R8604" s="32" t="str">
        <f>IFERROR(VLOOKUP($D8604,'Informations sur les produits'!$A$3:$B$15000,2,FALSE),"")</f>
        <v/>
      </c>
      <c r="V8604">
        <f t="shared" si="538"/>
        <v>0</v>
      </c>
      <c r="W8604">
        <f t="shared" si="539"/>
        <v>0</v>
      </c>
    </row>
    <row r="8605" spans="5:23" x14ac:dyDescent="0.25">
      <c r="E8605" s="4"/>
      <c r="F8605" s="4"/>
      <c r="G8605" s="33" t="str">
        <f>IFERROR(VLOOKUP($D8605,'Informations sur les produits'!$A$3:$H$10000,8,FALSE),"0")</f>
        <v>0</v>
      </c>
      <c r="K8605" s="4"/>
      <c r="L8605" s="33" t="str">
        <f>IFERROR(VLOOKUP($J8605,'Informations sur les produits'!$A$3:$H$10000,8,FALSE),"0")</f>
        <v>0</v>
      </c>
      <c r="N8605" s="8"/>
      <c r="O8605" s="33" t="str">
        <f>IFERROR(VLOOKUP($M8605,'Informations sur les produits'!$A$3:$H$10000,8,FALSE),"0")</f>
        <v>0</v>
      </c>
      <c r="P8605" s="33">
        <f t="shared" si="536"/>
        <v>0</v>
      </c>
      <c r="Q8605" s="31" t="str">
        <f t="shared" si="537"/>
        <v/>
      </c>
      <c r="R8605" s="32" t="str">
        <f>IFERROR(VLOOKUP($D8605,'Informations sur les produits'!$A$3:$B$15000,2,FALSE),"")</f>
        <v/>
      </c>
      <c r="V8605">
        <f t="shared" si="538"/>
        <v>0</v>
      </c>
      <c r="W8605">
        <f t="shared" si="539"/>
        <v>0</v>
      </c>
    </row>
    <row r="8606" spans="5:23" x14ac:dyDescent="0.25">
      <c r="E8606" s="4"/>
      <c r="F8606" s="4"/>
      <c r="G8606" s="33" t="str">
        <f>IFERROR(VLOOKUP($D8606,'Informations sur les produits'!$A$3:$H$10000,8,FALSE),"0")</f>
        <v>0</v>
      </c>
      <c r="K8606" s="4"/>
      <c r="L8606" s="33" t="str">
        <f>IFERROR(VLOOKUP($J8606,'Informations sur les produits'!$A$3:$H$10000,8,FALSE),"0")</f>
        <v>0</v>
      </c>
      <c r="N8606" s="8"/>
      <c r="O8606" s="33" t="str">
        <f>IFERROR(VLOOKUP($M8606,'Informations sur les produits'!$A$3:$H$10000,8,FALSE),"0")</f>
        <v>0</v>
      </c>
      <c r="P8606" s="33">
        <f t="shared" si="536"/>
        <v>0</v>
      </c>
      <c r="Q8606" s="31" t="str">
        <f t="shared" si="537"/>
        <v/>
      </c>
      <c r="R8606" s="32" t="str">
        <f>IFERROR(VLOOKUP($D8606,'Informations sur les produits'!$A$3:$B$15000,2,FALSE),"")</f>
        <v/>
      </c>
      <c r="V8606">
        <f t="shared" si="538"/>
        <v>0</v>
      </c>
      <c r="W8606">
        <f t="shared" si="539"/>
        <v>0</v>
      </c>
    </row>
    <row r="8607" spans="5:23" x14ac:dyDescent="0.25">
      <c r="E8607" s="4"/>
      <c r="F8607" s="4"/>
      <c r="G8607" s="33" t="str">
        <f>IFERROR(VLOOKUP($D8607,'Informations sur les produits'!$A$3:$H$10000,8,FALSE),"0")</f>
        <v>0</v>
      </c>
      <c r="K8607" s="4"/>
      <c r="L8607" s="33" t="str">
        <f>IFERROR(VLOOKUP($J8607,'Informations sur les produits'!$A$3:$H$10000,8,FALSE),"0")</f>
        <v>0</v>
      </c>
      <c r="N8607" s="8"/>
      <c r="O8607" s="33" t="str">
        <f>IFERROR(VLOOKUP($M8607,'Informations sur les produits'!$A$3:$H$10000,8,FALSE),"0")</f>
        <v>0</v>
      </c>
      <c r="P8607" s="33">
        <f t="shared" si="536"/>
        <v>0</v>
      </c>
      <c r="Q8607" s="31" t="str">
        <f t="shared" si="537"/>
        <v/>
      </c>
      <c r="R8607" s="32" t="str">
        <f>IFERROR(VLOOKUP($D8607,'Informations sur les produits'!$A$3:$B$15000,2,FALSE),"")</f>
        <v/>
      </c>
      <c r="V8607">
        <f t="shared" si="538"/>
        <v>0</v>
      </c>
      <c r="W8607">
        <f t="shared" si="539"/>
        <v>0</v>
      </c>
    </row>
    <row r="8608" spans="5:23" x14ac:dyDescent="0.25">
      <c r="E8608" s="4"/>
      <c r="F8608" s="4"/>
      <c r="G8608" s="33" t="str">
        <f>IFERROR(VLOOKUP($D8608,'Informations sur les produits'!$A$3:$H$10000,8,FALSE),"0")</f>
        <v>0</v>
      </c>
      <c r="K8608" s="4"/>
      <c r="L8608" s="33" t="str">
        <f>IFERROR(VLOOKUP($J8608,'Informations sur les produits'!$A$3:$H$10000,8,FALSE),"0")</f>
        <v>0</v>
      </c>
      <c r="N8608" s="8"/>
      <c r="O8608" s="33" t="str">
        <f>IFERROR(VLOOKUP($M8608,'Informations sur les produits'!$A$3:$H$10000,8,FALSE),"0")</f>
        <v>0</v>
      </c>
      <c r="P8608" s="33">
        <f t="shared" si="536"/>
        <v>0</v>
      </c>
      <c r="Q8608" s="31" t="str">
        <f t="shared" si="537"/>
        <v/>
      </c>
      <c r="R8608" s="32" t="str">
        <f>IFERROR(VLOOKUP($D8608,'Informations sur les produits'!$A$3:$B$15000,2,FALSE),"")</f>
        <v/>
      </c>
      <c r="V8608">
        <f t="shared" si="538"/>
        <v>0</v>
      </c>
      <c r="W8608">
        <f t="shared" si="539"/>
        <v>0</v>
      </c>
    </row>
    <row r="8609" spans="5:23" x14ac:dyDescent="0.25">
      <c r="E8609" s="4"/>
      <c r="F8609" s="4"/>
      <c r="G8609" s="33" t="str">
        <f>IFERROR(VLOOKUP($D8609,'Informations sur les produits'!$A$3:$H$10000,8,FALSE),"0")</f>
        <v>0</v>
      </c>
      <c r="K8609" s="4"/>
      <c r="L8609" s="33" t="str">
        <f>IFERROR(VLOOKUP($J8609,'Informations sur les produits'!$A$3:$H$10000,8,FALSE),"0")</f>
        <v>0</v>
      </c>
      <c r="N8609" s="8"/>
      <c r="O8609" s="33" t="str">
        <f>IFERROR(VLOOKUP($M8609,'Informations sur les produits'!$A$3:$H$10000,8,FALSE),"0")</f>
        <v>0</v>
      </c>
      <c r="P8609" s="33">
        <f t="shared" si="536"/>
        <v>0</v>
      </c>
      <c r="Q8609" s="31" t="str">
        <f t="shared" si="537"/>
        <v/>
      </c>
      <c r="R8609" s="32" t="str">
        <f>IFERROR(VLOOKUP($D8609,'Informations sur les produits'!$A$3:$B$15000,2,FALSE),"")</f>
        <v/>
      </c>
      <c r="V8609">
        <f t="shared" si="538"/>
        <v>0</v>
      </c>
      <c r="W8609">
        <f t="shared" si="539"/>
        <v>0</v>
      </c>
    </row>
    <row r="8610" spans="5:23" x14ac:dyDescent="0.25">
      <c r="E8610" s="4"/>
      <c r="F8610" s="4"/>
      <c r="G8610" s="33" t="str">
        <f>IFERROR(VLOOKUP($D8610,'Informations sur les produits'!$A$3:$H$10000,8,FALSE),"0")</f>
        <v>0</v>
      </c>
      <c r="K8610" s="4"/>
      <c r="L8610" s="33" t="str">
        <f>IFERROR(VLOOKUP($J8610,'Informations sur les produits'!$A$3:$H$10000,8,FALSE),"0")</f>
        <v>0</v>
      </c>
      <c r="N8610" s="8"/>
      <c r="O8610" s="33" t="str">
        <f>IFERROR(VLOOKUP($M8610,'Informations sur les produits'!$A$3:$H$10000,8,FALSE),"0")</f>
        <v>0</v>
      </c>
      <c r="P8610" s="33">
        <f t="shared" si="536"/>
        <v>0</v>
      </c>
      <c r="Q8610" s="31" t="str">
        <f t="shared" si="537"/>
        <v/>
      </c>
      <c r="R8610" s="32" t="str">
        <f>IFERROR(VLOOKUP($D8610,'Informations sur les produits'!$A$3:$B$15000,2,FALSE),"")</f>
        <v/>
      </c>
      <c r="V8610">
        <f t="shared" si="538"/>
        <v>0</v>
      </c>
      <c r="W8610">
        <f t="shared" si="539"/>
        <v>0</v>
      </c>
    </row>
    <row r="8611" spans="5:23" x14ac:dyDescent="0.25">
      <c r="E8611" s="4"/>
      <c r="F8611" s="4"/>
      <c r="G8611" s="33" t="str">
        <f>IFERROR(VLOOKUP($D8611,'Informations sur les produits'!$A$3:$H$10000,8,FALSE),"0")</f>
        <v>0</v>
      </c>
      <c r="K8611" s="4"/>
      <c r="L8611" s="33" t="str">
        <f>IFERROR(VLOOKUP($J8611,'Informations sur les produits'!$A$3:$H$10000,8,FALSE),"0")</f>
        <v>0</v>
      </c>
      <c r="N8611" s="8"/>
      <c r="O8611" s="33" t="str">
        <f>IFERROR(VLOOKUP($M8611,'Informations sur les produits'!$A$3:$H$10000,8,FALSE),"0")</f>
        <v>0</v>
      </c>
      <c r="P8611" s="33">
        <f t="shared" si="536"/>
        <v>0</v>
      </c>
      <c r="Q8611" s="31" t="str">
        <f t="shared" si="537"/>
        <v/>
      </c>
      <c r="R8611" s="32" t="str">
        <f>IFERROR(VLOOKUP($D8611,'Informations sur les produits'!$A$3:$B$15000,2,FALSE),"")</f>
        <v/>
      </c>
      <c r="V8611">
        <f t="shared" si="538"/>
        <v>0</v>
      </c>
      <c r="W8611">
        <f t="shared" si="539"/>
        <v>0</v>
      </c>
    </row>
    <row r="8612" spans="5:23" x14ac:dyDescent="0.25">
      <c r="E8612" s="4"/>
      <c r="F8612" s="4"/>
      <c r="G8612" s="33" t="str">
        <f>IFERROR(VLOOKUP($D8612,'Informations sur les produits'!$A$3:$H$10000,8,FALSE),"0")</f>
        <v>0</v>
      </c>
      <c r="K8612" s="4"/>
      <c r="L8612" s="33" t="str">
        <f>IFERROR(VLOOKUP($J8612,'Informations sur les produits'!$A$3:$H$10000,8,FALSE),"0")</f>
        <v>0</v>
      </c>
      <c r="N8612" s="8"/>
      <c r="O8612" s="33" t="str">
        <f>IFERROR(VLOOKUP($M8612,'Informations sur les produits'!$A$3:$H$10000,8,FALSE),"0")</f>
        <v>0</v>
      </c>
      <c r="P8612" s="33">
        <f t="shared" si="536"/>
        <v>0</v>
      </c>
      <c r="Q8612" s="31" t="str">
        <f t="shared" si="537"/>
        <v/>
      </c>
      <c r="R8612" s="32" t="str">
        <f>IFERROR(VLOOKUP($D8612,'Informations sur les produits'!$A$3:$B$15000,2,FALSE),"")</f>
        <v/>
      </c>
      <c r="V8612">
        <f t="shared" si="538"/>
        <v>0</v>
      </c>
      <c r="W8612">
        <f t="shared" si="539"/>
        <v>0</v>
      </c>
    </row>
    <row r="8613" spans="5:23" x14ac:dyDescent="0.25">
      <c r="E8613" s="4"/>
      <c r="F8613" s="4"/>
      <c r="G8613" s="33" t="str">
        <f>IFERROR(VLOOKUP($D8613,'Informations sur les produits'!$A$3:$H$10000,8,FALSE),"0")</f>
        <v>0</v>
      </c>
      <c r="K8613" s="4"/>
      <c r="L8613" s="33" t="str">
        <f>IFERROR(VLOOKUP($J8613,'Informations sur les produits'!$A$3:$H$10000,8,FALSE),"0")</f>
        <v>0</v>
      </c>
      <c r="N8613" s="8"/>
      <c r="O8613" s="33" t="str">
        <f>IFERROR(VLOOKUP($M8613,'Informations sur les produits'!$A$3:$H$10000,8,FALSE),"0")</f>
        <v>0</v>
      </c>
      <c r="P8613" s="33">
        <f t="shared" si="536"/>
        <v>0</v>
      </c>
      <c r="Q8613" s="31" t="str">
        <f t="shared" si="537"/>
        <v/>
      </c>
      <c r="R8613" s="32" t="str">
        <f>IFERROR(VLOOKUP($D8613,'Informations sur les produits'!$A$3:$B$15000,2,FALSE),"")</f>
        <v/>
      </c>
      <c r="V8613">
        <f t="shared" si="538"/>
        <v>0</v>
      </c>
      <c r="W8613">
        <f t="shared" si="539"/>
        <v>0</v>
      </c>
    </row>
    <row r="8614" spans="5:23" x14ac:dyDescent="0.25">
      <c r="E8614" s="4"/>
      <c r="F8614" s="4"/>
      <c r="G8614" s="33" t="str">
        <f>IFERROR(VLOOKUP($D8614,'Informations sur les produits'!$A$3:$H$10000,8,FALSE),"0")</f>
        <v>0</v>
      </c>
      <c r="K8614" s="4"/>
      <c r="L8614" s="33" t="str">
        <f>IFERROR(VLOOKUP($J8614,'Informations sur les produits'!$A$3:$H$10000,8,FALSE),"0")</f>
        <v>0</v>
      </c>
      <c r="N8614" s="8"/>
      <c r="O8614" s="33" t="str">
        <f>IFERROR(VLOOKUP($M8614,'Informations sur les produits'!$A$3:$H$10000,8,FALSE),"0")</f>
        <v>0</v>
      </c>
      <c r="P8614" s="33">
        <f t="shared" si="536"/>
        <v>0</v>
      </c>
      <c r="Q8614" s="31" t="str">
        <f t="shared" si="537"/>
        <v/>
      </c>
      <c r="R8614" s="32" t="str">
        <f>IFERROR(VLOOKUP($D8614,'Informations sur les produits'!$A$3:$B$15000,2,FALSE),"")</f>
        <v/>
      </c>
      <c r="V8614">
        <f t="shared" si="538"/>
        <v>0</v>
      </c>
      <c r="W8614">
        <f t="shared" si="539"/>
        <v>0</v>
      </c>
    </row>
    <row r="8615" spans="5:23" x14ac:dyDescent="0.25">
      <c r="E8615" s="4"/>
      <c r="F8615" s="4"/>
      <c r="G8615" s="33" t="str">
        <f>IFERROR(VLOOKUP($D8615,'Informations sur les produits'!$A$3:$H$10000,8,FALSE),"0")</f>
        <v>0</v>
      </c>
      <c r="K8615" s="4"/>
      <c r="L8615" s="33" t="str">
        <f>IFERROR(VLOOKUP($J8615,'Informations sur les produits'!$A$3:$H$10000,8,FALSE),"0")</f>
        <v>0</v>
      </c>
      <c r="N8615" s="8"/>
      <c r="O8615" s="33" t="str">
        <f>IFERROR(VLOOKUP($M8615,'Informations sur les produits'!$A$3:$H$10000,8,FALSE),"0")</f>
        <v>0</v>
      </c>
      <c r="P8615" s="33">
        <f t="shared" si="536"/>
        <v>0</v>
      </c>
      <c r="Q8615" s="31" t="str">
        <f t="shared" si="537"/>
        <v/>
      </c>
      <c r="R8615" s="32" t="str">
        <f>IFERROR(VLOOKUP($D8615,'Informations sur les produits'!$A$3:$B$15000,2,FALSE),"")</f>
        <v/>
      </c>
      <c r="V8615">
        <f t="shared" si="538"/>
        <v>0</v>
      </c>
      <c r="W8615">
        <f t="shared" si="539"/>
        <v>0</v>
      </c>
    </row>
    <row r="8616" spans="5:23" x14ac:dyDescent="0.25">
      <c r="E8616" s="4"/>
      <c r="F8616" s="4"/>
      <c r="G8616" s="33" t="str">
        <f>IFERROR(VLOOKUP($D8616,'Informations sur les produits'!$A$3:$H$10000,8,FALSE),"0")</f>
        <v>0</v>
      </c>
      <c r="K8616" s="4"/>
      <c r="L8616" s="33" t="str">
        <f>IFERROR(VLOOKUP($J8616,'Informations sur les produits'!$A$3:$H$10000,8,FALSE),"0")</f>
        <v>0</v>
      </c>
      <c r="N8616" s="8"/>
      <c r="O8616" s="33" t="str">
        <f>IFERROR(VLOOKUP($M8616,'Informations sur les produits'!$A$3:$H$10000,8,FALSE),"0")</f>
        <v>0</v>
      </c>
      <c r="P8616" s="33">
        <f t="shared" si="536"/>
        <v>0</v>
      </c>
      <c r="Q8616" s="31" t="str">
        <f t="shared" si="537"/>
        <v/>
      </c>
      <c r="R8616" s="32" t="str">
        <f>IFERROR(VLOOKUP($D8616,'Informations sur les produits'!$A$3:$B$15000,2,FALSE),"")</f>
        <v/>
      </c>
      <c r="V8616">
        <f t="shared" si="538"/>
        <v>0</v>
      </c>
      <c r="W8616">
        <f t="shared" si="539"/>
        <v>0</v>
      </c>
    </row>
    <row r="8617" spans="5:23" x14ac:dyDescent="0.25">
      <c r="E8617" s="4"/>
      <c r="F8617" s="4"/>
      <c r="G8617" s="33" t="str">
        <f>IFERROR(VLOOKUP($D8617,'Informations sur les produits'!$A$3:$H$10000,8,FALSE),"0")</f>
        <v>0</v>
      </c>
      <c r="K8617" s="4"/>
      <c r="L8617" s="33" t="str">
        <f>IFERROR(VLOOKUP($J8617,'Informations sur les produits'!$A$3:$H$10000,8,FALSE),"0")</f>
        <v>0</v>
      </c>
      <c r="N8617" s="8"/>
      <c r="O8617" s="33" t="str">
        <f>IFERROR(VLOOKUP($M8617,'Informations sur les produits'!$A$3:$H$10000,8,FALSE),"0")</f>
        <v>0</v>
      </c>
      <c r="P8617" s="33">
        <f t="shared" si="536"/>
        <v>0</v>
      </c>
      <c r="Q8617" s="31" t="str">
        <f t="shared" si="537"/>
        <v/>
      </c>
      <c r="R8617" s="32" t="str">
        <f>IFERROR(VLOOKUP($D8617,'Informations sur les produits'!$A$3:$B$15000,2,FALSE),"")</f>
        <v/>
      </c>
      <c r="V8617">
        <f t="shared" si="538"/>
        <v>0</v>
      </c>
      <c r="W8617">
        <f t="shared" si="539"/>
        <v>0</v>
      </c>
    </row>
    <row r="8618" spans="5:23" x14ac:dyDescent="0.25">
      <c r="E8618" s="4"/>
      <c r="F8618" s="4"/>
      <c r="G8618" s="33" t="str">
        <f>IFERROR(VLOOKUP($D8618,'Informations sur les produits'!$A$3:$H$10000,8,FALSE),"0")</f>
        <v>0</v>
      </c>
      <c r="K8618" s="4"/>
      <c r="L8618" s="33" t="str">
        <f>IFERROR(VLOOKUP($J8618,'Informations sur les produits'!$A$3:$H$10000,8,FALSE),"0")</f>
        <v>0</v>
      </c>
      <c r="N8618" s="8"/>
      <c r="O8618" s="33" t="str">
        <f>IFERROR(VLOOKUP($M8618,'Informations sur les produits'!$A$3:$H$10000,8,FALSE),"0")</f>
        <v>0</v>
      </c>
      <c r="P8618" s="33">
        <f t="shared" si="536"/>
        <v>0</v>
      </c>
      <c r="Q8618" s="31" t="str">
        <f t="shared" si="537"/>
        <v/>
      </c>
      <c r="R8618" s="32" t="str">
        <f>IFERROR(VLOOKUP($D8618,'Informations sur les produits'!$A$3:$B$15000,2,FALSE),"")</f>
        <v/>
      </c>
      <c r="V8618">
        <f t="shared" si="538"/>
        <v>0</v>
      </c>
      <c r="W8618">
        <f t="shared" si="539"/>
        <v>0</v>
      </c>
    </row>
    <row r="8619" spans="5:23" x14ac:dyDescent="0.25">
      <c r="E8619" s="4"/>
      <c r="F8619" s="4"/>
      <c r="G8619" s="33" t="str">
        <f>IFERROR(VLOOKUP($D8619,'Informations sur les produits'!$A$3:$H$10000,8,FALSE),"0")</f>
        <v>0</v>
      </c>
      <c r="K8619" s="4"/>
      <c r="L8619" s="33" t="str">
        <f>IFERROR(VLOOKUP($J8619,'Informations sur les produits'!$A$3:$H$10000,8,FALSE),"0")</f>
        <v>0</v>
      </c>
      <c r="N8619" s="8"/>
      <c r="O8619" s="33" t="str">
        <f>IFERROR(VLOOKUP($M8619,'Informations sur les produits'!$A$3:$H$10000,8,FALSE),"0")</f>
        <v>0</v>
      </c>
      <c r="P8619" s="33">
        <f t="shared" si="536"/>
        <v>0</v>
      </c>
      <c r="Q8619" s="31" t="str">
        <f t="shared" si="537"/>
        <v/>
      </c>
      <c r="R8619" s="32" t="str">
        <f>IFERROR(VLOOKUP($D8619,'Informations sur les produits'!$A$3:$B$15000,2,FALSE),"")</f>
        <v/>
      </c>
      <c r="V8619">
        <f t="shared" si="538"/>
        <v>0</v>
      </c>
      <c r="W8619">
        <f t="shared" si="539"/>
        <v>0</v>
      </c>
    </row>
    <row r="8620" spans="5:23" x14ac:dyDescent="0.25">
      <c r="E8620" s="4"/>
      <c r="F8620" s="4"/>
      <c r="G8620" s="33" t="str">
        <f>IFERROR(VLOOKUP($D8620,'Informations sur les produits'!$A$3:$H$10000,8,FALSE),"0")</f>
        <v>0</v>
      </c>
      <c r="K8620" s="4"/>
      <c r="L8620" s="33" t="str">
        <f>IFERROR(VLOOKUP($J8620,'Informations sur les produits'!$A$3:$H$10000,8,FALSE),"0")</f>
        <v>0</v>
      </c>
      <c r="N8620" s="8"/>
      <c r="O8620" s="33" t="str">
        <f>IFERROR(VLOOKUP($M8620,'Informations sur les produits'!$A$3:$H$10000,8,FALSE),"0")</f>
        <v>0</v>
      </c>
      <c r="P8620" s="33">
        <f t="shared" si="536"/>
        <v>0</v>
      </c>
      <c r="Q8620" s="31" t="str">
        <f t="shared" si="537"/>
        <v/>
      </c>
      <c r="R8620" s="32" t="str">
        <f>IFERROR(VLOOKUP($D8620,'Informations sur les produits'!$A$3:$B$15000,2,FALSE),"")</f>
        <v/>
      </c>
      <c r="V8620">
        <f t="shared" si="538"/>
        <v>0</v>
      </c>
      <c r="W8620">
        <f t="shared" si="539"/>
        <v>0</v>
      </c>
    </row>
    <row r="8621" spans="5:23" x14ac:dyDescent="0.25">
      <c r="E8621" s="4"/>
      <c r="F8621" s="4"/>
      <c r="G8621" s="33" t="str">
        <f>IFERROR(VLOOKUP($D8621,'Informations sur les produits'!$A$3:$H$10000,8,FALSE),"0")</f>
        <v>0</v>
      </c>
      <c r="K8621" s="4"/>
      <c r="L8621" s="33" t="str">
        <f>IFERROR(VLOOKUP($J8621,'Informations sur les produits'!$A$3:$H$10000,8,FALSE),"0")</f>
        <v>0</v>
      </c>
      <c r="N8621" s="8"/>
      <c r="O8621" s="33" t="str">
        <f>IFERROR(VLOOKUP($M8621,'Informations sur les produits'!$A$3:$H$10000,8,FALSE),"0")</f>
        <v>0</v>
      </c>
      <c r="P8621" s="33">
        <f t="shared" si="536"/>
        <v>0</v>
      </c>
      <c r="Q8621" s="31" t="str">
        <f t="shared" si="537"/>
        <v/>
      </c>
      <c r="R8621" s="32" t="str">
        <f>IFERROR(VLOOKUP($D8621,'Informations sur les produits'!$A$3:$B$15000,2,FALSE),"")</f>
        <v/>
      </c>
      <c r="V8621">
        <f t="shared" si="538"/>
        <v>0</v>
      </c>
      <c r="W8621">
        <f t="shared" si="539"/>
        <v>0</v>
      </c>
    </row>
    <row r="8622" spans="5:23" x14ac:dyDescent="0.25">
      <c r="E8622" s="4"/>
      <c r="F8622" s="4"/>
      <c r="G8622" s="33" t="str">
        <f>IFERROR(VLOOKUP($D8622,'Informations sur les produits'!$A$3:$H$10000,8,FALSE),"0")</f>
        <v>0</v>
      </c>
      <c r="K8622" s="4"/>
      <c r="L8622" s="33" t="str">
        <f>IFERROR(VLOOKUP($J8622,'Informations sur les produits'!$A$3:$H$10000,8,FALSE),"0")</f>
        <v>0</v>
      </c>
      <c r="N8622" s="8"/>
      <c r="O8622" s="33" t="str">
        <f>IFERROR(VLOOKUP($M8622,'Informations sur les produits'!$A$3:$H$10000,8,FALSE),"0")</f>
        <v>0</v>
      </c>
      <c r="P8622" s="33">
        <f t="shared" si="536"/>
        <v>0</v>
      </c>
      <c r="Q8622" s="31" t="str">
        <f t="shared" si="537"/>
        <v/>
      </c>
      <c r="R8622" s="32" t="str">
        <f>IFERROR(VLOOKUP($D8622,'Informations sur les produits'!$A$3:$B$15000,2,FALSE),"")</f>
        <v/>
      </c>
      <c r="V8622">
        <f t="shared" si="538"/>
        <v>0</v>
      </c>
      <c r="W8622">
        <f t="shared" si="539"/>
        <v>0</v>
      </c>
    </row>
    <row r="8623" spans="5:23" x14ac:dyDescent="0.25">
      <c r="E8623" s="4"/>
      <c r="F8623" s="4"/>
      <c r="G8623" s="33" t="str">
        <f>IFERROR(VLOOKUP($D8623,'Informations sur les produits'!$A$3:$H$10000,8,FALSE),"0")</f>
        <v>0</v>
      </c>
      <c r="K8623" s="4"/>
      <c r="L8623" s="33" t="str">
        <f>IFERROR(VLOOKUP($J8623,'Informations sur les produits'!$A$3:$H$10000,8,FALSE),"0")</f>
        <v>0</v>
      </c>
      <c r="N8623" s="8"/>
      <c r="O8623" s="33" t="str">
        <f>IFERROR(VLOOKUP($M8623,'Informations sur les produits'!$A$3:$H$10000,8,FALSE),"0")</f>
        <v>0</v>
      </c>
      <c r="P8623" s="33">
        <f t="shared" si="536"/>
        <v>0</v>
      </c>
      <c r="Q8623" s="31" t="str">
        <f t="shared" si="537"/>
        <v/>
      </c>
      <c r="R8623" s="32" t="str">
        <f>IFERROR(VLOOKUP($D8623,'Informations sur les produits'!$A$3:$B$15000,2,FALSE),"")</f>
        <v/>
      </c>
      <c r="V8623">
        <f t="shared" si="538"/>
        <v>0</v>
      </c>
      <c r="W8623">
        <f t="shared" si="539"/>
        <v>0</v>
      </c>
    </row>
    <row r="8624" spans="5:23" x14ac:dyDescent="0.25">
      <c r="E8624" s="4"/>
      <c r="F8624" s="4"/>
      <c r="G8624" s="33" t="str">
        <f>IFERROR(VLOOKUP($D8624,'Informations sur les produits'!$A$3:$H$10000,8,FALSE),"0")</f>
        <v>0</v>
      </c>
      <c r="K8624" s="4"/>
      <c r="L8624" s="33" t="str">
        <f>IFERROR(VLOOKUP($J8624,'Informations sur les produits'!$A$3:$H$10000,8,FALSE),"0")</f>
        <v>0</v>
      </c>
      <c r="N8624" s="8"/>
      <c r="O8624" s="33" t="str">
        <f>IFERROR(VLOOKUP($M8624,'Informations sur les produits'!$A$3:$H$10000,8,FALSE),"0")</f>
        <v>0</v>
      </c>
      <c r="P8624" s="33">
        <f t="shared" si="536"/>
        <v>0</v>
      </c>
      <c r="Q8624" s="31" t="str">
        <f t="shared" si="537"/>
        <v/>
      </c>
      <c r="R8624" s="32" t="str">
        <f>IFERROR(VLOOKUP($D8624,'Informations sur les produits'!$A$3:$B$15000,2,FALSE),"")</f>
        <v/>
      </c>
      <c r="V8624">
        <f t="shared" si="538"/>
        <v>0</v>
      </c>
      <c r="W8624">
        <f t="shared" si="539"/>
        <v>0</v>
      </c>
    </row>
    <row r="8625" spans="5:23" x14ac:dyDescent="0.25">
      <c r="E8625" s="4"/>
      <c r="F8625" s="4"/>
      <c r="G8625" s="33" t="str">
        <f>IFERROR(VLOOKUP($D8625,'Informations sur les produits'!$A$3:$H$10000,8,FALSE),"0")</f>
        <v>0</v>
      </c>
      <c r="K8625" s="4"/>
      <c r="L8625" s="33" t="str">
        <f>IFERROR(VLOOKUP($J8625,'Informations sur les produits'!$A$3:$H$10000,8,FALSE),"0")</f>
        <v>0</v>
      </c>
      <c r="N8625" s="8"/>
      <c r="O8625" s="33" t="str">
        <f>IFERROR(VLOOKUP($M8625,'Informations sur les produits'!$A$3:$H$10000,8,FALSE),"0")</f>
        <v>0</v>
      </c>
      <c r="P8625" s="33">
        <f t="shared" si="536"/>
        <v>0</v>
      </c>
      <c r="Q8625" s="31" t="str">
        <f t="shared" si="537"/>
        <v/>
      </c>
      <c r="R8625" s="32" t="str">
        <f>IFERROR(VLOOKUP($D8625,'Informations sur les produits'!$A$3:$B$15000,2,FALSE),"")</f>
        <v/>
      </c>
      <c r="V8625">
        <f t="shared" si="538"/>
        <v>0</v>
      </c>
      <c r="W8625">
        <f t="shared" si="539"/>
        <v>0</v>
      </c>
    </row>
    <row r="8626" spans="5:23" x14ac:dyDescent="0.25">
      <c r="E8626" s="4"/>
      <c r="F8626" s="4"/>
      <c r="G8626" s="33" t="str">
        <f>IFERROR(VLOOKUP($D8626,'Informations sur les produits'!$A$3:$H$10000,8,FALSE),"0")</f>
        <v>0</v>
      </c>
      <c r="K8626" s="4"/>
      <c r="L8626" s="33" t="str">
        <f>IFERROR(VLOOKUP($J8626,'Informations sur les produits'!$A$3:$H$10000,8,FALSE),"0")</f>
        <v>0</v>
      </c>
      <c r="N8626" s="8"/>
      <c r="O8626" s="33" t="str">
        <f>IFERROR(VLOOKUP($M8626,'Informations sur les produits'!$A$3:$H$10000,8,FALSE),"0")</f>
        <v>0</v>
      </c>
      <c r="P8626" s="33">
        <f t="shared" si="536"/>
        <v>0</v>
      </c>
      <c r="Q8626" s="31" t="str">
        <f t="shared" si="537"/>
        <v/>
      </c>
      <c r="R8626" s="32" t="str">
        <f>IFERROR(VLOOKUP($D8626,'Informations sur les produits'!$A$3:$B$15000,2,FALSE),"")</f>
        <v/>
      </c>
      <c r="V8626">
        <f t="shared" si="538"/>
        <v>0</v>
      </c>
      <c r="W8626">
        <f t="shared" si="539"/>
        <v>0</v>
      </c>
    </row>
    <row r="8627" spans="5:23" x14ac:dyDescent="0.25">
      <c r="E8627" s="4"/>
      <c r="F8627" s="4"/>
      <c r="G8627" s="33" t="str">
        <f>IFERROR(VLOOKUP($D8627,'Informations sur les produits'!$A$3:$H$10000,8,FALSE),"0")</f>
        <v>0</v>
      </c>
      <c r="K8627" s="4"/>
      <c r="L8627" s="33" t="str">
        <f>IFERROR(VLOOKUP($J8627,'Informations sur les produits'!$A$3:$H$10000,8,FALSE),"0")</f>
        <v>0</v>
      </c>
      <c r="N8627" s="8"/>
      <c r="O8627" s="33" t="str">
        <f>IFERROR(VLOOKUP($M8627,'Informations sur les produits'!$A$3:$H$10000,8,FALSE),"0")</f>
        <v>0</v>
      </c>
      <c r="P8627" s="33">
        <f t="shared" si="536"/>
        <v>0</v>
      </c>
      <c r="Q8627" s="31" t="str">
        <f t="shared" si="537"/>
        <v/>
      </c>
      <c r="R8627" s="32" t="str">
        <f>IFERROR(VLOOKUP($D8627,'Informations sur les produits'!$A$3:$B$15000,2,FALSE),"")</f>
        <v/>
      </c>
      <c r="V8627">
        <f t="shared" si="538"/>
        <v>0</v>
      </c>
      <c r="W8627">
        <f t="shared" si="539"/>
        <v>0</v>
      </c>
    </row>
    <row r="8628" spans="5:23" x14ac:dyDescent="0.25">
      <c r="E8628" s="4"/>
      <c r="F8628" s="4"/>
      <c r="G8628" s="33" t="str">
        <f>IFERROR(VLOOKUP($D8628,'Informations sur les produits'!$A$3:$H$10000,8,FALSE),"0")</f>
        <v>0</v>
      </c>
      <c r="K8628" s="4"/>
      <c r="L8628" s="33" t="str">
        <f>IFERROR(VLOOKUP($J8628,'Informations sur les produits'!$A$3:$H$10000,8,FALSE),"0")</f>
        <v>0</v>
      </c>
      <c r="N8628" s="8"/>
      <c r="O8628" s="33" t="str">
        <f>IFERROR(VLOOKUP($M8628,'Informations sur les produits'!$A$3:$H$10000,8,FALSE),"0")</f>
        <v>0</v>
      </c>
      <c r="P8628" s="33">
        <f t="shared" si="536"/>
        <v>0</v>
      </c>
      <c r="Q8628" s="31" t="str">
        <f t="shared" si="537"/>
        <v/>
      </c>
      <c r="R8628" s="32" t="str">
        <f>IFERROR(VLOOKUP($D8628,'Informations sur les produits'!$A$3:$B$15000,2,FALSE),"")</f>
        <v/>
      </c>
      <c r="V8628">
        <f t="shared" si="538"/>
        <v>0</v>
      </c>
      <c r="W8628">
        <f t="shared" si="539"/>
        <v>0</v>
      </c>
    </row>
    <row r="8629" spans="5:23" x14ac:dyDescent="0.25">
      <c r="E8629" s="4"/>
      <c r="F8629" s="4"/>
      <c r="G8629" s="33" t="str">
        <f>IFERROR(VLOOKUP($D8629,'Informations sur les produits'!$A$3:$H$10000,8,FALSE),"0")</f>
        <v>0</v>
      </c>
      <c r="K8629" s="4"/>
      <c r="L8629" s="33" t="str">
        <f>IFERROR(VLOOKUP($J8629,'Informations sur les produits'!$A$3:$H$10000,8,FALSE),"0")</f>
        <v>0</v>
      </c>
      <c r="N8629" s="8"/>
      <c r="O8629" s="33" t="str">
        <f>IFERROR(VLOOKUP($M8629,'Informations sur les produits'!$A$3:$H$10000,8,FALSE),"0")</f>
        <v>0</v>
      </c>
      <c r="P8629" s="33">
        <f t="shared" si="536"/>
        <v>0</v>
      </c>
      <c r="Q8629" s="31" t="str">
        <f t="shared" si="537"/>
        <v/>
      </c>
      <c r="R8629" s="32" t="str">
        <f>IFERROR(VLOOKUP($D8629,'Informations sur les produits'!$A$3:$B$15000,2,FALSE),"")</f>
        <v/>
      </c>
      <c r="V8629">
        <f t="shared" si="538"/>
        <v>0</v>
      </c>
      <c r="W8629">
        <f t="shared" si="539"/>
        <v>0</v>
      </c>
    </row>
    <row r="8630" spans="5:23" x14ac:dyDescent="0.25">
      <c r="E8630" s="4"/>
      <c r="F8630" s="4"/>
      <c r="G8630" s="33" t="str">
        <f>IFERROR(VLOOKUP($D8630,'Informations sur les produits'!$A$3:$H$10000,8,FALSE),"0")</f>
        <v>0</v>
      </c>
      <c r="K8630" s="4"/>
      <c r="L8630" s="33" t="str">
        <f>IFERROR(VLOOKUP($J8630,'Informations sur les produits'!$A$3:$H$10000,8,FALSE),"0")</f>
        <v>0</v>
      </c>
      <c r="N8630" s="8"/>
      <c r="O8630" s="33" t="str">
        <f>IFERROR(VLOOKUP($M8630,'Informations sur les produits'!$A$3:$H$10000,8,FALSE),"0")</f>
        <v>0</v>
      </c>
      <c r="P8630" s="33">
        <f t="shared" si="536"/>
        <v>0</v>
      </c>
      <c r="Q8630" s="31" t="str">
        <f t="shared" si="537"/>
        <v/>
      </c>
      <c r="R8630" s="32" t="str">
        <f>IFERROR(VLOOKUP($D8630,'Informations sur les produits'!$A$3:$B$15000,2,FALSE),"")</f>
        <v/>
      </c>
      <c r="V8630">
        <f t="shared" si="538"/>
        <v>0</v>
      </c>
      <c r="W8630">
        <f t="shared" si="539"/>
        <v>0</v>
      </c>
    </row>
    <row r="8631" spans="5:23" x14ac:dyDescent="0.25">
      <c r="E8631" s="4"/>
      <c r="F8631" s="4"/>
      <c r="G8631" s="33" t="str">
        <f>IFERROR(VLOOKUP($D8631,'Informations sur les produits'!$A$3:$H$10000,8,FALSE),"0")</f>
        <v>0</v>
      </c>
      <c r="K8631" s="4"/>
      <c r="L8631" s="33" t="str">
        <f>IFERROR(VLOOKUP($J8631,'Informations sur les produits'!$A$3:$H$10000,8,FALSE),"0")</f>
        <v>0</v>
      </c>
      <c r="N8631" s="8"/>
      <c r="O8631" s="33" t="str">
        <f>IFERROR(VLOOKUP($M8631,'Informations sur les produits'!$A$3:$H$10000,8,FALSE),"0")</f>
        <v>0</v>
      </c>
      <c r="P8631" s="33">
        <f t="shared" si="536"/>
        <v>0</v>
      </c>
      <c r="Q8631" s="31" t="str">
        <f t="shared" si="537"/>
        <v/>
      </c>
      <c r="R8631" s="32" t="str">
        <f>IFERROR(VLOOKUP($D8631,'Informations sur les produits'!$A$3:$B$15000,2,FALSE),"")</f>
        <v/>
      </c>
      <c r="V8631">
        <f t="shared" si="538"/>
        <v>0</v>
      </c>
      <c r="W8631">
        <f t="shared" si="539"/>
        <v>0</v>
      </c>
    </row>
    <row r="8632" spans="5:23" x14ac:dyDescent="0.25">
      <c r="E8632" s="4"/>
      <c r="F8632" s="4"/>
      <c r="G8632" s="33" t="str">
        <f>IFERROR(VLOOKUP($D8632,'Informations sur les produits'!$A$3:$H$10000,8,FALSE),"0")</f>
        <v>0</v>
      </c>
      <c r="K8632" s="4"/>
      <c r="L8632" s="33" t="str">
        <f>IFERROR(VLOOKUP($J8632,'Informations sur les produits'!$A$3:$H$10000,8,FALSE),"0")</f>
        <v>0</v>
      </c>
      <c r="N8632" s="8"/>
      <c r="O8632" s="33" t="str">
        <f>IFERROR(VLOOKUP($M8632,'Informations sur les produits'!$A$3:$H$10000,8,FALSE),"0")</f>
        <v>0</v>
      </c>
      <c r="P8632" s="33">
        <f t="shared" si="536"/>
        <v>0</v>
      </c>
      <c r="Q8632" s="31" t="str">
        <f t="shared" si="537"/>
        <v/>
      </c>
      <c r="R8632" s="32" t="str">
        <f>IFERROR(VLOOKUP($D8632,'Informations sur les produits'!$A$3:$B$15000,2,FALSE),"")</f>
        <v/>
      </c>
      <c r="V8632">
        <f t="shared" si="538"/>
        <v>0</v>
      </c>
      <c r="W8632">
        <f t="shared" si="539"/>
        <v>0</v>
      </c>
    </row>
    <row r="8633" spans="5:23" x14ac:dyDescent="0.25">
      <c r="E8633" s="4"/>
      <c r="F8633" s="4"/>
      <c r="G8633" s="33" t="str">
        <f>IFERROR(VLOOKUP($D8633,'Informations sur les produits'!$A$3:$H$10000,8,FALSE),"0")</f>
        <v>0</v>
      </c>
      <c r="K8633" s="4"/>
      <c r="L8633" s="33" t="str">
        <f>IFERROR(VLOOKUP($J8633,'Informations sur les produits'!$A$3:$H$10000,8,FALSE),"0")</f>
        <v>0</v>
      </c>
      <c r="N8633" s="8"/>
      <c r="O8633" s="33" t="str">
        <f>IFERROR(VLOOKUP($M8633,'Informations sur les produits'!$A$3:$H$10000,8,FALSE),"0")</f>
        <v>0</v>
      </c>
      <c r="P8633" s="33">
        <f t="shared" si="536"/>
        <v>0</v>
      </c>
      <c r="Q8633" s="31" t="str">
        <f t="shared" si="537"/>
        <v/>
      </c>
      <c r="R8633" s="32" t="str">
        <f>IFERROR(VLOOKUP($D8633,'Informations sur les produits'!$A$3:$B$15000,2,FALSE),"")</f>
        <v/>
      </c>
      <c r="V8633">
        <f t="shared" si="538"/>
        <v>0</v>
      </c>
      <c r="W8633">
        <f t="shared" si="539"/>
        <v>0</v>
      </c>
    </row>
    <row r="8634" spans="5:23" x14ac:dyDescent="0.25">
      <c r="E8634" s="4"/>
      <c r="F8634" s="4"/>
      <c r="G8634" s="33" t="str">
        <f>IFERROR(VLOOKUP($D8634,'Informations sur les produits'!$A$3:$H$10000,8,FALSE),"0")</f>
        <v>0</v>
      </c>
      <c r="K8634" s="4"/>
      <c r="L8634" s="33" t="str">
        <f>IFERROR(VLOOKUP($J8634,'Informations sur les produits'!$A$3:$H$10000,8,FALSE),"0")</f>
        <v>0</v>
      </c>
      <c r="N8634" s="8"/>
      <c r="O8634" s="33" t="str">
        <f>IFERROR(VLOOKUP($M8634,'Informations sur les produits'!$A$3:$H$10000,8,FALSE),"0")</f>
        <v>0</v>
      </c>
      <c r="P8634" s="33">
        <f t="shared" si="536"/>
        <v>0</v>
      </c>
      <c r="Q8634" s="31" t="str">
        <f t="shared" si="537"/>
        <v/>
      </c>
      <c r="R8634" s="32" t="str">
        <f>IFERROR(VLOOKUP($D8634,'Informations sur les produits'!$A$3:$B$15000,2,FALSE),"")</f>
        <v/>
      </c>
      <c r="V8634">
        <f t="shared" si="538"/>
        <v>0</v>
      </c>
      <c r="W8634">
        <f t="shared" si="539"/>
        <v>0</v>
      </c>
    </row>
    <row r="8635" spans="5:23" x14ac:dyDescent="0.25">
      <c r="E8635" s="4"/>
      <c r="F8635" s="4"/>
      <c r="G8635" s="33" t="str">
        <f>IFERROR(VLOOKUP($D8635,'Informations sur les produits'!$A$3:$H$10000,8,FALSE),"0")</f>
        <v>0</v>
      </c>
      <c r="K8635" s="4"/>
      <c r="L8635" s="33" t="str">
        <f>IFERROR(VLOOKUP($J8635,'Informations sur les produits'!$A$3:$H$10000,8,FALSE),"0")</f>
        <v>0</v>
      </c>
      <c r="N8635" s="8"/>
      <c r="O8635" s="33" t="str">
        <f>IFERROR(VLOOKUP($M8635,'Informations sur les produits'!$A$3:$H$10000,8,FALSE),"0")</f>
        <v>0</v>
      </c>
      <c r="P8635" s="33">
        <f t="shared" si="536"/>
        <v>0</v>
      </c>
      <c r="Q8635" s="31" t="str">
        <f t="shared" si="537"/>
        <v/>
      </c>
      <c r="R8635" s="32" t="str">
        <f>IFERROR(VLOOKUP($D8635,'Informations sur les produits'!$A$3:$B$15000,2,FALSE),"")</f>
        <v/>
      </c>
      <c r="V8635">
        <f t="shared" si="538"/>
        <v>0</v>
      </c>
      <c r="W8635">
        <f t="shared" si="539"/>
        <v>0</v>
      </c>
    </row>
    <row r="8636" spans="5:23" x14ac:dyDescent="0.25">
      <c r="E8636" s="4"/>
      <c r="F8636" s="4"/>
      <c r="G8636" s="33" t="str">
        <f>IFERROR(VLOOKUP($D8636,'Informations sur les produits'!$A$3:$H$10000,8,FALSE),"0")</f>
        <v>0</v>
      </c>
      <c r="K8636" s="4"/>
      <c r="L8636" s="33" t="str">
        <f>IFERROR(VLOOKUP($J8636,'Informations sur les produits'!$A$3:$H$10000,8,FALSE),"0")</f>
        <v>0</v>
      </c>
      <c r="N8636" s="8"/>
      <c r="O8636" s="33" t="str">
        <f>IFERROR(VLOOKUP($M8636,'Informations sur les produits'!$A$3:$H$10000,8,FALSE),"0")</f>
        <v>0</v>
      </c>
      <c r="P8636" s="33">
        <f t="shared" si="536"/>
        <v>0</v>
      </c>
      <c r="Q8636" s="31" t="str">
        <f t="shared" si="537"/>
        <v/>
      </c>
      <c r="R8636" s="32" t="str">
        <f>IFERROR(VLOOKUP($D8636,'Informations sur les produits'!$A$3:$B$15000,2,FALSE),"")</f>
        <v/>
      </c>
      <c r="V8636">
        <f t="shared" si="538"/>
        <v>0</v>
      </c>
      <c r="W8636">
        <f t="shared" si="539"/>
        <v>0</v>
      </c>
    </row>
    <row r="8637" spans="5:23" x14ac:dyDescent="0.25">
      <c r="E8637" s="4"/>
      <c r="F8637" s="4"/>
      <c r="G8637" s="33" t="str">
        <f>IFERROR(VLOOKUP($D8637,'Informations sur les produits'!$A$3:$H$10000,8,FALSE),"0")</f>
        <v>0</v>
      </c>
      <c r="K8637" s="4"/>
      <c r="L8637" s="33" t="str">
        <f>IFERROR(VLOOKUP($J8637,'Informations sur les produits'!$A$3:$H$10000,8,FALSE),"0")</f>
        <v>0</v>
      </c>
      <c r="N8637" s="8"/>
      <c r="O8637" s="33" t="str">
        <f>IFERROR(VLOOKUP($M8637,'Informations sur les produits'!$A$3:$H$10000,8,FALSE),"0")</f>
        <v>0</v>
      </c>
      <c r="P8637" s="33">
        <f t="shared" si="536"/>
        <v>0</v>
      </c>
      <c r="Q8637" s="31" t="str">
        <f t="shared" si="537"/>
        <v/>
      </c>
      <c r="R8637" s="32" t="str">
        <f>IFERROR(VLOOKUP($D8637,'Informations sur les produits'!$A$3:$B$15000,2,FALSE),"")</f>
        <v/>
      </c>
      <c r="V8637">
        <f t="shared" si="538"/>
        <v>0</v>
      </c>
      <c r="W8637">
        <f t="shared" si="539"/>
        <v>0</v>
      </c>
    </row>
    <row r="8638" spans="5:23" x14ac:dyDescent="0.25">
      <c r="E8638" s="4"/>
      <c r="F8638" s="4"/>
      <c r="G8638" s="33" t="str">
        <f>IFERROR(VLOOKUP($D8638,'Informations sur les produits'!$A$3:$H$10000,8,FALSE),"0")</f>
        <v>0</v>
      </c>
      <c r="K8638" s="4"/>
      <c r="L8638" s="33" t="str">
        <f>IFERROR(VLOOKUP($J8638,'Informations sur les produits'!$A$3:$H$10000,8,FALSE),"0")</f>
        <v>0</v>
      </c>
      <c r="N8638" s="8"/>
      <c r="O8638" s="33" t="str">
        <f>IFERROR(VLOOKUP($M8638,'Informations sur les produits'!$A$3:$H$10000,8,FALSE),"0")</f>
        <v>0</v>
      </c>
      <c r="P8638" s="33">
        <f t="shared" si="536"/>
        <v>0</v>
      </c>
      <c r="Q8638" s="31" t="str">
        <f t="shared" si="537"/>
        <v/>
      </c>
      <c r="R8638" s="32" t="str">
        <f>IFERROR(VLOOKUP($D8638,'Informations sur les produits'!$A$3:$B$15000,2,FALSE),"")</f>
        <v/>
      </c>
      <c r="V8638">
        <f t="shared" si="538"/>
        <v>0</v>
      </c>
      <c r="W8638">
        <f t="shared" si="539"/>
        <v>0</v>
      </c>
    </row>
    <row r="8639" spans="5:23" x14ac:dyDescent="0.25">
      <c r="E8639" s="4"/>
      <c r="F8639" s="4"/>
      <c r="G8639" s="33" t="str">
        <f>IFERROR(VLOOKUP($D8639,'Informations sur les produits'!$A$3:$H$10000,8,FALSE),"0")</f>
        <v>0</v>
      </c>
      <c r="K8639" s="4"/>
      <c r="L8639" s="33" t="str">
        <f>IFERROR(VLOOKUP($J8639,'Informations sur les produits'!$A$3:$H$10000,8,FALSE),"0")</f>
        <v>0</v>
      </c>
      <c r="N8639" s="8"/>
      <c r="O8639" s="33" t="str">
        <f>IFERROR(VLOOKUP($M8639,'Informations sur les produits'!$A$3:$H$10000,8,FALSE),"0")</f>
        <v>0</v>
      </c>
      <c r="P8639" s="33">
        <f t="shared" si="536"/>
        <v>0</v>
      </c>
      <c r="Q8639" s="31" t="str">
        <f t="shared" si="537"/>
        <v/>
      </c>
      <c r="R8639" s="32" t="str">
        <f>IFERROR(VLOOKUP($D8639,'Informations sur les produits'!$A$3:$B$15000,2,FALSE),"")</f>
        <v/>
      </c>
      <c r="V8639">
        <f t="shared" si="538"/>
        <v>0</v>
      </c>
      <c r="W8639">
        <f t="shared" si="539"/>
        <v>0</v>
      </c>
    </row>
    <row r="8640" spans="5:23" x14ac:dyDescent="0.25">
      <c r="E8640" s="4"/>
      <c r="F8640" s="4"/>
      <c r="G8640" s="33" t="str">
        <f>IFERROR(VLOOKUP($D8640,'Informations sur les produits'!$A$3:$H$10000,8,FALSE),"0")</f>
        <v>0</v>
      </c>
      <c r="K8640" s="4"/>
      <c r="L8640" s="33" t="str">
        <f>IFERROR(VLOOKUP($J8640,'Informations sur les produits'!$A$3:$H$10000,8,FALSE),"0")</f>
        <v>0</v>
      </c>
      <c r="N8640" s="8"/>
      <c r="O8640" s="33" t="str">
        <f>IFERROR(VLOOKUP($M8640,'Informations sur les produits'!$A$3:$H$10000,8,FALSE),"0")</f>
        <v>0</v>
      </c>
      <c r="P8640" s="33">
        <f t="shared" si="536"/>
        <v>0</v>
      </c>
      <c r="Q8640" s="31" t="str">
        <f t="shared" si="537"/>
        <v/>
      </c>
      <c r="R8640" s="32" t="str">
        <f>IFERROR(VLOOKUP($D8640,'Informations sur les produits'!$A$3:$B$15000,2,FALSE),"")</f>
        <v/>
      </c>
      <c r="V8640">
        <f t="shared" si="538"/>
        <v>0</v>
      </c>
      <c r="W8640">
        <f t="shared" si="539"/>
        <v>0</v>
      </c>
    </row>
    <row r="8641" spans="5:23" x14ac:dyDescent="0.25">
      <c r="E8641" s="4"/>
      <c r="F8641" s="4"/>
      <c r="G8641" s="33" t="str">
        <f>IFERROR(VLOOKUP($D8641,'Informations sur les produits'!$A$3:$H$10000,8,FALSE),"0")</f>
        <v>0</v>
      </c>
      <c r="K8641" s="4"/>
      <c r="L8641" s="33" t="str">
        <f>IFERROR(VLOOKUP($J8641,'Informations sur les produits'!$A$3:$H$10000,8,FALSE),"0")</f>
        <v>0</v>
      </c>
      <c r="N8641" s="8"/>
      <c r="O8641" s="33" t="str">
        <f>IFERROR(VLOOKUP($M8641,'Informations sur les produits'!$A$3:$H$10000,8,FALSE),"0")</f>
        <v>0</v>
      </c>
      <c r="P8641" s="33">
        <f t="shared" si="536"/>
        <v>0</v>
      </c>
      <c r="Q8641" s="31" t="str">
        <f t="shared" si="537"/>
        <v/>
      </c>
      <c r="R8641" s="32" t="str">
        <f>IFERROR(VLOOKUP($D8641,'Informations sur les produits'!$A$3:$B$15000,2,FALSE),"")</f>
        <v/>
      </c>
      <c r="V8641">
        <f t="shared" si="538"/>
        <v>0</v>
      </c>
      <c r="W8641">
        <f t="shared" si="539"/>
        <v>0</v>
      </c>
    </row>
    <row r="8642" spans="5:23" x14ac:dyDescent="0.25">
      <c r="E8642" s="4"/>
      <c r="F8642" s="4"/>
      <c r="G8642" s="33" t="str">
        <f>IFERROR(VLOOKUP($D8642,'Informations sur les produits'!$A$3:$H$10000,8,FALSE),"0")</f>
        <v>0</v>
      </c>
      <c r="K8642" s="4"/>
      <c r="L8642" s="33" t="str">
        <f>IFERROR(VLOOKUP($J8642,'Informations sur les produits'!$A$3:$H$10000,8,FALSE),"0")</f>
        <v>0</v>
      </c>
      <c r="N8642" s="8"/>
      <c r="O8642" s="33" t="str">
        <f>IFERROR(VLOOKUP($M8642,'Informations sur les produits'!$A$3:$H$10000,8,FALSE),"0")</f>
        <v>0</v>
      </c>
      <c r="P8642" s="33">
        <f t="shared" si="536"/>
        <v>0</v>
      </c>
      <c r="Q8642" s="31" t="str">
        <f t="shared" si="537"/>
        <v/>
      </c>
      <c r="R8642" s="32" t="str">
        <f>IFERROR(VLOOKUP($D8642,'Informations sur les produits'!$A$3:$B$15000,2,FALSE),"")</f>
        <v/>
      </c>
      <c r="V8642">
        <f t="shared" si="538"/>
        <v>0</v>
      </c>
      <c r="W8642">
        <f t="shared" si="539"/>
        <v>0</v>
      </c>
    </row>
    <row r="8643" spans="5:23" x14ac:dyDescent="0.25">
      <c r="E8643" s="4"/>
      <c r="F8643" s="4"/>
      <c r="G8643" s="33" t="str">
        <f>IFERROR(VLOOKUP($D8643,'Informations sur les produits'!$A$3:$H$10000,8,FALSE),"0")</f>
        <v>0</v>
      </c>
      <c r="K8643" s="4"/>
      <c r="L8643" s="33" t="str">
        <f>IFERROR(VLOOKUP($J8643,'Informations sur les produits'!$A$3:$H$10000,8,FALSE),"0")</f>
        <v>0</v>
      </c>
      <c r="N8643" s="8"/>
      <c r="O8643" s="33" t="str">
        <f>IFERROR(VLOOKUP($M8643,'Informations sur les produits'!$A$3:$H$10000,8,FALSE),"0")</f>
        <v>0</v>
      </c>
      <c r="P8643" s="33">
        <f t="shared" si="536"/>
        <v>0</v>
      </c>
      <c r="Q8643" s="31" t="str">
        <f t="shared" si="537"/>
        <v/>
      </c>
      <c r="R8643" s="32" t="str">
        <f>IFERROR(VLOOKUP($D8643,'Informations sur les produits'!$A$3:$B$15000,2,FALSE),"")</f>
        <v/>
      </c>
      <c r="V8643">
        <f t="shared" si="538"/>
        <v>0</v>
      </c>
      <c r="W8643">
        <f t="shared" si="539"/>
        <v>0</v>
      </c>
    </row>
    <row r="8644" spans="5:23" x14ac:dyDescent="0.25">
      <c r="E8644" s="4"/>
      <c r="F8644" s="4"/>
      <c r="G8644" s="33" t="str">
        <f>IFERROR(VLOOKUP($D8644,'Informations sur les produits'!$A$3:$H$10000,8,FALSE),"0")</f>
        <v>0</v>
      </c>
      <c r="K8644" s="4"/>
      <c r="L8644" s="33" t="str">
        <f>IFERROR(VLOOKUP($J8644,'Informations sur les produits'!$A$3:$H$10000,8,FALSE),"0")</f>
        <v>0</v>
      </c>
      <c r="N8644" s="8"/>
      <c r="O8644" s="33" t="str">
        <f>IFERROR(VLOOKUP($M8644,'Informations sur les produits'!$A$3:$H$10000,8,FALSE),"0")</f>
        <v>0</v>
      </c>
      <c r="P8644" s="33">
        <f t="shared" ref="P8644:P8707" si="540">IFERROR((($E8644-$F8644)*$G8644+$K8644*$L8644+$N8644*$O8644),"")</f>
        <v>0</v>
      </c>
      <c r="Q8644" s="31" t="str">
        <f t="shared" ref="Q8644:Q8707" si="541">IFERROR((((($E8644-$F8644)*$G8644+$K8644*$L8644+$N8644*$O8644)*1000)/(($E8644-$F8644)+$K8644+$N8644)),"")</f>
        <v/>
      </c>
      <c r="R8644" s="32" t="str">
        <f>IFERROR(VLOOKUP($D8644,'Informations sur les produits'!$A$3:$B$15000,2,FALSE),"")</f>
        <v/>
      </c>
      <c r="V8644">
        <f t="shared" ref="V8644:V8707" si="542">IFERROR(P8644*1000,"")</f>
        <v>0</v>
      </c>
      <c r="W8644">
        <f t="shared" ref="W8644:W8707" si="543">IFERROR(($E8644-$F8644)+$K8644+$N8644,"")</f>
        <v>0</v>
      </c>
    </row>
    <row r="8645" spans="5:23" x14ac:dyDescent="0.25">
      <c r="E8645" s="4"/>
      <c r="F8645" s="4"/>
      <c r="G8645" s="33" t="str">
        <f>IFERROR(VLOOKUP($D8645,'Informations sur les produits'!$A$3:$H$10000,8,FALSE),"0")</f>
        <v>0</v>
      </c>
      <c r="K8645" s="4"/>
      <c r="L8645" s="33" t="str">
        <f>IFERROR(VLOOKUP($J8645,'Informations sur les produits'!$A$3:$H$10000,8,FALSE),"0")</f>
        <v>0</v>
      </c>
      <c r="N8645" s="8"/>
      <c r="O8645" s="33" t="str">
        <f>IFERROR(VLOOKUP($M8645,'Informations sur les produits'!$A$3:$H$10000,8,FALSE),"0")</f>
        <v>0</v>
      </c>
      <c r="P8645" s="33">
        <f t="shared" si="540"/>
        <v>0</v>
      </c>
      <c r="Q8645" s="31" t="str">
        <f t="shared" si="541"/>
        <v/>
      </c>
      <c r="R8645" s="32" t="str">
        <f>IFERROR(VLOOKUP($D8645,'Informations sur les produits'!$A$3:$B$15000,2,FALSE),"")</f>
        <v/>
      </c>
      <c r="V8645">
        <f t="shared" si="542"/>
        <v>0</v>
      </c>
      <c r="W8645">
        <f t="shared" si="543"/>
        <v>0</v>
      </c>
    </row>
    <row r="8646" spans="5:23" x14ac:dyDescent="0.25">
      <c r="E8646" s="4"/>
      <c r="F8646" s="4"/>
      <c r="G8646" s="33" t="str">
        <f>IFERROR(VLOOKUP($D8646,'Informations sur les produits'!$A$3:$H$10000,8,FALSE),"0")</f>
        <v>0</v>
      </c>
      <c r="K8646" s="4"/>
      <c r="L8646" s="33" t="str">
        <f>IFERROR(VLOOKUP($J8646,'Informations sur les produits'!$A$3:$H$10000,8,FALSE),"0")</f>
        <v>0</v>
      </c>
      <c r="N8646" s="8"/>
      <c r="O8646" s="33" t="str">
        <f>IFERROR(VLOOKUP($M8646,'Informations sur les produits'!$A$3:$H$10000,8,FALSE),"0")</f>
        <v>0</v>
      </c>
      <c r="P8646" s="33">
        <f t="shared" si="540"/>
        <v>0</v>
      </c>
      <c r="Q8646" s="31" t="str">
        <f t="shared" si="541"/>
        <v/>
      </c>
      <c r="R8646" s="32" t="str">
        <f>IFERROR(VLOOKUP($D8646,'Informations sur les produits'!$A$3:$B$15000,2,FALSE),"")</f>
        <v/>
      </c>
      <c r="V8646">
        <f t="shared" si="542"/>
        <v>0</v>
      </c>
      <c r="W8646">
        <f t="shared" si="543"/>
        <v>0</v>
      </c>
    </row>
    <row r="8647" spans="5:23" x14ac:dyDescent="0.25">
      <c r="E8647" s="4"/>
      <c r="F8647" s="4"/>
      <c r="G8647" s="33" t="str">
        <f>IFERROR(VLOOKUP($D8647,'Informations sur les produits'!$A$3:$H$10000,8,FALSE),"0")</f>
        <v>0</v>
      </c>
      <c r="K8647" s="4"/>
      <c r="L8647" s="33" t="str">
        <f>IFERROR(VLOOKUP($J8647,'Informations sur les produits'!$A$3:$H$10000,8,FALSE),"0")</f>
        <v>0</v>
      </c>
      <c r="N8647" s="8"/>
      <c r="O8647" s="33" t="str">
        <f>IFERROR(VLOOKUP($M8647,'Informations sur les produits'!$A$3:$H$10000,8,FALSE),"0")</f>
        <v>0</v>
      </c>
      <c r="P8647" s="33">
        <f t="shared" si="540"/>
        <v>0</v>
      </c>
      <c r="Q8647" s="31" t="str">
        <f t="shared" si="541"/>
        <v/>
      </c>
      <c r="R8647" s="32" t="str">
        <f>IFERROR(VLOOKUP($D8647,'Informations sur les produits'!$A$3:$B$15000,2,FALSE),"")</f>
        <v/>
      </c>
      <c r="V8647">
        <f t="shared" si="542"/>
        <v>0</v>
      </c>
      <c r="W8647">
        <f t="shared" si="543"/>
        <v>0</v>
      </c>
    </row>
    <row r="8648" spans="5:23" x14ac:dyDescent="0.25">
      <c r="E8648" s="4"/>
      <c r="F8648" s="4"/>
      <c r="G8648" s="33" t="str">
        <f>IFERROR(VLOOKUP($D8648,'Informations sur les produits'!$A$3:$H$10000,8,FALSE),"0")</f>
        <v>0</v>
      </c>
      <c r="K8648" s="4"/>
      <c r="L8648" s="33" t="str">
        <f>IFERROR(VLOOKUP($J8648,'Informations sur les produits'!$A$3:$H$10000,8,FALSE),"0")</f>
        <v>0</v>
      </c>
      <c r="N8648" s="8"/>
      <c r="O8648" s="33" t="str">
        <f>IFERROR(VLOOKUP($M8648,'Informations sur les produits'!$A$3:$H$10000,8,FALSE),"0")</f>
        <v>0</v>
      </c>
      <c r="P8648" s="33">
        <f t="shared" si="540"/>
        <v>0</v>
      </c>
      <c r="Q8648" s="31" t="str">
        <f t="shared" si="541"/>
        <v/>
      </c>
      <c r="R8648" s="32" t="str">
        <f>IFERROR(VLOOKUP($D8648,'Informations sur les produits'!$A$3:$B$15000,2,FALSE),"")</f>
        <v/>
      </c>
      <c r="V8648">
        <f t="shared" si="542"/>
        <v>0</v>
      </c>
      <c r="W8648">
        <f t="shared" si="543"/>
        <v>0</v>
      </c>
    </row>
    <row r="8649" spans="5:23" x14ac:dyDescent="0.25">
      <c r="E8649" s="4"/>
      <c r="F8649" s="4"/>
      <c r="G8649" s="33" t="str">
        <f>IFERROR(VLOOKUP($D8649,'Informations sur les produits'!$A$3:$H$10000,8,FALSE),"0")</f>
        <v>0</v>
      </c>
      <c r="K8649" s="4"/>
      <c r="L8649" s="33" t="str">
        <f>IFERROR(VLOOKUP($J8649,'Informations sur les produits'!$A$3:$H$10000,8,FALSE),"0")</f>
        <v>0</v>
      </c>
      <c r="N8649" s="8"/>
      <c r="O8649" s="33" t="str">
        <f>IFERROR(VLOOKUP($M8649,'Informations sur les produits'!$A$3:$H$10000,8,FALSE),"0")</f>
        <v>0</v>
      </c>
      <c r="P8649" s="33">
        <f t="shared" si="540"/>
        <v>0</v>
      </c>
      <c r="Q8649" s="31" t="str">
        <f t="shared" si="541"/>
        <v/>
      </c>
      <c r="R8649" s="32" t="str">
        <f>IFERROR(VLOOKUP($D8649,'Informations sur les produits'!$A$3:$B$15000,2,FALSE),"")</f>
        <v/>
      </c>
      <c r="V8649">
        <f t="shared" si="542"/>
        <v>0</v>
      </c>
      <c r="W8649">
        <f t="shared" si="543"/>
        <v>0</v>
      </c>
    </row>
    <row r="8650" spans="5:23" x14ac:dyDescent="0.25">
      <c r="E8650" s="4"/>
      <c r="F8650" s="4"/>
      <c r="G8650" s="33" t="str">
        <f>IFERROR(VLOOKUP($D8650,'Informations sur les produits'!$A$3:$H$10000,8,FALSE),"0")</f>
        <v>0</v>
      </c>
      <c r="K8650" s="4"/>
      <c r="L8650" s="33" t="str">
        <f>IFERROR(VLOOKUP($J8650,'Informations sur les produits'!$A$3:$H$10000,8,FALSE),"0")</f>
        <v>0</v>
      </c>
      <c r="N8650" s="8"/>
      <c r="O8650" s="33" t="str">
        <f>IFERROR(VLOOKUP($M8650,'Informations sur les produits'!$A$3:$H$10000,8,FALSE),"0")</f>
        <v>0</v>
      </c>
      <c r="P8650" s="33">
        <f t="shared" si="540"/>
        <v>0</v>
      </c>
      <c r="Q8650" s="31" t="str">
        <f t="shared" si="541"/>
        <v/>
      </c>
      <c r="R8650" s="32" t="str">
        <f>IFERROR(VLOOKUP($D8650,'Informations sur les produits'!$A$3:$B$15000,2,FALSE),"")</f>
        <v/>
      </c>
      <c r="V8650">
        <f t="shared" si="542"/>
        <v>0</v>
      </c>
      <c r="W8650">
        <f t="shared" si="543"/>
        <v>0</v>
      </c>
    </row>
    <row r="8651" spans="5:23" x14ac:dyDescent="0.25">
      <c r="E8651" s="4"/>
      <c r="F8651" s="4"/>
      <c r="G8651" s="33" t="str">
        <f>IFERROR(VLOOKUP($D8651,'Informations sur les produits'!$A$3:$H$10000,8,FALSE),"0")</f>
        <v>0</v>
      </c>
      <c r="K8651" s="4"/>
      <c r="L8651" s="33" t="str">
        <f>IFERROR(VLOOKUP($J8651,'Informations sur les produits'!$A$3:$H$10000,8,FALSE),"0")</f>
        <v>0</v>
      </c>
      <c r="N8651" s="8"/>
      <c r="O8651" s="33" t="str">
        <f>IFERROR(VLOOKUP($M8651,'Informations sur les produits'!$A$3:$H$10000,8,FALSE),"0")</f>
        <v>0</v>
      </c>
      <c r="P8651" s="33">
        <f t="shared" si="540"/>
        <v>0</v>
      </c>
      <c r="Q8651" s="31" t="str">
        <f t="shared" si="541"/>
        <v/>
      </c>
      <c r="R8651" s="32" t="str">
        <f>IFERROR(VLOOKUP($D8651,'Informations sur les produits'!$A$3:$B$15000,2,FALSE),"")</f>
        <v/>
      </c>
      <c r="V8651">
        <f t="shared" si="542"/>
        <v>0</v>
      </c>
      <c r="W8651">
        <f t="shared" si="543"/>
        <v>0</v>
      </c>
    </row>
    <row r="8652" spans="5:23" x14ac:dyDescent="0.25">
      <c r="E8652" s="4"/>
      <c r="F8652" s="4"/>
      <c r="G8652" s="33" t="str">
        <f>IFERROR(VLOOKUP($D8652,'Informations sur les produits'!$A$3:$H$10000,8,FALSE),"0")</f>
        <v>0</v>
      </c>
      <c r="K8652" s="4"/>
      <c r="L8652" s="33" t="str">
        <f>IFERROR(VLOOKUP($J8652,'Informations sur les produits'!$A$3:$H$10000,8,FALSE),"0")</f>
        <v>0</v>
      </c>
      <c r="N8652" s="8"/>
      <c r="O8652" s="33" t="str">
        <f>IFERROR(VLOOKUP($M8652,'Informations sur les produits'!$A$3:$H$10000,8,FALSE),"0")</f>
        <v>0</v>
      </c>
      <c r="P8652" s="33">
        <f t="shared" si="540"/>
        <v>0</v>
      </c>
      <c r="Q8652" s="31" t="str">
        <f t="shared" si="541"/>
        <v/>
      </c>
      <c r="R8652" s="32" t="str">
        <f>IFERROR(VLOOKUP($D8652,'Informations sur les produits'!$A$3:$B$15000,2,FALSE),"")</f>
        <v/>
      </c>
      <c r="V8652">
        <f t="shared" si="542"/>
        <v>0</v>
      </c>
      <c r="W8652">
        <f t="shared" si="543"/>
        <v>0</v>
      </c>
    </row>
    <row r="8653" spans="5:23" x14ac:dyDescent="0.25">
      <c r="E8653" s="4"/>
      <c r="F8653" s="4"/>
      <c r="G8653" s="33" t="str">
        <f>IFERROR(VLOOKUP($D8653,'Informations sur les produits'!$A$3:$H$10000,8,FALSE),"0")</f>
        <v>0</v>
      </c>
      <c r="K8653" s="4"/>
      <c r="L8653" s="33" t="str">
        <f>IFERROR(VLOOKUP($J8653,'Informations sur les produits'!$A$3:$H$10000,8,FALSE),"0")</f>
        <v>0</v>
      </c>
      <c r="N8653" s="8"/>
      <c r="O8653" s="33" t="str">
        <f>IFERROR(VLOOKUP($M8653,'Informations sur les produits'!$A$3:$H$10000,8,FALSE),"0")</f>
        <v>0</v>
      </c>
      <c r="P8653" s="33">
        <f t="shared" si="540"/>
        <v>0</v>
      </c>
      <c r="Q8653" s="31" t="str">
        <f t="shared" si="541"/>
        <v/>
      </c>
      <c r="R8653" s="32" t="str">
        <f>IFERROR(VLOOKUP($D8653,'Informations sur les produits'!$A$3:$B$15000,2,FALSE),"")</f>
        <v/>
      </c>
      <c r="V8653">
        <f t="shared" si="542"/>
        <v>0</v>
      </c>
      <c r="W8653">
        <f t="shared" si="543"/>
        <v>0</v>
      </c>
    </row>
    <row r="8654" spans="5:23" x14ac:dyDescent="0.25">
      <c r="E8654" s="4"/>
      <c r="F8654" s="4"/>
      <c r="G8654" s="33" t="str">
        <f>IFERROR(VLOOKUP($D8654,'Informations sur les produits'!$A$3:$H$10000,8,FALSE),"0")</f>
        <v>0</v>
      </c>
      <c r="K8654" s="4"/>
      <c r="L8654" s="33" t="str">
        <f>IFERROR(VLOOKUP($J8654,'Informations sur les produits'!$A$3:$H$10000,8,FALSE),"0")</f>
        <v>0</v>
      </c>
      <c r="N8654" s="8"/>
      <c r="O8654" s="33" t="str">
        <f>IFERROR(VLOOKUP($M8654,'Informations sur les produits'!$A$3:$H$10000,8,FALSE),"0")</f>
        <v>0</v>
      </c>
      <c r="P8654" s="33">
        <f t="shared" si="540"/>
        <v>0</v>
      </c>
      <c r="Q8654" s="31" t="str">
        <f t="shared" si="541"/>
        <v/>
      </c>
      <c r="R8654" s="32" t="str">
        <f>IFERROR(VLOOKUP($D8654,'Informations sur les produits'!$A$3:$B$15000,2,FALSE),"")</f>
        <v/>
      </c>
      <c r="V8654">
        <f t="shared" si="542"/>
        <v>0</v>
      </c>
      <c r="W8654">
        <f t="shared" si="543"/>
        <v>0</v>
      </c>
    </row>
    <row r="8655" spans="5:23" x14ac:dyDescent="0.25">
      <c r="E8655" s="4"/>
      <c r="F8655" s="4"/>
      <c r="G8655" s="33" t="str">
        <f>IFERROR(VLOOKUP($D8655,'Informations sur les produits'!$A$3:$H$10000,8,FALSE),"0")</f>
        <v>0</v>
      </c>
      <c r="K8655" s="4"/>
      <c r="L8655" s="33" t="str">
        <f>IFERROR(VLOOKUP($J8655,'Informations sur les produits'!$A$3:$H$10000,8,FALSE),"0")</f>
        <v>0</v>
      </c>
      <c r="N8655" s="8"/>
      <c r="O8655" s="33" t="str">
        <f>IFERROR(VLOOKUP($M8655,'Informations sur les produits'!$A$3:$H$10000,8,FALSE),"0")</f>
        <v>0</v>
      </c>
      <c r="P8655" s="33">
        <f t="shared" si="540"/>
        <v>0</v>
      </c>
      <c r="Q8655" s="31" t="str">
        <f t="shared" si="541"/>
        <v/>
      </c>
      <c r="R8655" s="32" t="str">
        <f>IFERROR(VLOOKUP($D8655,'Informations sur les produits'!$A$3:$B$15000,2,FALSE),"")</f>
        <v/>
      </c>
      <c r="V8655">
        <f t="shared" si="542"/>
        <v>0</v>
      </c>
      <c r="W8655">
        <f t="shared" si="543"/>
        <v>0</v>
      </c>
    </row>
    <row r="8656" spans="5:23" x14ac:dyDescent="0.25">
      <c r="E8656" s="4"/>
      <c r="F8656" s="4"/>
      <c r="G8656" s="33" t="str">
        <f>IFERROR(VLOOKUP($D8656,'Informations sur les produits'!$A$3:$H$10000,8,FALSE),"0")</f>
        <v>0</v>
      </c>
      <c r="K8656" s="4"/>
      <c r="L8656" s="33" t="str">
        <f>IFERROR(VLOOKUP($J8656,'Informations sur les produits'!$A$3:$H$10000,8,FALSE),"0")</f>
        <v>0</v>
      </c>
      <c r="N8656" s="8"/>
      <c r="O8656" s="33" t="str">
        <f>IFERROR(VLOOKUP($M8656,'Informations sur les produits'!$A$3:$H$10000,8,FALSE),"0")</f>
        <v>0</v>
      </c>
      <c r="P8656" s="33">
        <f t="shared" si="540"/>
        <v>0</v>
      </c>
      <c r="Q8656" s="31" t="str">
        <f t="shared" si="541"/>
        <v/>
      </c>
      <c r="R8656" s="32" t="str">
        <f>IFERROR(VLOOKUP($D8656,'Informations sur les produits'!$A$3:$B$15000,2,FALSE),"")</f>
        <v/>
      </c>
      <c r="V8656">
        <f t="shared" si="542"/>
        <v>0</v>
      </c>
      <c r="W8656">
        <f t="shared" si="543"/>
        <v>0</v>
      </c>
    </row>
    <row r="8657" spans="5:23" x14ac:dyDescent="0.25">
      <c r="E8657" s="4"/>
      <c r="F8657" s="4"/>
      <c r="G8657" s="33" t="str">
        <f>IFERROR(VLOOKUP($D8657,'Informations sur les produits'!$A$3:$H$10000,8,FALSE),"0")</f>
        <v>0</v>
      </c>
      <c r="K8657" s="4"/>
      <c r="L8657" s="33" t="str">
        <f>IFERROR(VLOOKUP($J8657,'Informations sur les produits'!$A$3:$H$10000,8,FALSE),"0")</f>
        <v>0</v>
      </c>
      <c r="N8657" s="8"/>
      <c r="O8657" s="33" t="str">
        <f>IFERROR(VLOOKUP($M8657,'Informations sur les produits'!$A$3:$H$10000,8,FALSE),"0")</f>
        <v>0</v>
      </c>
      <c r="P8657" s="33">
        <f t="shared" si="540"/>
        <v>0</v>
      </c>
      <c r="Q8657" s="31" t="str">
        <f t="shared" si="541"/>
        <v/>
      </c>
      <c r="R8657" s="32" t="str">
        <f>IFERROR(VLOOKUP($D8657,'Informations sur les produits'!$A$3:$B$15000,2,FALSE),"")</f>
        <v/>
      </c>
      <c r="V8657">
        <f t="shared" si="542"/>
        <v>0</v>
      </c>
      <c r="W8657">
        <f t="shared" si="543"/>
        <v>0</v>
      </c>
    </row>
    <row r="8658" spans="5:23" x14ac:dyDescent="0.25">
      <c r="E8658" s="4"/>
      <c r="F8658" s="4"/>
      <c r="G8658" s="33" t="str">
        <f>IFERROR(VLOOKUP($D8658,'Informations sur les produits'!$A$3:$H$10000,8,FALSE),"0")</f>
        <v>0</v>
      </c>
      <c r="K8658" s="4"/>
      <c r="L8658" s="33" t="str">
        <f>IFERROR(VLOOKUP($J8658,'Informations sur les produits'!$A$3:$H$10000,8,FALSE),"0")</f>
        <v>0</v>
      </c>
      <c r="N8658" s="8"/>
      <c r="O8658" s="33" t="str">
        <f>IFERROR(VLOOKUP($M8658,'Informations sur les produits'!$A$3:$H$10000,8,FALSE),"0")</f>
        <v>0</v>
      </c>
      <c r="P8658" s="33">
        <f t="shared" si="540"/>
        <v>0</v>
      </c>
      <c r="Q8658" s="31" t="str">
        <f t="shared" si="541"/>
        <v/>
      </c>
      <c r="R8658" s="32" t="str">
        <f>IFERROR(VLOOKUP($D8658,'Informations sur les produits'!$A$3:$B$15000,2,FALSE),"")</f>
        <v/>
      </c>
      <c r="V8658">
        <f t="shared" si="542"/>
        <v>0</v>
      </c>
      <c r="W8658">
        <f t="shared" si="543"/>
        <v>0</v>
      </c>
    </row>
    <row r="8659" spans="5:23" x14ac:dyDescent="0.25">
      <c r="E8659" s="4"/>
      <c r="F8659" s="4"/>
      <c r="G8659" s="33" t="str">
        <f>IFERROR(VLOOKUP($D8659,'Informations sur les produits'!$A$3:$H$10000,8,FALSE),"0")</f>
        <v>0</v>
      </c>
      <c r="K8659" s="4"/>
      <c r="L8659" s="33" t="str">
        <f>IFERROR(VLOOKUP($J8659,'Informations sur les produits'!$A$3:$H$10000,8,FALSE),"0")</f>
        <v>0</v>
      </c>
      <c r="N8659" s="8"/>
      <c r="O8659" s="33" t="str">
        <f>IFERROR(VLOOKUP($M8659,'Informations sur les produits'!$A$3:$H$10000,8,FALSE),"0")</f>
        <v>0</v>
      </c>
      <c r="P8659" s="33">
        <f t="shared" si="540"/>
        <v>0</v>
      </c>
      <c r="Q8659" s="31" t="str">
        <f t="shared" si="541"/>
        <v/>
      </c>
      <c r="R8659" s="32" t="str">
        <f>IFERROR(VLOOKUP($D8659,'Informations sur les produits'!$A$3:$B$15000,2,FALSE),"")</f>
        <v/>
      </c>
      <c r="V8659">
        <f t="shared" si="542"/>
        <v>0</v>
      </c>
      <c r="W8659">
        <f t="shared" si="543"/>
        <v>0</v>
      </c>
    </row>
    <row r="8660" spans="5:23" x14ac:dyDescent="0.25">
      <c r="E8660" s="4"/>
      <c r="F8660" s="4"/>
      <c r="G8660" s="33" t="str">
        <f>IFERROR(VLOOKUP($D8660,'Informations sur les produits'!$A$3:$H$10000,8,FALSE),"0")</f>
        <v>0</v>
      </c>
      <c r="K8660" s="4"/>
      <c r="L8660" s="33" t="str">
        <f>IFERROR(VLOOKUP($J8660,'Informations sur les produits'!$A$3:$H$10000,8,FALSE),"0")</f>
        <v>0</v>
      </c>
      <c r="N8660" s="8"/>
      <c r="O8660" s="33" t="str">
        <f>IFERROR(VLOOKUP($M8660,'Informations sur les produits'!$A$3:$H$10000,8,FALSE),"0")</f>
        <v>0</v>
      </c>
      <c r="P8660" s="33">
        <f t="shared" si="540"/>
        <v>0</v>
      </c>
      <c r="Q8660" s="31" t="str">
        <f t="shared" si="541"/>
        <v/>
      </c>
      <c r="R8660" s="32" t="str">
        <f>IFERROR(VLOOKUP($D8660,'Informations sur les produits'!$A$3:$B$15000,2,FALSE),"")</f>
        <v/>
      </c>
      <c r="V8660">
        <f t="shared" si="542"/>
        <v>0</v>
      </c>
      <c r="W8660">
        <f t="shared" si="543"/>
        <v>0</v>
      </c>
    </row>
    <row r="8661" spans="5:23" x14ac:dyDescent="0.25">
      <c r="E8661" s="4"/>
      <c r="F8661" s="4"/>
      <c r="G8661" s="33" t="str">
        <f>IFERROR(VLOOKUP($D8661,'Informations sur les produits'!$A$3:$H$10000,8,FALSE),"0")</f>
        <v>0</v>
      </c>
      <c r="K8661" s="4"/>
      <c r="L8661" s="33" t="str">
        <f>IFERROR(VLOOKUP($J8661,'Informations sur les produits'!$A$3:$H$10000,8,FALSE),"0")</f>
        <v>0</v>
      </c>
      <c r="N8661" s="8"/>
      <c r="O8661" s="33" t="str">
        <f>IFERROR(VLOOKUP($M8661,'Informations sur les produits'!$A$3:$H$10000,8,FALSE),"0")</f>
        <v>0</v>
      </c>
      <c r="P8661" s="33">
        <f t="shared" si="540"/>
        <v>0</v>
      </c>
      <c r="Q8661" s="31" t="str">
        <f t="shared" si="541"/>
        <v/>
      </c>
      <c r="R8661" s="32" t="str">
        <f>IFERROR(VLOOKUP($D8661,'Informations sur les produits'!$A$3:$B$15000,2,FALSE),"")</f>
        <v/>
      </c>
      <c r="V8661">
        <f t="shared" si="542"/>
        <v>0</v>
      </c>
      <c r="W8661">
        <f t="shared" si="543"/>
        <v>0</v>
      </c>
    </row>
    <row r="8662" spans="5:23" x14ac:dyDescent="0.25">
      <c r="E8662" s="4"/>
      <c r="F8662" s="4"/>
      <c r="G8662" s="33" t="str">
        <f>IFERROR(VLOOKUP($D8662,'Informations sur les produits'!$A$3:$H$10000,8,FALSE),"0")</f>
        <v>0</v>
      </c>
      <c r="K8662" s="4"/>
      <c r="L8662" s="33" t="str">
        <f>IFERROR(VLOOKUP($J8662,'Informations sur les produits'!$A$3:$H$10000,8,FALSE),"0")</f>
        <v>0</v>
      </c>
      <c r="N8662" s="8"/>
      <c r="O8662" s="33" t="str">
        <f>IFERROR(VLOOKUP($M8662,'Informations sur les produits'!$A$3:$H$10000,8,FALSE),"0")</f>
        <v>0</v>
      </c>
      <c r="P8662" s="33">
        <f t="shared" si="540"/>
        <v>0</v>
      </c>
      <c r="Q8662" s="31" t="str">
        <f t="shared" si="541"/>
        <v/>
      </c>
      <c r="R8662" s="32" t="str">
        <f>IFERROR(VLOOKUP($D8662,'Informations sur les produits'!$A$3:$B$15000,2,FALSE),"")</f>
        <v/>
      </c>
      <c r="V8662">
        <f t="shared" si="542"/>
        <v>0</v>
      </c>
      <c r="W8662">
        <f t="shared" si="543"/>
        <v>0</v>
      </c>
    </row>
    <row r="8663" spans="5:23" x14ac:dyDescent="0.25">
      <c r="E8663" s="4"/>
      <c r="F8663" s="4"/>
      <c r="G8663" s="33" t="str">
        <f>IFERROR(VLOOKUP($D8663,'Informations sur les produits'!$A$3:$H$10000,8,FALSE),"0")</f>
        <v>0</v>
      </c>
      <c r="K8663" s="4"/>
      <c r="L8663" s="33" t="str">
        <f>IFERROR(VLOOKUP($J8663,'Informations sur les produits'!$A$3:$H$10000,8,FALSE),"0")</f>
        <v>0</v>
      </c>
      <c r="N8663" s="8"/>
      <c r="O8663" s="33" t="str">
        <f>IFERROR(VLOOKUP($M8663,'Informations sur les produits'!$A$3:$H$10000,8,FALSE),"0")</f>
        <v>0</v>
      </c>
      <c r="P8663" s="33">
        <f t="shared" si="540"/>
        <v>0</v>
      </c>
      <c r="Q8663" s="31" t="str">
        <f t="shared" si="541"/>
        <v/>
      </c>
      <c r="R8663" s="32" t="str">
        <f>IFERROR(VLOOKUP($D8663,'Informations sur les produits'!$A$3:$B$15000,2,FALSE),"")</f>
        <v/>
      </c>
      <c r="V8663">
        <f t="shared" si="542"/>
        <v>0</v>
      </c>
      <c r="W8663">
        <f t="shared" si="543"/>
        <v>0</v>
      </c>
    </row>
    <row r="8664" spans="5:23" x14ac:dyDescent="0.25">
      <c r="E8664" s="4"/>
      <c r="F8664" s="4"/>
      <c r="G8664" s="33" t="str">
        <f>IFERROR(VLOOKUP($D8664,'Informations sur les produits'!$A$3:$H$10000,8,FALSE),"0")</f>
        <v>0</v>
      </c>
      <c r="K8664" s="4"/>
      <c r="L8664" s="33" t="str">
        <f>IFERROR(VLOOKUP($J8664,'Informations sur les produits'!$A$3:$H$10000,8,FALSE),"0")</f>
        <v>0</v>
      </c>
      <c r="N8664" s="8"/>
      <c r="O8664" s="33" t="str">
        <f>IFERROR(VLOOKUP($M8664,'Informations sur les produits'!$A$3:$H$10000,8,FALSE),"0")</f>
        <v>0</v>
      </c>
      <c r="P8664" s="33">
        <f t="shared" si="540"/>
        <v>0</v>
      </c>
      <c r="Q8664" s="31" t="str">
        <f t="shared" si="541"/>
        <v/>
      </c>
      <c r="R8664" s="32" t="str">
        <f>IFERROR(VLOOKUP($D8664,'Informations sur les produits'!$A$3:$B$15000,2,FALSE),"")</f>
        <v/>
      </c>
      <c r="V8664">
        <f t="shared" si="542"/>
        <v>0</v>
      </c>
      <c r="W8664">
        <f t="shared" si="543"/>
        <v>0</v>
      </c>
    </row>
    <row r="8665" spans="5:23" x14ac:dyDescent="0.25">
      <c r="E8665" s="4"/>
      <c r="F8665" s="4"/>
      <c r="G8665" s="33" t="str">
        <f>IFERROR(VLOOKUP($D8665,'Informations sur les produits'!$A$3:$H$10000,8,FALSE),"0")</f>
        <v>0</v>
      </c>
      <c r="K8665" s="4"/>
      <c r="L8665" s="33" t="str">
        <f>IFERROR(VLOOKUP($J8665,'Informations sur les produits'!$A$3:$H$10000,8,FALSE),"0")</f>
        <v>0</v>
      </c>
      <c r="N8665" s="8"/>
      <c r="O8665" s="33" t="str">
        <f>IFERROR(VLOOKUP($M8665,'Informations sur les produits'!$A$3:$H$10000,8,FALSE),"0")</f>
        <v>0</v>
      </c>
      <c r="P8665" s="33">
        <f t="shared" si="540"/>
        <v>0</v>
      </c>
      <c r="Q8665" s="31" t="str">
        <f t="shared" si="541"/>
        <v/>
      </c>
      <c r="R8665" s="32" t="str">
        <f>IFERROR(VLOOKUP($D8665,'Informations sur les produits'!$A$3:$B$15000,2,FALSE),"")</f>
        <v/>
      </c>
      <c r="V8665">
        <f t="shared" si="542"/>
        <v>0</v>
      </c>
      <c r="W8665">
        <f t="shared" si="543"/>
        <v>0</v>
      </c>
    </row>
    <row r="8666" spans="5:23" x14ac:dyDescent="0.25">
      <c r="E8666" s="4"/>
      <c r="F8666" s="4"/>
      <c r="G8666" s="33" t="str">
        <f>IFERROR(VLOOKUP($D8666,'Informations sur les produits'!$A$3:$H$10000,8,FALSE),"0")</f>
        <v>0</v>
      </c>
      <c r="K8666" s="4"/>
      <c r="L8666" s="33" t="str">
        <f>IFERROR(VLOOKUP($J8666,'Informations sur les produits'!$A$3:$H$10000,8,FALSE),"0")</f>
        <v>0</v>
      </c>
      <c r="N8666" s="8"/>
      <c r="O8666" s="33" t="str">
        <f>IFERROR(VLOOKUP($M8666,'Informations sur les produits'!$A$3:$H$10000,8,FALSE),"0")</f>
        <v>0</v>
      </c>
      <c r="P8666" s="33">
        <f t="shared" si="540"/>
        <v>0</v>
      </c>
      <c r="Q8666" s="31" t="str">
        <f t="shared" si="541"/>
        <v/>
      </c>
      <c r="R8666" s="32" t="str">
        <f>IFERROR(VLOOKUP($D8666,'Informations sur les produits'!$A$3:$B$15000,2,FALSE),"")</f>
        <v/>
      </c>
      <c r="V8666">
        <f t="shared" si="542"/>
        <v>0</v>
      </c>
      <c r="W8666">
        <f t="shared" si="543"/>
        <v>0</v>
      </c>
    </row>
    <row r="8667" spans="5:23" x14ac:dyDescent="0.25">
      <c r="E8667" s="4"/>
      <c r="F8667" s="4"/>
      <c r="G8667" s="33" t="str">
        <f>IFERROR(VLOOKUP($D8667,'Informations sur les produits'!$A$3:$H$10000,8,FALSE),"0")</f>
        <v>0</v>
      </c>
      <c r="K8667" s="4"/>
      <c r="L8667" s="33" t="str">
        <f>IFERROR(VLOOKUP($J8667,'Informations sur les produits'!$A$3:$H$10000,8,FALSE),"0")</f>
        <v>0</v>
      </c>
      <c r="N8667" s="8"/>
      <c r="O8667" s="33" t="str">
        <f>IFERROR(VLOOKUP($M8667,'Informations sur les produits'!$A$3:$H$10000,8,FALSE),"0")</f>
        <v>0</v>
      </c>
      <c r="P8667" s="33">
        <f t="shared" si="540"/>
        <v>0</v>
      </c>
      <c r="Q8667" s="31" t="str">
        <f t="shared" si="541"/>
        <v/>
      </c>
      <c r="R8667" s="32" t="str">
        <f>IFERROR(VLOOKUP($D8667,'Informations sur les produits'!$A$3:$B$15000,2,FALSE),"")</f>
        <v/>
      </c>
      <c r="V8667">
        <f t="shared" si="542"/>
        <v>0</v>
      </c>
      <c r="W8667">
        <f t="shared" si="543"/>
        <v>0</v>
      </c>
    </row>
    <row r="8668" spans="5:23" x14ac:dyDescent="0.25">
      <c r="E8668" s="4"/>
      <c r="F8668" s="4"/>
      <c r="G8668" s="33" t="str">
        <f>IFERROR(VLOOKUP($D8668,'Informations sur les produits'!$A$3:$H$10000,8,FALSE),"0")</f>
        <v>0</v>
      </c>
      <c r="K8668" s="4"/>
      <c r="L8668" s="33" t="str">
        <f>IFERROR(VLOOKUP($J8668,'Informations sur les produits'!$A$3:$H$10000,8,FALSE),"0")</f>
        <v>0</v>
      </c>
      <c r="N8668" s="8"/>
      <c r="O8668" s="33" t="str">
        <f>IFERROR(VLOOKUP($M8668,'Informations sur les produits'!$A$3:$H$10000,8,FALSE),"0")</f>
        <v>0</v>
      </c>
      <c r="P8668" s="33">
        <f t="shared" si="540"/>
        <v>0</v>
      </c>
      <c r="Q8668" s="31" t="str">
        <f t="shared" si="541"/>
        <v/>
      </c>
      <c r="R8668" s="32" t="str">
        <f>IFERROR(VLOOKUP($D8668,'Informations sur les produits'!$A$3:$B$15000,2,FALSE),"")</f>
        <v/>
      </c>
      <c r="V8668">
        <f t="shared" si="542"/>
        <v>0</v>
      </c>
      <c r="W8668">
        <f t="shared" si="543"/>
        <v>0</v>
      </c>
    </row>
    <row r="8669" spans="5:23" x14ac:dyDescent="0.25">
      <c r="E8669" s="4"/>
      <c r="F8669" s="4"/>
      <c r="G8669" s="33" t="str">
        <f>IFERROR(VLOOKUP($D8669,'Informations sur les produits'!$A$3:$H$10000,8,FALSE),"0")</f>
        <v>0</v>
      </c>
      <c r="K8669" s="4"/>
      <c r="L8669" s="33" t="str">
        <f>IFERROR(VLOOKUP($J8669,'Informations sur les produits'!$A$3:$H$10000,8,FALSE),"0")</f>
        <v>0</v>
      </c>
      <c r="N8669" s="8"/>
      <c r="O8669" s="33" t="str">
        <f>IFERROR(VLOOKUP($M8669,'Informations sur les produits'!$A$3:$H$10000,8,FALSE),"0")</f>
        <v>0</v>
      </c>
      <c r="P8669" s="33">
        <f t="shared" si="540"/>
        <v>0</v>
      </c>
      <c r="Q8669" s="31" t="str">
        <f t="shared" si="541"/>
        <v/>
      </c>
      <c r="R8669" s="32" t="str">
        <f>IFERROR(VLOOKUP($D8669,'Informations sur les produits'!$A$3:$B$15000,2,FALSE),"")</f>
        <v/>
      </c>
      <c r="V8669">
        <f t="shared" si="542"/>
        <v>0</v>
      </c>
      <c r="W8669">
        <f t="shared" si="543"/>
        <v>0</v>
      </c>
    </row>
    <row r="8670" spans="5:23" x14ac:dyDescent="0.25">
      <c r="E8670" s="4"/>
      <c r="F8670" s="4"/>
      <c r="G8670" s="33" t="str">
        <f>IFERROR(VLOOKUP($D8670,'Informations sur les produits'!$A$3:$H$10000,8,FALSE),"0")</f>
        <v>0</v>
      </c>
      <c r="K8670" s="4"/>
      <c r="L8670" s="33" t="str">
        <f>IFERROR(VLOOKUP($J8670,'Informations sur les produits'!$A$3:$H$10000,8,FALSE),"0")</f>
        <v>0</v>
      </c>
      <c r="N8670" s="8"/>
      <c r="O8670" s="33" t="str">
        <f>IFERROR(VLOOKUP($M8670,'Informations sur les produits'!$A$3:$H$10000,8,FALSE),"0")</f>
        <v>0</v>
      </c>
      <c r="P8670" s="33">
        <f t="shared" si="540"/>
        <v>0</v>
      </c>
      <c r="Q8670" s="31" t="str">
        <f t="shared" si="541"/>
        <v/>
      </c>
      <c r="R8670" s="32" t="str">
        <f>IFERROR(VLOOKUP($D8670,'Informations sur les produits'!$A$3:$B$15000,2,FALSE),"")</f>
        <v/>
      </c>
      <c r="V8670">
        <f t="shared" si="542"/>
        <v>0</v>
      </c>
      <c r="W8670">
        <f t="shared" si="543"/>
        <v>0</v>
      </c>
    </row>
    <row r="8671" spans="5:23" x14ac:dyDescent="0.25">
      <c r="E8671" s="4"/>
      <c r="F8671" s="4"/>
      <c r="G8671" s="33" t="str">
        <f>IFERROR(VLOOKUP($D8671,'Informations sur les produits'!$A$3:$H$10000,8,FALSE),"0")</f>
        <v>0</v>
      </c>
      <c r="K8671" s="4"/>
      <c r="L8671" s="33" t="str">
        <f>IFERROR(VLOOKUP($J8671,'Informations sur les produits'!$A$3:$H$10000,8,FALSE),"0")</f>
        <v>0</v>
      </c>
      <c r="N8671" s="8"/>
      <c r="O8671" s="33" t="str">
        <f>IFERROR(VLOOKUP($M8671,'Informations sur les produits'!$A$3:$H$10000,8,FALSE),"0")</f>
        <v>0</v>
      </c>
      <c r="P8671" s="33">
        <f t="shared" si="540"/>
        <v>0</v>
      </c>
      <c r="Q8671" s="31" t="str">
        <f t="shared" si="541"/>
        <v/>
      </c>
      <c r="R8671" s="32" t="str">
        <f>IFERROR(VLOOKUP($D8671,'Informations sur les produits'!$A$3:$B$15000,2,FALSE),"")</f>
        <v/>
      </c>
      <c r="V8671">
        <f t="shared" si="542"/>
        <v>0</v>
      </c>
      <c r="W8671">
        <f t="shared" si="543"/>
        <v>0</v>
      </c>
    </row>
    <row r="8672" spans="5:23" x14ac:dyDescent="0.25">
      <c r="E8672" s="4"/>
      <c r="F8672" s="4"/>
      <c r="G8672" s="33" t="str">
        <f>IFERROR(VLOOKUP($D8672,'Informations sur les produits'!$A$3:$H$10000,8,FALSE),"0")</f>
        <v>0</v>
      </c>
      <c r="K8672" s="4"/>
      <c r="L8672" s="33" t="str">
        <f>IFERROR(VLOOKUP($J8672,'Informations sur les produits'!$A$3:$H$10000,8,FALSE),"0")</f>
        <v>0</v>
      </c>
      <c r="N8672" s="8"/>
      <c r="O8672" s="33" t="str">
        <f>IFERROR(VLOOKUP($M8672,'Informations sur les produits'!$A$3:$H$10000,8,FALSE),"0")</f>
        <v>0</v>
      </c>
      <c r="P8672" s="33">
        <f t="shared" si="540"/>
        <v>0</v>
      </c>
      <c r="Q8672" s="31" t="str">
        <f t="shared" si="541"/>
        <v/>
      </c>
      <c r="R8672" s="32" t="str">
        <f>IFERROR(VLOOKUP($D8672,'Informations sur les produits'!$A$3:$B$15000,2,FALSE),"")</f>
        <v/>
      </c>
      <c r="V8672">
        <f t="shared" si="542"/>
        <v>0</v>
      </c>
      <c r="W8672">
        <f t="shared" si="543"/>
        <v>0</v>
      </c>
    </row>
    <row r="8673" spans="5:23" x14ac:dyDescent="0.25">
      <c r="E8673" s="4"/>
      <c r="F8673" s="4"/>
      <c r="G8673" s="33" t="str">
        <f>IFERROR(VLOOKUP($D8673,'Informations sur les produits'!$A$3:$H$10000,8,FALSE),"0")</f>
        <v>0</v>
      </c>
      <c r="K8673" s="4"/>
      <c r="L8673" s="33" t="str">
        <f>IFERROR(VLOOKUP($J8673,'Informations sur les produits'!$A$3:$H$10000,8,FALSE),"0")</f>
        <v>0</v>
      </c>
      <c r="N8673" s="8"/>
      <c r="O8673" s="33" t="str">
        <f>IFERROR(VLOOKUP($M8673,'Informations sur les produits'!$A$3:$H$10000,8,FALSE),"0")</f>
        <v>0</v>
      </c>
      <c r="P8673" s="33">
        <f t="shared" si="540"/>
        <v>0</v>
      </c>
      <c r="Q8673" s="31" t="str">
        <f t="shared" si="541"/>
        <v/>
      </c>
      <c r="R8673" s="32" t="str">
        <f>IFERROR(VLOOKUP($D8673,'Informations sur les produits'!$A$3:$B$15000,2,FALSE),"")</f>
        <v/>
      </c>
      <c r="V8673">
        <f t="shared" si="542"/>
        <v>0</v>
      </c>
      <c r="W8673">
        <f t="shared" si="543"/>
        <v>0</v>
      </c>
    </row>
    <row r="8674" spans="5:23" x14ac:dyDescent="0.25">
      <c r="E8674" s="4"/>
      <c r="F8674" s="4"/>
      <c r="G8674" s="33" t="str">
        <f>IFERROR(VLOOKUP($D8674,'Informations sur les produits'!$A$3:$H$10000,8,FALSE),"0")</f>
        <v>0</v>
      </c>
      <c r="K8674" s="4"/>
      <c r="L8674" s="33" t="str">
        <f>IFERROR(VLOOKUP($J8674,'Informations sur les produits'!$A$3:$H$10000,8,FALSE),"0")</f>
        <v>0</v>
      </c>
      <c r="N8674" s="8"/>
      <c r="O8674" s="33" t="str">
        <f>IFERROR(VLOOKUP($M8674,'Informations sur les produits'!$A$3:$H$10000,8,FALSE),"0")</f>
        <v>0</v>
      </c>
      <c r="P8674" s="33">
        <f t="shared" si="540"/>
        <v>0</v>
      </c>
      <c r="Q8674" s="31" t="str">
        <f t="shared" si="541"/>
        <v/>
      </c>
      <c r="R8674" s="32" t="str">
        <f>IFERROR(VLOOKUP($D8674,'Informations sur les produits'!$A$3:$B$15000,2,FALSE),"")</f>
        <v/>
      </c>
      <c r="V8674">
        <f t="shared" si="542"/>
        <v>0</v>
      </c>
      <c r="W8674">
        <f t="shared" si="543"/>
        <v>0</v>
      </c>
    </row>
    <row r="8675" spans="5:23" x14ac:dyDescent="0.25">
      <c r="E8675" s="4"/>
      <c r="F8675" s="4"/>
      <c r="G8675" s="33" t="str">
        <f>IFERROR(VLOOKUP($D8675,'Informations sur les produits'!$A$3:$H$10000,8,FALSE),"0")</f>
        <v>0</v>
      </c>
      <c r="K8675" s="4"/>
      <c r="L8675" s="33" t="str">
        <f>IFERROR(VLOOKUP($J8675,'Informations sur les produits'!$A$3:$H$10000,8,FALSE),"0")</f>
        <v>0</v>
      </c>
      <c r="N8675" s="8"/>
      <c r="O8675" s="33" t="str">
        <f>IFERROR(VLOOKUP($M8675,'Informations sur les produits'!$A$3:$H$10000,8,FALSE),"0")</f>
        <v>0</v>
      </c>
      <c r="P8675" s="33">
        <f t="shared" si="540"/>
        <v>0</v>
      </c>
      <c r="Q8675" s="31" t="str">
        <f t="shared" si="541"/>
        <v/>
      </c>
      <c r="R8675" s="32" t="str">
        <f>IFERROR(VLOOKUP($D8675,'Informations sur les produits'!$A$3:$B$15000,2,FALSE),"")</f>
        <v/>
      </c>
      <c r="V8675">
        <f t="shared" si="542"/>
        <v>0</v>
      </c>
      <c r="W8675">
        <f t="shared" si="543"/>
        <v>0</v>
      </c>
    </row>
    <row r="8676" spans="5:23" x14ac:dyDescent="0.25">
      <c r="E8676" s="4"/>
      <c r="F8676" s="4"/>
      <c r="G8676" s="33" t="str">
        <f>IFERROR(VLOOKUP($D8676,'Informations sur les produits'!$A$3:$H$10000,8,FALSE),"0")</f>
        <v>0</v>
      </c>
      <c r="K8676" s="4"/>
      <c r="L8676" s="33" t="str">
        <f>IFERROR(VLOOKUP($J8676,'Informations sur les produits'!$A$3:$H$10000,8,FALSE),"0")</f>
        <v>0</v>
      </c>
      <c r="N8676" s="8"/>
      <c r="O8676" s="33" t="str">
        <f>IFERROR(VLOOKUP($M8676,'Informations sur les produits'!$A$3:$H$10000,8,FALSE),"0")</f>
        <v>0</v>
      </c>
      <c r="P8676" s="33">
        <f t="shared" si="540"/>
        <v>0</v>
      </c>
      <c r="Q8676" s="31" t="str">
        <f t="shared" si="541"/>
        <v/>
      </c>
      <c r="R8676" s="32" t="str">
        <f>IFERROR(VLOOKUP($D8676,'Informations sur les produits'!$A$3:$B$15000,2,FALSE),"")</f>
        <v/>
      </c>
      <c r="V8676">
        <f t="shared" si="542"/>
        <v>0</v>
      </c>
      <c r="W8676">
        <f t="shared" si="543"/>
        <v>0</v>
      </c>
    </row>
    <row r="8677" spans="5:23" x14ac:dyDescent="0.25">
      <c r="E8677" s="4"/>
      <c r="F8677" s="4"/>
      <c r="G8677" s="33" t="str">
        <f>IFERROR(VLOOKUP($D8677,'Informations sur les produits'!$A$3:$H$10000,8,FALSE),"0")</f>
        <v>0</v>
      </c>
      <c r="K8677" s="4"/>
      <c r="L8677" s="33" t="str">
        <f>IFERROR(VLOOKUP($J8677,'Informations sur les produits'!$A$3:$H$10000,8,FALSE),"0")</f>
        <v>0</v>
      </c>
      <c r="N8677" s="8"/>
      <c r="O8677" s="33" t="str">
        <f>IFERROR(VLOOKUP($M8677,'Informations sur les produits'!$A$3:$H$10000,8,FALSE),"0")</f>
        <v>0</v>
      </c>
      <c r="P8677" s="33">
        <f t="shared" si="540"/>
        <v>0</v>
      </c>
      <c r="Q8677" s="31" t="str">
        <f t="shared" si="541"/>
        <v/>
      </c>
      <c r="R8677" s="32" t="str">
        <f>IFERROR(VLOOKUP($D8677,'Informations sur les produits'!$A$3:$B$15000,2,FALSE),"")</f>
        <v/>
      </c>
      <c r="V8677">
        <f t="shared" si="542"/>
        <v>0</v>
      </c>
      <c r="W8677">
        <f t="shared" si="543"/>
        <v>0</v>
      </c>
    </row>
    <row r="8678" spans="5:23" x14ac:dyDescent="0.25">
      <c r="E8678" s="4"/>
      <c r="F8678" s="4"/>
      <c r="G8678" s="33" t="str">
        <f>IFERROR(VLOOKUP($D8678,'Informations sur les produits'!$A$3:$H$10000,8,FALSE),"0")</f>
        <v>0</v>
      </c>
      <c r="K8678" s="4"/>
      <c r="L8678" s="33" t="str">
        <f>IFERROR(VLOOKUP($J8678,'Informations sur les produits'!$A$3:$H$10000,8,FALSE),"0")</f>
        <v>0</v>
      </c>
      <c r="N8678" s="8"/>
      <c r="O8678" s="33" t="str">
        <f>IFERROR(VLOOKUP($M8678,'Informations sur les produits'!$A$3:$H$10000,8,FALSE),"0")</f>
        <v>0</v>
      </c>
      <c r="P8678" s="33">
        <f t="shared" si="540"/>
        <v>0</v>
      </c>
      <c r="Q8678" s="31" t="str">
        <f t="shared" si="541"/>
        <v/>
      </c>
      <c r="R8678" s="32" t="str">
        <f>IFERROR(VLOOKUP($D8678,'Informations sur les produits'!$A$3:$B$15000,2,FALSE),"")</f>
        <v/>
      </c>
      <c r="V8678">
        <f t="shared" si="542"/>
        <v>0</v>
      </c>
      <c r="W8678">
        <f t="shared" si="543"/>
        <v>0</v>
      </c>
    </row>
    <row r="8679" spans="5:23" x14ac:dyDescent="0.25">
      <c r="E8679" s="4"/>
      <c r="F8679" s="4"/>
      <c r="G8679" s="33" t="str">
        <f>IFERROR(VLOOKUP($D8679,'Informations sur les produits'!$A$3:$H$10000,8,FALSE),"0")</f>
        <v>0</v>
      </c>
      <c r="K8679" s="4"/>
      <c r="L8679" s="33" t="str">
        <f>IFERROR(VLOOKUP($J8679,'Informations sur les produits'!$A$3:$H$10000,8,FALSE),"0")</f>
        <v>0</v>
      </c>
      <c r="N8679" s="8"/>
      <c r="O8679" s="33" t="str">
        <f>IFERROR(VLOOKUP($M8679,'Informations sur les produits'!$A$3:$H$10000,8,FALSE),"0")</f>
        <v>0</v>
      </c>
      <c r="P8679" s="33">
        <f t="shared" si="540"/>
        <v>0</v>
      </c>
      <c r="Q8679" s="31" t="str">
        <f t="shared" si="541"/>
        <v/>
      </c>
      <c r="R8679" s="32" t="str">
        <f>IFERROR(VLOOKUP($D8679,'Informations sur les produits'!$A$3:$B$15000,2,FALSE),"")</f>
        <v/>
      </c>
      <c r="V8679">
        <f t="shared" si="542"/>
        <v>0</v>
      </c>
      <c r="W8679">
        <f t="shared" si="543"/>
        <v>0</v>
      </c>
    </row>
    <row r="8680" spans="5:23" x14ac:dyDescent="0.25">
      <c r="E8680" s="4"/>
      <c r="F8680" s="4"/>
      <c r="G8680" s="33" t="str">
        <f>IFERROR(VLOOKUP($D8680,'Informations sur les produits'!$A$3:$H$10000,8,FALSE),"0")</f>
        <v>0</v>
      </c>
      <c r="K8680" s="4"/>
      <c r="L8680" s="33" t="str">
        <f>IFERROR(VLOOKUP($J8680,'Informations sur les produits'!$A$3:$H$10000,8,FALSE),"0")</f>
        <v>0</v>
      </c>
      <c r="N8680" s="8"/>
      <c r="O8680" s="33" t="str">
        <f>IFERROR(VLOOKUP($M8680,'Informations sur les produits'!$A$3:$H$10000,8,FALSE),"0")</f>
        <v>0</v>
      </c>
      <c r="P8680" s="33">
        <f t="shared" si="540"/>
        <v>0</v>
      </c>
      <c r="Q8680" s="31" t="str">
        <f t="shared" si="541"/>
        <v/>
      </c>
      <c r="R8680" s="32" t="str">
        <f>IFERROR(VLOOKUP($D8680,'Informations sur les produits'!$A$3:$B$15000,2,FALSE),"")</f>
        <v/>
      </c>
      <c r="V8680">
        <f t="shared" si="542"/>
        <v>0</v>
      </c>
      <c r="W8680">
        <f t="shared" si="543"/>
        <v>0</v>
      </c>
    </row>
    <row r="8681" spans="5:23" x14ac:dyDescent="0.25">
      <c r="E8681" s="4"/>
      <c r="F8681" s="4"/>
      <c r="G8681" s="33" t="str">
        <f>IFERROR(VLOOKUP($D8681,'Informations sur les produits'!$A$3:$H$10000,8,FALSE),"0")</f>
        <v>0</v>
      </c>
      <c r="K8681" s="4"/>
      <c r="L8681" s="33" t="str">
        <f>IFERROR(VLOOKUP($J8681,'Informations sur les produits'!$A$3:$H$10000,8,FALSE),"0")</f>
        <v>0</v>
      </c>
      <c r="N8681" s="8"/>
      <c r="O8681" s="33" t="str">
        <f>IFERROR(VLOOKUP($M8681,'Informations sur les produits'!$A$3:$H$10000,8,FALSE),"0")</f>
        <v>0</v>
      </c>
      <c r="P8681" s="33">
        <f t="shared" si="540"/>
        <v>0</v>
      </c>
      <c r="Q8681" s="31" t="str">
        <f t="shared" si="541"/>
        <v/>
      </c>
      <c r="R8681" s="32" t="str">
        <f>IFERROR(VLOOKUP($D8681,'Informations sur les produits'!$A$3:$B$15000,2,FALSE),"")</f>
        <v/>
      </c>
      <c r="V8681">
        <f t="shared" si="542"/>
        <v>0</v>
      </c>
      <c r="W8681">
        <f t="shared" si="543"/>
        <v>0</v>
      </c>
    </row>
    <row r="8682" spans="5:23" x14ac:dyDescent="0.25">
      <c r="E8682" s="4"/>
      <c r="F8682" s="4"/>
      <c r="G8682" s="33" t="str">
        <f>IFERROR(VLOOKUP($D8682,'Informations sur les produits'!$A$3:$H$10000,8,FALSE),"0")</f>
        <v>0</v>
      </c>
      <c r="K8682" s="4"/>
      <c r="L8682" s="33" t="str">
        <f>IFERROR(VLOOKUP($J8682,'Informations sur les produits'!$A$3:$H$10000,8,FALSE),"0")</f>
        <v>0</v>
      </c>
      <c r="N8682" s="8"/>
      <c r="O8682" s="33" t="str">
        <f>IFERROR(VLOOKUP($M8682,'Informations sur les produits'!$A$3:$H$10000,8,FALSE),"0")</f>
        <v>0</v>
      </c>
      <c r="P8682" s="33">
        <f t="shared" si="540"/>
        <v>0</v>
      </c>
      <c r="Q8682" s="31" t="str">
        <f t="shared" si="541"/>
        <v/>
      </c>
      <c r="R8682" s="32" t="str">
        <f>IFERROR(VLOOKUP($D8682,'Informations sur les produits'!$A$3:$B$15000,2,FALSE),"")</f>
        <v/>
      </c>
      <c r="V8682">
        <f t="shared" si="542"/>
        <v>0</v>
      </c>
      <c r="W8682">
        <f t="shared" si="543"/>
        <v>0</v>
      </c>
    </row>
    <row r="8683" spans="5:23" x14ac:dyDescent="0.25">
      <c r="E8683" s="4"/>
      <c r="F8683" s="4"/>
      <c r="G8683" s="33" t="str">
        <f>IFERROR(VLOOKUP($D8683,'Informations sur les produits'!$A$3:$H$10000,8,FALSE),"0")</f>
        <v>0</v>
      </c>
      <c r="K8683" s="4"/>
      <c r="L8683" s="33" t="str">
        <f>IFERROR(VLOOKUP($J8683,'Informations sur les produits'!$A$3:$H$10000,8,FALSE),"0")</f>
        <v>0</v>
      </c>
      <c r="N8683" s="8"/>
      <c r="O8683" s="33" t="str">
        <f>IFERROR(VLOOKUP($M8683,'Informations sur les produits'!$A$3:$H$10000,8,FALSE),"0")</f>
        <v>0</v>
      </c>
      <c r="P8683" s="33">
        <f t="shared" si="540"/>
        <v>0</v>
      </c>
      <c r="Q8683" s="31" t="str">
        <f t="shared" si="541"/>
        <v/>
      </c>
      <c r="R8683" s="32" t="str">
        <f>IFERROR(VLOOKUP($D8683,'Informations sur les produits'!$A$3:$B$15000,2,FALSE),"")</f>
        <v/>
      </c>
      <c r="V8683">
        <f t="shared" si="542"/>
        <v>0</v>
      </c>
      <c r="W8683">
        <f t="shared" si="543"/>
        <v>0</v>
      </c>
    </row>
    <row r="8684" spans="5:23" x14ac:dyDescent="0.25">
      <c r="E8684" s="4"/>
      <c r="F8684" s="4"/>
      <c r="G8684" s="33" t="str">
        <f>IFERROR(VLOOKUP($D8684,'Informations sur les produits'!$A$3:$H$10000,8,FALSE),"0")</f>
        <v>0</v>
      </c>
      <c r="K8684" s="4"/>
      <c r="L8684" s="33" t="str">
        <f>IFERROR(VLOOKUP($J8684,'Informations sur les produits'!$A$3:$H$10000,8,FALSE),"0")</f>
        <v>0</v>
      </c>
      <c r="N8684" s="8"/>
      <c r="O8684" s="33" t="str">
        <f>IFERROR(VLOOKUP($M8684,'Informations sur les produits'!$A$3:$H$10000,8,FALSE),"0")</f>
        <v>0</v>
      </c>
      <c r="P8684" s="33">
        <f t="shared" si="540"/>
        <v>0</v>
      </c>
      <c r="Q8684" s="31" t="str">
        <f t="shared" si="541"/>
        <v/>
      </c>
      <c r="R8684" s="32" t="str">
        <f>IFERROR(VLOOKUP($D8684,'Informations sur les produits'!$A$3:$B$15000,2,FALSE),"")</f>
        <v/>
      </c>
      <c r="V8684">
        <f t="shared" si="542"/>
        <v>0</v>
      </c>
      <c r="W8684">
        <f t="shared" si="543"/>
        <v>0</v>
      </c>
    </row>
    <row r="8685" spans="5:23" x14ac:dyDescent="0.25">
      <c r="E8685" s="4"/>
      <c r="F8685" s="4"/>
      <c r="G8685" s="33" t="str">
        <f>IFERROR(VLOOKUP($D8685,'Informations sur les produits'!$A$3:$H$10000,8,FALSE),"0")</f>
        <v>0</v>
      </c>
      <c r="K8685" s="4"/>
      <c r="L8685" s="33" t="str">
        <f>IFERROR(VLOOKUP($J8685,'Informations sur les produits'!$A$3:$H$10000,8,FALSE),"0")</f>
        <v>0</v>
      </c>
      <c r="N8685" s="8"/>
      <c r="O8685" s="33" t="str">
        <f>IFERROR(VLOOKUP($M8685,'Informations sur les produits'!$A$3:$H$10000,8,FALSE),"0")</f>
        <v>0</v>
      </c>
      <c r="P8685" s="33">
        <f t="shared" si="540"/>
        <v>0</v>
      </c>
      <c r="Q8685" s="31" t="str">
        <f t="shared" si="541"/>
        <v/>
      </c>
      <c r="R8685" s="32" t="str">
        <f>IFERROR(VLOOKUP($D8685,'Informations sur les produits'!$A$3:$B$15000,2,FALSE),"")</f>
        <v/>
      </c>
      <c r="V8685">
        <f t="shared" si="542"/>
        <v>0</v>
      </c>
      <c r="W8685">
        <f t="shared" si="543"/>
        <v>0</v>
      </c>
    </row>
    <row r="8686" spans="5:23" x14ac:dyDescent="0.25">
      <c r="E8686" s="4"/>
      <c r="F8686" s="4"/>
      <c r="G8686" s="33" t="str">
        <f>IFERROR(VLOOKUP($D8686,'Informations sur les produits'!$A$3:$H$10000,8,FALSE),"0")</f>
        <v>0</v>
      </c>
      <c r="K8686" s="4"/>
      <c r="L8686" s="33" t="str">
        <f>IFERROR(VLOOKUP($J8686,'Informations sur les produits'!$A$3:$H$10000,8,FALSE),"0")</f>
        <v>0</v>
      </c>
      <c r="N8686" s="8"/>
      <c r="O8686" s="33" t="str">
        <f>IFERROR(VLOOKUP($M8686,'Informations sur les produits'!$A$3:$H$10000,8,FALSE),"0")</f>
        <v>0</v>
      </c>
      <c r="P8686" s="33">
        <f t="shared" si="540"/>
        <v>0</v>
      </c>
      <c r="Q8686" s="31" t="str">
        <f t="shared" si="541"/>
        <v/>
      </c>
      <c r="R8686" s="32" t="str">
        <f>IFERROR(VLOOKUP($D8686,'Informations sur les produits'!$A$3:$B$15000,2,FALSE),"")</f>
        <v/>
      </c>
      <c r="V8686">
        <f t="shared" si="542"/>
        <v>0</v>
      </c>
      <c r="W8686">
        <f t="shared" si="543"/>
        <v>0</v>
      </c>
    </row>
    <row r="8687" spans="5:23" x14ac:dyDescent="0.25">
      <c r="E8687" s="4"/>
      <c r="F8687" s="4"/>
      <c r="G8687" s="33" t="str">
        <f>IFERROR(VLOOKUP($D8687,'Informations sur les produits'!$A$3:$H$10000,8,FALSE),"0")</f>
        <v>0</v>
      </c>
      <c r="K8687" s="4"/>
      <c r="L8687" s="33" t="str">
        <f>IFERROR(VLOOKUP($J8687,'Informations sur les produits'!$A$3:$H$10000,8,FALSE),"0")</f>
        <v>0</v>
      </c>
      <c r="N8687" s="8"/>
      <c r="O8687" s="33" t="str">
        <f>IFERROR(VLOOKUP($M8687,'Informations sur les produits'!$A$3:$H$10000,8,FALSE),"0")</f>
        <v>0</v>
      </c>
      <c r="P8687" s="33">
        <f t="shared" si="540"/>
        <v>0</v>
      </c>
      <c r="Q8687" s="31" t="str">
        <f t="shared" si="541"/>
        <v/>
      </c>
      <c r="R8687" s="32" t="str">
        <f>IFERROR(VLOOKUP($D8687,'Informations sur les produits'!$A$3:$B$15000,2,FALSE),"")</f>
        <v/>
      </c>
      <c r="V8687">
        <f t="shared" si="542"/>
        <v>0</v>
      </c>
      <c r="W8687">
        <f t="shared" si="543"/>
        <v>0</v>
      </c>
    </row>
    <row r="8688" spans="5:23" x14ac:dyDescent="0.25">
      <c r="E8688" s="4"/>
      <c r="F8688" s="4"/>
      <c r="G8688" s="33" t="str">
        <f>IFERROR(VLOOKUP($D8688,'Informations sur les produits'!$A$3:$H$10000,8,FALSE),"0")</f>
        <v>0</v>
      </c>
      <c r="K8688" s="4"/>
      <c r="L8688" s="33" t="str">
        <f>IFERROR(VLOOKUP($J8688,'Informations sur les produits'!$A$3:$H$10000,8,FALSE),"0")</f>
        <v>0</v>
      </c>
      <c r="N8688" s="8"/>
      <c r="O8688" s="33" t="str">
        <f>IFERROR(VLOOKUP($M8688,'Informations sur les produits'!$A$3:$H$10000,8,FALSE),"0")</f>
        <v>0</v>
      </c>
      <c r="P8688" s="33">
        <f t="shared" si="540"/>
        <v>0</v>
      </c>
      <c r="Q8688" s="31" t="str">
        <f t="shared" si="541"/>
        <v/>
      </c>
      <c r="R8688" s="32" t="str">
        <f>IFERROR(VLOOKUP($D8688,'Informations sur les produits'!$A$3:$B$15000,2,FALSE),"")</f>
        <v/>
      </c>
      <c r="V8688">
        <f t="shared" si="542"/>
        <v>0</v>
      </c>
      <c r="W8688">
        <f t="shared" si="543"/>
        <v>0</v>
      </c>
    </row>
    <row r="8689" spans="5:23" x14ac:dyDescent="0.25">
      <c r="E8689" s="4"/>
      <c r="F8689" s="4"/>
      <c r="G8689" s="33" t="str">
        <f>IFERROR(VLOOKUP($D8689,'Informations sur les produits'!$A$3:$H$10000,8,FALSE),"0")</f>
        <v>0</v>
      </c>
      <c r="K8689" s="4"/>
      <c r="L8689" s="33" t="str">
        <f>IFERROR(VLOOKUP($J8689,'Informations sur les produits'!$A$3:$H$10000,8,FALSE),"0")</f>
        <v>0</v>
      </c>
      <c r="N8689" s="8"/>
      <c r="O8689" s="33" t="str">
        <f>IFERROR(VLOOKUP($M8689,'Informations sur les produits'!$A$3:$H$10000,8,FALSE),"0")</f>
        <v>0</v>
      </c>
      <c r="P8689" s="33">
        <f t="shared" si="540"/>
        <v>0</v>
      </c>
      <c r="Q8689" s="31" t="str">
        <f t="shared" si="541"/>
        <v/>
      </c>
      <c r="R8689" s="32" t="str">
        <f>IFERROR(VLOOKUP($D8689,'Informations sur les produits'!$A$3:$B$15000,2,FALSE),"")</f>
        <v/>
      </c>
      <c r="V8689">
        <f t="shared" si="542"/>
        <v>0</v>
      </c>
      <c r="W8689">
        <f t="shared" si="543"/>
        <v>0</v>
      </c>
    </row>
    <row r="8690" spans="5:23" x14ac:dyDescent="0.25">
      <c r="E8690" s="4"/>
      <c r="F8690" s="4"/>
      <c r="G8690" s="33" t="str">
        <f>IFERROR(VLOOKUP($D8690,'Informations sur les produits'!$A$3:$H$10000,8,FALSE),"0")</f>
        <v>0</v>
      </c>
      <c r="K8690" s="4"/>
      <c r="L8690" s="33" t="str">
        <f>IFERROR(VLOOKUP($J8690,'Informations sur les produits'!$A$3:$H$10000,8,FALSE),"0")</f>
        <v>0</v>
      </c>
      <c r="N8690" s="8"/>
      <c r="O8690" s="33" t="str">
        <f>IFERROR(VLOOKUP($M8690,'Informations sur les produits'!$A$3:$H$10000,8,FALSE),"0")</f>
        <v>0</v>
      </c>
      <c r="P8690" s="33">
        <f t="shared" si="540"/>
        <v>0</v>
      </c>
      <c r="Q8690" s="31" t="str">
        <f t="shared" si="541"/>
        <v/>
      </c>
      <c r="R8690" s="32" t="str">
        <f>IFERROR(VLOOKUP($D8690,'Informations sur les produits'!$A$3:$B$15000,2,FALSE),"")</f>
        <v/>
      </c>
      <c r="V8690">
        <f t="shared" si="542"/>
        <v>0</v>
      </c>
      <c r="W8690">
        <f t="shared" si="543"/>
        <v>0</v>
      </c>
    </row>
    <row r="8691" spans="5:23" x14ac:dyDescent="0.25">
      <c r="E8691" s="4"/>
      <c r="F8691" s="4"/>
      <c r="G8691" s="33" t="str">
        <f>IFERROR(VLOOKUP($D8691,'Informations sur les produits'!$A$3:$H$10000,8,FALSE),"0")</f>
        <v>0</v>
      </c>
      <c r="K8691" s="4"/>
      <c r="L8691" s="33" t="str">
        <f>IFERROR(VLOOKUP($J8691,'Informations sur les produits'!$A$3:$H$10000,8,FALSE),"0")</f>
        <v>0</v>
      </c>
      <c r="N8691" s="8"/>
      <c r="O8691" s="33" t="str">
        <f>IFERROR(VLOOKUP($M8691,'Informations sur les produits'!$A$3:$H$10000,8,FALSE),"0")</f>
        <v>0</v>
      </c>
      <c r="P8691" s="33">
        <f t="shared" si="540"/>
        <v>0</v>
      </c>
      <c r="Q8691" s="31" t="str">
        <f t="shared" si="541"/>
        <v/>
      </c>
      <c r="R8691" s="32" t="str">
        <f>IFERROR(VLOOKUP($D8691,'Informations sur les produits'!$A$3:$B$15000,2,FALSE),"")</f>
        <v/>
      </c>
      <c r="V8691">
        <f t="shared" si="542"/>
        <v>0</v>
      </c>
      <c r="W8691">
        <f t="shared" si="543"/>
        <v>0</v>
      </c>
    </row>
    <row r="8692" spans="5:23" x14ac:dyDescent="0.25">
      <c r="E8692" s="4"/>
      <c r="F8692" s="4"/>
      <c r="G8692" s="33" t="str">
        <f>IFERROR(VLOOKUP($D8692,'Informations sur les produits'!$A$3:$H$10000,8,FALSE),"0")</f>
        <v>0</v>
      </c>
      <c r="K8692" s="4"/>
      <c r="L8692" s="33" t="str">
        <f>IFERROR(VLOOKUP($J8692,'Informations sur les produits'!$A$3:$H$10000,8,FALSE),"0")</f>
        <v>0</v>
      </c>
      <c r="N8692" s="8"/>
      <c r="O8692" s="33" t="str">
        <f>IFERROR(VLOOKUP($M8692,'Informations sur les produits'!$A$3:$H$10000,8,FALSE),"0")</f>
        <v>0</v>
      </c>
      <c r="P8692" s="33">
        <f t="shared" si="540"/>
        <v>0</v>
      </c>
      <c r="Q8692" s="31" t="str">
        <f t="shared" si="541"/>
        <v/>
      </c>
      <c r="R8692" s="32" t="str">
        <f>IFERROR(VLOOKUP($D8692,'Informations sur les produits'!$A$3:$B$15000,2,FALSE),"")</f>
        <v/>
      </c>
      <c r="V8692">
        <f t="shared" si="542"/>
        <v>0</v>
      </c>
      <c r="W8692">
        <f t="shared" si="543"/>
        <v>0</v>
      </c>
    </row>
    <row r="8693" spans="5:23" x14ac:dyDescent="0.25">
      <c r="E8693" s="4"/>
      <c r="F8693" s="4"/>
      <c r="G8693" s="33" t="str">
        <f>IFERROR(VLOOKUP($D8693,'Informations sur les produits'!$A$3:$H$10000,8,FALSE),"0")</f>
        <v>0</v>
      </c>
      <c r="K8693" s="4"/>
      <c r="L8693" s="33" t="str">
        <f>IFERROR(VLOOKUP($J8693,'Informations sur les produits'!$A$3:$H$10000,8,FALSE),"0")</f>
        <v>0</v>
      </c>
      <c r="N8693" s="8"/>
      <c r="O8693" s="33" t="str">
        <f>IFERROR(VLOOKUP($M8693,'Informations sur les produits'!$A$3:$H$10000,8,FALSE),"0")</f>
        <v>0</v>
      </c>
      <c r="P8693" s="33">
        <f t="shared" si="540"/>
        <v>0</v>
      </c>
      <c r="Q8693" s="31" t="str">
        <f t="shared" si="541"/>
        <v/>
      </c>
      <c r="R8693" s="32" t="str">
        <f>IFERROR(VLOOKUP($D8693,'Informations sur les produits'!$A$3:$B$15000,2,FALSE),"")</f>
        <v/>
      </c>
      <c r="V8693">
        <f t="shared" si="542"/>
        <v>0</v>
      </c>
      <c r="W8693">
        <f t="shared" si="543"/>
        <v>0</v>
      </c>
    </row>
    <row r="8694" spans="5:23" x14ac:dyDescent="0.25">
      <c r="E8694" s="4"/>
      <c r="F8694" s="4"/>
      <c r="G8694" s="33" t="str">
        <f>IFERROR(VLOOKUP($D8694,'Informations sur les produits'!$A$3:$H$10000,8,FALSE),"0")</f>
        <v>0</v>
      </c>
      <c r="K8694" s="4"/>
      <c r="L8694" s="33" t="str">
        <f>IFERROR(VLOOKUP($J8694,'Informations sur les produits'!$A$3:$H$10000,8,FALSE),"0")</f>
        <v>0</v>
      </c>
      <c r="N8694" s="8"/>
      <c r="O8694" s="33" t="str">
        <f>IFERROR(VLOOKUP($M8694,'Informations sur les produits'!$A$3:$H$10000,8,FALSE),"0")</f>
        <v>0</v>
      </c>
      <c r="P8694" s="33">
        <f t="shared" si="540"/>
        <v>0</v>
      </c>
      <c r="Q8694" s="31" t="str">
        <f t="shared" si="541"/>
        <v/>
      </c>
      <c r="R8694" s="32" t="str">
        <f>IFERROR(VLOOKUP($D8694,'Informations sur les produits'!$A$3:$B$15000,2,FALSE),"")</f>
        <v/>
      </c>
      <c r="V8694">
        <f t="shared" si="542"/>
        <v>0</v>
      </c>
      <c r="W8694">
        <f t="shared" si="543"/>
        <v>0</v>
      </c>
    </row>
    <row r="8695" spans="5:23" x14ac:dyDescent="0.25">
      <c r="E8695" s="4"/>
      <c r="F8695" s="4"/>
      <c r="G8695" s="33" t="str">
        <f>IFERROR(VLOOKUP($D8695,'Informations sur les produits'!$A$3:$H$10000,8,FALSE),"0")</f>
        <v>0</v>
      </c>
      <c r="K8695" s="4"/>
      <c r="L8695" s="33" t="str">
        <f>IFERROR(VLOOKUP($J8695,'Informations sur les produits'!$A$3:$H$10000,8,FALSE),"0")</f>
        <v>0</v>
      </c>
      <c r="N8695" s="8"/>
      <c r="O8695" s="33" t="str">
        <f>IFERROR(VLOOKUP($M8695,'Informations sur les produits'!$A$3:$H$10000,8,FALSE),"0")</f>
        <v>0</v>
      </c>
      <c r="P8695" s="33">
        <f t="shared" si="540"/>
        <v>0</v>
      </c>
      <c r="Q8695" s="31" t="str">
        <f t="shared" si="541"/>
        <v/>
      </c>
      <c r="R8695" s="32" t="str">
        <f>IFERROR(VLOOKUP($D8695,'Informations sur les produits'!$A$3:$B$15000,2,FALSE),"")</f>
        <v/>
      </c>
      <c r="V8695">
        <f t="shared" si="542"/>
        <v>0</v>
      </c>
      <c r="W8695">
        <f t="shared" si="543"/>
        <v>0</v>
      </c>
    </row>
    <row r="8696" spans="5:23" x14ac:dyDescent="0.25">
      <c r="E8696" s="4"/>
      <c r="F8696" s="4"/>
      <c r="G8696" s="33" t="str">
        <f>IFERROR(VLOOKUP($D8696,'Informations sur les produits'!$A$3:$H$10000,8,FALSE),"0")</f>
        <v>0</v>
      </c>
      <c r="K8696" s="4"/>
      <c r="L8696" s="33" t="str">
        <f>IFERROR(VLOOKUP($J8696,'Informations sur les produits'!$A$3:$H$10000,8,FALSE),"0")</f>
        <v>0</v>
      </c>
      <c r="N8696" s="8"/>
      <c r="O8696" s="33" t="str">
        <f>IFERROR(VLOOKUP($M8696,'Informations sur les produits'!$A$3:$H$10000,8,FALSE),"0")</f>
        <v>0</v>
      </c>
      <c r="P8696" s="33">
        <f t="shared" si="540"/>
        <v>0</v>
      </c>
      <c r="Q8696" s="31" t="str">
        <f t="shared" si="541"/>
        <v/>
      </c>
      <c r="R8696" s="32" t="str">
        <f>IFERROR(VLOOKUP($D8696,'Informations sur les produits'!$A$3:$B$15000,2,FALSE),"")</f>
        <v/>
      </c>
      <c r="V8696">
        <f t="shared" si="542"/>
        <v>0</v>
      </c>
      <c r="W8696">
        <f t="shared" si="543"/>
        <v>0</v>
      </c>
    </row>
    <row r="8697" spans="5:23" x14ac:dyDescent="0.25">
      <c r="E8697" s="4"/>
      <c r="F8697" s="4"/>
      <c r="G8697" s="33" t="str">
        <f>IFERROR(VLOOKUP($D8697,'Informations sur les produits'!$A$3:$H$10000,8,FALSE),"0")</f>
        <v>0</v>
      </c>
      <c r="K8697" s="4"/>
      <c r="L8697" s="33" t="str">
        <f>IFERROR(VLOOKUP($J8697,'Informations sur les produits'!$A$3:$H$10000,8,FALSE),"0")</f>
        <v>0</v>
      </c>
      <c r="N8697" s="8"/>
      <c r="O8697" s="33" t="str">
        <f>IFERROR(VLOOKUP($M8697,'Informations sur les produits'!$A$3:$H$10000,8,FALSE),"0")</f>
        <v>0</v>
      </c>
      <c r="P8697" s="33">
        <f t="shared" si="540"/>
        <v>0</v>
      </c>
      <c r="Q8697" s="31" t="str">
        <f t="shared" si="541"/>
        <v/>
      </c>
      <c r="R8697" s="32" t="str">
        <f>IFERROR(VLOOKUP($D8697,'Informations sur les produits'!$A$3:$B$15000,2,FALSE),"")</f>
        <v/>
      </c>
      <c r="V8697">
        <f t="shared" si="542"/>
        <v>0</v>
      </c>
      <c r="W8697">
        <f t="shared" si="543"/>
        <v>0</v>
      </c>
    </row>
    <row r="8698" spans="5:23" x14ac:dyDescent="0.25">
      <c r="E8698" s="4"/>
      <c r="F8698" s="4"/>
      <c r="G8698" s="33" t="str">
        <f>IFERROR(VLOOKUP($D8698,'Informations sur les produits'!$A$3:$H$10000,8,FALSE),"0")</f>
        <v>0</v>
      </c>
      <c r="K8698" s="4"/>
      <c r="L8698" s="33" t="str">
        <f>IFERROR(VLOOKUP($J8698,'Informations sur les produits'!$A$3:$H$10000,8,FALSE),"0")</f>
        <v>0</v>
      </c>
      <c r="N8698" s="8"/>
      <c r="O8698" s="33" t="str">
        <f>IFERROR(VLOOKUP($M8698,'Informations sur les produits'!$A$3:$H$10000,8,FALSE),"0")</f>
        <v>0</v>
      </c>
      <c r="P8698" s="33">
        <f t="shared" si="540"/>
        <v>0</v>
      </c>
      <c r="Q8698" s="31" t="str">
        <f t="shared" si="541"/>
        <v/>
      </c>
      <c r="R8698" s="32" t="str">
        <f>IFERROR(VLOOKUP($D8698,'Informations sur les produits'!$A$3:$B$15000,2,FALSE),"")</f>
        <v/>
      </c>
      <c r="V8698">
        <f t="shared" si="542"/>
        <v>0</v>
      </c>
      <c r="W8698">
        <f t="shared" si="543"/>
        <v>0</v>
      </c>
    </row>
    <row r="8699" spans="5:23" x14ac:dyDescent="0.25">
      <c r="E8699" s="4"/>
      <c r="F8699" s="4"/>
      <c r="G8699" s="33" t="str">
        <f>IFERROR(VLOOKUP($D8699,'Informations sur les produits'!$A$3:$H$10000,8,FALSE),"0")</f>
        <v>0</v>
      </c>
      <c r="K8699" s="4"/>
      <c r="L8699" s="33" t="str">
        <f>IFERROR(VLOOKUP($J8699,'Informations sur les produits'!$A$3:$H$10000,8,FALSE),"0")</f>
        <v>0</v>
      </c>
      <c r="N8699" s="8"/>
      <c r="O8699" s="33" t="str">
        <f>IFERROR(VLOOKUP($M8699,'Informations sur les produits'!$A$3:$H$10000,8,FALSE),"0")</f>
        <v>0</v>
      </c>
      <c r="P8699" s="33">
        <f t="shared" si="540"/>
        <v>0</v>
      </c>
      <c r="Q8699" s="31" t="str">
        <f t="shared" si="541"/>
        <v/>
      </c>
      <c r="R8699" s="32" t="str">
        <f>IFERROR(VLOOKUP($D8699,'Informations sur les produits'!$A$3:$B$15000,2,FALSE),"")</f>
        <v/>
      </c>
      <c r="V8699">
        <f t="shared" si="542"/>
        <v>0</v>
      </c>
      <c r="W8699">
        <f t="shared" si="543"/>
        <v>0</v>
      </c>
    </row>
    <row r="8700" spans="5:23" x14ac:dyDescent="0.25">
      <c r="E8700" s="4"/>
      <c r="F8700" s="4"/>
      <c r="G8700" s="33" t="str">
        <f>IFERROR(VLOOKUP($D8700,'Informations sur les produits'!$A$3:$H$10000,8,FALSE),"0")</f>
        <v>0</v>
      </c>
      <c r="K8700" s="4"/>
      <c r="L8700" s="33" t="str">
        <f>IFERROR(VLOOKUP($J8700,'Informations sur les produits'!$A$3:$H$10000,8,FALSE),"0")</f>
        <v>0</v>
      </c>
      <c r="N8700" s="8"/>
      <c r="O8700" s="33" t="str">
        <f>IFERROR(VLOOKUP($M8700,'Informations sur les produits'!$A$3:$H$10000,8,FALSE),"0")</f>
        <v>0</v>
      </c>
      <c r="P8700" s="33">
        <f t="shared" si="540"/>
        <v>0</v>
      </c>
      <c r="Q8700" s="31" t="str">
        <f t="shared" si="541"/>
        <v/>
      </c>
      <c r="R8700" s="32" t="str">
        <f>IFERROR(VLOOKUP($D8700,'Informations sur les produits'!$A$3:$B$15000,2,FALSE),"")</f>
        <v/>
      </c>
      <c r="V8700">
        <f t="shared" si="542"/>
        <v>0</v>
      </c>
      <c r="W8700">
        <f t="shared" si="543"/>
        <v>0</v>
      </c>
    </row>
    <row r="8701" spans="5:23" x14ac:dyDescent="0.25">
      <c r="E8701" s="4"/>
      <c r="F8701" s="4"/>
      <c r="G8701" s="33" t="str">
        <f>IFERROR(VLOOKUP($D8701,'Informations sur les produits'!$A$3:$H$10000,8,FALSE),"0")</f>
        <v>0</v>
      </c>
      <c r="K8701" s="4"/>
      <c r="L8701" s="33" t="str">
        <f>IFERROR(VLOOKUP($J8701,'Informations sur les produits'!$A$3:$H$10000,8,FALSE),"0")</f>
        <v>0</v>
      </c>
      <c r="N8701" s="8"/>
      <c r="O8701" s="33" t="str">
        <f>IFERROR(VLOOKUP($M8701,'Informations sur les produits'!$A$3:$H$10000,8,FALSE),"0")</f>
        <v>0</v>
      </c>
      <c r="P8701" s="33">
        <f t="shared" si="540"/>
        <v>0</v>
      </c>
      <c r="Q8701" s="31" t="str">
        <f t="shared" si="541"/>
        <v/>
      </c>
      <c r="R8701" s="32" t="str">
        <f>IFERROR(VLOOKUP($D8701,'Informations sur les produits'!$A$3:$B$15000,2,FALSE),"")</f>
        <v/>
      </c>
      <c r="V8701">
        <f t="shared" si="542"/>
        <v>0</v>
      </c>
      <c r="W8701">
        <f t="shared" si="543"/>
        <v>0</v>
      </c>
    </row>
    <row r="8702" spans="5:23" x14ac:dyDescent="0.25">
      <c r="E8702" s="4"/>
      <c r="F8702" s="4"/>
      <c r="G8702" s="33" t="str">
        <f>IFERROR(VLOOKUP($D8702,'Informations sur les produits'!$A$3:$H$10000,8,FALSE),"0")</f>
        <v>0</v>
      </c>
      <c r="K8702" s="4"/>
      <c r="L8702" s="33" t="str">
        <f>IFERROR(VLOOKUP($J8702,'Informations sur les produits'!$A$3:$H$10000,8,FALSE),"0")</f>
        <v>0</v>
      </c>
      <c r="N8702" s="8"/>
      <c r="O8702" s="33" t="str">
        <f>IFERROR(VLOOKUP($M8702,'Informations sur les produits'!$A$3:$H$10000,8,FALSE),"0")</f>
        <v>0</v>
      </c>
      <c r="P8702" s="33">
        <f t="shared" si="540"/>
        <v>0</v>
      </c>
      <c r="Q8702" s="31" t="str">
        <f t="shared" si="541"/>
        <v/>
      </c>
      <c r="R8702" s="32" t="str">
        <f>IFERROR(VLOOKUP($D8702,'Informations sur les produits'!$A$3:$B$15000,2,FALSE),"")</f>
        <v/>
      </c>
      <c r="V8702">
        <f t="shared" si="542"/>
        <v>0</v>
      </c>
      <c r="W8702">
        <f t="shared" si="543"/>
        <v>0</v>
      </c>
    </row>
    <row r="8703" spans="5:23" x14ac:dyDescent="0.25">
      <c r="E8703" s="4"/>
      <c r="F8703" s="4"/>
      <c r="G8703" s="33" t="str">
        <f>IFERROR(VLOOKUP($D8703,'Informations sur les produits'!$A$3:$H$10000,8,FALSE),"0")</f>
        <v>0</v>
      </c>
      <c r="K8703" s="4"/>
      <c r="L8703" s="33" t="str">
        <f>IFERROR(VLOOKUP($J8703,'Informations sur les produits'!$A$3:$H$10000,8,FALSE),"0")</f>
        <v>0</v>
      </c>
      <c r="N8703" s="8"/>
      <c r="O8703" s="33" t="str">
        <f>IFERROR(VLOOKUP($M8703,'Informations sur les produits'!$A$3:$H$10000,8,FALSE),"0")</f>
        <v>0</v>
      </c>
      <c r="P8703" s="33">
        <f t="shared" si="540"/>
        <v>0</v>
      </c>
      <c r="Q8703" s="31" t="str">
        <f t="shared" si="541"/>
        <v/>
      </c>
      <c r="R8703" s="32" t="str">
        <f>IFERROR(VLOOKUP($D8703,'Informations sur les produits'!$A$3:$B$15000,2,FALSE),"")</f>
        <v/>
      </c>
      <c r="V8703">
        <f t="shared" si="542"/>
        <v>0</v>
      </c>
      <c r="W8703">
        <f t="shared" si="543"/>
        <v>0</v>
      </c>
    </row>
    <row r="8704" spans="5:23" x14ac:dyDescent="0.25">
      <c r="E8704" s="4"/>
      <c r="F8704" s="4"/>
      <c r="G8704" s="33" t="str">
        <f>IFERROR(VLOOKUP($D8704,'Informations sur les produits'!$A$3:$H$10000,8,FALSE),"0")</f>
        <v>0</v>
      </c>
      <c r="K8704" s="4"/>
      <c r="L8704" s="33" t="str">
        <f>IFERROR(VLOOKUP($J8704,'Informations sur les produits'!$A$3:$H$10000,8,FALSE),"0")</f>
        <v>0</v>
      </c>
      <c r="N8704" s="8"/>
      <c r="O8704" s="33" t="str">
        <f>IFERROR(VLOOKUP($M8704,'Informations sur les produits'!$A$3:$H$10000,8,FALSE),"0")</f>
        <v>0</v>
      </c>
      <c r="P8704" s="33">
        <f t="shared" si="540"/>
        <v>0</v>
      </c>
      <c r="Q8704" s="31" t="str">
        <f t="shared" si="541"/>
        <v/>
      </c>
      <c r="R8704" s="32" t="str">
        <f>IFERROR(VLOOKUP($D8704,'Informations sur les produits'!$A$3:$B$15000,2,FALSE),"")</f>
        <v/>
      </c>
      <c r="V8704">
        <f t="shared" si="542"/>
        <v>0</v>
      </c>
      <c r="W8704">
        <f t="shared" si="543"/>
        <v>0</v>
      </c>
    </row>
    <row r="8705" spans="5:23" x14ac:dyDescent="0.25">
      <c r="E8705" s="4"/>
      <c r="F8705" s="4"/>
      <c r="G8705" s="33" t="str">
        <f>IFERROR(VLOOKUP($D8705,'Informations sur les produits'!$A$3:$H$10000,8,FALSE),"0")</f>
        <v>0</v>
      </c>
      <c r="K8705" s="4"/>
      <c r="L8705" s="33" t="str">
        <f>IFERROR(VLOOKUP($J8705,'Informations sur les produits'!$A$3:$H$10000,8,FALSE),"0")</f>
        <v>0</v>
      </c>
      <c r="N8705" s="8"/>
      <c r="O8705" s="33" t="str">
        <f>IFERROR(VLOOKUP($M8705,'Informations sur les produits'!$A$3:$H$10000,8,FALSE),"0")</f>
        <v>0</v>
      </c>
      <c r="P8705" s="33">
        <f t="shared" si="540"/>
        <v>0</v>
      </c>
      <c r="Q8705" s="31" t="str">
        <f t="shared" si="541"/>
        <v/>
      </c>
      <c r="R8705" s="32" t="str">
        <f>IFERROR(VLOOKUP($D8705,'Informations sur les produits'!$A$3:$B$15000,2,FALSE),"")</f>
        <v/>
      </c>
      <c r="V8705">
        <f t="shared" si="542"/>
        <v>0</v>
      </c>
      <c r="W8705">
        <f t="shared" si="543"/>
        <v>0</v>
      </c>
    </row>
    <row r="8706" spans="5:23" x14ac:dyDescent="0.25">
      <c r="E8706" s="4"/>
      <c r="F8706" s="4"/>
      <c r="G8706" s="33" t="str">
        <f>IFERROR(VLOOKUP($D8706,'Informations sur les produits'!$A$3:$H$10000,8,FALSE),"0")</f>
        <v>0</v>
      </c>
      <c r="K8706" s="4"/>
      <c r="L8706" s="33" t="str">
        <f>IFERROR(VLOOKUP($J8706,'Informations sur les produits'!$A$3:$H$10000,8,FALSE),"0")</f>
        <v>0</v>
      </c>
      <c r="N8706" s="8"/>
      <c r="O8706" s="33" t="str">
        <f>IFERROR(VLOOKUP($M8706,'Informations sur les produits'!$A$3:$H$10000,8,FALSE),"0")</f>
        <v>0</v>
      </c>
      <c r="P8706" s="33">
        <f t="shared" si="540"/>
        <v>0</v>
      </c>
      <c r="Q8706" s="31" t="str">
        <f t="shared" si="541"/>
        <v/>
      </c>
      <c r="R8706" s="32" t="str">
        <f>IFERROR(VLOOKUP($D8706,'Informations sur les produits'!$A$3:$B$15000,2,FALSE),"")</f>
        <v/>
      </c>
      <c r="V8706">
        <f t="shared" si="542"/>
        <v>0</v>
      </c>
      <c r="W8706">
        <f t="shared" si="543"/>
        <v>0</v>
      </c>
    </row>
    <row r="8707" spans="5:23" x14ac:dyDescent="0.25">
      <c r="E8707" s="4"/>
      <c r="F8707" s="4"/>
      <c r="G8707" s="33" t="str">
        <f>IFERROR(VLOOKUP($D8707,'Informations sur les produits'!$A$3:$H$10000,8,FALSE),"0")</f>
        <v>0</v>
      </c>
      <c r="K8707" s="4"/>
      <c r="L8707" s="33" t="str">
        <f>IFERROR(VLOOKUP($J8707,'Informations sur les produits'!$A$3:$H$10000,8,FALSE),"0")</f>
        <v>0</v>
      </c>
      <c r="N8707" s="8"/>
      <c r="O8707" s="33" t="str">
        <f>IFERROR(VLOOKUP($M8707,'Informations sur les produits'!$A$3:$H$10000,8,FALSE),"0")</f>
        <v>0</v>
      </c>
      <c r="P8707" s="33">
        <f t="shared" si="540"/>
        <v>0</v>
      </c>
      <c r="Q8707" s="31" t="str">
        <f t="shared" si="541"/>
        <v/>
      </c>
      <c r="R8707" s="32" t="str">
        <f>IFERROR(VLOOKUP($D8707,'Informations sur les produits'!$A$3:$B$15000,2,FALSE),"")</f>
        <v/>
      </c>
      <c r="V8707">
        <f t="shared" si="542"/>
        <v>0</v>
      </c>
      <c r="W8707">
        <f t="shared" si="543"/>
        <v>0</v>
      </c>
    </row>
    <row r="8708" spans="5:23" x14ac:dyDescent="0.25">
      <c r="E8708" s="4"/>
      <c r="F8708" s="4"/>
      <c r="G8708" s="33" t="str">
        <f>IFERROR(VLOOKUP($D8708,'Informations sur les produits'!$A$3:$H$10000,8,FALSE),"0")</f>
        <v>0</v>
      </c>
      <c r="K8708" s="4"/>
      <c r="L8708" s="33" t="str">
        <f>IFERROR(VLOOKUP($J8708,'Informations sur les produits'!$A$3:$H$10000,8,FALSE),"0")</f>
        <v>0</v>
      </c>
      <c r="N8708" s="8"/>
      <c r="O8708" s="33" t="str">
        <f>IFERROR(VLOOKUP($M8708,'Informations sur les produits'!$A$3:$H$10000,8,FALSE),"0")</f>
        <v>0</v>
      </c>
      <c r="P8708" s="33">
        <f t="shared" ref="P8708:P8771" si="544">IFERROR((($E8708-$F8708)*$G8708+$K8708*$L8708+$N8708*$O8708),"")</f>
        <v>0</v>
      </c>
      <c r="Q8708" s="31" t="str">
        <f t="shared" ref="Q8708:Q8771" si="545">IFERROR((((($E8708-$F8708)*$G8708+$K8708*$L8708+$N8708*$O8708)*1000)/(($E8708-$F8708)+$K8708+$N8708)),"")</f>
        <v/>
      </c>
      <c r="R8708" s="32" t="str">
        <f>IFERROR(VLOOKUP($D8708,'Informations sur les produits'!$A$3:$B$15000,2,FALSE),"")</f>
        <v/>
      </c>
      <c r="V8708">
        <f t="shared" ref="V8708:V8771" si="546">IFERROR(P8708*1000,"")</f>
        <v>0</v>
      </c>
      <c r="W8708">
        <f t="shared" ref="W8708:W8771" si="547">IFERROR(($E8708-$F8708)+$K8708+$N8708,"")</f>
        <v>0</v>
      </c>
    </row>
    <row r="8709" spans="5:23" x14ac:dyDescent="0.25">
      <c r="E8709" s="4"/>
      <c r="F8709" s="4"/>
      <c r="G8709" s="33" t="str">
        <f>IFERROR(VLOOKUP($D8709,'Informations sur les produits'!$A$3:$H$10000,8,FALSE),"0")</f>
        <v>0</v>
      </c>
      <c r="K8709" s="4"/>
      <c r="L8709" s="33" t="str">
        <f>IFERROR(VLOOKUP($J8709,'Informations sur les produits'!$A$3:$H$10000,8,FALSE),"0")</f>
        <v>0</v>
      </c>
      <c r="N8709" s="8"/>
      <c r="O8709" s="33" t="str">
        <f>IFERROR(VLOOKUP($M8709,'Informations sur les produits'!$A$3:$H$10000,8,FALSE),"0")</f>
        <v>0</v>
      </c>
      <c r="P8709" s="33">
        <f t="shared" si="544"/>
        <v>0</v>
      </c>
      <c r="Q8709" s="31" t="str">
        <f t="shared" si="545"/>
        <v/>
      </c>
      <c r="R8709" s="32" t="str">
        <f>IFERROR(VLOOKUP($D8709,'Informations sur les produits'!$A$3:$B$15000,2,FALSE),"")</f>
        <v/>
      </c>
      <c r="V8709">
        <f t="shared" si="546"/>
        <v>0</v>
      </c>
      <c r="W8709">
        <f t="shared" si="547"/>
        <v>0</v>
      </c>
    </row>
    <row r="8710" spans="5:23" x14ac:dyDescent="0.25">
      <c r="E8710" s="4"/>
      <c r="F8710" s="4"/>
      <c r="G8710" s="33" t="str">
        <f>IFERROR(VLOOKUP($D8710,'Informations sur les produits'!$A$3:$H$10000,8,FALSE),"0")</f>
        <v>0</v>
      </c>
      <c r="K8710" s="4"/>
      <c r="L8710" s="33" t="str">
        <f>IFERROR(VLOOKUP($J8710,'Informations sur les produits'!$A$3:$H$10000,8,FALSE),"0")</f>
        <v>0</v>
      </c>
      <c r="N8710" s="8"/>
      <c r="O8710" s="33" t="str">
        <f>IFERROR(VLOOKUP($M8710,'Informations sur les produits'!$A$3:$H$10000,8,FALSE),"0")</f>
        <v>0</v>
      </c>
      <c r="P8710" s="33">
        <f t="shared" si="544"/>
        <v>0</v>
      </c>
      <c r="Q8710" s="31" t="str">
        <f t="shared" si="545"/>
        <v/>
      </c>
      <c r="R8710" s="32" t="str">
        <f>IFERROR(VLOOKUP($D8710,'Informations sur les produits'!$A$3:$B$15000,2,FALSE),"")</f>
        <v/>
      </c>
      <c r="V8710">
        <f t="shared" si="546"/>
        <v>0</v>
      </c>
      <c r="W8710">
        <f t="shared" si="547"/>
        <v>0</v>
      </c>
    </row>
    <row r="8711" spans="5:23" x14ac:dyDescent="0.25">
      <c r="E8711" s="4"/>
      <c r="F8711" s="4"/>
      <c r="G8711" s="33" t="str">
        <f>IFERROR(VLOOKUP($D8711,'Informations sur les produits'!$A$3:$H$10000,8,FALSE),"0")</f>
        <v>0</v>
      </c>
      <c r="K8711" s="4"/>
      <c r="L8711" s="33" t="str">
        <f>IFERROR(VLOOKUP($J8711,'Informations sur les produits'!$A$3:$H$10000,8,FALSE),"0")</f>
        <v>0</v>
      </c>
      <c r="N8711" s="8"/>
      <c r="O8711" s="33" t="str">
        <f>IFERROR(VLOOKUP($M8711,'Informations sur les produits'!$A$3:$H$10000,8,FALSE),"0")</f>
        <v>0</v>
      </c>
      <c r="P8711" s="33">
        <f t="shared" si="544"/>
        <v>0</v>
      </c>
      <c r="Q8711" s="31" t="str">
        <f t="shared" si="545"/>
        <v/>
      </c>
      <c r="R8711" s="32" t="str">
        <f>IFERROR(VLOOKUP($D8711,'Informations sur les produits'!$A$3:$B$15000,2,FALSE),"")</f>
        <v/>
      </c>
      <c r="V8711">
        <f t="shared" si="546"/>
        <v>0</v>
      </c>
      <c r="W8711">
        <f t="shared" si="547"/>
        <v>0</v>
      </c>
    </row>
    <row r="8712" spans="5:23" x14ac:dyDescent="0.25">
      <c r="E8712" s="4"/>
      <c r="F8712" s="4"/>
      <c r="G8712" s="33" t="str">
        <f>IFERROR(VLOOKUP($D8712,'Informations sur les produits'!$A$3:$H$10000,8,FALSE),"0")</f>
        <v>0</v>
      </c>
      <c r="K8712" s="4"/>
      <c r="L8712" s="33" t="str">
        <f>IFERROR(VLOOKUP($J8712,'Informations sur les produits'!$A$3:$H$10000,8,FALSE),"0")</f>
        <v>0</v>
      </c>
      <c r="N8712" s="8"/>
      <c r="O8712" s="33" t="str">
        <f>IFERROR(VLOOKUP($M8712,'Informations sur les produits'!$A$3:$H$10000,8,FALSE),"0")</f>
        <v>0</v>
      </c>
      <c r="P8712" s="33">
        <f t="shared" si="544"/>
        <v>0</v>
      </c>
      <c r="Q8712" s="31" t="str">
        <f t="shared" si="545"/>
        <v/>
      </c>
      <c r="R8712" s="32" t="str">
        <f>IFERROR(VLOOKUP($D8712,'Informations sur les produits'!$A$3:$B$15000,2,FALSE),"")</f>
        <v/>
      </c>
      <c r="V8712">
        <f t="shared" si="546"/>
        <v>0</v>
      </c>
      <c r="W8712">
        <f t="shared" si="547"/>
        <v>0</v>
      </c>
    </row>
    <row r="8713" spans="5:23" x14ac:dyDescent="0.25">
      <c r="E8713" s="4"/>
      <c r="F8713" s="4"/>
      <c r="G8713" s="33" t="str">
        <f>IFERROR(VLOOKUP($D8713,'Informations sur les produits'!$A$3:$H$10000,8,FALSE),"0")</f>
        <v>0</v>
      </c>
      <c r="K8713" s="4"/>
      <c r="L8713" s="33" t="str">
        <f>IFERROR(VLOOKUP($J8713,'Informations sur les produits'!$A$3:$H$10000,8,FALSE),"0")</f>
        <v>0</v>
      </c>
      <c r="N8713" s="8"/>
      <c r="O8713" s="33" t="str">
        <f>IFERROR(VLOOKUP($M8713,'Informations sur les produits'!$A$3:$H$10000,8,FALSE),"0")</f>
        <v>0</v>
      </c>
      <c r="P8713" s="33">
        <f t="shared" si="544"/>
        <v>0</v>
      </c>
      <c r="Q8713" s="31" t="str">
        <f t="shared" si="545"/>
        <v/>
      </c>
      <c r="R8713" s="32" t="str">
        <f>IFERROR(VLOOKUP($D8713,'Informations sur les produits'!$A$3:$B$15000,2,FALSE),"")</f>
        <v/>
      </c>
      <c r="V8713">
        <f t="shared" si="546"/>
        <v>0</v>
      </c>
      <c r="W8713">
        <f t="shared" si="547"/>
        <v>0</v>
      </c>
    </row>
    <row r="8714" spans="5:23" x14ac:dyDescent="0.25">
      <c r="E8714" s="4"/>
      <c r="F8714" s="4"/>
      <c r="G8714" s="33" t="str">
        <f>IFERROR(VLOOKUP($D8714,'Informations sur les produits'!$A$3:$H$10000,8,FALSE),"0")</f>
        <v>0</v>
      </c>
      <c r="K8714" s="4"/>
      <c r="L8714" s="33" t="str">
        <f>IFERROR(VLOOKUP($J8714,'Informations sur les produits'!$A$3:$H$10000,8,FALSE),"0")</f>
        <v>0</v>
      </c>
      <c r="N8714" s="8"/>
      <c r="O8714" s="33" t="str">
        <f>IFERROR(VLOOKUP($M8714,'Informations sur les produits'!$A$3:$H$10000,8,FALSE),"0")</f>
        <v>0</v>
      </c>
      <c r="P8714" s="33">
        <f t="shared" si="544"/>
        <v>0</v>
      </c>
      <c r="Q8714" s="31" t="str">
        <f t="shared" si="545"/>
        <v/>
      </c>
      <c r="R8714" s="32" t="str">
        <f>IFERROR(VLOOKUP($D8714,'Informations sur les produits'!$A$3:$B$15000,2,FALSE),"")</f>
        <v/>
      </c>
      <c r="V8714">
        <f t="shared" si="546"/>
        <v>0</v>
      </c>
      <c r="W8714">
        <f t="shared" si="547"/>
        <v>0</v>
      </c>
    </row>
    <row r="8715" spans="5:23" x14ac:dyDescent="0.25">
      <c r="E8715" s="4"/>
      <c r="F8715" s="4"/>
      <c r="G8715" s="33" t="str">
        <f>IFERROR(VLOOKUP($D8715,'Informations sur les produits'!$A$3:$H$10000,8,FALSE),"0")</f>
        <v>0</v>
      </c>
      <c r="K8715" s="4"/>
      <c r="L8715" s="33" t="str">
        <f>IFERROR(VLOOKUP($J8715,'Informations sur les produits'!$A$3:$H$10000,8,FALSE),"0")</f>
        <v>0</v>
      </c>
      <c r="N8715" s="8"/>
      <c r="O8715" s="33" t="str">
        <f>IFERROR(VLOOKUP($M8715,'Informations sur les produits'!$A$3:$H$10000,8,FALSE),"0")</f>
        <v>0</v>
      </c>
      <c r="P8715" s="33">
        <f t="shared" si="544"/>
        <v>0</v>
      </c>
      <c r="Q8715" s="31" t="str">
        <f t="shared" si="545"/>
        <v/>
      </c>
      <c r="R8715" s="32" t="str">
        <f>IFERROR(VLOOKUP($D8715,'Informations sur les produits'!$A$3:$B$15000,2,FALSE),"")</f>
        <v/>
      </c>
      <c r="V8715">
        <f t="shared" si="546"/>
        <v>0</v>
      </c>
      <c r="W8715">
        <f t="shared" si="547"/>
        <v>0</v>
      </c>
    </row>
    <row r="8716" spans="5:23" x14ac:dyDescent="0.25">
      <c r="E8716" s="4"/>
      <c r="F8716" s="4"/>
      <c r="G8716" s="33" t="str">
        <f>IFERROR(VLOOKUP($D8716,'Informations sur les produits'!$A$3:$H$10000,8,FALSE),"0")</f>
        <v>0</v>
      </c>
      <c r="K8716" s="4"/>
      <c r="L8716" s="33" t="str">
        <f>IFERROR(VLOOKUP($J8716,'Informations sur les produits'!$A$3:$H$10000,8,FALSE),"0")</f>
        <v>0</v>
      </c>
      <c r="N8716" s="8"/>
      <c r="O8716" s="33" t="str">
        <f>IFERROR(VLOOKUP($M8716,'Informations sur les produits'!$A$3:$H$10000,8,FALSE),"0")</f>
        <v>0</v>
      </c>
      <c r="P8716" s="33">
        <f t="shared" si="544"/>
        <v>0</v>
      </c>
      <c r="Q8716" s="31" t="str">
        <f t="shared" si="545"/>
        <v/>
      </c>
      <c r="R8716" s="32" t="str">
        <f>IFERROR(VLOOKUP($D8716,'Informations sur les produits'!$A$3:$B$15000,2,FALSE),"")</f>
        <v/>
      </c>
      <c r="V8716">
        <f t="shared" si="546"/>
        <v>0</v>
      </c>
      <c r="W8716">
        <f t="shared" si="547"/>
        <v>0</v>
      </c>
    </row>
    <row r="8717" spans="5:23" x14ac:dyDescent="0.25">
      <c r="E8717" s="4"/>
      <c r="F8717" s="4"/>
      <c r="G8717" s="33" t="str">
        <f>IFERROR(VLOOKUP($D8717,'Informations sur les produits'!$A$3:$H$10000,8,FALSE),"0")</f>
        <v>0</v>
      </c>
      <c r="K8717" s="4"/>
      <c r="L8717" s="33" t="str">
        <f>IFERROR(VLOOKUP($J8717,'Informations sur les produits'!$A$3:$H$10000,8,FALSE),"0")</f>
        <v>0</v>
      </c>
      <c r="N8717" s="8"/>
      <c r="O8717" s="33" t="str">
        <f>IFERROR(VLOOKUP($M8717,'Informations sur les produits'!$A$3:$H$10000,8,FALSE),"0")</f>
        <v>0</v>
      </c>
      <c r="P8717" s="33">
        <f t="shared" si="544"/>
        <v>0</v>
      </c>
      <c r="Q8717" s="31" t="str">
        <f t="shared" si="545"/>
        <v/>
      </c>
      <c r="R8717" s="32" t="str">
        <f>IFERROR(VLOOKUP($D8717,'Informations sur les produits'!$A$3:$B$15000,2,FALSE),"")</f>
        <v/>
      </c>
      <c r="V8717">
        <f t="shared" si="546"/>
        <v>0</v>
      </c>
      <c r="W8717">
        <f t="shared" si="547"/>
        <v>0</v>
      </c>
    </row>
    <row r="8718" spans="5:23" x14ac:dyDescent="0.25">
      <c r="E8718" s="4"/>
      <c r="F8718" s="4"/>
      <c r="G8718" s="33" t="str">
        <f>IFERROR(VLOOKUP($D8718,'Informations sur les produits'!$A$3:$H$10000,8,FALSE),"0")</f>
        <v>0</v>
      </c>
      <c r="K8718" s="4"/>
      <c r="L8718" s="33" t="str">
        <f>IFERROR(VLOOKUP($J8718,'Informations sur les produits'!$A$3:$H$10000,8,FALSE),"0")</f>
        <v>0</v>
      </c>
      <c r="N8718" s="8"/>
      <c r="O8718" s="33" t="str">
        <f>IFERROR(VLOOKUP($M8718,'Informations sur les produits'!$A$3:$H$10000,8,FALSE),"0")</f>
        <v>0</v>
      </c>
      <c r="P8718" s="33">
        <f t="shared" si="544"/>
        <v>0</v>
      </c>
      <c r="Q8718" s="31" t="str">
        <f t="shared" si="545"/>
        <v/>
      </c>
      <c r="R8718" s="32" t="str">
        <f>IFERROR(VLOOKUP($D8718,'Informations sur les produits'!$A$3:$B$15000,2,FALSE),"")</f>
        <v/>
      </c>
      <c r="V8718">
        <f t="shared" si="546"/>
        <v>0</v>
      </c>
      <c r="W8718">
        <f t="shared" si="547"/>
        <v>0</v>
      </c>
    </row>
    <row r="8719" spans="5:23" x14ac:dyDescent="0.25">
      <c r="E8719" s="4"/>
      <c r="F8719" s="4"/>
      <c r="G8719" s="33" t="str">
        <f>IFERROR(VLOOKUP($D8719,'Informations sur les produits'!$A$3:$H$10000,8,FALSE),"0")</f>
        <v>0</v>
      </c>
      <c r="K8719" s="4"/>
      <c r="L8719" s="33" t="str">
        <f>IFERROR(VLOOKUP($J8719,'Informations sur les produits'!$A$3:$H$10000,8,FALSE),"0")</f>
        <v>0</v>
      </c>
      <c r="N8719" s="8"/>
      <c r="O8719" s="33" t="str">
        <f>IFERROR(VLOOKUP($M8719,'Informations sur les produits'!$A$3:$H$10000,8,FALSE),"0")</f>
        <v>0</v>
      </c>
      <c r="P8719" s="33">
        <f t="shared" si="544"/>
        <v>0</v>
      </c>
      <c r="Q8719" s="31" t="str">
        <f t="shared" si="545"/>
        <v/>
      </c>
      <c r="R8719" s="32" t="str">
        <f>IFERROR(VLOOKUP($D8719,'Informations sur les produits'!$A$3:$B$15000,2,FALSE),"")</f>
        <v/>
      </c>
      <c r="V8719">
        <f t="shared" si="546"/>
        <v>0</v>
      </c>
      <c r="W8719">
        <f t="shared" si="547"/>
        <v>0</v>
      </c>
    </row>
    <row r="8720" spans="5:23" x14ac:dyDescent="0.25">
      <c r="E8720" s="4"/>
      <c r="F8720" s="4"/>
      <c r="G8720" s="33" t="str">
        <f>IFERROR(VLOOKUP($D8720,'Informations sur les produits'!$A$3:$H$10000,8,FALSE),"0")</f>
        <v>0</v>
      </c>
      <c r="K8720" s="4"/>
      <c r="L8720" s="33" t="str">
        <f>IFERROR(VLOOKUP($J8720,'Informations sur les produits'!$A$3:$H$10000,8,FALSE),"0")</f>
        <v>0</v>
      </c>
      <c r="N8720" s="8"/>
      <c r="O8720" s="33" t="str">
        <f>IFERROR(VLOOKUP($M8720,'Informations sur les produits'!$A$3:$H$10000,8,FALSE),"0")</f>
        <v>0</v>
      </c>
      <c r="P8720" s="33">
        <f t="shared" si="544"/>
        <v>0</v>
      </c>
      <c r="Q8720" s="31" t="str">
        <f t="shared" si="545"/>
        <v/>
      </c>
      <c r="R8720" s="32" t="str">
        <f>IFERROR(VLOOKUP($D8720,'Informations sur les produits'!$A$3:$B$15000,2,FALSE),"")</f>
        <v/>
      </c>
      <c r="V8720">
        <f t="shared" si="546"/>
        <v>0</v>
      </c>
      <c r="W8720">
        <f t="shared" si="547"/>
        <v>0</v>
      </c>
    </row>
    <row r="8721" spans="5:23" x14ac:dyDescent="0.25">
      <c r="E8721" s="4"/>
      <c r="F8721" s="4"/>
      <c r="G8721" s="33" t="str">
        <f>IFERROR(VLOOKUP($D8721,'Informations sur les produits'!$A$3:$H$10000,8,FALSE),"0")</f>
        <v>0</v>
      </c>
      <c r="K8721" s="4"/>
      <c r="L8721" s="33" t="str">
        <f>IFERROR(VLOOKUP($J8721,'Informations sur les produits'!$A$3:$H$10000,8,FALSE),"0")</f>
        <v>0</v>
      </c>
      <c r="N8721" s="8"/>
      <c r="O8721" s="33" t="str">
        <f>IFERROR(VLOOKUP($M8721,'Informations sur les produits'!$A$3:$H$10000,8,FALSE),"0")</f>
        <v>0</v>
      </c>
      <c r="P8721" s="33">
        <f t="shared" si="544"/>
        <v>0</v>
      </c>
      <c r="Q8721" s="31" t="str">
        <f t="shared" si="545"/>
        <v/>
      </c>
      <c r="R8721" s="32" t="str">
        <f>IFERROR(VLOOKUP($D8721,'Informations sur les produits'!$A$3:$B$15000,2,FALSE),"")</f>
        <v/>
      </c>
      <c r="V8721">
        <f t="shared" si="546"/>
        <v>0</v>
      </c>
      <c r="W8721">
        <f t="shared" si="547"/>
        <v>0</v>
      </c>
    </row>
    <row r="8722" spans="5:23" x14ac:dyDescent="0.25">
      <c r="E8722" s="4"/>
      <c r="F8722" s="4"/>
      <c r="G8722" s="33" t="str">
        <f>IFERROR(VLOOKUP($D8722,'Informations sur les produits'!$A$3:$H$10000,8,FALSE),"0")</f>
        <v>0</v>
      </c>
      <c r="K8722" s="4"/>
      <c r="L8722" s="33" t="str">
        <f>IFERROR(VLOOKUP($J8722,'Informations sur les produits'!$A$3:$H$10000,8,FALSE),"0")</f>
        <v>0</v>
      </c>
      <c r="N8722" s="8"/>
      <c r="O8722" s="33" t="str">
        <f>IFERROR(VLOOKUP($M8722,'Informations sur les produits'!$A$3:$H$10000,8,FALSE),"0")</f>
        <v>0</v>
      </c>
      <c r="P8722" s="33">
        <f t="shared" si="544"/>
        <v>0</v>
      </c>
      <c r="Q8722" s="31" t="str">
        <f t="shared" si="545"/>
        <v/>
      </c>
      <c r="R8722" s="32" t="str">
        <f>IFERROR(VLOOKUP($D8722,'Informations sur les produits'!$A$3:$B$15000,2,FALSE),"")</f>
        <v/>
      </c>
      <c r="V8722">
        <f t="shared" si="546"/>
        <v>0</v>
      </c>
      <c r="W8722">
        <f t="shared" si="547"/>
        <v>0</v>
      </c>
    </row>
    <row r="8723" spans="5:23" x14ac:dyDescent="0.25">
      <c r="E8723" s="4"/>
      <c r="F8723" s="4"/>
      <c r="G8723" s="33" t="str">
        <f>IFERROR(VLOOKUP($D8723,'Informations sur les produits'!$A$3:$H$10000,8,FALSE),"0")</f>
        <v>0</v>
      </c>
      <c r="K8723" s="4"/>
      <c r="L8723" s="33" t="str">
        <f>IFERROR(VLOOKUP($J8723,'Informations sur les produits'!$A$3:$H$10000,8,FALSE),"0")</f>
        <v>0</v>
      </c>
      <c r="N8723" s="8"/>
      <c r="O8723" s="33" t="str">
        <f>IFERROR(VLOOKUP($M8723,'Informations sur les produits'!$A$3:$H$10000,8,FALSE),"0")</f>
        <v>0</v>
      </c>
      <c r="P8723" s="33">
        <f t="shared" si="544"/>
        <v>0</v>
      </c>
      <c r="Q8723" s="31" t="str">
        <f t="shared" si="545"/>
        <v/>
      </c>
      <c r="R8723" s="32" t="str">
        <f>IFERROR(VLOOKUP($D8723,'Informations sur les produits'!$A$3:$B$15000,2,FALSE),"")</f>
        <v/>
      </c>
      <c r="V8723">
        <f t="shared" si="546"/>
        <v>0</v>
      </c>
      <c r="W8723">
        <f t="shared" si="547"/>
        <v>0</v>
      </c>
    </row>
    <row r="8724" spans="5:23" x14ac:dyDescent="0.25">
      <c r="E8724" s="4"/>
      <c r="F8724" s="4"/>
      <c r="G8724" s="33" t="str">
        <f>IFERROR(VLOOKUP($D8724,'Informations sur les produits'!$A$3:$H$10000,8,FALSE),"0")</f>
        <v>0</v>
      </c>
      <c r="K8724" s="4"/>
      <c r="L8724" s="33" t="str">
        <f>IFERROR(VLOOKUP($J8724,'Informations sur les produits'!$A$3:$H$10000,8,FALSE),"0")</f>
        <v>0</v>
      </c>
      <c r="N8724" s="8"/>
      <c r="O8724" s="33" t="str">
        <f>IFERROR(VLOOKUP($M8724,'Informations sur les produits'!$A$3:$H$10000,8,FALSE),"0")</f>
        <v>0</v>
      </c>
      <c r="P8724" s="33">
        <f t="shared" si="544"/>
        <v>0</v>
      </c>
      <c r="Q8724" s="31" t="str">
        <f t="shared" si="545"/>
        <v/>
      </c>
      <c r="R8724" s="32" t="str">
        <f>IFERROR(VLOOKUP($D8724,'Informations sur les produits'!$A$3:$B$15000,2,FALSE),"")</f>
        <v/>
      </c>
      <c r="V8724">
        <f t="shared" si="546"/>
        <v>0</v>
      </c>
      <c r="W8724">
        <f t="shared" si="547"/>
        <v>0</v>
      </c>
    </row>
    <row r="8725" spans="5:23" x14ac:dyDescent="0.25">
      <c r="E8725" s="4"/>
      <c r="F8725" s="4"/>
      <c r="G8725" s="33" t="str">
        <f>IFERROR(VLOOKUP($D8725,'Informations sur les produits'!$A$3:$H$10000,8,FALSE),"0")</f>
        <v>0</v>
      </c>
      <c r="K8725" s="4"/>
      <c r="L8725" s="33" t="str">
        <f>IFERROR(VLOOKUP($J8725,'Informations sur les produits'!$A$3:$H$10000,8,FALSE),"0")</f>
        <v>0</v>
      </c>
      <c r="N8725" s="8"/>
      <c r="O8725" s="33" t="str">
        <f>IFERROR(VLOOKUP($M8725,'Informations sur les produits'!$A$3:$H$10000,8,FALSE),"0")</f>
        <v>0</v>
      </c>
      <c r="P8725" s="33">
        <f t="shared" si="544"/>
        <v>0</v>
      </c>
      <c r="Q8725" s="31" t="str">
        <f t="shared" si="545"/>
        <v/>
      </c>
      <c r="R8725" s="32" t="str">
        <f>IFERROR(VLOOKUP($D8725,'Informations sur les produits'!$A$3:$B$15000,2,FALSE),"")</f>
        <v/>
      </c>
      <c r="V8725">
        <f t="shared" si="546"/>
        <v>0</v>
      </c>
      <c r="W8725">
        <f t="shared" si="547"/>
        <v>0</v>
      </c>
    </row>
    <row r="8726" spans="5:23" x14ac:dyDescent="0.25">
      <c r="E8726" s="4"/>
      <c r="F8726" s="4"/>
      <c r="G8726" s="33" t="str">
        <f>IFERROR(VLOOKUP($D8726,'Informations sur les produits'!$A$3:$H$10000,8,FALSE),"0")</f>
        <v>0</v>
      </c>
      <c r="K8726" s="4"/>
      <c r="L8726" s="33" t="str">
        <f>IFERROR(VLOOKUP($J8726,'Informations sur les produits'!$A$3:$H$10000,8,FALSE),"0")</f>
        <v>0</v>
      </c>
      <c r="N8726" s="8"/>
      <c r="O8726" s="33" t="str">
        <f>IFERROR(VLOOKUP($M8726,'Informations sur les produits'!$A$3:$H$10000,8,FALSE),"0")</f>
        <v>0</v>
      </c>
      <c r="P8726" s="33">
        <f t="shared" si="544"/>
        <v>0</v>
      </c>
      <c r="Q8726" s="31" t="str">
        <f t="shared" si="545"/>
        <v/>
      </c>
      <c r="R8726" s="32" t="str">
        <f>IFERROR(VLOOKUP($D8726,'Informations sur les produits'!$A$3:$B$15000,2,FALSE),"")</f>
        <v/>
      </c>
      <c r="V8726">
        <f t="shared" si="546"/>
        <v>0</v>
      </c>
      <c r="W8726">
        <f t="shared" si="547"/>
        <v>0</v>
      </c>
    </row>
    <row r="8727" spans="5:23" x14ac:dyDescent="0.25">
      <c r="E8727" s="4"/>
      <c r="F8727" s="4"/>
      <c r="G8727" s="33" t="str">
        <f>IFERROR(VLOOKUP($D8727,'Informations sur les produits'!$A$3:$H$10000,8,FALSE),"0")</f>
        <v>0</v>
      </c>
      <c r="K8727" s="4"/>
      <c r="L8727" s="33" t="str">
        <f>IFERROR(VLOOKUP($J8727,'Informations sur les produits'!$A$3:$H$10000,8,FALSE),"0")</f>
        <v>0</v>
      </c>
      <c r="N8727" s="8"/>
      <c r="O8727" s="33" t="str">
        <f>IFERROR(VLOOKUP($M8727,'Informations sur les produits'!$A$3:$H$10000,8,FALSE),"0")</f>
        <v>0</v>
      </c>
      <c r="P8727" s="33">
        <f t="shared" si="544"/>
        <v>0</v>
      </c>
      <c r="Q8727" s="31" t="str">
        <f t="shared" si="545"/>
        <v/>
      </c>
      <c r="R8727" s="32" t="str">
        <f>IFERROR(VLOOKUP($D8727,'Informations sur les produits'!$A$3:$B$15000,2,FALSE),"")</f>
        <v/>
      </c>
      <c r="V8727">
        <f t="shared" si="546"/>
        <v>0</v>
      </c>
      <c r="W8727">
        <f t="shared" si="547"/>
        <v>0</v>
      </c>
    </row>
    <row r="8728" spans="5:23" x14ac:dyDescent="0.25">
      <c r="E8728" s="4"/>
      <c r="F8728" s="4"/>
      <c r="G8728" s="33" t="str">
        <f>IFERROR(VLOOKUP($D8728,'Informations sur les produits'!$A$3:$H$10000,8,FALSE),"0")</f>
        <v>0</v>
      </c>
      <c r="K8728" s="4"/>
      <c r="L8728" s="33" t="str">
        <f>IFERROR(VLOOKUP($J8728,'Informations sur les produits'!$A$3:$H$10000,8,FALSE),"0")</f>
        <v>0</v>
      </c>
      <c r="N8728" s="8"/>
      <c r="O8728" s="33" t="str">
        <f>IFERROR(VLOOKUP($M8728,'Informations sur les produits'!$A$3:$H$10000,8,FALSE),"0")</f>
        <v>0</v>
      </c>
      <c r="P8728" s="33">
        <f t="shared" si="544"/>
        <v>0</v>
      </c>
      <c r="Q8728" s="31" t="str">
        <f t="shared" si="545"/>
        <v/>
      </c>
      <c r="R8728" s="32" t="str">
        <f>IFERROR(VLOOKUP($D8728,'Informations sur les produits'!$A$3:$B$15000,2,FALSE),"")</f>
        <v/>
      </c>
      <c r="V8728">
        <f t="shared" si="546"/>
        <v>0</v>
      </c>
      <c r="W8728">
        <f t="shared" si="547"/>
        <v>0</v>
      </c>
    </row>
    <row r="8729" spans="5:23" x14ac:dyDescent="0.25">
      <c r="E8729" s="4"/>
      <c r="F8729" s="4"/>
      <c r="G8729" s="33" t="str">
        <f>IFERROR(VLOOKUP($D8729,'Informations sur les produits'!$A$3:$H$10000,8,FALSE),"0")</f>
        <v>0</v>
      </c>
      <c r="K8729" s="4"/>
      <c r="L8729" s="33" t="str">
        <f>IFERROR(VLOOKUP($J8729,'Informations sur les produits'!$A$3:$H$10000,8,FALSE),"0")</f>
        <v>0</v>
      </c>
      <c r="N8729" s="8"/>
      <c r="O8729" s="33" t="str">
        <f>IFERROR(VLOOKUP($M8729,'Informations sur les produits'!$A$3:$H$10000,8,FALSE),"0")</f>
        <v>0</v>
      </c>
      <c r="P8729" s="33">
        <f t="shared" si="544"/>
        <v>0</v>
      </c>
      <c r="Q8729" s="31" t="str">
        <f t="shared" si="545"/>
        <v/>
      </c>
      <c r="R8729" s="32" t="str">
        <f>IFERROR(VLOOKUP($D8729,'Informations sur les produits'!$A$3:$B$15000,2,FALSE),"")</f>
        <v/>
      </c>
      <c r="V8729">
        <f t="shared" si="546"/>
        <v>0</v>
      </c>
      <c r="W8729">
        <f t="shared" si="547"/>
        <v>0</v>
      </c>
    </row>
    <row r="8730" spans="5:23" x14ac:dyDescent="0.25">
      <c r="E8730" s="4"/>
      <c r="F8730" s="4"/>
      <c r="G8730" s="33" t="str">
        <f>IFERROR(VLOOKUP($D8730,'Informations sur les produits'!$A$3:$H$10000,8,FALSE),"0")</f>
        <v>0</v>
      </c>
      <c r="K8730" s="4"/>
      <c r="L8730" s="33" t="str">
        <f>IFERROR(VLOOKUP($J8730,'Informations sur les produits'!$A$3:$H$10000,8,FALSE),"0")</f>
        <v>0</v>
      </c>
      <c r="N8730" s="8"/>
      <c r="O8730" s="33" t="str">
        <f>IFERROR(VLOOKUP($M8730,'Informations sur les produits'!$A$3:$H$10000,8,FALSE),"0")</f>
        <v>0</v>
      </c>
      <c r="P8730" s="33">
        <f t="shared" si="544"/>
        <v>0</v>
      </c>
      <c r="Q8730" s="31" t="str">
        <f t="shared" si="545"/>
        <v/>
      </c>
      <c r="R8730" s="32" t="str">
        <f>IFERROR(VLOOKUP($D8730,'Informations sur les produits'!$A$3:$B$15000,2,FALSE),"")</f>
        <v/>
      </c>
      <c r="V8730">
        <f t="shared" si="546"/>
        <v>0</v>
      </c>
      <c r="W8730">
        <f t="shared" si="547"/>
        <v>0</v>
      </c>
    </row>
    <row r="8731" spans="5:23" x14ac:dyDescent="0.25">
      <c r="E8731" s="4"/>
      <c r="F8731" s="4"/>
      <c r="G8731" s="33" t="str">
        <f>IFERROR(VLOOKUP($D8731,'Informations sur les produits'!$A$3:$H$10000,8,FALSE),"0")</f>
        <v>0</v>
      </c>
      <c r="K8731" s="4"/>
      <c r="L8731" s="33" t="str">
        <f>IFERROR(VLOOKUP($J8731,'Informations sur les produits'!$A$3:$H$10000,8,FALSE),"0")</f>
        <v>0</v>
      </c>
      <c r="N8731" s="8"/>
      <c r="O8731" s="33" t="str">
        <f>IFERROR(VLOOKUP($M8731,'Informations sur les produits'!$A$3:$H$10000,8,FALSE),"0")</f>
        <v>0</v>
      </c>
      <c r="P8731" s="33">
        <f t="shared" si="544"/>
        <v>0</v>
      </c>
      <c r="Q8731" s="31" t="str">
        <f t="shared" si="545"/>
        <v/>
      </c>
      <c r="R8731" s="32" t="str">
        <f>IFERROR(VLOOKUP($D8731,'Informations sur les produits'!$A$3:$B$15000,2,FALSE),"")</f>
        <v/>
      </c>
      <c r="V8731">
        <f t="shared" si="546"/>
        <v>0</v>
      </c>
      <c r="W8731">
        <f t="shared" si="547"/>
        <v>0</v>
      </c>
    </row>
    <row r="8732" spans="5:23" x14ac:dyDescent="0.25">
      <c r="E8732" s="4"/>
      <c r="F8732" s="4"/>
      <c r="G8732" s="33" t="str">
        <f>IFERROR(VLOOKUP($D8732,'Informations sur les produits'!$A$3:$H$10000,8,FALSE),"0")</f>
        <v>0</v>
      </c>
      <c r="K8732" s="4"/>
      <c r="L8732" s="33" t="str">
        <f>IFERROR(VLOOKUP($J8732,'Informations sur les produits'!$A$3:$H$10000,8,FALSE),"0")</f>
        <v>0</v>
      </c>
      <c r="N8732" s="8"/>
      <c r="O8732" s="33" t="str">
        <f>IFERROR(VLOOKUP($M8732,'Informations sur les produits'!$A$3:$H$10000,8,FALSE),"0")</f>
        <v>0</v>
      </c>
      <c r="P8732" s="33">
        <f t="shared" si="544"/>
        <v>0</v>
      </c>
      <c r="Q8732" s="31" t="str">
        <f t="shared" si="545"/>
        <v/>
      </c>
      <c r="R8732" s="32" t="str">
        <f>IFERROR(VLOOKUP($D8732,'Informations sur les produits'!$A$3:$B$15000,2,FALSE),"")</f>
        <v/>
      </c>
      <c r="V8732">
        <f t="shared" si="546"/>
        <v>0</v>
      </c>
      <c r="W8732">
        <f t="shared" si="547"/>
        <v>0</v>
      </c>
    </row>
    <row r="8733" spans="5:23" x14ac:dyDescent="0.25">
      <c r="E8733" s="4"/>
      <c r="F8733" s="4"/>
      <c r="G8733" s="33" t="str">
        <f>IFERROR(VLOOKUP($D8733,'Informations sur les produits'!$A$3:$H$10000,8,FALSE),"0")</f>
        <v>0</v>
      </c>
      <c r="K8733" s="4"/>
      <c r="L8733" s="33" t="str">
        <f>IFERROR(VLOOKUP($J8733,'Informations sur les produits'!$A$3:$H$10000,8,FALSE),"0")</f>
        <v>0</v>
      </c>
      <c r="N8733" s="8"/>
      <c r="O8733" s="33" t="str">
        <f>IFERROR(VLOOKUP($M8733,'Informations sur les produits'!$A$3:$H$10000,8,FALSE),"0")</f>
        <v>0</v>
      </c>
      <c r="P8733" s="33">
        <f t="shared" si="544"/>
        <v>0</v>
      </c>
      <c r="Q8733" s="31" t="str">
        <f t="shared" si="545"/>
        <v/>
      </c>
      <c r="R8733" s="32" t="str">
        <f>IFERROR(VLOOKUP($D8733,'Informations sur les produits'!$A$3:$B$15000,2,FALSE),"")</f>
        <v/>
      </c>
      <c r="V8733">
        <f t="shared" si="546"/>
        <v>0</v>
      </c>
      <c r="W8733">
        <f t="shared" si="547"/>
        <v>0</v>
      </c>
    </row>
    <row r="8734" spans="5:23" x14ac:dyDescent="0.25">
      <c r="E8734" s="4"/>
      <c r="F8734" s="4"/>
      <c r="G8734" s="33" t="str">
        <f>IFERROR(VLOOKUP($D8734,'Informations sur les produits'!$A$3:$H$10000,8,FALSE),"0")</f>
        <v>0</v>
      </c>
      <c r="K8734" s="4"/>
      <c r="L8734" s="33" t="str">
        <f>IFERROR(VLOOKUP($J8734,'Informations sur les produits'!$A$3:$H$10000,8,FALSE),"0")</f>
        <v>0</v>
      </c>
      <c r="N8734" s="8"/>
      <c r="O8734" s="33" t="str">
        <f>IFERROR(VLOOKUP($M8734,'Informations sur les produits'!$A$3:$H$10000,8,FALSE),"0")</f>
        <v>0</v>
      </c>
      <c r="P8734" s="33">
        <f t="shared" si="544"/>
        <v>0</v>
      </c>
      <c r="Q8734" s="31" t="str">
        <f t="shared" si="545"/>
        <v/>
      </c>
      <c r="R8734" s="32" t="str">
        <f>IFERROR(VLOOKUP($D8734,'Informations sur les produits'!$A$3:$B$15000,2,FALSE),"")</f>
        <v/>
      </c>
      <c r="V8734">
        <f t="shared" si="546"/>
        <v>0</v>
      </c>
      <c r="W8734">
        <f t="shared" si="547"/>
        <v>0</v>
      </c>
    </row>
    <row r="8735" spans="5:23" x14ac:dyDescent="0.25">
      <c r="E8735" s="4"/>
      <c r="F8735" s="4"/>
      <c r="G8735" s="33" t="str">
        <f>IFERROR(VLOOKUP($D8735,'Informations sur les produits'!$A$3:$H$10000,8,FALSE),"0")</f>
        <v>0</v>
      </c>
      <c r="K8735" s="4"/>
      <c r="L8735" s="33" t="str">
        <f>IFERROR(VLOOKUP($J8735,'Informations sur les produits'!$A$3:$H$10000,8,FALSE),"0")</f>
        <v>0</v>
      </c>
      <c r="N8735" s="8"/>
      <c r="O8735" s="33" t="str">
        <f>IFERROR(VLOOKUP($M8735,'Informations sur les produits'!$A$3:$H$10000,8,FALSE),"0")</f>
        <v>0</v>
      </c>
      <c r="P8735" s="33">
        <f t="shared" si="544"/>
        <v>0</v>
      </c>
      <c r="Q8735" s="31" t="str">
        <f t="shared" si="545"/>
        <v/>
      </c>
      <c r="R8735" s="32" t="str">
        <f>IFERROR(VLOOKUP($D8735,'Informations sur les produits'!$A$3:$B$15000,2,FALSE),"")</f>
        <v/>
      </c>
      <c r="V8735">
        <f t="shared" si="546"/>
        <v>0</v>
      </c>
      <c r="W8735">
        <f t="shared" si="547"/>
        <v>0</v>
      </c>
    </row>
    <row r="8736" spans="5:23" x14ac:dyDescent="0.25">
      <c r="E8736" s="4"/>
      <c r="F8736" s="4"/>
      <c r="G8736" s="33" t="str">
        <f>IFERROR(VLOOKUP($D8736,'Informations sur les produits'!$A$3:$H$10000,8,FALSE),"0")</f>
        <v>0</v>
      </c>
      <c r="K8736" s="4"/>
      <c r="L8736" s="33" t="str">
        <f>IFERROR(VLOOKUP($J8736,'Informations sur les produits'!$A$3:$H$10000,8,FALSE),"0")</f>
        <v>0</v>
      </c>
      <c r="N8736" s="8"/>
      <c r="O8736" s="33" t="str">
        <f>IFERROR(VLOOKUP($M8736,'Informations sur les produits'!$A$3:$H$10000,8,FALSE),"0")</f>
        <v>0</v>
      </c>
      <c r="P8736" s="33">
        <f t="shared" si="544"/>
        <v>0</v>
      </c>
      <c r="Q8736" s="31" t="str">
        <f t="shared" si="545"/>
        <v/>
      </c>
      <c r="R8736" s="32" t="str">
        <f>IFERROR(VLOOKUP($D8736,'Informations sur les produits'!$A$3:$B$15000,2,FALSE),"")</f>
        <v/>
      </c>
      <c r="V8736">
        <f t="shared" si="546"/>
        <v>0</v>
      </c>
      <c r="W8736">
        <f t="shared" si="547"/>
        <v>0</v>
      </c>
    </row>
    <row r="8737" spans="5:23" x14ac:dyDescent="0.25">
      <c r="E8737" s="4"/>
      <c r="F8737" s="4"/>
      <c r="G8737" s="33" t="str">
        <f>IFERROR(VLOOKUP($D8737,'Informations sur les produits'!$A$3:$H$10000,8,FALSE),"0")</f>
        <v>0</v>
      </c>
      <c r="K8737" s="4"/>
      <c r="L8737" s="33" t="str">
        <f>IFERROR(VLOOKUP($J8737,'Informations sur les produits'!$A$3:$H$10000,8,FALSE),"0")</f>
        <v>0</v>
      </c>
      <c r="N8737" s="8"/>
      <c r="O8737" s="33" t="str">
        <f>IFERROR(VLOOKUP($M8737,'Informations sur les produits'!$A$3:$H$10000,8,FALSE),"0")</f>
        <v>0</v>
      </c>
      <c r="P8737" s="33">
        <f t="shared" si="544"/>
        <v>0</v>
      </c>
      <c r="Q8737" s="31" t="str">
        <f t="shared" si="545"/>
        <v/>
      </c>
      <c r="R8737" s="32" t="str">
        <f>IFERROR(VLOOKUP($D8737,'Informations sur les produits'!$A$3:$B$15000,2,FALSE),"")</f>
        <v/>
      </c>
      <c r="V8737">
        <f t="shared" si="546"/>
        <v>0</v>
      </c>
      <c r="W8737">
        <f t="shared" si="547"/>
        <v>0</v>
      </c>
    </row>
    <row r="8738" spans="5:23" x14ac:dyDescent="0.25">
      <c r="E8738" s="4"/>
      <c r="F8738" s="4"/>
      <c r="G8738" s="33" t="str">
        <f>IFERROR(VLOOKUP($D8738,'Informations sur les produits'!$A$3:$H$10000,8,FALSE),"0")</f>
        <v>0</v>
      </c>
      <c r="K8738" s="4"/>
      <c r="L8738" s="33" t="str">
        <f>IFERROR(VLOOKUP($J8738,'Informations sur les produits'!$A$3:$H$10000,8,FALSE),"0")</f>
        <v>0</v>
      </c>
      <c r="N8738" s="8"/>
      <c r="O8738" s="33" t="str">
        <f>IFERROR(VLOOKUP($M8738,'Informations sur les produits'!$A$3:$H$10000,8,FALSE),"0")</f>
        <v>0</v>
      </c>
      <c r="P8738" s="33">
        <f t="shared" si="544"/>
        <v>0</v>
      </c>
      <c r="Q8738" s="31" t="str">
        <f t="shared" si="545"/>
        <v/>
      </c>
      <c r="R8738" s="32" t="str">
        <f>IFERROR(VLOOKUP($D8738,'Informations sur les produits'!$A$3:$B$15000,2,FALSE),"")</f>
        <v/>
      </c>
      <c r="V8738">
        <f t="shared" si="546"/>
        <v>0</v>
      </c>
      <c r="W8738">
        <f t="shared" si="547"/>
        <v>0</v>
      </c>
    </row>
    <row r="8739" spans="5:23" x14ac:dyDescent="0.25">
      <c r="E8739" s="4"/>
      <c r="F8739" s="4"/>
      <c r="G8739" s="33" t="str">
        <f>IFERROR(VLOOKUP($D8739,'Informations sur les produits'!$A$3:$H$10000,8,FALSE),"0")</f>
        <v>0</v>
      </c>
      <c r="K8739" s="4"/>
      <c r="L8739" s="33" t="str">
        <f>IFERROR(VLOOKUP($J8739,'Informations sur les produits'!$A$3:$H$10000,8,FALSE),"0")</f>
        <v>0</v>
      </c>
      <c r="N8739" s="8"/>
      <c r="O8739" s="33" t="str">
        <f>IFERROR(VLOOKUP($M8739,'Informations sur les produits'!$A$3:$H$10000,8,FALSE),"0")</f>
        <v>0</v>
      </c>
      <c r="P8739" s="33">
        <f t="shared" si="544"/>
        <v>0</v>
      </c>
      <c r="Q8739" s="31" t="str">
        <f t="shared" si="545"/>
        <v/>
      </c>
      <c r="R8739" s="32" t="str">
        <f>IFERROR(VLOOKUP($D8739,'Informations sur les produits'!$A$3:$B$15000,2,FALSE),"")</f>
        <v/>
      </c>
      <c r="V8739">
        <f t="shared" si="546"/>
        <v>0</v>
      </c>
      <c r="W8739">
        <f t="shared" si="547"/>
        <v>0</v>
      </c>
    </row>
    <row r="8740" spans="5:23" x14ac:dyDescent="0.25">
      <c r="E8740" s="4"/>
      <c r="F8740" s="4"/>
      <c r="G8740" s="33" t="str">
        <f>IFERROR(VLOOKUP($D8740,'Informations sur les produits'!$A$3:$H$10000,8,FALSE),"0")</f>
        <v>0</v>
      </c>
      <c r="K8740" s="4"/>
      <c r="L8740" s="33" t="str">
        <f>IFERROR(VLOOKUP($J8740,'Informations sur les produits'!$A$3:$H$10000,8,FALSE),"0")</f>
        <v>0</v>
      </c>
      <c r="N8740" s="8"/>
      <c r="O8740" s="33" t="str">
        <f>IFERROR(VLOOKUP($M8740,'Informations sur les produits'!$A$3:$H$10000,8,FALSE),"0")</f>
        <v>0</v>
      </c>
      <c r="P8740" s="33">
        <f t="shared" si="544"/>
        <v>0</v>
      </c>
      <c r="Q8740" s="31" t="str">
        <f t="shared" si="545"/>
        <v/>
      </c>
      <c r="R8740" s="32" t="str">
        <f>IFERROR(VLOOKUP($D8740,'Informations sur les produits'!$A$3:$B$15000,2,FALSE),"")</f>
        <v/>
      </c>
      <c r="V8740">
        <f t="shared" si="546"/>
        <v>0</v>
      </c>
      <c r="W8740">
        <f t="shared" si="547"/>
        <v>0</v>
      </c>
    </row>
    <row r="8741" spans="5:23" x14ac:dyDescent="0.25">
      <c r="E8741" s="4"/>
      <c r="F8741" s="4"/>
      <c r="G8741" s="33" t="str">
        <f>IFERROR(VLOOKUP($D8741,'Informations sur les produits'!$A$3:$H$10000,8,FALSE),"0")</f>
        <v>0</v>
      </c>
      <c r="K8741" s="4"/>
      <c r="L8741" s="33" t="str">
        <f>IFERROR(VLOOKUP($J8741,'Informations sur les produits'!$A$3:$H$10000,8,FALSE),"0")</f>
        <v>0</v>
      </c>
      <c r="N8741" s="8"/>
      <c r="O8741" s="33" t="str">
        <f>IFERROR(VLOOKUP($M8741,'Informations sur les produits'!$A$3:$H$10000,8,FALSE),"0")</f>
        <v>0</v>
      </c>
      <c r="P8741" s="33">
        <f t="shared" si="544"/>
        <v>0</v>
      </c>
      <c r="Q8741" s="31" t="str">
        <f t="shared" si="545"/>
        <v/>
      </c>
      <c r="R8741" s="32" t="str">
        <f>IFERROR(VLOOKUP($D8741,'Informations sur les produits'!$A$3:$B$15000,2,FALSE),"")</f>
        <v/>
      </c>
      <c r="V8741">
        <f t="shared" si="546"/>
        <v>0</v>
      </c>
      <c r="W8741">
        <f t="shared" si="547"/>
        <v>0</v>
      </c>
    </row>
    <row r="8742" spans="5:23" x14ac:dyDescent="0.25">
      <c r="E8742" s="4"/>
      <c r="F8742" s="4"/>
      <c r="G8742" s="33" t="str">
        <f>IFERROR(VLOOKUP($D8742,'Informations sur les produits'!$A$3:$H$10000,8,FALSE),"0")</f>
        <v>0</v>
      </c>
      <c r="K8742" s="4"/>
      <c r="L8742" s="33" t="str">
        <f>IFERROR(VLOOKUP($J8742,'Informations sur les produits'!$A$3:$H$10000,8,FALSE),"0")</f>
        <v>0</v>
      </c>
      <c r="N8742" s="8"/>
      <c r="O8742" s="33" t="str">
        <f>IFERROR(VLOOKUP($M8742,'Informations sur les produits'!$A$3:$H$10000,8,FALSE),"0")</f>
        <v>0</v>
      </c>
      <c r="P8742" s="33">
        <f t="shared" si="544"/>
        <v>0</v>
      </c>
      <c r="Q8742" s="31" t="str">
        <f t="shared" si="545"/>
        <v/>
      </c>
      <c r="R8742" s="32" t="str">
        <f>IFERROR(VLOOKUP($D8742,'Informations sur les produits'!$A$3:$B$15000,2,FALSE),"")</f>
        <v/>
      </c>
      <c r="V8742">
        <f t="shared" si="546"/>
        <v>0</v>
      </c>
      <c r="W8742">
        <f t="shared" si="547"/>
        <v>0</v>
      </c>
    </row>
    <row r="8743" spans="5:23" x14ac:dyDescent="0.25">
      <c r="E8743" s="4"/>
      <c r="F8743" s="4"/>
      <c r="G8743" s="33" t="str">
        <f>IFERROR(VLOOKUP($D8743,'Informations sur les produits'!$A$3:$H$10000,8,FALSE),"0")</f>
        <v>0</v>
      </c>
      <c r="K8743" s="4"/>
      <c r="L8743" s="33" t="str">
        <f>IFERROR(VLOOKUP($J8743,'Informations sur les produits'!$A$3:$H$10000,8,FALSE),"0")</f>
        <v>0</v>
      </c>
      <c r="N8743" s="8"/>
      <c r="O8743" s="33" t="str">
        <f>IFERROR(VLOOKUP($M8743,'Informations sur les produits'!$A$3:$H$10000,8,FALSE),"0")</f>
        <v>0</v>
      </c>
      <c r="P8743" s="33">
        <f t="shared" si="544"/>
        <v>0</v>
      </c>
      <c r="Q8743" s="31" t="str">
        <f t="shared" si="545"/>
        <v/>
      </c>
      <c r="R8743" s="32" t="str">
        <f>IFERROR(VLOOKUP($D8743,'Informations sur les produits'!$A$3:$B$15000,2,FALSE),"")</f>
        <v/>
      </c>
      <c r="V8743">
        <f t="shared" si="546"/>
        <v>0</v>
      </c>
      <c r="W8743">
        <f t="shared" si="547"/>
        <v>0</v>
      </c>
    </row>
    <row r="8744" spans="5:23" x14ac:dyDescent="0.25">
      <c r="E8744" s="4"/>
      <c r="F8744" s="4"/>
      <c r="G8744" s="33" t="str">
        <f>IFERROR(VLOOKUP($D8744,'Informations sur les produits'!$A$3:$H$10000,8,FALSE),"0")</f>
        <v>0</v>
      </c>
      <c r="K8744" s="4"/>
      <c r="L8744" s="33" t="str">
        <f>IFERROR(VLOOKUP($J8744,'Informations sur les produits'!$A$3:$H$10000,8,FALSE),"0")</f>
        <v>0</v>
      </c>
      <c r="N8744" s="8"/>
      <c r="O8744" s="33" t="str">
        <f>IFERROR(VLOOKUP($M8744,'Informations sur les produits'!$A$3:$H$10000,8,FALSE),"0")</f>
        <v>0</v>
      </c>
      <c r="P8744" s="33">
        <f t="shared" si="544"/>
        <v>0</v>
      </c>
      <c r="Q8744" s="31" t="str">
        <f t="shared" si="545"/>
        <v/>
      </c>
      <c r="R8744" s="32" t="str">
        <f>IFERROR(VLOOKUP($D8744,'Informations sur les produits'!$A$3:$B$15000,2,FALSE),"")</f>
        <v/>
      </c>
      <c r="V8744">
        <f t="shared" si="546"/>
        <v>0</v>
      </c>
      <c r="W8744">
        <f t="shared" si="547"/>
        <v>0</v>
      </c>
    </row>
    <row r="8745" spans="5:23" x14ac:dyDescent="0.25">
      <c r="E8745" s="4"/>
      <c r="F8745" s="4"/>
      <c r="G8745" s="33" t="str">
        <f>IFERROR(VLOOKUP($D8745,'Informations sur les produits'!$A$3:$H$10000,8,FALSE),"0")</f>
        <v>0</v>
      </c>
      <c r="K8745" s="4"/>
      <c r="L8745" s="33" t="str">
        <f>IFERROR(VLOOKUP($J8745,'Informations sur les produits'!$A$3:$H$10000,8,FALSE),"0")</f>
        <v>0</v>
      </c>
      <c r="N8745" s="8"/>
      <c r="O8745" s="33" t="str">
        <f>IFERROR(VLOOKUP($M8745,'Informations sur les produits'!$A$3:$H$10000,8,FALSE),"0")</f>
        <v>0</v>
      </c>
      <c r="P8745" s="33">
        <f t="shared" si="544"/>
        <v>0</v>
      </c>
      <c r="Q8745" s="31" t="str">
        <f t="shared" si="545"/>
        <v/>
      </c>
      <c r="R8745" s="32" t="str">
        <f>IFERROR(VLOOKUP($D8745,'Informations sur les produits'!$A$3:$B$15000,2,FALSE),"")</f>
        <v/>
      </c>
      <c r="V8745">
        <f t="shared" si="546"/>
        <v>0</v>
      </c>
      <c r="W8745">
        <f t="shared" si="547"/>
        <v>0</v>
      </c>
    </row>
    <row r="8746" spans="5:23" x14ac:dyDescent="0.25">
      <c r="E8746" s="4"/>
      <c r="F8746" s="4"/>
      <c r="G8746" s="33" t="str">
        <f>IFERROR(VLOOKUP($D8746,'Informations sur les produits'!$A$3:$H$10000,8,FALSE),"0")</f>
        <v>0</v>
      </c>
      <c r="K8746" s="4"/>
      <c r="L8746" s="33" t="str">
        <f>IFERROR(VLOOKUP($J8746,'Informations sur les produits'!$A$3:$H$10000,8,FALSE),"0")</f>
        <v>0</v>
      </c>
      <c r="N8746" s="8"/>
      <c r="O8746" s="33" t="str">
        <f>IFERROR(VLOOKUP($M8746,'Informations sur les produits'!$A$3:$H$10000,8,FALSE),"0")</f>
        <v>0</v>
      </c>
      <c r="P8746" s="33">
        <f t="shared" si="544"/>
        <v>0</v>
      </c>
      <c r="Q8746" s="31" t="str">
        <f t="shared" si="545"/>
        <v/>
      </c>
      <c r="R8746" s="32" t="str">
        <f>IFERROR(VLOOKUP($D8746,'Informations sur les produits'!$A$3:$B$15000,2,FALSE),"")</f>
        <v/>
      </c>
      <c r="V8746">
        <f t="shared" si="546"/>
        <v>0</v>
      </c>
      <c r="W8746">
        <f t="shared" si="547"/>
        <v>0</v>
      </c>
    </row>
    <row r="8747" spans="5:23" x14ac:dyDescent="0.25">
      <c r="E8747" s="4"/>
      <c r="F8747" s="4"/>
      <c r="G8747" s="33" t="str">
        <f>IFERROR(VLOOKUP($D8747,'Informations sur les produits'!$A$3:$H$10000,8,FALSE),"0")</f>
        <v>0</v>
      </c>
      <c r="K8747" s="4"/>
      <c r="L8747" s="33" t="str">
        <f>IFERROR(VLOOKUP($J8747,'Informations sur les produits'!$A$3:$H$10000,8,FALSE),"0")</f>
        <v>0</v>
      </c>
      <c r="N8747" s="8"/>
      <c r="O8747" s="33" t="str">
        <f>IFERROR(VLOOKUP($M8747,'Informations sur les produits'!$A$3:$H$10000,8,FALSE),"0")</f>
        <v>0</v>
      </c>
      <c r="P8747" s="33">
        <f t="shared" si="544"/>
        <v>0</v>
      </c>
      <c r="Q8747" s="31" t="str">
        <f t="shared" si="545"/>
        <v/>
      </c>
      <c r="R8747" s="32" t="str">
        <f>IFERROR(VLOOKUP($D8747,'Informations sur les produits'!$A$3:$B$15000,2,FALSE),"")</f>
        <v/>
      </c>
      <c r="V8747">
        <f t="shared" si="546"/>
        <v>0</v>
      </c>
      <c r="W8747">
        <f t="shared" si="547"/>
        <v>0</v>
      </c>
    </row>
    <row r="8748" spans="5:23" x14ac:dyDescent="0.25">
      <c r="E8748" s="4"/>
      <c r="F8748" s="4"/>
      <c r="G8748" s="33" t="str">
        <f>IFERROR(VLOOKUP($D8748,'Informations sur les produits'!$A$3:$H$10000,8,FALSE),"0")</f>
        <v>0</v>
      </c>
      <c r="K8748" s="4"/>
      <c r="L8748" s="33" t="str">
        <f>IFERROR(VLOOKUP($J8748,'Informations sur les produits'!$A$3:$H$10000,8,FALSE),"0")</f>
        <v>0</v>
      </c>
      <c r="N8748" s="8"/>
      <c r="O8748" s="33" t="str">
        <f>IFERROR(VLOOKUP($M8748,'Informations sur les produits'!$A$3:$H$10000,8,FALSE),"0")</f>
        <v>0</v>
      </c>
      <c r="P8748" s="33">
        <f t="shared" si="544"/>
        <v>0</v>
      </c>
      <c r="Q8748" s="31" t="str">
        <f t="shared" si="545"/>
        <v/>
      </c>
      <c r="R8748" s="32" t="str">
        <f>IFERROR(VLOOKUP($D8748,'Informations sur les produits'!$A$3:$B$15000,2,FALSE),"")</f>
        <v/>
      </c>
      <c r="V8748">
        <f t="shared" si="546"/>
        <v>0</v>
      </c>
      <c r="W8748">
        <f t="shared" si="547"/>
        <v>0</v>
      </c>
    </row>
    <row r="8749" spans="5:23" x14ac:dyDescent="0.25">
      <c r="E8749" s="4"/>
      <c r="F8749" s="4"/>
      <c r="G8749" s="33" t="str">
        <f>IFERROR(VLOOKUP($D8749,'Informations sur les produits'!$A$3:$H$10000,8,FALSE),"0")</f>
        <v>0</v>
      </c>
      <c r="K8749" s="4"/>
      <c r="L8749" s="33" t="str">
        <f>IFERROR(VLOOKUP($J8749,'Informations sur les produits'!$A$3:$H$10000,8,FALSE),"0")</f>
        <v>0</v>
      </c>
      <c r="N8749" s="8"/>
      <c r="O8749" s="33" t="str">
        <f>IFERROR(VLOOKUP($M8749,'Informations sur les produits'!$A$3:$H$10000,8,FALSE),"0")</f>
        <v>0</v>
      </c>
      <c r="P8749" s="33">
        <f t="shared" si="544"/>
        <v>0</v>
      </c>
      <c r="Q8749" s="31" t="str">
        <f t="shared" si="545"/>
        <v/>
      </c>
      <c r="R8749" s="32" t="str">
        <f>IFERROR(VLOOKUP($D8749,'Informations sur les produits'!$A$3:$B$15000,2,FALSE),"")</f>
        <v/>
      </c>
      <c r="V8749">
        <f t="shared" si="546"/>
        <v>0</v>
      </c>
      <c r="W8749">
        <f t="shared" si="547"/>
        <v>0</v>
      </c>
    </row>
    <row r="8750" spans="5:23" x14ac:dyDescent="0.25">
      <c r="E8750" s="4"/>
      <c r="F8750" s="4"/>
      <c r="G8750" s="33" t="str">
        <f>IFERROR(VLOOKUP($D8750,'Informations sur les produits'!$A$3:$H$10000,8,FALSE),"0")</f>
        <v>0</v>
      </c>
      <c r="K8750" s="4"/>
      <c r="L8750" s="33" t="str">
        <f>IFERROR(VLOOKUP($J8750,'Informations sur les produits'!$A$3:$H$10000,8,FALSE),"0")</f>
        <v>0</v>
      </c>
      <c r="N8750" s="8"/>
      <c r="O8750" s="33" t="str">
        <f>IFERROR(VLOOKUP($M8750,'Informations sur les produits'!$A$3:$H$10000,8,FALSE),"0")</f>
        <v>0</v>
      </c>
      <c r="P8750" s="33">
        <f t="shared" si="544"/>
        <v>0</v>
      </c>
      <c r="Q8750" s="31" t="str">
        <f t="shared" si="545"/>
        <v/>
      </c>
      <c r="R8750" s="32" t="str">
        <f>IFERROR(VLOOKUP($D8750,'Informations sur les produits'!$A$3:$B$15000,2,FALSE),"")</f>
        <v/>
      </c>
      <c r="V8750">
        <f t="shared" si="546"/>
        <v>0</v>
      </c>
      <c r="W8750">
        <f t="shared" si="547"/>
        <v>0</v>
      </c>
    </row>
    <row r="8751" spans="5:23" x14ac:dyDescent="0.25">
      <c r="E8751" s="4"/>
      <c r="F8751" s="4"/>
      <c r="G8751" s="33" t="str">
        <f>IFERROR(VLOOKUP($D8751,'Informations sur les produits'!$A$3:$H$10000,8,FALSE),"0")</f>
        <v>0</v>
      </c>
      <c r="K8751" s="4"/>
      <c r="L8751" s="33" t="str">
        <f>IFERROR(VLOOKUP($J8751,'Informations sur les produits'!$A$3:$H$10000,8,FALSE),"0")</f>
        <v>0</v>
      </c>
      <c r="N8751" s="8"/>
      <c r="O8751" s="33" t="str">
        <f>IFERROR(VLOOKUP($M8751,'Informations sur les produits'!$A$3:$H$10000,8,FALSE),"0")</f>
        <v>0</v>
      </c>
      <c r="P8751" s="33">
        <f t="shared" si="544"/>
        <v>0</v>
      </c>
      <c r="Q8751" s="31" t="str">
        <f t="shared" si="545"/>
        <v/>
      </c>
      <c r="R8751" s="32" t="str">
        <f>IFERROR(VLOOKUP($D8751,'Informations sur les produits'!$A$3:$B$15000,2,FALSE),"")</f>
        <v/>
      </c>
      <c r="V8751">
        <f t="shared" si="546"/>
        <v>0</v>
      </c>
      <c r="W8751">
        <f t="shared" si="547"/>
        <v>0</v>
      </c>
    </row>
    <row r="8752" spans="5:23" x14ac:dyDescent="0.25">
      <c r="E8752" s="4"/>
      <c r="F8752" s="4"/>
      <c r="G8752" s="33" t="str">
        <f>IFERROR(VLOOKUP($D8752,'Informations sur les produits'!$A$3:$H$10000,8,FALSE),"0")</f>
        <v>0</v>
      </c>
      <c r="K8752" s="4"/>
      <c r="L8752" s="33" t="str">
        <f>IFERROR(VLOOKUP($J8752,'Informations sur les produits'!$A$3:$H$10000,8,FALSE),"0")</f>
        <v>0</v>
      </c>
      <c r="N8752" s="8"/>
      <c r="O8752" s="33" t="str">
        <f>IFERROR(VLOOKUP($M8752,'Informations sur les produits'!$A$3:$H$10000,8,FALSE),"0")</f>
        <v>0</v>
      </c>
      <c r="P8752" s="33">
        <f t="shared" si="544"/>
        <v>0</v>
      </c>
      <c r="Q8752" s="31" t="str">
        <f t="shared" si="545"/>
        <v/>
      </c>
      <c r="R8752" s="32" t="str">
        <f>IFERROR(VLOOKUP($D8752,'Informations sur les produits'!$A$3:$B$15000,2,FALSE),"")</f>
        <v/>
      </c>
      <c r="V8752">
        <f t="shared" si="546"/>
        <v>0</v>
      </c>
      <c r="W8752">
        <f t="shared" si="547"/>
        <v>0</v>
      </c>
    </row>
    <row r="8753" spans="5:23" x14ac:dyDescent="0.25">
      <c r="E8753" s="4"/>
      <c r="F8753" s="4"/>
      <c r="G8753" s="33" t="str">
        <f>IFERROR(VLOOKUP($D8753,'Informations sur les produits'!$A$3:$H$10000,8,FALSE),"0")</f>
        <v>0</v>
      </c>
      <c r="K8753" s="4"/>
      <c r="L8753" s="33" t="str">
        <f>IFERROR(VLOOKUP($J8753,'Informations sur les produits'!$A$3:$H$10000,8,FALSE),"0")</f>
        <v>0</v>
      </c>
      <c r="N8753" s="8"/>
      <c r="O8753" s="33" t="str">
        <f>IFERROR(VLOOKUP($M8753,'Informations sur les produits'!$A$3:$H$10000,8,FALSE),"0")</f>
        <v>0</v>
      </c>
      <c r="P8753" s="33">
        <f t="shared" si="544"/>
        <v>0</v>
      </c>
      <c r="Q8753" s="31" t="str">
        <f t="shared" si="545"/>
        <v/>
      </c>
      <c r="R8753" s="32" t="str">
        <f>IFERROR(VLOOKUP($D8753,'Informations sur les produits'!$A$3:$B$15000,2,FALSE),"")</f>
        <v/>
      </c>
      <c r="V8753">
        <f t="shared" si="546"/>
        <v>0</v>
      </c>
      <c r="W8753">
        <f t="shared" si="547"/>
        <v>0</v>
      </c>
    </row>
    <row r="8754" spans="5:23" x14ac:dyDescent="0.25">
      <c r="E8754" s="4"/>
      <c r="F8754" s="4"/>
      <c r="G8754" s="33" t="str">
        <f>IFERROR(VLOOKUP($D8754,'Informations sur les produits'!$A$3:$H$10000,8,FALSE),"0")</f>
        <v>0</v>
      </c>
      <c r="K8754" s="4"/>
      <c r="L8754" s="33" t="str">
        <f>IFERROR(VLOOKUP($J8754,'Informations sur les produits'!$A$3:$H$10000,8,FALSE),"0")</f>
        <v>0</v>
      </c>
      <c r="N8754" s="8"/>
      <c r="O8754" s="33" t="str">
        <f>IFERROR(VLOOKUP($M8754,'Informations sur les produits'!$A$3:$H$10000,8,FALSE),"0")</f>
        <v>0</v>
      </c>
      <c r="P8754" s="33">
        <f t="shared" si="544"/>
        <v>0</v>
      </c>
      <c r="Q8754" s="31" t="str">
        <f t="shared" si="545"/>
        <v/>
      </c>
      <c r="R8754" s="32" t="str">
        <f>IFERROR(VLOOKUP($D8754,'Informations sur les produits'!$A$3:$B$15000,2,FALSE),"")</f>
        <v/>
      </c>
      <c r="V8754">
        <f t="shared" si="546"/>
        <v>0</v>
      </c>
      <c r="W8754">
        <f t="shared" si="547"/>
        <v>0</v>
      </c>
    </row>
    <row r="8755" spans="5:23" x14ac:dyDescent="0.25">
      <c r="E8755" s="4"/>
      <c r="F8755" s="4"/>
      <c r="G8755" s="33" t="str">
        <f>IFERROR(VLOOKUP($D8755,'Informations sur les produits'!$A$3:$H$10000,8,FALSE),"0")</f>
        <v>0</v>
      </c>
      <c r="K8755" s="4"/>
      <c r="L8755" s="33" t="str">
        <f>IFERROR(VLOOKUP($J8755,'Informations sur les produits'!$A$3:$H$10000,8,FALSE),"0")</f>
        <v>0</v>
      </c>
      <c r="N8755" s="8"/>
      <c r="O8755" s="33" t="str">
        <f>IFERROR(VLOOKUP($M8755,'Informations sur les produits'!$A$3:$H$10000,8,FALSE),"0")</f>
        <v>0</v>
      </c>
      <c r="P8755" s="33">
        <f t="shared" si="544"/>
        <v>0</v>
      </c>
      <c r="Q8755" s="31" t="str">
        <f t="shared" si="545"/>
        <v/>
      </c>
      <c r="R8755" s="32" t="str">
        <f>IFERROR(VLOOKUP($D8755,'Informations sur les produits'!$A$3:$B$15000,2,FALSE),"")</f>
        <v/>
      </c>
      <c r="V8755">
        <f t="shared" si="546"/>
        <v>0</v>
      </c>
      <c r="W8755">
        <f t="shared" si="547"/>
        <v>0</v>
      </c>
    </row>
    <row r="8756" spans="5:23" x14ac:dyDescent="0.25">
      <c r="E8756" s="4"/>
      <c r="F8756" s="4"/>
      <c r="G8756" s="33" t="str">
        <f>IFERROR(VLOOKUP($D8756,'Informations sur les produits'!$A$3:$H$10000,8,FALSE),"0")</f>
        <v>0</v>
      </c>
      <c r="K8756" s="4"/>
      <c r="L8756" s="33" t="str">
        <f>IFERROR(VLOOKUP($J8756,'Informations sur les produits'!$A$3:$H$10000,8,FALSE),"0")</f>
        <v>0</v>
      </c>
      <c r="N8756" s="8"/>
      <c r="O8756" s="33" t="str">
        <f>IFERROR(VLOOKUP($M8756,'Informations sur les produits'!$A$3:$H$10000,8,FALSE),"0")</f>
        <v>0</v>
      </c>
      <c r="P8756" s="33">
        <f t="shared" si="544"/>
        <v>0</v>
      </c>
      <c r="Q8756" s="31" t="str">
        <f t="shared" si="545"/>
        <v/>
      </c>
      <c r="R8756" s="32" t="str">
        <f>IFERROR(VLOOKUP($D8756,'Informations sur les produits'!$A$3:$B$15000,2,FALSE),"")</f>
        <v/>
      </c>
      <c r="V8756">
        <f t="shared" si="546"/>
        <v>0</v>
      </c>
      <c r="W8756">
        <f t="shared" si="547"/>
        <v>0</v>
      </c>
    </row>
    <row r="8757" spans="5:23" x14ac:dyDescent="0.25">
      <c r="E8757" s="4"/>
      <c r="F8757" s="4"/>
      <c r="G8757" s="33" t="str">
        <f>IFERROR(VLOOKUP($D8757,'Informations sur les produits'!$A$3:$H$10000,8,FALSE),"0")</f>
        <v>0</v>
      </c>
      <c r="K8757" s="4"/>
      <c r="L8757" s="33" t="str">
        <f>IFERROR(VLOOKUP($J8757,'Informations sur les produits'!$A$3:$H$10000,8,FALSE),"0")</f>
        <v>0</v>
      </c>
      <c r="N8757" s="8"/>
      <c r="O8757" s="33" t="str">
        <f>IFERROR(VLOOKUP($M8757,'Informations sur les produits'!$A$3:$H$10000,8,FALSE),"0")</f>
        <v>0</v>
      </c>
      <c r="P8757" s="33">
        <f t="shared" si="544"/>
        <v>0</v>
      </c>
      <c r="Q8757" s="31" t="str">
        <f t="shared" si="545"/>
        <v/>
      </c>
      <c r="R8757" s="32" t="str">
        <f>IFERROR(VLOOKUP($D8757,'Informations sur les produits'!$A$3:$B$15000,2,FALSE),"")</f>
        <v/>
      </c>
      <c r="V8757">
        <f t="shared" si="546"/>
        <v>0</v>
      </c>
      <c r="W8757">
        <f t="shared" si="547"/>
        <v>0</v>
      </c>
    </row>
    <row r="8758" spans="5:23" x14ac:dyDescent="0.25">
      <c r="E8758" s="4"/>
      <c r="F8758" s="4"/>
      <c r="G8758" s="33" t="str">
        <f>IFERROR(VLOOKUP($D8758,'Informations sur les produits'!$A$3:$H$10000,8,FALSE),"0")</f>
        <v>0</v>
      </c>
      <c r="K8758" s="4"/>
      <c r="L8758" s="33" t="str">
        <f>IFERROR(VLOOKUP($J8758,'Informations sur les produits'!$A$3:$H$10000,8,FALSE),"0")</f>
        <v>0</v>
      </c>
      <c r="N8758" s="8"/>
      <c r="O8758" s="33" t="str">
        <f>IFERROR(VLOOKUP($M8758,'Informations sur les produits'!$A$3:$H$10000,8,FALSE),"0")</f>
        <v>0</v>
      </c>
      <c r="P8758" s="33">
        <f t="shared" si="544"/>
        <v>0</v>
      </c>
      <c r="Q8758" s="31" t="str">
        <f t="shared" si="545"/>
        <v/>
      </c>
      <c r="R8758" s="32" t="str">
        <f>IFERROR(VLOOKUP($D8758,'Informations sur les produits'!$A$3:$B$15000,2,FALSE),"")</f>
        <v/>
      </c>
      <c r="V8758">
        <f t="shared" si="546"/>
        <v>0</v>
      </c>
      <c r="W8758">
        <f t="shared" si="547"/>
        <v>0</v>
      </c>
    </row>
    <row r="8759" spans="5:23" x14ac:dyDescent="0.25">
      <c r="E8759" s="4"/>
      <c r="F8759" s="4"/>
      <c r="G8759" s="33" t="str">
        <f>IFERROR(VLOOKUP($D8759,'Informations sur les produits'!$A$3:$H$10000,8,FALSE),"0")</f>
        <v>0</v>
      </c>
      <c r="K8759" s="4"/>
      <c r="L8759" s="33" t="str">
        <f>IFERROR(VLOOKUP($J8759,'Informations sur les produits'!$A$3:$H$10000,8,FALSE),"0")</f>
        <v>0</v>
      </c>
      <c r="N8759" s="8"/>
      <c r="O8759" s="33" t="str">
        <f>IFERROR(VLOOKUP($M8759,'Informations sur les produits'!$A$3:$H$10000,8,FALSE),"0")</f>
        <v>0</v>
      </c>
      <c r="P8759" s="33">
        <f t="shared" si="544"/>
        <v>0</v>
      </c>
      <c r="Q8759" s="31" t="str">
        <f t="shared" si="545"/>
        <v/>
      </c>
      <c r="R8759" s="32" t="str">
        <f>IFERROR(VLOOKUP($D8759,'Informations sur les produits'!$A$3:$B$15000,2,FALSE),"")</f>
        <v/>
      </c>
      <c r="V8759">
        <f t="shared" si="546"/>
        <v>0</v>
      </c>
      <c r="W8759">
        <f t="shared" si="547"/>
        <v>0</v>
      </c>
    </row>
    <row r="8760" spans="5:23" x14ac:dyDescent="0.25">
      <c r="E8760" s="4"/>
      <c r="F8760" s="4"/>
      <c r="G8760" s="33" t="str">
        <f>IFERROR(VLOOKUP($D8760,'Informations sur les produits'!$A$3:$H$10000,8,FALSE),"0")</f>
        <v>0</v>
      </c>
      <c r="K8760" s="4"/>
      <c r="L8760" s="33" t="str">
        <f>IFERROR(VLOOKUP($J8760,'Informations sur les produits'!$A$3:$H$10000,8,FALSE),"0")</f>
        <v>0</v>
      </c>
      <c r="N8760" s="8"/>
      <c r="O8760" s="33" t="str">
        <f>IFERROR(VLOOKUP($M8760,'Informations sur les produits'!$A$3:$H$10000,8,FALSE),"0")</f>
        <v>0</v>
      </c>
      <c r="P8760" s="33">
        <f t="shared" si="544"/>
        <v>0</v>
      </c>
      <c r="Q8760" s="31" t="str">
        <f t="shared" si="545"/>
        <v/>
      </c>
      <c r="R8760" s="32" t="str">
        <f>IFERROR(VLOOKUP($D8760,'Informations sur les produits'!$A$3:$B$15000,2,FALSE),"")</f>
        <v/>
      </c>
      <c r="V8760">
        <f t="shared" si="546"/>
        <v>0</v>
      </c>
      <c r="W8760">
        <f t="shared" si="547"/>
        <v>0</v>
      </c>
    </row>
    <row r="8761" spans="5:23" x14ac:dyDescent="0.25">
      <c r="E8761" s="4"/>
      <c r="F8761" s="4"/>
      <c r="G8761" s="33" t="str">
        <f>IFERROR(VLOOKUP($D8761,'Informations sur les produits'!$A$3:$H$10000,8,FALSE),"0")</f>
        <v>0</v>
      </c>
      <c r="K8761" s="4"/>
      <c r="L8761" s="33" t="str">
        <f>IFERROR(VLOOKUP($J8761,'Informations sur les produits'!$A$3:$H$10000,8,FALSE),"0")</f>
        <v>0</v>
      </c>
      <c r="N8761" s="8"/>
      <c r="O8761" s="33" t="str">
        <f>IFERROR(VLOOKUP($M8761,'Informations sur les produits'!$A$3:$H$10000,8,FALSE),"0")</f>
        <v>0</v>
      </c>
      <c r="P8761" s="33">
        <f t="shared" si="544"/>
        <v>0</v>
      </c>
      <c r="Q8761" s="31" t="str">
        <f t="shared" si="545"/>
        <v/>
      </c>
      <c r="R8761" s="32" t="str">
        <f>IFERROR(VLOOKUP($D8761,'Informations sur les produits'!$A$3:$B$15000,2,FALSE),"")</f>
        <v/>
      </c>
      <c r="V8761">
        <f t="shared" si="546"/>
        <v>0</v>
      </c>
      <c r="W8761">
        <f t="shared" si="547"/>
        <v>0</v>
      </c>
    </row>
    <row r="8762" spans="5:23" x14ac:dyDescent="0.25">
      <c r="E8762" s="4"/>
      <c r="F8762" s="4"/>
      <c r="G8762" s="33" t="str">
        <f>IFERROR(VLOOKUP($D8762,'Informations sur les produits'!$A$3:$H$10000,8,FALSE),"0")</f>
        <v>0</v>
      </c>
      <c r="K8762" s="4"/>
      <c r="L8762" s="33" t="str">
        <f>IFERROR(VLOOKUP($J8762,'Informations sur les produits'!$A$3:$H$10000,8,FALSE),"0")</f>
        <v>0</v>
      </c>
      <c r="N8762" s="8"/>
      <c r="O8762" s="33" t="str">
        <f>IFERROR(VLOOKUP($M8762,'Informations sur les produits'!$A$3:$H$10000,8,FALSE),"0")</f>
        <v>0</v>
      </c>
      <c r="P8762" s="33">
        <f t="shared" si="544"/>
        <v>0</v>
      </c>
      <c r="Q8762" s="31" t="str">
        <f t="shared" si="545"/>
        <v/>
      </c>
      <c r="R8762" s="32" t="str">
        <f>IFERROR(VLOOKUP($D8762,'Informations sur les produits'!$A$3:$B$15000,2,FALSE),"")</f>
        <v/>
      </c>
      <c r="V8762">
        <f t="shared" si="546"/>
        <v>0</v>
      </c>
      <c r="W8762">
        <f t="shared" si="547"/>
        <v>0</v>
      </c>
    </row>
    <row r="8763" spans="5:23" x14ac:dyDescent="0.25">
      <c r="E8763" s="4"/>
      <c r="F8763" s="4"/>
      <c r="G8763" s="33" t="str">
        <f>IFERROR(VLOOKUP($D8763,'Informations sur les produits'!$A$3:$H$10000,8,FALSE),"0")</f>
        <v>0</v>
      </c>
      <c r="K8763" s="4"/>
      <c r="L8763" s="33" t="str">
        <f>IFERROR(VLOOKUP($J8763,'Informations sur les produits'!$A$3:$H$10000,8,FALSE),"0")</f>
        <v>0</v>
      </c>
      <c r="N8763" s="8"/>
      <c r="O8763" s="33" t="str">
        <f>IFERROR(VLOOKUP($M8763,'Informations sur les produits'!$A$3:$H$10000,8,FALSE),"0")</f>
        <v>0</v>
      </c>
      <c r="P8763" s="33">
        <f t="shared" si="544"/>
        <v>0</v>
      </c>
      <c r="Q8763" s="31" t="str">
        <f t="shared" si="545"/>
        <v/>
      </c>
      <c r="R8763" s="32" t="str">
        <f>IFERROR(VLOOKUP($D8763,'Informations sur les produits'!$A$3:$B$15000,2,FALSE),"")</f>
        <v/>
      </c>
      <c r="V8763">
        <f t="shared" si="546"/>
        <v>0</v>
      </c>
      <c r="W8763">
        <f t="shared" si="547"/>
        <v>0</v>
      </c>
    </row>
    <row r="8764" spans="5:23" x14ac:dyDescent="0.25">
      <c r="E8764" s="4"/>
      <c r="F8764" s="4"/>
      <c r="G8764" s="33" t="str">
        <f>IFERROR(VLOOKUP($D8764,'Informations sur les produits'!$A$3:$H$10000,8,FALSE),"0")</f>
        <v>0</v>
      </c>
      <c r="K8764" s="4"/>
      <c r="L8764" s="33" t="str">
        <f>IFERROR(VLOOKUP($J8764,'Informations sur les produits'!$A$3:$H$10000,8,FALSE),"0")</f>
        <v>0</v>
      </c>
      <c r="N8764" s="8"/>
      <c r="O8764" s="33" t="str">
        <f>IFERROR(VLOOKUP($M8764,'Informations sur les produits'!$A$3:$H$10000,8,FALSE),"0")</f>
        <v>0</v>
      </c>
      <c r="P8764" s="33">
        <f t="shared" si="544"/>
        <v>0</v>
      </c>
      <c r="Q8764" s="31" t="str">
        <f t="shared" si="545"/>
        <v/>
      </c>
      <c r="R8764" s="32" t="str">
        <f>IFERROR(VLOOKUP($D8764,'Informations sur les produits'!$A$3:$B$15000,2,FALSE),"")</f>
        <v/>
      </c>
      <c r="V8764">
        <f t="shared" si="546"/>
        <v>0</v>
      </c>
      <c r="W8764">
        <f t="shared" si="547"/>
        <v>0</v>
      </c>
    </row>
    <row r="8765" spans="5:23" x14ac:dyDescent="0.25">
      <c r="E8765" s="4"/>
      <c r="F8765" s="4"/>
      <c r="G8765" s="33" t="str">
        <f>IFERROR(VLOOKUP($D8765,'Informations sur les produits'!$A$3:$H$10000,8,FALSE),"0")</f>
        <v>0</v>
      </c>
      <c r="K8765" s="4"/>
      <c r="L8765" s="33" t="str">
        <f>IFERROR(VLOOKUP($J8765,'Informations sur les produits'!$A$3:$H$10000,8,FALSE),"0")</f>
        <v>0</v>
      </c>
      <c r="N8765" s="8"/>
      <c r="O8765" s="33" t="str">
        <f>IFERROR(VLOOKUP($M8765,'Informations sur les produits'!$A$3:$H$10000,8,FALSE),"0")</f>
        <v>0</v>
      </c>
      <c r="P8765" s="33">
        <f t="shared" si="544"/>
        <v>0</v>
      </c>
      <c r="Q8765" s="31" t="str">
        <f t="shared" si="545"/>
        <v/>
      </c>
      <c r="R8765" s="32" t="str">
        <f>IFERROR(VLOOKUP($D8765,'Informations sur les produits'!$A$3:$B$15000,2,FALSE),"")</f>
        <v/>
      </c>
      <c r="V8765">
        <f t="shared" si="546"/>
        <v>0</v>
      </c>
      <c r="W8765">
        <f t="shared" si="547"/>
        <v>0</v>
      </c>
    </row>
    <row r="8766" spans="5:23" x14ac:dyDescent="0.25">
      <c r="E8766" s="4"/>
      <c r="F8766" s="4"/>
      <c r="G8766" s="33" t="str">
        <f>IFERROR(VLOOKUP($D8766,'Informations sur les produits'!$A$3:$H$10000,8,FALSE),"0")</f>
        <v>0</v>
      </c>
      <c r="K8766" s="4"/>
      <c r="L8766" s="33" t="str">
        <f>IFERROR(VLOOKUP($J8766,'Informations sur les produits'!$A$3:$H$10000,8,FALSE),"0")</f>
        <v>0</v>
      </c>
      <c r="N8766" s="8"/>
      <c r="O8766" s="33" t="str">
        <f>IFERROR(VLOOKUP($M8766,'Informations sur les produits'!$A$3:$H$10000,8,FALSE),"0")</f>
        <v>0</v>
      </c>
      <c r="P8766" s="33">
        <f t="shared" si="544"/>
        <v>0</v>
      </c>
      <c r="Q8766" s="31" t="str">
        <f t="shared" si="545"/>
        <v/>
      </c>
      <c r="R8766" s="32" t="str">
        <f>IFERROR(VLOOKUP($D8766,'Informations sur les produits'!$A$3:$B$15000,2,FALSE),"")</f>
        <v/>
      </c>
      <c r="V8766">
        <f t="shared" si="546"/>
        <v>0</v>
      </c>
      <c r="W8766">
        <f t="shared" si="547"/>
        <v>0</v>
      </c>
    </row>
    <row r="8767" spans="5:23" x14ac:dyDescent="0.25">
      <c r="E8767" s="4"/>
      <c r="F8767" s="4"/>
      <c r="G8767" s="33" t="str">
        <f>IFERROR(VLOOKUP($D8767,'Informations sur les produits'!$A$3:$H$10000,8,FALSE),"0")</f>
        <v>0</v>
      </c>
      <c r="K8767" s="4"/>
      <c r="L8767" s="33" t="str">
        <f>IFERROR(VLOOKUP($J8767,'Informations sur les produits'!$A$3:$H$10000,8,FALSE),"0")</f>
        <v>0</v>
      </c>
      <c r="N8767" s="8"/>
      <c r="O8767" s="33" t="str">
        <f>IFERROR(VLOOKUP($M8767,'Informations sur les produits'!$A$3:$H$10000,8,FALSE),"0")</f>
        <v>0</v>
      </c>
      <c r="P8767" s="33">
        <f t="shared" si="544"/>
        <v>0</v>
      </c>
      <c r="Q8767" s="31" t="str">
        <f t="shared" si="545"/>
        <v/>
      </c>
      <c r="R8767" s="32" t="str">
        <f>IFERROR(VLOOKUP($D8767,'Informations sur les produits'!$A$3:$B$15000,2,FALSE),"")</f>
        <v/>
      </c>
      <c r="V8767">
        <f t="shared" si="546"/>
        <v>0</v>
      </c>
      <c r="W8767">
        <f t="shared" si="547"/>
        <v>0</v>
      </c>
    </row>
    <row r="8768" spans="5:23" x14ac:dyDescent="0.25">
      <c r="E8768" s="4"/>
      <c r="F8768" s="4"/>
      <c r="G8768" s="33" t="str">
        <f>IFERROR(VLOOKUP($D8768,'Informations sur les produits'!$A$3:$H$10000,8,FALSE),"0")</f>
        <v>0</v>
      </c>
      <c r="K8768" s="4"/>
      <c r="L8768" s="33" t="str">
        <f>IFERROR(VLOOKUP($J8768,'Informations sur les produits'!$A$3:$H$10000,8,FALSE),"0")</f>
        <v>0</v>
      </c>
      <c r="N8768" s="8"/>
      <c r="O8768" s="33" t="str">
        <f>IFERROR(VLOOKUP($M8768,'Informations sur les produits'!$A$3:$H$10000,8,FALSE),"0")</f>
        <v>0</v>
      </c>
      <c r="P8768" s="33">
        <f t="shared" si="544"/>
        <v>0</v>
      </c>
      <c r="Q8768" s="31" t="str">
        <f t="shared" si="545"/>
        <v/>
      </c>
      <c r="R8768" s="32" t="str">
        <f>IFERROR(VLOOKUP($D8768,'Informations sur les produits'!$A$3:$B$15000,2,FALSE),"")</f>
        <v/>
      </c>
      <c r="V8768">
        <f t="shared" si="546"/>
        <v>0</v>
      </c>
      <c r="W8768">
        <f t="shared" si="547"/>
        <v>0</v>
      </c>
    </row>
    <row r="8769" spans="5:23" x14ac:dyDescent="0.25">
      <c r="E8769" s="4"/>
      <c r="F8769" s="4"/>
      <c r="G8769" s="33" t="str">
        <f>IFERROR(VLOOKUP($D8769,'Informations sur les produits'!$A$3:$H$10000,8,FALSE),"0")</f>
        <v>0</v>
      </c>
      <c r="K8769" s="4"/>
      <c r="L8769" s="33" t="str">
        <f>IFERROR(VLOOKUP($J8769,'Informations sur les produits'!$A$3:$H$10000,8,FALSE),"0")</f>
        <v>0</v>
      </c>
      <c r="N8769" s="8"/>
      <c r="O8769" s="33" t="str">
        <f>IFERROR(VLOOKUP($M8769,'Informations sur les produits'!$A$3:$H$10000,8,FALSE),"0")</f>
        <v>0</v>
      </c>
      <c r="P8769" s="33">
        <f t="shared" si="544"/>
        <v>0</v>
      </c>
      <c r="Q8769" s="31" t="str">
        <f t="shared" si="545"/>
        <v/>
      </c>
      <c r="R8769" s="32" t="str">
        <f>IFERROR(VLOOKUP($D8769,'Informations sur les produits'!$A$3:$B$15000,2,FALSE),"")</f>
        <v/>
      </c>
      <c r="V8769">
        <f t="shared" si="546"/>
        <v>0</v>
      </c>
      <c r="W8769">
        <f t="shared" si="547"/>
        <v>0</v>
      </c>
    </row>
    <row r="8770" spans="5:23" x14ac:dyDescent="0.25">
      <c r="E8770" s="4"/>
      <c r="F8770" s="4"/>
      <c r="G8770" s="33" t="str">
        <f>IFERROR(VLOOKUP($D8770,'Informations sur les produits'!$A$3:$H$10000,8,FALSE),"0")</f>
        <v>0</v>
      </c>
      <c r="K8770" s="4"/>
      <c r="L8770" s="33" t="str">
        <f>IFERROR(VLOOKUP($J8770,'Informations sur les produits'!$A$3:$H$10000,8,FALSE),"0")</f>
        <v>0</v>
      </c>
      <c r="N8770" s="8"/>
      <c r="O8770" s="33" t="str">
        <f>IFERROR(VLOOKUP($M8770,'Informations sur les produits'!$A$3:$H$10000,8,FALSE),"0")</f>
        <v>0</v>
      </c>
      <c r="P8770" s="33">
        <f t="shared" si="544"/>
        <v>0</v>
      </c>
      <c r="Q8770" s="31" t="str">
        <f t="shared" si="545"/>
        <v/>
      </c>
      <c r="R8770" s="32" t="str">
        <f>IFERROR(VLOOKUP($D8770,'Informations sur les produits'!$A$3:$B$15000,2,FALSE),"")</f>
        <v/>
      </c>
      <c r="V8770">
        <f t="shared" si="546"/>
        <v>0</v>
      </c>
      <c r="W8770">
        <f t="shared" si="547"/>
        <v>0</v>
      </c>
    </row>
    <row r="8771" spans="5:23" x14ac:dyDescent="0.25">
      <c r="E8771" s="4"/>
      <c r="F8771" s="4"/>
      <c r="G8771" s="33" t="str">
        <f>IFERROR(VLOOKUP($D8771,'Informations sur les produits'!$A$3:$H$10000,8,FALSE),"0")</f>
        <v>0</v>
      </c>
      <c r="K8771" s="4"/>
      <c r="L8771" s="33" t="str">
        <f>IFERROR(VLOOKUP($J8771,'Informations sur les produits'!$A$3:$H$10000,8,FALSE),"0")</f>
        <v>0</v>
      </c>
      <c r="N8771" s="8"/>
      <c r="O8771" s="33" t="str">
        <f>IFERROR(VLOOKUP($M8771,'Informations sur les produits'!$A$3:$H$10000,8,FALSE),"0")</f>
        <v>0</v>
      </c>
      <c r="P8771" s="33">
        <f t="shared" si="544"/>
        <v>0</v>
      </c>
      <c r="Q8771" s="31" t="str">
        <f t="shared" si="545"/>
        <v/>
      </c>
      <c r="R8771" s="32" t="str">
        <f>IFERROR(VLOOKUP($D8771,'Informations sur les produits'!$A$3:$B$15000,2,FALSE),"")</f>
        <v/>
      </c>
      <c r="V8771">
        <f t="shared" si="546"/>
        <v>0</v>
      </c>
      <c r="W8771">
        <f t="shared" si="547"/>
        <v>0</v>
      </c>
    </row>
    <row r="8772" spans="5:23" x14ac:dyDescent="0.25">
      <c r="E8772" s="4"/>
      <c r="F8772" s="4"/>
      <c r="G8772" s="33" t="str">
        <f>IFERROR(VLOOKUP($D8772,'Informations sur les produits'!$A$3:$H$10000,8,FALSE),"0")</f>
        <v>0</v>
      </c>
      <c r="K8772" s="4"/>
      <c r="L8772" s="33" t="str">
        <f>IFERROR(VLOOKUP($J8772,'Informations sur les produits'!$A$3:$H$10000,8,FALSE),"0")</f>
        <v>0</v>
      </c>
      <c r="N8772" s="8"/>
      <c r="O8772" s="33" t="str">
        <f>IFERROR(VLOOKUP($M8772,'Informations sur les produits'!$A$3:$H$10000,8,FALSE),"0")</f>
        <v>0</v>
      </c>
      <c r="P8772" s="33">
        <f t="shared" ref="P8772:P8835" si="548">IFERROR((($E8772-$F8772)*$G8772+$K8772*$L8772+$N8772*$O8772),"")</f>
        <v>0</v>
      </c>
      <c r="Q8772" s="31" t="str">
        <f t="shared" ref="Q8772:Q8835" si="549">IFERROR((((($E8772-$F8772)*$G8772+$K8772*$L8772+$N8772*$O8772)*1000)/(($E8772-$F8772)+$K8772+$N8772)),"")</f>
        <v/>
      </c>
      <c r="R8772" s="32" t="str">
        <f>IFERROR(VLOOKUP($D8772,'Informations sur les produits'!$A$3:$B$15000,2,FALSE),"")</f>
        <v/>
      </c>
      <c r="V8772">
        <f t="shared" ref="V8772:V8835" si="550">IFERROR(P8772*1000,"")</f>
        <v>0</v>
      </c>
      <c r="W8772">
        <f t="shared" ref="W8772:W8835" si="551">IFERROR(($E8772-$F8772)+$K8772+$N8772,"")</f>
        <v>0</v>
      </c>
    </row>
    <row r="8773" spans="5:23" x14ac:dyDescent="0.25">
      <c r="E8773" s="4"/>
      <c r="F8773" s="4"/>
      <c r="G8773" s="33" t="str">
        <f>IFERROR(VLOOKUP($D8773,'Informations sur les produits'!$A$3:$H$10000,8,FALSE),"0")</f>
        <v>0</v>
      </c>
      <c r="K8773" s="4"/>
      <c r="L8773" s="33" t="str">
        <f>IFERROR(VLOOKUP($J8773,'Informations sur les produits'!$A$3:$H$10000,8,FALSE),"0")</f>
        <v>0</v>
      </c>
      <c r="N8773" s="8"/>
      <c r="O8773" s="33" t="str">
        <f>IFERROR(VLOOKUP($M8773,'Informations sur les produits'!$A$3:$H$10000,8,FALSE),"0")</f>
        <v>0</v>
      </c>
      <c r="P8773" s="33">
        <f t="shared" si="548"/>
        <v>0</v>
      </c>
      <c r="Q8773" s="31" t="str">
        <f t="shared" si="549"/>
        <v/>
      </c>
      <c r="R8773" s="32" t="str">
        <f>IFERROR(VLOOKUP($D8773,'Informations sur les produits'!$A$3:$B$15000,2,FALSE),"")</f>
        <v/>
      </c>
      <c r="V8773">
        <f t="shared" si="550"/>
        <v>0</v>
      </c>
      <c r="W8773">
        <f t="shared" si="551"/>
        <v>0</v>
      </c>
    </row>
    <row r="8774" spans="5:23" x14ac:dyDescent="0.25">
      <c r="E8774" s="4"/>
      <c r="F8774" s="4"/>
      <c r="G8774" s="33" t="str">
        <f>IFERROR(VLOOKUP($D8774,'Informations sur les produits'!$A$3:$H$10000,8,FALSE),"0")</f>
        <v>0</v>
      </c>
      <c r="K8774" s="4"/>
      <c r="L8774" s="33" t="str">
        <f>IFERROR(VLOOKUP($J8774,'Informations sur les produits'!$A$3:$H$10000,8,FALSE),"0")</f>
        <v>0</v>
      </c>
      <c r="N8774" s="8"/>
      <c r="O8774" s="33" t="str">
        <f>IFERROR(VLOOKUP($M8774,'Informations sur les produits'!$A$3:$H$10000,8,FALSE),"0")</f>
        <v>0</v>
      </c>
      <c r="P8774" s="33">
        <f t="shared" si="548"/>
        <v>0</v>
      </c>
      <c r="Q8774" s="31" t="str">
        <f t="shared" si="549"/>
        <v/>
      </c>
      <c r="R8774" s="32" t="str">
        <f>IFERROR(VLOOKUP($D8774,'Informations sur les produits'!$A$3:$B$15000,2,FALSE),"")</f>
        <v/>
      </c>
      <c r="V8774">
        <f t="shared" si="550"/>
        <v>0</v>
      </c>
      <c r="W8774">
        <f t="shared" si="551"/>
        <v>0</v>
      </c>
    </row>
    <row r="8775" spans="5:23" x14ac:dyDescent="0.25">
      <c r="E8775" s="4"/>
      <c r="F8775" s="4"/>
      <c r="G8775" s="33" t="str">
        <f>IFERROR(VLOOKUP($D8775,'Informations sur les produits'!$A$3:$H$10000,8,FALSE),"0")</f>
        <v>0</v>
      </c>
      <c r="K8775" s="4"/>
      <c r="L8775" s="33" t="str">
        <f>IFERROR(VLOOKUP($J8775,'Informations sur les produits'!$A$3:$H$10000,8,FALSE),"0")</f>
        <v>0</v>
      </c>
      <c r="N8775" s="8"/>
      <c r="O8775" s="33" t="str">
        <f>IFERROR(VLOOKUP($M8775,'Informations sur les produits'!$A$3:$H$10000,8,FALSE),"0")</f>
        <v>0</v>
      </c>
      <c r="P8775" s="33">
        <f t="shared" si="548"/>
        <v>0</v>
      </c>
      <c r="Q8775" s="31" t="str">
        <f t="shared" si="549"/>
        <v/>
      </c>
      <c r="R8775" s="32" t="str">
        <f>IFERROR(VLOOKUP($D8775,'Informations sur les produits'!$A$3:$B$15000,2,FALSE),"")</f>
        <v/>
      </c>
      <c r="V8775">
        <f t="shared" si="550"/>
        <v>0</v>
      </c>
      <c r="W8775">
        <f t="shared" si="551"/>
        <v>0</v>
      </c>
    </row>
    <row r="8776" spans="5:23" x14ac:dyDescent="0.25">
      <c r="E8776" s="4"/>
      <c r="F8776" s="4"/>
      <c r="G8776" s="33" t="str">
        <f>IFERROR(VLOOKUP($D8776,'Informations sur les produits'!$A$3:$H$10000,8,FALSE),"0")</f>
        <v>0</v>
      </c>
      <c r="K8776" s="4"/>
      <c r="L8776" s="33" t="str">
        <f>IFERROR(VLOOKUP($J8776,'Informations sur les produits'!$A$3:$H$10000,8,FALSE),"0")</f>
        <v>0</v>
      </c>
      <c r="N8776" s="8"/>
      <c r="O8776" s="33" t="str">
        <f>IFERROR(VLOOKUP($M8776,'Informations sur les produits'!$A$3:$H$10000,8,FALSE),"0")</f>
        <v>0</v>
      </c>
      <c r="P8776" s="33">
        <f t="shared" si="548"/>
        <v>0</v>
      </c>
      <c r="Q8776" s="31" t="str">
        <f t="shared" si="549"/>
        <v/>
      </c>
      <c r="R8776" s="32" t="str">
        <f>IFERROR(VLOOKUP($D8776,'Informations sur les produits'!$A$3:$B$15000,2,FALSE),"")</f>
        <v/>
      </c>
      <c r="V8776">
        <f t="shared" si="550"/>
        <v>0</v>
      </c>
      <c r="W8776">
        <f t="shared" si="551"/>
        <v>0</v>
      </c>
    </row>
    <row r="8777" spans="5:23" x14ac:dyDescent="0.25">
      <c r="E8777" s="4"/>
      <c r="F8777" s="4"/>
      <c r="G8777" s="33" t="str">
        <f>IFERROR(VLOOKUP($D8777,'Informations sur les produits'!$A$3:$H$10000,8,FALSE),"0")</f>
        <v>0</v>
      </c>
      <c r="K8777" s="4"/>
      <c r="L8777" s="33" t="str">
        <f>IFERROR(VLOOKUP($J8777,'Informations sur les produits'!$A$3:$H$10000,8,FALSE),"0")</f>
        <v>0</v>
      </c>
      <c r="N8777" s="8"/>
      <c r="O8777" s="33" t="str">
        <f>IFERROR(VLOOKUP($M8777,'Informations sur les produits'!$A$3:$H$10000,8,FALSE),"0")</f>
        <v>0</v>
      </c>
      <c r="P8777" s="33">
        <f t="shared" si="548"/>
        <v>0</v>
      </c>
      <c r="Q8777" s="31" t="str">
        <f t="shared" si="549"/>
        <v/>
      </c>
      <c r="R8777" s="32" t="str">
        <f>IFERROR(VLOOKUP($D8777,'Informations sur les produits'!$A$3:$B$15000,2,FALSE),"")</f>
        <v/>
      </c>
      <c r="V8777">
        <f t="shared" si="550"/>
        <v>0</v>
      </c>
      <c r="W8777">
        <f t="shared" si="551"/>
        <v>0</v>
      </c>
    </row>
    <row r="8778" spans="5:23" x14ac:dyDescent="0.25">
      <c r="E8778" s="4"/>
      <c r="F8778" s="4"/>
      <c r="G8778" s="33" t="str">
        <f>IFERROR(VLOOKUP($D8778,'Informations sur les produits'!$A$3:$H$10000,8,FALSE),"0")</f>
        <v>0</v>
      </c>
      <c r="K8778" s="4"/>
      <c r="L8778" s="33" t="str">
        <f>IFERROR(VLOOKUP($J8778,'Informations sur les produits'!$A$3:$H$10000,8,FALSE),"0")</f>
        <v>0</v>
      </c>
      <c r="N8778" s="8"/>
      <c r="O8778" s="33" t="str">
        <f>IFERROR(VLOOKUP($M8778,'Informations sur les produits'!$A$3:$H$10000,8,FALSE),"0")</f>
        <v>0</v>
      </c>
      <c r="P8778" s="33">
        <f t="shared" si="548"/>
        <v>0</v>
      </c>
      <c r="Q8778" s="31" t="str">
        <f t="shared" si="549"/>
        <v/>
      </c>
      <c r="R8778" s="32" t="str">
        <f>IFERROR(VLOOKUP($D8778,'Informations sur les produits'!$A$3:$B$15000,2,FALSE),"")</f>
        <v/>
      </c>
      <c r="V8778">
        <f t="shared" si="550"/>
        <v>0</v>
      </c>
      <c r="W8778">
        <f t="shared" si="551"/>
        <v>0</v>
      </c>
    </row>
    <row r="8779" spans="5:23" x14ac:dyDescent="0.25">
      <c r="E8779" s="4"/>
      <c r="F8779" s="4"/>
      <c r="G8779" s="33" t="str">
        <f>IFERROR(VLOOKUP($D8779,'Informations sur les produits'!$A$3:$H$10000,8,FALSE),"0")</f>
        <v>0</v>
      </c>
      <c r="K8779" s="4"/>
      <c r="L8779" s="33" t="str">
        <f>IFERROR(VLOOKUP($J8779,'Informations sur les produits'!$A$3:$H$10000,8,FALSE),"0")</f>
        <v>0</v>
      </c>
      <c r="N8779" s="8"/>
      <c r="O8779" s="33" t="str">
        <f>IFERROR(VLOOKUP($M8779,'Informations sur les produits'!$A$3:$H$10000,8,FALSE),"0")</f>
        <v>0</v>
      </c>
      <c r="P8779" s="33">
        <f t="shared" si="548"/>
        <v>0</v>
      </c>
      <c r="Q8779" s="31" t="str">
        <f t="shared" si="549"/>
        <v/>
      </c>
      <c r="R8779" s="32" t="str">
        <f>IFERROR(VLOOKUP($D8779,'Informations sur les produits'!$A$3:$B$15000,2,FALSE),"")</f>
        <v/>
      </c>
      <c r="V8779">
        <f t="shared" si="550"/>
        <v>0</v>
      </c>
      <c r="W8779">
        <f t="shared" si="551"/>
        <v>0</v>
      </c>
    </row>
    <row r="8780" spans="5:23" x14ac:dyDescent="0.25">
      <c r="E8780" s="4"/>
      <c r="F8780" s="4"/>
      <c r="G8780" s="33" t="str">
        <f>IFERROR(VLOOKUP($D8780,'Informations sur les produits'!$A$3:$H$10000,8,FALSE),"0")</f>
        <v>0</v>
      </c>
      <c r="K8780" s="4"/>
      <c r="L8780" s="33" t="str">
        <f>IFERROR(VLOOKUP($J8780,'Informations sur les produits'!$A$3:$H$10000,8,FALSE),"0")</f>
        <v>0</v>
      </c>
      <c r="N8780" s="8"/>
      <c r="O8780" s="33" t="str">
        <f>IFERROR(VLOOKUP($M8780,'Informations sur les produits'!$A$3:$H$10000,8,FALSE),"0")</f>
        <v>0</v>
      </c>
      <c r="P8780" s="33">
        <f t="shared" si="548"/>
        <v>0</v>
      </c>
      <c r="Q8780" s="31" t="str">
        <f t="shared" si="549"/>
        <v/>
      </c>
      <c r="R8780" s="32" t="str">
        <f>IFERROR(VLOOKUP($D8780,'Informations sur les produits'!$A$3:$B$15000,2,FALSE),"")</f>
        <v/>
      </c>
      <c r="V8780">
        <f t="shared" si="550"/>
        <v>0</v>
      </c>
      <c r="W8780">
        <f t="shared" si="551"/>
        <v>0</v>
      </c>
    </row>
    <row r="8781" spans="5:23" x14ac:dyDescent="0.25">
      <c r="E8781" s="4"/>
      <c r="F8781" s="4"/>
      <c r="G8781" s="33" t="str">
        <f>IFERROR(VLOOKUP($D8781,'Informations sur les produits'!$A$3:$H$10000,8,FALSE),"0")</f>
        <v>0</v>
      </c>
      <c r="K8781" s="4"/>
      <c r="L8781" s="33" t="str">
        <f>IFERROR(VLOOKUP($J8781,'Informations sur les produits'!$A$3:$H$10000,8,FALSE),"0")</f>
        <v>0</v>
      </c>
      <c r="N8781" s="8"/>
      <c r="O8781" s="33" t="str">
        <f>IFERROR(VLOOKUP($M8781,'Informations sur les produits'!$A$3:$H$10000,8,FALSE),"0")</f>
        <v>0</v>
      </c>
      <c r="P8781" s="33">
        <f t="shared" si="548"/>
        <v>0</v>
      </c>
      <c r="Q8781" s="31" t="str">
        <f t="shared" si="549"/>
        <v/>
      </c>
      <c r="R8781" s="32" t="str">
        <f>IFERROR(VLOOKUP($D8781,'Informations sur les produits'!$A$3:$B$15000,2,FALSE),"")</f>
        <v/>
      </c>
      <c r="V8781">
        <f t="shared" si="550"/>
        <v>0</v>
      </c>
      <c r="W8781">
        <f t="shared" si="551"/>
        <v>0</v>
      </c>
    </row>
    <row r="8782" spans="5:23" x14ac:dyDescent="0.25">
      <c r="E8782" s="4"/>
      <c r="F8782" s="4"/>
      <c r="G8782" s="33" t="str">
        <f>IFERROR(VLOOKUP($D8782,'Informations sur les produits'!$A$3:$H$10000,8,FALSE),"0")</f>
        <v>0</v>
      </c>
      <c r="K8782" s="4"/>
      <c r="L8782" s="33" t="str">
        <f>IFERROR(VLOOKUP($J8782,'Informations sur les produits'!$A$3:$H$10000,8,FALSE),"0")</f>
        <v>0</v>
      </c>
      <c r="N8782" s="8"/>
      <c r="O8782" s="33" t="str">
        <f>IFERROR(VLOOKUP($M8782,'Informations sur les produits'!$A$3:$H$10000,8,FALSE),"0")</f>
        <v>0</v>
      </c>
      <c r="P8782" s="33">
        <f t="shared" si="548"/>
        <v>0</v>
      </c>
      <c r="Q8782" s="31" t="str">
        <f t="shared" si="549"/>
        <v/>
      </c>
      <c r="R8782" s="32" t="str">
        <f>IFERROR(VLOOKUP($D8782,'Informations sur les produits'!$A$3:$B$15000,2,FALSE),"")</f>
        <v/>
      </c>
      <c r="V8782">
        <f t="shared" si="550"/>
        <v>0</v>
      </c>
      <c r="W8782">
        <f t="shared" si="551"/>
        <v>0</v>
      </c>
    </row>
    <row r="8783" spans="5:23" x14ac:dyDescent="0.25">
      <c r="E8783" s="4"/>
      <c r="F8783" s="4"/>
      <c r="G8783" s="33" t="str">
        <f>IFERROR(VLOOKUP($D8783,'Informations sur les produits'!$A$3:$H$10000,8,FALSE),"0")</f>
        <v>0</v>
      </c>
      <c r="K8783" s="4"/>
      <c r="L8783" s="33" t="str">
        <f>IFERROR(VLOOKUP($J8783,'Informations sur les produits'!$A$3:$H$10000,8,FALSE),"0")</f>
        <v>0</v>
      </c>
      <c r="N8783" s="8"/>
      <c r="O8783" s="33" t="str">
        <f>IFERROR(VLOOKUP($M8783,'Informations sur les produits'!$A$3:$H$10000,8,FALSE),"0")</f>
        <v>0</v>
      </c>
      <c r="P8783" s="33">
        <f t="shared" si="548"/>
        <v>0</v>
      </c>
      <c r="Q8783" s="31" t="str">
        <f t="shared" si="549"/>
        <v/>
      </c>
      <c r="R8783" s="32" t="str">
        <f>IFERROR(VLOOKUP($D8783,'Informations sur les produits'!$A$3:$B$15000,2,FALSE),"")</f>
        <v/>
      </c>
      <c r="V8783">
        <f t="shared" si="550"/>
        <v>0</v>
      </c>
      <c r="W8783">
        <f t="shared" si="551"/>
        <v>0</v>
      </c>
    </row>
    <row r="8784" spans="5:23" x14ac:dyDescent="0.25">
      <c r="E8784" s="4"/>
      <c r="F8784" s="4"/>
      <c r="G8784" s="33" t="str">
        <f>IFERROR(VLOOKUP($D8784,'Informations sur les produits'!$A$3:$H$10000,8,FALSE),"0")</f>
        <v>0</v>
      </c>
      <c r="K8784" s="4"/>
      <c r="L8784" s="33" t="str">
        <f>IFERROR(VLOOKUP($J8784,'Informations sur les produits'!$A$3:$H$10000,8,FALSE),"0")</f>
        <v>0</v>
      </c>
      <c r="N8784" s="8"/>
      <c r="O8784" s="33" t="str">
        <f>IFERROR(VLOOKUP($M8784,'Informations sur les produits'!$A$3:$H$10000,8,FALSE),"0")</f>
        <v>0</v>
      </c>
      <c r="P8784" s="33">
        <f t="shared" si="548"/>
        <v>0</v>
      </c>
      <c r="Q8784" s="31" t="str">
        <f t="shared" si="549"/>
        <v/>
      </c>
      <c r="R8784" s="32" t="str">
        <f>IFERROR(VLOOKUP($D8784,'Informations sur les produits'!$A$3:$B$15000,2,FALSE),"")</f>
        <v/>
      </c>
      <c r="V8784">
        <f t="shared" si="550"/>
        <v>0</v>
      </c>
      <c r="W8784">
        <f t="shared" si="551"/>
        <v>0</v>
      </c>
    </row>
    <row r="8785" spans="5:23" x14ac:dyDescent="0.25">
      <c r="E8785" s="4"/>
      <c r="F8785" s="4"/>
      <c r="G8785" s="33" t="str">
        <f>IFERROR(VLOOKUP($D8785,'Informations sur les produits'!$A$3:$H$10000,8,FALSE),"0")</f>
        <v>0</v>
      </c>
      <c r="K8785" s="4"/>
      <c r="L8785" s="33" t="str">
        <f>IFERROR(VLOOKUP($J8785,'Informations sur les produits'!$A$3:$H$10000,8,FALSE),"0")</f>
        <v>0</v>
      </c>
      <c r="N8785" s="8"/>
      <c r="O8785" s="33" t="str">
        <f>IFERROR(VLOOKUP($M8785,'Informations sur les produits'!$A$3:$H$10000,8,FALSE),"0")</f>
        <v>0</v>
      </c>
      <c r="P8785" s="33">
        <f t="shared" si="548"/>
        <v>0</v>
      </c>
      <c r="Q8785" s="31" t="str">
        <f t="shared" si="549"/>
        <v/>
      </c>
      <c r="R8785" s="32" t="str">
        <f>IFERROR(VLOOKUP($D8785,'Informations sur les produits'!$A$3:$B$15000,2,FALSE),"")</f>
        <v/>
      </c>
      <c r="V8785">
        <f t="shared" si="550"/>
        <v>0</v>
      </c>
      <c r="W8785">
        <f t="shared" si="551"/>
        <v>0</v>
      </c>
    </row>
    <row r="8786" spans="5:23" x14ac:dyDescent="0.25">
      <c r="E8786" s="4"/>
      <c r="F8786" s="4"/>
      <c r="G8786" s="33" t="str">
        <f>IFERROR(VLOOKUP($D8786,'Informations sur les produits'!$A$3:$H$10000,8,FALSE),"0")</f>
        <v>0</v>
      </c>
      <c r="K8786" s="4"/>
      <c r="L8786" s="33" t="str">
        <f>IFERROR(VLOOKUP($J8786,'Informations sur les produits'!$A$3:$H$10000,8,FALSE),"0")</f>
        <v>0</v>
      </c>
      <c r="N8786" s="8"/>
      <c r="O8786" s="33" t="str">
        <f>IFERROR(VLOOKUP($M8786,'Informations sur les produits'!$A$3:$H$10000,8,FALSE),"0")</f>
        <v>0</v>
      </c>
      <c r="P8786" s="33">
        <f t="shared" si="548"/>
        <v>0</v>
      </c>
      <c r="Q8786" s="31" t="str">
        <f t="shared" si="549"/>
        <v/>
      </c>
      <c r="R8786" s="32" t="str">
        <f>IFERROR(VLOOKUP($D8786,'Informations sur les produits'!$A$3:$B$15000,2,FALSE),"")</f>
        <v/>
      </c>
      <c r="V8786">
        <f t="shared" si="550"/>
        <v>0</v>
      </c>
      <c r="W8786">
        <f t="shared" si="551"/>
        <v>0</v>
      </c>
    </row>
    <row r="8787" spans="5:23" x14ac:dyDescent="0.25">
      <c r="E8787" s="4"/>
      <c r="F8787" s="4"/>
      <c r="G8787" s="33" t="str">
        <f>IFERROR(VLOOKUP($D8787,'Informations sur les produits'!$A$3:$H$10000,8,FALSE),"0")</f>
        <v>0</v>
      </c>
      <c r="K8787" s="4"/>
      <c r="L8787" s="33" t="str">
        <f>IFERROR(VLOOKUP($J8787,'Informations sur les produits'!$A$3:$H$10000,8,FALSE),"0")</f>
        <v>0</v>
      </c>
      <c r="N8787" s="8"/>
      <c r="O8787" s="33" t="str">
        <f>IFERROR(VLOOKUP($M8787,'Informations sur les produits'!$A$3:$H$10000,8,FALSE),"0")</f>
        <v>0</v>
      </c>
      <c r="P8787" s="33">
        <f t="shared" si="548"/>
        <v>0</v>
      </c>
      <c r="Q8787" s="31" t="str">
        <f t="shared" si="549"/>
        <v/>
      </c>
      <c r="R8787" s="32" t="str">
        <f>IFERROR(VLOOKUP($D8787,'Informations sur les produits'!$A$3:$B$15000,2,FALSE),"")</f>
        <v/>
      </c>
      <c r="V8787">
        <f t="shared" si="550"/>
        <v>0</v>
      </c>
      <c r="W8787">
        <f t="shared" si="551"/>
        <v>0</v>
      </c>
    </row>
    <row r="8788" spans="5:23" x14ac:dyDescent="0.25">
      <c r="E8788" s="4"/>
      <c r="F8788" s="4"/>
      <c r="G8788" s="33" t="str">
        <f>IFERROR(VLOOKUP($D8788,'Informations sur les produits'!$A$3:$H$10000,8,FALSE),"0")</f>
        <v>0</v>
      </c>
      <c r="K8788" s="4"/>
      <c r="L8788" s="33" t="str">
        <f>IFERROR(VLOOKUP($J8788,'Informations sur les produits'!$A$3:$H$10000,8,FALSE),"0")</f>
        <v>0</v>
      </c>
      <c r="N8788" s="8"/>
      <c r="O8788" s="33" t="str">
        <f>IFERROR(VLOOKUP($M8788,'Informations sur les produits'!$A$3:$H$10000,8,FALSE),"0")</f>
        <v>0</v>
      </c>
      <c r="P8788" s="33">
        <f t="shared" si="548"/>
        <v>0</v>
      </c>
      <c r="Q8788" s="31" t="str">
        <f t="shared" si="549"/>
        <v/>
      </c>
      <c r="R8788" s="32" t="str">
        <f>IFERROR(VLOOKUP($D8788,'Informations sur les produits'!$A$3:$B$15000,2,FALSE),"")</f>
        <v/>
      </c>
      <c r="V8788">
        <f t="shared" si="550"/>
        <v>0</v>
      </c>
      <c r="W8788">
        <f t="shared" si="551"/>
        <v>0</v>
      </c>
    </row>
    <row r="8789" spans="5:23" x14ac:dyDescent="0.25">
      <c r="E8789" s="4"/>
      <c r="F8789" s="4"/>
      <c r="G8789" s="33" t="str">
        <f>IFERROR(VLOOKUP($D8789,'Informations sur les produits'!$A$3:$H$10000,8,FALSE),"0")</f>
        <v>0</v>
      </c>
      <c r="K8789" s="4"/>
      <c r="L8789" s="33" t="str">
        <f>IFERROR(VLOOKUP($J8789,'Informations sur les produits'!$A$3:$H$10000,8,FALSE),"0")</f>
        <v>0</v>
      </c>
      <c r="N8789" s="8"/>
      <c r="O8789" s="33" t="str">
        <f>IFERROR(VLOOKUP($M8789,'Informations sur les produits'!$A$3:$H$10000,8,FALSE),"0")</f>
        <v>0</v>
      </c>
      <c r="P8789" s="33">
        <f t="shared" si="548"/>
        <v>0</v>
      </c>
      <c r="Q8789" s="31" t="str">
        <f t="shared" si="549"/>
        <v/>
      </c>
      <c r="R8789" s="32" t="str">
        <f>IFERROR(VLOOKUP($D8789,'Informations sur les produits'!$A$3:$B$15000,2,FALSE),"")</f>
        <v/>
      </c>
      <c r="V8789">
        <f t="shared" si="550"/>
        <v>0</v>
      </c>
      <c r="W8789">
        <f t="shared" si="551"/>
        <v>0</v>
      </c>
    </row>
    <row r="8790" spans="5:23" x14ac:dyDescent="0.25">
      <c r="E8790" s="4"/>
      <c r="F8790" s="4"/>
      <c r="G8790" s="33" t="str">
        <f>IFERROR(VLOOKUP($D8790,'Informations sur les produits'!$A$3:$H$10000,8,FALSE),"0")</f>
        <v>0</v>
      </c>
      <c r="K8790" s="4"/>
      <c r="L8790" s="33" t="str">
        <f>IFERROR(VLOOKUP($J8790,'Informations sur les produits'!$A$3:$H$10000,8,FALSE),"0")</f>
        <v>0</v>
      </c>
      <c r="N8790" s="8"/>
      <c r="O8790" s="33" t="str">
        <f>IFERROR(VLOOKUP($M8790,'Informations sur les produits'!$A$3:$H$10000,8,FALSE),"0")</f>
        <v>0</v>
      </c>
      <c r="P8790" s="33">
        <f t="shared" si="548"/>
        <v>0</v>
      </c>
      <c r="Q8790" s="31" t="str">
        <f t="shared" si="549"/>
        <v/>
      </c>
      <c r="R8790" s="32" t="str">
        <f>IFERROR(VLOOKUP($D8790,'Informations sur les produits'!$A$3:$B$15000,2,FALSE),"")</f>
        <v/>
      </c>
      <c r="V8790">
        <f t="shared" si="550"/>
        <v>0</v>
      </c>
      <c r="W8790">
        <f t="shared" si="551"/>
        <v>0</v>
      </c>
    </row>
    <row r="8791" spans="5:23" x14ac:dyDescent="0.25">
      <c r="E8791" s="4"/>
      <c r="F8791" s="4"/>
      <c r="G8791" s="33" t="str">
        <f>IFERROR(VLOOKUP($D8791,'Informations sur les produits'!$A$3:$H$10000,8,FALSE),"0")</f>
        <v>0</v>
      </c>
      <c r="K8791" s="4"/>
      <c r="L8791" s="33" t="str">
        <f>IFERROR(VLOOKUP($J8791,'Informations sur les produits'!$A$3:$H$10000,8,FALSE),"0")</f>
        <v>0</v>
      </c>
      <c r="N8791" s="8"/>
      <c r="O8791" s="33" t="str">
        <f>IFERROR(VLOOKUP($M8791,'Informations sur les produits'!$A$3:$H$10000,8,FALSE),"0")</f>
        <v>0</v>
      </c>
      <c r="P8791" s="33">
        <f t="shared" si="548"/>
        <v>0</v>
      </c>
      <c r="Q8791" s="31" t="str">
        <f t="shared" si="549"/>
        <v/>
      </c>
      <c r="R8791" s="32" t="str">
        <f>IFERROR(VLOOKUP($D8791,'Informations sur les produits'!$A$3:$B$15000,2,FALSE),"")</f>
        <v/>
      </c>
      <c r="V8791">
        <f t="shared" si="550"/>
        <v>0</v>
      </c>
      <c r="W8791">
        <f t="shared" si="551"/>
        <v>0</v>
      </c>
    </row>
    <row r="8792" spans="5:23" x14ac:dyDescent="0.25">
      <c r="E8792" s="4"/>
      <c r="F8792" s="4"/>
      <c r="G8792" s="33" t="str">
        <f>IFERROR(VLOOKUP($D8792,'Informations sur les produits'!$A$3:$H$10000,8,FALSE),"0")</f>
        <v>0</v>
      </c>
      <c r="K8792" s="4"/>
      <c r="L8792" s="33" t="str">
        <f>IFERROR(VLOOKUP($J8792,'Informations sur les produits'!$A$3:$H$10000,8,FALSE),"0")</f>
        <v>0</v>
      </c>
      <c r="N8792" s="8"/>
      <c r="O8792" s="33" t="str">
        <f>IFERROR(VLOOKUP($M8792,'Informations sur les produits'!$A$3:$H$10000,8,FALSE),"0")</f>
        <v>0</v>
      </c>
      <c r="P8792" s="33">
        <f t="shared" si="548"/>
        <v>0</v>
      </c>
      <c r="Q8792" s="31" t="str">
        <f t="shared" si="549"/>
        <v/>
      </c>
      <c r="R8792" s="32" t="str">
        <f>IFERROR(VLOOKUP($D8792,'Informations sur les produits'!$A$3:$B$15000,2,FALSE),"")</f>
        <v/>
      </c>
      <c r="V8792">
        <f t="shared" si="550"/>
        <v>0</v>
      </c>
      <c r="W8792">
        <f t="shared" si="551"/>
        <v>0</v>
      </c>
    </row>
    <row r="8793" spans="5:23" x14ac:dyDescent="0.25">
      <c r="E8793" s="4"/>
      <c r="F8793" s="4"/>
      <c r="G8793" s="33" t="str">
        <f>IFERROR(VLOOKUP($D8793,'Informations sur les produits'!$A$3:$H$10000,8,FALSE),"0")</f>
        <v>0</v>
      </c>
      <c r="K8793" s="4"/>
      <c r="L8793" s="33" t="str">
        <f>IFERROR(VLOOKUP($J8793,'Informations sur les produits'!$A$3:$H$10000,8,FALSE),"0")</f>
        <v>0</v>
      </c>
      <c r="N8793" s="8"/>
      <c r="O8793" s="33" t="str">
        <f>IFERROR(VLOOKUP($M8793,'Informations sur les produits'!$A$3:$H$10000,8,FALSE),"0")</f>
        <v>0</v>
      </c>
      <c r="P8793" s="33">
        <f t="shared" si="548"/>
        <v>0</v>
      </c>
      <c r="Q8793" s="31" t="str">
        <f t="shared" si="549"/>
        <v/>
      </c>
      <c r="R8793" s="32" t="str">
        <f>IFERROR(VLOOKUP($D8793,'Informations sur les produits'!$A$3:$B$15000,2,FALSE),"")</f>
        <v/>
      </c>
      <c r="V8793">
        <f t="shared" si="550"/>
        <v>0</v>
      </c>
      <c r="W8793">
        <f t="shared" si="551"/>
        <v>0</v>
      </c>
    </row>
    <row r="8794" spans="5:23" x14ac:dyDescent="0.25">
      <c r="E8794" s="4"/>
      <c r="F8794" s="4"/>
      <c r="G8794" s="33" t="str">
        <f>IFERROR(VLOOKUP($D8794,'Informations sur les produits'!$A$3:$H$10000,8,FALSE),"0")</f>
        <v>0</v>
      </c>
      <c r="K8794" s="4"/>
      <c r="L8794" s="33" t="str">
        <f>IFERROR(VLOOKUP($J8794,'Informations sur les produits'!$A$3:$H$10000,8,FALSE),"0")</f>
        <v>0</v>
      </c>
      <c r="N8794" s="8"/>
      <c r="O8794" s="33" t="str">
        <f>IFERROR(VLOOKUP($M8794,'Informations sur les produits'!$A$3:$H$10000,8,FALSE),"0")</f>
        <v>0</v>
      </c>
      <c r="P8794" s="33">
        <f t="shared" si="548"/>
        <v>0</v>
      </c>
      <c r="Q8794" s="31" t="str">
        <f t="shared" si="549"/>
        <v/>
      </c>
      <c r="R8794" s="32" t="str">
        <f>IFERROR(VLOOKUP($D8794,'Informations sur les produits'!$A$3:$B$15000,2,FALSE),"")</f>
        <v/>
      </c>
      <c r="V8794">
        <f t="shared" si="550"/>
        <v>0</v>
      </c>
      <c r="W8794">
        <f t="shared" si="551"/>
        <v>0</v>
      </c>
    </row>
    <row r="8795" spans="5:23" x14ac:dyDescent="0.25">
      <c r="E8795" s="4"/>
      <c r="F8795" s="4"/>
      <c r="G8795" s="33" t="str">
        <f>IFERROR(VLOOKUP($D8795,'Informations sur les produits'!$A$3:$H$10000,8,FALSE),"0")</f>
        <v>0</v>
      </c>
      <c r="K8795" s="4"/>
      <c r="L8795" s="33" t="str">
        <f>IFERROR(VLOOKUP($J8795,'Informations sur les produits'!$A$3:$H$10000,8,FALSE),"0")</f>
        <v>0</v>
      </c>
      <c r="N8795" s="8"/>
      <c r="O8795" s="33" t="str">
        <f>IFERROR(VLOOKUP($M8795,'Informations sur les produits'!$A$3:$H$10000,8,FALSE),"0")</f>
        <v>0</v>
      </c>
      <c r="P8795" s="33">
        <f t="shared" si="548"/>
        <v>0</v>
      </c>
      <c r="Q8795" s="31" t="str">
        <f t="shared" si="549"/>
        <v/>
      </c>
      <c r="R8795" s="32" t="str">
        <f>IFERROR(VLOOKUP($D8795,'Informations sur les produits'!$A$3:$B$15000,2,FALSE),"")</f>
        <v/>
      </c>
      <c r="V8795">
        <f t="shared" si="550"/>
        <v>0</v>
      </c>
      <c r="W8795">
        <f t="shared" si="551"/>
        <v>0</v>
      </c>
    </row>
    <row r="8796" spans="5:23" x14ac:dyDescent="0.25">
      <c r="E8796" s="4"/>
      <c r="F8796" s="4"/>
      <c r="G8796" s="33" t="str">
        <f>IFERROR(VLOOKUP($D8796,'Informations sur les produits'!$A$3:$H$10000,8,FALSE),"0")</f>
        <v>0</v>
      </c>
      <c r="K8796" s="4"/>
      <c r="L8796" s="33" t="str">
        <f>IFERROR(VLOOKUP($J8796,'Informations sur les produits'!$A$3:$H$10000,8,FALSE),"0")</f>
        <v>0</v>
      </c>
      <c r="N8796" s="8"/>
      <c r="O8796" s="33" t="str">
        <f>IFERROR(VLOOKUP($M8796,'Informations sur les produits'!$A$3:$H$10000,8,FALSE),"0")</f>
        <v>0</v>
      </c>
      <c r="P8796" s="33">
        <f t="shared" si="548"/>
        <v>0</v>
      </c>
      <c r="Q8796" s="31" t="str">
        <f t="shared" si="549"/>
        <v/>
      </c>
      <c r="R8796" s="32" t="str">
        <f>IFERROR(VLOOKUP($D8796,'Informations sur les produits'!$A$3:$B$15000,2,FALSE),"")</f>
        <v/>
      </c>
      <c r="V8796">
        <f t="shared" si="550"/>
        <v>0</v>
      </c>
      <c r="W8796">
        <f t="shared" si="551"/>
        <v>0</v>
      </c>
    </row>
    <row r="8797" spans="5:23" x14ac:dyDescent="0.25">
      <c r="E8797" s="4"/>
      <c r="F8797" s="4"/>
      <c r="G8797" s="33" t="str">
        <f>IFERROR(VLOOKUP($D8797,'Informations sur les produits'!$A$3:$H$10000,8,FALSE),"0")</f>
        <v>0</v>
      </c>
      <c r="K8797" s="4"/>
      <c r="L8797" s="33" t="str">
        <f>IFERROR(VLOOKUP($J8797,'Informations sur les produits'!$A$3:$H$10000,8,FALSE),"0")</f>
        <v>0</v>
      </c>
      <c r="N8797" s="8"/>
      <c r="O8797" s="33" t="str">
        <f>IFERROR(VLOOKUP($M8797,'Informations sur les produits'!$A$3:$H$10000,8,FALSE),"0")</f>
        <v>0</v>
      </c>
      <c r="P8797" s="33">
        <f t="shared" si="548"/>
        <v>0</v>
      </c>
      <c r="Q8797" s="31" t="str">
        <f t="shared" si="549"/>
        <v/>
      </c>
      <c r="R8797" s="32" t="str">
        <f>IFERROR(VLOOKUP($D8797,'Informations sur les produits'!$A$3:$B$15000,2,FALSE),"")</f>
        <v/>
      </c>
      <c r="V8797">
        <f t="shared" si="550"/>
        <v>0</v>
      </c>
      <c r="W8797">
        <f t="shared" si="551"/>
        <v>0</v>
      </c>
    </row>
    <row r="8798" spans="5:23" x14ac:dyDescent="0.25">
      <c r="E8798" s="4"/>
      <c r="F8798" s="4"/>
      <c r="G8798" s="33" t="str">
        <f>IFERROR(VLOOKUP($D8798,'Informations sur les produits'!$A$3:$H$10000,8,FALSE),"0")</f>
        <v>0</v>
      </c>
      <c r="K8798" s="4"/>
      <c r="L8798" s="33" t="str">
        <f>IFERROR(VLOOKUP($J8798,'Informations sur les produits'!$A$3:$H$10000,8,FALSE),"0")</f>
        <v>0</v>
      </c>
      <c r="N8798" s="8"/>
      <c r="O8798" s="33" t="str">
        <f>IFERROR(VLOOKUP($M8798,'Informations sur les produits'!$A$3:$H$10000,8,FALSE),"0")</f>
        <v>0</v>
      </c>
      <c r="P8798" s="33">
        <f t="shared" si="548"/>
        <v>0</v>
      </c>
      <c r="Q8798" s="31" t="str">
        <f t="shared" si="549"/>
        <v/>
      </c>
      <c r="R8798" s="32" t="str">
        <f>IFERROR(VLOOKUP($D8798,'Informations sur les produits'!$A$3:$B$15000,2,FALSE),"")</f>
        <v/>
      </c>
      <c r="V8798">
        <f t="shared" si="550"/>
        <v>0</v>
      </c>
      <c r="W8798">
        <f t="shared" si="551"/>
        <v>0</v>
      </c>
    </row>
    <row r="8799" spans="5:23" x14ac:dyDescent="0.25">
      <c r="E8799" s="4"/>
      <c r="F8799" s="4"/>
      <c r="G8799" s="33" t="str">
        <f>IFERROR(VLOOKUP($D8799,'Informations sur les produits'!$A$3:$H$10000,8,FALSE),"0")</f>
        <v>0</v>
      </c>
      <c r="K8799" s="4"/>
      <c r="L8799" s="33" t="str">
        <f>IFERROR(VLOOKUP($J8799,'Informations sur les produits'!$A$3:$H$10000,8,FALSE),"0")</f>
        <v>0</v>
      </c>
      <c r="N8799" s="8"/>
      <c r="O8799" s="33" t="str">
        <f>IFERROR(VLOOKUP($M8799,'Informations sur les produits'!$A$3:$H$10000,8,FALSE),"0")</f>
        <v>0</v>
      </c>
      <c r="P8799" s="33">
        <f t="shared" si="548"/>
        <v>0</v>
      </c>
      <c r="Q8799" s="31" t="str">
        <f t="shared" si="549"/>
        <v/>
      </c>
      <c r="R8799" s="32" t="str">
        <f>IFERROR(VLOOKUP($D8799,'Informations sur les produits'!$A$3:$B$15000,2,FALSE),"")</f>
        <v/>
      </c>
      <c r="V8799">
        <f t="shared" si="550"/>
        <v>0</v>
      </c>
      <c r="W8799">
        <f t="shared" si="551"/>
        <v>0</v>
      </c>
    </row>
    <row r="8800" spans="5:23" x14ac:dyDescent="0.25">
      <c r="E8800" s="4"/>
      <c r="F8800" s="4"/>
      <c r="G8800" s="33" t="str">
        <f>IFERROR(VLOOKUP($D8800,'Informations sur les produits'!$A$3:$H$10000,8,FALSE),"0")</f>
        <v>0</v>
      </c>
      <c r="K8800" s="4"/>
      <c r="L8800" s="33" t="str">
        <f>IFERROR(VLOOKUP($J8800,'Informations sur les produits'!$A$3:$H$10000,8,FALSE),"0")</f>
        <v>0</v>
      </c>
      <c r="N8800" s="8"/>
      <c r="O8800" s="33" t="str">
        <f>IFERROR(VLOOKUP($M8800,'Informations sur les produits'!$A$3:$H$10000,8,FALSE),"0")</f>
        <v>0</v>
      </c>
      <c r="P8800" s="33">
        <f t="shared" si="548"/>
        <v>0</v>
      </c>
      <c r="Q8800" s="31" t="str">
        <f t="shared" si="549"/>
        <v/>
      </c>
      <c r="R8800" s="32" t="str">
        <f>IFERROR(VLOOKUP($D8800,'Informations sur les produits'!$A$3:$B$15000,2,FALSE),"")</f>
        <v/>
      </c>
      <c r="V8800">
        <f t="shared" si="550"/>
        <v>0</v>
      </c>
      <c r="W8800">
        <f t="shared" si="551"/>
        <v>0</v>
      </c>
    </row>
    <row r="8801" spans="5:23" x14ac:dyDescent="0.25">
      <c r="E8801" s="4"/>
      <c r="F8801" s="4"/>
      <c r="G8801" s="33" t="str">
        <f>IFERROR(VLOOKUP($D8801,'Informations sur les produits'!$A$3:$H$10000,8,FALSE),"0")</f>
        <v>0</v>
      </c>
      <c r="K8801" s="4"/>
      <c r="L8801" s="33" t="str">
        <f>IFERROR(VLOOKUP($J8801,'Informations sur les produits'!$A$3:$H$10000,8,FALSE),"0")</f>
        <v>0</v>
      </c>
      <c r="N8801" s="8"/>
      <c r="O8801" s="33" t="str">
        <f>IFERROR(VLOOKUP($M8801,'Informations sur les produits'!$A$3:$H$10000,8,FALSE),"0")</f>
        <v>0</v>
      </c>
      <c r="P8801" s="33">
        <f t="shared" si="548"/>
        <v>0</v>
      </c>
      <c r="Q8801" s="31" t="str">
        <f t="shared" si="549"/>
        <v/>
      </c>
      <c r="R8801" s="32" t="str">
        <f>IFERROR(VLOOKUP($D8801,'Informations sur les produits'!$A$3:$B$15000,2,FALSE),"")</f>
        <v/>
      </c>
      <c r="V8801">
        <f t="shared" si="550"/>
        <v>0</v>
      </c>
      <c r="W8801">
        <f t="shared" si="551"/>
        <v>0</v>
      </c>
    </row>
    <row r="8802" spans="5:23" x14ac:dyDescent="0.25">
      <c r="E8802" s="4"/>
      <c r="F8802" s="4"/>
      <c r="G8802" s="33" t="str">
        <f>IFERROR(VLOOKUP($D8802,'Informations sur les produits'!$A$3:$H$10000,8,FALSE),"0")</f>
        <v>0</v>
      </c>
      <c r="K8802" s="4"/>
      <c r="L8802" s="33" t="str">
        <f>IFERROR(VLOOKUP($J8802,'Informations sur les produits'!$A$3:$H$10000,8,FALSE),"0")</f>
        <v>0</v>
      </c>
      <c r="N8802" s="8"/>
      <c r="O8802" s="33" t="str">
        <f>IFERROR(VLOOKUP($M8802,'Informations sur les produits'!$A$3:$H$10000,8,FALSE),"0")</f>
        <v>0</v>
      </c>
      <c r="P8802" s="33">
        <f t="shared" si="548"/>
        <v>0</v>
      </c>
      <c r="Q8802" s="31" t="str">
        <f t="shared" si="549"/>
        <v/>
      </c>
      <c r="R8802" s="32" t="str">
        <f>IFERROR(VLOOKUP($D8802,'Informations sur les produits'!$A$3:$B$15000,2,FALSE),"")</f>
        <v/>
      </c>
      <c r="V8802">
        <f t="shared" si="550"/>
        <v>0</v>
      </c>
      <c r="W8802">
        <f t="shared" si="551"/>
        <v>0</v>
      </c>
    </row>
    <row r="8803" spans="5:23" x14ac:dyDescent="0.25">
      <c r="E8803" s="4"/>
      <c r="F8803" s="4"/>
      <c r="G8803" s="33" t="str">
        <f>IFERROR(VLOOKUP($D8803,'Informations sur les produits'!$A$3:$H$10000,8,FALSE),"0")</f>
        <v>0</v>
      </c>
      <c r="K8803" s="4"/>
      <c r="L8803" s="33" t="str">
        <f>IFERROR(VLOOKUP($J8803,'Informations sur les produits'!$A$3:$H$10000,8,FALSE),"0")</f>
        <v>0</v>
      </c>
      <c r="N8803" s="8"/>
      <c r="O8803" s="33" t="str">
        <f>IFERROR(VLOOKUP($M8803,'Informations sur les produits'!$A$3:$H$10000,8,FALSE),"0")</f>
        <v>0</v>
      </c>
      <c r="P8803" s="33">
        <f t="shared" si="548"/>
        <v>0</v>
      </c>
      <c r="Q8803" s="31" t="str">
        <f t="shared" si="549"/>
        <v/>
      </c>
      <c r="R8803" s="32" t="str">
        <f>IFERROR(VLOOKUP($D8803,'Informations sur les produits'!$A$3:$B$15000,2,FALSE),"")</f>
        <v/>
      </c>
      <c r="V8803">
        <f t="shared" si="550"/>
        <v>0</v>
      </c>
      <c r="W8803">
        <f t="shared" si="551"/>
        <v>0</v>
      </c>
    </row>
    <row r="8804" spans="5:23" x14ac:dyDescent="0.25">
      <c r="E8804" s="4"/>
      <c r="F8804" s="4"/>
      <c r="G8804" s="33" t="str">
        <f>IFERROR(VLOOKUP($D8804,'Informations sur les produits'!$A$3:$H$10000,8,FALSE),"0")</f>
        <v>0</v>
      </c>
      <c r="K8804" s="4"/>
      <c r="L8804" s="33" t="str">
        <f>IFERROR(VLOOKUP($J8804,'Informations sur les produits'!$A$3:$H$10000,8,FALSE),"0")</f>
        <v>0</v>
      </c>
      <c r="N8804" s="8"/>
      <c r="O8804" s="33" t="str">
        <f>IFERROR(VLOOKUP($M8804,'Informations sur les produits'!$A$3:$H$10000,8,FALSE),"0")</f>
        <v>0</v>
      </c>
      <c r="P8804" s="33">
        <f t="shared" si="548"/>
        <v>0</v>
      </c>
      <c r="Q8804" s="31" t="str">
        <f t="shared" si="549"/>
        <v/>
      </c>
      <c r="R8804" s="32" t="str">
        <f>IFERROR(VLOOKUP($D8804,'Informations sur les produits'!$A$3:$B$15000,2,FALSE),"")</f>
        <v/>
      </c>
      <c r="V8804">
        <f t="shared" si="550"/>
        <v>0</v>
      </c>
      <c r="W8804">
        <f t="shared" si="551"/>
        <v>0</v>
      </c>
    </row>
    <row r="8805" spans="5:23" x14ac:dyDescent="0.25">
      <c r="E8805" s="4"/>
      <c r="F8805" s="4"/>
      <c r="G8805" s="33" t="str">
        <f>IFERROR(VLOOKUP($D8805,'Informations sur les produits'!$A$3:$H$10000,8,FALSE),"0")</f>
        <v>0</v>
      </c>
      <c r="K8805" s="4"/>
      <c r="L8805" s="33" t="str">
        <f>IFERROR(VLOOKUP($J8805,'Informations sur les produits'!$A$3:$H$10000,8,FALSE),"0")</f>
        <v>0</v>
      </c>
      <c r="N8805" s="8"/>
      <c r="O8805" s="33" t="str">
        <f>IFERROR(VLOOKUP($M8805,'Informations sur les produits'!$A$3:$H$10000,8,FALSE),"0")</f>
        <v>0</v>
      </c>
      <c r="P8805" s="33">
        <f t="shared" si="548"/>
        <v>0</v>
      </c>
      <c r="Q8805" s="31" t="str">
        <f t="shared" si="549"/>
        <v/>
      </c>
      <c r="R8805" s="32" t="str">
        <f>IFERROR(VLOOKUP($D8805,'Informations sur les produits'!$A$3:$B$15000,2,FALSE),"")</f>
        <v/>
      </c>
      <c r="V8805">
        <f t="shared" si="550"/>
        <v>0</v>
      </c>
      <c r="W8805">
        <f t="shared" si="551"/>
        <v>0</v>
      </c>
    </row>
    <row r="8806" spans="5:23" x14ac:dyDescent="0.25">
      <c r="E8806" s="4"/>
      <c r="F8806" s="4"/>
      <c r="G8806" s="33" t="str">
        <f>IFERROR(VLOOKUP($D8806,'Informations sur les produits'!$A$3:$H$10000,8,FALSE),"0")</f>
        <v>0</v>
      </c>
      <c r="K8806" s="4"/>
      <c r="L8806" s="33" t="str">
        <f>IFERROR(VLOOKUP($J8806,'Informations sur les produits'!$A$3:$H$10000,8,FALSE),"0")</f>
        <v>0</v>
      </c>
      <c r="N8806" s="8"/>
      <c r="O8806" s="33" t="str">
        <f>IFERROR(VLOOKUP($M8806,'Informations sur les produits'!$A$3:$H$10000,8,FALSE),"0")</f>
        <v>0</v>
      </c>
      <c r="P8806" s="33">
        <f t="shared" si="548"/>
        <v>0</v>
      </c>
      <c r="Q8806" s="31" t="str">
        <f t="shared" si="549"/>
        <v/>
      </c>
      <c r="R8806" s="32" t="str">
        <f>IFERROR(VLOOKUP($D8806,'Informations sur les produits'!$A$3:$B$15000,2,FALSE),"")</f>
        <v/>
      </c>
      <c r="V8806">
        <f t="shared" si="550"/>
        <v>0</v>
      </c>
      <c r="W8806">
        <f t="shared" si="551"/>
        <v>0</v>
      </c>
    </row>
    <row r="8807" spans="5:23" x14ac:dyDescent="0.25">
      <c r="E8807" s="4"/>
      <c r="F8807" s="4"/>
      <c r="G8807" s="33" t="str">
        <f>IFERROR(VLOOKUP($D8807,'Informations sur les produits'!$A$3:$H$10000,8,FALSE),"0")</f>
        <v>0</v>
      </c>
      <c r="K8807" s="4"/>
      <c r="L8807" s="33" t="str">
        <f>IFERROR(VLOOKUP($J8807,'Informations sur les produits'!$A$3:$H$10000,8,FALSE),"0")</f>
        <v>0</v>
      </c>
      <c r="N8807" s="8"/>
      <c r="O8807" s="33" t="str">
        <f>IFERROR(VLOOKUP($M8807,'Informations sur les produits'!$A$3:$H$10000,8,FALSE),"0")</f>
        <v>0</v>
      </c>
      <c r="P8807" s="33">
        <f t="shared" si="548"/>
        <v>0</v>
      </c>
      <c r="Q8807" s="31" t="str">
        <f t="shared" si="549"/>
        <v/>
      </c>
      <c r="R8807" s="32" t="str">
        <f>IFERROR(VLOOKUP($D8807,'Informations sur les produits'!$A$3:$B$15000,2,FALSE),"")</f>
        <v/>
      </c>
      <c r="V8807">
        <f t="shared" si="550"/>
        <v>0</v>
      </c>
      <c r="W8807">
        <f t="shared" si="551"/>
        <v>0</v>
      </c>
    </row>
    <row r="8808" spans="5:23" x14ac:dyDescent="0.25">
      <c r="E8808" s="4"/>
      <c r="F8808" s="4"/>
      <c r="G8808" s="33" t="str">
        <f>IFERROR(VLOOKUP($D8808,'Informations sur les produits'!$A$3:$H$10000,8,FALSE),"0")</f>
        <v>0</v>
      </c>
      <c r="K8808" s="4"/>
      <c r="L8808" s="33" t="str">
        <f>IFERROR(VLOOKUP($J8808,'Informations sur les produits'!$A$3:$H$10000,8,FALSE),"0")</f>
        <v>0</v>
      </c>
      <c r="N8808" s="8"/>
      <c r="O8808" s="33" t="str">
        <f>IFERROR(VLOOKUP($M8808,'Informations sur les produits'!$A$3:$H$10000,8,FALSE),"0")</f>
        <v>0</v>
      </c>
      <c r="P8808" s="33">
        <f t="shared" si="548"/>
        <v>0</v>
      </c>
      <c r="Q8808" s="31" t="str">
        <f t="shared" si="549"/>
        <v/>
      </c>
      <c r="R8808" s="32" t="str">
        <f>IFERROR(VLOOKUP($D8808,'Informations sur les produits'!$A$3:$B$15000,2,FALSE),"")</f>
        <v/>
      </c>
      <c r="V8808">
        <f t="shared" si="550"/>
        <v>0</v>
      </c>
      <c r="W8808">
        <f t="shared" si="551"/>
        <v>0</v>
      </c>
    </row>
    <row r="8809" spans="5:23" x14ac:dyDescent="0.25">
      <c r="E8809" s="4"/>
      <c r="F8809" s="4"/>
      <c r="G8809" s="33" t="str">
        <f>IFERROR(VLOOKUP($D8809,'Informations sur les produits'!$A$3:$H$10000,8,FALSE),"0")</f>
        <v>0</v>
      </c>
      <c r="K8809" s="4"/>
      <c r="L8809" s="33" t="str">
        <f>IFERROR(VLOOKUP($J8809,'Informations sur les produits'!$A$3:$H$10000,8,FALSE),"0")</f>
        <v>0</v>
      </c>
      <c r="N8809" s="8"/>
      <c r="O8809" s="33" t="str">
        <f>IFERROR(VLOOKUP($M8809,'Informations sur les produits'!$A$3:$H$10000,8,FALSE),"0")</f>
        <v>0</v>
      </c>
      <c r="P8809" s="33">
        <f t="shared" si="548"/>
        <v>0</v>
      </c>
      <c r="Q8809" s="31" t="str">
        <f t="shared" si="549"/>
        <v/>
      </c>
      <c r="R8809" s="32" t="str">
        <f>IFERROR(VLOOKUP($D8809,'Informations sur les produits'!$A$3:$B$15000,2,FALSE),"")</f>
        <v/>
      </c>
      <c r="V8809">
        <f t="shared" si="550"/>
        <v>0</v>
      </c>
      <c r="W8809">
        <f t="shared" si="551"/>
        <v>0</v>
      </c>
    </row>
    <row r="8810" spans="5:23" x14ac:dyDescent="0.25">
      <c r="E8810" s="4"/>
      <c r="F8810" s="4"/>
      <c r="G8810" s="33" t="str">
        <f>IFERROR(VLOOKUP($D8810,'Informations sur les produits'!$A$3:$H$10000,8,FALSE),"0")</f>
        <v>0</v>
      </c>
      <c r="K8810" s="4"/>
      <c r="L8810" s="33" t="str">
        <f>IFERROR(VLOOKUP($J8810,'Informations sur les produits'!$A$3:$H$10000,8,FALSE),"0")</f>
        <v>0</v>
      </c>
      <c r="N8810" s="8"/>
      <c r="O8810" s="33" t="str">
        <f>IFERROR(VLOOKUP($M8810,'Informations sur les produits'!$A$3:$H$10000,8,FALSE),"0")</f>
        <v>0</v>
      </c>
      <c r="P8810" s="33">
        <f t="shared" si="548"/>
        <v>0</v>
      </c>
      <c r="Q8810" s="31" t="str">
        <f t="shared" si="549"/>
        <v/>
      </c>
      <c r="R8810" s="32" t="str">
        <f>IFERROR(VLOOKUP($D8810,'Informations sur les produits'!$A$3:$B$15000,2,FALSE),"")</f>
        <v/>
      </c>
      <c r="V8810">
        <f t="shared" si="550"/>
        <v>0</v>
      </c>
      <c r="W8810">
        <f t="shared" si="551"/>
        <v>0</v>
      </c>
    </row>
    <row r="8811" spans="5:23" x14ac:dyDescent="0.25">
      <c r="E8811" s="4"/>
      <c r="F8811" s="4"/>
      <c r="G8811" s="33" t="str">
        <f>IFERROR(VLOOKUP($D8811,'Informations sur les produits'!$A$3:$H$10000,8,FALSE),"0")</f>
        <v>0</v>
      </c>
      <c r="K8811" s="4"/>
      <c r="L8811" s="33" t="str">
        <f>IFERROR(VLOOKUP($J8811,'Informations sur les produits'!$A$3:$H$10000,8,FALSE),"0")</f>
        <v>0</v>
      </c>
      <c r="N8811" s="8"/>
      <c r="O8811" s="33" t="str">
        <f>IFERROR(VLOOKUP($M8811,'Informations sur les produits'!$A$3:$H$10000,8,FALSE),"0")</f>
        <v>0</v>
      </c>
      <c r="P8811" s="33">
        <f t="shared" si="548"/>
        <v>0</v>
      </c>
      <c r="Q8811" s="31" t="str">
        <f t="shared" si="549"/>
        <v/>
      </c>
      <c r="R8811" s="32" t="str">
        <f>IFERROR(VLOOKUP($D8811,'Informations sur les produits'!$A$3:$B$15000,2,FALSE),"")</f>
        <v/>
      </c>
      <c r="V8811">
        <f t="shared" si="550"/>
        <v>0</v>
      </c>
      <c r="W8811">
        <f t="shared" si="551"/>
        <v>0</v>
      </c>
    </row>
    <row r="8812" spans="5:23" x14ac:dyDescent="0.25">
      <c r="E8812" s="4"/>
      <c r="F8812" s="4"/>
      <c r="G8812" s="33" t="str">
        <f>IFERROR(VLOOKUP($D8812,'Informations sur les produits'!$A$3:$H$10000,8,FALSE),"0")</f>
        <v>0</v>
      </c>
      <c r="K8812" s="4"/>
      <c r="L8812" s="33" t="str">
        <f>IFERROR(VLOOKUP($J8812,'Informations sur les produits'!$A$3:$H$10000,8,FALSE),"0")</f>
        <v>0</v>
      </c>
      <c r="N8812" s="8"/>
      <c r="O8812" s="33" t="str">
        <f>IFERROR(VLOOKUP($M8812,'Informations sur les produits'!$A$3:$H$10000,8,FALSE),"0")</f>
        <v>0</v>
      </c>
      <c r="P8812" s="33">
        <f t="shared" si="548"/>
        <v>0</v>
      </c>
      <c r="Q8812" s="31" t="str">
        <f t="shared" si="549"/>
        <v/>
      </c>
      <c r="R8812" s="32" t="str">
        <f>IFERROR(VLOOKUP($D8812,'Informations sur les produits'!$A$3:$B$15000,2,FALSE),"")</f>
        <v/>
      </c>
      <c r="V8812">
        <f t="shared" si="550"/>
        <v>0</v>
      </c>
      <c r="W8812">
        <f t="shared" si="551"/>
        <v>0</v>
      </c>
    </row>
    <row r="8813" spans="5:23" x14ac:dyDescent="0.25">
      <c r="E8813" s="4"/>
      <c r="F8813" s="4"/>
      <c r="G8813" s="33" t="str">
        <f>IFERROR(VLOOKUP($D8813,'Informations sur les produits'!$A$3:$H$10000,8,FALSE),"0")</f>
        <v>0</v>
      </c>
      <c r="K8813" s="4"/>
      <c r="L8813" s="33" t="str">
        <f>IFERROR(VLOOKUP($J8813,'Informations sur les produits'!$A$3:$H$10000,8,FALSE),"0")</f>
        <v>0</v>
      </c>
      <c r="N8813" s="8"/>
      <c r="O8813" s="33" t="str">
        <f>IFERROR(VLOOKUP($M8813,'Informations sur les produits'!$A$3:$H$10000,8,FALSE),"0")</f>
        <v>0</v>
      </c>
      <c r="P8813" s="33">
        <f t="shared" si="548"/>
        <v>0</v>
      </c>
      <c r="Q8813" s="31" t="str">
        <f t="shared" si="549"/>
        <v/>
      </c>
      <c r="R8813" s="32" t="str">
        <f>IFERROR(VLOOKUP($D8813,'Informations sur les produits'!$A$3:$B$15000,2,FALSE),"")</f>
        <v/>
      </c>
      <c r="V8813">
        <f t="shared" si="550"/>
        <v>0</v>
      </c>
      <c r="W8813">
        <f t="shared" si="551"/>
        <v>0</v>
      </c>
    </row>
    <row r="8814" spans="5:23" x14ac:dyDescent="0.25">
      <c r="E8814" s="4"/>
      <c r="F8814" s="4"/>
      <c r="G8814" s="33" t="str">
        <f>IFERROR(VLOOKUP($D8814,'Informations sur les produits'!$A$3:$H$10000,8,FALSE),"0")</f>
        <v>0</v>
      </c>
      <c r="K8814" s="4"/>
      <c r="L8814" s="33" t="str">
        <f>IFERROR(VLOOKUP($J8814,'Informations sur les produits'!$A$3:$H$10000,8,FALSE),"0")</f>
        <v>0</v>
      </c>
      <c r="N8814" s="8"/>
      <c r="O8814" s="33" t="str">
        <f>IFERROR(VLOOKUP($M8814,'Informations sur les produits'!$A$3:$H$10000,8,FALSE),"0")</f>
        <v>0</v>
      </c>
      <c r="P8814" s="33">
        <f t="shared" si="548"/>
        <v>0</v>
      </c>
      <c r="Q8814" s="31" t="str">
        <f t="shared" si="549"/>
        <v/>
      </c>
      <c r="R8814" s="32" t="str">
        <f>IFERROR(VLOOKUP($D8814,'Informations sur les produits'!$A$3:$B$15000,2,FALSE),"")</f>
        <v/>
      </c>
      <c r="V8814">
        <f t="shared" si="550"/>
        <v>0</v>
      </c>
      <c r="W8814">
        <f t="shared" si="551"/>
        <v>0</v>
      </c>
    </row>
    <row r="8815" spans="5:23" x14ac:dyDescent="0.25">
      <c r="E8815" s="4"/>
      <c r="F8815" s="4"/>
      <c r="G8815" s="33" t="str">
        <f>IFERROR(VLOOKUP($D8815,'Informations sur les produits'!$A$3:$H$10000,8,FALSE),"0")</f>
        <v>0</v>
      </c>
      <c r="K8815" s="4"/>
      <c r="L8815" s="33" t="str">
        <f>IFERROR(VLOOKUP($J8815,'Informations sur les produits'!$A$3:$H$10000,8,FALSE),"0")</f>
        <v>0</v>
      </c>
      <c r="N8815" s="8"/>
      <c r="O8815" s="33" t="str">
        <f>IFERROR(VLOOKUP($M8815,'Informations sur les produits'!$A$3:$H$10000,8,FALSE),"0")</f>
        <v>0</v>
      </c>
      <c r="P8815" s="33">
        <f t="shared" si="548"/>
        <v>0</v>
      </c>
      <c r="Q8815" s="31" t="str">
        <f t="shared" si="549"/>
        <v/>
      </c>
      <c r="R8815" s="32" t="str">
        <f>IFERROR(VLOOKUP($D8815,'Informations sur les produits'!$A$3:$B$15000,2,FALSE),"")</f>
        <v/>
      </c>
      <c r="V8815">
        <f t="shared" si="550"/>
        <v>0</v>
      </c>
      <c r="W8815">
        <f t="shared" si="551"/>
        <v>0</v>
      </c>
    </row>
    <row r="8816" spans="5:23" x14ac:dyDescent="0.25">
      <c r="E8816" s="4"/>
      <c r="F8816" s="4"/>
      <c r="G8816" s="33" t="str">
        <f>IFERROR(VLOOKUP($D8816,'Informations sur les produits'!$A$3:$H$10000,8,FALSE),"0")</f>
        <v>0</v>
      </c>
      <c r="K8816" s="4"/>
      <c r="L8816" s="33" t="str">
        <f>IFERROR(VLOOKUP($J8816,'Informations sur les produits'!$A$3:$H$10000,8,FALSE),"0")</f>
        <v>0</v>
      </c>
      <c r="N8816" s="8"/>
      <c r="O8816" s="33" t="str">
        <f>IFERROR(VLOOKUP($M8816,'Informations sur les produits'!$A$3:$H$10000,8,FALSE),"0")</f>
        <v>0</v>
      </c>
      <c r="P8816" s="33">
        <f t="shared" si="548"/>
        <v>0</v>
      </c>
      <c r="Q8816" s="31" t="str">
        <f t="shared" si="549"/>
        <v/>
      </c>
      <c r="R8816" s="32" t="str">
        <f>IFERROR(VLOOKUP($D8816,'Informations sur les produits'!$A$3:$B$15000,2,FALSE),"")</f>
        <v/>
      </c>
      <c r="V8816">
        <f t="shared" si="550"/>
        <v>0</v>
      </c>
      <c r="W8816">
        <f t="shared" si="551"/>
        <v>0</v>
      </c>
    </row>
    <row r="8817" spans="5:23" x14ac:dyDescent="0.25">
      <c r="E8817" s="4"/>
      <c r="F8817" s="4"/>
      <c r="G8817" s="33" t="str">
        <f>IFERROR(VLOOKUP($D8817,'Informations sur les produits'!$A$3:$H$10000,8,FALSE),"0")</f>
        <v>0</v>
      </c>
      <c r="K8817" s="4"/>
      <c r="L8817" s="33" t="str">
        <f>IFERROR(VLOOKUP($J8817,'Informations sur les produits'!$A$3:$H$10000,8,FALSE),"0")</f>
        <v>0</v>
      </c>
      <c r="N8817" s="8"/>
      <c r="O8817" s="33" t="str">
        <f>IFERROR(VLOOKUP($M8817,'Informations sur les produits'!$A$3:$H$10000,8,FALSE),"0")</f>
        <v>0</v>
      </c>
      <c r="P8817" s="33">
        <f t="shared" si="548"/>
        <v>0</v>
      </c>
      <c r="Q8817" s="31" t="str">
        <f t="shared" si="549"/>
        <v/>
      </c>
      <c r="R8817" s="32" t="str">
        <f>IFERROR(VLOOKUP($D8817,'Informations sur les produits'!$A$3:$B$15000,2,FALSE),"")</f>
        <v/>
      </c>
      <c r="V8817">
        <f t="shared" si="550"/>
        <v>0</v>
      </c>
      <c r="W8817">
        <f t="shared" si="551"/>
        <v>0</v>
      </c>
    </row>
    <row r="8818" spans="5:23" x14ac:dyDescent="0.25">
      <c r="E8818" s="4"/>
      <c r="F8818" s="4"/>
      <c r="G8818" s="33" t="str">
        <f>IFERROR(VLOOKUP($D8818,'Informations sur les produits'!$A$3:$H$10000,8,FALSE),"0")</f>
        <v>0</v>
      </c>
      <c r="K8818" s="4"/>
      <c r="L8818" s="33" t="str">
        <f>IFERROR(VLOOKUP($J8818,'Informations sur les produits'!$A$3:$H$10000,8,FALSE),"0")</f>
        <v>0</v>
      </c>
      <c r="N8818" s="8"/>
      <c r="O8818" s="33" t="str">
        <f>IFERROR(VLOOKUP($M8818,'Informations sur les produits'!$A$3:$H$10000,8,FALSE),"0")</f>
        <v>0</v>
      </c>
      <c r="P8818" s="33">
        <f t="shared" si="548"/>
        <v>0</v>
      </c>
      <c r="Q8818" s="31" t="str">
        <f t="shared" si="549"/>
        <v/>
      </c>
      <c r="R8818" s="32" t="str">
        <f>IFERROR(VLOOKUP($D8818,'Informations sur les produits'!$A$3:$B$15000,2,FALSE),"")</f>
        <v/>
      </c>
      <c r="V8818">
        <f t="shared" si="550"/>
        <v>0</v>
      </c>
      <c r="W8818">
        <f t="shared" si="551"/>
        <v>0</v>
      </c>
    </row>
    <row r="8819" spans="5:23" x14ac:dyDescent="0.25">
      <c r="E8819" s="4"/>
      <c r="F8819" s="4"/>
      <c r="G8819" s="33" t="str">
        <f>IFERROR(VLOOKUP($D8819,'Informations sur les produits'!$A$3:$H$10000,8,FALSE),"0")</f>
        <v>0</v>
      </c>
      <c r="K8819" s="4"/>
      <c r="L8819" s="33" t="str">
        <f>IFERROR(VLOOKUP($J8819,'Informations sur les produits'!$A$3:$H$10000,8,FALSE),"0")</f>
        <v>0</v>
      </c>
      <c r="N8819" s="8"/>
      <c r="O8819" s="33" t="str">
        <f>IFERROR(VLOOKUP($M8819,'Informations sur les produits'!$A$3:$H$10000,8,FALSE),"0")</f>
        <v>0</v>
      </c>
      <c r="P8819" s="33">
        <f t="shared" si="548"/>
        <v>0</v>
      </c>
      <c r="Q8819" s="31" t="str">
        <f t="shared" si="549"/>
        <v/>
      </c>
      <c r="R8819" s="32" t="str">
        <f>IFERROR(VLOOKUP($D8819,'Informations sur les produits'!$A$3:$B$15000,2,FALSE),"")</f>
        <v/>
      </c>
      <c r="V8819">
        <f t="shared" si="550"/>
        <v>0</v>
      </c>
      <c r="W8819">
        <f t="shared" si="551"/>
        <v>0</v>
      </c>
    </row>
    <row r="8820" spans="5:23" x14ac:dyDescent="0.25">
      <c r="E8820" s="4"/>
      <c r="F8820" s="4"/>
      <c r="G8820" s="33" t="str">
        <f>IFERROR(VLOOKUP($D8820,'Informations sur les produits'!$A$3:$H$10000,8,FALSE),"0")</f>
        <v>0</v>
      </c>
      <c r="K8820" s="4"/>
      <c r="L8820" s="33" t="str">
        <f>IFERROR(VLOOKUP($J8820,'Informations sur les produits'!$A$3:$H$10000,8,FALSE),"0")</f>
        <v>0</v>
      </c>
      <c r="N8820" s="8"/>
      <c r="O8820" s="33" t="str">
        <f>IFERROR(VLOOKUP($M8820,'Informations sur les produits'!$A$3:$H$10000,8,FALSE),"0")</f>
        <v>0</v>
      </c>
      <c r="P8820" s="33">
        <f t="shared" si="548"/>
        <v>0</v>
      </c>
      <c r="Q8820" s="31" t="str">
        <f t="shared" si="549"/>
        <v/>
      </c>
      <c r="R8820" s="32" t="str">
        <f>IFERROR(VLOOKUP($D8820,'Informations sur les produits'!$A$3:$B$15000,2,FALSE),"")</f>
        <v/>
      </c>
      <c r="V8820">
        <f t="shared" si="550"/>
        <v>0</v>
      </c>
      <c r="W8820">
        <f t="shared" si="551"/>
        <v>0</v>
      </c>
    </row>
    <row r="8821" spans="5:23" x14ac:dyDescent="0.25">
      <c r="E8821" s="4"/>
      <c r="F8821" s="4"/>
      <c r="G8821" s="33" t="str">
        <f>IFERROR(VLOOKUP($D8821,'Informations sur les produits'!$A$3:$H$10000,8,FALSE),"0")</f>
        <v>0</v>
      </c>
      <c r="K8821" s="4"/>
      <c r="L8821" s="33" t="str">
        <f>IFERROR(VLOOKUP($J8821,'Informations sur les produits'!$A$3:$H$10000,8,FALSE),"0")</f>
        <v>0</v>
      </c>
      <c r="N8821" s="8"/>
      <c r="O8821" s="33" t="str">
        <f>IFERROR(VLOOKUP($M8821,'Informations sur les produits'!$A$3:$H$10000,8,FALSE),"0")</f>
        <v>0</v>
      </c>
      <c r="P8821" s="33">
        <f t="shared" si="548"/>
        <v>0</v>
      </c>
      <c r="Q8821" s="31" t="str">
        <f t="shared" si="549"/>
        <v/>
      </c>
      <c r="R8821" s="32" t="str">
        <f>IFERROR(VLOOKUP($D8821,'Informations sur les produits'!$A$3:$B$15000,2,FALSE),"")</f>
        <v/>
      </c>
      <c r="V8821">
        <f t="shared" si="550"/>
        <v>0</v>
      </c>
      <c r="W8821">
        <f t="shared" si="551"/>
        <v>0</v>
      </c>
    </row>
    <row r="8822" spans="5:23" x14ac:dyDescent="0.25">
      <c r="E8822" s="4"/>
      <c r="F8822" s="4"/>
      <c r="G8822" s="33" t="str">
        <f>IFERROR(VLOOKUP($D8822,'Informations sur les produits'!$A$3:$H$10000,8,FALSE),"0")</f>
        <v>0</v>
      </c>
      <c r="K8822" s="4"/>
      <c r="L8822" s="33" t="str">
        <f>IFERROR(VLOOKUP($J8822,'Informations sur les produits'!$A$3:$H$10000,8,FALSE),"0")</f>
        <v>0</v>
      </c>
      <c r="N8822" s="8"/>
      <c r="O8822" s="33" t="str">
        <f>IFERROR(VLOOKUP($M8822,'Informations sur les produits'!$A$3:$H$10000,8,FALSE),"0")</f>
        <v>0</v>
      </c>
      <c r="P8822" s="33">
        <f t="shared" si="548"/>
        <v>0</v>
      </c>
      <c r="Q8822" s="31" t="str">
        <f t="shared" si="549"/>
        <v/>
      </c>
      <c r="R8822" s="32" t="str">
        <f>IFERROR(VLOOKUP($D8822,'Informations sur les produits'!$A$3:$B$15000,2,FALSE),"")</f>
        <v/>
      </c>
      <c r="V8822">
        <f t="shared" si="550"/>
        <v>0</v>
      </c>
      <c r="W8822">
        <f t="shared" si="551"/>
        <v>0</v>
      </c>
    </row>
    <row r="8823" spans="5:23" x14ac:dyDescent="0.25">
      <c r="E8823" s="4"/>
      <c r="F8823" s="4"/>
      <c r="G8823" s="33" t="str">
        <f>IFERROR(VLOOKUP($D8823,'Informations sur les produits'!$A$3:$H$10000,8,FALSE),"0")</f>
        <v>0</v>
      </c>
      <c r="K8823" s="4"/>
      <c r="L8823" s="33" t="str">
        <f>IFERROR(VLOOKUP($J8823,'Informations sur les produits'!$A$3:$H$10000,8,FALSE),"0")</f>
        <v>0</v>
      </c>
      <c r="N8823" s="8"/>
      <c r="O8823" s="33" t="str">
        <f>IFERROR(VLOOKUP($M8823,'Informations sur les produits'!$A$3:$H$10000,8,FALSE),"0")</f>
        <v>0</v>
      </c>
      <c r="P8823" s="33">
        <f t="shared" si="548"/>
        <v>0</v>
      </c>
      <c r="Q8823" s="31" t="str">
        <f t="shared" si="549"/>
        <v/>
      </c>
      <c r="R8823" s="32" t="str">
        <f>IFERROR(VLOOKUP($D8823,'Informations sur les produits'!$A$3:$B$15000,2,FALSE),"")</f>
        <v/>
      </c>
      <c r="V8823">
        <f t="shared" si="550"/>
        <v>0</v>
      </c>
      <c r="W8823">
        <f t="shared" si="551"/>
        <v>0</v>
      </c>
    </row>
    <row r="8824" spans="5:23" x14ac:dyDescent="0.25">
      <c r="E8824" s="4"/>
      <c r="F8824" s="4"/>
      <c r="G8824" s="33" t="str">
        <f>IFERROR(VLOOKUP($D8824,'Informations sur les produits'!$A$3:$H$10000,8,FALSE),"0")</f>
        <v>0</v>
      </c>
      <c r="K8824" s="4"/>
      <c r="L8824" s="33" t="str">
        <f>IFERROR(VLOOKUP($J8824,'Informations sur les produits'!$A$3:$H$10000,8,FALSE),"0")</f>
        <v>0</v>
      </c>
      <c r="N8824" s="8"/>
      <c r="O8824" s="33" t="str">
        <f>IFERROR(VLOOKUP($M8824,'Informations sur les produits'!$A$3:$H$10000,8,FALSE),"0")</f>
        <v>0</v>
      </c>
      <c r="P8824" s="33">
        <f t="shared" si="548"/>
        <v>0</v>
      </c>
      <c r="Q8824" s="31" t="str">
        <f t="shared" si="549"/>
        <v/>
      </c>
      <c r="R8824" s="32" t="str">
        <f>IFERROR(VLOOKUP($D8824,'Informations sur les produits'!$A$3:$B$15000,2,FALSE),"")</f>
        <v/>
      </c>
      <c r="V8824">
        <f t="shared" si="550"/>
        <v>0</v>
      </c>
      <c r="W8824">
        <f t="shared" si="551"/>
        <v>0</v>
      </c>
    </row>
    <row r="8825" spans="5:23" x14ac:dyDescent="0.25">
      <c r="E8825" s="4"/>
      <c r="F8825" s="4"/>
      <c r="G8825" s="33" t="str">
        <f>IFERROR(VLOOKUP($D8825,'Informations sur les produits'!$A$3:$H$10000,8,FALSE),"0")</f>
        <v>0</v>
      </c>
      <c r="K8825" s="4"/>
      <c r="L8825" s="33" t="str">
        <f>IFERROR(VLOOKUP($J8825,'Informations sur les produits'!$A$3:$H$10000,8,FALSE),"0")</f>
        <v>0</v>
      </c>
      <c r="N8825" s="8"/>
      <c r="O8825" s="33" t="str">
        <f>IFERROR(VLOOKUP($M8825,'Informations sur les produits'!$A$3:$H$10000,8,FALSE),"0")</f>
        <v>0</v>
      </c>
      <c r="P8825" s="33">
        <f t="shared" si="548"/>
        <v>0</v>
      </c>
      <c r="Q8825" s="31" t="str">
        <f t="shared" si="549"/>
        <v/>
      </c>
      <c r="R8825" s="32" t="str">
        <f>IFERROR(VLOOKUP($D8825,'Informations sur les produits'!$A$3:$B$15000,2,FALSE),"")</f>
        <v/>
      </c>
      <c r="V8825">
        <f t="shared" si="550"/>
        <v>0</v>
      </c>
      <c r="W8825">
        <f t="shared" si="551"/>
        <v>0</v>
      </c>
    </row>
    <row r="8826" spans="5:23" x14ac:dyDescent="0.25">
      <c r="E8826" s="4"/>
      <c r="F8826" s="4"/>
      <c r="G8826" s="33" t="str">
        <f>IFERROR(VLOOKUP($D8826,'Informations sur les produits'!$A$3:$H$10000,8,FALSE),"0")</f>
        <v>0</v>
      </c>
      <c r="K8826" s="4"/>
      <c r="L8826" s="33" t="str">
        <f>IFERROR(VLOOKUP($J8826,'Informations sur les produits'!$A$3:$H$10000,8,FALSE),"0")</f>
        <v>0</v>
      </c>
      <c r="N8826" s="8"/>
      <c r="O8826" s="33" t="str">
        <f>IFERROR(VLOOKUP($M8826,'Informations sur les produits'!$A$3:$H$10000,8,FALSE),"0")</f>
        <v>0</v>
      </c>
      <c r="P8826" s="33">
        <f t="shared" si="548"/>
        <v>0</v>
      </c>
      <c r="Q8826" s="31" t="str">
        <f t="shared" si="549"/>
        <v/>
      </c>
      <c r="R8826" s="32" t="str">
        <f>IFERROR(VLOOKUP($D8826,'Informations sur les produits'!$A$3:$B$15000,2,FALSE),"")</f>
        <v/>
      </c>
      <c r="V8826">
        <f t="shared" si="550"/>
        <v>0</v>
      </c>
      <c r="W8826">
        <f t="shared" si="551"/>
        <v>0</v>
      </c>
    </row>
    <row r="8827" spans="5:23" x14ac:dyDescent="0.25">
      <c r="E8827" s="4"/>
      <c r="F8827" s="4"/>
      <c r="G8827" s="33" t="str">
        <f>IFERROR(VLOOKUP($D8827,'Informations sur les produits'!$A$3:$H$10000,8,FALSE),"0")</f>
        <v>0</v>
      </c>
      <c r="K8827" s="4"/>
      <c r="L8827" s="33" t="str">
        <f>IFERROR(VLOOKUP($J8827,'Informations sur les produits'!$A$3:$H$10000,8,FALSE),"0")</f>
        <v>0</v>
      </c>
      <c r="N8827" s="8"/>
      <c r="O8827" s="33" t="str">
        <f>IFERROR(VLOOKUP($M8827,'Informations sur les produits'!$A$3:$H$10000,8,FALSE),"0")</f>
        <v>0</v>
      </c>
      <c r="P8827" s="33">
        <f t="shared" si="548"/>
        <v>0</v>
      </c>
      <c r="Q8827" s="31" t="str">
        <f t="shared" si="549"/>
        <v/>
      </c>
      <c r="R8827" s="32" t="str">
        <f>IFERROR(VLOOKUP($D8827,'Informations sur les produits'!$A$3:$B$15000,2,FALSE),"")</f>
        <v/>
      </c>
      <c r="V8827">
        <f t="shared" si="550"/>
        <v>0</v>
      </c>
      <c r="W8827">
        <f t="shared" si="551"/>
        <v>0</v>
      </c>
    </row>
    <row r="8828" spans="5:23" x14ac:dyDescent="0.25">
      <c r="E8828" s="4"/>
      <c r="F8828" s="4"/>
      <c r="G8828" s="33" t="str">
        <f>IFERROR(VLOOKUP($D8828,'Informations sur les produits'!$A$3:$H$10000,8,FALSE),"0")</f>
        <v>0</v>
      </c>
      <c r="K8828" s="4"/>
      <c r="L8828" s="33" t="str">
        <f>IFERROR(VLOOKUP($J8828,'Informations sur les produits'!$A$3:$H$10000,8,FALSE),"0")</f>
        <v>0</v>
      </c>
      <c r="N8828" s="8"/>
      <c r="O8828" s="33" t="str">
        <f>IFERROR(VLOOKUP($M8828,'Informations sur les produits'!$A$3:$H$10000,8,FALSE),"0")</f>
        <v>0</v>
      </c>
      <c r="P8828" s="33">
        <f t="shared" si="548"/>
        <v>0</v>
      </c>
      <c r="Q8828" s="31" t="str">
        <f t="shared" si="549"/>
        <v/>
      </c>
      <c r="R8828" s="32" t="str">
        <f>IFERROR(VLOOKUP($D8828,'Informations sur les produits'!$A$3:$B$15000,2,FALSE),"")</f>
        <v/>
      </c>
      <c r="V8828">
        <f t="shared" si="550"/>
        <v>0</v>
      </c>
      <c r="W8828">
        <f t="shared" si="551"/>
        <v>0</v>
      </c>
    </row>
    <row r="8829" spans="5:23" x14ac:dyDescent="0.25">
      <c r="E8829" s="4"/>
      <c r="F8829" s="4"/>
      <c r="G8829" s="33" t="str">
        <f>IFERROR(VLOOKUP($D8829,'Informations sur les produits'!$A$3:$H$10000,8,FALSE),"0")</f>
        <v>0</v>
      </c>
      <c r="K8829" s="4"/>
      <c r="L8829" s="33" t="str">
        <f>IFERROR(VLOOKUP($J8829,'Informations sur les produits'!$A$3:$H$10000,8,FALSE),"0")</f>
        <v>0</v>
      </c>
      <c r="N8829" s="8"/>
      <c r="O8829" s="33" t="str">
        <f>IFERROR(VLOOKUP($M8829,'Informations sur les produits'!$A$3:$H$10000,8,FALSE),"0")</f>
        <v>0</v>
      </c>
      <c r="P8829" s="33">
        <f t="shared" si="548"/>
        <v>0</v>
      </c>
      <c r="Q8829" s="31" t="str">
        <f t="shared" si="549"/>
        <v/>
      </c>
      <c r="R8829" s="32" t="str">
        <f>IFERROR(VLOOKUP($D8829,'Informations sur les produits'!$A$3:$B$15000,2,FALSE),"")</f>
        <v/>
      </c>
      <c r="V8829">
        <f t="shared" si="550"/>
        <v>0</v>
      </c>
      <c r="W8829">
        <f t="shared" si="551"/>
        <v>0</v>
      </c>
    </row>
    <row r="8830" spans="5:23" x14ac:dyDescent="0.25">
      <c r="E8830" s="4"/>
      <c r="F8830" s="4"/>
      <c r="G8830" s="33" t="str">
        <f>IFERROR(VLOOKUP($D8830,'Informations sur les produits'!$A$3:$H$10000,8,FALSE),"0")</f>
        <v>0</v>
      </c>
      <c r="K8830" s="4"/>
      <c r="L8830" s="33" t="str">
        <f>IFERROR(VLOOKUP($J8830,'Informations sur les produits'!$A$3:$H$10000,8,FALSE),"0")</f>
        <v>0</v>
      </c>
      <c r="N8830" s="8"/>
      <c r="O8830" s="33" t="str">
        <f>IFERROR(VLOOKUP($M8830,'Informations sur les produits'!$A$3:$H$10000,8,FALSE),"0")</f>
        <v>0</v>
      </c>
      <c r="P8830" s="33">
        <f t="shared" si="548"/>
        <v>0</v>
      </c>
      <c r="Q8830" s="31" t="str">
        <f t="shared" si="549"/>
        <v/>
      </c>
      <c r="R8830" s="32" t="str">
        <f>IFERROR(VLOOKUP($D8830,'Informations sur les produits'!$A$3:$B$15000,2,FALSE),"")</f>
        <v/>
      </c>
      <c r="V8830">
        <f t="shared" si="550"/>
        <v>0</v>
      </c>
      <c r="W8830">
        <f t="shared" si="551"/>
        <v>0</v>
      </c>
    </row>
    <row r="8831" spans="5:23" x14ac:dyDescent="0.25">
      <c r="E8831" s="4"/>
      <c r="F8831" s="4"/>
      <c r="G8831" s="33" t="str">
        <f>IFERROR(VLOOKUP($D8831,'Informations sur les produits'!$A$3:$H$10000,8,FALSE),"0")</f>
        <v>0</v>
      </c>
      <c r="K8831" s="4"/>
      <c r="L8831" s="33" t="str">
        <f>IFERROR(VLOOKUP($J8831,'Informations sur les produits'!$A$3:$H$10000,8,FALSE),"0")</f>
        <v>0</v>
      </c>
      <c r="N8831" s="8"/>
      <c r="O8831" s="33" t="str">
        <f>IFERROR(VLOOKUP($M8831,'Informations sur les produits'!$A$3:$H$10000,8,FALSE),"0")</f>
        <v>0</v>
      </c>
      <c r="P8831" s="33">
        <f t="shared" si="548"/>
        <v>0</v>
      </c>
      <c r="Q8831" s="31" t="str">
        <f t="shared" si="549"/>
        <v/>
      </c>
      <c r="R8831" s="32" t="str">
        <f>IFERROR(VLOOKUP($D8831,'Informations sur les produits'!$A$3:$B$15000,2,FALSE),"")</f>
        <v/>
      </c>
      <c r="V8831">
        <f t="shared" si="550"/>
        <v>0</v>
      </c>
      <c r="W8831">
        <f t="shared" si="551"/>
        <v>0</v>
      </c>
    </row>
    <row r="8832" spans="5:23" x14ac:dyDescent="0.25">
      <c r="E8832" s="4"/>
      <c r="F8832" s="4"/>
      <c r="G8832" s="33" t="str">
        <f>IFERROR(VLOOKUP($D8832,'Informations sur les produits'!$A$3:$H$10000,8,FALSE),"0")</f>
        <v>0</v>
      </c>
      <c r="K8832" s="4"/>
      <c r="L8832" s="33" t="str">
        <f>IFERROR(VLOOKUP($J8832,'Informations sur les produits'!$A$3:$H$10000,8,FALSE),"0")</f>
        <v>0</v>
      </c>
      <c r="N8832" s="8"/>
      <c r="O8832" s="33" t="str">
        <f>IFERROR(VLOOKUP($M8832,'Informations sur les produits'!$A$3:$H$10000,8,FALSE),"0")</f>
        <v>0</v>
      </c>
      <c r="P8832" s="33">
        <f t="shared" si="548"/>
        <v>0</v>
      </c>
      <c r="Q8832" s="31" t="str">
        <f t="shared" si="549"/>
        <v/>
      </c>
      <c r="R8832" s="32" t="str">
        <f>IFERROR(VLOOKUP($D8832,'Informations sur les produits'!$A$3:$B$15000,2,FALSE),"")</f>
        <v/>
      </c>
      <c r="V8832">
        <f t="shared" si="550"/>
        <v>0</v>
      </c>
      <c r="W8832">
        <f t="shared" si="551"/>
        <v>0</v>
      </c>
    </row>
    <row r="8833" spans="5:23" x14ac:dyDescent="0.25">
      <c r="E8833" s="4"/>
      <c r="F8833" s="4"/>
      <c r="G8833" s="33" t="str">
        <f>IFERROR(VLOOKUP($D8833,'Informations sur les produits'!$A$3:$H$10000,8,FALSE),"0")</f>
        <v>0</v>
      </c>
      <c r="K8833" s="4"/>
      <c r="L8833" s="33" t="str">
        <f>IFERROR(VLOOKUP($J8833,'Informations sur les produits'!$A$3:$H$10000,8,FALSE),"0")</f>
        <v>0</v>
      </c>
      <c r="N8833" s="8"/>
      <c r="O8833" s="33" t="str">
        <f>IFERROR(VLOOKUP($M8833,'Informations sur les produits'!$A$3:$H$10000,8,FALSE),"0")</f>
        <v>0</v>
      </c>
      <c r="P8833" s="33">
        <f t="shared" si="548"/>
        <v>0</v>
      </c>
      <c r="Q8833" s="31" t="str">
        <f t="shared" si="549"/>
        <v/>
      </c>
      <c r="R8833" s="32" t="str">
        <f>IFERROR(VLOOKUP($D8833,'Informations sur les produits'!$A$3:$B$15000,2,FALSE),"")</f>
        <v/>
      </c>
      <c r="V8833">
        <f t="shared" si="550"/>
        <v>0</v>
      </c>
      <c r="W8833">
        <f t="shared" si="551"/>
        <v>0</v>
      </c>
    </row>
    <row r="8834" spans="5:23" x14ac:dyDescent="0.25">
      <c r="E8834" s="4"/>
      <c r="F8834" s="4"/>
      <c r="G8834" s="33" t="str">
        <f>IFERROR(VLOOKUP($D8834,'Informations sur les produits'!$A$3:$H$10000,8,FALSE),"0")</f>
        <v>0</v>
      </c>
      <c r="K8834" s="4"/>
      <c r="L8834" s="33" t="str">
        <f>IFERROR(VLOOKUP($J8834,'Informations sur les produits'!$A$3:$H$10000,8,FALSE),"0")</f>
        <v>0</v>
      </c>
      <c r="N8834" s="8"/>
      <c r="O8834" s="33" t="str">
        <f>IFERROR(VLOOKUP($M8834,'Informations sur les produits'!$A$3:$H$10000,8,FALSE),"0")</f>
        <v>0</v>
      </c>
      <c r="P8834" s="33">
        <f t="shared" si="548"/>
        <v>0</v>
      </c>
      <c r="Q8834" s="31" t="str">
        <f t="shared" si="549"/>
        <v/>
      </c>
      <c r="R8834" s="32" t="str">
        <f>IFERROR(VLOOKUP($D8834,'Informations sur les produits'!$A$3:$B$15000,2,FALSE),"")</f>
        <v/>
      </c>
      <c r="V8834">
        <f t="shared" si="550"/>
        <v>0</v>
      </c>
      <c r="W8834">
        <f t="shared" si="551"/>
        <v>0</v>
      </c>
    </row>
    <row r="8835" spans="5:23" x14ac:dyDescent="0.25">
      <c r="E8835" s="4"/>
      <c r="F8835" s="4"/>
      <c r="G8835" s="33" t="str">
        <f>IFERROR(VLOOKUP($D8835,'Informations sur les produits'!$A$3:$H$10000,8,FALSE),"0")</f>
        <v>0</v>
      </c>
      <c r="K8835" s="4"/>
      <c r="L8835" s="33" t="str">
        <f>IFERROR(VLOOKUP($J8835,'Informations sur les produits'!$A$3:$H$10000,8,FALSE),"0")</f>
        <v>0</v>
      </c>
      <c r="N8835" s="8"/>
      <c r="O8835" s="33" t="str">
        <f>IFERROR(VLOOKUP($M8835,'Informations sur les produits'!$A$3:$H$10000,8,FALSE),"0")</f>
        <v>0</v>
      </c>
      <c r="P8835" s="33">
        <f t="shared" si="548"/>
        <v>0</v>
      </c>
      <c r="Q8835" s="31" t="str">
        <f t="shared" si="549"/>
        <v/>
      </c>
      <c r="R8835" s="32" t="str">
        <f>IFERROR(VLOOKUP($D8835,'Informations sur les produits'!$A$3:$B$15000,2,FALSE),"")</f>
        <v/>
      </c>
      <c r="V8835">
        <f t="shared" si="550"/>
        <v>0</v>
      </c>
      <c r="W8835">
        <f t="shared" si="551"/>
        <v>0</v>
      </c>
    </row>
    <row r="8836" spans="5:23" x14ac:dyDescent="0.25">
      <c r="E8836" s="4"/>
      <c r="F8836" s="4"/>
      <c r="G8836" s="33" t="str">
        <f>IFERROR(VLOOKUP($D8836,'Informations sur les produits'!$A$3:$H$10000,8,FALSE),"0")</f>
        <v>0</v>
      </c>
      <c r="K8836" s="4"/>
      <c r="L8836" s="33" t="str">
        <f>IFERROR(VLOOKUP($J8836,'Informations sur les produits'!$A$3:$H$10000,8,FALSE),"0")</f>
        <v>0</v>
      </c>
      <c r="N8836" s="8"/>
      <c r="O8836" s="33" t="str">
        <f>IFERROR(VLOOKUP($M8836,'Informations sur les produits'!$A$3:$H$10000,8,FALSE),"0")</f>
        <v>0</v>
      </c>
      <c r="P8836" s="33">
        <f t="shared" ref="P8836:P8899" si="552">IFERROR((($E8836-$F8836)*$G8836+$K8836*$L8836+$N8836*$O8836),"")</f>
        <v>0</v>
      </c>
      <c r="Q8836" s="31" t="str">
        <f t="shared" ref="Q8836:Q8899" si="553">IFERROR((((($E8836-$F8836)*$G8836+$K8836*$L8836+$N8836*$O8836)*1000)/(($E8836-$F8836)+$K8836+$N8836)),"")</f>
        <v/>
      </c>
      <c r="R8836" s="32" t="str">
        <f>IFERROR(VLOOKUP($D8836,'Informations sur les produits'!$A$3:$B$15000,2,FALSE),"")</f>
        <v/>
      </c>
      <c r="V8836">
        <f t="shared" ref="V8836:V8899" si="554">IFERROR(P8836*1000,"")</f>
        <v>0</v>
      </c>
      <c r="W8836">
        <f t="shared" ref="W8836:W8899" si="555">IFERROR(($E8836-$F8836)+$K8836+$N8836,"")</f>
        <v>0</v>
      </c>
    </row>
    <row r="8837" spans="5:23" x14ac:dyDescent="0.25">
      <c r="E8837" s="4"/>
      <c r="F8837" s="4"/>
      <c r="G8837" s="33" t="str">
        <f>IFERROR(VLOOKUP($D8837,'Informations sur les produits'!$A$3:$H$10000,8,FALSE),"0")</f>
        <v>0</v>
      </c>
      <c r="K8837" s="4"/>
      <c r="L8837" s="33" t="str">
        <f>IFERROR(VLOOKUP($J8837,'Informations sur les produits'!$A$3:$H$10000,8,FALSE),"0")</f>
        <v>0</v>
      </c>
      <c r="N8837" s="8"/>
      <c r="O8837" s="33" t="str">
        <f>IFERROR(VLOOKUP($M8837,'Informations sur les produits'!$A$3:$H$10000,8,FALSE),"0")</f>
        <v>0</v>
      </c>
      <c r="P8837" s="33">
        <f t="shared" si="552"/>
        <v>0</v>
      </c>
      <c r="Q8837" s="31" t="str">
        <f t="shared" si="553"/>
        <v/>
      </c>
      <c r="R8837" s="32" t="str">
        <f>IFERROR(VLOOKUP($D8837,'Informations sur les produits'!$A$3:$B$15000,2,FALSE),"")</f>
        <v/>
      </c>
      <c r="V8837">
        <f t="shared" si="554"/>
        <v>0</v>
      </c>
      <c r="W8837">
        <f t="shared" si="555"/>
        <v>0</v>
      </c>
    </row>
    <row r="8838" spans="5:23" x14ac:dyDescent="0.25">
      <c r="E8838" s="4"/>
      <c r="F8838" s="4"/>
      <c r="G8838" s="33" t="str">
        <f>IFERROR(VLOOKUP($D8838,'Informations sur les produits'!$A$3:$H$10000,8,FALSE),"0")</f>
        <v>0</v>
      </c>
      <c r="K8838" s="4"/>
      <c r="L8838" s="33" t="str">
        <f>IFERROR(VLOOKUP($J8838,'Informations sur les produits'!$A$3:$H$10000,8,FALSE),"0")</f>
        <v>0</v>
      </c>
      <c r="N8838" s="8"/>
      <c r="O8838" s="33" t="str">
        <f>IFERROR(VLOOKUP($M8838,'Informations sur les produits'!$A$3:$H$10000,8,FALSE),"0")</f>
        <v>0</v>
      </c>
      <c r="P8838" s="33">
        <f t="shared" si="552"/>
        <v>0</v>
      </c>
      <c r="Q8838" s="31" t="str">
        <f t="shared" si="553"/>
        <v/>
      </c>
      <c r="R8838" s="32" t="str">
        <f>IFERROR(VLOOKUP($D8838,'Informations sur les produits'!$A$3:$B$15000,2,FALSE),"")</f>
        <v/>
      </c>
      <c r="V8838">
        <f t="shared" si="554"/>
        <v>0</v>
      </c>
      <c r="W8838">
        <f t="shared" si="555"/>
        <v>0</v>
      </c>
    </row>
    <row r="8839" spans="5:23" x14ac:dyDescent="0.25">
      <c r="E8839" s="4"/>
      <c r="F8839" s="4"/>
      <c r="G8839" s="33" t="str">
        <f>IFERROR(VLOOKUP($D8839,'Informations sur les produits'!$A$3:$H$10000,8,FALSE),"0")</f>
        <v>0</v>
      </c>
      <c r="K8839" s="4"/>
      <c r="L8839" s="33" t="str">
        <f>IFERROR(VLOOKUP($J8839,'Informations sur les produits'!$A$3:$H$10000,8,FALSE),"0")</f>
        <v>0</v>
      </c>
      <c r="N8839" s="8"/>
      <c r="O8839" s="33" t="str">
        <f>IFERROR(VLOOKUP($M8839,'Informations sur les produits'!$A$3:$H$10000,8,FALSE),"0")</f>
        <v>0</v>
      </c>
      <c r="P8839" s="33">
        <f t="shared" si="552"/>
        <v>0</v>
      </c>
      <c r="Q8839" s="31" t="str">
        <f t="shared" si="553"/>
        <v/>
      </c>
      <c r="R8839" s="32" t="str">
        <f>IFERROR(VLOOKUP($D8839,'Informations sur les produits'!$A$3:$B$15000,2,FALSE),"")</f>
        <v/>
      </c>
      <c r="V8839">
        <f t="shared" si="554"/>
        <v>0</v>
      </c>
      <c r="W8839">
        <f t="shared" si="555"/>
        <v>0</v>
      </c>
    </row>
    <row r="8840" spans="5:23" x14ac:dyDescent="0.25">
      <c r="E8840" s="4"/>
      <c r="F8840" s="4"/>
      <c r="G8840" s="33" t="str">
        <f>IFERROR(VLOOKUP($D8840,'Informations sur les produits'!$A$3:$H$10000,8,FALSE),"0")</f>
        <v>0</v>
      </c>
      <c r="K8840" s="4"/>
      <c r="L8840" s="33" t="str">
        <f>IFERROR(VLOOKUP($J8840,'Informations sur les produits'!$A$3:$H$10000,8,FALSE),"0")</f>
        <v>0</v>
      </c>
      <c r="N8840" s="8"/>
      <c r="O8840" s="33" t="str">
        <f>IFERROR(VLOOKUP($M8840,'Informations sur les produits'!$A$3:$H$10000,8,FALSE),"0")</f>
        <v>0</v>
      </c>
      <c r="P8840" s="33">
        <f t="shared" si="552"/>
        <v>0</v>
      </c>
      <c r="Q8840" s="31" t="str">
        <f t="shared" si="553"/>
        <v/>
      </c>
      <c r="R8840" s="32" t="str">
        <f>IFERROR(VLOOKUP($D8840,'Informations sur les produits'!$A$3:$B$15000,2,FALSE),"")</f>
        <v/>
      </c>
      <c r="V8840">
        <f t="shared" si="554"/>
        <v>0</v>
      </c>
      <c r="W8840">
        <f t="shared" si="555"/>
        <v>0</v>
      </c>
    </row>
    <row r="8841" spans="5:23" x14ac:dyDescent="0.25">
      <c r="E8841" s="4"/>
      <c r="F8841" s="4"/>
      <c r="G8841" s="33" t="str">
        <f>IFERROR(VLOOKUP($D8841,'Informations sur les produits'!$A$3:$H$10000,8,FALSE),"0")</f>
        <v>0</v>
      </c>
      <c r="K8841" s="4"/>
      <c r="L8841" s="33" t="str">
        <f>IFERROR(VLOOKUP($J8841,'Informations sur les produits'!$A$3:$H$10000,8,FALSE),"0")</f>
        <v>0</v>
      </c>
      <c r="N8841" s="8"/>
      <c r="O8841" s="33" t="str">
        <f>IFERROR(VLOOKUP($M8841,'Informations sur les produits'!$A$3:$H$10000,8,FALSE),"0")</f>
        <v>0</v>
      </c>
      <c r="P8841" s="33">
        <f t="shared" si="552"/>
        <v>0</v>
      </c>
      <c r="Q8841" s="31" t="str">
        <f t="shared" si="553"/>
        <v/>
      </c>
      <c r="R8841" s="32" t="str">
        <f>IFERROR(VLOOKUP($D8841,'Informations sur les produits'!$A$3:$B$15000,2,FALSE),"")</f>
        <v/>
      </c>
      <c r="V8841">
        <f t="shared" si="554"/>
        <v>0</v>
      </c>
      <c r="W8841">
        <f t="shared" si="555"/>
        <v>0</v>
      </c>
    </row>
    <row r="8842" spans="5:23" x14ac:dyDescent="0.25">
      <c r="E8842" s="4"/>
      <c r="F8842" s="4"/>
      <c r="G8842" s="33" t="str">
        <f>IFERROR(VLOOKUP($D8842,'Informations sur les produits'!$A$3:$H$10000,8,FALSE),"0")</f>
        <v>0</v>
      </c>
      <c r="K8842" s="4"/>
      <c r="L8842" s="33" t="str">
        <f>IFERROR(VLOOKUP($J8842,'Informations sur les produits'!$A$3:$H$10000,8,FALSE),"0")</f>
        <v>0</v>
      </c>
      <c r="N8842" s="8"/>
      <c r="O8842" s="33" t="str">
        <f>IFERROR(VLOOKUP($M8842,'Informations sur les produits'!$A$3:$H$10000,8,FALSE),"0")</f>
        <v>0</v>
      </c>
      <c r="P8842" s="33">
        <f t="shared" si="552"/>
        <v>0</v>
      </c>
      <c r="Q8842" s="31" t="str">
        <f t="shared" si="553"/>
        <v/>
      </c>
      <c r="R8842" s="32" t="str">
        <f>IFERROR(VLOOKUP($D8842,'Informations sur les produits'!$A$3:$B$15000,2,FALSE),"")</f>
        <v/>
      </c>
      <c r="V8842">
        <f t="shared" si="554"/>
        <v>0</v>
      </c>
      <c r="W8842">
        <f t="shared" si="555"/>
        <v>0</v>
      </c>
    </row>
    <row r="8843" spans="5:23" x14ac:dyDescent="0.25">
      <c r="E8843" s="4"/>
      <c r="F8843" s="4"/>
      <c r="G8843" s="33" t="str">
        <f>IFERROR(VLOOKUP($D8843,'Informations sur les produits'!$A$3:$H$10000,8,FALSE),"0")</f>
        <v>0</v>
      </c>
      <c r="K8843" s="4"/>
      <c r="L8843" s="33" t="str">
        <f>IFERROR(VLOOKUP($J8843,'Informations sur les produits'!$A$3:$H$10000,8,FALSE),"0")</f>
        <v>0</v>
      </c>
      <c r="N8843" s="8"/>
      <c r="O8843" s="33" t="str">
        <f>IFERROR(VLOOKUP($M8843,'Informations sur les produits'!$A$3:$H$10000,8,FALSE),"0")</f>
        <v>0</v>
      </c>
      <c r="P8843" s="33">
        <f t="shared" si="552"/>
        <v>0</v>
      </c>
      <c r="Q8843" s="31" t="str">
        <f t="shared" si="553"/>
        <v/>
      </c>
      <c r="R8843" s="32" t="str">
        <f>IFERROR(VLOOKUP($D8843,'Informations sur les produits'!$A$3:$B$15000,2,FALSE),"")</f>
        <v/>
      </c>
      <c r="V8843">
        <f t="shared" si="554"/>
        <v>0</v>
      </c>
      <c r="W8843">
        <f t="shared" si="555"/>
        <v>0</v>
      </c>
    </row>
    <row r="8844" spans="5:23" x14ac:dyDescent="0.25">
      <c r="E8844" s="4"/>
      <c r="F8844" s="4"/>
      <c r="G8844" s="33" t="str">
        <f>IFERROR(VLOOKUP($D8844,'Informations sur les produits'!$A$3:$H$10000,8,FALSE),"0")</f>
        <v>0</v>
      </c>
      <c r="K8844" s="4"/>
      <c r="L8844" s="33" t="str">
        <f>IFERROR(VLOOKUP($J8844,'Informations sur les produits'!$A$3:$H$10000,8,FALSE),"0")</f>
        <v>0</v>
      </c>
      <c r="N8844" s="8"/>
      <c r="O8844" s="33" t="str">
        <f>IFERROR(VLOOKUP($M8844,'Informations sur les produits'!$A$3:$H$10000,8,FALSE),"0")</f>
        <v>0</v>
      </c>
      <c r="P8844" s="33">
        <f t="shared" si="552"/>
        <v>0</v>
      </c>
      <c r="Q8844" s="31" t="str">
        <f t="shared" si="553"/>
        <v/>
      </c>
      <c r="R8844" s="32" t="str">
        <f>IFERROR(VLOOKUP($D8844,'Informations sur les produits'!$A$3:$B$15000,2,FALSE),"")</f>
        <v/>
      </c>
      <c r="V8844">
        <f t="shared" si="554"/>
        <v>0</v>
      </c>
      <c r="W8844">
        <f t="shared" si="555"/>
        <v>0</v>
      </c>
    </row>
    <row r="8845" spans="5:23" x14ac:dyDescent="0.25">
      <c r="E8845" s="4"/>
      <c r="F8845" s="4"/>
      <c r="G8845" s="33" t="str">
        <f>IFERROR(VLOOKUP($D8845,'Informations sur les produits'!$A$3:$H$10000,8,FALSE),"0")</f>
        <v>0</v>
      </c>
      <c r="K8845" s="4"/>
      <c r="L8845" s="33" t="str">
        <f>IFERROR(VLOOKUP($J8845,'Informations sur les produits'!$A$3:$H$10000,8,FALSE),"0")</f>
        <v>0</v>
      </c>
      <c r="N8845" s="8"/>
      <c r="O8845" s="33" t="str">
        <f>IFERROR(VLOOKUP($M8845,'Informations sur les produits'!$A$3:$H$10000,8,FALSE),"0")</f>
        <v>0</v>
      </c>
      <c r="P8845" s="33">
        <f t="shared" si="552"/>
        <v>0</v>
      </c>
      <c r="Q8845" s="31" t="str">
        <f t="shared" si="553"/>
        <v/>
      </c>
      <c r="R8845" s="32" t="str">
        <f>IFERROR(VLOOKUP($D8845,'Informations sur les produits'!$A$3:$B$15000,2,FALSE),"")</f>
        <v/>
      </c>
      <c r="V8845">
        <f t="shared" si="554"/>
        <v>0</v>
      </c>
      <c r="W8845">
        <f t="shared" si="555"/>
        <v>0</v>
      </c>
    </row>
    <row r="8846" spans="5:23" x14ac:dyDescent="0.25">
      <c r="E8846" s="4"/>
      <c r="F8846" s="4"/>
      <c r="G8846" s="33" t="str">
        <f>IFERROR(VLOOKUP($D8846,'Informations sur les produits'!$A$3:$H$10000,8,FALSE),"0")</f>
        <v>0</v>
      </c>
      <c r="K8846" s="4"/>
      <c r="L8846" s="33" t="str">
        <f>IFERROR(VLOOKUP($J8846,'Informations sur les produits'!$A$3:$H$10000,8,FALSE),"0")</f>
        <v>0</v>
      </c>
      <c r="N8846" s="8"/>
      <c r="O8846" s="33" t="str">
        <f>IFERROR(VLOOKUP($M8846,'Informations sur les produits'!$A$3:$H$10000,8,FALSE),"0")</f>
        <v>0</v>
      </c>
      <c r="P8846" s="33">
        <f t="shared" si="552"/>
        <v>0</v>
      </c>
      <c r="Q8846" s="31" t="str">
        <f t="shared" si="553"/>
        <v/>
      </c>
      <c r="R8846" s="32" t="str">
        <f>IFERROR(VLOOKUP($D8846,'Informations sur les produits'!$A$3:$B$15000,2,FALSE),"")</f>
        <v/>
      </c>
      <c r="V8846">
        <f t="shared" si="554"/>
        <v>0</v>
      </c>
      <c r="W8846">
        <f t="shared" si="555"/>
        <v>0</v>
      </c>
    </row>
    <row r="8847" spans="5:23" x14ac:dyDescent="0.25">
      <c r="E8847" s="4"/>
      <c r="F8847" s="4"/>
      <c r="G8847" s="33" t="str">
        <f>IFERROR(VLOOKUP($D8847,'Informations sur les produits'!$A$3:$H$10000,8,FALSE),"0")</f>
        <v>0</v>
      </c>
      <c r="K8847" s="4"/>
      <c r="L8847" s="33" t="str">
        <f>IFERROR(VLOOKUP($J8847,'Informations sur les produits'!$A$3:$H$10000,8,FALSE),"0")</f>
        <v>0</v>
      </c>
      <c r="N8847" s="8"/>
      <c r="O8847" s="33" t="str">
        <f>IFERROR(VLOOKUP($M8847,'Informations sur les produits'!$A$3:$H$10000,8,FALSE),"0")</f>
        <v>0</v>
      </c>
      <c r="P8847" s="33">
        <f t="shared" si="552"/>
        <v>0</v>
      </c>
      <c r="Q8847" s="31" t="str">
        <f t="shared" si="553"/>
        <v/>
      </c>
      <c r="R8847" s="32" t="str">
        <f>IFERROR(VLOOKUP($D8847,'Informations sur les produits'!$A$3:$B$15000,2,FALSE),"")</f>
        <v/>
      </c>
      <c r="V8847">
        <f t="shared" si="554"/>
        <v>0</v>
      </c>
      <c r="W8847">
        <f t="shared" si="555"/>
        <v>0</v>
      </c>
    </row>
    <row r="8848" spans="5:23" x14ac:dyDescent="0.25">
      <c r="E8848" s="4"/>
      <c r="F8848" s="4"/>
      <c r="G8848" s="33" t="str">
        <f>IFERROR(VLOOKUP($D8848,'Informations sur les produits'!$A$3:$H$10000,8,FALSE),"0")</f>
        <v>0</v>
      </c>
      <c r="K8848" s="4"/>
      <c r="L8848" s="33" t="str">
        <f>IFERROR(VLOOKUP($J8848,'Informations sur les produits'!$A$3:$H$10000,8,FALSE),"0")</f>
        <v>0</v>
      </c>
      <c r="N8848" s="8"/>
      <c r="O8848" s="33" t="str">
        <f>IFERROR(VLOOKUP($M8848,'Informations sur les produits'!$A$3:$H$10000,8,FALSE),"0")</f>
        <v>0</v>
      </c>
      <c r="P8848" s="33">
        <f t="shared" si="552"/>
        <v>0</v>
      </c>
      <c r="Q8848" s="31" t="str">
        <f t="shared" si="553"/>
        <v/>
      </c>
      <c r="R8848" s="32" t="str">
        <f>IFERROR(VLOOKUP($D8848,'Informations sur les produits'!$A$3:$B$15000,2,FALSE),"")</f>
        <v/>
      </c>
      <c r="V8848">
        <f t="shared" si="554"/>
        <v>0</v>
      </c>
      <c r="W8848">
        <f t="shared" si="555"/>
        <v>0</v>
      </c>
    </row>
    <row r="8849" spans="5:23" x14ac:dyDescent="0.25">
      <c r="E8849" s="4"/>
      <c r="F8849" s="4"/>
      <c r="G8849" s="33" t="str">
        <f>IFERROR(VLOOKUP($D8849,'Informations sur les produits'!$A$3:$H$10000,8,FALSE),"0")</f>
        <v>0</v>
      </c>
      <c r="K8849" s="4"/>
      <c r="L8849" s="33" t="str">
        <f>IFERROR(VLOOKUP($J8849,'Informations sur les produits'!$A$3:$H$10000,8,FALSE),"0")</f>
        <v>0</v>
      </c>
      <c r="N8849" s="8"/>
      <c r="O8849" s="33" t="str">
        <f>IFERROR(VLOOKUP($M8849,'Informations sur les produits'!$A$3:$H$10000,8,FALSE),"0")</f>
        <v>0</v>
      </c>
      <c r="P8849" s="33">
        <f t="shared" si="552"/>
        <v>0</v>
      </c>
      <c r="Q8849" s="31" t="str">
        <f t="shared" si="553"/>
        <v/>
      </c>
      <c r="R8849" s="32" t="str">
        <f>IFERROR(VLOOKUP($D8849,'Informations sur les produits'!$A$3:$B$15000,2,FALSE),"")</f>
        <v/>
      </c>
      <c r="V8849">
        <f t="shared" si="554"/>
        <v>0</v>
      </c>
      <c r="W8849">
        <f t="shared" si="555"/>
        <v>0</v>
      </c>
    </row>
    <row r="8850" spans="5:23" x14ac:dyDescent="0.25">
      <c r="E8850" s="4"/>
      <c r="F8850" s="4"/>
      <c r="G8850" s="33" t="str">
        <f>IFERROR(VLOOKUP($D8850,'Informations sur les produits'!$A$3:$H$10000,8,FALSE),"0")</f>
        <v>0</v>
      </c>
      <c r="K8850" s="4"/>
      <c r="L8850" s="33" t="str">
        <f>IFERROR(VLOOKUP($J8850,'Informations sur les produits'!$A$3:$H$10000,8,FALSE),"0")</f>
        <v>0</v>
      </c>
      <c r="N8850" s="8"/>
      <c r="O8850" s="33" t="str">
        <f>IFERROR(VLOOKUP($M8850,'Informations sur les produits'!$A$3:$H$10000,8,FALSE),"0")</f>
        <v>0</v>
      </c>
      <c r="P8850" s="33">
        <f t="shared" si="552"/>
        <v>0</v>
      </c>
      <c r="Q8850" s="31" t="str">
        <f t="shared" si="553"/>
        <v/>
      </c>
      <c r="R8850" s="32" t="str">
        <f>IFERROR(VLOOKUP($D8850,'Informations sur les produits'!$A$3:$B$15000,2,FALSE),"")</f>
        <v/>
      </c>
      <c r="V8850">
        <f t="shared" si="554"/>
        <v>0</v>
      </c>
      <c r="W8850">
        <f t="shared" si="555"/>
        <v>0</v>
      </c>
    </row>
    <row r="8851" spans="5:23" x14ac:dyDescent="0.25">
      <c r="E8851" s="4"/>
      <c r="F8851" s="4"/>
      <c r="G8851" s="33" t="str">
        <f>IFERROR(VLOOKUP($D8851,'Informations sur les produits'!$A$3:$H$10000,8,FALSE),"0")</f>
        <v>0</v>
      </c>
      <c r="K8851" s="4"/>
      <c r="L8851" s="33" t="str">
        <f>IFERROR(VLOOKUP($J8851,'Informations sur les produits'!$A$3:$H$10000,8,FALSE),"0")</f>
        <v>0</v>
      </c>
      <c r="N8851" s="8"/>
      <c r="O8851" s="33" t="str">
        <f>IFERROR(VLOOKUP($M8851,'Informations sur les produits'!$A$3:$H$10000,8,FALSE),"0")</f>
        <v>0</v>
      </c>
      <c r="P8851" s="33">
        <f t="shared" si="552"/>
        <v>0</v>
      </c>
      <c r="Q8851" s="31" t="str">
        <f t="shared" si="553"/>
        <v/>
      </c>
      <c r="R8851" s="32" t="str">
        <f>IFERROR(VLOOKUP($D8851,'Informations sur les produits'!$A$3:$B$15000,2,FALSE),"")</f>
        <v/>
      </c>
      <c r="V8851">
        <f t="shared" si="554"/>
        <v>0</v>
      </c>
      <c r="W8851">
        <f t="shared" si="555"/>
        <v>0</v>
      </c>
    </row>
    <row r="8852" spans="5:23" x14ac:dyDescent="0.25">
      <c r="E8852" s="4"/>
      <c r="F8852" s="4"/>
      <c r="G8852" s="33" t="str">
        <f>IFERROR(VLOOKUP($D8852,'Informations sur les produits'!$A$3:$H$10000,8,FALSE),"0")</f>
        <v>0</v>
      </c>
      <c r="K8852" s="4"/>
      <c r="L8852" s="33" t="str">
        <f>IFERROR(VLOOKUP($J8852,'Informations sur les produits'!$A$3:$H$10000,8,FALSE),"0")</f>
        <v>0</v>
      </c>
      <c r="N8852" s="8"/>
      <c r="O8852" s="33" t="str">
        <f>IFERROR(VLOOKUP($M8852,'Informations sur les produits'!$A$3:$H$10000,8,FALSE),"0")</f>
        <v>0</v>
      </c>
      <c r="P8852" s="33">
        <f t="shared" si="552"/>
        <v>0</v>
      </c>
      <c r="Q8852" s="31" t="str">
        <f t="shared" si="553"/>
        <v/>
      </c>
      <c r="R8852" s="32" t="str">
        <f>IFERROR(VLOOKUP($D8852,'Informations sur les produits'!$A$3:$B$15000,2,FALSE),"")</f>
        <v/>
      </c>
      <c r="V8852">
        <f t="shared" si="554"/>
        <v>0</v>
      </c>
      <c r="W8852">
        <f t="shared" si="555"/>
        <v>0</v>
      </c>
    </row>
    <row r="8853" spans="5:23" x14ac:dyDescent="0.25">
      <c r="E8853" s="4"/>
      <c r="F8853" s="4"/>
      <c r="G8853" s="33" t="str">
        <f>IFERROR(VLOOKUP($D8853,'Informations sur les produits'!$A$3:$H$10000,8,FALSE),"0")</f>
        <v>0</v>
      </c>
      <c r="K8853" s="4"/>
      <c r="L8853" s="33" t="str">
        <f>IFERROR(VLOOKUP($J8853,'Informations sur les produits'!$A$3:$H$10000,8,FALSE),"0")</f>
        <v>0</v>
      </c>
      <c r="N8853" s="8"/>
      <c r="O8853" s="33" t="str">
        <f>IFERROR(VLOOKUP($M8853,'Informations sur les produits'!$A$3:$H$10000,8,FALSE),"0")</f>
        <v>0</v>
      </c>
      <c r="P8853" s="33">
        <f t="shared" si="552"/>
        <v>0</v>
      </c>
      <c r="Q8853" s="31" t="str">
        <f t="shared" si="553"/>
        <v/>
      </c>
      <c r="R8853" s="32" t="str">
        <f>IFERROR(VLOOKUP($D8853,'Informations sur les produits'!$A$3:$B$15000,2,FALSE),"")</f>
        <v/>
      </c>
      <c r="V8853">
        <f t="shared" si="554"/>
        <v>0</v>
      </c>
      <c r="W8853">
        <f t="shared" si="555"/>
        <v>0</v>
      </c>
    </row>
    <row r="8854" spans="5:23" x14ac:dyDescent="0.25">
      <c r="E8854" s="4"/>
      <c r="F8854" s="4"/>
      <c r="G8854" s="33" t="str">
        <f>IFERROR(VLOOKUP($D8854,'Informations sur les produits'!$A$3:$H$10000,8,FALSE),"0")</f>
        <v>0</v>
      </c>
      <c r="K8854" s="4"/>
      <c r="L8854" s="33" t="str">
        <f>IFERROR(VLOOKUP($J8854,'Informations sur les produits'!$A$3:$H$10000,8,FALSE),"0")</f>
        <v>0</v>
      </c>
      <c r="N8854" s="8"/>
      <c r="O8854" s="33" t="str">
        <f>IFERROR(VLOOKUP($M8854,'Informations sur les produits'!$A$3:$H$10000,8,FALSE),"0")</f>
        <v>0</v>
      </c>
      <c r="P8854" s="33">
        <f t="shared" si="552"/>
        <v>0</v>
      </c>
      <c r="Q8854" s="31" t="str">
        <f t="shared" si="553"/>
        <v/>
      </c>
      <c r="R8854" s="32" t="str">
        <f>IFERROR(VLOOKUP($D8854,'Informations sur les produits'!$A$3:$B$15000,2,FALSE),"")</f>
        <v/>
      </c>
      <c r="V8854">
        <f t="shared" si="554"/>
        <v>0</v>
      </c>
      <c r="W8854">
        <f t="shared" si="555"/>
        <v>0</v>
      </c>
    </row>
    <row r="8855" spans="5:23" x14ac:dyDescent="0.25">
      <c r="E8855" s="4"/>
      <c r="F8855" s="4"/>
      <c r="G8855" s="33" t="str">
        <f>IFERROR(VLOOKUP($D8855,'Informations sur les produits'!$A$3:$H$10000,8,FALSE),"0")</f>
        <v>0</v>
      </c>
      <c r="K8855" s="4"/>
      <c r="L8855" s="33" t="str">
        <f>IFERROR(VLOOKUP($J8855,'Informations sur les produits'!$A$3:$H$10000,8,FALSE),"0")</f>
        <v>0</v>
      </c>
      <c r="N8855" s="8"/>
      <c r="O8855" s="33" t="str">
        <f>IFERROR(VLOOKUP($M8855,'Informations sur les produits'!$A$3:$H$10000,8,FALSE),"0")</f>
        <v>0</v>
      </c>
      <c r="P8855" s="33">
        <f t="shared" si="552"/>
        <v>0</v>
      </c>
      <c r="Q8855" s="31" t="str">
        <f t="shared" si="553"/>
        <v/>
      </c>
      <c r="R8855" s="32" t="str">
        <f>IFERROR(VLOOKUP($D8855,'Informations sur les produits'!$A$3:$B$15000,2,FALSE),"")</f>
        <v/>
      </c>
      <c r="V8855">
        <f t="shared" si="554"/>
        <v>0</v>
      </c>
      <c r="W8855">
        <f t="shared" si="555"/>
        <v>0</v>
      </c>
    </row>
    <row r="8856" spans="5:23" x14ac:dyDescent="0.25">
      <c r="E8856" s="4"/>
      <c r="F8856" s="4"/>
      <c r="G8856" s="33" t="str">
        <f>IFERROR(VLOOKUP($D8856,'Informations sur les produits'!$A$3:$H$10000,8,FALSE),"0")</f>
        <v>0</v>
      </c>
      <c r="K8856" s="4"/>
      <c r="L8856" s="33" t="str">
        <f>IFERROR(VLOOKUP($J8856,'Informations sur les produits'!$A$3:$H$10000,8,FALSE),"0")</f>
        <v>0</v>
      </c>
      <c r="N8856" s="8"/>
      <c r="O8856" s="33" t="str">
        <f>IFERROR(VLOOKUP($M8856,'Informations sur les produits'!$A$3:$H$10000,8,FALSE),"0")</f>
        <v>0</v>
      </c>
      <c r="P8856" s="33">
        <f t="shared" si="552"/>
        <v>0</v>
      </c>
      <c r="Q8856" s="31" t="str">
        <f t="shared" si="553"/>
        <v/>
      </c>
      <c r="R8856" s="32" t="str">
        <f>IFERROR(VLOOKUP($D8856,'Informations sur les produits'!$A$3:$B$15000,2,FALSE),"")</f>
        <v/>
      </c>
      <c r="V8856">
        <f t="shared" si="554"/>
        <v>0</v>
      </c>
      <c r="W8856">
        <f t="shared" si="555"/>
        <v>0</v>
      </c>
    </row>
    <row r="8857" spans="5:23" x14ac:dyDescent="0.25">
      <c r="E8857" s="4"/>
      <c r="F8857" s="4"/>
      <c r="G8857" s="33" t="str">
        <f>IFERROR(VLOOKUP($D8857,'Informations sur les produits'!$A$3:$H$10000,8,FALSE),"0")</f>
        <v>0</v>
      </c>
      <c r="K8857" s="4"/>
      <c r="L8857" s="33" t="str">
        <f>IFERROR(VLOOKUP($J8857,'Informations sur les produits'!$A$3:$H$10000,8,FALSE),"0")</f>
        <v>0</v>
      </c>
      <c r="N8857" s="8"/>
      <c r="O8857" s="33" t="str">
        <f>IFERROR(VLOOKUP($M8857,'Informations sur les produits'!$A$3:$H$10000,8,FALSE),"0")</f>
        <v>0</v>
      </c>
      <c r="P8857" s="33">
        <f t="shared" si="552"/>
        <v>0</v>
      </c>
      <c r="Q8857" s="31" t="str">
        <f t="shared" si="553"/>
        <v/>
      </c>
      <c r="R8857" s="32" t="str">
        <f>IFERROR(VLOOKUP($D8857,'Informations sur les produits'!$A$3:$B$15000,2,FALSE),"")</f>
        <v/>
      </c>
      <c r="V8857">
        <f t="shared" si="554"/>
        <v>0</v>
      </c>
      <c r="W8857">
        <f t="shared" si="555"/>
        <v>0</v>
      </c>
    </row>
    <row r="8858" spans="5:23" x14ac:dyDescent="0.25">
      <c r="E8858" s="4"/>
      <c r="F8858" s="4"/>
      <c r="G8858" s="33" t="str">
        <f>IFERROR(VLOOKUP($D8858,'Informations sur les produits'!$A$3:$H$10000,8,FALSE),"0")</f>
        <v>0</v>
      </c>
      <c r="K8858" s="4"/>
      <c r="L8858" s="33" t="str">
        <f>IFERROR(VLOOKUP($J8858,'Informations sur les produits'!$A$3:$H$10000,8,FALSE),"0")</f>
        <v>0</v>
      </c>
      <c r="N8858" s="8"/>
      <c r="O8858" s="33" t="str">
        <f>IFERROR(VLOOKUP($M8858,'Informations sur les produits'!$A$3:$H$10000,8,FALSE),"0")</f>
        <v>0</v>
      </c>
      <c r="P8858" s="33">
        <f t="shared" si="552"/>
        <v>0</v>
      </c>
      <c r="Q8858" s="31" t="str">
        <f t="shared" si="553"/>
        <v/>
      </c>
      <c r="R8858" s="32" t="str">
        <f>IFERROR(VLOOKUP($D8858,'Informations sur les produits'!$A$3:$B$15000,2,FALSE),"")</f>
        <v/>
      </c>
      <c r="V8858">
        <f t="shared" si="554"/>
        <v>0</v>
      </c>
      <c r="W8858">
        <f t="shared" si="555"/>
        <v>0</v>
      </c>
    </row>
    <row r="8859" spans="5:23" x14ac:dyDescent="0.25">
      <c r="E8859" s="4"/>
      <c r="F8859" s="4"/>
      <c r="G8859" s="33" t="str">
        <f>IFERROR(VLOOKUP($D8859,'Informations sur les produits'!$A$3:$H$10000,8,FALSE),"0")</f>
        <v>0</v>
      </c>
      <c r="K8859" s="4"/>
      <c r="L8859" s="33" t="str">
        <f>IFERROR(VLOOKUP($J8859,'Informations sur les produits'!$A$3:$H$10000,8,FALSE),"0")</f>
        <v>0</v>
      </c>
      <c r="N8859" s="8"/>
      <c r="O8859" s="33" t="str">
        <f>IFERROR(VLOOKUP($M8859,'Informations sur les produits'!$A$3:$H$10000,8,FALSE),"0")</f>
        <v>0</v>
      </c>
      <c r="P8859" s="33">
        <f t="shared" si="552"/>
        <v>0</v>
      </c>
      <c r="Q8859" s="31" t="str">
        <f t="shared" si="553"/>
        <v/>
      </c>
      <c r="R8859" s="32" t="str">
        <f>IFERROR(VLOOKUP($D8859,'Informations sur les produits'!$A$3:$B$15000,2,FALSE),"")</f>
        <v/>
      </c>
      <c r="V8859">
        <f t="shared" si="554"/>
        <v>0</v>
      </c>
      <c r="W8859">
        <f t="shared" si="555"/>
        <v>0</v>
      </c>
    </row>
    <row r="8860" spans="5:23" x14ac:dyDescent="0.25">
      <c r="E8860" s="4"/>
      <c r="F8860" s="4"/>
      <c r="G8860" s="33" t="str">
        <f>IFERROR(VLOOKUP($D8860,'Informations sur les produits'!$A$3:$H$10000,8,FALSE),"0")</f>
        <v>0</v>
      </c>
      <c r="K8860" s="4"/>
      <c r="L8860" s="33" t="str">
        <f>IFERROR(VLOOKUP($J8860,'Informations sur les produits'!$A$3:$H$10000,8,FALSE),"0")</f>
        <v>0</v>
      </c>
      <c r="N8860" s="8"/>
      <c r="O8860" s="33" t="str">
        <f>IFERROR(VLOOKUP($M8860,'Informations sur les produits'!$A$3:$H$10000,8,FALSE),"0")</f>
        <v>0</v>
      </c>
      <c r="P8860" s="33">
        <f t="shared" si="552"/>
        <v>0</v>
      </c>
      <c r="Q8860" s="31" t="str">
        <f t="shared" si="553"/>
        <v/>
      </c>
      <c r="R8860" s="32" t="str">
        <f>IFERROR(VLOOKUP($D8860,'Informations sur les produits'!$A$3:$B$15000,2,FALSE),"")</f>
        <v/>
      </c>
      <c r="V8860">
        <f t="shared" si="554"/>
        <v>0</v>
      </c>
      <c r="W8860">
        <f t="shared" si="555"/>
        <v>0</v>
      </c>
    </row>
    <row r="8861" spans="5:23" x14ac:dyDescent="0.25">
      <c r="E8861" s="4"/>
      <c r="F8861" s="4"/>
      <c r="G8861" s="33" t="str">
        <f>IFERROR(VLOOKUP($D8861,'Informations sur les produits'!$A$3:$H$10000,8,FALSE),"0")</f>
        <v>0</v>
      </c>
      <c r="K8861" s="4"/>
      <c r="L8861" s="33" t="str">
        <f>IFERROR(VLOOKUP($J8861,'Informations sur les produits'!$A$3:$H$10000,8,FALSE),"0")</f>
        <v>0</v>
      </c>
      <c r="N8861" s="8"/>
      <c r="O8861" s="33" t="str">
        <f>IFERROR(VLOOKUP($M8861,'Informations sur les produits'!$A$3:$H$10000,8,FALSE),"0")</f>
        <v>0</v>
      </c>
      <c r="P8861" s="33">
        <f t="shared" si="552"/>
        <v>0</v>
      </c>
      <c r="Q8861" s="31" t="str">
        <f t="shared" si="553"/>
        <v/>
      </c>
      <c r="R8861" s="32" t="str">
        <f>IFERROR(VLOOKUP($D8861,'Informations sur les produits'!$A$3:$B$15000,2,FALSE),"")</f>
        <v/>
      </c>
      <c r="V8861">
        <f t="shared" si="554"/>
        <v>0</v>
      </c>
      <c r="W8861">
        <f t="shared" si="555"/>
        <v>0</v>
      </c>
    </row>
    <row r="8862" spans="5:23" x14ac:dyDescent="0.25">
      <c r="E8862" s="4"/>
      <c r="F8862" s="4"/>
      <c r="G8862" s="33" t="str">
        <f>IFERROR(VLOOKUP($D8862,'Informations sur les produits'!$A$3:$H$10000,8,FALSE),"0")</f>
        <v>0</v>
      </c>
      <c r="K8862" s="4"/>
      <c r="L8862" s="33" t="str">
        <f>IFERROR(VLOOKUP($J8862,'Informations sur les produits'!$A$3:$H$10000,8,FALSE),"0")</f>
        <v>0</v>
      </c>
      <c r="N8862" s="8"/>
      <c r="O8862" s="33" t="str">
        <f>IFERROR(VLOOKUP($M8862,'Informations sur les produits'!$A$3:$H$10000,8,FALSE),"0")</f>
        <v>0</v>
      </c>
      <c r="P8862" s="33">
        <f t="shared" si="552"/>
        <v>0</v>
      </c>
      <c r="Q8862" s="31" t="str">
        <f t="shared" si="553"/>
        <v/>
      </c>
      <c r="R8862" s="32" t="str">
        <f>IFERROR(VLOOKUP($D8862,'Informations sur les produits'!$A$3:$B$15000,2,FALSE),"")</f>
        <v/>
      </c>
      <c r="V8862">
        <f t="shared" si="554"/>
        <v>0</v>
      </c>
      <c r="W8862">
        <f t="shared" si="555"/>
        <v>0</v>
      </c>
    </row>
    <row r="8863" spans="5:23" x14ac:dyDescent="0.25">
      <c r="E8863" s="4"/>
      <c r="F8863" s="4"/>
      <c r="G8863" s="33" t="str">
        <f>IFERROR(VLOOKUP($D8863,'Informations sur les produits'!$A$3:$H$10000,8,FALSE),"0")</f>
        <v>0</v>
      </c>
      <c r="K8863" s="4"/>
      <c r="L8863" s="33" t="str">
        <f>IFERROR(VLOOKUP($J8863,'Informations sur les produits'!$A$3:$H$10000,8,FALSE),"0")</f>
        <v>0</v>
      </c>
      <c r="N8863" s="8"/>
      <c r="O8863" s="33" t="str">
        <f>IFERROR(VLOOKUP($M8863,'Informations sur les produits'!$A$3:$H$10000,8,FALSE),"0")</f>
        <v>0</v>
      </c>
      <c r="P8863" s="33">
        <f t="shared" si="552"/>
        <v>0</v>
      </c>
      <c r="Q8863" s="31" t="str">
        <f t="shared" si="553"/>
        <v/>
      </c>
      <c r="R8863" s="32" t="str">
        <f>IFERROR(VLOOKUP($D8863,'Informations sur les produits'!$A$3:$B$15000,2,FALSE),"")</f>
        <v/>
      </c>
      <c r="V8863">
        <f t="shared" si="554"/>
        <v>0</v>
      </c>
      <c r="W8863">
        <f t="shared" si="555"/>
        <v>0</v>
      </c>
    </row>
    <row r="8864" spans="5:23" x14ac:dyDescent="0.25">
      <c r="E8864" s="4"/>
      <c r="F8864" s="4"/>
      <c r="G8864" s="33" t="str">
        <f>IFERROR(VLOOKUP($D8864,'Informations sur les produits'!$A$3:$H$10000,8,FALSE),"0")</f>
        <v>0</v>
      </c>
      <c r="K8864" s="4"/>
      <c r="L8864" s="33" t="str">
        <f>IFERROR(VLOOKUP($J8864,'Informations sur les produits'!$A$3:$H$10000,8,FALSE),"0")</f>
        <v>0</v>
      </c>
      <c r="N8864" s="8"/>
      <c r="O8864" s="33" t="str">
        <f>IFERROR(VLOOKUP($M8864,'Informations sur les produits'!$A$3:$H$10000,8,FALSE),"0")</f>
        <v>0</v>
      </c>
      <c r="P8864" s="33">
        <f t="shared" si="552"/>
        <v>0</v>
      </c>
      <c r="Q8864" s="31" t="str">
        <f t="shared" si="553"/>
        <v/>
      </c>
      <c r="R8864" s="32" t="str">
        <f>IFERROR(VLOOKUP($D8864,'Informations sur les produits'!$A$3:$B$15000,2,FALSE),"")</f>
        <v/>
      </c>
      <c r="V8864">
        <f t="shared" si="554"/>
        <v>0</v>
      </c>
      <c r="W8864">
        <f t="shared" si="555"/>
        <v>0</v>
      </c>
    </row>
    <row r="8865" spans="5:23" x14ac:dyDescent="0.25">
      <c r="E8865" s="4"/>
      <c r="F8865" s="4"/>
      <c r="G8865" s="33" t="str">
        <f>IFERROR(VLOOKUP($D8865,'Informations sur les produits'!$A$3:$H$10000,8,FALSE),"0")</f>
        <v>0</v>
      </c>
      <c r="K8865" s="4"/>
      <c r="L8865" s="33" t="str">
        <f>IFERROR(VLOOKUP($J8865,'Informations sur les produits'!$A$3:$H$10000,8,FALSE),"0")</f>
        <v>0</v>
      </c>
      <c r="N8865" s="8"/>
      <c r="O8865" s="33" t="str">
        <f>IFERROR(VLOOKUP($M8865,'Informations sur les produits'!$A$3:$H$10000,8,FALSE),"0")</f>
        <v>0</v>
      </c>
      <c r="P8865" s="33">
        <f t="shared" si="552"/>
        <v>0</v>
      </c>
      <c r="Q8865" s="31" t="str">
        <f t="shared" si="553"/>
        <v/>
      </c>
      <c r="R8865" s="32" t="str">
        <f>IFERROR(VLOOKUP($D8865,'Informations sur les produits'!$A$3:$B$15000,2,FALSE),"")</f>
        <v/>
      </c>
      <c r="V8865">
        <f t="shared" si="554"/>
        <v>0</v>
      </c>
      <c r="W8865">
        <f t="shared" si="555"/>
        <v>0</v>
      </c>
    </row>
    <row r="8866" spans="5:23" x14ac:dyDescent="0.25">
      <c r="E8866" s="4"/>
      <c r="F8866" s="4"/>
      <c r="G8866" s="33" t="str">
        <f>IFERROR(VLOOKUP($D8866,'Informations sur les produits'!$A$3:$H$10000,8,FALSE),"0")</f>
        <v>0</v>
      </c>
      <c r="K8866" s="4"/>
      <c r="L8866" s="33" t="str">
        <f>IFERROR(VLOOKUP($J8866,'Informations sur les produits'!$A$3:$H$10000,8,FALSE),"0")</f>
        <v>0</v>
      </c>
      <c r="N8866" s="8"/>
      <c r="O8866" s="33" t="str">
        <f>IFERROR(VLOOKUP($M8866,'Informations sur les produits'!$A$3:$H$10000,8,FALSE),"0")</f>
        <v>0</v>
      </c>
      <c r="P8866" s="33">
        <f t="shared" si="552"/>
        <v>0</v>
      </c>
      <c r="Q8866" s="31" t="str">
        <f t="shared" si="553"/>
        <v/>
      </c>
      <c r="R8866" s="32" t="str">
        <f>IFERROR(VLOOKUP($D8866,'Informations sur les produits'!$A$3:$B$15000,2,FALSE),"")</f>
        <v/>
      </c>
      <c r="V8866">
        <f t="shared" si="554"/>
        <v>0</v>
      </c>
      <c r="W8866">
        <f t="shared" si="555"/>
        <v>0</v>
      </c>
    </row>
    <row r="8867" spans="5:23" x14ac:dyDescent="0.25">
      <c r="E8867" s="4"/>
      <c r="F8867" s="4"/>
      <c r="G8867" s="33" t="str">
        <f>IFERROR(VLOOKUP($D8867,'Informations sur les produits'!$A$3:$H$10000,8,FALSE),"0")</f>
        <v>0</v>
      </c>
      <c r="K8867" s="4"/>
      <c r="L8867" s="33" t="str">
        <f>IFERROR(VLOOKUP($J8867,'Informations sur les produits'!$A$3:$H$10000,8,FALSE),"0")</f>
        <v>0</v>
      </c>
      <c r="N8867" s="8"/>
      <c r="O8867" s="33" t="str">
        <f>IFERROR(VLOOKUP($M8867,'Informations sur les produits'!$A$3:$H$10000,8,FALSE),"0")</f>
        <v>0</v>
      </c>
      <c r="P8867" s="33">
        <f t="shared" si="552"/>
        <v>0</v>
      </c>
      <c r="Q8867" s="31" t="str">
        <f t="shared" si="553"/>
        <v/>
      </c>
      <c r="R8867" s="32" t="str">
        <f>IFERROR(VLOOKUP($D8867,'Informations sur les produits'!$A$3:$B$15000,2,FALSE),"")</f>
        <v/>
      </c>
      <c r="V8867">
        <f t="shared" si="554"/>
        <v>0</v>
      </c>
      <c r="W8867">
        <f t="shared" si="555"/>
        <v>0</v>
      </c>
    </row>
    <row r="8868" spans="5:23" x14ac:dyDescent="0.25">
      <c r="E8868" s="4"/>
      <c r="F8868" s="4"/>
      <c r="G8868" s="33" t="str">
        <f>IFERROR(VLOOKUP($D8868,'Informations sur les produits'!$A$3:$H$10000,8,FALSE),"0")</f>
        <v>0</v>
      </c>
      <c r="K8868" s="4"/>
      <c r="L8868" s="33" t="str">
        <f>IFERROR(VLOOKUP($J8868,'Informations sur les produits'!$A$3:$H$10000,8,FALSE),"0")</f>
        <v>0</v>
      </c>
      <c r="N8868" s="8"/>
      <c r="O8868" s="33" t="str">
        <f>IFERROR(VLOOKUP($M8868,'Informations sur les produits'!$A$3:$H$10000,8,FALSE),"0")</f>
        <v>0</v>
      </c>
      <c r="P8868" s="33">
        <f t="shared" si="552"/>
        <v>0</v>
      </c>
      <c r="Q8868" s="31" t="str">
        <f t="shared" si="553"/>
        <v/>
      </c>
      <c r="R8868" s="32" t="str">
        <f>IFERROR(VLOOKUP($D8868,'Informations sur les produits'!$A$3:$B$15000,2,FALSE),"")</f>
        <v/>
      </c>
      <c r="V8868">
        <f t="shared" si="554"/>
        <v>0</v>
      </c>
      <c r="W8868">
        <f t="shared" si="555"/>
        <v>0</v>
      </c>
    </row>
    <row r="8869" spans="5:23" x14ac:dyDescent="0.25">
      <c r="E8869" s="4"/>
      <c r="F8869" s="4"/>
      <c r="G8869" s="33" t="str">
        <f>IFERROR(VLOOKUP($D8869,'Informations sur les produits'!$A$3:$H$10000,8,FALSE),"0")</f>
        <v>0</v>
      </c>
      <c r="K8869" s="4"/>
      <c r="L8869" s="33" t="str">
        <f>IFERROR(VLOOKUP($J8869,'Informations sur les produits'!$A$3:$H$10000,8,FALSE),"0")</f>
        <v>0</v>
      </c>
      <c r="N8869" s="8"/>
      <c r="O8869" s="33" t="str">
        <f>IFERROR(VLOOKUP($M8869,'Informations sur les produits'!$A$3:$H$10000,8,FALSE),"0")</f>
        <v>0</v>
      </c>
      <c r="P8869" s="33">
        <f t="shared" si="552"/>
        <v>0</v>
      </c>
      <c r="Q8869" s="31" t="str">
        <f t="shared" si="553"/>
        <v/>
      </c>
      <c r="R8869" s="32" t="str">
        <f>IFERROR(VLOOKUP($D8869,'Informations sur les produits'!$A$3:$B$15000,2,FALSE),"")</f>
        <v/>
      </c>
      <c r="V8869">
        <f t="shared" si="554"/>
        <v>0</v>
      </c>
      <c r="W8869">
        <f t="shared" si="555"/>
        <v>0</v>
      </c>
    </row>
    <row r="8870" spans="5:23" x14ac:dyDescent="0.25">
      <c r="E8870" s="4"/>
      <c r="F8870" s="4"/>
      <c r="G8870" s="33" t="str">
        <f>IFERROR(VLOOKUP($D8870,'Informations sur les produits'!$A$3:$H$10000,8,FALSE),"0")</f>
        <v>0</v>
      </c>
      <c r="K8870" s="4"/>
      <c r="L8870" s="33" t="str">
        <f>IFERROR(VLOOKUP($J8870,'Informations sur les produits'!$A$3:$H$10000,8,FALSE),"0")</f>
        <v>0</v>
      </c>
      <c r="N8870" s="8"/>
      <c r="O8870" s="33" t="str">
        <f>IFERROR(VLOOKUP($M8870,'Informations sur les produits'!$A$3:$H$10000,8,FALSE),"0")</f>
        <v>0</v>
      </c>
      <c r="P8870" s="33">
        <f t="shared" si="552"/>
        <v>0</v>
      </c>
      <c r="Q8870" s="31" t="str">
        <f t="shared" si="553"/>
        <v/>
      </c>
      <c r="R8870" s="32" t="str">
        <f>IFERROR(VLOOKUP($D8870,'Informations sur les produits'!$A$3:$B$15000,2,FALSE),"")</f>
        <v/>
      </c>
      <c r="V8870">
        <f t="shared" si="554"/>
        <v>0</v>
      </c>
      <c r="W8870">
        <f t="shared" si="555"/>
        <v>0</v>
      </c>
    </row>
    <row r="8871" spans="5:23" x14ac:dyDescent="0.25">
      <c r="E8871" s="4"/>
      <c r="F8871" s="4"/>
      <c r="G8871" s="33" t="str">
        <f>IFERROR(VLOOKUP($D8871,'Informations sur les produits'!$A$3:$H$10000,8,FALSE),"0")</f>
        <v>0</v>
      </c>
      <c r="K8871" s="4"/>
      <c r="L8871" s="33" t="str">
        <f>IFERROR(VLOOKUP($J8871,'Informations sur les produits'!$A$3:$H$10000,8,FALSE),"0")</f>
        <v>0</v>
      </c>
      <c r="N8871" s="8"/>
      <c r="O8871" s="33" t="str">
        <f>IFERROR(VLOOKUP($M8871,'Informations sur les produits'!$A$3:$H$10000,8,FALSE),"0")</f>
        <v>0</v>
      </c>
      <c r="P8871" s="33">
        <f t="shared" si="552"/>
        <v>0</v>
      </c>
      <c r="Q8871" s="31" t="str">
        <f t="shared" si="553"/>
        <v/>
      </c>
      <c r="R8871" s="32" t="str">
        <f>IFERROR(VLOOKUP($D8871,'Informations sur les produits'!$A$3:$B$15000,2,FALSE),"")</f>
        <v/>
      </c>
      <c r="V8871">
        <f t="shared" si="554"/>
        <v>0</v>
      </c>
      <c r="W8871">
        <f t="shared" si="555"/>
        <v>0</v>
      </c>
    </row>
    <row r="8872" spans="5:23" x14ac:dyDescent="0.25">
      <c r="E8872" s="4"/>
      <c r="F8872" s="4"/>
      <c r="G8872" s="33" t="str">
        <f>IFERROR(VLOOKUP($D8872,'Informations sur les produits'!$A$3:$H$10000,8,FALSE),"0")</f>
        <v>0</v>
      </c>
      <c r="K8872" s="4"/>
      <c r="L8872" s="33" t="str">
        <f>IFERROR(VLOOKUP($J8872,'Informations sur les produits'!$A$3:$H$10000,8,FALSE),"0")</f>
        <v>0</v>
      </c>
      <c r="N8872" s="8"/>
      <c r="O8872" s="33" t="str">
        <f>IFERROR(VLOOKUP($M8872,'Informations sur les produits'!$A$3:$H$10000,8,FALSE),"0")</f>
        <v>0</v>
      </c>
      <c r="P8872" s="33">
        <f t="shared" si="552"/>
        <v>0</v>
      </c>
      <c r="Q8872" s="31" t="str">
        <f t="shared" si="553"/>
        <v/>
      </c>
      <c r="R8872" s="32" t="str">
        <f>IFERROR(VLOOKUP($D8872,'Informations sur les produits'!$A$3:$B$15000,2,FALSE),"")</f>
        <v/>
      </c>
      <c r="V8872">
        <f t="shared" si="554"/>
        <v>0</v>
      </c>
      <c r="W8872">
        <f t="shared" si="555"/>
        <v>0</v>
      </c>
    </row>
    <row r="8873" spans="5:23" x14ac:dyDescent="0.25">
      <c r="E8873" s="4"/>
      <c r="F8873" s="4"/>
      <c r="G8873" s="33" t="str">
        <f>IFERROR(VLOOKUP($D8873,'Informations sur les produits'!$A$3:$H$10000,8,FALSE),"0")</f>
        <v>0</v>
      </c>
      <c r="K8873" s="4"/>
      <c r="L8873" s="33" t="str">
        <f>IFERROR(VLOOKUP($J8873,'Informations sur les produits'!$A$3:$H$10000,8,FALSE),"0")</f>
        <v>0</v>
      </c>
      <c r="N8873" s="8"/>
      <c r="O8873" s="33" t="str">
        <f>IFERROR(VLOOKUP($M8873,'Informations sur les produits'!$A$3:$H$10000,8,FALSE),"0")</f>
        <v>0</v>
      </c>
      <c r="P8873" s="33">
        <f t="shared" si="552"/>
        <v>0</v>
      </c>
      <c r="Q8873" s="31" t="str">
        <f t="shared" si="553"/>
        <v/>
      </c>
      <c r="R8873" s="32" t="str">
        <f>IFERROR(VLOOKUP($D8873,'Informations sur les produits'!$A$3:$B$15000,2,FALSE),"")</f>
        <v/>
      </c>
      <c r="V8873">
        <f t="shared" si="554"/>
        <v>0</v>
      </c>
      <c r="W8873">
        <f t="shared" si="555"/>
        <v>0</v>
      </c>
    </row>
    <row r="8874" spans="5:23" x14ac:dyDescent="0.25">
      <c r="E8874" s="4"/>
      <c r="F8874" s="4"/>
      <c r="G8874" s="33" t="str">
        <f>IFERROR(VLOOKUP($D8874,'Informations sur les produits'!$A$3:$H$10000,8,FALSE),"0")</f>
        <v>0</v>
      </c>
      <c r="K8874" s="4"/>
      <c r="L8874" s="33" t="str">
        <f>IFERROR(VLOOKUP($J8874,'Informations sur les produits'!$A$3:$H$10000,8,FALSE),"0")</f>
        <v>0</v>
      </c>
      <c r="N8874" s="8"/>
      <c r="O8874" s="33" t="str">
        <f>IFERROR(VLOOKUP($M8874,'Informations sur les produits'!$A$3:$H$10000,8,FALSE),"0")</f>
        <v>0</v>
      </c>
      <c r="P8874" s="33">
        <f t="shared" si="552"/>
        <v>0</v>
      </c>
      <c r="Q8874" s="31" t="str">
        <f t="shared" si="553"/>
        <v/>
      </c>
      <c r="R8874" s="32" t="str">
        <f>IFERROR(VLOOKUP($D8874,'Informations sur les produits'!$A$3:$B$15000,2,FALSE),"")</f>
        <v/>
      </c>
      <c r="V8874">
        <f t="shared" si="554"/>
        <v>0</v>
      </c>
      <c r="W8874">
        <f t="shared" si="555"/>
        <v>0</v>
      </c>
    </row>
    <row r="8875" spans="5:23" x14ac:dyDescent="0.25">
      <c r="E8875" s="4"/>
      <c r="F8875" s="4"/>
      <c r="G8875" s="33" t="str">
        <f>IFERROR(VLOOKUP($D8875,'Informations sur les produits'!$A$3:$H$10000,8,FALSE),"0")</f>
        <v>0</v>
      </c>
      <c r="K8875" s="4"/>
      <c r="L8875" s="33" t="str">
        <f>IFERROR(VLOOKUP($J8875,'Informations sur les produits'!$A$3:$H$10000,8,FALSE),"0")</f>
        <v>0</v>
      </c>
      <c r="N8875" s="8"/>
      <c r="O8875" s="33" t="str">
        <f>IFERROR(VLOOKUP($M8875,'Informations sur les produits'!$A$3:$H$10000,8,FALSE),"0")</f>
        <v>0</v>
      </c>
      <c r="P8875" s="33">
        <f t="shared" si="552"/>
        <v>0</v>
      </c>
      <c r="Q8875" s="31" t="str">
        <f t="shared" si="553"/>
        <v/>
      </c>
      <c r="R8875" s="32" t="str">
        <f>IFERROR(VLOOKUP($D8875,'Informations sur les produits'!$A$3:$B$15000,2,FALSE),"")</f>
        <v/>
      </c>
      <c r="V8875">
        <f t="shared" si="554"/>
        <v>0</v>
      </c>
      <c r="W8875">
        <f t="shared" si="555"/>
        <v>0</v>
      </c>
    </row>
    <row r="8876" spans="5:23" x14ac:dyDescent="0.25">
      <c r="E8876" s="4"/>
      <c r="F8876" s="4"/>
      <c r="G8876" s="33" t="str">
        <f>IFERROR(VLOOKUP($D8876,'Informations sur les produits'!$A$3:$H$10000,8,FALSE),"0")</f>
        <v>0</v>
      </c>
      <c r="K8876" s="4"/>
      <c r="L8876" s="33" t="str">
        <f>IFERROR(VLOOKUP($J8876,'Informations sur les produits'!$A$3:$H$10000,8,FALSE),"0")</f>
        <v>0</v>
      </c>
      <c r="N8876" s="8"/>
      <c r="O8876" s="33" t="str">
        <f>IFERROR(VLOOKUP($M8876,'Informations sur les produits'!$A$3:$H$10000,8,FALSE),"0")</f>
        <v>0</v>
      </c>
      <c r="P8876" s="33">
        <f t="shared" si="552"/>
        <v>0</v>
      </c>
      <c r="Q8876" s="31" t="str">
        <f t="shared" si="553"/>
        <v/>
      </c>
      <c r="R8876" s="32" t="str">
        <f>IFERROR(VLOOKUP($D8876,'Informations sur les produits'!$A$3:$B$15000,2,FALSE),"")</f>
        <v/>
      </c>
      <c r="V8876">
        <f t="shared" si="554"/>
        <v>0</v>
      </c>
      <c r="W8876">
        <f t="shared" si="555"/>
        <v>0</v>
      </c>
    </row>
    <row r="8877" spans="5:23" x14ac:dyDescent="0.25">
      <c r="E8877" s="4"/>
      <c r="F8877" s="4"/>
      <c r="G8877" s="33" t="str">
        <f>IFERROR(VLOOKUP($D8877,'Informations sur les produits'!$A$3:$H$10000,8,FALSE),"0")</f>
        <v>0</v>
      </c>
      <c r="K8877" s="4"/>
      <c r="L8877" s="33" t="str">
        <f>IFERROR(VLOOKUP($J8877,'Informations sur les produits'!$A$3:$H$10000,8,FALSE),"0")</f>
        <v>0</v>
      </c>
      <c r="N8877" s="8"/>
      <c r="O8877" s="33" t="str">
        <f>IFERROR(VLOOKUP($M8877,'Informations sur les produits'!$A$3:$H$10000,8,FALSE),"0")</f>
        <v>0</v>
      </c>
      <c r="P8877" s="33">
        <f t="shared" si="552"/>
        <v>0</v>
      </c>
      <c r="Q8877" s="31" t="str">
        <f t="shared" si="553"/>
        <v/>
      </c>
      <c r="R8877" s="32" t="str">
        <f>IFERROR(VLOOKUP($D8877,'Informations sur les produits'!$A$3:$B$15000,2,FALSE),"")</f>
        <v/>
      </c>
      <c r="V8877">
        <f t="shared" si="554"/>
        <v>0</v>
      </c>
      <c r="W8877">
        <f t="shared" si="555"/>
        <v>0</v>
      </c>
    </row>
    <row r="8878" spans="5:23" x14ac:dyDescent="0.25">
      <c r="E8878" s="4"/>
      <c r="F8878" s="4"/>
      <c r="G8878" s="33" t="str">
        <f>IFERROR(VLOOKUP($D8878,'Informations sur les produits'!$A$3:$H$10000,8,FALSE),"0")</f>
        <v>0</v>
      </c>
      <c r="K8878" s="4"/>
      <c r="L8878" s="33" t="str">
        <f>IFERROR(VLOOKUP($J8878,'Informations sur les produits'!$A$3:$H$10000,8,FALSE),"0")</f>
        <v>0</v>
      </c>
      <c r="N8878" s="8"/>
      <c r="O8878" s="33" t="str">
        <f>IFERROR(VLOOKUP($M8878,'Informations sur les produits'!$A$3:$H$10000,8,FALSE),"0")</f>
        <v>0</v>
      </c>
      <c r="P8878" s="33">
        <f t="shared" si="552"/>
        <v>0</v>
      </c>
      <c r="Q8878" s="31" t="str">
        <f t="shared" si="553"/>
        <v/>
      </c>
      <c r="R8878" s="32" t="str">
        <f>IFERROR(VLOOKUP($D8878,'Informations sur les produits'!$A$3:$B$15000,2,FALSE),"")</f>
        <v/>
      </c>
      <c r="V8878">
        <f t="shared" si="554"/>
        <v>0</v>
      </c>
      <c r="W8878">
        <f t="shared" si="555"/>
        <v>0</v>
      </c>
    </row>
    <row r="8879" spans="5:23" x14ac:dyDescent="0.25">
      <c r="E8879" s="4"/>
      <c r="F8879" s="4"/>
      <c r="G8879" s="33" t="str">
        <f>IFERROR(VLOOKUP($D8879,'Informations sur les produits'!$A$3:$H$10000,8,FALSE),"0")</f>
        <v>0</v>
      </c>
      <c r="K8879" s="4"/>
      <c r="L8879" s="33" t="str">
        <f>IFERROR(VLOOKUP($J8879,'Informations sur les produits'!$A$3:$H$10000,8,FALSE),"0")</f>
        <v>0</v>
      </c>
      <c r="N8879" s="8"/>
      <c r="O8879" s="33" t="str">
        <f>IFERROR(VLOOKUP($M8879,'Informations sur les produits'!$A$3:$H$10000,8,FALSE),"0")</f>
        <v>0</v>
      </c>
      <c r="P8879" s="33">
        <f t="shared" si="552"/>
        <v>0</v>
      </c>
      <c r="Q8879" s="31" t="str">
        <f t="shared" si="553"/>
        <v/>
      </c>
      <c r="R8879" s="32" t="str">
        <f>IFERROR(VLOOKUP($D8879,'Informations sur les produits'!$A$3:$B$15000,2,FALSE),"")</f>
        <v/>
      </c>
      <c r="V8879">
        <f t="shared" si="554"/>
        <v>0</v>
      </c>
      <c r="W8879">
        <f t="shared" si="555"/>
        <v>0</v>
      </c>
    </row>
    <row r="8880" spans="5:23" x14ac:dyDescent="0.25">
      <c r="E8880" s="4"/>
      <c r="F8880" s="4"/>
      <c r="G8880" s="33" t="str">
        <f>IFERROR(VLOOKUP($D8880,'Informations sur les produits'!$A$3:$H$10000,8,FALSE),"0")</f>
        <v>0</v>
      </c>
      <c r="K8880" s="4"/>
      <c r="L8880" s="33" t="str">
        <f>IFERROR(VLOOKUP($J8880,'Informations sur les produits'!$A$3:$H$10000,8,FALSE),"0")</f>
        <v>0</v>
      </c>
      <c r="N8880" s="8"/>
      <c r="O8880" s="33" t="str">
        <f>IFERROR(VLOOKUP($M8880,'Informations sur les produits'!$A$3:$H$10000,8,FALSE),"0")</f>
        <v>0</v>
      </c>
      <c r="P8880" s="33">
        <f t="shared" si="552"/>
        <v>0</v>
      </c>
      <c r="Q8880" s="31" t="str">
        <f t="shared" si="553"/>
        <v/>
      </c>
      <c r="R8880" s="32" t="str">
        <f>IFERROR(VLOOKUP($D8880,'Informations sur les produits'!$A$3:$B$15000,2,FALSE),"")</f>
        <v/>
      </c>
      <c r="V8880">
        <f t="shared" si="554"/>
        <v>0</v>
      </c>
      <c r="W8880">
        <f t="shared" si="555"/>
        <v>0</v>
      </c>
    </row>
    <row r="8881" spans="5:23" x14ac:dyDescent="0.25">
      <c r="E8881" s="4"/>
      <c r="F8881" s="4"/>
      <c r="G8881" s="33" t="str">
        <f>IFERROR(VLOOKUP($D8881,'Informations sur les produits'!$A$3:$H$10000,8,FALSE),"0")</f>
        <v>0</v>
      </c>
      <c r="K8881" s="4"/>
      <c r="L8881" s="33" t="str">
        <f>IFERROR(VLOOKUP($J8881,'Informations sur les produits'!$A$3:$H$10000,8,FALSE),"0")</f>
        <v>0</v>
      </c>
      <c r="N8881" s="8"/>
      <c r="O8881" s="33" t="str">
        <f>IFERROR(VLOOKUP($M8881,'Informations sur les produits'!$A$3:$H$10000,8,FALSE),"0")</f>
        <v>0</v>
      </c>
      <c r="P8881" s="33">
        <f t="shared" si="552"/>
        <v>0</v>
      </c>
      <c r="Q8881" s="31" t="str">
        <f t="shared" si="553"/>
        <v/>
      </c>
      <c r="R8881" s="32" t="str">
        <f>IFERROR(VLOOKUP($D8881,'Informations sur les produits'!$A$3:$B$15000,2,FALSE),"")</f>
        <v/>
      </c>
      <c r="V8881">
        <f t="shared" si="554"/>
        <v>0</v>
      </c>
      <c r="W8881">
        <f t="shared" si="555"/>
        <v>0</v>
      </c>
    </row>
    <row r="8882" spans="5:23" x14ac:dyDescent="0.25">
      <c r="E8882" s="4"/>
      <c r="F8882" s="4"/>
      <c r="G8882" s="33" t="str">
        <f>IFERROR(VLOOKUP($D8882,'Informations sur les produits'!$A$3:$H$10000,8,FALSE),"0")</f>
        <v>0</v>
      </c>
      <c r="K8882" s="4"/>
      <c r="L8882" s="33" t="str">
        <f>IFERROR(VLOOKUP($J8882,'Informations sur les produits'!$A$3:$H$10000,8,FALSE),"0")</f>
        <v>0</v>
      </c>
      <c r="N8882" s="8"/>
      <c r="O8882" s="33" t="str">
        <f>IFERROR(VLOOKUP($M8882,'Informations sur les produits'!$A$3:$H$10000,8,FALSE),"0")</f>
        <v>0</v>
      </c>
      <c r="P8882" s="33">
        <f t="shared" si="552"/>
        <v>0</v>
      </c>
      <c r="Q8882" s="31" t="str">
        <f t="shared" si="553"/>
        <v/>
      </c>
      <c r="R8882" s="32" t="str">
        <f>IFERROR(VLOOKUP($D8882,'Informations sur les produits'!$A$3:$B$15000,2,FALSE),"")</f>
        <v/>
      </c>
      <c r="V8882">
        <f t="shared" si="554"/>
        <v>0</v>
      </c>
      <c r="W8882">
        <f t="shared" si="555"/>
        <v>0</v>
      </c>
    </row>
    <row r="8883" spans="5:23" x14ac:dyDescent="0.25">
      <c r="E8883" s="4"/>
      <c r="F8883" s="4"/>
      <c r="G8883" s="33" t="str">
        <f>IFERROR(VLOOKUP($D8883,'Informations sur les produits'!$A$3:$H$10000,8,FALSE),"0")</f>
        <v>0</v>
      </c>
      <c r="K8883" s="4"/>
      <c r="L8883" s="33" t="str">
        <f>IFERROR(VLOOKUP($J8883,'Informations sur les produits'!$A$3:$H$10000,8,FALSE),"0")</f>
        <v>0</v>
      </c>
      <c r="N8883" s="8"/>
      <c r="O8883" s="33" t="str">
        <f>IFERROR(VLOOKUP($M8883,'Informations sur les produits'!$A$3:$H$10000,8,FALSE),"0")</f>
        <v>0</v>
      </c>
      <c r="P8883" s="33">
        <f t="shared" si="552"/>
        <v>0</v>
      </c>
      <c r="Q8883" s="31" t="str">
        <f t="shared" si="553"/>
        <v/>
      </c>
      <c r="R8883" s="32" t="str">
        <f>IFERROR(VLOOKUP($D8883,'Informations sur les produits'!$A$3:$B$15000,2,FALSE),"")</f>
        <v/>
      </c>
      <c r="V8883">
        <f t="shared" si="554"/>
        <v>0</v>
      </c>
      <c r="W8883">
        <f t="shared" si="555"/>
        <v>0</v>
      </c>
    </row>
    <row r="8884" spans="5:23" x14ac:dyDescent="0.25">
      <c r="E8884" s="4"/>
      <c r="F8884" s="4"/>
      <c r="G8884" s="33" t="str">
        <f>IFERROR(VLOOKUP($D8884,'Informations sur les produits'!$A$3:$H$10000,8,FALSE),"0")</f>
        <v>0</v>
      </c>
      <c r="K8884" s="4"/>
      <c r="L8884" s="33" t="str">
        <f>IFERROR(VLOOKUP($J8884,'Informations sur les produits'!$A$3:$H$10000,8,FALSE),"0")</f>
        <v>0</v>
      </c>
      <c r="N8884" s="8"/>
      <c r="O8884" s="33" t="str">
        <f>IFERROR(VLOOKUP($M8884,'Informations sur les produits'!$A$3:$H$10000,8,FALSE),"0")</f>
        <v>0</v>
      </c>
      <c r="P8884" s="33">
        <f t="shared" si="552"/>
        <v>0</v>
      </c>
      <c r="Q8884" s="31" t="str">
        <f t="shared" si="553"/>
        <v/>
      </c>
      <c r="R8884" s="32" t="str">
        <f>IFERROR(VLOOKUP($D8884,'Informations sur les produits'!$A$3:$B$15000,2,FALSE),"")</f>
        <v/>
      </c>
      <c r="V8884">
        <f t="shared" si="554"/>
        <v>0</v>
      </c>
      <c r="W8884">
        <f t="shared" si="555"/>
        <v>0</v>
      </c>
    </row>
    <row r="8885" spans="5:23" x14ac:dyDescent="0.25">
      <c r="E8885" s="4"/>
      <c r="F8885" s="4"/>
      <c r="G8885" s="33" t="str">
        <f>IFERROR(VLOOKUP($D8885,'Informations sur les produits'!$A$3:$H$10000,8,FALSE),"0")</f>
        <v>0</v>
      </c>
      <c r="K8885" s="4"/>
      <c r="L8885" s="33" t="str">
        <f>IFERROR(VLOOKUP($J8885,'Informations sur les produits'!$A$3:$H$10000,8,FALSE),"0")</f>
        <v>0</v>
      </c>
      <c r="N8885" s="8"/>
      <c r="O8885" s="33" t="str">
        <f>IFERROR(VLOOKUP($M8885,'Informations sur les produits'!$A$3:$H$10000,8,FALSE),"0")</f>
        <v>0</v>
      </c>
      <c r="P8885" s="33">
        <f t="shared" si="552"/>
        <v>0</v>
      </c>
      <c r="Q8885" s="31" t="str">
        <f t="shared" si="553"/>
        <v/>
      </c>
      <c r="R8885" s="32" t="str">
        <f>IFERROR(VLOOKUP($D8885,'Informations sur les produits'!$A$3:$B$15000,2,FALSE),"")</f>
        <v/>
      </c>
      <c r="V8885">
        <f t="shared" si="554"/>
        <v>0</v>
      </c>
      <c r="W8885">
        <f t="shared" si="555"/>
        <v>0</v>
      </c>
    </row>
    <row r="8886" spans="5:23" x14ac:dyDescent="0.25">
      <c r="E8886" s="4"/>
      <c r="F8886" s="4"/>
      <c r="G8886" s="33" t="str">
        <f>IFERROR(VLOOKUP($D8886,'Informations sur les produits'!$A$3:$H$10000,8,FALSE),"0")</f>
        <v>0</v>
      </c>
      <c r="K8886" s="4"/>
      <c r="L8886" s="33" t="str">
        <f>IFERROR(VLOOKUP($J8886,'Informations sur les produits'!$A$3:$H$10000,8,FALSE),"0")</f>
        <v>0</v>
      </c>
      <c r="N8886" s="8"/>
      <c r="O8886" s="33" t="str">
        <f>IFERROR(VLOOKUP($M8886,'Informations sur les produits'!$A$3:$H$10000,8,FALSE),"0")</f>
        <v>0</v>
      </c>
      <c r="P8886" s="33">
        <f t="shared" si="552"/>
        <v>0</v>
      </c>
      <c r="Q8886" s="31" t="str">
        <f t="shared" si="553"/>
        <v/>
      </c>
      <c r="R8886" s="32" t="str">
        <f>IFERROR(VLOOKUP($D8886,'Informations sur les produits'!$A$3:$B$15000,2,FALSE),"")</f>
        <v/>
      </c>
      <c r="V8886">
        <f t="shared" si="554"/>
        <v>0</v>
      </c>
      <c r="W8886">
        <f t="shared" si="555"/>
        <v>0</v>
      </c>
    </row>
    <row r="8887" spans="5:23" x14ac:dyDescent="0.25">
      <c r="E8887" s="4"/>
      <c r="F8887" s="4"/>
      <c r="G8887" s="33" t="str">
        <f>IFERROR(VLOOKUP($D8887,'Informations sur les produits'!$A$3:$H$10000,8,FALSE),"0")</f>
        <v>0</v>
      </c>
      <c r="K8887" s="4"/>
      <c r="L8887" s="33" t="str">
        <f>IFERROR(VLOOKUP($J8887,'Informations sur les produits'!$A$3:$H$10000,8,FALSE),"0")</f>
        <v>0</v>
      </c>
      <c r="N8887" s="8"/>
      <c r="O8887" s="33" t="str">
        <f>IFERROR(VLOOKUP($M8887,'Informations sur les produits'!$A$3:$H$10000,8,FALSE),"0")</f>
        <v>0</v>
      </c>
      <c r="P8887" s="33">
        <f t="shared" si="552"/>
        <v>0</v>
      </c>
      <c r="Q8887" s="31" t="str">
        <f t="shared" si="553"/>
        <v/>
      </c>
      <c r="R8887" s="32" t="str">
        <f>IFERROR(VLOOKUP($D8887,'Informations sur les produits'!$A$3:$B$15000,2,FALSE),"")</f>
        <v/>
      </c>
      <c r="V8887">
        <f t="shared" si="554"/>
        <v>0</v>
      </c>
      <c r="W8887">
        <f t="shared" si="555"/>
        <v>0</v>
      </c>
    </row>
    <row r="8888" spans="5:23" x14ac:dyDescent="0.25">
      <c r="E8888" s="4"/>
      <c r="F8888" s="4"/>
      <c r="G8888" s="33" t="str">
        <f>IFERROR(VLOOKUP($D8888,'Informations sur les produits'!$A$3:$H$10000,8,FALSE),"0")</f>
        <v>0</v>
      </c>
      <c r="K8888" s="4"/>
      <c r="L8888" s="33" t="str">
        <f>IFERROR(VLOOKUP($J8888,'Informations sur les produits'!$A$3:$H$10000,8,FALSE),"0")</f>
        <v>0</v>
      </c>
      <c r="N8888" s="8"/>
      <c r="O8888" s="33" t="str">
        <f>IFERROR(VLOOKUP($M8888,'Informations sur les produits'!$A$3:$H$10000,8,FALSE),"0")</f>
        <v>0</v>
      </c>
      <c r="P8888" s="33">
        <f t="shared" si="552"/>
        <v>0</v>
      </c>
      <c r="Q8888" s="31" t="str">
        <f t="shared" si="553"/>
        <v/>
      </c>
      <c r="R8888" s="32" t="str">
        <f>IFERROR(VLOOKUP($D8888,'Informations sur les produits'!$A$3:$B$15000,2,FALSE),"")</f>
        <v/>
      </c>
      <c r="V8888">
        <f t="shared" si="554"/>
        <v>0</v>
      </c>
      <c r="W8888">
        <f t="shared" si="555"/>
        <v>0</v>
      </c>
    </row>
    <row r="8889" spans="5:23" x14ac:dyDescent="0.25">
      <c r="E8889" s="4"/>
      <c r="F8889" s="4"/>
      <c r="G8889" s="33" t="str">
        <f>IFERROR(VLOOKUP($D8889,'Informations sur les produits'!$A$3:$H$10000,8,FALSE),"0")</f>
        <v>0</v>
      </c>
      <c r="K8889" s="4"/>
      <c r="L8889" s="33" t="str">
        <f>IFERROR(VLOOKUP($J8889,'Informations sur les produits'!$A$3:$H$10000,8,FALSE),"0")</f>
        <v>0</v>
      </c>
      <c r="N8889" s="8"/>
      <c r="O8889" s="33" t="str">
        <f>IFERROR(VLOOKUP($M8889,'Informations sur les produits'!$A$3:$H$10000,8,FALSE),"0")</f>
        <v>0</v>
      </c>
      <c r="P8889" s="33">
        <f t="shared" si="552"/>
        <v>0</v>
      </c>
      <c r="Q8889" s="31" t="str">
        <f t="shared" si="553"/>
        <v/>
      </c>
      <c r="R8889" s="32" t="str">
        <f>IFERROR(VLOOKUP($D8889,'Informations sur les produits'!$A$3:$B$15000,2,FALSE),"")</f>
        <v/>
      </c>
      <c r="V8889">
        <f t="shared" si="554"/>
        <v>0</v>
      </c>
      <c r="W8889">
        <f t="shared" si="555"/>
        <v>0</v>
      </c>
    </row>
    <row r="8890" spans="5:23" x14ac:dyDescent="0.25">
      <c r="E8890" s="4"/>
      <c r="F8890" s="4"/>
      <c r="G8890" s="33" t="str">
        <f>IFERROR(VLOOKUP($D8890,'Informations sur les produits'!$A$3:$H$10000,8,FALSE),"0")</f>
        <v>0</v>
      </c>
      <c r="K8890" s="4"/>
      <c r="L8890" s="33" t="str">
        <f>IFERROR(VLOOKUP($J8890,'Informations sur les produits'!$A$3:$H$10000,8,FALSE),"0")</f>
        <v>0</v>
      </c>
      <c r="N8890" s="8"/>
      <c r="O8890" s="33" t="str">
        <f>IFERROR(VLOOKUP($M8890,'Informations sur les produits'!$A$3:$H$10000,8,FALSE),"0")</f>
        <v>0</v>
      </c>
      <c r="P8890" s="33">
        <f t="shared" si="552"/>
        <v>0</v>
      </c>
      <c r="Q8890" s="31" t="str">
        <f t="shared" si="553"/>
        <v/>
      </c>
      <c r="R8890" s="32" t="str">
        <f>IFERROR(VLOOKUP($D8890,'Informations sur les produits'!$A$3:$B$15000,2,FALSE),"")</f>
        <v/>
      </c>
      <c r="V8890">
        <f t="shared" si="554"/>
        <v>0</v>
      </c>
      <c r="W8890">
        <f t="shared" si="555"/>
        <v>0</v>
      </c>
    </row>
    <row r="8891" spans="5:23" x14ac:dyDescent="0.25">
      <c r="E8891" s="4"/>
      <c r="F8891" s="4"/>
      <c r="G8891" s="33" t="str">
        <f>IFERROR(VLOOKUP($D8891,'Informations sur les produits'!$A$3:$H$10000,8,FALSE),"0")</f>
        <v>0</v>
      </c>
      <c r="K8891" s="4"/>
      <c r="L8891" s="33" t="str">
        <f>IFERROR(VLOOKUP($J8891,'Informations sur les produits'!$A$3:$H$10000,8,FALSE),"0")</f>
        <v>0</v>
      </c>
      <c r="N8891" s="8"/>
      <c r="O8891" s="33" t="str">
        <f>IFERROR(VLOOKUP($M8891,'Informations sur les produits'!$A$3:$H$10000,8,FALSE),"0")</f>
        <v>0</v>
      </c>
      <c r="P8891" s="33">
        <f t="shared" si="552"/>
        <v>0</v>
      </c>
      <c r="Q8891" s="31" t="str">
        <f t="shared" si="553"/>
        <v/>
      </c>
      <c r="R8891" s="32" t="str">
        <f>IFERROR(VLOOKUP($D8891,'Informations sur les produits'!$A$3:$B$15000,2,FALSE),"")</f>
        <v/>
      </c>
      <c r="V8891">
        <f t="shared" si="554"/>
        <v>0</v>
      </c>
      <c r="W8891">
        <f t="shared" si="555"/>
        <v>0</v>
      </c>
    </row>
    <row r="8892" spans="5:23" x14ac:dyDescent="0.25">
      <c r="E8892" s="4"/>
      <c r="F8892" s="4"/>
      <c r="G8892" s="33" t="str">
        <f>IFERROR(VLOOKUP($D8892,'Informations sur les produits'!$A$3:$H$10000,8,FALSE),"0")</f>
        <v>0</v>
      </c>
      <c r="K8892" s="4"/>
      <c r="L8892" s="33" t="str">
        <f>IFERROR(VLOOKUP($J8892,'Informations sur les produits'!$A$3:$H$10000,8,FALSE),"0")</f>
        <v>0</v>
      </c>
      <c r="N8892" s="8"/>
      <c r="O8892" s="33" t="str">
        <f>IFERROR(VLOOKUP($M8892,'Informations sur les produits'!$A$3:$H$10000,8,FALSE),"0")</f>
        <v>0</v>
      </c>
      <c r="P8892" s="33">
        <f t="shared" si="552"/>
        <v>0</v>
      </c>
      <c r="Q8892" s="31" t="str">
        <f t="shared" si="553"/>
        <v/>
      </c>
      <c r="R8892" s="32" t="str">
        <f>IFERROR(VLOOKUP($D8892,'Informations sur les produits'!$A$3:$B$15000,2,FALSE),"")</f>
        <v/>
      </c>
      <c r="V8892">
        <f t="shared" si="554"/>
        <v>0</v>
      </c>
      <c r="W8892">
        <f t="shared" si="555"/>
        <v>0</v>
      </c>
    </row>
    <row r="8893" spans="5:23" x14ac:dyDescent="0.25">
      <c r="E8893" s="4"/>
      <c r="F8893" s="4"/>
      <c r="G8893" s="33" t="str">
        <f>IFERROR(VLOOKUP($D8893,'Informations sur les produits'!$A$3:$H$10000,8,FALSE),"0")</f>
        <v>0</v>
      </c>
      <c r="K8893" s="4"/>
      <c r="L8893" s="33" t="str">
        <f>IFERROR(VLOOKUP($J8893,'Informations sur les produits'!$A$3:$H$10000,8,FALSE),"0")</f>
        <v>0</v>
      </c>
      <c r="N8893" s="8"/>
      <c r="O8893" s="33" t="str">
        <f>IFERROR(VLOOKUP($M8893,'Informations sur les produits'!$A$3:$H$10000,8,FALSE),"0")</f>
        <v>0</v>
      </c>
      <c r="P8893" s="33">
        <f t="shared" si="552"/>
        <v>0</v>
      </c>
      <c r="Q8893" s="31" t="str">
        <f t="shared" si="553"/>
        <v/>
      </c>
      <c r="R8893" s="32" t="str">
        <f>IFERROR(VLOOKUP($D8893,'Informations sur les produits'!$A$3:$B$15000,2,FALSE),"")</f>
        <v/>
      </c>
      <c r="V8893">
        <f t="shared" si="554"/>
        <v>0</v>
      </c>
      <c r="W8893">
        <f t="shared" si="555"/>
        <v>0</v>
      </c>
    </row>
    <row r="8894" spans="5:23" x14ac:dyDescent="0.25">
      <c r="E8894" s="4"/>
      <c r="F8894" s="4"/>
      <c r="G8894" s="33" t="str">
        <f>IFERROR(VLOOKUP($D8894,'Informations sur les produits'!$A$3:$H$10000,8,FALSE),"0")</f>
        <v>0</v>
      </c>
      <c r="K8894" s="4"/>
      <c r="L8894" s="33" t="str">
        <f>IFERROR(VLOOKUP($J8894,'Informations sur les produits'!$A$3:$H$10000,8,FALSE),"0")</f>
        <v>0</v>
      </c>
      <c r="N8894" s="8"/>
      <c r="O8894" s="33" t="str">
        <f>IFERROR(VLOOKUP($M8894,'Informations sur les produits'!$A$3:$H$10000,8,FALSE),"0")</f>
        <v>0</v>
      </c>
      <c r="P8894" s="33">
        <f t="shared" si="552"/>
        <v>0</v>
      </c>
      <c r="Q8894" s="31" t="str">
        <f t="shared" si="553"/>
        <v/>
      </c>
      <c r="R8894" s="32" t="str">
        <f>IFERROR(VLOOKUP($D8894,'Informations sur les produits'!$A$3:$B$15000,2,FALSE),"")</f>
        <v/>
      </c>
      <c r="V8894">
        <f t="shared" si="554"/>
        <v>0</v>
      </c>
      <c r="W8894">
        <f t="shared" si="555"/>
        <v>0</v>
      </c>
    </row>
    <row r="8895" spans="5:23" x14ac:dyDescent="0.25">
      <c r="E8895" s="4"/>
      <c r="F8895" s="4"/>
      <c r="G8895" s="33" t="str">
        <f>IFERROR(VLOOKUP($D8895,'Informations sur les produits'!$A$3:$H$10000,8,FALSE),"0")</f>
        <v>0</v>
      </c>
      <c r="K8895" s="4"/>
      <c r="L8895" s="33" t="str">
        <f>IFERROR(VLOOKUP($J8895,'Informations sur les produits'!$A$3:$H$10000,8,FALSE),"0")</f>
        <v>0</v>
      </c>
      <c r="N8895" s="8"/>
      <c r="O8895" s="33" t="str">
        <f>IFERROR(VLOOKUP($M8895,'Informations sur les produits'!$A$3:$H$10000,8,FALSE),"0")</f>
        <v>0</v>
      </c>
      <c r="P8895" s="33">
        <f t="shared" si="552"/>
        <v>0</v>
      </c>
      <c r="Q8895" s="31" t="str">
        <f t="shared" si="553"/>
        <v/>
      </c>
      <c r="R8895" s="32" t="str">
        <f>IFERROR(VLOOKUP($D8895,'Informations sur les produits'!$A$3:$B$15000,2,FALSE),"")</f>
        <v/>
      </c>
      <c r="V8895">
        <f t="shared" si="554"/>
        <v>0</v>
      </c>
      <c r="W8895">
        <f t="shared" si="555"/>
        <v>0</v>
      </c>
    </row>
    <row r="8896" spans="5:23" x14ac:dyDescent="0.25">
      <c r="E8896" s="4"/>
      <c r="F8896" s="4"/>
      <c r="G8896" s="33" t="str">
        <f>IFERROR(VLOOKUP($D8896,'Informations sur les produits'!$A$3:$H$10000,8,FALSE),"0")</f>
        <v>0</v>
      </c>
      <c r="K8896" s="4"/>
      <c r="L8896" s="33" t="str">
        <f>IFERROR(VLOOKUP($J8896,'Informations sur les produits'!$A$3:$H$10000,8,FALSE),"0")</f>
        <v>0</v>
      </c>
      <c r="N8896" s="8"/>
      <c r="O8896" s="33" t="str">
        <f>IFERROR(VLOOKUP($M8896,'Informations sur les produits'!$A$3:$H$10000,8,FALSE),"0")</f>
        <v>0</v>
      </c>
      <c r="P8896" s="33">
        <f t="shared" si="552"/>
        <v>0</v>
      </c>
      <c r="Q8896" s="31" t="str">
        <f t="shared" si="553"/>
        <v/>
      </c>
      <c r="R8896" s="32" t="str">
        <f>IFERROR(VLOOKUP($D8896,'Informations sur les produits'!$A$3:$B$15000,2,FALSE),"")</f>
        <v/>
      </c>
      <c r="V8896">
        <f t="shared" si="554"/>
        <v>0</v>
      </c>
      <c r="W8896">
        <f t="shared" si="555"/>
        <v>0</v>
      </c>
    </row>
    <row r="8897" spans="5:23" x14ac:dyDescent="0.25">
      <c r="E8897" s="4"/>
      <c r="F8897" s="4"/>
      <c r="G8897" s="33" t="str">
        <f>IFERROR(VLOOKUP($D8897,'Informations sur les produits'!$A$3:$H$10000,8,FALSE),"0")</f>
        <v>0</v>
      </c>
      <c r="K8897" s="4"/>
      <c r="L8897" s="33" t="str">
        <f>IFERROR(VLOOKUP($J8897,'Informations sur les produits'!$A$3:$H$10000,8,FALSE),"0")</f>
        <v>0</v>
      </c>
      <c r="N8897" s="8"/>
      <c r="O8897" s="33" t="str">
        <f>IFERROR(VLOOKUP($M8897,'Informations sur les produits'!$A$3:$H$10000,8,FALSE),"0")</f>
        <v>0</v>
      </c>
      <c r="P8897" s="33">
        <f t="shared" si="552"/>
        <v>0</v>
      </c>
      <c r="Q8897" s="31" t="str">
        <f t="shared" si="553"/>
        <v/>
      </c>
      <c r="R8897" s="32" t="str">
        <f>IFERROR(VLOOKUP($D8897,'Informations sur les produits'!$A$3:$B$15000,2,FALSE),"")</f>
        <v/>
      </c>
      <c r="V8897">
        <f t="shared" si="554"/>
        <v>0</v>
      </c>
      <c r="W8897">
        <f t="shared" si="555"/>
        <v>0</v>
      </c>
    </row>
    <row r="8898" spans="5:23" x14ac:dyDescent="0.25">
      <c r="E8898" s="4"/>
      <c r="F8898" s="4"/>
      <c r="G8898" s="33" t="str">
        <f>IFERROR(VLOOKUP($D8898,'Informations sur les produits'!$A$3:$H$10000,8,FALSE),"0")</f>
        <v>0</v>
      </c>
      <c r="K8898" s="4"/>
      <c r="L8898" s="33" t="str">
        <f>IFERROR(VLOOKUP($J8898,'Informations sur les produits'!$A$3:$H$10000,8,FALSE),"0")</f>
        <v>0</v>
      </c>
      <c r="N8898" s="8"/>
      <c r="O8898" s="33" t="str">
        <f>IFERROR(VLOOKUP($M8898,'Informations sur les produits'!$A$3:$H$10000,8,FALSE),"0")</f>
        <v>0</v>
      </c>
      <c r="P8898" s="33">
        <f t="shared" si="552"/>
        <v>0</v>
      </c>
      <c r="Q8898" s="31" t="str">
        <f t="shared" si="553"/>
        <v/>
      </c>
      <c r="R8898" s="32" t="str">
        <f>IFERROR(VLOOKUP($D8898,'Informations sur les produits'!$A$3:$B$15000,2,FALSE),"")</f>
        <v/>
      </c>
      <c r="V8898">
        <f t="shared" si="554"/>
        <v>0</v>
      </c>
      <c r="W8898">
        <f t="shared" si="555"/>
        <v>0</v>
      </c>
    </row>
    <row r="8899" spans="5:23" x14ac:dyDescent="0.25">
      <c r="E8899" s="4"/>
      <c r="F8899" s="4"/>
      <c r="G8899" s="33" t="str">
        <f>IFERROR(VLOOKUP($D8899,'Informations sur les produits'!$A$3:$H$10000,8,FALSE),"0")</f>
        <v>0</v>
      </c>
      <c r="K8899" s="4"/>
      <c r="L8899" s="33" t="str">
        <f>IFERROR(VLOOKUP($J8899,'Informations sur les produits'!$A$3:$H$10000,8,FALSE),"0")</f>
        <v>0</v>
      </c>
      <c r="N8899" s="8"/>
      <c r="O8899" s="33" t="str">
        <f>IFERROR(VLOOKUP($M8899,'Informations sur les produits'!$A$3:$H$10000,8,FALSE),"0")</f>
        <v>0</v>
      </c>
      <c r="P8899" s="33">
        <f t="shared" si="552"/>
        <v>0</v>
      </c>
      <c r="Q8899" s="31" t="str">
        <f t="shared" si="553"/>
        <v/>
      </c>
      <c r="R8899" s="32" t="str">
        <f>IFERROR(VLOOKUP($D8899,'Informations sur les produits'!$A$3:$B$15000,2,FALSE),"")</f>
        <v/>
      </c>
      <c r="V8899">
        <f t="shared" si="554"/>
        <v>0</v>
      </c>
      <c r="W8899">
        <f t="shared" si="555"/>
        <v>0</v>
      </c>
    </row>
    <row r="8900" spans="5:23" x14ac:dyDescent="0.25">
      <c r="E8900" s="4"/>
      <c r="F8900" s="4"/>
      <c r="G8900" s="33" t="str">
        <f>IFERROR(VLOOKUP($D8900,'Informations sur les produits'!$A$3:$H$10000,8,FALSE),"0")</f>
        <v>0</v>
      </c>
      <c r="K8900" s="4"/>
      <c r="L8900" s="33" t="str">
        <f>IFERROR(VLOOKUP($J8900,'Informations sur les produits'!$A$3:$H$10000,8,FALSE),"0")</f>
        <v>0</v>
      </c>
      <c r="N8900" s="8"/>
      <c r="O8900" s="33" t="str">
        <f>IFERROR(VLOOKUP($M8900,'Informations sur les produits'!$A$3:$H$10000,8,FALSE),"0")</f>
        <v>0</v>
      </c>
      <c r="P8900" s="33">
        <f t="shared" ref="P8900:P8963" si="556">IFERROR((($E8900-$F8900)*$G8900+$K8900*$L8900+$N8900*$O8900),"")</f>
        <v>0</v>
      </c>
      <c r="Q8900" s="31" t="str">
        <f t="shared" ref="Q8900:Q8963" si="557">IFERROR((((($E8900-$F8900)*$G8900+$K8900*$L8900+$N8900*$O8900)*1000)/(($E8900-$F8900)+$K8900+$N8900)),"")</f>
        <v/>
      </c>
      <c r="R8900" s="32" t="str">
        <f>IFERROR(VLOOKUP($D8900,'Informations sur les produits'!$A$3:$B$15000,2,FALSE),"")</f>
        <v/>
      </c>
      <c r="V8900">
        <f t="shared" ref="V8900:V8963" si="558">IFERROR(P8900*1000,"")</f>
        <v>0</v>
      </c>
      <c r="W8900">
        <f t="shared" ref="W8900:W8963" si="559">IFERROR(($E8900-$F8900)+$K8900+$N8900,"")</f>
        <v>0</v>
      </c>
    </row>
    <row r="8901" spans="5:23" x14ac:dyDescent="0.25">
      <c r="E8901" s="4"/>
      <c r="F8901" s="4"/>
      <c r="G8901" s="33" t="str">
        <f>IFERROR(VLOOKUP($D8901,'Informations sur les produits'!$A$3:$H$10000,8,FALSE),"0")</f>
        <v>0</v>
      </c>
      <c r="K8901" s="4"/>
      <c r="L8901" s="33" t="str">
        <f>IFERROR(VLOOKUP($J8901,'Informations sur les produits'!$A$3:$H$10000,8,FALSE),"0")</f>
        <v>0</v>
      </c>
      <c r="N8901" s="8"/>
      <c r="O8901" s="33" t="str">
        <f>IFERROR(VLOOKUP($M8901,'Informations sur les produits'!$A$3:$H$10000,8,FALSE),"0")</f>
        <v>0</v>
      </c>
      <c r="P8901" s="33">
        <f t="shared" si="556"/>
        <v>0</v>
      </c>
      <c r="Q8901" s="31" t="str">
        <f t="shared" si="557"/>
        <v/>
      </c>
      <c r="R8901" s="32" t="str">
        <f>IFERROR(VLOOKUP($D8901,'Informations sur les produits'!$A$3:$B$15000,2,FALSE),"")</f>
        <v/>
      </c>
      <c r="V8901">
        <f t="shared" si="558"/>
        <v>0</v>
      </c>
      <c r="W8901">
        <f t="shared" si="559"/>
        <v>0</v>
      </c>
    </row>
    <row r="8902" spans="5:23" x14ac:dyDescent="0.25">
      <c r="E8902" s="4"/>
      <c r="F8902" s="4"/>
      <c r="G8902" s="33" t="str">
        <f>IFERROR(VLOOKUP($D8902,'Informations sur les produits'!$A$3:$H$10000,8,FALSE),"0")</f>
        <v>0</v>
      </c>
      <c r="K8902" s="4"/>
      <c r="L8902" s="33" t="str">
        <f>IFERROR(VLOOKUP($J8902,'Informations sur les produits'!$A$3:$H$10000,8,FALSE),"0")</f>
        <v>0</v>
      </c>
      <c r="N8902" s="8"/>
      <c r="O8902" s="33" t="str">
        <f>IFERROR(VLOOKUP($M8902,'Informations sur les produits'!$A$3:$H$10000,8,FALSE),"0")</f>
        <v>0</v>
      </c>
      <c r="P8902" s="33">
        <f t="shared" si="556"/>
        <v>0</v>
      </c>
      <c r="Q8902" s="31" t="str">
        <f t="shared" si="557"/>
        <v/>
      </c>
      <c r="R8902" s="32" t="str">
        <f>IFERROR(VLOOKUP($D8902,'Informations sur les produits'!$A$3:$B$15000,2,FALSE),"")</f>
        <v/>
      </c>
      <c r="V8902">
        <f t="shared" si="558"/>
        <v>0</v>
      </c>
      <c r="W8902">
        <f t="shared" si="559"/>
        <v>0</v>
      </c>
    </row>
    <row r="8903" spans="5:23" x14ac:dyDescent="0.25">
      <c r="E8903" s="4"/>
      <c r="F8903" s="4"/>
      <c r="G8903" s="33" t="str">
        <f>IFERROR(VLOOKUP($D8903,'Informations sur les produits'!$A$3:$H$10000,8,FALSE),"0")</f>
        <v>0</v>
      </c>
      <c r="K8903" s="4"/>
      <c r="L8903" s="33" t="str">
        <f>IFERROR(VLOOKUP($J8903,'Informations sur les produits'!$A$3:$H$10000,8,FALSE),"0")</f>
        <v>0</v>
      </c>
      <c r="N8903" s="8"/>
      <c r="O8903" s="33" t="str">
        <f>IFERROR(VLOOKUP($M8903,'Informations sur les produits'!$A$3:$H$10000,8,FALSE),"0")</f>
        <v>0</v>
      </c>
      <c r="P8903" s="33">
        <f t="shared" si="556"/>
        <v>0</v>
      </c>
      <c r="Q8903" s="31" t="str">
        <f t="shared" si="557"/>
        <v/>
      </c>
      <c r="R8903" s="32" t="str">
        <f>IFERROR(VLOOKUP($D8903,'Informations sur les produits'!$A$3:$B$15000,2,FALSE),"")</f>
        <v/>
      </c>
      <c r="V8903">
        <f t="shared" si="558"/>
        <v>0</v>
      </c>
      <c r="W8903">
        <f t="shared" si="559"/>
        <v>0</v>
      </c>
    </row>
    <row r="8904" spans="5:23" x14ac:dyDescent="0.25">
      <c r="E8904" s="4"/>
      <c r="F8904" s="4"/>
      <c r="G8904" s="33" t="str">
        <f>IFERROR(VLOOKUP($D8904,'Informations sur les produits'!$A$3:$H$10000,8,FALSE),"0")</f>
        <v>0</v>
      </c>
      <c r="K8904" s="4"/>
      <c r="L8904" s="33" t="str">
        <f>IFERROR(VLOOKUP($J8904,'Informations sur les produits'!$A$3:$H$10000,8,FALSE),"0")</f>
        <v>0</v>
      </c>
      <c r="N8904" s="8"/>
      <c r="O8904" s="33" t="str">
        <f>IFERROR(VLOOKUP($M8904,'Informations sur les produits'!$A$3:$H$10000,8,FALSE),"0")</f>
        <v>0</v>
      </c>
      <c r="P8904" s="33">
        <f t="shared" si="556"/>
        <v>0</v>
      </c>
      <c r="Q8904" s="31" t="str">
        <f t="shared" si="557"/>
        <v/>
      </c>
      <c r="R8904" s="32" t="str">
        <f>IFERROR(VLOOKUP($D8904,'Informations sur les produits'!$A$3:$B$15000,2,FALSE),"")</f>
        <v/>
      </c>
      <c r="V8904">
        <f t="shared" si="558"/>
        <v>0</v>
      </c>
      <c r="W8904">
        <f t="shared" si="559"/>
        <v>0</v>
      </c>
    </row>
    <row r="8905" spans="5:23" x14ac:dyDescent="0.25">
      <c r="E8905" s="4"/>
      <c r="F8905" s="4"/>
      <c r="G8905" s="33" t="str">
        <f>IFERROR(VLOOKUP($D8905,'Informations sur les produits'!$A$3:$H$10000,8,FALSE),"0")</f>
        <v>0</v>
      </c>
      <c r="K8905" s="4"/>
      <c r="L8905" s="33" t="str">
        <f>IFERROR(VLOOKUP($J8905,'Informations sur les produits'!$A$3:$H$10000,8,FALSE),"0")</f>
        <v>0</v>
      </c>
      <c r="N8905" s="8"/>
      <c r="O8905" s="33" t="str">
        <f>IFERROR(VLOOKUP($M8905,'Informations sur les produits'!$A$3:$H$10000,8,FALSE),"0")</f>
        <v>0</v>
      </c>
      <c r="P8905" s="33">
        <f t="shared" si="556"/>
        <v>0</v>
      </c>
      <c r="Q8905" s="31" t="str">
        <f t="shared" si="557"/>
        <v/>
      </c>
      <c r="R8905" s="32" t="str">
        <f>IFERROR(VLOOKUP($D8905,'Informations sur les produits'!$A$3:$B$15000,2,FALSE),"")</f>
        <v/>
      </c>
      <c r="V8905">
        <f t="shared" si="558"/>
        <v>0</v>
      </c>
      <c r="W8905">
        <f t="shared" si="559"/>
        <v>0</v>
      </c>
    </row>
    <row r="8906" spans="5:23" x14ac:dyDescent="0.25">
      <c r="E8906" s="4"/>
      <c r="F8906" s="4"/>
      <c r="G8906" s="33" t="str">
        <f>IFERROR(VLOOKUP($D8906,'Informations sur les produits'!$A$3:$H$10000,8,FALSE),"0")</f>
        <v>0</v>
      </c>
      <c r="K8906" s="4"/>
      <c r="L8906" s="33" t="str">
        <f>IFERROR(VLOOKUP($J8906,'Informations sur les produits'!$A$3:$H$10000,8,FALSE),"0")</f>
        <v>0</v>
      </c>
      <c r="N8906" s="8"/>
      <c r="O8906" s="33" t="str">
        <f>IFERROR(VLOOKUP($M8906,'Informations sur les produits'!$A$3:$H$10000,8,FALSE),"0")</f>
        <v>0</v>
      </c>
      <c r="P8906" s="33">
        <f t="shared" si="556"/>
        <v>0</v>
      </c>
      <c r="Q8906" s="31" t="str">
        <f t="shared" si="557"/>
        <v/>
      </c>
      <c r="R8906" s="32" t="str">
        <f>IFERROR(VLOOKUP($D8906,'Informations sur les produits'!$A$3:$B$15000,2,FALSE),"")</f>
        <v/>
      </c>
      <c r="V8906">
        <f t="shared" si="558"/>
        <v>0</v>
      </c>
      <c r="W8906">
        <f t="shared" si="559"/>
        <v>0</v>
      </c>
    </row>
    <row r="8907" spans="5:23" x14ac:dyDescent="0.25">
      <c r="E8907" s="4"/>
      <c r="F8907" s="4"/>
      <c r="G8907" s="33" t="str">
        <f>IFERROR(VLOOKUP($D8907,'Informations sur les produits'!$A$3:$H$10000,8,FALSE),"0")</f>
        <v>0</v>
      </c>
      <c r="K8907" s="4"/>
      <c r="L8907" s="33" t="str">
        <f>IFERROR(VLOOKUP($J8907,'Informations sur les produits'!$A$3:$H$10000,8,FALSE),"0")</f>
        <v>0</v>
      </c>
      <c r="N8907" s="8"/>
      <c r="O8907" s="33" t="str">
        <f>IFERROR(VLOOKUP($M8907,'Informations sur les produits'!$A$3:$H$10000,8,FALSE),"0")</f>
        <v>0</v>
      </c>
      <c r="P8907" s="33">
        <f t="shared" si="556"/>
        <v>0</v>
      </c>
      <c r="Q8907" s="31" t="str">
        <f t="shared" si="557"/>
        <v/>
      </c>
      <c r="R8907" s="32" t="str">
        <f>IFERROR(VLOOKUP($D8907,'Informations sur les produits'!$A$3:$B$15000,2,FALSE),"")</f>
        <v/>
      </c>
      <c r="V8907">
        <f t="shared" si="558"/>
        <v>0</v>
      </c>
      <c r="W8907">
        <f t="shared" si="559"/>
        <v>0</v>
      </c>
    </row>
    <row r="8908" spans="5:23" x14ac:dyDescent="0.25">
      <c r="E8908" s="4"/>
      <c r="F8908" s="4"/>
      <c r="G8908" s="33" t="str">
        <f>IFERROR(VLOOKUP($D8908,'Informations sur les produits'!$A$3:$H$10000,8,FALSE),"0")</f>
        <v>0</v>
      </c>
      <c r="K8908" s="4"/>
      <c r="L8908" s="33" t="str">
        <f>IFERROR(VLOOKUP($J8908,'Informations sur les produits'!$A$3:$H$10000,8,FALSE),"0")</f>
        <v>0</v>
      </c>
      <c r="N8908" s="8"/>
      <c r="O8908" s="33" t="str">
        <f>IFERROR(VLOOKUP($M8908,'Informations sur les produits'!$A$3:$H$10000,8,FALSE),"0")</f>
        <v>0</v>
      </c>
      <c r="P8908" s="33">
        <f t="shared" si="556"/>
        <v>0</v>
      </c>
      <c r="Q8908" s="31" t="str">
        <f t="shared" si="557"/>
        <v/>
      </c>
      <c r="R8908" s="32" t="str">
        <f>IFERROR(VLOOKUP($D8908,'Informations sur les produits'!$A$3:$B$15000,2,FALSE),"")</f>
        <v/>
      </c>
      <c r="V8908">
        <f t="shared" si="558"/>
        <v>0</v>
      </c>
      <c r="W8908">
        <f t="shared" si="559"/>
        <v>0</v>
      </c>
    </row>
    <row r="8909" spans="5:23" x14ac:dyDescent="0.25">
      <c r="E8909" s="4"/>
      <c r="F8909" s="4"/>
      <c r="G8909" s="33" t="str">
        <f>IFERROR(VLOOKUP($D8909,'Informations sur les produits'!$A$3:$H$10000,8,FALSE),"0")</f>
        <v>0</v>
      </c>
      <c r="K8909" s="4"/>
      <c r="L8909" s="33" t="str">
        <f>IFERROR(VLOOKUP($J8909,'Informations sur les produits'!$A$3:$H$10000,8,FALSE),"0")</f>
        <v>0</v>
      </c>
      <c r="N8909" s="8"/>
      <c r="O8909" s="33" t="str">
        <f>IFERROR(VLOOKUP($M8909,'Informations sur les produits'!$A$3:$H$10000,8,FALSE),"0")</f>
        <v>0</v>
      </c>
      <c r="P8909" s="33">
        <f t="shared" si="556"/>
        <v>0</v>
      </c>
      <c r="Q8909" s="31" t="str">
        <f t="shared" si="557"/>
        <v/>
      </c>
      <c r="R8909" s="32" t="str">
        <f>IFERROR(VLOOKUP($D8909,'Informations sur les produits'!$A$3:$B$15000,2,FALSE),"")</f>
        <v/>
      </c>
      <c r="V8909">
        <f t="shared" si="558"/>
        <v>0</v>
      </c>
      <c r="W8909">
        <f t="shared" si="559"/>
        <v>0</v>
      </c>
    </row>
    <row r="8910" spans="5:23" x14ac:dyDescent="0.25">
      <c r="E8910" s="4"/>
      <c r="F8910" s="4"/>
      <c r="G8910" s="33" t="str">
        <f>IFERROR(VLOOKUP($D8910,'Informations sur les produits'!$A$3:$H$10000,8,FALSE),"0")</f>
        <v>0</v>
      </c>
      <c r="K8910" s="4"/>
      <c r="L8910" s="33" t="str">
        <f>IFERROR(VLOOKUP($J8910,'Informations sur les produits'!$A$3:$H$10000,8,FALSE),"0")</f>
        <v>0</v>
      </c>
      <c r="N8910" s="8"/>
      <c r="O8910" s="33" t="str">
        <f>IFERROR(VLOOKUP($M8910,'Informations sur les produits'!$A$3:$H$10000,8,FALSE),"0")</f>
        <v>0</v>
      </c>
      <c r="P8910" s="33">
        <f t="shared" si="556"/>
        <v>0</v>
      </c>
      <c r="Q8910" s="31" t="str">
        <f t="shared" si="557"/>
        <v/>
      </c>
      <c r="R8910" s="32" t="str">
        <f>IFERROR(VLOOKUP($D8910,'Informations sur les produits'!$A$3:$B$15000,2,FALSE),"")</f>
        <v/>
      </c>
      <c r="V8910">
        <f t="shared" si="558"/>
        <v>0</v>
      </c>
      <c r="W8910">
        <f t="shared" si="559"/>
        <v>0</v>
      </c>
    </row>
    <row r="8911" spans="5:23" x14ac:dyDescent="0.25">
      <c r="E8911" s="4"/>
      <c r="F8911" s="4"/>
      <c r="G8911" s="33" t="str">
        <f>IFERROR(VLOOKUP($D8911,'Informations sur les produits'!$A$3:$H$10000,8,FALSE),"0")</f>
        <v>0</v>
      </c>
      <c r="K8911" s="4"/>
      <c r="L8911" s="33" t="str">
        <f>IFERROR(VLOOKUP($J8911,'Informations sur les produits'!$A$3:$H$10000,8,FALSE),"0")</f>
        <v>0</v>
      </c>
      <c r="N8911" s="8"/>
      <c r="O8911" s="33" t="str">
        <f>IFERROR(VLOOKUP($M8911,'Informations sur les produits'!$A$3:$H$10000,8,FALSE),"0")</f>
        <v>0</v>
      </c>
      <c r="P8911" s="33">
        <f t="shared" si="556"/>
        <v>0</v>
      </c>
      <c r="Q8911" s="31" t="str">
        <f t="shared" si="557"/>
        <v/>
      </c>
      <c r="R8911" s="32" t="str">
        <f>IFERROR(VLOOKUP($D8911,'Informations sur les produits'!$A$3:$B$15000,2,FALSE),"")</f>
        <v/>
      </c>
      <c r="V8911">
        <f t="shared" si="558"/>
        <v>0</v>
      </c>
      <c r="W8911">
        <f t="shared" si="559"/>
        <v>0</v>
      </c>
    </row>
    <row r="8912" spans="5:23" x14ac:dyDescent="0.25">
      <c r="E8912" s="4"/>
      <c r="F8912" s="4"/>
      <c r="G8912" s="33" t="str">
        <f>IFERROR(VLOOKUP($D8912,'Informations sur les produits'!$A$3:$H$10000,8,FALSE),"0")</f>
        <v>0</v>
      </c>
      <c r="K8912" s="4"/>
      <c r="L8912" s="33" t="str">
        <f>IFERROR(VLOOKUP($J8912,'Informations sur les produits'!$A$3:$H$10000,8,FALSE),"0")</f>
        <v>0</v>
      </c>
      <c r="N8912" s="8"/>
      <c r="O8912" s="33" t="str">
        <f>IFERROR(VLOOKUP($M8912,'Informations sur les produits'!$A$3:$H$10000,8,FALSE),"0")</f>
        <v>0</v>
      </c>
      <c r="P8912" s="33">
        <f t="shared" si="556"/>
        <v>0</v>
      </c>
      <c r="Q8912" s="31" t="str">
        <f t="shared" si="557"/>
        <v/>
      </c>
      <c r="R8912" s="32" t="str">
        <f>IFERROR(VLOOKUP($D8912,'Informations sur les produits'!$A$3:$B$15000,2,FALSE),"")</f>
        <v/>
      </c>
      <c r="V8912">
        <f t="shared" si="558"/>
        <v>0</v>
      </c>
      <c r="W8912">
        <f t="shared" si="559"/>
        <v>0</v>
      </c>
    </row>
    <row r="8913" spans="5:23" x14ac:dyDescent="0.25">
      <c r="E8913" s="4"/>
      <c r="F8913" s="4"/>
      <c r="G8913" s="33" t="str">
        <f>IFERROR(VLOOKUP($D8913,'Informations sur les produits'!$A$3:$H$10000,8,FALSE),"0")</f>
        <v>0</v>
      </c>
      <c r="K8913" s="4"/>
      <c r="L8913" s="33" t="str">
        <f>IFERROR(VLOOKUP($J8913,'Informations sur les produits'!$A$3:$H$10000,8,FALSE),"0")</f>
        <v>0</v>
      </c>
      <c r="N8913" s="8"/>
      <c r="O8913" s="33" t="str">
        <f>IFERROR(VLOOKUP($M8913,'Informations sur les produits'!$A$3:$H$10000,8,FALSE),"0")</f>
        <v>0</v>
      </c>
      <c r="P8913" s="33">
        <f t="shared" si="556"/>
        <v>0</v>
      </c>
      <c r="Q8913" s="31" t="str">
        <f t="shared" si="557"/>
        <v/>
      </c>
      <c r="R8913" s="32" t="str">
        <f>IFERROR(VLOOKUP($D8913,'Informations sur les produits'!$A$3:$B$15000,2,FALSE),"")</f>
        <v/>
      </c>
      <c r="V8913">
        <f t="shared" si="558"/>
        <v>0</v>
      </c>
      <c r="W8913">
        <f t="shared" si="559"/>
        <v>0</v>
      </c>
    </row>
    <row r="8914" spans="5:23" x14ac:dyDescent="0.25">
      <c r="E8914" s="4"/>
      <c r="F8914" s="4"/>
      <c r="G8914" s="33" t="str">
        <f>IFERROR(VLOOKUP($D8914,'Informations sur les produits'!$A$3:$H$10000,8,FALSE),"0")</f>
        <v>0</v>
      </c>
      <c r="K8914" s="4"/>
      <c r="L8914" s="33" t="str">
        <f>IFERROR(VLOOKUP($J8914,'Informations sur les produits'!$A$3:$H$10000,8,FALSE),"0")</f>
        <v>0</v>
      </c>
      <c r="N8914" s="8"/>
      <c r="O8914" s="33" t="str">
        <f>IFERROR(VLOOKUP($M8914,'Informations sur les produits'!$A$3:$H$10000,8,FALSE),"0")</f>
        <v>0</v>
      </c>
      <c r="P8914" s="33">
        <f t="shared" si="556"/>
        <v>0</v>
      </c>
      <c r="Q8914" s="31" t="str">
        <f t="shared" si="557"/>
        <v/>
      </c>
      <c r="R8914" s="32" t="str">
        <f>IFERROR(VLOOKUP($D8914,'Informations sur les produits'!$A$3:$B$15000,2,FALSE),"")</f>
        <v/>
      </c>
      <c r="V8914">
        <f t="shared" si="558"/>
        <v>0</v>
      </c>
      <c r="W8914">
        <f t="shared" si="559"/>
        <v>0</v>
      </c>
    </row>
    <row r="8915" spans="5:23" x14ac:dyDescent="0.25">
      <c r="E8915" s="4"/>
      <c r="F8915" s="4"/>
      <c r="G8915" s="33" t="str">
        <f>IFERROR(VLOOKUP($D8915,'Informations sur les produits'!$A$3:$H$10000,8,FALSE),"0")</f>
        <v>0</v>
      </c>
      <c r="K8915" s="4"/>
      <c r="L8915" s="33" t="str">
        <f>IFERROR(VLOOKUP($J8915,'Informations sur les produits'!$A$3:$H$10000,8,FALSE),"0")</f>
        <v>0</v>
      </c>
      <c r="N8915" s="8"/>
      <c r="O8915" s="33" t="str">
        <f>IFERROR(VLOOKUP($M8915,'Informations sur les produits'!$A$3:$H$10000,8,FALSE),"0")</f>
        <v>0</v>
      </c>
      <c r="P8915" s="33">
        <f t="shared" si="556"/>
        <v>0</v>
      </c>
      <c r="Q8915" s="31" t="str">
        <f t="shared" si="557"/>
        <v/>
      </c>
      <c r="R8915" s="32" t="str">
        <f>IFERROR(VLOOKUP($D8915,'Informations sur les produits'!$A$3:$B$15000,2,FALSE),"")</f>
        <v/>
      </c>
      <c r="V8915">
        <f t="shared" si="558"/>
        <v>0</v>
      </c>
      <c r="W8915">
        <f t="shared" si="559"/>
        <v>0</v>
      </c>
    </row>
    <row r="8916" spans="5:23" x14ac:dyDescent="0.25">
      <c r="E8916" s="4"/>
      <c r="F8916" s="4"/>
      <c r="G8916" s="33" t="str">
        <f>IFERROR(VLOOKUP($D8916,'Informations sur les produits'!$A$3:$H$10000,8,FALSE),"0")</f>
        <v>0</v>
      </c>
      <c r="K8916" s="4"/>
      <c r="L8916" s="33" t="str">
        <f>IFERROR(VLOOKUP($J8916,'Informations sur les produits'!$A$3:$H$10000,8,FALSE),"0")</f>
        <v>0</v>
      </c>
      <c r="N8916" s="8"/>
      <c r="O8916" s="33" t="str">
        <f>IFERROR(VLOOKUP($M8916,'Informations sur les produits'!$A$3:$H$10000,8,FALSE),"0")</f>
        <v>0</v>
      </c>
      <c r="P8916" s="33">
        <f t="shared" si="556"/>
        <v>0</v>
      </c>
      <c r="Q8916" s="31" t="str">
        <f t="shared" si="557"/>
        <v/>
      </c>
      <c r="R8916" s="32" t="str">
        <f>IFERROR(VLOOKUP($D8916,'Informations sur les produits'!$A$3:$B$15000,2,FALSE),"")</f>
        <v/>
      </c>
      <c r="V8916">
        <f t="shared" si="558"/>
        <v>0</v>
      </c>
      <c r="W8916">
        <f t="shared" si="559"/>
        <v>0</v>
      </c>
    </row>
    <row r="8917" spans="5:23" x14ac:dyDescent="0.25">
      <c r="E8917" s="4"/>
      <c r="F8917" s="4"/>
      <c r="G8917" s="33" t="str">
        <f>IFERROR(VLOOKUP($D8917,'Informations sur les produits'!$A$3:$H$10000,8,FALSE),"0")</f>
        <v>0</v>
      </c>
      <c r="K8917" s="4"/>
      <c r="L8917" s="33" t="str">
        <f>IFERROR(VLOOKUP($J8917,'Informations sur les produits'!$A$3:$H$10000,8,FALSE),"0")</f>
        <v>0</v>
      </c>
      <c r="N8917" s="8"/>
      <c r="O8917" s="33" t="str">
        <f>IFERROR(VLOOKUP($M8917,'Informations sur les produits'!$A$3:$H$10000,8,FALSE),"0")</f>
        <v>0</v>
      </c>
      <c r="P8917" s="33">
        <f t="shared" si="556"/>
        <v>0</v>
      </c>
      <c r="Q8917" s="31" t="str">
        <f t="shared" si="557"/>
        <v/>
      </c>
      <c r="R8917" s="32" t="str">
        <f>IFERROR(VLOOKUP($D8917,'Informations sur les produits'!$A$3:$B$15000,2,FALSE),"")</f>
        <v/>
      </c>
      <c r="V8917">
        <f t="shared" si="558"/>
        <v>0</v>
      </c>
      <c r="W8917">
        <f t="shared" si="559"/>
        <v>0</v>
      </c>
    </row>
    <row r="8918" spans="5:23" x14ac:dyDescent="0.25">
      <c r="E8918" s="4"/>
      <c r="F8918" s="4"/>
      <c r="G8918" s="33" t="str">
        <f>IFERROR(VLOOKUP($D8918,'Informations sur les produits'!$A$3:$H$10000,8,FALSE),"0")</f>
        <v>0</v>
      </c>
      <c r="K8918" s="4"/>
      <c r="L8918" s="33" t="str">
        <f>IFERROR(VLOOKUP($J8918,'Informations sur les produits'!$A$3:$H$10000,8,FALSE),"0")</f>
        <v>0</v>
      </c>
      <c r="N8918" s="8"/>
      <c r="O8918" s="33" t="str">
        <f>IFERROR(VLOOKUP($M8918,'Informations sur les produits'!$A$3:$H$10000,8,FALSE),"0")</f>
        <v>0</v>
      </c>
      <c r="P8918" s="33">
        <f t="shared" si="556"/>
        <v>0</v>
      </c>
      <c r="Q8918" s="31" t="str">
        <f t="shared" si="557"/>
        <v/>
      </c>
      <c r="R8918" s="32" t="str">
        <f>IFERROR(VLOOKUP($D8918,'Informations sur les produits'!$A$3:$B$15000,2,FALSE),"")</f>
        <v/>
      </c>
      <c r="V8918">
        <f t="shared" si="558"/>
        <v>0</v>
      </c>
      <c r="W8918">
        <f t="shared" si="559"/>
        <v>0</v>
      </c>
    </row>
    <row r="8919" spans="5:23" x14ac:dyDescent="0.25">
      <c r="E8919" s="4"/>
      <c r="F8919" s="4"/>
      <c r="G8919" s="33" t="str">
        <f>IFERROR(VLOOKUP($D8919,'Informations sur les produits'!$A$3:$H$10000,8,FALSE),"0")</f>
        <v>0</v>
      </c>
      <c r="K8919" s="4"/>
      <c r="L8919" s="33" t="str">
        <f>IFERROR(VLOOKUP($J8919,'Informations sur les produits'!$A$3:$H$10000,8,FALSE),"0")</f>
        <v>0</v>
      </c>
      <c r="N8919" s="8"/>
      <c r="O8919" s="33" t="str">
        <f>IFERROR(VLOOKUP($M8919,'Informations sur les produits'!$A$3:$H$10000,8,FALSE),"0")</f>
        <v>0</v>
      </c>
      <c r="P8919" s="33">
        <f t="shared" si="556"/>
        <v>0</v>
      </c>
      <c r="Q8919" s="31" t="str">
        <f t="shared" si="557"/>
        <v/>
      </c>
      <c r="R8919" s="32" t="str">
        <f>IFERROR(VLOOKUP($D8919,'Informations sur les produits'!$A$3:$B$15000,2,FALSE),"")</f>
        <v/>
      </c>
      <c r="V8919">
        <f t="shared" si="558"/>
        <v>0</v>
      </c>
      <c r="W8919">
        <f t="shared" si="559"/>
        <v>0</v>
      </c>
    </row>
    <row r="8920" spans="5:23" x14ac:dyDescent="0.25">
      <c r="E8920" s="4"/>
      <c r="F8920" s="4"/>
      <c r="G8920" s="33" t="str">
        <f>IFERROR(VLOOKUP($D8920,'Informations sur les produits'!$A$3:$H$10000,8,FALSE),"0")</f>
        <v>0</v>
      </c>
      <c r="K8920" s="4"/>
      <c r="L8920" s="33" t="str">
        <f>IFERROR(VLOOKUP($J8920,'Informations sur les produits'!$A$3:$H$10000,8,FALSE),"0")</f>
        <v>0</v>
      </c>
      <c r="N8920" s="8"/>
      <c r="O8920" s="33" t="str">
        <f>IFERROR(VLOOKUP($M8920,'Informations sur les produits'!$A$3:$H$10000,8,FALSE),"0")</f>
        <v>0</v>
      </c>
      <c r="P8920" s="33">
        <f t="shared" si="556"/>
        <v>0</v>
      </c>
      <c r="Q8920" s="31" t="str">
        <f t="shared" si="557"/>
        <v/>
      </c>
      <c r="R8920" s="32" t="str">
        <f>IFERROR(VLOOKUP($D8920,'Informations sur les produits'!$A$3:$B$15000,2,FALSE),"")</f>
        <v/>
      </c>
      <c r="V8920">
        <f t="shared" si="558"/>
        <v>0</v>
      </c>
      <c r="W8920">
        <f t="shared" si="559"/>
        <v>0</v>
      </c>
    </row>
    <row r="8921" spans="5:23" x14ac:dyDescent="0.25">
      <c r="E8921" s="4"/>
      <c r="F8921" s="4"/>
      <c r="G8921" s="33" t="str">
        <f>IFERROR(VLOOKUP($D8921,'Informations sur les produits'!$A$3:$H$10000,8,FALSE),"0")</f>
        <v>0</v>
      </c>
      <c r="K8921" s="4"/>
      <c r="L8921" s="33" t="str">
        <f>IFERROR(VLOOKUP($J8921,'Informations sur les produits'!$A$3:$H$10000,8,FALSE),"0")</f>
        <v>0</v>
      </c>
      <c r="N8921" s="8"/>
      <c r="O8921" s="33" t="str">
        <f>IFERROR(VLOOKUP($M8921,'Informations sur les produits'!$A$3:$H$10000,8,FALSE),"0")</f>
        <v>0</v>
      </c>
      <c r="P8921" s="33">
        <f t="shared" si="556"/>
        <v>0</v>
      </c>
      <c r="Q8921" s="31" t="str">
        <f t="shared" si="557"/>
        <v/>
      </c>
      <c r="R8921" s="32" t="str">
        <f>IFERROR(VLOOKUP($D8921,'Informations sur les produits'!$A$3:$B$15000,2,FALSE),"")</f>
        <v/>
      </c>
      <c r="V8921">
        <f t="shared" si="558"/>
        <v>0</v>
      </c>
      <c r="W8921">
        <f t="shared" si="559"/>
        <v>0</v>
      </c>
    </row>
    <row r="8922" spans="5:23" x14ac:dyDescent="0.25">
      <c r="E8922" s="4"/>
      <c r="F8922" s="4"/>
      <c r="G8922" s="33" t="str">
        <f>IFERROR(VLOOKUP($D8922,'Informations sur les produits'!$A$3:$H$10000,8,FALSE),"0")</f>
        <v>0</v>
      </c>
      <c r="K8922" s="4"/>
      <c r="L8922" s="33" t="str">
        <f>IFERROR(VLOOKUP($J8922,'Informations sur les produits'!$A$3:$H$10000,8,FALSE),"0")</f>
        <v>0</v>
      </c>
      <c r="N8922" s="8"/>
      <c r="O8922" s="33" t="str">
        <f>IFERROR(VLOOKUP($M8922,'Informations sur les produits'!$A$3:$H$10000,8,FALSE),"0")</f>
        <v>0</v>
      </c>
      <c r="P8922" s="33">
        <f t="shared" si="556"/>
        <v>0</v>
      </c>
      <c r="Q8922" s="31" t="str">
        <f t="shared" si="557"/>
        <v/>
      </c>
      <c r="R8922" s="32" t="str">
        <f>IFERROR(VLOOKUP($D8922,'Informations sur les produits'!$A$3:$B$15000,2,FALSE),"")</f>
        <v/>
      </c>
      <c r="V8922">
        <f t="shared" si="558"/>
        <v>0</v>
      </c>
      <c r="W8922">
        <f t="shared" si="559"/>
        <v>0</v>
      </c>
    </row>
    <row r="8923" spans="5:23" x14ac:dyDescent="0.25">
      <c r="E8923" s="4"/>
      <c r="F8923" s="4"/>
      <c r="G8923" s="33" t="str">
        <f>IFERROR(VLOOKUP($D8923,'Informations sur les produits'!$A$3:$H$10000,8,FALSE),"0")</f>
        <v>0</v>
      </c>
      <c r="K8923" s="4"/>
      <c r="L8923" s="33" t="str">
        <f>IFERROR(VLOOKUP($J8923,'Informations sur les produits'!$A$3:$H$10000,8,FALSE),"0")</f>
        <v>0</v>
      </c>
      <c r="N8923" s="8"/>
      <c r="O8923" s="33" t="str">
        <f>IFERROR(VLOOKUP($M8923,'Informations sur les produits'!$A$3:$H$10000,8,FALSE),"0")</f>
        <v>0</v>
      </c>
      <c r="P8923" s="33">
        <f t="shared" si="556"/>
        <v>0</v>
      </c>
      <c r="Q8923" s="31" t="str">
        <f t="shared" si="557"/>
        <v/>
      </c>
      <c r="R8923" s="32" t="str">
        <f>IFERROR(VLOOKUP($D8923,'Informations sur les produits'!$A$3:$B$15000,2,FALSE),"")</f>
        <v/>
      </c>
      <c r="V8923">
        <f t="shared" si="558"/>
        <v>0</v>
      </c>
      <c r="W8923">
        <f t="shared" si="559"/>
        <v>0</v>
      </c>
    </row>
    <row r="8924" spans="5:23" x14ac:dyDescent="0.25">
      <c r="E8924" s="4"/>
      <c r="F8924" s="4"/>
      <c r="G8924" s="33" t="str">
        <f>IFERROR(VLOOKUP($D8924,'Informations sur les produits'!$A$3:$H$10000,8,FALSE),"0")</f>
        <v>0</v>
      </c>
      <c r="K8924" s="4"/>
      <c r="L8924" s="33" t="str">
        <f>IFERROR(VLOOKUP($J8924,'Informations sur les produits'!$A$3:$H$10000,8,FALSE),"0")</f>
        <v>0</v>
      </c>
      <c r="N8924" s="8"/>
      <c r="O8924" s="33" t="str">
        <f>IFERROR(VLOOKUP($M8924,'Informations sur les produits'!$A$3:$H$10000,8,FALSE),"0")</f>
        <v>0</v>
      </c>
      <c r="P8924" s="33">
        <f t="shared" si="556"/>
        <v>0</v>
      </c>
      <c r="Q8924" s="31" t="str">
        <f t="shared" si="557"/>
        <v/>
      </c>
      <c r="R8924" s="32" t="str">
        <f>IFERROR(VLOOKUP($D8924,'Informations sur les produits'!$A$3:$B$15000,2,FALSE),"")</f>
        <v/>
      </c>
      <c r="V8924">
        <f t="shared" si="558"/>
        <v>0</v>
      </c>
      <c r="W8924">
        <f t="shared" si="559"/>
        <v>0</v>
      </c>
    </row>
    <row r="8925" spans="5:23" x14ac:dyDescent="0.25">
      <c r="E8925" s="4"/>
      <c r="F8925" s="4"/>
      <c r="G8925" s="33" t="str">
        <f>IFERROR(VLOOKUP($D8925,'Informations sur les produits'!$A$3:$H$10000,8,FALSE),"0")</f>
        <v>0</v>
      </c>
      <c r="K8925" s="4"/>
      <c r="L8925" s="33" t="str">
        <f>IFERROR(VLOOKUP($J8925,'Informations sur les produits'!$A$3:$H$10000,8,FALSE),"0")</f>
        <v>0</v>
      </c>
      <c r="N8925" s="8"/>
      <c r="O8925" s="33" t="str">
        <f>IFERROR(VLOOKUP($M8925,'Informations sur les produits'!$A$3:$H$10000,8,FALSE),"0")</f>
        <v>0</v>
      </c>
      <c r="P8925" s="33">
        <f t="shared" si="556"/>
        <v>0</v>
      </c>
      <c r="Q8925" s="31" t="str">
        <f t="shared" si="557"/>
        <v/>
      </c>
      <c r="R8925" s="32" t="str">
        <f>IFERROR(VLOOKUP($D8925,'Informations sur les produits'!$A$3:$B$15000,2,FALSE),"")</f>
        <v/>
      </c>
      <c r="V8925">
        <f t="shared" si="558"/>
        <v>0</v>
      </c>
      <c r="W8925">
        <f t="shared" si="559"/>
        <v>0</v>
      </c>
    </row>
    <row r="8926" spans="5:23" x14ac:dyDescent="0.25">
      <c r="E8926" s="4"/>
      <c r="F8926" s="4"/>
      <c r="G8926" s="33" t="str">
        <f>IFERROR(VLOOKUP($D8926,'Informations sur les produits'!$A$3:$H$10000,8,FALSE),"0")</f>
        <v>0</v>
      </c>
      <c r="K8926" s="4"/>
      <c r="L8926" s="33" t="str">
        <f>IFERROR(VLOOKUP($J8926,'Informations sur les produits'!$A$3:$H$10000,8,FALSE),"0")</f>
        <v>0</v>
      </c>
      <c r="N8926" s="8"/>
      <c r="O8926" s="33" t="str">
        <f>IFERROR(VLOOKUP($M8926,'Informations sur les produits'!$A$3:$H$10000,8,FALSE),"0")</f>
        <v>0</v>
      </c>
      <c r="P8926" s="33">
        <f t="shared" si="556"/>
        <v>0</v>
      </c>
      <c r="Q8926" s="31" t="str">
        <f t="shared" si="557"/>
        <v/>
      </c>
      <c r="R8926" s="32" t="str">
        <f>IFERROR(VLOOKUP($D8926,'Informations sur les produits'!$A$3:$B$15000,2,FALSE),"")</f>
        <v/>
      </c>
      <c r="V8926">
        <f t="shared" si="558"/>
        <v>0</v>
      </c>
      <c r="W8926">
        <f t="shared" si="559"/>
        <v>0</v>
      </c>
    </row>
    <row r="8927" spans="5:23" x14ac:dyDescent="0.25">
      <c r="E8927" s="4"/>
      <c r="F8927" s="4"/>
      <c r="G8927" s="33" t="str">
        <f>IFERROR(VLOOKUP($D8927,'Informations sur les produits'!$A$3:$H$10000,8,FALSE),"0")</f>
        <v>0</v>
      </c>
      <c r="K8927" s="4"/>
      <c r="L8927" s="33" t="str">
        <f>IFERROR(VLOOKUP($J8927,'Informations sur les produits'!$A$3:$H$10000,8,FALSE),"0")</f>
        <v>0</v>
      </c>
      <c r="N8927" s="8"/>
      <c r="O8927" s="33" t="str">
        <f>IFERROR(VLOOKUP($M8927,'Informations sur les produits'!$A$3:$H$10000,8,FALSE),"0")</f>
        <v>0</v>
      </c>
      <c r="P8927" s="33">
        <f t="shared" si="556"/>
        <v>0</v>
      </c>
      <c r="Q8927" s="31" t="str">
        <f t="shared" si="557"/>
        <v/>
      </c>
      <c r="R8927" s="32" t="str">
        <f>IFERROR(VLOOKUP($D8927,'Informations sur les produits'!$A$3:$B$15000,2,FALSE),"")</f>
        <v/>
      </c>
      <c r="V8927">
        <f t="shared" si="558"/>
        <v>0</v>
      </c>
      <c r="W8927">
        <f t="shared" si="559"/>
        <v>0</v>
      </c>
    </row>
    <row r="8928" spans="5:23" x14ac:dyDescent="0.25">
      <c r="E8928" s="4"/>
      <c r="F8928" s="4"/>
      <c r="G8928" s="33" t="str">
        <f>IFERROR(VLOOKUP($D8928,'Informations sur les produits'!$A$3:$H$10000,8,FALSE),"0")</f>
        <v>0</v>
      </c>
      <c r="K8928" s="4"/>
      <c r="L8928" s="33" t="str">
        <f>IFERROR(VLOOKUP($J8928,'Informations sur les produits'!$A$3:$H$10000,8,FALSE),"0")</f>
        <v>0</v>
      </c>
      <c r="N8928" s="8"/>
      <c r="O8928" s="33" t="str">
        <f>IFERROR(VLOOKUP($M8928,'Informations sur les produits'!$A$3:$H$10000,8,FALSE),"0")</f>
        <v>0</v>
      </c>
      <c r="P8928" s="33">
        <f t="shared" si="556"/>
        <v>0</v>
      </c>
      <c r="Q8928" s="31" t="str">
        <f t="shared" si="557"/>
        <v/>
      </c>
      <c r="R8928" s="32" t="str">
        <f>IFERROR(VLOOKUP($D8928,'Informations sur les produits'!$A$3:$B$15000,2,FALSE),"")</f>
        <v/>
      </c>
      <c r="V8928">
        <f t="shared" si="558"/>
        <v>0</v>
      </c>
      <c r="W8928">
        <f t="shared" si="559"/>
        <v>0</v>
      </c>
    </row>
    <row r="8929" spans="5:23" x14ac:dyDescent="0.25">
      <c r="E8929" s="4"/>
      <c r="F8929" s="4"/>
      <c r="G8929" s="33" t="str">
        <f>IFERROR(VLOOKUP($D8929,'Informations sur les produits'!$A$3:$H$10000,8,FALSE),"0")</f>
        <v>0</v>
      </c>
      <c r="K8929" s="4"/>
      <c r="L8929" s="33" t="str">
        <f>IFERROR(VLOOKUP($J8929,'Informations sur les produits'!$A$3:$H$10000,8,FALSE),"0")</f>
        <v>0</v>
      </c>
      <c r="N8929" s="8"/>
      <c r="O8929" s="33" t="str">
        <f>IFERROR(VLOOKUP($M8929,'Informations sur les produits'!$A$3:$H$10000,8,FALSE),"0")</f>
        <v>0</v>
      </c>
      <c r="P8929" s="33">
        <f t="shared" si="556"/>
        <v>0</v>
      </c>
      <c r="Q8929" s="31" t="str">
        <f t="shared" si="557"/>
        <v/>
      </c>
      <c r="R8929" s="32" t="str">
        <f>IFERROR(VLOOKUP($D8929,'Informations sur les produits'!$A$3:$B$15000,2,FALSE),"")</f>
        <v/>
      </c>
      <c r="V8929">
        <f t="shared" si="558"/>
        <v>0</v>
      </c>
      <c r="W8929">
        <f t="shared" si="559"/>
        <v>0</v>
      </c>
    </row>
    <row r="8930" spans="5:23" x14ac:dyDescent="0.25">
      <c r="E8930" s="4"/>
      <c r="F8930" s="4"/>
      <c r="G8930" s="33" t="str">
        <f>IFERROR(VLOOKUP($D8930,'Informations sur les produits'!$A$3:$H$10000,8,FALSE),"0")</f>
        <v>0</v>
      </c>
      <c r="K8930" s="4"/>
      <c r="L8930" s="33" t="str">
        <f>IFERROR(VLOOKUP($J8930,'Informations sur les produits'!$A$3:$H$10000,8,FALSE),"0")</f>
        <v>0</v>
      </c>
      <c r="N8930" s="8"/>
      <c r="O8930" s="33" t="str">
        <f>IFERROR(VLOOKUP($M8930,'Informations sur les produits'!$A$3:$H$10000,8,FALSE),"0")</f>
        <v>0</v>
      </c>
      <c r="P8930" s="33">
        <f t="shared" si="556"/>
        <v>0</v>
      </c>
      <c r="Q8930" s="31" t="str">
        <f t="shared" si="557"/>
        <v/>
      </c>
      <c r="R8930" s="32" t="str">
        <f>IFERROR(VLOOKUP($D8930,'Informations sur les produits'!$A$3:$B$15000,2,FALSE),"")</f>
        <v/>
      </c>
      <c r="V8930">
        <f t="shared" si="558"/>
        <v>0</v>
      </c>
      <c r="W8930">
        <f t="shared" si="559"/>
        <v>0</v>
      </c>
    </row>
    <row r="8931" spans="5:23" x14ac:dyDescent="0.25">
      <c r="E8931" s="4"/>
      <c r="F8931" s="4"/>
      <c r="G8931" s="33" t="str">
        <f>IFERROR(VLOOKUP($D8931,'Informations sur les produits'!$A$3:$H$10000,8,FALSE),"0")</f>
        <v>0</v>
      </c>
      <c r="K8931" s="4"/>
      <c r="L8931" s="33" t="str">
        <f>IFERROR(VLOOKUP($J8931,'Informations sur les produits'!$A$3:$H$10000,8,FALSE),"0")</f>
        <v>0</v>
      </c>
      <c r="N8931" s="8"/>
      <c r="O8931" s="33" t="str">
        <f>IFERROR(VLOOKUP($M8931,'Informations sur les produits'!$A$3:$H$10000,8,FALSE),"0")</f>
        <v>0</v>
      </c>
      <c r="P8931" s="33">
        <f t="shared" si="556"/>
        <v>0</v>
      </c>
      <c r="Q8931" s="31" t="str">
        <f t="shared" si="557"/>
        <v/>
      </c>
      <c r="R8931" s="32" t="str">
        <f>IFERROR(VLOOKUP($D8931,'Informations sur les produits'!$A$3:$B$15000,2,FALSE),"")</f>
        <v/>
      </c>
      <c r="V8931">
        <f t="shared" si="558"/>
        <v>0</v>
      </c>
      <c r="W8931">
        <f t="shared" si="559"/>
        <v>0</v>
      </c>
    </row>
    <row r="8932" spans="5:23" x14ac:dyDescent="0.25">
      <c r="E8932" s="4"/>
      <c r="F8932" s="4"/>
      <c r="G8932" s="33" t="str">
        <f>IFERROR(VLOOKUP($D8932,'Informations sur les produits'!$A$3:$H$10000,8,FALSE),"0")</f>
        <v>0</v>
      </c>
      <c r="K8932" s="4"/>
      <c r="L8932" s="33" t="str">
        <f>IFERROR(VLOOKUP($J8932,'Informations sur les produits'!$A$3:$H$10000,8,FALSE),"0")</f>
        <v>0</v>
      </c>
      <c r="N8932" s="8"/>
      <c r="O8932" s="33" t="str">
        <f>IFERROR(VLOOKUP($M8932,'Informations sur les produits'!$A$3:$H$10000,8,FALSE),"0")</f>
        <v>0</v>
      </c>
      <c r="P8932" s="33">
        <f t="shared" si="556"/>
        <v>0</v>
      </c>
      <c r="Q8932" s="31" t="str">
        <f t="shared" si="557"/>
        <v/>
      </c>
      <c r="R8932" s="32" t="str">
        <f>IFERROR(VLOOKUP($D8932,'Informations sur les produits'!$A$3:$B$15000,2,FALSE),"")</f>
        <v/>
      </c>
      <c r="V8932">
        <f t="shared" si="558"/>
        <v>0</v>
      </c>
      <c r="W8932">
        <f t="shared" si="559"/>
        <v>0</v>
      </c>
    </row>
    <row r="8933" spans="5:23" x14ac:dyDescent="0.25">
      <c r="E8933" s="4"/>
      <c r="F8933" s="4"/>
      <c r="G8933" s="33" t="str">
        <f>IFERROR(VLOOKUP($D8933,'Informations sur les produits'!$A$3:$H$10000,8,FALSE),"0")</f>
        <v>0</v>
      </c>
      <c r="K8933" s="4"/>
      <c r="L8933" s="33" t="str">
        <f>IFERROR(VLOOKUP($J8933,'Informations sur les produits'!$A$3:$H$10000,8,FALSE),"0")</f>
        <v>0</v>
      </c>
      <c r="N8933" s="8"/>
      <c r="O8933" s="33" t="str">
        <f>IFERROR(VLOOKUP($M8933,'Informations sur les produits'!$A$3:$H$10000,8,FALSE),"0")</f>
        <v>0</v>
      </c>
      <c r="P8933" s="33">
        <f t="shared" si="556"/>
        <v>0</v>
      </c>
      <c r="Q8933" s="31" t="str">
        <f t="shared" si="557"/>
        <v/>
      </c>
      <c r="R8933" s="32" t="str">
        <f>IFERROR(VLOOKUP($D8933,'Informations sur les produits'!$A$3:$B$15000,2,FALSE),"")</f>
        <v/>
      </c>
      <c r="V8933">
        <f t="shared" si="558"/>
        <v>0</v>
      </c>
      <c r="W8933">
        <f t="shared" si="559"/>
        <v>0</v>
      </c>
    </row>
    <row r="8934" spans="5:23" x14ac:dyDescent="0.25">
      <c r="E8934" s="4"/>
      <c r="F8934" s="4"/>
      <c r="G8934" s="33" t="str">
        <f>IFERROR(VLOOKUP($D8934,'Informations sur les produits'!$A$3:$H$10000,8,FALSE),"0")</f>
        <v>0</v>
      </c>
      <c r="K8934" s="4"/>
      <c r="L8934" s="33" t="str">
        <f>IFERROR(VLOOKUP($J8934,'Informations sur les produits'!$A$3:$H$10000,8,FALSE),"0")</f>
        <v>0</v>
      </c>
      <c r="N8934" s="8"/>
      <c r="O8934" s="33" t="str">
        <f>IFERROR(VLOOKUP($M8934,'Informations sur les produits'!$A$3:$H$10000,8,FALSE),"0")</f>
        <v>0</v>
      </c>
      <c r="P8934" s="33">
        <f t="shared" si="556"/>
        <v>0</v>
      </c>
      <c r="Q8934" s="31" t="str">
        <f t="shared" si="557"/>
        <v/>
      </c>
      <c r="R8934" s="32" t="str">
        <f>IFERROR(VLOOKUP($D8934,'Informations sur les produits'!$A$3:$B$15000,2,FALSE),"")</f>
        <v/>
      </c>
      <c r="V8934">
        <f t="shared" si="558"/>
        <v>0</v>
      </c>
      <c r="W8934">
        <f t="shared" si="559"/>
        <v>0</v>
      </c>
    </row>
    <row r="8935" spans="5:23" x14ac:dyDescent="0.25">
      <c r="E8935" s="4"/>
      <c r="F8935" s="4"/>
      <c r="G8935" s="33" t="str">
        <f>IFERROR(VLOOKUP($D8935,'Informations sur les produits'!$A$3:$H$10000,8,FALSE),"0")</f>
        <v>0</v>
      </c>
      <c r="K8935" s="4"/>
      <c r="L8935" s="33" t="str">
        <f>IFERROR(VLOOKUP($J8935,'Informations sur les produits'!$A$3:$H$10000,8,FALSE),"0")</f>
        <v>0</v>
      </c>
      <c r="N8935" s="8"/>
      <c r="O8935" s="33" t="str">
        <f>IFERROR(VLOOKUP($M8935,'Informations sur les produits'!$A$3:$H$10000,8,FALSE),"0")</f>
        <v>0</v>
      </c>
      <c r="P8935" s="33">
        <f t="shared" si="556"/>
        <v>0</v>
      </c>
      <c r="Q8935" s="31" t="str">
        <f t="shared" si="557"/>
        <v/>
      </c>
      <c r="R8935" s="32" t="str">
        <f>IFERROR(VLOOKUP($D8935,'Informations sur les produits'!$A$3:$B$15000,2,FALSE),"")</f>
        <v/>
      </c>
      <c r="V8935">
        <f t="shared" si="558"/>
        <v>0</v>
      </c>
      <c r="W8935">
        <f t="shared" si="559"/>
        <v>0</v>
      </c>
    </row>
    <row r="8936" spans="5:23" x14ac:dyDescent="0.25">
      <c r="E8936" s="4"/>
      <c r="F8936" s="4"/>
      <c r="G8936" s="33" t="str">
        <f>IFERROR(VLOOKUP($D8936,'Informations sur les produits'!$A$3:$H$10000,8,FALSE),"0")</f>
        <v>0</v>
      </c>
      <c r="K8936" s="4"/>
      <c r="L8936" s="33" t="str">
        <f>IFERROR(VLOOKUP($J8936,'Informations sur les produits'!$A$3:$H$10000,8,FALSE),"0")</f>
        <v>0</v>
      </c>
      <c r="N8936" s="8"/>
      <c r="O8936" s="33" t="str">
        <f>IFERROR(VLOOKUP($M8936,'Informations sur les produits'!$A$3:$H$10000,8,FALSE),"0")</f>
        <v>0</v>
      </c>
      <c r="P8936" s="33">
        <f t="shared" si="556"/>
        <v>0</v>
      </c>
      <c r="Q8936" s="31" t="str">
        <f t="shared" si="557"/>
        <v/>
      </c>
      <c r="R8936" s="32" t="str">
        <f>IFERROR(VLOOKUP($D8936,'Informations sur les produits'!$A$3:$B$15000,2,FALSE),"")</f>
        <v/>
      </c>
      <c r="V8936">
        <f t="shared" si="558"/>
        <v>0</v>
      </c>
      <c r="W8936">
        <f t="shared" si="559"/>
        <v>0</v>
      </c>
    </row>
    <row r="8937" spans="5:23" x14ac:dyDescent="0.25">
      <c r="E8937" s="4"/>
      <c r="F8937" s="4"/>
      <c r="G8937" s="33" t="str">
        <f>IFERROR(VLOOKUP($D8937,'Informations sur les produits'!$A$3:$H$10000,8,FALSE),"0")</f>
        <v>0</v>
      </c>
      <c r="K8937" s="4"/>
      <c r="L8937" s="33" t="str">
        <f>IFERROR(VLOOKUP($J8937,'Informations sur les produits'!$A$3:$H$10000,8,FALSE),"0")</f>
        <v>0</v>
      </c>
      <c r="N8937" s="8"/>
      <c r="O8937" s="33" t="str">
        <f>IFERROR(VLOOKUP($M8937,'Informations sur les produits'!$A$3:$H$10000,8,FALSE),"0")</f>
        <v>0</v>
      </c>
      <c r="P8937" s="33">
        <f t="shared" si="556"/>
        <v>0</v>
      </c>
      <c r="Q8937" s="31" t="str">
        <f t="shared" si="557"/>
        <v/>
      </c>
      <c r="R8937" s="32" t="str">
        <f>IFERROR(VLOOKUP($D8937,'Informations sur les produits'!$A$3:$B$15000,2,FALSE),"")</f>
        <v/>
      </c>
      <c r="V8937">
        <f t="shared" si="558"/>
        <v>0</v>
      </c>
      <c r="W8937">
        <f t="shared" si="559"/>
        <v>0</v>
      </c>
    </row>
    <row r="8938" spans="5:23" x14ac:dyDescent="0.25">
      <c r="E8938" s="4"/>
      <c r="F8938" s="4"/>
      <c r="G8938" s="33" t="str">
        <f>IFERROR(VLOOKUP($D8938,'Informations sur les produits'!$A$3:$H$10000,8,FALSE),"0")</f>
        <v>0</v>
      </c>
      <c r="K8938" s="4"/>
      <c r="L8938" s="33" t="str">
        <f>IFERROR(VLOOKUP($J8938,'Informations sur les produits'!$A$3:$H$10000,8,FALSE),"0")</f>
        <v>0</v>
      </c>
      <c r="N8938" s="8"/>
      <c r="O8938" s="33" t="str">
        <f>IFERROR(VLOOKUP($M8938,'Informations sur les produits'!$A$3:$H$10000,8,FALSE),"0")</f>
        <v>0</v>
      </c>
      <c r="P8938" s="33">
        <f t="shared" si="556"/>
        <v>0</v>
      </c>
      <c r="Q8938" s="31" t="str">
        <f t="shared" si="557"/>
        <v/>
      </c>
      <c r="R8938" s="32" t="str">
        <f>IFERROR(VLOOKUP($D8938,'Informations sur les produits'!$A$3:$B$15000,2,FALSE),"")</f>
        <v/>
      </c>
      <c r="V8938">
        <f t="shared" si="558"/>
        <v>0</v>
      </c>
      <c r="W8938">
        <f t="shared" si="559"/>
        <v>0</v>
      </c>
    </row>
    <row r="8939" spans="5:23" x14ac:dyDescent="0.25">
      <c r="E8939" s="4"/>
      <c r="F8939" s="4"/>
      <c r="G8939" s="33" t="str">
        <f>IFERROR(VLOOKUP($D8939,'Informations sur les produits'!$A$3:$H$10000,8,FALSE),"0")</f>
        <v>0</v>
      </c>
      <c r="K8939" s="4"/>
      <c r="L8939" s="33" t="str">
        <f>IFERROR(VLOOKUP($J8939,'Informations sur les produits'!$A$3:$H$10000,8,FALSE),"0")</f>
        <v>0</v>
      </c>
      <c r="N8939" s="8"/>
      <c r="O8939" s="33" t="str">
        <f>IFERROR(VLOOKUP($M8939,'Informations sur les produits'!$A$3:$H$10000,8,FALSE),"0")</f>
        <v>0</v>
      </c>
      <c r="P8939" s="33">
        <f t="shared" si="556"/>
        <v>0</v>
      </c>
      <c r="Q8939" s="31" t="str">
        <f t="shared" si="557"/>
        <v/>
      </c>
      <c r="R8939" s="32" t="str">
        <f>IFERROR(VLOOKUP($D8939,'Informations sur les produits'!$A$3:$B$15000,2,FALSE),"")</f>
        <v/>
      </c>
      <c r="V8939">
        <f t="shared" si="558"/>
        <v>0</v>
      </c>
      <c r="W8939">
        <f t="shared" si="559"/>
        <v>0</v>
      </c>
    </row>
    <row r="8940" spans="5:23" x14ac:dyDescent="0.25">
      <c r="E8940" s="4"/>
      <c r="F8940" s="4"/>
      <c r="G8940" s="33" t="str">
        <f>IFERROR(VLOOKUP($D8940,'Informations sur les produits'!$A$3:$H$10000,8,FALSE),"0")</f>
        <v>0</v>
      </c>
      <c r="K8940" s="4"/>
      <c r="L8940" s="33" t="str">
        <f>IFERROR(VLOOKUP($J8940,'Informations sur les produits'!$A$3:$H$10000,8,FALSE),"0")</f>
        <v>0</v>
      </c>
      <c r="N8940" s="8"/>
      <c r="O8940" s="33" t="str">
        <f>IFERROR(VLOOKUP($M8940,'Informations sur les produits'!$A$3:$H$10000,8,FALSE),"0")</f>
        <v>0</v>
      </c>
      <c r="P8940" s="33">
        <f t="shared" si="556"/>
        <v>0</v>
      </c>
      <c r="Q8940" s="31" t="str">
        <f t="shared" si="557"/>
        <v/>
      </c>
      <c r="R8940" s="32" t="str">
        <f>IFERROR(VLOOKUP($D8940,'Informations sur les produits'!$A$3:$B$15000,2,FALSE),"")</f>
        <v/>
      </c>
      <c r="V8940">
        <f t="shared" si="558"/>
        <v>0</v>
      </c>
      <c r="W8940">
        <f t="shared" si="559"/>
        <v>0</v>
      </c>
    </row>
    <row r="8941" spans="5:23" x14ac:dyDescent="0.25">
      <c r="E8941" s="4"/>
      <c r="F8941" s="4"/>
      <c r="G8941" s="33" t="str">
        <f>IFERROR(VLOOKUP($D8941,'Informations sur les produits'!$A$3:$H$10000,8,FALSE),"0")</f>
        <v>0</v>
      </c>
      <c r="K8941" s="4"/>
      <c r="L8941" s="33" t="str">
        <f>IFERROR(VLOOKUP($J8941,'Informations sur les produits'!$A$3:$H$10000,8,FALSE),"0")</f>
        <v>0</v>
      </c>
      <c r="N8941" s="8"/>
      <c r="O8941" s="33" t="str">
        <f>IFERROR(VLOOKUP($M8941,'Informations sur les produits'!$A$3:$H$10000,8,FALSE),"0")</f>
        <v>0</v>
      </c>
      <c r="P8941" s="33">
        <f t="shared" si="556"/>
        <v>0</v>
      </c>
      <c r="Q8941" s="31" t="str">
        <f t="shared" si="557"/>
        <v/>
      </c>
      <c r="R8941" s="32" t="str">
        <f>IFERROR(VLOOKUP($D8941,'Informations sur les produits'!$A$3:$B$15000,2,FALSE),"")</f>
        <v/>
      </c>
      <c r="V8941">
        <f t="shared" si="558"/>
        <v>0</v>
      </c>
      <c r="W8941">
        <f t="shared" si="559"/>
        <v>0</v>
      </c>
    </row>
    <row r="8942" spans="5:23" x14ac:dyDescent="0.25">
      <c r="E8942" s="4"/>
      <c r="F8942" s="4"/>
      <c r="G8942" s="33" t="str">
        <f>IFERROR(VLOOKUP($D8942,'Informations sur les produits'!$A$3:$H$10000,8,FALSE),"0")</f>
        <v>0</v>
      </c>
      <c r="K8942" s="4"/>
      <c r="L8942" s="33" t="str">
        <f>IFERROR(VLOOKUP($J8942,'Informations sur les produits'!$A$3:$H$10000,8,FALSE),"0")</f>
        <v>0</v>
      </c>
      <c r="N8942" s="8"/>
      <c r="O8942" s="33" t="str">
        <f>IFERROR(VLOOKUP($M8942,'Informations sur les produits'!$A$3:$H$10000,8,FALSE),"0")</f>
        <v>0</v>
      </c>
      <c r="P8942" s="33">
        <f t="shared" si="556"/>
        <v>0</v>
      </c>
      <c r="Q8942" s="31" t="str">
        <f t="shared" si="557"/>
        <v/>
      </c>
      <c r="R8942" s="32" t="str">
        <f>IFERROR(VLOOKUP($D8942,'Informations sur les produits'!$A$3:$B$15000,2,FALSE),"")</f>
        <v/>
      </c>
      <c r="V8942">
        <f t="shared" si="558"/>
        <v>0</v>
      </c>
      <c r="W8942">
        <f t="shared" si="559"/>
        <v>0</v>
      </c>
    </row>
    <row r="8943" spans="5:23" x14ac:dyDescent="0.25">
      <c r="E8943" s="4"/>
      <c r="F8943" s="4"/>
      <c r="G8943" s="33" t="str">
        <f>IFERROR(VLOOKUP($D8943,'Informations sur les produits'!$A$3:$H$10000,8,FALSE),"0")</f>
        <v>0</v>
      </c>
      <c r="K8943" s="4"/>
      <c r="L8943" s="33" t="str">
        <f>IFERROR(VLOOKUP($J8943,'Informations sur les produits'!$A$3:$H$10000,8,FALSE),"0")</f>
        <v>0</v>
      </c>
      <c r="N8943" s="8"/>
      <c r="O8943" s="33" t="str">
        <f>IFERROR(VLOOKUP($M8943,'Informations sur les produits'!$A$3:$H$10000,8,FALSE),"0")</f>
        <v>0</v>
      </c>
      <c r="P8943" s="33">
        <f t="shared" si="556"/>
        <v>0</v>
      </c>
      <c r="Q8943" s="31" t="str">
        <f t="shared" si="557"/>
        <v/>
      </c>
      <c r="R8943" s="32" t="str">
        <f>IFERROR(VLOOKUP($D8943,'Informations sur les produits'!$A$3:$B$15000,2,FALSE),"")</f>
        <v/>
      </c>
      <c r="V8943">
        <f t="shared" si="558"/>
        <v>0</v>
      </c>
      <c r="W8943">
        <f t="shared" si="559"/>
        <v>0</v>
      </c>
    </row>
    <row r="8944" spans="5:23" x14ac:dyDescent="0.25">
      <c r="E8944" s="4"/>
      <c r="F8944" s="4"/>
      <c r="G8944" s="33" t="str">
        <f>IFERROR(VLOOKUP($D8944,'Informations sur les produits'!$A$3:$H$10000,8,FALSE),"0")</f>
        <v>0</v>
      </c>
      <c r="K8944" s="4"/>
      <c r="L8944" s="33" t="str">
        <f>IFERROR(VLOOKUP($J8944,'Informations sur les produits'!$A$3:$H$10000,8,FALSE),"0")</f>
        <v>0</v>
      </c>
      <c r="N8944" s="8"/>
      <c r="O8944" s="33" t="str">
        <f>IFERROR(VLOOKUP($M8944,'Informations sur les produits'!$A$3:$H$10000,8,FALSE),"0")</f>
        <v>0</v>
      </c>
      <c r="P8944" s="33">
        <f t="shared" si="556"/>
        <v>0</v>
      </c>
      <c r="Q8944" s="31" t="str">
        <f t="shared" si="557"/>
        <v/>
      </c>
      <c r="R8944" s="32" t="str">
        <f>IFERROR(VLOOKUP($D8944,'Informations sur les produits'!$A$3:$B$15000,2,FALSE),"")</f>
        <v/>
      </c>
      <c r="V8944">
        <f t="shared" si="558"/>
        <v>0</v>
      </c>
      <c r="W8944">
        <f t="shared" si="559"/>
        <v>0</v>
      </c>
    </row>
    <row r="8945" spans="5:23" x14ac:dyDescent="0.25">
      <c r="E8945" s="4"/>
      <c r="F8945" s="4"/>
      <c r="G8945" s="33" t="str">
        <f>IFERROR(VLOOKUP($D8945,'Informations sur les produits'!$A$3:$H$10000,8,FALSE),"0")</f>
        <v>0</v>
      </c>
      <c r="K8945" s="4"/>
      <c r="L8945" s="33" t="str">
        <f>IFERROR(VLOOKUP($J8945,'Informations sur les produits'!$A$3:$H$10000,8,FALSE),"0")</f>
        <v>0</v>
      </c>
      <c r="N8945" s="8"/>
      <c r="O8945" s="33" t="str">
        <f>IFERROR(VLOOKUP($M8945,'Informations sur les produits'!$A$3:$H$10000,8,FALSE),"0")</f>
        <v>0</v>
      </c>
      <c r="P8945" s="33">
        <f t="shared" si="556"/>
        <v>0</v>
      </c>
      <c r="Q8945" s="31" t="str">
        <f t="shared" si="557"/>
        <v/>
      </c>
      <c r="R8945" s="32" t="str">
        <f>IFERROR(VLOOKUP($D8945,'Informations sur les produits'!$A$3:$B$15000,2,FALSE),"")</f>
        <v/>
      </c>
      <c r="V8945">
        <f t="shared" si="558"/>
        <v>0</v>
      </c>
      <c r="W8945">
        <f t="shared" si="559"/>
        <v>0</v>
      </c>
    </row>
    <row r="8946" spans="5:23" x14ac:dyDescent="0.25">
      <c r="E8946" s="4"/>
      <c r="F8946" s="4"/>
      <c r="G8946" s="33" t="str">
        <f>IFERROR(VLOOKUP($D8946,'Informations sur les produits'!$A$3:$H$10000,8,FALSE),"0")</f>
        <v>0</v>
      </c>
      <c r="K8946" s="4"/>
      <c r="L8946" s="33" t="str">
        <f>IFERROR(VLOOKUP($J8946,'Informations sur les produits'!$A$3:$H$10000,8,FALSE),"0")</f>
        <v>0</v>
      </c>
      <c r="N8946" s="8"/>
      <c r="O8946" s="33" t="str">
        <f>IFERROR(VLOOKUP($M8946,'Informations sur les produits'!$A$3:$H$10000,8,FALSE),"0")</f>
        <v>0</v>
      </c>
      <c r="P8946" s="33">
        <f t="shared" si="556"/>
        <v>0</v>
      </c>
      <c r="Q8946" s="31" t="str">
        <f t="shared" si="557"/>
        <v/>
      </c>
      <c r="R8946" s="32" t="str">
        <f>IFERROR(VLOOKUP($D8946,'Informations sur les produits'!$A$3:$B$15000,2,FALSE),"")</f>
        <v/>
      </c>
      <c r="V8946">
        <f t="shared" si="558"/>
        <v>0</v>
      </c>
      <c r="W8946">
        <f t="shared" si="559"/>
        <v>0</v>
      </c>
    </row>
    <row r="8947" spans="5:23" x14ac:dyDescent="0.25">
      <c r="E8947" s="4"/>
      <c r="F8947" s="4"/>
      <c r="G8947" s="33" t="str">
        <f>IFERROR(VLOOKUP($D8947,'Informations sur les produits'!$A$3:$H$10000,8,FALSE),"0")</f>
        <v>0</v>
      </c>
      <c r="K8947" s="4"/>
      <c r="L8947" s="33" t="str">
        <f>IFERROR(VLOOKUP($J8947,'Informations sur les produits'!$A$3:$H$10000,8,FALSE),"0")</f>
        <v>0</v>
      </c>
      <c r="N8947" s="8"/>
      <c r="O8947" s="33" t="str">
        <f>IFERROR(VLOOKUP($M8947,'Informations sur les produits'!$A$3:$H$10000,8,FALSE),"0")</f>
        <v>0</v>
      </c>
      <c r="P8947" s="33">
        <f t="shared" si="556"/>
        <v>0</v>
      </c>
      <c r="Q8947" s="31" t="str">
        <f t="shared" si="557"/>
        <v/>
      </c>
      <c r="R8947" s="32" t="str">
        <f>IFERROR(VLOOKUP($D8947,'Informations sur les produits'!$A$3:$B$15000,2,FALSE),"")</f>
        <v/>
      </c>
      <c r="V8947">
        <f t="shared" si="558"/>
        <v>0</v>
      </c>
      <c r="W8947">
        <f t="shared" si="559"/>
        <v>0</v>
      </c>
    </row>
    <row r="8948" spans="5:23" x14ac:dyDescent="0.25">
      <c r="E8948" s="4"/>
      <c r="F8948" s="4"/>
      <c r="G8948" s="33" t="str">
        <f>IFERROR(VLOOKUP($D8948,'Informations sur les produits'!$A$3:$H$10000,8,FALSE),"0")</f>
        <v>0</v>
      </c>
      <c r="K8948" s="4"/>
      <c r="L8948" s="33" t="str">
        <f>IFERROR(VLOOKUP($J8948,'Informations sur les produits'!$A$3:$H$10000,8,FALSE),"0")</f>
        <v>0</v>
      </c>
      <c r="N8948" s="8"/>
      <c r="O8948" s="33" t="str">
        <f>IFERROR(VLOOKUP($M8948,'Informations sur les produits'!$A$3:$H$10000,8,FALSE),"0")</f>
        <v>0</v>
      </c>
      <c r="P8948" s="33">
        <f t="shared" si="556"/>
        <v>0</v>
      </c>
      <c r="Q8948" s="31" t="str">
        <f t="shared" si="557"/>
        <v/>
      </c>
      <c r="R8948" s="32" t="str">
        <f>IFERROR(VLOOKUP($D8948,'Informations sur les produits'!$A$3:$B$15000,2,FALSE),"")</f>
        <v/>
      </c>
      <c r="V8948">
        <f t="shared" si="558"/>
        <v>0</v>
      </c>
      <c r="W8948">
        <f t="shared" si="559"/>
        <v>0</v>
      </c>
    </row>
    <row r="8949" spans="5:23" x14ac:dyDescent="0.25">
      <c r="E8949" s="4"/>
      <c r="F8949" s="4"/>
      <c r="G8949" s="33" t="str">
        <f>IFERROR(VLOOKUP($D8949,'Informations sur les produits'!$A$3:$H$10000,8,FALSE),"0")</f>
        <v>0</v>
      </c>
      <c r="K8949" s="4"/>
      <c r="L8949" s="33" t="str">
        <f>IFERROR(VLOOKUP($J8949,'Informations sur les produits'!$A$3:$H$10000,8,FALSE),"0")</f>
        <v>0</v>
      </c>
      <c r="N8949" s="8"/>
      <c r="O8949" s="33" t="str">
        <f>IFERROR(VLOOKUP($M8949,'Informations sur les produits'!$A$3:$H$10000,8,FALSE),"0")</f>
        <v>0</v>
      </c>
      <c r="P8949" s="33">
        <f t="shared" si="556"/>
        <v>0</v>
      </c>
      <c r="Q8949" s="31" t="str">
        <f t="shared" si="557"/>
        <v/>
      </c>
      <c r="R8949" s="32" t="str">
        <f>IFERROR(VLOOKUP($D8949,'Informations sur les produits'!$A$3:$B$15000,2,FALSE),"")</f>
        <v/>
      </c>
      <c r="V8949">
        <f t="shared" si="558"/>
        <v>0</v>
      </c>
      <c r="W8949">
        <f t="shared" si="559"/>
        <v>0</v>
      </c>
    </row>
    <row r="8950" spans="5:23" x14ac:dyDescent="0.25">
      <c r="E8950" s="4"/>
      <c r="F8950" s="4"/>
      <c r="G8950" s="33" t="str">
        <f>IFERROR(VLOOKUP($D8950,'Informations sur les produits'!$A$3:$H$10000,8,FALSE),"0")</f>
        <v>0</v>
      </c>
      <c r="K8950" s="4"/>
      <c r="L8950" s="33" t="str">
        <f>IFERROR(VLOOKUP($J8950,'Informations sur les produits'!$A$3:$H$10000,8,FALSE),"0")</f>
        <v>0</v>
      </c>
      <c r="N8950" s="8"/>
      <c r="O8950" s="33" t="str">
        <f>IFERROR(VLOOKUP($M8950,'Informations sur les produits'!$A$3:$H$10000,8,FALSE),"0")</f>
        <v>0</v>
      </c>
      <c r="P8950" s="33">
        <f t="shared" si="556"/>
        <v>0</v>
      </c>
      <c r="Q8950" s="31" t="str">
        <f t="shared" si="557"/>
        <v/>
      </c>
      <c r="R8950" s="32" t="str">
        <f>IFERROR(VLOOKUP($D8950,'Informations sur les produits'!$A$3:$B$15000,2,FALSE),"")</f>
        <v/>
      </c>
      <c r="V8950">
        <f t="shared" si="558"/>
        <v>0</v>
      </c>
      <c r="W8950">
        <f t="shared" si="559"/>
        <v>0</v>
      </c>
    </row>
    <row r="8951" spans="5:23" x14ac:dyDescent="0.25">
      <c r="E8951" s="4"/>
      <c r="F8951" s="4"/>
      <c r="G8951" s="33" t="str">
        <f>IFERROR(VLOOKUP($D8951,'Informations sur les produits'!$A$3:$H$10000,8,FALSE),"0")</f>
        <v>0</v>
      </c>
      <c r="K8951" s="4"/>
      <c r="L8951" s="33" t="str">
        <f>IFERROR(VLOOKUP($J8951,'Informations sur les produits'!$A$3:$H$10000,8,FALSE),"0")</f>
        <v>0</v>
      </c>
      <c r="N8951" s="8"/>
      <c r="O8951" s="33" t="str">
        <f>IFERROR(VLOOKUP($M8951,'Informations sur les produits'!$A$3:$H$10000,8,FALSE),"0")</f>
        <v>0</v>
      </c>
      <c r="P8951" s="33">
        <f t="shared" si="556"/>
        <v>0</v>
      </c>
      <c r="Q8951" s="31" t="str">
        <f t="shared" si="557"/>
        <v/>
      </c>
      <c r="R8951" s="32" t="str">
        <f>IFERROR(VLOOKUP($D8951,'Informations sur les produits'!$A$3:$B$15000,2,FALSE),"")</f>
        <v/>
      </c>
      <c r="V8951">
        <f t="shared" si="558"/>
        <v>0</v>
      </c>
      <c r="W8951">
        <f t="shared" si="559"/>
        <v>0</v>
      </c>
    </row>
    <row r="8952" spans="5:23" x14ac:dyDescent="0.25">
      <c r="E8952" s="4"/>
      <c r="F8952" s="4"/>
      <c r="G8952" s="33" t="str">
        <f>IFERROR(VLOOKUP($D8952,'Informations sur les produits'!$A$3:$H$10000,8,FALSE),"0")</f>
        <v>0</v>
      </c>
      <c r="K8952" s="4"/>
      <c r="L8952" s="33" t="str">
        <f>IFERROR(VLOOKUP($J8952,'Informations sur les produits'!$A$3:$H$10000,8,FALSE),"0")</f>
        <v>0</v>
      </c>
      <c r="N8952" s="8"/>
      <c r="O8952" s="33" t="str">
        <f>IFERROR(VLOOKUP($M8952,'Informations sur les produits'!$A$3:$H$10000,8,FALSE),"0")</f>
        <v>0</v>
      </c>
      <c r="P8952" s="33">
        <f t="shared" si="556"/>
        <v>0</v>
      </c>
      <c r="Q8952" s="31" t="str">
        <f t="shared" si="557"/>
        <v/>
      </c>
      <c r="R8952" s="32" t="str">
        <f>IFERROR(VLOOKUP($D8952,'Informations sur les produits'!$A$3:$B$15000,2,FALSE),"")</f>
        <v/>
      </c>
      <c r="V8952">
        <f t="shared" si="558"/>
        <v>0</v>
      </c>
      <c r="W8952">
        <f t="shared" si="559"/>
        <v>0</v>
      </c>
    </row>
    <row r="8953" spans="5:23" x14ac:dyDescent="0.25">
      <c r="E8953" s="4"/>
      <c r="F8953" s="4"/>
      <c r="G8953" s="33" t="str">
        <f>IFERROR(VLOOKUP($D8953,'Informations sur les produits'!$A$3:$H$10000,8,FALSE),"0")</f>
        <v>0</v>
      </c>
      <c r="K8953" s="4"/>
      <c r="L8953" s="33" t="str">
        <f>IFERROR(VLOOKUP($J8953,'Informations sur les produits'!$A$3:$H$10000,8,FALSE),"0")</f>
        <v>0</v>
      </c>
      <c r="N8953" s="8"/>
      <c r="O8953" s="33" t="str">
        <f>IFERROR(VLOOKUP($M8953,'Informations sur les produits'!$A$3:$H$10000,8,FALSE),"0")</f>
        <v>0</v>
      </c>
      <c r="P8953" s="33">
        <f t="shared" si="556"/>
        <v>0</v>
      </c>
      <c r="Q8953" s="31" t="str">
        <f t="shared" si="557"/>
        <v/>
      </c>
      <c r="R8953" s="32" t="str">
        <f>IFERROR(VLOOKUP($D8953,'Informations sur les produits'!$A$3:$B$15000,2,FALSE),"")</f>
        <v/>
      </c>
      <c r="V8953">
        <f t="shared" si="558"/>
        <v>0</v>
      </c>
      <c r="W8953">
        <f t="shared" si="559"/>
        <v>0</v>
      </c>
    </row>
    <row r="8954" spans="5:23" x14ac:dyDescent="0.25">
      <c r="E8954" s="4"/>
      <c r="F8954" s="4"/>
      <c r="G8954" s="33" t="str">
        <f>IFERROR(VLOOKUP($D8954,'Informations sur les produits'!$A$3:$H$10000,8,FALSE),"0")</f>
        <v>0</v>
      </c>
      <c r="K8954" s="4"/>
      <c r="L8954" s="33" t="str">
        <f>IFERROR(VLOOKUP($J8954,'Informations sur les produits'!$A$3:$H$10000,8,FALSE),"0")</f>
        <v>0</v>
      </c>
      <c r="N8954" s="8"/>
      <c r="O8954" s="33" t="str">
        <f>IFERROR(VLOOKUP($M8954,'Informations sur les produits'!$A$3:$H$10000,8,FALSE),"0")</f>
        <v>0</v>
      </c>
      <c r="P8954" s="33">
        <f t="shared" si="556"/>
        <v>0</v>
      </c>
      <c r="Q8954" s="31" t="str">
        <f t="shared" si="557"/>
        <v/>
      </c>
      <c r="R8954" s="32" t="str">
        <f>IFERROR(VLOOKUP($D8954,'Informations sur les produits'!$A$3:$B$15000,2,FALSE),"")</f>
        <v/>
      </c>
      <c r="V8954">
        <f t="shared" si="558"/>
        <v>0</v>
      </c>
      <c r="W8954">
        <f t="shared" si="559"/>
        <v>0</v>
      </c>
    </row>
    <row r="8955" spans="5:23" x14ac:dyDescent="0.25">
      <c r="E8955" s="4"/>
      <c r="F8955" s="4"/>
      <c r="G8955" s="33" t="str">
        <f>IFERROR(VLOOKUP($D8955,'Informations sur les produits'!$A$3:$H$10000,8,FALSE),"0")</f>
        <v>0</v>
      </c>
      <c r="K8955" s="4"/>
      <c r="L8955" s="33" t="str">
        <f>IFERROR(VLOOKUP($J8955,'Informations sur les produits'!$A$3:$H$10000,8,FALSE),"0")</f>
        <v>0</v>
      </c>
      <c r="N8955" s="8"/>
      <c r="O8955" s="33" t="str">
        <f>IFERROR(VLOOKUP($M8955,'Informations sur les produits'!$A$3:$H$10000,8,FALSE),"0")</f>
        <v>0</v>
      </c>
      <c r="P8955" s="33">
        <f t="shared" si="556"/>
        <v>0</v>
      </c>
      <c r="Q8955" s="31" t="str">
        <f t="shared" si="557"/>
        <v/>
      </c>
      <c r="R8955" s="32" t="str">
        <f>IFERROR(VLOOKUP($D8955,'Informations sur les produits'!$A$3:$B$15000,2,FALSE),"")</f>
        <v/>
      </c>
      <c r="V8955">
        <f t="shared" si="558"/>
        <v>0</v>
      </c>
      <c r="W8955">
        <f t="shared" si="559"/>
        <v>0</v>
      </c>
    </row>
    <row r="8956" spans="5:23" x14ac:dyDescent="0.25">
      <c r="E8956" s="4"/>
      <c r="F8956" s="4"/>
      <c r="G8956" s="33" t="str">
        <f>IFERROR(VLOOKUP($D8956,'Informations sur les produits'!$A$3:$H$10000,8,FALSE),"0")</f>
        <v>0</v>
      </c>
      <c r="K8956" s="4"/>
      <c r="L8956" s="33" t="str">
        <f>IFERROR(VLOOKUP($J8956,'Informations sur les produits'!$A$3:$H$10000,8,FALSE),"0")</f>
        <v>0</v>
      </c>
      <c r="N8956" s="8"/>
      <c r="O8956" s="33" t="str">
        <f>IFERROR(VLOOKUP($M8956,'Informations sur les produits'!$A$3:$H$10000,8,FALSE),"0")</f>
        <v>0</v>
      </c>
      <c r="P8956" s="33">
        <f t="shared" si="556"/>
        <v>0</v>
      </c>
      <c r="Q8956" s="31" t="str">
        <f t="shared" si="557"/>
        <v/>
      </c>
      <c r="R8956" s="32" t="str">
        <f>IFERROR(VLOOKUP($D8956,'Informations sur les produits'!$A$3:$B$15000,2,FALSE),"")</f>
        <v/>
      </c>
      <c r="V8956">
        <f t="shared" si="558"/>
        <v>0</v>
      </c>
      <c r="W8956">
        <f t="shared" si="559"/>
        <v>0</v>
      </c>
    </row>
    <row r="8957" spans="5:23" x14ac:dyDescent="0.25">
      <c r="E8957" s="4"/>
      <c r="F8957" s="4"/>
      <c r="G8957" s="33" t="str">
        <f>IFERROR(VLOOKUP($D8957,'Informations sur les produits'!$A$3:$H$10000,8,FALSE),"0")</f>
        <v>0</v>
      </c>
      <c r="K8957" s="4"/>
      <c r="L8957" s="33" t="str">
        <f>IFERROR(VLOOKUP($J8957,'Informations sur les produits'!$A$3:$H$10000,8,FALSE),"0")</f>
        <v>0</v>
      </c>
      <c r="N8957" s="8"/>
      <c r="O8957" s="33" t="str">
        <f>IFERROR(VLOOKUP($M8957,'Informations sur les produits'!$A$3:$H$10000,8,FALSE),"0")</f>
        <v>0</v>
      </c>
      <c r="P8957" s="33">
        <f t="shared" si="556"/>
        <v>0</v>
      </c>
      <c r="Q8957" s="31" t="str">
        <f t="shared" si="557"/>
        <v/>
      </c>
      <c r="R8957" s="32" t="str">
        <f>IFERROR(VLOOKUP($D8957,'Informations sur les produits'!$A$3:$B$15000,2,FALSE),"")</f>
        <v/>
      </c>
      <c r="V8957">
        <f t="shared" si="558"/>
        <v>0</v>
      </c>
      <c r="W8957">
        <f t="shared" si="559"/>
        <v>0</v>
      </c>
    </row>
    <row r="8958" spans="5:23" x14ac:dyDescent="0.25">
      <c r="E8958" s="4"/>
      <c r="F8958" s="4"/>
      <c r="G8958" s="33" t="str">
        <f>IFERROR(VLOOKUP($D8958,'Informations sur les produits'!$A$3:$H$10000,8,FALSE),"0")</f>
        <v>0</v>
      </c>
      <c r="K8958" s="4"/>
      <c r="L8958" s="33" t="str">
        <f>IFERROR(VLOOKUP($J8958,'Informations sur les produits'!$A$3:$H$10000,8,FALSE),"0")</f>
        <v>0</v>
      </c>
      <c r="N8958" s="8"/>
      <c r="O8958" s="33" t="str">
        <f>IFERROR(VLOOKUP($M8958,'Informations sur les produits'!$A$3:$H$10000,8,FALSE),"0")</f>
        <v>0</v>
      </c>
      <c r="P8958" s="33">
        <f t="shared" si="556"/>
        <v>0</v>
      </c>
      <c r="Q8958" s="31" t="str">
        <f t="shared" si="557"/>
        <v/>
      </c>
      <c r="R8958" s="32" t="str">
        <f>IFERROR(VLOOKUP($D8958,'Informations sur les produits'!$A$3:$B$15000,2,FALSE),"")</f>
        <v/>
      </c>
      <c r="V8958">
        <f t="shared" si="558"/>
        <v>0</v>
      </c>
      <c r="W8958">
        <f t="shared" si="559"/>
        <v>0</v>
      </c>
    </row>
    <row r="8959" spans="5:23" x14ac:dyDescent="0.25">
      <c r="E8959" s="4"/>
      <c r="F8959" s="4"/>
      <c r="G8959" s="33" t="str">
        <f>IFERROR(VLOOKUP($D8959,'Informations sur les produits'!$A$3:$H$10000,8,FALSE),"0")</f>
        <v>0</v>
      </c>
      <c r="K8959" s="4"/>
      <c r="L8959" s="33" t="str">
        <f>IFERROR(VLOOKUP($J8959,'Informations sur les produits'!$A$3:$H$10000,8,FALSE),"0")</f>
        <v>0</v>
      </c>
      <c r="N8959" s="8"/>
      <c r="O8959" s="33" t="str">
        <f>IFERROR(VLOOKUP($M8959,'Informations sur les produits'!$A$3:$H$10000,8,FALSE),"0")</f>
        <v>0</v>
      </c>
      <c r="P8959" s="33">
        <f t="shared" si="556"/>
        <v>0</v>
      </c>
      <c r="Q8959" s="31" t="str">
        <f t="shared" si="557"/>
        <v/>
      </c>
      <c r="R8959" s="32" t="str">
        <f>IFERROR(VLOOKUP($D8959,'Informations sur les produits'!$A$3:$B$15000,2,FALSE),"")</f>
        <v/>
      </c>
      <c r="V8959">
        <f t="shared" si="558"/>
        <v>0</v>
      </c>
      <c r="W8959">
        <f t="shared" si="559"/>
        <v>0</v>
      </c>
    </row>
    <row r="8960" spans="5:23" x14ac:dyDescent="0.25">
      <c r="E8960" s="4"/>
      <c r="F8960" s="4"/>
      <c r="G8960" s="33" t="str">
        <f>IFERROR(VLOOKUP($D8960,'Informations sur les produits'!$A$3:$H$10000,8,FALSE),"0")</f>
        <v>0</v>
      </c>
      <c r="K8960" s="4"/>
      <c r="L8960" s="33" t="str">
        <f>IFERROR(VLOOKUP($J8960,'Informations sur les produits'!$A$3:$H$10000,8,FALSE),"0")</f>
        <v>0</v>
      </c>
      <c r="N8960" s="8"/>
      <c r="O8960" s="33" t="str">
        <f>IFERROR(VLOOKUP($M8960,'Informations sur les produits'!$A$3:$H$10000,8,FALSE),"0")</f>
        <v>0</v>
      </c>
      <c r="P8960" s="33">
        <f t="shared" si="556"/>
        <v>0</v>
      </c>
      <c r="Q8960" s="31" t="str">
        <f t="shared" si="557"/>
        <v/>
      </c>
      <c r="R8960" s="32" t="str">
        <f>IFERROR(VLOOKUP($D8960,'Informations sur les produits'!$A$3:$B$15000,2,FALSE),"")</f>
        <v/>
      </c>
      <c r="V8960">
        <f t="shared" si="558"/>
        <v>0</v>
      </c>
      <c r="W8960">
        <f t="shared" si="559"/>
        <v>0</v>
      </c>
    </row>
    <row r="8961" spans="5:23" x14ac:dyDescent="0.25">
      <c r="E8961" s="4"/>
      <c r="F8961" s="4"/>
      <c r="G8961" s="33" t="str">
        <f>IFERROR(VLOOKUP($D8961,'Informations sur les produits'!$A$3:$H$10000,8,FALSE),"0")</f>
        <v>0</v>
      </c>
      <c r="K8961" s="4"/>
      <c r="L8961" s="33" t="str">
        <f>IFERROR(VLOOKUP($J8961,'Informations sur les produits'!$A$3:$H$10000,8,FALSE),"0")</f>
        <v>0</v>
      </c>
      <c r="N8961" s="8"/>
      <c r="O8961" s="33" t="str">
        <f>IFERROR(VLOOKUP($M8961,'Informations sur les produits'!$A$3:$H$10000,8,FALSE),"0")</f>
        <v>0</v>
      </c>
      <c r="P8961" s="33">
        <f t="shared" si="556"/>
        <v>0</v>
      </c>
      <c r="Q8961" s="31" t="str">
        <f t="shared" si="557"/>
        <v/>
      </c>
      <c r="R8961" s="32" t="str">
        <f>IFERROR(VLOOKUP($D8961,'Informations sur les produits'!$A$3:$B$15000,2,FALSE),"")</f>
        <v/>
      </c>
      <c r="V8961">
        <f t="shared" si="558"/>
        <v>0</v>
      </c>
      <c r="W8961">
        <f t="shared" si="559"/>
        <v>0</v>
      </c>
    </row>
    <row r="8962" spans="5:23" x14ac:dyDescent="0.25">
      <c r="E8962" s="4"/>
      <c r="F8962" s="4"/>
      <c r="G8962" s="33" t="str">
        <f>IFERROR(VLOOKUP($D8962,'Informations sur les produits'!$A$3:$H$10000,8,FALSE),"0")</f>
        <v>0</v>
      </c>
      <c r="K8962" s="4"/>
      <c r="L8962" s="33" t="str">
        <f>IFERROR(VLOOKUP($J8962,'Informations sur les produits'!$A$3:$H$10000,8,FALSE),"0")</f>
        <v>0</v>
      </c>
      <c r="N8962" s="8"/>
      <c r="O8962" s="33" t="str">
        <f>IFERROR(VLOOKUP($M8962,'Informations sur les produits'!$A$3:$H$10000,8,FALSE),"0")</f>
        <v>0</v>
      </c>
      <c r="P8962" s="33">
        <f t="shared" si="556"/>
        <v>0</v>
      </c>
      <c r="Q8962" s="31" t="str">
        <f t="shared" si="557"/>
        <v/>
      </c>
      <c r="R8962" s="32" t="str">
        <f>IFERROR(VLOOKUP($D8962,'Informations sur les produits'!$A$3:$B$15000,2,FALSE),"")</f>
        <v/>
      </c>
      <c r="V8962">
        <f t="shared" si="558"/>
        <v>0</v>
      </c>
      <c r="W8962">
        <f t="shared" si="559"/>
        <v>0</v>
      </c>
    </row>
    <row r="8963" spans="5:23" x14ac:dyDescent="0.25">
      <c r="E8963" s="4"/>
      <c r="F8963" s="4"/>
      <c r="G8963" s="33" t="str">
        <f>IFERROR(VLOOKUP($D8963,'Informations sur les produits'!$A$3:$H$10000,8,FALSE),"0")</f>
        <v>0</v>
      </c>
      <c r="K8963" s="4"/>
      <c r="L8963" s="33" t="str">
        <f>IFERROR(VLOOKUP($J8963,'Informations sur les produits'!$A$3:$H$10000,8,FALSE),"0")</f>
        <v>0</v>
      </c>
      <c r="N8963" s="8"/>
      <c r="O8963" s="33" t="str">
        <f>IFERROR(VLOOKUP($M8963,'Informations sur les produits'!$A$3:$H$10000,8,FALSE),"0")</f>
        <v>0</v>
      </c>
      <c r="P8963" s="33">
        <f t="shared" si="556"/>
        <v>0</v>
      </c>
      <c r="Q8963" s="31" t="str">
        <f t="shared" si="557"/>
        <v/>
      </c>
      <c r="R8963" s="32" t="str">
        <f>IFERROR(VLOOKUP($D8963,'Informations sur les produits'!$A$3:$B$15000,2,FALSE),"")</f>
        <v/>
      </c>
      <c r="V8963">
        <f t="shared" si="558"/>
        <v>0</v>
      </c>
      <c r="W8963">
        <f t="shared" si="559"/>
        <v>0</v>
      </c>
    </row>
    <row r="8964" spans="5:23" x14ac:dyDescent="0.25">
      <c r="E8964" s="4"/>
      <c r="F8964" s="4"/>
      <c r="G8964" s="33" t="str">
        <f>IFERROR(VLOOKUP($D8964,'Informations sur les produits'!$A$3:$H$10000,8,FALSE),"0")</f>
        <v>0</v>
      </c>
      <c r="K8964" s="4"/>
      <c r="L8964" s="33" t="str">
        <f>IFERROR(VLOOKUP($J8964,'Informations sur les produits'!$A$3:$H$10000,8,FALSE),"0")</f>
        <v>0</v>
      </c>
      <c r="N8964" s="8"/>
      <c r="O8964" s="33" t="str">
        <f>IFERROR(VLOOKUP($M8964,'Informations sur les produits'!$A$3:$H$10000,8,FALSE),"0")</f>
        <v>0</v>
      </c>
      <c r="P8964" s="33">
        <f t="shared" ref="P8964:P9027" si="560">IFERROR((($E8964-$F8964)*$G8964+$K8964*$L8964+$N8964*$O8964),"")</f>
        <v>0</v>
      </c>
      <c r="Q8964" s="31" t="str">
        <f t="shared" ref="Q8964:Q9027" si="561">IFERROR((((($E8964-$F8964)*$G8964+$K8964*$L8964+$N8964*$O8964)*1000)/(($E8964-$F8964)+$K8964+$N8964)),"")</f>
        <v/>
      </c>
      <c r="R8964" s="32" t="str">
        <f>IFERROR(VLOOKUP($D8964,'Informations sur les produits'!$A$3:$B$15000,2,FALSE),"")</f>
        <v/>
      </c>
      <c r="V8964">
        <f t="shared" ref="V8964:V9027" si="562">IFERROR(P8964*1000,"")</f>
        <v>0</v>
      </c>
      <c r="W8964">
        <f t="shared" ref="W8964:W9027" si="563">IFERROR(($E8964-$F8964)+$K8964+$N8964,"")</f>
        <v>0</v>
      </c>
    </row>
    <row r="8965" spans="5:23" x14ac:dyDescent="0.25">
      <c r="E8965" s="4"/>
      <c r="F8965" s="4"/>
      <c r="G8965" s="33" t="str">
        <f>IFERROR(VLOOKUP($D8965,'Informations sur les produits'!$A$3:$H$10000,8,FALSE),"0")</f>
        <v>0</v>
      </c>
      <c r="K8965" s="4"/>
      <c r="L8965" s="33" t="str">
        <f>IFERROR(VLOOKUP($J8965,'Informations sur les produits'!$A$3:$H$10000,8,FALSE),"0")</f>
        <v>0</v>
      </c>
      <c r="N8965" s="8"/>
      <c r="O8965" s="33" t="str">
        <f>IFERROR(VLOOKUP($M8965,'Informations sur les produits'!$A$3:$H$10000,8,FALSE),"0")</f>
        <v>0</v>
      </c>
      <c r="P8965" s="33">
        <f t="shared" si="560"/>
        <v>0</v>
      </c>
      <c r="Q8965" s="31" t="str">
        <f t="shared" si="561"/>
        <v/>
      </c>
      <c r="R8965" s="32" t="str">
        <f>IFERROR(VLOOKUP($D8965,'Informations sur les produits'!$A$3:$B$15000,2,FALSE),"")</f>
        <v/>
      </c>
      <c r="V8965">
        <f t="shared" si="562"/>
        <v>0</v>
      </c>
      <c r="W8965">
        <f t="shared" si="563"/>
        <v>0</v>
      </c>
    </row>
    <row r="8966" spans="5:23" x14ac:dyDescent="0.25">
      <c r="E8966" s="4"/>
      <c r="F8966" s="4"/>
      <c r="G8966" s="33" t="str">
        <f>IFERROR(VLOOKUP($D8966,'Informations sur les produits'!$A$3:$H$10000,8,FALSE),"0")</f>
        <v>0</v>
      </c>
      <c r="K8966" s="4"/>
      <c r="L8966" s="33" t="str">
        <f>IFERROR(VLOOKUP($J8966,'Informations sur les produits'!$A$3:$H$10000,8,FALSE),"0")</f>
        <v>0</v>
      </c>
      <c r="N8966" s="8"/>
      <c r="O8966" s="33" t="str">
        <f>IFERROR(VLOOKUP($M8966,'Informations sur les produits'!$A$3:$H$10000,8,FALSE),"0")</f>
        <v>0</v>
      </c>
      <c r="P8966" s="33">
        <f t="shared" si="560"/>
        <v>0</v>
      </c>
      <c r="Q8966" s="31" t="str">
        <f t="shared" si="561"/>
        <v/>
      </c>
      <c r="R8966" s="32" t="str">
        <f>IFERROR(VLOOKUP($D8966,'Informations sur les produits'!$A$3:$B$15000,2,FALSE),"")</f>
        <v/>
      </c>
      <c r="V8966">
        <f t="shared" si="562"/>
        <v>0</v>
      </c>
      <c r="W8966">
        <f t="shared" si="563"/>
        <v>0</v>
      </c>
    </row>
    <row r="8967" spans="5:23" x14ac:dyDescent="0.25">
      <c r="E8967" s="4"/>
      <c r="F8967" s="4"/>
      <c r="G8967" s="33" t="str">
        <f>IFERROR(VLOOKUP($D8967,'Informations sur les produits'!$A$3:$H$10000,8,FALSE),"0")</f>
        <v>0</v>
      </c>
      <c r="K8967" s="4"/>
      <c r="L8967" s="33" t="str">
        <f>IFERROR(VLOOKUP($J8967,'Informations sur les produits'!$A$3:$H$10000,8,FALSE),"0")</f>
        <v>0</v>
      </c>
      <c r="N8967" s="8"/>
      <c r="O8967" s="33" t="str">
        <f>IFERROR(VLOOKUP($M8967,'Informations sur les produits'!$A$3:$H$10000,8,FALSE),"0")</f>
        <v>0</v>
      </c>
      <c r="P8967" s="33">
        <f t="shared" si="560"/>
        <v>0</v>
      </c>
      <c r="Q8967" s="31" t="str">
        <f t="shared" si="561"/>
        <v/>
      </c>
      <c r="R8967" s="32" t="str">
        <f>IFERROR(VLOOKUP($D8967,'Informations sur les produits'!$A$3:$B$15000,2,FALSE),"")</f>
        <v/>
      </c>
      <c r="V8967">
        <f t="shared" si="562"/>
        <v>0</v>
      </c>
      <c r="W8967">
        <f t="shared" si="563"/>
        <v>0</v>
      </c>
    </row>
    <row r="8968" spans="5:23" x14ac:dyDescent="0.25">
      <c r="E8968" s="4"/>
      <c r="F8968" s="4"/>
      <c r="G8968" s="33" t="str">
        <f>IFERROR(VLOOKUP($D8968,'Informations sur les produits'!$A$3:$H$10000,8,FALSE),"0")</f>
        <v>0</v>
      </c>
      <c r="K8968" s="4"/>
      <c r="L8968" s="33" t="str">
        <f>IFERROR(VLOOKUP($J8968,'Informations sur les produits'!$A$3:$H$10000,8,FALSE),"0")</f>
        <v>0</v>
      </c>
      <c r="N8968" s="8"/>
      <c r="O8968" s="33" t="str">
        <f>IFERROR(VLOOKUP($M8968,'Informations sur les produits'!$A$3:$H$10000,8,FALSE),"0")</f>
        <v>0</v>
      </c>
      <c r="P8968" s="33">
        <f t="shared" si="560"/>
        <v>0</v>
      </c>
      <c r="Q8968" s="31" t="str">
        <f t="shared" si="561"/>
        <v/>
      </c>
      <c r="R8968" s="32" t="str">
        <f>IFERROR(VLOOKUP($D8968,'Informations sur les produits'!$A$3:$B$15000,2,FALSE),"")</f>
        <v/>
      </c>
      <c r="V8968">
        <f t="shared" si="562"/>
        <v>0</v>
      </c>
      <c r="W8968">
        <f t="shared" si="563"/>
        <v>0</v>
      </c>
    </row>
    <row r="8969" spans="5:23" x14ac:dyDescent="0.25">
      <c r="E8969" s="4"/>
      <c r="F8969" s="4"/>
      <c r="G8969" s="33" t="str">
        <f>IFERROR(VLOOKUP($D8969,'Informations sur les produits'!$A$3:$H$10000,8,FALSE),"0")</f>
        <v>0</v>
      </c>
      <c r="K8969" s="4"/>
      <c r="L8969" s="33" t="str">
        <f>IFERROR(VLOOKUP($J8969,'Informations sur les produits'!$A$3:$H$10000,8,FALSE),"0")</f>
        <v>0</v>
      </c>
      <c r="N8969" s="8"/>
      <c r="O8969" s="33" t="str">
        <f>IFERROR(VLOOKUP($M8969,'Informations sur les produits'!$A$3:$H$10000,8,FALSE),"0")</f>
        <v>0</v>
      </c>
      <c r="P8969" s="33">
        <f t="shared" si="560"/>
        <v>0</v>
      </c>
      <c r="Q8969" s="31" t="str">
        <f t="shared" si="561"/>
        <v/>
      </c>
      <c r="R8969" s="32" t="str">
        <f>IFERROR(VLOOKUP($D8969,'Informations sur les produits'!$A$3:$B$15000,2,FALSE),"")</f>
        <v/>
      </c>
      <c r="V8969">
        <f t="shared" si="562"/>
        <v>0</v>
      </c>
      <c r="W8969">
        <f t="shared" si="563"/>
        <v>0</v>
      </c>
    </row>
    <row r="8970" spans="5:23" x14ac:dyDescent="0.25">
      <c r="E8970" s="4"/>
      <c r="F8970" s="4"/>
      <c r="G8970" s="33" t="str">
        <f>IFERROR(VLOOKUP($D8970,'Informations sur les produits'!$A$3:$H$10000,8,FALSE),"0")</f>
        <v>0</v>
      </c>
      <c r="K8970" s="4"/>
      <c r="L8970" s="33" t="str">
        <f>IFERROR(VLOOKUP($J8970,'Informations sur les produits'!$A$3:$H$10000,8,FALSE),"0")</f>
        <v>0</v>
      </c>
      <c r="N8970" s="8"/>
      <c r="O8970" s="33" t="str">
        <f>IFERROR(VLOOKUP($M8970,'Informations sur les produits'!$A$3:$H$10000,8,FALSE),"0")</f>
        <v>0</v>
      </c>
      <c r="P8970" s="33">
        <f t="shared" si="560"/>
        <v>0</v>
      </c>
      <c r="Q8970" s="31" t="str">
        <f t="shared" si="561"/>
        <v/>
      </c>
      <c r="R8970" s="32" t="str">
        <f>IFERROR(VLOOKUP($D8970,'Informations sur les produits'!$A$3:$B$15000,2,FALSE),"")</f>
        <v/>
      </c>
      <c r="V8970">
        <f t="shared" si="562"/>
        <v>0</v>
      </c>
      <c r="W8970">
        <f t="shared" si="563"/>
        <v>0</v>
      </c>
    </row>
    <row r="8971" spans="5:23" x14ac:dyDescent="0.25">
      <c r="E8971" s="4"/>
      <c r="F8971" s="4"/>
      <c r="G8971" s="33" t="str">
        <f>IFERROR(VLOOKUP($D8971,'Informations sur les produits'!$A$3:$H$10000,8,FALSE),"0")</f>
        <v>0</v>
      </c>
      <c r="K8971" s="4"/>
      <c r="L8971" s="33" t="str">
        <f>IFERROR(VLOOKUP($J8971,'Informations sur les produits'!$A$3:$H$10000,8,FALSE),"0")</f>
        <v>0</v>
      </c>
      <c r="N8971" s="8"/>
      <c r="O8971" s="33" t="str">
        <f>IFERROR(VLOOKUP($M8971,'Informations sur les produits'!$A$3:$H$10000,8,FALSE),"0")</f>
        <v>0</v>
      </c>
      <c r="P8971" s="33">
        <f t="shared" si="560"/>
        <v>0</v>
      </c>
      <c r="Q8971" s="31" t="str">
        <f t="shared" si="561"/>
        <v/>
      </c>
      <c r="R8971" s="32" t="str">
        <f>IFERROR(VLOOKUP($D8971,'Informations sur les produits'!$A$3:$B$15000,2,FALSE),"")</f>
        <v/>
      </c>
      <c r="V8971">
        <f t="shared" si="562"/>
        <v>0</v>
      </c>
      <c r="W8971">
        <f t="shared" si="563"/>
        <v>0</v>
      </c>
    </row>
    <row r="8972" spans="5:23" x14ac:dyDescent="0.25">
      <c r="E8972" s="4"/>
      <c r="F8972" s="4"/>
      <c r="G8972" s="33" t="str">
        <f>IFERROR(VLOOKUP($D8972,'Informations sur les produits'!$A$3:$H$10000,8,FALSE),"0")</f>
        <v>0</v>
      </c>
      <c r="K8972" s="4"/>
      <c r="L8972" s="33" t="str">
        <f>IFERROR(VLOOKUP($J8972,'Informations sur les produits'!$A$3:$H$10000,8,FALSE),"0")</f>
        <v>0</v>
      </c>
      <c r="N8972" s="8"/>
      <c r="O8972" s="33" t="str">
        <f>IFERROR(VLOOKUP($M8972,'Informations sur les produits'!$A$3:$H$10000,8,FALSE),"0")</f>
        <v>0</v>
      </c>
      <c r="P8972" s="33">
        <f t="shared" si="560"/>
        <v>0</v>
      </c>
      <c r="Q8972" s="31" t="str">
        <f t="shared" si="561"/>
        <v/>
      </c>
      <c r="R8972" s="32" t="str">
        <f>IFERROR(VLOOKUP($D8972,'Informations sur les produits'!$A$3:$B$15000,2,FALSE),"")</f>
        <v/>
      </c>
      <c r="V8972">
        <f t="shared" si="562"/>
        <v>0</v>
      </c>
      <c r="W8972">
        <f t="shared" si="563"/>
        <v>0</v>
      </c>
    </row>
    <row r="8973" spans="5:23" x14ac:dyDescent="0.25">
      <c r="E8973" s="4"/>
      <c r="F8973" s="4"/>
      <c r="G8973" s="33" t="str">
        <f>IFERROR(VLOOKUP($D8973,'Informations sur les produits'!$A$3:$H$10000,8,FALSE),"0")</f>
        <v>0</v>
      </c>
      <c r="K8973" s="4"/>
      <c r="L8973" s="33" t="str">
        <f>IFERROR(VLOOKUP($J8973,'Informations sur les produits'!$A$3:$H$10000,8,FALSE),"0")</f>
        <v>0</v>
      </c>
      <c r="N8973" s="8"/>
      <c r="O8973" s="33" t="str">
        <f>IFERROR(VLOOKUP($M8973,'Informations sur les produits'!$A$3:$H$10000,8,FALSE),"0")</f>
        <v>0</v>
      </c>
      <c r="P8973" s="33">
        <f t="shared" si="560"/>
        <v>0</v>
      </c>
      <c r="Q8973" s="31" t="str">
        <f t="shared" si="561"/>
        <v/>
      </c>
      <c r="R8973" s="32" t="str">
        <f>IFERROR(VLOOKUP($D8973,'Informations sur les produits'!$A$3:$B$15000,2,FALSE),"")</f>
        <v/>
      </c>
      <c r="V8973">
        <f t="shared" si="562"/>
        <v>0</v>
      </c>
      <c r="W8973">
        <f t="shared" si="563"/>
        <v>0</v>
      </c>
    </row>
    <row r="8974" spans="5:23" x14ac:dyDescent="0.25">
      <c r="E8974" s="4"/>
      <c r="F8974" s="4"/>
      <c r="G8974" s="33" t="str">
        <f>IFERROR(VLOOKUP($D8974,'Informations sur les produits'!$A$3:$H$10000,8,FALSE),"0")</f>
        <v>0</v>
      </c>
      <c r="K8974" s="4"/>
      <c r="L8974" s="33" t="str">
        <f>IFERROR(VLOOKUP($J8974,'Informations sur les produits'!$A$3:$H$10000,8,FALSE),"0")</f>
        <v>0</v>
      </c>
      <c r="N8974" s="8"/>
      <c r="O8974" s="33" t="str">
        <f>IFERROR(VLOOKUP($M8974,'Informations sur les produits'!$A$3:$H$10000,8,FALSE),"0")</f>
        <v>0</v>
      </c>
      <c r="P8974" s="33">
        <f t="shared" si="560"/>
        <v>0</v>
      </c>
      <c r="Q8974" s="31" t="str">
        <f t="shared" si="561"/>
        <v/>
      </c>
      <c r="R8974" s="32" t="str">
        <f>IFERROR(VLOOKUP($D8974,'Informations sur les produits'!$A$3:$B$15000,2,FALSE),"")</f>
        <v/>
      </c>
      <c r="V8974">
        <f t="shared" si="562"/>
        <v>0</v>
      </c>
      <c r="W8974">
        <f t="shared" si="563"/>
        <v>0</v>
      </c>
    </row>
    <row r="8975" spans="5:23" x14ac:dyDescent="0.25">
      <c r="E8975" s="4"/>
      <c r="F8975" s="4"/>
      <c r="G8975" s="33" t="str">
        <f>IFERROR(VLOOKUP($D8975,'Informations sur les produits'!$A$3:$H$10000,8,FALSE),"0")</f>
        <v>0</v>
      </c>
      <c r="K8975" s="4"/>
      <c r="L8975" s="33" t="str">
        <f>IFERROR(VLOOKUP($J8975,'Informations sur les produits'!$A$3:$H$10000,8,FALSE),"0")</f>
        <v>0</v>
      </c>
      <c r="N8975" s="8"/>
      <c r="O8975" s="33" t="str">
        <f>IFERROR(VLOOKUP($M8975,'Informations sur les produits'!$A$3:$H$10000,8,FALSE),"0")</f>
        <v>0</v>
      </c>
      <c r="P8975" s="33">
        <f t="shared" si="560"/>
        <v>0</v>
      </c>
      <c r="Q8975" s="31" t="str">
        <f t="shared" si="561"/>
        <v/>
      </c>
      <c r="R8975" s="32" t="str">
        <f>IFERROR(VLOOKUP($D8975,'Informations sur les produits'!$A$3:$B$15000,2,FALSE),"")</f>
        <v/>
      </c>
      <c r="V8975">
        <f t="shared" si="562"/>
        <v>0</v>
      </c>
      <c r="W8975">
        <f t="shared" si="563"/>
        <v>0</v>
      </c>
    </row>
    <row r="8976" spans="5:23" x14ac:dyDescent="0.25">
      <c r="E8976" s="4"/>
      <c r="F8976" s="4"/>
      <c r="G8976" s="33" t="str">
        <f>IFERROR(VLOOKUP($D8976,'Informations sur les produits'!$A$3:$H$10000,8,FALSE),"0")</f>
        <v>0</v>
      </c>
      <c r="K8976" s="4"/>
      <c r="L8976" s="33" t="str">
        <f>IFERROR(VLOOKUP($J8976,'Informations sur les produits'!$A$3:$H$10000,8,FALSE),"0")</f>
        <v>0</v>
      </c>
      <c r="N8976" s="8"/>
      <c r="O8976" s="33" t="str">
        <f>IFERROR(VLOOKUP($M8976,'Informations sur les produits'!$A$3:$H$10000,8,FALSE),"0")</f>
        <v>0</v>
      </c>
      <c r="P8976" s="33">
        <f t="shared" si="560"/>
        <v>0</v>
      </c>
      <c r="Q8976" s="31" t="str">
        <f t="shared" si="561"/>
        <v/>
      </c>
      <c r="R8976" s="32" t="str">
        <f>IFERROR(VLOOKUP($D8976,'Informations sur les produits'!$A$3:$B$15000,2,FALSE),"")</f>
        <v/>
      </c>
      <c r="V8976">
        <f t="shared" si="562"/>
        <v>0</v>
      </c>
      <c r="W8976">
        <f t="shared" si="563"/>
        <v>0</v>
      </c>
    </row>
    <row r="8977" spans="5:23" x14ac:dyDescent="0.25">
      <c r="E8977" s="4"/>
      <c r="F8977" s="4"/>
      <c r="G8977" s="33" t="str">
        <f>IFERROR(VLOOKUP($D8977,'Informations sur les produits'!$A$3:$H$10000,8,FALSE),"0")</f>
        <v>0</v>
      </c>
      <c r="K8977" s="4"/>
      <c r="L8977" s="33" t="str">
        <f>IFERROR(VLOOKUP($J8977,'Informations sur les produits'!$A$3:$H$10000,8,FALSE),"0")</f>
        <v>0</v>
      </c>
      <c r="N8977" s="8"/>
      <c r="O8977" s="33" t="str">
        <f>IFERROR(VLOOKUP($M8977,'Informations sur les produits'!$A$3:$H$10000,8,FALSE),"0")</f>
        <v>0</v>
      </c>
      <c r="P8977" s="33">
        <f t="shared" si="560"/>
        <v>0</v>
      </c>
      <c r="Q8977" s="31" t="str">
        <f t="shared" si="561"/>
        <v/>
      </c>
      <c r="R8977" s="32" t="str">
        <f>IFERROR(VLOOKUP($D8977,'Informations sur les produits'!$A$3:$B$15000,2,FALSE),"")</f>
        <v/>
      </c>
      <c r="V8977">
        <f t="shared" si="562"/>
        <v>0</v>
      </c>
      <c r="W8977">
        <f t="shared" si="563"/>
        <v>0</v>
      </c>
    </row>
    <row r="8978" spans="5:23" x14ac:dyDescent="0.25">
      <c r="E8978" s="4"/>
      <c r="F8978" s="4"/>
      <c r="G8978" s="33" t="str">
        <f>IFERROR(VLOOKUP($D8978,'Informations sur les produits'!$A$3:$H$10000,8,FALSE),"0")</f>
        <v>0</v>
      </c>
      <c r="K8978" s="4"/>
      <c r="L8978" s="33" t="str">
        <f>IFERROR(VLOOKUP($J8978,'Informations sur les produits'!$A$3:$H$10000,8,FALSE),"0")</f>
        <v>0</v>
      </c>
      <c r="N8978" s="8"/>
      <c r="O8978" s="33" t="str">
        <f>IFERROR(VLOOKUP($M8978,'Informations sur les produits'!$A$3:$H$10000,8,FALSE),"0")</f>
        <v>0</v>
      </c>
      <c r="P8978" s="33">
        <f t="shared" si="560"/>
        <v>0</v>
      </c>
      <c r="Q8978" s="31" t="str">
        <f t="shared" si="561"/>
        <v/>
      </c>
      <c r="R8978" s="32" t="str">
        <f>IFERROR(VLOOKUP($D8978,'Informations sur les produits'!$A$3:$B$15000,2,FALSE),"")</f>
        <v/>
      </c>
      <c r="V8978">
        <f t="shared" si="562"/>
        <v>0</v>
      </c>
      <c r="W8978">
        <f t="shared" si="563"/>
        <v>0</v>
      </c>
    </row>
    <row r="8979" spans="5:23" x14ac:dyDescent="0.25">
      <c r="E8979" s="4"/>
      <c r="F8979" s="4"/>
      <c r="G8979" s="33" t="str">
        <f>IFERROR(VLOOKUP($D8979,'Informations sur les produits'!$A$3:$H$10000,8,FALSE),"0")</f>
        <v>0</v>
      </c>
      <c r="K8979" s="4"/>
      <c r="L8979" s="33" t="str">
        <f>IFERROR(VLOOKUP($J8979,'Informations sur les produits'!$A$3:$H$10000,8,FALSE),"0")</f>
        <v>0</v>
      </c>
      <c r="N8979" s="8"/>
      <c r="O8979" s="33" t="str">
        <f>IFERROR(VLOOKUP($M8979,'Informations sur les produits'!$A$3:$H$10000,8,FALSE),"0")</f>
        <v>0</v>
      </c>
      <c r="P8979" s="33">
        <f t="shared" si="560"/>
        <v>0</v>
      </c>
      <c r="Q8979" s="31" t="str">
        <f t="shared" si="561"/>
        <v/>
      </c>
      <c r="R8979" s="32" t="str">
        <f>IFERROR(VLOOKUP($D8979,'Informations sur les produits'!$A$3:$B$15000,2,FALSE),"")</f>
        <v/>
      </c>
      <c r="V8979">
        <f t="shared" si="562"/>
        <v>0</v>
      </c>
      <c r="W8979">
        <f t="shared" si="563"/>
        <v>0</v>
      </c>
    </row>
    <row r="8980" spans="5:23" x14ac:dyDescent="0.25">
      <c r="E8980" s="4"/>
      <c r="F8980" s="4"/>
      <c r="G8980" s="33" t="str">
        <f>IFERROR(VLOOKUP($D8980,'Informations sur les produits'!$A$3:$H$10000,8,FALSE),"0")</f>
        <v>0</v>
      </c>
      <c r="K8980" s="4"/>
      <c r="L8980" s="33" t="str">
        <f>IFERROR(VLOOKUP($J8980,'Informations sur les produits'!$A$3:$H$10000,8,FALSE),"0")</f>
        <v>0</v>
      </c>
      <c r="N8980" s="8"/>
      <c r="O8980" s="33" t="str">
        <f>IFERROR(VLOOKUP($M8980,'Informations sur les produits'!$A$3:$H$10000,8,FALSE),"0")</f>
        <v>0</v>
      </c>
      <c r="P8980" s="33">
        <f t="shared" si="560"/>
        <v>0</v>
      </c>
      <c r="Q8980" s="31" t="str">
        <f t="shared" si="561"/>
        <v/>
      </c>
      <c r="R8980" s="32" t="str">
        <f>IFERROR(VLOOKUP($D8980,'Informations sur les produits'!$A$3:$B$15000,2,FALSE),"")</f>
        <v/>
      </c>
      <c r="V8980">
        <f t="shared" si="562"/>
        <v>0</v>
      </c>
      <c r="W8980">
        <f t="shared" si="563"/>
        <v>0</v>
      </c>
    </row>
    <row r="8981" spans="5:23" x14ac:dyDescent="0.25">
      <c r="E8981" s="4"/>
      <c r="F8981" s="4"/>
      <c r="G8981" s="33" t="str">
        <f>IFERROR(VLOOKUP($D8981,'Informations sur les produits'!$A$3:$H$10000,8,FALSE),"0")</f>
        <v>0</v>
      </c>
      <c r="K8981" s="4"/>
      <c r="L8981" s="33" t="str">
        <f>IFERROR(VLOOKUP($J8981,'Informations sur les produits'!$A$3:$H$10000,8,FALSE),"0")</f>
        <v>0</v>
      </c>
      <c r="N8981" s="8"/>
      <c r="O8981" s="33" t="str">
        <f>IFERROR(VLOOKUP($M8981,'Informations sur les produits'!$A$3:$H$10000,8,FALSE),"0")</f>
        <v>0</v>
      </c>
      <c r="P8981" s="33">
        <f t="shared" si="560"/>
        <v>0</v>
      </c>
      <c r="Q8981" s="31" t="str">
        <f t="shared" si="561"/>
        <v/>
      </c>
      <c r="R8981" s="32" t="str">
        <f>IFERROR(VLOOKUP($D8981,'Informations sur les produits'!$A$3:$B$15000,2,FALSE),"")</f>
        <v/>
      </c>
      <c r="V8981">
        <f t="shared" si="562"/>
        <v>0</v>
      </c>
      <c r="W8981">
        <f t="shared" si="563"/>
        <v>0</v>
      </c>
    </row>
    <row r="8982" spans="5:23" x14ac:dyDescent="0.25">
      <c r="E8982" s="4"/>
      <c r="F8982" s="4"/>
      <c r="G8982" s="33" t="str">
        <f>IFERROR(VLOOKUP($D8982,'Informations sur les produits'!$A$3:$H$10000,8,FALSE),"0")</f>
        <v>0</v>
      </c>
      <c r="K8982" s="4"/>
      <c r="L8982" s="33" t="str">
        <f>IFERROR(VLOOKUP($J8982,'Informations sur les produits'!$A$3:$H$10000,8,FALSE),"0")</f>
        <v>0</v>
      </c>
      <c r="N8982" s="8"/>
      <c r="O8982" s="33" t="str">
        <f>IFERROR(VLOOKUP($M8982,'Informations sur les produits'!$A$3:$H$10000,8,FALSE),"0")</f>
        <v>0</v>
      </c>
      <c r="P8982" s="33">
        <f t="shared" si="560"/>
        <v>0</v>
      </c>
      <c r="Q8982" s="31" t="str">
        <f t="shared" si="561"/>
        <v/>
      </c>
      <c r="R8982" s="32" t="str">
        <f>IFERROR(VLOOKUP($D8982,'Informations sur les produits'!$A$3:$B$15000,2,FALSE),"")</f>
        <v/>
      </c>
      <c r="V8982">
        <f t="shared" si="562"/>
        <v>0</v>
      </c>
      <c r="W8982">
        <f t="shared" si="563"/>
        <v>0</v>
      </c>
    </row>
    <row r="8983" spans="5:23" x14ac:dyDescent="0.25">
      <c r="E8983" s="4"/>
      <c r="F8983" s="4"/>
      <c r="G8983" s="33" t="str">
        <f>IFERROR(VLOOKUP($D8983,'Informations sur les produits'!$A$3:$H$10000,8,FALSE),"0")</f>
        <v>0</v>
      </c>
      <c r="K8983" s="4"/>
      <c r="L8983" s="33" t="str">
        <f>IFERROR(VLOOKUP($J8983,'Informations sur les produits'!$A$3:$H$10000,8,FALSE),"0")</f>
        <v>0</v>
      </c>
      <c r="N8983" s="8"/>
      <c r="O8983" s="33" t="str">
        <f>IFERROR(VLOOKUP($M8983,'Informations sur les produits'!$A$3:$H$10000,8,FALSE),"0")</f>
        <v>0</v>
      </c>
      <c r="P8983" s="33">
        <f t="shared" si="560"/>
        <v>0</v>
      </c>
      <c r="Q8983" s="31" t="str">
        <f t="shared" si="561"/>
        <v/>
      </c>
      <c r="R8983" s="32" t="str">
        <f>IFERROR(VLOOKUP($D8983,'Informations sur les produits'!$A$3:$B$15000,2,FALSE),"")</f>
        <v/>
      </c>
      <c r="V8983">
        <f t="shared" si="562"/>
        <v>0</v>
      </c>
      <c r="W8983">
        <f t="shared" si="563"/>
        <v>0</v>
      </c>
    </row>
    <row r="8984" spans="5:23" x14ac:dyDescent="0.25">
      <c r="E8984" s="4"/>
      <c r="F8984" s="4"/>
      <c r="G8984" s="33" t="str">
        <f>IFERROR(VLOOKUP($D8984,'Informations sur les produits'!$A$3:$H$10000,8,FALSE),"0")</f>
        <v>0</v>
      </c>
      <c r="K8984" s="4"/>
      <c r="L8984" s="33" t="str">
        <f>IFERROR(VLOOKUP($J8984,'Informations sur les produits'!$A$3:$H$10000,8,FALSE),"0")</f>
        <v>0</v>
      </c>
      <c r="N8984" s="8"/>
      <c r="O8984" s="33" t="str">
        <f>IFERROR(VLOOKUP($M8984,'Informations sur les produits'!$A$3:$H$10000,8,FALSE),"0")</f>
        <v>0</v>
      </c>
      <c r="P8984" s="33">
        <f t="shared" si="560"/>
        <v>0</v>
      </c>
      <c r="Q8984" s="31" t="str">
        <f t="shared" si="561"/>
        <v/>
      </c>
      <c r="R8984" s="32" t="str">
        <f>IFERROR(VLOOKUP($D8984,'Informations sur les produits'!$A$3:$B$15000,2,FALSE),"")</f>
        <v/>
      </c>
      <c r="V8984">
        <f t="shared" si="562"/>
        <v>0</v>
      </c>
      <c r="W8984">
        <f t="shared" si="563"/>
        <v>0</v>
      </c>
    </row>
    <row r="8985" spans="5:23" x14ac:dyDescent="0.25">
      <c r="E8985" s="4"/>
      <c r="F8985" s="4"/>
      <c r="G8985" s="33" t="str">
        <f>IFERROR(VLOOKUP($D8985,'Informations sur les produits'!$A$3:$H$10000,8,FALSE),"0")</f>
        <v>0</v>
      </c>
      <c r="K8985" s="4"/>
      <c r="L8985" s="33" t="str">
        <f>IFERROR(VLOOKUP($J8985,'Informations sur les produits'!$A$3:$H$10000,8,FALSE),"0")</f>
        <v>0</v>
      </c>
      <c r="N8985" s="8"/>
      <c r="O8985" s="33" t="str">
        <f>IFERROR(VLOOKUP($M8985,'Informations sur les produits'!$A$3:$H$10000,8,FALSE),"0")</f>
        <v>0</v>
      </c>
      <c r="P8985" s="33">
        <f t="shared" si="560"/>
        <v>0</v>
      </c>
      <c r="Q8985" s="31" t="str">
        <f t="shared" si="561"/>
        <v/>
      </c>
      <c r="R8985" s="32" t="str">
        <f>IFERROR(VLOOKUP($D8985,'Informations sur les produits'!$A$3:$B$15000,2,FALSE),"")</f>
        <v/>
      </c>
      <c r="V8985">
        <f t="shared" si="562"/>
        <v>0</v>
      </c>
      <c r="W8985">
        <f t="shared" si="563"/>
        <v>0</v>
      </c>
    </row>
    <row r="8986" spans="5:23" x14ac:dyDescent="0.25">
      <c r="E8986" s="4"/>
      <c r="F8986" s="4"/>
      <c r="G8986" s="33" t="str">
        <f>IFERROR(VLOOKUP($D8986,'Informations sur les produits'!$A$3:$H$10000,8,FALSE),"0")</f>
        <v>0</v>
      </c>
      <c r="K8986" s="4"/>
      <c r="L8986" s="33" t="str">
        <f>IFERROR(VLOOKUP($J8986,'Informations sur les produits'!$A$3:$H$10000,8,FALSE),"0")</f>
        <v>0</v>
      </c>
      <c r="N8986" s="8"/>
      <c r="O8986" s="33" t="str">
        <f>IFERROR(VLOOKUP($M8986,'Informations sur les produits'!$A$3:$H$10000,8,FALSE),"0")</f>
        <v>0</v>
      </c>
      <c r="P8986" s="33">
        <f t="shared" si="560"/>
        <v>0</v>
      </c>
      <c r="Q8986" s="31" t="str">
        <f t="shared" si="561"/>
        <v/>
      </c>
      <c r="R8986" s="32" t="str">
        <f>IFERROR(VLOOKUP($D8986,'Informations sur les produits'!$A$3:$B$15000,2,FALSE),"")</f>
        <v/>
      </c>
      <c r="V8986">
        <f t="shared" si="562"/>
        <v>0</v>
      </c>
      <c r="W8986">
        <f t="shared" si="563"/>
        <v>0</v>
      </c>
    </row>
    <row r="8987" spans="5:23" x14ac:dyDescent="0.25">
      <c r="E8987" s="4"/>
      <c r="F8987" s="4"/>
      <c r="G8987" s="33" t="str">
        <f>IFERROR(VLOOKUP($D8987,'Informations sur les produits'!$A$3:$H$10000,8,FALSE),"0")</f>
        <v>0</v>
      </c>
      <c r="K8987" s="4"/>
      <c r="L8987" s="33" t="str">
        <f>IFERROR(VLOOKUP($J8987,'Informations sur les produits'!$A$3:$H$10000,8,FALSE),"0")</f>
        <v>0</v>
      </c>
      <c r="N8987" s="8"/>
      <c r="O8987" s="33" t="str">
        <f>IFERROR(VLOOKUP($M8987,'Informations sur les produits'!$A$3:$H$10000,8,FALSE),"0")</f>
        <v>0</v>
      </c>
      <c r="P8987" s="33">
        <f t="shared" si="560"/>
        <v>0</v>
      </c>
      <c r="Q8987" s="31" t="str">
        <f t="shared" si="561"/>
        <v/>
      </c>
      <c r="R8987" s="32" t="str">
        <f>IFERROR(VLOOKUP($D8987,'Informations sur les produits'!$A$3:$B$15000,2,FALSE),"")</f>
        <v/>
      </c>
      <c r="V8987">
        <f t="shared" si="562"/>
        <v>0</v>
      </c>
      <c r="W8987">
        <f t="shared" si="563"/>
        <v>0</v>
      </c>
    </row>
    <row r="8988" spans="5:23" x14ac:dyDescent="0.25">
      <c r="E8988" s="4"/>
      <c r="F8988" s="4"/>
      <c r="G8988" s="33" t="str">
        <f>IFERROR(VLOOKUP($D8988,'Informations sur les produits'!$A$3:$H$10000,8,FALSE),"0")</f>
        <v>0</v>
      </c>
      <c r="K8988" s="4"/>
      <c r="L8988" s="33" t="str">
        <f>IFERROR(VLOOKUP($J8988,'Informations sur les produits'!$A$3:$H$10000,8,FALSE),"0")</f>
        <v>0</v>
      </c>
      <c r="N8988" s="8"/>
      <c r="O8988" s="33" t="str">
        <f>IFERROR(VLOOKUP($M8988,'Informations sur les produits'!$A$3:$H$10000,8,FALSE),"0")</f>
        <v>0</v>
      </c>
      <c r="P8988" s="33">
        <f t="shared" si="560"/>
        <v>0</v>
      </c>
      <c r="Q8988" s="31" t="str">
        <f t="shared" si="561"/>
        <v/>
      </c>
      <c r="R8988" s="32" t="str">
        <f>IFERROR(VLOOKUP($D8988,'Informations sur les produits'!$A$3:$B$15000,2,FALSE),"")</f>
        <v/>
      </c>
      <c r="V8988">
        <f t="shared" si="562"/>
        <v>0</v>
      </c>
      <c r="W8988">
        <f t="shared" si="563"/>
        <v>0</v>
      </c>
    </row>
    <row r="8989" spans="5:23" x14ac:dyDescent="0.25">
      <c r="E8989" s="4"/>
      <c r="F8989" s="4"/>
      <c r="G8989" s="33" t="str">
        <f>IFERROR(VLOOKUP($D8989,'Informations sur les produits'!$A$3:$H$10000,8,FALSE),"0")</f>
        <v>0</v>
      </c>
      <c r="K8989" s="4"/>
      <c r="L8989" s="33" t="str">
        <f>IFERROR(VLOOKUP($J8989,'Informations sur les produits'!$A$3:$H$10000,8,FALSE),"0")</f>
        <v>0</v>
      </c>
      <c r="N8989" s="8"/>
      <c r="O8989" s="33" t="str">
        <f>IFERROR(VLOOKUP($M8989,'Informations sur les produits'!$A$3:$H$10000,8,FALSE),"0")</f>
        <v>0</v>
      </c>
      <c r="P8989" s="33">
        <f t="shared" si="560"/>
        <v>0</v>
      </c>
      <c r="Q8989" s="31" t="str">
        <f t="shared" si="561"/>
        <v/>
      </c>
      <c r="R8989" s="32" t="str">
        <f>IFERROR(VLOOKUP($D8989,'Informations sur les produits'!$A$3:$B$15000,2,FALSE),"")</f>
        <v/>
      </c>
      <c r="V8989">
        <f t="shared" si="562"/>
        <v>0</v>
      </c>
      <c r="W8989">
        <f t="shared" si="563"/>
        <v>0</v>
      </c>
    </row>
    <row r="8990" spans="5:23" x14ac:dyDescent="0.25">
      <c r="E8990" s="4"/>
      <c r="F8990" s="4"/>
      <c r="G8990" s="33" t="str">
        <f>IFERROR(VLOOKUP($D8990,'Informations sur les produits'!$A$3:$H$10000,8,FALSE),"0")</f>
        <v>0</v>
      </c>
      <c r="K8990" s="4"/>
      <c r="L8990" s="33" t="str">
        <f>IFERROR(VLOOKUP($J8990,'Informations sur les produits'!$A$3:$H$10000,8,FALSE),"0")</f>
        <v>0</v>
      </c>
      <c r="N8990" s="8"/>
      <c r="O8990" s="33" t="str">
        <f>IFERROR(VLOOKUP($M8990,'Informations sur les produits'!$A$3:$H$10000,8,FALSE),"0")</f>
        <v>0</v>
      </c>
      <c r="P8990" s="33">
        <f t="shared" si="560"/>
        <v>0</v>
      </c>
      <c r="Q8990" s="31" t="str">
        <f t="shared" si="561"/>
        <v/>
      </c>
      <c r="R8990" s="32" t="str">
        <f>IFERROR(VLOOKUP($D8990,'Informations sur les produits'!$A$3:$B$15000,2,FALSE),"")</f>
        <v/>
      </c>
      <c r="V8990">
        <f t="shared" si="562"/>
        <v>0</v>
      </c>
      <c r="W8990">
        <f t="shared" si="563"/>
        <v>0</v>
      </c>
    </row>
    <row r="8991" spans="5:23" x14ac:dyDescent="0.25">
      <c r="E8991" s="4"/>
      <c r="F8991" s="4"/>
      <c r="G8991" s="33" t="str">
        <f>IFERROR(VLOOKUP($D8991,'Informations sur les produits'!$A$3:$H$10000,8,FALSE),"0")</f>
        <v>0</v>
      </c>
      <c r="K8991" s="4"/>
      <c r="L8991" s="33" t="str">
        <f>IFERROR(VLOOKUP($J8991,'Informations sur les produits'!$A$3:$H$10000,8,FALSE),"0")</f>
        <v>0</v>
      </c>
      <c r="N8991" s="8"/>
      <c r="O8991" s="33" t="str">
        <f>IFERROR(VLOOKUP($M8991,'Informations sur les produits'!$A$3:$H$10000,8,FALSE),"0")</f>
        <v>0</v>
      </c>
      <c r="P8991" s="33">
        <f t="shared" si="560"/>
        <v>0</v>
      </c>
      <c r="Q8991" s="31" t="str">
        <f t="shared" si="561"/>
        <v/>
      </c>
      <c r="R8991" s="32" t="str">
        <f>IFERROR(VLOOKUP($D8991,'Informations sur les produits'!$A$3:$B$15000,2,FALSE),"")</f>
        <v/>
      </c>
      <c r="V8991">
        <f t="shared" si="562"/>
        <v>0</v>
      </c>
      <c r="W8991">
        <f t="shared" si="563"/>
        <v>0</v>
      </c>
    </row>
    <row r="8992" spans="5:23" x14ac:dyDescent="0.25">
      <c r="E8992" s="4"/>
      <c r="F8992" s="4"/>
      <c r="G8992" s="33" t="str">
        <f>IFERROR(VLOOKUP($D8992,'Informations sur les produits'!$A$3:$H$10000,8,FALSE),"0")</f>
        <v>0</v>
      </c>
      <c r="K8992" s="4"/>
      <c r="L8992" s="33" t="str">
        <f>IFERROR(VLOOKUP($J8992,'Informations sur les produits'!$A$3:$H$10000,8,FALSE),"0")</f>
        <v>0</v>
      </c>
      <c r="N8992" s="8"/>
      <c r="O8992" s="33" t="str">
        <f>IFERROR(VLOOKUP($M8992,'Informations sur les produits'!$A$3:$H$10000,8,FALSE),"0")</f>
        <v>0</v>
      </c>
      <c r="P8992" s="33">
        <f t="shared" si="560"/>
        <v>0</v>
      </c>
      <c r="Q8992" s="31" t="str">
        <f t="shared" si="561"/>
        <v/>
      </c>
      <c r="R8992" s="32" t="str">
        <f>IFERROR(VLOOKUP($D8992,'Informations sur les produits'!$A$3:$B$15000,2,FALSE),"")</f>
        <v/>
      </c>
      <c r="V8992">
        <f t="shared" si="562"/>
        <v>0</v>
      </c>
      <c r="W8992">
        <f t="shared" si="563"/>
        <v>0</v>
      </c>
    </row>
    <row r="8993" spans="5:23" x14ac:dyDescent="0.25">
      <c r="E8993" s="4"/>
      <c r="F8993" s="4"/>
      <c r="G8993" s="33" t="str">
        <f>IFERROR(VLOOKUP($D8993,'Informations sur les produits'!$A$3:$H$10000,8,FALSE),"0")</f>
        <v>0</v>
      </c>
      <c r="K8993" s="4"/>
      <c r="L8993" s="33" t="str">
        <f>IFERROR(VLOOKUP($J8993,'Informations sur les produits'!$A$3:$H$10000,8,FALSE),"0")</f>
        <v>0</v>
      </c>
      <c r="N8993" s="8"/>
      <c r="O8993" s="33" t="str">
        <f>IFERROR(VLOOKUP($M8993,'Informations sur les produits'!$A$3:$H$10000,8,FALSE),"0")</f>
        <v>0</v>
      </c>
      <c r="P8993" s="33">
        <f t="shared" si="560"/>
        <v>0</v>
      </c>
      <c r="Q8993" s="31" t="str">
        <f t="shared" si="561"/>
        <v/>
      </c>
      <c r="R8993" s="32" t="str">
        <f>IFERROR(VLOOKUP($D8993,'Informations sur les produits'!$A$3:$B$15000,2,FALSE),"")</f>
        <v/>
      </c>
      <c r="V8993">
        <f t="shared" si="562"/>
        <v>0</v>
      </c>
      <c r="W8993">
        <f t="shared" si="563"/>
        <v>0</v>
      </c>
    </row>
    <row r="8994" spans="5:23" x14ac:dyDescent="0.25">
      <c r="E8994" s="4"/>
      <c r="F8994" s="4"/>
      <c r="G8994" s="33" t="str">
        <f>IFERROR(VLOOKUP($D8994,'Informations sur les produits'!$A$3:$H$10000,8,FALSE),"0")</f>
        <v>0</v>
      </c>
      <c r="K8994" s="4"/>
      <c r="L8994" s="33" t="str">
        <f>IFERROR(VLOOKUP($J8994,'Informations sur les produits'!$A$3:$H$10000,8,FALSE),"0")</f>
        <v>0</v>
      </c>
      <c r="N8994" s="8"/>
      <c r="O8994" s="33" t="str">
        <f>IFERROR(VLOOKUP($M8994,'Informations sur les produits'!$A$3:$H$10000,8,FALSE),"0")</f>
        <v>0</v>
      </c>
      <c r="P8994" s="33">
        <f t="shared" si="560"/>
        <v>0</v>
      </c>
      <c r="Q8994" s="31" t="str">
        <f t="shared" si="561"/>
        <v/>
      </c>
      <c r="R8994" s="32" t="str">
        <f>IFERROR(VLOOKUP($D8994,'Informations sur les produits'!$A$3:$B$15000,2,FALSE),"")</f>
        <v/>
      </c>
      <c r="V8994">
        <f t="shared" si="562"/>
        <v>0</v>
      </c>
      <c r="W8994">
        <f t="shared" si="563"/>
        <v>0</v>
      </c>
    </row>
    <row r="8995" spans="5:23" x14ac:dyDescent="0.25">
      <c r="E8995" s="4"/>
      <c r="F8995" s="4"/>
      <c r="G8995" s="33" t="str">
        <f>IFERROR(VLOOKUP($D8995,'Informations sur les produits'!$A$3:$H$10000,8,FALSE),"0")</f>
        <v>0</v>
      </c>
      <c r="K8995" s="4"/>
      <c r="L8995" s="33" t="str">
        <f>IFERROR(VLOOKUP($J8995,'Informations sur les produits'!$A$3:$H$10000,8,FALSE),"0")</f>
        <v>0</v>
      </c>
      <c r="N8995" s="8"/>
      <c r="O8995" s="33" t="str">
        <f>IFERROR(VLOOKUP($M8995,'Informations sur les produits'!$A$3:$H$10000,8,FALSE),"0")</f>
        <v>0</v>
      </c>
      <c r="P8995" s="33">
        <f t="shared" si="560"/>
        <v>0</v>
      </c>
      <c r="Q8995" s="31" t="str">
        <f t="shared" si="561"/>
        <v/>
      </c>
      <c r="R8995" s="32" t="str">
        <f>IFERROR(VLOOKUP($D8995,'Informations sur les produits'!$A$3:$B$15000,2,FALSE),"")</f>
        <v/>
      </c>
      <c r="V8995">
        <f t="shared" si="562"/>
        <v>0</v>
      </c>
      <c r="W8995">
        <f t="shared" si="563"/>
        <v>0</v>
      </c>
    </row>
    <row r="8996" spans="5:23" x14ac:dyDescent="0.25">
      <c r="E8996" s="4"/>
      <c r="F8996" s="4"/>
      <c r="G8996" s="33" t="str">
        <f>IFERROR(VLOOKUP($D8996,'Informations sur les produits'!$A$3:$H$10000,8,FALSE),"0")</f>
        <v>0</v>
      </c>
      <c r="K8996" s="4"/>
      <c r="L8996" s="33" t="str">
        <f>IFERROR(VLOOKUP($J8996,'Informations sur les produits'!$A$3:$H$10000,8,FALSE),"0")</f>
        <v>0</v>
      </c>
      <c r="N8996" s="8"/>
      <c r="O8996" s="33" t="str">
        <f>IFERROR(VLOOKUP($M8996,'Informations sur les produits'!$A$3:$H$10000,8,FALSE),"0")</f>
        <v>0</v>
      </c>
      <c r="P8996" s="33">
        <f t="shared" si="560"/>
        <v>0</v>
      </c>
      <c r="Q8996" s="31" t="str">
        <f t="shared" si="561"/>
        <v/>
      </c>
      <c r="R8996" s="32" t="str">
        <f>IFERROR(VLOOKUP($D8996,'Informations sur les produits'!$A$3:$B$15000,2,FALSE),"")</f>
        <v/>
      </c>
      <c r="V8996">
        <f t="shared" si="562"/>
        <v>0</v>
      </c>
      <c r="W8996">
        <f t="shared" si="563"/>
        <v>0</v>
      </c>
    </row>
    <row r="8997" spans="5:23" x14ac:dyDescent="0.25">
      <c r="E8997" s="4"/>
      <c r="F8997" s="4"/>
      <c r="G8997" s="33" t="str">
        <f>IFERROR(VLOOKUP($D8997,'Informations sur les produits'!$A$3:$H$10000,8,FALSE),"0")</f>
        <v>0</v>
      </c>
      <c r="K8997" s="4"/>
      <c r="L8997" s="33" t="str">
        <f>IFERROR(VLOOKUP($J8997,'Informations sur les produits'!$A$3:$H$10000,8,FALSE),"0")</f>
        <v>0</v>
      </c>
      <c r="N8997" s="8"/>
      <c r="O8997" s="33" t="str">
        <f>IFERROR(VLOOKUP($M8997,'Informations sur les produits'!$A$3:$H$10000,8,FALSE),"0")</f>
        <v>0</v>
      </c>
      <c r="P8997" s="33">
        <f t="shared" si="560"/>
        <v>0</v>
      </c>
      <c r="Q8997" s="31" t="str">
        <f t="shared" si="561"/>
        <v/>
      </c>
      <c r="R8997" s="32" t="str">
        <f>IFERROR(VLOOKUP($D8997,'Informations sur les produits'!$A$3:$B$15000,2,FALSE),"")</f>
        <v/>
      </c>
      <c r="V8997">
        <f t="shared" si="562"/>
        <v>0</v>
      </c>
      <c r="W8997">
        <f t="shared" si="563"/>
        <v>0</v>
      </c>
    </row>
    <row r="8998" spans="5:23" x14ac:dyDescent="0.25">
      <c r="E8998" s="4"/>
      <c r="F8998" s="4"/>
      <c r="G8998" s="33" t="str">
        <f>IFERROR(VLOOKUP($D8998,'Informations sur les produits'!$A$3:$H$10000,8,FALSE),"0")</f>
        <v>0</v>
      </c>
      <c r="K8998" s="4"/>
      <c r="L8998" s="33" t="str">
        <f>IFERROR(VLOOKUP($J8998,'Informations sur les produits'!$A$3:$H$10000,8,FALSE),"0")</f>
        <v>0</v>
      </c>
      <c r="N8998" s="8"/>
      <c r="O8998" s="33" t="str">
        <f>IFERROR(VLOOKUP($M8998,'Informations sur les produits'!$A$3:$H$10000,8,FALSE),"0")</f>
        <v>0</v>
      </c>
      <c r="P8998" s="33">
        <f t="shared" si="560"/>
        <v>0</v>
      </c>
      <c r="Q8998" s="31" t="str">
        <f t="shared" si="561"/>
        <v/>
      </c>
      <c r="R8998" s="32" t="str">
        <f>IFERROR(VLOOKUP($D8998,'Informations sur les produits'!$A$3:$B$15000,2,FALSE),"")</f>
        <v/>
      </c>
      <c r="V8998">
        <f t="shared" si="562"/>
        <v>0</v>
      </c>
      <c r="W8998">
        <f t="shared" si="563"/>
        <v>0</v>
      </c>
    </row>
    <row r="8999" spans="5:23" x14ac:dyDescent="0.25">
      <c r="E8999" s="4"/>
      <c r="F8999" s="4"/>
      <c r="G8999" s="33" t="str">
        <f>IFERROR(VLOOKUP($D8999,'Informations sur les produits'!$A$3:$H$10000,8,FALSE),"0")</f>
        <v>0</v>
      </c>
      <c r="K8999" s="4"/>
      <c r="L8999" s="33" t="str">
        <f>IFERROR(VLOOKUP($J8999,'Informations sur les produits'!$A$3:$H$10000,8,FALSE),"0")</f>
        <v>0</v>
      </c>
      <c r="N8999" s="8"/>
      <c r="O8999" s="33" t="str">
        <f>IFERROR(VLOOKUP($M8999,'Informations sur les produits'!$A$3:$H$10000,8,FALSE),"0")</f>
        <v>0</v>
      </c>
      <c r="P8999" s="33">
        <f t="shared" si="560"/>
        <v>0</v>
      </c>
      <c r="Q8999" s="31" t="str">
        <f t="shared" si="561"/>
        <v/>
      </c>
      <c r="R8999" s="32" t="str">
        <f>IFERROR(VLOOKUP($D8999,'Informations sur les produits'!$A$3:$B$15000,2,FALSE),"")</f>
        <v/>
      </c>
      <c r="V8999">
        <f t="shared" si="562"/>
        <v>0</v>
      </c>
      <c r="W8999">
        <f t="shared" si="563"/>
        <v>0</v>
      </c>
    </row>
    <row r="9000" spans="5:23" x14ac:dyDescent="0.25">
      <c r="E9000" s="4"/>
      <c r="F9000" s="4"/>
      <c r="G9000" s="33" t="str">
        <f>IFERROR(VLOOKUP($D9000,'Informations sur les produits'!$A$3:$H$10000,8,FALSE),"0")</f>
        <v>0</v>
      </c>
      <c r="K9000" s="4"/>
      <c r="L9000" s="33" t="str">
        <f>IFERROR(VLOOKUP($J9000,'Informations sur les produits'!$A$3:$H$10000,8,FALSE),"0")</f>
        <v>0</v>
      </c>
      <c r="N9000" s="8"/>
      <c r="O9000" s="33" t="str">
        <f>IFERROR(VLOOKUP($M9000,'Informations sur les produits'!$A$3:$H$10000,8,FALSE),"0")</f>
        <v>0</v>
      </c>
      <c r="P9000" s="33">
        <f t="shared" si="560"/>
        <v>0</v>
      </c>
      <c r="Q9000" s="31" t="str">
        <f t="shared" si="561"/>
        <v/>
      </c>
      <c r="R9000" s="32" t="str">
        <f>IFERROR(VLOOKUP($D9000,'Informations sur les produits'!$A$3:$B$15000,2,FALSE),"")</f>
        <v/>
      </c>
      <c r="V9000">
        <f t="shared" si="562"/>
        <v>0</v>
      </c>
      <c r="W9000">
        <f t="shared" si="563"/>
        <v>0</v>
      </c>
    </row>
    <row r="9001" spans="5:23" x14ac:dyDescent="0.25">
      <c r="E9001" s="4"/>
      <c r="F9001" s="4"/>
      <c r="G9001" s="33" t="str">
        <f>IFERROR(VLOOKUP($D9001,'Informations sur les produits'!$A$3:$H$10000,8,FALSE),"0")</f>
        <v>0</v>
      </c>
      <c r="K9001" s="4"/>
      <c r="L9001" s="33" t="str">
        <f>IFERROR(VLOOKUP($J9001,'Informations sur les produits'!$A$3:$H$10000,8,FALSE),"0")</f>
        <v>0</v>
      </c>
      <c r="N9001" s="8"/>
      <c r="O9001" s="33" t="str">
        <f>IFERROR(VLOOKUP($M9001,'Informations sur les produits'!$A$3:$H$10000,8,FALSE),"0")</f>
        <v>0</v>
      </c>
      <c r="P9001" s="33">
        <f t="shared" si="560"/>
        <v>0</v>
      </c>
      <c r="Q9001" s="31" t="str">
        <f t="shared" si="561"/>
        <v/>
      </c>
      <c r="R9001" s="32" t="str">
        <f>IFERROR(VLOOKUP($D9001,'Informations sur les produits'!$A$3:$B$15000,2,FALSE),"")</f>
        <v/>
      </c>
      <c r="V9001">
        <f t="shared" si="562"/>
        <v>0</v>
      </c>
      <c r="W9001">
        <f t="shared" si="563"/>
        <v>0</v>
      </c>
    </row>
    <row r="9002" spans="5:23" x14ac:dyDescent="0.25">
      <c r="E9002" s="4"/>
      <c r="F9002" s="4"/>
      <c r="G9002" s="33" t="str">
        <f>IFERROR(VLOOKUP($D9002,'Informations sur les produits'!$A$3:$H$10000,8,FALSE),"0")</f>
        <v>0</v>
      </c>
      <c r="K9002" s="4"/>
      <c r="L9002" s="33" t="str">
        <f>IFERROR(VLOOKUP($J9002,'Informations sur les produits'!$A$3:$H$10000,8,FALSE),"0")</f>
        <v>0</v>
      </c>
      <c r="N9002" s="8"/>
      <c r="O9002" s="33" t="str">
        <f>IFERROR(VLOOKUP($M9002,'Informations sur les produits'!$A$3:$H$10000,8,FALSE),"0")</f>
        <v>0</v>
      </c>
      <c r="P9002" s="33">
        <f t="shared" si="560"/>
        <v>0</v>
      </c>
      <c r="Q9002" s="31" t="str">
        <f t="shared" si="561"/>
        <v/>
      </c>
      <c r="R9002" s="32" t="str">
        <f>IFERROR(VLOOKUP($D9002,'Informations sur les produits'!$A$3:$B$15000,2,FALSE),"")</f>
        <v/>
      </c>
      <c r="V9002">
        <f t="shared" si="562"/>
        <v>0</v>
      </c>
      <c r="W9002">
        <f t="shared" si="563"/>
        <v>0</v>
      </c>
    </row>
    <row r="9003" spans="5:23" x14ac:dyDescent="0.25">
      <c r="E9003" s="4"/>
      <c r="F9003" s="4"/>
      <c r="G9003" s="33" t="str">
        <f>IFERROR(VLOOKUP($D9003,'Informations sur les produits'!$A$3:$H$10000,8,FALSE),"0")</f>
        <v>0</v>
      </c>
      <c r="K9003" s="4"/>
      <c r="L9003" s="33" t="str">
        <f>IFERROR(VLOOKUP($J9003,'Informations sur les produits'!$A$3:$H$10000,8,FALSE),"0")</f>
        <v>0</v>
      </c>
      <c r="N9003" s="8"/>
      <c r="O9003" s="33" t="str">
        <f>IFERROR(VLOOKUP($M9003,'Informations sur les produits'!$A$3:$H$10000,8,FALSE),"0")</f>
        <v>0</v>
      </c>
      <c r="P9003" s="33">
        <f t="shared" si="560"/>
        <v>0</v>
      </c>
      <c r="Q9003" s="31" t="str">
        <f t="shared" si="561"/>
        <v/>
      </c>
      <c r="R9003" s="32" t="str">
        <f>IFERROR(VLOOKUP($D9003,'Informations sur les produits'!$A$3:$B$15000,2,FALSE),"")</f>
        <v/>
      </c>
      <c r="V9003">
        <f t="shared" si="562"/>
        <v>0</v>
      </c>
      <c r="W9003">
        <f t="shared" si="563"/>
        <v>0</v>
      </c>
    </row>
    <row r="9004" spans="5:23" x14ac:dyDescent="0.25">
      <c r="E9004" s="4"/>
      <c r="F9004" s="4"/>
      <c r="G9004" s="33" t="str">
        <f>IFERROR(VLOOKUP($D9004,'Informations sur les produits'!$A$3:$H$10000,8,FALSE),"0")</f>
        <v>0</v>
      </c>
      <c r="K9004" s="4"/>
      <c r="L9004" s="33" t="str">
        <f>IFERROR(VLOOKUP($J9004,'Informations sur les produits'!$A$3:$H$10000,8,FALSE),"0")</f>
        <v>0</v>
      </c>
      <c r="N9004" s="8"/>
      <c r="O9004" s="33" t="str">
        <f>IFERROR(VLOOKUP($M9004,'Informations sur les produits'!$A$3:$H$10000,8,FALSE),"0")</f>
        <v>0</v>
      </c>
      <c r="P9004" s="33">
        <f t="shared" si="560"/>
        <v>0</v>
      </c>
      <c r="Q9004" s="31" t="str">
        <f t="shared" si="561"/>
        <v/>
      </c>
      <c r="R9004" s="32" t="str">
        <f>IFERROR(VLOOKUP($D9004,'Informations sur les produits'!$A$3:$B$15000,2,FALSE),"")</f>
        <v/>
      </c>
      <c r="V9004">
        <f t="shared" si="562"/>
        <v>0</v>
      </c>
      <c r="W9004">
        <f t="shared" si="563"/>
        <v>0</v>
      </c>
    </row>
    <row r="9005" spans="5:23" x14ac:dyDescent="0.25">
      <c r="E9005" s="4"/>
      <c r="F9005" s="4"/>
      <c r="G9005" s="33" t="str">
        <f>IFERROR(VLOOKUP($D9005,'Informations sur les produits'!$A$3:$H$10000,8,FALSE),"0")</f>
        <v>0</v>
      </c>
      <c r="K9005" s="4"/>
      <c r="L9005" s="33" t="str">
        <f>IFERROR(VLOOKUP($J9005,'Informations sur les produits'!$A$3:$H$10000,8,FALSE),"0")</f>
        <v>0</v>
      </c>
      <c r="N9005" s="8"/>
      <c r="O9005" s="33" t="str">
        <f>IFERROR(VLOOKUP($M9005,'Informations sur les produits'!$A$3:$H$10000,8,FALSE),"0")</f>
        <v>0</v>
      </c>
      <c r="P9005" s="33">
        <f t="shared" si="560"/>
        <v>0</v>
      </c>
      <c r="Q9005" s="31" t="str">
        <f t="shared" si="561"/>
        <v/>
      </c>
      <c r="R9005" s="32" t="str">
        <f>IFERROR(VLOOKUP($D9005,'Informations sur les produits'!$A$3:$B$15000,2,FALSE),"")</f>
        <v/>
      </c>
      <c r="V9005">
        <f t="shared" si="562"/>
        <v>0</v>
      </c>
      <c r="W9005">
        <f t="shared" si="563"/>
        <v>0</v>
      </c>
    </row>
    <row r="9006" spans="5:23" x14ac:dyDescent="0.25">
      <c r="E9006" s="4"/>
      <c r="F9006" s="4"/>
      <c r="G9006" s="33" t="str">
        <f>IFERROR(VLOOKUP($D9006,'Informations sur les produits'!$A$3:$H$10000,8,FALSE),"0")</f>
        <v>0</v>
      </c>
      <c r="K9006" s="4"/>
      <c r="L9006" s="33" t="str">
        <f>IFERROR(VLOOKUP($J9006,'Informations sur les produits'!$A$3:$H$10000,8,FALSE),"0")</f>
        <v>0</v>
      </c>
      <c r="N9006" s="8"/>
      <c r="O9006" s="33" t="str">
        <f>IFERROR(VLOOKUP($M9006,'Informations sur les produits'!$A$3:$H$10000,8,FALSE),"0")</f>
        <v>0</v>
      </c>
      <c r="P9006" s="33">
        <f t="shared" si="560"/>
        <v>0</v>
      </c>
      <c r="Q9006" s="31" t="str">
        <f t="shared" si="561"/>
        <v/>
      </c>
      <c r="R9006" s="32" t="str">
        <f>IFERROR(VLOOKUP($D9006,'Informations sur les produits'!$A$3:$B$15000,2,FALSE),"")</f>
        <v/>
      </c>
      <c r="V9006">
        <f t="shared" si="562"/>
        <v>0</v>
      </c>
      <c r="W9006">
        <f t="shared" si="563"/>
        <v>0</v>
      </c>
    </row>
    <row r="9007" spans="5:23" x14ac:dyDescent="0.25">
      <c r="E9007" s="4"/>
      <c r="F9007" s="4"/>
      <c r="G9007" s="33" t="str">
        <f>IFERROR(VLOOKUP($D9007,'Informations sur les produits'!$A$3:$H$10000,8,FALSE),"0")</f>
        <v>0</v>
      </c>
      <c r="K9007" s="4"/>
      <c r="L9007" s="33" t="str">
        <f>IFERROR(VLOOKUP($J9007,'Informations sur les produits'!$A$3:$H$10000,8,FALSE),"0")</f>
        <v>0</v>
      </c>
      <c r="N9007" s="8"/>
      <c r="O9007" s="33" t="str">
        <f>IFERROR(VLOOKUP($M9007,'Informations sur les produits'!$A$3:$H$10000,8,FALSE),"0")</f>
        <v>0</v>
      </c>
      <c r="P9007" s="33">
        <f t="shared" si="560"/>
        <v>0</v>
      </c>
      <c r="Q9007" s="31" t="str">
        <f t="shared" si="561"/>
        <v/>
      </c>
      <c r="R9007" s="32" t="str">
        <f>IFERROR(VLOOKUP($D9007,'Informations sur les produits'!$A$3:$B$15000,2,FALSE),"")</f>
        <v/>
      </c>
      <c r="V9007">
        <f t="shared" si="562"/>
        <v>0</v>
      </c>
      <c r="W9007">
        <f t="shared" si="563"/>
        <v>0</v>
      </c>
    </row>
    <row r="9008" spans="5:23" x14ac:dyDescent="0.25">
      <c r="E9008" s="4"/>
      <c r="F9008" s="4"/>
      <c r="G9008" s="33" t="str">
        <f>IFERROR(VLOOKUP($D9008,'Informations sur les produits'!$A$3:$H$10000,8,FALSE),"0")</f>
        <v>0</v>
      </c>
      <c r="K9008" s="4"/>
      <c r="L9008" s="33" t="str">
        <f>IFERROR(VLOOKUP($J9008,'Informations sur les produits'!$A$3:$H$10000,8,FALSE),"0")</f>
        <v>0</v>
      </c>
      <c r="N9008" s="8"/>
      <c r="O9008" s="33" t="str">
        <f>IFERROR(VLOOKUP($M9008,'Informations sur les produits'!$A$3:$H$10000,8,FALSE),"0")</f>
        <v>0</v>
      </c>
      <c r="P9008" s="33">
        <f t="shared" si="560"/>
        <v>0</v>
      </c>
      <c r="Q9008" s="31" t="str">
        <f t="shared" si="561"/>
        <v/>
      </c>
      <c r="R9008" s="32" t="str">
        <f>IFERROR(VLOOKUP($D9008,'Informations sur les produits'!$A$3:$B$15000,2,FALSE),"")</f>
        <v/>
      </c>
      <c r="V9008">
        <f t="shared" si="562"/>
        <v>0</v>
      </c>
      <c r="W9008">
        <f t="shared" si="563"/>
        <v>0</v>
      </c>
    </row>
    <row r="9009" spans="5:23" x14ac:dyDescent="0.25">
      <c r="E9009" s="4"/>
      <c r="F9009" s="4"/>
      <c r="G9009" s="33" t="str">
        <f>IFERROR(VLOOKUP($D9009,'Informations sur les produits'!$A$3:$H$10000,8,FALSE),"0")</f>
        <v>0</v>
      </c>
      <c r="K9009" s="4"/>
      <c r="L9009" s="33" t="str">
        <f>IFERROR(VLOOKUP($J9009,'Informations sur les produits'!$A$3:$H$10000,8,FALSE),"0")</f>
        <v>0</v>
      </c>
      <c r="N9009" s="8"/>
      <c r="O9009" s="33" t="str">
        <f>IFERROR(VLOOKUP($M9009,'Informations sur les produits'!$A$3:$H$10000,8,FALSE),"0")</f>
        <v>0</v>
      </c>
      <c r="P9009" s="33">
        <f t="shared" si="560"/>
        <v>0</v>
      </c>
      <c r="Q9009" s="31" t="str">
        <f t="shared" si="561"/>
        <v/>
      </c>
      <c r="R9009" s="32" t="str">
        <f>IFERROR(VLOOKUP($D9009,'Informations sur les produits'!$A$3:$B$15000,2,FALSE),"")</f>
        <v/>
      </c>
      <c r="V9009">
        <f t="shared" si="562"/>
        <v>0</v>
      </c>
      <c r="W9009">
        <f t="shared" si="563"/>
        <v>0</v>
      </c>
    </row>
    <row r="9010" spans="5:23" x14ac:dyDescent="0.25">
      <c r="E9010" s="4"/>
      <c r="F9010" s="4"/>
      <c r="G9010" s="33" t="str">
        <f>IFERROR(VLOOKUP($D9010,'Informations sur les produits'!$A$3:$H$10000,8,FALSE),"0")</f>
        <v>0</v>
      </c>
      <c r="K9010" s="4"/>
      <c r="L9010" s="33" t="str">
        <f>IFERROR(VLOOKUP($J9010,'Informations sur les produits'!$A$3:$H$10000,8,FALSE),"0")</f>
        <v>0</v>
      </c>
      <c r="N9010" s="8"/>
      <c r="O9010" s="33" t="str">
        <f>IFERROR(VLOOKUP($M9010,'Informations sur les produits'!$A$3:$H$10000,8,FALSE),"0")</f>
        <v>0</v>
      </c>
      <c r="P9010" s="33">
        <f t="shared" si="560"/>
        <v>0</v>
      </c>
      <c r="Q9010" s="31" t="str">
        <f t="shared" si="561"/>
        <v/>
      </c>
      <c r="R9010" s="32" t="str">
        <f>IFERROR(VLOOKUP($D9010,'Informations sur les produits'!$A$3:$B$15000,2,FALSE),"")</f>
        <v/>
      </c>
      <c r="V9010">
        <f t="shared" si="562"/>
        <v>0</v>
      </c>
      <c r="W9010">
        <f t="shared" si="563"/>
        <v>0</v>
      </c>
    </row>
    <row r="9011" spans="5:23" x14ac:dyDescent="0.25">
      <c r="E9011" s="4"/>
      <c r="F9011" s="4"/>
      <c r="G9011" s="33" t="str">
        <f>IFERROR(VLOOKUP($D9011,'Informations sur les produits'!$A$3:$H$10000,8,FALSE),"0")</f>
        <v>0</v>
      </c>
      <c r="K9011" s="4"/>
      <c r="L9011" s="33" t="str">
        <f>IFERROR(VLOOKUP($J9011,'Informations sur les produits'!$A$3:$H$10000,8,FALSE),"0")</f>
        <v>0</v>
      </c>
      <c r="N9011" s="8"/>
      <c r="O9011" s="33" t="str">
        <f>IFERROR(VLOOKUP($M9011,'Informations sur les produits'!$A$3:$H$10000,8,FALSE),"0")</f>
        <v>0</v>
      </c>
      <c r="P9011" s="33">
        <f t="shared" si="560"/>
        <v>0</v>
      </c>
      <c r="Q9011" s="31" t="str">
        <f t="shared" si="561"/>
        <v/>
      </c>
      <c r="R9011" s="32" t="str">
        <f>IFERROR(VLOOKUP($D9011,'Informations sur les produits'!$A$3:$B$15000,2,FALSE),"")</f>
        <v/>
      </c>
      <c r="V9011">
        <f t="shared" si="562"/>
        <v>0</v>
      </c>
      <c r="W9011">
        <f t="shared" si="563"/>
        <v>0</v>
      </c>
    </row>
    <row r="9012" spans="5:23" x14ac:dyDescent="0.25">
      <c r="E9012" s="4"/>
      <c r="F9012" s="4"/>
      <c r="G9012" s="33" t="str">
        <f>IFERROR(VLOOKUP($D9012,'Informations sur les produits'!$A$3:$H$10000,8,FALSE),"0")</f>
        <v>0</v>
      </c>
      <c r="K9012" s="4"/>
      <c r="L9012" s="33" t="str">
        <f>IFERROR(VLOOKUP($J9012,'Informations sur les produits'!$A$3:$H$10000,8,FALSE),"0")</f>
        <v>0</v>
      </c>
      <c r="N9012" s="8"/>
      <c r="O9012" s="33" t="str">
        <f>IFERROR(VLOOKUP($M9012,'Informations sur les produits'!$A$3:$H$10000,8,FALSE),"0")</f>
        <v>0</v>
      </c>
      <c r="P9012" s="33">
        <f t="shared" si="560"/>
        <v>0</v>
      </c>
      <c r="Q9012" s="31" t="str">
        <f t="shared" si="561"/>
        <v/>
      </c>
      <c r="R9012" s="32" t="str">
        <f>IFERROR(VLOOKUP($D9012,'Informations sur les produits'!$A$3:$B$15000,2,FALSE),"")</f>
        <v/>
      </c>
      <c r="V9012">
        <f t="shared" si="562"/>
        <v>0</v>
      </c>
      <c r="W9012">
        <f t="shared" si="563"/>
        <v>0</v>
      </c>
    </row>
    <row r="9013" spans="5:23" x14ac:dyDescent="0.25">
      <c r="E9013" s="4"/>
      <c r="F9013" s="4"/>
      <c r="G9013" s="33" t="str">
        <f>IFERROR(VLOOKUP($D9013,'Informations sur les produits'!$A$3:$H$10000,8,FALSE),"0")</f>
        <v>0</v>
      </c>
      <c r="K9013" s="4"/>
      <c r="L9013" s="33" t="str">
        <f>IFERROR(VLOOKUP($J9013,'Informations sur les produits'!$A$3:$H$10000,8,FALSE),"0")</f>
        <v>0</v>
      </c>
      <c r="N9013" s="8"/>
      <c r="O9013" s="33" t="str">
        <f>IFERROR(VLOOKUP($M9013,'Informations sur les produits'!$A$3:$H$10000,8,FALSE),"0")</f>
        <v>0</v>
      </c>
      <c r="P9013" s="33">
        <f t="shared" si="560"/>
        <v>0</v>
      </c>
      <c r="Q9013" s="31" t="str">
        <f t="shared" si="561"/>
        <v/>
      </c>
      <c r="R9013" s="32" t="str">
        <f>IFERROR(VLOOKUP($D9013,'Informations sur les produits'!$A$3:$B$15000,2,FALSE),"")</f>
        <v/>
      </c>
      <c r="V9013">
        <f t="shared" si="562"/>
        <v>0</v>
      </c>
      <c r="W9013">
        <f t="shared" si="563"/>
        <v>0</v>
      </c>
    </row>
    <row r="9014" spans="5:23" x14ac:dyDescent="0.25">
      <c r="E9014" s="4"/>
      <c r="F9014" s="4"/>
      <c r="G9014" s="33" t="str">
        <f>IFERROR(VLOOKUP($D9014,'Informations sur les produits'!$A$3:$H$10000,8,FALSE),"0")</f>
        <v>0</v>
      </c>
      <c r="K9014" s="4"/>
      <c r="L9014" s="33" t="str">
        <f>IFERROR(VLOOKUP($J9014,'Informations sur les produits'!$A$3:$H$10000,8,FALSE),"0")</f>
        <v>0</v>
      </c>
      <c r="N9014" s="8"/>
      <c r="O9014" s="33" t="str">
        <f>IFERROR(VLOOKUP($M9014,'Informations sur les produits'!$A$3:$H$10000,8,FALSE),"0")</f>
        <v>0</v>
      </c>
      <c r="P9014" s="33">
        <f t="shared" si="560"/>
        <v>0</v>
      </c>
      <c r="Q9014" s="31" t="str">
        <f t="shared" si="561"/>
        <v/>
      </c>
      <c r="R9014" s="32" t="str">
        <f>IFERROR(VLOOKUP($D9014,'Informations sur les produits'!$A$3:$B$15000,2,FALSE),"")</f>
        <v/>
      </c>
      <c r="V9014">
        <f t="shared" si="562"/>
        <v>0</v>
      </c>
      <c r="W9014">
        <f t="shared" si="563"/>
        <v>0</v>
      </c>
    </row>
    <row r="9015" spans="5:23" x14ac:dyDescent="0.25">
      <c r="E9015" s="4"/>
      <c r="F9015" s="4"/>
      <c r="G9015" s="33" t="str">
        <f>IFERROR(VLOOKUP($D9015,'Informations sur les produits'!$A$3:$H$10000,8,FALSE),"0")</f>
        <v>0</v>
      </c>
      <c r="K9015" s="4"/>
      <c r="L9015" s="33" t="str">
        <f>IFERROR(VLOOKUP($J9015,'Informations sur les produits'!$A$3:$H$10000,8,FALSE),"0")</f>
        <v>0</v>
      </c>
      <c r="N9015" s="8"/>
      <c r="O9015" s="33" t="str">
        <f>IFERROR(VLOOKUP($M9015,'Informations sur les produits'!$A$3:$H$10000,8,FALSE),"0")</f>
        <v>0</v>
      </c>
      <c r="P9015" s="33">
        <f t="shared" si="560"/>
        <v>0</v>
      </c>
      <c r="Q9015" s="31" t="str">
        <f t="shared" si="561"/>
        <v/>
      </c>
      <c r="R9015" s="32" t="str">
        <f>IFERROR(VLOOKUP($D9015,'Informations sur les produits'!$A$3:$B$15000,2,FALSE),"")</f>
        <v/>
      </c>
      <c r="V9015">
        <f t="shared" si="562"/>
        <v>0</v>
      </c>
      <c r="W9015">
        <f t="shared" si="563"/>
        <v>0</v>
      </c>
    </row>
    <row r="9016" spans="5:23" x14ac:dyDescent="0.25">
      <c r="E9016" s="4"/>
      <c r="F9016" s="4"/>
      <c r="G9016" s="33" t="str">
        <f>IFERROR(VLOOKUP($D9016,'Informations sur les produits'!$A$3:$H$10000,8,FALSE),"0")</f>
        <v>0</v>
      </c>
      <c r="K9016" s="4"/>
      <c r="L9016" s="33" t="str">
        <f>IFERROR(VLOOKUP($J9016,'Informations sur les produits'!$A$3:$H$10000,8,FALSE),"0")</f>
        <v>0</v>
      </c>
      <c r="N9016" s="8"/>
      <c r="O9016" s="33" t="str">
        <f>IFERROR(VLOOKUP($M9016,'Informations sur les produits'!$A$3:$H$10000,8,FALSE),"0")</f>
        <v>0</v>
      </c>
      <c r="P9016" s="33">
        <f t="shared" si="560"/>
        <v>0</v>
      </c>
      <c r="Q9016" s="31" t="str">
        <f t="shared" si="561"/>
        <v/>
      </c>
      <c r="R9016" s="32" t="str">
        <f>IFERROR(VLOOKUP($D9016,'Informations sur les produits'!$A$3:$B$15000,2,FALSE),"")</f>
        <v/>
      </c>
      <c r="V9016">
        <f t="shared" si="562"/>
        <v>0</v>
      </c>
      <c r="W9016">
        <f t="shared" si="563"/>
        <v>0</v>
      </c>
    </row>
    <row r="9017" spans="5:23" x14ac:dyDescent="0.25">
      <c r="E9017" s="4"/>
      <c r="F9017" s="4"/>
      <c r="G9017" s="33" t="str">
        <f>IFERROR(VLOOKUP($D9017,'Informations sur les produits'!$A$3:$H$10000,8,FALSE),"0")</f>
        <v>0</v>
      </c>
      <c r="K9017" s="4"/>
      <c r="L9017" s="33" t="str">
        <f>IFERROR(VLOOKUP($J9017,'Informations sur les produits'!$A$3:$H$10000,8,FALSE),"0")</f>
        <v>0</v>
      </c>
      <c r="N9017" s="8"/>
      <c r="O9017" s="33" t="str">
        <f>IFERROR(VLOOKUP($M9017,'Informations sur les produits'!$A$3:$H$10000,8,FALSE),"0")</f>
        <v>0</v>
      </c>
      <c r="P9017" s="33">
        <f t="shared" si="560"/>
        <v>0</v>
      </c>
      <c r="Q9017" s="31" t="str">
        <f t="shared" si="561"/>
        <v/>
      </c>
      <c r="R9017" s="32" t="str">
        <f>IFERROR(VLOOKUP($D9017,'Informations sur les produits'!$A$3:$B$15000,2,FALSE),"")</f>
        <v/>
      </c>
      <c r="V9017">
        <f t="shared" si="562"/>
        <v>0</v>
      </c>
      <c r="W9017">
        <f t="shared" si="563"/>
        <v>0</v>
      </c>
    </row>
    <row r="9018" spans="5:23" x14ac:dyDescent="0.25">
      <c r="E9018" s="4"/>
      <c r="F9018" s="4"/>
      <c r="G9018" s="33" t="str">
        <f>IFERROR(VLOOKUP($D9018,'Informations sur les produits'!$A$3:$H$10000,8,FALSE),"0")</f>
        <v>0</v>
      </c>
      <c r="K9018" s="4"/>
      <c r="L9018" s="33" t="str">
        <f>IFERROR(VLOOKUP($J9018,'Informations sur les produits'!$A$3:$H$10000,8,FALSE),"0")</f>
        <v>0</v>
      </c>
      <c r="N9018" s="8"/>
      <c r="O9018" s="33" t="str">
        <f>IFERROR(VLOOKUP($M9018,'Informations sur les produits'!$A$3:$H$10000,8,FALSE),"0")</f>
        <v>0</v>
      </c>
      <c r="P9018" s="33">
        <f t="shared" si="560"/>
        <v>0</v>
      </c>
      <c r="Q9018" s="31" t="str">
        <f t="shared" si="561"/>
        <v/>
      </c>
      <c r="R9018" s="32" t="str">
        <f>IFERROR(VLOOKUP($D9018,'Informations sur les produits'!$A$3:$B$15000,2,FALSE),"")</f>
        <v/>
      </c>
      <c r="V9018">
        <f t="shared" si="562"/>
        <v>0</v>
      </c>
      <c r="W9018">
        <f t="shared" si="563"/>
        <v>0</v>
      </c>
    </row>
    <row r="9019" spans="5:23" x14ac:dyDescent="0.25">
      <c r="E9019" s="4"/>
      <c r="F9019" s="4"/>
      <c r="G9019" s="33" t="str">
        <f>IFERROR(VLOOKUP($D9019,'Informations sur les produits'!$A$3:$H$10000,8,FALSE),"0")</f>
        <v>0</v>
      </c>
      <c r="K9019" s="4"/>
      <c r="L9019" s="33" t="str">
        <f>IFERROR(VLOOKUP($J9019,'Informations sur les produits'!$A$3:$H$10000,8,FALSE),"0")</f>
        <v>0</v>
      </c>
      <c r="N9019" s="8"/>
      <c r="O9019" s="33" t="str">
        <f>IFERROR(VLOOKUP($M9019,'Informations sur les produits'!$A$3:$H$10000,8,FALSE),"0")</f>
        <v>0</v>
      </c>
      <c r="P9019" s="33">
        <f t="shared" si="560"/>
        <v>0</v>
      </c>
      <c r="Q9019" s="31" t="str">
        <f t="shared" si="561"/>
        <v/>
      </c>
      <c r="R9019" s="32" t="str">
        <f>IFERROR(VLOOKUP($D9019,'Informations sur les produits'!$A$3:$B$15000,2,FALSE),"")</f>
        <v/>
      </c>
      <c r="V9019">
        <f t="shared" si="562"/>
        <v>0</v>
      </c>
      <c r="W9019">
        <f t="shared" si="563"/>
        <v>0</v>
      </c>
    </row>
    <row r="9020" spans="5:23" x14ac:dyDescent="0.25">
      <c r="E9020" s="4"/>
      <c r="F9020" s="4"/>
      <c r="G9020" s="33" t="str">
        <f>IFERROR(VLOOKUP($D9020,'Informations sur les produits'!$A$3:$H$10000,8,FALSE),"0")</f>
        <v>0</v>
      </c>
      <c r="K9020" s="4"/>
      <c r="L9020" s="33" t="str">
        <f>IFERROR(VLOOKUP($J9020,'Informations sur les produits'!$A$3:$H$10000,8,FALSE),"0")</f>
        <v>0</v>
      </c>
      <c r="N9020" s="8"/>
      <c r="O9020" s="33" t="str">
        <f>IFERROR(VLOOKUP($M9020,'Informations sur les produits'!$A$3:$H$10000,8,FALSE),"0")</f>
        <v>0</v>
      </c>
      <c r="P9020" s="33">
        <f t="shared" si="560"/>
        <v>0</v>
      </c>
      <c r="Q9020" s="31" t="str">
        <f t="shared" si="561"/>
        <v/>
      </c>
      <c r="R9020" s="32" t="str">
        <f>IFERROR(VLOOKUP($D9020,'Informations sur les produits'!$A$3:$B$15000,2,FALSE),"")</f>
        <v/>
      </c>
      <c r="V9020">
        <f t="shared" si="562"/>
        <v>0</v>
      </c>
      <c r="W9020">
        <f t="shared" si="563"/>
        <v>0</v>
      </c>
    </row>
    <row r="9021" spans="5:23" x14ac:dyDescent="0.25">
      <c r="E9021" s="4"/>
      <c r="F9021" s="4"/>
      <c r="G9021" s="33" t="str">
        <f>IFERROR(VLOOKUP($D9021,'Informations sur les produits'!$A$3:$H$10000,8,FALSE),"0")</f>
        <v>0</v>
      </c>
      <c r="K9021" s="4"/>
      <c r="L9021" s="33" t="str">
        <f>IFERROR(VLOOKUP($J9021,'Informations sur les produits'!$A$3:$H$10000,8,FALSE),"0")</f>
        <v>0</v>
      </c>
      <c r="N9021" s="8"/>
      <c r="O9021" s="33" t="str">
        <f>IFERROR(VLOOKUP($M9021,'Informations sur les produits'!$A$3:$H$10000,8,FALSE),"0")</f>
        <v>0</v>
      </c>
      <c r="P9021" s="33">
        <f t="shared" si="560"/>
        <v>0</v>
      </c>
      <c r="Q9021" s="31" t="str">
        <f t="shared" si="561"/>
        <v/>
      </c>
      <c r="R9021" s="32" t="str">
        <f>IFERROR(VLOOKUP($D9021,'Informations sur les produits'!$A$3:$B$15000,2,FALSE),"")</f>
        <v/>
      </c>
      <c r="V9021">
        <f t="shared" si="562"/>
        <v>0</v>
      </c>
      <c r="W9021">
        <f t="shared" si="563"/>
        <v>0</v>
      </c>
    </row>
    <row r="9022" spans="5:23" x14ac:dyDescent="0.25">
      <c r="E9022" s="4"/>
      <c r="F9022" s="4"/>
      <c r="G9022" s="33" t="str">
        <f>IFERROR(VLOOKUP($D9022,'Informations sur les produits'!$A$3:$H$10000,8,FALSE),"0")</f>
        <v>0</v>
      </c>
      <c r="K9022" s="4"/>
      <c r="L9022" s="33" t="str">
        <f>IFERROR(VLOOKUP($J9022,'Informations sur les produits'!$A$3:$H$10000,8,FALSE),"0")</f>
        <v>0</v>
      </c>
      <c r="N9022" s="8"/>
      <c r="O9022" s="33" t="str">
        <f>IFERROR(VLOOKUP($M9022,'Informations sur les produits'!$A$3:$H$10000,8,FALSE),"0")</f>
        <v>0</v>
      </c>
      <c r="P9022" s="33">
        <f t="shared" si="560"/>
        <v>0</v>
      </c>
      <c r="Q9022" s="31" t="str">
        <f t="shared" si="561"/>
        <v/>
      </c>
      <c r="R9022" s="32" t="str">
        <f>IFERROR(VLOOKUP($D9022,'Informations sur les produits'!$A$3:$B$15000,2,FALSE),"")</f>
        <v/>
      </c>
      <c r="V9022">
        <f t="shared" si="562"/>
        <v>0</v>
      </c>
      <c r="W9022">
        <f t="shared" si="563"/>
        <v>0</v>
      </c>
    </row>
    <row r="9023" spans="5:23" x14ac:dyDescent="0.25">
      <c r="E9023" s="4"/>
      <c r="F9023" s="4"/>
      <c r="G9023" s="33" t="str">
        <f>IFERROR(VLOOKUP($D9023,'Informations sur les produits'!$A$3:$H$10000,8,FALSE),"0")</f>
        <v>0</v>
      </c>
      <c r="K9023" s="4"/>
      <c r="L9023" s="33" t="str">
        <f>IFERROR(VLOOKUP($J9023,'Informations sur les produits'!$A$3:$H$10000,8,FALSE),"0")</f>
        <v>0</v>
      </c>
      <c r="N9023" s="8"/>
      <c r="O9023" s="33" t="str">
        <f>IFERROR(VLOOKUP($M9023,'Informations sur les produits'!$A$3:$H$10000,8,FALSE),"0")</f>
        <v>0</v>
      </c>
      <c r="P9023" s="33">
        <f t="shared" si="560"/>
        <v>0</v>
      </c>
      <c r="Q9023" s="31" t="str">
        <f t="shared" si="561"/>
        <v/>
      </c>
      <c r="R9023" s="32" t="str">
        <f>IFERROR(VLOOKUP($D9023,'Informations sur les produits'!$A$3:$B$15000,2,FALSE),"")</f>
        <v/>
      </c>
      <c r="V9023">
        <f t="shared" si="562"/>
        <v>0</v>
      </c>
      <c r="W9023">
        <f t="shared" si="563"/>
        <v>0</v>
      </c>
    </row>
    <row r="9024" spans="5:23" x14ac:dyDescent="0.25">
      <c r="E9024" s="4"/>
      <c r="F9024" s="4"/>
      <c r="G9024" s="33" t="str">
        <f>IFERROR(VLOOKUP($D9024,'Informations sur les produits'!$A$3:$H$10000,8,FALSE),"0")</f>
        <v>0</v>
      </c>
      <c r="K9024" s="4"/>
      <c r="L9024" s="33" t="str">
        <f>IFERROR(VLOOKUP($J9024,'Informations sur les produits'!$A$3:$H$10000,8,FALSE),"0")</f>
        <v>0</v>
      </c>
      <c r="N9024" s="8"/>
      <c r="O9024" s="33" t="str">
        <f>IFERROR(VLOOKUP($M9024,'Informations sur les produits'!$A$3:$H$10000,8,FALSE),"0")</f>
        <v>0</v>
      </c>
      <c r="P9024" s="33">
        <f t="shared" si="560"/>
        <v>0</v>
      </c>
      <c r="Q9024" s="31" t="str">
        <f t="shared" si="561"/>
        <v/>
      </c>
      <c r="R9024" s="32" t="str">
        <f>IFERROR(VLOOKUP($D9024,'Informations sur les produits'!$A$3:$B$15000,2,FALSE),"")</f>
        <v/>
      </c>
      <c r="V9024">
        <f t="shared" si="562"/>
        <v>0</v>
      </c>
      <c r="W9024">
        <f t="shared" si="563"/>
        <v>0</v>
      </c>
    </row>
    <row r="9025" spans="5:23" x14ac:dyDescent="0.25">
      <c r="E9025" s="4"/>
      <c r="F9025" s="4"/>
      <c r="G9025" s="33" t="str">
        <f>IFERROR(VLOOKUP($D9025,'Informations sur les produits'!$A$3:$H$10000,8,FALSE),"0")</f>
        <v>0</v>
      </c>
      <c r="K9025" s="4"/>
      <c r="L9025" s="33" t="str">
        <f>IFERROR(VLOOKUP($J9025,'Informations sur les produits'!$A$3:$H$10000,8,FALSE),"0")</f>
        <v>0</v>
      </c>
      <c r="N9025" s="8"/>
      <c r="O9025" s="33" t="str">
        <f>IFERROR(VLOOKUP($M9025,'Informations sur les produits'!$A$3:$H$10000,8,FALSE),"0")</f>
        <v>0</v>
      </c>
      <c r="P9025" s="33">
        <f t="shared" si="560"/>
        <v>0</v>
      </c>
      <c r="Q9025" s="31" t="str">
        <f t="shared" si="561"/>
        <v/>
      </c>
      <c r="R9025" s="32" t="str">
        <f>IFERROR(VLOOKUP($D9025,'Informations sur les produits'!$A$3:$B$15000,2,FALSE),"")</f>
        <v/>
      </c>
      <c r="V9025">
        <f t="shared" si="562"/>
        <v>0</v>
      </c>
      <c r="W9025">
        <f t="shared" si="563"/>
        <v>0</v>
      </c>
    </row>
    <row r="9026" spans="5:23" x14ac:dyDescent="0.25">
      <c r="E9026" s="4"/>
      <c r="F9026" s="4"/>
      <c r="G9026" s="33" t="str">
        <f>IFERROR(VLOOKUP($D9026,'Informations sur les produits'!$A$3:$H$10000,8,FALSE),"0")</f>
        <v>0</v>
      </c>
      <c r="K9026" s="4"/>
      <c r="L9026" s="33" t="str">
        <f>IFERROR(VLOOKUP($J9026,'Informations sur les produits'!$A$3:$H$10000,8,FALSE),"0")</f>
        <v>0</v>
      </c>
      <c r="N9026" s="8"/>
      <c r="O9026" s="33" t="str">
        <f>IFERROR(VLOOKUP($M9026,'Informations sur les produits'!$A$3:$H$10000,8,FALSE),"0")</f>
        <v>0</v>
      </c>
      <c r="P9026" s="33">
        <f t="shared" si="560"/>
        <v>0</v>
      </c>
      <c r="Q9026" s="31" t="str">
        <f t="shared" si="561"/>
        <v/>
      </c>
      <c r="R9026" s="32" t="str">
        <f>IFERROR(VLOOKUP($D9026,'Informations sur les produits'!$A$3:$B$15000,2,FALSE),"")</f>
        <v/>
      </c>
      <c r="V9026">
        <f t="shared" si="562"/>
        <v>0</v>
      </c>
      <c r="W9026">
        <f t="shared" si="563"/>
        <v>0</v>
      </c>
    </row>
    <row r="9027" spans="5:23" x14ac:dyDescent="0.25">
      <c r="E9027" s="4"/>
      <c r="F9027" s="4"/>
      <c r="G9027" s="33" t="str">
        <f>IFERROR(VLOOKUP($D9027,'Informations sur les produits'!$A$3:$H$10000,8,FALSE),"0")</f>
        <v>0</v>
      </c>
      <c r="K9027" s="4"/>
      <c r="L9027" s="33" t="str">
        <f>IFERROR(VLOOKUP($J9027,'Informations sur les produits'!$A$3:$H$10000,8,FALSE),"0")</f>
        <v>0</v>
      </c>
      <c r="N9027" s="8"/>
      <c r="O9027" s="33" t="str">
        <f>IFERROR(VLOOKUP($M9027,'Informations sur les produits'!$A$3:$H$10000,8,FALSE),"0")</f>
        <v>0</v>
      </c>
      <c r="P9027" s="33">
        <f t="shared" si="560"/>
        <v>0</v>
      </c>
      <c r="Q9027" s="31" t="str">
        <f t="shared" si="561"/>
        <v/>
      </c>
      <c r="R9027" s="32" t="str">
        <f>IFERROR(VLOOKUP($D9027,'Informations sur les produits'!$A$3:$B$15000,2,FALSE),"")</f>
        <v/>
      </c>
      <c r="V9027">
        <f t="shared" si="562"/>
        <v>0</v>
      </c>
      <c r="W9027">
        <f t="shared" si="563"/>
        <v>0</v>
      </c>
    </row>
    <row r="9028" spans="5:23" x14ac:dyDescent="0.25">
      <c r="E9028" s="4"/>
      <c r="F9028" s="4"/>
      <c r="G9028" s="33" t="str">
        <f>IFERROR(VLOOKUP($D9028,'Informations sur les produits'!$A$3:$H$10000,8,FALSE),"0")</f>
        <v>0</v>
      </c>
      <c r="K9028" s="4"/>
      <c r="L9028" s="33" t="str">
        <f>IFERROR(VLOOKUP($J9028,'Informations sur les produits'!$A$3:$H$10000,8,FALSE),"0")</f>
        <v>0</v>
      </c>
      <c r="N9028" s="8"/>
      <c r="O9028" s="33" t="str">
        <f>IFERROR(VLOOKUP($M9028,'Informations sur les produits'!$A$3:$H$10000,8,FALSE),"0")</f>
        <v>0</v>
      </c>
      <c r="P9028" s="33">
        <f t="shared" ref="P9028:P9091" si="564">IFERROR((($E9028-$F9028)*$G9028+$K9028*$L9028+$N9028*$O9028),"")</f>
        <v>0</v>
      </c>
      <c r="Q9028" s="31" t="str">
        <f t="shared" ref="Q9028:Q9091" si="565">IFERROR((((($E9028-$F9028)*$G9028+$K9028*$L9028+$N9028*$O9028)*1000)/(($E9028-$F9028)+$K9028+$N9028)),"")</f>
        <v/>
      </c>
      <c r="R9028" s="32" t="str">
        <f>IFERROR(VLOOKUP($D9028,'Informations sur les produits'!$A$3:$B$15000,2,FALSE),"")</f>
        <v/>
      </c>
      <c r="V9028">
        <f t="shared" ref="V9028:V9091" si="566">IFERROR(P9028*1000,"")</f>
        <v>0</v>
      </c>
      <c r="W9028">
        <f t="shared" ref="W9028:W9091" si="567">IFERROR(($E9028-$F9028)+$K9028+$N9028,"")</f>
        <v>0</v>
      </c>
    </row>
    <row r="9029" spans="5:23" x14ac:dyDescent="0.25">
      <c r="E9029" s="4"/>
      <c r="F9029" s="4"/>
      <c r="G9029" s="33" t="str">
        <f>IFERROR(VLOOKUP($D9029,'Informations sur les produits'!$A$3:$H$10000,8,FALSE),"0")</f>
        <v>0</v>
      </c>
      <c r="K9029" s="4"/>
      <c r="L9029" s="33" t="str">
        <f>IFERROR(VLOOKUP($J9029,'Informations sur les produits'!$A$3:$H$10000,8,FALSE),"0")</f>
        <v>0</v>
      </c>
      <c r="N9029" s="8"/>
      <c r="O9029" s="33" t="str">
        <f>IFERROR(VLOOKUP($M9029,'Informations sur les produits'!$A$3:$H$10000,8,FALSE),"0")</f>
        <v>0</v>
      </c>
      <c r="P9029" s="33">
        <f t="shared" si="564"/>
        <v>0</v>
      </c>
      <c r="Q9029" s="31" t="str">
        <f t="shared" si="565"/>
        <v/>
      </c>
      <c r="R9029" s="32" t="str">
        <f>IFERROR(VLOOKUP($D9029,'Informations sur les produits'!$A$3:$B$15000,2,FALSE),"")</f>
        <v/>
      </c>
      <c r="V9029">
        <f t="shared" si="566"/>
        <v>0</v>
      </c>
      <c r="W9029">
        <f t="shared" si="567"/>
        <v>0</v>
      </c>
    </row>
    <row r="9030" spans="5:23" x14ac:dyDescent="0.25">
      <c r="E9030" s="4"/>
      <c r="F9030" s="4"/>
      <c r="G9030" s="33" t="str">
        <f>IFERROR(VLOOKUP($D9030,'Informations sur les produits'!$A$3:$H$10000,8,FALSE),"0")</f>
        <v>0</v>
      </c>
      <c r="K9030" s="4"/>
      <c r="L9030" s="33" t="str">
        <f>IFERROR(VLOOKUP($J9030,'Informations sur les produits'!$A$3:$H$10000,8,FALSE),"0")</f>
        <v>0</v>
      </c>
      <c r="N9030" s="8"/>
      <c r="O9030" s="33" t="str">
        <f>IFERROR(VLOOKUP($M9030,'Informations sur les produits'!$A$3:$H$10000,8,FALSE),"0")</f>
        <v>0</v>
      </c>
      <c r="P9030" s="33">
        <f t="shared" si="564"/>
        <v>0</v>
      </c>
      <c r="Q9030" s="31" t="str">
        <f t="shared" si="565"/>
        <v/>
      </c>
      <c r="R9030" s="32" t="str">
        <f>IFERROR(VLOOKUP($D9030,'Informations sur les produits'!$A$3:$B$15000,2,FALSE),"")</f>
        <v/>
      </c>
      <c r="V9030">
        <f t="shared" si="566"/>
        <v>0</v>
      </c>
      <c r="W9030">
        <f t="shared" si="567"/>
        <v>0</v>
      </c>
    </row>
    <row r="9031" spans="5:23" x14ac:dyDescent="0.25">
      <c r="E9031" s="4"/>
      <c r="F9031" s="4"/>
      <c r="G9031" s="33" t="str">
        <f>IFERROR(VLOOKUP($D9031,'Informations sur les produits'!$A$3:$H$10000,8,FALSE),"0")</f>
        <v>0</v>
      </c>
      <c r="K9031" s="4"/>
      <c r="L9031" s="33" t="str">
        <f>IFERROR(VLOOKUP($J9031,'Informations sur les produits'!$A$3:$H$10000,8,FALSE),"0")</f>
        <v>0</v>
      </c>
      <c r="N9031" s="8"/>
      <c r="O9031" s="33" t="str">
        <f>IFERROR(VLOOKUP($M9031,'Informations sur les produits'!$A$3:$H$10000,8,FALSE),"0")</f>
        <v>0</v>
      </c>
      <c r="P9031" s="33">
        <f t="shared" si="564"/>
        <v>0</v>
      </c>
      <c r="Q9031" s="31" t="str">
        <f t="shared" si="565"/>
        <v/>
      </c>
      <c r="R9031" s="32" t="str">
        <f>IFERROR(VLOOKUP($D9031,'Informations sur les produits'!$A$3:$B$15000,2,FALSE),"")</f>
        <v/>
      </c>
      <c r="V9031">
        <f t="shared" si="566"/>
        <v>0</v>
      </c>
      <c r="W9031">
        <f t="shared" si="567"/>
        <v>0</v>
      </c>
    </row>
    <row r="9032" spans="5:23" x14ac:dyDescent="0.25">
      <c r="E9032" s="4"/>
      <c r="F9032" s="4"/>
      <c r="G9032" s="33" t="str">
        <f>IFERROR(VLOOKUP($D9032,'Informations sur les produits'!$A$3:$H$10000,8,FALSE),"0")</f>
        <v>0</v>
      </c>
      <c r="K9032" s="4"/>
      <c r="L9032" s="33" t="str">
        <f>IFERROR(VLOOKUP($J9032,'Informations sur les produits'!$A$3:$H$10000,8,FALSE),"0")</f>
        <v>0</v>
      </c>
      <c r="N9032" s="8"/>
      <c r="O9032" s="33" t="str">
        <f>IFERROR(VLOOKUP($M9032,'Informations sur les produits'!$A$3:$H$10000,8,FALSE),"0")</f>
        <v>0</v>
      </c>
      <c r="P9032" s="33">
        <f t="shared" si="564"/>
        <v>0</v>
      </c>
      <c r="Q9032" s="31" t="str">
        <f t="shared" si="565"/>
        <v/>
      </c>
      <c r="R9032" s="32" t="str">
        <f>IFERROR(VLOOKUP($D9032,'Informations sur les produits'!$A$3:$B$15000,2,FALSE),"")</f>
        <v/>
      </c>
      <c r="V9032">
        <f t="shared" si="566"/>
        <v>0</v>
      </c>
      <c r="W9032">
        <f t="shared" si="567"/>
        <v>0</v>
      </c>
    </row>
    <row r="9033" spans="5:23" x14ac:dyDescent="0.25">
      <c r="E9033" s="4"/>
      <c r="F9033" s="4"/>
      <c r="G9033" s="33" t="str">
        <f>IFERROR(VLOOKUP($D9033,'Informations sur les produits'!$A$3:$H$10000,8,FALSE),"0")</f>
        <v>0</v>
      </c>
      <c r="K9033" s="4"/>
      <c r="L9033" s="33" t="str">
        <f>IFERROR(VLOOKUP($J9033,'Informations sur les produits'!$A$3:$H$10000,8,FALSE),"0")</f>
        <v>0</v>
      </c>
      <c r="N9033" s="8"/>
      <c r="O9033" s="33" t="str">
        <f>IFERROR(VLOOKUP($M9033,'Informations sur les produits'!$A$3:$H$10000,8,FALSE),"0")</f>
        <v>0</v>
      </c>
      <c r="P9033" s="33">
        <f t="shared" si="564"/>
        <v>0</v>
      </c>
      <c r="Q9033" s="31" t="str">
        <f t="shared" si="565"/>
        <v/>
      </c>
      <c r="R9033" s="32" t="str">
        <f>IFERROR(VLOOKUP($D9033,'Informations sur les produits'!$A$3:$B$15000,2,FALSE),"")</f>
        <v/>
      </c>
      <c r="V9033">
        <f t="shared" si="566"/>
        <v>0</v>
      </c>
      <c r="W9033">
        <f t="shared" si="567"/>
        <v>0</v>
      </c>
    </row>
    <row r="9034" spans="5:23" x14ac:dyDescent="0.25">
      <c r="E9034" s="4"/>
      <c r="F9034" s="4"/>
      <c r="G9034" s="33" t="str">
        <f>IFERROR(VLOOKUP($D9034,'Informations sur les produits'!$A$3:$H$10000,8,FALSE),"0")</f>
        <v>0</v>
      </c>
      <c r="K9034" s="4"/>
      <c r="L9034" s="33" t="str">
        <f>IFERROR(VLOOKUP($J9034,'Informations sur les produits'!$A$3:$H$10000,8,FALSE),"0")</f>
        <v>0</v>
      </c>
      <c r="N9034" s="8"/>
      <c r="O9034" s="33" t="str">
        <f>IFERROR(VLOOKUP($M9034,'Informations sur les produits'!$A$3:$H$10000,8,FALSE),"0")</f>
        <v>0</v>
      </c>
      <c r="P9034" s="33">
        <f t="shared" si="564"/>
        <v>0</v>
      </c>
      <c r="Q9034" s="31" t="str">
        <f t="shared" si="565"/>
        <v/>
      </c>
      <c r="R9034" s="32" t="str">
        <f>IFERROR(VLOOKUP($D9034,'Informations sur les produits'!$A$3:$B$15000,2,FALSE),"")</f>
        <v/>
      </c>
      <c r="V9034">
        <f t="shared" si="566"/>
        <v>0</v>
      </c>
      <c r="W9034">
        <f t="shared" si="567"/>
        <v>0</v>
      </c>
    </row>
    <row r="9035" spans="5:23" x14ac:dyDescent="0.25">
      <c r="E9035" s="4"/>
      <c r="F9035" s="4"/>
      <c r="G9035" s="33" t="str">
        <f>IFERROR(VLOOKUP($D9035,'Informations sur les produits'!$A$3:$H$10000,8,FALSE),"0")</f>
        <v>0</v>
      </c>
      <c r="K9035" s="4"/>
      <c r="L9035" s="33" t="str">
        <f>IFERROR(VLOOKUP($J9035,'Informations sur les produits'!$A$3:$H$10000,8,FALSE),"0")</f>
        <v>0</v>
      </c>
      <c r="N9035" s="8"/>
      <c r="O9035" s="33" t="str">
        <f>IFERROR(VLOOKUP($M9035,'Informations sur les produits'!$A$3:$H$10000,8,FALSE),"0")</f>
        <v>0</v>
      </c>
      <c r="P9035" s="33">
        <f t="shared" si="564"/>
        <v>0</v>
      </c>
      <c r="Q9035" s="31" t="str">
        <f t="shared" si="565"/>
        <v/>
      </c>
      <c r="R9035" s="32" t="str">
        <f>IFERROR(VLOOKUP($D9035,'Informations sur les produits'!$A$3:$B$15000,2,FALSE),"")</f>
        <v/>
      </c>
      <c r="V9035">
        <f t="shared" si="566"/>
        <v>0</v>
      </c>
      <c r="W9035">
        <f t="shared" si="567"/>
        <v>0</v>
      </c>
    </row>
    <row r="9036" spans="5:23" x14ac:dyDescent="0.25">
      <c r="E9036" s="4"/>
      <c r="F9036" s="4"/>
      <c r="G9036" s="33" t="str">
        <f>IFERROR(VLOOKUP($D9036,'Informations sur les produits'!$A$3:$H$10000,8,FALSE),"0")</f>
        <v>0</v>
      </c>
      <c r="K9036" s="4"/>
      <c r="L9036" s="33" t="str">
        <f>IFERROR(VLOOKUP($J9036,'Informations sur les produits'!$A$3:$H$10000,8,FALSE),"0")</f>
        <v>0</v>
      </c>
      <c r="N9036" s="8"/>
      <c r="O9036" s="33" t="str">
        <f>IFERROR(VLOOKUP($M9036,'Informations sur les produits'!$A$3:$H$10000,8,FALSE),"0")</f>
        <v>0</v>
      </c>
      <c r="P9036" s="33">
        <f t="shared" si="564"/>
        <v>0</v>
      </c>
      <c r="Q9036" s="31" t="str">
        <f t="shared" si="565"/>
        <v/>
      </c>
      <c r="R9036" s="32" t="str">
        <f>IFERROR(VLOOKUP($D9036,'Informations sur les produits'!$A$3:$B$15000,2,FALSE),"")</f>
        <v/>
      </c>
      <c r="V9036">
        <f t="shared" si="566"/>
        <v>0</v>
      </c>
      <c r="W9036">
        <f t="shared" si="567"/>
        <v>0</v>
      </c>
    </row>
    <row r="9037" spans="5:23" x14ac:dyDescent="0.25">
      <c r="E9037" s="4"/>
      <c r="F9037" s="4"/>
      <c r="G9037" s="33" t="str">
        <f>IFERROR(VLOOKUP($D9037,'Informations sur les produits'!$A$3:$H$10000,8,FALSE),"0")</f>
        <v>0</v>
      </c>
      <c r="K9037" s="4"/>
      <c r="L9037" s="33" t="str">
        <f>IFERROR(VLOOKUP($J9037,'Informations sur les produits'!$A$3:$H$10000,8,FALSE),"0")</f>
        <v>0</v>
      </c>
      <c r="N9037" s="8"/>
      <c r="O9037" s="33" t="str">
        <f>IFERROR(VLOOKUP($M9037,'Informations sur les produits'!$A$3:$H$10000,8,FALSE),"0")</f>
        <v>0</v>
      </c>
      <c r="P9037" s="33">
        <f t="shared" si="564"/>
        <v>0</v>
      </c>
      <c r="Q9037" s="31" t="str">
        <f t="shared" si="565"/>
        <v/>
      </c>
      <c r="R9037" s="32" t="str">
        <f>IFERROR(VLOOKUP($D9037,'Informations sur les produits'!$A$3:$B$15000,2,FALSE),"")</f>
        <v/>
      </c>
      <c r="V9037">
        <f t="shared" si="566"/>
        <v>0</v>
      </c>
      <c r="W9037">
        <f t="shared" si="567"/>
        <v>0</v>
      </c>
    </row>
    <row r="9038" spans="5:23" x14ac:dyDescent="0.25">
      <c r="E9038" s="4"/>
      <c r="F9038" s="4"/>
      <c r="G9038" s="33" t="str">
        <f>IFERROR(VLOOKUP($D9038,'Informations sur les produits'!$A$3:$H$10000,8,FALSE),"0")</f>
        <v>0</v>
      </c>
      <c r="K9038" s="4"/>
      <c r="L9038" s="33" t="str">
        <f>IFERROR(VLOOKUP($J9038,'Informations sur les produits'!$A$3:$H$10000,8,FALSE),"0")</f>
        <v>0</v>
      </c>
      <c r="N9038" s="8"/>
      <c r="O9038" s="33" t="str">
        <f>IFERROR(VLOOKUP($M9038,'Informations sur les produits'!$A$3:$H$10000,8,FALSE),"0")</f>
        <v>0</v>
      </c>
      <c r="P9038" s="33">
        <f t="shared" si="564"/>
        <v>0</v>
      </c>
      <c r="Q9038" s="31" t="str">
        <f t="shared" si="565"/>
        <v/>
      </c>
      <c r="R9038" s="32" t="str">
        <f>IFERROR(VLOOKUP($D9038,'Informations sur les produits'!$A$3:$B$15000,2,FALSE),"")</f>
        <v/>
      </c>
      <c r="V9038">
        <f t="shared" si="566"/>
        <v>0</v>
      </c>
      <c r="W9038">
        <f t="shared" si="567"/>
        <v>0</v>
      </c>
    </row>
    <row r="9039" spans="5:23" x14ac:dyDescent="0.25">
      <c r="E9039" s="4"/>
      <c r="F9039" s="4"/>
      <c r="G9039" s="33" t="str">
        <f>IFERROR(VLOOKUP($D9039,'Informations sur les produits'!$A$3:$H$10000,8,FALSE),"0")</f>
        <v>0</v>
      </c>
      <c r="K9039" s="4"/>
      <c r="L9039" s="33" t="str">
        <f>IFERROR(VLOOKUP($J9039,'Informations sur les produits'!$A$3:$H$10000,8,FALSE),"0")</f>
        <v>0</v>
      </c>
      <c r="N9039" s="8"/>
      <c r="O9039" s="33" t="str">
        <f>IFERROR(VLOOKUP($M9039,'Informations sur les produits'!$A$3:$H$10000,8,FALSE),"0")</f>
        <v>0</v>
      </c>
      <c r="P9039" s="33">
        <f t="shared" si="564"/>
        <v>0</v>
      </c>
      <c r="Q9039" s="31" t="str">
        <f t="shared" si="565"/>
        <v/>
      </c>
      <c r="R9039" s="32" t="str">
        <f>IFERROR(VLOOKUP($D9039,'Informations sur les produits'!$A$3:$B$15000,2,FALSE),"")</f>
        <v/>
      </c>
      <c r="V9039">
        <f t="shared" si="566"/>
        <v>0</v>
      </c>
      <c r="W9039">
        <f t="shared" si="567"/>
        <v>0</v>
      </c>
    </row>
    <row r="9040" spans="5:23" x14ac:dyDescent="0.25">
      <c r="E9040" s="4"/>
      <c r="F9040" s="4"/>
      <c r="G9040" s="33" t="str">
        <f>IFERROR(VLOOKUP($D9040,'Informations sur les produits'!$A$3:$H$10000,8,FALSE),"0")</f>
        <v>0</v>
      </c>
      <c r="K9040" s="4"/>
      <c r="L9040" s="33" t="str">
        <f>IFERROR(VLOOKUP($J9040,'Informations sur les produits'!$A$3:$H$10000,8,FALSE),"0")</f>
        <v>0</v>
      </c>
      <c r="N9040" s="8"/>
      <c r="O9040" s="33" t="str">
        <f>IFERROR(VLOOKUP($M9040,'Informations sur les produits'!$A$3:$H$10000,8,FALSE),"0")</f>
        <v>0</v>
      </c>
      <c r="P9040" s="33">
        <f t="shared" si="564"/>
        <v>0</v>
      </c>
      <c r="Q9040" s="31" t="str">
        <f t="shared" si="565"/>
        <v/>
      </c>
      <c r="R9040" s="32" t="str">
        <f>IFERROR(VLOOKUP($D9040,'Informations sur les produits'!$A$3:$B$15000,2,FALSE),"")</f>
        <v/>
      </c>
      <c r="V9040">
        <f t="shared" si="566"/>
        <v>0</v>
      </c>
      <c r="W9040">
        <f t="shared" si="567"/>
        <v>0</v>
      </c>
    </row>
    <row r="9041" spans="5:23" x14ac:dyDescent="0.25">
      <c r="E9041" s="4"/>
      <c r="F9041" s="4"/>
      <c r="G9041" s="33" t="str">
        <f>IFERROR(VLOOKUP($D9041,'Informations sur les produits'!$A$3:$H$10000,8,FALSE),"0")</f>
        <v>0</v>
      </c>
      <c r="K9041" s="4"/>
      <c r="L9041" s="33" t="str">
        <f>IFERROR(VLOOKUP($J9041,'Informations sur les produits'!$A$3:$H$10000,8,FALSE),"0")</f>
        <v>0</v>
      </c>
      <c r="N9041" s="8"/>
      <c r="O9041" s="33" t="str">
        <f>IFERROR(VLOOKUP($M9041,'Informations sur les produits'!$A$3:$H$10000,8,FALSE),"0")</f>
        <v>0</v>
      </c>
      <c r="P9041" s="33">
        <f t="shared" si="564"/>
        <v>0</v>
      </c>
      <c r="Q9041" s="31" t="str">
        <f t="shared" si="565"/>
        <v/>
      </c>
      <c r="R9041" s="32" t="str">
        <f>IFERROR(VLOOKUP($D9041,'Informations sur les produits'!$A$3:$B$15000,2,FALSE),"")</f>
        <v/>
      </c>
      <c r="V9041">
        <f t="shared" si="566"/>
        <v>0</v>
      </c>
      <c r="W9041">
        <f t="shared" si="567"/>
        <v>0</v>
      </c>
    </row>
    <row r="9042" spans="5:23" x14ac:dyDescent="0.25">
      <c r="E9042" s="4"/>
      <c r="F9042" s="4"/>
      <c r="G9042" s="33" t="str">
        <f>IFERROR(VLOOKUP($D9042,'Informations sur les produits'!$A$3:$H$10000,8,FALSE),"0")</f>
        <v>0</v>
      </c>
      <c r="K9042" s="4"/>
      <c r="L9042" s="33" t="str">
        <f>IFERROR(VLOOKUP($J9042,'Informations sur les produits'!$A$3:$H$10000,8,FALSE),"0")</f>
        <v>0</v>
      </c>
      <c r="N9042" s="8"/>
      <c r="O9042" s="33" t="str">
        <f>IFERROR(VLOOKUP($M9042,'Informations sur les produits'!$A$3:$H$10000,8,FALSE),"0")</f>
        <v>0</v>
      </c>
      <c r="P9042" s="33">
        <f t="shared" si="564"/>
        <v>0</v>
      </c>
      <c r="Q9042" s="31" t="str">
        <f t="shared" si="565"/>
        <v/>
      </c>
      <c r="R9042" s="32" t="str">
        <f>IFERROR(VLOOKUP($D9042,'Informations sur les produits'!$A$3:$B$15000,2,FALSE),"")</f>
        <v/>
      </c>
      <c r="V9042">
        <f t="shared" si="566"/>
        <v>0</v>
      </c>
      <c r="W9042">
        <f t="shared" si="567"/>
        <v>0</v>
      </c>
    </row>
    <row r="9043" spans="5:23" x14ac:dyDescent="0.25">
      <c r="E9043" s="4"/>
      <c r="F9043" s="4"/>
      <c r="G9043" s="33" t="str">
        <f>IFERROR(VLOOKUP($D9043,'Informations sur les produits'!$A$3:$H$10000,8,FALSE),"0")</f>
        <v>0</v>
      </c>
      <c r="K9043" s="4"/>
      <c r="L9043" s="33" t="str">
        <f>IFERROR(VLOOKUP($J9043,'Informations sur les produits'!$A$3:$H$10000,8,FALSE),"0")</f>
        <v>0</v>
      </c>
      <c r="N9043" s="8"/>
      <c r="O9043" s="33" t="str">
        <f>IFERROR(VLOOKUP($M9043,'Informations sur les produits'!$A$3:$H$10000,8,FALSE),"0")</f>
        <v>0</v>
      </c>
      <c r="P9043" s="33">
        <f t="shared" si="564"/>
        <v>0</v>
      </c>
      <c r="Q9043" s="31" t="str">
        <f t="shared" si="565"/>
        <v/>
      </c>
      <c r="R9043" s="32" t="str">
        <f>IFERROR(VLOOKUP($D9043,'Informations sur les produits'!$A$3:$B$15000,2,FALSE),"")</f>
        <v/>
      </c>
      <c r="V9043">
        <f t="shared" si="566"/>
        <v>0</v>
      </c>
      <c r="W9043">
        <f t="shared" si="567"/>
        <v>0</v>
      </c>
    </row>
    <row r="9044" spans="5:23" x14ac:dyDescent="0.25">
      <c r="E9044" s="4"/>
      <c r="F9044" s="4"/>
      <c r="G9044" s="33" t="str">
        <f>IFERROR(VLOOKUP($D9044,'Informations sur les produits'!$A$3:$H$10000,8,FALSE),"0")</f>
        <v>0</v>
      </c>
      <c r="K9044" s="4"/>
      <c r="L9044" s="33" t="str">
        <f>IFERROR(VLOOKUP($J9044,'Informations sur les produits'!$A$3:$H$10000,8,FALSE),"0")</f>
        <v>0</v>
      </c>
      <c r="N9044" s="8"/>
      <c r="O9044" s="33" t="str">
        <f>IFERROR(VLOOKUP($M9044,'Informations sur les produits'!$A$3:$H$10000,8,FALSE),"0")</f>
        <v>0</v>
      </c>
      <c r="P9044" s="33">
        <f t="shared" si="564"/>
        <v>0</v>
      </c>
      <c r="Q9044" s="31" t="str">
        <f t="shared" si="565"/>
        <v/>
      </c>
      <c r="R9044" s="32" t="str">
        <f>IFERROR(VLOOKUP($D9044,'Informations sur les produits'!$A$3:$B$15000,2,FALSE),"")</f>
        <v/>
      </c>
      <c r="V9044">
        <f t="shared" si="566"/>
        <v>0</v>
      </c>
      <c r="W9044">
        <f t="shared" si="567"/>
        <v>0</v>
      </c>
    </row>
    <row r="9045" spans="5:23" x14ac:dyDescent="0.25">
      <c r="E9045" s="4"/>
      <c r="F9045" s="4"/>
      <c r="G9045" s="33" t="str">
        <f>IFERROR(VLOOKUP($D9045,'Informations sur les produits'!$A$3:$H$10000,8,FALSE),"0")</f>
        <v>0</v>
      </c>
      <c r="K9045" s="4"/>
      <c r="L9045" s="33" t="str">
        <f>IFERROR(VLOOKUP($J9045,'Informations sur les produits'!$A$3:$H$10000,8,FALSE),"0")</f>
        <v>0</v>
      </c>
      <c r="N9045" s="8"/>
      <c r="O9045" s="33" t="str">
        <f>IFERROR(VLOOKUP($M9045,'Informations sur les produits'!$A$3:$H$10000,8,FALSE),"0")</f>
        <v>0</v>
      </c>
      <c r="P9045" s="33">
        <f t="shared" si="564"/>
        <v>0</v>
      </c>
      <c r="Q9045" s="31" t="str">
        <f t="shared" si="565"/>
        <v/>
      </c>
      <c r="R9045" s="32" t="str">
        <f>IFERROR(VLOOKUP($D9045,'Informations sur les produits'!$A$3:$B$15000,2,FALSE),"")</f>
        <v/>
      </c>
      <c r="V9045">
        <f t="shared" si="566"/>
        <v>0</v>
      </c>
      <c r="W9045">
        <f t="shared" si="567"/>
        <v>0</v>
      </c>
    </row>
    <row r="9046" spans="5:23" x14ac:dyDescent="0.25">
      <c r="E9046" s="4"/>
      <c r="F9046" s="4"/>
      <c r="G9046" s="33" t="str">
        <f>IFERROR(VLOOKUP($D9046,'Informations sur les produits'!$A$3:$H$10000,8,FALSE),"0")</f>
        <v>0</v>
      </c>
      <c r="K9046" s="4"/>
      <c r="L9046" s="33" t="str">
        <f>IFERROR(VLOOKUP($J9046,'Informations sur les produits'!$A$3:$H$10000,8,FALSE),"0")</f>
        <v>0</v>
      </c>
      <c r="N9046" s="8"/>
      <c r="O9046" s="33" t="str">
        <f>IFERROR(VLOOKUP($M9046,'Informations sur les produits'!$A$3:$H$10000,8,FALSE),"0")</f>
        <v>0</v>
      </c>
      <c r="P9046" s="33">
        <f t="shared" si="564"/>
        <v>0</v>
      </c>
      <c r="Q9046" s="31" t="str">
        <f t="shared" si="565"/>
        <v/>
      </c>
      <c r="R9046" s="32" t="str">
        <f>IFERROR(VLOOKUP($D9046,'Informations sur les produits'!$A$3:$B$15000,2,FALSE),"")</f>
        <v/>
      </c>
      <c r="V9046">
        <f t="shared" si="566"/>
        <v>0</v>
      </c>
      <c r="W9046">
        <f t="shared" si="567"/>
        <v>0</v>
      </c>
    </row>
    <row r="9047" spans="5:23" x14ac:dyDescent="0.25">
      <c r="E9047" s="4"/>
      <c r="F9047" s="4"/>
      <c r="G9047" s="33" t="str">
        <f>IFERROR(VLOOKUP($D9047,'Informations sur les produits'!$A$3:$H$10000,8,FALSE),"0")</f>
        <v>0</v>
      </c>
      <c r="K9047" s="4"/>
      <c r="L9047" s="33" t="str">
        <f>IFERROR(VLOOKUP($J9047,'Informations sur les produits'!$A$3:$H$10000,8,FALSE),"0")</f>
        <v>0</v>
      </c>
      <c r="N9047" s="8"/>
      <c r="O9047" s="33" t="str">
        <f>IFERROR(VLOOKUP($M9047,'Informations sur les produits'!$A$3:$H$10000,8,FALSE),"0")</f>
        <v>0</v>
      </c>
      <c r="P9047" s="33">
        <f t="shared" si="564"/>
        <v>0</v>
      </c>
      <c r="Q9047" s="31" t="str">
        <f t="shared" si="565"/>
        <v/>
      </c>
      <c r="R9047" s="32" t="str">
        <f>IFERROR(VLOOKUP($D9047,'Informations sur les produits'!$A$3:$B$15000,2,FALSE),"")</f>
        <v/>
      </c>
      <c r="V9047">
        <f t="shared" si="566"/>
        <v>0</v>
      </c>
      <c r="W9047">
        <f t="shared" si="567"/>
        <v>0</v>
      </c>
    </row>
    <row r="9048" spans="5:23" x14ac:dyDescent="0.25">
      <c r="E9048" s="4"/>
      <c r="F9048" s="4"/>
      <c r="G9048" s="33" t="str">
        <f>IFERROR(VLOOKUP($D9048,'Informations sur les produits'!$A$3:$H$10000,8,FALSE),"0")</f>
        <v>0</v>
      </c>
      <c r="K9048" s="4"/>
      <c r="L9048" s="33" t="str">
        <f>IFERROR(VLOOKUP($J9048,'Informations sur les produits'!$A$3:$H$10000,8,FALSE),"0")</f>
        <v>0</v>
      </c>
      <c r="N9048" s="8"/>
      <c r="O9048" s="33" t="str">
        <f>IFERROR(VLOOKUP($M9048,'Informations sur les produits'!$A$3:$H$10000,8,FALSE),"0")</f>
        <v>0</v>
      </c>
      <c r="P9048" s="33">
        <f t="shared" si="564"/>
        <v>0</v>
      </c>
      <c r="Q9048" s="31" t="str">
        <f t="shared" si="565"/>
        <v/>
      </c>
      <c r="R9048" s="32" t="str">
        <f>IFERROR(VLOOKUP($D9048,'Informations sur les produits'!$A$3:$B$15000,2,FALSE),"")</f>
        <v/>
      </c>
      <c r="V9048">
        <f t="shared" si="566"/>
        <v>0</v>
      </c>
      <c r="W9048">
        <f t="shared" si="567"/>
        <v>0</v>
      </c>
    </row>
    <row r="9049" spans="5:23" x14ac:dyDescent="0.25">
      <c r="E9049" s="4"/>
      <c r="F9049" s="4"/>
      <c r="G9049" s="33" t="str">
        <f>IFERROR(VLOOKUP($D9049,'Informations sur les produits'!$A$3:$H$10000,8,FALSE),"0")</f>
        <v>0</v>
      </c>
      <c r="K9049" s="4"/>
      <c r="L9049" s="33" t="str">
        <f>IFERROR(VLOOKUP($J9049,'Informations sur les produits'!$A$3:$H$10000,8,FALSE),"0")</f>
        <v>0</v>
      </c>
      <c r="N9049" s="8"/>
      <c r="O9049" s="33" t="str">
        <f>IFERROR(VLOOKUP($M9049,'Informations sur les produits'!$A$3:$H$10000,8,FALSE),"0")</f>
        <v>0</v>
      </c>
      <c r="P9049" s="33">
        <f t="shared" si="564"/>
        <v>0</v>
      </c>
      <c r="Q9049" s="31" t="str">
        <f t="shared" si="565"/>
        <v/>
      </c>
      <c r="R9049" s="32" t="str">
        <f>IFERROR(VLOOKUP($D9049,'Informations sur les produits'!$A$3:$B$15000,2,FALSE),"")</f>
        <v/>
      </c>
      <c r="V9049">
        <f t="shared" si="566"/>
        <v>0</v>
      </c>
      <c r="W9049">
        <f t="shared" si="567"/>
        <v>0</v>
      </c>
    </row>
    <row r="9050" spans="5:23" x14ac:dyDescent="0.25">
      <c r="E9050" s="4"/>
      <c r="F9050" s="4"/>
      <c r="G9050" s="33" t="str">
        <f>IFERROR(VLOOKUP($D9050,'Informations sur les produits'!$A$3:$H$10000,8,FALSE),"0")</f>
        <v>0</v>
      </c>
      <c r="K9050" s="4"/>
      <c r="L9050" s="33" t="str">
        <f>IFERROR(VLOOKUP($J9050,'Informations sur les produits'!$A$3:$H$10000,8,FALSE),"0")</f>
        <v>0</v>
      </c>
      <c r="N9050" s="8"/>
      <c r="O9050" s="33" t="str">
        <f>IFERROR(VLOOKUP($M9050,'Informations sur les produits'!$A$3:$H$10000,8,FALSE),"0")</f>
        <v>0</v>
      </c>
      <c r="P9050" s="33">
        <f t="shared" si="564"/>
        <v>0</v>
      </c>
      <c r="Q9050" s="31" t="str">
        <f t="shared" si="565"/>
        <v/>
      </c>
      <c r="R9050" s="32" t="str">
        <f>IFERROR(VLOOKUP($D9050,'Informations sur les produits'!$A$3:$B$15000,2,FALSE),"")</f>
        <v/>
      </c>
      <c r="V9050">
        <f t="shared" si="566"/>
        <v>0</v>
      </c>
      <c r="W9050">
        <f t="shared" si="567"/>
        <v>0</v>
      </c>
    </row>
    <row r="9051" spans="5:23" x14ac:dyDescent="0.25">
      <c r="E9051" s="4"/>
      <c r="F9051" s="4"/>
      <c r="G9051" s="33" t="str">
        <f>IFERROR(VLOOKUP($D9051,'Informations sur les produits'!$A$3:$H$10000,8,FALSE),"0")</f>
        <v>0</v>
      </c>
      <c r="K9051" s="4"/>
      <c r="L9051" s="33" t="str">
        <f>IFERROR(VLOOKUP($J9051,'Informations sur les produits'!$A$3:$H$10000,8,FALSE),"0")</f>
        <v>0</v>
      </c>
      <c r="N9051" s="8"/>
      <c r="O9051" s="33" t="str">
        <f>IFERROR(VLOOKUP($M9051,'Informations sur les produits'!$A$3:$H$10000,8,FALSE),"0")</f>
        <v>0</v>
      </c>
      <c r="P9051" s="33">
        <f t="shared" si="564"/>
        <v>0</v>
      </c>
      <c r="Q9051" s="31" t="str">
        <f t="shared" si="565"/>
        <v/>
      </c>
      <c r="R9051" s="32" t="str">
        <f>IFERROR(VLOOKUP($D9051,'Informations sur les produits'!$A$3:$B$15000,2,FALSE),"")</f>
        <v/>
      </c>
      <c r="V9051">
        <f t="shared" si="566"/>
        <v>0</v>
      </c>
      <c r="W9051">
        <f t="shared" si="567"/>
        <v>0</v>
      </c>
    </row>
    <row r="9052" spans="5:23" x14ac:dyDescent="0.25">
      <c r="E9052" s="4"/>
      <c r="F9052" s="4"/>
      <c r="G9052" s="33" t="str">
        <f>IFERROR(VLOOKUP($D9052,'Informations sur les produits'!$A$3:$H$10000,8,FALSE),"0")</f>
        <v>0</v>
      </c>
      <c r="K9052" s="4"/>
      <c r="L9052" s="33" t="str">
        <f>IFERROR(VLOOKUP($J9052,'Informations sur les produits'!$A$3:$H$10000,8,FALSE),"0")</f>
        <v>0</v>
      </c>
      <c r="N9052" s="8"/>
      <c r="O9052" s="33" t="str">
        <f>IFERROR(VLOOKUP($M9052,'Informations sur les produits'!$A$3:$H$10000,8,FALSE),"0")</f>
        <v>0</v>
      </c>
      <c r="P9052" s="33">
        <f t="shared" si="564"/>
        <v>0</v>
      </c>
      <c r="Q9052" s="31" t="str">
        <f t="shared" si="565"/>
        <v/>
      </c>
      <c r="R9052" s="32" t="str">
        <f>IFERROR(VLOOKUP($D9052,'Informations sur les produits'!$A$3:$B$15000,2,FALSE),"")</f>
        <v/>
      </c>
      <c r="V9052">
        <f t="shared" si="566"/>
        <v>0</v>
      </c>
      <c r="W9052">
        <f t="shared" si="567"/>
        <v>0</v>
      </c>
    </row>
    <row r="9053" spans="5:23" x14ac:dyDescent="0.25">
      <c r="E9053" s="4"/>
      <c r="F9053" s="4"/>
      <c r="G9053" s="33" t="str">
        <f>IFERROR(VLOOKUP($D9053,'Informations sur les produits'!$A$3:$H$10000,8,FALSE),"0")</f>
        <v>0</v>
      </c>
      <c r="K9053" s="4"/>
      <c r="L9053" s="33" t="str">
        <f>IFERROR(VLOOKUP($J9053,'Informations sur les produits'!$A$3:$H$10000,8,FALSE),"0")</f>
        <v>0</v>
      </c>
      <c r="N9053" s="8"/>
      <c r="O9053" s="33" t="str">
        <f>IFERROR(VLOOKUP($M9053,'Informations sur les produits'!$A$3:$H$10000,8,FALSE),"0")</f>
        <v>0</v>
      </c>
      <c r="P9053" s="33">
        <f t="shared" si="564"/>
        <v>0</v>
      </c>
      <c r="Q9053" s="31" t="str">
        <f t="shared" si="565"/>
        <v/>
      </c>
      <c r="R9053" s="32" t="str">
        <f>IFERROR(VLOOKUP($D9053,'Informations sur les produits'!$A$3:$B$15000,2,FALSE),"")</f>
        <v/>
      </c>
      <c r="V9053">
        <f t="shared" si="566"/>
        <v>0</v>
      </c>
      <c r="W9053">
        <f t="shared" si="567"/>
        <v>0</v>
      </c>
    </row>
    <row r="9054" spans="5:23" x14ac:dyDescent="0.25">
      <c r="E9054" s="4"/>
      <c r="F9054" s="4"/>
      <c r="G9054" s="33" t="str">
        <f>IFERROR(VLOOKUP($D9054,'Informations sur les produits'!$A$3:$H$10000,8,FALSE),"0")</f>
        <v>0</v>
      </c>
      <c r="K9054" s="4"/>
      <c r="L9054" s="33" t="str">
        <f>IFERROR(VLOOKUP($J9054,'Informations sur les produits'!$A$3:$H$10000,8,FALSE),"0")</f>
        <v>0</v>
      </c>
      <c r="N9054" s="8"/>
      <c r="O9054" s="33" t="str">
        <f>IFERROR(VLOOKUP($M9054,'Informations sur les produits'!$A$3:$H$10000,8,FALSE),"0")</f>
        <v>0</v>
      </c>
      <c r="P9054" s="33">
        <f t="shared" si="564"/>
        <v>0</v>
      </c>
      <c r="Q9054" s="31" t="str">
        <f t="shared" si="565"/>
        <v/>
      </c>
      <c r="R9054" s="32" t="str">
        <f>IFERROR(VLOOKUP($D9054,'Informations sur les produits'!$A$3:$B$15000,2,FALSE),"")</f>
        <v/>
      </c>
      <c r="V9054">
        <f t="shared" si="566"/>
        <v>0</v>
      </c>
      <c r="W9054">
        <f t="shared" si="567"/>
        <v>0</v>
      </c>
    </row>
    <row r="9055" spans="5:23" x14ac:dyDescent="0.25">
      <c r="E9055" s="4"/>
      <c r="F9055" s="4"/>
      <c r="G9055" s="33" t="str">
        <f>IFERROR(VLOOKUP($D9055,'Informations sur les produits'!$A$3:$H$10000,8,FALSE),"0")</f>
        <v>0</v>
      </c>
      <c r="K9055" s="4"/>
      <c r="L9055" s="33" t="str">
        <f>IFERROR(VLOOKUP($J9055,'Informations sur les produits'!$A$3:$H$10000,8,FALSE),"0")</f>
        <v>0</v>
      </c>
      <c r="N9055" s="8"/>
      <c r="O9055" s="33" t="str">
        <f>IFERROR(VLOOKUP($M9055,'Informations sur les produits'!$A$3:$H$10000,8,FALSE),"0")</f>
        <v>0</v>
      </c>
      <c r="P9055" s="33">
        <f t="shared" si="564"/>
        <v>0</v>
      </c>
      <c r="Q9055" s="31" t="str">
        <f t="shared" si="565"/>
        <v/>
      </c>
      <c r="R9055" s="32" t="str">
        <f>IFERROR(VLOOKUP($D9055,'Informations sur les produits'!$A$3:$B$15000,2,FALSE),"")</f>
        <v/>
      </c>
      <c r="V9055">
        <f t="shared" si="566"/>
        <v>0</v>
      </c>
      <c r="W9055">
        <f t="shared" si="567"/>
        <v>0</v>
      </c>
    </row>
    <row r="9056" spans="5:23" x14ac:dyDescent="0.25">
      <c r="E9056" s="4"/>
      <c r="F9056" s="4"/>
      <c r="G9056" s="33" t="str">
        <f>IFERROR(VLOOKUP($D9056,'Informations sur les produits'!$A$3:$H$10000,8,FALSE),"0")</f>
        <v>0</v>
      </c>
      <c r="K9056" s="4"/>
      <c r="L9056" s="33" t="str">
        <f>IFERROR(VLOOKUP($J9056,'Informations sur les produits'!$A$3:$H$10000,8,FALSE),"0")</f>
        <v>0</v>
      </c>
      <c r="N9056" s="8"/>
      <c r="O9056" s="33" t="str">
        <f>IFERROR(VLOOKUP($M9056,'Informations sur les produits'!$A$3:$H$10000,8,FALSE),"0")</f>
        <v>0</v>
      </c>
      <c r="P9056" s="33">
        <f t="shared" si="564"/>
        <v>0</v>
      </c>
      <c r="Q9056" s="31" t="str">
        <f t="shared" si="565"/>
        <v/>
      </c>
      <c r="R9056" s="32" t="str">
        <f>IFERROR(VLOOKUP($D9056,'Informations sur les produits'!$A$3:$B$15000,2,FALSE),"")</f>
        <v/>
      </c>
      <c r="V9056">
        <f t="shared" si="566"/>
        <v>0</v>
      </c>
      <c r="W9056">
        <f t="shared" si="567"/>
        <v>0</v>
      </c>
    </row>
    <row r="9057" spans="5:23" x14ac:dyDescent="0.25">
      <c r="E9057" s="4"/>
      <c r="F9057" s="4"/>
      <c r="G9057" s="33" t="str">
        <f>IFERROR(VLOOKUP($D9057,'Informations sur les produits'!$A$3:$H$10000,8,FALSE),"0")</f>
        <v>0</v>
      </c>
      <c r="K9057" s="4"/>
      <c r="L9057" s="33" t="str">
        <f>IFERROR(VLOOKUP($J9057,'Informations sur les produits'!$A$3:$H$10000,8,FALSE),"0")</f>
        <v>0</v>
      </c>
      <c r="N9057" s="8"/>
      <c r="O9057" s="33" t="str">
        <f>IFERROR(VLOOKUP($M9057,'Informations sur les produits'!$A$3:$H$10000,8,FALSE),"0")</f>
        <v>0</v>
      </c>
      <c r="P9057" s="33">
        <f t="shared" si="564"/>
        <v>0</v>
      </c>
      <c r="Q9057" s="31" t="str">
        <f t="shared" si="565"/>
        <v/>
      </c>
      <c r="R9057" s="32" t="str">
        <f>IFERROR(VLOOKUP($D9057,'Informations sur les produits'!$A$3:$B$15000,2,FALSE),"")</f>
        <v/>
      </c>
      <c r="V9057">
        <f t="shared" si="566"/>
        <v>0</v>
      </c>
      <c r="W9057">
        <f t="shared" si="567"/>
        <v>0</v>
      </c>
    </row>
    <row r="9058" spans="5:23" x14ac:dyDescent="0.25">
      <c r="E9058" s="4"/>
      <c r="F9058" s="4"/>
      <c r="G9058" s="33" t="str">
        <f>IFERROR(VLOOKUP($D9058,'Informations sur les produits'!$A$3:$H$10000,8,FALSE),"0")</f>
        <v>0</v>
      </c>
      <c r="K9058" s="4"/>
      <c r="L9058" s="33" t="str">
        <f>IFERROR(VLOOKUP($J9058,'Informations sur les produits'!$A$3:$H$10000,8,FALSE),"0")</f>
        <v>0</v>
      </c>
      <c r="N9058" s="8"/>
      <c r="O9058" s="33" t="str">
        <f>IFERROR(VLOOKUP($M9058,'Informations sur les produits'!$A$3:$H$10000,8,FALSE),"0")</f>
        <v>0</v>
      </c>
      <c r="P9058" s="33">
        <f t="shared" si="564"/>
        <v>0</v>
      </c>
      <c r="Q9058" s="31" t="str">
        <f t="shared" si="565"/>
        <v/>
      </c>
      <c r="R9058" s="32" t="str">
        <f>IFERROR(VLOOKUP($D9058,'Informations sur les produits'!$A$3:$B$15000,2,FALSE),"")</f>
        <v/>
      </c>
      <c r="V9058">
        <f t="shared" si="566"/>
        <v>0</v>
      </c>
      <c r="W9058">
        <f t="shared" si="567"/>
        <v>0</v>
      </c>
    </row>
    <row r="9059" spans="5:23" x14ac:dyDescent="0.25">
      <c r="E9059" s="4"/>
      <c r="F9059" s="4"/>
      <c r="G9059" s="33" t="str">
        <f>IFERROR(VLOOKUP($D9059,'Informations sur les produits'!$A$3:$H$10000,8,FALSE),"0")</f>
        <v>0</v>
      </c>
      <c r="K9059" s="4"/>
      <c r="L9059" s="33" t="str">
        <f>IFERROR(VLOOKUP($J9059,'Informations sur les produits'!$A$3:$H$10000,8,FALSE),"0")</f>
        <v>0</v>
      </c>
      <c r="N9059" s="8"/>
      <c r="O9059" s="33" t="str">
        <f>IFERROR(VLOOKUP($M9059,'Informations sur les produits'!$A$3:$H$10000,8,FALSE),"0")</f>
        <v>0</v>
      </c>
      <c r="P9059" s="33">
        <f t="shared" si="564"/>
        <v>0</v>
      </c>
      <c r="Q9059" s="31" t="str">
        <f t="shared" si="565"/>
        <v/>
      </c>
      <c r="R9059" s="32" t="str">
        <f>IFERROR(VLOOKUP($D9059,'Informations sur les produits'!$A$3:$B$15000,2,FALSE),"")</f>
        <v/>
      </c>
      <c r="V9059">
        <f t="shared" si="566"/>
        <v>0</v>
      </c>
      <c r="W9059">
        <f t="shared" si="567"/>
        <v>0</v>
      </c>
    </row>
    <row r="9060" spans="5:23" x14ac:dyDescent="0.25">
      <c r="E9060" s="4"/>
      <c r="F9060" s="4"/>
      <c r="G9060" s="33" t="str">
        <f>IFERROR(VLOOKUP($D9060,'Informations sur les produits'!$A$3:$H$10000,8,FALSE),"0")</f>
        <v>0</v>
      </c>
      <c r="K9060" s="4"/>
      <c r="L9060" s="33" t="str">
        <f>IFERROR(VLOOKUP($J9060,'Informations sur les produits'!$A$3:$H$10000,8,FALSE),"0")</f>
        <v>0</v>
      </c>
      <c r="N9060" s="8"/>
      <c r="O9060" s="33" t="str">
        <f>IFERROR(VLOOKUP($M9060,'Informations sur les produits'!$A$3:$H$10000,8,FALSE),"0")</f>
        <v>0</v>
      </c>
      <c r="P9060" s="33">
        <f t="shared" si="564"/>
        <v>0</v>
      </c>
      <c r="Q9060" s="31" t="str">
        <f t="shared" si="565"/>
        <v/>
      </c>
      <c r="R9060" s="32" t="str">
        <f>IFERROR(VLOOKUP($D9060,'Informations sur les produits'!$A$3:$B$15000,2,FALSE),"")</f>
        <v/>
      </c>
      <c r="V9060">
        <f t="shared" si="566"/>
        <v>0</v>
      </c>
      <c r="W9060">
        <f t="shared" si="567"/>
        <v>0</v>
      </c>
    </row>
    <row r="9061" spans="5:23" x14ac:dyDescent="0.25">
      <c r="E9061" s="4"/>
      <c r="F9061" s="4"/>
      <c r="G9061" s="33" t="str">
        <f>IFERROR(VLOOKUP($D9061,'Informations sur les produits'!$A$3:$H$10000,8,FALSE),"0")</f>
        <v>0</v>
      </c>
      <c r="K9061" s="4"/>
      <c r="L9061" s="33" t="str">
        <f>IFERROR(VLOOKUP($J9061,'Informations sur les produits'!$A$3:$H$10000,8,FALSE),"0")</f>
        <v>0</v>
      </c>
      <c r="N9061" s="8"/>
      <c r="O9061" s="33" t="str">
        <f>IFERROR(VLOOKUP($M9061,'Informations sur les produits'!$A$3:$H$10000,8,FALSE),"0")</f>
        <v>0</v>
      </c>
      <c r="P9061" s="33">
        <f t="shared" si="564"/>
        <v>0</v>
      </c>
      <c r="Q9061" s="31" t="str">
        <f t="shared" si="565"/>
        <v/>
      </c>
      <c r="R9061" s="32" t="str">
        <f>IFERROR(VLOOKUP($D9061,'Informations sur les produits'!$A$3:$B$15000,2,FALSE),"")</f>
        <v/>
      </c>
      <c r="V9061">
        <f t="shared" si="566"/>
        <v>0</v>
      </c>
      <c r="W9061">
        <f t="shared" si="567"/>
        <v>0</v>
      </c>
    </row>
    <row r="9062" spans="5:23" x14ac:dyDescent="0.25">
      <c r="E9062" s="4"/>
      <c r="F9062" s="4"/>
      <c r="G9062" s="33" t="str">
        <f>IFERROR(VLOOKUP($D9062,'Informations sur les produits'!$A$3:$H$10000,8,FALSE),"0")</f>
        <v>0</v>
      </c>
      <c r="K9062" s="4"/>
      <c r="L9062" s="33" t="str">
        <f>IFERROR(VLOOKUP($J9062,'Informations sur les produits'!$A$3:$H$10000,8,FALSE),"0")</f>
        <v>0</v>
      </c>
      <c r="N9062" s="8"/>
      <c r="O9062" s="33" t="str">
        <f>IFERROR(VLOOKUP($M9062,'Informations sur les produits'!$A$3:$H$10000,8,FALSE),"0")</f>
        <v>0</v>
      </c>
      <c r="P9062" s="33">
        <f t="shared" si="564"/>
        <v>0</v>
      </c>
      <c r="Q9062" s="31" t="str">
        <f t="shared" si="565"/>
        <v/>
      </c>
      <c r="R9062" s="32" t="str">
        <f>IFERROR(VLOOKUP($D9062,'Informations sur les produits'!$A$3:$B$15000,2,FALSE),"")</f>
        <v/>
      </c>
      <c r="V9062">
        <f t="shared" si="566"/>
        <v>0</v>
      </c>
      <c r="W9062">
        <f t="shared" si="567"/>
        <v>0</v>
      </c>
    </row>
    <row r="9063" spans="5:23" x14ac:dyDescent="0.25">
      <c r="E9063" s="4"/>
      <c r="F9063" s="4"/>
      <c r="G9063" s="33" t="str">
        <f>IFERROR(VLOOKUP($D9063,'Informations sur les produits'!$A$3:$H$10000,8,FALSE),"0")</f>
        <v>0</v>
      </c>
      <c r="K9063" s="4"/>
      <c r="L9063" s="33" t="str">
        <f>IFERROR(VLOOKUP($J9063,'Informations sur les produits'!$A$3:$H$10000,8,FALSE),"0")</f>
        <v>0</v>
      </c>
      <c r="N9063" s="8"/>
      <c r="O9063" s="33" t="str">
        <f>IFERROR(VLOOKUP($M9063,'Informations sur les produits'!$A$3:$H$10000,8,FALSE),"0")</f>
        <v>0</v>
      </c>
      <c r="P9063" s="33">
        <f t="shared" si="564"/>
        <v>0</v>
      </c>
      <c r="Q9063" s="31" t="str">
        <f t="shared" si="565"/>
        <v/>
      </c>
      <c r="R9063" s="32" t="str">
        <f>IFERROR(VLOOKUP($D9063,'Informations sur les produits'!$A$3:$B$15000,2,FALSE),"")</f>
        <v/>
      </c>
      <c r="V9063">
        <f t="shared" si="566"/>
        <v>0</v>
      </c>
      <c r="W9063">
        <f t="shared" si="567"/>
        <v>0</v>
      </c>
    </row>
    <row r="9064" spans="5:23" x14ac:dyDescent="0.25">
      <c r="E9064" s="4"/>
      <c r="F9064" s="4"/>
      <c r="G9064" s="33" t="str">
        <f>IFERROR(VLOOKUP($D9064,'Informations sur les produits'!$A$3:$H$10000,8,FALSE),"0")</f>
        <v>0</v>
      </c>
      <c r="K9064" s="4"/>
      <c r="L9064" s="33" t="str">
        <f>IFERROR(VLOOKUP($J9064,'Informations sur les produits'!$A$3:$H$10000,8,FALSE),"0")</f>
        <v>0</v>
      </c>
      <c r="N9064" s="8"/>
      <c r="O9064" s="33" t="str">
        <f>IFERROR(VLOOKUP($M9064,'Informations sur les produits'!$A$3:$H$10000,8,FALSE),"0")</f>
        <v>0</v>
      </c>
      <c r="P9064" s="33">
        <f t="shared" si="564"/>
        <v>0</v>
      </c>
      <c r="Q9064" s="31" t="str">
        <f t="shared" si="565"/>
        <v/>
      </c>
      <c r="R9064" s="32" t="str">
        <f>IFERROR(VLOOKUP($D9064,'Informations sur les produits'!$A$3:$B$15000,2,FALSE),"")</f>
        <v/>
      </c>
      <c r="V9064">
        <f t="shared" si="566"/>
        <v>0</v>
      </c>
      <c r="W9064">
        <f t="shared" si="567"/>
        <v>0</v>
      </c>
    </row>
    <row r="9065" spans="5:23" x14ac:dyDescent="0.25">
      <c r="E9065" s="4"/>
      <c r="F9065" s="4"/>
      <c r="G9065" s="33" t="str">
        <f>IFERROR(VLOOKUP($D9065,'Informations sur les produits'!$A$3:$H$10000,8,FALSE),"0")</f>
        <v>0</v>
      </c>
      <c r="K9065" s="4"/>
      <c r="L9065" s="33" t="str">
        <f>IFERROR(VLOOKUP($J9065,'Informations sur les produits'!$A$3:$H$10000,8,FALSE),"0")</f>
        <v>0</v>
      </c>
      <c r="N9065" s="8"/>
      <c r="O9065" s="33" t="str">
        <f>IFERROR(VLOOKUP($M9065,'Informations sur les produits'!$A$3:$H$10000,8,FALSE),"0")</f>
        <v>0</v>
      </c>
      <c r="P9065" s="33">
        <f t="shared" si="564"/>
        <v>0</v>
      </c>
      <c r="Q9065" s="31" t="str">
        <f t="shared" si="565"/>
        <v/>
      </c>
      <c r="R9065" s="32" t="str">
        <f>IFERROR(VLOOKUP($D9065,'Informations sur les produits'!$A$3:$B$15000,2,FALSE),"")</f>
        <v/>
      </c>
      <c r="V9065">
        <f t="shared" si="566"/>
        <v>0</v>
      </c>
      <c r="W9065">
        <f t="shared" si="567"/>
        <v>0</v>
      </c>
    </row>
    <row r="9066" spans="5:23" x14ac:dyDescent="0.25">
      <c r="E9066" s="4"/>
      <c r="F9066" s="4"/>
      <c r="G9066" s="33" t="str">
        <f>IFERROR(VLOOKUP($D9066,'Informations sur les produits'!$A$3:$H$10000,8,FALSE),"0")</f>
        <v>0</v>
      </c>
      <c r="K9066" s="4"/>
      <c r="L9066" s="33" t="str">
        <f>IFERROR(VLOOKUP($J9066,'Informations sur les produits'!$A$3:$H$10000,8,FALSE),"0")</f>
        <v>0</v>
      </c>
      <c r="N9066" s="8"/>
      <c r="O9066" s="33" t="str">
        <f>IFERROR(VLOOKUP($M9066,'Informations sur les produits'!$A$3:$H$10000,8,FALSE),"0")</f>
        <v>0</v>
      </c>
      <c r="P9066" s="33">
        <f t="shared" si="564"/>
        <v>0</v>
      </c>
      <c r="Q9066" s="31" t="str">
        <f t="shared" si="565"/>
        <v/>
      </c>
      <c r="R9066" s="32" t="str">
        <f>IFERROR(VLOOKUP($D9066,'Informations sur les produits'!$A$3:$B$15000,2,FALSE),"")</f>
        <v/>
      </c>
      <c r="V9066">
        <f t="shared" si="566"/>
        <v>0</v>
      </c>
      <c r="W9066">
        <f t="shared" si="567"/>
        <v>0</v>
      </c>
    </row>
    <row r="9067" spans="5:23" x14ac:dyDescent="0.25">
      <c r="E9067" s="4"/>
      <c r="F9067" s="4"/>
      <c r="G9067" s="33" t="str">
        <f>IFERROR(VLOOKUP($D9067,'Informations sur les produits'!$A$3:$H$10000,8,FALSE),"0")</f>
        <v>0</v>
      </c>
      <c r="K9067" s="4"/>
      <c r="L9067" s="33" t="str">
        <f>IFERROR(VLOOKUP($J9067,'Informations sur les produits'!$A$3:$H$10000,8,FALSE),"0")</f>
        <v>0</v>
      </c>
      <c r="N9067" s="8"/>
      <c r="O9067" s="33" t="str">
        <f>IFERROR(VLOOKUP($M9067,'Informations sur les produits'!$A$3:$H$10000,8,FALSE),"0")</f>
        <v>0</v>
      </c>
      <c r="P9067" s="33">
        <f t="shared" si="564"/>
        <v>0</v>
      </c>
      <c r="Q9067" s="31" t="str">
        <f t="shared" si="565"/>
        <v/>
      </c>
      <c r="R9067" s="32" t="str">
        <f>IFERROR(VLOOKUP($D9067,'Informations sur les produits'!$A$3:$B$15000,2,FALSE),"")</f>
        <v/>
      </c>
      <c r="V9067">
        <f t="shared" si="566"/>
        <v>0</v>
      </c>
      <c r="W9067">
        <f t="shared" si="567"/>
        <v>0</v>
      </c>
    </row>
    <row r="9068" spans="5:23" x14ac:dyDescent="0.25">
      <c r="E9068" s="4"/>
      <c r="F9068" s="4"/>
      <c r="G9068" s="33" t="str">
        <f>IFERROR(VLOOKUP($D9068,'Informations sur les produits'!$A$3:$H$10000,8,FALSE),"0")</f>
        <v>0</v>
      </c>
      <c r="K9068" s="4"/>
      <c r="L9068" s="33" t="str">
        <f>IFERROR(VLOOKUP($J9068,'Informations sur les produits'!$A$3:$H$10000,8,FALSE),"0")</f>
        <v>0</v>
      </c>
      <c r="N9068" s="8"/>
      <c r="O9068" s="33" t="str">
        <f>IFERROR(VLOOKUP($M9068,'Informations sur les produits'!$A$3:$H$10000,8,FALSE),"0")</f>
        <v>0</v>
      </c>
      <c r="P9068" s="33">
        <f t="shared" si="564"/>
        <v>0</v>
      </c>
      <c r="Q9068" s="31" t="str">
        <f t="shared" si="565"/>
        <v/>
      </c>
      <c r="R9068" s="32" t="str">
        <f>IFERROR(VLOOKUP($D9068,'Informations sur les produits'!$A$3:$B$15000,2,FALSE),"")</f>
        <v/>
      </c>
      <c r="V9068">
        <f t="shared" si="566"/>
        <v>0</v>
      </c>
      <c r="W9068">
        <f t="shared" si="567"/>
        <v>0</v>
      </c>
    </row>
    <row r="9069" spans="5:23" x14ac:dyDescent="0.25">
      <c r="E9069" s="4"/>
      <c r="F9069" s="4"/>
      <c r="G9069" s="33" t="str">
        <f>IFERROR(VLOOKUP($D9069,'Informations sur les produits'!$A$3:$H$10000,8,FALSE),"0")</f>
        <v>0</v>
      </c>
      <c r="K9069" s="4"/>
      <c r="L9069" s="33" t="str">
        <f>IFERROR(VLOOKUP($J9069,'Informations sur les produits'!$A$3:$H$10000,8,FALSE),"0")</f>
        <v>0</v>
      </c>
      <c r="N9069" s="8"/>
      <c r="O9069" s="33" t="str">
        <f>IFERROR(VLOOKUP($M9069,'Informations sur les produits'!$A$3:$H$10000,8,FALSE),"0")</f>
        <v>0</v>
      </c>
      <c r="P9069" s="33">
        <f t="shared" si="564"/>
        <v>0</v>
      </c>
      <c r="Q9069" s="31" t="str">
        <f t="shared" si="565"/>
        <v/>
      </c>
      <c r="R9069" s="32" t="str">
        <f>IFERROR(VLOOKUP($D9069,'Informations sur les produits'!$A$3:$B$15000,2,FALSE),"")</f>
        <v/>
      </c>
      <c r="V9069">
        <f t="shared" si="566"/>
        <v>0</v>
      </c>
      <c r="W9069">
        <f t="shared" si="567"/>
        <v>0</v>
      </c>
    </row>
    <row r="9070" spans="5:23" x14ac:dyDescent="0.25">
      <c r="E9070" s="4"/>
      <c r="F9070" s="4"/>
      <c r="G9070" s="33" t="str">
        <f>IFERROR(VLOOKUP($D9070,'Informations sur les produits'!$A$3:$H$10000,8,FALSE),"0")</f>
        <v>0</v>
      </c>
      <c r="K9070" s="4"/>
      <c r="L9070" s="33" t="str">
        <f>IFERROR(VLOOKUP($J9070,'Informations sur les produits'!$A$3:$H$10000,8,FALSE),"0")</f>
        <v>0</v>
      </c>
      <c r="N9070" s="8"/>
      <c r="O9070" s="33" t="str">
        <f>IFERROR(VLOOKUP($M9070,'Informations sur les produits'!$A$3:$H$10000,8,FALSE),"0")</f>
        <v>0</v>
      </c>
      <c r="P9070" s="33">
        <f t="shared" si="564"/>
        <v>0</v>
      </c>
      <c r="Q9070" s="31" t="str">
        <f t="shared" si="565"/>
        <v/>
      </c>
      <c r="R9070" s="32" t="str">
        <f>IFERROR(VLOOKUP($D9070,'Informations sur les produits'!$A$3:$B$15000,2,FALSE),"")</f>
        <v/>
      </c>
      <c r="V9070">
        <f t="shared" si="566"/>
        <v>0</v>
      </c>
      <c r="W9070">
        <f t="shared" si="567"/>
        <v>0</v>
      </c>
    </row>
    <row r="9071" spans="5:23" x14ac:dyDescent="0.25">
      <c r="E9071" s="4"/>
      <c r="F9071" s="4"/>
      <c r="G9071" s="33" t="str">
        <f>IFERROR(VLOOKUP($D9071,'Informations sur les produits'!$A$3:$H$10000,8,FALSE),"0")</f>
        <v>0</v>
      </c>
      <c r="K9071" s="4"/>
      <c r="L9071" s="33" t="str">
        <f>IFERROR(VLOOKUP($J9071,'Informations sur les produits'!$A$3:$H$10000,8,FALSE),"0")</f>
        <v>0</v>
      </c>
      <c r="N9071" s="8"/>
      <c r="O9071" s="33" t="str">
        <f>IFERROR(VLOOKUP($M9071,'Informations sur les produits'!$A$3:$H$10000,8,FALSE),"0")</f>
        <v>0</v>
      </c>
      <c r="P9071" s="33">
        <f t="shared" si="564"/>
        <v>0</v>
      </c>
      <c r="Q9071" s="31" t="str">
        <f t="shared" si="565"/>
        <v/>
      </c>
      <c r="R9071" s="32" t="str">
        <f>IFERROR(VLOOKUP($D9071,'Informations sur les produits'!$A$3:$B$15000,2,FALSE),"")</f>
        <v/>
      </c>
      <c r="V9071">
        <f t="shared" si="566"/>
        <v>0</v>
      </c>
      <c r="W9071">
        <f t="shared" si="567"/>
        <v>0</v>
      </c>
    </row>
    <row r="9072" spans="5:23" x14ac:dyDescent="0.25">
      <c r="E9072" s="4"/>
      <c r="F9072" s="4"/>
      <c r="G9072" s="33" t="str">
        <f>IFERROR(VLOOKUP($D9072,'Informations sur les produits'!$A$3:$H$10000,8,FALSE),"0")</f>
        <v>0</v>
      </c>
      <c r="K9072" s="4"/>
      <c r="L9072" s="33" t="str">
        <f>IFERROR(VLOOKUP($J9072,'Informations sur les produits'!$A$3:$H$10000,8,FALSE),"0")</f>
        <v>0</v>
      </c>
      <c r="N9072" s="8"/>
      <c r="O9072" s="33" t="str">
        <f>IFERROR(VLOOKUP($M9072,'Informations sur les produits'!$A$3:$H$10000,8,FALSE),"0")</f>
        <v>0</v>
      </c>
      <c r="P9072" s="33">
        <f t="shared" si="564"/>
        <v>0</v>
      </c>
      <c r="Q9072" s="31" t="str">
        <f t="shared" si="565"/>
        <v/>
      </c>
      <c r="R9072" s="32" t="str">
        <f>IFERROR(VLOOKUP($D9072,'Informations sur les produits'!$A$3:$B$15000,2,FALSE),"")</f>
        <v/>
      </c>
      <c r="V9072">
        <f t="shared" si="566"/>
        <v>0</v>
      </c>
      <c r="W9072">
        <f t="shared" si="567"/>
        <v>0</v>
      </c>
    </row>
    <row r="9073" spans="5:23" x14ac:dyDescent="0.25">
      <c r="E9073" s="4"/>
      <c r="F9073" s="4"/>
      <c r="G9073" s="33" t="str">
        <f>IFERROR(VLOOKUP($D9073,'Informations sur les produits'!$A$3:$H$10000,8,FALSE),"0")</f>
        <v>0</v>
      </c>
      <c r="K9073" s="4"/>
      <c r="L9073" s="33" t="str">
        <f>IFERROR(VLOOKUP($J9073,'Informations sur les produits'!$A$3:$H$10000,8,FALSE),"0")</f>
        <v>0</v>
      </c>
      <c r="N9073" s="8"/>
      <c r="O9073" s="33" t="str">
        <f>IFERROR(VLOOKUP($M9073,'Informations sur les produits'!$A$3:$H$10000,8,FALSE),"0")</f>
        <v>0</v>
      </c>
      <c r="P9073" s="33">
        <f t="shared" si="564"/>
        <v>0</v>
      </c>
      <c r="Q9073" s="31" t="str">
        <f t="shared" si="565"/>
        <v/>
      </c>
      <c r="R9073" s="32" t="str">
        <f>IFERROR(VLOOKUP($D9073,'Informations sur les produits'!$A$3:$B$15000,2,FALSE),"")</f>
        <v/>
      </c>
      <c r="V9073">
        <f t="shared" si="566"/>
        <v>0</v>
      </c>
      <c r="W9073">
        <f t="shared" si="567"/>
        <v>0</v>
      </c>
    </row>
    <row r="9074" spans="5:23" x14ac:dyDescent="0.25">
      <c r="E9074" s="4"/>
      <c r="F9074" s="4"/>
      <c r="G9074" s="33" t="str">
        <f>IFERROR(VLOOKUP($D9074,'Informations sur les produits'!$A$3:$H$10000,8,FALSE),"0")</f>
        <v>0</v>
      </c>
      <c r="K9074" s="4"/>
      <c r="L9074" s="33" t="str">
        <f>IFERROR(VLOOKUP($J9074,'Informations sur les produits'!$A$3:$H$10000,8,FALSE),"0")</f>
        <v>0</v>
      </c>
      <c r="N9074" s="8"/>
      <c r="O9074" s="33" t="str">
        <f>IFERROR(VLOOKUP($M9074,'Informations sur les produits'!$A$3:$H$10000,8,FALSE),"0")</f>
        <v>0</v>
      </c>
      <c r="P9074" s="33">
        <f t="shared" si="564"/>
        <v>0</v>
      </c>
      <c r="Q9074" s="31" t="str">
        <f t="shared" si="565"/>
        <v/>
      </c>
      <c r="R9074" s="32" t="str">
        <f>IFERROR(VLOOKUP($D9074,'Informations sur les produits'!$A$3:$B$15000,2,FALSE),"")</f>
        <v/>
      </c>
      <c r="V9074">
        <f t="shared" si="566"/>
        <v>0</v>
      </c>
      <c r="W9074">
        <f t="shared" si="567"/>
        <v>0</v>
      </c>
    </row>
    <row r="9075" spans="5:23" x14ac:dyDescent="0.25">
      <c r="E9075" s="4"/>
      <c r="F9075" s="4"/>
      <c r="G9075" s="33" t="str">
        <f>IFERROR(VLOOKUP($D9075,'Informations sur les produits'!$A$3:$H$10000,8,FALSE),"0")</f>
        <v>0</v>
      </c>
      <c r="K9075" s="4"/>
      <c r="L9075" s="33" t="str">
        <f>IFERROR(VLOOKUP($J9075,'Informations sur les produits'!$A$3:$H$10000,8,FALSE),"0")</f>
        <v>0</v>
      </c>
      <c r="N9075" s="8"/>
      <c r="O9075" s="33" t="str">
        <f>IFERROR(VLOOKUP($M9075,'Informations sur les produits'!$A$3:$H$10000,8,FALSE),"0")</f>
        <v>0</v>
      </c>
      <c r="P9075" s="33">
        <f t="shared" si="564"/>
        <v>0</v>
      </c>
      <c r="Q9075" s="31" t="str">
        <f t="shared" si="565"/>
        <v/>
      </c>
      <c r="R9075" s="32" t="str">
        <f>IFERROR(VLOOKUP($D9075,'Informations sur les produits'!$A$3:$B$15000,2,FALSE),"")</f>
        <v/>
      </c>
      <c r="V9075">
        <f t="shared" si="566"/>
        <v>0</v>
      </c>
      <c r="W9075">
        <f t="shared" si="567"/>
        <v>0</v>
      </c>
    </row>
    <row r="9076" spans="5:23" x14ac:dyDescent="0.25">
      <c r="E9076" s="4"/>
      <c r="F9076" s="4"/>
      <c r="G9076" s="33" t="str">
        <f>IFERROR(VLOOKUP($D9076,'Informations sur les produits'!$A$3:$H$10000,8,FALSE),"0")</f>
        <v>0</v>
      </c>
      <c r="K9076" s="4"/>
      <c r="L9076" s="33" t="str">
        <f>IFERROR(VLOOKUP($J9076,'Informations sur les produits'!$A$3:$H$10000,8,FALSE),"0")</f>
        <v>0</v>
      </c>
      <c r="N9076" s="8"/>
      <c r="O9076" s="33" t="str">
        <f>IFERROR(VLOOKUP($M9076,'Informations sur les produits'!$A$3:$H$10000,8,FALSE),"0")</f>
        <v>0</v>
      </c>
      <c r="P9076" s="33">
        <f t="shared" si="564"/>
        <v>0</v>
      </c>
      <c r="Q9076" s="31" t="str">
        <f t="shared" si="565"/>
        <v/>
      </c>
      <c r="R9076" s="32" t="str">
        <f>IFERROR(VLOOKUP($D9076,'Informations sur les produits'!$A$3:$B$15000,2,FALSE),"")</f>
        <v/>
      </c>
      <c r="V9076">
        <f t="shared" si="566"/>
        <v>0</v>
      </c>
      <c r="W9076">
        <f t="shared" si="567"/>
        <v>0</v>
      </c>
    </row>
    <row r="9077" spans="5:23" x14ac:dyDescent="0.25">
      <c r="E9077" s="4"/>
      <c r="F9077" s="4"/>
      <c r="G9077" s="33" t="str">
        <f>IFERROR(VLOOKUP($D9077,'Informations sur les produits'!$A$3:$H$10000,8,FALSE),"0")</f>
        <v>0</v>
      </c>
      <c r="K9077" s="4"/>
      <c r="L9077" s="33" t="str">
        <f>IFERROR(VLOOKUP($J9077,'Informations sur les produits'!$A$3:$H$10000,8,FALSE),"0")</f>
        <v>0</v>
      </c>
      <c r="N9077" s="8"/>
      <c r="O9077" s="33" t="str">
        <f>IFERROR(VLOOKUP($M9077,'Informations sur les produits'!$A$3:$H$10000,8,FALSE),"0")</f>
        <v>0</v>
      </c>
      <c r="P9077" s="33">
        <f t="shared" si="564"/>
        <v>0</v>
      </c>
      <c r="Q9077" s="31" t="str">
        <f t="shared" si="565"/>
        <v/>
      </c>
      <c r="R9077" s="32" t="str">
        <f>IFERROR(VLOOKUP($D9077,'Informations sur les produits'!$A$3:$B$15000,2,FALSE),"")</f>
        <v/>
      </c>
      <c r="V9077">
        <f t="shared" si="566"/>
        <v>0</v>
      </c>
      <c r="W9077">
        <f t="shared" si="567"/>
        <v>0</v>
      </c>
    </row>
    <row r="9078" spans="5:23" x14ac:dyDescent="0.25">
      <c r="E9078" s="4"/>
      <c r="F9078" s="4"/>
      <c r="G9078" s="33" t="str">
        <f>IFERROR(VLOOKUP($D9078,'Informations sur les produits'!$A$3:$H$10000,8,FALSE),"0")</f>
        <v>0</v>
      </c>
      <c r="K9078" s="4"/>
      <c r="L9078" s="33" t="str">
        <f>IFERROR(VLOOKUP($J9078,'Informations sur les produits'!$A$3:$H$10000,8,FALSE),"0")</f>
        <v>0</v>
      </c>
      <c r="N9078" s="8"/>
      <c r="O9078" s="33" t="str">
        <f>IFERROR(VLOOKUP($M9078,'Informations sur les produits'!$A$3:$H$10000,8,FALSE),"0")</f>
        <v>0</v>
      </c>
      <c r="P9078" s="33">
        <f t="shared" si="564"/>
        <v>0</v>
      </c>
      <c r="Q9078" s="31" t="str">
        <f t="shared" si="565"/>
        <v/>
      </c>
      <c r="R9078" s="32" t="str">
        <f>IFERROR(VLOOKUP($D9078,'Informations sur les produits'!$A$3:$B$15000,2,FALSE),"")</f>
        <v/>
      </c>
      <c r="V9078">
        <f t="shared" si="566"/>
        <v>0</v>
      </c>
      <c r="W9078">
        <f t="shared" si="567"/>
        <v>0</v>
      </c>
    </row>
    <row r="9079" spans="5:23" x14ac:dyDescent="0.25">
      <c r="E9079" s="4"/>
      <c r="F9079" s="4"/>
      <c r="G9079" s="33" t="str">
        <f>IFERROR(VLOOKUP($D9079,'Informations sur les produits'!$A$3:$H$10000,8,FALSE),"0")</f>
        <v>0</v>
      </c>
      <c r="K9079" s="4"/>
      <c r="L9079" s="33" t="str">
        <f>IFERROR(VLOOKUP($J9079,'Informations sur les produits'!$A$3:$H$10000,8,FALSE),"0")</f>
        <v>0</v>
      </c>
      <c r="N9079" s="8"/>
      <c r="O9079" s="33" t="str">
        <f>IFERROR(VLOOKUP($M9079,'Informations sur les produits'!$A$3:$H$10000,8,FALSE),"0")</f>
        <v>0</v>
      </c>
      <c r="P9079" s="33">
        <f t="shared" si="564"/>
        <v>0</v>
      </c>
      <c r="Q9079" s="31" t="str">
        <f t="shared" si="565"/>
        <v/>
      </c>
      <c r="R9079" s="32" t="str">
        <f>IFERROR(VLOOKUP($D9079,'Informations sur les produits'!$A$3:$B$15000,2,FALSE),"")</f>
        <v/>
      </c>
      <c r="V9079">
        <f t="shared" si="566"/>
        <v>0</v>
      </c>
      <c r="W9079">
        <f t="shared" si="567"/>
        <v>0</v>
      </c>
    </row>
    <row r="9080" spans="5:23" x14ac:dyDescent="0.25">
      <c r="E9080" s="4"/>
      <c r="F9080" s="4"/>
      <c r="G9080" s="33" t="str">
        <f>IFERROR(VLOOKUP($D9080,'Informations sur les produits'!$A$3:$H$10000,8,FALSE),"0")</f>
        <v>0</v>
      </c>
      <c r="K9080" s="4"/>
      <c r="L9080" s="33" t="str">
        <f>IFERROR(VLOOKUP($J9080,'Informations sur les produits'!$A$3:$H$10000,8,FALSE),"0")</f>
        <v>0</v>
      </c>
      <c r="N9080" s="8"/>
      <c r="O9080" s="33" t="str">
        <f>IFERROR(VLOOKUP($M9080,'Informations sur les produits'!$A$3:$H$10000,8,FALSE),"0")</f>
        <v>0</v>
      </c>
      <c r="P9080" s="33">
        <f t="shared" si="564"/>
        <v>0</v>
      </c>
      <c r="Q9080" s="31" t="str">
        <f t="shared" si="565"/>
        <v/>
      </c>
      <c r="R9080" s="32" t="str">
        <f>IFERROR(VLOOKUP($D9080,'Informations sur les produits'!$A$3:$B$15000,2,FALSE),"")</f>
        <v/>
      </c>
      <c r="V9080">
        <f t="shared" si="566"/>
        <v>0</v>
      </c>
      <c r="W9080">
        <f t="shared" si="567"/>
        <v>0</v>
      </c>
    </row>
    <row r="9081" spans="5:23" x14ac:dyDescent="0.25">
      <c r="E9081" s="4"/>
      <c r="F9081" s="4"/>
      <c r="G9081" s="33" t="str">
        <f>IFERROR(VLOOKUP($D9081,'Informations sur les produits'!$A$3:$H$10000,8,FALSE),"0")</f>
        <v>0</v>
      </c>
      <c r="K9081" s="4"/>
      <c r="L9081" s="33" t="str">
        <f>IFERROR(VLOOKUP($J9081,'Informations sur les produits'!$A$3:$H$10000,8,FALSE),"0")</f>
        <v>0</v>
      </c>
      <c r="N9081" s="8"/>
      <c r="O9081" s="33" t="str">
        <f>IFERROR(VLOOKUP($M9081,'Informations sur les produits'!$A$3:$H$10000,8,FALSE),"0")</f>
        <v>0</v>
      </c>
      <c r="P9081" s="33">
        <f t="shared" si="564"/>
        <v>0</v>
      </c>
      <c r="Q9081" s="31" t="str">
        <f t="shared" si="565"/>
        <v/>
      </c>
      <c r="R9081" s="32" t="str">
        <f>IFERROR(VLOOKUP($D9081,'Informations sur les produits'!$A$3:$B$15000,2,FALSE),"")</f>
        <v/>
      </c>
      <c r="V9081">
        <f t="shared" si="566"/>
        <v>0</v>
      </c>
      <c r="W9081">
        <f t="shared" si="567"/>
        <v>0</v>
      </c>
    </row>
    <row r="9082" spans="5:23" x14ac:dyDescent="0.25">
      <c r="E9082" s="4"/>
      <c r="F9082" s="4"/>
      <c r="G9082" s="33" t="str">
        <f>IFERROR(VLOOKUP($D9082,'Informations sur les produits'!$A$3:$H$10000,8,FALSE),"0")</f>
        <v>0</v>
      </c>
      <c r="K9082" s="4"/>
      <c r="L9082" s="33" t="str">
        <f>IFERROR(VLOOKUP($J9082,'Informations sur les produits'!$A$3:$H$10000,8,FALSE),"0")</f>
        <v>0</v>
      </c>
      <c r="N9082" s="8"/>
      <c r="O9082" s="33" t="str">
        <f>IFERROR(VLOOKUP($M9082,'Informations sur les produits'!$A$3:$H$10000,8,FALSE),"0")</f>
        <v>0</v>
      </c>
      <c r="P9082" s="33">
        <f t="shared" si="564"/>
        <v>0</v>
      </c>
      <c r="Q9082" s="31" t="str">
        <f t="shared" si="565"/>
        <v/>
      </c>
      <c r="R9082" s="32" t="str">
        <f>IFERROR(VLOOKUP($D9082,'Informations sur les produits'!$A$3:$B$15000,2,FALSE),"")</f>
        <v/>
      </c>
      <c r="V9082">
        <f t="shared" si="566"/>
        <v>0</v>
      </c>
      <c r="W9082">
        <f t="shared" si="567"/>
        <v>0</v>
      </c>
    </row>
    <row r="9083" spans="5:23" x14ac:dyDescent="0.25">
      <c r="E9083" s="4"/>
      <c r="F9083" s="4"/>
      <c r="G9083" s="33" t="str">
        <f>IFERROR(VLOOKUP($D9083,'Informations sur les produits'!$A$3:$H$10000,8,FALSE),"0")</f>
        <v>0</v>
      </c>
      <c r="K9083" s="4"/>
      <c r="L9083" s="33" t="str">
        <f>IFERROR(VLOOKUP($J9083,'Informations sur les produits'!$A$3:$H$10000,8,FALSE),"0")</f>
        <v>0</v>
      </c>
      <c r="N9083" s="8"/>
      <c r="O9083" s="33" t="str">
        <f>IFERROR(VLOOKUP($M9083,'Informations sur les produits'!$A$3:$H$10000,8,FALSE),"0")</f>
        <v>0</v>
      </c>
      <c r="P9083" s="33">
        <f t="shared" si="564"/>
        <v>0</v>
      </c>
      <c r="Q9083" s="31" t="str">
        <f t="shared" si="565"/>
        <v/>
      </c>
      <c r="R9083" s="32" t="str">
        <f>IFERROR(VLOOKUP($D9083,'Informations sur les produits'!$A$3:$B$15000,2,FALSE),"")</f>
        <v/>
      </c>
      <c r="V9083">
        <f t="shared" si="566"/>
        <v>0</v>
      </c>
      <c r="W9083">
        <f t="shared" si="567"/>
        <v>0</v>
      </c>
    </row>
    <row r="9084" spans="5:23" x14ac:dyDescent="0.25">
      <c r="E9084" s="4"/>
      <c r="F9084" s="4"/>
      <c r="G9084" s="33" t="str">
        <f>IFERROR(VLOOKUP($D9084,'Informations sur les produits'!$A$3:$H$10000,8,FALSE),"0")</f>
        <v>0</v>
      </c>
      <c r="K9084" s="4"/>
      <c r="L9084" s="33" t="str">
        <f>IFERROR(VLOOKUP($J9084,'Informations sur les produits'!$A$3:$H$10000,8,FALSE),"0")</f>
        <v>0</v>
      </c>
      <c r="N9084" s="8"/>
      <c r="O9084" s="33" t="str">
        <f>IFERROR(VLOOKUP($M9084,'Informations sur les produits'!$A$3:$H$10000,8,FALSE),"0")</f>
        <v>0</v>
      </c>
      <c r="P9084" s="33">
        <f t="shared" si="564"/>
        <v>0</v>
      </c>
      <c r="Q9084" s="31" t="str">
        <f t="shared" si="565"/>
        <v/>
      </c>
      <c r="R9084" s="32" t="str">
        <f>IFERROR(VLOOKUP($D9084,'Informations sur les produits'!$A$3:$B$15000,2,FALSE),"")</f>
        <v/>
      </c>
      <c r="V9084">
        <f t="shared" si="566"/>
        <v>0</v>
      </c>
      <c r="W9084">
        <f t="shared" si="567"/>
        <v>0</v>
      </c>
    </row>
    <row r="9085" spans="5:23" x14ac:dyDescent="0.25">
      <c r="E9085" s="4"/>
      <c r="F9085" s="4"/>
      <c r="G9085" s="33" t="str">
        <f>IFERROR(VLOOKUP($D9085,'Informations sur les produits'!$A$3:$H$10000,8,FALSE),"0")</f>
        <v>0</v>
      </c>
      <c r="K9085" s="4"/>
      <c r="L9085" s="33" t="str">
        <f>IFERROR(VLOOKUP($J9085,'Informations sur les produits'!$A$3:$H$10000,8,FALSE),"0")</f>
        <v>0</v>
      </c>
      <c r="N9085" s="8"/>
      <c r="O9085" s="33" t="str">
        <f>IFERROR(VLOOKUP($M9085,'Informations sur les produits'!$A$3:$H$10000,8,FALSE),"0")</f>
        <v>0</v>
      </c>
      <c r="P9085" s="33">
        <f t="shared" si="564"/>
        <v>0</v>
      </c>
      <c r="Q9085" s="31" t="str">
        <f t="shared" si="565"/>
        <v/>
      </c>
      <c r="R9085" s="32" t="str">
        <f>IFERROR(VLOOKUP($D9085,'Informations sur les produits'!$A$3:$B$15000,2,FALSE),"")</f>
        <v/>
      </c>
      <c r="V9085">
        <f t="shared" si="566"/>
        <v>0</v>
      </c>
      <c r="W9085">
        <f t="shared" si="567"/>
        <v>0</v>
      </c>
    </row>
    <row r="9086" spans="5:23" x14ac:dyDescent="0.25">
      <c r="E9086" s="4"/>
      <c r="F9086" s="4"/>
      <c r="G9086" s="33" t="str">
        <f>IFERROR(VLOOKUP($D9086,'Informations sur les produits'!$A$3:$H$10000,8,FALSE),"0")</f>
        <v>0</v>
      </c>
      <c r="K9086" s="4"/>
      <c r="L9086" s="33" t="str">
        <f>IFERROR(VLOOKUP($J9086,'Informations sur les produits'!$A$3:$H$10000,8,FALSE),"0")</f>
        <v>0</v>
      </c>
      <c r="N9086" s="8"/>
      <c r="O9086" s="33" t="str">
        <f>IFERROR(VLOOKUP($M9086,'Informations sur les produits'!$A$3:$H$10000,8,FALSE),"0")</f>
        <v>0</v>
      </c>
      <c r="P9086" s="33">
        <f t="shared" si="564"/>
        <v>0</v>
      </c>
      <c r="Q9086" s="31" t="str">
        <f t="shared" si="565"/>
        <v/>
      </c>
      <c r="R9086" s="32" t="str">
        <f>IFERROR(VLOOKUP($D9086,'Informations sur les produits'!$A$3:$B$15000,2,FALSE),"")</f>
        <v/>
      </c>
      <c r="V9086">
        <f t="shared" si="566"/>
        <v>0</v>
      </c>
      <c r="W9086">
        <f t="shared" si="567"/>
        <v>0</v>
      </c>
    </row>
    <row r="9087" spans="5:23" x14ac:dyDescent="0.25">
      <c r="E9087" s="4"/>
      <c r="F9087" s="4"/>
      <c r="G9087" s="33" t="str">
        <f>IFERROR(VLOOKUP($D9087,'Informations sur les produits'!$A$3:$H$10000,8,FALSE),"0")</f>
        <v>0</v>
      </c>
      <c r="K9087" s="4"/>
      <c r="L9087" s="33" t="str">
        <f>IFERROR(VLOOKUP($J9087,'Informations sur les produits'!$A$3:$H$10000,8,FALSE),"0")</f>
        <v>0</v>
      </c>
      <c r="N9087" s="8"/>
      <c r="O9087" s="33" t="str">
        <f>IFERROR(VLOOKUP($M9087,'Informations sur les produits'!$A$3:$H$10000,8,FALSE),"0")</f>
        <v>0</v>
      </c>
      <c r="P9087" s="33">
        <f t="shared" si="564"/>
        <v>0</v>
      </c>
      <c r="Q9087" s="31" t="str">
        <f t="shared" si="565"/>
        <v/>
      </c>
      <c r="R9087" s="32" t="str">
        <f>IFERROR(VLOOKUP($D9087,'Informations sur les produits'!$A$3:$B$15000,2,FALSE),"")</f>
        <v/>
      </c>
      <c r="V9087">
        <f t="shared" si="566"/>
        <v>0</v>
      </c>
      <c r="W9087">
        <f t="shared" si="567"/>
        <v>0</v>
      </c>
    </row>
    <row r="9088" spans="5:23" x14ac:dyDescent="0.25">
      <c r="E9088" s="4"/>
      <c r="F9088" s="4"/>
      <c r="G9088" s="33" t="str">
        <f>IFERROR(VLOOKUP($D9088,'Informations sur les produits'!$A$3:$H$10000,8,FALSE),"0")</f>
        <v>0</v>
      </c>
      <c r="K9088" s="4"/>
      <c r="L9088" s="33" t="str">
        <f>IFERROR(VLOOKUP($J9088,'Informations sur les produits'!$A$3:$H$10000,8,FALSE),"0")</f>
        <v>0</v>
      </c>
      <c r="N9088" s="8"/>
      <c r="O9088" s="33" t="str">
        <f>IFERROR(VLOOKUP($M9088,'Informations sur les produits'!$A$3:$H$10000,8,FALSE),"0")</f>
        <v>0</v>
      </c>
      <c r="P9088" s="33">
        <f t="shared" si="564"/>
        <v>0</v>
      </c>
      <c r="Q9088" s="31" t="str">
        <f t="shared" si="565"/>
        <v/>
      </c>
      <c r="R9088" s="32" t="str">
        <f>IFERROR(VLOOKUP($D9088,'Informations sur les produits'!$A$3:$B$15000,2,FALSE),"")</f>
        <v/>
      </c>
      <c r="V9088">
        <f t="shared" si="566"/>
        <v>0</v>
      </c>
      <c r="W9088">
        <f t="shared" si="567"/>
        <v>0</v>
      </c>
    </row>
    <row r="9089" spans="5:23" x14ac:dyDescent="0.25">
      <c r="E9089" s="4"/>
      <c r="F9089" s="4"/>
      <c r="G9089" s="33" t="str">
        <f>IFERROR(VLOOKUP($D9089,'Informations sur les produits'!$A$3:$H$10000,8,FALSE),"0")</f>
        <v>0</v>
      </c>
      <c r="K9089" s="4"/>
      <c r="L9089" s="33" t="str">
        <f>IFERROR(VLOOKUP($J9089,'Informations sur les produits'!$A$3:$H$10000,8,FALSE),"0")</f>
        <v>0</v>
      </c>
      <c r="N9089" s="8"/>
      <c r="O9089" s="33" t="str">
        <f>IFERROR(VLOOKUP($M9089,'Informations sur les produits'!$A$3:$H$10000,8,FALSE),"0")</f>
        <v>0</v>
      </c>
      <c r="P9089" s="33">
        <f t="shared" si="564"/>
        <v>0</v>
      </c>
      <c r="Q9089" s="31" t="str">
        <f t="shared" si="565"/>
        <v/>
      </c>
      <c r="R9089" s="32" t="str">
        <f>IFERROR(VLOOKUP($D9089,'Informations sur les produits'!$A$3:$B$15000,2,FALSE),"")</f>
        <v/>
      </c>
      <c r="V9089">
        <f t="shared" si="566"/>
        <v>0</v>
      </c>
      <c r="W9089">
        <f t="shared" si="567"/>
        <v>0</v>
      </c>
    </row>
    <row r="9090" spans="5:23" x14ac:dyDescent="0.25">
      <c r="E9090" s="4"/>
      <c r="F9090" s="4"/>
      <c r="G9090" s="33" t="str">
        <f>IFERROR(VLOOKUP($D9090,'Informations sur les produits'!$A$3:$H$10000,8,FALSE),"0")</f>
        <v>0</v>
      </c>
      <c r="K9090" s="4"/>
      <c r="L9090" s="33" t="str">
        <f>IFERROR(VLOOKUP($J9090,'Informations sur les produits'!$A$3:$H$10000,8,FALSE),"0")</f>
        <v>0</v>
      </c>
      <c r="N9090" s="8"/>
      <c r="O9090" s="33" t="str">
        <f>IFERROR(VLOOKUP($M9090,'Informations sur les produits'!$A$3:$H$10000,8,FALSE),"0")</f>
        <v>0</v>
      </c>
      <c r="P9090" s="33">
        <f t="shared" si="564"/>
        <v>0</v>
      </c>
      <c r="Q9090" s="31" t="str">
        <f t="shared" si="565"/>
        <v/>
      </c>
      <c r="R9090" s="32" t="str">
        <f>IFERROR(VLOOKUP($D9090,'Informations sur les produits'!$A$3:$B$15000,2,FALSE),"")</f>
        <v/>
      </c>
      <c r="V9090">
        <f t="shared" si="566"/>
        <v>0</v>
      </c>
      <c r="W9090">
        <f t="shared" si="567"/>
        <v>0</v>
      </c>
    </row>
    <row r="9091" spans="5:23" x14ac:dyDescent="0.25">
      <c r="E9091" s="4"/>
      <c r="F9091" s="4"/>
      <c r="G9091" s="33" t="str">
        <f>IFERROR(VLOOKUP($D9091,'Informations sur les produits'!$A$3:$H$10000,8,FALSE),"0")</f>
        <v>0</v>
      </c>
      <c r="K9091" s="4"/>
      <c r="L9091" s="33" t="str">
        <f>IFERROR(VLOOKUP($J9091,'Informations sur les produits'!$A$3:$H$10000,8,FALSE),"0")</f>
        <v>0</v>
      </c>
      <c r="N9091" s="8"/>
      <c r="O9091" s="33" t="str">
        <f>IFERROR(VLOOKUP($M9091,'Informations sur les produits'!$A$3:$H$10000,8,FALSE),"0")</f>
        <v>0</v>
      </c>
      <c r="P9091" s="33">
        <f t="shared" si="564"/>
        <v>0</v>
      </c>
      <c r="Q9091" s="31" t="str">
        <f t="shared" si="565"/>
        <v/>
      </c>
      <c r="R9091" s="32" t="str">
        <f>IFERROR(VLOOKUP($D9091,'Informations sur les produits'!$A$3:$B$15000,2,FALSE),"")</f>
        <v/>
      </c>
      <c r="V9091">
        <f t="shared" si="566"/>
        <v>0</v>
      </c>
      <c r="W9091">
        <f t="shared" si="567"/>
        <v>0</v>
      </c>
    </row>
    <row r="9092" spans="5:23" x14ac:dyDescent="0.25">
      <c r="E9092" s="4"/>
      <c r="F9092" s="4"/>
      <c r="G9092" s="33" t="str">
        <f>IFERROR(VLOOKUP($D9092,'Informations sur les produits'!$A$3:$H$10000,8,FALSE),"0")</f>
        <v>0</v>
      </c>
      <c r="K9092" s="4"/>
      <c r="L9092" s="33" t="str">
        <f>IFERROR(VLOOKUP($J9092,'Informations sur les produits'!$A$3:$H$10000,8,FALSE),"0")</f>
        <v>0</v>
      </c>
      <c r="N9092" s="8"/>
      <c r="O9092" s="33" t="str">
        <f>IFERROR(VLOOKUP($M9092,'Informations sur les produits'!$A$3:$H$10000,8,FALSE),"0")</f>
        <v>0</v>
      </c>
      <c r="P9092" s="33">
        <f t="shared" ref="P9092:P9155" si="568">IFERROR((($E9092-$F9092)*$G9092+$K9092*$L9092+$N9092*$O9092),"")</f>
        <v>0</v>
      </c>
      <c r="Q9092" s="31" t="str">
        <f t="shared" ref="Q9092:Q9155" si="569">IFERROR((((($E9092-$F9092)*$G9092+$K9092*$L9092+$N9092*$O9092)*1000)/(($E9092-$F9092)+$K9092+$N9092)),"")</f>
        <v/>
      </c>
      <c r="R9092" s="32" t="str">
        <f>IFERROR(VLOOKUP($D9092,'Informations sur les produits'!$A$3:$B$15000,2,FALSE),"")</f>
        <v/>
      </c>
      <c r="V9092">
        <f t="shared" ref="V9092:V9155" si="570">IFERROR(P9092*1000,"")</f>
        <v>0</v>
      </c>
      <c r="W9092">
        <f t="shared" ref="W9092:W9155" si="571">IFERROR(($E9092-$F9092)+$K9092+$N9092,"")</f>
        <v>0</v>
      </c>
    </row>
    <row r="9093" spans="5:23" x14ac:dyDescent="0.25">
      <c r="E9093" s="4"/>
      <c r="F9093" s="4"/>
      <c r="G9093" s="33" t="str">
        <f>IFERROR(VLOOKUP($D9093,'Informations sur les produits'!$A$3:$H$10000,8,FALSE),"0")</f>
        <v>0</v>
      </c>
      <c r="K9093" s="4"/>
      <c r="L9093" s="33" t="str">
        <f>IFERROR(VLOOKUP($J9093,'Informations sur les produits'!$A$3:$H$10000,8,FALSE),"0")</f>
        <v>0</v>
      </c>
      <c r="N9093" s="8"/>
      <c r="O9093" s="33" t="str">
        <f>IFERROR(VLOOKUP($M9093,'Informations sur les produits'!$A$3:$H$10000,8,FALSE),"0")</f>
        <v>0</v>
      </c>
      <c r="P9093" s="33">
        <f t="shared" si="568"/>
        <v>0</v>
      </c>
      <c r="Q9093" s="31" t="str">
        <f t="shared" si="569"/>
        <v/>
      </c>
      <c r="R9093" s="32" t="str">
        <f>IFERROR(VLOOKUP($D9093,'Informations sur les produits'!$A$3:$B$15000,2,FALSE),"")</f>
        <v/>
      </c>
      <c r="V9093">
        <f t="shared" si="570"/>
        <v>0</v>
      </c>
      <c r="W9093">
        <f t="shared" si="571"/>
        <v>0</v>
      </c>
    </row>
    <row r="9094" spans="5:23" x14ac:dyDescent="0.25">
      <c r="E9094" s="4"/>
      <c r="F9094" s="4"/>
      <c r="G9094" s="33" t="str">
        <f>IFERROR(VLOOKUP($D9094,'Informations sur les produits'!$A$3:$H$10000,8,FALSE),"0")</f>
        <v>0</v>
      </c>
      <c r="K9094" s="4"/>
      <c r="L9094" s="33" t="str">
        <f>IFERROR(VLOOKUP($J9094,'Informations sur les produits'!$A$3:$H$10000,8,FALSE),"0")</f>
        <v>0</v>
      </c>
      <c r="N9094" s="8"/>
      <c r="O9094" s="33" t="str">
        <f>IFERROR(VLOOKUP($M9094,'Informations sur les produits'!$A$3:$H$10000,8,FALSE),"0")</f>
        <v>0</v>
      </c>
      <c r="P9094" s="33">
        <f t="shared" si="568"/>
        <v>0</v>
      </c>
      <c r="Q9094" s="31" t="str">
        <f t="shared" si="569"/>
        <v/>
      </c>
      <c r="R9094" s="32" t="str">
        <f>IFERROR(VLOOKUP($D9094,'Informations sur les produits'!$A$3:$B$15000,2,FALSE),"")</f>
        <v/>
      </c>
      <c r="V9094">
        <f t="shared" si="570"/>
        <v>0</v>
      </c>
      <c r="W9094">
        <f t="shared" si="571"/>
        <v>0</v>
      </c>
    </row>
    <row r="9095" spans="5:23" x14ac:dyDescent="0.25">
      <c r="E9095" s="4"/>
      <c r="F9095" s="4"/>
      <c r="G9095" s="33" t="str">
        <f>IFERROR(VLOOKUP($D9095,'Informations sur les produits'!$A$3:$H$10000,8,FALSE),"0")</f>
        <v>0</v>
      </c>
      <c r="K9095" s="4"/>
      <c r="L9095" s="33" t="str">
        <f>IFERROR(VLOOKUP($J9095,'Informations sur les produits'!$A$3:$H$10000,8,FALSE),"0")</f>
        <v>0</v>
      </c>
      <c r="N9095" s="8"/>
      <c r="O9095" s="33" t="str">
        <f>IFERROR(VLOOKUP($M9095,'Informations sur les produits'!$A$3:$H$10000,8,FALSE),"0")</f>
        <v>0</v>
      </c>
      <c r="P9095" s="33">
        <f t="shared" si="568"/>
        <v>0</v>
      </c>
      <c r="Q9095" s="31" t="str">
        <f t="shared" si="569"/>
        <v/>
      </c>
      <c r="R9095" s="32" t="str">
        <f>IFERROR(VLOOKUP($D9095,'Informations sur les produits'!$A$3:$B$15000,2,FALSE),"")</f>
        <v/>
      </c>
      <c r="V9095">
        <f t="shared" si="570"/>
        <v>0</v>
      </c>
      <c r="W9095">
        <f t="shared" si="571"/>
        <v>0</v>
      </c>
    </row>
    <row r="9096" spans="5:23" x14ac:dyDescent="0.25">
      <c r="E9096" s="4"/>
      <c r="F9096" s="4"/>
      <c r="G9096" s="33" t="str">
        <f>IFERROR(VLOOKUP($D9096,'Informations sur les produits'!$A$3:$H$10000,8,FALSE),"0")</f>
        <v>0</v>
      </c>
      <c r="K9096" s="4"/>
      <c r="L9096" s="33" t="str">
        <f>IFERROR(VLOOKUP($J9096,'Informations sur les produits'!$A$3:$H$10000,8,FALSE),"0")</f>
        <v>0</v>
      </c>
      <c r="N9096" s="8"/>
      <c r="O9096" s="33" t="str">
        <f>IFERROR(VLOOKUP($M9096,'Informations sur les produits'!$A$3:$H$10000,8,FALSE),"0")</f>
        <v>0</v>
      </c>
      <c r="P9096" s="33">
        <f t="shared" si="568"/>
        <v>0</v>
      </c>
      <c r="Q9096" s="31" t="str">
        <f t="shared" si="569"/>
        <v/>
      </c>
      <c r="R9096" s="32" t="str">
        <f>IFERROR(VLOOKUP($D9096,'Informations sur les produits'!$A$3:$B$15000,2,FALSE),"")</f>
        <v/>
      </c>
      <c r="V9096">
        <f t="shared" si="570"/>
        <v>0</v>
      </c>
      <c r="W9096">
        <f t="shared" si="571"/>
        <v>0</v>
      </c>
    </row>
    <row r="9097" spans="5:23" x14ac:dyDescent="0.25">
      <c r="E9097" s="4"/>
      <c r="F9097" s="4"/>
      <c r="G9097" s="33" t="str">
        <f>IFERROR(VLOOKUP($D9097,'Informations sur les produits'!$A$3:$H$10000,8,FALSE),"0")</f>
        <v>0</v>
      </c>
      <c r="K9097" s="4"/>
      <c r="L9097" s="33" t="str">
        <f>IFERROR(VLOOKUP($J9097,'Informations sur les produits'!$A$3:$H$10000,8,FALSE),"0")</f>
        <v>0</v>
      </c>
      <c r="N9097" s="8"/>
      <c r="O9097" s="33" t="str">
        <f>IFERROR(VLOOKUP($M9097,'Informations sur les produits'!$A$3:$H$10000,8,FALSE),"0")</f>
        <v>0</v>
      </c>
      <c r="P9097" s="33">
        <f t="shared" si="568"/>
        <v>0</v>
      </c>
      <c r="Q9097" s="31" t="str">
        <f t="shared" si="569"/>
        <v/>
      </c>
      <c r="R9097" s="32" t="str">
        <f>IFERROR(VLOOKUP($D9097,'Informations sur les produits'!$A$3:$B$15000,2,FALSE),"")</f>
        <v/>
      </c>
      <c r="V9097">
        <f t="shared" si="570"/>
        <v>0</v>
      </c>
      <c r="W9097">
        <f t="shared" si="571"/>
        <v>0</v>
      </c>
    </row>
    <row r="9098" spans="5:23" x14ac:dyDescent="0.25">
      <c r="E9098" s="4"/>
      <c r="F9098" s="4"/>
      <c r="G9098" s="33" t="str">
        <f>IFERROR(VLOOKUP($D9098,'Informations sur les produits'!$A$3:$H$10000,8,FALSE),"0")</f>
        <v>0</v>
      </c>
      <c r="K9098" s="4"/>
      <c r="L9098" s="33" t="str">
        <f>IFERROR(VLOOKUP($J9098,'Informations sur les produits'!$A$3:$H$10000,8,FALSE),"0")</f>
        <v>0</v>
      </c>
      <c r="N9098" s="8"/>
      <c r="O9098" s="33" t="str">
        <f>IFERROR(VLOOKUP($M9098,'Informations sur les produits'!$A$3:$H$10000,8,FALSE),"0")</f>
        <v>0</v>
      </c>
      <c r="P9098" s="33">
        <f t="shared" si="568"/>
        <v>0</v>
      </c>
      <c r="Q9098" s="31" t="str">
        <f t="shared" si="569"/>
        <v/>
      </c>
      <c r="R9098" s="32" t="str">
        <f>IFERROR(VLOOKUP($D9098,'Informations sur les produits'!$A$3:$B$15000,2,FALSE),"")</f>
        <v/>
      </c>
      <c r="V9098">
        <f t="shared" si="570"/>
        <v>0</v>
      </c>
      <c r="W9098">
        <f t="shared" si="571"/>
        <v>0</v>
      </c>
    </row>
    <row r="9099" spans="5:23" x14ac:dyDescent="0.25">
      <c r="E9099" s="4"/>
      <c r="F9099" s="4"/>
      <c r="G9099" s="33" t="str">
        <f>IFERROR(VLOOKUP($D9099,'Informations sur les produits'!$A$3:$H$10000,8,FALSE),"0")</f>
        <v>0</v>
      </c>
      <c r="K9099" s="4"/>
      <c r="L9099" s="33" t="str">
        <f>IFERROR(VLOOKUP($J9099,'Informations sur les produits'!$A$3:$H$10000,8,FALSE),"0")</f>
        <v>0</v>
      </c>
      <c r="N9099" s="8"/>
      <c r="O9099" s="33" t="str">
        <f>IFERROR(VLOOKUP($M9099,'Informations sur les produits'!$A$3:$H$10000,8,FALSE),"0")</f>
        <v>0</v>
      </c>
      <c r="P9099" s="33">
        <f t="shared" si="568"/>
        <v>0</v>
      </c>
      <c r="Q9099" s="31" t="str">
        <f t="shared" si="569"/>
        <v/>
      </c>
      <c r="R9099" s="32" t="str">
        <f>IFERROR(VLOOKUP($D9099,'Informations sur les produits'!$A$3:$B$15000,2,FALSE),"")</f>
        <v/>
      </c>
      <c r="V9099">
        <f t="shared" si="570"/>
        <v>0</v>
      </c>
      <c r="W9099">
        <f t="shared" si="571"/>
        <v>0</v>
      </c>
    </row>
    <row r="9100" spans="5:23" x14ac:dyDescent="0.25">
      <c r="E9100" s="4"/>
      <c r="F9100" s="4"/>
      <c r="G9100" s="33" t="str">
        <f>IFERROR(VLOOKUP($D9100,'Informations sur les produits'!$A$3:$H$10000,8,FALSE),"0")</f>
        <v>0</v>
      </c>
      <c r="K9100" s="4"/>
      <c r="L9100" s="33" t="str">
        <f>IFERROR(VLOOKUP($J9100,'Informations sur les produits'!$A$3:$H$10000,8,FALSE),"0")</f>
        <v>0</v>
      </c>
      <c r="N9100" s="8"/>
      <c r="O9100" s="33" t="str">
        <f>IFERROR(VLOOKUP($M9100,'Informations sur les produits'!$A$3:$H$10000,8,FALSE),"0")</f>
        <v>0</v>
      </c>
      <c r="P9100" s="33">
        <f t="shared" si="568"/>
        <v>0</v>
      </c>
      <c r="Q9100" s="31" t="str">
        <f t="shared" si="569"/>
        <v/>
      </c>
      <c r="R9100" s="32" t="str">
        <f>IFERROR(VLOOKUP($D9100,'Informations sur les produits'!$A$3:$B$15000,2,FALSE),"")</f>
        <v/>
      </c>
      <c r="V9100">
        <f t="shared" si="570"/>
        <v>0</v>
      </c>
      <c r="W9100">
        <f t="shared" si="571"/>
        <v>0</v>
      </c>
    </row>
    <row r="9101" spans="5:23" x14ac:dyDescent="0.25">
      <c r="E9101" s="4"/>
      <c r="F9101" s="4"/>
      <c r="G9101" s="33" t="str">
        <f>IFERROR(VLOOKUP($D9101,'Informations sur les produits'!$A$3:$H$10000,8,FALSE),"0")</f>
        <v>0</v>
      </c>
      <c r="K9101" s="4"/>
      <c r="L9101" s="33" t="str">
        <f>IFERROR(VLOOKUP($J9101,'Informations sur les produits'!$A$3:$H$10000,8,FALSE),"0")</f>
        <v>0</v>
      </c>
      <c r="N9101" s="8"/>
      <c r="O9101" s="33" t="str">
        <f>IFERROR(VLOOKUP($M9101,'Informations sur les produits'!$A$3:$H$10000,8,FALSE),"0")</f>
        <v>0</v>
      </c>
      <c r="P9101" s="33">
        <f t="shared" si="568"/>
        <v>0</v>
      </c>
      <c r="Q9101" s="31" t="str">
        <f t="shared" si="569"/>
        <v/>
      </c>
      <c r="R9101" s="32" t="str">
        <f>IFERROR(VLOOKUP($D9101,'Informations sur les produits'!$A$3:$B$15000,2,FALSE),"")</f>
        <v/>
      </c>
      <c r="V9101">
        <f t="shared" si="570"/>
        <v>0</v>
      </c>
      <c r="W9101">
        <f t="shared" si="571"/>
        <v>0</v>
      </c>
    </row>
    <row r="9102" spans="5:23" x14ac:dyDescent="0.25">
      <c r="E9102" s="4"/>
      <c r="F9102" s="4"/>
      <c r="G9102" s="33" t="str">
        <f>IFERROR(VLOOKUP($D9102,'Informations sur les produits'!$A$3:$H$10000,8,FALSE),"0")</f>
        <v>0</v>
      </c>
      <c r="K9102" s="4"/>
      <c r="L9102" s="33" t="str">
        <f>IFERROR(VLOOKUP($J9102,'Informations sur les produits'!$A$3:$H$10000,8,FALSE),"0")</f>
        <v>0</v>
      </c>
      <c r="N9102" s="8"/>
      <c r="O9102" s="33" t="str">
        <f>IFERROR(VLOOKUP($M9102,'Informations sur les produits'!$A$3:$H$10000,8,FALSE),"0")</f>
        <v>0</v>
      </c>
      <c r="P9102" s="33">
        <f t="shared" si="568"/>
        <v>0</v>
      </c>
      <c r="Q9102" s="31" t="str">
        <f t="shared" si="569"/>
        <v/>
      </c>
      <c r="R9102" s="32" t="str">
        <f>IFERROR(VLOOKUP($D9102,'Informations sur les produits'!$A$3:$B$15000,2,FALSE),"")</f>
        <v/>
      </c>
      <c r="V9102">
        <f t="shared" si="570"/>
        <v>0</v>
      </c>
      <c r="W9102">
        <f t="shared" si="571"/>
        <v>0</v>
      </c>
    </row>
    <row r="9103" spans="5:23" x14ac:dyDescent="0.25">
      <c r="E9103" s="4"/>
      <c r="F9103" s="4"/>
      <c r="G9103" s="33" t="str">
        <f>IFERROR(VLOOKUP($D9103,'Informations sur les produits'!$A$3:$H$10000,8,FALSE),"0")</f>
        <v>0</v>
      </c>
      <c r="K9103" s="4"/>
      <c r="L9103" s="33" t="str">
        <f>IFERROR(VLOOKUP($J9103,'Informations sur les produits'!$A$3:$H$10000,8,FALSE),"0")</f>
        <v>0</v>
      </c>
      <c r="N9103" s="8"/>
      <c r="O9103" s="33" t="str">
        <f>IFERROR(VLOOKUP($M9103,'Informations sur les produits'!$A$3:$H$10000,8,FALSE),"0")</f>
        <v>0</v>
      </c>
      <c r="P9103" s="33">
        <f t="shared" si="568"/>
        <v>0</v>
      </c>
      <c r="Q9103" s="31" t="str">
        <f t="shared" si="569"/>
        <v/>
      </c>
      <c r="R9103" s="32" t="str">
        <f>IFERROR(VLOOKUP($D9103,'Informations sur les produits'!$A$3:$B$15000,2,FALSE),"")</f>
        <v/>
      </c>
      <c r="V9103">
        <f t="shared" si="570"/>
        <v>0</v>
      </c>
      <c r="W9103">
        <f t="shared" si="571"/>
        <v>0</v>
      </c>
    </row>
    <row r="9104" spans="5:23" x14ac:dyDescent="0.25">
      <c r="E9104" s="4"/>
      <c r="F9104" s="4"/>
      <c r="G9104" s="33" t="str">
        <f>IFERROR(VLOOKUP($D9104,'Informations sur les produits'!$A$3:$H$10000,8,FALSE),"0")</f>
        <v>0</v>
      </c>
      <c r="K9104" s="4"/>
      <c r="L9104" s="33" t="str">
        <f>IFERROR(VLOOKUP($J9104,'Informations sur les produits'!$A$3:$H$10000,8,FALSE),"0")</f>
        <v>0</v>
      </c>
      <c r="N9104" s="8"/>
      <c r="O9104" s="33" t="str">
        <f>IFERROR(VLOOKUP($M9104,'Informations sur les produits'!$A$3:$H$10000,8,FALSE),"0")</f>
        <v>0</v>
      </c>
      <c r="P9104" s="33">
        <f t="shared" si="568"/>
        <v>0</v>
      </c>
      <c r="Q9104" s="31" t="str">
        <f t="shared" si="569"/>
        <v/>
      </c>
      <c r="R9104" s="32" t="str">
        <f>IFERROR(VLOOKUP($D9104,'Informations sur les produits'!$A$3:$B$15000,2,FALSE),"")</f>
        <v/>
      </c>
      <c r="V9104">
        <f t="shared" si="570"/>
        <v>0</v>
      </c>
      <c r="W9104">
        <f t="shared" si="571"/>
        <v>0</v>
      </c>
    </row>
    <row r="9105" spans="5:23" x14ac:dyDescent="0.25">
      <c r="E9105" s="4"/>
      <c r="F9105" s="4"/>
      <c r="G9105" s="33" t="str">
        <f>IFERROR(VLOOKUP($D9105,'Informations sur les produits'!$A$3:$H$10000,8,FALSE),"0")</f>
        <v>0</v>
      </c>
      <c r="K9105" s="4"/>
      <c r="L9105" s="33" t="str">
        <f>IFERROR(VLOOKUP($J9105,'Informations sur les produits'!$A$3:$H$10000,8,FALSE),"0")</f>
        <v>0</v>
      </c>
      <c r="N9105" s="8"/>
      <c r="O9105" s="33" t="str">
        <f>IFERROR(VLOOKUP($M9105,'Informations sur les produits'!$A$3:$H$10000,8,FALSE),"0")</f>
        <v>0</v>
      </c>
      <c r="P9105" s="33">
        <f t="shared" si="568"/>
        <v>0</v>
      </c>
      <c r="Q9105" s="31" t="str">
        <f t="shared" si="569"/>
        <v/>
      </c>
      <c r="R9105" s="32" t="str">
        <f>IFERROR(VLOOKUP($D9105,'Informations sur les produits'!$A$3:$B$15000,2,FALSE),"")</f>
        <v/>
      </c>
      <c r="V9105">
        <f t="shared" si="570"/>
        <v>0</v>
      </c>
      <c r="W9105">
        <f t="shared" si="571"/>
        <v>0</v>
      </c>
    </row>
    <row r="9106" spans="5:23" x14ac:dyDescent="0.25">
      <c r="E9106" s="4"/>
      <c r="F9106" s="4"/>
      <c r="G9106" s="33" t="str">
        <f>IFERROR(VLOOKUP($D9106,'Informations sur les produits'!$A$3:$H$10000,8,FALSE),"0")</f>
        <v>0</v>
      </c>
      <c r="K9106" s="4"/>
      <c r="L9106" s="33" t="str">
        <f>IFERROR(VLOOKUP($J9106,'Informations sur les produits'!$A$3:$H$10000,8,FALSE),"0")</f>
        <v>0</v>
      </c>
      <c r="N9106" s="8"/>
      <c r="O9106" s="33" t="str">
        <f>IFERROR(VLOOKUP($M9106,'Informations sur les produits'!$A$3:$H$10000,8,FALSE),"0")</f>
        <v>0</v>
      </c>
      <c r="P9106" s="33">
        <f t="shared" si="568"/>
        <v>0</v>
      </c>
      <c r="Q9106" s="31" t="str">
        <f t="shared" si="569"/>
        <v/>
      </c>
      <c r="R9106" s="32" t="str">
        <f>IFERROR(VLOOKUP($D9106,'Informations sur les produits'!$A$3:$B$15000,2,FALSE),"")</f>
        <v/>
      </c>
      <c r="V9106">
        <f t="shared" si="570"/>
        <v>0</v>
      </c>
      <c r="W9106">
        <f t="shared" si="571"/>
        <v>0</v>
      </c>
    </row>
    <row r="9107" spans="5:23" x14ac:dyDescent="0.25">
      <c r="E9107" s="4"/>
      <c r="F9107" s="4"/>
      <c r="G9107" s="33" t="str">
        <f>IFERROR(VLOOKUP($D9107,'Informations sur les produits'!$A$3:$H$10000,8,FALSE),"0")</f>
        <v>0</v>
      </c>
      <c r="K9107" s="4"/>
      <c r="L9107" s="33" t="str">
        <f>IFERROR(VLOOKUP($J9107,'Informations sur les produits'!$A$3:$H$10000,8,FALSE),"0")</f>
        <v>0</v>
      </c>
      <c r="N9107" s="8"/>
      <c r="O9107" s="33" t="str">
        <f>IFERROR(VLOOKUP($M9107,'Informations sur les produits'!$A$3:$H$10000,8,FALSE),"0")</f>
        <v>0</v>
      </c>
      <c r="P9107" s="33">
        <f t="shared" si="568"/>
        <v>0</v>
      </c>
      <c r="Q9107" s="31" t="str">
        <f t="shared" si="569"/>
        <v/>
      </c>
      <c r="R9107" s="32" t="str">
        <f>IFERROR(VLOOKUP($D9107,'Informations sur les produits'!$A$3:$B$15000,2,FALSE),"")</f>
        <v/>
      </c>
      <c r="V9107">
        <f t="shared" si="570"/>
        <v>0</v>
      </c>
      <c r="W9107">
        <f t="shared" si="571"/>
        <v>0</v>
      </c>
    </row>
    <row r="9108" spans="5:23" x14ac:dyDescent="0.25">
      <c r="E9108" s="4"/>
      <c r="F9108" s="4"/>
      <c r="G9108" s="33" t="str">
        <f>IFERROR(VLOOKUP($D9108,'Informations sur les produits'!$A$3:$H$10000,8,FALSE),"0")</f>
        <v>0</v>
      </c>
      <c r="K9108" s="4"/>
      <c r="L9108" s="33" t="str">
        <f>IFERROR(VLOOKUP($J9108,'Informations sur les produits'!$A$3:$H$10000,8,FALSE),"0")</f>
        <v>0</v>
      </c>
      <c r="N9108" s="8"/>
      <c r="O9108" s="33" t="str">
        <f>IFERROR(VLOOKUP($M9108,'Informations sur les produits'!$A$3:$H$10000,8,FALSE),"0")</f>
        <v>0</v>
      </c>
      <c r="P9108" s="33">
        <f t="shared" si="568"/>
        <v>0</v>
      </c>
      <c r="Q9108" s="31" t="str">
        <f t="shared" si="569"/>
        <v/>
      </c>
      <c r="R9108" s="32" t="str">
        <f>IFERROR(VLOOKUP($D9108,'Informations sur les produits'!$A$3:$B$15000,2,FALSE),"")</f>
        <v/>
      </c>
      <c r="V9108">
        <f t="shared" si="570"/>
        <v>0</v>
      </c>
      <c r="W9108">
        <f t="shared" si="571"/>
        <v>0</v>
      </c>
    </row>
    <row r="9109" spans="5:23" x14ac:dyDescent="0.25">
      <c r="E9109" s="4"/>
      <c r="F9109" s="4"/>
      <c r="G9109" s="33" t="str">
        <f>IFERROR(VLOOKUP($D9109,'Informations sur les produits'!$A$3:$H$10000,8,FALSE),"0")</f>
        <v>0</v>
      </c>
      <c r="K9109" s="4"/>
      <c r="L9109" s="33" t="str">
        <f>IFERROR(VLOOKUP($J9109,'Informations sur les produits'!$A$3:$H$10000,8,FALSE),"0")</f>
        <v>0</v>
      </c>
      <c r="N9109" s="8"/>
      <c r="O9109" s="33" t="str">
        <f>IFERROR(VLOOKUP($M9109,'Informations sur les produits'!$A$3:$H$10000,8,FALSE),"0")</f>
        <v>0</v>
      </c>
      <c r="P9109" s="33">
        <f t="shared" si="568"/>
        <v>0</v>
      </c>
      <c r="Q9109" s="31" t="str">
        <f t="shared" si="569"/>
        <v/>
      </c>
      <c r="R9109" s="32" t="str">
        <f>IFERROR(VLOOKUP($D9109,'Informations sur les produits'!$A$3:$B$15000,2,FALSE),"")</f>
        <v/>
      </c>
      <c r="V9109">
        <f t="shared" si="570"/>
        <v>0</v>
      </c>
      <c r="W9109">
        <f t="shared" si="571"/>
        <v>0</v>
      </c>
    </row>
    <row r="9110" spans="5:23" x14ac:dyDescent="0.25">
      <c r="E9110" s="4"/>
      <c r="F9110" s="4"/>
      <c r="G9110" s="33" t="str">
        <f>IFERROR(VLOOKUP($D9110,'Informations sur les produits'!$A$3:$H$10000,8,FALSE),"0")</f>
        <v>0</v>
      </c>
      <c r="K9110" s="4"/>
      <c r="L9110" s="33" t="str">
        <f>IFERROR(VLOOKUP($J9110,'Informations sur les produits'!$A$3:$H$10000,8,FALSE),"0")</f>
        <v>0</v>
      </c>
      <c r="N9110" s="8"/>
      <c r="O9110" s="33" t="str">
        <f>IFERROR(VLOOKUP($M9110,'Informations sur les produits'!$A$3:$H$10000,8,FALSE),"0")</f>
        <v>0</v>
      </c>
      <c r="P9110" s="33">
        <f t="shared" si="568"/>
        <v>0</v>
      </c>
      <c r="Q9110" s="31" t="str">
        <f t="shared" si="569"/>
        <v/>
      </c>
      <c r="R9110" s="32" t="str">
        <f>IFERROR(VLOOKUP($D9110,'Informations sur les produits'!$A$3:$B$15000,2,FALSE),"")</f>
        <v/>
      </c>
      <c r="V9110">
        <f t="shared" si="570"/>
        <v>0</v>
      </c>
      <c r="W9110">
        <f t="shared" si="571"/>
        <v>0</v>
      </c>
    </row>
    <row r="9111" spans="5:23" x14ac:dyDescent="0.25">
      <c r="E9111" s="4"/>
      <c r="F9111" s="4"/>
      <c r="G9111" s="33" t="str">
        <f>IFERROR(VLOOKUP($D9111,'Informations sur les produits'!$A$3:$H$10000,8,FALSE),"0")</f>
        <v>0</v>
      </c>
      <c r="K9111" s="4"/>
      <c r="L9111" s="33" t="str">
        <f>IFERROR(VLOOKUP($J9111,'Informations sur les produits'!$A$3:$H$10000,8,FALSE),"0")</f>
        <v>0</v>
      </c>
      <c r="N9111" s="8"/>
      <c r="O9111" s="33" t="str">
        <f>IFERROR(VLOOKUP($M9111,'Informations sur les produits'!$A$3:$H$10000,8,FALSE),"0")</f>
        <v>0</v>
      </c>
      <c r="P9111" s="33">
        <f t="shared" si="568"/>
        <v>0</v>
      </c>
      <c r="Q9111" s="31" t="str">
        <f t="shared" si="569"/>
        <v/>
      </c>
      <c r="R9111" s="32" t="str">
        <f>IFERROR(VLOOKUP($D9111,'Informations sur les produits'!$A$3:$B$15000,2,FALSE),"")</f>
        <v/>
      </c>
      <c r="V9111">
        <f t="shared" si="570"/>
        <v>0</v>
      </c>
      <c r="W9111">
        <f t="shared" si="571"/>
        <v>0</v>
      </c>
    </row>
    <row r="9112" spans="5:23" x14ac:dyDescent="0.25">
      <c r="E9112" s="4"/>
      <c r="F9112" s="4"/>
      <c r="G9112" s="33" t="str">
        <f>IFERROR(VLOOKUP($D9112,'Informations sur les produits'!$A$3:$H$10000,8,FALSE),"0")</f>
        <v>0</v>
      </c>
      <c r="K9112" s="4"/>
      <c r="L9112" s="33" t="str">
        <f>IFERROR(VLOOKUP($J9112,'Informations sur les produits'!$A$3:$H$10000,8,FALSE),"0")</f>
        <v>0</v>
      </c>
      <c r="N9112" s="8"/>
      <c r="O9112" s="33" t="str">
        <f>IFERROR(VLOOKUP($M9112,'Informations sur les produits'!$A$3:$H$10000,8,FALSE),"0")</f>
        <v>0</v>
      </c>
      <c r="P9112" s="33">
        <f t="shared" si="568"/>
        <v>0</v>
      </c>
      <c r="Q9112" s="31" t="str">
        <f t="shared" si="569"/>
        <v/>
      </c>
      <c r="R9112" s="32" t="str">
        <f>IFERROR(VLOOKUP($D9112,'Informations sur les produits'!$A$3:$B$15000,2,FALSE),"")</f>
        <v/>
      </c>
      <c r="V9112">
        <f t="shared" si="570"/>
        <v>0</v>
      </c>
      <c r="W9112">
        <f t="shared" si="571"/>
        <v>0</v>
      </c>
    </row>
    <row r="9113" spans="5:23" x14ac:dyDescent="0.25">
      <c r="E9113" s="4"/>
      <c r="F9113" s="4"/>
      <c r="G9113" s="33" t="str">
        <f>IFERROR(VLOOKUP($D9113,'Informations sur les produits'!$A$3:$H$10000,8,FALSE),"0")</f>
        <v>0</v>
      </c>
      <c r="K9113" s="4"/>
      <c r="L9113" s="33" t="str">
        <f>IFERROR(VLOOKUP($J9113,'Informations sur les produits'!$A$3:$H$10000,8,FALSE),"0")</f>
        <v>0</v>
      </c>
      <c r="N9113" s="8"/>
      <c r="O9113" s="33" t="str">
        <f>IFERROR(VLOOKUP($M9113,'Informations sur les produits'!$A$3:$H$10000,8,FALSE),"0")</f>
        <v>0</v>
      </c>
      <c r="P9113" s="33">
        <f t="shared" si="568"/>
        <v>0</v>
      </c>
      <c r="Q9113" s="31" t="str">
        <f t="shared" si="569"/>
        <v/>
      </c>
      <c r="R9113" s="32" t="str">
        <f>IFERROR(VLOOKUP($D9113,'Informations sur les produits'!$A$3:$B$15000,2,FALSE),"")</f>
        <v/>
      </c>
      <c r="V9113">
        <f t="shared" si="570"/>
        <v>0</v>
      </c>
      <c r="W9113">
        <f t="shared" si="571"/>
        <v>0</v>
      </c>
    </row>
    <row r="9114" spans="5:23" x14ac:dyDescent="0.25">
      <c r="E9114" s="4"/>
      <c r="F9114" s="4"/>
      <c r="G9114" s="33" t="str">
        <f>IFERROR(VLOOKUP($D9114,'Informations sur les produits'!$A$3:$H$10000,8,FALSE),"0")</f>
        <v>0</v>
      </c>
      <c r="K9114" s="4"/>
      <c r="L9114" s="33" t="str">
        <f>IFERROR(VLOOKUP($J9114,'Informations sur les produits'!$A$3:$H$10000,8,FALSE),"0")</f>
        <v>0</v>
      </c>
      <c r="N9114" s="8"/>
      <c r="O9114" s="33" t="str">
        <f>IFERROR(VLOOKUP($M9114,'Informations sur les produits'!$A$3:$H$10000,8,FALSE),"0")</f>
        <v>0</v>
      </c>
      <c r="P9114" s="33">
        <f t="shared" si="568"/>
        <v>0</v>
      </c>
      <c r="Q9114" s="31" t="str">
        <f t="shared" si="569"/>
        <v/>
      </c>
      <c r="R9114" s="32" t="str">
        <f>IFERROR(VLOOKUP($D9114,'Informations sur les produits'!$A$3:$B$15000,2,FALSE),"")</f>
        <v/>
      </c>
      <c r="V9114">
        <f t="shared" si="570"/>
        <v>0</v>
      </c>
      <c r="W9114">
        <f t="shared" si="571"/>
        <v>0</v>
      </c>
    </row>
    <row r="9115" spans="5:23" x14ac:dyDescent="0.25">
      <c r="E9115" s="4"/>
      <c r="F9115" s="4"/>
      <c r="G9115" s="33" t="str">
        <f>IFERROR(VLOOKUP($D9115,'Informations sur les produits'!$A$3:$H$10000,8,FALSE),"0")</f>
        <v>0</v>
      </c>
      <c r="K9115" s="4"/>
      <c r="L9115" s="33" t="str">
        <f>IFERROR(VLOOKUP($J9115,'Informations sur les produits'!$A$3:$H$10000,8,FALSE),"0")</f>
        <v>0</v>
      </c>
      <c r="N9115" s="8"/>
      <c r="O9115" s="33" t="str">
        <f>IFERROR(VLOOKUP($M9115,'Informations sur les produits'!$A$3:$H$10000,8,FALSE),"0")</f>
        <v>0</v>
      </c>
      <c r="P9115" s="33">
        <f t="shared" si="568"/>
        <v>0</v>
      </c>
      <c r="Q9115" s="31" t="str">
        <f t="shared" si="569"/>
        <v/>
      </c>
      <c r="R9115" s="32" t="str">
        <f>IFERROR(VLOOKUP($D9115,'Informations sur les produits'!$A$3:$B$15000,2,FALSE),"")</f>
        <v/>
      </c>
      <c r="V9115">
        <f t="shared" si="570"/>
        <v>0</v>
      </c>
      <c r="W9115">
        <f t="shared" si="571"/>
        <v>0</v>
      </c>
    </row>
    <row r="9116" spans="5:23" x14ac:dyDescent="0.25">
      <c r="E9116" s="4"/>
      <c r="F9116" s="4"/>
      <c r="G9116" s="33" t="str">
        <f>IFERROR(VLOOKUP($D9116,'Informations sur les produits'!$A$3:$H$10000,8,FALSE),"0")</f>
        <v>0</v>
      </c>
      <c r="K9116" s="4"/>
      <c r="L9116" s="33" t="str">
        <f>IFERROR(VLOOKUP($J9116,'Informations sur les produits'!$A$3:$H$10000,8,FALSE),"0")</f>
        <v>0</v>
      </c>
      <c r="N9116" s="8"/>
      <c r="O9116" s="33" t="str">
        <f>IFERROR(VLOOKUP($M9116,'Informations sur les produits'!$A$3:$H$10000,8,FALSE),"0")</f>
        <v>0</v>
      </c>
      <c r="P9116" s="33">
        <f t="shared" si="568"/>
        <v>0</v>
      </c>
      <c r="Q9116" s="31" t="str">
        <f t="shared" si="569"/>
        <v/>
      </c>
      <c r="R9116" s="32" t="str">
        <f>IFERROR(VLOOKUP($D9116,'Informations sur les produits'!$A$3:$B$15000,2,FALSE),"")</f>
        <v/>
      </c>
      <c r="V9116">
        <f t="shared" si="570"/>
        <v>0</v>
      </c>
      <c r="W9116">
        <f t="shared" si="571"/>
        <v>0</v>
      </c>
    </row>
    <row r="9117" spans="5:23" x14ac:dyDescent="0.25">
      <c r="E9117" s="4"/>
      <c r="F9117" s="4"/>
      <c r="G9117" s="33" t="str">
        <f>IFERROR(VLOOKUP($D9117,'Informations sur les produits'!$A$3:$H$10000,8,FALSE),"0")</f>
        <v>0</v>
      </c>
      <c r="K9117" s="4"/>
      <c r="L9117" s="33" t="str">
        <f>IFERROR(VLOOKUP($J9117,'Informations sur les produits'!$A$3:$H$10000,8,FALSE),"0")</f>
        <v>0</v>
      </c>
      <c r="N9117" s="8"/>
      <c r="O9117" s="33" t="str">
        <f>IFERROR(VLOOKUP($M9117,'Informations sur les produits'!$A$3:$H$10000,8,FALSE),"0")</f>
        <v>0</v>
      </c>
      <c r="P9117" s="33">
        <f t="shared" si="568"/>
        <v>0</v>
      </c>
      <c r="Q9117" s="31" t="str">
        <f t="shared" si="569"/>
        <v/>
      </c>
      <c r="R9117" s="32" t="str">
        <f>IFERROR(VLOOKUP($D9117,'Informations sur les produits'!$A$3:$B$15000,2,FALSE),"")</f>
        <v/>
      </c>
      <c r="V9117">
        <f t="shared" si="570"/>
        <v>0</v>
      </c>
      <c r="W9117">
        <f t="shared" si="571"/>
        <v>0</v>
      </c>
    </row>
    <row r="9118" spans="5:23" x14ac:dyDescent="0.25">
      <c r="E9118" s="4"/>
      <c r="F9118" s="4"/>
      <c r="G9118" s="33" t="str">
        <f>IFERROR(VLOOKUP($D9118,'Informations sur les produits'!$A$3:$H$10000,8,FALSE),"0")</f>
        <v>0</v>
      </c>
      <c r="K9118" s="4"/>
      <c r="L9118" s="33" t="str">
        <f>IFERROR(VLOOKUP($J9118,'Informations sur les produits'!$A$3:$H$10000,8,FALSE),"0")</f>
        <v>0</v>
      </c>
      <c r="N9118" s="8"/>
      <c r="O9118" s="33" t="str">
        <f>IFERROR(VLOOKUP($M9118,'Informations sur les produits'!$A$3:$H$10000,8,FALSE),"0")</f>
        <v>0</v>
      </c>
      <c r="P9118" s="33">
        <f t="shared" si="568"/>
        <v>0</v>
      </c>
      <c r="Q9118" s="31" t="str">
        <f t="shared" si="569"/>
        <v/>
      </c>
      <c r="R9118" s="32" t="str">
        <f>IFERROR(VLOOKUP($D9118,'Informations sur les produits'!$A$3:$B$15000,2,FALSE),"")</f>
        <v/>
      </c>
      <c r="V9118">
        <f t="shared" si="570"/>
        <v>0</v>
      </c>
      <c r="W9118">
        <f t="shared" si="571"/>
        <v>0</v>
      </c>
    </row>
    <row r="9119" spans="5:23" x14ac:dyDescent="0.25">
      <c r="E9119" s="4"/>
      <c r="F9119" s="4"/>
      <c r="G9119" s="33" t="str">
        <f>IFERROR(VLOOKUP($D9119,'Informations sur les produits'!$A$3:$H$10000,8,FALSE),"0")</f>
        <v>0</v>
      </c>
      <c r="K9119" s="4"/>
      <c r="L9119" s="33" t="str">
        <f>IFERROR(VLOOKUP($J9119,'Informations sur les produits'!$A$3:$H$10000,8,FALSE),"0")</f>
        <v>0</v>
      </c>
      <c r="N9119" s="8"/>
      <c r="O9119" s="33" t="str">
        <f>IFERROR(VLOOKUP($M9119,'Informations sur les produits'!$A$3:$H$10000,8,FALSE),"0")</f>
        <v>0</v>
      </c>
      <c r="P9119" s="33">
        <f t="shared" si="568"/>
        <v>0</v>
      </c>
      <c r="Q9119" s="31" t="str">
        <f t="shared" si="569"/>
        <v/>
      </c>
      <c r="R9119" s="32" t="str">
        <f>IFERROR(VLOOKUP($D9119,'Informations sur les produits'!$A$3:$B$15000,2,FALSE),"")</f>
        <v/>
      </c>
      <c r="V9119">
        <f t="shared" si="570"/>
        <v>0</v>
      </c>
      <c r="W9119">
        <f t="shared" si="571"/>
        <v>0</v>
      </c>
    </row>
    <row r="9120" spans="5:23" x14ac:dyDescent="0.25">
      <c r="E9120" s="4"/>
      <c r="F9120" s="4"/>
      <c r="G9120" s="33" t="str">
        <f>IFERROR(VLOOKUP($D9120,'Informations sur les produits'!$A$3:$H$10000,8,FALSE),"0")</f>
        <v>0</v>
      </c>
      <c r="K9120" s="4"/>
      <c r="L9120" s="33" t="str">
        <f>IFERROR(VLOOKUP($J9120,'Informations sur les produits'!$A$3:$H$10000,8,FALSE),"0")</f>
        <v>0</v>
      </c>
      <c r="N9120" s="8"/>
      <c r="O9120" s="33" t="str">
        <f>IFERROR(VLOOKUP($M9120,'Informations sur les produits'!$A$3:$H$10000,8,FALSE),"0")</f>
        <v>0</v>
      </c>
      <c r="P9120" s="33">
        <f t="shared" si="568"/>
        <v>0</v>
      </c>
      <c r="Q9120" s="31" t="str">
        <f t="shared" si="569"/>
        <v/>
      </c>
      <c r="R9120" s="32" t="str">
        <f>IFERROR(VLOOKUP($D9120,'Informations sur les produits'!$A$3:$B$15000,2,FALSE),"")</f>
        <v/>
      </c>
      <c r="V9120">
        <f t="shared" si="570"/>
        <v>0</v>
      </c>
      <c r="W9120">
        <f t="shared" si="571"/>
        <v>0</v>
      </c>
    </row>
    <row r="9121" spans="5:23" x14ac:dyDescent="0.25">
      <c r="E9121" s="4"/>
      <c r="F9121" s="4"/>
      <c r="G9121" s="33" t="str">
        <f>IFERROR(VLOOKUP($D9121,'Informations sur les produits'!$A$3:$H$10000,8,FALSE),"0")</f>
        <v>0</v>
      </c>
      <c r="K9121" s="4"/>
      <c r="L9121" s="33" t="str">
        <f>IFERROR(VLOOKUP($J9121,'Informations sur les produits'!$A$3:$H$10000,8,FALSE),"0")</f>
        <v>0</v>
      </c>
      <c r="N9121" s="8"/>
      <c r="O9121" s="33" t="str">
        <f>IFERROR(VLOOKUP($M9121,'Informations sur les produits'!$A$3:$H$10000,8,FALSE),"0")</f>
        <v>0</v>
      </c>
      <c r="P9121" s="33">
        <f t="shared" si="568"/>
        <v>0</v>
      </c>
      <c r="Q9121" s="31" t="str">
        <f t="shared" si="569"/>
        <v/>
      </c>
      <c r="R9121" s="32" t="str">
        <f>IFERROR(VLOOKUP($D9121,'Informations sur les produits'!$A$3:$B$15000,2,FALSE),"")</f>
        <v/>
      </c>
      <c r="V9121">
        <f t="shared" si="570"/>
        <v>0</v>
      </c>
      <c r="W9121">
        <f t="shared" si="571"/>
        <v>0</v>
      </c>
    </row>
    <row r="9122" spans="5:23" x14ac:dyDescent="0.25">
      <c r="E9122" s="4"/>
      <c r="F9122" s="4"/>
      <c r="G9122" s="33" t="str">
        <f>IFERROR(VLOOKUP($D9122,'Informations sur les produits'!$A$3:$H$10000,8,FALSE),"0")</f>
        <v>0</v>
      </c>
      <c r="K9122" s="4"/>
      <c r="L9122" s="33" t="str">
        <f>IFERROR(VLOOKUP($J9122,'Informations sur les produits'!$A$3:$H$10000,8,FALSE),"0")</f>
        <v>0</v>
      </c>
      <c r="N9122" s="8"/>
      <c r="O9122" s="33" t="str">
        <f>IFERROR(VLOOKUP($M9122,'Informations sur les produits'!$A$3:$H$10000,8,FALSE),"0")</f>
        <v>0</v>
      </c>
      <c r="P9122" s="33">
        <f t="shared" si="568"/>
        <v>0</v>
      </c>
      <c r="Q9122" s="31" t="str">
        <f t="shared" si="569"/>
        <v/>
      </c>
      <c r="R9122" s="32" t="str">
        <f>IFERROR(VLOOKUP($D9122,'Informations sur les produits'!$A$3:$B$15000,2,FALSE),"")</f>
        <v/>
      </c>
      <c r="V9122">
        <f t="shared" si="570"/>
        <v>0</v>
      </c>
      <c r="W9122">
        <f t="shared" si="571"/>
        <v>0</v>
      </c>
    </row>
    <row r="9123" spans="5:23" x14ac:dyDescent="0.25">
      <c r="E9123" s="4"/>
      <c r="F9123" s="4"/>
      <c r="G9123" s="33" t="str">
        <f>IFERROR(VLOOKUP($D9123,'Informations sur les produits'!$A$3:$H$10000,8,FALSE),"0")</f>
        <v>0</v>
      </c>
      <c r="K9123" s="4"/>
      <c r="L9123" s="33" t="str">
        <f>IFERROR(VLOOKUP($J9123,'Informations sur les produits'!$A$3:$H$10000,8,FALSE),"0")</f>
        <v>0</v>
      </c>
      <c r="N9123" s="8"/>
      <c r="O9123" s="33" t="str">
        <f>IFERROR(VLOOKUP($M9123,'Informations sur les produits'!$A$3:$H$10000,8,FALSE),"0")</f>
        <v>0</v>
      </c>
      <c r="P9123" s="33">
        <f t="shared" si="568"/>
        <v>0</v>
      </c>
      <c r="Q9123" s="31" t="str">
        <f t="shared" si="569"/>
        <v/>
      </c>
      <c r="R9123" s="32" t="str">
        <f>IFERROR(VLOOKUP($D9123,'Informations sur les produits'!$A$3:$B$15000,2,FALSE),"")</f>
        <v/>
      </c>
      <c r="V9123">
        <f t="shared" si="570"/>
        <v>0</v>
      </c>
      <c r="W9123">
        <f t="shared" si="571"/>
        <v>0</v>
      </c>
    </row>
    <row r="9124" spans="5:23" x14ac:dyDescent="0.25">
      <c r="E9124" s="4"/>
      <c r="F9124" s="4"/>
      <c r="G9124" s="33" t="str">
        <f>IFERROR(VLOOKUP($D9124,'Informations sur les produits'!$A$3:$H$10000,8,FALSE),"0")</f>
        <v>0</v>
      </c>
      <c r="K9124" s="4"/>
      <c r="L9124" s="33" t="str">
        <f>IFERROR(VLOOKUP($J9124,'Informations sur les produits'!$A$3:$H$10000,8,FALSE),"0")</f>
        <v>0</v>
      </c>
      <c r="N9124" s="8"/>
      <c r="O9124" s="33" t="str">
        <f>IFERROR(VLOOKUP($M9124,'Informations sur les produits'!$A$3:$H$10000,8,FALSE),"0")</f>
        <v>0</v>
      </c>
      <c r="P9124" s="33">
        <f t="shared" si="568"/>
        <v>0</v>
      </c>
      <c r="Q9124" s="31" t="str">
        <f t="shared" si="569"/>
        <v/>
      </c>
      <c r="R9124" s="32" t="str">
        <f>IFERROR(VLOOKUP($D9124,'Informations sur les produits'!$A$3:$B$15000,2,FALSE),"")</f>
        <v/>
      </c>
      <c r="V9124">
        <f t="shared" si="570"/>
        <v>0</v>
      </c>
      <c r="W9124">
        <f t="shared" si="571"/>
        <v>0</v>
      </c>
    </row>
    <row r="9125" spans="5:23" x14ac:dyDescent="0.25">
      <c r="E9125" s="4"/>
      <c r="F9125" s="4"/>
      <c r="G9125" s="33" t="str">
        <f>IFERROR(VLOOKUP($D9125,'Informations sur les produits'!$A$3:$H$10000,8,FALSE),"0")</f>
        <v>0</v>
      </c>
      <c r="K9125" s="4"/>
      <c r="L9125" s="33" t="str">
        <f>IFERROR(VLOOKUP($J9125,'Informations sur les produits'!$A$3:$H$10000,8,FALSE),"0")</f>
        <v>0</v>
      </c>
      <c r="N9125" s="8"/>
      <c r="O9125" s="33" t="str">
        <f>IFERROR(VLOOKUP($M9125,'Informations sur les produits'!$A$3:$H$10000,8,FALSE),"0")</f>
        <v>0</v>
      </c>
      <c r="P9125" s="33">
        <f t="shared" si="568"/>
        <v>0</v>
      </c>
      <c r="Q9125" s="31" t="str">
        <f t="shared" si="569"/>
        <v/>
      </c>
      <c r="R9125" s="32" t="str">
        <f>IFERROR(VLOOKUP($D9125,'Informations sur les produits'!$A$3:$B$15000,2,FALSE),"")</f>
        <v/>
      </c>
      <c r="V9125">
        <f t="shared" si="570"/>
        <v>0</v>
      </c>
      <c r="W9125">
        <f t="shared" si="571"/>
        <v>0</v>
      </c>
    </row>
    <row r="9126" spans="5:23" x14ac:dyDescent="0.25">
      <c r="E9126" s="4"/>
      <c r="F9126" s="4"/>
      <c r="G9126" s="33" t="str">
        <f>IFERROR(VLOOKUP($D9126,'Informations sur les produits'!$A$3:$H$10000,8,FALSE),"0")</f>
        <v>0</v>
      </c>
      <c r="K9126" s="4"/>
      <c r="L9126" s="33" t="str">
        <f>IFERROR(VLOOKUP($J9126,'Informations sur les produits'!$A$3:$H$10000,8,FALSE),"0")</f>
        <v>0</v>
      </c>
      <c r="N9126" s="8"/>
      <c r="O9126" s="33" t="str">
        <f>IFERROR(VLOOKUP($M9126,'Informations sur les produits'!$A$3:$H$10000,8,FALSE),"0")</f>
        <v>0</v>
      </c>
      <c r="P9126" s="33">
        <f t="shared" si="568"/>
        <v>0</v>
      </c>
      <c r="Q9126" s="31" t="str">
        <f t="shared" si="569"/>
        <v/>
      </c>
      <c r="R9126" s="32" t="str">
        <f>IFERROR(VLOOKUP($D9126,'Informations sur les produits'!$A$3:$B$15000,2,FALSE),"")</f>
        <v/>
      </c>
      <c r="V9126">
        <f t="shared" si="570"/>
        <v>0</v>
      </c>
      <c r="W9126">
        <f t="shared" si="571"/>
        <v>0</v>
      </c>
    </row>
    <row r="9127" spans="5:23" x14ac:dyDescent="0.25">
      <c r="E9127" s="4"/>
      <c r="F9127" s="4"/>
      <c r="G9127" s="33" t="str">
        <f>IFERROR(VLOOKUP($D9127,'Informations sur les produits'!$A$3:$H$10000,8,FALSE),"0")</f>
        <v>0</v>
      </c>
      <c r="K9127" s="4"/>
      <c r="L9127" s="33" t="str">
        <f>IFERROR(VLOOKUP($J9127,'Informations sur les produits'!$A$3:$H$10000,8,FALSE),"0")</f>
        <v>0</v>
      </c>
      <c r="N9127" s="8"/>
      <c r="O9127" s="33" t="str">
        <f>IFERROR(VLOOKUP($M9127,'Informations sur les produits'!$A$3:$H$10000,8,FALSE),"0")</f>
        <v>0</v>
      </c>
      <c r="P9127" s="33">
        <f t="shared" si="568"/>
        <v>0</v>
      </c>
      <c r="Q9127" s="31" t="str">
        <f t="shared" si="569"/>
        <v/>
      </c>
      <c r="R9127" s="32" t="str">
        <f>IFERROR(VLOOKUP($D9127,'Informations sur les produits'!$A$3:$B$15000,2,FALSE),"")</f>
        <v/>
      </c>
      <c r="V9127">
        <f t="shared" si="570"/>
        <v>0</v>
      </c>
      <c r="W9127">
        <f t="shared" si="571"/>
        <v>0</v>
      </c>
    </row>
    <row r="9128" spans="5:23" x14ac:dyDescent="0.25">
      <c r="E9128" s="4"/>
      <c r="F9128" s="4"/>
      <c r="G9128" s="33" t="str">
        <f>IFERROR(VLOOKUP($D9128,'Informations sur les produits'!$A$3:$H$10000,8,FALSE),"0")</f>
        <v>0</v>
      </c>
      <c r="K9128" s="4"/>
      <c r="L9128" s="33" t="str">
        <f>IFERROR(VLOOKUP($J9128,'Informations sur les produits'!$A$3:$H$10000,8,FALSE),"0")</f>
        <v>0</v>
      </c>
      <c r="N9128" s="8"/>
      <c r="O9128" s="33" t="str">
        <f>IFERROR(VLOOKUP($M9128,'Informations sur les produits'!$A$3:$H$10000,8,FALSE),"0")</f>
        <v>0</v>
      </c>
      <c r="P9128" s="33">
        <f t="shared" si="568"/>
        <v>0</v>
      </c>
      <c r="Q9128" s="31" t="str">
        <f t="shared" si="569"/>
        <v/>
      </c>
      <c r="R9128" s="32" t="str">
        <f>IFERROR(VLOOKUP($D9128,'Informations sur les produits'!$A$3:$B$15000,2,FALSE),"")</f>
        <v/>
      </c>
      <c r="V9128">
        <f t="shared" si="570"/>
        <v>0</v>
      </c>
      <c r="W9128">
        <f t="shared" si="571"/>
        <v>0</v>
      </c>
    </row>
    <row r="9129" spans="5:23" x14ac:dyDescent="0.25">
      <c r="E9129" s="4"/>
      <c r="F9129" s="4"/>
      <c r="G9129" s="33" t="str">
        <f>IFERROR(VLOOKUP($D9129,'Informations sur les produits'!$A$3:$H$10000,8,FALSE),"0")</f>
        <v>0</v>
      </c>
      <c r="K9129" s="4"/>
      <c r="L9129" s="33" t="str">
        <f>IFERROR(VLOOKUP($J9129,'Informations sur les produits'!$A$3:$H$10000,8,FALSE),"0")</f>
        <v>0</v>
      </c>
      <c r="N9129" s="8"/>
      <c r="O9129" s="33" t="str">
        <f>IFERROR(VLOOKUP($M9129,'Informations sur les produits'!$A$3:$H$10000,8,FALSE),"0")</f>
        <v>0</v>
      </c>
      <c r="P9129" s="33">
        <f t="shared" si="568"/>
        <v>0</v>
      </c>
      <c r="Q9129" s="31" t="str">
        <f t="shared" si="569"/>
        <v/>
      </c>
      <c r="R9129" s="32" t="str">
        <f>IFERROR(VLOOKUP($D9129,'Informations sur les produits'!$A$3:$B$15000,2,FALSE),"")</f>
        <v/>
      </c>
      <c r="V9129">
        <f t="shared" si="570"/>
        <v>0</v>
      </c>
      <c r="W9129">
        <f t="shared" si="571"/>
        <v>0</v>
      </c>
    </row>
    <row r="9130" spans="5:23" x14ac:dyDescent="0.25">
      <c r="E9130" s="4"/>
      <c r="F9130" s="4"/>
      <c r="G9130" s="33" t="str">
        <f>IFERROR(VLOOKUP($D9130,'Informations sur les produits'!$A$3:$H$10000,8,FALSE),"0")</f>
        <v>0</v>
      </c>
      <c r="K9130" s="4"/>
      <c r="L9130" s="33" t="str">
        <f>IFERROR(VLOOKUP($J9130,'Informations sur les produits'!$A$3:$H$10000,8,FALSE),"0")</f>
        <v>0</v>
      </c>
      <c r="N9130" s="8"/>
      <c r="O9130" s="33" t="str">
        <f>IFERROR(VLOOKUP($M9130,'Informations sur les produits'!$A$3:$H$10000,8,FALSE),"0")</f>
        <v>0</v>
      </c>
      <c r="P9130" s="33">
        <f t="shared" si="568"/>
        <v>0</v>
      </c>
      <c r="Q9130" s="31" t="str">
        <f t="shared" si="569"/>
        <v/>
      </c>
      <c r="R9130" s="32" t="str">
        <f>IFERROR(VLOOKUP($D9130,'Informations sur les produits'!$A$3:$B$15000,2,FALSE),"")</f>
        <v/>
      </c>
      <c r="V9130">
        <f t="shared" si="570"/>
        <v>0</v>
      </c>
      <c r="W9130">
        <f t="shared" si="571"/>
        <v>0</v>
      </c>
    </row>
    <row r="9131" spans="5:23" x14ac:dyDescent="0.25">
      <c r="E9131" s="4"/>
      <c r="F9131" s="4"/>
      <c r="G9131" s="33" t="str">
        <f>IFERROR(VLOOKUP($D9131,'Informations sur les produits'!$A$3:$H$10000,8,FALSE),"0")</f>
        <v>0</v>
      </c>
      <c r="K9131" s="4"/>
      <c r="L9131" s="33" t="str">
        <f>IFERROR(VLOOKUP($J9131,'Informations sur les produits'!$A$3:$H$10000,8,FALSE),"0")</f>
        <v>0</v>
      </c>
      <c r="N9131" s="8"/>
      <c r="O9131" s="33" t="str">
        <f>IFERROR(VLOOKUP($M9131,'Informations sur les produits'!$A$3:$H$10000,8,FALSE),"0")</f>
        <v>0</v>
      </c>
      <c r="P9131" s="33">
        <f t="shared" si="568"/>
        <v>0</v>
      </c>
      <c r="Q9131" s="31" t="str">
        <f t="shared" si="569"/>
        <v/>
      </c>
      <c r="R9131" s="32" t="str">
        <f>IFERROR(VLOOKUP($D9131,'Informations sur les produits'!$A$3:$B$15000,2,FALSE),"")</f>
        <v/>
      </c>
      <c r="V9131">
        <f t="shared" si="570"/>
        <v>0</v>
      </c>
      <c r="W9131">
        <f t="shared" si="571"/>
        <v>0</v>
      </c>
    </row>
    <row r="9132" spans="5:23" x14ac:dyDescent="0.25">
      <c r="E9132" s="4"/>
      <c r="F9132" s="4"/>
      <c r="G9132" s="33" t="str">
        <f>IFERROR(VLOOKUP($D9132,'Informations sur les produits'!$A$3:$H$10000,8,FALSE),"0")</f>
        <v>0</v>
      </c>
      <c r="K9132" s="4"/>
      <c r="L9132" s="33" t="str">
        <f>IFERROR(VLOOKUP($J9132,'Informations sur les produits'!$A$3:$H$10000,8,FALSE),"0")</f>
        <v>0</v>
      </c>
      <c r="N9132" s="8"/>
      <c r="O9132" s="33" t="str">
        <f>IFERROR(VLOOKUP($M9132,'Informations sur les produits'!$A$3:$H$10000,8,FALSE),"0")</f>
        <v>0</v>
      </c>
      <c r="P9132" s="33">
        <f t="shared" si="568"/>
        <v>0</v>
      </c>
      <c r="Q9132" s="31" t="str">
        <f t="shared" si="569"/>
        <v/>
      </c>
      <c r="R9132" s="32" t="str">
        <f>IFERROR(VLOOKUP($D9132,'Informations sur les produits'!$A$3:$B$15000,2,FALSE),"")</f>
        <v/>
      </c>
      <c r="V9132">
        <f t="shared" si="570"/>
        <v>0</v>
      </c>
      <c r="W9132">
        <f t="shared" si="571"/>
        <v>0</v>
      </c>
    </row>
    <row r="9133" spans="5:23" x14ac:dyDescent="0.25">
      <c r="E9133" s="4"/>
      <c r="F9133" s="4"/>
      <c r="G9133" s="33" t="str">
        <f>IFERROR(VLOOKUP($D9133,'Informations sur les produits'!$A$3:$H$10000,8,FALSE),"0")</f>
        <v>0</v>
      </c>
      <c r="K9133" s="4"/>
      <c r="L9133" s="33" t="str">
        <f>IFERROR(VLOOKUP($J9133,'Informations sur les produits'!$A$3:$H$10000,8,FALSE),"0")</f>
        <v>0</v>
      </c>
      <c r="N9133" s="8"/>
      <c r="O9133" s="33" t="str">
        <f>IFERROR(VLOOKUP($M9133,'Informations sur les produits'!$A$3:$H$10000,8,FALSE),"0")</f>
        <v>0</v>
      </c>
      <c r="P9133" s="33">
        <f t="shared" si="568"/>
        <v>0</v>
      </c>
      <c r="Q9133" s="31" t="str">
        <f t="shared" si="569"/>
        <v/>
      </c>
      <c r="R9133" s="32" t="str">
        <f>IFERROR(VLOOKUP($D9133,'Informations sur les produits'!$A$3:$B$15000,2,FALSE),"")</f>
        <v/>
      </c>
      <c r="V9133">
        <f t="shared" si="570"/>
        <v>0</v>
      </c>
      <c r="W9133">
        <f t="shared" si="571"/>
        <v>0</v>
      </c>
    </row>
    <row r="9134" spans="5:23" x14ac:dyDescent="0.25">
      <c r="E9134" s="4"/>
      <c r="F9134" s="4"/>
      <c r="G9134" s="33" t="str">
        <f>IFERROR(VLOOKUP($D9134,'Informations sur les produits'!$A$3:$H$10000,8,FALSE),"0")</f>
        <v>0</v>
      </c>
      <c r="K9134" s="4"/>
      <c r="L9134" s="33" t="str">
        <f>IFERROR(VLOOKUP($J9134,'Informations sur les produits'!$A$3:$H$10000,8,FALSE),"0")</f>
        <v>0</v>
      </c>
      <c r="N9134" s="8"/>
      <c r="O9134" s="33" t="str">
        <f>IFERROR(VLOOKUP($M9134,'Informations sur les produits'!$A$3:$H$10000,8,FALSE),"0")</f>
        <v>0</v>
      </c>
      <c r="P9134" s="33">
        <f t="shared" si="568"/>
        <v>0</v>
      </c>
      <c r="Q9134" s="31" t="str">
        <f t="shared" si="569"/>
        <v/>
      </c>
      <c r="R9134" s="32" t="str">
        <f>IFERROR(VLOOKUP($D9134,'Informations sur les produits'!$A$3:$B$15000,2,FALSE),"")</f>
        <v/>
      </c>
      <c r="V9134">
        <f t="shared" si="570"/>
        <v>0</v>
      </c>
      <c r="W9134">
        <f t="shared" si="571"/>
        <v>0</v>
      </c>
    </row>
    <row r="9135" spans="5:23" x14ac:dyDescent="0.25">
      <c r="E9135" s="4"/>
      <c r="F9135" s="4"/>
      <c r="G9135" s="33" t="str">
        <f>IFERROR(VLOOKUP($D9135,'Informations sur les produits'!$A$3:$H$10000,8,FALSE),"0")</f>
        <v>0</v>
      </c>
      <c r="K9135" s="4"/>
      <c r="L9135" s="33" t="str">
        <f>IFERROR(VLOOKUP($J9135,'Informations sur les produits'!$A$3:$H$10000,8,FALSE),"0")</f>
        <v>0</v>
      </c>
      <c r="N9135" s="8"/>
      <c r="O9135" s="33" t="str">
        <f>IFERROR(VLOOKUP($M9135,'Informations sur les produits'!$A$3:$H$10000,8,FALSE),"0")</f>
        <v>0</v>
      </c>
      <c r="P9135" s="33">
        <f t="shared" si="568"/>
        <v>0</v>
      </c>
      <c r="Q9135" s="31" t="str">
        <f t="shared" si="569"/>
        <v/>
      </c>
      <c r="R9135" s="32" t="str">
        <f>IFERROR(VLOOKUP($D9135,'Informations sur les produits'!$A$3:$B$15000,2,FALSE),"")</f>
        <v/>
      </c>
      <c r="V9135">
        <f t="shared" si="570"/>
        <v>0</v>
      </c>
      <c r="W9135">
        <f t="shared" si="571"/>
        <v>0</v>
      </c>
    </row>
    <row r="9136" spans="5:23" x14ac:dyDescent="0.25">
      <c r="E9136" s="4"/>
      <c r="F9136" s="4"/>
      <c r="G9136" s="33" t="str">
        <f>IFERROR(VLOOKUP($D9136,'Informations sur les produits'!$A$3:$H$10000,8,FALSE),"0")</f>
        <v>0</v>
      </c>
      <c r="K9136" s="4"/>
      <c r="L9136" s="33" t="str">
        <f>IFERROR(VLOOKUP($J9136,'Informations sur les produits'!$A$3:$H$10000,8,FALSE),"0")</f>
        <v>0</v>
      </c>
      <c r="N9136" s="8"/>
      <c r="O9136" s="33" t="str">
        <f>IFERROR(VLOOKUP($M9136,'Informations sur les produits'!$A$3:$H$10000,8,FALSE),"0")</f>
        <v>0</v>
      </c>
      <c r="P9136" s="33">
        <f t="shared" si="568"/>
        <v>0</v>
      </c>
      <c r="Q9136" s="31" t="str">
        <f t="shared" si="569"/>
        <v/>
      </c>
      <c r="R9136" s="32" t="str">
        <f>IFERROR(VLOOKUP($D9136,'Informations sur les produits'!$A$3:$B$15000,2,FALSE),"")</f>
        <v/>
      </c>
      <c r="V9136">
        <f t="shared" si="570"/>
        <v>0</v>
      </c>
      <c r="W9136">
        <f t="shared" si="571"/>
        <v>0</v>
      </c>
    </row>
    <row r="9137" spans="5:23" x14ac:dyDescent="0.25">
      <c r="E9137" s="4"/>
      <c r="F9137" s="4"/>
      <c r="G9137" s="33" t="str">
        <f>IFERROR(VLOOKUP($D9137,'Informations sur les produits'!$A$3:$H$10000,8,FALSE),"0")</f>
        <v>0</v>
      </c>
      <c r="K9137" s="4"/>
      <c r="L9137" s="33" t="str">
        <f>IFERROR(VLOOKUP($J9137,'Informations sur les produits'!$A$3:$H$10000,8,FALSE),"0")</f>
        <v>0</v>
      </c>
      <c r="N9137" s="8"/>
      <c r="O9137" s="33" t="str">
        <f>IFERROR(VLOOKUP($M9137,'Informations sur les produits'!$A$3:$H$10000,8,FALSE),"0")</f>
        <v>0</v>
      </c>
      <c r="P9137" s="33">
        <f t="shared" si="568"/>
        <v>0</v>
      </c>
      <c r="Q9137" s="31" t="str">
        <f t="shared" si="569"/>
        <v/>
      </c>
      <c r="R9137" s="32" t="str">
        <f>IFERROR(VLOOKUP($D9137,'Informations sur les produits'!$A$3:$B$15000,2,FALSE),"")</f>
        <v/>
      </c>
      <c r="V9137">
        <f t="shared" si="570"/>
        <v>0</v>
      </c>
      <c r="W9137">
        <f t="shared" si="571"/>
        <v>0</v>
      </c>
    </row>
    <row r="9138" spans="5:23" x14ac:dyDescent="0.25">
      <c r="E9138" s="4"/>
      <c r="F9138" s="4"/>
      <c r="G9138" s="33" t="str">
        <f>IFERROR(VLOOKUP($D9138,'Informations sur les produits'!$A$3:$H$10000,8,FALSE),"0")</f>
        <v>0</v>
      </c>
      <c r="K9138" s="4"/>
      <c r="L9138" s="33" t="str">
        <f>IFERROR(VLOOKUP($J9138,'Informations sur les produits'!$A$3:$H$10000,8,FALSE),"0")</f>
        <v>0</v>
      </c>
      <c r="N9138" s="8"/>
      <c r="O9138" s="33" t="str">
        <f>IFERROR(VLOOKUP($M9138,'Informations sur les produits'!$A$3:$H$10000,8,FALSE),"0")</f>
        <v>0</v>
      </c>
      <c r="P9138" s="33">
        <f t="shared" si="568"/>
        <v>0</v>
      </c>
      <c r="Q9138" s="31" t="str">
        <f t="shared" si="569"/>
        <v/>
      </c>
      <c r="R9138" s="32" t="str">
        <f>IFERROR(VLOOKUP($D9138,'Informations sur les produits'!$A$3:$B$15000,2,FALSE),"")</f>
        <v/>
      </c>
      <c r="V9138">
        <f t="shared" si="570"/>
        <v>0</v>
      </c>
      <c r="W9138">
        <f t="shared" si="571"/>
        <v>0</v>
      </c>
    </row>
    <row r="9139" spans="5:23" x14ac:dyDescent="0.25">
      <c r="E9139" s="4"/>
      <c r="F9139" s="4"/>
      <c r="G9139" s="33" t="str">
        <f>IFERROR(VLOOKUP($D9139,'Informations sur les produits'!$A$3:$H$10000,8,FALSE),"0")</f>
        <v>0</v>
      </c>
      <c r="K9139" s="4"/>
      <c r="L9139" s="33" t="str">
        <f>IFERROR(VLOOKUP($J9139,'Informations sur les produits'!$A$3:$H$10000,8,FALSE),"0")</f>
        <v>0</v>
      </c>
      <c r="N9139" s="8"/>
      <c r="O9139" s="33" t="str">
        <f>IFERROR(VLOOKUP($M9139,'Informations sur les produits'!$A$3:$H$10000,8,FALSE),"0")</f>
        <v>0</v>
      </c>
      <c r="P9139" s="33">
        <f t="shared" si="568"/>
        <v>0</v>
      </c>
      <c r="Q9139" s="31" t="str">
        <f t="shared" si="569"/>
        <v/>
      </c>
      <c r="R9139" s="32" t="str">
        <f>IFERROR(VLOOKUP($D9139,'Informations sur les produits'!$A$3:$B$15000,2,FALSE),"")</f>
        <v/>
      </c>
      <c r="V9139">
        <f t="shared" si="570"/>
        <v>0</v>
      </c>
      <c r="W9139">
        <f t="shared" si="571"/>
        <v>0</v>
      </c>
    </row>
    <row r="9140" spans="5:23" x14ac:dyDescent="0.25">
      <c r="E9140" s="4"/>
      <c r="F9140" s="4"/>
      <c r="G9140" s="33" t="str">
        <f>IFERROR(VLOOKUP($D9140,'Informations sur les produits'!$A$3:$H$10000,8,FALSE),"0")</f>
        <v>0</v>
      </c>
      <c r="K9140" s="4"/>
      <c r="L9140" s="33" t="str">
        <f>IFERROR(VLOOKUP($J9140,'Informations sur les produits'!$A$3:$H$10000,8,FALSE),"0")</f>
        <v>0</v>
      </c>
      <c r="N9140" s="8"/>
      <c r="O9140" s="33" t="str">
        <f>IFERROR(VLOOKUP($M9140,'Informations sur les produits'!$A$3:$H$10000,8,FALSE),"0")</f>
        <v>0</v>
      </c>
      <c r="P9140" s="33">
        <f t="shared" si="568"/>
        <v>0</v>
      </c>
      <c r="Q9140" s="31" t="str">
        <f t="shared" si="569"/>
        <v/>
      </c>
      <c r="R9140" s="32" t="str">
        <f>IFERROR(VLOOKUP($D9140,'Informations sur les produits'!$A$3:$B$15000,2,FALSE),"")</f>
        <v/>
      </c>
      <c r="V9140">
        <f t="shared" si="570"/>
        <v>0</v>
      </c>
      <c r="W9140">
        <f t="shared" si="571"/>
        <v>0</v>
      </c>
    </row>
    <row r="9141" spans="5:23" x14ac:dyDescent="0.25">
      <c r="E9141" s="4"/>
      <c r="F9141" s="4"/>
      <c r="G9141" s="33" t="str">
        <f>IFERROR(VLOOKUP($D9141,'Informations sur les produits'!$A$3:$H$10000,8,FALSE),"0")</f>
        <v>0</v>
      </c>
      <c r="K9141" s="4"/>
      <c r="L9141" s="33" t="str">
        <f>IFERROR(VLOOKUP($J9141,'Informations sur les produits'!$A$3:$H$10000,8,FALSE),"0")</f>
        <v>0</v>
      </c>
      <c r="N9141" s="8"/>
      <c r="O9141" s="33" t="str">
        <f>IFERROR(VLOOKUP($M9141,'Informations sur les produits'!$A$3:$H$10000,8,FALSE),"0")</f>
        <v>0</v>
      </c>
      <c r="P9141" s="33">
        <f t="shared" si="568"/>
        <v>0</v>
      </c>
      <c r="Q9141" s="31" t="str">
        <f t="shared" si="569"/>
        <v/>
      </c>
      <c r="R9141" s="32" t="str">
        <f>IFERROR(VLOOKUP($D9141,'Informations sur les produits'!$A$3:$B$15000,2,FALSE),"")</f>
        <v/>
      </c>
      <c r="V9141">
        <f t="shared" si="570"/>
        <v>0</v>
      </c>
      <c r="W9141">
        <f t="shared" si="571"/>
        <v>0</v>
      </c>
    </row>
    <row r="9142" spans="5:23" x14ac:dyDescent="0.25">
      <c r="E9142" s="4"/>
      <c r="F9142" s="4"/>
      <c r="G9142" s="33" t="str">
        <f>IFERROR(VLOOKUP($D9142,'Informations sur les produits'!$A$3:$H$10000,8,FALSE),"0")</f>
        <v>0</v>
      </c>
      <c r="K9142" s="4"/>
      <c r="L9142" s="33" t="str">
        <f>IFERROR(VLOOKUP($J9142,'Informations sur les produits'!$A$3:$H$10000,8,FALSE),"0")</f>
        <v>0</v>
      </c>
      <c r="N9142" s="8"/>
      <c r="O9142" s="33" t="str">
        <f>IFERROR(VLOOKUP($M9142,'Informations sur les produits'!$A$3:$H$10000,8,FALSE),"0")</f>
        <v>0</v>
      </c>
      <c r="P9142" s="33">
        <f t="shared" si="568"/>
        <v>0</v>
      </c>
      <c r="Q9142" s="31" t="str">
        <f t="shared" si="569"/>
        <v/>
      </c>
      <c r="R9142" s="32" t="str">
        <f>IFERROR(VLOOKUP($D9142,'Informations sur les produits'!$A$3:$B$15000,2,FALSE),"")</f>
        <v/>
      </c>
      <c r="V9142">
        <f t="shared" si="570"/>
        <v>0</v>
      </c>
      <c r="W9142">
        <f t="shared" si="571"/>
        <v>0</v>
      </c>
    </row>
    <row r="9143" spans="5:23" x14ac:dyDescent="0.25">
      <c r="E9143" s="4"/>
      <c r="F9143" s="4"/>
      <c r="G9143" s="33" t="str">
        <f>IFERROR(VLOOKUP($D9143,'Informations sur les produits'!$A$3:$H$10000,8,FALSE),"0")</f>
        <v>0</v>
      </c>
      <c r="K9143" s="4"/>
      <c r="L9143" s="33" t="str">
        <f>IFERROR(VLOOKUP($J9143,'Informations sur les produits'!$A$3:$H$10000,8,FALSE),"0")</f>
        <v>0</v>
      </c>
      <c r="N9143" s="8"/>
      <c r="O9143" s="33" t="str">
        <f>IFERROR(VLOOKUP($M9143,'Informations sur les produits'!$A$3:$H$10000,8,FALSE),"0")</f>
        <v>0</v>
      </c>
      <c r="P9143" s="33">
        <f t="shared" si="568"/>
        <v>0</v>
      </c>
      <c r="Q9143" s="31" t="str">
        <f t="shared" si="569"/>
        <v/>
      </c>
      <c r="R9143" s="32" t="str">
        <f>IFERROR(VLOOKUP($D9143,'Informations sur les produits'!$A$3:$B$15000,2,FALSE),"")</f>
        <v/>
      </c>
      <c r="V9143">
        <f t="shared" si="570"/>
        <v>0</v>
      </c>
      <c r="W9143">
        <f t="shared" si="571"/>
        <v>0</v>
      </c>
    </row>
    <row r="9144" spans="5:23" x14ac:dyDescent="0.25">
      <c r="E9144" s="4"/>
      <c r="F9144" s="4"/>
      <c r="G9144" s="33" t="str">
        <f>IFERROR(VLOOKUP($D9144,'Informations sur les produits'!$A$3:$H$10000,8,FALSE),"0")</f>
        <v>0</v>
      </c>
      <c r="K9144" s="4"/>
      <c r="L9144" s="33" t="str">
        <f>IFERROR(VLOOKUP($J9144,'Informations sur les produits'!$A$3:$H$10000,8,FALSE),"0")</f>
        <v>0</v>
      </c>
      <c r="N9144" s="8"/>
      <c r="O9144" s="33" t="str">
        <f>IFERROR(VLOOKUP($M9144,'Informations sur les produits'!$A$3:$H$10000,8,FALSE),"0")</f>
        <v>0</v>
      </c>
      <c r="P9144" s="33">
        <f t="shared" si="568"/>
        <v>0</v>
      </c>
      <c r="Q9144" s="31" t="str">
        <f t="shared" si="569"/>
        <v/>
      </c>
      <c r="R9144" s="32" t="str">
        <f>IFERROR(VLOOKUP($D9144,'Informations sur les produits'!$A$3:$B$15000,2,FALSE),"")</f>
        <v/>
      </c>
      <c r="V9144">
        <f t="shared" si="570"/>
        <v>0</v>
      </c>
      <c r="W9144">
        <f t="shared" si="571"/>
        <v>0</v>
      </c>
    </row>
    <row r="9145" spans="5:23" x14ac:dyDescent="0.25">
      <c r="E9145" s="4"/>
      <c r="F9145" s="4"/>
      <c r="G9145" s="33" t="str">
        <f>IFERROR(VLOOKUP($D9145,'Informations sur les produits'!$A$3:$H$10000,8,FALSE),"0")</f>
        <v>0</v>
      </c>
      <c r="K9145" s="4"/>
      <c r="L9145" s="33" t="str">
        <f>IFERROR(VLOOKUP($J9145,'Informations sur les produits'!$A$3:$H$10000,8,FALSE),"0")</f>
        <v>0</v>
      </c>
      <c r="N9145" s="8"/>
      <c r="O9145" s="33" t="str">
        <f>IFERROR(VLOOKUP($M9145,'Informations sur les produits'!$A$3:$H$10000,8,FALSE),"0")</f>
        <v>0</v>
      </c>
      <c r="P9145" s="33">
        <f t="shared" si="568"/>
        <v>0</v>
      </c>
      <c r="Q9145" s="31" t="str">
        <f t="shared" si="569"/>
        <v/>
      </c>
      <c r="R9145" s="32" t="str">
        <f>IFERROR(VLOOKUP($D9145,'Informations sur les produits'!$A$3:$B$15000,2,FALSE),"")</f>
        <v/>
      </c>
      <c r="V9145">
        <f t="shared" si="570"/>
        <v>0</v>
      </c>
      <c r="W9145">
        <f t="shared" si="571"/>
        <v>0</v>
      </c>
    </row>
    <row r="9146" spans="5:23" x14ac:dyDescent="0.25">
      <c r="E9146" s="4"/>
      <c r="F9146" s="4"/>
      <c r="G9146" s="33" t="str">
        <f>IFERROR(VLOOKUP($D9146,'Informations sur les produits'!$A$3:$H$10000,8,FALSE),"0")</f>
        <v>0</v>
      </c>
      <c r="K9146" s="4"/>
      <c r="L9146" s="33" t="str">
        <f>IFERROR(VLOOKUP($J9146,'Informations sur les produits'!$A$3:$H$10000,8,FALSE),"0")</f>
        <v>0</v>
      </c>
      <c r="N9146" s="8"/>
      <c r="O9146" s="33" t="str">
        <f>IFERROR(VLOOKUP($M9146,'Informations sur les produits'!$A$3:$H$10000,8,FALSE),"0")</f>
        <v>0</v>
      </c>
      <c r="P9146" s="33">
        <f t="shared" si="568"/>
        <v>0</v>
      </c>
      <c r="Q9146" s="31" t="str">
        <f t="shared" si="569"/>
        <v/>
      </c>
      <c r="R9146" s="32" t="str">
        <f>IFERROR(VLOOKUP($D9146,'Informations sur les produits'!$A$3:$B$15000,2,FALSE),"")</f>
        <v/>
      </c>
      <c r="V9146">
        <f t="shared" si="570"/>
        <v>0</v>
      </c>
      <c r="W9146">
        <f t="shared" si="571"/>
        <v>0</v>
      </c>
    </row>
    <row r="9147" spans="5:23" x14ac:dyDescent="0.25">
      <c r="E9147" s="4"/>
      <c r="F9147" s="4"/>
      <c r="G9147" s="33" t="str">
        <f>IFERROR(VLOOKUP($D9147,'Informations sur les produits'!$A$3:$H$10000,8,FALSE),"0")</f>
        <v>0</v>
      </c>
      <c r="K9147" s="4"/>
      <c r="L9147" s="33" t="str">
        <f>IFERROR(VLOOKUP($J9147,'Informations sur les produits'!$A$3:$H$10000,8,FALSE),"0")</f>
        <v>0</v>
      </c>
      <c r="N9147" s="8"/>
      <c r="O9147" s="33" t="str">
        <f>IFERROR(VLOOKUP($M9147,'Informations sur les produits'!$A$3:$H$10000,8,FALSE),"0")</f>
        <v>0</v>
      </c>
      <c r="P9147" s="33">
        <f t="shared" si="568"/>
        <v>0</v>
      </c>
      <c r="Q9147" s="31" t="str">
        <f t="shared" si="569"/>
        <v/>
      </c>
      <c r="R9147" s="32" t="str">
        <f>IFERROR(VLOOKUP($D9147,'Informations sur les produits'!$A$3:$B$15000,2,FALSE),"")</f>
        <v/>
      </c>
      <c r="V9147">
        <f t="shared" si="570"/>
        <v>0</v>
      </c>
      <c r="W9147">
        <f t="shared" si="571"/>
        <v>0</v>
      </c>
    </row>
    <row r="9148" spans="5:23" x14ac:dyDescent="0.25">
      <c r="E9148" s="4"/>
      <c r="F9148" s="4"/>
      <c r="G9148" s="33" t="str">
        <f>IFERROR(VLOOKUP($D9148,'Informations sur les produits'!$A$3:$H$10000,8,FALSE),"0")</f>
        <v>0</v>
      </c>
      <c r="K9148" s="4"/>
      <c r="L9148" s="33" t="str">
        <f>IFERROR(VLOOKUP($J9148,'Informations sur les produits'!$A$3:$H$10000,8,FALSE),"0")</f>
        <v>0</v>
      </c>
      <c r="N9148" s="8"/>
      <c r="O9148" s="33" t="str">
        <f>IFERROR(VLOOKUP($M9148,'Informations sur les produits'!$A$3:$H$10000,8,FALSE),"0")</f>
        <v>0</v>
      </c>
      <c r="P9148" s="33">
        <f t="shared" si="568"/>
        <v>0</v>
      </c>
      <c r="Q9148" s="31" t="str">
        <f t="shared" si="569"/>
        <v/>
      </c>
      <c r="R9148" s="32" t="str">
        <f>IFERROR(VLOOKUP($D9148,'Informations sur les produits'!$A$3:$B$15000,2,FALSE),"")</f>
        <v/>
      </c>
      <c r="V9148">
        <f t="shared" si="570"/>
        <v>0</v>
      </c>
      <c r="W9148">
        <f t="shared" si="571"/>
        <v>0</v>
      </c>
    </row>
    <row r="9149" spans="5:23" x14ac:dyDescent="0.25">
      <c r="E9149" s="4"/>
      <c r="F9149" s="4"/>
      <c r="G9149" s="33" t="str">
        <f>IFERROR(VLOOKUP($D9149,'Informations sur les produits'!$A$3:$H$10000,8,FALSE),"0")</f>
        <v>0</v>
      </c>
      <c r="K9149" s="4"/>
      <c r="L9149" s="33" t="str">
        <f>IFERROR(VLOOKUP($J9149,'Informations sur les produits'!$A$3:$H$10000,8,FALSE),"0")</f>
        <v>0</v>
      </c>
      <c r="N9149" s="8"/>
      <c r="O9149" s="33" t="str">
        <f>IFERROR(VLOOKUP($M9149,'Informations sur les produits'!$A$3:$H$10000,8,FALSE),"0")</f>
        <v>0</v>
      </c>
      <c r="P9149" s="33">
        <f t="shared" si="568"/>
        <v>0</v>
      </c>
      <c r="Q9149" s="31" t="str">
        <f t="shared" si="569"/>
        <v/>
      </c>
      <c r="R9149" s="32" t="str">
        <f>IFERROR(VLOOKUP($D9149,'Informations sur les produits'!$A$3:$B$15000,2,FALSE),"")</f>
        <v/>
      </c>
      <c r="V9149">
        <f t="shared" si="570"/>
        <v>0</v>
      </c>
      <c r="W9149">
        <f t="shared" si="571"/>
        <v>0</v>
      </c>
    </row>
    <row r="9150" spans="5:23" x14ac:dyDescent="0.25">
      <c r="E9150" s="4"/>
      <c r="F9150" s="4"/>
      <c r="G9150" s="33" t="str">
        <f>IFERROR(VLOOKUP($D9150,'Informations sur les produits'!$A$3:$H$10000,8,FALSE),"0")</f>
        <v>0</v>
      </c>
      <c r="K9150" s="4"/>
      <c r="L9150" s="33" t="str">
        <f>IFERROR(VLOOKUP($J9150,'Informations sur les produits'!$A$3:$H$10000,8,FALSE),"0")</f>
        <v>0</v>
      </c>
      <c r="N9150" s="8"/>
      <c r="O9150" s="33" t="str">
        <f>IFERROR(VLOOKUP($M9150,'Informations sur les produits'!$A$3:$H$10000,8,FALSE),"0")</f>
        <v>0</v>
      </c>
      <c r="P9150" s="33">
        <f t="shared" si="568"/>
        <v>0</v>
      </c>
      <c r="Q9150" s="31" t="str">
        <f t="shared" si="569"/>
        <v/>
      </c>
      <c r="R9150" s="32" t="str">
        <f>IFERROR(VLOOKUP($D9150,'Informations sur les produits'!$A$3:$B$15000,2,FALSE),"")</f>
        <v/>
      </c>
      <c r="V9150">
        <f t="shared" si="570"/>
        <v>0</v>
      </c>
      <c r="W9150">
        <f t="shared" si="571"/>
        <v>0</v>
      </c>
    </row>
    <row r="9151" spans="5:23" x14ac:dyDescent="0.25">
      <c r="E9151" s="4"/>
      <c r="F9151" s="4"/>
      <c r="G9151" s="33" t="str">
        <f>IFERROR(VLOOKUP($D9151,'Informations sur les produits'!$A$3:$H$10000,8,FALSE),"0")</f>
        <v>0</v>
      </c>
      <c r="K9151" s="4"/>
      <c r="L9151" s="33" t="str">
        <f>IFERROR(VLOOKUP($J9151,'Informations sur les produits'!$A$3:$H$10000,8,FALSE),"0")</f>
        <v>0</v>
      </c>
      <c r="N9151" s="8"/>
      <c r="O9151" s="33" t="str">
        <f>IFERROR(VLOOKUP($M9151,'Informations sur les produits'!$A$3:$H$10000,8,FALSE),"0")</f>
        <v>0</v>
      </c>
      <c r="P9151" s="33">
        <f t="shared" si="568"/>
        <v>0</v>
      </c>
      <c r="Q9151" s="31" t="str">
        <f t="shared" si="569"/>
        <v/>
      </c>
      <c r="R9151" s="32" t="str">
        <f>IFERROR(VLOOKUP($D9151,'Informations sur les produits'!$A$3:$B$15000,2,FALSE),"")</f>
        <v/>
      </c>
      <c r="V9151">
        <f t="shared" si="570"/>
        <v>0</v>
      </c>
      <c r="W9151">
        <f t="shared" si="571"/>
        <v>0</v>
      </c>
    </row>
    <row r="9152" spans="5:23" x14ac:dyDescent="0.25">
      <c r="E9152" s="4"/>
      <c r="F9152" s="4"/>
      <c r="G9152" s="33" t="str">
        <f>IFERROR(VLOOKUP($D9152,'Informations sur les produits'!$A$3:$H$10000,8,FALSE),"0")</f>
        <v>0</v>
      </c>
      <c r="K9152" s="4"/>
      <c r="L9152" s="33" t="str">
        <f>IFERROR(VLOOKUP($J9152,'Informations sur les produits'!$A$3:$H$10000,8,FALSE),"0")</f>
        <v>0</v>
      </c>
      <c r="N9152" s="8"/>
      <c r="O9152" s="33" t="str">
        <f>IFERROR(VLOOKUP($M9152,'Informations sur les produits'!$A$3:$H$10000,8,FALSE),"0")</f>
        <v>0</v>
      </c>
      <c r="P9152" s="33">
        <f t="shared" si="568"/>
        <v>0</v>
      </c>
      <c r="Q9152" s="31" t="str">
        <f t="shared" si="569"/>
        <v/>
      </c>
      <c r="R9152" s="32" t="str">
        <f>IFERROR(VLOOKUP($D9152,'Informations sur les produits'!$A$3:$B$15000,2,FALSE),"")</f>
        <v/>
      </c>
      <c r="V9152">
        <f t="shared" si="570"/>
        <v>0</v>
      </c>
      <c r="W9152">
        <f t="shared" si="571"/>
        <v>0</v>
      </c>
    </row>
    <row r="9153" spans="5:23" x14ac:dyDescent="0.25">
      <c r="E9153" s="4"/>
      <c r="F9153" s="4"/>
      <c r="G9153" s="33" t="str">
        <f>IFERROR(VLOOKUP($D9153,'Informations sur les produits'!$A$3:$H$10000,8,FALSE),"0")</f>
        <v>0</v>
      </c>
      <c r="K9153" s="4"/>
      <c r="L9153" s="33" t="str">
        <f>IFERROR(VLOOKUP($J9153,'Informations sur les produits'!$A$3:$H$10000,8,FALSE),"0")</f>
        <v>0</v>
      </c>
      <c r="N9153" s="8"/>
      <c r="O9153" s="33" t="str">
        <f>IFERROR(VLOOKUP($M9153,'Informations sur les produits'!$A$3:$H$10000,8,FALSE),"0")</f>
        <v>0</v>
      </c>
      <c r="P9153" s="33">
        <f t="shared" si="568"/>
        <v>0</v>
      </c>
      <c r="Q9153" s="31" t="str">
        <f t="shared" si="569"/>
        <v/>
      </c>
      <c r="R9153" s="32" t="str">
        <f>IFERROR(VLOOKUP($D9153,'Informations sur les produits'!$A$3:$B$15000,2,FALSE),"")</f>
        <v/>
      </c>
      <c r="V9153">
        <f t="shared" si="570"/>
        <v>0</v>
      </c>
      <c r="W9153">
        <f t="shared" si="571"/>
        <v>0</v>
      </c>
    </row>
    <row r="9154" spans="5:23" x14ac:dyDescent="0.25">
      <c r="E9154" s="4"/>
      <c r="F9154" s="4"/>
      <c r="G9154" s="33" t="str">
        <f>IFERROR(VLOOKUP($D9154,'Informations sur les produits'!$A$3:$H$10000,8,FALSE),"0")</f>
        <v>0</v>
      </c>
      <c r="K9154" s="4"/>
      <c r="L9154" s="33" t="str">
        <f>IFERROR(VLOOKUP($J9154,'Informations sur les produits'!$A$3:$H$10000,8,FALSE),"0")</f>
        <v>0</v>
      </c>
      <c r="N9154" s="8"/>
      <c r="O9154" s="33" t="str">
        <f>IFERROR(VLOOKUP($M9154,'Informations sur les produits'!$A$3:$H$10000,8,FALSE),"0")</f>
        <v>0</v>
      </c>
      <c r="P9154" s="33">
        <f t="shared" si="568"/>
        <v>0</v>
      </c>
      <c r="Q9154" s="31" t="str">
        <f t="shared" si="569"/>
        <v/>
      </c>
      <c r="R9154" s="32" t="str">
        <f>IFERROR(VLOOKUP($D9154,'Informations sur les produits'!$A$3:$B$15000,2,FALSE),"")</f>
        <v/>
      </c>
      <c r="V9154">
        <f t="shared" si="570"/>
        <v>0</v>
      </c>
      <c r="W9154">
        <f t="shared" si="571"/>
        <v>0</v>
      </c>
    </row>
    <row r="9155" spans="5:23" x14ac:dyDescent="0.25">
      <c r="E9155" s="4"/>
      <c r="F9155" s="4"/>
      <c r="G9155" s="33" t="str">
        <f>IFERROR(VLOOKUP($D9155,'Informations sur les produits'!$A$3:$H$10000,8,FALSE),"0")</f>
        <v>0</v>
      </c>
      <c r="K9155" s="4"/>
      <c r="L9155" s="33" t="str">
        <f>IFERROR(VLOOKUP($J9155,'Informations sur les produits'!$A$3:$H$10000,8,FALSE),"0")</f>
        <v>0</v>
      </c>
      <c r="N9155" s="8"/>
      <c r="O9155" s="33" t="str">
        <f>IFERROR(VLOOKUP($M9155,'Informations sur les produits'!$A$3:$H$10000,8,FALSE),"0")</f>
        <v>0</v>
      </c>
      <c r="P9155" s="33">
        <f t="shared" si="568"/>
        <v>0</v>
      </c>
      <c r="Q9155" s="31" t="str">
        <f t="shared" si="569"/>
        <v/>
      </c>
      <c r="R9155" s="32" t="str">
        <f>IFERROR(VLOOKUP($D9155,'Informations sur les produits'!$A$3:$B$15000,2,FALSE),"")</f>
        <v/>
      </c>
      <c r="V9155">
        <f t="shared" si="570"/>
        <v>0</v>
      </c>
      <c r="W9155">
        <f t="shared" si="571"/>
        <v>0</v>
      </c>
    </row>
    <row r="9156" spans="5:23" x14ac:dyDescent="0.25">
      <c r="E9156" s="4"/>
      <c r="F9156" s="4"/>
      <c r="G9156" s="33" t="str">
        <f>IFERROR(VLOOKUP($D9156,'Informations sur les produits'!$A$3:$H$10000,8,FALSE),"0")</f>
        <v>0</v>
      </c>
      <c r="K9156" s="4"/>
      <c r="L9156" s="33" t="str">
        <f>IFERROR(VLOOKUP($J9156,'Informations sur les produits'!$A$3:$H$10000,8,FALSE),"0")</f>
        <v>0</v>
      </c>
      <c r="N9156" s="8"/>
      <c r="O9156" s="33" t="str">
        <f>IFERROR(VLOOKUP($M9156,'Informations sur les produits'!$A$3:$H$10000,8,FALSE),"0")</f>
        <v>0</v>
      </c>
      <c r="P9156" s="33">
        <f t="shared" ref="P9156:P9219" si="572">IFERROR((($E9156-$F9156)*$G9156+$K9156*$L9156+$N9156*$O9156),"")</f>
        <v>0</v>
      </c>
      <c r="Q9156" s="31" t="str">
        <f t="shared" ref="Q9156:Q9219" si="573">IFERROR((((($E9156-$F9156)*$G9156+$K9156*$L9156+$N9156*$O9156)*1000)/(($E9156-$F9156)+$K9156+$N9156)),"")</f>
        <v/>
      </c>
      <c r="R9156" s="32" t="str">
        <f>IFERROR(VLOOKUP($D9156,'Informations sur les produits'!$A$3:$B$15000,2,FALSE),"")</f>
        <v/>
      </c>
      <c r="V9156">
        <f t="shared" ref="V9156:V9219" si="574">IFERROR(P9156*1000,"")</f>
        <v>0</v>
      </c>
      <c r="W9156">
        <f t="shared" ref="W9156:W9219" si="575">IFERROR(($E9156-$F9156)+$K9156+$N9156,"")</f>
        <v>0</v>
      </c>
    </row>
    <row r="9157" spans="5:23" x14ac:dyDescent="0.25">
      <c r="E9157" s="4"/>
      <c r="F9157" s="4"/>
      <c r="G9157" s="33" t="str">
        <f>IFERROR(VLOOKUP($D9157,'Informations sur les produits'!$A$3:$H$10000,8,FALSE),"0")</f>
        <v>0</v>
      </c>
      <c r="K9157" s="4"/>
      <c r="L9157" s="33" t="str">
        <f>IFERROR(VLOOKUP($J9157,'Informations sur les produits'!$A$3:$H$10000,8,FALSE),"0")</f>
        <v>0</v>
      </c>
      <c r="N9157" s="8"/>
      <c r="O9157" s="33" t="str">
        <f>IFERROR(VLOOKUP($M9157,'Informations sur les produits'!$A$3:$H$10000,8,FALSE),"0")</f>
        <v>0</v>
      </c>
      <c r="P9157" s="33">
        <f t="shared" si="572"/>
        <v>0</v>
      </c>
      <c r="Q9157" s="31" t="str">
        <f t="shared" si="573"/>
        <v/>
      </c>
      <c r="R9157" s="32" t="str">
        <f>IFERROR(VLOOKUP($D9157,'Informations sur les produits'!$A$3:$B$15000,2,FALSE),"")</f>
        <v/>
      </c>
      <c r="V9157">
        <f t="shared" si="574"/>
        <v>0</v>
      </c>
      <c r="W9157">
        <f t="shared" si="575"/>
        <v>0</v>
      </c>
    </row>
    <row r="9158" spans="5:23" x14ac:dyDescent="0.25">
      <c r="E9158" s="4"/>
      <c r="F9158" s="4"/>
      <c r="G9158" s="33" t="str">
        <f>IFERROR(VLOOKUP($D9158,'Informations sur les produits'!$A$3:$H$10000,8,FALSE),"0")</f>
        <v>0</v>
      </c>
      <c r="K9158" s="4"/>
      <c r="L9158" s="33" t="str">
        <f>IFERROR(VLOOKUP($J9158,'Informations sur les produits'!$A$3:$H$10000,8,FALSE),"0")</f>
        <v>0</v>
      </c>
      <c r="N9158" s="8"/>
      <c r="O9158" s="33" t="str">
        <f>IFERROR(VLOOKUP($M9158,'Informations sur les produits'!$A$3:$H$10000,8,FALSE),"0")</f>
        <v>0</v>
      </c>
      <c r="P9158" s="33">
        <f t="shared" si="572"/>
        <v>0</v>
      </c>
      <c r="Q9158" s="31" t="str">
        <f t="shared" si="573"/>
        <v/>
      </c>
      <c r="R9158" s="32" t="str">
        <f>IFERROR(VLOOKUP($D9158,'Informations sur les produits'!$A$3:$B$15000,2,FALSE),"")</f>
        <v/>
      </c>
      <c r="V9158">
        <f t="shared" si="574"/>
        <v>0</v>
      </c>
      <c r="W9158">
        <f t="shared" si="575"/>
        <v>0</v>
      </c>
    </row>
    <row r="9159" spans="5:23" x14ac:dyDescent="0.25">
      <c r="E9159" s="4"/>
      <c r="F9159" s="4"/>
      <c r="G9159" s="33" t="str">
        <f>IFERROR(VLOOKUP($D9159,'Informations sur les produits'!$A$3:$H$10000,8,FALSE),"0")</f>
        <v>0</v>
      </c>
      <c r="K9159" s="4"/>
      <c r="L9159" s="33" t="str">
        <f>IFERROR(VLOOKUP($J9159,'Informations sur les produits'!$A$3:$H$10000,8,FALSE),"0")</f>
        <v>0</v>
      </c>
      <c r="N9159" s="8"/>
      <c r="O9159" s="33" t="str">
        <f>IFERROR(VLOOKUP($M9159,'Informations sur les produits'!$A$3:$H$10000,8,FALSE),"0")</f>
        <v>0</v>
      </c>
      <c r="P9159" s="33">
        <f t="shared" si="572"/>
        <v>0</v>
      </c>
      <c r="Q9159" s="31" t="str">
        <f t="shared" si="573"/>
        <v/>
      </c>
      <c r="R9159" s="32" t="str">
        <f>IFERROR(VLOOKUP($D9159,'Informations sur les produits'!$A$3:$B$15000,2,FALSE),"")</f>
        <v/>
      </c>
      <c r="V9159">
        <f t="shared" si="574"/>
        <v>0</v>
      </c>
      <c r="W9159">
        <f t="shared" si="575"/>
        <v>0</v>
      </c>
    </row>
    <row r="9160" spans="5:23" x14ac:dyDescent="0.25">
      <c r="E9160" s="4"/>
      <c r="F9160" s="4"/>
      <c r="G9160" s="33" t="str">
        <f>IFERROR(VLOOKUP($D9160,'Informations sur les produits'!$A$3:$H$10000,8,FALSE),"0")</f>
        <v>0</v>
      </c>
      <c r="K9160" s="4"/>
      <c r="L9160" s="33" t="str">
        <f>IFERROR(VLOOKUP($J9160,'Informations sur les produits'!$A$3:$H$10000,8,FALSE),"0")</f>
        <v>0</v>
      </c>
      <c r="N9160" s="8"/>
      <c r="O9160" s="33" t="str">
        <f>IFERROR(VLOOKUP($M9160,'Informations sur les produits'!$A$3:$H$10000,8,FALSE),"0")</f>
        <v>0</v>
      </c>
      <c r="P9160" s="33">
        <f t="shared" si="572"/>
        <v>0</v>
      </c>
      <c r="Q9160" s="31" t="str">
        <f t="shared" si="573"/>
        <v/>
      </c>
      <c r="R9160" s="32" t="str">
        <f>IFERROR(VLOOKUP($D9160,'Informations sur les produits'!$A$3:$B$15000,2,FALSE),"")</f>
        <v/>
      </c>
      <c r="V9160">
        <f t="shared" si="574"/>
        <v>0</v>
      </c>
      <c r="W9160">
        <f t="shared" si="575"/>
        <v>0</v>
      </c>
    </row>
    <row r="9161" spans="5:23" x14ac:dyDescent="0.25">
      <c r="E9161" s="4"/>
      <c r="F9161" s="4"/>
      <c r="G9161" s="33" t="str">
        <f>IFERROR(VLOOKUP($D9161,'Informations sur les produits'!$A$3:$H$10000,8,FALSE),"0")</f>
        <v>0</v>
      </c>
      <c r="K9161" s="4"/>
      <c r="L9161" s="33" t="str">
        <f>IFERROR(VLOOKUP($J9161,'Informations sur les produits'!$A$3:$H$10000,8,FALSE),"0")</f>
        <v>0</v>
      </c>
      <c r="N9161" s="8"/>
      <c r="O9161" s="33" t="str">
        <f>IFERROR(VLOOKUP($M9161,'Informations sur les produits'!$A$3:$H$10000,8,FALSE),"0")</f>
        <v>0</v>
      </c>
      <c r="P9161" s="33">
        <f t="shared" si="572"/>
        <v>0</v>
      </c>
      <c r="Q9161" s="31" t="str">
        <f t="shared" si="573"/>
        <v/>
      </c>
      <c r="R9161" s="32" t="str">
        <f>IFERROR(VLOOKUP($D9161,'Informations sur les produits'!$A$3:$B$15000,2,FALSE),"")</f>
        <v/>
      </c>
      <c r="V9161">
        <f t="shared" si="574"/>
        <v>0</v>
      </c>
      <c r="W9161">
        <f t="shared" si="575"/>
        <v>0</v>
      </c>
    </row>
    <row r="9162" spans="5:23" x14ac:dyDescent="0.25">
      <c r="E9162" s="4"/>
      <c r="F9162" s="4"/>
      <c r="G9162" s="33" t="str">
        <f>IFERROR(VLOOKUP($D9162,'Informations sur les produits'!$A$3:$H$10000,8,FALSE),"0")</f>
        <v>0</v>
      </c>
      <c r="K9162" s="4"/>
      <c r="L9162" s="33" t="str">
        <f>IFERROR(VLOOKUP($J9162,'Informations sur les produits'!$A$3:$H$10000,8,FALSE),"0")</f>
        <v>0</v>
      </c>
      <c r="N9162" s="8"/>
      <c r="O9162" s="33" t="str">
        <f>IFERROR(VLOOKUP($M9162,'Informations sur les produits'!$A$3:$H$10000,8,FALSE),"0")</f>
        <v>0</v>
      </c>
      <c r="P9162" s="33">
        <f t="shared" si="572"/>
        <v>0</v>
      </c>
      <c r="Q9162" s="31" t="str">
        <f t="shared" si="573"/>
        <v/>
      </c>
      <c r="R9162" s="32" t="str">
        <f>IFERROR(VLOOKUP($D9162,'Informations sur les produits'!$A$3:$B$15000,2,FALSE),"")</f>
        <v/>
      </c>
      <c r="V9162">
        <f t="shared" si="574"/>
        <v>0</v>
      </c>
      <c r="W9162">
        <f t="shared" si="575"/>
        <v>0</v>
      </c>
    </row>
    <row r="9163" spans="5:23" x14ac:dyDescent="0.25">
      <c r="E9163" s="4"/>
      <c r="F9163" s="4"/>
      <c r="G9163" s="33" t="str">
        <f>IFERROR(VLOOKUP($D9163,'Informations sur les produits'!$A$3:$H$10000,8,FALSE),"0")</f>
        <v>0</v>
      </c>
      <c r="K9163" s="4"/>
      <c r="L9163" s="33" t="str">
        <f>IFERROR(VLOOKUP($J9163,'Informations sur les produits'!$A$3:$H$10000,8,FALSE),"0")</f>
        <v>0</v>
      </c>
      <c r="N9163" s="8"/>
      <c r="O9163" s="33" t="str">
        <f>IFERROR(VLOOKUP($M9163,'Informations sur les produits'!$A$3:$H$10000,8,FALSE),"0")</f>
        <v>0</v>
      </c>
      <c r="P9163" s="33">
        <f t="shared" si="572"/>
        <v>0</v>
      </c>
      <c r="Q9163" s="31" t="str">
        <f t="shared" si="573"/>
        <v/>
      </c>
      <c r="R9163" s="32" t="str">
        <f>IFERROR(VLOOKUP($D9163,'Informations sur les produits'!$A$3:$B$15000,2,FALSE),"")</f>
        <v/>
      </c>
      <c r="V9163">
        <f t="shared" si="574"/>
        <v>0</v>
      </c>
      <c r="W9163">
        <f t="shared" si="575"/>
        <v>0</v>
      </c>
    </row>
    <row r="9164" spans="5:23" x14ac:dyDescent="0.25">
      <c r="E9164" s="4"/>
      <c r="F9164" s="4"/>
      <c r="G9164" s="33" t="str">
        <f>IFERROR(VLOOKUP($D9164,'Informations sur les produits'!$A$3:$H$10000,8,FALSE),"0")</f>
        <v>0</v>
      </c>
      <c r="K9164" s="4"/>
      <c r="L9164" s="33" t="str">
        <f>IFERROR(VLOOKUP($J9164,'Informations sur les produits'!$A$3:$H$10000,8,FALSE),"0")</f>
        <v>0</v>
      </c>
      <c r="N9164" s="8"/>
      <c r="O9164" s="33" t="str">
        <f>IFERROR(VLOOKUP($M9164,'Informations sur les produits'!$A$3:$H$10000,8,FALSE),"0")</f>
        <v>0</v>
      </c>
      <c r="P9164" s="33">
        <f t="shared" si="572"/>
        <v>0</v>
      </c>
      <c r="Q9164" s="31" t="str">
        <f t="shared" si="573"/>
        <v/>
      </c>
      <c r="R9164" s="32" t="str">
        <f>IFERROR(VLOOKUP($D9164,'Informations sur les produits'!$A$3:$B$15000,2,FALSE),"")</f>
        <v/>
      </c>
      <c r="V9164">
        <f t="shared" si="574"/>
        <v>0</v>
      </c>
      <c r="W9164">
        <f t="shared" si="575"/>
        <v>0</v>
      </c>
    </row>
    <row r="9165" spans="5:23" x14ac:dyDescent="0.25">
      <c r="E9165" s="4"/>
      <c r="F9165" s="4"/>
      <c r="G9165" s="33" t="str">
        <f>IFERROR(VLOOKUP($D9165,'Informations sur les produits'!$A$3:$H$10000,8,FALSE),"0")</f>
        <v>0</v>
      </c>
      <c r="K9165" s="4"/>
      <c r="L9165" s="33" t="str">
        <f>IFERROR(VLOOKUP($J9165,'Informations sur les produits'!$A$3:$H$10000,8,FALSE),"0")</f>
        <v>0</v>
      </c>
      <c r="N9165" s="8"/>
      <c r="O9165" s="33" t="str">
        <f>IFERROR(VLOOKUP($M9165,'Informations sur les produits'!$A$3:$H$10000,8,FALSE),"0")</f>
        <v>0</v>
      </c>
      <c r="P9165" s="33">
        <f t="shared" si="572"/>
        <v>0</v>
      </c>
      <c r="Q9165" s="31" t="str">
        <f t="shared" si="573"/>
        <v/>
      </c>
      <c r="R9165" s="32" t="str">
        <f>IFERROR(VLOOKUP($D9165,'Informations sur les produits'!$A$3:$B$15000,2,FALSE),"")</f>
        <v/>
      </c>
      <c r="V9165">
        <f t="shared" si="574"/>
        <v>0</v>
      </c>
      <c r="W9165">
        <f t="shared" si="575"/>
        <v>0</v>
      </c>
    </row>
    <row r="9166" spans="5:23" x14ac:dyDescent="0.25">
      <c r="E9166" s="4"/>
      <c r="F9166" s="4"/>
      <c r="G9166" s="33" t="str">
        <f>IFERROR(VLOOKUP($D9166,'Informations sur les produits'!$A$3:$H$10000,8,FALSE),"0")</f>
        <v>0</v>
      </c>
      <c r="K9166" s="4"/>
      <c r="L9166" s="33" t="str">
        <f>IFERROR(VLOOKUP($J9166,'Informations sur les produits'!$A$3:$H$10000,8,FALSE),"0")</f>
        <v>0</v>
      </c>
      <c r="N9166" s="8"/>
      <c r="O9166" s="33" t="str">
        <f>IFERROR(VLOOKUP($M9166,'Informations sur les produits'!$A$3:$H$10000,8,FALSE),"0")</f>
        <v>0</v>
      </c>
      <c r="P9166" s="33">
        <f t="shared" si="572"/>
        <v>0</v>
      </c>
      <c r="Q9166" s="31" t="str">
        <f t="shared" si="573"/>
        <v/>
      </c>
      <c r="R9166" s="32" t="str">
        <f>IFERROR(VLOOKUP($D9166,'Informations sur les produits'!$A$3:$B$15000,2,FALSE),"")</f>
        <v/>
      </c>
      <c r="V9166">
        <f t="shared" si="574"/>
        <v>0</v>
      </c>
      <c r="W9166">
        <f t="shared" si="575"/>
        <v>0</v>
      </c>
    </row>
    <row r="9167" spans="5:23" x14ac:dyDescent="0.25">
      <c r="E9167" s="4"/>
      <c r="F9167" s="4"/>
      <c r="G9167" s="33" t="str">
        <f>IFERROR(VLOOKUP($D9167,'Informations sur les produits'!$A$3:$H$10000,8,FALSE),"0")</f>
        <v>0</v>
      </c>
      <c r="K9167" s="4"/>
      <c r="L9167" s="33" t="str">
        <f>IFERROR(VLOOKUP($J9167,'Informations sur les produits'!$A$3:$H$10000,8,FALSE),"0")</f>
        <v>0</v>
      </c>
      <c r="N9167" s="8"/>
      <c r="O9167" s="33" t="str">
        <f>IFERROR(VLOOKUP($M9167,'Informations sur les produits'!$A$3:$H$10000,8,FALSE),"0")</f>
        <v>0</v>
      </c>
      <c r="P9167" s="33">
        <f t="shared" si="572"/>
        <v>0</v>
      </c>
      <c r="Q9167" s="31" t="str">
        <f t="shared" si="573"/>
        <v/>
      </c>
      <c r="R9167" s="32" t="str">
        <f>IFERROR(VLOOKUP($D9167,'Informations sur les produits'!$A$3:$B$15000,2,FALSE),"")</f>
        <v/>
      </c>
      <c r="V9167">
        <f t="shared" si="574"/>
        <v>0</v>
      </c>
      <c r="W9167">
        <f t="shared" si="575"/>
        <v>0</v>
      </c>
    </row>
    <row r="9168" spans="5:23" x14ac:dyDescent="0.25">
      <c r="E9168" s="4"/>
      <c r="F9168" s="4"/>
      <c r="G9168" s="33" t="str">
        <f>IFERROR(VLOOKUP($D9168,'Informations sur les produits'!$A$3:$H$10000,8,FALSE),"0")</f>
        <v>0</v>
      </c>
      <c r="K9168" s="4"/>
      <c r="L9168" s="33" t="str">
        <f>IFERROR(VLOOKUP($J9168,'Informations sur les produits'!$A$3:$H$10000,8,FALSE),"0")</f>
        <v>0</v>
      </c>
      <c r="N9168" s="8"/>
      <c r="O9168" s="33" t="str">
        <f>IFERROR(VLOOKUP($M9168,'Informations sur les produits'!$A$3:$H$10000,8,FALSE),"0")</f>
        <v>0</v>
      </c>
      <c r="P9168" s="33">
        <f t="shared" si="572"/>
        <v>0</v>
      </c>
      <c r="Q9168" s="31" t="str">
        <f t="shared" si="573"/>
        <v/>
      </c>
      <c r="R9168" s="32" t="str">
        <f>IFERROR(VLOOKUP($D9168,'Informations sur les produits'!$A$3:$B$15000,2,FALSE),"")</f>
        <v/>
      </c>
      <c r="V9168">
        <f t="shared" si="574"/>
        <v>0</v>
      </c>
      <c r="W9168">
        <f t="shared" si="575"/>
        <v>0</v>
      </c>
    </row>
    <row r="9169" spans="5:23" x14ac:dyDescent="0.25">
      <c r="E9169" s="4"/>
      <c r="F9169" s="4"/>
      <c r="G9169" s="33" t="str">
        <f>IFERROR(VLOOKUP($D9169,'Informations sur les produits'!$A$3:$H$10000,8,FALSE),"0")</f>
        <v>0</v>
      </c>
      <c r="K9169" s="4"/>
      <c r="L9169" s="33" t="str">
        <f>IFERROR(VLOOKUP($J9169,'Informations sur les produits'!$A$3:$H$10000,8,FALSE),"0")</f>
        <v>0</v>
      </c>
      <c r="N9169" s="8"/>
      <c r="O9169" s="33" t="str">
        <f>IFERROR(VLOOKUP($M9169,'Informations sur les produits'!$A$3:$H$10000,8,FALSE),"0")</f>
        <v>0</v>
      </c>
      <c r="P9169" s="33">
        <f t="shared" si="572"/>
        <v>0</v>
      </c>
      <c r="Q9169" s="31" t="str">
        <f t="shared" si="573"/>
        <v/>
      </c>
      <c r="R9169" s="32" t="str">
        <f>IFERROR(VLOOKUP($D9169,'Informations sur les produits'!$A$3:$B$15000,2,FALSE),"")</f>
        <v/>
      </c>
      <c r="V9169">
        <f t="shared" si="574"/>
        <v>0</v>
      </c>
      <c r="W9169">
        <f t="shared" si="575"/>
        <v>0</v>
      </c>
    </row>
    <row r="9170" spans="5:23" x14ac:dyDescent="0.25">
      <c r="E9170" s="4"/>
      <c r="F9170" s="4"/>
      <c r="G9170" s="33" t="str">
        <f>IFERROR(VLOOKUP($D9170,'Informations sur les produits'!$A$3:$H$10000,8,FALSE),"0")</f>
        <v>0</v>
      </c>
      <c r="K9170" s="4"/>
      <c r="L9170" s="33" t="str">
        <f>IFERROR(VLOOKUP($J9170,'Informations sur les produits'!$A$3:$H$10000,8,FALSE),"0")</f>
        <v>0</v>
      </c>
      <c r="N9170" s="8"/>
      <c r="O9170" s="33" t="str">
        <f>IFERROR(VLOOKUP($M9170,'Informations sur les produits'!$A$3:$H$10000,8,FALSE),"0")</f>
        <v>0</v>
      </c>
      <c r="P9170" s="33">
        <f t="shared" si="572"/>
        <v>0</v>
      </c>
      <c r="Q9170" s="31" t="str">
        <f t="shared" si="573"/>
        <v/>
      </c>
      <c r="R9170" s="32" t="str">
        <f>IFERROR(VLOOKUP($D9170,'Informations sur les produits'!$A$3:$B$15000,2,FALSE),"")</f>
        <v/>
      </c>
      <c r="V9170">
        <f t="shared" si="574"/>
        <v>0</v>
      </c>
      <c r="W9170">
        <f t="shared" si="575"/>
        <v>0</v>
      </c>
    </row>
    <row r="9171" spans="5:23" x14ac:dyDescent="0.25">
      <c r="E9171" s="4"/>
      <c r="F9171" s="4"/>
      <c r="G9171" s="33" t="str">
        <f>IFERROR(VLOOKUP($D9171,'Informations sur les produits'!$A$3:$H$10000,8,FALSE),"0")</f>
        <v>0</v>
      </c>
      <c r="K9171" s="4"/>
      <c r="L9171" s="33" t="str">
        <f>IFERROR(VLOOKUP($J9171,'Informations sur les produits'!$A$3:$H$10000,8,FALSE),"0")</f>
        <v>0</v>
      </c>
      <c r="N9171" s="8"/>
      <c r="O9171" s="33" t="str">
        <f>IFERROR(VLOOKUP($M9171,'Informations sur les produits'!$A$3:$H$10000,8,FALSE),"0")</f>
        <v>0</v>
      </c>
      <c r="P9171" s="33">
        <f t="shared" si="572"/>
        <v>0</v>
      </c>
      <c r="Q9171" s="31" t="str">
        <f t="shared" si="573"/>
        <v/>
      </c>
      <c r="R9171" s="32" t="str">
        <f>IFERROR(VLOOKUP($D9171,'Informations sur les produits'!$A$3:$B$15000,2,FALSE),"")</f>
        <v/>
      </c>
      <c r="V9171">
        <f t="shared" si="574"/>
        <v>0</v>
      </c>
      <c r="W9171">
        <f t="shared" si="575"/>
        <v>0</v>
      </c>
    </row>
    <row r="9172" spans="5:23" x14ac:dyDescent="0.25">
      <c r="E9172" s="4"/>
      <c r="F9172" s="4"/>
      <c r="G9172" s="33" t="str">
        <f>IFERROR(VLOOKUP($D9172,'Informations sur les produits'!$A$3:$H$10000,8,FALSE),"0")</f>
        <v>0</v>
      </c>
      <c r="K9172" s="4"/>
      <c r="L9172" s="33" t="str">
        <f>IFERROR(VLOOKUP($J9172,'Informations sur les produits'!$A$3:$H$10000,8,FALSE),"0")</f>
        <v>0</v>
      </c>
      <c r="N9172" s="8"/>
      <c r="O9172" s="33" t="str">
        <f>IFERROR(VLOOKUP($M9172,'Informations sur les produits'!$A$3:$H$10000,8,FALSE),"0")</f>
        <v>0</v>
      </c>
      <c r="P9172" s="33">
        <f t="shared" si="572"/>
        <v>0</v>
      </c>
      <c r="Q9172" s="31" t="str">
        <f t="shared" si="573"/>
        <v/>
      </c>
      <c r="R9172" s="32" t="str">
        <f>IFERROR(VLOOKUP($D9172,'Informations sur les produits'!$A$3:$B$15000,2,FALSE),"")</f>
        <v/>
      </c>
      <c r="V9172">
        <f t="shared" si="574"/>
        <v>0</v>
      </c>
      <c r="W9172">
        <f t="shared" si="575"/>
        <v>0</v>
      </c>
    </row>
    <row r="9173" spans="5:23" x14ac:dyDescent="0.25">
      <c r="E9173" s="4"/>
      <c r="F9173" s="4"/>
      <c r="G9173" s="33" t="str">
        <f>IFERROR(VLOOKUP($D9173,'Informations sur les produits'!$A$3:$H$10000,8,FALSE),"0")</f>
        <v>0</v>
      </c>
      <c r="K9173" s="4"/>
      <c r="L9173" s="33" t="str">
        <f>IFERROR(VLOOKUP($J9173,'Informations sur les produits'!$A$3:$H$10000,8,FALSE),"0")</f>
        <v>0</v>
      </c>
      <c r="N9173" s="8"/>
      <c r="O9173" s="33" t="str">
        <f>IFERROR(VLOOKUP($M9173,'Informations sur les produits'!$A$3:$H$10000,8,FALSE),"0")</f>
        <v>0</v>
      </c>
      <c r="P9173" s="33">
        <f t="shared" si="572"/>
        <v>0</v>
      </c>
      <c r="Q9173" s="31" t="str">
        <f t="shared" si="573"/>
        <v/>
      </c>
      <c r="R9173" s="32" t="str">
        <f>IFERROR(VLOOKUP($D9173,'Informations sur les produits'!$A$3:$B$15000,2,FALSE),"")</f>
        <v/>
      </c>
      <c r="V9173">
        <f t="shared" si="574"/>
        <v>0</v>
      </c>
      <c r="W9173">
        <f t="shared" si="575"/>
        <v>0</v>
      </c>
    </row>
    <row r="9174" spans="5:23" x14ac:dyDescent="0.25">
      <c r="E9174" s="4"/>
      <c r="F9174" s="4"/>
      <c r="G9174" s="33" t="str">
        <f>IFERROR(VLOOKUP($D9174,'Informations sur les produits'!$A$3:$H$10000,8,FALSE),"0")</f>
        <v>0</v>
      </c>
      <c r="K9174" s="4"/>
      <c r="L9174" s="33" t="str">
        <f>IFERROR(VLOOKUP($J9174,'Informations sur les produits'!$A$3:$H$10000,8,FALSE),"0")</f>
        <v>0</v>
      </c>
      <c r="N9174" s="8"/>
      <c r="O9174" s="33" t="str">
        <f>IFERROR(VLOOKUP($M9174,'Informations sur les produits'!$A$3:$H$10000,8,FALSE),"0")</f>
        <v>0</v>
      </c>
      <c r="P9174" s="33">
        <f t="shared" si="572"/>
        <v>0</v>
      </c>
      <c r="Q9174" s="31" t="str">
        <f t="shared" si="573"/>
        <v/>
      </c>
      <c r="R9174" s="32" t="str">
        <f>IFERROR(VLOOKUP($D9174,'Informations sur les produits'!$A$3:$B$15000,2,FALSE),"")</f>
        <v/>
      </c>
      <c r="V9174">
        <f t="shared" si="574"/>
        <v>0</v>
      </c>
      <c r="W9174">
        <f t="shared" si="575"/>
        <v>0</v>
      </c>
    </row>
    <row r="9175" spans="5:23" x14ac:dyDescent="0.25">
      <c r="E9175" s="4"/>
      <c r="F9175" s="4"/>
      <c r="G9175" s="33" t="str">
        <f>IFERROR(VLOOKUP($D9175,'Informations sur les produits'!$A$3:$H$10000,8,FALSE),"0")</f>
        <v>0</v>
      </c>
      <c r="K9175" s="4"/>
      <c r="L9175" s="33" t="str">
        <f>IFERROR(VLOOKUP($J9175,'Informations sur les produits'!$A$3:$H$10000,8,FALSE),"0")</f>
        <v>0</v>
      </c>
      <c r="N9175" s="8"/>
      <c r="O9175" s="33" t="str">
        <f>IFERROR(VLOOKUP($M9175,'Informations sur les produits'!$A$3:$H$10000,8,FALSE),"0")</f>
        <v>0</v>
      </c>
      <c r="P9175" s="33">
        <f t="shared" si="572"/>
        <v>0</v>
      </c>
      <c r="Q9175" s="31" t="str">
        <f t="shared" si="573"/>
        <v/>
      </c>
      <c r="R9175" s="32" t="str">
        <f>IFERROR(VLOOKUP($D9175,'Informations sur les produits'!$A$3:$B$15000,2,FALSE),"")</f>
        <v/>
      </c>
      <c r="V9175">
        <f t="shared" si="574"/>
        <v>0</v>
      </c>
      <c r="W9175">
        <f t="shared" si="575"/>
        <v>0</v>
      </c>
    </row>
    <row r="9176" spans="5:23" x14ac:dyDescent="0.25">
      <c r="E9176" s="4"/>
      <c r="F9176" s="4"/>
      <c r="G9176" s="33" t="str">
        <f>IFERROR(VLOOKUP($D9176,'Informations sur les produits'!$A$3:$H$10000,8,FALSE),"0")</f>
        <v>0</v>
      </c>
      <c r="K9176" s="4"/>
      <c r="L9176" s="33" t="str">
        <f>IFERROR(VLOOKUP($J9176,'Informations sur les produits'!$A$3:$H$10000,8,FALSE),"0")</f>
        <v>0</v>
      </c>
      <c r="N9176" s="8"/>
      <c r="O9176" s="33" t="str">
        <f>IFERROR(VLOOKUP($M9176,'Informations sur les produits'!$A$3:$H$10000,8,FALSE),"0")</f>
        <v>0</v>
      </c>
      <c r="P9176" s="33">
        <f t="shared" si="572"/>
        <v>0</v>
      </c>
      <c r="Q9176" s="31" t="str">
        <f t="shared" si="573"/>
        <v/>
      </c>
      <c r="R9176" s="32" t="str">
        <f>IFERROR(VLOOKUP($D9176,'Informations sur les produits'!$A$3:$B$15000,2,FALSE),"")</f>
        <v/>
      </c>
      <c r="V9176">
        <f t="shared" si="574"/>
        <v>0</v>
      </c>
      <c r="W9176">
        <f t="shared" si="575"/>
        <v>0</v>
      </c>
    </row>
    <row r="9177" spans="5:23" x14ac:dyDescent="0.25">
      <c r="E9177" s="4"/>
      <c r="F9177" s="4"/>
      <c r="G9177" s="33" t="str">
        <f>IFERROR(VLOOKUP($D9177,'Informations sur les produits'!$A$3:$H$10000,8,FALSE),"0")</f>
        <v>0</v>
      </c>
      <c r="K9177" s="4"/>
      <c r="L9177" s="33" t="str">
        <f>IFERROR(VLOOKUP($J9177,'Informations sur les produits'!$A$3:$H$10000,8,FALSE),"0")</f>
        <v>0</v>
      </c>
      <c r="N9177" s="8"/>
      <c r="O9177" s="33" t="str">
        <f>IFERROR(VLOOKUP($M9177,'Informations sur les produits'!$A$3:$H$10000,8,FALSE),"0")</f>
        <v>0</v>
      </c>
      <c r="P9177" s="33">
        <f t="shared" si="572"/>
        <v>0</v>
      </c>
      <c r="Q9177" s="31" t="str">
        <f t="shared" si="573"/>
        <v/>
      </c>
      <c r="R9177" s="32" t="str">
        <f>IFERROR(VLOOKUP($D9177,'Informations sur les produits'!$A$3:$B$15000,2,FALSE),"")</f>
        <v/>
      </c>
      <c r="V9177">
        <f t="shared" si="574"/>
        <v>0</v>
      </c>
      <c r="W9177">
        <f t="shared" si="575"/>
        <v>0</v>
      </c>
    </row>
    <row r="9178" spans="5:23" x14ac:dyDescent="0.25">
      <c r="E9178" s="4"/>
      <c r="F9178" s="4"/>
      <c r="G9178" s="33" t="str">
        <f>IFERROR(VLOOKUP($D9178,'Informations sur les produits'!$A$3:$H$10000,8,FALSE),"0")</f>
        <v>0</v>
      </c>
      <c r="K9178" s="4"/>
      <c r="L9178" s="33" t="str">
        <f>IFERROR(VLOOKUP($J9178,'Informations sur les produits'!$A$3:$H$10000,8,FALSE),"0")</f>
        <v>0</v>
      </c>
      <c r="N9178" s="8"/>
      <c r="O9178" s="33" t="str">
        <f>IFERROR(VLOOKUP($M9178,'Informations sur les produits'!$A$3:$H$10000,8,FALSE),"0")</f>
        <v>0</v>
      </c>
      <c r="P9178" s="33">
        <f t="shared" si="572"/>
        <v>0</v>
      </c>
      <c r="Q9178" s="31" t="str">
        <f t="shared" si="573"/>
        <v/>
      </c>
      <c r="R9178" s="32" t="str">
        <f>IFERROR(VLOOKUP($D9178,'Informations sur les produits'!$A$3:$B$15000,2,FALSE),"")</f>
        <v/>
      </c>
      <c r="V9178">
        <f t="shared" si="574"/>
        <v>0</v>
      </c>
      <c r="W9178">
        <f t="shared" si="575"/>
        <v>0</v>
      </c>
    </row>
    <row r="9179" spans="5:23" x14ac:dyDescent="0.25">
      <c r="E9179" s="4"/>
      <c r="F9179" s="4"/>
      <c r="G9179" s="33" t="str">
        <f>IFERROR(VLOOKUP($D9179,'Informations sur les produits'!$A$3:$H$10000,8,FALSE),"0")</f>
        <v>0</v>
      </c>
      <c r="K9179" s="4"/>
      <c r="L9179" s="33" t="str">
        <f>IFERROR(VLOOKUP($J9179,'Informations sur les produits'!$A$3:$H$10000,8,FALSE),"0")</f>
        <v>0</v>
      </c>
      <c r="N9179" s="8"/>
      <c r="O9179" s="33" t="str">
        <f>IFERROR(VLOOKUP($M9179,'Informations sur les produits'!$A$3:$H$10000,8,FALSE),"0")</f>
        <v>0</v>
      </c>
      <c r="P9179" s="33">
        <f t="shared" si="572"/>
        <v>0</v>
      </c>
      <c r="Q9179" s="31" t="str">
        <f t="shared" si="573"/>
        <v/>
      </c>
      <c r="R9179" s="32" t="str">
        <f>IFERROR(VLOOKUP($D9179,'Informations sur les produits'!$A$3:$B$15000,2,FALSE),"")</f>
        <v/>
      </c>
      <c r="V9179">
        <f t="shared" si="574"/>
        <v>0</v>
      </c>
      <c r="W9179">
        <f t="shared" si="575"/>
        <v>0</v>
      </c>
    </row>
    <row r="9180" spans="5:23" x14ac:dyDescent="0.25">
      <c r="E9180" s="4"/>
      <c r="F9180" s="4"/>
      <c r="G9180" s="33" t="str">
        <f>IFERROR(VLOOKUP($D9180,'Informations sur les produits'!$A$3:$H$10000,8,FALSE),"0")</f>
        <v>0</v>
      </c>
      <c r="K9180" s="4"/>
      <c r="L9180" s="33" t="str">
        <f>IFERROR(VLOOKUP($J9180,'Informations sur les produits'!$A$3:$H$10000,8,FALSE),"0")</f>
        <v>0</v>
      </c>
      <c r="N9180" s="8"/>
      <c r="O9180" s="33" t="str">
        <f>IFERROR(VLOOKUP($M9180,'Informations sur les produits'!$A$3:$H$10000,8,FALSE),"0")</f>
        <v>0</v>
      </c>
      <c r="P9180" s="33">
        <f t="shared" si="572"/>
        <v>0</v>
      </c>
      <c r="Q9180" s="31" t="str">
        <f t="shared" si="573"/>
        <v/>
      </c>
      <c r="R9180" s="32" t="str">
        <f>IFERROR(VLOOKUP($D9180,'Informations sur les produits'!$A$3:$B$15000,2,FALSE),"")</f>
        <v/>
      </c>
      <c r="V9180">
        <f t="shared" si="574"/>
        <v>0</v>
      </c>
      <c r="W9180">
        <f t="shared" si="575"/>
        <v>0</v>
      </c>
    </row>
    <row r="9181" spans="5:23" x14ac:dyDescent="0.25">
      <c r="E9181" s="4"/>
      <c r="F9181" s="4"/>
      <c r="G9181" s="33" t="str">
        <f>IFERROR(VLOOKUP($D9181,'Informations sur les produits'!$A$3:$H$10000,8,FALSE),"0")</f>
        <v>0</v>
      </c>
      <c r="K9181" s="4"/>
      <c r="L9181" s="33" t="str">
        <f>IFERROR(VLOOKUP($J9181,'Informations sur les produits'!$A$3:$H$10000,8,FALSE),"0")</f>
        <v>0</v>
      </c>
      <c r="N9181" s="8"/>
      <c r="O9181" s="33" t="str">
        <f>IFERROR(VLOOKUP($M9181,'Informations sur les produits'!$A$3:$H$10000,8,FALSE),"0")</f>
        <v>0</v>
      </c>
      <c r="P9181" s="33">
        <f t="shared" si="572"/>
        <v>0</v>
      </c>
      <c r="Q9181" s="31" t="str">
        <f t="shared" si="573"/>
        <v/>
      </c>
      <c r="R9181" s="32" t="str">
        <f>IFERROR(VLOOKUP($D9181,'Informations sur les produits'!$A$3:$B$15000,2,FALSE),"")</f>
        <v/>
      </c>
      <c r="V9181">
        <f t="shared" si="574"/>
        <v>0</v>
      </c>
      <c r="W9181">
        <f t="shared" si="575"/>
        <v>0</v>
      </c>
    </row>
    <row r="9182" spans="5:23" x14ac:dyDescent="0.25">
      <c r="E9182" s="4"/>
      <c r="F9182" s="4"/>
      <c r="G9182" s="33" t="str">
        <f>IFERROR(VLOOKUP($D9182,'Informations sur les produits'!$A$3:$H$10000,8,FALSE),"0")</f>
        <v>0</v>
      </c>
      <c r="K9182" s="4"/>
      <c r="L9182" s="33" t="str">
        <f>IFERROR(VLOOKUP($J9182,'Informations sur les produits'!$A$3:$H$10000,8,FALSE),"0")</f>
        <v>0</v>
      </c>
      <c r="N9182" s="8"/>
      <c r="O9182" s="33" t="str">
        <f>IFERROR(VLOOKUP($M9182,'Informations sur les produits'!$A$3:$H$10000,8,FALSE),"0")</f>
        <v>0</v>
      </c>
      <c r="P9182" s="33">
        <f t="shared" si="572"/>
        <v>0</v>
      </c>
      <c r="Q9182" s="31" t="str">
        <f t="shared" si="573"/>
        <v/>
      </c>
      <c r="R9182" s="32" t="str">
        <f>IFERROR(VLOOKUP($D9182,'Informations sur les produits'!$A$3:$B$15000,2,FALSE),"")</f>
        <v/>
      </c>
      <c r="V9182">
        <f t="shared" si="574"/>
        <v>0</v>
      </c>
      <c r="W9182">
        <f t="shared" si="575"/>
        <v>0</v>
      </c>
    </row>
    <row r="9183" spans="5:23" x14ac:dyDescent="0.25">
      <c r="E9183" s="4"/>
      <c r="F9183" s="4"/>
      <c r="G9183" s="33" t="str">
        <f>IFERROR(VLOOKUP($D9183,'Informations sur les produits'!$A$3:$H$10000,8,FALSE),"0")</f>
        <v>0</v>
      </c>
      <c r="K9183" s="4"/>
      <c r="L9183" s="33" t="str">
        <f>IFERROR(VLOOKUP($J9183,'Informations sur les produits'!$A$3:$H$10000,8,FALSE),"0")</f>
        <v>0</v>
      </c>
      <c r="N9183" s="8"/>
      <c r="O9183" s="33" t="str">
        <f>IFERROR(VLOOKUP($M9183,'Informations sur les produits'!$A$3:$H$10000,8,FALSE),"0")</f>
        <v>0</v>
      </c>
      <c r="P9183" s="33">
        <f t="shared" si="572"/>
        <v>0</v>
      </c>
      <c r="Q9183" s="31" t="str">
        <f t="shared" si="573"/>
        <v/>
      </c>
      <c r="R9183" s="32" t="str">
        <f>IFERROR(VLOOKUP($D9183,'Informations sur les produits'!$A$3:$B$15000,2,FALSE),"")</f>
        <v/>
      </c>
      <c r="V9183">
        <f t="shared" si="574"/>
        <v>0</v>
      </c>
      <c r="W9183">
        <f t="shared" si="575"/>
        <v>0</v>
      </c>
    </row>
    <row r="9184" spans="5:23" x14ac:dyDescent="0.25">
      <c r="E9184" s="4"/>
      <c r="F9184" s="4"/>
      <c r="G9184" s="33" t="str">
        <f>IFERROR(VLOOKUP($D9184,'Informations sur les produits'!$A$3:$H$10000,8,FALSE),"0")</f>
        <v>0</v>
      </c>
      <c r="K9184" s="4"/>
      <c r="L9184" s="33" t="str">
        <f>IFERROR(VLOOKUP($J9184,'Informations sur les produits'!$A$3:$H$10000,8,FALSE),"0")</f>
        <v>0</v>
      </c>
      <c r="N9184" s="8"/>
      <c r="O9184" s="33" t="str">
        <f>IFERROR(VLOOKUP($M9184,'Informations sur les produits'!$A$3:$H$10000,8,FALSE),"0")</f>
        <v>0</v>
      </c>
      <c r="P9184" s="33">
        <f t="shared" si="572"/>
        <v>0</v>
      </c>
      <c r="Q9184" s="31" t="str">
        <f t="shared" si="573"/>
        <v/>
      </c>
      <c r="R9184" s="32" t="str">
        <f>IFERROR(VLOOKUP($D9184,'Informations sur les produits'!$A$3:$B$15000,2,FALSE),"")</f>
        <v/>
      </c>
      <c r="V9184">
        <f t="shared" si="574"/>
        <v>0</v>
      </c>
      <c r="W9184">
        <f t="shared" si="575"/>
        <v>0</v>
      </c>
    </row>
    <row r="9185" spans="5:23" x14ac:dyDescent="0.25">
      <c r="E9185" s="4"/>
      <c r="F9185" s="4"/>
      <c r="G9185" s="33" t="str">
        <f>IFERROR(VLOOKUP($D9185,'Informations sur les produits'!$A$3:$H$10000,8,FALSE),"0")</f>
        <v>0</v>
      </c>
      <c r="K9185" s="4"/>
      <c r="L9185" s="33" t="str">
        <f>IFERROR(VLOOKUP($J9185,'Informations sur les produits'!$A$3:$H$10000,8,FALSE),"0")</f>
        <v>0</v>
      </c>
      <c r="N9185" s="8"/>
      <c r="O9185" s="33" t="str">
        <f>IFERROR(VLOOKUP($M9185,'Informations sur les produits'!$A$3:$H$10000,8,FALSE),"0")</f>
        <v>0</v>
      </c>
      <c r="P9185" s="33">
        <f t="shared" si="572"/>
        <v>0</v>
      </c>
      <c r="Q9185" s="31" t="str">
        <f t="shared" si="573"/>
        <v/>
      </c>
      <c r="R9185" s="32" t="str">
        <f>IFERROR(VLOOKUP($D9185,'Informations sur les produits'!$A$3:$B$15000,2,FALSE),"")</f>
        <v/>
      </c>
      <c r="V9185">
        <f t="shared" si="574"/>
        <v>0</v>
      </c>
      <c r="W9185">
        <f t="shared" si="575"/>
        <v>0</v>
      </c>
    </row>
    <row r="9186" spans="5:23" x14ac:dyDescent="0.25">
      <c r="E9186" s="4"/>
      <c r="F9186" s="4"/>
      <c r="G9186" s="33" t="str">
        <f>IFERROR(VLOOKUP($D9186,'Informations sur les produits'!$A$3:$H$10000,8,FALSE),"0")</f>
        <v>0</v>
      </c>
      <c r="K9186" s="4"/>
      <c r="L9186" s="33" t="str">
        <f>IFERROR(VLOOKUP($J9186,'Informations sur les produits'!$A$3:$H$10000,8,FALSE),"0")</f>
        <v>0</v>
      </c>
      <c r="N9186" s="8"/>
      <c r="O9186" s="33" t="str">
        <f>IFERROR(VLOOKUP($M9186,'Informations sur les produits'!$A$3:$H$10000,8,FALSE),"0")</f>
        <v>0</v>
      </c>
      <c r="P9186" s="33">
        <f t="shared" si="572"/>
        <v>0</v>
      </c>
      <c r="Q9186" s="31" t="str">
        <f t="shared" si="573"/>
        <v/>
      </c>
      <c r="R9186" s="32" t="str">
        <f>IFERROR(VLOOKUP($D9186,'Informations sur les produits'!$A$3:$B$15000,2,FALSE),"")</f>
        <v/>
      </c>
      <c r="V9186">
        <f t="shared" si="574"/>
        <v>0</v>
      </c>
      <c r="W9186">
        <f t="shared" si="575"/>
        <v>0</v>
      </c>
    </row>
    <row r="9187" spans="5:23" x14ac:dyDescent="0.25">
      <c r="E9187" s="4"/>
      <c r="F9187" s="4"/>
      <c r="G9187" s="33" t="str">
        <f>IFERROR(VLOOKUP($D9187,'Informations sur les produits'!$A$3:$H$10000,8,FALSE),"0")</f>
        <v>0</v>
      </c>
      <c r="K9187" s="4"/>
      <c r="L9187" s="33" t="str">
        <f>IFERROR(VLOOKUP($J9187,'Informations sur les produits'!$A$3:$H$10000,8,FALSE),"0")</f>
        <v>0</v>
      </c>
      <c r="N9187" s="8"/>
      <c r="O9187" s="33" t="str">
        <f>IFERROR(VLOOKUP($M9187,'Informations sur les produits'!$A$3:$H$10000,8,FALSE),"0")</f>
        <v>0</v>
      </c>
      <c r="P9187" s="33">
        <f t="shared" si="572"/>
        <v>0</v>
      </c>
      <c r="Q9187" s="31" t="str">
        <f t="shared" si="573"/>
        <v/>
      </c>
      <c r="R9187" s="32" t="str">
        <f>IFERROR(VLOOKUP($D9187,'Informations sur les produits'!$A$3:$B$15000,2,FALSE),"")</f>
        <v/>
      </c>
      <c r="V9187">
        <f t="shared" si="574"/>
        <v>0</v>
      </c>
      <c r="W9187">
        <f t="shared" si="575"/>
        <v>0</v>
      </c>
    </row>
    <row r="9188" spans="5:23" x14ac:dyDescent="0.25">
      <c r="E9188" s="4"/>
      <c r="F9188" s="4"/>
      <c r="G9188" s="33" t="str">
        <f>IFERROR(VLOOKUP($D9188,'Informations sur les produits'!$A$3:$H$10000,8,FALSE),"0")</f>
        <v>0</v>
      </c>
      <c r="K9188" s="4"/>
      <c r="L9188" s="33" t="str">
        <f>IFERROR(VLOOKUP($J9188,'Informations sur les produits'!$A$3:$H$10000,8,FALSE),"0")</f>
        <v>0</v>
      </c>
      <c r="N9188" s="8"/>
      <c r="O9188" s="33" t="str">
        <f>IFERROR(VLOOKUP($M9188,'Informations sur les produits'!$A$3:$H$10000,8,FALSE),"0")</f>
        <v>0</v>
      </c>
      <c r="P9188" s="33">
        <f t="shared" si="572"/>
        <v>0</v>
      </c>
      <c r="Q9188" s="31" t="str">
        <f t="shared" si="573"/>
        <v/>
      </c>
      <c r="R9188" s="32" t="str">
        <f>IFERROR(VLOOKUP($D9188,'Informations sur les produits'!$A$3:$B$15000,2,FALSE),"")</f>
        <v/>
      </c>
      <c r="V9188">
        <f t="shared" si="574"/>
        <v>0</v>
      </c>
      <c r="W9188">
        <f t="shared" si="575"/>
        <v>0</v>
      </c>
    </row>
    <row r="9189" spans="5:23" x14ac:dyDescent="0.25">
      <c r="E9189" s="4"/>
      <c r="F9189" s="4"/>
      <c r="G9189" s="33" t="str">
        <f>IFERROR(VLOOKUP($D9189,'Informations sur les produits'!$A$3:$H$10000,8,FALSE),"0")</f>
        <v>0</v>
      </c>
      <c r="K9189" s="4"/>
      <c r="L9189" s="33" t="str">
        <f>IFERROR(VLOOKUP($J9189,'Informations sur les produits'!$A$3:$H$10000,8,FALSE),"0")</f>
        <v>0</v>
      </c>
      <c r="N9189" s="8"/>
      <c r="O9189" s="33" t="str">
        <f>IFERROR(VLOOKUP($M9189,'Informations sur les produits'!$A$3:$H$10000,8,FALSE),"0")</f>
        <v>0</v>
      </c>
      <c r="P9189" s="33">
        <f t="shared" si="572"/>
        <v>0</v>
      </c>
      <c r="Q9189" s="31" t="str">
        <f t="shared" si="573"/>
        <v/>
      </c>
      <c r="R9189" s="32" t="str">
        <f>IFERROR(VLOOKUP($D9189,'Informations sur les produits'!$A$3:$B$15000,2,FALSE),"")</f>
        <v/>
      </c>
      <c r="V9189">
        <f t="shared" si="574"/>
        <v>0</v>
      </c>
      <c r="W9189">
        <f t="shared" si="575"/>
        <v>0</v>
      </c>
    </row>
    <row r="9190" spans="5:23" x14ac:dyDescent="0.25">
      <c r="E9190" s="4"/>
      <c r="F9190" s="4"/>
      <c r="G9190" s="33" t="str">
        <f>IFERROR(VLOOKUP($D9190,'Informations sur les produits'!$A$3:$H$10000,8,FALSE),"0")</f>
        <v>0</v>
      </c>
      <c r="K9190" s="4"/>
      <c r="L9190" s="33" t="str">
        <f>IFERROR(VLOOKUP($J9190,'Informations sur les produits'!$A$3:$H$10000,8,FALSE),"0")</f>
        <v>0</v>
      </c>
      <c r="N9190" s="8"/>
      <c r="O9190" s="33" t="str">
        <f>IFERROR(VLOOKUP($M9190,'Informations sur les produits'!$A$3:$H$10000,8,FALSE),"0")</f>
        <v>0</v>
      </c>
      <c r="P9190" s="33">
        <f t="shared" si="572"/>
        <v>0</v>
      </c>
      <c r="Q9190" s="31" t="str">
        <f t="shared" si="573"/>
        <v/>
      </c>
      <c r="R9190" s="32" t="str">
        <f>IFERROR(VLOOKUP($D9190,'Informations sur les produits'!$A$3:$B$15000,2,FALSE),"")</f>
        <v/>
      </c>
      <c r="V9190">
        <f t="shared" si="574"/>
        <v>0</v>
      </c>
      <c r="W9190">
        <f t="shared" si="575"/>
        <v>0</v>
      </c>
    </row>
    <row r="9191" spans="5:23" x14ac:dyDescent="0.25">
      <c r="E9191" s="4"/>
      <c r="F9191" s="4"/>
      <c r="G9191" s="33" t="str">
        <f>IFERROR(VLOOKUP($D9191,'Informations sur les produits'!$A$3:$H$10000,8,FALSE),"0")</f>
        <v>0</v>
      </c>
      <c r="K9191" s="4"/>
      <c r="L9191" s="33" t="str">
        <f>IFERROR(VLOOKUP($J9191,'Informations sur les produits'!$A$3:$H$10000,8,FALSE),"0")</f>
        <v>0</v>
      </c>
      <c r="N9191" s="8"/>
      <c r="O9191" s="33" t="str">
        <f>IFERROR(VLOOKUP($M9191,'Informations sur les produits'!$A$3:$H$10000,8,FALSE),"0")</f>
        <v>0</v>
      </c>
      <c r="P9191" s="33">
        <f t="shared" si="572"/>
        <v>0</v>
      </c>
      <c r="Q9191" s="31" t="str">
        <f t="shared" si="573"/>
        <v/>
      </c>
      <c r="R9191" s="32" t="str">
        <f>IFERROR(VLOOKUP($D9191,'Informations sur les produits'!$A$3:$B$15000,2,FALSE),"")</f>
        <v/>
      </c>
      <c r="V9191">
        <f t="shared" si="574"/>
        <v>0</v>
      </c>
      <c r="W9191">
        <f t="shared" si="575"/>
        <v>0</v>
      </c>
    </row>
    <row r="9192" spans="5:23" x14ac:dyDescent="0.25">
      <c r="E9192" s="4"/>
      <c r="F9192" s="4"/>
      <c r="G9192" s="33" t="str">
        <f>IFERROR(VLOOKUP($D9192,'Informations sur les produits'!$A$3:$H$10000,8,FALSE),"0")</f>
        <v>0</v>
      </c>
      <c r="K9192" s="4"/>
      <c r="L9192" s="33" t="str">
        <f>IFERROR(VLOOKUP($J9192,'Informations sur les produits'!$A$3:$H$10000,8,FALSE),"0")</f>
        <v>0</v>
      </c>
      <c r="N9192" s="8"/>
      <c r="O9192" s="33" t="str">
        <f>IFERROR(VLOOKUP($M9192,'Informations sur les produits'!$A$3:$H$10000,8,FALSE),"0")</f>
        <v>0</v>
      </c>
      <c r="P9192" s="33">
        <f t="shared" si="572"/>
        <v>0</v>
      </c>
      <c r="Q9192" s="31" t="str">
        <f t="shared" si="573"/>
        <v/>
      </c>
      <c r="R9192" s="32" t="str">
        <f>IFERROR(VLOOKUP($D9192,'Informations sur les produits'!$A$3:$B$15000,2,FALSE),"")</f>
        <v/>
      </c>
      <c r="V9192">
        <f t="shared" si="574"/>
        <v>0</v>
      </c>
      <c r="W9192">
        <f t="shared" si="575"/>
        <v>0</v>
      </c>
    </row>
    <row r="9193" spans="5:23" x14ac:dyDescent="0.25">
      <c r="E9193" s="4"/>
      <c r="F9193" s="4"/>
      <c r="G9193" s="33" t="str">
        <f>IFERROR(VLOOKUP($D9193,'Informations sur les produits'!$A$3:$H$10000,8,FALSE),"0")</f>
        <v>0</v>
      </c>
      <c r="K9193" s="4"/>
      <c r="L9193" s="33" t="str">
        <f>IFERROR(VLOOKUP($J9193,'Informations sur les produits'!$A$3:$H$10000,8,FALSE),"0")</f>
        <v>0</v>
      </c>
      <c r="N9193" s="8"/>
      <c r="O9193" s="33" t="str">
        <f>IFERROR(VLOOKUP($M9193,'Informations sur les produits'!$A$3:$H$10000,8,FALSE),"0")</f>
        <v>0</v>
      </c>
      <c r="P9193" s="33">
        <f t="shared" si="572"/>
        <v>0</v>
      </c>
      <c r="Q9193" s="31" t="str">
        <f t="shared" si="573"/>
        <v/>
      </c>
      <c r="R9193" s="32" t="str">
        <f>IFERROR(VLOOKUP($D9193,'Informations sur les produits'!$A$3:$B$15000,2,FALSE),"")</f>
        <v/>
      </c>
      <c r="V9193">
        <f t="shared" si="574"/>
        <v>0</v>
      </c>
      <c r="W9193">
        <f t="shared" si="575"/>
        <v>0</v>
      </c>
    </row>
    <row r="9194" spans="5:23" x14ac:dyDescent="0.25">
      <c r="E9194" s="4"/>
      <c r="F9194" s="4"/>
      <c r="G9194" s="33" t="str">
        <f>IFERROR(VLOOKUP($D9194,'Informations sur les produits'!$A$3:$H$10000,8,FALSE),"0")</f>
        <v>0</v>
      </c>
      <c r="K9194" s="4"/>
      <c r="L9194" s="33" t="str">
        <f>IFERROR(VLOOKUP($J9194,'Informations sur les produits'!$A$3:$H$10000,8,FALSE),"0")</f>
        <v>0</v>
      </c>
      <c r="N9194" s="8"/>
      <c r="O9194" s="33" t="str">
        <f>IFERROR(VLOOKUP($M9194,'Informations sur les produits'!$A$3:$H$10000,8,FALSE),"0")</f>
        <v>0</v>
      </c>
      <c r="P9194" s="33">
        <f t="shared" si="572"/>
        <v>0</v>
      </c>
      <c r="Q9194" s="31" t="str">
        <f t="shared" si="573"/>
        <v/>
      </c>
      <c r="R9194" s="32" t="str">
        <f>IFERROR(VLOOKUP($D9194,'Informations sur les produits'!$A$3:$B$15000,2,FALSE),"")</f>
        <v/>
      </c>
      <c r="V9194">
        <f t="shared" si="574"/>
        <v>0</v>
      </c>
      <c r="W9194">
        <f t="shared" si="575"/>
        <v>0</v>
      </c>
    </row>
    <row r="9195" spans="5:23" x14ac:dyDescent="0.25">
      <c r="E9195" s="4"/>
      <c r="F9195" s="4"/>
      <c r="G9195" s="33" t="str">
        <f>IFERROR(VLOOKUP($D9195,'Informations sur les produits'!$A$3:$H$10000,8,FALSE),"0")</f>
        <v>0</v>
      </c>
      <c r="K9195" s="4"/>
      <c r="L9195" s="33" t="str">
        <f>IFERROR(VLOOKUP($J9195,'Informations sur les produits'!$A$3:$H$10000,8,FALSE),"0")</f>
        <v>0</v>
      </c>
      <c r="N9195" s="8"/>
      <c r="O9195" s="33" t="str">
        <f>IFERROR(VLOOKUP($M9195,'Informations sur les produits'!$A$3:$H$10000,8,FALSE),"0")</f>
        <v>0</v>
      </c>
      <c r="P9195" s="33">
        <f t="shared" si="572"/>
        <v>0</v>
      </c>
      <c r="Q9195" s="31" t="str">
        <f t="shared" si="573"/>
        <v/>
      </c>
      <c r="R9195" s="32" t="str">
        <f>IFERROR(VLOOKUP($D9195,'Informations sur les produits'!$A$3:$B$15000,2,FALSE),"")</f>
        <v/>
      </c>
      <c r="V9195">
        <f t="shared" si="574"/>
        <v>0</v>
      </c>
      <c r="W9195">
        <f t="shared" si="575"/>
        <v>0</v>
      </c>
    </row>
    <row r="9196" spans="5:23" x14ac:dyDescent="0.25">
      <c r="E9196" s="4"/>
      <c r="F9196" s="4"/>
      <c r="G9196" s="33" t="str">
        <f>IFERROR(VLOOKUP($D9196,'Informations sur les produits'!$A$3:$H$10000,8,FALSE),"0")</f>
        <v>0</v>
      </c>
      <c r="K9196" s="4"/>
      <c r="L9196" s="33" t="str">
        <f>IFERROR(VLOOKUP($J9196,'Informations sur les produits'!$A$3:$H$10000,8,FALSE),"0")</f>
        <v>0</v>
      </c>
      <c r="N9196" s="8"/>
      <c r="O9196" s="33" t="str">
        <f>IFERROR(VLOOKUP($M9196,'Informations sur les produits'!$A$3:$H$10000,8,FALSE),"0")</f>
        <v>0</v>
      </c>
      <c r="P9196" s="33">
        <f t="shared" si="572"/>
        <v>0</v>
      </c>
      <c r="Q9196" s="31" t="str">
        <f t="shared" si="573"/>
        <v/>
      </c>
      <c r="R9196" s="32" t="str">
        <f>IFERROR(VLOOKUP($D9196,'Informations sur les produits'!$A$3:$B$15000,2,FALSE),"")</f>
        <v/>
      </c>
      <c r="V9196">
        <f t="shared" si="574"/>
        <v>0</v>
      </c>
      <c r="W9196">
        <f t="shared" si="575"/>
        <v>0</v>
      </c>
    </row>
    <row r="9197" spans="5:23" x14ac:dyDescent="0.25">
      <c r="E9197" s="4"/>
      <c r="F9197" s="4"/>
      <c r="G9197" s="33" t="str">
        <f>IFERROR(VLOOKUP($D9197,'Informations sur les produits'!$A$3:$H$10000,8,FALSE),"0")</f>
        <v>0</v>
      </c>
      <c r="K9197" s="4"/>
      <c r="L9197" s="33" t="str">
        <f>IFERROR(VLOOKUP($J9197,'Informations sur les produits'!$A$3:$H$10000,8,FALSE),"0")</f>
        <v>0</v>
      </c>
      <c r="N9197" s="8"/>
      <c r="O9197" s="33" t="str">
        <f>IFERROR(VLOOKUP($M9197,'Informations sur les produits'!$A$3:$H$10000,8,FALSE),"0")</f>
        <v>0</v>
      </c>
      <c r="P9197" s="33">
        <f t="shared" si="572"/>
        <v>0</v>
      </c>
      <c r="Q9197" s="31" t="str">
        <f t="shared" si="573"/>
        <v/>
      </c>
      <c r="R9197" s="32" t="str">
        <f>IFERROR(VLOOKUP($D9197,'Informations sur les produits'!$A$3:$B$15000,2,FALSE),"")</f>
        <v/>
      </c>
      <c r="V9197">
        <f t="shared" si="574"/>
        <v>0</v>
      </c>
      <c r="W9197">
        <f t="shared" si="575"/>
        <v>0</v>
      </c>
    </row>
    <row r="9198" spans="5:23" x14ac:dyDescent="0.25">
      <c r="E9198" s="4"/>
      <c r="F9198" s="4"/>
      <c r="G9198" s="33" t="str">
        <f>IFERROR(VLOOKUP($D9198,'Informations sur les produits'!$A$3:$H$10000,8,FALSE),"0")</f>
        <v>0</v>
      </c>
      <c r="K9198" s="4"/>
      <c r="L9198" s="33" t="str">
        <f>IFERROR(VLOOKUP($J9198,'Informations sur les produits'!$A$3:$H$10000,8,FALSE),"0")</f>
        <v>0</v>
      </c>
      <c r="N9198" s="8"/>
      <c r="O9198" s="33" t="str">
        <f>IFERROR(VLOOKUP($M9198,'Informations sur les produits'!$A$3:$H$10000,8,FALSE),"0")</f>
        <v>0</v>
      </c>
      <c r="P9198" s="33">
        <f t="shared" si="572"/>
        <v>0</v>
      </c>
      <c r="Q9198" s="31" t="str">
        <f t="shared" si="573"/>
        <v/>
      </c>
      <c r="R9198" s="32" t="str">
        <f>IFERROR(VLOOKUP($D9198,'Informations sur les produits'!$A$3:$B$15000,2,FALSE),"")</f>
        <v/>
      </c>
      <c r="V9198">
        <f t="shared" si="574"/>
        <v>0</v>
      </c>
      <c r="W9198">
        <f t="shared" si="575"/>
        <v>0</v>
      </c>
    </row>
    <row r="9199" spans="5:23" x14ac:dyDescent="0.25">
      <c r="E9199" s="4"/>
      <c r="F9199" s="4"/>
      <c r="G9199" s="33" t="str">
        <f>IFERROR(VLOOKUP($D9199,'Informations sur les produits'!$A$3:$H$10000,8,FALSE),"0")</f>
        <v>0</v>
      </c>
      <c r="K9199" s="4"/>
      <c r="L9199" s="33" t="str">
        <f>IFERROR(VLOOKUP($J9199,'Informations sur les produits'!$A$3:$H$10000,8,FALSE),"0")</f>
        <v>0</v>
      </c>
      <c r="N9199" s="8"/>
      <c r="O9199" s="33" t="str">
        <f>IFERROR(VLOOKUP($M9199,'Informations sur les produits'!$A$3:$H$10000,8,FALSE),"0")</f>
        <v>0</v>
      </c>
      <c r="P9199" s="33">
        <f t="shared" si="572"/>
        <v>0</v>
      </c>
      <c r="Q9199" s="31" t="str">
        <f t="shared" si="573"/>
        <v/>
      </c>
      <c r="R9199" s="32" t="str">
        <f>IFERROR(VLOOKUP($D9199,'Informations sur les produits'!$A$3:$B$15000,2,FALSE),"")</f>
        <v/>
      </c>
      <c r="V9199">
        <f t="shared" si="574"/>
        <v>0</v>
      </c>
      <c r="W9199">
        <f t="shared" si="575"/>
        <v>0</v>
      </c>
    </row>
    <row r="9200" spans="5:23" x14ac:dyDescent="0.25">
      <c r="E9200" s="4"/>
      <c r="F9200" s="4"/>
      <c r="G9200" s="33" t="str">
        <f>IFERROR(VLOOKUP($D9200,'Informations sur les produits'!$A$3:$H$10000,8,FALSE),"0")</f>
        <v>0</v>
      </c>
      <c r="K9200" s="4"/>
      <c r="L9200" s="33" t="str">
        <f>IFERROR(VLOOKUP($J9200,'Informations sur les produits'!$A$3:$H$10000,8,FALSE),"0")</f>
        <v>0</v>
      </c>
      <c r="N9200" s="8"/>
      <c r="O9200" s="33" t="str">
        <f>IFERROR(VLOOKUP($M9200,'Informations sur les produits'!$A$3:$H$10000,8,FALSE),"0")</f>
        <v>0</v>
      </c>
      <c r="P9200" s="33">
        <f t="shared" si="572"/>
        <v>0</v>
      </c>
      <c r="Q9200" s="31" t="str">
        <f t="shared" si="573"/>
        <v/>
      </c>
      <c r="R9200" s="32" t="str">
        <f>IFERROR(VLOOKUP($D9200,'Informations sur les produits'!$A$3:$B$15000,2,FALSE),"")</f>
        <v/>
      </c>
      <c r="V9200">
        <f t="shared" si="574"/>
        <v>0</v>
      </c>
      <c r="W9200">
        <f t="shared" si="575"/>
        <v>0</v>
      </c>
    </row>
    <row r="9201" spans="5:23" x14ac:dyDescent="0.25">
      <c r="E9201" s="4"/>
      <c r="F9201" s="4"/>
      <c r="G9201" s="33" t="str">
        <f>IFERROR(VLOOKUP($D9201,'Informations sur les produits'!$A$3:$H$10000,8,FALSE),"0")</f>
        <v>0</v>
      </c>
      <c r="K9201" s="4"/>
      <c r="L9201" s="33" t="str">
        <f>IFERROR(VLOOKUP($J9201,'Informations sur les produits'!$A$3:$H$10000,8,FALSE),"0")</f>
        <v>0</v>
      </c>
      <c r="N9201" s="8"/>
      <c r="O9201" s="33" t="str">
        <f>IFERROR(VLOOKUP($M9201,'Informations sur les produits'!$A$3:$H$10000,8,FALSE),"0")</f>
        <v>0</v>
      </c>
      <c r="P9201" s="33">
        <f t="shared" si="572"/>
        <v>0</v>
      </c>
      <c r="Q9201" s="31" t="str">
        <f t="shared" si="573"/>
        <v/>
      </c>
      <c r="R9201" s="32" t="str">
        <f>IFERROR(VLOOKUP($D9201,'Informations sur les produits'!$A$3:$B$15000,2,FALSE),"")</f>
        <v/>
      </c>
      <c r="V9201">
        <f t="shared" si="574"/>
        <v>0</v>
      </c>
      <c r="W9201">
        <f t="shared" si="575"/>
        <v>0</v>
      </c>
    </row>
    <row r="9202" spans="5:23" x14ac:dyDescent="0.25">
      <c r="E9202" s="4"/>
      <c r="F9202" s="4"/>
      <c r="G9202" s="33" t="str">
        <f>IFERROR(VLOOKUP($D9202,'Informations sur les produits'!$A$3:$H$10000,8,FALSE),"0")</f>
        <v>0</v>
      </c>
      <c r="K9202" s="4"/>
      <c r="L9202" s="33" t="str">
        <f>IFERROR(VLOOKUP($J9202,'Informations sur les produits'!$A$3:$H$10000,8,FALSE),"0")</f>
        <v>0</v>
      </c>
      <c r="N9202" s="8"/>
      <c r="O9202" s="33" t="str">
        <f>IFERROR(VLOOKUP($M9202,'Informations sur les produits'!$A$3:$H$10000,8,FALSE),"0")</f>
        <v>0</v>
      </c>
      <c r="P9202" s="33">
        <f t="shared" si="572"/>
        <v>0</v>
      </c>
      <c r="Q9202" s="31" t="str">
        <f t="shared" si="573"/>
        <v/>
      </c>
      <c r="R9202" s="32" t="str">
        <f>IFERROR(VLOOKUP($D9202,'Informations sur les produits'!$A$3:$B$15000,2,FALSE),"")</f>
        <v/>
      </c>
      <c r="V9202">
        <f t="shared" si="574"/>
        <v>0</v>
      </c>
      <c r="W9202">
        <f t="shared" si="575"/>
        <v>0</v>
      </c>
    </row>
    <row r="9203" spans="5:23" x14ac:dyDescent="0.25">
      <c r="E9203" s="4"/>
      <c r="F9203" s="4"/>
      <c r="G9203" s="33" t="str">
        <f>IFERROR(VLOOKUP($D9203,'Informations sur les produits'!$A$3:$H$10000,8,FALSE),"0")</f>
        <v>0</v>
      </c>
      <c r="K9203" s="4"/>
      <c r="L9203" s="33" t="str">
        <f>IFERROR(VLOOKUP($J9203,'Informations sur les produits'!$A$3:$H$10000,8,FALSE),"0")</f>
        <v>0</v>
      </c>
      <c r="N9203" s="8"/>
      <c r="O9203" s="33" t="str">
        <f>IFERROR(VLOOKUP($M9203,'Informations sur les produits'!$A$3:$H$10000,8,FALSE),"0")</f>
        <v>0</v>
      </c>
      <c r="P9203" s="33">
        <f t="shared" si="572"/>
        <v>0</v>
      </c>
      <c r="Q9203" s="31" t="str">
        <f t="shared" si="573"/>
        <v/>
      </c>
      <c r="R9203" s="32" t="str">
        <f>IFERROR(VLOOKUP($D9203,'Informations sur les produits'!$A$3:$B$15000,2,FALSE),"")</f>
        <v/>
      </c>
      <c r="V9203">
        <f t="shared" si="574"/>
        <v>0</v>
      </c>
      <c r="W9203">
        <f t="shared" si="575"/>
        <v>0</v>
      </c>
    </row>
    <row r="9204" spans="5:23" x14ac:dyDescent="0.25">
      <c r="E9204" s="4"/>
      <c r="F9204" s="4"/>
      <c r="G9204" s="33" t="str">
        <f>IFERROR(VLOOKUP($D9204,'Informations sur les produits'!$A$3:$H$10000,8,FALSE),"0")</f>
        <v>0</v>
      </c>
      <c r="K9204" s="4"/>
      <c r="L9204" s="33" t="str">
        <f>IFERROR(VLOOKUP($J9204,'Informations sur les produits'!$A$3:$H$10000,8,FALSE),"0")</f>
        <v>0</v>
      </c>
      <c r="N9204" s="8"/>
      <c r="O9204" s="33" t="str">
        <f>IFERROR(VLOOKUP($M9204,'Informations sur les produits'!$A$3:$H$10000,8,FALSE),"0")</f>
        <v>0</v>
      </c>
      <c r="P9204" s="33">
        <f t="shared" si="572"/>
        <v>0</v>
      </c>
      <c r="Q9204" s="31" t="str">
        <f t="shared" si="573"/>
        <v/>
      </c>
      <c r="R9204" s="32" t="str">
        <f>IFERROR(VLOOKUP($D9204,'Informations sur les produits'!$A$3:$B$15000,2,FALSE),"")</f>
        <v/>
      </c>
      <c r="V9204">
        <f t="shared" si="574"/>
        <v>0</v>
      </c>
      <c r="W9204">
        <f t="shared" si="575"/>
        <v>0</v>
      </c>
    </row>
    <row r="9205" spans="5:23" x14ac:dyDescent="0.25">
      <c r="E9205" s="4"/>
      <c r="F9205" s="4"/>
      <c r="G9205" s="33" t="str">
        <f>IFERROR(VLOOKUP($D9205,'Informations sur les produits'!$A$3:$H$10000,8,FALSE),"0")</f>
        <v>0</v>
      </c>
      <c r="K9205" s="4"/>
      <c r="L9205" s="33" t="str">
        <f>IFERROR(VLOOKUP($J9205,'Informations sur les produits'!$A$3:$H$10000,8,FALSE),"0")</f>
        <v>0</v>
      </c>
      <c r="N9205" s="8"/>
      <c r="O9205" s="33" t="str">
        <f>IFERROR(VLOOKUP($M9205,'Informations sur les produits'!$A$3:$H$10000,8,FALSE),"0")</f>
        <v>0</v>
      </c>
      <c r="P9205" s="33">
        <f t="shared" si="572"/>
        <v>0</v>
      </c>
      <c r="Q9205" s="31" t="str">
        <f t="shared" si="573"/>
        <v/>
      </c>
      <c r="R9205" s="32" t="str">
        <f>IFERROR(VLOOKUP($D9205,'Informations sur les produits'!$A$3:$B$15000,2,FALSE),"")</f>
        <v/>
      </c>
      <c r="V9205">
        <f t="shared" si="574"/>
        <v>0</v>
      </c>
      <c r="W9205">
        <f t="shared" si="575"/>
        <v>0</v>
      </c>
    </row>
    <row r="9206" spans="5:23" x14ac:dyDescent="0.25">
      <c r="E9206" s="4"/>
      <c r="F9206" s="4"/>
      <c r="G9206" s="33" t="str">
        <f>IFERROR(VLOOKUP($D9206,'Informations sur les produits'!$A$3:$H$10000,8,FALSE),"0")</f>
        <v>0</v>
      </c>
      <c r="K9206" s="4"/>
      <c r="L9206" s="33" t="str">
        <f>IFERROR(VLOOKUP($J9206,'Informations sur les produits'!$A$3:$H$10000,8,FALSE),"0")</f>
        <v>0</v>
      </c>
      <c r="N9206" s="8"/>
      <c r="O9206" s="33" t="str">
        <f>IFERROR(VLOOKUP($M9206,'Informations sur les produits'!$A$3:$H$10000,8,FALSE),"0")</f>
        <v>0</v>
      </c>
      <c r="P9206" s="33">
        <f t="shared" si="572"/>
        <v>0</v>
      </c>
      <c r="Q9206" s="31" t="str">
        <f t="shared" si="573"/>
        <v/>
      </c>
      <c r="R9206" s="32" t="str">
        <f>IFERROR(VLOOKUP($D9206,'Informations sur les produits'!$A$3:$B$15000,2,FALSE),"")</f>
        <v/>
      </c>
      <c r="V9206">
        <f t="shared" si="574"/>
        <v>0</v>
      </c>
      <c r="W9206">
        <f t="shared" si="575"/>
        <v>0</v>
      </c>
    </row>
    <row r="9207" spans="5:23" x14ac:dyDescent="0.25">
      <c r="E9207" s="4"/>
      <c r="F9207" s="4"/>
      <c r="G9207" s="33" t="str">
        <f>IFERROR(VLOOKUP($D9207,'Informations sur les produits'!$A$3:$H$10000,8,FALSE),"0")</f>
        <v>0</v>
      </c>
      <c r="K9207" s="4"/>
      <c r="L9207" s="33" t="str">
        <f>IFERROR(VLOOKUP($J9207,'Informations sur les produits'!$A$3:$H$10000,8,FALSE),"0")</f>
        <v>0</v>
      </c>
      <c r="N9207" s="8"/>
      <c r="O9207" s="33" t="str">
        <f>IFERROR(VLOOKUP($M9207,'Informations sur les produits'!$A$3:$H$10000,8,FALSE),"0")</f>
        <v>0</v>
      </c>
      <c r="P9207" s="33">
        <f t="shared" si="572"/>
        <v>0</v>
      </c>
      <c r="Q9207" s="31" t="str">
        <f t="shared" si="573"/>
        <v/>
      </c>
      <c r="R9207" s="32" t="str">
        <f>IFERROR(VLOOKUP($D9207,'Informations sur les produits'!$A$3:$B$15000,2,FALSE),"")</f>
        <v/>
      </c>
      <c r="V9207">
        <f t="shared" si="574"/>
        <v>0</v>
      </c>
      <c r="W9207">
        <f t="shared" si="575"/>
        <v>0</v>
      </c>
    </row>
    <row r="9208" spans="5:23" x14ac:dyDescent="0.25">
      <c r="E9208" s="4"/>
      <c r="F9208" s="4"/>
      <c r="G9208" s="33" t="str">
        <f>IFERROR(VLOOKUP($D9208,'Informations sur les produits'!$A$3:$H$10000,8,FALSE),"0")</f>
        <v>0</v>
      </c>
      <c r="K9208" s="4"/>
      <c r="L9208" s="33" t="str">
        <f>IFERROR(VLOOKUP($J9208,'Informations sur les produits'!$A$3:$H$10000,8,FALSE),"0")</f>
        <v>0</v>
      </c>
      <c r="N9208" s="8"/>
      <c r="O9208" s="33" t="str">
        <f>IFERROR(VLOOKUP($M9208,'Informations sur les produits'!$A$3:$H$10000,8,FALSE),"0")</f>
        <v>0</v>
      </c>
      <c r="P9208" s="33">
        <f t="shared" si="572"/>
        <v>0</v>
      </c>
      <c r="Q9208" s="31" t="str">
        <f t="shared" si="573"/>
        <v/>
      </c>
      <c r="R9208" s="32" t="str">
        <f>IFERROR(VLOOKUP($D9208,'Informations sur les produits'!$A$3:$B$15000,2,FALSE),"")</f>
        <v/>
      </c>
      <c r="V9208">
        <f t="shared" si="574"/>
        <v>0</v>
      </c>
      <c r="W9208">
        <f t="shared" si="575"/>
        <v>0</v>
      </c>
    </row>
    <row r="9209" spans="5:23" x14ac:dyDescent="0.25">
      <c r="E9209" s="4"/>
      <c r="F9209" s="4"/>
      <c r="G9209" s="33" t="str">
        <f>IFERROR(VLOOKUP($D9209,'Informations sur les produits'!$A$3:$H$10000,8,FALSE),"0")</f>
        <v>0</v>
      </c>
      <c r="K9209" s="4"/>
      <c r="L9209" s="33" t="str">
        <f>IFERROR(VLOOKUP($J9209,'Informations sur les produits'!$A$3:$H$10000,8,FALSE),"0")</f>
        <v>0</v>
      </c>
      <c r="N9209" s="8"/>
      <c r="O9209" s="33" t="str">
        <f>IFERROR(VLOOKUP($M9209,'Informations sur les produits'!$A$3:$H$10000,8,FALSE),"0")</f>
        <v>0</v>
      </c>
      <c r="P9209" s="33">
        <f t="shared" si="572"/>
        <v>0</v>
      </c>
      <c r="Q9209" s="31" t="str">
        <f t="shared" si="573"/>
        <v/>
      </c>
      <c r="R9209" s="32" t="str">
        <f>IFERROR(VLOOKUP($D9209,'Informations sur les produits'!$A$3:$B$15000,2,FALSE),"")</f>
        <v/>
      </c>
      <c r="V9209">
        <f t="shared" si="574"/>
        <v>0</v>
      </c>
      <c r="W9209">
        <f t="shared" si="575"/>
        <v>0</v>
      </c>
    </row>
    <row r="9210" spans="5:23" x14ac:dyDescent="0.25">
      <c r="E9210" s="4"/>
      <c r="F9210" s="4"/>
      <c r="G9210" s="33" t="str">
        <f>IFERROR(VLOOKUP($D9210,'Informations sur les produits'!$A$3:$H$10000,8,FALSE),"0")</f>
        <v>0</v>
      </c>
      <c r="K9210" s="4"/>
      <c r="L9210" s="33" t="str">
        <f>IFERROR(VLOOKUP($J9210,'Informations sur les produits'!$A$3:$H$10000,8,FALSE),"0")</f>
        <v>0</v>
      </c>
      <c r="N9210" s="8"/>
      <c r="O9210" s="33" t="str">
        <f>IFERROR(VLOOKUP($M9210,'Informations sur les produits'!$A$3:$H$10000,8,FALSE),"0")</f>
        <v>0</v>
      </c>
      <c r="P9210" s="33">
        <f t="shared" si="572"/>
        <v>0</v>
      </c>
      <c r="Q9210" s="31" t="str">
        <f t="shared" si="573"/>
        <v/>
      </c>
      <c r="R9210" s="32" t="str">
        <f>IFERROR(VLOOKUP($D9210,'Informations sur les produits'!$A$3:$B$15000,2,FALSE),"")</f>
        <v/>
      </c>
      <c r="V9210">
        <f t="shared" si="574"/>
        <v>0</v>
      </c>
      <c r="W9210">
        <f t="shared" si="575"/>
        <v>0</v>
      </c>
    </row>
    <row r="9211" spans="5:23" x14ac:dyDescent="0.25">
      <c r="E9211" s="4"/>
      <c r="F9211" s="4"/>
      <c r="G9211" s="33" t="str">
        <f>IFERROR(VLOOKUP($D9211,'Informations sur les produits'!$A$3:$H$10000,8,FALSE),"0")</f>
        <v>0</v>
      </c>
      <c r="K9211" s="4"/>
      <c r="L9211" s="33" t="str">
        <f>IFERROR(VLOOKUP($J9211,'Informations sur les produits'!$A$3:$H$10000,8,FALSE),"0")</f>
        <v>0</v>
      </c>
      <c r="N9211" s="8"/>
      <c r="O9211" s="33" t="str">
        <f>IFERROR(VLOOKUP($M9211,'Informations sur les produits'!$A$3:$H$10000,8,FALSE),"0")</f>
        <v>0</v>
      </c>
      <c r="P9211" s="33">
        <f t="shared" si="572"/>
        <v>0</v>
      </c>
      <c r="Q9211" s="31" t="str">
        <f t="shared" si="573"/>
        <v/>
      </c>
      <c r="R9211" s="32" t="str">
        <f>IFERROR(VLOOKUP($D9211,'Informations sur les produits'!$A$3:$B$15000,2,FALSE),"")</f>
        <v/>
      </c>
      <c r="V9211">
        <f t="shared" si="574"/>
        <v>0</v>
      </c>
      <c r="W9211">
        <f t="shared" si="575"/>
        <v>0</v>
      </c>
    </row>
    <row r="9212" spans="5:23" x14ac:dyDescent="0.25">
      <c r="E9212" s="4"/>
      <c r="F9212" s="4"/>
      <c r="G9212" s="33" t="str">
        <f>IFERROR(VLOOKUP($D9212,'Informations sur les produits'!$A$3:$H$10000,8,FALSE),"0")</f>
        <v>0</v>
      </c>
      <c r="K9212" s="4"/>
      <c r="L9212" s="33" t="str">
        <f>IFERROR(VLOOKUP($J9212,'Informations sur les produits'!$A$3:$H$10000,8,FALSE),"0")</f>
        <v>0</v>
      </c>
      <c r="N9212" s="8"/>
      <c r="O9212" s="33" t="str">
        <f>IFERROR(VLOOKUP($M9212,'Informations sur les produits'!$A$3:$H$10000,8,FALSE),"0")</f>
        <v>0</v>
      </c>
      <c r="P9212" s="33">
        <f t="shared" si="572"/>
        <v>0</v>
      </c>
      <c r="Q9212" s="31" t="str">
        <f t="shared" si="573"/>
        <v/>
      </c>
      <c r="R9212" s="32" t="str">
        <f>IFERROR(VLOOKUP($D9212,'Informations sur les produits'!$A$3:$B$15000,2,FALSE),"")</f>
        <v/>
      </c>
      <c r="V9212">
        <f t="shared" si="574"/>
        <v>0</v>
      </c>
      <c r="W9212">
        <f t="shared" si="575"/>
        <v>0</v>
      </c>
    </row>
    <row r="9213" spans="5:23" x14ac:dyDescent="0.25">
      <c r="E9213" s="4"/>
      <c r="F9213" s="4"/>
      <c r="G9213" s="33" t="str">
        <f>IFERROR(VLOOKUP($D9213,'Informations sur les produits'!$A$3:$H$10000,8,FALSE),"0")</f>
        <v>0</v>
      </c>
      <c r="K9213" s="4"/>
      <c r="L9213" s="33" t="str">
        <f>IFERROR(VLOOKUP($J9213,'Informations sur les produits'!$A$3:$H$10000,8,FALSE),"0")</f>
        <v>0</v>
      </c>
      <c r="N9213" s="8"/>
      <c r="O9213" s="33" t="str">
        <f>IFERROR(VLOOKUP($M9213,'Informations sur les produits'!$A$3:$H$10000,8,FALSE),"0")</f>
        <v>0</v>
      </c>
      <c r="P9213" s="33">
        <f t="shared" si="572"/>
        <v>0</v>
      </c>
      <c r="Q9213" s="31" t="str">
        <f t="shared" si="573"/>
        <v/>
      </c>
      <c r="R9213" s="32" t="str">
        <f>IFERROR(VLOOKUP($D9213,'Informations sur les produits'!$A$3:$B$15000,2,FALSE),"")</f>
        <v/>
      </c>
      <c r="V9213">
        <f t="shared" si="574"/>
        <v>0</v>
      </c>
      <c r="W9213">
        <f t="shared" si="575"/>
        <v>0</v>
      </c>
    </row>
    <row r="9214" spans="5:23" x14ac:dyDescent="0.25">
      <c r="E9214" s="4"/>
      <c r="F9214" s="4"/>
      <c r="G9214" s="33" t="str">
        <f>IFERROR(VLOOKUP($D9214,'Informations sur les produits'!$A$3:$H$10000,8,FALSE),"0")</f>
        <v>0</v>
      </c>
      <c r="K9214" s="4"/>
      <c r="L9214" s="33" t="str">
        <f>IFERROR(VLOOKUP($J9214,'Informations sur les produits'!$A$3:$H$10000,8,FALSE),"0")</f>
        <v>0</v>
      </c>
      <c r="N9214" s="8"/>
      <c r="O9214" s="33" t="str">
        <f>IFERROR(VLOOKUP($M9214,'Informations sur les produits'!$A$3:$H$10000,8,FALSE),"0")</f>
        <v>0</v>
      </c>
      <c r="P9214" s="33">
        <f t="shared" si="572"/>
        <v>0</v>
      </c>
      <c r="Q9214" s="31" t="str">
        <f t="shared" si="573"/>
        <v/>
      </c>
      <c r="R9214" s="32" t="str">
        <f>IFERROR(VLOOKUP($D9214,'Informations sur les produits'!$A$3:$B$15000,2,FALSE),"")</f>
        <v/>
      </c>
      <c r="V9214">
        <f t="shared" si="574"/>
        <v>0</v>
      </c>
      <c r="W9214">
        <f t="shared" si="575"/>
        <v>0</v>
      </c>
    </row>
    <row r="9215" spans="5:23" x14ac:dyDescent="0.25">
      <c r="E9215" s="4"/>
      <c r="F9215" s="4"/>
      <c r="G9215" s="33" t="str">
        <f>IFERROR(VLOOKUP($D9215,'Informations sur les produits'!$A$3:$H$10000,8,FALSE),"0")</f>
        <v>0</v>
      </c>
      <c r="K9215" s="4"/>
      <c r="L9215" s="33" t="str">
        <f>IFERROR(VLOOKUP($J9215,'Informations sur les produits'!$A$3:$H$10000,8,FALSE),"0")</f>
        <v>0</v>
      </c>
      <c r="N9215" s="8"/>
      <c r="O9215" s="33" t="str">
        <f>IFERROR(VLOOKUP($M9215,'Informations sur les produits'!$A$3:$H$10000,8,FALSE),"0")</f>
        <v>0</v>
      </c>
      <c r="P9215" s="33">
        <f t="shared" si="572"/>
        <v>0</v>
      </c>
      <c r="Q9215" s="31" t="str">
        <f t="shared" si="573"/>
        <v/>
      </c>
      <c r="R9215" s="32" t="str">
        <f>IFERROR(VLOOKUP($D9215,'Informations sur les produits'!$A$3:$B$15000,2,FALSE),"")</f>
        <v/>
      </c>
      <c r="V9215">
        <f t="shared" si="574"/>
        <v>0</v>
      </c>
      <c r="W9215">
        <f t="shared" si="575"/>
        <v>0</v>
      </c>
    </row>
    <row r="9216" spans="5:23" x14ac:dyDescent="0.25">
      <c r="E9216" s="4"/>
      <c r="F9216" s="4"/>
      <c r="G9216" s="33" t="str">
        <f>IFERROR(VLOOKUP($D9216,'Informations sur les produits'!$A$3:$H$10000,8,FALSE),"0")</f>
        <v>0</v>
      </c>
      <c r="K9216" s="4"/>
      <c r="L9216" s="33" t="str">
        <f>IFERROR(VLOOKUP($J9216,'Informations sur les produits'!$A$3:$H$10000,8,FALSE),"0")</f>
        <v>0</v>
      </c>
      <c r="N9216" s="8"/>
      <c r="O9216" s="33" t="str">
        <f>IFERROR(VLOOKUP($M9216,'Informations sur les produits'!$A$3:$H$10000,8,FALSE),"0")</f>
        <v>0</v>
      </c>
      <c r="P9216" s="33">
        <f t="shared" si="572"/>
        <v>0</v>
      </c>
      <c r="Q9216" s="31" t="str">
        <f t="shared" si="573"/>
        <v/>
      </c>
      <c r="R9216" s="32" t="str">
        <f>IFERROR(VLOOKUP($D9216,'Informations sur les produits'!$A$3:$B$15000,2,FALSE),"")</f>
        <v/>
      </c>
      <c r="V9216">
        <f t="shared" si="574"/>
        <v>0</v>
      </c>
      <c r="W9216">
        <f t="shared" si="575"/>
        <v>0</v>
      </c>
    </row>
    <row r="9217" spans="5:23" x14ac:dyDescent="0.25">
      <c r="E9217" s="4"/>
      <c r="F9217" s="4"/>
      <c r="G9217" s="33" t="str">
        <f>IFERROR(VLOOKUP($D9217,'Informations sur les produits'!$A$3:$H$10000,8,FALSE),"0")</f>
        <v>0</v>
      </c>
      <c r="K9217" s="4"/>
      <c r="L9217" s="33" t="str">
        <f>IFERROR(VLOOKUP($J9217,'Informations sur les produits'!$A$3:$H$10000,8,FALSE),"0")</f>
        <v>0</v>
      </c>
      <c r="N9217" s="8"/>
      <c r="O9217" s="33" t="str">
        <f>IFERROR(VLOOKUP($M9217,'Informations sur les produits'!$A$3:$H$10000,8,FALSE),"0")</f>
        <v>0</v>
      </c>
      <c r="P9217" s="33">
        <f t="shared" si="572"/>
        <v>0</v>
      </c>
      <c r="Q9217" s="31" t="str">
        <f t="shared" si="573"/>
        <v/>
      </c>
      <c r="R9217" s="32" t="str">
        <f>IFERROR(VLOOKUP($D9217,'Informations sur les produits'!$A$3:$B$15000,2,FALSE),"")</f>
        <v/>
      </c>
      <c r="V9217">
        <f t="shared" si="574"/>
        <v>0</v>
      </c>
      <c r="W9217">
        <f t="shared" si="575"/>
        <v>0</v>
      </c>
    </row>
    <row r="9218" spans="5:23" x14ac:dyDescent="0.25">
      <c r="E9218" s="4"/>
      <c r="F9218" s="4"/>
      <c r="G9218" s="33" t="str">
        <f>IFERROR(VLOOKUP($D9218,'Informations sur les produits'!$A$3:$H$10000,8,FALSE),"0")</f>
        <v>0</v>
      </c>
      <c r="K9218" s="4"/>
      <c r="L9218" s="33" t="str">
        <f>IFERROR(VLOOKUP($J9218,'Informations sur les produits'!$A$3:$H$10000,8,FALSE),"0")</f>
        <v>0</v>
      </c>
      <c r="N9218" s="8"/>
      <c r="O9218" s="33" t="str">
        <f>IFERROR(VLOOKUP($M9218,'Informations sur les produits'!$A$3:$H$10000,8,FALSE),"0")</f>
        <v>0</v>
      </c>
      <c r="P9218" s="33">
        <f t="shared" si="572"/>
        <v>0</v>
      </c>
      <c r="Q9218" s="31" t="str">
        <f t="shared" si="573"/>
        <v/>
      </c>
      <c r="R9218" s="32" t="str">
        <f>IFERROR(VLOOKUP($D9218,'Informations sur les produits'!$A$3:$B$15000,2,FALSE),"")</f>
        <v/>
      </c>
      <c r="V9218">
        <f t="shared" si="574"/>
        <v>0</v>
      </c>
      <c r="W9218">
        <f t="shared" si="575"/>
        <v>0</v>
      </c>
    </row>
    <row r="9219" spans="5:23" x14ac:dyDescent="0.25">
      <c r="E9219" s="4"/>
      <c r="F9219" s="4"/>
      <c r="G9219" s="33" t="str">
        <f>IFERROR(VLOOKUP($D9219,'Informations sur les produits'!$A$3:$H$10000,8,FALSE),"0")</f>
        <v>0</v>
      </c>
      <c r="K9219" s="4"/>
      <c r="L9219" s="33" t="str">
        <f>IFERROR(VLOOKUP($J9219,'Informations sur les produits'!$A$3:$H$10000,8,FALSE),"0")</f>
        <v>0</v>
      </c>
      <c r="N9219" s="8"/>
      <c r="O9219" s="33" t="str">
        <f>IFERROR(VLOOKUP($M9219,'Informations sur les produits'!$A$3:$H$10000,8,FALSE),"0")</f>
        <v>0</v>
      </c>
      <c r="P9219" s="33">
        <f t="shared" si="572"/>
        <v>0</v>
      </c>
      <c r="Q9219" s="31" t="str">
        <f t="shared" si="573"/>
        <v/>
      </c>
      <c r="R9219" s="32" t="str">
        <f>IFERROR(VLOOKUP($D9219,'Informations sur les produits'!$A$3:$B$15000,2,FALSE),"")</f>
        <v/>
      </c>
      <c r="V9219">
        <f t="shared" si="574"/>
        <v>0</v>
      </c>
      <c r="W9219">
        <f t="shared" si="575"/>
        <v>0</v>
      </c>
    </row>
    <row r="9220" spans="5:23" x14ac:dyDescent="0.25">
      <c r="E9220" s="4"/>
      <c r="F9220" s="4"/>
      <c r="G9220" s="33" t="str">
        <f>IFERROR(VLOOKUP($D9220,'Informations sur les produits'!$A$3:$H$10000,8,FALSE),"0")</f>
        <v>0</v>
      </c>
      <c r="K9220" s="4"/>
      <c r="L9220" s="33" t="str">
        <f>IFERROR(VLOOKUP($J9220,'Informations sur les produits'!$A$3:$H$10000,8,FALSE),"0")</f>
        <v>0</v>
      </c>
      <c r="N9220" s="8"/>
      <c r="O9220" s="33" t="str">
        <f>IFERROR(VLOOKUP($M9220,'Informations sur les produits'!$A$3:$H$10000,8,FALSE),"0")</f>
        <v>0</v>
      </c>
      <c r="P9220" s="33">
        <f t="shared" ref="P9220:P9283" si="576">IFERROR((($E9220-$F9220)*$G9220+$K9220*$L9220+$N9220*$O9220),"")</f>
        <v>0</v>
      </c>
      <c r="Q9220" s="31" t="str">
        <f t="shared" ref="Q9220:Q9283" si="577">IFERROR((((($E9220-$F9220)*$G9220+$K9220*$L9220+$N9220*$O9220)*1000)/(($E9220-$F9220)+$K9220+$N9220)),"")</f>
        <v/>
      </c>
      <c r="R9220" s="32" t="str">
        <f>IFERROR(VLOOKUP($D9220,'Informations sur les produits'!$A$3:$B$15000,2,FALSE),"")</f>
        <v/>
      </c>
      <c r="V9220">
        <f t="shared" ref="V9220:V9283" si="578">IFERROR(P9220*1000,"")</f>
        <v>0</v>
      </c>
      <c r="W9220">
        <f t="shared" ref="W9220:W9283" si="579">IFERROR(($E9220-$F9220)+$K9220+$N9220,"")</f>
        <v>0</v>
      </c>
    </row>
    <row r="9221" spans="5:23" x14ac:dyDescent="0.25">
      <c r="E9221" s="4"/>
      <c r="F9221" s="4"/>
      <c r="G9221" s="33" t="str">
        <f>IFERROR(VLOOKUP($D9221,'Informations sur les produits'!$A$3:$H$10000,8,FALSE),"0")</f>
        <v>0</v>
      </c>
      <c r="K9221" s="4"/>
      <c r="L9221" s="33" t="str">
        <f>IFERROR(VLOOKUP($J9221,'Informations sur les produits'!$A$3:$H$10000,8,FALSE),"0")</f>
        <v>0</v>
      </c>
      <c r="N9221" s="8"/>
      <c r="O9221" s="33" t="str">
        <f>IFERROR(VLOOKUP($M9221,'Informations sur les produits'!$A$3:$H$10000,8,FALSE),"0")</f>
        <v>0</v>
      </c>
      <c r="P9221" s="33">
        <f t="shared" si="576"/>
        <v>0</v>
      </c>
      <c r="Q9221" s="31" t="str">
        <f t="shared" si="577"/>
        <v/>
      </c>
      <c r="R9221" s="32" t="str">
        <f>IFERROR(VLOOKUP($D9221,'Informations sur les produits'!$A$3:$B$15000,2,FALSE),"")</f>
        <v/>
      </c>
      <c r="V9221">
        <f t="shared" si="578"/>
        <v>0</v>
      </c>
      <c r="W9221">
        <f t="shared" si="579"/>
        <v>0</v>
      </c>
    </row>
    <row r="9222" spans="5:23" x14ac:dyDescent="0.25">
      <c r="E9222" s="4"/>
      <c r="F9222" s="4"/>
      <c r="G9222" s="33" t="str">
        <f>IFERROR(VLOOKUP($D9222,'Informations sur les produits'!$A$3:$H$10000,8,FALSE),"0")</f>
        <v>0</v>
      </c>
      <c r="K9222" s="4"/>
      <c r="L9222" s="33" t="str">
        <f>IFERROR(VLOOKUP($J9222,'Informations sur les produits'!$A$3:$H$10000,8,FALSE),"0")</f>
        <v>0</v>
      </c>
      <c r="N9222" s="8"/>
      <c r="O9222" s="33" t="str">
        <f>IFERROR(VLOOKUP($M9222,'Informations sur les produits'!$A$3:$H$10000,8,FALSE),"0")</f>
        <v>0</v>
      </c>
      <c r="P9222" s="33">
        <f t="shared" si="576"/>
        <v>0</v>
      </c>
      <c r="Q9222" s="31" t="str">
        <f t="shared" si="577"/>
        <v/>
      </c>
      <c r="R9222" s="32" t="str">
        <f>IFERROR(VLOOKUP($D9222,'Informations sur les produits'!$A$3:$B$15000,2,FALSE),"")</f>
        <v/>
      </c>
      <c r="V9222">
        <f t="shared" si="578"/>
        <v>0</v>
      </c>
      <c r="W9222">
        <f t="shared" si="579"/>
        <v>0</v>
      </c>
    </row>
    <row r="9223" spans="5:23" x14ac:dyDescent="0.25">
      <c r="E9223" s="4"/>
      <c r="F9223" s="4"/>
      <c r="G9223" s="33" t="str">
        <f>IFERROR(VLOOKUP($D9223,'Informations sur les produits'!$A$3:$H$10000,8,FALSE),"0")</f>
        <v>0</v>
      </c>
      <c r="K9223" s="4"/>
      <c r="L9223" s="33" t="str">
        <f>IFERROR(VLOOKUP($J9223,'Informations sur les produits'!$A$3:$H$10000,8,FALSE),"0")</f>
        <v>0</v>
      </c>
      <c r="N9223" s="8"/>
      <c r="O9223" s="33" t="str">
        <f>IFERROR(VLOOKUP($M9223,'Informations sur les produits'!$A$3:$H$10000,8,FALSE),"0")</f>
        <v>0</v>
      </c>
      <c r="P9223" s="33">
        <f t="shared" si="576"/>
        <v>0</v>
      </c>
      <c r="Q9223" s="31" t="str">
        <f t="shared" si="577"/>
        <v/>
      </c>
      <c r="R9223" s="32" t="str">
        <f>IFERROR(VLOOKUP($D9223,'Informations sur les produits'!$A$3:$B$15000,2,FALSE),"")</f>
        <v/>
      </c>
      <c r="V9223">
        <f t="shared" si="578"/>
        <v>0</v>
      </c>
      <c r="W9223">
        <f t="shared" si="579"/>
        <v>0</v>
      </c>
    </row>
    <row r="9224" spans="5:23" x14ac:dyDescent="0.25">
      <c r="E9224" s="4"/>
      <c r="F9224" s="4"/>
      <c r="G9224" s="33" t="str">
        <f>IFERROR(VLOOKUP($D9224,'Informations sur les produits'!$A$3:$H$10000,8,FALSE),"0")</f>
        <v>0</v>
      </c>
      <c r="K9224" s="4"/>
      <c r="L9224" s="33" t="str">
        <f>IFERROR(VLOOKUP($J9224,'Informations sur les produits'!$A$3:$H$10000,8,FALSE),"0")</f>
        <v>0</v>
      </c>
      <c r="N9224" s="8"/>
      <c r="O9224" s="33" t="str">
        <f>IFERROR(VLOOKUP($M9224,'Informations sur les produits'!$A$3:$H$10000,8,FALSE),"0")</f>
        <v>0</v>
      </c>
      <c r="P9224" s="33">
        <f t="shared" si="576"/>
        <v>0</v>
      </c>
      <c r="Q9224" s="31" t="str">
        <f t="shared" si="577"/>
        <v/>
      </c>
      <c r="R9224" s="32" t="str">
        <f>IFERROR(VLOOKUP($D9224,'Informations sur les produits'!$A$3:$B$15000,2,FALSE),"")</f>
        <v/>
      </c>
      <c r="V9224">
        <f t="shared" si="578"/>
        <v>0</v>
      </c>
      <c r="W9224">
        <f t="shared" si="579"/>
        <v>0</v>
      </c>
    </row>
    <row r="9225" spans="5:23" x14ac:dyDescent="0.25">
      <c r="E9225" s="4"/>
      <c r="F9225" s="4"/>
      <c r="G9225" s="33" t="str">
        <f>IFERROR(VLOOKUP($D9225,'Informations sur les produits'!$A$3:$H$10000,8,FALSE),"0")</f>
        <v>0</v>
      </c>
      <c r="K9225" s="4"/>
      <c r="L9225" s="33" t="str">
        <f>IFERROR(VLOOKUP($J9225,'Informations sur les produits'!$A$3:$H$10000,8,FALSE),"0")</f>
        <v>0</v>
      </c>
      <c r="N9225" s="8"/>
      <c r="O9225" s="33" t="str">
        <f>IFERROR(VLOOKUP($M9225,'Informations sur les produits'!$A$3:$H$10000,8,FALSE),"0")</f>
        <v>0</v>
      </c>
      <c r="P9225" s="33">
        <f t="shared" si="576"/>
        <v>0</v>
      </c>
      <c r="Q9225" s="31" t="str">
        <f t="shared" si="577"/>
        <v/>
      </c>
      <c r="R9225" s="32" t="str">
        <f>IFERROR(VLOOKUP($D9225,'Informations sur les produits'!$A$3:$B$15000,2,FALSE),"")</f>
        <v/>
      </c>
      <c r="V9225">
        <f t="shared" si="578"/>
        <v>0</v>
      </c>
      <c r="W9225">
        <f t="shared" si="579"/>
        <v>0</v>
      </c>
    </row>
    <row r="9226" spans="5:23" x14ac:dyDescent="0.25">
      <c r="E9226" s="4"/>
      <c r="F9226" s="4"/>
      <c r="G9226" s="33" t="str">
        <f>IFERROR(VLOOKUP($D9226,'Informations sur les produits'!$A$3:$H$10000,8,FALSE),"0")</f>
        <v>0</v>
      </c>
      <c r="K9226" s="4"/>
      <c r="L9226" s="33" t="str">
        <f>IFERROR(VLOOKUP($J9226,'Informations sur les produits'!$A$3:$H$10000,8,FALSE),"0")</f>
        <v>0</v>
      </c>
      <c r="N9226" s="8"/>
      <c r="O9226" s="33" t="str">
        <f>IFERROR(VLOOKUP($M9226,'Informations sur les produits'!$A$3:$H$10000,8,FALSE),"0")</f>
        <v>0</v>
      </c>
      <c r="P9226" s="33">
        <f t="shared" si="576"/>
        <v>0</v>
      </c>
      <c r="Q9226" s="31" t="str">
        <f t="shared" si="577"/>
        <v/>
      </c>
      <c r="R9226" s="32" t="str">
        <f>IFERROR(VLOOKUP($D9226,'Informations sur les produits'!$A$3:$B$15000,2,FALSE),"")</f>
        <v/>
      </c>
      <c r="V9226">
        <f t="shared" si="578"/>
        <v>0</v>
      </c>
      <c r="W9226">
        <f t="shared" si="579"/>
        <v>0</v>
      </c>
    </row>
    <row r="9227" spans="5:23" x14ac:dyDescent="0.25">
      <c r="E9227" s="4"/>
      <c r="F9227" s="4"/>
      <c r="G9227" s="33" t="str">
        <f>IFERROR(VLOOKUP($D9227,'Informations sur les produits'!$A$3:$H$10000,8,FALSE),"0")</f>
        <v>0</v>
      </c>
      <c r="K9227" s="4"/>
      <c r="L9227" s="33" t="str">
        <f>IFERROR(VLOOKUP($J9227,'Informations sur les produits'!$A$3:$H$10000,8,FALSE),"0")</f>
        <v>0</v>
      </c>
      <c r="N9227" s="8"/>
      <c r="O9227" s="33" t="str">
        <f>IFERROR(VLOOKUP($M9227,'Informations sur les produits'!$A$3:$H$10000,8,FALSE),"0")</f>
        <v>0</v>
      </c>
      <c r="P9227" s="33">
        <f t="shared" si="576"/>
        <v>0</v>
      </c>
      <c r="Q9227" s="31" t="str">
        <f t="shared" si="577"/>
        <v/>
      </c>
      <c r="R9227" s="32" t="str">
        <f>IFERROR(VLOOKUP($D9227,'Informations sur les produits'!$A$3:$B$15000,2,FALSE),"")</f>
        <v/>
      </c>
      <c r="V9227">
        <f t="shared" si="578"/>
        <v>0</v>
      </c>
      <c r="W9227">
        <f t="shared" si="579"/>
        <v>0</v>
      </c>
    </row>
    <row r="9228" spans="5:23" x14ac:dyDescent="0.25">
      <c r="E9228" s="4"/>
      <c r="F9228" s="4"/>
      <c r="G9228" s="33" t="str">
        <f>IFERROR(VLOOKUP($D9228,'Informations sur les produits'!$A$3:$H$10000,8,FALSE),"0")</f>
        <v>0</v>
      </c>
      <c r="K9228" s="4"/>
      <c r="L9228" s="33" t="str">
        <f>IFERROR(VLOOKUP($J9228,'Informations sur les produits'!$A$3:$H$10000,8,FALSE),"0")</f>
        <v>0</v>
      </c>
      <c r="N9228" s="8"/>
      <c r="O9228" s="33" t="str">
        <f>IFERROR(VLOOKUP($M9228,'Informations sur les produits'!$A$3:$H$10000,8,FALSE),"0")</f>
        <v>0</v>
      </c>
      <c r="P9228" s="33">
        <f t="shared" si="576"/>
        <v>0</v>
      </c>
      <c r="Q9228" s="31" t="str">
        <f t="shared" si="577"/>
        <v/>
      </c>
      <c r="R9228" s="32" t="str">
        <f>IFERROR(VLOOKUP($D9228,'Informations sur les produits'!$A$3:$B$15000,2,FALSE),"")</f>
        <v/>
      </c>
      <c r="V9228">
        <f t="shared" si="578"/>
        <v>0</v>
      </c>
      <c r="W9228">
        <f t="shared" si="579"/>
        <v>0</v>
      </c>
    </row>
    <row r="9229" spans="5:23" x14ac:dyDescent="0.25">
      <c r="E9229" s="4"/>
      <c r="F9229" s="4"/>
      <c r="G9229" s="33" t="str">
        <f>IFERROR(VLOOKUP($D9229,'Informations sur les produits'!$A$3:$H$10000,8,FALSE),"0")</f>
        <v>0</v>
      </c>
      <c r="K9229" s="4"/>
      <c r="L9229" s="33" t="str">
        <f>IFERROR(VLOOKUP($J9229,'Informations sur les produits'!$A$3:$H$10000,8,FALSE),"0")</f>
        <v>0</v>
      </c>
      <c r="N9229" s="8"/>
      <c r="O9229" s="33" t="str">
        <f>IFERROR(VLOOKUP($M9229,'Informations sur les produits'!$A$3:$H$10000,8,FALSE),"0")</f>
        <v>0</v>
      </c>
      <c r="P9229" s="33">
        <f t="shared" si="576"/>
        <v>0</v>
      </c>
      <c r="Q9229" s="31" t="str">
        <f t="shared" si="577"/>
        <v/>
      </c>
      <c r="R9229" s="32" t="str">
        <f>IFERROR(VLOOKUP($D9229,'Informations sur les produits'!$A$3:$B$15000,2,FALSE),"")</f>
        <v/>
      </c>
      <c r="V9229">
        <f t="shared" si="578"/>
        <v>0</v>
      </c>
      <c r="W9229">
        <f t="shared" si="579"/>
        <v>0</v>
      </c>
    </row>
    <row r="9230" spans="5:23" x14ac:dyDescent="0.25">
      <c r="E9230" s="4"/>
      <c r="F9230" s="4"/>
      <c r="G9230" s="33" t="str">
        <f>IFERROR(VLOOKUP($D9230,'Informations sur les produits'!$A$3:$H$10000,8,FALSE),"0")</f>
        <v>0</v>
      </c>
      <c r="K9230" s="4"/>
      <c r="L9230" s="33" t="str">
        <f>IFERROR(VLOOKUP($J9230,'Informations sur les produits'!$A$3:$H$10000,8,FALSE),"0")</f>
        <v>0</v>
      </c>
      <c r="N9230" s="8"/>
      <c r="O9230" s="33" t="str">
        <f>IFERROR(VLOOKUP($M9230,'Informations sur les produits'!$A$3:$H$10000,8,FALSE),"0")</f>
        <v>0</v>
      </c>
      <c r="P9230" s="33">
        <f t="shared" si="576"/>
        <v>0</v>
      </c>
      <c r="Q9230" s="31" t="str">
        <f t="shared" si="577"/>
        <v/>
      </c>
      <c r="R9230" s="32" t="str">
        <f>IFERROR(VLOOKUP($D9230,'Informations sur les produits'!$A$3:$B$15000,2,FALSE),"")</f>
        <v/>
      </c>
      <c r="V9230">
        <f t="shared" si="578"/>
        <v>0</v>
      </c>
      <c r="W9230">
        <f t="shared" si="579"/>
        <v>0</v>
      </c>
    </row>
    <row r="9231" spans="5:23" x14ac:dyDescent="0.25">
      <c r="E9231" s="4"/>
      <c r="F9231" s="4"/>
      <c r="G9231" s="33" t="str">
        <f>IFERROR(VLOOKUP($D9231,'Informations sur les produits'!$A$3:$H$10000,8,FALSE),"0")</f>
        <v>0</v>
      </c>
      <c r="K9231" s="4"/>
      <c r="L9231" s="33" t="str">
        <f>IFERROR(VLOOKUP($J9231,'Informations sur les produits'!$A$3:$H$10000,8,FALSE),"0")</f>
        <v>0</v>
      </c>
      <c r="N9231" s="8"/>
      <c r="O9231" s="33" t="str">
        <f>IFERROR(VLOOKUP($M9231,'Informations sur les produits'!$A$3:$H$10000,8,FALSE),"0")</f>
        <v>0</v>
      </c>
      <c r="P9231" s="33">
        <f t="shared" si="576"/>
        <v>0</v>
      </c>
      <c r="Q9231" s="31" t="str">
        <f t="shared" si="577"/>
        <v/>
      </c>
      <c r="R9231" s="32" t="str">
        <f>IFERROR(VLOOKUP($D9231,'Informations sur les produits'!$A$3:$B$15000,2,FALSE),"")</f>
        <v/>
      </c>
      <c r="V9231">
        <f t="shared" si="578"/>
        <v>0</v>
      </c>
      <c r="W9231">
        <f t="shared" si="579"/>
        <v>0</v>
      </c>
    </row>
    <row r="9232" spans="5:23" x14ac:dyDescent="0.25">
      <c r="E9232" s="4"/>
      <c r="F9232" s="4"/>
      <c r="G9232" s="33" t="str">
        <f>IFERROR(VLOOKUP($D9232,'Informations sur les produits'!$A$3:$H$10000,8,FALSE),"0")</f>
        <v>0</v>
      </c>
      <c r="K9232" s="4"/>
      <c r="L9232" s="33" t="str">
        <f>IFERROR(VLOOKUP($J9232,'Informations sur les produits'!$A$3:$H$10000,8,FALSE),"0")</f>
        <v>0</v>
      </c>
      <c r="N9232" s="8"/>
      <c r="O9232" s="33" t="str">
        <f>IFERROR(VLOOKUP($M9232,'Informations sur les produits'!$A$3:$H$10000,8,FALSE),"0")</f>
        <v>0</v>
      </c>
      <c r="P9232" s="33">
        <f t="shared" si="576"/>
        <v>0</v>
      </c>
      <c r="Q9232" s="31" t="str">
        <f t="shared" si="577"/>
        <v/>
      </c>
      <c r="R9232" s="32" t="str">
        <f>IFERROR(VLOOKUP($D9232,'Informations sur les produits'!$A$3:$B$15000,2,FALSE),"")</f>
        <v/>
      </c>
      <c r="V9232">
        <f t="shared" si="578"/>
        <v>0</v>
      </c>
      <c r="W9232">
        <f t="shared" si="579"/>
        <v>0</v>
      </c>
    </row>
    <row r="9233" spans="5:23" x14ac:dyDescent="0.25">
      <c r="E9233" s="4"/>
      <c r="F9233" s="4"/>
      <c r="G9233" s="33" t="str">
        <f>IFERROR(VLOOKUP($D9233,'Informations sur les produits'!$A$3:$H$10000,8,FALSE),"0")</f>
        <v>0</v>
      </c>
      <c r="K9233" s="4"/>
      <c r="L9233" s="33" t="str">
        <f>IFERROR(VLOOKUP($J9233,'Informations sur les produits'!$A$3:$H$10000,8,FALSE),"0")</f>
        <v>0</v>
      </c>
      <c r="N9233" s="8"/>
      <c r="O9233" s="33" t="str">
        <f>IFERROR(VLOOKUP($M9233,'Informations sur les produits'!$A$3:$H$10000,8,FALSE),"0")</f>
        <v>0</v>
      </c>
      <c r="P9233" s="33">
        <f t="shared" si="576"/>
        <v>0</v>
      </c>
      <c r="Q9233" s="31" t="str">
        <f t="shared" si="577"/>
        <v/>
      </c>
      <c r="R9233" s="32" t="str">
        <f>IFERROR(VLOOKUP($D9233,'Informations sur les produits'!$A$3:$B$15000,2,FALSE),"")</f>
        <v/>
      </c>
      <c r="V9233">
        <f t="shared" si="578"/>
        <v>0</v>
      </c>
      <c r="W9233">
        <f t="shared" si="579"/>
        <v>0</v>
      </c>
    </row>
    <row r="9234" spans="5:23" x14ac:dyDescent="0.25">
      <c r="E9234" s="4"/>
      <c r="F9234" s="4"/>
      <c r="G9234" s="33" t="str">
        <f>IFERROR(VLOOKUP($D9234,'Informations sur les produits'!$A$3:$H$10000,8,FALSE),"0")</f>
        <v>0</v>
      </c>
      <c r="K9234" s="4"/>
      <c r="L9234" s="33" t="str">
        <f>IFERROR(VLOOKUP($J9234,'Informations sur les produits'!$A$3:$H$10000,8,FALSE),"0")</f>
        <v>0</v>
      </c>
      <c r="N9234" s="8"/>
      <c r="O9234" s="33" t="str">
        <f>IFERROR(VLOOKUP($M9234,'Informations sur les produits'!$A$3:$H$10000,8,FALSE),"0")</f>
        <v>0</v>
      </c>
      <c r="P9234" s="33">
        <f t="shared" si="576"/>
        <v>0</v>
      </c>
      <c r="Q9234" s="31" t="str">
        <f t="shared" si="577"/>
        <v/>
      </c>
      <c r="R9234" s="32" t="str">
        <f>IFERROR(VLOOKUP($D9234,'Informations sur les produits'!$A$3:$B$15000,2,FALSE),"")</f>
        <v/>
      </c>
      <c r="V9234">
        <f t="shared" si="578"/>
        <v>0</v>
      </c>
      <c r="W9234">
        <f t="shared" si="579"/>
        <v>0</v>
      </c>
    </row>
    <row r="9235" spans="5:23" x14ac:dyDescent="0.25">
      <c r="E9235" s="4"/>
      <c r="F9235" s="4"/>
      <c r="G9235" s="33" t="str">
        <f>IFERROR(VLOOKUP($D9235,'Informations sur les produits'!$A$3:$H$10000,8,FALSE),"0")</f>
        <v>0</v>
      </c>
      <c r="K9235" s="4"/>
      <c r="L9235" s="33" t="str">
        <f>IFERROR(VLOOKUP($J9235,'Informations sur les produits'!$A$3:$H$10000,8,FALSE),"0")</f>
        <v>0</v>
      </c>
      <c r="N9235" s="8"/>
      <c r="O9235" s="33" t="str">
        <f>IFERROR(VLOOKUP($M9235,'Informations sur les produits'!$A$3:$H$10000,8,FALSE),"0")</f>
        <v>0</v>
      </c>
      <c r="P9235" s="33">
        <f t="shared" si="576"/>
        <v>0</v>
      </c>
      <c r="Q9235" s="31" t="str">
        <f t="shared" si="577"/>
        <v/>
      </c>
      <c r="R9235" s="32" t="str">
        <f>IFERROR(VLOOKUP($D9235,'Informations sur les produits'!$A$3:$B$15000,2,FALSE),"")</f>
        <v/>
      </c>
      <c r="V9235">
        <f t="shared" si="578"/>
        <v>0</v>
      </c>
      <c r="W9235">
        <f t="shared" si="579"/>
        <v>0</v>
      </c>
    </row>
    <row r="9236" spans="5:23" x14ac:dyDescent="0.25">
      <c r="E9236" s="4"/>
      <c r="F9236" s="4"/>
      <c r="G9236" s="33" t="str">
        <f>IFERROR(VLOOKUP($D9236,'Informations sur les produits'!$A$3:$H$10000,8,FALSE),"0")</f>
        <v>0</v>
      </c>
      <c r="K9236" s="4"/>
      <c r="L9236" s="33" t="str">
        <f>IFERROR(VLOOKUP($J9236,'Informations sur les produits'!$A$3:$H$10000,8,FALSE),"0")</f>
        <v>0</v>
      </c>
      <c r="N9236" s="8"/>
      <c r="O9236" s="33" t="str">
        <f>IFERROR(VLOOKUP($M9236,'Informations sur les produits'!$A$3:$H$10000,8,FALSE),"0")</f>
        <v>0</v>
      </c>
      <c r="P9236" s="33">
        <f t="shared" si="576"/>
        <v>0</v>
      </c>
      <c r="Q9236" s="31" t="str">
        <f t="shared" si="577"/>
        <v/>
      </c>
      <c r="R9236" s="32" t="str">
        <f>IFERROR(VLOOKUP($D9236,'Informations sur les produits'!$A$3:$B$15000,2,FALSE),"")</f>
        <v/>
      </c>
      <c r="V9236">
        <f t="shared" si="578"/>
        <v>0</v>
      </c>
      <c r="W9236">
        <f t="shared" si="579"/>
        <v>0</v>
      </c>
    </row>
    <row r="9237" spans="5:23" x14ac:dyDescent="0.25">
      <c r="E9237" s="4"/>
      <c r="F9237" s="4"/>
      <c r="G9237" s="33" t="str">
        <f>IFERROR(VLOOKUP($D9237,'Informations sur les produits'!$A$3:$H$10000,8,FALSE),"0")</f>
        <v>0</v>
      </c>
      <c r="K9237" s="4"/>
      <c r="L9237" s="33" t="str">
        <f>IFERROR(VLOOKUP($J9237,'Informations sur les produits'!$A$3:$H$10000,8,FALSE),"0")</f>
        <v>0</v>
      </c>
      <c r="N9237" s="8"/>
      <c r="O9237" s="33" t="str">
        <f>IFERROR(VLOOKUP($M9237,'Informations sur les produits'!$A$3:$H$10000,8,FALSE),"0")</f>
        <v>0</v>
      </c>
      <c r="P9237" s="33">
        <f t="shared" si="576"/>
        <v>0</v>
      </c>
      <c r="Q9237" s="31" t="str">
        <f t="shared" si="577"/>
        <v/>
      </c>
      <c r="R9237" s="32" t="str">
        <f>IFERROR(VLOOKUP($D9237,'Informations sur les produits'!$A$3:$B$15000,2,FALSE),"")</f>
        <v/>
      </c>
      <c r="V9237">
        <f t="shared" si="578"/>
        <v>0</v>
      </c>
      <c r="W9237">
        <f t="shared" si="579"/>
        <v>0</v>
      </c>
    </row>
    <row r="9238" spans="5:23" x14ac:dyDescent="0.25">
      <c r="E9238" s="4"/>
      <c r="F9238" s="4"/>
      <c r="G9238" s="33" t="str">
        <f>IFERROR(VLOOKUP($D9238,'Informations sur les produits'!$A$3:$H$10000,8,FALSE),"0")</f>
        <v>0</v>
      </c>
      <c r="K9238" s="4"/>
      <c r="L9238" s="33" t="str">
        <f>IFERROR(VLOOKUP($J9238,'Informations sur les produits'!$A$3:$H$10000,8,FALSE),"0")</f>
        <v>0</v>
      </c>
      <c r="N9238" s="8"/>
      <c r="O9238" s="33" t="str">
        <f>IFERROR(VLOOKUP($M9238,'Informations sur les produits'!$A$3:$H$10000,8,FALSE),"0")</f>
        <v>0</v>
      </c>
      <c r="P9238" s="33">
        <f t="shared" si="576"/>
        <v>0</v>
      </c>
      <c r="Q9238" s="31" t="str">
        <f t="shared" si="577"/>
        <v/>
      </c>
      <c r="R9238" s="32" t="str">
        <f>IFERROR(VLOOKUP($D9238,'Informations sur les produits'!$A$3:$B$15000,2,FALSE),"")</f>
        <v/>
      </c>
      <c r="V9238">
        <f t="shared" si="578"/>
        <v>0</v>
      </c>
      <c r="W9238">
        <f t="shared" si="579"/>
        <v>0</v>
      </c>
    </row>
    <row r="9239" spans="5:23" x14ac:dyDescent="0.25">
      <c r="E9239" s="4"/>
      <c r="F9239" s="4"/>
      <c r="G9239" s="33" t="str">
        <f>IFERROR(VLOOKUP($D9239,'Informations sur les produits'!$A$3:$H$10000,8,FALSE),"0")</f>
        <v>0</v>
      </c>
      <c r="K9239" s="4"/>
      <c r="L9239" s="33" t="str">
        <f>IFERROR(VLOOKUP($J9239,'Informations sur les produits'!$A$3:$H$10000,8,FALSE),"0")</f>
        <v>0</v>
      </c>
      <c r="N9239" s="8"/>
      <c r="O9239" s="33" t="str">
        <f>IFERROR(VLOOKUP($M9239,'Informations sur les produits'!$A$3:$H$10000,8,FALSE),"0")</f>
        <v>0</v>
      </c>
      <c r="P9239" s="33">
        <f t="shared" si="576"/>
        <v>0</v>
      </c>
      <c r="Q9239" s="31" t="str">
        <f t="shared" si="577"/>
        <v/>
      </c>
      <c r="R9239" s="32" t="str">
        <f>IFERROR(VLOOKUP($D9239,'Informations sur les produits'!$A$3:$B$15000,2,FALSE),"")</f>
        <v/>
      </c>
      <c r="V9239">
        <f t="shared" si="578"/>
        <v>0</v>
      </c>
      <c r="W9239">
        <f t="shared" si="579"/>
        <v>0</v>
      </c>
    </row>
    <row r="9240" spans="5:23" x14ac:dyDescent="0.25">
      <c r="E9240" s="4"/>
      <c r="F9240" s="4"/>
      <c r="G9240" s="33" t="str">
        <f>IFERROR(VLOOKUP($D9240,'Informations sur les produits'!$A$3:$H$10000,8,FALSE),"0")</f>
        <v>0</v>
      </c>
      <c r="K9240" s="4"/>
      <c r="L9240" s="33" t="str">
        <f>IFERROR(VLOOKUP($J9240,'Informations sur les produits'!$A$3:$H$10000,8,FALSE),"0")</f>
        <v>0</v>
      </c>
      <c r="N9240" s="8"/>
      <c r="O9240" s="33" t="str">
        <f>IFERROR(VLOOKUP($M9240,'Informations sur les produits'!$A$3:$H$10000,8,FALSE),"0")</f>
        <v>0</v>
      </c>
      <c r="P9240" s="33">
        <f t="shared" si="576"/>
        <v>0</v>
      </c>
      <c r="Q9240" s="31" t="str">
        <f t="shared" si="577"/>
        <v/>
      </c>
      <c r="R9240" s="32" t="str">
        <f>IFERROR(VLOOKUP($D9240,'Informations sur les produits'!$A$3:$B$15000,2,FALSE),"")</f>
        <v/>
      </c>
      <c r="V9240">
        <f t="shared" si="578"/>
        <v>0</v>
      </c>
      <c r="W9240">
        <f t="shared" si="579"/>
        <v>0</v>
      </c>
    </row>
    <row r="9241" spans="5:23" x14ac:dyDescent="0.25">
      <c r="E9241" s="4"/>
      <c r="F9241" s="4"/>
      <c r="G9241" s="33" t="str">
        <f>IFERROR(VLOOKUP($D9241,'Informations sur les produits'!$A$3:$H$10000,8,FALSE),"0")</f>
        <v>0</v>
      </c>
      <c r="K9241" s="4"/>
      <c r="L9241" s="33" t="str">
        <f>IFERROR(VLOOKUP($J9241,'Informations sur les produits'!$A$3:$H$10000,8,FALSE),"0")</f>
        <v>0</v>
      </c>
      <c r="N9241" s="8"/>
      <c r="O9241" s="33" t="str">
        <f>IFERROR(VLOOKUP($M9241,'Informations sur les produits'!$A$3:$H$10000,8,FALSE),"0")</f>
        <v>0</v>
      </c>
      <c r="P9241" s="33">
        <f t="shared" si="576"/>
        <v>0</v>
      </c>
      <c r="Q9241" s="31" t="str">
        <f t="shared" si="577"/>
        <v/>
      </c>
      <c r="R9241" s="32" t="str">
        <f>IFERROR(VLOOKUP($D9241,'Informations sur les produits'!$A$3:$B$15000,2,FALSE),"")</f>
        <v/>
      </c>
      <c r="V9241">
        <f t="shared" si="578"/>
        <v>0</v>
      </c>
      <c r="W9241">
        <f t="shared" si="579"/>
        <v>0</v>
      </c>
    </row>
    <row r="9242" spans="5:23" x14ac:dyDescent="0.25">
      <c r="E9242" s="4"/>
      <c r="F9242" s="4"/>
      <c r="G9242" s="33" t="str">
        <f>IFERROR(VLOOKUP($D9242,'Informations sur les produits'!$A$3:$H$10000,8,FALSE),"0")</f>
        <v>0</v>
      </c>
      <c r="K9242" s="4"/>
      <c r="L9242" s="33" t="str">
        <f>IFERROR(VLOOKUP($J9242,'Informations sur les produits'!$A$3:$H$10000,8,FALSE),"0")</f>
        <v>0</v>
      </c>
      <c r="N9242" s="8"/>
      <c r="O9242" s="33" t="str">
        <f>IFERROR(VLOOKUP($M9242,'Informations sur les produits'!$A$3:$H$10000,8,FALSE),"0")</f>
        <v>0</v>
      </c>
      <c r="P9242" s="33">
        <f t="shared" si="576"/>
        <v>0</v>
      </c>
      <c r="Q9242" s="31" t="str">
        <f t="shared" si="577"/>
        <v/>
      </c>
      <c r="R9242" s="32" t="str">
        <f>IFERROR(VLOOKUP($D9242,'Informations sur les produits'!$A$3:$B$15000,2,FALSE),"")</f>
        <v/>
      </c>
      <c r="V9242">
        <f t="shared" si="578"/>
        <v>0</v>
      </c>
      <c r="W9242">
        <f t="shared" si="579"/>
        <v>0</v>
      </c>
    </row>
    <row r="9243" spans="5:23" x14ac:dyDescent="0.25">
      <c r="E9243" s="4"/>
      <c r="F9243" s="4"/>
      <c r="G9243" s="33" t="str">
        <f>IFERROR(VLOOKUP($D9243,'Informations sur les produits'!$A$3:$H$10000,8,FALSE),"0")</f>
        <v>0</v>
      </c>
      <c r="K9243" s="4"/>
      <c r="L9243" s="33" t="str">
        <f>IFERROR(VLOOKUP($J9243,'Informations sur les produits'!$A$3:$H$10000,8,FALSE),"0")</f>
        <v>0</v>
      </c>
      <c r="N9243" s="8"/>
      <c r="O9243" s="33" t="str">
        <f>IFERROR(VLOOKUP($M9243,'Informations sur les produits'!$A$3:$H$10000,8,FALSE),"0")</f>
        <v>0</v>
      </c>
      <c r="P9243" s="33">
        <f t="shared" si="576"/>
        <v>0</v>
      </c>
      <c r="Q9243" s="31" t="str">
        <f t="shared" si="577"/>
        <v/>
      </c>
      <c r="R9243" s="32" t="str">
        <f>IFERROR(VLOOKUP($D9243,'Informations sur les produits'!$A$3:$B$15000,2,FALSE),"")</f>
        <v/>
      </c>
      <c r="V9243">
        <f t="shared" si="578"/>
        <v>0</v>
      </c>
      <c r="W9243">
        <f t="shared" si="579"/>
        <v>0</v>
      </c>
    </row>
    <row r="9244" spans="5:23" x14ac:dyDescent="0.25">
      <c r="E9244" s="4"/>
      <c r="F9244" s="4"/>
      <c r="G9244" s="33" t="str">
        <f>IFERROR(VLOOKUP($D9244,'Informations sur les produits'!$A$3:$H$10000,8,FALSE),"0")</f>
        <v>0</v>
      </c>
      <c r="K9244" s="4"/>
      <c r="L9244" s="33" t="str">
        <f>IFERROR(VLOOKUP($J9244,'Informations sur les produits'!$A$3:$H$10000,8,FALSE),"0")</f>
        <v>0</v>
      </c>
      <c r="N9244" s="8"/>
      <c r="O9244" s="33" t="str">
        <f>IFERROR(VLOOKUP($M9244,'Informations sur les produits'!$A$3:$H$10000,8,FALSE),"0")</f>
        <v>0</v>
      </c>
      <c r="P9244" s="33">
        <f t="shared" si="576"/>
        <v>0</v>
      </c>
      <c r="Q9244" s="31" t="str">
        <f t="shared" si="577"/>
        <v/>
      </c>
      <c r="R9244" s="32" t="str">
        <f>IFERROR(VLOOKUP($D9244,'Informations sur les produits'!$A$3:$B$15000,2,FALSE),"")</f>
        <v/>
      </c>
      <c r="V9244">
        <f t="shared" si="578"/>
        <v>0</v>
      </c>
      <c r="W9244">
        <f t="shared" si="579"/>
        <v>0</v>
      </c>
    </row>
    <row r="9245" spans="5:23" x14ac:dyDescent="0.25">
      <c r="E9245" s="4"/>
      <c r="F9245" s="4"/>
      <c r="G9245" s="33" t="str">
        <f>IFERROR(VLOOKUP($D9245,'Informations sur les produits'!$A$3:$H$10000,8,FALSE),"0")</f>
        <v>0</v>
      </c>
      <c r="K9245" s="4"/>
      <c r="L9245" s="33" t="str">
        <f>IFERROR(VLOOKUP($J9245,'Informations sur les produits'!$A$3:$H$10000,8,FALSE),"0")</f>
        <v>0</v>
      </c>
      <c r="N9245" s="8"/>
      <c r="O9245" s="33" t="str">
        <f>IFERROR(VLOOKUP($M9245,'Informations sur les produits'!$A$3:$H$10000,8,FALSE),"0")</f>
        <v>0</v>
      </c>
      <c r="P9245" s="33">
        <f t="shared" si="576"/>
        <v>0</v>
      </c>
      <c r="Q9245" s="31" t="str">
        <f t="shared" si="577"/>
        <v/>
      </c>
      <c r="R9245" s="32" t="str">
        <f>IFERROR(VLOOKUP($D9245,'Informations sur les produits'!$A$3:$B$15000,2,FALSE),"")</f>
        <v/>
      </c>
      <c r="V9245">
        <f t="shared" si="578"/>
        <v>0</v>
      </c>
      <c r="W9245">
        <f t="shared" si="579"/>
        <v>0</v>
      </c>
    </row>
    <row r="9246" spans="5:23" x14ac:dyDescent="0.25">
      <c r="E9246" s="4"/>
      <c r="F9246" s="4"/>
      <c r="G9246" s="33" t="str">
        <f>IFERROR(VLOOKUP($D9246,'Informations sur les produits'!$A$3:$H$10000,8,FALSE),"0")</f>
        <v>0</v>
      </c>
      <c r="K9246" s="4"/>
      <c r="L9246" s="33" t="str">
        <f>IFERROR(VLOOKUP($J9246,'Informations sur les produits'!$A$3:$H$10000,8,FALSE),"0")</f>
        <v>0</v>
      </c>
      <c r="N9246" s="8"/>
      <c r="O9246" s="33" t="str">
        <f>IFERROR(VLOOKUP($M9246,'Informations sur les produits'!$A$3:$H$10000,8,FALSE),"0")</f>
        <v>0</v>
      </c>
      <c r="P9246" s="33">
        <f t="shared" si="576"/>
        <v>0</v>
      </c>
      <c r="Q9246" s="31" t="str">
        <f t="shared" si="577"/>
        <v/>
      </c>
      <c r="R9246" s="32" t="str">
        <f>IFERROR(VLOOKUP($D9246,'Informations sur les produits'!$A$3:$B$15000,2,FALSE),"")</f>
        <v/>
      </c>
      <c r="V9246">
        <f t="shared" si="578"/>
        <v>0</v>
      </c>
      <c r="W9246">
        <f t="shared" si="579"/>
        <v>0</v>
      </c>
    </row>
    <row r="9247" spans="5:23" x14ac:dyDescent="0.25">
      <c r="E9247" s="4"/>
      <c r="F9247" s="4"/>
      <c r="G9247" s="33" t="str">
        <f>IFERROR(VLOOKUP($D9247,'Informations sur les produits'!$A$3:$H$10000,8,FALSE),"0")</f>
        <v>0</v>
      </c>
      <c r="K9247" s="4"/>
      <c r="L9247" s="33" t="str">
        <f>IFERROR(VLOOKUP($J9247,'Informations sur les produits'!$A$3:$H$10000,8,FALSE),"0")</f>
        <v>0</v>
      </c>
      <c r="N9247" s="8"/>
      <c r="O9247" s="33" t="str">
        <f>IFERROR(VLOOKUP($M9247,'Informations sur les produits'!$A$3:$H$10000,8,FALSE),"0")</f>
        <v>0</v>
      </c>
      <c r="P9247" s="33">
        <f t="shared" si="576"/>
        <v>0</v>
      </c>
      <c r="Q9247" s="31" t="str">
        <f t="shared" si="577"/>
        <v/>
      </c>
      <c r="R9247" s="32" t="str">
        <f>IFERROR(VLOOKUP($D9247,'Informations sur les produits'!$A$3:$B$15000,2,FALSE),"")</f>
        <v/>
      </c>
      <c r="V9247">
        <f t="shared" si="578"/>
        <v>0</v>
      </c>
      <c r="W9247">
        <f t="shared" si="579"/>
        <v>0</v>
      </c>
    </row>
    <row r="9248" spans="5:23" x14ac:dyDescent="0.25">
      <c r="E9248" s="4"/>
      <c r="F9248" s="4"/>
      <c r="G9248" s="33" t="str">
        <f>IFERROR(VLOOKUP($D9248,'Informations sur les produits'!$A$3:$H$10000,8,FALSE),"0")</f>
        <v>0</v>
      </c>
      <c r="K9248" s="4"/>
      <c r="L9248" s="33" t="str">
        <f>IFERROR(VLOOKUP($J9248,'Informations sur les produits'!$A$3:$H$10000,8,FALSE),"0")</f>
        <v>0</v>
      </c>
      <c r="N9248" s="8"/>
      <c r="O9248" s="33" t="str">
        <f>IFERROR(VLOOKUP($M9248,'Informations sur les produits'!$A$3:$H$10000,8,FALSE),"0")</f>
        <v>0</v>
      </c>
      <c r="P9248" s="33">
        <f t="shared" si="576"/>
        <v>0</v>
      </c>
      <c r="Q9248" s="31" t="str">
        <f t="shared" si="577"/>
        <v/>
      </c>
      <c r="R9248" s="32" t="str">
        <f>IFERROR(VLOOKUP($D9248,'Informations sur les produits'!$A$3:$B$15000,2,FALSE),"")</f>
        <v/>
      </c>
      <c r="V9248">
        <f t="shared" si="578"/>
        <v>0</v>
      </c>
      <c r="W9248">
        <f t="shared" si="579"/>
        <v>0</v>
      </c>
    </row>
    <row r="9249" spans="5:23" x14ac:dyDescent="0.25">
      <c r="E9249" s="4"/>
      <c r="F9249" s="4"/>
      <c r="G9249" s="33" t="str">
        <f>IFERROR(VLOOKUP($D9249,'Informations sur les produits'!$A$3:$H$10000,8,FALSE),"0")</f>
        <v>0</v>
      </c>
      <c r="K9249" s="4"/>
      <c r="L9249" s="33" t="str">
        <f>IFERROR(VLOOKUP($J9249,'Informations sur les produits'!$A$3:$H$10000,8,FALSE),"0")</f>
        <v>0</v>
      </c>
      <c r="N9249" s="8"/>
      <c r="O9249" s="33" t="str">
        <f>IFERROR(VLOOKUP($M9249,'Informations sur les produits'!$A$3:$H$10000,8,FALSE),"0")</f>
        <v>0</v>
      </c>
      <c r="P9249" s="33">
        <f t="shared" si="576"/>
        <v>0</v>
      </c>
      <c r="Q9249" s="31" t="str">
        <f t="shared" si="577"/>
        <v/>
      </c>
      <c r="R9249" s="32" t="str">
        <f>IFERROR(VLOOKUP($D9249,'Informations sur les produits'!$A$3:$B$15000,2,FALSE),"")</f>
        <v/>
      </c>
      <c r="V9249">
        <f t="shared" si="578"/>
        <v>0</v>
      </c>
      <c r="W9249">
        <f t="shared" si="579"/>
        <v>0</v>
      </c>
    </row>
    <row r="9250" spans="5:23" x14ac:dyDescent="0.25">
      <c r="E9250" s="4"/>
      <c r="F9250" s="4"/>
      <c r="G9250" s="33" t="str">
        <f>IFERROR(VLOOKUP($D9250,'Informations sur les produits'!$A$3:$H$10000,8,FALSE),"0")</f>
        <v>0</v>
      </c>
      <c r="K9250" s="4"/>
      <c r="L9250" s="33" t="str">
        <f>IFERROR(VLOOKUP($J9250,'Informations sur les produits'!$A$3:$H$10000,8,FALSE),"0")</f>
        <v>0</v>
      </c>
      <c r="N9250" s="8"/>
      <c r="O9250" s="33" t="str">
        <f>IFERROR(VLOOKUP($M9250,'Informations sur les produits'!$A$3:$H$10000,8,FALSE),"0")</f>
        <v>0</v>
      </c>
      <c r="P9250" s="33">
        <f t="shared" si="576"/>
        <v>0</v>
      </c>
      <c r="Q9250" s="31" t="str">
        <f t="shared" si="577"/>
        <v/>
      </c>
      <c r="R9250" s="32" t="str">
        <f>IFERROR(VLOOKUP($D9250,'Informations sur les produits'!$A$3:$B$15000,2,FALSE),"")</f>
        <v/>
      </c>
      <c r="V9250">
        <f t="shared" si="578"/>
        <v>0</v>
      </c>
      <c r="W9250">
        <f t="shared" si="579"/>
        <v>0</v>
      </c>
    </row>
    <row r="9251" spans="5:23" x14ac:dyDescent="0.25">
      <c r="E9251" s="4"/>
      <c r="F9251" s="4"/>
      <c r="G9251" s="33" t="str">
        <f>IFERROR(VLOOKUP($D9251,'Informations sur les produits'!$A$3:$H$10000,8,FALSE),"0")</f>
        <v>0</v>
      </c>
      <c r="K9251" s="4"/>
      <c r="L9251" s="33" t="str">
        <f>IFERROR(VLOOKUP($J9251,'Informations sur les produits'!$A$3:$H$10000,8,FALSE),"0")</f>
        <v>0</v>
      </c>
      <c r="N9251" s="8"/>
      <c r="O9251" s="33" t="str">
        <f>IFERROR(VLOOKUP($M9251,'Informations sur les produits'!$A$3:$H$10000,8,FALSE),"0")</f>
        <v>0</v>
      </c>
      <c r="P9251" s="33">
        <f t="shared" si="576"/>
        <v>0</v>
      </c>
      <c r="Q9251" s="31" t="str">
        <f t="shared" si="577"/>
        <v/>
      </c>
      <c r="R9251" s="32" t="str">
        <f>IFERROR(VLOOKUP($D9251,'Informations sur les produits'!$A$3:$B$15000,2,FALSE),"")</f>
        <v/>
      </c>
      <c r="V9251">
        <f t="shared" si="578"/>
        <v>0</v>
      </c>
      <c r="W9251">
        <f t="shared" si="579"/>
        <v>0</v>
      </c>
    </row>
    <row r="9252" spans="5:23" x14ac:dyDescent="0.25">
      <c r="E9252" s="4"/>
      <c r="F9252" s="4"/>
      <c r="G9252" s="33" t="str">
        <f>IFERROR(VLOOKUP($D9252,'Informations sur les produits'!$A$3:$H$10000,8,FALSE),"0")</f>
        <v>0</v>
      </c>
      <c r="K9252" s="4"/>
      <c r="L9252" s="33" t="str">
        <f>IFERROR(VLOOKUP($J9252,'Informations sur les produits'!$A$3:$H$10000,8,FALSE),"0")</f>
        <v>0</v>
      </c>
      <c r="N9252" s="8"/>
      <c r="O9252" s="33" t="str">
        <f>IFERROR(VLOOKUP($M9252,'Informations sur les produits'!$A$3:$H$10000,8,FALSE),"0")</f>
        <v>0</v>
      </c>
      <c r="P9252" s="33">
        <f t="shared" si="576"/>
        <v>0</v>
      </c>
      <c r="Q9252" s="31" t="str">
        <f t="shared" si="577"/>
        <v/>
      </c>
      <c r="R9252" s="32" t="str">
        <f>IFERROR(VLOOKUP($D9252,'Informations sur les produits'!$A$3:$B$15000,2,FALSE),"")</f>
        <v/>
      </c>
      <c r="V9252">
        <f t="shared" si="578"/>
        <v>0</v>
      </c>
      <c r="W9252">
        <f t="shared" si="579"/>
        <v>0</v>
      </c>
    </row>
    <row r="9253" spans="5:23" x14ac:dyDescent="0.25">
      <c r="E9253" s="4"/>
      <c r="F9253" s="4"/>
      <c r="G9253" s="33" t="str">
        <f>IFERROR(VLOOKUP($D9253,'Informations sur les produits'!$A$3:$H$10000,8,FALSE),"0")</f>
        <v>0</v>
      </c>
      <c r="K9253" s="4"/>
      <c r="L9253" s="33" t="str">
        <f>IFERROR(VLOOKUP($J9253,'Informations sur les produits'!$A$3:$H$10000,8,FALSE),"0")</f>
        <v>0</v>
      </c>
      <c r="N9253" s="8"/>
      <c r="O9253" s="33" t="str">
        <f>IFERROR(VLOOKUP($M9253,'Informations sur les produits'!$A$3:$H$10000,8,FALSE),"0")</f>
        <v>0</v>
      </c>
      <c r="P9253" s="33">
        <f t="shared" si="576"/>
        <v>0</v>
      </c>
      <c r="Q9253" s="31" t="str">
        <f t="shared" si="577"/>
        <v/>
      </c>
      <c r="R9253" s="32" t="str">
        <f>IFERROR(VLOOKUP($D9253,'Informations sur les produits'!$A$3:$B$15000,2,FALSE),"")</f>
        <v/>
      </c>
      <c r="V9253">
        <f t="shared" si="578"/>
        <v>0</v>
      </c>
      <c r="W9253">
        <f t="shared" si="579"/>
        <v>0</v>
      </c>
    </row>
    <row r="9254" spans="5:23" x14ac:dyDescent="0.25">
      <c r="E9254" s="4"/>
      <c r="F9254" s="4"/>
      <c r="G9254" s="33" t="str">
        <f>IFERROR(VLOOKUP($D9254,'Informations sur les produits'!$A$3:$H$10000,8,FALSE),"0")</f>
        <v>0</v>
      </c>
      <c r="K9254" s="4"/>
      <c r="L9254" s="33" t="str">
        <f>IFERROR(VLOOKUP($J9254,'Informations sur les produits'!$A$3:$H$10000,8,FALSE),"0")</f>
        <v>0</v>
      </c>
      <c r="N9254" s="8"/>
      <c r="O9254" s="33" t="str">
        <f>IFERROR(VLOOKUP($M9254,'Informations sur les produits'!$A$3:$H$10000,8,FALSE),"0")</f>
        <v>0</v>
      </c>
      <c r="P9254" s="33">
        <f t="shared" si="576"/>
        <v>0</v>
      </c>
      <c r="Q9254" s="31" t="str">
        <f t="shared" si="577"/>
        <v/>
      </c>
      <c r="R9254" s="32" t="str">
        <f>IFERROR(VLOOKUP($D9254,'Informations sur les produits'!$A$3:$B$15000,2,FALSE),"")</f>
        <v/>
      </c>
      <c r="V9254">
        <f t="shared" si="578"/>
        <v>0</v>
      </c>
      <c r="W9254">
        <f t="shared" si="579"/>
        <v>0</v>
      </c>
    </row>
    <row r="9255" spans="5:23" x14ac:dyDescent="0.25">
      <c r="E9255" s="4"/>
      <c r="F9255" s="4"/>
      <c r="G9255" s="33" t="str">
        <f>IFERROR(VLOOKUP($D9255,'Informations sur les produits'!$A$3:$H$10000,8,FALSE),"0")</f>
        <v>0</v>
      </c>
      <c r="K9255" s="4"/>
      <c r="L9255" s="33" t="str">
        <f>IFERROR(VLOOKUP($J9255,'Informations sur les produits'!$A$3:$H$10000,8,FALSE),"0")</f>
        <v>0</v>
      </c>
      <c r="N9255" s="8"/>
      <c r="O9255" s="33" t="str">
        <f>IFERROR(VLOOKUP($M9255,'Informations sur les produits'!$A$3:$H$10000,8,FALSE),"0")</f>
        <v>0</v>
      </c>
      <c r="P9255" s="33">
        <f t="shared" si="576"/>
        <v>0</v>
      </c>
      <c r="Q9255" s="31" t="str">
        <f t="shared" si="577"/>
        <v/>
      </c>
      <c r="R9255" s="32" t="str">
        <f>IFERROR(VLOOKUP($D9255,'Informations sur les produits'!$A$3:$B$15000,2,FALSE),"")</f>
        <v/>
      </c>
      <c r="V9255">
        <f t="shared" si="578"/>
        <v>0</v>
      </c>
      <c r="W9255">
        <f t="shared" si="579"/>
        <v>0</v>
      </c>
    </row>
    <row r="9256" spans="5:23" x14ac:dyDescent="0.25">
      <c r="E9256" s="4"/>
      <c r="F9256" s="4"/>
      <c r="G9256" s="33" t="str">
        <f>IFERROR(VLOOKUP($D9256,'Informations sur les produits'!$A$3:$H$10000,8,FALSE),"0")</f>
        <v>0</v>
      </c>
      <c r="K9256" s="4"/>
      <c r="L9256" s="33" t="str">
        <f>IFERROR(VLOOKUP($J9256,'Informations sur les produits'!$A$3:$H$10000,8,FALSE),"0")</f>
        <v>0</v>
      </c>
      <c r="N9256" s="8"/>
      <c r="O9256" s="33" t="str">
        <f>IFERROR(VLOOKUP($M9256,'Informations sur les produits'!$A$3:$H$10000,8,FALSE),"0")</f>
        <v>0</v>
      </c>
      <c r="P9256" s="33">
        <f t="shared" si="576"/>
        <v>0</v>
      </c>
      <c r="Q9256" s="31" t="str">
        <f t="shared" si="577"/>
        <v/>
      </c>
      <c r="R9256" s="32" t="str">
        <f>IFERROR(VLOOKUP($D9256,'Informations sur les produits'!$A$3:$B$15000,2,FALSE),"")</f>
        <v/>
      </c>
      <c r="V9256">
        <f t="shared" si="578"/>
        <v>0</v>
      </c>
      <c r="W9256">
        <f t="shared" si="579"/>
        <v>0</v>
      </c>
    </row>
    <row r="9257" spans="5:23" x14ac:dyDescent="0.25">
      <c r="E9257" s="4"/>
      <c r="F9257" s="4"/>
      <c r="G9257" s="33" t="str">
        <f>IFERROR(VLOOKUP($D9257,'Informations sur les produits'!$A$3:$H$10000,8,FALSE),"0")</f>
        <v>0</v>
      </c>
      <c r="K9257" s="4"/>
      <c r="L9257" s="33" t="str">
        <f>IFERROR(VLOOKUP($J9257,'Informations sur les produits'!$A$3:$H$10000,8,FALSE),"0")</f>
        <v>0</v>
      </c>
      <c r="N9257" s="8"/>
      <c r="O9257" s="33" t="str">
        <f>IFERROR(VLOOKUP($M9257,'Informations sur les produits'!$A$3:$H$10000,8,FALSE),"0")</f>
        <v>0</v>
      </c>
      <c r="P9257" s="33">
        <f t="shared" si="576"/>
        <v>0</v>
      </c>
      <c r="Q9257" s="31" t="str">
        <f t="shared" si="577"/>
        <v/>
      </c>
      <c r="R9257" s="32" t="str">
        <f>IFERROR(VLOOKUP($D9257,'Informations sur les produits'!$A$3:$B$15000,2,FALSE),"")</f>
        <v/>
      </c>
      <c r="V9257">
        <f t="shared" si="578"/>
        <v>0</v>
      </c>
      <c r="W9257">
        <f t="shared" si="579"/>
        <v>0</v>
      </c>
    </row>
    <row r="9258" spans="5:23" x14ac:dyDescent="0.25">
      <c r="E9258" s="4"/>
      <c r="F9258" s="4"/>
      <c r="G9258" s="33" t="str">
        <f>IFERROR(VLOOKUP($D9258,'Informations sur les produits'!$A$3:$H$10000,8,FALSE),"0")</f>
        <v>0</v>
      </c>
      <c r="K9258" s="4"/>
      <c r="L9258" s="33" t="str">
        <f>IFERROR(VLOOKUP($J9258,'Informations sur les produits'!$A$3:$H$10000,8,FALSE),"0")</f>
        <v>0</v>
      </c>
      <c r="N9258" s="8"/>
      <c r="O9258" s="33" t="str">
        <f>IFERROR(VLOOKUP($M9258,'Informations sur les produits'!$A$3:$H$10000,8,FALSE),"0")</f>
        <v>0</v>
      </c>
      <c r="P9258" s="33">
        <f t="shared" si="576"/>
        <v>0</v>
      </c>
      <c r="Q9258" s="31" t="str">
        <f t="shared" si="577"/>
        <v/>
      </c>
      <c r="R9258" s="32" t="str">
        <f>IFERROR(VLOOKUP($D9258,'Informations sur les produits'!$A$3:$B$15000,2,FALSE),"")</f>
        <v/>
      </c>
      <c r="V9258">
        <f t="shared" si="578"/>
        <v>0</v>
      </c>
      <c r="W9258">
        <f t="shared" si="579"/>
        <v>0</v>
      </c>
    </row>
    <row r="9259" spans="5:23" x14ac:dyDescent="0.25">
      <c r="E9259" s="4"/>
      <c r="F9259" s="4"/>
      <c r="G9259" s="33" t="str">
        <f>IFERROR(VLOOKUP($D9259,'Informations sur les produits'!$A$3:$H$10000,8,FALSE),"0")</f>
        <v>0</v>
      </c>
      <c r="K9259" s="4"/>
      <c r="L9259" s="33" t="str">
        <f>IFERROR(VLOOKUP($J9259,'Informations sur les produits'!$A$3:$H$10000,8,FALSE),"0")</f>
        <v>0</v>
      </c>
      <c r="N9259" s="8"/>
      <c r="O9259" s="33" t="str">
        <f>IFERROR(VLOOKUP($M9259,'Informations sur les produits'!$A$3:$H$10000,8,FALSE),"0")</f>
        <v>0</v>
      </c>
      <c r="P9259" s="33">
        <f t="shared" si="576"/>
        <v>0</v>
      </c>
      <c r="Q9259" s="31" t="str">
        <f t="shared" si="577"/>
        <v/>
      </c>
      <c r="R9259" s="32" t="str">
        <f>IFERROR(VLOOKUP($D9259,'Informations sur les produits'!$A$3:$B$15000,2,FALSE),"")</f>
        <v/>
      </c>
      <c r="V9259">
        <f t="shared" si="578"/>
        <v>0</v>
      </c>
      <c r="W9259">
        <f t="shared" si="579"/>
        <v>0</v>
      </c>
    </row>
    <row r="9260" spans="5:23" x14ac:dyDescent="0.25">
      <c r="E9260" s="4"/>
      <c r="F9260" s="4"/>
      <c r="G9260" s="33" t="str">
        <f>IFERROR(VLOOKUP($D9260,'Informations sur les produits'!$A$3:$H$10000,8,FALSE),"0")</f>
        <v>0</v>
      </c>
      <c r="K9260" s="4"/>
      <c r="L9260" s="33" t="str">
        <f>IFERROR(VLOOKUP($J9260,'Informations sur les produits'!$A$3:$H$10000,8,FALSE),"0")</f>
        <v>0</v>
      </c>
      <c r="N9260" s="8"/>
      <c r="O9260" s="33" t="str">
        <f>IFERROR(VLOOKUP($M9260,'Informations sur les produits'!$A$3:$H$10000,8,FALSE),"0")</f>
        <v>0</v>
      </c>
      <c r="P9260" s="33">
        <f t="shared" si="576"/>
        <v>0</v>
      </c>
      <c r="Q9260" s="31" t="str">
        <f t="shared" si="577"/>
        <v/>
      </c>
      <c r="R9260" s="32" t="str">
        <f>IFERROR(VLOOKUP($D9260,'Informations sur les produits'!$A$3:$B$15000,2,FALSE),"")</f>
        <v/>
      </c>
      <c r="V9260">
        <f t="shared" si="578"/>
        <v>0</v>
      </c>
      <c r="W9260">
        <f t="shared" si="579"/>
        <v>0</v>
      </c>
    </row>
    <row r="9261" spans="5:23" x14ac:dyDescent="0.25">
      <c r="E9261" s="4"/>
      <c r="F9261" s="4"/>
      <c r="G9261" s="33" t="str">
        <f>IFERROR(VLOOKUP($D9261,'Informations sur les produits'!$A$3:$H$10000,8,FALSE),"0")</f>
        <v>0</v>
      </c>
      <c r="K9261" s="4"/>
      <c r="L9261" s="33" t="str">
        <f>IFERROR(VLOOKUP($J9261,'Informations sur les produits'!$A$3:$H$10000,8,FALSE),"0")</f>
        <v>0</v>
      </c>
      <c r="N9261" s="8"/>
      <c r="O9261" s="33" t="str">
        <f>IFERROR(VLOOKUP($M9261,'Informations sur les produits'!$A$3:$H$10000,8,FALSE),"0")</f>
        <v>0</v>
      </c>
      <c r="P9261" s="33">
        <f t="shared" si="576"/>
        <v>0</v>
      </c>
      <c r="Q9261" s="31" t="str">
        <f t="shared" si="577"/>
        <v/>
      </c>
      <c r="R9261" s="32" t="str">
        <f>IFERROR(VLOOKUP($D9261,'Informations sur les produits'!$A$3:$B$15000,2,FALSE),"")</f>
        <v/>
      </c>
      <c r="V9261">
        <f t="shared" si="578"/>
        <v>0</v>
      </c>
      <c r="W9261">
        <f t="shared" si="579"/>
        <v>0</v>
      </c>
    </row>
    <row r="9262" spans="5:23" x14ac:dyDescent="0.25">
      <c r="E9262" s="4"/>
      <c r="F9262" s="4"/>
      <c r="G9262" s="33" t="str">
        <f>IFERROR(VLOOKUP($D9262,'Informations sur les produits'!$A$3:$H$10000,8,FALSE),"0")</f>
        <v>0</v>
      </c>
      <c r="K9262" s="4"/>
      <c r="L9262" s="33" t="str">
        <f>IFERROR(VLOOKUP($J9262,'Informations sur les produits'!$A$3:$H$10000,8,FALSE),"0")</f>
        <v>0</v>
      </c>
      <c r="N9262" s="8"/>
      <c r="O9262" s="33" t="str">
        <f>IFERROR(VLOOKUP($M9262,'Informations sur les produits'!$A$3:$H$10000,8,FALSE),"0")</f>
        <v>0</v>
      </c>
      <c r="P9262" s="33">
        <f t="shared" si="576"/>
        <v>0</v>
      </c>
      <c r="Q9262" s="31" t="str">
        <f t="shared" si="577"/>
        <v/>
      </c>
      <c r="R9262" s="32" t="str">
        <f>IFERROR(VLOOKUP($D9262,'Informations sur les produits'!$A$3:$B$15000,2,FALSE),"")</f>
        <v/>
      </c>
      <c r="V9262">
        <f t="shared" si="578"/>
        <v>0</v>
      </c>
      <c r="W9262">
        <f t="shared" si="579"/>
        <v>0</v>
      </c>
    </row>
    <row r="9263" spans="5:23" x14ac:dyDescent="0.25">
      <c r="E9263" s="4"/>
      <c r="F9263" s="4"/>
      <c r="G9263" s="33" t="str">
        <f>IFERROR(VLOOKUP($D9263,'Informations sur les produits'!$A$3:$H$10000,8,FALSE),"0")</f>
        <v>0</v>
      </c>
      <c r="K9263" s="4"/>
      <c r="L9263" s="33" t="str">
        <f>IFERROR(VLOOKUP($J9263,'Informations sur les produits'!$A$3:$H$10000,8,FALSE),"0")</f>
        <v>0</v>
      </c>
      <c r="N9263" s="8"/>
      <c r="O9263" s="33" t="str">
        <f>IFERROR(VLOOKUP($M9263,'Informations sur les produits'!$A$3:$H$10000,8,FALSE),"0")</f>
        <v>0</v>
      </c>
      <c r="P9263" s="33">
        <f t="shared" si="576"/>
        <v>0</v>
      </c>
      <c r="Q9263" s="31" t="str">
        <f t="shared" si="577"/>
        <v/>
      </c>
      <c r="R9263" s="32" t="str">
        <f>IFERROR(VLOOKUP($D9263,'Informations sur les produits'!$A$3:$B$15000,2,FALSE),"")</f>
        <v/>
      </c>
      <c r="V9263">
        <f t="shared" si="578"/>
        <v>0</v>
      </c>
      <c r="W9263">
        <f t="shared" si="579"/>
        <v>0</v>
      </c>
    </row>
    <row r="9264" spans="5:23" x14ac:dyDescent="0.25">
      <c r="E9264" s="4"/>
      <c r="F9264" s="4"/>
      <c r="G9264" s="33" t="str">
        <f>IFERROR(VLOOKUP($D9264,'Informations sur les produits'!$A$3:$H$10000,8,FALSE),"0")</f>
        <v>0</v>
      </c>
      <c r="K9264" s="4"/>
      <c r="L9264" s="33" t="str">
        <f>IFERROR(VLOOKUP($J9264,'Informations sur les produits'!$A$3:$H$10000,8,FALSE),"0")</f>
        <v>0</v>
      </c>
      <c r="N9264" s="8"/>
      <c r="O9264" s="33" t="str">
        <f>IFERROR(VLOOKUP($M9264,'Informations sur les produits'!$A$3:$H$10000,8,FALSE),"0")</f>
        <v>0</v>
      </c>
      <c r="P9264" s="33">
        <f t="shared" si="576"/>
        <v>0</v>
      </c>
      <c r="Q9264" s="31" t="str">
        <f t="shared" si="577"/>
        <v/>
      </c>
      <c r="R9264" s="32" t="str">
        <f>IFERROR(VLOOKUP($D9264,'Informations sur les produits'!$A$3:$B$15000,2,FALSE),"")</f>
        <v/>
      </c>
      <c r="V9264">
        <f t="shared" si="578"/>
        <v>0</v>
      </c>
      <c r="W9264">
        <f t="shared" si="579"/>
        <v>0</v>
      </c>
    </row>
    <row r="9265" spans="5:23" x14ac:dyDescent="0.25">
      <c r="E9265" s="4"/>
      <c r="F9265" s="4"/>
      <c r="G9265" s="33" t="str">
        <f>IFERROR(VLOOKUP($D9265,'Informations sur les produits'!$A$3:$H$10000,8,FALSE),"0")</f>
        <v>0</v>
      </c>
      <c r="K9265" s="4"/>
      <c r="L9265" s="33" t="str">
        <f>IFERROR(VLOOKUP($J9265,'Informations sur les produits'!$A$3:$H$10000,8,FALSE),"0")</f>
        <v>0</v>
      </c>
      <c r="N9265" s="8"/>
      <c r="O9265" s="33" t="str">
        <f>IFERROR(VLOOKUP($M9265,'Informations sur les produits'!$A$3:$H$10000,8,FALSE),"0")</f>
        <v>0</v>
      </c>
      <c r="P9265" s="33">
        <f t="shared" si="576"/>
        <v>0</v>
      </c>
      <c r="Q9265" s="31" t="str">
        <f t="shared" si="577"/>
        <v/>
      </c>
      <c r="R9265" s="32" t="str">
        <f>IFERROR(VLOOKUP($D9265,'Informations sur les produits'!$A$3:$B$15000,2,FALSE),"")</f>
        <v/>
      </c>
      <c r="V9265">
        <f t="shared" si="578"/>
        <v>0</v>
      </c>
      <c r="W9265">
        <f t="shared" si="579"/>
        <v>0</v>
      </c>
    </row>
    <row r="9266" spans="5:23" x14ac:dyDescent="0.25">
      <c r="E9266" s="4"/>
      <c r="F9266" s="4"/>
      <c r="G9266" s="33" t="str">
        <f>IFERROR(VLOOKUP($D9266,'Informations sur les produits'!$A$3:$H$10000,8,FALSE),"0")</f>
        <v>0</v>
      </c>
      <c r="K9266" s="4"/>
      <c r="L9266" s="33" t="str">
        <f>IFERROR(VLOOKUP($J9266,'Informations sur les produits'!$A$3:$H$10000,8,FALSE),"0")</f>
        <v>0</v>
      </c>
      <c r="N9266" s="8"/>
      <c r="O9266" s="33" t="str">
        <f>IFERROR(VLOOKUP($M9266,'Informations sur les produits'!$A$3:$H$10000,8,FALSE),"0")</f>
        <v>0</v>
      </c>
      <c r="P9266" s="33">
        <f t="shared" si="576"/>
        <v>0</v>
      </c>
      <c r="Q9266" s="31" t="str">
        <f t="shared" si="577"/>
        <v/>
      </c>
      <c r="R9266" s="32" t="str">
        <f>IFERROR(VLOOKUP($D9266,'Informations sur les produits'!$A$3:$B$15000,2,FALSE),"")</f>
        <v/>
      </c>
      <c r="V9266">
        <f t="shared" si="578"/>
        <v>0</v>
      </c>
      <c r="W9266">
        <f t="shared" si="579"/>
        <v>0</v>
      </c>
    </row>
    <row r="9267" spans="5:23" x14ac:dyDescent="0.25">
      <c r="E9267" s="4"/>
      <c r="F9267" s="4"/>
      <c r="G9267" s="33" t="str">
        <f>IFERROR(VLOOKUP($D9267,'Informations sur les produits'!$A$3:$H$10000,8,FALSE),"0")</f>
        <v>0</v>
      </c>
      <c r="K9267" s="4"/>
      <c r="L9267" s="33" t="str">
        <f>IFERROR(VLOOKUP($J9267,'Informations sur les produits'!$A$3:$H$10000,8,FALSE),"0")</f>
        <v>0</v>
      </c>
      <c r="N9267" s="8"/>
      <c r="O9267" s="33" t="str">
        <f>IFERROR(VLOOKUP($M9267,'Informations sur les produits'!$A$3:$H$10000,8,FALSE),"0")</f>
        <v>0</v>
      </c>
      <c r="P9267" s="33">
        <f t="shared" si="576"/>
        <v>0</v>
      </c>
      <c r="Q9267" s="31" t="str">
        <f t="shared" si="577"/>
        <v/>
      </c>
      <c r="R9267" s="32" t="str">
        <f>IFERROR(VLOOKUP($D9267,'Informations sur les produits'!$A$3:$B$15000,2,FALSE),"")</f>
        <v/>
      </c>
      <c r="V9267">
        <f t="shared" si="578"/>
        <v>0</v>
      </c>
      <c r="W9267">
        <f t="shared" si="579"/>
        <v>0</v>
      </c>
    </row>
    <row r="9268" spans="5:23" x14ac:dyDescent="0.25">
      <c r="E9268" s="4"/>
      <c r="F9268" s="4"/>
      <c r="G9268" s="33" t="str">
        <f>IFERROR(VLOOKUP($D9268,'Informations sur les produits'!$A$3:$H$10000,8,FALSE),"0")</f>
        <v>0</v>
      </c>
      <c r="K9268" s="4"/>
      <c r="L9268" s="33" t="str">
        <f>IFERROR(VLOOKUP($J9268,'Informations sur les produits'!$A$3:$H$10000,8,FALSE),"0")</f>
        <v>0</v>
      </c>
      <c r="N9268" s="8"/>
      <c r="O9268" s="33" t="str">
        <f>IFERROR(VLOOKUP($M9268,'Informations sur les produits'!$A$3:$H$10000,8,FALSE),"0")</f>
        <v>0</v>
      </c>
      <c r="P9268" s="33">
        <f t="shared" si="576"/>
        <v>0</v>
      </c>
      <c r="Q9268" s="31" t="str">
        <f t="shared" si="577"/>
        <v/>
      </c>
      <c r="R9268" s="32" t="str">
        <f>IFERROR(VLOOKUP($D9268,'Informations sur les produits'!$A$3:$B$15000,2,FALSE),"")</f>
        <v/>
      </c>
      <c r="V9268">
        <f t="shared" si="578"/>
        <v>0</v>
      </c>
      <c r="W9268">
        <f t="shared" si="579"/>
        <v>0</v>
      </c>
    </row>
    <row r="9269" spans="5:23" x14ac:dyDescent="0.25">
      <c r="E9269" s="4"/>
      <c r="F9269" s="4"/>
      <c r="G9269" s="33" t="str">
        <f>IFERROR(VLOOKUP($D9269,'Informations sur les produits'!$A$3:$H$10000,8,FALSE),"0")</f>
        <v>0</v>
      </c>
      <c r="K9269" s="4"/>
      <c r="L9269" s="33" t="str">
        <f>IFERROR(VLOOKUP($J9269,'Informations sur les produits'!$A$3:$H$10000,8,FALSE),"0")</f>
        <v>0</v>
      </c>
      <c r="N9269" s="8"/>
      <c r="O9269" s="33" t="str">
        <f>IFERROR(VLOOKUP($M9269,'Informations sur les produits'!$A$3:$H$10000,8,FALSE),"0")</f>
        <v>0</v>
      </c>
      <c r="P9269" s="33">
        <f t="shared" si="576"/>
        <v>0</v>
      </c>
      <c r="Q9269" s="31" t="str">
        <f t="shared" si="577"/>
        <v/>
      </c>
      <c r="R9269" s="32" t="str">
        <f>IFERROR(VLOOKUP($D9269,'Informations sur les produits'!$A$3:$B$15000,2,FALSE),"")</f>
        <v/>
      </c>
      <c r="V9269">
        <f t="shared" si="578"/>
        <v>0</v>
      </c>
      <c r="W9269">
        <f t="shared" si="579"/>
        <v>0</v>
      </c>
    </row>
    <row r="9270" spans="5:23" x14ac:dyDescent="0.25">
      <c r="E9270" s="4"/>
      <c r="F9270" s="4"/>
      <c r="G9270" s="33" t="str">
        <f>IFERROR(VLOOKUP($D9270,'Informations sur les produits'!$A$3:$H$10000,8,FALSE),"0")</f>
        <v>0</v>
      </c>
      <c r="K9270" s="4"/>
      <c r="L9270" s="33" t="str">
        <f>IFERROR(VLOOKUP($J9270,'Informations sur les produits'!$A$3:$H$10000,8,FALSE),"0")</f>
        <v>0</v>
      </c>
      <c r="N9270" s="8"/>
      <c r="O9270" s="33" t="str">
        <f>IFERROR(VLOOKUP($M9270,'Informations sur les produits'!$A$3:$H$10000,8,FALSE),"0")</f>
        <v>0</v>
      </c>
      <c r="P9270" s="33">
        <f t="shared" si="576"/>
        <v>0</v>
      </c>
      <c r="Q9270" s="31" t="str">
        <f t="shared" si="577"/>
        <v/>
      </c>
      <c r="R9270" s="32" t="str">
        <f>IFERROR(VLOOKUP($D9270,'Informations sur les produits'!$A$3:$B$15000,2,FALSE),"")</f>
        <v/>
      </c>
      <c r="V9270">
        <f t="shared" si="578"/>
        <v>0</v>
      </c>
      <c r="W9270">
        <f t="shared" si="579"/>
        <v>0</v>
      </c>
    </row>
    <row r="9271" spans="5:23" x14ac:dyDescent="0.25">
      <c r="E9271" s="4"/>
      <c r="F9271" s="4"/>
      <c r="G9271" s="33" t="str">
        <f>IFERROR(VLOOKUP($D9271,'Informations sur les produits'!$A$3:$H$10000,8,FALSE),"0")</f>
        <v>0</v>
      </c>
      <c r="K9271" s="4"/>
      <c r="L9271" s="33" t="str">
        <f>IFERROR(VLOOKUP($J9271,'Informations sur les produits'!$A$3:$H$10000,8,FALSE),"0")</f>
        <v>0</v>
      </c>
      <c r="N9271" s="8"/>
      <c r="O9271" s="33" t="str">
        <f>IFERROR(VLOOKUP($M9271,'Informations sur les produits'!$A$3:$H$10000,8,FALSE),"0")</f>
        <v>0</v>
      </c>
      <c r="P9271" s="33">
        <f t="shared" si="576"/>
        <v>0</v>
      </c>
      <c r="Q9271" s="31" t="str">
        <f t="shared" si="577"/>
        <v/>
      </c>
      <c r="R9271" s="32" t="str">
        <f>IFERROR(VLOOKUP($D9271,'Informations sur les produits'!$A$3:$B$15000,2,FALSE),"")</f>
        <v/>
      </c>
      <c r="V9271">
        <f t="shared" si="578"/>
        <v>0</v>
      </c>
      <c r="W9271">
        <f t="shared" si="579"/>
        <v>0</v>
      </c>
    </row>
    <row r="9272" spans="5:23" x14ac:dyDescent="0.25">
      <c r="E9272" s="4"/>
      <c r="F9272" s="4"/>
      <c r="G9272" s="33" t="str">
        <f>IFERROR(VLOOKUP($D9272,'Informations sur les produits'!$A$3:$H$10000,8,FALSE),"0")</f>
        <v>0</v>
      </c>
      <c r="K9272" s="4"/>
      <c r="L9272" s="33" t="str">
        <f>IFERROR(VLOOKUP($J9272,'Informations sur les produits'!$A$3:$H$10000,8,FALSE),"0")</f>
        <v>0</v>
      </c>
      <c r="N9272" s="8"/>
      <c r="O9272" s="33" t="str">
        <f>IFERROR(VLOOKUP($M9272,'Informations sur les produits'!$A$3:$H$10000,8,FALSE),"0")</f>
        <v>0</v>
      </c>
      <c r="P9272" s="33">
        <f t="shared" si="576"/>
        <v>0</v>
      </c>
      <c r="Q9272" s="31" t="str">
        <f t="shared" si="577"/>
        <v/>
      </c>
      <c r="R9272" s="32" t="str">
        <f>IFERROR(VLOOKUP($D9272,'Informations sur les produits'!$A$3:$B$15000,2,FALSE),"")</f>
        <v/>
      </c>
      <c r="V9272">
        <f t="shared" si="578"/>
        <v>0</v>
      </c>
      <c r="W9272">
        <f t="shared" si="579"/>
        <v>0</v>
      </c>
    </row>
    <row r="9273" spans="5:23" x14ac:dyDescent="0.25">
      <c r="E9273" s="4"/>
      <c r="F9273" s="4"/>
      <c r="G9273" s="33" t="str">
        <f>IFERROR(VLOOKUP($D9273,'Informations sur les produits'!$A$3:$H$10000,8,FALSE),"0")</f>
        <v>0</v>
      </c>
      <c r="K9273" s="4"/>
      <c r="L9273" s="33" t="str">
        <f>IFERROR(VLOOKUP($J9273,'Informations sur les produits'!$A$3:$H$10000,8,FALSE),"0")</f>
        <v>0</v>
      </c>
      <c r="N9273" s="8"/>
      <c r="O9273" s="33" t="str">
        <f>IFERROR(VLOOKUP($M9273,'Informations sur les produits'!$A$3:$H$10000,8,FALSE),"0")</f>
        <v>0</v>
      </c>
      <c r="P9273" s="33">
        <f t="shared" si="576"/>
        <v>0</v>
      </c>
      <c r="Q9273" s="31" t="str">
        <f t="shared" si="577"/>
        <v/>
      </c>
      <c r="R9273" s="32" t="str">
        <f>IFERROR(VLOOKUP($D9273,'Informations sur les produits'!$A$3:$B$15000,2,FALSE),"")</f>
        <v/>
      </c>
      <c r="V9273">
        <f t="shared" si="578"/>
        <v>0</v>
      </c>
      <c r="W9273">
        <f t="shared" si="579"/>
        <v>0</v>
      </c>
    </row>
    <row r="9274" spans="5:23" x14ac:dyDescent="0.25">
      <c r="E9274" s="4"/>
      <c r="F9274" s="4"/>
      <c r="G9274" s="33" t="str">
        <f>IFERROR(VLOOKUP($D9274,'Informations sur les produits'!$A$3:$H$10000,8,FALSE),"0")</f>
        <v>0</v>
      </c>
      <c r="K9274" s="4"/>
      <c r="L9274" s="33" t="str">
        <f>IFERROR(VLOOKUP($J9274,'Informations sur les produits'!$A$3:$H$10000,8,FALSE),"0")</f>
        <v>0</v>
      </c>
      <c r="N9274" s="8"/>
      <c r="O9274" s="33" t="str">
        <f>IFERROR(VLOOKUP($M9274,'Informations sur les produits'!$A$3:$H$10000,8,FALSE),"0")</f>
        <v>0</v>
      </c>
      <c r="P9274" s="33">
        <f t="shared" si="576"/>
        <v>0</v>
      </c>
      <c r="Q9274" s="31" t="str">
        <f t="shared" si="577"/>
        <v/>
      </c>
      <c r="R9274" s="32" t="str">
        <f>IFERROR(VLOOKUP($D9274,'Informations sur les produits'!$A$3:$B$15000,2,FALSE),"")</f>
        <v/>
      </c>
      <c r="V9274">
        <f t="shared" si="578"/>
        <v>0</v>
      </c>
      <c r="W9274">
        <f t="shared" si="579"/>
        <v>0</v>
      </c>
    </row>
    <row r="9275" spans="5:23" x14ac:dyDescent="0.25">
      <c r="E9275" s="4"/>
      <c r="F9275" s="4"/>
      <c r="G9275" s="33" t="str">
        <f>IFERROR(VLOOKUP($D9275,'Informations sur les produits'!$A$3:$H$10000,8,FALSE),"0")</f>
        <v>0</v>
      </c>
      <c r="K9275" s="4"/>
      <c r="L9275" s="33" t="str">
        <f>IFERROR(VLOOKUP($J9275,'Informations sur les produits'!$A$3:$H$10000,8,FALSE),"0")</f>
        <v>0</v>
      </c>
      <c r="N9275" s="8"/>
      <c r="O9275" s="33" t="str">
        <f>IFERROR(VLOOKUP($M9275,'Informations sur les produits'!$A$3:$H$10000,8,FALSE),"0")</f>
        <v>0</v>
      </c>
      <c r="P9275" s="33">
        <f t="shared" si="576"/>
        <v>0</v>
      </c>
      <c r="Q9275" s="31" t="str">
        <f t="shared" si="577"/>
        <v/>
      </c>
      <c r="R9275" s="32" t="str">
        <f>IFERROR(VLOOKUP($D9275,'Informations sur les produits'!$A$3:$B$15000,2,FALSE),"")</f>
        <v/>
      </c>
      <c r="V9275">
        <f t="shared" si="578"/>
        <v>0</v>
      </c>
      <c r="W9275">
        <f t="shared" si="579"/>
        <v>0</v>
      </c>
    </row>
    <row r="9276" spans="5:23" x14ac:dyDescent="0.25">
      <c r="E9276" s="4"/>
      <c r="F9276" s="4"/>
      <c r="G9276" s="33" t="str">
        <f>IFERROR(VLOOKUP($D9276,'Informations sur les produits'!$A$3:$H$10000,8,FALSE),"0")</f>
        <v>0</v>
      </c>
      <c r="K9276" s="4"/>
      <c r="L9276" s="33" t="str">
        <f>IFERROR(VLOOKUP($J9276,'Informations sur les produits'!$A$3:$H$10000,8,FALSE),"0")</f>
        <v>0</v>
      </c>
      <c r="N9276" s="8"/>
      <c r="O9276" s="33" t="str">
        <f>IFERROR(VLOOKUP($M9276,'Informations sur les produits'!$A$3:$H$10000,8,FALSE),"0")</f>
        <v>0</v>
      </c>
      <c r="P9276" s="33">
        <f t="shared" si="576"/>
        <v>0</v>
      </c>
      <c r="Q9276" s="31" t="str">
        <f t="shared" si="577"/>
        <v/>
      </c>
      <c r="R9276" s="32" t="str">
        <f>IFERROR(VLOOKUP($D9276,'Informations sur les produits'!$A$3:$B$15000,2,FALSE),"")</f>
        <v/>
      </c>
      <c r="V9276">
        <f t="shared" si="578"/>
        <v>0</v>
      </c>
      <c r="W9276">
        <f t="shared" si="579"/>
        <v>0</v>
      </c>
    </row>
    <row r="9277" spans="5:23" x14ac:dyDescent="0.25">
      <c r="E9277" s="4"/>
      <c r="F9277" s="4"/>
      <c r="G9277" s="33" t="str">
        <f>IFERROR(VLOOKUP($D9277,'Informations sur les produits'!$A$3:$H$10000,8,FALSE),"0")</f>
        <v>0</v>
      </c>
      <c r="K9277" s="4"/>
      <c r="L9277" s="33" t="str">
        <f>IFERROR(VLOOKUP($J9277,'Informations sur les produits'!$A$3:$H$10000,8,FALSE),"0")</f>
        <v>0</v>
      </c>
      <c r="N9277" s="8"/>
      <c r="O9277" s="33" t="str">
        <f>IFERROR(VLOOKUP($M9277,'Informations sur les produits'!$A$3:$H$10000,8,FALSE),"0")</f>
        <v>0</v>
      </c>
      <c r="P9277" s="33">
        <f t="shared" si="576"/>
        <v>0</v>
      </c>
      <c r="Q9277" s="31" t="str">
        <f t="shared" si="577"/>
        <v/>
      </c>
      <c r="R9277" s="32" t="str">
        <f>IFERROR(VLOOKUP($D9277,'Informations sur les produits'!$A$3:$B$15000,2,FALSE),"")</f>
        <v/>
      </c>
      <c r="V9277">
        <f t="shared" si="578"/>
        <v>0</v>
      </c>
      <c r="W9277">
        <f t="shared" si="579"/>
        <v>0</v>
      </c>
    </row>
    <row r="9278" spans="5:23" x14ac:dyDescent="0.25">
      <c r="E9278" s="4"/>
      <c r="F9278" s="4"/>
      <c r="G9278" s="33" t="str">
        <f>IFERROR(VLOOKUP($D9278,'Informations sur les produits'!$A$3:$H$10000,8,FALSE),"0")</f>
        <v>0</v>
      </c>
      <c r="K9278" s="4"/>
      <c r="L9278" s="33" t="str">
        <f>IFERROR(VLOOKUP($J9278,'Informations sur les produits'!$A$3:$H$10000,8,FALSE),"0")</f>
        <v>0</v>
      </c>
      <c r="N9278" s="8"/>
      <c r="O9278" s="33" t="str">
        <f>IFERROR(VLOOKUP($M9278,'Informations sur les produits'!$A$3:$H$10000,8,FALSE),"0")</f>
        <v>0</v>
      </c>
      <c r="P9278" s="33">
        <f t="shared" si="576"/>
        <v>0</v>
      </c>
      <c r="Q9278" s="31" t="str">
        <f t="shared" si="577"/>
        <v/>
      </c>
      <c r="R9278" s="32" t="str">
        <f>IFERROR(VLOOKUP($D9278,'Informations sur les produits'!$A$3:$B$15000,2,FALSE),"")</f>
        <v/>
      </c>
      <c r="V9278">
        <f t="shared" si="578"/>
        <v>0</v>
      </c>
      <c r="W9278">
        <f t="shared" si="579"/>
        <v>0</v>
      </c>
    </row>
    <row r="9279" spans="5:23" x14ac:dyDescent="0.25">
      <c r="E9279" s="4"/>
      <c r="F9279" s="4"/>
      <c r="G9279" s="33" t="str">
        <f>IFERROR(VLOOKUP($D9279,'Informations sur les produits'!$A$3:$H$10000,8,FALSE),"0")</f>
        <v>0</v>
      </c>
      <c r="K9279" s="4"/>
      <c r="L9279" s="33" t="str">
        <f>IFERROR(VLOOKUP($J9279,'Informations sur les produits'!$A$3:$H$10000,8,FALSE),"0")</f>
        <v>0</v>
      </c>
      <c r="N9279" s="8"/>
      <c r="O9279" s="33" t="str">
        <f>IFERROR(VLOOKUP($M9279,'Informations sur les produits'!$A$3:$H$10000,8,FALSE),"0")</f>
        <v>0</v>
      </c>
      <c r="P9279" s="33">
        <f t="shared" si="576"/>
        <v>0</v>
      </c>
      <c r="Q9279" s="31" t="str">
        <f t="shared" si="577"/>
        <v/>
      </c>
      <c r="R9279" s="32" t="str">
        <f>IFERROR(VLOOKUP($D9279,'Informations sur les produits'!$A$3:$B$15000,2,FALSE),"")</f>
        <v/>
      </c>
      <c r="V9279">
        <f t="shared" si="578"/>
        <v>0</v>
      </c>
      <c r="W9279">
        <f t="shared" si="579"/>
        <v>0</v>
      </c>
    </row>
    <row r="9280" spans="5:23" x14ac:dyDescent="0.25">
      <c r="E9280" s="4"/>
      <c r="F9280" s="4"/>
      <c r="G9280" s="33" t="str">
        <f>IFERROR(VLOOKUP($D9280,'Informations sur les produits'!$A$3:$H$10000,8,FALSE),"0")</f>
        <v>0</v>
      </c>
      <c r="K9280" s="4"/>
      <c r="L9280" s="33" t="str">
        <f>IFERROR(VLOOKUP($J9280,'Informations sur les produits'!$A$3:$H$10000,8,FALSE),"0")</f>
        <v>0</v>
      </c>
      <c r="N9280" s="8"/>
      <c r="O9280" s="33" t="str">
        <f>IFERROR(VLOOKUP($M9280,'Informations sur les produits'!$A$3:$H$10000,8,FALSE),"0")</f>
        <v>0</v>
      </c>
      <c r="P9280" s="33">
        <f t="shared" si="576"/>
        <v>0</v>
      </c>
      <c r="Q9280" s="31" t="str">
        <f t="shared" si="577"/>
        <v/>
      </c>
      <c r="R9280" s="32" t="str">
        <f>IFERROR(VLOOKUP($D9280,'Informations sur les produits'!$A$3:$B$15000,2,FALSE),"")</f>
        <v/>
      </c>
      <c r="V9280">
        <f t="shared" si="578"/>
        <v>0</v>
      </c>
      <c r="W9280">
        <f t="shared" si="579"/>
        <v>0</v>
      </c>
    </row>
    <row r="9281" spans="5:23" x14ac:dyDescent="0.25">
      <c r="E9281" s="4"/>
      <c r="F9281" s="4"/>
      <c r="G9281" s="33" t="str">
        <f>IFERROR(VLOOKUP($D9281,'Informations sur les produits'!$A$3:$H$10000,8,FALSE),"0")</f>
        <v>0</v>
      </c>
      <c r="K9281" s="4"/>
      <c r="L9281" s="33" t="str">
        <f>IFERROR(VLOOKUP($J9281,'Informations sur les produits'!$A$3:$H$10000,8,FALSE),"0")</f>
        <v>0</v>
      </c>
      <c r="N9281" s="8"/>
      <c r="O9281" s="33" t="str">
        <f>IFERROR(VLOOKUP($M9281,'Informations sur les produits'!$A$3:$H$10000,8,FALSE),"0")</f>
        <v>0</v>
      </c>
      <c r="P9281" s="33">
        <f t="shared" si="576"/>
        <v>0</v>
      </c>
      <c r="Q9281" s="31" t="str">
        <f t="shared" si="577"/>
        <v/>
      </c>
      <c r="R9281" s="32" t="str">
        <f>IFERROR(VLOOKUP($D9281,'Informations sur les produits'!$A$3:$B$15000,2,FALSE),"")</f>
        <v/>
      </c>
      <c r="V9281">
        <f t="shared" si="578"/>
        <v>0</v>
      </c>
      <c r="W9281">
        <f t="shared" si="579"/>
        <v>0</v>
      </c>
    </row>
    <row r="9282" spans="5:23" x14ac:dyDescent="0.25">
      <c r="E9282" s="4"/>
      <c r="F9282" s="4"/>
      <c r="G9282" s="33" t="str">
        <f>IFERROR(VLOOKUP($D9282,'Informations sur les produits'!$A$3:$H$10000,8,FALSE),"0")</f>
        <v>0</v>
      </c>
      <c r="K9282" s="4"/>
      <c r="L9282" s="33" t="str">
        <f>IFERROR(VLOOKUP($J9282,'Informations sur les produits'!$A$3:$H$10000,8,FALSE),"0")</f>
        <v>0</v>
      </c>
      <c r="N9282" s="8"/>
      <c r="O9282" s="33" t="str">
        <f>IFERROR(VLOOKUP($M9282,'Informations sur les produits'!$A$3:$H$10000,8,FALSE),"0")</f>
        <v>0</v>
      </c>
      <c r="P9282" s="33">
        <f t="shared" si="576"/>
        <v>0</v>
      </c>
      <c r="Q9282" s="31" t="str">
        <f t="shared" si="577"/>
        <v/>
      </c>
      <c r="R9282" s="32" t="str">
        <f>IFERROR(VLOOKUP($D9282,'Informations sur les produits'!$A$3:$B$15000,2,FALSE),"")</f>
        <v/>
      </c>
      <c r="V9282">
        <f t="shared" si="578"/>
        <v>0</v>
      </c>
      <c r="W9282">
        <f t="shared" si="579"/>
        <v>0</v>
      </c>
    </row>
    <row r="9283" spans="5:23" x14ac:dyDescent="0.25">
      <c r="E9283" s="4"/>
      <c r="F9283" s="4"/>
      <c r="G9283" s="33" t="str">
        <f>IFERROR(VLOOKUP($D9283,'Informations sur les produits'!$A$3:$H$10000,8,FALSE),"0")</f>
        <v>0</v>
      </c>
      <c r="K9283" s="4"/>
      <c r="L9283" s="33" t="str">
        <f>IFERROR(VLOOKUP($J9283,'Informations sur les produits'!$A$3:$H$10000,8,FALSE),"0")</f>
        <v>0</v>
      </c>
      <c r="N9283" s="8"/>
      <c r="O9283" s="33" t="str">
        <f>IFERROR(VLOOKUP($M9283,'Informations sur les produits'!$A$3:$H$10000,8,FALSE),"0")</f>
        <v>0</v>
      </c>
      <c r="P9283" s="33">
        <f t="shared" si="576"/>
        <v>0</v>
      </c>
      <c r="Q9283" s="31" t="str">
        <f t="shared" si="577"/>
        <v/>
      </c>
      <c r="R9283" s="32" t="str">
        <f>IFERROR(VLOOKUP($D9283,'Informations sur les produits'!$A$3:$B$15000,2,FALSE),"")</f>
        <v/>
      </c>
      <c r="V9283">
        <f t="shared" si="578"/>
        <v>0</v>
      </c>
      <c r="W9283">
        <f t="shared" si="579"/>
        <v>0</v>
      </c>
    </row>
    <row r="9284" spans="5:23" x14ac:dyDescent="0.25">
      <c r="E9284" s="4"/>
      <c r="F9284" s="4"/>
      <c r="G9284" s="33" t="str">
        <f>IFERROR(VLOOKUP($D9284,'Informations sur les produits'!$A$3:$H$10000,8,FALSE),"0")</f>
        <v>0</v>
      </c>
      <c r="K9284" s="4"/>
      <c r="L9284" s="33" t="str">
        <f>IFERROR(VLOOKUP($J9284,'Informations sur les produits'!$A$3:$H$10000,8,FALSE),"0")</f>
        <v>0</v>
      </c>
      <c r="N9284" s="8"/>
      <c r="O9284" s="33" t="str">
        <f>IFERROR(VLOOKUP($M9284,'Informations sur les produits'!$A$3:$H$10000,8,FALSE),"0")</f>
        <v>0</v>
      </c>
      <c r="P9284" s="33">
        <f t="shared" ref="P9284:P9347" si="580">IFERROR((($E9284-$F9284)*$G9284+$K9284*$L9284+$N9284*$O9284),"")</f>
        <v>0</v>
      </c>
      <c r="Q9284" s="31" t="str">
        <f t="shared" ref="Q9284:Q9347" si="581">IFERROR((((($E9284-$F9284)*$G9284+$K9284*$L9284+$N9284*$O9284)*1000)/(($E9284-$F9284)+$K9284+$N9284)),"")</f>
        <v/>
      </c>
      <c r="R9284" s="32" t="str">
        <f>IFERROR(VLOOKUP($D9284,'Informations sur les produits'!$A$3:$B$15000,2,FALSE),"")</f>
        <v/>
      </c>
      <c r="V9284">
        <f t="shared" ref="V9284:V9347" si="582">IFERROR(P9284*1000,"")</f>
        <v>0</v>
      </c>
      <c r="W9284">
        <f t="shared" ref="W9284:W9347" si="583">IFERROR(($E9284-$F9284)+$K9284+$N9284,"")</f>
        <v>0</v>
      </c>
    </row>
    <row r="9285" spans="5:23" x14ac:dyDescent="0.25">
      <c r="E9285" s="4"/>
      <c r="F9285" s="4"/>
      <c r="G9285" s="33" t="str">
        <f>IFERROR(VLOOKUP($D9285,'Informations sur les produits'!$A$3:$H$10000,8,FALSE),"0")</f>
        <v>0</v>
      </c>
      <c r="K9285" s="4"/>
      <c r="L9285" s="33" t="str">
        <f>IFERROR(VLOOKUP($J9285,'Informations sur les produits'!$A$3:$H$10000,8,FALSE),"0")</f>
        <v>0</v>
      </c>
      <c r="N9285" s="8"/>
      <c r="O9285" s="33" t="str">
        <f>IFERROR(VLOOKUP($M9285,'Informations sur les produits'!$A$3:$H$10000,8,FALSE),"0")</f>
        <v>0</v>
      </c>
      <c r="P9285" s="33">
        <f t="shared" si="580"/>
        <v>0</v>
      </c>
      <c r="Q9285" s="31" t="str">
        <f t="shared" si="581"/>
        <v/>
      </c>
      <c r="R9285" s="32" t="str">
        <f>IFERROR(VLOOKUP($D9285,'Informations sur les produits'!$A$3:$B$15000,2,FALSE),"")</f>
        <v/>
      </c>
      <c r="V9285">
        <f t="shared" si="582"/>
        <v>0</v>
      </c>
      <c r="W9285">
        <f t="shared" si="583"/>
        <v>0</v>
      </c>
    </row>
    <row r="9286" spans="5:23" x14ac:dyDescent="0.25">
      <c r="E9286" s="4"/>
      <c r="F9286" s="4"/>
      <c r="G9286" s="33" t="str">
        <f>IFERROR(VLOOKUP($D9286,'Informations sur les produits'!$A$3:$H$10000,8,FALSE),"0")</f>
        <v>0</v>
      </c>
      <c r="K9286" s="4"/>
      <c r="L9286" s="33" t="str">
        <f>IFERROR(VLOOKUP($J9286,'Informations sur les produits'!$A$3:$H$10000,8,FALSE),"0")</f>
        <v>0</v>
      </c>
      <c r="N9286" s="8"/>
      <c r="O9286" s="33" t="str">
        <f>IFERROR(VLOOKUP($M9286,'Informations sur les produits'!$A$3:$H$10000,8,FALSE),"0")</f>
        <v>0</v>
      </c>
      <c r="P9286" s="33">
        <f t="shared" si="580"/>
        <v>0</v>
      </c>
      <c r="Q9286" s="31" t="str">
        <f t="shared" si="581"/>
        <v/>
      </c>
      <c r="R9286" s="32" t="str">
        <f>IFERROR(VLOOKUP($D9286,'Informations sur les produits'!$A$3:$B$15000,2,FALSE),"")</f>
        <v/>
      </c>
      <c r="V9286">
        <f t="shared" si="582"/>
        <v>0</v>
      </c>
      <c r="W9286">
        <f t="shared" si="583"/>
        <v>0</v>
      </c>
    </row>
    <row r="9287" spans="5:23" x14ac:dyDescent="0.25">
      <c r="E9287" s="4"/>
      <c r="F9287" s="4"/>
      <c r="G9287" s="33" t="str">
        <f>IFERROR(VLOOKUP($D9287,'Informations sur les produits'!$A$3:$H$10000,8,FALSE),"0")</f>
        <v>0</v>
      </c>
      <c r="K9287" s="4"/>
      <c r="L9287" s="33" t="str">
        <f>IFERROR(VLOOKUP($J9287,'Informations sur les produits'!$A$3:$H$10000,8,FALSE),"0")</f>
        <v>0</v>
      </c>
      <c r="N9287" s="8"/>
      <c r="O9287" s="33" t="str">
        <f>IFERROR(VLOOKUP($M9287,'Informations sur les produits'!$A$3:$H$10000,8,FALSE),"0")</f>
        <v>0</v>
      </c>
      <c r="P9287" s="33">
        <f t="shared" si="580"/>
        <v>0</v>
      </c>
      <c r="Q9287" s="31" t="str">
        <f t="shared" si="581"/>
        <v/>
      </c>
      <c r="R9287" s="32" t="str">
        <f>IFERROR(VLOOKUP($D9287,'Informations sur les produits'!$A$3:$B$15000,2,FALSE),"")</f>
        <v/>
      </c>
      <c r="V9287">
        <f t="shared" si="582"/>
        <v>0</v>
      </c>
      <c r="W9287">
        <f t="shared" si="583"/>
        <v>0</v>
      </c>
    </row>
    <row r="9288" spans="5:23" x14ac:dyDescent="0.25">
      <c r="E9288" s="4"/>
      <c r="F9288" s="4"/>
      <c r="G9288" s="33" t="str">
        <f>IFERROR(VLOOKUP($D9288,'Informations sur les produits'!$A$3:$H$10000,8,FALSE),"0")</f>
        <v>0</v>
      </c>
      <c r="K9288" s="4"/>
      <c r="L9288" s="33" t="str">
        <f>IFERROR(VLOOKUP($J9288,'Informations sur les produits'!$A$3:$H$10000,8,FALSE),"0")</f>
        <v>0</v>
      </c>
      <c r="N9288" s="8"/>
      <c r="O9288" s="33" t="str">
        <f>IFERROR(VLOOKUP($M9288,'Informations sur les produits'!$A$3:$H$10000,8,FALSE),"0")</f>
        <v>0</v>
      </c>
      <c r="P9288" s="33">
        <f t="shared" si="580"/>
        <v>0</v>
      </c>
      <c r="Q9288" s="31" t="str">
        <f t="shared" si="581"/>
        <v/>
      </c>
      <c r="R9288" s="32" t="str">
        <f>IFERROR(VLOOKUP($D9288,'Informations sur les produits'!$A$3:$B$15000,2,FALSE),"")</f>
        <v/>
      </c>
      <c r="V9288">
        <f t="shared" si="582"/>
        <v>0</v>
      </c>
      <c r="W9288">
        <f t="shared" si="583"/>
        <v>0</v>
      </c>
    </row>
    <row r="9289" spans="5:23" x14ac:dyDescent="0.25">
      <c r="E9289" s="4"/>
      <c r="F9289" s="4"/>
      <c r="G9289" s="33" t="str">
        <f>IFERROR(VLOOKUP($D9289,'Informations sur les produits'!$A$3:$H$10000,8,FALSE),"0")</f>
        <v>0</v>
      </c>
      <c r="K9289" s="4"/>
      <c r="L9289" s="33" t="str">
        <f>IFERROR(VLOOKUP($J9289,'Informations sur les produits'!$A$3:$H$10000,8,FALSE),"0")</f>
        <v>0</v>
      </c>
      <c r="N9289" s="8"/>
      <c r="O9289" s="33" t="str">
        <f>IFERROR(VLOOKUP($M9289,'Informations sur les produits'!$A$3:$H$10000,8,FALSE),"0")</f>
        <v>0</v>
      </c>
      <c r="P9289" s="33">
        <f t="shared" si="580"/>
        <v>0</v>
      </c>
      <c r="Q9289" s="31" t="str">
        <f t="shared" si="581"/>
        <v/>
      </c>
      <c r="R9289" s="32" t="str">
        <f>IFERROR(VLOOKUP($D9289,'Informations sur les produits'!$A$3:$B$15000,2,FALSE),"")</f>
        <v/>
      </c>
      <c r="V9289">
        <f t="shared" si="582"/>
        <v>0</v>
      </c>
      <c r="W9289">
        <f t="shared" si="583"/>
        <v>0</v>
      </c>
    </row>
    <row r="9290" spans="5:23" x14ac:dyDescent="0.25">
      <c r="E9290" s="4"/>
      <c r="F9290" s="4"/>
      <c r="G9290" s="33" t="str">
        <f>IFERROR(VLOOKUP($D9290,'Informations sur les produits'!$A$3:$H$10000,8,FALSE),"0")</f>
        <v>0</v>
      </c>
      <c r="K9290" s="4"/>
      <c r="L9290" s="33" t="str">
        <f>IFERROR(VLOOKUP($J9290,'Informations sur les produits'!$A$3:$H$10000,8,FALSE),"0")</f>
        <v>0</v>
      </c>
      <c r="N9290" s="8"/>
      <c r="O9290" s="33" t="str">
        <f>IFERROR(VLOOKUP($M9290,'Informations sur les produits'!$A$3:$H$10000,8,FALSE),"0")</f>
        <v>0</v>
      </c>
      <c r="P9290" s="33">
        <f t="shared" si="580"/>
        <v>0</v>
      </c>
      <c r="Q9290" s="31" t="str">
        <f t="shared" si="581"/>
        <v/>
      </c>
      <c r="R9290" s="32" t="str">
        <f>IFERROR(VLOOKUP($D9290,'Informations sur les produits'!$A$3:$B$15000,2,FALSE),"")</f>
        <v/>
      </c>
      <c r="V9290">
        <f t="shared" si="582"/>
        <v>0</v>
      </c>
      <c r="W9290">
        <f t="shared" si="583"/>
        <v>0</v>
      </c>
    </row>
    <row r="9291" spans="5:23" x14ac:dyDescent="0.25">
      <c r="E9291" s="4"/>
      <c r="F9291" s="4"/>
      <c r="G9291" s="33" t="str">
        <f>IFERROR(VLOOKUP($D9291,'Informations sur les produits'!$A$3:$H$10000,8,FALSE),"0")</f>
        <v>0</v>
      </c>
      <c r="K9291" s="4"/>
      <c r="L9291" s="33" t="str">
        <f>IFERROR(VLOOKUP($J9291,'Informations sur les produits'!$A$3:$H$10000,8,FALSE),"0")</f>
        <v>0</v>
      </c>
      <c r="N9291" s="8"/>
      <c r="O9291" s="33" t="str">
        <f>IFERROR(VLOOKUP($M9291,'Informations sur les produits'!$A$3:$H$10000,8,FALSE),"0")</f>
        <v>0</v>
      </c>
      <c r="P9291" s="33">
        <f t="shared" si="580"/>
        <v>0</v>
      </c>
      <c r="Q9291" s="31" t="str">
        <f t="shared" si="581"/>
        <v/>
      </c>
      <c r="R9291" s="32" t="str">
        <f>IFERROR(VLOOKUP($D9291,'Informations sur les produits'!$A$3:$B$15000,2,FALSE),"")</f>
        <v/>
      </c>
      <c r="V9291">
        <f t="shared" si="582"/>
        <v>0</v>
      </c>
      <c r="W9291">
        <f t="shared" si="583"/>
        <v>0</v>
      </c>
    </row>
    <row r="9292" spans="5:23" x14ac:dyDescent="0.25">
      <c r="E9292" s="4"/>
      <c r="F9292" s="4"/>
      <c r="G9292" s="33" t="str">
        <f>IFERROR(VLOOKUP($D9292,'Informations sur les produits'!$A$3:$H$10000,8,FALSE),"0")</f>
        <v>0</v>
      </c>
      <c r="K9292" s="4"/>
      <c r="L9292" s="33" t="str">
        <f>IFERROR(VLOOKUP($J9292,'Informations sur les produits'!$A$3:$H$10000,8,FALSE),"0")</f>
        <v>0</v>
      </c>
      <c r="N9292" s="8"/>
      <c r="O9292" s="33" t="str">
        <f>IFERROR(VLOOKUP($M9292,'Informations sur les produits'!$A$3:$H$10000,8,FALSE),"0")</f>
        <v>0</v>
      </c>
      <c r="P9292" s="33">
        <f t="shared" si="580"/>
        <v>0</v>
      </c>
      <c r="Q9292" s="31" t="str">
        <f t="shared" si="581"/>
        <v/>
      </c>
      <c r="R9292" s="32" t="str">
        <f>IFERROR(VLOOKUP($D9292,'Informations sur les produits'!$A$3:$B$15000,2,FALSE),"")</f>
        <v/>
      </c>
      <c r="V9292">
        <f t="shared" si="582"/>
        <v>0</v>
      </c>
      <c r="W9292">
        <f t="shared" si="583"/>
        <v>0</v>
      </c>
    </row>
    <row r="9293" spans="5:23" x14ac:dyDescent="0.25">
      <c r="E9293" s="4"/>
      <c r="F9293" s="4"/>
      <c r="G9293" s="33" t="str">
        <f>IFERROR(VLOOKUP($D9293,'Informations sur les produits'!$A$3:$H$10000,8,FALSE),"0")</f>
        <v>0</v>
      </c>
      <c r="K9293" s="4"/>
      <c r="L9293" s="33" t="str">
        <f>IFERROR(VLOOKUP($J9293,'Informations sur les produits'!$A$3:$H$10000,8,FALSE),"0")</f>
        <v>0</v>
      </c>
      <c r="N9293" s="8"/>
      <c r="O9293" s="33" t="str">
        <f>IFERROR(VLOOKUP($M9293,'Informations sur les produits'!$A$3:$H$10000,8,FALSE),"0")</f>
        <v>0</v>
      </c>
      <c r="P9293" s="33">
        <f t="shared" si="580"/>
        <v>0</v>
      </c>
      <c r="Q9293" s="31" t="str">
        <f t="shared" si="581"/>
        <v/>
      </c>
      <c r="R9293" s="32" t="str">
        <f>IFERROR(VLOOKUP($D9293,'Informations sur les produits'!$A$3:$B$15000,2,FALSE),"")</f>
        <v/>
      </c>
      <c r="V9293">
        <f t="shared" si="582"/>
        <v>0</v>
      </c>
      <c r="W9293">
        <f t="shared" si="583"/>
        <v>0</v>
      </c>
    </row>
    <row r="9294" spans="5:23" x14ac:dyDescent="0.25">
      <c r="E9294" s="4"/>
      <c r="F9294" s="4"/>
      <c r="G9294" s="33" t="str">
        <f>IFERROR(VLOOKUP($D9294,'Informations sur les produits'!$A$3:$H$10000,8,FALSE),"0")</f>
        <v>0</v>
      </c>
      <c r="K9294" s="4"/>
      <c r="L9294" s="33" t="str">
        <f>IFERROR(VLOOKUP($J9294,'Informations sur les produits'!$A$3:$H$10000,8,FALSE),"0")</f>
        <v>0</v>
      </c>
      <c r="N9294" s="8"/>
      <c r="O9294" s="33" t="str">
        <f>IFERROR(VLOOKUP($M9294,'Informations sur les produits'!$A$3:$H$10000,8,FALSE),"0")</f>
        <v>0</v>
      </c>
      <c r="P9294" s="33">
        <f t="shared" si="580"/>
        <v>0</v>
      </c>
      <c r="Q9294" s="31" t="str">
        <f t="shared" si="581"/>
        <v/>
      </c>
      <c r="R9294" s="32" t="str">
        <f>IFERROR(VLOOKUP($D9294,'Informations sur les produits'!$A$3:$B$15000,2,FALSE),"")</f>
        <v/>
      </c>
      <c r="V9294">
        <f t="shared" si="582"/>
        <v>0</v>
      </c>
      <c r="W9294">
        <f t="shared" si="583"/>
        <v>0</v>
      </c>
    </row>
    <row r="9295" spans="5:23" x14ac:dyDescent="0.25">
      <c r="E9295" s="4"/>
      <c r="F9295" s="4"/>
      <c r="G9295" s="33" t="str">
        <f>IFERROR(VLOOKUP($D9295,'Informations sur les produits'!$A$3:$H$10000,8,FALSE),"0")</f>
        <v>0</v>
      </c>
      <c r="K9295" s="4"/>
      <c r="L9295" s="33" t="str">
        <f>IFERROR(VLOOKUP($J9295,'Informations sur les produits'!$A$3:$H$10000,8,FALSE),"0")</f>
        <v>0</v>
      </c>
      <c r="N9295" s="8"/>
      <c r="O9295" s="33" t="str">
        <f>IFERROR(VLOOKUP($M9295,'Informations sur les produits'!$A$3:$H$10000,8,FALSE),"0")</f>
        <v>0</v>
      </c>
      <c r="P9295" s="33">
        <f t="shared" si="580"/>
        <v>0</v>
      </c>
      <c r="Q9295" s="31" t="str">
        <f t="shared" si="581"/>
        <v/>
      </c>
      <c r="R9295" s="32" t="str">
        <f>IFERROR(VLOOKUP($D9295,'Informations sur les produits'!$A$3:$B$15000,2,FALSE),"")</f>
        <v/>
      </c>
      <c r="V9295">
        <f t="shared" si="582"/>
        <v>0</v>
      </c>
      <c r="W9295">
        <f t="shared" si="583"/>
        <v>0</v>
      </c>
    </row>
    <row r="9296" spans="5:23" x14ac:dyDescent="0.25">
      <c r="E9296" s="4"/>
      <c r="F9296" s="4"/>
      <c r="G9296" s="33" t="str">
        <f>IFERROR(VLOOKUP($D9296,'Informations sur les produits'!$A$3:$H$10000,8,FALSE),"0")</f>
        <v>0</v>
      </c>
      <c r="K9296" s="4"/>
      <c r="L9296" s="33" t="str">
        <f>IFERROR(VLOOKUP($J9296,'Informations sur les produits'!$A$3:$H$10000,8,FALSE),"0")</f>
        <v>0</v>
      </c>
      <c r="N9296" s="8"/>
      <c r="O9296" s="33" t="str">
        <f>IFERROR(VLOOKUP($M9296,'Informations sur les produits'!$A$3:$H$10000,8,FALSE),"0")</f>
        <v>0</v>
      </c>
      <c r="P9296" s="33">
        <f t="shared" si="580"/>
        <v>0</v>
      </c>
      <c r="Q9296" s="31" t="str">
        <f t="shared" si="581"/>
        <v/>
      </c>
      <c r="R9296" s="32" t="str">
        <f>IFERROR(VLOOKUP($D9296,'Informations sur les produits'!$A$3:$B$15000,2,FALSE),"")</f>
        <v/>
      </c>
      <c r="V9296">
        <f t="shared" si="582"/>
        <v>0</v>
      </c>
      <c r="W9296">
        <f t="shared" si="583"/>
        <v>0</v>
      </c>
    </row>
    <row r="9297" spans="5:23" x14ac:dyDescent="0.25">
      <c r="E9297" s="4"/>
      <c r="F9297" s="4"/>
      <c r="G9297" s="33" t="str">
        <f>IFERROR(VLOOKUP($D9297,'Informations sur les produits'!$A$3:$H$10000,8,FALSE),"0")</f>
        <v>0</v>
      </c>
      <c r="K9297" s="4"/>
      <c r="L9297" s="33" t="str">
        <f>IFERROR(VLOOKUP($J9297,'Informations sur les produits'!$A$3:$H$10000,8,FALSE),"0")</f>
        <v>0</v>
      </c>
      <c r="N9297" s="8"/>
      <c r="O9297" s="33" t="str">
        <f>IFERROR(VLOOKUP($M9297,'Informations sur les produits'!$A$3:$H$10000,8,FALSE),"0")</f>
        <v>0</v>
      </c>
      <c r="P9297" s="33">
        <f t="shared" si="580"/>
        <v>0</v>
      </c>
      <c r="Q9297" s="31" t="str">
        <f t="shared" si="581"/>
        <v/>
      </c>
      <c r="R9297" s="32" t="str">
        <f>IFERROR(VLOOKUP($D9297,'Informations sur les produits'!$A$3:$B$15000,2,FALSE),"")</f>
        <v/>
      </c>
      <c r="V9297">
        <f t="shared" si="582"/>
        <v>0</v>
      </c>
      <c r="W9297">
        <f t="shared" si="583"/>
        <v>0</v>
      </c>
    </row>
    <row r="9298" spans="5:23" x14ac:dyDescent="0.25">
      <c r="E9298" s="4"/>
      <c r="F9298" s="4"/>
      <c r="G9298" s="33" t="str">
        <f>IFERROR(VLOOKUP($D9298,'Informations sur les produits'!$A$3:$H$10000,8,FALSE),"0")</f>
        <v>0</v>
      </c>
      <c r="K9298" s="4"/>
      <c r="L9298" s="33" t="str">
        <f>IFERROR(VLOOKUP($J9298,'Informations sur les produits'!$A$3:$H$10000,8,FALSE),"0")</f>
        <v>0</v>
      </c>
      <c r="N9298" s="8"/>
      <c r="O9298" s="33" t="str">
        <f>IFERROR(VLOOKUP($M9298,'Informations sur les produits'!$A$3:$H$10000,8,FALSE),"0")</f>
        <v>0</v>
      </c>
      <c r="P9298" s="33">
        <f t="shared" si="580"/>
        <v>0</v>
      </c>
      <c r="Q9298" s="31" t="str">
        <f t="shared" si="581"/>
        <v/>
      </c>
      <c r="R9298" s="32" t="str">
        <f>IFERROR(VLOOKUP($D9298,'Informations sur les produits'!$A$3:$B$15000,2,FALSE),"")</f>
        <v/>
      </c>
      <c r="V9298">
        <f t="shared" si="582"/>
        <v>0</v>
      </c>
      <c r="W9298">
        <f t="shared" si="583"/>
        <v>0</v>
      </c>
    </row>
    <row r="9299" spans="5:23" x14ac:dyDescent="0.25">
      <c r="E9299" s="4"/>
      <c r="F9299" s="4"/>
      <c r="G9299" s="33" t="str">
        <f>IFERROR(VLOOKUP($D9299,'Informations sur les produits'!$A$3:$H$10000,8,FALSE),"0")</f>
        <v>0</v>
      </c>
      <c r="K9299" s="4"/>
      <c r="L9299" s="33" t="str">
        <f>IFERROR(VLOOKUP($J9299,'Informations sur les produits'!$A$3:$H$10000,8,FALSE),"0")</f>
        <v>0</v>
      </c>
      <c r="N9299" s="8"/>
      <c r="O9299" s="33" t="str">
        <f>IFERROR(VLOOKUP($M9299,'Informations sur les produits'!$A$3:$H$10000,8,FALSE),"0")</f>
        <v>0</v>
      </c>
      <c r="P9299" s="33">
        <f t="shared" si="580"/>
        <v>0</v>
      </c>
      <c r="Q9299" s="31" t="str">
        <f t="shared" si="581"/>
        <v/>
      </c>
      <c r="R9299" s="32" t="str">
        <f>IFERROR(VLOOKUP($D9299,'Informations sur les produits'!$A$3:$B$15000,2,FALSE),"")</f>
        <v/>
      </c>
      <c r="V9299">
        <f t="shared" si="582"/>
        <v>0</v>
      </c>
      <c r="W9299">
        <f t="shared" si="583"/>
        <v>0</v>
      </c>
    </row>
    <row r="9300" spans="5:23" x14ac:dyDescent="0.25">
      <c r="E9300" s="4"/>
      <c r="F9300" s="4"/>
      <c r="G9300" s="33" t="str">
        <f>IFERROR(VLOOKUP($D9300,'Informations sur les produits'!$A$3:$H$10000,8,FALSE),"0")</f>
        <v>0</v>
      </c>
      <c r="K9300" s="4"/>
      <c r="L9300" s="33" t="str">
        <f>IFERROR(VLOOKUP($J9300,'Informations sur les produits'!$A$3:$H$10000,8,FALSE),"0")</f>
        <v>0</v>
      </c>
      <c r="N9300" s="8"/>
      <c r="O9300" s="33" t="str">
        <f>IFERROR(VLOOKUP($M9300,'Informations sur les produits'!$A$3:$H$10000,8,FALSE),"0")</f>
        <v>0</v>
      </c>
      <c r="P9300" s="33">
        <f t="shared" si="580"/>
        <v>0</v>
      </c>
      <c r="Q9300" s="31" t="str">
        <f t="shared" si="581"/>
        <v/>
      </c>
      <c r="R9300" s="32" t="str">
        <f>IFERROR(VLOOKUP($D9300,'Informations sur les produits'!$A$3:$B$15000,2,FALSE),"")</f>
        <v/>
      </c>
      <c r="V9300">
        <f t="shared" si="582"/>
        <v>0</v>
      </c>
      <c r="W9300">
        <f t="shared" si="583"/>
        <v>0</v>
      </c>
    </row>
    <row r="9301" spans="5:23" x14ac:dyDescent="0.25">
      <c r="E9301" s="4"/>
      <c r="F9301" s="4"/>
      <c r="G9301" s="33" t="str">
        <f>IFERROR(VLOOKUP($D9301,'Informations sur les produits'!$A$3:$H$10000,8,FALSE),"0")</f>
        <v>0</v>
      </c>
      <c r="K9301" s="4"/>
      <c r="L9301" s="33" t="str">
        <f>IFERROR(VLOOKUP($J9301,'Informations sur les produits'!$A$3:$H$10000,8,FALSE),"0")</f>
        <v>0</v>
      </c>
      <c r="N9301" s="8"/>
      <c r="O9301" s="33" t="str">
        <f>IFERROR(VLOOKUP($M9301,'Informations sur les produits'!$A$3:$H$10000,8,FALSE),"0")</f>
        <v>0</v>
      </c>
      <c r="P9301" s="33">
        <f t="shared" si="580"/>
        <v>0</v>
      </c>
      <c r="Q9301" s="31" t="str">
        <f t="shared" si="581"/>
        <v/>
      </c>
      <c r="R9301" s="32" t="str">
        <f>IFERROR(VLOOKUP($D9301,'Informations sur les produits'!$A$3:$B$15000,2,FALSE),"")</f>
        <v/>
      </c>
      <c r="V9301">
        <f t="shared" si="582"/>
        <v>0</v>
      </c>
      <c r="W9301">
        <f t="shared" si="583"/>
        <v>0</v>
      </c>
    </row>
    <row r="9302" spans="5:23" x14ac:dyDescent="0.25">
      <c r="E9302" s="4"/>
      <c r="F9302" s="4"/>
      <c r="G9302" s="33" t="str">
        <f>IFERROR(VLOOKUP($D9302,'Informations sur les produits'!$A$3:$H$10000,8,FALSE),"0")</f>
        <v>0</v>
      </c>
      <c r="K9302" s="4"/>
      <c r="L9302" s="33" t="str">
        <f>IFERROR(VLOOKUP($J9302,'Informations sur les produits'!$A$3:$H$10000,8,FALSE),"0")</f>
        <v>0</v>
      </c>
      <c r="N9302" s="8"/>
      <c r="O9302" s="33" t="str">
        <f>IFERROR(VLOOKUP($M9302,'Informations sur les produits'!$A$3:$H$10000,8,FALSE),"0")</f>
        <v>0</v>
      </c>
      <c r="P9302" s="33">
        <f t="shared" si="580"/>
        <v>0</v>
      </c>
      <c r="Q9302" s="31" t="str">
        <f t="shared" si="581"/>
        <v/>
      </c>
      <c r="R9302" s="32" t="str">
        <f>IFERROR(VLOOKUP($D9302,'Informations sur les produits'!$A$3:$B$15000,2,FALSE),"")</f>
        <v/>
      </c>
      <c r="V9302">
        <f t="shared" si="582"/>
        <v>0</v>
      </c>
      <c r="W9302">
        <f t="shared" si="583"/>
        <v>0</v>
      </c>
    </row>
    <row r="9303" spans="5:23" x14ac:dyDescent="0.25">
      <c r="E9303" s="4"/>
      <c r="F9303" s="4"/>
      <c r="G9303" s="33" t="str">
        <f>IFERROR(VLOOKUP($D9303,'Informations sur les produits'!$A$3:$H$10000,8,FALSE),"0")</f>
        <v>0</v>
      </c>
      <c r="K9303" s="4"/>
      <c r="L9303" s="33" t="str">
        <f>IFERROR(VLOOKUP($J9303,'Informations sur les produits'!$A$3:$H$10000,8,FALSE),"0")</f>
        <v>0</v>
      </c>
      <c r="N9303" s="8"/>
      <c r="O9303" s="33" t="str">
        <f>IFERROR(VLOOKUP($M9303,'Informations sur les produits'!$A$3:$H$10000,8,FALSE),"0")</f>
        <v>0</v>
      </c>
      <c r="P9303" s="33">
        <f t="shared" si="580"/>
        <v>0</v>
      </c>
      <c r="Q9303" s="31" t="str">
        <f t="shared" si="581"/>
        <v/>
      </c>
      <c r="R9303" s="32" t="str">
        <f>IFERROR(VLOOKUP($D9303,'Informations sur les produits'!$A$3:$B$15000,2,FALSE),"")</f>
        <v/>
      </c>
      <c r="V9303">
        <f t="shared" si="582"/>
        <v>0</v>
      </c>
      <c r="W9303">
        <f t="shared" si="583"/>
        <v>0</v>
      </c>
    </row>
    <row r="9304" spans="5:23" x14ac:dyDescent="0.25">
      <c r="E9304" s="4"/>
      <c r="F9304" s="4"/>
      <c r="G9304" s="33" t="str">
        <f>IFERROR(VLOOKUP($D9304,'Informations sur les produits'!$A$3:$H$10000,8,FALSE),"0")</f>
        <v>0</v>
      </c>
      <c r="K9304" s="4"/>
      <c r="L9304" s="33" t="str">
        <f>IFERROR(VLOOKUP($J9304,'Informations sur les produits'!$A$3:$H$10000,8,FALSE),"0")</f>
        <v>0</v>
      </c>
      <c r="N9304" s="8"/>
      <c r="O9304" s="33" t="str">
        <f>IFERROR(VLOOKUP($M9304,'Informations sur les produits'!$A$3:$H$10000,8,FALSE),"0")</f>
        <v>0</v>
      </c>
      <c r="P9304" s="33">
        <f t="shared" si="580"/>
        <v>0</v>
      </c>
      <c r="Q9304" s="31" t="str">
        <f t="shared" si="581"/>
        <v/>
      </c>
      <c r="R9304" s="32" t="str">
        <f>IFERROR(VLOOKUP($D9304,'Informations sur les produits'!$A$3:$B$15000,2,FALSE),"")</f>
        <v/>
      </c>
      <c r="V9304">
        <f t="shared" si="582"/>
        <v>0</v>
      </c>
      <c r="W9304">
        <f t="shared" si="583"/>
        <v>0</v>
      </c>
    </row>
    <row r="9305" spans="5:23" x14ac:dyDescent="0.25">
      <c r="E9305" s="4"/>
      <c r="F9305" s="4"/>
      <c r="G9305" s="33" t="str">
        <f>IFERROR(VLOOKUP($D9305,'Informations sur les produits'!$A$3:$H$10000,8,FALSE),"0")</f>
        <v>0</v>
      </c>
      <c r="K9305" s="4"/>
      <c r="L9305" s="33" t="str">
        <f>IFERROR(VLOOKUP($J9305,'Informations sur les produits'!$A$3:$H$10000,8,FALSE),"0")</f>
        <v>0</v>
      </c>
      <c r="N9305" s="8"/>
      <c r="O9305" s="33" t="str">
        <f>IFERROR(VLOOKUP($M9305,'Informations sur les produits'!$A$3:$H$10000,8,FALSE),"0")</f>
        <v>0</v>
      </c>
      <c r="P9305" s="33">
        <f t="shared" si="580"/>
        <v>0</v>
      </c>
      <c r="Q9305" s="31" t="str">
        <f t="shared" si="581"/>
        <v/>
      </c>
      <c r="R9305" s="32" t="str">
        <f>IFERROR(VLOOKUP($D9305,'Informations sur les produits'!$A$3:$B$15000,2,FALSE),"")</f>
        <v/>
      </c>
      <c r="V9305">
        <f t="shared" si="582"/>
        <v>0</v>
      </c>
      <c r="W9305">
        <f t="shared" si="583"/>
        <v>0</v>
      </c>
    </row>
    <row r="9306" spans="5:23" x14ac:dyDescent="0.25">
      <c r="E9306" s="4"/>
      <c r="F9306" s="4"/>
      <c r="G9306" s="33" t="str">
        <f>IFERROR(VLOOKUP($D9306,'Informations sur les produits'!$A$3:$H$10000,8,FALSE),"0")</f>
        <v>0</v>
      </c>
      <c r="K9306" s="4"/>
      <c r="L9306" s="33" t="str">
        <f>IFERROR(VLOOKUP($J9306,'Informations sur les produits'!$A$3:$H$10000,8,FALSE),"0")</f>
        <v>0</v>
      </c>
      <c r="N9306" s="8"/>
      <c r="O9306" s="33" t="str">
        <f>IFERROR(VLOOKUP($M9306,'Informations sur les produits'!$A$3:$H$10000,8,FALSE),"0")</f>
        <v>0</v>
      </c>
      <c r="P9306" s="33">
        <f t="shared" si="580"/>
        <v>0</v>
      </c>
      <c r="Q9306" s="31" t="str">
        <f t="shared" si="581"/>
        <v/>
      </c>
      <c r="R9306" s="32" t="str">
        <f>IFERROR(VLOOKUP($D9306,'Informations sur les produits'!$A$3:$B$15000,2,FALSE),"")</f>
        <v/>
      </c>
      <c r="V9306">
        <f t="shared" si="582"/>
        <v>0</v>
      </c>
      <c r="W9306">
        <f t="shared" si="583"/>
        <v>0</v>
      </c>
    </row>
    <row r="9307" spans="5:23" x14ac:dyDescent="0.25">
      <c r="E9307" s="4"/>
      <c r="F9307" s="4"/>
      <c r="G9307" s="33" t="str">
        <f>IFERROR(VLOOKUP($D9307,'Informations sur les produits'!$A$3:$H$10000,8,FALSE),"0")</f>
        <v>0</v>
      </c>
      <c r="K9307" s="4"/>
      <c r="L9307" s="33" t="str">
        <f>IFERROR(VLOOKUP($J9307,'Informations sur les produits'!$A$3:$H$10000,8,FALSE),"0")</f>
        <v>0</v>
      </c>
      <c r="N9307" s="8"/>
      <c r="O9307" s="33" t="str">
        <f>IFERROR(VLOOKUP($M9307,'Informations sur les produits'!$A$3:$H$10000,8,FALSE),"0")</f>
        <v>0</v>
      </c>
      <c r="P9307" s="33">
        <f t="shared" si="580"/>
        <v>0</v>
      </c>
      <c r="Q9307" s="31" t="str">
        <f t="shared" si="581"/>
        <v/>
      </c>
      <c r="R9307" s="32" t="str">
        <f>IFERROR(VLOOKUP($D9307,'Informations sur les produits'!$A$3:$B$15000,2,FALSE),"")</f>
        <v/>
      </c>
      <c r="V9307">
        <f t="shared" si="582"/>
        <v>0</v>
      </c>
      <c r="W9307">
        <f t="shared" si="583"/>
        <v>0</v>
      </c>
    </row>
    <row r="9308" spans="5:23" x14ac:dyDescent="0.25">
      <c r="E9308" s="4"/>
      <c r="F9308" s="4"/>
      <c r="G9308" s="33" t="str">
        <f>IFERROR(VLOOKUP($D9308,'Informations sur les produits'!$A$3:$H$10000,8,FALSE),"0")</f>
        <v>0</v>
      </c>
      <c r="K9308" s="4"/>
      <c r="L9308" s="33" t="str">
        <f>IFERROR(VLOOKUP($J9308,'Informations sur les produits'!$A$3:$H$10000,8,FALSE),"0")</f>
        <v>0</v>
      </c>
      <c r="N9308" s="8"/>
      <c r="O9308" s="33" t="str">
        <f>IFERROR(VLOOKUP($M9308,'Informations sur les produits'!$A$3:$H$10000,8,FALSE),"0")</f>
        <v>0</v>
      </c>
      <c r="P9308" s="33">
        <f t="shared" si="580"/>
        <v>0</v>
      </c>
      <c r="Q9308" s="31" t="str">
        <f t="shared" si="581"/>
        <v/>
      </c>
      <c r="R9308" s="32" t="str">
        <f>IFERROR(VLOOKUP($D9308,'Informations sur les produits'!$A$3:$B$15000,2,FALSE),"")</f>
        <v/>
      </c>
      <c r="V9308">
        <f t="shared" si="582"/>
        <v>0</v>
      </c>
      <c r="W9308">
        <f t="shared" si="583"/>
        <v>0</v>
      </c>
    </row>
    <row r="9309" spans="5:23" x14ac:dyDescent="0.25">
      <c r="E9309" s="4"/>
      <c r="F9309" s="4"/>
      <c r="G9309" s="33" t="str">
        <f>IFERROR(VLOOKUP($D9309,'Informations sur les produits'!$A$3:$H$10000,8,FALSE),"0")</f>
        <v>0</v>
      </c>
      <c r="K9309" s="4"/>
      <c r="L9309" s="33" t="str">
        <f>IFERROR(VLOOKUP($J9309,'Informations sur les produits'!$A$3:$H$10000,8,FALSE),"0")</f>
        <v>0</v>
      </c>
      <c r="N9309" s="8"/>
      <c r="O9309" s="33" t="str">
        <f>IFERROR(VLOOKUP($M9309,'Informations sur les produits'!$A$3:$H$10000,8,FALSE),"0")</f>
        <v>0</v>
      </c>
      <c r="P9309" s="33">
        <f t="shared" si="580"/>
        <v>0</v>
      </c>
      <c r="Q9309" s="31" t="str">
        <f t="shared" si="581"/>
        <v/>
      </c>
      <c r="R9309" s="32" t="str">
        <f>IFERROR(VLOOKUP($D9309,'Informations sur les produits'!$A$3:$B$15000,2,FALSE),"")</f>
        <v/>
      </c>
      <c r="V9309">
        <f t="shared" si="582"/>
        <v>0</v>
      </c>
      <c r="W9309">
        <f t="shared" si="583"/>
        <v>0</v>
      </c>
    </row>
    <row r="9310" spans="5:23" x14ac:dyDescent="0.25">
      <c r="E9310" s="4"/>
      <c r="F9310" s="4"/>
      <c r="G9310" s="33" t="str">
        <f>IFERROR(VLOOKUP($D9310,'Informations sur les produits'!$A$3:$H$10000,8,FALSE),"0")</f>
        <v>0</v>
      </c>
      <c r="K9310" s="4"/>
      <c r="L9310" s="33" t="str">
        <f>IFERROR(VLOOKUP($J9310,'Informations sur les produits'!$A$3:$H$10000,8,FALSE),"0")</f>
        <v>0</v>
      </c>
      <c r="N9310" s="8"/>
      <c r="O9310" s="33" t="str">
        <f>IFERROR(VLOOKUP($M9310,'Informations sur les produits'!$A$3:$H$10000,8,FALSE),"0")</f>
        <v>0</v>
      </c>
      <c r="P9310" s="33">
        <f t="shared" si="580"/>
        <v>0</v>
      </c>
      <c r="Q9310" s="31" t="str">
        <f t="shared" si="581"/>
        <v/>
      </c>
      <c r="R9310" s="32" t="str">
        <f>IFERROR(VLOOKUP($D9310,'Informations sur les produits'!$A$3:$B$15000,2,FALSE),"")</f>
        <v/>
      </c>
      <c r="V9310">
        <f t="shared" si="582"/>
        <v>0</v>
      </c>
      <c r="W9310">
        <f t="shared" si="583"/>
        <v>0</v>
      </c>
    </row>
    <row r="9311" spans="5:23" x14ac:dyDescent="0.25">
      <c r="E9311" s="4"/>
      <c r="F9311" s="4"/>
      <c r="G9311" s="33" t="str">
        <f>IFERROR(VLOOKUP($D9311,'Informations sur les produits'!$A$3:$H$10000,8,FALSE),"0")</f>
        <v>0</v>
      </c>
      <c r="K9311" s="4"/>
      <c r="L9311" s="33" t="str">
        <f>IFERROR(VLOOKUP($J9311,'Informations sur les produits'!$A$3:$H$10000,8,FALSE),"0")</f>
        <v>0</v>
      </c>
      <c r="N9311" s="8"/>
      <c r="O9311" s="33" t="str">
        <f>IFERROR(VLOOKUP($M9311,'Informations sur les produits'!$A$3:$H$10000,8,FALSE),"0")</f>
        <v>0</v>
      </c>
      <c r="P9311" s="33">
        <f t="shared" si="580"/>
        <v>0</v>
      </c>
      <c r="Q9311" s="31" t="str">
        <f t="shared" si="581"/>
        <v/>
      </c>
      <c r="R9311" s="32" t="str">
        <f>IFERROR(VLOOKUP($D9311,'Informations sur les produits'!$A$3:$B$15000,2,FALSE),"")</f>
        <v/>
      </c>
      <c r="V9311">
        <f t="shared" si="582"/>
        <v>0</v>
      </c>
      <c r="W9311">
        <f t="shared" si="583"/>
        <v>0</v>
      </c>
    </row>
    <row r="9312" spans="5:23" x14ac:dyDescent="0.25">
      <c r="E9312" s="4"/>
      <c r="F9312" s="4"/>
      <c r="G9312" s="33" t="str">
        <f>IFERROR(VLOOKUP($D9312,'Informations sur les produits'!$A$3:$H$10000,8,FALSE),"0")</f>
        <v>0</v>
      </c>
      <c r="K9312" s="4"/>
      <c r="L9312" s="33" t="str">
        <f>IFERROR(VLOOKUP($J9312,'Informations sur les produits'!$A$3:$H$10000,8,FALSE),"0")</f>
        <v>0</v>
      </c>
      <c r="N9312" s="8"/>
      <c r="O9312" s="33" t="str">
        <f>IFERROR(VLOOKUP($M9312,'Informations sur les produits'!$A$3:$H$10000,8,FALSE),"0")</f>
        <v>0</v>
      </c>
      <c r="P9312" s="33">
        <f t="shared" si="580"/>
        <v>0</v>
      </c>
      <c r="Q9312" s="31" t="str">
        <f t="shared" si="581"/>
        <v/>
      </c>
      <c r="R9312" s="32" t="str">
        <f>IFERROR(VLOOKUP($D9312,'Informations sur les produits'!$A$3:$B$15000,2,FALSE),"")</f>
        <v/>
      </c>
      <c r="V9312">
        <f t="shared" si="582"/>
        <v>0</v>
      </c>
      <c r="W9312">
        <f t="shared" si="583"/>
        <v>0</v>
      </c>
    </row>
    <row r="9313" spans="5:23" x14ac:dyDescent="0.25">
      <c r="E9313" s="4"/>
      <c r="F9313" s="4"/>
      <c r="G9313" s="33" t="str">
        <f>IFERROR(VLOOKUP($D9313,'Informations sur les produits'!$A$3:$H$10000,8,FALSE),"0")</f>
        <v>0</v>
      </c>
      <c r="K9313" s="4"/>
      <c r="L9313" s="33" t="str">
        <f>IFERROR(VLOOKUP($J9313,'Informations sur les produits'!$A$3:$H$10000,8,FALSE),"0")</f>
        <v>0</v>
      </c>
      <c r="N9313" s="8"/>
      <c r="O9313" s="33" t="str">
        <f>IFERROR(VLOOKUP($M9313,'Informations sur les produits'!$A$3:$H$10000,8,FALSE),"0")</f>
        <v>0</v>
      </c>
      <c r="P9313" s="33">
        <f t="shared" si="580"/>
        <v>0</v>
      </c>
      <c r="Q9313" s="31" t="str">
        <f t="shared" si="581"/>
        <v/>
      </c>
      <c r="R9313" s="32" t="str">
        <f>IFERROR(VLOOKUP($D9313,'Informations sur les produits'!$A$3:$B$15000,2,FALSE),"")</f>
        <v/>
      </c>
      <c r="V9313">
        <f t="shared" si="582"/>
        <v>0</v>
      </c>
      <c r="W9313">
        <f t="shared" si="583"/>
        <v>0</v>
      </c>
    </row>
    <row r="9314" spans="5:23" x14ac:dyDescent="0.25">
      <c r="E9314" s="4"/>
      <c r="F9314" s="4"/>
      <c r="G9314" s="33" t="str">
        <f>IFERROR(VLOOKUP($D9314,'Informations sur les produits'!$A$3:$H$10000,8,FALSE),"0")</f>
        <v>0</v>
      </c>
      <c r="K9314" s="4"/>
      <c r="L9314" s="33" t="str">
        <f>IFERROR(VLOOKUP($J9314,'Informations sur les produits'!$A$3:$H$10000,8,FALSE),"0")</f>
        <v>0</v>
      </c>
      <c r="N9314" s="8"/>
      <c r="O9314" s="33" t="str">
        <f>IFERROR(VLOOKUP($M9314,'Informations sur les produits'!$A$3:$H$10000,8,FALSE),"0")</f>
        <v>0</v>
      </c>
      <c r="P9314" s="33">
        <f t="shared" si="580"/>
        <v>0</v>
      </c>
      <c r="Q9314" s="31" t="str">
        <f t="shared" si="581"/>
        <v/>
      </c>
      <c r="R9314" s="32" t="str">
        <f>IFERROR(VLOOKUP($D9314,'Informations sur les produits'!$A$3:$B$15000,2,FALSE),"")</f>
        <v/>
      </c>
      <c r="V9314">
        <f t="shared" si="582"/>
        <v>0</v>
      </c>
      <c r="W9314">
        <f t="shared" si="583"/>
        <v>0</v>
      </c>
    </row>
    <row r="9315" spans="5:23" x14ac:dyDescent="0.25">
      <c r="E9315" s="4"/>
      <c r="F9315" s="4"/>
      <c r="G9315" s="33" t="str">
        <f>IFERROR(VLOOKUP($D9315,'Informations sur les produits'!$A$3:$H$10000,8,FALSE),"0")</f>
        <v>0</v>
      </c>
      <c r="K9315" s="4"/>
      <c r="L9315" s="33" t="str">
        <f>IFERROR(VLOOKUP($J9315,'Informations sur les produits'!$A$3:$H$10000,8,FALSE),"0")</f>
        <v>0</v>
      </c>
      <c r="N9315" s="8"/>
      <c r="O9315" s="33" t="str">
        <f>IFERROR(VLOOKUP($M9315,'Informations sur les produits'!$A$3:$H$10000,8,FALSE),"0")</f>
        <v>0</v>
      </c>
      <c r="P9315" s="33">
        <f t="shared" si="580"/>
        <v>0</v>
      </c>
      <c r="Q9315" s="31" t="str">
        <f t="shared" si="581"/>
        <v/>
      </c>
      <c r="R9315" s="32" t="str">
        <f>IFERROR(VLOOKUP($D9315,'Informations sur les produits'!$A$3:$B$15000,2,FALSE),"")</f>
        <v/>
      </c>
      <c r="V9315">
        <f t="shared" si="582"/>
        <v>0</v>
      </c>
      <c r="W9315">
        <f t="shared" si="583"/>
        <v>0</v>
      </c>
    </row>
    <row r="9316" spans="5:23" x14ac:dyDescent="0.25">
      <c r="E9316" s="4"/>
      <c r="F9316" s="4"/>
      <c r="G9316" s="33" t="str">
        <f>IFERROR(VLOOKUP($D9316,'Informations sur les produits'!$A$3:$H$10000,8,FALSE),"0")</f>
        <v>0</v>
      </c>
      <c r="K9316" s="4"/>
      <c r="L9316" s="33" t="str">
        <f>IFERROR(VLOOKUP($J9316,'Informations sur les produits'!$A$3:$H$10000,8,FALSE),"0")</f>
        <v>0</v>
      </c>
      <c r="N9316" s="8"/>
      <c r="O9316" s="33" t="str">
        <f>IFERROR(VLOOKUP($M9316,'Informations sur les produits'!$A$3:$H$10000,8,FALSE),"0")</f>
        <v>0</v>
      </c>
      <c r="P9316" s="33">
        <f t="shared" si="580"/>
        <v>0</v>
      </c>
      <c r="Q9316" s="31" t="str">
        <f t="shared" si="581"/>
        <v/>
      </c>
      <c r="R9316" s="32" t="str">
        <f>IFERROR(VLOOKUP($D9316,'Informations sur les produits'!$A$3:$B$15000,2,FALSE),"")</f>
        <v/>
      </c>
      <c r="V9316">
        <f t="shared" si="582"/>
        <v>0</v>
      </c>
      <c r="W9316">
        <f t="shared" si="583"/>
        <v>0</v>
      </c>
    </row>
    <row r="9317" spans="5:23" x14ac:dyDescent="0.25">
      <c r="E9317" s="4"/>
      <c r="F9317" s="4"/>
      <c r="G9317" s="33" t="str">
        <f>IFERROR(VLOOKUP($D9317,'Informations sur les produits'!$A$3:$H$10000,8,FALSE),"0")</f>
        <v>0</v>
      </c>
      <c r="K9317" s="4"/>
      <c r="L9317" s="33" t="str">
        <f>IFERROR(VLOOKUP($J9317,'Informations sur les produits'!$A$3:$H$10000,8,FALSE),"0")</f>
        <v>0</v>
      </c>
      <c r="N9317" s="8"/>
      <c r="O9317" s="33" t="str">
        <f>IFERROR(VLOOKUP($M9317,'Informations sur les produits'!$A$3:$H$10000,8,FALSE),"0")</f>
        <v>0</v>
      </c>
      <c r="P9317" s="33">
        <f t="shared" si="580"/>
        <v>0</v>
      </c>
      <c r="Q9317" s="31" t="str">
        <f t="shared" si="581"/>
        <v/>
      </c>
      <c r="R9317" s="32" t="str">
        <f>IFERROR(VLOOKUP($D9317,'Informations sur les produits'!$A$3:$B$15000,2,FALSE),"")</f>
        <v/>
      </c>
      <c r="V9317">
        <f t="shared" si="582"/>
        <v>0</v>
      </c>
      <c r="W9317">
        <f t="shared" si="583"/>
        <v>0</v>
      </c>
    </row>
    <row r="9318" spans="5:23" x14ac:dyDescent="0.25">
      <c r="E9318" s="4"/>
      <c r="F9318" s="4"/>
      <c r="G9318" s="33" t="str">
        <f>IFERROR(VLOOKUP($D9318,'Informations sur les produits'!$A$3:$H$10000,8,FALSE),"0")</f>
        <v>0</v>
      </c>
      <c r="K9318" s="4"/>
      <c r="L9318" s="33" t="str">
        <f>IFERROR(VLOOKUP($J9318,'Informations sur les produits'!$A$3:$H$10000,8,FALSE),"0")</f>
        <v>0</v>
      </c>
      <c r="N9318" s="8"/>
      <c r="O9318" s="33" t="str">
        <f>IFERROR(VLOOKUP($M9318,'Informations sur les produits'!$A$3:$H$10000,8,FALSE),"0")</f>
        <v>0</v>
      </c>
      <c r="P9318" s="33">
        <f t="shared" si="580"/>
        <v>0</v>
      </c>
      <c r="Q9318" s="31" t="str">
        <f t="shared" si="581"/>
        <v/>
      </c>
      <c r="R9318" s="32" t="str">
        <f>IFERROR(VLOOKUP($D9318,'Informations sur les produits'!$A$3:$B$15000,2,FALSE),"")</f>
        <v/>
      </c>
      <c r="V9318">
        <f t="shared" si="582"/>
        <v>0</v>
      </c>
      <c r="W9318">
        <f t="shared" si="583"/>
        <v>0</v>
      </c>
    </row>
    <row r="9319" spans="5:23" x14ac:dyDescent="0.25">
      <c r="E9319" s="4"/>
      <c r="F9319" s="4"/>
      <c r="G9319" s="33" t="str">
        <f>IFERROR(VLOOKUP($D9319,'Informations sur les produits'!$A$3:$H$10000,8,FALSE),"0")</f>
        <v>0</v>
      </c>
      <c r="K9319" s="4"/>
      <c r="L9319" s="33" t="str">
        <f>IFERROR(VLOOKUP($J9319,'Informations sur les produits'!$A$3:$H$10000,8,FALSE),"0")</f>
        <v>0</v>
      </c>
      <c r="N9319" s="8"/>
      <c r="O9319" s="33" t="str">
        <f>IFERROR(VLOOKUP($M9319,'Informations sur les produits'!$A$3:$H$10000,8,FALSE),"0")</f>
        <v>0</v>
      </c>
      <c r="P9319" s="33">
        <f t="shared" si="580"/>
        <v>0</v>
      </c>
      <c r="Q9319" s="31" t="str">
        <f t="shared" si="581"/>
        <v/>
      </c>
      <c r="R9319" s="32" t="str">
        <f>IFERROR(VLOOKUP($D9319,'Informations sur les produits'!$A$3:$B$15000,2,FALSE),"")</f>
        <v/>
      </c>
      <c r="V9319">
        <f t="shared" si="582"/>
        <v>0</v>
      </c>
      <c r="W9319">
        <f t="shared" si="583"/>
        <v>0</v>
      </c>
    </row>
    <row r="9320" spans="5:23" x14ac:dyDescent="0.25">
      <c r="E9320" s="4"/>
      <c r="F9320" s="4"/>
      <c r="G9320" s="33" t="str">
        <f>IFERROR(VLOOKUP($D9320,'Informations sur les produits'!$A$3:$H$10000,8,FALSE),"0")</f>
        <v>0</v>
      </c>
      <c r="K9320" s="4"/>
      <c r="L9320" s="33" t="str">
        <f>IFERROR(VLOOKUP($J9320,'Informations sur les produits'!$A$3:$H$10000,8,FALSE),"0")</f>
        <v>0</v>
      </c>
      <c r="N9320" s="8"/>
      <c r="O9320" s="33" t="str">
        <f>IFERROR(VLOOKUP($M9320,'Informations sur les produits'!$A$3:$H$10000,8,FALSE),"0")</f>
        <v>0</v>
      </c>
      <c r="P9320" s="33">
        <f t="shared" si="580"/>
        <v>0</v>
      </c>
      <c r="Q9320" s="31" t="str">
        <f t="shared" si="581"/>
        <v/>
      </c>
      <c r="R9320" s="32" t="str">
        <f>IFERROR(VLOOKUP($D9320,'Informations sur les produits'!$A$3:$B$15000,2,FALSE),"")</f>
        <v/>
      </c>
      <c r="V9320">
        <f t="shared" si="582"/>
        <v>0</v>
      </c>
      <c r="W9320">
        <f t="shared" si="583"/>
        <v>0</v>
      </c>
    </row>
    <row r="9321" spans="5:23" x14ac:dyDescent="0.25">
      <c r="E9321" s="4"/>
      <c r="F9321" s="4"/>
      <c r="G9321" s="33" t="str">
        <f>IFERROR(VLOOKUP($D9321,'Informations sur les produits'!$A$3:$H$10000,8,FALSE),"0")</f>
        <v>0</v>
      </c>
      <c r="K9321" s="4"/>
      <c r="L9321" s="33" t="str">
        <f>IFERROR(VLOOKUP($J9321,'Informations sur les produits'!$A$3:$H$10000,8,FALSE),"0")</f>
        <v>0</v>
      </c>
      <c r="N9321" s="8"/>
      <c r="O9321" s="33" t="str">
        <f>IFERROR(VLOOKUP($M9321,'Informations sur les produits'!$A$3:$H$10000,8,FALSE),"0")</f>
        <v>0</v>
      </c>
      <c r="P9321" s="33">
        <f t="shared" si="580"/>
        <v>0</v>
      </c>
      <c r="Q9321" s="31" t="str">
        <f t="shared" si="581"/>
        <v/>
      </c>
      <c r="R9321" s="32" t="str">
        <f>IFERROR(VLOOKUP($D9321,'Informations sur les produits'!$A$3:$B$15000,2,FALSE),"")</f>
        <v/>
      </c>
      <c r="V9321">
        <f t="shared" si="582"/>
        <v>0</v>
      </c>
      <c r="W9321">
        <f t="shared" si="583"/>
        <v>0</v>
      </c>
    </row>
    <row r="9322" spans="5:23" x14ac:dyDescent="0.25">
      <c r="E9322" s="4"/>
      <c r="F9322" s="4"/>
      <c r="G9322" s="33" t="str">
        <f>IFERROR(VLOOKUP($D9322,'Informations sur les produits'!$A$3:$H$10000,8,FALSE),"0")</f>
        <v>0</v>
      </c>
      <c r="K9322" s="4"/>
      <c r="L9322" s="33" t="str">
        <f>IFERROR(VLOOKUP($J9322,'Informations sur les produits'!$A$3:$H$10000,8,FALSE),"0")</f>
        <v>0</v>
      </c>
      <c r="N9322" s="8"/>
      <c r="O9322" s="33" t="str">
        <f>IFERROR(VLOOKUP($M9322,'Informations sur les produits'!$A$3:$H$10000,8,FALSE),"0")</f>
        <v>0</v>
      </c>
      <c r="P9322" s="33">
        <f t="shared" si="580"/>
        <v>0</v>
      </c>
      <c r="Q9322" s="31" t="str">
        <f t="shared" si="581"/>
        <v/>
      </c>
      <c r="R9322" s="32" t="str">
        <f>IFERROR(VLOOKUP($D9322,'Informations sur les produits'!$A$3:$B$15000,2,FALSE),"")</f>
        <v/>
      </c>
      <c r="V9322">
        <f t="shared" si="582"/>
        <v>0</v>
      </c>
      <c r="W9322">
        <f t="shared" si="583"/>
        <v>0</v>
      </c>
    </row>
    <row r="9323" spans="5:23" x14ac:dyDescent="0.25">
      <c r="E9323" s="4"/>
      <c r="F9323" s="4"/>
      <c r="G9323" s="33" t="str">
        <f>IFERROR(VLOOKUP($D9323,'Informations sur les produits'!$A$3:$H$10000,8,FALSE),"0")</f>
        <v>0</v>
      </c>
      <c r="K9323" s="4"/>
      <c r="L9323" s="33" t="str">
        <f>IFERROR(VLOOKUP($J9323,'Informations sur les produits'!$A$3:$H$10000,8,FALSE),"0")</f>
        <v>0</v>
      </c>
      <c r="N9323" s="8"/>
      <c r="O9323" s="33" t="str">
        <f>IFERROR(VLOOKUP($M9323,'Informations sur les produits'!$A$3:$H$10000,8,FALSE),"0")</f>
        <v>0</v>
      </c>
      <c r="P9323" s="33">
        <f t="shared" si="580"/>
        <v>0</v>
      </c>
      <c r="Q9323" s="31" t="str">
        <f t="shared" si="581"/>
        <v/>
      </c>
      <c r="R9323" s="32" t="str">
        <f>IFERROR(VLOOKUP($D9323,'Informations sur les produits'!$A$3:$B$15000,2,FALSE),"")</f>
        <v/>
      </c>
      <c r="V9323">
        <f t="shared" si="582"/>
        <v>0</v>
      </c>
      <c r="W9323">
        <f t="shared" si="583"/>
        <v>0</v>
      </c>
    </row>
    <row r="9324" spans="5:23" x14ac:dyDescent="0.25">
      <c r="E9324" s="4"/>
      <c r="F9324" s="4"/>
      <c r="G9324" s="33" t="str">
        <f>IFERROR(VLOOKUP($D9324,'Informations sur les produits'!$A$3:$H$10000,8,FALSE),"0")</f>
        <v>0</v>
      </c>
      <c r="K9324" s="4"/>
      <c r="L9324" s="33" t="str">
        <f>IFERROR(VLOOKUP($J9324,'Informations sur les produits'!$A$3:$H$10000,8,FALSE),"0")</f>
        <v>0</v>
      </c>
      <c r="N9324" s="8"/>
      <c r="O9324" s="33" t="str">
        <f>IFERROR(VLOOKUP($M9324,'Informations sur les produits'!$A$3:$H$10000,8,FALSE),"0")</f>
        <v>0</v>
      </c>
      <c r="P9324" s="33">
        <f t="shared" si="580"/>
        <v>0</v>
      </c>
      <c r="Q9324" s="31" t="str">
        <f t="shared" si="581"/>
        <v/>
      </c>
      <c r="R9324" s="32" t="str">
        <f>IFERROR(VLOOKUP($D9324,'Informations sur les produits'!$A$3:$B$15000,2,FALSE),"")</f>
        <v/>
      </c>
      <c r="V9324">
        <f t="shared" si="582"/>
        <v>0</v>
      </c>
      <c r="W9324">
        <f t="shared" si="583"/>
        <v>0</v>
      </c>
    </row>
    <row r="9325" spans="5:23" x14ac:dyDescent="0.25">
      <c r="E9325" s="4"/>
      <c r="F9325" s="4"/>
      <c r="G9325" s="33" t="str">
        <f>IFERROR(VLOOKUP($D9325,'Informations sur les produits'!$A$3:$H$10000,8,FALSE),"0")</f>
        <v>0</v>
      </c>
      <c r="K9325" s="4"/>
      <c r="L9325" s="33" t="str">
        <f>IFERROR(VLOOKUP($J9325,'Informations sur les produits'!$A$3:$H$10000,8,FALSE),"0")</f>
        <v>0</v>
      </c>
      <c r="N9325" s="8"/>
      <c r="O9325" s="33" t="str">
        <f>IFERROR(VLOOKUP($M9325,'Informations sur les produits'!$A$3:$H$10000,8,FALSE),"0")</f>
        <v>0</v>
      </c>
      <c r="P9325" s="33">
        <f t="shared" si="580"/>
        <v>0</v>
      </c>
      <c r="Q9325" s="31" t="str">
        <f t="shared" si="581"/>
        <v/>
      </c>
      <c r="R9325" s="32" t="str">
        <f>IFERROR(VLOOKUP($D9325,'Informations sur les produits'!$A$3:$B$15000,2,FALSE),"")</f>
        <v/>
      </c>
      <c r="V9325">
        <f t="shared" si="582"/>
        <v>0</v>
      </c>
      <c r="W9325">
        <f t="shared" si="583"/>
        <v>0</v>
      </c>
    </row>
    <row r="9326" spans="5:23" x14ac:dyDescent="0.25">
      <c r="E9326" s="4"/>
      <c r="F9326" s="4"/>
      <c r="G9326" s="33" t="str">
        <f>IFERROR(VLOOKUP($D9326,'Informations sur les produits'!$A$3:$H$10000,8,FALSE),"0")</f>
        <v>0</v>
      </c>
      <c r="K9326" s="4"/>
      <c r="L9326" s="33" t="str">
        <f>IFERROR(VLOOKUP($J9326,'Informations sur les produits'!$A$3:$H$10000,8,FALSE),"0")</f>
        <v>0</v>
      </c>
      <c r="N9326" s="8"/>
      <c r="O9326" s="33" t="str">
        <f>IFERROR(VLOOKUP($M9326,'Informations sur les produits'!$A$3:$H$10000,8,FALSE),"0")</f>
        <v>0</v>
      </c>
      <c r="P9326" s="33">
        <f t="shared" si="580"/>
        <v>0</v>
      </c>
      <c r="Q9326" s="31" t="str">
        <f t="shared" si="581"/>
        <v/>
      </c>
      <c r="R9326" s="32" t="str">
        <f>IFERROR(VLOOKUP($D9326,'Informations sur les produits'!$A$3:$B$15000,2,FALSE),"")</f>
        <v/>
      </c>
      <c r="V9326">
        <f t="shared" si="582"/>
        <v>0</v>
      </c>
      <c r="W9326">
        <f t="shared" si="583"/>
        <v>0</v>
      </c>
    </row>
    <row r="9327" spans="5:23" x14ac:dyDescent="0.25">
      <c r="E9327" s="4"/>
      <c r="F9327" s="4"/>
      <c r="G9327" s="33" t="str">
        <f>IFERROR(VLOOKUP($D9327,'Informations sur les produits'!$A$3:$H$10000,8,FALSE),"0")</f>
        <v>0</v>
      </c>
      <c r="K9327" s="4"/>
      <c r="L9327" s="33" t="str">
        <f>IFERROR(VLOOKUP($J9327,'Informations sur les produits'!$A$3:$H$10000,8,FALSE),"0")</f>
        <v>0</v>
      </c>
      <c r="N9327" s="8"/>
      <c r="O9327" s="33" t="str">
        <f>IFERROR(VLOOKUP($M9327,'Informations sur les produits'!$A$3:$H$10000,8,FALSE),"0")</f>
        <v>0</v>
      </c>
      <c r="P9327" s="33">
        <f t="shared" si="580"/>
        <v>0</v>
      </c>
      <c r="Q9327" s="31" t="str">
        <f t="shared" si="581"/>
        <v/>
      </c>
      <c r="R9327" s="32" t="str">
        <f>IFERROR(VLOOKUP($D9327,'Informations sur les produits'!$A$3:$B$15000,2,FALSE),"")</f>
        <v/>
      </c>
      <c r="V9327">
        <f t="shared" si="582"/>
        <v>0</v>
      </c>
      <c r="W9327">
        <f t="shared" si="583"/>
        <v>0</v>
      </c>
    </row>
    <row r="9328" spans="5:23" x14ac:dyDescent="0.25">
      <c r="E9328" s="4"/>
      <c r="F9328" s="4"/>
      <c r="G9328" s="33" t="str">
        <f>IFERROR(VLOOKUP($D9328,'Informations sur les produits'!$A$3:$H$10000,8,FALSE),"0")</f>
        <v>0</v>
      </c>
      <c r="K9328" s="4"/>
      <c r="L9328" s="33" t="str">
        <f>IFERROR(VLOOKUP($J9328,'Informations sur les produits'!$A$3:$H$10000,8,FALSE),"0")</f>
        <v>0</v>
      </c>
      <c r="N9328" s="8"/>
      <c r="O9328" s="33" t="str">
        <f>IFERROR(VLOOKUP($M9328,'Informations sur les produits'!$A$3:$H$10000,8,FALSE),"0")</f>
        <v>0</v>
      </c>
      <c r="P9328" s="33">
        <f t="shared" si="580"/>
        <v>0</v>
      </c>
      <c r="Q9328" s="31" t="str">
        <f t="shared" si="581"/>
        <v/>
      </c>
      <c r="R9328" s="32" t="str">
        <f>IFERROR(VLOOKUP($D9328,'Informations sur les produits'!$A$3:$B$15000,2,FALSE),"")</f>
        <v/>
      </c>
      <c r="V9328">
        <f t="shared" si="582"/>
        <v>0</v>
      </c>
      <c r="W9328">
        <f t="shared" si="583"/>
        <v>0</v>
      </c>
    </row>
    <row r="9329" spans="5:23" x14ac:dyDescent="0.25">
      <c r="E9329" s="4"/>
      <c r="F9329" s="4"/>
      <c r="G9329" s="33" t="str">
        <f>IFERROR(VLOOKUP($D9329,'Informations sur les produits'!$A$3:$H$10000,8,FALSE),"0")</f>
        <v>0</v>
      </c>
      <c r="K9329" s="4"/>
      <c r="L9329" s="33" t="str">
        <f>IFERROR(VLOOKUP($J9329,'Informations sur les produits'!$A$3:$H$10000,8,FALSE),"0")</f>
        <v>0</v>
      </c>
      <c r="N9329" s="8"/>
      <c r="O9329" s="33" t="str">
        <f>IFERROR(VLOOKUP($M9329,'Informations sur les produits'!$A$3:$H$10000,8,FALSE),"0")</f>
        <v>0</v>
      </c>
      <c r="P9329" s="33">
        <f t="shared" si="580"/>
        <v>0</v>
      </c>
      <c r="Q9329" s="31" t="str">
        <f t="shared" si="581"/>
        <v/>
      </c>
      <c r="R9329" s="32" t="str">
        <f>IFERROR(VLOOKUP($D9329,'Informations sur les produits'!$A$3:$B$15000,2,FALSE),"")</f>
        <v/>
      </c>
      <c r="V9329">
        <f t="shared" si="582"/>
        <v>0</v>
      </c>
      <c r="W9329">
        <f t="shared" si="583"/>
        <v>0</v>
      </c>
    </row>
    <row r="9330" spans="5:23" x14ac:dyDescent="0.25">
      <c r="E9330" s="4"/>
      <c r="F9330" s="4"/>
      <c r="G9330" s="33" t="str">
        <f>IFERROR(VLOOKUP($D9330,'Informations sur les produits'!$A$3:$H$10000,8,FALSE),"0")</f>
        <v>0</v>
      </c>
      <c r="K9330" s="4"/>
      <c r="L9330" s="33" t="str">
        <f>IFERROR(VLOOKUP($J9330,'Informations sur les produits'!$A$3:$H$10000,8,FALSE),"0")</f>
        <v>0</v>
      </c>
      <c r="N9330" s="8"/>
      <c r="O9330" s="33" t="str">
        <f>IFERROR(VLOOKUP($M9330,'Informations sur les produits'!$A$3:$H$10000,8,FALSE),"0")</f>
        <v>0</v>
      </c>
      <c r="P9330" s="33">
        <f t="shared" si="580"/>
        <v>0</v>
      </c>
      <c r="Q9330" s="31" t="str">
        <f t="shared" si="581"/>
        <v/>
      </c>
      <c r="R9330" s="32" t="str">
        <f>IFERROR(VLOOKUP($D9330,'Informations sur les produits'!$A$3:$B$15000,2,FALSE),"")</f>
        <v/>
      </c>
      <c r="V9330">
        <f t="shared" si="582"/>
        <v>0</v>
      </c>
      <c r="W9330">
        <f t="shared" si="583"/>
        <v>0</v>
      </c>
    </row>
    <row r="9331" spans="5:23" x14ac:dyDescent="0.25">
      <c r="E9331" s="4"/>
      <c r="F9331" s="4"/>
      <c r="G9331" s="33" t="str">
        <f>IFERROR(VLOOKUP($D9331,'Informations sur les produits'!$A$3:$H$10000,8,FALSE),"0")</f>
        <v>0</v>
      </c>
      <c r="K9331" s="4"/>
      <c r="L9331" s="33" t="str">
        <f>IFERROR(VLOOKUP($J9331,'Informations sur les produits'!$A$3:$H$10000,8,FALSE),"0")</f>
        <v>0</v>
      </c>
      <c r="N9331" s="8"/>
      <c r="O9331" s="33" t="str">
        <f>IFERROR(VLOOKUP($M9331,'Informations sur les produits'!$A$3:$H$10000,8,FALSE),"0")</f>
        <v>0</v>
      </c>
      <c r="P9331" s="33">
        <f t="shared" si="580"/>
        <v>0</v>
      </c>
      <c r="Q9331" s="31" t="str">
        <f t="shared" si="581"/>
        <v/>
      </c>
      <c r="R9331" s="32" t="str">
        <f>IFERROR(VLOOKUP($D9331,'Informations sur les produits'!$A$3:$B$15000,2,FALSE),"")</f>
        <v/>
      </c>
      <c r="V9331">
        <f t="shared" si="582"/>
        <v>0</v>
      </c>
      <c r="W9331">
        <f t="shared" si="583"/>
        <v>0</v>
      </c>
    </row>
    <row r="9332" spans="5:23" x14ac:dyDescent="0.25">
      <c r="E9332" s="4"/>
      <c r="F9332" s="4"/>
      <c r="G9332" s="33" t="str">
        <f>IFERROR(VLOOKUP($D9332,'Informations sur les produits'!$A$3:$H$10000,8,FALSE),"0")</f>
        <v>0</v>
      </c>
      <c r="K9332" s="4"/>
      <c r="L9332" s="33" t="str">
        <f>IFERROR(VLOOKUP($J9332,'Informations sur les produits'!$A$3:$H$10000,8,FALSE),"0")</f>
        <v>0</v>
      </c>
      <c r="N9332" s="8"/>
      <c r="O9332" s="33" t="str">
        <f>IFERROR(VLOOKUP($M9332,'Informations sur les produits'!$A$3:$H$10000,8,FALSE),"0")</f>
        <v>0</v>
      </c>
      <c r="P9332" s="33">
        <f t="shared" si="580"/>
        <v>0</v>
      </c>
      <c r="Q9332" s="31" t="str">
        <f t="shared" si="581"/>
        <v/>
      </c>
      <c r="R9332" s="32" t="str">
        <f>IFERROR(VLOOKUP($D9332,'Informations sur les produits'!$A$3:$B$15000,2,FALSE),"")</f>
        <v/>
      </c>
      <c r="V9332">
        <f t="shared" si="582"/>
        <v>0</v>
      </c>
      <c r="W9332">
        <f t="shared" si="583"/>
        <v>0</v>
      </c>
    </row>
    <row r="9333" spans="5:23" x14ac:dyDescent="0.25">
      <c r="E9333" s="4"/>
      <c r="F9333" s="4"/>
      <c r="G9333" s="33" t="str">
        <f>IFERROR(VLOOKUP($D9333,'Informations sur les produits'!$A$3:$H$10000,8,FALSE),"0")</f>
        <v>0</v>
      </c>
      <c r="K9333" s="4"/>
      <c r="L9333" s="33" t="str">
        <f>IFERROR(VLOOKUP($J9333,'Informations sur les produits'!$A$3:$H$10000,8,FALSE),"0")</f>
        <v>0</v>
      </c>
      <c r="N9333" s="8"/>
      <c r="O9333" s="33" t="str">
        <f>IFERROR(VLOOKUP($M9333,'Informations sur les produits'!$A$3:$H$10000,8,FALSE),"0")</f>
        <v>0</v>
      </c>
      <c r="P9333" s="33">
        <f t="shared" si="580"/>
        <v>0</v>
      </c>
      <c r="Q9333" s="31" t="str">
        <f t="shared" si="581"/>
        <v/>
      </c>
      <c r="R9333" s="32" t="str">
        <f>IFERROR(VLOOKUP($D9333,'Informations sur les produits'!$A$3:$B$15000,2,FALSE),"")</f>
        <v/>
      </c>
      <c r="V9333">
        <f t="shared" si="582"/>
        <v>0</v>
      </c>
      <c r="W9333">
        <f t="shared" si="583"/>
        <v>0</v>
      </c>
    </row>
    <row r="9334" spans="5:23" x14ac:dyDescent="0.25">
      <c r="E9334" s="4"/>
      <c r="F9334" s="4"/>
      <c r="G9334" s="33" t="str">
        <f>IFERROR(VLOOKUP($D9334,'Informations sur les produits'!$A$3:$H$10000,8,FALSE),"0")</f>
        <v>0</v>
      </c>
      <c r="K9334" s="4"/>
      <c r="L9334" s="33" t="str">
        <f>IFERROR(VLOOKUP($J9334,'Informations sur les produits'!$A$3:$H$10000,8,FALSE),"0")</f>
        <v>0</v>
      </c>
      <c r="N9334" s="8"/>
      <c r="O9334" s="33" t="str">
        <f>IFERROR(VLOOKUP($M9334,'Informations sur les produits'!$A$3:$H$10000,8,FALSE),"0")</f>
        <v>0</v>
      </c>
      <c r="P9334" s="33">
        <f t="shared" si="580"/>
        <v>0</v>
      </c>
      <c r="Q9334" s="31" t="str">
        <f t="shared" si="581"/>
        <v/>
      </c>
      <c r="R9334" s="32" t="str">
        <f>IFERROR(VLOOKUP($D9334,'Informations sur les produits'!$A$3:$B$15000,2,FALSE),"")</f>
        <v/>
      </c>
      <c r="V9334">
        <f t="shared" si="582"/>
        <v>0</v>
      </c>
      <c r="W9334">
        <f t="shared" si="583"/>
        <v>0</v>
      </c>
    </row>
    <row r="9335" spans="5:23" x14ac:dyDescent="0.25">
      <c r="E9335" s="4"/>
      <c r="F9335" s="4"/>
      <c r="G9335" s="33" t="str">
        <f>IFERROR(VLOOKUP($D9335,'Informations sur les produits'!$A$3:$H$10000,8,FALSE),"0")</f>
        <v>0</v>
      </c>
      <c r="K9335" s="4"/>
      <c r="L9335" s="33" t="str">
        <f>IFERROR(VLOOKUP($J9335,'Informations sur les produits'!$A$3:$H$10000,8,FALSE),"0")</f>
        <v>0</v>
      </c>
      <c r="N9335" s="8"/>
      <c r="O9335" s="33" t="str">
        <f>IFERROR(VLOOKUP($M9335,'Informations sur les produits'!$A$3:$H$10000,8,FALSE),"0")</f>
        <v>0</v>
      </c>
      <c r="P9335" s="33">
        <f t="shared" si="580"/>
        <v>0</v>
      </c>
      <c r="Q9335" s="31" t="str">
        <f t="shared" si="581"/>
        <v/>
      </c>
      <c r="R9335" s="32" t="str">
        <f>IFERROR(VLOOKUP($D9335,'Informations sur les produits'!$A$3:$B$15000,2,FALSE),"")</f>
        <v/>
      </c>
      <c r="V9335">
        <f t="shared" si="582"/>
        <v>0</v>
      </c>
      <c r="W9335">
        <f t="shared" si="583"/>
        <v>0</v>
      </c>
    </row>
    <row r="9336" spans="5:23" x14ac:dyDescent="0.25">
      <c r="E9336" s="4"/>
      <c r="F9336" s="4"/>
      <c r="G9336" s="33" t="str">
        <f>IFERROR(VLOOKUP($D9336,'Informations sur les produits'!$A$3:$H$10000,8,FALSE),"0")</f>
        <v>0</v>
      </c>
      <c r="K9336" s="4"/>
      <c r="L9336" s="33" t="str">
        <f>IFERROR(VLOOKUP($J9336,'Informations sur les produits'!$A$3:$H$10000,8,FALSE),"0")</f>
        <v>0</v>
      </c>
      <c r="N9336" s="8"/>
      <c r="O9336" s="33" t="str">
        <f>IFERROR(VLOOKUP($M9336,'Informations sur les produits'!$A$3:$H$10000,8,FALSE),"0")</f>
        <v>0</v>
      </c>
      <c r="P9336" s="33">
        <f t="shared" si="580"/>
        <v>0</v>
      </c>
      <c r="Q9336" s="31" t="str">
        <f t="shared" si="581"/>
        <v/>
      </c>
      <c r="R9336" s="32" t="str">
        <f>IFERROR(VLOOKUP($D9336,'Informations sur les produits'!$A$3:$B$15000,2,FALSE),"")</f>
        <v/>
      </c>
      <c r="V9336">
        <f t="shared" si="582"/>
        <v>0</v>
      </c>
      <c r="W9336">
        <f t="shared" si="583"/>
        <v>0</v>
      </c>
    </row>
    <row r="9337" spans="5:23" x14ac:dyDescent="0.25">
      <c r="E9337" s="4"/>
      <c r="F9337" s="4"/>
      <c r="G9337" s="33" t="str">
        <f>IFERROR(VLOOKUP($D9337,'Informations sur les produits'!$A$3:$H$10000,8,FALSE),"0")</f>
        <v>0</v>
      </c>
      <c r="K9337" s="4"/>
      <c r="L9337" s="33" t="str">
        <f>IFERROR(VLOOKUP($J9337,'Informations sur les produits'!$A$3:$H$10000,8,FALSE),"0")</f>
        <v>0</v>
      </c>
      <c r="N9337" s="8"/>
      <c r="O9337" s="33" t="str">
        <f>IFERROR(VLOOKUP($M9337,'Informations sur les produits'!$A$3:$H$10000,8,FALSE),"0")</f>
        <v>0</v>
      </c>
      <c r="P9337" s="33">
        <f t="shared" si="580"/>
        <v>0</v>
      </c>
      <c r="Q9337" s="31" t="str">
        <f t="shared" si="581"/>
        <v/>
      </c>
      <c r="R9337" s="32" t="str">
        <f>IFERROR(VLOOKUP($D9337,'Informations sur les produits'!$A$3:$B$15000,2,FALSE),"")</f>
        <v/>
      </c>
      <c r="V9337">
        <f t="shared" si="582"/>
        <v>0</v>
      </c>
      <c r="W9337">
        <f t="shared" si="583"/>
        <v>0</v>
      </c>
    </row>
    <row r="9338" spans="5:23" x14ac:dyDescent="0.25">
      <c r="E9338" s="4"/>
      <c r="F9338" s="4"/>
      <c r="G9338" s="33" t="str">
        <f>IFERROR(VLOOKUP($D9338,'Informations sur les produits'!$A$3:$H$10000,8,FALSE),"0")</f>
        <v>0</v>
      </c>
      <c r="K9338" s="4"/>
      <c r="L9338" s="33" t="str">
        <f>IFERROR(VLOOKUP($J9338,'Informations sur les produits'!$A$3:$H$10000,8,FALSE),"0")</f>
        <v>0</v>
      </c>
      <c r="N9338" s="8"/>
      <c r="O9338" s="33" t="str">
        <f>IFERROR(VLOOKUP($M9338,'Informations sur les produits'!$A$3:$H$10000,8,FALSE),"0")</f>
        <v>0</v>
      </c>
      <c r="P9338" s="33">
        <f t="shared" si="580"/>
        <v>0</v>
      </c>
      <c r="Q9338" s="31" t="str">
        <f t="shared" si="581"/>
        <v/>
      </c>
      <c r="R9338" s="32" t="str">
        <f>IFERROR(VLOOKUP($D9338,'Informations sur les produits'!$A$3:$B$15000,2,FALSE),"")</f>
        <v/>
      </c>
      <c r="V9338">
        <f t="shared" si="582"/>
        <v>0</v>
      </c>
      <c r="W9338">
        <f t="shared" si="583"/>
        <v>0</v>
      </c>
    </row>
    <row r="9339" spans="5:23" x14ac:dyDescent="0.25">
      <c r="E9339" s="4"/>
      <c r="F9339" s="4"/>
      <c r="G9339" s="33" t="str">
        <f>IFERROR(VLOOKUP($D9339,'Informations sur les produits'!$A$3:$H$10000,8,FALSE),"0")</f>
        <v>0</v>
      </c>
      <c r="K9339" s="4"/>
      <c r="L9339" s="33" t="str">
        <f>IFERROR(VLOOKUP($J9339,'Informations sur les produits'!$A$3:$H$10000,8,FALSE),"0")</f>
        <v>0</v>
      </c>
      <c r="N9339" s="8"/>
      <c r="O9339" s="33" t="str">
        <f>IFERROR(VLOOKUP($M9339,'Informations sur les produits'!$A$3:$H$10000,8,FALSE),"0")</f>
        <v>0</v>
      </c>
      <c r="P9339" s="33">
        <f t="shared" si="580"/>
        <v>0</v>
      </c>
      <c r="Q9339" s="31" t="str">
        <f t="shared" si="581"/>
        <v/>
      </c>
      <c r="R9339" s="32" t="str">
        <f>IFERROR(VLOOKUP($D9339,'Informations sur les produits'!$A$3:$B$15000,2,FALSE),"")</f>
        <v/>
      </c>
      <c r="V9339">
        <f t="shared" si="582"/>
        <v>0</v>
      </c>
      <c r="W9339">
        <f t="shared" si="583"/>
        <v>0</v>
      </c>
    </row>
    <row r="9340" spans="5:23" x14ac:dyDescent="0.25">
      <c r="E9340" s="4"/>
      <c r="F9340" s="4"/>
      <c r="G9340" s="33" t="str">
        <f>IFERROR(VLOOKUP($D9340,'Informations sur les produits'!$A$3:$H$10000,8,FALSE),"0")</f>
        <v>0</v>
      </c>
      <c r="K9340" s="4"/>
      <c r="L9340" s="33" t="str">
        <f>IFERROR(VLOOKUP($J9340,'Informations sur les produits'!$A$3:$H$10000,8,FALSE),"0")</f>
        <v>0</v>
      </c>
      <c r="N9340" s="8"/>
      <c r="O9340" s="33" t="str">
        <f>IFERROR(VLOOKUP($M9340,'Informations sur les produits'!$A$3:$H$10000,8,FALSE),"0")</f>
        <v>0</v>
      </c>
      <c r="P9340" s="33">
        <f t="shared" si="580"/>
        <v>0</v>
      </c>
      <c r="Q9340" s="31" t="str">
        <f t="shared" si="581"/>
        <v/>
      </c>
      <c r="R9340" s="32" t="str">
        <f>IFERROR(VLOOKUP($D9340,'Informations sur les produits'!$A$3:$B$15000,2,FALSE),"")</f>
        <v/>
      </c>
      <c r="V9340">
        <f t="shared" si="582"/>
        <v>0</v>
      </c>
      <c r="W9340">
        <f t="shared" si="583"/>
        <v>0</v>
      </c>
    </row>
    <row r="9341" spans="5:23" x14ac:dyDescent="0.25">
      <c r="E9341" s="4"/>
      <c r="F9341" s="4"/>
      <c r="G9341" s="33" t="str">
        <f>IFERROR(VLOOKUP($D9341,'Informations sur les produits'!$A$3:$H$10000,8,FALSE),"0")</f>
        <v>0</v>
      </c>
      <c r="K9341" s="4"/>
      <c r="L9341" s="33" t="str">
        <f>IFERROR(VLOOKUP($J9341,'Informations sur les produits'!$A$3:$H$10000,8,FALSE),"0")</f>
        <v>0</v>
      </c>
      <c r="N9341" s="8"/>
      <c r="O9341" s="33" t="str">
        <f>IFERROR(VLOOKUP($M9341,'Informations sur les produits'!$A$3:$H$10000,8,FALSE),"0")</f>
        <v>0</v>
      </c>
      <c r="P9341" s="33">
        <f t="shared" si="580"/>
        <v>0</v>
      </c>
      <c r="Q9341" s="31" t="str">
        <f t="shared" si="581"/>
        <v/>
      </c>
      <c r="R9341" s="32" t="str">
        <f>IFERROR(VLOOKUP($D9341,'Informations sur les produits'!$A$3:$B$15000,2,FALSE),"")</f>
        <v/>
      </c>
      <c r="V9341">
        <f t="shared" si="582"/>
        <v>0</v>
      </c>
      <c r="W9341">
        <f t="shared" si="583"/>
        <v>0</v>
      </c>
    </row>
    <row r="9342" spans="5:23" x14ac:dyDescent="0.25">
      <c r="E9342" s="4"/>
      <c r="F9342" s="4"/>
      <c r="G9342" s="33" t="str">
        <f>IFERROR(VLOOKUP($D9342,'Informations sur les produits'!$A$3:$H$10000,8,FALSE),"0")</f>
        <v>0</v>
      </c>
      <c r="K9342" s="4"/>
      <c r="L9342" s="33" t="str">
        <f>IFERROR(VLOOKUP($J9342,'Informations sur les produits'!$A$3:$H$10000,8,FALSE),"0")</f>
        <v>0</v>
      </c>
      <c r="N9342" s="8"/>
      <c r="O9342" s="33" t="str">
        <f>IFERROR(VLOOKUP($M9342,'Informations sur les produits'!$A$3:$H$10000,8,FALSE),"0")</f>
        <v>0</v>
      </c>
      <c r="P9342" s="33">
        <f t="shared" si="580"/>
        <v>0</v>
      </c>
      <c r="Q9342" s="31" t="str">
        <f t="shared" si="581"/>
        <v/>
      </c>
      <c r="R9342" s="32" t="str">
        <f>IFERROR(VLOOKUP($D9342,'Informations sur les produits'!$A$3:$B$15000,2,FALSE),"")</f>
        <v/>
      </c>
      <c r="V9342">
        <f t="shared" si="582"/>
        <v>0</v>
      </c>
      <c r="W9342">
        <f t="shared" si="583"/>
        <v>0</v>
      </c>
    </row>
    <row r="9343" spans="5:23" x14ac:dyDescent="0.25">
      <c r="E9343" s="4"/>
      <c r="F9343" s="4"/>
      <c r="G9343" s="33" t="str">
        <f>IFERROR(VLOOKUP($D9343,'Informations sur les produits'!$A$3:$H$10000,8,FALSE),"0")</f>
        <v>0</v>
      </c>
      <c r="K9343" s="4"/>
      <c r="L9343" s="33" t="str">
        <f>IFERROR(VLOOKUP($J9343,'Informations sur les produits'!$A$3:$H$10000,8,FALSE),"0")</f>
        <v>0</v>
      </c>
      <c r="N9343" s="8"/>
      <c r="O9343" s="33" t="str">
        <f>IFERROR(VLOOKUP($M9343,'Informations sur les produits'!$A$3:$H$10000,8,FALSE),"0")</f>
        <v>0</v>
      </c>
      <c r="P9343" s="33">
        <f t="shared" si="580"/>
        <v>0</v>
      </c>
      <c r="Q9343" s="31" t="str">
        <f t="shared" si="581"/>
        <v/>
      </c>
      <c r="R9343" s="32" t="str">
        <f>IFERROR(VLOOKUP($D9343,'Informations sur les produits'!$A$3:$B$15000,2,FALSE),"")</f>
        <v/>
      </c>
      <c r="V9343">
        <f t="shared" si="582"/>
        <v>0</v>
      </c>
      <c r="W9343">
        <f t="shared" si="583"/>
        <v>0</v>
      </c>
    </row>
    <row r="9344" spans="5:23" x14ac:dyDescent="0.25">
      <c r="E9344" s="4"/>
      <c r="F9344" s="4"/>
      <c r="G9344" s="33" t="str">
        <f>IFERROR(VLOOKUP($D9344,'Informations sur les produits'!$A$3:$H$10000,8,FALSE),"0")</f>
        <v>0</v>
      </c>
      <c r="K9344" s="4"/>
      <c r="L9344" s="33" t="str">
        <f>IFERROR(VLOOKUP($J9344,'Informations sur les produits'!$A$3:$H$10000,8,FALSE),"0")</f>
        <v>0</v>
      </c>
      <c r="N9344" s="8"/>
      <c r="O9344" s="33" t="str">
        <f>IFERROR(VLOOKUP($M9344,'Informations sur les produits'!$A$3:$H$10000,8,FALSE),"0")</f>
        <v>0</v>
      </c>
      <c r="P9344" s="33">
        <f t="shared" si="580"/>
        <v>0</v>
      </c>
      <c r="Q9344" s="31" t="str">
        <f t="shared" si="581"/>
        <v/>
      </c>
      <c r="R9344" s="32" t="str">
        <f>IFERROR(VLOOKUP($D9344,'Informations sur les produits'!$A$3:$B$15000,2,FALSE),"")</f>
        <v/>
      </c>
      <c r="V9344">
        <f t="shared" si="582"/>
        <v>0</v>
      </c>
      <c r="W9344">
        <f t="shared" si="583"/>
        <v>0</v>
      </c>
    </row>
    <row r="9345" spans="5:23" x14ac:dyDescent="0.25">
      <c r="E9345" s="4"/>
      <c r="F9345" s="4"/>
      <c r="G9345" s="33" t="str">
        <f>IFERROR(VLOOKUP($D9345,'Informations sur les produits'!$A$3:$H$10000,8,FALSE),"0")</f>
        <v>0</v>
      </c>
      <c r="K9345" s="4"/>
      <c r="L9345" s="33" t="str">
        <f>IFERROR(VLOOKUP($J9345,'Informations sur les produits'!$A$3:$H$10000,8,FALSE),"0")</f>
        <v>0</v>
      </c>
      <c r="N9345" s="8"/>
      <c r="O9345" s="33" t="str">
        <f>IFERROR(VLOOKUP($M9345,'Informations sur les produits'!$A$3:$H$10000,8,FALSE),"0")</f>
        <v>0</v>
      </c>
      <c r="P9345" s="33">
        <f t="shared" si="580"/>
        <v>0</v>
      </c>
      <c r="Q9345" s="31" t="str">
        <f t="shared" si="581"/>
        <v/>
      </c>
      <c r="R9345" s="32" t="str">
        <f>IFERROR(VLOOKUP($D9345,'Informations sur les produits'!$A$3:$B$15000,2,FALSE),"")</f>
        <v/>
      </c>
      <c r="V9345">
        <f t="shared" si="582"/>
        <v>0</v>
      </c>
      <c r="W9345">
        <f t="shared" si="583"/>
        <v>0</v>
      </c>
    </row>
    <row r="9346" spans="5:23" x14ac:dyDescent="0.25">
      <c r="E9346" s="4"/>
      <c r="F9346" s="4"/>
      <c r="G9346" s="33" t="str">
        <f>IFERROR(VLOOKUP($D9346,'Informations sur les produits'!$A$3:$H$10000,8,FALSE),"0")</f>
        <v>0</v>
      </c>
      <c r="K9346" s="4"/>
      <c r="L9346" s="33" t="str">
        <f>IFERROR(VLOOKUP($J9346,'Informations sur les produits'!$A$3:$H$10000,8,FALSE),"0")</f>
        <v>0</v>
      </c>
      <c r="N9346" s="8"/>
      <c r="O9346" s="33" t="str">
        <f>IFERROR(VLOOKUP($M9346,'Informations sur les produits'!$A$3:$H$10000,8,FALSE),"0")</f>
        <v>0</v>
      </c>
      <c r="P9346" s="33">
        <f t="shared" si="580"/>
        <v>0</v>
      </c>
      <c r="Q9346" s="31" t="str">
        <f t="shared" si="581"/>
        <v/>
      </c>
      <c r="R9346" s="32" t="str">
        <f>IFERROR(VLOOKUP($D9346,'Informations sur les produits'!$A$3:$B$15000,2,FALSE),"")</f>
        <v/>
      </c>
      <c r="V9346">
        <f t="shared" si="582"/>
        <v>0</v>
      </c>
      <c r="W9346">
        <f t="shared" si="583"/>
        <v>0</v>
      </c>
    </row>
    <row r="9347" spans="5:23" x14ac:dyDescent="0.25">
      <c r="E9347" s="4"/>
      <c r="F9347" s="4"/>
      <c r="G9347" s="33" t="str">
        <f>IFERROR(VLOOKUP($D9347,'Informations sur les produits'!$A$3:$H$10000,8,FALSE),"0")</f>
        <v>0</v>
      </c>
      <c r="K9347" s="4"/>
      <c r="L9347" s="33" t="str">
        <f>IFERROR(VLOOKUP($J9347,'Informations sur les produits'!$A$3:$H$10000,8,FALSE),"0")</f>
        <v>0</v>
      </c>
      <c r="N9347" s="8"/>
      <c r="O9347" s="33" t="str">
        <f>IFERROR(VLOOKUP($M9347,'Informations sur les produits'!$A$3:$H$10000,8,FALSE),"0")</f>
        <v>0</v>
      </c>
      <c r="P9347" s="33">
        <f t="shared" si="580"/>
        <v>0</v>
      </c>
      <c r="Q9347" s="31" t="str">
        <f t="shared" si="581"/>
        <v/>
      </c>
      <c r="R9347" s="32" t="str">
        <f>IFERROR(VLOOKUP($D9347,'Informations sur les produits'!$A$3:$B$15000,2,FALSE),"")</f>
        <v/>
      </c>
      <c r="V9347">
        <f t="shared" si="582"/>
        <v>0</v>
      </c>
      <c r="W9347">
        <f t="shared" si="583"/>
        <v>0</v>
      </c>
    </row>
    <row r="9348" spans="5:23" x14ac:dyDescent="0.25">
      <c r="E9348" s="4"/>
      <c r="F9348" s="4"/>
      <c r="G9348" s="33" t="str">
        <f>IFERROR(VLOOKUP($D9348,'Informations sur les produits'!$A$3:$H$10000,8,FALSE),"0")</f>
        <v>0</v>
      </c>
      <c r="K9348" s="4"/>
      <c r="L9348" s="33" t="str">
        <f>IFERROR(VLOOKUP($J9348,'Informations sur les produits'!$A$3:$H$10000,8,FALSE),"0")</f>
        <v>0</v>
      </c>
      <c r="N9348" s="8"/>
      <c r="O9348" s="33" t="str">
        <f>IFERROR(VLOOKUP($M9348,'Informations sur les produits'!$A$3:$H$10000,8,FALSE),"0")</f>
        <v>0</v>
      </c>
      <c r="P9348" s="33">
        <f t="shared" ref="P9348:P9411" si="584">IFERROR((($E9348-$F9348)*$G9348+$K9348*$L9348+$N9348*$O9348),"")</f>
        <v>0</v>
      </c>
      <c r="Q9348" s="31" t="str">
        <f t="shared" ref="Q9348:Q9411" si="585">IFERROR((((($E9348-$F9348)*$G9348+$K9348*$L9348+$N9348*$O9348)*1000)/(($E9348-$F9348)+$K9348+$N9348)),"")</f>
        <v/>
      </c>
      <c r="R9348" s="32" t="str">
        <f>IFERROR(VLOOKUP($D9348,'Informations sur les produits'!$A$3:$B$15000,2,FALSE),"")</f>
        <v/>
      </c>
      <c r="V9348">
        <f t="shared" ref="V9348:V9411" si="586">IFERROR(P9348*1000,"")</f>
        <v>0</v>
      </c>
      <c r="W9348">
        <f t="shared" ref="W9348:W9411" si="587">IFERROR(($E9348-$F9348)+$K9348+$N9348,"")</f>
        <v>0</v>
      </c>
    </row>
    <row r="9349" spans="5:23" x14ac:dyDescent="0.25">
      <c r="E9349" s="4"/>
      <c r="F9349" s="4"/>
      <c r="G9349" s="33" t="str">
        <f>IFERROR(VLOOKUP($D9349,'Informations sur les produits'!$A$3:$H$10000,8,FALSE),"0")</f>
        <v>0</v>
      </c>
      <c r="K9349" s="4"/>
      <c r="L9349" s="33" t="str">
        <f>IFERROR(VLOOKUP($J9349,'Informations sur les produits'!$A$3:$H$10000,8,FALSE),"0")</f>
        <v>0</v>
      </c>
      <c r="N9349" s="8"/>
      <c r="O9349" s="33" t="str">
        <f>IFERROR(VLOOKUP($M9349,'Informations sur les produits'!$A$3:$H$10000,8,FALSE),"0")</f>
        <v>0</v>
      </c>
      <c r="P9349" s="33">
        <f t="shared" si="584"/>
        <v>0</v>
      </c>
      <c r="Q9349" s="31" t="str">
        <f t="shared" si="585"/>
        <v/>
      </c>
      <c r="R9349" s="32" t="str">
        <f>IFERROR(VLOOKUP($D9349,'Informations sur les produits'!$A$3:$B$15000,2,FALSE),"")</f>
        <v/>
      </c>
      <c r="V9349">
        <f t="shared" si="586"/>
        <v>0</v>
      </c>
      <c r="W9349">
        <f t="shared" si="587"/>
        <v>0</v>
      </c>
    </row>
    <row r="9350" spans="5:23" x14ac:dyDescent="0.25">
      <c r="E9350" s="4"/>
      <c r="F9350" s="4"/>
      <c r="G9350" s="33" t="str">
        <f>IFERROR(VLOOKUP($D9350,'Informations sur les produits'!$A$3:$H$10000,8,FALSE),"0")</f>
        <v>0</v>
      </c>
      <c r="K9350" s="4"/>
      <c r="L9350" s="33" t="str">
        <f>IFERROR(VLOOKUP($J9350,'Informations sur les produits'!$A$3:$H$10000,8,FALSE),"0")</f>
        <v>0</v>
      </c>
      <c r="N9350" s="8"/>
      <c r="O9350" s="33" t="str">
        <f>IFERROR(VLOOKUP($M9350,'Informations sur les produits'!$A$3:$H$10000,8,FALSE),"0")</f>
        <v>0</v>
      </c>
      <c r="P9350" s="33">
        <f t="shared" si="584"/>
        <v>0</v>
      </c>
      <c r="Q9350" s="31" t="str">
        <f t="shared" si="585"/>
        <v/>
      </c>
      <c r="R9350" s="32" t="str">
        <f>IFERROR(VLOOKUP($D9350,'Informations sur les produits'!$A$3:$B$15000,2,FALSE),"")</f>
        <v/>
      </c>
      <c r="V9350">
        <f t="shared" si="586"/>
        <v>0</v>
      </c>
      <c r="W9350">
        <f t="shared" si="587"/>
        <v>0</v>
      </c>
    </row>
    <row r="9351" spans="5:23" x14ac:dyDescent="0.25">
      <c r="E9351" s="4"/>
      <c r="F9351" s="4"/>
      <c r="G9351" s="33" t="str">
        <f>IFERROR(VLOOKUP($D9351,'Informations sur les produits'!$A$3:$H$10000,8,FALSE),"0")</f>
        <v>0</v>
      </c>
      <c r="K9351" s="4"/>
      <c r="L9351" s="33" t="str">
        <f>IFERROR(VLOOKUP($J9351,'Informations sur les produits'!$A$3:$H$10000,8,FALSE),"0")</f>
        <v>0</v>
      </c>
      <c r="N9351" s="8"/>
      <c r="O9351" s="33" t="str">
        <f>IFERROR(VLOOKUP($M9351,'Informations sur les produits'!$A$3:$H$10000,8,FALSE),"0")</f>
        <v>0</v>
      </c>
      <c r="P9351" s="33">
        <f t="shared" si="584"/>
        <v>0</v>
      </c>
      <c r="Q9351" s="31" t="str">
        <f t="shared" si="585"/>
        <v/>
      </c>
      <c r="R9351" s="32" t="str">
        <f>IFERROR(VLOOKUP($D9351,'Informations sur les produits'!$A$3:$B$15000,2,FALSE),"")</f>
        <v/>
      </c>
      <c r="V9351">
        <f t="shared" si="586"/>
        <v>0</v>
      </c>
      <c r="W9351">
        <f t="shared" si="587"/>
        <v>0</v>
      </c>
    </row>
    <row r="9352" spans="5:23" x14ac:dyDescent="0.25">
      <c r="E9352" s="4"/>
      <c r="F9352" s="4"/>
      <c r="G9352" s="33" t="str">
        <f>IFERROR(VLOOKUP($D9352,'Informations sur les produits'!$A$3:$H$10000,8,FALSE),"0")</f>
        <v>0</v>
      </c>
      <c r="K9352" s="4"/>
      <c r="L9352" s="33" t="str">
        <f>IFERROR(VLOOKUP($J9352,'Informations sur les produits'!$A$3:$H$10000,8,FALSE),"0")</f>
        <v>0</v>
      </c>
      <c r="N9352" s="8"/>
      <c r="O9352" s="33" t="str">
        <f>IFERROR(VLOOKUP($M9352,'Informations sur les produits'!$A$3:$H$10000,8,FALSE),"0")</f>
        <v>0</v>
      </c>
      <c r="P9352" s="33">
        <f t="shared" si="584"/>
        <v>0</v>
      </c>
      <c r="Q9352" s="31" t="str">
        <f t="shared" si="585"/>
        <v/>
      </c>
      <c r="R9352" s="32" t="str">
        <f>IFERROR(VLOOKUP($D9352,'Informations sur les produits'!$A$3:$B$15000,2,FALSE),"")</f>
        <v/>
      </c>
      <c r="V9352">
        <f t="shared" si="586"/>
        <v>0</v>
      </c>
      <c r="W9352">
        <f t="shared" si="587"/>
        <v>0</v>
      </c>
    </row>
    <row r="9353" spans="5:23" x14ac:dyDescent="0.25">
      <c r="E9353" s="4"/>
      <c r="F9353" s="4"/>
      <c r="G9353" s="33" t="str">
        <f>IFERROR(VLOOKUP($D9353,'Informations sur les produits'!$A$3:$H$10000,8,FALSE),"0")</f>
        <v>0</v>
      </c>
      <c r="K9353" s="4"/>
      <c r="L9353" s="33" t="str">
        <f>IFERROR(VLOOKUP($J9353,'Informations sur les produits'!$A$3:$H$10000,8,FALSE),"0")</f>
        <v>0</v>
      </c>
      <c r="N9353" s="8"/>
      <c r="O9353" s="33" t="str">
        <f>IFERROR(VLOOKUP($M9353,'Informations sur les produits'!$A$3:$H$10000,8,FALSE),"0")</f>
        <v>0</v>
      </c>
      <c r="P9353" s="33">
        <f t="shared" si="584"/>
        <v>0</v>
      </c>
      <c r="Q9353" s="31" t="str">
        <f t="shared" si="585"/>
        <v/>
      </c>
      <c r="R9353" s="32" t="str">
        <f>IFERROR(VLOOKUP($D9353,'Informations sur les produits'!$A$3:$B$15000,2,FALSE),"")</f>
        <v/>
      </c>
      <c r="V9353">
        <f t="shared" si="586"/>
        <v>0</v>
      </c>
      <c r="W9353">
        <f t="shared" si="587"/>
        <v>0</v>
      </c>
    </row>
    <row r="9354" spans="5:23" x14ac:dyDescent="0.25">
      <c r="E9354" s="4"/>
      <c r="F9354" s="4"/>
      <c r="G9354" s="33" t="str">
        <f>IFERROR(VLOOKUP($D9354,'Informations sur les produits'!$A$3:$H$10000,8,FALSE),"0")</f>
        <v>0</v>
      </c>
      <c r="K9354" s="4"/>
      <c r="L9354" s="33" t="str">
        <f>IFERROR(VLOOKUP($J9354,'Informations sur les produits'!$A$3:$H$10000,8,FALSE),"0")</f>
        <v>0</v>
      </c>
      <c r="N9354" s="8"/>
      <c r="O9354" s="33" t="str">
        <f>IFERROR(VLOOKUP($M9354,'Informations sur les produits'!$A$3:$H$10000,8,FALSE),"0")</f>
        <v>0</v>
      </c>
      <c r="P9354" s="33">
        <f t="shared" si="584"/>
        <v>0</v>
      </c>
      <c r="Q9354" s="31" t="str">
        <f t="shared" si="585"/>
        <v/>
      </c>
      <c r="R9354" s="32" t="str">
        <f>IFERROR(VLOOKUP($D9354,'Informations sur les produits'!$A$3:$B$15000,2,FALSE),"")</f>
        <v/>
      </c>
      <c r="V9354">
        <f t="shared" si="586"/>
        <v>0</v>
      </c>
      <c r="W9354">
        <f t="shared" si="587"/>
        <v>0</v>
      </c>
    </row>
    <row r="9355" spans="5:23" x14ac:dyDescent="0.25">
      <c r="E9355" s="4"/>
      <c r="F9355" s="4"/>
      <c r="G9355" s="33" t="str">
        <f>IFERROR(VLOOKUP($D9355,'Informations sur les produits'!$A$3:$H$10000,8,FALSE),"0")</f>
        <v>0</v>
      </c>
      <c r="K9355" s="4"/>
      <c r="L9355" s="33" t="str">
        <f>IFERROR(VLOOKUP($J9355,'Informations sur les produits'!$A$3:$H$10000,8,FALSE),"0")</f>
        <v>0</v>
      </c>
      <c r="N9355" s="8"/>
      <c r="O9355" s="33" t="str">
        <f>IFERROR(VLOOKUP($M9355,'Informations sur les produits'!$A$3:$H$10000,8,FALSE),"0")</f>
        <v>0</v>
      </c>
      <c r="P9355" s="33">
        <f t="shared" si="584"/>
        <v>0</v>
      </c>
      <c r="Q9355" s="31" t="str">
        <f t="shared" si="585"/>
        <v/>
      </c>
      <c r="R9355" s="32" t="str">
        <f>IFERROR(VLOOKUP($D9355,'Informations sur les produits'!$A$3:$B$15000,2,FALSE),"")</f>
        <v/>
      </c>
      <c r="V9355">
        <f t="shared" si="586"/>
        <v>0</v>
      </c>
      <c r="W9355">
        <f t="shared" si="587"/>
        <v>0</v>
      </c>
    </row>
    <row r="9356" spans="5:23" x14ac:dyDescent="0.25">
      <c r="E9356" s="4"/>
      <c r="F9356" s="4"/>
      <c r="G9356" s="33" t="str">
        <f>IFERROR(VLOOKUP($D9356,'Informations sur les produits'!$A$3:$H$10000,8,FALSE),"0")</f>
        <v>0</v>
      </c>
      <c r="K9356" s="4"/>
      <c r="L9356" s="33" t="str">
        <f>IFERROR(VLOOKUP($J9356,'Informations sur les produits'!$A$3:$H$10000,8,FALSE),"0")</f>
        <v>0</v>
      </c>
      <c r="N9356" s="8"/>
      <c r="O9356" s="33" t="str">
        <f>IFERROR(VLOOKUP($M9356,'Informations sur les produits'!$A$3:$H$10000,8,FALSE),"0")</f>
        <v>0</v>
      </c>
      <c r="P9356" s="33">
        <f t="shared" si="584"/>
        <v>0</v>
      </c>
      <c r="Q9356" s="31" t="str">
        <f t="shared" si="585"/>
        <v/>
      </c>
      <c r="R9356" s="32" t="str">
        <f>IFERROR(VLOOKUP($D9356,'Informations sur les produits'!$A$3:$B$15000,2,FALSE),"")</f>
        <v/>
      </c>
      <c r="V9356">
        <f t="shared" si="586"/>
        <v>0</v>
      </c>
      <c r="W9356">
        <f t="shared" si="587"/>
        <v>0</v>
      </c>
    </row>
    <row r="9357" spans="5:23" x14ac:dyDescent="0.25">
      <c r="E9357" s="4"/>
      <c r="F9357" s="4"/>
      <c r="G9357" s="33" t="str">
        <f>IFERROR(VLOOKUP($D9357,'Informations sur les produits'!$A$3:$H$10000,8,FALSE),"0")</f>
        <v>0</v>
      </c>
      <c r="K9357" s="4"/>
      <c r="L9357" s="33" t="str">
        <f>IFERROR(VLOOKUP($J9357,'Informations sur les produits'!$A$3:$H$10000,8,FALSE),"0")</f>
        <v>0</v>
      </c>
      <c r="N9357" s="8"/>
      <c r="O9357" s="33" t="str">
        <f>IFERROR(VLOOKUP($M9357,'Informations sur les produits'!$A$3:$H$10000,8,FALSE),"0")</f>
        <v>0</v>
      </c>
      <c r="P9357" s="33">
        <f t="shared" si="584"/>
        <v>0</v>
      </c>
      <c r="Q9357" s="31" t="str">
        <f t="shared" si="585"/>
        <v/>
      </c>
      <c r="R9357" s="32" t="str">
        <f>IFERROR(VLOOKUP($D9357,'Informations sur les produits'!$A$3:$B$15000,2,FALSE),"")</f>
        <v/>
      </c>
      <c r="V9357">
        <f t="shared" si="586"/>
        <v>0</v>
      </c>
      <c r="W9357">
        <f t="shared" si="587"/>
        <v>0</v>
      </c>
    </row>
    <row r="9358" spans="5:23" x14ac:dyDescent="0.25">
      <c r="E9358" s="4"/>
      <c r="F9358" s="4"/>
      <c r="G9358" s="33" t="str">
        <f>IFERROR(VLOOKUP($D9358,'Informations sur les produits'!$A$3:$H$10000,8,FALSE),"0")</f>
        <v>0</v>
      </c>
      <c r="K9358" s="4"/>
      <c r="L9358" s="33" t="str">
        <f>IFERROR(VLOOKUP($J9358,'Informations sur les produits'!$A$3:$H$10000,8,FALSE),"0")</f>
        <v>0</v>
      </c>
      <c r="N9358" s="8"/>
      <c r="O9358" s="33" t="str">
        <f>IFERROR(VLOOKUP($M9358,'Informations sur les produits'!$A$3:$H$10000,8,FALSE),"0")</f>
        <v>0</v>
      </c>
      <c r="P9358" s="33">
        <f t="shared" si="584"/>
        <v>0</v>
      </c>
      <c r="Q9358" s="31" t="str">
        <f t="shared" si="585"/>
        <v/>
      </c>
      <c r="R9358" s="32" t="str">
        <f>IFERROR(VLOOKUP($D9358,'Informations sur les produits'!$A$3:$B$15000,2,FALSE),"")</f>
        <v/>
      </c>
      <c r="V9358">
        <f t="shared" si="586"/>
        <v>0</v>
      </c>
      <c r="W9358">
        <f t="shared" si="587"/>
        <v>0</v>
      </c>
    </row>
    <row r="9359" spans="5:23" x14ac:dyDescent="0.25">
      <c r="E9359" s="4"/>
      <c r="F9359" s="4"/>
      <c r="G9359" s="33" t="str">
        <f>IFERROR(VLOOKUP($D9359,'Informations sur les produits'!$A$3:$H$10000,8,FALSE),"0")</f>
        <v>0</v>
      </c>
      <c r="K9359" s="4"/>
      <c r="L9359" s="33" t="str">
        <f>IFERROR(VLOOKUP($J9359,'Informations sur les produits'!$A$3:$H$10000,8,FALSE),"0")</f>
        <v>0</v>
      </c>
      <c r="N9359" s="8"/>
      <c r="O9359" s="33" t="str">
        <f>IFERROR(VLOOKUP($M9359,'Informations sur les produits'!$A$3:$H$10000,8,FALSE),"0")</f>
        <v>0</v>
      </c>
      <c r="P9359" s="33">
        <f t="shared" si="584"/>
        <v>0</v>
      </c>
      <c r="Q9359" s="31" t="str">
        <f t="shared" si="585"/>
        <v/>
      </c>
      <c r="R9359" s="32" t="str">
        <f>IFERROR(VLOOKUP($D9359,'Informations sur les produits'!$A$3:$B$15000,2,FALSE),"")</f>
        <v/>
      </c>
      <c r="V9359">
        <f t="shared" si="586"/>
        <v>0</v>
      </c>
      <c r="W9359">
        <f t="shared" si="587"/>
        <v>0</v>
      </c>
    </row>
    <row r="9360" spans="5:23" x14ac:dyDescent="0.25">
      <c r="E9360" s="4"/>
      <c r="F9360" s="4"/>
      <c r="G9360" s="33" t="str">
        <f>IFERROR(VLOOKUP($D9360,'Informations sur les produits'!$A$3:$H$10000,8,FALSE),"0")</f>
        <v>0</v>
      </c>
      <c r="K9360" s="4"/>
      <c r="L9360" s="33" t="str">
        <f>IFERROR(VLOOKUP($J9360,'Informations sur les produits'!$A$3:$H$10000,8,FALSE),"0")</f>
        <v>0</v>
      </c>
      <c r="N9360" s="8"/>
      <c r="O9360" s="33" t="str">
        <f>IFERROR(VLOOKUP($M9360,'Informations sur les produits'!$A$3:$H$10000,8,FALSE),"0")</f>
        <v>0</v>
      </c>
      <c r="P9360" s="33">
        <f t="shared" si="584"/>
        <v>0</v>
      </c>
      <c r="Q9360" s="31" t="str">
        <f t="shared" si="585"/>
        <v/>
      </c>
      <c r="R9360" s="32" t="str">
        <f>IFERROR(VLOOKUP($D9360,'Informations sur les produits'!$A$3:$B$15000,2,FALSE),"")</f>
        <v/>
      </c>
      <c r="V9360">
        <f t="shared" si="586"/>
        <v>0</v>
      </c>
      <c r="W9360">
        <f t="shared" si="587"/>
        <v>0</v>
      </c>
    </row>
    <row r="9361" spans="5:23" x14ac:dyDescent="0.25">
      <c r="E9361" s="4"/>
      <c r="F9361" s="4"/>
      <c r="G9361" s="33" t="str">
        <f>IFERROR(VLOOKUP($D9361,'Informations sur les produits'!$A$3:$H$10000,8,FALSE),"0")</f>
        <v>0</v>
      </c>
      <c r="K9361" s="4"/>
      <c r="L9361" s="33" t="str">
        <f>IFERROR(VLOOKUP($J9361,'Informations sur les produits'!$A$3:$H$10000,8,FALSE),"0")</f>
        <v>0</v>
      </c>
      <c r="N9361" s="8"/>
      <c r="O9361" s="33" t="str">
        <f>IFERROR(VLOOKUP($M9361,'Informations sur les produits'!$A$3:$H$10000,8,FALSE),"0")</f>
        <v>0</v>
      </c>
      <c r="P9361" s="33">
        <f t="shared" si="584"/>
        <v>0</v>
      </c>
      <c r="Q9361" s="31" t="str">
        <f t="shared" si="585"/>
        <v/>
      </c>
      <c r="R9361" s="32" t="str">
        <f>IFERROR(VLOOKUP($D9361,'Informations sur les produits'!$A$3:$B$15000,2,FALSE),"")</f>
        <v/>
      </c>
      <c r="V9361">
        <f t="shared" si="586"/>
        <v>0</v>
      </c>
      <c r="W9361">
        <f t="shared" si="587"/>
        <v>0</v>
      </c>
    </row>
    <row r="9362" spans="5:23" x14ac:dyDescent="0.25">
      <c r="E9362" s="4"/>
      <c r="F9362" s="4"/>
      <c r="G9362" s="33" t="str">
        <f>IFERROR(VLOOKUP($D9362,'Informations sur les produits'!$A$3:$H$10000,8,FALSE),"0")</f>
        <v>0</v>
      </c>
      <c r="K9362" s="4"/>
      <c r="L9362" s="33" t="str">
        <f>IFERROR(VLOOKUP($J9362,'Informations sur les produits'!$A$3:$H$10000,8,FALSE),"0")</f>
        <v>0</v>
      </c>
      <c r="N9362" s="8"/>
      <c r="O9362" s="33" t="str">
        <f>IFERROR(VLOOKUP($M9362,'Informations sur les produits'!$A$3:$H$10000,8,FALSE),"0")</f>
        <v>0</v>
      </c>
      <c r="P9362" s="33">
        <f t="shared" si="584"/>
        <v>0</v>
      </c>
      <c r="Q9362" s="31" t="str">
        <f t="shared" si="585"/>
        <v/>
      </c>
      <c r="R9362" s="32" t="str">
        <f>IFERROR(VLOOKUP($D9362,'Informations sur les produits'!$A$3:$B$15000,2,FALSE),"")</f>
        <v/>
      </c>
      <c r="V9362">
        <f t="shared" si="586"/>
        <v>0</v>
      </c>
      <c r="W9362">
        <f t="shared" si="587"/>
        <v>0</v>
      </c>
    </row>
    <row r="9363" spans="5:23" x14ac:dyDescent="0.25">
      <c r="E9363" s="4"/>
      <c r="F9363" s="4"/>
      <c r="G9363" s="33" t="str">
        <f>IFERROR(VLOOKUP($D9363,'Informations sur les produits'!$A$3:$H$10000,8,FALSE),"0")</f>
        <v>0</v>
      </c>
      <c r="K9363" s="4"/>
      <c r="L9363" s="33" t="str">
        <f>IFERROR(VLOOKUP($J9363,'Informations sur les produits'!$A$3:$H$10000,8,FALSE),"0")</f>
        <v>0</v>
      </c>
      <c r="N9363" s="8"/>
      <c r="O9363" s="33" t="str">
        <f>IFERROR(VLOOKUP($M9363,'Informations sur les produits'!$A$3:$H$10000,8,FALSE),"0")</f>
        <v>0</v>
      </c>
      <c r="P9363" s="33">
        <f t="shared" si="584"/>
        <v>0</v>
      </c>
      <c r="Q9363" s="31" t="str">
        <f t="shared" si="585"/>
        <v/>
      </c>
      <c r="R9363" s="32" t="str">
        <f>IFERROR(VLOOKUP($D9363,'Informations sur les produits'!$A$3:$B$15000,2,FALSE),"")</f>
        <v/>
      </c>
      <c r="V9363">
        <f t="shared" si="586"/>
        <v>0</v>
      </c>
      <c r="W9363">
        <f t="shared" si="587"/>
        <v>0</v>
      </c>
    </row>
    <row r="9364" spans="5:23" x14ac:dyDescent="0.25">
      <c r="E9364" s="4"/>
      <c r="F9364" s="4"/>
      <c r="G9364" s="33" t="str">
        <f>IFERROR(VLOOKUP($D9364,'Informations sur les produits'!$A$3:$H$10000,8,FALSE),"0")</f>
        <v>0</v>
      </c>
      <c r="K9364" s="4"/>
      <c r="L9364" s="33" t="str">
        <f>IFERROR(VLOOKUP($J9364,'Informations sur les produits'!$A$3:$H$10000,8,FALSE),"0")</f>
        <v>0</v>
      </c>
      <c r="N9364" s="8"/>
      <c r="O9364" s="33" t="str">
        <f>IFERROR(VLOOKUP($M9364,'Informations sur les produits'!$A$3:$H$10000,8,FALSE),"0")</f>
        <v>0</v>
      </c>
      <c r="P9364" s="33">
        <f t="shared" si="584"/>
        <v>0</v>
      </c>
      <c r="Q9364" s="31" t="str">
        <f t="shared" si="585"/>
        <v/>
      </c>
      <c r="R9364" s="32" t="str">
        <f>IFERROR(VLOOKUP($D9364,'Informations sur les produits'!$A$3:$B$15000,2,FALSE),"")</f>
        <v/>
      </c>
      <c r="V9364">
        <f t="shared" si="586"/>
        <v>0</v>
      </c>
      <c r="W9364">
        <f t="shared" si="587"/>
        <v>0</v>
      </c>
    </row>
    <row r="9365" spans="5:23" x14ac:dyDescent="0.25">
      <c r="E9365" s="4"/>
      <c r="F9365" s="4"/>
      <c r="G9365" s="33" t="str">
        <f>IFERROR(VLOOKUP($D9365,'Informations sur les produits'!$A$3:$H$10000,8,FALSE),"0")</f>
        <v>0</v>
      </c>
      <c r="K9365" s="4"/>
      <c r="L9365" s="33" t="str">
        <f>IFERROR(VLOOKUP($J9365,'Informations sur les produits'!$A$3:$H$10000,8,FALSE),"0")</f>
        <v>0</v>
      </c>
      <c r="N9365" s="8"/>
      <c r="O9365" s="33" t="str">
        <f>IFERROR(VLOOKUP($M9365,'Informations sur les produits'!$A$3:$H$10000,8,FALSE),"0")</f>
        <v>0</v>
      </c>
      <c r="P9365" s="33">
        <f t="shared" si="584"/>
        <v>0</v>
      </c>
      <c r="Q9365" s="31" t="str">
        <f t="shared" si="585"/>
        <v/>
      </c>
      <c r="R9365" s="32" t="str">
        <f>IFERROR(VLOOKUP($D9365,'Informations sur les produits'!$A$3:$B$15000,2,FALSE),"")</f>
        <v/>
      </c>
      <c r="V9365">
        <f t="shared" si="586"/>
        <v>0</v>
      </c>
      <c r="W9365">
        <f t="shared" si="587"/>
        <v>0</v>
      </c>
    </row>
    <row r="9366" spans="5:23" x14ac:dyDescent="0.25">
      <c r="E9366" s="4"/>
      <c r="F9366" s="4"/>
      <c r="G9366" s="33" t="str">
        <f>IFERROR(VLOOKUP($D9366,'Informations sur les produits'!$A$3:$H$10000,8,FALSE),"0")</f>
        <v>0</v>
      </c>
      <c r="K9366" s="4"/>
      <c r="L9366" s="33" t="str">
        <f>IFERROR(VLOOKUP($J9366,'Informations sur les produits'!$A$3:$H$10000,8,FALSE),"0")</f>
        <v>0</v>
      </c>
      <c r="N9366" s="8"/>
      <c r="O9366" s="33" t="str">
        <f>IFERROR(VLOOKUP($M9366,'Informations sur les produits'!$A$3:$H$10000,8,FALSE),"0")</f>
        <v>0</v>
      </c>
      <c r="P9366" s="33">
        <f t="shared" si="584"/>
        <v>0</v>
      </c>
      <c r="Q9366" s="31" t="str">
        <f t="shared" si="585"/>
        <v/>
      </c>
      <c r="R9366" s="32" t="str">
        <f>IFERROR(VLOOKUP($D9366,'Informations sur les produits'!$A$3:$B$15000,2,FALSE),"")</f>
        <v/>
      </c>
      <c r="V9366">
        <f t="shared" si="586"/>
        <v>0</v>
      </c>
      <c r="W9366">
        <f t="shared" si="587"/>
        <v>0</v>
      </c>
    </row>
    <row r="9367" spans="5:23" x14ac:dyDescent="0.25">
      <c r="E9367" s="4"/>
      <c r="F9367" s="4"/>
      <c r="G9367" s="33" t="str">
        <f>IFERROR(VLOOKUP($D9367,'Informations sur les produits'!$A$3:$H$10000,8,FALSE),"0")</f>
        <v>0</v>
      </c>
      <c r="K9367" s="4"/>
      <c r="L9367" s="33" t="str">
        <f>IFERROR(VLOOKUP($J9367,'Informations sur les produits'!$A$3:$H$10000,8,FALSE),"0")</f>
        <v>0</v>
      </c>
      <c r="N9367" s="8"/>
      <c r="O9367" s="33" t="str">
        <f>IFERROR(VLOOKUP($M9367,'Informations sur les produits'!$A$3:$H$10000,8,FALSE),"0")</f>
        <v>0</v>
      </c>
      <c r="P9367" s="33">
        <f t="shared" si="584"/>
        <v>0</v>
      </c>
      <c r="Q9367" s="31" t="str">
        <f t="shared" si="585"/>
        <v/>
      </c>
      <c r="R9367" s="32" t="str">
        <f>IFERROR(VLOOKUP($D9367,'Informations sur les produits'!$A$3:$B$15000,2,FALSE),"")</f>
        <v/>
      </c>
      <c r="V9367">
        <f t="shared" si="586"/>
        <v>0</v>
      </c>
      <c r="W9367">
        <f t="shared" si="587"/>
        <v>0</v>
      </c>
    </row>
    <row r="9368" spans="5:23" x14ac:dyDescent="0.25">
      <c r="E9368" s="4"/>
      <c r="F9368" s="4"/>
      <c r="G9368" s="33" t="str">
        <f>IFERROR(VLOOKUP($D9368,'Informations sur les produits'!$A$3:$H$10000,8,FALSE),"0")</f>
        <v>0</v>
      </c>
      <c r="K9368" s="4"/>
      <c r="L9368" s="33" t="str">
        <f>IFERROR(VLOOKUP($J9368,'Informations sur les produits'!$A$3:$H$10000,8,FALSE),"0")</f>
        <v>0</v>
      </c>
      <c r="N9368" s="8"/>
      <c r="O9368" s="33" t="str">
        <f>IFERROR(VLOOKUP($M9368,'Informations sur les produits'!$A$3:$H$10000,8,FALSE),"0")</f>
        <v>0</v>
      </c>
      <c r="P9368" s="33">
        <f t="shared" si="584"/>
        <v>0</v>
      </c>
      <c r="Q9368" s="31" t="str">
        <f t="shared" si="585"/>
        <v/>
      </c>
      <c r="R9368" s="32" t="str">
        <f>IFERROR(VLOOKUP($D9368,'Informations sur les produits'!$A$3:$B$15000,2,FALSE),"")</f>
        <v/>
      </c>
      <c r="V9368">
        <f t="shared" si="586"/>
        <v>0</v>
      </c>
      <c r="W9368">
        <f t="shared" si="587"/>
        <v>0</v>
      </c>
    </row>
    <row r="9369" spans="5:23" x14ac:dyDescent="0.25">
      <c r="E9369" s="4"/>
      <c r="F9369" s="4"/>
      <c r="G9369" s="33" t="str">
        <f>IFERROR(VLOOKUP($D9369,'Informations sur les produits'!$A$3:$H$10000,8,FALSE),"0")</f>
        <v>0</v>
      </c>
      <c r="K9369" s="4"/>
      <c r="L9369" s="33" t="str">
        <f>IFERROR(VLOOKUP($J9369,'Informations sur les produits'!$A$3:$H$10000,8,FALSE),"0")</f>
        <v>0</v>
      </c>
      <c r="N9369" s="8"/>
      <c r="O9369" s="33" t="str">
        <f>IFERROR(VLOOKUP($M9369,'Informations sur les produits'!$A$3:$H$10000,8,FALSE),"0")</f>
        <v>0</v>
      </c>
      <c r="P9369" s="33">
        <f t="shared" si="584"/>
        <v>0</v>
      </c>
      <c r="Q9369" s="31" t="str">
        <f t="shared" si="585"/>
        <v/>
      </c>
      <c r="R9369" s="32" t="str">
        <f>IFERROR(VLOOKUP($D9369,'Informations sur les produits'!$A$3:$B$15000,2,FALSE),"")</f>
        <v/>
      </c>
      <c r="V9369">
        <f t="shared" si="586"/>
        <v>0</v>
      </c>
      <c r="W9369">
        <f t="shared" si="587"/>
        <v>0</v>
      </c>
    </row>
    <row r="9370" spans="5:23" x14ac:dyDescent="0.25">
      <c r="E9370" s="4"/>
      <c r="F9370" s="4"/>
      <c r="G9370" s="33" t="str">
        <f>IFERROR(VLOOKUP($D9370,'Informations sur les produits'!$A$3:$H$10000,8,FALSE),"0")</f>
        <v>0</v>
      </c>
      <c r="K9370" s="4"/>
      <c r="L9370" s="33" t="str">
        <f>IFERROR(VLOOKUP($J9370,'Informations sur les produits'!$A$3:$H$10000,8,FALSE),"0")</f>
        <v>0</v>
      </c>
      <c r="N9370" s="8"/>
      <c r="O9370" s="33" t="str">
        <f>IFERROR(VLOOKUP($M9370,'Informations sur les produits'!$A$3:$H$10000,8,FALSE),"0")</f>
        <v>0</v>
      </c>
      <c r="P9370" s="33">
        <f t="shared" si="584"/>
        <v>0</v>
      </c>
      <c r="Q9370" s="31" t="str">
        <f t="shared" si="585"/>
        <v/>
      </c>
      <c r="R9370" s="32" t="str">
        <f>IFERROR(VLOOKUP($D9370,'Informations sur les produits'!$A$3:$B$15000,2,FALSE),"")</f>
        <v/>
      </c>
      <c r="V9370">
        <f t="shared" si="586"/>
        <v>0</v>
      </c>
      <c r="W9370">
        <f t="shared" si="587"/>
        <v>0</v>
      </c>
    </row>
    <row r="9371" spans="5:23" x14ac:dyDescent="0.25">
      <c r="E9371" s="4"/>
      <c r="F9371" s="4"/>
      <c r="G9371" s="33" t="str">
        <f>IFERROR(VLOOKUP($D9371,'Informations sur les produits'!$A$3:$H$10000,8,FALSE),"0")</f>
        <v>0</v>
      </c>
      <c r="K9371" s="4"/>
      <c r="L9371" s="33" t="str">
        <f>IFERROR(VLOOKUP($J9371,'Informations sur les produits'!$A$3:$H$10000,8,FALSE),"0")</f>
        <v>0</v>
      </c>
      <c r="N9371" s="8"/>
      <c r="O9371" s="33" t="str">
        <f>IFERROR(VLOOKUP($M9371,'Informations sur les produits'!$A$3:$H$10000,8,FALSE),"0")</f>
        <v>0</v>
      </c>
      <c r="P9371" s="33">
        <f t="shared" si="584"/>
        <v>0</v>
      </c>
      <c r="Q9371" s="31" t="str">
        <f t="shared" si="585"/>
        <v/>
      </c>
      <c r="R9371" s="32" t="str">
        <f>IFERROR(VLOOKUP($D9371,'Informations sur les produits'!$A$3:$B$15000,2,FALSE),"")</f>
        <v/>
      </c>
      <c r="V9371">
        <f t="shared" si="586"/>
        <v>0</v>
      </c>
      <c r="W9371">
        <f t="shared" si="587"/>
        <v>0</v>
      </c>
    </row>
    <row r="9372" spans="5:23" x14ac:dyDescent="0.25">
      <c r="E9372" s="4"/>
      <c r="F9372" s="4"/>
      <c r="G9372" s="33" t="str">
        <f>IFERROR(VLOOKUP($D9372,'Informations sur les produits'!$A$3:$H$10000,8,FALSE),"0")</f>
        <v>0</v>
      </c>
      <c r="K9372" s="4"/>
      <c r="L9372" s="33" t="str">
        <f>IFERROR(VLOOKUP($J9372,'Informations sur les produits'!$A$3:$H$10000,8,FALSE),"0")</f>
        <v>0</v>
      </c>
      <c r="N9372" s="8"/>
      <c r="O9372" s="33" t="str">
        <f>IFERROR(VLOOKUP($M9372,'Informations sur les produits'!$A$3:$H$10000,8,FALSE),"0")</f>
        <v>0</v>
      </c>
      <c r="P9372" s="33">
        <f t="shared" si="584"/>
        <v>0</v>
      </c>
      <c r="Q9372" s="31" t="str">
        <f t="shared" si="585"/>
        <v/>
      </c>
      <c r="R9372" s="32" t="str">
        <f>IFERROR(VLOOKUP($D9372,'Informations sur les produits'!$A$3:$B$15000,2,FALSE),"")</f>
        <v/>
      </c>
      <c r="V9372">
        <f t="shared" si="586"/>
        <v>0</v>
      </c>
      <c r="W9372">
        <f t="shared" si="587"/>
        <v>0</v>
      </c>
    </row>
    <row r="9373" spans="5:23" x14ac:dyDescent="0.25">
      <c r="E9373" s="4"/>
      <c r="F9373" s="4"/>
      <c r="G9373" s="33" t="str">
        <f>IFERROR(VLOOKUP($D9373,'Informations sur les produits'!$A$3:$H$10000,8,FALSE),"0")</f>
        <v>0</v>
      </c>
      <c r="K9373" s="4"/>
      <c r="L9373" s="33" t="str">
        <f>IFERROR(VLOOKUP($J9373,'Informations sur les produits'!$A$3:$H$10000,8,FALSE),"0")</f>
        <v>0</v>
      </c>
      <c r="N9373" s="8"/>
      <c r="O9373" s="33" t="str">
        <f>IFERROR(VLOOKUP($M9373,'Informations sur les produits'!$A$3:$H$10000,8,FALSE),"0")</f>
        <v>0</v>
      </c>
      <c r="P9373" s="33">
        <f t="shared" si="584"/>
        <v>0</v>
      </c>
      <c r="Q9373" s="31" t="str">
        <f t="shared" si="585"/>
        <v/>
      </c>
      <c r="R9373" s="32" t="str">
        <f>IFERROR(VLOOKUP($D9373,'Informations sur les produits'!$A$3:$B$15000,2,FALSE),"")</f>
        <v/>
      </c>
      <c r="V9373">
        <f t="shared" si="586"/>
        <v>0</v>
      </c>
      <c r="W9373">
        <f t="shared" si="587"/>
        <v>0</v>
      </c>
    </row>
    <row r="9374" spans="5:23" x14ac:dyDescent="0.25">
      <c r="E9374" s="4"/>
      <c r="F9374" s="4"/>
      <c r="G9374" s="33" t="str">
        <f>IFERROR(VLOOKUP($D9374,'Informations sur les produits'!$A$3:$H$10000,8,FALSE),"0")</f>
        <v>0</v>
      </c>
      <c r="K9374" s="4"/>
      <c r="L9374" s="33" t="str">
        <f>IFERROR(VLOOKUP($J9374,'Informations sur les produits'!$A$3:$H$10000,8,FALSE),"0")</f>
        <v>0</v>
      </c>
      <c r="N9374" s="8"/>
      <c r="O9374" s="33" t="str">
        <f>IFERROR(VLOOKUP($M9374,'Informations sur les produits'!$A$3:$H$10000,8,FALSE),"0")</f>
        <v>0</v>
      </c>
      <c r="P9374" s="33">
        <f t="shared" si="584"/>
        <v>0</v>
      </c>
      <c r="Q9374" s="31" t="str">
        <f t="shared" si="585"/>
        <v/>
      </c>
      <c r="R9374" s="32" t="str">
        <f>IFERROR(VLOOKUP($D9374,'Informations sur les produits'!$A$3:$B$15000,2,FALSE),"")</f>
        <v/>
      </c>
      <c r="V9374">
        <f t="shared" si="586"/>
        <v>0</v>
      </c>
      <c r="W9374">
        <f t="shared" si="587"/>
        <v>0</v>
      </c>
    </row>
    <row r="9375" spans="5:23" x14ac:dyDescent="0.25">
      <c r="E9375" s="4"/>
      <c r="F9375" s="4"/>
      <c r="G9375" s="33" t="str">
        <f>IFERROR(VLOOKUP($D9375,'Informations sur les produits'!$A$3:$H$10000,8,FALSE),"0")</f>
        <v>0</v>
      </c>
      <c r="K9375" s="4"/>
      <c r="L9375" s="33" t="str">
        <f>IFERROR(VLOOKUP($J9375,'Informations sur les produits'!$A$3:$H$10000,8,FALSE),"0")</f>
        <v>0</v>
      </c>
      <c r="N9375" s="8"/>
      <c r="O9375" s="33" t="str">
        <f>IFERROR(VLOOKUP($M9375,'Informations sur les produits'!$A$3:$H$10000,8,FALSE),"0")</f>
        <v>0</v>
      </c>
      <c r="P9375" s="33">
        <f t="shared" si="584"/>
        <v>0</v>
      </c>
      <c r="Q9375" s="31" t="str">
        <f t="shared" si="585"/>
        <v/>
      </c>
      <c r="R9375" s="32" t="str">
        <f>IFERROR(VLOOKUP($D9375,'Informations sur les produits'!$A$3:$B$15000,2,FALSE),"")</f>
        <v/>
      </c>
      <c r="V9375">
        <f t="shared" si="586"/>
        <v>0</v>
      </c>
      <c r="W9375">
        <f t="shared" si="587"/>
        <v>0</v>
      </c>
    </row>
    <row r="9376" spans="5:23" x14ac:dyDescent="0.25">
      <c r="E9376" s="4"/>
      <c r="F9376" s="4"/>
      <c r="G9376" s="33" t="str">
        <f>IFERROR(VLOOKUP($D9376,'Informations sur les produits'!$A$3:$H$10000,8,FALSE),"0")</f>
        <v>0</v>
      </c>
      <c r="K9376" s="4"/>
      <c r="L9376" s="33" t="str">
        <f>IFERROR(VLOOKUP($J9376,'Informations sur les produits'!$A$3:$H$10000,8,FALSE),"0")</f>
        <v>0</v>
      </c>
      <c r="N9376" s="8"/>
      <c r="O9376" s="33" t="str">
        <f>IFERROR(VLOOKUP($M9376,'Informations sur les produits'!$A$3:$H$10000,8,FALSE),"0")</f>
        <v>0</v>
      </c>
      <c r="P9376" s="33">
        <f t="shared" si="584"/>
        <v>0</v>
      </c>
      <c r="Q9376" s="31" t="str">
        <f t="shared" si="585"/>
        <v/>
      </c>
      <c r="R9376" s="32" t="str">
        <f>IFERROR(VLOOKUP($D9376,'Informations sur les produits'!$A$3:$B$15000,2,FALSE),"")</f>
        <v/>
      </c>
      <c r="V9376">
        <f t="shared" si="586"/>
        <v>0</v>
      </c>
      <c r="W9376">
        <f t="shared" si="587"/>
        <v>0</v>
      </c>
    </row>
    <row r="9377" spans="5:23" x14ac:dyDescent="0.25">
      <c r="E9377" s="4"/>
      <c r="F9377" s="4"/>
      <c r="G9377" s="33" t="str">
        <f>IFERROR(VLOOKUP($D9377,'Informations sur les produits'!$A$3:$H$10000,8,FALSE),"0")</f>
        <v>0</v>
      </c>
      <c r="K9377" s="4"/>
      <c r="L9377" s="33" t="str">
        <f>IFERROR(VLOOKUP($J9377,'Informations sur les produits'!$A$3:$H$10000,8,FALSE),"0")</f>
        <v>0</v>
      </c>
      <c r="N9377" s="8"/>
      <c r="O9377" s="33" t="str">
        <f>IFERROR(VLOOKUP($M9377,'Informations sur les produits'!$A$3:$H$10000,8,FALSE),"0")</f>
        <v>0</v>
      </c>
      <c r="P9377" s="33">
        <f t="shared" si="584"/>
        <v>0</v>
      </c>
      <c r="Q9377" s="31" t="str">
        <f t="shared" si="585"/>
        <v/>
      </c>
      <c r="R9377" s="32" t="str">
        <f>IFERROR(VLOOKUP($D9377,'Informations sur les produits'!$A$3:$B$15000,2,FALSE),"")</f>
        <v/>
      </c>
      <c r="V9377">
        <f t="shared" si="586"/>
        <v>0</v>
      </c>
      <c r="W9377">
        <f t="shared" si="587"/>
        <v>0</v>
      </c>
    </row>
    <row r="9378" spans="5:23" x14ac:dyDescent="0.25">
      <c r="E9378" s="4"/>
      <c r="F9378" s="4"/>
      <c r="G9378" s="33" t="str">
        <f>IFERROR(VLOOKUP($D9378,'Informations sur les produits'!$A$3:$H$10000,8,FALSE),"0")</f>
        <v>0</v>
      </c>
      <c r="K9378" s="4"/>
      <c r="L9378" s="33" t="str">
        <f>IFERROR(VLOOKUP($J9378,'Informations sur les produits'!$A$3:$H$10000,8,FALSE),"0")</f>
        <v>0</v>
      </c>
      <c r="N9378" s="8"/>
      <c r="O9378" s="33" t="str">
        <f>IFERROR(VLOOKUP($M9378,'Informations sur les produits'!$A$3:$H$10000,8,FALSE),"0")</f>
        <v>0</v>
      </c>
      <c r="P9378" s="33">
        <f t="shared" si="584"/>
        <v>0</v>
      </c>
      <c r="Q9378" s="31" t="str">
        <f t="shared" si="585"/>
        <v/>
      </c>
      <c r="R9378" s="32" t="str">
        <f>IFERROR(VLOOKUP($D9378,'Informations sur les produits'!$A$3:$B$15000,2,FALSE),"")</f>
        <v/>
      </c>
      <c r="V9378">
        <f t="shared" si="586"/>
        <v>0</v>
      </c>
      <c r="W9378">
        <f t="shared" si="587"/>
        <v>0</v>
      </c>
    </row>
    <row r="9379" spans="5:23" x14ac:dyDescent="0.25">
      <c r="E9379" s="4"/>
      <c r="F9379" s="4"/>
      <c r="G9379" s="33" t="str">
        <f>IFERROR(VLOOKUP($D9379,'Informations sur les produits'!$A$3:$H$10000,8,FALSE),"0")</f>
        <v>0</v>
      </c>
      <c r="K9379" s="4"/>
      <c r="L9379" s="33" t="str">
        <f>IFERROR(VLOOKUP($J9379,'Informations sur les produits'!$A$3:$H$10000,8,FALSE),"0")</f>
        <v>0</v>
      </c>
      <c r="N9379" s="8"/>
      <c r="O9379" s="33" t="str">
        <f>IFERROR(VLOOKUP($M9379,'Informations sur les produits'!$A$3:$H$10000,8,FALSE),"0")</f>
        <v>0</v>
      </c>
      <c r="P9379" s="33">
        <f t="shared" si="584"/>
        <v>0</v>
      </c>
      <c r="Q9379" s="31" t="str">
        <f t="shared" si="585"/>
        <v/>
      </c>
      <c r="R9379" s="32" t="str">
        <f>IFERROR(VLOOKUP($D9379,'Informations sur les produits'!$A$3:$B$15000,2,FALSE),"")</f>
        <v/>
      </c>
      <c r="V9379">
        <f t="shared" si="586"/>
        <v>0</v>
      </c>
      <c r="W9379">
        <f t="shared" si="587"/>
        <v>0</v>
      </c>
    </row>
    <row r="9380" spans="5:23" x14ac:dyDescent="0.25">
      <c r="E9380" s="4"/>
      <c r="F9380" s="4"/>
      <c r="G9380" s="33" t="str">
        <f>IFERROR(VLOOKUP($D9380,'Informations sur les produits'!$A$3:$H$10000,8,FALSE),"0")</f>
        <v>0</v>
      </c>
      <c r="K9380" s="4"/>
      <c r="L9380" s="33" t="str">
        <f>IFERROR(VLOOKUP($J9380,'Informations sur les produits'!$A$3:$H$10000,8,FALSE),"0")</f>
        <v>0</v>
      </c>
      <c r="N9380" s="8"/>
      <c r="O9380" s="33" t="str">
        <f>IFERROR(VLOOKUP($M9380,'Informations sur les produits'!$A$3:$H$10000,8,FALSE),"0")</f>
        <v>0</v>
      </c>
      <c r="P9380" s="33">
        <f t="shared" si="584"/>
        <v>0</v>
      </c>
      <c r="Q9380" s="31" t="str">
        <f t="shared" si="585"/>
        <v/>
      </c>
      <c r="R9380" s="32" t="str">
        <f>IFERROR(VLOOKUP($D9380,'Informations sur les produits'!$A$3:$B$15000,2,FALSE),"")</f>
        <v/>
      </c>
      <c r="V9380">
        <f t="shared" si="586"/>
        <v>0</v>
      </c>
      <c r="W9380">
        <f t="shared" si="587"/>
        <v>0</v>
      </c>
    </row>
    <row r="9381" spans="5:23" x14ac:dyDescent="0.25">
      <c r="E9381" s="4"/>
      <c r="F9381" s="4"/>
      <c r="G9381" s="33" t="str">
        <f>IFERROR(VLOOKUP($D9381,'Informations sur les produits'!$A$3:$H$10000,8,FALSE),"0")</f>
        <v>0</v>
      </c>
      <c r="K9381" s="4"/>
      <c r="L9381" s="33" t="str">
        <f>IFERROR(VLOOKUP($J9381,'Informations sur les produits'!$A$3:$H$10000,8,FALSE),"0")</f>
        <v>0</v>
      </c>
      <c r="N9381" s="8"/>
      <c r="O9381" s="33" t="str">
        <f>IFERROR(VLOOKUP($M9381,'Informations sur les produits'!$A$3:$H$10000,8,FALSE),"0")</f>
        <v>0</v>
      </c>
      <c r="P9381" s="33">
        <f t="shared" si="584"/>
        <v>0</v>
      </c>
      <c r="Q9381" s="31" t="str">
        <f t="shared" si="585"/>
        <v/>
      </c>
      <c r="R9381" s="32" t="str">
        <f>IFERROR(VLOOKUP($D9381,'Informations sur les produits'!$A$3:$B$15000,2,FALSE),"")</f>
        <v/>
      </c>
      <c r="V9381">
        <f t="shared" si="586"/>
        <v>0</v>
      </c>
      <c r="W9381">
        <f t="shared" si="587"/>
        <v>0</v>
      </c>
    </row>
    <row r="9382" spans="5:23" x14ac:dyDescent="0.25">
      <c r="E9382" s="4"/>
      <c r="F9382" s="4"/>
      <c r="G9382" s="33" t="str">
        <f>IFERROR(VLOOKUP($D9382,'Informations sur les produits'!$A$3:$H$10000,8,FALSE),"0")</f>
        <v>0</v>
      </c>
      <c r="K9382" s="4"/>
      <c r="L9382" s="33" t="str">
        <f>IFERROR(VLOOKUP($J9382,'Informations sur les produits'!$A$3:$H$10000,8,FALSE),"0")</f>
        <v>0</v>
      </c>
      <c r="N9382" s="8"/>
      <c r="O9382" s="33" t="str">
        <f>IFERROR(VLOOKUP($M9382,'Informations sur les produits'!$A$3:$H$10000,8,FALSE),"0")</f>
        <v>0</v>
      </c>
      <c r="P9382" s="33">
        <f t="shared" si="584"/>
        <v>0</v>
      </c>
      <c r="Q9382" s="31" t="str">
        <f t="shared" si="585"/>
        <v/>
      </c>
      <c r="R9382" s="32" t="str">
        <f>IFERROR(VLOOKUP($D9382,'Informations sur les produits'!$A$3:$B$15000,2,FALSE),"")</f>
        <v/>
      </c>
      <c r="V9382">
        <f t="shared" si="586"/>
        <v>0</v>
      </c>
      <c r="W9382">
        <f t="shared" si="587"/>
        <v>0</v>
      </c>
    </row>
    <row r="9383" spans="5:23" x14ac:dyDescent="0.25">
      <c r="E9383" s="4"/>
      <c r="F9383" s="4"/>
      <c r="G9383" s="33" t="str">
        <f>IFERROR(VLOOKUP($D9383,'Informations sur les produits'!$A$3:$H$10000,8,FALSE),"0")</f>
        <v>0</v>
      </c>
      <c r="K9383" s="4"/>
      <c r="L9383" s="33" t="str">
        <f>IFERROR(VLOOKUP($J9383,'Informations sur les produits'!$A$3:$H$10000,8,FALSE),"0")</f>
        <v>0</v>
      </c>
      <c r="N9383" s="8"/>
      <c r="O9383" s="33" t="str">
        <f>IFERROR(VLOOKUP($M9383,'Informations sur les produits'!$A$3:$H$10000,8,FALSE),"0")</f>
        <v>0</v>
      </c>
      <c r="P9383" s="33">
        <f t="shared" si="584"/>
        <v>0</v>
      </c>
      <c r="Q9383" s="31" t="str">
        <f t="shared" si="585"/>
        <v/>
      </c>
      <c r="R9383" s="32" t="str">
        <f>IFERROR(VLOOKUP($D9383,'Informations sur les produits'!$A$3:$B$15000,2,FALSE),"")</f>
        <v/>
      </c>
      <c r="V9383">
        <f t="shared" si="586"/>
        <v>0</v>
      </c>
      <c r="W9383">
        <f t="shared" si="587"/>
        <v>0</v>
      </c>
    </row>
    <row r="9384" spans="5:23" x14ac:dyDescent="0.25">
      <c r="E9384" s="4"/>
      <c r="F9384" s="4"/>
      <c r="G9384" s="33" t="str">
        <f>IFERROR(VLOOKUP($D9384,'Informations sur les produits'!$A$3:$H$10000,8,FALSE),"0")</f>
        <v>0</v>
      </c>
      <c r="K9384" s="4"/>
      <c r="L9384" s="33" t="str">
        <f>IFERROR(VLOOKUP($J9384,'Informations sur les produits'!$A$3:$H$10000,8,FALSE),"0")</f>
        <v>0</v>
      </c>
      <c r="N9384" s="8"/>
      <c r="O9384" s="33" t="str">
        <f>IFERROR(VLOOKUP($M9384,'Informations sur les produits'!$A$3:$H$10000,8,FALSE),"0")</f>
        <v>0</v>
      </c>
      <c r="P9384" s="33">
        <f t="shared" si="584"/>
        <v>0</v>
      </c>
      <c r="Q9384" s="31" t="str">
        <f t="shared" si="585"/>
        <v/>
      </c>
      <c r="R9384" s="32" t="str">
        <f>IFERROR(VLOOKUP($D9384,'Informations sur les produits'!$A$3:$B$15000,2,FALSE),"")</f>
        <v/>
      </c>
      <c r="V9384">
        <f t="shared" si="586"/>
        <v>0</v>
      </c>
      <c r="W9384">
        <f t="shared" si="587"/>
        <v>0</v>
      </c>
    </row>
    <row r="9385" spans="5:23" x14ac:dyDescent="0.25">
      <c r="E9385" s="4"/>
      <c r="F9385" s="4"/>
      <c r="G9385" s="33" t="str">
        <f>IFERROR(VLOOKUP($D9385,'Informations sur les produits'!$A$3:$H$10000,8,FALSE),"0")</f>
        <v>0</v>
      </c>
      <c r="K9385" s="4"/>
      <c r="L9385" s="33" t="str">
        <f>IFERROR(VLOOKUP($J9385,'Informations sur les produits'!$A$3:$H$10000,8,FALSE),"0")</f>
        <v>0</v>
      </c>
      <c r="N9385" s="8"/>
      <c r="O9385" s="33" t="str">
        <f>IFERROR(VLOOKUP($M9385,'Informations sur les produits'!$A$3:$H$10000,8,FALSE),"0")</f>
        <v>0</v>
      </c>
      <c r="P9385" s="33">
        <f t="shared" si="584"/>
        <v>0</v>
      </c>
      <c r="Q9385" s="31" t="str">
        <f t="shared" si="585"/>
        <v/>
      </c>
      <c r="R9385" s="32" t="str">
        <f>IFERROR(VLOOKUP($D9385,'Informations sur les produits'!$A$3:$B$15000,2,FALSE),"")</f>
        <v/>
      </c>
      <c r="V9385">
        <f t="shared" si="586"/>
        <v>0</v>
      </c>
      <c r="W9385">
        <f t="shared" si="587"/>
        <v>0</v>
      </c>
    </row>
    <row r="9386" spans="5:23" x14ac:dyDescent="0.25">
      <c r="E9386" s="4"/>
      <c r="F9386" s="4"/>
      <c r="G9386" s="33" t="str">
        <f>IFERROR(VLOOKUP($D9386,'Informations sur les produits'!$A$3:$H$10000,8,FALSE),"0")</f>
        <v>0</v>
      </c>
      <c r="K9386" s="4"/>
      <c r="L9386" s="33" t="str">
        <f>IFERROR(VLOOKUP($J9386,'Informations sur les produits'!$A$3:$H$10000,8,FALSE),"0")</f>
        <v>0</v>
      </c>
      <c r="N9386" s="8"/>
      <c r="O9386" s="33" t="str">
        <f>IFERROR(VLOOKUP($M9386,'Informations sur les produits'!$A$3:$H$10000,8,FALSE),"0")</f>
        <v>0</v>
      </c>
      <c r="P9386" s="33">
        <f t="shared" si="584"/>
        <v>0</v>
      </c>
      <c r="Q9386" s="31" t="str">
        <f t="shared" si="585"/>
        <v/>
      </c>
      <c r="R9386" s="32" t="str">
        <f>IFERROR(VLOOKUP($D9386,'Informations sur les produits'!$A$3:$B$15000,2,FALSE),"")</f>
        <v/>
      </c>
      <c r="V9386">
        <f t="shared" si="586"/>
        <v>0</v>
      </c>
      <c r="W9386">
        <f t="shared" si="587"/>
        <v>0</v>
      </c>
    </row>
    <row r="9387" spans="5:23" x14ac:dyDescent="0.25">
      <c r="E9387" s="4"/>
      <c r="F9387" s="4"/>
      <c r="G9387" s="33" t="str">
        <f>IFERROR(VLOOKUP($D9387,'Informations sur les produits'!$A$3:$H$10000,8,FALSE),"0")</f>
        <v>0</v>
      </c>
      <c r="K9387" s="4"/>
      <c r="L9387" s="33" t="str">
        <f>IFERROR(VLOOKUP($J9387,'Informations sur les produits'!$A$3:$H$10000,8,FALSE),"0")</f>
        <v>0</v>
      </c>
      <c r="N9387" s="8"/>
      <c r="O9387" s="33" t="str">
        <f>IFERROR(VLOOKUP($M9387,'Informations sur les produits'!$A$3:$H$10000,8,FALSE),"0")</f>
        <v>0</v>
      </c>
      <c r="P9387" s="33">
        <f t="shared" si="584"/>
        <v>0</v>
      </c>
      <c r="Q9387" s="31" t="str">
        <f t="shared" si="585"/>
        <v/>
      </c>
      <c r="R9387" s="32" t="str">
        <f>IFERROR(VLOOKUP($D9387,'Informations sur les produits'!$A$3:$B$15000,2,FALSE),"")</f>
        <v/>
      </c>
      <c r="V9387">
        <f t="shared" si="586"/>
        <v>0</v>
      </c>
      <c r="W9387">
        <f t="shared" si="587"/>
        <v>0</v>
      </c>
    </row>
    <row r="9388" spans="5:23" x14ac:dyDescent="0.25">
      <c r="E9388" s="4"/>
      <c r="F9388" s="4"/>
      <c r="G9388" s="33" t="str">
        <f>IFERROR(VLOOKUP($D9388,'Informations sur les produits'!$A$3:$H$10000,8,FALSE),"0")</f>
        <v>0</v>
      </c>
      <c r="K9388" s="4"/>
      <c r="L9388" s="33" t="str">
        <f>IFERROR(VLOOKUP($J9388,'Informations sur les produits'!$A$3:$H$10000,8,FALSE),"0")</f>
        <v>0</v>
      </c>
      <c r="N9388" s="8"/>
      <c r="O9388" s="33" t="str">
        <f>IFERROR(VLOOKUP($M9388,'Informations sur les produits'!$A$3:$H$10000,8,FALSE),"0")</f>
        <v>0</v>
      </c>
      <c r="P9388" s="33">
        <f t="shared" si="584"/>
        <v>0</v>
      </c>
      <c r="Q9388" s="31" t="str">
        <f t="shared" si="585"/>
        <v/>
      </c>
      <c r="R9388" s="32" t="str">
        <f>IFERROR(VLOOKUP($D9388,'Informations sur les produits'!$A$3:$B$15000,2,FALSE),"")</f>
        <v/>
      </c>
      <c r="V9388">
        <f t="shared" si="586"/>
        <v>0</v>
      </c>
      <c r="W9388">
        <f t="shared" si="587"/>
        <v>0</v>
      </c>
    </row>
    <row r="9389" spans="5:23" x14ac:dyDescent="0.25">
      <c r="E9389" s="4"/>
      <c r="F9389" s="4"/>
      <c r="G9389" s="33" t="str">
        <f>IFERROR(VLOOKUP($D9389,'Informations sur les produits'!$A$3:$H$10000,8,FALSE),"0")</f>
        <v>0</v>
      </c>
      <c r="K9389" s="4"/>
      <c r="L9389" s="33" t="str">
        <f>IFERROR(VLOOKUP($J9389,'Informations sur les produits'!$A$3:$H$10000,8,FALSE),"0")</f>
        <v>0</v>
      </c>
      <c r="N9389" s="8"/>
      <c r="O9389" s="33" t="str">
        <f>IFERROR(VLOOKUP($M9389,'Informations sur les produits'!$A$3:$H$10000,8,FALSE),"0")</f>
        <v>0</v>
      </c>
      <c r="P9389" s="33">
        <f t="shared" si="584"/>
        <v>0</v>
      </c>
      <c r="Q9389" s="31" t="str">
        <f t="shared" si="585"/>
        <v/>
      </c>
      <c r="R9389" s="32" t="str">
        <f>IFERROR(VLOOKUP($D9389,'Informations sur les produits'!$A$3:$B$15000,2,FALSE),"")</f>
        <v/>
      </c>
      <c r="V9389">
        <f t="shared" si="586"/>
        <v>0</v>
      </c>
      <c r="W9389">
        <f t="shared" si="587"/>
        <v>0</v>
      </c>
    </row>
    <row r="9390" spans="5:23" x14ac:dyDescent="0.25">
      <c r="E9390" s="4"/>
      <c r="F9390" s="4"/>
      <c r="G9390" s="33" t="str">
        <f>IFERROR(VLOOKUP($D9390,'Informations sur les produits'!$A$3:$H$10000,8,FALSE),"0")</f>
        <v>0</v>
      </c>
      <c r="K9390" s="4"/>
      <c r="L9390" s="33" t="str">
        <f>IFERROR(VLOOKUP($J9390,'Informations sur les produits'!$A$3:$H$10000,8,FALSE),"0")</f>
        <v>0</v>
      </c>
      <c r="N9390" s="8"/>
      <c r="O9390" s="33" t="str">
        <f>IFERROR(VLOOKUP($M9390,'Informations sur les produits'!$A$3:$H$10000,8,FALSE),"0")</f>
        <v>0</v>
      </c>
      <c r="P9390" s="33">
        <f t="shared" si="584"/>
        <v>0</v>
      </c>
      <c r="Q9390" s="31" t="str">
        <f t="shared" si="585"/>
        <v/>
      </c>
      <c r="R9390" s="32" t="str">
        <f>IFERROR(VLOOKUP($D9390,'Informations sur les produits'!$A$3:$B$15000,2,FALSE),"")</f>
        <v/>
      </c>
      <c r="V9390">
        <f t="shared" si="586"/>
        <v>0</v>
      </c>
      <c r="W9390">
        <f t="shared" si="587"/>
        <v>0</v>
      </c>
    </row>
    <row r="9391" spans="5:23" x14ac:dyDescent="0.25">
      <c r="E9391" s="4"/>
      <c r="F9391" s="4"/>
      <c r="G9391" s="33" t="str">
        <f>IFERROR(VLOOKUP($D9391,'Informations sur les produits'!$A$3:$H$10000,8,FALSE),"0")</f>
        <v>0</v>
      </c>
      <c r="K9391" s="4"/>
      <c r="L9391" s="33" t="str">
        <f>IFERROR(VLOOKUP($J9391,'Informations sur les produits'!$A$3:$H$10000,8,FALSE),"0")</f>
        <v>0</v>
      </c>
      <c r="N9391" s="8"/>
      <c r="O9391" s="33" t="str">
        <f>IFERROR(VLOOKUP($M9391,'Informations sur les produits'!$A$3:$H$10000,8,FALSE),"0")</f>
        <v>0</v>
      </c>
      <c r="P9391" s="33">
        <f t="shared" si="584"/>
        <v>0</v>
      </c>
      <c r="Q9391" s="31" t="str">
        <f t="shared" si="585"/>
        <v/>
      </c>
      <c r="R9391" s="32" t="str">
        <f>IFERROR(VLOOKUP($D9391,'Informations sur les produits'!$A$3:$B$15000,2,FALSE),"")</f>
        <v/>
      </c>
      <c r="V9391">
        <f t="shared" si="586"/>
        <v>0</v>
      </c>
      <c r="W9391">
        <f t="shared" si="587"/>
        <v>0</v>
      </c>
    </row>
    <row r="9392" spans="5:23" x14ac:dyDescent="0.25">
      <c r="E9392" s="4"/>
      <c r="F9392" s="4"/>
      <c r="G9392" s="33" t="str">
        <f>IFERROR(VLOOKUP($D9392,'Informations sur les produits'!$A$3:$H$10000,8,FALSE),"0")</f>
        <v>0</v>
      </c>
      <c r="K9392" s="4"/>
      <c r="L9392" s="33" t="str">
        <f>IFERROR(VLOOKUP($J9392,'Informations sur les produits'!$A$3:$H$10000,8,FALSE),"0")</f>
        <v>0</v>
      </c>
      <c r="N9392" s="8"/>
      <c r="O9392" s="33" t="str">
        <f>IFERROR(VLOOKUP($M9392,'Informations sur les produits'!$A$3:$H$10000,8,FALSE),"0")</f>
        <v>0</v>
      </c>
      <c r="P9392" s="33">
        <f t="shared" si="584"/>
        <v>0</v>
      </c>
      <c r="Q9392" s="31" t="str">
        <f t="shared" si="585"/>
        <v/>
      </c>
      <c r="R9392" s="32" t="str">
        <f>IFERROR(VLOOKUP($D9392,'Informations sur les produits'!$A$3:$B$15000,2,FALSE),"")</f>
        <v/>
      </c>
      <c r="V9392">
        <f t="shared" si="586"/>
        <v>0</v>
      </c>
      <c r="W9392">
        <f t="shared" si="587"/>
        <v>0</v>
      </c>
    </row>
    <row r="9393" spans="5:23" x14ac:dyDescent="0.25">
      <c r="E9393" s="4"/>
      <c r="F9393" s="4"/>
      <c r="G9393" s="33" t="str">
        <f>IFERROR(VLOOKUP($D9393,'Informations sur les produits'!$A$3:$H$10000,8,FALSE),"0")</f>
        <v>0</v>
      </c>
      <c r="K9393" s="4"/>
      <c r="L9393" s="33" t="str">
        <f>IFERROR(VLOOKUP($J9393,'Informations sur les produits'!$A$3:$H$10000,8,FALSE),"0")</f>
        <v>0</v>
      </c>
      <c r="N9393" s="8"/>
      <c r="O9393" s="33" t="str">
        <f>IFERROR(VLOOKUP($M9393,'Informations sur les produits'!$A$3:$H$10000,8,FALSE),"0")</f>
        <v>0</v>
      </c>
      <c r="P9393" s="33">
        <f t="shared" si="584"/>
        <v>0</v>
      </c>
      <c r="Q9393" s="31" t="str">
        <f t="shared" si="585"/>
        <v/>
      </c>
      <c r="R9393" s="32" t="str">
        <f>IFERROR(VLOOKUP($D9393,'Informations sur les produits'!$A$3:$B$15000,2,FALSE),"")</f>
        <v/>
      </c>
      <c r="V9393">
        <f t="shared" si="586"/>
        <v>0</v>
      </c>
      <c r="W9393">
        <f t="shared" si="587"/>
        <v>0</v>
      </c>
    </row>
    <row r="9394" spans="5:23" x14ac:dyDescent="0.25">
      <c r="E9394" s="4"/>
      <c r="F9394" s="4"/>
      <c r="G9394" s="33" t="str">
        <f>IFERROR(VLOOKUP($D9394,'Informations sur les produits'!$A$3:$H$10000,8,FALSE),"0")</f>
        <v>0</v>
      </c>
      <c r="K9394" s="4"/>
      <c r="L9394" s="33" t="str">
        <f>IFERROR(VLOOKUP($J9394,'Informations sur les produits'!$A$3:$H$10000,8,FALSE),"0")</f>
        <v>0</v>
      </c>
      <c r="N9394" s="8"/>
      <c r="O9394" s="33" t="str">
        <f>IFERROR(VLOOKUP($M9394,'Informations sur les produits'!$A$3:$H$10000,8,FALSE),"0")</f>
        <v>0</v>
      </c>
      <c r="P9394" s="33">
        <f t="shared" si="584"/>
        <v>0</v>
      </c>
      <c r="Q9394" s="31" t="str">
        <f t="shared" si="585"/>
        <v/>
      </c>
      <c r="R9394" s="32" t="str">
        <f>IFERROR(VLOOKUP($D9394,'Informations sur les produits'!$A$3:$B$15000,2,FALSE),"")</f>
        <v/>
      </c>
      <c r="V9394">
        <f t="shared" si="586"/>
        <v>0</v>
      </c>
      <c r="W9394">
        <f t="shared" si="587"/>
        <v>0</v>
      </c>
    </row>
    <row r="9395" spans="5:23" x14ac:dyDescent="0.25">
      <c r="E9395" s="4"/>
      <c r="F9395" s="4"/>
      <c r="G9395" s="33" t="str">
        <f>IFERROR(VLOOKUP($D9395,'Informations sur les produits'!$A$3:$H$10000,8,FALSE),"0")</f>
        <v>0</v>
      </c>
      <c r="K9395" s="4"/>
      <c r="L9395" s="33" t="str">
        <f>IFERROR(VLOOKUP($J9395,'Informations sur les produits'!$A$3:$H$10000,8,FALSE),"0")</f>
        <v>0</v>
      </c>
      <c r="N9395" s="8"/>
      <c r="O9395" s="33" t="str">
        <f>IFERROR(VLOOKUP($M9395,'Informations sur les produits'!$A$3:$H$10000,8,FALSE),"0")</f>
        <v>0</v>
      </c>
      <c r="P9395" s="33">
        <f t="shared" si="584"/>
        <v>0</v>
      </c>
      <c r="Q9395" s="31" t="str">
        <f t="shared" si="585"/>
        <v/>
      </c>
      <c r="R9395" s="32" t="str">
        <f>IFERROR(VLOOKUP($D9395,'Informations sur les produits'!$A$3:$B$15000,2,FALSE),"")</f>
        <v/>
      </c>
      <c r="V9395">
        <f t="shared" si="586"/>
        <v>0</v>
      </c>
      <c r="W9395">
        <f t="shared" si="587"/>
        <v>0</v>
      </c>
    </row>
    <row r="9396" spans="5:23" x14ac:dyDescent="0.25">
      <c r="E9396" s="4"/>
      <c r="F9396" s="4"/>
      <c r="G9396" s="33" t="str">
        <f>IFERROR(VLOOKUP($D9396,'Informations sur les produits'!$A$3:$H$10000,8,FALSE),"0")</f>
        <v>0</v>
      </c>
      <c r="K9396" s="4"/>
      <c r="L9396" s="33" t="str">
        <f>IFERROR(VLOOKUP($J9396,'Informations sur les produits'!$A$3:$H$10000,8,FALSE),"0")</f>
        <v>0</v>
      </c>
      <c r="N9396" s="8"/>
      <c r="O9396" s="33" t="str">
        <f>IFERROR(VLOOKUP($M9396,'Informations sur les produits'!$A$3:$H$10000,8,FALSE),"0")</f>
        <v>0</v>
      </c>
      <c r="P9396" s="33">
        <f t="shared" si="584"/>
        <v>0</v>
      </c>
      <c r="Q9396" s="31" t="str">
        <f t="shared" si="585"/>
        <v/>
      </c>
      <c r="R9396" s="32" t="str">
        <f>IFERROR(VLOOKUP($D9396,'Informations sur les produits'!$A$3:$B$15000,2,FALSE),"")</f>
        <v/>
      </c>
      <c r="V9396">
        <f t="shared" si="586"/>
        <v>0</v>
      </c>
      <c r="W9396">
        <f t="shared" si="587"/>
        <v>0</v>
      </c>
    </row>
    <row r="9397" spans="5:23" x14ac:dyDescent="0.25">
      <c r="E9397" s="4"/>
      <c r="F9397" s="4"/>
      <c r="G9397" s="33" t="str">
        <f>IFERROR(VLOOKUP($D9397,'Informations sur les produits'!$A$3:$H$10000,8,FALSE),"0")</f>
        <v>0</v>
      </c>
      <c r="K9397" s="4"/>
      <c r="L9397" s="33" t="str">
        <f>IFERROR(VLOOKUP($J9397,'Informations sur les produits'!$A$3:$H$10000,8,FALSE),"0")</f>
        <v>0</v>
      </c>
      <c r="N9397" s="8"/>
      <c r="O9397" s="33" t="str">
        <f>IFERROR(VLOOKUP($M9397,'Informations sur les produits'!$A$3:$H$10000,8,FALSE),"0")</f>
        <v>0</v>
      </c>
      <c r="P9397" s="33">
        <f t="shared" si="584"/>
        <v>0</v>
      </c>
      <c r="Q9397" s="31" t="str">
        <f t="shared" si="585"/>
        <v/>
      </c>
      <c r="R9397" s="32" t="str">
        <f>IFERROR(VLOOKUP($D9397,'Informations sur les produits'!$A$3:$B$15000,2,FALSE),"")</f>
        <v/>
      </c>
      <c r="V9397">
        <f t="shared" si="586"/>
        <v>0</v>
      </c>
      <c r="W9397">
        <f t="shared" si="587"/>
        <v>0</v>
      </c>
    </row>
    <row r="9398" spans="5:23" x14ac:dyDescent="0.25">
      <c r="E9398" s="4"/>
      <c r="F9398" s="4"/>
      <c r="G9398" s="33" t="str">
        <f>IFERROR(VLOOKUP($D9398,'Informations sur les produits'!$A$3:$H$10000,8,FALSE),"0")</f>
        <v>0</v>
      </c>
      <c r="K9398" s="4"/>
      <c r="L9398" s="33" t="str">
        <f>IFERROR(VLOOKUP($J9398,'Informations sur les produits'!$A$3:$H$10000,8,FALSE),"0")</f>
        <v>0</v>
      </c>
      <c r="N9398" s="8"/>
      <c r="O9398" s="33" t="str">
        <f>IFERROR(VLOOKUP($M9398,'Informations sur les produits'!$A$3:$H$10000,8,FALSE),"0")</f>
        <v>0</v>
      </c>
      <c r="P9398" s="33">
        <f t="shared" si="584"/>
        <v>0</v>
      </c>
      <c r="Q9398" s="31" t="str">
        <f t="shared" si="585"/>
        <v/>
      </c>
      <c r="R9398" s="32" t="str">
        <f>IFERROR(VLOOKUP($D9398,'Informations sur les produits'!$A$3:$B$15000,2,FALSE),"")</f>
        <v/>
      </c>
      <c r="V9398">
        <f t="shared" si="586"/>
        <v>0</v>
      </c>
      <c r="W9398">
        <f t="shared" si="587"/>
        <v>0</v>
      </c>
    </row>
    <row r="9399" spans="5:23" x14ac:dyDescent="0.25">
      <c r="E9399" s="4"/>
      <c r="F9399" s="4"/>
      <c r="G9399" s="33" t="str">
        <f>IFERROR(VLOOKUP($D9399,'Informations sur les produits'!$A$3:$H$10000,8,FALSE),"0")</f>
        <v>0</v>
      </c>
      <c r="K9399" s="4"/>
      <c r="L9399" s="33" t="str">
        <f>IFERROR(VLOOKUP($J9399,'Informations sur les produits'!$A$3:$H$10000,8,FALSE),"0")</f>
        <v>0</v>
      </c>
      <c r="N9399" s="8"/>
      <c r="O9399" s="33" t="str">
        <f>IFERROR(VLOOKUP($M9399,'Informations sur les produits'!$A$3:$H$10000,8,FALSE),"0")</f>
        <v>0</v>
      </c>
      <c r="P9399" s="33">
        <f t="shared" si="584"/>
        <v>0</v>
      </c>
      <c r="Q9399" s="31" t="str">
        <f t="shared" si="585"/>
        <v/>
      </c>
      <c r="R9399" s="32" t="str">
        <f>IFERROR(VLOOKUP($D9399,'Informations sur les produits'!$A$3:$B$15000,2,FALSE),"")</f>
        <v/>
      </c>
      <c r="V9399">
        <f t="shared" si="586"/>
        <v>0</v>
      </c>
      <c r="W9399">
        <f t="shared" si="587"/>
        <v>0</v>
      </c>
    </row>
    <row r="9400" spans="5:23" x14ac:dyDescent="0.25">
      <c r="E9400" s="4"/>
      <c r="F9400" s="4"/>
      <c r="G9400" s="33" t="str">
        <f>IFERROR(VLOOKUP($D9400,'Informations sur les produits'!$A$3:$H$10000,8,FALSE),"0")</f>
        <v>0</v>
      </c>
      <c r="K9400" s="4"/>
      <c r="L9400" s="33" t="str">
        <f>IFERROR(VLOOKUP($J9400,'Informations sur les produits'!$A$3:$H$10000,8,FALSE),"0")</f>
        <v>0</v>
      </c>
      <c r="N9400" s="8"/>
      <c r="O9400" s="33" t="str">
        <f>IFERROR(VLOOKUP($M9400,'Informations sur les produits'!$A$3:$H$10000,8,FALSE),"0")</f>
        <v>0</v>
      </c>
      <c r="P9400" s="33">
        <f t="shared" si="584"/>
        <v>0</v>
      </c>
      <c r="Q9400" s="31" t="str">
        <f t="shared" si="585"/>
        <v/>
      </c>
      <c r="R9400" s="32" t="str">
        <f>IFERROR(VLOOKUP($D9400,'Informations sur les produits'!$A$3:$B$15000,2,FALSE),"")</f>
        <v/>
      </c>
      <c r="V9400">
        <f t="shared" si="586"/>
        <v>0</v>
      </c>
      <c r="W9400">
        <f t="shared" si="587"/>
        <v>0</v>
      </c>
    </row>
    <row r="9401" spans="5:23" x14ac:dyDescent="0.25">
      <c r="E9401" s="4"/>
      <c r="F9401" s="4"/>
      <c r="G9401" s="33" t="str">
        <f>IFERROR(VLOOKUP($D9401,'Informations sur les produits'!$A$3:$H$10000,8,FALSE),"0")</f>
        <v>0</v>
      </c>
      <c r="K9401" s="4"/>
      <c r="L9401" s="33" t="str">
        <f>IFERROR(VLOOKUP($J9401,'Informations sur les produits'!$A$3:$H$10000,8,FALSE),"0")</f>
        <v>0</v>
      </c>
      <c r="N9401" s="8"/>
      <c r="O9401" s="33" t="str">
        <f>IFERROR(VLOOKUP($M9401,'Informations sur les produits'!$A$3:$H$10000,8,FALSE),"0")</f>
        <v>0</v>
      </c>
      <c r="P9401" s="33">
        <f t="shared" si="584"/>
        <v>0</v>
      </c>
      <c r="Q9401" s="31" t="str">
        <f t="shared" si="585"/>
        <v/>
      </c>
      <c r="R9401" s="32" t="str">
        <f>IFERROR(VLOOKUP($D9401,'Informations sur les produits'!$A$3:$B$15000,2,FALSE),"")</f>
        <v/>
      </c>
      <c r="V9401">
        <f t="shared" si="586"/>
        <v>0</v>
      </c>
      <c r="W9401">
        <f t="shared" si="587"/>
        <v>0</v>
      </c>
    </row>
    <row r="9402" spans="5:23" x14ac:dyDescent="0.25">
      <c r="E9402" s="4"/>
      <c r="F9402" s="4"/>
      <c r="G9402" s="33" t="str">
        <f>IFERROR(VLOOKUP($D9402,'Informations sur les produits'!$A$3:$H$10000,8,FALSE),"0")</f>
        <v>0</v>
      </c>
      <c r="K9402" s="4"/>
      <c r="L9402" s="33" t="str">
        <f>IFERROR(VLOOKUP($J9402,'Informations sur les produits'!$A$3:$H$10000,8,FALSE),"0")</f>
        <v>0</v>
      </c>
      <c r="N9402" s="8"/>
      <c r="O9402" s="33" t="str">
        <f>IFERROR(VLOOKUP($M9402,'Informations sur les produits'!$A$3:$H$10000,8,FALSE),"0")</f>
        <v>0</v>
      </c>
      <c r="P9402" s="33">
        <f t="shared" si="584"/>
        <v>0</v>
      </c>
      <c r="Q9402" s="31" t="str">
        <f t="shared" si="585"/>
        <v/>
      </c>
      <c r="R9402" s="32" t="str">
        <f>IFERROR(VLOOKUP($D9402,'Informations sur les produits'!$A$3:$B$15000,2,FALSE),"")</f>
        <v/>
      </c>
      <c r="V9402">
        <f t="shared" si="586"/>
        <v>0</v>
      </c>
      <c r="W9402">
        <f t="shared" si="587"/>
        <v>0</v>
      </c>
    </row>
    <row r="9403" spans="5:23" x14ac:dyDescent="0.25">
      <c r="E9403" s="4"/>
      <c r="F9403" s="4"/>
      <c r="G9403" s="33" t="str">
        <f>IFERROR(VLOOKUP($D9403,'Informations sur les produits'!$A$3:$H$10000,8,FALSE),"0")</f>
        <v>0</v>
      </c>
      <c r="K9403" s="4"/>
      <c r="L9403" s="33" t="str">
        <f>IFERROR(VLOOKUP($J9403,'Informations sur les produits'!$A$3:$H$10000,8,FALSE),"0")</f>
        <v>0</v>
      </c>
      <c r="N9403" s="8"/>
      <c r="O9403" s="33" t="str">
        <f>IFERROR(VLOOKUP($M9403,'Informations sur les produits'!$A$3:$H$10000,8,FALSE),"0")</f>
        <v>0</v>
      </c>
      <c r="P9403" s="33">
        <f t="shared" si="584"/>
        <v>0</v>
      </c>
      <c r="Q9403" s="31" t="str">
        <f t="shared" si="585"/>
        <v/>
      </c>
      <c r="R9403" s="32" t="str">
        <f>IFERROR(VLOOKUP($D9403,'Informations sur les produits'!$A$3:$B$15000,2,FALSE),"")</f>
        <v/>
      </c>
      <c r="V9403">
        <f t="shared" si="586"/>
        <v>0</v>
      </c>
      <c r="W9403">
        <f t="shared" si="587"/>
        <v>0</v>
      </c>
    </row>
    <row r="9404" spans="5:23" x14ac:dyDescent="0.25">
      <c r="E9404" s="4"/>
      <c r="F9404" s="4"/>
      <c r="G9404" s="33" t="str">
        <f>IFERROR(VLOOKUP($D9404,'Informations sur les produits'!$A$3:$H$10000,8,FALSE),"0")</f>
        <v>0</v>
      </c>
      <c r="K9404" s="4"/>
      <c r="L9404" s="33" t="str">
        <f>IFERROR(VLOOKUP($J9404,'Informations sur les produits'!$A$3:$H$10000,8,FALSE),"0")</f>
        <v>0</v>
      </c>
      <c r="N9404" s="8"/>
      <c r="O9404" s="33" t="str">
        <f>IFERROR(VLOOKUP($M9404,'Informations sur les produits'!$A$3:$H$10000,8,FALSE),"0")</f>
        <v>0</v>
      </c>
      <c r="P9404" s="33">
        <f t="shared" si="584"/>
        <v>0</v>
      </c>
      <c r="Q9404" s="31" t="str">
        <f t="shared" si="585"/>
        <v/>
      </c>
      <c r="R9404" s="32" t="str">
        <f>IFERROR(VLOOKUP($D9404,'Informations sur les produits'!$A$3:$B$15000,2,FALSE),"")</f>
        <v/>
      </c>
      <c r="V9404">
        <f t="shared" si="586"/>
        <v>0</v>
      </c>
      <c r="W9404">
        <f t="shared" si="587"/>
        <v>0</v>
      </c>
    </row>
    <row r="9405" spans="5:23" x14ac:dyDescent="0.25">
      <c r="E9405" s="4"/>
      <c r="F9405" s="4"/>
      <c r="G9405" s="33" t="str">
        <f>IFERROR(VLOOKUP($D9405,'Informations sur les produits'!$A$3:$H$10000,8,FALSE),"0")</f>
        <v>0</v>
      </c>
      <c r="K9405" s="4"/>
      <c r="L9405" s="33" t="str">
        <f>IFERROR(VLOOKUP($J9405,'Informations sur les produits'!$A$3:$H$10000,8,FALSE),"0")</f>
        <v>0</v>
      </c>
      <c r="N9405" s="8"/>
      <c r="O9405" s="33" t="str">
        <f>IFERROR(VLOOKUP($M9405,'Informations sur les produits'!$A$3:$H$10000,8,FALSE),"0")</f>
        <v>0</v>
      </c>
      <c r="P9405" s="33">
        <f t="shared" si="584"/>
        <v>0</v>
      </c>
      <c r="Q9405" s="31" t="str">
        <f t="shared" si="585"/>
        <v/>
      </c>
      <c r="R9405" s="32" t="str">
        <f>IFERROR(VLOOKUP($D9405,'Informations sur les produits'!$A$3:$B$15000,2,FALSE),"")</f>
        <v/>
      </c>
      <c r="V9405">
        <f t="shared" si="586"/>
        <v>0</v>
      </c>
      <c r="W9405">
        <f t="shared" si="587"/>
        <v>0</v>
      </c>
    </row>
    <row r="9406" spans="5:23" x14ac:dyDescent="0.25">
      <c r="E9406" s="4"/>
      <c r="F9406" s="4"/>
      <c r="G9406" s="33" t="str">
        <f>IFERROR(VLOOKUP($D9406,'Informations sur les produits'!$A$3:$H$10000,8,FALSE),"0")</f>
        <v>0</v>
      </c>
      <c r="K9406" s="4"/>
      <c r="L9406" s="33" t="str">
        <f>IFERROR(VLOOKUP($J9406,'Informations sur les produits'!$A$3:$H$10000,8,FALSE),"0")</f>
        <v>0</v>
      </c>
      <c r="N9406" s="8"/>
      <c r="O9406" s="33" t="str">
        <f>IFERROR(VLOOKUP($M9406,'Informations sur les produits'!$A$3:$H$10000,8,FALSE),"0")</f>
        <v>0</v>
      </c>
      <c r="P9406" s="33">
        <f t="shared" si="584"/>
        <v>0</v>
      </c>
      <c r="Q9406" s="31" t="str">
        <f t="shared" si="585"/>
        <v/>
      </c>
      <c r="R9406" s="32" t="str">
        <f>IFERROR(VLOOKUP($D9406,'Informations sur les produits'!$A$3:$B$15000,2,FALSE),"")</f>
        <v/>
      </c>
      <c r="V9406">
        <f t="shared" si="586"/>
        <v>0</v>
      </c>
      <c r="W9406">
        <f t="shared" si="587"/>
        <v>0</v>
      </c>
    </row>
    <row r="9407" spans="5:23" x14ac:dyDescent="0.25">
      <c r="E9407" s="4"/>
      <c r="F9407" s="4"/>
      <c r="G9407" s="33" t="str">
        <f>IFERROR(VLOOKUP($D9407,'Informations sur les produits'!$A$3:$H$10000,8,FALSE),"0")</f>
        <v>0</v>
      </c>
      <c r="K9407" s="4"/>
      <c r="L9407" s="33" t="str">
        <f>IFERROR(VLOOKUP($J9407,'Informations sur les produits'!$A$3:$H$10000,8,FALSE),"0")</f>
        <v>0</v>
      </c>
      <c r="N9407" s="8"/>
      <c r="O9407" s="33" t="str">
        <f>IFERROR(VLOOKUP($M9407,'Informations sur les produits'!$A$3:$H$10000,8,FALSE),"0")</f>
        <v>0</v>
      </c>
      <c r="P9407" s="33">
        <f t="shared" si="584"/>
        <v>0</v>
      </c>
      <c r="Q9407" s="31" t="str">
        <f t="shared" si="585"/>
        <v/>
      </c>
      <c r="R9407" s="32" t="str">
        <f>IFERROR(VLOOKUP($D9407,'Informations sur les produits'!$A$3:$B$15000,2,FALSE),"")</f>
        <v/>
      </c>
      <c r="V9407">
        <f t="shared" si="586"/>
        <v>0</v>
      </c>
      <c r="W9407">
        <f t="shared" si="587"/>
        <v>0</v>
      </c>
    </row>
    <row r="9408" spans="5:23" x14ac:dyDescent="0.25">
      <c r="E9408" s="4"/>
      <c r="F9408" s="4"/>
      <c r="G9408" s="33" t="str">
        <f>IFERROR(VLOOKUP($D9408,'Informations sur les produits'!$A$3:$H$10000,8,FALSE),"0")</f>
        <v>0</v>
      </c>
      <c r="K9408" s="4"/>
      <c r="L9408" s="33" t="str">
        <f>IFERROR(VLOOKUP($J9408,'Informations sur les produits'!$A$3:$H$10000,8,FALSE),"0")</f>
        <v>0</v>
      </c>
      <c r="N9408" s="8"/>
      <c r="O9408" s="33" t="str">
        <f>IFERROR(VLOOKUP($M9408,'Informations sur les produits'!$A$3:$H$10000,8,FALSE),"0")</f>
        <v>0</v>
      </c>
      <c r="P9408" s="33">
        <f t="shared" si="584"/>
        <v>0</v>
      </c>
      <c r="Q9408" s="31" t="str">
        <f t="shared" si="585"/>
        <v/>
      </c>
      <c r="R9408" s="32" t="str">
        <f>IFERROR(VLOOKUP($D9408,'Informations sur les produits'!$A$3:$B$15000,2,FALSE),"")</f>
        <v/>
      </c>
      <c r="V9408">
        <f t="shared" si="586"/>
        <v>0</v>
      </c>
      <c r="W9408">
        <f t="shared" si="587"/>
        <v>0</v>
      </c>
    </row>
    <row r="9409" spans="5:23" x14ac:dyDescent="0.25">
      <c r="E9409" s="4"/>
      <c r="F9409" s="4"/>
      <c r="G9409" s="33" t="str">
        <f>IFERROR(VLOOKUP($D9409,'Informations sur les produits'!$A$3:$H$10000,8,FALSE),"0")</f>
        <v>0</v>
      </c>
      <c r="K9409" s="4"/>
      <c r="L9409" s="33" t="str">
        <f>IFERROR(VLOOKUP($J9409,'Informations sur les produits'!$A$3:$H$10000,8,FALSE),"0")</f>
        <v>0</v>
      </c>
      <c r="N9409" s="8"/>
      <c r="O9409" s="33" t="str">
        <f>IFERROR(VLOOKUP($M9409,'Informations sur les produits'!$A$3:$H$10000,8,FALSE),"0")</f>
        <v>0</v>
      </c>
      <c r="P9409" s="33">
        <f t="shared" si="584"/>
        <v>0</v>
      </c>
      <c r="Q9409" s="31" t="str">
        <f t="shared" si="585"/>
        <v/>
      </c>
      <c r="R9409" s="32" t="str">
        <f>IFERROR(VLOOKUP($D9409,'Informations sur les produits'!$A$3:$B$15000,2,FALSE),"")</f>
        <v/>
      </c>
      <c r="V9409">
        <f t="shared" si="586"/>
        <v>0</v>
      </c>
      <c r="W9409">
        <f t="shared" si="587"/>
        <v>0</v>
      </c>
    </row>
    <row r="9410" spans="5:23" x14ac:dyDescent="0.25">
      <c r="E9410" s="4"/>
      <c r="F9410" s="4"/>
      <c r="G9410" s="33" t="str">
        <f>IFERROR(VLOOKUP($D9410,'Informations sur les produits'!$A$3:$H$10000,8,FALSE),"0")</f>
        <v>0</v>
      </c>
      <c r="K9410" s="4"/>
      <c r="L9410" s="33" t="str">
        <f>IFERROR(VLOOKUP($J9410,'Informations sur les produits'!$A$3:$H$10000,8,FALSE),"0")</f>
        <v>0</v>
      </c>
      <c r="N9410" s="8"/>
      <c r="O9410" s="33" t="str">
        <f>IFERROR(VLOOKUP($M9410,'Informations sur les produits'!$A$3:$H$10000,8,FALSE),"0")</f>
        <v>0</v>
      </c>
      <c r="P9410" s="33">
        <f t="shared" si="584"/>
        <v>0</v>
      </c>
      <c r="Q9410" s="31" t="str">
        <f t="shared" si="585"/>
        <v/>
      </c>
      <c r="R9410" s="32" t="str">
        <f>IFERROR(VLOOKUP($D9410,'Informations sur les produits'!$A$3:$B$15000,2,FALSE),"")</f>
        <v/>
      </c>
      <c r="V9410">
        <f t="shared" si="586"/>
        <v>0</v>
      </c>
      <c r="W9410">
        <f t="shared" si="587"/>
        <v>0</v>
      </c>
    </row>
    <row r="9411" spans="5:23" x14ac:dyDescent="0.25">
      <c r="E9411" s="4"/>
      <c r="F9411" s="4"/>
      <c r="G9411" s="33" t="str">
        <f>IFERROR(VLOOKUP($D9411,'Informations sur les produits'!$A$3:$H$10000,8,FALSE),"0")</f>
        <v>0</v>
      </c>
      <c r="K9411" s="4"/>
      <c r="L9411" s="33" t="str">
        <f>IFERROR(VLOOKUP($J9411,'Informations sur les produits'!$A$3:$H$10000,8,FALSE),"0")</f>
        <v>0</v>
      </c>
      <c r="N9411" s="8"/>
      <c r="O9411" s="33" t="str">
        <f>IFERROR(VLOOKUP($M9411,'Informations sur les produits'!$A$3:$H$10000,8,FALSE),"0")</f>
        <v>0</v>
      </c>
      <c r="P9411" s="33">
        <f t="shared" si="584"/>
        <v>0</v>
      </c>
      <c r="Q9411" s="31" t="str">
        <f t="shared" si="585"/>
        <v/>
      </c>
      <c r="R9411" s="32" t="str">
        <f>IFERROR(VLOOKUP($D9411,'Informations sur les produits'!$A$3:$B$15000,2,FALSE),"")</f>
        <v/>
      </c>
      <c r="V9411">
        <f t="shared" si="586"/>
        <v>0</v>
      </c>
      <c r="W9411">
        <f t="shared" si="587"/>
        <v>0</v>
      </c>
    </row>
    <row r="9412" spans="5:23" x14ac:dyDescent="0.25">
      <c r="E9412" s="4"/>
      <c r="F9412" s="4"/>
      <c r="G9412" s="33" t="str">
        <f>IFERROR(VLOOKUP($D9412,'Informations sur les produits'!$A$3:$H$10000,8,FALSE),"0")</f>
        <v>0</v>
      </c>
      <c r="K9412" s="4"/>
      <c r="L9412" s="33" t="str">
        <f>IFERROR(VLOOKUP($J9412,'Informations sur les produits'!$A$3:$H$10000,8,FALSE),"0")</f>
        <v>0</v>
      </c>
      <c r="N9412" s="8"/>
      <c r="O9412" s="33" t="str">
        <f>IFERROR(VLOOKUP($M9412,'Informations sur les produits'!$A$3:$H$10000,8,FALSE),"0")</f>
        <v>0</v>
      </c>
      <c r="P9412" s="33">
        <f t="shared" ref="P9412:P9475" si="588">IFERROR((($E9412-$F9412)*$G9412+$K9412*$L9412+$N9412*$O9412),"")</f>
        <v>0</v>
      </c>
      <c r="Q9412" s="31" t="str">
        <f t="shared" ref="Q9412:Q9475" si="589">IFERROR((((($E9412-$F9412)*$G9412+$K9412*$L9412+$N9412*$O9412)*1000)/(($E9412-$F9412)+$K9412+$N9412)),"")</f>
        <v/>
      </c>
      <c r="R9412" s="32" t="str">
        <f>IFERROR(VLOOKUP($D9412,'Informations sur les produits'!$A$3:$B$15000,2,FALSE),"")</f>
        <v/>
      </c>
      <c r="V9412">
        <f t="shared" ref="V9412:V9475" si="590">IFERROR(P9412*1000,"")</f>
        <v>0</v>
      </c>
      <c r="W9412">
        <f t="shared" ref="W9412:W9475" si="591">IFERROR(($E9412-$F9412)+$K9412+$N9412,"")</f>
        <v>0</v>
      </c>
    </row>
    <row r="9413" spans="5:23" x14ac:dyDescent="0.25">
      <c r="E9413" s="4"/>
      <c r="F9413" s="4"/>
      <c r="G9413" s="33" t="str">
        <f>IFERROR(VLOOKUP($D9413,'Informations sur les produits'!$A$3:$H$10000,8,FALSE),"0")</f>
        <v>0</v>
      </c>
      <c r="K9413" s="4"/>
      <c r="L9413" s="33" t="str">
        <f>IFERROR(VLOOKUP($J9413,'Informations sur les produits'!$A$3:$H$10000,8,FALSE),"0")</f>
        <v>0</v>
      </c>
      <c r="N9413" s="8"/>
      <c r="O9413" s="33" t="str">
        <f>IFERROR(VLOOKUP($M9413,'Informations sur les produits'!$A$3:$H$10000,8,FALSE),"0")</f>
        <v>0</v>
      </c>
      <c r="P9413" s="33">
        <f t="shared" si="588"/>
        <v>0</v>
      </c>
      <c r="Q9413" s="31" t="str">
        <f t="shared" si="589"/>
        <v/>
      </c>
      <c r="R9413" s="32" t="str">
        <f>IFERROR(VLOOKUP($D9413,'Informations sur les produits'!$A$3:$B$15000,2,FALSE),"")</f>
        <v/>
      </c>
      <c r="V9413">
        <f t="shared" si="590"/>
        <v>0</v>
      </c>
      <c r="W9413">
        <f t="shared" si="591"/>
        <v>0</v>
      </c>
    </row>
    <row r="9414" spans="5:23" x14ac:dyDescent="0.25">
      <c r="E9414" s="4"/>
      <c r="F9414" s="4"/>
      <c r="G9414" s="33" t="str">
        <f>IFERROR(VLOOKUP($D9414,'Informations sur les produits'!$A$3:$H$10000,8,FALSE),"0")</f>
        <v>0</v>
      </c>
      <c r="K9414" s="4"/>
      <c r="L9414" s="33" t="str">
        <f>IFERROR(VLOOKUP($J9414,'Informations sur les produits'!$A$3:$H$10000,8,FALSE),"0")</f>
        <v>0</v>
      </c>
      <c r="N9414" s="8"/>
      <c r="O9414" s="33" t="str">
        <f>IFERROR(VLOOKUP($M9414,'Informations sur les produits'!$A$3:$H$10000,8,FALSE),"0")</f>
        <v>0</v>
      </c>
      <c r="P9414" s="33">
        <f t="shared" si="588"/>
        <v>0</v>
      </c>
      <c r="Q9414" s="31" t="str">
        <f t="shared" si="589"/>
        <v/>
      </c>
      <c r="R9414" s="32" t="str">
        <f>IFERROR(VLOOKUP($D9414,'Informations sur les produits'!$A$3:$B$15000,2,FALSE),"")</f>
        <v/>
      </c>
      <c r="V9414">
        <f t="shared" si="590"/>
        <v>0</v>
      </c>
      <c r="W9414">
        <f t="shared" si="591"/>
        <v>0</v>
      </c>
    </row>
    <row r="9415" spans="5:23" x14ac:dyDescent="0.25">
      <c r="E9415" s="4"/>
      <c r="F9415" s="4"/>
      <c r="G9415" s="33" t="str">
        <f>IFERROR(VLOOKUP($D9415,'Informations sur les produits'!$A$3:$H$10000,8,FALSE),"0")</f>
        <v>0</v>
      </c>
      <c r="K9415" s="4"/>
      <c r="L9415" s="33" t="str">
        <f>IFERROR(VLOOKUP($J9415,'Informations sur les produits'!$A$3:$H$10000,8,FALSE),"0")</f>
        <v>0</v>
      </c>
      <c r="N9415" s="8"/>
      <c r="O9415" s="33" t="str">
        <f>IFERROR(VLOOKUP($M9415,'Informations sur les produits'!$A$3:$H$10000,8,FALSE),"0")</f>
        <v>0</v>
      </c>
      <c r="P9415" s="33">
        <f t="shared" si="588"/>
        <v>0</v>
      </c>
      <c r="Q9415" s="31" t="str">
        <f t="shared" si="589"/>
        <v/>
      </c>
      <c r="R9415" s="32" t="str">
        <f>IFERROR(VLOOKUP($D9415,'Informations sur les produits'!$A$3:$B$15000,2,FALSE),"")</f>
        <v/>
      </c>
      <c r="V9415">
        <f t="shared" si="590"/>
        <v>0</v>
      </c>
      <c r="W9415">
        <f t="shared" si="591"/>
        <v>0</v>
      </c>
    </row>
    <row r="9416" spans="5:23" x14ac:dyDescent="0.25">
      <c r="E9416" s="4"/>
      <c r="F9416" s="4"/>
      <c r="G9416" s="33" t="str">
        <f>IFERROR(VLOOKUP($D9416,'Informations sur les produits'!$A$3:$H$10000,8,FALSE),"0")</f>
        <v>0</v>
      </c>
      <c r="K9416" s="4"/>
      <c r="L9416" s="33" t="str">
        <f>IFERROR(VLOOKUP($J9416,'Informations sur les produits'!$A$3:$H$10000,8,FALSE),"0")</f>
        <v>0</v>
      </c>
      <c r="N9416" s="8"/>
      <c r="O9416" s="33" t="str">
        <f>IFERROR(VLOOKUP($M9416,'Informations sur les produits'!$A$3:$H$10000,8,FALSE),"0")</f>
        <v>0</v>
      </c>
      <c r="P9416" s="33">
        <f t="shared" si="588"/>
        <v>0</v>
      </c>
      <c r="Q9416" s="31" t="str">
        <f t="shared" si="589"/>
        <v/>
      </c>
      <c r="R9416" s="32" t="str">
        <f>IFERROR(VLOOKUP($D9416,'Informations sur les produits'!$A$3:$B$15000,2,FALSE),"")</f>
        <v/>
      </c>
      <c r="V9416">
        <f t="shared" si="590"/>
        <v>0</v>
      </c>
      <c r="W9416">
        <f t="shared" si="591"/>
        <v>0</v>
      </c>
    </row>
    <row r="9417" spans="5:23" x14ac:dyDescent="0.25">
      <c r="E9417" s="4"/>
      <c r="F9417" s="4"/>
      <c r="G9417" s="33" t="str">
        <f>IFERROR(VLOOKUP($D9417,'Informations sur les produits'!$A$3:$H$10000,8,FALSE),"0")</f>
        <v>0</v>
      </c>
      <c r="K9417" s="4"/>
      <c r="L9417" s="33" t="str">
        <f>IFERROR(VLOOKUP($J9417,'Informations sur les produits'!$A$3:$H$10000,8,FALSE),"0")</f>
        <v>0</v>
      </c>
      <c r="N9417" s="8"/>
      <c r="O9417" s="33" t="str">
        <f>IFERROR(VLOOKUP($M9417,'Informations sur les produits'!$A$3:$H$10000,8,FALSE),"0")</f>
        <v>0</v>
      </c>
      <c r="P9417" s="33">
        <f t="shared" si="588"/>
        <v>0</v>
      </c>
      <c r="Q9417" s="31" t="str">
        <f t="shared" si="589"/>
        <v/>
      </c>
      <c r="R9417" s="32" t="str">
        <f>IFERROR(VLOOKUP($D9417,'Informations sur les produits'!$A$3:$B$15000,2,FALSE),"")</f>
        <v/>
      </c>
      <c r="V9417">
        <f t="shared" si="590"/>
        <v>0</v>
      </c>
      <c r="W9417">
        <f t="shared" si="591"/>
        <v>0</v>
      </c>
    </row>
    <row r="9418" spans="5:23" x14ac:dyDescent="0.25">
      <c r="E9418" s="4"/>
      <c r="F9418" s="4"/>
      <c r="G9418" s="33" t="str">
        <f>IFERROR(VLOOKUP($D9418,'Informations sur les produits'!$A$3:$H$10000,8,FALSE),"0")</f>
        <v>0</v>
      </c>
      <c r="K9418" s="4"/>
      <c r="L9418" s="33" t="str">
        <f>IFERROR(VLOOKUP($J9418,'Informations sur les produits'!$A$3:$H$10000,8,FALSE),"0")</f>
        <v>0</v>
      </c>
      <c r="N9418" s="8"/>
      <c r="O9418" s="33" t="str">
        <f>IFERROR(VLOOKUP($M9418,'Informations sur les produits'!$A$3:$H$10000,8,FALSE),"0")</f>
        <v>0</v>
      </c>
      <c r="P9418" s="33">
        <f t="shared" si="588"/>
        <v>0</v>
      </c>
      <c r="Q9418" s="31" t="str">
        <f t="shared" si="589"/>
        <v/>
      </c>
      <c r="R9418" s="32" t="str">
        <f>IFERROR(VLOOKUP($D9418,'Informations sur les produits'!$A$3:$B$15000,2,FALSE),"")</f>
        <v/>
      </c>
      <c r="V9418">
        <f t="shared" si="590"/>
        <v>0</v>
      </c>
      <c r="W9418">
        <f t="shared" si="591"/>
        <v>0</v>
      </c>
    </row>
    <row r="9419" spans="5:23" x14ac:dyDescent="0.25">
      <c r="E9419" s="4"/>
      <c r="F9419" s="4"/>
      <c r="G9419" s="33" t="str">
        <f>IFERROR(VLOOKUP($D9419,'Informations sur les produits'!$A$3:$H$10000,8,FALSE),"0")</f>
        <v>0</v>
      </c>
      <c r="K9419" s="4"/>
      <c r="L9419" s="33" t="str">
        <f>IFERROR(VLOOKUP($J9419,'Informations sur les produits'!$A$3:$H$10000,8,FALSE),"0")</f>
        <v>0</v>
      </c>
      <c r="N9419" s="8"/>
      <c r="O9419" s="33" t="str">
        <f>IFERROR(VLOOKUP($M9419,'Informations sur les produits'!$A$3:$H$10000,8,FALSE),"0")</f>
        <v>0</v>
      </c>
      <c r="P9419" s="33">
        <f t="shared" si="588"/>
        <v>0</v>
      </c>
      <c r="Q9419" s="31" t="str">
        <f t="shared" si="589"/>
        <v/>
      </c>
      <c r="R9419" s="32" t="str">
        <f>IFERROR(VLOOKUP($D9419,'Informations sur les produits'!$A$3:$B$15000,2,FALSE),"")</f>
        <v/>
      </c>
      <c r="V9419">
        <f t="shared" si="590"/>
        <v>0</v>
      </c>
      <c r="W9419">
        <f t="shared" si="591"/>
        <v>0</v>
      </c>
    </row>
    <row r="9420" spans="5:23" x14ac:dyDescent="0.25">
      <c r="E9420" s="4"/>
      <c r="F9420" s="4"/>
      <c r="G9420" s="33" t="str">
        <f>IFERROR(VLOOKUP($D9420,'Informations sur les produits'!$A$3:$H$10000,8,FALSE),"0")</f>
        <v>0</v>
      </c>
      <c r="K9420" s="4"/>
      <c r="L9420" s="33" t="str">
        <f>IFERROR(VLOOKUP($J9420,'Informations sur les produits'!$A$3:$H$10000,8,FALSE),"0")</f>
        <v>0</v>
      </c>
      <c r="N9420" s="8"/>
      <c r="O9420" s="33" t="str">
        <f>IFERROR(VLOOKUP($M9420,'Informations sur les produits'!$A$3:$H$10000,8,FALSE),"0")</f>
        <v>0</v>
      </c>
      <c r="P9420" s="33">
        <f t="shared" si="588"/>
        <v>0</v>
      </c>
      <c r="Q9420" s="31" t="str">
        <f t="shared" si="589"/>
        <v/>
      </c>
      <c r="R9420" s="32" t="str">
        <f>IFERROR(VLOOKUP($D9420,'Informations sur les produits'!$A$3:$B$15000,2,FALSE),"")</f>
        <v/>
      </c>
      <c r="V9420">
        <f t="shared" si="590"/>
        <v>0</v>
      </c>
      <c r="W9420">
        <f t="shared" si="591"/>
        <v>0</v>
      </c>
    </row>
    <row r="9421" spans="5:23" x14ac:dyDescent="0.25">
      <c r="E9421" s="4"/>
      <c r="F9421" s="4"/>
      <c r="G9421" s="33" t="str">
        <f>IFERROR(VLOOKUP($D9421,'Informations sur les produits'!$A$3:$H$10000,8,FALSE),"0")</f>
        <v>0</v>
      </c>
      <c r="K9421" s="4"/>
      <c r="L9421" s="33" t="str">
        <f>IFERROR(VLOOKUP($J9421,'Informations sur les produits'!$A$3:$H$10000,8,FALSE),"0")</f>
        <v>0</v>
      </c>
      <c r="N9421" s="8"/>
      <c r="O9421" s="33" t="str">
        <f>IFERROR(VLOOKUP($M9421,'Informations sur les produits'!$A$3:$H$10000,8,FALSE),"0")</f>
        <v>0</v>
      </c>
      <c r="P9421" s="33">
        <f t="shared" si="588"/>
        <v>0</v>
      </c>
      <c r="Q9421" s="31" t="str">
        <f t="shared" si="589"/>
        <v/>
      </c>
      <c r="R9421" s="32" t="str">
        <f>IFERROR(VLOOKUP($D9421,'Informations sur les produits'!$A$3:$B$15000,2,FALSE),"")</f>
        <v/>
      </c>
      <c r="V9421">
        <f t="shared" si="590"/>
        <v>0</v>
      </c>
      <c r="W9421">
        <f t="shared" si="591"/>
        <v>0</v>
      </c>
    </row>
    <row r="9422" spans="5:23" x14ac:dyDescent="0.25">
      <c r="E9422" s="4"/>
      <c r="F9422" s="4"/>
      <c r="G9422" s="33" t="str">
        <f>IFERROR(VLOOKUP($D9422,'Informations sur les produits'!$A$3:$H$10000,8,FALSE),"0")</f>
        <v>0</v>
      </c>
      <c r="K9422" s="4"/>
      <c r="L9422" s="33" t="str">
        <f>IFERROR(VLOOKUP($J9422,'Informations sur les produits'!$A$3:$H$10000,8,FALSE),"0")</f>
        <v>0</v>
      </c>
      <c r="N9422" s="8"/>
      <c r="O9422" s="33" t="str">
        <f>IFERROR(VLOOKUP($M9422,'Informations sur les produits'!$A$3:$H$10000,8,FALSE),"0")</f>
        <v>0</v>
      </c>
      <c r="P9422" s="33">
        <f t="shared" si="588"/>
        <v>0</v>
      </c>
      <c r="Q9422" s="31" t="str">
        <f t="shared" si="589"/>
        <v/>
      </c>
      <c r="R9422" s="32" t="str">
        <f>IFERROR(VLOOKUP($D9422,'Informations sur les produits'!$A$3:$B$15000,2,FALSE),"")</f>
        <v/>
      </c>
      <c r="V9422">
        <f t="shared" si="590"/>
        <v>0</v>
      </c>
      <c r="W9422">
        <f t="shared" si="591"/>
        <v>0</v>
      </c>
    </row>
    <row r="9423" spans="5:23" x14ac:dyDescent="0.25">
      <c r="E9423" s="4"/>
      <c r="F9423" s="4"/>
      <c r="G9423" s="33" t="str">
        <f>IFERROR(VLOOKUP($D9423,'Informations sur les produits'!$A$3:$H$10000,8,FALSE),"0")</f>
        <v>0</v>
      </c>
      <c r="K9423" s="4"/>
      <c r="L9423" s="33" t="str">
        <f>IFERROR(VLOOKUP($J9423,'Informations sur les produits'!$A$3:$H$10000,8,FALSE),"0")</f>
        <v>0</v>
      </c>
      <c r="N9423" s="8"/>
      <c r="O9423" s="33" t="str">
        <f>IFERROR(VLOOKUP($M9423,'Informations sur les produits'!$A$3:$H$10000,8,FALSE),"0")</f>
        <v>0</v>
      </c>
      <c r="P9423" s="33">
        <f t="shared" si="588"/>
        <v>0</v>
      </c>
      <c r="Q9423" s="31" t="str">
        <f t="shared" si="589"/>
        <v/>
      </c>
      <c r="R9423" s="32" t="str">
        <f>IFERROR(VLOOKUP($D9423,'Informations sur les produits'!$A$3:$B$15000,2,FALSE),"")</f>
        <v/>
      </c>
      <c r="V9423">
        <f t="shared" si="590"/>
        <v>0</v>
      </c>
      <c r="W9423">
        <f t="shared" si="591"/>
        <v>0</v>
      </c>
    </row>
    <row r="9424" spans="5:23" x14ac:dyDescent="0.25">
      <c r="E9424" s="4"/>
      <c r="F9424" s="4"/>
      <c r="G9424" s="33" t="str">
        <f>IFERROR(VLOOKUP($D9424,'Informations sur les produits'!$A$3:$H$10000,8,FALSE),"0")</f>
        <v>0</v>
      </c>
      <c r="K9424" s="4"/>
      <c r="L9424" s="33" t="str">
        <f>IFERROR(VLOOKUP($J9424,'Informations sur les produits'!$A$3:$H$10000,8,FALSE),"0")</f>
        <v>0</v>
      </c>
      <c r="N9424" s="8"/>
      <c r="O9424" s="33" t="str">
        <f>IFERROR(VLOOKUP($M9424,'Informations sur les produits'!$A$3:$H$10000,8,FALSE),"0")</f>
        <v>0</v>
      </c>
      <c r="P9424" s="33">
        <f t="shared" si="588"/>
        <v>0</v>
      </c>
      <c r="Q9424" s="31" t="str">
        <f t="shared" si="589"/>
        <v/>
      </c>
      <c r="R9424" s="32" t="str">
        <f>IFERROR(VLOOKUP($D9424,'Informations sur les produits'!$A$3:$B$15000,2,FALSE),"")</f>
        <v/>
      </c>
      <c r="V9424">
        <f t="shared" si="590"/>
        <v>0</v>
      </c>
      <c r="W9424">
        <f t="shared" si="591"/>
        <v>0</v>
      </c>
    </row>
    <row r="9425" spans="5:23" x14ac:dyDescent="0.25">
      <c r="E9425" s="4"/>
      <c r="F9425" s="4"/>
      <c r="G9425" s="33" t="str">
        <f>IFERROR(VLOOKUP($D9425,'Informations sur les produits'!$A$3:$H$10000,8,FALSE),"0")</f>
        <v>0</v>
      </c>
      <c r="K9425" s="4"/>
      <c r="L9425" s="33" t="str">
        <f>IFERROR(VLOOKUP($J9425,'Informations sur les produits'!$A$3:$H$10000,8,FALSE),"0")</f>
        <v>0</v>
      </c>
      <c r="N9425" s="8"/>
      <c r="O9425" s="33" t="str">
        <f>IFERROR(VLOOKUP($M9425,'Informations sur les produits'!$A$3:$H$10000,8,FALSE),"0")</f>
        <v>0</v>
      </c>
      <c r="P9425" s="33">
        <f t="shared" si="588"/>
        <v>0</v>
      </c>
      <c r="Q9425" s="31" t="str">
        <f t="shared" si="589"/>
        <v/>
      </c>
      <c r="R9425" s="32" t="str">
        <f>IFERROR(VLOOKUP($D9425,'Informations sur les produits'!$A$3:$B$15000,2,FALSE),"")</f>
        <v/>
      </c>
      <c r="V9425">
        <f t="shared" si="590"/>
        <v>0</v>
      </c>
      <c r="W9425">
        <f t="shared" si="591"/>
        <v>0</v>
      </c>
    </row>
    <row r="9426" spans="5:23" x14ac:dyDescent="0.25">
      <c r="E9426" s="4"/>
      <c r="F9426" s="4"/>
      <c r="G9426" s="33" t="str">
        <f>IFERROR(VLOOKUP($D9426,'Informations sur les produits'!$A$3:$H$10000,8,FALSE),"0")</f>
        <v>0</v>
      </c>
      <c r="K9426" s="4"/>
      <c r="L9426" s="33" t="str">
        <f>IFERROR(VLOOKUP($J9426,'Informations sur les produits'!$A$3:$H$10000,8,FALSE),"0")</f>
        <v>0</v>
      </c>
      <c r="N9426" s="8"/>
      <c r="O9426" s="33" t="str">
        <f>IFERROR(VLOOKUP($M9426,'Informations sur les produits'!$A$3:$H$10000,8,FALSE),"0")</f>
        <v>0</v>
      </c>
      <c r="P9426" s="33">
        <f t="shared" si="588"/>
        <v>0</v>
      </c>
      <c r="Q9426" s="31" t="str">
        <f t="shared" si="589"/>
        <v/>
      </c>
      <c r="R9426" s="32" t="str">
        <f>IFERROR(VLOOKUP($D9426,'Informations sur les produits'!$A$3:$B$15000,2,FALSE),"")</f>
        <v/>
      </c>
      <c r="V9426">
        <f t="shared" si="590"/>
        <v>0</v>
      </c>
      <c r="W9426">
        <f t="shared" si="591"/>
        <v>0</v>
      </c>
    </row>
    <row r="9427" spans="5:23" x14ac:dyDescent="0.25">
      <c r="E9427" s="4"/>
      <c r="F9427" s="4"/>
      <c r="G9427" s="33" t="str">
        <f>IFERROR(VLOOKUP($D9427,'Informations sur les produits'!$A$3:$H$10000,8,FALSE),"0")</f>
        <v>0</v>
      </c>
      <c r="K9427" s="4"/>
      <c r="L9427" s="33" t="str">
        <f>IFERROR(VLOOKUP($J9427,'Informations sur les produits'!$A$3:$H$10000,8,FALSE),"0")</f>
        <v>0</v>
      </c>
      <c r="N9427" s="8"/>
      <c r="O9427" s="33" t="str">
        <f>IFERROR(VLOOKUP($M9427,'Informations sur les produits'!$A$3:$H$10000,8,FALSE),"0")</f>
        <v>0</v>
      </c>
      <c r="P9427" s="33">
        <f t="shared" si="588"/>
        <v>0</v>
      </c>
      <c r="Q9427" s="31" t="str">
        <f t="shared" si="589"/>
        <v/>
      </c>
      <c r="R9427" s="32" t="str">
        <f>IFERROR(VLOOKUP($D9427,'Informations sur les produits'!$A$3:$B$15000,2,FALSE),"")</f>
        <v/>
      </c>
      <c r="V9427">
        <f t="shared" si="590"/>
        <v>0</v>
      </c>
      <c r="W9427">
        <f t="shared" si="591"/>
        <v>0</v>
      </c>
    </row>
    <row r="9428" spans="5:23" x14ac:dyDescent="0.25">
      <c r="E9428" s="4"/>
      <c r="F9428" s="4"/>
      <c r="G9428" s="33" t="str">
        <f>IFERROR(VLOOKUP($D9428,'Informations sur les produits'!$A$3:$H$10000,8,FALSE),"0")</f>
        <v>0</v>
      </c>
      <c r="K9428" s="4"/>
      <c r="L9428" s="33" t="str">
        <f>IFERROR(VLOOKUP($J9428,'Informations sur les produits'!$A$3:$H$10000,8,FALSE),"0")</f>
        <v>0</v>
      </c>
      <c r="N9428" s="8"/>
      <c r="O9428" s="33" t="str">
        <f>IFERROR(VLOOKUP($M9428,'Informations sur les produits'!$A$3:$H$10000,8,FALSE),"0")</f>
        <v>0</v>
      </c>
      <c r="P9428" s="33">
        <f t="shared" si="588"/>
        <v>0</v>
      </c>
      <c r="Q9428" s="31" t="str">
        <f t="shared" si="589"/>
        <v/>
      </c>
      <c r="R9428" s="32" t="str">
        <f>IFERROR(VLOOKUP($D9428,'Informations sur les produits'!$A$3:$B$15000,2,FALSE),"")</f>
        <v/>
      </c>
      <c r="V9428">
        <f t="shared" si="590"/>
        <v>0</v>
      </c>
      <c r="W9428">
        <f t="shared" si="591"/>
        <v>0</v>
      </c>
    </row>
    <row r="9429" spans="5:23" x14ac:dyDescent="0.25">
      <c r="E9429" s="4"/>
      <c r="F9429" s="4"/>
      <c r="G9429" s="33" t="str">
        <f>IFERROR(VLOOKUP($D9429,'Informations sur les produits'!$A$3:$H$10000,8,FALSE),"0")</f>
        <v>0</v>
      </c>
      <c r="K9429" s="4"/>
      <c r="L9429" s="33" t="str">
        <f>IFERROR(VLOOKUP($J9429,'Informations sur les produits'!$A$3:$H$10000,8,FALSE),"0")</f>
        <v>0</v>
      </c>
      <c r="N9429" s="8"/>
      <c r="O9429" s="33" t="str">
        <f>IFERROR(VLOOKUP($M9429,'Informations sur les produits'!$A$3:$H$10000,8,FALSE),"0")</f>
        <v>0</v>
      </c>
      <c r="P9429" s="33">
        <f t="shared" si="588"/>
        <v>0</v>
      </c>
      <c r="Q9429" s="31" t="str">
        <f t="shared" si="589"/>
        <v/>
      </c>
      <c r="R9429" s="32" t="str">
        <f>IFERROR(VLOOKUP($D9429,'Informations sur les produits'!$A$3:$B$15000,2,FALSE),"")</f>
        <v/>
      </c>
      <c r="V9429">
        <f t="shared" si="590"/>
        <v>0</v>
      </c>
      <c r="W9429">
        <f t="shared" si="591"/>
        <v>0</v>
      </c>
    </row>
    <row r="9430" spans="5:23" x14ac:dyDescent="0.25">
      <c r="E9430" s="4"/>
      <c r="F9430" s="4"/>
      <c r="G9430" s="33" t="str">
        <f>IFERROR(VLOOKUP($D9430,'Informations sur les produits'!$A$3:$H$10000,8,FALSE),"0")</f>
        <v>0</v>
      </c>
      <c r="K9430" s="4"/>
      <c r="L9430" s="33" t="str">
        <f>IFERROR(VLOOKUP($J9430,'Informations sur les produits'!$A$3:$H$10000,8,FALSE),"0")</f>
        <v>0</v>
      </c>
      <c r="N9430" s="8"/>
      <c r="O9430" s="33" t="str">
        <f>IFERROR(VLOOKUP($M9430,'Informations sur les produits'!$A$3:$H$10000,8,FALSE),"0")</f>
        <v>0</v>
      </c>
      <c r="P9430" s="33">
        <f t="shared" si="588"/>
        <v>0</v>
      </c>
      <c r="Q9430" s="31" t="str">
        <f t="shared" si="589"/>
        <v/>
      </c>
      <c r="R9430" s="32" t="str">
        <f>IFERROR(VLOOKUP($D9430,'Informations sur les produits'!$A$3:$B$15000,2,FALSE),"")</f>
        <v/>
      </c>
      <c r="V9430">
        <f t="shared" si="590"/>
        <v>0</v>
      </c>
      <c r="W9430">
        <f t="shared" si="591"/>
        <v>0</v>
      </c>
    </row>
    <row r="9431" spans="5:23" x14ac:dyDescent="0.25">
      <c r="E9431" s="4"/>
      <c r="F9431" s="4"/>
      <c r="G9431" s="33" t="str">
        <f>IFERROR(VLOOKUP($D9431,'Informations sur les produits'!$A$3:$H$10000,8,FALSE),"0")</f>
        <v>0</v>
      </c>
      <c r="K9431" s="4"/>
      <c r="L9431" s="33" t="str">
        <f>IFERROR(VLOOKUP($J9431,'Informations sur les produits'!$A$3:$H$10000,8,FALSE),"0")</f>
        <v>0</v>
      </c>
      <c r="N9431" s="8"/>
      <c r="O9431" s="33" t="str">
        <f>IFERROR(VLOOKUP($M9431,'Informations sur les produits'!$A$3:$H$10000,8,FALSE),"0")</f>
        <v>0</v>
      </c>
      <c r="P9431" s="33">
        <f t="shared" si="588"/>
        <v>0</v>
      </c>
      <c r="Q9431" s="31" t="str">
        <f t="shared" si="589"/>
        <v/>
      </c>
      <c r="R9431" s="32" t="str">
        <f>IFERROR(VLOOKUP($D9431,'Informations sur les produits'!$A$3:$B$15000,2,FALSE),"")</f>
        <v/>
      </c>
      <c r="V9431">
        <f t="shared" si="590"/>
        <v>0</v>
      </c>
      <c r="W9431">
        <f t="shared" si="591"/>
        <v>0</v>
      </c>
    </row>
    <row r="9432" spans="5:23" x14ac:dyDescent="0.25">
      <c r="E9432" s="4"/>
      <c r="F9432" s="4"/>
      <c r="G9432" s="33" t="str">
        <f>IFERROR(VLOOKUP($D9432,'Informations sur les produits'!$A$3:$H$10000,8,FALSE),"0")</f>
        <v>0</v>
      </c>
      <c r="K9432" s="4"/>
      <c r="L9432" s="33" t="str">
        <f>IFERROR(VLOOKUP($J9432,'Informations sur les produits'!$A$3:$H$10000,8,FALSE),"0")</f>
        <v>0</v>
      </c>
      <c r="N9432" s="8"/>
      <c r="O9432" s="33" t="str">
        <f>IFERROR(VLOOKUP($M9432,'Informations sur les produits'!$A$3:$H$10000,8,FALSE),"0")</f>
        <v>0</v>
      </c>
      <c r="P9432" s="33">
        <f t="shared" si="588"/>
        <v>0</v>
      </c>
      <c r="Q9432" s="31" t="str">
        <f t="shared" si="589"/>
        <v/>
      </c>
      <c r="R9432" s="32" t="str">
        <f>IFERROR(VLOOKUP($D9432,'Informations sur les produits'!$A$3:$B$15000,2,FALSE),"")</f>
        <v/>
      </c>
      <c r="V9432">
        <f t="shared" si="590"/>
        <v>0</v>
      </c>
      <c r="W9432">
        <f t="shared" si="591"/>
        <v>0</v>
      </c>
    </row>
    <row r="9433" spans="5:23" x14ac:dyDescent="0.25">
      <c r="E9433" s="4"/>
      <c r="F9433" s="4"/>
      <c r="G9433" s="33" t="str">
        <f>IFERROR(VLOOKUP($D9433,'Informations sur les produits'!$A$3:$H$10000,8,FALSE),"0")</f>
        <v>0</v>
      </c>
      <c r="K9433" s="4"/>
      <c r="L9433" s="33" t="str">
        <f>IFERROR(VLOOKUP($J9433,'Informations sur les produits'!$A$3:$H$10000,8,FALSE),"0")</f>
        <v>0</v>
      </c>
      <c r="N9433" s="8"/>
      <c r="O9433" s="33" t="str">
        <f>IFERROR(VLOOKUP($M9433,'Informations sur les produits'!$A$3:$H$10000,8,FALSE),"0")</f>
        <v>0</v>
      </c>
      <c r="P9433" s="33">
        <f t="shared" si="588"/>
        <v>0</v>
      </c>
      <c r="Q9433" s="31" t="str">
        <f t="shared" si="589"/>
        <v/>
      </c>
      <c r="R9433" s="32" t="str">
        <f>IFERROR(VLOOKUP($D9433,'Informations sur les produits'!$A$3:$B$15000,2,FALSE),"")</f>
        <v/>
      </c>
      <c r="V9433">
        <f t="shared" si="590"/>
        <v>0</v>
      </c>
      <c r="W9433">
        <f t="shared" si="591"/>
        <v>0</v>
      </c>
    </row>
    <row r="9434" spans="5:23" x14ac:dyDescent="0.25">
      <c r="E9434" s="4"/>
      <c r="F9434" s="4"/>
      <c r="G9434" s="33" t="str">
        <f>IFERROR(VLOOKUP($D9434,'Informations sur les produits'!$A$3:$H$10000,8,FALSE),"0")</f>
        <v>0</v>
      </c>
      <c r="K9434" s="4"/>
      <c r="L9434" s="33" t="str">
        <f>IFERROR(VLOOKUP($J9434,'Informations sur les produits'!$A$3:$H$10000,8,FALSE),"0")</f>
        <v>0</v>
      </c>
      <c r="N9434" s="8"/>
      <c r="O9434" s="33" t="str">
        <f>IFERROR(VLOOKUP($M9434,'Informations sur les produits'!$A$3:$H$10000,8,FALSE),"0")</f>
        <v>0</v>
      </c>
      <c r="P9434" s="33">
        <f t="shared" si="588"/>
        <v>0</v>
      </c>
      <c r="Q9434" s="31" t="str">
        <f t="shared" si="589"/>
        <v/>
      </c>
      <c r="R9434" s="32" t="str">
        <f>IFERROR(VLOOKUP($D9434,'Informations sur les produits'!$A$3:$B$15000,2,FALSE),"")</f>
        <v/>
      </c>
      <c r="V9434">
        <f t="shared" si="590"/>
        <v>0</v>
      </c>
      <c r="W9434">
        <f t="shared" si="591"/>
        <v>0</v>
      </c>
    </row>
    <row r="9435" spans="5:23" x14ac:dyDescent="0.25">
      <c r="E9435" s="4"/>
      <c r="F9435" s="4"/>
      <c r="G9435" s="33" t="str">
        <f>IFERROR(VLOOKUP($D9435,'Informations sur les produits'!$A$3:$H$10000,8,FALSE),"0")</f>
        <v>0</v>
      </c>
      <c r="K9435" s="4"/>
      <c r="L9435" s="33" t="str">
        <f>IFERROR(VLOOKUP($J9435,'Informations sur les produits'!$A$3:$H$10000,8,FALSE),"0")</f>
        <v>0</v>
      </c>
      <c r="N9435" s="8"/>
      <c r="O9435" s="33" t="str">
        <f>IFERROR(VLOOKUP($M9435,'Informations sur les produits'!$A$3:$H$10000,8,FALSE),"0")</f>
        <v>0</v>
      </c>
      <c r="P9435" s="33">
        <f t="shared" si="588"/>
        <v>0</v>
      </c>
      <c r="Q9435" s="31" t="str">
        <f t="shared" si="589"/>
        <v/>
      </c>
      <c r="R9435" s="32" t="str">
        <f>IFERROR(VLOOKUP($D9435,'Informations sur les produits'!$A$3:$B$15000,2,FALSE),"")</f>
        <v/>
      </c>
      <c r="V9435">
        <f t="shared" si="590"/>
        <v>0</v>
      </c>
      <c r="W9435">
        <f t="shared" si="591"/>
        <v>0</v>
      </c>
    </row>
    <row r="9436" spans="5:23" x14ac:dyDescent="0.25">
      <c r="E9436" s="4"/>
      <c r="F9436" s="4"/>
      <c r="G9436" s="33" t="str">
        <f>IFERROR(VLOOKUP($D9436,'Informations sur les produits'!$A$3:$H$10000,8,FALSE),"0")</f>
        <v>0</v>
      </c>
      <c r="K9436" s="4"/>
      <c r="L9436" s="33" t="str">
        <f>IFERROR(VLOOKUP($J9436,'Informations sur les produits'!$A$3:$H$10000,8,FALSE),"0")</f>
        <v>0</v>
      </c>
      <c r="N9436" s="8"/>
      <c r="O9436" s="33" t="str">
        <f>IFERROR(VLOOKUP($M9436,'Informations sur les produits'!$A$3:$H$10000,8,FALSE),"0")</f>
        <v>0</v>
      </c>
      <c r="P9436" s="33">
        <f t="shared" si="588"/>
        <v>0</v>
      </c>
      <c r="Q9436" s="31" t="str">
        <f t="shared" si="589"/>
        <v/>
      </c>
      <c r="R9436" s="32" t="str">
        <f>IFERROR(VLOOKUP($D9436,'Informations sur les produits'!$A$3:$B$15000,2,FALSE),"")</f>
        <v/>
      </c>
      <c r="V9436">
        <f t="shared" si="590"/>
        <v>0</v>
      </c>
      <c r="W9436">
        <f t="shared" si="591"/>
        <v>0</v>
      </c>
    </row>
    <row r="9437" spans="5:23" x14ac:dyDescent="0.25">
      <c r="E9437" s="4"/>
      <c r="F9437" s="4"/>
      <c r="G9437" s="33" t="str">
        <f>IFERROR(VLOOKUP($D9437,'Informations sur les produits'!$A$3:$H$10000,8,FALSE),"0")</f>
        <v>0</v>
      </c>
      <c r="K9437" s="4"/>
      <c r="L9437" s="33" t="str">
        <f>IFERROR(VLOOKUP($J9437,'Informations sur les produits'!$A$3:$H$10000,8,FALSE),"0")</f>
        <v>0</v>
      </c>
      <c r="N9437" s="8"/>
      <c r="O9437" s="33" t="str">
        <f>IFERROR(VLOOKUP($M9437,'Informations sur les produits'!$A$3:$H$10000,8,FALSE),"0")</f>
        <v>0</v>
      </c>
      <c r="P9437" s="33">
        <f t="shared" si="588"/>
        <v>0</v>
      </c>
      <c r="Q9437" s="31" t="str">
        <f t="shared" si="589"/>
        <v/>
      </c>
      <c r="R9437" s="32" t="str">
        <f>IFERROR(VLOOKUP($D9437,'Informations sur les produits'!$A$3:$B$15000,2,FALSE),"")</f>
        <v/>
      </c>
      <c r="V9437">
        <f t="shared" si="590"/>
        <v>0</v>
      </c>
      <c r="W9437">
        <f t="shared" si="591"/>
        <v>0</v>
      </c>
    </row>
    <row r="9438" spans="5:23" x14ac:dyDescent="0.25">
      <c r="E9438" s="4"/>
      <c r="F9438" s="4"/>
      <c r="G9438" s="33" t="str">
        <f>IFERROR(VLOOKUP($D9438,'Informations sur les produits'!$A$3:$H$10000,8,FALSE),"0")</f>
        <v>0</v>
      </c>
      <c r="K9438" s="4"/>
      <c r="L9438" s="33" t="str">
        <f>IFERROR(VLOOKUP($J9438,'Informations sur les produits'!$A$3:$H$10000,8,FALSE),"0")</f>
        <v>0</v>
      </c>
      <c r="N9438" s="8"/>
      <c r="O9438" s="33" t="str">
        <f>IFERROR(VLOOKUP($M9438,'Informations sur les produits'!$A$3:$H$10000,8,FALSE),"0")</f>
        <v>0</v>
      </c>
      <c r="P9438" s="33">
        <f t="shared" si="588"/>
        <v>0</v>
      </c>
      <c r="Q9438" s="31" t="str">
        <f t="shared" si="589"/>
        <v/>
      </c>
      <c r="R9438" s="32" t="str">
        <f>IFERROR(VLOOKUP($D9438,'Informations sur les produits'!$A$3:$B$15000,2,FALSE),"")</f>
        <v/>
      </c>
      <c r="V9438">
        <f t="shared" si="590"/>
        <v>0</v>
      </c>
      <c r="W9438">
        <f t="shared" si="591"/>
        <v>0</v>
      </c>
    </row>
    <row r="9439" spans="5:23" x14ac:dyDescent="0.25">
      <c r="E9439" s="4"/>
      <c r="F9439" s="4"/>
      <c r="G9439" s="33" t="str">
        <f>IFERROR(VLOOKUP($D9439,'Informations sur les produits'!$A$3:$H$10000,8,FALSE),"0")</f>
        <v>0</v>
      </c>
      <c r="K9439" s="4"/>
      <c r="L9439" s="33" t="str">
        <f>IFERROR(VLOOKUP($J9439,'Informations sur les produits'!$A$3:$H$10000,8,FALSE),"0")</f>
        <v>0</v>
      </c>
      <c r="N9439" s="8"/>
      <c r="O9439" s="33" t="str">
        <f>IFERROR(VLOOKUP($M9439,'Informations sur les produits'!$A$3:$H$10000,8,FALSE),"0")</f>
        <v>0</v>
      </c>
      <c r="P9439" s="33">
        <f t="shared" si="588"/>
        <v>0</v>
      </c>
      <c r="Q9439" s="31" t="str">
        <f t="shared" si="589"/>
        <v/>
      </c>
      <c r="R9439" s="32" t="str">
        <f>IFERROR(VLOOKUP($D9439,'Informations sur les produits'!$A$3:$B$15000,2,FALSE),"")</f>
        <v/>
      </c>
      <c r="V9439">
        <f t="shared" si="590"/>
        <v>0</v>
      </c>
      <c r="W9439">
        <f t="shared" si="591"/>
        <v>0</v>
      </c>
    </row>
    <row r="9440" spans="5:23" x14ac:dyDescent="0.25">
      <c r="E9440" s="4"/>
      <c r="F9440" s="4"/>
      <c r="G9440" s="33" t="str">
        <f>IFERROR(VLOOKUP($D9440,'Informations sur les produits'!$A$3:$H$10000,8,FALSE),"0")</f>
        <v>0</v>
      </c>
      <c r="K9440" s="4"/>
      <c r="L9440" s="33" t="str">
        <f>IFERROR(VLOOKUP($J9440,'Informations sur les produits'!$A$3:$H$10000,8,FALSE),"0")</f>
        <v>0</v>
      </c>
      <c r="N9440" s="8"/>
      <c r="O9440" s="33" t="str">
        <f>IFERROR(VLOOKUP($M9440,'Informations sur les produits'!$A$3:$H$10000,8,FALSE),"0")</f>
        <v>0</v>
      </c>
      <c r="P9440" s="33">
        <f t="shared" si="588"/>
        <v>0</v>
      </c>
      <c r="Q9440" s="31" t="str">
        <f t="shared" si="589"/>
        <v/>
      </c>
      <c r="R9440" s="32" t="str">
        <f>IFERROR(VLOOKUP($D9440,'Informations sur les produits'!$A$3:$B$15000,2,FALSE),"")</f>
        <v/>
      </c>
      <c r="V9440">
        <f t="shared" si="590"/>
        <v>0</v>
      </c>
      <c r="W9440">
        <f t="shared" si="591"/>
        <v>0</v>
      </c>
    </row>
    <row r="9441" spans="5:23" x14ac:dyDescent="0.25">
      <c r="E9441" s="4"/>
      <c r="F9441" s="4"/>
      <c r="G9441" s="33" t="str">
        <f>IFERROR(VLOOKUP($D9441,'Informations sur les produits'!$A$3:$H$10000,8,FALSE),"0")</f>
        <v>0</v>
      </c>
      <c r="K9441" s="4"/>
      <c r="L9441" s="33" t="str">
        <f>IFERROR(VLOOKUP($J9441,'Informations sur les produits'!$A$3:$H$10000,8,FALSE),"0")</f>
        <v>0</v>
      </c>
      <c r="N9441" s="8"/>
      <c r="O9441" s="33" t="str">
        <f>IFERROR(VLOOKUP($M9441,'Informations sur les produits'!$A$3:$H$10000,8,FALSE),"0")</f>
        <v>0</v>
      </c>
      <c r="P9441" s="33">
        <f t="shared" si="588"/>
        <v>0</v>
      </c>
      <c r="Q9441" s="31" t="str">
        <f t="shared" si="589"/>
        <v/>
      </c>
      <c r="R9441" s="32" t="str">
        <f>IFERROR(VLOOKUP($D9441,'Informations sur les produits'!$A$3:$B$15000,2,FALSE),"")</f>
        <v/>
      </c>
      <c r="V9441">
        <f t="shared" si="590"/>
        <v>0</v>
      </c>
      <c r="W9441">
        <f t="shared" si="591"/>
        <v>0</v>
      </c>
    </row>
    <row r="9442" spans="5:23" x14ac:dyDescent="0.25">
      <c r="E9442" s="4"/>
      <c r="F9442" s="4"/>
      <c r="G9442" s="33" t="str">
        <f>IFERROR(VLOOKUP($D9442,'Informations sur les produits'!$A$3:$H$10000,8,FALSE),"0")</f>
        <v>0</v>
      </c>
      <c r="K9442" s="4"/>
      <c r="L9442" s="33" t="str">
        <f>IFERROR(VLOOKUP($J9442,'Informations sur les produits'!$A$3:$H$10000,8,FALSE),"0")</f>
        <v>0</v>
      </c>
      <c r="N9442" s="8"/>
      <c r="O9442" s="33" t="str">
        <f>IFERROR(VLOOKUP($M9442,'Informations sur les produits'!$A$3:$H$10000,8,FALSE),"0")</f>
        <v>0</v>
      </c>
      <c r="P9442" s="33">
        <f t="shared" si="588"/>
        <v>0</v>
      </c>
      <c r="Q9442" s="31" t="str">
        <f t="shared" si="589"/>
        <v/>
      </c>
      <c r="R9442" s="32" t="str">
        <f>IFERROR(VLOOKUP($D9442,'Informations sur les produits'!$A$3:$B$15000,2,FALSE),"")</f>
        <v/>
      </c>
      <c r="V9442">
        <f t="shared" si="590"/>
        <v>0</v>
      </c>
      <c r="W9442">
        <f t="shared" si="591"/>
        <v>0</v>
      </c>
    </row>
    <row r="9443" spans="5:23" x14ac:dyDescent="0.25">
      <c r="E9443" s="4"/>
      <c r="F9443" s="4"/>
      <c r="G9443" s="33" t="str">
        <f>IFERROR(VLOOKUP($D9443,'Informations sur les produits'!$A$3:$H$10000,8,FALSE),"0")</f>
        <v>0</v>
      </c>
      <c r="K9443" s="4"/>
      <c r="L9443" s="33" t="str">
        <f>IFERROR(VLOOKUP($J9443,'Informations sur les produits'!$A$3:$H$10000,8,FALSE),"0")</f>
        <v>0</v>
      </c>
      <c r="N9443" s="8"/>
      <c r="O9443" s="33" t="str">
        <f>IFERROR(VLOOKUP($M9443,'Informations sur les produits'!$A$3:$H$10000,8,FALSE),"0")</f>
        <v>0</v>
      </c>
      <c r="P9443" s="33">
        <f t="shared" si="588"/>
        <v>0</v>
      </c>
      <c r="Q9443" s="31" t="str">
        <f t="shared" si="589"/>
        <v/>
      </c>
      <c r="R9443" s="32" t="str">
        <f>IFERROR(VLOOKUP($D9443,'Informations sur les produits'!$A$3:$B$15000,2,FALSE),"")</f>
        <v/>
      </c>
      <c r="V9443">
        <f t="shared" si="590"/>
        <v>0</v>
      </c>
      <c r="W9443">
        <f t="shared" si="591"/>
        <v>0</v>
      </c>
    </row>
    <row r="9444" spans="5:23" x14ac:dyDescent="0.25">
      <c r="E9444" s="4"/>
      <c r="F9444" s="4"/>
      <c r="G9444" s="33" t="str">
        <f>IFERROR(VLOOKUP($D9444,'Informations sur les produits'!$A$3:$H$10000,8,FALSE),"0")</f>
        <v>0</v>
      </c>
      <c r="K9444" s="4"/>
      <c r="L9444" s="33" t="str">
        <f>IFERROR(VLOOKUP($J9444,'Informations sur les produits'!$A$3:$H$10000,8,FALSE),"0")</f>
        <v>0</v>
      </c>
      <c r="N9444" s="8"/>
      <c r="O9444" s="33" t="str">
        <f>IFERROR(VLOOKUP($M9444,'Informations sur les produits'!$A$3:$H$10000,8,FALSE),"0")</f>
        <v>0</v>
      </c>
      <c r="P9444" s="33">
        <f t="shared" si="588"/>
        <v>0</v>
      </c>
      <c r="Q9444" s="31" t="str">
        <f t="shared" si="589"/>
        <v/>
      </c>
      <c r="R9444" s="32" t="str">
        <f>IFERROR(VLOOKUP($D9444,'Informations sur les produits'!$A$3:$B$15000,2,FALSE),"")</f>
        <v/>
      </c>
      <c r="V9444">
        <f t="shared" si="590"/>
        <v>0</v>
      </c>
      <c r="W9444">
        <f t="shared" si="591"/>
        <v>0</v>
      </c>
    </row>
    <row r="9445" spans="5:23" x14ac:dyDescent="0.25">
      <c r="E9445" s="4"/>
      <c r="F9445" s="4"/>
      <c r="G9445" s="33" t="str">
        <f>IFERROR(VLOOKUP($D9445,'Informations sur les produits'!$A$3:$H$10000,8,FALSE),"0")</f>
        <v>0</v>
      </c>
      <c r="K9445" s="4"/>
      <c r="L9445" s="33" t="str">
        <f>IFERROR(VLOOKUP($J9445,'Informations sur les produits'!$A$3:$H$10000,8,FALSE),"0")</f>
        <v>0</v>
      </c>
      <c r="N9445" s="8"/>
      <c r="O9445" s="33" t="str">
        <f>IFERROR(VLOOKUP($M9445,'Informations sur les produits'!$A$3:$H$10000,8,FALSE),"0")</f>
        <v>0</v>
      </c>
      <c r="P9445" s="33">
        <f t="shared" si="588"/>
        <v>0</v>
      </c>
      <c r="Q9445" s="31" t="str">
        <f t="shared" si="589"/>
        <v/>
      </c>
      <c r="R9445" s="32" t="str">
        <f>IFERROR(VLOOKUP($D9445,'Informations sur les produits'!$A$3:$B$15000,2,FALSE),"")</f>
        <v/>
      </c>
      <c r="V9445">
        <f t="shared" si="590"/>
        <v>0</v>
      </c>
      <c r="W9445">
        <f t="shared" si="591"/>
        <v>0</v>
      </c>
    </row>
    <row r="9446" spans="5:23" x14ac:dyDescent="0.25">
      <c r="E9446" s="4"/>
      <c r="F9446" s="4"/>
      <c r="G9446" s="33" t="str">
        <f>IFERROR(VLOOKUP($D9446,'Informations sur les produits'!$A$3:$H$10000,8,FALSE),"0")</f>
        <v>0</v>
      </c>
      <c r="K9446" s="4"/>
      <c r="L9446" s="33" t="str">
        <f>IFERROR(VLOOKUP($J9446,'Informations sur les produits'!$A$3:$H$10000,8,FALSE),"0")</f>
        <v>0</v>
      </c>
      <c r="N9446" s="8"/>
      <c r="O9446" s="33" t="str">
        <f>IFERROR(VLOOKUP($M9446,'Informations sur les produits'!$A$3:$H$10000,8,FALSE),"0")</f>
        <v>0</v>
      </c>
      <c r="P9446" s="33">
        <f t="shared" si="588"/>
        <v>0</v>
      </c>
      <c r="Q9446" s="31" t="str">
        <f t="shared" si="589"/>
        <v/>
      </c>
      <c r="R9446" s="32" t="str">
        <f>IFERROR(VLOOKUP($D9446,'Informations sur les produits'!$A$3:$B$15000,2,FALSE),"")</f>
        <v/>
      </c>
      <c r="V9446">
        <f t="shared" si="590"/>
        <v>0</v>
      </c>
      <c r="W9446">
        <f t="shared" si="591"/>
        <v>0</v>
      </c>
    </row>
    <row r="9447" spans="5:23" x14ac:dyDescent="0.25">
      <c r="E9447" s="4"/>
      <c r="F9447" s="4"/>
      <c r="G9447" s="33" t="str">
        <f>IFERROR(VLOOKUP($D9447,'Informations sur les produits'!$A$3:$H$10000,8,FALSE),"0")</f>
        <v>0</v>
      </c>
      <c r="K9447" s="4"/>
      <c r="L9447" s="33" t="str">
        <f>IFERROR(VLOOKUP($J9447,'Informations sur les produits'!$A$3:$H$10000,8,FALSE),"0")</f>
        <v>0</v>
      </c>
      <c r="N9447" s="8"/>
      <c r="O9447" s="33" t="str">
        <f>IFERROR(VLOOKUP($M9447,'Informations sur les produits'!$A$3:$H$10000,8,FALSE),"0")</f>
        <v>0</v>
      </c>
      <c r="P9447" s="33">
        <f t="shared" si="588"/>
        <v>0</v>
      </c>
      <c r="Q9447" s="31" t="str">
        <f t="shared" si="589"/>
        <v/>
      </c>
      <c r="R9447" s="32" t="str">
        <f>IFERROR(VLOOKUP($D9447,'Informations sur les produits'!$A$3:$B$15000,2,FALSE),"")</f>
        <v/>
      </c>
      <c r="V9447">
        <f t="shared" si="590"/>
        <v>0</v>
      </c>
      <c r="W9447">
        <f t="shared" si="591"/>
        <v>0</v>
      </c>
    </row>
    <row r="9448" spans="5:23" x14ac:dyDescent="0.25">
      <c r="E9448" s="4"/>
      <c r="F9448" s="4"/>
      <c r="G9448" s="33" t="str">
        <f>IFERROR(VLOOKUP($D9448,'Informations sur les produits'!$A$3:$H$10000,8,FALSE),"0")</f>
        <v>0</v>
      </c>
      <c r="K9448" s="4"/>
      <c r="L9448" s="33" t="str">
        <f>IFERROR(VLOOKUP($J9448,'Informations sur les produits'!$A$3:$H$10000,8,FALSE),"0")</f>
        <v>0</v>
      </c>
      <c r="N9448" s="8"/>
      <c r="O9448" s="33" t="str">
        <f>IFERROR(VLOOKUP($M9448,'Informations sur les produits'!$A$3:$H$10000,8,FALSE),"0")</f>
        <v>0</v>
      </c>
      <c r="P9448" s="33">
        <f t="shared" si="588"/>
        <v>0</v>
      </c>
      <c r="Q9448" s="31" t="str">
        <f t="shared" si="589"/>
        <v/>
      </c>
      <c r="R9448" s="32" t="str">
        <f>IFERROR(VLOOKUP($D9448,'Informations sur les produits'!$A$3:$B$15000,2,FALSE),"")</f>
        <v/>
      </c>
      <c r="V9448">
        <f t="shared" si="590"/>
        <v>0</v>
      </c>
      <c r="W9448">
        <f t="shared" si="591"/>
        <v>0</v>
      </c>
    </row>
    <row r="9449" spans="5:23" x14ac:dyDescent="0.25">
      <c r="E9449" s="4"/>
      <c r="F9449" s="4"/>
      <c r="G9449" s="33" t="str">
        <f>IFERROR(VLOOKUP($D9449,'Informations sur les produits'!$A$3:$H$10000,8,FALSE),"0")</f>
        <v>0</v>
      </c>
      <c r="K9449" s="4"/>
      <c r="L9449" s="33" t="str">
        <f>IFERROR(VLOOKUP($J9449,'Informations sur les produits'!$A$3:$H$10000,8,FALSE),"0")</f>
        <v>0</v>
      </c>
      <c r="N9449" s="8"/>
      <c r="O9449" s="33" t="str">
        <f>IFERROR(VLOOKUP($M9449,'Informations sur les produits'!$A$3:$H$10000,8,FALSE),"0")</f>
        <v>0</v>
      </c>
      <c r="P9449" s="33">
        <f t="shared" si="588"/>
        <v>0</v>
      </c>
      <c r="Q9449" s="31" t="str">
        <f t="shared" si="589"/>
        <v/>
      </c>
      <c r="R9449" s="32" t="str">
        <f>IFERROR(VLOOKUP($D9449,'Informations sur les produits'!$A$3:$B$15000,2,FALSE),"")</f>
        <v/>
      </c>
      <c r="V9449">
        <f t="shared" si="590"/>
        <v>0</v>
      </c>
      <c r="W9449">
        <f t="shared" si="591"/>
        <v>0</v>
      </c>
    </row>
    <row r="9450" spans="5:23" x14ac:dyDescent="0.25">
      <c r="E9450" s="4"/>
      <c r="F9450" s="4"/>
      <c r="G9450" s="33" t="str">
        <f>IFERROR(VLOOKUP($D9450,'Informations sur les produits'!$A$3:$H$10000,8,FALSE),"0")</f>
        <v>0</v>
      </c>
      <c r="K9450" s="4"/>
      <c r="L9450" s="33" t="str">
        <f>IFERROR(VLOOKUP($J9450,'Informations sur les produits'!$A$3:$H$10000,8,FALSE),"0")</f>
        <v>0</v>
      </c>
      <c r="N9450" s="8"/>
      <c r="O9450" s="33" t="str">
        <f>IFERROR(VLOOKUP($M9450,'Informations sur les produits'!$A$3:$H$10000,8,FALSE),"0")</f>
        <v>0</v>
      </c>
      <c r="P9450" s="33">
        <f t="shared" si="588"/>
        <v>0</v>
      </c>
      <c r="Q9450" s="31" t="str">
        <f t="shared" si="589"/>
        <v/>
      </c>
      <c r="R9450" s="32" t="str">
        <f>IFERROR(VLOOKUP($D9450,'Informations sur les produits'!$A$3:$B$15000,2,FALSE),"")</f>
        <v/>
      </c>
      <c r="V9450">
        <f t="shared" si="590"/>
        <v>0</v>
      </c>
      <c r="W9450">
        <f t="shared" si="591"/>
        <v>0</v>
      </c>
    </row>
    <row r="9451" spans="5:23" x14ac:dyDescent="0.25">
      <c r="E9451" s="4"/>
      <c r="F9451" s="4"/>
      <c r="G9451" s="33" t="str">
        <f>IFERROR(VLOOKUP($D9451,'Informations sur les produits'!$A$3:$H$10000,8,FALSE),"0")</f>
        <v>0</v>
      </c>
      <c r="K9451" s="4"/>
      <c r="L9451" s="33" t="str">
        <f>IFERROR(VLOOKUP($J9451,'Informations sur les produits'!$A$3:$H$10000,8,FALSE),"0")</f>
        <v>0</v>
      </c>
      <c r="N9451" s="8"/>
      <c r="O9451" s="33" t="str">
        <f>IFERROR(VLOOKUP($M9451,'Informations sur les produits'!$A$3:$H$10000,8,FALSE),"0")</f>
        <v>0</v>
      </c>
      <c r="P9451" s="33">
        <f t="shared" si="588"/>
        <v>0</v>
      </c>
      <c r="Q9451" s="31" t="str">
        <f t="shared" si="589"/>
        <v/>
      </c>
      <c r="R9451" s="32" t="str">
        <f>IFERROR(VLOOKUP($D9451,'Informations sur les produits'!$A$3:$B$15000,2,FALSE),"")</f>
        <v/>
      </c>
      <c r="V9451">
        <f t="shared" si="590"/>
        <v>0</v>
      </c>
      <c r="W9451">
        <f t="shared" si="591"/>
        <v>0</v>
      </c>
    </row>
    <row r="9452" spans="5:23" x14ac:dyDescent="0.25">
      <c r="E9452" s="4"/>
      <c r="F9452" s="4"/>
      <c r="G9452" s="33" t="str">
        <f>IFERROR(VLOOKUP($D9452,'Informations sur les produits'!$A$3:$H$10000,8,FALSE),"0")</f>
        <v>0</v>
      </c>
      <c r="K9452" s="4"/>
      <c r="L9452" s="33" t="str">
        <f>IFERROR(VLOOKUP($J9452,'Informations sur les produits'!$A$3:$H$10000,8,FALSE),"0")</f>
        <v>0</v>
      </c>
      <c r="N9452" s="8"/>
      <c r="O9452" s="33" t="str">
        <f>IFERROR(VLOOKUP($M9452,'Informations sur les produits'!$A$3:$H$10000,8,FALSE),"0")</f>
        <v>0</v>
      </c>
      <c r="P9452" s="33">
        <f t="shared" si="588"/>
        <v>0</v>
      </c>
      <c r="Q9452" s="31" t="str">
        <f t="shared" si="589"/>
        <v/>
      </c>
      <c r="R9452" s="32" t="str">
        <f>IFERROR(VLOOKUP($D9452,'Informations sur les produits'!$A$3:$B$15000,2,FALSE),"")</f>
        <v/>
      </c>
      <c r="V9452">
        <f t="shared" si="590"/>
        <v>0</v>
      </c>
      <c r="W9452">
        <f t="shared" si="591"/>
        <v>0</v>
      </c>
    </row>
    <row r="9453" spans="5:23" x14ac:dyDescent="0.25">
      <c r="E9453" s="4"/>
      <c r="F9453" s="4"/>
      <c r="G9453" s="33" t="str">
        <f>IFERROR(VLOOKUP($D9453,'Informations sur les produits'!$A$3:$H$10000,8,FALSE),"0")</f>
        <v>0</v>
      </c>
      <c r="K9453" s="4"/>
      <c r="L9453" s="33" t="str">
        <f>IFERROR(VLOOKUP($J9453,'Informations sur les produits'!$A$3:$H$10000,8,FALSE),"0")</f>
        <v>0</v>
      </c>
      <c r="N9453" s="8"/>
      <c r="O9453" s="33" t="str">
        <f>IFERROR(VLOOKUP($M9453,'Informations sur les produits'!$A$3:$H$10000,8,FALSE),"0")</f>
        <v>0</v>
      </c>
      <c r="P9453" s="33">
        <f t="shared" si="588"/>
        <v>0</v>
      </c>
      <c r="Q9453" s="31" t="str">
        <f t="shared" si="589"/>
        <v/>
      </c>
      <c r="R9453" s="32" t="str">
        <f>IFERROR(VLOOKUP($D9453,'Informations sur les produits'!$A$3:$B$15000,2,FALSE),"")</f>
        <v/>
      </c>
      <c r="V9453">
        <f t="shared" si="590"/>
        <v>0</v>
      </c>
      <c r="W9453">
        <f t="shared" si="591"/>
        <v>0</v>
      </c>
    </row>
    <row r="9454" spans="5:23" x14ac:dyDescent="0.25">
      <c r="E9454" s="4"/>
      <c r="F9454" s="4"/>
      <c r="G9454" s="33" t="str">
        <f>IFERROR(VLOOKUP($D9454,'Informations sur les produits'!$A$3:$H$10000,8,FALSE),"0")</f>
        <v>0</v>
      </c>
      <c r="K9454" s="4"/>
      <c r="L9454" s="33" t="str">
        <f>IFERROR(VLOOKUP($J9454,'Informations sur les produits'!$A$3:$H$10000,8,FALSE),"0")</f>
        <v>0</v>
      </c>
      <c r="N9454" s="8"/>
      <c r="O9454" s="33" t="str">
        <f>IFERROR(VLOOKUP($M9454,'Informations sur les produits'!$A$3:$H$10000,8,FALSE),"0")</f>
        <v>0</v>
      </c>
      <c r="P9454" s="33">
        <f t="shared" si="588"/>
        <v>0</v>
      </c>
      <c r="Q9454" s="31" t="str">
        <f t="shared" si="589"/>
        <v/>
      </c>
      <c r="R9454" s="32" t="str">
        <f>IFERROR(VLOOKUP($D9454,'Informations sur les produits'!$A$3:$B$15000,2,FALSE),"")</f>
        <v/>
      </c>
      <c r="V9454">
        <f t="shared" si="590"/>
        <v>0</v>
      </c>
      <c r="W9454">
        <f t="shared" si="591"/>
        <v>0</v>
      </c>
    </row>
    <row r="9455" spans="5:23" x14ac:dyDescent="0.25">
      <c r="E9455" s="4"/>
      <c r="F9455" s="4"/>
      <c r="G9455" s="33" t="str">
        <f>IFERROR(VLOOKUP($D9455,'Informations sur les produits'!$A$3:$H$10000,8,FALSE),"0")</f>
        <v>0</v>
      </c>
      <c r="K9455" s="4"/>
      <c r="L9455" s="33" t="str">
        <f>IFERROR(VLOOKUP($J9455,'Informations sur les produits'!$A$3:$H$10000,8,FALSE),"0")</f>
        <v>0</v>
      </c>
      <c r="N9455" s="8"/>
      <c r="O9455" s="33" t="str">
        <f>IFERROR(VLOOKUP($M9455,'Informations sur les produits'!$A$3:$H$10000,8,FALSE),"0")</f>
        <v>0</v>
      </c>
      <c r="P9455" s="33">
        <f t="shared" si="588"/>
        <v>0</v>
      </c>
      <c r="Q9455" s="31" t="str">
        <f t="shared" si="589"/>
        <v/>
      </c>
      <c r="R9455" s="32" t="str">
        <f>IFERROR(VLOOKUP($D9455,'Informations sur les produits'!$A$3:$B$15000,2,FALSE),"")</f>
        <v/>
      </c>
      <c r="V9455">
        <f t="shared" si="590"/>
        <v>0</v>
      </c>
      <c r="W9455">
        <f t="shared" si="591"/>
        <v>0</v>
      </c>
    </row>
    <row r="9456" spans="5:23" x14ac:dyDescent="0.25">
      <c r="E9456" s="4"/>
      <c r="F9456" s="4"/>
      <c r="G9456" s="33" t="str">
        <f>IFERROR(VLOOKUP($D9456,'Informations sur les produits'!$A$3:$H$10000,8,FALSE),"0")</f>
        <v>0</v>
      </c>
      <c r="K9456" s="4"/>
      <c r="L9456" s="33" t="str">
        <f>IFERROR(VLOOKUP($J9456,'Informations sur les produits'!$A$3:$H$10000,8,FALSE),"0")</f>
        <v>0</v>
      </c>
      <c r="N9456" s="8"/>
      <c r="O9456" s="33" t="str">
        <f>IFERROR(VLOOKUP($M9456,'Informations sur les produits'!$A$3:$H$10000,8,FALSE),"0")</f>
        <v>0</v>
      </c>
      <c r="P9456" s="33">
        <f t="shared" si="588"/>
        <v>0</v>
      </c>
      <c r="Q9456" s="31" t="str">
        <f t="shared" si="589"/>
        <v/>
      </c>
      <c r="R9456" s="32" t="str">
        <f>IFERROR(VLOOKUP($D9456,'Informations sur les produits'!$A$3:$B$15000,2,FALSE),"")</f>
        <v/>
      </c>
      <c r="V9456">
        <f t="shared" si="590"/>
        <v>0</v>
      </c>
      <c r="W9456">
        <f t="shared" si="591"/>
        <v>0</v>
      </c>
    </row>
    <row r="9457" spans="5:23" x14ac:dyDescent="0.25">
      <c r="E9457" s="4"/>
      <c r="F9457" s="4"/>
      <c r="G9457" s="33" t="str">
        <f>IFERROR(VLOOKUP($D9457,'Informations sur les produits'!$A$3:$H$10000,8,FALSE),"0")</f>
        <v>0</v>
      </c>
      <c r="K9457" s="4"/>
      <c r="L9457" s="33" t="str">
        <f>IFERROR(VLOOKUP($J9457,'Informations sur les produits'!$A$3:$H$10000,8,FALSE),"0")</f>
        <v>0</v>
      </c>
      <c r="N9457" s="8"/>
      <c r="O9457" s="33" t="str">
        <f>IFERROR(VLOOKUP($M9457,'Informations sur les produits'!$A$3:$H$10000,8,FALSE),"0")</f>
        <v>0</v>
      </c>
      <c r="P9457" s="33">
        <f t="shared" si="588"/>
        <v>0</v>
      </c>
      <c r="Q9457" s="31" t="str">
        <f t="shared" si="589"/>
        <v/>
      </c>
      <c r="R9457" s="32" t="str">
        <f>IFERROR(VLOOKUP($D9457,'Informations sur les produits'!$A$3:$B$15000,2,FALSE),"")</f>
        <v/>
      </c>
      <c r="V9457">
        <f t="shared" si="590"/>
        <v>0</v>
      </c>
      <c r="W9457">
        <f t="shared" si="591"/>
        <v>0</v>
      </c>
    </row>
    <row r="9458" spans="5:23" x14ac:dyDescent="0.25">
      <c r="E9458" s="4"/>
      <c r="F9458" s="4"/>
      <c r="G9458" s="33" t="str">
        <f>IFERROR(VLOOKUP($D9458,'Informations sur les produits'!$A$3:$H$10000,8,FALSE),"0")</f>
        <v>0</v>
      </c>
      <c r="K9458" s="4"/>
      <c r="L9458" s="33" t="str">
        <f>IFERROR(VLOOKUP($J9458,'Informations sur les produits'!$A$3:$H$10000,8,FALSE),"0")</f>
        <v>0</v>
      </c>
      <c r="N9458" s="8"/>
      <c r="O9458" s="33" t="str">
        <f>IFERROR(VLOOKUP($M9458,'Informations sur les produits'!$A$3:$H$10000,8,FALSE),"0")</f>
        <v>0</v>
      </c>
      <c r="P9458" s="33">
        <f t="shared" si="588"/>
        <v>0</v>
      </c>
      <c r="Q9458" s="31" t="str">
        <f t="shared" si="589"/>
        <v/>
      </c>
      <c r="R9458" s="32" t="str">
        <f>IFERROR(VLOOKUP($D9458,'Informations sur les produits'!$A$3:$B$15000,2,FALSE),"")</f>
        <v/>
      </c>
      <c r="V9458">
        <f t="shared" si="590"/>
        <v>0</v>
      </c>
      <c r="W9458">
        <f t="shared" si="591"/>
        <v>0</v>
      </c>
    </row>
    <row r="9459" spans="5:23" x14ac:dyDescent="0.25">
      <c r="E9459" s="4"/>
      <c r="F9459" s="4"/>
      <c r="G9459" s="33" t="str">
        <f>IFERROR(VLOOKUP($D9459,'Informations sur les produits'!$A$3:$H$10000,8,FALSE),"0")</f>
        <v>0</v>
      </c>
      <c r="K9459" s="4"/>
      <c r="L9459" s="33" t="str">
        <f>IFERROR(VLOOKUP($J9459,'Informations sur les produits'!$A$3:$H$10000,8,FALSE),"0")</f>
        <v>0</v>
      </c>
      <c r="N9459" s="8"/>
      <c r="O9459" s="33" t="str">
        <f>IFERROR(VLOOKUP($M9459,'Informations sur les produits'!$A$3:$H$10000,8,FALSE),"0")</f>
        <v>0</v>
      </c>
      <c r="P9459" s="33">
        <f t="shared" si="588"/>
        <v>0</v>
      </c>
      <c r="Q9459" s="31" t="str">
        <f t="shared" si="589"/>
        <v/>
      </c>
      <c r="R9459" s="32" t="str">
        <f>IFERROR(VLOOKUP($D9459,'Informations sur les produits'!$A$3:$B$15000,2,FALSE),"")</f>
        <v/>
      </c>
      <c r="V9459">
        <f t="shared" si="590"/>
        <v>0</v>
      </c>
      <c r="W9459">
        <f t="shared" si="591"/>
        <v>0</v>
      </c>
    </row>
    <row r="9460" spans="5:23" x14ac:dyDescent="0.25">
      <c r="E9460" s="4"/>
      <c r="F9460" s="4"/>
      <c r="G9460" s="33" t="str">
        <f>IFERROR(VLOOKUP($D9460,'Informations sur les produits'!$A$3:$H$10000,8,FALSE),"0")</f>
        <v>0</v>
      </c>
      <c r="K9460" s="4"/>
      <c r="L9460" s="33" t="str">
        <f>IFERROR(VLOOKUP($J9460,'Informations sur les produits'!$A$3:$H$10000,8,FALSE),"0")</f>
        <v>0</v>
      </c>
      <c r="N9460" s="8"/>
      <c r="O9460" s="33" t="str">
        <f>IFERROR(VLOOKUP($M9460,'Informations sur les produits'!$A$3:$H$10000,8,FALSE),"0")</f>
        <v>0</v>
      </c>
      <c r="P9460" s="33">
        <f t="shared" si="588"/>
        <v>0</v>
      </c>
      <c r="Q9460" s="31" t="str">
        <f t="shared" si="589"/>
        <v/>
      </c>
      <c r="R9460" s="32" t="str">
        <f>IFERROR(VLOOKUP($D9460,'Informations sur les produits'!$A$3:$B$15000,2,FALSE),"")</f>
        <v/>
      </c>
      <c r="V9460">
        <f t="shared" si="590"/>
        <v>0</v>
      </c>
      <c r="W9460">
        <f t="shared" si="591"/>
        <v>0</v>
      </c>
    </row>
    <row r="9461" spans="5:23" x14ac:dyDescent="0.25">
      <c r="E9461" s="4"/>
      <c r="F9461" s="4"/>
      <c r="G9461" s="33" t="str">
        <f>IFERROR(VLOOKUP($D9461,'Informations sur les produits'!$A$3:$H$10000,8,FALSE),"0")</f>
        <v>0</v>
      </c>
      <c r="K9461" s="4"/>
      <c r="L9461" s="33" t="str">
        <f>IFERROR(VLOOKUP($J9461,'Informations sur les produits'!$A$3:$H$10000,8,FALSE),"0")</f>
        <v>0</v>
      </c>
      <c r="N9461" s="8"/>
      <c r="O9461" s="33" t="str">
        <f>IFERROR(VLOOKUP($M9461,'Informations sur les produits'!$A$3:$H$10000,8,FALSE),"0")</f>
        <v>0</v>
      </c>
      <c r="P9461" s="33">
        <f t="shared" si="588"/>
        <v>0</v>
      </c>
      <c r="Q9461" s="31" t="str">
        <f t="shared" si="589"/>
        <v/>
      </c>
      <c r="R9461" s="32" t="str">
        <f>IFERROR(VLOOKUP($D9461,'Informations sur les produits'!$A$3:$B$15000,2,FALSE),"")</f>
        <v/>
      </c>
      <c r="V9461">
        <f t="shared" si="590"/>
        <v>0</v>
      </c>
      <c r="W9461">
        <f t="shared" si="591"/>
        <v>0</v>
      </c>
    </row>
    <row r="9462" spans="5:23" x14ac:dyDescent="0.25">
      <c r="E9462" s="4"/>
      <c r="F9462" s="4"/>
      <c r="G9462" s="33" t="str">
        <f>IFERROR(VLOOKUP($D9462,'Informations sur les produits'!$A$3:$H$10000,8,FALSE),"0")</f>
        <v>0</v>
      </c>
      <c r="K9462" s="4"/>
      <c r="L9462" s="33" t="str">
        <f>IFERROR(VLOOKUP($J9462,'Informations sur les produits'!$A$3:$H$10000,8,FALSE),"0")</f>
        <v>0</v>
      </c>
      <c r="N9462" s="8"/>
      <c r="O9462" s="33" t="str">
        <f>IFERROR(VLOOKUP($M9462,'Informations sur les produits'!$A$3:$H$10000,8,FALSE),"0")</f>
        <v>0</v>
      </c>
      <c r="P9462" s="33">
        <f t="shared" si="588"/>
        <v>0</v>
      </c>
      <c r="Q9462" s="31" t="str">
        <f t="shared" si="589"/>
        <v/>
      </c>
      <c r="R9462" s="32" t="str">
        <f>IFERROR(VLOOKUP($D9462,'Informations sur les produits'!$A$3:$B$15000,2,FALSE),"")</f>
        <v/>
      </c>
      <c r="V9462">
        <f t="shared" si="590"/>
        <v>0</v>
      </c>
      <c r="W9462">
        <f t="shared" si="591"/>
        <v>0</v>
      </c>
    </row>
    <row r="9463" spans="5:23" x14ac:dyDescent="0.25">
      <c r="E9463" s="4"/>
      <c r="F9463" s="4"/>
      <c r="G9463" s="33" t="str">
        <f>IFERROR(VLOOKUP($D9463,'Informations sur les produits'!$A$3:$H$10000,8,FALSE),"0")</f>
        <v>0</v>
      </c>
      <c r="K9463" s="4"/>
      <c r="L9463" s="33" t="str">
        <f>IFERROR(VLOOKUP($J9463,'Informations sur les produits'!$A$3:$H$10000,8,FALSE),"0")</f>
        <v>0</v>
      </c>
      <c r="N9463" s="8"/>
      <c r="O9463" s="33" t="str">
        <f>IFERROR(VLOOKUP($M9463,'Informations sur les produits'!$A$3:$H$10000,8,FALSE),"0")</f>
        <v>0</v>
      </c>
      <c r="P9463" s="33">
        <f t="shared" si="588"/>
        <v>0</v>
      </c>
      <c r="Q9463" s="31" t="str">
        <f t="shared" si="589"/>
        <v/>
      </c>
      <c r="R9463" s="32" t="str">
        <f>IFERROR(VLOOKUP($D9463,'Informations sur les produits'!$A$3:$B$15000,2,FALSE),"")</f>
        <v/>
      </c>
      <c r="V9463">
        <f t="shared" si="590"/>
        <v>0</v>
      </c>
      <c r="W9463">
        <f t="shared" si="591"/>
        <v>0</v>
      </c>
    </row>
    <row r="9464" spans="5:23" x14ac:dyDescent="0.25">
      <c r="E9464" s="4"/>
      <c r="F9464" s="4"/>
      <c r="G9464" s="33" t="str">
        <f>IFERROR(VLOOKUP($D9464,'Informations sur les produits'!$A$3:$H$10000,8,FALSE),"0")</f>
        <v>0</v>
      </c>
      <c r="K9464" s="4"/>
      <c r="L9464" s="33" t="str">
        <f>IFERROR(VLOOKUP($J9464,'Informations sur les produits'!$A$3:$H$10000,8,FALSE),"0")</f>
        <v>0</v>
      </c>
      <c r="N9464" s="8"/>
      <c r="O9464" s="33" t="str">
        <f>IFERROR(VLOOKUP($M9464,'Informations sur les produits'!$A$3:$H$10000,8,FALSE),"0")</f>
        <v>0</v>
      </c>
      <c r="P9464" s="33">
        <f t="shared" si="588"/>
        <v>0</v>
      </c>
      <c r="Q9464" s="31" t="str">
        <f t="shared" si="589"/>
        <v/>
      </c>
      <c r="R9464" s="32" t="str">
        <f>IFERROR(VLOOKUP($D9464,'Informations sur les produits'!$A$3:$B$15000,2,FALSE),"")</f>
        <v/>
      </c>
      <c r="V9464">
        <f t="shared" si="590"/>
        <v>0</v>
      </c>
      <c r="W9464">
        <f t="shared" si="591"/>
        <v>0</v>
      </c>
    </row>
    <row r="9465" spans="5:23" x14ac:dyDescent="0.25">
      <c r="E9465" s="4"/>
      <c r="F9465" s="4"/>
      <c r="G9465" s="33" t="str">
        <f>IFERROR(VLOOKUP($D9465,'Informations sur les produits'!$A$3:$H$10000,8,FALSE),"0")</f>
        <v>0</v>
      </c>
      <c r="K9465" s="4"/>
      <c r="L9465" s="33" t="str">
        <f>IFERROR(VLOOKUP($J9465,'Informations sur les produits'!$A$3:$H$10000,8,FALSE),"0")</f>
        <v>0</v>
      </c>
      <c r="N9465" s="8"/>
      <c r="O9465" s="33" t="str">
        <f>IFERROR(VLOOKUP($M9465,'Informations sur les produits'!$A$3:$H$10000,8,FALSE),"0")</f>
        <v>0</v>
      </c>
      <c r="P9465" s="33">
        <f t="shared" si="588"/>
        <v>0</v>
      </c>
      <c r="Q9465" s="31" t="str">
        <f t="shared" si="589"/>
        <v/>
      </c>
      <c r="R9465" s="32" t="str">
        <f>IFERROR(VLOOKUP($D9465,'Informations sur les produits'!$A$3:$B$15000,2,FALSE),"")</f>
        <v/>
      </c>
      <c r="V9465">
        <f t="shared" si="590"/>
        <v>0</v>
      </c>
      <c r="W9465">
        <f t="shared" si="591"/>
        <v>0</v>
      </c>
    </row>
    <row r="9466" spans="5:23" x14ac:dyDescent="0.25">
      <c r="E9466" s="4"/>
      <c r="F9466" s="4"/>
      <c r="G9466" s="33" t="str">
        <f>IFERROR(VLOOKUP($D9466,'Informations sur les produits'!$A$3:$H$10000,8,FALSE),"0")</f>
        <v>0</v>
      </c>
      <c r="K9466" s="4"/>
      <c r="L9466" s="33" t="str">
        <f>IFERROR(VLOOKUP($J9466,'Informations sur les produits'!$A$3:$H$10000,8,FALSE),"0")</f>
        <v>0</v>
      </c>
      <c r="N9466" s="8"/>
      <c r="O9466" s="33" t="str">
        <f>IFERROR(VLOOKUP($M9466,'Informations sur les produits'!$A$3:$H$10000,8,FALSE),"0")</f>
        <v>0</v>
      </c>
      <c r="P9466" s="33">
        <f t="shared" si="588"/>
        <v>0</v>
      </c>
      <c r="Q9466" s="31" t="str">
        <f t="shared" si="589"/>
        <v/>
      </c>
      <c r="R9466" s="32" t="str">
        <f>IFERROR(VLOOKUP($D9466,'Informations sur les produits'!$A$3:$B$15000,2,FALSE),"")</f>
        <v/>
      </c>
      <c r="V9466">
        <f t="shared" si="590"/>
        <v>0</v>
      </c>
      <c r="W9466">
        <f t="shared" si="591"/>
        <v>0</v>
      </c>
    </row>
    <row r="9467" spans="5:23" x14ac:dyDescent="0.25">
      <c r="E9467" s="4"/>
      <c r="F9467" s="4"/>
      <c r="G9467" s="33" t="str">
        <f>IFERROR(VLOOKUP($D9467,'Informations sur les produits'!$A$3:$H$10000,8,FALSE),"0")</f>
        <v>0</v>
      </c>
      <c r="K9467" s="4"/>
      <c r="L9467" s="33" t="str">
        <f>IFERROR(VLOOKUP($J9467,'Informations sur les produits'!$A$3:$H$10000,8,FALSE),"0")</f>
        <v>0</v>
      </c>
      <c r="N9467" s="8"/>
      <c r="O9467" s="33" t="str">
        <f>IFERROR(VLOOKUP($M9467,'Informations sur les produits'!$A$3:$H$10000,8,FALSE),"0")</f>
        <v>0</v>
      </c>
      <c r="P9467" s="33">
        <f t="shared" si="588"/>
        <v>0</v>
      </c>
      <c r="Q9467" s="31" t="str">
        <f t="shared" si="589"/>
        <v/>
      </c>
      <c r="R9467" s="32" t="str">
        <f>IFERROR(VLOOKUP($D9467,'Informations sur les produits'!$A$3:$B$15000,2,FALSE),"")</f>
        <v/>
      </c>
      <c r="V9467">
        <f t="shared" si="590"/>
        <v>0</v>
      </c>
      <c r="W9467">
        <f t="shared" si="591"/>
        <v>0</v>
      </c>
    </row>
    <row r="9468" spans="5:23" x14ac:dyDescent="0.25">
      <c r="E9468" s="4"/>
      <c r="F9468" s="4"/>
      <c r="G9468" s="33" t="str">
        <f>IFERROR(VLOOKUP($D9468,'Informations sur les produits'!$A$3:$H$10000,8,FALSE),"0")</f>
        <v>0</v>
      </c>
      <c r="K9468" s="4"/>
      <c r="L9468" s="33" t="str">
        <f>IFERROR(VLOOKUP($J9468,'Informations sur les produits'!$A$3:$H$10000,8,FALSE),"0")</f>
        <v>0</v>
      </c>
      <c r="N9468" s="8"/>
      <c r="O9468" s="33" t="str">
        <f>IFERROR(VLOOKUP($M9468,'Informations sur les produits'!$A$3:$H$10000,8,FALSE),"0")</f>
        <v>0</v>
      </c>
      <c r="P9468" s="33">
        <f t="shared" si="588"/>
        <v>0</v>
      </c>
      <c r="Q9468" s="31" t="str">
        <f t="shared" si="589"/>
        <v/>
      </c>
      <c r="R9468" s="32" t="str">
        <f>IFERROR(VLOOKUP($D9468,'Informations sur les produits'!$A$3:$B$15000,2,FALSE),"")</f>
        <v/>
      </c>
      <c r="V9468">
        <f t="shared" si="590"/>
        <v>0</v>
      </c>
      <c r="W9468">
        <f t="shared" si="591"/>
        <v>0</v>
      </c>
    </row>
    <row r="9469" spans="5:23" x14ac:dyDescent="0.25">
      <c r="E9469" s="4"/>
      <c r="F9469" s="4"/>
      <c r="G9469" s="33" t="str">
        <f>IFERROR(VLOOKUP($D9469,'Informations sur les produits'!$A$3:$H$10000,8,FALSE),"0")</f>
        <v>0</v>
      </c>
      <c r="K9469" s="4"/>
      <c r="L9469" s="33" t="str">
        <f>IFERROR(VLOOKUP($J9469,'Informations sur les produits'!$A$3:$H$10000,8,FALSE),"0")</f>
        <v>0</v>
      </c>
      <c r="N9469" s="8"/>
      <c r="O9469" s="33" t="str">
        <f>IFERROR(VLOOKUP($M9469,'Informations sur les produits'!$A$3:$H$10000,8,FALSE),"0")</f>
        <v>0</v>
      </c>
      <c r="P9469" s="33">
        <f t="shared" si="588"/>
        <v>0</v>
      </c>
      <c r="Q9469" s="31" t="str">
        <f t="shared" si="589"/>
        <v/>
      </c>
      <c r="R9469" s="32" t="str">
        <f>IFERROR(VLOOKUP($D9469,'Informations sur les produits'!$A$3:$B$15000,2,FALSE),"")</f>
        <v/>
      </c>
      <c r="V9469">
        <f t="shared" si="590"/>
        <v>0</v>
      </c>
      <c r="W9469">
        <f t="shared" si="591"/>
        <v>0</v>
      </c>
    </row>
    <row r="9470" spans="5:23" x14ac:dyDescent="0.25">
      <c r="E9470" s="4"/>
      <c r="F9470" s="4"/>
      <c r="G9470" s="33" t="str">
        <f>IFERROR(VLOOKUP($D9470,'Informations sur les produits'!$A$3:$H$10000,8,FALSE),"0")</f>
        <v>0</v>
      </c>
      <c r="K9470" s="4"/>
      <c r="L9470" s="33" t="str">
        <f>IFERROR(VLOOKUP($J9470,'Informations sur les produits'!$A$3:$H$10000,8,FALSE),"0")</f>
        <v>0</v>
      </c>
      <c r="N9470" s="8"/>
      <c r="O9470" s="33" t="str">
        <f>IFERROR(VLOOKUP($M9470,'Informations sur les produits'!$A$3:$H$10000,8,FALSE),"0")</f>
        <v>0</v>
      </c>
      <c r="P9470" s="33">
        <f t="shared" si="588"/>
        <v>0</v>
      </c>
      <c r="Q9470" s="31" t="str">
        <f t="shared" si="589"/>
        <v/>
      </c>
      <c r="R9470" s="32" t="str">
        <f>IFERROR(VLOOKUP($D9470,'Informations sur les produits'!$A$3:$B$15000,2,FALSE),"")</f>
        <v/>
      </c>
      <c r="V9470">
        <f t="shared" si="590"/>
        <v>0</v>
      </c>
      <c r="W9470">
        <f t="shared" si="591"/>
        <v>0</v>
      </c>
    </row>
    <row r="9471" spans="5:23" x14ac:dyDescent="0.25">
      <c r="E9471" s="4"/>
      <c r="F9471" s="4"/>
      <c r="G9471" s="33" t="str">
        <f>IFERROR(VLOOKUP($D9471,'Informations sur les produits'!$A$3:$H$10000,8,FALSE),"0")</f>
        <v>0</v>
      </c>
      <c r="K9471" s="4"/>
      <c r="L9471" s="33" t="str">
        <f>IFERROR(VLOOKUP($J9471,'Informations sur les produits'!$A$3:$H$10000,8,FALSE),"0")</f>
        <v>0</v>
      </c>
      <c r="N9471" s="8"/>
      <c r="O9471" s="33" t="str">
        <f>IFERROR(VLOOKUP($M9471,'Informations sur les produits'!$A$3:$H$10000,8,FALSE),"0")</f>
        <v>0</v>
      </c>
      <c r="P9471" s="33">
        <f t="shared" si="588"/>
        <v>0</v>
      </c>
      <c r="Q9471" s="31" t="str">
        <f t="shared" si="589"/>
        <v/>
      </c>
      <c r="R9471" s="32" t="str">
        <f>IFERROR(VLOOKUP($D9471,'Informations sur les produits'!$A$3:$B$15000,2,FALSE),"")</f>
        <v/>
      </c>
      <c r="V9471">
        <f t="shared" si="590"/>
        <v>0</v>
      </c>
      <c r="W9471">
        <f t="shared" si="591"/>
        <v>0</v>
      </c>
    </row>
    <row r="9472" spans="5:23" x14ac:dyDescent="0.25">
      <c r="E9472" s="4"/>
      <c r="F9472" s="4"/>
      <c r="G9472" s="33" t="str">
        <f>IFERROR(VLOOKUP($D9472,'Informations sur les produits'!$A$3:$H$10000,8,FALSE),"0")</f>
        <v>0</v>
      </c>
      <c r="K9472" s="4"/>
      <c r="L9472" s="33" t="str">
        <f>IFERROR(VLOOKUP($J9472,'Informations sur les produits'!$A$3:$H$10000,8,FALSE),"0")</f>
        <v>0</v>
      </c>
      <c r="N9472" s="8"/>
      <c r="O9472" s="33" t="str">
        <f>IFERROR(VLOOKUP($M9472,'Informations sur les produits'!$A$3:$H$10000,8,FALSE),"0")</f>
        <v>0</v>
      </c>
      <c r="P9472" s="33">
        <f t="shared" si="588"/>
        <v>0</v>
      </c>
      <c r="Q9472" s="31" t="str">
        <f t="shared" si="589"/>
        <v/>
      </c>
      <c r="R9472" s="32" t="str">
        <f>IFERROR(VLOOKUP($D9472,'Informations sur les produits'!$A$3:$B$15000,2,FALSE),"")</f>
        <v/>
      </c>
      <c r="V9472">
        <f t="shared" si="590"/>
        <v>0</v>
      </c>
      <c r="W9472">
        <f t="shared" si="591"/>
        <v>0</v>
      </c>
    </row>
    <row r="9473" spans="5:23" x14ac:dyDescent="0.25">
      <c r="E9473" s="4"/>
      <c r="F9473" s="4"/>
      <c r="G9473" s="33" t="str">
        <f>IFERROR(VLOOKUP($D9473,'Informations sur les produits'!$A$3:$H$10000,8,FALSE),"0")</f>
        <v>0</v>
      </c>
      <c r="K9473" s="4"/>
      <c r="L9473" s="33" t="str">
        <f>IFERROR(VLOOKUP($J9473,'Informations sur les produits'!$A$3:$H$10000,8,FALSE),"0")</f>
        <v>0</v>
      </c>
      <c r="N9473" s="8"/>
      <c r="O9473" s="33" t="str">
        <f>IFERROR(VLOOKUP($M9473,'Informations sur les produits'!$A$3:$H$10000,8,FALSE),"0")</f>
        <v>0</v>
      </c>
      <c r="P9473" s="33">
        <f t="shared" si="588"/>
        <v>0</v>
      </c>
      <c r="Q9473" s="31" t="str">
        <f t="shared" si="589"/>
        <v/>
      </c>
      <c r="R9473" s="32" t="str">
        <f>IFERROR(VLOOKUP($D9473,'Informations sur les produits'!$A$3:$B$15000,2,FALSE),"")</f>
        <v/>
      </c>
      <c r="V9473">
        <f t="shared" si="590"/>
        <v>0</v>
      </c>
      <c r="W9473">
        <f t="shared" si="591"/>
        <v>0</v>
      </c>
    </row>
    <row r="9474" spans="5:23" x14ac:dyDescent="0.25">
      <c r="E9474" s="4"/>
      <c r="F9474" s="4"/>
      <c r="G9474" s="33" t="str">
        <f>IFERROR(VLOOKUP($D9474,'Informations sur les produits'!$A$3:$H$10000,8,FALSE),"0")</f>
        <v>0</v>
      </c>
      <c r="K9474" s="4"/>
      <c r="L9474" s="33" t="str">
        <f>IFERROR(VLOOKUP($J9474,'Informations sur les produits'!$A$3:$H$10000,8,FALSE),"0")</f>
        <v>0</v>
      </c>
      <c r="N9474" s="8"/>
      <c r="O9474" s="33" t="str">
        <f>IFERROR(VLOOKUP($M9474,'Informations sur les produits'!$A$3:$H$10000,8,FALSE),"0")</f>
        <v>0</v>
      </c>
      <c r="P9474" s="33">
        <f t="shared" si="588"/>
        <v>0</v>
      </c>
      <c r="Q9474" s="31" t="str">
        <f t="shared" si="589"/>
        <v/>
      </c>
      <c r="R9474" s="32" t="str">
        <f>IFERROR(VLOOKUP($D9474,'Informations sur les produits'!$A$3:$B$15000,2,FALSE),"")</f>
        <v/>
      </c>
      <c r="V9474">
        <f t="shared" si="590"/>
        <v>0</v>
      </c>
      <c r="W9474">
        <f t="shared" si="591"/>
        <v>0</v>
      </c>
    </row>
    <row r="9475" spans="5:23" x14ac:dyDescent="0.25">
      <c r="E9475" s="4"/>
      <c r="F9475" s="4"/>
      <c r="G9475" s="33" t="str">
        <f>IFERROR(VLOOKUP($D9475,'Informations sur les produits'!$A$3:$H$10000,8,FALSE),"0")</f>
        <v>0</v>
      </c>
      <c r="K9475" s="4"/>
      <c r="L9475" s="33" t="str">
        <f>IFERROR(VLOOKUP($J9475,'Informations sur les produits'!$A$3:$H$10000,8,FALSE),"0")</f>
        <v>0</v>
      </c>
      <c r="N9475" s="8"/>
      <c r="O9475" s="33" t="str">
        <f>IFERROR(VLOOKUP($M9475,'Informations sur les produits'!$A$3:$H$10000,8,FALSE),"0")</f>
        <v>0</v>
      </c>
      <c r="P9475" s="33">
        <f t="shared" si="588"/>
        <v>0</v>
      </c>
      <c r="Q9475" s="31" t="str">
        <f t="shared" si="589"/>
        <v/>
      </c>
      <c r="R9475" s="32" t="str">
        <f>IFERROR(VLOOKUP($D9475,'Informations sur les produits'!$A$3:$B$15000,2,FALSE),"")</f>
        <v/>
      </c>
      <c r="V9475">
        <f t="shared" si="590"/>
        <v>0</v>
      </c>
      <c r="W9475">
        <f t="shared" si="591"/>
        <v>0</v>
      </c>
    </row>
    <row r="9476" spans="5:23" x14ac:dyDescent="0.25">
      <c r="E9476" s="4"/>
      <c r="F9476" s="4"/>
      <c r="G9476" s="33" t="str">
        <f>IFERROR(VLOOKUP($D9476,'Informations sur les produits'!$A$3:$H$10000,8,FALSE),"0")</f>
        <v>0</v>
      </c>
      <c r="K9476" s="4"/>
      <c r="L9476" s="33" t="str">
        <f>IFERROR(VLOOKUP($J9476,'Informations sur les produits'!$A$3:$H$10000,8,FALSE),"0")</f>
        <v>0</v>
      </c>
      <c r="N9476" s="8"/>
      <c r="O9476" s="33" t="str">
        <f>IFERROR(VLOOKUP($M9476,'Informations sur les produits'!$A$3:$H$10000,8,FALSE),"0")</f>
        <v>0</v>
      </c>
      <c r="P9476" s="33">
        <f t="shared" ref="P9476:P9539" si="592">IFERROR((($E9476-$F9476)*$G9476+$K9476*$L9476+$N9476*$O9476),"")</f>
        <v>0</v>
      </c>
      <c r="Q9476" s="31" t="str">
        <f t="shared" ref="Q9476:Q9539" si="593">IFERROR((((($E9476-$F9476)*$G9476+$K9476*$L9476+$N9476*$O9476)*1000)/(($E9476-$F9476)+$K9476+$N9476)),"")</f>
        <v/>
      </c>
      <c r="R9476" s="32" t="str">
        <f>IFERROR(VLOOKUP($D9476,'Informations sur les produits'!$A$3:$B$15000,2,FALSE),"")</f>
        <v/>
      </c>
      <c r="V9476">
        <f t="shared" ref="V9476:V9539" si="594">IFERROR(P9476*1000,"")</f>
        <v>0</v>
      </c>
      <c r="W9476">
        <f t="shared" ref="W9476:W9539" si="595">IFERROR(($E9476-$F9476)+$K9476+$N9476,"")</f>
        <v>0</v>
      </c>
    </row>
    <row r="9477" spans="5:23" x14ac:dyDescent="0.25">
      <c r="E9477" s="4"/>
      <c r="F9477" s="4"/>
      <c r="G9477" s="33" t="str">
        <f>IFERROR(VLOOKUP($D9477,'Informations sur les produits'!$A$3:$H$10000,8,FALSE),"0")</f>
        <v>0</v>
      </c>
      <c r="K9477" s="4"/>
      <c r="L9477" s="33" t="str">
        <f>IFERROR(VLOOKUP($J9477,'Informations sur les produits'!$A$3:$H$10000,8,FALSE),"0")</f>
        <v>0</v>
      </c>
      <c r="N9477" s="8"/>
      <c r="O9477" s="33" t="str">
        <f>IFERROR(VLOOKUP($M9477,'Informations sur les produits'!$A$3:$H$10000,8,FALSE),"0")</f>
        <v>0</v>
      </c>
      <c r="P9477" s="33">
        <f t="shared" si="592"/>
        <v>0</v>
      </c>
      <c r="Q9477" s="31" t="str">
        <f t="shared" si="593"/>
        <v/>
      </c>
      <c r="R9477" s="32" t="str">
        <f>IFERROR(VLOOKUP($D9477,'Informations sur les produits'!$A$3:$B$15000,2,FALSE),"")</f>
        <v/>
      </c>
      <c r="V9477">
        <f t="shared" si="594"/>
        <v>0</v>
      </c>
      <c r="W9477">
        <f t="shared" si="595"/>
        <v>0</v>
      </c>
    </row>
    <row r="9478" spans="5:23" x14ac:dyDescent="0.25">
      <c r="E9478" s="4"/>
      <c r="F9478" s="4"/>
      <c r="G9478" s="33" t="str">
        <f>IFERROR(VLOOKUP($D9478,'Informations sur les produits'!$A$3:$H$10000,8,FALSE),"0")</f>
        <v>0</v>
      </c>
      <c r="K9478" s="4"/>
      <c r="L9478" s="33" t="str">
        <f>IFERROR(VLOOKUP($J9478,'Informations sur les produits'!$A$3:$H$10000,8,FALSE),"0")</f>
        <v>0</v>
      </c>
      <c r="N9478" s="8"/>
      <c r="O9478" s="33" t="str">
        <f>IFERROR(VLOOKUP($M9478,'Informations sur les produits'!$A$3:$H$10000,8,FALSE),"0")</f>
        <v>0</v>
      </c>
      <c r="P9478" s="33">
        <f t="shared" si="592"/>
        <v>0</v>
      </c>
      <c r="Q9478" s="31" t="str">
        <f t="shared" si="593"/>
        <v/>
      </c>
      <c r="R9478" s="32" t="str">
        <f>IFERROR(VLOOKUP($D9478,'Informations sur les produits'!$A$3:$B$15000,2,FALSE),"")</f>
        <v/>
      </c>
      <c r="V9478">
        <f t="shared" si="594"/>
        <v>0</v>
      </c>
      <c r="W9478">
        <f t="shared" si="595"/>
        <v>0</v>
      </c>
    </row>
    <row r="9479" spans="5:23" x14ac:dyDescent="0.25">
      <c r="E9479" s="4"/>
      <c r="F9479" s="4"/>
      <c r="G9479" s="33" t="str">
        <f>IFERROR(VLOOKUP($D9479,'Informations sur les produits'!$A$3:$H$10000,8,FALSE),"0")</f>
        <v>0</v>
      </c>
      <c r="K9479" s="4"/>
      <c r="L9479" s="33" t="str">
        <f>IFERROR(VLOOKUP($J9479,'Informations sur les produits'!$A$3:$H$10000,8,FALSE),"0")</f>
        <v>0</v>
      </c>
      <c r="N9479" s="8"/>
      <c r="O9479" s="33" t="str">
        <f>IFERROR(VLOOKUP($M9479,'Informations sur les produits'!$A$3:$H$10000,8,FALSE),"0")</f>
        <v>0</v>
      </c>
      <c r="P9479" s="33">
        <f t="shared" si="592"/>
        <v>0</v>
      </c>
      <c r="Q9479" s="31" t="str">
        <f t="shared" si="593"/>
        <v/>
      </c>
      <c r="R9479" s="32" t="str">
        <f>IFERROR(VLOOKUP($D9479,'Informations sur les produits'!$A$3:$B$15000,2,FALSE),"")</f>
        <v/>
      </c>
      <c r="V9479">
        <f t="shared" si="594"/>
        <v>0</v>
      </c>
      <c r="W9479">
        <f t="shared" si="595"/>
        <v>0</v>
      </c>
    </row>
    <row r="9480" spans="5:23" x14ac:dyDescent="0.25">
      <c r="E9480" s="4"/>
      <c r="F9480" s="4"/>
      <c r="G9480" s="33" t="str">
        <f>IFERROR(VLOOKUP($D9480,'Informations sur les produits'!$A$3:$H$10000,8,FALSE),"0")</f>
        <v>0</v>
      </c>
      <c r="K9480" s="4"/>
      <c r="L9480" s="33" t="str">
        <f>IFERROR(VLOOKUP($J9480,'Informations sur les produits'!$A$3:$H$10000,8,FALSE),"0")</f>
        <v>0</v>
      </c>
      <c r="N9480" s="8"/>
      <c r="O9480" s="33" t="str">
        <f>IFERROR(VLOOKUP($M9480,'Informations sur les produits'!$A$3:$H$10000,8,FALSE),"0")</f>
        <v>0</v>
      </c>
      <c r="P9480" s="33">
        <f t="shared" si="592"/>
        <v>0</v>
      </c>
      <c r="Q9480" s="31" t="str">
        <f t="shared" si="593"/>
        <v/>
      </c>
      <c r="R9480" s="32" t="str">
        <f>IFERROR(VLOOKUP($D9480,'Informations sur les produits'!$A$3:$B$15000,2,FALSE),"")</f>
        <v/>
      </c>
      <c r="V9480">
        <f t="shared" si="594"/>
        <v>0</v>
      </c>
      <c r="W9480">
        <f t="shared" si="595"/>
        <v>0</v>
      </c>
    </row>
    <row r="9481" spans="5:23" x14ac:dyDescent="0.25">
      <c r="E9481" s="4"/>
      <c r="F9481" s="4"/>
      <c r="G9481" s="33" t="str">
        <f>IFERROR(VLOOKUP($D9481,'Informations sur les produits'!$A$3:$H$10000,8,FALSE),"0")</f>
        <v>0</v>
      </c>
      <c r="K9481" s="4"/>
      <c r="L9481" s="33" t="str">
        <f>IFERROR(VLOOKUP($J9481,'Informations sur les produits'!$A$3:$H$10000,8,FALSE),"0")</f>
        <v>0</v>
      </c>
      <c r="N9481" s="8"/>
      <c r="O9481" s="33" t="str">
        <f>IFERROR(VLOOKUP($M9481,'Informations sur les produits'!$A$3:$H$10000,8,FALSE),"0")</f>
        <v>0</v>
      </c>
      <c r="P9481" s="33">
        <f t="shared" si="592"/>
        <v>0</v>
      </c>
      <c r="Q9481" s="31" t="str">
        <f t="shared" si="593"/>
        <v/>
      </c>
      <c r="R9481" s="32" t="str">
        <f>IFERROR(VLOOKUP($D9481,'Informations sur les produits'!$A$3:$B$15000,2,FALSE),"")</f>
        <v/>
      </c>
      <c r="V9481">
        <f t="shared" si="594"/>
        <v>0</v>
      </c>
      <c r="W9481">
        <f t="shared" si="595"/>
        <v>0</v>
      </c>
    </row>
    <row r="9482" spans="5:23" x14ac:dyDescent="0.25">
      <c r="E9482" s="4"/>
      <c r="F9482" s="4"/>
      <c r="G9482" s="33" t="str">
        <f>IFERROR(VLOOKUP($D9482,'Informations sur les produits'!$A$3:$H$10000,8,FALSE),"0")</f>
        <v>0</v>
      </c>
      <c r="K9482" s="4"/>
      <c r="L9482" s="33" t="str">
        <f>IFERROR(VLOOKUP($J9482,'Informations sur les produits'!$A$3:$H$10000,8,FALSE),"0")</f>
        <v>0</v>
      </c>
      <c r="N9482" s="8"/>
      <c r="O9482" s="33" t="str">
        <f>IFERROR(VLOOKUP($M9482,'Informations sur les produits'!$A$3:$H$10000,8,FALSE),"0")</f>
        <v>0</v>
      </c>
      <c r="P9482" s="33">
        <f t="shared" si="592"/>
        <v>0</v>
      </c>
      <c r="Q9482" s="31" t="str">
        <f t="shared" si="593"/>
        <v/>
      </c>
      <c r="R9482" s="32" t="str">
        <f>IFERROR(VLOOKUP($D9482,'Informations sur les produits'!$A$3:$B$15000,2,FALSE),"")</f>
        <v/>
      </c>
      <c r="V9482">
        <f t="shared" si="594"/>
        <v>0</v>
      </c>
      <c r="W9482">
        <f t="shared" si="595"/>
        <v>0</v>
      </c>
    </row>
    <row r="9483" spans="5:23" x14ac:dyDescent="0.25">
      <c r="E9483" s="4"/>
      <c r="F9483" s="4"/>
      <c r="G9483" s="33" t="str">
        <f>IFERROR(VLOOKUP($D9483,'Informations sur les produits'!$A$3:$H$10000,8,FALSE),"0")</f>
        <v>0</v>
      </c>
      <c r="K9483" s="4"/>
      <c r="L9483" s="33" t="str">
        <f>IFERROR(VLOOKUP($J9483,'Informations sur les produits'!$A$3:$H$10000,8,FALSE),"0")</f>
        <v>0</v>
      </c>
      <c r="N9483" s="8"/>
      <c r="O9483" s="33" t="str">
        <f>IFERROR(VLOOKUP($M9483,'Informations sur les produits'!$A$3:$H$10000,8,FALSE),"0")</f>
        <v>0</v>
      </c>
      <c r="P9483" s="33">
        <f t="shared" si="592"/>
        <v>0</v>
      </c>
      <c r="Q9483" s="31" t="str">
        <f t="shared" si="593"/>
        <v/>
      </c>
      <c r="R9483" s="32" t="str">
        <f>IFERROR(VLOOKUP($D9483,'Informations sur les produits'!$A$3:$B$15000,2,FALSE),"")</f>
        <v/>
      </c>
      <c r="V9483">
        <f t="shared" si="594"/>
        <v>0</v>
      </c>
      <c r="W9483">
        <f t="shared" si="595"/>
        <v>0</v>
      </c>
    </row>
    <row r="9484" spans="5:23" x14ac:dyDescent="0.25">
      <c r="E9484" s="4"/>
      <c r="F9484" s="4"/>
      <c r="G9484" s="33" t="str">
        <f>IFERROR(VLOOKUP($D9484,'Informations sur les produits'!$A$3:$H$10000,8,FALSE),"0")</f>
        <v>0</v>
      </c>
      <c r="K9484" s="4"/>
      <c r="L9484" s="33" t="str">
        <f>IFERROR(VLOOKUP($J9484,'Informations sur les produits'!$A$3:$H$10000,8,FALSE),"0")</f>
        <v>0</v>
      </c>
      <c r="N9484" s="8"/>
      <c r="O9484" s="33" t="str">
        <f>IFERROR(VLOOKUP($M9484,'Informations sur les produits'!$A$3:$H$10000,8,FALSE),"0")</f>
        <v>0</v>
      </c>
      <c r="P9484" s="33">
        <f t="shared" si="592"/>
        <v>0</v>
      </c>
      <c r="Q9484" s="31" t="str">
        <f t="shared" si="593"/>
        <v/>
      </c>
      <c r="R9484" s="32" t="str">
        <f>IFERROR(VLOOKUP($D9484,'Informations sur les produits'!$A$3:$B$15000,2,FALSE),"")</f>
        <v/>
      </c>
      <c r="V9484">
        <f t="shared" si="594"/>
        <v>0</v>
      </c>
      <c r="W9484">
        <f t="shared" si="595"/>
        <v>0</v>
      </c>
    </row>
    <row r="9485" spans="5:23" x14ac:dyDescent="0.25">
      <c r="E9485" s="4"/>
      <c r="F9485" s="4"/>
      <c r="G9485" s="33" t="str">
        <f>IFERROR(VLOOKUP($D9485,'Informations sur les produits'!$A$3:$H$10000,8,FALSE),"0")</f>
        <v>0</v>
      </c>
      <c r="K9485" s="4"/>
      <c r="L9485" s="33" t="str">
        <f>IFERROR(VLOOKUP($J9485,'Informations sur les produits'!$A$3:$H$10000,8,FALSE),"0")</f>
        <v>0</v>
      </c>
      <c r="N9485" s="8"/>
      <c r="O9485" s="33" t="str">
        <f>IFERROR(VLOOKUP($M9485,'Informations sur les produits'!$A$3:$H$10000,8,FALSE),"0")</f>
        <v>0</v>
      </c>
      <c r="P9485" s="33">
        <f t="shared" si="592"/>
        <v>0</v>
      </c>
      <c r="Q9485" s="31" t="str">
        <f t="shared" si="593"/>
        <v/>
      </c>
      <c r="R9485" s="32" t="str">
        <f>IFERROR(VLOOKUP($D9485,'Informations sur les produits'!$A$3:$B$15000,2,FALSE),"")</f>
        <v/>
      </c>
      <c r="V9485">
        <f t="shared" si="594"/>
        <v>0</v>
      </c>
      <c r="W9485">
        <f t="shared" si="595"/>
        <v>0</v>
      </c>
    </row>
    <row r="9486" spans="5:23" x14ac:dyDescent="0.25">
      <c r="E9486" s="4"/>
      <c r="F9486" s="4"/>
      <c r="G9486" s="33" t="str">
        <f>IFERROR(VLOOKUP($D9486,'Informations sur les produits'!$A$3:$H$10000,8,FALSE),"0")</f>
        <v>0</v>
      </c>
      <c r="K9486" s="4"/>
      <c r="L9486" s="33" t="str">
        <f>IFERROR(VLOOKUP($J9486,'Informations sur les produits'!$A$3:$H$10000,8,FALSE),"0")</f>
        <v>0</v>
      </c>
      <c r="N9486" s="8"/>
      <c r="O9486" s="33" t="str">
        <f>IFERROR(VLOOKUP($M9486,'Informations sur les produits'!$A$3:$H$10000,8,FALSE),"0")</f>
        <v>0</v>
      </c>
      <c r="P9486" s="33">
        <f t="shared" si="592"/>
        <v>0</v>
      </c>
      <c r="Q9486" s="31" t="str">
        <f t="shared" si="593"/>
        <v/>
      </c>
      <c r="R9486" s="32" t="str">
        <f>IFERROR(VLOOKUP($D9486,'Informations sur les produits'!$A$3:$B$15000,2,FALSE),"")</f>
        <v/>
      </c>
      <c r="V9486">
        <f t="shared" si="594"/>
        <v>0</v>
      </c>
      <c r="W9486">
        <f t="shared" si="595"/>
        <v>0</v>
      </c>
    </row>
    <row r="9487" spans="5:23" x14ac:dyDescent="0.25">
      <c r="E9487" s="4"/>
      <c r="F9487" s="4"/>
      <c r="G9487" s="33" t="str">
        <f>IFERROR(VLOOKUP($D9487,'Informations sur les produits'!$A$3:$H$10000,8,FALSE),"0")</f>
        <v>0</v>
      </c>
      <c r="K9487" s="4"/>
      <c r="L9487" s="33" t="str">
        <f>IFERROR(VLOOKUP($J9487,'Informations sur les produits'!$A$3:$H$10000,8,FALSE),"0")</f>
        <v>0</v>
      </c>
      <c r="N9487" s="8"/>
      <c r="O9487" s="33" t="str">
        <f>IFERROR(VLOOKUP($M9487,'Informations sur les produits'!$A$3:$H$10000,8,FALSE),"0")</f>
        <v>0</v>
      </c>
      <c r="P9487" s="33">
        <f t="shared" si="592"/>
        <v>0</v>
      </c>
      <c r="Q9487" s="31" t="str">
        <f t="shared" si="593"/>
        <v/>
      </c>
      <c r="R9487" s="32" t="str">
        <f>IFERROR(VLOOKUP($D9487,'Informations sur les produits'!$A$3:$B$15000,2,FALSE),"")</f>
        <v/>
      </c>
      <c r="V9487">
        <f t="shared" si="594"/>
        <v>0</v>
      </c>
      <c r="W9487">
        <f t="shared" si="595"/>
        <v>0</v>
      </c>
    </row>
    <row r="9488" spans="5:23" x14ac:dyDescent="0.25">
      <c r="E9488" s="4"/>
      <c r="F9488" s="4"/>
      <c r="G9488" s="33" t="str">
        <f>IFERROR(VLOOKUP($D9488,'Informations sur les produits'!$A$3:$H$10000,8,FALSE),"0")</f>
        <v>0</v>
      </c>
      <c r="K9488" s="4"/>
      <c r="L9488" s="33" t="str">
        <f>IFERROR(VLOOKUP($J9488,'Informations sur les produits'!$A$3:$H$10000,8,FALSE),"0")</f>
        <v>0</v>
      </c>
      <c r="N9488" s="8"/>
      <c r="O9488" s="33" t="str">
        <f>IFERROR(VLOOKUP($M9488,'Informations sur les produits'!$A$3:$H$10000,8,FALSE),"0")</f>
        <v>0</v>
      </c>
      <c r="P9488" s="33">
        <f t="shared" si="592"/>
        <v>0</v>
      </c>
      <c r="Q9488" s="31" t="str">
        <f t="shared" si="593"/>
        <v/>
      </c>
      <c r="R9488" s="32" t="str">
        <f>IFERROR(VLOOKUP($D9488,'Informations sur les produits'!$A$3:$B$15000,2,FALSE),"")</f>
        <v/>
      </c>
      <c r="V9488">
        <f t="shared" si="594"/>
        <v>0</v>
      </c>
      <c r="W9488">
        <f t="shared" si="595"/>
        <v>0</v>
      </c>
    </row>
    <row r="9489" spans="5:23" x14ac:dyDescent="0.25">
      <c r="E9489" s="4"/>
      <c r="F9489" s="4"/>
      <c r="G9489" s="33" t="str">
        <f>IFERROR(VLOOKUP($D9489,'Informations sur les produits'!$A$3:$H$10000,8,FALSE),"0")</f>
        <v>0</v>
      </c>
      <c r="K9489" s="4"/>
      <c r="L9489" s="33" t="str">
        <f>IFERROR(VLOOKUP($J9489,'Informations sur les produits'!$A$3:$H$10000,8,FALSE),"0")</f>
        <v>0</v>
      </c>
      <c r="N9489" s="8"/>
      <c r="O9489" s="33" t="str">
        <f>IFERROR(VLOOKUP($M9489,'Informations sur les produits'!$A$3:$H$10000,8,FALSE),"0")</f>
        <v>0</v>
      </c>
      <c r="P9489" s="33">
        <f t="shared" si="592"/>
        <v>0</v>
      </c>
      <c r="Q9489" s="31" t="str">
        <f t="shared" si="593"/>
        <v/>
      </c>
      <c r="R9489" s="32" t="str">
        <f>IFERROR(VLOOKUP($D9489,'Informations sur les produits'!$A$3:$B$15000,2,FALSE),"")</f>
        <v/>
      </c>
      <c r="V9489">
        <f t="shared" si="594"/>
        <v>0</v>
      </c>
      <c r="W9489">
        <f t="shared" si="595"/>
        <v>0</v>
      </c>
    </row>
    <row r="9490" spans="5:23" x14ac:dyDescent="0.25">
      <c r="E9490" s="4"/>
      <c r="F9490" s="4"/>
      <c r="G9490" s="33" t="str">
        <f>IFERROR(VLOOKUP($D9490,'Informations sur les produits'!$A$3:$H$10000,8,FALSE),"0")</f>
        <v>0</v>
      </c>
      <c r="K9490" s="4"/>
      <c r="L9490" s="33" t="str">
        <f>IFERROR(VLOOKUP($J9490,'Informations sur les produits'!$A$3:$H$10000,8,FALSE),"0")</f>
        <v>0</v>
      </c>
      <c r="N9490" s="8"/>
      <c r="O9490" s="33" t="str">
        <f>IFERROR(VLOOKUP($M9490,'Informations sur les produits'!$A$3:$H$10000,8,FALSE),"0")</f>
        <v>0</v>
      </c>
      <c r="P9490" s="33">
        <f t="shared" si="592"/>
        <v>0</v>
      </c>
      <c r="Q9490" s="31" t="str">
        <f t="shared" si="593"/>
        <v/>
      </c>
      <c r="R9490" s="32" t="str">
        <f>IFERROR(VLOOKUP($D9490,'Informations sur les produits'!$A$3:$B$15000,2,FALSE),"")</f>
        <v/>
      </c>
      <c r="V9490">
        <f t="shared" si="594"/>
        <v>0</v>
      </c>
      <c r="W9490">
        <f t="shared" si="595"/>
        <v>0</v>
      </c>
    </row>
    <row r="9491" spans="5:23" x14ac:dyDescent="0.25">
      <c r="E9491" s="4"/>
      <c r="F9491" s="4"/>
      <c r="G9491" s="33" t="str">
        <f>IFERROR(VLOOKUP($D9491,'Informations sur les produits'!$A$3:$H$10000,8,FALSE),"0")</f>
        <v>0</v>
      </c>
      <c r="K9491" s="4"/>
      <c r="L9491" s="33" t="str">
        <f>IFERROR(VLOOKUP($J9491,'Informations sur les produits'!$A$3:$H$10000,8,FALSE),"0")</f>
        <v>0</v>
      </c>
      <c r="N9491" s="8"/>
      <c r="O9491" s="33" t="str">
        <f>IFERROR(VLOOKUP($M9491,'Informations sur les produits'!$A$3:$H$10000,8,FALSE),"0")</f>
        <v>0</v>
      </c>
      <c r="P9491" s="33">
        <f t="shared" si="592"/>
        <v>0</v>
      </c>
      <c r="Q9491" s="31" t="str">
        <f t="shared" si="593"/>
        <v/>
      </c>
      <c r="R9491" s="32" t="str">
        <f>IFERROR(VLOOKUP($D9491,'Informations sur les produits'!$A$3:$B$15000,2,FALSE),"")</f>
        <v/>
      </c>
      <c r="V9491">
        <f t="shared" si="594"/>
        <v>0</v>
      </c>
      <c r="W9491">
        <f t="shared" si="595"/>
        <v>0</v>
      </c>
    </row>
    <row r="9492" spans="5:23" x14ac:dyDescent="0.25">
      <c r="E9492" s="4"/>
      <c r="F9492" s="4"/>
      <c r="G9492" s="33" t="str">
        <f>IFERROR(VLOOKUP($D9492,'Informations sur les produits'!$A$3:$H$10000,8,FALSE),"0")</f>
        <v>0</v>
      </c>
      <c r="K9492" s="4"/>
      <c r="L9492" s="33" t="str">
        <f>IFERROR(VLOOKUP($J9492,'Informations sur les produits'!$A$3:$H$10000,8,FALSE),"0")</f>
        <v>0</v>
      </c>
      <c r="N9492" s="8"/>
      <c r="O9492" s="33" t="str">
        <f>IFERROR(VLOOKUP($M9492,'Informations sur les produits'!$A$3:$H$10000,8,FALSE),"0")</f>
        <v>0</v>
      </c>
      <c r="P9492" s="33">
        <f t="shared" si="592"/>
        <v>0</v>
      </c>
      <c r="Q9492" s="31" t="str">
        <f t="shared" si="593"/>
        <v/>
      </c>
      <c r="R9492" s="32" t="str">
        <f>IFERROR(VLOOKUP($D9492,'Informations sur les produits'!$A$3:$B$15000,2,FALSE),"")</f>
        <v/>
      </c>
      <c r="V9492">
        <f t="shared" si="594"/>
        <v>0</v>
      </c>
      <c r="W9492">
        <f t="shared" si="595"/>
        <v>0</v>
      </c>
    </row>
    <row r="9493" spans="5:23" x14ac:dyDescent="0.25">
      <c r="E9493" s="4"/>
      <c r="F9493" s="4"/>
      <c r="G9493" s="33" t="str">
        <f>IFERROR(VLOOKUP($D9493,'Informations sur les produits'!$A$3:$H$10000,8,FALSE),"0")</f>
        <v>0</v>
      </c>
      <c r="K9493" s="4"/>
      <c r="L9493" s="33" t="str">
        <f>IFERROR(VLOOKUP($J9493,'Informations sur les produits'!$A$3:$H$10000,8,FALSE),"0")</f>
        <v>0</v>
      </c>
      <c r="N9493" s="8"/>
      <c r="O9493" s="33" t="str">
        <f>IFERROR(VLOOKUP($M9493,'Informations sur les produits'!$A$3:$H$10000,8,FALSE),"0")</f>
        <v>0</v>
      </c>
      <c r="P9493" s="33">
        <f t="shared" si="592"/>
        <v>0</v>
      </c>
      <c r="Q9493" s="31" t="str">
        <f t="shared" si="593"/>
        <v/>
      </c>
      <c r="R9493" s="32" t="str">
        <f>IFERROR(VLOOKUP($D9493,'Informations sur les produits'!$A$3:$B$15000,2,FALSE),"")</f>
        <v/>
      </c>
      <c r="V9493">
        <f t="shared" si="594"/>
        <v>0</v>
      </c>
      <c r="W9493">
        <f t="shared" si="595"/>
        <v>0</v>
      </c>
    </row>
    <row r="9494" spans="5:23" x14ac:dyDescent="0.25">
      <c r="E9494" s="4"/>
      <c r="F9494" s="4"/>
      <c r="G9494" s="33" t="str">
        <f>IFERROR(VLOOKUP($D9494,'Informations sur les produits'!$A$3:$H$10000,8,FALSE),"0")</f>
        <v>0</v>
      </c>
      <c r="K9494" s="4"/>
      <c r="L9494" s="33" t="str">
        <f>IFERROR(VLOOKUP($J9494,'Informations sur les produits'!$A$3:$H$10000,8,FALSE),"0")</f>
        <v>0</v>
      </c>
      <c r="N9494" s="8"/>
      <c r="O9494" s="33" t="str">
        <f>IFERROR(VLOOKUP($M9494,'Informations sur les produits'!$A$3:$H$10000,8,FALSE),"0")</f>
        <v>0</v>
      </c>
      <c r="P9494" s="33">
        <f t="shared" si="592"/>
        <v>0</v>
      </c>
      <c r="Q9494" s="31" t="str">
        <f t="shared" si="593"/>
        <v/>
      </c>
      <c r="R9494" s="32" t="str">
        <f>IFERROR(VLOOKUP($D9494,'Informations sur les produits'!$A$3:$B$15000,2,FALSE),"")</f>
        <v/>
      </c>
      <c r="V9494">
        <f t="shared" si="594"/>
        <v>0</v>
      </c>
      <c r="W9494">
        <f t="shared" si="595"/>
        <v>0</v>
      </c>
    </row>
    <row r="9495" spans="5:23" x14ac:dyDescent="0.25">
      <c r="E9495" s="4"/>
      <c r="F9495" s="4"/>
      <c r="G9495" s="33" t="str">
        <f>IFERROR(VLOOKUP($D9495,'Informations sur les produits'!$A$3:$H$10000,8,FALSE),"0")</f>
        <v>0</v>
      </c>
      <c r="K9495" s="4"/>
      <c r="L9495" s="33" t="str">
        <f>IFERROR(VLOOKUP($J9495,'Informations sur les produits'!$A$3:$H$10000,8,FALSE),"0")</f>
        <v>0</v>
      </c>
      <c r="N9495" s="8"/>
      <c r="O9495" s="33" t="str">
        <f>IFERROR(VLOOKUP($M9495,'Informations sur les produits'!$A$3:$H$10000,8,FALSE),"0")</f>
        <v>0</v>
      </c>
      <c r="P9495" s="33">
        <f t="shared" si="592"/>
        <v>0</v>
      </c>
      <c r="Q9495" s="31" t="str">
        <f t="shared" si="593"/>
        <v/>
      </c>
      <c r="R9495" s="32" t="str">
        <f>IFERROR(VLOOKUP($D9495,'Informations sur les produits'!$A$3:$B$15000,2,FALSE),"")</f>
        <v/>
      </c>
      <c r="V9495">
        <f t="shared" si="594"/>
        <v>0</v>
      </c>
      <c r="W9495">
        <f t="shared" si="595"/>
        <v>0</v>
      </c>
    </row>
    <row r="9496" spans="5:23" x14ac:dyDescent="0.25">
      <c r="E9496" s="4"/>
      <c r="F9496" s="4"/>
      <c r="G9496" s="33" t="str">
        <f>IFERROR(VLOOKUP($D9496,'Informations sur les produits'!$A$3:$H$10000,8,FALSE),"0")</f>
        <v>0</v>
      </c>
      <c r="K9496" s="4"/>
      <c r="L9496" s="33" t="str">
        <f>IFERROR(VLOOKUP($J9496,'Informations sur les produits'!$A$3:$H$10000,8,FALSE),"0")</f>
        <v>0</v>
      </c>
      <c r="N9496" s="8"/>
      <c r="O9496" s="33" t="str">
        <f>IFERROR(VLOOKUP($M9496,'Informations sur les produits'!$A$3:$H$10000,8,FALSE),"0")</f>
        <v>0</v>
      </c>
      <c r="P9496" s="33">
        <f t="shared" si="592"/>
        <v>0</v>
      </c>
      <c r="Q9496" s="31" t="str">
        <f t="shared" si="593"/>
        <v/>
      </c>
      <c r="R9496" s="32" t="str">
        <f>IFERROR(VLOOKUP($D9496,'Informations sur les produits'!$A$3:$B$15000,2,FALSE),"")</f>
        <v/>
      </c>
      <c r="V9496">
        <f t="shared" si="594"/>
        <v>0</v>
      </c>
      <c r="W9496">
        <f t="shared" si="595"/>
        <v>0</v>
      </c>
    </row>
    <row r="9497" spans="5:23" x14ac:dyDescent="0.25">
      <c r="E9497" s="4"/>
      <c r="F9497" s="4"/>
      <c r="G9497" s="33" t="str">
        <f>IFERROR(VLOOKUP($D9497,'Informations sur les produits'!$A$3:$H$10000,8,FALSE),"0")</f>
        <v>0</v>
      </c>
      <c r="K9497" s="4"/>
      <c r="L9497" s="33" t="str">
        <f>IFERROR(VLOOKUP($J9497,'Informations sur les produits'!$A$3:$H$10000,8,FALSE),"0")</f>
        <v>0</v>
      </c>
      <c r="N9497" s="8"/>
      <c r="O9497" s="33" t="str">
        <f>IFERROR(VLOOKUP($M9497,'Informations sur les produits'!$A$3:$H$10000,8,FALSE),"0")</f>
        <v>0</v>
      </c>
      <c r="P9497" s="33">
        <f t="shared" si="592"/>
        <v>0</v>
      </c>
      <c r="Q9497" s="31" t="str">
        <f t="shared" si="593"/>
        <v/>
      </c>
      <c r="R9497" s="32" t="str">
        <f>IFERROR(VLOOKUP($D9497,'Informations sur les produits'!$A$3:$B$15000,2,FALSE),"")</f>
        <v/>
      </c>
      <c r="V9497">
        <f t="shared" si="594"/>
        <v>0</v>
      </c>
      <c r="W9497">
        <f t="shared" si="595"/>
        <v>0</v>
      </c>
    </row>
    <row r="9498" spans="5:23" x14ac:dyDescent="0.25">
      <c r="E9498" s="4"/>
      <c r="F9498" s="4"/>
      <c r="G9498" s="33" t="str">
        <f>IFERROR(VLOOKUP($D9498,'Informations sur les produits'!$A$3:$H$10000,8,FALSE),"0")</f>
        <v>0</v>
      </c>
      <c r="K9498" s="4"/>
      <c r="L9498" s="33" t="str">
        <f>IFERROR(VLOOKUP($J9498,'Informations sur les produits'!$A$3:$H$10000,8,FALSE),"0")</f>
        <v>0</v>
      </c>
      <c r="N9498" s="8"/>
      <c r="O9498" s="33" t="str">
        <f>IFERROR(VLOOKUP($M9498,'Informations sur les produits'!$A$3:$H$10000,8,FALSE),"0")</f>
        <v>0</v>
      </c>
      <c r="P9498" s="33">
        <f t="shared" si="592"/>
        <v>0</v>
      </c>
      <c r="Q9498" s="31" t="str">
        <f t="shared" si="593"/>
        <v/>
      </c>
      <c r="R9498" s="32" t="str">
        <f>IFERROR(VLOOKUP($D9498,'Informations sur les produits'!$A$3:$B$15000,2,FALSE),"")</f>
        <v/>
      </c>
      <c r="V9498">
        <f t="shared" si="594"/>
        <v>0</v>
      </c>
      <c r="W9498">
        <f t="shared" si="595"/>
        <v>0</v>
      </c>
    </row>
    <row r="9499" spans="5:23" x14ac:dyDescent="0.25">
      <c r="E9499" s="4"/>
      <c r="F9499" s="4"/>
      <c r="G9499" s="33" t="str">
        <f>IFERROR(VLOOKUP($D9499,'Informations sur les produits'!$A$3:$H$10000,8,FALSE),"0")</f>
        <v>0</v>
      </c>
      <c r="K9499" s="4"/>
      <c r="L9499" s="33" t="str">
        <f>IFERROR(VLOOKUP($J9499,'Informations sur les produits'!$A$3:$H$10000,8,FALSE),"0")</f>
        <v>0</v>
      </c>
      <c r="N9499" s="8"/>
      <c r="O9499" s="33" t="str">
        <f>IFERROR(VLOOKUP($M9499,'Informations sur les produits'!$A$3:$H$10000,8,FALSE),"0")</f>
        <v>0</v>
      </c>
      <c r="P9499" s="33">
        <f t="shared" si="592"/>
        <v>0</v>
      </c>
      <c r="Q9499" s="31" t="str">
        <f t="shared" si="593"/>
        <v/>
      </c>
      <c r="R9499" s="32" t="str">
        <f>IFERROR(VLOOKUP($D9499,'Informations sur les produits'!$A$3:$B$15000,2,FALSE),"")</f>
        <v/>
      </c>
      <c r="V9499">
        <f t="shared" si="594"/>
        <v>0</v>
      </c>
      <c r="W9499">
        <f t="shared" si="595"/>
        <v>0</v>
      </c>
    </row>
    <row r="9500" spans="5:23" x14ac:dyDescent="0.25">
      <c r="E9500" s="4"/>
      <c r="F9500" s="4"/>
      <c r="G9500" s="33" t="str">
        <f>IFERROR(VLOOKUP($D9500,'Informations sur les produits'!$A$3:$H$10000,8,FALSE),"0")</f>
        <v>0</v>
      </c>
      <c r="K9500" s="4"/>
      <c r="L9500" s="33" t="str">
        <f>IFERROR(VLOOKUP($J9500,'Informations sur les produits'!$A$3:$H$10000,8,FALSE),"0")</f>
        <v>0</v>
      </c>
      <c r="N9500" s="8"/>
      <c r="O9500" s="33" t="str">
        <f>IFERROR(VLOOKUP($M9500,'Informations sur les produits'!$A$3:$H$10000,8,FALSE),"0")</f>
        <v>0</v>
      </c>
      <c r="P9500" s="33">
        <f t="shared" si="592"/>
        <v>0</v>
      </c>
      <c r="Q9500" s="31" t="str">
        <f t="shared" si="593"/>
        <v/>
      </c>
      <c r="R9500" s="32" t="str">
        <f>IFERROR(VLOOKUP($D9500,'Informations sur les produits'!$A$3:$B$15000,2,FALSE),"")</f>
        <v/>
      </c>
      <c r="V9500">
        <f t="shared" si="594"/>
        <v>0</v>
      </c>
      <c r="W9500">
        <f t="shared" si="595"/>
        <v>0</v>
      </c>
    </row>
    <row r="9501" spans="5:23" x14ac:dyDescent="0.25">
      <c r="E9501" s="4"/>
      <c r="F9501" s="4"/>
      <c r="G9501" s="33" t="str">
        <f>IFERROR(VLOOKUP($D9501,'Informations sur les produits'!$A$3:$H$10000,8,FALSE),"0")</f>
        <v>0</v>
      </c>
      <c r="K9501" s="4"/>
      <c r="L9501" s="33" t="str">
        <f>IFERROR(VLOOKUP($J9501,'Informations sur les produits'!$A$3:$H$10000,8,FALSE),"0")</f>
        <v>0</v>
      </c>
      <c r="N9501" s="8"/>
      <c r="O9501" s="33" t="str">
        <f>IFERROR(VLOOKUP($M9501,'Informations sur les produits'!$A$3:$H$10000,8,FALSE),"0")</f>
        <v>0</v>
      </c>
      <c r="P9501" s="33">
        <f t="shared" si="592"/>
        <v>0</v>
      </c>
      <c r="Q9501" s="31" t="str">
        <f t="shared" si="593"/>
        <v/>
      </c>
      <c r="R9501" s="32" t="str">
        <f>IFERROR(VLOOKUP($D9501,'Informations sur les produits'!$A$3:$B$15000,2,FALSE),"")</f>
        <v/>
      </c>
      <c r="V9501">
        <f t="shared" si="594"/>
        <v>0</v>
      </c>
      <c r="W9501">
        <f t="shared" si="595"/>
        <v>0</v>
      </c>
    </row>
    <row r="9502" spans="5:23" x14ac:dyDescent="0.25">
      <c r="E9502" s="4"/>
      <c r="F9502" s="4"/>
      <c r="G9502" s="33" t="str">
        <f>IFERROR(VLOOKUP($D9502,'Informations sur les produits'!$A$3:$H$10000,8,FALSE),"0")</f>
        <v>0</v>
      </c>
      <c r="K9502" s="4"/>
      <c r="L9502" s="33" t="str">
        <f>IFERROR(VLOOKUP($J9502,'Informations sur les produits'!$A$3:$H$10000,8,FALSE),"0")</f>
        <v>0</v>
      </c>
      <c r="N9502" s="8"/>
      <c r="O9502" s="33" t="str">
        <f>IFERROR(VLOOKUP($M9502,'Informations sur les produits'!$A$3:$H$10000,8,FALSE),"0")</f>
        <v>0</v>
      </c>
      <c r="P9502" s="33">
        <f t="shared" si="592"/>
        <v>0</v>
      </c>
      <c r="Q9502" s="31" t="str">
        <f t="shared" si="593"/>
        <v/>
      </c>
      <c r="R9502" s="32" t="str">
        <f>IFERROR(VLOOKUP($D9502,'Informations sur les produits'!$A$3:$B$15000,2,FALSE),"")</f>
        <v/>
      </c>
      <c r="V9502">
        <f t="shared" si="594"/>
        <v>0</v>
      </c>
      <c r="W9502">
        <f t="shared" si="595"/>
        <v>0</v>
      </c>
    </row>
    <row r="9503" spans="5:23" x14ac:dyDescent="0.25">
      <c r="E9503" s="4"/>
      <c r="F9503" s="4"/>
      <c r="G9503" s="33" t="str">
        <f>IFERROR(VLOOKUP($D9503,'Informations sur les produits'!$A$3:$H$10000,8,FALSE),"0")</f>
        <v>0</v>
      </c>
      <c r="K9503" s="4"/>
      <c r="L9503" s="33" t="str">
        <f>IFERROR(VLOOKUP($J9503,'Informations sur les produits'!$A$3:$H$10000,8,FALSE),"0")</f>
        <v>0</v>
      </c>
      <c r="N9503" s="8"/>
      <c r="O9503" s="33" t="str">
        <f>IFERROR(VLOOKUP($M9503,'Informations sur les produits'!$A$3:$H$10000,8,FALSE),"0")</f>
        <v>0</v>
      </c>
      <c r="P9503" s="33">
        <f t="shared" si="592"/>
        <v>0</v>
      </c>
      <c r="Q9503" s="31" t="str">
        <f t="shared" si="593"/>
        <v/>
      </c>
      <c r="R9503" s="32" t="str">
        <f>IFERROR(VLOOKUP($D9503,'Informations sur les produits'!$A$3:$B$15000,2,FALSE),"")</f>
        <v/>
      </c>
      <c r="V9503">
        <f t="shared" si="594"/>
        <v>0</v>
      </c>
      <c r="W9503">
        <f t="shared" si="595"/>
        <v>0</v>
      </c>
    </row>
    <row r="9504" spans="5:23" x14ac:dyDescent="0.25">
      <c r="E9504" s="4"/>
      <c r="F9504" s="4"/>
      <c r="G9504" s="33" t="str">
        <f>IFERROR(VLOOKUP($D9504,'Informations sur les produits'!$A$3:$H$10000,8,FALSE),"0")</f>
        <v>0</v>
      </c>
      <c r="K9504" s="4"/>
      <c r="L9504" s="33" t="str">
        <f>IFERROR(VLOOKUP($J9504,'Informations sur les produits'!$A$3:$H$10000,8,FALSE),"0")</f>
        <v>0</v>
      </c>
      <c r="N9504" s="8"/>
      <c r="O9504" s="33" t="str">
        <f>IFERROR(VLOOKUP($M9504,'Informations sur les produits'!$A$3:$H$10000,8,FALSE),"0")</f>
        <v>0</v>
      </c>
      <c r="P9504" s="33">
        <f t="shared" si="592"/>
        <v>0</v>
      </c>
      <c r="Q9504" s="31" t="str">
        <f t="shared" si="593"/>
        <v/>
      </c>
      <c r="R9504" s="32" t="str">
        <f>IFERROR(VLOOKUP($D9504,'Informations sur les produits'!$A$3:$B$15000,2,FALSE),"")</f>
        <v/>
      </c>
      <c r="V9504">
        <f t="shared" si="594"/>
        <v>0</v>
      </c>
      <c r="W9504">
        <f t="shared" si="595"/>
        <v>0</v>
      </c>
    </row>
    <row r="9505" spans="5:23" x14ac:dyDescent="0.25">
      <c r="E9505" s="4"/>
      <c r="F9505" s="4"/>
      <c r="G9505" s="33" t="str">
        <f>IFERROR(VLOOKUP($D9505,'Informations sur les produits'!$A$3:$H$10000,8,FALSE),"0")</f>
        <v>0</v>
      </c>
      <c r="K9505" s="4"/>
      <c r="L9505" s="33" t="str">
        <f>IFERROR(VLOOKUP($J9505,'Informations sur les produits'!$A$3:$H$10000,8,FALSE),"0")</f>
        <v>0</v>
      </c>
      <c r="N9505" s="8"/>
      <c r="O9505" s="33" t="str">
        <f>IFERROR(VLOOKUP($M9505,'Informations sur les produits'!$A$3:$H$10000,8,FALSE),"0")</f>
        <v>0</v>
      </c>
      <c r="P9505" s="33">
        <f t="shared" si="592"/>
        <v>0</v>
      </c>
      <c r="Q9505" s="31" t="str">
        <f t="shared" si="593"/>
        <v/>
      </c>
      <c r="R9505" s="32" t="str">
        <f>IFERROR(VLOOKUP($D9505,'Informations sur les produits'!$A$3:$B$15000,2,FALSE),"")</f>
        <v/>
      </c>
      <c r="V9505">
        <f t="shared" si="594"/>
        <v>0</v>
      </c>
      <c r="W9505">
        <f t="shared" si="595"/>
        <v>0</v>
      </c>
    </row>
    <row r="9506" spans="5:23" x14ac:dyDescent="0.25">
      <c r="E9506" s="4"/>
      <c r="F9506" s="4"/>
      <c r="G9506" s="33" t="str">
        <f>IFERROR(VLOOKUP($D9506,'Informations sur les produits'!$A$3:$H$10000,8,FALSE),"0")</f>
        <v>0</v>
      </c>
      <c r="K9506" s="4"/>
      <c r="L9506" s="33" t="str">
        <f>IFERROR(VLOOKUP($J9506,'Informations sur les produits'!$A$3:$H$10000,8,FALSE),"0")</f>
        <v>0</v>
      </c>
      <c r="N9506" s="8"/>
      <c r="O9506" s="33" t="str">
        <f>IFERROR(VLOOKUP($M9506,'Informations sur les produits'!$A$3:$H$10000,8,FALSE),"0")</f>
        <v>0</v>
      </c>
      <c r="P9506" s="33">
        <f t="shared" si="592"/>
        <v>0</v>
      </c>
      <c r="Q9506" s="31" t="str">
        <f t="shared" si="593"/>
        <v/>
      </c>
      <c r="R9506" s="32" t="str">
        <f>IFERROR(VLOOKUP($D9506,'Informations sur les produits'!$A$3:$B$15000,2,FALSE),"")</f>
        <v/>
      </c>
      <c r="V9506">
        <f t="shared" si="594"/>
        <v>0</v>
      </c>
      <c r="W9506">
        <f t="shared" si="595"/>
        <v>0</v>
      </c>
    </row>
    <row r="9507" spans="5:23" x14ac:dyDescent="0.25">
      <c r="E9507" s="4"/>
      <c r="F9507" s="4"/>
      <c r="G9507" s="33" t="str">
        <f>IFERROR(VLOOKUP($D9507,'Informations sur les produits'!$A$3:$H$10000,8,FALSE),"0")</f>
        <v>0</v>
      </c>
      <c r="K9507" s="4"/>
      <c r="L9507" s="33" t="str">
        <f>IFERROR(VLOOKUP($J9507,'Informations sur les produits'!$A$3:$H$10000,8,FALSE),"0")</f>
        <v>0</v>
      </c>
      <c r="N9507" s="8"/>
      <c r="O9507" s="33" t="str">
        <f>IFERROR(VLOOKUP($M9507,'Informations sur les produits'!$A$3:$H$10000,8,FALSE),"0")</f>
        <v>0</v>
      </c>
      <c r="P9507" s="33">
        <f t="shared" si="592"/>
        <v>0</v>
      </c>
      <c r="Q9507" s="31" t="str">
        <f t="shared" si="593"/>
        <v/>
      </c>
      <c r="R9507" s="32" t="str">
        <f>IFERROR(VLOOKUP($D9507,'Informations sur les produits'!$A$3:$B$15000,2,FALSE),"")</f>
        <v/>
      </c>
      <c r="V9507">
        <f t="shared" si="594"/>
        <v>0</v>
      </c>
      <c r="W9507">
        <f t="shared" si="595"/>
        <v>0</v>
      </c>
    </row>
    <row r="9508" spans="5:23" x14ac:dyDescent="0.25">
      <c r="E9508" s="4"/>
      <c r="F9508" s="4"/>
      <c r="G9508" s="33" t="str">
        <f>IFERROR(VLOOKUP($D9508,'Informations sur les produits'!$A$3:$H$10000,8,FALSE),"0")</f>
        <v>0</v>
      </c>
      <c r="K9508" s="4"/>
      <c r="L9508" s="33" t="str">
        <f>IFERROR(VLOOKUP($J9508,'Informations sur les produits'!$A$3:$H$10000,8,FALSE),"0")</f>
        <v>0</v>
      </c>
      <c r="N9508" s="8"/>
      <c r="O9508" s="33" t="str">
        <f>IFERROR(VLOOKUP($M9508,'Informations sur les produits'!$A$3:$H$10000,8,FALSE),"0")</f>
        <v>0</v>
      </c>
      <c r="P9508" s="33">
        <f t="shared" si="592"/>
        <v>0</v>
      </c>
      <c r="Q9508" s="31" t="str">
        <f t="shared" si="593"/>
        <v/>
      </c>
      <c r="R9508" s="32" t="str">
        <f>IFERROR(VLOOKUP($D9508,'Informations sur les produits'!$A$3:$B$15000,2,FALSE),"")</f>
        <v/>
      </c>
      <c r="V9508">
        <f t="shared" si="594"/>
        <v>0</v>
      </c>
      <c r="W9508">
        <f t="shared" si="595"/>
        <v>0</v>
      </c>
    </row>
    <row r="9509" spans="5:23" x14ac:dyDescent="0.25">
      <c r="E9509" s="4"/>
      <c r="F9509" s="4"/>
      <c r="G9509" s="33" t="str">
        <f>IFERROR(VLOOKUP($D9509,'Informations sur les produits'!$A$3:$H$10000,8,FALSE),"0")</f>
        <v>0</v>
      </c>
      <c r="K9509" s="4"/>
      <c r="L9509" s="33" t="str">
        <f>IFERROR(VLOOKUP($J9509,'Informations sur les produits'!$A$3:$H$10000,8,FALSE),"0")</f>
        <v>0</v>
      </c>
      <c r="N9509" s="8"/>
      <c r="O9509" s="33" t="str">
        <f>IFERROR(VLOOKUP($M9509,'Informations sur les produits'!$A$3:$H$10000,8,FALSE),"0")</f>
        <v>0</v>
      </c>
      <c r="P9509" s="33">
        <f t="shared" si="592"/>
        <v>0</v>
      </c>
      <c r="Q9509" s="31" t="str">
        <f t="shared" si="593"/>
        <v/>
      </c>
      <c r="R9509" s="32" t="str">
        <f>IFERROR(VLOOKUP($D9509,'Informations sur les produits'!$A$3:$B$15000,2,FALSE),"")</f>
        <v/>
      </c>
      <c r="V9509">
        <f t="shared" si="594"/>
        <v>0</v>
      </c>
      <c r="W9509">
        <f t="shared" si="595"/>
        <v>0</v>
      </c>
    </row>
    <row r="9510" spans="5:23" x14ac:dyDescent="0.25">
      <c r="E9510" s="4"/>
      <c r="F9510" s="4"/>
      <c r="G9510" s="33" t="str">
        <f>IFERROR(VLOOKUP($D9510,'Informations sur les produits'!$A$3:$H$10000,8,FALSE),"0")</f>
        <v>0</v>
      </c>
      <c r="K9510" s="4"/>
      <c r="L9510" s="33" t="str">
        <f>IFERROR(VLOOKUP($J9510,'Informations sur les produits'!$A$3:$H$10000,8,FALSE),"0")</f>
        <v>0</v>
      </c>
      <c r="N9510" s="8"/>
      <c r="O9510" s="33" t="str">
        <f>IFERROR(VLOOKUP($M9510,'Informations sur les produits'!$A$3:$H$10000,8,FALSE),"0")</f>
        <v>0</v>
      </c>
      <c r="P9510" s="33">
        <f t="shared" si="592"/>
        <v>0</v>
      </c>
      <c r="Q9510" s="31" t="str">
        <f t="shared" si="593"/>
        <v/>
      </c>
      <c r="R9510" s="32" t="str">
        <f>IFERROR(VLOOKUP($D9510,'Informations sur les produits'!$A$3:$B$15000,2,FALSE),"")</f>
        <v/>
      </c>
      <c r="V9510">
        <f t="shared" si="594"/>
        <v>0</v>
      </c>
      <c r="W9510">
        <f t="shared" si="595"/>
        <v>0</v>
      </c>
    </row>
    <row r="9511" spans="5:23" x14ac:dyDescent="0.25">
      <c r="E9511" s="4"/>
      <c r="F9511" s="4"/>
      <c r="G9511" s="33" t="str">
        <f>IFERROR(VLOOKUP($D9511,'Informations sur les produits'!$A$3:$H$10000,8,FALSE),"0")</f>
        <v>0</v>
      </c>
      <c r="K9511" s="4"/>
      <c r="L9511" s="33" t="str">
        <f>IFERROR(VLOOKUP($J9511,'Informations sur les produits'!$A$3:$H$10000,8,FALSE),"0")</f>
        <v>0</v>
      </c>
      <c r="N9511" s="8"/>
      <c r="O9511" s="33" t="str">
        <f>IFERROR(VLOOKUP($M9511,'Informations sur les produits'!$A$3:$H$10000,8,FALSE),"0")</f>
        <v>0</v>
      </c>
      <c r="P9511" s="33">
        <f t="shared" si="592"/>
        <v>0</v>
      </c>
      <c r="Q9511" s="31" t="str">
        <f t="shared" si="593"/>
        <v/>
      </c>
      <c r="R9511" s="32" t="str">
        <f>IFERROR(VLOOKUP($D9511,'Informations sur les produits'!$A$3:$B$15000,2,FALSE),"")</f>
        <v/>
      </c>
      <c r="V9511">
        <f t="shared" si="594"/>
        <v>0</v>
      </c>
      <c r="W9511">
        <f t="shared" si="595"/>
        <v>0</v>
      </c>
    </row>
    <row r="9512" spans="5:23" x14ac:dyDescent="0.25">
      <c r="E9512" s="4"/>
      <c r="F9512" s="4"/>
      <c r="G9512" s="33" t="str">
        <f>IFERROR(VLOOKUP($D9512,'Informations sur les produits'!$A$3:$H$10000,8,FALSE),"0")</f>
        <v>0</v>
      </c>
      <c r="K9512" s="4"/>
      <c r="L9512" s="33" t="str">
        <f>IFERROR(VLOOKUP($J9512,'Informations sur les produits'!$A$3:$H$10000,8,FALSE),"0")</f>
        <v>0</v>
      </c>
      <c r="N9512" s="8"/>
      <c r="O9512" s="33" t="str">
        <f>IFERROR(VLOOKUP($M9512,'Informations sur les produits'!$A$3:$H$10000,8,FALSE),"0")</f>
        <v>0</v>
      </c>
      <c r="P9512" s="33">
        <f t="shared" si="592"/>
        <v>0</v>
      </c>
      <c r="Q9512" s="31" t="str">
        <f t="shared" si="593"/>
        <v/>
      </c>
      <c r="R9512" s="32" t="str">
        <f>IFERROR(VLOOKUP($D9512,'Informations sur les produits'!$A$3:$B$15000,2,FALSE),"")</f>
        <v/>
      </c>
      <c r="V9512">
        <f t="shared" si="594"/>
        <v>0</v>
      </c>
      <c r="W9512">
        <f t="shared" si="595"/>
        <v>0</v>
      </c>
    </row>
    <row r="9513" spans="5:23" x14ac:dyDescent="0.25">
      <c r="E9513" s="4"/>
      <c r="F9513" s="4"/>
      <c r="G9513" s="33" t="str">
        <f>IFERROR(VLOOKUP($D9513,'Informations sur les produits'!$A$3:$H$10000,8,FALSE),"0")</f>
        <v>0</v>
      </c>
      <c r="K9513" s="4"/>
      <c r="L9513" s="33" t="str">
        <f>IFERROR(VLOOKUP($J9513,'Informations sur les produits'!$A$3:$H$10000,8,FALSE),"0")</f>
        <v>0</v>
      </c>
      <c r="N9513" s="8"/>
      <c r="O9513" s="33" t="str">
        <f>IFERROR(VLOOKUP($M9513,'Informations sur les produits'!$A$3:$H$10000,8,FALSE),"0")</f>
        <v>0</v>
      </c>
      <c r="P9513" s="33">
        <f t="shared" si="592"/>
        <v>0</v>
      </c>
      <c r="Q9513" s="31" t="str">
        <f t="shared" si="593"/>
        <v/>
      </c>
      <c r="R9513" s="32" t="str">
        <f>IFERROR(VLOOKUP($D9513,'Informations sur les produits'!$A$3:$B$15000,2,FALSE),"")</f>
        <v/>
      </c>
      <c r="V9513">
        <f t="shared" si="594"/>
        <v>0</v>
      </c>
      <c r="W9513">
        <f t="shared" si="595"/>
        <v>0</v>
      </c>
    </row>
    <row r="9514" spans="5:23" x14ac:dyDescent="0.25">
      <c r="E9514" s="4"/>
      <c r="F9514" s="4"/>
      <c r="G9514" s="33" t="str">
        <f>IFERROR(VLOOKUP($D9514,'Informations sur les produits'!$A$3:$H$10000,8,FALSE),"0")</f>
        <v>0</v>
      </c>
      <c r="K9514" s="4"/>
      <c r="L9514" s="33" t="str">
        <f>IFERROR(VLOOKUP($J9514,'Informations sur les produits'!$A$3:$H$10000,8,FALSE),"0")</f>
        <v>0</v>
      </c>
      <c r="N9514" s="8"/>
      <c r="O9514" s="33" t="str">
        <f>IFERROR(VLOOKUP($M9514,'Informations sur les produits'!$A$3:$H$10000,8,FALSE),"0")</f>
        <v>0</v>
      </c>
      <c r="P9514" s="33">
        <f t="shared" si="592"/>
        <v>0</v>
      </c>
      <c r="Q9514" s="31" t="str">
        <f t="shared" si="593"/>
        <v/>
      </c>
      <c r="R9514" s="32" t="str">
        <f>IFERROR(VLOOKUP($D9514,'Informations sur les produits'!$A$3:$B$15000,2,FALSE),"")</f>
        <v/>
      </c>
      <c r="V9514">
        <f t="shared" si="594"/>
        <v>0</v>
      </c>
      <c r="W9514">
        <f t="shared" si="595"/>
        <v>0</v>
      </c>
    </row>
    <row r="9515" spans="5:23" x14ac:dyDescent="0.25">
      <c r="E9515" s="4"/>
      <c r="F9515" s="4"/>
      <c r="G9515" s="33" t="str">
        <f>IFERROR(VLOOKUP($D9515,'Informations sur les produits'!$A$3:$H$10000,8,FALSE),"0")</f>
        <v>0</v>
      </c>
      <c r="K9515" s="4"/>
      <c r="L9515" s="33" t="str">
        <f>IFERROR(VLOOKUP($J9515,'Informations sur les produits'!$A$3:$H$10000,8,FALSE),"0")</f>
        <v>0</v>
      </c>
      <c r="N9515" s="8"/>
      <c r="O9515" s="33" t="str">
        <f>IFERROR(VLOOKUP($M9515,'Informations sur les produits'!$A$3:$H$10000,8,FALSE),"0")</f>
        <v>0</v>
      </c>
      <c r="P9515" s="33">
        <f t="shared" si="592"/>
        <v>0</v>
      </c>
      <c r="Q9515" s="31" t="str">
        <f t="shared" si="593"/>
        <v/>
      </c>
      <c r="R9515" s="32" t="str">
        <f>IFERROR(VLOOKUP($D9515,'Informations sur les produits'!$A$3:$B$15000,2,FALSE),"")</f>
        <v/>
      </c>
      <c r="V9515">
        <f t="shared" si="594"/>
        <v>0</v>
      </c>
      <c r="W9515">
        <f t="shared" si="595"/>
        <v>0</v>
      </c>
    </row>
    <row r="9516" spans="5:23" x14ac:dyDescent="0.25">
      <c r="E9516" s="4"/>
      <c r="F9516" s="4"/>
      <c r="G9516" s="33" t="str">
        <f>IFERROR(VLOOKUP($D9516,'Informations sur les produits'!$A$3:$H$10000,8,FALSE),"0")</f>
        <v>0</v>
      </c>
      <c r="K9516" s="4"/>
      <c r="L9516" s="33" t="str">
        <f>IFERROR(VLOOKUP($J9516,'Informations sur les produits'!$A$3:$H$10000,8,FALSE),"0")</f>
        <v>0</v>
      </c>
      <c r="N9516" s="8"/>
      <c r="O9516" s="33" t="str">
        <f>IFERROR(VLOOKUP($M9516,'Informations sur les produits'!$A$3:$H$10000,8,FALSE),"0")</f>
        <v>0</v>
      </c>
      <c r="P9516" s="33">
        <f t="shared" si="592"/>
        <v>0</v>
      </c>
      <c r="Q9516" s="31" t="str">
        <f t="shared" si="593"/>
        <v/>
      </c>
      <c r="R9516" s="32" t="str">
        <f>IFERROR(VLOOKUP($D9516,'Informations sur les produits'!$A$3:$B$15000,2,FALSE),"")</f>
        <v/>
      </c>
      <c r="V9516">
        <f t="shared" si="594"/>
        <v>0</v>
      </c>
      <c r="W9516">
        <f t="shared" si="595"/>
        <v>0</v>
      </c>
    </row>
    <row r="9517" spans="5:23" x14ac:dyDescent="0.25">
      <c r="E9517" s="4"/>
      <c r="F9517" s="4"/>
      <c r="G9517" s="33" t="str">
        <f>IFERROR(VLOOKUP($D9517,'Informations sur les produits'!$A$3:$H$10000,8,FALSE),"0")</f>
        <v>0</v>
      </c>
      <c r="K9517" s="4"/>
      <c r="L9517" s="33" t="str">
        <f>IFERROR(VLOOKUP($J9517,'Informations sur les produits'!$A$3:$H$10000,8,FALSE),"0")</f>
        <v>0</v>
      </c>
      <c r="N9517" s="8"/>
      <c r="O9517" s="33" t="str">
        <f>IFERROR(VLOOKUP($M9517,'Informations sur les produits'!$A$3:$H$10000,8,FALSE),"0")</f>
        <v>0</v>
      </c>
      <c r="P9517" s="33">
        <f t="shared" si="592"/>
        <v>0</v>
      </c>
      <c r="Q9517" s="31" t="str">
        <f t="shared" si="593"/>
        <v/>
      </c>
      <c r="R9517" s="32" t="str">
        <f>IFERROR(VLOOKUP($D9517,'Informations sur les produits'!$A$3:$B$15000,2,FALSE),"")</f>
        <v/>
      </c>
      <c r="V9517">
        <f t="shared" si="594"/>
        <v>0</v>
      </c>
      <c r="W9517">
        <f t="shared" si="595"/>
        <v>0</v>
      </c>
    </row>
    <row r="9518" spans="5:23" x14ac:dyDescent="0.25">
      <c r="E9518" s="4"/>
      <c r="F9518" s="4"/>
      <c r="G9518" s="33" t="str">
        <f>IFERROR(VLOOKUP($D9518,'Informations sur les produits'!$A$3:$H$10000,8,FALSE),"0")</f>
        <v>0</v>
      </c>
      <c r="K9518" s="4"/>
      <c r="L9518" s="33" t="str">
        <f>IFERROR(VLOOKUP($J9518,'Informations sur les produits'!$A$3:$H$10000,8,FALSE),"0")</f>
        <v>0</v>
      </c>
      <c r="N9518" s="8"/>
      <c r="O9518" s="33" t="str">
        <f>IFERROR(VLOOKUP($M9518,'Informations sur les produits'!$A$3:$H$10000,8,FALSE),"0")</f>
        <v>0</v>
      </c>
      <c r="P9518" s="33">
        <f t="shared" si="592"/>
        <v>0</v>
      </c>
      <c r="Q9518" s="31" t="str">
        <f t="shared" si="593"/>
        <v/>
      </c>
      <c r="R9518" s="32" t="str">
        <f>IFERROR(VLOOKUP($D9518,'Informations sur les produits'!$A$3:$B$15000,2,FALSE),"")</f>
        <v/>
      </c>
      <c r="V9518">
        <f t="shared" si="594"/>
        <v>0</v>
      </c>
      <c r="W9518">
        <f t="shared" si="595"/>
        <v>0</v>
      </c>
    </row>
    <row r="9519" spans="5:23" x14ac:dyDescent="0.25">
      <c r="E9519" s="4"/>
      <c r="F9519" s="4"/>
      <c r="G9519" s="33" t="str">
        <f>IFERROR(VLOOKUP($D9519,'Informations sur les produits'!$A$3:$H$10000,8,FALSE),"0")</f>
        <v>0</v>
      </c>
      <c r="K9519" s="4"/>
      <c r="L9519" s="33" t="str">
        <f>IFERROR(VLOOKUP($J9519,'Informations sur les produits'!$A$3:$H$10000,8,FALSE),"0")</f>
        <v>0</v>
      </c>
      <c r="N9519" s="8"/>
      <c r="O9519" s="33" t="str">
        <f>IFERROR(VLOOKUP($M9519,'Informations sur les produits'!$A$3:$H$10000,8,FALSE),"0")</f>
        <v>0</v>
      </c>
      <c r="P9519" s="33">
        <f t="shared" si="592"/>
        <v>0</v>
      </c>
      <c r="Q9519" s="31" t="str">
        <f t="shared" si="593"/>
        <v/>
      </c>
      <c r="R9519" s="32" t="str">
        <f>IFERROR(VLOOKUP($D9519,'Informations sur les produits'!$A$3:$B$15000,2,FALSE),"")</f>
        <v/>
      </c>
      <c r="V9519">
        <f t="shared" si="594"/>
        <v>0</v>
      </c>
      <c r="W9519">
        <f t="shared" si="595"/>
        <v>0</v>
      </c>
    </row>
    <row r="9520" spans="5:23" x14ac:dyDescent="0.25">
      <c r="E9520" s="4"/>
      <c r="F9520" s="4"/>
      <c r="G9520" s="33" t="str">
        <f>IFERROR(VLOOKUP($D9520,'Informations sur les produits'!$A$3:$H$10000,8,FALSE),"0")</f>
        <v>0</v>
      </c>
      <c r="K9520" s="4"/>
      <c r="L9520" s="33" t="str">
        <f>IFERROR(VLOOKUP($J9520,'Informations sur les produits'!$A$3:$H$10000,8,FALSE),"0")</f>
        <v>0</v>
      </c>
      <c r="N9520" s="8"/>
      <c r="O9520" s="33" t="str">
        <f>IFERROR(VLOOKUP($M9520,'Informations sur les produits'!$A$3:$H$10000,8,FALSE),"0")</f>
        <v>0</v>
      </c>
      <c r="P9520" s="33">
        <f t="shared" si="592"/>
        <v>0</v>
      </c>
      <c r="Q9520" s="31" t="str">
        <f t="shared" si="593"/>
        <v/>
      </c>
      <c r="R9520" s="32" t="str">
        <f>IFERROR(VLOOKUP($D9520,'Informations sur les produits'!$A$3:$B$15000,2,FALSE),"")</f>
        <v/>
      </c>
      <c r="V9520">
        <f t="shared" si="594"/>
        <v>0</v>
      </c>
      <c r="W9520">
        <f t="shared" si="595"/>
        <v>0</v>
      </c>
    </row>
    <row r="9521" spans="5:23" x14ac:dyDescent="0.25">
      <c r="E9521" s="4"/>
      <c r="F9521" s="4"/>
      <c r="G9521" s="33" t="str">
        <f>IFERROR(VLOOKUP($D9521,'Informations sur les produits'!$A$3:$H$10000,8,FALSE),"0")</f>
        <v>0</v>
      </c>
      <c r="K9521" s="4"/>
      <c r="L9521" s="33" t="str">
        <f>IFERROR(VLOOKUP($J9521,'Informations sur les produits'!$A$3:$H$10000,8,FALSE),"0")</f>
        <v>0</v>
      </c>
      <c r="N9521" s="8"/>
      <c r="O9521" s="33" t="str">
        <f>IFERROR(VLOOKUP($M9521,'Informations sur les produits'!$A$3:$H$10000,8,FALSE),"0")</f>
        <v>0</v>
      </c>
      <c r="P9521" s="33">
        <f t="shared" si="592"/>
        <v>0</v>
      </c>
      <c r="Q9521" s="31" t="str">
        <f t="shared" si="593"/>
        <v/>
      </c>
      <c r="R9521" s="32" t="str">
        <f>IFERROR(VLOOKUP($D9521,'Informations sur les produits'!$A$3:$B$15000,2,FALSE),"")</f>
        <v/>
      </c>
      <c r="V9521">
        <f t="shared" si="594"/>
        <v>0</v>
      </c>
      <c r="W9521">
        <f t="shared" si="595"/>
        <v>0</v>
      </c>
    </row>
    <row r="9522" spans="5:23" x14ac:dyDescent="0.25">
      <c r="E9522" s="4"/>
      <c r="F9522" s="4"/>
      <c r="G9522" s="33" t="str">
        <f>IFERROR(VLOOKUP($D9522,'Informations sur les produits'!$A$3:$H$10000,8,FALSE),"0")</f>
        <v>0</v>
      </c>
      <c r="K9522" s="4"/>
      <c r="L9522" s="33" t="str">
        <f>IFERROR(VLOOKUP($J9522,'Informations sur les produits'!$A$3:$H$10000,8,FALSE),"0")</f>
        <v>0</v>
      </c>
      <c r="N9522" s="8"/>
      <c r="O9522" s="33" t="str">
        <f>IFERROR(VLOOKUP($M9522,'Informations sur les produits'!$A$3:$H$10000,8,FALSE),"0")</f>
        <v>0</v>
      </c>
      <c r="P9522" s="33">
        <f t="shared" si="592"/>
        <v>0</v>
      </c>
      <c r="Q9522" s="31" t="str">
        <f t="shared" si="593"/>
        <v/>
      </c>
      <c r="R9522" s="32" t="str">
        <f>IFERROR(VLOOKUP($D9522,'Informations sur les produits'!$A$3:$B$15000,2,FALSE),"")</f>
        <v/>
      </c>
      <c r="V9522">
        <f t="shared" si="594"/>
        <v>0</v>
      </c>
      <c r="W9522">
        <f t="shared" si="595"/>
        <v>0</v>
      </c>
    </row>
    <row r="9523" spans="5:23" x14ac:dyDescent="0.25">
      <c r="E9523" s="4"/>
      <c r="F9523" s="4"/>
      <c r="G9523" s="33" t="str">
        <f>IFERROR(VLOOKUP($D9523,'Informations sur les produits'!$A$3:$H$10000,8,FALSE),"0")</f>
        <v>0</v>
      </c>
      <c r="K9523" s="4"/>
      <c r="L9523" s="33" t="str">
        <f>IFERROR(VLOOKUP($J9523,'Informations sur les produits'!$A$3:$H$10000,8,FALSE),"0")</f>
        <v>0</v>
      </c>
      <c r="N9523" s="8"/>
      <c r="O9523" s="33" t="str">
        <f>IFERROR(VLOOKUP($M9523,'Informations sur les produits'!$A$3:$H$10000,8,FALSE),"0")</f>
        <v>0</v>
      </c>
      <c r="P9523" s="33">
        <f t="shared" si="592"/>
        <v>0</v>
      </c>
      <c r="Q9523" s="31" t="str">
        <f t="shared" si="593"/>
        <v/>
      </c>
      <c r="R9523" s="32" t="str">
        <f>IFERROR(VLOOKUP($D9523,'Informations sur les produits'!$A$3:$B$15000,2,FALSE),"")</f>
        <v/>
      </c>
      <c r="V9523">
        <f t="shared" si="594"/>
        <v>0</v>
      </c>
      <c r="W9523">
        <f t="shared" si="595"/>
        <v>0</v>
      </c>
    </row>
    <row r="9524" spans="5:23" x14ac:dyDescent="0.25">
      <c r="E9524" s="4"/>
      <c r="F9524" s="4"/>
      <c r="G9524" s="33" t="str">
        <f>IFERROR(VLOOKUP($D9524,'Informations sur les produits'!$A$3:$H$10000,8,FALSE),"0")</f>
        <v>0</v>
      </c>
      <c r="K9524" s="4"/>
      <c r="L9524" s="33" t="str">
        <f>IFERROR(VLOOKUP($J9524,'Informations sur les produits'!$A$3:$H$10000,8,FALSE),"0")</f>
        <v>0</v>
      </c>
      <c r="N9524" s="8"/>
      <c r="O9524" s="33" t="str">
        <f>IFERROR(VLOOKUP($M9524,'Informations sur les produits'!$A$3:$H$10000,8,FALSE),"0")</f>
        <v>0</v>
      </c>
      <c r="P9524" s="33">
        <f t="shared" si="592"/>
        <v>0</v>
      </c>
      <c r="Q9524" s="31" t="str">
        <f t="shared" si="593"/>
        <v/>
      </c>
      <c r="R9524" s="32" t="str">
        <f>IFERROR(VLOOKUP($D9524,'Informations sur les produits'!$A$3:$B$15000,2,FALSE),"")</f>
        <v/>
      </c>
      <c r="V9524">
        <f t="shared" si="594"/>
        <v>0</v>
      </c>
      <c r="W9524">
        <f t="shared" si="595"/>
        <v>0</v>
      </c>
    </row>
    <row r="9525" spans="5:23" x14ac:dyDescent="0.25">
      <c r="E9525" s="4"/>
      <c r="F9525" s="4"/>
      <c r="G9525" s="33" t="str">
        <f>IFERROR(VLOOKUP($D9525,'Informations sur les produits'!$A$3:$H$10000,8,FALSE),"0")</f>
        <v>0</v>
      </c>
      <c r="K9525" s="4"/>
      <c r="L9525" s="33" t="str">
        <f>IFERROR(VLOOKUP($J9525,'Informations sur les produits'!$A$3:$H$10000,8,FALSE),"0")</f>
        <v>0</v>
      </c>
      <c r="N9525" s="8"/>
      <c r="O9525" s="33" t="str">
        <f>IFERROR(VLOOKUP($M9525,'Informations sur les produits'!$A$3:$H$10000,8,FALSE),"0")</f>
        <v>0</v>
      </c>
      <c r="P9525" s="33">
        <f t="shared" si="592"/>
        <v>0</v>
      </c>
      <c r="Q9525" s="31" t="str">
        <f t="shared" si="593"/>
        <v/>
      </c>
      <c r="R9525" s="32" t="str">
        <f>IFERROR(VLOOKUP($D9525,'Informations sur les produits'!$A$3:$B$15000,2,FALSE),"")</f>
        <v/>
      </c>
      <c r="V9525">
        <f t="shared" si="594"/>
        <v>0</v>
      </c>
      <c r="W9525">
        <f t="shared" si="595"/>
        <v>0</v>
      </c>
    </row>
    <row r="9526" spans="5:23" x14ac:dyDescent="0.25">
      <c r="E9526" s="4"/>
      <c r="F9526" s="4"/>
      <c r="G9526" s="33" t="str">
        <f>IFERROR(VLOOKUP($D9526,'Informations sur les produits'!$A$3:$H$10000,8,FALSE),"0")</f>
        <v>0</v>
      </c>
      <c r="K9526" s="4"/>
      <c r="L9526" s="33" t="str">
        <f>IFERROR(VLOOKUP($J9526,'Informations sur les produits'!$A$3:$H$10000,8,FALSE),"0")</f>
        <v>0</v>
      </c>
      <c r="N9526" s="8"/>
      <c r="O9526" s="33" t="str">
        <f>IFERROR(VLOOKUP($M9526,'Informations sur les produits'!$A$3:$H$10000,8,FALSE),"0")</f>
        <v>0</v>
      </c>
      <c r="P9526" s="33">
        <f t="shared" si="592"/>
        <v>0</v>
      </c>
      <c r="Q9526" s="31" t="str">
        <f t="shared" si="593"/>
        <v/>
      </c>
      <c r="R9526" s="32" t="str">
        <f>IFERROR(VLOOKUP($D9526,'Informations sur les produits'!$A$3:$B$15000,2,FALSE),"")</f>
        <v/>
      </c>
      <c r="V9526">
        <f t="shared" si="594"/>
        <v>0</v>
      </c>
      <c r="W9526">
        <f t="shared" si="595"/>
        <v>0</v>
      </c>
    </row>
    <row r="9527" spans="5:23" x14ac:dyDescent="0.25">
      <c r="E9527" s="4"/>
      <c r="F9527" s="4"/>
      <c r="G9527" s="33" t="str">
        <f>IFERROR(VLOOKUP($D9527,'Informations sur les produits'!$A$3:$H$10000,8,FALSE),"0")</f>
        <v>0</v>
      </c>
      <c r="K9527" s="4"/>
      <c r="L9527" s="33" t="str">
        <f>IFERROR(VLOOKUP($J9527,'Informations sur les produits'!$A$3:$H$10000,8,FALSE),"0")</f>
        <v>0</v>
      </c>
      <c r="N9527" s="8"/>
      <c r="O9527" s="33" t="str">
        <f>IFERROR(VLOOKUP($M9527,'Informations sur les produits'!$A$3:$H$10000,8,FALSE),"0")</f>
        <v>0</v>
      </c>
      <c r="P9527" s="33">
        <f t="shared" si="592"/>
        <v>0</v>
      </c>
      <c r="Q9527" s="31" t="str">
        <f t="shared" si="593"/>
        <v/>
      </c>
      <c r="R9527" s="32" t="str">
        <f>IFERROR(VLOOKUP($D9527,'Informations sur les produits'!$A$3:$B$15000,2,FALSE),"")</f>
        <v/>
      </c>
      <c r="V9527">
        <f t="shared" si="594"/>
        <v>0</v>
      </c>
      <c r="W9527">
        <f t="shared" si="595"/>
        <v>0</v>
      </c>
    </row>
    <row r="9528" spans="5:23" x14ac:dyDescent="0.25">
      <c r="E9528" s="4"/>
      <c r="F9528" s="4"/>
      <c r="G9528" s="33" t="str">
        <f>IFERROR(VLOOKUP($D9528,'Informations sur les produits'!$A$3:$H$10000,8,FALSE),"0")</f>
        <v>0</v>
      </c>
      <c r="K9528" s="4"/>
      <c r="L9528" s="33" t="str">
        <f>IFERROR(VLOOKUP($J9528,'Informations sur les produits'!$A$3:$H$10000,8,FALSE),"0")</f>
        <v>0</v>
      </c>
      <c r="N9528" s="8"/>
      <c r="O9528" s="33" t="str">
        <f>IFERROR(VLOOKUP($M9528,'Informations sur les produits'!$A$3:$H$10000,8,FALSE),"0")</f>
        <v>0</v>
      </c>
      <c r="P9528" s="33">
        <f t="shared" si="592"/>
        <v>0</v>
      </c>
      <c r="Q9528" s="31" t="str">
        <f t="shared" si="593"/>
        <v/>
      </c>
      <c r="R9528" s="32" t="str">
        <f>IFERROR(VLOOKUP($D9528,'Informations sur les produits'!$A$3:$B$15000,2,FALSE),"")</f>
        <v/>
      </c>
      <c r="V9528">
        <f t="shared" si="594"/>
        <v>0</v>
      </c>
      <c r="W9528">
        <f t="shared" si="595"/>
        <v>0</v>
      </c>
    </row>
    <row r="9529" spans="5:23" x14ac:dyDescent="0.25">
      <c r="E9529" s="4"/>
      <c r="F9529" s="4"/>
      <c r="G9529" s="33" t="str">
        <f>IFERROR(VLOOKUP($D9529,'Informations sur les produits'!$A$3:$H$10000,8,FALSE),"0")</f>
        <v>0</v>
      </c>
      <c r="K9529" s="4"/>
      <c r="L9529" s="33" t="str">
        <f>IFERROR(VLOOKUP($J9529,'Informations sur les produits'!$A$3:$H$10000,8,FALSE),"0")</f>
        <v>0</v>
      </c>
      <c r="N9529" s="8"/>
      <c r="O9529" s="33" t="str">
        <f>IFERROR(VLOOKUP($M9529,'Informations sur les produits'!$A$3:$H$10000,8,FALSE),"0")</f>
        <v>0</v>
      </c>
      <c r="P9529" s="33">
        <f t="shared" si="592"/>
        <v>0</v>
      </c>
      <c r="Q9529" s="31" t="str">
        <f t="shared" si="593"/>
        <v/>
      </c>
      <c r="R9529" s="32" t="str">
        <f>IFERROR(VLOOKUP($D9529,'Informations sur les produits'!$A$3:$B$15000,2,FALSE),"")</f>
        <v/>
      </c>
      <c r="V9529">
        <f t="shared" si="594"/>
        <v>0</v>
      </c>
      <c r="W9529">
        <f t="shared" si="595"/>
        <v>0</v>
      </c>
    </row>
    <row r="9530" spans="5:23" x14ac:dyDescent="0.25">
      <c r="E9530" s="4"/>
      <c r="F9530" s="4"/>
      <c r="G9530" s="33" t="str">
        <f>IFERROR(VLOOKUP($D9530,'Informations sur les produits'!$A$3:$H$10000,8,FALSE),"0")</f>
        <v>0</v>
      </c>
      <c r="K9530" s="4"/>
      <c r="L9530" s="33" t="str">
        <f>IFERROR(VLOOKUP($J9530,'Informations sur les produits'!$A$3:$H$10000,8,FALSE),"0")</f>
        <v>0</v>
      </c>
      <c r="N9530" s="8"/>
      <c r="O9530" s="33" t="str">
        <f>IFERROR(VLOOKUP($M9530,'Informations sur les produits'!$A$3:$H$10000,8,FALSE),"0")</f>
        <v>0</v>
      </c>
      <c r="P9530" s="33">
        <f t="shared" si="592"/>
        <v>0</v>
      </c>
      <c r="Q9530" s="31" t="str">
        <f t="shared" si="593"/>
        <v/>
      </c>
      <c r="R9530" s="32" t="str">
        <f>IFERROR(VLOOKUP($D9530,'Informations sur les produits'!$A$3:$B$15000,2,FALSE),"")</f>
        <v/>
      </c>
      <c r="V9530">
        <f t="shared" si="594"/>
        <v>0</v>
      </c>
      <c r="W9530">
        <f t="shared" si="595"/>
        <v>0</v>
      </c>
    </row>
    <row r="9531" spans="5:23" x14ac:dyDescent="0.25">
      <c r="E9531" s="4"/>
      <c r="F9531" s="4"/>
      <c r="G9531" s="33" t="str">
        <f>IFERROR(VLOOKUP($D9531,'Informations sur les produits'!$A$3:$H$10000,8,FALSE),"0")</f>
        <v>0</v>
      </c>
      <c r="K9531" s="4"/>
      <c r="L9531" s="33" t="str">
        <f>IFERROR(VLOOKUP($J9531,'Informations sur les produits'!$A$3:$H$10000,8,FALSE),"0")</f>
        <v>0</v>
      </c>
      <c r="N9531" s="8"/>
      <c r="O9531" s="33" t="str">
        <f>IFERROR(VLOOKUP($M9531,'Informations sur les produits'!$A$3:$H$10000,8,FALSE),"0")</f>
        <v>0</v>
      </c>
      <c r="P9531" s="33">
        <f t="shared" si="592"/>
        <v>0</v>
      </c>
      <c r="Q9531" s="31" t="str">
        <f t="shared" si="593"/>
        <v/>
      </c>
      <c r="R9531" s="32" t="str">
        <f>IFERROR(VLOOKUP($D9531,'Informations sur les produits'!$A$3:$B$15000,2,FALSE),"")</f>
        <v/>
      </c>
      <c r="V9531">
        <f t="shared" si="594"/>
        <v>0</v>
      </c>
      <c r="W9531">
        <f t="shared" si="595"/>
        <v>0</v>
      </c>
    </row>
    <row r="9532" spans="5:23" x14ac:dyDescent="0.25">
      <c r="E9532" s="4"/>
      <c r="F9532" s="4"/>
      <c r="G9532" s="33" t="str">
        <f>IFERROR(VLOOKUP($D9532,'Informations sur les produits'!$A$3:$H$10000,8,FALSE),"0")</f>
        <v>0</v>
      </c>
      <c r="K9532" s="4"/>
      <c r="L9532" s="33" t="str">
        <f>IFERROR(VLOOKUP($J9532,'Informations sur les produits'!$A$3:$H$10000,8,FALSE),"0")</f>
        <v>0</v>
      </c>
      <c r="N9532" s="8"/>
      <c r="O9532" s="33" t="str">
        <f>IFERROR(VLOOKUP($M9532,'Informations sur les produits'!$A$3:$H$10000,8,FALSE),"0")</f>
        <v>0</v>
      </c>
      <c r="P9532" s="33">
        <f t="shared" si="592"/>
        <v>0</v>
      </c>
      <c r="Q9532" s="31" t="str">
        <f t="shared" si="593"/>
        <v/>
      </c>
      <c r="R9532" s="32" t="str">
        <f>IFERROR(VLOOKUP($D9532,'Informations sur les produits'!$A$3:$B$15000,2,FALSE),"")</f>
        <v/>
      </c>
      <c r="V9532">
        <f t="shared" si="594"/>
        <v>0</v>
      </c>
      <c r="W9532">
        <f t="shared" si="595"/>
        <v>0</v>
      </c>
    </row>
    <row r="9533" spans="5:23" x14ac:dyDescent="0.25">
      <c r="E9533" s="4"/>
      <c r="F9533" s="4"/>
      <c r="G9533" s="33" t="str">
        <f>IFERROR(VLOOKUP($D9533,'Informations sur les produits'!$A$3:$H$10000,8,FALSE),"0")</f>
        <v>0</v>
      </c>
      <c r="K9533" s="4"/>
      <c r="L9533" s="33" t="str">
        <f>IFERROR(VLOOKUP($J9533,'Informations sur les produits'!$A$3:$H$10000,8,FALSE),"0")</f>
        <v>0</v>
      </c>
      <c r="N9533" s="8"/>
      <c r="O9533" s="33" t="str">
        <f>IFERROR(VLOOKUP($M9533,'Informations sur les produits'!$A$3:$H$10000,8,FALSE),"0")</f>
        <v>0</v>
      </c>
      <c r="P9533" s="33">
        <f t="shared" si="592"/>
        <v>0</v>
      </c>
      <c r="Q9533" s="31" t="str">
        <f t="shared" si="593"/>
        <v/>
      </c>
      <c r="R9533" s="32" t="str">
        <f>IFERROR(VLOOKUP($D9533,'Informations sur les produits'!$A$3:$B$15000,2,FALSE),"")</f>
        <v/>
      </c>
      <c r="V9533">
        <f t="shared" si="594"/>
        <v>0</v>
      </c>
      <c r="W9533">
        <f t="shared" si="595"/>
        <v>0</v>
      </c>
    </row>
    <row r="9534" spans="5:23" x14ac:dyDescent="0.25">
      <c r="E9534" s="4"/>
      <c r="F9534" s="4"/>
      <c r="G9534" s="33" t="str">
        <f>IFERROR(VLOOKUP($D9534,'Informations sur les produits'!$A$3:$H$10000,8,FALSE),"0")</f>
        <v>0</v>
      </c>
      <c r="K9534" s="4"/>
      <c r="L9534" s="33" t="str">
        <f>IFERROR(VLOOKUP($J9534,'Informations sur les produits'!$A$3:$H$10000,8,FALSE),"0")</f>
        <v>0</v>
      </c>
      <c r="N9534" s="8"/>
      <c r="O9534" s="33" t="str">
        <f>IFERROR(VLOOKUP($M9534,'Informations sur les produits'!$A$3:$H$10000,8,FALSE),"0")</f>
        <v>0</v>
      </c>
      <c r="P9534" s="33">
        <f t="shared" si="592"/>
        <v>0</v>
      </c>
      <c r="Q9534" s="31" t="str">
        <f t="shared" si="593"/>
        <v/>
      </c>
      <c r="R9534" s="32" t="str">
        <f>IFERROR(VLOOKUP($D9534,'Informations sur les produits'!$A$3:$B$15000,2,FALSE),"")</f>
        <v/>
      </c>
      <c r="V9534">
        <f t="shared" si="594"/>
        <v>0</v>
      </c>
      <c r="W9534">
        <f t="shared" si="595"/>
        <v>0</v>
      </c>
    </row>
    <row r="9535" spans="5:23" x14ac:dyDescent="0.25">
      <c r="E9535" s="4"/>
      <c r="F9535" s="4"/>
      <c r="G9535" s="33" t="str">
        <f>IFERROR(VLOOKUP($D9535,'Informations sur les produits'!$A$3:$H$10000,8,FALSE),"0")</f>
        <v>0</v>
      </c>
      <c r="K9535" s="4"/>
      <c r="L9535" s="33" t="str">
        <f>IFERROR(VLOOKUP($J9535,'Informations sur les produits'!$A$3:$H$10000,8,FALSE),"0")</f>
        <v>0</v>
      </c>
      <c r="N9535" s="8"/>
      <c r="O9535" s="33" t="str">
        <f>IFERROR(VLOOKUP($M9535,'Informations sur les produits'!$A$3:$H$10000,8,FALSE),"0")</f>
        <v>0</v>
      </c>
      <c r="P9535" s="33">
        <f t="shared" si="592"/>
        <v>0</v>
      </c>
      <c r="Q9535" s="31" t="str">
        <f t="shared" si="593"/>
        <v/>
      </c>
      <c r="R9535" s="32" t="str">
        <f>IFERROR(VLOOKUP($D9535,'Informations sur les produits'!$A$3:$B$15000,2,FALSE),"")</f>
        <v/>
      </c>
      <c r="V9535">
        <f t="shared" si="594"/>
        <v>0</v>
      </c>
      <c r="W9535">
        <f t="shared" si="595"/>
        <v>0</v>
      </c>
    </row>
    <row r="9536" spans="5:23" x14ac:dyDescent="0.25">
      <c r="E9536" s="4"/>
      <c r="F9536" s="4"/>
      <c r="G9536" s="33" t="str">
        <f>IFERROR(VLOOKUP($D9536,'Informations sur les produits'!$A$3:$H$10000,8,FALSE),"0")</f>
        <v>0</v>
      </c>
      <c r="K9536" s="4"/>
      <c r="L9536" s="33" t="str">
        <f>IFERROR(VLOOKUP($J9536,'Informations sur les produits'!$A$3:$H$10000,8,FALSE),"0")</f>
        <v>0</v>
      </c>
      <c r="N9536" s="8"/>
      <c r="O9536" s="33" t="str">
        <f>IFERROR(VLOOKUP($M9536,'Informations sur les produits'!$A$3:$H$10000,8,FALSE),"0")</f>
        <v>0</v>
      </c>
      <c r="P9536" s="33">
        <f t="shared" si="592"/>
        <v>0</v>
      </c>
      <c r="Q9536" s="31" t="str">
        <f t="shared" si="593"/>
        <v/>
      </c>
      <c r="R9536" s="32" t="str">
        <f>IFERROR(VLOOKUP($D9536,'Informations sur les produits'!$A$3:$B$15000,2,FALSE),"")</f>
        <v/>
      </c>
      <c r="V9536">
        <f t="shared" si="594"/>
        <v>0</v>
      </c>
      <c r="W9536">
        <f t="shared" si="595"/>
        <v>0</v>
      </c>
    </row>
    <row r="9537" spans="5:23" x14ac:dyDescent="0.25">
      <c r="E9537" s="4"/>
      <c r="F9537" s="4"/>
      <c r="G9537" s="33" t="str">
        <f>IFERROR(VLOOKUP($D9537,'Informations sur les produits'!$A$3:$H$10000,8,FALSE),"0")</f>
        <v>0</v>
      </c>
      <c r="K9537" s="4"/>
      <c r="L9537" s="33" t="str">
        <f>IFERROR(VLOOKUP($J9537,'Informations sur les produits'!$A$3:$H$10000,8,FALSE),"0")</f>
        <v>0</v>
      </c>
      <c r="N9537" s="8"/>
      <c r="O9537" s="33" t="str">
        <f>IFERROR(VLOOKUP($M9537,'Informations sur les produits'!$A$3:$H$10000,8,FALSE),"0")</f>
        <v>0</v>
      </c>
      <c r="P9537" s="33">
        <f t="shared" si="592"/>
        <v>0</v>
      </c>
      <c r="Q9537" s="31" t="str">
        <f t="shared" si="593"/>
        <v/>
      </c>
      <c r="R9537" s="32" t="str">
        <f>IFERROR(VLOOKUP($D9537,'Informations sur les produits'!$A$3:$B$15000,2,FALSE),"")</f>
        <v/>
      </c>
      <c r="V9537">
        <f t="shared" si="594"/>
        <v>0</v>
      </c>
      <c r="W9537">
        <f t="shared" si="595"/>
        <v>0</v>
      </c>
    </row>
    <row r="9538" spans="5:23" x14ac:dyDescent="0.25">
      <c r="E9538" s="4"/>
      <c r="F9538" s="4"/>
      <c r="G9538" s="33" t="str">
        <f>IFERROR(VLOOKUP($D9538,'Informations sur les produits'!$A$3:$H$10000,8,FALSE),"0")</f>
        <v>0</v>
      </c>
      <c r="K9538" s="4"/>
      <c r="L9538" s="33" t="str">
        <f>IFERROR(VLOOKUP($J9538,'Informations sur les produits'!$A$3:$H$10000,8,FALSE),"0")</f>
        <v>0</v>
      </c>
      <c r="N9538" s="8"/>
      <c r="O9538" s="33" t="str">
        <f>IFERROR(VLOOKUP($M9538,'Informations sur les produits'!$A$3:$H$10000,8,FALSE),"0")</f>
        <v>0</v>
      </c>
      <c r="P9538" s="33">
        <f t="shared" si="592"/>
        <v>0</v>
      </c>
      <c r="Q9538" s="31" t="str">
        <f t="shared" si="593"/>
        <v/>
      </c>
      <c r="R9538" s="32" t="str">
        <f>IFERROR(VLOOKUP($D9538,'Informations sur les produits'!$A$3:$B$15000,2,FALSE),"")</f>
        <v/>
      </c>
      <c r="V9538">
        <f t="shared" si="594"/>
        <v>0</v>
      </c>
      <c r="W9538">
        <f t="shared" si="595"/>
        <v>0</v>
      </c>
    </row>
    <row r="9539" spans="5:23" x14ac:dyDescent="0.25">
      <c r="E9539" s="4"/>
      <c r="F9539" s="4"/>
      <c r="G9539" s="33" t="str">
        <f>IFERROR(VLOOKUP($D9539,'Informations sur les produits'!$A$3:$H$10000,8,FALSE),"0")</f>
        <v>0</v>
      </c>
      <c r="K9539" s="4"/>
      <c r="L9539" s="33" t="str">
        <f>IFERROR(VLOOKUP($J9539,'Informations sur les produits'!$A$3:$H$10000,8,FALSE),"0")</f>
        <v>0</v>
      </c>
      <c r="N9539" s="8"/>
      <c r="O9539" s="33" t="str">
        <f>IFERROR(VLOOKUP($M9539,'Informations sur les produits'!$A$3:$H$10000,8,FALSE),"0")</f>
        <v>0</v>
      </c>
      <c r="P9539" s="33">
        <f t="shared" si="592"/>
        <v>0</v>
      </c>
      <c r="Q9539" s="31" t="str">
        <f t="shared" si="593"/>
        <v/>
      </c>
      <c r="R9539" s="32" t="str">
        <f>IFERROR(VLOOKUP($D9539,'Informations sur les produits'!$A$3:$B$15000,2,FALSE),"")</f>
        <v/>
      </c>
      <c r="V9539">
        <f t="shared" si="594"/>
        <v>0</v>
      </c>
      <c r="W9539">
        <f t="shared" si="595"/>
        <v>0</v>
      </c>
    </row>
    <row r="9540" spans="5:23" x14ac:dyDescent="0.25">
      <c r="E9540" s="4"/>
      <c r="F9540" s="4"/>
      <c r="G9540" s="33" t="str">
        <f>IFERROR(VLOOKUP($D9540,'Informations sur les produits'!$A$3:$H$10000,8,FALSE),"0")</f>
        <v>0</v>
      </c>
      <c r="K9540" s="4"/>
      <c r="L9540" s="33" t="str">
        <f>IFERROR(VLOOKUP($J9540,'Informations sur les produits'!$A$3:$H$10000,8,FALSE),"0")</f>
        <v>0</v>
      </c>
      <c r="N9540" s="8"/>
      <c r="O9540" s="33" t="str">
        <f>IFERROR(VLOOKUP($M9540,'Informations sur les produits'!$A$3:$H$10000,8,FALSE),"0")</f>
        <v>0</v>
      </c>
      <c r="P9540" s="33">
        <f t="shared" ref="P9540:P9603" si="596">IFERROR((($E9540-$F9540)*$G9540+$K9540*$L9540+$N9540*$O9540),"")</f>
        <v>0</v>
      </c>
      <c r="Q9540" s="31" t="str">
        <f t="shared" ref="Q9540:Q9603" si="597">IFERROR((((($E9540-$F9540)*$G9540+$K9540*$L9540+$N9540*$O9540)*1000)/(($E9540-$F9540)+$K9540+$N9540)),"")</f>
        <v/>
      </c>
      <c r="R9540" s="32" t="str">
        <f>IFERROR(VLOOKUP($D9540,'Informations sur les produits'!$A$3:$B$15000,2,FALSE),"")</f>
        <v/>
      </c>
      <c r="V9540">
        <f t="shared" ref="V9540:V9603" si="598">IFERROR(P9540*1000,"")</f>
        <v>0</v>
      </c>
      <c r="W9540">
        <f t="shared" ref="W9540:W9603" si="599">IFERROR(($E9540-$F9540)+$K9540+$N9540,"")</f>
        <v>0</v>
      </c>
    </row>
    <row r="9541" spans="5:23" x14ac:dyDescent="0.25">
      <c r="E9541" s="4"/>
      <c r="F9541" s="4"/>
      <c r="G9541" s="33" t="str">
        <f>IFERROR(VLOOKUP($D9541,'Informations sur les produits'!$A$3:$H$10000,8,FALSE),"0")</f>
        <v>0</v>
      </c>
      <c r="K9541" s="4"/>
      <c r="L9541" s="33" t="str">
        <f>IFERROR(VLOOKUP($J9541,'Informations sur les produits'!$A$3:$H$10000,8,FALSE),"0")</f>
        <v>0</v>
      </c>
      <c r="N9541" s="8"/>
      <c r="O9541" s="33" t="str">
        <f>IFERROR(VLOOKUP($M9541,'Informations sur les produits'!$A$3:$H$10000,8,FALSE),"0")</f>
        <v>0</v>
      </c>
      <c r="P9541" s="33">
        <f t="shared" si="596"/>
        <v>0</v>
      </c>
      <c r="Q9541" s="31" t="str">
        <f t="shared" si="597"/>
        <v/>
      </c>
      <c r="R9541" s="32" t="str">
        <f>IFERROR(VLOOKUP($D9541,'Informations sur les produits'!$A$3:$B$15000,2,FALSE),"")</f>
        <v/>
      </c>
      <c r="V9541">
        <f t="shared" si="598"/>
        <v>0</v>
      </c>
      <c r="W9541">
        <f t="shared" si="599"/>
        <v>0</v>
      </c>
    </row>
    <row r="9542" spans="5:23" x14ac:dyDescent="0.25">
      <c r="E9542" s="4"/>
      <c r="F9542" s="4"/>
      <c r="G9542" s="33" t="str">
        <f>IFERROR(VLOOKUP($D9542,'Informations sur les produits'!$A$3:$H$10000,8,FALSE),"0")</f>
        <v>0</v>
      </c>
      <c r="K9542" s="4"/>
      <c r="L9542" s="33" t="str">
        <f>IFERROR(VLOOKUP($J9542,'Informations sur les produits'!$A$3:$H$10000,8,FALSE),"0")</f>
        <v>0</v>
      </c>
      <c r="N9542" s="8"/>
      <c r="O9542" s="33" t="str">
        <f>IFERROR(VLOOKUP($M9542,'Informations sur les produits'!$A$3:$H$10000,8,FALSE),"0")</f>
        <v>0</v>
      </c>
      <c r="P9542" s="33">
        <f t="shared" si="596"/>
        <v>0</v>
      </c>
      <c r="Q9542" s="31" t="str">
        <f t="shared" si="597"/>
        <v/>
      </c>
      <c r="R9542" s="32" t="str">
        <f>IFERROR(VLOOKUP($D9542,'Informations sur les produits'!$A$3:$B$15000,2,FALSE),"")</f>
        <v/>
      </c>
      <c r="V9542">
        <f t="shared" si="598"/>
        <v>0</v>
      </c>
      <c r="W9542">
        <f t="shared" si="599"/>
        <v>0</v>
      </c>
    </row>
    <row r="9543" spans="5:23" x14ac:dyDescent="0.25">
      <c r="E9543" s="4"/>
      <c r="F9543" s="4"/>
      <c r="G9543" s="33" t="str">
        <f>IFERROR(VLOOKUP($D9543,'Informations sur les produits'!$A$3:$H$10000,8,FALSE),"0")</f>
        <v>0</v>
      </c>
      <c r="K9543" s="4"/>
      <c r="L9543" s="33" t="str">
        <f>IFERROR(VLOOKUP($J9543,'Informations sur les produits'!$A$3:$H$10000,8,FALSE),"0")</f>
        <v>0</v>
      </c>
      <c r="N9543" s="8"/>
      <c r="O9543" s="33" t="str">
        <f>IFERROR(VLOOKUP($M9543,'Informations sur les produits'!$A$3:$H$10000,8,FALSE),"0")</f>
        <v>0</v>
      </c>
      <c r="P9543" s="33">
        <f t="shared" si="596"/>
        <v>0</v>
      </c>
      <c r="Q9543" s="31" t="str">
        <f t="shared" si="597"/>
        <v/>
      </c>
      <c r="R9543" s="32" t="str">
        <f>IFERROR(VLOOKUP($D9543,'Informations sur les produits'!$A$3:$B$15000,2,FALSE),"")</f>
        <v/>
      </c>
      <c r="V9543">
        <f t="shared" si="598"/>
        <v>0</v>
      </c>
      <c r="W9543">
        <f t="shared" si="599"/>
        <v>0</v>
      </c>
    </row>
    <row r="9544" spans="5:23" x14ac:dyDescent="0.25">
      <c r="E9544" s="4"/>
      <c r="F9544" s="4"/>
      <c r="G9544" s="33" t="str">
        <f>IFERROR(VLOOKUP($D9544,'Informations sur les produits'!$A$3:$H$10000,8,FALSE),"0")</f>
        <v>0</v>
      </c>
      <c r="K9544" s="4"/>
      <c r="L9544" s="33" t="str">
        <f>IFERROR(VLOOKUP($J9544,'Informations sur les produits'!$A$3:$H$10000,8,FALSE),"0")</f>
        <v>0</v>
      </c>
      <c r="N9544" s="8"/>
      <c r="O9544" s="33" t="str">
        <f>IFERROR(VLOOKUP($M9544,'Informations sur les produits'!$A$3:$H$10000,8,FALSE),"0")</f>
        <v>0</v>
      </c>
      <c r="P9544" s="33">
        <f t="shared" si="596"/>
        <v>0</v>
      </c>
      <c r="Q9544" s="31" t="str">
        <f t="shared" si="597"/>
        <v/>
      </c>
      <c r="R9544" s="32" t="str">
        <f>IFERROR(VLOOKUP($D9544,'Informations sur les produits'!$A$3:$B$15000,2,FALSE),"")</f>
        <v/>
      </c>
      <c r="V9544">
        <f t="shared" si="598"/>
        <v>0</v>
      </c>
      <c r="W9544">
        <f t="shared" si="599"/>
        <v>0</v>
      </c>
    </row>
    <row r="9545" spans="5:23" x14ac:dyDescent="0.25">
      <c r="E9545" s="4"/>
      <c r="F9545" s="4"/>
      <c r="G9545" s="33" t="str">
        <f>IFERROR(VLOOKUP($D9545,'Informations sur les produits'!$A$3:$H$10000,8,FALSE),"0")</f>
        <v>0</v>
      </c>
      <c r="K9545" s="4"/>
      <c r="L9545" s="33" t="str">
        <f>IFERROR(VLOOKUP($J9545,'Informations sur les produits'!$A$3:$H$10000,8,FALSE),"0")</f>
        <v>0</v>
      </c>
      <c r="N9545" s="8"/>
      <c r="O9545" s="33" t="str">
        <f>IFERROR(VLOOKUP($M9545,'Informations sur les produits'!$A$3:$H$10000,8,FALSE),"0")</f>
        <v>0</v>
      </c>
      <c r="P9545" s="33">
        <f t="shared" si="596"/>
        <v>0</v>
      </c>
      <c r="Q9545" s="31" t="str">
        <f t="shared" si="597"/>
        <v/>
      </c>
      <c r="R9545" s="32" t="str">
        <f>IFERROR(VLOOKUP($D9545,'Informations sur les produits'!$A$3:$B$15000,2,FALSE),"")</f>
        <v/>
      </c>
      <c r="V9545">
        <f t="shared" si="598"/>
        <v>0</v>
      </c>
      <c r="W9545">
        <f t="shared" si="599"/>
        <v>0</v>
      </c>
    </row>
    <row r="9546" spans="5:23" x14ac:dyDescent="0.25">
      <c r="E9546" s="4"/>
      <c r="F9546" s="4"/>
      <c r="G9546" s="33" t="str">
        <f>IFERROR(VLOOKUP($D9546,'Informations sur les produits'!$A$3:$H$10000,8,FALSE),"0")</f>
        <v>0</v>
      </c>
      <c r="K9546" s="4"/>
      <c r="L9546" s="33" t="str">
        <f>IFERROR(VLOOKUP($J9546,'Informations sur les produits'!$A$3:$H$10000,8,FALSE),"0")</f>
        <v>0</v>
      </c>
      <c r="N9546" s="8"/>
      <c r="O9546" s="33" t="str">
        <f>IFERROR(VLOOKUP($M9546,'Informations sur les produits'!$A$3:$H$10000,8,FALSE),"0")</f>
        <v>0</v>
      </c>
      <c r="P9546" s="33">
        <f t="shared" si="596"/>
        <v>0</v>
      </c>
      <c r="Q9546" s="31" t="str">
        <f t="shared" si="597"/>
        <v/>
      </c>
      <c r="R9546" s="32" t="str">
        <f>IFERROR(VLOOKUP($D9546,'Informations sur les produits'!$A$3:$B$15000,2,FALSE),"")</f>
        <v/>
      </c>
      <c r="V9546">
        <f t="shared" si="598"/>
        <v>0</v>
      </c>
      <c r="W9546">
        <f t="shared" si="599"/>
        <v>0</v>
      </c>
    </row>
    <row r="9547" spans="5:23" x14ac:dyDescent="0.25">
      <c r="E9547" s="4"/>
      <c r="F9547" s="4"/>
      <c r="G9547" s="33" t="str">
        <f>IFERROR(VLOOKUP($D9547,'Informations sur les produits'!$A$3:$H$10000,8,FALSE),"0")</f>
        <v>0</v>
      </c>
      <c r="K9547" s="4"/>
      <c r="L9547" s="33" t="str">
        <f>IFERROR(VLOOKUP($J9547,'Informations sur les produits'!$A$3:$H$10000,8,FALSE),"0")</f>
        <v>0</v>
      </c>
      <c r="N9547" s="8"/>
      <c r="O9547" s="33" t="str">
        <f>IFERROR(VLOOKUP($M9547,'Informations sur les produits'!$A$3:$H$10000,8,FALSE),"0")</f>
        <v>0</v>
      </c>
      <c r="P9547" s="33">
        <f t="shared" si="596"/>
        <v>0</v>
      </c>
      <c r="Q9547" s="31" t="str">
        <f t="shared" si="597"/>
        <v/>
      </c>
      <c r="R9547" s="32" t="str">
        <f>IFERROR(VLOOKUP($D9547,'Informations sur les produits'!$A$3:$B$15000,2,FALSE),"")</f>
        <v/>
      </c>
      <c r="V9547">
        <f t="shared" si="598"/>
        <v>0</v>
      </c>
      <c r="W9547">
        <f t="shared" si="599"/>
        <v>0</v>
      </c>
    </row>
    <row r="9548" spans="5:23" x14ac:dyDescent="0.25">
      <c r="E9548" s="4"/>
      <c r="F9548" s="4"/>
      <c r="G9548" s="33" t="str">
        <f>IFERROR(VLOOKUP($D9548,'Informations sur les produits'!$A$3:$H$10000,8,FALSE),"0")</f>
        <v>0</v>
      </c>
      <c r="K9548" s="4"/>
      <c r="L9548" s="33" t="str">
        <f>IFERROR(VLOOKUP($J9548,'Informations sur les produits'!$A$3:$H$10000,8,FALSE),"0")</f>
        <v>0</v>
      </c>
      <c r="N9548" s="8"/>
      <c r="O9548" s="33" t="str">
        <f>IFERROR(VLOOKUP($M9548,'Informations sur les produits'!$A$3:$H$10000,8,FALSE),"0")</f>
        <v>0</v>
      </c>
      <c r="P9548" s="33">
        <f t="shared" si="596"/>
        <v>0</v>
      </c>
      <c r="Q9548" s="31" t="str">
        <f t="shared" si="597"/>
        <v/>
      </c>
      <c r="R9548" s="32" t="str">
        <f>IFERROR(VLOOKUP($D9548,'Informations sur les produits'!$A$3:$B$15000,2,FALSE),"")</f>
        <v/>
      </c>
      <c r="V9548">
        <f t="shared" si="598"/>
        <v>0</v>
      </c>
      <c r="W9548">
        <f t="shared" si="599"/>
        <v>0</v>
      </c>
    </row>
    <row r="9549" spans="5:23" x14ac:dyDescent="0.25">
      <c r="E9549" s="4"/>
      <c r="F9549" s="4"/>
      <c r="G9549" s="33" t="str">
        <f>IFERROR(VLOOKUP($D9549,'Informations sur les produits'!$A$3:$H$10000,8,FALSE),"0")</f>
        <v>0</v>
      </c>
      <c r="K9549" s="4"/>
      <c r="L9549" s="33" t="str">
        <f>IFERROR(VLOOKUP($J9549,'Informations sur les produits'!$A$3:$H$10000,8,FALSE),"0")</f>
        <v>0</v>
      </c>
      <c r="N9549" s="8"/>
      <c r="O9549" s="33" t="str">
        <f>IFERROR(VLOOKUP($M9549,'Informations sur les produits'!$A$3:$H$10000,8,FALSE),"0")</f>
        <v>0</v>
      </c>
      <c r="P9549" s="33">
        <f t="shared" si="596"/>
        <v>0</v>
      </c>
      <c r="Q9549" s="31" t="str">
        <f t="shared" si="597"/>
        <v/>
      </c>
      <c r="R9549" s="32" t="str">
        <f>IFERROR(VLOOKUP($D9549,'Informations sur les produits'!$A$3:$B$15000,2,FALSE),"")</f>
        <v/>
      </c>
      <c r="V9549">
        <f t="shared" si="598"/>
        <v>0</v>
      </c>
      <c r="W9549">
        <f t="shared" si="599"/>
        <v>0</v>
      </c>
    </row>
    <row r="9550" spans="5:23" x14ac:dyDescent="0.25">
      <c r="E9550" s="4"/>
      <c r="F9550" s="4"/>
      <c r="G9550" s="33" t="str">
        <f>IFERROR(VLOOKUP($D9550,'Informations sur les produits'!$A$3:$H$10000,8,FALSE),"0")</f>
        <v>0</v>
      </c>
      <c r="K9550" s="4"/>
      <c r="L9550" s="33" t="str">
        <f>IFERROR(VLOOKUP($J9550,'Informations sur les produits'!$A$3:$H$10000,8,FALSE),"0")</f>
        <v>0</v>
      </c>
      <c r="N9550" s="8"/>
      <c r="O9550" s="33" t="str">
        <f>IFERROR(VLOOKUP($M9550,'Informations sur les produits'!$A$3:$H$10000,8,FALSE),"0")</f>
        <v>0</v>
      </c>
      <c r="P9550" s="33">
        <f t="shared" si="596"/>
        <v>0</v>
      </c>
      <c r="Q9550" s="31" t="str">
        <f t="shared" si="597"/>
        <v/>
      </c>
      <c r="R9550" s="32" t="str">
        <f>IFERROR(VLOOKUP($D9550,'Informations sur les produits'!$A$3:$B$15000,2,FALSE),"")</f>
        <v/>
      </c>
      <c r="V9550">
        <f t="shared" si="598"/>
        <v>0</v>
      </c>
      <c r="W9550">
        <f t="shared" si="599"/>
        <v>0</v>
      </c>
    </row>
    <row r="9551" spans="5:23" x14ac:dyDescent="0.25">
      <c r="E9551" s="4"/>
      <c r="F9551" s="4"/>
      <c r="G9551" s="33" t="str">
        <f>IFERROR(VLOOKUP($D9551,'Informations sur les produits'!$A$3:$H$10000,8,FALSE),"0")</f>
        <v>0</v>
      </c>
      <c r="K9551" s="4"/>
      <c r="L9551" s="33" t="str">
        <f>IFERROR(VLOOKUP($J9551,'Informations sur les produits'!$A$3:$H$10000,8,FALSE),"0")</f>
        <v>0</v>
      </c>
      <c r="N9551" s="8"/>
      <c r="O9551" s="33" t="str">
        <f>IFERROR(VLOOKUP($M9551,'Informations sur les produits'!$A$3:$H$10000,8,FALSE),"0")</f>
        <v>0</v>
      </c>
      <c r="P9551" s="33">
        <f t="shared" si="596"/>
        <v>0</v>
      </c>
      <c r="Q9551" s="31" t="str">
        <f t="shared" si="597"/>
        <v/>
      </c>
      <c r="R9551" s="32" t="str">
        <f>IFERROR(VLOOKUP($D9551,'Informations sur les produits'!$A$3:$B$15000,2,FALSE),"")</f>
        <v/>
      </c>
      <c r="V9551">
        <f t="shared" si="598"/>
        <v>0</v>
      </c>
      <c r="W9551">
        <f t="shared" si="599"/>
        <v>0</v>
      </c>
    </row>
    <row r="9552" spans="5:23" x14ac:dyDescent="0.25">
      <c r="E9552" s="4"/>
      <c r="F9552" s="4"/>
      <c r="G9552" s="33" t="str">
        <f>IFERROR(VLOOKUP($D9552,'Informations sur les produits'!$A$3:$H$10000,8,FALSE),"0")</f>
        <v>0</v>
      </c>
      <c r="K9552" s="4"/>
      <c r="L9552" s="33" t="str">
        <f>IFERROR(VLOOKUP($J9552,'Informations sur les produits'!$A$3:$H$10000,8,FALSE),"0")</f>
        <v>0</v>
      </c>
      <c r="N9552" s="8"/>
      <c r="O9552" s="33" t="str">
        <f>IFERROR(VLOOKUP($M9552,'Informations sur les produits'!$A$3:$H$10000,8,FALSE),"0")</f>
        <v>0</v>
      </c>
      <c r="P9552" s="33">
        <f t="shared" si="596"/>
        <v>0</v>
      </c>
      <c r="Q9552" s="31" t="str">
        <f t="shared" si="597"/>
        <v/>
      </c>
      <c r="R9552" s="32" t="str">
        <f>IFERROR(VLOOKUP($D9552,'Informations sur les produits'!$A$3:$B$15000,2,FALSE),"")</f>
        <v/>
      </c>
      <c r="V9552">
        <f t="shared" si="598"/>
        <v>0</v>
      </c>
      <c r="W9552">
        <f t="shared" si="599"/>
        <v>0</v>
      </c>
    </row>
    <row r="9553" spans="5:23" x14ac:dyDescent="0.25">
      <c r="E9553" s="4"/>
      <c r="F9553" s="4"/>
      <c r="G9553" s="33" t="str">
        <f>IFERROR(VLOOKUP($D9553,'Informations sur les produits'!$A$3:$H$10000,8,FALSE),"0")</f>
        <v>0</v>
      </c>
      <c r="K9553" s="4"/>
      <c r="L9553" s="33" t="str">
        <f>IFERROR(VLOOKUP($J9553,'Informations sur les produits'!$A$3:$H$10000,8,FALSE),"0")</f>
        <v>0</v>
      </c>
      <c r="N9553" s="8"/>
      <c r="O9553" s="33" t="str">
        <f>IFERROR(VLOOKUP($M9553,'Informations sur les produits'!$A$3:$H$10000,8,FALSE),"0")</f>
        <v>0</v>
      </c>
      <c r="P9553" s="33">
        <f t="shared" si="596"/>
        <v>0</v>
      </c>
      <c r="Q9553" s="31" t="str">
        <f t="shared" si="597"/>
        <v/>
      </c>
      <c r="R9553" s="32" t="str">
        <f>IFERROR(VLOOKUP($D9553,'Informations sur les produits'!$A$3:$B$15000,2,FALSE),"")</f>
        <v/>
      </c>
      <c r="V9553">
        <f t="shared" si="598"/>
        <v>0</v>
      </c>
      <c r="W9553">
        <f t="shared" si="599"/>
        <v>0</v>
      </c>
    </row>
    <row r="9554" spans="5:23" x14ac:dyDescent="0.25">
      <c r="E9554" s="4"/>
      <c r="F9554" s="4"/>
      <c r="G9554" s="33" t="str">
        <f>IFERROR(VLOOKUP($D9554,'Informations sur les produits'!$A$3:$H$10000,8,FALSE),"0")</f>
        <v>0</v>
      </c>
      <c r="K9554" s="4"/>
      <c r="L9554" s="33" t="str">
        <f>IFERROR(VLOOKUP($J9554,'Informations sur les produits'!$A$3:$H$10000,8,FALSE),"0")</f>
        <v>0</v>
      </c>
      <c r="N9554" s="8"/>
      <c r="O9554" s="33" t="str">
        <f>IFERROR(VLOOKUP($M9554,'Informations sur les produits'!$A$3:$H$10000,8,FALSE),"0")</f>
        <v>0</v>
      </c>
      <c r="P9554" s="33">
        <f t="shared" si="596"/>
        <v>0</v>
      </c>
      <c r="Q9554" s="31" t="str">
        <f t="shared" si="597"/>
        <v/>
      </c>
      <c r="R9554" s="32" t="str">
        <f>IFERROR(VLOOKUP($D9554,'Informations sur les produits'!$A$3:$B$15000,2,FALSE),"")</f>
        <v/>
      </c>
      <c r="V9554">
        <f t="shared" si="598"/>
        <v>0</v>
      </c>
      <c r="W9554">
        <f t="shared" si="599"/>
        <v>0</v>
      </c>
    </row>
    <row r="9555" spans="5:23" x14ac:dyDescent="0.25">
      <c r="E9555" s="4"/>
      <c r="F9555" s="4"/>
      <c r="G9555" s="33" t="str">
        <f>IFERROR(VLOOKUP($D9555,'Informations sur les produits'!$A$3:$H$10000,8,FALSE),"0")</f>
        <v>0</v>
      </c>
      <c r="K9555" s="4"/>
      <c r="L9555" s="33" t="str">
        <f>IFERROR(VLOOKUP($J9555,'Informations sur les produits'!$A$3:$H$10000,8,FALSE),"0")</f>
        <v>0</v>
      </c>
      <c r="N9555" s="8"/>
      <c r="O9555" s="33" t="str">
        <f>IFERROR(VLOOKUP($M9555,'Informations sur les produits'!$A$3:$H$10000,8,FALSE),"0")</f>
        <v>0</v>
      </c>
      <c r="P9555" s="33">
        <f t="shared" si="596"/>
        <v>0</v>
      </c>
      <c r="Q9555" s="31" t="str">
        <f t="shared" si="597"/>
        <v/>
      </c>
      <c r="R9555" s="32" t="str">
        <f>IFERROR(VLOOKUP($D9555,'Informations sur les produits'!$A$3:$B$15000,2,FALSE),"")</f>
        <v/>
      </c>
      <c r="V9555">
        <f t="shared" si="598"/>
        <v>0</v>
      </c>
      <c r="W9555">
        <f t="shared" si="599"/>
        <v>0</v>
      </c>
    </row>
    <row r="9556" spans="5:23" x14ac:dyDescent="0.25">
      <c r="E9556" s="4"/>
      <c r="F9556" s="4"/>
      <c r="G9556" s="33" t="str">
        <f>IFERROR(VLOOKUP($D9556,'Informations sur les produits'!$A$3:$H$10000,8,FALSE),"0")</f>
        <v>0</v>
      </c>
      <c r="K9556" s="4"/>
      <c r="L9556" s="33" t="str">
        <f>IFERROR(VLOOKUP($J9556,'Informations sur les produits'!$A$3:$H$10000,8,FALSE),"0")</f>
        <v>0</v>
      </c>
      <c r="N9556" s="8"/>
      <c r="O9556" s="33" t="str">
        <f>IFERROR(VLOOKUP($M9556,'Informations sur les produits'!$A$3:$H$10000,8,FALSE),"0")</f>
        <v>0</v>
      </c>
      <c r="P9556" s="33">
        <f t="shared" si="596"/>
        <v>0</v>
      </c>
      <c r="Q9556" s="31" t="str">
        <f t="shared" si="597"/>
        <v/>
      </c>
      <c r="R9556" s="32" t="str">
        <f>IFERROR(VLOOKUP($D9556,'Informations sur les produits'!$A$3:$B$15000,2,FALSE),"")</f>
        <v/>
      </c>
      <c r="V9556">
        <f t="shared" si="598"/>
        <v>0</v>
      </c>
      <c r="W9556">
        <f t="shared" si="599"/>
        <v>0</v>
      </c>
    </row>
    <row r="9557" spans="5:23" x14ac:dyDescent="0.25">
      <c r="E9557" s="4"/>
      <c r="F9557" s="4"/>
      <c r="G9557" s="33" t="str">
        <f>IFERROR(VLOOKUP($D9557,'Informations sur les produits'!$A$3:$H$10000,8,FALSE),"0")</f>
        <v>0</v>
      </c>
      <c r="K9557" s="4"/>
      <c r="L9557" s="33" t="str">
        <f>IFERROR(VLOOKUP($J9557,'Informations sur les produits'!$A$3:$H$10000,8,FALSE),"0")</f>
        <v>0</v>
      </c>
      <c r="N9557" s="8"/>
      <c r="O9557" s="33" t="str">
        <f>IFERROR(VLOOKUP($M9557,'Informations sur les produits'!$A$3:$H$10000,8,FALSE),"0")</f>
        <v>0</v>
      </c>
      <c r="P9557" s="33">
        <f t="shared" si="596"/>
        <v>0</v>
      </c>
      <c r="Q9557" s="31" t="str">
        <f t="shared" si="597"/>
        <v/>
      </c>
      <c r="R9557" s="32" t="str">
        <f>IFERROR(VLOOKUP($D9557,'Informations sur les produits'!$A$3:$B$15000,2,FALSE),"")</f>
        <v/>
      </c>
      <c r="V9557">
        <f t="shared" si="598"/>
        <v>0</v>
      </c>
      <c r="W9557">
        <f t="shared" si="599"/>
        <v>0</v>
      </c>
    </row>
    <row r="9558" spans="5:23" x14ac:dyDescent="0.25">
      <c r="E9558" s="4"/>
      <c r="F9558" s="4"/>
      <c r="G9558" s="33" t="str">
        <f>IFERROR(VLOOKUP($D9558,'Informations sur les produits'!$A$3:$H$10000,8,FALSE),"0")</f>
        <v>0</v>
      </c>
      <c r="K9558" s="4"/>
      <c r="L9558" s="33" t="str">
        <f>IFERROR(VLOOKUP($J9558,'Informations sur les produits'!$A$3:$H$10000,8,FALSE),"0")</f>
        <v>0</v>
      </c>
      <c r="N9558" s="8"/>
      <c r="O9558" s="33" t="str">
        <f>IFERROR(VLOOKUP($M9558,'Informations sur les produits'!$A$3:$H$10000,8,FALSE),"0")</f>
        <v>0</v>
      </c>
      <c r="P9558" s="33">
        <f t="shared" si="596"/>
        <v>0</v>
      </c>
      <c r="Q9558" s="31" t="str">
        <f t="shared" si="597"/>
        <v/>
      </c>
      <c r="R9558" s="32" t="str">
        <f>IFERROR(VLOOKUP($D9558,'Informations sur les produits'!$A$3:$B$15000,2,FALSE),"")</f>
        <v/>
      </c>
      <c r="V9558">
        <f t="shared" si="598"/>
        <v>0</v>
      </c>
      <c r="W9558">
        <f t="shared" si="599"/>
        <v>0</v>
      </c>
    </row>
    <row r="9559" spans="5:23" x14ac:dyDescent="0.25">
      <c r="E9559" s="4"/>
      <c r="F9559" s="4"/>
      <c r="G9559" s="33" t="str">
        <f>IFERROR(VLOOKUP($D9559,'Informations sur les produits'!$A$3:$H$10000,8,FALSE),"0")</f>
        <v>0</v>
      </c>
      <c r="K9559" s="4"/>
      <c r="L9559" s="33" t="str">
        <f>IFERROR(VLOOKUP($J9559,'Informations sur les produits'!$A$3:$H$10000,8,FALSE),"0")</f>
        <v>0</v>
      </c>
      <c r="N9559" s="8"/>
      <c r="O9559" s="33" t="str">
        <f>IFERROR(VLOOKUP($M9559,'Informations sur les produits'!$A$3:$H$10000,8,FALSE),"0")</f>
        <v>0</v>
      </c>
      <c r="P9559" s="33">
        <f t="shared" si="596"/>
        <v>0</v>
      </c>
      <c r="Q9559" s="31" t="str">
        <f t="shared" si="597"/>
        <v/>
      </c>
      <c r="R9559" s="32" t="str">
        <f>IFERROR(VLOOKUP($D9559,'Informations sur les produits'!$A$3:$B$15000,2,FALSE),"")</f>
        <v/>
      </c>
      <c r="V9559">
        <f t="shared" si="598"/>
        <v>0</v>
      </c>
      <c r="W9559">
        <f t="shared" si="599"/>
        <v>0</v>
      </c>
    </row>
    <row r="9560" spans="5:23" x14ac:dyDescent="0.25">
      <c r="E9560" s="4"/>
      <c r="F9560" s="4"/>
      <c r="G9560" s="33" t="str">
        <f>IFERROR(VLOOKUP($D9560,'Informations sur les produits'!$A$3:$H$10000,8,FALSE),"0")</f>
        <v>0</v>
      </c>
      <c r="K9560" s="4"/>
      <c r="L9560" s="33" t="str">
        <f>IFERROR(VLOOKUP($J9560,'Informations sur les produits'!$A$3:$H$10000,8,FALSE),"0")</f>
        <v>0</v>
      </c>
      <c r="N9560" s="8"/>
      <c r="O9560" s="33" t="str">
        <f>IFERROR(VLOOKUP($M9560,'Informations sur les produits'!$A$3:$H$10000,8,FALSE),"0")</f>
        <v>0</v>
      </c>
      <c r="P9560" s="33">
        <f t="shared" si="596"/>
        <v>0</v>
      </c>
      <c r="Q9560" s="31" t="str">
        <f t="shared" si="597"/>
        <v/>
      </c>
      <c r="R9560" s="32" t="str">
        <f>IFERROR(VLOOKUP($D9560,'Informations sur les produits'!$A$3:$B$15000,2,FALSE),"")</f>
        <v/>
      </c>
      <c r="V9560">
        <f t="shared" si="598"/>
        <v>0</v>
      </c>
      <c r="W9560">
        <f t="shared" si="599"/>
        <v>0</v>
      </c>
    </row>
    <row r="9561" spans="5:23" x14ac:dyDescent="0.25">
      <c r="E9561" s="4"/>
      <c r="F9561" s="4"/>
      <c r="G9561" s="33" t="str">
        <f>IFERROR(VLOOKUP($D9561,'Informations sur les produits'!$A$3:$H$10000,8,FALSE),"0")</f>
        <v>0</v>
      </c>
      <c r="K9561" s="4"/>
      <c r="L9561" s="33" t="str">
        <f>IFERROR(VLOOKUP($J9561,'Informations sur les produits'!$A$3:$H$10000,8,FALSE),"0")</f>
        <v>0</v>
      </c>
      <c r="N9561" s="8"/>
      <c r="O9561" s="33" t="str">
        <f>IFERROR(VLOOKUP($M9561,'Informations sur les produits'!$A$3:$H$10000,8,FALSE),"0")</f>
        <v>0</v>
      </c>
      <c r="P9561" s="33">
        <f t="shared" si="596"/>
        <v>0</v>
      </c>
      <c r="Q9561" s="31" t="str">
        <f t="shared" si="597"/>
        <v/>
      </c>
      <c r="R9561" s="32" t="str">
        <f>IFERROR(VLOOKUP($D9561,'Informations sur les produits'!$A$3:$B$15000,2,FALSE),"")</f>
        <v/>
      </c>
      <c r="V9561">
        <f t="shared" si="598"/>
        <v>0</v>
      </c>
      <c r="W9561">
        <f t="shared" si="599"/>
        <v>0</v>
      </c>
    </row>
    <row r="9562" spans="5:23" x14ac:dyDescent="0.25">
      <c r="E9562" s="4"/>
      <c r="F9562" s="4"/>
      <c r="G9562" s="33" t="str">
        <f>IFERROR(VLOOKUP($D9562,'Informations sur les produits'!$A$3:$H$10000,8,FALSE),"0")</f>
        <v>0</v>
      </c>
      <c r="K9562" s="4"/>
      <c r="L9562" s="33" t="str">
        <f>IFERROR(VLOOKUP($J9562,'Informations sur les produits'!$A$3:$H$10000,8,FALSE),"0")</f>
        <v>0</v>
      </c>
      <c r="N9562" s="8"/>
      <c r="O9562" s="33" t="str">
        <f>IFERROR(VLOOKUP($M9562,'Informations sur les produits'!$A$3:$H$10000,8,FALSE),"0")</f>
        <v>0</v>
      </c>
      <c r="P9562" s="33">
        <f t="shared" si="596"/>
        <v>0</v>
      </c>
      <c r="Q9562" s="31" t="str">
        <f t="shared" si="597"/>
        <v/>
      </c>
      <c r="R9562" s="32" t="str">
        <f>IFERROR(VLOOKUP($D9562,'Informations sur les produits'!$A$3:$B$15000,2,FALSE),"")</f>
        <v/>
      </c>
      <c r="V9562">
        <f t="shared" si="598"/>
        <v>0</v>
      </c>
      <c r="W9562">
        <f t="shared" si="599"/>
        <v>0</v>
      </c>
    </row>
    <row r="9563" spans="5:23" x14ac:dyDescent="0.25">
      <c r="E9563" s="4"/>
      <c r="F9563" s="4"/>
      <c r="G9563" s="33" t="str">
        <f>IFERROR(VLOOKUP($D9563,'Informations sur les produits'!$A$3:$H$10000,8,FALSE),"0")</f>
        <v>0</v>
      </c>
      <c r="K9563" s="4"/>
      <c r="L9563" s="33" t="str">
        <f>IFERROR(VLOOKUP($J9563,'Informations sur les produits'!$A$3:$H$10000,8,FALSE),"0")</f>
        <v>0</v>
      </c>
      <c r="N9563" s="8"/>
      <c r="O9563" s="33" t="str">
        <f>IFERROR(VLOOKUP($M9563,'Informations sur les produits'!$A$3:$H$10000,8,FALSE),"0")</f>
        <v>0</v>
      </c>
      <c r="P9563" s="33">
        <f t="shared" si="596"/>
        <v>0</v>
      </c>
      <c r="Q9563" s="31" t="str">
        <f t="shared" si="597"/>
        <v/>
      </c>
      <c r="R9563" s="32" t="str">
        <f>IFERROR(VLOOKUP($D9563,'Informations sur les produits'!$A$3:$B$15000,2,FALSE),"")</f>
        <v/>
      </c>
      <c r="V9563">
        <f t="shared" si="598"/>
        <v>0</v>
      </c>
      <c r="W9563">
        <f t="shared" si="599"/>
        <v>0</v>
      </c>
    </row>
    <row r="9564" spans="5:23" x14ac:dyDescent="0.25">
      <c r="E9564" s="4"/>
      <c r="F9564" s="4"/>
      <c r="G9564" s="33" t="str">
        <f>IFERROR(VLOOKUP($D9564,'Informations sur les produits'!$A$3:$H$10000,8,FALSE),"0")</f>
        <v>0</v>
      </c>
      <c r="K9564" s="4"/>
      <c r="L9564" s="33" t="str">
        <f>IFERROR(VLOOKUP($J9564,'Informations sur les produits'!$A$3:$H$10000,8,FALSE),"0")</f>
        <v>0</v>
      </c>
      <c r="N9564" s="8"/>
      <c r="O9564" s="33" t="str">
        <f>IFERROR(VLOOKUP($M9564,'Informations sur les produits'!$A$3:$H$10000,8,FALSE),"0")</f>
        <v>0</v>
      </c>
      <c r="P9564" s="33">
        <f t="shared" si="596"/>
        <v>0</v>
      </c>
      <c r="Q9564" s="31" t="str">
        <f t="shared" si="597"/>
        <v/>
      </c>
      <c r="R9564" s="32" t="str">
        <f>IFERROR(VLOOKUP($D9564,'Informations sur les produits'!$A$3:$B$15000,2,FALSE),"")</f>
        <v/>
      </c>
      <c r="V9564">
        <f t="shared" si="598"/>
        <v>0</v>
      </c>
      <c r="W9564">
        <f t="shared" si="599"/>
        <v>0</v>
      </c>
    </row>
    <row r="9565" spans="5:23" x14ac:dyDescent="0.25">
      <c r="E9565" s="4"/>
      <c r="F9565" s="4"/>
      <c r="G9565" s="33" t="str">
        <f>IFERROR(VLOOKUP($D9565,'Informations sur les produits'!$A$3:$H$10000,8,FALSE),"0")</f>
        <v>0</v>
      </c>
      <c r="K9565" s="4"/>
      <c r="L9565" s="33" t="str">
        <f>IFERROR(VLOOKUP($J9565,'Informations sur les produits'!$A$3:$H$10000,8,FALSE),"0")</f>
        <v>0</v>
      </c>
      <c r="N9565" s="8"/>
      <c r="O9565" s="33" t="str">
        <f>IFERROR(VLOOKUP($M9565,'Informations sur les produits'!$A$3:$H$10000,8,FALSE),"0")</f>
        <v>0</v>
      </c>
      <c r="P9565" s="33">
        <f t="shared" si="596"/>
        <v>0</v>
      </c>
      <c r="Q9565" s="31" t="str">
        <f t="shared" si="597"/>
        <v/>
      </c>
      <c r="R9565" s="32" t="str">
        <f>IFERROR(VLOOKUP($D9565,'Informations sur les produits'!$A$3:$B$15000,2,FALSE),"")</f>
        <v/>
      </c>
      <c r="V9565">
        <f t="shared" si="598"/>
        <v>0</v>
      </c>
      <c r="W9565">
        <f t="shared" si="599"/>
        <v>0</v>
      </c>
    </row>
    <row r="9566" spans="5:23" x14ac:dyDescent="0.25">
      <c r="E9566" s="4"/>
      <c r="F9566" s="4"/>
      <c r="G9566" s="33" t="str">
        <f>IFERROR(VLOOKUP($D9566,'Informations sur les produits'!$A$3:$H$10000,8,FALSE),"0")</f>
        <v>0</v>
      </c>
      <c r="K9566" s="4"/>
      <c r="L9566" s="33" t="str">
        <f>IFERROR(VLOOKUP($J9566,'Informations sur les produits'!$A$3:$H$10000,8,FALSE),"0")</f>
        <v>0</v>
      </c>
      <c r="N9566" s="8"/>
      <c r="O9566" s="33" t="str">
        <f>IFERROR(VLOOKUP($M9566,'Informations sur les produits'!$A$3:$H$10000,8,FALSE),"0")</f>
        <v>0</v>
      </c>
      <c r="P9566" s="33">
        <f t="shared" si="596"/>
        <v>0</v>
      </c>
      <c r="Q9566" s="31" t="str">
        <f t="shared" si="597"/>
        <v/>
      </c>
      <c r="R9566" s="32" t="str">
        <f>IFERROR(VLOOKUP($D9566,'Informations sur les produits'!$A$3:$B$15000,2,FALSE),"")</f>
        <v/>
      </c>
      <c r="V9566">
        <f t="shared" si="598"/>
        <v>0</v>
      </c>
      <c r="W9566">
        <f t="shared" si="599"/>
        <v>0</v>
      </c>
    </row>
    <row r="9567" spans="5:23" x14ac:dyDescent="0.25">
      <c r="E9567" s="4"/>
      <c r="F9567" s="4"/>
      <c r="G9567" s="33" t="str">
        <f>IFERROR(VLOOKUP($D9567,'Informations sur les produits'!$A$3:$H$10000,8,FALSE),"0")</f>
        <v>0</v>
      </c>
      <c r="K9567" s="4"/>
      <c r="L9567" s="33" t="str">
        <f>IFERROR(VLOOKUP($J9567,'Informations sur les produits'!$A$3:$H$10000,8,FALSE),"0")</f>
        <v>0</v>
      </c>
      <c r="N9567" s="8"/>
      <c r="O9567" s="33" t="str">
        <f>IFERROR(VLOOKUP($M9567,'Informations sur les produits'!$A$3:$H$10000,8,FALSE),"0")</f>
        <v>0</v>
      </c>
      <c r="P9567" s="33">
        <f t="shared" si="596"/>
        <v>0</v>
      </c>
      <c r="Q9567" s="31" t="str">
        <f t="shared" si="597"/>
        <v/>
      </c>
      <c r="R9567" s="32" t="str">
        <f>IFERROR(VLOOKUP($D9567,'Informations sur les produits'!$A$3:$B$15000,2,FALSE),"")</f>
        <v/>
      </c>
      <c r="V9567">
        <f t="shared" si="598"/>
        <v>0</v>
      </c>
      <c r="W9567">
        <f t="shared" si="599"/>
        <v>0</v>
      </c>
    </row>
    <row r="9568" spans="5:23" x14ac:dyDescent="0.25">
      <c r="E9568" s="4"/>
      <c r="F9568" s="4"/>
      <c r="G9568" s="33" t="str">
        <f>IFERROR(VLOOKUP($D9568,'Informations sur les produits'!$A$3:$H$10000,8,FALSE),"0")</f>
        <v>0</v>
      </c>
      <c r="K9568" s="4"/>
      <c r="L9568" s="33" t="str">
        <f>IFERROR(VLOOKUP($J9568,'Informations sur les produits'!$A$3:$H$10000,8,FALSE),"0")</f>
        <v>0</v>
      </c>
      <c r="N9568" s="8"/>
      <c r="O9568" s="33" t="str">
        <f>IFERROR(VLOOKUP($M9568,'Informations sur les produits'!$A$3:$H$10000,8,FALSE),"0")</f>
        <v>0</v>
      </c>
      <c r="P9568" s="33">
        <f t="shared" si="596"/>
        <v>0</v>
      </c>
      <c r="Q9568" s="31" t="str">
        <f t="shared" si="597"/>
        <v/>
      </c>
      <c r="R9568" s="32" t="str">
        <f>IFERROR(VLOOKUP($D9568,'Informations sur les produits'!$A$3:$B$15000,2,FALSE),"")</f>
        <v/>
      </c>
      <c r="V9568">
        <f t="shared" si="598"/>
        <v>0</v>
      </c>
      <c r="W9568">
        <f t="shared" si="599"/>
        <v>0</v>
      </c>
    </row>
    <row r="9569" spans="5:23" x14ac:dyDescent="0.25">
      <c r="E9569" s="4"/>
      <c r="F9569" s="4"/>
      <c r="G9569" s="33" t="str">
        <f>IFERROR(VLOOKUP($D9569,'Informations sur les produits'!$A$3:$H$10000,8,FALSE),"0")</f>
        <v>0</v>
      </c>
      <c r="K9569" s="4"/>
      <c r="L9569" s="33" t="str">
        <f>IFERROR(VLOOKUP($J9569,'Informations sur les produits'!$A$3:$H$10000,8,FALSE),"0")</f>
        <v>0</v>
      </c>
      <c r="N9569" s="8"/>
      <c r="O9569" s="33" t="str">
        <f>IFERROR(VLOOKUP($M9569,'Informations sur les produits'!$A$3:$H$10000,8,FALSE),"0")</f>
        <v>0</v>
      </c>
      <c r="P9569" s="33">
        <f t="shared" si="596"/>
        <v>0</v>
      </c>
      <c r="Q9569" s="31" t="str">
        <f t="shared" si="597"/>
        <v/>
      </c>
      <c r="R9569" s="32" t="str">
        <f>IFERROR(VLOOKUP($D9569,'Informations sur les produits'!$A$3:$B$15000,2,FALSE),"")</f>
        <v/>
      </c>
      <c r="V9569">
        <f t="shared" si="598"/>
        <v>0</v>
      </c>
      <c r="W9569">
        <f t="shared" si="599"/>
        <v>0</v>
      </c>
    </row>
    <row r="9570" spans="5:23" x14ac:dyDescent="0.25">
      <c r="E9570" s="4"/>
      <c r="F9570" s="4"/>
      <c r="G9570" s="33" t="str">
        <f>IFERROR(VLOOKUP($D9570,'Informations sur les produits'!$A$3:$H$10000,8,FALSE),"0")</f>
        <v>0</v>
      </c>
      <c r="K9570" s="4"/>
      <c r="L9570" s="33" t="str">
        <f>IFERROR(VLOOKUP($J9570,'Informations sur les produits'!$A$3:$H$10000,8,FALSE),"0")</f>
        <v>0</v>
      </c>
      <c r="N9570" s="8"/>
      <c r="O9570" s="33" t="str">
        <f>IFERROR(VLOOKUP($M9570,'Informations sur les produits'!$A$3:$H$10000,8,FALSE),"0")</f>
        <v>0</v>
      </c>
      <c r="P9570" s="33">
        <f t="shared" si="596"/>
        <v>0</v>
      </c>
      <c r="Q9570" s="31" t="str">
        <f t="shared" si="597"/>
        <v/>
      </c>
      <c r="R9570" s="32" t="str">
        <f>IFERROR(VLOOKUP($D9570,'Informations sur les produits'!$A$3:$B$15000,2,FALSE),"")</f>
        <v/>
      </c>
      <c r="V9570">
        <f t="shared" si="598"/>
        <v>0</v>
      </c>
      <c r="W9570">
        <f t="shared" si="599"/>
        <v>0</v>
      </c>
    </row>
    <row r="9571" spans="5:23" x14ac:dyDescent="0.25">
      <c r="E9571" s="4"/>
      <c r="F9571" s="4"/>
      <c r="G9571" s="33" t="str">
        <f>IFERROR(VLOOKUP($D9571,'Informations sur les produits'!$A$3:$H$10000,8,FALSE),"0")</f>
        <v>0</v>
      </c>
      <c r="K9571" s="4"/>
      <c r="L9571" s="33" t="str">
        <f>IFERROR(VLOOKUP($J9571,'Informations sur les produits'!$A$3:$H$10000,8,FALSE),"0")</f>
        <v>0</v>
      </c>
      <c r="N9571" s="8"/>
      <c r="O9571" s="33" t="str">
        <f>IFERROR(VLOOKUP($M9571,'Informations sur les produits'!$A$3:$H$10000,8,FALSE),"0")</f>
        <v>0</v>
      </c>
      <c r="P9571" s="33">
        <f t="shared" si="596"/>
        <v>0</v>
      </c>
      <c r="Q9571" s="31" t="str">
        <f t="shared" si="597"/>
        <v/>
      </c>
      <c r="R9571" s="32" t="str">
        <f>IFERROR(VLOOKUP($D9571,'Informations sur les produits'!$A$3:$B$15000,2,FALSE),"")</f>
        <v/>
      </c>
      <c r="V9571">
        <f t="shared" si="598"/>
        <v>0</v>
      </c>
      <c r="W9571">
        <f t="shared" si="599"/>
        <v>0</v>
      </c>
    </row>
    <row r="9572" spans="5:23" x14ac:dyDescent="0.25">
      <c r="E9572" s="4"/>
      <c r="F9572" s="4"/>
      <c r="G9572" s="33" t="str">
        <f>IFERROR(VLOOKUP($D9572,'Informations sur les produits'!$A$3:$H$10000,8,FALSE),"0")</f>
        <v>0</v>
      </c>
      <c r="K9572" s="4"/>
      <c r="L9572" s="33" t="str">
        <f>IFERROR(VLOOKUP($J9572,'Informations sur les produits'!$A$3:$H$10000,8,FALSE),"0")</f>
        <v>0</v>
      </c>
      <c r="N9572" s="8"/>
      <c r="O9572" s="33" t="str">
        <f>IFERROR(VLOOKUP($M9572,'Informations sur les produits'!$A$3:$H$10000,8,FALSE),"0")</f>
        <v>0</v>
      </c>
      <c r="P9572" s="33">
        <f t="shared" si="596"/>
        <v>0</v>
      </c>
      <c r="Q9572" s="31" t="str">
        <f t="shared" si="597"/>
        <v/>
      </c>
      <c r="R9572" s="32" t="str">
        <f>IFERROR(VLOOKUP($D9572,'Informations sur les produits'!$A$3:$B$15000,2,FALSE),"")</f>
        <v/>
      </c>
      <c r="V9572">
        <f t="shared" si="598"/>
        <v>0</v>
      </c>
      <c r="W9572">
        <f t="shared" si="599"/>
        <v>0</v>
      </c>
    </row>
    <row r="9573" spans="5:23" x14ac:dyDescent="0.25">
      <c r="E9573" s="4"/>
      <c r="F9573" s="4"/>
      <c r="G9573" s="33" t="str">
        <f>IFERROR(VLOOKUP($D9573,'Informations sur les produits'!$A$3:$H$10000,8,FALSE),"0")</f>
        <v>0</v>
      </c>
      <c r="K9573" s="4"/>
      <c r="L9573" s="33" t="str">
        <f>IFERROR(VLOOKUP($J9573,'Informations sur les produits'!$A$3:$H$10000,8,FALSE),"0")</f>
        <v>0</v>
      </c>
      <c r="N9573" s="8"/>
      <c r="O9573" s="33" t="str">
        <f>IFERROR(VLOOKUP($M9573,'Informations sur les produits'!$A$3:$H$10000,8,FALSE),"0")</f>
        <v>0</v>
      </c>
      <c r="P9573" s="33">
        <f t="shared" si="596"/>
        <v>0</v>
      </c>
      <c r="Q9573" s="31" t="str">
        <f t="shared" si="597"/>
        <v/>
      </c>
      <c r="R9573" s="32" t="str">
        <f>IFERROR(VLOOKUP($D9573,'Informations sur les produits'!$A$3:$B$15000,2,FALSE),"")</f>
        <v/>
      </c>
      <c r="V9573">
        <f t="shared" si="598"/>
        <v>0</v>
      </c>
      <c r="W9573">
        <f t="shared" si="599"/>
        <v>0</v>
      </c>
    </row>
    <row r="9574" spans="5:23" x14ac:dyDescent="0.25">
      <c r="E9574" s="4"/>
      <c r="F9574" s="4"/>
      <c r="G9574" s="33" t="str">
        <f>IFERROR(VLOOKUP($D9574,'Informations sur les produits'!$A$3:$H$10000,8,FALSE),"0")</f>
        <v>0</v>
      </c>
      <c r="K9574" s="4"/>
      <c r="L9574" s="33" t="str">
        <f>IFERROR(VLOOKUP($J9574,'Informations sur les produits'!$A$3:$H$10000,8,FALSE),"0")</f>
        <v>0</v>
      </c>
      <c r="N9574" s="8"/>
      <c r="O9574" s="33" t="str">
        <f>IFERROR(VLOOKUP($M9574,'Informations sur les produits'!$A$3:$H$10000,8,FALSE),"0")</f>
        <v>0</v>
      </c>
      <c r="P9574" s="33">
        <f t="shared" si="596"/>
        <v>0</v>
      </c>
      <c r="Q9574" s="31" t="str">
        <f t="shared" si="597"/>
        <v/>
      </c>
      <c r="R9574" s="32" t="str">
        <f>IFERROR(VLOOKUP($D9574,'Informations sur les produits'!$A$3:$B$15000,2,FALSE),"")</f>
        <v/>
      </c>
      <c r="V9574">
        <f t="shared" si="598"/>
        <v>0</v>
      </c>
      <c r="W9574">
        <f t="shared" si="599"/>
        <v>0</v>
      </c>
    </row>
    <row r="9575" spans="5:23" x14ac:dyDescent="0.25">
      <c r="E9575" s="4"/>
      <c r="F9575" s="4"/>
      <c r="G9575" s="33" t="str">
        <f>IFERROR(VLOOKUP($D9575,'Informations sur les produits'!$A$3:$H$10000,8,FALSE),"0")</f>
        <v>0</v>
      </c>
      <c r="K9575" s="4"/>
      <c r="L9575" s="33" t="str">
        <f>IFERROR(VLOOKUP($J9575,'Informations sur les produits'!$A$3:$H$10000,8,FALSE),"0")</f>
        <v>0</v>
      </c>
      <c r="N9575" s="8"/>
      <c r="O9575" s="33" t="str">
        <f>IFERROR(VLOOKUP($M9575,'Informations sur les produits'!$A$3:$H$10000,8,FALSE),"0")</f>
        <v>0</v>
      </c>
      <c r="P9575" s="33">
        <f t="shared" si="596"/>
        <v>0</v>
      </c>
      <c r="Q9575" s="31" t="str">
        <f t="shared" si="597"/>
        <v/>
      </c>
      <c r="R9575" s="32" t="str">
        <f>IFERROR(VLOOKUP($D9575,'Informations sur les produits'!$A$3:$B$15000,2,FALSE),"")</f>
        <v/>
      </c>
      <c r="V9575">
        <f t="shared" si="598"/>
        <v>0</v>
      </c>
      <c r="W9575">
        <f t="shared" si="599"/>
        <v>0</v>
      </c>
    </row>
    <row r="9576" spans="5:23" x14ac:dyDescent="0.25">
      <c r="E9576" s="4"/>
      <c r="F9576" s="4"/>
      <c r="G9576" s="33" t="str">
        <f>IFERROR(VLOOKUP($D9576,'Informations sur les produits'!$A$3:$H$10000,8,FALSE),"0")</f>
        <v>0</v>
      </c>
      <c r="K9576" s="4"/>
      <c r="L9576" s="33" t="str">
        <f>IFERROR(VLOOKUP($J9576,'Informations sur les produits'!$A$3:$H$10000,8,FALSE),"0")</f>
        <v>0</v>
      </c>
      <c r="N9576" s="8"/>
      <c r="O9576" s="33" t="str">
        <f>IFERROR(VLOOKUP($M9576,'Informations sur les produits'!$A$3:$H$10000,8,FALSE),"0")</f>
        <v>0</v>
      </c>
      <c r="P9576" s="33">
        <f t="shared" si="596"/>
        <v>0</v>
      </c>
      <c r="Q9576" s="31" t="str">
        <f t="shared" si="597"/>
        <v/>
      </c>
      <c r="R9576" s="32" t="str">
        <f>IFERROR(VLOOKUP($D9576,'Informations sur les produits'!$A$3:$B$15000,2,FALSE),"")</f>
        <v/>
      </c>
      <c r="V9576">
        <f t="shared" si="598"/>
        <v>0</v>
      </c>
      <c r="W9576">
        <f t="shared" si="599"/>
        <v>0</v>
      </c>
    </row>
    <row r="9577" spans="5:23" x14ac:dyDescent="0.25">
      <c r="E9577" s="4"/>
      <c r="F9577" s="4"/>
      <c r="G9577" s="33" t="str">
        <f>IFERROR(VLOOKUP($D9577,'Informations sur les produits'!$A$3:$H$10000,8,FALSE),"0")</f>
        <v>0</v>
      </c>
      <c r="K9577" s="4"/>
      <c r="L9577" s="33" t="str">
        <f>IFERROR(VLOOKUP($J9577,'Informations sur les produits'!$A$3:$H$10000,8,FALSE),"0")</f>
        <v>0</v>
      </c>
      <c r="N9577" s="8"/>
      <c r="O9577" s="33" t="str">
        <f>IFERROR(VLOOKUP($M9577,'Informations sur les produits'!$A$3:$H$10000,8,FALSE),"0")</f>
        <v>0</v>
      </c>
      <c r="P9577" s="33">
        <f t="shared" si="596"/>
        <v>0</v>
      </c>
      <c r="Q9577" s="31" t="str">
        <f t="shared" si="597"/>
        <v/>
      </c>
      <c r="R9577" s="32" t="str">
        <f>IFERROR(VLOOKUP($D9577,'Informations sur les produits'!$A$3:$B$15000,2,FALSE),"")</f>
        <v/>
      </c>
      <c r="V9577">
        <f t="shared" si="598"/>
        <v>0</v>
      </c>
      <c r="W9577">
        <f t="shared" si="599"/>
        <v>0</v>
      </c>
    </row>
    <row r="9578" spans="5:23" x14ac:dyDescent="0.25">
      <c r="E9578" s="4"/>
      <c r="F9578" s="4"/>
      <c r="G9578" s="33" t="str">
        <f>IFERROR(VLOOKUP($D9578,'Informations sur les produits'!$A$3:$H$10000,8,FALSE),"0")</f>
        <v>0</v>
      </c>
      <c r="K9578" s="4"/>
      <c r="L9578" s="33" t="str">
        <f>IFERROR(VLOOKUP($J9578,'Informations sur les produits'!$A$3:$H$10000,8,FALSE),"0")</f>
        <v>0</v>
      </c>
      <c r="N9578" s="8"/>
      <c r="O9578" s="33" t="str">
        <f>IFERROR(VLOOKUP($M9578,'Informations sur les produits'!$A$3:$H$10000,8,FALSE),"0")</f>
        <v>0</v>
      </c>
      <c r="P9578" s="33">
        <f t="shared" si="596"/>
        <v>0</v>
      </c>
      <c r="Q9578" s="31" t="str">
        <f t="shared" si="597"/>
        <v/>
      </c>
      <c r="R9578" s="32" t="str">
        <f>IFERROR(VLOOKUP($D9578,'Informations sur les produits'!$A$3:$B$15000,2,FALSE),"")</f>
        <v/>
      </c>
      <c r="V9578">
        <f t="shared" si="598"/>
        <v>0</v>
      </c>
      <c r="W9578">
        <f t="shared" si="599"/>
        <v>0</v>
      </c>
    </row>
    <row r="9579" spans="5:23" x14ac:dyDescent="0.25">
      <c r="E9579" s="4"/>
      <c r="F9579" s="4"/>
      <c r="G9579" s="33" t="str">
        <f>IFERROR(VLOOKUP($D9579,'Informations sur les produits'!$A$3:$H$10000,8,FALSE),"0")</f>
        <v>0</v>
      </c>
      <c r="K9579" s="4"/>
      <c r="L9579" s="33" t="str">
        <f>IFERROR(VLOOKUP($J9579,'Informations sur les produits'!$A$3:$H$10000,8,FALSE),"0")</f>
        <v>0</v>
      </c>
      <c r="N9579" s="8"/>
      <c r="O9579" s="33" t="str">
        <f>IFERROR(VLOOKUP($M9579,'Informations sur les produits'!$A$3:$H$10000,8,FALSE),"0")</f>
        <v>0</v>
      </c>
      <c r="P9579" s="33">
        <f t="shared" si="596"/>
        <v>0</v>
      </c>
      <c r="Q9579" s="31" t="str">
        <f t="shared" si="597"/>
        <v/>
      </c>
      <c r="R9579" s="32" t="str">
        <f>IFERROR(VLOOKUP($D9579,'Informations sur les produits'!$A$3:$B$15000,2,FALSE),"")</f>
        <v/>
      </c>
      <c r="V9579">
        <f t="shared" si="598"/>
        <v>0</v>
      </c>
      <c r="W9579">
        <f t="shared" si="599"/>
        <v>0</v>
      </c>
    </row>
    <row r="9580" spans="5:23" x14ac:dyDescent="0.25">
      <c r="E9580" s="4"/>
      <c r="F9580" s="4"/>
      <c r="G9580" s="33" t="str">
        <f>IFERROR(VLOOKUP($D9580,'Informations sur les produits'!$A$3:$H$10000,8,FALSE),"0")</f>
        <v>0</v>
      </c>
      <c r="K9580" s="4"/>
      <c r="L9580" s="33" t="str">
        <f>IFERROR(VLOOKUP($J9580,'Informations sur les produits'!$A$3:$H$10000,8,FALSE),"0")</f>
        <v>0</v>
      </c>
      <c r="N9580" s="8"/>
      <c r="O9580" s="33" t="str">
        <f>IFERROR(VLOOKUP($M9580,'Informations sur les produits'!$A$3:$H$10000,8,FALSE),"0")</f>
        <v>0</v>
      </c>
      <c r="P9580" s="33">
        <f t="shared" si="596"/>
        <v>0</v>
      </c>
      <c r="Q9580" s="31" t="str">
        <f t="shared" si="597"/>
        <v/>
      </c>
      <c r="R9580" s="32" t="str">
        <f>IFERROR(VLOOKUP($D9580,'Informations sur les produits'!$A$3:$B$15000,2,FALSE),"")</f>
        <v/>
      </c>
      <c r="V9580">
        <f t="shared" si="598"/>
        <v>0</v>
      </c>
      <c r="W9580">
        <f t="shared" si="599"/>
        <v>0</v>
      </c>
    </row>
    <row r="9581" spans="5:23" x14ac:dyDescent="0.25">
      <c r="E9581" s="4"/>
      <c r="F9581" s="4"/>
      <c r="G9581" s="33" t="str">
        <f>IFERROR(VLOOKUP($D9581,'Informations sur les produits'!$A$3:$H$10000,8,FALSE),"0")</f>
        <v>0</v>
      </c>
      <c r="K9581" s="4"/>
      <c r="L9581" s="33" t="str">
        <f>IFERROR(VLOOKUP($J9581,'Informations sur les produits'!$A$3:$H$10000,8,FALSE),"0")</f>
        <v>0</v>
      </c>
      <c r="N9581" s="8"/>
      <c r="O9581" s="33" t="str">
        <f>IFERROR(VLOOKUP($M9581,'Informations sur les produits'!$A$3:$H$10000,8,FALSE),"0")</f>
        <v>0</v>
      </c>
      <c r="P9581" s="33">
        <f t="shared" si="596"/>
        <v>0</v>
      </c>
      <c r="Q9581" s="31" t="str">
        <f t="shared" si="597"/>
        <v/>
      </c>
      <c r="R9581" s="32" t="str">
        <f>IFERROR(VLOOKUP($D9581,'Informations sur les produits'!$A$3:$B$15000,2,FALSE),"")</f>
        <v/>
      </c>
      <c r="V9581">
        <f t="shared" si="598"/>
        <v>0</v>
      </c>
      <c r="W9581">
        <f t="shared" si="599"/>
        <v>0</v>
      </c>
    </row>
    <row r="9582" spans="5:23" x14ac:dyDescent="0.25">
      <c r="E9582" s="4"/>
      <c r="F9582" s="4"/>
      <c r="G9582" s="33" t="str">
        <f>IFERROR(VLOOKUP($D9582,'Informations sur les produits'!$A$3:$H$10000,8,FALSE),"0")</f>
        <v>0</v>
      </c>
      <c r="K9582" s="4"/>
      <c r="L9582" s="33" t="str">
        <f>IFERROR(VLOOKUP($J9582,'Informations sur les produits'!$A$3:$H$10000,8,FALSE),"0")</f>
        <v>0</v>
      </c>
      <c r="N9582" s="8"/>
      <c r="O9582" s="33" t="str">
        <f>IFERROR(VLOOKUP($M9582,'Informations sur les produits'!$A$3:$H$10000,8,FALSE),"0")</f>
        <v>0</v>
      </c>
      <c r="P9582" s="33">
        <f t="shared" si="596"/>
        <v>0</v>
      </c>
      <c r="Q9582" s="31" t="str">
        <f t="shared" si="597"/>
        <v/>
      </c>
      <c r="R9582" s="32" t="str">
        <f>IFERROR(VLOOKUP($D9582,'Informations sur les produits'!$A$3:$B$15000,2,FALSE),"")</f>
        <v/>
      </c>
      <c r="V9582">
        <f t="shared" si="598"/>
        <v>0</v>
      </c>
      <c r="W9582">
        <f t="shared" si="599"/>
        <v>0</v>
      </c>
    </row>
    <row r="9583" spans="5:23" x14ac:dyDescent="0.25">
      <c r="E9583" s="4"/>
      <c r="F9583" s="4"/>
      <c r="G9583" s="33" t="str">
        <f>IFERROR(VLOOKUP($D9583,'Informations sur les produits'!$A$3:$H$10000,8,FALSE),"0")</f>
        <v>0</v>
      </c>
      <c r="K9583" s="4"/>
      <c r="L9583" s="33" t="str">
        <f>IFERROR(VLOOKUP($J9583,'Informations sur les produits'!$A$3:$H$10000,8,FALSE),"0")</f>
        <v>0</v>
      </c>
      <c r="N9583" s="8"/>
      <c r="O9583" s="33" t="str">
        <f>IFERROR(VLOOKUP($M9583,'Informations sur les produits'!$A$3:$H$10000,8,FALSE),"0")</f>
        <v>0</v>
      </c>
      <c r="P9583" s="33">
        <f t="shared" si="596"/>
        <v>0</v>
      </c>
      <c r="Q9583" s="31" t="str">
        <f t="shared" si="597"/>
        <v/>
      </c>
      <c r="R9583" s="32" t="str">
        <f>IFERROR(VLOOKUP($D9583,'Informations sur les produits'!$A$3:$B$15000,2,FALSE),"")</f>
        <v/>
      </c>
      <c r="V9583">
        <f t="shared" si="598"/>
        <v>0</v>
      </c>
      <c r="W9583">
        <f t="shared" si="599"/>
        <v>0</v>
      </c>
    </row>
    <row r="9584" spans="5:23" x14ac:dyDescent="0.25">
      <c r="E9584" s="4"/>
      <c r="F9584" s="4"/>
      <c r="G9584" s="33" t="str">
        <f>IFERROR(VLOOKUP($D9584,'Informations sur les produits'!$A$3:$H$10000,8,FALSE),"0")</f>
        <v>0</v>
      </c>
      <c r="K9584" s="4"/>
      <c r="L9584" s="33" t="str">
        <f>IFERROR(VLOOKUP($J9584,'Informations sur les produits'!$A$3:$H$10000,8,FALSE),"0")</f>
        <v>0</v>
      </c>
      <c r="N9584" s="8"/>
      <c r="O9584" s="33" t="str">
        <f>IFERROR(VLOOKUP($M9584,'Informations sur les produits'!$A$3:$H$10000,8,FALSE),"0")</f>
        <v>0</v>
      </c>
      <c r="P9584" s="33">
        <f t="shared" si="596"/>
        <v>0</v>
      </c>
      <c r="Q9584" s="31" t="str">
        <f t="shared" si="597"/>
        <v/>
      </c>
      <c r="R9584" s="32" t="str">
        <f>IFERROR(VLOOKUP($D9584,'Informations sur les produits'!$A$3:$B$15000,2,FALSE),"")</f>
        <v/>
      </c>
      <c r="V9584">
        <f t="shared" si="598"/>
        <v>0</v>
      </c>
      <c r="W9584">
        <f t="shared" si="599"/>
        <v>0</v>
      </c>
    </row>
    <row r="9585" spans="5:23" x14ac:dyDescent="0.25">
      <c r="E9585" s="4"/>
      <c r="F9585" s="4"/>
      <c r="G9585" s="33" t="str">
        <f>IFERROR(VLOOKUP($D9585,'Informations sur les produits'!$A$3:$H$10000,8,FALSE),"0")</f>
        <v>0</v>
      </c>
      <c r="K9585" s="4"/>
      <c r="L9585" s="33" t="str">
        <f>IFERROR(VLOOKUP($J9585,'Informations sur les produits'!$A$3:$H$10000,8,FALSE),"0")</f>
        <v>0</v>
      </c>
      <c r="N9585" s="8"/>
      <c r="O9585" s="33" t="str">
        <f>IFERROR(VLOOKUP($M9585,'Informations sur les produits'!$A$3:$H$10000,8,FALSE),"0")</f>
        <v>0</v>
      </c>
      <c r="P9585" s="33">
        <f t="shared" si="596"/>
        <v>0</v>
      </c>
      <c r="Q9585" s="31" t="str">
        <f t="shared" si="597"/>
        <v/>
      </c>
      <c r="R9585" s="32" t="str">
        <f>IFERROR(VLOOKUP($D9585,'Informations sur les produits'!$A$3:$B$15000,2,FALSE),"")</f>
        <v/>
      </c>
      <c r="V9585">
        <f t="shared" si="598"/>
        <v>0</v>
      </c>
      <c r="W9585">
        <f t="shared" si="599"/>
        <v>0</v>
      </c>
    </row>
    <row r="9586" spans="5:23" x14ac:dyDescent="0.25">
      <c r="E9586" s="4"/>
      <c r="F9586" s="4"/>
      <c r="G9586" s="33" t="str">
        <f>IFERROR(VLOOKUP($D9586,'Informations sur les produits'!$A$3:$H$10000,8,FALSE),"0")</f>
        <v>0</v>
      </c>
      <c r="K9586" s="4"/>
      <c r="L9586" s="33" t="str">
        <f>IFERROR(VLOOKUP($J9586,'Informations sur les produits'!$A$3:$H$10000,8,FALSE),"0")</f>
        <v>0</v>
      </c>
      <c r="N9586" s="8"/>
      <c r="O9586" s="33" t="str">
        <f>IFERROR(VLOOKUP($M9586,'Informations sur les produits'!$A$3:$H$10000,8,FALSE),"0")</f>
        <v>0</v>
      </c>
      <c r="P9586" s="33">
        <f t="shared" si="596"/>
        <v>0</v>
      </c>
      <c r="Q9586" s="31" t="str">
        <f t="shared" si="597"/>
        <v/>
      </c>
      <c r="R9586" s="32" t="str">
        <f>IFERROR(VLOOKUP($D9586,'Informations sur les produits'!$A$3:$B$15000,2,FALSE),"")</f>
        <v/>
      </c>
      <c r="V9586">
        <f t="shared" si="598"/>
        <v>0</v>
      </c>
      <c r="W9586">
        <f t="shared" si="599"/>
        <v>0</v>
      </c>
    </row>
    <row r="9587" spans="5:23" x14ac:dyDescent="0.25">
      <c r="E9587" s="4"/>
      <c r="F9587" s="4"/>
      <c r="G9587" s="33" t="str">
        <f>IFERROR(VLOOKUP($D9587,'Informations sur les produits'!$A$3:$H$10000,8,FALSE),"0")</f>
        <v>0</v>
      </c>
      <c r="K9587" s="4"/>
      <c r="L9587" s="33" t="str">
        <f>IFERROR(VLOOKUP($J9587,'Informations sur les produits'!$A$3:$H$10000,8,FALSE),"0")</f>
        <v>0</v>
      </c>
      <c r="N9587" s="8"/>
      <c r="O9587" s="33" t="str">
        <f>IFERROR(VLOOKUP($M9587,'Informations sur les produits'!$A$3:$H$10000,8,FALSE),"0")</f>
        <v>0</v>
      </c>
      <c r="P9587" s="33">
        <f t="shared" si="596"/>
        <v>0</v>
      </c>
      <c r="Q9587" s="31" t="str">
        <f t="shared" si="597"/>
        <v/>
      </c>
      <c r="R9587" s="32" t="str">
        <f>IFERROR(VLOOKUP($D9587,'Informations sur les produits'!$A$3:$B$15000,2,FALSE),"")</f>
        <v/>
      </c>
      <c r="V9587">
        <f t="shared" si="598"/>
        <v>0</v>
      </c>
      <c r="W9587">
        <f t="shared" si="599"/>
        <v>0</v>
      </c>
    </row>
    <row r="9588" spans="5:23" x14ac:dyDescent="0.25">
      <c r="E9588" s="4"/>
      <c r="F9588" s="4"/>
      <c r="G9588" s="33" t="str">
        <f>IFERROR(VLOOKUP($D9588,'Informations sur les produits'!$A$3:$H$10000,8,FALSE),"0")</f>
        <v>0</v>
      </c>
      <c r="K9588" s="4"/>
      <c r="L9588" s="33" t="str">
        <f>IFERROR(VLOOKUP($J9588,'Informations sur les produits'!$A$3:$H$10000,8,FALSE),"0")</f>
        <v>0</v>
      </c>
      <c r="N9588" s="8"/>
      <c r="O9588" s="33" t="str">
        <f>IFERROR(VLOOKUP($M9588,'Informations sur les produits'!$A$3:$H$10000,8,FALSE),"0")</f>
        <v>0</v>
      </c>
      <c r="P9588" s="33">
        <f t="shared" si="596"/>
        <v>0</v>
      </c>
      <c r="Q9588" s="31" t="str">
        <f t="shared" si="597"/>
        <v/>
      </c>
      <c r="R9588" s="32" t="str">
        <f>IFERROR(VLOOKUP($D9588,'Informations sur les produits'!$A$3:$B$15000,2,FALSE),"")</f>
        <v/>
      </c>
      <c r="V9588">
        <f t="shared" si="598"/>
        <v>0</v>
      </c>
      <c r="W9588">
        <f t="shared" si="599"/>
        <v>0</v>
      </c>
    </row>
    <row r="9589" spans="5:23" x14ac:dyDescent="0.25">
      <c r="E9589" s="4"/>
      <c r="F9589" s="4"/>
      <c r="G9589" s="33" t="str">
        <f>IFERROR(VLOOKUP($D9589,'Informations sur les produits'!$A$3:$H$10000,8,FALSE),"0")</f>
        <v>0</v>
      </c>
      <c r="K9589" s="4"/>
      <c r="L9589" s="33" t="str">
        <f>IFERROR(VLOOKUP($J9589,'Informations sur les produits'!$A$3:$H$10000,8,FALSE),"0")</f>
        <v>0</v>
      </c>
      <c r="N9589" s="8"/>
      <c r="O9589" s="33" t="str">
        <f>IFERROR(VLOOKUP($M9589,'Informations sur les produits'!$A$3:$H$10000,8,FALSE),"0")</f>
        <v>0</v>
      </c>
      <c r="P9589" s="33">
        <f t="shared" si="596"/>
        <v>0</v>
      </c>
      <c r="Q9589" s="31" t="str">
        <f t="shared" si="597"/>
        <v/>
      </c>
      <c r="R9589" s="32" t="str">
        <f>IFERROR(VLOOKUP($D9589,'Informations sur les produits'!$A$3:$B$15000,2,FALSE),"")</f>
        <v/>
      </c>
      <c r="V9589">
        <f t="shared" si="598"/>
        <v>0</v>
      </c>
      <c r="W9589">
        <f t="shared" si="599"/>
        <v>0</v>
      </c>
    </row>
    <row r="9590" spans="5:23" x14ac:dyDescent="0.25">
      <c r="E9590" s="4"/>
      <c r="F9590" s="4"/>
      <c r="G9590" s="33" t="str">
        <f>IFERROR(VLOOKUP($D9590,'Informations sur les produits'!$A$3:$H$10000,8,FALSE),"0")</f>
        <v>0</v>
      </c>
      <c r="K9590" s="4"/>
      <c r="L9590" s="33" t="str">
        <f>IFERROR(VLOOKUP($J9590,'Informations sur les produits'!$A$3:$H$10000,8,FALSE),"0")</f>
        <v>0</v>
      </c>
      <c r="N9590" s="8"/>
      <c r="O9590" s="33" t="str">
        <f>IFERROR(VLOOKUP($M9590,'Informations sur les produits'!$A$3:$H$10000,8,FALSE),"0")</f>
        <v>0</v>
      </c>
      <c r="P9590" s="33">
        <f t="shared" si="596"/>
        <v>0</v>
      </c>
      <c r="Q9590" s="31" t="str">
        <f t="shared" si="597"/>
        <v/>
      </c>
      <c r="R9590" s="32" t="str">
        <f>IFERROR(VLOOKUP($D9590,'Informations sur les produits'!$A$3:$B$15000,2,FALSE),"")</f>
        <v/>
      </c>
      <c r="V9590">
        <f t="shared" si="598"/>
        <v>0</v>
      </c>
      <c r="W9590">
        <f t="shared" si="599"/>
        <v>0</v>
      </c>
    </row>
    <row r="9591" spans="5:23" x14ac:dyDescent="0.25">
      <c r="E9591" s="4"/>
      <c r="F9591" s="4"/>
      <c r="G9591" s="33" t="str">
        <f>IFERROR(VLOOKUP($D9591,'Informations sur les produits'!$A$3:$H$10000,8,FALSE),"0")</f>
        <v>0</v>
      </c>
      <c r="K9591" s="4"/>
      <c r="L9591" s="33" t="str">
        <f>IFERROR(VLOOKUP($J9591,'Informations sur les produits'!$A$3:$H$10000,8,FALSE),"0")</f>
        <v>0</v>
      </c>
      <c r="N9591" s="8"/>
      <c r="O9591" s="33" t="str">
        <f>IFERROR(VLOOKUP($M9591,'Informations sur les produits'!$A$3:$H$10000,8,FALSE),"0")</f>
        <v>0</v>
      </c>
      <c r="P9591" s="33">
        <f t="shared" si="596"/>
        <v>0</v>
      </c>
      <c r="Q9591" s="31" t="str">
        <f t="shared" si="597"/>
        <v/>
      </c>
      <c r="R9591" s="32" t="str">
        <f>IFERROR(VLOOKUP($D9591,'Informations sur les produits'!$A$3:$B$15000,2,FALSE),"")</f>
        <v/>
      </c>
      <c r="V9591">
        <f t="shared" si="598"/>
        <v>0</v>
      </c>
      <c r="W9591">
        <f t="shared" si="599"/>
        <v>0</v>
      </c>
    </row>
    <row r="9592" spans="5:23" x14ac:dyDescent="0.25">
      <c r="E9592" s="4"/>
      <c r="F9592" s="4"/>
      <c r="G9592" s="33" t="str">
        <f>IFERROR(VLOOKUP($D9592,'Informations sur les produits'!$A$3:$H$10000,8,FALSE),"0")</f>
        <v>0</v>
      </c>
      <c r="K9592" s="4"/>
      <c r="L9592" s="33" t="str">
        <f>IFERROR(VLOOKUP($J9592,'Informations sur les produits'!$A$3:$H$10000,8,FALSE),"0")</f>
        <v>0</v>
      </c>
      <c r="N9592" s="8"/>
      <c r="O9592" s="33" t="str">
        <f>IFERROR(VLOOKUP($M9592,'Informations sur les produits'!$A$3:$H$10000,8,FALSE),"0")</f>
        <v>0</v>
      </c>
      <c r="P9592" s="33">
        <f t="shared" si="596"/>
        <v>0</v>
      </c>
      <c r="Q9592" s="31" t="str">
        <f t="shared" si="597"/>
        <v/>
      </c>
      <c r="R9592" s="32" t="str">
        <f>IFERROR(VLOOKUP($D9592,'Informations sur les produits'!$A$3:$B$15000,2,FALSE),"")</f>
        <v/>
      </c>
      <c r="V9592">
        <f t="shared" si="598"/>
        <v>0</v>
      </c>
      <c r="W9592">
        <f t="shared" si="599"/>
        <v>0</v>
      </c>
    </row>
    <row r="9593" spans="5:23" x14ac:dyDescent="0.25">
      <c r="E9593" s="4"/>
      <c r="F9593" s="4"/>
      <c r="G9593" s="33" t="str">
        <f>IFERROR(VLOOKUP($D9593,'Informations sur les produits'!$A$3:$H$10000,8,FALSE),"0")</f>
        <v>0</v>
      </c>
      <c r="K9593" s="4"/>
      <c r="L9593" s="33" t="str">
        <f>IFERROR(VLOOKUP($J9593,'Informations sur les produits'!$A$3:$H$10000,8,FALSE),"0")</f>
        <v>0</v>
      </c>
      <c r="N9593" s="8"/>
      <c r="O9593" s="33" t="str">
        <f>IFERROR(VLOOKUP($M9593,'Informations sur les produits'!$A$3:$H$10000,8,FALSE),"0")</f>
        <v>0</v>
      </c>
      <c r="P9593" s="33">
        <f t="shared" si="596"/>
        <v>0</v>
      </c>
      <c r="Q9593" s="31" t="str">
        <f t="shared" si="597"/>
        <v/>
      </c>
      <c r="R9593" s="32" t="str">
        <f>IFERROR(VLOOKUP($D9593,'Informations sur les produits'!$A$3:$B$15000,2,FALSE),"")</f>
        <v/>
      </c>
      <c r="V9593">
        <f t="shared" si="598"/>
        <v>0</v>
      </c>
      <c r="W9593">
        <f t="shared" si="599"/>
        <v>0</v>
      </c>
    </row>
    <row r="9594" spans="5:23" x14ac:dyDescent="0.25">
      <c r="E9594" s="4"/>
      <c r="F9594" s="4"/>
      <c r="G9594" s="33" t="str">
        <f>IFERROR(VLOOKUP($D9594,'Informations sur les produits'!$A$3:$H$10000,8,FALSE),"0")</f>
        <v>0</v>
      </c>
      <c r="K9594" s="4"/>
      <c r="L9594" s="33" t="str">
        <f>IFERROR(VLOOKUP($J9594,'Informations sur les produits'!$A$3:$H$10000,8,FALSE),"0")</f>
        <v>0</v>
      </c>
      <c r="N9594" s="8"/>
      <c r="O9594" s="33" t="str">
        <f>IFERROR(VLOOKUP($M9594,'Informations sur les produits'!$A$3:$H$10000,8,FALSE),"0")</f>
        <v>0</v>
      </c>
      <c r="P9594" s="33">
        <f t="shared" si="596"/>
        <v>0</v>
      </c>
      <c r="Q9594" s="31" t="str">
        <f t="shared" si="597"/>
        <v/>
      </c>
      <c r="R9594" s="32" t="str">
        <f>IFERROR(VLOOKUP($D9594,'Informations sur les produits'!$A$3:$B$15000,2,FALSE),"")</f>
        <v/>
      </c>
      <c r="V9594">
        <f t="shared" si="598"/>
        <v>0</v>
      </c>
      <c r="W9594">
        <f t="shared" si="599"/>
        <v>0</v>
      </c>
    </row>
    <row r="9595" spans="5:23" x14ac:dyDescent="0.25">
      <c r="E9595" s="4"/>
      <c r="F9595" s="4"/>
      <c r="G9595" s="33" t="str">
        <f>IFERROR(VLOOKUP($D9595,'Informations sur les produits'!$A$3:$H$10000,8,FALSE),"0")</f>
        <v>0</v>
      </c>
      <c r="K9595" s="4"/>
      <c r="L9595" s="33" t="str">
        <f>IFERROR(VLOOKUP($J9595,'Informations sur les produits'!$A$3:$H$10000,8,FALSE),"0")</f>
        <v>0</v>
      </c>
      <c r="N9595" s="8"/>
      <c r="O9595" s="33" t="str">
        <f>IFERROR(VLOOKUP($M9595,'Informations sur les produits'!$A$3:$H$10000,8,FALSE),"0")</f>
        <v>0</v>
      </c>
      <c r="P9595" s="33">
        <f t="shared" si="596"/>
        <v>0</v>
      </c>
      <c r="Q9595" s="31" t="str">
        <f t="shared" si="597"/>
        <v/>
      </c>
      <c r="R9595" s="32" t="str">
        <f>IFERROR(VLOOKUP($D9595,'Informations sur les produits'!$A$3:$B$15000,2,FALSE),"")</f>
        <v/>
      </c>
      <c r="V9595">
        <f t="shared" si="598"/>
        <v>0</v>
      </c>
      <c r="W9595">
        <f t="shared" si="599"/>
        <v>0</v>
      </c>
    </row>
    <row r="9596" spans="5:23" x14ac:dyDescent="0.25">
      <c r="E9596" s="4"/>
      <c r="F9596" s="4"/>
      <c r="G9596" s="33" t="str">
        <f>IFERROR(VLOOKUP($D9596,'Informations sur les produits'!$A$3:$H$10000,8,FALSE),"0")</f>
        <v>0</v>
      </c>
      <c r="K9596" s="4"/>
      <c r="L9596" s="33" t="str">
        <f>IFERROR(VLOOKUP($J9596,'Informations sur les produits'!$A$3:$H$10000,8,FALSE),"0")</f>
        <v>0</v>
      </c>
      <c r="N9596" s="8"/>
      <c r="O9596" s="33" t="str">
        <f>IFERROR(VLOOKUP($M9596,'Informations sur les produits'!$A$3:$H$10000,8,FALSE),"0")</f>
        <v>0</v>
      </c>
      <c r="P9596" s="33">
        <f t="shared" si="596"/>
        <v>0</v>
      </c>
      <c r="Q9596" s="31" t="str">
        <f t="shared" si="597"/>
        <v/>
      </c>
      <c r="R9596" s="32" t="str">
        <f>IFERROR(VLOOKUP($D9596,'Informations sur les produits'!$A$3:$B$15000,2,FALSE),"")</f>
        <v/>
      </c>
      <c r="V9596">
        <f t="shared" si="598"/>
        <v>0</v>
      </c>
      <c r="W9596">
        <f t="shared" si="599"/>
        <v>0</v>
      </c>
    </row>
    <row r="9597" spans="5:23" x14ac:dyDescent="0.25">
      <c r="E9597" s="4"/>
      <c r="F9597" s="4"/>
      <c r="G9597" s="33" t="str">
        <f>IFERROR(VLOOKUP($D9597,'Informations sur les produits'!$A$3:$H$10000,8,FALSE),"0")</f>
        <v>0</v>
      </c>
      <c r="K9597" s="4"/>
      <c r="L9597" s="33" t="str">
        <f>IFERROR(VLOOKUP($J9597,'Informations sur les produits'!$A$3:$H$10000,8,FALSE),"0")</f>
        <v>0</v>
      </c>
      <c r="N9597" s="8"/>
      <c r="O9597" s="33" t="str">
        <f>IFERROR(VLOOKUP($M9597,'Informations sur les produits'!$A$3:$H$10000,8,FALSE),"0")</f>
        <v>0</v>
      </c>
      <c r="P9597" s="33">
        <f t="shared" si="596"/>
        <v>0</v>
      </c>
      <c r="Q9597" s="31" t="str">
        <f t="shared" si="597"/>
        <v/>
      </c>
      <c r="R9597" s="32" t="str">
        <f>IFERROR(VLOOKUP($D9597,'Informations sur les produits'!$A$3:$B$15000,2,FALSE),"")</f>
        <v/>
      </c>
      <c r="V9597">
        <f t="shared" si="598"/>
        <v>0</v>
      </c>
      <c r="W9597">
        <f t="shared" si="599"/>
        <v>0</v>
      </c>
    </row>
    <row r="9598" spans="5:23" x14ac:dyDescent="0.25">
      <c r="E9598" s="4"/>
      <c r="F9598" s="4"/>
      <c r="G9598" s="33" t="str">
        <f>IFERROR(VLOOKUP($D9598,'Informations sur les produits'!$A$3:$H$10000,8,FALSE),"0")</f>
        <v>0</v>
      </c>
      <c r="K9598" s="4"/>
      <c r="L9598" s="33" t="str">
        <f>IFERROR(VLOOKUP($J9598,'Informations sur les produits'!$A$3:$H$10000,8,FALSE),"0")</f>
        <v>0</v>
      </c>
      <c r="N9598" s="8"/>
      <c r="O9598" s="33" t="str">
        <f>IFERROR(VLOOKUP($M9598,'Informations sur les produits'!$A$3:$H$10000,8,FALSE),"0")</f>
        <v>0</v>
      </c>
      <c r="P9598" s="33">
        <f t="shared" si="596"/>
        <v>0</v>
      </c>
      <c r="Q9598" s="31" t="str">
        <f t="shared" si="597"/>
        <v/>
      </c>
      <c r="R9598" s="32" t="str">
        <f>IFERROR(VLOOKUP($D9598,'Informations sur les produits'!$A$3:$B$15000,2,FALSE),"")</f>
        <v/>
      </c>
      <c r="V9598">
        <f t="shared" si="598"/>
        <v>0</v>
      </c>
      <c r="W9598">
        <f t="shared" si="599"/>
        <v>0</v>
      </c>
    </row>
    <row r="9599" spans="5:23" x14ac:dyDescent="0.25">
      <c r="E9599" s="4"/>
      <c r="F9599" s="4"/>
      <c r="G9599" s="33" t="str">
        <f>IFERROR(VLOOKUP($D9599,'Informations sur les produits'!$A$3:$H$10000,8,FALSE),"0")</f>
        <v>0</v>
      </c>
      <c r="K9599" s="4"/>
      <c r="L9599" s="33" t="str">
        <f>IFERROR(VLOOKUP($J9599,'Informations sur les produits'!$A$3:$H$10000,8,FALSE),"0")</f>
        <v>0</v>
      </c>
      <c r="N9599" s="8"/>
      <c r="O9599" s="33" t="str">
        <f>IFERROR(VLOOKUP($M9599,'Informations sur les produits'!$A$3:$H$10000,8,FALSE),"0")</f>
        <v>0</v>
      </c>
      <c r="P9599" s="33">
        <f t="shared" si="596"/>
        <v>0</v>
      </c>
      <c r="Q9599" s="31" t="str">
        <f t="shared" si="597"/>
        <v/>
      </c>
      <c r="R9599" s="32" t="str">
        <f>IFERROR(VLOOKUP($D9599,'Informations sur les produits'!$A$3:$B$15000,2,FALSE),"")</f>
        <v/>
      </c>
      <c r="V9599">
        <f t="shared" si="598"/>
        <v>0</v>
      </c>
      <c r="W9599">
        <f t="shared" si="599"/>
        <v>0</v>
      </c>
    </row>
    <row r="9600" spans="5:23" x14ac:dyDescent="0.25">
      <c r="E9600" s="4"/>
      <c r="F9600" s="4"/>
      <c r="G9600" s="33" t="str">
        <f>IFERROR(VLOOKUP($D9600,'Informations sur les produits'!$A$3:$H$10000,8,FALSE),"0")</f>
        <v>0</v>
      </c>
      <c r="K9600" s="4"/>
      <c r="L9600" s="33" t="str">
        <f>IFERROR(VLOOKUP($J9600,'Informations sur les produits'!$A$3:$H$10000,8,FALSE),"0")</f>
        <v>0</v>
      </c>
      <c r="N9600" s="8"/>
      <c r="O9600" s="33" t="str">
        <f>IFERROR(VLOOKUP($M9600,'Informations sur les produits'!$A$3:$H$10000,8,FALSE),"0")</f>
        <v>0</v>
      </c>
      <c r="P9600" s="33">
        <f t="shared" si="596"/>
        <v>0</v>
      </c>
      <c r="Q9600" s="31" t="str">
        <f t="shared" si="597"/>
        <v/>
      </c>
      <c r="R9600" s="32" t="str">
        <f>IFERROR(VLOOKUP($D9600,'Informations sur les produits'!$A$3:$B$15000,2,FALSE),"")</f>
        <v/>
      </c>
      <c r="V9600">
        <f t="shared" si="598"/>
        <v>0</v>
      </c>
      <c r="W9600">
        <f t="shared" si="599"/>
        <v>0</v>
      </c>
    </row>
    <row r="9601" spans="5:23" x14ac:dyDescent="0.25">
      <c r="E9601" s="4"/>
      <c r="F9601" s="4"/>
      <c r="G9601" s="33" t="str">
        <f>IFERROR(VLOOKUP($D9601,'Informations sur les produits'!$A$3:$H$10000,8,FALSE),"0")</f>
        <v>0</v>
      </c>
      <c r="K9601" s="4"/>
      <c r="L9601" s="33" t="str">
        <f>IFERROR(VLOOKUP($J9601,'Informations sur les produits'!$A$3:$H$10000,8,FALSE),"0")</f>
        <v>0</v>
      </c>
      <c r="N9601" s="8"/>
      <c r="O9601" s="33" t="str">
        <f>IFERROR(VLOOKUP($M9601,'Informations sur les produits'!$A$3:$H$10000,8,FALSE),"0")</f>
        <v>0</v>
      </c>
      <c r="P9601" s="33">
        <f t="shared" si="596"/>
        <v>0</v>
      </c>
      <c r="Q9601" s="31" t="str">
        <f t="shared" si="597"/>
        <v/>
      </c>
      <c r="R9601" s="32" t="str">
        <f>IFERROR(VLOOKUP($D9601,'Informations sur les produits'!$A$3:$B$15000,2,FALSE),"")</f>
        <v/>
      </c>
      <c r="V9601">
        <f t="shared" si="598"/>
        <v>0</v>
      </c>
      <c r="W9601">
        <f t="shared" si="599"/>
        <v>0</v>
      </c>
    </row>
    <row r="9602" spans="5:23" x14ac:dyDescent="0.25">
      <c r="E9602" s="4"/>
      <c r="F9602" s="4"/>
      <c r="G9602" s="33" t="str">
        <f>IFERROR(VLOOKUP($D9602,'Informations sur les produits'!$A$3:$H$10000,8,FALSE),"0")</f>
        <v>0</v>
      </c>
      <c r="K9602" s="4"/>
      <c r="L9602" s="33" t="str">
        <f>IFERROR(VLOOKUP($J9602,'Informations sur les produits'!$A$3:$H$10000,8,FALSE),"0")</f>
        <v>0</v>
      </c>
      <c r="N9602" s="8"/>
      <c r="O9602" s="33" t="str">
        <f>IFERROR(VLOOKUP($M9602,'Informations sur les produits'!$A$3:$H$10000,8,FALSE),"0")</f>
        <v>0</v>
      </c>
      <c r="P9602" s="33">
        <f t="shared" si="596"/>
        <v>0</v>
      </c>
      <c r="Q9602" s="31" t="str">
        <f t="shared" si="597"/>
        <v/>
      </c>
      <c r="R9602" s="32" t="str">
        <f>IFERROR(VLOOKUP($D9602,'Informations sur les produits'!$A$3:$B$15000,2,FALSE),"")</f>
        <v/>
      </c>
      <c r="V9602">
        <f t="shared" si="598"/>
        <v>0</v>
      </c>
      <c r="W9602">
        <f t="shared" si="599"/>
        <v>0</v>
      </c>
    </row>
    <row r="9603" spans="5:23" x14ac:dyDescent="0.25">
      <c r="E9603" s="4"/>
      <c r="F9603" s="4"/>
      <c r="G9603" s="33" t="str">
        <f>IFERROR(VLOOKUP($D9603,'Informations sur les produits'!$A$3:$H$10000,8,FALSE),"0")</f>
        <v>0</v>
      </c>
      <c r="K9603" s="4"/>
      <c r="L9603" s="33" t="str">
        <f>IFERROR(VLOOKUP($J9603,'Informations sur les produits'!$A$3:$H$10000,8,FALSE),"0")</f>
        <v>0</v>
      </c>
      <c r="N9603" s="8"/>
      <c r="O9603" s="33" t="str">
        <f>IFERROR(VLOOKUP($M9603,'Informations sur les produits'!$A$3:$H$10000,8,FALSE),"0")</f>
        <v>0</v>
      </c>
      <c r="P9603" s="33">
        <f t="shared" si="596"/>
        <v>0</v>
      </c>
      <c r="Q9603" s="31" t="str">
        <f t="shared" si="597"/>
        <v/>
      </c>
      <c r="R9603" s="32" t="str">
        <f>IFERROR(VLOOKUP($D9603,'Informations sur les produits'!$A$3:$B$15000,2,FALSE),"")</f>
        <v/>
      </c>
      <c r="V9603">
        <f t="shared" si="598"/>
        <v>0</v>
      </c>
      <c r="W9603">
        <f t="shared" si="599"/>
        <v>0</v>
      </c>
    </row>
    <row r="9604" spans="5:23" x14ac:dyDescent="0.25">
      <c r="E9604" s="4"/>
      <c r="F9604" s="4"/>
      <c r="G9604" s="33" t="str">
        <f>IFERROR(VLOOKUP($D9604,'Informations sur les produits'!$A$3:$H$10000,8,FALSE),"0")</f>
        <v>0</v>
      </c>
      <c r="K9604" s="4"/>
      <c r="L9604" s="33" t="str">
        <f>IFERROR(VLOOKUP($J9604,'Informations sur les produits'!$A$3:$H$10000,8,FALSE),"0")</f>
        <v>0</v>
      </c>
      <c r="N9604" s="8"/>
      <c r="O9604" s="33" t="str">
        <f>IFERROR(VLOOKUP($M9604,'Informations sur les produits'!$A$3:$H$10000,8,FALSE),"0")</f>
        <v>0</v>
      </c>
      <c r="P9604" s="33">
        <f t="shared" ref="P9604:P9667" si="600">IFERROR((($E9604-$F9604)*$G9604+$K9604*$L9604+$N9604*$O9604),"")</f>
        <v>0</v>
      </c>
      <c r="Q9604" s="31" t="str">
        <f t="shared" ref="Q9604:Q9667" si="601">IFERROR((((($E9604-$F9604)*$G9604+$K9604*$L9604+$N9604*$O9604)*1000)/(($E9604-$F9604)+$K9604+$N9604)),"")</f>
        <v/>
      </c>
      <c r="R9604" s="32" t="str">
        <f>IFERROR(VLOOKUP($D9604,'Informations sur les produits'!$A$3:$B$15000,2,FALSE),"")</f>
        <v/>
      </c>
      <c r="V9604">
        <f t="shared" ref="V9604:V9667" si="602">IFERROR(P9604*1000,"")</f>
        <v>0</v>
      </c>
      <c r="W9604">
        <f t="shared" ref="W9604:W9667" si="603">IFERROR(($E9604-$F9604)+$K9604+$N9604,"")</f>
        <v>0</v>
      </c>
    </row>
    <row r="9605" spans="5:23" x14ac:dyDescent="0.25">
      <c r="E9605" s="4"/>
      <c r="F9605" s="4"/>
      <c r="G9605" s="33" t="str">
        <f>IFERROR(VLOOKUP($D9605,'Informations sur les produits'!$A$3:$H$10000,8,FALSE),"0")</f>
        <v>0</v>
      </c>
      <c r="K9605" s="4"/>
      <c r="L9605" s="33" t="str">
        <f>IFERROR(VLOOKUP($J9605,'Informations sur les produits'!$A$3:$H$10000,8,FALSE),"0")</f>
        <v>0</v>
      </c>
      <c r="N9605" s="8"/>
      <c r="O9605" s="33" t="str">
        <f>IFERROR(VLOOKUP($M9605,'Informations sur les produits'!$A$3:$H$10000,8,FALSE),"0")</f>
        <v>0</v>
      </c>
      <c r="P9605" s="33">
        <f t="shared" si="600"/>
        <v>0</v>
      </c>
      <c r="Q9605" s="31" t="str">
        <f t="shared" si="601"/>
        <v/>
      </c>
      <c r="R9605" s="32" t="str">
        <f>IFERROR(VLOOKUP($D9605,'Informations sur les produits'!$A$3:$B$15000,2,FALSE),"")</f>
        <v/>
      </c>
      <c r="V9605">
        <f t="shared" si="602"/>
        <v>0</v>
      </c>
      <c r="W9605">
        <f t="shared" si="603"/>
        <v>0</v>
      </c>
    </row>
    <row r="9606" spans="5:23" x14ac:dyDescent="0.25">
      <c r="E9606" s="4"/>
      <c r="F9606" s="4"/>
      <c r="G9606" s="33" t="str">
        <f>IFERROR(VLOOKUP($D9606,'Informations sur les produits'!$A$3:$H$10000,8,FALSE),"0")</f>
        <v>0</v>
      </c>
      <c r="K9606" s="4"/>
      <c r="L9606" s="33" t="str">
        <f>IFERROR(VLOOKUP($J9606,'Informations sur les produits'!$A$3:$H$10000,8,FALSE),"0")</f>
        <v>0</v>
      </c>
      <c r="N9606" s="8"/>
      <c r="O9606" s="33" t="str">
        <f>IFERROR(VLOOKUP($M9606,'Informations sur les produits'!$A$3:$H$10000,8,FALSE),"0")</f>
        <v>0</v>
      </c>
      <c r="P9606" s="33">
        <f t="shared" si="600"/>
        <v>0</v>
      </c>
      <c r="Q9606" s="31" t="str">
        <f t="shared" si="601"/>
        <v/>
      </c>
      <c r="R9606" s="32" t="str">
        <f>IFERROR(VLOOKUP($D9606,'Informations sur les produits'!$A$3:$B$15000,2,FALSE),"")</f>
        <v/>
      </c>
      <c r="V9606">
        <f t="shared" si="602"/>
        <v>0</v>
      </c>
      <c r="W9606">
        <f t="shared" si="603"/>
        <v>0</v>
      </c>
    </row>
    <row r="9607" spans="5:23" x14ac:dyDescent="0.25">
      <c r="E9607" s="4"/>
      <c r="F9607" s="4"/>
      <c r="G9607" s="33" t="str">
        <f>IFERROR(VLOOKUP($D9607,'Informations sur les produits'!$A$3:$H$10000,8,FALSE),"0")</f>
        <v>0</v>
      </c>
      <c r="K9607" s="4"/>
      <c r="L9607" s="33" t="str">
        <f>IFERROR(VLOOKUP($J9607,'Informations sur les produits'!$A$3:$H$10000,8,FALSE),"0")</f>
        <v>0</v>
      </c>
      <c r="N9607" s="8"/>
      <c r="O9607" s="33" t="str">
        <f>IFERROR(VLOOKUP($M9607,'Informations sur les produits'!$A$3:$H$10000,8,FALSE),"0")</f>
        <v>0</v>
      </c>
      <c r="P9607" s="33">
        <f t="shared" si="600"/>
        <v>0</v>
      </c>
      <c r="Q9607" s="31" t="str">
        <f t="shared" si="601"/>
        <v/>
      </c>
      <c r="R9607" s="32" t="str">
        <f>IFERROR(VLOOKUP($D9607,'Informations sur les produits'!$A$3:$B$15000,2,FALSE),"")</f>
        <v/>
      </c>
      <c r="V9607">
        <f t="shared" si="602"/>
        <v>0</v>
      </c>
      <c r="W9607">
        <f t="shared" si="603"/>
        <v>0</v>
      </c>
    </row>
    <row r="9608" spans="5:23" x14ac:dyDescent="0.25">
      <c r="E9608" s="4"/>
      <c r="F9608" s="4"/>
      <c r="G9608" s="33" t="str">
        <f>IFERROR(VLOOKUP($D9608,'Informations sur les produits'!$A$3:$H$10000,8,FALSE),"0")</f>
        <v>0</v>
      </c>
      <c r="K9608" s="4"/>
      <c r="L9608" s="33" t="str">
        <f>IFERROR(VLOOKUP($J9608,'Informations sur les produits'!$A$3:$H$10000,8,FALSE),"0")</f>
        <v>0</v>
      </c>
      <c r="N9608" s="8"/>
      <c r="O9608" s="33" t="str">
        <f>IFERROR(VLOOKUP($M9608,'Informations sur les produits'!$A$3:$H$10000,8,FALSE),"0")</f>
        <v>0</v>
      </c>
      <c r="P9608" s="33">
        <f t="shared" si="600"/>
        <v>0</v>
      </c>
      <c r="Q9608" s="31" t="str">
        <f t="shared" si="601"/>
        <v/>
      </c>
      <c r="R9608" s="32" t="str">
        <f>IFERROR(VLOOKUP($D9608,'Informations sur les produits'!$A$3:$B$15000,2,FALSE),"")</f>
        <v/>
      </c>
      <c r="V9608">
        <f t="shared" si="602"/>
        <v>0</v>
      </c>
      <c r="W9608">
        <f t="shared" si="603"/>
        <v>0</v>
      </c>
    </row>
    <row r="9609" spans="5:23" x14ac:dyDescent="0.25">
      <c r="E9609" s="4"/>
      <c r="F9609" s="4"/>
      <c r="G9609" s="33" t="str">
        <f>IFERROR(VLOOKUP($D9609,'Informations sur les produits'!$A$3:$H$10000,8,FALSE),"0")</f>
        <v>0</v>
      </c>
      <c r="K9609" s="4"/>
      <c r="L9609" s="33" t="str">
        <f>IFERROR(VLOOKUP($J9609,'Informations sur les produits'!$A$3:$H$10000,8,FALSE),"0")</f>
        <v>0</v>
      </c>
      <c r="N9609" s="8"/>
      <c r="O9609" s="33" t="str">
        <f>IFERROR(VLOOKUP($M9609,'Informations sur les produits'!$A$3:$H$10000,8,FALSE),"0")</f>
        <v>0</v>
      </c>
      <c r="P9609" s="33">
        <f t="shared" si="600"/>
        <v>0</v>
      </c>
      <c r="Q9609" s="31" t="str">
        <f t="shared" si="601"/>
        <v/>
      </c>
      <c r="R9609" s="32" t="str">
        <f>IFERROR(VLOOKUP($D9609,'Informations sur les produits'!$A$3:$B$15000,2,FALSE),"")</f>
        <v/>
      </c>
      <c r="V9609">
        <f t="shared" si="602"/>
        <v>0</v>
      </c>
      <c r="W9609">
        <f t="shared" si="603"/>
        <v>0</v>
      </c>
    </row>
    <row r="9610" spans="5:23" x14ac:dyDescent="0.25">
      <c r="E9610" s="4"/>
      <c r="F9610" s="4"/>
      <c r="G9610" s="33" t="str">
        <f>IFERROR(VLOOKUP($D9610,'Informations sur les produits'!$A$3:$H$10000,8,FALSE),"0")</f>
        <v>0</v>
      </c>
      <c r="K9610" s="4"/>
      <c r="L9610" s="33" t="str">
        <f>IFERROR(VLOOKUP($J9610,'Informations sur les produits'!$A$3:$H$10000,8,FALSE),"0")</f>
        <v>0</v>
      </c>
      <c r="N9610" s="8"/>
      <c r="O9610" s="33" t="str">
        <f>IFERROR(VLOOKUP($M9610,'Informations sur les produits'!$A$3:$H$10000,8,FALSE),"0")</f>
        <v>0</v>
      </c>
      <c r="P9610" s="33">
        <f t="shared" si="600"/>
        <v>0</v>
      </c>
      <c r="Q9610" s="31" t="str">
        <f t="shared" si="601"/>
        <v/>
      </c>
      <c r="R9610" s="32" t="str">
        <f>IFERROR(VLOOKUP($D9610,'Informations sur les produits'!$A$3:$B$15000,2,FALSE),"")</f>
        <v/>
      </c>
      <c r="V9610">
        <f t="shared" si="602"/>
        <v>0</v>
      </c>
      <c r="W9610">
        <f t="shared" si="603"/>
        <v>0</v>
      </c>
    </row>
    <row r="9611" spans="5:23" x14ac:dyDescent="0.25">
      <c r="E9611" s="4"/>
      <c r="F9611" s="4"/>
      <c r="G9611" s="33" t="str">
        <f>IFERROR(VLOOKUP($D9611,'Informations sur les produits'!$A$3:$H$10000,8,FALSE),"0")</f>
        <v>0</v>
      </c>
      <c r="K9611" s="4"/>
      <c r="L9611" s="33" t="str">
        <f>IFERROR(VLOOKUP($J9611,'Informations sur les produits'!$A$3:$H$10000,8,FALSE),"0")</f>
        <v>0</v>
      </c>
      <c r="N9611" s="8"/>
      <c r="O9611" s="33" t="str">
        <f>IFERROR(VLOOKUP($M9611,'Informations sur les produits'!$A$3:$H$10000,8,FALSE),"0")</f>
        <v>0</v>
      </c>
      <c r="P9611" s="33">
        <f t="shared" si="600"/>
        <v>0</v>
      </c>
      <c r="Q9611" s="31" t="str">
        <f t="shared" si="601"/>
        <v/>
      </c>
      <c r="R9611" s="32" t="str">
        <f>IFERROR(VLOOKUP($D9611,'Informations sur les produits'!$A$3:$B$15000,2,FALSE),"")</f>
        <v/>
      </c>
      <c r="V9611">
        <f t="shared" si="602"/>
        <v>0</v>
      </c>
      <c r="W9611">
        <f t="shared" si="603"/>
        <v>0</v>
      </c>
    </row>
    <row r="9612" spans="5:23" x14ac:dyDescent="0.25">
      <c r="E9612" s="4"/>
      <c r="F9612" s="4"/>
      <c r="G9612" s="33" t="str">
        <f>IFERROR(VLOOKUP($D9612,'Informations sur les produits'!$A$3:$H$10000,8,FALSE),"0")</f>
        <v>0</v>
      </c>
      <c r="K9612" s="4"/>
      <c r="L9612" s="33" t="str">
        <f>IFERROR(VLOOKUP($J9612,'Informations sur les produits'!$A$3:$H$10000,8,FALSE),"0")</f>
        <v>0</v>
      </c>
      <c r="N9612" s="8"/>
      <c r="O9612" s="33" t="str">
        <f>IFERROR(VLOOKUP($M9612,'Informations sur les produits'!$A$3:$H$10000,8,FALSE),"0")</f>
        <v>0</v>
      </c>
      <c r="P9612" s="33">
        <f t="shared" si="600"/>
        <v>0</v>
      </c>
      <c r="Q9612" s="31" t="str">
        <f t="shared" si="601"/>
        <v/>
      </c>
      <c r="R9612" s="32" t="str">
        <f>IFERROR(VLOOKUP($D9612,'Informations sur les produits'!$A$3:$B$15000,2,FALSE),"")</f>
        <v/>
      </c>
      <c r="V9612">
        <f t="shared" si="602"/>
        <v>0</v>
      </c>
      <c r="W9612">
        <f t="shared" si="603"/>
        <v>0</v>
      </c>
    </row>
    <row r="9613" spans="5:23" x14ac:dyDescent="0.25">
      <c r="E9613" s="4"/>
      <c r="F9613" s="4"/>
      <c r="G9613" s="33" t="str">
        <f>IFERROR(VLOOKUP($D9613,'Informations sur les produits'!$A$3:$H$10000,8,FALSE),"0")</f>
        <v>0</v>
      </c>
      <c r="K9613" s="4"/>
      <c r="L9613" s="33" t="str">
        <f>IFERROR(VLOOKUP($J9613,'Informations sur les produits'!$A$3:$H$10000,8,FALSE),"0")</f>
        <v>0</v>
      </c>
      <c r="N9613" s="8"/>
      <c r="O9613" s="33" t="str">
        <f>IFERROR(VLOOKUP($M9613,'Informations sur les produits'!$A$3:$H$10000,8,FALSE),"0")</f>
        <v>0</v>
      </c>
      <c r="P9613" s="33">
        <f t="shared" si="600"/>
        <v>0</v>
      </c>
      <c r="Q9613" s="31" t="str">
        <f t="shared" si="601"/>
        <v/>
      </c>
      <c r="R9613" s="32" t="str">
        <f>IFERROR(VLOOKUP($D9613,'Informations sur les produits'!$A$3:$B$15000,2,FALSE),"")</f>
        <v/>
      </c>
      <c r="V9613">
        <f t="shared" si="602"/>
        <v>0</v>
      </c>
      <c r="W9613">
        <f t="shared" si="603"/>
        <v>0</v>
      </c>
    </row>
    <row r="9614" spans="5:23" x14ac:dyDescent="0.25">
      <c r="E9614" s="4"/>
      <c r="F9614" s="4"/>
      <c r="G9614" s="33" t="str">
        <f>IFERROR(VLOOKUP($D9614,'Informations sur les produits'!$A$3:$H$10000,8,FALSE),"0")</f>
        <v>0</v>
      </c>
      <c r="K9614" s="4"/>
      <c r="L9614" s="33" t="str">
        <f>IFERROR(VLOOKUP($J9614,'Informations sur les produits'!$A$3:$H$10000,8,FALSE),"0")</f>
        <v>0</v>
      </c>
      <c r="N9614" s="8"/>
      <c r="O9614" s="33" t="str">
        <f>IFERROR(VLOOKUP($M9614,'Informations sur les produits'!$A$3:$H$10000,8,FALSE),"0")</f>
        <v>0</v>
      </c>
      <c r="P9614" s="33">
        <f t="shared" si="600"/>
        <v>0</v>
      </c>
      <c r="Q9614" s="31" t="str">
        <f t="shared" si="601"/>
        <v/>
      </c>
      <c r="R9614" s="32" t="str">
        <f>IFERROR(VLOOKUP($D9614,'Informations sur les produits'!$A$3:$B$15000,2,FALSE),"")</f>
        <v/>
      </c>
      <c r="V9614">
        <f t="shared" si="602"/>
        <v>0</v>
      </c>
      <c r="W9614">
        <f t="shared" si="603"/>
        <v>0</v>
      </c>
    </row>
    <row r="9615" spans="5:23" x14ac:dyDescent="0.25">
      <c r="E9615" s="4"/>
      <c r="F9615" s="4"/>
      <c r="G9615" s="33" t="str">
        <f>IFERROR(VLOOKUP($D9615,'Informations sur les produits'!$A$3:$H$10000,8,FALSE),"0")</f>
        <v>0</v>
      </c>
      <c r="K9615" s="4"/>
      <c r="L9615" s="33" t="str">
        <f>IFERROR(VLOOKUP($J9615,'Informations sur les produits'!$A$3:$H$10000,8,FALSE),"0")</f>
        <v>0</v>
      </c>
      <c r="N9615" s="8"/>
      <c r="O9615" s="33" t="str">
        <f>IFERROR(VLOOKUP($M9615,'Informations sur les produits'!$A$3:$H$10000,8,FALSE),"0")</f>
        <v>0</v>
      </c>
      <c r="P9615" s="33">
        <f t="shared" si="600"/>
        <v>0</v>
      </c>
      <c r="Q9615" s="31" t="str">
        <f t="shared" si="601"/>
        <v/>
      </c>
      <c r="R9615" s="32" t="str">
        <f>IFERROR(VLOOKUP($D9615,'Informations sur les produits'!$A$3:$B$15000,2,FALSE),"")</f>
        <v/>
      </c>
      <c r="V9615">
        <f t="shared" si="602"/>
        <v>0</v>
      </c>
      <c r="W9615">
        <f t="shared" si="603"/>
        <v>0</v>
      </c>
    </row>
    <row r="9616" spans="5:23" x14ac:dyDescent="0.25">
      <c r="E9616" s="4"/>
      <c r="F9616" s="4"/>
      <c r="G9616" s="33" t="str">
        <f>IFERROR(VLOOKUP($D9616,'Informations sur les produits'!$A$3:$H$10000,8,FALSE),"0")</f>
        <v>0</v>
      </c>
      <c r="K9616" s="4"/>
      <c r="L9616" s="33" t="str">
        <f>IFERROR(VLOOKUP($J9616,'Informations sur les produits'!$A$3:$H$10000,8,FALSE),"0")</f>
        <v>0</v>
      </c>
      <c r="N9616" s="8"/>
      <c r="O9616" s="33" t="str">
        <f>IFERROR(VLOOKUP($M9616,'Informations sur les produits'!$A$3:$H$10000,8,FALSE),"0")</f>
        <v>0</v>
      </c>
      <c r="P9616" s="33">
        <f t="shared" si="600"/>
        <v>0</v>
      </c>
      <c r="Q9616" s="31" t="str">
        <f t="shared" si="601"/>
        <v/>
      </c>
      <c r="R9616" s="32" t="str">
        <f>IFERROR(VLOOKUP($D9616,'Informations sur les produits'!$A$3:$B$15000,2,FALSE),"")</f>
        <v/>
      </c>
      <c r="V9616">
        <f t="shared" si="602"/>
        <v>0</v>
      </c>
      <c r="W9616">
        <f t="shared" si="603"/>
        <v>0</v>
      </c>
    </row>
    <row r="9617" spans="5:23" x14ac:dyDescent="0.25">
      <c r="E9617" s="4"/>
      <c r="F9617" s="4"/>
      <c r="G9617" s="33" t="str">
        <f>IFERROR(VLOOKUP($D9617,'Informations sur les produits'!$A$3:$H$10000,8,FALSE),"0")</f>
        <v>0</v>
      </c>
      <c r="K9617" s="4"/>
      <c r="L9617" s="33" t="str">
        <f>IFERROR(VLOOKUP($J9617,'Informations sur les produits'!$A$3:$H$10000,8,FALSE),"0")</f>
        <v>0</v>
      </c>
      <c r="N9617" s="8"/>
      <c r="O9617" s="33" t="str">
        <f>IFERROR(VLOOKUP($M9617,'Informations sur les produits'!$A$3:$H$10000,8,FALSE),"0")</f>
        <v>0</v>
      </c>
      <c r="P9617" s="33">
        <f t="shared" si="600"/>
        <v>0</v>
      </c>
      <c r="Q9617" s="31" t="str">
        <f t="shared" si="601"/>
        <v/>
      </c>
      <c r="R9617" s="32" t="str">
        <f>IFERROR(VLOOKUP($D9617,'Informations sur les produits'!$A$3:$B$15000,2,FALSE),"")</f>
        <v/>
      </c>
      <c r="V9617">
        <f t="shared" si="602"/>
        <v>0</v>
      </c>
      <c r="W9617">
        <f t="shared" si="603"/>
        <v>0</v>
      </c>
    </row>
    <row r="9618" spans="5:23" x14ac:dyDescent="0.25">
      <c r="E9618" s="4"/>
      <c r="F9618" s="4"/>
      <c r="G9618" s="33" t="str">
        <f>IFERROR(VLOOKUP($D9618,'Informations sur les produits'!$A$3:$H$10000,8,FALSE),"0")</f>
        <v>0</v>
      </c>
      <c r="K9618" s="4"/>
      <c r="L9618" s="33" t="str">
        <f>IFERROR(VLOOKUP($J9618,'Informations sur les produits'!$A$3:$H$10000,8,FALSE),"0")</f>
        <v>0</v>
      </c>
      <c r="N9618" s="8"/>
      <c r="O9618" s="33" t="str">
        <f>IFERROR(VLOOKUP($M9618,'Informations sur les produits'!$A$3:$H$10000,8,FALSE),"0")</f>
        <v>0</v>
      </c>
      <c r="P9618" s="33">
        <f t="shared" si="600"/>
        <v>0</v>
      </c>
      <c r="Q9618" s="31" t="str">
        <f t="shared" si="601"/>
        <v/>
      </c>
      <c r="R9618" s="32" t="str">
        <f>IFERROR(VLOOKUP($D9618,'Informations sur les produits'!$A$3:$B$15000,2,FALSE),"")</f>
        <v/>
      </c>
      <c r="V9618">
        <f t="shared" si="602"/>
        <v>0</v>
      </c>
      <c r="W9618">
        <f t="shared" si="603"/>
        <v>0</v>
      </c>
    </row>
    <row r="9619" spans="5:23" x14ac:dyDescent="0.25">
      <c r="E9619" s="4"/>
      <c r="F9619" s="4"/>
      <c r="G9619" s="33" t="str">
        <f>IFERROR(VLOOKUP($D9619,'Informations sur les produits'!$A$3:$H$10000,8,FALSE),"0")</f>
        <v>0</v>
      </c>
      <c r="K9619" s="4"/>
      <c r="L9619" s="33" t="str">
        <f>IFERROR(VLOOKUP($J9619,'Informations sur les produits'!$A$3:$H$10000,8,FALSE),"0")</f>
        <v>0</v>
      </c>
      <c r="N9619" s="8"/>
      <c r="O9619" s="33" t="str">
        <f>IFERROR(VLOOKUP($M9619,'Informations sur les produits'!$A$3:$H$10000,8,FALSE),"0")</f>
        <v>0</v>
      </c>
      <c r="P9619" s="33">
        <f t="shared" si="600"/>
        <v>0</v>
      </c>
      <c r="Q9619" s="31" t="str">
        <f t="shared" si="601"/>
        <v/>
      </c>
      <c r="R9619" s="32" t="str">
        <f>IFERROR(VLOOKUP($D9619,'Informations sur les produits'!$A$3:$B$15000,2,FALSE),"")</f>
        <v/>
      </c>
      <c r="V9619">
        <f t="shared" si="602"/>
        <v>0</v>
      </c>
      <c r="W9619">
        <f t="shared" si="603"/>
        <v>0</v>
      </c>
    </row>
    <row r="9620" spans="5:23" x14ac:dyDescent="0.25">
      <c r="E9620" s="4"/>
      <c r="F9620" s="4"/>
      <c r="G9620" s="33" t="str">
        <f>IFERROR(VLOOKUP($D9620,'Informations sur les produits'!$A$3:$H$10000,8,FALSE),"0")</f>
        <v>0</v>
      </c>
      <c r="K9620" s="4"/>
      <c r="L9620" s="33" t="str">
        <f>IFERROR(VLOOKUP($J9620,'Informations sur les produits'!$A$3:$H$10000,8,FALSE),"0")</f>
        <v>0</v>
      </c>
      <c r="N9620" s="8"/>
      <c r="O9620" s="33" t="str">
        <f>IFERROR(VLOOKUP($M9620,'Informations sur les produits'!$A$3:$H$10000,8,FALSE),"0")</f>
        <v>0</v>
      </c>
      <c r="P9620" s="33">
        <f t="shared" si="600"/>
        <v>0</v>
      </c>
      <c r="Q9620" s="31" t="str">
        <f t="shared" si="601"/>
        <v/>
      </c>
      <c r="R9620" s="32" t="str">
        <f>IFERROR(VLOOKUP($D9620,'Informations sur les produits'!$A$3:$B$15000,2,FALSE),"")</f>
        <v/>
      </c>
      <c r="V9620">
        <f t="shared" si="602"/>
        <v>0</v>
      </c>
      <c r="W9620">
        <f t="shared" si="603"/>
        <v>0</v>
      </c>
    </row>
    <row r="9621" spans="5:23" x14ac:dyDescent="0.25">
      <c r="E9621" s="4"/>
      <c r="F9621" s="4"/>
      <c r="G9621" s="33" t="str">
        <f>IFERROR(VLOOKUP($D9621,'Informations sur les produits'!$A$3:$H$10000,8,FALSE),"0")</f>
        <v>0</v>
      </c>
      <c r="K9621" s="4"/>
      <c r="L9621" s="33" t="str">
        <f>IFERROR(VLOOKUP($J9621,'Informations sur les produits'!$A$3:$H$10000,8,FALSE),"0")</f>
        <v>0</v>
      </c>
      <c r="N9621" s="8"/>
      <c r="O9621" s="33" t="str">
        <f>IFERROR(VLOOKUP($M9621,'Informations sur les produits'!$A$3:$H$10000,8,FALSE),"0")</f>
        <v>0</v>
      </c>
      <c r="P9621" s="33">
        <f t="shared" si="600"/>
        <v>0</v>
      </c>
      <c r="Q9621" s="31" t="str">
        <f t="shared" si="601"/>
        <v/>
      </c>
      <c r="R9621" s="32" t="str">
        <f>IFERROR(VLOOKUP($D9621,'Informations sur les produits'!$A$3:$B$15000,2,FALSE),"")</f>
        <v/>
      </c>
      <c r="V9621">
        <f t="shared" si="602"/>
        <v>0</v>
      </c>
      <c r="W9621">
        <f t="shared" si="603"/>
        <v>0</v>
      </c>
    </row>
    <row r="9622" spans="5:23" x14ac:dyDescent="0.25">
      <c r="E9622" s="4"/>
      <c r="F9622" s="4"/>
      <c r="G9622" s="33" t="str">
        <f>IFERROR(VLOOKUP($D9622,'Informations sur les produits'!$A$3:$H$10000,8,FALSE),"0")</f>
        <v>0</v>
      </c>
      <c r="K9622" s="4"/>
      <c r="L9622" s="33" t="str">
        <f>IFERROR(VLOOKUP($J9622,'Informations sur les produits'!$A$3:$H$10000,8,FALSE),"0")</f>
        <v>0</v>
      </c>
      <c r="N9622" s="8"/>
      <c r="O9622" s="33" t="str">
        <f>IFERROR(VLOOKUP($M9622,'Informations sur les produits'!$A$3:$H$10000,8,FALSE),"0")</f>
        <v>0</v>
      </c>
      <c r="P9622" s="33">
        <f t="shared" si="600"/>
        <v>0</v>
      </c>
      <c r="Q9622" s="31" t="str">
        <f t="shared" si="601"/>
        <v/>
      </c>
      <c r="R9622" s="32" t="str">
        <f>IFERROR(VLOOKUP($D9622,'Informations sur les produits'!$A$3:$B$15000,2,FALSE),"")</f>
        <v/>
      </c>
      <c r="V9622">
        <f t="shared" si="602"/>
        <v>0</v>
      </c>
      <c r="W9622">
        <f t="shared" si="603"/>
        <v>0</v>
      </c>
    </row>
    <row r="9623" spans="5:23" x14ac:dyDescent="0.25">
      <c r="E9623" s="4"/>
      <c r="F9623" s="4"/>
      <c r="G9623" s="33" t="str">
        <f>IFERROR(VLOOKUP($D9623,'Informations sur les produits'!$A$3:$H$10000,8,FALSE),"0")</f>
        <v>0</v>
      </c>
      <c r="K9623" s="4"/>
      <c r="L9623" s="33" t="str">
        <f>IFERROR(VLOOKUP($J9623,'Informations sur les produits'!$A$3:$H$10000,8,FALSE),"0")</f>
        <v>0</v>
      </c>
      <c r="N9623" s="8"/>
      <c r="O9623" s="33" t="str">
        <f>IFERROR(VLOOKUP($M9623,'Informations sur les produits'!$A$3:$H$10000,8,FALSE),"0")</f>
        <v>0</v>
      </c>
      <c r="P9623" s="33">
        <f t="shared" si="600"/>
        <v>0</v>
      </c>
      <c r="Q9623" s="31" t="str">
        <f t="shared" si="601"/>
        <v/>
      </c>
      <c r="R9623" s="32" t="str">
        <f>IFERROR(VLOOKUP($D9623,'Informations sur les produits'!$A$3:$B$15000,2,FALSE),"")</f>
        <v/>
      </c>
      <c r="V9623">
        <f t="shared" si="602"/>
        <v>0</v>
      </c>
      <c r="W9623">
        <f t="shared" si="603"/>
        <v>0</v>
      </c>
    </row>
    <row r="9624" spans="5:23" x14ac:dyDescent="0.25">
      <c r="E9624" s="4"/>
      <c r="F9624" s="4"/>
      <c r="G9624" s="33" t="str">
        <f>IFERROR(VLOOKUP($D9624,'Informations sur les produits'!$A$3:$H$10000,8,FALSE),"0")</f>
        <v>0</v>
      </c>
      <c r="K9624" s="4"/>
      <c r="L9624" s="33" t="str">
        <f>IFERROR(VLOOKUP($J9624,'Informations sur les produits'!$A$3:$H$10000,8,FALSE),"0")</f>
        <v>0</v>
      </c>
      <c r="N9624" s="8"/>
      <c r="O9624" s="33" t="str">
        <f>IFERROR(VLOOKUP($M9624,'Informations sur les produits'!$A$3:$H$10000,8,FALSE),"0")</f>
        <v>0</v>
      </c>
      <c r="P9624" s="33">
        <f t="shared" si="600"/>
        <v>0</v>
      </c>
      <c r="Q9624" s="31" t="str">
        <f t="shared" si="601"/>
        <v/>
      </c>
      <c r="R9624" s="32" t="str">
        <f>IFERROR(VLOOKUP($D9624,'Informations sur les produits'!$A$3:$B$15000,2,FALSE),"")</f>
        <v/>
      </c>
      <c r="V9624">
        <f t="shared" si="602"/>
        <v>0</v>
      </c>
      <c r="W9624">
        <f t="shared" si="603"/>
        <v>0</v>
      </c>
    </row>
    <row r="9625" spans="5:23" x14ac:dyDescent="0.25">
      <c r="E9625" s="4"/>
      <c r="F9625" s="4"/>
      <c r="G9625" s="33" t="str">
        <f>IFERROR(VLOOKUP($D9625,'Informations sur les produits'!$A$3:$H$10000,8,FALSE),"0")</f>
        <v>0</v>
      </c>
      <c r="K9625" s="4"/>
      <c r="L9625" s="33" t="str">
        <f>IFERROR(VLOOKUP($J9625,'Informations sur les produits'!$A$3:$H$10000,8,FALSE),"0")</f>
        <v>0</v>
      </c>
      <c r="N9625" s="8"/>
      <c r="O9625" s="33" t="str">
        <f>IFERROR(VLOOKUP($M9625,'Informations sur les produits'!$A$3:$H$10000,8,FALSE),"0")</f>
        <v>0</v>
      </c>
      <c r="P9625" s="33">
        <f t="shared" si="600"/>
        <v>0</v>
      </c>
      <c r="Q9625" s="31" t="str">
        <f t="shared" si="601"/>
        <v/>
      </c>
      <c r="R9625" s="32" t="str">
        <f>IFERROR(VLOOKUP($D9625,'Informations sur les produits'!$A$3:$B$15000,2,FALSE),"")</f>
        <v/>
      </c>
      <c r="V9625">
        <f t="shared" si="602"/>
        <v>0</v>
      </c>
      <c r="W9625">
        <f t="shared" si="603"/>
        <v>0</v>
      </c>
    </row>
    <row r="9626" spans="5:23" x14ac:dyDescent="0.25">
      <c r="E9626" s="4"/>
      <c r="F9626" s="4"/>
      <c r="G9626" s="33" t="str">
        <f>IFERROR(VLOOKUP($D9626,'Informations sur les produits'!$A$3:$H$10000,8,FALSE),"0")</f>
        <v>0</v>
      </c>
      <c r="K9626" s="4"/>
      <c r="L9626" s="33" t="str">
        <f>IFERROR(VLOOKUP($J9626,'Informations sur les produits'!$A$3:$H$10000,8,FALSE),"0")</f>
        <v>0</v>
      </c>
      <c r="N9626" s="8"/>
      <c r="O9626" s="33" t="str">
        <f>IFERROR(VLOOKUP($M9626,'Informations sur les produits'!$A$3:$H$10000,8,FALSE),"0")</f>
        <v>0</v>
      </c>
      <c r="P9626" s="33">
        <f t="shared" si="600"/>
        <v>0</v>
      </c>
      <c r="Q9626" s="31" t="str">
        <f t="shared" si="601"/>
        <v/>
      </c>
      <c r="R9626" s="32" t="str">
        <f>IFERROR(VLOOKUP($D9626,'Informations sur les produits'!$A$3:$B$15000,2,FALSE),"")</f>
        <v/>
      </c>
      <c r="V9626">
        <f t="shared" si="602"/>
        <v>0</v>
      </c>
      <c r="W9626">
        <f t="shared" si="603"/>
        <v>0</v>
      </c>
    </row>
    <row r="9627" spans="5:23" x14ac:dyDescent="0.25">
      <c r="E9627" s="4"/>
      <c r="F9627" s="4"/>
      <c r="G9627" s="33" t="str">
        <f>IFERROR(VLOOKUP($D9627,'Informations sur les produits'!$A$3:$H$10000,8,FALSE),"0")</f>
        <v>0</v>
      </c>
      <c r="K9627" s="4"/>
      <c r="L9627" s="33" t="str">
        <f>IFERROR(VLOOKUP($J9627,'Informations sur les produits'!$A$3:$H$10000,8,FALSE),"0")</f>
        <v>0</v>
      </c>
      <c r="N9627" s="8"/>
      <c r="O9627" s="33" t="str">
        <f>IFERROR(VLOOKUP($M9627,'Informations sur les produits'!$A$3:$H$10000,8,FALSE),"0")</f>
        <v>0</v>
      </c>
      <c r="P9627" s="33">
        <f t="shared" si="600"/>
        <v>0</v>
      </c>
      <c r="Q9627" s="31" t="str">
        <f t="shared" si="601"/>
        <v/>
      </c>
      <c r="R9627" s="32" t="str">
        <f>IFERROR(VLOOKUP($D9627,'Informations sur les produits'!$A$3:$B$15000,2,FALSE),"")</f>
        <v/>
      </c>
      <c r="V9627">
        <f t="shared" si="602"/>
        <v>0</v>
      </c>
      <c r="W9627">
        <f t="shared" si="603"/>
        <v>0</v>
      </c>
    </row>
    <row r="9628" spans="5:23" x14ac:dyDescent="0.25">
      <c r="E9628" s="4"/>
      <c r="F9628" s="4"/>
      <c r="G9628" s="33" t="str">
        <f>IFERROR(VLOOKUP($D9628,'Informations sur les produits'!$A$3:$H$10000,8,FALSE),"0")</f>
        <v>0</v>
      </c>
      <c r="K9628" s="4"/>
      <c r="L9628" s="33" t="str">
        <f>IFERROR(VLOOKUP($J9628,'Informations sur les produits'!$A$3:$H$10000,8,FALSE),"0")</f>
        <v>0</v>
      </c>
      <c r="N9628" s="8"/>
      <c r="O9628" s="33" t="str">
        <f>IFERROR(VLOOKUP($M9628,'Informations sur les produits'!$A$3:$H$10000,8,FALSE),"0")</f>
        <v>0</v>
      </c>
      <c r="P9628" s="33">
        <f t="shared" si="600"/>
        <v>0</v>
      </c>
      <c r="Q9628" s="31" t="str">
        <f t="shared" si="601"/>
        <v/>
      </c>
      <c r="R9628" s="32" t="str">
        <f>IFERROR(VLOOKUP($D9628,'Informations sur les produits'!$A$3:$B$15000,2,FALSE),"")</f>
        <v/>
      </c>
      <c r="V9628">
        <f t="shared" si="602"/>
        <v>0</v>
      </c>
      <c r="W9628">
        <f t="shared" si="603"/>
        <v>0</v>
      </c>
    </row>
    <row r="9629" spans="5:23" x14ac:dyDescent="0.25">
      <c r="E9629" s="4"/>
      <c r="F9629" s="4"/>
      <c r="G9629" s="33" t="str">
        <f>IFERROR(VLOOKUP($D9629,'Informations sur les produits'!$A$3:$H$10000,8,FALSE),"0")</f>
        <v>0</v>
      </c>
      <c r="K9629" s="4"/>
      <c r="L9629" s="33" t="str">
        <f>IFERROR(VLOOKUP($J9629,'Informations sur les produits'!$A$3:$H$10000,8,FALSE),"0")</f>
        <v>0</v>
      </c>
      <c r="N9629" s="8"/>
      <c r="O9629" s="33" t="str">
        <f>IFERROR(VLOOKUP($M9629,'Informations sur les produits'!$A$3:$H$10000,8,FALSE),"0")</f>
        <v>0</v>
      </c>
      <c r="P9629" s="33">
        <f t="shared" si="600"/>
        <v>0</v>
      </c>
      <c r="Q9629" s="31" t="str">
        <f t="shared" si="601"/>
        <v/>
      </c>
      <c r="R9629" s="32" t="str">
        <f>IFERROR(VLOOKUP($D9629,'Informations sur les produits'!$A$3:$B$15000,2,FALSE),"")</f>
        <v/>
      </c>
      <c r="V9629">
        <f t="shared" si="602"/>
        <v>0</v>
      </c>
      <c r="W9629">
        <f t="shared" si="603"/>
        <v>0</v>
      </c>
    </row>
    <row r="9630" spans="5:23" x14ac:dyDescent="0.25">
      <c r="E9630" s="4"/>
      <c r="F9630" s="4"/>
      <c r="G9630" s="33" t="str">
        <f>IFERROR(VLOOKUP($D9630,'Informations sur les produits'!$A$3:$H$10000,8,FALSE),"0")</f>
        <v>0</v>
      </c>
      <c r="K9630" s="4"/>
      <c r="L9630" s="33" t="str">
        <f>IFERROR(VLOOKUP($J9630,'Informations sur les produits'!$A$3:$H$10000,8,FALSE),"0")</f>
        <v>0</v>
      </c>
      <c r="N9630" s="8"/>
      <c r="O9630" s="33" t="str">
        <f>IFERROR(VLOOKUP($M9630,'Informations sur les produits'!$A$3:$H$10000,8,FALSE),"0")</f>
        <v>0</v>
      </c>
      <c r="P9630" s="33">
        <f t="shared" si="600"/>
        <v>0</v>
      </c>
      <c r="Q9630" s="31" t="str">
        <f t="shared" si="601"/>
        <v/>
      </c>
      <c r="R9630" s="32" t="str">
        <f>IFERROR(VLOOKUP($D9630,'Informations sur les produits'!$A$3:$B$15000,2,FALSE),"")</f>
        <v/>
      </c>
      <c r="V9630">
        <f t="shared" si="602"/>
        <v>0</v>
      </c>
      <c r="W9630">
        <f t="shared" si="603"/>
        <v>0</v>
      </c>
    </row>
    <row r="9631" spans="5:23" x14ac:dyDescent="0.25">
      <c r="E9631" s="4"/>
      <c r="F9631" s="4"/>
      <c r="G9631" s="33" t="str">
        <f>IFERROR(VLOOKUP($D9631,'Informations sur les produits'!$A$3:$H$10000,8,FALSE),"0")</f>
        <v>0</v>
      </c>
      <c r="K9631" s="4"/>
      <c r="L9631" s="33" t="str">
        <f>IFERROR(VLOOKUP($J9631,'Informations sur les produits'!$A$3:$H$10000,8,FALSE),"0")</f>
        <v>0</v>
      </c>
      <c r="N9631" s="8"/>
      <c r="O9631" s="33" t="str">
        <f>IFERROR(VLOOKUP($M9631,'Informations sur les produits'!$A$3:$H$10000,8,FALSE),"0")</f>
        <v>0</v>
      </c>
      <c r="P9631" s="33">
        <f t="shared" si="600"/>
        <v>0</v>
      </c>
      <c r="Q9631" s="31" t="str">
        <f t="shared" si="601"/>
        <v/>
      </c>
      <c r="R9631" s="32" t="str">
        <f>IFERROR(VLOOKUP($D9631,'Informations sur les produits'!$A$3:$B$15000,2,FALSE),"")</f>
        <v/>
      </c>
      <c r="V9631">
        <f t="shared" si="602"/>
        <v>0</v>
      </c>
      <c r="W9631">
        <f t="shared" si="603"/>
        <v>0</v>
      </c>
    </row>
    <row r="9632" spans="5:23" x14ac:dyDescent="0.25">
      <c r="E9632" s="4"/>
      <c r="F9632" s="4"/>
      <c r="G9632" s="33" t="str">
        <f>IFERROR(VLOOKUP($D9632,'Informations sur les produits'!$A$3:$H$10000,8,FALSE),"0")</f>
        <v>0</v>
      </c>
      <c r="K9632" s="4"/>
      <c r="L9632" s="33" t="str">
        <f>IFERROR(VLOOKUP($J9632,'Informations sur les produits'!$A$3:$H$10000,8,FALSE),"0")</f>
        <v>0</v>
      </c>
      <c r="N9632" s="8"/>
      <c r="O9632" s="33" t="str">
        <f>IFERROR(VLOOKUP($M9632,'Informations sur les produits'!$A$3:$H$10000,8,FALSE),"0")</f>
        <v>0</v>
      </c>
      <c r="P9632" s="33">
        <f t="shared" si="600"/>
        <v>0</v>
      </c>
      <c r="Q9632" s="31" t="str">
        <f t="shared" si="601"/>
        <v/>
      </c>
      <c r="R9632" s="32" t="str">
        <f>IFERROR(VLOOKUP($D9632,'Informations sur les produits'!$A$3:$B$15000,2,FALSE),"")</f>
        <v/>
      </c>
      <c r="V9632">
        <f t="shared" si="602"/>
        <v>0</v>
      </c>
      <c r="W9632">
        <f t="shared" si="603"/>
        <v>0</v>
      </c>
    </row>
    <row r="9633" spans="5:23" x14ac:dyDescent="0.25">
      <c r="E9633" s="4"/>
      <c r="F9633" s="4"/>
      <c r="G9633" s="33" t="str">
        <f>IFERROR(VLOOKUP($D9633,'Informations sur les produits'!$A$3:$H$10000,8,FALSE),"0")</f>
        <v>0</v>
      </c>
      <c r="K9633" s="4"/>
      <c r="L9633" s="33" t="str">
        <f>IFERROR(VLOOKUP($J9633,'Informations sur les produits'!$A$3:$H$10000,8,FALSE),"0")</f>
        <v>0</v>
      </c>
      <c r="N9633" s="8"/>
      <c r="O9633" s="33" t="str">
        <f>IFERROR(VLOOKUP($M9633,'Informations sur les produits'!$A$3:$H$10000,8,FALSE),"0")</f>
        <v>0</v>
      </c>
      <c r="P9633" s="33">
        <f t="shared" si="600"/>
        <v>0</v>
      </c>
      <c r="Q9633" s="31" t="str">
        <f t="shared" si="601"/>
        <v/>
      </c>
      <c r="R9633" s="32" t="str">
        <f>IFERROR(VLOOKUP($D9633,'Informations sur les produits'!$A$3:$B$15000,2,FALSE),"")</f>
        <v/>
      </c>
      <c r="V9633">
        <f t="shared" si="602"/>
        <v>0</v>
      </c>
      <c r="W9633">
        <f t="shared" si="603"/>
        <v>0</v>
      </c>
    </row>
    <row r="9634" spans="5:23" x14ac:dyDescent="0.25">
      <c r="E9634" s="4"/>
      <c r="F9634" s="4"/>
      <c r="G9634" s="33" t="str">
        <f>IFERROR(VLOOKUP($D9634,'Informations sur les produits'!$A$3:$H$10000,8,FALSE),"0")</f>
        <v>0</v>
      </c>
      <c r="K9634" s="4"/>
      <c r="L9634" s="33" t="str">
        <f>IFERROR(VLOOKUP($J9634,'Informations sur les produits'!$A$3:$H$10000,8,FALSE),"0")</f>
        <v>0</v>
      </c>
      <c r="N9634" s="8"/>
      <c r="O9634" s="33" t="str">
        <f>IFERROR(VLOOKUP($M9634,'Informations sur les produits'!$A$3:$H$10000,8,FALSE),"0")</f>
        <v>0</v>
      </c>
      <c r="P9634" s="33">
        <f t="shared" si="600"/>
        <v>0</v>
      </c>
      <c r="Q9634" s="31" t="str">
        <f t="shared" si="601"/>
        <v/>
      </c>
      <c r="R9634" s="32" t="str">
        <f>IFERROR(VLOOKUP($D9634,'Informations sur les produits'!$A$3:$B$15000,2,FALSE),"")</f>
        <v/>
      </c>
      <c r="V9634">
        <f t="shared" si="602"/>
        <v>0</v>
      </c>
      <c r="W9634">
        <f t="shared" si="603"/>
        <v>0</v>
      </c>
    </row>
    <row r="9635" spans="5:23" x14ac:dyDescent="0.25">
      <c r="E9635" s="4"/>
      <c r="F9635" s="4"/>
      <c r="G9635" s="33" t="str">
        <f>IFERROR(VLOOKUP($D9635,'Informations sur les produits'!$A$3:$H$10000,8,FALSE),"0")</f>
        <v>0</v>
      </c>
      <c r="K9635" s="4"/>
      <c r="L9635" s="33" t="str">
        <f>IFERROR(VLOOKUP($J9635,'Informations sur les produits'!$A$3:$H$10000,8,FALSE),"0")</f>
        <v>0</v>
      </c>
      <c r="N9635" s="8"/>
      <c r="O9635" s="33" t="str">
        <f>IFERROR(VLOOKUP($M9635,'Informations sur les produits'!$A$3:$H$10000,8,FALSE),"0")</f>
        <v>0</v>
      </c>
      <c r="P9635" s="33">
        <f t="shared" si="600"/>
        <v>0</v>
      </c>
      <c r="Q9635" s="31" t="str">
        <f t="shared" si="601"/>
        <v/>
      </c>
      <c r="R9635" s="32" t="str">
        <f>IFERROR(VLOOKUP($D9635,'Informations sur les produits'!$A$3:$B$15000,2,FALSE),"")</f>
        <v/>
      </c>
      <c r="V9635">
        <f t="shared" si="602"/>
        <v>0</v>
      </c>
      <c r="W9635">
        <f t="shared" si="603"/>
        <v>0</v>
      </c>
    </row>
    <row r="9636" spans="5:23" x14ac:dyDescent="0.25">
      <c r="E9636" s="4"/>
      <c r="F9636" s="4"/>
      <c r="G9636" s="33" t="str">
        <f>IFERROR(VLOOKUP($D9636,'Informations sur les produits'!$A$3:$H$10000,8,FALSE),"0")</f>
        <v>0</v>
      </c>
      <c r="K9636" s="4"/>
      <c r="L9636" s="33" t="str">
        <f>IFERROR(VLOOKUP($J9636,'Informations sur les produits'!$A$3:$H$10000,8,FALSE),"0")</f>
        <v>0</v>
      </c>
      <c r="N9636" s="8"/>
      <c r="O9636" s="33" t="str">
        <f>IFERROR(VLOOKUP($M9636,'Informations sur les produits'!$A$3:$H$10000,8,FALSE),"0")</f>
        <v>0</v>
      </c>
      <c r="P9636" s="33">
        <f t="shared" si="600"/>
        <v>0</v>
      </c>
      <c r="Q9636" s="31" t="str">
        <f t="shared" si="601"/>
        <v/>
      </c>
      <c r="R9636" s="32" t="str">
        <f>IFERROR(VLOOKUP($D9636,'Informations sur les produits'!$A$3:$B$15000,2,FALSE),"")</f>
        <v/>
      </c>
      <c r="V9636">
        <f t="shared" si="602"/>
        <v>0</v>
      </c>
      <c r="W9636">
        <f t="shared" si="603"/>
        <v>0</v>
      </c>
    </row>
    <row r="9637" spans="5:23" x14ac:dyDescent="0.25">
      <c r="E9637" s="4"/>
      <c r="F9637" s="4"/>
      <c r="G9637" s="33" t="str">
        <f>IFERROR(VLOOKUP($D9637,'Informations sur les produits'!$A$3:$H$10000,8,FALSE),"0")</f>
        <v>0</v>
      </c>
      <c r="K9637" s="4"/>
      <c r="L9637" s="33" t="str">
        <f>IFERROR(VLOOKUP($J9637,'Informations sur les produits'!$A$3:$H$10000,8,FALSE),"0")</f>
        <v>0</v>
      </c>
      <c r="N9637" s="8"/>
      <c r="O9637" s="33" t="str">
        <f>IFERROR(VLOOKUP($M9637,'Informations sur les produits'!$A$3:$H$10000,8,FALSE),"0")</f>
        <v>0</v>
      </c>
      <c r="P9637" s="33">
        <f t="shared" si="600"/>
        <v>0</v>
      </c>
      <c r="Q9637" s="31" t="str">
        <f t="shared" si="601"/>
        <v/>
      </c>
      <c r="R9637" s="32" t="str">
        <f>IFERROR(VLOOKUP($D9637,'Informations sur les produits'!$A$3:$B$15000,2,FALSE),"")</f>
        <v/>
      </c>
      <c r="V9637">
        <f t="shared" si="602"/>
        <v>0</v>
      </c>
      <c r="W9637">
        <f t="shared" si="603"/>
        <v>0</v>
      </c>
    </row>
    <row r="9638" spans="5:23" x14ac:dyDescent="0.25">
      <c r="E9638" s="4"/>
      <c r="F9638" s="4"/>
      <c r="G9638" s="33" t="str">
        <f>IFERROR(VLOOKUP($D9638,'Informations sur les produits'!$A$3:$H$10000,8,FALSE),"0")</f>
        <v>0</v>
      </c>
      <c r="K9638" s="4"/>
      <c r="L9638" s="33" t="str">
        <f>IFERROR(VLOOKUP($J9638,'Informations sur les produits'!$A$3:$H$10000,8,FALSE),"0")</f>
        <v>0</v>
      </c>
      <c r="N9638" s="8"/>
      <c r="O9638" s="33" t="str">
        <f>IFERROR(VLOOKUP($M9638,'Informations sur les produits'!$A$3:$H$10000,8,FALSE),"0")</f>
        <v>0</v>
      </c>
      <c r="P9638" s="33">
        <f t="shared" si="600"/>
        <v>0</v>
      </c>
      <c r="Q9638" s="31" t="str">
        <f t="shared" si="601"/>
        <v/>
      </c>
      <c r="R9638" s="32" t="str">
        <f>IFERROR(VLOOKUP($D9638,'Informations sur les produits'!$A$3:$B$15000,2,FALSE),"")</f>
        <v/>
      </c>
      <c r="V9638">
        <f t="shared" si="602"/>
        <v>0</v>
      </c>
      <c r="W9638">
        <f t="shared" si="603"/>
        <v>0</v>
      </c>
    </row>
    <row r="9639" spans="5:23" x14ac:dyDescent="0.25">
      <c r="E9639" s="4"/>
      <c r="F9639" s="4"/>
      <c r="G9639" s="33" t="str">
        <f>IFERROR(VLOOKUP($D9639,'Informations sur les produits'!$A$3:$H$10000,8,FALSE),"0")</f>
        <v>0</v>
      </c>
      <c r="K9639" s="4"/>
      <c r="L9639" s="33" t="str">
        <f>IFERROR(VLOOKUP($J9639,'Informations sur les produits'!$A$3:$H$10000,8,FALSE),"0")</f>
        <v>0</v>
      </c>
      <c r="N9639" s="8"/>
      <c r="O9639" s="33" t="str">
        <f>IFERROR(VLOOKUP($M9639,'Informations sur les produits'!$A$3:$H$10000,8,FALSE),"0")</f>
        <v>0</v>
      </c>
      <c r="P9639" s="33">
        <f t="shared" si="600"/>
        <v>0</v>
      </c>
      <c r="Q9639" s="31" t="str">
        <f t="shared" si="601"/>
        <v/>
      </c>
      <c r="R9639" s="32" t="str">
        <f>IFERROR(VLOOKUP($D9639,'Informations sur les produits'!$A$3:$B$15000,2,FALSE),"")</f>
        <v/>
      </c>
      <c r="V9639">
        <f t="shared" si="602"/>
        <v>0</v>
      </c>
      <c r="W9639">
        <f t="shared" si="603"/>
        <v>0</v>
      </c>
    </row>
    <row r="9640" spans="5:23" x14ac:dyDescent="0.25">
      <c r="E9640" s="4"/>
      <c r="F9640" s="4"/>
      <c r="G9640" s="33" t="str">
        <f>IFERROR(VLOOKUP($D9640,'Informations sur les produits'!$A$3:$H$10000,8,FALSE),"0")</f>
        <v>0</v>
      </c>
      <c r="K9640" s="4"/>
      <c r="L9640" s="33" t="str">
        <f>IFERROR(VLOOKUP($J9640,'Informations sur les produits'!$A$3:$H$10000,8,FALSE),"0")</f>
        <v>0</v>
      </c>
      <c r="N9640" s="8"/>
      <c r="O9640" s="33" t="str">
        <f>IFERROR(VLOOKUP($M9640,'Informations sur les produits'!$A$3:$H$10000,8,FALSE),"0")</f>
        <v>0</v>
      </c>
      <c r="P9640" s="33">
        <f t="shared" si="600"/>
        <v>0</v>
      </c>
      <c r="Q9640" s="31" t="str">
        <f t="shared" si="601"/>
        <v/>
      </c>
      <c r="R9640" s="32" t="str">
        <f>IFERROR(VLOOKUP($D9640,'Informations sur les produits'!$A$3:$B$15000,2,FALSE),"")</f>
        <v/>
      </c>
      <c r="V9640">
        <f t="shared" si="602"/>
        <v>0</v>
      </c>
      <c r="W9640">
        <f t="shared" si="603"/>
        <v>0</v>
      </c>
    </row>
    <row r="9641" spans="5:23" x14ac:dyDescent="0.25">
      <c r="E9641" s="4"/>
      <c r="F9641" s="4"/>
      <c r="G9641" s="33" t="str">
        <f>IFERROR(VLOOKUP($D9641,'Informations sur les produits'!$A$3:$H$10000,8,FALSE),"0")</f>
        <v>0</v>
      </c>
      <c r="K9641" s="4"/>
      <c r="L9641" s="33" t="str">
        <f>IFERROR(VLOOKUP($J9641,'Informations sur les produits'!$A$3:$H$10000,8,FALSE),"0")</f>
        <v>0</v>
      </c>
      <c r="N9641" s="8"/>
      <c r="O9641" s="33" t="str">
        <f>IFERROR(VLOOKUP($M9641,'Informations sur les produits'!$A$3:$H$10000,8,FALSE),"0")</f>
        <v>0</v>
      </c>
      <c r="P9641" s="33">
        <f t="shared" si="600"/>
        <v>0</v>
      </c>
      <c r="Q9641" s="31" t="str">
        <f t="shared" si="601"/>
        <v/>
      </c>
      <c r="R9641" s="32" t="str">
        <f>IFERROR(VLOOKUP($D9641,'Informations sur les produits'!$A$3:$B$15000,2,FALSE),"")</f>
        <v/>
      </c>
      <c r="V9641">
        <f t="shared" si="602"/>
        <v>0</v>
      </c>
      <c r="W9641">
        <f t="shared" si="603"/>
        <v>0</v>
      </c>
    </row>
    <row r="9642" spans="5:23" x14ac:dyDescent="0.25">
      <c r="E9642" s="4"/>
      <c r="F9642" s="4"/>
      <c r="G9642" s="33" t="str">
        <f>IFERROR(VLOOKUP($D9642,'Informations sur les produits'!$A$3:$H$10000,8,FALSE),"0")</f>
        <v>0</v>
      </c>
      <c r="K9642" s="4"/>
      <c r="L9642" s="33" t="str">
        <f>IFERROR(VLOOKUP($J9642,'Informations sur les produits'!$A$3:$H$10000,8,FALSE),"0")</f>
        <v>0</v>
      </c>
      <c r="N9642" s="8"/>
      <c r="O9642" s="33" t="str">
        <f>IFERROR(VLOOKUP($M9642,'Informations sur les produits'!$A$3:$H$10000,8,FALSE),"0")</f>
        <v>0</v>
      </c>
      <c r="P9642" s="33">
        <f t="shared" si="600"/>
        <v>0</v>
      </c>
      <c r="Q9642" s="31" t="str">
        <f t="shared" si="601"/>
        <v/>
      </c>
      <c r="R9642" s="32" t="str">
        <f>IFERROR(VLOOKUP($D9642,'Informations sur les produits'!$A$3:$B$15000,2,FALSE),"")</f>
        <v/>
      </c>
      <c r="V9642">
        <f t="shared" si="602"/>
        <v>0</v>
      </c>
      <c r="W9642">
        <f t="shared" si="603"/>
        <v>0</v>
      </c>
    </row>
    <row r="9643" spans="5:23" x14ac:dyDescent="0.25">
      <c r="E9643" s="4"/>
      <c r="F9643" s="4"/>
      <c r="G9643" s="33" t="str">
        <f>IFERROR(VLOOKUP($D9643,'Informations sur les produits'!$A$3:$H$10000,8,FALSE),"0")</f>
        <v>0</v>
      </c>
      <c r="K9643" s="4"/>
      <c r="L9643" s="33" t="str">
        <f>IFERROR(VLOOKUP($J9643,'Informations sur les produits'!$A$3:$H$10000,8,FALSE),"0")</f>
        <v>0</v>
      </c>
      <c r="N9643" s="8"/>
      <c r="O9643" s="33" t="str">
        <f>IFERROR(VLOOKUP($M9643,'Informations sur les produits'!$A$3:$H$10000,8,FALSE),"0")</f>
        <v>0</v>
      </c>
      <c r="P9643" s="33">
        <f t="shared" si="600"/>
        <v>0</v>
      </c>
      <c r="Q9643" s="31" t="str">
        <f t="shared" si="601"/>
        <v/>
      </c>
      <c r="R9643" s="32" t="str">
        <f>IFERROR(VLOOKUP($D9643,'Informations sur les produits'!$A$3:$B$15000,2,FALSE),"")</f>
        <v/>
      </c>
      <c r="V9643">
        <f t="shared" si="602"/>
        <v>0</v>
      </c>
      <c r="W9643">
        <f t="shared" si="603"/>
        <v>0</v>
      </c>
    </row>
    <row r="9644" spans="5:23" x14ac:dyDescent="0.25">
      <c r="E9644" s="4"/>
      <c r="F9644" s="4"/>
      <c r="G9644" s="33" t="str">
        <f>IFERROR(VLOOKUP($D9644,'Informations sur les produits'!$A$3:$H$10000,8,FALSE),"0")</f>
        <v>0</v>
      </c>
      <c r="K9644" s="4"/>
      <c r="L9644" s="33" t="str">
        <f>IFERROR(VLOOKUP($J9644,'Informations sur les produits'!$A$3:$H$10000,8,FALSE),"0")</f>
        <v>0</v>
      </c>
      <c r="N9644" s="8"/>
      <c r="O9644" s="33" t="str">
        <f>IFERROR(VLOOKUP($M9644,'Informations sur les produits'!$A$3:$H$10000,8,FALSE),"0")</f>
        <v>0</v>
      </c>
      <c r="P9644" s="33">
        <f t="shared" si="600"/>
        <v>0</v>
      </c>
      <c r="Q9644" s="31" t="str">
        <f t="shared" si="601"/>
        <v/>
      </c>
      <c r="R9644" s="32" t="str">
        <f>IFERROR(VLOOKUP($D9644,'Informations sur les produits'!$A$3:$B$15000,2,FALSE),"")</f>
        <v/>
      </c>
      <c r="V9644">
        <f t="shared" si="602"/>
        <v>0</v>
      </c>
      <c r="W9644">
        <f t="shared" si="603"/>
        <v>0</v>
      </c>
    </row>
    <row r="9645" spans="5:23" x14ac:dyDescent="0.25">
      <c r="E9645" s="4"/>
      <c r="F9645" s="4"/>
      <c r="G9645" s="33" t="str">
        <f>IFERROR(VLOOKUP($D9645,'Informations sur les produits'!$A$3:$H$10000,8,FALSE),"0")</f>
        <v>0</v>
      </c>
      <c r="K9645" s="4"/>
      <c r="L9645" s="33" t="str">
        <f>IFERROR(VLOOKUP($J9645,'Informations sur les produits'!$A$3:$H$10000,8,FALSE),"0")</f>
        <v>0</v>
      </c>
      <c r="N9645" s="8"/>
      <c r="O9645" s="33" t="str">
        <f>IFERROR(VLOOKUP($M9645,'Informations sur les produits'!$A$3:$H$10000,8,FALSE),"0")</f>
        <v>0</v>
      </c>
      <c r="P9645" s="33">
        <f t="shared" si="600"/>
        <v>0</v>
      </c>
      <c r="Q9645" s="31" t="str">
        <f t="shared" si="601"/>
        <v/>
      </c>
      <c r="R9645" s="32" t="str">
        <f>IFERROR(VLOOKUP($D9645,'Informations sur les produits'!$A$3:$B$15000,2,FALSE),"")</f>
        <v/>
      </c>
      <c r="V9645">
        <f t="shared" si="602"/>
        <v>0</v>
      </c>
      <c r="W9645">
        <f t="shared" si="603"/>
        <v>0</v>
      </c>
    </row>
    <row r="9646" spans="5:23" x14ac:dyDescent="0.25">
      <c r="E9646" s="4"/>
      <c r="F9646" s="4"/>
      <c r="G9646" s="33" t="str">
        <f>IFERROR(VLOOKUP($D9646,'Informations sur les produits'!$A$3:$H$10000,8,FALSE),"0")</f>
        <v>0</v>
      </c>
      <c r="K9646" s="4"/>
      <c r="L9646" s="33" t="str">
        <f>IFERROR(VLOOKUP($J9646,'Informations sur les produits'!$A$3:$H$10000,8,FALSE),"0")</f>
        <v>0</v>
      </c>
      <c r="N9646" s="8"/>
      <c r="O9646" s="33" t="str">
        <f>IFERROR(VLOOKUP($M9646,'Informations sur les produits'!$A$3:$H$10000,8,FALSE),"0")</f>
        <v>0</v>
      </c>
      <c r="P9646" s="33">
        <f t="shared" si="600"/>
        <v>0</v>
      </c>
      <c r="Q9646" s="31" t="str">
        <f t="shared" si="601"/>
        <v/>
      </c>
      <c r="R9646" s="32" t="str">
        <f>IFERROR(VLOOKUP($D9646,'Informations sur les produits'!$A$3:$B$15000,2,FALSE),"")</f>
        <v/>
      </c>
      <c r="V9646">
        <f t="shared" si="602"/>
        <v>0</v>
      </c>
      <c r="W9646">
        <f t="shared" si="603"/>
        <v>0</v>
      </c>
    </row>
    <row r="9647" spans="5:23" x14ac:dyDescent="0.25">
      <c r="E9647" s="4"/>
      <c r="F9647" s="4"/>
      <c r="G9647" s="33" t="str">
        <f>IFERROR(VLOOKUP($D9647,'Informations sur les produits'!$A$3:$H$10000,8,FALSE),"0")</f>
        <v>0</v>
      </c>
      <c r="K9647" s="4"/>
      <c r="L9647" s="33" t="str">
        <f>IFERROR(VLOOKUP($J9647,'Informations sur les produits'!$A$3:$H$10000,8,FALSE),"0")</f>
        <v>0</v>
      </c>
      <c r="N9647" s="8"/>
      <c r="O9647" s="33" t="str">
        <f>IFERROR(VLOOKUP($M9647,'Informations sur les produits'!$A$3:$H$10000,8,FALSE),"0")</f>
        <v>0</v>
      </c>
      <c r="P9647" s="33">
        <f t="shared" si="600"/>
        <v>0</v>
      </c>
      <c r="Q9647" s="31" t="str">
        <f t="shared" si="601"/>
        <v/>
      </c>
      <c r="R9647" s="32" t="str">
        <f>IFERROR(VLOOKUP($D9647,'Informations sur les produits'!$A$3:$B$15000,2,FALSE),"")</f>
        <v/>
      </c>
      <c r="V9647">
        <f t="shared" si="602"/>
        <v>0</v>
      </c>
      <c r="W9647">
        <f t="shared" si="603"/>
        <v>0</v>
      </c>
    </row>
    <row r="9648" spans="5:23" x14ac:dyDescent="0.25">
      <c r="E9648" s="4"/>
      <c r="F9648" s="4"/>
      <c r="G9648" s="33" t="str">
        <f>IFERROR(VLOOKUP($D9648,'Informations sur les produits'!$A$3:$H$10000,8,FALSE),"0")</f>
        <v>0</v>
      </c>
      <c r="K9648" s="4"/>
      <c r="L9648" s="33" t="str">
        <f>IFERROR(VLOOKUP($J9648,'Informations sur les produits'!$A$3:$H$10000,8,FALSE),"0")</f>
        <v>0</v>
      </c>
      <c r="N9648" s="8"/>
      <c r="O9648" s="33" t="str">
        <f>IFERROR(VLOOKUP($M9648,'Informations sur les produits'!$A$3:$H$10000,8,FALSE),"0")</f>
        <v>0</v>
      </c>
      <c r="P9648" s="33">
        <f t="shared" si="600"/>
        <v>0</v>
      </c>
      <c r="Q9648" s="31" t="str">
        <f t="shared" si="601"/>
        <v/>
      </c>
      <c r="R9648" s="32" t="str">
        <f>IFERROR(VLOOKUP($D9648,'Informations sur les produits'!$A$3:$B$15000,2,FALSE),"")</f>
        <v/>
      </c>
      <c r="V9648">
        <f t="shared" si="602"/>
        <v>0</v>
      </c>
      <c r="W9648">
        <f t="shared" si="603"/>
        <v>0</v>
      </c>
    </row>
    <row r="9649" spans="5:23" x14ac:dyDescent="0.25">
      <c r="E9649" s="4"/>
      <c r="F9649" s="4"/>
      <c r="G9649" s="33" t="str">
        <f>IFERROR(VLOOKUP($D9649,'Informations sur les produits'!$A$3:$H$10000,8,FALSE),"0")</f>
        <v>0</v>
      </c>
      <c r="K9649" s="4"/>
      <c r="L9649" s="33" t="str">
        <f>IFERROR(VLOOKUP($J9649,'Informations sur les produits'!$A$3:$H$10000,8,FALSE),"0")</f>
        <v>0</v>
      </c>
      <c r="N9649" s="8"/>
      <c r="O9649" s="33" t="str">
        <f>IFERROR(VLOOKUP($M9649,'Informations sur les produits'!$A$3:$H$10000,8,FALSE),"0")</f>
        <v>0</v>
      </c>
      <c r="P9649" s="33">
        <f t="shared" si="600"/>
        <v>0</v>
      </c>
      <c r="Q9649" s="31" t="str">
        <f t="shared" si="601"/>
        <v/>
      </c>
      <c r="R9649" s="32" t="str">
        <f>IFERROR(VLOOKUP($D9649,'Informations sur les produits'!$A$3:$B$15000,2,FALSE),"")</f>
        <v/>
      </c>
      <c r="V9649">
        <f t="shared" si="602"/>
        <v>0</v>
      </c>
      <c r="W9649">
        <f t="shared" si="603"/>
        <v>0</v>
      </c>
    </row>
    <row r="9650" spans="5:23" x14ac:dyDescent="0.25">
      <c r="E9650" s="4"/>
      <c r="F9650" s="4"/>
      <c r="G9650" s="33" t="str">
        <f>IFERROR(VLOOKUP($D9650,'Informations sur les produits'!$A$3:$H$10000,8,FALSE),"0")</f>
        <v>0</v>
      </c>
      <c r="K9650" s="4"/>
      <c r="L9650" s="33" t="str">
        <f>IFERROR(VLOOKUP($J9650,'Informations sur les produits'!$A$3:$H$10000,8,FALSE),"0")</f>
        <v>0</v>
      </c>
      <c r="N9650" s="8"/>
      <c r="O9650" s="33" t="str">
        <f>IFERROR(VLOOKUP($M9650,'Informations sur les produits'!$A$3:$H$10000,8,FALSE),"0")</f>
        <v>0</v>
      </c>
      <c r="P9650" s="33">
        <f t="shared" si="600"/>
        <v>0</v>
      </c>
      <c r="Q9650" s="31" t="str">
        <f t="shared" si="601"/>
        <v/>
      </c>
      <c r="R9650" s="32" t="str">
        <f>IFERROR(VLOOKUP($D9650,'Informations sur les produits'!$A$3:$B$15000,2,FALSE),"")</f>
        <v/>
      </c>
      <c r="V9650">
        <f t="shared" si="602"/>
        <v>0</v>
      </c>
      <c r="W9650">
        <f t="shared" si="603"/>
        <v>0</v>
      </c>
    </row>
    <row r="9651" spans="5:23" x14ac:dyDescent="0.25">
      <c r="E9651" s="4"/>
      <c r="F9651" s="4"/>
      <c r="G9651" s="33" t="str">
        <f>IFERROR(VLOOKUP($D9651,'Informations sur les produits'!$A$3:$H$10000,8,FALSE),"0")</f>
        <v>0</v>
      </c>
      <c r="K9651" s="4"/>
      <c r="L9651" s="33" t="str">
        <f>IFERROR(VLOOKUP($J9651,'Informations sur les produits'!$A$3:$H$10000,8,FALSE),"0")</f>
        <v>0</v>
      </c>
      <c r="N9651" s="8"/>
      <c r="O9651" s="33" t="str">
        <f>IFERROR(VLOOKUP($M9651,'Informations sur les produits'!$A$3:$H$10000,8,FALSE),"0")</f>
        <v>0</v>
      </c>
      <c r="P9651" s="33">
        <f t="shared" si="600"/>
        <v>0</v>
      </c>
      <c r="Q9651" s="31" t="str">
        <f t="shared" si="601"/>
        <v/>
      </c>
      <c r="R9651" s="32" t="str">
        <f>IFERROR(VLOOKUP($D9651,'Informations sur les produits'!$A$3:$B$15000,2,FALSE),"")</f>
        <v/>
      </c>
      <c r="V9651">
        <f t="shared" si="602"/>
        <v>0</v>
      </c>
      <c r="W9651">
        <f t="shared" si="603"/>
        <v>0</v>
      </c>
    </row>
    <row r="9652" spans="5:23" x14ac:dyDescent="0.25">
      <c r="E9652" s="4"/>
      <c r="F9652" s="4"/>
      <c r="G9652" s="33" t="str">
        <f>IFERROR(VLOOKUP($D9652,'Informations sur les produits'!$A$3:$H$10000,8,FALSE),"0")</f>
        <v>0</v>
      </c>
      <c r="K9652" s="4"/>
      <c r="L9652" s="33" t="str">
        <f>IFERROR(VLOOKUP($J9652,'Informations sur les produits'!$A$3:$H$10000,8,FALSE),"0")</f>
        <v>0</v>
      </c>
      <c r="N9652" s="8"/>
      <c r="O9652" s="33" t="str">
        <f>IFERROR(VLOOKUP($M9652,'Informations sur les produits'!$A$3:$H$10000,8,FALSE),"0")</f>
        <v>0</v>
      </c>
      <c r="P9652" s="33">
        <f t="shared" si="600"/>
        <v>0</v>
      </c>
      <c r="Q9652" s="31" t="str">
        <f t="shared" si="601"/>
        <v/>
      </c>
      <c r="R9652" s="32" t="str">
        <f>IFERROR(VLOOKUP($D9652,'Informations sur les produits'!$A$3:$B$15000,2,FALSE),"")</f>
        <v/>
      </c>
      <c r="V9652">
        <f t="shared" si="602"/>
        <v>0</v>
      </c>
      <c r="W9652">
        <f t="shared" si="603"/>
        <v>0</v>
      </c>
    </row>
    <row r="9653" spans="5:23" x14ac:dyDescent="0.25">
      <c r="E9653" s="4"/>
      <c r="F9653" s="4"/>
      <c r="G9653" s="33" t="str">
        <f>IFERROR(VLOOKUP($D9653,'Informations sur les produits'!$A$3:$H$10000,8,FALSE),"0")</f>
        <v>0</v>
      </c>
      <c r="K9653" s="4"/>
      <c r="L9653" s="33" t="str">
        <f>IFERROR(VLOOKUP($J9653,'Informations sur les produits'!$A$3:$H$10000,8,FALSE),"0")</f>
        <v>0</v>
      </c>
      <c r="N9653" s="8"/>
      <c r="O9653" s="33" t="str">
        <f>IFERROR(VLOOKUP($M9653,'Informations sur les produits'!$A$3:$H$10000,8,FALSE),"0")</f>
        <v>0</v>
      </c>
      <c r="P9653" s="33">
        <f t="shared" si="600"/>
        <v>0</v>
      </c>
      <c r="Q9653" s="31" t="str">
        <f t="shared" si="601"/>
        <v/>
      </c>
      <c r="R9653" s="32" t="str">
        <f>IFERROR(VLOOKUP($D9653,'Informations sur les produits'!$A$3:$B$15000,2,FALSE),"")</f>
        <v/>
      </c>
      <c r="V9653">
        <f t="shared" si="602"/>
        <v>0</v>
      </c>
      <c r="W9653">
        <f t="shared" si="603"/>
        <v>0</v>
      </c>
    </row>
    <row r="9654" spans="5:23" x14ac:dyDescent="0.25">
      <c r="E9654" s="4"/>
      <c r="F9654" s="4"/>
      <c r="G9654" s="33" t="str">
        <f>IFERROR(VLOOKUP($D9654,'Informations sur les produits'!$A$3:$H$10000,8,FALSE),"0")</f>
        <v>0</v>
      </c>
      <c r="K9654" s="4"/>
      <c r="L9654" s="33" t="str">
        <f>IFERROR(VLOOKUP($J9654,'Informations sur les produits'!$A$3:$H$10000,8,FALSE),"0")</f>
        <v>0</v>
      </c>
      <c r="N9654" s="8"/>
      <c r="O9654" s="33" t="str">
        <f>IFERROR(VLOOKUP($M9654,'Informations sur les produits'!$A$3:$H$10000,8,FALSE),"0")</f>
        <v>0</v>
      </c>
      <c r="P9654" s="33">
        <f t="shared" si="600"/>
        <v>0</v>
      </c>
      <c r="Q9654" s="31" t="str">
        <f t="shared" si="601"/>
        <v/>
      </c>
      <c r="R9654" s="32" t="str">
        <f>IFERROR(VLOOKUP($D9654,'Informations sur les produits'!$A$3:$B$15000,2,FALSE),"")</f>
        <v/>
      </c>
      <c r="V9654">
        <f t="shared" si="602"/>
        <v>0</v>
      </c>
      <c r="W9654">
        <f t="shared" si="603"/>
        <v>0</v>
      </c>
    </row>
    <row r="9655" spans="5:23" x14ac:dyDescent="0.25">
      <c r="E9655" s="4"/>
      <c r="F9655" s="4"/>
      <c r="G9655" s="33" t="str">
        <f>IFERROR(VLOOKUP($D9655,'Informations sur les produits'!$A$3:$H$10000,8,FALSE),"0")</f>
        <v>0</v>
      </c>
      <c r="K9655" s="4"/>
      <c r="L9655" s="33" t="str">
        <f>IFERROR(VLOOKUP($J9655,'Informations sur les produits'!$A$3:$H$10000,8,FALSE),"0")</f>
        <v>0</v>
      </c>
      <c r="N9655" s="8"/>
      <c r="O9655" s="33" t="str">
        <f>IFERROR(VLOOKUP($M9655,'Informations sur les produits'!$A$3:$H$10000,8,FALSE),"0")</f>
        <v>0</v>
      </c>
      <c r="P9655" s="33">
        <f t="shared" si="600"/>
        <v>0</v>
      </c>
      <c r="Q9655" s="31" t="str">
        <f t="shared" si="601"/>
        <v/>
      </c>
      <c r="R9655" s="32" t="str">
        <f>IFERROR(VLOOKUP($D9655,'Informations sur les produits'!$A$3:$B$15000,2,FALSE),"")</f>
        <v/>
      </c>
      <c r="V9655">
        <f t="shared" si="602"/>
        <v>0</v>
      </c>
      <c r="W9655">
        <f t="shared" si="603"/>
        <v>0</v>
      </c>
    </row>
    <row r="9656" spans="5:23" x14ac:dyDescent="0.25">
      <c r="E9656" s="4"/>
      <c r="F9656" s="4"/>
      <c r="G9656" s="33" t="str">
        <f>IFERROR(VLOOKUP($D9656,'Informations sur les produits'!$A$3:$H$10000,8,FALSE),"0")</f>
        <v>0</v>
      </c>
      <c r="K9656" s="4"/>
      <c r="L9656" s="33" t="str">
        <f>IFERROR(VLOOKUP($J9656,'Informations sur les produits'!$A$3:$H$10000,8,FALSE),"0")</f>
        <v>0</v>
      </c>
      <c r="N9656" s="8"/>
      <c r="O9656" s="33" t="str">
        <f>IFERROR(VLOOKUP($M9656,'Informations sur les produits'!$A$3:$H$10000,8,FALSE),"0")</f>
        <v>0</v>
      </c>
      <c r="P9656" s="33">
        <f t="shared" si="600"/>
        <v>0</v>
      </c>
      <c r="Q9656" s="31" t="str">
        <f t="shared" si="601"/>
        <v/>
      </c>
      <c r="R9656" s="32" t="str">
        <f>IFERROR(VLOOKUP($D9656,'Informations sur les produits'!$A$3:$B$15000,2,FALSE),"")</f>
        <v/>
      </c>
      <c r="V9656">
        <f t="shared" si="602"/>
        <v>0</v>
      </c>
      <c r="W9656">
        <f t="shared" si="603"/>
        <v>0</v>
      </c>
    </row>
    <row r="9657" spans="5:23" x14ac:dyDescent="0.25">
      <c r="E9657" s="4"/>
      <c r="F9657" s="4"/>
      <c r="G9657" s="33" t="str">
        <f>IFERROR(VLOOKUP($D9657,'Informations sur les produits'!$A$3:$H$10000,8,FALSE),"0")</f>
        <v>0</v>
      </c>
      <c r="K9657" s="4"/>
      <c r="L9657" s="33" t="str">
        <f>IFERROR(VLOOKUP($J9657,'Informations sur les produits'!$A$3:$H$10000,8,FALSE),"0")</f>
        <v>0</v>
      </c>
      <c r="N9657" s="8"/>
      <c r="O9657" s="33" t="str">
        <f>IFERROR(VLOOKUP($M9657,'Informations sur les produits'!$A$3:$H$10000,8,FALSE),"0")</f>
        <v>0</v>
      </c>
      <c r="P9657" s="33">
        <f t="shared" si="600"/>
        <v>0</v>
      </c>
      <c r="Q9657" s="31" t="str">
        <f t="shared" si="601"/>
        <v/>
      </c>
      <c r="R9657" s="32" t="str">
        <f>IFERROR(VLOOKUP($D9657,'Informations sur les produits'!$A$3:$B$15000,2,FALSE),"")</f>
        <v/>
      </c>
      <c r="V9657">
        <f t="shared" si="602"/>
        <v>0</v>
      </c>
      <c r="W9657">
        <f t="shared" si="603"/>
        <v>0</v>
      </c>
    </row>
    <row r="9658" spans="5:23" x14ac:dyDescent="0.25">
      <c r="E9658" s="4"/>
      <c r="F9658" s="4"/>
      <c r="G9658" s="33" t="str">
        <f>IFERROR(VLOOKUP($D9658,'Informations sur les produits'!$A$3:$H$10000,8,FALSE),"0")</f>
        <v>0</v>
      </c>
      <c r="K9658" s="4"/>
      <c r="L9658" s="33" t="str">
        <f>IFERROR(VLOOKUP($J9658,'Informations sur les produits'!$A$3:$H$10000,8,FALSE),"0")</f>
        <v>0</v>
      </c>
      <c r="N9658" s="8"/>
      <c r="O9658" s="33" t="str">
        <f>IFERROR(VLOOKUP($M9658,'Informations sur les produits'!$A$3:$H$10000,8,FALSE),"0")</f>
        <v>0</v>
      </c>
      <c r="P9658" s="33">
        <f t="shared" si="600"/>
        <v>0</v>
      </c>
      <c r="Q9658" s="31" t="str">
        <f t="shared" si="601"/>
        <v/>
      </c>
      <c r="R9658" s="32" t="str">
        <f>IFERROR(VLOOKUP($D9658,'Informations sur les produits'!$A$3:$B$15000,2,FALSE),"")</f>
        <v/>
      </c>
      <c r="V9658">
        <f t="shared" si="602"/>
        <v>0</v>
      </c>
      <c r="W9658">
        <f t="shared" si="603"/>
        <v>0</v>
      </c>
    </row>
    <row r="9659" spans="5:23" x14ac:dyDescent="0.25">
      <c r="E9659" s="4"/>
      <c r="F9659" s="4"/>
      <c r="G9659" s="33" t="str">
        <f>IFERROR(VLOOKUP($D9659,'Informations sur les produits'!$A$3:$H$10000,8,FALSE),"0")</f>
        <v>0</v>
      </c>
      <c r="K9659" s="4"/>
      <c r="L9659" s="33" t="str">
        <f>IFERROR(VLOOKUP($J9659,'Informations sur les produits'!$A$3:$H$10000,8,FALSE),"0")</f>
        <v>0</v>
      </c>
      <c r="N9659" s="8"/>
      <c r="O9659" s="33" t="str">
        <f>IFERROR(VLOOKUP($M9659,'Informations sur les produits'!$A$3:$H$10000,8,FALSE),"0")</f>
        <v>0</v>
      </c>
      <c r="P9659" s="33">
        <f t="shared" si="600"/>
        <v>0</v>
      </c>
      <c r="Q9659" s="31" t="str">
        <f t="shared" si="601"/>
        <v/>
      </c>
      <c r="R9659" s="32" t="str">
        <f>IFERROR(VLOOKUP($D9659,'Informations sur les produits'!$A$3:$B$15000,2,FALSE),"")</f>
        <v/>
      </c>
      <c r="V9659">
        <f t="shared" si="602"/>
        <v>0</v>
      </c>
      <c r="W9659">
        <f t="shared" si="603"/>
        <v>0</v>
      </c>
    </row>
    <row r="9660" spans="5:23" x14ac:dyDescent="0.25">
      <c r="E9660" s="4"/>
      <c r="F9660" s="4"/>
      <c r="G9660" s="33" t="str">
        <f>IFERROR(VLOOKUP($D9660,'Informations sur les produits'!$A$3:$H$10000,8,FALSE),"0")</f>
        <v>0</v>
      </c>
      <c r="K9660" s="4"/>
      <c r="L9660" s="33" t="str">
        <f>IFERROR(VLOOKUP($J9660,'Informations sur les produits'!$A$3:$H$10000,8,FALSE),"0")</f>
        <v>0</v>
      </c>
      <c r="N9660" s="8"/>
      <c r="O9660" s="33" t="str">
        <f>IFERROR(VLOOKUP($M9660,'Informations sur les produits'!$A$3:$H$10000,8,FALSE),"0")</f>
        <v>0</v>
      </c>
      <c r="P9660" s="33">
        <f t="shared" si="600"/>
        <v>0</v>
      </c>
      <c r="Q9660" s="31" t="str">
        <f t="shared" si="601"/>
        <v/>
      </c>
      <c r="R9660" s="32" t="str">
        <f>IFERROR(VLOOKUP($D9660,'Informations sur les produits'!$A$3:$B$15000,2,FALSE),"")</f>
        <v/>
      </c>
      <c r="V9660">
        <f t="shared" si="602"/>
        <v>0</v>
      </c>
      <c r="W9660">
        <f t="shared" si="603"/>
        <v>0</v>
      </c>
    </row>
    <row r="9661" spans="5:23" x14ac:dyDescent="0.25">
      <c r="E9661" s="4"/>
      <c r="F9661" s="4"/>
      <c r="G9661" s="33" t="str">
        <f>IFERROR(VLOOKUP($D9661,'Informations sur les produits'!$A$3:$H$10000,8,FALSE),"0")</f>
        <v>0</v>
      </c>
      <c r="K9661" s="4"/>
      <c r="L9661" s="33" t="str">
        <f>IFERROR(VLOOKUP($J9661,'Informations sur les produits'!$A$3:$H$10000,8,FALSE),"0")</f>
        <v>0</v>
      </c>
      <c r="N9661" s="8"/>
      <c r="O9661" s="33" t="str">
        <f>IFERROR(VLOOKUP($M9661,'Informations sur les produits'!$A$3:$H$10000,8,FALSE),"0")</f>
        <v>0</v>
      </c>
      <c r="P9661" s="33">
        <f t="shared" si="600"/>
        <v>0</v>
      </c>
      <c r="Q9661" s="31" t="str">
        <f t="shared" si="601"/>
        <v/>
      </c>
      <c r="R9661" s="32" t="str">
        <f>IFERROR(VLOOKUP($D9661,'Informations sur les produits'!$A$3:$B$15000,2,FALSE),"")</f>
        <v/>
      </c>
      <c r="V9661">
        <f t="shared" si="602"/>
        <v>0</v>
      </c>
      <c r="W9661">
        <f t="shared" si="603"/>
        <v>0</v>
      </c>
    </row>
    <row r="9662" spans="5:23" x14ac:dyDescent="0.25">
      <c r="E9662" s="4"/>
      <c r="F9662" s="4"/>
      <c r="G9662" s="33" t="str">
        <f>IFERROR(VLOOKUP($D9662,'Informations sur les produits'!$A$3:$H$10000,8,FALSE),"0")</f>
        <v>0</v>
      </c>
      <c r="K9662" s="4"/>
      <c r="L9662" s="33" t="str">
        <f>IFERROR(VLOOKUP($J9662,'Informations sur les produits'!$A$3:$H$10000,8,FALSE),"0")</f>
        <v>0</v>
      </c>
      <c r="N9662" s="8"/>
      <c r="O9662" s="33" t="str">
        <f>IFERROR(VLOOKUP($M9662,'Informations sur les produits'!$A$3:$H$10000,8,FALSE),"0")</f>
        <v>0</v>
      </c>
      <c r="P9662" s="33">
        <f t="shared" si="600"/>
        <v>0</v>
      </c>
      <c r="Q9662" s="31" t="str">
        <f t="shared" si="601"/>
        <v/>
      </c>
      <c r="R9662" s="32" t="str">
        <f>IFERROR(VLOOKUP($D9662,'Informations sur les produits'!$A$3:$B$15000,2,FALSE),"")</f>
        <v/>
      </c>
      <c r="V9662">
        <f t="shared" si="602"/>
        <v>0</v>
      </c>
      <c r="W9662">
        <f t="shared" si="603"/>
        <v>0</v>
      </c>
    </row>
    <row r="9663" spans="5:23" x14ac:dyDescent="0.25">
      <c r="E9663" s="4"/>
      <c r="F9663" s="4"/>
      <c r="G9663" s="33" t="str">
        <f>IFERROR(VLOOKUP($D9663,'Informations sur les produits'!$A$3:$H$10000,8,FALSE),"0")</f>
        <v>0</v>
      </c>
      <c r="K9663" s="4"/>
      <c r="L9663" s="33" t="str">
        <f>IFERROR(VLOOKUP($J9663,'Informations sur les produits'!$A$3:$H$10000,8,FALSE),"0")</f>
        <v>0</v>
      </c>
      <c r="N9663" s="8"/>
      <c r="O9663" s="33" t="str">
        <f>IFERROR(VLOOKUP($M9663,'Informations sur les produits'!$A$3:$H$10000,8,FALSE),"0")</f>
        <v>0</v>
      </c>
      <c r="P9663" s="33">
        <f t="shared" si="600"/>
        <v>0</v>
      </c>
      <c r="Q9663" s="31" t="str">
        <f t="shared" si="601"/>
        <v/>
      </c>
      <c r="R9663" s="32" t="str">
        <f>IFERROR(VLOOKUP($D9663,'Informations sur les produits'!$A$3:$B$15000,2,FALSE),"")</f>
        <v/>
      </c>
      <c r="V9663">
        <f t="shared" si="602"/>
        <v>0</v>
      </c>
      <c r="W9663">
        <f t="shared" si="603"/>
        <v>0</v>
      </c>
    </row>
    <row r="9664" spans="5:23" x14ac:dyDescent="0.25">
      <c r="E9664" s="4"/>
      <c r="F9664" s="4"/>
      <c r="G9664" s="33" t="str">
        <f>IFERROR(VLOOKUP($D9664,'Informations sur les produits'!$A$3:$H$10000,8,FALSE),"0")</f>
        <v>0</v>
      </c>
      <c r="K9664" s="4"/>
      <c r="L9664" s="33" t="str">
        <f>IFERROR(VLOOKUP($J9664,'Informations sur les produits'!$A$3:$H$10000,8,FALSE),"0")</f>
        <v>0</v>
      </c>
      <c r="N9664" s="8"/>
      <c r="O9664" s="33" t="str">
        <f>IFERROR(VLOOKUP($M9664,'Informations sur les produits'!$A$3:$H$10000,8,FALSE),"0")</f>
        <v>0</v>
      </c>
      <c r="P9664" s="33">
        <f t="shared" si="600"/>
        <v>0</v>
      </c>
      <c r="Q9664" s="31" t="str">
        <f t="shared" si="601"/>
        <v/>
      </c>
      <c r="R9664" s="32" t="str">
        <f>IFERROR(VLOOKUP($D9664,'Informations sur les produits'!$A$3:$B$15000,2,FALSE),"")</f>
        <v/>
      </c>
      <c r="V9664">
        <f t="shared" si="602"/>
        <v>0</v>
      </c>
      <c r="W9664">
        <f t="shared" si="603"/>
        <v>0</v>
      </c>
    </row>
    <row r="9665" spans="5:23" x14ac:dyDescent="0.25">
      <c r="E9665" s="4"/>
      <c r="F9665" s="4"/>
      <c r="G9665" s="33" t="str">
        <f>IFERROR(VLOOKUP($D9665,'Informations sur les produits'!$A$3:$H$10000,8,FALSE),"0")</f>
        <v>0</v>
      </c>
      <c r="K9665" s="4"/>
      <c r="L9665" s="33" t="str">
        <f>IFERROR(VLOOKUP($J9665,'Informations sur les produits'!$A$3:$H$10000,8,FALSE),"0")</f>
        <v>0</v>
      </c>
      <c r="N9665" s="8"/>
      <c r="O9665" s="33" t="str">
        <f>IFERROR(VLOOKUP($M9665,'Informations sur les produits'!$A$3:$H$10000,8,FALSE),"0")</f>
        <v>0</v>
      </c>
      <c r="P9665" s="33">
        <f t="shared" si="600"/>
        <v>0</v>
      </c>
      <c r="Q9665" s="31" t="str">
        <f t="shared" si="601"/>
        <v/>
      </c>
      <c r="R9665" s="32" t="str">
        <f>IFERROR(VLOOKUP($D9665,'Informations sur les produits'!$A$3:$B$15000,2,FALSE),"")</f>
        <v/>
      </c>
      <c r="V9665">
        <f t="shared" si="602"/>
        <v>0</v>
      </c>
      <c r="W9665">
        <f t="shared" si="603"/>
        <v>0</v>
      </c>
    </row>
    <row r="9666" spans="5:23" x14ac:dyDescent="0.25">
      <c r="E9666" s="4"/>
      <c r="F9666" s="4"/>
      <c r="G9666" s="33" t="str">
        <f>IFERROR(VLOOKUP($D9666,'Informations sur les produits'!$A$3:$H$10000,8,FALSE),"0")</f>
        <v>0</v>
      </c>
      <c r="K9666" s="4"/>
      <c r="L9666" s="33" t="str">
        <f>IFERROR(VLOOKUP($J9666,'Informations sur les produits'!$A$3:$H$10000,8,FALSE),"0")</f>
        <v>0</v>
      </c>
      <c r="N9666" s="8"/>
      <c r="O9666" s="33" t="str">
        <f>IFERROR(VLOOKUP($M9666,'Informations sur les produits'!$A$3:$H$10000,8,FALSE),"0")</f>
        <v>0</v>
      </c>
      <c r="P9666" s="33">
        <f t="shared" si="600"/>
        <v>0</v>
      </c>
      <c r="Q9666" s="31" t="str">
        <f t="shared" si="601"/>
        <v/>
      </c>
      <c r="R9666" s="32" t="str">
        <f>IFERROR(VLOOKUP($D9666,'Informations sur les produits'!$A$3:$B$15000,2,FALSE),"")</f>
        <v/>
      </c>
      <c r="V9666">
        <f t="shared" si="602"/>
        <v>0</v>
      </c>
      <c r="W9666">
        <f t="shared" si="603"/>
        <v>0</v>
      </c>
    </row>
    <row r="9667" spans="5:23" x14ac:dyDescent="0.25">
      <c r="E9667" s="4"/>
      <c r="F9667" s="4"/>
      <c r="G9667" s="33" t="str">
        <f>IFERROR(VLOOKUP($D9667,'Informations sur les produits'!$A$3:$H$10000,8,FALSE),"0")</f>
        <v>0</v>
      </c>
      <c r="K9667" s="4"/>
      <c r="L9667" s="33" t="str">
        <f>IFERROR(VLOOKUP($J9667,'Informations sur les produits'!$A$3:$H$10000,8,FALSE),"0")</f>
        <v>0</v>
      </c>
      <c r="N9667" s="8"/>
      <c r="O9667" s="33" t="str">
        <f>IFERROR(VLOOKUP($M9667,'Informations sur les produits'!$A$3:$H$10000,8,FALSE),"0")</f>
        <v>0</v>
      </c>
      <c r="P9667" s="33">
        <f t="shared" si="600"/>
        <v>0</v>
      </c>
      <c r="Q9667" s="31" t="str">
        <f t="shared" si="601"/>
        <v/>
      </c>
      <c r="R9667" s="32" t="str">
        <f>IFERROR(VLOOKUP($D9667,'Informations sur les produits'!$A$3:$B$15000,2,FALSE),"")</f>
        <v/>
      </c>
      <c r="V9667">
        <f t="shared" si="602"/>
        <v>0</v>
      </c>
      <c r="W9667">
        <f t="shared" si="603"/>
        <v>0</v>
      </c>
    </row>
    <row r="9668" spans="5:23" x14ac:dyDescent="0.25">
      <c r="E9668" s="4"/>
      <c r="F9668" s="4"/>
      <c r="G9668" s="33" t="str">
        <f>IFERROR(VLOOKUP($D9668,'Informations sur les produits'!$A$3:$H$10000,8,FALSE),"0")</f>
        <v>0</v>
      </c>
      <c r="K9668" s="4"/>
      <c r="L9668" s="33" t="str">
        <f>IFERROR(VLOOKUP($J9668,'Informations sur les produits'!$A$3:$H$10000,8,FALSE),"0")</f>
        <v>0</v>
      </c>
      <c r="N9668" s="8"/>
      <c r="O9668" s="33" t="str">
        <f>IFERROR(VLOOKUP($M9668,'Informations sur les produits'!$A$3:$H$10000,8,FALSE),"0")</f>
        <v>0</v>
      </c>
      <c r="P9668" s="33">
        <f t="shared" ref="P9668:P9731" si="604">IFERROR((($E9668-$F9668)*$G9668+$K9668*$L9668+$N9668*$O9668),"")</f>
        <v>0</v>
      </c>
      <c r="Q9668" s="31" t="str">
        <f t="shared" ref="Q9668:Q9731" si="605">IFERROR((((($E9668-$F9668)*$G9668+$K9668*$L9668+$N9668*$O9668)*1000)/(($E9668-$F9668)+$K9668+$N9668)),"")</f>
        <v/>
      </c>
      <c r="R9668" s="32" t="str">
        <f>IFERROR(VLOOKUP($D9668,'Informations sur les produits'!$A$3:$B$15000,2,FALSE),"")</f>
        <v/>
      </c>
      <c r="V9668">
        <f t="shared" ref="V9668:V9731" si="606">IFERROR(P9668*1000,"")</f>
        <v>0</v>
      </c>
      <c r="W9668">
        <f t="shared" ref="W9668:W9731" si="607">IFERROR(($E9668-$F9668)+$K9668+$N9668,"")</f>
        <v>0</v>
      </c>
    </row>
    <row r="9669" spans="5:23" x14ac:dyDescent="0.25">
      <c r="E9669" s="4"/>
      <c r="F9669" s="4"/>
      <c r="G9669" s="33" t="str">
        <f>IFERROR(VLOOKUP($D9669,'Informations sur les produits'!$A$3:$H$10000,8,FALSE),"0")</f>
        <v>0</v>
      </c>
      <c r="K9669" s="4"/>
      <c r="L9669" s="33" t="str">
        <f>IFERROR(VLOOKUP($J9669,'Informations sur les produits'!$A$3:$H$10000,8,FALSE),"0")</f>
        <v>0</v>
      </c>
      <c r="N9669" s="8"/>
      <c r="O9669" s="33" t="str">
        <f>IFERROR(VLOOKUP($M9669,'Informations sur les produits'!$A$3:$H$10000,8,FALSE),"0")</f>
        <v>0</v>
      </c>
      <c r="P9669" s="33">
        <f t="shared" si="604"/>
        <v>0</v>
      </c>
      <c r="Q9669" s="31" t="str">
        <f t="shared" si="605"/>
        <v/>
      </c>
      <c r="R9669" s="32" t="str">
        <f>IFERROR(VLOOKUP($D9669,'Informations sur les produits'!$A$3:$B$15000,2,FALSE),"")</f>
        <v/>
      </c>
      <c r="V9669">
        <f t="shared" si="606"/>
        <v>0</v>
      </c>
      <c r="W9669">
        <f t="shared" si="607"/>
        <v>0</v>
      </c>
    </row>
    <row r="9670" spans="5:23" x14ac:dyDescent="0.25">
      <c r="E9670" s="4"/>
      <c r="F9670" s="4"/>
      <c r="G9670" s="33" t="str">
        <f>IFERROR(VLOOKUP($D9670,'Informations sur les produits'!$A$3:$H$10000,8,FALSE),"0")</f>
        <v>0</v>
      </c>
      <c r="K9670" s="4"/>
      <c r="L9670" s="33" t="str">
        <f>IFERROR(VLOOKUP($J9670,'Informations sur les produits'!$A$3:$H$10000,8,FALSE),"0")</f>
        <v>0</v>
      </c>
      <c r="N9670" s="8"/>
      <c r="O9670" s="33" t="str">
        <f>IFERROR(VLOOKUP($M9670,'Informations sur les produits'!$A$3:$H$10000,8,FALSE),"0")</f>
        <v>0</v>
      </c>
      <c r="P9670" s="33">
        <f t="shared" si="604"/>
        <v>0</v>
      </c>
      <c r="Q9670" s="31" t="str">
        <f t="shared" si="605"/>
        <v/>
      </c>
      <c r="R9670" s="32" t="str">
        <f>IFERROR(VLOOKUP($D9670,'Informations sur les produits'!$A$3:$B$15000,2,FALSE),"")</f>
        <v/>
      </c>
      <c r="V9670">
        <f t="shared" si="606"/>
        <v>0</v>
      </c>
      <c r="W9670">
        <f t="shared" si="607"/>
        <v>0</v>
      </c>
    </row>
    <row r="9671" spans="5:23" x14ac:dyDescent="0.25">
      <c r="E9671" s="4"/>
      <c r="F9671" s="4"/>
      <c r="G9671" s="33" t="str">
        <f>IFERROR(VLOOKUP($D9671,'Informations sur les produits'!$A$3:$H$10000,8,FALSE),"0")</f>
        <v>0</v>
      </c>
      <c r="K9671" s="4"/>
      <c r="L9671" s="33" t="str">
        <f>IFERROR(VLOOKUP($J9671,'Informations sur les produits'!$A$3:$H$10000,8,FALSE),"0")</f>
        <v>0</v>
      </c>
      <c r="N9671" s="8"/>
      <c r="O9671" s="33" t="str">
        <f>IFERROR(VLOOKUP($M9671,'Informations sur les produits'!$A$3:$H$10000,8,FALSE),"0")</f>
        <v>0</v>
      </c>
      <c r="P9671" s="33">
        <f t="shared" si="604"/>
        <v>0</v>
      </c>
      <c r="Q9671" s="31" t="str">
        <f t="shared" si="605"/>
        <v/>
      </c>
      <c r="R9671" s="32" t="str">
        <f>IFERROR(VLOOKUP($D9671,'Informations sur les produits'!$A$3:$B$15000,2,FALSE),"")</f>
        <v/>
      </c>
      <c r="V9671">
        <f t="shared" si="606"/>
        <v>0</v>
      </c>
      <c r="W9671">
        <f t="shared" si="607"/>
        <v>0</v>
      </c>
    </row>
    <row r="9672" spans="5:23" x14ac:dyDescent="0.25">
      <c r="E9672" s="4"/>
      <c r="F9672" s="4"/>
      <c r="G9672" s="33" t="str">
        <f>IFERROR(VLOOKUP($D9672,'Informations sur les produits'!$A$3:$H$10000,8,FALSE),"0")</f>
        <v>0</v>
      </c>
      <c r="K9672" s="4"/>
      <c r="L9672" s="33" t="str">
        <f>IFERROR(VLOOKUP($J9672,'Informations sur les produits'!$A$3:$H$10000,8,FALSE),"0")</f>
        <v>0</v>
      </c>
      <c r="N9672" s="8"/>
      <c r="O9672" s="33" t="str">
        <f>IFERROR(VLOOKUP($M9672,'Informations sur les produits'!$A$3:$H$10000,8,FALSE),"0")</f>
        <v>0</v>
      </c>
      <c r="P9672" s="33">
        <f t="shared" si="604"/>
        <v>0</v>
      </c>
      <c r="Q9672" s="31" t="str">
        <f t="shared" si="605"/>
        <v/>
      </c>
      <c r="R9672" s="32" t="str">
        <f>IFERROR(VLOOKUP($D9672,'Informations sur les produits'!$A$3:$B$15000,2,FALSE),"")</f>
        <v/>
      </c>
      <c r="V9672">
        <f t="shared" si="606"/>
        <v>0</v>
      </c>
      <c r="W9672">
        <f t="shared" si="607"/>
        <v>0</v>
      </c>
    </row>
    <row r="9673" spans="5:23" x14ac:dyDescent="0.25">
      <c r="E9673" s="4"/>
      <c r="F9673" s="4"/>
      <c r="G9673" s="33" t="str">
        <f>IFERROR(VLOOKUP($D9673,'Informations sur les produits'!$A$3:$H$10000,8,FALSE),"0")</f>
        <v>0</v>
      </c>
      <c r="K9673" s="4"/>
      <c r="L9673" s="33" t="str">
        <f>IFERROR(VLOOKUP($J9673,'Informations sur les produits'!$A$3:$H$10000,8,FALSE),"0")</f>
        <v>0</v>
      </c>
      <c r="N9673" s="8"/>
      <c r="O9673" s="33" t="str">
        <f>IFERROR(VLOOKUP($M9673,'Informations sur les produits'!$A$3:$H$10000,8,FALSE),"0")</f>
        <v>0</v>
      </c>
      <c r="P9673" s="33">
        <f t="shared" si="604"/>
        <v>0</v>
      </c>
      <c r="Q9673" s="31" t="str">
        <f t="shared" si="605"/>
        <v/>
      </c>
      <c r="R9673" s="32" t="str">
        <f>IFERROR(VLOOKUP($D9673,'Informations sur les produits'!$A$3:$B$15000,2,FALSE),"")</f>
        <v/>
      </c>
      <c r="V9673">
        <f t="shared" si="606"/>
        <v>0</v>
      </c>
      <c r="W9673">
        <f t="shared" si="607"/>
        <v>0</v>
      </c>
    </row>
    <row r="9674" spans="5:23" x14ac:dyDescent="0.25">
      <c r="E9674" s="4"/>
      <c r="F9674" s="4"/>
      <c r="G9674" s="33" t="str">
        <f>IFERROR(VLOOKUP($D9674,'Informations sur les produits'!$A$3:$H$10000,8,FALSE),"0")</f>
        <v>0</v>
      </c>
      <c r="K9674" s="4"/>
      <c r="L9674" s="33" t="str">
        <f>IFERROR(VLOOKUP($J9674,'Informations sur les produits'!$A$3:$H$10000,8,FALSE),"0")</f>
        <v>0</v>
      </c>
      <c r="N9674" s="8"/>
      <c r="O9674" s="33" t="str">
        <f>IFERROR(VLOOKUP($M9674,'Informations sur les produits'!$A$3:$H$10000,8,FALSE),"0")</f>
        <v>0</v>
      </c>
      <c r="P9674" s="33">
        <f t="shared" si="604"/>
        <v>0</v>
      </c>
      <c r="Q9674" s="31" t="str">
        <f t="shared" si="605"/>
        <v/>
      </c>
      <c r="R9674" s="32" t="str">
        <f>IFERROR(VLOOKUP($D9674,'Informations sur les produits'!$A$3:$B$15000,2,FALSE),"")</f>
        <v/>
      </c>
      <c r="V9674">
        <f t="shared" si="606"/>
        <v>0</v>
      </c>
      <c r="W9674">
        <f t="shared" si="607"/>
        <v>0</v>
      </c>
    </row>
    <row r="9675" spans="5:23" x14ac:dyDescent="0.25">
      <c r="E9675" s="4"/>
      <c r="F9675" s="4"/>
      <c r="G9675" s="33" t="str">
        <f>IFERROR(VLOOKUP($D9675,'Informations sur les produits'!$A$3:$H$10000,8,FALSE),"0")</f>
        <v>0</v>
      </c>
      <c r="K9675" s="4"/>
      <c r="L9675" s="33" t="str">
        <f>IFERROR(VLOOKUP($J9675,'Informations sur les produits'!$A$3:$H$10000,8,FALSE),"0")</f>
        <v>0</v>
      </c>
      <c r="N9675" s="8"/>
      <c r="O9675" s="33" t="str">
        <f>IFERROR(VLOOKUP($M9675,'Informations sur les produits'!$A$3:$H$10000,8,FALSE),"0")</f>
        <v>0</v>
      </c>
      <c r="P9675" s="33">
        <f t="shared" si="604"/>
        <v>0</v>
      </c>
      <c r="Q9675" s="31" t="str">
        <f t="shared" si="605"/>
        <v/>
      </c>
      <c r="R9675" s="32" t="str">
        <f>IFERROR(VLOOKUP($D9675,'Informations sur les produits'!$A$3:$B$15000,2,FALSE),"")</f>
        <v/>
      </c>
      <c r="V9675">
        <f t="shared" si="606"/>
        <v>0</v>
      </c>
      <c r="W9675">
        <f t="shared" si="607"/>
        <v>0</v>
      </c>
    </row>
    <row r="9676" spans="5:23" x14ac:dyDescent="0.25">
      <c r="E9676" s="4"/>
      <c r="F9676" s="4"/>
      <c r="G9676" s="33" t="str">
        <f>IFERROR(VLOOKUP($D9676,'Informations sur les produits'!$A$3:$H$10000,8,FALSE),"0")</f>
        <v>0</v>
      </c>
      <c r="K9676" s="4"/>
      <c r="L9676" s="33" t="str">
        <f>IFERROR(VLOOKUP($J9676,'Informations sur les produits'!$A$3:$H$10000,8,FALSE),"0")</f>
        <v>0</v>
      </c>
      <c r="N9676" s="8"/>
      <c r="O9676" s="33" t="str">
        <f>IFERROR(VLOOKUP($M9676,'Informations sur les produits'!$A$3:$H$10000,8,FALSE),"0")</f>
        <v>0</v>
      </c>
      <c r="P9676" s="33">
        <f t="shared" si="604"/>
        <v>0</v>
      </c>
      <c r="Q9676" s="31" t="str">
        <f t="shared" si="605"/>
        <v/>
      </c>
      <c r="R9676" s="32" t="str">
        <f>IFERROR(VLOOKUP($D9676,'Informations sur les produits'!$A$3:$B$15000,2,FALSE),"")</f>
        <v/>
      </c>
      <c r="V9676">
        <f t="shared" si="606"/>
        <v>0</v>
      </c>
      <c r="W9676">
        <f t="shared" si="607"/>
        <v>0</v>
      </c>
    </row>
    <row r="9677" spans="5:23" x14ac:dyDescent="0.25">
      <c r="E9677" s="4"/>
      <c r="F9677" s="4"/>
      <c r="G9677" s="33" t="str">
        <f>IFERROR(VLOOKUP($D9677,'Informations sur les produits'!$A$3:$H$10000,8,FALSE),"0")</f>
        <v>0</v>
      </c>
      <c r="K9677" s="4"/>
      <c r="L9677" s="33" t="str">
        <f>IFERROR(VLOOKUP($J9677,'Informations sur les produits'!$A$3:$H$10000,8,FALSE),"0")</f>
        <v>0</v>
      </c>
      <c r="N9677" s="8"/>
      <c r="O9677" s="33" t="str">
        <f>IFERROR(VLOOKUP($M9677,'Informations sur les produits'!$A$3:$H$10000,8,FALSE),"0")</f>
        <v>0</v>
      </c>
      <c r="P9677" s="33">
        <f t="shared" si="604"/>
        <v>0</v>
      </c>
      <c r="Q9677" s="31" t="str">
        <f t="shared" si="605"/>
        <v/>
      </c>
      <c r="R9677" s="32" t="str">
        <f>IFERROR(VLOOKUP($D9677,'Informations sur les produits'!$A$3:$B$15000,2,FALSE),"")</f>
        <v/>
      </c>
      <c r="V9677">
        <f t="shared" si="606"/>
        <v>0</v>
      </c>
      <c r="W9677">
        <f t="shared" si="607"/>
        <v>0</v>
      </c>
    </row>
    <row r="9678" spans="5:23" x14ac:dyDescent="0.25">
      <c r="E9678" s="4"/>
      <c r="F9678" s="4"/>
      <c r="G9678" s="33" t="str">
        <f>IFERROR(VLOOKUP($D9678,'Informations sur les produits'!$A$3:$H$10000,8,FALSE),"0")</f>
        <v>0</v>
      </c>
      <c r="K9678" s="4"/>
      <c r="L9678" s="33" t="str">
        <f>IFERROR(VLOOKUP($J9678,'Informations sur les produits'!$A$3:$H$10000,8,FALSE),"0")</f>
        <v>0</v>
      </c>
      <c r="N9678" s="8"/>
      <c r="O9678" s="33" t="str">
        <f>IFERROR(VLOOKUP($M9678,'Informations sur les produits'!$A$3:$H$10000,8,FALSE),"0")</f>
        <v>0</v>
      </c>
      <c r="P9678" s="33">
        <f t="shared" si="604"/>
        <v>0</v>
      </c>
      <c r="Q9678" s="31" t="str">
        <f t="shared" si="605"/>
        <v/>
      </c>
      <c r="R9678" s="32" t="str">
        <f>IFERROR(VLOOKUP($D9678,'Informations sur les produits'!$A$3:$B$15000,2,FALSE),"")</f>
        <v/>
      </c>
      <c r="V9678">
        <f t="shared" si="606"/>
        <v>0</v>
      </c>
      <c r="W9678">
        <f t="shared" si="607"/>
        <v>0</v>
      </c>
    </row>
    <row r="9679" spans="5:23" x14ac:dyDescent="0.25">
      <c r="E9679" s="4"/>
      <c r="F9679" s="4"/>
      <c r="G9679" s="33" t="str">
        <f>IFERROR(VLOOKUP($D9679,'Informations sur les produits'!$A$3:$H$10000,8,FALSE),"0")</f>
        <v>0</v>
      </c>
      <c r="K9679" s="4"/>
      <c r="L9679" s="33" t="str">
        <f>IFERROR(VLOOKUP($J9679,'Informations sur les produits'!$A$3:$H$10000,8,FALSE),"0")</f>
        <v>0</v>
      </c>
      <c r="N9679" s="8"/>
      <c r="O9679" s="33" t="str">
        <f>IFERROR(VLOOKUP($M9679,'Informations sur les produits'!$A$3:$H$10000,8,FALSE),"0")</f>
        <v>0</v>
      </c>
      <c r="P9679" s="33">
        <f t="shared" si="604"/>
        <v>0</v>
      </c>
      <c r="Q9679" s="31" t="str">
        <f t="shared" si="605"/>
        <v/>
      </c>
      <c r="R9679" s="32" t="str">
        <f>IFERROR(VLOOKUP($D9679,'Informations sur les produits'!$A$3:$B$15000,2,FALSE),"")</f>
        <v/>
      </c>
      <c r="V9679">
        <f t="shared" si="606"/>
        <v>0</v>
      </c>
      <c r="W9679">
        <f t="shared" si="607"/>
        <v>0</v>
      </c>
    </row>
    <row r="9680" spans="5:23" x14ac:dyDescent="0.25">
      <c r="E9680" s="4"/>
      <c r="F9680" s="4"/>
      <c r="G9680" s="33" t="str">
        <f>IFERROR(VLOOKUP($D9680,'Informations sur les produits'!$A$3:$H$10000,8,FALSE),"0")</f>
        <v>0</v>
      </c>
      <c r="K9680" s="4"/>
      <c r="L9680" s="33" t="str">
        <f>IFERROR(VLOOKUP($J9680,'Informations sur les produits'!$A$3:$H$10000,8,FALSE),"0")</f>
        <v>0</v>
      </c>
      <c r="N9680" s="8"/>
      <c r="O9680" s="33" t="str">
        <f>IFERROR(VLOOKUP($M9680,'Informations sur les produits'!$A$3:$H$10000,8,FALSE),"0")</f>
        <v>0</v>
      </c>
      <c r="P9680" s="33">
        <f t="shared" si="604"/>
        <v>0</v>
      </c>
      <c r="Q9680" s="31" t="str">
        <f t="shared" si="605"/>
        <v/>
      </c>
      <c r="R9680" s="32" t="str">
        <f>IFERROR(VLOOKUP($D9680,'Informations sur les produits'!$A$3:$B$15000,2,FALSE),"")</f>
        <v/>
      </c>
      <c r="V9680">
        <f t="shared" si="606"/>
        <v>0</v>
      </c>
      <c r="W9680">
        <f t="shared" si="607"/>
        <v>0</v>
      </c>
    </row>
    <row r="9681" spans="5:23" x14ac:dyDescent="0.25">
      <c r="E9681" s="4"/>
      <c r="F9681" s="4"/>
      <c r="G9681" s="33" t="str">
        <f>IFERROR(VLOOKUP($D9681,'Informations sur les produits'!$A$3:$H$10000,8,FALSE),"0")</f>
        <v>0</v>
      </c>
      <c r="K9681" s="4"/>
      <c r="L9681" s="33" t="str">
        <f>IFERROR(VLOOKUP($J9681,'Informations sur les produits'!$A$3:$H$10000,8,FALSE),"0")</f>
        <v>0</v>
      </c>
      <c r="N9681" s="8"/>
      <c r="O9681" s="33" t="str">
        <f>IFERROR(VLOOKUP($M9681,'Informations sur les produits'!$A$3:$H$10000,8,FALSE),"0")</f>
        <v>0</v>
      </c>
      <c r="P9681" s="33">
        <f t="shared" si="604"/>
        <v>0</v>
      </c>
      <c r="Q9681" s="31" t="str">
        <f t="shared" si="605"/>
        <v/>
      </c>
      <c r="R9681" s="32" t="str">
        <f>IFERROR(VLOOKUP($D9681,'Informations sur les produits'!$A$3:$B$15000,2,FALSE),"")</f>
        <v/>
      </c>
      <c r="V9681">
        <f t="shared" si="606"/>
        <v>0</v>
      </c>
      <c r="W9681">
        <f t="shared" si="607"/>
        <v>0</v>
      </c>
    </row>
    <row r="9682" spans="5:23" x14ac:dyDescent="0.25">
      <c r="E9682" s="4"/>
      <c r="F9682" s="4"/>
      <c r="G9682" s="33" t="str">
        <f>IFERROR(VLOOKUP($D9682,'Informations sur les produits'!$A$3:$H$10000,8,FALSE),"0")</f>
        <v>0</v>
      </c>
      <c r="K9682" s="4"/>
      <c r="L9682" s="33" t="str">
        <f>IFERROR(VLOOKUP($J9682,'Informations sur les produits'!$A$3:$H$10000,8,FALSE),"0")</f>
        <v>0</v>
      </c>
      <c r="N9682" s="8"/>
      <c r="O9682" s="33" t="str">
        <f>IFERROR(VLOOKUP($M9682,'Informations sur les produits'!$A$3:$H$10000,8,FALSE),"0")</f>
        <v>0</v>
      </c>
      <c r="P9682" s="33">
        <f t="shared" si="604"/>
        <v>0</v>
      </c>
      <c r="Q9682" s="31" t="str">
        <f t="shared" si="605"/>
        <v/>
      </c>
      <c r="R9682" s="32" t="str">
        <f>IFERROR(VLOOKUP($D9682,'Informations sur les produits'!$A$3:$B$15000,2,FALSE),"")</f>
        <v/>
      </c>
      <c r="V9682">
        <f t="shared" si="606"/>
        <v>0</v>
      </c>
      <c r="W9682">
        <f t="shared" si="607"/>
        <v>0</v>
      </c>
    </row>
    <row r="9683" spans="5:23" x14ac:dyDescent="0.25">
      <c r="E9683" s="4"/>
      <c r="F9683" s="4"/>
      <c r="G9683" s="33" t="str">
        <f>IFERROR(VLOOKUP($D9683,'Informations sur les produits'!$A$3:$H$10000,8,FALSE),"0")</f>
        <v>0</v>
      </c>
      <c r="K9683" s="4"/>
      <c r="L9683" s="33" t="str">
        <f>IFERROR(VLOOKUP($J9683,'Informations sur les produits'!$A$3:$H$10000,8,FALSE),"0")</f>
        <v>0</v>
      </c>
      <c r="N9683" s="8"/>
      <c r="O9683" s="33" t="str">
        <f>IFERROR(VLOOKUP($M9683,'Informations sur les produits'!$A$3:$H$10000,8,FALSE),"0")</f>
        <v>0</v>
      </c>
      <c r="P9683" s="33">
        <f t="shared" si="604"/>
        <v>0</v>
      </c>
      <c r="Q9683" s="31" t="str">
        <f t="shared" si="605"/>
        <v/>
      </c>
      <c r="R9683" s="32" t="str">
        <f>IFERROR(VLOOKUP($D9683,'Informations sur les produits'!$A$3:$B$15000,2,FALSE),"")</f>
        <v/>
      </c>
      <c r="V9683">
        <f t="shared" si="606"/>
        <v>0</v>
      </c>
      <c r="W9683">
        <f t="shared" si="607"/>
        <v>0</v>
      </c>
    </row>
    <row r="9684" spans="5:23" x14ac:dyDescent="0.25">
      <c r="E9684" s="4"/>
      <c r="F9684" s="4"/>
      <c r="G9684" s="33" t="str">
        <f>IFERROR(VLOOKUP($D9684,'Informations sur les produits'!$A$3:$H$10000,8,FALSE),"0")</f>
        <v>0</v>
      </c>
      <c r="K9684" s="4"/>
      <c r="L9684" s="33" t="str">
        <f>IFERROR(VLOOKUP($J9684,'Informations sur les produits'!$A$3:$H$10000,8,FALSE),"0")</f>
        <v>0</v>
      </c>
      <c r="N9684" s="8"/>
      <c r="O9684" s="33" t="str">
        <f>IFERROR(VLOOKUP($M9684,'Informations sur les produits'!$A$3:$H$10000,8,FALSE),"0")</f>
        <v>0</v>
      </c>
      <c r="P9684" s="33">
        <f t="shared" si="604"/>
        <v>0</v>
      </c>
      <c r="Q9684" s="31" t="str">
        <f t="shared" si="605"/>
        <v/>
      </c>
      <c r="R9684" s="32" t="str">
        <f>IFERROR(VLOOKUP($D9684,'Informations sur les produits'!$A$3:$B$15000,2,FALSE),"")</f>
        <v/>
      </c>
      <c r="V9684">
        <f t="shared" si="606"/>
        <v>0</v>
      </c>
      <c r="W9684">
        <f t="shared" si="607"/>
        <v>0</v>
      </c>
    </row>
    <row r="9685" spans="5:23" x14ac:dyDescent="0.25">
      <c r="E9685" s="4"/>
      <c r="F9685" s="4"/>
      <c r="G9685" s="33" t="str">
        <f>IFERROR(VLOOKUP($D9685,'Informations sur les produits'!$A$3:$H$10000,8,FALSE),"0")</f>
        <v>0</v>
      </c>
      <c r="K9685" s="4"/>
      <c r="L9685" s="33" t="str">
        <f>IFERROR(VLOOKUP($J9685,'Informations sur les produits'!$A$3:$H$10000,8,FALSE),"0")</f>
        <v>0</v>
      </c>
      <c r="N9685" s="8"/>
      <c r="O9685" s="33" t="str">
        <f>IFERROR(VLOOKUP($M9685,'Informations sur les produits'!$A$3:$H$10000,8,FALSE),"0")</f>
        <v>0</v>
      </c>
      <c r="P9685" s="33">
        <f t="shared" si="604"/>
        <v>0</v>
      </c>
      <c r="Q9685" s="31" t="str">
        <f t="shared" si="605"/>
        <v/>
      </c>
      <c r="R9685" s="32" t="str">
        <f>IFERROR(VLOOKUP($D9685,'Informations sur les produits'!$A$3:$B$15000,2,FALSE),"")</f>
        <v/>
      </c>
      <c r="V9685">
        <f t="shared" si="606"/>
        <v>0</v>
      </c>
      <c r="W9685">
        <f t="shared" si="607"/>
        <v>0</v>
      </c>
    </row>
    <row r="9686" spans="5:23" x14ac:dyDescent="0.25">
      <c r="E9686" s="4"/>
      <c r="F9686" s="4"/>
      <c r="G9686" s="33" t="str">
        <f>IFERROR(VLOOKUP($D9686,'Informations sur les produits'!$A$3:$H$10000,8,FALSE),"0")</f>
        <v>0</v>
      </c>
      <c r="K9686" s="4"/>
      <c r="L9686" s="33" t="str">
        <f>IFERROR(VLOOKUP($J9686,'Informations sur les produits'!$A$3:$H$10000,8,FALSE),"0")</f>
        <v>0</v>
      </c>
      <c r="N9686" s="8"/>
      <c r="O9686" s="33" t="str">
        <f>IFERROR(VLOOKUP($M9686,'Informations sur les produits'!$A$3:$H$10000,8,FALSE),"0")</f>
        <v>0</v>
      </c>
      <c r="P9686" s="33">
        <f t="shared" si="604"/>
        <v>0</v>
      </c>
      <c r="Q9686" s="31" t="str">
        <f t="shared" si="605"/>
        <v/>
      </c>
      <c r="R9686" s="32" t="str">
        <f>IFERROR(VLOOKUP($D9686,'Informations sur les produits'!$A$3:$B$15000,2,FALSE),"")</f>
        <v/>
      </c>
      <c r="V9686">
        <f t="shared" si="606"/>
        <v>0</v>
      </c>
      <c r="W9686">
        <f t="shared" si="607"/>
        <v>0</v>
      </c>
    </row>
    <row r="9687" spans="5:23" x14ac:dyDescent="0.25">
      <c r="E9687" s="4"/>
      <c r="F9687" s="4"/>
      <c r="G9687" s="33" t="str">
        <f>IFERROR(VLOOKUP($D9687,'Informations sur les produits'!$A$3:$H$10000,8,FALSE),"0")</f>
        <v>0</v>
      </c>
      <c r="K9687" s="4"/>
      <c r="L9687" s="33" t="str">
        <f>IFERROR(VLOOKUP($J9687,'Informations sur les produits'!$A$3:$H$10000,8,FALSE),"0")</f>
        <v>0</v>
      </c>
      <c r="N9687" s="8"/>
      <c r="O9687" s="33" t="str">
        <f>IFERROR(VLOOKUP($M9687,'Informations sur les produits'!$A$3:$H$10000,8,FALSE),"0")</f>
        <v>0</v>
      </c>
      <c r="P9687" s="33">
        <f t="shared" si="604"/>
        <v>0</v>
      </c>
      <c r="Q9687" s="31" t="str">
        <f t="shared" si="605"/>
        <v/>
      </c>
      <c r="R9687" s="32" t="str">
        <f>IFERROR(VLOOKUP($D9687,'Informations sur les produits'!$A$3:$B$15000,2,FALSE),"")</f>
        <v/>
      </c>
      <c r="V9687">
        <f t="shared" si="606"/>
        <v>0</v>
      </c>
      <c r="W9687">
        <f t="shared" si="607"/>
        <v>0</v>
      </c>
    </row>
    <row r="9688" spans="5:23" x14ac:dyDescent="0.25">
      <c r="E9688" s="4"/>
      <c r="F9688" s="4"/>
      <c r="G9688" s="33" t="str">
        <f>IFERROR(VLOOKUP($D9688,'Informations sur les produits'!$A$3:$H$10000,8,FALSE),"0")</f>
        <v>0</v>
      </c>
      <c r="K9688" s="4"/>
      <c r="L9688" s="33" t="str">
        <f>IFERROR(VLOOKUP($J9688,'Informations sur les produits'!$A$3:$H$10000,8,FALSE),"0")</f>
        <v>0</v>
      </c>
      <c r="N9688" s="8"/>
      <c r="O9688" s="33" t="str">
        <f>IFERROR(VLOOKUP($M9688,'Informations sur les produits'!$A$3:$H$10000,8,FALSE),"0")</f>
        <v>0</v>
      </c>
      <c r="P9688" s="33">
        <f t="shared" si="604"/>
        <v>0</v>
      </c>
      <c r="Q9688" s="31" t="str">
        <f t="shared" si="605"/>
        <v/>
      </c>
      <c r="R9688" s="32" t="str">
        <f>IFERROR(VLOOKUP($D9688,'Informations sur les produits'!$A$3:$B$15000,2,FALSE),"")</f>
        <v/>
      </c>
      <c r="V9688">
        <f t="shared" si="606"/>
        <v>0</v>
      </c>
      <c r="W9688">
        <f t="shared" si="607"/>
        <v>0</v>
      </c>
    </row>
    <row r="9689" spans="5:23" x14ac:dyDescent="0.25">
      <c r="E9689" s="4"/>
      <c r="F9689" s="4"/>
      <c r="G9689" s="33" t="str">
        <f>IFERROR(VLOOKUP($D9689,'Informations sur les produits'!$A$3:$H$10000,8,FALSE),"0")</f>
        <v>0</v>
      </c>
      <c r="K9689" s="4"/>
      <c r="L9689" s="33" t="str">
        <f>IFERROR(VLOOKUP($J9689,'Informations sur les produits'!$A$3:$H$10000,8,FALSE),"0")</f>
        <v>0</v>
      </c>
      <c r="N9689" s="8"/>
      <c r="O9689" s="33" t="str">
        <f>IFERROR(VLOOKUP($M9689,'Informations sur les produits'!$A$3:$H$10000,8,FALSE),"0")</f>
        <v>0</v>
      </c>
      <c r="P9689" s="33">
        <f t="shared" si="604"/>
        <v>0</v>
      </c>
      <c r="Q9689" s="31" t="str">
        <f t="shared" si="605"/>
        <v/>
      </c>
      <c r="R9689" s="32" t="str">
        <f>IFERROR(VLOOKUP($D9689,'Informations sur les produits'!$A$3:$B$15000,2,FALSE),"")</f>
        <v/>
      </c>
      <c r="V9689">
        <f t="shared" si="606"/>
        <v>0</v>
      </c>
      <c r="W9689">
        <f t="shared" si="607"/>
        <v>0</v>
      </c>
    </row>
    <row r="9690" spans="5:23" x14ac:dyDescent="0.25">
      <c r="E9690" s="4"/>
      <c r="F9690" s="4"/>
      <c r="G9690" s="33" t="str">
        <f>IFERROR(VLOOKUP($D9690,'Informations sur les produits'!$A$3:$H$10000,8,FALSE),"0")</f>
        <v>0</v>
      </c>
      <c r="K9690" s="4"/>
      <c r="L9690" s="33" t="str">
        <f>IFERROR(VLOOKUP($J9690,'Informations sur les produits'!$A$3:$H$10000,8,FALSE),"0")</f>
        <v>0</v>
      </c>
      <c r="N9690" s="8"/>
      <c r="O9690" s="33" t="str">
        <f>IFERROR(VLOOKUP($M9690,'Informations sur les produits'!$A$3:$H$10000,8,FALSE),"0")</f>
        <v>0</v>
      </c>
      <c r="P9690" s="33">
        <f t="shared" si="604"/>
        <v>0</v>
      </c>
      <c r="Q9690" s="31" t="str">
        <f t="shared" si="605"/>
        <v/>
      </c>
      <c r="R9690" s="32" t="str">
        <f>IFERROR(VLOOKUP($D9690,'Informations sur les produits'!$A$3:$B$15000,2,FALSE),"")</f>
        <v/>
      </c>
      <c r="V9690">
        <f t="shared" si="606"/>
        <v>0</v>
      </c>
      <c r="W9690">
        <f t="shared" si="607"/>
        <v>0</v>
      </c>
    </row>
    <row r="9691" spans="5:23" x14ac:dyDescent="0.25">
      <c r="E9691" s="4"/>
      <c r="F9691" s="4"/>
      <c r="G9691" s="33" t="str">
        <f>IFERROR(VLOOKUP($D9691,'Informations sur les produits'!$A$3:$H$10000,8,FALSE),"0")</f>
        <v>0</v>
      </c>
      <c r="K9691" s="4"/>
      <c r="L9691" s="33" t="str">
        <f>IFERROR(VLOOKUP($J9691,'Informations sur les produits'!$A$3:$H$10000,8,FALSE),"0")</f>
        <v>0</v>
      </c>
      <c r="N9691" s="8"/>
      <c r="O9691" s="33" t="str">
        <f>IFERROR(VLOOKUP($M9691,'Informations sur les produits'!$A$3:$H$10000,8,FALSE),"0")</f>
        <v>0</v>
      </c>
      <c r="P9691" s="33">
        <f t="shared" si="604"/>
        <v>0</v>
      </c>
      <c r="Q9691" s="31" t="str">
        <f t="shared" si="605"/>
        <v/>
      </c>
      <c r="R9691" s="32" t="str">
        <f>IFERROR(VLOOKUP($D9691,'Informations sur les produits'!$A$3:$B$15000,2,FALSE),"")</f>
        <v/>
      </c>
      <c r="V9691">
        <f t="shared" si="606"/>
        <v>0</v>
      </c>
      <c r="W9691">
        <f t="shared" si="607"/>
        <v>0</v>
      </c>
    </row>
    <row r="9692" spans="5:23" x14ac:dyDescent="0.25">
      <c r="E9692" s="4"/>
      <c r="F9692" s="4"/>
      <c r="G9692" s="33" t="str">
        <f>IFERROR(VLOOKUP($D9692,'Informations sur les produits'!$A$3:$H$10000,8,FALSE),"0")</f>
        <v>0</v>
      </c>
      <c r="K9692" s="4"/>
      <c r="L9692" s="33" t="str">
        <f>IFERROR(VLOOKUP($J9692,'Informations sur les produits'!$A$3:$H$10000,8,FALSE),"0")</f>
        <v>0</v>
      </c>
      <c r="N9692" s="8"/>
      <c r="O9692" s="33" t="str">
        <f>IFERROR(VLOOKUP($M9692,'Informations sur les produits'!$A$3:$H$10000,8,FALSE),"0")</f>
        <v>0</v>
      </c>
      <c r="P9692" s="33">
        <f t="shared" si="604"/>
        <v>0</v>
      </c>
      <c r="Q9692" s="31" t="str">
        <f t="shared" si="605"/>
        <v/>
      </c>
      <c r="R9692" s="32" t="str">
        <f>IFERROR(VLOOKUP($D9692,'Informations sur les produits'!$A$3:$B$15000,2,FALSE),"")</f>
        <v/>
      </c>
      <c r="V9692">
        <f t="shared" si="606"/>
        <v>0</v>
      </c>
      <c r="W9692">
        <f t="shared" si="607"/>
        <v>0</v>
      </c>
    </row>
    <row r="9693" spans="5:23" x14ac:dyDescent="0.25">
      <c r="E9693" s="4"/>
      <c r="F9693" s="4"/>
      <c r="G9693" s="33" t="str">
        <f>IFERROR(VLOOKUP($D9693,'Informations sur les produits'!$A$3:$H$10000,8,FALSE),"0")</f>
        <v>0</v>
      </c>
      <c r="K9693" s="4"/>
      <c r="L9693" s="33" t="str">
        <f>IFERROR(VLOOKUP($J9693,'Informations sur les produits'!$A$3:$H$10000,8,FALSE),"0")</f>
        <v>0</v>
      </c>
      <c r="N9693" s="8"/>
      <c r="O9693" s="33" t="str">
        <f>IFERROR(VLOOKUP($M9693,'Informations sur les produits'!$A$3:$H$10000,8,FALSE),"0")</f>
        <v>0</v>
      </c>
      <c r="P9693" s="33">
        <f t="shared" si="604"/>
        <v>0</v>
      </c>
      <c r="Q9693" s="31" t="str">
        <f t="shared" si="605"/>
        <v/>
      </c>
      <c r="R9693" s="32" t="str">
        <f>IFERROR(VLOOKUP($D9693,'Informations sur les produits'!$A$3:$B$15000,2,FALSE),"")</f>
        <v/>
      </c>
      <c r="V9693">
        <f t="shared" si="606"/>
        <v>0</v>
      </c>
      <c r="W9693">
        <f t="shared" si="607"/>
        <v>0</v>
      </c>
    </row>
    <row r="9694" spans="5:23" x14ac:dyDescent="0.25">
      <c r="E9694" s="4"/>
      <c r="F9694" s="4"/>
      <c r="G9694" s="33" t="str">
        <f>IFERROR(VLOOKUP($D9694,'Informations sur les produits'!$A$3:$H$10000,8,FALSE),"0")</f>
        <v>0</v>
      </c>
      <c r="K9694" s="4"/>
      <c r="L9694" s="33" t="str">
        <f>IFERROR(VLOOKUP($J9694,'Informations sur les produits'!$A$3:$H$10000,8,FALSE),"0")</f>
        <v>0</v>
      </c>
      <c r="N9694" s="8"/>
      <c r="O9694" s="33" t="str">
        <f>IFERROR(VLOOKUP($M9694,'Informations sur les produits'!$A$3:$H$10000,8,FALSE),"0")</f>
        <v>0</v>
      </c>
      <c r="P9694" s="33">
        <f t="shared" si="604"/>
        <v>0</v>
      </c>
      <c r="Q9694" s="31" t="str">
        <f t="shared" si="605"/>
        <v/>
      </c>
      <c r="R9694" s="32" t="str">
        <f>IFERROR(VLOOKUP($D9694,'Informations sur les produits'!$A$3:$B$15000,2,FALSE),"")</f>
        <v/>
      </c>
      <c r="V9694">
        <f t="shared" si="606"/>
        <v>0</v>
      </c>
      <c r="W9694">
        <f t="shared" si="607"/>
        <v>0</v>
      </c>
    </row>
    <row r="9695" spans="5:23" x14ac:dyDescent="0.25">
      <c r="E9695" s="4"/>
      <c r="F9695" s="4"/>
      <c r="G9695" s="33" t="str">
        <f>IFERROR(VLOOKUP($D9695,'Informations sur les produits'!$A$3:$H$10000,8,FALSE),"0")</f>
        <v>0</v>
      </c>
      <c r="K9695" s="4"/>
      <c r="L9695" s="33" t="str">
        <f>IFERROR(VLOOKUP($J9695,'Informations sur les produits'!$A$3:$H$10000,8,FALSE),"0")</f>
        <v>0</v>
      </c>
      <c r="N9695" s="8"/>
      <c r="O9695" s="33" t="str">
        <f>IFERROR(VLOOKUP($M9695,'Informations sur les produits'!$A$3:$H$10000,8,FALSE),"0")</f>
        <v>0</v>
      </c>
      <c r="P9695" s="33">
        <f t="shared" si="604"/>
        <v>0</v>
      </c>
      <c r="Q9695" s="31" t="str">
        <f t="shared" si="605"/>
        <v/>
      </c>
      <c r="R9695" s="32" t="str">
        <f>IFERROR(VLOOKUP($D9695,'Informations sur les produits'!$A$3:$B$15000,2,FALSE),"")</f>
        <v/>
      </c>
      <c r="V9695">
        <f t="shared" si="606"/>
        <v>0</v>
      </c>
      <c r="W9695">
        <f t="shared" si="607"/>
        <v>0</v>
      </c>
    </row>
    <row r="9696" spans="5:23" x14ac:dyDescent="0.25">
      <c r="E9696" s="4"/>
      <c r="F9696" s="4"/>
      <c r="G9696" s="33" t="str">
        <f>IFERROR(VLOOKUP($D9696,'Informations sur les produits'!$A$3:$H$10000,8,FALSE),"0")</f>
        <v>0</v>
      </c>
      <c r="K9696" s="4"/>
      <c r="L9696" s="33" t="str">
        <f>IFERROR(VLOOKUP($J9696,'Informations sur les produits'!$A$3:$H$10000,8,FALSE),"0")</f>
        <v>0</v>
      </c>
      <c r="N9696" s="8"/>
      <c r="O9696" s="33" t="str">
        <f>IFERROR(VLOOKUP($M9696,'Informations sur les produits'!$A$3:$H$10000,8,FALSE),"0")</f>
        <v>0</v>
      </c>
      <c r="P9696" s="33">
        <f t="shared" si="604"/>
        <v>0</v>
      </c>
      <c r="Q9696" s="31" t="str">
        <f t="shared" si="605"/>
        <v/>
      </c>
      <c r="R9696" s="32" t="str">
        <f>IFERROR(VLOOKUP($D9696,'Informations sur les produits'!$A$3:$B$15000,2,FALSE),"")</f>
        <v/>
      </c>
      <c r="V9696">
        <f t="shared" si="606"/>
        <v>0</v>
      </c>
      <c r="W9696">
        <f t="shared" si="607"/>
        <v>0</v>
      </c>
    </row>
    <row r="9697" spans="5:23" x14ac:dyDescent="0.25">
      <c r="E9697" s="4"/>
      <c r="F9697" s="4"/>
      <c r="G9697" s="33" t="str">
        <f>IFERROR(VLOOKUP($D9697,'Informations sur les produits'!$A$3:$H$10000,8,FALSE),"0")</f>
        <v>0</v>
      </c>
      <c r="K9697" s="4"/>
      <c r="L9697" s="33" t="str">
        <f>IFERROR(VLOOKUP($J9697,'Informations sur les produits'!$A$3:$H$10000,8,FALSE),"0")</f>
        <v>0</v>
      </c>
      <c r="N9697" s="8"/>
      <c r="O9697" s="33" t="str">
        <f>IFERROR(VLOOKUP($M9697,'Informations sur les produits'!$A$3:$H$10000,8,FALSE),"0")</f>
        <v>0</v>
      </c>
      <c r="P9697" s="33">
        <f t="shared" si="604"/>
        <v>0</v>
      </c>
      <c r="Q9697" s="31" t="str">
        <f t="shared" si="605"/>
        <v/>
      </c>
      <c r="R9697" s="32" t="str">
        <f>IFERROR(VLOOKUP($D9697,'Informations sur les produits'!$A$3:$B$15000,2,FALSE),"")</f>
        <v/>
      </c>
      <c r="V9697">
        <f t="shared" si="606"/>
        <v>0</v>
      </c>
      <c r="W9697">
        <f t="shared" si="607"/>
        <v>0</v>
      </c>
    </row>
    <row r="9698" spans="5:23" x14ac:dyDescent="0.25">
      <c r="E9698" s="4"/>
      <c r="F9698" s="4"/>
      <c r="G9698" s="33" t="str">
        <f>IFERROR(VLOOKUP($D9698,'Informations sur les produits'!$A$3:$H$10000,8,FALSE),"0")</f>
        <v>0</v>
      </c>
      <c r="K9698" s="4"/>
      <c r="L9698" s="33" t="str">
        <f>IFERROR(VLOOKUP($J9698,'Informations sur les produits'!$A$3:$H$10000,8,FALSE),"0")</f>
        <v>0</v>
      </c>
      <c r="N9698" s="8"/>
      <c r="O9698" s="33" t="str">
        <f>IFERROR(VLOOKUP($M9698,'Informations sur les produits'!$A$3:$H$10000,8,FALSE),"0")</f>
        <v>0</v>
      </c>
      <c r="P9698" s="33">
        <f t="shared" si="604"/>
        <v>0</v>
      </c>
      <c r="Q9698" s="31" t="str">
        <f t="shared" si="605"/>
        <v/>
      </c>
      <c r="R9698" s="32" t="str">
        <f>IFERROR(VLOOKUP($D9698,'Informations sur les produits'!$A$3:$B$15000,2,FALSE),"")</f>
        <v/>
      </c>
      <c r="V9698">
        <f t="shared" si="606"/>
        <v>0</v>
      </c>
      <c r="W9698">
        <f t="shared" si="607"/>
        <v>0</v>
      </c>
    </row>
    <row r="9699" spans="5:23" x14ac:dyDescent="0.25">
      <c r="E9699" s="4"/>
      <c r="F9699" s="4"/>
      <c r="G9699" s="33" t="str">
        <f>IFERROR(VLOOKUP($D9699,'Informations sur les produits'!$A$3:$H$10000,8,FALSE),"0")</f>
        <v>0</v>
      </c>
      <c r="K9699" s="4"/>
      <c r="L9699" s="33" t="str">
        <f>IFERROR(VLOOKUP($J9699,'Informations sur les produits'!$A$3:$H$10000,8,FALSE),"0")</f>
        <v>0</v>
      </c>
      <c r="N9699" s="8"/>
      <c r="O9699" s="33" t="str">
        <f>IFERROR(VLOOKUP($M9699,'Informations sur les produits'!$A$3:$H$10000,8,FALSE),"0")</f>
        <v>0</v>
      </c>
      <c r="P9699" s="33">
        <f t="shared" si="604"/>
        <v>0</v>
      </c>
      <c r="Q9699" s="31" t="str">
        <f t="shared" si="605"/>
        <v/>
      </c>
      <c r="R9699" s="32" t="str">
        <f>IFERROR(VLOOKUP($D9699,'Informations sur les produits'!$A$3:$B$15000,2,FALSE),"")</f>
        <v/>
      </c>
      <c r="V9699">
        <f t="shared" si="606"/>
        <v>0</v>
      </c>
      <c r="W9699">
        <f t="shared" si="607"/>
        <v>0</v>
      </c>
    </row>
    <row r="9700" spans="5:23" x14ac:dyDescent="0.25">
      <c r="E9700" s="4"/>
      <c r="F9700" s="4"/>
      <c r="G9700" s="33" t="str">
        <f>IFERROR(VLOOKUP($D9700,'Informations sur les produits'!$A$3:$H$10000,8,FALSE),"0")</f>
        <v>0</v>
      </c>
      <c r="K9700" s="4"/>
      <c r="L9700" s="33" t="str">
        <f>IFERROR(VLOOKUP($J9700,'Informations sur les produits'!$A$3:$H$10000,8,FALSE),"0")</f>
        <v>0</v>
      </c>
      <c r="N9700" s="8"/>
      <c r="O9700" s="33" t="str">
        <f>IFERROR(VLOOKUP($M9700,'Informations sur les produits'!$A$3:$H$10000,8,FALSE),"0")</f>
        <v>0</v>
      </c>
      <c r="P9700" s="33">
        <f t="shared" si="604"/>
        <v>0</v>
      </c>
      <c r="Q9700" s="31" t="str">
        <f t="shared" si="605"/>
        <v/>
      </c>
      <c r="R9700" s="32" t="str">
        <f>IFERROR(VLOOKUP($D9700,'Informations sur les produits'!$A$3:$B$15000,2,FALSE),"")</f>
        <v/>
      </c>
      <c r="V9700">
        <f t="shared" si="606"/>
        <v>0</v>
      </c>
      <c r="W9700">
        <f t="shared" si="607"/>
        <v>0</v>
      </c>
    </row>
    <row r="9701" spans="5:23" x14ac:dyDescent="0.25">
      <c r="E9701" s="4"/>
      <c r="F9701" s="4"/>
      <c r="G9701" s="33" t="str">
        <f>IFERROR(VLOOKUP($D9701,'Informations sur les produits'!$A$3:$H$10000,8,FALSE),"0")</f>
        <v>0</v>
      </c>
      <c r="K9701" s="4"/>
      <c r="L9701" s="33" t="str">
        <f>IFERROR(VLOOKUP($J9701,'Informations sur les produits'!$A$3:$H$10000,8,FALSE),"0")</f>
        <v>0</v>
      </c>
      <c r="N9701" s="8"/>
      <c r="O9701" s="33" t="str">
        <f>IFERROR(VLOOKUP($M9701,'Informations sur les produits'!$A$3:$H$10000,8,FALSE),"0")</f>
        <v>0</v>
      </c>
      <c r="P9701" s="33">
        <f t="shared" si="604"/>
        <v>0</v>
      </c>
      <c r="Q9701" s="31" t="str">
        <f t="shared" si="605"/>
        <v/>
      </c>
      <c r="R9701" s="32" t="str">
        <f>IFERROR(VLOOKUP($D9701,'Informations sur les produits'!$A$3:$B$15000,2,FALSE),"")</f>
        <v/>
      </c>
      <c r="V9701">
        <f t="shared" si="606"/>
        <v>0</v>
      </c>
      <c r="W9701">
        <f t="shared" si="607"/>
        <v>0</v>
      </c>
    </row>
    <row r="9702" spans="5:23" x14ac:dyDescent="0.25">
      <c r="E9702" s="4"/>
      <c r="F9702" s="4"/>
      <c r="G9702" s="33" t="str">
        <f>IFERROR(VLOOKUP($D9702,'Informations sur les produits'!$A$3:$H$10000,8,FALSE),"0")</f>
        <v>0</v>
      </c>
      <c r="K9702" s="4"/>
      <c r="L9702" s="33" t="str">
        <f>IFERROR(VLOOKUP($J9702,'Informations sur les produits'!$A$3:$H$10000,8,FALSE),"0")</f>
        <v>0</v>
      </c>
      <c r="N9702" s="8"/>
      <c r="O9702" s="33" t="str">
        <f>IFERROR(VLOOKUP($M9702,'Informations sur les produits'!$A$3:$H$10000,8,FALSE),"0")</f>
        <v>0</v>
      </c>
      <c r="P9702" s="33">
        <f t="shared" si="604"/>
        <v>0</v>
      </c>
      <c r="Q9702" s="31" t="str">
        <f t="shared" si="605"/>
        <v/>
      </c>
      <c r="R9702" s="32" t="str">
        <f>IFERROR(VLOOKUP($D9702,'Informations sur les produits'!$A$3:$B$15000,2,FALSE),"")</f>
        <v/>
      </c>
      <c r="V9702">
        <f t="shared" si="606"/>
        <v>0</v>
      </c>
      <c r="W9702">
        <f t="shared" si="607"/>
        <v>0</v>
      </c>
    </row>
    <row r="9703" spans="5:23" x14ac:dyDescent="0.25">
      <c r="E9703" s="4"/>
      <c r="F9703" s="4"/>
      <c r="G9703" s="33" t="str">
        <f>IFERROR(VLOOKUP($D9703,'Informations sur les produits'!$A$3:$H$10000,8,FALSE),"0")</f>
        <v>0</v>
      </c>
      <c r="K9703" s="4"/>
      <c r="L9703" s="33" t="str">
        <f>IFERROR(VLOOKUP($J9703,'Informations sur les produits'!$A$3:$H$10000,8,FALSE),"0")</f>
        <v>0</v>
      </c>
      <c r="N9703" s="8"/>
      <c r="O9703" s="33" t="str">
        <f>IFERROR(VLOOKUP($M9703,'Informations sur les produits'!$A$3:$H$10000,8,FALSE),"0")</f>
        <v>0</v>
      </c>
      <c r="P9703" s="33">
        <f t="shared" si="604"/>
        <v>0</v>
      </c>
      <c r="Q9703" s="31" t="str">
        <f t="shared" si="605"/>
        <v/>
      </c>
      <c r="R9703" s="32" t="str">
        <f>IFERROR(VLOOKUP($D9703,'Informations sur les produits'!$A$3:$B$15000,2,FALSE),"")</f>
        <v/>
      </c>
      <c r="V9703">
        <f t="shared" si="606"/>
        <v>0</v>
      </c>
      <c r="W9703">
        <f t="shared" si="607"/>
        <v>0</v>
      </c>
    </row>
    <row r="9704" spans="5:23" x14ac:dyDescent="0.25">
      <c r="E9704" s="4"/>
      <c r="F9704" s="4"/>
      <c r="G9704" s="33" t="str">
        <f>IFERROR(VLOOKUP($D9704,'Informations sur les produits'!$A$3:$H$10000,8,FALSE),"0")</f>
        <v>0</v>
      </c>
      <c r="K9704" s="4"/>
      <c r="L9704" s="33" t="str">
        <f>IFERROR(VLOOKUP($J9704,'Informations sur les produits'!$A$3:$H$10000,8,FALSE),"0")</f>
        <v>0</v>
      </c>
      <c r="N9704" s="8"/>
      <c r="O9704" s="33" t="str">
        <f>IFERROR(VLOOKUP($M9704,'Informations sur les produits'!$A$3:$H$10000,8,FALSE),"0")</f>
        <v>0</v>
      </c>
      <c r="P9704" s="33">
        <f t="shared" si="604"/>
        <v>0</v>
      </c>
      <c r="Q9704" s="31" t="str">
        <f t="shared" si="605"/>
        <v/>
      </c>
      <c r="R9704" s="32" t="str">
        <f>IFERROR(VLOOKUP($D9704,'Informations sur les produits'!$A$3:$B$15000,2,FALSE),"")</f>
        <v/>
      </c>
      <c r="V9704">
        <f t="shared" si="606"/>
        <v>0</v>
      </c>
      <c r="W9704">
        <f t="shared" si="607"/>
        <v>0</v>
      </c>
    </row>
    <row r="9705" spans="5:23" x14ac:dyDescent="0.25">
      <c r="E9705" s="4"/>
      <c r="F9705" s="4"/>
      <c r="G9705" s="33" t="str">
        <f>IFERROR(VLOOKUP($D9705,'Informations sur les produits'!$A$3:$H$10000,8,FALSE),"0")</f>
        <v>0</v>
      </c>
      <c r="K9705" s="4"/>
      <c r="L9705" s="33" t="str">
        <f>IFERROR(VLOOKUP($J9705,'Informations sur les produits'!$A$3:$H$10000,8,FALSE),"0")</f>
        <v>0</v>
      </c>
      <c r="N9705" s="8"/>
      <c r="O9705" s="33" t="str">
        <f>IFERROR(VLOOKUP($M9705,'Informations sur les produits'!$A$3:$H$10000,8,FALSE),"0")</f>
        <v>0</v>
      </c>
      <c r="P9705" s="33">
        <f t="shared" si="604"/>
        <v>0</v>
      </c>
      <c r="Q9705" s="31" t="str">
        <f t="shared" si="605"/>
        <v/>
      </c>
      <c r="R9705" s="32" t="str">
        <f>IFERROR(VLOOKUP($D9705,'Informations sur les produits'!$A$3:$B$15000,2,FALSE),"")</f>
        <v/>
      </c>
      <c r="V9705">
        <f t="shared" si="606"/>
        <v>0</v>
      </c>
      <c r="W9705">
        <f t="shared" si="607"/>
        <v>0</v>
      </c>
    </row>
    <row r="9706" spans="5:23" x14ac:dyDescent="0.25">
      <c r="E9706" s="4"/>
      <c r="F9706" s="4"/>
      <c r="G9706" s="33" t="str">
        <f>IFERROR(VLOOKUP($D9706,'Informations sur les produits'!$A$3:$H$10000,8,FALSE),"0")</f>
        <v>0</v>
      </c>
      <c r="K9706" s="4"/>
      <c r="L9706" s="33" t="str">
        <f>IFERROR(VLOOKUP($J9706,'Informations sur les produits'!$A$3:$H$10000,8,FALSE),"0")</f>
        <v>0</v>
      </c>
      <c r="N9706" s="8"/>
      <c r="O9706" s="33" t="str">
        <f>IFERROR(VLOOKUP($M9706,'Informations sur les produits'!$A$3:$H$10000,8,FALSE),"0")</f>
        <v>0</v>
      </c>
      <c r="P9706" s="33">
        <f t="shared" si="604"/>
        <v>0</v>
      </c>
      <c r="Q9706" s="31" t="str">
        <f t="shared" si="605"/>
        <v/>
      </c>
      <c r="R9706" s="32" t="str">
        <f>IFERROR(VLOOKUP($D9706,'Informations sur les produits'!$A$3:$B$15000,2,FALSE),"")</f>
        <v/>
      </c>
      <c r="V9706">
        <f t="shared" si="606"/>
        <v>0</v>
      </c>
      <c r="W9706">
        <f t="shared" si="607"/>
        <v>0</v>
      </c>
    </row>
    <row r="9707" spans="5:23" x14ac:dyDescent="0.25">
      <c r="E9707" s="4"/>
      <c r="F9707" s="4"/>
      <c r="G9707" s="33" t="str">
        <f>IFERROR(VLOOKUP($D9707,'Informations sur les produits'!$A$3:$H$10000,8,FALSE),"0")</f>
        <v>0</v>
      </c>
      <c r="K9707" s="4"/>
      <c r="L9707" s="33" t="str">
        <f>IFERROR(VLOOKUP($J9707,'Informations sur les produits'!$A$3:$H$10000,8,FALSE),"0")</f>
        <v>0</v>
      </c>
      <c r="N9707" s="8"/>
      <c r="O9707" s="33" t="str">
        <f>IFERROR(VLOOKUP($M9707,'Informations sur les produits'!$A$3:$H$10000,8,FALSE),"0")</f>
        <v>0</v>
      </c>
      <c r="P9707" s="33">
        <f t="shared" si="604"/>
        <v>0</v>
      </c>
      <c r="Q9707" s="31" t="str">
        <f t="shared" si="605"/>
        <v/>
      </c>
      <c r="R9707" s="32" t="str">
        <f>IFERROR(VLOOKUP($D9707,'Informations sur les produits'!$A$3:$B$15000,2,FALSE),"")</f>
        <v/>
      </c>
      <c r="V9707">
        <f t="shared" si="606"/>
        <v>0</v>
      </c>
      <c r="W9707">
        <f t="shared" si="607"/>
        <v>0</v>
      </c>
    </row>
    <row r="9708" spans="5:23" x14ac:dyDescent="0.25">
      <c r="E9708" s="4"/>
      <c r="F9708" s="4"/>
      <c r="G9708" s="33" t="str">
        <f>IFERROR(VLOOKUP($D9708,'Informations sur les produits'!$A$3:$H$10000,8,FALSE),"0")</f>
        <v>0</v>
      </c>
      <c r="K9708" s="4"/>
      <c r="L9708" s="33" t="str">
        <f>IFERROR(VLOOKUP($J9708,'Informations sur les produits'!$A$3:$H$10000,8,FALSE),"0")</f>
        <v>0</v>
      </c>
      <c r="N9708" s="8"/>
      <c r="O9708" s="33" t="str">
        <f>IFERROR(VLOOKUP($M9708,'Informations sur les produits'!$A$3:$H$10000,8,FALSE),"0")</f>
        <v>0</v>
      </c>
      <c r="P9708" s="33">
        <f t="shared" si="604"/>
        <v>0</v>
      </c>
      <c r="Q9708" s="31" t="str">
        <f t="shared" si="605"/>
        <v/>
      </c>
      <c r="R9708" s="32" t="str">
        <f>IFERROR(VLOOKUP($D9708,'Informations sur les produits'!$A$3:$B$15000,2,FALSE),"")</f>
        <v/>
      </c>
      <c r="V9708">
        <f t="shared" si="606"/>
        <v>0</v>
      </c>
      <c r="W9708">
        <f t="shared" si="607"/>
        <v>0</v>
      </c>
    </row>
    <row r="9709" spans="5:23" x14ac:dyDescent="0.25">
      <c r="E9709" s="4"/>
      <c r="F9709" s="4"/>
      <c r="G9709" s="33" t="str">
        <f>IFERROR(VLOOKUP($D9709,'Informations sur les produits'!$A$3:$H$10000,8,FALSE),"0")</f>
        <v>0</v>
      </c>
      <c r="K9709" s="4"/>
      <c r="L9709" s="33" t="str">
        <f>IFERROR(VLOOKUP($J9709,'Informations sur les produits'!$A$3:$H$10000,8,FALSE),"0")</f>
        <v>0</v>
      </c>
      <c r="N9709" s="8"/>
      <c r="O9709" s="33" t="str">
        <f>IFERROR(VLOOKUP($M9709,'Informations sur les produits'!$A$3:$H$10000,8,FALSE),"0")</f>
        <v>0</v>
      </c>
      <c r="P9709" s="33">
        <f t="shared" si="604"/>
        <v>0</v>
      </c>
      <c r="Q9709" s="31" t="str">
        <f t="shared" si="605"/>
        <v/>
      </c>
      <c r="R9709" s="32" t="str">
        <f>IFERROR(VLOOKUP($D9709,'Informations sur les produits'!$A$3:$B$15000,2,FALSE),"")</f>
        <v/>
      </c>
      <c r="V9709">
        <f t="shared" si="606"/>
        <v>0</v>
      </c>
      <c r="W9709">
        <f t="shared" si="607"/>
        <v>0</v>
      </c>
    </row>
    <row r="9710" spans="5:23" x14ac:dyDescent="0.25">
      <c r="E9710" s="4"/>
      <c r="F9710" s="4"/>
      <c r="G9710" s="33" t="str">
        <f>IFERROR(VLOOKUP($D9710,'Informations sur les produits'!$A$3:$H$10000,8,FALSE),"0")</f>
        <v>0</v>
      </c>
      <c r="K9710" s="4"/>
      <c r="L9710" s="33" t="str">
        <f>IFERROR(VLOOKUP($J9710,'Informations sur les produits'!$A$3:$H$10000,8,FALSE),"0")</f>
        <v>0</v>
      </c>
      <c r="N9710" s="8"/>
      <c r="O9710" s="33" t="str">
        <f>IFERROR(VLOOKUP($M9710,'Informations sur les produits'!$A$3:$H$10000,8,FALSE),"0")</f>
        <v>0</v>
      </c>
      <c r="P9710" s="33">
        <f t="shared" si="604"/>
        <v>0</v>
      </c>
      <c r="Q9710" s="31" t="str">
        <f t="shared" si="605"/>
        <v/>
      </c>
      <c r="R9710" s="32" t="str">
        <f>IFERROR(VLOOKUP($D9710,'Informations sur les produits'!$A$3:$B$15000,2,FALSE),"")</f>
        <v/>
      </c>
      <c r="V9710">
        <f t="shared" si="606"/>
        <v>0</v>
      </c>
      <c r="W9710">
        <f t="shared" si="607"/>
        <v>0</v>
      </c>
    </row>
    <row r="9711" spans="5:23" x14ac:dyDescent="0.25">
      <c r="E9711" s="4"/>
      <c r="F9711" s="4"/>
      <c r="G9711" s="33" t="str">
        <f>IFERROR(VLOOKUP($D9711,'Informations sur les produits'!$A$3:$H$10000,8,FALSE),"0")</f>
        <v>0</v>
      </c>
      <c r="K9711" s="4"/>
      <c r="L9711" s="33" t="str">
        <f>IFERROR(VLOOKUP($J9711,'Informations sur les produits'!$A$3:$H$10000,8,FALSE),"0")</f>
        <v>0</v>
      </c>
      <c r="N9711" s="8"/>
      <c r="O9711" s="33" t="str">
        <f>IFERROR(VLOOKUP($M9711,'Informations sur les produits'!$A$3:$H$10000,8,FALSE),"0")</f>
        <v>0</v>
      </c>
      <c r="P9711" s="33">
        <f t="shared" si="604"/>
        <v>0</v>
      </c>
      <c r="Q9711" s="31" t="str">
        <f t="shared" si="605"/>
        <v/>
      </c>
      <c r="R9711" s="32" t="str">
        <f>IFERROR(VLOOKUP($D9711,'Informations sur les produits'!$A$3:$B$15000,2,FALSE),"")</f>
        <v/>
      </c>
      <c r="V9711">
        <f t="shared" si="606"/>
        <v>0</v>
      </c>
      <c r="W9711">
        <f t="shared" si="607"/>
        <v>0</v>
      </c>
    </row>
    <row r="9712" spans="5:23" x14ac:dyDescent="0.25">
      <c r="E9712" s="4"/>
      <c r="F9712" s="4"/>
      <c r="G9712" s="33" t="str">
        <f>IFERROR(VLOOKUP($D9712,'Informations sur les produits'!$A$3:$H$10000,8,FALSE),"0")</f>
        <v>0</v>
      </c>
      <c r="K9712" s="4"/>
      <c r="L9712" s="33" t="str">
        <f>IFERROR(VLOOKUP($J9712,'Informations sur les produits'!$A$3:$H$10000,8,FALSE),"0")</f>
        <v>0</v>
      </c>
      <c r="N9712" s="8"/>
      <c r="O9712" s="33" t="str">
        <f>IFERROR(VLOOKUP($M9712,'Informations sur les produits'!$A$3:$H$10000,8,FALSE),"0")</f>
        <v>0</v>
      </c>
      <c r="P9712" s="33">
        <f t="shared" si="604"/>
        <v>0</v>
      </c>
      <c r="Q9712" s="31" t="str">
        <f t="shared" si="605"/>
        <v/>
      </c>
      <c r="R9712" s="32" t="str">
        <f>IFERROR(VLOOKUP($D9712,'Informations sur les produits'!$A$3:$B$15000,2,FALSE),"")</f>
        <v/>
      </c>
      <c r="V9712">
        <f t="shared" si="606"/>
        <v>0</v>
      </c>
      <c r="W9712">
        <f t="shared" si="607"/>
        <v>0</v>
      </c>
    </row>
    <row r="9713" spans="5:23" x14ac:dyDescent="0.25">
      <c r="E9713" s="4"/>
      <c r="F9713" s="4"/>
      <c r="G9713" s="33" t="str">
        <f>IFERROR(VLOOKUP($D9713,'Informations sur les produits'!$A$3:$H$10000,8,FALSE),"0")</f>
        <v>0</v>
      </c>
      <c r="K9713" s="4"/>
      <c r="L9713" s="33" t="str">
        <f>IFERROR(VLOOKUP($J9713,'Informations sur les produits'!$A$3:$H$10000,8,FALSE),"0")</f>
        <v>0</v>
      </c>
      <c r="N9713" s="8"/>
      <c r="O9713" s="33" t="str">
        <f>IFERROR(VLOOKUP($M9713,'Informations sur les produits'!$A$3:$H$10000,8,FALSE),"0")</f>
        <v>0</v>
      </c>
      <c r="P9713" s="33">
        <f t="shared" si="604"/>
        <v>0</v>
      </c>
      <c r="Q9713" s="31" t="str">
        <f t="shared" si="605"/>
        <v/>
      </c>
      <c r="R9713" s="32" t="str">
        <f>IFERROR(VLOOKUP($D9713,'Informations sur les produits'!$A$3:$B$15000,2,FALSE),"")</f>
        <v/>
      </c>
      <c r="V9713">
        <f t="shared" si="606"/>
        <v>0</v>
      </c>
      <c r="W9713">
        <f t="shared" si="607"/>
        <v>0</v>
      </c>
    </row>
    <row r="9714" spans="5:23" x14ac:dyDescent="0.25">
      <c r="E9714" s="4"/>
      <c r="F9714" s="4"/>
      <c r="G9714" s="33" t="str">
        <f>IFERROR(VLOOKUP($D9714,'Informations sur les produits'!$A$3:$H$10000,8,FALSE),"0")</f>
        <v>0</v>
      </c>
      <c r="K9714" s="4"/>
      <c r="L9714" s="33" t="str">
        <f>IFERROR(VLOOKUP($J9714,'Informations sur les produits'!$A$3:$H$10000,8,FALSE),"0")</f>
        <v>0</v>
      </c>
      <c r="N9714" s="8"/>
      <c r="O9714" s="33" t="str">
        <f>IFERROR(VLOOKUP($M9714,'Informations sur les produits'!$A$3:$H$10000,8,FALSE),"0")</f>
        <v>0</v>
      </c>
      <c r="P9714" s="33">
        <f t="shared" si="604"/>
        <v>0</v>
      </c>
      <c r="Q9714" s="31" t="str">
        <f t="shared" si="605"/>
        <v/>
      </c>
      <c r="R9714" s="32" t="str">
        <f>IFERROR(VLOOKUP($D9714,'Informations sur les produits'!$A$3:$B$15000,2,FALSE),"")</f>
        <v/>
      </c>
      <c r="V9714">
        <f t="shared" si="606"/>
        <v>0</v>
      </c>
      <c r="W9714">
        <f t="shared" si="607"/>
        <v>0</v>
      </c>
    </row>
    <row r="9715" spans="5:23" x14ac:dyDescent="0.25">
      <c r="E9715" s="4"/>
      <c r="F9715" s="4"/>
      <c r="G9715" s="33" t="str">
        <f>IFERROR(VLOOKUP($D9715,'Informations sur les produits'!$A$3:$H$10000,8,FALSE),"0")</f>
        <v>0</v>
      </c>
      <c r="K9715" s="4"/>
      <c r="L9715" s="33" t="str">
        <f>IFERROR(VLOOKUP($J9715,'Informations sur les produits'!$A$3:$H$10000,8,FALSE),"0")</f>
        <v>0</v>
      </c>
      <c r="N9715" s="8"/>
      <c r="O9715" s="33" t="str">
        <f>IFERROR(VLOOKUP($M9715,'Informations sur les produits'!$A$3:$H$10000,8,FALSE),"0")</f>
        <v>0</v>
      </c>
      <c r="P9715" s="33">
        <f t="shared" si="604"/>
        <v>0</v>
      </c>
      <c r="Q9715" s="31" t="str">
        <f t="shared" si="605"/>
        <v/>
      </c>
      <c r="R9715" s="32" t="str">
        <f>IFERROR(VLOOKUP($D9715,'Informations sur les produits'!$A$3:$B$15000,2,FALSE),"")</f>
        <v/>
      </c>
      <c r="V9715">
        <f t="shared" si="606"/>
        <v>0</v>
      </c>
      <c r="W9715">
        <f t="shared" si="607"/>
        <v>0</v>
      </c>
    </row>
    <row r="9716" spans="5:23" x14ac:dyDescent="0.25">
      <c r="E9716" s="4"/>
      <c r="F9716" s="4"/>
      <c r="G9716" s="33" t="str">
        <f>IFERROR(VLOOKUP($D9716,'Informations sur les produits'!$A$3:$H$10000,8,FALSE),"0")</f>
        <v>0</v>
      </c>
      <c r="K9716" s="4"/>
      <c r="L9716" s="33" t="str">
        <f>IFERROR(VLOOKUP($J9716,'Informations sur les produits'!$A$3:$H$10000,8,FALSE),"0")</f>
        <v>0</v>
      </c>
      <c r="N9716" s="8"/>
      <c r="O9716" s="33" t="str">
        <f>IFERROR(VLOOKUP($M9716,'Informations sur les produits'!$A$3:$H$10000,8,FALSE),"0")</f>
        <v>0</v>
      </c>
      <c r="P9716" s="33">
        <f t="shared" si="604"/>
        <v>0</v>
      </c>
      <c r="Q9716" s="31" t="str">
        <f t="shared" si="605"/>
        <v/>
      </c>
      <c r="R9716" s="32" t="str">
        <f>IFERROR(VLOOKUP($D9716,'Informations sur les produits'!$A$3:$B$15000,2,FALSE),"")</f>
        <v/>
      </c>
      <c r="V9716">
        <f t="shared" si="606"/>
        <v>0</v>
      </c>
      <c r="W9716">
        <f t="shared" si="607"/>
        <v>0</v>
      </c>
    </row>
    <row r="9717" spans="5:23" x14ac:dyDescent="0.25">
      <c r="E9717" s="4"/>
      <c r="F9717" s="4"/>
      <c r="G9717" s="33" t="str">
        <f>IFERROR(VLOOKUP($D9717,'Informations sur les produits'!$A$3:$H$10000,8,FALSE),"0")</f>
        <v>0</v>
      </c>
      <c r="K9717" s="4"/>
      <c r="L9717" s="33" t="str">
        <f>IFERROR(VLOOKUP($J9717,'Informations sur les produits'!$A$3:$H$10000,8,FALSE),"0")</f>
        <v>0</v>
      </c>
      <c r="N9717" s="8"/>
      <c r="O9717" s="33" t="str">
        <f>IFERROR(VLOOKUP($M9717,'Informations sur les produits'!$A$3:$H$10000,8,FALSE),"0")</f>
        <v>0</v>
      </c>
      <c r="P9717" s="33">
        <f t="shared" si="604"/>
        <v>0</v>
      </c>
      <c r="Q9717" s="31" t="str">
        <f t="shared" si="605"/>
        <v/>
      </c>
      <c r="R9717" s="32" t="str">
        <f>IFERROR(VLOOKUP($D9717,'Informations sur les produits'!$A$3:$B$15000,2,FALSE),"")</f>
        <v/>
      </c>
      <c r="V9717">
        <f t="shared" si="606"/>
        <v>0</v>
      </c>
      <c r="W9717">
        <f t="shared" si="607"/>
        <v>0</v>
      </c>
    </row>
    <row r="9718" spans="5:23" x14ac:dyDescent="0.25">
      <c r="E9718" s="4"/>
      <c r="F9718" s="4"/>
      <c r="G9718" s="33" t="str">
        <f>IFERROR(VLOOKUP($D9718,'Informations sur les produits'!$A$3:$H$10000,8,FALSE),"0")</f>
        <v>0</v>
      </c>
      <c r="K9718" s="4"/>
      <c r="L9718" s="33" t="str">
        <f>IFERROR(VLOOKUP($J9718,'Informations sur les produits'!$A$3:$H$10000,8,FALSE),"0")</f>
        <v>0</v>
      </c>
      <c r="N9718" s="8"/>
      <c r="O9718" s="33" t="str">
        <f>IFERROR(VLOOKUP($M9718,'Informations sur les produits'!$A$3:$H$10000,8,FALSE),"0")</f>
        <v>0</v>
      </c>
      <c r="P9718" s="33">
        <f t="shared" si="604"/>
        <v>0</v>
      </c>
      <c r="Q9718" s="31" t="str">
        <f t="shared" si="605"/>
        <v/>
      </c>
      <c r="R9718" s="32" t="str">
        <f>IFERROR(VLOOKUP($D9718,'Informations sur les produits'!$A$3:$B$15000,2,FALSE),"")</f>
        <v/>
      </c>
      <c r="V9718">
        <f t="shared" si="606"/>
        <v>0</v>
      </c>
      <c r="W9718">
        <f t="shared" si="607"/>
        <v>0</v>
      </c>
    </row>
    <row r="9719" spans="5:23" x14ac:dyDescent="0.25">
      <c r="E9719" s="4"/>
      <c r="F9719" s="4"/>
      <c r="G9719" s="33" t="str">
        <f>IFERROR(VLOOKUP($D9719,'Informations sur les produits'!$A$3:$H$10000,8,FALSE),"0")</f>
        <v>0</v>
      </c>
      <c r="K9719" s="4"/>
      <c r="L9719" s="33" t="str">
        <f>IFERROR(VLOOKUP($J9719,'Informations sur les produits'!$A$3:$H$10000,8,FALSE),"0")</f>
        <v>0</v>
      </c>
      <c r="N9719" s="8"/>
      <c r="O9719" s="33" t="str">
        <f>IFERROR(VLOOKUP($M9719,'Informations sur les produits'!$A$3:$H$10000,8,FALSE),"0")</f>
        <v>0</v>
      </c>
      <c r="P9719" s="33">
        <f t="shared" si="604"/>
        <v>0</v>
      </c>
      <c r="Q9719" s="31" t="str">
        <f t="shared" si="605"/>
        <v/>
      </c>
      <c r="R9719" s="32" t="str">
        <f>IFERROR(VLOOKUP($D9719,'Informations sur les produits'!$A$3:$B$15000,2,FALSE),"")</f>
        <v/>
      </c>
      <c r="V9719">
        <f t="shared" si="606"/>
        <v>0</v>
      </c>
      <c r="W9719">
        <f t="shared" si="607"/>
        <v>0</v>
      </c>
    </row>
    <row r="9720" spans="5:23" x14ac:dyDescent="0.25">
      <c r="E9720" s="4"/>
      <c r="F9720" s="4"/>
      <c r="G9720" s="33" t="str">
        <f>IFERROR(VLOOKUP($D9720,'Informations sur les produits'!$A$3:$H$10000,8,FALSE),"0")</f>
        <v>0</v>
      </c>
      <c r="K9720" s="4"/>
      <c r="L9720" s="33" t="str">
        <f>IFERROR(VLOOKUP($J9720,'Informations sur les produits'!$A$3:$H$10000,8,FALSE),"0")</f>
        <v>0</v>
      </c>
      <c r="N9720" s="8"/>
      <c r="O9720" s="33" t="str">
        <f>IFERROR(VLOOKUP($M9720,'Informations sur les produits'!$A$3:$H$10000,8,FALSE),"0")</f>
        <v>0</v>
      </c>
      <c r="P9720" s="33">
        <f t="shared" si="604"/>
        <v>0</v>
      </c>
      <c r="Q9720" s="31" t="str">
        <f t="shared" si="605"/>
        <v/>
      </c>
      <c r="R9720" s="32" t="str">
        <f>IFERROR(VLOOKUP($D9720,'Informations sur les produits'!$A$3:$B$15000,2,FALSE),"")</f>
        <v/>
      </c>
      <c r="V9720">
        <f t="shared" si="606"/>
        <v>0</v>
      </c>
      <c r="W9720">
        <f t="shared" si="607"/>
        <v>0</v>
      </c>
    </row>
    <row r="9721" spans="5:23" x14ac:dyDescent="0.25">
      <c r="E9721" s="4"/>
      <c r="F9721" s="4"/>
      <c r="G9721" s="33" t="str">
        <f>IFERROR(VLOOKUP($D9721,'Informations sur les produits'!$A$3:$H$10000,8,FALSE),"0")</f>
        <v>0</v>
      </c>
      <c r="K9721" s="4"/>
      <c r="L9721" s="33" t="str">
        <f>IFERROR(VLOOKUP($J9721,'Informations sur les produits'!$A$3:$H$10000,8,FALSE),"0")</f>
        <v>0</v>
      </c>
      <c r="N9721" s="8"/>
      <c r="O9721" s="33" t="str">
        <f>IFERROR(VLOOKUP($M9721,'Informations sur les produits'!$A$3:$H$10000,8,FALSE),"0")</f>
        <v>0</v>
      </c>
      <c r="P9721" s="33">
        <f t="shared" si="604"/>
        <v>0</v>
      </c>
      <c r="Q9721" s="31" t="str">
        <f t="shared" si="605"/>
        <v/>
      </c>
      <c r="R9721" s="32" t="str">
        <f>IFERROR(VLOOKUP($D9721,'Informations sur les produits'!$A$3:$B$15000,2,FALSE),"")</f>
        <v/>
      </c>
      <c r="V9721">
        <f t="shared" si="606"/>
        <v>0</v>
      </c>
      <c r="W9721">
        <f t="shared" si="607"/>
        <v>0</v>
      </c>
    </row>
    <row r="9722" spans="5:23" x14ac:dyDescent="0.25">
      <c r="E9722" s="4"/>
      <c r="F9722" s="4"/>
      <c r="G9722" s="33" t="str">
        <f>IFERROR(VLOOKUP($D9722,'Informations sur les produits'!$A$3:$H$10000,8,FALSE),"0")</f>
        <v>0</v>
      </c>
      <c r="K9722" s="4"/>
      <c r="L9722" s="33" t="str">
        <f>IFERROR(VLOOKUP($J9722,'Informations sur les produits'!$A$3:$H$10000,8,FALSE),"0")</f>
        <v>0</v>
      </c>
      <c r="N9722" s="8"/>
      <c r="O9722" s="33" t="str">
        <f>IFERROR(VLOOKUP($M9722,'Informations sur les produits'!$A$3:$H$10000,8,FALSE),"0")</f>
        <v>0</v>
      </c>
      <c r="P9722" s="33">
        <f t="shared" si="604"/>
        <v>0</v>
      </c>
      <c r="Q9722" s="31" t="str">
        <f t="shared" si="605"/>
        <v/>
      </c>
      <c r="R9722" s="32" t="str">
        <f>IFERROR(VLOOKUP($D9722,'Informations sur les produits'!$A$3:$B$15000,2,FALSE),"")</f>
        <v/>
      </c>
      <c r="V9722">
        <f t="shared" si="606"/>
        <v>0</v>
      </c>
      <c r="W9722">
        <f t="shared" si="607"/>
        <v>0</v>
      </c>
    </row>
    <row r="9723" spans="5:23" x14ac:dyDescent="0.25">
      <c r="E9723" s="4"/>
      <c r="F9723" s="4"/>
      <c r="G9723" s="33" t="str">
        <f>IFERROR(VLOOKUP($D9723,'Informations sur les produits'!$A$3:$H$10000,8,FALSE),"0")</f>
        <v>0</v>
      </c>
      <c r="K9723" s="4"/>
      <c r="L9723" s="33" t="str">
        <f>IFERROR(VLOOKUP($J9723,'Informations sur les produits'!$A$3:$H$10000,8,FALSE),"0")</f>
        <v>0</v>
      </c>
      <c r="N9723" s="8"/>
      <c r="O9723" s="33" t="str">
        <f>IFERROR(VLOOKUP($M9723,'Informations sur les produits'!$A$3:$H$10000,8,FALSE),"0")</f>
        <v>0</v>
      </c>
      <c r="P9723" s="33">
        <f t="shared" si="604"/>
        <v>0</v>
      </c>
      <c r="Q9723" s="31" t="str">
        <f t="shared" si="605"/>
        <v/>
      </c>
      <c r="R9723" s="32" t="str">
        <f>IFERROR(VLOOKUP($D9723,'Informations sur les produits'!$A$3:$B$15000,2,FALSE),"")</f>
        <v/>
      </c>
      <c r="V9723">
        <f t="shared" si="606"/>
        <v>0</v>
      </c>
      <c r="W9723">
        <f t="shared" si="607"/>
        <v>0</v>
      </c>
    </row>
    <row r="9724" spans="5:23" x14ac:dyDescent="0.25">
      <c r="E9724" s="4"/>
      <c r="F9724" s="4"/>
      <c r="G9724" s="33" t="str">
        <f>IFERROR(VLOOKUP($D9724,'Informations sur les produits'!$A$3:$H$10000,8,FALSE),"0")</f>
        <v>0</v>
      </c>
      <c r="K9724" s="4"/>
      <c r="L9724" s="33" t="str">
        <f>IFERROR(VLOOKUP($J9724,'Informations sur les produits'!$A$3:$H$10000,8,FALSE),"0")</f>
        <v>0</v>
      </c>
      <c r="N9724" s="8"/>
      <c r="O9724" s="33" t="str">
        <f>IFERROR(VLOOKUP($M9724,'Informations sur les produits'!$A$3:$H$10000,8,FALSE),"0")</f>
        <v>0</v>
      </c>
      <c r="P9724" s="33">
        <f t="shared" si="604"/>
        <v>0</v>
      </c>
      <c r="Q9724" s="31" t="str">
        <f t="shared" si="605"/>
        <v/>
      </c>
      <c r="R9724" s="32" t="str">
        <f>IFERROR(VLOOKUP($D9724,'Informations sur les produits'!$A$3:$B$15000,2,FALSE),"")</f>
        <v/>
      </c>
      <c r="V9724">
        <f t="shared" si="606"/>
        <v>0</v>
      </c>
      <c r="W9724">
        <f t="shared" si="607"/>
        <v>0</v>
      </c>
    </row>
    <row r="9725" spans="5:23" x14ac:dyDescent="0.25">
      <c r="E9725" s="4"/>
      <c r="F9725" s="4"/>
      <c r="G9725" s="33" t="str">
        <f>IFERROR(VLOOKUP($D9725,'Informations sur les produits'!$A$3:$H$10000,8,FALSE),"0")</f>
        <v>0</v>
      </c>
      <c r="K9725" s="4"/>
      <c r="L9725" s="33" t="str">
        <f>IFERROR(VLOOKUP($J9725,'Informations sur les produits'!$A$3:$H$10000,8,FALSE),"0")</f>
        <v>0</v>
      </c>
      <c r="N9725" s="8"/>
      <c r="O9725" s="33" t="str">
        <f>IFERROR(VLOOKUP($M9725,'Informations sur les produits'!$A$3:$H$10000,8,FALSE),"0")</f>
        <v>0</v>
      </c>
      <c r="P9725" s="33">
        <f t="shared" si="604"/>
        <v>0</v>
      </c>
      <c r="Q9725" s="31" t="str">
        <f t="shared" si="605"/>
        <v/>
      </c>
      <c r="R9725" s="32" t="str">
        <f>IFERROR(VLOOKUP($D9725,'Informations sur les produits'!$A$3:$B$15000,2,FALSE),"")</f>
        <v/>
      </c>
      <c r="V9725">
        <f t="shared" si="606"/>
        <v>0</v>
      </c>
      <c r="W9725">
        <f t="shared" si="607"/>
        <v>0</v>
      </c>
    </row>
    <row r="9726" spans="5:23" x14ac:dyDescent="0.25">
      <c r="E9726" s="4"/>
      <c r="F9726" s="4"/>
      <c r="G9726" s="33" t="str">
        <f>IFERROR(VLOOKUP($D9726,'Informations sur les produits'!$A$3:$H$10000,8,FALSE),"0")</f>
        <v>0</v>
      </c>
      <c r="K9726" s="4"/>
      <c r="L9726" s="33" t="str">
        <f>IFERROR(VLOOKUP($J9726,'Informations sur les produits'!$A$3:$H$10000,8,FALSE),"0")</f>
        <v>0</v>
      </c>
      <c r="N9726" s="8"/>
      <c r="O9726" s="33" t="str">
        <f>IFERROR(VLOOKUP($M9726,'Informations sur les produits'!$A$3:$H$10000,8,FALSE),"0")</f>
        <v>0</v>
      </c>
      <c r="P9726" s="33">
        <f t="shared" si="604"/>
        <v>0</v>
      </c>
      <c r="Q9726" s="31" t="str">
        <f t="shared" si="605"/>
        <v/>
      </c>
      <c r="R9726" s="32" t="str">
        <f>IFERROR(VLOOKUP($D9726,'Informations sur les produits'!$A$3:$B$15000,2,FALSE),"")</f>
        <v/>
      </c>
      <c r="V9726">
        <f t="shared" si="606"/>
        <v>0</v>
      </c>
      <c r="W9726">
        <f t="shared" si="607"/>
        <v>0</v>
      </c>
    </row>
    <row r="9727" spans="5:23" x14ac:dyDescent="0.25">
      <c r="E9727" s="4"/>
      <c r="F9727" s="4"/>
      <c r="G9727" s="33" t="str">
        <f>IFERROR(VLOOKUP($D9727,'Informations sur les produits'!$A$3:$H$10000,8,FALSE),"0")</f>
        <v>0</v>
      </c>
      <c r="K9727" s="4"/>
      <c r="L9727" s="33" t="str">
        <f>IFERROR(VLOOKUP($J9727,'Informations sur les produits'!$A$3:$H$10000,8,FALSE),"0")</f>
        <v>0</v>
      </c>
      <c r="N9727" s="8"/>
      <c r="O9727" s="33" t="str">
        <f>IFERROR(VLOOKUP($M9727,'Informations sur les produits'!$A$3:$H$10000,8,FALSE),"0")</f>
        <v>0</v>
      </c>
      <c r="P9727" s="33">
        <f t="shared" si="604"/>
        <v>0</v>
      </c>
      <c r="Q9727" s="31" t="str">
        <f t="shared" si="605"/>
        <v/>
      </c>
      <c r="R9727" s="32" t="str">
        <f>IFERROR(VLOOKUP($D9727,'Informations sur les produits'!$A$3:$B$15000,2,FALSE),"")</f>
        <v/>
      </c>
      <c r="V9727">
        <f t="shared" si="606"/>
        <v>0</v>
      </c>
      <c r="W9727">
        <f t="shared" si="607"/>
        <v>0</v>
      </c>
    </row>
    <row r="9728" spans="5:23" x14ac:dyDescent="0.25">
      <c r="E9728" s="4"/>
      <c r="F9728" s="4"/>
      <c r="G9728" s="33" t="str">
        <f>IFERROR(VLOOKUP($D9728,'Informations sur les produits'!$A$3:$H$10000,8,FALSE),"0")</f>
        <v>0</v>
      </c>
      <c r="K9728" s="4"/>
      <c r="L9728" s="33" t="str">
        <f>IFERROR(VLOOKUP($J9728,'Informations sur les produits'!$A$3:$H$10000,8,FALSE),"0")</f>
        <v>0</v>
      </c>
      <c r="N9728" s="8"/>
      <c r="O9728" s="33" t="str">
        <f>IFERROR(VLOOKUP($M9728,'Informations sur les produits'!$A$3:$H$10000,8,FALSE),"0")</f>
        <v>0</v>
      </c>
      <c r="P9728" s="33">
        <f t="shared" si="604"/>
        <v>0</v>
      </c>
      <c r="Q9728" s="31" t="str">
        <f t="shared" si="605"/>
        <v/>
      </c>
      <c r="R9728" s="32" t="str">
        <f>IFERROR(VLOOKUP($D9728,'Informations sur les produits'!$A$3:$B$15000,2,FALSE),"")</f>
        <v/>
      </c>
      <c r="V9728">
        <f t="shared" si="606"/>
        <v>0</v>
      </c>
      <c r="W9728">
        <f t="shared" si="607"/>
        <v>0</v>
      </c>
    </row>
    <row r="9729" spans="5:23" x14ac:dyDescent="0.25">
      <c r="E9729" s="4"/>
      <c r="F9729" s="4"/>
      <c r="G9729" s="33" t="str">
        <f>IFERROR(VLOOKUP($D9729,'Informations sur les produits'!$A$3:$H$10000,8,FALSE),"0")</f>
        <v>0</v>
      </c>
      <c r="K9729" s="4"/>
      <c r="L9729" s="33" t="str">
        <f>IFERROR(VLOOKUP($J9729,'Informations sur les produits'!$A$3:$H$10000,8,FALSE),"0")</f>
        <v>0</v>
      </c>
      <c r="N9729" s="8"/>
      <c r="O9729" s="33" t="str">
        <f>IFERROR(VLOOKUP($M9729,'Informations sur les produits'!$A$3:$H$10000,8,FALSE),"0")</f>
        <v>0</v>
      </c>
      <c r="P9729" s="33">
        <f t="shared" si="604"/>
        <v>0</v>
      </c>
      <c r="Q9729" s="31" t="str">
        <f t="shared" si="605"/>
        <v/>
      </c>
      <c r="R9729" s="32" t="str">
        <f>IFERROR(VLOOKUP($D9729,'Informations sur les produits'!$A$3:$B$15000,2,FALSE),"")</f>
        <v/>
      </c>
      <c r="V9729">
        <f t="shared" si="606"/>
        <v>0</v>
      </c>
      <c r="W9729">
        <f t="shared" si="607"/>
        <v>0</v>
      </c>
    </row>
    <row r="9730" spans="5:23" x14ac:dyDescent="0.25">
      <c r="E9730" s="4"/>
      <c r="F9730" s="4"/>
      <c r="G9730" s="33" t="str">
        <f>IFERROR(VLOOKUP($D9730,'Informations sur les produits'!$A$3:$H$10000,8,FALSE),"0")</f>
        <v>0</v>
      </c>
      <c r="K9730" s="4"/>
      <c r="L9730" s="33" t="str">
        <f>IFERROR(VLOOKUP($J9730,'Informations sur les produits'!$A$3:$H$10000,8,FALSE),"0")</f>
        <v>0</v>
      </c>
      <c r="N9730" s="8"/>
      <c r="O9730" s="33" t="str">
        <f>IFERROR(VLOOKUP($M9730,'Informations sur les produits'!$A$3:$H$10000,8,FALSE),"0")</f>
        <v>0</v>
      </c>
      <c r="P9730" s="33">
        <f t="shared" si="604"/>
        <v>0</v>
      </c>
      <c r="Q9730" s="31" t="str">
        <f t="shared" si="605"/>
        <v/>
      </c>
      <c r="R9730" s="32" t="str">
        <f>IFERROR(VLOOKUP($D9730,'Informations sur les produits'!$A$3:$B$15000,2,FALSE),"")</f>
        <v/>
      </c>
      <c r="V9730">
        <f t="shared" si="606"/>
        <v>0</v>
      </c>
      <c r="W9730">
        <f t="shared" si="607"/>
        <v>0</v>
      </c>
    </row>
    <row r="9731" spans="5:23" x14ac:dyDescent="0.25">
      <c r="E9731" s="4"/>
      <c r="F9731" s="4"/>
      <c r="G9731" s="33" t="str">
        <f>IFERROR(VLOOKUP($D9731,'Informations sur les produits'!$A$3:$H$10000,8,FALSE),"0")</f>
        <v>0</v>
      </c>
      <c r="K9731" s="4"/>
      <c r="L9731" s="33" t="str">
        <f>IFERROR(VLOOKUP($J9731,'Informations sur les produits'!$A$3:$H$10000,8,FALSE),"0")</f>
        <v>0</v>
      </c>
      <c r="N9731" s="8"/>
      <c r="O9731" s="33" t="str">
        <f>IFERROR(VLOOKUP($M9731,'Informations sur les produits'!$A$3:$H$10000,8,FALSE),"0")</f>
        <v>0</v>
      </c>
      <c r="P9731" s="33">
        <f t="shared" si="604"/>
        <v>0</v>
      </c>
      <c r="Q9731" s="31" t="str">
        <f t="shared" si="605"/>
        <v/>
      </c>
      <c r="R9731" s="32" t="str">
        <f>IFERROR(VLOOKUP($D9731,'Informations sur les produits'!$A$3:$B$15000,2,FALSE),"")</f>
        <v/>
      </c>
      <c r="V9731">
        <f t="shared" si="606"/>
        <v>0</v>
      </c>
      <c r="W9731">
        <f t="shared" si="607"/>
        <v>0</v>
      </c>
    </row>
    <row r="9732" spans="5:23" x14ac:dyDescent="0.25">
      <c r="E9732" s="4"/>
      <c r="F9732" s="4"/>
      <c r="G9732" s="33" t="str">
        <f>IFERROR(VLOOKUP($D9732,'Informations sur les produits'!$A$3:$H$10000,8,FALSE),"0")</f>
        <v>0</v>
      </c>
      <c r="K9732" s="4"/>
      <c r="L9732" s="33" t="str">
        <f>IFERROR(VLOOKUP($J9732,'Informations sur les produits'!$A$3:$H$10000,8,FALSE),"0")</f>
        <v>0</v>
      </c>
      <c r="N9732" s="8"/>
      <c r="O9732" s="33" t="str">
        <f>IFERROR(VLOOKUP($M9732,'Informations sur les produits'!$A$3:$H$10000,8,FALSE),"0")</f>
        <v>0</v>
      </c>
      <c r="P9732" s="33">
        <f t="shared" ref="P9732:P9795" si="608">IFERROR((($E9732-$F9732)*$G9732+$K9732*$L9732+$N9732*$O9732),"")</f>
        <v>0</v>
      </c>
      <c r="Q9732" s="31" t="str">
        <f t="shared" ref="Q9732:Q9795" si="609">IFERROR((((($E9732-$F9732)*$G9732+$K9732*$L9732+$N9732*$O9732)*1000)/(($E9732-$F9732)+$K9732+$N9732)),"")</f>
        <v/>
      </c>
      <c r="R9732" s="32" t="str">
        <f>IFERROR(VLOOKUP($D9732,'Informations sur les produits'!$A$3:$B$15000,2,FALSE),"")</f>
        <v/>
      </c>
      <c r="V9732">
        <f t="shared" ref="V9732:V9795" si="610">IFERROR(P9732*1000,"")</f>
        <v>0</v>
      </c>
      <c r="W9732">
        <f t="shared" ref="W9732:W9795" si="611">IFERROR(($E9732-$F9732)+$K9732+$N9732,"")</f>
        <v>0</v>
      </c>
    </row>
    <row r="9733" spans="5:23" x14ac:dyDescent="0.25">
      <c r="E9733" s="4"/>
      <c r="F9733" s="4"/>
      <c r="G9733" s="33" t="str">
        <f>IFERROR(VLOOKUP($D9733,'Informations sur les produits'!$A$3:$H$10000,8,FALSE),"0")</f>
        <v>0</v>
      </c>
      <c r="K9733" s="4"/>
      <c r="L9733" s="33" t="str">
        <f>IFERROR(VLOOKUP($J9733,'Informations sur les produits'!$A$3:$H$10000,8,FALSE),"0")</f>
        <v>0</v>
      </c>
      <c r="N9733" s="8"/>
      <c r="O9733" s="33" t="str">
        <f>IFERROR(VLOOKUP($M9733,'Informations sur les produits'!$A$3:$H$10000,8,FALSE),"0")</f>
        <v>0</v>
      </c>
      <c r="P9733" s="33">
        <f t="shared" si="608"/>
        <v>0</v>
      </c>
      <c r="Q9733" s="31" t="str">
        <f t="shared" si="609"/>
        <v/>
      </c>
      <c r="R9733" s="32" t="str">
        <f>IFERROR(VLOOKUP($D9733,'Informations sur les produits'!$A$3:$B$15000,2,FALSE),"")</f>
        <v/>
      </c>
      <c r="V9733">
        <f t="shared" si="610"/>
        <v>0</v>
      </c>
      <c r="W9733">
        <f t="shared" si="611"/>
        <v>0</v>
      </c>
    </row>
    <row r="9734" spans="5:23" x14ac:dyDescent="0.25">
      <c r="E9734" s="4"/>
      <c r="F9734" s="4"/>
      <c r="G9734" s="33" t="str">
        <f>IFERROR(VLOOKUP($D9734,'Informations sur les produits'!$A$3:$H$10000,8,FALSE),"0")</f>
        <v>0</v>
      </c>
      <c r="K9734" s="4"/>
      <c r="L9734" s="33" t="str">
        <f>IFERROR(VLOOKUP($J9734,'Informations sur les produits'!$A$3:$H$10000,8,FALSE),"0")</f>
        <v>0</v>
      </c>
      <c r="N9734" s="8"/>
      <c r="O9734" s="33" t="str">
        <f>IFERROR(VLOOKUP($M9734,'Informations sur les produits'!$A$3:$H$10000,8,FALSE),"0")</f>
        <v>0</v>
      </c>
      <c r="P9734" s="33">
        <f t="shared" si="608"/>
        <v>0</v>
      </c>
      <c r="Q9734" s="31" t="str">
        <f t="shared" si="609"/>
        <v/>
      </c>
      <c r="R9734" s="32" t="str">
        <f>IFERROR(VLOOKUP($D9734,'Informations sur les produits'!$A$3:$B$15000,2,FALSE),"")</f>
        <v/>
      </c>
      <c r="V9734">
        <f t="shared" si="610"/>
        <v>0</v>
      </c>
      <c r="W9734">
        <f t="shared" si="611"/>
        <v>0</v>
      </c>
    </row>
    <row r="9735" spans="5:23" x14ac:dyDescent="0.25">
      <c r="E9735" s="4"/>
      <c r="F9735" s="4"/>
      <c r="G9735" s="33" t="str">
        <f>IFERROR(VLOOKUP($D9735,'Informations sur les produits'!$A$3:$H$10000,8,FALSE),"0")</f>
        <v>0</v>
      </c>
      <c r="K9735" s="4"/>
      <c r="L9735" s="33" t="str">
        <f>IFERROR(VLOOKUP($J9735,'Informations sur les produits'!$A$3:$H$10000,8,FALSE),"0")</f>
        <v>0</v>
      </c>
      <c r="N9735" s="8"/>
      <c r="O9735" s="33" t="str">
        <f>IFERROR(VLOOKUP($M9735,'Informations sur les produits'!$A$3:$H$10000,8,FALSE),"0")</f>
        <v>0</v>
      </c>
      <c r="P9735" s="33">
        <f t="shared" si="608"/>
        <v>0</v>
      </c>
      <c r="Q9735" s="31" t="str">
        <f t="shared" si="609"/>
        <v/>
      </c>
      <c r="R9735" s="32" t="str">
        <f>IFERROR(VLOOKUP($D9735,'Informations sur les produits'!$A$3:$B$15000,2,FALSE),"")</f>
        <v/>
      </c>
      <c r="V9735">
        <f t="shared" si="610"/>
        <v>0</v>
      </c>
      <c r="W9735">
        <f t="shared" si="611"/>
        <v>0</v>
      </c>
    </row>
    <row r="9736" spans="5:23" x14ac:dyDescent="0.25">
      <c r="E9736" s="4"/>
      <c r="F9736" s="4"/>
      <c r="G9736" s="33" t="str">
        <f>IFERROR(VLOOKUP($D9736,'Informations sur les produits'!$A$3:$H$10000,8,FALSE),"0")</f>
        <v>0</v>
      </c>
      <c r="K9736" s="4"/>
      <c r="L9736" s="33" t="str">
        <f>IFERROR(VLOOKUP($J9736,'Informations sur les produits'!$A$3:$H$10000,8,FALSE),"0")</f>
        <v>0</v>
      </c>
      <c r="N9736" s="8"/>
      <c r="O9736" s="33" t="str">
        <f>IFERROR(VLOOKUP($M9736,'Informations sur les produits'!$A$3:$H$10000,8,FALSE),"0")</f>
        <v>0</v>
      </c>
      <c r="P9736" s="33">
        <f t="shared" si="608"/>
        <v>0</v>
      </c>
      <c r="Q9736" s="31" t="str">
        <f t="shared" si="609"/>
        <v/>
      </c>
      <c r="R9736" s="32" t="str">
        <f>IFERROR(VLOOKUP($D9736,'Informations sur les produits'!$A$3:$B$15000,2,FALSE),"")</f>
        <v/>
      </c>
      <c r="V9736">
        <f t="shared" si="610"/>
        <v>0</v>
      </c>
      <c r="W9736">
        <f t="shared" si="611"/>
        <v>0</v>
      </c>
    </row>
    <row r="9737" spans="5:23" x14ac:dyDescent="0.25">
      <c r="E9737" s="4"/>
      <c r="F9737" s="4"/>
      <c r="G9737" s="33" t="str">
        <f>IFERROR(VLOOKUP($D9737,'Informations sur les produits'!$A$3:$H$10000,8,FALSE),"0")</f>
        <v>0</v>
      </c>
      <c r="K9737" s="4"/>
      <c r="L9737" s="33" t="str">
        <f>IFERROR(VLOOKUP($J9737,'Informations sur les produits'!$A$3:$H$10000,8,FALSE),"0")</f>
        <v>0</v>
      </c>
      <c r="N9737" s="8"/>
      <c r="O9737" s="33" t="str">
        <f>IFERROR(VLOOKUP($M9737,'Informations sur les produits'!$A$3:$H$10000,8,FALSE),"0")</f>
        <v>0</v>
      </c>
      <c r="P9737" s="33">
        <f t="shared" si="608"/>
        <v>0</v>
      </c>
      <c r="Q9737" s="31" t="str">
        <f t="shared" si="609"/>
        <v/>
      </c>
      <c r="R9737" s="32" t="str">
        <f>IFERROR(VLOOKUP($D9737,'Informations sur les produits'!$A$3:$B$15000,2,FALSE),"")</f>
        <v/>
      </c>
      <c r="V9737">
        <f t="shared" si="610"/>
        <v>0</v>
      </c>
      <c r="W9737">
        <f t="shared" si="611"/>
        <v>0</v>
      </c>
    </row>
    <row r="9738" spans="5:23" x14ac:dyDescent="0.25">
      <c r="E9738" s="4"/>
      <c r="F9738" s="4"/>
      <c r="G9738" s="33" t="str">
        <f>IFERROR(VLOOKUP($D9738,'Informations sur les produits'!$A$3:$H$10000,8,FALSE),"0")</f>
        <v>0</v>
      </c>
      <c r="K9738" s="4"/>
      <c r="L9738" s="33" t="str">
        <f>IFERROR(VLOOKUP($J9738,'Informations sur les produits'!$A$3:$H$10000,8,FALSE),"0")</f>
        <v>0</v>
      </c>
      <c r="N9738" s="8"/>
      <c r="O9738" s="33" t="str">
        <f>IFERROR(VLOOKUP($M9738,'Informations sur les produits'!$A$3:$H$10000,8,FALSE),"0")</f>
        <v>0</v>
      </c>
      <c r="P9738" s="33">
        <f t="shared" si="608"/>
        <v>0</v>
      </c>
      <c r="Q9738" s="31" t="str">
        <f t="shared" si="609"/>
        <v/>
      </c>
      <c r="R9738" s="32" t="str">
        <f>IFERROR(VLOOKUP($D9738,'Informations sur les produits'!$A$3:$B$15000,2,FALSE),"")</f>
        <v/>
      </c>
      <c r="V9738">
        <f t="shared" si="610"/>
        <v>0</v>
      </c>
      <c r="W9738">
        <f t="shared" si="611"/>
        <v>0</v>
      </c>
    </row>
    <row r="9739" spans="5:23" x14ac:dyDescent="0.25">
      <c r="E9739" s="4"/>
      <c r="F9739" s="4"/>
      <c r="G9739" s="33" t="str">
        <f>IFERROR(VLOOKUP($D9739,'Informations sur les produits'!$A$3:$H$10000,8,FALSE),"0")</f>
        <v>0</v>
      </c>
      <c r="K9739" s="4"/>
      <c r="L9739" s="33" t="str">
        <f>IFERROR(VLOOKUP($J9739,'Informations sur les produits'!$A$3:$H$10000,8,FALSE),"0")</f>
        <v>0</v>
      </c>
      <c r="N9739" s="8"/>
      <c r="O9739" s="33" t="str">
        <f>IFERROR(VLOOKUP($M9739,'Informations sur les produits'!$A$3:$H$10000,8,FALSE),"0")</f>
        <v>0</v>
      </c>
      <c r="P9739" s="33">
        <f t="shared" si="608"/>
        <v>0</v>
      </c>
      <c r="Q9739" s="31" t="str">
        <f t="shared" si="609"/>
        <v/>
      </c>
      <c r="R9739" s="32" t="str">
        <f>IFERROR(VLOOKUP($D9739,'Informations sur les produits'!$A$3:$B$15000,2,FALSE),"")</f>
        <v/>
      </c>
      <c r="V9739">
        <f t="shared" si="610"/>
        <v>0</v>
      </c>
      <c r="W9739">
        <f t="shared" si="611"/>
        <v>0</v>
      </c>
    </row>
    <row r="9740" spans="5:23" x14ac:dyDescent="0.25">
      <c r="E9740" s="4"/>
      <c r="F9740" s="4"/>
      <c r="G9740" s="33" t="str">
        <f>IFERROR(VLOOKUP($D9740,'Informations sur les produits'!$A$3:$H$10000,8,FALSE),"0")</f>
        <v>0</v>
      </c>
      <c r="K9740" s="4"/>
      <c r="L9740" s="33" t="str">
        <f>IFERROR(VLOOKUP($J9740,'Informations sur les produits'!$A$3:$H$10000,8,FALSE),"0")</f>
        <v>0</v>
      </c>
      <c r="N9740" s="8"/>
      <c r="O9740" s="33" t="str">
        <f>IFERROR(VLOOKUP($M9740,'Informations sur les produits'!$A$3:$H$10000,8,FALSE),"0")</f>
        <v>0</v>
      </c>
      <c r="P9740" s="33">
        <f t="shared" si="608"/>
        <v>0</v>
      </c>
      <c r="Q9740" s="31" t="str">
        <f t="shared" si="609"/>
        <v/>
      </c>
      <c r="R9740" s="32" t="str">
        <f>IFERROR(VLOOKUP($D9740,'Informations sur les produits'!$A$3:$B$15000,2,FALSE),"")</f>
        <v/>
      </c>
      <c r="V9740">
        <f t="shared" si="610"/>
        <v>0</v>
      </c>
      <c r="W9740">
        <f t="shared" si="611"/>
        <v>0</v>
      </c>
    </row>
    <row r="9741" spans="5:23" x14ac:dyDescent="0.25">
      <c r="E9741" s="4"/>
      <c r="F9741" s="4"/>
      <c r="G9741" s="33" t="str">
        <f>IFERROR(VLOOKUP($D9741,'Informations sur les produits'!$A$3:$H$10000,8,FALSE),"0")</f>
        <v>0</v>
      </c>
      <c r="K9741" s="4"/>
      <c r="L9741" s="33" t="str">
        <f>IFERROR(VLOOKUP($J9741,'Informations sur les produits'!$A$3:$H$10000,8,FALSE),"0")</f>
        <v>0</v>
      </c>
      <c r="N9741" s="8"/>
      <c r="O9741" s="33" t="str">
        <f>IFERROR(VLOOKUP($M9741,'Informations sur les produits'!$A$3:$H$10000,8,FALSE),"0")</f>
        <v>0</v>
      </c>
      <c r="P9741" s="33">
        <f t="shared" si="608"/>
        <v>0</v>
      </c>
      <c r="Q9741" s="31" t="str">
        <f t="shared" si="609"/>
        <v/>
      </c>
      <c r="R9741" s="32" t="str">
        <f>IFERROR(VLOOKUP($D9741,'Informations sur les produits'!$A$3:$B$15000,2,FALSE),"")</f>
        <v/>
      </c>
      <c r="V9741">
        <f t="shared" si="610"/>
        <v>0</v>
      </c>
      <c r="W9741">
        <f t="shared" si="611"/>
        <v>0</v>
      </c>
    </row>
    <row r="9742" spans="5:23" x14ac:dyDescent="0.25">
      <c r="E9742" s="4"/>
      <c r="F9742" s="4"/>
      <c r="G9742" s="33" t="str">
        <f>IFERROR(VLOOKUP($D9742,'Informations sur les produits'!$A$3:$H$10000,8,FALSE),"0")</f>
        <v>0</v>
      </c>
      <c r="K9742" s="4"/>
      <c r="L9742" s="33" t="str">
        <f>IFERROR(VLOOKUP($J9742,'Informations sur les produits'!$A$3:$H$10000,8,FALSE),"0")</f>
        <v>0</v>
      </c>
      <c r="N9742" s="8"/>
      <c r="O9742" s="33" t="str">
        <f>IFERROR(VLOOKUP($M9742,'Informations sur les produits'!$A$3:$H$10000,8,FALSE),"0")</f>
        <v>0</v>
      </c>
      <c r="P9742" s="33">
        <f t="shared" si="608"/>
        <v>0</v>
      </c>
      <c r="Q9742" s="31" t="str">
        <f t="shared" si="609"/>
        <v/>
      </c>
      <c r="R9742" s="32" t="str">
        <f>IFERROR(VLOOKUP($D9742,'Informations sur les produits'!$A$3:$B$15000,2,FALSE),"")</f>
        <v/>
      </c>
      <c r="V9742">
        <f t="shared" si="610"/>
        <v>0</v>
      </c>
      <c r="W9742">
        <f t="shared" si="611"/>
        <v>0</v>
      </c>
    </row>
    <row r="9743" spans="5:23" x14ac:dyDescent="0.25">
      <c r="E9743" s="4"/>
      <c r="F9743" s="4"/>
      <c r="G9743" s="33" t="str">
        <f>IFERROR(VLOOKUP($D9743,'Informations sur les produits'!$A$3:$H$10000,8,FALSE),"0")</f>
        <v>0</v>
      </c>
      <c r="K9743" s="4"/>
      <c r="L9743" s="33" t="str">
        <f>IFERROR(VLOOKUP($J9743,'Informations sur les produits'!$A$3:$H$10000,8,FALSE),"0")</f>
        <v>0</v>
      </c>
      <c r="N9743" s="8"/>
      <c r="O9743" s="33" t="str">
        <f>IFERROR(VLOOKUP($M9743,'Informations sur les produits'!$A$3:$H$10000,8,FALSE),"0")</f>
        <v>0</v>
      </c>
      <c r="P9743" s="33">
        <f t="shared" si="608"/>
        <v>0</v>
      </c>
      <c r="Q9743" s="31" t="str">
        <f t="shared" si="609"/>
        <v/>
      </c>
      <c r="R9743" s="32" t="str">
        <f>IFERROR(VLOOKUP($D9743,'Informations sur les produits'!$A$3:$B$15000,2,FALSE),"")</f>
        <v/>
      </c>
      <c r="V9743">
        <f t="shared" si="610"/>
        <v>0</v>
      </c>
      <c r="W9743">
        <f t="shared" si="611"/>
        <v>0</v>
      </c>
    </row>
    <row r="9744" spans="5:23" x14ac:dyDescent="0.25">
      <c r="E9744" s="4"/>
      <c r="F9744" s="4"/>
      <c r="G9744" s="33" t="str">
        <f>IFERROR(VLOOKUP($D9744,'Informations sur les produits'!$A$3:$H$10000,8,FALSE),"0")</f>
        <v>0</v>
      </c>
      <c r="K9744" s="4"/>
      <c r="L9744" s="33" t="str">
        <f>IFERROR(VLOOKUP($J9744,'Informations sur les produits'!$A$3:$H$10000,8,FALSE),"0")</f>
        <v>0</v>
      </c>
      <c r="N9744" s="8"/>
      <c r="O9744" s="33" t="str">
        <f>IFERROR(VLOOKUP($M9744,'Informations sur les produits'!$A$3:$H$10000,8,FALSE),"0")</f>
        <v>0</v>
      </c>
      <c r="P9744" s="33">
        <f t="shared" si="608"/>
        <v>0</v>
      </c>
      <c r="Q9744" s="31" t="str">
        <f t="shared" si="609"/>
        <v/>
      </c>
      <c r="R9744" s="32" t="str">
        <f>IFERROR(VLOOKUP($D9744,'Informations sur les produits'!$A$3:$B$15000,2,FALSE),"")</f>
        <v/>
      </c>
      <c r="V9744">
        <f t="shared" si="610"/>
        <v>0</v>
      </c>
      <c r="W9744">
        <f t="shared" si="611"/>
        <v>0</v>
      </c>
    </row>
    <row r="9745" spans="5:23" x14ac:dyDescent="0.25">
      <c r="E9745" s="4"/>
      <c r="F9745" s="4"/>
      <c r="G9745" s="33" t="str">
        <f>IFERROR(VLOOKUP($D9745,'Informations sur les produits'!$A$3:$H$10000,8,FALSE),"0")</f>
        <v>0</v>
      </c>
      <c r="K9745" s="4"/>
      <c r="L9745" s="33" t="str">
        <f>IFERROR(VLOOKUP($J9745,'Informations sur les produits'!$A$3:$H$10000,8,FALSE),"0")</f>
        <v>0</v>
      </c>
      <c r="N9745" s="8"/>
      <c r="O9745" s="33" t="str">
        <f>IFERROR(VLOOKUP($M9745,'Informations sur les produits'!$A$3:$H$10000,8,FALSE),"0")</f>
        <v>0</v>
      </c>
      <c r="P9745" s="33">
        <f t="shared" si="608"/>
        <v>0</v>
      </c>
      <c r="Q9745" s="31" t="str">
        <f t="shared" si="609"/>
        <v/>
      </c>
      <c r="R9745" s="32" t="str">
        <f>IFERROR(VLOOKUP($D9745,'Informations sur les produits'!$A$3:$B$15000,2,FALSE),"")</f>
        <v/>
      </c>
      <c r="V9745">
        <f t="shared" si="610"/>
        <v>0</v>
      </c>
      <c r="W9745">
        <f t="shared" si="611"/>
        <v>0</v>
      </c>
    </row>
    <row r="9746" spans="5:23" x14ac:dyDescent="0.25">
      <c r="E9746" s="4"/>
      <c r="F9746" s="4"/>
      <c r="G9746" s="33" t="str">
        <f>IFERROR(VLOOKUP($D9746,'Informations sur les produits'!$A$3:$H$10000,8,FALSE),"0")</f>
        <v>0</v>
      </c>
      <c r="K9746" s="4"/>
      <c r="L9746" s="33" t="str">
        <f>IFERROR(VLOOKUP($J9746,'Informations sur les produits'!$A$3:$H$10000,8,FALSE),"0")</f>
        <v>0</v>
      </c>
      <c r="N9746" s="8"/>
      <c r="O9746" s="33" t="str">
        <f>IFERROR(VLOOKUP($M9746,'Informations sur les produits'!$A$3:$H$10000,8,FALSE),"0")</f>
        <v>0</v>
      </c>
      <c r="P9746" s="33">
        <f t="shared" si="608"/>
        <v>0</v>
      </c>
      <c r="Q9746" s="31" t="str">
        <f t="shared" si="609"/>
        <v/>
      </c>
      <c r="R9746" s="32" t="str">
        <f>IFERROR(VLOOKUP($D9746,'Informations sur les produits'!$A$3:$B$15000,2,FALSE),"")</f>
        <v/>
      </c>
      <c r="V9746">
        <f t="shared" si="610"/>
        <v>0</v>
      </c>
      <c r="W9746">
        <f t="shared" si="611"/>
        <v>0</v>
      </c>
    </row>
    <row r="9747" spans="5:23" x14ac:dyDescent="0.25">
      <c r="E9747" s="4"/>
      <c r="F9747" s="4"/>
      <c r="G9747" s="33" t="str">
        <f>IFERROR(VLOOKUP($D9747,'Informations sur les produits'!$A$3:$H$10000,8,FALSE),"0")</f>
        <v>0</v>
      </c>
      <c r="K9747" s="4"/>
      <c r="L9747" s="33" t="str">
        <f>IFERROR(VLOOKUP($J9747,'Informations sur les produits'!$A$3:$H$10000,8,FALSE),"0")</f>
        <v>0</v>
      </c>
      <c r="N9747" s="8"/>
      <c r="O9747" s="33" t="str">
        <f>IFERROR(VLOOKUP($M9747,'Informations sur les produits'!$A$3:$H$10000,8,FALSE),"0")</f>
        <v>0</v>
      </c>
      <c r="P9747" s="33">
        <f t="shared" si="608"/>
        <v>0</v>
      </c>
      <c r="Q9747" s="31" t="str">
        <f t="shared" si="609"/>
        <v/>
      </c>
      <c r="R9747" s="32" t="str">
        <f>IFERROR(VLOOKUP($D9747,'Informations sur les produits'!$A$3:$B$15000,2,FALSE),"")</f>
        <v/>
      </c>
      <c r="V9747">
        <f t="shared" si="610"/>
        <v>0</v>
      </c>
      <c r="W9747">
        <f t="shared" si="611"/>
        <v>0</v>
      </c>
    </row>
    <row r="9748" spans="5:23" x14ac:dyDescent="0.25">
      <c r="E9748" s="4"/>
      <c r="F9748" s="4"/>
      <c r="G9748" s="33" t="str">
        <f>IFERROR(VLOOKUP($D9748,'Informations sur les produits'!$A$3:$H$10000,8,FALSE),"0")</f>
        <v>0</v>
      </c>
      <c r="K9748" s="4"/>
      <c r="L9748" s="33" t="str">
        <f>IFERROR(VLOOKUP($J9748,'Informations sur les produits'!$A$3:$H$10000,8,FALSE),"0")</f>
        <v>0</v>
      </c>
      <c r="N9748" s="8"/>
      <c r="O9748" s="33" t="str">
        <f>IFERROR(VLOOKUP($M9748,'Informations sur les produits'!$A$3:$H$10000,8,FALSE),"0")</f>
        <v>0</v>
      </c>
      <c r="P9748" s="33">
        <f t="shared" si="608"/>
        <v>0</v>
      </c>
      <c r="Q9748" s="31" t="str">
        <f t="shared" si="609"/>
        <v/>
      </c>
      <c r="R9748" s="32" t="str">
        <f>IFERROR(VLOOKUP($D9748,'Informations sur les produits'!$A$3:$B$15000,2,FALSE),"")</f>
        <v/>
      </c>
      <c r="V9748">
        <f t="shared" si="610"/>
        <v>0</v>
      </c>
      <c r="W9748">
        <f t="shared" si="611"/>
        <v>0</v>
      </c>
    </row>
    <row r="9749" spans="5:23" x14ac:dyDescent="0.25">
      <c r="E9749" s="4"/>
      <c r="F9749" s="4"/>
      <c r="G9749" s="33" t="str">
        <f>IFERROR(VLOOKUP($D9749,'Informations sur les produits'!$A$3:$H$10000,8,FALSE),"0")</f>
        <v>0</v>
      </c>
      <c r="K9749" s="4"/>
      <c r="L9749" s="33" t="str">
        <f>IFERROR(VLOOKUP($J9749,'Informations sur les produits'!$A$3:$H$10000,8,FALSE),"0")</f>
        <v>0</v>
      </c>
      <c r="N9749" s="8"/>
      <c r="O9749" s="33" t="str">
        <f>IFERROR(VLOOKUP($M9749,'Informations sur les produits'!$A$3:$H$10000,8,FALSE),"0")</f>
        <v>0</v>
      </c>
      <c r="P9749" s="33">
        <f t="shared" si="608"/>
        <v>0</v>
      </c>
      <c r="Q9749" s="31" t="str">
        <f t="shared" si="609"/>
        <v/>
      </c>
      <c r="R9749" s="32" t="str">
        <f>IFERROR(VLOOKUP($D9749,'Informations sur les produits'!$A$3:$B$15000,2,FALSE),"")</f>
        <v/>
      </c>
      <c r="V9749">
        <f t="shared" si="610"/>
        <v>0</v>
      </c>
      <c r="W9749">
        <f t="shared" si="611"/>
        <v>0</v>
      </c>
    </row>
    <row r="9750" spans="5:23" x14ac:dyDescent="0.25">
      <c r="E9750" s="4"/>
      <c r="F9750" s="4"/>
      <c r="G9750" s="33" t="str">
        <f>IFERROR(VLOOKUP($D9750,'Informations sur les produits'!$A$3:$H$10000,8,FALSE),"0")</f>
        <v>0</v>
      </c>
      <c r="K9750" s="4"/>
      <c r="L9750" s="33" t="str">
        <f>IFERROR(VLOOKUP($J9750,'Informations sur les produits'!$A$3:$H$10000,8,FALSE),"0")</f>
        <v>0</v>
      </c>
      <c r="N9750" s="8"/>
      <c r="O9750" s="33" t="str">
        <f>IFERROR(VLOOKUP($M9750,'Informations sur les produits'!$A$3:$H$10000,8,FALSE),"0")</f>
        <v>0</v>
      </c>
      <c r="P9750" s="33">
        <f t="shared" si="608"/>
        <v>0</v>
      </c>
      <c r="Q9750" s="31" t="str">
        <f t="shared" si="609"/>
        <v/>
      </c>
      <c r="R9750" s="32" t="str">
        <f>IFERROR(VLOOKUP($D9750,'Informations sur les produits'!$A$3:$B$15000,2,FALSE),"")</f>
        <v/>
      </c>
      <c r="V9750">
        <f t="shared" si="610"/>
        <v>0</v>
      </c>
      <c r="W9750">
        <f t="shared" si="611"/>
        <v>0</v>
      </c>
    </row>
    <row r="9751" spans="5:23" x14ac:dyDescent="0.25">
      <c r="E9751" s="4"/>
      <c r="F9751" s="4"/>
      <c r="G9751" s="33" t="str">
        <f>IFERROR(VLOOKUP($D9751,'Informations sur les produits'!$A$3:$H$10000,8,FALSE),"0")</f>
        <v>0</v>
      </c>
      <c r="K9751" s="4"/>
      <c r="L9751" s="33" t="str">
        <f>IFERROR(VLOOKUP($J9751,'Informations sur les produits'!$A$3:$H$10000,8,FALSE),"0")</f>
        <v>0</v>
      </c>
      <c r="N9751" s="8"/>
      <c r="O9751" s="33" t="str">
        <f>IFERROR(VLOOKUP($M9751,'Informations sur les produits'!$A$3:$H$10000,8,FALSE),"0")</f>
        <v>0</v>
      </c>
      <c r="P9751" s="33">
        <f t="shared" si="608"/>
        <v>0</v>
      </c>
      <c r="Q9751" s="31" t="str">
        <f t="shared" si="609"/>
        <v/>
      </c>
      <c r="R9751" s="32" t="str">
        <f>IFERROR(VLOOKUP($D9751,'Informations sur les produits'!$A$3:$B$15000,2,FALSE),"")</f>
        <v/>
      </c>
      <c r="V9751">
        <f t="shared" si="610"/>
        <v>0</v>
      </c>
      <c r="W9751">
        <f t="shared" si="611"/>
        <v>0</v>
      </c>
    </row>
    <row r="9752" spans="5:23" x14ac:dyDescent="0.25">
      <c r="E9752" s="4"/>
      <c r="F9752" s="4"/>
      <c r="G9752" s="33" t="str">
        <f>IFERROR(VLOOKUP($D9752,'Informations sur les produits'!$A$3:$H$10000,8,FALSE),"0")</f>
        <v>0</v>
      </c>
      <c r="K9752" s="4"/>
      <c r="L9752" s="33" t="str">
        <f>IFERROR(VLOOKUP($J9752,'Informations sur les produits'!$A$3:$H$10000,8,FALSE),"0")</f>
        <v>0</v>
      </c>
      <c r="N9752" s="8"/>
      <c r="O9752" s="33" t="str">
        <f>IFERROR(VLOOKUP($M9752,'Informations sur les produits'!$A$3:$H$10000,8,FALSE),"0")</f>
        <v>0</v>
      </c>
      <c r="P9752" s="33">
        <f t="shared" si="608"/>
        <v>0</v>
      </c>
      <c r="Q9752" s="31" t="str">
        <f t="shared" si="609"/>
        <v/>
      </c>
      <c r="R9752" s="32" t="str">
        <f>IFERROR(VLOOKUP($D9752,'Informations sur les produits'!$A$3:$B$15000,2,FALSE),"")</f>
        <v/>
      </c>
      <c r="V9752">
        <f t="shared" si="610"/>
        <v>0</v>
      </c>
      <c r="W9752">
        <f t="shared" si="611"/>
        <v>0</v>
      </c>
    </row>
    <row r="9753" spans="5:23" x14ac:dyDescent="0.25">
      <c r="E9753" s="4"/>
      <c r="F9753" s="4"/>
      <c r="G9753" s="33" t="str">
        <f>IFERROR(VLOOKUP($D9753,'Informations sur les produits'!$A$3:$H$10000,8,FALSE),"0")</f>
        <v>0</v>
      </c>
      <c r="K9753" s="4"/>
      <c r="L9753" s="33" t="str">
        <f>IFERROR(VLOOKUP($J9753,'Informations sur les produits'!$A$3:$H$10000,8,FALSE),"0")</f>
        <v>0</v>
      </c>
      <c r="N9753" s="8"/>
      <c r="O9753" s="33" t="str">
        <f>IFERROR(VLOOKUP($M9753,'Informations sur les produits'!$A$3:$H$10000,8,FALSE),"0")</f>
        <v>0</v>
      </c>
      <c r="P9753" s="33">
        <f t="shared" si="608"/>
        <v>0</v>
      </c>
      <c r="Q9753" s="31" t="str">
        <f t="shared" si="609"/>
        <v/>
      </c>
      <c r="R9753" s="32" t="str">
        <f>IFERROR(VLOOKUP($D9753,'Informations sur les produits'!$A$3:$B$15000,2,FALSE),"")</f>
        <v/>
      </c>
      <c r="V9753">
        <f t="shared" si="610"/>
        <v>0</v>
      </c>
      <c r="W9753">
        <f t="shared" si="611"/>
        <v>0</v>
      </c>
    </row>
    <row r="9754" spans="5:23" x14ac:dyDescent="0.25">
      <c r="E9754" s="4"/>
      <c r="F9754" s="4"/>
      <c r="G9754" s="33" t="str">
        <f>IFERROR(VLOOKUP($D9754,'Informations sur les produits'!$A$3:$H$10000,8,FALSE),"0")</f>
        <v>0</v>
      </c>
      <c r="K9754" s="4"/>
      <c r="L9754" s="33" t="str">
        <f>IFERROR(VLOOKUP($J9754,'Informations sur les produits'!$A$3:$H$10000,8,FALSE),"0")</f>
        <v>0</v>
      </c>
      <c r="N9754" s="8"/>
      <c r="O9754" s="33" t="str">
        <f>IFERROR(VLOOKUP($M9754,'Informations sur les produits'!$A$3:$H$10000,8,FALSE),"0")</f>
        <v>0</v>
      </c>
      <c r="P9754" s="33">
        <f t="shared" si="608"/>
        <v>0</v>
      </c>
      <c r="Q9754" s="31" t="str">
        <f t="shared" si="609"/>
        <v/>
      </c>
      <c r="R9754" s="32" t="str">
        <f>IFERROR(VLOOKUP($D9754,'Informations sur les produits'!$A$3:$B$15000,2,FALSE),"")</f>
        <v/>
      </c>
      <c r="V9754">
        <f t="shared" si="610"/>
        <v>0</v>
      </c>
      <c r="W9754">
        <f t="shared" si="611"/>
        <v>0</v>
      </c>
    </row>
    <row r="9755" spans="5:23" x14ac:dyDescent="0.25">
      <c r="E9755" s="4"/>
      <c r="F9755" s="4"/>
      <c r="G9755" s="33" t="str">
        <f>IFERROR(VLOOKUP($D9755,'Informations sur les produits'!$A$3:$H$10000,8,FALSE),"0")</f>
        <v>0</v>
      </c>
      <c r="K9755" s="4"/>
      <c r="L9755" s="33" t="str">
        <f>IFERROR(VLOOKUP($J9755,'Informations sur les produits'!$A$3:$H$10000,8,FALSE),"0")</f>
        <v>0</v>
      </c>
      <c r="N9755" s="8"/>
      <c r="O9755" s="33" t="str">
        <f>IFERROR(VLOOKUP($M9755,'Informations sur les produits'!$A$3:$H$10000,8,FALSE),"0")</f>
        <v>0</v>
      </c>
      <c r="P9755" s="33">
        <f t="shared" si="608"/>
        <v>0</v>
      </c>
      <c r="Q9755" s="31" t="str">
        <f t="shared" si="609"/>
        <v/>
      </c>
      <c r="R9755" s="32" t="str">
        <f>IFERROR(VLOOKUP($D9755,'Informations sur les produits'!$A$3:$B$15000,2,FALSE),"")</f>
        <v/>
      </c>
      <c r="V9755">
        <f t="shared" si="610"/>
        <v>0</v>
      </c>
      <c r="W9755">
        <f t="shared" si="611"/>
        <v>0</v>
      </c>
    </row>
    <row r="9756" spans="5:23" x14ac:dyDescent="0.25">
      <c r="E9756" s="4"/>
      <c r="F9756" s="4"/>
      <c r="G9756" s="33" t="str">
        <f>IFERROR(VLOOKUP($D9756,'Informations sur les produits'!$A$3:$H$10000,8,FALSE),"0")</f>
        <v>0</v>
      </c>
      <c r="K9756" s="4"/>
      <c r="L9756" s="33" t="str">
        <f>IFERROR(VLOOKUP($J9756,'Informations sur les produits'!$A$3:$H$10000,8,FALSE),"0")</f>
        <v>0</v>
      </c>
      <c r="N9756" s="8"/>
      <c r="O9756" s="33" t="str">
        <f>IFERROR(VLOOKUP($M9756,'Informations sur les produits'!$A$3:$H$10000,8,FALSE),"0")</f>
        <v>0</v>
      </c>
      <c r="P9756" s="33">
        <f t="shared" si="608"/>
        <v>0</v>
      </c>
      <c r="Q9756" s="31" t="str">
        <f t="shared" si="609"/>
        <v/>
      </c>
      <c r="R9756" s="32" t="str">
        <f>IFERROR(VLOOKUP($D9756,'Informations sur les produits'!$A$3:$B$15000,2,FALSE),"")</f>
        <v/>
      </c>
      <c r="V9756">
        <f t="shared" si="610"/>
        <v>0</v>
      </c>
      <c r="W9756">
        <f t="shared" si="611"/>
        <v>0</v>
      </c>
    </row>
    <row r="9757" spans="5:23" x14ac:dyDescent="0.25">
      <c r="E9757" s="4"/>
      <c r="F9757" s="4"/>
      <c r="G9757" s="33" t="str">
        <f>IFERROR(VLOOKUP($D9757,'Informations sur les produits'!$A$3:$H$10000,8,FALSE),"0")</f>
        <v>0</v>
      </c>
      <c r="K9757" s="4"/>
      <c r="L9757" s="33" t="str">
        <f>IFERROR(VLOOKUP($J9757,'Informations sur les produits'!$A$3:$H$10000,8,FALSE),"0")</f>
        <v>0</v>
      </c>
      <c r="N9757" s="8"/>
      <c r="O9757" s="33" t="str">
        <f>IFERROR(VLOOKUP($M9757,'Informations sur les produits'!$A$3:$H$10000,8,FALSE),"0")</f>
        <v>0</v>
      </c>
      <c r="P9757" s="33">
        <f t="shared" si="608"/>
        <v>0</v>
      </c>
      <c r="Q9757" s="31" t="str">
        <f t="shared" si="609"/>
        <v/>
      </c>
      <c r="R9757" s="32" t="str">
        <f>IFERROR(VLOOKUP($D9757,'Informations sur les produits'!$A$3:$B$15000,2,FALSE),"")</f>
        <v/>
      </c>
      <c r="V9757">
        <f t="shared" si="610"/>
        <v>0</v>
      </c>
      <c r="W9757">
        <f t="shared" si="611"/>
        <v>0</v>
      </c>
    </row>
    <row r="9758" spans="5:23" x14ac:dyDescent="0.25">
      <c r="E9758" s="4"/>
      <c r="F9758" s="4"/>
      <c r="G9758" s="33" t="str">
        <f>IFERROR(VLOOKUP($D9758,'Informations sur les produits'!$A$3:$H$10000,8,FALSE),"0")</f>
        <v>0</v>
      </c>
      <c r="K9758" s="4"/>
      <c r="L9758" s="33" t="str">
        <f>IFERROR(VLOOKUP($J9758,'Informations sur les produits'!$A$3:$H$10000,8,FALSE),"0")</f>
        <v>0</v>
      </c>
      <c r="N9758" s="8"/>
      <c r="O9758" s="33" t="str">
        <f>IFERROR(VLOOKUP($M9758,'Informations sur les produits'!$A$3:$H$10000,8,FALSE),"0")</f>
        <v>0</v>
      </c>
      <c r="P9758" s="33">
        <f t="shared" si="608"/>
        <v>0</v>
      </c>
      <c r="Q9758" s="31" t="str">
        <f t="shared" si="609"/>
        <v/>
      </c>
      <c r="R9758" s="32" t="str">
        <f>IFERROR(VLOOKUP($D9758,'Informations sur les produits'!$A$3:$B$15000,2,FALSE),"")</f>
        <v/>
      </c>
      <c r="V9758">
        <f t="shared" si="610"/>
        <v>0</v>
      </c>
      <c r="W9758">
        <f t="shared" si="611"/>
        <v>0</v>
      </c>
    </row>
    <row r="9759" spans="5:23" x14ac:dyDescent="0.25">
      <c r="E9759" s="4"/>
      <c r="F9759" s="4"/>
      <c r="G9759" s="33" t="str">
        <f>IFERROR(VLOOKUP($D9759,'Informations sur les produits'!$A$3:$H$10000,8,FALSE),"0")</f>
        <v>0</v>
      </c>
      <c r="K9759" s="4"/>
      <c r="L9759" s="33" t="str">
        <f>IFERROR(VLOOKUP($J9759,'Informations sur les produits'!$A$3:$H$10000,8,FALSE),"0")</f>
        <v>0</v>
      </c>
      <c r="N9759" s="8"/>
      <c r="O9759" s="33" t="str">
        <f>IFERROR(VLOOKUP($M9759,'Informations sur les produits'!$A$3:$H$10000,8,FALSE),"0")</f>
        <v>0</v>
      </c>
      <c r="P9759" s="33">
        <f t="shared" si="608"/>
        <v>0</v>
      </c>
      <c r="Q9759" s="31" t="str">
        <f t="shared" si="609"/>
        <v/>
      </c>
      <c r="R9759" s="32" t="str">
        <f>IFERROR(VLOOKUP($D9759,'Informations sur les produits'!$A$3:$B$15000,2,FALSE),"")</f>
        <v/>
      </c>
      <c r="V9759">
        <f t="shared" si="610"/>
        <v>0</v>
      </c>
      <c r="W9759">
        <f t="shared" si="611"/>
        <v>0</v>
      </c>
    </row>
    <row r="9760" spans="5:23" x14ac:dyDescent="0.25">
      <c r="E9760" s="4"/>
      <c r="F9760" s="4"/>
      <c r="G9760" s="33" t="str">
        <f>IFERROR(VLOOKUP($D9760,'Informations sur les produits'!$A$3:$H$10000,8,FALSE),"0")</f>
        <v>0</v>
      </c>
      <c r="K9760" s="4"/>
      <c r="L9760" s="33" t="str">
        <f>IFERROR(VLOOKUP($J9760,'Informations sur les produits'!$A$3:$H$10000,8,FALSE),"0")</f>
        <v>0</v>
      </c>
      <c r="N9760" s="8"/>
      <c r="O9760" s="33" t="str">
        <f>IFERROR(VLOOKUP($M9760,'Informations sur les produits'!$A$3:$H$10000,8,FALSE),"0")</f>
        <v>0</v>
      </c>
      <c r="P9760" s="33">
        <f t="shared" si="608"/>
        <v>0</v>
      </c>
      <c r="Q9760" s="31" t="str">
        <f t="shared" si="609"/>
        <v/>
      </c>
      <c r="R9760" s="32" t="str">
        <f>IFERROR(VLOOKUP($D9760,'Informations sur les produits'!$A$3:$B$15000,2,FALSE),"")</f>
        <v/>
      </c>
      <c r="V9760">
        <f t="shared" si="610"/>
        <v>0</v>
      </c>
      <c r="W9760">
        <f t="shared" si="611"/>
        <v>0</v>
      </c>
    </row>
    <row r="9761" spans="5:23" x14ac:dyDescent="0.25">
      <c r="E9761" s="4"/>
      <c r="F9761" s="4"/>
      <c r="G9761" s="33" t="str">
        <f>IFERROR(VLOOKUP($D9761,'Informations sur les produits'!$A$3:$H$10000,8,FALSE),"0")</f>
        <v>0</v>
      </c>
      <c r="K9761" s="4"/>
      <c r="L9761" s="33" t="str">
        <f>IFERROR(VLOOKUP($J9761,'Informations sur les produits'!$A$3:$H$10000,8,FALSE),"0")</f>
        <v>0</v>
      </c>
      <c r="N9761" s="8"/>
      <c r="O9761" s="33" t="str">
        <f>IFERROR(VLOOKUP($M9761,'Informations sur les produits'!$A$3:$H$10000,8,FALSE),"0")</f>
        <v>0</v>
      </c>
      <c r="P9761" s="33">
        <f t="shared" si="608"/>
        <v>0</v>
      </c>
      <c r="Q9761" s="31" t="str">
        <f t="shared" si="609"/>
        <v/>
      </c>
      <c r="R9761" s="32" t="str">
        <f>IFERROR(VLOOKUP($D9761,'Informations sur les produits'!$A$3:$B$15000,2,FALSE),"")</f>
        <v/>
      </c>
      <c r="V9761">
        <f t="shared" si="610"/>
        <v>0</v>
      </c>
      <c r="W9761">
        <f t="shared" si="611"/>
        <v>0</v>
      </c>
    </row>
    <row r="9762" spans="5:23" x14ac:dyDescent="0.25">
      <c r="E9762" s="4"/>
      <c r="F9762" s="4"/>
      <c r="G9762" s="33" t="str">
        <f>IFERROR(VLOOKUP($D9762,'Informations sur les produits'!$A$3:$H$10000,8,FALSE),"0")</f>
        <v>0</v>
      </c>
      <c r="K9762" s="4"/>
      <c r="L9762" s="33" t="str">
        <f>IFERROR(VLOOKUP($J9762,'Informations sur les produits'!$A$3:$H$10000,8,FALSE),"0")</f>
        <v>0</v>
      </c>
      <c r="N9762" s="8"/>
      <c r="O9762" s="33" t="str">
        <f>IFERROR(VLOOKUP($M9762,'Informations sur les produits'!$A$3:$H$10000,8,FALSE),"0")</f>
        <v>0</v>
      </c>
      <c r="P9762" s="33">
        <f t="shared" si="608"/>
        <v>0</v>
      </c>
      <c r="Q9762" s="31" t="str">
        <f t="shared" si="609"/>
        <v/>
      </c>
      <c r="R9762" s="32" t="str">
        <f>IFERROR(VLOOKUP($D9762,'Informations sur les produits'!$A$3:$B$15000,2,FALSE),"")</f>
        <v/>
      </c>
      <c r="V9762">
        <f t="shared" si="610"/>
        <v>0</v>
      </c>
      <c r="W9762">
        <f t="shared" si="611"/>
        <v>0</v>
      </c>
    </row>
    <row r="9763" spans="5:23" x14ac:dyDescent="0.25">
      <c r="E9763" s="4"/>
      <c r="F9763" s="4"/>
      <c r="G9763" s="33" t="str">
        <f>IFERROR(VLOOKUP($D9763,'Informations sur les produits'!$A$3:$H$10000,8,FALSE),"0")</f>
        <v>0</v>
      </c>
      <c r="K9763" s="4"/>
      <c r="L9763" s="33" t="str">
        <f>IFERROR(VLOOKUP($J9763,'Informations sur les produits'!$A$3:$H$10000,8,FALSE),"0")</f>
        <v>0</v>
      </c>
      <c r="N9763" s="8"/>
      <c r="O9763" s="33" t="str">
        <f>IFERROR(VLOOKUP($M9763,'Informations sur les produits'!$A$3:$H$10000,8,FALSE),"0")</f>
        <v>0</v>
      </c>
      <c r="P9763" s="33">
        <f t="shared" si="608"/>
        <v>0</v>
      </c>
      <c r="Q9763" s="31" t="str">
        <f t="shared" si="609"/>
        <v/>
      </c>
      <c r="R9763" s="32" t="str">
        <f>IFERROR(VLOOKUP($D9763,'Informations sur les produits'!$A$3:$B$15000,2,FALSE),"")</f>
        <v/>
      </c>
      <c r="V9763">
        <f t="shared" si="610"/>
        <v>0</v>
      </c>
      <c r="W9763">
        <f t="shared" si="611"/>
        <v>0</v>
      </c>
    </row>
    <row r="9764" spans="5:23" x14ac:dyDescent="0.25">
      <c r="E9764" s="4"/>
      <c r="F9764" s="4"/>
      <c r="G9764" s="33" t="str">
        <f>IFERROR(VLOOKUP($D9764,'Informations sur les produits'!$A$3:$H$10000,8,FALSE),"0")</f>
        <v>0</v>
      </c>
      <c r="K9764" s="4"/>
      <c r="L9764" s="33" t="str">
        <f>IFERROR(VLOOKUP($J9764,'Informations sur les produits'!$A$3:$H$10000,8,FALSE),"0")</f>
        <v>0</v>
      </c>
      <c r="N9764" s="8"/>
      <c r="O9764" s="33" t="str">
        <f>IFERROR(VLOOKUP($M9764,'Informations sur les produits'!$A$3:$H$10000,8,FALSE),"0")</f>
        <v>0</v>
      </c>
      <c r="P9764" s="33">
        <f t="shared" si="608"/>
        <v>0</v>
      </c>
      <c r="Q9764" s="31" t="str">
        <f t="shared" si="609"/>
        <v/>
      </c>
      <c r="R9764" s="32" t="str">
        <f>IFERROR(VLOOKUP($D9764,'Informations sur les produits'!$A$3:$B$15000,2,FALSE),"")</f>
        <v/>
      </c>
      <c r="V9764">
        <f t="shared" si="610"/>
        <v>0</v>
      </c>
      <c r="W9764">
        <f t="shared" si="611"/>
        <v>0</v>
      </c>
    </row>
    <row r="9765" spans="5:23" x14ac:dyDescent="0.25">
      <c r="E9765" s="4"/>
      <c r="F9765" s="4"/>
      <c r="G9765" s="33" t="str">
        <f>IFERROR(VLOOKUP($D9765,'Informations sur les produits'!$A$3:$H$10000,8,FALSE),"0")</f>
        <v>0</v>
      </c>
      <c r="K9765" s="4"/>
      <c r="L9765" s="33" t="str">
        <f>IFERROR(VLOOKUP($J9765,'Informations sur les produits'!$A$3:$H$10000,8,FALSE),"0")</f>
        <v>0</v>
      </c>
      <c r="N9765" s="8"/>
      <c r="O9765" s="33" t="str">
        <f>IFERROR(VLOOKUP($M9765,'Informations sur les produits'!$A$3:$H$10000,8,FALSE),"0")</f>
        <v>0</v>
      </c>
      <c r="P9765" s="33">
        <f t="shared" si="608"/>
        <v>0</v>
      </c>
      <c r="Q9765" s="31" t="str">
        <f t="shared" si="609"/>
        <v/>
      </c>
      <c r="R9765" s="32" t="str">
        <f>IFERROR(VLOOKUP($D9765,'Informations sur les produits'!$A$3:$B$15000,2,FALSE),"")</f>
        <v/>
      </c>
      <c r="V9765">
        <f t="shared" si="610"/>
        <v>0</v>
      </c>
      <c r="W9765">
        <f t="shared" si="611"/>
        <v>0</v>
      </c>
    </row>
    <row r="9766" spans="5:23" x14ac:dyDescent="0.25">
      <c r="E9766" s="4"/>
      <c r="F9766" s="4"/>
      <c r="G9766" s="33" t="str">
        <f>IFERROR(VLOOKUP($D9766,'Informations sur les produits'!$A$3:$H$10000,8,FALSE),"0")</f>
        <v>0</v>
      </c>
      <c r="K9766" s="4"/>
      <c r="L9766" s="33" t="str">
        <f>IFERROR(VLOOKUP($J9766,'Informations sur les produits'!$A$3:$H$10000,8,FALSE),"0")</f>
        <v>0</v>
      </c>
      <c r="N9766" s="8"/>
      <c r="O9766" s="33" t="str">
        <f>IFERROR(VLOOKUP($M9766,'Informations sur les produits'!$A$3:$H$10000,8,FALSE),"0")</f>
        <v>0</v>
      </c>
      <c r="P9766" s="33">
        <f t="shared" si="608"/>
        <v>0</v>
      </c>
      <c r="Q9766" s="31" t="str">
        <f t="shared" si="609"/>
        <v/>
      </c>
      <c r="R9766" s="32" t="str">
        <f>IFERROR(VLOOKUP($D9766,'Informations sur les produits'!$A$3:$B$15000,2,FALSE),"")</f>
        <v/>
      </c>
      <c r="V9766">
        <f t="shared" si="610"/>
        <v>0</v>
      </c>
      <c r="W9766">
        <f t="shared" si="611"/>
        <v>0</v>
      </c>
    </row>
    <row r="9767" spans="5:23" x14ac:dyDescent="0.25">
      <c r="E9767" s="4"/>
      <c r="F9767" s="4"/>
      <c r="G9767" s="33" t="str">
        <f>IFERROR(VLOOKUP($D9767,'Informations sur les produits'!$A$3:$H$10000,8,FALSE),"0")</f>
        <v>0</v>
      </c>
      <c r="K9767" s="4"/>
      <c r="L9767" s="33" t="str">
        <f>IFERROR(VLOOKUP($J9767,'Informations sur les produits'!$A$3:$H$10000,8,FALSE),"0")</f>
        <v>0</v>
      </c>
      <c r="N9767" s="8"/>
      <c r="O9767" s="33" t="str">
        <f>IFERROR(VLOOKUP($M9767,'Informations sur les produits'!$A$3:$H$10000,8,FALSE),"0")</f>
        <v>0</v>
      </c>
      <c r="P9767" s="33">
        <f t="shared" si="608"/>
        <v>0</v>
      </c>
      <c r="Q9767" s="31" t="str">
        <f t="shared" si="609"/>
        <v/>
      </c>
      <c r="R9767" s="32" t="str">
        <f>IFERROR(VLOOKUP($D9767,'Informations sur les produits'!$A$3:$B$15000,2,FALSE),"")</f>
        <v/>
      </c>
      <c r="V9767">
        <f t="shared" si="610"/>
        <v>0</v>
      </c>
      <c r="W9767">
        <f t="shared" si="611"/>
        <v>0</v>
      </c>
    </row>
    <row r="9768" spans="5:23" x14ac:dyDescent="0.25">
      <c r="E9768" s="4"/>
      <c r="F9768" s="4"/>
      <c r="G9768" s="33" t="str">
        <f>IFERROR(VLOOKUP($D9768,'Informations sur les produits'!$A$3:$H$10000,8,FALSE),"0")</f>
        <v>0</v>
      </c>
      <c r="K9768" s="4"/>
      <c r="L9768" s="33" t="str">
        <f>IFERROR(VLOOKUP($J9768,'Informations sur les produits'!$A$3:$H$10000,8,FALSE),"0")</f>
        <v>0</v>
      </c>
      <c r="N9768" s="8"/>
      <c r="O9768" s="33" t="str">
        <f>IFERROR(VLOOKUP($M9768,'Informations sur les produits'!$A$3:$H$10000,8,FALSE),"0")</f>
        <v>0</v>
      </c>
      <c r="P9768" s="33">
        <f t="shared" si="608"/>
        <v>0</v>
      </c>
      <c r="Q9768" s="31" t="str">
        <f t="shared" si="609"/>
        <v/>
      </c>
      <c r="R9768" s="32" t="str">
        <f>IFERROR(VLOOKUP($D9768,'Informations sur les produits'!$A$3:$B$15000,2,FALSE),"")</f>
        <v/>
      </c>
      <c r="V9768">
        <f t="shared" si="610"/>
        <v>0</v>
      </c>
      <c r="W9768">
        <f t="shared" si="611"/>
        <v>0</v>
      </c>
    </row>
    <row r="9769" spans="5:23" x14ac:dyDescent="0.25">
      <c r="E9769" s="4"/>
      <c r="F9769" s="4"/>
      <c r="G9769" s="33" t="str">
        <f>IFERROR(VLOOKUP($D9769,'Informations sur les produits'!$A$3:$H$10000,8,FALSE),"0")</f>
        <v>0</v>
      </c>
      <c r="K9769" s="4"/>
      <c r="L9769" s="33" t="str">
        <f>IFERROR(VLOOKUP($J9769,'Informations sur les produits'!$A$3:$H$10000,8,FALSE),"0")</f>
        <v>0</v>
      </c>
      <c r="N9769" s="8"/>
      <c r="O9769" s="33" t="str">
        <f>IFERROR(VLOOKUP($M9769,'Informations sur les produits'!$A$3:$H$10000,8,FALSE),"0")</f>
        <v>0</v>
      </c>
      <c r="P9769" s="33">
        <f t="shared" si="608"/>
        <v>0</v>
      </c>
      <c r="Q9769" s="31" t="str">
        <f t="shared" si="609"/>
        <v/>
      </c>
      <c r="R9769" s="32" t="str">
        <f>IFERROR(VLOOKUP($D9769,'Informations sur les produits'!$A$3:$B$15000,2,FALSE),"")</f>
        <v/>
      </c>
      <c r="V9769">
        <f t="shared" si="610"/>
        <v>0</v>
      </c>
      <c r="W9769">
        <f t="shared" si="611"/>
        <v>0</v>
      </c>
    </row>
    <row r="9770" spans="5:23" x14ac:dyDescent="0.25">
      <c r="E9770" s="4"/>
      <c r="F9770" s="4"/>
      <c r="G9770" s="33" t="str">
        <f>IFERROR(VLOOKUP($D9770,'Informations sur les produits'!$A$3:$H$10000,8,FALSE),"0")</f>
        <v>0</v>
      </c>
      <c r="K9770" s="4"/>
      <c r="L9770" s="33" t="str">
        <f>IFERROR(VLOOKUP($J9770,'Informations sur les produits'!$A$3:$H$10000,8,FALSE),"0")</f>
        <v>0</v>
      </c>
      <c r="N9770" s="8"/>
      <c r="O9770" s="33" t="str">
        <f>IFERROR(VLOOKUP($M9770,'Informations sur les produits'!$A$3:$H$10000,8,FALSE),"0")</f>
        <v>0</v>
      </c>
      <c r="P9770" s="33">
        <f t="shared" si="608"/>
        <v>0</v>
      </c>
      <c r="Q9770" s="31" t="str">
        <f t="shared" si="609"/>
        <v/>
      </c>
      <c r="R9770" s="32" t="str">
        <f>IFERROR(VLOOKUP($D9770,'Informations sur les produits'!$A$3:$B$15000,2,FALSE),"")</f>
        <v/>
      </c>
      <c r="V9770">
        <f t="shared" si="610"/>
        <v>0</v>
      </c>
      <c r="W9770">
        <f t="shared" si="611"/>
        <v>0</v>
      </c>
    </row>
    <row r="9771" spans="5:23" x14ac:dyDescent="0.25">
      <c r="E9771" s="4"/>
      <c r="F9771" s="4"/>
      <c r="G9771" s="33" t="str">
        <f>IFERROR(VLOOKUP($D9771,'Informations sur les produits'!$A$3:$H$10000,8,FALSE),"0")</f>
        <v>0</v>
      </c>
      <c r="K9771" s="4"/>
      <c r="L9771" s="33" t="str">
        <f>IFERROR(VLOOKUP($J9771,'Informations sur les produits'!$A$3:$H$10000,8,FALSE),"0")</f>
        <v>0</v>
      </c>
      <c r="N9771" s="8"/>
      <c r="O9771" s="33" t="str">
        <f>IFERROR(VLOOKUP($M9771,'Informations sur les produits'!$A$3:$H$10000,8,FALSE),"0")</f>
        <v>0</v>
      </c>
      <c r="P9771" s="33">
        <f t="shared" si="608"/>
        <v>0</v>
      </c>
      <c r="Q9771" s="31" t="str">
        <f t="shared" si="609"/>
        <v/>
      </c>
      <c r="R9771" s="32" t="str">
        <f>IFERROR(VLOOKUP($D9771,'Informations sur les produits'!$A$3:$B$15000,2,FALSE),"")</f>
        <v/>
      </c>
      <c r="V9771">
        <f t="shared" si="610"/>
        <v>0</v>
      </c>
      <c r="W9771">
        <f t="shared" si="611"/>
        <v>0</v>
      </c>
    </row>
    <row r="9772" spans="5:23" x14ac:dyDescent="0.25">
      <c r="E9772" s="4"/>
      <c r="F9772" s="4"/>
      <c r="G9772" s="33" t="str">
        <f>IFERROR(VLOOKUP($D9772,'Informations sur les produits'!$A$3:$H$10000,8,FALSE),"0")</f>
        <v>0</v>
      </c>
      <c r="K9772" s="4"/>
      <c r="L9772" s="33" t="str">
        <f>IFERROR(VLOOKUP($J9772,'Informations sur les produits'!$A$3:$H$10000,8,FALSE),"0")</f>
        <v>0</v>
      </c>
      <c r="N9772" s="8"/>
      <c r="O9772" s="33" t="str">
        <f>IFERROR(VLOOKUP($M9772,'Informations sur les produits'!$A$3:$H$10000,8,FALSE),"0")</f>
        <v>0</v>
      </c>
      <c r="P9772" s="33">
        <f t="shared" si="608"/>
        <v>0</v>
      </c>
      <c r="Q9772" s="31" t="str">
        <f t="shared" si="609"/>
        <v/>
      </c>
      <c r="R9772" s="32" t="str">
        <f>IFERROR(VLOOKUP($D9772,'Informations sur les produits'!$A$3:$B$15000,2,FALSE),"")</f>
        <v/>
      </c>
      <c r="V9772">
        <f t="shared" si="610"/>
        <v>0</v>
      </c>
      <c r="W9772">
        <f t="shared" si="611"/>
        <v>0</v>
      </c>
    </row>
    <row r="9773" spans="5:23" x14ac:dyDescent="0.25">
      <c r="E9773" s="4"/>
      <c r="F9773" s="4"/>
      <c r="G9773" s="33" t="str">
        <f>IFERROR(VLOOKUP($D9773,'Informations sur les produits'!$A$3:$H$10000,8,FALSE),"0")</f>
        <v>0</v>
      </c>
      <c r="K9773" s="4"/>
      <c r="L9773" s="33" t="str">
        <f>IFERROR(VLOOKUP($J9773,'Informations sur les produits'!$A$3:$H$10000,8,FALSE),"0")</f>
        <v>0</v>
      </c>
      <c r="N9773" s="8"/>
      <c r="O9773" s="33" t="str">
        <f>IFERROR(VLOOKUP($M9773,'Informations sur les produits'!$A$3:$H$10000,8,FALSE),"0")</f>
        <v>0</v>
      </c>
      <c r="P9773" s="33">
        <f t="shared" si="608"/>
        <v>0</v>
      </c>
      <c r="Q9773" s="31" t="str">
        <f t="shared" si="609"/>
        <v/>
      </c>
      <c r="R9773" s="32" t="str">
        <f>IFERROR(VLOOKUP($D9773,'Informations sur les produits'!$A$3:$B$15000,2,FALSE),"")</f>
        <v/>
      </c>
      <c r="V9773">
        <f t="shared" si="610"/>
        <v>0</v>
      </c>
      <c r="W9773">
        <f t="shared" si="611"/>
        <v>0</v>
      </c>
    </row>
    <row r="9774" spans="5:23" x14ac:dyDescent="0.25">
      <c r="E9774" s="4"/>
      <c r="F9774" s="4"/>
      <c r="G9774" s="33" t="str">
        <f>IFERROR(VLOOKUP($D9774,'Informations sur les produits'!$A$3:$H$10000,8,FALSE),"0")</f>
        <v>0</v>
      </c>
      <c r="K9774" s="4"/>
      <c r="L9774" s="33" t="str">
        <f>IFERROR(VLOOKUP($J9774,'Informations sur les produits'!$A$3:$H$10000,8,FALSE),"0")</f>
        <v>0</v>
      </c>
      <c r="N9774" s="8"/>
      <c r="O9774" s="33" t="str">
        <f>IFERROR(VLOOKUP($M9774,'Informations sur les produits'!$A$3:$H$10000,8,FALSE),"0")</f>
        <v>0</v>
      </c>
      <c r="P9774" s="33">
        <f t="shared" si="608"/>
        <v>0</v>
      </c>
      <c r="Q9774" s="31" t="str">
        <f t="shared" si="609"/>
        <v/>
      </c>
      <c r="R9774" s="32" t="str">
        <f>IFERROR(VLOOKUP($D9774,'Informations sur les produits'!$A$3:$B$15000,2,FALSE),"")</f>
        <v/>
      </c>
      <c r="V9774">
        <f t="shared" si="610"/>
        <v>0</v>
      </c>
      <c r="W9774">
        <f t="shared" si="611"/>
        <v>0</v>
      </c>
    </row>
    <row r="9775" spans="5:23" x14ac:dyDescent="0.25">
      <c r="E9775" s="4"/>
      <c r="F9775" s="4"/>
      <c r="G9775" s="33" t="str">
        <f>IFERROR(VLOOKUP($D9775,'Informations sur les produits'!$A$3:$H$10000,8,FALSE),"0")</f>
        <v>0</v>
      </c>
      <c r="K9775" s="4"/>
      <c r="L9775" s="33" t="str">
        <f>IFERROR(VLOOKUP($J9775,'Informations sur les produits'!$A$3:$H$10000,8,FALSE),"0")</f>
        <v>0</v>
      </c>
      <c r="N9775" s="8"/>
      <c r="O9775" s="33" t="str">
        <f>IFERROR(VLOOKUP($M9775,'Informations sur les produits'!$A$3:$H$10000,8,FALSE),"0")</f>
        <v>0</v>
      </c>
      <c r="P9775" s="33">
        <f t="shared" si="608"/>
        <v>0</v>
      </c>
      <c r="Q9775" s="31" t="str">
        <f t="shared" si="609"/>
        <v/>
      </c>
      <c r="R9775" s="32" t="str">
        <f>IFERROR(VLOOKUP($D9775,'Informations sur les produits'!$A$3:$B$15000,2,FALSE),"")</f>
        <v/>
      </c>
      <c r="V9775">
        <f t="shared" si="610"/>
        <v>0</v>
      </c>
      <c r="W9775">
        <f t="shared" si="611"/>
        <v>0</v>
      </c>
    </row>
    <row r="9776" spans="5:23" x14ac:dyDescent="0.25">
      <c r="E9776" s="4"/>
      <c r="F9776" s="4"/>
      <c r="G9776" s="33" t="str">
        <f>IFERROR(VLOOKUP($D9776,'Informations sur les produits'!$A$3:$H$10000,8,FALSE),"0")</f>
        <v>0</v>
      </c>
      <c r="K9776" s="4"/>
      <c r="L9776" s="33" t="str">
        <f>IFERROR(VLOOKUP($J9776,'Informations sur les produits'!$A$3:$H$10000,8,FALSE),"0")</f>
        <v>0</v>
      </c>
      <c r="N9776" s="8"/>
      <c r="O9776" s="33" t="str">
        <f>IFERROR(VLOOKUP($M9776,'Informations sur les produits'!$A$3:$H$10000,8,FALSE),"0")</f>
        <v>0</v>
      </c>
      <c r="P9776" s="33">
        <f t="shared" si="608"/>
        <v>0</v>
      </c>
      <c r="Q9776" s="31" t="str">
        <f t="shared" si="609"/>
        <v/>
      </c>
      <c r="R9776" s="32" t="str">
        <f>IFERROR(VLOOKUP($D9776,'Informations sur les produits'!$A$3:$B$15000,2,FALSE),"")</f>
        <v/>
      </c>
      <c r="V9776">
        <f t="shared" si="610"/>
        <v>0</v>
      </c>
      <c r="W9776">
        <f t="shared" si="611"/>
        <v>0</v>
      </c>
    </row>
    <row r="9777" spans="5:23" x14ac:dyDescent="0.25">
      <c r="E9777" s="4"/>
      <c r="F9777" s="4"/>
      <c r="G9777" s="33" t="str">
        <f>IFERROR(VLOOKUP($D9777,'Informations sur les produits'!$A$3:$H$10000,8,FALSE),"0")</f>
        <v>0</v>
      </c>
      <c r="K9777" s="4"/>
      <c r="L9777" s="33" t="str">
        <f>IFERROR(VLOOKUP($J9777,'Informations sur les produits'!$A$3:$H$10000,8,FALSE),"0")</f>
        <v>0</v>
      </c>
      <c r="N9777" s="8"/>
      <c r="O9777" s="33" t="str">
        <f>IFERROR(VLOOKUP($M9777,'Informations sur les produits'!$A$3:$H$10000,8,FALSE),"0")</f>
        <v>0</v>
      </c>
      <c r="P9777" s="33">
        <f t="shared" si="608"/>
        <v>0</v>
      </c>
      <c r="Q9777" s="31" t="str">
        <f t="shared" si="609"/>
        <v/>
      </c>
      <c r="R9777" s="32" t="str">
        <f>IFERROR(VLOOKUP($D9777,'Informations sur les produits'!$A$3:$B$15000,2,FALSE),"")</f>
        <v/>
      </c>
      <c r="V9777">
        <f t="shared" si="610"/>
        <v>0</v>
      </c>
      <c r="W9777">
        <f t="shared" si="611"/>
        <v>0</v>
      </c>
    </row>
    <row r="9778" spans="5:23" x14ac:dyDescent="0.25">
      <c r="E9778" s="4"/>
      <c r="F9778" s="4"/>
      <c r="G9778" s="33" t="str">
        <f>IFERROR(VLOOKUP($D9778,'Informations sur les produits'!$A$3:$H$10000,8,FALSE),"0")</f>
        <v>0</v>
      </c>
      <c r="K9778" s="4"/>
      <c r="L9778" s="33" t="str">
        <f>IFERROR(VLOOKUP($J9778,'Informations sur les produits'!$A$3:$H$10000,8,FALSE),"0")</f>
        <v>0</v>
      </c>
      <c r="N9778" s="8"/>
      <c r="O9778" s="33" t="str">
        <f>IFERROR(VLOOKUP($M9778,'Informations sur les produits'!$A$3:$H$10000,8,FALSE),"0")</f>
        <v>0</v>
      </c>
      <c r="P9778" s="33">
        <f t="shared" si="608"/>
        <v>0</v>
      </c>
      <c r="Q9778" s="31" t="str">
        <f t="shared" si="609"/>
        <v/>
      </c>
      <c r="R9778" s="32" t="str">
        <f>IFERROR(VLOOKUP($D9778,'Informations sur les produits'!$A$3:$B$15000,2,FALSE),"")</f>
        <v/>
      </c>
      <c r="V9778">
        <f t="shared" si="610"/>
        <v>0</v>
      </c>
      <c r="W9778">
        <f t="shared" si="611"/>
        <v>0</v>
      </c>
    </row>
    <row r="9779" spans="5:23" x14ac:dyDescent="0.25">
      <c r="E9779" s="4"/>
      <c r="F9779" s="4"/>
      <c r="G9779" s="33" t="str">
        <f>IFERROR(VLOOKUP($D9779,'Informations sur les produits'!$A$3:$H$10000,8,FALSE),"0")</f>
        <v>0</v>
      </c>
      <c r="K9779" s="4"/>
      <c r="L9779" s="33" t="str">
        <f>IFERROR(VLOOKUP($J9779,'Informations sur les produits'!$A$3:$H$10000,8,FALSE),"0")</f>
        <v>0</v>
      </c>
      <c r="N9779" s="8"/>
      <c r="O9779" s="33" t="str">
        <f>IFERROR(VLOOKUP($M9779,'Informations sur les produits'!$A$3:$H$10000,8,FALSE),"0")</f>
        <v>0</v>
      </c>
      <c r="P9779" s="33">
        <f t="shared" si="608"/>
        <v>0</v>
      </c>
      <c r="Q9779" s="31" t="str">
        <f t="shared" si="609"/>
        <v/>
      </c>
      <c r="R9779" s="32" t="str">
        <f>IFERROR(VLOOKUP($D9779,'Informations sur les produits'!$A$3:$B$15000,2,FALSE),"")</f>
        <v/>
      </c>
      <c r="V9779">
        <f t="shared" si="610"/>
        <v>0</v>
      </c>
      <c r="W9779">
        <f t="shared" si="611"/>
        <v>0</v>
      </c>
    </row>
    <row r="9780" spans="5:23" x14ac:dyDescent="0.25">
      <c r="E9780" s="4"/>
      <c r="F9780" s="4"/>
      <c r="G9780" s="33" t="str">
        <f>IFERROR(VLOOKUP($D9780,'Informations sur les produits'!$A$3:$H$10000,8,FALSE),"0")</f>
        <v>0</v>
      </c>
      <c r="K9780" s="4"/>
      <c r="L9780" s="33" t="str">
        <f>IFERROR(VLOOKUP($J9780,'Informations sur les produits'!$A$3:$H$10000,8,FALSE),"0")</f>
        <v>0</v>
      </c>
      <c r="N9780" s="8"/>
      <c r="O9780" s="33" t="str">
        <f>IFERROR(VLOOKUP($M9780,'Informations sur les produits'!$A$3:$H$10000,8,FALSE),"0")</f>
        <v>0</v>
      </c>
      <c r="P9780" s="33">
        <f t="shared" si="608"/>
        <v>0</v>
      </c>
      <c r="Q9780" s="31" t="str">
        <f t="shared" si="609"/>
        <v/>
      </c>
      <c r="R9780" s="32" t="str">
        <f>IFERROR(VLOOKUP($D9780,'Informations sur les produits'!$A$3:$B$15000,2,FALSE),"")</f>
        <v/>
      </c>
      <c r="V9780">
        <f t="shared" si="610"/>
        <v>0</v>
      </c>
      <c r="W9780">
        <f t="shared" si="611"/>
        <v>0</v>
      </c>
    </row>
    <row r="9781" spans="5:23" x14ac:dyDescent="0.25">
      <c r="E9781" s="4"/>
      <c r="F9781" s="4"/>
      <c r="G9781" s="33" t="str">
        <f>IFERROR(VLOOKUP($D9781,'Informations sur les produits'!$A$3:$H$10000,8,FALSE),"0")</f>
        <v>0</v>
      </c>
      <c r="K9781" s="4"/>
      <c r="L9781" s="33" t="str">
        <f>IFERROR(VLOOKUP($J9781,'Informations sur les produits'!$A$3:$H$10000,8,FALSE),"0")</f>
        <v>0</v>
      </c>
      <c r="N9781" s="8"/>
      <c r="O9781" s="33" t="str">
        <f>IFERROR(VLOOKUP($M9781,'Informations sur les produits'!$A$3:$H$10000,8,FALSE),"0")</f>
        <v>0</v>
      </c>
      <c r="P9781" s="33">
        <f t="shared" si="608"/>
        <v>0</v>
      </c>
      <c r="Q9781" s="31" t="str">
        <f t="shared" si="609"/>
        <v/>
      </c>
      <c r="R9781" s="32" t="str">
        <f>IFERROR(VLOOKUP($D9781,'Informations sur les produits'!$A$3:$B$15000,2,FALSE),"")</f>
        <v/>
      </c>
      <c r="V9781">
        <f t="shared" si="610"/>
        <v>0</v>
      </c>
      <c r="W9781">
        <f t="shared" si="611"/>
        <v>0</v>
      </c>
    </row>
    <row r="9782" spans="5:23" x14ac:dyDescent="0.25">
      <c r="E9782" s="4"/>
      <c r="F9782" s="4"/>
      <c r="G9782" s="33" t="str">
        <f>IFERROR(VLOOKUP($D9782,'Informations sur les produits'!$A$3:$H$10000,8,FALSE),"0")</f>
        <v>0</v>
      </c>
      <c r="K9782" s="4"/>
      <c r="L9782" s="33" t="str">
        <f>IFERROR(VLOOKUP($J9782,'Informations sur les produits'!$A$3:$H$10000,8,FALSE),"0")</f>
        <v>0</v>
      </c>
      <c r="N9782" s="8"/>
      <c r="O9782" s="33" t="str">
        <f>IFERROR(VLOOKUP($M9782,'Informations sur les produits'!$A$3:$H$10000,8,FALSE),"0")</f>
        <v>0</v>
      </c>
      <c r="P9782" s="33">
        <f t="shared" si="608"/>
        <v>0</v>
      </c>
      <c r="Q9782" s="31" t="str">
        <f t="shared" si="609"/>
        <v/>
      </c>
      <c r="R9782" s="32" t="str">
        <f>IFERROR(VLOOKUP($D9782,'Informations sur les produits'!$A$3:$B$15000,2,FALSE),"")</f>
        <v/>
      </c>
      <c r="V9782">
        <f t="shared" si="610"/>
        <v>0</v>
      </c>
      <c r="W9782">
        <f t="shared" si="611"/>
        <v>0</v>
      </c>
    </row>
    <row r="9783" spans="5:23" x14ac:dyDescent="0.25">
      <c r="E9783" s="4"/>
      <c r="F9783" s="4"/>
      <c r="G9783" s="33" t="str">
        <f>IFERROR(VLOOKUP($D9783,'Informations sur les produits'!$A$3:$H$10000,8,FALSE),"0")</f>
        <v>0</v>
      </c>
      <c r="K9783" s="4"/>
      <c r="L9783" s="33" t="str">
        <f>IFERROR(VLOOKUP($J9783,'Informations sur les produits'!$A$3:$H$10000,8,FALSE),"0")</f>
        <v>0</v>
      </c>
      <c r="N9783" s="8"/>
      <c r="O9783" s="33" t="str">
        <f>IFERROR(VLOOKUP($M9783,'Informations sur les produits'!$A$3:$H$10000,8,FALSE),"0")</f>
        <v>0</v>
      </c>
      <c r="P9783" s="33">
        <f t="shared" si="608"/>
        <v>0</v>
      </c>
      <c r="Q9783" s="31" t="str">
        <f t="shared" si="609"/>
        <v/>
      </c>
      <c r="R9783" s="32" t="str">
        <f>IFERROR(VLOOKUP($D9783,'Informations sur les produits'!$A$3:$B$15000,2,FALSE),"")</f>
        <v/>
      </c>
      <c r="V9783">
        <f t="shared" si="610"/>
        <v>0</v>
      </c>
      <c r="W9783">
        <f t="shared" si="611"/>
        <v>0</v>
      </c>
    </row>
    <row r="9784" spans="5:23" x14ac:dyDescent="0.25">
      <c r="E9784" s="4"/>
      <c r="F9784" s="4"/>
      <c r="G9784" s="33" t="str">
        <f>IFERROR(VLOOKUP($D9784,'Informations sur les produits'!$A$3:$H$10000,8,FALSE),"0")</f>
        <v>0</v>
      </c>
      <c r="K9784" s="4"/>
      <c r="L9784" s="33" t="str">
        <f>IFERROR(VLOOKUP($J9784,'Informations sur les produits'!$A$3:$H$10000,8,FALSE),"0")</f>
        <v>0</v>
      </c>
      <c r="N9784" s="8"/>
      <c r="O9784" s="33" t="str">
        <f>IFERROR(VLOOKUP($M9784,'Informations sur les produits'!$A$3:$H$10000,8,FALSE),"0")</f>
        <v>0</v>
      </c>
      <c r="P9784" s="33">
        <f t="shared" si="608"/>
        <v>0</v>
      </c>
      <c r="Q9784" s="31" t="str">
        <f t="shared" si="609"/>
        <v/>
      </c>
      <c r="R9784" s="32" t="str">
        <f>IFERROR(VLOOKUP($D9784,'Informations sur les produits'!$A$3:$B$15000,2,FALSE),"")</f>
        <v/>
      </c>
      <c r="V9784">
        <f t="shared" si="610"/>
        <v>0</v>
      </c>
      <c r="W9784">
        <f t="shared" si="611"/>
        <v>0</v>
      </c>
    </row>
    <row r="9785" spans="5:23" x14ac:dyDescent="0.25">
      <c r="E9785" s="4"/>
      <c r="F9785" s="4"/>
      <c r="G9785" s="33" t="str">
        <f>IFERROR(VLOOKUP($D9785,'Informations sur les produits'!$A$3:$H$10000,8,FALSE),"0")</f>
        <v>0</v>
      </c>
      <c r="K9785" s="4"/>
      <c r="L9785" s="33" t="str">
        <f>IFERROR(VLOOKUP($J9785,'Informations sur les produits'!$A$3:$H$10000,8,FALSE),"0")</f>
        <v>0</v>
      </c>
      <c r="N9785" s="8"/>
      <c r="O9785" s="33" t="str">
        <f>IFERROR(VLOOKUP($M9785,'Informations sur les produits'!$A$3:$H$10000,8,FALSE),"0")</f>
        <v>0</v>
      </c>
      <c r="P9785" s="33">
        <f t="shared" si="608"/>
        <v>0</v>
      </c>
      <c r="Q9785" s="31" t="str">
        <f t="shared" si="609"/>
        <v/>
      </c>
      <c r="R9785" s="32" t="str">
        <f>IFERROR(VLOOKUP($D9785,'Informations sur les produits'!$A$3:$B$15000,2,FALSE),"")</f>
        <v/>
      </c>
      <c r="V9785">
        <f t="shared" si="610"/>
        <v>0</v>
      </c>
      <c r="W9785">
        <f t="shared" si="611"/>
        <v>0</v>
      </c>
    </row>
    <row r="9786" spans="5:23" x14ac:dyDescent="0.25">
      <c r="E9786" s="4"/>
      <c r="F9786" s="4"/>
      <c r="G9786" s="33" t="str">
        <f>IFERROR(VLOOKUP($D9786,'Informations sur les produits'!$A$3:$H$10000,8,FALSE),"0")</f>
        <v>0</v>
      </c>
      <c r="K9786" s="4"/>
      <c r="L9786" s="33" t="str">
        <f>IFERROR(VLOOKUP($J9786,'Informations sur les produits'!$A$3:$H$10000,8,FALSE),"0")</f>
        <v>0</v>
      </c>
      <c r="N9786" s="8"/>
      <c r="O9786" s="33" t="str">
        <f>IFERROR(VLOOKUP($M9786,'Informations sur les produits'!$A$3:$H$10000,8,FALSE),"0")</f>
        <v>0</v>
      </c>
      <c r="P9786" s="33">
        <f t="shared" si="608"/>
        <v>0</v>
      </c>
      <c r="Q9786" s="31" t="str">
        <f t="shared" si="609"/>
        <v/>
      </c>
      <c r="R9786" s="32" t="str">
        <f>IFERROR(VLOOKUP($D9786,'Informations sur les produits'!$A$3:$B$15000,2,FALSE),"")</f>
        <v/>
      </c>
      <c r="V9786">
        <f t="shared" si="610"/>
        <v>0</v>
      </c>
      <c r="W9786">
        <f t="shared" si="611"/>
        <v>0</v>
      </c>
    </row>
    <row r="9787" spans="5:23" x14ac:dyDescent="0.25">
      <c r="E9787" s="4"/>
      <c r="F9787" s="4"/>
      <c r="G9787" s="33" t="str">
        <f>IFERROR(VLOOKUP($D9787,'Informations sur les produits'!$A$3:$H$10000,8,FALSE),"0")</f>
        <v>0</v>
      </c>
      <c r="K9787" s="4"/>
      <c r="L9787" s="33" t="str">
        <f>IFERROR(VLOOKUP($J9787,'Informations sur les produits'!$A$3:$H$10000,8,FALSE),"0")</f>
        <v>0</v>
      </c>
      <c r="N9787" s="8"/>
      <c r="O9787" s="33" t="str">
        <f>IFERROR(VLOOKUP($M9787,'Informations sur les produits'!$A$3:$H$10000,8,FALSE),"0")</f>
        <v>0</v>
      </c>
      <c r="P9787" s="33">
        <f t="shared" si="608"/>
        <v>0</v>
      </c>
      <c r="Q9787" s="31" t="str">
        <f t="shared" si="609"/>
        <v/>
      </c>
      <c r="R9787" s="32" t="str">
        <f>IFERROR(VLOOKUP($D9787,'Informations sur les produits'!$A$3:$B$15000,2,FALSE),"")</f>
        <v/>
      </c>
      <c r="V9787">
        <f t="shared" si="610"/>
        <v>0</v>
      </c>
      <c r="W9787">
        <f t="shared" si="611"/>
        <v>0</v>
      </c>
    </row>
    <row r="9788" spans="5:23" x14ac:dyDescent="0.25">
      <c r="E9788" s="4"/>
      <c r="F9788" s="4"/>
      <c r="G9788" s="33" t="str">
        <f>IFERROR(VLOOKUP($D9788,'Informations sur les produits'!$A$3:$H$10000,8,FALSE),"0")</f>
        <v>0</v>
      </c>
      <c r="K9788" s="4"/>
      <c r="L9788" s="33" t="str">
        <f>IFERROR(VLOOKUP($J9788,'Informations sur les produits'!$A$3:$H$10000,8,FALSE),"0")</f>
        <v>0</v>
      </c>
      <c r="N9788" s="8"/>
      <c r="O9788" s="33" t="str">
        <f>IFERROR(VLOOKUP($M9788,'Informations sur les produits'!$A$3:$H$10000,8,FALSE),"0")</f>
        <v>0</v>
      </c>
      <c r="P9788" s="33">
        <f t="shared" si="608"/>
        <v>0</v>
      </c>
      <c r="Q9788" s="31" t="str">
        <f t="shared" si="609"/>
        <v/>
      </c>
      <c r="R9788" s="32" t="str">
        <f>IFERROR(VLOOKUP($D9788,'Informations sur les produits'!$A$3:$B$15000,2,FALSE),"")</f>
        <v/>
      </c>
      <c r="V9788">
        <f t="shared" si="610"/>
        <v>0</v>
      </c>
      <c r="W9788">
        <f t="shared" si="611"/>
        <v>0</v>
      </c>
    </row>
    <row r="9789" spans="5:23" x14ac:dyDescent="0.25">
      <c r="E9789" s="4"/>
      <c r="F9789" s="4"/>
      <c r="G9789" s="33" t="str">
        <f>IFERROR(VLOOKUP($D9789,'Informations sur les produits'!$A$3:$H$10000,8,FALSE),"0")</f>
        <v>0</v>
      </c>
      <c r="K9789" s="4"/>
      <c r="L9789" s="33" t="str">
        <f>IFERROR(VLOOKUP($J9789,'Informations sur les produits'!$A$3:$H$10000,8,FALSE),"0")</f>
        <v>0</v>
      </c>
      <c r="N9789" s="8"/>
      <c r="O9789" s="33" t="str">
        <f>IFERROR(VLOOKUP($M9789,'Informations sur les produits'!$A$3:$H$10000,8,FALSE),"0")</f>
        <v>0</v>
      </c>
      <c r="P9789" s="33">
        <f t="shared" si="608"/>
        <v>0</v>
      </c>
      <c r="Q9789" s="31" t="str">
        <f t="shared" si="609"/>
        <v/>
      </c>
      <c r="R9789" s="32" t="str">
        <f>IFERROR(VLOOKUP($D9789,'Informations sur les produits'!$A$3:$B$15000,2,FALSE),"")</f>
        <v/>
      </c>
      <c r="V9789">
        <f t="shared" si="610"/>
        <v>0</v>
      </c>
      <c r="W9789">
        <f t="shared" si="611"/>
        <v>0</v>
      </c>
    </row>
    <row r="9790" spans="5:23" x14ac:dyDescent="0.25">
      <c r="E9790" s="4"/>
      <c r="F9790" s="4"/>
      <c r="G9790" s="33" t="str">
        <f>IFERROR(VLOOKUP($D9790,'Informations sur les produits'!$A$3:$H$10000,8,FALSE),"0")</f>
        <v>0</v>
      </c>
      <c r="K9790" s="4"/>
      <c r="L9790" s="33" t="str">
        <f>IFERROR(VLOOKUP($J9790,'Informations sur les produits'!$A$3:$H$10000,8,FALSE),"0")</f>
        <v>0</v>
      </c>
      <c r="N9790" s="8"/>
      <c r="O9790" s="33" t="str">
        <f>IFERROR(VLOOKUP($M9790,'Informations sur les produits'!$A$3:$H$10000,8,FALSE),"0")</f>
        <v>0</v>
      </c>
      <c r="P9790" s="33">
        <f t="shared" si="608"/>
        <v>0</v>
      </c>
      <c r="Q9790" s="31" t="str">
        <f t="shared" si="609"/>
        <v/>
      </c>
      <c r="R9790" s="32" t="str">
        <f>IFERROR(VLOOKUP($D9790,'Informations sur les produits'!$A$3:$B$15000,2,FALSE),"")</f>
        <v/>
      </c>
      <c r="V9790">
        <f t="shared" si="610"/>
        <v>0</v>
      </c>
      <c r="W9790">
        <f t="shared" si="611"/>
        <v>0</v>
      </c>
    </row>
    <row r="9791" spans="5:23" x14ac:dyDescent="0.25">
      <c r="E9791" s="4"/>
      <c r="F9791" s="4"/>
      <c r="G9791" s="33" t="str">
        <f>IFERROR(VLOOKUP($D9791,'Informations sur les produits'!$A$3:$H$10000,8,FALSE),"0")</f>
        <v>0</v>
      </c>
      <c r="K9791" s="4"/>
      <c r="L9791" s="33" t="str">
        <f>IFERROR(VLOOKUP($J9791,'Informations sur les produits'!$A$3:$H$10000,8,FALSE),"0")</f>
        <v>0</v>
      </c>
      <c r="N9791" s="8"/>
      <c r="O9791" s="33" t="str">
        <f>IFERROR(VLOOKUP($M9791,'Informations sur les produits'!$A$3:$H$10000,8,FALSE),"0")</f>
        <v>0</v>
      </c>
      <c r="P9791" s="33">
        <f t="shared" si="608"/>
        <v>0</v>
      </c>
      <c r="Q9791" s="31" t="str">
        <f t="shared" si="609"/>
        <v/>
      </c>
      <c r="R9791" s="32" t="str">
        <f>IFERROR(VLOOKUP($D9791,'Informations sur les produits'!$A$3:$B$15000,2,FALSE),"")</f>
        <v/>
      </c>
      <c r="V9791">
        <f t="shared" si="610"/>
        <v>0</v>
      </c>
      <c r="W9791">
        <f t="shared" si="611"/>
        <v>0</v>
      </c>
    </row>
    <row r="9792" spans="5:23" x14ac:dyDescent="0.25">
      <c r="E9792" s="4"/>
      <c r="F9792" s="4"/>
      <c r="G9792" s="33" t="str">
        <f>IFERROR(VLOOKUP($D9792,'Informations sur les produits'!$A$3:$H$10000,8,FALSE),"0")</f>
        <v>0</v>
      </c>
      <c r="K9792" s="4"/>
      <c r="L9792" s="33" t="str">
        <f>IFERROR(VLOOKUP($J9792,'Informations sur les produits'!$A$3:$H$10000,8,FALSE),"0")</f>
        <v>0</v>
      </c>
      <c r="N9792" s="8"/>
      <c r="O9792" s="33" t="str">
        <f>IFERROR(VLOOKUP($M9792,'Informations sur les produits'!$A$3:$H$10000,8,FALSE),"0")</f>
        <v>0</v>
      </c>
      <c r="P9792" s="33">
        <f t="shared" si="608"/>
        <v>0</v>
      </c>
      <c r="Q9792" s="31" t="str">
        <f t="shared" si="609"/>
        <v/>
      </c>
      <c r="R9792" s="32" t="str">
        <f>IFERROR(VLOOKUP($D9792,'Informations sur les produits'!$A$3:$B$15000,2,FALSE),"")</f>
        <v/>
      </c>
      <c r="V9792">
        <f t="shared" si="610"/>
        <v>0</v>
      </c>
      <c r="W9792">
        <f t="shared" si="611"/>
        <v>0</v>
      </c>
    </row>
    <row r="9793" spans="5:23" x14ac:dyDescent="0.25">
      <c r="E9793" s="4"/>
      <c r="F9793" s="4"/>
      <c r="G9793" s="33" t="str">
        <f>IFERROR(VLOOKUP($D9793,'Informations sur les produits'!$A$3:$H$10000,8,FALSE),"0")</f>
        <v>0</v>
      </c>
      <c r="K9793" s="4"/>
      <c r="L9793" s="33" t="str">
        <f>IFERROR(VLOOKUP($J9793,'Informations sur les produits'!$A$3:$H$10000,8,FALSE),"0")</f>
        <v>0</v>
      </c>
      <c r="N9793" s="8"/>
      <c r="O9793" s="33" t="str">
        <f>IFERROR(VLOOKUP($M9793,'Informations sur les produits'!$A$3:$H$10000,8,FALSE),"0")</f>
        <v>0</v>
      </c>
      <c r="P9793" s="33">
        <f t="shared" si="608"/>
        <v>0</v>
      </c>
      <c r="Q9793" s="31" t="str">
        <f t="shared" si="609"/>
        <v/>
      </c>
      <c r="R9793" s="32" t="str">
        <f>IFERROR(VLOOKUP($D9793,'Informations sur les produits'!$A$3:$B$15000,2,FALSE),"")</f>
        <v/>
      </c>
      <c r="V9793">
        <f t="shared" si="610"/>
        <v>0</v>
      </c>
      <c r="W9793">
        <f t="shared" si="611"/>
        <v>0</v>
      </c>
    </row>
    <row r="9794" spans="5:23" x14ac:dyDescent="0.25">
      <c r="E9794" s="4"/>
      <c r="F9794" s="4"/>
      <c r="G9794" s="33" t="str">
        <f>IFERROR(VLOOKUP($D9794,'Informations sur les produits'!$A$3:$H$10000,8,FALSE),"0")</f>
        <v>0</v>
      </c>
      <c r="K9794" s="4"/>
      <c r="L9794" s="33" t="str">
        <f>IFERROR(VLOOKUP($J9794,'Informations sur les produits'!$A$3:$H$10000,8,FALSE),"0")</f>
        <v>0</v>
      </c>
      <c r="N9794" s="8"/>
      <c r="O9794" s="33" t="str">
        <f>IFERROR(VLOOKUP($M9794,'Informations sur les produits'!$A$3:$H$10000,8,FALSE),"0")</f>
        <v>0</v>
      </c>
      <c r="P9794" s="33">
        <f t="shared" si="608"/>
        <v>0</v>
      </c>
      <c r="Q9794" s="31" t="str">
        <f t="shared" si="609"/>
        <v/>
      </c>
      <c r="R9794" s="32" t="str">
        <f>IFERROR(VLOOKUP($D9794,'Informations sur les produits'!$A$3:$B$15000,2,FALSE),"")</f>
        <v/>
      </c>
      <c r="V9794">
        <f t="shared" si="610"/>
        <v>0</v>
      </c>
      <c r="W9794">
        <f t="shared" si="611"/>
        <v>0</v>
      </c>
    </row>
    <row r="9795" spans="5:23" x14ac:dyDescent="0.25">
      <c r="E9795" s="4"/>
      <c r="F9795" s="4"/>
      <c r="G9795" s="33" t="str">
        <f>IFERROR(VLOOKUP($D9795,'Informations sur les produits'!$A$3:$H$10000,8,FALSE),"0")</f>
        <v>0</v>
      </c>
      <c r="K9795" s="4"/>
      <c r="L9795" s="33" t="str">
        <f>IFERROR(VLOOKUP($J9795,'Informations sur les produits'!$A$3:$H$10000,8,FALSE),"0")</f>
        <v>0</v>
      </c>
      <c r="N9795" s="8"/>
      <c r="O9795" s="33" t="str">
        <f>IFERROR(VLOOKUP($M9795,'Informations sur les produits'!$A$3:$H$10000,8,FALSE),"0")</f>
        <v>0</v>
      </c>
      <c r="P9795" s="33">
        <f t="shared" si="608"/>
        <v>0</v>
      </c>
      <c r="Q9795" s="31" t="str">
        <f t="shared" si="609"/>
        <v/>
      </c>
      <c r="R9795" s="32" t="str">
        <f>IFERROR(VLOOKUP($D9795,'Informations sur les produits'!$A$3:$B$15000,2,FALSE),"")</f>
        <v/>
      </c>
      <c r="V9795">
        <f t="shared" si="610"/>
        <v>0</v>
      </c>
      <c r="W9795">
        <f t="shared" si="611"/>
        <v>0</v>
      </c>
    </row>
    <row r="9796" spans="5:23" x14ac:dyDescent="0.25">
      <c r="E9796" s="4"/>
      <c r="F9796" s="4"/>
      <c r="G9796" s="33" t="str">
        <f>IFERROR(VLOOKUP($D9796,'Informations sur les produits'!$A$3:$H$10000,8,FALSE),"0")</f>
        <v>0</v>
      </c>
      <c r="K9796" s="4"/>
      <c r="L9796" s="33" t="str">
        <f>IFERROR(VLOOKUP($J9796,'Informations sur les produits'!$A$3:$H$10000,8,FALSE),"0")</f>
        <v>0</v>
      </c>
      <c r="N9796" s="8"/>
      <c r="O9796" s="33" t="str">
        <f>IFERROR(VLOOKUP($M9796,'Informations sur les produits'!$A$3:$H$10000,8,FALSE),"0")</f>
        <v>0</v>
      </c>
      <c r="P9796" s="33">
        <f t="shared" ref="P9796:P9859" si="612">IFERROR((($E9796-$F9796)*$G9796+$K9796*$L9796+$N9796*$O9796),"")</f>
        <v>0</v>
      </c>
      <c r="Q9796" s="31" t="str">
        <f t="shared" ref="Q9796:Q9859" si="613">IFERROR((((($E9796-$F9796)*$G9796+$K9796*$L9796+$N9796*$O9796)*1000)/(($E9796-$F9796)+$K9796+$N9796)),"")</f>
        <v/>
      </c>
      <c r="R9796" s="32" t="str">
        <f>IFERROR(VLOOKUP($D9796,'Informations sur les produits'!$A$3:$B$15000,2,FALSE),"")</f>
        <v/>
      </c>
      <c r="V9796">
        <f t="shared" ref="V9796:V9859" si="614">IFERROR(P9796*1000,"")</f>
        <v>0</v>
      </c>
      <c r="W9796">
        <f t="shared" ref="W9796:W9859" si="615">IFERROR(($E9796-$F9796)+$K9796+$N9796,"")</f>
        <v>0</v>
      </c>
    </row>
    <row r="9797" spans="5:23" x14ac:dyDescent="0.25">
      <c r="E9797" s="4"/>
      <c r="F9797" s="4"/>
      <c r="G9797" s="33" t="str">
        <f>IFERROR(VLOOKUP($D9797,'Informations sur les produits'!$A$3:$H$10000,8,FALSE),"0")</f>
        <v>0</v>
      </c>
      <c r="K9797" s="4"/>
      <c r="L9797" s="33" t="str">
        <f>IFERROR(VLOOKUP($J9797,'Informations sur les produits'!$A$3:$H$10000,8,FALSE),"0")</f>
        <v>0</v>
      </c>
      <c r="N9797" s="8"/>
      <c r="O9797" s="33" t="str">
        <f>IFERROR(VLOOKUP($M9797,'Informations sur les produits'!$A$3:$H$10000,8,FALSE),"0")</f>
        <v>0</v>
      </c>
      <c r="P9797" s="33">
        <f t="shared" si="612"/>
        <v>0</v>
      </c>
      <c r="Q9797" s="31" t="str">
        <f t="shared" si="613"/>
        <v/>
      </c>
      <c r="R9797" s="32" t="str">
        <f>IFERROR(VLOOKUP($D9797,'Informations sur les produits'!$A$3:$B$15000,2,FALSE),"")</f>
        <v/>
      </c>
      <c r="V9797">
        <f t="shared" si="614"/>
        <v>0</v>
      </c>
      <c r="W9797">
        <f t="shared" si="615"/>
        <v>0</v>
      </c>
    </row>
    <row r="9798" spans="5:23" x14ac:dyDescent="0.25">
      <c r="E9798" s="4"/>
      <c r="F9798" s="4"/>
      <c r="G9798" s="33" t="str">
        <f>IFERROR(VLOOKUP($D9798,'Informations sur les produits'!$A$3:$H$10000,8,FALSE),"0")</f>
        <v>0</v>
      </c>
      <c r="K9798" s="4"/>
      <c r="L9798" s="33" t="str">
        <f>IFERROR(VLOOKUP($J9798,'Informations sur les produits'!$A$3:$H$10000,8,FALSE),"0")</f>
        <v>0</v>
      </c>
      <c r="N9798" s="8"/>
      <c r="O9798" s="33" t="str">
        <f>IFERROR(VLOOKUP($M9798,'Informations sur les produits'!$A$3:$H$10000,8,FALSE),"0")</f>
        <v>0</v>
      </c>
      <c r="P9798" s="33">
        <f t="shared" si="612"/>
        <v>0</v>
      </c>
      <c r="Q9798" s="31" t="str">
        <f t="shared" si="613"/>
        <v/>
      </c>
      <c r="R9798" s="32" t="str">
        <f>IFERROR(VLOOKUP($D9798,'Informations sur les produits'!$A$3:$B$15000,2,FALSE),"")</f>
        <v/>
      </c>
      <c r="V9798">
        <f t="shared" si="614"/>
        <v>0</v>
      </c>
      <c r="W9798">
        <f t="shared" si="615"/>
        <v>0</v>
      </c>
    </row>
    <row r="9799" spans="5:23" x14ac:dyDescent="0.25">
      <c r="E9799" s="4"/>
      <c r="F9799" s="4"/>
      <c r="G9799" s="33" t="str">
        <f>IFERROR(VLOOKUP($D9799,'Informations sur les produits'!$A$3:$H$10000,8,FALSE),"0")</f>
        <v>0</v>
      </c>
      <c r="K9799" s="4"/>
      <c r="L9799" s="33" t="str">
        <f>IFERROR(VLOOKUP($J9799,'Informations sur les produits'!$A$3:$H$10000,8,FALSE),"0")</f>
        <v>0</v>
      </c>
      <c r="N9799" s="8"/>
      <c r="O9799" s="33" t="str">
        <f>IFERROR(VLOOKUP($M9799,'Informations sur les produits'!$A$3:$H$10000,8,FALSE),"0")</f>
        <v>0</v>
      </c>
      <c r="P9799" s="33">
        <f t="shared" si="612"/>
        <v>0</v>
      </c>
      <c r="Q9799" s="31" t="str">
        <f t="shared" si="613"/>
        <v/>
      </c>
      <c r="R9799" s="32" t="str">
        <f>IFERROR(VLOOKUP($D9799,'Informations sur les produits'!$A$3:$B$15000,2,FALSE),"")</f>
        <v/>
      </c>
      <c r="V9799">
        <f t="shared" si="614"/>
        <v>0</v>
      </c>
      <c r="W9799">
        <f t="shared" si="615"/>
        <v>0</v>
      </c>
    </row>
    <row r="9800" spans="5:23" x14ac:dyDescent="0.25">
      <c r="E9800" s="4"/>
      <c r="F9800" s="4"/>
      <c r="G9800" s="33" t="str">
        <f>IFERROR(VLOOKUP($D9800,'Informations sur les produits'!$A$3:$H$10000,8,FALSE),"0")</f>
        <v>0</v>
      </c>
      <c r="K9800" s="4"/>
      <c r="L9800" s="33" t="str">
        <f>IFERROR(VLOOKUP($J9800,'Informations sur les produits'!$A$3:$H$10000,8,FALSE),"0")</f>
        <v>0</v>
      </c>
      <c r="N9800" s="8"/>
      <c r="O9800" s="33" t="str">
        <f>IFERROR(VLOOKUP($M9800,'Informations sur les produits'!$A$3:$H$10000,8,FALSE),"0")</f>
        <v>0</v>
      </c>
      <c r="P9800" s="33">
        <f t="shared" si="612"/>
        <v>0</v>
      </c>
      <c r="Q9800" s="31" t="str">
        <f t="shared" si="613"/>
        <v/>
      </c>
      <c r="R9800" s="32" t="str">
        <f>IFERROR(VLOOKUP($D9800,'Informations sur les produits'!$A$3:$B$15000,2,FALSE),"")</f>
        <v/>
      </c>
      <c r="V9800">
        <f t="shared" si="614"/>
        <v>0</v>
      </c>
      <c r="W9800">
        <f t="shared" si="615"/>
        <v>0</v>
      </c>
    </row>
    <row r="9801" spans="5:23" x14ac:dyDescent="0.25">
      <c r="E9801" s="4"/>
      <c r="F9801" s="4"/>
      <c r="G9801" s="33" t="str">
        <f>IFERROR(VLOOKUP($D9801,'Informations sur les produits'!$A$3:$H$10000,8,FALSE),"0")</f>
        <v>0</v>
      </c>
      <c r="K9801" s="4"/>
      <c r="L9801" s="33" t="str">
        <f>IFERROR(VLOOKUP($J9801,'Informations sur les produits'!$A$3:$H$10000,8,FALSE),"0")</f>
        <v>0</v>
      </c>
      <c r="N9801" s="8"/>
      <c r="O9801" s="33" t="str">
        <f>IFERROR(VLOOKUP($M9801,'Informations sur les produits'!$A$3:$H$10000,8,FALSE),"0")</f>
        <v>0</v>
      </c>
      <c r="P9801" s="33">
        <f t="shared" si="612"/>
        <v>0</v>
      </c>
      <c r="Q9801" s="31" t="str">
        <f t="shared" si="613"/>
        <v/>
      </c>
      <c r="R9801" s="32" t="str">
        <f>IFERROR(VLOOKUP($D9801,'Informations sur les produits'!$A$3:$B$15000,2,FALSE),"")</f>
        <v/>
      </c>
      <c r="V9801">
        <f t="shared" si="614"/>
        <v>0</v>
      </c>
      <c r="W9801">
        <f t="shared" si="615"/>
        <v>0</v>
      </c>
    </row>
    <row r="9802" spans="5:23" x14ac:dyDescent="0.25">
      <c r="E9802" s="4"/>
      <c r="F9802" s="4"/>
      <c r="G9802" s="33" t="str">
        <f>IFERROR(VLOOKUP($D9802,'Informations sur les produits'!$A$3:$H$10000,8,FALSE),"0")</f>
        <v>0</v>
      </c>
      <c r="K9802" s="4"/>
      <c r="L9802" s="33" t="str">
        <f>IFERROR(VLOOKUP($J9802,'Informations sur les produits'!$A$3:$H$10000,8,FALSE),"0")</f>
        <v>0</v>
      </c>
      <c r="N9802" s="8"/>
      <c r="O9802" s="33" t="str">
        <f>IFERROR(VLOOKUP($M9802,'Informations sur les produits'!$A$3:$H$10000,8,FALSE),"0")</f>
        <v>0</v>
      </c>
      <c r="P9802" s="33">
        <f t="shared" si="612"/>
        <v>0</v>
      </c>
      <c r="Q9802" s="31" t="str">
        <f t="shared" si="613"/>
        <v/>
      </c>
      <c r="R9802" s="32" t="str">
        <f>IFERROR(VLOOKUP($D9802,'Informations sur les produits'!$A$3:$B$15000,2,FALSE),"")</f>
        <v/>
      </c>
      <c r="V9802">
        <f t="shared" si="614"/>
        <v>0</v>
      </c>
      <c r="W9802">
        <f t="shared" si="615"/>
        <v>0</v>
      </c>
    </row>
    <row r="9803" spans="5:23" x14ac:dyDescent="0.25">
      <c r="E9803" s="4"/>
      <c r="F9803" s="4"/>
      <c r="G9803" s="33" t="str">
        <f>IFERROR(VLOOKUP($D9803,'Informations sur les produits'!$A$3:$H$10000,8,FALSE),"0")</f>
        <v>0</v>
      </c>
      <c r="K9803" s="4"/>
      <c r="L9803" s="33" t="str">
        <f>IFERROR(VLOOKUP($J9803,'Informations sur les produits'!$A$3:$H$10000,8,FALSE),"0")</f>
        <v>0</v>
      </c>
      <c r="N9803" s="8"/>
      <c r="O9803" s="33" t="str">
        <f>IFERROR(VLOOKUP($M9803,'Informations sur les produits'!$A$3:$H$10000,8,FALSE),"0")</f>
        <v>0</v>
      </c>
      <c r="P9803" s="33">
        <f t="shared" si="612"/>
        <v>0</v>
      </c>
      <c r="Q9803" s="31" t="str">
        <f t="shared" si="613"/>
        <v/>
      </c>
      <c r="R9803" s="32" t="str">
        <f>IFERROR(VLOOKUP($D9803,'Informations sur les produits'!$A$3:$B$15000,2,FALSE),"")</f>
        <v/>
      </c>
      <c r="V9803">
        <f t="shared" si="614"/>
        <v>0</v>
      </c>
      <c r="W9803">
        <f t="shared" si="615"/>
        <v>0</v>
      </c>
    </row>
    <row r="9804" spans="5:23" x14ac:dyDescent="0.25">
      <c r="E9804" s="4"/>
      <c r="F9804" s="4"/>
      <c r="G9804" s="33" t="str">
        <f>IFERROR(VLOOKUP($D9804,'Informations sur les produits'!$A$3:$H$10000,8,FALSE),"0")</f>
        <v>0</v>
      </c>
      <c r="K9804" s="4"/>
      <c r="L9804" s="33" t="str">
        <f>IFERROR(VLOOKUP($J9804,'Informations sur les produits'!$A$3:$H$10000,8,FALSE),"0")</f>
        <v>0</v>
      </c>
      <c r="N9804" s="8"/>
      <c r="O9804" s="33" t="str">
        <f>IFERROR(VLOOKUP($M9804,'Informations sur les produits'!$A$3:$H$10000,8,FALSE),"0")</f>
        <v>0</v>
      </c>
      <c r="P9804" s="33">
        <f t="shared" si="612"/>
        <v>0</v>
      </c>
      <c r="Q9804" s="31" t="str">
        <f t="shared" si="613"/>
        <v/>
      </c>
      <c r="R9804" s="32" t="str">
        <f>IFERROR(VLOOKUP($D9804,'Informations sur les produits'!$A$3:$B$15000,2,FALSE),"")</f>
        <v/>
      </c>
      <c r="V9804">
        <f t="shared" si="614"/>
        <v>0</v>
      </c>
      <c r="W9804">
        <f t="shared" si="615"/>
        <v>0</v>
      </c>
    </row>
    <row r="9805" spans="5:23" x14ac:dyDescent="0.25">
      <c r="E9805" s="4"/>
      <c r="F9805" s="4"/>
      <c r="G9805" s="33" t="str">
        <f>IFERROR(VLOOKUP($D9805,'Informations sur les produits'!$A$3:$H$10000,8,FALSE),"0")</f>
        <v>0</v>
      </c>
      <c r="K9805" s="4"/>
      <c r="L9805" s="33" t="str">
        <f>IFERROR(VLOOKUP($J9805,'Informations sur les produits'!$A$3:$H$10000,8,FALSE),"0")</f>
        <v>0</v>
      </c>
      <c r="N9805" s="8"/>
      <c r="O9805" s="33" t="str">
        <f>IFERROR(VLOOKUP($M9805,'Informations sur les produits'!$A$3:$H$10000,8,FALSE),"0")</f>
        <v>0</v>
      </c>
      <c r="P9805" s="33">
        <f t="shared" si="612"/>
        <v>0</v>
      </c>
      <c r="Q9805" s="31" t="str">
        <f t="shared" si="613"/>
        <v/>
      </c>
      <c r="R9805" s="32" t="str">
        <f>IFERROR(VLOOKUP($D9805,'Informations sur les produits'!$A$3:$B$15000,2,FALSE),"")</f>
        <v/>
      </c>
      <c r="V9805">
        <f t="shared" si="614"/>
        <v>0</v>
      </c>
      <c r="W9805">
        <f t="shared" si="615"/>
        <v>0</v>
      </c>
    </row>
    <row r="9806" spans="5:23" x14ac:dyDescent="0.25">
      <c r="E9806" s="4"/>
      <c r="F9806" s="4"/>
      <c r="G9806" s="33" t="str">
        <f>IFERROR(VLOOKUP($D9806,'Informations sur les produits'!$A$3:$H$10000,8,FALSE),"0")</f>
        <v>0</v>
      </c>
      <c r="K9806" s="4"/>
      <c r="L9806" s="33" t="str">
        <f>IFERROR(VLOOKUP($J9806,'Informations sur les produits'!$A$3:$H$10000,8,FALSE),"0")</f>
        <v>0</v>
      </c>
      <c r="N9806" s="8"/>
      <c r="O9806" s="33" t="str">
        <f>IFERROR(VLOOKUP($M9806,'Informations sur les produits'!$A$3:$H$10000,8,FALSE),"0")</f>
        <v>0</v>
      </c>
      <c r="P9806" s="33">
        <f t="shared" si="612"/>
        <v>0</v>
      </c>
      <c r="Q9806" s="31" t="str">
        <f t="shared" si="613"/>
        <v/>
      </c>
      <c r="R9806" s="32" t="str">
        <f>IFERROR(VLOOKUP($D9806,'Informations sur les produits'!$A$3:$B$15000,2,FALSE),"")</f>
        <v/>
      </c>
      <c r="V9806">
        <f t="shared" si="614"/>
        <v>0</v>
      </c>
      <c r="W9806">
        <f t="shared" si="615"/>
        <v>0</v>
      </c>
    </row>
    <row r="9807" spans="5:23" x14ac:dyDescent="0.25">
      <c r="E9807" s="4"/>
      <c r="F9807" s="4"/>
      <c r="G9807" s="33" t="str">
        <f>IFERROR(VLOOKUP($D9807,'Informations sur les produits'!$A$3:$H$10000,8,FALSE),"0")</f>
        <v>0</v>
      </c>
      <c r="K9807" s="4"/>
      <c r="L9807" s="33" t="str">
        <f>IFERROR(VLOOKUP($J9807,'Informations sur les produits'!$A$3:$H$10000,8,FALSE),"0")</f>
        <v>0</v>
      </c>
      <c r="N9807" s="8"/>
      <c r="O9807" s="33" t="str">
        <f>IFERROR(VLOOKUP($M9807,'Informations sur les produits'!$A$3:$H$10000,8,FALSE),"0")</f>
        <v>0</v>
      </c>
      <c r="P9807" s="33">
        <f t="shared" si="612"/>
        <v>0</v>
      </c>
      <c r="Q9807" s="31" t="str">
        <f t="shared" si="613"/>
        <v/>
      </c>
      <c r="R9807" s="32" t="str">
        <f>IFERROR(VLOOKUP($D9807,'Informations sur les produits'!$A$3:$B$15000,2,FALSE),"")</f>
        <v/>
      </c>
      <c r="V9807">
        <f t="shared" si="614"/>
        <v>0</v>
      </c>
      <c r="W9807">
        <f t="shared" si="615"/>
        <v>0</v>
      </c>
    </row>
    <row r="9808" spans="5:23" x14ac:dyDescent="0.25">
      <c r="E9808" s="4"/>
      <c r="F9808" s="4"/>
      <c r="G9808" s="33" t="str">
        <f>IFERROR(VLOOKUP($D9808,'Informations sur les produits'!$A$3:$H$10000,8,FALSE),"0")</f>
        <v>0</v>
      </c>
      <c r="K9808" s="4"/>
      <c r="L9808" s="33" t="str">
        <f>IFERROR(VLOOKUP($J9808,'Informations sur les produits'!$A$3:$H$10000,8,FALSE),"0")</f>
        <v>0</v>
      </c>
      <c r="N9808" s="8"/>
      <c r="O9808" s="33" t="str">
        <f>IFERROR(VLOOKUP($M9808,'Informations sur les produits'!$A$3:$H$10000,8,FALSE),"0")</f>
        <v>0</v>
      </c>
      <c r="P9808" s="33">
        <f t="shared" si="612"/>
        <v>0</v>
      </c>
      <c r="Q9808" s="31" t="str">
        <f t="shared" si="613"/>
        <v/>
      </c>
      <c r="R9808" s="32" t="str">
        <f>IFERROR(VLOOKUP($D9808,'Informations sur les produits'!$A$3:$B$15000,2,FALSE),"")</f>
        <v/>
      </c>
      <c r="V9808">
        <f t="shared" si="614"/>
        <v>0</v>
      </c>
      <c r="W9808">
        <f t="shared" si="615"/>
        <v>0</v>
      </c>
    </row>
    <row r="9809" spans="5:23" x14ac:dyDescent="0.25">
      <c r="E9809" s="4"/>
      <c r="F9809" s="4"/>
      <c r="G9809" s="33" t="str">
        <f>IFERROR(VLOOKUP($D9809,'Informations sur les produits'!$A$3:$H$10000,8,FALSE),"0")</f>
        <v>0</v>
      </c>
      <c r="K9809" s="4"/>
      <c r="L9809" s="33" t="str">
        <f>IFERROR(VLOOKUP($J9809,'Informations sur les produits'!$A$3:$H$10000,8,FALSE),"0")</f>
        <v>0</v>
      </c>
      <c r="N9809" s="8"/>
      <c r="O9809" s="33" t="str">
        <f>IFERROR(VLOOKUP($M9809,'Informations sur les produits'!$A$3:$H$10000,8,FALSE),"0")</f>
        <v>0</v>
      </c>
      <c r="P9809" s="33">
        <f t="shared" si="612"/>
        <v>0</v>
      </c>
      <c r="Q9809" s="31" t="str">
        <f t="shared" si="613"/>
        <v/>
      </c>
      <c r="R9809" s="32" t="str">
        <f>IFERROR(VLOOKUP($D9809,'Informations sur les produits'!$A$3:$B$15000,2,FALSE),"")</f>
        <v/>
      </c>
      <c r="V9809">
        <f t="shared" si="614"/>
        <v>0</v>
      </c>
      <c r="W9809">
        <f t="shared" si="615"/>
        <v>0</v>
      </c>
    </row>
    <row r="9810" spans="5:23" x14ac:dyDescent="0.25">
      <c r="E9810" s="4"/>
      <c r="F9810" s="4"/>
      <c r="G9810" s="33" t="str">
        <f>IFERROR(VLOOKUP($D9810,'Informations sur les produits'!$A$3:$H$10000,8,FALSE),"0")</f>
        <v>0</v>
      </c>
      <c r="K9810" s="4"/>
      <c r="L9810" s="33" t="str">
        <f>IFERROR(VLOOKUP($J9810,'Informations sur les produits'!$A$3:$H$10000,8,FALSE),"0")</f>
        <v>0</v>
      </c>
      <c r="N9810" s="8"/>
      <c r="O9810" s="33" t="str">
        <f>IFERROR(VLOOKUP($M9810,'Informations sur les produits'!$A$3:$H$10000,8,FALSE),"0")</f>
        <v>0</v>
      </c>
      <c r="P9810" s="33">
        <f t="shared" si="612"/>
        <v>0</v>
      </c>
      <c r="Q9810" s="31" t="str">
        <f t="shared" si="613"/>
        <v/>
      </c>
      <c r="R9810" s="32" t="str">
        <f>IFERROR(VLOOKUP($D9810,'Informations sur les produits'!$A$3:$B$15000,2,FALSE),"")</f>
        <v/>
      </c>
      <c r="V9810">
        <f t="shared" si="614"/>
        <v>0</v>
      </c>
      <c r="W9810">
        <f t="shared" si="615"/>
        <v>0</v>
      </c>
    </row>
    <row r="9811" spans="5:23" x14ac:dyDescent="0.25">
      <c r="E9811" s="4"/>
      <c r="F9811" s="4"/>
      <c r="G9811" s="33" t="str">
        <f>IFERROR(VLOOKUP($D9811,'Informations sur les produits'!$A$3:$H$10000,8,FALSE),"0")</f>
        <v>0</v>
      </c>
      <c r="K9811" s="4"/>
      <c r="L9811" s="33" t="str">
        <f>IFERROR(VLOOKUP($J9811,'Informations sur les produits'!$A$3:$H$10000,8,FALSE),"0")</f>
        <v>0</v>
      </c>
      <c r="N9811" s="8"/>
      <c r="O9811" s="33" t="str">
        <f>IFERROR(VLOOKUP($M9811,'Informations sur les produits'!$A$3:$H$10000,8,FALSE),"0")</f>
        <v>0</v>
      </c>
      <c r="P9811" s="33">
        <f t="shared" si="612"/>
        <v>0</v>
      </c>
      <c r="Q9811" s="31" t="str">
        <f t="shared" si="613"/>
        <v/>
      </c>
      <c r="R9811" s="32" t="str">
        <f>IFERROR(VLOOKUP($D9811,'Informations sur les produits'!$A$3:$B$15000,2,FALSE),"")</f>
        <v/>
      </c>
      <c r="V9811">
        <f t="shared" si="614"/>
        <v>0</v>
      </c>
      <c r="W9811">
        <f t="shared" si="615"/>
        <v>0</v>
      </c>
    </row>
    <row r="9812" spans="5:23" x14ac:dyDescent="0.25">
      <c r="E9812" s="4"/>
      <c r="F9812" s="4"/>
      <c r="G9812" s="33" t="str">
        <f>IFERROR(VLOOKUP($D9812,'Informations sur les produits'!$A$3:$H$10000,8,FALSE),"0")</f>
        <v>0</v>
      </c>
      <c r="K9812" s="4"/>
      <c r="L9812" s="33" t="str">
        <f>IFERROR(VLOOKUP($J9812,'Informations sur les produits'!$A$3:$H$10000,8,FALSE),"0")</f>
        <v>0</v>
      </c>
      <c r="N9812" s="8"/>
      <c r="O9812" s="33" t="str">
        <f>IFERROR(VLOOKUP($M9812,'Informations sur les produits'!$A$3:$H$10000,8,FALSE),"0")</f>
        <v>0</v>
      </c>
      <c r="P9812" s="33">
        <f t="shared" si="612"/>
        <v>0</v>
      </c>
      <c r="Q9812" s="31" t="str">
        <f t="shared" si="613"/>
        <v/>
      </c>
      <c r="R9812" s="32" t="str">
        <f>IFERROR(VLOOKUP($D9812,'Informations sur les produits'!$A$3:$B$15000,2,FALSE),"")</f>
        <v/>
      </c>
      <c r="V9812">
        <f t="shared" si="614"/>
        <v>0</v>
      </c>
      <c r="W9812">
        <f t="shared" si="615"/>
        <v>0</v>
      </c>
    </row>
    <row r="9813" spans="5:23" x14ac:dyDescent="0.25">
      <c r="E9813" s="4"/>
      <c r="F9813" s="4"/>
      <c r="G9813" s="33" t="str">
        <f>IFERROR(VLOOKUP($D9813,'Informations sur les produits'!$A$3:$H$10000,8,FALSE),"0")</f>
        <v>0</v>
      </c>
      <c r="K9813" s="4"/>
      <c r="L9813" s="33" t="str">
        <f>IFERROR(VLOOKUP($J9813,'Informations sur les produits'!$A$3:$H$10000,8,FALSE),"0")</f>
        <v>0</v>
      </c>
      <c r="N9813" s="8"/>
      <c r="O9813" s="33" t="str">
        <f>IFERROR(VLOOKUP($M9813,'Informations sur les produits'!$A$3:$H$10000,8,FALSE),"0")</f>
        <v>0</v>
      </c>
      <c r="P9813" s="33">
        <f t="shared" si="612"/>
        <v>0</v>
      </c>
      <c r="Q9813" s="31" t="str">
        <f t="shared" si="613"/>
        <v/>
      </c>
      <c r="R9813" s="32" t="str">
        <f>IFERROR(VLOOKUP($D9813,'Informations sur les produits'!$A$3:$B$15000,2,FALSE),"")</f>
        <v/>
      </c>
      <c r="V9813">
        <f t="shared" si="614"/>
        <v>0</v>
      </c>
      <c r="W9813">
        <f t="shared" si="615"/>
        <v>0</v>
      </c>
    </row>
    <row r="9814" spans="5:23" x14ac:dyDescent="0.25">
      <c r="E9814" s="4"/>
      <c r="F9814" s="4"/>
      <c r="G9814" s="33" t="str">
        <f>IFERROR(VLOOKUP($D9814,'Informations sur les produits'!$A$3:$H$10000,8,FALSE),"0")</f>
        <v>0</v>
      </c>
      <c r="K9814" s="4"/>
      <c r="L9814" s="33" t="str">
        <f>IFERROR(VLOOKUP($J9814,'Informations sur les produits'!$A$3:$H$10000,8,FALSE),"0")</f>
        <v>0</v>
      </c>
      <c r="N9814" s="8"/>
      <c r="O9814" s="33" t="str">
        <f>IFERROR(VLOOKUP($M9814,'Informations sur les produits'!$A$3:$H$10000,8,FALSE),"0")</f>
        <v>0</v>
      </c>
      <c r="P9814" s="33">
        <f t="shared" si="612"/>
        <v>0</v>
      </c>
      <c r="Q9814" s="31" t="str">
        <f t="shared" si="613"/>
        <v/>
      </c>
      <c r="R9814" s="32" t="str">
        <f>IFERROR(VLOOKUP($D9814,'Informations sur les produits'!$A$3:$B$15000,2,FALSE),"")</f>
        <v/>
      </c>
      <c r="V9814">
        <f t="shared" si="614"/>
        <v>0</v>
      </c>
      <c r="W9814">
        <f t="shared" si="615"/>
        <v>0</v>
      </c>
    </row>
    <row r="9815" spans="5:23" x14ac:dyDescent="0.25">
      <c r="E9815" s="4"/>
      <c r="F9815" s="4"/>
      <c r="G9815" s="33" t="str">
        <f>IFERROR(VLOOKUP($D9815,'Informations sur les produits'!$A$3:$H$10000,8,FALSE),"0")</f>
        <v>0</v>
      </c>
      <c r="K9815" s="4"/>
      <c r="L9815" s="33" t="str">
        <f>IFERROR(VLOOKUP($J9815,'Informations sur les produits'!$A$3:$H$10000,8,FALSE),"0")</f>
        <v>0</v>
      </c>
      <c r="N9815" s="8"/>
      <c r="O9815" s="33" t="str">
        <f>IFERROR(VLOOKUP($M9815,'Informations sur les produits'!$A$3:$H$10000,8,FALSE),"0")</f>
        <v>0</v>
      </c>
      <c r="P9815" s="33">
        <f t="shared" si="612"/>
        <v>0</v>
      </c>
      <c r="Q9815" s="31" t="str">
        <f t="shared" si="613"/>
        <v/>
      </c>
      <c r="R9815" s="32" t="str">
        <f>IFERROR(VLOOKUP($D9815,'Informations sur les produits'!$A$3:$B$15000,2,FALSE),"")</f>
        <v/>
      </c>
      <c r="V9815">
        <f t="shared" si="614"/>
        <v>0</v>
      </c>
      <c r="W9815">
        <f t="shared" si="615"/>
        <v>0</v>
      </c>
    </row>
    <row r="9816" spans="5:23" x14ac:dyDescent="0.25">
      <c r="E9816" s="4"/>
      <c r="F9816" s="4"/>
      <c r="G9816" s="33" t="str">
        <f>IFERROR(VLOOKUP($D9816,'Informations sur les produits'!$A$3:$H$10000,8,FALSE),"0")</f>
        <v>0</v>
      </c>
      <c r="K9816" s="4"/>
      <c r="L9816" s="33" t="str">
        <f>IFERROR(VLOOKUP($J9816,'Informations sur les produits'!$A$3:$H$10000,8,FALSE),"0")</f>
        <v>0</v>
      </c>
      <c r="N9816" s="8"/>
      <c r="O9816" s="33" t="str">
        <f>IFERROR(VLOOKUP($M9816,'Informations sur les produits'!$A$3:$H$10000,8,FALSE),"0")</f>
        <v>0</v>
      </c>
      <c r="P9816" s="33">
        <f t="shared" si="612"/>
        <v>0</v>
      </c>
      <c r="Q9816" s="31" t="str">
        <f t="shared" si="613"/>
        <v/>
      </c>
      <c r="R9816" s="32" t="str">
        <f>IFERROR(VLOOKUP($D9816,'Informations sur les produits'!$A$3:$B$15000,2,FALSE),"")</f>
        <v/>
      </c>
      <c r="V9816">
        <f t="shared" si="614"/>
        <v>0</v>
      </c>
      <c r="W9816">
        <f t="shared" si="615"/>
        <v>0</v>
      </c>
    </row>
    <row r="9817" spans="5:23" x14ac:dyDescent="0.25">
      <c r="E9817" s="4"/>
      <c r="F9817" s="4"/>
      <c r="G9817" s="33" t="str">
        <f>IFERROR(VLOOKUP($D9817,'Informations sur les produits'!$A$3:$H$10000,8,FALSE),"0")</f>
        <v>0</v>
      </c>
      <c r="K9817" s="4"/>
      <c r="L9817" s="33" t="str">
        <f>IFERROR(VLOOKUP($J9817,'Informations sur les produits'!$A$3:$H$10000,8,FALSE),"0")</f>
        <v>0</v>
      </c>
      <c r="N9817" s="8"/>
      <c r="O9817" s="33" t="str">
        <f>IFERROR(VLOOKUP($M9817,'Informations sur les produits'!$A$3:$H$10000,8,FALSE),"0")</f>
        <v>0</v>
      </c>
      <c r="P9817" s="33">
        <f t="shared" si="612"/>
        <v>0</v>
      </c>
      <c r="Q9817" s="31" t="str">
        <f t="shared" si="613"/>
        <v/>
      </c>
      <c r="R9817" s="32" t="str">
        <f>IFERROR(VLOOKUP($D9817,'Informations sur les produits'!$A$3:$B$15000,2,FALSE),"")</f>
        <v/>
      </c>
      <c r="V9817">
        <f t="shared" si="614"/>
        <v>0</v>
      </c>
      <c r="W9817">
        <f t="shared" si="615"/>
        <v>0</v>
      </c>
    </row>
    <row r="9818" spans="5:23" x14ac:dyDescent="0.25">
      <c r="E9818" s="4"/>
      <c r="F9818" s="4"/>
      <c r="G9818" s="33" t="str">
        <f>IFERROR(VLOOKUP($D9818,'Informations sur les produits'!$A$3:$H$10000,8,FALSE),"0")</f>
        <v>0</v>
      </c>
      <c r="K9818" s="4"/>
      <c r="L9818" s="33" t="str">
        <f>IFERROR(VLOOKUP($J9818,'Informations sur les produits'!$A$3:$H$10000,8,FALSE),"0")</f>
        <v>0</v>
      </c>
      <c r="N9818" s="8"/>
      <c r="O9818" s="33" t="str">
        <f>IFERROR(VLOOKUP($M9818,'Informations sur les produits'!$A$3:$H$10000,8,FALSE),"0")</f>
        <v>0</v>
      </c>
      <c r="P9818" s="33">
        <f t="shared" si="612"/>
        <v>0</v>
      </c>
      <c r="Q9818" s="31" t="str">
        <f t="shared" si="613"/>
        <v/>
      </c>
      <c r="R9818" s="32" t="str">
        <f>IFERROR(VLOOKUP($D9818,'Informations sur les produits'!$A$3:$B$15000,2,FALSE),"")</f>
        <v/>
      </c>
      <c r="V9818">
        <f t="shared" si="614"/>
        <v>0</v>
      </c>
      <c r="W9818">
        <f t="shared" si="615"/>
        <v>0</v>
      </c>
    </row>
    <row r="9819" spans="5:23" x14ac:dyDescent="0.25">
      <c r="E9819" s="4"/>
      <c r="F9819" s="4"/>
      <c r="G9819" s="33" t="str">
        <f>IFERROR(VLOOKUP($D9819,'Informations sur les produits'!$A$3:$H$10000,8,FALSE),"0")</f>
        <v>0</v>
      </c>
      <c r="K9819" s="4"/>
      <c r="L9819" s="33" t="str">
        <f>IFERROR(VLOOKUP($J9819,'Informations sur les produits'!$A$3:$H$10000,8,FALSE),"0")</f>
        <v>0</v>
      </c>
      <c r="N9819" s="8"/>
      <c r="O9819" s="33" t="str">
        <f>IFERROR(VLOOKUP($M9819,'Informations sur les produits'!$A$3:$H$10000,8,FALSE),"0")</f>
        <v>0</v>
      </c>
      <c r="P9819" s="33">
        <f t="shared" si="612"/>
        <v>0</v>
      </c>
      <c r="Q9819" s="31" t="str">
        <f t="shared" si="613"/>
        <v/>
      </c>
      <c r="R9819" s="32" t="str">
        <f>IFERROR(VLOOKUP($D9819,'Informations sur les produits'!$A$3:$B$15000,2,FALSE),"")</f>
        <v/>
      </c>
      <c r="V9819">
        <f t="shared" si="614"/>
        <v>0</v>
      </c>
      <c r="W9819">
        <f t="shared" si="615"/>
        <v>0</v>
      </c>
    </row>
    <row r="9820" spans="5:23" x14ac:dyDescent="0.25">
      <c r="E9820" s="4"/>
      <c r="F9820" s="4"/>
      <c r="G9820" s="33" t="str">
        <f>IFERROR(VLOOKUP($D9820,'Informations sur les produits'!$A$3:$H$10000,8,FALSE),"0")</f>
        <v>0</v>
      </c>
      <c r="K9820" s="4"/>
      <c r="L9820" s="33" t="str">
        <f>IFERROR(VLOOKUP($J9820,'Informations sur les produits'!$A$3:$H$10000,8,FALSE),"0")</f>
        <v>0</v>
      </c>
      <c r="N9820" s="8"/>
      <c r="O9820" s="33" t="str">
        <f>IFERROR(VLOOKUP($M9820,'Informations sur les produits'!$A$3:$H$10000,8,FALSE),"0")</f>
        <v>0</v>
      </c>
      <c r="P9820" s="33">
        <f t="shared" si="612"/>
        <v>0</v>
      </c>
      <c r="Q9820" s="31" t="str">
        <f t="shared" si="613"/>
        <v/>
      </c>
      <c r="R9820" s="32" t="str">
        <f>IFERROR(VLOOKUP($D9820,'Informations sur les produits'!$A$3:$B$15000,2,FALSE),"")</f>
        <v/>
      </c>
      <c r="V9820">
        <f t="shared" si="614"/>
        <v>0</v>
      </c>
      <c r="W9820">
        <f t="shared" si="615"/>
        <v>0</v>
      </c>
    </row>
    <row r="9821" spans="5:23" x14ac:dyDescent="0.25">
      <c r="E9821" s="4"/>
      <c r="F9821" s="4"/>
      <c r="G9821" s="33" t="str">
        <f>IFERROR(VLOOKUP($D9821,'Informations sur les produits'!$A$3:$H$10000,8,FALSE),"0")</f>
        <v>0</v>
      </c>
      <c r="K9821" s="4"/>
      <c r="L9821" s="33" t="str">
        <f>IFERROR(VLOOKUP($J9821,'Informations sur les produits'!$A$3:$H$10000,8,FALSE),"0")</f>
        <v>0</v>
      </c>
      <c r="N9821" s="8"/>
      <c r="O9821" s="33" t="str">
        <f>IFERROR(VLOOKUP($M9821,'Informations sur les produits'!$A$3:$H$10000,8,FALSE),"0")</f>
        <v>0</v>
      </c>
      <c r="P9821" s="33">
        <f t="shared" si="612"/>
        <v>0</v>
      </c>
      <c r="Q9821" s="31" t="str">
        <f t="shared" si="613"/>
        <v/>
      </c>
      <c r="R9821" s="32" t="str">
        <f>IFERROR(VLOOKUP($D9821,'Informations sur les produits'!$A$3:$B$15000,2,FALSE),"")</f>
        <v/>
      </c>
      <c r="V9821">
        <f t="shared" si="614"/>
        <v>0</v>
      </c>
      <c r="W9821">
        <f t="shared" si="615"/>
        <v>0</v>
      </c>
    </row>
    <row r="9822" spans="5:23" x14ac:dyDescent="0.25">
      <c r="E9822" s="4"/>
      <c r="F9822" s="4"/>
      <c r="G9822" s="33" t="str">
        <f>IFERROR(VLOOKUP($D9822,'Informations sur les produits'!$A$3:$H$10000,8,FALSE),"0")</f>
        <v>0</v>
      </c>
      <c r="K9822" s="4"/>
      <c r="L9822" s="33" t="str">
        <f>IFERROR(VLOOKUP($J9822,'Informations sur les produits'!$A$3:$H$10000,8,FALSE),"0")</f>
        <v>0</v>
      </c>
      <c r="N9822" s="8"/>
      <c r="O9822" s="33" t="str">
        <f>IFERROR(VLOOKUP($M9822,'Informations sur les produits'!$A$3:$H$10000,8,FALSE),"0")</f>
        <v>0</v>
      </c>
      <c r="P9822" s="33">
        <f t="shared" si="612"/>
        <v>0</v>
      </c>
      <c r="Q9822" s="31" t="str">
        <f t="shared" si="613"/>
        <v/>
      </c>
      <c r="R9822" s="32" t="str">
        <f>IFERROR(VLOOKUP($D9822,'Informations sur les produits'!$A$3:$B$15000,2,FALSE),"")</f>
        <v/>
      </c>
      <c r="V9822">
        <f t="shared" si="614"/>
        <v>0</v>
      </c>
      <c r="W9822">
        <f t="shared" si="615"/>
        <v>0</v>
      </c>
    </row>
    <row r="9823" spans="5:23" x14ac:dyDescent="0.25">
      <c r="E9823" s="4"/>
      <c r="F9823" s="4"/>
      <c r="G9823" s="33" t="str">
        <f>IFERROR(VLOOKUP($D9823,'Informations sur les produits'!$A$3:$H$10000,8,FALSE),"0")</f>
        <v>0</v>
      </c>
      <c r="K9823" s="4"/>
      <c r="L9823" s="33" t="str">
        <f>IFERROR(VLOOKUP($J9823,'Informations sur les produits'!$A$3:$H$10000,8,FALSE),"0")</f>
        <v>0</v>
      </c>
      <c r="N9823" s="8"/>
      <c r="O9823" s="33" t="str">
        <f>IFERROR(VLOOKUP($M9823,'Informations sur les produits'!$A$3:$H$10000,8,FALSE),"0")</f>
        <v>0</v>
      </c>
      <c r="P9823" s="33">
        <f t="shared" si="612"/>
        <v>0</v>
      </c>
      <c r="Q9823" s="31" t="str">
        <f t="shared" si="613"/>
        <v/>
      </c>
      <c r="R9823" s="32" t="str">
        <f>IFERROR(VLOOKUP($D9823,'Informations sur les produits'!$A$3:$B$15000,2,FALSE),"")</f>
        <v/>
      </c>
      <c r="V9823">
        <f t="shared" si="614"/>
        <v>0</v>
      </c>
      <c r="W9823">
        <f t="shared" si="615"/>
        <v>0</v>
      </c>
    </row>
    <row r="9824" spans="5:23" x14ac:dyDescent="0.25">
      <c r="E9824" s="4"/>
      <c r="F9824" s="4"/>
      <c r="G9824" s="33" t="str">
        <f>IFERROR(VLOOKUP($D9824,'Informations sur les produits'!$A$3:$H$10000,8,FALSE),"0")</f>
        <v>0</v>
      </c>
      <c r="K9824" s="4"/>
      <c r="L9824" s="33" t="str">
        <f>IFERROR(VLOOKUP($J9824,'Informations sur les produits'!$A$3:$H$10000,8,FALSE),"0")</f>
        <v>0</v>
      </c>
      <c r="N9824" s="8"/>
      <c r="O9824" s="33" t="str">
        <f>IFERROR(VLOOKUP($M9824,'Informations sur les produits'!$A$3:$H$10000,8,FALSE),"0")</f>
        <v>0</v>
      </c>
      <c r="P9824" s="33">
        <f t="shared" si="612"/>
        <v>0</v>
      </c>
      <c r="Q9824" s="31" t="str">
        <f t="shared" si="613"/>
        <v/>
      </c>
      <c r="R9824" s="32" t="str">
        <f>IFERROR(VLOOKUP($D9824,'Informations sur les produits'!$A$3:$B$15000,2,FALSE),"")</f>
        <v/>
      </c>
      <c r="V9824">
        <f t="shared" si="614"/>
        <v>0</v>
      </c>
      <c r="W9824">
        <f t="shared" si="615"/>
        <v>0</v>
      </c>
    </row>
    <row r="9825" spans="5:23" x14ac:dyDescent="0.25">
      <c r="E9825" s="4"/>
      <c r="F9825" s="4"/>
      <c r="G9825" s="33" t="str">
        <f>IFERROR(VLOOKUP($D9825,'Informations sur les produits'!$A$3:$H$10000,8,FALSE),"0")</f>
        <v>0</v>
      </c>
      <c r="K9825" s="4"/>
      <c r="L9825" s="33" t="str">
        <f>IFERROR(VLOOKUP($J9825,'Informations sur les produits'!$A$3:$H$10000,8,FALSE),"0")</f>
        <v>0</v>
      </c>
      <c r="N9825" s="8"/>
      <c r="O9825" s="33" t="str">
        <f>IFERROR(VLOOKUP($M9825,'Informations sur les produits'!$A$3:$H$10000,8,FALSE),"0")</f>
        <v>0</v>
      </c>
      <c r="P9825" s="33">
        <f t="shared" si="612"/>
        <v>0</v>
      </c>
      <c r="Q9825" s="31" t="str">
        <f t="shared" si="613"/>
        <v/>
      </c>
      <c r="R9825" s="32" t="str">
        <f>IFERROR(VLOOKUP($D9825,'Informations sur les produits'!$A$3:$B$15000,2,FALSE),"")</f>
        <v/>
      </c>
      <c r="V9825">
        <f t="shared" si="614"/>
        <v>0</v>
      </c>
      <c r="W9825">
        <f t="shared" si="615"/>
        <v>0</v>
      </c>
    </row>
    <row r="9826" spans="5:23" x14ac:dyDescent="0.25">
      <c r="E9826" s="4"/>
      <c r="F9826" s="4"/>
      <c r="G9826" s="33" t="str">
        <f>IFERROR(VLOOKUP($D9826,'Informations sur les produits'!$A$3:$H$10000,8,FALSE),"0")</f>
        <v>0</v>
      </c>
      <c r="K9826" s="4"/>
      <c r="L9826" s="33" t="str">
        <f>IFERROR(VLOOKUP($J9826,'Informations sur les produits'!$A$3:$H$10000,8,FALSE),"0")</f>
        <v>0</v>
      </c>
      <c r="N9826" s="8"/>
      <c r="O9826" s="33" t="str">
        <f>IFERROR(VLOOKUP($M9826,'Informations sur les produits'!$A$3:$H$10000,8,FALSE),"0")</f>
        <v>0</v>
      </c>
      <c r="P9826" s="33">
        <f t="shared" si="612"/>
        <v>0</v>
      </c>
      <c r="Q9826" s="31" t="str">
        <f t="shared" si="613"/>
        <v/>
      </c>
      <c r="R9826" s="32" t="str">
        <f>IFERROR(VLOOKUP($D9826,'Informations sur les produits'!$A$3:$B$15000,2,FALSE),"")</f>
        <v/>
      </c>
      <c r="V9826">
        <f t="shared" si="614"/>
        <v>0</v>
      </c>
      <c r="W9826">
        <f t="shared" si="615"/>
        <v>0</v>
      </c>
    </row>
    <row r="9827" spans="5:23" x14ac:dyDescent="0.25">
      <c r="E9827" s="4"/>
      <c r="F9827" s="4"/>
      <c r="G9827" s="33" t="str">
        <f>IFERROR(VLOOKUP($D9827,'Informations sur les produits'!$A$3:$H$10000,8,FALSE),"0")</f>
        <v>0</v>
      </c>
      <c r="K9827" s="4"/>
      <c r="L9827" s="33" t="str">
        <f>IFERROR(VLOOKUP($J9827,'Informations sur les produits'!$A$3:$H$10000,8,FALSE),"0")</f>
        <v>0</v>
      </c>
      <c r="N9827" s="8"/>
      <c r="O9827" s="33" t="str">
        <f>IFERROR(VLOOKUP($M9827,'Informations sur les produits'!$A$3:$H$10000,8,FALSE),"0")</f>
        <v>0</v>
      </c>
      <c r="P9827" s="33">
        <f t="shared" si="612"/>
        <v>0</v>
      </c>
      <c r="Q9827" s="31" t="str">
        <f t="shared" si="613"/>
        <v/>
      </c>
      <c r="R9827" s="32" t="str">
        <f>IFERROR(VLOOKUP($D9827,'Informations sur les produits'!$A$3:$B$15000,2,FALSE),"")</f>
        <v/>
      </c>
      <c r="V9827">
        <f t="shared" si="614"/>
        <v>0</v>
      </c>
      <c r="W9827">
        <f t="shared" si="615"/>
        <v>0</v>
      </c>
    </row>
    <row r="9828" spans="5:23" x14ac:dyDescent="0.25">
      <c r="E9828" s="4"/>
      <c r="F9828" s="4"/>
      <c r="G9828" s="33" t="str">
        <f>IFERROR(VLOOKUP($D9828,'Informations sur les produits'!$A$3:$H$10000,8,FALSE),"0")</f>
        <v>0</v>
      </c>
      <c r="K9828" s="4"/>
      <c r="L9828" s="33" t="str">
        <f>IFERROR(VLOOKUP($J9828,'Informations sur les produits'!$A$3:$H$10000,8,FALSE),"0")</f>
        <v>0</v>
      </c>
      <c r="N9828" s="8"/>
      <c r="O9828" s="33" t="str">
        <f>IFERROR(VLOOKUP($M9828,'Informations sur les produits'!$A$3:$H$10000,8,FALSE),"0")</f>
        <v>0</v>
      </c>
      <c r="P9828" s="33">
        <f t="shared" si="612"/>
        <v>0</v>
      </c>
      <c r="Q9828" s="31" t="str">
        <f t="shared" si="613"/>
        <v/>
      </c>
      <c r="R9828" s="32" t="str">
        <f>IFERROR(VLOOKUP($D9828,'Informations sur les produits'!$A$3:$B$15000,2,FALSE),"")</f>
        <v/>
      </c>
      <c r="V9828">
        <f t="shared" si="614"/>
        <v>0</v>
      </c>
      <c r="W9828">
        <f t="shared" si="615"/>
        <v>0</v>
      </c>
    </row>
    <row r="9829" spans="5:23" x14ac:dyDescent="0.25">
      <c r="E9829" s="4"/>
      <c r="F9829" s="4"/>
      <c r="G9829" s="33" t="str">
        <f>IFERROR(VLOOKUP($D9829,'Informations sur les produits'!$A$3:$H$10000,8,FALSE),"0")</f>
        <v>0</v>
      </c>
      <c r="K9829" s="4"/>
      <c r="L9829" s="33" t="str">
        <f>IFERROR(VLOOKUP($J9829,'Informations sur les produits'!$A$3:$H$10000,8,FALSE),"0")</f>
        <v>0</v>
      </c>
      <c r="N9829" s="8"/>
      <c r="O9829" s="33" t="str">
        <f>IFERROR(VLOOKUP($M9829,'Informations sur les produits'!$A$3:$H$10000,8,FALSE),"0")</f>
        <v>0</v>
      </c>
      <c r="P9829" s="33">
        <f t="shared" si="612"/>
        <v>0</v>
      </c>
      <c r="Q9829" s="31" t="str">
        <f t="shared" si="613"/>
        <v/>
      </c>
      <c r="R9829" s="32" t="str">
        <f>IFERROR(VLOOKUP($D9829,'Informations sur les produits'!$A$3:$B$15000,2,FALSE),"")</f>
        <v/>
      </c>
      <c r="V9829">
        <f t="shared" si="614"/>
        <v>0</v>
      </c>
      <c r="W9829">
        <f t="shared" si="615"/>
        <v>0</v>
      </c>
    </row>
    <row r="9830" spans="5:23" x14ac:dyDescent="0.25">
      <c r="E9830" s="4"/>
      <c r="F9830" s="4"/>
      <c r="G9830" s="33" t="str">
        <f>IFERROR(VLOOKUP($D9830,'Informations sur les produits'!$A$3:$H$10000,8,FALSE),"0")</f>
        <v>0</v>
      </c>
      <c r="K9830" s="4"/>
      <c r="L9830" s="33" t="str">
        <f>IFERROR(VLOOKUP($J9830,'Informations sur les produits'!$A$3:$H$10000,8,FALSE),"0")</f>
        <v>0</v>
      </c>
      <c r="N9830" s="8"/>
      <c r="O9830" s="33" t="str">
        <f>IFERROR(VLOOKUP($M9830,'Informations sur les produits'!$A$3:$H$10000,8,FALSE),"0")</f>
        <v>0</v>
      </c>
      <c r="P9830" s="33">
        <f t="shared" si="612"/>
        <v>0</v>
      </c>
      <c r="Q9830" s="31" t="str">
        <f t="shared" si="613"/>
        <v/>
      </c>
      <c r="R9830" s="32" t="str">
        <f>IFERROR(VLOOKUP($D9830,'Informations sur les produits'!$A$3:$B$15000,2,FALSE),"")</f>
        <v/>
      </c>
      <c r="V9830">
        <f t="shared" si="614"/>
        <v>0</v>
      </c>
      <c r="W9830">
        <f t="shared" si="615"/>
        <v>0</v>
      </c>
    </row>
    <row r="9831" spans="5:23" x14ac:dyDescent="0.25">
      <c r="E9831" s="4"/>
      <c r="F9831" s="4"/>
      <c r="G9831" s="33" t="str">
        <f>IFERROR(VLOOKUP($D9831,'Informations sur les produits'!$A$3:$H$10000,8,FALSE),"0")</f>
        <v>0</v>
      </c>
      <c r="K9831" s="4"/>
      <c r="L9831" s="33" t="str">
        <f>IFERROR(VLOOKUP($J9831,'Informations sur les produits'!$A$3:$H$10000,8,FALSE),"0")</f>
        <v>0</v>
      </c>
      <c r="N9831" s="8"/>
      <c r="O9831" s="33" t="str">
        <f>IFERROR(VLOOKUP($M9831,'Informations sur les produits'!$A$3:$H$10000,8,FALSE),"0")</f>
        <v>0</v>
      </c>
      <c r="P9831" s="33">
        <f t="shared" si="612"/>
        <v>0</v>
      </c>
      <c r="Q9831" s="31" t="str">
        <f t="shared" si="613"/>
        <v/>
      </c>
      <c r="R9831" s="32" t="str">
        <f>IFERROR(VLOOKUP($D9831,'Informations sur les produits'!$A$3:$B$15000,2,FALSE),"")</f>
        <v/>
      </c>
      <c r="V9831">
        <f t="shared" si="614"/>
        <v>0</v>
      </c>
      <c r="W9831">
        <f t="shared" si="615"/>
        <v>0</v>
      </c>
    </row>
    <row r="9832" spans="5:23" x14ac:dyDescent="0.25">
      <c r="E9832" s="4"/>
      <c r="F9832" s="4"/>
      <c r="G9832" s="33" t="str">
        <f>IFERROR(VLOOKUP($D9832,'Informations sur les produits'!$A$3:$H$10000,8,FALSE),"0")</f>
        <v>0</v>
      </c>
      <c r="K9832" s="4"/>
      <c r="L9832" s="33" t="str">
        <f>IFERROR(VLOOKUP($J9832,'Informations sur les produits'!$A$3:$H$10000,8,FALSE),"0")</f>
        <v>0</v>
      </c>
      <c r="N9832" s="8"/>
      <c r="O9832" s="33" t="str">
        <f>IFERROR(VLOOKUP($M9832,'Informations sur les produits'!$A$3:$H$10000,8,FALSE),"0")</f>
        <v>0</v>
      </c>
      <c r="P9832" s="33">
        <f t="shared" si="612"/>
        <v>0</v>
      </c>
      <c r="Q9832" s="31" t="str">
        <f t="shared" si="613"/>
        <v/>
      </c>
      <c r="R9832" s="32" t="str">
        <f>IFERROR(VLOOKUP($D9832,'Informations sur les produits'!$A$3:$B$15000,2,FALSE),"")</f>
        <v/>
      </c>
      <c r="V9832">
        <f t="shared" si="614"/>
        <v>0</v>
      </c>
      <c r="W9832">
        <f t="shared" si="615"/>
        <v>0</v>
      </c>
    </row>
    <row r="9833" spans="5:23" x14ac:dyDescent="0.25">
      <c r="E9833" s="4"/>
      <c r="F9833" s="4"/>
      <c r="G9833" s="33" t="str">
        <f>IFERROR(VLOOKUP($D9833,'Informations sur les produits'!$A$3:$H$10000,8,FALSE),"0")</f>
        <v>0</v>
      </c>
      <c r="K9833" s="4"/>
      <c r="L9833" s="33" t="str">
        <f>IFERROR(VLOOKUP($J9833,'Informations sur les produits'!$A$3:$H$10000,8,FALSE),"0")</f>
        <v>0</v>
      </c>
      <c r="N9833" s="8"/>
      <c r="O9833" s="33" t="str">
        <f>IFERROR(VLOOKUP($M9833,'Informations sur les produits'!$A$3:$H$10000,8,FALSE),"0")</f>
        <v>0</v>
      </c>
      <c r="P9833" s="33">
        <f t="shared" si="612"/>
        <v>0</v>
      </c>
      <c r="Q9833" s="31" t="str">
        <f t="shared" si="613"/>
        <v/>
      </c>
      <c r="R9833" s="32" t="str">
        <f>IFERROR(VLOOKUP($D9833,'Informations sur les produits'!$A$3:$B$15000,2,FALSE),"")</f>
        <v/>
      </c>
      <c r="V9833">
        <f t="shared" si="614"/>
        <v>0</v>
      </c>
      <c r="W9833">
        <f t="shared" si="615"/>
        <v>0</v>
      </c>
    </row>
    <row r="9834" spans="5:23" x14ac:dyDescent="0.25">
      <c r="E9834" s="4"/>
      <c r="F9834" s="4"/>
      <c r="G9834" s="33" t="str">
        <f>IFERROR(VLOOKUP($D9834,'Informations sur les produits'!$A$3:$H$10000,8,FALSE),"0")</f>
        <v>0</v>
      </c>
      <c r="K9834" s="4"/>
      <c r="L9834" s="33" t="str">
        <f>IFERROR(VLOOKUP($J9834,'Informations sur les produits'!$A$3:$H$10000,8,FALSE),"0")</f>
        <v>0</v>
      </c>
      <c r="N9834" s="8"/>
      <c r="O9834" s="33" t="str">
        <f>IFERROR(VLOOKUP($M9834,'Informations sur les produits'!$A$3:$H$10000,8,FALSE),"0")</f>
        <v>0</v>
      </c>
      <c r="P9834" s="33">
        <f t="shared" si="612"/>
        <v>0</v>
      </c>
      <c r="Q9834" s="31" t="str">
        <f t="shared" si="613"/>
        <v/>
      </c>
      <c r="R9834" s="32" t="str">
        <f>IFERROR(VLOOKUP($D9834,'Informations sur les produits'!$A$3:$B$15000,2,FALSE),"")</f>
        <v/>
      </c>
      <c r="V9834">
        <f t="shared" si="614"/>
        <v>0</v>
      </c>
      <c r="W9834">
        <f t="shared" si="615"/>
        <v>0</v>
      </c>
    </row>
    <row r="9835" spans="5:23" x14ac:dyDescent="0.25">
      <c r="E9835" s="4"/>
      <c r="F9835" s="4"/>
      <c r="G9835" s="33" t="str">
        <f>IFERROR(VLOOKUP($D9835,'Informations sur les produits'!$A$3:$H$10000,8,FALSE),"0")</f>
        <v>0</v>
      </c>
      <c r="K9835" s="4"/>
      <c r="L9835" s="33" t="str">
        <f>IFERROR(VLOOKUP($J9835,'Informations sur les produits'!$A$3:$H$10000,8,FALSE),"0")</f>
        <v>0</v>
      </c>
      <c r="N9835" s="8"/>
      <c r="O9835" s="33" t="str">
        <f>IFERROR(VLOOKUP($M9835,'Informations sur les produits'!$A$3:$H$10000,8,FALSE),"0")</f>
        <v>0</v>
      </c>
      <c r="P9835" s="33">
        <f t="shared" si="612"/>
        <v>0</v>
      </c>
      <c r="Q9835" s="31" t="str">
        <f t="shared" si="613"/>
        <v/>
      </c>
      <c r="R9835" s="32" t="str">
        <f>IFERROR(VLOOKUP($D9835,'Informations sur les produits'!$A$3:$B$15000,2,FALSE),"")</f>
        <v/>
      </c>
      <c r="V9835">
        <f t="shared" si="614"/>
        <v>0</v>
      </c>
      <c r="W9835">
        <f t="shared" si="615"/>
        <v>0</v>
      </c>
    </row>
    <row r="9836" spans="5:23" x14ac:dyDescent="0.25">
      <c r="E9836" s="4"/>
      <c r="F9836" s="4"/>
      <c r="G9836" s="33" t="str">
        <f>IFERROR(VLOOKUP($D9836,'Informations sur les produits'!$A$3:$H$10000,8,FALSE),"0")</f>
        <v>0</v>
      </c>
      <c r="K9836" s="4"/>
      <c r="L9836" s="33" t="str">
        <f>IFERROR(VLOOKUP($J9836,'Informations sur les produits'!$A$3:$H$10000,8,FALSE),"0")</f>
        <v>0</v>
      </c>
      <c r="N9836" s="8"/>
      <c r="O9836" s="33" t="str">
        <f>IFERROR(VLOOKUP($M9836,'Informations sur les produits'!$A$3:$H$10000,8,FALSE),"0")</f>
        <v>0</v>
      </c>
      <c r="P9836" s="33">
        <f t="shared" si="612"/>
        <v>0</v>
      </c>
      <c r="Q9836" s="31" t="str">
        <f t="shared" si="613"/>
        <v/>
      </c>
      <c r="R9836" s="32" t="str">
        <f>IFERROR(VLOOKUP($D9836,'Informations sur les produits'!$A$3:$B$15000,2,FALSE),"")</f>
        <v/>
      </c>
      <c r="V9836">
        <f t="shared" si="614"/>
        <v>0</v>
      </c>
      <c r="W9836">
        <f t="shared" si="615"/>
        <v>0</v>
      </c>
    </row>
    <row r="9837" spans="5:23" x14ac:dyDescent="0.25">
      <c r="E9837" s="4"/>
      <c r="F9837" s="4"/>
      <c r="G9837" s="33" t="str">
        <f>IFERROR(VLOOKUP($D9837,'Informations sur les produits'!$A$3:$H$10000,8,FALSE),"0")</f>
        <v>0</v>
      </c>
      <c r="K9837" s="4"/>
      <c r="L9837" s="33" t="str">
        <f>IFERROR(VLOOKUP($J9837,'Informations sur les produits'!$A$3:$H$10000,8,FALSE),"0")</f>
        <v>0</v>
      </c>
      <c r="N9837" s="8"/>
      <c r="O9837" s="33" t="str">
        <f>IFERROR(VLOOKUP($M9837,'Informations sur les produits'!$A$3:$H$10000,8,FALSE),"0")</f>
        <v>0</v>
      </c>
      <c r="P9837" s="33">
        <f t="shared" si="612"/>
        <v>0</v>
      </c>
      <c r="Q9837" s="31" t="str">
        <f t="shared" si="613"/>
        <v/>
      </c>
      <c r="R9837" s="32" t="str">
        <f>IFERROR(VLOOKUP($D9837,'Informations sur les produits'!$A$3:$B$15000,2,FALSE),"")</f>
        <v/>
      </c>
      <c r="V9837">
        <f t="shared" si="614"/>
        <v>0</v>
      </c>
      <c r="W9837">
        <f t="shared" si="615"/>
        <v>0</v>
      </c>
    </row>
    <row r="9838" spans="5:23" x14ac:dyDescent="0.25">
      <c r="E9838" s="4"/>
      <c r="F9838" s="4"/>
      <c r="G9838" s="33" t="str">
        <f>IFERROR(VLOOKUP($D9838,'Informations sur les produits'!$A$3:$H$10000,8,FALSE),"0")</f>
        <v>0</v>
      </c>
      <c r="K9838" s="4"/>
      <c r="L9838" s="33" t="str">
        <f>IFERROR(VLOOKUP($J9838,'Informations sur les produits'!$A$3:$H$10000,8,FALSE),"0")</f>
        <v>0</v>
      </c>
      <c r="N9838" s="8"/>
      <c r="O9838" s="33" t="str">
        <f>IFERROR(VLOOKUP($M9838,'Informations sur les produits'!$A$3:$H$10000,8,FALSE),"0")</f>
        <v>0</v>
      </c>
      <c r="P9838" s="33">
        <f t="shared" si="612"/>
        <v>0</v>
      </c>
      <c r="Q9838" s="31" t="str">
        <f t="shared" si="613"/>
        <v/>
      </c>
      <c r="R9838" s="32" t="str">
        <f>IFERROR(VLOOKUP($D9838,'Informations sur les produits'!$A$3:$B$15000,2,FALSE),"")</f>
        <v/>
      </c>
      <c r="V9838">
        <f t="shared" si="614"/>
        <v>0</v>
      </c>
      <c r="W9838">
        <f t="shared" si="615"/>
        <v>0</v>
      </c>
    </row>
    <row r="9839" spans="5:23" x14ac:dyDescent="0.25">
      <c r="E9839" s="4"/>
      <c r="F9839" s="4"/>
      <c r="G9839" s="33" t="str">
        <f>IFERROR(VLOOKUP($D9839,'Informations sur les produits'!$A$3:$H$10000,8,FALSE),"0")</f>
        <v>0</v>
      </c>
      <c r="K9839" s="4"/>
      <c r="L9839" s="33" t="str">
        <f>IFERROR(VLOOKUP($J9839,'Informations sur les produits'!$A$3:$H$10000,8,FALSE),"0")</f>
        <v>0</v>
      </c>
      <c r="N9839" s="8"/>
      <c r="O9839" s="33" t="str">
        <f>IFERROR(VLOOKUP($M9839,'Informations sur les produits'!$A$3:$H$10000,8,FALSE),"0")</f>
        <v>0</v>
      </c>
      <c r="P9839" s="33">
        <f t="shared" si="612"/>
        <v>0</v>
      </c>
      <c r="Q9839" s="31" t="str">
        <f t="shared" si="613"/>
        <v/>
      </c>
      <c r="R9839" s="32" t="str">
        <f>IFERROR(VLOOKUP($D9839,'Informations sur les produits'!$A$3:$B$15000,2,FALSE),"")</f>
        <v/>
      </c>
      <c r="V9839">
        <f t="shared" si="614"/>
        <v>0</v>
      </c>
      <c r="W9839">
        <f t="shared" si="615"/>
        <v>0</v>
      </c>
    </row>
    <row r="9840" spans="5:23" x14ac:dyDescent="0.25">
      <c r="E9840" s="4"/>
      <c r="F9840" s="4"/>
      <c r="G9840" s="33" t="str">
        <f>IFERROR(VLOOKUP($D9840,'Informations sur les produits'!$A$3:$H$10000,8,FALSE),"0")</f>
        <v>0</v>
      </c>
      <c r="K9840" s="4"/>
      <c r="L9840" s="33" t="str">
        <f>IFERROR(VLOOKUP($J9840,'Informations sur les produits'!$A$3:$H$10000,8,FALSE),"0")</f>
        <v>0</v>
      </c>
      <c r="N9840" s="8"/>
      <c r="O9840" s="33" t="str">
        <f>IFERROR(VLOOKUP($M9840,'Informations sur les produits'!$A$3:$H$10000,8,FALSE),"0")</f>
        <v>0</v>
      </c>
      <c r="P9840" s="33">
        <f t="shared" si="612"/>
        <v>0</v>
      </c>
      <c r="Q9840" s="31" t="str">
        <f t="shared" si="613"/>
        <v/>
      </c>
      <c r="R9840" s="32" t="str">
        <f>IFERROR(VLOOKUP($D9840,'Informations sur les produits'!$A$3:$B$15000,2,FALSE),"")</f>
        <v/>
      </c>
      <c r="V9840">
        <f t="shared" si="614"/>
        <v>0</v>
      </c>
      <c r="W9840">
        <f t="shared" si="615"/>
        <v>0</v>
      </c>
    </row>
    <row r="9841" spans="5:23" x14ac:dyDescent="0.25">
      <c r="E9841" s="4"/>
      <c r="F9841" s="4"/>
      <c r="G9841" s="33" t="str">
        <f>IFERROR(VLOOKUP($D9841,'Informations sur les produits'!$A$3:$H$10000,8,FALSE),"0")</f>
        <v>0</v>
      </c>
      <c r="K9841" s="4"/>
      <c r="L9841" s="33" t="str">
        <f>IFERROR(VLOOKUP($J9841,'Informations sur les produits'!$A$3:$H$10000,8,FALSE),"0")</f>
        <v>0</v>
      </c>
      <c r="N9841" s="8"/>
      <c r="O9841" s="33" t="str">
        <f>IFERROR(VLOOKUP($M9841,'Informations sur les produits'!$A$3:$H$10000,8,FALSE),"0")</f>
        <v>0</v>
      </c>
      <c r="P9841" s="33">
        <f t="shared" si="612"/>
        <v>0</v>
      </c>
      <c r="Q9841" s="31" t="str">
        <f t="shared" si="613"/>
        <v/>
      </c>
      <c r="R9841" s="32" t="str">
        <f>IFERROR(VLOOKUP($D9841,'Informations sur les produits'!$A$3:$B$15000,2,FALSE),"")</f>
        <v/>
      </c>
      <c r="V9841">
        <f t="shared" si="614"/>
        <v>0</v>
      </c>
      <c r="W9841">
        <f t="shared" si="615"/>
        <v>0</v>
      </c>
    </row>
    <row r="9842" spans="5:23" x14ac:dyDescent="0.25">
      <c r="E9842" s="4"/>
      <c r="F9842" s="4"/>
      <c r="G9842" s="33" t="str">
        <f>IFERROR(VLOOKUP($D9842,'Informations sur les produits'!$A$3:$H$10000,8,FALSE),"0")</f>
        <v>0</v>
      </c>
      <c r="K9842" s="4"/>
      <c r="L9842" s="33" t="str">
        <f>IFERROR(VLOOKUP($J9842,'Informations sur les produits'!$A$3:$H$10000,8,FALSE),"0")</f>
        <v>0</v>
      </c>
      <c r="N9842" s="8"/>
      <c r="O9842" s="33" t="str">
        <f>IFERROR(VLOOKUP($M9842,'Informations sur les produits'!$A$3:$H$10000,8,FALSE),"0")</f>
        <v>0</v>
      </c>
      <c r="P9842" s="33">
        <f t="shared" si="612"/>
        <v>0</v>
      </c>
      <c r="Q9842" s="31" t="str">
        <f t="shared" si="613"/>
        <v/>
      </c>
      <c r="R9842" s="32" t="str">
        <f>IFERROR(VLOOKUP($D9842,'Informations sur les produits'!$A$3:$B$15000,2,FALSE),"")</f>
        <v/>
      </c>
      <c r="V9842">
        <f t="shared" si="614"/>
        <v>0</v>
      </c>
      <c r="W9842">
        <f t="shared" si="615"/>
        <v>0</v>
      </c>
    </row>
    <row r="9843" spans="5:23" x14ac:dyDescent="0.25">
      <c r="E9843" s="4"/>
      <c r="F9843" s="4"/>
      <c r="G9843" s="33" t="str">
        <f>IFERROR(VLOOKUP($D9843,'Informations sur les produits'!$A$3:$H$10000,8,FALSE),"0")</f>
        <v>0</v>
      </c>
      <c r="K9843" s="4"/>
      <c r="L9843" s="33" t="str">
        <f>IFERROR(VLOOKUP($J9843,'Informations sur les produits'!$A$3:$H$10000,8,FALSE),"0")</f>
        <v>0</v>
      </c>
      <c r="N9843" s="8"/>
      <c r="O9843" s="33" t="str">
        <f>IFERROR(VLOOKUP($M9843,'Informations sur les produits'!$A$3:$H$10000,8,FALSE),"0")</f>
        <v>0</v>
      </c>
      <c r="P9843" s="33">
        <f t="shared" si="612"/>
        <v>0</v>
      </c>
      <c r="Q9843" s="31" t="str">
        <f t="shared" si="613"/>
        <v/>
      </c>
      <c r="R9843" s="32" t="str">
        <f>IFERROR(VLOOKUP($D9843,'Informations sur les produits'!$A$3:$B$15000,2,FALSE),"")</f>
        <v/>
      </c>
      <c r="V9843">
        <f t="shared" si="614"/>
        <v>0</v>
      </c>
      <c r="W9843">
        <f t="shared" si="615"/>
        <v>0</v>
      </c>
    </row>
    <row r="9844" spans="5:23" x14ac:dyDescent="0.25">
      <c r="E9844" s="4"/>
      <c r="F9844" s="4"/>
      <c r="G9844" s="33" t="str">
        <f>IFERROR(VLOOKUP($D9844,'Informations sur les produits'!$A$3:$H$10000,8,FALSE),"0")</f>
        <v>0</v>
      </c>
      <c r="K9844" s="4"/>
      <c r="L9844" s="33" t="str">
        <f>IFERROR(VLOOKUP($J9844,'Informations sur les produits'!$A$3:$H$10000,8,FALSE),"0")</f>
        <v>0</v>
      </c>
      <c r="N9844" s="8"/>
      <c r="O9844" s="33" t="str">
        <f>IFERROR(VLOOKUP($M9844,'Informations sur les produits'!$A$3:$H$10000,8,FALSE),"0")</f>
        <v>0</v>
      </c>
      <c r="P9844" s="33">
        <f t="shared" si="612"/>
        <v>0</v>
      </c>
      <c r="Q9844" s="31" t="str">
        <f t="shared" si="613"/>
        <v/>
      </c>
      <c r="R9844" s="32" t="str">
        <f>IFERROR(VLOOKUP($D9844,'Informations sur les produits'!$A$3:$B$15000,2,FALSE),"")</f>
        <v/>
      </c>
      <c r="V9844">
        <f t="shared" si="614"/>
        <v>0</v>
      </c>
      <c r="W9844">
        <f t="shared" si="615"/>
        <v>0</v>
      </c>
    </row>
    <row r="9845" spans="5:23" x14ac:dyDescent="0.25">
      <c r="E9845" s="4"/>
      <c r="F9845" s="4"/>
      <c r="G9845" s="33" t="str">
        <f>IFERROR(VLOOKUP($D9845,'Informations sur les produits'!$A$3:$H$10000,8,FALSE),"0")</f>
        <v>0</v>
      </c>
      <c r="K9845" s="4"/>
      <c r="L9845" s="33" t="str">
        <f>IFERROR(VLOOKUP($J9845,'Informations sur les produits'!$A$3:$H$10000,8,FALSE),"0")</f>
        <v>0</v>
      </c>
      <c r="N9845" s="8"/>
      <c r="O9845" s="33" t="str">
        <f>IFERROR(VLOOKUP($M9845,'Informations sur les produits'!$A$3:$H$10000,8,FALSE),"0")</f>
        <v>0</v>
      </c>
      <c r="P9845" s="33">
        <f t="shared" si="612"/>
        <v>0</v>
      </c>
      <c r="Q9845" s="31" t="str">
        <f t="shared" si="613"/>
        <v/>
      </c>
      <c r="R9845" s="32" t="str">
        <f>IFERROR(VLOOKUP($D9845,'Informations sur les produits'!$A$3:$B$15000,2,FALSE),"")</f>
        <v/>
      </c>
      <c r="V9845">
        <f t="shared" si="614"/>
        <v>0</v>
      </c>
      <c r="W9845">
        <f t="shared" si="615"/>
        <v>0</v>
      </c>
    </row>
    <row r="9846" spans="5:23" x14ac:dyDescent="0.25">
      <c r="E9846" s="4"/>
      <c r="F9846" s="4"/>
      <c r="G9846" s="33" t="str">
        <f>IFERROR(VLOOKUP($D9846,'Informations sur les produits'!$A$3:$H$10000,8,FALSE),"0")</f>
        <v>0</v>
      </c>
      <c r="K9846" s="4"/>
      <c r="L9846" s="33" t="str">
        <f>IFERROR(VLOOKUP($J9846,'Informations sur les produits'!$A$3:$H$10000,8,FALSE),"0")</f>
        <v>0</v>
      </c>
      <c r="N9846" s="8"/>
      <c r="O9846" s="33" t="str">
        <f>IFERROR(VLOOKUP($M9846,'Informations sur les produits'!$A$3:$H$10000,8,FALSE),"0")</f>
        <v>0</v>
      </c>
      <c r="P9846" s="33">
        <f t="shared" si="612"/>
        <v>0</v>
      </c>
      <c r="Q9846" s="31" t="str">
        <f t="shared" si="613"/>
        <v/>
      </c>
      <c r="R9846" s="32" t="str">
        <f>IFERROR(VLOOKUP($D9846,'Informations sur les produits'!$A$3:$B$15000,2,FALSE),"")</f>
        <v/>
      </c>
      <c r="V9846">
        <f t="shared" si="614"/>
        <v>0</v>
      </c>
      <c r="W9846">
        <f t="shared" si="615"/>
        <v>0</v>
      </c>
    </row>
    <row r="9847" spans="5:23" x14ac:dyDescent="0.25">
      <c r="E9847" s="4"/>
      <c r="F9847" s="4"/>
      <c r="G9847" s="33" t="str">
        <f>IFERROR(VLOOKUP($D9847,'Informations sur les produits'!$A$3:$H$10000,8,FALSE),"0")</f>
        <v>0</v>
      </c>
      <c r="K9847" s="4"/>
      <c r="L9847" s="33" t="str">
        <f>IFERROR(VLOOKUP($J9847,'Informations sur les produits'!$A$3:$H$10000,8,FALSE),"0")</f>
        <v>0</v>
      </c>
      <c r="N9847" s="8"/>
      <c r="O9847" s="33" t="str">
        <f>IFERROR(VLOOKUP($M9847,'Informations sur les produits'!$A$3:$H$10000,8,FALSE),"0")</f>
        <v>0</v>
      </c>
      <c r="P9847" s="33">
        <f t="shared" si="612"/>
        <v>0</v>
      </c>
      <c r="Q9847" s="31" t="str">
        <f t="shared" si="613"/>
        <v/>
      </c>
      <c r="R9847" s="32" t="str">
        <f>IFERROR(VLOOKUP($D9847,'Informations sur les produits'!$A$3:$B$15000,2,FALSE),"")</f>
        <v/>
      </c>
      <c r="V9847">
        <f t="shared" si="614"/>
        <v>0</v>
      </c>
      <c r="W9847">
        <f t="shared" si="615"/>
        <v>0</v>
      </c>
    </row>
    <row r="9848" spans="5:23" x14ac:dyDescent="0.25">
      <c r="E9848" s="4"/>
      <c r="F9848" s="4"/>
      <c r="G9848" s="33" t="str">
        <f>IFERROR(VLOOKUP($D9848,'Informations sur les produits'!$A$3:$H$10000,8,FALSE),"0")</f>
        <v>0</v>
      </c>
      <c r="K9848" s="4"/>
      <c r="L9848" s="33" t="str">
        <f>IFERROR(VLOOKUP($J9848,'Informations sur les produits'!$A$3:$H$10000,8,FALSE),"0")</f>
        <v>0</v>
      </c>
      <c r="N9848" s="8"/>
      <c r="O9848" s="33" t="str">
        <f>IFERROR(VLOOKUP($M9848,'Informations sur les produits'!$A$3:$H$10000,8,FALSE),"0")</f>
        <v>0</v>
      </c>
      <c r="P9848" s="33">
        <f t="shared" si="612"/>
        <v>0</v>
      </c>
      <c r="Q9848" s="31" t="str">
        <f t="shared" si="613"/>
        <v/>
      </c>
      <c r="R9848" s="32" t="str">
        <f>IFERROR(VLOOKUP($D9848,'Informations sur les produits'!$A$3:$B$15000,2,FALSE),"")</f>
        <v/>
      </c>
      <c r="V9848">
        <f t="shared" si="614"/>
        <v>0</v>
      </c>
      <c r="W9848">
        <f t="shared" si="615"/>
        <v>0</v>
      </c>
    </row>
    <row r="9849" spans="5:23" x14ac:dyDescent="0.25">
      <c r="E9849" s="4"/>
      <c r="F9849" s="4"/>
      <c r="G9849" s="33" t="str">
        <f>IFERROR(VLOOKUP($D9849,'Informations sur les produits'!$A$3:$H$10000,8,FALSE),"0")</f>
        <v>0</v>
      </c>
      <c r="K9849" s="4"/>
      <c r="L9849" s="33" t="str">
        <f>IFERROR(VLOOKUP($J9849,'Informations sur les produits'!$A$3:$H$10000,8,FALSE),"0")</f>
        <v>0</v>
      </c>
      <c r="N9849" s="8"/>
      <c r="O9849" s="33" t="str">
        <f>IFERROR(VLOOKUP($M9849,'Informations sur les produits'!$A$3:$H$10000,8,FALSE),"0")</f>
        <v>0</v>
      </c>
      <c r="P9849" s="33">
        <f t="shared" si="612"/>
        <v>0</v>
      </c>
      <c r="Q9849" s="31" t="str">
        <f t="shared" si="613"/>
        <v/>
      </c>
      <c r="R9849" s="32" t="str">
        <f>IFERROR(VLOOKUP($D9849,'Informations sur les produits'!$A$3:$B$15000,2,FALSE),"")</f>
        <v/>
      </c>
      <c r="V9849">
        <f t="shared" si="614"/>
        <v>0</v>
      </c>
      <c r="W9849">
        <f t="shared" si="615"/>
        <v>0</v>
      </c>
    </row>
    <row r="9850" spans="5:23" x14ac:dyDescent="0.25">
      <c r="E9850" s="4"/>
      <c r="F9850" s="4"/>
      <c r="G9850" s="33" t="str">
        <f>IFERROR(VLOOKUP($D9850,'Informations sur les produits'!$A$3:$H$10000,8,FALSE),"0")</f>
        <v>0</v>
      </c>
      <c r="K9850" s="4"/>
      <c r="L9850" s="33" t="str">
        <f>IFERROR(VLOOKUP($J9850,'Informations sur les produits'!$A$3:$H$10000,8,FALSE),"0")</f>
        <v>0</v>
      </c>
      <c r="N9850" s="8"/>
      <c r="O9850" s="33" t="str">
        <f>IFERROR(VLOOKUP($M9850,'Informations sur les produits'!$A$3:$H$10000,8,FALSE),"0")</f>
        <v>0</v>
      </c>
      <c r="P9850" s="33">
        <f t="shared" si="612"/>
        <v>0</v>
      </c>
      <c r="Q9850" s="31" t="str">
        <f t="shared" si="613"/>
        <v/>
      </c>
      <c r="R9850" s="32" t="str">
        <f>IFERROR(VLOOKUP($D9850,'Informations sur les produits'!$A$3:$B$15000,2,FALSE),"")</f>
        <v/>
      </c>
      <c r="V9850">
        <f t="shared" si="614"/>
        <v>0</v>
      </c>
      <c r="W9850">
        <f t="shared" si="615"/>
        <v>0</v>
      </c>
    </row>
    <row r="9851" spans="5:23" x14ac:dyDescent="0.25">
      <c r="E9851" s="4"/>
      <c r="F9851" s="4"/>
      <c r="G9851" s="33" t="str">
        <f>IFERROR(VLOOKUP($D9851,'Informations sur les produits'!$A$3:$H$10000,8,FALSE),"0")</f>
        <v>0</v>
      </c>
      <c r="K9851" s="4"/>
      <c r="L9851" s="33" t="str">
        <f>IFERROR(VLOOKUP($J9851,'Informations sur les produits'!$A$3:$H$10000,8,FALSE),"0")</f>
        <v>0</v>
      </c>
      <c r="N9851" s="8"/>
      <c r="O9851" s="33" t="str">
        <f>IFERROR(VLOOKUP($M9851,'Informations sur les produits'!$A$3:$H$10000,8,FALSE),"0")</f>
        <v>0</v>
      </c>
      <c r="P9851" s="33">
        <f t="shared" si="612"/>
        <v>0</v>
      </c>
      <c r="Q9851" s="31" t="str">
        <f t="shared" si="613"/>
        <v/>
      </c>
      <c r="R9851" s="32" t="str">
        <f>IFERROR(VLOOKUP($D9851,'Informations sur les produits'!$A$3:$B$15000,2,FALSE),"")</f>
        <v/>
      </c>
      <c r="V9851">
        <f t="shared" si="614"/>
        <v>0</v>
      </c>
      <c r="W9851">
        <f t="shared" si="615"/>
        <v>0</v>
      </c>
    </row>
    <row r="9852" spans="5:23" x14ac:dyDescent="0.25">
      <c r="E9852" s="4"/>
      <c r="F9852" s="4"/>
      <c r="G9852" s="33" t="str">
        <f>IFERROR(VLOOKUP($D9852,'Informations sur les produits'!$A$3:$H$10000,8,FALSE),"0")</f>
        <v>0</v>
      </c>
      <c r="K9852" s="4"/>
      <c r="L9852" s="33" t="str">
        <f>IFERROR(VLOOKUP($J9852,'Informations sur les produits'!$A$3:$H$10000,8,FALSE),"0")</f>
        <v>0</v>
      </c>
      <c r="N9852" s="8"/>
      <c r="O9852" s="33" t="str">
        <f>IFERROR(VLOOKUP($M9852,'Informations sur les produits'!$A$3:$H$10000,8,FALSE),"0")</f>
        <v>0</v>
      </c>
      <c r="P9852" s="33">
        <f t="shared" si="612"/>
        <v>0</v>
      </c>
      <c r="Q9852" s="31" t="str">
        <f t="shared" si="613"/>
        <v/>
      </c>
      <c r="R9852" s="32" t="str">
        <f>IFERROR(VLOOKUP($D9852,'Informations sur les produits'!$A$3:$B$15000,2,FALSE),"")</f>
        <v/>
      </c>
      <c r="V9852">
        <f t="shared" si="614"/>
        <v>0</v>
      </c>
      <c r="W9852">
        <f t="shared" si="615"/>
        <v>0</v>
      </c>
    </row>
    <row r="9853" spans="5:23" x14ac:dyDescent="0.25">
      <c r="E9853" s="4"/>
      <c r="F9853" s="4"/>
      <c r="G9853" s="33" t="str">
        <f>IFERROR(VLOOKUP($D9853,'Informations sur les produits'!$A$3:$H$10000,8,FALSE),"0")</f>
        <v>0</v>
      </c>
      <c r="K9853" s="4"/>
      <c r="L9853" s="33" t="str">
        <f>IFERROR(VLOOKUP($J9853,'Informations sur les produits'!$A$3:$H$10000,8,FALSE),"0")</f>
        <v>0</v>
      </c>
      <c r="N9853" s="8"/>
      <c r="O9853" s="33" t="str">
        <f>IFERROR(VLOOKUP($M9853,'Informations sur les produits'!$A$3:$H$10000,8,FALSE),"0")</f>
        <v>0</v>
      </c>
      <c r="P9853" s="33">
        <f t="shared" si="612"/>
        <v>0</v>
      </c>
      <c r="Q9853" s="31" t="str">
        <f t="shared" si="613"/>
        <v/>
      </c>
      <c r="R9853" s="32" t="str">
        <f>IFERROR(VLOOKUP($D9853,'Informations sur les produits'!$A$3:$B$15000,2,FALSE),"")</f>
        <v/>
      </c>
      <c r="V9853">
        <f t="shared" si="614"/>
        <v>0</v>
      </c>
      <c r="W9853">
        <f t="shared" si="615"/>
        <v>0</v>
      </c>
    </row>
    <row r="9854" spans="5:23" x14ac:dyDescent="0.25">
      <c r="E9854" s="4"/>
      <c r="F9854" s="4"/>
      <c r="G9854" s="33" t="str">
        <f>IFERROR(VLOOKUP($D9854,'Informations sur les produits'!$A$3:$H$10000,8,FALSE),"0")</f>
        <v>0</v>
      </c>
      <c r="K9854" s="4"/>
      <c r="L9854" s="33" t="str">
        <f>IFERROR(VLOOKUP($J9854,'Informations sur les produits'!$A$3:$H$10000,8,FALSE),"0")</f>
        <v>0</v>
      </c>
      <c r="N9854" s="8"/>
      <c r="O9854" s="33" t="str">
        <f>IFERROR(VLOOKUP($M9854,'Informations sur les produits'!$A$3:$H$10000,8,FALSE),"0")</f>
        <v>0</v>
      </c>
      <c r="P9854" s="33">
        <f t="shared" si="612"/>
        <v>0</v>
      </c>
      <c r="Q9854" s="31" t="str">
        <f t="shared" si="613"/>
        <v/>
      </c>
      <c r="R9854" s="32" t="str">
        <f>IFERROR(VLOOKUP($D9854,'Informations sur les produits'!$A$3:$B$15000,2,FALSE),"")</f>
        <v/>
      </c>
      <c r="V9854">
        <f t="shared" si="614"/>
        <v>0</v>
      </c>
      <c r="W9854">
        <f t="shared" si="615"/>
        <v>0</v>
      </c>
    </row>
    <row r="9855" spans="5:23" x14ac:dyDescent="0.25">
      <c r="E9855" s="4"/>
      <c r="F9855" s="4"/>
      <c r="G9855" s="33" t="str">
        <f>IFERROR(VLOOKUP($D9855,'Informations sur les produits'!$A$3:$H$10000,8,FALSE),"0")</f>
        <v>0</v>
      </c>
      <c r="K9855" s="4"/>
      <c r="L9855" s="33" t="str">
        <f>IFERROR(VLOOKUP($J9855,'Informations sur les produits'!$A$3:$H$10000,8,FALSE),"0")</f>
        <v>0</v>
      </c>
      <c r="N9855" s="8"/>
      <c r="O9855" s="33" t="str">
        <f>IFERROR(VLOOKUP($M9855,'Informations sur les produits'!$A$3:$H$10000,8,FALSE),"0")</f>
        <v>0</v>
      </c>
      <c r="P9855" s="33">
        <f t="shared" si="612"/>
        <v>0</v>
      </c>
      <c r="Q9855" s="31" t="str">
        <f t="shared" si="613"/>
        <v/>
      </c>
      <c r="R9855" s="32" t="str">
        <f>IFERROR(VLOOKUP($D9855,'Informations sur les produits'!$A$3:$B$15000,2,FALSE),"")</f>
        <v/>
      </c>
      <c r="V9855">
        <f t="shared" si="614"/>
        <v>0</v>
      </c>
      <c r="W9855">
        <f t="shared" si="615"/>
        <v>0</v>
      </c>
    </row>
    <row r="9856" spans="5:23" x14ac:dyDescent="0.25">
      <c r="E9856" s="4"/>
      <c r="F9856" s="4"/>
      <c r="G9856" s="33" t="str">
        <f>IFERROR(VLOOKUP($D9856,'Informations sur les produits'!$A$3:$H$10000,8,FALSE),"0")</f>
        <v>0</v>
      </c>
      <c r="K9856" s="4"/>
      <c r="L9856" s="33" t="str">
        <f>IFERROR(VLOOKUP($J9856,'Informations sur les produits'!$A$3:$H$10000,8,FALSE),"0")</f>
        <v>0</v>
      </c>
      <c r="N9856" s="8"/>
      <c r="O9856" s="33" t="str">
        <f>IFERROR(VLOOKUP($M9856,'Informations sur les produits'!$A$3:$H$10000,8,FALSE),"0")</f>
        <v>0</v>
      </c>
      <c r="P9856" s="33">
        <f t="shared" si="612"/>
        <v>0</v>
      </c>
      <c r="Q9856" s="31" t="str">
        <f t="shared" si="613"/>
        <v/>
      </c>
      <c r="R9856" s="32" t="str">
        <f>IFERROR(VLOOKUP($D9856,'Informations sur les produits'!$A$3:$B$15000,2,FALSE),"")</f>
        <v/>
      </c>
      <c r="V9856">
        <f t="shared" si="614"/>
        <v>0</v>
      </c>
      <c r="W9856">
        <f t="shared" si="615"/>
        <v>0</v>
      </c>
    </row>
    <row r="9857" spans="5:23" x14ac:dyDescent="0.25">
      <c r="E9857" s="4"/>
      <c r="F9857" s="4"/>
      <c r="G9857" s="33" t="str">
        <f>IFERROR(VLOOKUP($D9857,'Informations sur les produits'!$A$3:$H$10000,8,FALSE),"0")</f>
        <v>0</v>
      </c>
      <c r="K9857" s="4"/>
      <c r="L9857" s="33" t="str">
        <f>IFERROR(VLOOKUP($J9857,'Informations sur les produits'!$A$3:$H$10000,8,FALSE),"0")</f>
        <v>0</v>
      </c>
      <c r="N9857" s="8"/>
      <c r="O9857" s="33" t="str">
        <f>IFERROR(VLOOKUP($M9857,'Informations sur les produits'!$A$3:$H$10000,8,FALSE),"0")</f>
        <v>0</v>
      </c>
      <c r="P9857" s="33">
        <f t="shared" si="612"/>
        <v>0</v>
      </c>
      <c r="Q9857" s="31" t="str">
        <f t="shared" si="613"/>
        <v/>
      </c>
      <c r="R9857" s="32" t="str">
        <f>IFERROR(VLOOKUP($D9857,'Informations sur les produits'!$A$3:$B$15000,2,FALSE),"")</f>
        <v/>
      </c>
      <c r="V9857">
        <f t="shared" si="614"/>
        <v>0</v>
      </c>
      <c r="W9857">
        <f t="shared" si="615"/>
        <v>0</v>
      </c>
    </row>
    <row r="9858" spans="5:23" x14ac:dyDescent="0.25">
      <c r="E9858" s="4"/>
      <c r="F9858" s="4"/>
      <c r="G9858" s="33" t="str">
        <f>IFERROR(VLOOKUP($D9858,'Informations sur les produits'!$A$3:$H$10000,8,FALSE),"0")</f>
        <v>0</v>
      </c>
      <c r="K9858" s="4"/>
      <c r="L9858" s="33" t="str">
        <f>IFERROR(VLOOKUP($J9858,'Informations sur les produits'!$A$3:$H$10000,8,FALSE),"0")</f>
        <v>0</v>
      </c>
      <c r="N9858" s="8"/>
      <c r="O9858" s="33" t="str">
        <f>IFERROR(VLOOKUP($M9858,'Informations sur les produits'!$A$3:$H$10000,8,FALSE),"0")</f>
        <v>0</v>
      </c>
      <c r="P9858" s="33">
        <f t="shared" si="612"/>
        <v>0</v>
      </c>
      <c r="Q9858" s="31" t="str">
        <f t="shared" si="613"/>
        <v/>
      </c>
      <c r="R9858" s="32" t="str">
        <f>IFERROR(VLOOKUP($D9858,'Informations sur les produits'!$A$3:$B$15000,2,FALSE),"")</f>
        <v/>
      </c>
      <c r="V9858">
        <f t="shared" si="614"/>
        <v>0</v>
      </c>
      <c r="W9858">
        <f t="shared" si="615"/>
        <v>0</v>
      </c>
    </row>
    <row r="9859" spans="5:23" x14ac:dyDescent="0.25">
      <c r="E9859" s="4"/>
      <c r="F9859" s="4"/>
      <c r="G9859" s="33" t="str">
        <f>IFERROR(VLOOKUP($D9859,'Informations sur les produits'!$A$3:$H$10000,8,FALSE),"0")</f>
        <v>0</v>
      </c>
      <c r="K9859" s="4"/>
      <c r="L9859" s="33" t="str">
        <f>IFERROR(VLOOKUP($J9859,'Informations sur les produits'!$A$3:$H$10000,8,FALSE),"0")</f>
        <v>0</v>
      </c>
      <c r="N9859" s="8"/>
      <c r="O9859" s="33" t="str">
        <f>IFERROR(VLOOKUP($M9859,'Informations sur les produits'!$A$3:$H$10000,8,FALSE),"0")</f>
        <v>0</v>
      </c>
      <c r="P9859" s="33">
        <f t="shared" si="612"/>
        <v>0</v>
      </c>
      <c r="Q9859" s="31" t="str">
        <f t="shared" si="613"/>
        <v/>
      </c>
      <c r="R9859" s="32" t="str">
        <f>IFERROR(VLOOKUP($D9859,'Informations sur les produits'!$A$3:$B$15000,2,FALSE),"")</f>
        <v/>
      </c>
      <c r="V9859">
        <f t="shared" si="614"/>
        <v>0</v>
      </c>
      <c r="W9859">
        <f t="shared" si="615"/>
        <v>0</v>
      </c>
    </row>
    <row r="9860" spans="5:23" x14ac:dyDescent="0.25">
      <c r="E9860" s="4"/>
      <c r="F9860" s="4"/>
      <c r="G9860" s="33" t="str">
        <f>IFERROR(VLOOKUP($D9860,'Informations sur les produits'!$A$3:$H$10000,8,FALSE),"0")</f>
        <v>0</v>
      </c>
      <c r="K9860" s="4"/>
      <c r="L9860" s="33" t="str">
        <f>IFERROR(VLOOKUP($J9860,'Informations sur les produits'!$A$3:$H$10000,8,FALSE),"0")</f>
        <v>0</v>
      </c>
      <c r="N9860" s="8"/>
      <c r="O9860" s="33" t="str">
        <f>IFERROR(VLOOKUP($M9860,'Informations sur les produits'!$A$3:$H$10000,8,FALSE),"0")</f>
        <v>0</v>
      </c>
      <c r="P9860" s="33">
        <f t="shared" ref="P9860:P9923" si="616">IFERROR((($E9860-$F9860)*$G9860+$K9860*$L9860+$N9860*$O9860),"")</f>
        <v>0</v>
      </c>
      <c r="Q9860" s="31" t="str">
        <f t="shared" ref="Q9860:Q9923" si="617">IFERROR((((($E9860-$F9860)*$G9860+$K9860*$L9860+$N9860*$O9860)*1000)/(($E9860-$F9860)+$K9860+$N9860)),"")</f>
        <v/>
      </c>
      <c r="R9860" s="32" t="str">
        <f>IFERROR(VLOOKUP($D9860,'Informations sur les produits'!$A$3:$B$15000,2,FALSE),"")</f>
        <v/>
      </c>
      <c r="V9860">
        <f t="shared" ref="V9860:V9923" si="618">IFERROR(P9860*1000,"")</f>
        <v>0</v>
      </c>
      <c r="W9860">
        <f t="shared" ref="W9860:W9923" si="619">IFERROR(($E9860-$F9860)+$K9860+$N9860,"")</f>
        <v>0</v>
      </c>
    </row>
    <row r="9861" spans="5:23" x14ac:dyDescent="0.25">
      <c r="E9861" s="4"/>
      <c r="F9861" s="4"/>
      <c r="G9861" s="33" t="str">
        <f>IFERROR(VLOOKUP($D9861,'Informations sur les produits'!$A$3:$H$10000,8,FALSE),"0")</f>
        <v>0</v>
      </c>
      <c r="K9861" s="4"/>
      <c r="L9861" s="33" t="str">
        <f>IFERROR(VLOOKUP($J9861,'Informations sur les produits'!$A$3:$H$10000,8,FALSE),"0")</f>
        <v>0</v>
      </c>
      <c r="N9861" s="8"/>
      <c r="O9861" s="33" t="str">
        <f>IFERROR(VLOOKUP($M9861,'Informations sur les produits'!$A$3:$H$10000,8,FALSE),"0")</f>
        <v>0</v>
      </c>
      <c r="P9861" s="33">
        <f t="shared" si="616"/>
        <v>0</v>
      </c>
      <c r="Q9861" s="31" t="str">
        <f t="shared" si="617"/>
        <v/>
      </c>
      <c r="R9861" s="32" t="str">
        <f>IFERROR(VLOOKUP($D9861,'Informations sur les produits'!$A$3:$B$15000,2,FALSE),"")</f>
        <v/>
      </c>
      <c r="V9861">
        <f t="shared" si="618"/>
        <v>0</v>
      </c>
      <c r="W9861">
        <f t="shared" si="619"/>
        <v>0</v>
      </c>
    </row>
    <row r="9862" spans="5:23" x14ac:dyDescent="0.25">
      <c r="E9862" s="4"/>
      <c r="F9862" s="4"/>
      <c r="G9862" s="33" t="str">
        <f>IFERROR(VLOOKUP($D9862,'Informations sur les produits'!$A$3:$H$10000,8,FALSE),"0")</f>
        <v>0</v>
      </c>
      <c r="K9862" s="4"/>
      <c r="L9862" s="33" t="str">
        <f>IFERROR(VLOOKUP($J9862,'Informations sur les produits'!$A$3:$H$10000,8,FALSE),"0")</f>
        <v>0</v>
      </c>
      <c r="N9862" s="8"/>
      <c r="O9862" s="33" t="str">
        <f>IFERROR(VLOOKUP($M9862,'Informations sur les produits'!$A$3:$H$10000,8,FALSE),"0")</f>
        <v>0</v>
      </c>
      <c r="P9862" s="33">
        <f t="shared" si="616"/>
        <v>0</v>
      </c>
      <c r="Q9862" s="31" t="str">
        <f t="shared" si="617"/>
        <v/>
      </c>
      <c r="R9862" s="32" t="str">
        <f>IFERROR(VLOOKUP($D9862,'Informations sur les produits'!$A$3:$B$15000,2,FALSE),"")</f>
        <v/>
      </c>
      <c r="V9862">
        <f t="shared" si="618"/>
        <v>0</v>
      </c>
      <c r="W9862">
        <f t="shared" si="619"/>
        <v>0</v>
      </c>
    </row>
    <row r="9863" spans="5:23" x14ac:dyDescent="0.25">
      <c r="E9863" s="4"/>
      <c r="F9863" s="4"/>
      <c r="G9863" s="33" t="str">
        <f>IFERROR(VLOOKUP($D9863,'Informations sur les produits'!$A$3:$H$10000,8,FALSE),"0")</f>
        <v>0</v>
      </c>
      <c r="K9863" s="4"/>
      <c r="L9863" s="33" t="str">
        <f>IFERROR(VLOOKUP($J9863,'Informations sur les produits'!$A$3:$H$10000,8,FALSE),"0")</f>
        <v>0</v>
      </c>
      <c r="N9863" s="8"/>
      <c r="O9863" s="33" t="str">
        <f>IFERROR(VLOOKUP($M9863,'Informations sur les produits'!$A$3:$H$10000,8,FALSE),"0")</f>
        <v>0</v>
      </c>
      <c r="P9863" s="33">
        <f t="shared" si="616"/>
        <v>0</v>
      </c>
      <c r="Q9863" s="31" t="str">
        <f t="shared" si="617"/>
        <v/>
      </c>
      <c r="R9863" s="32" t="str">
        <f>IFERROR(VLOOKUP($D9863,'Informations sur les produits'!$A$3:$B$15000,2,FALSE),"")</f>
        <v/>
      </c>
      <c r="V9863">
        <f t="shared" si="618"/>
        <v>0</v>
      </c>
      <c r="W9863">
        <f t="shared" si="619"/>
        <v>0</v>
      </c>
    </row>
    <row r="9864" spans="5:23" x14ac:dyDescent="0.25">
      <c r="E9864" s="4"/>
      <c r="F9864" s="4"/>
      <c r="G9864" s="33" t="str">
        <f>IFERROR(VLOOKUP($D9864,'Informations sur les produits'!$A$3:$H$10000,8,FALSE),"0")</f>
        <v>0</v>
      </c>
      <c r="K9864" s="4"/>
      <c r="L9864" s="33" t="str">
        <f>IFERROR(VLOOKUP($J9864,'Informations sur les produits'!$A$3:$H$10000,8,FALSE),"0")</f>
        <v>0</v>
      </c>
      <c r="N9864" s="8"/>
      <c r="O9864" s="33" t="str">
        <f>IFERROR(VLOOKUP($M9864,'Informations sur les produits'!$A$3:$H$10000,8,FALSE),"0")</f>
        <v>0</v>
      </c>
      <c r="P9864" s="33">
        <f t="shared" si="616"/>
        <v>0</v>
      </c>
      <c r="Q9864" s="31" t="str">
        <f t="shared" si="617"/>
        <v/>
      </c>
      <c r="R9864" s="32" t="str">
        <f>IFERROR(VLOOKUP($D9864,'Informations sur les produits'!$A$3:$B$15000,2,FALSE),"")</f>
        <v/>
      </c>
      <c r="V9864">
        <f t="shared" si="618"/>
        <v>0</v>
      </c>
      <c r="W9864">
        <f t="shared" si="619"/>
        <v>0</v>
      </c>
    </row>
    <row r="9865" spans="5:23" x14ac:dyDescent="0.25">
      <c r="E9865" s="4"/>
      <c r="F9865" s="4"/>
      <c r="G9865" s="33" t="str">
        <f>IFERROR(VLOOKUP($D9865,'Informations sur les produits'!$A$3:$H$10000,8,FALSE),"0")</f>
        <v>0</v>
      </c>
      <c r="K9865" s="4"/>
      <c r="L9865" s="33" t="str">
        <f>IFERROR(VLOOKUP($J9865,'Informations sur les produits'!$A$3:$H$10000,8,FALSE),"0")</f>
        <v>0</v>
      </c>
      <c r="N9865" s="8"/>
      <c r="O9865" s="33" t="str">
        <f>IFERROR(VLOOKUP($M9865,'Informations sur les produits'!$A$3:$H$10000,8,FALSE),"0")</f>
        <v>0</v>
      </c>
      <c r="P9865" s="33">
        <f t="shared" si="616"/>
        <v>0</v>
      </c>
      <c r="Q9865" s="31" t="str">
        <f t="shared" si="617"/>
        <v/>
      </c>
      <c r="R9865" s="32" t="str">
        <f>IFERROR(VLOOKUP($D9865,'Informations sur les produits'!$A$3:$B$15000,2,FALSE),"")</f>
        <v/>
      </c>
      <c r="V9865">
        <f t="shared" si="618"/>
        <v>0</v>
      </c>
      <c r="W9865">
        <f t="shared" si="619"/>
        <v>0</v>
      </c>
    </row>
    <row r="9866" spans="5:23" x14ac:dyDescent="0.25">
      <c r="E9866" s="4"/>
      <c r="F9866" s="4"/>
      <c r="G9866" s="33" t="str">
        <f>IFERROR(VLOOKUP($D9866,'Informations sur les produits'!$A$3:$H$10000,8,FALSE),"0")</f>
        <v>0</v>
      </c>
      <c r="K9866" s="4"/>
      <c r="L9866" s="33" t="str">
        <f>IFERROR(VLOOKUP($J9866,'Informations sur les produits'!$A$3:$H$10000,8,FALSE),"0")</f>
        <v>0</v>
      </c>
      <c r="N9866" s="8"/>
      <c r="O9866" s="33" t="str">
        <f>IFERROR(VLOOKUP($M9866,'Informations sur les produits'!$A$3:$H$10000,8,FALSE),"0")</f>
        <v>0</v>
      </c>
      <c r="P9866" s="33">
        <f t="shared" si="616"/>
        <v>0</v>
      </c>
      <c r="Q9866" s="31" t="str">
        <f t="shared" si="617"/>
        <v/>
      </c>
      <c r="R9866" s="32" t="str">
        <f>IFERROR(VLOOKUP($D9866,'Informations sur les produits'!$A$3:$B$15000,2,FALSE),"")</f>
        <v/>
      </c>
      <c r="V9866">
        <f t="shared" si="618"/>
        <v>0</v>
      </c>
      <c r="W9866">
        <f t="shared" si="619"/>
        <v>0</v>
      </c>
    </row>
    <row r="9867" spans="5:23" x14ac:dyDescent="0.25">
      <c r="E9867" s="4"/>
      <c r="F9867" s="4"/>
      <c r="G9867" s="33" t="str">
        <f>IFERROR(VLOOKUP($D9867,'Informations sur les produits'!$A$3:$H$10000,8,FALSE),"0")</f>
        <v>0</v>
      </c>
      <c r="K9867" s="4"/>
      <c r="L9867" s="33" t="str">
        <f>IFERROR(VLOOKUP($J9867,'Informations sur les produits'!$A$3:$H$10000,8,FALSE),"0")</f>
        <v>0</v>
      </c>
      <c r="N9867" s="8"/>
      <c r="O9867" s="33" t="str">
        <f>IFERROR(VLOOKUP($M9867,'Informations sur les produits'!$A$3:$H$10000,8,FALSE),"0")</f>
        <v>0</v>
      </c>
      <c r="P9867" s="33">
        <f t="shared" si="616"/>
        <v>0</v>
      </c>
      <c r="Q9867" s="31" t="str">
        <f t="shared" si="617"/>
        <v/>
      </c>
      <c r="R9867" s="32" t="str">
        <f>IFERROR(VLOOKUP($D9867,'Informations sur les produits'!$A$3:$B$15000,2,FALSE),"")</f>
        <v/>
      </c>
      <c r="V9867">
        <f t="shared" si="618"/>
        <v>0</v>
      </c>
      <c r="W9867">
        <f t="shared" si="619"/>
        <v>0</v>
      </c>
    </row>
    <row r="9868" spans="5:23" x14ac:dyDescent="0.25">
      <c r="E9868" s="4"/>
      <c r="F9868" s="4"/>
      <c r="G9868" s="33" t="str">
        <f>IFERROR(VLOOKUP($D9868,'Informations sur les produits'!$A$3:$H$10000,8,FALSE),"0")</f>
        <v>0</v>
      </c>
      <c r="K9868" s="4"/>
      <c r="L9868" s="33" t="str">
        <f>IFERROR(VLOOKUP($J9868,'Informations sur les produits'!$A$3:$H$10000,8,FALSE),"0")</f>
        <v>0</v>
      </c>
      <c r="N9868" s="8"/>
      <c r="O9868" s="33" t="str">
        <f>IFERROR(VLOOKUP($M9868,'Informations sur les produits'!$A$3:$H$10000,8,FALSE),"0")</f>
        <v>0</v>
      </c>
      <c r="P9868" s="33">
        <f t="shared" si="616"/>
        <v>0</v>
      </c>
      <c r="Q9868" s="31" t="str">
        <f t="shared" si="617"/>
        <v/>
      </c>
      <c r="R9868" s="32" t="str">
        <f>IFERROR(VLOOKUP($D9868,'Informations sur les produits'!$A$3:$B$15000,2,FALSE),"")</f>
        <v/>
      </c>
      <c r="V9868">
        <f t="shared" si="618"/>
        <v>0</v>
      </c>
      <c r="W9868">
        <f t="shared" si="619"/>
        <v>0</v>
      </c>
    </row>
    <row r="9869" spans="5:23" x14ac:dyDescent="0.25">
      <c r="E9869" s="4"/>
      <c r="F9869" s="4"/>
      <c r="G9869" s="33" t="str">
        <f>IFERROR(VLOOKUP($D9869,'Informations sur les produits'!$A$3:$H$10000,8,FALSE),"0")</f>
        <v>0</v>
      </c>
      <c r="K9869" s="4"/>
      <c r="L9869" s="33" t="str">
        <f>IFERROR(VLOOKUP($J9869,'Informations sur les produits'!$A$3:$H$10000,8,FALSE),"0")</f>
        <v>0</v>
      </c>
      <c r="N9869" s="8"/>
      <c r="O9869" s="33" t="str">
        <f>IFERROR(VLOOKUP($M9869,'Informations sur les produits'!$A$3:$H$10000,8,FALSE),"0")</f>
        <v>0</v>
      </c>
      <c r="P9869" s="33">
        <f t="shared" si="616"/>
        <v>0</v>
      </c>
      <c r="Q9869" s="31" t="str">
        <f t="shared" si="617"/>
        <v/>
      </c>
      <c r="R9869" s="32" t="str">
        <f>IFERROR(VLOOKUP($D9869,'Informations sur les produits'!$A$3:$B$15000,2,FALSE),"")</f>
        <v/>
      </c>
      <c r="V9869">
        <f t="shared" si="618"/>
        <v>0</v>
      </c>
      <c r="W9869">
        <f t="shared" si="619"/>
        <v>0</v>
      </c>
    </row>
    <row r="9870" spans="5:23" x14ac:dyDescent="0.25">
      <c r="E9870" s="4"/>
      <c r="F9870" s="4"/>
      <c r="G9870" s="33" t="str">
        <f>IFERROR(VLOOKUP($D9870,'Informations sur les produits'!$A$3:$H$10000,8,FALSE),"0")</f>
        <v>0</v>
      </c>
      <c r="K9870" s="4"/>
      <c r="L9870" s="33" t="str">
        <f>IFERROR(VLOOKUP($J9870,'Informations sur les produits'!$A$3:$H$10000,8,FALSE),"0")</f>
        <v>0</v>
      </c>
      <c r="N9870" s="8"/>
      <c r="O9870" s="33" t="str">
        <f>IFERROR(VLOOKUP($M9870,'Informations sur les produits'!$A$3:$H$10000,8,FALSE),"0")</f>
        <v>0</v>
      </c>
      <c r="P9870" s="33">
        <f t="shared" si="616"/>
        <v>0</v>
      </c>
      <c r="Q9870" s="31" t="str">
        <f t="shared" si="617"/>
        <v/>
      </c>
      <c r="R9870" s="32" t="str">
        <f>IFERROR(VLOOKUP($D9870,'Informations sur les produits'!$A$3:$B$15000,2,FALSE),"")</f>
        <v/>
      </c>
      <c r="V9870">
        <f t="shared" si="618"/>
        <v>0</v>
      </c>
      <c r="W9870">
        <f t="shared" si="619"/>
        <v>0</v>
      </c>
    </row>
    <row r="9871" spans="5:23" x14ac:dyDescent="0.25">
      <c r="E9871" s="4"/>
      <c r="F9871" s="4"/>
      <c r="G9871" s="33" t="str">
        <f>IFERROR(VLOOKUP($D9871,'Informations sur les produits'!$A$3:$H$10000,8,FALSE),"0")</f>
        <v>0</v>
      </c>
      <c r="K9871" s="4"/>
      <c r="L9871" s="33" t="str">
        <f>IFERROR(VLOOKUP($J9871,'Informations sur les produits'!$A$3:$H$10000,8,FALSE),"0")</f>
        <v>0</v>
      </c>
      <c r="N9871" s="8"/>
      <c r="O9871" s="33" t="str">
        <f>IFERROR(VLOOKUP($M9871,'Informations sur les produits'!$A$3:$H$10000,8,FALSE),"0")</f>
        <v>0</v>
      </c>
      <c r="P9871" s="33">
        <f t="shared" si="616"/>
        <v>0</v>
      </c>
      <c r="Q9871" s="31" t="str">
        <f t="shared" si="617"/>
        <v/>
      </c>
      <c r="R9871" s="32" t="str">
        <f>IFERROR(VLOOKUP($D9871,'Informations sur les produits'!$A$3:$B$15000,2,FALSE),"")</f>
        <v/>
      </c>
      <c r="V9871">
        <f t="shared" si="618"/>
        <v>0</v>
      </c>
      <c r="W9871">
        <f t="shared" si="619"/>
        <v>0</v>
      </c>
    </row>
    <row r="9872" spans="5:23" x14ac:dyDescent="0.25">
      <c r="E9872" s="4"/>
      <c r="F9872" s="4"/>
      <c r="G9872" s="33" t="str">
        <f>IFERROR(VLOOKUP($D9872,'Informations sur les produits'!$A$3:$H$10000,8,FALSE),"0")</f>
        <v>0</v>
      </c>
      <c r="K9872" s="4"/>
      <c r="L9872" s="33" t="str">
        <f>IFERROR(VLOOKUP($J9872,'Informations sur les produits'!$A$3:$H$10000,8,FALSE),"0")</f>
        <v>0</v>
      </c>
      <c r="N9872" s="8"/>
      <c r="O9872" s="33" t="str">
        <f>IFERROR(VLOOKUP($M9872,'Informations sur les produits'!$A$3:$H$10000,8,FALSE),"0")</f>
        <v>0</v>
      </c>
      <c r="P9872" s="33">
        <f t="shared" si="616"/>
        <v>0</v>
      </c>
      <c r="Q9872" s="31" t="str">
        <f t="shared" si="617"/>
        <v/>
      </c>
      <c r="R9872" s="32" t="str">
        <f>IFERROR(VLOOKUP($D9872,'Informations sur les produits'!$A$3:$B$15000,2,FALSE),"")</f>
        <v/>
      </c>
      <c r="V9872">
        <f t="shared" si="618"/>
        <v>0</v>
      </c>
      <c r="W9872">
        <f t="shared" si="619"/>
        <v>0</v>
      </c>
    </row>
    <row r="9873" spans="5:23" x14ac:dyDescent="0.25">
      <c r="E9873" s="4"/>
      <c r="F9873" s="4"/>
      <c r="G9873" s="33" t="str">
        <f>IFERROR(VLOOKUP($D9873,'Informations sur les produits'!$A$3:$H$10000,8,FALSE),"0")</f>
        <v>0</v>
      </c>
      <c r="K9873" s="4"/>
      <c r="L9873" s="33" t="str">
        <f>IFERROR(VLOOKUP($J9873,'Informations sur les produits'!$A$3:$H$10000,8,FALSE),"0")</f>
        <v>0</v>
      </c>
      <c r="N9873" s="8"/>
      <c r="O9873" s="33" t="str">
        <f>IFERROR(VLOOKUP($M9873,'Informations sur les produits'!$A$3:$H$10000,8,FALSE),"0")</f>
        <v>0</v>
      </c>
      <c r="P9873" s="33">
        <f t="shared" si="616"/>
        <v>0</v>
      </c>
      <c r="Q9873" s="31" t="str">
        <f t="shared" si="617"/>
        <v/>
      </c>
      <c r="R9873" s="32" t="str">
        <f>IFERROR(VLOOKUP($D9873,'Informations sur les produits'!$A$3:$B$15000,2,FALSE),"")</f>
        <v/>
      </c>
      <c r="V9873">
        <f t="shared" si="618"/>
        <v>0</v>
      </c>
      <c r="W9873">
        <f t="shared" si="619"/>
        <v>0</v>
      </c>
    </row>
    <row r="9874" spans="5:23" x14ac:dyDescent="0.25">
      <c r="E9874" s="4"/>
      <c r="F9874" s="4"/>
      <c r="G9874" s="33" t="str">
        <f>IFERROR(VLOOKUP($D9874,'Informations sur les produits'!$A$3:$H$10000,8,FALSE),"0")</f>
        <v>0</v>
      </c>
      <c r="K9874" s="4"/>
      <c r="L9874" s="33" t="str">
        <f>IFERROR(VLOOKUP($J9874,'Informations sur les produits'!$A$3:$H$10000,8,FALSE),"0")</f>
        <v>0</v>
      </c>
      <c r="N9874" s="8"/>
      <c r="O9874" s="33" t="str">
        <f>IFERROR(VLOOKUP($M9874,'Informations sur les produits'!$A$3:$H$10000,8,FALSE),"0")</f>
        <v>0</v>
      </c>
      <c r="P9874" s="33">
        <f t="shared" si="616"/>
        <v>0</v>
      </c>
      <c r="Q9874" s="31" t="str">
        <f t="shared" si="617"/>
        <v/>
      </c>
      <c r="R9874" s="32" t="str">
        <f>IFERROR(VLOOKUP($D9874,'Informations sur les produits'!$A$3:$B$15000,2,FALSE),"")</f>
        <v/>
      </c>
      <c r="V9874">
        <f t="shared" si="618"/>
        <v>0</v>
      </c>
      <c r="W9874">
        <f t="shared" si="619"/>
        <v>0</v>
      </c>
    </row>
    <row r="9875" spans="5:23" x14ac:dyDescent="0.25">
      <c r="E9875" s="4"/>
      <c r="F9875" s="4"/>
      <c r="G9875" s="33" t="str">
        <f>IFERROR(VLOOKUP($D9875,'Informations sur les produits'!$A$3:$H$10000,8,FALSE),"0")</f>
        <v>0</v>
      </c>
      <c r="K9875" s="4"/>
      <c r="L9875" s="33" t="str">
        <f>IFERROR(VLOOKUP($J9875,'Informations sur les produits'!$A$3:$H$10000,8,FALSE),"0")</f>
        <v>0</v>
      </c>
      <c r="N9875" s="8"/>
      <c r="O9875" s="33" t="str">
        <f>IFERROR(VLOOKUP($M9875,'Informations sur les produits'!$A$3:$H$10000,8,FALSE),"0")</f>
        <v>0</v>
      </c>
      <c r="P9875" s="33">
        <f t="shared" si="616"/>
        <v>0</v>
      </c>
      <c r="Q9875" s="31" t="str">
        <f t="shared" si="617"/>
        <v/>
      </c>
      <c r="R9875" s="32" t="str">
        <f>IFERROR(VLOOKUP($D9875,'Informations sur les produits'!$A$3:$B$15000,2,FALSE),"")</f>
        <v/>
      </c>
      <c r="V9875">
        <f t="shared" si="618"/>
        <v>0</v>
      </c>
      <c r="W9875">
        <f t="shared" si="619"/>
        <v>0</v>
      </c>
    </row>
    <row r="9876" spans="5:23" x14ac:dyDescent="0.25">
      <c r="E9876" s="4"/>
      <c r="F9876" s="4"/>
      <c r="G9876" s="33" t="str">
        <f>IFERROR(VLOOKUP($D9876,'Informations sur les produits'!$A$3:$H$10000,8,FALSE),"0")</f>
        <v>0</v>
      </c>
      <c r="K9876" s="4"/>
      <c r="L9876" s="33" t="str">
        <f>IFERROR(VLOOKUP($J9876,'Informations sur les produits'!$A$3:$H$10000,8,FALSE),"0")</f>
        <v>0</v>
      </c>
      <c r="N9876" s="8"/>
      <c r="O9876" s="33" t="str">
        <f>IFERROR(VLOOKUP($M9876,'Informations sur les produits'!$A$3:$H$10000,8,FALSE),"0")</f>
        <v>0</v>
      </c>
      <c r="P9876" s="33">
        <f t="shared" si="616"/>
        <v>0</v>
      </c>
      <c r="Q9876" s="31" t="str">
        <f t="shared" si="617"/>
        <v/>
      </c>
      <c r="R9876" s="32" t="str">
        <f>IFERROR(VLOOKUP($D9876,'Informations sur les produits'!$A$3:$B$15000,2,FALSE),"")</f>
        <v/>
      </c>
      <c r="V9876">
        <f t="shared" si="618"/>
        <v>0</v>
      </c>
      <c r="W9876">
        <f t="shared" si="619"/>
        <v>0</v>
      </c>
    </row>
    <row r="9877" spans="5:23" x14ac:dyDescent="0.25">
      <c r="E9877" s="4"/>
      <c r="F9877" s="4"/>
      <c r="G9877" s="33" t="str">
        <f>IFERROR(VLOOKUP($D9877,'Informations sur les produits'!$A$3:$H$10000,8,FALSE),"0")</f>
        <v>0</v>
      </c>
      <c r="K9877" s="4"/>
      <c r="L9877" s="33" t="str">
        <f>IFERROR(VLOOKUP($J9877,'Informations sur les produits'!$A$3:$H$10000,8,FALSE),"0")</f>
        <v>0</v>
      </c>
      <c r="N9877" s="8"/>
      <c r="O9877" s="33" t="str">
        <f>IFERROR(VLOOKUP($M9877,'Informations sur les produits'!$A$3:$H$10000,8,FALSE),"0")</f>
        <v>0</v>
      </c>
      <c r="P9877" s="33">
        <f t="shared" si="616"/>
        <v>0</v>
      </c>
      <c r="Q9877" s="31" t="str">
        <f t="shared" si="617"/>
        <v/>
      </c>
      <c r="R9877" s="32" t="str">
        <f>IFERROR(VLOOKUP($D9877,'Informations sur les produits'!$A$3:$B$15000,2,FALSE),"")</f>
        <v/>
      </c>
      <c r="V9877">
        <f t="shared" si="618"/>
        <v>0</v>
      </c>
      <c r="W9877">
        <f t="shared" si="619"/>
        <v>0</v>
      </c>
    </row>
    <row r="9878" spans="5:23" x14ac:dyDescent="0.25">
      <c r="E9878" s="4"/>
      <c r="F9878" s="4"/>
      <c r="G9878" s="33" t="str">
        <f>IFERROR(VLOOKUP($D9878,'Informations sur les produits'!$A$3:$H$10000,8,FALSE),"0")</f>
        <v>0</v>
      </c>
      <c r="K9878" s="4"/>
      <c r="L9878" s="33" t="str">
        <f>IFERROR(VLOOKUP($J9878,'Informations sur les produits'!$A$3:$H$10000,8,FALSE),"0")</f>
        <v>0</v>
      </c>
      <c r="N9878" s="8"/>
      <c r="O9878" s="33" t="str">
        <f>IFERROR(VLOOKUP($M9878,'Informations sur les produits'!$A$3:$H$10000,8,FALSE),"0")</f>
        <v>0</v>
      </c>
      <c r="P9878" s="33">
        <f t="shared" si="616"/>
        <v>0</v>
      </c>
      <c r="Q9878" s="31" t="str">
        <f t="shared" si="617"/>
        <v/>
      </c>
      <c r="R9878" s="32" t="str">
        <f>IFERROR(VLOOKUP($D9878,'Informations sur les produits'!$A$3:$B$15000,2,FALSE),"")</f>
        <v/>
      </c>
      <c r="V9878">
        <f t="shared" si="618"/>
        <v>0</v>
      </c>
      <c r="W9878">
        <f t="shared" si="619"/>
        <v>0</v>
      </c>
    </row>
    <row r="9879" spans="5:23" x14ac:dyDescent="0.25">
      <c r="E9879" s="4"/>
      <c r="F9879" s="4"/>
      <c r="G9879" s="33" t="str">
        <f>IFERROR(VLOOKUP($D9879,'Informations sur les produits'!$A$3:$H$10000,8,FALSE),"0")</f>
        <v>0</v>
      </c>
      <c r="K9879" s="4"/>
      <c r="L9879" s="33" t="str">
        <f>IFERROR(VLOOKUP($J9879,'Informations sur les produits'!$A$3:$H$10000,8,FALSE),"0")</f>
        <v>0</v>
      </c>
      <c r="N9879" s="8"/>
      <c r="O9879" s="33" t="str">
        <f>IFERROR(VLOOKUP($M9879,'Informations sur les produits'!$A$3:$H$10000,8,FALSE),"0")</f>
        <v>0</v>
      </c>
      <c r="P9879" s="33">
        <f t="shared" si="616"/>
        <v>0</v>
      </c>
      <c r="Q9879" s="31" t="str">
        <f t="shared" si="617"/>
        <v/>
      </c>
      <c r="R9879" s="32" t="str">
        <f>IFERROR(VLOOKUP($D9879,'Informations sur les produits'!$A$3:$B$15000,2,FALSE),"")</f>
        <v/>
      </c>
      <c r="V9879">
        <f t="shared" si="618"/>
        <v>0</v>
      </c>
      <c r="W9879">
        <f t="shared" si="619"/>
        <v>0</v>
      </c>
    </row>
    <row r="9880" spans="5:23" x14ac:dyDescent="0.25">
      <c r="E9880" s="4"/>
      <c r="F9880" s="4"/>
      <c r="G9880" s="33" t="str">
        <f>IFERROR(VLOOKUP($D9880,'Informations sur les produits'!$A$3:$H$10000,8,FALSE),"0")</f>
        <v>0</v>
      </c>
      <c r="K9880" s="4"/>
      <c r="L9880" s="33" t="str">
        <f>IFERROR(VLOOKUP($J9880,'Informations sur les produits'!$A$3:$H$10000,8,FALSE),"0")</f>
        <v>0</v>
      </c>
      <c r="N9880" s="8"/>
      <c r="O9880" s="33" t="str">
        <f>IFERROR(VLOOKUP($M9880,'Informations sur les produits'!$A$3:$H$10000,8,FALSE),"0")</f>
        <v>0</v>
      </c>
      <c r="P9880" s="33">
        <f t="shared" si="616"/>
        <v>0</v>
      </c>
      <c r="Q9880" s="31" t="str">
        <f t="shared" si="617"/>
        <v/>
      </c>
      <c r="R9880" s="32" t="str">
        <f>IFERROR(VLOOKUP($D9880,'Informations sur les produits'!$A$3:$B$15000,2,FALSE),"")</f>
        <v/>
      </c>
      <c r="V9880">
        <f t="shared" si="618"/>
        <v>0</v>
      </c>
      <c r="W9880">
        <f t="shared" si="619"/>
        <v>0</v>
      </c>
    </row>
    <row r="9881" spans="5:23" x14ac:dyDescent="0.25">
      <c r="E9881" s="4"/>
      <c r="F9881" s="4"/>
      <c r="G9881" s="33" t="str">
        <f>IFERROR(VLOOKUP($D9881,'Informations sur les produits'!$A$3:$H$10000,8,FALSE),"0")</f>
        <v>0</v>
      </c>
      <c r="K9881" s="4"/>
      <c r="L9881" s="33" t="str">
        <f>IFERROR(VLOOKUP($J9881,'Informations sur les produits'!$A$3:$H$10000,8,FALSE),"0")</f>
        <v>0</v>
      </c>
      <c r="N9881" s="8"/>
      <c r="O9881" s="33" t="str">
        <f>IFERROR(VLOOKUP($M9881,'Informations sur les produits'!$A$3:$H$10000,8,FALSE),"0")</f>
        <v>0</v>
      </c>
      <c r="P9881" s="33">
        <f t="shared" si="616"/>
        <v>0</v>
      </c>
      <c r="Q9881" s="31" t="str">
        <f t="shared" si="617"/>
        <v/>
      </c>
      <c r="R9881" s="32" t="str">
        <f>IFERROR(VLOOKUP($D9881,'Informations sur les produits'!$A$3:$B$15000,2,FALSE),"")</f>
        <v/>
      </c>
      <c r="V9881">
        <f t="shared" si="618"/>
        <v>0</v>
      </c>
      <c r="W9881">
        <f t="shared" si="619"/>
        <v>0</v>
      </c>
    </row>
    <row r="9882" spans="5:23" x14ac:dyDescent="0.25">
      <c r="E9882" s="4"/>
      <c r="F9882" s="4"/>
      <c r="G9882" s="33" t="str">
        <f>IFERROR(VLOOKUP($D9882,'Informations sur les produits'!$A$3:$H$10000,8,FALSE),"0")</f>
        <v>0</v>
      </c>
      <c r="K9882" s="4"/>
      <c r="L9882" s="33" t="str">
        <f>IFERROR(VLOOKUP($J9882,'Informations sur les produits'!$A$3:$H$10000,8,FALSE),"0")</f>
        <v>0</v>
      </c>
      <c r="N9882" s="8"/>
      <c r="O9882" s="33" t="str">
        <f>IFERROR(VLOOKUP($M9882,'Informations sur les produits'!$A$3:$H$10000,8,FALSE),"0")</f>
        <v>0</v>
      </c>
      <c r="P9882" s="33">
        <f t="shared" si="616"/>
        <v>0</v>
      </c>
      <c r="Q9882" s="31" t="str">
        <f t="shared" si="617"/>
        <v/>
      </c>
      <c r="R9882" s="32" t="str">
        <f>IFERROR(VLOOKUP($D9882,'Informations sur les produits'!$A$3:$B$15000,2,FALSE),"")</f>
        <v/>
      </c>
      <c r="V9882">
        <f t="shared" si="618"/>
        <v>0</v>
      </c>
      <c r="W9882">
        <f t="shared" si="619"/>
        <v>0</v>
      </c>
    </row>
    <row r="9883" spans="5:23" x14ac:dyDescent="0.25">
      <c r="E9883" s="4"/>
      <c r="F9883" s="4"/>
      <c r="G9883" s="33" t="str">
        <f>IFERROR(VLOOKUP($D9883,'Informations sur les produits'!$A$3:$H$10000,8,FALSE),"0")</f>
        <v>0</v>
      </c>
      <c r="K9883" s="4"/>
      <c r="L9883" s="33" t="str">
        <f>IFERROR(VLOOKUP($J9883,'Informations sur les produits'!$A$3:$H$10000,8,FALSE),"0")</f>
        <v>0</v>
      </c>
      <c r="N9883" s="8"/>
      <c r="O9883" s="33" t="str">
        <f>IFERROR(VLOOKUP($M9883,'Informations sur les produits'!$A$3:$H$10000,8,FALSE),"0")</f>
        <v>0</v>
      </c>
      <c r="P9883" s="33">
        <f t="shared" si="616"/>
        <v>0</v>
      </c>
      <c r="Q9883" s="31" t="str">
        <f t="shared" si="617"/>
        <v/>
      </c>
      <c r="R9883" s="32" t="str">
        <f>IFERROR(VLOOKUP($D9883,'Informations sur les produits'!$A$3:$B$15000,2,FALSE),"")</f>
        <v/>
      </c>
      <c r="V9883">
        <f t="shared" si="618"/>
        <v>0</v>
      </c>
      <c r="W9883">
        <f t="shared" si="619"/>
        <v>0</v>
      </c>
    </row>
    <row r="9884" spans="5:23" x14ac:dyDescent="0.25">
      <c r="E9884" s="4"/>
      <c r="F9884" s="4"/>
      <c r="G9884" s="33" t="str">
        <f>IFERROR(VLOOKUP($D9884,'Informations sur les produits'!$A$3:$H$10000,8,FALSE),"0")</f>
        <v>0</v>
      </c>
      <c r="K9884" s="4"/>
      <c r="L9884" s="33" t="str">
        <f>IFERROR(VLOOKUP($J9884,'Informations sur les produits'!$A$3:$H$10000,8,FALSE),"0")</f>
        <v>0</v>
      </c>
      <c r="N9884" s="8"/>
      <c r="O9884" s="33" t="str">
        <f>IFERROR(VLOOKUP($M9884,'Informations sur les produits'!$A$3:$H$10000,8,FALSE),"0")</f>
        <v>0</v>
      </c>
      <c r="P9884" s="33">
        <f t="shared" si="616"/>
        <v>0</v>
      </c>
      <c r="Q9884" s="31" t="str">
        <f t="shared" si="617"/>
        <v/>
      </c>
      <c r="R9884" s="32" t="str">
        <f>IFERROR(VLOOKUP($D9884,'Informations sur les produits'!$A$3:$B$15000,2,FALSE),"")</f>
        <v/>
      </c>
      <c r="V9884">
        <f t="shared" si="618"/>
        <v>0</v>
      </c>
      <c r="W9884">
        <f t="shared" si="619"/>
        <v>0</v>
      </c>
    </row>
    <row r="9885" spans="5:23" x14ac:dyDescent="0.25">
      <c r="E9885" s="4"/>
      <c r="F9885" s="4"/>
      <c r="G9885" s="33" t="str">
        <f>IFERROR(VLOOKUP($D9885,'Informations sur les produits'!$A$3:$H$10000,8,FALSE),"0")</f>
        <v>0</v>
      </c>
      <c r="K9885" s="4"/>
      <c r="L9885" s="33" t="str">
        <f>IFERROR(VLOOKUP($J9885,'Informations sur les produits'!$A$3:$H$10000,8,FALSE),"0")</f>
        <v>0</v>
      </c>
      <c r="N9885" s="8"/>
      <c r="O9885" s="33" t="str">
        <f>IFERROR(VLOOKUP($M9885,'Informations sur les produits'!$A$3:$H$10000,8,FALSE),"0")</f>
        <v>0</v>
      </c>
      <c r="P9885" s="33">
        <f t="shared" si="616"/>
        <v>0</v>
      </c>
      <c r="Q9885" s="31" t="str">
        <f t="shared" si="617"/>
        <v/>
      </c>
      <c r="R9885" s="32" t="str">
        <f>IFERROR(VLOOKUP($D9885,'Informations sur les produits'!$A$3:$B$15000,2,FALSE),"")</f>
        <v/>
      </c>
      <c r="V9885">
        <f t="shared" si="618"/>
        <v>0</v>
      </c>
      <c r="W9885">
        <f t="shared" si="619"/>
        <v>0</v>
      </c>
    </row>
    <row r="9886" spans="5:23" x14ac:dyDescent="0.25">
      <c r="E9886" s="4"/>
      <c r="F9886" s="4"/>
      <c r="G9886" s="33" t="str">
        <f>IFERROR(VLOOKUP($D9886,'Informations sur les produits'!$A$3:$H$10000,8,FALSE),"0")</f>
        <v>0</v>
      </c>
      <c r="K9886" s="4"/>
      <c r="L9886" s="33" t="str">
        <f>IFERROR(VLOOKUP($J9886,'Informations sur les produits'!$A$3:$H$10000,8,FALSE),"0")</f>
        <v>0</v>
      </c>
      <c r="N9886" s="8"/>
      <c r="O9886" s="33" t="str">
        <f>IFERROR(VLOOKUP($M9886,'Informations sur les produits'!$A$3:$H$10000,8,FALSE),"0")</f>
        <v>0</v>
      </c>
      <c r="P9886" s="33">
        <f t="shared" si="616"/>
        <v>0</v>
      </c>
      <c r="Q9886" s="31" t="str">
        <f t="shared" si="617"/>
        <v/>
      </c>
      <c r="R9886" s="32" t="str">
        <f>IFERROR(VLOOKUP($D9886,'Informations sur les produits'!$A$3:$B$15000,2,FALSE),"")</f>
        <v/>
      </c>
      <c r="V9886">
        <f t="shared" si="618"/>
        <v>0</v>
      </c>
      <c r="W9886">
        <f t="shared" si="619"/>
        <v>0</v>
      </c>
    </row>
    <row r="9887" spans="5:23" x14ac:dyDescent="0.25">
      <c r="E9887" s="4"/>
      <c r="F9887" s="4"/>
      <c r="G9887" s="33" t="str">
        <f>IFERROR(VLOOKUP($D9887,'Informations sur les produits'!$A$3:$H$10000,8,FALSE),"0")</f>
        <v>0</v>
      </c>
      <c r="K9887" s="4"/>
      <c r="L9887" s="33" t="str">
        <f>IFERROR(VLOOKUP($J9887,'Informations sur les produits'!$A$3:$H$10000,8,FALSE),"0")</f>
        <v>0</v>
      </c>
      <c r="N9887" s="8"/>
      <c r="O9887" s="33" t="str">
        <f>IFERROR(VLOOKUP($M9887,'Informations sur les produits'!$A$3:$H$10000,8,FALSE),"0")</f>
        <v>0</v>
      </c>
      <c r="P9887" s="33">
        <f t="shared" si="616"/>
        <v>0</v>
      </c>
      <c r="Q9887" s="31" t="str">
        <f t="shared" si="617"/>
        <v/>
      </c>
      <c r="R9887" s="32" t="str">
        <f>IFERROR(VLOOKUP($D9887,'Informations sur les produits'!$A$3:$B$15000,2,FALSE),"")</f>
        <v/>
      </c>
      <c r="V9887">
        <f t="shared" si="618"/>
        <v>0</v>
      </c>
      <c r="W9887">
        <f t="shared" si="619"/>
        <v>0</v>
      </c>
    </row>
    <row r="9888" spans="5:23" x14ac:dyDescent="0.25">
      <c r="E9888" s="4"/>
      <c r="F9888" s="4"/>
      <c r="G9888" s="33" t="str">
        <f>IFERROR(VLOOKUP($D9888,'Informations sur les produits'!$A$3:$H$10000,8,FALSE),"0")</f>
        <v>0</v>
      </c>
      <c r="K9888" s="4"/>
      <c r="L9888" s="33" t="str">
        <f>IFERROR(VLOOKUP($J9888,'Informations sur les produits'!$A$3:$H$10000,8,FALSE),"0")</f>
        <v>0</v>
      </c>
      <c r="N9888" s="8"/>
      <c r="O9888" s="33" t="str">
        <f>IFERROR(VLOOKUP($M9888,'Informations sur les produits'!$A$3:$H$10000,8,FALSE),"0")</f>
        <v>0</v>
      </c>
      <c r="P9888" s="33">
        <f t="shared" si="616"/>
        <v>0</v>
      </c>
      <c r="Q9888" s="31" t="str">
        <f t="shared" si="617"/>
        <v/>
      </c>
      <c r="R9888" s="32" t="str">
        <f>IFERROR(VLOOKUP($D9888,'Informations sur les produits'!$A$3:$B$15000,2,FALSE),"")</f>
        <v/>
      </c>
      <c r="V9888">
        <f t="shared" si="618"/>
        <v>0</v>
      </c>
      <c r="W9888">
        <f t="shared" si="619"/>
        <v>0</v>
      </c>
    </row>
    <row r="9889" spans="5:23" x14ac:dyDescent="0.25">
      <c r="E9889" s="4"/>
      <c r="F9889" s="4"/>
      <c r="G9889" s="33" t="str">
        <f>IFERROR(VLOOKUP($D9889,'Informations sur les produits'!$A$3:$H$10000,8,FALSE),"0")</f>
        <v>0</v>
      </c>
      <c r="K9889" s="4"/>
      <c r="L9889" s="33" t="str">
        <f>IFERROR(VLOOKUP($J9889,'Informations sur les produits'!$A$3:$H$10000,8,FALSE),"0")</f>
        <v>0</v>
      </c>
      <c r="N9889" s="8"/>
      <c r="O9889" s="33" t="str">
        <f>IFERROR(VLOOKUP($M9889,'Informations sur les produits'!$A$3:$H$10000,8,FALSE),"0")</f>
        <v>0</v>
      </c>
      <c r="P9889" s="33">
        <f t="shared" si="616"/>
        <v>0</v>
      </c>
      <c r="Q9889" s="31" t="str">
        <f t="shared" si="617"/>
        <v/>
      </c>
      <c r="R9889" s="32" t="str">
        <f>IFERROR(VLOOKUP($D9889,'Informations sur les produits'!$A$3:$B$15000,2,FALSE),"")</f>
        <v/>
      </c>
      <c r="V9889">
        <f t="shared" si="618"/>
        <v>0</v>
      </c>
      <c r="W9889">
        <f t="shared" si="619"/>
        <v>0</v>
      </c>
    </row>
    <row r="9890" spans="5:23" x14ac:dyDescent="0.25">
      <c r="E9890" s="4"/>
      <c r="F9890" s="4"/>
      <c r="G9890" s="33" t="str">
        <f>IFERROR(VLOOKUP($D9890,'Informations sur les produits'!$A$3:$H$10000,8,FALSE),"0")</f>
        <v>0</v>
      </c>
      <c r="K9890" s="4"/>
      <c r="L9890" s="33" t="str">
        <f>IFERROR(VLOOKUP($J9890,'Informations sur les produits'!$A$3:$H$10000,8,FALSE),"0")</f>
        <v>0</v>
      </c>
      <c r="N9890" s="8"/>
      <c r="O9890" s="33" t="str">
        <f>IFERROR(VLOOKUP($M9890,'Informations sur les produits'!$A$3:$H$10000,8,FALSE),"0")</f>
        <v>0</v>
      </c>
      <c r="P9890" s="33">
        <f t="shared" si="616"/>
        <v>0</v>
      </c>
      <c r="Q9890" s="31" t="str">
        <f t="shared" si="617"/>
        <v/>
      </c>
      <c r="R9890" s="32" t="str">
        <f>IFERROR(VLOOKUP($D9890,'Informations sur les produits'!$A$3:$B$15000,2,FALSE),"")</f>
        <v/>
      </c>
      <c r="V9890">
        <f t="shared" si="618"/>
        <v>0</v>
      </c>
      <c r="W9890">
        <f t="shared" si="619"/>
        <v>0</v>
      </c>
    </row>
    <row r="9891" spans="5:23" x14ac:dyDescent="0.25">
      <c r="E9891" s="4"/>
      <c r="F9891" s="4"/>
      <c r="G9891" s="33" t="str">
        <f>IFERROR(VLOOKUP($D9891,'Informations sur les produits'!$A$3:$H$10000,8,FALSE),"0")</f>
        <v>0</v>
      </c>
      <c r="K9891" s="4"/>
      <c r="L9891" s="33" t="str">
        <f>IFERROR(VLOOKUP($J9891,'Informations sur les produits'!$A$3:$H$10000,8,FALSE),"0")</f>
        <v>0</v>
      </c>
      <c r="N9891" s="8"/>
      <c r="O9891" s="33" t="str">
        <f>IFERROR(VLOOKUP($M9891,'Informations sur les produits'!$A$3:$H$10000,8,FALSE),"0")</f>
        <v>0</v>
      </c>
      <c r="P9891" s="33">
        <f t="shared" si="616"/>
        <v>0</v>
      </c>
      <c r="Q9891" s="31" t="str">
        <f t="shared" si="617"/>
        <v/>
      </c>
      <c r="R9891" s="32" t="str">
        <f>IFERROR(VLOOKUP($D9891,'Informations sur les produits'!$A$3:$B$15000,2,FALSE),"")</f>
        <v/>
      </c>
      <c r="V9891">
        <f t="shared" si="618"/>
        <v>0</v>
      </c>
      <c r="W9891">
        <f t="shared" si="619"/>
        <v>0</v>
      </c>
    </row>
    <row r="9892" spans="5:23" x14ac:dyDescent="0.25">
      <c r="E9892" s="4"/>
      <c r="F9892" s="4"/>
      <c r="G9892" s="33" t="str">
        <f>IFERROR(VLOOKUP($D9892,'Informations sur les produits'!$A$3:$H$10000,8,FALSE),"0")</f>
        <v>0</v>
      </c>
      <c r="K9892" s="4"/>
      <c r="L9892" s="33" t="str">
        <f>IFERROR(VLOOKUP($J9892,'Informations sur les produits'!$A$3:$H$10000,8,FALSE),"0")</f>
        <v>0</v>
      </c>
      <c r="N9892" s="8"/>
      <c r="O9892" s="33" t="str">
        <f>IFERROR(VLOOKUP($M9892,'Informations sur les produits'!$A$3:$H$10000,8,FALSE),"0")</f>
        <v>0</v>
      </c>
      <c r="P9892" s="33">
        <f t="shared" si="616"/>
        <v>0</v>
      </c>
      <c r="Q9892" s="31" t="str">
        <f t="shared" si="617"/>
        <v/>
      </c>
      <c r="R9892" s="32" t="str">
        <f>IFERROR(VLOOKUP($D9892,'Informations sur les produits'!$A$3:$B$15000,2,FALSE),"")</f>
        <v/>
      </c>
      <c r="V9892">
        <f t="shared" si="618"/>
        <v>0</v>
      </c>
      <c r="W9892">
        <f t="shared" si="619"/>
        <v>0</v>
      </c>
    </row>
    <row r="9893" spans="5:23" x14ac:dyDescent="0.25">
      <c r="E9893" s="4"/>
      <c r="F9893" s="4"/>
      <c r="G9893" s="33" t="str">
        <f>IFERROR(VLOOKUP($D9893,'Informations sur les produits'!$A$3:$H$10000,8,FALSE),"0")</f>
        <v>0</v>
      </c>
      <c r="K9893" s="4"/>
      <c r="L9893" s="33" t="str">
        <f>IFERROR(VLOOKUP($J9893,'Informations sur les produits'!$A$3:$H$10000,8,FALSE),"0")</f>
        <v>0</v>
      </c>
      <c r="N9893" s="8"/>
      <c r="O9893" s="33" t="str">
        <f>IFERROR(VLOOKUP($M9893,'Informations sur les produits'!$A$3:$H$10000,8,FALSE),"0")</f>
        <v>0</v>
      </c>
      <c r="P9893" s="33">
        <f t="shared" si="616"/>
        <v>0</v>
      </c>
      <c r="Q9893" s="31" t="str">
        <f t="shared" si="617"/>
        <v/>
      </c>
      <c r="R9893" s="32" t="str">
        <f>IFERROR(VLOOKUP($D9893,'Informations sur les produits'!$A$3:$B$15000,2,FALSE),"")</f>
        <v/>
      </c>
      <c r="V9893">
        <f t="shared" si="618"/>
        <v>0</v>
      </c>
      <c r="W9893">
        <f t="shared" si="619"/>
        <v>0</v>
      </c>
    </row>
    <row r="9894" spans="5:23" x14ac:dyDescent="0.25">
      <c r="E9894" s="4"/>
      <c r="F9894" s="4"/>
      <c r="G9894" s="33" t="str">
        <f>IFERROR(VLOOKUP($D9894,'Informations sur les produits'!$A$3:$H$10000,8,FALSE),"0")</f>
        <v>0</v>
      </c>
      <c r="K9894" s="4"/>
      <c r="L9894" s="33" t="str">
        <f>IFERROR(VLOOKUP($J9894,'Informations sur les produits'!$A$3:$H$10000,8,FALSE),"0")</f>
        <v>0</v>
      </c>
      <c r="N9894" s="8"/>
      <c r="O9894" s="33" t="str">
        <f>IFERROR(VLOOKUP($M9894,'Informations sur les produits'!$A$3:$H$10000,8,FALSE),"0")</f>
        <v>0</v>
      </c>
      <c r="P9894" s="33">
        <f t="shared" si="616"/>
        <v>0</v>
      </c>
      <c r="Q9894" s="31" t="str">
        <f t="shared" si="617"/>
        <v/>
      </c>
      <c r="R9894" s="32" t="str">
        <f>IFERROR(VLOOKUP($D9894,'Informations sur les produits'!$A$3:$B$15000,2,FALSE),"")</f>
        <v/>
      </c>
      <c r="V9894">
        <f t="shared" si="618"/>
        <v>0</v>
      </c>
      <c r="W9894">
        <f t="shared" si="619"/>
        <v>0</v>
      </c>
    </row>
    <row r="9895" spans="5:23" x14ac:dyDescent="0.25">
      <c r="E9895" s="4"/>
      <c r="F9895" s="4"/>
      <c r="G9895" s="33" t="str">
        <f>IFERROR(VLOOKUP($D9895,'Informations sur les produits'!$A$3:$H$10000,8,FALSE),"0")</f>
        <v>0</v>
      </c>
      <c r="K9895" s="4"/>
      <c r="L9895" s="33" t="str">
        <f>IFERROR(VLOOKUP($J9895,'Informations sur les produits'!$A$3:$H$10000,8,FALSE),"0")</f>
        <v>0</v>
      </c>
      <c r="N9895" s="8"/>
      <c r="O9895" s="33" t="str">
        <f>IFERROR(VLOOKUP($M9895,'Informations sur les produits'!$A$3:$H$10000,8,FALSE),"0")</f>
        <v>0</v>
      </c>
      <c r="P9895" s="33">
        <f t="shared" si="616"/>
        <v>0</v>
      </c>
      <c r="Q9895" s="31" t="str">
        <f t="shared" si="617"/>
        <v/>
      </c>
      <c r="R9895" s="32" t="str">
        <f>IFERROR(VLOOKUP($D9895,'Informations sur les produits'!$A$3:$B$15000,2,FALSE),"")</f>
        <v/>
      </c>
      <c r="V9895">
        <f t="shared" si="618"/>
        <v>0</v>
      </c>
      <c r="W9895">
        <f t="shared" si="619"/>
        <v>0</v>
      </c>
    </row>
    <row r="9896" spans="5:23" x14ac:dyDescent="0.25">
      <c r="E9896" s="4"/>
      <c r="F9896" s="4"/>
      <c r="G9896" s="33" t="str">
        <f>IFERROR(VLOOKUP($D9896,'Informations sur les produits'!$A$3:$H$10000,8,FALSE),"0")</f>
        <v>0</v>
      </c>
      <c r="K9896" s="4"/>
      <c r="L9896" s="33" t="str">
        <f>IFERROR(VLOOKUP($J9896,'Informations sur les produits'!$A$3:$H$10000,8,FALSE),"0")</f>
        <v>0</v>
      </c>
      <c r="N9896" s="8"/>
      <c r="O9896" s="33" t="str">
        <f>IFERROR(VLOOKUP($M9896,'Informations sur les produits'!$A$3:$H$10000,8,FALSE),"0")</f>
        <v>0</v>
      </c>
      <c r="P9896" s="33">
        <f t="shared" si="616"/>
        <v>0</v>
      </c>
      <c r="Q9896" s="31" t="str">
        <f t="shared" si="617"/>
        <v/>
      </c>
      <c r="R9896" s="32" t="str">
        <f>IFERROR(VLOOKUP($D9896,'Informations sur les produits'!$A$3:$B$15000,2,FALSE),"")</f>
        <v/>
      </c>
      <c r="V9896">
        <f t="shared" si="618"/>
        <v>0</v>
      </c>
      <c r="W9896">
        <f t="shared" si="619"/>
        <v>0</v>
      </c>
    </row>
    <row r="9897" spans="5:23" x14ac:dyDescent="0.25">
      <c r="E9897" s="4"/>
      <c r="F9897" s="4"/>
      <c r="G9897" s="33" t="str">
        <f>IFERROR(VLOOKUP($D9897,'Informations sur les produits'!$A$3:$H$10000,8,FALSE),"0")</f>
        <v>0</v>
      </c>
      <c r="K9897" s="4"/>
      <c r="L9897" s="33" t="str">
        <f>IFERROR(VLOOKUP($J9897,'Informations sur les produits'!$A$3:$H$10000,8,FALSE),"0")</f>
        <v>0</v>
      </c>
      <c r="N9897" s="8"/>
      <c r="O9897" s="33" t="str">
        <f>IFERROR(VLOOKUP($M9897,'Informations sur les produits'!$A$3:$H$10000,8,FALSE),"0")</f>
        <v>0</v>
      </c>
      <c r="P9897" s="33">
        <f t="shared" si="616"/>
        <v>0</v>
      </c>
      <c r="Q9897" s="31" t="str">
        <f t="shared" si="617"/>
        <v/>
      </c>
      <c r="R9897" s="32" t="str">
        <f>IFERROR(VLOOKUP($D9897,'Informations sur les produits'!$A$3:$B$15000,2,FALSE),"")</f>
        <v/>
      </c>
      <c r="V9897">
        <f t="shared" si="618"/>
        <v>0</v>
      </c>
      <c r="W9897">
        <f t="shared" si="619"/>
        <v>0</v>
      </c>
    </row>
    <row r="9898" spans="5:23" x14ac:dyDescent="0.25">
      <c r="E9898" s="4"/>
      <c r="F9898" s="4"/>
      <c r="G9898" s="33" t="str">
        <f>IFERROR(VLOOKUP($D9898,'Informations sur les produits'!$A$3:$H$10000,8,FALSE),"0")</f>
        <v>0</v>
      </c>
      <c r="K9898" s="4"/>
      <c r="L9898" s="33" t="str">
        <f>IFERROR(VLOOKUP($J9898,'Informations sur les produits'!$A$3:$H$10000,8,FALSE),"0")</f>
        <v>0</v>
      </c>
      <c r="N9898" s="8"/>
      <c r="O9898" s="33" t="str">
        <f>IFERROR(VLOOKUP($M9898,'Informations sur les produits'!$A$3:$H$10000,8,FALSE),"0")</f>
        <v>0</v>
      </c>
      <c r="P9898" s="33">
        <f t="shared" si="616"/>
        <v>0</v>
      </c>
      <c r="Q9898" s="31" t="str">
        <f t="shared" si="617"/>
        <v/>
      </c>
      <c r="R9898" s="32" t="str">
        <f>IFERROR(VLOOKUP($D9898,'Informations sur les produits'!$A$3:$B$15000,2,FALSE),"")</f>
        <v/>
      </c>
      <c r="V9898">
        <f t="shared" si="618"/>
        <v>0</v>
      </c>
      <c r="W9898">
        <f t="shared" si="619"/>
        <v>0</v>
      </c>
    </row>
    <row r="9899" spans="5:23" x14ac:dyDescent="0.25">
      <c r="E9899" s="4"/>
      <c r="F9899" s="4"/>
      <c r="G9899" s="33" t="str">
        <f>IFERROR(VLOOKUP($D9899,'Informations sur les produits'!$A$3:$H$10000,8,FALSE),"0")</f>
        <v>0</v>
      </c>
      <c r="K9899" s="4"/>
      <c r="L9899" s="33" t="str">
        <f>IFERROR(VLOOKUP($J9899,'Informations sur les produits'!$A$3:$H$10000,8,FALSE),"0")</f>
        <v>0</v>
      </c>
      <c r="N9899" s="8"/>
      <c r="O9899" s="33" t="str">
        <f>IFERROR(VLOOKUP($M9899,'Informations sur les produits'!$A$3:$H$10000,8,FALSE),"0")</f>
        <v>0</v>
      </c>
      <c r="P9899" s="33">
        <f t="shared" si="616"/>
        <v>0</v>
      </c>
      <c r="Q9899" s="31" t="str">
        <f t="shared" si="617"/>
        <v/>
      </c>
      <c r="R9899" s="32" t="str">
        <f>IFERROR(VLOOKUP($D9899,'Informations sur les produits'!$A$3:$B$15000,2,FALSE),"")</f>
        <v/>
      </c>
      <c r="V9899">
        <f t="shared" si="618"/>
        <v>0</v>
      </c>
      <c r="W9899">
        <f t="shared" si="619"/>
        <v>0</v>
      </c>
    </row>
    <row r="9900" spans="5:23" x14ac:dyDescent="0.25">
      <c r="E9900" s="4"/>
      <c r="F9900" s="4"/>
      <c r="G9900" s="33" t="str">
        <f>IFERROR(VLOOKUP($D9900,'Informations sur les produits'!$A$3:$H$10000,8,FALSE),"0")</f>
        <v>0</v>
      </c>
      <c r="K9900" s="4"/>
      <c r="L9900" s="33" t="str">
        <f>IFERROR(VLOOKUP($J9900,'Informations sur les produits'!$A$3:$H$10000,8,FALSE),"0")</f>
        <v>0</v>
      </c>
      <c r="N9900" s="8"/>
      <c r="O9900" s="33" t="str">
        <f>IFERROR(VLOOKUP($M9900,'Informations sur les produits'!$A$3:$H$10000,8,FALSE),"0")</f>
        <v>0</v>
      </c>
      <c r="P9900" s="33">
        <f t="shared" si="616"/>
        <v>0</v>
      </c>
      <c r="Q9900" s="31" t="str">
        <f t="shared" si="617"/>
        <v/>
      </c>
      <c r="R9900" s="32" t="str">
        <f>IFERROR(VLOOKUP($D9900,'Informations sur les produits'!$A$3:$B$15000,2,FALSE),"")</f>
        <v/>
      </c>
      <c r="V9900">
        <f t="shared" si="618"/>
        <v>0</v>
      </c>
      <c r="W9900">
        <f t="shared" si="619"/>
        <v>0</v>
      </c>
    </row>
    <row r="9901" spans="5:23" x14ac:dyDescent="0.25">
      <c r="E9901" s="4"/>
      <c r="F9901" s="4"/>
      <c r="G9901" s="33" t="str">
        <f>IFERROR(VLOOKUP($D9901,'Informations sur les produits'!$A$3:$H$10000,8,FALSE),"0")</f>
        <v>0</v>
      </c>
      <c r="K9901" s="4"/>
      <c r="L9901" s="33" t="str">
        <f>IFERROR(VLOOKUP($J9901,'Informations sur les produits'!$A$3:$H$10000,8,FALSE),"0")</f>
        <v>0</v>
      </c>
      <c r="N9901" s="8"/>
      <c r="O9901" s="33" t="str">
        <f>IFERROR(VLOOKUP($M9901,'Informations sur les produits'!$A$3:$H$10000,8,FALSE),"0")</f>
        <v>0</v>
      </c>
      <c r="P9901" s="33">
        <f t="shared" si="616"/>
        <v>0</v>
      </c>
      <c r="Q9901" s="31" t="str">
        <f t="shared" si="617"/>
        <v/>
      </c>
      <c r="R9901" s="32" t="str">
        <f>IFERROR(VLOOKUP($D9901,'Informations sur les produits'!$A$3:$B$15000,2,FALSE),"")</f>
        <v/>
      </c>
      <c r="V9901">
        <f t="shared" si="618"/>
        <v>0</v>
      </c>
      <c r="W9901">
        <f t="shared" si="619"/>
        <v>0</v>
      </c>
    </row>
    <row r="9902" spans="5:23" x14ac:dyDescent="0.25">
      <c r="E9902" s="4"/>
      <c r="F9902" s="4"/>
      <c r="G9902" s="33" t="str">
        <f>IFERROR(VLOOKUP($D9902,'Informations sur les produits'!$A$3:$H$10000,8,FALSE),"0")</f>
        <v>0</v>
      </c>
      <c r="K9902" s="4"/>
      <c r="L9902" s="33" t="str">
        <f>IFERROR(VLOOKUP($J9902,'Informations sur les produits'!$A$3:$H$10000,8,FALSE),"0")</f>
        <v>0</v>
      </c>
      <c r="N9902" s="8"/>
      <c r="O9902" s="33" t="str">
        <f>IFERROR(VLOOKUP($M9902,'Informations sur les produits'!$A$3:$H$10000,8,FALSE),"0")</f>
        <v>0</v>
      </c>
      <c r="P9902" s="33">
        <f t="shared" si="616"/>
        <v>0</v>
      </c>
      <c r="Q9902" s="31" t="str">
        <f t="shared" si="617"/>
        <v/>
      </c>
      <c r="R9902" s="32" t="str">
        <f>IFERROR(VLOOKUP($D9902,'Informations sur les produits'!$A$3:$B$15000,2,FALSE),"")</f>
        <v/>
      </c>
      <c r="V9902">
        <f t="shared" si="618"/>
        <v>0</v>
      </c>
      <c r="W9902">
        <f t="shared" si="619"/>
        <v>0</v>
      </c>
    </row>
    <row r="9903" spans="5:23" x14ac:dyDescent="0.25">
      <c r="E9903" s="4"/>
      <c r="F9903" s="4"/>
      <c r="G9903" s="33" t="str">
        <f>IFERROR(VLOOKUP($D9903,'Informations sur les produits'!$A$3:$H$10000,8,FALSE),"0")</f>
        <v>0</v>
      </c>
      <c r="K9903" s="4"/>
      <c r="L9903" s="33" t="str">
        <f>IFERROR(VLOOKUP($J9903,'Informations sur les produits'!$A$3:$H$10000,8,FALSE),"0")</f>
        <v>0</v>
      </c>
      <c r="N9903" s="8"/>
      <c r="O9903" s="33" t="str">
        <f>IFERROR(VLOOKUP($M9903,'Informations sur les produits'!$A$3:$H$10000,8,FALSE),"0")</f>
        <v>0</v>
      </c>
      <c r="P9903" s="33">
        <f t="shared" si="616"/>
        <v>0</v>
      </c>
      <c r="Q9903" s="31" t="str">
        <f t="shared" si="617"/>
        <v/>
      </c>
      <c r="R9903" s="32" t="str">
        <f>IFERROR(VLOOKUP($D9903,'Informations sur les produits'!$A$3:$B$15000,2,FALSE),"")</f>
        <v/>
      </c>
      <c r="V9903">
        <f t="shared" si="618"/>
        <v>0</v>
      </c>
      <c r="W9903">
        <f t="shared" si="619"/>
        <v>0</v>
      </c>
    </row>
    <row r="9904" spans="5:23" x14ac:dyDescent="0.25">
      <c r="E9904" s="4"/>
      <c r="F9904" s="4"/>
      <c r="G9904" s="33" t="str">
        <f>IFERROR(VLOOKUP($D9904,'Informations sur les produits'!$A$3:$H$10000,8,FALSE),"0")</f>
        <v>0</v>
      </c>
      <c r="K9904" s="4"/>
      <c r="L9904" s="33" t="str">
        <f>IFERROR(VLOOKUP($J9904,'Informations sur les produits'!$A$3:$H$10000,8,FALSE),"0")</f>
        <v>0</v>
      </c>
      <c r="N9904" s="8"/>
      <c r="O9904" s="33" t="str">
        <f>IFERROR(VLOOKUP($M9904,'Informations sur les produits'!$A$3:$H$10000,8,FALSE),"0")</f>
        <v>0</v>
      </c>
      <c r="P9904" s="33">
        <f t="shared" si="616"/>
        <v>0</v>
      </c>
      <c r="Q9904" s="31" t="str">
        <f t="shared" si="617"/>
        <v/>
      </c>
      <c r="R9904" s="32" t="str">
        <f>IFERROR(VLOOKUP($D9904,'Informations sur les produits'!$A$3:$B$15000,2,FALSE),"")</f>
        <v/>
      </c>
      <c r="V9904">
        <f t="shared" si="618"/>
        <v>0</v>
      </c>
      <c r="W9904">
        <f t="shared" si="619"/>
        <v>0</v>
      </c>
    </row>
    <row r="9905" spans="5:23" x14ac:dyDescent="0.25">
      <c r="E9905" s="4"/>
      <c r="F9905" s="4"/>
      <c r="G9905" s="33" t="str">
        <f>IFERROR(VLOOKUP($D9905,'Informations sur les produits'!$A$3:$H$10000,8,FALSE),"0")</f>
        <v>0</v>
      </c>
      <c r="K9905" s="4"/>
      <c r="L9905" s="33" t="str">
        <f>IFERROR(VLOOKUP($J9905,'Informations sur les produits'!$A$3:$H$10000,8,FALSE),"0")</f>
        <v>0</v>
      </c>
      <c r="N9905" s="8"/>
      <c r="O9905" s="33" t="str">
        <f>IFERROR(VLOOKUP($M9905,'Informations sur les produits'!$A$3:$H$10000,8,FALSE),"0")</f>
        <v>0</v>
      </c>
      <c r="P9905" s="33">
        <f t="shared" si="616"/>
        <v>0</v>
      </c>
      <c r="Q9905" s="31" t="str">
        <f t="shared" si="617"/>
        <v/>
      </c>
      <c r="R9905" s="32" t="str">
        <f>IFERROR(VLOOKUP($D9905,'Informations sur les produits'!$A$3:$B$15000,2,FALSE),"")</f>
        <v/>
      </c>
      <c r="V9905">
        <f t="shared" si="618"/>
        <v>0</v>
      </c>
      <c r="W9905">
        <f t="shared" si="619"/>
        <v>0</v>
      </c>
    </row>
    <row r="9906" spans="5:23" x14ac:dyDescent="0.25">
      <c r="E9906" s="4"/>
      <c r="F9906" s="4"/>
      <c r="G9906" s="33" t="str">
        <f>IFERROR(VLOOKUP($D9906,'Informations sur les produits'!$A$3:$H$10000,8,FALSE),"0")</f>
        <v>0</v>
      </c>
      <c r="K9906" s="4"/>
      <c r="L9906" s="33" t="str">
        <f>IFERROR(VLOOKUP($J9906,'Informations sur les produits'!$A$3:$H$10000,8,FALSE),"0")</f>
        <v>0</v>
      </c>
      <c r="N9906" s="8"/>
      <c r="O9906" s="33" t="str">
        <f>IFERROR(VLOOKUP($M9906,'Informations sur les produits'!$A$3:$H$10000,8,FALSE),"0")</f>
        <v>0</v>
      </c>
      <c r="P9906" s="33">
        <f t="shared" si="616"/>
        <v>0</v>
      </c>
      <c r="Q9906" s="31" t="str">
        <f t="shared" si="617"/>
        <v/>
      </c>
      <c r="R9906" s="32" t="str">
        <f>IFERROR(VLOOKUP($D9906,'Informations sur les produits'!$A$3:$B$15000,2,FALSE),"")</f>
        <v/>
      </c>
      <c r="V9906">
        <f t="shared" si="618"/>
        <v>0</v>
      </c>
      <c r="W9906">
        <f t="shared" si="619"/>
        <v>0</v>
      </c>
    </row>
    <row r="9907" spans="5:23" x14ac:dyDescent="0.25">
      <c r="E9907" s="4"/>
      <c r="F9907" s="4"/>
      <c r="G9907" s="33" t="str">
        <f>IFERROR(VLOOKUP($D9907,'Informations sur les produits'!$A$3:$H$10000,8,FALSE),"0")</f>
        <v>0</v>
      </c>
      <c r="K9907" s="4"/>
      <c r="L9907" s="33" t="str">
        <f>IFERROR(VLOOKUP($J9907,'Informations sur les produits'!$A$3:$H$10000,8,FALSE),"0")</f>
        <v>0</v>
      </c>
      <c r="N9907" s="8"/>
      <c r="O9907" s="33" t="str">
        <f>IFERROR(VLOOKUP($M9907,'Informations sur les produits'!$A$3:$H$10000,8,FALSE),"0")</f>
        <v>0</v>
      </c>
      <c r="P9907" s="33">
        <f t="shared" si="616"/>
        <v>0</v>
      </c>
      <c r="Q9907" s="31" t="str">
        <f t="shared" si="617"/>
        <v/>
      </c>
      <c r="R9907" s="32" t="str">
        <f>IFERROR(VLOOKUP($D9907,'Informations sur les produits'!$A$3:$B$15000,2,FALSE),"")</f>
        <v/>
      </c>
      <c r="V9907">
        <f t="shared" si="618"/>
        <v>0</v>
      </c>
      <c r="W9907">
        <f t="shared" si="619"/>
        <v>0</v>
      </c>
    </row>
    <row r="9908" spans="5:23" x14ac:dyDescent="0.25">
      <c r="E9908" s="4"/>
      <c r="F9908" s="4"/>
      <c r="G9908" s="33" t="str">
        <f>IFERROR(VLOOKUP($D9908,'Informations sur les produits'!$A$3:$H$10000,8,FALSE),"0")</f>
        <v>0</v>
      </c>
      <c r="K9908" s="4"/>
      <c r="L9908" s="33" t="str">
        <f>IFERROR(VLOOKUP($J9908,'Informations sur les produits'!$A$3:$H$10000,8,FALSE),"0")</f>
        <v>0</v>
      </c>
      <c r="N9908" s="8"/>
      <c r="O9908" s="33" t="str">
        <f>IFERROR(VLOOKUP($M9908,'Informations sur les produits'!$A$3:$H$10000,8,FALSE),"0")</f>
        <v>0</v>
      </c>
      <c r="P9908" s="33">
        <f t="shared" si="616"/>
        <v>0</v>
      </c>
      <c r="Q9908" s="31" t="str">
        <f t="shared" si="617"/>
        <v/>
      </c>
      <c r="R9908" s="32" t="str">
        <f>IFERROR(VLOOKUP($D9908,'Informations sur les produits'!$A$3:$B$15000,2,FALSE),"")</f>
        <v/>
      </c>
      <c r="V9908">
        <f t="shared" si="618"/>
        <v>0</v>
      </c>
      <c r="W9908">
        <f t="shared" si="619"/>
        <v>0</v>
      </c>
    </row>
    <row r="9909" spans="5:23" x14ac:dyDescent="0.25">
      <c r="E9909" s="4"/>
      <c r="F9909" s="4"/>
      <c r="G9909" s="33" t="str">
        <f>IFERROR(VLOOKUP($D9909,'Informations sur les produits'!$A$3:$H$10000,8,FALSE),"0")</f>
        <v>0</v>
      </c>
      <c r="K9909" s="4"/>
      <c r="L9909" s="33" t="str">
        <f>IFERROR(VLOOKUP($J9909,'Informations sur les produits'!$A$3:$H$10000,8,FALSE),"0")</f>
        <v>0</v>
      </c>
      <c r="N9909" s="8"/>
      <c r="O9909" s="33" t="str">
        <f>IFERROR(VLOOKUP($M9909,'Informations sur les produits'!$A$3:$H$10000,8,FALSE),"0")</f>
        <v>0</v>
      </c>
      <c r="P9909" s="33">
        <f t="shared" si="616"/>
        <v>0</v>
      </c>
      <c r="Q9909" s="31" t="str">
        <f t="shared" si="617"/>
        <v/>
      </c>
      <c r="R9909" s="32" t="str">
        <f>IFERROR(VLOOKUP($D9909,'Informations sur les produits'!$A$3:$B$15000,2,FALSE),"")</f>
        <v/>
      </c>
      <c r="V9909">
        <f t="shared" si="618"/>
        <v>0</v>
      </c>
      <c r="W9909">
        <f t="shared" si="619"/>
        <v>0</v>
      </c>
    </row>
    <row r="9910" spans="5:23" x14ac:dyDescent="0.25">
      <c r="E9910" s="4"/>
      <c r="F9910" s="4"/>
      <c r="G9910" s="33" t="str">
        <f>IFERROR(VLOOKUP($D9910,'Informations sur les produits'!$A$3:$H$10000,8,FALSE),"0")</f>
        <v>0</v>
      </c>
      <c r="K9910" s="4"/>
      <c r="L9910" s="33" t="str">
        <f>IFERROR(VLOOKUP($J9910,'Informations sur les produits'!$A$3:$H$10000,8,FALSE),"0")</f>
        <v>0</v>
      </c>
      <c r="N9910" s="8"/>
      <c r="O9910" s="33" t="str">
        <f>IFERROR(VLOOKUP($M9910,'Informations sur les produits'!$A$3:$H$10000,8,FALSE),"0")</f>
        <v>0</v>
      </c>
      <c r="P9910" s="33">
        <f t="shared" si="616"/>
        <v>0</v>
      </c>
      <c r="Q9910" s="31" t="str">
        <f t="shared" si="617"/>
        <v/>
      </c>
      <c r="R9910" s="32" t="str">
        <f>IFERROR(VLOOKUP($D9910,'Informations sur les produits'!$A$3:$B$15000,2,FALSE),"")</f>
        <v/>
      </c>
      <c r="V9910">
        <f t="shared" si="618"/>
        <v>0</v>
      </c>
      <c r="W9910">
        <f t="shared" si="619"/>
        <v>0</v>
      </c>
    </row>
    <row r="9911" spans="5:23" x14ac:dyDescent="0.25">
      <c r="E9911" s="4"/>
      <c r="F9911" s="4"/>
      <c r="G9911" s="33" t="str">
        <f>IFERROR(VLOOKUP($D9911,'Informations sur les produits'!$A$3:$H$10000,8,FALSE),"0")</f>
        <v>0</v>
      </c>
      <c r="K9911" s="4"/>
      <c r="L9911" s="33" t="str">
        <f>IFERROR(VLOOKUP($J9911,'Informations sur les produits'!$A$3:$H$10000,8,FALSE),"0")</f>
        <v>0</v>
      </c>
      <c r="N9911" s="8"/>
      <c r="O9911" s="33" t="str">
        <f>IFERROR(VLOOKUP($M9911,'Informations sur les produits'!$A$3:$H$10000,8,FALSE),"0")</f>
        <v>0</v>
      </c>
      <c r="P9911" s="33">
        <f t="shared" si="616"/>
        <v>0</v>
      </c>
      <c r="Q9911" s="31" t="str">
        <f t="shared" si="617"/>
        <v/>
      </c>
      <c r="R9911" s="32" t="str">
        <f>IFERROR(VLOOKUP($D9911,'Informations sur les produits'!$A$3:$B$15000,2,FALSE),"")</f>
        <v/>
      </c>
      <c r="V9911">
        <f t="shared" si="618"/>
        <v>0</v>
      </c>
      <c r="W9911">
        <f t="shared" si="619"/>
        <v>0</v>
      </c>
    </row>
    <row r="9912" spans="5:23" x14ac:dyDescent="0.25">
      <c r="E9912" s="4"/>
      <c r="F9912" s="4"/>
      <c r="G9912" s="33" t="str">
        <f>IFERROR(VLOOKUP($D9912,'Informations sur les produits'!$A$3:$H$10000,8,FALSE),"0")</f>
        <v>0</v>
      </c>
      <c r="K9912" s="4"/>
      <c r="L9912" s="33" t="str">
        <f>IFERROR(VLOOKUP($J9912,'Informations sur les produits'!$A$3:$H$10000,8,FALSE),"0")</f>
        <v>0</v>
      </c>
      <c r="N9912" s="8"/>
      <c r="O9912" s="33" t="str">
        <f>IFERROR(VLOOKUP($M9912,'Informations sur les produits'!$A$3:$H$10000,8,FALSE),"0")</f>
        <v>0</v>
      </c>
      <c r="P9912" s="33">
        <f t="shared" si="616"/>
        <v>0</v>
      </c>
      <c r="Q9912" s="31" t="str">
        <f t="shared" si="617"/>
        <v/>
      </c>
      <c r="R9912" s="32" t="str">
        <f>IFERROR(VLOOKUP($D9912,'Informations sur les produits'!$A$3:$B$15000,2,FALSE),"")</f>
        <v/>
      </c>
      <c r="V9912">
        <f t="shared" si="618"/>
        <v>0</v>
      </c>
      <c r="W9912">
        <f t="shared" si="619"/>
        <v>0</v>
      </c>
    </row>
    <row r="9913" spans="5:23" x14ac:dyDescent="0.25">
      <c r="E9913" s="4"/>
      <c r="F9913" s="4"/>
      <c r="G9913" s="33" t="str">
        <f>IFERROR(VLOOKUP($D9913,'Informations sur les produits'!$A$3:$H$10000,8,FALSE),"0")</f>
        <v>0</v>
      </c>
      <c r="K9913" s="4"/>
      <c r="L9913" s="33" t="str">
        <f>IFERROR(VLOOKUP($J9913,'Informations sur les produits'!$A$3:$H$10000,8,FALSE),"0")</f>
        <v>0</v>
      </c>
      <c r="N9913" s="8"/>
      <c r="O9913" s="33" t="str">
        <f>IFERROR(VLOOKUP($M9913,'Informations sur les produits'!$A$3:$H$10000,8,FALSE),"0")</f>
        <v>0</v>
      </c>
      <c r="P9913" s="33">
        <f t="shared" si="616"/>
        <v>0</v>
      </c>
      <c r="Q9913" s="31" t="str">
        <f t="shared" si="617"/>
        <v/>
      </c>
      <c r="R9913" s="32" t="str">
        <f>IFERROR(VLOOKUP($D9913,'Informations sur les produits'!$A$3:$B$15000,2,FALSE),"")</f>
        <v/>
      </c>
      <c r="V9913">
        <f t="shared" si="618"/>
        <v>0</v>
      </c>
      <c r="W9913">
        <f t="shared" si="619"/>
        <v>0</v>
      </c>
    </row>
    <row r="9914" spans="5:23" x14ac:dyDescent="0.25">
      <c r="E9914" s="4"/>
      <c r="F9914" s="4"/>
      <c r="G9914" s="33" t="str">
        <f>IFERROR(VLOOKUP($D9914,'Informations sur les produits'!$A$3:$H$10000,8,FALSE),"0")</f>
        <v>0</v>
      </c>
      <c r="K9914" s="4"/>
      <c r="L9914" s="33" t="str">
        <f>IFERROR(VLOOKUP($J9914,'Informations sur les produits'!$A$3:$H$10000,8,FALSE),"0")</f>
        <v>0</v>
      </c>
      <c r="N9914" s="8"/>
      <c r="O9914" s="33" t="str">
        <f>IFERROR(VLOOKUP($M9914,'Informations sur les produits'!$A$3:$H$10000,8,FALSE),"0")</f>
        <v>0</v>
      </c>
      <c r="P9914" s="33">
        <f t="shared" si="616"/>
        <v>0</v>
      </c>
      <c r="Q9914" s="31" t="str">
        <f t="shared" si="617"/>
        <v/>
      </c>
      <c r="R9914" s="32" t="str">
        <f>IFERROR(VLOOKUP($D9914,'Informations sur les produits'!$A$3:$B$15000,2,FALSE),"")</f>
        <v/>
      </c>
      <c r="V9914">
        <f t="shared" si="618"/>
        <v>0</v>
      </c>
      <c r="W9914">
        <f t="shared" si="619"/>
        <v>0</v>
      </c>
    </row>
    <row r="9915" spans="5:23" x14ac:dyDescent="0.25">
      <c r="E9915" s="4"/>
      <c r="F9915" s="4"/>
      <c r="G9915" s="33" t="str">
        <f>IFERROR(VLOOKUP($D9915,'Informations sur les produits'!$A$3:$H$10000,8,FALSE),"0")</f>
        <v>0</v>
      </c>
      <c r="K9915" s="4"/>
      <c r="L9915" s="33" t="str">
        <f>IFERROR(VLOOKUP($J9915,'Informations sur les produits'!$A$3:$H$10000,8,FALSE),"0")</f>
        <v>0</v>
      </c>
      <c r="N9915" s="8"/>
      <c r="O9915" s="33" t="str">
        <f>IFERROR(VLOOKUP($M9915,'Informations sur les produits'!$A$3:$H$10000,8,FALSE),"0")</f>
        <v>0</v>
      </c>
      <c r="P9915" s="33">
        <f t="shared" si="616"/>
        <v>0</v>
      </c>
      <c r="Q9915" s="31" t="str">
        <f t="shared" si="617"/>
        <v/>
      </c>
      <c r="R9915" s="32" t="str">
        <f>IFERROR(VLOOKUP($D9915,'Informations sur les produits'!$A$3:$B$15000,2,FALSE),"")</f>
        <v/>
      </c>
      <c r="V9915">
        <f t="shared" si="618"/>
        <v>0</v>
      </c>
      <c r="W9915">
        <f t="shared" si="619"/>
        <v>0</v>
      </c>
    </row>
    <row r="9916" spans="5:23" x14ac:dyDescent="0.25">
      <c r="E9916" s="4"/>
      <c r="F9916" s="4"/>
      <c r="G9916" s="33" t="str">
        <f>IFERROR(VLOOKUP($D9916,'Informations sur les produits'!$A$3:$H$10000,8,FALSE),"0")</f>
        <v>0</v>
      </c>
      <c r="K9916" s="4"/>
      <c r="L9916" s="33" t="str">
        <f>IFERROR(VLOOKUP($J9916,'Informations sur les produits'!$A$3:$H$10000,8,FALSE),"0")</f>
        <v>0</v>
      </c>
      <c r="N9916" s="8"/>
      <c r="O9916" s="33" t="str">
        <f>IFERROR(VLOOKUP($M9916,'Informations sur les produits'!$A$3:$H$10000,8,FALSE),"0")</f>
        <v>0</v>
      </c>
      <c r="P9916" s="33">
        <f t="shared" si="616"/>
        <v>0</v>
      </c>
      <c r="Q9916" s="31" t="str">
        <f t="shared" si="617"/>
        <v/>
      </c>
      <c r="R9916" s="32" t="str">
        <f>IFERROR(VLOOKUP($D9916,'Informations sur les produits'!$A$3:$B$15000,2,FALSE),"")</f>
        <v/>
      </c>
      <c r="V9916">
        <f t="shared" si="618"/>
        <v>0</v>
      </c>
      <c r="W9916">
        <f t="shared" si="619"/>
        <v>0</v>
      </c>
    </row>
    <row r="9917" spans="5:23" x14ac:dyDescent="0.25">
      <c r="E9917" s="4"/>
      <c r="F9917" s="4"/>
      <c r="G9917" s="33" t="str">
        <f>IFERROR(VLOOKUP($D9917,'Informations sur les produits'!$A$3:$H$10000,8,FALSE),"0")</f>
        <v>0</v>
      </c>
      <c r="K9917" s="4"/>
      <c r="L9917" s="33" t="str">
        <f>IFERROR(VLOOKUP($J9917,'Informations sur les produits'!$A$3:$H$10000,8,FALSE),"0")</f>
        <v>0</v>
      </c>
      <c r="N9917" s="8"/>
      <c r="O9917" s="33" t="str">
        <f>IFERROR(VLOOKUP($M9917,'Informations sur les produits'!$A$3:$H$10000,8,FALSE),"0")</f>
        <v>0</v>
      </c>
      <c r="P9917" s="33">
        <f t="shared" si="616"/>
        <v>0</v>
      </c>
      <c r="Q9917" s="31" t="str">
        <f t="shared" si="617"/>
        <v/>
      </c>
      <c r="R9917" s="32" t="str">
        <f>IFERROR(VLOOKUP($D9917,'Informations sur les produits'!$A$3:$B$15000,2,FALSE),"")</f>
        <v/>
      </c>
      <c r="V9917">
        <f t="shared" si="618"/>
        <v>0</v>
      </c>
      <c r="W9917">
        <f t="shared" si="619"/>
        <v>0</v>
      </c>
    </row>
    <row r="9918" spans="5:23" x14ac:dyDescent="0.25">
      <c r="E9918" s="4"/>
      <c r="F9918" s="4"/>
      <c r="G9918" s="33" t="str">
        <f>IFERROR(VLOOKUP($D9918,'Informations sur les produits'!$A$3:$H$10000,8,FALSE),"0")</f>
        <v>0</v>
      </c>
      <c r="K9918" s="4"/>
      <c r="L9918" s="33" t="str">
        <f>IFERROR(VLOOKUP($J9918,'Informations sur les produits'!$A$3:$H$10000,8,FALSE),"0")</f>
        <v>0</v>
      </c>
      <c r="N9918" s="8"/>
      <c r="O9918" s="33" t="str">
        <f>IFERROR(VLOOKUP($M9918,'Informations sur les produits'!$A$3:$H$10000,8,FALSE),"0")</f>
        <v>0</v>
      </c>
      <c r="P9918" s="33">
        <f t="shared" si="616"/>
        <v>0</v>
      </c>
      <c r="Q9918" s="31" t="str">
        <f t="shared" si="617"/>
        <v/>
      </c>
      <c r="R9918" s="32" t="str">
        <f>IFERROR(VLOOKUP($D9918,'Informations sur les produits'!$A$3:$B$15000,2,FALSE),"")</f>
        <v/>
      </c>
      <c r="V9918">
        <f t="shared" si="618"/>
        <v>0</v>
      </c>
      <c r="W9918">
        <f t="shared" si="619"/>
        <v>0</v>
      </c>
    </row>
    <row r="9919" spans="5:23" x14ac:dyDescent="0.25">
      <c r="E9919" s="4"/>
      <c r="F9919" s="4"/>
      <c r="G9919" s="33" t="str">
        <f>IFERROR(VLOOKUP($D9919,'Informations sur les produits'!$A$3:$H$10000,8,FALSE),"0")</f>
        <v>0</v>
      </c>
      <c r="K9919" s="4"/>
      <c r="L9919" s="33" t="str">
        <f>IFERROR(VLOOKUP($J9919,'Informations sur les produits'!$A$3:$H$10000,8,FALSE),"0")</f>
        <v>0</v>
      </c>
      <c r="N9919" s="8"/>
      <c r="O9919" s="33" t="str">
        <f>IFERROR(VLOOKUP($M9919,'Informations sur les produits'!$A$3:$H$10000,8,FALSE),"0")</f>
        <v>0</v>
      </c>
      <c r="P9919" s="33">
        <f t="shared" si="616"/>
        <v>0</v>
      </c>
      <c r="Q9919" s="31" t="str">
        <f t="shared" si="617"/>
        <v/>
      </c>
      <c r="R9919" s="32" t="str">
        <f>IFERROR(VLOOKUP($D9919,'Informations sur les produits'!$A$3:$B$15000,2,FALSE),"")</f>
        <v/>
      </c>
      <c r="V9919">
        <f t="shared" si="618"/>
        <v>0</v>
      </c>
      <c r="W9919">
        <f t="shared" si="619"/>
        <v>0</v>
      </c>
    </row>
    <row r="9920" spans="5:23" x14ac:dyDescent="0.25">
      <c r="E9920" s="4"/>
      <c r="F9920" s="4"/>
      <c r="G9920" s="33" t="str">
        <f>IFERROR(VLOOKUP($D9920,'Informations sur les produits'!$A$3:$H$10000,8,FALSE),"0")</f>
        <v>0</v>
      </c>
      <c r="K9920" s="4"/>
      <c r="L9920" s="33" t="str">
        <f>IFERROR(VLOOKUP($J9920,'Informations sur les produits'!$A$3:$H$10000,8,FALSE),"0")</f>
        <v>0</v>
      </c>
      <c r="N9920" s="8"/>
      <c r="O9920" s="33" t="str">
        <f>IFERROR(VLOOKUP($M9920,'Informations sur les produits'!$A$3:$H$10000,8,FALSE),"0")</f>
        <v>0</v>
      </c>
      <c r="P9920" s="33">
        <f t="shared" si="616"/>
        <v>0</v>
      </c>
      <c r="Q9920" s="31" t="str">
        <f t="shared" si="617"/>
        <v/>
      </c>
      <c r="R9920" s="32" t="str">
        <f>IFERROR(VLOOKUP($D9920,'Informations sur les produits'!$A$3:$B$15000,2,FALSE),"")</f>
        <v/>
      </c>
      <c r="V9920">
        <f t="shared" si="618"/>
        <v>0</v>
      </c>
      <c r="W9920">
        <f t="shared" si="619"/>
        <v>0</v>
      </c>
    </row>
    <row r="9921" spans="5:23" x14ac:dyDescent="0.25">
      <c r="E9921" s="4"/>
      <c r="F9921" s="4"/>
      <c r="G9921" s="33" t="str">
        <f>IFERROR(VLOOKUP($D9921,'Informations sur les produits'!$A$3:$H$10000,8,FALSE),"0")</f>
        <v>0</v>
      </c>
      <c r="K9921" s="4"/>
      <c r="L9921" s="33" t="str">
        <f>IFERROR(VLOOKUP($J9921,'Informations sur les produits'!$A$3:$H$10000,8,FALSE),"0")</f>
        <v>0</v>
      </c>
      <c r="N9921" s="8"/>
      <c r="O9921" s="33" t="str">
        <f>IFERROR(VLOOKUP($M9921,'Informations sur les produits'!$A$3:$H$10000,8,FALSE),"0")</f>
        <v>0</v>
      </c>
      <c r="P9921" s="33">
        <f t="shared" si="616"/>
        <v>0</v>
      </c>
      <c r="Q9921" s="31" t="str">
        <f t="shared" si="617"/>
        <v/>
      </c>
      <c r="R9921" s="32" t="str">
        <f>IFERROR(VLOOKUP($D9921,'Informations sur les produits'!$A$3:$B$15000,2,FALSE),"")</f>
        <v/>
      </c>
      <c r="V9921">
        <f t="shared" si="618"/>
        <v>0</v>
      </c>
      <c r="W9921">
        <f t="shared" si="619"/>
        <v>0</v>
      </c>
    </row>
    <row r="9922" spans="5:23" x14ac:dyDescent="0.25">
      <c r="E9922" s="4"/>
      <c r="F9922" s="4"/>
      <c r="G9922" s="33" t="str">
        <f>IFERROR(VLOOKUP($D9922,'Informations sur les produits'!$A$3:$H$10000,8,FALSE),"0")</f>
        <v>0</v>
      </c>
      <c r="K9922" s="4"/>
      <c r="L9922" s="33" t="str">
        <f>IFERROR(VLOOKUP($J9922,'Informations sur les produits'!$A$3:$H$10000,8,FALSE),"0")</f>
        <v>0</v>
      </c>
      <c r="N9922" s="8"/>
      <c r="O9922" s="33" t="str">
        <f>IFERROR(VLOOKUP($M9922,'Informations sur les produits'!$A$3:$H$10000,8,FALSE),"0")</f>
        <v>0</v>
      </c>
      <c r="P9922" s="33">
        <f t="shared" si="616"/>
        <v>0</v>
      </c>
      <c r="Q9922" s="31" t="str">
        <f t="shared" si="617"/>
        <v/>
      </c>
      <c r="R9922" s="32" t="str">
        <f>IFERROR(VLOOKUP($D9922,'Informations sur les produits'!$A$3:$B$15000,2,FALSE),"")</f>
        <v/>
      </c>
      <c r="V9922">
        <f t="shared" si="618"/>
        <v>0</v>
      </c>
      <c r="W9922">
        <f t="shared" si="619"/>
        <v>0</v>
      </c>
    </row>
    <row r="9923" spans="5:23" x14ac:dyDescent="0.25">
      <c r="E9923" s="4"/>
      <c r="F9923" s="4"/>
      <c r="G9923" s="33" t="str">
        <f>IFERROR(VLOOKUP($D9923,'Informations sur les produits'!$A$3:$H$10000,8,FALSE),"0")</f>
        <v>0</v>
      </c>
      <c r="K9923" s="4"/>
      <c r="L9923" s="33" t="str">
        <f>IFERROR(VLOOKUP($J9923,'Informations sur les produits'!$A$3:$H$10000,8,FALSE),"0")</f>
        <v>0</v>
      </c>
      <c r="N9923" s="8"/>
      <c r="O9923" s="33" t="str">
        <f>IFERROR(VLOOKUP($M9923,'Informations sur les produits'!$A$3:$H$10000,8,FALSE),"0")</f>
        <v>0</v>
      </c>
      <c r="P9923" s="33">
        <f t="shared" si="616"/>
        <v>0</v>
      </c>
      <c r="Q9923" s="31" t="str">
        <f t="shared" si="617"/>
        <v/>
      </c>
      <c r="R9923" s="32" t="str">
        <f>IFERROR(VLOOKUP($D9923,'Informations sur les produits'!$A$3:$B$15000,2,FALSE),"")</f>
        <v/>
      </c>
      <c r="V9923">
        <f t="shared" si="618"/>
        <v>0</v>
      </c>
      <c r="W9923">
        <f t="shared" si="619"/>
        <v>0</v>
      </c>
    </row>
    <row r="9924" spans="5:23" x14ac:dyDescent="0.25">
      <c r="E9924" s="4"/>
      <c r="F9924" s="4"/>
      <c r="G9924" s="33" t="str">
        <f>IFERROR(VLOOKUP($D9924,'Informations sur les produits'!$A$3:$H$10000,8,FALSE),"0")</f>
        <v>0</v>
      </c>
      <c r="K9924" s="4"/>
      <c r="L9924" s="33" t="str">
        <f>IFERROR(VLOOKUP($J9924,'Informations sur les produits'!$A$3:$H$10000,8,FALSE),"0")</f>
        <v>0</v>
      </c>
      <c r="N9924" s="8"/>
      <c r="O9924" s="33" t="str">
        <f>IFERROR(VLOOKUP($M9924,'Informations sur les produits'!$A$3:$H$10000,8,FALSE),"0")</f>
        <v>0</v>
      </c>
      <c r="P9924" s="33">
        <f t="shared" ref="P9924:P9987" si="620">IFERROR((($E9924-$F9924)*$G9924+$K9924*$L9924+$N9924*$O9924),"")</f>
        <v>0</v>
      </c>
      <c r="Q9924" s="31" t="str">
        <f t="shared" ref="Q9924:Q9987" si="621">IFERROR((((($E9924-$F9924)*$G9924+$K9924*$L9924+$N9924*$O9924)*1000)/(($E9924-$F9924)+$K9924+$N9924)),"")</f>
        <v/>
      </c>
      <c r="R9924" s="32" t="str">
        <f>IFERROR(VLOOKUP($D9924,'Informations sur les produits'!$A$3:$B$15000,2,FALSE),"")</f>
        <v/>
      </c>
      <c r="V9924">
        <f t="shared" ref="V9924:V9987" si="622">IFERROR(P9924*1000,"")</f>
        <v>0</v>
      </c>
      <c r="W9924">
        <f t="shared" ref="W9924:W9987" si="623">IFERROR(($E9924-$F9924)+$K9924+$N9924,"")</f>
        <v>0</v>
      </c>
    </row>
    <row r="9925" spans="5:23" x14ac:dyDescent="0.25">
      <c r="E9925" s="4"/>
      <c r="F9925" s="4"/>
      <c r="G9925" s="33" t="str">
        <f>IFERROR(VLOOKUP($D9925,'Informations sur les produits'!$A$3:$H$10000,8,FALSE),"0")</f>
        <v>0</v>
      </c>
      <c r="K9925" s="4"/>
      <c r="L9925" s="33" t="str">
        <f>IFERROR(VLOOKUP($J9925,'Informations sur les produits'!$A$3:$H$10000,8,FALSE),"0")</f>
        <v>0</v>
      </c>
      <c r="N9925" s="8"/>
      <c r="O9925" s="33" t="str">
        <f>IFERROR(VLOOKUP($M9925,'Informations sur les produits'!$A$3:$H$10000,8,FALSE),"0")</f>
        <v>0</v>
      </c>
      <c r="P9925" s="33">
        <f t="shared" si="620"/>
        <v>0</v>
      </c>
      <c r="Q9925" s="31" t="str">
        <f t="shared" si="621"/>
        <v/>
      </c>
      <c r="R9925" s="32" t="str">
        <f>IFERROR(VLOOKUP($D9925,'Informations sur les produits'!$A$3:$B$15000,2,FALSE),"")</f>
        <v/>
      </c>
      <c r="V9925">
        <f t="shared" si="622"/>
        <v>0</v>
      </c>
      <c r="W9925">
        <f t="shared" si="623"/>
        <v>0</v>
      </c>
    </row>
    <row r="9926" spans="5:23" x14ac:dyDescent="0.25">
      <c r="E9926" s="4"/>
      <c r="F9926" s="4"/>
      <c r="G9926" s="33" t="str">
        <f>IFERROR(VLOOKUP($D9926,'Informations sur les produits'!$A$3:$H$10000,8,FALSE),"0")</f>
        <v>0</v>
      </c>
      <c r="K9926" s="4"/>
      <c r="L9926" s="33" t="str">
        <f>IFERROR(VLOOKUP($J9926,'Informations sur les produits'!$A$3:$H$10000,8,FALSE),"0")</f>
        <v>0</v>
      </c>
      <c r="N9926" s="8"/>
      <c r="O9926" s="33" t="str">
        <f>IFERROR(VLOOKUP($M9926,'Informations sur les produits'!$A$3:$H$10000,8,FALSE),"0")</f>
        <v>0</v>
      </c>
      <c r="P9926" s="33">
        <f t="shared" si="620"/>
        <v>0</v>
      </c>
      <c r="Q9926" s="31" t="str">
        <f t="shared" si="621"/>
        <v/>
      </c>
      <c r="R9926" s="32" t="str">
        <f>IFERROR(VLOOKUP($D9926,'Informations sur les produits'!$A$3:$B$15000,2,FALSE),"")</f>
        <v/>
      </c>
      <c r="V9926">
        <f t="shared" si="622"/>
        <v>0</v>
      </c>
      <c r="W9926">
        <f t="shared" si="623"/>
        <v>0</v>
      </c>
    </row>
    <row r="9927" spans="5:23" x14ac:dyDescent="0.25">
      <c r="E9927" s="4"/>
      <c r="F9927" s="4"/>
      <c r="G9927" s="33" t="str">
        <f>IFERROR(VLOOKUP($D9927,'Informations sur les produits'!$A$3:$H$10000,8,FALSE),"0")</f>
        <v>0</v>
      </c>
      <c r="K9927" s="4"/>
      <c r="L9927" s="33" t="str">
        <f>IFERROR(VLOOKUP($J9927,'Informations sur les produits'!$A$3:$H$10000,8,FALSE),"0")</f>
        <v>0</v>
      </c>
      <c r="N9927" s="8"/>
      <c r="O9927" s="33" t="str">
        <f>IFERROR(VLOOKUP($M9927,'Informations sur les produits'!$A$3:$H$10000,8,FALSE),"0")</f>
        <v>0</v>
      </c>
      <c r="P9927" s="33">
        <f t="shared" si="620"/>
        <v>0</v>
      </c>
      <c r="Q9927" s="31" t="str">
        <f t="shared" si="621"/>
        <v/>
      </c>
      <c r="R9927" s="32" t="str">
        <f>IFERROR(VLOOKUP($D9927,'Informations sur les produits'!$A$3:$B$15000,2,FALSE),"")</f>
        <v/>
      </c>
      <c r="V9927">
        <f t="shared" si="622"/>
        <v>0</v>
      </c>
      <c r="W9927">
        <f t="shared" si="623"/>
        <v>0</v>
      </c>
    </row>
    <row r="9928" spans="5:23" x14ac:dyDescent="0.25">
      <c r="E9928" s="4"/>
      <c r="F9928" s="4"/>
      <c r="G9928" s="33" t="str">
        <f>IFERROR(VLOOKUP($D9928,'Informations sur les produits'!$A$3:$H$10000,8,FALSE),"0")</f>
        <v>0</v>
      </c>
      <c r="K9928" s="4"/>
      <c r="L9928" s="33" t="str">
        <f>IFERROR(VLOOKUP($J9928,'Informations sur les produits'!$A$3:$H$10000,8,FALSE),"0")</f>
        <v>0</v>
      </c>
      <c r="N9928" s="8"/>
      <c r="O9928" s="33" t="str">
        <f>IFERROR(VLOOKUP($M9928,'Informations sur les produits'!$A$3:$H$10000,8,FALSE),"0")</f>
        <v>0</v>
      </c>
      <c r="P9928" s="33">
        <f t="shared" si="620"/>
        <v>0</v>
      </c>
      <c r="Q9928" s="31" t="str">
        <f t="shared" si="621"/>
        <v/>
      </c>
      <c r="R9928" s="32" t="str">
        <f>IFERROR(VLOOKUP($D9928,'Informations sur les produits'!$A$3:$B$15000,2,FALSE),"")</f>
        <v/>
      </c>
      <c r="V9928">
        <f t="shared" si="622"/>
        <v>0</v>
      </c>
      <c r="W9928">
        <f t="shared" si="623"/>
        <v>0</v>
      </c>
    </row>
    <row r="9929" spans="5:23" x14ac:dyDescent="0.25">
      <c r="E9929" s="4"/>
      <c r="F9929" s="4"/>
      <c r="G9929" s="33" t="str">
        <f>IFERROR(VLOOKUP($D9929,'Informations sur les produits'!$A$3:$H$10000,8,FALSE),"0")</f>
        <v>0</v>
      </c>
      <c r="K9929" s="4"/>
      <c r="L9929" s="33" t="str">
        <f>IFERROR(VLOOKUP($J9929,'Informations sur les produits'!$A$3:$H$10000,8,FALSE),"0")</f>
        <v>0</v>
      </c>
      <c r="N9929" s="8"/>
      <c r="O9929" s="33" t="str">
        <f>IFERROR(VLOOKUP($M9929,'Informations sur les produits'!$A$3:$H$10000,8,FALSE),"0")</f>
        <v>0</v>
      </c>
      <c r="P9929" s="33">
        <f t="shared" si="620"/>
        <v>0</v>
      </c>
      <c r="Q9929" s="31" t="str">
        <f t="shared" si="621"/>
        <v/>
      </c>
      <c r="R9929" s="32" t="str">
        <f>IFERROR(VLOOKUP($D9929,'Informations sur les produits'!$A$3:$B$15000,2,FALSE),"")</f>
        <v/>
      </c>
      <c r="V9929">
        <f t="shared" si="622"/>
        <v>0</v>
      </c>
      <c r="W9929">
        <f t="shared" si="623"/>
        <v>0</v>
      </c>
    </row>
    <row r="9930" spans="5:23" x14ac:dyDescent="0.25">
      <c r="E9930" s="4"/>
      <c r="F9930" s="4"/>
      <c r="G9930" s="33" t="str">
        <f>IFERROR(VLOOKUP($D9930,'Informations sur les produits'!$A$3:$H$10000,8,FALSE),"0")</f>
        <v>0</v>
      </c>
      <c r="K9930" s="4"/>
      <c r="L9930" s="33" t="str">
        <f>IFERROR(VLOOKUP($J9930,'Informations sur les produits'!$A$3:$H$10000,8,FALSE),"0")</f>
        <v>0</v>
      </c>
      <c r="N9930" s="8"/>
      <c r="O9930" s="33" t="str">
        <f>IFERROR(VLOOKUP($M9930,'Informations sur les produits'!$A$3:$H$10000,8,FALSE),"0")</f>
        <v>0</v>
      </c>
      <c r="P9930" s="33">
        <f t="shared" si="620"/>
        <v>0</v>
      </c>
      <c r="Q9930" s="31" t="str">
        <f t="shared" si="621"/>
        <v/>
      </c>
      <c r="R9930" s="32" t="str">
        <f>IFERROR(VLOOKUP($D9930,'Informations sur les produits'!$A$3:$B$15000,2,FALSE),"")</f>
        <v/>
      </c>
      <c r="V9930">
        <f t="shared" si="622"/>
        <v>0</v>
      </c>
      <c r="W9930">
        <f t="shared" si="623"/>
        <v>0</v>
      </c>
    </row>
    <row r="9931" spans="5:23" x14ac:dyDescent="0.25">
      <c r="E9931" s="4"/>
      <c r="F9931" s="4"/>
      <c r="G9931" s="33" t="str">
        <f>IFERROR(VLOOKUP($D9931,'Informations sur les produits'!$A$3:$H$10000,8,FALSE),"0")</f>
        <v>0</v>
      </c>
      <c r="K9931" s="4"/>
      <c r="L9931" s="33" t="str">
        <f>IFERROR(VLOOKUP($J9931,'Informations sur les produits'!$A$3:$H$10000,8,FALSE),"0")</f>
        <v>0</v>
      </c>
      <c r="N9931" s="8"/>
      <c r="O9931" s="33" t="str">
        <f>IFERROR(VLOOKUP($M9931,'Informations sur les produits'!$A$3:$H$10000,8,FALSE),"0")</f>
        <v>0</v>
      </c>
      <c r="P9931" s="33">
        <f t="shared" si="620"/>
        <v>0</v>
      </c>
      <c r="Q9931" s="31" t="str">
        <f t="shared" si="621"/>
        <v/>
      </c>
      <c r="R9931" s="32" t="str">
        <f>IFERROR(VLOOKUP($D9931,'Informations sur les produits'!$A$3:$B$15000,2,FALSE),"")</f>
        <v/>
      </c>
      <c r="V9931">
        <f t="shared" si="622"/>
        <v>0</v>
      </c>
      <c r="W9931">
        <f t="shared" si="623"/>
        <v>0</v>
      </c>
    </row>
    <row r="9932" spans="5:23" x14ac:dyDescent="0.25">
      <c r="E9932" s="4"/>
      <c r="F9932" s="4"/>
      <c r="G9932" s="33" t="str">
        <f>IFERROR(VLOOKUP($D9932,'Informations sur les produits'!$A$3:$H$10000,8,FALSE),"0")</f>
        <v>0</v>
      </c>
      <c r="K9932" s="4"/>
      <c r="L9932" s="33" t="str">
        <f>IFERROR(VLOOKUP($J9932,'Informations sur les produits'!$A$3:$H$10000,8,FALSE),"0")</f>
        <v>0</v>
      </c>
      <c r="N9932" s="8"/>
      <c r="O9932" s="33" t="str">
        <f>IFERROR(VLOOKUP($M9932,'Informations sur les produits'!$A$3:$H$10000,8,FALSE),"0")</f>
        <v>0</v>
      </c>
      <c r="P9932" s="33">
        <f t="shared" si="620"/>
        <v>0</v>
      </c>
      <c r="Q9932" s="31" t="str">
        <f t="shared" si="621"/>
        <v/>
      </c>
      <c r="R9932" s="32" t="str">
        <f>IFERROR(VLOOKUP($D9932,'Informations sur les produits'!$A$3:$B$15000,2,FALSE),"")</f>
        <v/>
      </c>
      <c r="V9932">
        <f t="shared" si="622"/>
        <v>0</v>
      </c>
      <c r="W9932">
        <f t="shared" si="623"/>
        <v>0</v>
      </c>
    </row>
    <row r="9933" spans="5:23" x14ac:dyDescent="0.25">
      <c r="E9933" s="4"/>
      <c r="F9933" s="4"/>
      <c r="G9933" s="33" t="str">
        <f>IFERROR(VLOOKUP($D9933,'Informations sur les produits'!$A$3:$H$10000,8,FALSE),"0")</f>
        <v>0</v>
      </c>
      <c r="K9933" s="4"/>
      <c r="L9933" s="33" t="str">
        <f>IFERROR(VLOOKUP($J9933,'Informations sur les produits'!$A$3:$H$10000,8,FALSE),"0")</f>
        <v>0</v>
      </c>
      <c r="N9933" s="8"/>
      <c r="O9933" s="33" t="str">
        <f>IFERROR(VLOOKUP($M9933,'Informations sur les produits'!$A$3:$H$10000,8,FALSE),"0")</f>
        <v>0</v>
      </c>
      <c r="P9933" s="33">
        <f t="shared" si="620"/>
        <v>0</v>
      </c>
      <c r="Q9933" s="31" t="str">
        <f t="shared" si="621"/>
        <v/>
      </c>
      <c r="R9933" s="32" t="str">
        <f>IFERROR(VLOOKUP($D9933,'Informations sur les produits'!$A$3:$B$15000,2,FALSE),"")</f>
        <v/>
      </c>
      <c r="V9933">
        <f t="shared" si="622"/>
        <v>0</v>
      </c>
      <c r="W9933">
        <f t="shared" si="623"/>
        <v>0</v>
      </c>
    </row>
    <row r="9934" spans="5:23" x14ac:dyDescent="0.25">
      <c r="E9934" s="4"/>
      <c r="F9934" s="4"/>
      <c r="G9934" s="33" t="str">
        <f>IFERROR(VLOOKUP($D9934,'Informations sur les produits'!$A$3:$H$10000,8,FALSE),"0")</f>
        <v>0</v>
      </c>
      <c r="K9934" s="4"/>
      <c r="L9934" s="33" t="str">
        <f>IFERROR(VLOOKUP($J9934,'Informations sur les produits'!$A$3:$H$10000,8,FALSE),"0")</f>
        <v>0</v>
      </c>
      <c r="N9934" s="8"/>
      <c r="O9934" s="33" t="str">
        <f>IFERROR(VLOOKUP($M9934,'Informations sur les produits'!$A$3:$H$10000,8,FALSE),"0")</f>
        <v>0</v>
      </c>
      <c r="P9934" s="33">
        <f t="shared" si="620"/>
        <v>0</v>
      </c>
      <c r="Q9934" s="31" t="str">
        <f t="shared" si="621"/>
        <v/>
      </c>
      <c r="R9934" s="32" t="str">
        <f>IFERROR(VLOOKUP($D9934,'Informations sur les produits'!$A$3:$B$15000,2,FALSE),"")</f>
        <v/>
      </c>
      <c r="V9934">
        <f t="shared" si="622"/>
        <v>0</v>
      </c>
      <c r="W9934">
        <f t="shared" si="623"/>
        <v>0</v>
      </c>
    </row>
    <row r="9935" spans="5:23" x14ac:dyDescent="0.25">
      <c r="E9935" s="4"/>
      <c r="F9935" s="4"/>
      <c r="G9935" s="33" t="str">
        <f>IFERROR(VLOOKUP($D9935,'Informations sur les produits'!$A$3:$H$10000,8,FALSE),"0")</f>
        <v>0</v>
      </c>
      <c r="K9935" s="4"/>
      <c r="L9935" s="33" t="str">
        <f>IFERROR(VLOOKUP($J9935,'Informations sur les produits'!$A$3:$H$10000,8,FALSE),"0")</f>
        <v>0</v>
      </c>
      <c r="N9935" s="8"/>
      <c r="O9935" s="33" t="str">
        <f>IFERROR(VLOOKUP($M9935,'Informations sur les produits'!$A$3:$H$10000,8,FALSE),"0")</f>
        <v>0</v>
      </c>
      <c r="P9935" s="33">
        <f t="shared" si="620"/>
        <v>0</v>
      </c>
      <c r="Q9935" s="31" t="str">
        <f t="shared" si="621"/>
        <v/>
      </c>
      <c r="R9935" s="32" t="str">
        <f>IFERROR(VLOOKUP($D9935,'Informations sur les produits'!$A$3:$B$15000,2,FALSE),"")</f>
        <v/>
      </c>
      <c r="V9935">
        <f t="shared" si="622"/>
        <v>0</v>
      </c>
      <c r="W9935">
        <f t="shared" si="623"/>
        <v>0</v>
      </c>
    </row>
    <row r="9936" spans="5:23" x14ac:dyDescent="0.25">
      <c r="E9936" s="4"/>
      <c r="F9936" s="4"/>
      <c r="G9936" s="33" t="str">
        <f>IFERROR(VLOOKUP($D9936,'Informations sur les produits'!$A$3:$H$10000,8,FALSE),"0")</f>
        <v>0</v>
      </c>
      <c r="K9936" s="4"/>
      <c r="L9936" s="33" t="str">
        <f>IFERROR(VLOOKUP($J9936,'Informations sur les produits'!$A$3:$H$10000,8,FALSE),"0")</f>
        <v>0</v>
      </c>
      <c r="N9936" s="8"/>
      <c r="O9936" s="33" t="str">
        <f>IFERROR(VLOOKUP($M9936,'Informations sur les produits'!$A$3:$H$10000,8,FALSE),"0")</f>
        <v>0</v>
      </c>
      <c r="P9936" s="33">
        <f t="shared" si="620"/>
        <v>0</v>
      </c>
      <c r="Q9936" s="31" t="str">
        <f t="shared" si="621"/>
        <v/>
      </c>
      <c r="R9936" s="32" t="str">
        <f>IFERROR(VLOOKUP($D9936,'Informations sur les produits'!$A$3:$B$15000,2,FALSE),"")</f>
        <v/>
      </c>
      <c r="V9936">
        <f t="shared" si="622"/>
        <v>0</v>
      </c>
      <c r="W9936">
        <f t="shared" si="623"/>
        <v>0</v>
      </c>
    </row>
    <row r="9937" spans="5:23" x14ac:dyDescent="0.25">
      <c r="E9937" s="4"/>
      <c r="F9937" s="4"/>
      <c r="G9937" s="33" t="str">
        <f>IFERROR(VLOOKUP($D9937,'Informations sur les produits'!$A$3:$H$10000,8,FALSE),"0")</f>
        <v>0</v>
      </c>
      <c r="K9937" s="4"/>
      <c r="L9937" s="33" t="str">
        <f>IFERROR(VLOOKUP($J9937,'Informations sur les produits'!$A$3:$H$10000,8,FALSE),"0")</f>
        <v>0</v>
      </c>
      <c r="N9937" s="8"/>
      <c r="O9937" s="33" t="str">
        <f>IFERROR(VLOOKUP($M9937,'Informations sur les produits'!$A$3:$H$10000,8,FALSE),"0")</f>
        <v>0</v>
      </c>
      <c r="P9937" s="33">
        <f t="shared" si="620"/>
        <v>0</v>
      </c>
      <c r="Q9937" s="31" t="str">
        <f t="shared" si="621"/>
        <v/>
      </c>
      <c r="R9937" s="32" t="str">
        <f>IFERROR(VLOOKUP($D9937,'Informations sur les produits'!$A$3:$B$15000,2,FALSE),"")</f>
        <v/>
      </c>
      <c r="V9937">
        <f t="shared" si="622"/>
        <v>0</v>
      </c>
      <c r="W9937">
        <f t="shared" si="623"/>
        <v>0</v>
      </c>
    </row>
    <row r="9938" spans="5:23" x14ac:dyDescent="0.25">
      <c r="E9938" s="4"/>
      <c r="F9938" s="4"/>
      <c r="G9938" s="33" t="str">
        <f>IFERROR(VLOOKUP($D9938,'Informations sur les produits'!$A$3:$H$10000,8,FALSE),"0")</f>
        <v>0</v>
      </c>
      <c r="K9938" s="4"/>
      <c r="L9938" s="33" t="str">
        <f>IFERROR(VLOOKUP($J9938,'Informations sur les produits'!$A$3:$H$10000,8,FALSE),"0")</f>
        <v>0</v>
      </c>
      <c r="N9938" s="8"/>
      <c r="O9938" s="33" t="str">
        <f>IFERROR(VLOOKUP($M9938,'Informations sur les produits'!$A$3:$H$10000,8,FALSE),"0")</f>
        <v>0</v>
      </c>
      <c r="P9938" s="33">
        <f t="shared" si="620"/>
        <v>0</v>
      </c>
      <c r="Q9938" s="31" t="str">
        <f t="shared" si="621"/>
        <v/>
      </c>
      <c r="R9938" s="32" t="str">
        <f>IFERROR(VLOOKUP($D9938,'Informations sur les produits'!$A$3:$B$15000,2,FALSE),"")</f>
        <v/>
      </c>
      <c r="V9938">
        <f t="shared" si="622"/>
        <v>0</v>
      </c>
      <c r="W9938">
        <f t="shared" si="623"/>
        <v>0</v>
      </c>
    </row>
    <row r="9939" spans="5:23" x14ac:dyDescent="0.25">
      <c r="E9939" s="4"/>
      <c r="F9939" s="4"/>
      <c r="G9939" s="33" t="str">
        <f>IFERROR(VLOOKUP($D9939,'Informations sur les produits'!$A$3:$H$10000,8,FALSE),"0")</f>
        <v>0</v>
      </c>
      <c r="K9939" s="4"/>
      <c r="L9939" s="33" t="str">
        <f>IFERROR(VLOOKUP($J9939,'Informations sur les produits'!$A$3:$H$10000,8,FALSE),"0")</f>
        <v>0</v>
      </c>
      <c r="N9939" s="8"/>
      <c r="O9939" s="33" t="str">
        <f>IFERROR(VLOOKUP($M9939,'Informations sur les produits'!$A$3:$H$10000,8,FALSE),"0")</f>
        <v>0</v>
      </c>
      <c r="P9939" s="33">
        <f t="shared" si="620"/>
        <v>0</v>
      </c>
      <c r="Q9939" s="31" t="str">
        <f t="shared" si="621"/>
        <v/>
      </c>
      <c r="R9939" s="32" t="str">
        <f>IFERROR(VLOOKUP($D9939,'Informations sur les produits'!$A$3:$B$15000,2,FALSE),"")</f>
        <v/>
      </c>
      <c r="V9939">
        <f t="shared" si="622"/>
        <v>0</v>
      </c>
      <c r="W9939">
        <f t="shared" si="623"/>
        <v>0</v>
      </c>
    </row>
    <row r="9940" spans="5:23" x14ac:dyDescent="0.25">
      <c r="E9940" s="4"/>
      <c r="F9940" s="4"/>
      <c r="G9940" s="33" t="str">
        <f>IFERROR(VLOOKUP($D9940,'Informations sur les produits'!$A$3:$H$10000,8,FALSE),"0")</f>
        <v>0</v>
      </c>
      <c r="K9940" s="4"/>
      <c r="L9940" s="33" t="str">
        <f>IFERROR(VLOOKUP($J9940,'Informations sur les produits'!$A$3:$H$10000,8,FALSE),"0")</f>
        <v>0</v>
      </c>
      <c r="N9940" s="8"/>
      <c r="O9940" s="33" t="str">
        <f>IFERROR(VLOOKUP($M9940,'Informations sur les produits'!$A$3:$H$10000,8,FALSE),"0")</f>
        <v>0</v>
      </c>
      <c r="P9940" s="33">
        <f t="shared" si="620"/>
        <v>0</v>
      </c>
      <c r="Q9940" s="31" t="str">
        <f t="shared" si="621"/>
        <v/>
      </c>
      <c r="R9940" s="32" t="str">
        <f>IFERROR(VLOOKUP($D9940,'Informations sur les produits'!$A$3:$B$15000,2,FALSE),"")</f>
        <v/>
      </c>
      <c r="V9940">
        <f t="shared" si="622"/>
        <v>0</v>
      </c>
      <c r="W9940">
        <f t="shared" si="623"/>
        <v>0</v>
      </c>
    </row>
    <row r="9941" spans="5:23" x14ac:dyDescent="0.25">
      <c r="E9941" s="4"/>
      <c r="F9941" s="4"/>
      <c r="G9941" s="33" t="str">
        <f>IFERROR(VLOOKUP($D9941,'Informations sur les produits'!$A$3:$H$10000,8,FALSE),"0")</f>
        <v>0</v>
      </c>
      <c r="K9941" s="4"/>
      <c r="L9941" s="33" t="str">
        <f>IFERROR(VLOOKUP($J9941,'Informations sur les produits'!$A$3:$H$10000,8,FALSE),"0")</f>
        <v>0</v>
      </c>
      <c r="N9941" s="8"/>
      <c r="O9941" s="33" t="str">
        <f>IFERROR(VLOOKUP($M9941,'Informations sur les produits'!$A$3:$H$10000,8,FALSE),"0")</f>
        <v>0</v>
      </c>
      <c r="P9941" s="33">
        <f t="shared" si="620"/>
        <v>0</v>
      </c>
      <c r="Q9941" s="31" t="str">
        <f t="shared" si="621"/>
        <v/>
      </c>
      <c r="R9941" s="32" t="str">
        <f>IFERROR(VLOOKUP($D9941,'Informations sur les produits'!$A$3:$B$15000,2,FALSE),"")</f>
        <v/>
      </c>
      <c r="V9941">
        <f t="shared" si="622"/>
        <v>0</v>
      </c>
      <c r="W9941">
        <f t="shared" si="623"/>
        <v>0</v>
      </c>
    </row>
    <row r="9942" spans="5:23" x14ac:dyDescent="0.25">
      <c r="E9942" s="4"/>
      <c r="F9942" s="4"/>
      <c r="G9942" s="33" t="str">
        <f>IFERROR(VLOOKUP($D9942,'Informations sur les produits'!$A$3:$H$10000,8,FALSE),"0")</f>
        <v>0</v>
      </c>
      <c r="K9942" s="4"/>
      <c r="L9942" s="33" t="str">
        <f>IFERROR(VLOOKUP($J9942,'Informations sur les produits'!$A$3:$H$10000,8,FALSE),"0")</f>
        <v>0</v>
      </c>
      <c r="N9942" s="8"/>
      <c r="O9942" s="33" t="str">
        <f>IFERROR(VLOOKUP($M9942,'Informations sur les produits'!$A$3:$H$10000,8,FALSE),"0")</f>
        <v>0</v>
      </c>
      <c r="P9942" s="33">
        <f t="shared" si="620"/>
        <v>0</v>
      </c>
      <c r="Q9942" s="31" t="str">
        <f t="shared" si="621"/>
        <v/>
      </c>
      <c r="R9942" s="32" t="str">
        <f>IFERROR(VLOOKUP($D9942,'Informations sur les produits'!$A$3:$B$15000,2,FALSE),"")</f>
        <v/>
      </c>
      <c r="V9942">
        <f t="shared" si="622"/>
        <v>0</v>
      </c>
      <c r="W9942">
        <f t="shared" si="623"/>
        <v>0</v>
      </c>
    </row>
    <row r="9943" spans="5:23" x14ac:dyDescent="0.25">
      <c r="E9943" s="4"/>
      <c r="F9943" s="4"/>
      <c r="G9943" s="33" t="str">
        <f>IFERROR(VLOOKUP($D9943,'Informations sur les produits'!$A$3:$H$10000,8,FALSE),"0")</f>
        <v>0</v>
      </c>
      <c r="K9943" s="4"/>
      <c r="L9943" s="33" t="str">
        <f>IFERROR(VLOOKUP($J9943,'Informations sur les produits'!$A$3:$H$10000,8,FALSE),"0")</f>
        <v>0</v>
      </c>
      <c r="N9943" s="8"/>
      <c r="O9943" s="33" t="str">
        <f>IFERROR(VLOOKUP($M9943,'Informations sur les produits'!$A$3:$H$10000,8,FALSE),"0")</f>
        <v>0</v>
      </c>
      <c r="P9943" s="33">
        <f t="shared" si="620"/>
        <v>0</v>
      </c>
      <c r="Q9943" s="31" t="str">
        <f t="shared" si="621"/>
        <v/>
      </c>
      <c r="R9943" s="32" t="str">
        <f>IFERROR(VLOOKUP($D9943,'Informations sur les produits'!$A$3:$B$15000,2,FALSE),"")</f>
        <v/>
      </c>
      <c r="V9943">
        <f t="shared" si="622"/>
        <v>0</v>
      </c>
      <c r="W9943">
        <f t="shared" si="623"/>
        <v>0</v>
      </c>
    </row>
    <row r="9944" spans="5:23" x14ac:dyDescent="0.25">
      <c r="E9944" s="4"/>
      <c r="F9944" s="4"/>
      <c r="G9944" s="33" t="str">
        <f>IFERROR(VLOOKUP($D9944,'Informations sur les produits'!$A$3:$H$10000,8,FALSE),"0")</f>
        <v>0</v>
      </c>
      <c r="K9944" s="4"/>
      <c r="L9944" s="33" t="str">
        <f>IFERROR(VLOOKUP($J9944,'Informations sur les produits'!$A$3:$H$10000,8,FALSE),"0")</f>
        <v>0</v>
      </c>
      <c r="N9944" s="8"/>
      <c r="O9944" s="33" t="str">
        <f>IFERROR(VLOOKUP($M9944,'Informations sur les produits'!$A$3:$H$10000,8,FALSE),"0")</f>
        <v>0</v>
      </c>
      <c r="P9944" s="33">
        <f t="shared" si="620"/>
        <v>0</v>
      </c>
      <c r="Q9944" s="31" t="str">
        <f t="shared" si="621"/>
        <v/>
      </c>
      <c r="R9944" s="32" t="str">
        <f>IFERROR(VLOOKUP($D9944,'Informations sur les produits'!$A$3:$B$15000,2,FALSE),"")</f>
        <v/>
      </c>
      <c r="V9944">
        <f t="shared" si="622"/>
        <v>0</v>
      </c>
      <c r="W9944">
        <f t="shared" si="623"/>
        <v>0</v>
      </c>
    </row>
    <row r="9945" spans="5:23" x14ac:dyDescent="0.25">
      <c r="E9945" s="4"/>
      <c r="F9945" s="4"/>
      <c r="G9945" s="33" t="str">
        <f>IFERROR(VLOOKUP($D9945,'Informations sur les produits'!$A$3:$H$10000,8,FALSE),"0")</f>
        <v>0</v>
      </c>
      <c r="K9945" s="4"/>
      <c r="L9945" s="33" t="str">
        <f>IFERROR(VLOOKUP($J9945,'Informations sur les produits'!$A$3:$H$10000,8,FALSE),"0")</f>
        <v>0</v>
      </c>
      <c r="N9945" s="8"/>
      <c r="O9945" s="33" t="str">
        <f>IFERROR(VLOOKUP($M9945,'Informations sur les produits'!$A$3:$H$10000,8,FALSE),"0")</f>
        <v>0</v>
      </c>
      <c r="P9945" s="33">
        <f t="shared" si="620"/>
        <v>0</v>
      </c>
      <c r="Q9945" s="31" t="str">
        <f t="shared" si="621"/>
        <v/>
      </c>
      <c r="R9945" s="32" t="str">
        <f>IFERROR(VLOOKUP($D9945,'Informations sur les produits'!$A$3:$B$15000,2,FALSE),"")</f>
        <v/>
      </c>
      <c r="V9945">
        <f t="shared" si="622"/>
        <v>0</v>
      </c>
      <c r="W9945">
        <f t="shared" si="623"/>
        <v>0</v>
      </c>
    </row>
    <row r="9946" spans="5:23" x14ac:dyDescent="0.25">
      <c r="E9946" s="4"/>
      <c r="F9946" s="4"/>
      <c r="G9946" s="33" t="str">
        <f>IFERROR(VLOOKUP($D9946,'Informations sur les produits'!$A$3:$H$10000,8,FALSE),"0")</f>
        <v>0</v>
      </c>
      <c r="K9946" s="4"/>
      <c r="L9946" s="33" t="str">
        <f>IFERROR(VLOOKUP($J9946,'Informations sur les produits'!$A$3:$H$10000,8,FALSE),"0")</f>
        <v>0</v>
      </c>
      <c r="N9946" s="8"/>
      <c r="O9946" s="33" t="str">
        <f>IFERROR(VLOOKUP($M9946,'Informations sur les produits'!$A$3:$H$10000,8,FALSE),"0")</f>
        <v>0</v>
      </c>
      <c r="P9946" s="33">
        <f t="shared" si="620"/>
        <v>0</v>
      </c>
      <c r="Q9946" s="31" t="str">
        <f t="shared" si="621"/>
        <v/>
      </c>
      <c r="R9946" s="32" t="str">
        <f>IFERROR(VLOOKUP($D9946,'Informations sur les produits'!$A$3:$B$15000,2,FALSE),"")</f>
        <v/>
      </c>
      <c r="V9946">
        <f t="shared" si="622"/>
        <v>0</v>
      </c>
      <c r="W9946">
        <f t="shared" si="623"/>
        <v>0</v>
      </c>
    </row>
    <row r="9947" spans="5:23" x14ac:dyDescent="0.25">
      <c r="E9947" s="4"/>
      <c r="F9947" s="4"/>
      <c r="G9947" s="33" t="str">
        <f>IFERROR(VLOOKUP($D9947,'Informations sur les produits'!$A$3:$H$10000,8,FALSE),"0")</f>
        <v>0</v>
      </c>
      <c r="K9947" s="4"/>
      <c r="L9947" s="33" t="str">
        <f>IFERROR(VLOOKUP($J9947,'Informations sur les produits'!$A$3:$H$10000,8,FALSE),"0")</f>
        <v>0</v>
      </c>
      <c r="N9947" s="8"/>
      <c r="O9947" s="33" t="str">
        <f>IFERROR(VLOOKUP($M9947,'Informations sur les produits'!$A$3:$H$10000,8,FALSE),"0")</f>
        <v>0</v>
      </c>
      <c r="P9947" s="33">
        <f t="shared" si="620"/>
        <v>0</v>
      </c>
      <c r="Q9947" s="31" t="str">
        <f t="shared" si="621"/>
        <v/>
      </c>
      <c r="R9947" s="32" t="str">
        <f>IFERROR(VLOOKUP($D9947,'Informations sur les produits'!$A$3:$B$15000,2,FALSE),"")</f>
        <v/>
      </c>
      <c r="V9947">
        <f t="shared" si="622"/>
        <v>0</v>
      </c>
      <c r="W9947">
        <f t="shared" si="623"/>
        <v>0</v>
      </c>
    </row>
    <row r="9948" spans="5:23" x14ac:dyDescent="0.25">
      <c r="E9948" s="4"/>
      <c r="F9948" s="4"/>
      <c r="G9948" s="33" t="str">
        <f>IFERROR(VLOOKUP($D9948,'Informations sur les produits'!$A$3:$H$10000,8,FALSE),"0")</f>
        <v>0</v>
      </c>
      <c r="K9948" s="4"/>
      <c r="L9948" s="33" t="str">
        <f>IFERROR(VLOOKUP($J9948,'Informations sur les produits'!$A$3:$H$10000,8,FALSE),"0")</f>
        <v>0</v>
      </c>
      <c r="N9948" s="8"/>
      <c r="O9948" s="33" t="str">
        <f>IFERROR(VLOOKUP($M9948,'Informations sur les produits'!$A$3:$H$10000,8,FALSE),"0")</f>
        <v>0</v>
      </c>
      <c r="P9948" s="33">
        <f t="shared" si="620"/>
        <v>0</v>
      </c>
      <c r="Q9948" s="31" t="str">
        <f t="shared" si="621"/>
        <v/>
      </c>
      <c r="R9948" s="32" t="str">
        <f>IFERROR(VLOOKUP($D9948,'Informations sur les produits'!$A$3:$B$15000,2,FALSE),"")</f>
        <v/>
      </c>
      <c r="V9948">
        <f t="shared" si="622"/>
        <v>0</v>
      </c>
      <c r="W9948">
        <f t="shared" si="623"/>
        <v>0</v>
      </c>
    </row>
    <row r="9949" spans="5:23" x14ac:dyDescent="0.25">
      <c r="E9949" s="4"/>
      <c r="F9949" s="4"/>
      <c r="G9949" s="33" t="str">
        <f>IFERROR(VLOOKUP($D9949,'Informations sur les produits'!$A$3:$H$10000,8,FALSE),"0")</f>
        <v>0</v>
      </c>
      <c r="K9949" s="4"/>
      <c r="L9949" s="33" t="str">
        <f>IFERROR(VLOOKUP($J9949,'Informations sur les produits'!$A$3:$H$10000,8,FALSE),"0")</f>
        <v>0</v>
      </c>
      <c r="N9949" s="8"/>
      <c r="O9949" s="33" t="str">
        <f>IFERROR(VLOOKUP($M9949,'Informations sur les produits'!$A$3:$H$10000,8,FALSE),"0")</f>
        <v>0</v>
      </c>
      <c r="P9949" s="33">
        <f t="shared" si="620"/>
        <v>0</v>
      </c>
      <c r="Q9949" s="31" t="str">
        <f t="shared" si="621"/>
        <v/>
      </c>
      <c r="R9949" s="32" t="str">
        <f>IFERROR(VLOOKUP($D9949,'Informations sur les produits'!$A$3:$B$15000,2,FALSE),"")</f>
        <v/>
      </c>
      <c r="V9949">
        <f t="shared" si="622"/>
        <v>0</v>
      </c>
      <c r="W9949">
        <f t="shared" si="623"/>
        <v>0</v>
      </c>
    </row>
    <row r="9950" spans="5:23" x14ac:dyDescent="0.25">
      <c r="E9950" s="4"/>
      <c r="F9950" s="4"/>
      <c r="G9950" s="33" t="str">
        <f>IFERROR(VLOOKUP($D9950,'Informations sur les produits'!$A$3:$H$10000,8,FALSE),"0")</f>
        <v>0</v>
      </c>
      <c r="K9950" s="4"/>
      <c r="L9950" s="33" t="str">
        <f>IFERROR(VLOOKUP($J9950,'Informations sur les produits'!$A$3:$H$10000,8,FALSE),"0")</f>
        <v>0</v>
      </c>
      <c r="N9950" s="8"/>
      <c r="O9950" s="33" t="str">
        <f>IFERROR(VLOOKUP($M9950,'Informations sur les produits'!$A$3:$H$10000,8,FALSE),"0")</f>
        <v>0</v>
      </c>
      <c r="P9950" s="33">
        <f t="shared" si="620"/>
        <v>0</v>
      </c>
      <c r="Q9950" s="31" t="str">
        <f t="shared" si="621"/>
        <v/>
      </c>
      <c r="R9950" s="32" t="str">
        <f>IFERROR(VLOOKUP($D9950,'Informations sur les produits'!$A$3:$B$15000,2,FALSE),"")</f>
        <v/>
      </c>
      <c r="V9950">
        <f t="shared" si="622"/>
        <v>0</v>
      </c>
      <c r="W9950">
        <f t="shared" si="623"/>
        <v>0</v>
      </c>
    </row>
    <row r="9951" spans="5:23" x14ac:dyDescent="0.25">
      <c r="E9951" s="4"/>
      <c r="F9951" s="4"/>
      <c r="G9951" s="33" t="str">
        <f>IFERROR(VLOOKUP($D9951,'Informations sur les produits'!$A$3:$H$10000,8,FALSE),"0")</f>
        <v>0</v>
      </c>
      <c r="K9951" s="4"/>
      <c r="L9951" s="33" t="str">
        <f>IFERROR(VLOOKUP($J9951,'Informations sur les produits'!$A$3:$H$10000,8,FALSE),"0")</f>
        <v>0</v>
      </c>
      <c r="N9951" s="8"/>
      <c r="O9951" s="33" t="str">
        <f>IFERROR(VLOOKUP($M9951,'Informations sur les produits'!$A$3:$H$10000,8,FALSE),"0")</f>
        <v>0</v>
      </c>
      <c r="P9951" s="33">
        <f t="shared" si="620"/>
        <v>0</v>
      </c>
      <c r="Q9951" s="31" t="str">
        <f t="shared" si="621"/>
        <v/>
      </c>
      <c r="R9951" s="32" t="str">
        <f>IFERROR(VLOOKUP($D9951,'Informations sur les produits'!$A$3:$B$15000,2,FALSE),"")</f>
        <v/>
      </c>
      <c r="V9951">
        <f t="shared" si="622"/>
        <v>0</v>
      </c>
      <c r="W9951">
        <f t="shared" si="623"/>
        <v>0</v>
      </c>
    </row>
    <row r="9952" spans="5:23" x14ac:dyDescent="0.25">
      <c r="E9952" s="4"/>
      <c r="F9952" s="4"/>
      <c r="G9952" s="33" t="str">
        <f>IFERROR(VLOOKUP($D9952,'Informations sur les produits'!$A$3:$H$10000,8,FALSE),"0")</f>
        <v>0</v>
      </c>
      <c r="K9952" s="4"/>
      <c r="L9952" s="33" t="str">
        <f>IFERROR(VLOOKUP($J9952,'Informations sur les produits'!$A$3:$H$10000,8,FALSE),"0")</f>
        <v>0</v>
      </c>
      <c r="N9952" s="8"/>
      <c r="O9952" s="33" t="str">
        <f>IFERROR(VLOOKUP($M9952,'Informations sur les produits'!$A$3:$H$10000,8,FALSE),"0")</f>
        <v>0</v>
      </c>
      <c r="P9952" s="33">
        <f t="shared" si="620"/>
        <v>0</v>
      </c>
      <c r="Q9952" s="31" t="str">
        <f t="shared" si="621"/>
        <v/>
      </c>
      <c r="R9952" s="32" t="str">
        <f>IFERROR(VLOOKUP($D9952,'Informations sur les produits'!$A$3:$B$15000,2,FALSE),"")</f>
        <v/>
      </c>
      <c r="V9952">
        <f t="shared" si="622"/>
        <v>0</v>
      </c>
      <c r="W9952">
        <f t="shared" si="623"/>
        <v>0</v>
      </c>
    </row>
    <row r="9953" spans="5:23" x14ac:dyDescent="0.25">
      <c r="E9953" s="4"/>
      <c r="F9953" s="4"/>
      <c r="G9953" s="33" t="str">
        <f>IFERROR(VLOOKUP($D9953,'Informations sur les produits'!$A$3:$H$10000,8,FALSE),"0")</f>
        <v>0</v>
      </c>
      <c r="K9953" s="4"/>
      <c r="L9953" s="33" t="str">
        <f>IFERROR(VLOOKUP($J9953,'Informations sur les produits'!$A$3:$H$10000,8,FALSE),"0")</f>
        <v>0</v>
      </c>
      <c r="N9953" s="8"/>
      <c r="O9953" s="33" t="str">
        <f>IFERROR(VLOOKUP($M9953,'Informations sur les produits'!$A$3:$H$10000,8,FALSE),"0")</f>
        <v>0</v>
      </c>
      <c r="P9953" s="33">
        <f t="shared" si="620"/>
        <v>0</v>
      </c>
      <c r="Q9953" s="31" t="str">
        <f t="shared" si="621"/>
        <v/>
      </c>
      <c r="R9953" s="32" t="str">
        <f>IFERROR(VLOOKUP($D9953,'Informations sur les produits'!$A$3:$B$15000,2,FALSE),"")</f>
        <v/>
      </c>
      <c r="V9953">
        <f t="shared" si="622"/>
        <v>0</v>
      </c>
      <c r="W9953">
        <f t="shared" si="623"/>
        <v>0</v>
      </c>
    </row>
    <row r="9954" spans="5:23" x14ac:dyDescent="0.25">
      <c r="E9954" s="4"/>
      <c r="F9954" s="4"/>
      <c r="G9954" s="33" t="str">
        <f>IFERROR(VLOOKUP($D9954,'Informations sur les produits'!$A$3:$H$10000,8,FALSE),"0")</f>
        <v>0</v>
      </c>
      <c r="K9954" s="4"/>
      <c r="L9954" s="33" t="str">
        <f>IFERROR(VLOOKUP($J9954,'Informations sur les produits'!$A$3:$H$10000,8,FALSE),"0")</f>
        <v>0</v>
      </c>
      <c r="N9954" s="8"/>
      <c r="O9954" s="33" t="str">
        <f>IFERROR(VLOOKUP($M9954,'Informations sur les produits'!$A$3:$H$10000,8,FALSE),"0")</f>
        <v>0</v>
      </c>
      <c r="P9954" s="33">
        <f t="shared" si="620"/>
        <v>0</v>
      </c>
      <c r="Q9954" s="31" t="str">
        <f t="shared" si="621"/>
        <v/>
      </c>
      <c r="R9954" s="32" t="str">
        <f>IFERROR(VLOOKUP($D9954,'Informations sur les produits'!$A$3:$B$15000,2,FALSE),"")</f>
        <v/>
      </c>
      <c r="V9954">
        <f t="shared" si="622"/>
        <v>0</v>
      </c>
      <c r="W9954">
        <f t="shared" si="623"/>
        <v>0</v>
      </c>
    </row>
    <row r="9955" spans="5:23" x14ac:dyDescent="0.25">
      <c r="E9955" s="4"/>
      <c r="F9955" s="4"/>
      <c r="G9955" s="33" t="str">
        <f>IFERROR(VLOOKUP($D9955,'Informations sur les produits'!$A$3:$H$10000,8,FALSE),"0")</f>
        <v>0</v>
      </c>
      <c r="K9955" s="4"/>
      <c r="L9955" s="33" t="str">
        <f>IFERROR(VLOOKUP($J9955,'Informations sur les produits'!$A$3:$H$10000,8,FALSE),"0")</f>
        <v>0</v>
      </c>
      <c r="N9955" s="8"/>
      <c r="O9955" s="33" t="str">
        <f>IFERROR(VLOOKUP($M9955,'Informations sur les produits'!$A$3:$H$10000,8,FALSE),"0")</f>
        <v>0</v>
      </c>
      <c r="P9955" s="33">
        <f t="shared" si="620"/>
        <v>0</v>
      </c>
      <c r="Q9955" s="31" t="str">
        <f t="shared" si="621"/>
        <v/>
      </c>
      <c r="R9955" s="32" t="str">
        <f>IFERROR(VLOOKUP($D9955,'Informations sur les produits'!$A$3:$B$15000,2,FALSE),"")</f>
        <v/>
      </c>
      <c r="V9955">
        <f t="shared" si="622"/>
        <v>0</v>
      </c>
      <c r="W9955">
        <f t="shared" si="623"/>
        <v>0</v>
      </c>
    </row>
    <row r="9956" spans="5:23" x14ac:dyDescent="0.25">
      <c r="E9956" s="4"/>
      <c r="F9956" s="4"/>
      <c r="G9956" s="33" t="str">
        <f>IFERROR(VLOOKUP($D9956,'Informations sur les produits'!$A$3:$H$10000,8,FALSE),"0")</f>
        <v>0</v>
      </c>
      <c r="K9956" s="4"/>
      <c r="L9956" s="33" t="str">
        <f>IFERROR(VLOOKUP($J9956,'Informations sur les produits'!$A$3:$H$10000,8,FALSE),"0")</f>
        <v>0</v>
      </c>
      <c r="N9956" s="8"/>
      <c r="O9956" s="33" t="str">
        <f>IFERROR(VLOOKUP($M9956,'Informations sur les produits'!$A$3:$H$10000,8,FALSE),"0")</f>
        <v>0</v>
      </c>
      <c r="P9956" s="33">
        <f t="shared" si="620"/>
        <v>0</v>
      </c>
      <c r="Q9956" s="31" t="str">
        <f t="shared" si="621"/>
        <v/>
      </c>
      <c r="R9956" s="32" t="str">
        <f>IFERROR(VLOOKUP($D9956,'Informations sur les produits'!$A$3:$B$15000,2,FALSE),"")</f>
        <v/>
      </c>
      <c r="V9956">
        <f t="shared" si="622"/>
        <v>0</v>
      </c>
      <c r="W9956">
        <f t="shared" si="623"/>
        <v>0</v>
      </c>
    </row>
    <row r="9957" spans="5:23" x14ac:dyDescent="0.25">
      <c r="E9957" s="4"/>
      <c r="F9957" s="4"/>
      <c r="G9957" s="33" t="str">
        <f>IFERROR(VLOOKUP($D9957,'Informations sur les produits'!$A$3:$H$10000,8,FALSE),"0")</f>
        <v>0</v>
      </c>
      <c r="K9957" s="4"/>
      <c r="L9957" s="33" t="str">
        <f>IFERROR(VLOOKUP($J9957,'Informations sur les produits'!$A$3:$H$10000,8,FALSE),"0")</f>
        <v>0</v>
      </c>
      <c r="N9957" s="8"/>
      <c r="O9957" s="33" t="str">
        <f>IFERROR(VLOOKUP($M9957,'Informations sur les produits'!$A$3:$H$10000,8,FALSE),"0")</f>
        <v>0</v>
      </c>
      <c r="P9957" s="33">
        <f t="shared" si="620"/>
        <v>0</v>
      </c>
      <c r="Q9957" s="31" t="str">
        <f t="shared" si="621"/>
        <v/>
      </c>
      <c r="R9957" s="32" t="str">
        <f>IFERROR(VLOOKUP($D9957,'Informations sur les produits'!$A$3:$B$15000,2,FALSE),"")</f>
        <v/>
      </c>
      <c r="V9957">
        <f t="shared" si="622"/>
        <v>0</v>
      </c>
      <c r="W9957">
        <f t="shared" si="623"/>
        <v>0</v>
      </c>
    </row>
    <row r="9958" spans="5:23" x14ac:dyDescent="0.25">
      <c r="E9958" s="4"/>
      <c r="F9958" s="4"/>
      <c r="G9958" s="33" t="str">
        <f>IFERROR(VLOOKUP($D9958,'Informations sur les produits'!$A$3:$H$10000,8,FALSE),"0")</f>
        <v>0</v>
      </c>
      <c r="K9958" s="4"/>
      <c r="L9958" s="33" t="str">
        <f>IFERROR(VLOOKUP($J9958,'Informations sur les produits'!$A$3:$H$10000,8,FALSE),"0")</f>
        <v>0</v>
      </c>
      <c r="N9958" s="8"/>
      <c r="O9958" s="33" t="str">
        <f>IFERROR(VLOOKUP($M9958,'Informations sur les produits'!$A$3:$H$10000,8,FALSE),"0")</f>
        <v>0</v>
      </c>
      <c r="P9958" s="33">
        <f t="shared" si="620"/>
        <v>0</v>
      </c>
      <c r="Q9958" s="31" t="str">
        <f t="shared" si="621"/>
        <v/>
      </c>
      <c r="R9958" s="32" t="str">
        <f>IFERROR(VLOOKUP($D9958,'Informations sur les produits'!$A$3:$B$15000,2,FALSE),"")</f>
        <v/>
      </c>
      <c r="V9958">
        <f t="shared" si="622"/>
        <v>0</v>
      </c>
      <c r="W9958">
        <f t="shared" si="623"/>
        <v>0</v>
      </c>
    </row>
    <row r="9959" spans="5:23" x14ac:dyDescent="0.25">
      <c r="E9959" s="4"/>
      <c r="F9959" s="4"/>
      <c r="G9959" s="33" t="str">
        <f>IFERROR(VLOOKUP($D9959,'Informations sur les produits'!$A$3:$H$10000,8,FALSE),"0")</f>
        <v>0</v>
      </c>
      <c r="K9959" s="4"/>
      <c r="L9959" s="33" t="str">
        <f>IFERROR(VLOOKUP($J9959,'Informations sur les produits'!$A$3:$H$10000,8,FALSE),"0")</f>
        <v>0</v>
      </c>
      <c r="N9959" s="8"/>
      <c r="O9959" s="33" t="str">
        <f>IFERROR(VLOOKUP($M9959,'Informations sur les produits'!$A$3:$H$10000,8,FALSE),"0")</f>
        <v>0</v>
      </c>
      <c r="P9959" s="33">
        <f t="shared" si="620"/>
        <v>0</v>
      </c>
      <c r="Q9959" s="31" t="str">
        <f t="shared" si="621"/>
        <v/>
      </c>
      <c r="R9959" s="32" t="str">
        <f>IFERROR(VLOOKUP($D9959,'Informations sur les produits'!$A$3:$B$15000,2,FALSE),"")</f>
        <v/>
      </c>
      <c r="V9959">
        <f t="shared" si="622"/>
        <v>0</v>
      </c>
      <c r="W9959">
        <f t="shared" si="623"/>
        <v>0</v>
      </c>
    </row>
    <row r="9960" spans="5:23" x14ac:dyDescent="0.25">
      <c r="E9960" s="4"/>
      <c r="F9960" s="4"/>
      <c r="G9960" s="33" t="str">
        <f>IFERROR(VLOOKUP($D9960,'Informations sur les produits'!$A$3:$H$10000,8,FALSE),"0")</f>
        <v>0</v>
      </c>
      <c r="K9960" s="4"/>
      <c r="L9960" s="33" t="str">
        <f>IFERROR(VLOOKUP($J9960,'Informations sur les produits'!$A$3:$H$10000,8,FALSE),"0")</f>
        <v>0</v>
      </c>
      <c r="N9960" s="8"/>
      <c r="O9960" s="33" t="str">
        <f>IFERROR(VLOOKUP($M9960,'Informations sur les produits'!$A$3:$H$10000,8,FALSE),"0")</f>
        <v>0</v>
      </c>
      <c r="P9960" s="33">
        <f t="shared" si="620"/>
        <v>0</v>
      </c>
      <c r="Q9960" s="31" t="str">
        <f t="shared" si="621"/>
        <v/>
      </c>
      <c r="R9960" s="32" t="str">
        <f>IFERROR(VLOOKUP($D9960,'Informations sur les produits'!$A$3:$B$15000,2,FALSE),"")</f>
        <v/>
      </c>
      <c r="V9960">
        <f t="shared" si="622"/>
        <v>0</v>
      </c>
      <c r="W9960">
        <f t="shared" si="623"/>
        <v>0</v>
      </c>
    </row>
    <row r="9961" spans="5:23" x14ac:dyDescent="0.25">
      <c r="E9961" s="4"/>
      <c r="F9961" s="4"/>
      <c r="G9961" s="33" t="str">
        <f>IFERROR(VLOOKUP($D9961,'Informations sur les produits'!$A$3:$H$10000,8,FALSE),"0")</f>
        <v>0</v>
      </c>
      <c r="K9961" s="4"/>
      <c r="L9961" s="33" t="str">
        <f>IFERROR(VLOOKUP($J9961,'Informations sur les produits'!$A$3:$H$10000,8,FALSE),"0")</f>
        <v>0</v>
      </c>
      <c r="N9961" s="8"/>
      <c r="O9961" s="33" t="str">
        <f>IFERROR(VLOOKUP($M9961,'Informations sur les produits'!$A$3:$H$10000,8,FALSE),"0")</f>
        <v>0</v>
      </c>
      <c r="P9961" s="33">
        <f t="shared" si="620"/>
        <v>0</v>
      </c>
      <c r="Q9961" s="31" t="str">
        <f t="shared" si="621"/>
        <v/>
      </c>
      <c r="R9961" s="32" t="str">
        <f>IFERROR(VLOOKUP($D9961,'Informations sur les produits'!$A$3:$B$15000,2,FALSE),"")</f>
        <v/>
      </c>
      <c r="V9961">
        <f t="shared" si="622"/>
        <v>0</v>
      </c>
      <c r="W9961">
        <f t="shared" si="623"/>
        <v>0</v>
      </c>
    </row>
    <row r="9962" spans="5:23" x14ac:dyDescent="0.25">
      <c r="E9962" s="4"/>
      <c r="F9962" s="4"/>
      <c r="G9962" s="33" t="str">
        <f>IFERROR(VLOOKUP($D9962,'Informations sur les produits'!$A$3:$H$10000,8,FALSE),"0")</f>
        <v>0</v>
      </c>
      <c r="K9962" s="4"/>
      <c r="L9962" s="33" t="str">
        <f>IFERROR(VLOOKUP($J9962,'Informations sur les produits'!$A$3:$H$10000,8,FALSE),"0")</f>
        <v>0</v>
      </c>
      <c r="N9962" s="8"/>
      <c r="O9962" s="33" t="str">
        <f>IFERROR(VLOOKUP($M9962,'Informations sur les produits'!$A$3:$H$10000,8,FALSE),"0")</f>
        <v>0</v>
      </c>
      <c r="P9962" s="33">
        <f t="shared" si="620"/>
        <v>0</v>
      </c>
      <c r="Q9962" s="31" t="str">
        <f t="shared" si="621"/>
        <v/>
      </c>
      <c r="R9962" s="32" t="str">
        <f>IFERROR(VLOOKUP($D9962,'Informations sur les produits'!$A$3:$B$15000,2,FALSE),"")</f>
        <v/>
      </c>
      <c r="V9962">
        <f t="shared" si="622"/>
        <v>0</v>
      </c>
      <c r="W9962">
        <f t="shared" si="623"/>
        <v>0</v>
      </c>
    </row>
    <row r="9963" spans="5:23" x14ac:dyDescent="0.25">
      <c r="E9963" s="4"/>
      <c r="F9963" s="4"/>
      <c r="G9963" s="33" t="str">
        <f>IFERROR(VLOOKUP($D9963,'Informations sur les produits'!$A$3:$H$10000,8,FALSE),"0")</f>
        <v>0</v>
      </c>
      <c r="K9963" s="4"/>
      <c r="L9963" s="33" t="str">
        <f>IFERROR(VLOOKUP($J9963,'Informations sur les produits'!$A$3:$H$10000,8,FALSE),"0")</f>
        <v>0</v>
      </c>
      <c r="N9963" s="8"/>
      <c r="O9963" s="33" t="str">
        <f>IFERROR(VLOOKUP($M9963,'Informations sur les produits'!$A$3:$H$10000,8,FALSE),"0")</f>
        <v>0</v>
      </c>
      <c r="P9963" s="33">
        <f t="shared" si="620"/>
        <v>0</v>
      </c>
      <c r="Q9963" s="31" t="str">
        <f t="shared" si="621"/>
        <v/>
      </c>
      <c r="R9963" s="32" t="str">
        <f>IFERROR(VLOOKUP($D9963,'Informations sur les produits'!$A$3:$B$15000,2,FALSE),"")</f>
        <v/>
      </c>
      <c r="V9963">
        <f t="shared" si="622"/>
        <v>0</v>
      </c>
      <c r="W9963">
        <f t="shared" si="623"/>
        <v>0</v>
      </c>
    </row>
    <row r="9964" spans="5:23" x14ac:dyDescent="0.25">
      <c r="E9964" s="4"/>
      <c r="F9964" s="4"/>
      <c r="G9964" s="33" t="str">
        <f>IFERROR(VLOOKUP($D9964,'Informations sur les produits'!$A$3:$H$10000,8,FALSE),"0")</f>
        <v>0</v>
      </c>
      <c r="K9964" s="4"/>
      <c r="L9964" s="33" t="str">
        <f>IFERROR(VLOOKUP($J9964,'Informations sur les produits'!$A$3:$H$10000,8,FALSE),"0")</f>
        <v>0</v>
      </c>
      <c r="N9964" s="8"/>
      <c r="O9964" s="33" t="str">
        <f>IFERROR(VLOOKUP($M9964,'Informations sur les produits'!$A$3:$H$10000,8,FALSE),"0")</f>
        <v>0</v>
      </c>
      <c r="P9964" s="33">
        <f t="shared" si="620"/>
        <v>0</v>
      </c>
      <c r="Q9964" s="31" t="str">
        <f t="shared" si="621"/>
        <v/>
      </c>
      <c r="R9964" s="32" t="str">
        <f>IFERROR(VLOOKUP($D9964,'Informations sur les produits'!$A$3:$B$15000,2,FALSE),"")</f>
        <v/>
      </c>
      <c r="V9964">
        <f t="shared" si="622"/>
        <v>0</v>
      </c>
      <c r="W9964">
        <f t="shared" si="623"/>
        <v>0</v>
      </c>
    </row>
    <row r="9965" spans="5:23" x14ac:dyDescent="0.25">
      <c r="E9965" s="4"/>
      <c r="F9965" s="4"/>
      <c r="G9965" s="33" t="str">
        <f>IFERROR(VLOOKUP($D9965,'Informations sur les produits'!$A$3:$H$10000,8,FALSE),"0")</f>
        <v>0</v>
      </c>
      <c r="K9965" s="4"/>
      <c r="L9965" s="33" t="str">
        <f>IFERROR(VLOOKUP($J9965,'Informations sur les produits'!$A$3:$H$10000,8,FALSE),"0")</f>
        <v>0</v>
      </c>
      <c r="N9965" s="8"/>
      <c r="O9965" s="33" t="str">
        <f>IFERROR(VLOOKUP($M9965,'Informations sur les produits'!$A$3:$H$10000,8,FALSE),"0")</f>
        <v>0</v>
      </c>
      <c r="P9965" s="33">
        <f t="shared" si="620"/>
        <v>0</v>
      </c>
      <c r="Q9965" s="31" t="str">
        <f t="shared" si="621"/>
        <v/>
      </c>
      <c r="R9965" s="32" t="str">
        <f>IFERROR(VLOOKUP($D9965,'Informations sur les produits'!$A$3:$B$15000,2,FALSE),"")</f>
        <v/>
      </c>
      <c r="V9965">
        <f t="shared" si="622"/>
        <v>0</v>
      </c>
      <c r="W9965">
        <f t="shared" si="623"/>
        <v>0</v>
      </c>
    </row>
    <row r="9966" spans="5:23" x14ac:dyDescent="0.25">
      <c r="E9966" s="4"/>
      <c r="F9966" s="4"/>
      <c r="G9966" s="33" t="str">
        <f>IFERROR(VLOOKUP($D9966,'Informations sur les produits'!$A$3:$H$10000,8,FALSE),"0")</f>
        <v>0</v>
      </c>
      <c r="K9966" s="4"/>
      <c r="L9966" s="33" t="str">
        <f>IFERROR(VLOOKUP($J9966,'Informations sur les produits'!$A$3:$H$10000,8,FALSE),"0")</f>
        <v>0</v>
      </c>
      <c r="N9966" s="8"/>
      <c r="O9966" s="33" t="str">
        <f>IFERROR(VLOOKUP($M9966,'Informations sur les produits'!$A$3:$H$10000,8,FALSE),"0")</f>
        <v>0</v>
      </c>
      <c r="P9966" s="33">
        <f t="shared" si="620"/>
        <v>0</v>
      </c>
      <c r="Q9966" s="31" t="str">
        <f t="shared" si="621"/>
        <v/>
      </c>
      <c r="R9966" s="32" t="str">
        <f>IFERROR(VLOOKUP($D9966,'Informations sur les produits'!$A$3:$B$15000,2,FALSE),"")</f>
        <v/>
      </c>
      <c r="V9966">
        <f t="shared" si="622"/>
        <v>0</v>
      </c>
      <c r="W9966">
        <f t="shared" si="623"/>
        <v>0</v>
      </c>
    </row>
    <row r="9967" spans="5:23" x14ac:dyDescent="0.25">
      <c r="E9967" s="4"/>
      <c r="F9967" s="4"/>
      <c r="G9967" s="33" t="str">
        <f>IFERROR(VLOOKUP($D9967,'Informations sur les produits'!$A$3:$H$10000,8,FALSE),"0")</f>
        <v>0</v>
      </c>
      <c r="K9967" s="4"/>
      <c r="L9967" s="33" t="str">
        <f>IFERROR(VLOOKUP($J9967,'Informations sur les produits'!$A$3:$H$10000,8,FALSE),"0")</f>
        <v>0</v>
      </c>
      <c r="N9967" s="8"/>
      <c r="O9967" s="33" t="str">
        <f>IFERROR(VLOOKUP($M9967,'Informations sur les produits'!$A$3:$H$10000,8,FALSE),"0")</f>
        <v>0</v>
      </c>
      <c r="P9967" s="33">
        <f t="shared" si="620"/>
        <v>0</v>
      </c>
      <c r="Q9967" s="31" t="str">
        <f t="shared" si="621"/>
        <v/>
      </c>
      <c r="R9967" s="32" t="str">
        <f>IFERROR(VLOOKUP($D9967,'Informations sur les produits'!$A$3:$B$15000,2,FALSE),"")</f>
        <v/>
      </c>
      <c r="V9967">
        <f t="shared" si="622"/>
        <v>0</v>
      </c>
      <c r="W9967">
        <f t="shared" si="623"/>
        <v>0</v>
      </c>
    </row>
    <row r="9968" spans="5:23" x14ac:dyDescent="0.25">
      <c r="E9968" s="4"/>
      <c r="F9968" s="4"/>
      <c r="G9968" s="33" t="str">
        <f>IFERROR(VLOOKUP($D9968,'Informations sur les produits'!$A$3:$H$10000,8,FALSE),"0")</f>
        <v>0</v>
      </c>
      <c r="K9968" s="4"/>
      <c r="L9968" s="33" t="str">
        <f>IFERROR(VLOOKUP($J9968,'Informations sur les produits'!$A$3:$H$10000,8,FALSE),"0")</f>
        <v>0</v>
      </c>
      <c r="N9968" s="8"/>
      <c r="O9968" s="33" t="str">
        <f>IFERROR(VLOOKUP($M9968,'Informations sur les produits'!$A$3:$H$10000,8,FALSE),"0")</f>
        <v>0</v>
      </c>
      <c r="P9968" s="33">
        <f t="shared" si="620"/>
        <v>0</v>
      </c>
      <c r="Q9968" s="31" t="str">
        <f t="shared" si="621"/>
        <v/>
      </c>
      <c r="R9968" s="32" t="str">
        <f>IFERROR(VLOOKUP($D9968,'Informations sur les produits'!$A$3:$B$15000,2,FALSE),"")</f>
        <v/>
      </c>
      <c r="V9968">
        <f t="shared" si="622"/>
        <v>0</v>
      </c>
      <c r="W9968">
        <f t="shared" si="623"/>
        <v>0</v>
      </c>
    </row>
    <row r="9969" spans="5:23" x14ac:dyDescent="0.25">
      <c r="E9969" s="4"/>
      <c r="F9969" s="4"/>
      <c r="G9969" s="33" t="str">
        <f>IFERROR(VLOOKUP($D9969,'Informations sur les produits'!$A$3:$H$10000,8,FALSE),"0")</f>
        <v>0</v>
      </c>
      <c r="K9969" s="4"/>
      <c r="L9969" s="33" t="str">
        <f>IFERROR(VLOOKUP($J9969,'Informations sur les produits'!$A$3:$H$10000,8,FALSE),"0")</f>
        <v>0</v>
      </c>
      <c r="N9969" s="8"/>
      <c r="O9969" s="33" t="str">
        <f>IFERROR(VLOOKUP($M9969,'Informations sur les produits'!$A$3:$H$10000,8,FALSE),"0")</f>
        <v>0</v>
      </c>
      <c r="P9969" s="33">
        <f t="shared" si="620"/>
        <v>0</v>
      </c>
      <c r="Q9969" s="31" t="str">
        <f t="shared" si="621"/>
        <v/>
      </c>
      <c r="R9969" s="32" t="str">
        <f>IFERROR(VLOOKUP($D9969,'Informations sur les produits'!$A$3:$B$15000,2,FALSE),"")</f>
        <v/>
      </c>
      <c r="V9969">
        <f t="shared" si="622"/>
        <v>0</v>
      </c>
      <c r="W9969">
        <f t="shared" si="623"/>
        <v>0</v>
      </c>
    </row>
    <row r="9970" spans="5:23" x14ac:dyDescent="0.25">
      <c r="E9970" s="4"/>
      <c r="F9970" s="4"/>
      <c r="G9970" s="33" t="str">
        <f>IFERROR(VLOOKUP($D9970,'Informations sur les produits'!$A$3:$H$10000,8,FALSE),"0")</f>
        <v>0</v>
      </c>
      <c r="K9970" s="4"/>
      <c r="L9970" s="33" t="str">
        <f>IFERROR(VLOOKUP($J9970,'Informations sur les produits'!$A$3:$H$10000,8,FALSE),"0")</f>
        <v>0</v>
      </c>
      <c r="N9970" s="8"/>
      <c r="O9970" s="33" t="str">
        <f>IFERROR(VLOOKUP($M9970,'Informations sur les produits'!$A$3:$H$10000,8,FALSE),"0")</f>
        <v>0</v>
      </c>
      <c r="P9970" s="33">
        <f t="shared" si="620"/>
        <v>0</v>
      </c>
      <c r="Q9970" s="31" t="str">
        <f t="shared" si="621"/>
        <v/>
      </c>
      <c r="R9970" s="32" t="str">
        <f>IFERROR(VLOOKUP($D9970,'Informations sur les produits'!$A$3:$B$15000,2,FALSE),"")</f>
        <v/>
      </c>
      <c r="V9970">
        <f t="shared" si="622"/>
        <v>0</v>
      </c>
      <c r="W9970">
        <f t="shared" si="623"/>
        <v>0</v>
      </c>
    </row>
    <row r="9971" spans="5:23" x14ac:dyDescent="0.25">
      <c r="E9971" s="4"/>
      <c r="F9971" s="4"/>
      <c r="G9971" s="33" t="str">
        <f>IFERROR(VLOOKUP($D9971,'Informations sur les produits'!$A$3:$H$10000,8,FALSE),"0")</f>
        <v>0</v>
      </c>
      <c r="K9971" s="4"/>
      <c r="L9971" s="33" t="str">
        <f>IFERROR(VLOOKUP($J9971,'Informations sur les produits'!$A$3:$H$10000,8,FALSE),"0")</f>
        <v>0</v>
      </c>
      <c r="N9971" s="8"/>
      <c r="O9971" s="33" t="str">
        <f>IFERROR(VLOOKUP($M9971,'Informations sur les produits'!$A$3:$H$10000,8,FALSE),"0")</f>
        <v>0</v>
      </c>
      <c r="P9971" s="33">
        <f t="shared" si="620"/>
        <v>0</v>
      </c>
      <c r="Q9971" s="31" t="str">
        <f t="shared" si="621"/>
        <v/>
      </c>
      <c r="R9971" s="32" t="str">
        <f>IFERROR(VLOOKUP($D9971,'Informations sur les produits'!$A$3:$B$15000,2,FALSE),"")</f>
        <v/>
      </c>
      <c r="V9971">
        <f t="shared" si="622"/>
        <v>0</v>
      </c>
      <c r="W9971">
        <f t="shared" si="623"/>
        <v>0</v>
      </c>
    </row>
    <row r="9972" spans="5:23" x14ac:dyDescent="0.25">
      <c r="E9972" s="4"/>
      <c r="F9972" s="4"/>
      <c r="G9972" s="33" t="str">
        <f>IFERROR(VLOOKUP($D9972,'Informations sur les produits'!$A$3:$H$10000,8,FALSE),"0")</f>
        <v>0</v>
      </c>
      <c r="K9972" s="4"/>
      <c r="L9972" s="33" t="str">
        <f>IFERROR(VLOOKUP($J9972,'Informations sur les produits'!$A$3:$H$10000,8,FALSE),"0")</f>
        <v>0</v>
      </c>
      <c r="N9972" s="8"/>
      <c r="O9972" s="33" t="str">
        <f>IFERROR(VLOOKUP($M9972,'Informations sur les produits'!$A$3:$H$10000,8,FALSE),"0")</f>
        <v>0</v>
      </c>
      <c r="P9972" s="33">
        <f t="shared" si="620"/>
        <v>0</v>
      </c>
      <c r="Q9972" s="31" t="str">
        <f t="shared" si="621"/>
        <v/>
      </c>
      <c r="R9972" s="32" t="str">
        <f>IFERROR(VLOOKUP($D9972,'Informations sur les produits'!$A$3:$B$15000,2,FALSE),"")</f>
        <v/>
      </c>
      <c r="V9972">
        <f t="shared" si="622"/>
        <v>0</v>
      </c>
      <c r="W9972">
        <f t="shared" si="623"/>
        <v>0</v>
      </c>
    </row>
    <row r="9973" spans="5:23" x14ac:dyDescent="0.25">
      <c r="E9973" s="4"/>
      <c r="F9973" s="4"/>
      <c r="G9973" s="33" t="str">
        <f>IFERROR(VLOOKUP($D9973,'Informations sur les produits'!$A$3:$H$10000,8,FALSE),"0")</f>
        <v>0</v>
      </c>
      <c r="K9973" s="4"/>
      <c r="L9973" s="33" t="str">
        <f>IFERROR(VLOOKUP($J9973,'Informations sur les produits'!$A$3:$H$10000,8,FALSE),"0")</f>
        <v>0</v>
      </c>
      <c r="N9973" s="8"/>
      <c r="O9973" s="33" t="str">
        <f>IFERROR(VLOOKUP($M9973,'Informations sur les produits'!$A$3:$H$10000,8,FALSE),"0")</f>
        <v>0</v>
      </c>
      <c r="P9973" s="33">
        <f t="shared" si="620"/>
        <v>0</v>
      </c>
      <c r="Q9973" s="31" t="str">
        <f t="shared" si="621"/>
        <v/>
      </c>
      <c r="R9973" s="32" t="str">
        <f>IFERROR(VLOOKUP($D9973,'Informations sur les produits'!$A$3:$B$15000,2,FALSE),"")</f>
        <v/>
      </c>
      <c r="V9973">
        <f t="shared" si="622"/>
        <v>0</v>
      </c>
      <c r="W9973">
        <f t="shared" si="623"/>
        <v>0</v>
      </c>
    </row>
    <row r="9974" spans="5:23" x14ac:dyDescent="0.25">
      <c r="E9974" s="4"/>
      <c r="F9974" s="4"/>
      <c r="G9974" s="33" t="str">
        <f>IFERROR(VLOOKUP($D9974,'Informations sur les produits'!$A$3:$H$10000,8,FALSE),"0")</f>
        <v>0</v>
      </c>
      <c r="K9974" s="4"/>
      <c r="L9974" s="33" t="str">
        <f>IFERROR(VLOOKUP($J9974,'Informations sur les produits'!$A$3:$H$10000,8,FALSE),"0")</f>
        <v>0</v>
      </c>
      <c r="N9974" s="8"/>
      <c r="O9974" s="33" t="str">
        <f>IFERROR(VLOOKUP($M9974,'Informations sur les produits'!$A$3:$H$10000,8,FALSE),"0")</f>
        <v>0</v>
      </c>
      <c r="P9974" s="33">
        <f t="shared" si="620"/>
        <v>0</v>
      </c>
      <c r="Q9974" s="31" t="str">
        <f t="shared" si="621"/>
        <v/>
      </c>
      <c r="R9974" s="32" t="str">
        <f>IFERROR(VLOOKUP($D9974,'Informations sur les produits'!$A$3:$B$15000,2,FALSE),"")</f>
        <v/>
      </c>
      <c r="V9974">
        <f t="shared" si="622"/>
        <v>0</v>
      </c>
      <c r="W9974">
        <f t="shared" si="623"/>
        <v>0</v>
      </c>
    </row>
    <row r="9975" spans="5:23" x14ac:dyDescent="0.25">
      <c r="E9975" s="4"/>
      <c r="F9975" s="4"/>
      <c r="G9975" s="33" t="str">
        <f>IFERROR(VLOOKUP($D9975,'Informations sur les produits'!$A$3:$H$10000,8,FALSE),"0")</f>
        <v>0</v>
      </c>
      <c r="K9975" s="4"/>
      <c r="L9975" s="33" t="str">
        <f>IFERROR(VLOOKUP($J9975,'Informations sur les produits'!$A$3:$H$10000,8,FALSE),"0")</f>
        <v>0</v>
      </c>
      <c r="N9975" s="8"/>
      <c r="O9975" s="33" t="str">
        <f>IFERROR(VLOOKUP($M9975,'Informations sur les produits'!$A$3:$H$10000,8,FALSE),"0")</f>
        <v>0</v>
      </c>
      <c r="P9975" s="33">
        <f t="shared" si="620"/>
        <v>0</v>
      </c>
      <c r="Q9975" s="31" t="str">
        <f t="shared" si="621"/>
        <v/>
      </c>
      <c r="R9975" s="32" t="str">
        <f>IFERROR(VLOOKUP($D9975,'Informations sur les produits'!$A$3:$B$15000,2,FALSE),"")</f>
        <v/>
      </c>
      <c r="V9975">
        <f t="shared" si="622"/>
        <v>0</v>
      </c>
      <c r="W9975">
        <f t="shared" si="623"/>
        <v>0</v>
      </c>
    </row>
    <row r="9976" spans="5:23" x14ac:dyDescent="0.25">
      <c r="E9976" s="4"/>
      <c r="F9976" s="4"/>
      <c r="G9976" s="33" t="str">
        <f>IFERROR(VLOOKUP($D9976,'Informations sur les produits'!$A$3:$H$10000,8,FALSE),"0")</f>
        <v>0</v>
      </c>
      <c r="K9976" s="4"/>
      <c r="L9976" s="33" t="str">
        <f>IFERROR(VLOOKUP($J9976,'Informations sur les produits'!$A$3:$H$10000,8,FALSE),"0")</f>
        <v>0</v>
      </c>
      <c r="N9976" s="8"/>
      <c r="O9976" s="33" t="str">
        <f>IFERROR(VLOOKUP($M9976,'Informations sur les produits'!$A$3:$H$10000,8,FALSE),"0")</f>
        <v>0</v>
      </c>
      <c r="P9976" s="33">
        <f t="shared" si="620"/>
        <v>0</v>
      </c>
      <c r="Q9976" s="31" t="str">
        <f t="shared" si="621"/>
        <v/>
      </c>
      <c r="R9976" s="32" t="str">
        <f>IFERROR(VLOOKUP($D9976,'Informations sur les produits'!$A$3:$B$15000,2,FALSE),"")</f>
        <v/>
      </c>
      <c r="V9976">
        <f t="shared" si="622"/>
        <v>0</v>
      </c>
      <c r="W9976">
        <f t="shared" si="623"/>
        <v>0</v>
      </c>
    </row>
    <row r="9977" spans="5:23" x14ac:dyDescent="0.25">
      <c r="E9977" s="4"/>
      <c r="F9977" s="4"/>
      <c r="G9977" s="33" t="str">
        <f>IFERROR(VLOOKUP($D9977,'Informations sur les produits'!$A$3:$H$10000,8,FALSE),"0")</f>
        <v>0</v>
      </c>
      <c r="K9977" s="4"/>
      <c r="L9977" s="33" t="str">
        <f>IFERROR(VLOOKUP($J9977,'Informations sur les produits'!$A$3:$H$10000,8,FALSE),"0")</f>
        <v>0</v>
      </c>
      <c r="N9977" s="8"/>
      <c r="O9977" s="33" t="str">
        <f>IFERROR(VLOOKUP($M9977,'Informations sur les produits'!$A$3:$H$10000,8,FALSE),"0")</f>
        <v>0</v>
      </c>
      <c r="P9977" s="33">
        <f t="shared" si="620"/>
        <v>0</v>
      </c>
      <c r="Q9977" s="31" t="str">
        <f t="shared" si="621"/>
        <v/>
      </c>
      <c r="R9977" s="32" t="str">
        <f>IFERROR(VLOOKUP($D9977,'Informations sur les produits'!$A$3:$B$15000,2,FALSE),"")</f>
        <v/>
      </c>
      <c r="V9977">
        <f t="shared" si="622"/>
        <v>0</v>
      </c>
      <c r="W9977">
        <f t="shared" si="623"/>
        <v>0</v>
      </c>
    </row>
    <row r="9978" spans="5:23" x14ac:dyDescent="0.25">
      <c r="E9978" s="4"/>
      <c r="F9978" s="4"/>
      <c r="G9978" s="33" t="str">
        <f>IFERROR(VLOOKUP($D9978,'Informations sur les produits'!$A$3:$H$10000,8,FALSE),"0")</f>
        <v>0</v>
      </c>
      <c r="K9978" s="4"/>
      <c r="L9978" s="33" t="str">
        <f>IFERROR(VLOOKUP($J9978,'Informations sur les produits'!$A$3:$H$10000,8,FALSE),"0")</f>
        <v>0</v>
      </c>
      <c r="N9978" s="8"/>
      <c r="O9978" s="33" t="str">
        <f>IFERROR(VLOOKUP($M9978,'Informations sur les produits'!$A$3:$H$10000,8,FALSE),"0")</f>
        <v>0</v>
      </c>
      <c r="P9978" s="33">
        <f t="shared" si="620"/>
        <v>0</v>
      </c>
      <c r="Q9978" s="31" t="str">
        <f t="shared" si="621"/>
        <v/>
      </c>
      <c r="R9978" s="32" t="str">
        <f>IFERROR(VLOOKUP($D9978,'Informations sur les produits'!$A$3:$B$15000,2,FALSE),"")</f>
        <v/>
      </c>
      <c r="V9978">
        <f t="shared" si="622"/>
        <v>0</v>
      </c>
      <c r="W9978">
        <f t="shared" si="623"/>
        <v>0</v>
      </c>
    </row>
    <row r="9979" spans="5:23" x14ac:dyDescent="0.25">
      <c r="E9979" s="4"/>
      <c r="F9979" s="4"/>
      <c r="G9979" s="33" t="str">
        <f>IFERROR(VLOOKUP($D9979,'Informations sur les produits'!$A$3:$H$10000,8,FALSE),"0")</f>
        <v>0</v>
      </c>
      <c r="K9979" s="4"/>
      <c r="L9979" s="33" t="str">
        <f>IFERROR(VLOOKUP($J9979,'Informations sur les produits'!$A$3:$H$10000,8,FALSE),"0")</f>
        <v>0</v>
      </c>
      <c r="N9979" s="8"/>
      <c r="O9979" s="33" t="str">
        <f>IFERROR(VLOOKUP($M9979,'Informations sur les produits'!$A$3:$H$10000,8,FALSE),"0")</f>
        <v>0</v>
      </c>
      <c r="P9979" s="33">
        <f t="shared" si="620"/>
        <v>0</v>
      </c>
      <c r="Q9979" s="31" t="str">
        <f t="shared" si="621"/>
        <v/>
      </c>
      <c r="R9979" s="32" t="str">
        <f>IFERROR(VLOOKUP($D9979,'Informations sur les produits'!$A$3:$B$15000,2,FALSE),"")</f>
        <v/>
      </c>
      <c r="V9979">
        <f t="shared" si="622"/>
        <v>0</v>
      </c>
      <c r="W9979">
        <f t="shared" si="623"/>
        <v>0</v>
      </c>
    </row>
    <row r="9980" spans="5:23" x14ac:dyDescent="0.25">
      <c r="E9980" s="4"/>
      <c r="F9980" s="4"/>
      <c r="G9980" s="33" t="str">
        <f>IFERROR(VLOOKUP($D9980,'Informations sur les produits'!$A$3:$H$10000,8,FALSE),"0")</f>
        <v>0</v>
      </c>
      <c r="K9980" s="4"/>
      <c r="L9980" s="33" t="str">
        <f>IFERROR(VLOOKUP($J9980,'Informations sur les produits'!$A$3:$H$10000,8,FALSE),"0")</f>
        <v>0</v>
      </c>
      <c r="N9980" s="8"/>
      <c r="O9980" s="33" t="str">
        <f>IFERROR(VLOOKUP($M9980,'Informations sur les produits'!$A$3:$H$10000,8,FALSE),"0")</f>
        <v>0</v>
      </c>
      <c r="P9980" s="33">
        <f t="shared" si="620"/>
        <v>0</v>
      </c>
      <c r="Q9980" s="31" t="str">
        <f t="shared" si="621"/>
        <v/>
      </c>
      <c r="R9980" s="32" t="str">
        <f>IFERROR(VLOOKUP($D9980,'Informations sur les produits'!$A$3:$B$15000,2,FALSE),"")</f>
        <v/>
      </c>
      <c r="V9980">
        <f t="shared" si="622"/>
        <v>0</v>
      </c>
      <c r="W9980">
        <f t="shared" si="623"/>
        <v>0</v>
      </c>
    </row>
    <row r="9981" spans="5:23" x14ac:dyDescent="0.25">
      <c r="E9981" s="4"/>
      <c r="F9981" s="4"/>
      <c r="G9981" s="33" t="str">
        <f>IFERROR(VLOOKUP($D9981,'Informations sur les produits'!$A$3:$H$10000,8,FALSE),"0")</f>
        <v>0</v>
      </c>
      <c r="K9981" s="4"/>
      <c r="L9981" s="33" t="str">
        <f>IFERROR(VLOOKUP($J9981,'Informations sur les produits'!$A$3:$H$10000,8,FALSE),"0")</f>
        <v>0</v>
      </c>
      <c r="N9981" s="8"/>
      <c r="O9981" s="33" t="str">
        <f>IFERROR(VLOOKUP($M9981,'Informations sur les produits'!$A$3:$H$10000,8,FALSE),"0")</f>
        <v>0</v>
      </c>
      <c r="P9981" s="33">
        <f t="shared" si="620"/>
        <v>0</v>
      </c>
      <c r="Q9981" s="31" t="str">
        <f t="shared" si="621"/>
        <v/>
      </c>
      <c r="R9981" s="32" t="str">
        <f>IFERROR(VLOOKUP($D9981,'Informations sur les produits'!$A$3:$B$15000,2,FALSE),"")</f>
        <v/>
      </c>
      <c r="V9981">
        <f t="shared" si="622"/>
        <v>0</v>
      </c>
      <c r="W9981">
        <f t="shared" si="623"/>
        <v>0</v>
      </c>
    </row>
    <row r="9982" spans="5:23" x14ac:dyDescent="0.25">
      <c r="E9982" s="4"/>
      <c r="F9982" s="4"/>
      <c r="G9982" s="33" t="str">
        <f>IFERROR(VLOOKUP($D9982,'Informations sur les produits'!$A$3:$H$10000,8,FALSE),"0")</f>
        <v>0</v>
      </c>
      <c r="K9982" s="4"/>
      <c r="L9982" s="33" t="str">
        <f>IFERROR(VLOOKUP($J9982,'Informations sur les produits'!$A$3:$H$10000,8,FALSE),"0")</f>
        <v>0</v>
      </c>
      <c r="N9982" s="8"/>
      <c r="O9982" s="33" t="str">
        <f>IFERROR(VLOOKUP($M9982,'Informations sur les produits'!$A$3:$H$10000,8,FALSE),"0")</f>
        <v>0</v>
      </c>
      <c r="P9982" s="33">
        <f t="shared" si="620"/>
        <v>0</v>
      </c>
      <c r="Q9982" s="31" t="str">
        <f t="shared" si="621"/>
        <v/>
      </c>
      <c r="R9982" s="32" t="str">
        <f>IFERROR(VLOOKUP($D9982,'Informations sur les produits'!$A$3:$B$15000,2,FALSE),"")</f>
        <v/>
      </c>
      <c r="V9982">
        <f t="shared" si="622"/>
        <v>0</v>
      </c>
      <c r="W9982">
        <f t="shared" si="623"/>
        <v>0</v>
      </c>
    </row>
    <row r="9983" spans="5:23" x14ac:dyDescent="0.25">
      <c r="E9983" s="4"/>
      <c r="F9983" s="4"/>
      <c r="G9983" s="33" t="str">
        <f>IFERROR(VLOOKUP($D9983,'Informations sur les produits'!$A$3:$H$10000,8,FALSE),"0")</f>
        <v>0</v>
      </c>
      <c r="K9983" s="4"/>
      <c r="L9983" s="33" t="str">
        <f>IFERROR(VLOOKUP($J9983,'Informations sur les produits'!$A$3:$H$10000,8,FALSE),"0")</f>
        <v>0</v>
      </c>
      <c r="N9983" s="8"/>
      <c r="O9983" s="33" t="str">
        <f>IFERROR(VLOOKUP($M9983,'Informations sur les produits'!$A$3:$H$10000,8,FALSE),"0")</f>
        <v>0</v>
      </c>
      <c r="P9983" s="33">
        <f t="shared" si="620"/>
        <v>0</v>
      </c>
      <c r="Q9983" s="31" t="str">
        <f t="shared" si="621"/>
        <v/>
      </c>
      <c r="R9983" s="32" t="str">
        <f>IFERROR(VLOOKUP($D9983,'Informations sur les produits'!$A$3:$B$15000,2,FALSE),"")</f>
        <v/>
      </c>
      <c r="V9983">
        <f t="shared" si="622"/>
        <v>0</v>
      </c>
      <c r="W9983">
        <f t="shared" si="623"/>
        <v>0</v>
      </c>
    </row>
    <row r="9984" spans="5:23" x14ac:dyDescent="0.25">
      <c r="E9984" s="4"/>
      <c r="F9984" s="4"/>
      <c r="G9984" s="33" t="str">
        <f>IFERROR(VLOOKUP($D9984,'Informations sur les produits'!$A$3:$H$10000,8,FALSE),"0")</f>
        <v>0</v>
      </c>
      <c r="K9984" s="4"/>
      <c r="L9984" s="33" t="str">
        <f>IFERROR(VLOOKUP($J9984,'Informations sur les produits'!$A$3:$H$10000,8,FALSE),"0")</f>
        <v>0</v>
      </c>
      <c r="N9984" s="8"/>
      <c r="O9984" s="33" t="str">
        <f>IFERROR(VLOOKUP($M9984,'Informations sur les produits'!$A$3:$H$10000,8,FALSE),"0")</f>
        <v>0</v>
      </c>
      <c r="P9984" s="33">
        <f t="shared" si="620"/>
        <v>0</v>
      </c>
      <c r="Q9984" s="31" t="str">
        <f t="shared" si="621"/>
        <v/>
      </c>
      <c r="R9984" s="32" t="str">
        <f>IFERROR(VLOOKUP($D9984,'Informations sur les produits'!$A$3:$B$15000,2,FALSE),"")</f>
        <v/>
      </c>
      <c r="V9984">
        <f t="shared" si="622"/>
        <v>0</v>
      </c>
      <c r="W9984">
        <f t="shared" si="623"/>
        <v>0</v>
      </c>
    </row>
    <row r="9985" spans="5:23" x14ac:dyDescent="0.25">
      <c r="E9985" s="4"/>
      <c r="F9985" s="4"/>
      <c r="G9985" s="33" t="str">
        <f>IFERROR(VLOOKUP($D9985,'Informations sur les produits'!$A$3:$H$10000,8,FALSE),"0")</f>
        <v>0</v>
      </c>
      <c r="K9985" s="4"/>
      <c r="L9985" s="33" t="str">
        <f>IFERROR(VLOOKUP($J9985,'Informations sur les produits'!$A$3:$H$10000,8,FALSE),"0")</f>
        <v>0</v>
      </c>
      <c r="N9985" s="8"/>
      <c r="O9985" s="33" t="str">
        <f>IFERROR(VLOOKUP($M9985,'Informations sur les produits'!$A$3:$H$10000,8,FALSE),"0")</f>
        <v>0</v>
      </c>
      <c r="P9985" s="33">
        <f t="shared" si="620"/>
        <v>0</v>
      </c>
      <c r="Q9985" s="31" t="str">
        <f t="shared" si="621"/>
        <v/>
      </c>
      <c r="R9985" s="32" t="str">
        <f>IFERROR(VLOOKUP($D9985,'Informations sur les produits'!$A$3:$B$15000,2,FALSE),"")</f>
        <v/>
      </c>
      <c r="V9985">
        <f t="shared" si="622"/>
        <v>0</v>
      </c>
      <c r="W9985">
        <f t="shared" si="623"/>
        <v>0</v>
      </c>
    </row>
    <row r="9986" spans="5:23" x14ac:dyDescent="0.25">
      <c r="E9986" s="4"/>
      <c r="F9986" s="4"/>
      <c r="G9986" s="33" t="str">
        <f>IFERROR(VLOOKUP($D9986,'Informations sur les produits'!$A$3:$H$10000,8,FALSE),"0")</f>
        <v>0</v>
      </c>
      <c r="K9986" s="4"/>
      <c r="L9986" s="33" t="str">
        <f>IFERROR(VLOOKUP($J9986,'Informations sur les produits'!$A$3:$H$10000,8,FALSE),"0")</f>
        <v>0</v>
      </c>
      <c r="N9986" s="8"/>
      <c r="O9986" s="33" t="str">
        <f>IFERROR(VLOOKUP($M9986,'Informations sur les produits'!$A$3:$H$10000,8,FALSE),"0")</f>
        <v>0</v>
      </c>
      <c r="P9986" s="33">
        <f t="shared" si="620"/>
        <v>0</v>
      </c>
      <c r="Q9986" s="31" t="str">
        <f t="shared" si="621"/>
        <v/>
      </c>
      <c r="R9986" s="32" t="str">
        <f>IFERROR(VLOOKUP($D9986,'Informations sur les produits'!$A$3:$B$15000,2,FALSE),"")</f>
        <v/>
      </c>
      <c r="V9986">
        <f t="shared" si="622"/>
        <v>0</v>
      </c>
      <c r="W9986">
        <f t="shared" si="623"/>
        <v>0</v>
      </c>
    </row>
    <row r="9987" spans="5:23" x14ac:dyDescent="0.25">
      <c r="E9987" s="4"/>
      <c r="F9987" s="4"/>
      <c r="G9987" s="33" t="str">
        <f>IFERROR(VLOOKUP($D9987,'Informations sur les produits'!$A$3:$H$10000,8,FALSE),"0")</f>
        <v>0</v>
      </c>
      <c r="K9987" s="4"/>
      <c r="L9987" s="33" t="str">
        <f>IFERROR(VLOOKUP($J9987,'Informations sur les produits'!$A$3:$H$10000,8,FALSE),"0")</f>
        <v>0</v>
      </c>
      <c r="N9987" s="8"/>
      <c r="O9987" s="33" t="str">
        <f>IFERROR(VLOOKUP($M9987,'Informations sur les produits'!$A$3:$H$10000,8,FALSE),"0")</f>
        <v>0</v>
      </c>
      <c r="P9987" s="33">
        <f t="shared" si="620"/>
        <v>0</v>
      </c>
      <c r="Q9987" s="31" t="str">
        <f t="shared" si="621"/>
        <v/>
      </c>
      <c r="R9987" s="32" t="str">
        <f>IFERROR(VLOOKUP($D9987,'Informations sur les produits'!$A$3:$B$15000,2,FALSE),"")</f>
        <v/>
      </c>
      <c r="V9987">
        <f t="shared" si="622"/>
        <v>0</v>
      </c>
      <c r="W9987">
        <f t="shared" si="623"/>
        <v>0</v>
      </c>
    </row>
    <row r="9988" spans="5:23" x14ac:dyDescent="0.25">
      <c r="E9988" s="4"/>
      <c r="F9988" s="4"/>
      <c r="G9988" s="33" t="str">
        <f>IFERROR(VLOOKUP($D9988,'Informations sur les produits'!$A$3:$H$10000,8,FALSE),"0")</f>
        <v>0</v>
      </c>
      <c r="K9988" s="4"/>
      <c r="L9988" s="33" t="str">
        <f>IFERROR(VLOOKUP($J9988,'Informations sur les produits'!$A$3:$H$10000,8,FALSE),"0")</f>
        <v>0</v>
      </c>
      <c r="N9988" s="8"/>
      <c r="O9988" s="33" t="str">
        <f>IFERROR(VLOOKUP($M9988,'Informations sur les produits'!$A$3:$H$10000,8,FALSE),"0")</f>
        <v>0</v>
      </c>
      <c r="P9988" s="33">
        <f t="shared" ref="P9988:P10051" si="624">IFERROR((($E9988-$F9988)*$G9988+$K9988*$L9988+$N9988*$O9988),"")</f>
        <v>0</v>
      </c>
      <c r="Q9988" s="31" t="str">
        <f t="shared" ref="Q9988:Q10051" si="625">IFERROR((((($E9988-$F9988)*$G9988+$K9988*$L9988+$N9988*$O9988)*1000)/(($E9988-$F9988)+$K9988+$N9988)),"")</f>
        <v/>
      </c>
      <c r="R9988" s="32" t="str">
        <f>IFERROR(VLOOKUP($D9988,'Informations sur les produits'!$A$3:$B$15000,2,FALSE),"")</f>
        <v/>
      </c>
      <c r="V9988">
        <f t="shared" ref="V9988:V10051" si="626">IFERROR(P9988*1000,"")</f>
        <v>0</v>
      </c>
      <c r="W9988">
        <f t="shared" ref="W9988:W10051" si="627">IFERROR(($E9988-$F9988)+$K9988+$N9988,"")</f>
        <v>0</v>
      </c>
    </row>
    <row r="9989" spans="5:23" x14ac:dyDescent="0.25">
      <c r="E9989" s="4"/>
      <c r="F9989" s="4"/>
      <c r="G9989" s="33" t="str">
        <f>IFERROR(VLOOKUP($D9989,'Informations sur les produits'!$A$3:$H$10000,8,FALSE),"0")</f>
        <v>0</v>
      </c>
      <c r="K9989" s="4"/>
      <c r="L9989" s="33" t="str">
        <f>IFERROR(VLOOKUP($J9989,'Informations sur les produits'!$A$3:$H$10000,8,FALSE),"0")</f>
        <v>0</v>
      </c>
      <c r="N9989" s="8"/>
      <c r="O9989" s="33" t="str">
        <f>IFERROR(VLOOKUP($M9989,'Informations sur les produits'!$A$3:$H$10000,8,FALSE),"0")</f>
        <v>0</v>
      </c>
      <c r="P9989" s="33">
        <f t="shared" si="624"/>
        <v>0</v>
      </c>
      <c r="Q9989" s="31" t="str">
        <f t="shared" si="625"/>
        <v/>
      </c>
      <c r="R9989" s="32" t="str">
        <f>IFERROR(VLOOKUP($D9989,'Informations sur les produits'!$A$3:$B$15000,2,FALSE),"")</f>
        <v/>
      </c>
      <c r="V9989">
        <f t="shared" si="626"/>
        <v>0</v>
      </c>
      <c r="W9989">
        <f t="shared" si="627"/>
        <v>0</v>
      </c>
    </row>
    <row r="9990" spans="5:23" x14ac:dyDescent="0.25">
      <c r="E9990" s="4"/>
      <c r="F9990" s="4"/>
      <c r="G9990" s="33" t="str">
        <f>IFERROR(VLOOKUP($D9990,'Informations sur les produits'!$A$3:$H$10000,8,FALSE),"0")</f>
        <v>0</v>
      </c>
      <c r="K9990" s="4"/>
      <c r="L9990" s="33" t="str">
        <f>IFERROR(VLOOKUP($J9990,'Informations sur les produits'!$A$3:$H$10000,8,FALSE),"0")</f>
        <v>0</v>
      </c>
      <c r="N9990" s="8"/>
      <c r="O9990" s="33" t="str">
        <f>IFERROR(VLOOKUP($M9990,'Informations sur les produits'!$A$3:$H$10000,8,FALSE),"0")</f>
        <v>0</v>
      </c>
      <c r="P9990" s="33">
        <f t="shared" si="624"/>
        <v>0</v>
      </c>
      <c r="Q9990" s="31" t="str">
        <f t="shared" si="625"/>
        <v/>
      </c>
      <c r="R9990" s="32" t="str">
        <f>IFERROR(VLOOKUP($D9990,'Informations sur les produits'!$A$3:$B$15000,2,FALSE),"")</f>
        <v/>
      </c>
      <c r="V9990">
        <f t="shared" si="626"/>
        <v>0</v>
      </c>
      <c r="W9990">
        <f t="shared" si="627"/>
        <v>0</v>
      </c>
    </row>
    <row r="9991" spans="5:23" x14ac:dyDescent="0.25">
      <c r="E9991" s="4"/>
      <c r="F9991" s="4"/>
      <c r="G9991" s="33" t="str">
        <f>IFERROR(VLOOKUP($D9991,'Informations sur les produits'!$A$3:$H$10000,8,FALSE),"0")</f>
        <v>0</v>
      </c>
      <c r="K9991" s="4"/>
      <c r="L9991" s="33" t="str">
        <f>IFERROR(VLOOKUP($J9991,'Informations sur les produits'!$A$3:$H$10000,8,FALSE),"0")</f>
        <v>0</v>
      </c>
      <c r="N9991" s="8"/>
      <c r="O9991" s="33" t="str">
        <f>IFERROR(VLOOKUP($M9991,'Informations sur les produits'!$A$3:$H$10000,8,FALSE),"0")</f>
        <v>0</v>
      </c>
      <c r="P9991" s="33">
        <f t="shared" si="624"/>
        <v>0</v>
      </c>
      <c r="Q9991" s="31" t="str">
        <f t="shared" si="625"/>
        <v/>
      </c>
      <c r="R9991" s="32" t="str">
        <f>IFERROR(VLOOKUP($D9991,'Informations sur les produits'!$A$3:$B$15000,2,FALSE),"")</f>
        <v/>
      </c>
      <c r="V9991">
        <f t="shared" si="626"/>
        <v>0</v>
      </c>
      <c r="W9991">
        <f t="shared" si="627"/>
        <v>0</v>
      </c>
    </row>
    <row r="9992" spans="5:23" x14ac:dyDescent="0.25">
      <c r="E9992" s="4"/>
      <c r="F9992" s="4"/>
      <c r="G9992" s="33" t="str">
        <f>IFERROR(VLOOKUP($D9992,'Informations sur les produits'!$A$3:$H$10000,8,FALSE),"0")</f>
        <v>0</v>
      </c>
      <c r="K9992" s="4"/>
      <c r="L9992" s="33" t="str">
        <f>IFERROR(VLOOKUP($J9992,'Informations sur les produits'!$A$3:$H$10000,8,FALSE),"0")</f>
        <v>0</v>
      </c>
      <c r="N9992" s="8"/>
      <c r="O9992" s="33" t="str">
        <f>IFERROR(VLOOKUP($M9992,'Informations sur les produits'!$A$3:$H$10000,8,FALSE),"0")</f>
        <v>0</v>
      </c>
      <c r="P9992" s="33">
        <f t="shared" si="624"/>
        <v>0</v>
      </c>
      <c r="Q9992" s="31" t="str">
        <f t="shared" si="625"/>
        <v/>
      </c>
      <c r="R9992" s="32" t="str">
        <f>IFERROR(VLOOKUP($D9992,'Informations sur les produits'!$A$3:$B$15000,2,FALSE),"")</f>
        <v/>
      </c>
      <c r="V9992">
        <f t="shared" si="626"/>
        <v>0</v>
      </c>
      <c r="W9992">
        <f t="shared" si="627"/>
        <v>0</v>
      </c>
    </row>
    <row r="9993" spans="5:23" x14ac:dyDescent="0.25">
      <c r="E9993" s="4"/>
      <c r="F9993" s="4"/>
      <c r="G9993" s="33" t="str">
        <f>IFERROR(VLOOKUP($D9993,'Informations sur les produits'!$A$3:$H$10000,8,FALSE),"0")</f>
        <v>0</v>
      </c>
      <c r="K9993" s="4"/>
      <c r="L9993" s="33" t="str">
        <f>IFERROR(VLOOKUP($J9993,'Informations sur les produits'!$A$3:$H$10000,8,FALSE),"0")</f>
        <v>0</v>
      </c>
      <c r="N9993" s="8"/>
      <c r="O9993" s="33" t="str">
        <f>IFERROR(VLOOKUP($M9993,'Informations sur les produits'!$A$3:$H$10000,8,FALSE),"0")</f>
        <v>0</v>
      </c>
      <c r="P9993" s="33">
        <f t="shared" si="624"/>
        <v>0</v>
      </c>
      <c r="Q9993" s="31" t="str">
        <f t="shared" si="625"/>
        <v/>
      </c>
      <c r="R9993" s="32" t="str">
        <f>IFERROR(VLOOKUP($D9993,'Informations sur les produits'!$A$3:$B$15000,2,FALSE),"")</f>
        <v/>
      </c>
      <c r="V9993">
        <f t="shared" si="626"/>
        <v>0</v>
      </c>
      <c r="W9993">
        <f t="shared" si="627"/>
        <v>0</v>
      </c>
    </row>
    <row r="9994" spans="5:23" x14ac:dyDescent="0.25">
      <c r="E9994" s="4"/>
      <c r="F9994" s="4"/>
      <c r="G9994" s="33" t="str">
        <f>IFERROR(VLOOKUP($D9994,'Informations sur les produits'!$A$3:$H$10000,8,FALSE),"0")</f>
        <v>0</v>
      </c>
      <c r="K9994" s="4"/>
      <c r="L9994" s="33" t="str">
        <f>IFERROR(VLOOKUP($J9994,'Informations sur les produits'!$A$3:$H$10000,8,FALSE),"0")</f>
        <v>0</v>
      </c>
      <c r="N9994" s="8"/>
      <c r="O9994" s="33" t="str">
        <f>IFERROR(VLOOKUP($M9994,'Informations sur les produits'!$A$3:$H$10000,8,FALSE),"0")</f>
        <v>0</v>
      </c>
      <c r="P9994" s="33">
        <f t="shared" si="624"/>
        <v>0</v>
      </c>
      <c r="Q9994" s="31" t="str">
        <f t="shared" si="625"/>
        <v/>
      </c>
      <c r="R9994" s="32" t="str">
        <f>IFERROR(VLOOKUP($D9994,'Informations sur les produits'!$A$3:$B$15000,2,FALSE),"")</f>
        <v/>
      </c>
      <c r="V9994">
        <f t="shared" si="626"/>
        <v>0</v>
      </c>
      <c r="W9994">
        <f t="shared" si="627"/>
        <v>0</v>
      </c>
    </row>
    <row r="9995" spans="5:23" x14ac:dyDescent="0.25">
      <c r="E9995" s="4"/>
      <c r="F9995" s="4"/>
      <c r="G9995" s="33" t="str">
        <f>IFERROR(VLOOKUP($D9995,'Informations sur les produits'!$A$3:$H$10000,8,FALSE),"0")</f>
        <v>0</v>
      </c>
      <c r="K9995" s="4"/>
      <c r="L9995" s="33" t="str">
        <f>IFERROR(VLOOKUP($J9995,'Informations sur les produits'!$A$3:$H$10000,8,FALSE),"0")</f>
        <v>0</v>
      </c>
      <c r="N9995" s="8"/>
      <c r="O9995" s="33" t="str">
        <f>IFERROR(VLOOKUP($M9995,'Informations sur les produits'!$A$3:$H$10000,8,FALSE),"0")</f>
        <v>0</v>
      </c>
      <c r="P9995" s="33">
        <f t="shared" si="624"/>
        <v>0</v>
      </c>
      <c r="Q9995" s="31" t="str">
        <f t="shared" si="625"/>
        <v/>
      </c>
      <c r="R9995" s="32" t="str">
        <f>IFERROR(VLOOKUP($D9995,'Informations sur les produits'!$A$3:$B$15000,2,FALSE),"")</f>
        <v/>
      </c>
      <c r="V9995">
        <f t="shared" si="626"/>
        <v>0</v>
      </c>
      <c r="W9995">
        <f t="shared" si="627"/>
        <v>0</v>
      </c>
    </row>
    <row r="9996" spans="5:23" x14ac:dyDescent="0.25">
      <c r="E9996" s="4"/>
      <c r="F9996" s="4"/>
      <c r="G9996" s="33" t="str">
        <f>IFERROR(VLOOKUP($D9996,'Informations sur les produits'!$A$3:$H$10000,8,FALSE),"0")</f>
        <v>0</v>
      </c>
      <c r="K9996" s="4"/>
      <c r="L9996" s="33" t="str">
        <f>IFERROR(VLOOKUP($J9996,'Informations sur les produits'!$A$3:$H$10000,8,FALSE),"0")</f>
        <v>0</v>
      </c>
      <c r="N9996" s="8"/>
      <c r="O9996" s="33" t="str">
        <f>IFERROR(VLOOKUP($M9996,'Informations sur les produits'!$A$3:$H$10000,8,FALSE),"0")</f>
        <v>0</v>
      </c>
      <c r="P9996" s="33">
        <f t="shared" si="624"/>
        <v>0</v>
      </c>
      <c r="Q9996" s="31" t="str">
        <f t="shared" si="625"/>
        <v/>
      </c>
      <c r="R9996" s="32" t="str">
        <f>IFERROR(VLOOKUP($D9996,'Informations sur les produits'!$A$3:$B$15000,2,FALSE),"")</f>
        <v/>
      </c>
      <c r="V9996">
        <f t="shared" si="626"/>
        <v>0</v>
      </c>
      <c r="W9996">
        <f t="shared" si="627"/>
        <v>0</v>
      </c>
    </row>
    <row r="9997" spans="5:23" x14ac:dyDescent="0.25">
      <c r="E9997" s="4"/>
      <c r="F9997" s="4"/>
      <c r="G9997" s="33" t="str">
        <f>IFERROR(VLOOKUP($D9997,'Informations sur les produits'!$A$3:$H$10000,8,FALSE),"0")</f>
        <v>0</v>
      </c>
      <c r="K9997" s="4"/>
      <c r="L9997" s="33" t="str">
        <f>IFERROR(VLOOKUP($J9997,'Informations sur les produits'!$A$3:$H$10000,8,FALSE),"0")</f>
        <v>0</v>
      </c>
      <c r="N9997" s="8"/>
      <c r="O9997" s="33" t="str">
        <f>IFERROR(VLOOKUP($M9997,'Informations sur les produits'!$A$3:$H$10000,8,FALSE),"0")</f>
        <v>0</v>
      </c>
      <c r="P9997" s="33">
        <f t="shared" si="624"/>
        <v>0</v>
      </c>
      <c r="Q9997" s="31" t="str">
        <f t="shared" si="625"/>
        <v/>
      </c>
      <c r="R9997" s="32" t="str">
        <f>IFERROR(VLOOKUP($D9997,'Informations sur les produits'!$A$3:$B$15000,2,FALSE),"")</f>
        <v/>
      </c>
      <c r="V9997">
        <f t="shared" si="626"/>
        <v>0</v>
      </c>
      <c r="W9997">
        <f t="shared" si="627"/>
        <v>0</v>
      </c>
    </row>
    <row r="9998" spans="5:23" x14ac:dyDescent="0.25">
      <c r="E9998" s="4"/>
      <c r="F9998" s="4"/>
      <c r="G9998" s="33" t="str">
        <f>IFERROR(VLOOKUP($D9998,'Informations sur les produits'!$A$3:$H$10000,8,FALSE),"0")</f>
        <v>0</v>
      </c>
      <c r="K9998" s="4"/>
      <c r="L9998" s="33" t="str">
        <f>IFERROR(VLOOKUP($J9998,'Informations sur les produits'!$A$3:$H$10000,8,FALSE),"0")</f>
        <v>0</v>
      </c>
      <c r="N9998" s="8"/>
      <c r="O9998" s="33" t="str">
        <f>IFERROR(VLOOKUP($M9998,'Informations sur les produits'!$A$3:$H$10000,8,FALSE),"0")</f>
        <v>0</v>
      </c>
      <c r="P9998" s="33">
        <f t="shared" si="624"/>
        <v>0</v>
      </c>
      <c r="Q9998" s="31" t="str">
        <f t="shared" si="625"/>
        <v/>
      </c>
      <c r="R9998" s="32" t="str">
        <f>IFERROR(VLOOKUP($D9998,'Informations sur les produits'!$A$3:$B$15000,2,FALSE),"")</f>
        <v/>
      </c>
      <c r="V9998">
        <f t="shared" si="626"/>
        <v>0</v>
      </c>
      <c r="W9998">
        <f t="shared" si="627"/>
        <v>0</v>
      </c>
    </row>
    <row r="9999" spans="5:23" x14ac:dyDescent="0.25">
      <c r="E9999" s="4"/>
      <c r="F9999" s="4"/>
      <c r="G9999" s="33" t="str">
        <f>IFERROR(VLOOKUP($D9999,'Informations sur les produits'!$A$3:$H$10000,8,FALSE),"0")</f>
        <v>0</v>
      </c>
      <c r="K9999" s="4"/>
      <c r="L9999" s="33" t="str">
        <f>IFERROR(VLOOKUP($J9999,'Informations sur les produits'!$A$3:$H$10000,8,FALSE),"0")</f>
        <v>0</v>
      </c>
      <c r="N9999" s="8"/>
      <c r="O9999" s="33" t="str">
        <f>IFERROR(VLOOKUP($M9999,'Informations sur les produits'!$A$3:$H$10000,8,FALSE),"0")</f>
        <v>0</v>
      </c>
      <c r="P9999" s="33">
        <f t="shared" si="624"/>
        <v>0</v>
      </c>
      <c r="Q9999" s="31" t="str">
        <f t="shared" si="625"/>
        <v/>
      </c>
      <c r="R9999" s="32" t="str">
        <f>IFERROR(VLOOKUP($D9999,'Informations sur les produits'!$A$3:$B$15000,2,FALSE),"")</f>
        <v/>
      </c>
      <c r="V9999">
        <f t="shared" si="626"/>
        <v>0</v>
      </c>
      <c r="W9999">
        <f t="shared" si="627"/>
        <v>0</v>
      </c>
    </row>
    <row r="10000" spans="5:23" x14ac:dyDescent="0.25">
      <c r="E10000" s="4"/>
      <c r="F10000" s="4"/>
      <c r="G10000" s="33" t="str">
        <f>IFERROR(VLOOKUP($D10000,'Informations sur les produits'!$A$3:$H$10000,8,FALSE),"0")</f>
        <v>0</v>
      </c>
      <c r="K10000" s="4"/>
      <c r="L10000" s="33" t="str">
        <f>IFERROR(VLOOKUP($J10000,'Informations sur les produits'!$A$3:$H$10000,8,FALSE),"0")</f>
        <v>0</v>
      </c>
      <c r="N10000" s="8"/>
      <c r="O10000" s="33" t="str">
        <f>IFERROR(VLOOKUP($M10000,'Informations sur les produits'!$A$3:$H$10000,8,FALSE),"0")</f>
        <v>0</v>
      </c>
      <c r="P10000" s="33">
        <f t="shared" si="624"/>
        <v>0</v>
      </c>
      <c r="Q10000" s="31" t="str">
        <f t="shared" si="625"/>
        <v/>
      </c>
      <c r="R10000" s="32" t="str">
        <f>IFERROR(VLOOKUP($D10000,'Informations sur les produits'!$A$3:$B$15000,2,FALSE),"")</f>
        <v/>
      </c>
      <c r="V10000">
        <f t="shared" si="626"/>
        <v>0</v>
      </c>
      <c r="W10000">
        <f t="shared" si="627"/>
        <v>0</v>
      </c>
    </row>
    <row r="10001" spans="5:23" x14ac:dyDescent="0.25">
      <c r="E10001" s="4"/>
      <c r="F10001" s="4"/>
      <c r="G10001" s="33" t="str">
        <f>IFERROR(VLOOKUP($D10001,'Informations sur les produits'!$A$3:$H$10000,8,FALSE),"0")</f>
        <v>0</v>
      </c>
      <c r="K10001" s="4"/>
      <c r="L10001" s="33" t="str">
        <f>IFERROR(VLOOKUP($J10001,'Informations sur les produits'!$A$3:$H$10000,8,FALSE),"0")</f>
        <v>0</v>
      </c>
      <c r="N10001" s="8"/>
      <c r="O10001" s="33" t="str">
        <f>IFERROR(VLOOKUP($M10001,'Informations sur les produits'!$A$3:$H$10000,8,FALSE),"0")</f>
        <v>0</v>
      </c>
      <c r="P10001" s="33">
        <f t="shared" si="624"/>
        <v>0</v>
      </c>
      <c r="Q10001" s="31" t="str">
        <f t="shared" si="625"/>
        <v/>
      </c>
      <c r="R10001" s="32" t="str">
        <f>IFERROR(VLOOKUP($D10001,'Informations sur les produits'!$A$3:$B$15000,2,FALSE),"")</f>
        <v/>
      </c>
      <c r="V10001">
        <f t="shared" si="626"/>
        <v>0</v>
      </c>
      <c r="W10001">
        <f t="shared" si="627"/>
        <v>0</v>
      </c>
    </row>
    <row r="10002" spans="5:23" x14ac:dyDescent="0.25">
      <c r="E10002" s="4"/>
      <c r="F10002" s="4"/>
      <c r="G10002" s="33" t="str">
        <f>IFERROR(VLOOKUP($D10002,'Informations sur les produits'!$A$3:$H$10000,8,FALSE),"0")</f>
        <v>0</v>
      </c>
      <c r="K10002" s="4"/>
      <c r="L10002" s="33" t="str">
        <f>IFERROR(VLOOKUP($J10002,'Informations sur les produits'!$A$3:$H$10000,8,FALSE),"0")</f>
        <v>0</v>
      </c>
      <c r="N10002" s="8"/>
      <c r="O10002" s="33" t="str">
        <f>IFERROR(VLOOKUP($M10002,'Informations sur les produits'!$A$3:$H$10000,8,FALSE),"0")</f>
        <v>0</v>
      </c>
      <c r="P10002" s="33">
        <f t="shared" si="624"/>
        <v>0</v>
      </c>
      <c r="Q10002" s="31" t="str">
        <f t="shared" si="625"/>
        <v/>
      </c>
      <c r="R10002" s="32" t="str">
        <f>IFERROR(VLOOKUP($D10002,'Informations sur les produits'!$A$3:$B$15000,2,FALSE),"")</f>
        <v/>
      </c>
      <c r="V10002">
        <f t="shared" si="626"/>
        <v>0</v>
      </c>
      <c r="W10002">
        <f t="shared" si="627"/>
        <v>0</v>
      </c>
    </row>
    <row r="10003" spans="5:23" x14ac:dyDescent="0.25">
      <c r="E10003" s="4"/>
      <c r="F10003" s="4"/>
      <c r="G10003" s="33" t="str">
        <f>IFERROR(VLOOKUP($D10003,'Informations sur les produits'!$A$3:$H$10000,8,FALSE),"0")</f>
        <v>0</v>
      </c>
      <c r="K10003" s="4"/>
      <c r="L10003" s="33" t="str">
        <f>IFERROR(VLOOKUP($J10003,'Informations sur les produits'!$A$3:$H$10000,8,FALSE),"0")</f>
        <v>0</v>
      </c>
      <c r="N10003" s="8"/>
      <c r="O10003" s="33" t="str">
        <f>IFERROR(VLOOKUP($M10003,'Informations sur les produits'!$A$3:$H$10000,8,FALSE),"0")</f>
        <v>0</v>
      </c>
      <c r="P10003" s="33">
        <f t="shared" si="624"/>
        <v>0</v>
      </c>
      <c r="Q10003" s="31" t="str">
        <f t="shared" si="625"/>
        <v/>
      </c>
      <c r="R10003" s="32" t="str">
        <f>IFERROR(VLOOKUP($D10003,'Informations sur les produits'!$A$3:$B$15000,2,FALSE),"")</f>
        <v/>
      </c>
      <c r="V10003">
        <f t="shared" si="626"/>
        <v>0</v>
      </c>
      <c r="W10003">
        <f t="shared" si="627"/>
        <v>0</v>
      </c>
    </row>
    <row r="10004" spans="5:23" x14ac:dyDescent="0.25">
      <c r="E10004" s="4"/>
      <c r="F10004" s="4"/>
      <c r="G10004" s="33" t="str">
        <f>IFERROR(VLOOKUP($D10004,'Informations sur les produits'!$A$3:$H$10000,8,FALSE),"0")</f>
        <v>0</v>
      </c>
      <c r="K10004" s="4"/>
      <c r="L10004" s="33" t="str">
        <f>IFERROR(VLOOKUP($J10004,'Informations sur les produits'!$A$3:$H$10000,8,FALSE),"0")</f>
        <v>0</v>
      </c>
      <c r="N10004" s="8"/>
      <c r="O10004" s="33" t="str">
        <f>IFERROR(VLOOKUP($M10004,'Informations sur les produits'!$A$3:$H$10000,8,FALSE),"0")</f>
        <v>0</v>
      </c>
      <c r="P10004" s="33">
        <f t="shared" si="624"/>
        <v>0</v>
      </c>
      <c r="Q10004" s="31" t="str">
        <f t="shared" si="625"/>
        <v/>
      </c>
      <c r="R10004" s="32" t="str">
        <f>IFERROR(VLOOKUP($D10004,'Informations sur les produits'!$A$3:$B$15000,2,FALSE),"")</f>
        <v/>
      </c>
      <c r="V10004">
        <f t="shared" si="626"/>
        <v>0</v>
      </c>
      <c r="W10004">
        <f t="shared" si="627"/>
        <v>0</v>
      </c>
    </row>
    <row r="10005" spans="5:23" x14ac:dyDescent="0.25">
      <c r="E10005" s="4"/>
      <c r="F10005" s="4"/>
      <c r="G10005" s="33" t="str">
        <f>IFERROR(VLOOKUP($D10005,'Informations sur les produits'!$A$3:$H$10000,8,FALSE),"0")</f>
        <v>0</v>
      </c>
      <c r="K10005" s="4"/>
      <c r="L10005" s="33" t="str">
        <f>IFERROR(VLOOKUP($J10005,'Informations sur les produits'!$A$3:$H$10000,8,FALSE),"0")</f>
        <v>0</v>
      </c>
      <c r="N10005" s="8"/>
      <c r="O10005" s="33" t="str">
        <f>IFERROR(VLOOKUP($M10005,'Informations sur les produits'!$A$3:$H$10000,8,FALSE),"0")</f>
        <v>0</v>
      </c>
      <c r="P10005" s="33">
        <f t="shared" si="624"/>
        <v>0</v>
      </c>
      <c r="Q10005" s="31" t="str">
        <f t="shared" si="625"/>
        <v/>
      </c>
      <c r="R10005" s="32" t="str">
        <f>IFERROR(VLOOKUP($D10005,'Informations sur les produits'!$A$3:$B$15000,2,FALSE),"")</f>
        <v/>
      </c>
      <c r="V10005">
        <f t="shared" si="626"/>
        <v>0</v>
      </c>
      <c r="W10005">
        <f t="shared" si="627"/>
        <v>0</v>
      </c>
    </row>
    <row r="10006" spans="5:23" x14ac:dyDescent="0.25">
      <c r="E10006" s="4"/>
      <c r="F10006" s="4"/>
      <c r="G10006" s="33" t="str">
        <f>IFERROR(VLOOKUP($D10006,'Informations sur les produits'!$A$3:$H$10000,8,FALSE),"0")</f>
        <v>0</v>
      </c>
      <c r="K10006" s="4"/>
      <c r="L10006" s="33" t="str">
        <f>IFERROR(VLOOKUP($J10006,'Informations sur les produits'!$A$3:$H$10000,8,FALSE),"0")</f>
        <v>0</v>
      </c>
      <c r="N10006" s="8"/>
      <c r="O10006" s="33" t="str">
        <f>IFERROR(VLOOKUP($M10006,'Informations sur les produits'!$A$3:$H$10000,8,FALSE),"0")</f>
        <v>0</v>
      </c>
      <c r="P10006" s="33">
        <f t="shared" si="624"/>
        <v>0</v>
      </c>
      <c r="Q10006" s="31" t="str">
        <f t="shared" si="625"/>
        <v/>
      </c>
      <c r="R10006" s="32" t="str">
        <f>IFERROR(VLOOKUP($D10006,'Informations sur les produits'!$A$3:$B$15000,2,FALSE),"")</f>
        <v/>
      </c>
      <c r="V10006">
        <f t="shared" si="626"/>
        <v>0</v>
      </c>
      <c r="W10006">
        <f t="shared" si="627"/>
        <v>0</v>
      </c>
    </row>
    <row r="10007" spans="5:23" x14ac:dyDescent="0.25">
      <c r="E10007" s="4"/>
      <c r="F10007" s="4"/>
      <c r="G10007" s="33" t="str">
        <f>IFERROR(VLOOKUP($D10007,'Informations sur les produits'!$A$3:$H$10000,8,FALSE),"0")</f>
        <v>0</v>
      </c>
      <c r="K10007" s="4"/>
      <c r="L10007" s="33" t="str">
        <f>IFERROR(VLOOKUP($J10007,'Informations sur les produits'!$A$3:$H$10000,8,FALSE),"0")</f>
        <v>0</v>
      </c>
      <c r="N10007" s="8"/>
      <c r="O10007" s="33" t="str">
        <f>IFERROR(VLOOKUP($M10007,'Informations sur les produits'!$A$3:$H$10000,8,FALSE),"0")</f>
        <v>0</v>
      </c>
      <c r="P10007" s="33">
        <f t="shared" si="624"/>
        <v>0</v>
      </c>
      <c r="Q10007" s="31" t="str">
        <f t="shared" si="625"/>
        <v/>
      </c>
      <c r="R10007" s="32" t="str">
        <f>IFERROR(VLOOKUP($D10007,'Informations sur les produits'!$A$3:$B$15000,2,FALSE),"")</f>
        <v/>
      </c>
      <c r="V10007">
        <f t="shared" si="626"/>
        <v>0</v>
      </c>
      <c r="W10007">
        <f t="shared" si="627"/>
        <v>0</v>
      </c>
    </row>
    <row r="10008" spans="5:23" x14ac:dyDescent="0.25">
      <c r="E10008" s="4"/>
      <c r="F10008" s="4"/>
      <c r="G10008" s="33" t="str">
        <f>IFERROR(VLOOKUP($D10008,'Informations sur les produits'!$A$3:$H$10000,8,FALSE),"0")</f>
        <v>0</v>
      </c>
      <c r="K10008" s="4"/>
      <c r="L10008" s="33" t="str">
        <f>IFERROR(VLOOKUP($J10008,'Informations sur les produits'!$A$3:$H$10000,8,FALSE),"0")</f>
        <v>0</v>
      </c>
      <c r="N10008" s="8"/>
      <c r="O10008" s="33" t="str">
        <f>IFERROR(VLOOKUP($M10008,'Informations sur les produits'!$A$3:$H$10000,8,FALSE),"0")</f>
        <v>0</v>
      </c>
      <c r="P10008" s="33">
        <f t="shared" si="624"/>
        <v>0</v>
      </c>
      <c r="Q10008" s="31" t="str">
        <f t="shared" si="625"/>
        <v/>
      </c>
      <c r="R10008" s="32" t="str">
        <f>IFERROR(VLOOKUP($D10008,'Informations sur les produits'!$A$3:$B$15000,2,FALSE),"")</f>
        <v/>
      </c>
      <c r="V10008">
        <f t="shared" si="626"/>
        <v>0</v>
      </c>
      <c r="W10008">
        <f t="shared" si="627"/>
        <v>0</v>
      </c>
    </row>
    <row r="10009" spans="5:23" x14ac:dyDescent="0.25">
      <c r="E10009" s="4"/>
      <c r="F10009" s="4"/>
      <c r="G10009" s="33" t="str">
        <f>IFERROR(VLOOKUP($D10009,'Informations sur les produits'!$A$3:$H$10000,8,FALSE),"0")</f>
        <v>0</v>
      </c>
      <c r="K10009" s="4"/>
      <c r="L10009" s="33" t="str">
        <f>IFERROR(VLOOKUP($J10009,'Informations sur les produits'!$A$3:$H$10000,8,FALSE),"0")</f>
        <v>0</v>
      </c>
      <c r="N10009" s="8"/>
      <c r="O10009" s="33" t="str">
        <f>IFERROR(VLOOKUP($M10009,'Informations sur les produits'!$A$3:$H$10000,8,FALSE),"0")</f>
        <v>0</v>
      </c>
      <c r="P10009" s="33">
        <f t="shared" si="624"/>
        <v>0</v>
      </c>
      <c r="Q10009" s="31" t="str">
        <f t="shared" si="625"/>
        <v/>
      </c>
      <c r="R10009" s="32" t="str">
        <f>IFERROR(VLOOKUP($D10009,'Informations sur les produits'!$A$3:$B$15000,2,FALSE),"")</f>
        <v/>
      </c>
      <c r="V10009">
        <f t="shared" si="626"/>
        <v>0</v>
      </c>
      <c r="W10009">
        <f t="shared" si="627"/>
        <v>0</v>
      </c>
    </row>
    <row r="10010" spans="5:23" x14ac:dyDescent="0.25">
      <c r="E10010" s="4"/>
      <c r="F10010" s="4"/>
      <c r="G10010" s="33" t="str">
        <f>IFERROR(VLOOKUP($D10010,'Informations sur les produits'!$A$3:$H$10000,8,FALSE),"0")</f>
        <v>0</v>
      </c>
      <c r="K10010" s="4"/>
      <c r="L10010" s="33" t="str">
        <f>IFERROR(VLOOKUP($J10010,'Informations sur les produits'!$A$3:$H$10000,8,FALSE),"0")</f>
        <v>0</v>
      </c>
      <c r="N10010" s="8"/>
      <c r="O10010" s="33" t="str">
        <f>IFERROR(VLOOKUP($M10010,'Informations sur les produits'!$A$3:$H$10000,8,FALSE),"0")</f>
        <v>0</v>
      </c>
      <c r="P10010" s="33">
        <f t="shared" si="624"/>
        <v>0</v>
      </c>
      <c r="Q10010" s="31" t="str">
        <f t="shared" si="625"/>
        <v/>
      </c>
      <c r="R10010" s="32" t="str">
        <f>IFERROR(VLOOKUP($D10010,'Informations sur les produits'!$A$3:$B$15000,2,FALSE),"")</f>
        <v/>
      </c>
      <c r="V10010">
        <f t="shared" si="626"/>
        <v>0</v>
      </c>
      <c r="W10010">
        <f t="shared" si="627"/>
        <v>0</v>
      </c>
    </row>
    <row r="10011" spans="5:23" x14ac:dyDescent="0.25">
      <c r="E10011" s="4"/>
      <c r="F10011" s="4"/>
      <c r="G10011" s="33" t="str">
        <f>IFERROR(VLOOKUP($D10011,'Informations sur les produits'!$A$3:$H$10000,8,FALSE),"0")</f>
        <v>0</v>
      </c>
      <c r="K10011" s="4"/>
      <c r="L10011" s="33" t="str">
        <f>IFERROR(VLOOKUP($J10011,'Informations sur les produits'!$A$3:$H$10000,8,FALSE),"0")</f>
        <v>0</v>
      </c>
      <c r="N10011" s="8"/>
      <c r="O10011" s="33" t="str">
        <f>IFERROR(VLOOKUP($M10011,'Informations sur les produits'!$A$3:$H$10000,8,FALSE),"0")</f>
        <v>0</v>
      </c>
      <c r="P10011" s="33">
        <f t="shared" si="624"/>
        <v>0</v>
      </c>
      <c r="Q10011" s="31" t="str">
        <f t="shared" si="625"/>
        <v/>
      </c>
      <c r="R10011" s="32" t="str">
        <f>IFERROR(VLOOKUP($D10011,'Informations sur les produits'!$A$3:$B$15000,2,FALSE),"")</f>
        <v/>
      </c>
      <c r="V10011">
        <f t="shared" si="626"/>
        <v>0</v>
      </c>
      <c r="W10011">
        <f t="shared" si="627"/>
        <v>0</v>
      </c>
    </row>
    <row r="10012" spans="5:23" x14ac:dyDescent="0.25">
      <c r="E10012" s="4"/>
      <c r="F10012" s="4"/>
      <c r="G10012" s="33" t="str">
        <f>IFERROR(VLOOKUP($D10012,'Informations sur les produits'!$A$3:$H$10000,8,FALSE),"0")</f>
        <v>0</v>
      </c>
      <c r="K10012" s="4"/>
      <c r="L10012" s="33" t="str">
        <f>IFERROR(VLOOKUP($J10012,'Informations sur les produits'!$A$3:$H$10000,8,FALSE),"0")</f>
        <v>0</v>
      </c>
      <c r="N10012" s="8"/>
      <c r="O10012" s="33" t="str">
        <f>IFERROR(VLOOKUP($M10012,'Informations sur les produits'!$A$3:$H$10000,8,FALSE),"0")</f>
        <v>0</v>
      </c>
      <c r="P10012" s="33">
        <f t="shared" si="624"/>
        <v>0</v>
      </c>
      <c r="Q10012" s="31" t="str">
        <f t="shared" si="625"/>
        <v/>
      </c>
      <c r="R10012" s="32" t="str">
        <f>IFERROR(VLOOKUP($D10012,'Informations sur les produits'!$A$3:$B$15000,2,FALSE),"")</f>
        <v/>
      </c>
      <c r="V10012">
        <f t="shared" si="626"/>
        <v>0</v>
      </c>
      <c r="W10012">
        <f t="shared" si="627"/>
        <v>0</v>
      </c>
    </row>
    <row r="10013" spans="5:23" x14ac:dyDescent="0.25">
      <c r="E10013" s="4"/>
      <c r="F10013" s="4"/>
      <c r="G10013" s="33" t="str">
        <f>IFERROR(VLOOKUP($D10013,'Informations sur les produits'!$A$3:$H$10000,8,FALSE),"0")</f>
        <v>0</v>
      </c>
      <c r="K10013" s="4"/>
      <c r="L10013" s="33" t="str">
        <f>IFERROR(VLOOKUP($J10013,'Informations sur les produits'!$A$3:$H$10000,8,FALSE),"0")</f>
        <v>0</v>
      </c>
      <c r="N10013" s="8"/>
      <c r="O10013" s="33" t="str">
        <f>IFERROR(VLOOKUP($M10013,'Informations sur les produits'!$A$3:$H$10000,8,FALSE),"0")</f>
        <v>0</v>
      </c>
      <c r="P10013" s="33">
        <f t="shared" si="624"/>
        <v>0</v>
      </c>
      <c r="Q10013" s="31" t="str">
        <f t="shared" si="625"/>
        <v/>
      </c>
      <c r="R10013" s="32" t="str">
        <f>IFERROR(VLOOKUP($D10013,'Informations sur les produits'!$A$3:$B$15000,2,FALSE),"")</f>
        <v/>
      </c>
      <c r="V10013">
        <f t="shared" si="626"/>
        <v>0</v>
      </c>
      <c r="W10013">
        <f t="shared" si="627"/>
        <v>0</v>
      </c>
    </row>
    <row r="10014" spans="5:23" x14ac:dyDescent="0.25">
      <c r="E10014" s="4"/>
      <c r="F10014" s="4"/>
      <c r="G10014" s="33" t="str">
        <f>IFERROR(VLOOKUP($D10014,'Informations sur les produits'!$A$3:$H$10000,8,FALSE),"0")</f>
        <v>0</v>
      </c>
      <c r="K10014" s="4"/>
      <c r="L10014" s="33" t="str">
        <f>IFERROR(VLOOKUP($J10014,'Informations sur les produits'!$A$3:$H$10000,8,FALSE),"0")</f>
        <v>0</v>
      </c>
      <c r="N10014" s="8"/>
      <c r="O10014" s="33" t="str">
        <f>IFERROR(VLOOKUP($M10014,'Informations sur les produits'!$A$3:$H$10000,8,FALSE),"0")</f>
        <v>0</v>
      </c>
      <c r="P10014" s="33">
        <f t="shared" si="624"/>
        <v>0</v>
      </c>
      <c r="Q10014" s="31" t="str">
        <f t="shared" si="625"/>
        <v/>
      </c>
      <c r="R10014" s="32" t="str">
        <f>IFERROR(VLOOKUP($D10014,'Informations sur les produits'!$A$3:$B$15000,2,FALSE),"")</f>
        <v/>
      </c>
      <c r="V10014">
        <f t="shared" si="626"/>
        <v>0</v>
      </c>
      <c r="W10014">
        <f t="shared" si="627"/>
        <v>0</v>
      </c>
    </row>
    <row r="10015" spans="5:23" x14ac:dyDescent="0.25">
      <c r="E10015" s="4"/>
      <c r="F10015" s="4"/>
      <c r="G10015" s="33" t="str">
        <f>IFERROR(VLOOKUP($D10015,'Informations sur les produits'!$A$3:$H$10000,8,FALSE),"0")</f>
        <v>0</v>
      </c>
      <c r="K10015" s="4"/>
      <c r="L10015" s="33" t="str">
        <f>IFERROR(VLOOKUP($J10015,'Informations sur les produits'!$A$3:$H$10000,8,FALSE),"0")</f>
        <v>0</v>
      </c>
      <c r="N10015" s="8"/>
      <c r="O10015" s="33" t="str">
        <f>IFERROR(VLOOKUP($M10015,'Informations sur les produits'!$A$3:$H$10000,8,FALSE),"0")</f>
        <v>0</v>
      </c>
      <c r="P10015" s="33">
        <f t="shared" si="624"/>
        <v>0</v>
      </c>
      <c r="Q10015" s="31" t="str">
        <f t="shared" si="625"/>
        <v/>
      </c>
      <c r="R10015" s="32" t="str">
        <f>IFERROR(VLOOKUP($D10015,'Informations sur les produits'!$A$3:$B$15000,2,FALSE),"")</f>
        <v/>
      </c>
      <c r="V10015">
        <f t="shared" si="626"/>
        <v>0</v>
      </c>
      <c r="W10015">
        <f t="shared" si="627"/>
        <v>0</v>
      </c>
    </row>
    <row r="10016" spans="5:23" x14ac:dyDescent="0.25">
      <c r="E10016" s="4"/>
      <c r="F10016" s="4"/>
      <c r="G10016" s="33" t="str">
        <f>IFERROR(VLOOKUP($D10016,'Informations sur les produits'!$A$3:$H$10000,8,FALSE),"0")</f>
        <v>0</v>
      </c>
      <c r="K10016" s="4"/>
      <c r="L10016" s="33" t="str">
        <f>IFERROR(VLOOKUP($J10016,'Informations sur les produits'!$A$3:$H$10000,8,FALSE),"0")</f>
        <v>0</v>
      </c>
      <c r="N10016" s="8"/>
      <c r="O10016" s="33" t="str">
        <f>IFERROR(VLOOKUP($M10016,'Informations sur les produits'!$A$3:$H$10000,8,FALSE),"0")</f>
        <v>0</v>
      </c>
      <c r="P10016" s="33">
        <f t="shared" si="624"/>
        <v>0</v>
      </c>
      <c r="Q10016" s="31" t="str">
        <f t="shared" si="625"/>
        <v/>
      </c>
      <c r="R10016" s="32" t="str">
        <f>IFERROR(VLOOKUP($D10016,'Informations sur les produits'!$A$3:$B$15000,2,FALSE),"")</f>
        <v/>
      </c>
      <c r="V10016">
        <f t="shared" si="626"/>
        <v>0</v>
      </c>
      <c r="W10016">
        <f t="shared" si="627"/>
        <v>0</v>
      </c>
    </row>
    <row r="10017" spans="5:23" x14ac:dyDescent="0.25">
      <c r="E10017" s="4"/>
      <c r="F10017" s="4"/>
      <c r="G10017" s="33" t="str">
        <f>IFERROR(VLOOKUP($D10017,'Informations sur les produits'!$A$3:$H$10000,8,FALSE),"0")</f>
        <v>0</v>
      </c>
      <c r="K10017" s="4"/>
      <c r="L10017" s="33" t="str">
        <f>IFERROR(VLOOKUP($J10017,'Informations sur les produits'!$A$3:$H$10000,8,FALSE),"0")</f>
        <v>0</v>
      </c>
      <c r="N10017" s="8"/>
      <c r="O10017" s="33" t="str">
        <f>IFERROR(VLOOKUP($M10017,'Informations sur les produits'!$A$3:$H$10000,8,FALSE),"0")</f>
        <v>0</v>
      </c>
      <c r="P10017" s="33">
        <f t="shared" si="624"/>
        <v>0</v>
      </c>
      <c r="Q10017" s="31" t="str">
        <f t="shared" si="625"/>
        <v/>
      </c>
      <c r="R10017" s="32" t="str">
        <f>IFERROR(VLOOKUP($D10017,'Informations sur les produits'!$A$3:$B$15000,2,FALSE),"")</f>
        <v/>
      </c>
      <c r="V10017">
        <f t="shared" si="626"/>
        <v>0</v>
      </c>
      <c r="W10017">
        <f t="shared" si="627"/>
        <v>0</v>
      </c>
    </row>
    <row r="10018" spans="5:23" x14ac:dyDescent="0.25">
      <c r="E10018" s="4"/>
      <c r="F10018" s="4"/>
      <c r="G10018" s="33" t="str">
        <f>IFERROR(VLOOKUP($D10018,'Informations sur les produits'!$A$3:$H$10000,8,FALSE),"0")</f>
        <v>0</v>
      </c>
      <c r="K10018" s="4"/>
      <c r="L10018" s="33" t="str">
        <f>IFERROR(VLOOKUP($J10018,'Informations sur les produits'!$A$3:$H$10000,8,FALSE),"0")</f>
        <v>0</v>
      </c>
      <c r="N10018" s="8"/>
      <c r="O10018" s="33" t="str">
        <f>IFERROR(VLOOKUP($M10018,'Informations sur les produits'!$A$3:$H$10000,8,FALSE),"0")</f>
        <v>0</v>
      </c>
      <c r="P10018" s="33">
        <f t="shared" si="624"/>
        <v>0</v>
      </c>
      <c r="Q10018" s="31" t="str">
        <f t="shared" si="625"/>
        <v/>
      </c>
      <c r="R10018" s="32" t="str">
        <f>IFERROR(VLOOKUP($D10018,'Informations sur les produits'!$A$3:$B$15000,2,FALSE),"")</f>
        <v/>
      </c>
      <c r="V10018">
        <f t="shared" si="626"/>
        <v>0</v>
      </c>
      <c r="W10018">
        <f t="shared" si="627"/>
        <v>0</v>
      </c>
    </row>
    <row r="10019" spans="5:23" x14ac:dyDescent="0.25">
      <c r="E10019" s="4"/>
      <c r="F10019" s="4"/>
      <c r="G10019" s="33" t="str">
        <f>IFERROR(VLOOKUP($D10019,'Informations sur les produits'!$A$3:$H$10000,8,FALSE),"0")</f>
        <v>0</v>
      </c>
      <c r="K10019" s="4"/>
      <c r="L10019" s="33" t="str">
        <f>IFERROR(VLOOKUP($J10019,'Informations sur les produits'!$A$3:$H$10000,8,FALSE),"0")</f>
        <v>0</v>
      </c>
      <c r="N10019" s="8"/>
      <c r="O10019" s="33" t="str">
        <f>IFERROR(VLOOKUP($M10019,'Informations sur les produits'!$A$3:$H$10000,8,FALSE),"0")</f>
        <v>0</v>
      </c>
      <c r="P10019" s="33">
        <f t="shared" si="624"/>
        <v>0</v>
      </c>
      <c r="Q10019" s="31" t="str">
        <f t="shared" si="625"/>
        <v/>
      </c>
      <c r="R10019" s="32" t="str">
        <f>IFERROR(VLOOKUP($D10019,'Informations sur les produits'!$A$3:$B$15000,2,FALSE),"")</f>
        <v/>
      </c>
      <c r="V10019">
        <f t="shared" si="626"/>
        <v>0</v>
      </c>
      <c r="W10019">
        <f t="shared" si="627"/>
        <v>0</v>
      </c>
    </row>
    <row r="10020" spans="5:23" x14ac:dyDescent="0.25">
      <c r="E10020" s="4"/>
      <c r="F10020" s="4"/>
      <c r="G10020" s="33" t="str">
        <f>IFERROR(VLOOKUP($D10020,'Informations sur les produits'!$A$3:$H$10000,8,FALSE),"0")</f>
        <v>0</v>
      </c>
      <c r="K10020" s="4"/>
      <c r="L10020" s="33" t="str">
        <f>IFERROR(VLOOKUP($J10020,'Informations sur les produits'!$A$3:$H$10000,8,FALSE),"0")</f>
        <v>0</v>
      </c>
      <c r="N10020" s="8"/>
      <c r="O10020" s="33" t="str">
        <f>IFERROR(VLOOKUP($M10020,'Informations sur les produits'!$A$3:$H$10000,8,FALSE),"0")</f>
        <v>0</v>
      </c>
      <c r="P10020" s="33">
        <f t="shared" si="624"/>
        <v>0</v>
      </c>
      <c r="Q10020" s="31" t="str">
        <f t="shared" si="625"/>
        <v/>
      </c>
      <c r="R10020" s="32" t="str">
        <f>IFERROR(VLOOKUP($D10020,'Informations sur les produits'!$A$3:$B$15000,2,FALSE),"")</f>
        <v/>
      </c>
      <c r="V10020">
        <f t="shared" si="626"/>
        <v>0</v>
      </c>
      <c r="W10020">
        <f t="shared" si="627"/>
        <v>0</v>
      </c>
    </row>
    <row r="10021" spans="5:23" x14ac:dyDescent="0.25">
      <c r="E10021" s="4"/>
      <c r="F10021" s="4"/>
      <c r="G10021" s="33" t="str">
        <f>IFERROR(VLOOKUP($D10021,'Informations sur les produits'!$A$3:$H$10000,8,FALSE),"0")</f>
        <v>0</v>
      </c>
      <c r="K10021" s="4"/>
      <c r="L10021" s="33" t="str">
        <f>IFERROR(VLOOKUP($J10021,'Informations sur les produits'!$A$3:$H$10000,8,FALSE),"0")</f>
        <v>0</v>
      </c>
      <c r="N10021" s="8"/>
      <c r="O10021" s="33" t="str">
        <f>IFERROR(VLOOKUP($M10021,'Informations sur les produits'!$A$3:$H$10000,8,FALSE),"0")</f>
        <v>0</v>
      </c>
      <c r="P10021" s="33">
        <f t="shared" si="624"/>
        <v>0</v>
      </c>
      <c r="Q10021" s="31" t="str">
        <f t="shared" si="625"/>
        <v/>
      </c>
      <c r="R10021" s="32" t="str">
        <f>IFERROR(VLOOKUP($D10021,'Informations sur les produits'!$A$3:$B$15000,2,FALSE),"")</f>
        <v/>
      </c>
      <c r="V10021">
        <f t="shared" si="626"/>
        <v>0</v>
      </c>
      <c r="W10021">
        <f t="shared" si="627"/>
        <v>0</v>
      </c>
    </row>
    <row r="10022" spans="5:23" x14ac:dyDescent="0.25">
      <c r="E10022" s="4"/>
      <c r="F10022" s="4"/>
      <c r="G10022" s="33" t="str">
        <f>IFERROR(VLOOKUP($D10022,'Informations sur les produits'!$A$3:$H$10000,8,FALSE),"0")</f>
        <v>0</v>
      </c>
      <c r="K10022" s="4"/>
      <c r="L10022" s="33" t="str">
        <f>IFERROR(VLOOKUP($J10022,'Informations sur les produits'!$A$3:$H$10000,8,FALSE),"0")</f>
        <v>0</v>
      </c>
      <c r="N10022" s="8"/>
      <c r="O10022" s="33" t="str">
        <f>IFERROR(VLOOKUP($M10022,'Informations sur les produits'!$A$3:$H$10000,8,FALSE),"0")</f>
        <v>0</v>
      </c>
      <c r="P10022" s="33">
        <f t="shared" si="624"/>
        <v>0</v>
      </c>
      <c r="Q10022" s="31" t="str">
        <f t="shared" si="625"/>
        <v/>
      </c>
      <c r="R10022" s="32" t="str">
        <f>IFERROR(VLOOKUP($D10022,'Informations sur les produits'!$A$3:$B$15000,2,FALSE),"")</f>
        <v/>
      </c>
      <c r="V10022">
        <f t="shared" si="626"/>
        <v>0</v>
      </c>
      <c r="W10022">
        <f t="shared" si="627"/>
        <v>0</v>
      </c>
    </row>
    <row r="10023" spans="5:23" x14ac:dyDescent="0.25">
      <c r="E10023" s="4"/>
      <c r="F10023" s="4"/>
      <c r="G10023" s="33" t="str">
        <f>IFERROR(VLOOKUP($D10023,'Informations sur les produits'!$A$3:$H$10000,8,FALSE),"0")</f>
        <v>0</v>
      </c>
      <c r="K10023" s="4"/>
      <c r="L10023" s="33" t="str">
        <f>IFERROR(VLOOKUP($J10023,'Informations sur les produits'!$A$3:$H$10000,8,FALSE),"0")</f>
        <v>0</v>
      </c>
      <c r="N10023" s="8"/>
      <c r="O10023" s="33" t="str">
        <f>IFERROR(VLOOKUP($M10023,'Informations sur les produits'!$A$3:$H$10000,8,FALSE),"0")</f>
        <v>0</v>
      </c>
      <c r="P10023" s="33">
        <f t="shared" si="624"/>
        <v>0</v>
      </c>
      <c r="Q10023" s="31" t="str">
        <f t="shared" si="625"/>
        <v/>
      </c>
      <c r="R10023" s="32" t="str">
        <f>IFERROR(VLOOKUP($D10023,'Informations sur les produits'!$A$3:$B$15000,2,FALSE),"")</f>
        <v/>
      </c>
      <c r="V10023">
        <f t="shared" si="626"/>
        <v>0</v>
      </c>
      <c r="W10023">
        <f t="shared" si="627"/>
        <v>0</v>
      </c>
    </row>
    <row r="10024" spans="5:23" x14ac:dyDescent="0.25">
      <c r="E10024" s="4"/>
      <c r="F10024" s="4"/>
      <c r="G10024" s="33" t="str">
        <f>IFERROR(VLOOKUP($D10024,'Informations sur les produits'!$A$3:$H$10000,8,FALSE),"0")</f>
        <v>0</v>
      </c>
      <c r="K10024" s="4"/>
      <c r="L10024" s="33" t="str">
        <f>IFERROR(VLOOKUP($J10024,'Informations sur les produits'!$A$3:$H$10000,8,FALSE),"0")</f>
        <v>0</v>
      </c>
      <c r="N10024" s="8"/>
      <c r="O10024" s="33" t="str">
        <f>IFERROR(VLOOKUP($M10024,'Informations sur les produits'!$A$3:$H$10000,8,FALSE),"0")</f>
        <v>0</v>
      </c>
      <c r="P10024" s="33">
        <f t="shared" si="624"/>
        <v>0</v>
      </c>
      <c r="Q10024" s="31" t="str">
        <f t="shared" si="625"/>
        <v/>
      </c>
      <c r="R10024" s="32" t="str">
        <f>IFERROR(VLOOKUP($D10024,'Informations sur les produits'!$A$3:$B$15000,2,FALSE),"")</f>
        <v/>
      </c>
      <c r="V10024">
        <f t="shared" si="626"/>
        <v>0</v>
      </c>
      <c r="W10024">
        <f t="shared" si="627"/>
        <v>0</v>
      </c>
    </row>
    <row r="10025" spans="5:23" x14ac:dyDescent="0.25">
      <c r="E10025" s="4"/>
      <c r="F10025" s="4"/>
      <c r="G10025" s="33" t="str">
        <f>IFERROR(VLOOKUP($D10025,'Informations sur les produits'!$A$3:$H$10000,8,FALSE),"0")</f>
        <v>0</v>
      </c>
      <c r="K10025" s="4"/>
      <c r="L10025" s="33" t="str">
        <f>IFERROR(VLOOKUP($J10025,'Informations sur les produits'!$A$3:$H$10000,8,FALSE),"0")</f>
        <v>0</v>
      </c>
      <c r="N10025" s="8"/>
      <c r="O10025" s="33" t="str">
        <f>IFERROR(VLOOKUP($M10025,'Informations sur les produits'!$A$3:$H$10000,8,FALSE),"0")</f>
        <v>0</v>
      </c>
      <c r="P10025" s="33">
        <f t="shared" si="624"/>
        <v>0</v>
      </c>
      <c r="Q10025" s="31" t="str">
        <f t="shared" si="625"/>
        <v/>
      </c>
      <c r="R10025" s="32" t="str">
        <f>IFERROR(VLOOKUP($D10025,'Informations sur les produits'!$A$3:$B$15000,2,FALSE),"")</f>
        <v/>
      </c>
      <c r="V10025">
        <f t="shared" si="626"/>
        <v>0</v>
      </c>
      <c r="W10025">
        <f t="shared" si="627"/>
        <v>0</v>
      </c>
    </row>
    <row r="10026" spans="5:23" x14ac:dyDescent="0.25">
      <c r="E10026" s="4"/>
      <c r="F10026" s="4"/>
      <c r="G10026" s="33" t="str">
        <f>IFERROR(VLOOKUP($D10026,'Informations sur les produits'!$A$3:$H$10000,8,FALSE),"0")</f>
        <v>0</v>
      </c>
      <c r="K10026" s="4"/>
      <c r="L10026" s="33" t="str">
        <f>IFERROR(VLOOKUP($J10026,'Informations sur les produits'!$A$3:$H$10000,8,FALSE),"0")</f>
        <v>0</v>
      </c>
      <c r="N10026" s="8"/>
      <c r="O10026" s="33" t="str">
        <f>IFERROR(VLOOKUP($M10026,'Informations sur les produits'!$A$3:$H$10000,8,FALSE),"0")</f>
        <v>0</v>
      </c>
      <c r="P10026" s="33">
        <f t="shared" si="624"/>
        <v>0</v>
      </c>
      <c r="Q10026" s="31" t="str">
        <f t="shared" si="625"/>
        <v/>
      </c>
      <c r="R10026" s="32" t="str">
        <f>IFERROR(VLOOKUP($D10026,'Informations sur les produits'!$A$3:$B$15000,2,FALSE),"")</f>
        <v/>
      </c>
      <c r="V10026">
        <f t="shared" si="626"/>
        <v>0</v>
      </c>
      <c r="W10026">
        <f t="shared" si="627"/>
        <v>0</v>
      </c>
    </row>
    <row r="10027" spans="5:23" x14ac:dyDescent="0.25">
      <c r="E10027" s="4"/>
      <c r="F10027" s="4"/>
      <c r="G10027" s="33" t="str">
        <f>IFERROR(VLOOKUP($D10027,'Informations sur les produits'!$A$3:$H$10000,8,FALSE),"0")</f>
        <v>0</v>
      </c>
      <c r="K10027" s="4"/>
      <c r="L10027" s="33" t="str">
        <f>IFERROR(VLOOKUP($J10027,'Informations sur les produits'!$A$3:$H$10000,8,FALSE),"0")</f>
        <v>0</v>
      </c>
      <c r="N10027" s="8"/>
      <c r="O10027" s="33" t="str">
        <f>IFERROR(VLOOKUP($M10027,'Informations sur les produits'!$A$3:$H$10000,8,FALSE),"0")</f>
        <v>0</v>
      </c>
      <c r="P10027" s="33">
        <f t="shared" si="624"/>
        <v>0</v>
      </c>
      <c r="Q10027" s="31" t="str">
        <f t="shared" si="625"/>
        <v/>
      </c>
      <c r="R10027" s="32" t="str">
        <f>IFERROR(VLOOKUP($D10027,'Informations sur les produits'!$A$3:$B$15000,2,FALSE),"")</f>
        <v/>
      </c>
      <c r="V10027">
        <f t="shared" si="626"/>
        <v>0</v>
      </c>
      <c r="W10027">
        <f t="shared" si="627"/>
        <v>0</v>
      </c>
    </row>
    <row r="10028" spans="5:23" x14ac:dyDescent="0.25">
      <c r="E10028" s="4"/>
      <c r="F10028" s="4"/>
      <c r="G10028" s="33" t="str">
        <f>IFERROR(VLOOKUP($D10028,'Informations sur les produits'!$A$3:$H$10000,8,FALSE),"0")</f>
        <v>0</v>
      </c>
      <c r="K10028" s="4"/>
      <c r="L10028" s="33" t="str">
        <f>IFERROR(VLOOKUP($J10028,'Informations sur les produits'!$A$3:$H$10000,8,FALSE),"0")</f>
        <v>0</v>
      </c>
      <c r="N10028" s="8"/>
      <c r="O10028" s="33" t="str">
        <f>IFERROR(VLOOKUP($M10028,'Informations sur les produits'!$A$3:$H$10000,8,FALSE),"0")</f>
        <v>0</v>
      </c>
      <c r="P10028" s="33">
        <f t="shared" si="624"/>
        <v>0</v>
      </c>
      <c r="Q10028" s="31" t="str">
        <f t="shared" si="625"/>
        <v/>
      </c>
      <c r="R10028" s="32" t="str">
        <f>IFERROR(VLOOKUP($D10028,'Informations sur les produits'!$A$3:$B$15000,2,FALSE),"")</f>
        <v/>
      </c>
      <c r="V10028">
        <f t="shared" si="626"/>
        <v>0</v>
      </c>
      <c r="W10028">
        <f t="shared" si="627"/>
        <v>0</v>
      </c>
    </row>
    <row r="10029" spans="5:23" x14ac:dyDescent="0.25">
      <c r="E10029" s="4"/>
      <c r="F10029" s="4"/>
      <c r="G10029" s="33" t="str">
        <f>IFERROR(VLOOKUP($D10029,'Informations sur les produits'!$A$3:$H$10000,8,FALSE),"0")</f>
        <v>0</v>
      </c>
      <c r="K10029" s="4"/>
      <c r="L10029" s="33" t="str">
        <f>IFERROR(VLOOKUP($J10029,'Informations sur les produits'!$A$3:$H$10000,8,FALSE),"0")</f>
        <v>0</v>
      </c>
      <c r="N10029" s="8"/>
      <c r="O10029" s="33" t="str">
        <f>IFERROR(VLOOKUP($M10029,'Informations sur les produits'!$A$3:$H$10000,8,FALSE),"0")</f>
        <v>0</v>
      </c>
      <c r="P10029" s="33">
        <f t="shared" si="624"/>
        <v>0</v>
      </c>
      <c r="Q10029" s="31" t="str">
        <f t="shared" si="625"/>
        <v/>
      </c>
      <c r="R10029" s="32" t="str">
        <f>IFERROR(VLOOKUP($D10029,'Informations sur les produits'!$A$3:$B$15000,2,FALSE),"")</f>
        <v/>
      </c>
      <c r="V10029">
        <f t="shared" si="626"/>
        <v>0</v>
      </c>
      <c r="W10029">
        <f t="shared" si="627"/>
        <v>0</v>
      </c>
    </row>
    <row r="10030" spans="5:23" x14ac:dyDescent="0.25">
      <c r="E10030" s="4"/>
      <c r="F10030" s="4"/>
      <c r="G10030" s="33" t="str">
        <f>IFERROR(VLOOKUP($D10030,'Informations sur les produits'!$A$3:$H$10000,8,FALSE),"0")</f>
        <v>0</v>
      </c>
      <c r="K10030" s="4"/>
      <c r="L10030" s="33" t="str">
        <f>IFERROR(VLOOKUP($J10030,'Informations sur les produits'!$A$3:$H$10000,8,FALSE),"0")</f>
        <v>0</v>
      </c>
      <c r="N10030" s="8"/>
      <c r="O10030" s="33" t="str">
        <f>IFERROR(VLOOKUP($M10030,'Informations sur les produits'!$A$3:$H$10000,8,FALSE),"0")</f>
        <v>0</v>
      </c>
      <c r="P10030" s="33">
        <f t="shared" si="624"/>
        <v>0</v>
      </c>
      <c r="Q10030" s="31" t="str">
        <f t="shared" si="625"/>
        <v/>
      </c>
      <c r="R10030" s="32" t="str">
        <f>IFERROR(VLOOKUP($D10030,'Informations sur les produits'!$A$3:$B$15000,2,FALSE),"")</f>
        <v/>
      </c>
      <c r="V10030">
        <f t="shared" si="626"/>
        <v>0</v>
      </c>
      <c r="W10030">
        <f t="shared" si="627"/>
        <v>0</v>
      </c>
    </row>
    <row r="10031" spans="5:23" x14ac:dyDescent="0.25">
      <c r="E10031" s="4"/>
      <c r="F10031" s="4"/>
      <c r="G10031" s="33" t="str">
        <f>IFERROR(VLOOKUP($D10031,'Informations sur les produits'!$A$3:$H$10000,8,FALSE),"0")</f>
        <v>0</v>
      </c>
      <c r="K10031" s="4"/>
      <c r="L10031" s="33" t="str">
        <f>IFERROR(VLOOKUP($J10031,'Informations sur les produits'!$A$3:$H$10000,8,FALSE),"0")</f>
        <v>0</v>
      </c>
      <c r="N10031" s="8"/>
      <c r="O10031" s="33" t="str">
        <f>IFERROR(VLOOKUP($M10031,'Informations sur les produits'!$A$3:$H$10000,8,FALSE),"0")</f>
        <v>0</v>
      </c>
      <c r="P10031" s="33">
        <f t="shared" si="624"/>
        <v>0</v>
      </c>
      <c r="Q10031" s="31" t="str">
        <f t="shared" si="625"/>
        <v/>
      </c>
      <c r="R10031" s="32" t="str">
        <f>IFERROR(VLOOKUP($D10031,'Informations sur les produits'!$A$3:$B$15000,2,FALSE),"")</f>
        <v/>
      </c>
      <c r="V10031">
        <f t="shared" si="626"/>
        <v>0</v>
      </c>
      <c r="W10031">
        <f t="shared" si="627"/>
        <v>0</v>
      </c>
    </row>
    <row r="10032" spans="5:23" x14ac:dyDescent="0.25">
      <c r="E10032" s="4"/>
      <c r="F10032" s="4"/>
      <c r="G10032" s="33" t="str">
        <f>IFERROR(VLOOKUP($D10032,'Informations sur les produits'!$A$3:$H$10000,8,FALSE),"0")</f>
        <v>0</v>
      </c>
      <c r="K10032" s="4"/>
      <c r="L10032" s="33" t="str">
        <f>IFERROR(VLOOKUP($J10032,'Informations sur les produits'!$A$3:$H$10000,8,FALSE),"0")</f>
        <v>0</v>
      </c>
      <c r="N10032" s="8"/>
      <c r="O10032" s="33" t="str">
        <f>IFERROR(VLOOKUP($M10032,'Informations sur les produits'!$A$3:$H$10000,8,FALSE),"0")</f>
        <v>0</v>
      </c>
      <c r="P10032" s="33">
        <f t="shared" si="624"/>
        <v>0</v>
      </c>
      <c r="Q10032" s="31" t="str">
        <f t="shared" si="625"/>
        <v/>
      </c>
      <c r="R10032" s="32" t="str">
        <f>IFERROR(VLOOKUP($D10032,'Informations sur les produits'!$A$3:$B$15000,2,FALSE),"")</f>
        <v/>
      </c>
      <c r="V10032">
        <f t="shared" si="626"/>
        <v>0</v>
      </c>
      <c r="W10032">
        <f t="shared" si="627"/>
        <v>0</v>
      </c>
    </row>
    <row r="10033" spans="5:23" x14ac:dyDescent="0.25">
      <c r="E10033" s="4"/>
      <c r="F10033" s="4"/>
      <c r="G10033" s="33" t="str">
        <f>IFERROR(VLOOKUP($D10033,'Informations sur les produits'!$A$3:$H$10000,8,FALSE),"0")</f>
        <v>0</v>
      </c>
      <c r="K10033" s="4"/>
      <c r="L10033" s="33" t="str">
        <f>IFERROR(VLOOKUP($J10033,'Informations sur les produits'!$A$3:$H$10000,8,FALSE),"0")</f>
        <v>0</v>
      </c>
      <c r="N10033" s="8"/>
      <c r="O10033" s="33" t="str">
        <f>IFERROR(VLOOKUP($M10033,'Informations sur les produits'!$A$3:$H$10000,8,FALSE),"0")</f>
        <v>0</v>
      </c>
      <c r="P10033" s="33">
        <f t="shared" si="624"/>
        <v>0</v>
      </c>
      <c r="Q10033" s="31" t="str">
        <f t="shared" si="625"/>
        <v/>
      </c>
      <c r="R10033" s="32" t="str">
        <f>IFERROR(VLOOKUP($D10033,'Informations sur les produits'!$A$3:$B$15000,2,FALSE),"")</f>
        <v/>
      </c>
      <c r="V10033">
        <f t="shared" si="626"/>
        <v>0</v>
      </c>
      <c r="W10033">
        <f t="shared" si="627"/>
        <v>0</v>
      </c>
    </row>
    <row r="10034" spans="5:23" x14ac:dyDescent="0.25">
      <c r="E10034" s="4"/>
      <c r="F10034" s="4"/>
      <c r="G10034" s="33" t="str">
        <f>IFERROR(VLOOKUP($D10034,'Informations sur les produits'!$A$3:$H$10000,8,FALSE),"0")</f>
        <v>0</v>
      </c>
      <c r="K10034" s="4"/>
      <c r="L10034" s="33" t="str">
        <f>IFERROR(VLOOKUP($J10034,'Informations sur les produits'!$A$3:$H$10000,8,FALSE),"0")</f>
        <v>0</v>
      </c>
      <c r="N10034" s="8"/>
      <c r="O10034" s="33" t="str">
        <f>IFERROR(VLOOKUP($M10034,'Informations sur les produits'!$A$3:$H$10000,8,FALSE),"0")</f>
        <v>0</v>
      </c>
      <c r="P10034" s="33">
        <f t="shared" si="624"/>
        <v>0</v>
      </c>
      <c r="Q10034" s="31" t="str">
        <f t="shared" si="625"/>
        <v/>
      </c>
      <c r="R10034" s="32" t="str">
        <f>IFERROR(VLOOKUP($D10034,'Informations sur les produits'!$A$3:$B$15000,2,FALSE),"")</f>
        <v/>
      </c>
      <c r="V10034">
        <f t="shared" si="626"/>
        <v>0</v>
      </c>
      <c r="W10034">
        <f t="shared" si="627"/>
        <v>0</v>
      </c>
    </row>
    <row r="10035" spans="5:23" x14ac:dyDescent="0.25">
      <c r="E10035" s="4"/>
      <c r="F10035" s="4"/>
      <c r="G10035" s="33" t="str">
        <f>IFERROR(VLOOKUP($D10035,'Informations sur les produits'!$A$3:$H$10000,8,FALSE),"0")</f>
        <v>0</v>
      </c>
      <c r="K10035" s="4"/>
      <c r="L10035" s="33" t="str">
        <f>IFERROR(VLOOKUP($J10035,'Informations sur les produits'!$A$3:$H$10000,8,FALSE),"0")</f>
        <v>0</v>
      </c>
      <c r="N10035" s="8"/>
      <c r="O10035" s="33" t="str">
        <f>IFERROR(VLOOKUP($M10035,'Informations sur les produits'!$A$3:$H$10000,8,FALSE),"0")</f>
        <v>0</v>
      </c>
      <c r="P10035" s="33">
        <f t="shared" si="624"/>
        <v>0</v>
      </c>
      <c r="Q10035" s="31" t="str">
        <f t="shared" si="625"/>
        <v/>
      </c>
      <c r="R10035" s="32" t="str">
        <f>IFERROR(VLOOKUP($D10035,'Informations sur les produits'!$A$3:$B$15000,2,FALSE),"")</f>
        <v/>
      </c>
      <c r="V10035">
        <f t="shared" si="626"/>
        <v>0</v>
      </c>
      <c r="W10035">
        <f t="shared" si="627"/>
        <v>0</v>
      </c>
    </row>
    <row r="10036" spans="5:23" x14ac:dyDescent="0.25">
      <c r="E10036" s="4"/>
      <c r="F10036" s="4"/>
      <c r="G10036" s="33" t="str">
        <f>IFERROR(VLOOKUP($D10036,'Informations sur les produits'!$A$3:$H$10000,8,FALSE),"0")</f>
        <v>0</v>
      </c>
      <c r="K10036" s="4"/>
      <c r="L10036" s="33" t="str">
        <f>IFERROR(VLOOKUP($J10036,'Informations sur les produits'!$A$3:$H$10000,8,FALSE),"0")</f>
        <v>0</v>
      </c>
      <c r="N10036" s="8"/>
      <c r="O10036" s="33" t="str">
        <f>IFERROR(VLOOKUP($M10036,'Informations sur les produits'!$A$3:$H$10000,8,FALSE),"0")</f>
        <v>0</v>
      </c>
      <c r="P10036" s="33">
        <f t="shared" si="624"/>
        <v>0</v>
      </c>
      <c r="Q10036" s="31" t="str">
        <f t="shared" si="625"/>
        <v/>
      </c>
      <c r="R10036" s="32" t="str">
        <f>IFERROR(VLOOKUP($D10036,'Informations sur les produits'!$A$3:$B$15000,2,FALSE),"")</f>
        <v/>
      </c>
      <c r="V10036">
        <f t="shared" si="626"/>
        <v>0</v>
      </c>
      <c r="W10036">
        <f t="shared" si="627"/>
        <v>0</v>
      </c>
    </row>
    <row r="10037" spans="5:23" x14ac:dyDescent="0.25">
      <c r="E10037" s="4"/>
      <c r="F10037" s="4"/>
      <c r="G10037" s="33" t="str">
        <f>IFERROR(VLOOKUP($D10037,'Informations sur les produits'!$A$3:$H$10000,8,FALSE),"0")</f>
        <v>0</v>
      </c>
      <c r="K10037" s="4"/>
      <c r="L10037" s="33" t="str">
        <f>IFERROR(VLOOKUP($J10037,'Informations sur les produits'!$A$3:$H$10000,8,FALSE),"0")</f>
        <v>0</v>
      </c>
      <c r="N10037" s="8"/>
      <c r="O10037" s="33" t="str">
        <f>IFERROR(VLOOKUP($M10037,'Informations sur les produits'!$A$3:$H$10000,8,FALSE),"0")</f>
        <v>0</v>
      </c>
      <c r="P10037" s="33">
        <f t="shared" si="624"/>
        <v>0</v>
      </c>
      <c r="Q10037" s="31" t="str">
        <f t="shared" si="625"/>
        <v/>
      </c>
      <c r="R10037" s="32" t="str">
        <f>IFERROR(VLOOKUP($D10037,'Informations sur les produits'!$A$3:$B$15000,2,FALSE),"")</f>
        <v/>
      </c>
      <c r="V10037">
        <f t="shared" si="626"/>
        <v>0</v>
      </c>
      <c r="W10037">
        <f t="shared" si="627"/>
        <v>0</v>
      </c>
    </row>
    <row r="10038" spans="5:23" x14ac:dyDescent="0.25">
      <c r="E10038" s="4"/>
      <c r="F10038" s="4"/>
      <c r="G10038" s="33" t="str">
        <f>IFERROR(VLOOKUP($D10038,'Informations sur les produits'!$A$3:$H$10000,8,FALSE),"0")</f>
        <v>0</v>
      </c>
      <c r="K10038" s="4"/>
      <c r="L10038" s="33" t="str">
        <f>IFERROR(VLOOKUP($J10038,'Informations sur les produits'!$A$3:$H$10000,8,FALSE),"0")</f>
        <v>0</v>
      </c>
      <c r="N10038" s="8"/>
      <c r="O10038" s="33" t="str">
        <f>IFERROR(VLOOKUP($M10038,'Informations sur les produits'!$A$3:$H$10000,8,FALSE),"0")</f>
        <v>0</v>
      </c>
      <c r="P10038" s="33">
        <f t="shared" si="624"/>
        <v>0</v>
      </c>
      <c r="Q10038" s="31" t="str">
        <f t="shared" si="625"/>
        <v/>
      </c>
      <c r="R10038" s="32" t="str">
        <f>IFERROR(VLOOKUP($D10038,'Informations sur les produits'!$A$3:$B$15000,2,FALSE),"")</f>
        <v/>
      </c>
      <c r="V10038">
        <f t="shared" si="626"/>
        <v>0</v>
      </c>
      <c r="W10038">
        <f t="shared" si="627"/>
        <v>0</v>
      </c>
    </row>
    <row r="10039" spans="5:23" x14ac:dyDescent="0.25">
      <c r="E10039" s="4"/>
      <c r="F10039" s="4"/>
      <c r="G10039" s="33" t="str">
        <f>IFERROR(VLOOKUP($D10039,'Informations sur les produits'!$A$3:$H$10000,8,FALSE),"0")</f>
        <v>0</v>
      </c>
      <c r="K10039" s="4"/>
      <c r="L10039" s="33" t="str">
        <f>IFERROR(VLOOKUP($J10039,'Informations sur les produits'!$A$3:$H$10000,8,FALSE),"0")</f>
        <v>0</v>
      </c>
      <c r="N10039" s="8"/>
      <c r="O10039" s="33" t="str">
        <f>IFERROR(VLOOKUP($M10039,'Informations sur les produits'!$A$3:$H$10000,8,FALSE),"0")</f>
        <v>0</v>
      </c>
      <c r="P10039" s="33">
        <f t="shared" si="624"/>
        <v>0</v>
      </c>
      <c r="Q10039" s="31" t="str">
        <f t="shared" si="625"/>
        <v/>
      </c>
      <c r="R10039" s="32" t="str">
        <f>IFERROR(VLOOKUP($D10039,'Informations sur les produits'!$A$3:$B$15000,2,FALSE),"")</f>
        <v/>
      </c>
      <c r="V10039">
        <f t="shared" si="626"/>
        <v>0</v>
      </c>
      <c r="W10039">
        <f t="shared" si="627"/>
        <v>0</v>
      </c>
    </row>
    <row r="10040" spans="5:23" x14ac:dyDescent="0.25">
      <c r="E10040" s="4"/>
      <c r="F10040" s="4"/>
      <c r="G10040" s="33" t="str">
        <f>IFERROR(VLOOKUP($D10040,'Informations sur les produits'!$A$3:$H$10000,8,FALSE),"0")</f>
        <v>0</v>
      </c>
      <c r="K10040" s="4"/>
      <c r="L10040" s="33" t="str">
        <f>IFERROR(VLOOKUP($J10040,'Informations sur les produits'!$A$3:$H$10000,8,FALSE),"0")</f>
        <v>0</v>
      </c>
      <c r="N10040" s="8"/>
      <c r="O10040" s="33" t="str">
        <f>IFERROR(VLOOKUP($M10040,'Informations sur les produits'!$A$3:$H$10000,8,FALSE),"0")</f>
        <v>0</v>
      </c>
      <c r="P10040" s="33">
        <f t="shared" si="624"/>
        <v>0</v>
      </c>
      <c r="Q10040" s="31" t="str">
        <f t="shared" si="625"/>
        <v/>
      </c>
      <c r="R10040" s="32" t="str">
        <f>IFERROR(VLOOKUP($D10040,'Informations sur les produits'!$A$3:$B$15000,2,FALSE),"")</f>
        <v/>
      </c>
      <c r="V10040">
        <f t="shared" si="626"/>
        <v>0</v>
      </c>
      <c r="W10040">
        <f t="shared" si="627"/>
        <v>0</v>
      </c>
    </row>
    <row r="10041" spans="5:23" x14ac:dyDescent="0.25">
      <c r="E10041" s="4"/>
      <c r="F10041" s="4"/>
      <c r="G10041" s="33" t="str">
        <f>IFERROR(VLOOKUP($D10041,'Informations sur les produits'!$A$3:$H$10000,8,FALSE),"0")</f>
        <v>0</v>
      </c>
      <c r="K10041" s="4"/>
      <c r="L10041" s="33" t="str">
        <f>IFERROR(VLOOKUP($J10041,'Informations sur les produits'!$A$3:$H$10000,8,FALSE),"0")</f>
        <v>0</v>
      </c>
      <c r="N10041" s="8"/>
      <c r="O10041" s="33" t="str">
        <f>IFERROR(VLOOKUP($M10041,'Informations sur les produits'!$A$3:$H$10000,8,FALSE),"0")</f>
        <v>0</v>
      </c>
      <c r="P10041" s="33">
        <f t="shared" si="624"/>
        <v>0</v>
      </c>
      <c r="Q10041" s="31" t="str">
        <f t="shared" si="625"/>
        <v/>
      </c>
      <c r="R10041" s="32" t="str">
        <f>IFERROR(VLOOKUP($D10041,'Informations sur les produits'!$A$3:$B$15000,2,FALSE),"")</f>
        <v/>
      </c>
      <c r="V10041">
        <f t="shared" si="626"/>
        <v>0</v>
      </c>
      <c r="W10041">
        <f t="shared" si="627"/>
        <v>0</v>
      </c>
    </row>
    <row r="10042" spans="5:23" x14ac:dyDescent="0.25">
      <c r="E10042" s="4"/>
      <c r="F10042" s="4"/>
      <c r="G10042" s="33" t="str">
        <f>IFERROR(VLOOKUP($D10042,'Informations sur les produits'!$A$3:$H$10000,8,FALSE),"0")</f>
        <v>0</v>
      </c>
      <c r="K10042" s="4"/>
      <c r="L10042" s="33" t="str">
        <f>IFERROR(VLOOKUP($J10042,'Informations sur les produits'!$A$3:$H$10000,8,FALSE),"0")</f>
        <v>0</v>
      </c>
      <c r="N10042" s="8"/>
      <c r="O10042" s="33" t="str">
        <f>IFERROR(VLOOKUP($M10042,'Informations sur les produits'!$A$3:$H$10000,8,FALSE),"0")</f>
        <v>0</v>
      </c>
      <c r="P10042" s="33">
        <f t="shared" si="624"/>
        <v>0</v>
      </c>
      <c r="Q10042" s="31" t="str">
        <f t="shared" si="625"/>
        <v/>
      </c>
      <c r="R10042" s="32" t="str">
        <f>IFERROR(VLOOKUP($D10042,'Informations sur les produits'!$A$3:$B$15000,2,FALSE),"")</f>
        <v/>
      </c>
      <c r="V10042">
        <f t="shared" si="626"/>
        <v>0</v>
      </c>
      <c r="W10042">
        <f t="shared" si="627"/>
        <v>0</v>
      </c>
    </row>
    <row r="10043" spans="5:23" x14ac:dyDescent="0.25">
      <c r="E10043" s="4"/>
      <c r="F10043" s="4"/>
      <c r="G10043" s="33" t="str">
        <f>IFERROR(VLOOKUP($D10043,'Informations sur les produits'!$A$3:$H$10000,8,FALSE),"0")</f>
        <v>0</v>
      </c>
      <c r="K10043" s="4"/>
      <c r="L10043" s="33" t="str">
        <f>IFERROR(VLOOKUP($J10043,'Informations sur les produits'!$A$3:$H$10000,8,FALSE),"0")</f>
        <v>0</v>
      </c>
      <c r="N10043" s="8"/>
      <c r="O10043" s="33" t="str">
        <f>IFERROR(VLOOKUP($M10043,'Informations sur les produits'!$A$3:$H$10000,8,FALSE),"0")</f>
        <v>0</v>
      </c>
      <c r="P10043" s="33">
        <f t="shared" si="624"/>
        <v>0</v>
      </c>
      <c r="Q10043" s="31" t="str">
        <f t="shared" si="625"/>
        <v/>
      </c>
      <c r="R10043" s="32" t="str">
        <f>IFERROR(VLOOKUP($D10043,'Informations sur les produits'!$A$3:$B$15000,2,FALSE),"")</f>
        <v/>
      </c>
      <c r="V10043">
        <f t="shared" si="626"/>
        <v>0</v>
      </c>
      <c r="W10043">
        <f t="shared" si="627"/>
        <v>0</v>
      </c>
    </row>
    <row r="10044" spans="5:23" x14ac:dyDescent="0.25">
      <c r="E10044" s="4"/>
      <c r="F10044" s="4"/>
      <c r="G10044" s="33" t="str">
        <f>IFERROR(VLOOKUP($D10044,'Informations sur les produits'!$A$3:$H$10000,8,FALSE),"0")</f>
        <v>0</v>
      </c>
      <c r="K10044" s="4"/>
      <c r="L10044" s="33" t="str">
        <f>IFERROR(VLOOKUP($J10044,'Informations sur les produits'!$A$3:$H$10000,8,FALSE),"0")</f>
        <v>0</v>
      </c>
      <c r="N10044" s="8"/>
      <c r="O10044" s="33" t="str">
        <f>IFERROR(VLOOKUP($M10044,'Informations sur les produits'!$A$3:$H$10000,8,FALSE),"0")</f>
        <v>0</v>
      </c>
      <c r="P10044" s="33">
        <f t="shared" si="624"/>
        <v>0</v>
      </c>
      <c r="Q10044" s="31" t="str">
        <f t="shared" si="625"/>
        <v/>
      </c>
      <c r="R10044" s="32" t="str">
        <f>IFERROR(VLOOKUP($D10044,'Informations sur les produits'!$A$3:$B$15000,2,FALSE),"")</f>
        <v/>
      </c>
      <c r="V10044">
        <f t="shared" si="626"/>
        <v>0</v>
      </c>
      <c r="W10044">
        <f t="shared" si="627"/>
        <v>0</v>
      </c>
    </row>
    <row r="10045" spans="5:23" x14ac:dyDescent="0.25">
      <c r="E10045" s="4"/>
      <c r="F10045" s="4"/>
      <c r="G10045" s="33" t="str">
        <f>IFERROR(VLOOKUP($D10045,'Informations sur les produits'!$A$3:$H$10000,8,FALSE),"0")</f>
        <v>0</v>
      </c>
      <c r="K10045" s="4"/>
      <c r="L10045" s="33" t="str">
        <f>IFERROR(VLOOKUP($J10045,'Informations sur les produits'!$A$3:$H$10000,8,FALSE),"0")</f>
        <v>0</v>
      </c>
      <c r="N10045" s="8"/>
      <c r="O10045" s="33" t="str">
        <f>IFERROR(VLOOKUP($M10045,'Informations sur les produits'!$A$3:$H$10000,8,FALSE),"0")</f>
        <v>0</v>
      </c>
      <c r="P10045" s="33">
        <f t="shared" si="624"/>
        <v>0</v>
      </c>
      <c r="Q10045" s="31" t="str">
        <f t="shared" si="625"/>
        <v/>
      </c>
      <c r="R10045" s="32" t="str">
        <f>IFERROR(VLOOKUP($D10045,'Informations sur les produits'!$A$3:$B$15000,2,FALSE),"")</f>
        <v/>
      </c>
      <c r="V10045">
        <f t="shared" si="626"/>
        <v>0</v>
      </c>
      <c r="W10045">
        <f t="shared" si="627"/>
        <v>0</v>
      </c>
    </row>
    <row r="10046" spans="5:23" x14ac:dyDescent="0.25">
      <c r="E10046" s="4"/>
      <c r="F10046" s="4"/>
      <c r="G10046" s="33" t="str">
        <f>IFERROR(VLOOKUP($D10046,'Informations sur les produits'!$A$3:$H$10000,8,FALSE),"0")</f>
        <v>0</v>
      </c>
      <c r="K10046" s="4"/>
      <c r="L10046" s="33" t="str">
        <f>IFERROR(VLOOKUP($J10046,'Informations sur les produits'!$A$3:$H$10000,8,FALSE),"0")</f>
        <v>0</v>
      </c>
      <c r="N10046" s="8"/>
      <c r="O10046" s="33" t="str">
        <f>IFERROR(VLOOKUP($M10046,'Informations sur les produits'!$A$3:$H$10000,8,FALSE),"0")</f>
        <v>0</v>
      </c>
      <c r="P10046" s="33">
        <f t="shared" si="624"/>
        <v>0</v>
      </c>
      <c r="Q10046" s="31" t="str">
        <f t="shared" si="625"/>
        <v/>
      </c>
      <c r="R10046" s="32" t="str">
        <f>IFERROR(VLOOKUP($D10046,'Informations sur les produits'!$A$3:$B$15000,2,FALSE),"")</f>
        <v/>
      </c>
      <c r="V10046">
        <f t="shared" si="626"/>
        <v>0</v>
      </c>
      <c r="W10046">
        <f t="shared" si="627"/>
        <v>0</v>
      </c>
    </row>
    <row r="10047" spans="5:23" x14ac:dyDescent="0.25">
      <c r="E10047" s="4"/>
      <c r="F10047" s="4"/>
      <c r="G10047" s="33" t="str">
        <f>IFERROR(VLOOKUP($D10047,'Informations sur les produits'!$A$3:$H$10000,8,FALSE),"0")</f>
        <v>0</v>
      </c>
      <c r="K10047" s="4"/>
      <c r="L10047" s="33" t="str">
        <f>IFERROR(VLOOKUP($J10047,'Informations sur les produits'!$A$3:$H$10000,8,FALSE),"0")</f>
        <v>0</v>
      </c>
      <c r="N10047" s="8"/>
      <c r="O10047" s="33" t="str">
        <f>IFERROR(VLOOKUP($M10047,'Informations sur les produits'!$A$3:$H$10000,8,FALSE),"0")</f>
        <v>0</v>
      </c>
      <c r="P10047" s="33">
        <f t="shared" si="624"/>
        <v>0</v>
      </c>
      <c r="Q10047" s="31" t="str">
        <f t="shared" si="625"/>
        <v/>
      </c>
      <c r="R10047" s="32" t="str">
        <f>IFERROR(VLOOKUP($D10047,'Informations sur les produits'!$A$3:$B$15000,2,FALSE),"")</f>
        <v/>
      </c>
      <c r="V10047">
        <f t="shared" si="626"/>
        <v>0</v>
      </c>
      <c r="W10047">
        <f t="shared" si="627"/>
        <v>0</v>
      </c>
    </row>
    <row r="10048" spans="5:23" x14ac:dyDescent="0.25">
      <c r="E10048" s="4"/>
      <c r="F10048" s="4"/>
      <c r="G10048" s="33" t="str">
        <f>IFERROR(VLOOKUP($D10048,'Informations sur les produits'!$A$3:$H$10000,8,FALSE),"0")</f>
        <v>0</v>
      </c>
      <c r="K10048" s="4"/>
      <c r="L10048" s="33" t="str">
        <f>IFERROR(VLOOKUP($J10048,'Informations sur les produits'!$A$3:$H$10000,8,FALSE),"0")</f>
        <v>0</v>
      </c>
      <c r="N10048" s="8"/>
      <c r="O10048" s="33" t="str">
        <f>IFERROR(VLOOKUP($M10048,'Informations sur les produits'!$A$3:$H$10000,8,FALSE),"0")</f>
        <v>0</v>
      </c>
      <c r="P10048" s="33">
        <f t="shared" si="624"/>
        <v>0</v>
      </c>
      <c r="Q10048" s="31" t="str">
        <f t="shared" si="625"/>
        <v/>
      </c>
      <c r="R10048" s="32" t="str">
        <f>IFERROR(VLOOKUP($D10048,'Informations sur les produits'!$A$3:$B$15000,2,FALSE),"")</f>
        <v/>
      </c>
      <c r="V10048">
        <f t="shared" si="626"/>
        <v>0</v>
      </c>
      <c r="W10048">
        <f t="shared" si="627"/>
        <v>0</v>
      </c>
    </row>
    <row r="10049" spans="5:23" x14ac:dyDescent="0.25">
      <c r="E10049" s="4"/>
      <c r="F10049" s="4"/>
      <c r="G10049" s="33" t="str">
        <f>IFERROR(VLOOKUP($D10049,'Informations sur les produits'!$A$3:$H$10000,8,FALSE),"0")</f>
        <v>0</v>
      </c>
      <c r="K10049" s="4"/>
      <c r="L10049" s="33" t="str">
        <f>IFERROR(VLOOKUP($J10049,'Informations sur les produits'!$A$3:$H$10000,8,FALSE),"0")</f>
        <v>0</v>
      </c>
      <c r="N10049" s="8"/>
      <c r="O10049" s="33" t="str">
        <f>IFERROR(VLOOKUP($M10049,'Informations sur les produits'!$A$3:$H$10000,8,FALSE),"0")</f>
        <v>0</v>
      </c>
      <c r="P10049" s="33">
        <f t="shared" si="624"/>
        <v>0</v>
      </c>
      <c r="Q10049" s="31" t="str">
        <f t="shared" si="625"/>
        <v/>
      </c>
      <c r="R10049" s="32" t="str">
        <f>IFERROR(VLOOKUP($D10049,'Informations sur les produits'!$A$3:$B$15000,2,FALSE),"")</f>
        <v/>
      </c>
      <c r="V10049">
        <f t="shared" si="626"/>
        <v>0</v>
      </c>
      <c r="W10049">
        <f t="shared" si="627"/>
        <v>0</v>
      </c>
    </row>
    <row r="10050" spans="5:23" x14ac:dyDescent="0.25">
      <c r="E10050" s="4"/>
      <c r="F10050" s="4"/>
      <c r="G10050" s="33" t="str">
        <f>IFERROR(VLOOKUP($D10050,'Informations sur les produits'!$A$3:$H$10000,8,FALSE),"0")</f>
        <v>0</v>
      </c>
      <c r="K10050" s="4"/>
      <c r="L10050" s="33" t="str">
        <f>IFERROR(VLOOKUP($J10050,'Informations sur les produits'!$A$3:$H$10000,8,FALSE),"0")</f>
        <v>0</v>
      </c>
      <c r="N10050" s="8"/>
      <c r="O10050" s="33" t="str">
        <f>IFERROR(VLOOKUP($M10050,'Informations sur les produits'!$A$3:$H$10000,8,FALSE),"0")</f>
        <v>0</v>
      </c>
      <c r="P10050" s="33">
        <f t="shared" si="624"/>
        <v>0</v>
      </c>
      <c r="Q10050" s="31" t="str">
        <f t="shared" si="625"/>
        <v/>
      </c>
      <c r="R10050" s="32" t="str">
        <f>IFERROR(VLOOKUP($D10050,'Informations sur les produits'!$A$3:$B$15000,2,FALSE),"")</f>
        <v/>
      </c>
      <c r="V10050">
        <f t="shared" si="626"/>
        <v>0</v>
      </c>
      <c r="W10050">
        <f t="shared" si="627"/>
        <v>0</v>
      </c>
    </row>
    <row r="10051" spans="5:23" x14ac:dyDescent="0.25">
      <c r="E10051" s="4"/>
      <c r="F10051" s="4"/>
      <c r="G10051" s="33" t="str">
        <f>IFERROR(VLOOKUP($D10051,'Informations sur les produits'!$A$3:$H$10000,8,FALSE),"0")</f>
        <v>0</v>
      </c>
      <c r="K10051" s="4"/>
      <c r="L10051" s="33" t="str">
        <f>IFERROR(VLOOKUP($J10051,'Informations sur les produits'!$A$3:$H$10000,8,FALSE),"0")</f>
        <v>0</v>
      </c>
      <c r="N10051" s="8"/>
      <c r="O10051" s="33" t="str">
        <f>IFERROR(VLOOKUP($M10051,'Informations sur les produits'!$A$3:$H$10000,8,FALSE),"0")</f>
        <v>0</v>
      </c>
      <c r="P10051" s="33">
        <f t="shared" si="624"/>
        <v>0</v>
      </c>
      <c r="Q10051" s="31" t="str">
        <f t="shared" si="625"/>
        <v/>
      </c>
      <c r="R10051" s="32" t="str">
        <f>IFERROR(VLOOKUP($D10051,'Informations sur les produits'!$A$3:$B$15000,2,FALSE),"")</f>
        <v/>
      </c>
      <c r="V10051">
        <f t="shared" si="626"/>
        <v>0</v>
      </c>
      <c r="W10051">
        <f t="shared" si="627"/>
        <v>0</v>
      </c>
    </row>
    <row r="10052" spans="5:23" x14ac:dyDescent="0.25">
      <c r="E10052" s="4"/>
      <c r="F10052" s="4"/>
      <c r="G10052" s="33" t="str">
        <f>IFERROR(VLOOKUP($D10052,'Informations sur les produits'!$A$3:$H$10000,8,FALSE),"0")</f>
        <v>0</v>
      </c>
      <c r="K10052" s="4"/>
      <c r="L10052" s="33" t="str">
        <f>IFERROR(VLOOKUP($J10052,'Informations sur les produits'!$A$3:$H$10000,8,FALSE),"0")</f>
        <v>0</v>
      </c>
      <c r="N10052" s="8"/>
      <c r="O10052" s="33" t="str">
        <f>IFERROR(VLOOKUP($M10052,'Informations sur les produits'!$A$3:$H$10000,8,FALSE),"0")</f>
        <v>0</v>
      </c>
      <c r="P10052" s="33">
        <f t="shared" ref="P10052:P10115" si="628">IFERROR((($E10052-$F10052)*$G10052+$K10052*$L10052+$N10052*$O10052),"")</f>
        <v>0</v>
      </c>
      <c r="Q10052" s="31" t="str">
        <f t="shared" ref="Q10052:Q10115" si="629">IFERROR((((($E10052-$F10052)*$G10052+$K10052*$L10052+$N10052*$O10052)*1000)/(($E10052-$F10052)+$K10052+$N10052)),"")</f>
        <v/>
      </c>
      <c r="R10052" s="32" t="str">
        <f>IFERROR(VLOOKUP($D10052,'Informations sur les produits'!$A$3:$B$15000,2,FALSE),"")</f>
        <v/>
      </c>
      <c r="V10052">
        <f t="shared" ref="V10052:V10115" si="630">IFERROR(P10052*1000,"")</f>
        <v>0</v>
      </c>
      <c r="W10052">
        <f t="shared" ref="W10052:W10115" si="631">IFERROR(($E10052-$F10052)+$K10052+$N10052,"")</f>
        <v>0</v>
      </c>
    </row>
    <row r="10053" spans="5:23" x14ac:dyDescent="0.25">
      <c r="E10053" s="4"/>
      <c r="F10053" s="4"/>
      <c r="G10053" s="33" t="str">
        <f>IFERROR(VLOOKUP($D10053,'Informations sur les produits'!$A$3:$H$10000,8,FALSE),"0")</f>
        <v>0</v>
      </c>
      <c r="K10053" s="4"/>
      <c r="L10053" s="33" t="str">
        <f>IFERROR(VLOOKUP($J10053,'Informations sur les produits'!$A$3:$H$10000,8,FALSE),"0")</f>
        <v>0</v>
      </c>
      <c r="N10053" s="8"/>
      <c r="O10053" s="33" t="str">
        <f>IFERROR(VLOOKUP($M10053,'Informations sur les produits'!$A$3:$H$10000,8,FALSE),"0")</f>
        <v>0</v>
      </c>
      <c r="P10053" s="33">
        <f t="shared" si="628"/>
        <v>0</v>
      </c>
      <c r="Q10053" s="31" t="str">
        <f t="shared" si="629"/>
        <v/>
      </c>
      <c r="R10053" s="32" t="str">
        <f>IFERROR(VLOOKUP($D10053,'Informations sur les produits'!$A$3:$B$15000,2,FALSE),"")</f>
        <v/>
      </c>
      <c r="V10053">
        <f t="shared" si="630"/>
        <v>0</v>
      </c>
      <c r="W10053">
        <f t="shared" si="631"/>
        <v>0</v>
      </c>
    </row>
    <row r="10054" spans="5:23" x14ac:dyDescent="0.25">
      <c r="E10054" s="4"/>
      <c r="F10054" s="4"/>
      <c r="G10054" s="33" t="str">
        <f>IFERROR(VLOOKUP($D10054,'Informations sur les produits'!$A$3:$H$10000,8,FALSE),"0")</f>
        <v>0</v>
      </c>
      <c r="K10054" s="4"/>
      <c r="L10054" s="33" t="str">
        <f>IFERROR(VLOOKUP($J10054,'Informations sur les produits'!$A$3:$H$10000,8,FALSE),"0")</f>
        <v>0</v>
      </c>
      <c r="N10054" s="8"/>
      <c r="O10054" s="33" t="str">
        <f>IFERROR(VLOOKUP($M10054,'Informations sur les produits'!$A$3:$H$10000,8,FALSE),"0")</f>
        <v>0</v>
      </c>
      <c r="P10054" s="33">
        <f t="shared" si="628"/>
        <v>0</v>
      </c>
      <c r="Q10054" s="31" t="str">
        <f t="shared" si="629"/>
        <v/>
      </c>
      <c r="R10054" s="32" t="str">
        <f>IFERROR(VLOOKUP($D10054,'Informations sur les produits'!$A$3:$B$15000,2,FALSE),"")</f>
        <v/>
      </c>
      <c r="V10054">
        <f t="shared" si="630"/>
        <v>0</v>
      </c>
      <c r="W10054">
        <f t="shared" si="631"/>
        <v>0</v>
      </c>
    </row>
    <row r="10055" spans="5:23" x14ac:dyDescent="0.25">
      <c r="E10055" s="4"/>
      <c r="F10055" s="4"/>
      <c r="G10055" s="33" t="str">
        <f>IFERROR(VLOOKUP($D10055,'Informations sur les produits'!$A$3:$H$10000,8,FALSE),"0")</f>
        <v>0</v>
      </c>
      <c r="K10055" s="4"/>
      <c r="L10055" s="33" t="str">
        <f>IFERROR(VLOOKUP($J10055,'Informations sur les produits'!$A$3:$H$10000,8,FALSE),"0")</f>
        <v>0</v>
      </c>
      <c r="N10055" s="8"/>
      <c r="O10055" s="33" t="str">
        <f>IFERROR(VLOOKUP($M10055,'Informations sur les produits'!$A$3:$H$10000,8,FALSE),"0")</f>
        <v>0</v>
      </c>
      <c r="P10055" s="33">
        <f t="shared" si="628"/>
        <v>0</v>
      </c>
      <c r="Q10055" s="31" t="str">
        <f t="shared" si="629"/>
        <v/>
      </c>
      <c r="R10055" s="32" t="str">
        <f>IFERROR(VLOOKUP($D10055,'Informations sur les produits'!$A$3:$B$15000,2,FALSE),"")</f>
        <v/>
      </c>
      <c r="V10055">
        <f t="shared" si="630"/>
        <v>0</v>
      </c>
      <c r="W10055">
        <f t="shared" si="631"/>
        <v>0</v>
      </c>
    </row>
    <row r="10056" spans="5:23" x14ac:dyDescent="0.25">
      <c r="E10056" s="4"/>
      <c r="F10056" s="4"/>
      <c r="G10056" s="33" t="str">
        <f>IFERROR(VLOOKUP($D10056,'Informations sur les produits'!$A$3:$H$10000,8,FALSE),"0")</f>
        <v>0</v>
      </c>
      <c r="K10056" s="4"/>
      <c r="L10056" s="33" t="str">
        <f>IFERROR(VLOOKUP($J10056,'Informations sur les produits'!$A$3:$H$10000,8,FALSE),"0")</f>
        <v>0</v>
      </c>
      <c r="N10056" s="8"/>
      <c r="O10056" s="33" t="str">
        <f>IFERROR(VLOOKUP($M10056,'Informations sur les produits'!$A$3:$H$10000,8,FALSE),"0")</f>
        <v>0</v>
      </c>
      <c r="P10056" s="33">
        <f t="shared" si="628"/>
        <v>0</v>
      </c>
      <c r="Q10056" s="31" t="str">
        <f t="shared" si="629"/>
        <v/>
      </c>
      <c r="R10056" s="32" t="str">
        <f>IFERROR(VLOOKUP($D10056,'Informations sur les produits'!$A$3:$B$15000,2,FALSE),"")</f>
        <v/>
      </c>
      <c r="V10056">
        <f t="shared" si="630"/>
        <v>0</v>
      </c>
      <c r="W10056">
        <f t="shared" si="631"/>
        <v>0</v>
      </c>
    </row>
    <row r="10057" spans="5:23" x14ac:dyDescent="0.25">
      <c r="E10057" s="4"/>
      <c r="F10057" s="4"/>
      <c r="G10057" s="33" t="str">
        <f>IFERROR(VLOOKUP($D10057,'Informations sur les produits'!$A$3:$H$10000,8,FALSE),"0")</f>
        <v>0</v>
      </c>
      <c r="K10057" s="4"/>
      <c r="L10057" s="33" t="str">
        <f>IFERROR(VLOOKUP($J10057,'Informations sur les produits'!$A$3:$H$10000,8,FALSE),"0")</f>
        <v>0</v>
      </c>
      <c r="N10057" s="8"/>
      <c r="O10057" s="33" t="str">
        <f>IFERROR(VLOOKUP($M10057,'Informations sur les produits'!$A$3:$H$10000,8,FALSE),"0")</f>
        <v>0</v>
      </c>
      <c r="P10057" s="33">
        <f t="shared" si="628"/>
        <v>0</v>
      </c>
      <c r="Q10057" s="31" t="str">
        <f t="shared" si="629"/>
        <v/>
      </c>
      <c r="R10057" s="32" t="str">
        <f>IFERROR(VLOOKUP($D10057,'Informations sur les produits'!$A$3:$B$15000,2,FALSE),"")</f>
        <v/>
      </c>
      <c r="V10057">
        <f t="shared" si="630"/>
        <v>0</v>
      </c>
      <c r="W10057">
        <f t="shared" si="631"/>
        <v>0</v>
      </c>
    </row>
    <row r="10058" spans="5:23" x14ac:dyDescent="0.25">
      <c r="E10058" s="4"/>
      <c r="F10058" s="4"/>
      <c r="G10058" s="33" t="str">
        <f>IFERROR(VLOOKUP($D10058,'Informations sur les produits'!$A$3:$H$10000,8,FALSE),"0")</f>
        <v>0</v>
      </c>
      <c r="K10058" s="4"/>
      <c r="L10058" s="33" t="str">
        <f>IFERROR(VLOOKUP($J10058,'Informations sur les produits'!$A$3:$H$10000,8,FALSE),"0")</f>
        <v>0</v>
      </c>
      <c r="N10058" s="8"/>
      <c r="O10058" s="33" t="str">
        <f>IFERROR(VLOOKUP($M10058,'Informations sur les produits'!$A$3:$H$10000,8,FALSE),"0")</f>
        <v>0</v>
      </c>
      <c r="P10058" s="33">
        <f t="shared" si="628"/>
        <v>0</v>
      </c>
      <c r="Q10058" s="31" t="str">
        <f t="shared" si="629"/>
        <v/>
      </c>
      <c r="R10058" s="32" t="str">
        <f>IFERROR(VLOOKUP($D10058,'Informations sur les produits'!$A$3:$B$15000,2,FALSE),"")</f>
        <v/>
      </c>
      <c r="V10058">
        <f t="shared" si="630"/>
        <v>0</v>
      </c>
      <c r="W10058">
        <f t="shared" si="631"/>
        <v>0</v>
      </c>
    </row>
    <row r="10059" spans="5:23" x14ac:dyDescent="0.25">
      <c r="E10059" s="4"/>
      <c r="F10059" s="4"/>
      <c r="G10059" s="33" t="str">
        <f>IFERROR(VLOOKUP($D10059,'Informations sur les produits'!$A$3:$H$10000,8,FALSE),"0")</f>
        <v>0</v>
      </c>
      <c r="K10059" s="4"/>
      <c r="L10059" s="33" t="str">
        <f>IFERROR(VLOOKUP($J10059,'Informations sur les produits'!$A$3:$H$10000,8,FALSE),"0")</f>
        <v>0</v>
      </c>
      <c r="N10059" s="8"/>
      <c r="O10059" s="33" t="str">
        <f>IFERROR(VLOOKUP($M10059,'Informations sur les produits'!$A$3:$H$10000,8,FALSE),"0")</f>
        <v>0</v>
      </c>
      <c r="P10059" s="33">
        <f t="shared" si="628"/>
        <v>0</v>
      </c>
      <c r="Q10059" s="31" t="str">
        <f t="shared" si="629"/>
        <v/>
      </c>
      <c r="R10059" s="32" t="str">
        <f>IFERROR(VLOOKUP($D10059,'Informations sur les produits'!$A$3:$B$15000,2,FALSE),"")</f>
        <v/>
      </c>
      <c r="V10059">
        <f t="shared" si="630"/>
        <v>0</v>
      </c>
      <c r="W10059">
        <f t="shared" si="631"/>
        <v>0</v>
      </c>
    </row>
    <row r="10060" spans="5:23" x14ac:dyDescent="0.25">
      <c r="E10060" s="4"/>
      <c r="F10060" s="4"/>
      <c r="G10060" s="33" t="str">
        <f>IFERROR(VLOOKUP($D10060,'Informations sur les produits'!$A$3:$H$10000,8,FALSE),"0")</f>
        <v>0</v>
      </c>
      <c r="K10060" s="4"/>
      <c r="L10060" s="33" t="str">
        <f>IFERROR(VLOOKUP($J10060,'Informations sur les produits'!$A$3:$H$10000,8,FALSE),"0")</f>
        <v>0</v>
      </c>
      <c r="N10060" s="8"/>
      <c r="O10060" s="33" t="str">
        <f>IFERROR(VLOOKUP($M10060,'Informations sur les produits'!$A$3:$H$10000,8,FALSE),"0")</f>
        <v>0</v>
      </c>
      <c r="P10060" s="33">
        <f t="shared" si="628"/>
        <v>0</v>
      </c>
      <c r="Q10060" s="31" t="str">
        <f t="shared" si="629"/>
        <v/>
      </c>
      <c r="R10060" s="32" t="str">
        <f>IFERROR(VLOOKUP($D10060,'Informations sur les produits'!$A$3:$B$15000,2,FALSE),"")</f>
        <v/>
      </c>
      <c r="V10060">
        <f t="shared" si="630"/>
        <v>0</v>
      </c>
      <c r="W10060">
        <f t="shared" si="631"/>
        <v>0</v>
      </c>
    </row>
    <row r="10061" spans="5:23" x14ac:dyDescent="0.25">
      <c r="E10061" s="4"/>
      <c r="F10061" s="4"/>
      <c r="G10061" s="33" t="str">
        <f>IFERROR(VLOOKUP($D10061,'Informations sur les produits'!$A$3:$H$10000,8,FALSE),"0")</f>
        <v>0</v>
      </c>
      <c r="K10061" s="4"/>
      <c r="L10061" s="33" t="str">
        <f>IFERROR(VLOOKUP($J10061,'Informations sur les produits'!$A$3:$H$10000,8,FALSE),"0")</f>
        <v>0</v>
      </c>
      <c r="N10061" s="8"/>
      <c r="O10061" s="33" t="str">
        <f>IFERROR(VLOOKUP($M10061,'Informations sur les produits'!$A$3:$H$10000,8,FALSE),"0")</f>
        <v>0</v>
      </c>
      <c r="P10061" s="33">
        <f t="shared" si="628"/>
        <v>0</v>
      </c>
      <c r="Q10061" s="31" t="str">
        <f t="shared" si="629"/>
        <v/>
      </c>
      <c r="R10061" s="32" t="str">
        <f>IFERROR(VLOOKUP($D10061,'Informations sur les produits'!$A$3:$B$15000,2,FALSE),"")</f>
        <v/>
      </c>
      <c r="V10061">
        <f t="shared" si="630"/>
        <v>0</v>
      </c>
      <c r="W10061">
        <f t="shared" si="631"/>
        <v>0</v>
      </c>
    </row>
    <row r="10062" spans="5:23" x14ac:dyDescent="0.25">
      <c r="E10062" s="4"/>
      <c r="F10062" s="4"/>
      <c r="G10062" s="33" t="str">
        <f>IFERROR(VLOOKUP($D10062,'Informations sur les produits'!$A$3:$H$10000,8,FALSE),"0")</f>
        <v>0</v>
      </c>
      <c r="K10062" s="4"/>
      <c r="L10062" s="33" t="str">
        <f>IFERROR(VLOOKUP($J10062,'Informations sur les produits'!$A$3:$H$10000,8,FALSE),"0")</f>
        <v>0</v>
      </c>
      <c r="N10062" s="8"/>
      <c r="O10062" s="33" t="str">
        <f>IFERROR(VLOOKUP($M10062,'Informations sur les produits'!$A$3:$H$10000,8,FALSE),"0")</f>
        <v>0</v>
      </c>
      <c r="P10062" s="33">
        <f t="shared" si="628"/>
        <v>0</v>
      </c>
      <c r="Q10062" s="31" t="str">
        <f t="shared" si="629"/>
        <v/>
      </c>
      <c r="R10062" s="32" t="str">
        <f>IFERROR(VLOOKUP($D10062,'Informations sur les produits'!$A$3:$B$15000,2,FALSE),"")</f>
        <v/>
      </c>
      <c r="V10062">
        <f t="shared" si="630"/>
        <v>0</v>
      </c>
      <c r="W10062">
        <f t="shared" si="631"/>
        <v>0</v>
      </c>
    </row>
    <row r="10063" spans="5:23" x14ac:dyDescent="0.25">
      <c r="E10063" s="4"/>
      <c r="F10063" s="4"/>
      <c r="G10063" s="33" t="str">
        <f>IFERROR(VLOOKUP($D10063,'Informations sur les produits'!$A$3:$H$10000,8,FALSE),"0")</f>
        <v>0</v>
      </c>
      <c r="K10063" s="4"/>
      <c r="L10063" s="33" t="str">
        <f>IFERROR(VLOOKUP($J10063,'Informations sur les produits'!$A$3:$H$10000,8,FALSE),"0")</f>
        <v>0</v>
      </c>
      <c r="N10063" s="8"/>
      <c r="O10063" s="33" t="str">
        <f>IFERROR(VLOOKUP($M10063,'Informations sur les produits'!$A$3:$H$10000,8,FALSE),"0")</f>
        <v>0</v>
      </c>
      <c r="P10063" s="33">
        <f t="shared" si="628"/>
        <v>0</v>
      </c>
      <c r="Q10063" s="31" t="str">
        <f t="shared" si="629"/>
        <v/>
      </c>
      <c r="R10063" s="32" t="str">
        <f>IFERROR(VLOOKUP($D10063,'Informations sur les produits'!$A$3:$B$15000,2,FALSE),"")</f>
        <v/>
      </c>
      <c r="V10063">
        <f t="shared" si="630"/>
        <v>0</v>
      </c>
      <c r="W10063">
        <f t="shared" si="631"/>
        <v>0</v>
      </c>
    </row>
    <row r="10064" spans="5:23" x14ac:dyDescent="0.25">
      <c r="E10064" s="4"/>
      <c r="F10064" s="4"/>
      <c r="G10064" s="33" t="str">
        <f>IFERROR(VLOOKUP($D10064,'Informations sur les produits'!$A$3:$H$10000,8,FALSE),"0")</f>
        <v>0</v>
      </c>
      <c r="K10064" s="4"/>
      <c r="L10064" s="33" t="str">
        <f>IFERROR(VLOOKUP($J10064,'Informations sur les produits'!$A$3:$H$10000,8,FALSE),"0")</f>
        <v>0</v>
      </c>
      <c r="N10064" s="8"/>
      <c r="O10064" s="33" t="str">
        <f>IFERROR(VLOOKUP($M10064,'Informations sur les produits'!$A$3:$H$10000,8,FALSE),"0")</f>
        <v>0</v>
      </c>
      <c r="P10064" s="33">
        <f t="shared" si="628"/>
        <v>0</v>
      </c>
      <c r="Q10064" s="31" t="str">
        <f t="shared" si="629"/>
        <v/>
      </c>
      <c r="R10064" s="32" t="str">
        <f>IFERROR(VLOOKUP($D10064,'Informations sur les produits'!$A$3:$B$15000,2,FALSE),"")</f>
        <v/>
      </c>
      <c r="V10064">
        <f t="shared" si="630"/>
        <v>0</v>
      </c>
      <c r="W10064">
        <f t="shared" si="631"/>
        <v>0</v>
      </c>
    </row>
    <row r="10065" spans="5:23" x14ac:dyDescent="0.25">
      <c r="E10065" s="4"/>
      <c r="F10065" s="4"/>
      <c r="G10065" s="33" t="str">
        <f>IFERROR(VLOOKUP($D10065,'Informations sur les produits'!$A$3:$H$10000,8,FALSE),"0")</f>
        <v>0</v>
      </c>
      <c r="K10065" s="4"/>
      <c r="L10065" s="33" t="str">
        <f>IFERROR(VLOOKUP($J10065,'Informations sur les produits'!$A$3:$H$10000,8,FALSE),"0")</f>
        <v>0</v>
      </c>
      <c r="N10065" s="8"/>
      <c r="O10065" s="33" t="str">
        <f>IFERROR(VLOOKUP($M10065,'Informations sur les produits'!$A$3:$H$10000,8,FALSE),"0")</f>
        <v>0</v>
      </c>
      <c r="P10065" s="33">
        <f t="shared" si="628"/>
        <v>0</v>
      </c>
      <c r="Q10065" s="31" t="str">
        <f t="shared" si="629"/>
        <v/>
      </c>
      <c r="R10065" s="32" t="str">
        <f>IFERROR(VLOOKUP($D10065,'Informations sur les produits'!$A$3:$B$15000,2,FALSE),"")</f>
        <v/>
      </c>
      <c r="V10065">
        <f t="shared" si="630"/>
        <v>0</v>
      </c>
      <c r="W10065">
        <f t="shared" si="631"/>
        <v>0</v>
      </c>
    </row>
    <row r="10066" spans="5:23" x14ac:dyDescent="0.25">
      <c r="E10066" s="4"/>
      <c r="F10066" s="4"/>
      <c r="G10066" s="33" t="str">
        <f>IFERROR(VLOOKUP($D10066,'Informations sur les produits'!$A$3:$H$10000,8,FALSE),"0")</f>
        <v>0</v>
      </c>
      <c r="K10066" s="4"/>
      <c r="L10066" s="33" t="str">
        <f>IFERROR(VLOOKUP($J10066,'Informations sur les produits'!$A$3:$H$10000,8,FALSE),"0")</f>
        <v>0</v>
      </c>
      <c r="N10066" s="8"/>
      <c r="O10066" s="33" t="str">
        <f>IFERROR(VLOOKUP($M10066,'Informations sur les produits'!$A$3:$H$10000,8,FALSE),"0")</f>
        <v>0</v>
      </c>
      <c r="P10066" s="33">
        <f t="shared" si="628"/>
        <v>0</v>
      </c>
      <c r="Q10066" s="31" t="str">
        <f t="shared" si="629"/>
        <v/>
      </c>
      <c r="R10066" s="32" t="str">
        <f>IFERROR(VLOOKUP($D10066,'Informations sur les produits'!$A$3:$B$15000,2,FALSE),"")</f>
        <v/>
      </c>
      <c r="V10066">
        <f t="shared" si="630"/>
        <v>0</v>
      </c>
      <c r="W10066">
        <f t="shared" si="631"/>
        <v>0</v>
      </c>
    </row>
    <row r="10067" spans="5:23" x14ac:dyDescent="0.25">
      <c r="E10067" s="4"/>
      <c r="F10067" s="4"/>
      <c r="G10067" s="33" t="str">
        <f>IFERROR(VLOOKUP($D10067,'Informations sur les produits'!$A$3:$H$10000,8,FALSE),"0")</f>
        <v>0</v>
      </c>
      <c r="K10067" s="4"/>
      <c r="L10067" s="33" t="str">
        <f>IFERROR(VLOOKUP($J10067,'Informations sur les produits'!$A$3:$H$10000,8,FALSE),"0")</f>
        <v>0</v>
      </c>
      <c r="N10067" s="8"/>
      <c r="O10067" s="33" t="str">
        <f>IFERROR(VLOOKUP($M10067,'Informations sur les produits'!$A$3:$H$10000,8,FALSE),"0")</f>
        <v>0</v>
      </c>
      <c r="P10067" s="33">
        <f t="shared" si="628"/>
        <v>0</v>
      </c>
      <c r="Q10067" s="31" t="str">
        <f t="shared" si="629"/>
        <v/>
      </c>
      <c r="R10067" s="32" t="str">
        <f>IFERROR(VLOOKUP($D10067,'Informations sur les produits'!$A$3:$B$15000,2,FALSE),"")</f>
        <v/>
      </c>
      <c r="V10067">
        <f t="shared" si="630"/>
        <v>0</v>
      </c>
      <c r="W10067">
        <f t="shared" si="631"/>
        <v>0</v>
      </c>
    </row>
    <row r="10068" spans="5:23" x14ac:dyDescent="0.25">
      <c r="E10068" s="4"/>
      <c r="F10068" s="4"/>
      <c r="G10068" s="33" t="str">
        <f>IFERROR(VLOOKUP($D10068,'Informations sur les produits'!$A$3:$H$10000,8,FALSE),"0")</f>
        <v>0</v>
      </c>
      <c r="K10068" s="4"/>
      <c r="L10068" s="33" t="str">
        <f>IFERROR(VLOOKUP($J10068,'Informations sur les produits'!$A$3:$H$10000,8,FALSE),"0")</f>
        <v>0</v>
      </c>
      <c r="N10068" s="8"/>
      <c r="O10068" s="33" t="str">
        <f>IFERROR(VLOOKUP($M10068,'Informations sur les produits'!$A$3:$H$10000,8,FALSE),"0")</f>
        <v>0</v>
      </c>
      <c r="P10068" s="33">
        <f t="shared" si="628"/>
        <v>0</v>
      </c>
      <c r="Q10068" s="31" t="str">
        <f t="shared" si="629"/>
        <v/>
      </c>
      <c r="R10068" s="32" t="str">
        <f>IFERROR(VLOOKUP($D10068,'Informations sur les produits'!$A$3:$B$15000,2,FALSE),"")</f>
        <v/>
      </c>
      <c r="V10068">
        <f t="shared" si="630"/>
        <v>0</v>
      </c>
      <c r="W10068">
        <f t="shared" si="631"/>
        <v>0</v>
      </c>
    </row>
    <row r="10069" spans="5:23" x14ac:dyDescent="0.25">
      <c r="E10069" s="4"/>
      <c r="F10069" s="4"/>
      <c r="G10069" s="33" t="str">
        <f>IFERROR(VLOOKUP($D10069,'Informations sur les produits'!$A$3:$H$10000,8,FALSE),"0")</f>
        <v>0</v>
      </c>
      <c r="K10069" s="4"/>
      <c r="L10069" s="33" t="str">
        <f>IFERROR(VLOOKUP($J10069,'Informations sur les produits'!$A$3:$H$10000,8,FALSE),"0")</f>
        <v>0</v>
      </c>
      <c r="N10069" s="8"/>
      <c r="O10069" s="33" t="str">
        <f>IFERROR(VLOOKUP($M10069,'Informations sur les produits'!$A$3:$H$10000,8,FALSE),"0")</f>
        <v>0</v>
      </c>
      <c r="P10069" s="33">
        <f t="shared" si="628"/>
        <v>0</v>
      </c>
      <c r="Q10069" s="31" t="str">
        <f t="shared" si="629"/>
        <v/>
      </c>
      <c r="R10069" s="32" t="str">
        <f>IFERROR(VLOOKUP($D10069,'Informations sur les produits'!$A$3:$B$15000,2,FALSE),"")</f>
        <v/>
      </c>
      <c r="V10069">
        <f t="shared" si="630"/>
        <v>0</v>
      </c>
      <c r="W10069">
        <f t="shared" si="631"/>
        <v>0</v>
      </c>
    </row>
    <row r="10070" spans="5:23" x14ac:dyDescent="0.25">
      <c r="E10070" s="4"/>
      <c r="F10070" s="4"/>
      <c r="G10070" s="33" t="str">
        <f>IFERROR(VLOOKUP($D10070,'Informations sur les produits'!$A$3:$H$10000,8,FALSE),"0")</f>
        <v>0</v>
      </c>
      <c r="K10070" s="4"/>
      <c r="L10070" s="33" t="str">
        <f>IFERROR(VLOOKUP($J10070,'Informations sur les produits'!$A$3:$H$10000,8,FALSE),"0")</f>
        <v>0</v>
      </c>
      <c r="N10070" s="8"/>
      <c r="O10070" s="33" t="str">
        <f>IFERROR(VLOOKUP($M10070,'Informations sur les produits'!$A$3:$H$10000,8,FALSE),"0")</f>
        <v>0</v>
      </c>
      <c r="P10070" s="33">
        <f t="shared" si="628"/>
        <v>0</v>
      </c>
      <c r="Q10070" s="31" t="str">
        <f t="shared" si="629"/>
        <v/>
      </c>
      <c r="R10070" s="32" t="str">
        <f>IFERROR(VLOOKUP($D10070,'Informations sur les produits'!$A$3:$B$15000,2,FALSE),"")</f>
        <v/>
      </c>
      <c r="V10070">
        <f t="shared" si="630"/>
        <v>0</v>
      </c>
      <c r="W10070">
        <f t="shared" si="631"/>
        <v>0</v>
      </c>
    </row>
    <row r="10071" spans="5:23" x14ac:dyDescent="0.25">
      <c r="E10071" s="4"/>
      <c r="F10071" s="4"/>
      <c r="G10071" s="33" t="str">
        <f>IFERROR(VLOOKUP($D10071,'Informations sur les produits'!$A$3:$H$10000,8,FALSE),"0")</f>
        <v>0</v>
      </c>
      <c r="K10071" s="4"/>
      <c r="L10071" s="33" t="str">
        <f>IFERROR(VLOOKUP($J10071,'Informations sur les produits'!$A$3:$H$10000,8,FALSE),"0")</f>
        <v>0</v>
      </c>
      <c r="N10071" s="8"/>
      <c r="O10071" s="33" t="str">
        <f>IFERROR(VLOOKUP($M10071,'Informations sur les produits'!$A$3:$H$10000,8,FALSE),"0")</f>
        <v>0</v>
      </c>
      <c r="P10071" s="33">
        <f t="shared" si="628"/>
        <v>0</v>
      </c>
      <c r="Q10071" s="31" t="str">
        <f t="shared" si="629"/>
        <v/>
      </c>
      <c r="R10071" s="32" t="str">
        <f>IFERROR(VLOOKUP($D10071,'Informations sur les produits'!$A$3:$B$15000,2,FALSE),"")</f>
        <v/>
      </c>
      <c r="V10071">
        <f t="shared" si="630"/>
        <v>0</v>
      </c>
      <c r="W10071">
        <f t="shared" si="631"/>
        <v>0</v>
      </c>
    </row>
    <row r="10072" spans="5:23" x14ac:dyDescent="0.25">
      <c r="E10072" s="4"/>
      <c r="F10072" s="4"/>
      <c r="G10072" s="33" t="str">
        <f>IFERROR(VLOOKUP($D10072,'Informations sur les produits'!$A$3:$H$10000,8,FALSE),"0")</f>
        <v>0</v>
      </c>
      <c r="K10072" s="4"/>
      <c r="L10072" s="33" t="str">
        <f>IFERROR(VLOOKUP($J10072,'Informations sur les produits'!$A$3:$H$10000,8,FALSE),"0")</f>
        <v>0</v>
      </c>
      <c r="N10072" s="8"/>
      <c r="O10072" s="33" t="str">
        <f>IFERROR(VLOOKUP($M10072,'Informations sur les produits'!$A$3:$H$10000,8,FALSE),"0")</f>
        <v>0</v>
      </c>
      <c r="P10072" s="33">
        <f t="shared" si="628"/>
        <v>0</v>
      </c>
      <c r="Q10072" s="31" t="str">
        <f t="shared" si="629"/>
        <v/>
      </c>
      <c r="R10072" s="32" t="str">
        <f>IFERROR(VLOOKUP($D10072,'Informations sur les produits'!$A$3:$B$15000,2,FALSE),"")</f>
        <v/>
      </c>
      <c r="V10072">
        <f t="shared" si="630"/>
        <v>0</v>
      </c>
      <c r="W10072">
        <f t="shared" si="631"/>
        <v>0</v>
      </c>
    </row>
    <row r="10073" spans="5:23" x14ac:dyDescent="0.25">
      <c r="E10073" s="4"/>
      <c r="F10073" s="4"/>
      <c r="G10073" s="33" t="str">
        <f>IFERROR(VLOOKUP($D10073,'Informations sur les produits'!$A$3:$H$10000,8,FALSE),"0")</f>
        <v>0</v>
      </c>
      <c r="K10073" s="4"/>
      <c r="L10073" s="33" t="str">
        <f>IFERROR(VLOOKUP($J10073,'Informations sur les produits'!$A$3:$H$10000,8,FALSE),"0")</f>
        <v>0</v>
      </c>
      <c r="N10073" s="8"/>
      <c r="O10073" s="33" t="str">
        <f>IFERROR(VLOOKUP($M10073,'Informations sur les produits'!$A$3:$H$10000,8,FALSE),"0")</f>
        <v>0</v>
      </c>
      <c r="P10073" s="33">
        <f t="shared" si="628"/>
        <v>0</v>
      </c>
      <c r="Q10073" s="31" t="str">
        <f t="shared" si="629"/>
        <v/>
      </c>
      <c r="R10073" s="32" t="str">
        <f>IFERROR(VLOOKUP($D10073,'Informations sur les produits'!$A$3:$B$15000,2,FALSE),"")</f>
        <v/>
      </c>
      <c r="V10073">
        <f t="shared" si="630"/>
        <v>0</v>
      </c>
      <c r="W10073">
        <f t="shared" si="631"/>
        <v>0</v>
      </c>
    </row>
    <row r="10074" spans="5:23" x14ac:dyDescent="0.25">
      <c r="E10074" s="4"/>
      <c r="F10074" s="4"/>
      <c r="G10074" s="33" t="str">
        <f>IFERROR(VLOOKUP($D10074,'Informations sur les produits'!$A$3:$H$10000,8,FALSE),"0")</f>
        <v>0</v>
      </c>
      <c r="K10074" s="4"/>
      <c r="L10074" s="33" t="str">
        <f>IFERROR(VLOOKUP($J10074,'Informations sur les produits'!$A$3:$H$10000,8,FALSE),"0")</f>
        <v>0</v>
      </c>
      <c r="N10074" s="8"/>
      <c r="O10074" s="33" t="str">
        <f>IFERROR(VLOOKUP($M10074,'Informations sur les produits'!$A$3:$H$10000,8,FALSE),"0")</f>
        <v>0</v>
      </c>
      <c r="P10074" s="33">
        <f t="shared" si="628"/>
        <v>0</v>
      </c>
      <c r="Q10074" s="31" t="str">
        <f t="shared" si="629"/>
        <v/>
      </c>
      <c r="R10074" s="32" t="str">
        <f>IFERROR(VLOOKUP($D10074,'Informations sur les produits'!$A$3:$B$15000,2,FALSE),"")</f>
        <v/>
      </c>
      <c r="V10074">
        <f t="shared" si="630"/>
        <v>0</v>
      </c>
      <c r="W10074">
        <f t="shared" si="631"/>
        <v>0</v>
      </c>
    </row>
    <row r="10075" spans="5:23" x14ac:dyDescent="0.25">
      <c r="E10075" s="4"/>
      <c r="F10075" s="4"/>
      <c r="G10075" s="33" t="str">
        <f>IFERROR(VLOOKUP($D10075,'Informations sur les produits'!$A$3:$H$10000,8,FALSE),"0")</f>
        <v>0</v>
      </c>
      <c r="K10075" s="4"/>
      <c r="L10075" s="33" t="str">
        <f>IFERROR(VLOOKUP($J10075,'Informations sur les produits'!$A$3:$H$10000,8,FALSE),"0")</f>
        <v>0</v>
      </c>
      <c r="N10075" s="8"/>
      <c r="O10075" s="33" t="str">
        <f>IFERROR(VLOOKUP($M10075,'Informations sur les produits'!$A$3:$H$10000,8,FALSE),"0")</f>
        <v>0</v>
      </c>
      <c r="P10075" s="33">
        <f t="shared" si="628"/>
        <v>0</v>
      </c>
      <c r="Q10075" s="31" t="str">
        <f t="shared" si="629"/>
        <v/>
      </c>
      <c r="R10075" s="32" t="str">
        <f>IFERROR(VLOOKUP($D10075,'Informations sur les produits'!$A$3:$B$15000,2,FALSE),"")</f>
        <v/>
      </c>
      <c r="V10075">
        <f t="shared" si="630"/>
        <v>0</v>
      </c>
      <c r="W10075">
        <f t="shared" si="631"/>
        <v>0</v>
      </c>
    </row>
    <row r="10076" spans="5:23" x14ac:dyDescent="0.25">
      <c r="E10076" s="4"/>
      <c r="F10076" s="4"/>
      <c r="G10076" s="33" t="str">
        <f>IFERROR(VLOOKUP($D10076,'Informations sur les produits'!$A$3:$H$10000,8,FALSE),"0")</f>
        <v>0</v>
      </c>
      <c r="K10076" s="4"/>
      <c r="L10076" s="33" t="str">
        <f>IFERROR(VLOOKUP($J10076,'Informations sur les produits'!$A$3:$H$10000,8,FALSE),"0")</f>
        <v>0</v>
      </c>
      <c r="N10076" s="8"/>
      <c r="O10076" s="33" t="str">
        <f>IFERROR(VLOOKUP($M10076,'Informations sur les produits'!$A$3:$H$10000,8,FALSE),"0")</f>
        <v>0</v>
      </c>
      <c r="P10076" s="33">
        <f t="shared" si="628"/>
        <v>0</v>
      </c>
      <c r="Q10076" s="31" t="str">
        <f t="shared" si="629"/>
        <v/>
      </c>
      <c r="R10076" s="32" t="str">
        <f>IFERROR(VLOOKUP($D10076,'Informations sur les produits'!$A$3:$B$15000,2,FALSE),"")</f>
        <v/>
      </c>
      <c r="V10076">
        <f t="shared" si="630"/>
        <v>0</v>
      </c>
      <c r="W10076">
        <f t="shared" si="631"/>
        <v>0</v>
      </c>
    </row>
    <row r="10077" spans="5:23" x14ac:dyDescent="0.25">
      <c r="E10077" s="4"/>
      <c r="F10077" s="4"/>
      <c r="G10077" s="33" t="str">
        <f>IFERROR(VLOOKUP($D10077,'Informations sur les produits'!$A$3:$H$10000,8,FALSE),"0")</f>
        <v>0</v>
      </c>
      <c r="K10077" s="4"/>
      <c r="L10077" s="33" t="str">
        <f>IFERROR(VLOOKUP($J10077,'Informations sur les produits'!$A$3:$H$10000,8,FALSE),"0")</f>
        <v>0</v>
      </c>
      <c r="N10077" s="8"/>
      <c r="O10077" s="33" t="str">
        <f>IFERROR(VLOOKUP($M10077,'Informations sur les produits'!$A$3:$H$10000,8,FALSE),"0")</f>
        <v>0</v>
      </c>
      <c r="P10077" s="33">
        <f t="shared" si="628"/>
        <v>0</v>
      </c>
      <c r="Q10077" s="31" t="str">
        <f t="shared" si="629"/>
        <v/>
      </c>
      <c r="R10077" s="32" t="str">
        <f>IFERROR(VLOOKUP($D10077,'Informations sur les produits'!$A$3:$B$15000,2,FALSE),"")</f>
        <v/>
      </c>
      <c r="V10077">
        <f t="shared" si="630"/>
        <v>0</v>
      </c>
      <c r="W10077">
        <f t="shared" si="631"/>
        <v>0</v>
      </c>
    </row>
    <row r="10078" spans="5:23" x14ac:dyDescent="0.25">
      <c r="E10078" s="4"/>
      <c r="F10078" s="4"/>
      <c r="G10078" s="33" t="str">
        <f>IFERROR(VLOOKUP($D10078,'Informations sur les produits'!$A$3:$H$10000,8,FALSE),"0")</f>
        <v>0</v>
      </c>
      <c r="K10078" s="4"/>
      <c r="L10078" s="33" t="str">
        <f>IFERROR(VLOOKUP($J10078,'Informations sur les produits'!$A$3:$H$10000,8,FALSE),"0")</f>
        <v>0</v>
      </c>
      <c r="N10078" s="8"/>
      <c r="O10078" s="33" t="str">
        <f>IFERROR(VLOOKUP($M10078,'Informations sur les produits'!$A$3:$H$10000,8,FALSE),"0")</f>
        <v>0</v>
      </c>
      <c r="P10078" s="33">
        <f t="shared" si="628"/>
        <v>0</v>
      </c>
      <c r="Q10078" s="31" t="str">
        <f t="shared" si="629"/>
        <v/>
      </c>
      <c r="R10078" s="32" t="str">
        <f>IFERROR(VLOOKUP($D10078,'Informations sur les produits'!$A$3:$B$15000,2,FALSE),"")</f>
        <v/>
      </c>
      <c r="V10078">
        <f t="shared" si="630"/>
        <v>0</v>
      </c>
      <c r="W10078">
        <f t="shared" si="631"/>
        <v>0</v>
      </c>
    </row>
    <row r="10079" spans="5:23" x14ac:dyDescent="0.25">
      <c r="E10079" s="4"/>
      <c r="F10079" s="4"/>
      <c r="G10079" s="33" t="str">
        <f>IFERROR(VLOOKUP($D10079,'Informations sur les produits'!$A$3:$H$10000,8,FALSE),"0")</f>
        <v>0</v>
      </c>
      <c r="K10079" s="4"/>
      <c r="L10079" s="33" t="str">
        <f>IFERROR(VLOOKUP($J10079,'Informations sur les produits'!$A$3:$H$10000,8,FALSE),"0")</f>
        <v>0</v>
      </c>
      <c r="N10079" s="8"/>
      <c r="O10079" s="33" t="str">
        <f>IFERROR(VLOOKUP($M10079,'Informations sur les produits'!$A$3:$H$10000,8,FALSE),"0")</f>
        <v>0</v>
      </c>
      <c r="P10079" s="33">
        <f t="shared" si="628"/>
        <v>0</v>
      </c>
      <c r="Q10079" s="31" t="str">
        <f t="shared" si="629"/>
        <v/>
      </c>
      <c r="R10079" s="32" t="str">
        <f>IFERROR(VLOOKUP($D10079,'Informations sur les produits'!$A$3:$B$15000,2,FALSE),"")</f>
        <v/>
      </c>
      <c r="V10079">
        <f t="shared" si="630"/>
        <v>0</v>
      </c>
      <c r="W10079">
        <f t="shared" si="631"/>
        <v>0</v>
      </c>
    </row>
    <row r="10080" spans="5:23" x14ac:dyDescent="0.25">
      <c r="E10080" s="4"/>
      <c r="F10080" s="4"/>
      <c r="G10080" s="33" t="str">
        <f>IFERROR(VLOOKUP($D10080,'Informations sur les produits'!$A$3:$H$10000,8,FALSE),"0")</f>
        <v>0</v>
      </c>
      <c r="K10080" s="4"/>
      <c r="L10080" s="33" t="str">
        <f>IFERROR(VLOOKUP($J10080,'Informations sur les produits'!$A$3:$H$10000,8,FALSE),"0")</f>
        <v>0</v>
      </c>
      <c r="N10080" s="8"/>
      <c r="O10080" s="33" t="str">
        <f>IFERROR(VLOOKUP($M10080,'Informations sur les produits'!$A$3:$H$10000,8,FALSE),"0")</f>
        <v>0</v>
      </c>
      <c r="P10080" s="33">
        <f t="shared" si="628"/>
        <v>0</v>
      </c>
      <c r="Q10080" s="31" t="str">
        <f t="shared" si="629"/>
        <v/>
      </c>
      <c r="R10080" s="32" t="str">
        <f>IFERROR(VLOOKUP($D10080,'Informations sur les produits'!$A$3:$B$15000,2,FALSE),"")</f>
        <v/>
      </c>
      <c r="V10080">
        <f t="shared" si="630"/>
        <v>0</v>
      </c>
      <c r="W10080">
        <f t="shared" si="631"/>
        <v>0</v>
      </c>
    </row>
    <row r="10081" spans="5:23" x14ac:dyDescent="0.25">
      <c r="E10081" s="4"/>
      <c r="F10081" s="4"/>
      <c r="G10081" s="33" t="str">
        <f>IFERROR(VLOOKUP($D10081,'Informations sur les produits'!$A$3:$H$10000,8,FALSE),"0")</f>
        <v>0</v>
      </c>
      <c r="K10081" s="4"/>
      <c r="L10081" s="33" t="str">
        <f>IFERROR(VLOOKUP($J10081,'Informations sur les produits'!$A$3:$H$10000,8,FALSE),"0")</f>
        <v>0</v>
      </c>
      <c r="N10081" s="8"/>
      <c r="O10081" s="33" t="str">
        <f>IFERROR(VLOOKUP($M10081,'Informations sur les produits'!$A$3:$H$10000,8,FALSE),"0")</f>
        <v>0</v>
      </c>
      <c r="P10081" s="33">
        <f t="shared" si="628"/>
        <v>0</v>
      </c>
      <c r="Q10081" s="31" t="str">
        <f t="shared" si="629"/>
        <v/>
      </c>
      <c r="R10081" s="32" t="str">
        <f>IFERROR(VLOOKUP($D10081,'Informations sur les produits'!$A$3:$B$15000,2,FALSE),"")</f>
        <v/>
      </c>
      <c r="V10081">
        <f t="shared" si="630"/>
        <v>0</v>
      </c>
      <c r="W10081">
        <f t="shared" si="631"/>
        <v>0</v>
      </c>
    </row>
    <row r="10082" spans="5:23" x14ac:dyDescent="0.25">
      <c r="E10082" s="4"/>
      <c r="F10082" s="4"/>
      <c r="G10082" s="33" t="str">
        <f>IFERROR(VLOOKUP($D10082,'Informations sur les produits'!$A$3:$H$10000,8,FALSE),"0")</f>
        <v>0</v>
      </c>
      <c r="K10082" s="4"/>
      <c r="L10082" s="33" t="str">
        <f>IFERROR(VLOOKUP($J10082,'Informations sur les produits'!$A$3:$H$10000,8,FALSE),"0")</f>
        <v>0</v>
      </c>
      <c r="N10082" s="8"/>
      <c r="O10082" s="33" t="str">
        <f>IFERROR(VLOOKUP($M10082,'Informations sur les produits'!$A$3:$H$10000,8,FALSE),"0")</f>
        <v>0</v>
      </c>
      <c r="P10082" s="33">
        <f t="shared" si="628"/>
        <v>0</v>
      </c>
      <c r="Q10082" s="31" t="str">
        <f t="shared" si="629"/>
        <v/>
      </c>
      <c r="R10082" s="32" t="str">
        <f>IFERROR(VLOOKUP($D10082,'Informations sur les produits'!$A$3:$B$15000,2,FALSE),"")</f>
        <v/>
      </c>
      <c r="V10082">
        <f t="shared" si="630"/>
        <v>0</v>
      </c>
      <c r="W10082">
        <f t="shared" si="631"/>
        <v>0</v>
      </c>
    </row>
    <row r="10083" spans="5:23" x14ac:dyDescent="0.25">
      <c r="E10083" s="4"/>
      <c r="F10083" s="4"/>
      <c r="G10083" s="33" t="str">
        <f>IFERROR(VLOOKUP($D10083,'Informations sur les produits'!$A$3:$H$10000,8,FALSE),"0")</f>
        <v>0</v>
      </c>
      <c r="K10083" s="4"/>
      <c r="L10083" s="33" t="str">
        <f>IFERROR(VLOOKUP($J10083,'Informations sur les produits'!$A$3:$H$10000,8,FALSE),"0")</f>
        <v>0</v>
      </c>
      <c r="N10083" s="8"/>
      <c r="O10083" s="33" t="str">
        <f>IFERROR(VLOOKUP($M10083,'Informations sur les produits'!$A$3:$H$10000,8,FALSE),"0")</f>
        <v>0</v>
      </c>
      <c r="P10083" s="33">
        <f t="shared" si="628"/>
        <v>0</v>
      </c>
      <c r="Q10083" s="31" t="str">
        <f t="shared" si="629"/>
        <v/>
      </c>
      <c r="R10083" s="32" t="str">
        <f>IFERROR(VLOOKUP($D10083,'Informations sur les produits'!$A$3:$B$15000,2,FALSE),"")</f>
        <v/>
      </c>
      <c r="V10083">
        <f t="shared" si="630"/>
        <v>0</v>
      </c>
      <c r="W10083">
        <f t="shared" si="631"/>
        <v>0</v>
      </c>
    </row>
    <row r="10084" spans="5:23" x14ac:dyDescent="0.25">
      <c r="E10084" s="4"/>
      <c r="F10084" s="4"/>
      <c r="G10084" s="33" t="str">
        <f>IFERROR(VLOOKUP($D10084,'Informations sur les produits'!$A$3:$H$10000,8,FALSE),"0")</f>
        <v>0</v>
      </c>
      <c r="K10084" s="4"/>
      <c r="L10084" s="33" t="str">
        <f>IFERROR(VLOOKUP($J10084,'Informations sur les produits'!$A$3:$H$10000,8,FALSE),"0")</f>
        <v>0</v>
      </c>
      <c r="N10084" s="8"/>
      <c r="O10084" s="33" t="str">
        <f>IFERROR(VLOOKUP($M10084,'Informations sur les produits'!$A$3:$H$10000,8,FALSE),"0")</f>
        <v>0</v>
      </c>
      <c r="P10084" s="33">
        <f t="shared" si="628"/>
        <v>0</v>
      </c>
      <c r="Q10084" s="31" t="str">
        <f t="shared" si="629"/>
        <v/>
      </c>
      <c r="R10084" s="32" t="str">
        <f>IFERROR(VLOOKUP($D10084,'Informations sur les produits'!$A$3:$B$15000,2,FALSE),"")</f>
        <v/>
      </c>
      <c r="V10084">
        <f t="shared" si="630"/>
        <v>0</v>
      </c>
      <c r="W10084">
        <f t="shared" si="631"/>
        <v>0</v>
      </c>
    </row>
    <row r="10085" spans="5:23" x14ac:dyDescent="0.25">
      <c r="E10085" s="4"/>
      <c r="F10085" s="4"/>
      <c r="G10085" s="33" t="str">
        <f>IFERROR(VLOOKUP($D10085,'Informations sur les produits'!$A$3:$H$10000,8,FALSE),"0")</f>
        <v>0</v>
      </c>
      <c r="K10085" s="4"/>
      <c r="L10085" s="33" t="str">
        <f>IFERROR(VLOOKUP($J10085,'Informations sur les produits'!$A$3:$H$10000,8,FALSE),"0")</f>
        <v>0</v>
      </c>
      <c r="N10085" s="8"/>
      <c r="O10085" s="33" t="str">
        <f>IFERROR(VLOOKUP($M10085,'Informations sur les produits'!$A$3:$H$10000,8,FALSE),"0")</f>
        <v>0</v>
      </c>
      <c r="P10085" s="33">
        <f t="shared" si="628"/>
        <v>0</v>
      </c>
      <c r="Q10085" s="31" t="str">
        <f t="shared" si="629"/>
        <v/>
      </c>
      <c r="R10085" s="32" t="str">
        <f>IFERROR(VLOOKUP($D10085,'Informations sur les produits'!$A$3:$B$15000,2,FALSE),"")</f>
        <v/>
      </c>
      <c r="V10085">
        <f t="shared" si="630"/>
        <v>0</v>
      </c>
      <c r="W10085">
        <f t="shared" si="631"/>
        <v>0</v>
      </c>
    </row>
    <row r="10086" spans="5:23" x14ac:dyDescent="0.25">
      <c r="E10086" s="4"/>
      <c r="F10086" s="4"/>
      <c r="G10086" s="33" t="str">
        <f>IFERROR(VLOOKUP($D10086,'Informations sur les produits'!$A$3:$H$10000,8,FALSE),"0")</f>
        <v>0</v>
      </c>
      <c r="K10086" s="4"/>
      <c r="L10086" s="33" t="str">
        <f>IFERROR(VLOOKUP($J10086,'Informations sur les produits'!$A$3:$H$10000,8,FALSE),"0")</f>
        <v>0</v>
      </c>
      <c r="N10086" s="8"/>
      <c r="O10086" s="33" t="str">
        <f>IFERROR(VLOOKUP($M10086,'Informations sur les produits'!$A$3:$H$10000,8,FALSE),"0")</f>
        <v>0</v>
      </c>
      <c r="P10086" s="33">
        <f t="shared" si="628"/>
        <v>0</v>
      </c>
      <c r="Q10086" s="31" t="str">
        <f t="shared" si="629"/>
        <v/>
      </c>
      <c r="R10086" s="32" t="str">
        <f>IFERROR(VLOOKUP($D10086,'Informations sur les produits'!$A$3:$B$15000,2,FALSE),"")</f>
        <v/>
      </c>
      <c r="V10086">
        <f t="shared" si="630"/>
        <v>0</v>
      </c>
      <c r="W10086">
        <f t="shared" si="631"/>
        <v>0</v>
      </c>
    </row>
    <row r="10087" spans="5:23" x14ac:dyDescent="0.25">
      <c r="E10087" s="4"/>
      <c r="F10087" s="4"/>
      <c r="G10087" s="33" t="str">
        <f>IFERROR(VLOOKUP($D10087,'Informations sur les produits'!$A$3:$H$10000,8,FALSE),"0")</f>
        <v>0</v>
      </c>
      <c r="K10087" s="4"/>
      <c r="L10087" s="33" t="str">
        <f>IFERROR(VLOOKUP($J10087,'Informations sur les produits'!$A$3:$H$10000,8,FALSE),"0")</f>
        <v>0</v>
      </c>
      <c r="N10087" s="8"/>
      <c r="O10087" s="33" t="str">
        <f>IFERROR(VLOOKUP($M10087,'Informations sur les produits'!$A$3:$H$10000,8,FALSE),"0")</f>
        <v>0</v>
      </c>
      <c r="P10087" s="33">
        <f t="shared" si="628"/>
        <v>0</v>
      </c>
      <c r="Q10087" s="31" t="str">
        <f t="shared" si="629"/>
        <v/>
      </c>
      <c r="R10087" s="32" t="str">
        <f>IFERROR(VLOOKUP($D10087,'Informations sur les produits'!$A$3:$B$15000,2,FALSE),"")</f>
        <v/>
      </c>
      <c r="V10087">
        <f t="shared" si="630"/>
        <v>0</v>
      </c>
      <c r="W10087">
        <f t="shared" si="631"/>
        <v>0</v>
      </c>
    </row>
    <row r="10088" spans="5:23" x14ac:dyDescent="0.25">
      <c r="E10088" s="4"/>
      <c r="F10088" s="4"/>
      <c r="G10088" s="33" t="str">
        <f>IFERROR(VLOOKUP($D10088,'Informations sur les produits'!$A$3:$H$10000,8,FALSE),"0")</f>
        <v>0</v>
      </c>
      <c r="K10088" s="4"/>
      <c r="L10088" s="33" t="str">
        <f>IFERROR(VLOOKUP($J10088,'Informations sur les produits'!$A$3:$H$10000,8,FALSE),"0")</f>
        <v>0</v>
      </c>
      <c r="N10088" s="8"/>
      <c r="O10088" s="33" t="str">
        <f>IFERROR(VLOOKUP($M10088,'Informations sur les produits'!$A$3:$H$10000,8,FALSE),"0")</f>
        <v>0</v>
      </c>
      <c r="P10088" s="33">
        <f t="shared" si="628"/>
        <v>0</v>
      </c>
      <c r="Q10088" s="31" t="str">
        <f t="shared" si="629"/>
        <v/>
      </c>
      <c r="R10088" s="32" t="str">
        <f>IFERROR(VLOOKUP($D10088,'Informations sur les produits'!$A$3:$B$15000,2,FALSE),"")</f>
        <v/>
      </c>
      <c r="V10088">
        <f t="shared" si="630"/>
        <v>0</v>
      </c>
      <c r="W10088">
        <f t="shared" si="631"/>
        <v>0</v>
      </c>
    </row>
    <row r="10089" spans="5:23" x14ac:dyDescent="0.25">
      <c r="E10089" s="4"/>
      <c r="F10089" s="4"/>
      <c r="G10089" s="33" t="str">
        <f>IFERROR(VLOOKUP($D10089,'Informations sur les produits'!$A$3:$H$10000,8,FALSE),"0")</f>
        <v>0</v>
      </c>
      <c r="K10089" s="4"/>
      <c r="L10089" s="33" t="str">
        <f>IFERROR(VLOOKUP($J10089,'Informations sur les produits'!$A$3:$H$10000,8,FALSE),"0")</f>
        <v>0</v>
      </c>
      <c r="N10089" s="8"/>
      <c r="O10089" s="33" t="str">
        <f>IFERROR(VLOOKUP($M10089,'Informations sur les produits'!$A$3:$H$10000,8,FALSE),"0")</f>
        <v>0</v>
      </c>
      <c r="P10089" s="33">
        <f t="shared" si="628"/>
        <v>0</v>
      </c>
      <c r="Q10089" s="31" t="str">
        <f t="shared" si="629"/>
        <v/>
      </c>
      <c r="R10089" s="32" t="str">
        <f>IFERROR(VLOOKUP($D10089,'Informations sur les produits'!$A$3:$B$15000,2,FALSE),"")</f>
        <v/>
      </c>
      <c r="V10089">
        <f t="shared" si="630"/>
        <v>0</v>
      </c>
      <c r="W10089">
        <f t="shared" si="631"/>
        <v>0</v>
      </c>
    </row>
    <row r="10090" spans="5:23" x14ac:dyDescent="0.25">
      <c r="E10090" s="4"/>
      <c r="F10090" s="4"/>
      <c r="G10090" s="33" t="str">
        <f>IFERROR(VLOOKUP($D10090,'Informations sur les produits'!$A$3:$H$10000,8,FALSE),"0")</f>
        <v>0</v>
      </c>
      <c r="K10090" s="4"/>
      <c r="L10090" s="33" t="str">
        <f>IFERROR(VLOOKUP($J10090,'Informations sur les produits'!$A$3:$H$10000,8,FALSE),"0")</f>
        <v>0</v>
      </c>
      <c r="N10090" s="8"/>
      <c r="O10090" s="33" t="str">
        <f>IFERROR(VLOOKUP($M10090,'Informations sur les produits'!$A$3:$H$10000,8,FALSE),"0")</f>
        <v>0</v>
      </c>
      <c r="P10090" s="33">
        <f t="shared" si="628"/>
        <v>0</v>
      </c>
      <c r="Q10090" s="31" t="str">
        <f t="shared" si="629"/>
        <v/>
      </c>
      <c r="R10090" s="32" t="str">
        <f>IFERROR(VLOOKUP($D10090,'Informations sur les produits'!$A$3:$B$15000,2,FALSE),"")</f>
        <v/>
      </c>
      <c r="V10090">
        <f t="shared" si="630"/>
        <v>0</v>
      </c>
      <c r="W10090">
        <f t="shared" si="631"/>
        <v>0</v>
      </c>
    </row>
    <row r="10091" spans="5:23" x14ac:dyDescent="0.25">
      <c r="E10091" s="4"/>
      <c r="F10091" s="4"/>
      <c r="G10091" s="33" t="str">
        <f>IFERROR(VLOOKUP($D10091,'Informations sur les produits'!$A$3:$H$10000,8,FALSE),"0")</f>
        <v>0</v>
      </c>
      <c r="K10091" s="4"/>
      <c r="L10091" s="33" t="str">
        <f>IFERROR(VLOOKUP($J10091,'Informations sur les produits'!$A$3:$H$10000,8,FALSE),"0")</f>
        <v>0</v>
      </c>
      <c r="N10091" s="8"/>
      <c r="O10091" s="33" t="str">
        <f>IFERROR(VLOOKUP($M10091,'Informations sur les produits'!$A$3:$H$10000,8,FALSE),"0")</f>
        <v>0</v>
      </c>
      <c r="P10091" s="33">
        <f t="shared" si="628"/>
        <v>0</v>
      </c>
      <c r="Q10091" s="31" t="str">
        <f t="shared" si="629"/>
        <v/>
      </c>
      <c r="R10091" s="32" t="str">
        <f>IFERROR(VLOOKUP($D10091,'Informations sur les produits'!$A$3:$B$15000,2,FALSE),"")</f>
        <v/>
      </c>
      <c r="V10091">
        <f t="shared" si="630"/>
        <v>0</v>
      </c>
      <c r="W10091">
        <f t="shared" si="631"/>
        <v>0</v>
      </c>
    </row>
    <row r="10092" spans="5:23" x14ac:dyDescent="0.25">
      <c r="E10092" s="4"/>
      <c r="F10092" s="4"/>
      <c r="G10092" s="33" t="str">
        <f>IFERROR(VLOOKUP($D10092,'Informations sur les produits'!$A$3:$H$10000,8,FALSE),"0")</f>
        <v>0</v>
      </c>
      <c r="K10092" s="4"/>
      <c r="L10092" s="33" t="str">
        <f>IFERROR(VLOOKUP($J10092,'Informations sur les produits'!$A$3:$H$10000,8,FALSE),"0")</f>
        <v>0</v>
      </c>
      <c r="N10092" s="8"/>
      <c r="O10092" s="33" t="str">
        <f>IFERROR(VLOOKUP($M10092,'Informations sur les produits'!$A$3:$H$10000,8,FALSE),"0")</f>
        <v>0</v>
      </c>
      <c r="P10092" s="33">
        <f t="shared" si="628"/>
        <v>0</v>
      </c>
      <c r="Q10092" s="31" t="str">
        <f t="shared" si="629"/>
        <v/>
      </c>
      <c r="R10092" s="32" t="str">
        <f>IFERROR(VLOOKUP($D10092,'Informations sur les produits'!$A$3:$B$15000,2,FALSE),"")</f>
        <v/>
      </c>
      <c r="V10092">
        <f t="shared" si="630"/>
        <v>0</v>
      </c>
      <c r="W10092">
        <f t="shared" si="631"/>
        <v>0</v>
      </c>
    </row>
    <row r="10093" spans="5:23" x14ac:dyDescent="0.25">
      <c r="E10093" s="4"/>
      <c r="F10093" s="4"/>
      <c r="G10093" s="33" t="str">
        <f>IFERROR(VLOOKUP($D10093,'Informations sur les produits'!$A$3:$H$10000,8,FALSE),"0")</f>
        <v>0</v>
      </c>
      <c r="K10093" s="4"/>
      <c r="L10093" s="33" t="str">
        <f>IFERROR(VLOOKUP($J10093,'Informations sur les produits'!$A$3:$H$10000,8,FALSE),"0")</f>
        <v>0</v>
      </c>
      <c r="N10093" s="8"/>
      <c r="O10093" s="33" t="str">
        <f>IFERROR(VLOOKUP($M10093,'Informations sur les produits'!$A$3:$H$10000,8,FALSE),"0")</f>
        <v>0</v>
      </c>
      <c r="P10093" s="33">
        <f t="shared" si="628"/>
        <v>0</v>
      </c>
      <c r="Q10093" s="31" t="str">
        <f t="shared" si="629"/>
        <v/>
      </c>
      <c r="R10093" s="32" t="str">
        <f>IFERROR(VLOOKUP($D10093,'Informations sur les produits'!$A$3:$B$15000,2,FALSE),"")</f>
        <v/>
      </c>
      <c r="V10093">
        <f t="shared" si="630"/>
        <v>0</v>
      </c>
      <c r="W10093">
        <f t="shared" si="631"/>
        <v>0</v>
      </c>
    </row>
    <row r="10094" spans="5:23" x14ac:dyDescent="0.25">
      <c r="E10094" s="4"/>
      <c r="F10094" s="4"/>
      <c r="G10094" s="33" t="str">
        <f>IFERROR(VLOOKUP($D10094,'Informations sur les produits'!$A$3:$H$10000,8,FALSE),"0")</f>
        <v>0</v>
      </c>
      <c r="K10094" s="4"/>
      <c r="L10094" s="33" t="str">
        <f>IFERROR(VLOOKUP($J10094,'Informations sur les produits'!$A$3:$H$10000,8,FALSE),"0")</f>
        <v>0</v>
      </c>
      <c r="N10094" s="8"/>
      <c r="O10094" s="33" t="str">
        <f>IFERROR(VLOOKUP($M10094,'Informations sur les produits'!$A$3:$H$10000,8,FALSE),"0")</f>
        <v>0</v>
      </c>
      <c r="P10094" s="33">
        <f t="shared" si="628"/>
        <v>0</v>
      </c>
      <c r="Q10094" s="31" t="str">
        <f t="shared" si="629"/>
        <v/>
      </c>
      <c r="R10094" s="32" t="str">
        <f>IFERROR(VLOOKUP($D10094,'Informations sur les produits'!$A$3:$B$15000,2,FALSE),"")</f>
        <v/>
      </c>
      <c r="V10094">
        <f t="shared" si="630"/>
        <v>0</v>
      </c>
      <c r="W10094">
        <f t="shared" si="631"/>
        <v>0</v>
      </c>
    </row>
    <row r="10095" spans="5:23" x14ac:dyDescent="0.25">
      <c r="E10095" s="4"/>
      <c r="F10095" s="4"/>
      <c r="G10095" s="33" t="str">
        <f>IFERROR(VLOOKUP($D10095,'Informations sur les produits'!$A$3:$H$10000,8,FALSE),"0")</f>
        <v>0</v>
      </c>
      <c r="K10095" s="4"/>
      <c r="L10095" s="33" t="str">
        <f>IFERROR(VLOOKUP($J10095,'Informations sur les produits'!$A$3:$H$10000,8,FALSE),"0")</f>
        <v>0</v>
      </c>
      <c r="N10095" s="8"/>
      <c r="O10095" s="33" t="str">
        <f>IFERROR(VLOOKUP($M10095,'Informations sur les produits'!$A$3:$H$10000,8,FALSE),"0")</f>
        <v>0</v>
      </c>
      <c r="P10095" s="33">
        <f t="shared" si="628"/>
        <v>0</v>
      </c>
      <c r="Q10095" s="31" t="str">
        <f t="shared" si="629"/>
        <v/>
      </c>
      <c r="R10095" s="32" t="str">
        <f>IFERROR(VLOOKUP($D10095,'Informations sur les produits'!$A$3:$B$15000,2,FALSE),"")</f>
        <v/>
      </c>
      <c r="V10095">
        <f t="shared" si="630"/>
        <v>0</v>
      </c>
      <c r="W10095">
        <f t="shared" si="631"/>
        <v>0</v>
      </c>
    </row>
    <row r="10096" spans="5:23" x14ac:dyDescent="0.25">
      <c r="E10096" s="4"/>
      <c r="F10096" s="4"/>
      <c r="G10096" s="33" t="str">
        <f>IFERROR(VLOOKUP($D10096,'Informations sur les produits'!$A$3:$H$10000,8,FALSE),"0")</f>
        <v>0</v>
      </c>
      <c r="K10096" s="4"/>
      <c r="L10096" s="33" t="str">
        <f>IFERROR(VLOOKUP($J10096,'Informations sur les produits'!$A$3:$H$10000,8,FALSE),"0")</f>
        <v>0</v>
      </c>
      <c r="N10096" s="8"/>
      <c r="O10096" s="33" t="str">
        <f>IFERROR(VLOOKUP($M10096,'Informations sur les produits'!$A$3:$H$10000,8,FALSE),"0")</f>
        <v>0</v>
      </c>
      <c r="P10096" s="33">
        <f t="shared" si="628"/>
        <v>0</v>
      </c>
      <c r="Q10096" s="31" t="str">
        <f t="shared" si="629"/>
        <v/>
      </c>
      <c r="R10096" s="32" t="str">
        <f>IFERROR(VLOOKUP($D10096,'Informations sur les produits'!$A$3:$B$15000,2,FALSE),"")</f>
        <v/>
      </c>
      <c r="V10096">
        <f t="shared" si="630"/>
        <v>0</v>
      </c>
      <c r="W10096">
        <f t="shared" si="631"/>
        <v>0</v>
      </c>
    </row>
    <row r="10097" spans="5:23" x14ac:dyDescent="0.25">
      <c r="E10097" s="4"/>
      <c r="F10097" s="4"/>
      <c r="G10097" s="33" t="str">
        <f>IFERROR(VLOOKUP($D10097,'Informations sur les produits'!$A$3:$H$10000,8,FALSE),"0")</f>
        <v>0</v>
      </c>
      <c r="K10097" s="4"/>
      <c r="L10097" s="33" t="str">
        <f>IFERROR(VLOOKUP($J10097,'Informations sur les produits'!$A$3:$H$10000,8,FALSE),"0")</f>
        <v>0</v>
      </c>
      <c r="N10097" s="8"/>
      <c r="O10097" s="33" t="str">
        <f>IFERROR(VLOOKUP($M10097,'Informations sur les produits'!$A$3:$H$10000,8,FALSE),"0")</f>
        <v>0</v>
      </c>
      <c r="P10097" s="33">
        <f t="shared" si="628"/>
        <v>0</v>
      </c>
      <c r="Q10097" s="31" t="str">
        <f t="shared" si="629"/>
        <v/>
      </c>
      <c r="R10097" s="32" t="str">
        <f>IFERROR(VLOOKUP($D10097,'Informations sur les produits'!$A$3:$B$15000,2,FALSE),"")</f>
        <v/>
      </c>
      <c r="V10097">
        <f t="shared" si="630"/>
        <v>0</v>
      </c>
      <c r="W10097">
        <f t="shared" si="631"/>
        <v>0</v>
      </c>
    </row>
    <row r="10098" spans="5:23" x14ac:dyDescent="0.25">
      <c r="E10098" s="4"/>
      <c r="F10098" s="4"/>
      <c r="G10098" s="33" t="str">
        <f>IFERROR(VLOOKUP($D10098,'Informations sur les produits'!$A$3:$H$10000,8,FALSE),"0")</f>
        <v>0</v>
      </c>
      <c r="K10098" s="4"/>
      <c r="L10098" s="33" t="str">
        <f>IFERROR(VLOOKUP($J10098,'Informations sur les produits'!$A$3:$H$10000,8,FALSE),"0")</f>
        <v>0</v>
      </c>
      <c r="N10098" s="8"/>
      <c r="O10098" s="33" t="str">
        <f>IFERROR(VLOOKUP($M10098,'Informations sur les produits'!$A$3:$H$10000,8,FALSE),"0")</f>
        <v>0</v>
      </c>
      <c r="P10098" s="33">
        <f t="shared" si="628"/>
        <v>0</v>
      </c>
      <c r="Q10098" s="31" t="str">
        <f t="shared" si="629"/>
        <v/>
      </c>
      <c r="R10098" s="32" t="str">
        <f>IFERROR(VLOOKUP($D10098,'Informations sur les produits'!$A$3:$B$15000,2,FALSE),"")</f>
        <v/>
      </c>
      <c r="V10098">
        <f t="shared" si="630"/>
        <v>0</v>
      </c>
      <c r="W10098">
        <f t="shared" si="631"/>
        <v>0</v>
      </c>
    </row>
    <row r="10099" spans="5:23" x14ac:dyDescent="0.25">
      <c r="E10099" s="4"/>
      <c r="F10099" s="4"/>
      <c r="G10099" s="33" t="str">
        <f>IFERROR(VLOOKUP($D10099,'Informations sur les produits'!$A$3:$H$10000,8,FALSE),"0")</f>
        <v>0</v>
      </c>
      <c r="K10099" s="4"/>
      <c r="L10099" s="33" t="str">
        <f>IFERROR(VLOOKUP($J10099,'Informations sur les produits'!$A$3:$H$10000,8,FALSE),"0")</f>
        <v>0</v>
      </c>
      <c r="N10099" s="8"/>
      <c r="O10099" s="33" t="str">
        <f>IFERROR(VLOOKUP($M10099,'Informations sur les produits'!$A$3:$H$10000,8,FALSE),"0")</f>
        <v>0</v>
      </c>
      <c r="P10099" s="33">
        <f t="shared" si="628"/>
        <v>0</v>
      </c>
      <c r="Q10099" s="31" t="str">
        <f t="shared" si="629"/>
        <v/>
      </c>
      <c r="R10099" s="32" t="str">
        <f>IFERROR(VLOOKUP($D10099,'Informations sur les produits'!$A$3:$B$15000,2,FALSE),"")</f>
        <v/>
      </c>
      <c r="V10099">
        <f t="shared" si="630"/>
        <v>0</v>
      </c>
      <c r="W10099">
        <f t="shared" si="631"/>
        <v>0</v>
      </c>
    </row>
    <row r="10100" spans="5:23" x14ac:dyDescent="0.25">
      <c r="E10100" s="4"/>
      <c r="F10100" s="4"/>
      <c r="G10100" s="33" t="str">
        <f>IFERROR(VLOOKUP($D10100,'Informations sur les produits'!$A$3:$H$10000,8,FALSE),"0")</f>
        <v>0</v>
      </c>
      <c r="K10100" s="4"/>
      <c r="L10100" s="33" t="str">
        <f>IFERROR(VLOOKUP($J10100,'Informations sur les produits'!$A$3:$H$10000,8,FALSE),"0")</f>
        <v>0</v>
      </c>
      <c r="N10100" s="8"/>
      <c r="O10100" s="33" t="str">
        <f>IFERROR(VLOOKUP($M10100,'Informations sur les produits'!$A$3:$H$10000,8,FALSE),"0")</f>
        <v>0</v>
      </c>
      <c r="P10100" s="33">
        <f t="shared" si="628"/>
        <v>0</v>
      </c>
      <c r="Q10100" s="31" t="str">
        <f t="shared" si="629"/>
        <v/>
      </c>
      <c r="R10100" s="32" t="str">
        <f>IFERROR(VLOOKUP($D10100,'Informations sur les produits'!$A$3:$B$15000,2,FALSE),"")</f>
        <v/>
      </c>
      <c r="V10100">
        <f t="shared" si="630"/>
        <v>0</v>
      </c>
      <c r="W10100">
        <f t="shared" si="631"/>
        <v>0</v>
      </c>
    </row>
    <row r="10101" spans="5:23" x14ac:dyDescent="0.25">
      <c r="E10101" s="4"/>
      <c r="F10101" s="4"/>
      <c r="G10101" s="33" t="str">
        <f>IFERROR(VLOOKUP($D10101,'Informations sur les produits'!$A$3:$H$10000,8,FALSE),"0")</f>
        <v>0</v>
      </c>
      <c r="K10101" s="4"/>
      <c r="L10101" s="33" t="str">
        <f>IFERROR(VLOOKUP($J10101,'Informations sur les produits'!$A$3:$H$10000,8,FALSE),"0")</f>
        <v>0</v>
      </c>
      <c r="N10101" s="8"/>
      <c r="O10101" s="33" t="str">
        <f>IFERROR(VLOOKUP($M10101,'Informations sur les produits'!$A$3:$H$10000,8,FALSE),"0")</f>
        <v>0</v>
      </c>
      <c r="P10101" s="33">
        <f t="shared" si="628"/>
        <v>0</v>
      </c>
      <c r="Q10101" s="31" t="str">
        <f t="shared" si="629"/>
        <v/>
      </c>
      <c r="R10101" s="32" t="str">
        <f>IFERROR(VLOOKUP($D10101,'Informations sur les produits'!$A$3:$B$15000,2,FALSE),"")</f>
        <v/>
      </c>
      <c r="V10101">
        <f t="shared" si="630"/>
        <v>0</v>
      </c>
      <c r="W10101">
        <f t="shared" si="631"/>
        <v>0</v>
      </c>
    </row>
    <row r="10102" spans="5:23" x14ac:dyDescent="0.25">
      <c r="E10102" s="4"/>
      <c r="F10102" s="4"/>
      <c r="G10102" s="33" t="str">
        <f>IFERROR(VLOOKUP($D10102,'Informations sur les produits'!$A$3:$H$10000,8,FALSE),"0")</f>
        <v>0</v>
      </c>
      <c r="K10102" s="4"/>
      <c r="L10102" s="33" t="str">
        <f>IFERROR(VLOOKUP($J10102,'Informations sur les produits'!$A$3:$H$10000,8,FALSE),"0")</f>
        <v>0</v>
      </c>
      <c r="N10102" s="8"/>
      <c r="O10102" s="33" t="str">
        <f>IFERROR(VLOOKUP($M10102,'Informations sur les produits'!$A$3:$H$10000,8,FALSE),"0")</f>
        <v>0</v>
      </c>
      <c r="P10102" s="33">
        <f t="shared" si="628"/>
        <v>0</v>
      </c>
      <c r="Q10102" s="31" t="str">
        <f t="shared" si="629"/>
        <v/>
      </c>
      <c r="R10102" s="32" t="str">
        <f>IFERROR(VLOOKUP($D10102,'Informations sur les produits'!$A$3:$B$15000,2,FALSE),"")</f>
        <v/>
      </c>
      <c r="V10102">
        <f t="shared" si="630"/>
        <v>0</v>
      </c>
      <c r="W10102">
        <f t="shared" si="631"/>
        <v>0</v>
      </c>
    </row>
    <row r="10103" spans="5:23" x14ac:dyDescent="0.25">
      <c r="E10103" s="4"/>
      <c r="F10103" s="4"/>
      <c r="G10103" s="33" t="str">
        <f>IFERROR(VLOOKUP($D10103,'Informations sur les produits'!$A$3:$H$10000,8,FALSE),"0")</f>
        <v>0</v>
      </c>
      <c r="K10103" s="4"/>
      <c r="L10103" s="33" t="str">
        <f>IFERROR(VLOOKUP($J10103,'Informations sur les produits'!$A$3:$H$10000,8,FALSE),"0")</f>
        <v>0</v>
      </c>
      <c r="N10103" s="8"/>
      <c r="O10103" s="33" t="str">
        <f>IFERROR(VLOOKUP($M10103,'Informations sur les produits'!$A$3:$H$10000,8,FALSE),"0")</f>
        <v>0</v>
      </c>
      <c r="P10103" s="33">
        <f t="shared" si="628"/>
        <v>0</v>
      </c>
      <c r="Q10103" s="31" t="str">
        <f t="shared" si="629"/>
        <v/>
      </c>
      <c r="R10103" s="32" t="str">
        <f>IFERROR(VLOOKUP($D10103,'Informations sur les produits'!$A$3:$B$15000,2,FALSE),"")</f>
        <v/>
      </c>
      <c r="V10103">
        <f t="shared" si="630"/>
        <v>0</v>
      </c>
      <c r="W10103">
        <f t="shared" si="631"/>
        <v>0</v>
      </c>
    </row>
    <row r="10104" spans="5:23" x14ac:dyDescent="0.25">
      <c r="E10104" s="4"/>
      <c r="F10104" s="4"/>
      <c r="G10104" s="33" t="str">
        <f>IFERROR(VLOOKUP($D10104,'Informations sur les produits'!$A$3:$H$10000,8,FALSE),"0")</f>
        <v>0</v>
      </c>
      <c r="K10104" s="4"/>
      <c r="L10104" s="33" t="str">
        <f>IFERROR(VLOOKUP($J10104,'Informations sur les produits'!$A$3:$H$10000,8,FALSE),"0")</f>
        <v>0</v>
      </c>
      <c r="N10104" s="8"/>
      <c r="O10104" s="33" t="str">
        <f>IFERROR(VLOOKUP($M10104,'Informations sur les produits'!$A$3:$H$10000,8,FALSE),"0")</f>
        <v>0</v>
      </c>
      <c r="P10104" s="33">
        <f t="shared" si="628"/>
        <v>0</v>
      </c>
      <c r="Q10104" s="31" t="str">
        <f t="shared" si="629"/>
        <v/>
      </c>
      <c r="R10104" s="32" t="str">
        <f>IFERROR(VLOOKUP($D10104,'Informations sur les produits'!$A$3:$B$15000,2,FALSE),"")</f>
        <v/>
      </c>
      <c r="V10104">
        <f t="shared" si="630"/>
        <v>0</v>
      </c>
      <c r="W10104">
        <f t="shared" si="631"/>
        <v>0</v>
      </c>
    </row>
    <row r="10105" spans="5:23" x14ac:dyDescent="0.25">
      <c r="E10105" s="4"/>
      <c r="F10105" s="4"/>
      <c r="G10105" s="33" t="str">
        <f>IFERROR(VLOOKUP($D10105,'Informations sur les produits'!$A$3:$H$10000,8,FALSE),"0")</f>
        <v>0</v>
      </c>
      <c r="K10105" s="4"/>
      <c r="L10105" s="33" t="str">
        <f>IFERROR(VLOOKUP($J10105,'Informations sur les produits'!$A$3:$H$10000,8,FALSE),"0")</f>
        <v>0</v>
      </c>
      <c r="N10105" s="8"/>
      <c r="O10105" s="33" t="str">
        <f>IFERROR(VLOOKUP($M10105,'Informations sur les produits'!$A$3:$H$10000,8,FALSE),"0")</f>
        <v>0</v>
      </c>
      <c r="P10105" s="33">
        <f t="shared" si="628"/>
        <v>0</v>
      </c>
      <c r="Q10105" s="31" t="str">
        <f t="shared" si="629"/>
        <v/>
      </c>
      <c r="R10105" s="32" t="str">
        <f>IFERROR(VLOOKUP($D10105,'Informations sur les produits'!$A$3:$B$15000,2,FALSE),"")</f>
        <v/>
      </c>
      <c r="V10105">
        <f t="shared" si="630"/>
        <v>0</v>
      </c>
      <c r="W10105">
        <f t="shared" si="631"/>
        <v>0</v>
      </c>
    </row>
    <row r="10106" spans="5:23" x14ac:dyDescent="0.25">
      <c r="E10106" s="4"/>
      <c r="F10106" s="4"/>
      <c r="G10106" s="33" t="str">
        <f>IFERROR(VLOOKUP($D10106,'Informations sur les produits'!$A$3:$H$10000,8,FALSE),"0")</f>
        <v>0</v>
      </c>
      <c r="K10106" s="4"/>
      <c r="L10106" s="33" t="str">
        <f>IFERROR(VLOOKUP($J10106,'Informations sur les produits'!$A$3:$H$10000,8,FALSE),"0")</f>
        <v>0</v>
      </c>
      <c r="N10106" s="8"/>
      <c r="O10106" s="33" t="str">
        <f>IFERROR(VLOOKUP($M10106,'Informations sur les produits'!$A$3:$H$10000,8,FALSE),"0")</f>
        <v>0</v>
      </c>
      <c r="P10106" s="33">
        <f t="shared" si="628"/>
        <v>0</v>
      </c>
      <c r="Q10106" s="31" t="str">
        <f t="shared" si="629"/>
        <v/>
      </c>
      <c r="R10106" s="32" t="str">
        <f>IFERROR(VLOOKUP($D10106,'Informations sur les produits'!$A$3:$B$15000,2,FALSE),"")</f>
        <v/>
      </c>
      <c r="V10106">
        <f t="shared" si="630"/>
        <v>0</v>
      </c>
      <c r="W10106">
        <f t="shared" si="631"/>
        <v>0</v>
      </c>
    </row>
    <row r="10107" spans="5:23" x14ac:dyDescent="0.25">
      <c r="E10107" s="4"/>
      <c r="F10107" s="4"/>
      <c r="G10107" s="33" t="str">
        <f>IFERROR(VLOOKUP($D10107,'Informations sur les produits'!$A$3:$H$10000,8,FALSE),"0")</f>
        <v>0</v>
      </c>
      <c r="K10107" s="4"/>
      <c r="L10107" s="33" t="str">
        <f>IFERROR(VLOOKUP($J10107,'Informations sur les produits'!$A$3:$H$10000,8,FALSE),"0")</f>
        <v>0</v>
      </c>
      <c r="N10107" s="8"/>
      <c r="O10107" s="33" t="str">
        <f>IFERROR(VLOOKUP($M10107,'Informations sur les produits'!$A$3:$H$10000,8,FALSE),"0")</f>
        <v>0</v>
      </c>
      <c r="P10107" s="33">
        <f t="shared" si="628"/>
        <v>0</v>
      </c>
      <c r="Q10107" s="31" t="str">
        <f t="shared" si="629"/>
        <v/>
      </c>
      <c r="R10107" s="32" t="str">
        <f>IFERROR(VLOOKUP($D10107,'Informations sur les produits'!$A$3:$B$15000,2,FALSE),"")</f>
        <v/>
      </c>
      <c r="V10107">
        <f t="shared" si="630"/>
        <v>0</v>
      </c>
      <c r="W10107">
        <f t="shared" si="631"/>
        <v>0</v>
      </c>
    </row>
    <row r="10108" spans="5:23" x14ac:dyDescent="0.25">
      <c r="E10108" s="4"/>
      <c r="F10108" s="4"/>
      <c r="G10108" s="33" t="str">
        <f>IFERROR(VLOOKUP($D10108,'Informations sur les produits'!$A$3:$H$10000,8,FALSE),"0")</f>
        <v>0</v>
      </c>
      <c r="K10108" s="4"/>
      <c r="L10108" s="33" t="str">
        <f>IFERROR(VLOOKUP($J10108,'Informations sur les produits'!$A$3:$H$10000,8,FALSE),"0")</f>
        <v>0</v>
      </c>
      <c r="N10108" s="8"/>
      <c r="O10108" s="33" t="str">
        <f>IFERROR(VLOOKUP($M10108,'Informations sur les produits'!$A$3:$H$10000,8,FALSE),"0")</f>
        <v>0</v>
      </c>
      <c r="P10108" s="33">
        <f t="shared" si="628"/>
        <v>0</v>
      </c>
      <c r="Q10108" s="31" t="str">
        <f t="shared" si="629"/>
        <v/>
      </c>
      <c r="R10108" s="32" t="str">
        <f>IFERROR(VLOOKUP($D10108,'Informations sur les produits'!$A$3:$B$15000,2,FALSE),"")</f>
        <v/>
      </c>
      <c r="V10108">
        <f t="shared" si="630"/>
        <v>0</v>
      </c>
      <c r="W10108">
        <f t="shared" si="631"/>
        <v>0</v>
      </c>
    </row>
    <row r="10109" spans="5:23" x14ac:dyDescent="0.25">
      <c r="E10109" s="4"/>
      <c r="F10109" s="4"/>
      <c r="G10109" s="33" t="str">
        <f>IFERROR(VLOOKUP($D10109,'Informations sur les produits'!$A$3:$H$10000,8,FALSE),"0")</f>
        <v>0</v>
      </c>
      <c r="K10109" s="4"/>
      <c r="L10109" s="33" t="str">
        <f>IFERROR(VLOOKUP($J10109,'Informations sur les produits'!$A$3:$H$10000,8,FALSE),"0")</f>
        <v>0</v>
      </c>
      <c r="N10109" s="8"/>
      <c r="O10109" s="33" t="str">
        <f>IFERROR(VLOOKUP($M10109,'Informations sur les produits'!$A$3:$H$10000,8,FALSE),"0")</f>
        <v>0</v>
      </c>
      <c r="P10109" s="33">
        <f t="shared" si="628"/>
        <v>0</v>
      </c>
      <c r="Q10109" s="31" t="str">
        <f t="shared" si="629"/>
        <v/>
      </c>
      <c r="R10109" s="32" t="str">
        <f>IFERROR(VLOOKUP($D10109,'Informations sur les produits'!$A$3:$B$15000,2,FALSE),"")</f>
        <v/>
      </c>
      <c r="V10109">
        <f t="shared" si="630"/>
        <v>0</v>
      </c>
      <c r="W10109">
        <f t="shared" si="631"/>
        <v>0</v>
      </c>
    </row>
    <row r="10110" spans="5:23" x14ac:dyDescent="0.25">
      <c r="E10110" s="4"/>
      <c r="F10110" s="4"/>
      <c r="G10110" s="33" t="str">
        <f>IFERROR(VLOOKUP($D10110,'Informations sur les produits'!$A$3:$H$10000,8,FALSE),"0")</f>
        <v>0</v>
      </c>
      <c r="K10110" s="4"/>
      <c r="L10110" s="33" t="str">
        <f>IFERROR(VLOOKUP($J10110,'Informations sur les produits'!$A$3:$H$10000,8,FALSE),"0")</f>
        <v>0</v>
      </c>
      <c r="N10110" s="8"/>
      <c r="O10110" s="33" t="str">
        <f>IFERROR(VLOOKUP($M10110,'Informations sur les produits'!$A$3:$H$10000,8,FALSE),"0")</f>
        <v>0</v>
      </c>
      <c r="P10110" s="33">
        <f t="shared" si="628"/>
        <v>0</v>
      </c>
      <c r="Q10110" s="31" t="str">
        <f t="shared" si="629"/>
        <v/>
      </c>
      <c r="R10110" s="32" t="str">
        <f>IFERROR(VLOOKUP($D10110,'Informations sur les produits'!$A$3:$B$15000,2,FALSE),"")</f>
        <v/>
      </c>
      <c r="V10110">
        <f t="shared" si="630"/>
        <v>0</v>
      </c>
      <c r="W10110">
        <f t="shared" si="631"/>
        <v>0</v>
      </c>
    </row>
    <row r="10111" spans="5:23" x14ac:dyDescent="0.25">
      <c r="E10111" s="4"/>
      <c r="F10111" s="4"/>
      <c r="G10111" s="33" t="str">
        <f>IFERROR(VLOOKUP($D10111,'Informations sur les produits'!$A$3:$H$10000,8,FALSE),"0")</f>
        <v>0</v>
      </c>
      <c r="K10111" s="4"/>
      <c r="L10111" s="33" t="str">
        <f>IFERROR(VLOOKUP($J10111,'Informations sur les produits'!$A$3:$H$10000,8,FALSE),"0")</f>
        <v>0</v>
      </c>
      <c r="N10111" s="8"/>
      <c r="O10111" s="33" t="str">
        <f>IFERROR(VLOOKUP($M10111,'Informations sur les produits'!$A$3:$H$10000,8,FALSE),"0")</f>
        <v>0</v>
      </c>
      <c r="P10111" s="33">
        <f t="shared" si="628"/>
        <v>0</v>
      </c>
      <c r="Q10111" s="31" t="str">
        <f t="shared" si="629"/>
        <v/>
      </c>
      <c r="R10111" s="32" t="str">
        <f>IFERROR(VLOOKUP($D10111,'Informations sur les produits'!$A$3:$B$15000,2,FALSE),"")</f>
        <v/>
      </c>
      <c r="V10111">
        <f t="shared" si="630"/>
        <v>0</v>
      </c>
      <c r="W10111">
        <f t="shared" si="631"/>
        <v>0</v>
      </c>
    </row>
    <row r="10112" spans="5:23" x14ac:dyDescent="0.25">
      <c r="E10112" s="4"/>
      <c r="F10112" s="4"/>
      <c r="G10112" s="33" t="str">
        <f>IFERROR(VLOOKUP($D10112,'Informations sur les produits'!$A$3:$H$10000,8,FALSE),"0")</f>
        <v>0</v>
      </c>
      <c r="K10112" s="4"/>
      <c r="L10112" s="33" t="str">
        <f>IFERROR(VLOOKUP($J10112,'Informations sur les produits'!$A$3:$H$10000,8,FALSE),"0")</f>
        <v>0</v>
      </c>
      <c r="N10112" s="8"/>
      <c r="O10112" s="33" t="str">
        <f>IFERROR(VLOOKUP($M10112,'Informations sur les produits'!$A$3:$H$10000,8,FALSE),"0")</f>
        <v>0</v>
      </c>
      <c r="P10112" s="33">
        <f t="shared" si="628"/>
        <v>0</v>
      </c>
      <c r="Q10112" s="31" t="str">
        <f t="shared" si="629"/>
        <v/>
      </c>
      <c r="R10112" s="32" t="str">
        <f>IFERROR(VLOOKUP($D10112,'Informations sur les produits'!$A$3:$B$15000,2,FALSE),"")</f>
        <v/>
      </c>
      <c r="V10112">
        <f t="shared" si="630"/>
        <v>0</v>
      </c>
      <c r="W10112">
        <f t="shared" si="631"/>
        <v>0</v>
      </c>
    </row>
    <row r="10113" spans="5:23" x14ac:dyDescent="0.25">
      <c r="E10113" s="4"/>
      <c r="F10113" s="4"/>
      <c r="G10113" s="33" t="str">
        <f>IFERROR(VLOOKUP($D10113,'Informations sur les produits'!$A$3:$H$10000,8,FALSE),"0")</f>
        <v>0</v>
      </c>
      <c r="K10113" s="4"/>
      <c r="L10113" s="33" t="str">
        <f>IFERROR(VLOOKUP($J10113,'Informations sur les produits'!$A$3:$H$10000,8,FALSE),"0")</f>
        <v>0</v>
      </c>
      <c r="N10113" s="8"/>
      <c r="O10113" s="33" t="str">
        <f>IFERROR(VLOOKUP($M10113,'Informations sur les produits'!$A$3:$H$10000,8,FALSE),"0")</f>
        <v>0</v>
      </c>
      <c r="P10113" s="33">
        <f t="shared" si="628"/>
        <v>0</v>
      </c>
      <c r="Q10113" s="31" t="str">
        <f t="shared" si="629"/>
        <v/>
      </c>
      <c r="R10113" s="32" t="str">
        <f>IFERROR(VLOOKUP($D10113,'Informations sur les produits'!$A$3:$B$15000,2,FALSE),"")</f>
        <v/>
      </c>
      <c r="V10113">
        <f t="shared" si="630"/>
        <v>0</v>
      </c>
      <c r="W10113">
        <f t="shared" si="631"/>
        <v>0</v>
      </c>
    </row>
    <row r="10114" spans="5:23" x14ac:dyDescent="0.25">
      <c r="E10114" s="4"/>
      <c r="F10114" s="4"/>
      <c r="G10114" s="33" t="str">
        <f>IFERROR(VLOOKUP($D10114,'Informations sur les produits'!$A$3:$H$10000,8,FALSE),"0")</f>
        <v>0</v>
      </c>
      <c r="K10114" s="4"/>
      <c r="L10114" s="33" t="str">
        <f>IFERROR(VLOOKUP($J10114,'Informations sur les produits'!$A$3:$H$10000,8,FALSE),"0")</f>
        <v>0</v>
      </c>
      <c r="N10114" s="8"/>
      <c r="O10114" s="33" t="str">
        <f>IFERROR(VLOOKUP($M10114,'Informations sur les produits'!$A$3:$H$10000,8,FALSE),"0")</f>
        <v>0</v>
      </c>
      <c r="P10114" s="33">
        <f t="shared" si="628"/>
        <v>0</v>
      </c>
      <c r="Q10114" s="31" t="str">
        <f t="shared" si="629"/>
        <v/>
      </c>
      <c r="R10114" s="32" t="str">
        <f>IFERROR(VLOOKUP($D10114,'Informations sur les produits'!$A$3:$B$15000,2,FALSE),"")</f>
        <v/>
      </c>
      <c r="V10114">
        <f t="shared" si="630"/>
        <v>0</v>
      </c>
      <c r="W10114">
        <f t="shared" si="631"/>
        <v>0</v>
      </c>
    </row>
    <row r="10115" spans="5:23" x14ac:dyDescent="0.25">
      <c r="E10115" s="4"/>
      <c r="F10115" s="4"/>
      <c r="G10115" s="33" t="str">
        <f>IFERROR(VLOOKUP($D10115,'Informations sur les produits'!$A$3:$H$10000,8,FALSE),"0")</f>
        <v>0</v>
      </c>
      <c r="K10115" s="4"/>
      <c r="L10115" s="33" t="str">
        <f>IFERROR(VLOOKUP($J10115,'Informations sur les produits'!$A$3:$H$10000,8,FALSE),"0")</f>
        <v>0</v>
      </c>
      <c r="N10115" s="8"/>
      <c r="O10115" s="33" t="str">
        <f>IFERROR(VLOOKUP($M10115,'Informations sur les produits'!$A$3:$H$10000,8,FALSE),"0")</f>
        <v>0</v>
      </c>
      <c r="P10115" s="33">
        <f t="shared" si="628"/>
        <v>0</v>
      </c>
      <c r="Q10115" s="31" t="str">
        <f t="shared" si="629"/>
        <v/>
      </c>
      <c r="R10115" s="32" t="str">
        <f>IFERROR(VLOOKUP($D10115,'Informations sur les produits'!$A$3:$B$15000,2,FALSE),"")</f>
        <v/>
      </c>
      <c r="V10115">
        <f t="shared" si="630"/>
        <v>0</v>
      </c>
      <c r="W10115">
        <f t="shared" si="631"/>
        <v>0</v>
      </c>
    </row>
    <row r="10116" spans="5:23" x14ac:dyDescent="0.25">
      <c r="E10116" s="4"/>
      <c r="F10116" s="4"/>
      <c r="G10116" s="33" t="str">
        <f>IFERROR(VLOOKUP($D10116,'Informations sur les produits'!$A$3:$H$10000,8,FALSE),"0")</f>
        <v>0</v>
      </c>
      <c r="K10116" s="4"/>
      <c r="L10116" s="33" t="str">
        <f>IFERROR(VLOOKUP($J10116,'Informations sur les produits'!$A$3:$H$10000,8,FALSE),"0")</f>
        <v>0</v>
      </c>
      <c r="N10116" s="8"/>
      <c r="O10116" s="33" t="str">
        <f>IFERROR(VLOOKUP($M10116,'Informations sur les produits'!$A$3:$H$10000,8,FALSE),"0")</f>
        <v>0</v>
      </c>
      <c r="P10116" s="33">
        <f t="shared" ref="P10116:P10179" si="632">IFERROR((($E10116-$F10116)*$G10116+$K10116*$L10116+$N10116*$O10116),"")</f>
        <v>0</v>
      </c>
      <c r="Q10116" s="31" t="str">
        <f t="shared" ref="Q10116:Q10179" si="633">IFERROR((((($E10116-$F10116)*$G10116+$K10116*$L10116+$N10116*$O10116)*1000)/(($E10116-$F10116)+$K10116+$N10116)),"")</f>
        <v/>
      </c>
      <c r="R10116" s="32" t="str">
        <f>IFERROR(VLOOKUP($D10116,'Informations sur les produits'!$A$3:$B$15000,2,FALSE),"")</f>
        <v/>
      </c>
      <c r="V10116">
        <f t="shared" ref="V10116:V10179" si="634">IFERROR(P10116*1000,"")</f>
        <v>0</v>
      </c>
      <c r="W10116">
        <f t="shared" ref="W10116:W10179" si="635">IFERROR(($E10116-$F10116)+$K10116+$N10116,"")</f>
        <v>0</v>
      </c>
    </row>
    <row r="10117" spans="5:23" x14ac:dyDescent="0.25">
      <c r="E10117" s="4"/>
      <c r="F10117" s="4"/>
      <c r="G10117" s="33" t="str">
        <f>IFERROR(VLOOKUP($D10117,'Informations sur les produits'!$A$3:$H$10000,8,FALSE),"0")</f>
        <v>0</v>
      </c>
      <c r="K10117" s="4"/>
      <c r="L10117" s="33" t="str">
        <f>IFERROR(VLOOKUP($J10117,'Informations sur les produits'!$A$3:$H$10000,8,FALSE),"0")</f>
        <v>0</v>
      </c>
      <c r="N10117" s="8"/>
      <c r="O10117" s="33" t="str">
        <f>IFERROR(VLOOKUP($M10117,'Informations sur les produits'!$A$3:$H$10000,8,FALSE),"0")</f>
        <v>0</v>
      </c>
      <c r="P10117" s="33">
        <f t="shared" si="632"/>
        <v>0</v>
      </c>
      <c r="Q10117" s="31" t="str">
        <f t="shared" si="633"/>
        <v/>
      </c>
      <c r="R10117" s="32" t="str">
        <f>IFERROR(VLOOKUP($D10117,'Informations sur les produits'!$A$3:$B$15000,2,FALSE),"")</f>
        <v/>
      </c>
      <c r="V10117">
        <f t="shared" si="634"/>
        <v>0</v>
      </c>
      <c r="W10117">
        <f t="shared" si="635"/>
        <v>0</v>
      </c>
    </row>
    <row r="10118" spans="5:23" x14ac:dyDescent="0.25">
      <c r="E10118" s="4"/>
      <c r="F10118" s="4"/>
      <c r="G10118" s="33" t="str">
        <f>IFERROR(VLOOKUP($D10118,'Informations sur les produits'!$A$3:$H$10000,8,FALSE),"0")</f>
        <v>0</v>
      </c>
      <c r="K10118" s="4"/>
      <c r="L10118" s="33" t="str">
        <f>IFERROR(VLOOKUP($J10118,'Informations sur les produits'!$A$3:$H$10000,8,FALSE),"0")</f>
        <v>0</v>
      </c>
      <c r="N10118" s="8"/>
      <c r="O10118" s="33" t="str">
        <f>IFERROR(VLOOKUP($M10118,'Informations sur les produits'!$A$3:$H$10000,8,FALSE),"0")</f>
        <v>0</v>
      </c>
      <c r="P10118" s="33">
        <f t="shared" si="632"/>
        <v>0</v>
      </c>
      <c r="Q10118" s="31" t="str">
        <f t="shared" si="633"/>
        <v/>
      </c>
      <c r="R10118" s="32" t="str">
        <f>IFERROR(VLOOKUP($D10118,'Informations sur les produits'!$A$3:$B$15000,2,FALSE),"")</f>
        <v/>
      </c>
      <c r="V10118">
        <f t="shared" si="634"/>
        <v>0</v>
      </c>
      <c r="W10118">
        <f t="shared" si="635"/>
        <v>0</v>
      </c>
    </row>
    <row r="10119" spans="5:23" x14ac:dyDescent="0.25">
      <c r="E10119" s="4"/>
      <c r="F10119" s="4"/>
      <c r="G10119" s="33" t="str">
        <f>IFERROR(VLOOKUP($D10119,'Informations sur les produits'!$A$3:$H$10000,8,FALSE),"0")</f>
        <v>0</v>
      </c>
      <c r="K10119" s="4"/>
      <c r="L10119" s="33" t="str">
        <f>IFERROR(VLOOKUP($J10119,'Informations sur les produits'!$A$3:$H$10000,8,FALSE),"0")</f>
        <v>0</v>
      </c>
      <c r="N10119" s="8"/>
      <c r="O10119" s="33" t="str">
        <f>IFERROR(VLOOKUP($M10119,'Informations sur les produits'!$A$3:$H$10000,8,FALSE),"0")</f>
        <v>0</v>
      </c>
      <c r="P10119" s="33">
        <f t="shared" si="632"/>
        <v>0</v>
      </c>
      <c r="Q10119" s="31" t="str">
        <f t="shared" si="633"/>
        <v/>
      </c>
      <c r="R10119" s="32" t="str">
        <f>IFERROR(VLOOKUP($D10119,'Informations sur les produits'!$A$3:$B$15000,2,FALSE),"")</f>
        <v/>
      </c>
      <c r="V10119">
        <f t="shared" si="634"/>
        <v>0</v>
      </c>
      <c r="W10119">
        <f t="shared" si="635"/>
        <v>0</v>
      </c>
    </row>
    <row r="10120" spans="5:23" x14ac:dyDescent="0.25">
      <c r="E10120" s="4"/>
      <c r="F10120" s="4"/>
      <c r="G10120" s="33" t="str">
        <f>IFERROR(VLOOKUP($D10120,'Informations sur les produits'!$A$3:$H$10000,8,FALSE),"0")</f>
        <v>0</v>
      </c>
      <c r="K10120" s="4"/>
      <c r="L10120" s="33" t="str">
        <f>IFERROR(VLOOKUP($J10120,'Informations sur les produits'!$A$3:$H$10000,8,FALSE),"0")</f>
        <v>0</v>
      </c>
      <c r="N10120" s="8"/>
      <c r="O10120" s="33" t="str">
        <f>IFERROR(VLOOKUP($M10120,'Informations sur les produits'!$A$3:$H$10000,8,FALSE),"0")</f>
        <v>0</v>
      </c>
      <c r="P10120" s="33">
        <f t="shared" si="632"/>
        <v>0</v>
      </c>
      <c r="Q10120" s="31" t="str">
        <f t="shared" si="633"/>
        <v/>
      </c>
      <c r="R10120" s="32" t="str">
        <f>IFERROR(VLOOKUP($D10120,'Informations sur les produits'!$A$3:$B$15000,2,FALSE),"")</f>
        <v/>
      </c>
      <c r="V10120">
        <f t="shared" si="634"/>
        <v>0</v>
      </c>
      <c r="W10120">
        <f t="shared" si="635"/>
        <v>0</v>
      </c>
    </row>
    <row r="10121" spans="5:23" x14ac:dyDescent="0.25">
      <c r="E10121" s="4"/>
      <c r="F10121" s="4"/>
      <c r="G10121" s="33" t="str">
        <f>IFERROR(VLOOKUP($D10121,'Informations sur les produits'!$A$3:$H$10000,8,FALSE),"0")</f>
        <v>0</v>
      </c>
      <c r="K10121" s="4"/>
      <c r="L10121" s="33" t="str">
        <f>IFERROR(VLOOKUP($J10121,'Informations sur les produits'!$A$3:$H$10000,8,FALSE),"0")</f>
        <v>0</v>
      </c>
      <c r="N10121" s="8"/>
      <c r="O10121" s="33" t="str">
        <f>IFERROR(VLOOKUP($M10121,'Informations sur les produits'!$A$3:$H$10000,8,FALSE),"0")</f>
        <v>0</v>
      </c>
      <c r="P10121" s="33">
        <f t="shared" si="632"/>
        <v>0</v>
      </c>
      <c r="Q10121" s="31" t="str">
        <f t="shared" si="633"/>
        <v/>
      </c>
      <c r="R10121" s="32" t="str">
        <f>IFERROR(VLOOKUP($D10121,'Informations sur les produits'!$A$3:$B$15000,2,FALSE),"")</f>
        <v/>
      </c>
      <c r="V10121">
        <f t="shared" si="634"/>
        <v>0</v>
      </c>
      <c r="W10121">
        <f t="shared" si="635"/>
        <v>0</v>
      </c>
    </row>
    <row r="10122" spans="5:23" x14ac:dyDescent="0.25">
      <c r="E10122" s="4"/>
      <c r="F10122" s="4"/>
      <c r="G10122" s="33" t="str">
        <f>IFERROR(VLOOKUP($D10122,'Informations sur les produits'!$A$3:$H$10000,8,FALSE),"0")</f>
        <v>0</v>
      </c>
      <c r="K10122" s="4"/>
      <c r="L10122" s="33" t="str">
        <f>IFERROR(VLOOKUP($J10122,'Informations sur les produits'!$A$3:$H$10000,8,FALSE),"0")</f>
        <v>0</v>
      </c>
      <c r="N10122" s="8"/>
      <c r="O10122" s="33" t="str">
        <f>IFERROR(VLOOKUP($M10122,'Informations sur les produits'!$A$3:$H$10000,8,FALSE),"0")</f>
        <v>0</v>
      </c>
      <c r="P10122" s="33">
        <f t="shared" si="632"/>
        <v>0</v>
      </c>
      <c r="Q10122" s="31" t="str">
        <f t="shared" si="633"/>
        <v/>
      </c>
      <c r="R10122" s="32" t="str">
        <f>IFERROR(VLOOKUP($D10122,'Informations sur les produits'!$A$3:$B$15000,2,FALSE),"")</f>
        <v/>
      </c>
      <c r="V10122">
        <f t="shared" si="634"/>
        <v>0</v>
      </c>
      <c r="W10122">
        <f t="shared" si="635"/>
        <v>0</v>
      </c>
    </row>
    <row r="10123" spans="5:23" x14ac:dyDescent="0.25">
      <c r="E10123" s="4"/>
      <c r="F10123" s="4"/>
      <c r="G10123" s="33" t="str">
        <f>IFERROR(VLOOKUP($D10123,'Informations sur les produits'!$A$3:$H$10000,8,FALSE),"0")</f>
        <v>0</v>
      </c>
      <c r="K10123" s="4"/>
      <c r="L10123" s="33" t="str">
        <f>IFERROR(VLOOKUP($J10123,'Informations sur les produits'!$A$3:$H$10000,8,FALSE),"0")</f>
        <v>0</v>
      </c>
      <c r="N10123" s="8"/>
      <c r="O10123" s="33" t="str">
        <f>IFERROR(VLOOKUP($M10123,'Informations sur les produits'!$A$3:$H$10000,8,FALSE),"0")</f>
        <v>0</v>
      </c>
      <c r="P10123" s="33">
        <f t="shared" si="632"/>
        <v>0</v>
      </c>
      <c r="Q10123" s="31" t="str">
        <f t="shared" si="633"/>
        <v/>
      </c>
      <c r="R10123" s="32" t="str">
        <f>IFERROR(VLOOKUP($D10123,'Informations sur les produits'!$A$3:$B$15000,2,FALSE),"")</f>
        <v/>
      </c>
      <c r="V10123">
        <f t="shared" si="634"/>
        <v>0</v>
      </c>
      <c r="W10123">
        <f t="shared" si="635"/>
        <v>0</v>
      </c>
    </row>
    <row r="10124" spans="5:23" x14ac:dyDescent="0.25">
      <c r="E10124" s="4"/>
      <c r="F10124" s="4"/>
      <c r="G10124" s="33" t="str">
        <f>IFERROR(VLOOKUP($D10124,'Informations sur les produits'!$A$3:$H$10000,8,FALSE),"0")</f>
        <v>0</v>
      </c>
      <c r="K10124" s="4"/>
      <c r="L10124" s="33" t="str">
        <f>IFERROR(VLOOKUP($J10124,'Informations sur les produits'!$A$3:$H$10000,8,FALSE),"0")</f>
        <v>0</v>
      </c>
      <c r="N10124" s="8"/>
      <c r="O10124" s="33" t="str">
        <f>IFERROR(VLOOKUP($M10124,'Informations sur les produits'!$A$3:$H$10000,8,FALSE),"0")</f>
        <v>0</v>
      </c>
      <c r="P10124" s="33">
        <f t="shared" si="632"/>
        <v>0</v>
      </c>
      <c r="Q10124" s="31" t="str">
        <f t="shared" si="633"/>
        <v/>
      </c>
      <c r="R10124" s="32" t="str">
        <f>IFERROR(VLOOKUP($D10124,'Informations sur les produits'!$A$3:$B$15000,2,FALSE),"")</f>
        <v/>
      </c>
      <c r="V10124">
        <f t="shared" si="634"/>
        <v>0</v>
      </c>
      <c r="W10124">
        <f t="shared" si="635"/>
        <v>0</v>
      </c>
    </row>
    <row r="10125" spans="5:23" x14ac:dyDescent="0.25">
      <c r="E10125" s="4"/>
      <c r="F10125" s="4"/>
      <c r="G10125" s="33" t="str">
        <f>IFERROR(VLOOKUP($D10125,'Informations sur les produits'!$A$3:$H$10000,8,FALSE),"0")</f>
        <v>0</v>
      </c>
      <c r="K10125" s="4"/>
      <c r="L10125" s="33" t="str">
        <f>IFERROR(VLOOKUP($J10125,'Informations sur les produits'!$A$3:$H$10000,8,FALSE),"0")</f>
        <v>0</v>
      </c>
      <c r="N10125" s="8"/>
      <c r="O10125" s="33" t="str">
        <f>IFERROR(VLOOKUP($M10125,'Informations sur les produits'!$A$3:$H$10000,8,FALSE),"0")</f>
        <v>0</v>
      </c>
      <c r="P10125" s="33">
        <f t="shared" si="632"/>
        <v>0</v>
      </c>
      <c r="Q10125" s="31" t="str">
        <f t="shared" si="633"/>
        <v/>
      </c>
      <c r="R10125" s="32" t="str">
        <f>IFERROR(VLOOKUP($D10125,'Informations sur les produits'!$A$3:$B$15000,2,FALSE),"")</f>
        <v/>
      </c>
      <c r="V10125">
        <f t="shared" si="634"/>
        <v>0</v>
      </c>
      <c r="W10125">
        <f t="shared" si="635"/>
        <v>0</v>
      </c>
    </row>
    <row r="10126" spans="5:23" x14ac:dyDescent="0.25">
      <c r="E10126" s="4"/>
      <c r="F10126" s="4"/>
      <c r="G10126" s="33" t="str">
        <f>IFERROR(VLOOKUP($D10126,'Informations sur les produits'!$A$3:$H$10000,8,FALSE),"0")</f>
        <v>0</v>
      </c>
      <c r="K10126" s="4"/>
      <c r="L10126" s="33" t="str">
        <f>IFERROR(VLOOKUP($J10126,'Informations sur les produits'!$A$3:$H$10000,8,FALSE),"0")</f>
        <v>0</v>
      </c>
      <c r="N10126" s="8"/>
      <c r="O10126" s="33" t="str">
        <f>IFERROR(VLOOKUP($M10126,'Informations sur les produits'!$A$3:$H$10000,8,FALSE),"0")</f>
        <v>0</v>
      </c>
      <c r="P10126" s="33">
        <f t="shared" si="632"/>
        <v>0</v>
      </c>
      <c r="Q10126" s="31" t="str">
        <f t="shared" si="633"/>
        <v/>
      </c>
      <c r="R10126" s="32" t="str">
        <f>IFERROR(VLOOKUP($D10126,'Informations sur les produits'!$A$3:$B$15000,2,FALSE),"")</f>
        <v/>
      </c>
      <c r="V10126">
        <f t="shared" si="634"/>
        <v>0</v>
      </c>
      <c r="W10126">
        <f t="shared" si="635"/>
        <v>0</v>
      </c>
    </row>
    <row r="10127" spans="5:23" x14ac:dyDescent="0.25">
      <c r="E10127" s="4"/>
      <c r="F10127" s="4"/>
      <c r="G10127" s="33" t="str">
        <f>IFERROR(VLOOKUP($D10127,'Informations sur les produits'!$A$3:$H$10000,8,FALSE),"0")</f>
        <v>0</v>
      </c>
      <c r="K10127" s="4"/>
      <c r="L10127" s="33" t="str">
        <f>IFERROR(VLOOKUP($J10127,'Informations sur les produits'!$A$3:$H$10000,8,FALSE),"0")</f>
        <v>0</v>
      </c>
      <c r="N10127" s="8"/>
      <c r="O10127" s="33" t="str">
        <f>IFERROR(VLOOKUP($M10127,'Informations sur les produits'!$A$3:$H$10000,8,FALSE),"0")</f>
        <v>0</v>
      </c>
      <c r="P10127" s="33">
        <f t="shared" si="632"/>
        <v>0</v>
      </c>
      <c r="Q10127" s="31" t="str">
        <f t="shared" si="633"/>
        <v/>
      </c>
      <c r="R10127" s="32" t="str">
        <f>IFERROR(VLOOKUP($D10127,'Informations sur les produits'!$A$3:$B$15000,2,FALSE),"")</f>
        <v/>
      </c>
      <c r="V10127">
        <f t="shared" si="634"/>
        <v>0</v>
      </c>
      <c r="W10127">
        <f t="shared" si="635"/>
        <v>0</v>
      </c>
    </row>
    <row r="10128" spans="5:23" x14ac:dyDescent="0.25">
      <c r="E10128" s="4"/>
      <c r="F10128" s="4"/>
      <c r="G10128" s="33" t="str">
        <f>IFERROR(VLOOKUP($D10128,'Informations sur les produits'!$A$3:$H$10000,8,FALSE),"0")</f>
        <v>0</v>
      </c>
      <c r="K10128" s="4"/>
      <c r="L10128" s="33" t="str">
        <f>IFERROR(VLOOKUP($J10128,'Informations sur les produits'!$A$3:$H$10000,8,FALSE),"0")</f>
        <v>0</v>
      </c>
      <c r="N10128" s="8"/>
      <c r="O10128" s="33" t="str">
        <f>IFERROR(VLOOKUP($M10128,'Informations sur les produits'!$A$3:$H$10000,8,FALSE),"0")</f>
        <v>0</v>
      </c>
      <c r="P10128" s="33">
        <f t="shared" si="632"/>
        <v>0</v>
      </c>
      <c r="Q10128" s="31" t="str">
        <f t="shared" si="633"/>
        <v/>
      </c>
      <c r="R10128" s="32" t="str">
        <f>IFERROR(VLOOKUP($D10128,'Informations sur les produits'!$A$3:$B$15000,2,FALSE),"")</f>
        <v/>
      </c>
      <c r="V10128">
        <f t="shared" si="634"/>
        <v>0</v>
      </c>
      <c r="W10128">
        <f t="shared" si="635"/>
        <v>0</v>
      </c>
    </row>
    <row r="10129" spans="5:23" x14ac:dyDescent="0.25">
      <c r="E10129" s="4"/>
      <c r="F10129" s="4"/>
      <c r="G10129" s="33" t="str">
        <f>IFERROR(VLOOKUP($D10129,'Informations sur les produits'!$A$3:$H$10000,8,FALSE),"0")</f>
        <v>0</v>
      </c>
      <c r="K10129" s="4"/>
      <c r="L10129" s="33" t="str">
        <f>IFERROR(VLOOKUP($J10129,'Informations sur les produits'!$A$3:$H$10000,8,FALSE),"0")</f>
        <v>0</v>
      </c>
      <c r="N10129" s="8"/>
      <c r="O10129" s="33" t="str">
        <f>IFERROR(VLOOKUP($M10129,'Informations sur les produits'!$A$3:$H$10000,8,FALSE),"0")</f>
        <v>0</v>
      </c>
      <c r="P10129" s="33">
        <f t="shared" si="632"/>
        <v>0</v>
      </c>
      <c r="Q10129" s="31" t="str">
        <f t="shared" si="633"/>
        <v/>
      </c>
      <c r="R10129" s="32" t="str">
        <f>IFERROR(VLOOKUP($D10129,'Informations sur les produits'!$A$3:$B$15000,2,FALSE),"")</f>
        <v/>
      </c>
      <c r="V10129">
        <f t="shared" si="634"/>
        <v>0</v>
      </c>
      <c r="W10129">
        <f t="shared" si="635"/>
        <v>0</v>
      </c>
    </row>
    <row r="10130" spans="5:23" x14ac:dyDescent="0.25">
      <c r="E10130" s="4"/>
      <c r="F10130" s="4"/>
      <c r="G10130" s="33" t="str">
        <f>IFERROR(VLOOKUP($D10130,'Informations sur les produits'!$A$3:$H$10000,8,FALSE),"0")</f>
        <v>0</v>
      </c>
      <c r="K10130" s="4"/>
      <c r="L10130" s="33" t="str">
        <f>IFERROR(VLOOKUP($J10130,'Informations sur les produits'!$A$3:$H$10000,8,FALSE),"0")</f>
        <v>0</v>
      </c>
      <c r="N10130" s="8"/>
      <c r="O10130" s="33" t="str">
        <f>IFERROR(VLOOKUP($M10130,'Informations sur les produits'!$A$3:$H$10000,8,FALSE),"0")</f>
        <v>0</v>
      </c>
      <c r="P10130" s="33">
        <f t="shared" si="632"/>
        <v>0</v>
      </c>
      <c r="Q10130" s="31" t="str">
        <f t="shared" si="633"/>
        <v/>
      </c>
      <c r="R10130" s="32" t="str">
        <f>IFERROR(VLOOKUP($D10130,'Informations sur les produits'!$A$3:$B$15000,2,FALSE),"")</f>
        <v/>
      </c>
      <c r="V10130">
        <f t="shared" si="634"/>
        <v>0</v>
      </c>
      <c r="W10130">
        <f t="shared" si="635"/>
        <v>0</v>
      </c>
    </row>
    <row r="10131" spans="5:23" x14ac:dyDescent="0.25">
      <c r="E10131" s="4"/>
      <c r="F10131" s="4"/>
      <c r="G10131" s="33" t="str">
        <f>IFERROR(VLOOKUP($D10131,'Informations sur les produits'!$A$3:$H$10000,8,FALSE),"0")</f>
        <v>0</v>
      </c>
      <c r="K10131" s="4"/>
      <c r="L10131" s="33" t="str">
        <f>IFERROR(VLOOKUP($J10131,'Informations sur les produits'!$A$3:$H$10000,8,FALSE),"0")</f>
        <v>0</v>
      </c>
      <c r="N10131" s="8"/>
      <c r="O10131" s="33" t="str">
        <f>IFERROR(VLOOKUP($M10131,'Informations sur les produits'!$A$3:$H$10000,8,FALSE),"0")</f>
        <v>0</v>
      </c>
      <c r="P10131" s="33">
        <f t="shared" si="632"/>
        <v>0</v>
      </c>
      <c r="Q10131" s="31" t="str">
        <f t="shared" si="633"/>
        <v/>
      </c>
      <c r="R10131" s="32" t="str">
        <f>IFERROR(VLOOKUP($D10131,'Informations sur les produits'!$A$3:$B$15000,2,FALSE),"")</f>
        <v/>
      </c>
      <c r="V10131">
        <f t="shared" si="634"/>
        <v>0</v>
      </c>
      <c r="W10131">
        <f t="shared" si="635"/>
        <v>0</v>
      </c>
    </row>
    <row r="10132" spans="5:23" x14ac:dyDescent="0.25">
      <c r="E10132" s="4"/>
      <c r="F10132" s="4"/>
      <c r="G10132" s="33" t="str">
        <f>IFERROR(VLOOKUP($D10132,'Informations sur les produits'!$A$3:$H$10000,8,FALSE),"0")</f>
        <v>0</v>
      </c>
      <c r="K10132" s="4"/>
      <c r="L10132" s="33" t="str">
        <f>IFERROR(VLOOKUP($J10132,'Informations sur les produits'!$A$3:$H$10000,8,FALSE),"0")</f>
        <v>0</v>
      </c>
      <c r="N10132" s="8"/>
      <c r="O10132" s="33" t="str">
        <f>IFERROR(VLOOKUP($M10132,'Informations sur les produits'!$A$3:$H$10000,8,FALSE),"0")</f>
        <v>0</v>
      </c>
      <c r="P10132" s="33">
        <f t="shared" si="632"/>
        <v>0</v>
      </c>
      <c r="Q10132" s="31" t="str">
        <f t="shared" si="633"/>
        <v/>
      </c>
      <c r="R10132" s="32" t="str">
        <f>IFERROR(VLOOKUP($D10132,'Informations sur les produits'!$A$3:$B$15000,2,FALSE),"")</f>
        <v/>
      </c>
      <c r="V10132">
        <f t="shared" si="634"/>
        <v>0</v>
      </c>
      <c r="W10132">
        <f t="shared" si="635"/>
        <v>0</v>
      </c>
    </row>
    <row r="10133" spans="5:23" x14ac:dyDescent="0.25">
      <c r="E10133" s="4"/>
      <c r="F10133" s="4"/>
      <c r="G10133" s="33" t="str">
        <f>IFERROR(VLOOKUP($D10133,'Informations sur les produits'!$A$3:$H$10000,8,FALSE),"0")</f>
        <v>0</v>
      </c>
      <c r="K10133" s="4"/>
      <c r="L10133" s="33" t="str">
        <f>IFERROR(VLOOKUP($J10133,'Informations sur les produits'!$A$3:$H$10000,8,FALSE),"0")</f>
        <v>0</v>
      </c>
      <c r="N10133" s="8"/>
      <c r="O10133" s="33" t="str">
        <f>IFERROR(VLOOKUP($M10133,'Informations sur les produits'!$A$3:$H$10000,8,FALSE),"0")</f>
        <v>0</v>
      </c>
      <c r="P10133" s="33">
        <f t="shared" si="632"/>
        <v>0</v>
      </c>
      <c r="Q10133" s="31" t="str">
        <f t="shared" si="633"/>
        <v/>
      </c>
      <c r="R10133" s="32" t="str">
        <f>IFERROR(VLOOKUP($D10133,'Informations sur les produits'!$A$3:$B$15000,2,FALSE),"")</f>
        <v/>
      </c>
      <c r="V10133">
        <f t="shared" si="634"/>
        <v>0</v>
      </c>
      <c r="W10133">
        <f t="shared" si="635"/>
        <v>0</v>
      </c>
    </row>
    <row r="10134" spans="5:23" x14ac:dyDescent="0.25">
      <c r="E10134" s="4"/>
      <c r="F10134" s="4"/>
      <c r="G10134" s="33" t="str">
        <f>IFERROR(VLOOKUP($D10134,'Informations sur les produits'!$A$3:$H$10000,8,FALSE),"0")</f>
        <v>0</v>
      </c>
      <c r="K10134" s="4"/>
      <c r="L10134" s="33" t="str">
        <f>IFERROR(VLOOKUP($J10134,'Informations sur les produits'!$A$3:$H$10000,8,FALSE),"0")</f>
        <v>0</v>
      </c>
      <c r="N10134" s="8"/>
      <c r="O10134" s="33" t="str">
        <f>IFERROR(VLOOKUP($M10134,'Informations sur les produits'!$A$3:$H$10000,8,FALSE),"0")</f>
        <v>0</v>
      </c>
      <c r="P10134" s="33">
        <f t="shared" si="632"/>
        <v>0</v>
      </c>
      <c r="Q10134" s="31" t="str">
        <f t="shared" si="633"/>
        <v/>
      </c>
      <c r="R10134" s="32" t="str">
        <f>IFERROR(VLOOKUP($D10134,'Informations sur les produits'!$A$3:$B$15000,2,FALSE),"")</f>
        <v/>
      </c>
      <c r="V10134">
        <f t="shared" si="634"/>
        <v>0</v>
      </c>
      <c r="W10134">
        <f t="shared" si="635"/>
        <v>0</v>
      </c>
    </row>
    <row r="10135" spans="5:23" x14ac:dyDescent="0.25">
      <c r="E10135" s="4"/>
      <c r="F10135" s="4"/>
      <c r="G10135" s="33" t="str">
        <f>IFERROR(VLOOKUP($D10135,'Informations sur les produits'!$A$3:$H$10000,8,FALSE),"0")</f>
        <v>0</v>
      </c>
      <c r="K10135" s="4"/>
      <c r="L10135" s="33" t="str">
        <f>IFERROR(VLOOKUP($J10135,'Informations sur les produits'!$A$3:$H$10000,8,FALSE),"0")</f>
        <v>0</v>
      </c>
      <c r="N10135" s="8"/>
      <c r="O10135" s="33" t="str">
        <f>IFERROR(VLOOKUP($M10135,'Informations sur les produits'!$A$3:$H$10000,8,FALSE),"0")</f>
        <v>0</v>
      </c>
      <c r="P10135" s="33">
        <f t="shared" si="632"/>
        <v>0</v>
      </c>
      <c r="Q10135" s="31" t="str">
        <f t="shared" si="633"/>
        <v/>
      </c>
      <c r="R10135" s="32" t="str">
        <f>IFERROR(VLOOKUP($D10135,'Informations sur les produits'!$A$3:$B$15000,2,FALSE),"")</f>
        <v/>
      </c>
      <c r="V10135">
        <f t="shared" si="634"/>
        <v>0</v>
      </c>
      <c r="W10135">
        <f t="shared" si="635"/>
        <v>0</v>
      </c>
    </row>
    <row r="10136" spans="5:23" x14ac:dyDescent="0.25">
      <c r="E10136" s="4"/>
      <c r="F10136" s="4"/>
      <c r="G10136" s="33" t="str">
        <f>IFERROR(VLOOKUP($D10136,'Informations sur les produits'!$A$3:$H$10000,8,FALSE),"0")</f>
        <v>0</v>
      </c>
      <c r="K10136" s="4"/>
      <c r="L10136" s="33" t="str">
        <f>IFERROR(VLOOKUP($J10136,'Informations sur les produits'!$A$3:$H$10000,8,FALSE),"0")</f>
        <v>0</v>
      </c>
      <c r="N10136" s="8"/>
      <c r="O10136" s="33" t="str">
        <f>IFERROR(VLOOKUP($M10136,'Informations sur les produits'!$A$3:$H$10000,8,FALSE),"0")</f>
        <v>0</v>
      </c>
      <c r="P10136" s="33">
        <f t="shared" si="632"/>
        <v>0</v>
      </c>
      <c r="Q10136" s="31" t="str">
        <f t="shared" si="633"/>
        <v/>
      </c>
      <c r="R10136" s="32" t="str">
        <f>IFERROR(VLOOKUP($D10136,'Informations sur les produits'!$A$3:$B$15000,2,FALSE),"")</f>
        <v/>
      </c>
      <c r="V10136">
        <f t="shared" si="634"/>
        <v>0</v>
      </c>
      <c r="W10136">
        <f t="shared" si="635"/>
        <v>0</v>
      </c>
    </row>
    <row r="10137" spans="5:23" x14ac:dyDescent="0.25">
      <c r="E10137" s="4"/>
      <c r="F10137" s="4"/>
      <c r="G10137" s="33" t="str">
        <f>IFERROR(VLOOKUP($D10137,'Informations sur les produits'!$A$3:$H$10000,8,FALSE),"0")</f>
        <v>0</v>
      </c>
      <c r="K10137" s="4"/>
      <c r="L10137" s="33" t="str">
        <f>IFERROR(VLOOKUP($J10137,'Informations sur les produits'!$A$3:$H$10000,8,FALSE),"0")</f>
        <v>0</v>
      </c>
      <c r="N10137" s="8"/>
      <c r="O10137" s="33" t="str">
        <f>IFERROR(VLOOKUP($M10137,'Informations sur les produits'!$A$3:$H$10000,8,FALSE),"0")</f>
        <v>0</v>
      </c>
      <c r="P10137" s="33">
        <f t="shared" si="632"/>
        <v>0</v>
      </c>
      <c r="Q10137" s="31" t="str">
        <f t="shared" si="633"/>
        <v/>
      </c>
      <c r="R10137" s="32" t="str">
        <f>IFERROR(VLOOKUP($D10137,'Informations sur les produits'!$A$3:$B$15000,2,FALSE),"")</f>
        <v/>
      </c>
      <c r="V10137">
        <f t="shared" si="634"/>
        <v>0</v>
      </c>
      <c r="W10137">
        <f t="shared" si="635"/>
        <v>0</v>
      </c>
    </row>
    <row r="10138" spans="5:23" x14ac:dyDescent="0.25">
      <c r="E10138" s="4"/>
      <c r="F10138" s="4"/>
      <c r="G10138" s="33" t="str">
        <f>IFERROR(VLOOKUP($D10138,'Informations sur les produits'!$A$3:$H$10000,8,FALSE),"0")</f>
        <v>0</v>
      </c>
      <c r="K10138" s="4"/>
      <c r="L10138" s="33" t="str">
        <f>IFERROR(VLOOKUP($J10138,'Informations sur les produits'!$A$3:$H$10000,8,FALSE),"0")</f>
        <v>0</v>
      </c>
      <c r="N10138" s="8"/>
      <c r="O10138" s="33" t="str">
        <f>IFERROR(VLOOKUP($M10138,'Informations sur les produits'!$A$3:$H$10000,8,FALSE),"0")</f>
        <v>0</v>
      </c>
      <c r="P10138" s="33">
        <f t="shared" si="632"/>
        <v>0</v>
      </c>
      <c r="Q10138" s="31" t="str">
        <f t="shared" si="633"/>
        <v/>
      </c>
      <c r="R10138" s="32" t="str">
        <f>IFERROR(VLOOKUP($D10138,'Informations sur les produits'!$A$3:$B$15000,2,FALSE),"")</f>
        <v/>
      </c>
      <c r="V10138">
        <f t="shared" si="634"/>
        <v>0</v>
      </c>
      <c r="W10138">
        <f t="shared" si="635"/>
        <v>0</v>
      </c>
    </row>
    <row r="10139" spans="5:23" x14ac:dyDescent="0.25">
      <c r="E10139" s="4"/>
      <c r="F10139" s="4"/>
      <c r="G10139" s="33" t="str">
        <f>IFERROR(VLOOKUP($D10139,'Informations sur les produits'!$A$3:$H$10000,8,FALSE),"0")</f>
        <v>0</v>
      </c>
      <c r="K10139" s="4"/>
      <c r="L10139" s="33" t="str">
        <f>IFERROR(VLOOKUP($J10139,'Informations sur les produits'!$A$3:$H$10000,8,FALSE),"0")</f>
        <v>0</v>
      </c>
      <c r="N10139" s="8"/>
      <c r="O10139" s="33" t="str">
        <f>IFERROR(VLOOKUP($M10139,'Informations sur les produits'!$A$3:$H$10000,8,FALSE),"0")</f>
        <v>0</v>
      </c>
      <c r="P10139" s="33">
        <f t="shared" si="632"/>
        <v>0</v>
      </c>
      <c r="Q10139" s="31" t="str">
        <f t="shared" si="633"/>
        <v/>
      </c>
      <c r="R10139" s="32" t="str">
        <f>IFERROR(VLOOKUP($D10139,'Informations sur les produits'!$A$3:$B$15000,2,FALSE),"")</f>
        <v/>
      </c>
      <c r="V10139">
        <f t="shared" si="634"/>
        <v>0</v>
      </c>
      <c r="W10139">
        <f t="shared" si="635"/>
        <v>0</v>
      </c>
    </row>
    <row r="10140" spans="5:23" x14ac:dyDescent="0.25">
      <c r="E10140" s="4"/>
      <c r="F10140" s="4"/>
      <c r="G10140" s="33" t="str">
        <f>IFERROR(VLOOKUP($D10140,'Informations sur les produits'!$A$3:$H$10000,8,FALSE),"0")</f>
        <v>0</v>
      </c>
      <c r="K10140" s="4"/>
      <c r="L10140" s="33" t="str">
        <f>IFERROR(VLOOKUP($J10140,'Informations sur les produits'!$A$3:$H$10000,8,FALSE),"0")</f>
        <v>0</v>
      </c>
      <c r="N10140" s="8"/>
      <c r="O10140" s="33" t="str">
        <f>IFERROR(VLOOKUP($M10140,'Informations sur les produits'!$A$3:$H$10000,8,FALSE),"0")</f>
        <v>0</v>
      </c>
      <c r="P10140" s="33">
        <f t="shared" si="632"/>
        <v>0</v>
      </c>
      <c r="Q10140" s="31" t="str">
        <f t="shared" si="633"/>
        <v/>
      </c>
      <c r="R10140" s="32" t="str">
        <f>IFERROR(VLOOKUP($D10140,'Informations sur les produits'!$A$3:$B$15000,2,FALSE),"")</f>
        <v/>
      </c>
      <c r="V10140">
        <f t="shared" si="634"/>
        <v>0</v>
      </c>
      <c r="W10140">
        <f t="shared" si="635"/>
        <v>0</v>
      </c>
    </row>
    <row r="10141" spans="5:23" x14ac:dyDescent="0.25">
      <c r="E10141" s="4"/>
      <c r="F10141" s="4"/>
      <c r="G10141" s="33" t="str">
        <f>IFERROR(VLOOKUP($D10141,'Informations sur les produits'!$A$3:$H$10000,8,FALSE),"0")</f>
        <v>0</v>
      </c>
      <c r="K10141" s="4"/>
      <c r="L10141" s="33" t="str">
        <f>IFERROR(VLOOKUP($J10141,'Informations sur les produits'!$A$3:$H$10000,8,FALSE),"0")</f>
        <v>0</v>
      </c>
      <c r="N10141" s="8"/>
      <c r="O10141" s="33" t="str">
        <f>IFERROR(VLOOKUP($M10141,'Informations sur les produits'!$A$3:$H$10000,8,FALSE),"0")</f>
        <v>0</v>
      </c>
      <c r="P10141" s="33">
        <f t="shared" si="632"/>
        <v>0</v>
      </c>
      <c r="Q10141" s="31" t="str">
        <f t="shared" si="633"/>
        <v/>
      </c>
      <c r="R10141" s="32" t="str">
        <f>IFERROR(VLOOKUP($D10141,'Informations sur les produits'!$A$3:$B$15000,2,FALSE),"")</f>
        <v/>
      </c>
      <c r="V10141">
        <f t="shared" si="634"/>
        <v>0</v>
      </c>
      <c r="W10141">
        <f t="shared" si="635"/>
        <v>0</v>
      </c>
    </row>
    <row r="10142" spans="5:23" x14ac:dyDescent="0.25">
      <c r="E10142" s="4"/>
      <c r="F10142" s="4"/>
      <c r="G10142" s="33" t="str">
        <f>IFERROR(VLOOKUP($D10142,'Informations sur les produits'!$A$3:$H$10000,8,FALSE),"0")</f>
        <v>0</v>
      </c>
      <c r="K10142" s="4"/>
      <c r="L10142" s="33" t="str">
        <f>IFERROR(VLOOKUP($J10142,'Informations sur les produits'!$A$3:$H$10000,8,FALSE),"0")</f>
        <v>0</v>
      </c>
      <c r="N10142" s="8"/>
      <c r="O10142" s="33" t="str">
        <f>IFERROR(VLOOKUP($M10142,'Informations sur les produits'!$A$3:$H$10000,8,FALSE),"0")</f>
        <v>0</v>
      </c>
      <c r="P10142" s="33">
        <f t="shared" si="632"/>
        <v>0</v>
      </c>
      <c r="Q10142" s="31" t="str">
        <f t="shared" si="633"/>
        <v/>
      </c>
      <c r="R10142" s="32" t="str">
        <f>IFERROR(VLOOKUP($D10142,'Informations sur les produits'!$A$3:$B$15000,2,FALSE),"")</f>
        <v/>
      </c>
      <c r="V10142">
        <f t="shared" si="634"/>
        <v>0</v>
      </c>
      <c r="W10142">
        <f t="shared" si="635"/>
        <v>0</v>
      </c>
    </row>
    <row r="10143" spans="5:23" x14ac:dyDescent="0.25">
      <c r="E10143" s="4"/>
      <c r="F10143" s="4"/>
      <c r="G10143" s="33" t="str">
        <f>IFERROR(VLOOKUP($D10143,'Informations sur les produits'!$A$3:$H$10000,8,FALSE),"0")</f>
        <v>0</v>
      </c>
      <c r="K10143" s="4"/>
      <c r="L10143" s="33" t="str">
        <f>IFERROR(VLOOKUP($J10143,'Informations sur les produits'!$A$3:$H$10000,8,FALSE),"0")</f>
        <v>0</v>
      </c>
      <c r="N10143" s="8"/>
      <c r="O10143" s="33" t="str">
        <f>IFERROR(VLOOKUP($M10143,'Informations sur les produits'!$A$3:$H$10000,8,FALSE),"0")</f>
        <v>0</v>
      </c>
      <c r="P10143" s="33">
        <f t="shared" si="632"/>
        <v>0</v>
      </c>
      <c r="Q10143" s="31" t="str">
        <f t="shared" si="633"/>
        <v/>
      </c>
      <c r="R10143" s="32" t="str">
        <f>IFERROR(VLOOKUP($D10143,'Informations sur les produits'!$A$3:$B$15000,2,FALSE),"")</f>
        <v/>
      </c>
      <c r="V10143">
        <f t="shared" si="634"/>
        <v>0</v>
      </c>
      <c r="W10143">
        <f t="shared" si="635"/>
        <v>0</v>
      </c>
    </row>
    <row r="10144" spans="5:23" x14ac:dyDescent="0.25">
      <c r="E10144" s="4"/>
      <c r="F10144" s="4"/>
      <c r="G10144" s="33" t="str">
        <f>IFERROR(VLOOKUP($D10144,'Informations sur les produits'!$A$3:$H$10000,8,FALSE),"0")</f>
        <v>0</v>
      </c>
      <c r="K10144" s="4"/>
      <c r="L10144" s="33" t="str">
        <f>IFERROR(VLOOKUP($J10144,'Informations sur les produits'!$A$3:$H$10000,8,FALSE),"0")</f>
        <v>0</v>
      </c>
      <c r="N10144" s="8"/>
      <c r="O10144" s="33" t="str">
        <f>IFERROR(VLOOKUP($M10144,'Informations sur les produits'!$A$3:$H$10000,8,FALSE),"0")</f>
        <v>0</v>
      </c>
      <c r="P10144" s="33">
        <f t="shared" si="632"/>
        <v>0</v>
      </c>
      <c r="Q10144" s="31" t="str">
        <f t="shared" si="633"/>
        <v/>
      </c>
      <c r="R10144" s="32" t="str">
        <f>IFERROR(VLOOKUP($D10144,'Informations sur les produits'!$A$3:$B$15000,2,FALSE),"")</f>
        <v/>
      </c>
      <c r="V10144">
        <f t="shared" si="634"/>
        <v>0</v>
      </c>
      <c r="W10144">
        <f t="shared" si="635"/>
        <v>0</v>
      </c>
    </row>
    <row r="10145" spans="5:23" x14ac:dyDescent="0.25">
      <c r="E10145" s="4"/>
      <c r="F10145" s="4"/>
      <c r="G10145" s="33" t="str">
        <f>IFERROR(VLOOKUP($D10145,'Informations sur les produits'!$A$3:$H$10000,8,FALSE),"0")</f>
        <v>0</v>
      </c>
      <c r="K10145" s="4"/>
      <c r="L10145" s="33" t="str">
        <f>IFERROR(VLOOKUP($J10145,'Informations sur les produits'!$A$3:$H$10000,8,FALSE),"0")</f>
        <v>0</v>
      </c>
      <c r="N10145" s="8"/>
      <c r="O10145" s="33" t="str">
        <f>IFERROR(VLOOKUP($M10145,'Informations sur les produits'!$A$3:$H$10000,8,FALSE),"0")</f>
        <v>0</v>
      </c>
      <c r="P10145" s="33">
        <f t="shared" si="632"/>
        <v>0</v>
      </c>
      <c r="Q10145" s="31" t="str">
        <f t="shared" si="633"/>
        <v/>
      </c>
      <c r="R10145" s="32" t="str">
        <f>IFERROR(VLOOKUP($D10145,'Informations sur les produits'!$A$3:$B$15000,2,FALSE),"")</f>
        <v/>
      </c>
      <c r="V10145">
        <f t="shared" si="634"/>
        <v>0</v>
      </c>
      <c r="W10145">
        <f t="shared" si="635"/>
        <v>0</v>
      </c>
    </row>
    <row r="10146" spans="5:23" x14ac:dyDescent="0.25">
      <c r="E10146" s="4"/>
      <c r="F10146" s="4"/>
      <c r="G10146" s="33" t="str">
        <f>IFERROR(VLOOKUP($D10146,'Informations sur les produits'!$A$3:$H$10000,8,FALSE),"0")</f>
        <v>0</v>
      </c>
      <c r="K10146" s="4"/>
      <c r="L10146" s="33" t="str">
        <f>IFERROR(VLOOKUP($J10146,'Informations sur les produits'!$A$3:$H$10000,8,FALSE),"0")</f>
        <v>0</v>
      </c>
      <c r="N10146" s="8"/>
      <c r="O10146" s="33" t="str">
        <f>IFERROR(VLOOKUP($M10146,'Informations sur les produits'!$A$3:$H$10000,8,FALSE),"0")</f>
        <v>0</v>
      </c>
      <c r="P10146" s="33">
        <f t="shared" si="632"/>
        <v>0</v>
      </c>
      <c r="Q10146" s="31" t="str">
        <f t="shared" si="633"/>
        <v/>
      </c>
      <c r="R10146" s="32" t="str">
        <f>IFERROR(VLOOKUP($D10146,'Informations sur les produits'!$A$3:$B$15000,2,FALSE),"")</f>
        <v/>
      </c>
      <c r="V10146">
        <f t="shared" si="634"/>
        <v>0</v>
      </c>
      <c r="W10146">
        <f t="shared" si="635"/>
        <v>0</v>
      </c>
    </row>
    <row r="10147" spans="5:23" x14ac:dyDescent="0.25">
      <c r="E10147" s="4"/>
      <c r="F10147" s="4"/>
      <c r="G10147" s="33" t="str">
        <f>IFERROR(VLOOKUP($D10147,'Informations sur les produits'!$A$3:$H$10000,8,FALSE),"0")</f>
        <v>0</v>
      </c>
      <c r="K10147" s="4"/>
      <c r="L10147" s="33" t="str">
        <f>IFERROR(VLOOKUP($J10147,'Informations sur les produits'!$A$3:$H$10000,8,FALSE),"0")</f>
        <v>0</v>
      </c>
      <c r="N10147" s="8"/>
      <c r="O10147" s="33" t="str">
        <f>IFERROR(VLOOKUP($M10147,'Informations sur les produits'!$A$3:$H$10000,8,FALSE),"0")</f>
        <v>0</v>
      </c>
      <c r="P10147" s="33">
        <f t="shared" si="632"/>
        <v>0</v>
      </c>
      <c r="Q10147" s="31" t="str">
        <f t="shared" si="633"/>
        <v/>
      </c>
      <c r="R10147" s="32" t="str">
        <f>IFERROR(VLOOKUP($D10147,'Informations sur les produits'!$A$3:$B$15000,2,FALSE),"")</f>
        <v/>
      </c>
      <c r="V10147">
        <f t="shared" si="634"/>
        <v>0</v>
      </c>
      <c r="W10147">
        <f t="shared" si="635"/>
        <v>0</v>
      </c>
    </row>
    <row r="10148" spans="5:23" x14ac:dyDescent="0.25">
      <c r="E10148" s="4"/>
      <c r="F10148" s="4"/>
      <c r="G10148" s="33" t="str">
        <f>IFERROR(VLOOKUP($D10148,'Informations sur les produits'!$A$3:$H$10000,8,FALSE),"0")</f>
        <v>0</v>
      </c>
      <c r="K10148" s="4"/>
      <c r="L10148" s="33" t="str">
        <f>IFERROR(VLOOKUP($J10148,'Informations sur les produits'!$A$3:$H$10000,8,FALSE),"0")</f>
        <v>0</v>
      </c>
      <c r="N10148" s="8"/>
      <c r="O10148" s="33" t="str">
        <f>IFERROR(VLOOKUP($M10148,'Informations sur les produits'!$A$3:$H$10000,8,FALSE),"0")</f>
        <v>0</v>
      </c>
      <c r="P10148" s="33">
        <f t="shared" si="632"/>
        <v>0</v>
      </c>
      <c r="Q10148" s="31" t="str">
        <f t="shared" si="633"/>
        <v/>
      </c>
      <c r="R10148" s="32" t="str">
        <f>IFERROR(VLOOKUP($D10148,'Informations sur les produits'!$A$3:$B$15000,2,FALSE),"")</f>
        <v/>
      </c>
      <c r="V10148">
        <f t="shared" si="634"/>
        <v>0</v>
      </c>
      <c r="W10148">
        <f t="shared" si="635"/>
        <v>0</v>
      </c>
    </row>
    <row r="10149" spans="5:23" x14ac:dyDescent="0.25">
      <c r="E10149" s="4"/>
      <c r="F10149" s="4"/>
      <c r="G10149" s="33" t="str">
        <f>IFERROR(VLOOKUP($D10149,'Informations sur les produits'!$A$3:$H$10000,8,FALSE),"0")</f>
        <v>0</v>
      </c>
      <c r="K10149" s="4"/>
      <c r="L10149" s="33" t="str">
        <f>IFERROR(VLOOKUP($J10149,'Informations sur les produits'!$A$3:$H$10000,8,FALSE),"0")</f>
        <v>0</v>
      </c>
      <c r="N10149" s="8"/>
      <c r="O10149" s="33" t="str">
        <f>IFERROR(VLOOKUP($M10149,'Informations sur les produits'!$A$3:$H$10000,8,FALSE),"0")</f>
        <v>0</v>
      </c>
      <c r="P10149" s="33">
        <f t="shared" si="632"/>
        <v>0</v>
      </c>
      <c r="Q10149" s="31" t="str">
        <f t="shared" si="633"/>
        <v/>
      </c>
      <c r="R10149" s="32" t="str">
        <f>IFERROR(VLOOKUP($D10149,'Informations sur les produits'!$A$3:$B$15000,2,FALSE),"")</f>
        <v/>
      </c>
      <c r="V10149">
        <f t="shared" si="634"/>
        <v>0</v>
      </c>
      <c r="W10149">
        <f t="shared" si="635"/>
        <v>0</v>
      </c>
    </row>
    <row r="10150" spans="5:23" x14ac:dyDescent="0.25">
      <c r="E10150" s="4"/>
      <c r="F10150" s="4"/>
      <c r="G10150" s="33" t="str">
        <f>IFERROR(VLOOKUP($D10150,'Informations sur les produits'!$A$3:$H$10000,8,FALSE),"0")</f>
        <v>0</v>
      </c>
      <c r="K10150" s="4"/>
      <c r="L10150" s="33" t="str">
        <f>IFERROR(VLOOKUP($J10150,'Informations sur les produits'!$A$3:$H$10000,8,FALSE),"0")</f>
        <v>0</v>
      </c>
      <c r="N10150" s="8"/>
      <c r="O10150" s="33" t="str">
        <f>IFERROR(VLOOKUP($M10150,'Informations sur les produits'!$A$3:$H$10000,8,FALSE),"0")</f>
        <v>0</v>
      </c>
      <c r="P10150" s="33">
        <f t="shared" si="632"/>
        <v>0</v>
      </c>
      <c r="Q10150" s="31" t="str">
        <f t="shared" si="633"/>
        <v/>
      </c>
      <c r="R10150" s="32" t="str">
        <f>IFERROR(VLOOKUP($D10150,'Informations sur les produits'!$A$3:$B$15000,2,FALSE),"")</f>
        <v/>
      </c>
      <c r="V10150">
        <f t="shared" si="634"/>
        <v>0</v>
      </c>
      <c r="W10150">
        <f t="shared" si="635"/>
        <v>0</v>
      </c>
    </row>
    <row r="10151" spans="5:23" x14ac:dyDescent="0.25">
      <c r="E10151" s="4"/>
      <c r="F10151" s="4"/>
      <c r="G10151" s="33" t="str">
        <f>IFERROR(VLOOKUP($D10151,'Informations sur les produits'!$A$3:$H$10000,8,FALSE),"0")</f>
        <v>0</v>
      </c>
      <c r="K10151" s="4"/>
      <c r="L10151" s="33" t="str">
        <f>IFERROR(VLOOKUP($J10151,'Informations sur les produits'!$A$3:$H$10000,8,FALSE),"0")</f>
        <v>0</v>
      </c>
      <c r="N10151" s="8"/>
      <c r="O10151" s="33" t="str">
        <f>IFERROR(VLOOKUP($M10151,'Informations sur les produits'!$A$3:$H$10000,8,FALSE),"0")</f>
        <v>0</v>
      </c>
      <c r="P10151" s="33">
        <f t="shared" si="632"/>
        <v>0</v>
      </c>
      <c r="Q10151" s="31" t="str">
        <f t="shared" si="633"/>
        <v/>
      </c>
      <c r="R10151" s="32" t="str">
        <f>IFERROR(VLOOKUP($D10151,'Informations sur les produits'!$A$3:$B$15000,2,FALSE),"")</f>
        <v/>
      </c>
      <c r="V10151">
        <f t="shared" si="634"/>
        <v>0</v>
      </c>
      <c r="W10151">
        <f t="shared" si="635"/>
        <v>0</v>
      </c>
    </row>
    <row r="10152" spans="5:23" x14ac:dyDescent="0.25">
      <c r="E10152" s="4"/>
      <c r="F10152" s="4"/>
      <c r="G10152" s="33" t="str">
        <f>IFERROR(VLOOKUP($D10152,'Informations sur les produits'!$A$3:$H$10000,8,FALSE),"0")</f>
        <v>0</v>
      </c>
      <c r="K10152" s="4"/>
      <c r="L10152" s="33" t="str">
        <f>IFERROR(VLOOKUP($J10152,'Informations sur les produits'!$A$3:$H$10000,8,FALSE),"0")</f>
        <v>0</v>
      </c>
      <c r="N10152" s="8"/>
      <c r="O10152" s="33" t="str">
        <f>IFERROR(VLOOKUP($M10152,'Informations sur les produits'!$A$3:$H$10000,8,FALSE),"0")</f>
        <v>0</v>
      </c>
      <c r="P10152" s="33">
        <f t="shared" si="632"/>
        <v>0</v>
      </c>
      <c r="Q10152" s="31" t="str">
        <f t="shared" si="633"/>
        <v/>
      </c>
      <c r="R10152" s="32" t="str">
        <f>IFERROR(VLOOKUP($D10152,'Informations sur les produits'!$A$3:$B$15000,2,FALSE),"")</f>
        <v/>
      </c>
      <c r="V10152">
        <f t="shared" si="634"/>
        <v>0</v>
      </c>
      <c r="W10152">
        <f t="shared" si="635"/>
        <v>0</v>
      </c>
    </row>
    <row r="10153" spans="5:23" x14ac:dyDescent="0.25">
      <c r="E10153" s="4"/>
      <c r="F10153" s="4"/>
      <c r="G10153" s="33" t="str">
        <f>IFERROR(VLOOKUP($D10153,'Informations sur les produits'!$A$3:$H$10000,8,FALSE),"0")</f>
        <v>0</v>
      </c>
      <c r="K10153" s="4"/>
      <c r="L10153" s="33" t="str">
        <f>IFERROR(VLOOKUP($J10153,'Informations sur les produits'!$A$3:$H$10000,8,FALSE),"0")</f>
        <v>0</v>
      </c>
      <c r="N10153" s="8"/>
      <c r="O10153" s="33" t="str">
        <f>IFERROR(VLOOKUP($M10153,'Informations sur les produits'!$A$3:$H$10000,8,FALSE),"0")</f>
        <v>0</v>
      </c>
      <c r="P10153" s="33">
        <f t="shared" si="632"/>
        <v>0</v>
      </c>
      <c r="Q10153" s="31" t="str">
        <f t="shared" si="633"/>
        <v/>
      </c>
      <c r="R10153" s="32" t="str">
        <f>IFERROR(VLOOKUP($D10153,'Informations sur les produits'!$A$3:$B$15000,2,FALSE),"")</f>
        <v/>
      </c>
      <c r="V10153">
        <f t="shared" si="634"/>
        <v>0</v>
      </c>
      <c r="W10153">
        <f t="shared" si="635"/>
        <v>0</v>
      </c>
    </row>
    <row r="10154" spans="5:23" x14ac:dyDescent="0.25">
      <c r="E10154" s="4"/>
      <c r="F10154" s="4"/>
      <c r="G10154" s="33" t="str">
        <f>IFERROR(VLOOKUP($D10154,'Informations sur les produits'!$A$3:$H$10000,8,FALSE),"0")</f>
        <v>0</v>
      </c>
      <c r="K10154" s="4"/>
      <c r="L10154" s="33" t="str">
        <f>IFERROR(VLOOKUP($J10154,'Informations sur les produits'!$A$3:$H$10000,8,FALSE),"0")</f>
        <v>0</v>
      </c>
      <c r="N10154" s="8"/>
      <c r="O10154" s="33" t="str">
        <f>IFERROR(VLOOKUP($M10154,'Informations sur les produits'!$A$3:$H$10000,8,FALSE),"0")</f>
        <v>0</v>
      </c>
      <c r="P10154" s="33">
        <f t="shared" si="632"/>
        <v>0</v>
      </c>
      <c r="Q10154" s="31" t="str">
        <f t="shared" si="633"/>
        <v/>
      </c>
      <c r="R10154" s="32" t="str">
        <f>IFERROR(VLOOKUP($D10154,'Informations sur les produits'!$A$3:$B$15000,2,FALSE),"")</f>
        <v/>
      </c>
      <c r="V10154">
        <f t="shared" si="634"/>
        <v>0</v>
      </c>
      <c r="W10154">
        <f t="shared" si="635"/>
        <v>0</v>
      </c>
    </row>
    <row r="10155" spans="5:23" x14ac:dyDescent="0.25">
      <c r="E10155" s="4"/>
      <c r="F10155" s="4"/>
      <c r="G10155" s="33" t="str">
        <f>IFERROR(VLOOKUP($D10155,'Informations sur les produits'!$A$3:$H$10000,8,FALSE),"0")</f>
        <v>0</v>
      </c>
      <c r="K10155" s="4"/>
      <c r="L10155" s="33" t="str">
        <f>IFERROR(VLOOKUP($J10155,'Informations sur les produits'!$A$3:$H$10000,8,FALSE),"0")</f>
        <v>0</v>
      </c>
      <c r="N10155" s="8"/>
      <c r="O10155" s="33" t="str">
        <f>IFERROR(VLOOKUP($M10155,'Informations sur les produits'!$A$3:$H$10000,8,FALSE),"0")</f>
        <v>0</v>
      </c>
      <c r="P10155" s="33">
        <f t="shared" si="632"/>
        <v>0</v>
      </c>
      <c r="Q10155" s="31" t="str">
        <f t="shared" si="633"/>
        <v/>
      </c>
      <c r="R10155" s="32" t="str">
        <f>IFERROR(VLOOKUP($D10155,'Informations sur les produits'!$A$3:$B$15000,2,FALSE),"")</f>
        <v/>
      </c>
      <c r="V10155">
        <f t="shared" si="634"/>
        <v>0</v>
      </c>
      <c r="W10155">
        <f t="shared" si="635"/>
        <v>0</v>
      </c>
    </row>
    <row r="10156" spans="5:23" x14ac:dyDescent="0.25">
      <c r="E10156" s="4"/>
      <c r="F10156" s="4"/>
      <c r="G10156" s="33" t="str">
        <f>IFERROR(VLOOKUP($D10156,'Informations sur les produits'!$A$3:$H$10000,8,FALSE),"0")</f>
        <v>0</v>
      </c>
      <c r="K10156" s="4"/>
      <c r="L10156" s="33" t="str">
        <f>IFERROR(VLOOKUP($J10156,'Informations sur les produits'!$A$3:$H$10000,8,FALSE),"0")</f>
        <v>0</v>
      </c>
      <c r="N10156" s="8"/>
      <c r="O10156" s="33" t="str">
        <f>IFERROR(VLOOKUP($M10156,'Informations sur les produits'!$A$3:$H$10000,8,FALSE),"0")</f>
        <v>0</v>
      </c>
      <c r="P10156" s="33">
        <f t="shared" si="632"/>
        <v>0</v>
      </c>
      <c r="Q10156" s="31" t="str">
        <f t="shared" si="633"/>
        <v/>
      </c>
      <c r="R10156" s="32" t="str">
        <f>IFERROR(VLOOKUP($D10156,'Informations sur les produits'!$A$3:$B$15000,2,FALSE),"")</f>
        <v/>
      </c>
      <c r="V10156">
        <f t="shared" si="634"/>
        <v>0</v>
      </c>
      <c r="W10156">
        <f t="shared" si="635"/>
        <v>0</v>
      </c>
    </row>
    <row r="10157" spans="5:23" x14ac:dyDescent="0.25">
      <c r="E10157" s="4"/>
      <c r="F10157" s="4"/>
      <c r="G10157" s="33" t="str">
        <f>IFERROR(VLOOKUP($D10157,'Informations sur les produits'!$A$3:$H$10000,8,FALSE),"0")</f>
        <v>0</v>
      </c>
      <c r="K10157" s="4"/>
      <c r="L10157" s="33" t="str">
        <f>IFERROR(VLOOKUP($J10157,'Informations sur les produits'!$A$3:$H$10000,8,FALSE),"0")</f>
        <v>0</v>
      </c>
      <c r="N10157" s="8"/>
      <c r="O10157" s="33" t="str">
        <f>IFERROR(VLOOKUP($M10157,'Informations sur les produits'!$A$3:$H$10000,8,FALSE),"0")</f>
        <v>0</v>
      </c>
      <c r="P10157" s="33">
        <f t="shared" si="632"/>
        <v>0</v>
      </c>
      <c r="Q10157" s="31" t="str">
        <f t="shared" si="633"/>
        <v/>
      </c>
      <c r="R10157" s="32" t="str">
        <f>IFERROR(VLOOKUP($D10157,'Informations sur les produits'!$A$3:$B$15000,2,FALSE),"")</f>
        <v/>
      </c>
      <c r="V10157">
        <f t="shared" si="634"/>
        <v>0</v>
      </c>
      <c r="W10157">
        <f t="shared" si="635"/>
        <v>0</v>
      </c>
    </row>
    <row r="10158" spans="5:23" x14ac:dyDescent="0.25">
      <c r="E10158" s="4"/>
      <c r="F10158" s="4"/>
      <c r="G10158" s="33" t="str">
        <f>IFERROR(VLOOKUP($D10158,'Informations sur les produits'!$A$3:$H$10000,8,FALSE),"0")</f>
        <v>0</v>
      </c>
      <c r="K10158" s="4"/>
      <c r="L10158" s="33" t="str">
        <f>IFERROR(VLOOKUP($J10158,'Informations sur les produits'!$A$3:$H$10000,8,FALSE),"0")</f>
        <v>0</v>
      </c>
      <c r="N10158" s="8"/>
      <c r="O10158" s="33" t="str">
        <f>IFERROR(VLOOKUP($M10158,'Informations sur les produits'!$A$3:$H$10000,8,FALSE),"0")</f>
        <v>0</v>
      </c>
      <c r="P10158" s="33">
        <f t="shared" si="632"/>
        <v>0</v>
      </c>
      <c r="Q10158" s="31" t="str">
        <f t="shared" si="633"/>
        <v/>
      </c>
      <c r="R10158" s="32" t="str">
        <f>IFERROR(VLOOKUP($D10158,'Informations sur les produits'!$A$3:$B$15000,2,FALSE),"")</f>
        <v/>
      </c>
      <c r="V10158">
        <f t="shared" si="634"/>
        <v>0</v>
      </c>
      <c r="W10158">
        <f t="shared" si="635"/>
        <v>0</v>
      </c>
    </row>
    <row r="10159" spans="5:23" x14ac:dyDescent="0.25">
      <c r="E10159" s="4"/>
      <c r="F10159" s="4"/>
      <c r="G10159" s="33" t="str">
        <f>IFERROR(VLOOKUP($D10159,'Informations sur les produits'!$A$3:$H$10000,8,FALSE),"0")</f>
        <v>0</v>
      </c>
      <c r="K10159" s="4"/>
      <c r="L10159" s="33" t="str">
        <f>IFERROR(VLOOKUP($J10159,'Informations sur les produits'!$A$3:$H$10000,8,FALSE),"0")</f>
        <v>0</v>
      </c>
      <c r="N10159" s="8"/>
      <c r="O10159" s="33" t="str">
        <f>IFERROR(VLOOKUP($M10159,'Informations sur les produits'!$A$3:$H$10000,8,FALSE),"0")</f>
        <v>0</v>
      </c>
      <c r="P10159" s="33">
        <f t="shared" si="632"/>
        <v>0</v>
      </c>
      <c r="Q10159" s="31" t="str">
        <f t="shared" si="633"/>
        <v/>
      </c>
      <c r="R10159" s="32" t="str">
        <f>IFERROR(VLOOKUP($D10159,'Informations sur les produits'!$A$3:$B$15000,2,FALSE),"")</f>
        <v/>
      </c>
      <c r="V10159">
        <f t="shared" si="634"/>
        <v>0</v>
      </c>
      <c r="W10159">
        <f t="shared" si="635"/>
        <v>0</v>
      </c>
    </row>
    <row r="10160" spans="5:23" x14ac:dyDescent="0.25">
      <c r="E10160" s="4"/>
      <c r="F10160" s="4"/>
      <c r="G10160" s="33" t="str">
        <f>IFERROR(VLOOKUP($D10160,'Informations sur les produits'!$A$3:$H$10000,8,FALSE),"0")</f>
        <v>0</v>
      </c>
      <c r="K10160" s="4"/>
      <c r="L10160" s="33" t="str">
        <f>IFERROR(VLOOKUP($J10160,'Informations sur les produits'!$A$3:$H$10000,8,FALSE),"0")</f>
        <v>0</v>
      </c>
      <c r="N10160" s="8"/>
      <c r="O10160" s="33" t="str">
        <f>IFERROR(VLOOKUP($M10160,'Informations sur les produits'!$A$3:$H$10000,8,FALSE),"0")</f>
        <v>0</v>
      </c>
      <c r="P10160" s="33">
        <f t="shared" si="632"/>
        <v>0</v>
      </c>
      <c r="Q10160" s="31" t="str">
        <f t="shared" si="633"/>
        <v/>
      </c>
      <c r="R10160" s="32" t="str">
        <f>IFERROR(VLOOKUP($D10160,'Informations sur les produits'!$A$3:$B$15000,2,FALSE),"")</f>
        <v/>
      </c>
      <c r="V10160">
        <f t="shared" si="634"/>
        <v>0</v>
      </c>
      <c r="W10160">
        <f t="shared" si="635"/>
        <v>0</v>
      </c>
    </row>
    <row r="10161" spans="5:23" x14ac:dyDescent="0.25">
      <c r="E10161" s="4"/>
      <c r="F10161" s="4"/>
      <c r="G10161" s="33" t="str">
        <f>IFERROR(VLOOKUP($D10161,'Informations sur les produits'!$A$3:$H$10000,8,FALSE),"0")</f>
        <v>0</v>
      </c>
      <c r="K10161" s="4"/>
      <c r="L10161" s="33" t="str">
        <f>IFERROR(VLOOKUP($J10161,'Informations sur les produits'!$A$3:$H$10000,8,FALSE),"0")</f>
        <v>0</v>
      </c>
      <c r="N10161" s="8"/>
      <c r="O10161" s="33" t="str">
        <f>IFERROR(VLOOKUP($M10161,'Informations sur les produits'!$A$3:$H$10000,8,FALSE),"0")</f>
        <v>0</v>
      </c>
      <c r="P10161" s="33">
        <f t="shared" si="632"/>
        <v>0</v>
      </c>
      <c r="Q10161" s="31" t="str">
        <f t="shared" si="633"/>
        <v/>
      </c>
      <c r="R10161" s="32" t="str">
        <f>IFERROR(VLOOKUP($D10161,'Informations sur les produits'!$A$3:$B$15000,2,FALSE),"")</f>
        <v/>
      </c>
      <c r="V10161">
        <f t="shared" si="634"/>
        <v>0</v>
      </c>
      <c r="W10161">
        <f t="shared" si="635"/>
        <v>0</v>
      </c>
    </row>
    <row r="10162" spans="5:23" x14ac:dyDescent="0.25">
      <c r="E10162" s="4"/>
      <c r="F10162" s="4"/>
      <c r="G10162" s="33" t="str">
        <f>IFERROR(VLOOKUP($D10162,'Informations sur les produits'!$A$3:$H$10000,8,FALSE),"0")</f>
        <v>0</v>
      </c>
      <c r="K10162" s="4"/>
      <c r="L10162" s="33" t="str">
        <f>IFERROR(VLOOKUP($J10162,'Informations sur les produits'!$A$3:$H$10000,8,FALSE),"0")</f>
        <v>0</v>
      </c>
      <c r="N10162" s="8"/>
      <c r="O10162" s="33" t="str">
        <f>IFERROR(VLOOKUP($M10162,'Informations sur les produits'!$A$3:$H$10000,8,FALSE),"0")</f>
        <v>0</v>
      </c>
      <c r="P10162" s="33">
        <f t="shared" si="632"/>
        <v>0</v>
      </c>
      <c r="Q10162" s="31" t="str">
        <f t="shared" si="633"/>
        <v/>
      </c>
      <c r="R10162" s="32" t="str">
        <f>IFERROR(VLOOKUP($D10162,'Informations sur les produits'!$A$3:$B$15000,2,FALSE),"")</f>
        <v/>
      </c>
      <c r="V10162">
        <f t="shared" si="634"/>
        <v>0</v>
      </c>
      <c r="W10162">
        <f t="shared" si="635"/>
        <v>0</v>
      </c>
    </row>
    <row r="10163" spans="5:23" x14ac:dyDescent="0.25">
      <c r="E10163" s="4"/>
      <c r="F10163" s="4"/>
      <c r="G10163" s="33" t="str">
        <f>IFERROR(VLOOKUP($D10163,'Informations sur les produits'!$A$3:$H$10000,8,FALSE),"0")</f>
        <v>0</v>
      </c>
      <c r="K10163" s="4"/>
      <c r="L10163" s="33" t="str">
        <f>IFERROR(VLOOKUP($J10163,'Informations sur les produits'!$A$3:$H$10000,8,FALSE),"0")</f>
        <v>0</v>
      </c>
      <c r="N10163" s="8"/>
      <c r="O10163" s="33" t="str">
        <f>IFERROR(VLOOKUP($M10163,'Informations sur les produits'!$A$3:$H$10000,8,FALSE),"0")</f>
        <v>0</v>
      </c>
      <c r="P10163" s="33">
        <f t="shared" si="632"/>
        <v>0</v>
      </c>
      <c r="Q10163" s="31" t="str">
        <f t="shared" si="633"/>
        <v/>
      </c>
      <c r="R10163" s="32" t="str">
        <f>IFERROR(VLOOKUP($D10163,'Informations sur les produits'!$A$3:$B$15000,2,FALSE),"")</f>
        <v/>
      </c>
      <c r="V10163">
        <f t="shared" si="634"/>
        <v>0</v>
      </c>
      <c r="W10163">
        <f t="shared" si="635"/>
        <v>0</v>
      </c>
    </row>
    <row r="10164" spans="5:23" x14ac:dyDescent="0.25">
      <c r="E10164" s="4"/>
      <c r="F10164" s="4"/>
      <c r="G10164" s="33" t="str">
        <f>IFERROR(VLOOKUP($D10164,'Informations sur les produits'!$A$3:$H$10000,8,FALSE),"0")</f>
        <v>0</v>
      </c>
      <c r="K10164" s="4"/>
      <c r="L10164" s="33" t="str">
        <f>IFERROR(VLOOKUP($J10164,'Informations sur les produits'!$A$3:$H$10000,8,FALSE),"0")</f>
        <v>0</v>
      </c>
      <c r="N10164" s="8"/>
      <c r="O10164" s="33" t="str">
        <f>IFERROR(VLOOKUP($M10164,'Informations sur les produits'!$A$3:$H$10000,8,FALSE),"0")</f>
        <v>0</v>
      </c>
      <c r="P10164" s="33">
        <f t="shared" si="632"/>
        <v>0</v>
      </c>
      <c r="Q10164" s="31" t="str">
        <f t="shared" si="633"/>
        <v/>
      </c>
      <c r="R10164" s="32" t="str">
        <f>IFERROR(VLOOKUP($D10164,'Informations sur les produits'!$A$3:$B$15000,2,FALSE),"")</f>
        <v/>
      </c>
      <c r="V10164">
        <f t="shared" si="634"/>
        <v>0</v>
      </c>
      <c r="W10164">
        <f t="shared" si="635"/>
        <v>0</v>
      </c>
    </row>
    <row r="10165" spans="5:23" x14ac:dyDescent="0.25">
      <c r="E10165" s="4"/>
      <c r="F10165" s="4"/>
      <c r="G10165" s="33" t="str">
        <f>IFERROR(VLOOKUP($D10165,'Informations sur les produits'!$A$3:$H$10000,8,FALSE),"0")</f>
        <v>0</v>
      </c>
      <c r="K10165" s="4"/>
      <c r="L10165" s="33" t="str">
        <f>IFERROR(VLOOKUP($J10165,'Informations sur les produits'!$A$3:$H$10000,8,FALSE),"0")</f>
        <v>0</v>
      </c>
      <c r="N10165" s="8"/>
      <c r="O10165" s="33" t="str">
        <f>IFERROR(VLOOKUP($M10165,'Informations sur les produits'!$A$3:$H$10000,8,FALSE),"0")</f>
        <v>0</v>
      </c>
      <c r="P10165" s="33">
        <f t="shared" si="632"/>
        <v>0</v>
      </c>
      <c r="Q10165" s="31" t="str">
        <f t="shared" si="633"/>
        <v/>
      </c>
      <c r="R10165" s="32" t="str">
        <f>IFERROR(VLOOKUP($D10165,'Informations sur les produits'!$A$3:$B$15000,2,FALSE),"")</f>
        <v/>
      </c>
      <c r="V10165">
        <f t="shared" si="634"/>
        <v>0</v>
      </c>
      <c r="W10165">
        <f t="shared" si="635"/>
        <v>0</v>
      </c>
    </row>
    <row r="10166" spans="5:23" x14ac:dyDescent="0.25">
      <c r="E10166" s="4"/>
      <c r="F10166" s="4"/>
      <c r="G10166" s="33" t="str">
        <f>IFERROR(VLOOKUP($D10166,'Informations sur les produits'!$A$3:$H$10000,8,FALSE),"0")</f>
        <v>0</v>
      </c>
      <c r="K10166" s="4"/>
      <c r="L10166" s="33" t="str">
        <f>IFERROR(VLOOKUP($J10166,'Informations sur les produits'!$A$3:$H$10000,8,FALSE),"0")</f>
        <v>0</v>
      </c>
      <c r="N10166" s="8"/>
      <c r="O10166" s="33" t="str">
        <f>IFERROR(VLOOKUP($M10166,'Informations sur les produits'!$A$3:$H$10000,8,FALSE),"0")</f>
        <v>0</v>
      </c>
      <c r="P10166" s="33">
        <f t="shared" si="632"/>
        <v>0</v>
      </c>
      <c r="Q10166" s="31" t="str">
        <f t="shared" si="633"/>
        <v/>
      </c>
      <c r="R10166" s="32" t="str">
        <f>IFERROR(VLOOKUP($D10166,'Informations sur les produits'!$A$3:$B$15000,2,FALSE),"")</f>
        <v/>
      </c>
      <c r="V10166">
        <f t="shared" si="634"/>
        <v>0</v>
      </c>
      <c r="W10166">
        <f t="shared" si="635"/>
        <v>0</v>
      </c>
    </row>
    <row r="10167" spans="5:23" x14ac:dyDescent="0.25">
      <c r="E10167" s="4"/>
      <c r="F10167" s="4"/>
      <c r="G10167" s="33" t="str">
        <f>IFERROR(VLOOKUP($D10167,'Informations sur les produits'!$A$3:$H$10000,8,FALSE),"0")</f>
        <v>0</v>
      </c>
      <c r="K10167" s="4"/>
      <c r="L10167" s="33" t="str">
        <f>IFERROR(VLOOKUP($J10167,'Informations sur les produits'!$A$3:$H$10000,8,FALSE),"0")</f>
        <v>0</v>
      </c>
      <c r="N10167" s="8"/>
      <c r="O10167" s="33" t="str">
        <f>IFERROR(VLOOKUP($M10167,'Informations sur les produits'!$A$3:$H$10000,8,FALSE),"0")</f>
        <v>0</v>
      </c>
      <c r="P10167" s="33">
        <f t="shared" si="632"/>
        <v>0</v>
      </c>
      <c r="Q10167" s="31" t="str">
        <f t="shared" si="633"/>
        <v/>
      </c>
      <c r="R10167" s="32" t="str">
        <f>IFERROR(VLOOKUP($D10167,'Informations sur les produits'!$A$3:$B$15000,2,FALSE),"")</f>
        <v/>
      </c>
      <c r="V10167">
        <f t="shared" si="634"/>
        <v>0</v>
      </c>
      <c r="W10167">
        <f t="shared" si="635"/>
        <v>0</v>
      </c>
    </row>
    <row r="10168" spans="5:23" x14ac:dyDescent="0.25">
      <c r="E10168" s="4"/>
      <c r="F10168" s="4"/>
      <c r="G10168" s="33" t="str">
        <f>IFERROR(VLOOKUP($D10168,'Informations sur les produits'!$A$3:$H$10000,8,FALSE),"0")</f>
        <v>0</v>
      </c>
      <c r="K10168" s="4"/>
      <c r="L10168" s="33" t="str">
        <f>IFERROR(VLOOKUP($J10168,'Informations sur les produits'!$A$3:$H$10000,8,FALSE),"0")</f>
        <v>0</v>
      </c>
      <c r="N10168" s="8"/>
      <c r="O10168" s="33" t="str">
        <f>IFERROR(VLOOKUP($M10168,'Informations sur les produits'!$A$3:$H$10000,8,FALSE),"0")</f>
        <v>0</v>
      </c>
      <c r="P10168" s="33">
        <f t="shared" si="632"/>
        <v>0</v>
      </c>
      <c r="Q10168" s="31" t="str">
        <f t="shared" si="633"/>
        <v/>
      </c>
      <c r="R10168" s="32" t="str">
        <f>IFERROR(VLOOKUP($D10168,'Informations sur les produits'!$A$3:$B$15000,2,FALSE),"")</f>
        <v/>
      </c>
      <c r="V10168">
        <f t="shared" si="634"/>
        <v>0</v>
      </c>
      <c r="W10168">
        <f t="shared" si="635"/>
        <v>0</v>
      </c>
    </row>
    <row r="10169" spans="5:23" x14ac:dyDescent="0.25">
      <c r="E10169" s="4"/>
      <c r="F10169" s="4"/>
      <c r="G10169" s="33" t="str">
        <f>IFERROR(VLOOKUP($D10169,'Informations sur les produits'!$A$3:$H$10000,8,FALSE),"0")</f>
        <v>0</v>
      </c>
      <c r="K10169" s="4"/>
      <c r="L10169" s="33" t="str">
        <f>IFERROR(VLOOKUP($J10169,'Informations sur les produits'!$A$3:$H$10000,8,FALSE),"0")</f>
        <v>0</v>
      </c>
      <c r="N10169" s="8"/>
      <c r="O10169" s="33" t="str">
        <f>IFERROR(VLOOKUP($M10169,'Informations sur les produits'!$A$3:$H$10000,8,FALSE),"0")</f>
        <v>0</v>
      </c>
      <c r="P10169" s="33">
        <f t="shared" si="632"/>
        <v>0</v>
      </c>
      <c r="Q10169" s="31" t="str">
        <f t="shared" si="633"/>
        <v/>
      </c>
      <c r="R10169" s="32" t="str">
        <f>IFERROR(VLOOKUP($D10169,'Informations sur les produits'!$A$3:$B$15000,2,FALSE),"")</f>
        <v/>
      </c>
      <c r="V10169">
        <f t="shared" si="634"/>
        <v>0</v>
      </c>
      <c r="W10169">
        <f t="shared" si="635"/>
        <v>0</v>
      </c>
    </row>
    <row r="10170" spans="5:23" x14ac:dyDescent="0.25">
      <c r="E10170" s="4"/>
      <c r="F10170" s="4"/>
      <c r="G10170" s="33" t="str">
        <f>IFERROR(VLOOKUP($D10170,'Informations sur les produits'!$A$3:$H$10000,8,FALSE),"0")</f>
        <v>0</v>
      </c>
      <c r="K10170" s="4"/>
      <c r="L10170" s="33" t="str">
        <f>IFERROR(VLOOKUP($J10170,'Informations sur les produits'!$A$3:$H$10000,8,FALSE),"0")</f>
        <v>0</v>
      </c>
      <c r="N10170" s="8"/>
      <c r="O10170" s="33" t="str">
        <f>IFERROR(VLOOKUP($M10170,'Informations sur les produits'!$A$3:$H$10000,8,FALSE),"0")</f>
        <v>0</v>
      </c>
      <c r="P10170" s="33">
        <f t="shared" si="632"/>
        <v>0</v>
      </c>
      <c r="Q10170" s="31" t="str">
        <f t="shared" si="633"/>
        <v/>
      </c>
      <c r="R10170" s="32" t="str">
        <f>IFERROR(VLOOKUP($D10170,'Informations sur les produits'!$A$3:$B$15000,2,FALSE),"")</f>
        <v/>
      </c>
      <c r="V10170">
        <f t="shared" si="634"/>
        <v>0</v>
      </c>
      <c r="W10170">
        <f t="shared" si="635"/>
        <v>0</v>
      </c>
    </row>
    <row r="10171" spans="5:23" x14ac:dyDescent="0.25">
      <c r="E10171" s="4"/>
      <c r="F10171" s="4"/>
      <c r="G10171" s="33" t="str">
        <f>IFERROR(VLOOKUP($D10171,'Informations sur les produits'!$A$3:$H$10000,8,FALSE),"0")</f>
        <v>0</v>
      </c>
      <c r="K10171" s="4"/>
      <c r="L10171" s="33" t="str">
        <f>IFERROR(VLOOKUP($J10171,'Informations sur les produits'!$A$3:$H$10000,8,FALSE),"0")</f>
        <v>0</v>
      </c>
      <c r="N10171" s="8"/>
      <c r="O10171" s="33" t="str">
        <f>IFERROR(VLOOKUP($M10171,'Informations sur les produits'!$A$3:$H$10000,8,FALSE),"0")</f>
        <v>0</v>
      </c>
      <c r="P10171" s="33">
        <f t="shared" si="632"/>
        <v>0</v>
      </c>
      <c r="Q10171" s="31" t="str">
        <f t="shared" si="633"/>
        <v/>
      </c>
      <c r="R10171" s="32" t="str">
        <f>IFERROR(VLOOKUP($D10171,'Informations sur les produits'!$A$3:$B$15000,2,FALSE),"")</f>
        <v/>
      </c>
      <c r="V10171">
        <f t="shared" si="634"/>
        <v>0</v>
      </c>
      <c r="W10171">
        <f t="shared" si="635"/>
        <v>0</v>
      </c>
    </row>
    <row r="10172" spans="5:23" x14ac:dyDescent="0.25">
      <c r="E10172" s="4"/>
      <c r="F10172" s="4"/>
      <c r="G10172" s="33" t="str">
        <f>IFERROR(VLOOKUP($D10172,'Informations sur les produits'!$A$3:$H$10000,8,FALSE),"0")</f>
        <v>0</v>
      </c>
      <c r="K10172" s="4"/>
      <c r="L10172" s="33" t="str">
        <f>IFERROR(VLOOKUP($J10172,'Informations sur les produits'!$A$3:$H$10000,8,FALSE),"0")</f>
        <v>0</v>
      </c>
      <c r="N10172" s="8"/>
      <c r="O10172" s="33" t="str">
        <f>IFERROR(VLOOKUP($M10172,'Informations sur les produits'!$A$3:$H$10000,8,FALSE),"0")</f>
        <v>0</v>
      </c>
      <c r="P10172" s="33">
        <f t="shared" si="632"/>
        <v>0</v>
      </c>
      <c r="Q10172" s="31" t="str">
        <f t="shared" si="633"/>
        <v/>
      </c>
      <c r="R10172" s="32" t="str">
        <f>IFERROR(VLOOKUP($D10172,'Informations sur les produits'!$A$3:$B$15000,2,FALSE),"")</f>
        <v/>
      </c>
      <c r="V10172">
        <f t="shared" si="634"/>
        <v>0</v>
      </c>
      <c r="W10172">
        <f t="shared" si="635"/>
        <v>0</v>
      </c>
    </row>
    <row r="10173" spans="5:23" x14ac:dyDescent="0.25">
      <c r="E10173" s="4"/>
      <c r="F10173" s="4"/>
      <c r="G10173" s="33" t="str">
        <f>IFERROR(VLOOKUP($D10173,'Informations sur les produits'!$A$3:$H$10000,8,FALSE),"0")</f>
        <v>0</v>
      </c>
      <c r="K10173" s="4"/>
      <c r="L10173" s="33" t="str">
        <f>IFERROR(VLOOKUP($J10173,'Informations sur les produits'!$A$3:$H$10000,8,FALSE),"0")</f>
        <v>0</v>
      </c>
      <c r="N10173" s="8"/>
      <c r="O10173" s="33" t="str">
        <f>IFERROR(VLOOKUP($M10173,'Informations sur les produits'!$A$3:$H$10000,8,FALSE),"0")</f>
        <v>0</v>
      </c>
      <c r="P10173" s="33">
        <f t="shared" si="632"/>
        <v>0</v>
      </c>
      <c r="Q10173" s="31" t="str">
        <f t="shared" si="633"/>
        <v/>
      </c>
      <c r="R10173" s="32" t="str">
        <f>IFERROR(VLOOKUP($D10173,'Informations sur les produits'!$A$3:$B$15000,2,FALSE),"")</f>
        <v/>
      </c>
      <c r="V10173">
        <f t="shared" si="634"/>
        <v>0</v>
      </c>
      <c r="W10173">
        <f t="shared" si="635"/>
        <v>0</v>
      </c>
    </row>
    <row r="10174" spans="5:23" x14ac:dyDescent="0.25">
      <c r="E10174" s="4"/>
      <c r="F10174" s="4"/>
      <c r="G10174" s="33" t="str">
        <f>IFERROR(VLOOKUP($D10174,'Informations sur les produits'!$A$3:$H$10000,8,FALSE),"0")</f>
        <v>0</v>
      </c>
      <c r="K10174" s="4"/>
      <c r="L10174" s="33" t="str">
        <f>IFERROR(VLOOKUP($J10174,'Informations sur les produits'!$A$3:$H$10000,8,FALSE),"0")</f>
        <v>0</v>
      </c>
      <c r="N10174" s="8"/>
      <c r="O10174" s="33" t="str">
        <f>IFERROR(VLOOKUP($M10174,'Informations sur les produits'!$A$3:$H$10000,8,FALSE),"0")</f>
        <v>0</v>
      </c>
      <c r="P10174" s="33">
        <f t="shared" si="632"/>
        <v>0</v>
      </c>
      <c r="Q10174" s="31" t="str">
        <f t="shared" si="633"/>
        <v/>
      </c>
      <c r="R10174" s="32" t="str">
        <f>IFERROR(VLOOKUP($D10174,'Informations sur les produits'!$A$3:$B$15000,2,FALSE),"")</f>
        <v/>
      </c>
      <c r="V10174">
        <f t="shared" si="634"/>
        <v>0</v>
      </c>
      <c r="W10174">
        <f t="shared" si="635"/>
        <v>0</v>
      </c>
    </row>
    <row r="10175" spans="5:23" x14ac:dyDescent="0.25">
      <c r="E10175" s="4"/>
      <c r="F10175" s="4"/>
      <c r="G10175" s="33" t="str">
        <f>IFERROR(VLOOKUP($D10175,'Informations sur les produits'!$A$3:$H$10000,8,FALSE),"0")</f>
        <v>0</v>
      </c>
      <c r="K10175" s="4"/>
      <c r="L10175" s="33" t="str">
        <f>IFERROR(VLOOKUP($J10175,'Informations sur les produits'!$A$3:$H$10000,8,FALSE),"0")</f>
        <v>0</v>
      </c>
      <c r="N10175" s="8"/>
      <c r="O10175" s="33" t="str">
        <f>IFERROR(VLOOKUP($M10175,'Informations sur les produits'!$A$3:$H$10000,8,FALSE),"0")</f>
        <v>0</v>
      </c>
      <c r="P10175" s="33">
        <f t="shared" si="632"/>
        <v>0</v>
      </c>
      <c r="Q10175" s="31" t="str">
        <f t="shared" si="633"/>
        <v/>
      </c>
      <c r="R10175" s="32" t="str">
        <f>IFERROR(VLOOKUP($D10175,'Informations sur les produits'!$A$3:$B$15000,2,FALSE),"")</f>
        <v/>
      </c>
      <c r="V10175">
        <f t="shared" si="634"/>
        <v>0</v>
      </c>
      <c r="W10175">
        <f t="shared" si="635"/>
        <v>0</v>
      </c>
    </row>
    <row r="10176" spans="5:23" x14ac:dyDescent="0.25">
      <c r="E10176" s="4"/>
      <c r="F10176" s="4"/>
      <c r="G10176" s="33" t="str">
        <f>IFERROR(VLOOKUP($D10176,'Informations sur les produits'!$A$3:$H$10000,8,FALSE),"0")</f>
        <v>0</v>
      </c>
      <c r="K10176" s="4"/>
      <c r="L10176" s="33" t="str">
        <f>IFERROR(VLOOKUP($J10176,'Informations sur les produits'!$A$3:$H$10000,8,FALSE),"0")</f>
        <v>0</v>
      </c>
      <c r="N10176" s="8"/>
      <c r="O10176" s="33" t="str">
        <f>IFERROR(VLOOKUP($M10176,'Informations sur les produits'!$A$3:$H$10000,8,FALSE),"0")</f>
        <v>0</v>
      </c>
      <c r="P10176" s="33">
        <f t="shared" si="632"/>
        <v>0</v>
      </c>
      <c r="Q10176" s="31" t="str">
        <f t="shared" si="633"/>
        <v/>
      </c>
      <c r="R10176" s="32" t="str">
        <f>IFERROR(VLOOKUP($D10176,'Informations sur les produits'!$A$3:$B$15000,2,FALSE),"")</f>
        <v/>
      </c>
      <c r="V10176">
        <f t="shared" si="634"/>
        <v>0</v>
      </c>
      <c r="W10176">
        <f t="shared" si="635"/>
        <v>0</v>
      </c>
    </row>
    <row r="10177" spans="5:23" x14ac:dyDescent="0.25">
      <c r="E10177" s="4"/>
      <c r="F10177" s="4"/>
      <c r="G10177" s="33" t="str">
        <f>IFERROR(VLOOKUP($D10177,'Informations sur les produits'!$A$3:$H$10000,8,FALSE),"0")</f>
        <v>0</v>
      </c>
      <c r="K10177" s="4"/>
      <c r="L10177" s="33" t="str">
        <f>IFERROR(VLOOKUP($J10177,'Informations sur les produits'!$A$3:$H$10000,8,FALSE),"0")</f>
        <v>0</v>
      </c>
      <c r="N10177" s="8"/>
      <c r="O10177" s="33" t="str">
        <f>IFERROR(VLOOKUP($M10177,'Informations sur les produits'!$A$3:$H$10000,8,FALSE),"0")</f>
        <v>0</v>
      </c>
      <c r="P10177" s="33">
        <f t="shared" si="632"/>
        <v>0</v>
      </c>
      <c r="Q10177" s="31" t="str">
        <f t="shared" si="633"/>
        <v/>
      </c>
      <c r="R10177" s="32" t="str">
        <f>IFERROR(VLOOKUP($D10177,'Informations sur les produits'!$A$3:$B$15000,2,FALSE),"")</f>
        <v/>
      </c>
      <c r="V10177">
        <f t="shared" si="634"/>
        <v>0</v>
      </c>
      <c r="W10177">
        <f t="shared" si="635"/>
        <v>0</v>
      </c>
    </row>
    <row r="10178" spans="5:23" x14ac:dyDescent="0.25">
      <c r="E10178" s="4"/>
      <c r="F10178" s="4"/>
      <c r="G10178" s="33" t="str">
        <f>IFERROR(VLOOKUP($D10178,'Informations sur les produits'!$A$3:$H$10000,8,FALSE),"0")</f>
        <v>0</v>
      </c>
      <c r="K10178" s="4"/>
      <c r="L10178" s="33" t="str">
        <f>IFERROR(VLOOKUP($J10178,'Informations sur les produits'!$A$3:$H$10000,8,FALSE),"0")</f>
        <v>0</v>
      </c>
      <c r="N10178" s="8"/>
      <c r="O10178" s="33" t="str">
        <f>IFERROR(VLOOKUP($M10178,'Informations sur les produits'!$A$3:$H$10000,8,FALSE),"0")</f>
        <v>0</v>
      </c>
      <c r="P10178" s="33">
        <f t="shared" si="632"/>
        <v>0</v>
      </c>
      <c r="Q10178" s="31" t="str">
        <f t="shared" si="633"/>
        <v/>
      </c>
      <c r="R10178" s="32" t="str">
        <f>IFERROR(VLOOKUP($D10178,'Informations sur les produits'!$A$3:$B$15000,2,FALSE),"")</f>
        <v/>
      </c>
      <c r="V10178">
        <f t="shared" si="634"/>
        <v>0</v>
      </c>
      <c r="W10178">
        <f t="shared" si="635"/>
        <v>0</v>
      </c>
    </row>
    <row r="10179" spans="5:23" x14ac:dyDescent="0.25">
      <c r="E10179" s="4"/>
      <c r="F10179" s="4"/>
      <c r="G10179" s="33" t="str">
        <f>IFERROR(VLOOKUP($D10179,'Informations sur les produits'!$A$3:$H$10000,8,FALSE),"0")</f>
        <v>0</v>
      </c>
      <c r="K10179" s="4"/>
      <c r="L10179" s="33" t="str">
        <f>IFERROR(VLOOKUP($J10179,'Informations sur les produits'!$A$3:$H$10000,8,FALSE),"0")</f>
        <v>0</v>
      </c>
      <c r="N10179" s="8"/>
      <c r="O10179" s="33" t="str">
        <f>IFERROR(VLOOKUP($M10179,'Informations sur les produits'!$A$3:$H$10000,8,FALSE),"0")</f>
        <v>0</v>
      </c>
      <c r="P10179" s="33">
        <f t="shared" si="632"/>
        <v>0</v>
      </c>
      <c r="Q10179" s="31" t="str">
        <f t="shared" si="633"/>
        <v/>
      </c>
      <c r="R10179" s="32" t="str">
        <f>IFERROR(VLOOKUP($D10179,'Informations sur les produits'!$A$3:$B$15000,2,FALSE),"")</f>
        <v/>
      </c>
      <c r="V10179">
        <f t="shared" si="634"/>
        <v>0</v>
      </c>
      <c r="W10179">
        <f t="shared" si="635"/>
        <v>0</v>
      </c>
    </row>
    <row r="10180" spans="5:23" x14ac:dyDescent="0.25">
      <c r="E10180" s="4"/>
      <c r="F10180" s="4"/>
      <c r="G10180" s="33" t="str">
        <f>IFERROR(VLOOKUP($D10180,'Informations sur les produits'!$A$3:$H$10000,8,FALSE),"0")</f>
        <v>0</v>
      </c>
      <c r="K10180" s="4"/>
      <c r="L10180" s="33" t="str">
        <f>IFERROR(VLOOKUP($J10180,'Informations sur les produits'!$A$3:$H$10000,8,FALSE),"0")</f>
        <v>0</v>
      </c>
      <c r="N10180" s="8"/>
      <c r="O10180" s="33" t="str">
        <f>IFERROR(VLOOKUP($M10180,'Informations sur les produits'!$A$3:$H$10000,8,FALSE),"0")</f>
        <v>0</v>
      </c>
      <c r="P10180" s="33">
        <f t="shared" ref="P10180:P10243" si="636">IFERROR((($E10180-$F10180)*$G10180+$K10180*$L10180+$N10180*$O10180),"")</f>
        <v>0</v>
      </c>
      <c r="Q10180" s="31" t="str">
        <f t="shared" ref="Q10180:Q10243" si="637">IFERROR((((($E10180-$F10180)*$G10180+$K10180*$L10180+$N10180*$O10180)*1000)/(($E10180-$F10180)+$K10180+$N10180)),"")</f>
        <v/>
      </c>
      <c r="R10180" s="32" t="str">
        <f>IFERROR(VLOOKUP($D10180,'Informations sur les produits'!$A$3:$B$15000,2,FALSE),"")</f>
        <v/>
      </c>
      <c r="V10180">
        <f t="shared" ref="V10180:V10243" si="638">IFERROR(P10180*1000,"")</f>
        <v>0</v>
      </c>
      <c r="W10180">
        <f t="shared" ref="W10180:W10243" si="639">IFERROR(($E10180-$F10180)+$K10180+$N10180,"")</f>
        <v>0</v>
      </c>
    </row>
    <row r="10181" spans="5:23" x14ac:dyDescent="0.25">
      <c r="E10181" s="4"/>
      <c r="F10181" s="4"/>
      <c r="G10181" s="33" t="str">
        <f>IFERROR(VLOOKUP($D10181,'Informations sur les produits'!$A$3:$H$10000,8,FALSE),"0")</f>
        <v>0</v>
      </c>
      <c r="K10181" s="4"/>
      <c r="L10181" s="33" t="str">
        <f>IFERROR(VLOOKUP($J10181,'Informations sur les produits'!$A$3:$H$10000,8,FALSE),"0")</f>
        <v>0</v>
      </c>
      <c r="N10181" s="8"/>
      <c r="O10181" s="33" t="str">
        <f>IFERROR(VLOOKUP($M10181,'Informations sur les produits'!$A$3:$H$10000,8,FALSE),"0")</f>
        <v>0</v>
      </c>
      <c r="P10181" s="33">
        <f t="shared" si="636"/>
        <v>0</v>
      </c>
      <c r="Q10181" s="31" t="str">
        <f t="shared" si="637"/>
        <v/>
      </c>
      <c r="R10181" s="32" t="str">
        <f>IFERROR(VLOOKUP($D10181,'Informations sur les produits'!$A$3:$B$15000,2,FALSE),"")</f>
        <v/>
      </c>
      <c r="V10181">
        <f t="shared" si="638"/>
        <v>0</v>
      </c>
      <c r="W10181">
        <f t="shared" si="639"/>
        <v>0</v>
      </c>
    </row>
    <row r="10182" spans="5:23" x14ac:dyDescent="0.25">
      <c r="E10182" s="4"/>
      <c r="F10182" s="4"/>
      <c r="G10182" s="33" t="str">
        <f>IFERROR(VLOOKUP($D10182,'Informations sur les produits'!$A$3:$H$10000,8,FALSE),"0")</f>
        <v>0</v>
      </c>
      <c r="K10182" s="4"/>
      <c r="L10182" s="33" t="str">
        <f>IFERROR(VLOOKUP($J10182,'Informations sur les produits'!$A$3:$H$10000,8,FALSE),"0")</f>
        <v>0</v>
      </c>
      <c r="N10182" s="8"/>
      <c r="O10182" s="33" t="str">
        <f>IFERROR(VLOOKUP($M10182,'Informations sur les produits'!$A$3:$H$10000,8,FALSE),"0")</f>
        <v>0</v>
      </c>
      <c r="P10182" s="33">
        <f t="shared" si="636"/>
        <v>0</v>
      </c>
      <c r="Q10182" s="31" t="str">
        <f t="shared" si="637"/>
        <v/>
      </c>
      <c r="R10182" s="32" t="str">
        <f>IFERROR(VLOOKUP($D10182,'Informations sur les produits'!$A$3:$B$15000,2,FALSE),"")</f>
        <v/>
      </c>
      <c r="V10182">
        <f t="shared" si="638"/>
        <v>0</v>
      </c>
      <c r="W10182">
        <f t="shared" si="639"/>
        <v>0</v>
      </c>
    </row>
    <row r="10183" spans="5:23" x14ac:dyDescent="0.25">
      <c r="E10183" s="4"/>
      <c r="F10183" s="4"/>
      <c r="G10183" s="33" t="str">
        <f>IFERROR(VLOOKUP($D10183,'Informations sur les produits'!$A$3:$H$10000,8,FALSE),"0")</f>
        <v>0</v>
      </c>
      <c r="K10183" s="4"/>
      <c r="L10183" s="33" t="str">
        <f>IFERROR(VLOOKUP($J10183,'Informations sur les produits'!$A$3:$H$10000,8,FALSE),"0")</f>
        <v>0</v>
      </c>
      <c r="N10183" s="8"/>
      <c r="O10183" s="33" t="str">
        <f>IFERROR(VLOOKUP($M10183,'Informations sur les produits'!$A$3:$H$10000,8,FALSE),"0")</f>
        <v>0</v>
      </c>
      <c r="P10183" s="33">
        <f t="shared" si="636"/>
        <v>0</v>
      </c>
      <c r="Q10183" s="31" t="str">
        <f t="shared" si="637"/>
        <v/>
      </c>
      <c r="R10183" s="32" t="str">
        <f>IFERROR(VLOOKUP($D10183,'Informations sur les produits'!$A$3:$B$15000,2,FALSE),"")</f>
        <v/>
      </c>
      <c r="V10183">
        <f t="shared" si="638"/>
        <v>0</v>
      </c>
      <c r="W10183">
        <f t="shared" si="639"/>
        <v>0</v>
      </c>
    </row>
    <row r="10184" spans="5:23" x14ac:dyDescent="0.25">
      <c r="E10184" s="4"/>
      <c r="F10184" s="4"/>
      <c r="G10184" s="33" t="str">
        <f>IFERROR(VLOOKUP($D10184,'Informations sur les produits'!$A$3:$H$10000,8,FALSE),"0")</f>
        <v>0</v>
      </c>
      <c r="K10184" s="4"/>
      <c r="L10184" s="33" t="str">
        <f>IFERROR(VLOOKUP($J10184,'Informations sur les produits'!$A$3:$H$10000,8,FALSE),"0")</f>
        <v>0</v>
      </c>
      <c r="N10184" s="8"/>
      <c r="O10184" s="33" t="str">
        <f>IFERROR(VLOOKUP($M10184,'Informations sur les produits'!$A$3:$H$10000,8,FALSE),"0")</f>
        <v>0</v>
      </c>
      <c r="P10184" s="33">
        <f t="shared" si="636"/>
        <v>0</v>
      </c>
      <c r="Q10184" s="31" t="str">
        <f t="shared" si="637"/>
        <v/>
      </c>
      <c r="R10184" s="32" t="str">
        <f>IFERROR(VLOOKUP($D10184,'Informations sur les produits'!$A$3:$B$15000,2,FALSE),"")</f>
        <v/>
      </c>
      <c r="V10184">
        <f t="shared" si="638"/>
        <v>0</v>
      </c>
      <c r="W10184">
        <f t="shared" si="639"/>
        <v>0</v>
      </c>
    </row>
    <row r="10185" spans="5:23" x14ac:dyDescent="0.25">
      <c r="E10185" s="4"/>
      <c r="F10185" s="4"/>
      <c r="G10185" s="33" t="str">
        <f>IFERROR(VLOOKUP($D10185,'Informations sur les produits'!$A$3:$H$10000,8,FALSE),"0")</f>
        <v>0</v>
      </c>
      <c r="K10185" s="4"/>
      <c r="L10185" s="33" t="str">
        <f>IFERROR(VLOOKUP($J10185,'Informations sur les produits'!$A$3:$H$10000,8,FALSE),"0")</f>
        <v>0</v>
      </c>
      <c r="N10185" s="8"/>
      <c r="O10185" s="33" t="str">
        <f>IFERROR(VLOOKUP($M10185,'Informations sur les produits'!$A$3:$H$10000,8,FALSE),"0")</f>
        <v>0</v>
      </c>
      <c r="P10185" s="33">
        <f t="shared" si="636"/>
        <v>0</v>
      </c>
      <c r="Q10185" s="31" t="str">
        <f t="shared" si="637"/>
        <v/>
      </c>
      <c r="R10185" s="32" t="str">
        <f>IFERROR(VLOOKUP($D10185,'Informations sur les produits'!$A$3:$B$15000,2,FALSE),"")</f>
        <v/>
      </c>
      <c r="V10185">
        <f t="shared" si="638"/>
        <v>0</v>
      </c>
      <c r="W10185">
        <f t="shared" si="639"/>
        <v>0</v>
      </c>
    </row>
    <row r="10186" spans="5:23" x14ac:dyDescent="0.25">
      <c r="E10186" s="4"/>
      <c r="F10186" s="4"/>
      <c r="G10186" s="33" t="str">
        <f>IFERROR(VLOOKUP($D10186,'Informations sur les produits'!$A$3:$H$10000,8,FALSE),"0")</f>
        <v>0</v>
      </c>
      <c r="K10186" s="4"/>
      <c r="L10186" s="33" t="str">
        <f>IFERROR(VLOOKUP($J10186,'Informations sur les produits'!$A$3:$H$10000,8,FALSE),"0")</f>
        <v>0</v>
      </c>
      <c r="N10186" s="8"/>
      <c r="O10186" s="33" t="str">
        <f>IFERROR(VLOOKUP($M10186,'Informations sur les produits'!$A$3:$H$10000,8,FALSE),"0")</f>
        <v>0</v>
      </c>
      <c r="P10186" s="33">
        <f t="shared" si="636"/>
        <v>0</v>
      </c>
      <c r="Q10186" s="31" t="str">
        <f t="shared" si="637"/>
        <v/>
      </c>
      <c r="R10186" s="32" t="str">
        <f>IFERROR(VLOOKUP($D10186,'Informations sur les produits'!$A$3:$B$15000,2,FALSE),"")</f>
        <v/>
      </c>
      <c r="V10186">
        <f t="shared" si="638"/>
        <v>0</v>
      </c>
      <c r="W10186">
        <f t="shared" si="639"/>
        <v>0</v>
      </c>
    </row>
    <row r="10187" spans="5:23" x14ac:dyDescent="0.25">
      <c r="E10187" s="4"/>
      <c r="F10187" s="4"/>
      <c r="G10187" s="33" t="str">
        <f>IFERROR(VLOOKUP($D10187,'Informations sur les produits'!$A$3:$H$10000,8,FALSE),"0")</f>
        <v>0</v>
      </c>
      <c r="K10187" s="4"/>
      <c r="L10187" s="33" t="str">
        <f>IFERROR(VLOOKUP($J10187,'Informations sur les produits'!$A$3:$H$10000,8,FALSE),"0")</f>
        <v>0</v>
      </c>
      <c r="N10187" s="8"/>
      <c r="O10187" s="33" t="str">
        <f>IFERROR(VLOOKUP($M10187,'Informations sur les produits'!$A$3:$H$10000,8,FALSE),"0")</f>
        <v>0</v>
      </c>
      <c r="P10187" s="33">
        <f t="shared" si="636"/>
        <v>0</v>
      </c>
      <c r="Q10187" s="31" t="str">
        <f t="shared" si="637"/>
        <v/>
      </c>
      <c r="R10187" s="32" t="str">
        <f>IFERROR(VLOOKUP($D10187,'Informations sur les produits'!$A$3:$B$15000,2,FALSE),"")</f>
        <v/>
      </c>
      <c r="V10187">
        <f t="shared" si="638"/>
        <v>0</v>
      </c>
      <c r="W10187">
        <f t="shared" si="639"/>
        <v>0</v>
      </c>
    </row>
    <row r="10188" spans="5:23" x14ac:dyDescent="0.25">
      <c r="E10188" s="4"/>
      <c r="F10188" s="4"/>
      <c r="G10188" s="33" t="str">
        <f>IFERROR(VLOOKUP($D10188,'Informations sur les produits'!$A$3:$H$10000,8,FALSE),"0")</f>
        <v>0</v>
      </c>
      <c r="K10188" s="4"/>
      <c r="L10188" s="33" t="str">
        <f>IFERROR(VLOOKUP($J10188,'Informations sur les produits'!$A$3:$H$10000,8,FALSE),"0")</f>
        <v>0</v>
      </c>
      <c r="N10188" s="8"/>
      <c r="O10188" s="33" t="str">
        <f>IFERROR(VLOOKUP($M10188,'Informations sur les produits'!$A$3:$H$10000,8,FALSE),"0")</f>
        <v>0</v>
      </c>
      <c r="P10188" s="33">
        <f t="shared" si="636"/>
        <v>0</v>
      </c>
      <c r="Q10188" s="31" t="str">
        <f t="shared" si="637"/>
        <v/>
      </c>
      <c r="R10188" s="32" t="str">
        <f>IFERROR(VLOOKUP($D10188,'Informations sur les produits'!$A$3:$B$15000,2,FALSE),"")</f>
        <v/>
      </c>
      <c r="V10188">
        <f t="shared" si="638"/>
        <v>0</v>
      </c>
      <c r="W10188">
        <f t="shared" si="639"/>
        <v>0</v>
      </c>
    </row>
    <row r="10189" spans="5:23" x14ac:dyDescent="0.25">
      <c r="E10189" s="4"/>
      <c r="F10189" s="4"/>
      <c r="G10189" s="33" t="str">
        <f>IFERROR(VLOOKUP($D10189,'Informations sur les produits'!$A$3:$H$10000,8,FALSE),"0")</f>
        <v>0</v>
      </c>
      <c r="K10189" s="4"/>
      <c r="L10189" s="33" t="str">
        <f>IFERROR(VLOOKUP($J10189,'Informations sur les produits'!$A$3:$H$10000,8,FALSE),"0")</f>
        <v>0</v>
      </c>
      <c r="N10189" s="8"/>
      <c r="O10189" s="33" t="str">
        <f>IFERROR(VLOOKUP($M10189,'Informations sur les produits'!$A$3:$H$10000,8,FALSE),"0")</f>
        <v>0</v>
      </c>
      <c r="P10189" s="33">
        <f t="shared" si="636"/>
        <v>0</v>
      </c>
      <c r="Q10189" s="31" t="str">
        <f t="shared" si="637"/>
        <v/>
      </c>
      <c r="R10189" s="32" t="str">
        <f>IFERROR(VLOOKUP($D10189,'Informations sur les produits'!$A$3:$B$15000,2,FALSE),"")</f>
        <v/>
      </c>
      <c r="V10189">
        <f t="shared" si="638"/>
        <v>0</v>
      </c>
      <c r="W10189">
        <f t="shared" si="639"/>
        <v>0</v>
      </c>
    </row>
    <row r="10190" spans="5:23" x14ac:dyDescent="0.25">
      <c r="E10190" s="4"/>
      <c r="F10190" s="4"/>
      <c r="G10190" s="33" t="str">
        <f>IFERROR(VLOOKUP($D10190,'Informations sur les produits'!$A$3:$H$10000,8,FALSE),"0")</f>
        <v>0</v>
      </c>
      <c r="K10190" s="4"/>
      <c r="L10190" s="33" t="str">
        <f>IFERROR(VLOOKUP($J10190,'Informations sur les produits'!$A$3:$H$10000,8,FALSE),"0")</f>
        <v>0</v>
      </c>
      <c r="N10190" s="8"/>
      <c r="O10190" s="33" t="str">
        <f>IFERROR(VLOOKUP($M10190,'Informations sur les produits'!$A$3:$H$10000,8,FALSE),"0")</f>
        <v>0</v>
      </c>
      <c r="P10190" s="33">
        <f t="shared" si="636"/>
        <v>0</v>
      </c>
      <c r="Q10190" s="31" t="str">
        <f t="shared" si="637"/>
        <v/>
      </c>
      <c r="R10190" s="32" t="str">
        <f>IFERROR(VLOOKUP($D10190,'Informations sur les produits'!$A$3:$B$15000,2,FALSE),"")</f>
        <v/>
      </c>
      <c r="V10190">
        <f t="shared" si="638"/>
        <v>0</v>
      </c>
      <c r="W10190">
        <f t="shared" si="639"/>
        <v>0</v>
      </c>
    </row>
    <row r="10191" spans="5:23" x14ac:dyDescent="0.25">
      <c r="E10191" s="4"/>
      <c r="F10191" s="4"/>
      <c r="G10191" s="33" t="str">
        <f>IFERROR(VLOOKUP($D10191,'Informations sur les produits'!$A$3:$H$10000,8,FALSE),"0")</f>
        <v>0</v>
      </c>
      <c r="K10191" s="4"/>
      <c r="L10191" s="33" t="str">
        <f>IFERROR(VLOOKUP($J10191,'Informations sur les produits'!$A$3:$H$10000,8,FALSE),"0")</f>
        <v>0</v>
      </c>
      <c r="N10191" s="8"/>
      <c r="O10191" s="33" t="str">
        <f>IFERROR(VLOOKUP($M10191,'Informations sur les produits'!$A$3:$H$10000,8,FALSE),"0")</f>
        <v>0</v>
      </c>
      <c r="P10191" s="33">
        <f t="shared" si="636"/>
        <v>0</v>
      </c>
      <c r="Q10191" s="31" t="str">
        <f t="shared" si="637"/>
        <v/>
      </c>
      <c r="R10191" s="32" t="str">
        <f>IFERROR(VLOOKUP($D10191,'Informations sur les produits'!$A$3:$B$15000,2,FALSE),"")</f>
        <v/>
      </c>
      <c r="V10191">
        <f t="shared" si="638"/>
        <v>0</v>
      </c>
      <c r="W10191">
        <f t="shared" si="639"/>
        <v>0</v>
      </c>
    </row>
    <row r="10192" spans="5:23" x14ac:dyDescent="0.25">
      <c r="E10192" s="4"/>
      <c r="F10192" s="4"/>
      <c r="G10192" s="33" t="str">
        <f>IFERROR(VLOOKUP($D10192,'Informations sur les produits'!$A$3:$H$10000,8,FALSE),"0")</f>
        <v>0</v>
      </c>
      <c r="K10192" s="4"/>
      <c r="L10192" s="33" t="str">
        <f>IFERROR(VLOOKUP($J10192,'Informations sur les produits'!$A$3:$H$10000,8,FALSE),"0")</f>
        <v>0</v>
      </c>
      <c r="N10192" s="8"/>
      <c r="O10192" s="33" t="str">
        <f>IFERROR(VLOOKUP($M10192,'Informations sur les produits'!$A$3:$H$10000,8,FALSE),"0")</f>
        <v>0</v>
      </c>
      <c r="P10192" s="33">
        <f t="shared" si="636"/>
        <v>0</v>
      </c>
      <c r="Q10192" s="31" t="str">
        <f t="shared" si="637"/>
        <v/>
      </c>
      <c r="R10192" s="32" t="str">
        <f>IFERROR(VLOOKUP($D10192,'Informations sur les produits'!$A$3:$B$15000,2,FALSE),"")</f>
        <v/>
      </c>
      <c r="V10192">
        <f t="shared" si="638"/>
        <v>0</v>
      </c>
      <c r="W10192">
        <f t="shared" si="639"/>
        <v>0</v>
      </c>
    </row>
    <row r="10193" spans="5:23" x14ac:dyDescent="0.25">
      <c r="E10193" s="4"/>
      <c r="F10193" s="4"/>
      <c r="G10193" s="33" t="str">
        <f>IFERROR(VLOOKUP($D10193,'Informations sur les produits'!$A$3:$H$10000,8,FALSE),"0")</f>
        <v>0</v>
      </c>
      <c r="K10193" s="4"/>
      <c r="L10193" s="33" t="str">
        <f>IFERROR(VLOOKUP($J10193,'Informations sur les produits'!$A$3:$H$10000,8,FALSE),"0")</f>
        <v>0</v>
      </c>
      <c r="N10193" s="8"/>
      <c r="O10193" s="33" t="str">
        <f>IFERROR(VLOOKUP($M10193,'Informations sur les produits'!$A$3:$H$10000,8,FALSE),"0")</f>
        <v>0</v>
      </c>
      <c r="P10193" s="33">
        <f t="shared" si="636"/>
        <v>0</v>
      </c>
      <c r="Q10193" s="31" t="str">
        <f t="shared" si="637"/>
        <v/>
      </c>
      <c r="R10193" s="32" t="str">
        <f>IFERROR(VLOOKUP($D10193,'Informations sur les produits'!$A$3:$B$15000,2,FALSE),"")</f>
        <v/>
      </c>
      <c r="V10193">
        <f t="shared" si="638"/>
        <v>0</v>
      </c>
      <c r="W10193">
        <f t="shared" si="639"/>
        <v>0</v>
      </c>
    </row>
    <row r="10194" spans="5:23" x14ac:dyDescent="0.25">
      <c r="E10194" s="4"/>
      <c r="F10194" s="4"/>
      <c r="G10194" s="33" t="str">
        <f>IFERROR(VLOOKUP($D10194,'Informations sur les produits'!$A$3:$H$10000,8,FALSE),"0")</f>
        <v>0</v>
      </c>
      <c r="K10194" s="4"/>
      <c r="L10194" s="33" t="str">
        <f>IFERROR(VLOOKUP($J10194,'Informations sur les produits'!$A$3:$H$10000,8,FALSE),"0")</f>
        <v>0</v>
      </c>
      <c r="N10194" s="8"/>
      <c r="O10194" s="33" t="str">
        <f>IFERROR(VLOOKUP($M10194,'Informations sur les produits'!$A$3:$H$10000,8,FALSE),"0")</f>
        <v>0</v>
      </c>
      <c r="P10194" s="33">
        <f t="shared" si="636"/>
        <v>0</v>
      </c>
      <c r="Q10194" s="31" t="str">
        <f t="shared" si="637"/>
        <v/>
      </c>
      <c r="R10194" s="32" t="str">
        <f>IFERROR(VLOOKUP($D10194,'Informations sur les produits'!$A$3:$B$15000,2,FALSE),"")</f>
        <v/>
      </c>
      <c r="V10194">
        <f t="shared" si="638"/>
        <v>0</v>
      </c>
      <c r="W10194">
        <f t="shared" si="639"/>
        <v>0</v>
      </c>
    </row>
    <row r="10195" spans="5:23" x14ac:dyDescent="0.25">
      <c r="E10195" s="4"/>
      <c r="F10195" s="4"/>
      <c r="G10195" s="33" t="str">
        <f>IFERROR(VLOOKUP($D10195,'Informations sur les produits'!$A$3:$H$10000,8,FALSE),"0")</f>
        <v>0</v>
      </c>
      <c r="K10195" s="4"/>
      <c r="L10195" s="33" t="str">
        <f>IFERROR(VLOOKUP($J10195,'Informations sur les produits'!$A$3:$H$10000,8,FALSE),"0")</f>
        <v>0</v>
      </c>
      <c r="N10195" s="8"/>
      <c r="O10195" s="33" t="str">
        <f>IFERROR(VLOOKUP($M10195,'Informations sur les produits'!$A$3:$H$10000,8,FALSE),"0")</f>
        <v>0</v>
      </c>
      <c r="P10195" s="33">
        <f t="shared" si="636"/>
        <v>0</v>
      </c>
      <c r="Q10195" s="31" t="str">
        <f t="shared" si="637"/>
        <v/>
      </c>
      <c r="R10195" s="32" t="str">
        <f>IFERROR(VLOOKUP($D10195,'Informations sur les produits'!$A$3:$B$15000,2,FALSE),"")</f>
        <v/>
      </c>
      <c r="V10195">
        <f t="shared" si="638"/>
        <v>0</v>
      </c>
      <c r="W10195">
        <f t="shared" si="639"/>
        <v>0</v>
      </c>
    </row>
    <row r="10196" spans="5:23" x14ac:dyDescent="0.25">
      <c r="E10196" s="4"/>
      <c r="F10196" s="4"/>
      <c r="G10196" s="33" t="str">
        <f>IFERROR(VLOOKUP($D10196,'Informations sur les produits'!$A$3:$H$10000,8,FALSE),"0")</f>
        <v>0</v>
      </c>
      <c r="K10196" s="4"/>
      <c r="L10196" s="33" t="str">
        <f>IFERROR(VLOOKUP($J10196,'Informations sur les produits'!$A$3:$H$10000,8,FALSE),"0")</f>
        <v>0</v>
      </c>
      <c r="N10196" s="8"/>
      <c r="O10196" s="33" t="str">
        <f>IFERROR(VLOOKUP($M10196,'Informations sur les produits'!$A$3:$H$10000,8,FALSE),"0")</f>
        <v>0</v>
      </c>
      <c r="P10196" s="33">
        <f t="shared" si="636"/>
        <v>0</v>
      </c>
      <c r="Q10196" s="31" t="str">
        <f t="shared" si="637"/>
        <v/>
      </c>
      <c r="R10196" s="32" t="str">
        <f>IFERROR(VLOOKUP($D10196,'Informations sur les produits'!$A$3:$B$15000,2,FALSE),"")</f>
        <v/>
      </c>
      <c r="V10196">
        <f t="shared" si="638"/>
        <v>0</v>
      </c>
      <c r="W10196">
        <f t="shared" si="639"/>
        <v>0</v>
      </c>
    </row>
    <row r="10197" spans="5:23" x14ac:dyDescent="0.25">
      <c r="E10197" s="4"/>
      <c r="F10197" s="4"/>
      <c r="G10197" s="33" t="str">
        <f>IFERROR(VLOOKUP($D10197,'Informations sur les produits'!$A$3:$H$10000,8,FALSE),"0")</f>
        <v>0</v>
      </c>
      <c r="K10197" s="4"/>
      <c r="L10197" s="33" t="str">
        <f>IFERROR(VLOOKUP($J10197,'Informations sur les produits'!$A$3:$H$10000,8,FALSE),"0")</f>
        <v>0</v>
      </c>
      <c r="N10197" s="8"/>
      <c r="O10197" s="33" t="str">
        <f>IFERROR(VLOOKUP($M10197,'Informations sur les produits'!$A$3:$H$10000,8,FALSE),"0")</f>
        <v>0</v>
      </c>
      <c r="P10197" s="33">
        <f t="shared" si="636"/>
        <v>0</v>
      </c>
      <c r="Q10197" s="31" t="str">
        <f t="shared" si="637"/>
        <v/>
      </c>
      <c r="R10197" s="32" t="str">
        <f>IFERROR(VLOOKUP($D10197,'Informations sur les produits'!$A$3:$B$15000,2,FALSE),"")</f>
        <v/>
      </c>
      <c r="V10197">
        <f t="shared" si="638"/>
        <v>0</v>
      </c>
      <c r="W10197">
        <f t="shared" si="639"/>
        <v>0</v>
      </c>
    </row>
    <row r="10198" spans="5:23" x14ac:dyDescent="0.25">
      <c r="E10198" s="4"/>
      <c r="F10198" s="4"/>
      <c r="G10198" s="33" t="str">
        <f>IFERROR(VLOOKUP($D10198,'Informations sur les produits'!$A$3:$H$10000,8,FALSE),"0")</f>
        <v>0</v>
      </c>
      <c r="K10198" s="4"/>
      <c r="L10198" s="33" t="str">
        <f>IFERROR(VLOOKUP($J10198,'Informations sur les produits'!$A$3:$H$10000,8,FALSE),"0")</f>
        <v>0</v>
      </c>
      <c r="N10198" s="8"/>
      <c r="O10198" s="33" t="str">
        <f>IFERROR(VLOOKUP($M10198,'Informations sur les produits'!$A$3:$H$10000,8,FALSE),"0")</f>
        <v>0</v>
      </c>
      <c r="P10198" s="33">
        <f t="shared" si="636"/>
        <v>0</v>
      </c>
      <c r="Q10198" s="31" t="str">
        <f t="shared" si="637"/>
        <v/>
      </c>
      <c r="R10198" s="32" t="str">
        <f>IFERROR(VLOOKUP($D10198,'Informations sur les produits'!$A$3:$B$15000,2,FALSE),"")</f>
        <v/>
      </c>
      <c r="V10198">
        <f t="shared" si="638"/>
        <v>0</v>
      </c>
      <c r="W10198">
        <f t="shared" si="639"/>
        <v>0</v>
      </c>
    </row>
    <row r="10199" spans="5:23" x14ac:dyDescent="0.25">
      <c r="E10199" s="4"/>
      <c r="F10199" s="4"/>
      <c r="G10199" s="33" t="str">
        <f>IFERROR(VLOOKUP($D10199,'Informations sur les produits'!$A$3:$H$10000,8,FALSE),"0")</f>
        <v>0</v>
      </c>
      <c r="K10199" s="4"/>
      <c r="L10199" s="33" t="str">
        <f>IFERROR(VLOOKUP($J10199,'Informations sur les produits'!$A$3:$H$10000,8,FALSE),"0")</f>
        <v>0</v>
      </c>
      <c r="N10199" s="8"/>
      <c r="O10199" s="33" t="str">
        <f>IFERROR(VLOOKUP($M10199,'Informations sur les produits'!$A$3:$H$10000,8,FALSE),"0")</f>
        <v>0</v>
      </c>
      <c r="P10199" s="33">
        <f t="shared" si="636"/>
        <v>0</v>
      </c>
      <c r="Q10199" s="31" t="str">
        <f t="shared" si="637"/>
        <v/>
      </c>
      <c r="R10199" s="32" t="str">
        <f>IFERROR(VLOOKUP($D10199,'Informations sur les produits'!$A$3:$B$15000,2,FALSE),"")</f>
        <v/>
      </c>
      <c r="V10199">
        <f t="shared" si="638"/>
        <v>0</v>
      </c>
      <c r="W10199">
        <f t="shared" si="639"/>
        <v>0</v>
      </c>
    </row>
    <row r="10200" spans="5:23" x14ac:dyDescent="0.25">
      <c r="E10200" s="4"/>
      <c r="F10200" s="4"/>
      <c r="G10200" s="33" t="str">
        <f>IFERROR(VLOOKUP($D10200,'Informations sur les produits'!$A$3:$H$10000,8,FALSE),"0")</f>
        <v>0</v>
      </c>
      <c r="K10200" s="4"/>
      <c r="L10200" s="33" t="str">
        <f>IFERROR(VLOOKUP($J10200,'Informations sur les produits'!$A$3:$H$10000,8,FALSE),"0")</f>
        <v>0</v>
      </c>
      <c r="N10200" s="8"/>
      <c r="O10200" s="33" t="str">
        <f>IFERROR(VLOOKUP($M10200,'Informations sur les produits'!$A$3:$H$10000,8,FALSE),"0")</f>
        <v>0</v>
      </c>
      <c r="P10200" s="33">
        <f t="shared" si="636"/>
        <v>0</v>
      </c>
      <c r="Q10200" s="31" t="str">
        <f t="shared" si="637"/>
        <v/>
      </c>
      <c r="R10200" s="32" t="str">
        <f>IFERROR(VLOOKUP($D10200,'Informations sur les produits'!$A$3:$B$15000,2,FALSE),"")</f>
        <v/>
      </c>
      <c r="V10200">
        <f t="shared" si="638"/>
        <v>0</v>
      </c>
      <c r="W10200">
        <f t="shared" si="639"/>
        <v>0</v>
      </c>
    </row>
    <row r="10201" spans="5:23" x14ac:dyDescent="0.25">
      <c r="E10201" s="4"/>
      <c r="F10201" s="4"/>
      <c r="G10201" s="33" t="str">
        <f>IFERROR(VLOOKUP($D10201,'Informations sur les produits'!$A$3:$H$10000,8,FALSE),"0")</f>
        <v>0</v>
      </c>
      <c r="K10201" s="4"/>
      <c r="L10201" s="33" t="str">
        <f>IFERROR(VLOOKUP($J10201,'Informations sur les produits'!$A$3:$H$10000,8,FALSE),"0")</f>
        <v>0</v>
      </c>
      <c r="N10201" s="8"/>
      <c r="O10201" s="33" t="str">
        <f>IFERROR(VLOOKUP($M10201,'Informations sur les produits'!$A$3:$H$10000,8,FALSE),"0")</f>
        <v>0</v>
      </c>
      <c r="P10201" s="33">
        <f t="shared" si="636"/>
        <v>0</v>
      </c>
      <c r="Q10201" s="31" t="str">
        <f t="shared" si="637"/>
        <v/>
      </c>
      <c r="R10201" s="32" t="str">
        <f>IFERROR(VLOOKUP($D10201,'Informations sur les produits'!$A$3:$B$15000,2,FALSE),"")</f>
        <v/>
      </c>
      <c r="V10201">
        <f t="shared" si="638"/>
        <v>0</v>
      </c>
      <c r="W10201">
        <f t="shared" si="639"/>
        <v>0</v>
      </c>
    </row>
    <row r="10202" spans="5:23" x14ac:dyDescent="0.25">
      <c r="E10202" s="4"/>
      <c r="F10202" s="4"/>
      <c r="G10202" s="33" t="str">
        <f>IFERROR(VLOOKUP($D10202,'Informations sur les produits'!$A$3:$H$10000,8,FALSE),"0")</f>
        <v>0</v>
      </c>
      <c r="K10202" s="4"/>
      <c r="L10202" s="33" t="str">
        <f>IFERROR(VLOOKUP($J10202,'Informations sur les produits'!$A$3:$H$10000,8,FALSE),"0")</f>
        <v>0</v>
      </c>
      <c r="N10202" s="8"/>
      <c r="O10202" s="33" t="str">
        <f>IFERROR(VLOOKUP($M10202,'Informations sur les produits'!$A$3:$H$10000,8,FALSE),"0")</f>
        <v>0</v>
      </c>
      <c r="P10202" s="33">
        <f t="shared" si="636"/>
        <v>0</v>
      </c>
      <c r="Q10202" s="31" t="str">
        <f t="shared" si="637"/>
        <v/>
      </c>
      <c r="R10202" s="32" t="str">
        <f>IFERROR(VLOOKUP($D10202,'Informations sur les produits'!$A$3:$B$15000,2,FALSE),"")</f>
        <v/>
      </c>
      <c r="V10202">
        <f t="shared" si="638"/>
        <v>0</v>
      </c>
      <c r="W10202">
        <f t="shared" si="639"/>
        <v>0</v>
      </c>
    </row>
    <row r="10203" spans="5:23" x14ac:dyDescent="0.25">
      <c r="E10203" s="4"/>
      <c r="F10203" s="4"/>
      <c r="G10203" s="33" t="str">
        <f>IFERROR(VLOOKUP($D10203,'Informations sur les produits'!$A$3:$H$10000,8,FALSE),"0")</f>
        <v>0</v>
      </c>
      <c r="K10203" s="4"/>
      <c r="L10203" s="33" t="str">
        <f>IFERROR(VLOOKUP($J10203,'Informations sur les produits'!$A$3:$H$10000,8,FALSE),"0")</f>
        <v>0</v>
      </c>
      <c r="N10203" s="8"/>
      <c r="O10203" s="33" t="str">
        <f>IFERROR(VLOOKUP($M10203,'Informations sur les produits'!$A$3:$H$10000,8,FALSE),"0")</f>
        <v>0</v>
      </c>
      <c r="P10203" s="33">
        <f t="shared" si="636"/>
        <v>0</v>
      </c>
      <c r="Q10203" s="31" t="str">
        <f t="shared" si="637"/>
        <v/>
      </c>
      <c r="R10203" s="32" t="str">
        <f>IFERROR(VLOOKUP($D10203,'Informations sur les produits'!$A$3:$B$15000,2,FALSE),"")</f>
        <v/>
      </c>
      <c r="V10203">
        <f t="shared" si="638"/>
        <v>0</v>
      </c>
      <c r="W10203">
        <f t="shared" si="639"/>
        <v>0</v>
      </c>
    </row>
    <row r="10204" spans="5:23" x14ac:dyDescent="0.25">
      <c r="E10204" s="4"/>
      <c r="F10204" s="4"/>
      <c r="G10204" s="33" t="str">
        <f>IFERROR(VLOOKUP($D10204,'Informations sur les produits'!$A$3:$H$10000,8,FALSE),"0")</f>
        <v>0</v>
      </c>
      <c r="K10204" s="4"/>
      <c r="L10204" s="33" t="str">
        <f>IFERROR(VLOOKUP($J10204,'Informations sur les produits'!$A$3:$H$10000,8,FALSE),"0")</f>
        <v>0</v>
      </c>
      <c r="N10204" s="8"/>
      <c r="O10204" s="33" t="str">
        <f>IFERROR(VLOOKUP($M10204,'Informations sur les produits'!$A$3:$H$10000,8,FALSE),"0")</f>
        <v>0</v>
      </c>
      <c r="P10204" s="33">
        <f t="shared" si="636"/>
        <v>0</v>
      </c>
      <c r="Q10204" s="31" t="str">
        <f t="shared" si="637"/>
        <v/>
      </c>
      <c r="R10204" s="32" t="str">
        <f>IFERROR(VLOOKUP($D10204,'Informations sur les produits'!$A$3:$B$15000,2,FALSE),"")</f>
        <v/>
      </c>
      <c r="V10204">
        <f t="shared" si="638"/>
        <v>0</v>
      </c>
      <c r="W10204">
        <f t="shared" si="639"/>
        <v>0</v>
      </c>
    </row>
    <row r="10205" spans="5:23" x14ac:dyDescent="0.25">
      <c r="E10205" s="4"/>
      <c r="F10205" s="4"/>
      <c r="G10205" s="33" t="str">
        <f>IFERROR(VLOOKUP($D10205,'Informations sur les produits'!$A$3:$H$10000,8,FALSE),"0")</f>
        <v>0</v>
      </c>
      <c r="K10205" s="4"/>
      <c r="L10205" s="33" t="str">
        <f>IFERROR(VLOOKUP($J10205,'Informations sur les produits'!$A$3:$H$10000,8,FALSE),"0")</f>
        <v>0</v>
      </c>
      <c r="N10205" s="8"/>
      <c r="O10205" s="33" t="str">
        <f>IFERROR(VLOOKUP($M10205,'Informations sur les produits'!$A$3:$H$10000,8,FALSE),"0")</f>
        <v>0</v>
      </c>
      <c r="P10205" s="33">
        <f t="shared" si="636"/>
        <v>0</v>
      </c>
      <c r="Q10205" s="31" t="str">
        <f t="shared" si="637"/>
        <v/>
      </c>
      <c r="R10205" s="32" t="str">
        <f>IFERROR(VLOOKUP($D10205,'Informations sur les produits'!$A$3:$B$15000,2,FALSE),"")</f>
        <v/>
      </c>
      <c r="V10205">
        <f t="shared" si="638"/>
        <v>0</v>
      </c>
      <c r="W10205">
        <f t="shared" si="639"/>
        <v>0</v>
      </c>
    </row>
    <row r="10206" spans="5:23" x14ac:dyDescent="0.25">
      <c r="E10206" s="4"/>
      <c r="F10206" s="4"/>
      <c r="G10206" s="33" t="str">
        <f>IFERROR(VLOOKUP($D10206,'Informations sur les produits'!$A$3:$H$10000,8,FALSE),"0")</f>
        <v>0</v>
      </c>
      <c r="K10206" s="4"/>
      <c r="L10206" s="33" t="str">
        <f>IFERROR(VLOOKUP($J10206,'Informations sur les produits'!$A$3:$H$10000,8,FALSE),"0")</f>
        <v>0</v>
      </c>
      <c r="N10206" s="8"/>
      <c r="O10206" s="33" t="str">
        <f>IFERROR(VLOOKUP($M10206,'Informations sur les produits'!$A$3:$H$10000,8,FALSE),"0")</f>
        <v>0</v>
      </c>
      <c r="P10206" s="33">
        <f t="shared" si="636"/>
        <v>0</v>
      </c>
      <c r="Q10206" s="31" t="str">
        <f t="shared" si="637"/>
        <v/>
      </c>
      <c r="R10206" s="32" t="str">
        <f>IFERROR(VLOOKUP($D10206,'Informations sur les produits'!$A$3:$B$15000,2,FALSE),"")</f>
        <v/>
      </c>
      <c r="V10206">
        <f t="shared" si="638"/>
        <v>0</v>
      </c>
      <c r="W10206">
        <f t="shared" si="639"/>
        <v>0</v>
      </c>
    </row>
    <row r="10207" spans="5:23" x14ac:dyDescent="0.25">
      <c r="E10207" s="4"/>
      <c r="F10207" s="4"/>
      <c r="G10207" s="33" t="str">
        <f>IFERROR(VLOOKUP($D10207,'Informations sur les produits'!$A$3:$H$10000,8,FALSE),"0")</f>
        <v>0</v>
      </c>
      <c r="K10207" s="4"/>
      <c r="L10207" s="33" t="str">
        <f>IFERROR(VLOOKUP($J10207,'Informations sur les produits'!$A$3:$H$10000,8,FALSE),"0")</f>
        <v>0</v>
      </c>
      <c r="N10207" s="8"/>
      <c r="O10207" s="33" t="str">
        <f>IFERROR(VLOOKUP($M10207,'Informations sur les produits'!$A$3:$H$10000,8,FALSE),"0")</f>
        <v>0</v>
      </c>
      <c r="P10207" s="33">
        <f t="shared" si="636"/>
        <v>0</v>
      </c>
      <c r="Q10207" s="31" t="str">
        <f t="shared" si="637"/>
        <v/>
      </c>
      <c r="R10207" s="32" t="str">
        <f>IFERROR(VLOOKUP($D10207,'Informations sur les produits'!$A$3:$B$15000,2,FALSE),"")</f>
        <v/>
      </c>
      <c r="V10207">
        <f t="shared" si="638"/>
        <v>0</v>
      </c>
      <c r="W10207">
        <f t="shared" si="639"/>
        <v>0</v>
      </c>
    </row>
    <row r="10208" spans="5:23" x14ac:dyDescent="0.25">
      <c r="E10208" s="4"/>
      <c r="F10208" s="4"/>
      <c r="G10208" s="33" t="str">
        <f>IFERROR(VLOOKUP($D10208,'Informations sur les produits'!$A$3:$H$10000,8,FALSE),"0")</f>
        <v>0</v>
      </c>
      <c r="K10208" s="4"/>
      <c r="L10208" s="33" t="str">
        <f>IFERROR(VLOOKUP($J10208,'Informations sur les produits'!$A$3:$H$10000,8,FALSE),"0")</f>
        <v>0</v>
      </c>
      <c r="N10208" s="8"/>
      <c r="O10208" s="33" t="str">
        <f>IFERROR(VLOOKUP($M10208,'Informations sur les produits'!$A$3:$H$10000,8,FALSE),"0")</f>
        <v>0</v>
      </c>
      <c r="P10208" s="33">
        <f t="shared" si="636"/>
        <v>0</v>
      </c>
      <c r="Q10208" s="31" t="str">
        <f t="shared" si="637"/>
        <v/>
      </c>
      <c r="R10208" s="32" t="str">
        <f>IFERROR(VLOOKUP($D10208,'Informations sur les produits'!$A$3:$B$15000,2,FALSE),"")</f>
        <v/>
      </c>
      <c r="V10208">
        <f t="shared" si="638"/>
        <v>0</v>
      </c>
      <c r="W10208">
        <f t="shared" si="639"/>
        <v>0</v>
      </c>
    </row>
    <row r="10209" spans="5:23" x14ac:dyDescent="0.25">
      <c r="E10209" s="4"/>
      <c r="F10209" s="4"/>
      <c r="G10209" s="33" t="str">
        <f>IFERROR(VLOOKUP($D10209,'Informations sur les produits'!$A$3:$H$10000,8,FALSE),"0")</f>
        <v>0</v>
      </c>
      <c r="K10209" s="4"/>
      <c r="L10209" s="33" t="str">
        <f>IFERROR(VLOOKUP($J10209,'Informations sur les produits'!$A$3:$H$10000,8,FALSE),"0")</f>
        <v>0</v>
      </c>
      <c r="N10209" s="8"/>
      <c r="O10209" s="33" t="str">
        <f>IFERROR(VLOOKUP($M10209,'Informations sur les produits'!$A$3:$H$10000,8,FALSE),"0")</f>
        <v>0</v>
      </c>
      <c r="P10209" s="33">
        <f t="shared" si="636"/>
        <v>0</v>
      </c>
      <c r="Q10209" s="31" t="str">
        <f t="shared" si="637"/>
        <v/>
      </c>
      <c r="R10209" s="32" t="str">
        <f>IFERROR(VLOOKUP($D10209,'Informations sur les produits'!$A$3:$B$15000,2,FALSE),"")</f>
        <v/>
      </c>
      <c r="V10209">
        <f t="shared" si="638"/>
        <v>0</v>
      </c>
      <c r="W10209">
        <f t="shared" si="639"/>
        <v>0</v>
      </c>
    </row>
    <row r="10210" spans="5:23" x14ac:dyDescent="0.25">
      <c r="E10210" s="4"/>
      <c r="F10210" s="4"/>
      <c r="G10210" s="33" t="str">
        <f>IFERROR(VLOOKUP($D10210,'Informations sur les produits'!$A$3:$H$10000,8,FALSE),"0")</f>
        <v>0</v>
      </c>
      <c r="K10210" s="4"/>
      <c r="L10210" s="33" t="str">
        <f>IFERROR(VLOOKUP($J10210,'Informations sur les produits'!$A$3:$H$10000,8,FALSE),"0")</f>
        <v>0</v>
      </c>
      <c r="N10210" s="8"/>
      <c r="O10210" s="33" t="str">
        <f>IFERROR(VLOOKUP($M10210,'Informations sur les produits'!$A$3:$H$10000,8,FALSE),"0")</f>
        <v>0</v>
      </c>
      <c r="P10210" s="33">
        <f t="shared" si="636"/>
        <v>0</v>
      </c>
      <c r="Q10210" s="31" t="str">
        <f t="shared" si="637"/>
        <v/>
      </c>
      <c r="R10210" s="32" t="str">
        <f>IFERROR(VLOOKUP($D10210,'Informations sur les produits'!$A$3:$B$15000,2,FALSE),"")</f>
        <v/>
      </c>
      <c r="V10210">
        <f t="shared" si="638"/>
        <v>0</v>
      </c>
      <c r="W10210">
        <f t="shared" si="639"/>
        <v>0</v>
      </c>
    </row>
    <row r="10211" spans="5:23" x14ac:dyDescent="0.25">
      <c r="E10211" s="4"/>
      <c r="F10211" s="4"/>
      <c r="G10211" s="33" t="str">
        <f>IFERROR(VLOOKUP($D10211,'Informations sur les produits'!$A$3:$H$10000,8,FALSE),"0")</f>
        <v>0</v>
      </c>
      <c r="K10211" s="4"/>
      <c r="L10211" s="33" t="str">
        <f>IFERROR(VLOOKUP($J10211,'Informations sur les produits'!$A$3:$H$10000,8,FALSE),"0")</f>
        <v>0</v>
      </c>
      <c r="N10211" s="8"/>
      <c r="O10211" s="33" t="str">
        <f>IFERROR(VLOOKUP($M10211,'Informations sur les produits'!$A$3:$H$10000,8,FALSE),"0")</f>
        <v>0</v>
      </c>
      <c r="P10211" s="33">
        <f t="shared" si="636"/>
        <v>0</v>
      </c>
      <c r="Q10211" s="31" t="str">
        <f t="shared" si="637"/>
        <v/>
      </c>
      <c r="R10211" s="32" t="str">
        <f>IFERROR(VLOOKUP($D10211,'Informations sur les produits'!$A$3:$B$15000,2,FALSE),"")</f>
        <v/>
      </c>
      <c r="V10211">
        <f t="shared" si="638"/>
        <v>0</v>
      </c>
      <c r="W10211">
        <f t="shared" si="639"/>
        <v>0</v>
      </c>
    </row>
    <row r="10212" spans="5:23" x14ac:dyDescent="0.25">
      <c r="E10212" s="4"/>
      <c r="F10212" s="4"/>
      <c r="G10212" s="33" t="str">
        <f>IFERROR(VLOOKUP($D10212,'Informations sur les produits'!$A$3:$H$10000,8,FALSE),"0")</f>
        <v>0</v>
      </c>
      <c r="K10212" s="4"/>
      <c r="L10212" s="33" t="str">
        <f>IFERROR(VLOOKUP($J10212,'Informations sur les produits'!$A$3:$H$10000,8,FALSE),"0")</f>
        <v>0</v>
      </c>
      <c r="N10212" s="8"/>
      <c r="O10212" s="33" t="str">
        <f>IFERROR(VLOOKUP($M10212,'Informations sur les produits'!$A$3:$H$10000,8,FALSE),"0")</f>
        <v>0</v>
      </c>
      <c r="P10212" s="33">
        <f t="shared" si="636"/>
        <v>0</v>
      </c>
      <c r="Q10212" s="31" t="str">
        <f t="shared" si="637"/>
        <v/>
      </c>
      <c r="R10212" s="32" t="str">
        <f>IFERROR(VLOOKUP($D10212,'Informations sur les produits'!$A$3:$B$15000,2,FALSE),"")</f>
        <v/>
      </c>
      <c r="V10212">
        <f t="shared" si="638"/>
        <v>0</v>
      </c>
      <c r="W10212">
        <f t="shared" si="639"/>
        <v>0</v>
      </c>
    </row>
    <row r="10213" spans="5:23" x14ac:dyDescent="0.25">
      <c r="E10213" s="4"/>
      <c r="F10213" s="4"/>
      <c r="G10213" s="33" t="str">
        <f>IFERROR(VLOOKUP($D10213,'Informations sur les produits'!$A$3:$H$10000,8,FALSE),"0")</f>
        <v>0</v>
      </c>
      <c r="K10213" s="4"/>
      <c r="L10213" s="33" t="str">
        <f>IFERROR(VLOOKUP($J10213,'Informations sur les produits'!$A$3:$H$10000,8,FALSE),"0")</f>
        <v>0</v>
      </c>
      <c r="N10213" s="8"/>
      <c r="O10213" s="33" t="str">
        <f>IFERROR(VLOOKUP($M10213,'Informations sur les produits'!$A$3:$H$10000,8,FALSE),"0")</f>
        <v>0</v>
      </c>
      <c r="P10213" s="33">
        <f t="shared" si="636"/>
        <v>0</v>
      </c>
      <c r="Q10213" s="31" t="str">
        <f t="shared" si="637"/>
        <v/>
      </c>
      <c r="R10213" s="32" t="str">
        <f>IFERROR(VLOOKUP($D10213,'Informations sur les produits'!$A$3:$B$15000,2,FALSE),"")</f>
        <v/>
      </c>
      <c r="V10213">
        <f t="shared" si="638"/>
        <v>0</v>
      </c>
      <c r="W10213">
        <f t="shared" si="639"/>
        <v>0</v>
      </c>
    </row>
    <row r="10214" spans="5:23" x14ac:dyDescent="0.25">
      <c r="E10214" s="4"/>
      <c r="F10214" s="4"/>
      <c r="G10214" s="33" t="str">
        <f>IFERROR(VLOOKUP($D10214,'Informations sur les produits'!$A$3:$H$10000,8,FALSE),"0")</f>
        <v>0</v>
      </c>
      <c r="K10214" s="4"/>
      <c r="L10214" s="33" t="str">
        <f>IFERROR(VLOOKUP($J10214,'Informations sur les produits'!$A$3:$H$10000,8,FALSE),"0")</f>
        <v>0</v>
      </c>
      <c r="N10214" s="8"/>
      <c r="O10214" s="33" t="str">
        <f>IFERROR(VLOOKUP($M10214,'Informations sur les produits'!$A$3:$H$10000,8,FALSE),"0")</f>
        <v>0</v>
      </c>
      <c r="P10214" s="33">
        <f t="shared" si="636"/>
        <v>0</v>
      </c>
      <c r="Q10214" s="31" t="str">
        <f t="shared" si="637"/>
        <v/>
      </c>
      <c r="R10214" s="32" t="str">
        <f>IFERROR(VLOOKUP($D10214,'Informations sur les produits'!$A$3:$B$15000,2,FALSE),"")</f>
        <v/>
      </c>
      <c r="V10214">
        <f t="shared" si="638"/>
        <v>0</v>
      </c>
      <c r="W10214">
        <f t="shared" si="639"/>
        <v>0</v>
      </c>
    </row>
    <row r="10215" spans="5:23" x14ac:dyDescent="0.25">
      <c r="E10215" s="4"/>
      <c r="F10215" s="4"/>
      <c r="G10215" s="33" t="str">
        <f>IFERROR(VLOOKUP($D10215,'Informations sur les produits'!$A$3:$H$10000,8,FALSE),"0")</f>
        <v>0</v>
      </c>
      <c r="K10215" s="4"/>
      <c r="L10215" s="33" t="str">
        <f>IFERROR(VLOOKUP($J10215,'Informations sur les produits'!$A$3:$H$10000,8,FALSE),"0")</f>
        <v>0</v>
      </c>
      <c r="N10215" s="8"/>
      <c r="O10215" s="33" t="str">
        <f>IFERROR(VLOOKUP($M10215,'Informations sur les produits'!$A$3:$H$10000,8,FALSE),"0")</f>
        <v>0</v>
      </c>
      <c r="P10215" s="33">
        <f t="shared" si="636"/>
        <v>0</v>
      </c>
      <c r="Q10215" s="31" t="str">
        <f t="shared" si="637"/>
        <v/>
      </c>
      <c r="R10215" s="32" t="str">
        <f>IFERROR(VLOOKUP($D10215,'Informations sur les produits'!$A$3:$B$15000,2,FALSE),"")</f>
        <v/>
      </c>
      <c r="V10215">
        <f t="shared" si="638"/>
        <v>0</v>
      </c>
      <c r="W10215">
        <f t="shared" si="639"/>
        <v>0</v>
      </c>
    </row>
    <row r="10216" spans="5:23" x14ac:dyDescent="0.25">
      <c r="E10216" s="4"/>
      <c r="F10216" s="4"/>
      <c r="G10216" s="33" t="str">
        <f>IFERROR(VLOOKUP($D10216,'Informations sur les produits'!$A$3:$H$10000,8,FALSE),"0")</f>
        <v>0</v>
      </c>
      <c r="K10216" s="4"/>
      <c r="L10216" s="33" t="str">
        <f>IFERROR(VLOOKUP($J10216,'Informations sur les produits'!$A$3:$H$10000,8,FALSE),"0")</f>
        <v>0</v>
      </c>
      <c r="N10216" s="8"/>
      <c r="O10216" s="33" t="str">
        <f>IFERROR(VLOOKUP($M10216,'Informations sur les produits'!$A$3:$H$10000,8,FALSE),"0")</f>
        <v>0</v>
      </c>
      <c r="P10216" s="33">
        <f t="shared" si="636"/>
        <v>0</v>
      </c>
      <c r="Q10216" s="31" t="str">
        <f t="shared" si="637"/>
        <v/>
      </c>
      <c r="R10216" s="32" t="str">
        <f>IFERROR(VLOOKUP($D10216,'Informations sur les produits'!$A$3:$B$15000,2,FALSE),"")</f>
        <v/>
      </c>
      <c r="V10216">
        <f t="shared" si="638"/>
        <v>0</v>
      </c>
      <c r="W10216">
        <f t="shared" si="639"/>
        <v>0</v>
      </c>
    </row>
    <row r="10217" spans="5:23" x14ac:dyDescent="0.25">
      <c r="E10217" s="4"/>
      <c r="F10217" s="4"/>
      <c r="G10217" s="33" t="str">
        <f>IFERROR(VLOOKUP($D10217,'Informations sur les produits'!$A$3:$H$10000,8,FALSE),"0")</f>
        <v>0</v>
      </c>
      <c r="K10217" s="4"/>
      <c r="L10217" s="33" t="str">
        <f>IFERROR(VLOOKUP($J10217,'Informations sur les produits'!$A$3:$H$10000,8,FALSE),"0")</f>
        <v>0</v>
      </c>
      <c r="N10217" s="8"/>
      <c r="O10217" s="33" t="str">
        <f>IFERROR(VLOOKUP($M10217,'Informations sur les produits'!$A$3:$H$10000,8,FALSE),"0")</f>
        <v>0</v>
      </c>
      <c r="P10217" s="33">
        <f t="shared" si="636"/>
        <v>0</v>
      </c>
      <c r="Q10217" s="31" t="str">
        <f t="shared" si="637"/>
        <v/>
      </c>
      <c r="R10217" s="32" t="str">
        <f>IFERROR(VLOOKUP($D10217,'Informations sur les produits'!$A$3:$B$15000,2,FALSE),"")</f>
        <v/>
      </c>
      <c r="V10217">
        <f t="shared" si="638"/>
        <v>0</v>
      </c>
      <c r="W10217">
        <f t="shared" si="639"/>
        <v>0</v>
      </c>
    </row>
    <row r="10218" spans="5:23" x14ac:dyDescent="0.25">
      <c r="E10218" s="4"/>
      <c r="F10218" s="4"/>
      <c r="G10218" s="33" t="str">
        <f>IFERROR(VLOOKUP($D10218,'Informations sur les produits'!$A$3:$H$10000,8,FALSE),"0")</f>
        <v>0</v>
      </c>
      <c r="K10218" s="4"/>
      <c r="L10218" s="33" t="str">
        <f>IFERROR(VLOOKUP($J10218,'Informations sur les produits'!$A$3:$H$10000,8,FALSE),"0")</f>
        <v>0</v>
      </c>
      <c r="N10218" s="8"/>
      <c r="O10218" s="33" t="str">
        <f>IFERROR(VLOOKUP($M10218,'Informations sur les produits'!$A$3:$H$10000,8,FALSE),"0")</f>
        <v>0</v>
      </c>
      <c r="P10218" s="33">
        <f t="shared" si="636"/>
        <v>0</v>
      </c>
      <c r="Q10218" s="31" t="str">
        <f t="shared" si="637"/>
        <v/>
      </c>
      <c r="R10218" s="32" t="str">
        <f>IFERROR(VLOOKUP($D10218,'Informations sur les produits'!$A$3:$B$15000,2,FALSE),"")</f>
        <v/>
      </c>
      <c r="V10218">
        <f t="shared" si="638"/>
        <v>0</v>
      </c>
      <c r="W10218">
        <f t="shared" si="639"/>
        <v>0</v>
      </c>
    </row>
    <row r="10219" spans="5:23" x14ac:dyDescent="0.25">
      <c r="E10219" s="4"/>
      <c r="F10219" s="4"/>
      <c r="G10219" s="33" t="str">
        <f>IFERROR(VLOOKUP($D10219,'Informations sur les produits'!$A$3:$H$10000,8,FALSE),"0")</f>
        <v>0</v>
      </c>
      <c r="K10219" s="4"/>
      <c r="L10219" s="33" t="str">
        <f>IFERROR(VLOOKUP($J10219,'Informations sur les produits'!$A$3:$H$10000,8,FALSE),"0")</f>
        <v>0</v>
      </c>
      <c r="N10219" s="8"/>
      <c r="O10219" s="33" t="str">
        <f>IFERROR(VLOOKUP($M10219,'Informations sur les produits'!$A$3:$H$10000,8,FALSE),"0")</f>
        <v>0</v>
      </c>
      <c r="P10219" s="33">
        <f t="shared" si="636"/>
        <v>0</v>
      </c>
      <c r="Q10219" s="31" t="str">
        <f t="shared" si="637"/>
        <v/>
      </c>
      <c r="R10219" s="32" t="str">
        <f>IFERROR(VLOOKUP($D10219,'Informations sur les produits'!$A$3:$B$15000,2,FALSE),"")</f>
        <v/>
      </c>
      <c r="V10219">
        <f t="shared" si="638"/>
        <v>0</v>
      </c>
      <c r="W10219">
        <f t="shared" si="639"/>
        <v>0</v>
      </c>
    </row>
    <row r="10220" spans="5:23" x14ac:dyDescent="0.25">
      <c r="E10220" s="4"/>
      <c r="F10220" s="4"/>
      <c r="G10220" s="33" t="str">
        <f>IFERROR(VLOOKUP($D10220,'Informations sur les produits'!$A$3:$H$10000,8,FALSE),"0")</f>
        <v>0</v>
      </c>
      <c r="K10220" s="4"/>
      <c r="L10220" s="33" t="str">
        <f>IFERROR(VLOOKUP($J10220,'Informations sur les produits'!$A$3:$H$10000,8,FALSE),"0")</f>
        <v>0</v>
      </c>
      <c r="N10220" s="8"/>
      <c r="O10220" s="33" t="str">
        <f>IFERROR(VLOOKUP($M10220,'Informations sur les produits'!$A$3:$H$10000,8,FALSE),"0")</f>
        <v>0</v>
      </c>
      <c r="P10220" s="33">
        <f t="shared" si="636"/>
        <v>0</v>
      </c>
      <c r="Q10220" s="31" t="str">
        <f t="shared" si="637"/>
        <v/>
      </c>
      <c r="R10220" s="32" t="str">
        <f>IFERROR(VLOOKUP($D10220,'Informations sur les produits'!$A$3:$B$15000,2,FALSE),"")</f>
        <v/>
      </c>
      <c r="V10220">
        <f t="shared" si="638"/>
        <v>0</v>
      </c>
      <c r="W10220">
        <f t="shared" si="639"/>
        <v>0</v>
      </c>
    </row>
    <row r="10221" spans="5:23" x14ac:dyDescent="0.25">
      <c r="E10221" s="4"/>
      <c r="F10221" s="4"/>
      <c r="G10221" s="33" t="str">
        <f>IFERROR(VLOOKUP($D10221,'Informations sur les produits'!$A$3:$H$10000,8,FALSE),"0")</f>
        <v>0</v>
      </c>
      <c r="K10221" s="4"/>
      <c r="L10221" s="33" t="str">
        <f>IFERROR(VLOOKUP($J10221,'Informations sur les produits'!$A$3:$H$10000,8,FALSE),"0")</f>
        <v>0</v>
      </c>
      <c r="N10221" s="8"/>
      <c r="O10221" s="33" t="str">
        <f>IFERROR(VLOOKUP($M10221,'Informations sur les produits'!$A$3:$H$10000,8,FALSE),"0")</f>
        <v>0</v>
      </c>
      <c r="P10221" s="33">
        <f t="shared" si="636"/>
        <v>0</v>
      </c>
      <c r="Q10221" s="31" t="str">
        <f t="shared" si="637"/>
        <v/>
      </c>
      <c r="R10221" s="32" t="str">
        <f>IFERROR(VLOOKUP($D10221,'Informations sur les produits'!$A$3:$B$15000,2,FALSE),"")</f>
        <v/>
      </c>
      <c r="V10221">
        <f t="shared" si="638"/>
        <v>0</v>
      </c>
      <c r="W10221">
        <f t="shared" si="639"/>
        <v>0</v>
      </c>
    </row>
    <row r="10222" spans="5:23" x14ac:dyDescent="0.25">
      <c r="E10222" s="4"/>
      <c r="F10222" s="4"/>
      <c r="G10222" s="33" t="str">
        <f>IFERROR(VLOOKUP($D10222,'Informations sur les produits'!$A$3:$H$10000,8,FALSE),"0")</f>
        <v>0</v>
      </c>
      <c r="K10222" s="4"/>
      <c r="L10222" s="33" t="str">
        <f>IFERROR(VLOOKUP($J10222,'Informations sur les produits'!$A$3:$H$10000,8,FALSE),"0")</f>
        <v>0</v>
      </c>
      <c r="N10222" s="8"/>
      <c r="O10222" s="33" t="str">
        <f>IFERROR(VLOOKUP($M10222,'Informations sur les produits'!$A$3:$H$10000,8,FALSE),"0")</f>
        <v>0</v>
      </c>
      <c r="P10222" s="33">
        <f t="shared" si="636"/>
        <v>0</v>
      </c>
      <c r="Q10222" s="31" t="str">
        <f t="shared" si="637"/>
        <v/>
      </c>
      <c r="R10222" s="32" t="str">
        <f>IFERROR(VLOOKUP($D10222,'Informations sur les produits'!$A$3:$B$15000,2,FALSE),"")</f>
        <v/>
      </c>
      <c r="V10222">
        <f t="shared" si="638"/>
        <v>0</v>
      </c>
      <c r="W10222">
        <f t="shared" si="639"/>
        <v>0</v>
      </c>
    </row>
    <row r="10223" spans="5:23" x14ac:dyDescent="0.25">
      <c r="E10223" s="4"/>
      <c r="F10223" s="4"/>
      <c r="G10223" s="33" t="str">
        <f>IFERROR(VLOOKUP($D10223,'Informations sur les produits'!$A$3:$H$10000,8,FALSE),"0")</f>
        <v>0</v>
      </c>
      <c r="K10223" s="4"/>
      <c r="L10223" s="33" t="str">
        <f>IFERROR(VLOOKUP($J10223,'Informations sur les produits'!$A$3:$H$10000,8,FALSE),"0")</f>
        <v>0</v>
      </c>
      <c r="N10223" s="8"/>
      <c r="O10223" s="33" t="str">
        <f>IFERROR(VLOOKUP($M10223,'Informations sur les produits'!$A$3:$H$10000,8,FALSE),"0")</f>
        <v>0</v>
      </c>
      <c r="P10223" s="33">
        <f t="shared" si="636"/>
        <v>0</v>
      </c>
      <c r="Q10223" s="31" t="str">
        <f t="shared" si="637"/>
        <v/>
      </c>
      <c r="R10223" s="32" t="str">
        <f>IFERROR(VLOOKUP($D10223,'Informations sur les produits'!$A$3:$B$15000,2,FALSE),"")</f>
        <v/>
      </c>
      <c r="V10223">
        <f t="shared" si="638"/>
        <v>0</v>
      </c>
      <c r="W10223">
        <f t="shared" si="639"/>
        <v>0</v>
      </c>
    </row>
    <row r="10224" spans="5:23" x14ac:dyDescent="0.25">
      <c r="E10224" s="4"/>
      <c r="F10224" s="4"/>
      <c r="G10224" s="33" t="str">
        <f>IFERROR(VLOOKUP($D10224,'Informations sur les produits'!$A$3:$H$10000,8,FALSE),"0")</f>
        <v>0</v>
      </c>
      <c r="K10224" s="4"/>
      <c r="L10224" s="33" t="str">
        <f>IFERROR(VLOOKUP($J10224,'Informations sur les produits'!$A$3:$H$10000,8,FALSE),"0")</f>
        <v>0</v>
      </c>
      <c r="N10224" s="8"/>
      <c r="O10224" s="33" t="str">
        <f>IFERROR(VLOOKUP($M10224,'Informations sur les produits'!$A$3:$H$10000,8,FALSE),"0")</f>
        <v>0</v>
      </c>
      <c r="P10224" s="33">
        <f t="shared" si="636"/>
        <v>0</v>
      </c>
      <c r="Q10224" s="31" t="str">
        <f t="shared" si="637"/>
        <v/>
      </c>
      <c r="R10224" s="32" t="str">
        <f>IFERROR(VLOOKUP($D10224,'Informations sur les produits'!$A$3:$B$15000,2,FALSE),"")</f>
        <v/>
      </c>
      <c r="V10224">
        <f t="shared" si="638"/>
        <v>0</v>
      </c>
      <c r="W10224">
        <f t="shared" si="639"/>
        <v>0</v>
      </c>
    </row>
    <row r="10225" spans="5:23" x14ac:dyDescent="0.25">
      <c r="E10225" s="4"/>
      <c r="F10225" s="4"/>
      <c r="G10225" s="33" t="str">
        <f>IFERROR(VLOOKUP($D10225,'Informations sur les produits'!$A$3:$H$10000,8,FALSE),"0")</f>
        <v>0</v>
      </c>
      <c r="K10225" s="4"/>
      <c r="L10225" s="33" t="str">
        <f>IFERROR(VLOOKUP($J10225,'Informations sur les produits'!$A$3:$H$10000,8,FALSE),"0")</f>
        <v>0</v>
      </c>
      <c r="N10225" s="8"/>
      <c r="O10225" s="33" t="str">
        <f>IFERROR(VLOOKUP($M10225,'Informations sur les produits'!$A$3:$H$10000,8,FALSE),"0")</f>
        <v>0</v>
      </c>
      <c r="P10225" s="33">
        <f t="shared" si="636"/>
        <v>0</v>
      </c>
      <c r="Q10225" s="31" t="str">
        <f t="shared" si="637"/>
        <v/>
      </c>
      <c r="R10225" s="32" t="str">
        <f>IFERROR(VLOOKUP($D10225,'Informations sur les produits'!$A$3:$B$15000,2,FALSE),"")</f>
        <v/>
      </c>
      <c r="V10225">
        <f t="shared" si="638"/>
        <v>0</v>
      </c>
      <c r="W10225">
        <f t="shared" si="639"/>
        <v>0</v>
      </c>
    </row>
    <row r="10226" spans="5:23" x14ac:dyDescent="0.25">
      <c r="E10226" s="4"/>
      <c r="F10226" s="4"/>
      <c r="G10226" s="33" t="str">
        <f>IFERROR(VLOOKUP($D10226,'Informations sur les produits'!$A$3:$H$10000,8,FALSE),"0")</f>
        <v>0</v>
      </c>
      <c r="K10226" s="4"/>
      <c r="L10226" s="33" t="str">
        <f>IFERROR(VLOOKUP($J10226,'Informations sur les produits'!$A$3:$H$10000,8,FALSE),"0")</f>
        <v>0</v>
      </c>
      <c r="N10226" s="8"/>
      <c r="O10226" s="33" t="str">
        <f>IFERROR(VLOOKUP($M10226,'Informations sur les produits'!$A$3:$H$10000,8,FALSE),"0")</f>
        <v>0</v>
      </c>
      <c r="P10226" s="33">
        <f t="shared" si="636"/>
        <v>0</v>
      </c>
      <c r="Q10226" s="31" t="str">
        <f t="shared" si="637"/>
        <v/>
      </c>
      <c r="R10226" s="32" t="str">
        <f>IFERROR(VLOOKUP($D10226,'Informations sur les produits'!$A$3:$B$15000,2,FALSE),"")</f>
        <v/>
      </c>
      <c r="V10226">
        <f t="shared" si="638"/>
        <v>0</v>
      </c>
      <c r="W10226">
        <f t="shared" si="639"/>
        <v>0</v>
      </c>
    </row>
    <row r="10227" spans="5:23" x14ac:dyDescent="0.25">
      <c r="E10227" s="4"/>
      <c r="F10227" s="4"/>
      <c r="G10227" s="33" t="str">
        <f>IFERROR(VLOOKUP($D10227,'Informations sur les produits'!$A$3:$H$10000,8,FALSE),"0")</f>
        <v>0</v>
      </c>
      <c r="K10227" s="4"/>
      <c r="L10227" s="33" t="str">
        <f>IFERROR(VLOOKUP($J10227,'Informations sur les produits'!$A$3:$H$10000,8,FALSE),"0")</f>
        <v>0</v>
      </c>
      <c r="N10227" s="8"/>
      <c r="O10227" s="33" t="str">
        <f>IFERROR(VLOOKUP($M10227,'Informations sur les produits'!$A$3:$H$10000,8,FALSE),"0")</f>
        <v>0</v>
      </c>
      <c r="P10227" s="33">
        <f t="shared" si="636"/>
        <v>0</v>
      </c>
      <c r="Q10227" s="31" t="str">
        <f t="shared" si="637"/>
        <v/>
      </c>
      <c r="R10227" s="32" t="str">
        <f>IFERROR(VLOOKUP($D10227,'Informations sur les produits'!$A$3:$B$15000,2,FALSE),"")</f>
        <v/>
      </c>
      <c r="V10227">
        <f t="shared" si="638"/>
        <v>0</v>
      </c>
      <c r="W10227">
        <f t="shared" si="639"/>
        <v>0</v>
      </c>
    </row>
    <row r="10228" spans="5:23" x14ac:dyDescent="0.25">
      <c r="E10228" s="4"/>
      <c r="F10228" s="4"/>
      <c r="G10228" s="33" t="str">
        <f>IFERROR(VLOOKUP($D10228,'Informations sur les produits'!$A$3:$H$10000,8,FALSE),"0")</f>
        <v>0</v>
      </c>
      <c r="K10228" s="4"/>
      <c r="L10228" s="33" t="str">
        <f>IFERROR(VLOOKUP($J10228,'Informations sur les produits'!$A$3:$H$10000,8,FALSE),"0")</f>
        <v>0</v>
      </c>
      <c r="N10228" s="8"/>
      <c r="O10228" s="33" t="str">
        <f>IFERROR(VLOOKUP($M10228,'Informations sur les produits'!$A$3:$H$10000,8,FALSE),"0")</f>
        <v>0</v>
      </c>
      <c r="P10228" s="33">
        <f t="shared" si="636"/>
        <v>0</v>
      </c>
      <c r="Q10228" s="31" t="str">
        <f t="shared" si="637"/>
        <v/>
      </c>
      <c r="R10228" s="32" t="str">
        <f>IFERROR(VLOOKUP($D10228,'Informations sur les produits'!$A$3:$B$15000,2,FALSE),"")</f>
        <v/>
      </c>
      <c r="V10228">
        <f t="shared" si="638"/>
        <v>0</v>
      </c>
      <c r="W10228">
        <f t="shared" si="639"/>
        <v>0</v>
      </c>
    </row>
    <row r="10229" spans="5:23" x14ac:dyDescent="0.25">
      <c r="E10229" s="4"/>
      <c r="F10229" s="4"/>
      <c r="G10229" s="33" t="str">
        <f>IFERROR(VLOOKUP($D10229,'Informations sur les produits'!$A$3:$H$10000,8,FALSE),"0")</f>
        <v>0</v>
      </c>
      <c r="K10229" s="4"/>
      <c r="L10229" s="33" t="str">
        <f>IFERROR(VLOOKUP($J10229,'Informations sur les produits'!$A$3:$H$10000,8,FALSE),"0")</f>
        <v>0</v>
      </c>
      <c r="N10229" s="8"/>
      <c r="O10229" s="33" t="str">
        <f>IFERROR(VLOOKUP($M10229,'Informations sur les produits'!$A$3:$H$10000,8,FALSE),"0")</f>
        <v>0</v>
      </c>
      <c r="P10229" s="33">
        <f t="shared" si="636"/>
        <v>0</v>
      </c>
      <c r="Q10229" s="31" t="str">
        <f t="shared" si="637"/>
        <v/>
      </c>
      <c r="R10229" s="32" t="str">
        <f>IFERROR(VLOOKUP($D10229,'Informations sur les produits'!$A$3:$B$15000,2,FALSE),"")</f>
        <v/>
      </c>
      <c r="V10229">
        <f t="shared" si="638"/>
        <v>0</v>
      </c>
      <c r="W10229">
        <f t="shared" si="639"/>
        <v>0</v>
      </c>
    </row>
    <row r="10230" spans="5:23" x14ac:dyDescent="0.25">
      <c r="E10230" s="4"/>
      <c r="F10230" s="4"/>
      <c r="G10230" s="33" t="str">
        <f>IFERROR(VLOOKUP($D10230,'Informations sur les produits'!$A$3:$H$10000,8,FALSE),"0")</f>
        <v>0</v>
      </c>
      <c r="K10230" s="4"/>
      <c r="L10230" s="33" t="str">
        <f>IFERROR(VLOOKUP($J10230,'Informations sur les produits'!$A$3:$H$10000,8,FALSE),"0")</f>
        <v>0</v>
      </c>
      <c r="N10230" s="8"/>
      <c r="O10230" s="33" t="str">
        <f>IFERROR(VLOOKUP($M10230,'Informations sur les produits'!$A$3:$H$10000,8,FALSE),"0")</f>
        <v>0</v>
      </c>
      <c r="P10230" s="33">
        <f t="shared" si="636"/>
        <v>0</v>
      </c>
      <c r="Q10230" s="31" t="str">
        <f t="shared" si="637"/>
        <v/>
      </c>
      <c r="R10230" s="32" t="str">
        <f>IFERROR(VLOOKUP($D10230,'Informations sur les produits'!$A$3:$B$15000,2,FALSE),"")</f>
        <v/>
      </c>
      <c r="V10230">
        <f t="shared" si="638"/>
        <v>0</v>
      </c>
      <c r="W10230">
        <f t="shared" si="639"/>
        <v>0</v>
      </c>
    </row>
    <row r="10231" spans="5:23" x14ac:dyDescent="0.25">
      <c r="E10231" s="4"/>
      <c r="F10231" s="4"/>
      <c r="G10231" s="33" t="str">
        <f>IFERROR(VLOOKUP($D10231,'Informations sur les produits'!$A$3:$H$10000,8,FALSE),"0")</f>
        <v>0</v>
      </c>
      <c r="K10231" s="4"/>
      <c r="L10231" s="33" t="str">
        <f>IFERROR(VLOOKUP($J10231,'Informations sur les produits'!$A$3:$H$10000,8,FALSE),"0")</f>
        <v>0</v>
      </c>
      <c r="N10231" s="8"/>
      <c r="O10231" s="33" t="str">
        <f>IFERROR(VLOOKUP($M10231,'Informations sur les produits'!$A$3:$H$10000,8,FALSE),"0")</f>
        <v>0</v>
      </c>
      <c r="P10231" s="33">
        <f t="shared" si="636"/>
        <v>0</v>
      </c>
      <c r="Q10231" s="31" t="str">
        <f t="shared" si="637"/>
        <v/>
      </c>
      <c r="R10231" s="32" t="str">
        <f>IFERROR(VLOOKUP($D10231,'Informations sur les produits'!$A$3:$B$15000,2,FALSE),"")</f>
        <v/>
      </c>
      <c r="V10231">
        <f t="shared" si="638"/>
        <v>0</v>
      </c>
      <c r="W10231">
        <f t="shared" si="639"/>
        <v>0</v>
      </c>
    </row>
    <row r="10232" spans="5:23" x14ac:dyDescent="0.25">
      <c r="E10232" s="4"/>
      <c r="F10232" s="4"/>
      <c r="G10232" s="33" t="str">
        <f>IFERROR(VLOOKUP($D10232,'Informations sur les produits'!$A$3:$H$10000,8,FALSE),"0")</f>
        <v>0</v>
      </c>
      <c r="K10232" s="4"/>
      <c r="L10232" s="33" t="str">
        <f>IFERROR(VLOOKUP($J10232,'Informations sur les produits'!$A$3:$H$10000,8,FALSE),"0")</f>
        <v>0</v>
      </c>
      <c r="N10232" s="8"/>
      <c r="O10232" s="33" t="str">
        <f>IFERROR(VLOOKUP($M10232,'Informations sur les produits'!$A$3:$H$10000,8,FALSE),"0")</f>
        <v>0</v>
      </c>
      <c r="P10232" s="33">
        <f t="shared" si="636"/>
        <v>0</v>
      </c>
      <c r="Q10232" s="31" t="str">
        <f t="shared" si="637"/>
        <v/>
      </c>
      <c r="R10232" s="32" t="str">
        <f>IFERROR(VLOOKUP($D10232,'Informations sur les produits'!$A$3:$B$15000,2,FALSE),"")</f>
        <v/>
      </c>
      <c r="V10232">
        <f t="shared" si="638"/>
        <v>0</v>
      </c>
      <c r="W10232">
        <f t="shared" si="639"/>
        <v>0</v>
      </c>
    </row>
    <row r="10233" spans="5:23" x14ac:dyDescent="0.25">
      <c r="E10233" s="4"/>
      <c r="F10233" s="4"/>
      <c r="G10233" s="33" t="str">
        <f>IFERROR(VLOOKUP($D10233,'Informations sur les produits'!$A$3:$H$10000,8,FALSE),"0")</f>
        <v>0</v>
      </c>
      <c r="K10233" s="4"/>
      <c r="L10233" s="33" t="str">
        <f>IFERROR(VLOOKUP($J10233,'Informations sur les produits'!$A$3:$H$10000,8,FALSE),"0")</f>
        <v>0</v>
      </c>
      <c r="N10233" s="8"/>
      <c r="O10233" s="33" t="str">
        <f>IFERROR(VLOOKUP($M10233,'Informations sur les produits'!$A$3:$H$10000,8,FALSE),"0")</f>
        <v>0</v>
      </c>
      <c r="P10233" s="33">
        <f t="shared" si="636"/>
        <v>0</v>
      </c>
      <c r="Q10233" s="31" t="str">
        <f t="shared" si="637"/>
        <v/>
      </c>
      <c r="R10233" s="32" t="str">
        <f>IFERROR(VLOOKUP($D10233,'Informations sur les produits'!$A$3:$B$15000,2,FALSE),"")</f>
        <v/>
      </c>
      <c r="V10233">
        <f t="shared" si="638"/>
        <v>0</v>
      </c>
      <c r="W10233">
        <f t="shared" si="639"/>
        <v>0</v>
      </c>
    </row>
    <row r="10234" spans="5:23" x14ac:dyDescent="0.25">
      <c r="E10234" s="4"/>
      <c r="F10234" s="4"/>
      <c r="G10234" s="33" t="str">
        <f>IFERROR(VLOOKUP($D10234,'Informations sur les produits'!$A$3:$H$10000,8,FALSE),"0")</f>
        <v>0</v>
      </c>
      <c r="K10234" s="4"/>
      <c r="L10234" s="33" t="str">
        <f>IFERROR(VLOOKUP($J10234,'Informations sur les produits'!$A$3:$H$10000,8,FALSE),"0")</f>
        <v>0</v>
      </c>
      <c r="N10234" s="8"/>
      <c r="O10234" s="33" t="str">
        <f>IFERROR(VLOOKUP($M10234,'Informations sur les produits'!$A$3:$H$10000,8,FALSE),"0")</f>
        <v>0</v>
      </c>
      <c r="P10234" s="33">
        <f t="shared" si="636"/>
        <v>0</v>
      </c>
      <c r="Q10234" s="31" t="str">
        <f t="shared" si="637"/>
        <v/>
      </c>
      <c r="R10234" s="32" t="str">
        <f>IFERROR(VLOOKUP($D10234,'Informations sur les produits'!$A$3:$B$15000,2,FALSE),"")</f>
        <v/>
      </c>
      <c r="V10234">
        <f t="shared" si="638"/>
        <v>0</v>
      </c>
      <c r="W10234">
        <f t="shared" si="639"/>
        <v>0</v>
      </c>
    </row>
    <row r="10235" spans="5:23" x14ac:dyDescent="0.25">
      <c r="E10235" s="4"/>
      <c r="F10235" s="4"/>
      <c r="G10235" s="33" t="str">
        <f>IFERROR(VLOOKUP($D10235,'Informations sur les produits'!$A$3:$H$10000,8,FALSE),"0")</f>
        <v>0</v>
      </c>
      <c r="K10235" s="4"/>
      <c r="L10235" s="33" t="str">
        <f>IFERROR(VLOOKUP($J10235,'Informations sur les produits'!$A$3:$H$10000,8,FALSE),"0")</f>
        <v>0</v>
      </c>
      <c r="N10235" s="8"/>
      <c r="O10235" s="33" t="str">
        <f>IFERROR(VLOOKUP($M10235,'Informations sur les produits'!$A$3:$H$10000,8,FALSE),"0")</f>
        <v>0</v>
      </c>
      <c r="P10235" s="33">
        <f t="shared" si="636"/>
        <v>0</v>
      </c>
      <c r="Q10235" s="31" t="str">
        <f t="shared" si="637"/>
        <v/>
      </c>
      <c r="R10235" s="32" t="str">
        <f>IFERROR(VLOOKUP($D10235,'Informations sur les produits'!$A$3:$B$15000,2,FALSE),"")</f>
        <v/>
      </c>
      <c r="V10235">
        <f t="shared" si="638"/>
        <v>0</v>
      </c>
      <c r="W10235">
        <f t="shared" si="639"/>
        <v>0</v>
      </c>
    </row>
    <row r="10236" spans="5:23" x14ac:dyDescent="0.25">
      <c r="E10236" s="4"/>
      <c r="F10236" s="4"/>
      <c r="G10236" s="33" t="str">
        <f>IFERROR(VLOOKUP($D10236,'Informations sur les produits'!$A$3:$H$10000,8,FALSE),"0")</f>
        <v>0</v>
      </c>
      <c r="K10236" s="4"/>
      <c r="L10236" s="33" t="str">
        <f>IFERROR(VLOOKUP($J10236,'Informations sur les produits'!$A$3:$H$10000,8,FALSE),"0")</f>
        <v>0</v>
      </c>
      <c r="N10236" s="8"/>
      <c r="O10236" s="33" t="str">
        <f>IFERROR(VLOOKUP($M10236,'Informations sur les produits'!$A$3:$H$10000,8,FALSE),"0")</f>
        <v>0</v>
      </c>
      <c r="P10236" s="33">
        <f t="shared" si="636"/>
        <v>0</v>
      </c>
      <c r="Q10236" s="31" t="str">
        <f t="shared" si="637"/>
        <v/>
      </c>
      <c r="R10236" s="32" t="str">
        <f>IFERROR(VLOOKUP($D10236,'Informations sur les produits'!$A$3:$B$15000,2,FALSE),"")</f>
        <v/>
      </c>
      <c r="V10236">
        <f t="shared" si="638"/>
        <v>0</v>
      </c>
      <c r="W10236">
        <f t="shared" si="639"/>
        <v>0</v>
      </c>
    </row>
    <row r="10237" spans="5:23" x14ac:dyDescent="0.25">
      <c r="E10237" s="4"/>
      <c r="F10237" s="4"/>
      <c r="G10237" s="33" t="str">
        <f>IFERROR(VLOOKUP($D10237,'Informations sur les produits'!$A$3:$H$10000,8,FALSE),"0")</f>
        <v>0</v>
      </c>
      <c r="K10237" s="4"/>
      <c r="L10237" s="33" t="str">
        <f>IFERROR(VLOOKUP($J10237,'Informations sur les produits'!$A$3:$H$10000,8,FALSE),"0")</f>
        <v>0</v>
      </c>
      <c r="N10237" s="8"/>
      <c r="O10237" s="33" t="str">
        <f>IFERROR(VLOOKUP($M10237,'Informations sur les produits'!$A$3:$H$10000,8,FALSE),"0")</f>
        <v>0</v>
      </c>
      <c r="P10237" s="33">
        <f t="shared" si="636"/>
        <v>0</v>
      </c>
      <c r="Q10237" s="31" t="str">
        <f t="shared" si="637"/>
        <v/>
      </c>
      <c r="R10237" s="32" t="str">
        <f>IFERROR(VLOOKUP($D10237,'Informations sur les produits'!$A$3:$B$15000,2,FALSE),"")</f>
        <v/>
      </c>
      <c r="V10237">
        <f t="shared" si="638"/>
        <v>0</v>
      </c>
      <c r="W10237">
        <f t="shared" si="639"/>
        <v>0</v>
      </c>
    </row>
    <row r="10238" spans="5:23" x14ac:dyDescent="0.25">
      <c r="E10238" s="4"/>
      <c r="F10238" s="4"/>
      <c r="G10238" s="33" t="str">
        <f>IFERROR(VLOOKUP($D10238,'Informations sur les produits'!$A$3:$H$10000,8,FALSE),"0")</f>
        <v>0</v>
      </c>
      <c r="K10238" s="4"/>
      <c r="L10238" s="33" t="str">
        <f>IFERROR(VLOOKUP($J10238,'Informations sur les produits'!$A$3:$H$10000,8,FALSE),"0")</f>
        <v>0</v>
      </c>
      <c r="N10238" s="8"/>
      <c r="O10238" s="33" t="str">
        <f>IFERROR(VLOOKUP($M10238,'Informations sur les produits'!$A$3:$H$10000,8,FALSE),"0")</f>
        <v>0</v>
      </c>
      <c r="P10238" s="33">
        <f t="shared" si="636"/>
        <v>0</v>
      </c>
      <c r="Q10238" s="31" t="str">
        <f t="shared" si="637"/>
        <v/>
      </c>
      <c r="R10238" s="32" t="str">
        <f>IFERROR(VLOOKUP($D10238,'Informations sur les produits'!$A$3:$B$15000,2,FALSE),"")</f>
        <v/>
      </c>
      <c r="V10238">
        <f t="shared" si="638"/>
        <v>0</v>
      </c>
      <c r="W10238">
        <f t="shared" si="639"/>
        <v>0</v>
      </c>
    </row>
    <row r="10239" spans="5:23" x14ac:dyDescent="0.25">
      <c r="E10239" s="4"/>
      <c r="F10239" s="4"/>
      <c r="G10239" s="33" t="str">
        <f>IFERROR(VLOOKUP($D10239,'Informations sur les produits'!$A$3:$H$10000,8,FALSE),"0")</f>
        <v>0</v>
      </c>
      <c r="K10239" s="4"/>
      <c r="L10239" s="33" t="str">
        <f>IFERROR(VLOOKUP($J10239,'Informations sur les produits'!$A$3:$H$10000,8,FALSE),"0")</f>
        <v>0</v>
      </c>
      <c r="N10239" s="8"/>
      <c r="O10239" s="33" t="str">
        <f>IFERROR(VLOOKUP($M10239,'Informations sur les produits'!$A$3:$H$10000,8,FALSE),"0")</f>
        <v>0</v>
      </c>
      <c r="P10239" s="33">
        <f t="shared" si="636"/>
        <v>0</v>
      </c>
      <c r="Q10239" s="31" t="str">
        <f t="shared" si="637"/>
        <v/>
      </c>
      <c r="R10239" s="32" t="str">
        <f>IFERROR(VLOOKUP($D10239,'Informations sur les produits'!$A$3:$B$15000,2,FALSE),"")</f>
        <v/>
      </c>
      <c r="V10239">
        <f t="shared" si="638"/>
        <v>0</v>
      </c>
      <c r="W10239">
        <f t="shared" si="639"/>
        <v>0</v>
      </c>
    </row>
    <row r="10240" spans="5:23" x14ac:dyDescent="0.25">
      <c r="E10240" s="4"/>
      <c r="F10240" s="4"/>
      <c r="G10240" s="33" t="str">
        <f>IFERROR(VLOOKUP($D10240,'Informations sur les produits'!$A$3:$H$10000,8,FALSE),"0")</f>
        <v>0</v>
      </c>
      <c r="K10240" s="4"/>
      <c r="L10240" s="33" t="str">
        <f>IFERROR(VLOOKUP($J10240,'Informations sur les produits'!$A$3:$H$10000,8,FALSE),"0")</f>
        <v>0</v>
      </c>
      <c r="N10240" s="8"/>
      <c r="O10240" s="33" t="str">
        <f>IFERROR(VLOOKUP($M10240,'Informations sur les produits'!$A$3:$H$10000,8,FALSE),"0")</f>
        <v>0</v>
      </c>
      <c r="P10240" s="33">
        <f t="shared" si="636"/>
        <v>0</v>
      </c>
      <c r="Q10240" s="31" t="str">
        <f t="shared" si="637"/>
        <v/>
      </c>
      <c r="R10240" s="32" t="str">
        <f>IFERROR(VLOOKUP($D10240,'Informations sur les produits'!$A$3:$B$15000,2,FALSE),"")</f>
        <v/>
      </c>
      <c r="V10240">
        <f t="shared" si="638"/>
        <v>0</v>
      </c>
      <c r="W10240">
        <f t="shared" si="639"/>
        <v>0</v>
      </c>
    </row>
    <row r="10241" spans="5:23" x14ac:dyDescent="0.25">
      <c r="E10241" s="4"/>
      <c r="F10241" s="4"/>
      <c r="G10241" s="33" t="str">
        <f>IFERROR(VLOOKUP($D10241,'Informations sur les produits'!$A$3:$H$10000,8,FALSE),"0")</f>
        <v>0</v>
      </c>
      <c r="K10241" s="4"/>
      <c r="L10241" s="33" t="str">
        <f>IFERROR(VLOOKUP($J10241,'Informations sur les produits'!$A$3:$H$10000,8,FALSE),"0")</f>
        <v>0</v>
      </c>
      <c r="N10241" s="8"/>
      <c r="O10241" s="33" t="str">
        <f>IFERROR(VLOOKUP($M10241,'Informations sur les produits'!$A$3:$H$10000,8,FALSE),"0")</f>
        <v>0</v>
      </c>
      <c r="P10241" s="33">
        <f t="shared" si="636"/>
        <v>0</v>
      </c>
      <c r="Q10241" s="31" t="str">
        <f t="shared" si="637"/>
        <v/>
      </c>
      <c r="R10241" s="32" t="str">
        <f>IFERROR(VLOOKUP($D10241,'Informations sur les produits'!$A$3:$B$15000,2,FALSE),"")</f>
        <v/>
      </c>
      <c r="V10241">
        <f t="shared" si="638"/>
        <v>0</v>
      </c>
      <c r="W10241">
        <f t="shared" si="639"/>
        <v>0</v>
      </c>
    </row>
    <row r="10242" spans="5:23" x14ac:dyDescent="0.25">
      <c r="E10242" s="4"/>
      <c r="F10242" s="4"/>
      <c r="G10242" s="33" t="str">
        <f>IFERROR(VLOOKUP($D10242,'Informations sur les produits'!$A$3:$H$10000,8,FALSE),"0")</f>
        <v>0</v>
      </c>
      <c r="K10242" s="4"/>
      <c r="L10242" s="33" t="str">
        <f>IFERROR(VLOOKUP($J10242,'Informations sur les produits'!$A$3:$H$10000,8,FALSE),"0")</f>
        <v>0</v>
      </c>
      <c r="N10242" s="8"/>
      <c r="O10242" s="33" t="str">
        <f>IFERROR(VLOOKUP($M10242,'Informations sur les produits'!$A$3:$H$10000,8,FALSE),"0")</f>
        <v>0</v>
      </c>
      <c r="P10242" s="33">
        <f t="shared" si="636"/>
        <v>0</v>
      </c>
      <c r="Q10242" s="31" t="str">
        <f t="shared" si="637"/>
        <v/>
      </c>
      <c r="R10242" s="32" t="str">
        <f>IFERROR(VLOOKUP($D10242,'Informations sur les produits'!$A$3:$B$15000,2,FALSE),"")</f>
        <v/>
      </c>
      <c r="V10242">
        <f t="shared" si="638"/>
        <v>0</v>
      </c>
      <c r="W10242">
        <f t="shared" si="639"/>
        <v>0</v>
      </c>
    </row>
    <row r="10243" spans="5:23" x14ac:dyDescent="0.25">
      <c r="E10243" s="4"/>
      <c r="F10243" s="4"/>
      <c r="G10243" s="33" t="str">
        <f>IFERROR(VLOOKUP($D10243,'Informations sur les produits'!$A$3:$H$10000,8,FALSE),"0")</f>
        <v>0</v>
      </c>
      <c r="K10243" s="4"/>
      <c r="L10243" s="33" t="str">
        <f>IFERROR(VLOOKUP($J10243,'Informations sur les produits'!$A$3:$H$10000,8,FALSE),"0")</f>
        <v>0</v>
      </c>
      <c r="N10243" s="8"/>
      <c r="O10243" s="33" t="str">
        <f>IFERROR(VLOOKUP($M10243,'Informations sur les produits'!$A$3:$H$10000,8,FALSE),"0")</f>
        <v>0</v>
      </c>
      <c r="P10243" s="33">
        <f t="shared" si="636"/>
        <v>0</v>
      </c>
      <c r="Q10243" s="31" t="str">
        <f t="shared" si="637"/>
        <v/>
      </c>
      <c r="R10243" s="32" t="str">
        <f>IFERROR(VLOOKUP($D10243,'Informations sur les produits'!$A$3:$B$15000,2,FALSE),"")</f>
        <v/>
      </c>
      <c r="V10243">
        <f t="shared" si="638"/>
        <v>0</v>
      </c>
      <c r="W10243">
        <f t="shared" si="639"/>
        <v>0</v>
      </c>
    </row>
    <row r="10244" spans="5:23" x14ac:dyDescent="0.25">
      <c r="E10244" s="4"/>
      <c r="F10244" s="4"/>
      <c r="G10244" s="33" t="str">
        <f>IFERROR(VLOOKUP($D10244,'Informations sur les produits'!$A$3:$H$10000,8,FALSE),"0")</f>
        <v>0</v>
      </c>
      <c r="K10244" s="4"/>
      <c r="L10244" s="33" t="str">
        <f>IFERROR(VLOOKUP($J10244,'Informations sur les produits'!$A$3:$H$10000,8,FALSE),"0")</f>
        <v>0</v>
      </c>
      <c r="N10244" s="8"/>
      <c r="O10244" s="33" t="str">
        <f>IFERROR(VLOOKUP($M10244,'Informations sur les produits'!$A$3:$H$10000,8,FALSE),"0")</f>
        <v>0</v>
      </c>
      <c r="P10244" s="33">
        <f t="shared" ref="P10244:P10307" si="640">IFERROR((($E10244-$F10244)*$G10244+$K10244*$L10244+$N10244*$O10244),"")</f>
        <v>0</v>
      </c>
      <c r="Q10244" s="31" t="str">
        <f t="shared" ref="Q10244:Q10307" si="641">IFERROR((((($E10244-$F10244)*$G10244+$K10244*$L10244+$N10244*$O10244)*1000)/(($E10244-$F10244)+$K10244+$N10244)),"")</f>
        <v/>
      </c>
      <c r="R10244" s="32" t="str">
        <f>IFERROR(VLOOKUP($D10244,'Informations sur les produits'!$A$3:$B$15000,2,FALSE),"")</f>
        <v/>
      </c>
      <c r="V10244">
        <f t="shared" ref="V10244:V10307" si="642">IFERROR(P10244*1000,"")</f>
        <v>0</v>
      </c>
      <c r="W10244">
        <f t="shared" ref="W10244:W10307" si="643">IFERROR(($E10244-$F10244)+$K10244+$N10244,"")</f>
        <v>0</v>
      </c>
    </row>
    <row r="10245" spans="5:23" x14ac:dyDescent="0.25">
      <c r="E10245" s="4"/>
      <c r="F10245" s="4"/>
      <c r="G10245" s="33" t="str">
        <f>IFERROR(VLOOKUP($D10245,'Informations sur les produits'!$A$3:$H$10000,8,FALSE),"0")</f>
        <v>0</v>
      </c>
      <c r="K10245" s="4"/>
      <c r="L10245" s="33" t="str">
        <f>IFERROR(VLOOKUP($J10245,'Informations sur les produits'!$A$3:$H$10000,8,FALSE),"0")</f>
        <v>0</v>
      </c>
      <c r="N10245" s="8"/>
      <c r="O10245" s="33" t="str">
        <f>IFERROR(VLOOKUP($M10245,'Informations sur les produits'!$A$3:$H$10000,8,FALSE),"0")</f>
        <v>0</v>
      </c>
      <c r="P10245" s="33">
        <f t="shared" si="640"/>
        <v>0</v>
      </c>
      <c r="Q10245" s="31" t="str">
        <f t="shared" si="641"/>
        <v/>
      </c>
      <c r="R10245" s="32" t="str">
        <f>IFERROR(VLOOKUP($D10245,'Informations sur les produits'!$A$3:$B$15000,2,FALSE),"")</f>
        <v/>
      </c>
      <c r="V10245">
        <f t="shared" si="642"/>
        <v>0</v>
      </c>
      <c r="W10245">
        <f t="shared" si="643"/>
        <v>0</v>
      </c>
    </row>
    <row r="10246" spans="5:23" x14ac:dyDescent="0.25">
      <c r="E10246" s="4"/>
      <c r="F10246" s="4"/>
      <c r="G10246" s="33" t="str">
        <f>IFERROR(VLOOKUP($D10246,'Informations sur les produits'!$A$3:$H$10000,8,FALSE),"0")</f>
        <v>0</v>
      </c>
      <c r="K10246" s="4"/>
      <c r="L10246" s="33" t="str">
        <f>IFERROR(VLOOKUP($J10246,'Informations sur les produits'!$A$3:$H$10000,8,FALSE),"0")</f>
        <v>0</v>
      </c>
      <c r="N10246" s="8"/>
      <c r="O10246" s="33" t="str">
        <f>IFERROR(VLOOKUP($M10246,'Informations sur les produits'!$A$3:$H$10000,8,FALSE),"0")</f>
        <v>0</v>
      </c>
      <c r="P10246" s="33">
        <f t="shared" si="640"/>
        <v>0</v>
      </c>
      <c r="Q10246" s="31" t="str">
        <f t="shared" si="641"/>
        <v/>
      </c>
      <c r="R10246" s="32" t="str">
        <f>IFERROR(VLOOKUP($D10246,'Informations sur les produits'!$A$3:$B$15000,2,FALSE),"")</f>
        <v/>
      </c>
      <c r="V10246">
        <f t="shared" si="642"/>
        <v>0</v>
      </c>
      <c r="W10246">
        <f t="shared" si="643"/>
        <v>0</v>
      </c>
    </row>
    <row r="10247" spans="5:23" x14ac:dyDescent="0.25">
      <c r="E10247" s="4"/>
      <c r="F10247" s="4"/>
      <c r="G10247" s="33" t="str">
        <f>IFERROR(VLOOKUP($D10247,'Informations sur les produits'!$A$3:$H$10000,8,FALSE),"0")</f>
        <v>0</v>
      </c>
      <c r="K10247" s="4"/>
      <c r="L10247" s="33" t="str">
        <f>IFERROR(VLOOKUP($J10247,'Informations sur les produits'!$A$3:$H$10000,8,FALSE),"0")</f>
        <v>0</v>
      </c>
      <c r="N10247" s="8"/>
      <c r="O10247" s="33" t="str">
        <f>IFERROR(VLOOKUP($M10247,'Informations sur les produits'!$A$3:$H$10000,8,FALSE),"0")</f>
        <v>0</v>
      </c>
      <c r="P10247" s="33">
        <f t="shared" si="640"/>
        <v>0</v>
      </c>
      <c r="Q10247" s="31" t="str">
        <f t="shared" si="641"/>
        <v/>
      </c>
      <c r="R10247" s="32" t="str">
        <f>IFERROR(VLOOKUP($D10247,'Informations sur les produits'!$A$3:$B$15000,2,FALSE),"")</f>
        <v/>
      </c>
      <c r="V10247">
        <f t="shared" si="642"/>
        <v>0</v>
      </c>
      <c r="W10247">
        <f t="shared" si="643"/>
        <v>0</v>
      </c>
    </row>
    <row r="10248" spans="5:23" x14ac:dyDescent="0.25">
      <c r="E10248" s="4"/>
      <c r="F10248" s="4"/>
      <c r="G10248" s="33" t="str">
        <f>IFERROR(VLOOKUP($D10248,'Informations sur les produits'!$A$3:$H$10000,8,FALSE),"0")</f>
        <v>0</v>
      </c>
      <c r="K10248" s="4"/>
      <c r="L10248" s="33" t="str">
        <f>IFERROR(VLOOKUP($J10248,'Informations sur les produits'!$A$3:$H$10000,8,FALSE),"0")</f>
        <v>0</v>
      </c>
      <c r="N10248" s="8"/>
      <c r="O10248" s="33" t="str">
        <f>IFERROR(VLOOKUP($M10248,'Informations sur les produits'!$A$3:$H$10000,8,FALSE),"0")</f>
        <v>0</v>
      </c>
      <c r="P10248" s="33">
        <f t="shared" si="640"/>
        <v>0</v>
      </c>
      <c r="Q10248" s="31" t="str">
        <f t="shared" si="641"/>
        <v/>
      </c>
      <c r="R10248" s="32" t="str">
        <f>IFERROR(VLOOKUP($D10248,'Informations sur les produits'!$A$3:$B$15000,2,FALSE),"")</f>
        <v/>
      </c>
      <c r="V10248">
        <f t="shared" si="642"/>
        <v>0</v>
      </c>
      <c r="W10248">
        <f t="shared" si="643"/>
        <v>0</v>
      </c>
    </row>
    <row r="10249" spans="5:23" x14ac:dyDescent="0.25">
      <c r="E10249" s="4"/>
      <c r="F10249" s="4"/>
      <c r="G10249" s="33" t="str">
        <f>IFERROR(VLOOKUP($D10249,'Informations sur les produits'!$A$3:$H$10000,8,FALSE),"0")</f>
        <v>0</v>
      </c>
      <c r="K10249" s="4"/>
      <c r="L10249" s="33" t="str">
        <f>IFERROR(VLOOKUP($J10249,'Informations sur les produits'!$A$3:$H$10000,8,FALSE),"0")</f>
        <v>0</v>
      </c>
      <c r="N10249" s="8"/>
      <c r="O10249" s="33" t="str">
        <f>IFERROR(VLOOKUP($M10249,'Informations sur les produits'!$A$3:$H$10000,8,FALSE),"0")</f>
        <v>0</v>
      </c>
      <c r="P10249" s="33">
        <f t="shared" si="640"/>
        <v>0</v>
      </c>
      <c r="Q10249" s="31" t="str">
        <f t="shared" si="641"/>
        <v/>
      </c>
      <c r="R10249" s="32" t="str">
        <f>IFERROR(VLOOKUP($D10249,'Informations sur les produits'!$A$3:$B$15000,2,FALSE),"")</f>
        <v/>
      </c>
      <c r="V10249">
        <f t="shared" si="642"/>
        <v>0</v>
      </c>
      <c r="W10249">
        <f t="shared" si="643"/>
        <v>0</v>
      </c>
    </row>
    <row r="10250" spans="5:23" x14ac:dyDescent="0.25">
      <c r="E10250" s="4"/>
      <c r="F10250" s="4"/>
      <c r="G10250" s="33" t="str">
        <f>IFERROR(VLOOKUP($D10250,'Informations sur les produits'!$A$3:$H$10000,8,FALSE),"0")</f>
        <v>0</v>
      </c>
      <c r="K10250" s="4"/>
      <c r="L10250" s="33" t="str">
        <f>IFERROR(VLOOKUP($J10250,'Informations sur les produits'!$A$3:$H$10000,8,FALSE),"0")</f>
        <v>0</v>
      </c>
      <c r="N10250" s="8"/>
      <c r="O10250" s="33" t="str">
        <f>IFERROR(VLOOKUP($M10250,'Informations sur les produits'!$A$3:$H$10000,8,FALSE),"0")</f>
        <v>0</v>
      </c>
      <c r="P10250" s="33">
        <f t="shared" si="640"/>
        <v>0</v>
      </c>
      <c r="Q10250" s="31" t="str">
        <f t="shared" si="641"/>
        <v/>
      </c>
      <c r="R10250" s="32" t="str">
        <f>IFERROR(VLOOKUP($D10250,'Informations sur les produits'!$A$3:$B$15000,2,FALSE),"")</f>
        <v/>
      </c>
      <c r="V10250">
        <f t="shared" si="642"/>
        <v>0</v>
      </c>
      <c r="W10250">
        <f t="shared" si="643"/>
        <v>0</v>
      </c>
    </row>
    <row r="10251" spans="5:23" x14ac:dyDescent="0.25">
      <c r="E10251" s="4"/>
      <c r="F10251" s="4"/>
      <c r="G10251" s="33" t="str">
        <f>IFERROR(VLOOKUP($D10251,'Informations sur les produits'!$A$3:$H$10000,8,FALSE),"0")</f>
        <v>0</v>
      </c>
      <c r="K10251" s="4"/>
      <c r="L10251" s="33" t="str">
        <f>IFERROR(VLOOKUP($J10251,'Informations sur les produits'!$A$3:$H$10000,8,FALSE),"0")</f>
        <v>0</v>
      </c>
      <c r="N10251" s="8"/>
      <c r="O10251" s="33" t="str">
        <f>IFERROR(VLOOKUP($M10251,'Informations sur les produits'!$A$3:$H$10000,8,FALSE),"0")</f>
        <v>0</v>
      </c>
      <c r="P10251" s="33">
        <f t="shared" si="640"/>
        <v>0</v>
      </c>
      <c r="Q10251" s="31" t="str">
        <f t="shared" si="641"/>
        <v/>
      </c>
      <c r="R10251" s="32" t="str">
        <f>IFERROR(VLOOKUP($D10251,'Informations sur les produits'!$A$3:$B$15000,2,FALSE),"")</f>
        <v/>
      </c>
      <c r="V10251">
        <f t="shared" si="642"/>
        <v>0</v>
      </c>
      <c r="W10251">
        <f t="shared" si="643"/>
        <v>0</v>
      </c>
    </row>
    <row r="10252" spans="5:23" x14ac:dyDescent="0.25">
      <c r="E10252" s="4"/>
      <c r="F10252" s="4"/>
      <c r="G10252" s="33" t="str">
        <f>IFERROR(VLOOKUP($D10252,'Informations sur les produits'!$A$3:$H$10000,8,FALSE),"0")</f>
        <v>0</v>
      </c>
      <c r="K10252" s="4"/>
      <c r="L10252" s="33" t="str">
        <f>IFERROR(VLOOKUP($J10252,'Informations sur les produits'!$A$3:$H$10000,8,FALSE),"0")</f>
        <v>0</v>
      </c>
      <c r="N10252" s="8"/>
      <c r="O10252" s="33" t="str">
        <f>IFERROR(VLOOKUP($M10252,'Informations sur les produits'!$A$3:$H$10000,8,FALSE),"0")</f>
        <v>0</v>
      </c>
      <c r="P10252" s="33">
        <f t="shared" si="640"/>
        <v>0</v>
      </c>
      <c r="Q10252" s="31" t="str">
        <f t="shared" si="641"/>
        <v/>
      </c>
      <c r="R10252" s="32" t="str">
        <f>IFERROR(VLOOKUP($D10252,'Informations sur les produits'!$A$3:$B$15000,2,FALSE),"")</f>
        <v/>
      </c>
      <c r="V10252">
        <f t="shared" si="642"/>
        <v>0</v>
      </c>
      <c r="W10252">
        <f t="shared" si="643"/>
        <v>0</v>
      </c>
    </row>
    <row r="10253" spans="5:23" x14ac:dyDescent="0.25">
      <c r="E10253" s="4"/>
      <c r="F10253" s="4"/>
      <c r="G10253" s="33" t="str">
        <f>IFERROR(VLOOKUP($D10253,'Informations sur les produits'!$A$3:$H$10000,8,FALSE),"0")</f>
        <v>0</v>
      </c>
      <c r="K10253" s="4"/>
      <c r="L10253" s="33" t="str">
        <f>IFERROR(VLOOKUP($J10253,'Informations sur les produits'!$A$3:$H$10000,8,FALSE),"0")</f>
        <v>0</v>
      </c>
      <c r="N10253" s="8"/>
      <c r="O10253" s="33" t="str">
        <f>IFERROR(VLOOKUP($M10253,'Informations sur les produits'!$A$3:$H$10000,8,FALSE),"0")</f>
        <v>0</v>
      </c>
      <c r="P10253" s="33">
        <f t="shared" si="640"/>
        <v>0</v>
      </c>
      <c r="Q10253" s="31" t="str">
        <f t="shared" si="641"/>
        <v/>
      </c>
      <c r="R10253" s="32" t="str">
        <f>IFERROR(VLOOKUP($D10253,'Informations sur les produits'!$A$3:$B$15000,2,FALSE),"")</f>
        <v/>
      </c>
      <c r="V10253">
        <f t="shared" si="642"/>
        <v>0</v>
      </c>
      <c r="W10253">
        <f t="shared" si="643"/>
        <v>0</v>
      </c>
    </row>
    <row r="10254" spans="5:23" x14ac:dyDescent="0.25">
      <c r="E10254" s="4"/>
      <c r="F10254" s="4"/>
      <c r="G10254" s="33" t="str">
        <f>IFERROR(VLOOKUP($D10254,'Informations sur les produits'!$A$3:$H$10000,8,FALSE),"0")</f>
        <v>0</v>
      </c>
      <c r="K10254" s="4"/>
      <c r="L10254" s="33" t="str">
        <f>IFERROR(VLOOKUP($J10254,'Informations sur les produits'!$A$3:$H$10000,8,FALSE),"0")</f>
        <v>0</v>
      </c>
      <c r="N10254" s="8"/>
      <c r="O10254" s="33" t="str">
        <f>IFERROR(VLOOKUP($M10254,'Informations sur les produits'!$A$3:$H$10000,8,FALSE),"0")</f>
        <v>0</v>
      </c>
      <c r="P10254" s="33">
        <f t="shared" si="640"/>
        <v>0</v>
      </c>
      <c r="Q10254" s="31" t="str">
        <f t="shared" si="641"/>
        <v/>
      </c>
      <c r="R10254" s="32" t="str">
        <f>IFERROR(VLOOKUP($D10254,'Informations sur les produits'!$A$3:$B$15000,2,FALSE),"")</f>
        <v/>
      </c>
      <c r="V10254">
        <f t="shared" si="642"/>
        <v>0</v>
      </c>
      <c r="W10254">
        <f t="shared" si="643"/>
        <v>0</v>
      </c>
    </row>
    <row r="10255" spans="5:23" x14ac:dyDescent="0.25">
      <c r="E10255" s="4"/>
      <c r="F10255" s="4"/>
      <c r="G10255" s="33" t="str">
        <f>IFERROR(VLOOKUP($D10255,'Informations sur les produits'!$A$3:$H$10000,8,FALSE),"0")</f>
        <v>0</v>
      </c>
      <c r="K10255" s="4"/>
      <c r="L10255" s="33" t="str">
        <f>IFERROR(VLOOKUP($J10255,'Informations sur les produits'!$A$3:$H$10000,8,FALSE),"0")</f>
        <v>0</v>
      </c>
      <c r="N10255" s="8"/>
      <c r="O10255" s="33" t="str">
        <f>IFERROR(VLOOKUP($M10255,'Informations sur les produits'!$A$3:$H$10000,8,FALSE),"0")</f>
        <v>0</v>
      </c>
      <c r="P10255" s="33">
        <f t="shared" si="640"/>
        <v>0</v>
      </c>
      <c r="Q10255" s="31" t="str">
        <f t="shared" si="641"/>
        <v/>
      </c>
      <c r="R10255" s="32" t="str">
        <f>IFERROR(VLOOKUP($D10255,'Informations sur les produits'!$A$3:$B$15000,2,FALSE),"")</f>
        <v/>
      </c>
      <c r="V10255">
        <f t="shared" si="642"/>
        <v>0</v>
      </c>
      <c r="W10255">
        <f t="shared" si="643"/>
        <v>0</v>
      </c>
    </row>
    <row r="10256" spans="5:23" x14ac:dyDescent="0.25">
      <c r="E10256" s="4"/>
      <c r="F10256" s="4"/>
      <c r="G10256" s="33" t="str">
        <f>IFERROR(VLOOKUP($D10256,'Informations sur les produits'!$A$3:$H$10000,8,FALSE),"0")</f>
        <v>0</v>
      </c>
      <c r="K10256" s="4"/>
      <c r="L10256" s="33" t="str">
        <f>IFERROR(VLOOKUP($J10256,'Informations sur les produits'!$A$3:$H$10000,8,FALSE),"0")</f>
        <v>0</v>
      </c>
      <c r="N10256" s="8"/>
      <c r="O10256" s="33" t="str">
        <f>IFERROR(VLOOKUP($M10256,'Informations sur les produits'!$A$3:$H$10000,8,FALSE),"0")</f>
        <v>0</v>
      </c>
      <c r="P10256" s="33">
        <f t="shared" si="640"/>
        <v>0</v>
      </c>
      <c r="Q10256" s="31" t="str">
        <f t="shared" si="641"/>
        <v/>
      </c>
      <c r="R10256" s="32" t="str">
        <f>IFERROR(VLOOKUP($D10256,'Informations sur les produits'!$A$3:$B$15000,2,FALSE),"")</f>
        <v/>
      </c>
      <c r="V10256">
        <f t="shared" si="642"/>
        <v>0</v>
      </c>
      <c r="W10256">
        <f t="shared" si="643"/>
        <v>0</v>
      </c>
    </row>
    <row r="10257" spans="5:23" x14ac:dyDescent="0.25">
      <c r="E10257" s="4"/>
      <c r="F10257" s="4"/>
      <c r="G10257" s="33" t="str">
        <f>IFERROR(VLOOKUP($D10257,'Informations sur les produits'!$A$3:$H$10000,8,FALSE),"0")</f>
        <v>0</v>
      </c>
      <c r="K10257" s="4"/>
      <c r="L10257" s="33" t="str">
        <f>IFERROR(VLOOKUP($J10257,'Informations sur les produits'!$A$3:$H$10000,8,FALSE),"0")</f>
        <v>0</v>
      </c>
      <c r="N10257" s="8"/>
      <c r="O10257" s="33" t="str">
        <f>IFERROR(VLOOKUP($M10257,'Informations sur les produits'!$A$3:$H$10000,8,FALSE),"0")</f>
        <v>0</v>
      </c>
      <c r="P10257" s="33">
        <f t="shared" si="640"/>
        <v>0</v>
      </c>
      <c r="Q10257" s="31" t="str">
        <f t="shared" si="641"/>
        <v/>
      </c>
      <c r="R10257" s="32" t="str">
        <f>IFERROR(VLOOKUP($D10257,'Informations sur les produits'!$A$3:$B$15000,2,FALSE),"")</f>
        <v/>
      </c>
      <c r="V10257">
        <f t="shared" si="642"/>
        <v>0</v>
      </c>
      <c r="W10257">
        <f t="shared" si="643"/>
        <v>0</v>
      </c>
    </row>
    <row r="10258" spans="5:23" x14ac:dyDescent="0.25">
      <c r="E10258" s="4"/>
      <c r="F10258" s="4"/>
      <c r="G10258" s="33" t="str">
        <f>IFERROR(VLOOKUP($D10258,'Informations sur les produits'!$A$3:$H$10000,8,FALSE),"0")</f>
        <v>0</v>
      </c>
      <c r="K10258" s="4"/>
      <c r="L10258" s="33" t="str">
        <f>IFERROR(VLOOKUP($J10258,'Informations sur les produits'!$A$3:$H$10000,8,FALSE),"0")</f>
        <v>0</v>
      </c>
      <c r="N10258" s="8"/>
      <c r="O10258" s="33" t="str">
        <f>IFERROR(VLOOKUP($M10258,'Informations sur les produits'!$A$3:$H$10000,8,FALSE),"0")</f>
        <v>0</v>
      </c>
      <c r="P10258" s="33">
        <f t="shared" si="640"/>
        <v>0</v>
      </c>
      <c r="Q10258" s="31" t="str">
        <f t="shared" si="641"/>
        <v/>
      </c>
      <c r="R10258" s="32" t="str">
        <f>IFERROR(VLOOKUP($D10258,'Informations sur les produits'!$A$3:$B$15000,2,FALSE),"")</f>
        <v/>
      </c>
      <c r="V10258">
        <f t="shared" si="642"/>
        <v>0</v>
      </c>
      <c r="W10258">
        <f t="shared" si="643"/>
        <v>0</v>
      </c>
    </row>
    <row r="10259" spans="5:23" x14ac:dyDescent="0.25">
      <c r="E10259" s="4"/>
      <c r="F10259" s="4"/>
      <c r="G10259" s="33" t="str">
        <f>IFERROR(VLOOKUP($D10259,'Informations sur les produits'!$A$3:$H$10000,8,FALSE),"0")</f>
        <v>0</v>
      </c>
      <c r="K10259" s="4"/>
      <c r="L10259" s="33" t="str">
        <f>IFERROR(VLOOKUP($J10259,'Informations sur les produits'!$A$3:$H$10000,8,FALSE),"0")</f>
        <v>0</v>
      </c>
      <c r="N10259" s="8"/>
      <c r="O10259" s="33" t="str">
        <f>IFERROR(VLOOKUP($M10259,'Informations sur les produits'!$A$3:$H$10000,8,FALSE),"0")</f>
        <v>0</v>
      </c>
      <c r="P10259" s="33">
        <f t="shared" si="640"/>
        <v>0</v>
      </c>
      <c r="Q10259" s="31" t="str">
        <f t="shared" si="641"/>
        <v/>
      </c>
      <c r="R10259" s="32" t="str">
        <f>IFERROR(VLOOKUP($D10259,'Informations sur les produits'!$A$3:$B$15000,2,FALSE),"")</f>
        <v/>
      </c>
      <c r="V10259">
        <f t="shared" si="642"/>
        <v>0</v>
      </c>
      <c r="W10259">
        <f t="shared" si="643"/>
        <v>0</v>
      </c>
    </row>
    <row r="10260" spans="5:23" x14ac:dyDescent="0.25">
      <c r="E10260" s="4"/>
      <c r="F10260" s="4"/>
      <c r="G10260" s="33" t="str">
        <f>IFERROR(VLOOKUP($D10260,'Informations sur les produits'!$A$3:$H$10000,8,FALSE),"0")</f>
        <v>0</v>
      </c>
      <c r="K10260" s="4"/>
      <c r="L10260" s="33" t="str">
        <f>IFERROR(VLOOKUP($J10260,'Informations sur les produits'!$A$3:$H$10000,8,FALSE),"0")</f>
        <v>0</v>
      </c>
      <c r="N10260" s="8"/>
      <c r="O10260" s="33" t="str">
        <f>IFERROR(VLOOKUP($M10260,'Informations sur les produits'!$A$3:$H$10000,8,FALSE),"0")</f>
        <v>0</v>
      </c>
      <c r="P10260" s="33">
        <f t="shared" si="640"/>
        <v>0</v>
      </c>
      <c r="Q10260" s="31" t="str">
        <f t="shared" si="641"/>
        <v/>
      </c>
      <c r="R10260" s="32" t="str">
        <f>IFERROR(VLOOKUP($D10260,'Informations sur les produits'!$A$3:$B$15000,2,FALSE),"")</f>
        <v/>
      </c>
      <c r="V10260">
        <f t="shared" si="642"/>
        <v>0</v>
      </c>
      <c r="W10260">
        <f t="shared" si="643"/>
        <v>0</v>
      </c>
    </row>
    <row r="10261" spans="5:23" x14ac:dyDescent="0.25">
      <c r="E10261" s="4"/>
      <c r="F10261" s="4"/>
      <c r="G10261" s="33" t="str">
        <f>IFERROR(VLOOKUP($D10261,'Informations sur les produits'!$A$3:$H$10000,8,FALSE),"0")</f>
        <v>0</v>
      </c>
      <c r="K10261" s="4"/>
      <c r="L10261" s="33" t="str">
        <f>IFERROR(VLOOKUP($J10261,'Informations sur les produits'!$A$3:$H$10000,8,FALSE),"0")</f>
        <v>0</v>
      </c>
      <c r="N10261" s="8"/>
      <c r="O10261" s="33" t="str">
        <f>IFERROR(VLOOKUP($M10261,'Informations sur les produits'!$A$3:$H$10000,8,FALSE),"0")</f>
        <v>0</v>
      </c>
      <c r="P10261" s="33">
        <f t="shared" si="640"/>
        <v>0</v>
      </c>
      <c r="Q10261" s="31" t="str">
        <f t="shared" si="641"/>
        <v/>
      </c>
      <c r="R10261" s="32" t="str">
        <f>IFERROR(VLOOKUP($D10261,'Informations sur les produits'!$A$3:$B$15000,2,FALSE),"")</f>
        <v/>
      </c>
      <c r="V10261">
        <f t="shared" si="642"/>
        <v>0</v>
      </c>
      <c r="W10261">
        <f t="shared" si="643"/>
        <v>0</v>
      </c>
    </row>
    <row r="10262" spans="5:23" x14ac:dyDescent="0.25">
      <c r="E10262" s="4"/>
      <c r="F10262" s="4"/>
      <c r="G10262" s="33" t="str">
        <f>IFERROR(VLOOKUP($D10262,'Informations sur les produits'!$A$3:$H$10000,8,FALSE),"0")</f>
        <v>0</v>
      </c>
      <c r="K10262" s="4"/>
      <c r="L10262" s="33" t="str">
        <f>IFERROR(VLOOKUP($J10262,'Informations sur les produits'!$A$3:$H$10000,8,FALSE),"0")</f>
        <v>0</v>
      </c>
      <c r="N10262" s="8"/>
      <c r="O10262" s="33" t="str">
        <f>IFERROR(VLOOKUP($M10262,'Informations sur les produits'!$A$3:$H$10000,8,FALSE),"0")</f>
        <v>0</v>
      </c>
      <c r="P10262" s="33">
        <f t="shared" si="640"/>
        <v>0</v>
      </c>
      <c r="Q10262" s="31" t="str">
        <f t="shared" si="641"/>
        <v/>
      </c>
      <c r="R10262" s="32" t="str">
        <f>IFERROR(VLOOKUP($D10262,'Informations sur les produits'!$A$3:$B$15000,2,FALSE),"")</f>
        <v/>
      </c>
      <c r="V10262">
        <f t="shared" si="642"/>
        <v>0</v>
      </c>
      <c r="W10262">
        <f t="shared" si="643"/>
        <v>0</v>
      </c>
    </row>
    <row r="10263" spans="5:23" x14ac:dyDescent="0.25">
      <c r="E10263" s="4"/>
      <c r="F10263" s="4"/>
      <c r="G10263" s="33" t="str">
        <f>IFERROR(VLOOKUP($D10263,'Informations sur les produits'!$A$3:$H$10000,8,FALSE),"0")</f>
        <v>0</v>
      </c>
      <c r="K10263" s="4"/>
      <c r="L10263" s="33" t="str">
        <f>IFERROR(VLOOKUP($J10263,'Informations sur les produits'!$A$3:$H$10000,8,FALSE),"0")</f>
        <v>0</v>
      </c>
      <c r="N10263" s="8"/>
      <c r="O10263" s="33" t="str">
        <f>IFERROR(VLOOKUP($M10263,'Informations sur les produits'!$A$3:$H$10000,8,FALSE),"0")</f>
        <v>0</v>
      </c>
      <c r="P10263" s="33">
        <f t="shared" si="640"/>
        <v>0</v>
      </c>
      <c r="Q10263" s="31" t="str">
        <f t="shared" si="641"/>
        <v/>
      </c>
      <c r="R10263" s="32" t="str">
        <f>IFERROR(VLOOKUP($D10263,'Informations sur les produits'!$A$3:$B$15000,2,FALSE),"")</f>
        <v/>
      </c>
      <c r="V10263">
        <f t="shared" si="642"/>
        <v>0</v>
      </c>
      <c r="W10263">
        <f t="shared" si="643"/>
        <v>0</v>
      </c>
    </row>
    <row r="10264" spans="5:23" x14ac:dyDescent="0.25">
      <c r="E10264" s="4"/>
      <c r="F10264" s="4"/>
      <c r="G10264" s="33" t="str">
        <f>IFERROR(VLOOKUP($D10264,'Informations sur les produits'!$A$3:$H$10000,8,FALSE),"0")</f>
        <v>0</v>
      </c>
      <c r="K10264" s="4"/>
      <c r="L10264" s="33" t="str">
        <f>IFERROR(VLOOKUP($J10264,'Informations sur les produits'!$A$3:$H$10000,8,FALSE),"0")</f>
        <v>0</v>
      </c>
      <c r="N10264" s="8"/>
      <c r="O10264" s="33" t="str">
        <f>IFERROR(VLOOKUP($M10264,'Informations sur les produits'!$A$3:$H$10000,8,FALSE),"0")</f>
        <v>0</v>
      </c>
      <c r="P10264" s="33">
        <f t="shared" si="640"/>
        <v>0</v>
      </c>
      <c r="Q10264" s="31" t="str">
        <f t="shared" si="641"/>
        <v/>
      </c>
      <c r="R10264" s="32" t="str">
        <f>IFERROR(VLOOKUP($D10264,'Informations sur les produits'!$A$3:$B$15000,2,FALSE),"")</f>
        <v/>
      </c>
      <c r="V10264">
        <f t="shared" si="642"/>
        <v>0</v>
      </c>
      <c r="W10264">
        <f t="shared" si="643"/>
        <v>0</v>
      </c>
    </row>
    <row r="10265" spans="5:23" x14ac:dyDescent="0.25">
      <c r="E10265" s="4"/>
      <c r="F10265" s="4"/>
      <c r="G10265" s="33" t="str">
        <f>IFERROR(VLOOKUP($D10265,'Informations sur les produits'!$A$3:$H$10000,8,FALSE),"0")</f>
        <v>0</v>
      </c>
      <c r="K10265" s="4"/>
      <c r="L10265" s="33" t="str">
        <f>IFERROR(VLOOKUP($J10265,'Informations sur les produits'!$A$3:$H$10000,8,FALSE),"0")</f>
        <v>0</v>
      </c>
      <c r="N10265" s="8"/>
      <c r="O10265" s="33" t="str">
        <f>IFERROR(VLOOKUP($M10265,'Informations sur les produits'!$A$3:$H$10000,8,FALSE),"0")</f>
        <v>0</v>
      </c>
      <c r="P10265" s="33">
        <f t="shared" si="640"/>
        <v>0</v>
      </c>
      <c r="Q10265" s="31" t="str">
        <f t="shared" si="641"/>
        <v/>
      </c>
      <c r="R10265" s="32" t="str">
        <f>IFERROR(VLOOKUP($D10265,'Informations sur les produits'!$A$3:$B$15000,2,FALSE),"")</f>
        <v/>
      </c>
      <c r="V10265">
        <f t="shared" si="642"/>
        <v>0</v>
      </c>
      <c r="W10265">
        <f t="shared" si="643"/>
        <v>0</v>
      </c>
    </row>
    <row r="10266" spans="5:23" x14ac:dyDescent="0.25">
      <c r="E10266" s="4"/>
      <c r="F10266" s="4"/>
      <c r="G10266" s="33" t="str">
        <f>IFERROR(VLOOKUP($D10266,'Informations sur les produits'!$A$3:$H$10000,8,FALSE),"0")</f>
        <v>0</v>
      </c>
      <c r="K10266" s="4"/>
      <c r="L10266" s="33" t="str">
        <f>IFERROR(VLOOKUP($J10266,'Informations sur les produits'!$A$3:$H$10000,8,FALSE),"0")</f>
        <v>0</v>
      </c>
      <c r="N10266" s="8"/>
      <c r="O10266" s="33" t="str">
        <f>IFERROR(VLOOKUP($M10266,'Informations sur les produits'!$A$3:$H$10000,8,FALSE),"0")</f>
        <v>0</v>
      </c>
      <c r="P10266" s="33">
        <f t="shared" si="640"/>
        <v>0</v>
      </c>
      <c r="Q10266" s="31" t="str">
        <f t="shared" si="641"/>
        <v/>
      </c>
      <c r="R10266" s="32" t="str">
        <f>IFERROR(VLOOKUP($D10266,'Informations sur les produits'!$A$3:$B$15000,2,FALSE),"")</f>
        <v/>
      </c>
      <c r="V10266">
        <f t="shared" si="642"/>
        <v>0</v>
      </c>
      <c r="W10266">
        <f t="shared" si="643"/>
        <v>0</v>
      </c>
    </row>
    <row r="10267" spans="5:23" x14ac:dyDescent="0.25">
      <c r="E10267" s="4"/>
      <c r="F10267" s="4"/>
      <c r="G10267" s="33" t="str">
        <f>IFERROR(VLOOKUP($D10267,'Informations sur les produits'!$A$3:$H$10000,8,FALSE),"0")</f>
        <v>0</v>
      </c>
      <c r="K10267" s="4"/>
      <c r="L10267" s="33" t="str">
        <f>IFERROR(VLOOKUP($J10267,'Informations sur les produits'!$A$3:$H$10000,8,FALSE),"0")</f>
        <v>0</v>
      </c>
      <c r="N10267" s="8"/>
      <c r="O10267" s="33" t="str">
        <f>IFERROR(VLOOKUP($M10267,'Informations sur les produits'!$A$3:$H$10000,8,FALSE),"0")</f>
        <v>0</v>
      </c>
      <c r="P10267" s="33">
        <f t="shared" si="640"/>
        <v>0</v>
      </c>
      <c r="Q10267" s="31" t="str">
        <f t="shared" si="641"/>
        <v/>
      </c>
      <c r="R10267" s="32" t="str">
        <f>IFERROR(VLOOKUP($D10267,'Informations sur les produits'!$A$3:$B$15000,2,FALSE),"")</f>
        <v/>
      </c>
      <c r="V10267">
        <f t="shared" si="642"/>
        <v>0</v>
      </c>
      <c r="W10267">
        <f t="shared" si="643"/>
        <v>0</v>
      </c>
    </row>
    <row r="10268" spans="5:23" x14ac:dyDescent="0.25">
      <c r="E10268" s="4"/>
      <c r="F10268" s="4"/>
      <c r="G10268" s="33" t="str">
        <f>IFERROR(VLOOKUP($D10268,'Informations sur les produits'!$A$3:$H$10000,8,FALSE),"0")</f>
        <v>0</v>
      </c>
      <c r="K10268" s="4"/>
      <c r="L10268" s="33" t="str">
        <f>IFERROR(VLOOKUP($J10268,'Informations sur les produits'!$A$3:$H$10000,8,FALSE),"0")</f>
        <v>0</v>
      </c>
      <c r="N10268" s="8"/>
      <c r="O10268" s="33" t="str">
        <f>IFERROR(VLOOKUP($M10268,'Informations sur les produits'!$A$3:$H$10000,8,FALSE),"0")</f>
        <v>0</v>
      </c>
      <c r="P10268" s="33">
        <f t="shared" si="640"/>
        <v>0</v>
      </c>
      <c r="Q10268" s="31" t="str">
        <f t="shared" si="641"/>
        <v/>
      </c>
      <c r="R10268" s="32" t="str">
        <f>IFERROR(VLOOKUP($D10268,'Informations sur les produits'!$A$3:$B$15000,2,FALSE),"")</f>
        <v/>
      </c>
      <c r="V10268">
        <f t="shared" si="642"/>
        <v>0</v>
      </c>
      <c r="W10268">
        <f t="shared" si="643"/>
        <v>0</v>
      </c>
    </row>
    <row r="10269" spans="5:23" x14ac:dyDescent="0.25">
      <c r="E10269" s="4"/>
      <c r="F10269" s="4"/>
      <c r="G10269" s="33" t="str">
        <f>IFERROR(VLOOKUP($D10269,'Informations sur les produits'!$A$3:$H$10000,8,FALSE),"0")</f>
        <v>0</v>
      </c>
      <c r="K10269" s="4"/>
      <c r="L10269" s="33" t="str">
        <f>IFERROR(VLOOKUP($J10269,'Informations sur les produits'!$A$3:$H$10000,8,FALSE),"0")</f>
        <v>0</v>
      </c>
      <c r="N10269" s="8"/>
      <c r="O10269" s="33" t="str">
        <f>IFERROR(VLOOKUP($M10269,'Informations sur les produits'!$A$3:$H$10000,8,FALSE),"0")</f>
        <v>0</v>
      </c>
      <c r="P10269" s="33">
        <f t="shared" si="640"/>
        <v>0</v>
      </c>
      <c r="Q10269" s="31" t="str">
        <f t="shared" si="641"/>
        <v/>
      </c>
      <c r="R10269" s="32" t="str">
        <f>IFERROR(VLOOKUP($D10269,'Informations sur les produits'!$A$3:$B$15000,2,FALSE),"")</f>
        <v/>
      </c>
      <c r="V10269">
        <f t="shared" si="642"/>
        <v>0</v>
      </c>
      <c r="W10269">
        <f t="shared" si="643"/>
        <v>0</v>
      </c>
    </row>
    <row r="10270" spans="5:23" x14ac:dyDescent="0.25">
      <c r="E10270" s="4"/>
      <c r="F10270" s="4"/>
      <c r="G10270" s="33" t="str">
        <f>IFERROR(VLOOKUP($D10270,'Informations sur les produits'!$A$3:$H$10000,8,FALSE),"0")</f>
        <v>0</v>
      </c>
      <c r="K10270" s="4"/>
      <c r="L10270" s="33" t="str">
        <f>IFERROR(VLOOKUP($J10270,'Informations sur les produits'!$A$3:$H$10000,8,FALSE),"0")</f>
        <v>0</v>
      </c>
      <c r="N10270" s="8"/>
      <c r="O10270" s="33" t="str">
        <f>IFERROR(VLOOKUP($M10270,'Informations sur les produits'!$A$3:$H$10000,8,FALSE),"0")</f>
        <v>0</v>
      </c>
      <c r="P10270" s="33">
        <f t="shared" si="640"/>
        <v>0</v>
      </c>
      <c r="Q10270" s="31" t="str">
        <f t="shared" si="641"/>
        <v/>
      </c>
      <c r="R10270" s="32" t="str">
        <f>IFERROR(VLOOKUP($D10270,'Informations sur les produits'!$A$3:$B$15000,2,FALSE),"")</f>
        <v/>
      </c>
      <c r="V10270">
        <f t="shared" si="642"/>
        <v>0</v>
      </c>
      <c r="W10270">
        <f t="shared" si="643"/>
        <v>0</v>
      </c>
    </row>
    <row r="10271" spans="5:23" x14ac:dyDescent="0.25">
      <c r="E10271" s="4"/>
      <c r="F10271" s="4"/>
      <c r="G10271" s="33" t="str">
        <f>IFERROR(VLOOKUP($D10271,'Informations sur les produits'!$A$3:$H$10000,8,FALSE),"0")</f>
        <v>0</v>
      </c>
      <c r="K10271" s="4"/>
      <c r="L10271" s="33" t="str">
        <f>IFERROR(VLOOKUP($J10271,'Informations sur les produits'!$A$3:$H$10000,8,FALSE),"0")</f>
        <v>0</v>
      </c>
      <c r="N10271" s="8"/>
      <c r="O10271" s="33" t="str">
        <f>IFERROR(VLOOKUP($M10271,'Informations sur les produits'!$A$3:$H$10000,8,FALSE),"0")</f>
        <v>0</v>
      </c>
      <c r="P10271" s="33">
        <f t="shared" si="640"/>
        <v>0</v>
      </c>
      <c r="Q10271" s="31" t="str">
        <f t="shared" si="641"/>
        <v/>
      </c>
      <c r="R10271" s="32" t="str">
        <f>IFERROR(VLOOKUP($D10271,'Informations sur les produits'!$A$3:$B$15000,2,FALSE),"")</f>
        <v/>
      </c>
      <c r="V10271">
        <f t="shared" si="642"/>
        <v>0</v>
      </c>
      <c r="W10271">
        <f t="shared" si="643"/>
        <v>0</v>
      </c>
    </row>
    <row r="10272" spans="5:23" x14ac:dyDescent="0.25">
      <c r="E10272" s="4"/>
      <c r="F10272" s="4"/>
      <c r="G10272" s="33" t="str">
        <f>IFERROR(VLOOKUP($D10272,'Informations sur les produits'!$A$3:$H$10000,8,FALSE),"0")</f>
        <v>0</v>
      </c>
      <c r="K10272" s="4"/>
      <c r="L10272" s="33" t="str">
        <f>IFERROR(VLOOKUP($J10272,'Informations sur les produits'!$A$3:$H$10000,8,FALSE),"0")</f>
        <v>0</v>
      </c>
      <c r="N10272" s="8"/>
      <c r="O10272" s="33" t="str">
        <f>IFERROR(VLOOKUP($M10272,'Informations sur les produits'!$A$3:$H$10000,8,FALSE),"0")</f>
        <v>0</v>
      </c>
      <c r="P10272" s="33">
        <f t="shared" si="640"/>
        <v>0</v>
      </c>
      <c r="Q10272" s="31" t="str">
        <f t="shared" si="641"/>
        <v/>
      </c>
      <c r="R10272" s="32" t="str">
        <f>IFERROR(VLOOKUP($D10272,'Informations sur les produits'!$A$3:$B$15000,2,FALSE),"")</f>
        <v/>
      </c>
      <c r="V10272">
        <f t="shared" si="642"/>
        <v>0</v>
      </c>
      <c r="W10272">
        <f t="shared" si="643"/>
        <v>0</v>
      </c>
    </row>
    <row r="10273" spans="5:23" x14ac:dyDescent="0.25">
      <c r="E10273" s="4"/>
      <c r="F10273" s="4"/>
      <c r="G10273" s="33" t="str">
        <f>IFERROR(VLOOKUP($D10273,'Informations sur les produits'!$A$3:$H$10000,8,FALSE),"0")</f>
        <v>0</v>
      </c>
      <c r="K10273" s="4"/>
      <c r="L10273" s="33" t="str">
        <f>IFERROR(VLOOKUP($J10273,'Informations sur les produits'!$A$3:$H$10000,8,FALSE),"0")</f>
        <v>0</v>
      </c>
      <c r="N10273" s="8"/>
      <c r="O10273" s="33" t="str">
        <f>IFERROR(VLOOKUP($M10273,'Informations sur les produits'!$A$3:$H$10000,8,FALSE),"0")</f>
        <v>0</v>
      </c>
      <c r="P10273" s="33">
        <f t="shared" si="640"/>
        <v>0</v>
      </c>
      <c r="Q10273" s="31" t="str">
        <f t="shared" si="641"/>
        <v/>
      </c>
      <c r="R10273" s="32" t="str">
        <f>IFERROR(VLOOKUP($D10273,'Informations sur les produits'!$A$3:$B$15000,2,FALSE),"")</f>
        <v/>
      </c>
      <c r="V10273">
        <f t="shared" si="642"/>
        <v>0</v>
      </c>
      <c r="W10273">
        <f t="shared" si="643"/>
        <v>0</v>
      </c>
    </row>
    <row r="10274" spans="5:23" x14ac:dyDescent="0.25">
      <c r="E10274" s="4"/>
      <c r="F10274" s="4"/>
      <c r="G10274" s="33" t="str">
        <f>IFERROR(VLOOKUP($D10274,'Informations sur les produits'!$A$3:$H$10000,8,FALSE),"0")</f>
        <v>0</v>
      </c>
      <c r="K10274" s="4"/>
      <c r="L10274" s="33" t="str">
        <f>IFERROR(VLOOKUP($J10274,'Informations sur les produits'!$A$3:$H$10000,8,FALSE),"0")</f>
        <v>0</v>
      </c>
      <c r="N10274" s="8"/>
      <c r="O10274" s="33" t="str">
        <f>IFERROR(VLOOKUP($M10274,'Informations sur les produits'!$A$3:$H$10000,8,FALSE),"0")</f>
        <v>0</v>
      </c>
      <c r="P10274" s="33">
        <f t="shared" si="640"/>
        <v>0</v>
      </c>
      <c r="Q10274" s="31" t="str">
        <f t="shared" si="641"/>
        <v/>
      </c>
      <c r="R10274" s="32" t="str">
        <f>IFERROR(VLOOKUP($D10274,'Informations sur les produits'!$A$3:$B$15000,2,FALSE),"")</f>
        <v/>
      </c>
      <c r="V10274">
        <f t="shared" si="642"/>
        <v>0</v>
      </c>
      <c r="W10274">
        <f t="shared" si="643"/>
        <v>0</v>
      </c>
    </row>
    <row r="10275" spans="5:23" x14ac:dyDescent="0.25">
      <c r="E10275" s="4"/>
      <c r="F10275" s="4"/>
      <c r="G10275" s="33" t="str">
        <f>IFERROR(VLOOKUP($D10275,'Informations sur les produits'!$A$3:$H$10000,8,FALSE),"0")</f>
        <v>0</v>
      </c>
      <c r="K10275" s="4"/>
      <c r="L10275" s="33" t="str">
        <f>IFERROR(VLOOKUP($J10275,'Informations sur les produits'!$A$3:$H$10000,8,FALSE),"0")</f>
        <v>0</v>
      </c>
      <c r="N10275" s="8"/>
      <c r="O10275" s="33" t="str">
        <f>IFERROR(VLOOKUP($M10275,'Informations sur les produits'!$A$3:$H$10000,8,FALSE),"0")</f>
        <v>0</v>
      </c>
      <c r="P10275" s="33">
        <f t="shared" si="640"/>
        <v>0</v>
      </c>
      <c r="Q10275" s="31" t="str">
        <f t="shared" si="641"/>
        <v/>
      </c>
      <c r="R10275" s="32" t="str">
        <f>IFERROR(VLOOKUP($D10275,'Informations sur les produits'!$A$3:$B$15000,2,FALSE),"")</f>
        <v/>
      </c>
      <c r="V10275">
        <f t="shared" si="642"/>
        <v>0</v>
      </c>
      <c r="W10275">
        <f t="shared" si="643"/>
        <v>0</v>
      </c>
    </row>
    <row r="10276" spans="5:23" x14ac:dyDescent="0.25">
      <c r="E10276" s="4"/>
      <c r="F10276" s="4"/>
      <c r="G10276" s="33" t="str">
        <f>IFERROR(VLOOKUP($D10276,'Informations sur les produits'!$A$3:$H$10000,8,FALSE),"0")</f>
        <v>0</v>
      </c>
      <c r="K10276" s="4"/>
      <c r="L10276" s="33" t="str">
        <f>IFERROR(VLOOKUP($J10276,'Informations sur les produits'!$A$3:$H$10000,8,FALSE),"0")</f>
        <v>0</v>
      </c>
      <c r="N10276" s="8"/>
      <c r="O10276" s="33" t="str">
        <f>IFERROR(VLOOKUP($M10276,'Informations sur les produits'!$A$3:$H$10000,8,FALSE),"0")</f>
        <v>0</v>
      </c>
      <c r="P10276" s="33">
        <f t="shared" si="640"/>
        <v>0</v>
      </c>
      <c r="Q10276" s="31" t="str">
        <f t="shared" si="641"/>
        <v/>
      </c>
      <c r="R10276" s="32" t="str">
        <f>IFERROR(VLOOKUP($D10276,'Informations sur les produits'!$A$3:$B$15000,2,FALSE),"")</f>
        <v/>
      </c>
      <c r="V10276">
        <f t="shared" si="642"/>
        <v>0</v>
      </c>
      <c r="W10276">
        <f t="shared" si="643"/>
        <v>0</v>
      </c>
    </row>
    <row r="10277" spans="5:23" x14ac:dyDescent="0.25">
      <c r="E10277" s="4"/>
      <c r="F10277" s="4"/>
      <c r="G10277" s="33" t="str">
        <f>IFERROR(VLOOKUP($D10277,'Informations sur les produits'!$A$3:$H$10000,8,FALSE),"0")</f>
        <v>0</v>
      </c>
      <c r="K10277" s="4"/>
      <c r="L10277" s="33" t="str">
        <f>IFERROR(VLOOKUP($J10277,'Informations sur les produits'!$A$3:$H$10000,8,FALSE),"0")</f>
        <v>0</v>
      </c>
      <c r="N10277" s="8"/>
      <c r="O10277" s="33" t="str">
        <f>IFERROR(VLOOKUP($M10277,'Informations sur les produits'!$A$3:$H$10000,8,FALSE),"0")</f>
        <v>0</v>
      </c>
      <c r="P10277" s="33">
        <f t="shared" si="640"/>
        <v>0</v>
      </c>
      <c r="Q10277" s="31" t="str">
        <f t="shared" si="641"/>
        <v/>
      </c>
      <c r="R10277" s="32" t="str">
        <f>IFERROR(VLOOKUP($D10277,'Informations sur les produits'!$A$3:$B$15000,2,FALSE),"")</f>
        <v/>
      </c>
      <c r="V10277">
        <f t="shared" si="642"/>
        <v>0</v>
      </c>
      <c r="W10277">
        <f t="shared" si="643"/>
        <v>0</v>
      </c>
    </row>
    <row r="10278" spans="5:23" x14ac:dyDescent="0.25">
      <c r="E10278" s="4"/>
      <c r="F10278" s="4"/>
      <c r="G10278" s="33" t="str">
        <f>IFERROR(VLOOKUP($D10278,'Informations sur les produits'!$A$3:$H$10000,8,FALSE),"0")</f>
        <v>0</v>
      </c>
      <c r="K10278" s="4"/>
      <c r="L10278" s="33" t="str">
        <f>IFERROR(VLOOKUP($J10278,'Informations sur les produits'!$A$3:$H$10000,8,FALSE),"0")</f>
        <v>0</v>
      </c>
      <c r="N10278" s="8"/>
      <c r="O10278" s="33" t="str">
        <f>IFERROR(VLOOKUP($M10278,'Informations sur les produits'!$A$3:$H$10000,8,FALSE),"0")</f>
        <v>0</v>
      </c>
      <c r="P10278" s="33">
        <f t="shared" si="640"/>
        <v>0</v>
      </c>
      <c r="Q10278" s="31" t="str">
        <f t="shared" si="641"/>
        <v/>
      </c>
      <c r="R10278" s="32" t="str">
        <f>IFERROR(VLOOKUP($D10278,'Informations sur les produits'!$A$3:$B$15000,2,FALSE),"")</f>
        <v/>
      </c>
      <c r="V10278">
        <f t="shared" si="642"/>
        <v>0</v>
      </c>
      <c r="W10278">
        <f t="shared" si="643"/>
        <v>0</v>
      </c>
    </row>
    <row r="10279" spans="5:23" x14ac:dyDescent="0.25">
      <c r="E10279" s="4"/>
      <c r="F10279" s="4"/>
      <c r="G10279" s="33" t="str">
        <f>IFERROR(VLOOKUP($D10279,'Informations sur les produits'!$A$3:$H$10000,8,FALSE),"0")</f>
        <v>0</v>
      </c>
      <c r="K10279" s="4"/>
      <c r="L10279" s="33" t="str">
        <f>IFERROR(VLOOKUP($J10279,'Informations sur les produits'!$A$3:$H$10000,8,FALSE),"0")</f>
        <v>0</v>
      </c>
      <c r="N10279" s="8"/>
      <c r="O10279" s="33" t="str">
        <f>IFERROR(VLOOKUP($M10279,'Informations sur les produits'!$A$3:$H$10000,8,FALSE),"0")</f>
        <v>0</v>
      </c>
      <c r="P10279" s="33">
        <f t="shared" si="640"/>
        <v>0</v>
      </c>
      <c r="Q10279" s="31" t="str">
        <f t="shared" si="641"/>
        <v/>
      </c>
      <c r="R10279" s="32" t="str">
        <f>IFERROR(VLOOKUP($D10279,'Informations sur les produits'!$A$3:$B$15000,2,FALSE),"")</f>
        <v/>
      </c>
      <c r="V10279">
        <f t="shared" si="642"/>
        <v>0</v>
      </c>
      <c r="W10279">
        <f t="shared" si="643"/>
        <v>0</v>
      </c>
    </row>
    <row r="10280" spans="5:23" x14ac:dyDescent="0.25">
      <c r="E10280" s="4"/>
      <c r="F10280" s="4"/>
      <c r="G10280" s="33" t="str">
        <f>IFERROR(VLOOKUP($D10280,'Informations sur les produits'!$A$3:$H$10000,8,FALSE),"0")</f>
        <v>0</v>
      </c>
      <c r="K10280" s="4"/>
      <c r="L10280" s="33" t="str">
        <f>IFERROR(VLOOKUP($J10280,'Informations sur les produits'!$A$3:$H$10000,8,FALSE),"0")</f>
        <v>0</v>
      </c>
      <c r="N10280" s="8"/>
      <c r="O10280" s="33" t="str">
        <f>IFERROR(VLOOKUP($M10280,'Informations sur les produits'!$A$3:$H$10000,8,FALSE),"0")</f>
        <v>0</v>
      </c>
      <c r="P10280" s="33">
        <f t="shared" si="640"/>
        <v>0</v>
      </c>
      <c r="Q10280" s="31" t="str">
        <f t="shared" si="641"/>
        <v/>
      </c>
      <c r="R10280" s="32" t="str">
        <f>IFERROR(VLOOKUP($D10280,'Informations sur les produits'!$A$3:$B$15000,2,FALSE),"")</f>
        <v/>
      </c>
      <c r="V10280">
        <f t="shared" si="642"/>
        <v>0</v>
      </c>
      <c r="W10280">
        <f t="shared" si="643"/>
        <v>0</v>
      </c>
    </row>
    <row r="10281" spans="5:23" x14ac:dyDescent="0.25">
      <c r="E10281" s="4"/>
      <c r="F10281" s="4"/>
      <c r="G10281" s="33" t="str">
        <f>IFERROR(VLOOKUP($D10281,'Informations sur les produits'!$A$3:$H$10000,8,FALSE),"0")</f>
        <v>0</v>
      </c>
      <c r="K10281" s="4"/>
      <c r="L10281" s="33" t="str">
        <f>IFERROR(VLOOKUP($J10281,'Informations sur les produits'!$A$3:$H$10000,8,FALSE),"0")</f>
        <v>0</v>
      </c>
      <c r="N10281" s="8"/>
      <c r="O10281" s="33" t="str">
        <f>IFERROR(VLOOKUP($M10281,'Informations sur les produits'!$A$3:$H$10000,8,FALSE),"0")</f>
        <v>0</v>
      </c>
      <c r="P10281" s="33">
        <f t="shared" si="640"/>
        <v>0</v>
      </c>
      <c r="Q10281" s="31" t="str">
        <f t="shared" si="641"/>
        <v/>
      </c>
      <c r="R10281" s="32" t="str">
        <f>IFERROR(VLOOKUP($D10281,'Informations sur les produits'!$A$3:$B$15000,2,FALSE),"")</f>
        <v/>
      </c>
      <c r="V10281">
        <f t="shared" si="642"/>
        <v>0</v>
      </c>
      <c r="W10281">
        <f t="shared" si="643"/>
        <v>0</v>
      </c>
    </row>
    <row r="10282" spans="5:23" x14ac:dyDescent="0.25">
      <c r="E10282" s="4"/>
      <c r="F10282" s="4"/>
      <c r="G10282" s="33" t="str">
        <f>IFERROR(VLOOKUP($D10282,'Informations sur les produits'!$A$3:$H$10000,8,FALSE),"0")</f>
        <v>0</v>
      </c>
      <c r="K10282" s="4"/>
      <c r="L10282" s="33" t="str">
        <f>IFERROR(VLOOKUP($J10282,'Informations sur les produits'!$A$3:$H$10000,8,FALSE),"0")</f>
        <v>0</v>
      </c>
      <c r="N10282" s="8"/>
      <c r="O10282" s="33" t="str">
        <f>IFERROR(VLOOKUP($M10282,'Informations sur les produits'!$A$3:$H$10000,8,FALSE),"0")</f>
        <v>0</v>
      </c>
      <c r="P10282" s="33">
        <f t="shared" si="640"/>
        <v>0</v>
      </c>
      <c r="Q10282" s="31" t="str">
        <f t="shared" si="641"/>
        <v/>
      </c>
      <c r="R10282" s="32" t="str">
        <f>IFERROR(VLOOKUP($D10282,'Informations sur les produits'!$A$3:$B$15000,2,FALSE),"")</f>
        <v/>
      </c>
      <c r="V10282">
        <f t="shared" si="642"/>
        <v>0</v>
      </c>
      <c r="W10282">
        <f t="shared" si="643"/>
        <v>0</v>
      </c>
    </row>
    <row r="10283" spans="5:23" x14ac:dyDescent="0.25">
      <c r="E10283" s="4"/>
      <c r="F10283" s="4"/>
      <c r="G10283" s="33" t="str">
        <f>IFERROR(VLOOKUP($D10283,'Informations sur les produits'!$A$3:$H$10000,8,FALSE),"0")</f>
        <v>0</v>
      </c>
      <c r="K10283" s="4"/>
      <c r="L10283" s="33" t="str">
        <f>IFERROR(VLOOKUP($J10283,'Informations sur les produits'!$A$3:$H$10000,8,FALSE),"0")</f>
        <v>0</v>
      </c>
      <c r="N10283" s="8"/>
      <c r="O10283" s="33" t="str">
        <f>IFERROR(VLOOKUP($M10283,'Informations sur les produits'!$A$3:$H$10000,8,FALSE),"0")</f>
        <v>0</v>
      </c>
      <c r="P10283" s="33">
        <f t="shared" si="640"/>
        <v>0</v>
      </c>
      <c r="Q10283" s="31" t="str">
        <f t="shared" si="641"/>
        <v/>
      </c>
      <c r="R10283" s="32" t="str">
        <f>IFERROR(VLOOKUP($D10283,'Informations sur les produits'!$A$3:$B$15000,2,FALSE),"")</f>
        <v/>
      </c>
      <c r="V10283">
        <f t="shared" si="642"/>
        <v>0</v>
      </c>
      <c r="W10283">
        <f t="shared" si="643"/>
        <v>0</v>
      </c>
    </row>
    <row r="10284" spans="5:23" x14ac:dyDescent="0.25">
      <c r="E10284" s="4"/>
      <c r="F10284" s="4"/>
      <c r="G10284" s="33" t="str">
        <f>IFERROR(VLOOKUP($D10284,'Informations sur les produits'!$A$3:$H$10000,8,FALSE),"0")</f>
        <v>0</v>
      </c>
      <c r="K10284" s="4"/>
      <c r="L10284" s="33" t="str">
        <f>IFERROR(VLOOKUP($J10284,'Informations sur les produits'!$A$3:$H$10000,8,FALSE),"0")</f>
        <v>0</v>
      </c>
      <c r="N10284" s="8"/>
      <c r="O10284" s="33" t="str">
        <f>IFERROR(VLOOKUP($M10284,'Informations sur les produits'!$A$3:$H$10000,8,FALSE),"0")</f>
        <v>0</v>
      </c>
      <c r="P10284" s="33">
        <f t="shared" si="640"/>
        <v>0</v>
      </c>
      <c r="Q10284" s="31" t="str">
        <f t="shared" si="641"/>
        <v/>
      </c>
      <c r="R10284" s="32" t="str">
        <f>IFERROR(VLOOKUP($D10284,'Informations sur les produits'!$A$3:$B$15000,2,FALSE),"")</f>
        <v/>
      </c>
      <c r="V10284">
        <f t="shared" si="642"/>
        <v>0</v>
      </c>
      <c r="W10284">
        <f t="shared" si="643"/>
        <v>0</v>
      </c>
    </row>
    <row r="10285" spans="5:23" x14ac:dyDescent="0.25">
      <c r="E10285" s="4"/>
      <c r="F10285" s="4"/>
      <c r="G10285" s="33" t="str">
        <f>IFERROR(VLOOKUP($D10285,'Informations sur les produits'!$A$3:$H$10000,8,FALSE),"0")</f>
        <v>0</v>
      </c>
      <c r="K10285" s="4"/>
      <c r="L10285" s="33" t="str">
        <f>IFERROR(VLOOKUP($J10285,'Informations sur les produits'!$A$3:$H$10000,8,FALSE),"0")</f>
        <v>0</v>
      </c>
      <c r="N10285" s="8"/>
      <c r="O10285" s="33" t="str">
        <f>IFERROR(VLOOKUP($M10285,'Informations sur les produits'!$A$3:$H$10000,8,FALSE),"0")</f>
        <v>0</v>
      </c>
      <c r="P10285" s="33">
        <f t="shared" si="640"/>
        <v>0</v>
      </c>
      <c r="Q10285" s="31" t="str">
        <f t="shared" si="641"/>
        <v/>
      </c>
      <c r="R10285" s="32" t="str">
        <f>IFERROR(VLOOKUP($D10285,'Informations sur les produits'!$A$3:$B$15000,2,FALSE),"")</f>
        <v/>
      </c>
      <c r="V10285">
        <f t="shared" si="642"/>
        <v>0</v>
      </c>
      <c r="W10285">
        <f t="shared" si="643"/>
        <v>0</v>
      </c>
    </row>
    <row r="10286" spans="5:23" x14ac:dyDescent="0.25">
      <c r="E10286" s="4"/>
      <c r="F10286" s="4"/>
      <c r="G10286" s="33" t="str">
        <f>IFERROR(VLOOKUP($D10286,'Informations sur les produits'!$A$3:$H$10000,8,FALSE),"0")</f>
        <v>0</v>
      </c>
      <c r="K10286" s="4"/>
      <c r="L10286" s="33" t="str">
        <f>IFERROR(VLOOKUP($J10286,'Informations sur les produits'!$A$3:$H$10000,8,FALSE),"0")</f>
        <v>0</v>
      </c>
      <c r="N10286" s="8"/>
      <c r="O10286" s="33" t="str">
        <f>IFERROR(VLOOKUP($M10286,'Informations sur les produits'!$A$3:$H$10000,8,FALSE),"0")</f>
        <v>0</v>
      </c>
      <c r="P10286" s="33">
        <f t="shared" si="640"/>
        <v>0</v>
      </c>
      <c r="Q10286" s="31" t="str">
        <f t="shared" si="641"/>
        <v/>
      </c>
      <c r="R10286" s="32" t="str">
        <f>IFERROR(VLOOKUP($D10286,'Informations sur les produits'!$A$3:$B$15000,2,FALSE),"")</f>
        <v/>
      </c>
      <c r="V10286">
        <f t="shared" si="642"/>
        <v>0</v>
      </c>
      <c r="W10286">
        <f t="shared" si="643"/>
        <v>0</v>
      </c>
    </row>
    <row r="10287" spans="5:23" x14ac:dyDescent="0.25">
      <c r="E10287" s="4"/>
      <c r="F10287" s="4"/>
      <c r="G10287" s="33" t="str">
        <f>IFERROR(VLOOKUP($D10287,'Informations sur les produits'!$A$3:$H$10000,8,FALSE),"0")</f>
        <v>0</v>
      </c>
      <c r="K10287" s="4"/>
      <c r="L10287" s="33" t="str">
        <f>IFERROR(VLOOKUP($J10287,'Informations sur les produits'!$A$3:$H$10000,8,FALSE),"0")</f>
        <v>0</v>
      </c>
      <c r="N10287" s="8"/>
      <c r="O10287" s="33" t="str">
        <f>IFERROR(VLOOKUP($M10287,'Informations sur les produits'!$A$3:$H$10000,8,FALSE),"0")</f>
        <v>0</v>
      </c>
      <c r="P10287" s="33">
        <f t="shared" si="640"/>
        <v>0</v>
      </c>
      <c r="Q10287" s="31" t="str">
        <f t="shared" si="641"/>
        <v/>
      </c>
      <c r="R10287" s="32" t="str">
        <f>IFERROR(VLOOKUP($D10287,'Informations sur les produits'!$A$3:$B$15000,2,FALSE),"")</f>
        <v/>
      </c>
      <c r="V10287">
        <f t="shared" si="642"/>
        <v>0</v>
      </c>
      <c r="W10287">
        <f t="shared" si="643"/>
        <v>0</v>
      </c>
    </row>
    <row r="10288" spans="5:23" x14ac:dyDescent="0.25">
      <c r="E10288" s="4"/>
      <c r="F10288" s="4"/>
      <c r="G10288" s="33" t="str">
        <f>IFERROR(VLOOKUP($D10288,'Informations sur les produits'!$A$3:$H$10000,8,FALSE),"0")</f>
        <v>0</v>
      </c>
      <c r="K10288" s="4"/>
      <c r="L10288" s="33" t="str">
        <f>IFERROR(VLOOKUP($J10288,'Informations sur les produits'!$A$3:$H$10000,8,FALSE),"0")</f>
        <v>0</v>
      </c>
      <c r="N10288" s="8"/>
      <c r="O10288" s="33" t="str">
        <f>IFERROR(VLOOKUP($M10288,'Informations sur les produits'!$A$3:$H$10000,8,FALSE),"0")</f>
        <v>0</v>
      </c>
      <c r="P10288" s="33">
        <f t="shared" si="640"/>
        <v>0</v>
      </c>
      <c r="Q10288" s="31" t="str">
        <f t="shared" si="641"/>
        <v/>
      </c>
      <c r="R10288" s="32" t="str">
        <f>IFERROR(VLOOKUP($D10288,'Informations sur les produits'!$A$3:$B$15000,2,FALSE),"")</f>
        <v/>
      </c>
      <c r="V10288">
        <f t="shared" si="642"/>
        <v>0</v>
      </c>
      <c r="W10288">
        <f t="shared" si="643"/>
        <v>0</v>
      </c>
    </row>
    <row r="10289" spans="5:23" x14ac:dyDescent="0.25">
      <c r="E10289" s="4"/>
      <c r="F10289" s="4"/>
      <c r="G10289" s="33" t="str">
        <f>IFERROR(VLOOKUP($D10289,'Informations sur les produits'!$A$3:$H$10000,8,FALSE),"0")</f>
        <v>0</v>
      </c>
      <c r="K10289" s="4"/>
      <c r="L10289" s="33" t="str">
        <f>IFERROR(VLOOKUP($J10289,'Informations sur les produits'!$A$3:$H$10000,8,FALSE),"0")</f>
        <v>0</v>
      </c>
      <c r="N10289" s="8"/>
      <c r="O10289" s="33" t="str">
        <f>IFERROR(VLOOKUP($M10289,'Informations sur les produits'!$A$3:$H$10000,8,FALSE),"0")</f>
        <v>0</v>
      </c>
      <c r="P10289" s="33">
        <f t="shared" si="640"/>
        <v>0</v>
      </c>
      <c r="Q10289" s="31" t="str">
        <f t="shared" si="641"/>
        <v/>
      </c>
      <c r="R10289" s="32" t="str">
        <f>IFERROR(VLOOKUP($D10289,'Informations sur les produits'!$A$3:$B$15000,2,FALSE),"")</f>
        <v/>
      </c>
      <c r="V10289">
        <f t="shared" si="642"/>
        <v>0</v>
      </c>
      <c r="W10289">
        <f t="shared" si="643"/>
        <v>0</v>
      </c>
    </row>
    <row r="10290" spans="5:23" x14ac:dyDescent="0.25">
      <c r="E10290" s="4"/>
      <c r="F10290" s="4"/>
      <c r="G10290" s="33" t="str">
        <f>IFERROR(VLOOKUP($D10290,'Informations sur les produits'!$A$3:$H$10000,8,FALSE),"0")</f>
        <v>0</v>
      </c>
      <c r="K10290" s="4"/>
      <c r="L10290" s="33" t="str">
        <f>IFERROR(VLOOKUP($J10290,'Informations sur les produits'!$A$3:$H$10000,8,FALSE),"0")</f>
        <v>0</v>
      </c>
      <c r="N10290" s="8"/>
      <c r="O10290" s="33" t="str">
        <f>IFERROR(VLOOKUP($M10290,'Informations sur les produits'!$A$3:$H$10000,8,FALSE),"0")</f>
        <v>0</v>
      </c>
      <c r="P10290" s="33">
        <f t="shared" si="640"/>
        <v>0</v>
      </c>
      <c r="Q10290" s="31" t="str">
        <f t="shared" si="641"/>
        <v/>
      </c>
      <c r="R10290" s="32" t="str">
        <f>IFERROR(VLOOKUP($D10290,'Informations sur les produits'!$A$3:$B$15000,2,FALSE),"")</f>
        <v/>
      </c>
      <c r="V10290">
        <f t="shared" si="642"/>
        <v>0</v>
      </c>
      <c r="W10290">
        <f t="shared" si="643"/>
        <v>0</v>
      </c>
    </row>
    <row r="10291" spans="5:23" x14ac:dyDescent="0.25">
      <c r="E10291" s="4"/>
      <c r="F10291" s="4"/>
      <c r="G10291" s="33" t="str">
        <f>IFERROR(VLOOKUP($D10291,'Informations sur les produits'!$A$3:$H$10000,8,FALSE),"0")</f>
        <v>0</v>
      </c>
      <c r="K10291" s="4"/>
      <c r="L10291" s="33" t="str">
        <f>IFERROR(VLOOKUP($J10291,'Informations sur les produits'!$A$3:$H$10000,8,FALSE),"0")</f>
        <v>0</v>
      </c>
      <c r="N10291" s="8"/>
      <c r="O10291" s="33" t="str">
        <f>IFERROR(VLOOKUP($M10291,'Informations sur les produits'!$A$3:$H$10000,8,FALSE),"0")</f>
        <v>0</v>
      </c>
      <c r="P10291" s="33">
        <f t="shared" si="640"/>
        <v>0</v>
      </c>
      <c r="Q10291" s="31" t="str">
        <f t="shared" si="641"/>
        <v/>
      </c>
      <c r="R10291" s="32" t="str">
        <f>IFERROR(VLOOKUP($D10291,'Informations sur les produits'!$A$3:$B$15000,2,FALSE),"")</f>
        <v/>
      </c>
      <c r="V10291">
        <f t="shared" si="642"/>
        <v>0</v>
      </c>
      <c r="W10291">
        <f t="shared" si="643"/>
        <v>0</v>
      </c>
    </row>
    <row r="10292" spans="5:23" x14ac:dyDescent="0.25">
      <c r="E10292" s="4"/>
      <c r="F10292" s="4"/>
      <c r="G10292" s="33" t="str">
        <f>IFERROR(VLOOKUP($D10292,'Informations sur les produits'!$A$3:$H$10000,8,FALSE),"0")</f>
        <v>0</v>
      </c>
      <c r="K10292" s="4"/>
      <c r="L10292" s="33" t="str">
        <f>IFERROR(VLOOKUP($J10292,'Informations sur les produits'!$A$3:$H$10000,8,FALSE),"0")</f>
        <v>0</v>
      </c>
      <c r="N10292" s="8"/>
      <c r="O10292" s="33" t="str">
        <f>IFERROR(VLOOKUP($M10292,'Informations sur les produits'!$A$3:$H$10000,8,FALSE),"0")</f>
        <v>0</v>
      </c>
      <c r="P10292" s="33">
        <f t="shared" si="640"/>
        <v>0</v>
      </c>
      <c r="Q10292" s="31" t="str">
        <f t="shared" si="641"/>
        <v/>
      </c>
      <c r="R10292" s="32" t="str">
        <f>IFERROR(VLOOKUP($D10292,'Informations sur les produits'!$A$3:$B$15000,2,FALSE),"")</f>
        <v/>
      </c>
      <c r="V10292">
        <f t="shared" si="642"/>
        <v>0</v>
      </c>
      <c r="W10292">
        <f t="shared" si="643"/>
        <v>0</v>
      </c>
    </row>
    <row r="10293" spans="5:23" x14ac:dyDescent="0.25">
      <c r="E10293" s="4"/>
      <c r="F10293" s="4"/>
      <c r="G10293" s="33" t="str">
        <f>IFERROR(VLOOKUP($D10293,'Informations sur les produits'!$A$3:$H$10000,8,FALSE),"0")</f>
        <v>0</v>
      </c>
      <c r="K10293" s="4"/>
      <c r="L10293" s="33" t="str">
        <f>IFERROR(VLOOKUP($J10293,'Informations sur les produits'!$A$3:$H$10000,8,FALSE),"0")</f>
        <v>0</v>
      </c>
      <c r="N10293" s="8"/>
      <c r="O10293" s="33" t="str">
        <f>IFERROR(VLOOKUP($M10293,'Informations sur les produits'!$A$3:$H$10000,8,FALSE),"0")</f>
        <v>0</v>
      </c>
      <c r="P10293" s="33">
        <f t="shared" si="640"/>
        <v>0</v>
      </c>
      <c r="Q10293" s="31" t="str">
        <f t="shared" si="641"/>
        <v/>
      </c>
      <c r="R10293" s="32" t="str">
        <f>IFERROR(VLOOKUP($D10293,'Informations sur les produits'!$A$3:$B$15000,2,FALSE),"")</f>
        <v/>
      </c>
      <c r="V10293">
        <f t="shared" si="642"/>
        <v>0</v>
      </c>
      <c r="W10293">
        <f t="shared" si="643"/>
        <v>0</v>
      </c>
    </row>
    <row r="10294" spans="5:23" x14ac:dyDescent="0.25">
      <c r="E10294" s="4"/>
      <c r="F10294" s="4"/>
      <c r="G10294" s="33" t="str">
        <f>IFERROR(VLOOKUP($D10294,'Informations sur les produits'!$A$3:$H$10000,8,FALSE),"0")</f>
        <v>0</v>
      </c>
      <c r="K10294" s="4"/>
      <c r="L10294" s="33" t="str">
        <f>IFERROR(VLOOKUP($J10294,'Informations sur les produits'!$A$3:$H$10000,8,FALSE),"0")</f>
        <v>0</v>
      </c>
      <c r="N10294" s="8"/>
      <c r="O10294" s="33" t="str">
        <f>IFERROR(VLOOKUP($M10294,'Informations sur les produits'!$A$3:$H$10000,8,FALSE),"0")</f>
        <v>0</v>
      </c>
      <c r="P10294" s="33">
        <f t="shared" si="640"/>
        <v>0</v>
      </c>
      <c r="Q10294" s="31" t="str">
        <f t="shared" si="641"/>
        <v/>
      </c>
      <c r="R10294" s="32" t="str">
        <f>IFERROR(VLOOKUP($D10294,'Informations sur les produits'!$A$3:$B$15000,2,FALSE),"")</f>
        <v/>
      </c>
      <c r="V10294">
        <f t="shared" si="642"/>
        <v>0</v>
      </c>
      <c r="W10294">
        <f t="shared" si="643"/>
        <v>0</v>
      </c>
    </row>
    <row r="10295" spans="5:23" x14ac:dyDescent="0.25">
      <c r="E10295" s="4"/>
      <c r="F10295" s="4"/>
      <c r="G10295" s="33" t="str">
        <f>IFERROR(VLOOKUP($D10295,'Informations sur les produits'!$A$3:$H$10000,8,FALSE),"0")</f>
        <v>0</v>
      </c>
      <c r="K10295" s="4"/>
      <c r="L10295" s="33" t="str">
        <f>IFERROR(VLOOKUP($J10295,'Informations sur les produits'!$A$3:$H$10000,8,FALSE),"0")</f>
        <v>0</v>
      </c>
      <c r="N10295" s="8"/>
      <c r="O10295" s="33" t="str">
        <f>IFERROR(VLOOKUP($M10295,'Informations sur les produits'!$A$3:$H$10000,8,FALSE),"0")</f>
        <v>0</v>
      </c>
      <c r="P10295" s="33">
        <f t="shared" si="640"/>
        <v>0</v>
      </c>
      <c r="Q10295" s="31" t="str">
        <f t="shared" si="641"/>
        <v/>
      </c>
      <c r="R10295" s="32" t="str">
        <f>IFERROR(VLOOKUP($D10295,'Informations sur les produits'!$A$3:$B$15000,2,FALSE),"")</f>
        <v/>
      </c>
      <c r="V10295">
        <f t="shared" si="642"/>
        <v>0</v>
      </c>
      <c r="W10295">
        <f t="shared" si="643"/>
        <v>0</v>
      </c>
    </row>
    <row r="10296" spans="5:23" x14ac:dyDescent="0.25">
      <c r="E10296" s="4"/>
      <c r="F10296" s="4"/>
      <c r="G10296" s="33" t="str">
        <f>IFERROR(VLOOKUP($D10296,'Informations sur les produits'!$A$3:$H$10000,8,FALSE),"0")</f>
        <v>0</v>
      </c>
      <c r="K10296" s="4"/>
      <c r="L10296" s="33" t="str">
        <f>IFERROR(VLOOKUP($J10296,'Informations sur les produits'!$A$3:$H$10000,8,FALSE),"0")</f>
        <v>0</v>
      </c>
      <c r="N10296" s="8"/>
      <c r="O10296" s="33" t="str">
        <f>IFERROR(VLOOKUP($M10296,'Informations sur les produits'!$A$3:$H$10000,8,FALSE),"0")</f>
        <v>0</v>
      </c>
      <c r="P10296" s="33">
        <f t="shared" si="640"/>
        <v>0</v>
      </c>
      <c r="Q10296" s="31" t="str">
        <f t="shared" si="641"/>
        <v/>
      </c>
      <c r="R10296" s="32" t="str">
        <f>IFERROR(VLOOKUP($D10296,'Informations sur les produits'!$A$3:$B$15000,2,FALSE),"")</f>
        <v/>
      </c>
      <c r="V10296">
        <f t="shared" si="642"/>
        <v>0</v>
      </c>
      <c r="W10296">
        <f t="shared" si="643"/>
        <v>0</v>
      </c>
    </row>
    <row r="10297" spans="5:23" x14ac:dyDescent="0.25">
      <c r="E10297" s="4"/>
      <c r="F10297" s="4"/>
      <c r="G10297" s="33" t="str">
        <f>IFERROR(VLOOKUP($D10297,'Informations sur les produits'!$A$3:$H$10000,8,FALSE),"0")</f>
        <v>0</v>
      </c>
      <c r="K10297" s="4"/>
      <c r="L10297" s="33" t="str">
        <f>IFERROR(VLOOKUP($J10297,'Informations sur les produits'!$A$3:$H$10000,8,FALSE),"0")</f>
        <v>0</v>
      </c>
      <c r="N10297" s="8"/>
      <c r="O10297" s="33" t="str">
        <f>IFERROR(VLOOKUP($M10297,'Informations sur les produits'!$A$3:$H$10000,8,FALSE),"0")</f>
        <v>0</v>
      </c>
      <c r="P10297" s="33">
        <f t="shared" si="640"/>
        <v>0</v>
      </c>
      <c r="Q10297" s="31" t="str">
        <f t="shared" si="641"/>
        <v/>
      </c>
      <c r="R10297" s="32" t="str">
        <f>IFERROR(VLOOKUP($D10297,'Informations sur les produits'!$A$3:$B$15000,2,FALSE),"")</f>
        <v/>
      </c>
      <c r="V10297">
        <f t="shared" si="642"/>
        <v>0</v>
      </c>
      <c r="W10297">
        <f t="shared" si="643"/>
        <v>0</v>
      </c>
    </row>
    <row r="10298" spans="5:23" x14ac:dyDescent="0.25">
      <c r="E10298" s="4"/>
      <c r="F10298" s="4"/>
      <c r="G10298" s="33" t="str">
        <f>IFERROR(VLOOKUP($D10298,'Informations sur les produits'!$A$3:$H$10000,8,FALSE),"0")</f>
        <v>0</v>
      </c>
      <c r="K10298" s="4"/>
      <c r="L10298" s="33" t="str">
        <f>IFERROR(VLOOKUP($J10298,'Informations sur les produits'!$A$3:$H$10000,8,FALSE),"0")</f>
        <v>0</v>
      </c>
      <c r="N10298" s="8"/>
      <c r="O10298" s="33" t="str">
        <f>IFERROR(VLOOKUP($M10298,'Informations sur les produits'!$A$3:$H$10000,8,FALSE),"0")</f>
        <v>0</v>
      </c>
      <c r="P10298" s="33">
        <f t="shared" si="640"/>
        <v>0</v>
      </c>
      <c r="Q10298" s="31" t="str">
        <f t="shared" si="641"/>
        <v/>
      </c>
      <c r="R10298" s="32" t="str">
        <f>IFERROR(VLOOKUP($D10298,'Informations sur les produits'!$A$3:$B$15000,2,FALSE),"")</f>
        <v/>
      </c>
      <c r="V10298">
        <f t="shared" si="642"/>
        <v>0</v>
      </c>
      <c r="W10298">
        <f t="shared" si="643"/>
        <v>0</v>
      </c>
    </row>
    <row r="10299" spans="5:23" x14ac:dyDescent="0.25">
      <c r="E10299" s="4"/>
      <c r="F10299" s="4"/>
      <c r="G10299" s="33" t="str">
        <f>IFERROR(VLOOKUP($D10299,'Informations sur les produits'!$A$3:$H$10000,8,FALSE),"0")</f>
        <v>0</v>
      </c>
      <c r="K10299" s="4"/>
      <c r="L10299" s="33" t="str">
        <f>IFERROR(VLOOKUP($J10299,'Informations sur les produits'!$A$3:$H$10000,8,FALSE),"0")</f>
        <v>0</v>
      </c>
      <c r="N10299" s="8"/>
      <c r="O10299" s="33" t="str">
        <f>IFERROR(VLOOKUP($M10299,'Informations sur les produits'!$A$3:$H$10000,8,FALSE),"0")</f>
        <v>0</v>
      </c>
      <c r="P10299" s="33">
        <f t="shared" si="640"/>
        <v>0</v>
      </c>
      <c r="Q10299" s="31" t="str">
        <f t="shared" si="641"/>
        <v/>
      </c>
      <c r="R10299" s="32" t="str">
        <f>IFERROR(VLOOKUP($D10299,'Informations sur les produits'!$A$3:$B$15000,2,FALSE),"")</f>
        <v/>
      </c>
      <c r="V10299">
        <f t="shared" si="642"/>
        <v>0</v>
      </c>
      <c r="W10299">
        <f t="shared" si="643"/>
        <v>0</v>
      </c>
    </row>
    <row r="10300" spans="5:23" x14ac:dyDescent="0.25">
      <c r="E10300" s="4"/>
      <c r="F10300" s="4"/>
      <c r="G10300" s="33" t="str">
        <f>IFERROR(VLOOKUP($D10300,'Informations sur les produits'!$A$3:$H$10000,8,FALSE),"0")</f>
        <v>0</v>
      </c>
      <c r="K10300" s="4"/>
      <c r="L10300" s="33" t="str">
        <f>IFERROR(VLOOKUP($J10300,'Informations sur les produits'!$A$3:$H$10000,8,FALSE),"0")</f>
        <v>0</v>
      </c>
      <c r="N10300" s="8"/>
      <c r="O10300" s="33" t="str">
        <f>IFERROR(VLOOKUP($M10300,'Informations sur les produits'!$A$3:$H$10000,8,FALSE),"0")</f>
        <v>0</v>
      </c>
      <c r="P10300" s="33">
        <f t="shared" si="640"/>
        <v>0</v>
      </c>
      <c r="Q10300" s="31" t="str">
        <f t="shared" si="641"/>
        <v/>
      </c>
      <c r="R10300" s="32" t="str">
        <f>IFERROR(VLOOKUP($D10300,'Informations sur les produits'!$A$3:$B$15000,2,FALSE),"")</f>
        <v/>
      </c>
      <c r="V10300">
        <f t="shared" si="642"/>
        <v>0</v>
      </c>
      <c r="W10300">
        <f t="shared" si="643"/>
        <v>0</v>
      </c>
    </row>
    <row r="10301" spans="5:23" x14ac:dyDescent="0.25">
      <c r="E10301" s="4"/>
      <c r="F10301" s="4"/>
      <c r="G10301" s="33" t="str">
        <f>IFERROR(VLOOKUP($D10301,'Informations sur les produits'!$A$3:$H$10000,8,FALSE),"0")</f>
        <v>0</v>
      </c>
      <c r="K10301" s="4"/>
      <c r="L10301" s="33" t="str">
        <f>IFERROR(VLOOKUP($J10301,'Informations sur les produits'!$A$3:$H$10000,8,FALSE),"0")</f>
        <v>0</v>
      </c>
      <c r="N10301" s="8"/>
      <c r="O10301" s="33" t="str">
        <f>IFERROR(VLOOKUP($M10301,'Informations sur les produits'!$A$3:$H$10000,8,FALSE),"0")</f>
        <v>0</v>
      </c>
      <c r="P10301" s="33">
        <f t="shared" si="640"/>
        <v>0</v>
      </c>
      <c r="Q10301" s="31" t="str">
        <f t="shared" si="641"/>
        <v/>
      </c>
      <c r="R10301" s="32" t="str">
        <f>IFERROR(VLOOKUP($D10301,'Informations sur les produits'!$A$3:$B$15000,2,FALSE),"")</f>
        <v/>
      </c>
      <c r="V10301">
        <f t="shared" si="642"/>
        <v>0</v>
      </c>
      <c r="W10301">
        <f t="shared" si="643"/>
        <v>0</v>
      </c>
    </row>
    <row r="10302" spans="5:23" x14ac:dyDescent="0.25">
      <c r="E10302" s="4"/>
      <c r="F10302" s="4"/>
      <c r="G10302" s="33" t="str">
        <f>IFERROR(VLOOKUP($D10302,'Informations sur les produits'!$A$3:$H$10000,8,FALSE),"0")</f>
        <v>0</v>
      </c>
      <c r="K10302" s="4"/>
      <c r="L10302" s="33" t="str">
        <f>IFERROR(VLOOKUP($J10302,'Informations sur les produits'!$A$3:$H$10000,8,FALSE),"0")</f>
        <v>0</v>
      </c>
      <c r="N10302" s="8"/>
      <c r="O10302" s="33" t="str">
        <f>IFERROR(VLOOKUP($M10302,'Informations sur les produits'!$A$3:$H$10000,8,FALSE),"0")</f>
        <v>0</v>
      </c>
      <c r="P10302" s="33">
        <f t="shared" si="640"/>
        <v>0</v>
      </c>
      <c r="Q10302" s="31" t="str">
        <f t="shared" si="641"/>
        <v/>
      </c>
      <c r="R10302" s="32" t="str">
        <f>IFERROR(VLOOKUP($D10302,'Informations sur les produits'!$A$3:$B$15000,2,FALSE),"")</f>
        <v/>
      </c>
      <c r="V10302">
        <f t="shared" si="642"/>
        <v>0</v>
      </c>
      <c r="W10302">
        <f t="shared" si="643"/>
        <v>0</v>
      </c>
    </row>
    <row r="10303" spans="5:23" x14ac:dyDescent="0.25">
      <c r="E10303" s="4"/>
      <c r="F10303" s="4"/>
      <c r="G10303" s="33" t="str">
        <f>IFERROR(VLOOKUP($D10303,'Informations sur les produits'!$A$3:$H$10000,8,FALSE),"0")</f>
        <v>0</v>
      </c>
      <c r="K10303" s="4"/>
      <c r="L10303" s="33" t="str">
        <f>IFERROR(VLOOKUP($J10303,'Informations sur les produits'!$A$3:$H$10000,8,FALSE),"0")</f>
        <v>0</v>
      </c>
      <c r="N10303" s="8"/>
      <c r="O10303" s="33" t="str">
        <f>IFERROR(VLOOKUP($M10303,'Informations sur les produits'!$A$3:$H$10000,8,FALSE),"0")</f>
        <v>0</v>
      </c>
      <c r="P10303" s="33">
        <f t="shared" si="640"/>
        <v>0</v>
      </c>
      <c r="Q10303" s="31" t="str">
        <f t="shared" si="641"/>
        <v/>
      </c>
      <c r="R10303" s="32" t="str">
        <f>IFERROR(VLOOKUP($D10303,'Informations sur les produits'!$A$3:$B$15000,2,FALSE),"")</f>
        <v/>
      </c>
      <c r="V10303">
        <f t="shared" si="642"/>
        <v>0</v>
      </c>
      <c r="W10303">
        <f t="shared" si="643"/>
        <v>0</v>
      </c>
    </row>
    <row r="10304" spans="5:23" x14ac:dyDescent="0.25">
      <c r="E10304" s="4"/>
      <c r="F10304" s="4"/>
      <c r="G10304" s="33" t="str">
        <f>IFERROR(VLOOKUP($D10304,'Informations sur les produits'!$A$3:$H$10000,8,FALSE),"0")</f>
        <v>0</v>
      </c>
      <c r="K10304" s="4"/>
      <c r="L10304" s="33" t="str">
        <f>IFERROR(VLOOKUP($J10304,'Informations sur les produits'!$A$3:$H$10000,8,FALSE),"0")</f>
        <v>0</v>
      </c>
      <c r="N10304" s="8"/>
      <c r="O10304" s="33" t="str">
        <f>IFERROR(VLOOKUP($M10304,'Informations sur les produits'!$A$3:$H$10000,8,FALSE),"0")</f>
        <v>0</v>
      </c>
      <c r="P10304" s="33">
        <f t="shared" si="640"/>
        <v>0</v>
      </c>
      <c r="Q10304" s="31" t="str">
        <f t="shared" si="641"/>
        <v/>
      </c>
      <c r="R10304" s="32" t="str">
        <f>IFERROR(VLOOKUP($D10304,'Informations sur les produits'!$A$3:$B$15000,2,FALSE),"")</f>
        <v/>
      </c>
      <c r="V10304">
        <f t="shared" si="642"/>
        <v>0</v>
      </c>
      <c r="W10304">
        <f t="shared" si="643"/>
        <v>0</v>
      </c>
    </row>
    <row r="10305" spans="5:23" x14ac:dyDescent="0.25">
      <c r="E10305" s="4"/>
      <c r="F10305" s="4"/>
      <c r="G10305" s="33" t="str">
        <f>IFERROR(VLOOKUP($D10305,'Informations sur les produits'!$A$3:$H$10000,8,FALSE),"0")</f>
        <v>0</v>
      </c>
      <c r="K10305" s="4"/>
      <c r="L10305" s="33" t="str">
        <f>IFERROR(VLOOKUP($J10305,'Informations sur les produits'!$A$3:$H$10000,8,FALSE),"0")</f>
        <v>0</v>
      </c>
      <c r="N10305" s="8"/>
      <c r="O10305" s="33" t="str">
        <f>IFERROR(VLOOKUP($M10305,'Informations sur les produits'!$A$3:$H$10000,8,FALSE),"0")</f>
        <v>0</v>
      </c>
      <c r="P10305" s="33">
        <f t="shared" si="640"/>
        <v>0</v>
      </c>
      <c r="Q10305" s="31" t="str">
        <f t="shared" si="641"/>
        <v/>
      </c>
      <c r="R10305" s="32" t="str">
        <f>IFERROR(VLOOKUP($D10305,'Informations sur les produits'!$A$3:$B$15000,2,FALSE),"")</f>
        <v/>
      </c>
      <c r="V10305">
        <f t="shared" si="642"/>
        <v>0</v>
      </c>
      <c r="W10305">
        <f t="shared" si="643"/>
        <v>0</v>
      </c>
    </row>
    <row r="10306" spans="5:23" x14ac:dyDescent="0.25">
      <c r="E10306" s="4"/>
      <c r="F10306" s="4"/>
      <c r="G10306" s="33" t="str">
        <f>IFERROR(VLOOKUP($D10306,'Informations sur les produits'!$A$3:$H$10000,8,FALSE),"0")</f>
        <v>0</v>
      </c>
      <c r="K10306" s="4"/>
      <c r="L10306" s="33" t="str">
        <f>IFERROR(VLOOKUP($J10306,'Informations sur les produits'!$A$3:$H$10000,8,FALSE),"0")</f>
        <v>0</v>
      </c>
      <c r="N10306" s="8"/>
      <c r="O10306" s="33" t="str">
        <f>IFERROR(VLOOKUP($M10306,'Informations sur les produits'!$A$3:$H$10000,8,FALSE),"0")</f>
        <v>0</v>
      </c>
      <c r="P10306" s="33">
        <f t="shared" si="640"/>
        <v>0</v>
      </c>
      <c r="Q10306" s="31" t="str">
        <f t="shared" si="641"/>
        <v/>
      </c>
      <c r="R10306" s="32" t="str">
        <f>IFERROR(VLOOKUP($D10306,'Informations sur les produits'!$A$3:$B$15000,2,FALSE),"")</f>
        <v/>
      </c>
      <c r="V10306">
        <f t="shared" si="642"/>
        <v>0</v>
      </c>
      <c r="W10306">
        <f t="shared" si="643"/>
        <v>0</v>
      </c>
    </row>
    <row r="10307" spans="5:23" x14ac:dyDescent="0.25">
      <c r="E10307" s="4"/>
      <c r="F10307" s="4"/>
      <c r="G10307" s="33" t="str">
        <f>IFERROR(VLOOKUP($D10307,'Informations sur les produits'!$A$3:$H$10000,8,FALSE),"0")</f>
        <v>0</v>
      </c>
      <c r="K10307" s="4"/>
      <c r="L10307" s="33" t="str">
        <f>IFERROR(VLOOKUP($J10307,'Informations sur les produits'!$A$3:$H$10000,8,FALSE),"0")</f>
        <v>0</v>
      </c>
      <c r="N10307" s="8"/>
      <c r="O10307" s="33" t="str">
        <f>IFERROR(VLOOKUP($M10307,'Informations sur les produits'!$A$3:$H$10000,8,FALSE),"0")</f>
        <v>0</v>
      </c>
      <c r="P10307" s="33">
        <f t="shared" si="640"/>
        <v>0</v>
      </c>
      <c r="Q10307" s="31" t="str">
        <f t="shared" si="641"/>
        <v/>
      </c>
      <c r="R10307" s="32" t="str">
        <f>IFERROR(VLOOKUP($D10307,'Informations sur les produits'!$A$3:$B$15000,2,FALSE),"")</f>
        <v/>
      </c>
      <c r="V10307">
        <f t="shared" si="642"/>
        <v>0</v>
      </c>
      <c r="W10307">
        <f t="shared" si="643"/>
        <v>0</v>
      </c>
    </row>
    <row r="10308" spans="5:23" x14ac:dyDescent="0.25">
      <c r="E10308" s="4"/>
      <c r="F10308" s="4"/>
      <c r="G10308" s="33" t="str">
        <f>IFERROR(VLOOKUP($D10308,'Informations sur les produits'!$A$3:$H$10000,8,FALSE),"0")</f>
        <v>0</v>
      </c>
      <c r="K10308" s="4"/>
      <c r="L10308" s="33" t="str">
        <f>IFERROR(VLOOKUP($J10308,'Informations sur les produits'!$A$3:$H$10000,8,FALSE),"0")</f>
        <v>0</v>
      </c>
      <c r="N10308" s="8"/>
      <c r="O10308" s="33" t="str">
        <f>IFERROR(VLOOKUP($M10308,'Informations sur les produits'!$A$3:$H$10000,8,FALSE),"0")</f>
        <v>0</v>
      </c>
      <c r="P10308" s="33">
        <f t="shared" ref="P10308:P10371" si="644">IFERROR((($E10308-$F10308)*$G10308+$K10308*$L10308+$N10308*$O10308),"")</f>
        <v>0</v>
      </c>
      <c r="Q10308" s="31" t="str">
        <f t="shared" ref="Q10308:Q10371" si="645">IFERROR((((($E10308-$F10308)*$G10308+$K10308*$L10308+$N10308*$O10308)*1000)/(($E10308-$F10308)+$K10308+$N10308)),"")</f>
        <v/>
      </c>
      <c r="R10308" s="32" t="str">
        <f>IFERROR(VLOOKUP($D10308,'Informations sur les produits'!$A$3:$B$15000,2,FALSE),"")</f>
        <v/>
      </c>
      <c r="V10308">
        <f t="shared" ref="V10308:V10371" si="646">IFERROR(P10308*1000,"")</f>
        <v>0</v>
      </c>
      <c r="W10308">
        <f t="shared" ref="W10308:W10371" si="647">IFERROR(($E10308-$F10308)+$K10308+$N10308,"")</f>
        <v>0</v>
      </c>
    </row>
    <row r="10309" spans="5:23" x14ac:dyDescent="0.25">
      <c r="E10309" s="4"/>
      <c r="F10309" s="4"/>
      <c r="G10309" s="33" t="str">
        <f>IFERROR(VLOOKUP($D10309,'Informations sur les produits'!$A$3:$H$10000,8,FALSE),"0")</f>
        <v>0</v>
      </c>
      <c r="K10309" s="4"/>
      <c r="L10309" s="33" t="str">
        <f>IFERROR(VLOOKUP($J10309,'Informations sur les produits'!$A$3:$H$10000,8,FALSE),"0")</f>
        <v>0</v>
      </c>
      <c r="N10309" s="8"/>
      <c r="O10309" s="33" t="str">
        <f>IFERROR(VLOOKUP($M10309,'Informations sur les produits'!$A$3:$H$10000,8,FALSE),"0")</f>
        <v>0</v>
      </c>
      <c r="P10309" s="33">
        <f t="shared" si="644"/>
        <v>0</v>
      </c>
      <c r="Q10309" s="31" t="str">
        <f t="shared" si="645"/>
        <v/>
      </c>
      <c r="R10309" s="32" t="str">
        <f>IFERROR(VLOOKUP($D10309,'Informations sur les produits'!$A$3:$B$15000,2,FALSE),"")</f>
        <v/>
      </c>
      <c r="V10309">
        <f t="shared" si="646"/>
        <v>0</v>
      </c>
      <c r="W10309">
        <f t="shared" si="647"/>
        <v>0</v>
      </c>
    </row>
    <row r="10310" spans="5:23" x14ac:dyDescent="0.25">
      <c r="E10310" s="4"/>
      <c r="F10310" s="4"/>
      <c r="G10310" s="33" t="str">
        <f>IFERROR(VLOOKUP($D10310,'Informations sur les produits'!$A$3:$H$10000,8,FALSE),"0")</f>
        <v>0</v>
      </c>
      <c r="K10310" s="4"/>
      <c r="L10310" s="33" t="str">
        <f>IFERROR(VLOOKUP($J10310,'Informations sur les produits'!$A$3:$H$10000,8,FALSE),"0")</f>
        <v>0</v>
      </c>
      <c r="N10310" s="8"/>
      <c r="O10310" s="33" t="str">
        <f>IFERROR(VLOOKUP($M10310,'Informations sur les produits'!$A$3:$H$10000,8,FALSE),"0")</f>
        <v>0</v>
      </c>
      <c r="P10310" s="33">
        <f t="shared" si="644"/>
        <v>0</v>
      </c>
      <c r="Q10310" s="31" t="str">
        <f t="shared" si="645"/>
        <v/>
      </c>
      <c r="R10310" s="32" t="str">
        <f>IFERROR(VLOOKUP($D10310,'Informations sur les produits'!$A$3:$B$15000,2,FALSE),"")</f>
        <v/>
      </c>
      <c r="V10310">
        <f t="shared" si="646"/>
        <v>0</v>
      </c>
      <c r="W10310">
        <f t="shared" si="647"/>
        <v>0</v>
      </c>
    </row>
    <row r="10311" spans="5:23" x14ac:dyDescent="0.25">
      <c r="E10311" s="4"/>
      <c r="F10311" s="4"/>
      <c r="G10311" s="33" t="str">
        <f>IFERROR(VLOOKUP($D10311,'Informations sur les produits'!$A$3:$H$10000,8,FALSE),"0")</f>
        <v>0</v>
      </c>
      <c r="K10311" s="4"/>
      <c r="L10311" s="33" t="str">
        <f>IFERROR(VLOOKUP($J10311,'Informations sur les produits'!$A$3:$H$10000,8,FALSE),"0")</f>
        <v>0</v>
      </c>
      <c r="N10311" s="8"/>
      <c r="O10311" s="33" t="str">
        <f>IFERROR(VLOOKUP($M10311,'Informations sur les produits'!$A$3:$H$10000,8,FALSE),"0")</f>
        <v>0</v>
      </c>
      <c r="P10311" s="33">
        <f t="shared" si="644"/>
        <v>0</v>
      </c>
      <c r="Q10311" s="31" t="str">
        <f t="shared" si="645"/>
        <v/>
      </c>
      <c r="R10311" s="32" t="str">
        <f>IFERROR(VLOOKUP($D10311,'Informations sur les produits'!$A$3:$B$15000,2,FALSE),"")</f>
        <v/>
      </c>
      <c r="V10311">
        <f t="shared" si="646"/>
        <v>0</v>
      </c>
      <c r="W10311">
        <f t="shared" si="647"/>
        <v>0</v>
      </c>
    </row>
    <row r="10312" spans="5:23" x14ac:dyDescent="0.25">
      <c r="E10312" s="4"/>
      <c r="F10312" s="4"/>
      <c r="G10312" s="33" t="str">
        <f>IFERROR(VLOOKUP($D10312,'Informations sur les produits'!$A$3:$H$10000,8,FALSE),"0")</f>
        <v>0</v>
      </c>
      <c r="K10312" s="4"/>
      <c r="L10312" s="33" t="str">
        <f>IFERROR(VLOOKUP($J10312,'Informations sur les produits'!$A$3:$H$10000,8,FALSE),"0")</f>
        <v>0</v>
      </c>
      <c r="N10312" s="8"/>
      <c r="O10312" s="33" t="str">
        <f>IFERROR(VLOOKUP($M10312,'Informations sur les produits'!$A$3:$H$10000,8,FALSE),"0")</f>
        <v>0</v>
      </c>
      <c r="P10312" s="33">
        <f t="shared" si="644"/>
        <v>0</v>
      </c>
      <c r="Q10312" s="31" t="str">
        <f t="shared" si="645"/>
        <v/>
      </c>
      <c r="R10312" s="32" t="str">
        <f>IFERROR(VLOOKUP($D10312,'Informations sur les produits'!$A$3:$B$15000,2,FALSE),"")</f>
        <v/>
      </c>
      <c r="V10312">
        <f t="shared" si="646"/>
        <v>0</v>
      </c>
      <c r="W10312">
        <f t="shared" si="647"/>
        <v>0</v>
      </c>
    </row>
    <row r="10313" spans="5:23" x14ac:dyDescent="0.25">
      <c r="E10313" s="4"/>
      <c r="F10313" s="4"/>
      <c r="G10313" s="33" t="str">
        <f>IFERROR(VLOOKUP($D10313,'Informations sur les produits'!$A$3:$H$10000,8,FALSE),"0")</f>
        <v>0</v>
      </c>
      <c r="K10313" s="4"/>
      <c r="L10313" s="33" t="str">
        <f>IFERROR(VLOOKUP($J10313,'Informations sur les produits'!$A$3:$H$10000,8,FALSE),"0")</f>
        <v>0</v>
      </c>
      <c r="N10313" s="8"/>
      <c r="O10313" s="33" t="str">
        <f>IFERROR(VLOOKUP($M10313,'Informations sur les produits'!$A$3:$H$10000,8,FALSE),"0")</f>
        <v>0</v>
      </c>
      <c r="P10313" s="33">
        <f t="shared" si="644"/>
        <v>0</v>
      </c>
      <c r="Q10313" s="31" t="str">
        <f t="shared" si="645"/>
        <v/>
      </c>
      <c r="R10313" s="32" t="str">
        <f>IFERROR(VLOOKUP($D10313,'Informations sur les produits'!$A$3:$B$15000,2,FALSE),"")</f>
        <v/>
      </c>
      <c r="V10313">
        <f t="shared" si="646"/>
        <v>0</v>
      </c>
      <c r="W10313">
        <f t="shared" si="647"/>
        <v>0</v>
      </c>
    </row>
    <row r="10314" spans="5:23" x14ac:dyDescent="0.25">
      <c r="E10314" s="4"/>
      <c r="F10314" s="4"/>
      <c r="G10314" s="33" t="str">
        <f>IFERROR(VLOOKUP($D10314,'Informations sur les produits'!$A$3:$H$10000,8,FALSE),"0")</f>
        <v>0</v>
      </c>
      <c r="K10314" s="4"/>
      <c r="L10314" s="33" t="str">
        <f>IFERROR(VLOOKUP($J10314,'Informations sur les produits'!$A$3:$H$10000,8,FALSE),"0")</f>
        <v>0</v>
      </c>
      <c r="N10314" s="8"/>
      <c r="O10314" s="33" t="str">
        <f>IFERROR(VLOOKUP($M10314,'Informations sur les produits'!$A$3:$H$10000,8,FALSE),"0")</f>
        <v>0</v>
      </c>
      <c r="P10314" s="33">
        <f t="shared" si="644"/>
        <v>0</v>
      </c>
      <c r="Q10314" s="31" t="str">
        <f t="shared" si="645"/>
        <v/>
      </c>
      <c r="R10314" s="32" t="str">
        <f>IFERROR(VLOOKUP($D10314,'Informations sur les produits'!$A$3:$B$15000,2,FALSE),"")</f>
        <v/>
      </c>
      <c r="V10314">
        <f t="shared" si="646"/>
        <v>0</v>
      </c>
      <c r="W10314">
        <f t="shared" si="647"/>
        <v>0</v>
      </c>
    </row>
    <row r="10315" spans="5:23" x14ac:dyDescent="0.25">
      <c r="E10315" s="4"/>
      <c r="F10315" s="4"/>
      <c r="G10315" s="33" t="str">
        <f>IFERROR(VLOOKUP($D10315,'Informations sur les produits'!$A$3:$H$10000,8,FALSE),"0")</f>
        <v>0</v>
      </c>
      <c r="K10315" s="4"/>
      <c r="L10315" s="33" t="str">
        <f>IFERROR(VLOOKUP($J10315,'Informations sur les produits'!$A$3:$H$10000,8,FALSE),"0")</f>
        <v>0</v>
      </c>
      <c r="N10315" s="8"/>
      <c r="O10315" s="33" t="str">
        <f>IFERROR(VLOOKUP($M10315,'Informations sur les produits'!$A$3:$H$10000,8,FALSE),"0")</f>
        <v>0</v>
      </c>
      <c r="P10315" s="33">
        <f t="shared" si="644"/>
        <v>0</v>
      </c>
      <c r="Q10315" s="31" t="str">
        <f t="shared" si="645"/>
        <v/>
      </c>
      <c r="R10315" s="32" t="str">
        <f>IFERROR(VLOOKUP($D10315,'Informations sur les produits'!$A$3:$B$15000,2,FALSE),"")</f>
        <v/>
      </c>
      <c r="V10315">
        <f t="shared" si="646"/>
        <v>0</v>
      </c>
      <c r="W10315">
        <f t="shared" si="647"/>
        <v>0</v>
      </c>
    </row>
    <row r="10316" spans="5:23" x14ac:dyDescent="0.25">
      <c r="E10316" s="4"/>
      <c r="F10316" s="4"/>
      <c r="G10316" s="33" t="str">
        <f>IFERROR(VLOOKUP($D10316,'Informations sur les produits'!$A$3:$H$10000,8,FALSE),"0")</f>
        <v>0</v>
      </c>
      <c r="K10316" s="4"/>
      <c r="L10316" s="33" t="str">
        <f>IFERROR(VLOOKUP($J10316,'Informations sur les produits'!$A$3:$H$10000,8,FALSE),"0")</f>
        <v>0</v>
      </c>
      <c r="N10316" s="8"/>
      <c r="O10316" s="33" t="str">
        <f>IFERROR(VLOOKUP($M10316,'Informations sur les produits'!$A$3:$H$10000,8,FALSE),"0")</f>
        <v>0</v>
      </c>
      <c r="P10316" s="33">
        <f t="shared" si="644"/>
        <v>0</v>
      </c>
      <c r="Q10316" s="31" t="str">
        <f t="shared" si="645"/>
        <v/>
      </c>
      <c r="R10316" s="32" t="str">
        <f>IFERROR(VLOOKUP($D10316,'Informations sur les produits'!$A$3:$B$15000,2,FALSE),"")</f>
        <v/>
      </c>
      <c r="V10316">
        <f t="shared" si="646"/>
        <v>0</v>
      </c>
      <c r="W10316">
        <f t="shared" si="647"/>
        <v>0</v>
      </c>
    </row>
    <row r="10317" spans="5:23" x14ac:dyDescent="0.25">
      <c r="E10317" s="4"/>
      <c r="F10317" s="4"/>
      <c r="G10317" s="33" t="str">
        <f>IFERROR(VLOOKUP($D10317,'Informations sur les produits'!$A$3:$H$10000,8,FALSE),"0")</f>
        <v>0</v>
      </c>
      <c r="K10317" s="4"/>
      <c r="L10317" s="33" t="str">
        <f>IFERROR(VLOOKUP($J10317,'Informations sur les produits'!$A$3:$H$10000,8,FALSE),"0")</f>
        <v>0</v>
      </c>
      <c r="N10317" s="8"/>
      <c r="O10317" s="33" t="str">
        <f>IFERROR(VLOOKUP($M10317,'Informations sur les produits'!$A$3:$H$10000,8,FALSE),"0")</f>
        <v>0</v>
      </c>
      <c r="P10317" s="33">
        <f t="shared" si="644"/>
        <v>0</v>
      </c>
      <c r="Q10317" s="31" t="str">
        <f t="shared" si="645"/>
        <v/>
      </c>
      <c r="R10317" s="32" t="str">
        <f>IFERROR(VLOOKUP($D10317,'Informations sur les produits'!$A$3:$B$15000,2,FALSE),"")</f>
        <v/>
      </c>
      <c r="V10317">
        <f t="shared" si="646"/>
        <v>0</v>
      </c>
      <c r="W10317">
        <f t="shared" si="647"/>
        <v>0</v>
      </c>
    </row>
    <row r="10318" spans="5:23" x14ac:dyDescent="0.25">
      <c r="E10318" s="4"/>
      <c r="F10318" s="4"/>
      <c r="G10318" s="33" t="str">
        <f>IFERROR(VLOOKUP($D10318,'Informations sur les produits'!$A$3:$H$10000,8,FALSE),"0")</f>
        <v>0</v>
      </c>
      <c r="K10318" s="4"/>
      <c r="L10318" s="33" t="str">
        <f>IFERROR(VLOOKUP($J10318,'Informations sur les produits'!$A$3:$H$10000,8,FALSE),"0")</f>
        <v>0</v>
      </c>
      <c r="N10318" s="8"/>
      <c r="O10318" s="33" t="str">
        <f>IFERROR(VLOOKUP($M10318,'Informations sur les produits'!$A$3:$H$10000,8,FALSE),"0")</f>
        <v>0</v>
      </c>
      <c r="P10318" s="33">
        <f t="shared" si="644"/>
        <v>0</v>
      </c>
      <c r="Q10318" s="31" t="str">
        <f t="shared" si="645"/>
        <v/>
      </c>
      <c r="R10318" s="32" t="str">
        <f>IFERROR(VLOOKUP($D10318,'Informations sur les produits'!$A$3:$B$15000,2,FALSE),"")</f>
        <v/>
      </c>
      <c r="V10318">
        <f t="shared" si="646"/>
        <v>0</v>
      </c>
      <c r="W10318">
        <f t="shared" si="647"/>
        <v>0</v>
      </c>
    </row>
    <row r="10319" spans="5:23" x14ac:dyDescent="0.25">
      <c r="E10319" s="4"/>
      <c r="F10319" s="4"/>
      <c r="G10319" s="33" t="str">
        <f>IFERROR(VLOOKUP($D10319,'Informations sur les produits'!$A$3:$H$10000,8,FALSE),"0")</f>
        <v>0</v>
      </c>
      <c r="K10319" s="4"/>
      <c r="L10319" s="33" t="str">
        <f>IFERROR(VLOOKUP($J10319,'Informations sur les produits'!$A$3:$H$10000,8,FALSE),"0")</f>
        <v>0</v>
      </c>
      <c r="N10319" s="8"/>
      <c r="O10319" s="33" t="str">
        <f>IFERROR(VLOOKUP($M10319,'Informations sur les produits'!$A$3:$H$10000,8,FALSE),"0")</f>
        <v>0</v>
      </c>
      <c r="P10319" s="33">
        <f t="shared" si="644"/>
        <v>0</v>
      </c>
      <c r="Q10319" s="31" t="str">
        <f t="shared" si="645"/>
        <v/>
      </c>
      <c r="R10319" s="32" t="str">
        <f>IFERROR(VLOOKUP($D10319,'Informations sur les produits'!$A$3:$B$15000,2,FALSE),"")</f>
        <v/>
      </c>
      <c r="V10319">
        <f t="shared" si="646"/>
        <v>0</v>
      </c>
      <c r="W10319">
        <f t="shared" si="647"/>
        <v>0</v>
      </c>
    </row>
    <row r="10320" spans="5:23" x14ac:dyDescent="0.25">
      <c r="E10320" s="4"/>
      <c r="F10320" s="4"/>
      <c r="G10320" s="33" t="str">
        <f>IFERROR(VLOOKUP($D10320,'Informations sur les produits'!$A$3:$H$10000,8,FALSE),"0")</f>
        <v>0</v>
      </c>
      <c r="K10320" s="4"/>
      <c r="L10320" s="33" t="str">
        <f>IFERROR(VLOOKUP($J10320,'Informations sur les produits'!$A$3:$H$10000,8,FALSE),"0")</f>
        <v>0</v>
      </c>
      <c r="N10320" s="8"/>
      <c r="O10320" s="33" t="str">
        <f>IFERROR(VLOOKUP($M10320,'Informations sur les produits'!$A$3:$H$10000,8,FALSE),"0")</f>
        <v>0</v>
      </c>
      <c r="P10320" s="33">
        <f t="shared" si="644"/>
        <v>0</v>
      </c>
      <c r="Q10320" s="31" t="str">
        <f t="shared" si="645"/>
        <v/>
      </c>
      <c r="R10320" s="32" t="str">
        <f>IFERROR(VLOOKUP($D10320,'Informations sur les produits'!$A$3:$B$15000,2,FALSE),"")</f>
        <v/>
      </c>
      <c r="V10320">
        <f t="shared" si="646"/>
        <v>0</v>
      </c>
      <c r="W10320">
        <f t="shared" si="647"/>
        <v>0</v>
      </c>
    </row>
    <row r="10321" spans="5:23" x14ac:dyDescent="0.25">
      <c r="E10321" s="4"/>
      <c r="F10321" s="4"/>
      <c r="G10321" s="33" t="str">
        <f>IFERROR(VLOOKUP($D10321,'Informations sur les produits'!$A$3:$H$10000,8,FALSE),"0")</f>
        <v>0</v>
      </c>
      <c r="K10321" s="4"/>
      <c r="L10321" s="33" t="str">
        <f>IFERROR(VLOOKUP($J10321,'Informations sur les produits'!$A$3:$H$10000,8,FALSE),"0")</f>
        <v>0</v>
      </c>
      <c r="N10321" s="8"/>
      <c r="O10321" s="33" t="str">
        <f>IFERROR(VLOOKUP($M10321,'Informations sur les produits'!$A$3:$H$10000,8,FALSE),"0")</f>
        <v>0</v>
      </c>
      <c r="P10321" s="33">
        <f t="shared" si="644"/>
        <v>0</v>
      </c>
      <c r="Q10321" s="31" t="str">
        <f t="shared" si="645"/>
        <v/>
      </c>
      <c r="R10321" s="32" t="str">
        <f>IFERROR(VLOOKUP($D10321,'Informations sur les produits'!$A$3:$B$15000,2,FALSE),"")</f>
        <v/>
      </c>
      <c r="V10321">
        <f t="shared" si="646"/>
        <v>0</v>
      </c>
      <c r="W10321">
        <f t="shared" si="647"/>
        <v>0</v>
      </c>
    </row>
    <row r="10322" spans="5:23" x14ac:dyDescent="0.25">
      <c r="E10322" s="4"/>
      <c r="F10322" s="4"/>
      <c r="G10322" s="33" t="str">
        <f>IFERROR(VLOOKUP($D10322,'Informations sur les produits'!$A$3:$H$10000,8,FALSE),"0")</f>
        <v>0</v>
      </c>
      <c r="K10322" s="4"/>
      <c r="L10322" s="33" t="str">
        <f>IFERROR(VLOOKUP($J10322,'Informations sur les produits'!$A$3:$H$10000,8,FALSE),"0")</f>
        <v>0</v>
      </c>
      <c r="N10322" s="8"/>
      <c r="O10322" s="33" t="str">
        <f>IFERROR(VLOOKUP($M10322,'Informations sur les produits'!$A$3:$H$10000,8,FALSE),"0")</f>
        <v>0</v>
      </c>
      <c r="P10322" s="33">
        <f t="shared" si="644"/>
        <v>0</v>
      </c>
      <c r="Q10322" s="31" t="str">
        <f t="shared" si="645"/>
        <v/>
      </c>
      <c r="R10322" s="32" t="str">
        <f>IFERROR(VLOOKUP($D10322,'Informations sur les produits'!$A$3:$B$15000,2,FALSE),"")</f>
        <v/>
      </c>
      <c r="V10322">
        <f t="shared" si="646"/>
        <v>0</v>
      </c>
      <c r="W10322">
        <f t="shared" si="647"/>
        <v>0</v>
      </c>
    </row>
    <row r="10323" spans="5:23" x14ac:dyDescent="0.25">
      <c r="E10323" s="4"/>
      <c r="F10323" s="4"/>
      <c r="G10323" s="33" t="str">
        <f>IFERROR(VLOOKUP($D10323,'Informations sur les produits'!$A$3:$H$10000,8,FALSE),"0")</f>
        <v>0</v>
      </c>
      <c r="K10323" s="4"/>
      <c r="L10323" s="33" t="str">
        <f>IFERROR(VLOOKUP($J10323,'Informations sur les produits'!$A$3:$H$10000,8,FALSE),"0")</f>
        <v>0</v>
      </c>
      <c r="N10323" s="8"/>
      <c r="O10323" s="33" t="str">
        <f>IFERROR(VLOOKUP($M10323,'Informations sur les produits'!$A$3:$H$10000,8,FALSE),"0")</f>
        <v>0</v>
      </c>
      <c r="P10323" s="33">
        <f t="shared" si="644"/>
        <v>0</v>
      </c>
      <c r="Q10323" s="31" t="str">
        <f t="shared" si="645"/>
        <v/>
      </c>
      <c r="R10323" s="32" t="str">
        <f>IFERROR(VLOOKUP($D10323,'Informations sur les produits'!$A$3:$B$15000,2,FALSE),"")</f>
        <v/>
      </c>
      <c r="V10323">
        <f t="shared" si="646"/>
        <v>0</v>
      </c>
      <c r="W10323">
        <f t="shared" si="647"/>
        <v>0</v>
      </c>
    </row>
    <row r="10324" spans="5:23" x14ac:dyDescent="0.25">
      <c r="E10324" s="4"/>
      <c r="F10324" s="4"/>
      <c r="G10324" s="33" t="str">
        <f>IFERROR(VLOOKUP($D10324,'Informations sur les produits'!$A$3:$H$10000,8,FALSE),"0")</f>
        <v>0</v>
      </c>
      <c r="K10324" s="4"/>
      <c r="L10324" s="33" t="str">
        <f>IFERROR(VLOOKUP($J10324,'Informations sur les produits'!$A$3:$H$10000,8,FALSE),"0")</f>
        <v>0</v>
      </c>
      <c r="N10324" s="8"/>
      <c r="O10324" s="33" t="str">
        <f>IFERROR(VLOOKUP($M10324,'Informations sur les produits'!$A$3:$H$10000,8,FALSE),"0")</f>
        <v>0</v>
      </c>
      <c r="P10324" s="33">
        <f t="shared" si="644"/>
        <v>0</v>
      </c>
      <c r="Q10324" s="31" t="str">
        <f t="shared" si="645"/>
        <v/>
      </c>
      <c r="R10324" s="32" t="str">
        <f>IFERROR(VLOOKUP($D10324,'Informations sur les produits'!$A$3:$B$15000,2,FALSE),"")</f>
        <v/>
      </c>
      <c r="V10324">
        <f t="shared" si="646"/>
        <v>0</v>
      </c>
      <c r="W10324">
        <f t="shared" si="647"/>
        <v>0</v>
      </c>
    </row>
    <row r="10325" spans="5:23" x14ac:dyDescent="0.25">
      <c r="E10325" s="4"/>
      <c r="F10325" s="4"/>
      <c r="G10325" s="33" t="str">
        <f>IFERROR(VLOOKUP($D10325,'Informations sur les produits'!$A$3:$H$10000,8,FALSE),"0")</f>
        <v>0</v>
      </c>
      <c r="K10325" s="4"/>
      <c r="L10325" s="33" t="str">
        <f>IFERROR(VLOOKUP($J10325,'Informations sur les produits'!$A$3:$H$10000,8,FALSE),"0")</f>
        <v>0</v>
      </c>
      <c r="N10325" s="8"/>
      <c r="O10325" s="33" t="str">
        <f>IFERROR(VLOOKUP($M10325,'Informations sur les produits'!$A$3:$H$10000,8,FALSE),"0")</f>
        <v>0</v>
      </c>
      <c r="P10325" s="33">
        <f t="shared" si="644"/>
        <v>0</v>
      </c>
      <c r="Q10325" s="31" t="str">
        <f t="shared" si="645"/>
        <v/>
      </c>
      <c r="R10325" s="32" t="str">
        <f>IFERROR(VLOOKUP($D10325,'Informations sur les produits'!$A$3:$B$15000,2,FALSE),"")</f>
        <v/>
      </c>
      <c r="V10325">
        <f t="shared" si="646"/>
        <v>0</v>
      </c>
      <c r="W10325">
        <f t="shared" si="647"/>
        <v>0</v>
      </c>
    </row>
    <row r="10326" spans="5:23" x14ac:dyDescent="0.25">
      <c r="E10326" s="4"/>
      <c r="F10326" s="4"/>
      <c r="G10326" s="33" t="str">
        <f>IFERROR(VLOOKUP($D10326,'Informations sur les produits'!$A$3:$H$10000,8,FALSE),"0")</f>
        <v>0</v>
      </c>
      <c r="K10326" s="4"/>
      <c r="L10326" s="33" t="str">
        <f>IFERROR(VLOOKUP($J10326,'Informations sur les produits'!$A$3:$H$10000,8,FALSE),"0")</f>
        <v>0</v>
      </c>
      <c r="N10326" s="8"/>
      <c r="O10326" s="33" t="str">
        <f>IFERROR(VLOOKUP($M10326,'Informations sur les produits'!$A$3:$H$10000,8,FALSE),"0")</f>
        <v>0</v>
      </c>
      <c r="P10326" s="33">
        <f t="shared" si="644"/>
        <v>0</v>
      </c>
      <c r="Q10326" s="31" t="str">
        <f t="shared" si="645"/>
        <v/>
      </c>
      <c r="R10326" s="32" t="str">
        <f>IFERROR(VLOOKUP($D10326,'Informations sur les produits'!$A$3:$B$15000,2,FALSE),"")</f>
        <v/>
      </c>
      <c r="V10326">
        <f t="shared" si="646"/>
        <v>0</v>
      </c>
      <c r="W10326">
        <f t="shared" si="647"/>
        <v>0</v>
      </c>
    </row>
    <row r="10327" spans="5:23" x14ac:dyDescent="0.25">
      <c r="E10327" s="4"/>
      <c r="F10327" s="4"/>
      <c r="G10327" s="33" t="str">
        <f>IFERROR(VLOOKUP($D10327,'Informations sur les produits'!$A$3:$H$10000,8,FALSE),"0")</f>
        <v>0</v>
      </c>
      <c r="K10327" s="4"/>
      <c r="L10327" s="33" t="str">
        <f>IFERROR(VLOOKUP($J10327,'Informations sur les produits'!$A$3:$H$10000,8,FALSE),"0")</f>
        <v>0</v>
      </c>
      <c r="N10327" s="8"/>
      <c r="O10327" s="33" t="str">
        <f>IFERROR(VLOOKUP($M10327,'Informations sur les produits'!$A$3:$H$10000,8,FALSE),"0")</f>
        <v>0</v>
      </c>
      <c r="P10327" s="33">
        <f t="shared" si="644"/>
        <v>0</v>
      </c>
      <c r="Q10327" s="31" t="str">
        <f t="shared" si="645"/>
        <v/>
      </c>
      <c r="R10327" s="32" t="str">
        <f>IFERROR(VLOOKUP($D10327,'Informations sur les produits'!$A$3:$B$15000,2,FALSE),"")</f>
        <v/>
      </c>
      <c r="V10327">
        <f t="shared" si="646"/>
        <v>0</v>
      </c>
      <c r="W10327">
        <f t="shared" si="647"/>
        <v>0</v>
      </c>
    </row>
    <row r="10328" spans="5:23" x14ac:dyDescent="0.25">
      <c r="E10328" s="4"/>
      <c r="F10328" s="4"/>
      <c r="G10328" s="33" t="str">
        <f>IFERROR(VLOOKUP($D10328,'Informations sur les produits'!$A$3:$H$10000,8,FALSE),"0")</f>
        <v>0</v>
      </c>
      <c r="K10328" s="4"/>
      <c r="L10328" s="33" t="str">
        <f>IFERROR(VLOOKUP($J10328,'Informations sur les produits'!$A$3:$H$10000,8,FALSE),"0")</f>
        <v>0</v>
      </c>
      <c r="N10328" s="8"/>
      <c r="O10328" s="33" t="str">
        <f>IFERROR(VLOOKUP($M10328,'Informations sur les produits'!$A$3:$H$10000,8,FALSE),"0")</f>
        <v>0</v>
      </c>
      <c r="P10328" s="33">
        <f t="shared" si="644"/>
        <v>0</v>
      </c>
      <c r="Q10328" s="31" t="str">
        <f t="shared" si="645"/>
        <v/>
      </c>
      <c r="R10328" s="32" t="str">
        <f>IFERROR(VLOOKUP($D10328,'Informations sur les produits'!$A$3:$B$15000,2,FALSE),"")</f>
        <v/>
      </c>
      <c r="V10328">
        <f t="shared" si="646"/>
        <v>0</v>
      </c>
      <c r="W10328">
        <f t="shared" si="647"/>
        <v>0</v>
      </c>
    </row>
    <row r="10329" spans="5:23" x14ac:dyDescent="0.25">
      <c r="E10329" s="4"/>
      <c r="F10329" s="4"/>
      <c r="G10329" s="33" t="str">
        <f>IFERROR(VLOOKUP($D10329,'Informations sur les produits'!$A$3:$H$10000,8,FALSE),"0")</f>
        <v>0</v>
      </c>
      <c r="K10329" s="4"/>
      <c r="L10329" s="33" t="str">
        <f>IFERROR(VLOOKUP($J10329,'Informations sur les produits'!$A$3:$H$10000,8,FALSE),"0")</f>
        <v>0</v>
      </c>
      <c r="N10329" s="8"/>
      <c r="O10329" s="33" t="str">
        <f>IFERROR(VLOOKUP($M10329,'Informations sur les produits'!$A$3:$H$10000,8,FALSE),"0")</f>
        <v>0</v>
      </c>
      <c r="P10329" s="33">
        <f t="shared" si="644"/>
        <v>0</v>
      </c>
      <c r="Q10329" s="31" t="str">
        <f t="shared" si="645"/>
        <v/>
      </c>
      <c r="R10329" s="32" t="str">
        <f>IFERROR(VLOOKUP($D10329,'Informations sur les produits'!$A$3:$B$15000,2,FALSE),"")</f>
        <v/>
      </c>
      <c r="V10329">
        <f t="shared" si="646"/>
        <v>0</v>
      </c>
      <c r="W10329">
        <f t="shared" si="647"/>
        <v>0</v>
      </c>
    </row>
    <row r="10330" spans="5:23" x14ac:dyDescent="0.25">
      <c r="E10330" s="4"/>
      <c r="F10330" s="4"/>
      <c r="G10330" s="33" t="str">
        <f>IFERROR(VLOOKUP($D10330,'Informations sur les produits'!$A$3:$H$10000,8,FALSE),"0")</f>
        <v>0</v>
      </c>
      <c r="K10330" s="4"/>
      <c r="L10330" s="33" t="str">
        <f>IFERROR(VLOOKUP($J10330,'Informations sur les produits'!$A$3:$H$10000,8,FALSE),"0")</f>
        <v>0</v>
      </c>
      <c r="N10330" s="8"/>
      <c r="O10330" s="33" t="str">
        <f>IFERROR(VLOOKUP($M10330,'Informations sur les produits'!$A$3:$H$10000,8,FALSE),"0")</f>
        <v>0</v>
      </c>
      <c r="P10330" s="33">
        <f t="shared" si="644"/>
        <v>0</v>
      </c>
      <c r="Q10330" s="31" t="str">
        <f t="shared" si="645"/>
        <v/>
      </c>
      <c r="R10330" s="32" t="str">
        <f>IFERROR(VLOOKUP($D10330,'Informations sur les produits'!$A$3:$B$15000,2,FALSE),"")</f>
        <v/>
      </c>
      <c r="V10330">
        <f t="shared" si="646"/>
        <v>0</v>
      </c>
      <c r="W10330">
        <f t="shared" si="647"/>
        <v>0</v>
      </c>
    </row>
    <row r="10331" spans="5:23" x14ac:dyDescent="0.25">
      <c r="E10331" s="4"/>
      <c r="F10331" s="4"/>
      <c r="G10331" s="33" t="str">
        <f>IFERROR(VLOOKUP($D10331,'Informations sur les produits'!$A$3:$H$10000,8,FALSE),"0")</f>
        <v>0</v>
      </c>
      <c r="K10331" s="4"/>
      <c r="L10331" s="33" t="str">
        <f>IFERROR(VLOOKUP($J10331,'Informations sur les produits'!$A$3:$H$10000,8,FALSE),"0")</f>
        <v>0</v>
      </c>
      <c r="N10331" s="8"/>
      <c r="O10331" s="33" t="str">
        <f>IFERROR(VLOOKUP($M10331,'Informations sur les produits'!$A$3:$H$10000,8,FALSE),"0")</f>
        <v>0</v>
      </c>
      <c r="P10331" s="33">
        <f t="shared" si="644"/>
        <v>0</v>
      </c>
      <c r="Q10331" s="31" t="str">
        <f t="shared" si="645"/>
        <v/>
      </c>
      <c r="R10331" s="32" t="str">
        <f>IFERROR(VLOOKUP($D10331,'Informations sur les produits'!$A$3:$B$15000,2,FALSE),"")</f>
        <v/>
      </c>
      <c r="V10331">
        <f t="shared" si="646"/>
        <v>0</v>
      </c>
      <c r="W10331">
        <f t="shared" si="647"/>
        <v>0</v>
      </c>
    </row>
    <row r="10332" spans="5:23" x14ac:dyDescent="0.25">
      <c r="E10332" s="4"/>
      <c r="F10332" s="4"/>
      <c r="G10332" s="33" t="str">
        <f>IFERROR(VLOOKUP($D10332,'Informations sur les produits'!$A$3:$H$10000,8,FALSE),"0")</f>
        <v>0</v>
      </c>
      <c r="K10332" s="4"/>
      <c r="L10332" s="33" t="str">
        <f>IFERROR(VLOOKUP($J10332,'Informations sur les produits'!$A$3:$H$10000,8,FALSE),"0")</f>
        <v>0</v>
      </c>
      <c r="N10332" s="8"/>
      <c r="O10332" s="33" t="str">
        <f>IFERROR(VLOOKUP($M10332,'Informations sur les produits'!$A$3:$H$10000,8,FALSE),"0")</f>
        <v>0</v>
      </c>
      <c r="P10332" s="33">
        <f t="shared" si="644"/>
        <v>0</v>
      </c>
      <c r="Q10332" s="31" t="str">
        <f t="shared" si="645"/>
        <v/>
      </c>
      <c r="R10332" s="32" t="str">
        <f>IFERROR(VLOOKUP($D10332,'Informations sur les produits'!$A$3:$B$15000,2,FALSE),"")</f>
        <v/>
      </c>
      <c r="V10332">
        <f t="shared" si="646"/>
        <v>0</v>
      </c>
      <c r="W10332">
        <f t="shared" si="647"/>
        <v>0</v>
      </c>
    </row>
    <row r="10333" spans="5:23" x14ac:dyDescent="0.25">
      <c r="E10333" s="4"/>
      <c r="F10333" s="4"/>
      <c r="G10333" s="33" t="str">
        <f>IFERROR(VLOOKUP($D10333,'Informations sur les produits'!$A$3:$H$10000,8,FALSE),"0")</f>
        <v>0</v>
      </c>
      <c r="K10333" s="4"/>
      <c r="L10333" s="33" t="str">
        <f>IFERROR(VLOOKUP($J10333,'Informations sur les produits'!$A$3:$H$10000,8,FALSE),"0")</f>
        <v>0</v>
      </c>
      <c r="N10333" s="8"/>
      <c r="O10333" s="33" t="str">
        <f>IFERROR(VLOOKUP($M10333,'Informations sur les produits'!$A$3:$H$10000,8,FALSE),"0")</f>
        <v>0</v>
      </c>
      <c r="P10333" s="33">
        <f t="shared" si="644"/>
        <v>0</v>
      </c>
      <c r="Q10333" s="31" t="str">
        <f t="shared" si="645"/>
        <v/>
      </c>
      <c r="R10333" s="32" t="str">
        <f>IFERROR(VLOOKUP($D10333,'Informations sur les produits'!$A$3:$B$15000,2,FALSE),"")</f>
        <v/>
      </c>
      <c r="V10333">
        <f t="shared" si="646"/>
        <v>0</v>
      </c>
      <c r="W10333">
        <f t="shared" si="647"/>
        <v>0</v>
      </c>
    </row>
    <row r="10334" spans="5:23" x14ac:dyDescent="0.25">
      <c r="E10334" s="4"/>
      <c r="F10334" s="4"/>
      <c r="G10334" s="33" t="str">
        <f>IFERROR(VLOOKUP($D10334,'Informations sur les produits'!$A$3:$H$10000,8,FALSE),"0")</f>
        <v>0</v>
      </c>
      <c r="K10334" s="4"/>
      <c r="L10334" s="33" t="str">
        <f>IFERROR(VLOOKUP($J10334,'Informations sur les produits'!$A$3:$H$10000,8,FALSE),"0")</f>
        <v>0</v>
      </c>
      <c r="N10334" s="8"/>
      <c r="O10334" s="33" t="str">
        <f>IFERROR(VLOOKUP($M10334,'Informations sur les produits'!$A$3:$H$10000,8,FALSE),"0")</f>
        <v>0</v>
      </c>
      <c r="P10334" s="33">
        <f t="shared" si="644"/>
        <v>0</v>
      </c>
      <c r="Q10334" s="31" t="str">
        <f t="shared" si="645"/>
        <v/>
      </c>
      <c r="R10334" s="32" t="str">
        <f>IFERROR(VLOOKUP($D10334,'Informations sur les produits'!$A$3:$B$15000,2,FALSE),"")</f>
        <v/>
      </c>
      <c r="V10334">
        <f t="shared" si="646"/>
        <v>0</v>
      </c>
      <c r="W10334">
        <f t="shared" si="647"/>
        <v>0</v>
      </c>
    </row>
    <row r="10335" spans="5:23" x14ac:dyDescent="0.25">
      <c r="E10335" s="4"/>
      <c r="F10335" s="4"/>
      <c r="G10335" s="33" t="str">
        <f>IFERROR(VLOOKUP($D10335,'Informations sur les produits'!$A$3:$H$10000,8,FALSE),"0")</f>
        <v>0</v>
      </c>
      <c r="K10335" s="4"/>
      <c r="L10335" s="33" t="str">
        <f>IFERROR(VLOOKUP($J10335,'Informations sur les produits'!$A$3:$H$10000,8,FALSE),"0")</f>
        <v>0</v>
      </c>
      <c r="N10335" s="8"/>
      <c r="O10335" s="33" t="str">
        <f>IFERROR(VLOOKUP($M10335,'Informations sur les produits'!$A$3:$H$10000,8,FALSE),"0")</f>
        <v>0</v>
      </c>
      <c r="P10335" s="33">
        <f t="shared" si="644"/>
        <v>0</v>
      </c>
      <c r="Q10335" s="31" t="str">
        <f t="shared" si="645"/>
        <v/>
      </c>
      <c r="R10335" s="32" t="str">
        <f>IFERROR(VLOOKUP($D10335,'Informations sur les produits'!$A$3:$B$15000,2,FALSE),"")</f>
        <v/>
      </c>
      <c r="V10335">
        <f t="shared" si="646"/>
        <v>0</v>
      </c>
      <c r="W10335">
        <f t="shared" si="647"/>
        <v>0</v>
      </c>
    </row>
    <row r="10336" spans="5:23" x14ac:dyDescent="0.25">
      <c r="E10336" s="4"/>
      <c r="F10336" s="4"/>
      <c r="G10336" s="33" t="str">
        <f>IFERROR(VLOOKUP($D10336,'Informations sur les produits'!$A$3:$H$10000,8,FALSE),"0")</f>
        <v>0</v>
      </c>
      <c r="K10336" s="4"/>
      <c r="L10336" s="33" t="str">
        <f>IFERROR(VLOOKUP($J10336,'Informations sur les produits'!$A$3:$H$10000,8,FALSE),"0")</f>
        <v>0</v>
      </c>
      <c r="N10336" s="8"/>
      <c r="O10336" s="33" t="str">
        <f>IFERROR(VLOOKUP($M10336,'Informations sur les produits'!$A$3:$H$10000,8,FALSE),"0")</f>
        <v>0</v>
      </c>
      <c r="P10336" s="33">
        <f t="shared" si="644"/>
        <v>0</v>
      </c>
      <c r="Q10336" s="31" t="str">
        <f t="shared" si="645"/>
        <v/>
      </c>
      <c r="R10336" s="32" t="str">
        <f>IFERROR(VLOOKUP($D10336,'Informations sur les produits'!$A$3:$B$15000,2,FALSE),"")</f>
        <v/>
      </c>
      <c r="V10336">
        <f t="shared" si="646"/>
        <v>0</v>
      </c>
      <c r="W10336">
        <f t="shared" si="647"/>
        <v>0</v>
      </c>
    </row>
    <row r="10337" spans="5:23" x14ac:dyDescent="0.25">
      <c r="E10337" s="4"/>
      <c r="F10337" s="4"/>
      <c r="G10337" s="33" t="str">
        <f>IFERROR(VLOOKUP($D10337,'Informations sur les produits'!$A$3:$H$10000,8,FALSE),"0")</f>
        <v>0</v>
      </c>
      <c r="K10337" s="4"/>
      <c r="L10337" s="33" t="str">
        <f>IFERROR(VLOOKUP($J10337,'Informations sur les produits'!$A$3:$H$10000,8,FALSE),"0")</f>
        <v>0</v>
      </c>
      <c r="N10337" s="8"/>
      <c r="O10337" s="33" t="str">
        <f>IFERROR(VLOOKUP($M10337,'Informations sur les produits'!$A$3:$H$10000,8,FALSE),"0")</f>
        <v>0</v>
      </c>
      <c r="P10337" s="33">
        <f t="shared" si="644"/>
        <v>0</v>
      </c>
      <c r="Q10337" s="31" t="str">
        <f t="shared" si="645"/>
        <v/>
      </c>
      <c r="R10337" s="32" t="str">
        <f>IFERROR(VLOOKUP($D10337,'Informations sur les produits'!$A$3:$B$15000,2,FALSE),"")</f>
        <v/>
      </c>
      <c r="V10337">
        <f t="shared" si="646"/>
        <v>0</v>
      </c>
      <c r="W10337">
        <f t="shared" si="647"/>
        <v>0</v>
      </c>
    </row>
    <row r="10338" spans="5:23" x14ac:dyDescent="0.25">
      <c r="E10338" s="4"/>
      <c r="F10338" s="4"/>
      <c r="G10338" s="33" t="str">
        <f>IFERROR(VLOOKUP($D10338,'Informations sur les produits'!$A$3:$H$10000,8,FALSE),"0")</f>
        <v>0</v>
      </c>
      <c r="K10338" s="4"/>
      <c r="L10338" s="33" t="str">
        <f>IFERROR(VLOOKUP($J10338,'Informations sur les produits'!$A$3:$H$10000,8,FALSE),"0")</f>
        <v>0</v>
      </c>
      <c r="N10338" s="8"/>
      <c r="O10338" s="33" t="str">
        <f>IFERROR(VLOOKUP($M10338,'Informations sur les produits'!$A$3:$H$10000,8,FALSE),"0")</f>
        <v>0</v>
      </c>
      <c r="P10338" s="33">
        <f t="shared" si="644"/>
        <v>0</v>
      </c>
      <c r="Q10338" s="31" t="str">
        <f t="shared" si="645"/>
        <v/>
      </c>
      <c r="R10338" s="32" t="str">
        <f>IFERROR(VLOOKUP($D10338,'Informations sur les produits'!$A$3:$B$15000,2,FALSE),"")</f>
        <v/>
      </c>
      <c r="V10338">
        <f t="shared" si="646"/>
        <v>0</v>
      </c>
      <c r="W10338">
        <f t="shared" si="647"/>
        <v>0</v>
      </c>
    </row>
    <row r="10339" spans="5:23" x14ac:dyDescent="0.25">
      <c r="E10339" s="4"/>
      <c r="F10339" s="4"/>
      <c r="G10339" s="33" t="str">
        <f>IFERROR(VLOOKUP($D10339,'Informations sur les produits'!$A$3:$H$10000,8,FALSE),"0")</f>
        <v>0</v>
      </c>
      <c r="K10339" s="4"/>
      <c r="L10339" s="33" t="str">
        <f>IFERROR(VLOOKUP($J10339,'Informations sur les produits'!$A$3:$H$10000,8,FALSE),"0")</f>
        <v>0</v>
      </c>
      <c r="N10339" s="8"/>
      <c r="O10339" s="33" t="str">
        <f>IFERROR(VLOOKUP($M10339,'Informations sur les produits'!$A$3:$H$10000,8,FALSE),"0")</f>
        <v>0</v>
      </c>
      <c r="P10339" s="33">
        <f t="shared" si="644"/>
        <v>0</v>
      </c>
      <c r="Q10339" s="31" t="str">
        <f t="shared" si="645"/>
        <v/>
      </c>
      <c r="R10339" s="32" t="str">
        <f>IFERROR(VLOOKUP($D10339,'Informations sur les produits'!$A$3:$B$15000,2,FALSE),"")</f>
        <v/>
      </c>
      <c r="V10339">
        <f t="shared" si="646"/>
        <v>0</v>
      </c>
      <c r="W10339">
        <f t="shared" si="647"/>
        <v>0</v>
      </c>
    </row>
    <row r="10340" spans="5:23" x14ac:dyDescent="0.25">
      <c r="E10340" s="4"/>
      <c r="F10340" s="4"/>
      <c r="G10340" s="33" t="str">
        <f>IFERROR(VLOOKUP($D10340,'Informations sur les produits'!$A$3:$H$10000,8,FALSE),"0")</f>
        <v>0</v>
      </c>
      <c r="K10340" s="4"/>
      <c r="L10340" s="33" t="str">
        <f>IFERROR(VLOOKUP($J10340,'Informations sur les produits'!$A$3:$H$10000,8,FALSE),"0")</f>
        <v>0</v>
      </c>
      <c r="N10340" s="8"/>
      <c r="O10340" s="33" t="str">
        <f>IFERROR(VLOOKUP($M10340,'Informations sur les produits'!$A$3:$H$10000,8,FALSE),"0")</f>
        <v>0</v>
      </c>
      <c r="P10340" s="33">
        <f t="shared" si="644"/>
        <v>0</v>
      </c>
      <c r="Q10340" s="31" t="str">
        <f t="shared" si="645"/>
        <v/>
      </c>
      <c r="R10340" s="32" t="str">
        <f>IFERROR(VLOOKUP($D10340,'Informations sur les produits'!$A$3:$B$15000,2,FALSE),"")</f>
        <v/>
      </c>
      <c r="V10340">
        <f t="shared" si="646"/>
        <v>0</v>
      </c>
      <c r="W10340">
        <f t="shared" si="647"/>
        <v>0</v>
      </c>
    </row>
    <row r="10341" spans="5:23" x14ac:dyDescent="0.25">
      <c r="E10341" s="4"/>
      <c r="F10341" s="4"/>
      <c r="G10341" s="33" t="str">
        <f>IFERROR(VLOOKUP($D10341,'Informations sur les produits'!$A$3:$H$10000,8,FALSE),"0")</f>
        <v>0</v>
      </c>
      <c r="K10341" s="4"/>
      <c r="L10341" s="33" t="str">
        <f>IFERROR(VLOOKUP($J10341,'Informations sur les produits'!$A$3:$H$10000,8,FALSE),"0")</f>
        <v>0</v>
      </c>
      <c r="N10341" s="8"/>
      <c r="O10341" s="33" t="str">
        <f>IFERROR(VLOOKUP($M10341,'Informations sur les produits'!$A$3:$H$10000,8,FALSE),"0")</f>
        <v>0</v>
      </c>
      <c r="P10341" s="33">
        <f t="shared" si="644"/>
        <v>0</v>
      </c>
      <c r="Q10341" s="31" t="str">
        <f t="shared" si="645"/>
        <v/>
      </c>
      <c r="R10341" s="32" t="str">
        <f>IFERROR(VLOOKUP($D10341,'Informations sur les produits'!$A$3:$B$15000,2,FALSE),"")</f>
        <v/>
      </c>
      <c r="V10341">
        <f t="shared" si="646"/>
        <v>0</v>
      </c>
      <c r="W10341">
        <f t="shared" si="647"/>
        <v>0</v>
      </c>
    </row>
    <row r="10342" spans="5:23" x14ac:dyDescent="0.25">
      <c r="E10342" s="4"/>
      <c r="F10342" s="4"/>
      <c r="G10342" s="33" t="str">
        <f>IFERROR(VLOOKUP($D10342,'Informations sur les produits'!$A$3:$H$10000,8,FALSE),"0")</f>
        <v>0</v>
      </c>
      <c r="K10342" s="4"/>
      <c r="L10342" s="33" t="str">
        <f>IFERROR(VLOOKUP($J10342,'Informations sur les produits'!$A$3:$H$10000,8,FALSE),"0")</f>
        <v>0</v>
      </c>
      <c r="N10342" s="8"/>
      <c r="O10342" s="33" t="str">
        <f>IFERROR(VLOOKUP($M10342,'Informations sur les produits'!$A$3:$H$10000,8,FALSE),"0")</f>
        <v>0</v>
      </c>
      <c r="P10342" s="33">
        <f t="shared" si="644"/>
        <v>0</v>
      </c>
      <c r="Q10342" s="31" t="str">
        <f t="shared" si="645"/>
        <v/>
      </c>
      <c r="R10342" s="32" t="str">
        <f>IFERROR(VLOOKUP($D10342,'Informations sur les produits'!$A$3:$B$15000,2,FALSE),"")</f>
        <v/>
      </c>
      <c r="V10342">
        <f t="shared" si="646"/>
        <v>0</v>
      </c>
      <c r="W10342">
        <f t="shared" si="647"/>
        <v>0</v>
      </c>
    </row>
    <row r="10343" spans="5:23" x14ac:dyDescent="0.25">
      <c r="E10343" s="4"/>
      <c r="F10343" s="4"/>
      <c r="G10343" s="33" t="str">
        <f>IFERROR(VLOOKUP($D10343,'Informations sur les produits'!$A$3:$H$10000,8,FALSE),"0")</f>
        <v>0</v>
      </c>
      <c r="K10343" s="4"/>
      <c r="L10343" s="33" t="str">
        <f>IFERROR(VLOOKUP($J10343,'Informations sur les produits'!$A$3:$H$10000,8,FALSE),"0")</f>
        <v>0</v>
      </c>
      <c r="N10343" s="8"/>
      <c r="O10343" s="33" t="str">
        <f>IFERROR(VLOOKUP($M10343,'Informations sur les produits'!$A$3:$H$10000,8,FALSE),"0")</f>
        <v>0</v>
      </c>
      <c r="P10343" s="33">
        <f t="shared" si="644"/>
        <v>0</v>
      </c>
      <c r="Q10343" s="31" t="str">
        <f t="shared" si="645"/>
        <v/>
      </c>
      <c r="R10343" s="32" t="str">
        <f>IFERROR(VLOOKUP($D10343,'Informations sur les produits'!$A$3:$B$15000,2,FALSE),"")</f>
        <v/>
      </c>
      <c r="V10343">
        <f t="shared" si="646"/>
        <v>0</v>
      </c>
      <c r="W10343">
        <f t="shared" si="647"/>
        <v>0</v>
      </c>
    </row>
    <row r="10344" spans="5:23" x14ac:dyDescent="0.25">
      <c r="E10344" s="4"/>
      <c r="F10344" s="4"/>
      <c r="G10344" s="33" t="str">
        <f>IFERROR(VLOOKUP($D10344,'Informations sur les produits'!$A$3:$H$10000,8,FALSE),"0")</f>
        <v>0</v>
      </c>
      <c r="K10344" s="4"/>
      <c r="L10344" s="33" t="str">
        <f>IFERROR(VLOOKUP($J10344,'Informations sur les produits'!$A$3:$H$10000,8,FALSE),"0")</f>
        <v>0</v>
      </c>
      <c r="N10344" s="8"/>
      <c r="O10344" s="33" t="str">
        <f>IFERROR(VLOOKUP($M10344,'Informations sur les produits'!$A$3:$H$10000,8,FALSE),"0")</f>
        <v>0</v>
      </c>
      <c r="P10344" s="33">
        <f t="shared" si="644"/>
        <v>0</v>
      </c>
      <c r="Q10344" s="31" t="str">
        <f t="shared" si="645"/>
        <v/>
      </c>
      <c r="R10344" s="32" t="str">
        <f>IFERROR(VLOOKUP($D10344,'Informations sur les produits'!$A$3:$B$15000,2,FALSE),"")</f>
        <v/>
      </c>
      <c r="V10344">
        <f t="shared" si="646"/>
        <v>0</v>
      </c>
      <c r="W10344">
        <f t="shared" si="647"/>
        <v>0</v>
      </c>
    </row>
    <row r="10345" spans="5:23" x14ac:dyDescent="0.25">
      <c r="E10345" s="4"/>
      <c r="F10345" s="4"/>
      <c r="G10345" s="33" t="str">
        <f>IFERROR(VLOOKUP($D10345,'Informations sur les produits'!$A$3:$H$10000,8,FALSE),"0")</f>
        <v>0</v>
      </c>
      <c r="K10345" s="4"/>
      <c r="L10345" s="33" t="str">
        <f>IFERROR(VLOOKUP($J10345,'Informations sur les produits'!$A$3:$H$10000,8,FALSE),"0")</f>
        <v>0</v>
      </c>
      <c r="N10345" s="8"/>
      <c r="O10345" s="33" t="str">
        <f>IFERROR(VLOOKUP($M10345,'Informations sur les produits'!$A$3:$H$10000,8,FALSE),"0")</f>
        <v>0</v>
      </c>
      <c r="P10345" s="33">
        <f t="shared" si="644"/>
        <v>0</v>
      </c>
      <c r="Q10345" s="31" t="str">
        <f t="shared" si="645"/>
        <v/>
      </c>
      <c r="R10345" s="32" t="str">
        <f>IFERROR(VLOOKUP($D10345,'Informations sur les produits'!$A$3:$B$15000,2,FALSE),"")</f>
        <v/>
      </c>
      <c r="V10345">
        <f t="shared" si="646"/>
        <v>0</v>
      </c>
      <c r="W10345">
        <f t="shared" si="647"/>
        <v>0</v>
      </c>
    </row>
    <row r="10346" spans="5:23" x14ac:dyDescent="0.25">
      <c r="E10346" s="4"/>
      <c r="F10346" s="4"/>
      <c r="G10346" s="33" t="str">
        <f>IFERROR(VLOOKUP($D10346,'Informations sur les produits'!$A$3:$H$10000,8,FALSE),"0")</f>
        <v>0</v>
      </c>
      <c r="K10346" s="4"/>
      <c r="L10346" s="33" t="str">
        <f>IFERROR(VLOOKUP($J10346,'Informations sur les produits'!$A$3:$H$10000,8,FALSE),"0")</f>
        <v>0</v>
      </c>
      <c r="N10346" s="8"/>
      <c r="O10346" s="33" t="str">
        <f>IFERROR(VLOOKUP($M10346,'Informations sur les produits'!$A$3:$H$10000,8,FALSE),"0")</f>
        <v>0</v>
      </c>
      <c r="P10346" s="33">
        <f t="shared" si="644"/>
        <v>0</v>
      </c>
      <c r="Q10346" s="31" t="str">
        <f t="shared" si="645"/>
        <v/>
      </c>
      <c r="R10346" s="32" t="str">
        <f>IFERROR(VLOOKUP($D10346,'Informations sur les produits'!$A$3:$B$15000,2,FALSE),"")</f>
        <v/>
      </c>
      <c r="V10346">
        <f t="shared" si="646"/>
        <v>0</v>
      </c>
      <c r="W10346">
        <f t="shared" si="647"/>
        <v>0</v>
      </c>
    </row>
    <row r="10347" spans="5:23" x14ac:dyDescent="0.25">
      <c r="E10347" s="4"/>
      <c r="F10347" s="4"/>
      <c r="G10347" s="33" t="str">
        <f>IFERROR(VLOOKUP($D10347,'Informations sur les produits'!$A$3:$H$10000,8,FALSE),"0")</f>
        <v>0</v>
      </c>
      <c r="K10347" s="4"/>
      <c r="L10347" s="33" t="str">
        <f>IFERROR(VLOOKUP($J10347,'Informations sur les produits'!$A$3:$H$10000,8,FALSE),"0")</f>
        <v>0</v>
      </c>
      <c r="N10347" s="8"/>
      <c r="O10347" s="33" t="str">
        <f>IFERROR(VLOOKUP($M10347,'Informations sur les produits'!$A$3:$H$10000,8,FALSE),"0")</f>
        <v>0</v>
      </c>
      <c r="P10347" s="33">
        <f t="shared" si="644"/>
        <v>0</v>
      </c>
      <c r="Q10347" s="31" t="str">
        <f t="shared" si="645"/>
        <v/>
      </c>
      <c r="R10347" s="32" t="str">
        <f>IFERROR(VLOOKUP($D10347,'Informations sur les produits'!$A$3:$B$15000,2,FALSE),"")</f>
        <v/>
      </c>
      <c r="V10347">
        <f t="shared" si="646"/>
        <v>0</v>
      </c>
      <c r="W10347">
        <f t="shared" si="647"/>
        <v>0</v>
      </c>
    </row>
    <row r="10348" spans="5:23" x14ac:dyDescent="0.25">
      <c r="E10348" s="4"/>
      <c r="F10348" s="4"/>
      <c r="G10348" s="33" t="str">
        <f>IFERROR(VLOOKUP($D10348,'Informations sur les produits'!$A$3:$H$10000,8,FALSE),"0")</f>
        <v>0</v>
      </c>
      <c r="K10348" s="4"/>
      <c r="L10348" s="33" t="str">
        <f>IFERROR(VLOOKUP($J10348,'Informations sur les produits'!$A$3:$H$10000,8,FALSE),"0")</f>
        <v>0</v>
      </c>
      <c r="N10348" s="8"/>
      <c r="O10348" s="33" t="str">
        <f>IFERROR(VLOOKUP($M10348,'Informations sur les produits'!$A$3:$H$10000,8,FALSE),"0")</f>
        <v>0</v>
      </c>
      <c r="P10348" s="33">
        <f t="shared" si="644"/>
        <v>0</v>
      </c>
      <c r="Q10348" s="31" t="str">
        <f t="shared" si="645"/>
        <v/>
      </c>
      <c r="R10348" s="32" t="str">
        <f>IFERROR(VLOOKUP($D10348,'Informations sur les produits'!$A$3:$B$15000,2,FALSE),"")</f>
        <v/>
      </c>
      <c r="V10348">
        <f t="shared" si="646"/>
        <v>0</v>
      </c>
      <c r="W10348">
        <f t="shared" si="647"/>
        <v>0</v>
      </c>
    </row>
    <row r="10349" spans="5:23" x14ac:dyDescent="0.25">
      <c r="E10349" s="4"/>
      <c r="F10349" s="4"/>
      <c r="G10349" s="33" t="str">
        <f>IFERROR(VLOOKUP($D10349,'Informations sur les produits'!$A$3:$H$10000,8,FALSE),"0")</f>
        <v>0</v>
      </c>
      <c r="K10349" s="4"/>
      <c r="L10349" s="33" t="str">
        <f>IFERROR(VLOOKUP($J10349,'Informations sur les produits'!$A$3:$H$10000,8,FALSE),"0")</f>
        <v>0</v>
      </c>
      <c r="N10349" s="8"/>
      <c r="O10349" s="33" t="str">
        <f>IFERROR(VLOOKUP($M10349,'Informations sur les produits'!$A$3:$H$10000,8,FALSE),"0")</f>
        <v>0</v>
      </c>
      <c r="P10349" s="33">
        <f t="shared" si="644"/>
        <v>0</v>
      </c>
      <c r="Q10349" s="31" t="str">
        <f t="shared" si="645"/>
        <v/>
      </c>
      <c r="R10349" s="32" t="str">
        <f>IFERROR(VLOOKUP($D10349,'Informations sur les produits'!$A$3:$B$15000,2,FALSE),"")</f>
        <v/>
      </c>
      <c r="V10349">
        <f t="shared" si="646"/>
        <v>0</v>
      </c>
      <c r="W10349">
        <f t="shared" si="647"/>
        <v>0</v>
      </c>
    </row>
    <row r="10350" spans="5:23" x14ac:dyDescent="0.25">
      <c r="E10350" s="4"/>
      <c r="F10350" s="4"/>
      <c r="G10350" s="33" t="str">
        <f>IFERROR(VLOOKUP($D10350,'Informations sur les produits'!$A$3:$H$10000,8,FALSE),"0")</f>
        <v>0</v>
      </c>
      <c r="K10350" s="4"/>
      <c r="L10350" s="33" t="str">
        <f>IFERROR(VLOOKUP($J10350,'Informations sur les produits'!$A$3:$H$10000,8,FALSE),"0")</f>
        <v>0</v>
      </c>
      <c r="N10350" s="8"/>
      <c r="O10350" s="33" t="str">
        <f>IFERROR(VLOOKUP($M10350,'Informations sur les produits'!$A$3:$H$10000,8,FALSE),"0")</f>
        <v>0</v>
      </c>
      <c r="P10350" s="33">
        <f t="shared" si="644"/>
        <v>0</v>
      </c>
      <c r="Q10350" s="31" t="str">
        <f t="shared" si="645"/>
        <v/>
      </c>
      <c r="R10350" s="32" t="str">
        <f>IFERROR(VLOOKUP($D10350,'Informations sur les produits'!$A$3:$B$15000,2,FALSE),"")</f>
        <v/>
      </c>
      <c r="V10350">
        <f t="shared" si="646"/>
        <v>0</v>
      </c>
      <c r="W10350">
        <f t="shared" si="647"/>
        <v>0</v>
      </c>
    </row>
    <row r="10351" spans="5:23" x14ac:dyDescent="0.25">
      <c r="E10351" s="4"/>
      <c r="F10351" s="4"/>
      <c r="G10351" s="33" t="str">
        <f>IFERROR(VLOOKUP($D10351,'Informations sur les produits'!$A$3:$H$10000,8,FALSE),"0")</f>
        <v>0</v>
      </c>
      <c r="K10351" s="4"/>
      <c r="L10351" s="33" t="str">
        <f>IFERROR(VLOOKUP($J10351,'Informations sur les produits'!$A$3:$H$10000,8,FALSE),"0")</f>
        <v>0</v>
      </c>
      <c r="N10351" s="8"/>
      <c r="O10351" s="33" t="str">
        <f>IFERROR(VLOOKUP($M10351,'Informations sur les produits'!$A$3:$H$10000,8,FALSE),"0")</f>
        <v>0</v>
      </c>
      <c r="P10351" s="33">
        <f t="shared" si="644"/>
        <v>0</v>
      </c>
      <c r="Q10351" s="31" t="str">
        <f t="shared" si="645"/>
        <v/>
      </c>
      <c r="R10351" s="32" t="str">
        <f>IFERROR(VLOOKUP($D10351,'Informations sur les produits'!$A$3:$B$15000,2,FALSE),"")</f>
        <v/>
      </c>
      <c r="V10351">
        <f t="shared" si="646"/>
        <v>0</v>
      </c>
      <c r="W10351">
        <f t="shared" si="647"/>
        <v>0</v>
      </c>
    </row>
    <row r="10352" spans="5:23" x14ac:dyDescent="0.25">
      <c r="E10352" s="4"/>
      <c r="F10352" s="4"/>
      <c r="G10352" s="33" t="str">
        <f>IFERROR(VLOOKUP($D10352,'Informations sur les produits'!$A$3:$H$10000,8,FALSE),"0")</f>
        <v>0</v>
      </c>
      <c r="K10352" s="4"/>
      <c r="L10352" s="33" t="str">
        <f>IFERROR(VLOOKUP($J10352,'Informations sur les produits'!$A$3:$H$10000,8,FALSE),"0")</f>
        <v>0</v>
      </c>
      <c r="N10352" s="8"/>
      <c r="O10352" s="33" t="str">
        <f>IFERROR(VLOOKUP($M10352,'Informations sur les produits'!$A$3:$H$10000,8,FALSE),"0")</f>
        <v>0</v>
      </c>
      <c r="P10352" s="33">
        <f t="shared" si="644"/>
        <v>0</v>
      </c>
      <c r="Q10352" s="31" t="str">
        <f t="shared" si="645"/>
        <v/>
      </c>
      <c r="R10352" s="32" t="str">
        <f>IFERROR(VLOOKUP($D10352,'Informations sur les produits'!$A$3:$B$15000,2,FALSE),"")</f>
        <v/>
      </c>
      <c r="V10352">
        <f t="shared" si="646"/>
        <v>0</v>
      </c>
      <c r="W10352">
        <f t="shared" si="647"/>
        <v>0</v>
      </c>
    </row>
    <row r="10353" spans="5:23" x14ac:dyDescent="0.25">
      <c r="E10353" s="4"/>
      <c r="F10353" s="4"/>
      <c r="G10353" s="33" t="str">
        <f>IFERROR(VLOOKUP($D10353,'Informations sur les produits'!$A$3:$H$10000,8,FALSE),"0")</f>
        <v>0</v>
      </c>
      <c r="K10353" s="4"/>
      <c r="L10353" s="33" t="str">
        <f>IFERROR(VLOOKUP($J10353,'Informations sur les produits'!$A$3:$H$10000,8,FALSE),"0")</f>
        <v>0</v>
      </c>
      <c r="N10353" s="8"/>
      <c r="O10353" s="33" t="str">
        <f>IFERROR(VLOOKUP($M10353,'Informations sur les produits'!$A$3:$H$10000,8,FALSE),"0")</f>
        <v>0</v>
      </c>
      <c r="P10353" s="33">
        <f t="shared" si="644"/>
        <v>0</v>
      </c>
      <c r="Q10353" s="31" t="str">
        <f t="shared" si="645"/>
        <v/>
      </c>
      <c r="R10353" s="32" t="str">
        <f>IFERROR(VLOOKUP($D10353,'Informations sur les produits'!$A$3:$B$15000,2,FALSE),"")</f>
        <v/>
      </c>
      <c r="V10353">
        <f t="shared" si="646"/>
        <v>0</v>
      </c>
      <c r="W10353">
        <f t="shared" si="647"/>
        <v>0</v>
      </c>
    </row>
    <row r="10354" spans="5:23" x14ac:dyDescent="0.25">
      <c r="E10354" s="4"/>
      <c r="F10354" s="4"/>
      <c r="G10354" s="33" t="str">
        <f>IFERROR(VLOOKUP($D10354,'Informations sur les produits'!$A$3:$H$10000,8,FALSE),"0")</f>
        <v>0</v>
      </c>
      <c r="K10354" s="4"/>
      <c r="L10354" s="33" t="str">
        <f>IFERROR(VLOOKUP($J10354,'Informations sur les produits'!$A$3:$H$10000,8,FALSE),"0")</f>
        <v>0</v>
      </c>
      <c r="N10354" s="8"/>
      <c r="O10354" s="33" t="str">
        <f>IFERROR(VLOOKUP($M10354,'Informations sur les produits'!$A$3:$H$10000,8,FALSE),"0")</f>
        <v>0</v>
      </c>
      <c r="P10354" s="33">
        <f t="shared" si="644"/>
        <v>0</v>
      </c>
      <c r="Q10354" s="31" t="str">
        <f t="shared" si="645"/>
        <v/>
      </c>
      <c r="R10354" s="32" t="str">
        <f>IFERROR(VLOOKUP($D10354,'Informations sur les produits'!$A$3:$B$15000,2,FALSE),"")</f>
        <v/>
      </c>
      <c r="V10354">
        <f t="shared" si="646"/>
        <v>0</v>
      </c>
      <c r="W10354">
        <f t="shared" si="647"/>
        <v>0</v>
      </c>
    </row>
    <row r="10355" spans="5:23" x14ac:dyDescent="0.25">
      <c r="E10355" s="4"/>
      <c r="F10355" s="4"/>
      <c r="G10355" s="33" t="str">
        <f>IFERROR(VLOOKUP($D10355,'Informations sur les produits'!$A$3:$H$10000,8,FALSE),"0")</f>
        <v>0</v>
      </c>
      <c r="K10355" s="4"/>
      <c r="L10355" s="33" t="str">
        <f>IFERROR(VLOOKUP($J10355,'Informations sur les produits'!$A$3:$H$10000,8,FALSE),"0")</f>
        <v>0</v>
      </c>
      <c r="N10355" s="8"/>
      <c r="O10355" s="33" t="str">
        <f>IFERROR(VLOOKUP($M10355,'Informations sur les produits'!$A$3:$H$10000,8,FALSE),"0")</f>
        <v>0</v>
      </c>
      <c r="P10355" s="33">
        <f t="shared" si="644"/>
        <v>0</v>
      </c>
      <c r="Q10355" s="31" t="str">
        <f t="shared" si="645"/>
        <v/>
      </c>
      <c r="R10355" s="32" t="str">
        <f>IFERROR(VLOOKUP($D10355,'Informations sur les produits'!$A$3:$B$15000,2,FALSE),"")</f>
        <v/>
      </c>
      <c r="V10355">
        <f t="shared" si="646"/>
        <v>0</v>
      </c>
      <c r="W10355">
        <f t="shared" si="647"/>
        <v>0</v>
      </c>
    </row>
    <row r="10356" spans="5:23" x14ac:dyDescent="0.25">
      <c r="E10356" s="4"/>
      <c r="F10356" s="4"/>
      <c r="G10356" s="33" t="str">
        <f>IFERROR(VLOOKUP($D10356,'Informations sur les produits'!$A$3:$H$10000,8,FALSE),"0")</f>
        <v>0</v>
      </c>
      <c r="K10356" s="4"/>
      <c r="L10356" s="33" t="str">
        <f>IFERROR(VLOOKUP($J10356,'Informations sur les produits'!$A$3:$H$10000,8,FALSE),"0")</f>
        <v>0</v>
      </c>
      <c r="N10356" s="8"/>
      <c r="O10356" s="33" t="str">
        <f>IFERROR(VLOOKUP($M10356,'Informations sur les produits'!$A$3:$H$10000,8,FALSE),"0")</f>
        <v>0</v>
      </c>
      <c r="P10356" s="33">
        <f t="shared" si="644"/>
        <v>0</v>
      </c>
      <c r="Q10356" s="31" t="str">
        <f t="shared" si="645"/>
        <v/>
      </c>
      <c r="R10356" s="32" t="str">
        <f>IFERROR(VLOOKUP($D10356,'Informations sur les produits'!$A$3:$B$15000,2,FALSE),"")</f>
        <v/>
      </c>
      <c r="V10356">
        <f t="shared" si="646"/>
        <v>0</v>
      </c>
      <c r="W10356">
        <f t="shared" si="647"/>
        <v>0</v>
      </c>
    </row>
    <row r="10357" spans="5:23" x14ac:dyDescent="0.25">
      <c r="E10357" s="4"/>
      <c r="F10357" s="4"/>
      <c r="G10357" s="33" t="str">
        <f>IFERROR(VLOOKUP($D10357,'Informations sur les produits'!$A$3:$H$10000,8,FALSE),"0")</f>
        <v>0</v>
      </c>
      <c r="K10357" s="4"/>
      <c r="L10357" s="33" t="str">
        <f>IFERROR(VLOOKUP($J10357,'Informations sur les produits'!$A$3:$H$10000,8,FALSE),"0")</f>
        <v>0</v>
      </c>
      <c r="N10357" s="8"/>
      <c r="O10357" s="33" t="str">
        <f>IFERROR(VLOOKUP($M10357,'Informations sur les produits'!$A$3:$H$10000,8,FALSE),"0")</f>
        <v>0</v>
      </c>
      <c r="P10357" s="33">
        <f t="shared" si="644"/>
        <v>0</v>
      </c>
      <c r="Q10357" s="31" t="str">
        <f t="shared" si="645"/>
        <v/>
      </c>
      <c r="R10357" s="32" t="str">
        <f>IFERROR(VLOOKUP($D10357,'Informations sur les produits'!$A$3:$B$15000,2,FALSE),"")</f>
        <v/>
      </c>
      <c r="V10357">
        <f t="shared" si="646"/>
        <v>0</v>
      </c>
      <c r="W10357">
        <f t="shared" si="647"/>
        <v>0</v>
      </c>
    </row>
    <row r="10358" spans="5:23" x14ac:dyDescent="0.25">
      <c r="E10358" s="4"/>
      <c r="F10358" s="4"/>
      <c r="G10358" s="33" t="str">
        <f>IFERROR(VLOOKUP($D10358,'Informations sur les produits'!$A$3:$H$10000,8,FALSE),"0")</f>
        <v>0</v>
      </c>
      <c r="K10358" s="4"/>
      <c r="L10358" s="33" t="str">
        <f>IFERROR(VLOOKUP($J10358,'Informations sur les produits'!$A$3:$H$10000,8,FALSE),"0")</f>
        <v>0</v>
      </c>
      <c r="N10358" s="8"/>
      <c r="O10358" s="33" t="str">
        <f>IFERROR(VLOOKUP($M10358,'Informations sur les produits'!$A$3:$H$10000,8,FALSE),"0")</f>
        <v>0</v>
      </c>
      <c r="P10358" s="33">
        <f t="shared" si="644"/>
        <v>0</v>
      </c>
      <c r="Q10358" s="31" t="str">
        <f t="shared" si="645"/>
        <v/>
      </c>
      <c r="R10358" s="32" t="str">
        <f>IFERROR(VLOOKUP($D10358,'Informations sur les produits'!$A$3:$B$15000,2,FALSE),"")</f>
        <v/>
      </c>
      <c r="V10358">
        <f t="shared" si="646"/>
        <v>0</v>
      </c>
      <c r="W10358">
        <f t="shared" si="647"/>
        <v>0</v>
      </c>
    </row>
    <row r="10359" spans="5:23" x14ac:dyDescent="0.25">
      <c r="E10359" s="4"/>
      <c r="F10359" s="4"/>
      <c r="G10359" s="33" t="str">
        <f>IFERROR(VLOOKUP($D10359,'Informations sur les produits'!$A$3:$H$10000,8,FALSE),"0")</f>
        <v>0</v>
      </c>
      <c r="K10359" s="4"/>
      <c r="L10359" s="33" t="str">
        <f>IFERROR(VLOOKUP($J10359,'Informations sur les produits'!$A$3:$H$10000,8,FALSE),"0")</f>
        <v>0</v>
      </c>
      <c r="N10359" s="8"/>
      <c r="O10359" s="33" t="str">
        <f>IFERROR(VLOOKUP($M10359,'Informations sur les produits'!$A$3:$H$10000,8,FALSE),"0")</f>
        <v>0</v>
      </c>
      <c r="P10359" s="33">
        <f t="shared" si="644"/>
        <v>0</v>
      </c>
      <c r="Q10359" s="31" t="str">
        <f t="shared" si="645"/>
        <v/>
      </c>
      <c r="R10359" s="32" t="str">
        <f>IFERROR(VLOOKUP($D10359,'Informations sur les produits'!$A$3:$B$15000,2,FALSE),"")</f>
        <v/>
      </c>
      <c r="V10359">
        <f t="shared" si="646"/>
        <v>0</v>
      </c>
      <c r="W10359">
        <f t="shared" si="647"/>
        <v>0</v>
      </c>
    </row>
    <row r="10360" spans="5:23" x14ac:dyDescent="0.25">
      <c r="E10360" s="4"/>
      <c r="F10360" s="4"/>
      <c r="G10360" s="33" t="str">
        <f>IFERROR(VLOOKUP($D10360,'Informations sur les produits'!$A$3:$H$10000,8,FALSE),"0")</f>
        <v>0</v>
      </c>
      <c r="K10360" s="4"/>
      <c r="L10360" s="33" t="str">
        <f>IFERROR(VLOOKUP($J10360,'Informations sur les produits'!$A$3:$H$10000,8,FALSE),"0")</f>
        <v>0</v>
      </c>
      <c r="N10360" s="8"/>
      <c r="O10360" s="33" t="str">
        <f>IFERROR(VLOOKUP($M10360,'Informations sur les produits'!$A$3:$H$10000,8,FALSE),"0")</f>
        <v>0</v>
      </c>
      <c r="P10360" s="33">
        <f t="shared" si="644"/>
        <v>0</v>
      </c>
      <c r="Q10360" s="31" t="str">
        <f t="shared" si="645"/>
        <v/>
      </c>
      <c r="R10360" s="32" t="str">
        <f>IFERROR(VLOOKUP($D10360,'Informations sur les produits'!$A$3:$B$15000,2,FALSE),"")</f>
        <v/>
      </c>
      <c r="V10360">
        <f t="shared" si="646"/>
        <v>0</v>
      </c>
      <c r="W10360">
        <f t="shared" si="647"/>
        <v>0</v>
      </c>
    </row>
    <row r="10361" spans="5:23" x14ac:dyDescent="0.25">
      <c r="E10361" s="4"/>
      <c r="F10361" s="4"/>
      <c r="G10361" s="33" t="str">
        <f>IFERROR(VLOOKUP($D10361,'Informations sur les produits'!$A$3:$H$10000,8,FALSE),"0")</f>
        <v>0</v>
      </c>
      <c r="K10361" s="4"/>
      <c r="L10361" s="33" t="str">
        <f>IFERROR(VLOOKUP($J10361,'Informations sur les produits'!$A$3:$H$10000,8,FALSE),"0")</f>
        <v>0</v>
      </c>
      <c r="N10361" s="8"/>
      <c r="O10361" s="33" t="str">
        <f>IFERROR(VLOOKUP($M10361,'Informations sur les produits'!$A$3:$H$10000,8,FALSE),"0")</f>
        <v>0</v>
      </c>
      <c r="P10361" s="33">
        <f t="shared" si="644"/>
        <v>0</v>
      </c>
      <c r="Q10361" s="31" t="str">
        <f t="shared" si="645"/>
        <v/>
      </c>
      <c r="R10361" s="32" t="str">
        <f>IFERROR(VLOOKUP($D10361,'Informations sur les produits'!$A$3:$B$15000,2,FALSE),"")</f>
        <v/>
      </c>
      <c r="V10361">
        <f t="shared" si="646"/>
        <v>0</v>
      </c>
      <c r="W10361">
        <f t="shared" si="647"/>
        <v>0</v>
      </c>
    </row>
    <row r="10362" spans="5:23" x14ac:dyDescent="0.25">
      <c r="E10362" s="4"/>
      <c r="F10362" s="4"/>
      <c r="G10362" s="33" t="str">
        <f>IFERROR(VLOOKUP($D10362,'Informations sur les produits'!$A$3:$H$10000,8,FALSE),"0")</f>
        <v>0</v>
      </c>
      <c r="K10362" s="4"/>
      <c r="L10362" s="33" t="str">
        <f>IFERROR(VLOOKUP($J10362,'Informations sur les produits'!$A$3:$H$10000,8,FALSE),"0")</f>
        <v>0</v>
      </c>
      <c r="N10362" s="8"/>
      <c r="O10362" s="33" t="str">
        <f>IFERROR(VLOOKUP($M10362,'Informations sur les produits'!$A$3:$H$10000,8,FALSE),"0")</f>
        <v>0</v>
      </c>
      <c r="P10362" s="33">
        <f t="shared" si="644"/>
        <v>0</v>
      </c>
      <c r="Q10362" s="31" t="str">
        <f t="shared" si="645"/>
        <v/>
      </c>
      <c r="R10362" s="32" t="str">
        <f>IFERROR(VLOOKUP($D10362,'Informations sur les produits'!$A$3:$B$15000,2,FALSE),"")</f>
        <v/>
      </c>
      <c r="V10362">
        <f t="shared" si="646"/>
        <v>0</v>
      </c>
      <c r="W10362">
        <f t="shared" si="647"/>
        <v>0</v>
      </c>
    </row>
    <row r="10363" spans="5:23" x14ac:dyDescent="0.25">
      <c r="E10363" s="4"/>
      <c r="F10363" s="4"/>
      <c r="G10363" s="33" t="str">
        <f>IFERROR(VLOOKUP($D10363,'Informations sur les produits'!$A$3:$H$10000,8,FALSE),"0")</f>
        <v>0</v>
      </c>
      <c r="K10363" s="4"/>
      <c r="L10363" s="33" t="str">
        <f>IFERROR(VLOOKUP($J10363,'Informations sur les produits'!$A$3:$H$10000,8,FALSE),"0")</f>
        <v>0</v>
      </c>
      <c r="N10363" s="8"/>
      <c r="O10363" s="33" t="str">
        <f>IFERROR(VLOOKUP($M10363,'Informations sur les produits'!$A$3:$H$10000,8,FALSE),"0")</f>
        <v>0</v>
      </c>
      <c r="P10363" s="33">
        <f t="shared" si="644"/>
        <v>0</v>
      </c>
      <c r="Q10363" s="31" t="str">
        <f t="shared" si="645"/>
        <v/>
      </c>
      <c r="R10363" s="32" t="str">
        <f>IFERROR(VLOOKUP($D10363,'Informations sur les produits'!$A$3:$B$15000,2,FALSE),"")</f>
        <v/>
      </c>
      <c r="V10363">
        <f t="shared" si="646"/>
        <v>0</v>
      </c>
      <c r="W10363">
        <f t="shared" si="647"/>
        <v>0</v>
      </c>
    </row>
    <row r="10364" spans="5:23" x14ac:dyDescent="0.25">
      <c r="E10364" s="4"/>
      <c r="F10364" s="4"/>
      <c r="G10364" s="33" t="str">
        <f>IFERROR(VLOOKUP($D10364,'Informations sur les produits'!$A$3:$H$10000,8,FALSE),"0")</f>
        <v>0</v>
      </c>
      <c r="K10364" s="4"/>
      <c r="L10364" s="33" t="str">
        <f>IFERROR(VLOOKUP($J10364,'Informations sur les produits'!$A$3:$H$10000,8,FALSE),"0")</f>
        <v>0</v>
      </c>
      <c r="N10364" s="8"/>
      <c r="O10364" s="33" t="str">
        <f>IFERROR(VLOOKUP($M10364,'Informations sur les produits'!$A$3:$H$10000,8,FALSE),"0")</f>
        <v>0</v>
      </c>
      <c r="P10364" s="33">
        <f t="shared" si="644"/>
        <v>0</v>
      </c>
      <c r="Q10364" s="31" t="str">
        <f t="shared" si="645"/>
        <v/>
      </c>
      <c r="R10364" s="32" t="str">
        <f>IFERROR(VLOOKUP($D10364,'Informations sur les produits'!$A$3:$B$15000,2,FALSE),"")</f>
        <v/>
      </c>
      <c r="V10364">
        <f t="shared" si="646"/>
        <v>0</v>
      </c>
      <c r="W10364">
        <f t="shared" si="647"/>
        <v>0</v>
      </c>
    </row>
    <row r="10365" spans="5:23" x14ac:dyDescent="0.25">
      <c r="E10365" s="4"/>
      <c r="F10365" s="4"/>
      <c r="G10365" s="33" t="str">
        <f>IFERROR(VLOOKUP($D10365,'Informations sur les produits'!$A$3:$H$10000,8,FALSE),"0")</f>
        <v>0</v>
      </c>
      <c r="K10365" s="4"/>
      <c r="L10365" s="33" t="str">
        <f>IFERROR(VLOOKUP($J10365,'Informations sur les produits'!$A$3:$H$10000,8,FALSE),"0")</f>
        <v>0</v>
      </c>
      <c r="N10365" s="8"/>
      <c r="O10365" s="33" t="str">
        <f>IFERROR(VLOOKUP($M10365,'Informations sur les produits'!$A$3:$H$10000,8,FALSE),"0")</f>
        <v>0</v>
      </c>
      <c r="P10365" s="33">
        <f t="shared" si="644"/>
        <v>0</v>
      </c>
      <c r="Q10365" s="31" t="str">
        <f t="shared" si="645"/>
        <v/>
      </c>
      <c r="R10365" s="32" t="str">
        <f>IFERROR(VLOOKUP($D10365,'Informations sur les produits'!$A$3:$B$15000,2,FALSE),"")</f>
        <v/>
      </c>
      <c r="V10365">
        <f t="shared" si="646"/>
        <v>0</v>
      </c>
      <c r="W10365">
        <f t="shared" si="647"/>
        <v>0</v>
      </c>
    </row>
    <row r="10366" spans="5:23" x14ac:dyDescent="0.25">
      <c r="E10366" s="4"/>
      <c r="F10366" s="4"/>
      <c r="G10366" s="33" t="str">
        <f>IFERROR(VLOOKUP($D10366,'Informations sur les produits'!$A$3:$H$10000,8,FALSE),"0")</f>
        <v>0</v>
      </c>
      <c r="K10366" s="4"/>
      <c r="L10366" s="33" t="str">
        <f>IFERROR(VLOOKUP($J10366,'Informations sur les produits'!$A$3:$H$10000,8,FALSE),"0")</f>
        <v>0</v>
      </c>
      <c r="N10366" s="8"/>
      <c r="O10366" s="33" t="str">
        <f>IFERROR(VLOOKUP($M10366,'Informations sur les produits'!$A$3:$H$10000,8,FALSE),"0")</f>
        <v>0</v>
      </c>
      <c r="P10366" s="33">
        <f t="shared" si="644"/>
        <v>0</v>
      </c>
      <c r="Q10366" s="31" t="str">
        <f t="shared" si="645"/>
        <v/>
      </c>
      <c r="R10366" s="32" t="str">
        <f>IFERROR(VLOOKUP($D10366,'Informations sur les produits'!$A$3:$B$15000,2,FALSE),"")</f>
        <v/>
      </c>
      <c r="V10366">
        <f t="shared" si="646"/>
        <v>0</v>
      </c>
      <c r="W10366">
        <f t="shared" si="647"/>
        <v>0</v>
      </c>
    </row>
    <row r="10367" spans="5:23" x14ac:dyDescent="0.25">
      <c r="E10367" s="4"/>
      <c r="F10367" s="4"/>
      <c r="G10367" s="33" t="str">
        <f>IFERROR(VLOOKUP($D10367,'Informations sur les produits'!$A$3:$H$10000,8,FALSE),"0")</f>
        <v>0</v>
      </c>
      <c r="K10367" s="4"/>
      <c r="L10367" s="33" t="str">
        <f>IFERROR(VLOOKUP($J10367,'Informations sur les produits'!$A$3:$H$10000,8,FALSE),"0")</f>
        <v>0</v>
      </c>
      <c r="N10367" s="8"/>
      <c r="O10367" s="33" t="str">
        <f>IFERROR(VLOOKUP($M10367,'Informations sur les produits'!$A$3:$H$10000,8,FALSE),"0")</f>
        <v>0</v>
      </c>
      <c r="P10367" s="33">
        <f t="shared" si="644"/>
        <v>0</v>
      </c>
      <c r="Q10367" s="31" t="str">
        <f t="shared" si="645"/>
        <v/>
      </c>
      <c r="R10367" s="32" t="str">
        <f>IFERROR(VLOOKUP($D10367,'Informations sur les produits'!$A$3:$B$15000,2,FALSE),"")</f>
        <v/>
      </c>
      <c r="V10367">
        <f t="shared" si="646"/>
        <v>0</v>
      </c>
      <c r="W10367">
        <f t="shared" si="647"/>
        <v>0</v>
      </c>
    </row>
    <row r="10368" spans="5:23" x14ac:dyDescent="0.25">
      <c r="E10368" s="4"/>
      <c r="F10368" s="4"/>
      <c r="G10368" s="33" t="str">
        <f>IFERROR(VLOOKUP($D10368,'Informations sur les produits'!$A$3:$H$10000,8,FALSE),"0")</f>
        <v>0</v>
      </c>
      <c r="K10368" s="4"/>
      <c r="L10368" s="33" t="str">
        <f>IFERROR(VLOOKUP($J10368,'Informations sur les produits'!$A$3:$H$10000,8,FALSE),"0")</f>
        <v>0</v>
      </c>
      <c r="N10368" s="8"/>
      <c r="O10368" s="33" t="str">
        <f>IFERROR(VLOOKUP($M10368,'Informations sur les produits'!$A$3:$H$10000,8,FALSE),"0")</f>
        <v>0</v>
      </c>
      <c r="P10368" s="33">
        <f t="shared" si="644"/>
        <v>0</v>
      </c>
      <c r="Q10368" s="31" t="str">
        <f t="shared" si="645"/>
        <v/>
      </c>
      <c r="R10368" s="32" t="str">
        <f>IFERROR(VLOOKUP($D10368,'Informations sur les produits'!$A$3:$B$15000,2,FALSE),"")</f>
        <v/>
      </c>
      <c r="V10368">
        <f t="shared" si="646"/>
        <v>0</v>
      </c>
      <c r="W10368">
        <f t="shared" si="647"/>
        <v>0</v>
      </c>
    </row>
    <row r="10369" spans="5:23" x14ac:dyDescent="0.25">
      <c r="E10369" s="4"/>
      <c r="F10369" s="4"/>
      <c r="G10369" s="33" t="str">
        <f>IFERROR(VLOOKUP($D10369,'Informations sur les produits'!$A$3:$H$10000,8,FALSE),"0")</f>
        <v>0</v>
      </c>
      <c r="K10369" s="4"/>
      <c r="L10369" s="33" t="str">
        <f>IFERROR(VLOOKUP($J10369,'Informations sur les produits'!$A$3:$H$10000,8,FALSE),"0")</f>
        <v>0</v>
      </c>
      <c r="N10369" s="8"/>
      <c r="O10369" s="33" t="str">
        <f>IFERROR(VLOOKUP($M10369,'Informations sur les produits'!$A$3:$H$10000,8,FALSE),"0")</f>
        <v>0</v>
      </c>
      <c r="P10369" s="33">
        <f t="shared" si="644"/>
        <v>0</v>
      </c>
      <c r="Q10369" s="31" t="str">
        <f t="shared" si="645"/>
        <v/>
      </c>
      <c r="R10369" s="32" t="str">
        <f>IFERROR(VLOOKUP($D10369,'Informations sur les produits'!$A$3:$B$15000,2,FALSE),"")</f>
        <v/>
      </c>
      <c r="V10369">
        <f t="shared" si="646"/>
        <v>0</v>
      </c>
      <c r="W10369">
        <f t="shared" si="647"/>
        <v>0</v>
      </c>
    </row>
    <row r="10370" spans="5:23" x14ac:dyDescent="0.25">
      <c r="E10370" s="4"/>
      <c r="F10370" s="4"/>
      <c r="G10370" s="33" t="str">
        <f>IFERROR(VLOOKUP($D10370,'Informations sur les produits'!$A$3:$H$10000,8,FALSE),"0")</f>
        <v>0</v>
      </c>
      <c r="K10370" s="4"/>
      <c r="L10370" s="33" t="str">
        <f>IFERROR(VLOOKUP($J10370,'Informations sur les produits'!$A$3:$H$10000,8,FALSE),"0")</f>
        <v>0</v>
      </c>
      <c r="N10370" s="8"/>
      <c r="O10370" s="33" t="str">
        <f>IFERROR(VLOOKUP($M10370,'Informations sur les produits'!$A$3:$H$10000,8,FALSE),"0")</f>
        <v>0</v>
      </c>
      <c r="P10370" s="33">
        <f t="shared" si="644"/>
        <v>0</v>
      </c>
      <c r="Q10370" s="31" t="str">
        <f t="shared" si="645"/>
        <v/>
      </c>
      <c r="R10370" s="32" t="str">
        <f>IFERROR(VLOOKUP($D10370,'Informations sur les produits'!$A$3:$B$15000,2,FALSE),"")</f>
        <v/>
      </c>
      <c r="V10370">
        <f t="shared" si="646"/>
        <v>0</v>
      </c>
      <c r="W10370">
        <f t="shared" si="647"/>
        <v>0</v>
      </c>
    </row>
    <row r="10371" spans="5:23" x14ac:dyDescent="0.25">
      <c r="E10371" s="4"/>
      <c r="F10371" s="4"/>
      <c r="G10371" s="33" t="str">
        <f>IFERROR(VLOOKUP($D10371,'Informations sur les produits'!$A$3:$H$10000,8,FALSE),"0")</f>
        <v>0</v>
      </c>
      <c r="K10371" s="4"/>
      <c r="L10371" s="33" t="str">
        <f>IFERROR(VLOOKUP($J10371,'Informations sur les produits'!$A$3:$H$10000,8,FALSE),"0")</f>
        <v>0</v>
      </c>
      <c r="N10371" s="8"/>
      <c r="O10371" s="33" t="str">
        <f>IFERROR(VLOOKUP($M10371,'Informations sur les produits'!$A$3:$H$10000,8,FALSE),"0")</f>
        <v>0</v>
      </c>
      <c r="P10371" s="33">
        <f t="shared" si="644"/>
        <v>0</v>
      </c>
      <c r="Q10371" s="31" t="str">
        <f t="shared" si="645"/>
        <v/>
      </c>
      <c r="R10371" s="32" t="str">
        <f>IFERROR(VLOOKUP($D10371,'Informations sur les produits'!$A$3:$B$15000,2,FALSE),"")</f>
        <v/>
      </c>
      <c r="V10371">
        <f t="shared" si="646"/>
        <v>0</v>
      </c>
      <c r="W10371">
        <f t="shared" si="647"/>
        <v>0</v>
      </c>
    </row>
    <row r="10372" spans="5:23" x14ac:dyDescent="0.25">
      <c r="E10372" s="4"/>
      <c r="F10372" s="4"/>
      <c r="G10372" s="33" t="str">
        <f>IFERROR(VLOOKUP($D10372,'Informations sur les produits'!$A$3:$H$10000,8,FALSE),"0")</f>
        <v>0</v>
      </c>
      <c r="K10372" s="4"/>
      <c r="L10372" s="33" t="str">
        <f>IFERROR(VLOOKUP($J10372,'Informations sur les produits'!$A$3:$H$10000,8,FALSE),"0")</f>
        <v>0</v>
      </c>
      <c r="N10372" s="8"/>
      <c r="O10372" s="33" t="str">
        <f>IFERROR(VLOOKUP($M10372,'Informations sur les produits'!$A$3:$H$10000,8,FALSE),"0")</f>
        <v>0</v>
      </c>
      <c r="P10372" s="33">
        <f t="shared" ref="P10372:P10435" si="648">IFERROR((($E10372-$F10372)*$G10372+$K10372*$L10372+$N10372*$O10372),"")</f>
        <v>0</v>
      </c>
      <c r="Q10372" s="31" t="str">
        <f t="shared" ref="Q10372:Q10435" si="649">IFERROR((((($E10372-$F10372)*$G10372+$K10372*$L10372+$N10372*$O10372)*1000)/(($E10372-$F10372)+$K10372+$N10372)),"")</f>
        <v/>
      </c>
      <c r="R10372" s="32" t="str">
        <f>IFERROR(VLOOKUP($D10372,'Informations sur les produits'!$A$3:$B$15000,2,FALSE),"")</f>
        <v/>
      </c>
      <c r="V10372">
        <f t="shared" ref="V10372:V10435" si="650">IFERROR(P10372*1000,"")</f>
        <v>0</v>
      </c>
      <c r="W10372">
        <f t="shared" ref="W10372:W10435" si="651">IFERROR(($E10372-$F10372)+$K10372+$N10372,"")</f>
        <v>0</v>
      </c>
    </row>
    <row r="10373" spans="5:23" x14ac:dyDescent="0.25">
      <c r="E10373" s="4"/>
      <c r="F10373" s="4"/>
      <c r="G10373" s="33" t="str">
        <f>IFERROR(VLOOKUP($D10373,'Informations sur les produits'!$A$3:$H$10000,8,FALSE),"0")</f>
        <v>0</v>
      </c>
      <c r="K10373" s="4"/>
      <c r="L10373" s="33" t="str">
        <f>IFERROR(VLOOKUP($J10373,'Informations sur les produits'!$A$3:$H$10000,8,FALSE),"0")</f>
        <v>0</v>
      </c>
      <c r="N10373" s="8"/>
      <c r="O10373" s="33" t="str">
        <f>IFERROR(VLOOKUP($M10373,'Informations sur les produits'!$A$3:$H$10000,8,FALSE),"0")</f>
        <v>0</v>
      </c>
      <c r="P10373" s="33">
        <f t="shared" si="648"/>
        <v>0</v>
      </c>
      <c r="Q10373" s="31" t="str">
        <f t="shared" si="649"/>
        <v/>
      </c>
      <c r="R10373" s="32" t="str">
        <f>IFERROR(VLOOKUP($D10373,'Informations sur les produits'!$A$3:$B$15000,2,FALSE),"")</f>
        <v/>
      </c>
      <c r="V10373">
        <f t="shared" si="650"/>
        <v>0</v>
      </c>
      <c r="W10373">
        <f t="shared" si="651"/>
        <v>0</v>
      </c>
    </row>
    <row r="10374" spans="5:23" x14ac:dyDescent="0.25">
      <c r="E10374" s="4"/>
      <c r="F10374" s="4"/>
      <c r="G10374" s="33" t="str">
        <f>IFERROR(VLOOKUP($D10374,'Informations sur les produits'!$A$3:$H$10000,8,FALSE),"0")</f>
        <v>0</v>
      </c>
      <c r="K10374" s="4"/>
      <c r="L10374" s="33" t="str">
        <f>IFERROR(VLOOKUP($J10374,'Informations sur les produits'!$A$3:$H$10000,8,FALSE),"0")</f>
        <v>0</v>
      </c>
      <c r="N10374" s="8"/>
      <c r="O10374" s="33" t="str">
        <f>IFERROR(VLOOKUP($M10374,'Informations sur les produits'!$A$3:$H$10000,8,FALSE),"0")</f>
        <v>0</v>
      </c>
      <c r="P10374" s="33">
        <f t="shared" si="648"/>
        <v>0</v>
      </c>
      <c r="Q10374" s="31" t="str">
        <f t="shared" si="649"/>
        <v/>
      </c>
      <c r="R10374" s="32" t="str">
        <f>IFERROR(VLOOKUP($D10374,'Informations sur les produits'!$A$3:$B$15000,2,FALSE),"")</f>
        <v/>
      </c>
      <c r="V10374">
        <f t="shared" si="650"/>
        <v>0</v>
      </c>
      <c r="W10374">
        <f t="shared" si="651"/>
        <v>0</v>
      </c>
    </row>
    <row r="10375" spans="5:23" x14ac:dyDescent="0.25">
      <c r="E10375" s="4"/>
      <c r="F10375" s="4"/>
      <c r="G10375" s="33" t="str">
        <f>IFERROR(VLOOKUP($D10375,'Informations sur les produits'!$A$3:$H$10000,8,FALSE),"0")</f>
        <v>0</v>
      </c>
      <c r="K10375" s="4"/>
      <c r="L10375" s="33" t="str">
        <f>IFERROR(VLOOKUP($J10375,'Informations sur les produits'!$A$3:$H$10000,8,FALSE),"0")</f>
        <v>0</v>
      </c>
      <c r="N10375" s="8"/>
      <c r="O10375" s="33" t="str">
        <f>IFERROR(VLOOKUP($M10375,'Informations sur les produits'!$A$3:$H$10000,8,FALSE),"0")</f>
        <v>0</v>
      </c>
      <c r="P10375" s="33">
        <f t="shared" si="648"/>
        <v>0</v>
      </c>
      <c r="Q10375" s="31" t="str">
        <f t="shared" si="649"/>
        <v/>
      </c>
      <c r="R10375" s="32" t="str">
        <f>IFERROR(VLOOKUP($D10375,'Informations sur les produits'!$A$3:$B$15000,2,FALSE),"")</f>
        <v/>
      </c>
      <c r="V10375">
        <f t="shared" si="650"/>
        <v>0</v>
      </c>
      <c r="W10375">
        <f t="shared" si="651"/>
        <v>0</v>
      </c>
    </row>
    <row r="10376" spans="5:23" x14ac:dyDescent="0.25">
      <c r="E10376" s="4"/>
      <c r="F10376" s="4"/>
      <c r="G10376" s="33" t="str">
        <f>IFERROR(VLOOKUP($D10376,'Informations sur les produits'!$A$3:$H$10000,8,FALSE),"0")</f>
        <v>0</v>
      </c>
      <c r="K10376" s="4"/>
      <c r="L10376" s="33" t="str">
        <f>IFERROR(VLOOKUP($J10376,'Informations sur les produits'!$A$3:$H$10000,8,FALSE),"0")</f>
        <v>0</v>
      </c>
      <c r="N10376" s="8"/>
      <c r="O10376" s="33" t="str">
        <f>IFERROR(VLOOKUP($M10376,'Informations sur les produits'!$A$3:$H$10000,8,FALSE),"0")</f>
        <v>0</v>
      </c>
      <c r="P10376" s="33">
        <f t="shared" si="648"/>
        <v>0</v>
      </c>
      <c r="Q10376" s="31" t="str">
        <f t="shared" si="649"/>
        <v/>
      </c>
      <c r="R10376" s="32" t="str">
        <f>IFERROR(VLOOKUP($D10376,'Informations sur les produits'!$A$3:$B$15000,2,FALSE),"")</f>
        <v/>
      </c>
      <c r="V10376">
        <f t="shared" si="650"/>
        <v>0</v>
      </c>
      <c r="W10376">
        <f t="shared" si="651"/>
        <v>0</v>
      </c>
    </row>
    <row r="10377" spans="5:23" x14ac:dyDescent="0.25">
      <c r="E10377" s="4"/>
      <c r="F10377" s="4"/>
      <c r="G10377" s="33" t="str">
        <f>IFERROR(VLOOKUP($D10377,'Informations sur les produits'!$A$3:$H$10000,8,FALSE),"0")</f>
        <v>0</v>
      </c>
      <c r="K10377" s="4"/>
      <c r="L10377" s="33" t="str">
        <f>IFERROR(VLOOKUP($J10377,'Informations sur les produits'!$A$3:$H$10000,8,FALSE),"0")</f>
        <v>0</v>
      </c>
      <c r="N10377" s="8"/>
      <c r="O10377" s="33" t="str">
        <f>IFERROR(VLOOKUP($M10377,'Informations sur les produits'!$A$3:$H$10000,8,FALSE),"0")</f>
        <v>0</v>
      </c>
      <c r="P10377" s="33">
        <f t="shared" si="648"/>
        <v>0</v>
      </c>
      <c r="Q10377" s="31" t="str">
        <f t="shared" si="649"/>
        <v/>
      </c>
      <c r="R10377" s="32" t="str">
        <f>IFERROR(VLOOKUP($D10377,'Informations sur les produits'!$A$3:$B$15000,2,FALSE),"")</f>
        <v/>
      </c>
      <c r="V10377">
        <f t="shared" si="650"/>
        <v>0</v>
      </c>
      <c r="W10377">
        <f t="shared" si="651"/>
        <v>0</v>
      </c>
    </row>
    <row r="10378" spans="5:23" x14ac:dyDescent="0.25">
      <c r="E10378" s="4"/>
      <c r="F10378" s="4"/>
      <c r="G10378" s="33" t="str">
        <f>IFERROR(VLOOKUP($D10378,'Informations sur les produits'!$A$3:$H$10000,8,FALSE),"0")</f>
        <v>0</v>
      </c>
      <c r="K10378" s="4"/>
      <c r="L10378" s="33" t="str">
        <f>IFERROR(VLOOKUP($J10378,'Informations sur les produits'!$A$3:$H$10000,8,FALSE),"0")</f>
        <v>0</v>
      </c>
      <c r="N10378" s="8"/>
      <c r="O10378" s="33" t="str">
        <f>IFERROR(VLOOKUP($M10378,'Informations sur les produits'!$A$3:$H$10000,8,FALSE),"0")</f>
        <v>0</v>
      </c>
      <c r="P10378" s="33">
        <f t="shared" si="648"/>
        <v>0</v>
      </c>
      <c r="Q10378" s="31" t="str">
        <f t="shared" si="649"/>
        <v/>
      </c>
      <c r="R10378" s="32" t="str">
        <f>IFERROR(VLOOKUP($D10378,'Informations sur les produits'!$A$3:$B$15000,2,FALSE),"")</f>
        <v/>
      </c>
      <c r="V10378">
        <f t="shared" si="650"/>
        <v>0</v>
      </c>
      <c r="W10378">
        <f t="shared" si="651"/>
        <v>0</v>
      </c>
    </row>
    <row r="10379" spans="5:23" x14ac:dyDescent="0.25">
      <c r="E10379" s="4"/>
      <c r="F10379" s="4"/>
      <c r="G10379" s="33" t="str">
        <f>IFERROR(VLOOKUP($D10379,'Informations sur les produits'!$A$3:$H$10000,8,FALSE),"0")</f>
        <v>0</v>
      </c>
      <c r="K10379" s="4"/>
      <c r="L10379" s="33" t="str">
        <f>IFERROR(VLOOKUP($J10379,'Informations sur les produits'!$A$3:$H$10000,8,FALSE),"0")</f>
        <v>0</v>
      </c>
      <c r="N10379" s="8"/>
      <c r="O10379" s="33" t="str">
        <f>IFERROR(VLOOKUP($M10379,'Informations sur les produits'!$A$3:$H$10000,8,FALSE),"0")</f>
        <v>0</v>
      </c>
      <c r="P10379" s="33">
        <f t="shared" si="648"/>
        <v>0</v>
      </c>
      <c r="Q10379" s="31" t="str">
        <f t="shared" si="649"/>
        <v/>
      </c>
      <c r="R10379" s="32" t="str">
        <f>IFERROR(VLOOKUP($D10379,'Informations sur les produits'!$A$3:$B$15000,2,FALSE),"")</f>
        <v/>
      </c>
      <c r="V10379">
        <f t="shared" si="650"/>
        <v>0</v>
      </c>
      <c r="W10379">
        <f t="shared" si="651"/>
        <v>0</v>
      </c>
    </row>
    <row r="10380" spans="5:23" x14ac:dyDescent="0.25">
      <c r="E10380" s="4"/>
      <c r="F10380" s="4"/>
      <c r="G10380" s="33" t="str">
        <f>IFERROR(VLOOKUP($D10380,'Informations sur les produits'!$A$3:$H$10000,8,FALSE),"0")</f>
        <v>0</v>
      </c>
      <c r="K10380" s="4"/>
      <c r="L10380" s="33" t="str">
        <f>IFERROR(VLOOKUP($J10380,'Informations sur les produits'!$A$3:$H$10000,8,FALSE),"0")</f>
        <v>0</v>
      </c>
      <c r="N10380" s="8"/>
      <c r="O10380" s="33" t="str">
        <f>IFERROR(VLOOKUP($M10380,'Informations sur les produits'!$A$3:$H$10000,8,FALSE),"0")</f>
        <v>0</v>
      </c>
      <c r="P10380" s="33">
        <f t="shared" si="648"/>
        <v>0</v>
      </c>
      <c r="Q10380" s="31" t="str">
        <f t="shared" si="649"/>
        <v/>
      </c>
      <c r="R10380" s="32" t="str">
        <f>IFERROR(VLOOKUP($D10380,'Informations sur les produits'!$A$3:$B$15000,2,FALSE),"")</f>
        <v/>
      </c>
      <c r="V10380">
        <f t="shared" si="650"/>
        <v>0</v>
      </c>
      <c r="W10380">
        <f t="shared" si="651"/>
        <v>0</v>
      </c>
    </row>
    <row r="10381" spans="5:23" x14ac:dyDescent="0.25">
      <c r="E10381" s="4"/>
      <c r="F10381" s="4"/>
      <c r="G10381" s="33" t="str">
        <f>IFERROR(VLOOKUP($D10381,'Informations sur les produits'!$A$3:$H$10000,8,FALSE),"0")</f>
        <v>0</v>
      </c>
      <c r="K10381" s="4"/>
      <c r="L10381" s="33" t="str">
        <f>IFERROR(VLOOKUP($J10381,'Informations sur les produits'!$A$3:$H$10000,8,FALSE),"0")</f>
        <v>0</v>
      </c>
      <c r="N10381" s="8"/>
      <c r="O10381" s="33" t="str">
        <f>IFERROR(VLOOKUP($M10381,'Informations sur les produits'!$A$3:$H$10000,8,FALSE),"0")</f>
        <v>0</v>
      </c>
      <c r="P10381" s="33">
        <f t="shared" si="648"/>
        <v>0</v>
      </c>
      <c r="Q10381" s="31" t="str">
        <f t="shared" si="649"/>
        <v/>
      </c>
      <c r="R10381" s="32" t="str">
        <f>IFERROR(VLOOKUP($D10381,'Informations sur les produits'!$A$3:$B$15000,2,FALSE),"")</f>
        <v/>
      </c>
      <c r="V10381">
        <f t="shared" si="650"/>
        <v>0</v>
      </c>
      <c r="W10381">
        <f t="shared" si="651"/>
        <v>0</v>
      </c>
    </row>
    <row r="10382" spans="5:23" x14ac:dyDescent="0.25">
      <c r="E10382" s="4"/>
      <c r="F10382" s="4"/>
      <c r="G10382" s="33" t="str">
        <f>IFERROR(VLOOKUP($D10382,'Informations sur les produits'!$A$3:$H$10000,8,FALSE),"0")</f>
        <v>0</v>
      </c>
      <c r="K10382" s="4"/>
      <c r="L10382" s="33" t="str">
        <f>IFERROR(VLOOKUP($J10382,'Informations sur les produits'!$A$3:$H$10000,8,FALSE),"0")</f>
        <v>0</v>
      </c>
      <c r="N10382" s="8"/>
      <c r="O10382" s="33" t="str">
        <f>IFERROR(VLOOKUP($M10382,'Informations sur les produits'!$A$3:$H$10000,8,FALSE),"0")</f>
        <v>0</v>
      </c>
      <c r="P10382" s="33">
        <f t="shared" si="648"/>
        <v>0</v>
      </c>
      <c r="Q10382" s="31" t="str">
        <f t="shared" si="649"/>
        <v/>
      </c>
      <c r="R10382" s="32" t="str">
        <f>IFERROR(VLOOKUP($D10382,'Informations sur les produits'!$A$3:$B$15000,2,FALSE),"")</f>
        <v/>
      </c>
      <c r="V10382">
        <f t="shared" si="650"/>
        <v>0</v>
      </c>
      <c r="W10382">
        <f t="shared" si="651"/>
        <v>0</v>
      </c>
    </row>
    <row r="10383" spans="5:23" x14ac:dyDescent="0.25">
      <c r="E10383" s="4"/>
      <c r="F10383" s="4"/>
      <c r="G10383" s="33" t="str">
        <f>IFERROR(VLOOKUP($D10383,'Informations sur les produits'!$A$3:$H$10000,8,FALSE),"0")</f>
        <v>0</v>
      </c>
      <c r="K10383" s="4"/>
      <c r="L10383" s="33" t="str">
        <f>IFERROR(VLOOKUP($J10383,'Informations sur les produits'!$A$3:$H$10000,8,FALSE),"0")</f>
        <v>0</v>
      </c>
      <c r="N10383" s="8"/>
      <c r="O10383" s="33" t="str">
        <f>IFERROR(VLOOKUP($M10383,'Informations sur les produits'!$A$3:$H$10000,8,FALSE),"0")</f>
        <v>0</v>
      </c>
      <c r="P10383" s="33">
        <f t="shared" si="648"/>
        <v>0</v>
      </c>
      <c r="Q10383" s="31" t="str">
        <f t="shared" si="649"/>
        <v/>
      </c>
      <c r="R10383" s="32" t="str">
        <f>IFERROR(VLOOKUP($D10383,'Informations sur les produits'!$A$3:$B$15000,2,FALSE),"")</f>
        <v/>
      </c>
      <c r="V10383">
        <f t="shared" si="650"/>
        <v>0</v>
      </c>
      <c r="W10383">
        <f t="shared" si="651"/>
        <v>0</v>
      </c>
    </row>
    <row r="10384" spans="5:23" x14ac:dyDescent="0.25">
      <c r="E10384" s="4"/>
      <c r="F10384" s="4"/>
      <c r="G10384" s="33" t="str">
        <f>IFERROR(VLOOKUP($D10384,'Informations sur les produits'!$A$3:$H$10000,8,FALSE),"0")</f>
        <v>0</v>
      </c>
      <c r="K10384" s="4"/>
      <c r="L10384" s="33" t="str">
        <f>IFERROR(VLOOKUP($J10384,'Informations sur les produits'!$A$3:$H$10000,8,FALSE),"0")</f>
        <v>0</v>
      </c>
      <c r="N10384" s="8"/>
      <c r="O10384" s="33" t="str">
        <f>IFERROR(VLOOKUP($M10384,'Informations sur les produits'!$A$3:$H$10000,8,FALSE),"0")</f>
        <v>0</v>
      </c>
      <c r="P10384" s="33">
        <f t="shared" si="648"/>
        <v>0</v>
      </c>
      <c r="Q10384" s="31" t="str">
        <f t="shared" si="649"/>
        <v/>
      </c>
      <c r="R10384" s="32" t="str">
        <f>IFERROR(VLOOKUP($D10384,'Informations sur les produits'!$A$3:$B$15000,2,FALSE),"")</f>
        <v/>
      </c>
      <c r="V10384">
        <f t="shared" si="650"/>
        <v>0</v>
      </c>
      <c r="W10384">
        <f t="shared" si="651"/>
        <v>0</v>
      </c>
    </row>
    <row r="10385" spans="5:23" x14ac:dyDescent="0.25">
      <c r="E10385" s="4"/>
      <c r="F10385" s="4"/>
      <c r="G10385" s="33" t="str">
        <f>IFERROR(VLOOKUP($D10385,'Informations sur les produits'!$A$3:$H$10000,8,FALSE),"0")</f>
        <v>0</v>
      </c>
      <c r="K10385" s="4"/>
      <c r="L10385" s="33" t="str">
        <f>IFERROR(VLOOKUP($J10385,'Informations sur les produits'!$A$3:$H$10000,8,FALSE),"0")</f>
        <v>0</v>
      </c>
      <c r="N10385" s="8"/>
      <c r="O10385" s="33" t="str">
        <f>IFERROR(VLOOKUP($M10385,'Informations sur les produits'!$A$3:$H$10000,8,FALSE),"0")</f>
        <v>0</v>
      </c>
      <c r="P10385" s="33">
        <f t="shared" si="648"/>
        <v>0</v>
      </c>
      <c r="Q10385" s="31" t="str">
        <f t="shared" si="649"/>
        <v/>
      </c>
      <c r="R10385" s="32" t="str">
        <f>IFERROR(VLOOKUP($D10385,'Informations sur les produits'!$A$3:$B$15000,2,FALSE),"")</f>
        <v/>
      </c>
      <c r="V10385">
        <f t="shared" si="650"/>
        <v>0</v>
      </c>
      <c r="W10385">
        <f t="shared" si="651"/>
        <v>0</v>
      </c>
    </row>
    <row r="10386" spans="5:23" x14ac:dyDescent="0.25">
      <c r="E10386" s="4"/>
      <c r="F10386" s="4"/>
      <c r="G10386" s="33" t="str">
        <f>IFERROR(VLOOKUP($D10386,'Informations sur les produits'!$A$3:$H$10000,8,FALSE),"0")</f>
        <v>0</v>
      </c>
      <c r="K10386" s="4"/>
      <c r="L10386" s="33" t="str">
        <f>IFERROR(VLOOKUP($J10386,'Informations sur les produits'!$A$3:$H$10000,8,FALSE),"0")</f>
        <v>0</v>
      </c>
      <c r="N10386" s="8"/>
      <c r="O10386" s="33" t="str">
        <f>IFERROR(VLOOKUP($M10386,'Informations sur les produits'!$A$3:$H$10000,8,FALSE),"0")</f>
        <v>0</v>
      </c>
      <c r="P10386" s="33">
        <f t="shared" si="648"/>
        <v>0</v>
      </c>
      <c r="Q10386" s="31" t="str">
        <f t="shared" si="649"/>
        <v/>
      </c>
      <c r="R10386" s="32" t="str">
        <f>IFERROR(VLOOKUP($D10386,'Informations sur les produits'!$A$3:$B$15000,2,FALSE),"")</f>
        <v/>
      </c>
      <c r="V10386">
        <f t="shared" si="650"/>
        <v>0</v>
      </c>
      <c r="W10386">
        <f t="shared" si="651"/>
        <v>0</v>
      </c>
    </row>
    <row r="10387" spans="5:23" x14ac:dyDescent="0.25">
      <c r="E10387" s="4"/>
      <c r="F10387" s="4"/>
      <c r="G10387" s="33" t="str">
        <f>IFERROR(VLOOKUP($D10387,'Informations sur les produits'!$A$3:$H$10000,8,FALSE),"0")</f>
        <v>0</v>
      </c>
      <c r="K10387" s="4"/>
      <c r="L10387" s="33" t="str">
        <f>IFERROR(VLOOKUP($J10387,'Informations sur les produits'!$A$3:$H$10000,8,FALSE),"0")</f>
        <v>0</v>
      </c>
      <c r="N10387" s="8"/>
      <c r="O10387" s="33" t="str">
        <f>IFERROR(VLOOKUP($M10387,'Informations sur les produits'!$A$3:$H$10000,8,FALSE),"0")</f>
        <v>0</v>
      </c>
      <c r="P10387" s="33">
        <f t="shared" si="648"/>
        <v>0</v>
      </c>
      <c r="Q10387" s="31" t="str">
        <f t="shared" si="649"/>
        <v/>
      </c>
      <c r="R10387" s="32" t="str">
        <f>IFERROR(VLOOKUP($D10387,'Informations sur les produits'!$A$3:$B$15000,2,FALSE),"")</f>
        <v/>
      </c>
      <c r="V10387">
        <f t="shared" si="650"/>
        <v>0</v>
      </c>
      <c r="W10387">
        <f t="shared" si="651"/>
        <v>0</v>
      </c>
    </row>
    <row r="10388" spans="5:23" x14ac:dyDescent="0.25">
      <c r="E10388" s="4"/>
      <c r="F10388" s="4"/>
      <c r="G10388" s="33" t="str">
        <f>IFERROR(VLOOKUP($D10388,'Informations sur les produits'!$A$3:$H$10000,8,FALSE),"0")</f>
        <v>0</v>
      </c>
      <c r="K10388" s="4"/>
      <c r="L10388" s="33" t="str">
        <f>IFERROR(VLOOKUP($J10388,'Informations sur les produits'!$A$3:$H$10000,8,FALSE),"0")</f>
        <v>0</v>
      </c>
      <c r="N10388" s="8"/>
      <c r="O10388" s="33" t="str">
        <f>IFERROR(VLOOKUP($M10388,'Informations sur les produits'!$A$3:$H$10000,8,FALSE),"0")</f>
        <v>0</v>
      </c>
      <c r="P10388" s="33">
        <f t="shared" si="648"/>
        <v>0</v>
      </c>
      <c r="Q10388" s="31" t="str">
        <f t="shared" si="649"/>
        <v/>
      </c>
      <c r="R10388" s="32" t="str">
        <f>IFERROR(VLOOKUP($D10388,'Informations sur les produits'!$A$3:$B$15000,2,FALSE),"")</f>
        <v/>
      </c>
      <c r="V10388">
        <f t="shared" si="650"/>
        <v>0</v>
      </c>
      <c r="W10388">
        <f t="shared" si="651"/>
        <v>0</v>
      </c>
    </row>
    <row r="10389" spans="5:23" x14ac:dyDescent="0.25">
      <c r="E10389" s="4"/>
      <c r="F10389" s="4"/>
      <c r="G10389" s="33" t="str">
        <f>IFERROR(VLOOKUP($D10389,'Informations sur les produits'!$A$3:$H$10000,8,FALSE),"0")</f>
        <v>0</v>
      </c>
      <c r="K10389" s="4"/>
      <c r="L10389" s="33" t="str">
        <f>IFERROR(VLOOKUP($J10389,'Informations sur les produits'!$A$3:$H$10000,8,FALSE),"0")</f>
        <v>0</v>
      </c>
      <c r="N10389" s="8"/>
      <c r="O10389" s="33" t="str">
        <f>IFERROR(VLOOKUP($M10389,'Informations sur les produits'!$A$3:$H$10000,8,FALSE),"0")</f>
        <v>0</v>
      </c>
      <c r="P10389" s="33">
        <f t="shared" si="648"/>
        <v>0</v>
      </c>
      <c r="Q10389" s="31" t="str">
        <f t="shared" si="649"/>
        <v/>
      </c>
      <c r="R10389" s="32" t="str">
        <f>IFERROR(VLOOKUP($D10389,'Informations sur les produits'!$A$3:$B$15000,2,FALSE),"")</f>
        <v/>
      </c>
      <c r="V10389">
        <f t="shared" si="650"/>
        <v>0</v>
      </c>
      <c r="W10389">
        <f t="shared" si="651"/>
        <v>0</v>
      </c>
    </row>
    <row r="10390" spans="5:23" x14ac:dyDescent="0.25">
      <c r="E10390" s="4"/>
      <c r="F10390" s="4"/>
      <c r="G10390" s="33" t="str">
        <f>IFERROR(VLOOKUP($D10390,'Informations sur les produits'!$A$3:$H$10000,8,FALSE),"0")</f>
        <v>0</v>
      </c>
      <c r="K10390" s="4"/>
      <c r="L10390" s="33" t="str">
        <f>IFERROR(VLOOKUP($J10390,'Informations sur les produits'!$A$3:$H$10000,8,FALSE),"0")</f>
        <v>0</v>
      </c>
      <c r="N10390" s="8"/>
      <c r="O10390" s="33" t="str">
        <f>IFERROR(VLOOKUP($M10390,'Informations sur les produits'!$A$3:$H$10000,8,FALSE),"0")</f>
        <v>0</v>
      </c>
      <c r="P10390" s="33">
        <f t="shared" si="648"/>
        <v>0</v>
      </c>
      <c r="Q10390" s="31" t="str">
        <f t="shared" si="649"/>
        <v/>
      </c>
      <c r="R10390" s="32" t="str">
        <f>IFERROR(VLOOKUP($D10390,'Informations sur les produits'!$A$3:$B$15000,2,FALSE),"")</f>
        <v/>
      </c>
      <c r="V10390">
        <f t="shared" si="650"/>
        <v>0</v>
      </c>
      <c r="W10390">
        <f t="shared" si="651"/>
        <v>0</v>
      </c>
    </row>
    <row r="10391" spans="5:23" x14ac:dyDescent="0.25">
      <c r="E10391" s="4"/>
      <c r="F10391" s="4"/>
      <c r="G10391" s="33" t="str">
        <f>IFERROR(VLOOKUP($D10391,'Informations sur les produits'!$A$3:$H$10000,8,FALSE),"0")</f>
        <v>0</v>
      </c>
      <c r="K10391" s="4"/>
      <c r="L10391" s="33" t="str">
        <f>IFERROR(VLOOKUP($J10391,'Informations sur les produits'!$A$3:$H$10000,8,FALSE),"0")</f>
        <v>0</v>
      </c>
      <c r="N10391" s="8"/>
      <c r="O10391" s="33" t="str">
        <f>IFERROR(VLOOKUP($M10391,'Informations sur les produits'!$A$3:$H$10000,8,FALSE),"0")</f>
        <v>0</v>
      </c>
      <c r="P10391" s="33">
        <f t="shared" si="648"/>
        <v>0</v>
      </c>
      <c r="Q10391" s="31" t="str">
        <f t="shared" si="649"/>
        <v/>
      </c>
      <c r="R10391" s="32" t="str">
        <f>IFERROR(VLOOKUP($D10391,'Informations sur les produits'!$A$3:$B$15000,2,FALSE),"")</f>
        <v/>
      </c>
      <c r="V10391">
        <f t="shared" si="650"/>
        <v>0</v>
      </c>
      <c r="W10391">
        <f t="shared" si="651"/>
        <v>0</v>
      </c>
    </row>
    <row r="10392" spans="5:23" x14ac:dyDescent="0.25">
      <c r="E10392" s="4"/>
      <c r="F10392" s="4"/>
      <c r="G10392" s="33" t="str">
        <f>IFERROR(VLOOKUP($D10392,'Informations sur les produits'!$A$3:$H$10000,8,FALSE),"0")</f>
        <v>0</v>
      </c>
      <c r="K10392" s="4"/>
      <c r="L10392" s="33" t="str">
        <f>IFERROR(VLOOKUP($J10392,'Informations sur les produits'!$A$3:$H$10000,8,FALSE),"0")</f>
        <v>0</v>
      </c>
      <c r="N10392" s="8"/>
      <c r="O10392" s="33" t="str">
        <f>IFERROR(VLOOKUP($M10392,'Informations sur les produits'!$A$3:$H$10000,8,FALSE),"0")</f>
        <v>0</v>
      </c>
      <c r="P10392" s="33">
        <f t="shared" si="648"/>
        <v>0</v>
      </c>
      <c r="Q10392" s="31" t="str">
        <f t="shared" si="649"/>
        <v/>
      </c>
      <c r="R10392" s="32" t="str">
        <f>IFERROR(VLOOKUP($D10392,'Informations sur les produits'!$A$3:$B$15000,2,FALSE),"")</f>
        <v/>
      </c>
      <c r="V10392">
        <f t="shared" si="650"/>
        <v>0</v>
      </c>
      <c r="W10392">
        <f t="shared" si="651"/>
        <v>0</v>
      </c>
    </row>
    <row r="10393" spans="5:23" x14ac:dyDescent="0.25">
      <c r="E10393" s="4"/>
      <c r="F10393" s="4"/>
      <c r="G10393" s="33" t="str">
        <f>IFERROR(VLOOKUP($D10393,'Informations sur les produits'!$A$3:$H$10000,8,FALSE),"0")</f>
        <v>0</v>
      </c>
      <c r="K10393" s="4"/>
      <c r="L10393" s="33" t="str">
        <f>IFERROR(VLOOKUP($J10393,'Informations sur les produits'!$A$3:$H$10000,8,FALSE),"0")</f>
        <v>0</v>
      </c>
      <c r="N10393" s="8"/>
      <c r="O10393" s="33" t="str">
        <f>IFERROR(VLOOKUP($M10393,'Informations sur les produits'!$A$3:$H$10000,8,FALSE),"0")</f>
        <v>0</v>
      </c>
      <c r="P10393" s="33">
        <f t="shared" si="648"/>
        <v>0</v>
      </c>
      <c r="Q10393" s="31" t="str">
        <f t="shared" si="649"/>
        <v/>
      </c>
      <c r="R10393" s="32" t="str">
        <f>IFERROR(VLOOKUP($D10393,'Informations sur les produits'!$A$3:$B$15000,2,FALSE),"")</f>
        <v/>
      </c>
      <c r="V10393">
        <f t="shared" si="650"/>
        <v>0</v>
      </c>
      <c r="W10393">
        <f t="shared" si="651"/>
        <v>0</v>
      </c>
    </row>
    <row r="10394" spans="5:23" x14ac:dyDescent="0.25">
      <c r="E10394" s="4"/>
      <c r="F10394" s="4"/>
      <c r="G10394" s="33" t="str">
        <f>IFERROR(VLOOKUP($D10394,'Informations sur les produits'!$A$3:$H$10000,8,FALSE),"0")</f>
        <v>0</v>
      </c>
      <c r="K10394" s="4"/>
      <c r="L10394" s="33" t="str">
        <f>IFERROR(VLOOKUP($J10394,'Informations sur les produits'!$A$3:$H$10000,8,FALSE),"0")</f>
        <v>0</v>
      </c>
      <c r="N10394" s="8"/>
      <c r="O10394" s="33" t="str">
        <f>IFERROR(VLOOKUP($M10394,'Informations sur les produits'!$A$3:$H$10000,8,FALSE),"0")</f>
        <v>0</v>
      </c>
      <c r="P10394" s="33">
        <f t="shared" si="648"/>
        <v>0</v>
      </c>
      <c r="Q10394" s="31" t="str">
        <f t="shared" si="649"/>
        <v/>
      </c>
      <c r="R10394" s="32" t="str">
        <f>IFERROR(VLOOKUP($D10394,'Informations sur les produits'!$A$3:$B$15000,2,FALSE),"")</f>
        <v/>
      </c>
      <c r="V10394">
        <f t="shared" si="650"/>
        <v>0</v>
      </c>
      <c r="W10394">
        <f t="shared" si="651"/>
        <v>0</v>
      </c>
    </row>
    <row r="10395" spans="5:23" x14ac:dyDescent="0.25">
      <c r="E10395" s="4"/>
      <c r="F10395" s="4"/>
      <c r="G10395" s="33" t="str">
        <f>IFERROR(VLOOKUP($D10395,'Informations sur les produits'!$A$3:$H$10000,8,FALSE),"0")</f>
        <v>0</v>
      </c>
      <c r="K10395" s="4"/>
      <c r="L10395" s="33" t="str">
        <f>IFERROR(VLOOKUP($J10395,'Informations sur les produits'!$A$3:$H$10000,8,FALSE),"0")</f>
        <v>0</v>
      </c>
      <c r="N10395" s="8"/>
      <c r="O10395" s="33" t="str">
        <f>IFERROR(VLOOKUP($M10395,'Informations sur les produits'!$A$3:$H$10000,8,FALSE),"0")</f>
        <v>0</v>
      </c>
      <c r="P10395" s="33">
        <f t="shared" si="648"/>
        <v>0</v>
      </c>
      <c r="Q10395" s="31" t="str">
        <f t="shared" si="649"/>
        <v/>
      </c>
      <c r="R10395" s="32" t="str">
        <f>IFERROR(VLOOKUP($D10395,'Informations sur les produits'!$A$3:$B$15000,2,FALSE),"")</f>
        <v/>
      </c>
      <c r="V10395">
        <f t="shared" si="650"/>
        <v>0</v>
      </c>
      <c r="W10395">
        <f t="shared" si="651"/>
        <v>0</v>
      </c>
    </row>
    <row r="10396" spans="5:23" x14ac:dyDescent="0.25">
      <c r="E10396" s="4"/>
      <c r="F10396" s="4"/>
      <c r="G10396" s="33" t="str">
        <f>IFERROR(VLOOKUP($D10396,'Informations sur les produits'!$A$3:$H$10000,8,FALSE),"0")</f>
        <v>0</v>
      </c>
      <c r="K10396" s="4"/>
      <c r="L10396" s="33" t="str">
        <f>IFERROR(VLOOKUP($J10396,'Informations sur les produits'!$A$3:$H$10000,8,FALSE),"0")</f>
        <v>0</v>
      </c>
      <c r="N10396" s="8"/>
      <c r="O10396" s="33" t="str">
        <f>IFERROR(VLOOKUP($M10396,'Informations sur les produits'!$A$3:$H$10000,8,FALSE),"0")</f>
        <v>0</v>
      </c>
      <c r="P10396" s="33">
        <f t="shared" si="648"/>
        <v>0</v>
      </c>
      <c r="Q10396" s="31" t="str">
        <f t="shared" si="649"/>
        <v/>
      </c>
      <c r="R10396" s="32" t="str">
        <f>IFERROR(VLOOKUP($D10396,'Informations sur les produits'!$A$3:$B$15000,2,FALSE),"")</f>
        <v/>
      </c>
      <c r="V10396">
        <f t="shared" si="650"/>
        <v>0</v>
      </c>
      <c r="W10396">
        <f t="shared" si="651"/>
        <v>0</v>
      </c>
    </row>
    <row r="10397" spans="5:23" x14ac:dyDescent="0.25">
      <c r="E10397" s="4"/>
      <c r="F10397" s="4"/>
      <c r="G10397" s="33" t="str">
        <f>IFERROR(VLOOKUP($D10397,'Informations sur les produits'!$A$3:$H$10000,8,FALSE),"0")</f>
        <v>0</v>
      </c>
      <c r="K10397" s="4"/>
      <c r="L10397" s="33" t="str">
        <f>IFERROR(VLOOKUP($J10397,'Informations sur les produits'!$A$3:$H$10000,8,FALSE),"0")</f>
        <v>0</v>
      </c>
      <c r="N10397" s="8"/>
      <c r="O10397" s="33" t="str">
        <f>IFERROR(VLOOKUP($M10397,'Informations sur les produits'!$A$3:$H$10000,8,FALSE),"0")</f>
        <v>0</v>
      </c>
      <c r="P10397" s="33">
        <f t="shared" si="648"/>
        <v>0</v>
      </c>
      <c r="Q10397" s="31" t="str">
        <f t="shared" si="649"/>
        <v/>
      </c>
      <c r="R10397" s="32" t="str">
        <f>IFERROR(VLOOKUP($D10397,'Informations sur les produits'!$A$3:$B$15000,2,FALSE),"")</f>
        <v/>
      </c>
      <c r="V10397">
        <f t="shared" si="650"/>
        <v>0</v>
      </c>
      <c r="W10397">
        <f t="shared" si="651"/>
        <v>0</v>
      </c>
    </row>
    <row r="10398" spans="5:23" x14ac:dyDescent="0.25">
      <c r="E10398" s="4"/>
      <c r="F10398" s="4"/>
      <c r="G10398" s="33" t="str">
        <f>IFERROR(VLOOKUP($D10398,'Informations sur les produits'!$A$3:$H$10000,8,FALSE),"0")</f>
        <v>0</v>
      </c>
      <c r="K10398" s="4"/>
      <c r="L10398" s="33" t="str">
        <f>IFERROR(VLOOKUP($J10398,'Informations sur les produits'!$A$3:$H$10000,8,FALSE),"0")</f>
        <v>0</v>
      </c>
      <c r="N10398" s="8"/>
      <c r="O10398" s="33" t="str">
        <f>IFERROR(VLOOKUP($M10398,'Informations sur les produits'!$A$3:$H$10000,8,FALSE),"0")</f>
        <v>0</v>
      </c>
      <c r="P10398" s="33">
        <f t="shared" si="648"/>
        <v>0</v>
      </c>
      <c r="Q10398" s="31" t="str">
        <f t="shared" si="649"/>
        <v/>
      </c>
      <c r="R10398" s="32" t="str">
        <f>IFERROR(VLOOKUP($D10398,'Informations sur les produits'!$A$3:$B$15000,2,FALSE),"")</f>
        <v/>
      </c>
      <c r="V10398">
        <f t="shared" si="650"/>
        <v>0</v>
      </c>
      <c r="W10398">
        <f t="shared" si="651"/>
        <v>0</v>
      </c>
    </row>
    <row r="10399" spans="5:23" x14ac:dyDescent="0.25">
      <c r="E10399" s="4"/>
      <c r="F10399" s="4"/>
      <c r="G10399" s="33" t="str">
        <f>IFERROR(VLOOKUP($D10399,'Informations sur les produits'!$A$3:$H$10000,8,FALSE),"0")</f>
        <v>0</v>
      </c>
      <c r="K10399" s="4"/>
      <c r="L10399" s="33" t="str">
        <f>IFERROR(VLOOKUP($J10399,'Informations sur les produits'!$A$3:$H$10000,8,FALSE),"0")</f>
        <v>0</v>
      </c>
      <c r="N10399" s="8"/>
      <c r="O10399" s="33" t="str">
        <f>IFERROR(VLOOKUP($M10399,'Informations sur les produits'!$A$3:$H$10000,8,FALSE),"0")</f>
        <v>0</v>
      </c>
      <c r="P10399" s="33">
        <f t="shared" si="648"/>
        <v>0</v>
      </c>
      <c r="Q10399" s="31" t="str">
        <f t="shared" si="649"/>
        <v/>
      </c>
      <c r="R10399" s="32" t="str">
        <f>IFERROR(VLOOKUP($D10399,'Informations sur les produits'!$A$3:$B$15000,2,FALSE),"")</f>
        <v/>
      </c>
      <c r="V10399">
        <f t="shared" si="650"/>
        <v>0</v>
      </c>
      <c r="W10399">
        <f t="shared" si="651"/>
        <v>0</v>
      </c>
    </row>
    <row r="10400" spans="5:23" x14ac:dyDescent="0.25">
      <c r="E10400" s="4"/>
      <c r="F10400" s="4"/>
      <c r="G10400" s="33" t="str">
        <f>IFERROR(VLOOKUP($D10400,'Informations sur les produits'!$A$3:$H$10000,8,FALSE),"0")</f>
        <v>0</v>
      </c>
      <c r="K10400" s="4"/>
      <c r="L10400" s="33" t="str">
        <f>IFERROR(VLOOKUP($J10400,'Informations sur les produits'!$A$3:$H$10000,8,FALSE),"0")</f>
        <v>0</v>
      </c>
      <c r="N10400" s="8"/>
      <c r="O10400" s="33" t="str">
        <f>IFERROR(VLOOKUP($M10400,'Informations sur les produits'!$A$3:$H$10000,8,FALSE),"0")</f>
        <v>0</v>
      </c>
      <c r="P10400" s="33">
        <f t="shared" si="648"/>
        <v>0</v>
      </c>
      <c r="Q10400" s="31" t="str">
        <f t="shared" si="649"/>
        <v/>
      </c>
      <c r="R10400" s="32" t="str">
        <f>IFERROR(VLOOKUP($D10400,'Informations sur les produits'!$A$3:$B$15000,2,FALSE),"")</f>
        <v/>
      </c>
      <c r="V10400">
        <f t="shared" si="650"/>
        <v>0</v>
      </c>
      <c r="W10400">
        <f t="shared" si="651"/>
        <v>0</v>
      </c>
    </row>
    <row r="10401" spans="5:23" x14ac:dyDescent="0.25">
      <c r="E10401" s="4"/>
      <c r="F10401" s="4"/>
      <c r="G10401" s="33" t="str">
        <f>IFERROR(VLOOKUP($D10401,'Informations sur les produits'!$A$3:$H$10000,8,FALSE),"0")</f>
        <v>0</v>
      </c>
      <c r="K10401" s="4"/>
      <c r="L10401" s="33" t="str">
        <f>IFERROR(VLOOKUP($J10401,'Informations sur les produits'!$A$3:$H$10000,8,FALSE),"0")</f>
        <v>0</v>
      </c>
      <c r="N10401" s="8"/>
      <c r="O10401" s="33" t="str">
        <f>IFERROR(VLOOKUP($M10401,'Informations sur les produits'!$A$3:$H$10000,8,FALSE),"0")</f>
        <v>0</v>
      </c>
      <c r="P10401" s="33">
        <f t="shared" si="648"/>
        <v>0</v>
      </c>
      <c r="Q10401" s="31" t="str">
        <f t="shared" si="649"/>
        <v/>
      </c>
      <c r="R10401" s="32" t="str">
        <f>IFERROR(VLOOKUP($D10401,'Informations sur les produits'!$A$3:$B$15000,2,FALSE),"")</f>
        <v/>
      </c>
      <c r="V10401">
        <f t="shared" si="650"/>
        <v>0</v>
      </c>
      <c r="W10401">
        <f t="shared" si="651"/>
        <v>0</v>
      </c>
    </row>
    <row r="10402" spans="5:23" x14ac:dyDescent="0.25">
      <c r="E10402" s="4"/>
      <c r="F10402" s="4"/>
      <c r="G10402" s="33" t="str">
        <f>IFERROR(VLOOKUP($D10402,'Informations sur les produits'!$A$3:$H$10000,8,FALSE),"0")</f>
        <v>0</v>
      </c>
      <c r="K10402" s="4"/>
      <c r="L10402" s="33" t="str">
        <f>IFERROR(VLOOKUP($J10402,'Informations sur les produits'!$A$3:$H$10000,8,FALSE),"0")</f>
        <v>0</v>
      </c>
      <c r="N10402" s="8"/>
      <c r="O10402" s="33" t="str">
        <f>IFERROR(VLOOKUP($M10402,'Informations sur les produits'!$A$3:$H$10000,8,FALSE),"0")</f>
        <v>0</v>
      </c>
      <c r="P10402" s="33">
        <f t="shared" si="648"/>
        <v>0</v>
      </c>
      <c r="Q10402" s="31" t="str">
        <f t="shared" si="649"/>
        <v/>
      </c>
      <c r="R10402" s="32" t="str">
        <f>IFERROR(VLOOKUP($D10402,'Informations sur les produits'!$A$3:$B$15000,2,FALSE),"")</f>
        <v/>
      </c>
      <c r="V10402">
        <f t="shared" si="650"/>
        <v>0</v>
      </c>
      <c r="W10402">
        <f t="shared" si="651"/>
        <v>0</v>
      </c>
    </row>
    <row r="10403" spans="5:23" x14ac:dyDescent="0.25">
      <c r="E10403" s="4"/>
      <c r="F10403" s="4"/>
      <c r="G10403" s="33" t="str">
        <f>IFERROR(VLOOKUP($D10403,'Informations sur les produits'!$A$3:$H$10000,8,FALSE),"0")</f>
        <v>0</v>
      </c>
      <c r="K10403" s="4"/>
      <c r="L10403" s="33" t="str">
        <f>IFERROR(VLOOKUP($J10403,'Informations sur les produits'!$A$3:$H$10000,8,FALSE),"0")</f>
        <v>0</v>
      </c>
      <c r="N10403" s="8"/>
      <c r="O10403" s="33" t="str">
        <f>IFERROR(VLOOKUP($M10403,'Informations sur les produits'!$A$3:$H$10000,8,FALSE),"0")</f>
        <v>0</v>
      </c>
      <c r="P10403" s="33">
        <f t="shared" si="648"/>
        <v>0</v>
      </c>
      <c r="Q10403" s="31" t="str">
        <f t="shared" si="649"/>
        <v/>
      </c>
      <c r="R10403" s="32" t="str">
        <f>IFERROR(VLOOKUP($D10403,'Informations sur les produits'!$A$3:$B$15000,2,FALSE),"")</f>
        <v/>
      </c>
      <c r="V10403">
        <f t="shared" si="650"/>
        <v>0</v>
      </c>
      <c r="W10403">
        <f t="shared" si="651"/>
        <v>0</v>
      </c>
    </row>
    <row r="10404" spans="5:23" x14ac:dyDescent="0.25">
      <c r="E10404" s="4"/>
      <c r="F10404" s="4"/>
      <c r="G10404" s="33" t="str">
        <f>IFERROR(VLOOKUP($D10404,'Informations sur les produits'!$A$3:$H$10000,8,FALSE),"0")</f>
        <v>0</v>
      </c>
      <c r="K10404" s="4"/>
      <c r="L10404" s="33" t="str">
        <f>IFERROR(VLOOKUP($J10404,'Informations sur les produits'!$A$3:$H$10000,8,FALSE),"0")</f>
        <v>0</v>
      </c>
      <c r="N10404" s="8"/>
      <c r="O10404" s="33" t="str">
        <f>IFERROR(VLOOKUP($M10404,'Informations sur les produits'!$A$3:$H$10000,8,FALSE),"0")</f>
        <v>0</v>
      </c>
      <c r="P10404" s="33">
        <f t="shared" si="648"/>
        <v>0</v>
      </c>
      <c r="Q10404" s="31" t="str">
        <f t="shared" si="649"/>
        <v/>
      </c>
      <c r="R10404" s="32" t="str">
        <f>IFERROR(VLOOKUP($D10404,'Informations sur les produits'!$A$3:$B$15000,2,FALSE),"")</f>
        <v/>
      </c>
      <c r="V10404">
        <f t="shared" si="650"/>
        <v>0</v>
      </c>
      <c r="W10404">
        <f t="shared" si="651"/>
        <v>0</v>
      </c>
    </row>
    <row r="10405" spans="5:23" x14ac:dyDescent="0.25">
      <c r="E10405" s="4"/>
      <c r="F10405" s="4"/>
      <c r="G10405" s="33" t="str">
        <f>IFERROR(VLOOKUP($D10405,'Informations sur les produits'!$A$3:$H$10000,8,FALSE),"0")</f>
        <v>0</v>
      </c>
      <c r="K10405" s="4"/>
      <c r="L10405" s="33" t="str">
        <f>IFERROR(VLOOKUP($J10405,'Informations sur les produits'!$A$3:$H$10000,8,FALSE),"0")</f>
        <v>0</v>
      </c>
      <c r="N10405" s="8"/>
      <c r="O10405" s="33" t="str">
        <f>IFERROR(VLOOKUP($M10405,'Informations sur les produits'!$A$3:$H$10000,8,FALSE),"0")</f>
        <v>0</v>
      </c>
      <c r="P10405" s="33">
        <f t="shared" si="648"/>
        <v>0</v>
      </c>
      <c r="Q10405" s="31" t="str">
        <f t="shared" si="649"/>
        <v/>
      </c>
      <c r="R10405" s="32" t="str">
        <f>IFERROR(VLOOKUP($D10405,'Informations sur les produits'!$A$3:$B$15000,2,FALSE),"")</f>
        <v/>
      </c>
      <c r="V10405">
        <f t="shared" si="650"/>
        <v>0</v>
      </c>
      <c r="W10405">
        <f t="shared" si="651"/>
        <v>0</v>
      </c>
    </row>
    <row r="10406" spans="5:23" x14ac:dyDescent="0.25">
      <c r="E10406" s="4"/>
      <c r="F10406" s="4"/>
      <c r="G10406" s="33" t="str">
        <f>IFERROR(VLOOKUP($D10406,'Informations sur les produits'!$A$3:$H$10000,8,FALSE),"0")</f>
        <v>0</v>
      </c>
      <c r="K10406" s="4"/>
      <c r="L10406" s="33" t="str">
        <f>IFERROR(VLOOKUP($J10406,'Informations sur les produits'!$A$3:$H$10000,8,FALSE),"0")</f>
        <v>0</v>
      </c>
      <c r="N10406" s="8"/>
      <c r="O10406" s="33" t="str">
        <f>IFERROR(VLOOKUP($M10406,'Informations sur les produits'!$A$3:$H$10000,8,FALSE),"0")</f>
        <v>0</v>
      </c>
      <c r="P10406" s="33">
        <f t="shared" si="648"/>
        <v>0</v>
      </c>
      <c r="Q10406" s="31" t="str">
        <f t="shared" si="649"/>
        <v/>
      </c>
      <c r="R10406" s="32" t="str">
        <f>IFERROR(VLOOKUP($D10406,'Informations sur les produits'!$A$3:$B$15000,2,FALSE),"")</f>
        <v/>
      </c>
      <c r="V10406">
        <f t="shared" si="650"/>
        <v>0</v>
      </c>
      <c r="W10406">
        <f t="shared" si="651"/>
        <v>0</v>
      </c>
    </row>
    <row r="10407" spans="5:23" x14ac:dyDescent="0.25">
      <c r="E10407" s="4"/>
      <c r="F10407" s="4"/>
      <c r="G10407" s="33" t="str">
        <f>IFERROR(VLOOKUP($D10407,'Informations sur les produits'!$A$3:$H$10000,8,FALSE),"0")</f>
        <v>0</v>
      </c>
      <c r="K10407" s="4"/>
      <c r="L10407" s="33" t="str">
        <f>IFERROR(VLOOKUP($J10407,'Informations sur les produits'!$A$3:$H$10000,8,FALSE),"0")</f>
        <v>0</v>
      </c>
      <c r="N10407" s="8"/>
      <c r="O10407" s="33" t="str">
        <f>IFERROR(VLOOKUP($M10407,'Informations sur les produits'!$A$3:$H$10000,8,FALSE),"0")</f>
        <v>0</v>
      </c>
      <c r="P10407" s="33">
        <f t="shared" si="648"/>
        <v>0</v>
      </c>
      <c r="Q10407" s="31" t="str">
        <f t="shared" si="649"/>
        <v/>
      </c>
      <c r="R10407" s="32" t="str">
        <f>IFERROR(VLOOKUP($D10407,'Informations sur les produits'!$A$3:$B$15000,2,FALSE),"")</f>
        <v/>
      </c>
      <c r="V10407">
        <f t="shared" si="650"/>
        <v>0</v>
      </c>
      <c r="W10407">
        <f t="shared" si="651"/>
        <v>0</v>
      </c>
    </row>
    <row r="10408" spans="5:23" x14ac:dyDescent="0.25">
      <c r="E10408" s="4"/>
      <c r="F10408" s="4"/>
      <c r="G10408" s="33" t="str">
        <f>IFERROR(VLOOKUP($D10408,'Informations sur les produits'!$A$3:$H$10000,8,FALSE),"0")</f>
        <v>0</v>
      </c>
      <c r="K10408" s="4"/>
      <c r="L10408" s="33" t="str">
        <f>IFERROR(VLOOKUP($J10408,'Informations sur les produits'!$A$3:$H$10000,8,FALSE),"0")</f>
        <v>0</v>
      </c>
      <c r="N10408" s="8"/>
      <c r="O10408" s="33" t="str">
        <f>IFERROR(VLOOKUP($M10408,'Informations sur les produits'!$A$3:$H$10000,8,FALSE),"0")</f>
        <v>0</v>
      </c>
      <c r="P10408" s="33">
        <f t="shared" si="648"/>
        <v>0</v>
      </c>
      <c r="Q10408" s="31" t="str">
        <f t="shared" si="649"/>
        <v/>
      </c>
      <c r="R10408" s="32" t="str">
        <f>IFERROR(VLOOKUP($D10408,'Informations sur les produits'!$A$3:$B$15000,2,FALSE),"")</f>
        <v/>
      </c>
      <c r="V10408">
        <f t="shared" si="650"/>
        <v>0</v>
      </c>
      <c r="W10408">
        <f t="shared" si="651"/>
        <v>0</v>
      </c>
    </row>
    <row r="10409" spans="5:23" x14ac:dyDescent="0.25">
      <c r="E10409" s="4"/>
      <c r="F10409" s="4"/>
      <c r="G10409" s="33" t="str">
        <f>IFERROR(VLOOKUP($D10409,'Informations sur les produits'!$A$3:$H$10000,8,FALSE),"0")</f>
        <v>0</v>
      </c>
      <c r="K10409" s="4"/>
      <c r="L10409" s="33" t="str">
        <f>IFERROR(VLOOKUP($J10409,'Informations sur les produits'!$A$3:$H$10000,8,FALSE),"0")</f>
        <v>0</v>
      </c>
      <c r="N10409" s="8"/>
      <c r="O10409" s="33" t="str">
        <f>IFERROR(VLOOKUP($M10409,'Informations sur les produits'!$A$3:$H$10000,8,FALSE),"0")</f>
        <v>0</v>
      </c>
      <c r="P10409" s="33">
        <f t="shared" si="648"/>
        <v>0</v>
      </c>
      <c r="Q10409" s="31" t="str">
        <f t="shared" si="649"/>
        <v/>
      </c>
      <c r="R10409" s="32" t="str">
        <f>IFERROR(VLOOKUP($D10409,'Informations sur les produits'!$A$3:$B$15000,2,FALSE),"")</f>
        <v/>
      </c>
      <c r="V10409">
        <f t="shared" si="650"/>
        <v>0</v>
      </c>
      <c r="W10409">
        <f t="shared" si="651"/>
        <v>0</v>
      </c>
    </row>
    <row r="10410" spans="5:23" x14ac:dyDescent="0.25">
      <c r="E10410" s="4"/>
      <c r="F10410" s="4"/>
      <c r="G10410" s="33" t="str">
        <f>IFERROR(VLOOKUP($D10410,'Informations sur les produits'!$A$3:$H$10000,8,FALSE),"0")</f>
        <v>0</v>
      </c>
      <c r="K10410" s="4"/>
      <c r="L10410" s="33" t="str">
        <f>IFERROR(VLOOKUP($J10410,'Informations sur les produits'!$A$3:$H$10000,8,FALSE),"0")</f>
        <v>0</v>
      </c>
      <c r="N10410" s="8"/>
      <c r="O10410" s="33" t="str">
        <f>IFERROR(VLOOKUP($M10410,'Informations sur les produits'!$A$3:$H$10000,8,FALSE),"0")</f>
        <v>0</v>
      </c>
      <c r="P10410" s="33">
        <f t="shared" si="648"/>
        <v>0</v>
      </c>
      <c r="Q10410" s="31" t="str">
        <f t="shared" si="649"/>
        <v/>
      </c>
      <c r="R10410" s="32" t="str">
        <f>IFERROR(VLOOKUP($D10410,'Informations sur les produits'!$A$3:$B$15000,2,FALSE),"")</f>
        <v/>
      </c>
      <c r="V10410">
        <f t="shared" si="650"/>
        <v>0</v>
      </c>
      <c r="W10410">
        <f t="shared" si="651"/>
        <v>0</v>
      </c>
    </row>
    <row r="10411" spans="5:23" x14ac:dyDescent="0.25">
      <c r="E10411" s="4"/>
      <c r="F10411" s="4"/>
      <c r="G10411" s="33" t="str">
        <f>IFERROR(VLOOKUP($D10411,'Informations sur les produits'!$A$3:$H$10000,8,FALSE),"0")</f>
        <v>0</v>
      </c>
      <c r="K10411" s="4"/>
      <c r="L10411" s="33" t="str">
        <f>IFERROR(VLOOKUP($J10411,'Informations sur les produits'!$A$3:$H$10000,8,FALSE),"0")</f>
        <v>0</v>
      </c>
      <c r="N10411" s="8"/>
      <c r="O10411" s="33" t="str">
        <f>IFERROR(VLOOKUP($M10411,'Informations sur les produits'!$A$3:$H$10000,8,FALSE),"0")</f>
        <v>0</v>
      </c>
      <c r="P10411" s="33">
        <f t="shared" si="648"/>
        <v>0</v>
      </c>
      <c r="Q10411" s="31" t="str">
        <f t="shared" si="649"/>
        <v/>
      </c>
      <c r="R10411" s="32" t="str">
        <f>IFERROR(VLOOKUP($D10411,'Informations sur les produits'!$A$3:$B$15000,2,FALSE),"")</f>
        <v/>
      </c>
      <c r="V10411">
        <f t="shared" si="650"/>
        <v>0</v>
      </c>
      <c r="W10411">
        <f t="shared" si="651"/>
        <v>0</v>
      </c>
    </row>
    <row r="10412" spans="5:23" x14ac:dyDescent="0.25">
      <c r="E10412" s="4"/>
      <c r="F10412" s="4"/>
      <c r="G10412" s="33" t="str">
        <f>IFERROR(VLOOKUP($D10412,'Informations sur les produits'!$A$3:$H$10000,8,FALSE),"0")</f>
        <v>0</v>
      </c>
      <c r="K10412" s="4"/>
      <c r="L10412" s="33" t="str">
        <f>IFERROR(VLOOKUP($J10412,'Informations sur les produits'!$A$3:$H$10000,8,FALSE),"0")</f>
        <v>0</v>
      </c>
      <c r="N10412" s="8"/>
      <c r="O10412" s="33" t="str">
        <f>IFERROR(VLOOKUP($M10412,'Informations sur les produits'!$A$3:$H$10000,8,FALSE),"0")</f>
        <v>0</v>
      </c>
      <c r="P10412" s="33">
        <f t="shared" si="648"/>
        <v>0</v>
      </c>
      <c r="Q10412" s="31" t="str">
        <f t="shared" si="649"/>
        <v/>
      </c>
      <c r="R10412" s="32" t="str">
        <f>IFERROR(VLOOKUP($D10412,'Informations sur les produits'!$A$3:$B$15000,2,FALSE),"")</f>
        <v/>
      </c>
      <c r="V10412">
        <f t="shared" si="650"/>
        <v>0</v>
      </c>
      <c r="W10412">
        <f t="shared" si="651"/>
        <v>0</v>
      </c>
    </row>
    <row r="10413" spans="5:23" x14ac:dyDescent="0.25">
      <c r="E10413" s="4"/>
      <c r="F10413" s="4"/>
      <c r="G10413" s="33" t="str">
        <f>IFERROR(VLOOKUP($D10413,'Informations sur les produits'!$A$3:$H$10000,8,FALSE),"0")</f>
        <v>0</v>
      </c>
      <c r="K10413" s="4"/>
      <c r="L10413" s="33" t="str">
        <f>IFERROR(VLOOKUP($J10413,'Informations sur les produits'!$A$3:$H$10000,8,FALSE),"0")</f>
        <v>0</v>
      </c>
      <c r="N10413" s="8"/>
      <c r="O10413" s="33" t="str">
        <f>IFERROR(VLOOKUP($M10413,'Informations sur les produits'!$A$3:$H$10000,8,FALSE),"0")</f>
        <v>0</v>
      </c>
      <c r="P10413" s="33">
        <f t="shared" si="648"/>
        <v>0</v>
      </c>
      <c r="Q10413" s="31" t="str">
        <f t="shared" si="649"/>
        <v/>
      </c>
      <c r="R10413" s="32" t="str">
        <f>IFERROR(VLOOKUP($D10413,'Informations sur les produits'!$A$3:$B$15000,2,FALSE),"")</f>
        <v/>
      </c>
      <c r="V10413">
        <f t="shared" si="650"/>
        <v>0</v>
      </c>
      <c r="W10413">
        <f t="shared" si="651"/>
        <v>0</v>
      </c>
    </row>
    <row r="10414" spans="5:23" x14ac:dyDescent="0.25">
      <c r="E10414" s="4"/>
      <c r="F10414" s="4"/>
      <c r="G10414" s="33" t="str">
        <f>IFERROR(VLOOKUP($D10414,'Informations sur les produits'!$A$3:$H$10000,8,FALSE),"0")</f>
        <v>0</v>
      </c>
      <c r="K10414" s="4"/>
      <c r="L10414" s="33" t="str">
        <f>IFERROR(VLOOKUP($J10414,'Informations sur les produits'!$A$3:$H$10000,8,FALSE),"0")</f>
        <v>0</v>
      </c>
      <c r="N10414" s="8"/>
      <c r="O10414" s="33" t="str">
        <f>IFERROR(VLOOKUP($M10414,'Informations sur les produits'!$A$3:$H$10000,8,FALSE),"0")</f>
        <v>0</v>
      </c>
      <c r="P10414" s="33">
        <f t="shared" si="648"/>
        <v>0</v>
      </c>
      <c r="Q10414" s="31" t="str">
        <f t="shared" si="649"/>
        <v/>
      </c>
      <c r="R10414" s="32" t="str">
        <f>IFERROR(VLOOKUP($D10414,'Informations sur les produits'!$A$3:$B$15000,2,FALSE),"")</f>
        <v/>
      </c>
      <c r="V10414">
        <f t="shared" si="650"/>
        <v>0</v>
      </c>
      <c r="W10414">
        <f t="shared" si="651"/>
        <v>0</v>
      </c>
    </row>
    <row r="10415" spans="5:23" x14ac:dyDescent="0.25">
      <c r="E10415" s="4"/>
      <c r="F10415" s="4"/>
      <c r="G10415" s="33" t="str">
        <f>IFERROR(VLOOKUP($D10415,'Informations sur les produits'!$A$3:$H$10000,8,FALSE),"0")</f>
        <v>0</v>
      </c>
      <c r="K10415" s="4"/>
      <c r="L10415" s="33" t="str">
        <f>IFERROR(VLOOKUP($J10415,'Informations sur les produits'!$A$3:$H$10000,8,FALSE),"0")</f>
        <v>0</v>
      </c>
      <c r="N10415" s="8"/>
      <c r="O10415" s="33" t="str">
        <f>IFERROR(VLOOKUP($M10415,'Informations sur les produits'!$A$3:$H$10000,8,FALSE),"0")</f>
        <v>0</v>
      </c>
      <c r="P10415" s="33">
        <f t="shared" si="648"/>
        <v>0</v>
      </c>
      <c r="Q10415" s="31" t="str">
        <f t="shared" si="649"/>
        <v/>
      </c>
      <c r="R10415" s="32" t="str">
        <f>IFERROR(VLOOKUP($D10415,'Informations sur les produits'!$A$3:$B$15000,2,FALSE),"")</f>
        <v/>
      </c>
      <c r="V10415">
        <f t="shared" si="650"/>
        <v>0</v>
      </c>
      <c r="W10415">
        <f t="shared" si="651"/>
        <v>0</v>
      </c>
    </row>
    <row r="10416" spans="5:23" x14ac:dyDescent="0.25">
      <c r="E10416" s="4"/>
      <c r="F10416" s="4"/>
      <c r="G10416" s="33" t="str">
        <f>IFERROR(VLOOKUP($D10416,'Informations sur les produits'!$A$3:$H$10000,8,FALSE),"0")</f>
        <v>0</v>
      </c>
      <c r="K10416" s="4"/>
      <c r="L10416" s="33" t="str">
        <f>IFERROR(VLOOKUP($J10416,'Informations sur les produits'!$A$3:$H$10000,8,FALSE),"0")</f>
        <v>0</v>
      </c>
      <c r="N10416" s="8"/>
      <c r="O10416" s="33" t="str">
        <f>IFERROR(VLOOKUP($M10416,'Informations sur les produits'!$A$3:$H$10000,8,FALSE),"0")</f>
        <v>0</v>
      </c>
      <c r="P10416" s="33">
        <f t="shared" si="648"/>
        <v>0</v>
      </c>
      <c r="Q10416" s="31" t="str">
        <f t="shared" si="649"/>
        <v/>
      </c>
      <c r="R10416" s="32" t="str">
        <f>IFERROR(VLOOKUP($D10416,'Informations sur les produits'!$A$3:$B$15000,2,FALSE),"")</f>
        <v/>
      </c>
      <c r="V10416">
        <f t="shared" si="650"/>
        <v>0</v>
      </c>
      <c r="W10416">
        <f t="shared" si="651"/>
        <v>0</v>
      </c>
    </row>
    <row r="10417" spans="5:23" x14ac:dyDescent="0.25">
      <c r="E10417" s="4"/>
      <c r="F10417" s="4"/>
      <c r="G10417" s="33" t="str">
        <f>IFERROR(VLOOKUP($D10417,'Informations sur les produits'!$A$3:$H$10000,8,FALSE),"0")</f>
        <v>0</v>
      </c>
      <c r="K10417" s="4"/>
      <c r="L10417" s="33" t="str">
        <f>IFERROR(VLOOKUP($J10417,'Informations sur les produits'!$A$3:$H$10000,8,FALSE),"0")</f>
        <v>0</v>
      </c>
      <c r="N10417" s="8"/>
      <c r="O10417" s="33" t="str">
        <f>IFERROR(VLOOKUP($M10417,'Informations sur les produits'!$A$3:$H$10000,8,FALSE),"0")</f>
        <v>0</v>
      </c>
      <c r="P10417" s="33">
        <f t="shared" si="648"/>
        <v>0</v>
      </c>
      <c r="Q10417" s="31" t="str">
        <f t="shared" si="649"/>
        <v/>
      </c>
      <c r="R10417" s="32" t="str">
        <f>IFERROR(VLOOKUP($D10417,'Informations sur les produits'!$A$3:$B$15000,2,FALSE),"")</f>
        <v/>
      </c>
      <c r="V10417">
        <f t="shared" si="650"/>
        <v>0</v>
      </c>
      <c r="W10417">
        <f t="shared" si="651"/>
        <v>0</v>
      </c>
    </row>
    <row r="10418" spans="5:23" x14ac:dyDescent="0.25">
      <c r="E10418" s="4"/>
      <c r="F10418" s="4"/>
      <c r="G10418" s="33" t="str">
        <f>IFERROR(VLOOKUP($D10418,'Informations sur les produits'!$A$3:$H$10000,8,FALSE),"0")</f>
        <v>0</v>
      </c>
      <c r="K10418" s="4"/>
      <c r="L10418" s="33" t="str">
        <f>IFERROR(VLOOKUP($J10418,'Informations sur les produits'!$A$3:$H$10000,8,FALSE),"0")</f>
        <v>0</v>
      </c>
      <c r="N10418" s="8"/>
      <c r="O10418" s="33" t="str">
        <f>IFERROR(VLOOKUP($M10418,'Informations sur les produits'!$A$3:$H$10000,8,FALSE),"0")</f>
        <v>0</v>
      </c>
      <c r="P10418" s="33">
        <f t="shared" si="648"/>
        <v>0</v>
      </c>
      <c r="Q10418" s="31" t="str">
        <f t="shared" si="649"/>
        <v/>
      </c>
      <c r="R10418" s="32" t="str">
        <f>IFERROR(VLOOKUP($D10418,'Informations sur les produits'!$A$3:$B$15000,2,FALSE),"")</f>
        <v/>
      </c>
      <c r="V10418">
        <f t="shared" si="650"/>
        <v>0</v>
      </c>
      <c r="W10418">
        <f t="shared" si="651"/>
        <v>0</v>
      </c>
    </row>
    <row r="10419" spans="5:23" x14ac:dyDescent="0.25">
      <c r="E10419" s="4"/>
      <c r="F10419" s="4"/>
      <c r="G10419" s="33" t="str">
        <f>IFERROR(VLOOKUP($D10419,'Informations sur les produits'!$A$3:$H$10000,8,FALSE),"0")</f>
        <v>0</v>
      </c>
      <c r="K10419" s="4"/>
      <c r="L10419" s="33" t="str">
        <f>IFERROR(VLOOKUP($J10419,'Informations sur les produits'!$A$3:$H$10000,8,FALSE),"0")</f>
        <v>0</v>
      </c>
      <c r="N10419" s="8"/>
      <c r="O10419" s="33" t="str">
        <f>IFERROR(VLOOKUP($M10419,'Informations sur les produits'!$A$3:$H$10000,8,FALSE),"0")</f>
        <v>0</v>
      </c>
      <c r="P10419" s="33">
        <f t="shared" si="648"/>
        <v>0</v>
      </c>
      <c r="Q10419" s="31" t="str">
        <f t="shared" si="649"/>
        <v/>
      </c>
      <c r="R10419" s="32" t="str">
        <f>IFERROR(VLOOKUP($D10419,'Informations sur les produits'!$A$3:$B$15000,2,FALSE),"")</f>
        <v/>
      </c>
      <c r="V10419">
        <f t="shared" si="650"/>
        <v>0</v>
      </c>
      <c r="W10419">
        <f t="shared" si="651"/>
        <v>0</v>
      </c>
    </row>
    <row r="10420" spans="5:23" x14ac:dyDescent="0.25">
      <c r="E10420" s="4"/>
      <c r="F10420" s="4"/>
      <c r="G10420" s="33" t="str">
        <f>IFERROR(VLOOKUP($D10420,'Informations sur les produits'!$A$3:$H$10000,8,FALSE),"0")</f>
        <v>0</v>
      </c>
      <c r="K10420" s="4"/>
      <c r="L10420" s="33" t="str">
        <f>IFERROR(VLOOKUP($J10420,'Informations sur les produits'!$A$3:$H$10000,8,FALSE),"0")</f>
        <v>0</v>
      </c>
      <c r="N10420" s="8"/>
      <c r="O10420" s="33" t="str">
        <f>IFERROR(VLOOKUP($M10420,'Informations sur les produits'!$A$3:$H$10000,8,FALSE),"0")</f>
        <v>0</v>
      </c>
      <c r="P10420" s="33">
        <f t="shared" si="648"/>
        <v>0</v>
      </c>
      <c r="Q10420" s="31" t="str">
        <f t="shared" si="649"/>
        <v/>
      </c>
      <c r="R10420" s="32" t="str">
        <f>IFERROR(VLOOKUP($D10420,'Informations sur les produits'!$A$3:$B$15000,2,FALSE),"")</f>
        <v/>
      </c>
      <c r="V10420">
        <f t="shared" si="650"/>
        <v>0</v>
      </c>
      <c r="W10420">
        <f t="shared" si="651"/>
        <v>0</v>
      </c>
    </row>
    <row r="10421" spans="5:23" x14ac:dyDescent="0.25">
      <c r="E10421" s="4"/>
      <c r="F10421" s="4"/>
      <c r="G10421" s="33" t="str">
        <f>IFERROR(VLOOKUP($D10421,'Informations sur les produits'!$A$3:$H$10000,8,FALSE),"0")</f>
        <v>0</v>
      </c>
      <c r="K10421" s="4"/>
      <c r="L10421" s="33" t="str">
        <f>IFERROR(VLOOKUP($J10421,'Informations sur les produits'!$A$3:$H$10000,8,FALSE),"0")</f>
        <v>0</v>
      </c>
      <c r="N10421" s="8"/>
      <c r="O10421" s="33" t="str">
        <f>IFERROR(VLOOKUP($M10421,'Informations sur les produits'!$A$3:$H$10000,8,FALSE),"0")</f>
        <v>0</v>
      </c>
      <c r="P10421" s="33">
        <f t="shared" si="648"/>
        <v>0</v>
      </c>
      <c r="Q10421" s="31" t="str">
        <f t="shared" si="649"/>
        <v/>
      </c>
      <c r="R10421" s="32" t="str">
        <f>IFERROR(VLOOKUP($D10421,'Informations sur les produits'!$A$3:$B$15000,2,FALSE),"")</f>
        <v/>
      </c>
      <c r="V10421">
        <f t="shared" si="650"/>
        <v>0</v>
      </c>
      <c r="W10421">
        <f t="shared" si="651"/>
        <v>0</v>
      </c>
    </row>
    <row r="10422" spans="5:23" x14ac:dyDescent="0.25">
      <c r="E10422" s="4"/>
      <c r="F10422" s="4"/>
      <c r="G10422" s="33" t="str">
        <f>IFERROR(VLOOKUP($D10422,'Informations sur les produits'!$A$3:$H$10000,8,FALSE),"0")</f>
        <v>0</v>
      </c>
      <c r="K10422" s="4"/>
      <c r="L10422" s="33" t="str">
        <f>IFERROR(VLOOKUP($J10422,'Informations sur les produits'!$A$3:$H$10000,8,FALSE),"0")</f>
        <v>0</v>
      </c>
      <c r="N10422" s="8"/>
      <c r="O10422" s="33" t="str">
        <f>IFERROR(VLOOKUP($M10422,'Informations sur les produits'!$A$3:$H$10000,8,FALSE),"0")</f>
        <v>0</v>
      </c>
      <c r="P10422" s="33">
        <f t="shared" si="648"/>
        <v>0</v>
      </c>
      <c r="Q10422" s="31" t="str">
        <f t="shared" si="649"/>
        <v/>
      </c>
      <c r="R10422" s="32" t="str">
        <f>IFERROR(VLOOKUP($D10422,'Informations sur les produits'!$A$3:$B$15000,2,FALSE),"")</f>
        <v/>
      </c>
      <c r="V10422">
        <f t="shared" si="650"/>
        <v>0</v>
      </c>
      <c r="W10422">
        <f t="shared" si="651"/>
        <v>0</v>
      </c>
    </row>
    <row r="10423" spans="5:23" x14ac:dyDescent="0.25">
      <c r="E10423" s="4"/>
      <c r="F10423" s="4"/>
      <c r="G10423" s="33" t="str">
        <f>IFERROR(VLOOKUP($D10423,'Informations sur les produits'!$A$3:$H$10000,8,FALSE),"0")</f>
        <v>0</v>
      </c>
      <c r="K10423" s="4"/>
      <c r="L10423" s="33" t="str">
        <f>IFERROR(VLOOKUP($J10423,'Informations sur les produits'!$A$3:$H$10000,8,FALSE),"0")</f>
        <v>0</v>
      </c>
      <c r="N10423" s="8"/>
      <c r="O10423" s="33" t="str">
        <f>IFERROR(VLOOKUP($M10423,'Informations sur les produits'!$A$3:$H$10000,8,FALSE),"0")</f>
        <v>0</v>
      </c>
      <c r="P10423" s="33">
        <f t="shared" si="648"/>
        <v>0</v>
      </c>
      <c r="Q10423" s="31" t="str">
        <f t="shared" si="649"/>
        <v/>
      </c>
      <c r="R10423" s="32" t="str">
        <f>IFERROR(VLOOKUP($D10423,'Informations sur les produits'!$A$3:$B$15000,2,FALSE),"")</f>
        <v/>
      </c>
      <c r="V10423">
        <f t="shared" si="650"/>
        <v>0</v>
      </c>
      <c r="W10423">
        <f t="shared" si="651"/>
        <v>0</v>
      </c>
    </row>
    <row r="10424" spans="5:23" x14ac:dyDescent="0.25">
      <c r="E10424" s="4"/>
      <c r="F10424" s="4"/>
      <c r="G10424" s="33" t="str">
        <f>IFERROR(VLOOKUP($D10424,'Informations sur les produits'!$A$3:$H$10000,8,FALSE),"0")</f>
        <v>0</v>
      </c>
      <c r="K10424" s="4"/>
      <c r="L10424" s="33" t="str">
        <f>IFERROR(VLOOKUP($J10424,'Informations sur les produits'!$A$3:$H$10000,8,FALSE),"0")</f>
        <v>0</v>
      </c>
      <c r="N10424" s="8"/>
      <c r="O10424" s="33" t="str">
        <f>IFERROR(VLOOKUP($M10424,'Informations sur les produits'!$A$3:$H$10000,8,FALSE),"0")</f>
        <v>0</v>
      </c>
      <c r="P10424" s="33">
        <f t="shared" si="648"/>
        <v>0</v>
      </c>
      <c r="Q10424" s="31" t="str">
        <f t="shared" si="649"/>
        <v/>
      </c>
      <c r="R10424" s="32" t="str">
        <f>IFERROR(VLOOKUP($D10424,'Informations sur les produits'!$A$3:$B$15000,2,FALSE),"")</f>
        <v/>
      </c>
      <c r="V10424">
        <f t="shared" si="650"/>
        <v>0</v>
      </c>
      <c r="W10424">
        <f t="shared" si="651"/>
        <v>0</v>
      </c>
    </row>
    <row r="10425" spans="5:23" x14ac:dyDescent="0.25">
      <c r="E10425" s="4"/>
      <c r="F10425" s="4"/>
      <c r="G10425" s="33" t="str">
        <f>IFERROR(VLOOKUP($D10425,'Informations sur les produits'!$A$3:$H$10000,8,FALSE),"0")</f>
        <v>0</v>
      </c>
      <c r="K10425" s="4"/>
      <c r="L10425" s="33" t="str">
        <f>IFERROR(VLOOKUP($J10425,'Informations sur les produits'!$A$3:$H$10000,8,FALSE),"0")</f>
        <v>0</v>
      </c>
      <c r="N10425" s="8"/>
      <c r="O10425" s="33" t="str">
        <f>IFERROR(VLOOKUP($M10425,'Informations sur les produits'!$A$3:$H$10000,8,FALSE),"0")</f>
        <v>0</v>
      </c>
      <c r="P10425" s="33">
        <f t="shared" si="648"/>
        <v>0</v>
      </c>
      <c r="Q10425" s="31" t="str">
        <f t="shared" si="649"/>
        <v/>
      </c>
      <c r="R10425" s="32" t="str">
        <f>IFERROR(VLOOKUP($D10425,'Informations sur les produits'!$A$3:$B$15000,2,FALSE),"")</f>
        <v/>
      </c>
      <c r="V10425">
        <f t="shared" si="650"/>
        <v>0</v>
      </c>
      <c r="W10425">
        <f t="shared" si="651"/>
        <v>0</v>
      </c>
    </row>
    <row r="10426" spans="5:23" x14ac:dyDescent="0.25">
      <c r="E10426" s="4"/>
      <c r="F10426" s="4"/>
      <c r="G10426" s="33" t="str">
        <f>IFERROR(VLOOKUP($D10426,'Informations sur les produits'!$A$3:$H$10000,8,FALSE),"0")</f>
        <v>0</v>
      </c>
      <c r="K10426" s="4"/>
      <c r="L10426" s="33" t="str">
        <f>IFERROR(VLOOKUP($J10426,'Informations sur les produits'!$A$3:$H$10000,8,FALSE),"0")</f>
        <v>0</v>
      </c>
      <c r="N10426" s="8"/>
      <c r="O10426" s="33" t="str">
        <f>IFERROR(VLOOKUP($M10426,'Informations sur les produits'!$A$3:$H$10000,8,FALSE),"0")</f>
        <v>0</v>
      </c>
      <c r="P10426" s="33">
        <f t="shared" si="648"/>
        <v>0</v>
      </c>
      <c r="Q10426" s="31" t="str">
        <f t="shared" si="649"/>
        <v/>
      </c>
      <c r="R10426" s="32" t="str">
        <f>IFERROR(VLOOKUP($D10426,'Informations sur les produits'!$A$3:$B$15000,2,FALSE),"")</f>
        <v/>
      </c>
      <c r="V10426">
        <f t="shared" si="650"/>
        <v>0</v>
      </c>
      <c r="W10426">
        <f t="shared" si="651"/>
        <v>0</v>
      </c>
    </row>
    <row r="10427" spans="5:23" x14ac:dyDescent="0.25">
      <c r="E10427" s="4"/>
      <c r="F10427" s="4"/>
      <c r="G10427" s="33" t="str">
        <f>IFERROR(VLOOKUP($D10427,'Informations sur les produits'!$A$3:$H$10000,8,FALSE),"0")</f>
        <v>0</v>
      </c>
      <c r="K10427" s="4"/>
      <c r="L10427" s="33" t="str">
        <f>IFERROR(VLOOKUP($J10427,'Informations sur les produits'!$A$3:$H$10000,8,FALSE),"0")</f>
        <v>0</v>
      </c>
      <c r="N10427" s="8"/>
      <c r="O10427" s="33" t="str">
        <f>IFERROR(VLOOKUP($M10427,'Informations sur les produits'!$A$3:$H$10000,8,FALSE),"0")</f>
        <v>0</v>
      </c>
      <c r="P10427" s="33">
        <f t="shared" si="648"/>
        <v>0</v>
      </c>
      <c r="Q10427" s="31" t="str">
        <f t="shared" si="649"/>
        <v/>
      </c>
      <c r="R10427" s="32" t="str">
        <f>IFERROR(VLOOKUP($D10427,'Informations sur les produits'!$A$3:$B$15000,2,FALSE),"")</f>
        <v/>
      </c>
      <c r="V10427">
        <f t="shared" si="650"/>
        <v>0</v>
      </c>
      <c r="W10427">
        <f t="shared" si="651"/>
        <v>0</v>
      </c>
    </row>
    <row r="10428" spans="5:23" x14ac:dyDescent="0.25">
      <c r="E10428" s="4"/>
      <c r="F10428" s="4"/>
      <c r="G10428" s="33" t="str">
        <f>IFERROR(VLOOKUP($D10428,'Informations sur les produits'!$A$3:$H$10000,8,FALSE),"0")</f>
        <v>0</v>
      </c>
      <c r="K10428" s="4"/>
      <c r="L10428" s="33" t="str">
        <f>IFERROR(VLOOKUP($J10428,'Informations sur les produits'!$A$3:$H$10000,8,FALSE),"0")</f>
        <v>0</v>
      </c>
      <c r="N10428" s="8"/>
      <c r="O10428" s="33" t="str">
        <f>IFERROR(VLOOKUP($M10428,'Informations sur les produits'!$A$3:$H$10000,8,FALSE),"0")</f>
        <v>0</v>
      </c>
      <c r="P10428" s="33">
        <f t="shared" si="648"/>
        <v>0</v>
      </c>
      <c r="Q10428" s="31" t="str">
        <f t="shared" si="649"/>
        <v/>
      </c>
      <c r="R10428" s="32" t="str">
        <f>IFERROR(VLOOKUP($D10428,'Informations sur les produits'!$A$3:$B$15000,2,FALSE),"")</f>
        <v/>
      </c>
      <c r="V10428">
        <f t="shared" si="650"/>
        <v>0</v>
      </c>
      <c r="W10428">
        <f t="shared" si="651"/>
        <v>0</v>
      </c>
    </row>
    <row r="10429" spans="5:23" x14ac:dyDescent="0.25">
      <c r="E10429" s="4"/>
      <c r="F10429" s="4"/>
      <c r="G10429" s="33" t="str">
        <f>IFERROR(VLOOKUP($D10429,'Informations sur les produits'!$A$3:$H$10000,8,FALSE),"0")</f>
        <v>0</v>
      </c>
      <c r="K10429" s="4"/>
      <c r="L10429" s="33" t="str">
        <f>IFERROR(VLOOKUP($J10429,'Informations sur les produits'!$A$3:$H$10000,8,FALSE),"0")</f>
        <v>0</v>
      </c>
      <c r="N10429" s="8"/>
      <c r="O10429" s="33" t="str">
        <f>IFERROR(VLOOKUP($M10429,'Informations sur les produits'!$A$3:$H$10000,8,FALSE),"0")</f>
        <v>0</v>
      </c>
      <c r="P10429" s="33">
        <f t="shared" si="648"/>
        <v>0</v>
      </c>
      <c r="Q10429" s="31" t="str">
        <f t="shared" si="649"/>
        <v/>
      </c>
      <c r="R10429" s="32" t="str">
        <f>IFERROR(VLOOKUP($D10429,'Informations sur les produits'!$A$3:$B$15000,2,FALSE),"")</f>
        <v/>
      </c>
      <c r="V10429">
        <f t="shared" si="650"/>
        <v>0</v>
      </c>
      <c r="W10429">
        <f t="shared" si="651"/>
        <v>0</v>
      </c>
    </row>
    <row r="10430" spans="5:23" x14ac:dyDescent="0.25">
      <c r="E10430" s="4"/>
      <c r="F10430" s="4"/>
      <c r="G10430" s="33" t="str">
        <f>IFERROR(VLOOKUP($D10430,'Informations sur les produits'!$A$3:$H$10000,8,FALSE),"0")</f>
        <v>0</v>
      </c>
      <c r="K10430" s="4"/>
      <c r="L10430" s="33" t="str">
        <f>IFERROR(VLOOKUP($J10430,'Informations sur les produits'!$A$3:$H$10000,8,FALSE),"0")</f>
        <v>0</v>
      </c>
      <c r="N10430" s="8"/>
      <c r="O10430" s="33" t="str">
        <f>IFERROR(VLOOKUP($M10430,'Informations sur les produits'!$A$3:$H$10000,8,FALSE),"0")</f>
        <v>0</v>
      </c>
      <c r="P10430" s="33">
        <f t="shared" si="648"/>
        <v>0</v>
      </c>
      <c r="Q10430" s="31" t="str">
        <f t="shared" si="649"/>
        <v/>
      </c>
      <c r="R10430" s="32" t="str">
        <f>IFERROR(VLOOKUP($D10430,'Informations sur les produits'!$A$3:$B$15000,2,FALSE),"")</f>
        <v/>
      </c>
      <c r="V10430">
        <f t="shared" si="650"/>
        <v>0</v>
      </c>
      <c r="W10430">
        <f t="shared" si="651"/>
        <v>0</v>
      </c>
    </row>
    <row r="10431" spans="5:23" x14ac:dyDescent="0.25">
      <c r="E10431" s="4"/>
      <c r="F10431" s="4"/>
      <c r="G10431" s="33" t="str">
        <f>IFERROR(VLOOKUP($D10431,'Informations sur les produits'!$A$3:$H$10000,8,FALSE),"0")</f>
        <v>0</v>
      </c>
      <c r="K10431" s="4"/>
      <c r="L10431" s="33" t="str">
        <f>IFERROR(VLOOKUP($J10431,'Informations sur les produits'!$A$3:$H$10000,8,FALSE),"0")</f>
        <v>0</v>
      </c>
      <c r="N10431" s="8"/>
      <c r="O10431" s="33" t="str">
        <f>IFERROR(VLOOKUP($M10431,'Informations sur les produits'!$A$3:$H$10000,8,FALSE),"0")</f>
        <v>0</v>
      </c>
      <c r="P10431" s="33">
        <f t="shared" si="648"/>
        <v>0</v>
      </c>
      <c r="Q10431" s="31" t="str">
        <f t="shared" si="649"/>
        <v/>
      </c>
      <c r="R10431" s="32" t="str">
        <f>IFERROR(VLOOKUP($D10431,'Informations sur les produits'!$A$3:$B$15000,2,FALSE),"")</f>
        <v/>
      </c>
      <c r="V10431">
        <f t="shared" si="650"/>
        <v>0</v>
      </c>
      <c r="W10431">
        <f t="shared" si="651"/>
        <v>0</v>
      </c>
    </row>
    <row r="10432" spans="5:23" x14ac:dyDescent="0.25">
      <c r="E10432" s="4"/>
      <c r="F10432" s="4"/>
      <c r="G10432" s="33" t="str">
        <f>IFERROR(VLOOKUP($D10432,'Informations sur les produits'!$A$3:$H$10000,8,FALSE),"0")</f>
        <v>0</v>
      </c>
      <c r="K10432" s="4"/>
      <c r="L10432" s="33" t="str">
        <f>IFERROR(VLOOKUP($J10432,'Informations sur les produits'!$A$3:$H$10000,8,FALSE),"0")</f>
        <v>0</v>
      </c>
      <c r="N10432" s="8"/>
      <c r="O10432" s="33" t="str">
        <f>IFERROR(VLOOKUP($M10432,'Informations sur les produits'!$A$3:$H$10000,8,FALSE),"0")</f>
        <v>0</v>
      </c>
      <c r="P10432" s="33">
        <f t="shared" si="648"/>
        <v>0</v>
      </c>
      <c r="Q10432" s="31" t="str">
        <f t="shared" si="649"/>
        <v/>
      </c>
      <c r="R10432" s="32" t="str">
        <f>IFERROR(VLOOKUP($D10432,'Informations sur les produits'!$A$3:$B$15000,2,FALSE),"")</f>
        <v/>
      </c>
      <c r="V10432">
        <f t="shared" si="650"/>
        <v>0</v>
      </c>
      <c r="W10432">
        <f t="shared" si="651"/>
        <v>0</v>
      </c>
    </row>
    <row r="10433" spans="5:23" x14ac:dyDescent="0.25">
      <c r="E10433" s="4"/>
      <c r="F10433" s="4"/>
      <c r="G10433" s="33" t="str">
        <f>IFERROR(VLOOKUP($D10433,'Informations sur les produits'!$A$3:$H$10000,8,FALSE),"0")</f>
        <v>0</v>
      </c>
      <c r="K10433" s="4"/>
      <c r="L10433" s="33" t="str">
        <f>IFERROR(VLOOKUP($J10433,'Informations sur les produits'!$A$3:$H$10000,8,FALSE),"0")</f>
        <v>0</v>
      </c>
      <c r="N10433" s="8"/>
      <c r="O10433" s="33" t="str">
        <f>IFERROR(VLOOKUP($M10433,'Informations sur les produits'!$A$3:$H$10000,8,FALSE),"0")</f>
        <v>0</v>
      </c>
      <c r="P10433" s="33">
        <f t="shared" si="648"/>
        <v>0</v>
      </c>
      <c r="Q10433" s="31" t="str">
        <f t="shared" si="649"/>
        <v/>
      </c>
      <c r="R10433" s="32" t="str">
        <f>IFERROR(VLOOKUP($D10433,'Informations sur les produits'!$A$3:$B$15000,2,FALSE),"")</f>
        <v/>
      </c>
      <c r="V10433">
        <f t="shared" si="650"/>
        <v>0</v>
      </c>
      <c r="W10433">
        <f t="shared" si="651"/>
        <v>0</v>
      </c>
    </row>
    <row r="10434" spans="5:23" x14ac:dyDescent="0.25">
      <c r="E10434" s="4"/>
      <c r="F10434" s="4"/>
      <c r="G10434" s="33" t="str">
        <f>IFERROR(VLOOKUP($D10434,'Informations sur les produits'!$A$3:$H$10000,8,FALSE),"0")</f>
        <v>0</v>
      </c>
      <c r="K10434" s="4"/>
      <c r="L10434" s="33" t="str">
        <f>IFERROR(VLOOKUP($J10434,'Informations sur les produits'!$A$3:$H$10000,8,FALSE),"0")</f>
        <v>0</v>
      </c>
      <c r="N10434" s="8"/>
      <c r="O10434" s="33" t="str">
        <f>IFERROR(VLOOKUP($M10434,'Informations sur les produits'!$A$3:$H$10000,8,FALSE),"0")</f>
        <v>0</v>
      </c>
      <c r="P10434" s="33">
        <f t="shared" si="648"/>
        <v>0</v>
      </c>
      <c r="Q10434" s="31" t="str">
        <f t="shared" si="649"/>
        <v/>
      </c>
      <c r="R10434" s="32" t="str">
        <f>IFERROR(VLOOKUP($D10434,'Informations sur les produits'!$A$3:$B$15000,2,FALSE),"")</f>
        <v/>
      </c>
      <c r="V10434">
        <f t="shared" si="650"/>
        <v>0</v>
      </c>
      <c r="W10434">
        <f t="shared" si="651"/>
        <v>0</v>
      </c>
    </row>
    <row r="10435" spans="5:23" x14ac:dyDescent="0.25">
      <c r="E10435" s="4"/>
      <c r="F10435" s="4"/>
      <c r="G10435" s="33" t="str">
        <f>IFERROR(VLOOKUP($D10435,'Informations sur les produits'!$A$3:$H$10000,8,FALSE),"0")</f>
        <v>0</v>
      </c>
      <c r="K10435" s="4"/>
      <c r="L10435" s="33" t="str">
        <f>IFERROR(VLOOKUP($J10435,'Informations sur les produits'!$A$3:$H$10000,8,FALSE),"0")</f>
        <v>0</v>
      </c>
      <c r="N10435" s="8"/>
      <c r="O10435" s="33" t="str">
        <f>IFERROR(VLOOKUP($M10435,'Informations sur les produits'!$A$3:$H$10000,8,FALSE),"0")</f>
        <v>0</v>
      </c>
      <c r="P10435" s="33">
        <f t="shared" si="648"/>
        <v>0</v>
      </c>
      <c r="Q10435" s="31" t="str">
        <f t="shared" si="649"/>
        <v/>
      </c>
      <c r="R10435" s="32" t="str">
        <f>IFERROR(VLOOKUP($D10435,'Informations sur les produits'!$A$3:$B$15000,2,FALSE),"")</f>
        <v/>
      </c>
      <c r="V10435">
        <f t="shared" si="650"/>
        <v>0</v>
      </c>
      <c r="W10435">
        <f t="shared" si="651"/>
        <v>0</v>
      </c>
    </row>
    <row r="10436" spans="5:23" x14ac:dyDescent="0.25">
      <c r="E10436" s="4"/>
      <c r="F10436" s="4"/>
      <c r="G10436" s="33" t="str">
        <f>IFERROR(VLOOKUP($D10436,'Informations sur les produits'!$A$3:$H$10000,8,FALSE),"0")</f>
        <v>0</v>
      </c>
      <c r="K10436" s="4"/>
      <c r="L10436" s="33" t="str">
        <f>IFERROR(VLOOKUP($J10436,'Informations sur les produits'!$A$3:$H$10000,8,FALSE),"0")</f>
        <v>0</v>
      </c>
      <c r="N10436" s="8"/>
      <c r="O10436" s="33" t="str">
        <f>IFERROR(VLOOKUP($M10436,'Informations sur les produits'!$A$3:$H$10000,8,FALSE),"0")</f>
        <v>0</v>
      </c>
      <c r="P10436" s="33">
        <f t="shared" ref="P10436:P10499" si="652">IFERROR((($E10436-$F10436)*$G10436+$K10436*$L10436+$N10436*$O10436),"")</f>
        <v>0</v>
      </c>
      <c r="Q10436" s="31" t="str">
        <f t="shared" ref="Q10436:Q10499" si="653">IFERROR((((($E10436-$F10436)*$G10436+$K10436*$L10436+$N10436*$O10436)*1000)/(($E10436-$F10436)+$K10436+$N10436)),"")</f>
        <v/>
      </c>
      <c r="R10436" s="32" t="str">
        <f>IFERROR(VLOOKUP($D10436,'Informations sur les produits'!$A$3:$B$15000,2,FALSE),"")</f>
        <v/>
      </c>
      <c r="V10436">
        <f t="shared" ref="V10436:V10499" si="654">IFERROR(P10436*1000,"")</f>
        <v>0</v>
      </c>
      <c r="W10436">
        <f t="shared" ref="W10436:W10499" si="655">IFERROR(($E10436-$F10436)+$K10436+$N10436,"")</f>
        <v>0</v>
      </c>
    </row>
    <row r="10437" spans="5:23" x14ac:dyDescent="0.25">
      <c r="E10437" s="4"/>
      <c r="F10437" s="4"/>
      <c r="G10437" s="33" t="str">
        <f>IFERROR(VLOOKUP($D10437,'Informations sur les produits'!$A$3:$H$10000,8,FALSE),"0")</f>
        <v>0</v>
      </c>
      <c r="K10437" s="4"/>
      <c r="L10437" s="33" t="str">
        <f>IFERROR(VLOOKUP($J10437,'Informations sur les produits'!$A$3:$H$10000,8,FALSE),"0")</f>
        <v>0</v>
      </c>
      <c r="N10437" s="8"/>
      <c r="O10437" s="33" t="str">
        <f>IFERROR(VLOOKUP($M10437,'Informations sur les produits'!$A$3:$H$10000,8,FALSE),"0")</f>
        <v>0</v>
      </c>
      <c r="P10437" s="33">
        <f t="shared" si="652"/>
        <v>0</v>
      </c>
      <c r="Q10437" s="31" t="str">
        <f t="shared" si="653"/>
        <v/>
      </c>
      <c r="R10437" s="32" t="str">
        <f>IFERROR(VLOOKUP($D10437,'Informations sur les produits'!$A$3:$B$15000,2,FALSE),"")</f>
        <v/>
      </c>
      <c r="V10437">
        <f t="shared" si="654"/>
        <v>0</v>
      </c>
      <c r="W10437">
        <f t="shared" si="655"/>
        <v>0</v>
      </c>
    </row>
    <row r="10438" spans="5:23" x14ac:dyDescent="0.25">
      <c r="E10438" s="4"/>
      <c r="F10438" s="4"/>
      <c r="G10438" s="33" t="str">
        <f>IFERROR(VLOOKUP($D10438,'Informations sur les produits'!$A$3:$H$10000,8,FALSE),"0")</f>
        <v>0</v>
      </c>
      <c r="K10438" s="4"/>
      <c r="L10438" s="33" t="str">
        <f>IFERROR(VLOOKUP($J10438,'Informations sur les produits'!$A$3:$H$10000,8,FALSE),"0")</f>
        <v>0</v>
      </c>
      <c r="N10438" s="8"/>
      <c r="O10438" s="33" t="str">
        <f>IFERROR(VLOOKUP($M10438,'Informations sur les produits'!$A$3:$H$10000,8,FALSE),"0")</f>
        <v>0</v>
      </c>
      <c r="P10438" s="33">
        <f t="shared" si="652"/>
        <v>0</v>
      </c>
      <c r="Q10438" s="31" t="str">
        <f t="shared" si="653"/>
        <v/>
      </c>
      <c r="R10438" s="32" t="str">
        <f>IFERROR(VLOOKUP($D10438,'Informations sur les produits'!$A$3:$B$15000,2,FALSE),"")</f>
        <v/>
      </c>
      <c r="V10438">
        <f t="shared" si="654"/>
        <v>0</v>
      </c>
      <c r="W10438">
        <f t="shared" si="655"/>
        <v>0</v>
      </c>
    </row>
    <row r="10439" spans="5:23" x14ac:dyDescent="0.25">
      <c r="E10439" s="4"/>
      <c r="F10439" s="4"/>
      <c r="G10439" s="33" t="str">
        <f>IFERROR(VLOOKUP($D10439,'Informations sur les produits'!$A$3:$H$10000,8,FALSE),"0")</f>
        <v>0</v>
      </c>
      <c r="K10439" s="4"/>
      <c r="L10439" s="33" t="str">
        <f>IFERROR(VLOOKUP($J10439,'Informations sur les produits'!$A$3:$H$10000,8,FALSE),"0")</f>
        <v>0</v>
      </c>
      <c r="N10439" s="8"/>
      <c r="O10439" s="33" t="str">
        <f>IFERROR(VLOOKUP($M10439,'Informations sur les produits'!$A$3:$H$10000,8,FALSE),"0")</f>
        <v>0</v>
      </c>
      <c r="P10439" s="33">
        <f t="shared" si="652"/>
        <v>0</v>
      </c>
      <c r="Q10439" s="31" t="str">
        <f t="shared" si="653"/>
        <v/>
      </c>
      <c r="R10439" s="32" t="str">
        <f>IFERROR(VLOOKUP($D10439,'Informations sur les produits'!$A$3:$B$15000,2,FALSE),"")</f>
        <v/>
      </c>
      <c r="V10439">
        <f t="shared" si="654"/>
        <v>0</v>
      </c>
      <c r="W10439">
        <f t="shared" si="655"/>
        <v>0</v>
      </c>
    </row>
    <row r="10440" spans="5:23" x14ac:dyDescent="0.25">
      <c r="E10440" s="4"/>
      <c r="F10440" s="4"/>
      <c r="G10440" s="33" t="str">
        <f>IFERROR(VLOOKUP($D10440,'Informations sur les produits'!$A$3:$H$10000,8,FALSE),"0")</f>
        <v>0</v>
      </c>
      <c r="K10440" s="4"/>
      <c r="L10440" s="33" t="str">
        <f>IFERROR(VLOOKUP($J10440,'Informations sur les produits'!$A$3:$H$10000,8,FALSE),"0")</f>
        <v>0</v>
      </c>
      <c r="N10440" s="8"/>
      <c r="O10440" s="33" t="str">
        <f>IFERROR(VLOOKUP($M10440,'Informations sur les produits'!$A$3:$H$10000,8,FALSE),"0")</f>
        <v>0</v>
      </c>
      <c r="P10440" s="33">
        <f t="shared" si="652"/>
        <v>0</v>
      </c>
      <c r="Q10440" s="31" t="str">
        <f t="shared" si="653"/>
        <v/>
      </c>
      <c r="R10440" s="32" t="str">
        <f>IFERROR(VLOOKUP($D10440,'Informations sur les produits'!$A$3:$B$15000,2,FALSE),"")</f>
        <v/>
      </c>
      <c r="V10440">
        <f t="shared" si="654"/>
        <v>0</v>
      </c>
      <c r="W10440">
        <f t="shared" si="655"/>
        <v>0</v>
      </c>
    </row>
    <row r="10441" spans="5:23" x14ac:dyDescent="0.25">
      <c r="E10441" s="4"/>
      <c r="F10441" s="4"/>
      <c r="G10441" s="33" t="str">
        <f>IFERROR(VLOOKUP($D10441,'Informations sur les produits'!$A$3:$H$10000,8,FALSE),"0")</f>
        <v>0</v>
      </c>
      <c r="K10441" s="4"/>
      <c r="L10441" s="33" t="str">
        <f>IFERROR(VLOOKUP($J10441,'Informations sur les produits'!$A$3:$H$10000,8,FALSE),"0")</f>
        <v>0</v>
      </c>
      <c r="N10441" s="8"/>
      <c r="O10441" s="33" t="str">
        <f>IFERROR(VLOOKUP($M10441,'Informations sur les produits'!$A$3:$H$10000,8,FALSE),"0")</f>
        <v>0</v>
      </c>
      <c r="P10441" s="33">
        <f t="shared" si="652"/>
        <v>0</v>
      </c>
      <c r="Q10441" s="31" t="str">
        <f t="shared" si="653"/>
        <v/>
      </c>
      <c r="R10441" s="32" t="str">
        <f>IFERROR(VLOOKUP($D10441,'Informations sur les produits'!$A$3:$B$15000,2,FALSE),"")</f>
        <v/>
      </c>
      <c r="V10441">
        <f t="shared" si="654"/>
        <v>0</v>
      </c>
      <c r="W10441">
        <f t="shared" si="655"/>
        <v>0</v>
      </c>
    </row>
    <row r="10442" spans="5:23" x14ac:dyDescent="0.25">
      <c r="E10442" s="4"/>
      <c r="F10442" s="4"/>
      <c r="G10442" s="33" t="str">
        <f>IFERROR(VLOOKUP($D10442,'Informations sur les produits'!$A$3:$H$10000,8,FALSE),"0")</f>
        <v>0</v>
      </c>
      <c r="K10442" s="4"/>
      <c r="L10442" s="33" t="str">
        <f>IFERROR(VLOOKUP($J10442,'Informations sur les produits'!$A$3:$H$10000,8,FALSE),"0")</f>
        <v>0</v>
      </c>
      <c r="N10442" s="8"/>
      <c r="O10442" s="33" t="str">
        <f>IFERROR(VLOOKUP($M10442,'Informations sur les produits'!$A$3:$H$10000,8,FALSE),"0")</f>
        <v>0</v>
      </c>
      <c r="P10442" s="33">
        <f t="shared" si="652"/>
        <v>0</v>
      </c>
      <c r="Q10442" s="31" t="str">
        <f t="shared" si="653"/>
        <v/>
      </c>
      <c r="R10442" s="32" t="str">
        <f>IFERROR(VLOOKUP($D10442,'Informations sur les produits'!$A$3:$B$15000,2,FALSE),"")</f>
        <v/>
      </c>
      <c r="V10442">
        <f t="shared" si="654"/>
        <v>0</v>
      </c>
      <c r="W10442">
        <f t="shared" si="655"/>
        <v>0</v>
      </c>
    </row>
    <row r="10443" spans="5:23" x14ac:dyDescent="0.25">
      <c r="E10443" s="4"/>
      <c r="F10443" s="4"/>
      <c r="G10443" s="33" t="str">
        <f>IFERROR(VLOOKUP($D10443,'Informations sur les produits'!$A$3:$H$10000,8,FALSE),"0")</f>
        <v>0</v>
      </c>
      <c r="K10443" s="4"/>
      <c r="L10443" s="33" t="str">
        <f>IFERROR(VLOOKUP($J10443,'Informations sur les produits'!$A$3:$H$10000,8,FALSE),"0")</f>
        <v>0</v>
      </c>
      <c r="N10443" s="8"/>
      <c r="O10443" s="33" t="str">
        <f>IFERROR(VLOOKUP($M10443,'Informations sur les produits'!$A$3:$H$10000,8,FALSE),"0")</f>
        <v>0</v>
      </c>
      <c r="P10443" s="33">
        <f t="shared" si="652"/>
        <v>0</v>
      </c>
      <c r="Q10443" s="31" t="str">
        <f t="shared" si="653"/>
        <v/>
      </c>
      <c r="R10443" s="32" t="str">
        <f>IFERROR(VLOOKUP($D10443,'Informations sur les produits'!$A$3:$B$15000,2,FALSE),"")</f>
        <v/>
      </c>
      <c r="V10443">
        <f t="shared" si="654"/>
        <v>0</v>
      </c>
      <c r="W10443">
        <f t="shared" si="655"/>
        <v>0</v>
      </c>
    </row>
    <row r="10444" spans="5:23" x14ac:dyDescent="0.25">
      <c r="E10444" s="4"/>
      <c r="F10444" s="4"/>
      <c r="G10444" s="33" t="str">
        <f>IFERROR(VLOOKUP($D10444,'Informations sur les produits'!$A$3:$H$10000,8,FALSE),"0")</f>
        <v>0</v>
      </c>
      <c r="K10444" s="4"/>
      <c r="L10444" s="33" t="str">
        <f>IFERROR(VLOOKUP($J10444,'Informations sur les produits'!$A$3:$H$10000,8,FALSE),"0")</f>
        <v>0</v>
      </c>
      <c r="N10444" s="8"/>
      <c r="O10444" s="33" t="str">
        <f>IFERROR(VLOOKUP($M10444,'Informations sur les produits'!$A$3:$H$10000,8,FALSE),"0")</f>
        <v>0</v>
      </c>
      <c r="P10444" s="33">
        <f t="shared" si="652"/>
        <v>0</v>
      </c>
      <c r="Q10444" s="31" t="str">
        <f t="shared" si="653"/>
        <v/>
      </c>
      <c r="R10444" s="32" t="str">
        <f>IFERROR(VLOOKUP($D10444,'Informations sur les produits'!$A$3:$B$15000,2,FALSE),"")</f>
        <v/>
      </c>
      <c r="V10444">
        <f t="shared" si="654"/>
        <v>0</v>
      </c>
      <c r="W10444">
        <f t="shared" si="655"/>
        <v>0</v>
      </c>
    </row>
    <row r="10445" spans="5:23" x14ac:dyDescent="0.25">
      <c r="E10445" s="4"/>
      <c r="F10445" s="4"/>
      <c r="G10445" s="33" t="str">
        <f>IFERROR(VLOOKUP($D10445,'Informations sur les produits'!$A$3:$H$10000,8,FALSE),"0")</f>
        <v>0</v>
      </c>
      <c r="K10445" s="4"/>
      <c r="L10445" s="33" t="str">
        <f>IFERROR(VLOOKUP($J10445,'Informations sur les produits'!$A$3:$H$10000,8,FALSE),"0")</f>
        <v>0</v>
      </c>
      <c r="N10445" s="8"/>
      <c r="O10445" s="33" t="str">
        <f>IFERROR(VLOOKUP($M10445,'Informations sur les produits'!$A$3:$H$10000,8,FALSE),"0")</f>
        <v>0</v>
      </c>
      <c r="P10445" s="33">
        <f t="shared" si="652"/>
        <v>0</v>
      </c>
      <c r="Q10445" s="31" t="str">
        <f t="shared" si="653"/>
        <v/>
      </c>
      <c r="R10445" s="32" t="str">
        <f>IFERROR(VLOOKUP($D10445,'Informations sur les produits'!$A$3:$B$15000,2,FALSE),"")</f>
        <v/>
      </c>
      <c r="V10445">
        <f t="shared" si="654"/>
        <v>0</v>
      </c>
      <c r="W10445">
        <f t="shared" si="655"/>
        <v>0</v>
      </c>
    </row>
    <row r="10446" spans="5:23" x14ac:dyDescent="0.25">
      <c r="E10446" s="4"/>
      <c r="F10446" s="4"/>
      <c r="G10446" s="33" t="str">
        <f>IFERROR(VLOOKUP($D10446,'Informations sur les produits'!$A$3:$H$10000,8,FALSE),"0")</f>
        <v>0</v>
      </c>
      <c r="K10446" s="4"/>
      <c r="L10446" s="33" t="str">
        <f>IFERROR(VLOOKUP($J10446,'Informations sur les produits'!$A$3:$H$10000,8,FALSE),"0")</f>
        <v>0</v>
      </c>
      <c r="N10446" s="8"/>
      <c r="O10446" s="33" t="str">
        <f>IFERROR(VLOOKUP($M10446,'Informations sur les produits'!$A$3:$H$10000,8,FALSE),"0")</f>
        <v>0</v>
      </c>
      <c r="P10446" s="33">
        <f t="shared" si="652"/>
        <v>0</v>
      </c>
      <c r="Q10446" s="31" t="str">
        <f t="shared" si="653"/>
        <v/>
      </c>
      <c r="R10446" s="32" t="str">
        <f>IFERROR(VLOOKUP($D10446,'Informations sur les produits'!$A$3:$B$15000,2,FALSE),"")</f>
        <v/>
      </c>
      <c r="V10446">
        <f t="shared" si="654"/>
        <v>0</v>
      </c>
      <c r="W10446">
        <f t="shared" si="655"/>
        <v>0</v>
      </c>
    </row>
    <row r="10447" spans="5:23" x14ac:dyDescent="0.25">
      <c r="E10447" s="4"/>
      <c r="F10447" s="4"/>
      <c r="G10447" s="33" t="str">
        <f>IFERROR(VLOOKUP($D10447,'Informations sur les produits'!$A$3:$H$10000,8,FALSE),"0")</f>
        <v>0</v>
      </c>
      <c r="K10447" s="4"/>
      <c r="L10447" s="33" t="str">
        <f>IFERROR(VLOOKUP($J10447,'Informations sur les produits'!$A$3:$H$10000,8,FALSE),"0")</f>
        <v>0</v>
      </c>
      <c r="N10447" s="8"/>
      <c r="O10447" s="33" t="str">
        <f>IFERROR(VLOOKUP($M10447,'Informations sur les produits'!$A$3:$H$10000,8,FALSE),"0")</f>
        <v>0</v>
      </c>
      <c r="P10447" s="33">
        <f t="shared" si="652"/>
        <v>0</v>
      </c>
      <c r="Q10447" s="31" t="str">
        <f t="shared" si="653"/>
        <v/>
      </c>
      <c r="R10447" s="32" t="str">
        <f>IFERROR(VLOOKUP($D10447,'Informations sur les produits'!$A$3:$B$15000,2,FALSE),"")</f>
        <v/>
      </c>
      <c r="V10447">
        <f t="shared" si="654"/>
        <v>0</v>
      </c>
      <c r="W10447">
        <f t="shared" si="655"/>
        <v>0</v>
      </c>
    </row>
    <row r="10448" spans="5:23" x14ac:dyDescent="0.25">
      <c r="E10448" s="4"/>
      <c r="F10448" s="4"/>
      <c r="G10448" s="33" t="str">
        <f>IFERROR(VLOOKUP($D10448,'Informations sur les produits'!$A$3:$H$10000,8,FALSE),"0")</f>
        <v>0</v>
      </c>
      <c r="K10448" s="4"/>
      <c r="L10448" s="33" t="str">
        <f>IFERROR(VLOOKUP($J10448,'Informations sur les produits'!$A$3:$H$10000,8,FALSE),"0")</f>
        <v>0</v>
      </c>
      <c r="N10448" s="8"/>
      <c r="O10448" s="33" t="str">
        <f>IFERROR(VLOOKUP($M10448,'Informations sur les produits'!$A$3:$H$10000,8,FALSE),"0")</f>
        <v>0</v>
      </c>
      <c r="P10448" s="33">
        <f t="shared" si="652"/>
        <v>0</v>
      </c>
      <c r="Q10448" s="31" t="str">
        <f t="shared" si="653"/>
        <v/>
      </c>
      <c r="R10448" s="32" t="str">
        <f>IFERROR(VLOOKUP($D10448,'Informations sur les produits'!$A$3:$B$15000,2,FALSE),"")</f>
        <v/>
      </c>
      <c r="V10448">
        <f t="shared" si="654"/>
        <v>0</v>
      </c>
      <c r="W10448">
        <f t="shared" si="655"/>
        <v>0</v>
      </c>
    </row>
    <row r="10449" spans="5:23" x14ac:dyDescent="0.25">
      <c r="E10449" s="4"/>
      <c r="F10449" s="4"/>
      <c r="G10449" s="33" t="str">
        <f>IFERROR(VLOOKUP($D10449,'Informations sur les produits'!$A$3:$H$10000,8,FALSE),"0")</f>
        <v>0</v>
      </c>
      <c r="K10449" s="4"/>
      <c r="L10449" s="33" t="str">
        <f>IFERROR(VLOOKUP($J10449,'Informations sur les produits'!$A$3:$H$10000,8,FALSE),"0")</f>
        <v>0</v>
      </c>
      <c r="N10449" s="8"/>
      <c r="O10449" s="33" t="str">
        <f>IFERROR(VLOOKUP($M10449,'Informations sur les produits'!$A$3:$H$10000,8,FALSE),"0")</f>
        <v>0</v>
      </c>
      <c r="P10449" s="33">
        <f t="shared" si="652"/>
        <v>0</v>
      </c>
      <c r="Q10449" s="31" t="str">
        <f t="shared" si="653"/>
        <v/>
      </c>
      <c r="R10449" s="32" t="str">
        <f>IFERROR(VLOOKUP($D10449,'Informations sur les produits'!$A$3:$B$15000,2,FALSE),"")</f>
        <v/>
      </c>
      <c r="V10449">
        <f t="shared" si="654"/>
        <v>0</v>
      </c>
      <c r="W10449">
        <f t="shared" si="655"/>
        <v>0</v>
      </c>
    </row>
    <row r="10450" spans="5:23" x14ac:dyDescent="0.25">
      <c r="E10450" s="4"/>
      <c r="F10450" s="4"/>
      <c r="G10450" s="33" t="str">
        <f>IFERROR(VLOOKUP($D10450,'Informations sur les produits'!$A$3:$H$10000,8,FALSE),"0")</f>
        <v>0</v>
      </c>
      <c r="K10450" s="4"/>
      <c r="L10450" s="33" t="str">
        <f>IFERROR(VLOOKUP($J10450,'Informations sur les produits'!$A$3:$H$10000,8,FALSE),"0")</f>
        <v>0</v>
      </c>
      <c r="N10450" s="8"/>
      <c r="O10450" s="33" t="str">
        <f>IFERROR(VLOOKUP($M10450,'Informations sur les produits'!$A$3:$H$10000,8,FALSE),"0")</f>
        <v>0</v>
      </c>
      <c r="P10450" s="33">
        <f t="shared" si="652"/>
        <v>0</v>
      </c>
      <c r="Q10450" s="31" t="str">
        <f t="shared" si="653"/>
        <v/>
      </c>
      <c r="R10450" s="32" t="str">
        <f>IFERROR(VLOOKUP($D10450,'Informations sur les produits'!$A$3:$B$15000,2,FALSE),"")</f>
        <v/>
      </c>
      <c r="V10450">
        <f t="shared" si="654"/>
        <v>0</v>
      </c>
      <c r="W10450">
        <f t="shared" si="655"/>
        <v>0</v>
      </c>
    </row>
    <row r="10451" spans="5:23" x14ac:dyDescent="0.25">
      <c r="E10451" s="4"/>
      <c r="F10451" s="4"/>
      <c r="G10451" s="33" t="str">
        <f>IFERROR(VLOOKUP($D10451,'Informations sur les produits'!$A$3:$H$10000,8,FALSE),"0")</f>
        <v>0</v>
      </c>
      <c r="K10451" s="4"/>
      <c r="L10451" s="33" t="str">
        <f>IFERROR(VLOOKUP($J10451,'Informations sur les produits'!$A$3:$H$10000,8,FALSE),"0")</f>
        <v>0</v>
      </c>
      <c r="N10451" s="8"/>
      <c r="O10451" s="33" t="str">
        <f>IFERROR(VLOOKUP($M10451,'Informations sur les produits'!$A$3:$H$10000,8,FALSE),"0")</f>
        <v>0</v>
      </c>
      <c r="P10451" s="33">
        <f t="shared" si="652"/>
        <v>0</v>
      </c>
      <c r="Q10451" s="31" t="str">
        <f t="shared" si="653"/>
        <v/>
      </c>
      <c r="R10451" s="32" t="str">
        <f>IFERROR(VLOOKUP($D10451,'Informations sur les produits'!$A$3:$B$15000,2,FALSE),"")</f>
        <v/>
      </c>
      <c r="V10451">
        <f t="shared" si="654"/>
        <v>0</v>
      </c>
      <c r="W10451">
        <f t="shared" si="655"/>
        <v>0</v>
      </c>
    </row>
    <row r="10452" spans="5:23" x14ac:dyDescent="0.25">
      <c r="E10452" s="4"/>
      <c r="F10452" s="4"/>
      <c r="G10452" s="33" t="str">
        <f>IFERROR(VLOOKUP($D10452,'Informations sur les produits'!$A$3:$H$10000,8,FALSE),"0")</f>
        <v>0</v>
      </c>
      <c r="K10452" s="4"/>
      <c r="L10452" s="33" t="str">
        <f>IFERROR(VLOOKUP($J10452,'Informations sur les produits'!$A$3:$H$10000,8,FALSE),"0")</f>
        <v>0</v>
      </c>
      <c r="N10452" s="8"/>
      <c r="O10452" s="33" t="str">
        <f>IFERROR(VLOOKUP($M10452,'Informations sur les produits'!$A$3:$H$10000,8,FALSE),"0")</f>
        <v>0</v>
      </c>
      <c r="P10452" s="33">
        <f t="shared" si="652"/>
        <v>0</v>
      </c>
      <c r="Q10452" s="31" t="str">
        <f t="shared" si="653"/>
        <v/>
      </c>
      <c r="R10452" s="32" t="str">
        <f>IFERROR(VLOOKUP($D10452,'Informations sur les produits'!$A$3:$B$15000,2,FALSE),"")</f>
        <v/>
      </c>
      <c r="V10452">
        <f t="shared" si="654"/>
        <v>0</v>
      </c>
      <c r="W10452">
        <f t="shared" si="655"/>
        <v>0</v>
      </c>
    </row>
    <row r="10453" spans="5:23" x14ac:dyDescent="0.25">
      <c r="E10453" s="4"/>
      <c r="F10453" s="4"/>
      <c r="G10453" s="33" t="str">
        <f>IFERROR(VLOOKUP($D10453,'Informations sur les produits'!$A$3:$H$10000,8,FALSE),"0")</f>
        <v>0</v>
      </c>
      <c r="K10453" s="4"/>
      <c r="L10453" s="33" t="str">
        <f>IFERROR(VLOOKUP($J10453,'Informations sur les produits'!$A$3:$H$10000,8,FALSE),"0")</f>
        <v>0</v>
      </c>
      <c r="N10453" s="8"/>
      <c r="O10453" s="33" t="str">
        <f>IFERROR(VLOOKUP($M10453,'Informations sur les produits'!$A$3:$H$10000,8,FALSE),"0")</f>
        <v>0</v>
      </c>
      <c r="P10453" s="33">
        <f t="shared" si="652"/>
        <v>0</v>
      </c>
      <c r="Q10453" s="31" t="str">
        <f t="shared" si="653"/>
        <v/>
      </c>
      <c r="R10453" s="32" t="str">
        <f>IFERROR(VLOOKUP($D10453,'Informations sur les produits'!$A$3:$B$15000,2,FALSE),"")</f>
        <v/>
      </c>
      <c r="V10453">
        <f t="shared" si="654"/>
        <v>0</v>
      </c>
      <c r="W10453">
        <f t="shared" si="655"/>
        <v>0</v>
      </c>
    </row>
    <row r="10454" spans="5:23" x14ac:dyDescent="0.25">
      <c r="E10454" s="4"/>
      <c r="F10454" s="4"/>
      <c r="G10454" s="33" t="str">
        <f>IFERROR(VLOOKUP($D10454,'Informations sur les produits'!$A$3:$H$10000,8,FALSE),"0")</f>
        <v>0</v>
      </c>
      <c r="K10454" s="4"/>
      <c r="L10454" s="33" t="str">
        <f>IFERROR(VLOOKUP($J10454,'Informations sur les produits'!$A$3:$H$10000,8,FALSE),"0")</f>
        <v>0</v>
      </c>
      <c r="N10454" s="8"/>
      <c r="O10454" s="33" t="str">
        <f>IFERROR(VLOOKUP($M10454,'Informations sur les produits'!$A$3:$H$10000,8,FALSE),"0")</f>
        <v>0</v>
      </c>
      <c r="P10454" s="33">
        <f t="shared" si="652"/>
        <v>0</v>
      </c>
      <c r="Q10454" s="31" t="str">
        <f t="shared" si="653"/>
        <v/>
      </c>
      <c r="R10454" s="32" t="str">
        <f>IFERROR(VLOOKUP($D10454,'Informations sur les produits'!$A$3:$B$15000,2,FALSE),"")</f>
        <v/>
      </c>
      <c r="V10454">
        <f t="shared" si="654"/>
        <v>0</v>
      </c>
      <c r="W10454">
        <f t="shared" si="655"/>
        <v>0</v>
      </c>
    </row>
    <row r="10455" spans="5:23" x14ac:dyDescent="0.25">
      <c r="E10455" s="4"/>
      <c r="F10455" s="4"/>
      <c r="G10455" s="33" t="str">
        <f>IFERROR(VLOOKUP($D10455,'Informations sur les produits'!$A$3:$H$10000,8,FALSE),"0")</f>
        <v>0</v>
      </c>
      <c r="K10455" s="4"/>
      <c r="L10455" s="33" t="str">
        <f>IFERROR(VLOOKUP($J10455,'Informations sur les produits'!$A$3:$H$10000,8,FALSE),"0")</f>
        <v>0</v>
      </c>
      <c r="N10455" s="8"/>
      <c r="O10455" s="33" t="str">
        <f>IFERROR(VLOOKUP($M10455,'Informations sur les produits'!$A$3:$H$10000,8,FALSE),"0")</f>
        <v>0</v>
      </c>
      <c r="P10455" s="33">
        <f t="shared" si="652"/>
        <v>0</v>
      </c>
      <c r="Q10455" s="31" t="str">
        <f t="shared" si="653"/>
        <v/>
      </c>
      <c r="R10455" s="32" t="str">
        <f>IFERROR(VLOOKUP($D10455,'Informations sur les produits'!$A$3:$B$15000,2,FALSE),"")</f>
        <v/>
      </c>
      <c r="V10455">
        <f t="shared" si="654"/>
        <v>0</v>
      </c>
      <c r="W10455">
        <f t="shared" si="655"/>
        <v>0</v>
      </c>
    </row>
    <row r="10456" spans="5:23" x14ac:dyDescent="0.25">
      <c r="E10456" s="4"/>
      <c r="F10456" s="4"/>
      <c r="G10456" s="33" t="str">
        <f>IFERROR(VLOOKUP($D10456,'Informations sur les produits'!$A$3:$H$10000,8,FALSE),"0")</f>
        <v>0</v>
      </c>
      <c r="K10456" s="4"/>
      <c r="L10456" s="33" t="str">
        <f>IFERROR(VLOOKUP($J10456,'Informations sur les produits'!$A$3:$H$10000,8,FALSE),"0")</f>
        <v>0</v>
      </c>
      <c r="N10456" s="8"/>
      <c r="O10456" s="33" t="str">
        <f>IFERROR(VLOOKUP($M10456,'Informations sur les produits'!$A$3:$H$10000,8,FALSE),"0")</f>
        <v>0</v>
      </c>
      <c r="P10456" s="33">
        <f t="shared" si="652"/>
        <v>0</v>
      </c>
      <c r="Q10456" s="31" t="str">
        <f t="shared" si="653"/>
        <v/>
      </c>
      <c r="R10456" s="32" t="str">
        <f>IFERROR(VLOOKUP($D10456,'Informations sur les produits'!$A$3:$B$15000,2,FALSE),"")</f>
        <v/>
      </c>
      <c r="V10456">
        <f t="shared" si="654"/>
        <v>0</v>
      </c>
      <c r="W10456">
        <f t="shared" si="655"/>
        <v>0</v>
      </c>
    </row>
    <row r="10457" spans="5:23" x14ac:dyDescent="0.25">
      <c r="E10457" s="4"/>
      <c r="F10457" s="4"/>
      <c r="G10457" s="33" t="str">
        <f>IFERROR(VLOOKUP($D10457,'Informations sur les produits'!$A$3:$H$10000,8,FALSE),"0")</f>
        <v>0</v>
      </c>
      <c r="K10457" s="4"/>
      <c r="L10457" s="33" t="str">
        <f>IFERROR(VLOOKUP($J10457,'Informations sur les produits'!$A$3:$H$10000,8,FALSE),"0")</f>
        <v>0</v>
      </c>
      <c r="N10457" s="8"/>
      <c r="O10457" s="33" t="str">
        <f>IFERROR(VLOOKUP($M10457,'Informations sur les produits'!$A$3:$H$10000,8,FALSE),"0")</f>
        <v>0</v>
      </c>
      <c r="P10457" s="33">
        <f t="shared" si="652"/>
        <v>0</v>
      </c>
      <c r="Q10457" s="31" t="str">
        <f t="shared" si="653"/>
        <v/>
      </c>
      <c r="R10457" s="32" t="str">
        <f>IFERROR(VLOOKUP($D10457,'Informations sur les produits'!$A$3:$B$15000,2,FALSE),"")</f>
        <v/>
      </c>
      <c r="V10457">
        <f t="shared" si="654"/>
        <v>0</v>
      </c>
      <c r="W10457">
        <f t="shared" si="655"/>
        <v>0</v>
      </c>
    </row>
    <row r="10458" spans="5:23" x14ac:dyDescent="0.25">
      <c r="E10458" s="4"/>
      <c r="F10458" s="4"/>
      <c r="G10458" s="33" t="str">
        <f>IFERROR(VLOOKUP($D10458,'Informations sur les produits'!$A$3:$H$10000,8,FALSE),"0")</f>
        <v>0</v>
      </c>
      <c r="K10458" s="4"/>
      <c r="L10458" s="33" t="str">
        <f>IFERROR(VLOOKUP($J10458,'Informations sur les produits'!$A$3:$H$10000,8,FALSE),"0")</f>
        <v>0</v>
      </c>
      <c r="N10458" s="8"/>
      <c r="O10458" s="33" t="str">
        <f>IFERROR(VLOOKUP($M10458,'Informations sur les produits'!$A$3:$H$10000,8,FALSE),"0")</f>
        <v>0</v>
      </c>
      <c r="P10458" s="33">
        <f t="shared" si="652"/>
        <v>0</v>
      </c>
      <c r="Q10458" s="31" t="str">
        <f t="shared" si="653"/>
        <v/>
      </c>
      <c r="R10458" s="32" t="str">
        <f>IFERROR(VLOOKUP($D10458,'Informations sur les produits'!$A$3:$B$15000,2,FALSE),"")</f>
        <v/>
      </c>
      <c r="V10458">
        <f t="shared" si="654"/>
        <v>0</v>
      </c>
      <c r="W10458">
        <f t="shared" si="655"/>
        <v>0</v>
      </c>
    </row>
    <row r="10459" spans="5:23" x14ac:dyDescent="0.25">
      <c r="E10459" s="4"/>
      <c r="F10459" s="4"/>
      <c r="G10459" s="33" t="str">
        <f>IFERROR(VLOOKUP($D10459,'Informations sur les produits'!$A$3:$H$10000,8,FALSE),"0")</f>
        <v>0</v>
      </c>
      <c r="K10459" s="4"/>
      <c r="L10459" s="33" t="str">
        <f>IFERROR(VLOOKUP($J10459,'Informations sur les produits'!$A$3:$H$10000,8,FALSE),"0")</f>
        <v>0</v>
      </c>
      <c r="N10459" s="8"/>
      <c r="O10459" s="33" t="str">
        <f>IFERROR(VLOOKUP($M10459,'Informations sur les produits'!$A$3:$H$10000,8,FALSE),"0")</f>
        <v>0</v>
      </c>
      <c r="P10459" s="33">
        <f t="shared" si="652"/>
        <v>0</v>
      </c>
      <c r="Q10459" s="31" t="str">
        <f t="shared" si="653"/>
        <v/>
      </c>
      <c r="R10459" s="32" t="str">
        <f>IFERROR(VLOOKUP($D10459,'Informations sur les produits'!$A$3:$B$15000,2,FALSE),"")</f>
        <v/>
      </c>
      <c r="V10459">
        <f t="shared" si="654"/>
        <v>0</v>
      </c>
      <c r="W10459">
        <f t="shared" si="655"/>
        <v>0</v>
      </c>
    </row>
    <row r="10460" spans="5:23" x14ac:dyDescent="0.25">
      <c r="E10460" s="4"/>
      <c r="F10460" s="4"/>
      <c r="G10460" s="33" t="str">
        <f>IFERROR(VLOOKUP($D10460,'Informations sur les produits'!$A$3:$H$10000,8,FALSE),"0")</f>
        <v>0</v>
      </c>
      <c r="K10460" s="4"/>
      <c r="L10460" s="33" t="str">
        <f>IFERROR(VLOOKUP($J10460,'Informations sur les produits'!$A$3:$H$10000,8,FALSE),"0")</f>
        <v>0</v>
      </c>
      <c r="N10460" s="8"/>
      <c r="O10460" s="33" t="str">
        <f>IFERROR(VLOOKUP($M10460,'Informations sur les produits'!$A$3:$H$10000,8,FALSE),"0")</f>
        <v>0</v>
      </c>
      <c r="P10460" s="33">
        <f t="shared" si="652"/>
        <v>0</v>
      </c>
      <c r="Q10460" s="31" t="str">
        <f t="shared" si="653"/>
        <v/>
      </c>
      <c r="R10460" s="32" t="str">
        <f>IFERROR(VLOOKUP($D10460,'Informations sur les produits'!$A$3:$B$15000,2,FALSE),"")</f>
        <v/>
      </c>
      <c r="V10460">
        <f t="shared" si="654"/>
        <v>0</v>
      </c>
      <c r="W10460">
        <f t="shared" si="655"/>
        <v>0</v>
      </c>
    </row>
    <row r="10461" spans="5:23" x14ac:dyDescent="0.25">
      <c r="E10461" s="4"/>
      <c r="F10461" s="4"/>
      <c r="G10461" s="33" t="str">
        <f>IFERROR(VLOOKUP($D10461,'Informations sur les produits'!$A$3:$H$10000,8,FALSE),"0")</f>
        <v>0</v>
      </c>
      <c r="K10461" s="4"/>
      <c r="L10461" s="33" t="str">
        <f>IFERROR(VLOOKUP($J10461,'Informations sur les produits'!$A$3:$H$10000,8,FALSE),"0")</f>
        <v>0</v>
      </c>
      <c r="N10461" s="8"/>
      <c r="O10461" s="33" t="str">
        <f>IFERROR(VLOOKUP($M10461,'Informations sur les produits'!$A$3:$H$10000,8,FALSE),"0")</f>
        <v>0</v>
      </c>
      <c r="P10461" s="33">
        <f t="shared" si="652"/>
        <v>0</v>
      </c>
      <c r="Q10461" s="31" t="str">
        <f t="shared" si="653"/>
        <v/>
      </c>
      <c r="R10461" s="32" t="str">
        <f>IFERROR(VLOOKUP($D10461,'Informations sur les produits'!$A$3:$B$15000,2,FALSE),"")</f>
        <v/>
      </c>
      <c r="V10461">
        <f t="shared" si="654"/>
        <v>0</v>
      </c>
      <c r="W10461">
        <f t="shared" si="655"/>
        <v>0</v>
      </c>
    </row>
    <row r="10462" spans="5:23" x14ac:dyDescent="0.25">
      <c r="E10462" s="4"/>
      <c r="F10462" s="4"/>
      <c r="G10462" s="33" t="str">
        <f>IFERROR(VLOOKUP($D10462,'Informations sur les produits'!$A$3:$H$10000,8,FALSE),"0")</f>
        <v>0</v>
      </c>
      <c r="K10462" s="4"/>
      <c r="L10462" s="33" t="str">
        <f>IFERROR(VLOOKUP($J10462,'Informations sur les produits'!$A$3:$H$10000,8,FALSE),"0")</f>
        <v>0</v>
      </c>
      <c r="N10462" s="8"/>
      <c r="O10462" s="33" t="str">
        <f>IFERROR(VLOOKUP($M10462,'Informations sur les produits'!$A$3:$H$10000,8,FALSE),"0")</f>
        <v>0</v>
      </c>
      <c r="P10462" s="33">
        <f t="shared" si="652"/>
        <v>0</v>
      </c>
      <c r="Q10462" s="31" t="str">
        <f t="shared" si="653"/>
        <v/>
      </c>
      <c r="R10462" s="32" t="str">
        <f>IFERROR(VLOOKUP($D10462,'Informations sur les produits'!$A$3:$B$15000,2,FALSE),"")</f>
        <v/>
      </c>
      <c r="V10462">
        <f t="shared" si="654"/>
        <v>0</v>
      </c>
      <c r="W10462">
        <f t="shared" si="655"/>
        <v>0</v>
      </c>
    </row>
    <row r="10463" spans="5:23" x14ac:dyDescent="0.25">
      <c r="E10463" s="4"/>
      <c r="F10463" s="4"/>
      <c r="G10463" s="33" t="str">
        <f>IFERROR(VLOOKUP($D10463,'Informations sur les produits'!$A$3:$H$10000,8,FALSE),"0")</f>
        <v>0</v>
      </c>
      <c r="K10463" s="4"/>
      <c r="L10463" s="33" t="str">
        <f>IFERROR(VLOOKUP($J10463,'Informations sur les produits'!$A$3:$H$10000,8,FALSE),"0")</f>
        <v>0</v>
      </c>
      <c r="N10463" s="8"/>
      <c r="O10463" s="33" t="str">
        <f>IFERROR(VLOOKUP($M10463,'Informations sur les produits'!$A$3:$H$10000,8,FALSE),"0")</f>
        <v>0</v>
      </c>
      <c r="P10463" s="33">
        <f t="shared" si="652"/>
        <v>0</v>
      </c>
      <c r="Q10463" s="31" t="str">
        <f t="shared" si="653"/>
        <v/>
      </c>
      <c r="R10463" s="32" t="str">
        <f>IFERROR(VLOOKUP($D10463,'Informations sur les produits'!$A$3:$B$15000,2,FALSE),"")</f>
        <v/>
      </c>
      <c r="V10463">
        <f t="shared" si="654"/>
        <v>0</v>
      </c>
      <c r="W10463">
        <f t="shared" si="655"/>
        <v>0</v>
      </c>
    </row>
    <row r="10464" spans="5:23" x14ac:dyDescent="0.25">
      <c r="E10464" s="4"/>
      <c r="F10464" s="4"/>
      <c r="G10464" s="33" t="str">
        <f>IFERROR(VLOOKUP($D10464,'Informations sur les produits'!$A$3:$H$10000,8,FALSE),"0")</f>
        <v>0</v>
      </c>
      <c r="K10464" s="4"/>
      <c r="L10464" s="33" t="str">
        <f>IFERROR(VLOOKUP($J10464,'Informations sur les produits'!$A$3:$H$10000,8,FALSE),"0")</f>
        <v>0</v>
      </c>
      <c r="N10464" s="8"/>
      <c r="O10464" s="33" t="str">
        <f>IFERROR(VLOOKUP($M10464,'Informations sur les produits'!$A$3:$H$10000,8,FALSE),"0")</f>
        <v>0</v>
      </c>
      <c r="P10464" s="33">
        <f t="shared" si="652"/>
        <v>0</v>
      </c>
      <c r="Q10464" s="31" t="str">
        <f t="shared" si="653"/>
        <v/>
      </c>
      <c r="R10464" s="32" t="str">
        <f>IFERROR(VLOOKUP($D10464,'Informations sur les produits'!$A$3:$B$15000,2,FALSE),"")</f>
        <v/>
      </c>
      <c r="V10464">
        <f t="shared" si="654"/>
        <v>0</v>
      </c>
      <c r="W10464">
        <f t="shared" si="655"/>
        <v>0</v>
      </c>
    </row>
    <row r="10465" spans="5:23" x14ac:dyDescent="0.25">
      <c r="E10465" s="4"/>
      <c r="F10465" s="4"/>
      <c r="G10465" s="33" t="str">
        <f>IFERROR(VLOOKUP($D10465,'Informations sur les produits'!$A$3:$H$10000,8,FALSE),"0")</f>
        <v>0</v>
      </c>
      <c r="K10465" s="4"/>
      <c r="L10465" s="33" t="str">
        <f>IFERROR(VLOOKUP($J10465,'Informations sur les produits'!$A$3:$H$10000,8,FALSE),"0")</f>
        <v>0</v>
      </c>
      <c r="N10465" s="8"/>
      <c r="O10465" s="33" t="str">
        <f>IFERROR(VLOOKUP($M10465,'Informations sur les produits'!$A$3:$H$10000,8,FALSE),"0")</f>
        <v>0</v>
      </c>
      <c r="P10465" s="33">
        <f t="shared" si="652"/>
        <v>0</v>
      </c>
      <c r="Q10465" s="31" t="str">
        <f t="shared" si="653"/>
        <v/>
      </c>
      <c r="R10465" s="32" t="str">
        <f>IFERROR(VLOOKUP($D10465,'Informations sur les produits'!$A$3:$B$15000,2,FALSE),"")</f>
        <v/>
      </c>
      <c r="V10465">
        <f t="shared" si="654"/>
        <v>0</v>
      </c>
      <c r="W10465">
        <f t="shared" si="655"/>
        <v>0</v>
      </c>
    </row>
    <row r="10466" spans="5:23" x14ac:dyDescent="0.25">
      <c r="E10466" s="4"/>
      <c r="F10466" s="4"/>
      <c r="G10466" s="33" t="str">
        <f>IFERROR(VLOOKUP($D10466,'Informations sur les produits'!$A$3:$H$10000,8,FALSE),"0")</f>
        <v>0</v>
      </c>
      <c r="K10466" s="4"/>
      <c r="L10466" s="33" t="str">
        <f>IFERROR(VLOOKUP($J10466,'Informations sur les produits'!$A$3:$H$10000,8,FALSE),"0")</f>
        <v>0</v>
      </c>
      <c r="N10466" s="8"/>
      <c r="O10466" s="33" t="str">
        <f>IFERROR(VLOOKUP($M10466,'Informations sur les produits'!$A$3:$H$10000,8,FALSE),"0")</f>
        <v>0</v>
      </c>
      <c r="P10466" s="33">
        <f t="shared" si="652"/>
        <v>0</v>
      </c>
      <c r="Q10466" s="31" t="str">
        <f t="shared" si="653"/>
        <v/>
      </c>
      <c r="R10466" s="32" t="str">
        <f>IFERROR(VLOOKUP($D10466,'Informations sur les produits'!$A$3:$B$15000,2,FALSE),"")</f>
        <v/>
      </c>
      <c r="V10466">
        <f t="shared" si="654"/>
        <v>0</v>
      </c>
      <c r="W10466">
        <f t="shared" si="655"/>
        <v>0</v>
      </c>
    </row>
    <row r="10467" spans="5:23" x14ac:dyDescent="0.25">
      <c r="E10467" s="4"/>
      <c r="F10467" s="4"/>
      <c r="G10467" s="33" t="str">
        <f>IFERROR(VLOOKUP($D10467,'Informations sur les produits'!$A$3:$H$10000,8,FALSE),"0")</f>
        <v>0</v>
      </c>
      <c r="K10467" s="4"/>
      <c r="L10467" s="33" t="str">
        <f>IFERROR(VLOOKUP($J10467,'Informations sur les produits'!$A$3:$H$10000,8,FALSE),"0")</f>
        <v>0</v>
      </c>
      <c r="N10467" s="8"/>
      <c r="O10467" s="33" t="str">
        <f>IFERROR(VLOOKUP($M10467,'Informations sur les produits'!$A$3:$H$10000,8,FALSE),"0")</f>
        <v>0</v>
      </c>
      <c r="P10467" s="33">
        <f t="shared" si="652"/>
        <v>0</v>
      </c>
      <c r="Q10467" s="31" t="str">
        <f t="shared" si="653"/>
        <v/>
      </c>
      <c r="R10467" s="32" t="str">
        <f>IFERROR(VLOOKUP($D10467,'Informations sur les produits'!$A$3:$B$15000,2,FALSE),"")</f>
        <v/>
      </c>
      <c r="V10467">
        <f t="shared" si="654"/>
        <v>0</v>
      </c>
      <c r="W10467">
        <f t="shared" si="655"/>
        <v>0</v>
      </c>
    </row>
    <row r="10468" spans="5:23" x14ac:dyDescent="0.25">
      <c r="E10468" s="4"/>
      <c r="F10468" s="4"/>
      <c r="G10468" s="33" t="str">
        <f>IFERROR(VLOOKUP($D10468,'Informations sur les produits'!$A$3:$H$10000,8,FALSE),"0")</f>
        <v>0</v>
      </c>
      <c r="K10468" s="4"/>
      <c r="L10468" s="33" t="str">
        <f>IFERROR(VLOOKUP($J10468,'Informations sur les produits'!$A$3:$H$10000,8,FALSE),"0")</f>
        <v>0</v>
      </c>
      <c r="N10468" s="8"/>
      <c r="O10468" s="33" t="str">
        <f>IFERROR(VLOOKUP($M10468,'Informations sur les produits'!$A$3:$H$10000,8,FALSE),"0")</f>
        <v>0</v>
      </c>
      <c r="P10468" s="33">
        <f t="shared" si="652"/>
        <v>0</v>
      </c>
      <c r="Q10468" s="31" t="str">
        <f t="shared" si="653"/>
        <v/>
      </c>
      <c r="R10468" s="32" t="str">
        <f>IFERROR(VLOOKUP($D10468,'Informations sur les produits'!$A$3:$B$15000,2,FALSE),"")</f>
        <v/>
      </c>
      <c r="V10468">
        <f t="shared" si="654"/>
        <v>0</v>
      </c>
      <c r="W10468">
        <f t="shared" si="655"/>
        <v>0</v>
      </c>
    </row>
    <row r="10469" spans="5:23" x14ac:dyDescent="0.25">
      <c r="E10469" s="4"/>
      <c r="F10469" s="4"/>
      <c r="G10469" s="33" t="str">
        <f>IFERROR(VLOOKUP($D10469,'Informations sur les produits'!$A$3:$H$10000,8,FALSE),"0")</f>
        <v>0</v>
      </c>
      <c r="K10469" s="4"/>
      <c r="L10469" s="33" t="str">
        <f>IFERROR(VLOOKUP($J10469,'Informations sur les produits'!$A$3:$H$10000,8,FALSE),"0")</f>
        <v>0</v>
      </c>
      <c r="N10469" s="8"/>
      <c r="O10469" s="33" t="str">
        <f>IFERROR(VLOOKUP($M10469,'Informations sur les produits'!$A$3:$H$10000,8,FALSE),"0")</f>
        <v>0</v>
      </c>
      <c r="P10469" s="33">
        <f t="shared" si="652"/>
        <v>0</v>
      </c>
      <c r="Q10469" s="31" t="str">
        <f t="shared" si="653"/>
        <v/>
      </c>
      <c r="R10469" s="32" t="str">
        <f>IFERROR(VLOOKUP($D10469,'Informations sur les produits'!$A$3:$B$15000,2,FALSE),"")</f>
        <v/>
      </c>
      <c r="V10469">
        <f t="shared" si="654"/>
        <v>0</v>
      </c>
      <c r="W10469">
        <f t="shared" si="655"/>
        <v>0</v>
      </c>
    </row>
    <row r="10470" spans="5:23" x14ac:dyDescent="0.25">
      <c r="E10470" s="4"/>
      <c r="F10470" s="4"/>
      <c r="G10470" s="33" t="str">
        <f>IFERROR(VLOOKUP($D10470,'Informations sur les produits'!$A$3:$H$10000,8,FALSE),"0")</f>
        <v>0</v>
      </c>
      <c r="K10470" s="4"/>
      <c r="L10470" s="33" t="str">
        <f>IFERROR(VLOOKUP($J10470,'Informations sur les produits'!$A$3:$H$10000,8,FALSE),"0")</f>
        <v>0</v>
      </c>
      <c r="N10470" s="8"/>
      <c r="O10470" s="33" t="str">
        <f>IFERROR(VLOOKUP($M10470,'Informations sur les produits'!$A$3:$H$10000,8,FALSE),"0")</f>
        <v>0</v>
      </c>
      <c r="P10470" s="33">
        <f t="shared" si="652"/>
        <v>0</v>
      </c>
      <c r="Q10470" s="31" t="str">
        <f t="shared" si="653"/>
        <v/>
      </c>
      <c r="R10470" s="32" t="str">
        <f>IFERROR(VLOOKUP($D10470,'Informations sur les produits'!$A$3:$B$15000,2,FALSE),"")</f>
        <v/>
      </c>
      <c r="V10470">
        <f t="shared" si="654"/>
        <v>0</v>
      </c>
      <c r="W10470">
        <f t="shared" si="655"/>
        <v>0</v>
      </c>
    </row>
    <row r="10471" spans="5:23" x14ac:dyDescent="0.25">
      <c r="E10471" s="4"/>
      <c r="F10471" s="4"/>
      <c r="G10471" s="33" t="str">
        <f>IFERROR(VLOOKUP($D10471,'Informations sur les produits'!$A$3:$H$10000,8,FALSE),"0")</f>
        <v>0</v>
      </c>
      <c r="K10471" s="4"/>
      <c r="L10471" s="33" t="str">
        <f>IFERROR(VLOOKUP($J10471,'Informations sur les produits'!$A$3:$H$10000,8,FALSE),"0")</f>
        <v>0</v>
      </c>
      <c r="N10471" s="8"/>
      <c r="O10471" s="33" t="str">
        <f>IFERROR(VLOOKUP($M10471,'Informations sur les produits'!$A$3:$H$10000,8,FALSE),"0")</f>
        <v>0</v>
      </c>
      <c r="P10471" s="33">
        <f t="shared" si="652"/>
        <v>0</v>
      </c>
      <c r="Q10471" s="31" t="str">
        <f t="shared" si="653"/>
        <v/>
      </c>
      <c r="R10471" s="32" t="str">
        <f>IFERROR(VLOOKUP($D10471,'Informations sur les produits'!$A$3:$B$15000,2,FALSE),"")</f>
        <v/>
      </c>
      <c r="V10471">
        <f t="shared" si="654"/>
        <v>0</v>
      </c>
      <c r="W10471">
        <f t="shared" si="655"/>
        <v>0</v>
      </c>
    </row>
    <row r="10472" spans="5:23" x14ac:dyDescent="0.25">
      <c r="E10472" s="4"/>
      <c r="F10472" s="4"/>
      <c r="G10472" s="33" t="str">
        <f>IFERROR(VLOOKUP($D10472,'Informations sur les produits'!$A$3:$H$10000,8,FALSE),"0")</f>
        <v>0</v>
      </c>
      <c r="K10472" s="4"/>
      <c r="L10472" s="33" t="str">
        <f>IFERROR(VLOOKUP($J10472,'Informations sur les produits'!$A$3:$H$10000,8,FALSE),"0")</f>
        <v>0</v>
      </c>
      <c r="N10472" s="8"/>
      <c r="O10472" s="33" t="str">
        <f>IFERROR(VLOOKUP($M10472,'Informations sur les produits'!$A$3:$H$10000,8,FALSE),"0")</f>
        <v>0</v>
      </c>
      <c r="P10472" s="33">
        <f t="shared" si="652"/>
        <v>0</v>
      </c>
      <c r="Q10472" s="31" t="str">
        <f t="shared" si="653"/>
        <v/>
      </c>
      <c r="R10472" s="32" t="str">
        <f>IFERROR(VLOOKUP($D10472,'Informations sur les produits'!$A$3:$B$15000,2,FALSE),"")</f>
        <v/>
      </c>
      <c r="V10472">
        <f t="shared" si="654"/>
        <v>0</v>
      </c>
      <c r="W10472">
        <f t="shared" si="655"/>
        <v>0</v>
      </c>
    </row>
    <row r="10473" spans="5:23" x14ac:dyDescent="0.25">
      <c r="E10473" s="4"/>
      <c r="F10473" s="4"/>
      <c r="G10473" s="33" t="str">
        <f>IFERROR(VLOOKUP($D10473,'Informations sur les produits'!$A$3:$H$10000,8,FALSE),"0")</f>
        <v>0</v>
      </c>
      <c r="K10473" s="4"/>
      <c r="L10473" s="33" t="str">
        <f>IFERROR(VLOOKUP($J10473,'Informations sur les produits'!$A$3:$H$10000,8,FALSE),"0")</f>
        <v>0</v>
      </c>
      <c r="N10473" s="8"/>
      <c r="O10473" s="33" t="str">
        <f>IFERROR(VLOOKUP($M10473,'Informations sur les produits'!$A$3:$H$10000,8,FALSE),"0")</f>
        <v>0</v>
      </c>
      <c r="P10473" s="33">
        <f t="shared" si="652"/>
        <v>0</v>
      </c>
      <c r="Q10473" s="31" t="str">
        <f t="shared" si="653"/>
        <v/>
      </c>
      <c r="R10473" s="32" t="str">
        <f>IFERROR(VLOOKUP($D10473,'Informations sur les produits'!$A$3:$B$15000,2,FALSE),"")</f>
        <v/>
      </c>
      <c r="V10473">
        <f t="shared" si="654"/>
        <v>0</v>
      </c>
      <c r="W10473">
        <f t="shared" si="655"/>
        <v>0</v>
      </c>
    </row>
    <row r="10474" spans="5:23" x14ac:dyDescent="0.25">
      <c r="E10474" s="4"/>
      <c r="F10474" s="4"/>
      <c r="G10474" s="33" t="str">
        <f>IFERROR(VLOOKUP($D10474,'Informations sur les produits'!$A$3:$H$10000,8,FALSE),"0")</f>
        <v>0</v>
      </c>
      <c r="K10474" s="4"/>
      <c r="L10474" s="33" t="str">
        <f>IFERROR(VLOOKUP($J10474,'Informations sur les produits'!$A$3:$H$10000,8,FALSE),"0")</f>
        <v>0</v>
      </c>
      <c r="N10474" s="8"/>
      <c r="O10474" s="33" t="str">
        <f>IFERROR(VLOOKUP($M10474,'Informations sur les produits'!$A$3:$H$10000,8,FALSE),"0")</f>
        <v>0</v>
      </c>
      <c r="P10474" s="33">
        <f t="shared" si="652"/>
        <v>0</v>
      </c>
      <c r="Q10474" s="31" t="str">
        <f t="shared" si="653"/>
        <v/>
      </c>
      <c r="R10474" s="32" t="str">
        <f>IFERROR(VLOOKUP($D10474,'Informations sur les produits'!$A$3:$B$15000,2,FALSE),"")</f>
        <v/>
      </c>
      <c r="V10474">
        <f t="shared" si="654"/>
        <v>0</v>
      </c>
      <c r="W10474">
        <f t="shared" si="655"/>
        <v>0</v>
      </c>
    </row>
    <row r="10475" spans="5:23" x14ac:dyDescent="0.25">
      <c r="E10475" s="4"/>
      <c r="F10475" s="4"/>
      <c r="G10475" s="33" t="str">
        <f>IFERROR(VLOOKUP($D10475,'Informations sur les produits'!$A$3:$H$10000,8,FALSE),"0")</f>
        <v>0</v>
      </c>
      <c r="K10475" s="4"/>
      <c r="L10475" s="33" t="str">
        <f>IFERROR(VLOOKUP($J10475,'Informations sur les produits'!$A$3:$H$10000,8,FALSE),"0")</f>
        <v>0</v>
      </c>
      <c r="N10475" s="8"/>
      <c r="O10475" s="33" t="str">
        <f>IFERROR(VLOOKUP($M10475,'Informations sur les produits'!$A$3:$H$10000,8,FALSE),"0")</f>
        <v>0</v>
      </c>
      <c r="P10475" s="33">
        <f t="shared" si="652"/>
        <v>0</v>
      </c>
      <c r="Q10475" s="31" t="str">
        <f t="shared" si="653"/>
        <v/>
      </c>
      <c r="R10475" s="32" t="str">
        <f>IFERROR(VLOOKUP($D10475,'Informations sur les produits'!$A$3:$B$15000,2,FALSE),"")</f>
        <v/>
      </c>
      <c r="V10475">
        <f t="shared" si="654"/>
        <v>0</v>
      </c>
      <c r="W10475">
        <f t="shared" si="655"/>
        <v>0</v>
      </c>
    </row>
    <row r="10476" spans="5:23" x14ac:dyDescent="0.25">
      <c r="E10476" s="4"/>
      <c r="F10476" s="4"/>
      <c r="G10476" s="33" t="str">
        <f>IFERROR(VLOOKUP($D10476,'Informations sur les produits'!$A$3:$H$10000,8,FALSE),"0")</f>
        <v>0</v>
      </c>
      <c r="K10476" s="4"/>
      <c r="L10476" s="33" t="str">
        <f>IFERROR(VLOOKUP($J10476,'Informations sur les produits'!$A$3:$H$10000,8,FALSE),"0")</f>
        <v>0</v>
      </c>
      <c r="N10476" s="8"/>
      <c r="O10476" s="33" t="str">
        <f>IFERROR(VLOOKUP($M10476,'Informations sur les produits'!$A$3:$H$10000,8,FALSE),"0")</f>
        <v>0</v>
      </c>
      <c r="P10476" s="33">
        <f t="shared" si="652"/>
        <v>0</v>
      </c>
      <c r="Q10476" s="31" t="str">
        <f t="shared" si="653"/>
        <v/>
      </c>
      <c r="R10476" s="32" t="str">
        <f>IFERROR(VLOOKUP($D10476,'Informations sur les produits'!$A$3:$B$15000,2,FALSE),"")</f>
        <v/>
      </c>
      <c r="V10476">
        <f t="shared" si="654"/>
        <v>0</v>
      </c>
      <c r="W10476">
        <f t="shared" si="655"/>
        <v>0</v>
      </c>
    </row>
    <row r="10477" spans="5:23" x14ac:dyDescent="0.25">
      <c r="E10477" s="4"/>
      <c r="F10477" s="4"/>
      <c r="G10477" s="33" t="str">
        <f>IFERROR(VLOOKUP($D10477,'Informations sur les produits'!$A$3:$H$10000,8,FALSE),"0")</f>
        <v>0</v>
      </c>
      <c r="K10477" s="4"/>
      <c r="L10477" s="33" t="str">
        <f>IFERROR(VLOOKUP($J10477,'Informations sur les produits'!$A$3:$H$10000,8,FALSE),"0")</f>
        <v>0</v>
      </c>
      <c r="N10477" s="8"/>
      <c r="O10477" s="33" t="str">
        <f>IFERROR(VLOOKUP($M10477,'Informations sur les produits'!$A$3:$H$10000,8,FALSE),"0")</f>
        <v>0</v>
      </c>
      <c r="P10477" s="33">
        <f t="shared" si="652"/>
        <v>0</v>
      </c>
      <c r="Q10477" s="31" t="str">
        <f t="shared" si="653"/>
        <v/>
      </c>
      <c r="R10477" s="32" t="str">
        <f>IFERROR(VLOOKUP($D10477,'Informations sur les produits'!$A$3:$B$15000,2,FALSE),"")</f>
        <v/>
      </c>
      <c r="V10477">
        <f t="shared" si="654"/>
        <v>0</v>
      </c>
      <c r="W10477">
        <f t="shared" si="655"/>
        <v>0</v>
      </c>
    </row>
    <row r="10478" spans="5:23" x14ac:dyDescent="0.25">
      <c r="E10478" s="4"/>
      <c r="F10478" s="4"/>
      <c r="G10478" s="33" t="str">
        <f>IFERROR(VLOOKUP($D10478,'Informations sur les produits'!$A$3:$H$10000,8,FALSE),"0")</f>
        <v>0</v>
      </c>
      <c r="K10478" s="4"/>
      <c r="L10478" s="33" t="str">
        <f>IFERROR(VLOOKUP($J10478,'Informations sur les produits'!$A$3:$H$10000,8,FALSE),"0")</f>
        <v>0</v>
      </c>
      <c r="N10478" s="8"/>
      <c r="O10478" s="33" t="str">
        <f>IFERROR(VLOOKUP($M10478,'Informations sur les produits'!$A$3:$H$10000,8,FALSE),"0")</f>
        <v>0</v>
      </c>
      <c r="P10478" s="33">
        <f t="shared" si="652"/>
        <v>0</v>
      </c>
      <c r="Q10478" s="31" t="str">
        <f t="shared" si="653"/>
        <v/>
      </c>
      <c r="R10478" s="32" t="str">
        <f>IFERROR(VLOOKUP($D10478,'Informations sur les produits'!$A$3:$B$15000,2,FALSE),"")</f>
        <v/>
      </c>
      <c r="V10478">
        <f t="shared" si="654"/>
        <v>0</v>
      </c>
      <c r="W10478">
        <f t="shared" si="655"/>
        <v>0</v>
      </c>
    </row>
    <row r="10479" spans="5:23" x14ac:dyDescent="0.25">
      <c r="E10479" s="4"/>
      <c r="F10479" s="4"/>
      <c r="G10479" s="33" t="str">
        <f>IFERROR(VLOOKUP($D10479,'Informations sur les produits'!$A$3:$H$10000,8,FALSE),"0")</f>
        <v>0</v>
      </c>
      <c r="K10479" s="4"/>
      <c r="L10479" s="33" t="str">
        <f>IFERROR(VLOOKUP($J10479,'Informations sur les produits'!$A$3:$H$10000,8,FALSE),"0")</f>
        <v>0</v>
      </c>
      <c r="N10479" s="8"/>
      <c r="O10479" s="33" t="str">
        <f>IFERROR(VLOOKUP($M10479,'Informations sur les produits'!$A$3:$H$10000,8,FALSE),"0")</f>
        <v>0</v>
      </c>
      <c r="P10479" s="33">
        <f t="shared" si="652"/>
        <v>0</v>
      </c>
      <c r="Q10479" s="31" t="str">
        <f t="shared" si="653"/>
        <v/>
      </c>
      <c r="R10479" s="32" t="str">
        <f>IFERROR(VLOOKUP($D10479,'Informations sur les produits'!$A$3:$B$15000,2,FALSE),"")</f>
        <v/>
      </c>
      <c r="V10479">
        <f t="shared" si="654"/>
        <v>0</v>
      </c>
      <c r="W10479">
        <f t="shared" si="655"/>
        <v>0</v>
      </c>
    </row>
    <row r="10480" spans="5:23" x14ac:dyDescent="0.25">
      <c r="E10480" s="4"/>
      <c r="F10480" s="4"/>
      <c r="G10480" s="33" t="str">
        <f>IFERROR(VLOOKUP($D10480,'Informations sur les produits'!$A$3:$H$10000,8,FALSE),"0")</f>
        <v>0</v>
      </c>
      <c r="K10480" s="4"/>
      <c r="L10480" s="33" t="str">
        <f>IFERROR(VLOOKUP($J10480,'Informations sur les produits'!$A$3:$H$10000,8,FALSE),"0")</f>
        <v>0</v>
      </c>
      <c r="N10480" s="8"/>
      <c r="O10480" s="33" t="str">
        <f>IFERROR(VLOOKUP($M10480,'Informations sur les produits'!$A$3:$H$10000,8,FALSE),"0")</f>
        <v>0</v>
      </c>
      <c r="P10480" s="33">
        <f t="shared" si="652"/>
        <v>0</v>
      </c>
      <c r="Q10480" s="31" t="str">
        <f t="shared" si="653"/>
        <v/>
      </c>
      <c r="R10480" s="32" t="str">
        <f>IFERROR(VLOOKUP($D10480,'Informations sur les produits'!$A$3:$B$15000,2,FALSE),"")</f>
        <v/>
      </c>
      <c r="V10480">
        <f t="shared" si="654"/>
        <v>0</v>
      </c>
      <c r="W10480">
        <f t="shared" si="655"/>
        <v>0</v>
      </c>
    </row>
    <row r="10481" spans="5:23" x14ac:dyDescent="0.25">
      <c r="E10481" s="4"/>
      <c r="F10481" s="4"/>
      <c r="G10481" s="33" t="str">
        <f>IFERROR(VLOOKUP($D10481,'Informations sur les produits'!$A$3:$H$10000,8,FALSE),"0")</f>
        <v>0</v>
      </c>
      <c r="K10481" s="4"/>
      <c r="L10481" s="33" t="str">
        <f>IFERROR(VLOOKUP($J10481,'Informations sur les produits'!$A$3:$H$10000,8,FALSE),"0")</f>
        <v>0</v>
      </c>
      <c r="N10481" s="8"/>
      <c r="O10481" s="33" t="str">
        <f>IFERROR(VLOOKUP($M10481,'Informations sur les produits'!$A$3:$H$10000,8,FALSE),"0")</f>
        <v>0</v>
      </c>
      <c r="P10481" s="33">
        <f t="shared" si="652"/>
        <v>0</v>
      </c>
      <c r="Q10481" s="31" t="str">
        <f t="shared" si="653"/>
        <v/>
      </c>
      <c r="R10481" s="32" t="str">
        <f>IFERROR(VLOOKUP($D10481,'Informations sur les produits'!$A$3:$B$15000,2,FALSE),"")</f>
        <v/>
      </c>
      <c r="V10481">
        <f t="shared" si="654"/>
        <v>0</v>
      </c>
      <c r="W10481">
        <f t="shared" si="655"/>
        <v>0</v>
      </c>
    </row>
    <row r="10482" spans="5:23" x14ac:dyDescent="0.25">
      <c r="E10482" s="4"/>
      <c r="F10482" s="4"/>
      <c r="G10482" s="33" t="str">
        <f>IFERROR(VLOOKUP($D10482,'Informations sur les produits'!$A$3:$H$10000,8,FALSE),"0")</f>
        <v>0</v>
      </c>
      <c r="K10482" s="4"/>
      <c r="L10482" s="33" t="str">
        <f>IFERROR(VLOOKUP($J10482,'Informations sur les produits'!$A$3:$H$10000,8,FALSE),"0")</f>
        <v>0</v>
      </c>
      <c r="N10482" s="8"/>
      <c r="O10482" s="33" t="str">
        <f>IFERROR(VLOOKUP($M10482,'Informations sur les produits'!$A$3:$H$10000,8,FALSE),"0")</f>
        <v>0</v>
      </c>
      <c r="P10482" s="33">
        <f t="shared" si="652"/>
        <v>0</v>
      </c>
      <c r="Q10482" s="31" t="str">
        <f t="shared" si="653"/>
        <v/>
      </c>
      <c r="R10482" s="32" t="str">
        <f>IFERROR(VLOOKUP($D10482,'Informations sur les produits'!$A$3:$B$15000,2,FALSE),"")</f>
        <v/>
      </c>
      <c r="V10482">
        <f t="shared" si="654"/>
        <v>0</v>
      </c>
      <c r="W10482">
        <f t="shared" si="655"/>
        <v>0</v>
      </c>
    </row>
    <row r="10483" spans="5:23" x14ac:dyDescent="0.25">
      <c r="E10483" s="4"/>
      <c r="F10483" s="4"/>
      <c r="G10483" s="33" t="str">
        <f>IFERROR(VLOOKUP($D10483,'Informations sur les produits'!$A$3:$H$10000,8,FALSE),"0")</f>
        <v>0</v>
      </c>
      <c r="K10483" s="4"/>
      <c r="L10483" s="33" t="str">
        <f>IFERROR(VLOOKUP($J10483,'Informations sur les produits'!$A$3:$H$10000,8,FALSE),"0")</f>
        <v>0</v>
      </c>
      <c r="N10483" s="8"/>
      <c r="O10483" s="33" t="str">
        <f>IFERROR(VLOOKUP($M10483,'Informations sur les produits'!$A$3:$H$10000,8,FALSE),"0")</f>
        <v>0</v>
      </c>
      <c r="P10483" s="33">
        <f t="shared" si="652"/>
        <v>0</v>
      </c>
      <c r="Q10483" s="31" t="str">
        <f t="shared" si="653"/>
        <v/>
      </c>
      <c r="R10483" s="32" t="str">
        <f>IFERROR(VLOOKUP($D10483,'Informations sur les produits'!$A$3:$B$15000,2,FALSE),"")</f>
        <v/>
      </c>
      <c r="V10483">
        <f t="shared" si="654"/>
        <v>0</v>
      </c>
      <c r="W10483">
        <f t="shared" si="655"/>
        <v>0</v>
      </c>
    </row>
    <row r="10484" spans="5:23" x14ac:dyDescent="0.25">
      <c r="E10484" s="4"/>
      <c r="F10484" s="4"/>
      <c r="G10484" s="33" t="str">
        <f>IFERROR(VLOOKUP($D10484,'Informations sur les produits'!$A$3:$H$10000,8,FALSE),"0")</f>
        <v>0</v>
      </c>
      <c r="K10484" s="4"/>
      <c r="L10484" s="33" t="str">
        <f>IFERROR(VLOOKUP($J10484,'Informations sur les produits'!$A$3:$H$10000,8,FALSE),"0")</f>
        <v>0</v>
      </c>
      <c r="N10484" s="8"/>
      <c r="O10484" s="33" t="str">
        <f>IFERROR(VLOOKUP($M10484,'Informations sur les produits'!$A$3:$H$10000,8,FALSE),"0")</f>
        <v>0</v>
      </c>
      <c r="P10484" s="33">
        <f t="shared" si="652"/>
        <v>0</v>
      </c>
      <c r="Q10484" s="31" t="str">
        <f t="shared" si="653"/>
        <v/>
      </c>
      <c r="R10484" s="32" t="str">
        <f>IFERROR(VLOOKUP($D10484,'Informations sur les produits'!$A$3:$B$15000,2,FALSE),"")</f>
        <v/>
      </c>
      <c r="V10484">
        <f t="shared" si="654"/>
        <v>0</v>
      </c>
      <c r="W10484">
        <f t="shared" si="655"/>
        <v>0</v>
      </c>
    </row>
    <row r="10485" spans="5:23" x14ac:dyDescent="0.25">
      <c r="E10485" s="4"/>
      <c r="F10485" s="4"/>
      <c r="G10485" s="33" t="str">
        <f>IFERROR(VLOOKUP($D10485,'Informations sur les produits'!$A$3:$H$10000,8,FALSE),"0")</f>
        <v>0</v>
      </c>
      <c r="K10485" s="4"/>
      <c r="L10485" s="33" t="str">
        <f>IFERROR(VLOOKUP($J10485,'Informations sur les produits'!$A$3:$H$10000,8,FALSE),"0")</f>
        <v>0</v>
      </c>
      <c r="N10485" s="8"/>
      <c r="O10485" s="33" t="str">
        <f>IFERROR(VLOOKUP($M10485,'Informations sur les produits'!$A$3:$H$10000,8,FALSE),"0")</f>
        <v>0</v>
      </c>
      <c r="P10485" s="33">
        <f t="shared" si="652"/>
        <v>0</v>
      </c>
      <c r="Q10485" s="31" t="str">
        <f t="shared" si="653"/>
        <v/>
      </c>
      <c r="R10485" s="32" t="str">
        <f>IFERROR(VLOOKUP($D10485,'Informations sur les produits'!$A$3:$B$15000,2,FALSE),"")</f>
        <v/>
      </c>
      <c r="V10485">
        <f t="shared" si="654"/>
        <v>0</v>
      </c>
      <c r="W10485">
        <f t="shared" si="655"/>
        <v>0</v>
      </c>
    </row>
    <row r="10486" spans="5:23" x14ac:dyDescent="0.25">
      <c r="E10486" s="4"/>
      <c r="F10486" s="4"/>
      <c r="G10486" s="33" t="str">
        <f>IFERROR(VLOOKUP($D10486,'Informations sur les produits'!$A$3:$H$10000,8,FALSE),"0")</f>
        <v>0</v>
      </c>
      <c r="K10486" s="4"/>
      <c r="L10486" s="33" t="str">
        <f>IFERROR(VLOOKUP($J10486,'Informations sur les produits'!$A$3:$H$10000,8,FALSE),"0")</f>
        <v>0</v>
      </c>
      <c r="N10486" s="8"/>
      <c r="O10486" s="33" t="str">
        <f>IFERROR(VLOOKUP($M10486,'Informations sur les produits'!$A$3:$H$10000,8,FALSE),"0")</f>
        <v>0</v>
      </c>
      <c r="P10486" s="33">
        <f t="shared" si="652"/>
        <v>0</v>
      </c>
      <c r="Q10486" s="31" t="str">
        <f t="shared" si="653"/>
        <v/>
      </c>
      <c r="R10486" s="32" t="str">
        <f>IFERROR(VLOOKUP($D10486,'Informations sur les produits'!$A$3:$B$15000,2,FALSE),"")</f>
        <v/>
      </c>
      <c r="V10486">
        <f t="shared" si="654"/>
        <v>0</v>
      </c>
      <c r="W10486">
        <f t="shared" si="655"/>
        <v>0</v>
      </c>
    </row>
    <row r="10487" spans="5:23" x14ac:dyDescent="0.25">
      <c r="E10487" s="4"/>
      <c r="F10487" s="4"/>
      <c r="G10487" s="33" t="str">
        <f>IFERROR(VLOOKUP($D10487,'Informations sur les produits'!$A$3:$H$10000,8,FALSE),"0")</f>
        <v>0</v>
      </c>
      <c r="K10487" s="4"/>
      <c r="L10487" s="33" t="str">
        <f>IFERROR(VLOOKUP($J10487,'Informations sur les produits'!$A$3:$H$10000,8,FALSE),"0")</f>
        <v>0</v>
      </c>
      <c r="N10487" s="8"/>
      <c r="O10487" s="33" t="str">
        <f>IFERROR(VLOOKUP($M10487,'Informations sur les produits'!$A$3:$H$10000,8,FALSE),"0")</f>
        <v>0</v>
      </c>
      <c r="P10487" s="33">
        <f t="shared" si="652"/>
        <v>0</v>
      </c>
      <c r="Q10487" s="31" t="str">
        <f t="shared" si="653"/>
        <v/>
      </c>
      <c r="R10487" s="32" t="str">
        <f>IFERROR(VLOOKUP($D10487,'Informations sur les produits'!$A$3:$B$15000,2,FALSE),"")</f>
        <v/>
      </c>
      <c r="V10487">
        <f t="shared" si="654"/>
        <v>0</v>
      </c>
      <c r="W10487">
        <f t="shared" si="655"/>
        <v>0</v>
      </c>
    </row>
    <row r="10488" spans="5:23" x14ac:dyDescent="0.25">
      <c r="E10488" s="4"/>
      <c r="F10488" s="4"/>
      <c r="G10488" s="33" t="str">
        <f>IFERROR(VLOOKUP($D10488,'Informations sur les produits'!$A$3:$H$10000,8,FALSE),"0")</f>
        <v>0</v>
      </c>
      <c r="K10488" s="4"/>
      <c r="L10488" s="33" t="str">
        <f>IFERROR(VLOOKUP($J10488,'Informations sur les produits'!$A$3:$H$10000,8,FALSE),"0")</f>
        <v>0</v>
      </c>
      <c r="N10488" s="8"/>
      <c r="O10488" s="33" t="str">
        <f>IFERROR(VLOOKUP($M10488,'Informations sur les produits'!$A$3:$H$10000,8,FALSE),"0")</f>
        <v>0</v>
      </c>
      <c r="P10488" s="33">
        <f t="shared" si="652"/>
        <v>0</v>
      </c>
      <c r="Q10488" s="31" t="str">
        <f t="shared" si="653"/>
        <v/>
      </c>
      <c r="R10488" s="32" t="str">
        <f>IFERROR(VLOOKUP($D10488,'Informations sur les produits'!$A$3:$B$15000,2,FALSE),"")</f>
        <v/>
      </c>
      <c r="V10488">
        <f t="shared" si="654"/>
        <v>0</v>
      </c>
      <c r="W10488">
        <f t="shared" si="655"/>
        <v>0</v>
      </c>
    </row>
    <row r="10489" spans="5:23" x14ac:dyDescent="0.25">
      <c r="E10489" s="4"/>
      <c r="F10489" s="4"/>
      <c r="G10489" s="33" t="str">
        <f>IFERROR(VLOOKUP($D10489,'Informations sur les produits'!$A$3:$H$10000,8,FALSE),"0")</f>
        <v>0</v>
      </c>
      <c r="K10489" s="4"/>
      <c r="L10489" s="33" t="str">
        <f>IFERROR(VLOOKUP($J10489,'Informations sur les produits'!$A$3:$H$10000,8,FALSE),"0")</f>
        <v>0</v>
      </c>
      <c r="N10489" s="8"/>
      <c r="O10489" s="33" t="str">
        <f>IFERROR(VLOOKUP($M10489,'Informations sur les produits'!$A$3:$H$10000,8,FALSE),"0")</f>
        <v>0</v>
      </c>
      <c r="P10489" s="33">
        <f t="shared" si="652"/>
        <v>0</v>
      </c>
      <c r="Q10489" s="31" t="str">
        <f t="shared" si="653"/>
        <v/>
      </c>
      <c r="R10489" s="32" t="str">
        <f>IFERROR(VLOOKUP($D10489,'Informations sur les produits'!$A$3:$B$15000,2,FALSE),"")</f>
        <v/>
      </c>
      <c r="V10489">
        <f t="shared" si="654"/>
        <v>0</v>
      </c>
      <c r="W10489">
        <f t="shared" si="655"/>
        <v>0</v>
      </c>
    </row>
    <row r="10490" spans="5:23" x14ac:dyDescent="0.25">
      <c r="E10490" s="4"/>
      <c r="F10490" s="4"/>
      <c r="G10490" s="33" t="str">
        <f>IFERROR(VLOOKUP($D10490,'Informations sur les produits'!$A$3:$H$10000,8,FALSE),"0")</f>
        <v>0</v>
      </c>
      <c r="K10490" s="4"/>
      <c r="L10490" s="33" t="str">
        <f>IFERROR(VLOOKUP($J10490,'Informations sur les produits'!$A$3:$H$10000,8,FALSE),"0")</f>
        <v>0</v>
      </c>
      <c r="N10490" s="8"/>
      <c r="O10490" s="33" t="str">
        <f>IFERROR(VLOOKUP($M10490,'Informations sur les produits'!$A$3:$H$10000,8,FALSE),"0")</f>
        <v>0</v>
      </c>
      <c r="P10490" s="33">
        <f t="shared" si="652"/>
        <v>0</v>
      </c>
      <c r="Q10490" s="31" t="str">
        <f t="shared" si="653"/>
        <v/>
      </c>
      <c r="R10490" s="32" t="str">
        <f>IFERROR(VLOOKUP($D10490,'Informations sur les produits'!$A$3:$B$15000,2,FALSE),"")</f>
        <v/>
      </c>
      <c r="V10490">
        <f t="shared" si="654"/>
        <v>0</v>
      </c>
      <c r="W10490">
        <f t="shared" si="655"/>
        <v>0</v>
      </c>
    </row>
    <row r="10491" spans="5:23" x14ac:dyDescent="0.25">
      <c r="E10491" s="4"/>
      <c r="F10491" s="4"/>
      <c r="G10491" s="33" t="str">
        <f>IFERROR(VLOOKUP($D10491,'Informations sur les produits'!$A$3:$H$10000,8,FALSE),"0")</f>
        <v>0</v>
      </c>
      <c r="K10491" s="4"/>
      <c r="L10491" s="33" t="str">
        <f>IFERROR(VLOOKUP($J10491,'Informations sur les produits'!$A$3:$H$10000,8,FALSE),"0")</f>
        <v>0</v>
      </c>
      <c r="N10491" s="8"/>
      <c r="O10491" s="33" t="str">
        <f>IFERROR(VLOOKUP($M10491,'Informations sur les produits'!$A$3:$H$10000,8,FALSE),"0")</f>
        <v>0</v>
      </c>
      <c r="P10491" s="33">
        <f t="shared" si="652"/>
        <v>0</v>
      </c>
      <c r="Q10491" s="31" t="str">
        <f t="shared" si="653"/>
        <v/>
      </c>
      <c r="R10491" s="32" t="str">
        <f>IFERROR(VLOOKUP($D10491,'Informations sur les produits'!$A$3:$B$15000,2,FALSE),"")</f>
        <v/>
      </c>
      <c r="V10491">
        <f t="shared" si="654"/>
        <v>0</v>
      </c>
      <c r="W10491">
        <f t="shared" si="655"/>
        <v>0</v>
      </c>
    </row>
    <row r="10492" spans="5:23" x14ac:dyDescent="0.25">
      <c r="E10492" s="4"/>
      <c r="F10492" s="4"/>
      <c r="G10492" s="33" t="str">
        <f>IFERROR(VLOOKUP($D10492,'Informations sur les produits'!$A$3:$H$10000,8,FALSE),"0")</f>
        <v>0</v>
      </c>
      <c r="K10492" s="4"/>
      <c r="L10492" s="33" t="str">
        <f>IFERROR(VLOOKUP($J10492,'Informations sur les produits'!$A$3:$H$10000,8,FALSE),"0")</f>
        <v>0</v>
      </c>
      <c r="N10492" s="8"/>
      <c r="O10492" s="33" t="str">
        <f>IFERROR(VLOOKUP($M10492,'Informations sur les produits'!$A$3:$H$10000,8,FALSE),"0")</f>
        <v>0</v>
      </c>
      <c r="P10492" s="33">
        <f t="shared" si="652"/>
        <v>0</v>
      </c>
      <c r="Q10492" s="31" t="str">
        <f t="shared" si="653"/>
        <v/>
      </c>
      <c r="R10492" s="32" t="str">
        <f>IFERROR(VLOOKUP($D10492,'Informations sur les produits'!$A$3:$B$15000,2,FALSE),"")</f>
        <v/>
      </c>
      <c r="V10492">
        <f t="shared" si="654"/>
        <v>0</v>
      </c>
      <c r="W10492">
        <f t="shared" si="655"/>
        <v>0</v>
      </c>
    </row>
    <row r="10493" spans="5:23" x14ac:dyDescent="0.25">
      <c r="E10493" s="4"/>
      <c r="F10493" s="4"/>
      <c r="G10493" s="33" t="str">
        <f>IFERROR(VLOOKUP($D10493,'Informations sur les produits'!$A$3:$H$10000,8,FALSE),"0")</f>
        <v>0</v>
      </c>
      <c r="K10493" s="4"/>
      <c r="L10493" s="33" t="str">
        <f>IFERROR(VLOOKUP($J10493,'Informations sur les produits'!$A$3:$H$10000,8,FALSE),"0")</f>
        <v>0</v>
      </c>
      <c r="N10493" s="8"/>
      <c r="O10493" s="33" t="str">
        <f>IFERROR(VLOOKUP($M10493,'Informations sur les produits'!$A$3:$H$10000,8,FALSE),"0")</f>
        <v>0</v>
      </c>
      <c r="P10493" s="33">
        <f t="shared" si="652"/>
        <v>0</v>
      </c>
      <c r="Q10493" s="31" t="str">
        <f t="shared" si="653"/>
        <v/>
      </c>
      <c r="R10493" s="32" t="str">
        <f>IFERROR(VLOOKUP($D10493,'Informations sur les produits'!$A$3:$B$15000,2,FALSE),"")</f>
        <v/>
      </c>
      <c r="V10493">
        <f t="shared" si="654"/>
        <v>0</v>
      </c>
      <c r="W10493">
        <f t="shared" si="655"/>
        <v>0</v>
      </c>
    </row>
    <row r="10494" spans="5:23" x14ac:dyDescent="0.25">
      <c r="E10494" s="4"/>
      <c r="F10494" s="4"/>
      <c r="G10494" s="33" t="str">
        <f>IFERROR(VLOOKUP($D10494,'Informations sur les produits'!$A$3:$H$10000,8,FALSE),"0")</f>
        <v>0</v>
      </c>
      <c r="K10494" s="4"/>
      <c r="L10494" s="33" t="str">
        <f>IFERROR(VLOOKUP($J10494,'Informations sur les produits'!$A$3:$H$10000,8,FALSE),"0")</f>
        <v>0</v>
      </c>
      <c r="N10494" s="8"/>
      <c r="O10494" s="33" t="str">
        <f>IFERROR(VLOOKUP($M10494,'Informations sur les produits'!$A$3:$H$10000,8,FALSE),"0")</f>
        <v>0</v>
      </c>
      <c r="P10494" s="33">
        <f t="shared" si="652"/>
        <v>0</v>
      </c>
      <c r="Q10494" s="31" t="str">
        <f t="shared" si="653"/>
        <v/>
      </c>
      <c r="R10494" s="32" t="str">
        <f>IFERROR(VLOOKUP($D10494,'Informations sur les produits'!$A$3:$B$15000,2,FALSE),"")</f>
        <v/>
      </c>
      <c r="V10494">
        <f t="shared" si="654"/>
        <v>0</v>
      </c>
      <c r="W10494">
        <f t="shared" si="655"/>
        <v>0</v>
      </c>
    </row>
    <row r="10495" spans="5:23" x14ac:dyDescent="0.25">
      <c r="E10495" s="4"/>
      <c r="F10495" s="4"/>
      <c r="G10495" s="33" t="str">
        <f>IFERROR(VLOOKUP($D10495,'Informations sur les produits'!$A$3:$H$10000,8,FALSE),"0")</f>
        <v>0</v>
      </c>
      <c r="K10495" s="4"/>
      <c r="L10495" s="33" t="str">
        <f>IFERROR(VLOOKUP($J10495,'Informations sur les produits'!$A$3:$H$10000,8,FALSE),"0")</f>
        <v>0</v>
      </c>
      <c r="N10495" s="8"/>
      <c r="O10495" s="33" t="str">
        <f>IFERROR(VLOOKUP($M10495,'Informations sur les produits'!$A$3:$H$10000,8,FALSE),"0")</f>
        <v>0</v>
      </c>
      <c r="P10495" s="33">
        <f t="shared" si="652"/>
        <v>0</v>
      </c>
      <c r="Q10495" s="31" t="str">
        <f t="shared" si="653"/>
        <v/>
      </c>
      <c r="R10495" s="32" t="str">
        <f>IFERROR(VLOOKUP($D10495,'Informations sur les produits'!$A$3:$B$15000,2,FALSE),"")</f>
        <v/>
      </c>
      <c r="V10495">
        <f t="shared" si="654"/>
        <v>0</v>
      </c>
      <c r="W10495">
        <f t="shared" si="655"/>
        <v>0</v>
      </c>
    </row>
    <row r="10496" spans="5:23" x14ac:dyDescent="0.25">
      <c r="E10496" s="4"/>
      <c r="F10496" s="4"/>
      <c r="G10496" s="33" t="str">
        <f>IFERROR(VLOOKUP($D10496,'Informations sur les produits'!$A$3:$H$10000,8,FALSE),"0")</f>
        <v>0</v>
      </c>
      <c r="K10496" s="4"/>
      <c r="L10496" s="33" t="str">
        <f>IFERROR(VLOOKUP($J10496,'Informations sur les produits'!$A$3:$H$10000,8,FALSE),"0")</f>
        <v>0</v>
      </c>
      <c r="N10496" s="8"/>
      <c r="O10496" s="33" t="str">
        <f>IFERROR(VLOOKUP($M10496,'Informations sur les produits'!$A$3:$H$10000,8,FALSE),"0")</f>
        <v>0</v>
      </c>
      <c r="P10496" s="33">
        <f t="shared" si="652"/>
        <v>0</v>
      </c>
      <c r="Q10496" s="31" t="str">
        <f t="shared" si="653"/>
        <v/>
      </c>
      <c r="R10496" s="32" t="str">
        <f>IFERROR(VLOOKUP($D10496,'Informations sur les produits'!$A$3:$B$15000,2,FALSE),"")</f>
        <v/>
      </c>
      <c r="V10496">
        <f t="shared" si="654"/>
        <v>0</v>
      </c>
      <c r="W10496">
        <f t="shared" si="655"/>
        <v>0</v>
      </c>
    </row>
    <row r="10497" spans="5:23" x14ac:dyDescent="0.25">
      <c r="E10497" s="4"/>
      <c r="F10497" s="4"/>
      <c r="G10497" s="33" t="str">
        <f>IFERROR(VLOOKUP($D10497,'Informations sur les produits'!$A$3:$H$10000,8,FALSE),"0")</f>
        <v>0</v>
      </c>
      <c r="K10497" s="4"/>
      <c r="L10497" s="33" t="str">
        <f>IFERROR(VLOOKUP($J10497,'Informations sur les produits'!$A$3:$H$10000,8,FALSE),"0")</f>
        <v>0</v>
      </c>
      <c r="N10497" s="8"/>
      <c r="O10497" s="33" t="str">
        <f>IFERROR(VLOOKUP($M10497,'Informations sur les produits'!$A$3:$H$10000,8,FALSE),"0")</f>
        <v>0</v>
      </c>
      <c r="P10497" s="33">
        <f t="shared" si="652"/>
        <v>0</v>
      </c>
      <c r="Q10497" s="31" t="str">
        <f t="shared" si="653"/>
        <v/>
      </c>
      <c r="R10497" s="32" t="str">
        <f>IFERROR(VLOOKUP($D10497,'Informations sur les produits'!$A$3:$B$15000,2,FALSE),"")</f>
        <v/>
      </c>
      <c r="V10497">
        <f t="shared" si="654"/>
        <v>0</v>
      </c>
      <c r="W10497">
        <f t="shared" si="655"/>
        <v>0</v>
      </c>
    </row>
    <row r="10498" spans="5:23" x14ac:dyDescent="0.25">
      <c r="E10498" s="4"/>
      <c r="F10498" s="4"/>
      <c r="G10498" s="33" t="str">
        <f>IFERROR(VLOOKUP($D10498,'Informations sur les produits'!$A$3:$H$10000,8,FALSE),"0")</f>
        <v>0</v>
      </c>
      <c r="K10498" s="4"/>
      <c r="L10498" s="33" t="str">
        <f>IFERROR(VLOOKUP($J10498,'Informations sur les produits'!$A$3:$H$10000,8,FALSE),"0")</f>
        <v>0</v>
      </c>
      <c r="N10498" s="8"/>
      <c r="O10498" s="33" t="str">
        <f>IFERROR(VLOOKUP($M10498,'Informations sur les produits'!$A$3:$H$10000,8,FALSE),"0")</f>
        <v>0</v>
      </c>
      <c r="P10498" s="33">
        <f t="shared" si="652"/>
        <v>0</v>
      </c>
      <c r="Q10498" s="31" t="str">
        <f t="shared" si="653"/>
        <v/>
      </c>
      <c r="R10498" s="32" t="str">
        <f>IFERROR(VLOOKUP($D10498,'Informations sur les produits'!$A$3:$B$15000,2,FALSE),"")</f>
        <v/>
      </c>
      <c r="V10498">
        <f t="shared" si="654"/>
        <v>0</v>
      </c>
      <c r="W10498">
        <f t="shared" si="655"/>
        <v>0</v>
      </c>
    </row>
    <row r="10499" spans="5:23" x14ac:dyDescent="0.25">
      <c r="E10499" s="4"/>
      <c r="F10499" s="4"/>
      <c r="G10499" s="33" t="str">
        <f>IFERROR(VLOOKUP($D10499,'Informations sur les produits'!$A$3:$H$10000,8,FALSE),"0")</f>
        <v>0</v>
      </c>
      <c r="K10499" s="4"/>
      <c r="L10499" s="33" t="str">
        <f>IFERROR(VLOOKUP($J10499,'Informations sur les produits'!$A$3:$H$10000,8,FALSE),"0")</f>
        <v>0</v>
      </c>
      <c r="N10499" s="8"/>
      <c r="O10499" s="33" t="str">
        <f>IFERROR(VLOOKUP($M10499,'Informations sur les produits'!$A$3:$H$10000,8,FALSE),"0")</f>
        <v>0</v>
      </c>
      <c r="P10499" s="33">
        <f t="shared" si="652"/>
        <v>0</v>
      </c>
      <c r="Q10499" s="31" t="str">
        <f t="shared" si="653"/>
        <v/>
      </c>
      <c r="R10499" s="32" t="str">
        <f>IFERROR(VLOOKUP($D10499,'Informations sur les produits'!$A$3:$B$15000,2,FALSE),"")</f>
        <v/>
      </c>
      <c r="V10499">
        <f t="shared" si="654"/>
        <v>0</v>
      </c>
      <c r="W10499">
        <f t="shared" si="655"/>
        <v>0</v>
      </c>
    </row>
    <row r="10500" spans="5:23" x14ac:dyDescent="0.25">
      <c r="E10500" s="4"/>
      <c r="F10500" s="4"/>
      <c r="G10500" s="33" t="str">
        <f>IFERROR(VLOOKUP($D10500,'Informations sur les produits'!$A$3:$H$10000,8,FALSE),"0")</f>
        <v>0</v>
      </c>
      <c r="K10500" s="4"/>
      <c r="L10500" s="33" t="str">
        <f>IFERROR(VLOOKUP($J10500,'Informations sur les produits'!$A$3:$H$10000,8,FALSE),"0")</f>
        <v>0</v>
      </c>
      <c r="N10500" s="8"/>
      <c r="O10500" s="33" t="str">
        <f>IFERROR(VLOOKUP($M10500,'Informations sur les produits'!$A$3:$H$10000,8,FALSE),"0")</f>
        <v>0</v>
      </c>
      <c r="P10500" s="33">
        <f t="shared" ref="P10500:P10563" si="656">IFERROR((($E10500-$F10500)*$G10500+$K10500*$L10500+$N10500*$O10500),"")</f>
        <v>0</v>
      </c>
      <c r="Q10500" s="31" t="str">
        <f t="shared" ref="Q10500:Q10563" si="657">IFERROR((((($E10500-$F10500)*$G10500+$K10500*$L10500+$N10500*$O10500)*1000)/(($E10500-$F10500)+$K10500+$N10500)),"")</f>
        <v/>
      </c>
      <c r="R10500" s="32" t="str">
        <f>IFERROR(VLOOKUP($D10500,'Informations sur les produits'!$A$3:$B$15000,2,FALSE),"")</f>
        <v/>
      </c>
      <c r="V10500">
        <f t="shared" ref="V10500:V10563" si="658">IFERROR(P10500*1000,"")</f>
        <v>0</v>
      </c>
      <c r="W10500">
        <f t="shared" ref="W10500:W10563" si="659">IFERROR(($E10500-$F10500)+$K10500+$N10500,"")</f>
        <v>0</v>
      </c>
    </row>
    <row r="10501" spans="5:23" x14ac:dyDescent="0.25">
      <c r="E10501" s="4"/>
      <c r="F10501" s="4"/>
      <c r="G10501" s="33" t="str">
        <f>IFERROR(VLOOKUP($D10501,'Informations sur les produits'!$A$3:$H$10000,8,FALSE),"0")</f>
        <v>0</v>
      </c>
      <c r="K10501" s="4"/>
      <c r="L10501" s="33" t="str">
        <f>IFERROR(VLOOKUP($J10501,'Informations sur les produits'!$A$3:$H$10000,8,FALSE),"0")</f>
        <v>0</v>
      </c>
      <c r="N10501" s="8"/>
      <c r="O10501" s="33" t="str">
        <f>IFERROR(VLOOKUP($M10501,'Informations sur les produits'!$A$3:$H$10000,8,FALSE),"0")</f>
        <v>0</v>
      </c>
      <c r="P10501" s="33">
        <f t="shared" si="656"/>
        <v>0</v>
      </c>
      <c r="Q10501" s="31" t="str">
        <f t="shared" si="657"/>
        <v/>
      </c>
      <c r="R10501" s="32" t="str">
        <f>IFERROR(VLOOKUP($D10501,'Informations sur les produits'!$A$3:$B$15000,2,FALSE),"")</f>
        <v/>
      </c>
      <c r="V10501">
        <f t="shared" si="658"/>
        <v>0</v>
      </c>
      <c r="W10501">
        <f t="shared" si="659"/>
        <v>0</v>
      </c>
    </row>
    <row r="10502" spans="5:23" x14ac:dyDescent="0.25">
      <c r="E10502" s="4"/>
      <c r="F10502" s="4"/>
      <c r="G10502" s="33" t="str">
        <f>IFERROR(VLOOKUP($D10502,'Informations sur les produits'!$A$3:$H$10000,8,FALSE),"0")</f>
        <v>0</v>
      </c>
      <c r="K10502" s="4"/>
      <c r="L10502" s="33" t="str">
        <f>IFERROR(VLOOKUP($J10502,'Informations sur les produits'!$A$3:$H$10000,8,FALSE),"0")</f>
        <v>0</v>
      </c>
      <c r="N10502" s="8"/>
      <c r="O10502" s="33" t="str">
        <f>IFERROR(VLOOKUP($M10502,'Informations sur les produits'!$A$3:$H$10000,8,FALSE),"0")</f>
        <v>0</v>
      </c>
      <c r="P10502" s="33">
        <f t="shared" si="656"/>
        <v>0</v>
      </c>
      <c r="Q10502" s="31" t="str">
        <f t="shared" si="657"/>
        <v/>
      </c>
      <c r="R10502" s="32" t="str">
        <f>IFERROR(VLOOKUP($D10502,'Informations sur les produits'!$A$3:$B$15000,2,FALSE),"")</f>
        <v/>
      </c>
      <c r="V10502">
        <f t="shared" si="658"/>
        <v>0</v>
      </c>
      <c r="W10502">
        <f t="shared" si="659"/>
        <v>0</v>
      </c>
    </row>
    <row r="10503" spans="5:23" x14ac:dyDescent="0.25">
      <c r="E10503" s="4"/>
      <c r="F10503" s="4"/>
      <c r="G10503" s="33" t="str">
        <f>IFERROR(VLOOKUP($D10503,'Informations sur les produits'!$A$3:$H$10000,8,FALSE),"0")</f>
        <v>0</v>
      </c>
      <c r="K10503" s="4"/>
      <c r="L10503" s="33" t="str">
        <f>IFERROR(VLOOKUP($J10503,'Informations sur les produits'!$A$3:$H$10000,8,FALSE),"0")</f>
        <v>0</v>
      </c>
      <c r="N10503" s="8"/>
      <c r="O10503" s="33" t="str">
        <f>IFERROR(VLOOKUP($M10503,'Informations sur les produits'!$A$3:$H$10000,8,FALSE),"0")</f>
        <v>0</v>
      </c>
      <c r="P10503" s="33">
        <f t="shared" si="656"/>
        <v>0</v>
      </c>
      <c r="Q10503" s="31" t="str">
        <f t="shared" si="657"/>
        <v/>
      </c>
      <c r="R10503" s="32" t="str">
        <f>IFERROR(VLOOKUP($D10503,'Informations sur les produits'!$A$3:$B$15000,2,FALSE),"")</f>
        <v/>
      </c>
      <c r="V10503">
        <f t="shared" si="658"/>
        <v>0</v>
      </c>
      <c r="W10503">
        <f t="shared" si="659"/>
        <v>0</v>
      </c>
    </row>
    <row r="10504" spans="5:23" x14ac:dyDescent="0.25">
      <c r="E10504" s="4"/>
      <c r="F10504" s="4"/>
      <c r="G10504" s="33" t="str">
        <f>IFERROR(VLOOKUP($D10504,'Informations sur les produits'!$A$3:$H$10000,8,FALSE),"0")</f>
        <v>0</v>
      </c>
      <c r="K10504" s="4"/>
      <c r="L10504" s="33" t="str">
        <f>IFERROR(VLOOKUP($J10504,'Informations sur les produits'!$A$3:$H$10000,8,FALSE),"0")</f>
        <v>0</v>
      </c>
      <c r="N10504" s="8"/>
      <c r="O10504" s="33" t="str">
        <f>IFERROR(VLOOKUP($M10504,'Informations sur les produits'!$A$3:$H$10000,8,FALSE),"0")</f>
        <v>0</v>
      </c>
      <c r="P10504" s="33">
        <f t="shared" si="656"/>
        <v>0</v>
      </c>
      <c r="Q10504" s="31" t="str">
        <f t="shared" si="657"/>
        <v/>
      </c>
      <c r="R10504" s="32" t="str">
        <f>IFERROR(VLOOKUP($D10504,'Informations sur les produits'!$A$3:$B$15000,2,FALSE),"")</f>
        <v/>
      </c>
      <c r="V10504">
        <f t="shared" si="658"/>
        <v>0</v>
      </c>
      <c r="W10504">
        <f t="shared" si="659"/>
        <v>0</v>
      </c>
    </row>
    <row r="10505" spans="5:23" x14ac:dyDescent="0.25">
      <c r="E10505" s="4"/>
      <c r="F10505" s="4"/>
      <c r="G10505" s="33" t="str">
        <f>IFERROR(VLOOKUP($D10505,'Informations sur les produits'!$A$3:$H$10000,8,FALSE),"0")</f>
        <v>0</v>
      </c>
      <c r="K10505" s="4"/>
      <c r="L10505" s="33" t="str">
        <f>IFERROR(VLOOKUP($J10505,'Informations sur les produits'!$A$3:$H$10000,8,FALSE),"0")</f>
        <v>0</v>
      </c>
      <c r="N10505" s="8"/>
      <c r="O10505" s="33" t="str">
        <f>IFERROR(VLOOKUP($M10505,'Informations sur les produits'!$A$3:$H$10000,8,FALSE),"0")</f>
        <v>0</v>
      </c>
      <c r="P10505" s="33">
        <f t="shared" si="656"/>
        <v>0</v>
      </c>
      <c r="Q10505" s="31" t="str">
        <f t="shared" si="657"/>
        <v/>
      </c>
      <c r="R10505" s="32" t="str">
        <f>IFERROR(VLOOKUP($D10505,'Informations sur les produits'!$A$3:$B$15000,2,FALSE),"")</f>
        <v/>
      </c>
      <c r="V10505">
        <f t="shared" si="658"/>
        <v>0</v>
      </c>
      <c r="W10505">
        <f t="shared" si="659"/>
        <v>0</v>
      </c>
    </row>
    <row r="10506" spans="5:23" x14ac:dyDescent="0.25">
      <c r="E10506" s="4"/>
      <c r="F10506" s="4"/>
      <c r="G10506" s="33" t="str">
        <f>IFERROR(VLOOKUP($D10506,'Informations sur les produits'!$A$3:$H$10000,8,FALSE),"0")</f>
        <v>0</v>
      </c>
      <c r="K10506" s="4"/>
      <c r="L10506" s="33" t="str">
        <f>IFERROR(VLOOKUP($J10506,'Informations sur les produits'!$A$3:$H$10000,8,FALSE),"0")</f>
        <v>0</v>
      </c>
      <c r="N10506" s="8"/>
      <c r="O10506" s="33" t="str">
        <f>IFERROR(VLOOKUP($M10506,'Informations sur les produits'!$A$3:$H$10000,8,FALSE),"0")</f>
        <v>0</v>
      </c>
      <c r="P10506" s="33">
        <f t="shared" si="656"/>
        <v>0</v>
      </c>
      <c r="Q10506" s="31" t="str">
        <f t="shared" si="657"/>
        <v/>
      </c>
      <c r="R10506" s="32" t="str">
        <f>IFERROR(VLOOKUP($D10506,'Informations sur les produits'!$A$3:$B$15000,2,FALSE),"")</f>
        <v/>
      </c>
      <c r="V10506">
        <f t="shared" si="658"/>
        <v>0</v>
      </c>
      <c r="W10506">
        <f t="shared" si="659"/>
        <v>0</v>
      </c>
    </row>
    <row r="10507" spans="5:23" x14ac:dyDescent="0.25">
      <c r="E10507" s="4"/>
      <c r="F10507" s="4"/>
      <c r="G10507" s="33" t="str">
        <f>IFERROR(VLOOKUP($D10507,'Informations sur les produits'!$A$3:$H$10000,8,FALSE),"0")</f>
        <v>0</v>
      </c>
      <c r="K10507" s="4"/>
      <c r="L10507" s="33" t="str">
        <f>IFERROR(VLOOKUP($J10507,'Informations sur les produits'!$A$3:$H$10000,8,FALSE),"0")</f>
        <v>0</v>
      </c>
      <c r="N10507" s="8"/>
      <c r="O10507" s="33" t="str">
        <f>IFERROR(VLOOKUP($M10507,'Informations sur les produits'!$A$3:$H$10000,8,FALSE),"0")</f>
        <v>0</v>
      </c>
      <c r="P10507" s="33">
        <f t="shared" si="656"/>
        <v>0</v>
      </c>
      <c r="Q10507" s="31" t="str">
        <f t="shared" si="657"/>
        <v/>
      </c>
      <c r="R10507" s="32" t="str">
        <f>IFERROR(VLOOKUP($D10507,'Informations sur les produits'!$A$3:$B$15000,2,FALSE),"")</f>
        <v/>
      </c>
      <c r="V10507">
        <f t="shared" si="658"/>
        <v>0</v>
      </c>
      <c r="W10507">
        <f t="shared" si="659"/>
        <v>0</v>
      </c>
    </row>
    <row r="10508" spans="5:23" x14ac:dyDescent="0.25">
      <c r="E10508" s="4"/>
      <c r="F10508" s="4"/>
      <c r="G10508" s="33" t="str">
        <f>IFERROR(VLOOKUP($D10508,'Informations sur les produits'!$A$3:$H$10000,8,FALSE),"0")</f>
        <v>0</v>
      </c>
      <c r="K10508" s="4"/>
      <c r="L10508" s="33" t="str">
        <f>IFERROR(VLOOKUP($J10508,'Informations sur les produits'!$A$3:$H$10000,8,FALSE),"0")</f>
        <v>0</v>
      </c>
      <c r="N10508" s="8"/>
      <c r="O10508" s="33" t="str">
        <f>IFERROR(VLOOKUP($M10508,'Informations sur les produits'!$A$3:$H$10000,8,FALSE),"0")</f>
        <v>0</v>
      </c>
      <c r="P10508" s="33">
        <f t="shared" si="656"/>
        <v>0</v>
      </c>
      <c r="Q10508" s="31" t="str">
        <f t="shared" si="657"/>
        <v/>
      </c>
      <c r="R10508" s="32" t="str">
        <f>IFERROR(VLOOKUP($D10508,'Informations sur les produits'!$A$3:$B$15000,2,FALSE),"")</f>
        <v/>
      </c>
      <c r="V10508">
        <f t="shared" si="658"/>
        <v>0</v>
      </c>
      <c r="W10508">
        <f t="shared" si="659"/>
        <v>0</v>
      </c>
    </row>
    <row r="10509" spans="5:23" x14ac:dyDescent="0.25">
      <c r="E10509" s="4"/>
      <c r="F10509" s="4"/>
      <c r="G10509" s="33" t="str">
        <f>IFERROR(VLOOKUP($D10509,'Informations sur les produits'!$A$3:$H$10000,8,FALSE),"0")</f>
        <v>0</v>
      </c>
      <c r="K10509" s="4"/>
      <c r="L10509" s="33" t="str">
        <f>IFERROR(VLOOKUP($J10509,'Informations sur les produits'!$A$3:$H$10000,8,FALSE),"0")</f>
        <v>0</v>
      </c>
      <c r="N10509" s="8"/>
      <c r="O10509" s="33" t="str">
        <f>IFERROR(VLOOKUP($M10509,'Informations sur les produits'!$A$3:$H$10000,8,FALSE),"0")</f>
        <v>0</v>
      </c>
      <c r="P10509" s="33">
        <f t="shared" si="656"/>
        <v>0</v>
      </c>
      <c r="Q10509" s="31" t="str">
        <f t="shared" si="657"/>
        <v/>
      </c>
      <c r="R10509" s="32" t="str">
        <f>IFERROR(VLOOKUP($D10509,'Informations sur les produits'!$A$3:$B$15000,2,FALSE),"")</f>
        <v/>
      </c>
      <c r="V10509">
        <f t="shared" si="658"/>
        <v>0</v>
      </c>
      <c r="W10509">
        <f t="shared" si="659"/>
        <v>0</v>
      </c>
    </row>
    <row r="10510" spans="5:23" x14ac:dyDescent="0.25">
      <c r="E10510" s="4"/>
      <c r="F10510" s="4"/>
      <c r="G10510" s="33" t="str">
        <f>IFERROR(VLOOKUP($D10510,'Informations sur les produits'!$A$3:$H$10000,8,FALSE),"0")</f>
        <v>0</v>
      </c>
      <c r="K10510" s="4"/>
      <c r="L10510" s="33" t="str">
        <f>IFERROR(VLOOKUP($J10510,'Informations sur les produits'!$A$3:$H$10000,8,FALSE),"0")</f>
        <v>0</v>
      </c>
      <c r="N10510" s="8"/>
      <c r="O10510" s="33" t="str">
        <f>IFERROR(VLOOKUP($M10510,'Informations sur les produits'!$A$3:$H$10000,8,FALSE),"0")</f>
        <v>0</v>
      </c>
      <c r="P10510" s="33">
        <f t="shared" si="656"/>
        <v>0</v>
      </c>
      <c r="Q10510" s="31" t="str">
        <f t="shared" si="657"/>
        <v/>
      </c>
      <c r="R10510" s="32" t="str">
        <f>IFERROR(VLOOKUP($D10510,'Informations sur les produits'!$A$3:$B$15000,2,FALSE),"")</f>
        <v/>
      </c>
      <c r="V10510">
        <f t="shared" si="658"/>
        <v>0</v>
      </c>
      <c r="W10510">
        <f t="shared" si="659"/>
        <v>0</v>
      </c>
    </row>
    <row r="10511" spans="5:23" x14ac:dyDescent="0.25">
      <c r="E10511" s="4"/>
      <c r="F10511" s="4"/>
      <c r="G10511" s="33" t="str">
        <f>IFERROR(VLOOKUP($D10511,'Informations sur les produits'!$A$3:$H$10000,8,FALSE),"0")</f>
        <v>0</v>
      </c>
      <c r="K10511" s="4"/>
      <c r="L10511" s="33" t="str">
        <f>IFERROR(VLOOKUP($J10511,'Informations sur les produits'!$A$3:$H$10000,8,FALSE),"0")</f>
        <v>0</v>
      </c>
      <c r="N10511" s="8"/>
      <c r="O10511" s="33" t="str">
        <f>IFERROR(VLOOKUP($M10511,'Informations sur les produits'!$A$3:$H$10000,8,FALSE),"0")</f>
        <v>0</v>
      </c>
      <c r="P10511" s="33">
        <f t="shared" si="656"/>
        <v>0</v>
      </c>
      <c r="Q10511" s="31" t="str">
        <f t="shared" si="657"/>
        <v/>
      </c>
      <c r="R10511" s="32" t="str">
        <f>IFERROR(VLOOKUP($D10511,'Informations sur les produits'!$A$3:$B$15000,2,FALSE),"")</f>
        <v/>
      </c>
      <c r="V10511">
        <f t="shared" si="658"/>
        <v>0</v>
      </c>
      <c r="W10511">
        <f t="shared" si="659"/>
        <v>0</v>
      </c>
    </row>
    <row r="10512" spans="5:23" x14ac:dyDescent="0.25">
      <c r="E10512" s="4"/>
      <c r="F10512" s="4"/>
      <c r="G10512" s="33" t="str">
        <f>IFERROR(VLOOKUP($D10512,'Informations sur les produits'!$A$3:$H$10000,8,FALSE),"0")</f>
        <v>0</v>
      </c>
      <c r="K10512" s="4"/>
      <c r="L10512" s="33" t="str">
        <f>IFERROR(VLOOKUP($J10512,'Informations sur les produits'!$A$3:$H$10000,8,FALSE),"0")</f>
        <v>0</v>
      </c>
      <c r="N10512" s="8"/>
      <c r="O10512" s="33" t="str">
        <f>IFERROR(VLOOKUP($M10512,'Informations sur les produits'!$A$3:$H$10000,8,FALSE),"0")</f>
        <v>0</v>
      </c>
      <c r="P10512" s="33">
        <f t="shared" si="656"/>
        <v>0</v>
      </c>
      <c r="Q10512" s="31" t="str">
        <f t="shared" si="657"/>
        <v/>
      </c>
      <c r="R10512" s="32" t="str">
        <f>IFERROR(VLOOKUP($D10512,'Informations sur les produits'!$A$3:$B$15000,2,FALSE),"")</f>
        <v/>
      </c>
      <c r="V10512">
        <f t="shared" si="658"/>
        <v>0</v>
      </c>
      <c r="W10512">
        <f t="shared" si="659"/>
        <v>0</v>
      </c>
    </row>
    <row r="10513" spans="5:23" x14ac:dyDescent="0.25">
      <c r="E10513" s="4"/>
      <c r="F10513" s="4"/>
      <c r="G10513" s="33" t="str">
        <f>IFERROR(VLOOKUP($D10513,'Informations sur les produits'!$A$3:$H$10000,8,FALSE),"0")</f>
        <v>0</v>
      </c>
      <c r="K10513" s="4"/>
      <c r="L10513" s="33" t="str">
        <f>IFERROR(VLOOKUP($J10513,'Informations sur les produits'!$A$3:$H$10000,8,FALSE),"0")</f>
        <v>0</v>
      </c>
      <c r="N10513" s="8"/>
      <c r="O10513" s="33" t="str">
        <f>IFERROR(VLOOKUP($M10513,'Informations sur les produits'!$A$3:$H$10000,8,FALSE),"0")</f>
        <v>0</v>
      </c>
      <c r="P10513" s="33">
        <f t="shared" si="656"/>
        <v>0</v>
      </c>
      <c r="Q10513" s="31" t="str">
        <f t="shared" si="657"/>
        <v/>
      </c>
      <c r="R10513" s="32" t="str">
        <f>IFERROR(VLOOKUP($D10513,'Informations sur les produits'!$A$3:$B$15000,2,FALSE),"")</f>
        <v/>
      </c>
      <c r="V10513">
        <f t="shared" si="658"/>
        <v>0</v>
      </c>
      <c r="W10513">
        <f t="shared" si="659"/>
        <v>0</v>
      </c>
    </row>
    <row r="10514" spans="5:23" x14ac:dyDescent="0.25">
      <c r="E10514" s="4"/>
      <c r="F10514" s="4"/>
      <c r="G10514" s="33" t="str">
        <f>IFERROR(VLOOKUP($D10514,'Informations sur les produits'!$A$3:$H$10000,8,FALSE),"0")</f>
        <v>0</v>
      </c>
      <c r="K10514" s="4"/>
      <c r="L10514" s="33" t="str">
        <f>IFERROR(VLOOKUP($J10514,'Informations sur les produits'!$A$3:$H$10000,8,FALSE),"0")</f>
        <v>0</v>
      </c>
      <c r="N10514" s="8"/>
      <c r="O10514" s="33" t="str">
        <f>IFERROR(VLOOKUP($M10514,'Informations sur les produits'!$A$3:$H$10000,8,FALSE),"0")</f>
        <v>0</v>
      </c>
      <c r="P10514" s="33">
        <f t="shared" si="656"/>
        <v>0</v>
      </c>
      <c r="Q10514" s="31" t="str">
        <f t="shared" si="657"/>
        <v/>
      </c>
      <c r="R10514" s="32" t="str">
        <f>IFERROR(VLOOKUP($D10514,'Informations sur les produits'!$A$3:$B$15000,2,FALSE),"")</f>
        <v/>
      </c>
      <c r="V10514">
        <f t="shared" si="658"/>
        <v>0</v>
      </c>
      <c r="W10514">
        <f t="shared" si="659"/>
        <v>0</v>
      </c>
    </row>
    <row r="10515" spans="5:23" x14ac:dyDescent="0.25">
      <c r="E10515" s="4"/>
      <c r="F10515" s="4"/>
      <c r="G10515" s="33" t="str">
        <f>IFERROR(VLOOKUP($D10515,'Informations sur les produits'!$A$3:$H$10000,8,FALSE),"0")</f>
        <v>0</v>
      </c>
      <c r="K10515" s="4"/>
      <c r="L10515" s="33" t="str">
        <f>IFERROR(VLOOKUP($J10515,'Informations sur les produits'!$A$3:$H$10000,8,FALSE),"0")</f>
        <v>0</v>
      </c>
      <c r="N10515" s="8"/>
      <c r="O10515" s="33" t="str">
        <f>IFERROR(VLOOKUP($M10515,'Informations sur les produits'!$A$3:$H$10000,8,FALSE),"0")</f>
        <v>0</v>
      </c>
      <c r="P10515" s="33">
        <f t="shared" si="656"/>
        <v>0</v>
      </c>
      <c r="Q10515" s="31" t="str">
        <f t="shared" si="657"/>
        <v/>
      </c>
      <c r="R10515" s="32" t="str">
        <f>IFERROR(VLOOKUP($D10515,'Informations sur les produits'!$A$3:$B$15000,2,FALSE),"")</f>
        <v/>
      </c>
      <c r="V10515">
        <f t="shared" si="658"/>
        <v>0</v>
      </c>
      <c r="W10515">
        <f t="shared" si="659"/>
        <v>0</v>
      </c>
    </row>
    <row r="10516" spans="5:23" x14ac:dyDescent="0.25">
      <c r="E10516" s="4"/>
      <c r="F10516" s="4"/>
      <c r="G10516" s="33" t="str">
        <f>IFERROR(VLOOKUP($D10516,'Informations sur les produits'!$A$3:$H$10000,8,FALSE),"0")</f>
        <v>0</v>
      </c>
      <c r="K10516" s="4"/>
      <c r="L10516" s="33" t="str">
        <f>IFERROR(VLOOKUP($J10516,'Informations sur les produits'!$A$3:$H$10000,8,FALSE),"0")</f>
        <v>0</v>
      </c>
      <c r="N10516" s="8"/>
      <c r="O10516" s="33" t="str">
        <f>IFERROR(VLOOKUP($M10516,'Informations sur les produits'!$A$3:$H$10000,8,FALSE),"0")</f>
        <v>0</v>
      </c>
      <c r="P10516" s="33">
        <f t="shared" si="656"/>
        <v>0</v>
      </c>
      <c r="Q10516" s="31" t="str">
        <f t="shared" si="657"/>
        <v/>
      </c>
      <c r="R10516" s="32" t="str">
        <f>IFERROR(VLOOKUP($D10516,'Informations sur les produits'!$A$3:$B$15000,2,FALSE),"")</f>
        <v/>
      </c>
      <c r="V10516">
        <f t="shared" si="658"/>
        <v>0</v>
      </c>
      <c r="W10516">
        <f t="shared" si="659"/>
        <v>0</v>
      </c>
    </row>
    <row r="10517" spans="5:23" x14ac:dyDescent="0.25">
      <c r="E10517" s="4"/>
      <c r="F10517" s="4"/>
      <c r="G10517" s="33" t="str">
        <f>IFERROR(VLOOKUP($D10517,'Informations sur les produits'!$A$3:$H$10000,8,FALSE),"0")</f>
        <v>0</v>
      </c>
      <c r="K10517" s="4"/>
      <c r="L10517" s="33" t="str">
        <f>IFERROR(VLOOKUP($J10517,'Informations sur les produits'!$A$3:$H$10000,8,FALSE),"0")</f>
        <v>0</v>
      </c>
      <c r="N10517" s="8"/>
      <c r="O10517" s="33" t="str">
        <f>IFERROR(VLOOKUP($M10517,'Informations sur les produits'!$A$3:$H$10000,8,FALSE),"0")</f>
        <v>0</v>
      </c>
      <c r="P10517" s="33">
        <f t="shared" si="656"/>
        <v>0</v>
      </c>
      <c r="Q10517" s="31" t="str">
        <f t="shared" si="657"/>
        <v/>
      </c>
      <c r="R10517" s="32" t="str">
        <f>IFERROR(VLOOKUP($D10517,'Informations sur les produits'!$A$3:$B$15000,2,FALSE),"")</f>
        <v/>
      </c>
      <c r="V10517">
        <f t="shared" si="658"/>
        <v>0</v>
      </c>
      <c r="W10517">
        <f t="shared" si="659"/>
        <v>0</v>
      </c>
    </row>
    <row r="10518" spans="5:23" x14ac:dyDescent="0.25">
      <c r="E10518" s="4"/>
      <c r="F10518" s="4"/>
      <c r="G10518" s="33" t="str">
        <f>IFERROR(VLOOKUP($D10518,'Informations sur les produits'!$A$3:$H$10000,8,FALSE),"0")</f>
        <v>0</v>
      </c>
      <c r="K10518" s="4"/>
      <c r="L10518" s="33" t="str">
        <f>IFERROR(VLOOKUP($J10518,'Informations sur les produits'!$A$3:$H$10000,8,FALSE),"0")</f>
        <v>0</v>
      </c>
      <c r="N10518" s="8"/>
      <c r="O10518" s="33" t="str">
        <f>IFERROR(VLOOKUP($M10518,'Informations sur les produits'!$A$3:$H$10000,8,FALSE),"0")</f>
        <v>0</v>
      </c>
      <c r="P10518" s="33">
        <f t="shared" si="656"/>
        <v>0</v>
      </c>
      <c r="Q10518" s="31" t="str">
        <f t="shared" si="657"/>
        <v/>
      </c>
      <c r="R10518" s="32" t="str">
        <f>IFERROR(VLOOKUP($D10518,'Informations sur les produits'!$A$3:$B$15000,2,FALSE),"")</f>
        <v/>
      </c>
      <c r="V10518">
        <f t="shared" si="658"/>
        <v>0</v>
      </c>
      <c r="W10518">
        <f t="shared" si="659"/>
        <v>0</v>
      </c>
    </row>
    <row r="10519" spans="5:23" x14ac:dyDescent="0.25">
      <c r="E10519" s="4"/>
      <c r="F10519" s="4"/>
      <c r="G10519" s="33" t="str">
        <f>IFERROR(VLOOKUP($D10519,'Informations sur les produits'!$A$3:$H$10000,8,FALSE),"0")</f>
        <v>0</v>
      </c>
      <c r="K10519" s="4"/>
      <c r="L10519" s="33" t="str">
        <f>IFERROR(VLOOKUP($J10519,'Informations sur les produits'!$A$3:$H$10000,8,FALSE),"0")</f>
        <v>0</v>
      </c>
      <c r="N10519" s="8"/>
      <c r="O10519" s="33" t="str">
        <f>IFERROR(VLOOKUP($M10519,'Informations sur les produits'!$A$3:$H$10000,8,FALSE),"0")</f>
        <v>0</v>
      </c>
      <c r="P10519" s="33">
        <f t="shared" si="656"/>
        <v>0</v>
      </c>
      <c r="Q10519" s="31" t="str">
        <f t="shared" si="657"/>
        <v/>
      </c>
      <c r="R10519" s="32" t="str">
        <f>IFERROR(VLOOKUP($D10519,'Informations sur les produits'!$A$3:$B$15000,2,FALSE),"")</f>
        <v/>
      </c>
      <c r="V10519">
        <f t="shared" si="658"/>
        <v>0</v>
      </c>
      <c r="W10519">
        <f t="shared" si="659"/>
        <v>0</v>
      </c>
    </row>
    <row r="10520" spans="5:23" x14ac:dyDescent="0.25">
      <c r="E10520" s="4"/>
      <c r="F10520" s="4"/>
      <c r="G10520" s="33" t="str">
        <f>IFERROR(VLOOKUP($D10520,'Informations sur les produits'!$A$3:$H$10000,8,FALSE),"0")</f>
        <v>0</v>
      </c>
      <c r="K10520" s="4"/>
      <c r="L10520" s="33" t="str">
        <f>IFERROR(VLOOKUP($J10520,'Informations sur les produits'!$A$3:$H$10000,8,FALSE),"0")</f>
        <v>0</v>
      </c>
      <c r="N10520" s="8"/>
      <c r="O10520" s="33" t="str">
        <f>IFERROR(VLOOKUP($M10520,'Informations sur les produits'!$A$3:$H$10000,8,FALSE),"0")</f>
        <v>0</v>
      </c>
      <c r="P10520" s="33">
        <f t="shared" si="656"/>
        <v>0</v>
      </c>
      <c r="Q10520" s="31" t="str">
        <f t="shared" si="657"/>
        <v/>
      </c>
      <c r="R10520" s="32" t="str">
        <f>IFERROR(VLOOKUP($D10520,'Informations sur les produits'!$A$3:$B$15000,2,FALSE),"")</f>
        <v/>
      </c>
      <c r="V10520">
        <f t="shared" si="658"/>
        <v>0</v>
      </c>
      <c r="W10520">
        <f t="shared" si="659"/>
        <v>0</v>
      </c>
    </row>
    <row r="10521" spans="5:23" x14ac:dyDescent="0.25">
      <c r="E10521" s="4"/>
      <c r="F10521" s="4"/>
      <c r="G10521" s="33" t="str">
        <f>IFERROR(VLOOKUP($D10521,'Informations sur les produits'!$A$3:$H$10000,8,FALSE),"0")</f>
        <v>0</v>
      </c>
      <c r="K10521" s="4"/>
      <c r="L10521" s="33" t="str">
        <f>IFERROR(VLOOKUP($J10521,'Informations sur les produits'!$A$3:$H$10000,8,FALSE),"0")</f>
        <v>0</v>
      </c>
      <c r="N10521" s="8"/>
      <c r="O10521" s="33" t="str">
        <f>IFERROR(VLOOKUP($M10521,'Informations sur les produits'!$A$3:$H$10000,8,FALSE),"0")</f>
        <v>0</v>
      </c>
      <c r="P10521" s="33">
        <f t="shared" si="656"/>
        <v>0</v>
      </c>
      <c r="Q10521" s="31" t="str">
        <f t="shared" si="657"/>
        <v/>
      </c>
      <c r="R10521" s="32" t="str">
        <f>IFERROR(VLOOKUP($D10521,'Informations sur les produits'!$A$3:$B$15000,2,FALSE),"")</f>
        <v/>
      </c>
      <c r="V10521">
        <f t="shared" si="658"/>
        <v>0</v>
      </c>
      <c r="W10521">
        <f t="shared" si="659"/>
        <v>0</v>
      </c>
    </row>
    <row r="10522" spans="5:23" x14ac:dyDescent="0.25">
      <c r="E10522" s="4"/>
      <c r="F10522" s="4"/>
      <c r="G10522" s="33" t="str">
        <f>IFERROR(VLOOKUP($D10522,'Informations sur les produits'!$A$3:$H$10000,8,FALSE),"0")</f>
        <v>0</v>
      </c>
      <c r="K10522" s="4"/>
      <c r="L10522" s="33" t="str">
        <f>IFERROR(VLOOKUP($J10522,'Informations sur les produits'!$A$3:$H$10000,8,FALSE),"0")</f>
        <v>0</v>
      </c>
      <c r="N10522" s="8"/>
      <c r="O10522" s="33" t="str">
        <f>IFERROR(VLOOKUP($M10522,'Informations sur les produits'!$A$3:$H$10000,8,FALSE),"0")</f>
        <v>0</v>
      </c>
      <c r="P10522" s="33">
        <f t="shared" si="656"/>
        <v>0</v>
      </c>
      <c r="Q10522" s="31" t="str">
        <f t="shared" si="657"/>
        <v/>
      </c>
      <c r="R10522" s="32" t="str">
        <f>IFERROR(VLOOKUP($D10522,'Informations sur les produits'!$A$3:$B$15000,2,FALSE),"")</f>
        <v/>
      </c>
      <c r="V10522">
        <f t="shared" si="658"/>
        <v>0</v>
      </c>
      <c r="W10522">
        <f t="shared" si="659"/>
        <v>0</v>
      </c>
    </row>
    <row r="10523" spans="5:23" x14ac:dyDescent="0.25">
      <c r="E10523" s="4"/>
      <c r="F10523" s="4"/>
      <c r="G10523" s="33" t="str">
        <f>IFERROR(VLOOKUP($D10523,'Informations sur les produits'!$A$3:$H$10000,8,FALSE),"0")</f>
        <v>0</v>
      </c>
      <c r="K10523" s="4"/>
      <c r="L10523" s="33" t="str">
        <f>IFERROR(VLOOKUP($J10523,'Informations sur les produits'!$A$3:$H$10000,8,FALSE),"0")</f>
        <v>0</v>
      </c>
      <c r="N10523" s="8"/>
      <c r="O10523" s="33" t="str">
        <f>IFERROR(VLOOKUP($M10523,'Informations sur les produits'!$A$3:$H$10000,8,FALSE),"0")</f>
        <v>0</v>
      </c>
      <c r="P10523" s="33">
        <f t="shared" si="656"/>
        <v>0</v>
      </c>
      <c r="Q10523" s="31" t="str">
        <f t="shared" si="657"/>
        <v/>
      </c>
      <c r="R10523" s="32" t="str">
        <f>IFERROR(VLOOKUP($D10523,'Informations sur les produits'!$A$3:$B$15000,2,FALSE),"")</f>
        <v/>
      </c>
      <c r="V10523">
        <f t="shared" si="658"/>
        <v>0</v>
      </c>
      <c r="W10523">
        <f t="shared" si="659"/>
        <v>0</v>
      </c>
    </row>
    <row r="10524" spans="5:23" x14ac:dyDescent="0.25">
      <c r="E10524" s="4"/>
      <c r="F10524" s="4"/>
      <c r="G10524" s="33" t="str">
        <f>IFERROR(VLOOKUP($D10524,'Informations sur les produits'!$A$3:$H$10000,8,FALSE),"0")</f>
        <v>0</v>
      </c>
      <c r="K10524" s="4"/>
      <c r="L10524" s="33" t="str">
        <f>IFERROR(VLOOKUP($J10524,'Informations sur les produits'!$A$3:$H$10000,8,FALSE),"0")</f>
        <v>0</v>
      </c>
      <c r="N10524" s="8"/>
      <c r="O10524" s="33" t="str">
        <f>IFERROR(VLOOKUP($M10524,'Informations sur les produits'!$A$3:$H$10000,8,FALSE),"0")</f>
        <v>0</v>
      </c>
      <c r="P10524" s="33">
        <f t="shared" si="656"/>
        <v>0</v>
      </c>
      <c r="Q10524" s="31" t="str">
        <f t="shared" si="657"/>
        <v/>
      </c>
      <c r="R10524" s="32" t="str">
        <f>IFERROR(VLOOKUP($D10524,'Informations sur les produits'!$A$3:$B$15000,2,FALSE),"")</f>
        <v/>
      </c>
      <c r="V10524">
        <f t="shared" si="658"/>
        <v>0</v>
      </c>
      <c r="W10524">
        <f t="shared" si="659"/>
        <v>0</v>
      </c>
    </row>
    <row r="10525" spans="5:23" x14ac:dyDescent="0.25">
      <c r="E10525" s="4"/>
      <c r="F10525" s="4"/>
      <c r="G10525" s="33" t="str">
        <f>IFERROR(VLOOKUP($D10525,'Informations sur les produits'!$A$3:$H$10000,8,FALSE),"0")</f>
        <v>0</v>
      </c>
      <c r="K10525" s="4"/>
      <c r="L10525" s="33" t="str">
        <f>IFERROR(VLOOKUP($J10525,'Informations sur les produits'!$A$3:$H$10000,8,FALSE),"0")</f>
        <v>0</v>
      </c>
      <c r="N10525" s="8"/>
      <c r="O10525" s="33" t="str">
        <f>IFERROR(VLOOKUP($M10525,'Informations sur les produits'!$A$3:$H$10000,8,FALSE),"0")</f>
        <v>0</v>
      </c>
      <c r="P10525" s="33">
        <f t="shared" si="656"/>
        <v>0</v>
      </c>
      <c r="Q10525" s="31" t="str">
        <f t="shared" si="657"/>
        <v/>
      </c>
      <c r="R10525" s="32" t="str">
        <f>IFERROR(VLOOKUP($D10525,'Informations sur les produits'!$A$3:$B$15000,2,FALSE),"")</f>
        <v/>
      </c>
      <c r="V10525">
        <f t="shared" si="658"/>
        <v>0</v>
      </c>
      <c r="W10525">
        <f t="shared" si="659"/>
        <v>0</v>
      </c>
    </row>
    <row r="10526" spans="5:23" x14ac:dyDescent="0.25">
      <c r="E10526" s="4"/>
      <c r="F10526" s="4"/>
      <c r="G10526" s="33" t="str">
        <f>IFERROR(VLOOKUP($D10526,'Informations sur les produits'!$A$3:$H$10000,8,FALSE),"0")</f>
        <v>0</v>
      </c>
      <c r="K10526" s="4"/>
      <c r="L10526" s="33" t="str">
        <f>IFERROR(VLOOKUP($J10526,'Informations sur les produits'!$A$3:$H$10000,8,FALSE),"0")</f>
        <v>0</v>
      </c>
      <c r="N10526" s="8"/>
      <c r="O10526" s="33" t="str">
        <f>IFERROR(VLOOKUP($M10526,'Informations sur les produits'!$A$3:$H$10000,8,FALSE),"0")</f>
        <v>0</v>
      </c>
      <c r="P10526" s="33">
        <f t="shared" si="656"/>
        <v>0</v>
      </c>
      <c r="Q10526" s="31" t="str">
        <f t="shared" si="657"/>
        <v/>
      </c>
      <c r="R10526" s="32" t="str">
        <f>IFERROR(VLOOKUP($D10526,'Informations sur les produits'!$A$3:$B$15000,2,FALSE),"")</f>
        <v/>
      </c>
      <c r="V10526">
        <f t="shared" si="658"/>
        <v>0</v>
      </c>
      <c r="W10526">
        <f t="shared" si="659"/>
        <v>0</v>
      </c>
    </row>
    <row r="10527" spans="5:23" x14ac:dyDescent="0.25">
      <c r="E10527" s="4"/>
      <c r="F10527" s="4"/>
      <c r="G10527" s="33" t="str">
        <f>IFERROR(VLOOKUP($D10527,'Informations sur les produits'!$A$3:$H$10000,8,FALSE),"0")</f>
        <v>0</v>
      </c>
      <c r="K10527" s="4"/>
      <c r="L10527" s="33" t="str">
        <f>IFERROR(VLOOKUP($J10527,'Informations sur les produits'!$A$3:$H$10000,8,FALSE),"0")</f>
        <v>0</v>
      </c>
      <c r="N10527" s="8"/>
      <c r="O10527" s="33" t="str">
        <f>IFERROR(VLOOKUP($M10527,'Informations sur les produits'!$A$3:$H$10000,8,FALSE),"0")</f>
        <v>0</v>
      </c>
      <c r="P10527" s="33">
        <f t="shared" si="656"/>
        <v>0</v>
      </c>
      <c r="Q10527" s="31" t="str">
        <f t="shared" si="657"/>
        <v/>
      </c>
      <c r="R10527" s="32" t="str">
        <f>IFERROR(VLOOKUP($D10527,'Informations sur les produits'!$A$3:$B$15000,2,FALSE),"")</f>
        <v/>
      </c>
      <c r="V10527">
        <f t="shared" si="658"/>
        <v>0</v>
      </c>
      <c r="W10527">
        <f t="shared" si="659"/>
        <v>0</v>
      </c>
    </row>
    <row r="10528" spans="5:23" x14ac:dyDescent="0.25">
      <c r="E10528" s="4"/>
      <c r="F10528" s="4"/>
      <c r="G10528" s="33" t="str">
        <f>IFERROR(VLOOKUP($D10528,'Informations sur les produits'!$A$3:$H$10000,8,FALSE),"0")</f>
        <v>0</v>
      </c>
      <c r="K10528" s="4"/>
      <c r="L10528" s="33" t="str">
        <f>IFERROR(VLOOKUP($J10528,'Informations sur les produits'!$A$3:$H$10000,8,FALSE),"0")</f>
        <v>0</v>
      </c>
      <c r="N10528" s="8"/>
      <c r="O10528" s="33" t="str">
        <f>IFERROR(VLOOKUP($M10528,'Informations sur les produits'!$A$3:$H$10000,8,FALSE),"0")</f>
        <v>0</v>
      </c>
      <c r="P10528" s="33">
        <f t="shared" si="656"/>
        <v>0</v>
      </c>
      <c r="Q10528" s="31" t="str">
        <f t="shared" si="657"/>
        <v/>
      </c>
      <c r="R10528" s="32" t="str">
        <f>IFERROR(VLOOKUP($D10528,'Informations sur les produits'!$A$3:$B$15000,2,FALSE),"")</f>
        <v/>
      </c>
      <c r="V10528">
        <f t="shared" si="658"/>
        <v>0</v>
      </c>
      <c r="W10528">
        <f t="shared" si="659"/>
        <v>0</v>
      </c>
    </row>
    <row r="10529" spans="5:23" x14ac:dyDescent="0.25">
      <c r="E10529" s="4"/>
      <c r="F10529" s="4"/>
      <c r="G10529" s="33" t="str">
        <f>IFERROR(VLOOKUP($D10529,'Informations sur les produits'!$A$3:$H$10000,8,FALSE),"0")</f>
        <v>0</v>
      </c>
      <c r="K10529" s="4"/>
      <c r="L10529" s="33" t="str">
        <f>IFERROR(VLOOKUP($J10529,'Informations sur les produits'!$A$3:$H$10000,8,FALSE),"0")</f>
        <v>0</v>
      </c>
      <c r="N10529" s="8"/>
      <c r="O10529" s="33" t="str">
        <f>IFERROR(VLOOKUP($M10529,'Informations sur les produits'!$A$3:$H$10000,8,FALSE),"0")</f>
        <v>0</v>
      </c>
      <c r="P10529" s="33">
        <f t="shared" si="656"/>
        <v>0</v>
      </c>
      <c r="Q10529" s="31" t="str">
        <f t="shared" si="657"/>
        <v/>
      </c>
      <c r="R10529" s="32" t="str">
        <f>IFERROR(VLOOKUP($D10529,'Informations sur les produits'!$A$3:$B$15000,2,FALSE),"")</f>
        <v/>
      </c>
      <c r="V10529">
        <f t="shared" si="658"/>
        <v>0</v>
      </c>
      <c r="W10529">
        <f t="shared" si="659"/>
        <v>0</v>
      </c>
    </row>
    <row r="10530" spans="5:23" x14ac:dyDescent="0.25">
      <c r="E10530" s="4"/>
      <c r="F10530" s="4"/>
      <c r="G10530" s="33" t="str">
        <f>IFERROR(VLOOKUP($D10530,'Informations sur les produits'!$A$3:$H$10000,8,FALSE),"0")</f>
        <v>0</v>
      </c>
      <c r="K10530" s="4"/>
      <c r="L10530" s="33" t="str">
        <f>IFERROR(VLOOKUP($J10530,'Informations sur les produits'!$A$3:$H$10000,8,FALSE),"0")</f>
        <v>0</v>
      </c>
      <c r="N10530" s="8"/>
      <c r="O10530" s="33" t="str">
        <f>IFERROR(VLOOKUP($M10530,'Informations sur les produits'!$A$3:$H$10000,8,FALSE),"0")</f>
        <v>0</v>
      </c>
      <c r="P10530" s="33">
        <f t="shared" si="656"/>
        <v>0</v>
      </c>
      <c r="Q10530" s="31" t="str">
        <f t="shared" si="657"/>
        <v/>
      </c>
      <c r="R10530" s="32" t="str">
        <f>IFERROR(VLOOKUP($D10530,'Informations sur les produits'!$A$3:$B$15000,2,FALSE),"")</f>
        <v/>
      </c>
      <c r="V10530">
        <f t="shared" si="658"/>
        <v>0</v>
      </c>
      <c r="W10530">
        <f t="shared" si="659"/>
        <v>0</v>
      </c>
    </row>
    <row r="10531" spans="5:23" x14ac:dyDescent="0.25">
      <c r="E10531" s="4"/>
      <c r="F10531" s="4"/>
      <c r="G10531" s="33" t="str">
        <f>IFERROR(VLOOKUP($D10531,'Informations sur les produits'!$A$3:$H$10000,8,FALSE),"0")</f>
        <v>0</v>
      </c>
      <c r="K10531" s="4"/>
      <c r="L10531" s="33" t="str">
        <f>IFERROR(VLOOKUP($J10531,'Informations sur les produits'!$A$3:$H$10000,8,FALSE),"0")</f>
        <v>0</v>
      </c>
      <c r="N10531" s="8"/>
      <c r="O10531" s="33" t="str">
        <f>IFERROR(VLOOKUP($M10531,'Informations sur les produits'!$A$3:$H$10000,8,FALSE),"0")</f>
        <v>0</v>
      </c>
      <c r="P10531" s="33">
        <f t="shared" si="656"/>
        <v>0</v>
      </c>
      <c r="Q10531" s="31" t="str">
        <f t="shared" si="657"/>
        <v/>
      </c>
      <c r="R10531" s="32" t="str">
        <f>IFERROR(VLOOKUP($D10531,'Informations sur les produits'!$A$3:$B$15000,2,FALSE),"")</f>
        <v/>
      </c>
      <c r="V10531">
        <f t="shared" si="658"/>
        <v>0</v>
      </c>
      <c r="W10531">
        <f t="shared" si="659"/>
        <v>0</v>
      </c>
    </row>
    <row r="10532" spans="5:23" x14ac:dyDescent="0.25">
      <c r="E10532" s="4"/>
      <c r="F10532" s="4"/>
      <c r="G10532" s="33" t="str">
        <f>IFERROR(VLOOKUP($D10532,'Informations sur les produits'!$A$3:$H$10000,8,FALSE),"0")</f>
        <v>0</v>
      </c>
      <c r="K10532" s="4"/>
      <c r="L10532" s="33" t="str">
        <f>IFERROR(VLOOKUP($J10532,'Informations sur les produits'!$A$3:$H$10000,8,FALSE),"0")</f>
        <v>0</v>
      </c>
      <c r="N10532" s="8"/>
      <c r="O10532" s="33" t="str">
        <f>IFERROR(VLOOKUP($M10532,'Informations sur les produits'!$A$3:$H$10000,8,FALSE),"0")</f>
        <v>0</v>
      </c>
      <c r="P10532" s="33">
        <f t="shared" si="656"/>
        <v>0</v>
      </c>
      <c r="Q10532" s="31" t="str">
        <f t="shared" si="657"/>
        <v/>
      </c>
      <c r="R10532" s="32" t="str">
        <f>IFERROR(VLOOKUP($D10532,'Informations sur les produits'!$A$3:$B$15000,2,FALSE),"")</f>
        <v/>
      </c>
      <c r="V10532">
        <f t="shared" si="658"/>
        <v>0</v>
      </c>
      <c r="W10532">
        <f t="shared" si="659"/>
        <v>0</v>
      </c>
    </row>
    <row r="10533" spans="5:23" x14ac:dyDescent="0.25">
      <c r="E10533" s="4"/>
      <c r="F10533" s="4"/>
      <c r="G10533" s="33" t="str">
        <f>IFERROR(VLOOKUP($D10533,'Informations sur les produits'!$A$3:$H$10000,8,FALSE),"0")</f>
        <v>0</v>
      </c>
      <c r="K10533" s="4"/>
      <c r="L10533" s="33" t="str">
        <f>IFERROR(VLOOKUP($J10533,'Informations sur les produits'!$A$3:$H$10000,8,FALSE),"0")</f>
        <v>0</v>
      </c>
      <c r="N10533" s="8"/>
      <c r="O10533" s="33" t="str">
        <f>IFERROR(VLOOKUP($M10533,'Informations sur les produits'!$A$3:$H$10000,8,FALSE),"0")</f>
        <v>0</v>
      </c>
      <c r="P10533" s="33">
        <f t="shared" si="656"/>
        <v>0</v>
      </c>
      <c r="Q10533" s="31" t="str">
        <f t="shared" si="657"/>
        <v/>
      </c>
      <c r="R10533" s="32" t="str">
        <f>IFERROR(VLOOKUP($D10533,'Informations sur les produits'!$A$3:$B$15000,2,FALSE),"")</f>
        <v/>
      </c>
      <c r="V10533">
        <f t="shared" si="658"/>
        <v>0</v>
      </c>
      <c r="W10533">
        <f t="shared" si="659"/>
        <v>0</v>
      </c>
    </row>
    <row r="10534" spans="5:23" x14ac:dyDescent="0.25">
      <c r="E10534" s="4"/>
      <c r="F10534" s="4"/>
      <c r="G10534" s="33" t="str">
        <f>IFERROR(VLOOKUP($D10534,'Informations sur les produits'!$A$3:$H$10000,8,FALSE),"0")</f>
        <v>0</v>
      </c>
      <c r="K10534" s="4"/>
      <c r="L10534" s="33" t="str">
        <f>IFERROR(VLOOKUP($J10534,'Informations sur les produits'!$A$3:$H$10000,8,FALSE),"0")</f>
        <v>0</v>
      </c>
      <c r="N10534" s="8"/>
      <c r="O10534" s="33" t="str">
        <f>IFERROR(VLOOKUP($M10534,'Informations sur les produits'!$A$3:$H$10000,8,FALSE),"0")</f>
        <v>0</v>
      </c>
      <c r="P10534" s="33">
        <f t="shared" si="656"/>
        <v>0</v>
      </c>
      <c r="Q10534" s="31" t="str">
        <f t="shared" si="657"/>
        <v/>
      </c>
      <c r="R10534" s="32" t="str">
        <f>IFERROR(VLOOKUP($D10534,'Informations sur les produits'!$A$3:$B$15000,2,FALSE),"")</f>
        <v/>
      </c>
      <c r="V10534">
        <f t="shared" si="658"/>
        <v>0</v>
      </c>
      <c r="W10534">
        <f t="shared" si="659"/>
        <v>0</v>
      </c>
    </row>
    <row r="10535" spans="5:23" x14ac:dyDescent="0.25">
      <c r="E10535" s="4"/>
      <c r="F10535" s="4"/>
      <c r="G10535" s="33" t="str">
        <f>IFERROR(VLOOKUP($D10535,'Informations sur les produits'!$A$3:$H$10000,8,FALSE),"0")</f>
        <v>0</v>
      </c>
      <c r="K10535" s="4"/>
      <c r="L10535" s="33" t="str">
        <f>IFERROR(VLOOKUP($J10535,'Informations sur les produits'!$A$3:$H$10000,8,FALSE),"0")</f>
        <v>0</v>
      </c>
      <c r="N10535" s="8"/>
      <c r="O10535" s="33" t="str">
        <f>IFERROR(VLOOKUP($M10535,'Informations sur les produits'!$A$3:$H$10000,8,FALSE),"0")</f>
        <v>0</v>
      </c>
      <c r="P10535" s="33">
        <f t="shared" si="656"/>
        <v>0</v>
      </c>
      <c r="Q10535" s="31" t="str">
        <f t="shared" si="657"/>
        <v/>
      </c>
      <c r="R10535" s="32" t="str">
        <f>IFERROR(VLOOKUP($D10535,'Informations sur les produits'!$A$3:$B$15000,2,FALSE),"")</f>
        <v/>
      </c>
      <c r="V10535">
        <f t="shared" si="658"/>
        <v>0</v>
      </c>
      <c r="W10535">
        <f t="shared" si="659"/>
        <v>0</v>
      </c>
    </row>
    <row r="10536" spans="5:23" x14ac:dyDescent="0.25">
      <c r="E10536" s="4"/>
      <c r="F10536" s="4"/>
      <c r="G10536" s="33" t="str">
        <f>IFERROR(VLOOKUP($D10536,'Informations sur les produits'!$A$3:$H$10000,8,FALSE),"0")</f>
        <v>0</v>
      </c>
      <c r="K10536" s="4"/>
      <c r="L10536" s="33" t="str">
        <f>IFERROR(VLOOKUP($J10536,'Informations sur les produits'!$A$3:$H$10000,8,FALSE),"0")</f>
        <v>0</v>
      </c>
      <c r="N10536" s="8"/>
      <c r="O10536" s="33" t="str">
        <f>IFERROR(VLOOKUP($M10536,'Informations sur les produits'!$A$3:$H$10000,8,FALSE),"0")</f>
        <v>0</v>
      </c>
      <c r="P10536" s="33">
        <f t="shared" si="656"/>
        <v>0</v>
      </c>
      <c r="Q10536" s="31" t="str">
        <f t="shared" si="657"/>
        <v/>
      </c>
      <c r="R10536" s="32" t="str">
        <f>IFERROR(VLOOKUP($D10536,'Informations sur les produits'!$A$3:$B$15000,2,FALSE),"")</f>
        <v/>
      </c>
      <c r="V10536">
        <f t="shared" si="658"/>
        <v>0</v>
      </c>
      <c r="W10536">
        <f t="shared" si="659"/>
        <v>0</v>
      </c>
    </row>
    <row r="10537" spans="5:23" x14ac:dyDescent="0.25">
      <c r="E10537" s="4"/>
      <c r="F10537" s="4"/>
      <c r="G10537" s="33" t="str">
        <f>IFERROR(VLOOKUP($D10537,'Informations sur les produits'!$A$3:$H$10000,8,FALSE),"0")</f>
        <v>0</v>
      </c>
      <c r="K10537" s="4"/>
      <c r="L10537" s="33" t="str">
        <f>IFERROR(VLOOKUP($J10537,'Informations sur les produits'!$A$3:$H$10000,8,FALSE),"0")</f>
        <v>0</v>
      </c>
      <c r="N10537" s="8"/>
      <c r="O10537" s="33" t="str">
        <f>IFERROR(VLOOKUP($M10537,'Informations sur les produits'!$A$3:$H$10000,8,FALSE),"0")</f>
        <v>0</v>
      </c>
      <c r="P10537" s="33">
        <f t="shared" si="656"/>
        <v>0</v>
      </c>
      <c r="Q10537" s="31" t="str">
        <f t="shared" si="657"/>
        <v/>
      </c>
      <c r="R10537" s="32" t="str">
        <f>IFERROR(VLOOKUP($D10537,'Informations sur les produits'!$A$3:$B$15000,2,FALSE),"")</f>
        <v/>
      </c>
      <c r="V10537">
        <f t="shared" si="658"/>
        <v>0</v>
      </c>
      <c r="W10537">
        <f t="shared" si="659"/>
        <v>0</v>
      </c>
    </row>
    <row r="10538" spans="5:23" x14ac:dyDescent="0.25">
      <c r="E10538" s="4"/>
      <c r="F10538" s="4"/>
      <c r="G10538" s="33" t="str">
        <f>IFERROR(VLOOKUP($D10538,'Informations sur les produits'!$A$3:$H$10000,8,FALSE),"0")</f>
        <v>0</v>
      </c>
      <c r="K10538" s="4"/>
      <c r="L10538" s="33" t="str">
        <f>IFERROR(VLOOKUP($J10538,'Informations sur les produits'!$A$3:$H$10000,8,FALSE),"0")</f>
        <v>0</v>
      </c>
      <c r="N10538" s="8"/>
      <c r="O10538" s="33" t="str">
        <f>IFERROR(VLOOKUP($M10538,'Informations sur les produits'!$A$3:$H$10000,8,FALSE),"0")</f>
        <v>0</v>
      </c>
      <c r="P10538" s="33">
        <f t="shared" si="656"/>
        <v>0</v>
      </c>
      <c r="Q10538" s="31" t="str">
        <f t="shared" si="657"/>
        <v/>
      </c>
      <c r="R10538" s="32" t="str">
        <f>IFERROR(VLOOKUP($D10538,'Informations sur les produits'!$A$3:$B$15000,2,FALSE),"")</f>
        <v/>
      </c>
      <c r="V10538">
        <f t="shared" si="658"/>
        <v>0</v>
      </c>
      <c r="W10538">
        <f t="shared" si="659"/>
        <v>0</v>
      </c>
    </row>
    <row r="10539" spans="5:23" x14ac:dyDescent="0.25">
      <c r="E10539" s="4"/>
      <c r="F10539" s="4"/>
      <c r="G10539" s="33" t="str">
        <f>IFERROR(VLOOKUP($D10539,'Informations sur les produits'!$A$3:$H$10000,8,FALSE),"0")</f>
        <v>0</v>
      </c>
      <c r="K10539" s="4"/>
      <c r="L10539" s="33" t="str">
        <f>IFERROR(VLOOKUP($J10539,'Informations sur les produits'!$A$3:$H$10000,8,FALSE),"0")</f>
        <v>0</v>
      </c>
      <c r="N10539" s="8"/>
      <c r="O10539" s="33" t="str">
        <f>IFERROR(VLOOKUP($M10539,'Informations sur les produits'!$A$3:$H$10000,8,FALSE),"0")</f>
        <v>0</v>
      </c>
      <c r="P10539" s="33">
        <f t="shared" si="656"/>
        <v>0</v>
      </c>
      <c r="Q10539" s="31" t="str">
        <f t="shared" si="657"/>
        <v/>
      </c>
      <c r="R10539" s="32" t="str">
        <f>IFERROR(VLOOKUP($D10539,'Informations sur les produits'!$A$3:$B$15000,2,FALSE),"")</f>
        <v/>
      </c>
      <c r="V10539">
        <f t="shared" si="658"/>
        <v>0</v>
      </c>
      <c r="W10539">
        <f t="shared" si="659"/>
        <v>0</v>
      </c>
    </row>
    <row r="10540" spans="5:23" x14ac:dyDescent="0.25">
      <c r="E10540" s="4"/>
      <c r="F10540" s="4"/>
      <c r="G10540" s="33" t="str">
        <f>IFERROR(VLOOKUP($D10540,'Informations sur les produits'!$A$3:$H$10000,8,FALSE),"0")</f>
        <v>0</v>
      </c>
      <c r="K10540" s="4"/>
      <c r="L10540" s="33" t="str">
        <f>IFERROR(VLOOKUP($J10540,'Informations sur les produits'!$A$3:$H$10000,8,FALSE),"0")</f>
        <v>0</v>
      </c>
      <c r="N10540" s="8"/>
      <c r="O10540" s="33" t="str">
        <f>IFERROR(VLOOKUP($M10540,'Informations sur les produits'!$A$3:$H$10000,8,FALSE),"0")</f>
        <v>0</v>
      </c>
      <c r="P10540" s="33">
        <f t="shared" si="656"/>
        <v>0</v>
      </c>
      <c r="Q10540" s="31" t="str">
        <f t="shared" si="657"/>
        <v/>
      </c>
      <c r="R10540" s="32" t="str">
        <f>IFERROR(VLOOKUP($D10540,'Informations sur les produits'!$A$3:$B$15000,2,FALSE),"")</f>
        <v/>
      </c>
      <c r="V10540">
        <f t="shared" si="658"/>
        <v>0</v>
      </c>
      <c r="W10540">
        <f t="shared" si="659"/>
        <v>0</v>
      </c>
    </row>
    <row r="10541" spans="5:23" x14ac:dyDescent="0.25">
      <c r="E10541" s="4"/>
      <c r="F10541" s="4"/>
      <c r="G10541" s="33" t="str">
        <f>IFERROR(VLOOKUP($D10541,'Informations sur les produits'!$A$3:$H$10000,8,FALSE),"0")</f>
        <v>0</v>
      </c>
      <c r="K10541" s="4"/>
      <c r="L10541" s="33" t="str">
        <f>IFERROR(VLOOKUP($J10541,'Informations sur les produits'!$A$3:$H$10000,8,FALSE),"0")</f>
        <v>0</v>
      </c>
      <c r="N10541" s="8"/>
      <c r="O10541" s="33" t="str">
        <f>IFERROR(VLOOKUP($M10541,'Informations sur les produits'!$A$3:$H$10000,8,FALSE),"0")</f>
        <v>0</v>
      </c>
      <c r="P10541" s="33">
        <f t="shared" si="656"/>
        <v>0</v>
      </c>
      <c r="Q10541" s="31" t="str">
        <f t="shared" si="657"/>
        <v/>
      </c>
      <c r="R10541" s="32" t="str">
        <f>IFERROR(VLOOKUP($D10541,'Informations sur les produits'!$A$3:$B$15000,2,FALSE),"")</f>
        <v/>
      </c>
      <c r="V10541">
        <f t="shared" si="658"/>
        <v>0</v>
      </c>
      <c r="W10541">
        <f t="shared" si="659"/>
        <v>0</v>
      </c>
    </row>
    <row r="10542" spans="5:23" x14ac:dyDescent="0.25">
      <c r="E10542" s="4"/>
      <c r="F10542" s="4"/>
      <c r="G10542" s="33" t="str">
        <f>IFERROR(VLOOKUP($D10542,'Informations sur les produits'!$A$3:$H$10000,8,FALSE),"0")</f>
        <v>0</v>
      </c>
      <c r="K10542" s="4"/>
      <c r="L10542" s="33" t="str">
        <f>IFERROR(VLOOKUP($J10542,'Informations sur les produits'!$A$3:$H$10000,8,FALSE),"0")</f>
        <v>0</v>
      </c>
      <c r="N10542" s="8"/>
      <c r="O10542" s="33" t="str">
        <f>IFERROR(VLOOKUP($M10542,'Informations sur les produits'!$A$3:$H$10000,8,FALSE),"0")</f>
        <v>0</v>
      </c>
      <c r="P10542" s="33">
        <f t="shared" si="656"/>
        <v>0</v>
      </c>
      <c r="Q10542" s="31" t="str">
        <f t="shared" si="657"/>
        <v/>
      </c>
      <c r="R10542" s="32" t="str">
        <f>IFERROR(VLOOKUP($D10542,'Informations sur les produits'!$A$3:$B$15000,2,FALSE),"")</f>
        <v/>
      </c>
      <c r="V10542">
        <f t="shared" si="658"/>
        <v>0</v>
      </c>
      <c r="W10542">
        <f t="shared" si="659"/>
        <v>0</v>
      </c>
    </row>
    <row r="10543" spans="5:23" x14ac:dyDescent="0.25">
      <c r="E10543" s="4"/>
      <c r="F10543" s="4"/>
      <c r="G10543" s="33" t="str">
        <f>IFERROR(VLOOKUP($D10543,'Informations sur les produits'!$A$3:$H$10000,8,FALSE),"0")</f>
        <v>0</v>
      </c>
      <c r="K10543" s="4"/>
      <c r="L10543" s="33" t="str">
        <f>IFERROR(VLOOKUP($J10543,'Informations sur les produits'!$A$3:$H$10000,8,FALSE),"0")</f>
        <v>0</v>
      </c>
      <c r="N10543" s="8"/>
      <c r="O10543" s="33" t="str">
        <f>IFERROR(VLOOKUP($M10543,'Informations sur les produits'!$A$3:$H$10000,8,FALSE),"0")</f>
        <v>0</v>
      </c>
      <c r="P10543" s="33">
        <f t="shared" si="656"/>
        <v>0</v>
      </c>
      <c r="Q10543" s="31" t="str">
        <f t="shared" si="657"/>
        <v/>
      </c>
      <c r="R10543" s="32" t="str">
        <f>IFERROR(VLOOKUP($D10543,'Informations sur les produits'!$A$3:$B$15000,2,FALSE),"")</f>
        <v/>
      </c>
      <c r="V10543">
        <f t="shared" si="658"/>
        <v>0</v>
      </c>
      <c r="W10543">
        <f t="shared" si="659"/>
        <v>0</v>
      </c>
    </row>
    <row r="10544" spans="5:23" x14ac:dyDescent="0.25">
      <c r="E10544" s="4"/>
      <c r="F10544" s="4"/>
      <c r="G10544" s="33" t="str">
        <f>IFERROR(VLOOKUP($D10544,'Informations sur les produits'!$A$3:$H$10000,8,FALSE),"0")</f>
        <v>0</v>
      </c>
      <c r="K10544" s="4"/>
      <c r="L10544" s="33" t="str">
        <f>IFERROR(VLOOKUP($J10544,'Informations sur les produits'!$A$3:$H$10000,8,FALSE),"0")</f>
        <v>0</v>
      </c>
      <c r="N10544" s="8"/>
      <c r="O10544" s="33" t="str">
        <f>IFERROR(VLOOKUP($M10544,'Informations sur les produits'!$A$3:$H$10000,8,FALSE),"0")</f>
        <v>0</v>
      </c>
      <c r="P10544" s="33">
        <f t="shared" si="656"/>
        <v>0</v>
      </c>
      <c r="Q10544" s="31" t="str">
        <f t="shared" si="657"/>
        <v/>
      </c>
      <c r="R10544" s="32" t="str">
        <f>IFERROR(VLOOKUP($D10544,'Informations sur les produits'!$A$3:$B$15000,2,FALSE),"")</f>
        <v/>
      </c>
      <c r="V10544">
        <f t="shared" si="658"/>
        <v>0</v>
      </c>
      <c r="W10544">
        <f t="shared" si="659"/>
        <v>0</v>
      </c>
    </row>
    <row r="10545" spans="5:23" x14ac:dyDescent="0.25">
      <c r="E10545" s="4"/>
      <c r="F10545" s="4"/>
      <c r="G10545" s="33" t="str">
        <f>IFERROR(VLOOKUP($D10545,'Informations sur les produits'!$A$3:$H$10000,8,FALSE),"0")</f>
        <v>0</v>
      </c>
      <c r="K10545" s="4"/>
      <c r="L10545" s="33" t="str">
        <f>IFERROR(VLOOKUP($J10545,'Informations sur les produits'!$A$3:$H$10000,8,FALSE),"0")</f>
        <v>0</v>
      </c>
      <c r="N10545" s="8"/>
      <c r="O10545" s="33" t="str">
        <f>IFERROR(VLOOKUP($M10545,'Informations sur les produits'!$A$3:$H$10000,8,FALSE),"0")</f>
        <v>0</v>
      </c>
      <c r="P10545" s="33">
        <f t="shared" si="656"/>
        <v>0</v>
      </c>
      <c r="Q10545" s="31" t="str">
        <f t="shared" si="657"/>
        <v/>
      </c>
      <c r="R10545" s="32" t="str">
        <f>IFERROR(VLOOKUP($D10545,'Informations sur les produits'!$A$3:$B$15000,2,FALSE),"")</f>
        <v/>
      </c>
      <c r="V10545">
        <f t="shared" si="658"/>
        <v>0</v>
      </c>
      <c r="W10545">
        <f t="shared" si="659"/>
        <v>0</v>
      </c>
    </row>
    <row r="10546" spans="5:23" x14ac:dyDescent="0.25">
      <c r="E10546" s="4"/>
      <c r="F10546" s="4"/>
      <c r="G10546" s="33" t="str">
        <f>IFERROR(VLOOKUP($D10546,'Informations sur les produits'!$A$3:$H$10000,8,FALSE),"0")</f>
        <v>0</v>
      </c>
      <c r="K10546" s="4"/>
      <c r="L10546" s="33" t="str">
        <f>IFERROR(VLOOKUP($J10546,'Informations sur les produits'!$A$3:$H$10000,8,FALSE),"0")</f>
        <v>0</v>
      </c>
      <c r="N10546" s="8"/>
      <c r="O10546" s="33" t="str">
        <f>IFERROR(VLOOKUP($M10546,'Informations sur les produits'!$A$3:$H$10000,8,FALSE),"0")</f>
        <v>0</v>
      </c>
      <c r="P10546" s="33">
        <f t="shared" si="656"/>
        <v>0</v>
      </c>
      <c r="Q10546" s="31" t="str">
        <f t="shared" si="657"/>
        <v/>
      </c>
      <c r="R10546" s="32" t="str">
        <f>IFERROR(VLOOKUP($D10546,'Informations sur les produits'!$A$3:$B$15000,2,FALSE),"")</f>
        <v/>
      </c>
      <c r="V10546">
        <f t="shared" si="658"/>
        <v>0</v>
      </c>
      <c r="W10546">
        <f t="shared" si="659"/>
        <v>0</v>
      </c>
    </row>
    <row r="10547" spans="5:23" x14ac:dyDescent="0.25">
      <c r="E10547" s="4"/>
      <c r="F10547" s="4"/>
      <c r="G10547" s="33" t="str">
        <f>IFERROR(VLOOKUP($D10547,'Informations sur les produits'!$A$3:$H$10000,8,FALSE),"0")</f>
        <v>0</v>
      </c>
      <c r="K10547" s="4"/>
      <c r="L10547" s="33" t="str">
        <f>IFERROR(VLOOKUP($J10547,'Informations sur les produits'!$A$3:$H$10000,8,FALSE),"0")</f>
        <v>0</v>
      </c>
      <c r="N10547" s="8"/>
      <c r="O10547" s="33" t="str">
        <f>IFERROR(VLOOKUP($M10547,'Informations sur les produits'!$A$3:$H$10000,8,FALSE),"0")</f>
        <v>0</v>
      </c>
      <c r="P10547" s="33">
        <f t="shared" si="656"/>
        <v>0</v>
      </c>
      <c r="Q10547" s="31" t="str">
        <f t="shared" si="657"/>
        <v/>
      </c>
      <c r="R10547" s="32" t="str">
        <f>IFERROR(VLOOKUP($D10547,'Informations sur les produits'!$A$3:$B$15000,2,FALSE),"")</f>
        <v/>
      </c>
      <c r="V10547">
        <f t="shared" si="658"/>
        <v>0</v>
      </c>
      <c r="W10547">
        <f t="shared" si="659"/>
        <v>0</v>
      </c>
    </row>
    <row r="10548" spans="5:23" x14ac:dyDescent="0.25">
      <c r="E10548" s="4"/>
      <c r="F10548" s="4"/>
      <c r="G10548" s="33" t="str">
        <f>IFERROR(VLOOKUP($D10548,'Informations sur les produits'!$A$3:$H$10000,8,FALSE),"0")</f>
        <v>0</v>
      </c>
      <c r="K10548" s="4"/>
      <c r="L10548" s="33" t="str">
        <f>IFERROR(VLOOKUP($J10548,'Informations sur les produits'!$A$3:$H$10000,8,FALSE),"0")</f>
        <v>0</v>
      </c>
      <c r="N10548" s="8"/>
      <c r="O10548" s="33" t="str">
        <f>IFERROR(VLOOKUP($M10548,'Informations sur les produits'!$A$3:$H$10000,8,FALSE),"0")</f>
        <v>0</v>
      </c>
      <c r="P10548" s="33">
        <f t="shared" si="656"/>
        <v>0</v>
      </c>
      <c r="Q10548" s="31" t="str">
        <f t="shared" si="657"/>
        <v/>
      </c>
      <c r="R10548" s="32" t="str">
        <f>IFERROR(VLOOKUP($D10548,'Informations sur les produits'!$A$3:$B$15000,2,FALSE),"")</f>
        <v/>
      </c>
      <c r="V10548">
        <f t="shared" si="658"/>
        <v>0</v>
      </c>
      <c r="W10548">
        <f t="shared" si="659"/>
        <v>0</v>
      </c>
    </row>
    <row r="10549" spans="5:23" x14ac:dyDescent="0.25">
      <c r="E10549" s="4"/>
      <c r="F10549" s="4"/>
      <c r="G10549" s="33" t="str">
        <f>IFERROR(VLOOKUP($D10549,'Informations sur les produits'!$A$3:$H$10000,8,FALSE),"0")</f>
        <v>0</v>
      </c>
      <c r="K10549" s="4"/>
      <c r="L10549" s="33" t="str">
        <f>IFERROR(VLOOKUP($J10549,'Informations sur les produits'!$A$3:$H$10000,8,FALSE),"0")</f>
        <v>0</v>
      </c>
      <c r="N10549" s="8"/>
      <c r="O10549" s="33" t="str">
        <f>IFERROR(VLOOKUP($M10549,'Informations sur les produits'!$A$3:$H$10000,8,FALSE),"0")</f>
        <v>0</v>
      </c>
      <c r="P10549" s="33">
        <f t="shared" si="656"/>
        <v>0</v>
      </c>
      <c r="Q10549" s="31" t="str">
        <f t="shared" si="657"/>
        <v/>
      </c>
      <c r="R10549" s="32" t="str">
        <f>IFERROR(VLOOKUP($D10549,'Informations sur les produits'!$A$3:$B$15000,2,FALSE),"")</f>
        <v/>
      </c>
      <c r="V10549">
        <f t="shared" si="658"/>
        <v>0</v>
      </c>
      <c r="W10549">
        <f t="shared" si="659"/>
        <v>0</v>
      </c>
    </row>
    <row r="10550" spans="5:23" x14ac:dyDescent="0.25">
      <c r="E10550" s="4"/>
      <c r="F10550" s="4"/>
      <c r="G10550" s="33" t="str">
        <f>IFERROR(VLOOKUP($D10550,'Informations sur les produits'!$A$3:$H$10000,8,FALSE),"0")</f>
        <v>0</v>
      </c>
      <c r="K10550" s="4"/>
      <c r="L10550" s="33" t="str">
        <f>IFERROR(VLOOKUP($J10550,'Informations sur les produits'!$A$3:$H$10000,8,FALSE),"0")</f>
        <v>0</v>
      </c>
      <c r="N10550" s="8"/>
      <c r="O10550" s="33" t="str">
        <f>IFERROR(VLOOKUP($M10550,'Informations sur les produits'!$A$3:$H$10000,8,FALSE),"0")</f>
        <v>0</v>
      </c>
      <c r="P10550" s="33">
        <f t="shared" si="656"/>
        <v>0</v>
      </c>
      <c r="Q10550" s="31" t="str">
        <f t="shared" si="657"/>
        <v/>
      </c>
      <c r="R10550" s="32" t="str">
        <f>IFERROR(VLOOKUP($D10550,'Informations sur les produits'!$A$3:$B$15000,2,FALSE),"")</f>
        <v/>
      </c>
      <c r="V10550">
        <f t="shared" si="658"/>
        <v>0</v>
      </c>
      <c r="W10550">
        <f t="shared" si="659"/>
        <v>0</v>
      </c>
    </row>
    <row r="10551" spans="5:23" x14ac:dyDescent="0.25">
      <c r="E10551" s="4"/>
      <c r="F10551" s="4"/>
      <c r="G10551" s="33" t="str">
        <f>IFERROR(VLOOKUP($D10551,'Informations sur les produits'!$A$3:$H$10000,8,FALSE),"0")</f>
        <v>0</v>
      </c>
      <c r="K10551" s="4"/>
      <c r="L10551" s="33" t="str">
        <f>IFERROR(VLOOKUP($J10551,'Informations sur les produits'!$A$3:$H$10000,8,FALSE),"0")</f>
        <v>0</v>
      </c>
      <c r="N10551" s="8"/>
      <c r="O10551" s="33" t="str">
        <f>IFERROR(VLOOKUP($M10551,'Informations sur les produits'!$A$3:$H$10000,8,FALSE),"0")</f>
        <v>0</v>
      </c>
      <c r="P10551" s="33">
        <f t="shared" si="656"/>
        <v>0</v>
      </c>
      <c r="Q10551" s="31" t="str">
        <f t="shared" si="657"/>
        <v/>
      </c>
      <c r="R10551" s="32" t="str">
        <f>IFERROR(VLOOKUP($D10551,'Informations sur les produits'!$A$3:$B$15000,2,FALSE),"")</f>
        <v/>
      </c>
      <c r="V10551">
        <f t="shared" si="658"/>
        <v>0</v>
      </c>
      <c r="W10551">
        <f t="shared" si="659"/>
        <v>0</v>
      </c>
    </row>
    <row r="10552" spans="5:23" x14ac:dyDescent="0.25">
      <c r="E10552" s="4"/>
      <c r="F10552" s="4"/>
      <c r="G10552" s="33" t="str">
        <f>IFERROR(VLOOKUP($D10552,'Informations sur les produits'!$A$3:$H$10000,8,FALSE),"0")</f>
        <v>0</v>
      </c>
      <c r="K10552" s="4"/>
      <c r="L10552" s="33" t="str">
        <f>IFERROR(VLOOKUP($J10552,'Informations sur les produits'!$A$3:$H$10000,8,FALSE),"0")</f>
        <v>0</v>
      </c>
      <c r="N10552" s="8"/>
      <c r="O10552" s="33" t="str">
        <f>IFERROR(VLOOKUP($M10552,'Informations sur les produits'!$A$3:$H$10000,8,FALSE),"0")</f>
        <v>0</v>
      </c>
      <c r="P10552" s="33">
        <f t="shared" si="656"/>
        <v>0</v>
      </c>
      <c r="Q10552" s="31" t="str">
        <f t="shared" si="657"/>
        <v/>
      </c>
      <c r="R10552" s="32" t="str">
        <f>IFERROR(VLOOKUP($D10552,'Informations sur les produits'!$A$3:$B$15000,2,FALSE),"")</f>
        <v/>
      </c>
      <c r="V10552">
        <f t="shared" si="658"/>
        <v>0</v>
      </c>
      <c r="W10552">
        <f t="shared" si="659"/>
        <v>0</v>
      </c>
    </row>
    <row r="10553" spans="5:23" x14ac:dyDescent="0.25">
      <c r="E10553" s="4"/>
      <c r="F10553" s="4"/>
      <c r="G10553" s="33" t="str">
        <f>IFERROR(VLOOKUP($D10553,'Informations sur les produits'!$A$3:$H$10000,8,FALSE),"0")</f>
        <v>0</v>
      </c>
      <c r="K10553" s="4"/>
      <c r="L10553" s="33" t="str">
        <f>IFERROR(VLOOKUP($J10553,'Informations sur les produits'!$A$3:$H$10000,8,FALSE),"0")</f>
        <v>0</v>
      </c>
      <c r="N10553" s="8"/>
      <c r="O10553" s="33" t="str">
        <f>IFERROR(VLOOKUP($M10553,'Informations sur les produits'!$A$3:$H$10000,8,FALSE),"0")</f>
        <v>0</v>
      </c>
      <c r="P10553" s="33">
        <f t="shared" si="656"/>
        <v>0</v>
      </c>
      <c r="Q10553" s="31" t="str">
        <f t="shared" si="657"/>
        <v/>
      </c>
      <c r="R10553" s="32" t="str">
        <f>IFERROR(VLOOKUP($D10553,'Informations sur les produits'!$A$3:$B$15000,2,FALSE),"")</f>
        <v/>
      </c>
      <c r="V10553">
        <f t="shared" si="658"/>
        <v>0</v>
      </c>
      <c r="W10553">
        <f t="shared" si="659"/>
        <v>0</v>
      </c>
    </row>
    <row r="10554" spans="5:23" x14ac:dyDescent="0.25">
      <c r="E10554" s="4"/>
      <c r="F10554" s="4"/>
      <c r="G10554" s="33" t="str">
        <f>IFERROR(VLOOKUP($D10554,'Informations sur les produits'!$A$3:$H$10000,8,FALSE),"0")</f>
        <v>0</v>
      </c>
      <c r="K10554" s="4"/>
      <c r="L10554" s="33" t="str">
        <f>IFERROR(VLOOKUP($J10554,'Informations sur les produits'!$A$3:$H$10000,8,FALSE),"0")</f>
        <v>0</v>
      </c>
      <c r="N10554" s="8"/>
      <c r="O10554" s="33" t="str">
        <f>IFERROR(VLOOKUP($M10554,'Informations sur les produits'!$A$3:$H$10000,8,FALSE),"0")</f>
        <v>0</v>
      </c>
      <c r="P10554" s="33">
        <f t="shared" si="656"/>
        <v>0</v>
      </c>
      <c r="Q10554" s="31" t="str">
        <f t="shared" si="657"/>
        <v/>
      </c>
      <c r="R10554" s="32" t="str">
        <f>IFERROR(VLOOKUP($D10554,'Informations sur les produits'!$A$3:$B$15000,2,FALSE),"")</f>
        <v/>
      </c>
      <c r="V10554">
        <f t="shared" si="658"/>
        <v>0</v>
      </c>
      <c r="W10554">
        <f t="shared" si="659"/>
        <v>0</v>
      </c>
    </row>
    <row r="10555" spans="5:23" x14ac:dyDescent="0.25">
      <c r="E10555" s="4"/>
      <c r="F10555" s="4"/>
      <c r="G10555" s="33" t="str">
        <f>IFERROR(VLOOKUP($D10555,'Informations sur les produits'!$A$3:$H$10000,8,FALSE),"0")</f>
        <v>0</v>
      </c>
      <c r="K10555" s="4"/>
      <c r="L10555" s="33" t="str">
        <f>IFERROR(VLOOKUP($J10555,'Informations sur les produits'!$A$3:$H$10000,8,FALSE),"0")</f>
        <v>0</v>
      </c>
      <c r="N10555" s="8"/>
      <c r="O10555" s="33" t="str">
        <f>IFERROR(VLOOKUP($M10555,'Informations sur les produits'!$A$3:$H$10000,8,FALSE),"0")</f>
        <v>0</v>
      </c>
      <c r="P10555" s="33">
        <f t="shared" si="656"/>
        <v>0</v>
      </c>
      <c r="Q10555" s="31" t="str">
        <f t="shared" si="657"/>
        <v/>
      </c>
      <c r="R10555" s="32" t="str">
        <f>IFERROR(VLOOKUP($D10555,'Informations sur les produits'!$A$3:$B$15000,2,FALSE),"")</f>
        <v/>
      </c>
      <c r="V10555">
        <f t="shared" si="658"/>
        <v>0</v>
      </c>
      <c r="W10555">
        <f t="shared" si="659"/>
        <v>0</v>
      </c>
    </row>
    <row r="10556" spans="5:23" x14ac:dyDescent="0.25">
      <c r="E10556" s="4"/>
      <c r="F10556" s="4"/>
      <c r="G10556" s="33" t="str">
        <f>IFERROR(VLOOKUP($D10556,'Informations sur les produits'!$A$3:$H$10000,8,FALSE),"0")</f>
        <v>0</v>
      </c>
      <c r="K10556" s="4"/>
      <c r="L10556" s="33" t="str">
        <f>IFERROR(VLOOKUP($J10556,'Informations sur les produits'!$A$3:$H$10000,8,FALSE),"0")</f>
        <v>0</v>
      </c>
      <c r="N10556" s="8"/>
      <c r="O10556" s="33" t="str">
        <f>IFERROR(VLOOKUP($M10556,'Informations sur les produits'!$A$3:$H$10000,8,FALSE),"0")</f>
        <v>0</v>
      </c>
      <c r="P10556" s="33">
        <f t="shared" si="656"/>
        <v>0</v>
      </c>
      <c r="Q10556" s="31" t="str">
        <f t="shared" si="657"/>
        <v/>
      </c>
      <c r="R10556" s="32" t="str">
        <f>IFERROR(VLOOKUP($D10556,'Informations sur les produits'!$A$3:$B$15000,2,FALSE),"")</f>
        <v/>
      </c>
      <c r="V10556">
        <f t="shared" si="658"/>
        <v>0</v>
      </c>
      <c r="W10556">
        <f t="shared" si="659"/>
        <v>0</v>
      </c>
    </row>
    <row r="10557" spans="5:23" x14ac:dyDescent="0.25">
      <c r="E10557" s="4"/>
      <c r="F10557" s="4"/>
      <c r="G10557" s="33" t="str">
        <f>IFERROR(VLOOKUP($D10557,'Informations sur les produits'!$A$3:$H$10000,8,FALSE),"0")</f>
        <v>0</v>
      </c>
      <c r="K10557" s="4"/>
      <c r="L10557" s="33" t="str">
        <f>IFERROR(VLOOKUP($J10557,'Informations sur les produits'!$A$3:$H$10000,8,FALSE),"0")</f>
        <v>0</v>
      </c>
      <c r="N10557" s="8"/>
      <c r="O10557" s="33" t="str">
        <f>IFERROR(VLOOKUP($M10557,'Informations sur les produits'!$A$3:$H$10000,8,FALSE),"0")</f>
        <v>0</v>
      </c>
      <c r="P10557" s="33">
        <f t="shared" si="656"/>
        <v>0</v>
      </c>
      <c r="Q10557" s="31" t="str">
        <f t="shared" si="657"/>
        <v/>
      </c>
      <c r="R10557" s="32" t="str">
        <f>IFERROR(VLOOKUP($D10557,'Informations sur les produits'!$A$3:$B$15000,2,FALSE),"")</f>
        <v/>
      </c>
      <c r="V10557">
        <f t="shared" si="658"/>
        <v>0</v>
      </c>
      <c r="W10557">
        <f t="shared" si="659"/>
        <v>0</v>
      </c>
    </row>
    <row r="10558" spans="5:23" x14ac:dyDescent="0.25">
      <c r="E10558" s="4"/>
      <c r="F10558" s="4"/>
      <c r="G10558" s="33" t="str">
        <f>IFERROR(VLOOKUP($D10558,'Informations sur les produits'!$A$3:$H$10000,8,FALSE),"0")</f>
        <v>0</v>
      </c>
      <c r="K10558" s="4"/>
      <c r="L10558" s="33" t="str">
        <f>IFERROR(VLOOKUP($J10558,'Informations sur les produits'!$A$3:$H$10000,8,FALSE),"0")</f>
        <v>0</v>
      </c>
      <c r="N10558" s="8"/>
      <c r="O10558" s="33" t="str">
        <f>IFERROR(VLOOKUP($M10558,'Informations sur les produits'!$A$3:$H$10000,8,FALSE),"0")</f>
        <v>0</v>
      </c>
      <c r="P10558" s="33">
        <f t="shared" si="656"/>
        <v>0</v>
      </c>
      <c r="Q10558" s="31" t="str">
        <f t="shared" si="657"/>
        <v/>
      </c>
      <c r="R10558" s="32" t="str">
        <f>IFERROR(VLOOKUP($D10558,'Informations sur les produits'!$A$3:$B$15000,2,FALSE),"")</f>
        <v/>
      </c>
      <c r="V10558">
        <f t="shared" si="658"/>
        <v>0</v>
      </c>
      <c r="W10558">
        <f t="shared" si="659"/>
        <v>0</v>
      </c>
    </row>
    <row r="10559" spans="5:23" x14ac:dyDescent="0.25">
      <c r="E10559" s="4"/>
      <c r="F10559" s="4"/>
      <c r="G10559" s="33" t="str">
        <f>IFERROR(VLOOKUP($D10559,'Informations sur les produits'!$A$3:$H$10000,8,FALSE),"0")</f>
        <v>0</v>
      </c>
      <c r="K10559" s="4"/>
      <c r="L10559" s="33" t="str">
        <f>IFERROR(VLOOKUP($J10559,'Informations sur les produits'!$A$3:$H$10000,8,FALSE),"0")</f>
        <v>0</v>
      </c>
      <c r="N10559" s="8"/>
      <c r="O10559" s="33" t="str">
        <f>IFERROR(VLOOKUP($M10559,'Informations sur les produits'!$A$3:$H$10000,8,FALSE),"0")</f>
        <v>0</v>
      </c>
      <c r="P10559" s="33">
        <f t="shared" si="656"/>
        <v>0</v>
      </c>
      <c r="Q10559" s="31" t="str">
        <f t="shared" si="657"/>
        <v/>
      </c>
      <c r="R10559" s="32" t="str">
        <f>IFERROR(VLOOKUP($D10559,'Informations sur les produits'!$A$3:$B$15000,2,FALSE),"")</f>
        <v/>
      </c>
      <c r="V10559">
        <f t="shared" si="658"/>
        <v>0</v>
      </c>
      <c r="W10559">
        <f t="shared" si="659"/>
        <v>0</v>
      </c>
    </row>
    <row r="10560" spans="5:23" x14ac:dyDescent="0.25">
      <c r="E10560" s="4"/>
      <c r="F10560" s="4"/>
      <c r="G10560" s="33" t="str">
        <f>IFERROR(VLOOKUP($D10560,'Informations sur les produits'!$A$3:$H$10000,8,FALSE),"0")</f>
        <v>0</v>
      </c>
      <c r="K10560" s="4"/>
      <c r="L10560" s="33" t="str">
        <f>IFERROR(VLOOKUP($J10560,'Informations sur les produits'!$A$3:$H$10000,8,FALSE),"0")</f>
        <v>0</v>
      </c>
      <c r="N10560" s="8"/>
      <c r="O10560" s="33" t="str">
        <f>IFERROR(VLOOKUP($M10560,'Informations sur les produits'!$A$3:$H$10000,8,FALSE),"0")</f>
        <v>0</v>
      </c>
      <c r="P10560" s="33">
        <f t="shared" si="656"/>
        <v>0</v>
      </c>
      <c r="Q10560" s="31" t="str">
        <f t="shared" si="657"/>
        <v/>
      </c>
      <c r="R10560" s="32" t="str">
        <f>IFERROR(VLOOKUP($D10560,'Informations sur les produits'!$A$3:$B$15000,2,FALSE),"")</f>
        <v/>
      </c>
      <c r="V10560">
        <f t="shared" si="658"/>
        <v>0</v>
      </c>
      <c r="W10560">
        <f t="shared" si="659"/>
        <v>0</v>
      </c>
    </row>
    <row r="10561" spans="5:23" x14ac:dyDescent="0.25">
      <c r="E10561" s="4"/>
      <c r="F10561" s="4"/>
      <c r="G10561" s="33" t="str">
        <f>IFERROR(VLOOKUP($D10561,'Informations sur les produits'!$A$3:$H$10000,8,FALSE),"0")</f>
        <v>0</v>
      </c>
      <c r="K10561" s="4"/>
      <c r="L10561" s="33" t="str">
        <f>IFERROR(VLOOKUP($J10561,'Informations sur les produits'!$A$3:$H$10000,8,FALSE),"0")</f>
        <v>0</v>
      </c>
      <c r="N10561" s="8"/>
      <c r="O10561" s="33" t="str">
        <f>IFERROR(VLOOKUP($M10561,'Informations sur les produits'!$A$3:$H$10000,8,FALSE),"0")</f>
        <v>0</v>
      </c>
      <c r="P10561" s="33">
        <f t="shared" si="656"/>
        <v>0</v>
      </c>
      <c r="Q10561" s="31" t="str">
        <f t="shared" si="657"/>
        <v/>
      </c>
      <c r="R10561" s="32" t="str">
        <f>IFERROR(VLOOKUP($D10561,'Informations sur les produits'!$A$3:$B$15000,2,FALSE),"")</f>
        <v/>
      </c>
      <c r="V10561">
        <f t="shared" si="658"/>
        <v>0</v>
      </c>
      <c r="W10561">
        <f t="shared" si="659"/>
        <v>0</v>
      </c>
    </row>
    <row r="10562" spans="5:23" x14ac:dyDescent="0.25">
      <c r="E10562" s="4"/>
      <c r="F10562" s="4"/>
      <c r="G10562" s="33" t="str">
        <f>IFERROR(VLOOKUP($D10562,'Informations sur les produits'!$A$3:$H$10000,8,FALSE),"0")</f>
        <v>0</v>
      </c>
      <c r="K10562" s="4"/>
      <c r="L10562" s="33" t="str">
        <f>IFERROR(VLOOKUP($J10562,'Informations sur les produits'!$A$3:$H$10000,8,FALSE),"0")</f>
        <v>0</v>
      </c>
      <c r="N10562" s="8"/>
      <c r="O10562" s="33" t="str">
        <f>IFERROR(VLOOKUP($M10562,'Informations sur les produits'!$A$3:$H$10000,8,FALSE),"0")</f>
        <v>0</v>
      </c>
      <c r="P10562" s="33">
        <f t="shared" si="656"/>
        <v>0</v>
      </c>
      <c r="Q10562" s="31" t="str">
        <f t="shared" si="657"/>
        <v/>
      </c>
      <c r="R10562" s="32" t="str">
        <f>IFERROR(VLOOKUP($D10562,'Informations sur les produits'!$A$3:$B$15000,2,FALSE),"")</f>
        <v/>
      </c>
      <c r="V10562">
        <f t="shared" si="658"/>
        <v>0</v>
      </c>
      <c r="W10562">
        <f t="shared" si="659"/>
        <v>0</v>
      </c>
    </row>
    <row r="10563" spans="5:23" x14ac:dyDescent="0.25">
      <c r="E10563" s="4"/>
      <c r="F10563" s="4"/>
      <c r="G10563" s="33" t="str">
        <f>IFERROR(VLOOKUP($D10563,'Informations sur les produits'!$A$3:$H$10000,8,FALSE),"0")</f>
        <v>0</v>
      </c>
      <c r="K10563" s="4"/>
      <c r="L10563" s="33" t="str">
        <f>IFERROR(VLOOKUP($J10563,'Informations sur les produits'!$A$3:$H$10000,8,FALSE),"0")</f>
        <v>0</v>
      </c>
      <c r="N10563" s="8"/>
      <c r="O10563" s="33" t="str">
        <f>IFERROR(VLOOKUP($M10563,'Informations sur les produits'!$A$3:$H$10000,8,FALSE),"0")</f>
        <v>0</v>
      </c>
      <c r="P10563" s="33">
        <f t="shared" si="656"/>
        <v>0</v>
      </c>
      <c r="Q10563" s="31" t="str">
        <f t="shared" si="657"/>
        <v/>
      </c>
      <c r="R10563" s="32" t="str">
        <f>IFERROR(VLOOKUP($D10563,'Informations sur les produits'!$A$3:$B$15000,2,FALSE),"")</f>
        <v/>
      </c>
      <c r="V10563">
        <f t="shared" si="658"/>
        <v>0</v>
      </c>
      <c r="W10563">
        <f t="shared" si="659"/>
        <v>0</v>
      </c>
    </row>
    <row r="10564" spans="5:23" x14ac:dyDescent="0.25">
      <c r="E10564" s="4"/>
      <c r="F10564" s="4"/>
      <c r="G10564" s="33" t="str">
        <f>IFERROR(VLOOKUP($D10564,'Informations sur les produits'!$A$3:$H$10000,8,FALSE),"0")</f>
        <v>0</v>
      </c>
      <c r="K10564" s="4"/>
      <c r="L10564" s="33" t="str">
        <f>IFERROR(VLOOKUP($J10564,'Informations sur les produits'!$A$3:$H$10000,8,FALSE),"0")</f>
        <v>0</v>
      </c>
      <c r="N10564" s="8"/>
      <c r="O10564" s="33" t="str">
        <f>IFERROR(VLOOKUP($M10564,'Informations sur les produits'!$A$3:$H$10000,8,FALSE),"0")</f>
        <v>0</v>
      </c>
      <c r="P10564" s="33">
        <f t="shared" ref="P10564:P10627" si="660">IFERROR((($E10564-$F10564)*$G10564+$K10564*$L10564+$N10564*$O10564),"")</f>
        <v>0</v>
      </c>
      <c r="Q10564" s="31" t="str">
        <f t="shared" ref="Q10564:Q10627" si="661">IFERROR((((($E10564-$F10564)*$G10564+$K10564*$L10564+$N10564*$O10564)*1000)/(($E10564-$F10564)+$K10564+$N10564)),"")</f>
        <v/>
      </c>
      <c r="R10564" s="32" t="str">
        <f>IFERROR(VLOOKUP($D10564,'Informations sur les produits'!$A$3:$B$15000,2,FALSE),"")</f>
        <v/>
      </c>
      <c r="V10564">
        <f t="shared" ref="V10564:V10627" si="662">IFERROR(P10564*1000,"")</f>
        <v>0</v>
      </c>
      <c r="W10564">
        <f t="shared" ref="W10564:W10627" si="663">IFERROR(($E10564-$F10564)+$K10564+$N10564,"")</f>
        <v>0</v>
      </c>
    </row>
    <row r="10565" spans="5:23" x14ac:dyDescent="0.25">
      <c r="E10565" s="4"/>
      <c r="F10565" s="4"/>
      <c r="G10565" s="33" t="str">
        <f>IFERROR(VLOOKUP($D10565,'Informations sur les produits'!$A$3:$H$10000,8,FALSE),"0")</f>
        <v>0</v>
      </c>
      <c r="K10565" s="4"/>
      <c r="L10565" s="33" t="str">
        <f>IFERROR(VLOOKUP($J10565,'Informations sur les produits'!$A$3:$H$10000,8,FALSE),"0")</f>
        <v>0</v>
      </c>
      <c r="N10565" s="8"/>
      <c r="O10565" s="33" t="str">
        <f>IFERROR(VLOOKUP($M10565,'Informations sur les produits'!$A$3:$H$10000,8,FALSE),"0")</f>
        <v>0</v>
      </c>
      <c r="P10565" s="33">
        <f t="shared" si="660"/>
        <v>0</v>
      </c>
      <c r="Q10565" s="31" t="str">
        <f t="shared" si="661"/>
        <v/>
      </c>
      <c r="R10565" s="32" t="str">
        <f>IFERROR(VLOOKUP($D10565,'Informations sur les produits'!$A$3:$B$15000,2,FALSE),"")</f>
        <v/>
      </c>
      <c r="V10565">
        <f t="shared" si="662"/>
        <v>0</v>
      </c>
      <c r="W10565">
        <f t="shared" si="663"/>
        <v>0</v>
      </c>
    </row>
    <row r="10566" spans="5:23" x14ac:dyDescent="0.25">
      <c r="E10566" s="4"/>
      <c r="F10566" s="4"/>
      <c r="G10566" s="33" t="str">
        <f>IFERROR(VLOOKUP($D10566,'Informations sur les produits'!$A$3:$H$10000,8,FALSE),"0")</f>
        <v>0</v>
      </c>
      <c r="K10566" s="4"/>
      <c r="L10566" s="33" t="str">
        <f>IFERROR(VLOOKUP($J10566,'Informations sur les produits'!$A$3:$H$10000,8,FALSE),"0")</f>
        <v>0</v>
      </c>
      <c r="N10566" s="8"/>
      <c r="O10566" s="33" t="str">
        <f>IFERROR(VLOOKUP($M10566,'Informations sur les produits'!$A$3:$H$10000,8,FALSE),"0")</f>
        <v>0</v>
      </c>
      <c r="P10566" s="33">
        <f t="shared" si="660"/>
        <v>0</v>
      </c>
      <c r="Q10566" s="31" t="str">
        <f t="shared" si="661"/>
        <v/>
      </c>
      <c r="R10566" s="32" t="str">
        <f>IFERROR(VLOOKUP($D10566,'Informations sur les produits'!$A$3:$B$15000,2,FALSE),"")</f>
        <v/>
      </c>
      <c r="V10566">
        <f t="shared" si="662"/>
        <v>0</v>
      </c>
      <c r="W10566">
        <f t="shared" si="663"/>
        <v>0</v>
      </c>
    </row>
    <row r="10567" spans="5:23" x14ac:dyDescent="0.25">
      <c r="E10567" s="4"/>
      <c r="F10567" s="4"/>
      <c r="G10567" s="33" t="str">
        <f>IFERROR(VLOOKUP($D10567,'Informations sur les produits'!$A$3:$H$10000,8,FALSE),"0")</f>
        <v>0</v>
      </c>
      <c r="K10567" s="4"/>
      <c r="L10567" s="33" t="str">
        <f>IFERROR(VLOOKUP($J10567,'Informations sur les produits'!$A$3:$H$10000,8,FALSE),"0")</f>
        <v>0</v>
      </c>
      <c r="N10567" s="8"/>
      <c r="O10567" s="33" t="str">
        <f>IFERROR(VLOOKUP($M10567,'Informations sur les produits'!$A$3:$H$10000,8,FALSE),"0")</f>
        <v>0</v>
      </c>
      <c r="P10567" s="33">
        <f t="shared" si="660"/>
        <v>0</v>
      </c>
      <c r="Q10567" s="31" t="str">
        <f t="shared" si="661"/>
        <v/>
      </c>
      <c r="R10567" s="32" t="str">
        <f>IFERROR(VLOOKUP($D10567,'Informations sur les produits'!$A$3:$B$15000,2,FALSE),"")</f>
        <v/>
      </c>
      <c r="V10567">
        <f t="shared" si="662"/>
        <v>0</v>
      </c>
      <c r="W10567">
        <f t="shared" si="663"/>
        <v>0</v>
      </c>
    </row>
    <row r="10568" spans="5:23" x14ac:dyDescent="0.25">
      <c r="E10568" s="4"/>
      <c r="F10568" s="4"/>
      <c r="G10568" s="33" t="str">
        <f>IFERROR(VLOOKUP($D10568,'Informations sur les produits'!$A$3:$H$10000,8,FALSE),"0")</f>
        <v>0</v>
      </c>
      <c r="K10568" s="4"/>
      <c r="L10568" s="33" t="str">
        <f>IFERROR(VLOOKUP($J10568,'Informations sur les produits'!$A$3:$H$10000,8,FALSE),"0")</f>
        <v>0</v>
      </c>
      <c r="N10568" s="8"/>
      <c r="O10568" s="33" t="str">
        <f>IFERROR(VLOOKUP($M10568,'Informations sur les produits'!$A$3:$H$10000,8,FALSE),"0")</f>
        <v>0</v>
      </c>
      <c r="P10568" s="33">
        <f t="shared" si="660"/>
        <v>0</v>
      </c>
      <c r="Q10568" s="31" t="str">
        <f t="shared" si="661"/>
        <v/>
      </c>
      <c r="R10568" s="32" t="str">
        <f>IFERROR(VLOOKUP($D10568,'Informations sur les produits'!$A$3:$B$15000,2,FALSE),"")</f>
        <v/>
      </c>
      <c r="V10568">
        <f t="shared" si="662"/>
        <v>0</v>
      </c>
      <c r="W10568">
        <f t="shared" si="663"/>
        <v>0</v>
      </c>
    </row>
    <row r="10569" spans="5:23" x14ac:dyDescent="0.25">
      <c r="E10569" s="4"/>
      <c r="F10569" s="4"/>
      <c r="G10569" s="33" t="str">
        <f>IFERROR(VLOOKUP($D10569,'Informations sur les produits'!$A$3:$H$10000,8,FALSE),"0")</f>
        <v>0</v>
      </c>
      <c r="K10569" s="4"/>
      <c r="L10569" s="33" t="str">
        <f>IFERROR(VLOOKUP($J10569,'Informations sur les produits'!$A$3:$H$10000,8,FALSE),"0")</f>
        <v>0</v>
      </c>
      <c r="N10569" s="8"/>
      <c r="O10569" s="33" t="str">
        <f>IFERROR(VLOOKUP($M10569,'Informations sur les produits'!$A$3:$H$10000,8,FALSE),"0")</f>
        <v>0</v>
      </c>
      <c r="P10569" s="33">
        <f t="shared" si="660"/>
        <v>0</v>
      </c>
      <c r="Q10569" s="31" t="str">
        <f t="shared" si="661"/>
        <v/>
      </c>
      <c r="R10569" s="32" t="str">
        <f>IFERROR(VLOOKUP($D10569,'Informations sur les produits'!$A$3:$B$15000,2,FALSE),"")</f>
        <v/>
      </c>
      <c r="V10569">
        <f t="shared" si="662"/>
        <v>0</v>
      </c>
      <c r="W10569">
        <f t="shared" si="663"/>
        <v>0</v>
      </c>
    </row>
    <row r="10570" spans="5:23" x14ac:dyDescent="0.25">
      <c r="E10570" s="4"/>
      <c r="F10570" s="4"/>
      <c r="G10570" s="33" t="str">
        <f>IFERROR(VLOOKUP($D10570,'Informations sur les produits'!$A$3:$H$10000,8,FALSE),"0")</f>
        <v>0</v>
      </c>
      <c r="K10570" s="4"/>
      <c r="L10570" s="33" t="str">
        <f>IFERROR(VLOOKUP($J10570,'Informations sur les produits'!$A$3:$H$10000,8,FALSE),"0")</f>
        <v>0</v>
      </c>
      <c r="N10570" s="8"/>
      <c r="O10570" s="33" t="str">
        <f>IFERROR(VLOOKUP($M10570,'Informations sur les produits'!$A$3:$H$10000,8,FALSE),"0")</f>
        <v>0</v>
      </c>
      <c r="P10570" s="33">
        <f t="shared" si="660"/>
        <v>0</v>
      </c>
      <c r="Q10570" s="31" t="str">
        <f t="shared" si="661"/>
        <v/>
      </c>
      <c r="R10570" s="32" t="str">
        <f>IFERROR(VLOOKUP($D10570,'Informations sur les produits'!$A$3:$B$15000,2,FALSE),"")</f>
        <v/>
      </c>
      <c r="V10570">
        <f t="shared" si="662"/>
        <v>0</v>
      </c>
      <c r="W10570">
        <f t="shared" si="663"/>
        <v>0</v>
      </c>
    </row>
    <row r="10571" spans="5:23" x14ac:dyDescent="0.25">
      <c r="E10571" s="4"/>
      <c r="F10571" s="4"/>
      <c r="G10571" s="33" t="str">
        <f>IFERROR(VLOOKUP($D10571,'Informations sur les produits'!$A$3:$H$10000,8,FALSE),"0")</f>
        <v>0</v>
      </c>
      <c r="K10571" s="4"/>
      <c r="L10571" s="33" t="str">
        <f>IFERROR(VLOOKUP($J10571,'Informations sur les produits'!$A$3:$H$10000,8,FALSE),"0")</f>
        <v>0</v>
      </c>
      <c r="N10571" s="8"/>
      <c r="O10571" s="33" t="str">
        <f>IFERROR(VLOOKUP($M10571,'Informations sur les produits'!$A$3:$H$10000,8,FALSE),"0")</f>
        <v>0</v>
      </c>
      <c r="P10571" s="33">
        <f t="shared" si="660"/>
        <v>0</v>
      </c>
      <c r="Q10571" s="31" t="str">
        <f t="shared" si="661"/>
        <v/>
      </c>
      <c r="R10571" s="32" t="str">
        <f>IFERROR(VLOOKUP($D10571,'Informations sur les produits'!$A$3:$B$15000,2,FALSE),"")</f>
        <v/>
      </c>
      <c r="V10571">
        <f t="shared" si="662"/>
        <v>0</v>
      </c>
      <c r="W10571">
        <f t="shared" si="663"/>
        <v>0</v>
      </c>
    </row>
    <row r="10572" spans="5:23" x14ac:dyDescent="0.25">
      <c r="E10572" s="4"/>
      <c r="F10572" s="4"/>
      <c r="G10572" s="33" t="str">
        <f>IFERROR(VLOOKUP($D10572,'Informations sur les produits'!$A$3:$H$10000,8,FALSE),"0")</f>
        <v>0</v>
      </c>
      <c r="K10572" s="4"/>
      <c r="L10572" s="33" t="str">
        <f>IFERROR(VLOOKUP($J10572,'Informations sur les produits'!$A$3:$H$10000,8,FALSE),"0")</f>
        <v>0</v>
      </c>
      <c r="N10572" s="8"/>
      <c r="O10572" s="33" t="str">
        <f>IFERROR(VLOOKUP($M10572,'Informations sur les produits'!$A$3:$H$10000,8,FALSE),"0")</f>
        <v>0</v>
      </c>
      <c r="P10572" s="33">
        <f t="shared" si="660"/>
        <v>0</v>
      </c>
      <c r="Q10572" s="31" t="str">
        <f t="shared" si="661"/>
        <v/>
      </c>
      <c r="R10572" s="32" t="str">
        <f>IFERROR(VLOOKUP($D10572,'Informations sur les produits'!$A$3:$B$15000,2,FALSE),"")</f>
        <v/>
      </c>
      <c r="V10572">
        <f t="shared" si="662"/>
        <v>0</v>
      </c>
      <c r="W10572">
        <f t="shared" si="663"/>
        <v>0</v>
      </c>
    </row>
    <row r="10573" spans="5:23" x14ac:dyDescent="0.25">
      <c r="E10573" s="4"/>
      <c r="F10573" s="4"/>
      <c r="G10573" s="33" t="str">
        <f>IFERROR(VLOOKUP($D10573,'Informations sur les produits'!$A$3:$H$10000,8,FALSE),"0")</f>
        <v>0</v>
      </c>
      <c r="K10573" s="4"/>
      <c r="L10573" s="33" t="str">
        <f>IFERROR(VLOOKUP($J10573,'Informations sur les produits'!$A$3:$H$10000,8,FALSE),"0")</f>
        <v>0</v>
      </c>
      <c r="N10573" s="8"/>
      <c r="O10573" s="33" t="str">
        <f>IFERROR(VLOOKUP($M10573,'Informations sur les produits'!$A$3:$H$10000,8,FALSE),"0")</f>
        <v>0</v>
      </c>
      <c r="P10573" s="33">
        <f t="shared" si="660"/>
        <v>0</v>
      </c>
      <c r="Q10573" s="31" t="str">
        <f t="shared" si="661"/>
        <v/>
      </c>
      <c r="R10573" s="32" t="str">
        <f>IFERROR(VLOOKUP($D10573,'Informations sur les produits'!$A$3:$B$15000,2,FALSE),"")</f>
        <v/>
      </c>
      <c r="V10573">
        <f t="shared" si="662"/>
        <v>0</v>
      </c>
      <c r="W10573">
        <f t="shared" si="663"/>
        <v>0</v>
      </c>
    </row>
    <row r="10574" spans="5:23" x14ac:dyDescent="0.25">
      <c r="E10574" s="4"/>
      <c r="F10574" s="4"/>
      <c r="G10574" s="33" t="str">
        <f>IFERROR(VLOOKUP($D10574,'Informations sur les produits'!$A$3:$H$10000,8,FALSE),"0")</f>
        <v>0</v>
      </c>
      <c r="K10574" s="4"/>
      <c r="L10574" s="33" t="str">
        <f>IFERROR(VLOOKUP($J10574,'Informations sur les produits'!$A$3:$H$10000,8,FALSE),"0")</f>
        <v>0</v>
      </c>
      <c r="N10574" s="8"/>
      <c r="O10574" s="33" t="str">
        <f>IFERROR(VLOOKUP($M10574,'Informations sur les produits'!$A$3:$H$10000,8,FALSE),"0")</f>
        <v>0</v>
      </c>
      <c r="P10574" s="33">
        <f t="shared" si="660"/>
        <v>0</v>
      </c>
      <c r="Q10574" s="31" t="str">
        <f t="shared" si="661"/>
        <v/>
      </c>
      <c r="R10574" s="32" t="str">
        <f>IFERROR(VLOOKUP($D10574,'Informations sur les produits'!$A$3:$B$15000,2,FALSE),"")</f>
        <v/>
      </c>
      <c r="V10574">
        <f t="shared" si="662"/>
        <v>0</v>
      </c>
      <c r="W10574">
        <f t="shared" si="663"/>
        <v>0</v>
      </c>
    </row>
    <row r="10575" spans="5:23" x14ac:dyDescent="0.25">
      <c r="E10575" s="4"/>
      <c r="F10575" s="4"/>
      <c r="G10575" s="33" t="str">
        <f>IFERROR(VLOOKUP($D10575,'Informations sur les produits'!$A$3:$H$10000,8,FALSE),"0")</f>
        <v>0</v>
      </c>
      <c r="K10575" s="4"/>
      <c r="L10575" s="33" t="str">
        <f>IFERROR(VLOOKUP($J10575,'Informations sur les produits'!$A$3:$H$10000,8,FALSE),"0")</f>
        <v>0</v>
      </c>
      <c r="N10575" s="8"/>
      <c r="O10575" s="33" t="str">
        <f>IFERROR(VLOOKUP($M10575,'Informations sur les produits'!$A$3:$H$10000,8,FALSE),"0")</f>
        <v>0</v>
      </c>
      <c r="P10575" s="33">
        <f t="shared" si="660"/>
        <v>0</v>
      </c>
      <c r="Q10575" s="31" t="str">
        <f t="shared" si="661"/>
        <v/>
      </c>
      <c r="R10575" s="32" t="str">
        <f>IFERROR(VLOOKUP($D10575,'Informations sur les produits'!$A$3:$B$15000,2,FALSE),"")</f>
        <v/>
      </c>
      <c r="V10575">
        <f t="shared" si="662"/>
        <v>0</v>
      </c>
      <c r="W10575">
        <f t="shared" si="663"/>
        <v>0</v>
      </c>
    </row>
    <row r="10576" spans="5:23" x14ac:dyDescent="0.25">
      <c r="E10576" s="4"/>
      <c r="F10576" s="4"/>
      <c r="G10576" s="33" t="str">
        <f>IFERROR(VLOOKUP($D10576,'Informations sur les produits'!$A$3:$H$10000,8,FALSE),"0")</f>
        <v>0</v>
      </c>
      <c r="K10576" s="4"/>
      <c r="L10576" s="33" t="str">
        <f>IFERROR(VLOOKUP($J10576,'Informations sur les produits'!$A$3:$H$10000,8,FALSE),"0")</f>
        <v>0</v>
      </c>
      <c r="N10576" s="8"/>
      <c r="O10576" s="33" t="str">
        <f>IFERROR(VLOOKUP($M10576,'Informations sur les produits'!$A$3:$H$10000,8,FALSE),"0")</f>
        <v>0</v>
      </c>
      <c r="P10576" s="33">
        <f t="shared" si="660"/>
        <v>0</v>
      </c>
      <c r="Q10576" s="31" t="str">
        <f t="shared" si="661"/>
        <v/>
      </c>
      <c r="R10576" s="32" t="str">
        <f>IFERROR(VLOOKUP($D10576,'Informations sur les produits'!$A$3:$B$15000,2,FALSE),"")</f>
        <v/>
      </c>
      <c r="V10576">
        <f t="shared" si="662"/>
        <v>0</v>
      </c>
      <c r="W10576">
        <f t="shared" si="663"/>
        <v>0</v>
      </c>
    </row>
    <row r="10577" spans="5:23" x14ac:dyDescent="0.25">
      <c r="E10577" s="4"/>
      <c r="F10577" s="4"/>
      <c r="G10577" s="33" t="str">
        <f>IFERROR(VLOOKUP($D10577,'Informations sur les produits'!$A$3:$H$10000,8,FALSE),"0")</f>
        <v>0</v>
      </c>
      <c r="K10577" s="4"/>
      <c r="L10577" s="33" t="str">
        <f>IFERROR(VLOOKUP($J10577,'Informations sur les produits'!$A$3:$H$10000,8,FALSE),"0")</f>
        <v>0</v>
      </c>
      <c r="N10577" s="8"/>
      <c r="O10577" s="33" t="str">
        <f>IFERROR(VLOOKUP($M10577,'Informations sur les produits'!$A$3:$H$10000,8,FALSE),"0")</f>
        <v>0</v>
      </c>
      <c r="P10577" s="33">
        <f t="shared" si="660"/>
        <v>0</v>
      </c>
      <c r="Q10577" s="31" t="str">
        <f t="shared" si="661"/>
        <v/>
      </c>
      <c r="R10577" s="32" t="str">
        <f>IFERROR(VLOOKUP($D10577,'Informations sur les produits'!$A$3:$B$15000,2,FALSE),"")</f>
        <v/>
      </c>
      <c r="V10577">
        <f t="shared" si="662"/>
        <v>0</v>
      </c>
      <c r="W10577">
        <f t="shared" si="663"/>
        <v>0</v>
      </c>
    </row>
    <row r="10578" spans="5:23" x14ac:dyDescent="0.25">
      <c r="E10578" s="4"/>
      <c r="F10578" s="4"/>
      <c r="G10578" s="33" t="str">
        <f>IFERROR(VLOOKUP($D10578,'Informations sur les produits'!$A$3:$H$10000,8,FALSE),"0")</f>
        <v>0</v>
      </c>
      <c r="K10578" s="4"/>
      <c r="L10578" s="33" t="str">
        <f>IFERROR(VLOOKUP($J10578,'Informations sur les produits'!$A$3:$H$10000,8,FALSE),"0")</f>
        <v>0</v>
      </c>
      <c r="N10578" s="8"/>
      <c r="O10578" s="33" t="str">
        <f>IFERROR(VLOOKUP($M10578,'Informations sur les produits'!$A$3:$H$10000,8,FALSE),"0")</f>
        <v>0</v>
      </c>
      <c r="P10578" s="33">
        <f t="shared" si="660"/>
        <v>0</v>
      </c>
      <c r="Q10578" s="31" t="str">
        <f t="shared" si="661"/>
        <v/>
      </c>
      <c r="R10578" s="32" t="str">
        <f>IFERROR(VLOOKUP($D10578,'Informations sur les produits'!$A$3:$B$15000,2,FALSE),"")</f>
        <v/>
      </c>
      <c r="V10578">
        <f t="shared" si="662"/>
        <v>0</v>
      </c>
      <c r="W10578">
        <f t="shared" si="663"/>
        <v>0</v>
      </c>
    </row>
    <row r="10579" spans="5:23" x14ac:dyDescent="0.25">
      <c r="E10579" s="4"/>
      <c r="F10579" s="4"/>
      <c r="G10579" s="33" t="str">
        <f>IFERROR(VLOOKUP($D10579,'Informations sur les produits'!$A$3:$H$10000,8,FALSE),"0")</f>
        <v>0</v>
      </c>
      <c r="K10579" s="4"/>
      <c r="L10579" s="33" t="str">
        <f>IFERROR(VLOOKUP($J10579,'Informations sur les produits'!$A$3:$H$10000,8,FALSE),"0")</f>
        <v>0</v>
      </c>
      <c r="N10579" s="8"/>
      <c r="O10579" s="33" t="str">
        <f>IFERROR(VLOOKUP($M10579,'Informations sur les produits'!$A$3:$H$10000,8,FALSE),"0")</f>
        <v>0</v>
      </c>
      <c r="P10579" s="33">
        <f t="shared" si="660"/>
        <v>0</v>
      </c>
      <c r="Q10579" s="31" t="str">
        <f t="shared" si="661"/>
        <v/>
      </c>
      <c r="R10579" s="32" t="str">
        <f>IFERROR(VLOOKUP($D10579,'Informations sur les produits'!$A$3:$B$15000,2,FALSE),"")</f>
        <v/>
      </c>
      <c r="V10579">
        <f t="shared" si="662"/>
        <v>0</v>
      </c>
      <c r="W10579">
        <f t="shared" si="663"/>
        <v>0</v>
      </c>
    </row>
    <row r="10580" spans="5:23" x14ac:dyDescent="0.25">
      <c r="E10580" s="4"/>
      <c r="F10580" s="4"/>
      <c r="G10580" s="33" t="str">
        <f>IFERROR(VLOOKUP($D10580,'Informations sur les produits'!$A$3:$H$10000,8,FALSE),"0")</f>
        <v>0</v>
      </c>
      <c r="K10580" s="4"/>
      <c r="L10580" s="33" t="str">
        <f>IFERROR(VLOOKUP($J10580,'Informations sur les produits'!$A$3:$H$10000,8,FALSE),"0")</f>
        <v>0</v>
      </c>
      <c r="N10580" s="8"/>
      <c r="O10580" s="33" t="str">
        <f>IFERROR(VLOOKUP($M10580,'Informations sur les produits'!$A$3:$H$10000,8,FALSE),"0")</f>
        <v>0</v>
      </c>
      <c r="P10580" s="33">
        <f t="shared" si="660"/>
        <v>0</v>
      </c>
      <c r="Q10580" s="31" t="str">
        <f t="shared" si="661"/>
        <v/>
      </c>
      <c r="R10580" s="32" t="str">
        <f>IFERROR(VLOOKUP($D10580,'Informations sur les produits'!$A$3:$B$15000,2,FALSE),"")</f>
        <v/>
      </c>
      <c r="V10580">
        <f t="shared" si="662"/>
        <v>0</v>
      </c>
      <c r="W10580">
        <f t="shared" si="663"/>
        <v>0</v>
      </c>
    </row>
    <row r="10581" spans="5:23" x14ac:dyDescent="0.25">
      <c r="E10581" s="4"/>
      <c r="F10581" s="4"/>
      <c r="G10581" s="33" t="str">
        <f>IFERROR(VLOOKUP($D10581,'Informations sur les produits'!$A$3:$H$10000,8,FALSE),"0")</f>
        <v>0</v>
      </c>
      <c r="K10581" s="4"/>
      <c r="L10581" s="33" t="str">
        <f>IFERROR(VLOOKUP($J10581,'Informations sur les produits'!$A$3:$H$10000,8,FALSE),"0")</f>
        <v>0</v>
      </c>
      <c r="N10581" s="8"/>
      <c r="O10581" s="33" t="str">
        <f>IFERROR(VLOOKUP($M10581,'Informations sur les produits'!$A$3:$H$10000,8,FALSE),"0")</f>
        <v>0</v>
      </c>
      <c r="P10581" s="33">
        <f t="shared" si="660"/>
        <v>0</v>
      </c>
      <c r="Q10581" s="31" t="str">
        <f t="shared" si="661"/>
        <v/>
      </c>
      <c r="R10581" s="32" t="str">
        <f>IFERROR(VLOOKUP($D10581,'Informations sur les produits'!$A$3:$B$15000,2,FALSE),"")</f>
        <v/>
      </c>
      <c r="V10581">
        <f t="shared" si="662"/>
        <v>0</v>
      </c>
      <c r="W10581">
        <f t="shared" si="663"/>
        <v>0</v>
      </c>
    </row>
    <row r="10582" spans="5:23" x14ac:dyDescent="0.25">
      <c r="E10582" s="4"/>
      <c r="F10582" s="4"/>
      <c r="G10582" s="33" t="str">
        <f>IFERROR(VLOOKUP($D10582,'Informations sur les produits'!$A$3:$H$10000,8,FALSE),"0")</f>
        <v>0</v>
      </c>
      <c r="K10582" s="4"/>
      <c r="L10582" s="33" t="str">
        <f>IFERROR(VLOOKUP($J10582,'Informations sur les produits'!$A$3:$H$10000,8,FALSE),"0")</f>
        <v>0</v>
      </c>
      <c r="N10582" s="8"/>
      <c r="O10582" s="33" t="str">
        <f>IFERROR(VLOOKUP($M10582,'Informations sur les produits'!$A$3:$H$10000,8,FALSE),"0")</f>
        <v>0</v>
      </c>
      <c r="P10582" s="33">
        <f t="shared" si="660"/>
        <v>0</v>
      </c>
      <c r="Q10582" s="31" t="str">
        <f t="shared" si="661"/>
        <v/>
      </c>
      <c r="R10582" s="32" t="str">
        <f>IFERROR(VLOOKUP($D10582,'Informations sur les produits'!$A$3:$B$15000,2,FALSE),"")</f>
        <v/>
      </c>
      <c r="V10582">
        <f t="shared" si="662"/>
        <v>0</v>
      </c>
      <c r="W10582">
        <f t="shared" si="663"/>
        <v>0</v>
      </c>
    </row>
    <row r="10583" spans="5:23" x14ac:dyDescent="0.25">
      <c r="E10583" s="4"/>
      <c r="F10583" s="4"/>
      <c r="G10583" s="33" t="str">
        <f>IFERROR(VLOOKUP($D10583,'Informations sur les produits'!$A$3:$H$10000,8,FALSE),"0")</f>
        <v>0</v>
      </c>
      <c r="K10583" s="4"/>
      <c r="L10583" s="33" t="str">
        <f>IFERROR(VLOOKUP($J10583,'Informations sur les produits'!$A$3:$H$10000,8,FALSE),"0")</f>
        <v>0</v>
      </c>
      <c r="N10583" s="8"/>
      <c r="O10583" s="33" t="str">
        <f>IFERROR(VLOOKUP($M10583,'Informations sur les produits'!$A$3:$H$10000,8,FALSE),"0")</f>
        <v>0</v>
      </c>
      <c r="P10583" s="33">
        <f t="shared" si="660"/>
        <v>0</v>
      </c>
      <c r="Q10583" s="31" t="str">
        <f t="shared" si="661"/>
        <v/>
      </c>
      <c r="R10583" s="32" t="str">
        <f>IFERROR(VLOOKUP($D10583,'Informations sur les produits'!$A$3:$B$15000,2,FALSE),"")</f>
        <v/>
      </c>
      <c r="V10583">
        <f t="shared" si="662"/>
        <v>0</v>
      </c>
      <c r="W10583">
        <f t="shared" si="663"/>
        <v>0</v>
      </c>
    </row>
    <row r="10584" spans="5:23" x14ac:dyDescent="0.25">
      <c r="E10584" s="4"/>
      <c r="F10584" s="4"/>
      <c r="G10584" s="33" t="str">
        <f>IFERROR(VLOOKUP($D10584,'Informations sur les produits'!$A$3:$H$10000,8,FALSE),"0")</f>
        <v>0</v>
      </c>
      <c r="K10584" s="4"/>
      <c r="L10584" s="33" t="str">
        <f>IFERROR(VLOOKUP($J10584,'Informations sur les produits'!$A$3:$H$10000,8,FALSE),"0")</f>
        <v>0</v>
      </c>
      <c r="N10584" s="8"/>
      <c r="O10584" s="33" t="str">
        <f>IFERROR(VLOOKUP($M10584,'Informations sur les produits'!$A$3:$H$10000,8,FALSE),"0")</f>
        <v>0</v>
      </c>
      <c r="P10584" s="33">
        <f t="shared" si="660"/>
        <v>0</v>
      </c>
      <c r="Q10584" s="31" t="str">
        <f t="shared" si="661"/>
        <v/>
      </c>
      <c r="R10584" s="32" t="str">
        <f>IFERROR(VLOOKUP($D10584,'Informations sur les produits'!$A$3:$B$15000,2,FALSE),"")</f>
        <v/>
      </c>
      <c r="V10584">
        <f t="shared" si="662"/>
        <v>0</v>
      </c>
      <c r="W10584">
        <f t="shared" si="663"/>
        <v>0</v>
      </c>
    </row>
    <row r="10585" spans="5:23" x14ac:dyDescent="0.25">
      <c r="E10585" s="4"/>
      <c r="F10585" s="4"/>
      <c r="G10585" s="33" t="str">
        <f>IFERROR(VLOOKUP($D10585,'Informations sur les produits'!$A$3:$H$10000,8,FALSE),"0")</f>
        <v>0</v>
      </c>
      <c r="K10585" s="4"/>
      <c r="L10585" s="33" t="str">
        <f>IFERROR(VLOOKUP($J10585,'Informations sur les produits'!$A$3:$H$10000,8,FALSE),"0")</f>
        <v>0</v>
      </c>
      <c r="N10585" s="8"/>
      <c r="O10585" s="33" t="str">
        <f>IFERROR(VLOOKUP($M10585,'Informations sur les produits'!$A$3:$H$10000,8,FALSE),"0")</f>
        <v>0</v>
      </c>
      <c r="P10585" s="33">
        <f t="shared" si="660"/>
        <v>0</v>
      </c>
      <c r="Q10585" s="31" t="str">
        <f t="shared" si="661"/>
        <v/>
      </c>
      <c r="R10585" s="32" t="str">
        <f>IFERROR(VLOOKUP($D10585,'Informations sur les produits'!$A$3:$B$15000,2,FALSE),"")</f>
        <v/>
      </c>
      <c r="V10585">
        <f t="shared" si="662"/>
        <v>0</v>
      </c>
      <c r="W10585">
        <f t="shared" si="663"/>
        <v>0</v>
      </c>
    </row>
    <row r="10586" spans="5:23" x14ac:dyDescent="0.25">
      <c r="E10586" s="4"/>
      <c r="F10586" s="4"/>
      <c r="G10586" s="33" t="str">
        <f>IFERROR(VLOOKUP($D10586,'Informations sur les produits'!$A$3:$H$10000,8,FALSE),"0")</f>
        <v>0</v>
      </c>
      <c r="K10586" s="4"/>
      <c r="L10586" s="33" t="str">
        <f>IFERROR(VLOOKUP($J10586,'Informations sur les produits'!$A$3:$H$10000,8,FALSE),"0")</f>
        <v>0</v>
      </c>
      <c r="N10586" s="8"/>
      <c r="O10586" s="33" t="str">
        <f>IFERROR(VLOOKUP($M10586,'Informations sur les produits'!$A$3:$H$10000,8,FALSE),"0")</f>
        <v>0</v>
      </c>
      <c r="P10586" s="33">
        <f t="shared" si="660"/>
        <v>0</v>
      </c>
      <c r="Q10586" s="31" t="str">
        <f t="shared" si="661"/>
        <v/>
      </c>
      <c r="R10586" s="32" t="str">
        <f>IFERROR(VLOOKUP($D10586,'Informations sur les produits'!$A$3:$B$15000,2,FALSE),"")</f>
        <v/>
      </c>
      <c r="V10586">
        <f t="shared" si="662"/>
        <v>0</v>
      </c>
      <c r="W10586">
        <f t="shared" si="663"/>
        <v>0</v>
      </c>
    </row>
    <row r="10587" spans="5:23" x14ac:dyDescent="0.25">
      <c r="E10587" s="4"/>
      <c r="F10587" s="4"/>
      <c r="G10587" s="33" t="str">
        <f>IFERROR(VLOOKUP($D10587,'Informations sur les produits'!$A$3:$H$10000,8,FALSE),"0")</f>
        <v>0</v>
      </c>
      <c r="K10587" s="4"/>
      <c r="L10587" s="33" t="str">
        <f>IFERROR(VLOOKUP($J10587,'Informations sur les produits'!$A$3:$H$10000,8,FALSE),"0")</f>
        <v>0</v>
      </c>
      <c r="N10587" s="8"/>
      <c r="O10587" s="33" t="str">
        <f>IFERROR(VLOOKUP($M10587,'Informations sur les produits'!$A$3:$H$10000,8,FALSE),"0")</f>
        <v>0</v>
      </c>
      <c r="P10587" s="33">
        <f t="shared" si="660"/>
        <v>0</v>
      </c>
      <c r="Q10587" s="31" t="str">
        <f t="shared" si="661"/>
        <v/>
      </c>
      <c r="R10587" s="32" t="str">
        <f>IFERROR(VLOOKUP($D10587,'Informations sur les produits'!$A$3:$B$15000,2,FALSE),"")</f>
        <v/>
      </c>
      <c r="V10587">
        <f t="shared" si="662"/>
        <v>0</v>
      </c>
      <c r="W10587">
        <f t="shared" si="663"/>
        <v>0</v>
      </c>
    </row>
    <row r="10588" spans="5:23" x14ac:dyDescent="0.25">
      <c r="E10588" s="4"/>
      <c r="F10588" s="4"/>
      <c r="G10588" s="33" t="str">
        <f>IFERROR(VLOOKUP($D10588,'Informations sur les produits'!$A$3:$H$10000,8,FALSE),"0")</f>
        <v>0</v>
      </c>
      <c r="K10588" s="4"/>
      <c r="L10588" s="33" t="str">
        <f>IFERROR(VLOOKUP($J10588,'Informations sur les produits'!$A$3:$H$10000,8,FALSE),"0")</f>
        <v>0</v>
      </c>
      <c r="N10588" s="8"/>
      <c r="O10588" s="33" t="str">
        <f>IFERROR(VLOOKUP($M10588,'Informations sur les produits'!$A$3:$H$10000,8,FALSE),"0")</f>
        <v>0</v>
      </c>
      <c r="P10588" s="33">
        <f t="shared" si="660"/>
        <v>0</v>
      </c>
      <c r="Q10588" s="31" t="str">
        <f t="shared" si="661"/>
        <v/>
      </c>
      <c r="R10588" s="32" t="str">
        <f>IFERROR(VLOOKUP($D10588,'Informations sur les produits'!$A$3:$B$15000,2,FALSE),"")</f>
        <v/>
      </c>
      <c r="V10588">
        <f t="shared" si="662"/>
        <v>0</v>
      </c>
      <c r="W10588">
        <f t="shared" si="663"/>
        <v>0</v>
      </c>
    </row>
    <row r="10589" spans="5:23" x14ac:dyDescent="0.25">
      <c r="E10589" s="4"/>
      <c r="F10589" s="4"/>
      <c r="G10589" s="33" t="str">
        <f>IFERROR(VLOOKUP($D10589,'Informations sur les produits'!$A$3:$H$10000,8,FALSE),"0")</f>
        <v>0</v>
      </c>
      <c r="K10589" s="4"/>
      <c r="L10589" s="33" t="str">
        <f>IFERROR(VLOOKUP($J10589,'Informations sur les produits'!$A$3:$H$10000,8,FALSE),"0")</f>
        <v>0</v>
      </c>
      <c r="N10589" s="8"/>
      <c r="O10589" s="33" t="str">
        <f>IFERROR(VLOOKUP($M10589,'Informations sur les produits'!$A$3:$H$10000,8,FALSE),"0")</f>
        <v>0</v>
      </c>
      <c r="P10589" s="33">
        <f t="shared" si="660"/>
        <v>0</v>
      </c>
      <c r="Q10589" s="31" t="str">
        <f t="shared" si="661"/>
        <v/>
      </c>
      <c r="R10589" s="32" t="str">
        <f>IFERROR(VLOOKUP($D10589,'Informations sur les produits'!$A$3:$B$15000,2,FALSE),"")</f>
        <v/>
      </c>
      <c r="V10589">
        <f t="shared" si="662"/>
        <v>0</v>
      </c>
      <c r="W10589">
        <f t="shared" si="663"/>
        <v>0</v>
      </c>
    </row>
    <row r="10590" spans="5:23" x14ac:dyDescent="0.25">
      <c r="E10590" s="4"/>
      <c r="F10590" s="4"/>
      <c r="G10590" s="33" t="str">
        <f>IFERROR(VLOOKUP($D10590,'Informations sur les produits'!$A$3:$H$10000,8,FALSE),"0")</f>
        <v>0</v>
      </c>
      <c r="K10590" s="4"/>
      <c r="L10590" s="33" t="str">
        <f>IFERROR(VLOOKUP($J10590,'Informations sur les produits'!$A$3:$H$10000,8,FALSE),"0")</f>
        <v>0</v>
      </c>
      <c r="N10590" s="8"/>
      <c r="O10590" s="33" t="str">
        <f>IFERROR(VLOOKUP($M10590,'Informations sur les produits'!$A$3:$H$10000,8,FALSE),"0")</f>
        <v>0</v>
      </c>
      <c r="P10590" s="33">
        <f t="shared" si="660"/>
        <v>0</v>
      </c>
      <c r="Q10590" s="31" t="str">
        <f t="shared" si="661"/>
        <v/>
      </c>
      <c r="R10590" s="32" t="str">
        <f>IFERROR(VLOOKUP($D10590,'Informations sur les produits'!$A$3:$B$15000,2,FALSE),"")</f>
        <v/>
      </c>
      <c r="V10590">
        <f t="shared" si="662"/>
        <v>0</v>
      </c>
      <c r="W10590">
        <f t="shared" si="663"/>
        <v>0</v>
      </c>
    </row>
    <row r="10591" spans="5:23" x14ac:dyDescent="0.25">
      <c r="E10591" s="4"/>
      <c r="F10591" s="4"/>
      <c r="G10591" s="33" t="str">
        <f>IFERROR(VLOOKUP($D10591,'Informations sur les produits'!$A$3:$H$10000,8,FALSE),"0")</f>
        <v>0</v>
      </c>
      <c r="K10591" s="4"/>
      <c r="L10591" s="33" t="str">
        <f>IFERROR(VLOOKUP($J10591,'Informations sur les produits'!$A$3:$H$10000,8,FALSE),"0")</f>
        <v>0</v>
      </c>
      <c r="N10591" s="8"/>
      <c r="O10591" s="33" t="str">
        <f>IFERROR(VLOOKUP($M10591,'Informations sur les produits'!$A$3:$H$10000,8,FALSE),"0")</f>
        <v>0</v>
      </c>
      <c r="P10591" s="33">
        <f t="shared" si="660"/>
        <v>0</v>
      </c>
      <c r="Q10591" s="31" t="str">
        <f t="shared" si="661"/>
        <v/>
      </c>
      <c r="R10591" s="32" t="str">
        <f>IFERROR(VLOOKUP($D10591,'Informations sur les produits'!$A$3:$B$15000,2,FALSE),"")</f>
        <v/>
      </c>
      <c r="V10591">
        <f t="shared" si="662"/>
        <v>0</v>
      </c>
      <c r="W10591">
        <f t="shared" si="663"/>
        <v>0</v>
      </c>
    </row>
    <row r="10592" spans="5:23" x14ac:dyDescent="0.25">
      <c r="E10592" s="4"/>
      <c r="F10592" s="4"/>
      <c r="G10592" s="33" t="str">
        <f>IFERROR(VLOOKUP($D10592,'Informations sur les produits'!$A$3:$H$10000,8,FALSE),"0")</f>
        <v>0</v>
      </c>
      <c r="K10592" s="4"/>
      <c r="L10592" s="33" t="str">
        <f>IFERROR(VLOOKUP($J10592,'Informations sur les produits'!$A$3:$H$10000,8,FALSE),"0")</f>
        <v>0</v>
      </c>
      <c r="N10592" s="8"/>
      <c r="O10592" s="33" t="str">
        <f>IFERROR(VLOOKUP($M10592,'Informations sur les produits'!$A$3:$H$10000,8,FALSE),"0")</f>
        <v>0</v>
      </c>
      <c r="P10592" s="33">
        <f t="shared" si="660"/>
        <v>0</v>
      </c>
      <c r="Q10592" s="31" t="str">
        <f t="shared" si="661"/>
        <v/>
      </c>
      <c r="R10592" s="32" t="str">
        <f>IFERROR(VLOOKUP($D10592,'Informations sur les produits'!$A$3:$B$15000,2,FALSE),"")</f>
        <v/>
      </c>
      <c r="V10592">
        <f t="shared" si="662"/>
        <v>0</v>
      </c>
      <c r="W10592">
        <f t="shared" si="663"/>
        <v>0</v>
      </c>
    </row>
    <row r="10593" spans="5:23" x14ac:dyDescent="0.25">
      <c r="E10593" s="4"/>
      <c r="F10593" s="4"/>
      <c r="G10593" s="33" t="str">
        <f>IFERROR(VLOOKUP($D10593,'Informations sur les produits'!$A$3:$H$10000,8,FALSE),"0")</f>
        <v>0</v>
      </c>
      <c r="K10593" s="4"/>
      <c r="L10593" s="33" t="str">
        <f>IFERROR(VLOOKUP($J10593,'Informations sur les produits'!$A$3:$H$10000,8,FALSE),"0")</f>
        <v>0</v>
      </c>
      <c r="N10593" s="8"/>
      <c r="O10593" s="33" t="str">
        <f>IFERROR(VLOOKUP($M10593,'Informations sur les produits'!$A$3:$H$10000,8,FALSE),"0")</f>
        <v>0</v>
      </c>
      <c r="P10593" s="33">
        <f t="shared" si="660"/>
        <v>0</v>
      </c>
      <c r="Q10593" s="31" t="str">
        <f t="shared" si="661"/>
        <v/>
      </c>
      <c r="R10593" s="32" t="str">
        <f>IFERROR(VLOOKUP($D10593,'Informations sur les produits'!$A$3:$B$15000,2,FALSE),"")</f>
        <v/>
      </c>
      <c r="V10593">
        <f t="shared" si="662"/>
        <v>0</v>
      </c>
      <c r="W10593">
        <f t="shared" si="663"/>
        <v>0</v>
      </c>
    </row>
    <row r="10594" spans="5:23" x14ac:dyDescent="0.25">
      <c r="E10594" s="4"/>
      <c r="F10594" s="4"/>
      <c r="G10594" s="33" t="str">
        <f>IFERROR(VLOOKUP($D10594,'Informations sur les produits'!$A$3:$H$10000,8,FALSE),"0")</f>
        <v>0</v>
      </c>
      <c r="K10594" s="4"/>
      <c r="L10594" s="33" t="str">
        <f>IFERROR(VLOOKUP($J10594,'Informations sur les produits'!$A$3:$H$10000,8,FALSE),"0")</f>
        <v>0</v>
      </c>
      <c r="N10594" s="8"/>
      <c r="O10594" s="33" t="str">
        <f>IFERROR(VLOOKUP($M10594,'Informations sur les produits'!$A$3:$H$10000,8,FALSE),"0")</f>
        <v>0</v>
      </c>
      <c r="P10594" s="33">
        <f t="shared" si="660"/>
        <v>0</v>
      </c>
      <c r="Q10594" s="31" t="str">
        <f t="shared" si="661"/>
        <v/>
      </c>
      <c r="R10594" s="32" t="str">
        <f>IFERROR(VLOOKUP($D10594,'Informations sur les produits'!$A$3:$B$15000,2,FALSE),"")</f>
        <v/>
      </c>
      <c r="V10594">
        <f t="shared" si="662"/>
        <v>0</v>
      </c>
      <c r="W10594">
        <f t="shared" si="663"/>
        <v>0</v>
      </c>
    </row>
    <row r="10595" spans="5:23" x14ac:dyDescent="0.25">
      <c r="E10595" s="4"/>
      <c r="F10595" s="4"/>
      <c r="G10595" s="33" t="str">
        <f>IFERROR(VLOOKUP($D10595,'Informations sur les produits'!$A$3:$H$10000,8,FALSE),"0")</f>
        <v>0</v>
      </c>
      <c r="K10595" s="4"/>
      <c r="L10595" s="33" t="str">
        <f>IFERROR(VLOOKUP($J10595,'Informations sur les produits'!$A$3:$H$10000,8,FALSE),"0")</f>
        <v>0</v>
      </c>
      <c r="N10595" s="8"/>
      <c r="O10595" s="33" t="str">
        <f>IFERROR(VLOOKUP($M10595,'Informations sur les produits'!$A$3:$H$10000,8,FALSE),"0")</f>
        <v>0</v>
      </c>
      <c r="P10595" s="33">
        <f t="shared" si="660"/>
        <v>0</v>
      </c>
      <c r="Q10595" s="31" t="str">
        <f t="shared" si="661"/>
        <v/>
      </c>
      <c r="R10595" s="32" t="str">
        <f>IFERROR(VLOOKUP($D10595,'Informations sur les produits'!$A$3:$B$15000,2,FALSE),"")</f>
        <v/>
      </c>
      <c r="V10595">
        <f t="shared" si="662"/>
        <v>0</v>
      </c>
      <c r="W10595">
        <f t="shared" si="663"/>
        <v>0</v>
      </c>
    </row>
    <row r="10596" spans="5:23" x14ac:dyDescent="0.25">
      <c r="E10596" s="4"/>
      <c r="F10596" s="4"/>
      <c r="G10596" s="33" t="str">
        <f>IFERROR(VLOOKUP($D10596,'Informations sur les produits'!$A$3:$H$10000,8,FALSE),"0")</f>
        <v>0</v>
      </c>
      <c r="K10596" s="4"/>
      <c r="L10596" s="33" t="str">
        <f>IFERROR(VLOOKUP($J10596,'Informations sur les produits'!$A$3:$H$10000,8,FALSE),"0")</f>
        <v>0</v>
      </c>
      <c r="N10596" s="8"/>
      <c r="O10596" s="33" t="str">
        <f>IFERROR(VLOOKUP($M10596,'Informations sur les produits'!$A$3:$H$10000,8,FALSE),"0")</f>
        <v>0</v>
      </c>
      <c r="P10596" s="33">
        <f t="shared" si="660"/>
        <v>0</v>
      </c>
      <c r="Q10596" s="31" t="str">
        <f t="shared" si="661"/>
        <v/>
      </c>
      <c r="R10596" s="32" t="str">
        <f>IFERROR(VLOOKUP($D10596,'Informations sur les produits'!$A$3:$B$15000,2,FALSE),"")</f>
        <v/>
      </c>
      <c r="V10596">
        <f t="shared" si="662"/>
        <v>0</v>
      </c>
      <c r="W10596">
        <f t="shared" si="663"/>
        <v>0</v>
      </c>
    </row>
    <row r="10597" spans="5:23" x14ac:dyDescent="0.25">
      <c r="E10597" s="4"/>
      <c r="F10597" s="4"/>
      <c r="G10597" s="33" t="str">
        <f>IFERROR(VLOOKUP($D10597,'Informations sur les produits'!$A$3:$H$10000,8,FALSE),"0")</f>
        <v>0</v>
      </c>
      <c r="K10597" s="4"/>
      <c r="L10597" s="33" t="str">
        <f>IFERROR(VLOOKUP($J10597,'Informations sur les produits'!$A$3:$H$10000,8,FALSE),"0")</f>
        <v>0</v>
      </c>
      <c r="N10597" s="8"/>
      <c r="O10597" s="33" t="str">
        <f>IFERROR(VLOOKUP($M10597,'Informations sur les produits'!$A$3:$H$10000,8,FALSE),"0")</f>
        <v>0</v>
      </c>
      <c r="P10597" s="33">
        <f t="shared" si="660"/>
        <v>0</v>
      </c>
      <c r="Q10597" s="31" t="str">
        <f t="shared" si="661"/>
        <v/>
      </c>
      <c r="R10597" s="32" t="str">
        <f>IFERROR(VLOOKUP($D10597,'Informations sur les produits'!$A$3:$B$15000,2,FALSE),"")</f>
        <v/>
      </c>
      <c r="V10597">
        <f t="shared" si="662"/>
        <v>0</v>
      </c>
      <c r="W10597">
        <f t="shared" si="663"/>
        <v>0</v>
      </c>
    </row>
    <row r="10598" spans="5:23" x14ac:dyDescent="0.25">
      <c r="E10598" s="4"/>
      <c r="F10598" s="4"/>
      <c r="G10598" s="33" t="str">
        <f>IFERROR(VLOOKUP($D10598,'Informations sur les produits'!$A$3:$H$10000,8,FALSE),"0")</f>
        <v>0</v>
      </c>
      <c r="K10598" s="4"/>
      <c r="L10598" s="33" t="str">
        <f>IFERROR(VLOOKUP($J10598,'Informations sur les produits'!$A$3:$H$10000,8,FALSE),"0")</f>
        <v>0</v>
      </c>
      <c r="N10598" s="8"/>
      <c r="O10598" s="33" t="str">
        <f>IFERROR(VLOOKUP($M10598,'Informations sur les produits'!$A$3:$H$10000,8,FALSE),"0")</f>
        <v>0</v>
      </c>
      <c r="P10598" s="33">
        <f t="shared" si="660"/>
        <v>0</v>
      </c>
      <c r="Q10598" s="31" t="str">
        <f t="shared" si="661"/>
        <v/>
      </c>
      <c r="R10598" s="32" t="str">
        <f>IFERROR(VLOOKUP($D10598,'Informations sur les produits'!$A$3:$B$15000,2,FALSE),"")</f>
        <v/>
      </c>
      <c r="V10598">
        <f t="shared" si="662"/>
        <v>0</v>
      </c>
      <c r="W10598">
        <f t="shared" si="663"/>
        <v>0</v>
      </c>
    </row>
    <row r="10599" spans="5:23" x14ac:dyDescent="0.25">
      <c r="E10599" s="4"/>
      <c r="F10599" s="4"/>
      <c r="G10599" s="33" t="str">
        <f>IFERROR(VLOOKUP($D10599,'Informations sur les produits'!$A$3:$H$10000,8,FALSE),"0")</f>
        <v>0</v>
      </c>
      <c r="K10599" s="4"/>
      <c r="L10599" s="33" t="str">
        <f>IFERROR(VLOOKUP($J10599,'Informations sur les produits'!$A$3:$H$10000,8,FALSE),"0")</f>
        <v>0</v>
      </c>
      <c r="N10599" s="8"/>
      <c r="O10599" s="33" t="str">
        <f>IFERROR(VLOOKUP($M10599,'Informations sur les produits'!$A$3:$H$10000,8,FALSE),"0")</f>
        <v>0</v>
      </c>
      <c r="P10599" s="33">
        <f t="shared" si="660"/>
        <v>0</v>
      </c>
      <c r="Q10599" s="31" t="str">
        <f t="shared" si="661"/>
        <v/>
      </c>
      <c r="R10599" s="32" t="str">
        <f>IFERROR(VLOOKUP($D10599,'Informations sur les produits'!$A$3:$B$15000,2,FALSE),"")</f>
        <v/>
      </c>
      <c r="V10599">
        <f t="shared" si="662"/>
        <v>0</v>
      </c>
      <c r="W10599">
        <f t="shared" si="663"/>
        <v>0</v>
      </c>
    </row>
    <row r="10600" spans="5:23" x14ac:dyDescent="0.25">
      <c r="E10600" s="4"/>
      <c r="F10600" s="4"/>
      <c r="G10600" s="33" t="str">
        <f>IFERROR(VLOOKUP($D10600,'Informations sur les produits'!$A$3:$H$10000,8,FALSE),"0")</f>
        <v>0</v>
      </c>
      <c r="K10600" s="4"/>
      <c r="L10600" s="33" t="str">
        <f>IFERROR(VLOOKUP($J10600,'Informations sur les produits'!$A$3:$H$10000,8,FALSE),"0")</f>
        <v>0</v>
      </c>
      <c r="N10600" s="8"/>
      <c r="O10600" s="33" t="str">
        <f>IFERROR(VLOOKUP($M10600,'Informations sur les produits'!$A$3:$H$10000,8,FALSE),"0")</f>
        <v>0</v>
      </c>
      <c r="P10600" s="33">
        <f t="shared" si="660"/>
        <v>0</v>
      </c>
      <c r="Q10600" s="31" t="str">
        <f t="shared" si="661"/>
        <v/>
      </c>
      <c r="R10600" s="32" t="str">
        <f>IFERROR(VLOOKUP($D10600,'Informations sur les produits'!$A$3:$B$15000,2,FALSE),"")</f>
        <v/>
      </c>
      <c r="V10600">
        <f t="shared" si="662"/>
        <v>0</v>
      </c>
      <c r="W10600">
        <f t="shared" si="663"/>
        <v>0</v>
      </c>
    </row>
    <row r="10601" spans="5:23" x14ac:dyDescent="0.25">
      <c r="E10601" s="4"/>
      <c r="F10601" s="4"/>
      <c r="G10601" s="33" t="str">
        <f>IFERROR(VLOOKUP($D10601,'Informations sur les produits'!$A$3:$H$10000,8,FALSE),"0")</f>
        <v>0</v>
      </c>
      <c r="K10601" s="4"/>
      <c r="L10601" s="33" t="str">
        <f>IFERROR(VLOOKUP($J10601,'Informations sur les produits'!$A$3:$H$10000,8,FALSE),"0")</f>
        <v>0</v>
      </c>
      <c r="N10601" s="8"/>
      <c r="O10601" s="33" t="str">
        <f>IFERROR(VLOOKUP($M10601,'Informations sur les produits'!$A$3:$H$10000,8,FALSE),"0")</f>
        <v>0</v>
      </c>
      <c r="P10601" s="33">
        <f t="shared" si="660"/>
        <v>0</v>
      </c>
      <c r="Q10601" s="31" t="str">
        <f t="shared" si="661"/>
        <v/>
      </c>
      <c r="R10601" s="32" t="str">
        <f>IFERROR(VLOOKUP($D10601,'Informations sur les produits'!$A$3:$B$15000,2,FALSE),"")</f>
        <v/>
      </c>
      <c r="V10601">
        <f t="shared" si="662"/>
        <v>0</v>
      </c>
      <c r="W10601">
        <f t="shared" si="663"/>
        <v>0</v>
      </c>
    </row>
    <row r="10602" spans="5:23" x14ac:dyDescent="0.25">
      <c r="E10602" s="4"/>
      <c r="F10602" s="4"/>
      <c r="G10602" s="33" t="str">
        <f>IFERROR(VLOOKUP($D10602,'Informations sur les produits'!$A$3:$H$10000,8,FALSE),"0")</f>
        <v>0</v>
      </c>
      <c r="K10602" s="4"/>
      <c r="L10602" s="33" t="str">
        <f>IFERROR(VLOOKUP($J10602,'Informations sur les produits'!$A$3:$H$10000,8,FALSE),"0")</f>
        <v>0</v>
      </c>
      <c r="N10602" s="8"/>
      <c r="O10602" s="33" t="str">
        <f>IFERROR(VLOOKUP($M10602,'Informations sur les produits'!$A$3:$H$10000,8,FALSE),"0")</f>
        <v>0</v>
      </c>
      <c r="P10602" s="33">
        <f t="shared" si="660"/>
        <v>0</v>
      </c>
      <c r="Q10602" s="31" t="str">
        <f t="shared" si="661"/>
        <v/>
      </c>
      <c r="R10602" s="32" t="str">
        <f>IFERROR(VLOOKUP($D10602,'Informations sur les produits'!$A$3:$B$15000,2,FALSE),"")</f>
        <v/>
      </c>
      <c r="V10602">
        <f t="shared" si="662"/>
        <v>0</v>
      </c>
      <c r="W10602">
        <f t="shared" si="663"/>
        <v>0</v>
      </c>
    </row>
    <row r="10603" spans="5:23" x14ac:dyDescent="0.25">
      <c r="E10603" s="4"/>
      <c r="F10603" s="4"/>
      <c r="G10603" s="33" t="str">
        <f>IFERROR(VLOOKUP($D10603,'Informations sur les produits'!$A$3:$H$10000,8,FALSE),"0")</f>
        <v>0</v>
      </c>
      <c r="K10603" s="4"/>
      <c r="L10603" s="33" t="str">
        <f>IFERROR(VLOOKUP($J10603,'Informations sur les produits'!$A$3:$H$10000,8,FALSE),"0")</f>
        <v>0</v>
      </c>
      <c r="N10603" s="8"/>
      <c r="O10603" s="33" t="str">
        <f>IFERROR(VLOOKUP($M10603,'Informations sur les produits'!$A$3:$H$10000,8,FALSE),"0")</f>
        <v>0</v>
      </c>
      <c r="P10603" s="33">
        <f t="shared" si="660"/>
        <v>0</v>
      </c>
      <c r="Q10603" s="31" t="str">
        <f t="shared" si="661"/>
        <v/>
      </c>
      <c r="R10603" s="32" t="str">
        <f>IFERROR(VLOOKUP($D10603,'Informations sur les produits'!$A$3:$B$15000,2,FALSE),"")</f>
        <v/>
      </c>
      <c r="V10603">
        <f t="shared" si="662"/>
        <v>0</v>
      </c>
      <c r="W10603">
        <f t="shared" si="663"/>
        <v>0</v>
      </c>
    </row>
    <row r="10604" spans="5:23" x14ac:dyDescent="0.25">
      <c r="E10604" s="4"/>
      <c r="F10604" s="4"/>
      <c r="G10604" s="33" t="str">
        <f>IFERROR(VLOOKUP($D10604,'Informations sur les produits'!$A$3:$H$10000,8,FALSE),"0")</f>
        <v>0</v>
      </c>
      <c r="K10604" s="4"/>
      <c r="L10604" s="33" t="str">
        <f>IFERROR(VLOOKUP($J10604,'Informations sur les produits'!$A$3:$H$10000,8,FALSE),"0")</f>
        <v>0</v>
      </c>
      <c r="N10604" s="8"/>
      <c r="O10604" s="33" t="str">
        <f>IFERROR(VLOOKUP($M10604,'Informations sur les produits'!$A$3:$H$10000,8,FALSE),"0")</f>
        <v>0</v>
      </c>
      <c r="P10604" s="33">
        <f t="shared" si="660"/>
        <v>0</v>
      </c>
      <c r="Q10604" s="31" t="str">
        <f t="shared" si="661"/>
        <v/>
      </c>
      <c r="R10604" s="32" t="str">
        <f>IFERROR(VLOOKUP($D10604,'Informations sur les produits'!$A$3:$B$15000,2,FALSE),"")</f>
        <v/>
      </c>
      <c r="V10604">
        <f t="shared" si="662"/>
        <v>0</v>
      </c>
      <c r="W10604">
        <f t="shared" si="663"/>
        <v>0</v>
      </c>
    </row>
    <row r="10605" spans="5:23" x14ac:dyDescent="0.25">
      <c r="E10605" s="4"/>
      <c r="F10605" s="4"/>
      <c r="G10605" s="33" t="str">
        <f>IFERROR(VLOOKUP($D10605,'Informations sur les produits'!$A$3:$H$10000,8,FALSE),"0")</f>
        <v>0</v>
      </c>
      <c r="K10605" s="4"/>
      <c r="L10605" s="33" t="str">
        <f>IFERROR(VLOOKUP($J10605,'Informations sur les produits'!$A$3:$H$10000,8,FALSE),"0")</f>
        <v>0</v>
      </c>
      <c r="N10605" s="8"/>
      <c r="O10605" s="33" t="str">
        <f>IFERROR(VLOOKUP($M10605,'Informations sur les produits'!$A$3:$H$10000,8,FALSE),"0")</f>
        <v>0</v>
      </c>
      <c r="P10605" s="33">
        <f t="shared" si="660"/>
        <v>0</v>
      </c>
      <c r="Q10605" s="31" t="str">
        <f t="shared" si="661"/>
        <v/>
      </c>
      <c r="R10605" s="32" t="str">
        <f>IFERROR(VLOOKUP($D10605,'Informations sur les produits'!$A$3:$B$15000,2,FALSE),"")</f>
        <v/>
      </c>
      <c r="V10605">
        <f t="shared" si="662"/>
        <v>0</v>
      </c>
      <c r="W10605">
        <f t="shared" si="663"/>
        <v>0</v>
      </c>
    </row>
    <row r="10606" spans="5:23" x14ac:dyDescent="0.25">
      <c r="E10606" s="4"/>
      <c r="F10606" s="4"/>
      <c r="G10606" s="33" t="str">
        <f>IFERROR(VLOOKUP($D10606,'Informations sur les produits'!$A$3:$H$10000,8,FALSE),"0")</f>
        <v>0</v>
      </c>
      <c r="K10606" s="4"/>
      <c r="L10606" s="33" t="str">
        <f>IFERROR(VLOOKUP($J10606,'Informations sur les produits'!$A$3:$H$10000,8,FALSE),"0")</f>
        <v>0</v>
      </c>
      <c r="N10606" s="8"/>
      <c r="O10606" s="33" t="str">
        <f>IFERROR(VLOOKUP($M10606,'Informations sur les produits'!$A$3:$H$10000,8,FALSE),"0")</f>
        <v>0</v>
      </c>
      <c r="P10606" s="33">
        <f t="shared" si="660"/>
        <v>0</v>
      </c>
      <c r="Q10606" s="31" t="str">
        <f t="shared" si="661"/>
        <v/>
      </c>
      <c r="R10606" s="32" t="str">
        <f>IFERROR(VLOOKUP($D10606,'Informations sur les produits'!$A$3:$B$15000,2,FALSE),"")</f>
        <v/>
      </c>
      <c r="V10606">
        <f t="shared" si="662"/>
        <v>0</v>
      </c>
      <c r="W10606">
        <f t="shared" si="663"/>
        <v>0</v>
      </c>
    </row>
    <row r="10607" spans="5:23" x14ac:dyDescent="0.25">
      <c r="E10607" s="4"/>
      <c r="F10607" s="4"/>
      <c r="G10607" s="33" t="str">
        <f>IFERROR(VLOOKUP($D10607,'Informations sur les produits'!$A$3:$H$10000,8,FALSE),"0")</f>
        <v>0</v>
      </c>
      <c r="K10607" s="4"/>
      <c r="L10607" s="33" t="str">
        <f>IFERROR(VLOOKUP($J10607,'Informations sur les produits'!$A$3:$H$10000,8,FALSE),"0")</f>
        <v>0</v>
      </c>
      <c r="N10607" s="8"/>
      <c r="O10607" s="33" t="str">
        <f>IFERROR(VLOOKUP($M10607,'Informations sur les produits'!$A$3:$H$10000,8,FALSE),"0")</f>
        <v>0</v>
      </c>
      <c r="P10607" s="33">
        <f t="shared" si="660"/>
        <v>0</v>
      </c>
      <c r="Q10607" s="31" t="str">
        <f t="shared" si="661"/>
        <v/>
      </c>
      <c r="R10607" s="32" t="str">
        <f>IFERROR(VLOOKUP($D10607,'Informations sur les produits'!$A$3:$B$15000,2,FALSE),"")</f>
        <v/>
      </c>
      <c r="V10607">
        <f t="shared" si="662"/>
        <v>0</v>
      </c>
      <c r="W10607">
        <f t="shared" si="663"/>
        <v>0</v>
      </c>
    </row>
    <row r="10608" spans="5:23" x14ac:dyDescent="0.25">
      <c r="E10608" s="4"/>
      <c r="F10608" s="4"/>
      <c r="G10608" s="33" t="str">
        <f>IFERROR(VLOOKUP($D10608,'Informations sur les produits'!$A$3:$H$10000,8,FALSE),"0")</f>
        <v>0</v>
      </c>
      <c r="K10608" s="4"/>
      <c r="L10608" s="33" t="str">
        <f>IFERROR(VLOOKUP($J10608,'Informations sur les produits'!$A$3:$H$10000,8,FALSE),"0")</f>
        <v>0</v>
      </c>
      <c r="N10608" s="8"/>
      <c r="O10608" s="33" t="str">
        <f>IFERROR(VLOOKUP($M10608,'Informations sur les produits'!$A$3:$H$10000,8,FALSE),"0")</f>
        <v>0</v>
      </c>
      <c r="P10608" s="33">
        <f t="shared" si="660"/>
        <v>0</v>
      </c>
      <c r="Q10608" s="31" t="str">
        <f t="shared" si="661"/>
        <v/>
      </c>
      <c r="R10608" s="32" t="str">
        <f>IFERROR(VLOOKUP($D10608,'Informations sur les produits'!$A$3:$B$15000,2,FALSE),"")</f>
        <v/>
      </c>
      <c r="V10608">
        <f t="shared" si="662"/>
        <v>0</v>
      </c>
      <c r="W10608">
        <f t="shared" si="663"/>
        <v>0</v>
      </c>
    </row>
    <row r="10609" spans="5:23" x14ac:dyDescent="0.25">
      <c r="E10609" s="4"/>
      <c r="F10609" s="4"/>
      <c r="G10609" s="33" t="str">
        <f>IFERROR(VLOOKUP($D10609,'Informations sur les produits'!$A$3:$H$10000,8,FALSE),"0")</f>
        <v>0</v>
      </c>
      <c r="K10609" s="4"/>
      <c r="L10609" s="33" t="str">
        <f>IFERROR(VLOOKUP($J10609,'Informations sur les produits'!$A$3:$H$10000,8,FALSE),"0")</f>
        <v>0</v>
      </c>
      <c r="N10609" s="8"/>
      <c r="O10609" s="33" t="str">
        <f>IFERROR(VLOOKUP($M10609,'Informations sur les produits'!$A$3:$H$10000,8,FALSE),"0")</f>
        <v>0</v>
      </c>
      <c r="P10609" s="33">
        <f t="shared" si="660"/>
        <v>0</v>
      </c>
      <c r="Q10609" s="31" t="str">
        <f t="shared" si="661"/>
        <v/>
      </c>
      <c r="R10609" s="32" t="str">
        <f>IFERROR(VLOOKUP($D10609,'Informations sur les produits'!$A$3:$B$15000,2,FALSE),"")</f>
        <v/>
      </c>
      <c r="V10609">
        <f t="shared" si="662"/>
        <v>0</v>
      </c>
      <c r="W10609">
        <f t="shared" si="663"/>
        <v>0</v>
      </c>
    </row>
    <row r="10610" spans="5:23" x14ac:dyDescent="0.25">
      <c r="E10610" s="4"/>
      <c r="F10610" s="4"/>
      <c r="G10610" s="33" t="str">
        <f>IFERROR(VLOOKUP($D10610,'Informations sur les produits'!$A$3:$H$10000,8,FALSE),"0")</f>
        <v>0</v>
      </c>
      <c r="K10610" s="4"/>
      <c r="L10610" s="33" t="str">
        <f>IFERROR(VLOOKUP($J10610,'Informations sur les produits'!$A$3:$H$10000,8,FALSE),"0")</f>
        <v>0</v>
      </c>
      <c r="N10610" s="8"/>
      <c r="O10610" s="33" t="str">
        <f>IFERROR(VLOOKUP($M10610,'Informations sur les produits'!$A$3:$H$10000,8,FALSE),"0")</f>
        <v>0</v>
      </c>
      <c r="P10610" s="33">
        <f t="shared" si="660"/>
        <v>0</v>
      </c>
      <c r="Q10610" s="31" t="str">
        <f t="shared" si="661"/>
        <v/>
      </c>
      <c r="R10610" s="32" t="str">
        <f>IFERROR(VLOOKUP($D10610,'Informations sur les produits'!$A$3:$B$15000,2,FALSE),"")</f>
        <v/>
      </c>
      <c r="V10610">
        <f t="shared" si="662"/>
        <v>0</v>
      </c>
      <c r="W10610">
        <f t="shared" si="663"/>
        <v>0</v>
      </c>
    </row>
    <row r="10611" spans="5:23" x14ac:dyDescent="0.25">
      <c r="E10611" s="4"/>
      <c r="F10611" s="4"/>
      <c r="G10611" s="33" t="str">
        <f>IFERROR(VLOOKUP($D10611,'Informations sur les produits'!$A$3:$H$10000,8,FALSE),"0")</f>
        <v>0</v>
      </c>
      <c r="K10611" s="4"/>
      <c r="L10611" s="33" t="str">
        <f>IFERROR(VLOOKUP($J10611,'Informations sur les produits'!$A$3:$H$10000,8,FALSE),"0")</f>
        <v>0</v>
      </c>
      <c r="N10611" s="8"/>
      <c r="O10611" s="33" t="str">
        <f>IFERROR(VLOOKUP($M10611,'Informations sur les produits'!$A$3:$H$10000,8,FALSE),"0")</f>
        <v>0</v>
      </c>
      <c r="P10611" s="33">
        <f t="shared" si="660"/>
        <v>0</v>
      </c>
      <c r="Q10611" s="31" t="str">
        <f t="shared" si="661"/>
        <v/>
      </c>
      <c r="R10611" s="32" t="str">
        <f>IFERROR(VLOOKUP($D10611,'Informations sur les produits'!$A$3:$B$15000,2,FALSE),"")</f>
        <v/>
      </c>
      <c r="V10611">
        <f t="shared" si="662"/>
        <v>0</v>
      </c>
      <c r="W10611">
        <f t="shared" si="663"/>
        <v>0</v>
      </c>
    </row>
    <row r="10612" spans="5:23" x14ac:dyDescent="0.25">
      <c r="E10612" s="4"/>
      <c r="F10612" s="4"/>
      <c r="G10612" s="33" t="str">
        <f>IFERROR(VLOOKUP($D10612,'Informations sur les produits'!$A$3:$H$10000,8,FALSE),"0")</f>
        <v>0</v>
      </c>
      <c r="K10612" s="4"/>
      <c r="L10612" s="33" t="str">
        <f>IFERROR(VLOOKUP($J10612,'Informations sur les produits'!$A$3:$H$10000,8,FALSE),"0")</f>
        <v>0</v>
      </c>
      <c r="N10612" s="8"/>
      <c r="O10612" s="33" t="str">
        <f>IFERROR(VLOOKUP($M10612,'Informations sur les produits'!$A$3:$H$10000,8,FALSE),"0")</f>
        <v>0</v>
      </c>
      <c r="P10612" s="33">
        <f t="shared" si="660"/>
        <v>0</v>
      </c>
      <c r="Q10612" s="31" t="str">
        <f t="shared" si="661"/>
        <v/>
      </c>
      <c r="R10612" s="32" t="str">
        <f>IFERROR(VLOOKUP($D10612,'Informations sur les produits'!$A$3:$B$15000,2,FALSE),"")</f>
        <v/>
      </c>
      <c r="V10612">
        <f t="shared" si="662"/>
        <v>0</v>
      </c>
      <c r="W10612">
        <f t="shared" si="663"/>
        <v>0</v>
      </c>
    </row>
    <row r="10613" spans="5:23" x14ac:dyDescent="0.25">
      <c r="E10613" s="4"/>
      <c r="F10613" s="4"/>
      <c r="G10613" s="33" t="str">
        <f>IFERROR(VLOOKUP($D10613,'Informations sur les produits'!$A$3:$H$10000,8,FALSE),"0")</f>
        <v>0</v>
      </c>
      <c r="K10613" s="4"/>
      <c r="L10613" s="33" t="str">
        <f>IFERROR(VLOOKUP($J10613,'Informations sur les produits'!$A$3:$H$10000,8,FALSE),"0")</f>
        <v>0</v>
      </c>
      <c r="N10613" s="8"/>
      <c r="O10613" s="33" t="str">
        <f>IFERROR(VLOOKUP($M10613,'Informations sur les produits'!$A$3:$H$10000,8,FALSE),"0")</f>
        <v>0</v>
      </c>
      <c r="P10613" s="33">
        <f t="shared" si="660"/>
        <v>0</v>
      </c>
      <c r="Q10613" s="31" t="str">
        <f t="shared" si="661"/>
        <v/>
      </c>
      <c r="R10613" s="32" t="str">
        <f>IFERROR(VLOOKUP($D10613,'Informations sur les produits'!$A$3:$B$15000,2,FALSE),"")</f>
        <v/>
      </c>
      <c r="V10613">
        <f t="shared" si="662"/>
        <v>0</v>
      </c>
      <c r="W10613">
        <f t="shared" si="663"/>
        <v>0</v>
      </c>
    </row>
    <row r="10614" spans="5:23" x14ac:dyDescent="0.25">
      <c r="E10614" s="4"/>
      <c r="F10614" s="4"/>
      <c r="G10614" s="33" t="str">
        <f>IFERROR(VLOOKUP($D10614,'Informations sur les produits'!$A$3:$H$10000,8,FALSE),"0")</f>
        <v>0</v>
      </c>
      <c r="K10614" s="4"/>
      <c r="L10614" s="33" t="str">
        <f>IFERROR(VLOOKUP($J10614,'Informations sur les produits'!$A$3:$H$10000,8,FALSE),"0")</f>
        <v>0</v>
      </c>
      <c r="N10614" s="8"/>
      <c r="O10614" s="33" t="str">
        <f>IFERROR(VLOOKUP($M10614,'Informations sur les produits'!$A$3:$H$10000,8,FALSE),"0")</f>
        <v>0</v>
      </c>
      <c r="P10614" s="33">
        <f t="shared" si="660"/>
        <v>0</v>
      </c>
      <c r="Q10614" s="31" t="str">
        <f t="shared" si="661"/>
        <v/>
      </c>
      <c r="R10614" s="32" t="str">
        <f>IFERROR(VLOOKUP($D10614,'Informations sur les produits'!$A$3:$B$15000,2,FALSE),"")</f>
        <v/>
      </c>
      <c r="V10614">
        <f t="shared" si="662"/>
        <v>0</v>
      </c>
      <c r="W10614">
        <f t="shared" si="663"/>
        <v>0</v>
      </c>
    </row>
    <row r="10615" spans="5:23" x14ac:dyDescent="0.25">
      <c r="E10615" s="4"/>
      <c r="F10615" s="4"/>
      <c r="G10615" s="33" t="str">
        <f>IFERROR(VLOOKUP($D10615,'Informations sur les produits'!$A$3:$H$10000,8,FALSE),"0")</f>
        <v>0</v>
      </c>
      <c r="K10615" s="4"/>
      <c r="L10615" s="33" t="str">
        <f>IFERROR(VLOOKUP($J10615,'Informations sur les produits'!$A$3:$H$10000,8,FALSE),"0")</f>
        <v>0</v>
      </c>
      <c r="N10615" s="8"/>
      <c r="O10615" s="33" t="str">
        <f>IFERROR(VLOOKUP($M10615,'Informations sur les produits'!$A$3:$H$10000,8,FALSE),"0")</f>
        <v>0</v>
      </c>
      <c r="P10615" s="33">
        <f t="shared" si="660"/>
        <v>0</v>
      </c>
      <c r="Q10615" s="31" t="str">
        <f t="shared" si="661"/>
        <v/>
      </c>
      <c r="R10615" s="32" t="str">
        <f>IFERROR(VLOOKUP($D10615,'Informations sur les produits'!$A$3:$B$15000,2,FALSE),"")</f>
        <v/>
      </c>
      <c r="V10615">
        <f t="shared" si="662"/>
        <v>0</v>
      </c>
      <c r="W10615">
        <f t="shared" si="663"/>
        <v>0</v>
      </c>
    </row>
    <row r="10616" spans="5:23" x14ac:dyDescent="0.25">
      <c r="E10616" s="4"/>
      <c r="F10616" s="4"/>
      <c r="G10616" s="33" t="str">
        <f>IFERROR(VLOOKUP($D10616,'Informations sur les produits'!$A$3:$H$10000,8,FALSE),"0")</f>
        <v>0</v>
      </c>
      <c r="K10616" s="4"/>
      <c r="L10616" s="33" t="str">
        <f>IFERROR(VLOOKUP($J10616,'Informations sur les produits'!$A$3:$H$10000,8,FALSE),"0")</f>
        <v>0</v>
      </c>
      <c r="N10616" s="8"/>
      <c r="O10616" s="33" t="str">
        <f>IFERROR(VLOOKUP($M10616,'Informations sur les produits'!$A$3:$H$10000,8,FALSE),"0")</f>
        <v>0</v>
      </c>
      <c r="P10616" s="33">
        <f t="shared" si="660"/>
        <v>0</v>
      </c>
      <c r="Q10616" s="31" t="str">
        <f t="shared" si="661"/>
        <v/>
      </c>
      <c r="R10616" s="32" t="str">
        <f>IFERROR(VLOOKUP($D10616,'Informations sur les produits'!$A$3:$B$15000,2,FALSE),"")</f>
        <v/>
      </c>
      <c r="V10616">
        <f t="shared" si="662"/>
        <v>0</v>
      </c>
      <c r="W10616">
        <f t="shared" si="663"/>
        <v>0</v>
      </c>
    </row>
    <row r="10617" spans="5:23" x14ac:dyDescent="0.25">
      <c r="E10617" s="4"/>
      <c r="F10617" s="4"/>
      <c r="G10617" s="33" t="str">
        <f>IFERROR(VLOOKUP($D10617,'Informations sur les produits'!$A$3:$H$10000,8,FALSE),"0")</f>
        <v>0</v>
      </c>
      <c r="K10617" s="4"/>
      <c r="L10617" s="33" t="str">
        <f>IFERROR(VLOOKUP($J10617,'Informations sur les produits'!$A$3:$H$10000,8,FALSE),"0")</f>
        <v>0</v>
      </c>
      <c r="N10617" s="8"/>
      <c r="O10617" s="33" t="str">
        <f>IFERROR(VLOOKUP($M10617,'Informations sur les produits'!$A$3:$H$10000,8,FALSE),"0")</f>
        <v>0</v>
      </c>
      <c r="P10617" s="33">
        <f t="shared" si="660"/>
        <v>0</v>
      </c>
      <c r="Q10617" s="31" t="str">
        <f t="shared" si="661"/>
        <v/>
      </c>
      <c r="R10617" s="32" t="str">
        <f>IFERROR(VLOOKUP($D10617,'Informations sur les produits'!$A$3:$B$15000,2,FALSE),"")</f>
        <v/>
      </c>
      <c r="V10617">
        <f t="shared" si="662"/>
        <v>0</v>
      </c>
      <c r="W10617">
        <f t="shared" si="663"/>
        <v>0</v>
      </c>
    </row>
    <row r="10618" spans="5:23" x14ac:dyDescent="0.25">
      <c r="E10618" s="4"/>
      <c r="F10618" s="4"/>
      <c r="G10618" s="33" t="str">
        <f>IFERROR(VLOOKUP($D10618,'Informations sur les produits'!$A$3:$H$10000,8,FALSE),"0")</f>
        <v>0</v>
      </c>
      <c r="K10618" s="4"/>
      <c r="L10618" s="33" t="str">
        <f>IFERROR(VLOOKUP($J10618,'Informations sur les produits'!$A$3:$H$10000,8,FALSE),"0")</f>
        <v>0</v>
      </c>
      <c r="N10618" s="8"/>
      <c r="O10618" s="33" t="str">
        <f>IFERROR(VLOOKUP($M10618,'Informations sur les produits'!$A$3:$H$10000,8,FALSE),"0")</f>
        <v>0</v>
      </c>
      <c r="P10618" s="33">
        <f t="shared" si="660"/>
        <v>0</v>
      </c>
      <c r="Q10618" s="31" t="str">
        <f t="shared" si="661"/>
        <v/>
      </c>
      <c r="R10618" s="32" t="str">
        <f>IFERROR(VLOOKUP($D10618,'Informations sur les produits'!$A$3:$B$15000,2,FALSE),"")</f>
        <v/>
      </c>
      <c r="V10618">
        <f t="shared" si="662"/>
        <v>0</v>
      </c>
      <c r="W10618">
        <f t="shared" si="663"/>
        <v>0</v>
      </c>
    </row>
    <row r="10619" spans="5:23" x14ac:dyDescent="0.25">
      <c r="E10619" s="4"/>
      <c r="F10619" s="4"/>
      <c r="G10619" s="33" t="str">
        <f>IFERROR(VLOOKUP($D10619,'Informations sur les produits'!$A$3:$H$10000,8,FALSE),"0")</f>
        <v>0</v>
      </c>
      <c r="K10619" s="4"/>
      <c r="L10619" s="33" t="str">
        <f>IFERROR(VLOOKUP($J10619,'Informations sur les produits'!$A$3:$H$10000,8,FALSE),"0")</f>
        <v>0</v>
      </c>
      <c r="N10619" s="8"/>
      <c r="O10619" s="33" t="str">
        <f>IFERROR(VLOOKUP($M10619,'Informations sur les produits'!$A$3:$H$10000,8,FALSE),"0")</f>
        <v>0</v>
      </c>
      <c r="P10619" s="33">
        <f t="shared" si="660"/>
        <v>0</v>
      </c>
      <c r="Q10619" s="31" t="str">
        <f t="shared" si="661"/>
        <v/>
      </c>
      <c r="R10619" s="32" t="str">
        <f>IFERROR(VLOOKUP($D10619,'Informations sur les produits'!$A$3:$B$15000,2,FALSE),"")</f>
        <v/>
      </c>
      <c r="V10619">
        <f t="shared" si="662"/>
        <v>0</v>
      </c>
      <c r="W10619">
        <f t="shared" si="663"/>
        <v>0</v>
      </c>
    </row>
    <row r="10620" spans="5:23" x14ac:dyDescent="0.25">
      <c r="E10620" s="4"/>
      <c r="F10620" s="4"/>
      <c r="G10620" s="33" t="str">
        <f>IFERROR(VLOOKUP($D10620,'Informations sur les produits'!$A$3:$H$10000,8,FALSE),"0")</f>
        <v>0</v>
      </c>
      <c r="K10620" s="4"/>
      <c r="L10620" s="33" t="str">
        <f>IFERROR(VLOOKUP($J10620,'Informations sur les produits'!$A$3:$H$10000,8,FALSE),"0")</f>
        <v>0</v>
      </c>
      <c r="N10620" s="8"/>
      <c r="O10620" s="33" t="str">
        <f>IFERROR(VLOOKUP($M10620,'Informations sur les produits'!$A$3:$H$10000,8,FALSE),"0")</f>
        <v>0</v>
      </c>
      <c r="P10620" s="33">
        <f t="shared" si="660"/>
        <v>0</v>
      </c>
      <c r="Q10620" s="31" t="str">
        <f t="shared" si="661"/>
        <v/>
      </c>
      <c r="R10620" s="32" t="str">
        <f>IFERROR(VLOOKUP($D10620,'Informations sur les produits'!$A$3:$B$15000,2,FALSE),"")</f>
        <v/>
      </c>
      <c r="V10620">
        <f t="shared" si="662"/>
        <v>0</v>
      </c>
      <c r="W10620">
        <f t="shared" si="663"/>
        <v>0</v>
      </c>
    </row>
    <row r="10621" spans="5:23" x14ac:dyDescent="0.25">
      <c r="E10621" s="4"/>
      <c r="F10621" s="4"/>
      <c r="G10621" s="33" t="str">
        <f>IFERROR(VLOOKUP($D10621,'Informations sur les produits'!$A$3:$H$10000,8,FALSE),"0")</f>
        <v>0</v>
      </c>
      <c r="K10621" s="4"/>
      <c r="L10621" s="33" t="str">
        <f>IFERROR(VLOOKUP($J10621,'Informations sur les produits'!$A$3:$H$10000,8,FALSE),"0")</f>
        <v>0</v>
      </c>
      <c r="N10621" s="8"/>
      <c r="O10621" s="33" t="str">
        <f>IFERROR(VLOOKUP($M10621,'Informations sur les produits'!$A$3:$H$10000,8,FALSE),"0")</f>
        <v>0</v>
      </c>
      <c r="P10621" s="33">
        <f t="shared" si="660"/>
        <v>0</v>
      </c>
      <c r="Q10621" s="31" t="str">
        <f t="shared" si="661"/>
        <v/>
      </c>
      <c r="R10621" s="32" t="str">
        <f>IFERROR(VLOOKUP($D10621,'Informations sur les produits'!$A$3:$B$15000,2,FALSE),"")</f>
        <v/>
      </c>
      <c r="V10621">
        <f t="shared" si="662"/>
        <v>0</v>
      </c>
      <c r="W10621">
        <f t="shared" si="663"/>
        <v>0</v>
      </c>
    </row>
    <row r="10622" spans="5:23" x14ac:dyDescent="0.25">
      <c r="E10622" s="4"/>
      <c r="F10622" s="4"/>
      <c r="G10622" s="33" t="str">
        <f>IFERROR(VLOOKUP($D10622,'Informations sur les produits'!$A$3:$H$10000,8,FALSE),"0")</f>
        <v>0</v>
      </c>
      <c r="K10622" s="4"/>
      <c r="L10622" s="33" t="str">
        <f>IFERROR(VLOOKUP($J10622,'Informations sur les produits'!$A$3:$H$10000,8,FALSE),"0")</f>
        <v>0</v>
      </c>
      <c r="N10622" s="8"/>
      <c r="O10622" s="33" t="str">
        <f>IFERROR(VLOOKUP($M10622,'Informations sur les produits'!$A$3:$H$10000,8,FALSE),"0")</f>
        <v>0</v>
      </c>
      <c r="P10622" s="33">
        <f t="shared" si="660"/>
        <v>0</v>
      </c>
      <c r="Q10622" s="31" t="str">
        <f t="shared" si="661"/>
        <v/>
      </c>
      <c r="R10622" s="32" t="str">
        <f>IFERROR(VLOOKUP($D10622,'Informations sur les produits'!$A$3:$B$15000,2,FALSE),"")</f>
        <v/>
      </c>
      <c r="V10622">
        <f t="shared" si="662"/>
        <v>0</v>
      </c>
      <c r="W10622">
        <f t="shared" si="663"/>
        <v>0</v>
      </c>
    </row>
    <row r="10623" spans="5:23" x14ac:dyDescent="0.25">
      <c r="E10623" s="4"/>
      <c r="F10623" s="4"/>
      <c r="G10623" s="33" t="str">
        <f>IFERROR(VLOOKUP($D10623,'Informations sur les produits'!$A$3:$H$10000,8,FALSE),"0")</f>
        <v>0</v>
      </c>
      <c r="K10623" s="4"/>
      <c r="L10623" s="33" t="str">
        <f>IFERROR(VLOOKUP($J10623,'Informations sur les produits'!$A$3:$H$10000,8,FALSE),"0")</f>
        <v>0</v>
      </c>
      <c r="N10623" s="8"/>
      <c r="O10623" s="33" t="str">
        <f>IFERROR(VLOOKUP($M10623,'Informations sur les produits'!$A$3:$H$10000,8,FALSE),"0")</f>
        <v>0</v>
      </c>
      <c r="P10623" s="33">
        <f t="shared" si="660"/>
        <v>0</v>
      </c>
      <c r="Q10623" s="31" t="str">
        <f t="shared" si="661"/>
        <v/>
      </c>
      <c r="R10623" s="32" t="str">
        <f>IFERROR(VLOOKUP($D10623,'Informations sur les produits'!$A$3:$B$15000,2,FALSE),"")</f>
        <v/>
      </c>
      <c r="V10623">
        <f t="shared" si="662"/>
        <v>0</v>
      </c>
      <c r="W10623">
        <f t="shared" si="663"/>
        <v>0</v>
      </c>
    </row>
    <row r="10624" spans="5:23" x14ac:dyDescent="0.25">
      <c r="E10624" s="4"/>
      <c r="F10624" s="4"/>
      <c r="G10624" s="33" t="str">
        <f>IFERROR(VLOOKUP($D10624,'Informations sur les produits'!$A$3:$H$10000,8,FALSE),"0")</f>
        <v>0</v>
      </c>
      <c r="K10624" s="4"/>
      <c r="L10624" s="33" t="str">
        <f>IFERROR(VLOOKUP($J10624,'Informations sur les produits'!$A$3:$H$10000,8,FALSE),"0")</f>
        <v>0</v>
      </c>
      <c r="N10624" s="8"/>
      <c r="O10624" s="33" t="str">
        <f>IFERROR(VLOOKUP($M10624,'Informations sur les produits'!$A$3:$H$10000,8,FALSE),"0")</f>
        <v>0</v>
      </c>
      <c r="P10624" s="33">
        <f t="shared" si="660"/>
        <v>0</v>
      </c>
      <c r="Q10624" s="31" t="str">
        <f t="shared" si="661"/>
        <v/>
      </c>
      <c r="R10624" s="32" t="str">
        <f>IFERROR(VLOOKUP($D10624,'Informations sur les produits'!$A$3:$B$15000,2,FALSE),"")</f>
        <v/>
      </c>
      <c r="V10624">
        <f t="shared" si="662"/>
        <v>0</v>
      </c>
      <c r="W10624">
        <f t="shared" si="663"/>
        <v>0</v>
      </c>
    </row>
    <row r="10625" spans="5:23" x14ac:dyDescent="0.25">
      <c r="E10625" s="4"/>
      <c r="F10625" s="4"/>
      <c r="G10625" s="33" t="str">
        <f>IFERROR(VLOOKUP($D10625,'Informations sur les produits'!$A$3:$H$10000,8,FALSE),"0")</f>
        <v>0</v>
      </c>
      <c r="K10625" s="4"/>
      <c r="L10625" s="33" t="str">
        <f>IFERROR(VLOOKUP($J10625,'Informations sur les produits'!$A$3:$H$10000,8,FALSE),"0")</f>
        <v>0</v>
      </c>
      <c r="N10625" s="8"/>
      <c r="O10625" s="33" t="str">
        <f>IFERROR(VLOOKUP($M10625,'Informations sur les produits'!$A$3:$H$10000,8,FALSE),"0")</f>
        <v>0</v>
      </c>
      <c r="P10625" s="33">
        <f t="shared" si="660"/>
        <v>0</v>
      </c>
      <c r="Q10625" s="31" t="str">
        <f t="shared" si="661"/>
        <v/>
      </c>
      <c r="R10625" s="32" t="str">
        <f>IFERROR(VLOOKUP($D10625,'Informations sur les produits'!$A$3:$B$15000,2,FALSE),"")</f>
        <v/>
      </c>
      <c r="V10625">
        <f t="shared" si="662"/>
        <v>0</v>
      </c>
      <c r="W10625">
        <f t="shared" si="663"/>
        <v>0</v>
      </c>
    </row>
    <row r="10626" spans="5:23" x14ac:dyDescent="0.25">
      <c r="E10626" s="4"/>
      <c r="F10626" s="4"/>
      <c r="G10626" s="33" t="str">
        <f>IFERROR(VLOOKUP($D10626,'Informations sur les produits'!$A$3:$H$10000,8,FALSE),"0")</f>
        <v>0</v>
      </c>
      <c r="K10626" s="4"/>
      <c r="L10626" s="33" t="str">
        <f>IFERROR(VLOOKUP($J10626,'Informations sur les produits'!$A$3:$H$10000,8,FALSE),"0")</f>
        <v>0</v>
      </c>
      <c r="N10626" s="8"/>
      <c r="O10626" s="33" t="str">
        <f>IFERROR(VLOOKUP($M10626,'Informations sur les produits'!$A$3:$H$10000,8,FALSE),"0")</f>
        <v>0</v>
      </c>
      <c r="P10626" s="33">
        <f t="shared" si="660"/>
        <v>0</v>
      </c>
      <c r="Q10626" s="31" t="str">
        <f t="shared" si="661"/>
        <v/>
      </c>
      <c r="R10626" s="32" t="str">
        <f>IFERROR(VLOOKUP($D10626,'Informations sur les produits'!$A$3:$B$15000,2,FALSE),"")</f>
        <v/>
      </c>
      <c r="V10626">
        <f t="shared" si="662"/>
        <v>0</v>
      </c>
      <c r="W10626">
        <f t="shared" si="663"/>
        <v>0</v>
      </c>
    </row>
    <row r="10627" spans="5:23" x14ac:dyDescent="0.25">
      <c r="E10627" s="4"/>
      <c r="F10627" s="4"/>
      <c r="G10627" s="33" t="str">
        <f>IFERROR(VLOOKUP($D10627,'Informations sur les produits'!$A$3:$H$10000,8,FALSE),"0")</f>
        <v>0</v>
      </c>
      <c r="K10627" s="4"/>
      <c r="L10627" s="33" t="str">
        <f>IFERROR(VLOOKUP($J10627,'Informations sur les produits'!$A$3:$H$10000,8,FALSE),"0")</f>
        <v>0</v>
      </c>
      <c r="N10627" s="8"/>
      <c r="O10627" s="33" t="str">
        <f>IFERROR(VLOOKUP($M10627,'Informations sur les produits'!$A$3:$H$10000,8,FALSE),"0")</f>
        <v>0</v>
      </c>
      <c r="P10627" s="33">
        <f t="shared" si="660"/>
        <v>0</v>
      </c>
      <c r="Q10627" s="31" t="str">
        <f t="shared" si="661"/>
        <v/>
      </c>
      <c r="R10627" s="32" t="str">
        <f>IFERROR(VLOOKUP($D10627,'Informations sur les produits'!$A$3:$B$15000,2,FALSE),"")</f>
        <v/>
      </c>
      <c r="V10627">
        <f t="shared" si="662"/>
        <v>0</v>
      </c>
      <c r="W10627">
        <f t="shared" si="663"/>
        <v>0</v>
      </c>
    </row>
    <row r="10628" spans="5:23" x14ac:dyDescent="0.25">
      <c r="E10628" s="4"/>
      <c r="F10628" s="4"/>
      <c r="G10628" s="33" t="str">
        <f>IFERROR(VLOOKUP($D10628,'Informations sur les produits'!$A$3:$H$10000,8,FALSE),"0")</f>
        <v>0</v>
      </c>
      <c r="K10628" s="4"/>
      <c r="L10628" s="33" t="str">
        <f>IFERROR(VLOOKUP($J10628,'Informations sur les produits'!$A$3:$H$10000,8,FALSE),"0")</f>
        <v>0</v>
      </c>
      <c r="N10628" s="8"/>
      <c r="O10628" s="33" t="str">
        <f>IFERROR(VLOOKUP($M10628,'Informations sur les produits'!$A$3:$H$10000,8,FALSE),"0")</f>
        <v>0</v>
      </c>
      <c r="P10628" s="33">
        <f t="shared" ref="P10628:P10691" si="664">IFERROR((($E10628-$F10628)*$G10628+$K10628*$L10628+$N10628*$O10628),"")</f>
        <v>0</v>
      </c>
      <c r="Q10628" s="31" t="str">
        <f t="shared" ref="Q10628:Q10691" si="665">IFERROR((((($E10628-$F10628)*$G10628+$K10628*$L10628+$N10628*$O10628)*1000)/(($E10628-$F10628)+$K10628+$N10628)),"")</f>
        <v/>
      </c>
      <c r="R10628" s="32" t="str">
        <f>IFERROR(VLOOKUP($D10628,'Informations sur les produits'!$A$3:$B$15000,2,FALSE),"")</f>
        <v/>
      </c>
      <c r="V10628">
        <f t="shared" ref="V10628:V10691" si="666">IFERROR(P10628*1000,"")</f>
        <v>0</v>
      </c>
      <c r="W10628">
        <f t="shared" ref="W10628:W10691" si="667">IFERROR(($E10628-$F10628)+$K10628+$N10628,"")</f>
        <v>0</v>
      </c>
    </row>
    <row r="10629" spans="5:23" x14ac:dyDescent="0.25">
      <c r="E10629" s="4"/>
      <c r="F10629" s="4"/>
      <c r="G10629" s="33" t="str">
        <f>IFERROR(VLOOKUP($D10629,'Informations sur les produits'!$A$3:$H$10000,8,FALSE),"0")</f>
        <v>0</v>
      </c>
      <c r="K10629" s="4"/>
      <c r="L10629" s="33" t="str">
        <f>IFERROR(VLOOKUP($J10629,'Informations sur les produits'!$A$3:$H$10000,8,FALSE),"0")</f>
        <v>0</v>
      </c>
      <c r="N10629" s="8"/>
      <c r="O10629" s="33" t="str">
        <f>IFERROR(VLOOKUP($M10629,'Informations sur les produits'!$A$3:$H$10000,8,FALSE),"0")</f>
        <v>0</v>
      </c>
      <c r="P10629" s="33">
        <f t="shared" si="664"/>
        <v>0</v>
      </c>
      <c r="Q10629" s="31" t="str">
        <f t="shared" si="665"/>
        <v/>
      </c>
      <c r="R10629" s="32" t="str">
        <f>IFERROR(VLOOKUP($D10629,'Informations sur les produits'!$A$3:$B$15000,2,FALSE),"")</f>
        <v/>
      </c>
      <c r="V10629">
        <f t="shared" si="666"/>
        <v>0</v>
      </c>
      <c r="W10629">
        <f t="shared" si="667"/>
        <v>0</v>
      </c>
    </row>
    <row r="10630" spans="5:23" x14ac:dyDescent="0.25">
      <c r="E10630" s="4"/>
      <c r="F10630" s="4"/>
      <c r="G10630" s="33" t="str">
        <f>IFERROR(VLOOKUP($D10630,'Informations sur les produits'!$A$3:$H$10000,8,FALSE),"0")</f>
        <v>0</v>
      </c>
      <c r="K10630" s="4"/>
      <c r="L10630" s="33" t="str">
        <f>IFERROR(VLOOKUP($J10630,'Informations sur les produits'!$A$3:$H$10000,8,FALSE),"0")</f>
        <v>0</v>
      </c>
      <c r="N10630" s="8"/>
      <c r="O10630" s="33" t="str">
        <f>IFERROR(VLOOKUP($M10630,'Informations sur les produits'!$A$3:$H$10000,8,FALSE),"0")</f>
        <v>0</v>
      </c>
      <c r="P10630" s="33">
        <f t="shared" si="664"/>
        <v>0</v>
      </c>
      <c r="Q10630" s="31" t="str">
        <f t="shared" si="665"/>
        <v/>
      </c>
      <c r="R10630" s="32" t="str">
        <f>IFERROR(VLOOKUP($D10630,'Informations sur les produits'!$A$3:$B$15000,2,FALSE),"")</f>
        <v/>
      </c>
      <c r="V10630">
        <f t="shared" si="666"/>
        <v>0</v>
      </c>
      <c r="W10630">
        <f t="shared" si="667"/>
        <v>0</v>
      </c>
    </row>
    <row r="10631" spans="5:23" x14ac:dyDescent="0.25">
      <c r="E10631" s="4"/>
      <c r="F10631" s="4"/>
      <c r="G10631" s="33" t="str">
        <f>IFERROR(VLOOKUP($D10631,'Informations sur les produits'!$A$3:$H$10000,8,FALSE),"0")</f>
        <v>0</v>
      </c>
      <c r="K10631" s="4"/>
      <c r="L10631" s="33" t="str">
        <f>IFERROR(VLOOKUP($J10631,'Informations sur les produits'!$A$3:$H$10000,8,FALSE),"0")</f>
        <v>0</v>
      </c>
      <c r="N10631" s="8"/>
      <c r="O10631" s="33" t="str">
        <f>IFERROR(VLOOKUP($M10631,'Informations sur les produits'!$A$3:$H$10000,8,FALSE),"0")</f>
        <v>0</v>
      </c>
      <c r="P10631" s="33">
        <f t="shared" si="664"/>
        <v>0</v>
      </c>
      <c r="Q10631" s="31" t="str">
        <f t="shared" si="665"/>
        <v/>
      </c>
      <c r="R10631" s="32" t="str">
        <f>IFERROR(VLOOKUP($D10631,'Informations sur les produits'!$A$3:$B$15000,2,FALSE),"")</f>
        <v/>
      </c>
      <c r="V10631">
        <f t="shared" si="666"/>
        <v>0</v>
      </c>
      <c r="W10631">
        <f t="shared" si="667"/>
        <v>0</v>
      </c>
    </row>
    <row r="10632" spans="5:23" x14ac:dyDescent="0.25">
      <c r="E10632" s="4"/>
      <c r="F10632" s="4"/>
      <c r="G10632" s="33" t="str">
        <f>IFERROR(VLOOKUP($D10632,'Informations sur les produits'!$A$3:$H$10000,8,FALSE),"0")</f>
        <v>0</v>
      </c>
      <c r="K10632" s="4"/>
      <c r="L10632" s="33" t="str">
        <f>IFERROR(VLOOKUP($J10632,'Informations sur les produits'!$A$3:$H$10000,8,FALSE),"0")</f>
        <v>0</v>
      </c>
      <c r="N10632" s="8"/>
      <c r="O10632" s="33" t="str">
        <f>IFERROR(VLOOKUP($M10632,'Informations sur les produits'!$A$3:$H$10000,8,FALSE),"0")</f>
        <v>0</v>
      </c>
      <c r="P10632" s="33">
        <f t="shared" si="664"/>
        <v>0</v>
      </c>
      <c r="Q10632" s="31" t="str">
        <f t="shared" si="665"/>
        <v/>
      </c>
      <c r="R10632" s="32" t="str">
        <f>IFERROR(VLOOKUP($D10632,'Informations sur les produits'!$A$3:$B$15000,2,FALSE),"")</f>
        <v/>
      </c>
      <c r="V10632">
        <f t="shared" si="666"/>
        <v>0</v>
      </c>
      <c r="W10632">
        <f t="shared" si="667"/>
        <v>0</v>
      </c>
    </row>
    <row r="10633" spans="5:23" x14ac:dyDescent="0.25">
      <c r="E10633" s="4"/>
      <c r="F10633" s="4"/>
      <c r="G10633" s="33" t="str">
        <f>IFERROR(VLOOKUP($D10633,'Informations sur les produits'!$A$3:$H$10000,8,FALSE),"0")</f>
        <v>0</v>
      </c>
      <c r="K10633" s="4"/>
      <c r="L10633" s="33" t="str">
        <f>IFERROR(VLOOKUP($J10633,'Informations sur les produits'!$A$3:$H$10000,8,FALSE),"0")</f>
        <v>0</v>
      </c>
      <c r="N10633" s="8"/>
      <c r="O10633" s="33" t="str">
        <f>IFERROR(VLOOKUP($M10633,'Informations sur les produits'!$A$3:$H$10000,8,FALSE),"0")</f>
        <v>0</v>
      </c>
      <c r="P10633" s="33">
        <f t="shared" si="664"/>
        <v>0</v>
      </c>
      <c r="Q10633" s="31" t="str">
        <f t="shared" si="665"/>
        <v/>
      </c>
      <c r="R10633" s="32" t="str">
        <f>IFERROR(VLOOKUP($D10633,'Informations sur les produits'!$A$3:$B$15000,2,FALSE),"")</f>
        <v/>
      </c>
      <c r="V10633">
        <f t="shared" si="666"/>
        <v>0</v>
      </c>
      <c r="W10633">
        <f t="shared" si="667"/>
        <v>0</v>
      </c>
    </row>
    <row r="10634" spans="5:23" x14ac:dyDescent="0.25">
      <c r="E10634" s="4"/>
      <c r="F10634" s="4"/>
      <c r="G10634" s="33" t="str">
        <f>IFERROR(VLOOKUP($D10634,'Informations sur les produits'!$A$3:$H$10000,8,FALSE),"0")</f>
        <v>0</v>
      </c>
      <c r="K10634" s="4"/>
      <c r="L10634" s="33" t="str">
        <f>IFERROR(VLOOKUP($J10634,'Informations sur les produits'!$A$3:$H$10000,8,FALSE),"0")</f>
        <v>0</v>
      </c>
      <c r="N10634" s="8"/>
      <c r="O10634" s="33" t="str">
        <f>IFERROR(VLOOKUP($M10634,'Informations sur les produits'!$A$3:$H$10000,8,FALSE),"0")</f>
        <v>0</v>
      </c>
      <c r="P10634" s="33">
        <f t="shared" si="664"/>
        <v>0</v>
      </c>
      <c r="Q10634" s="31" t="str">
        <f t="shared" si="665"/>
        <v/>
      </c>
      <c r="R10634" s="32" t="str">
        <f>IFERROR(VLOOKUP($D10634,'Informations sur les produits'!$A$3:$B$15000,2,FALSE),"")</f>
        <v/>
      </c>
      <c r="V10634">
        <f t="shared" si="666"/>
        <v>0</v>
      </c>
      <c r="W10634">
        <f t="shared" si="667"/>
        <v>0</v>
      </c>
    </row>
    <row r="10635" spans="5:23" x14ac:dyDescent="0.25">
      <c r="E10635" s="4"/>
      <c r="F10635" s="4"/>
      <c r="G10635" s="33" t="str">
        <f>IFERROR(VLOOKUP($D10635,'Informations sur les produits'!$A$3:$H$10000,8,FALSE),"0")</f>
        <v>0</v>
      </c>
      <c r="K10635" s="4"/>
      <c r="L10635" s="33" t="str">
        <f>IFERROR(VLOOKUP($J10635,'Informations sur les produits'!$A$3:$H$10000,8,FALSE),"0")</f>
        <v>0</v>
      </c>
      <c r="N10635" s="8"/>
      <c r="O10635" s="33" t="str">
        <f>IFERROR(VLOOKUP($M10635,'Informations sur les produits'!$A$3:$H$10000,8,FALSE),"0")</f>
        <v>0</v>
      </c>
      <c r="P10635" s="33">
        <f t="shared" si="664"/>
        <v>0</v>
      </c>
      <c r="Q10635" s="31" t="str">
        <f t="shared" si="665"/>
        <v/>
      </c>
      <c r="R10635" s="32" t="str">
        <f>IFERROR(VLOOKUP($D10635,'Informations sur les produits'!$A$3:$B$15000,2,FALSE),"")</f>
        <v/>
      </c>
      <c r="V10635">
        <f t="shared" si="666"/>
        <v>0</v>
      </c>
      <c r="W10635">
        <f t="shared" si="667"/>
        <v>0</v>
      </c>
    </row>
    <row r="10636" spans="5:23" x14ac:dyDescent="0.25">
      <c r="E10636" s="4"/>
      <c r="F10636" s="4"/>
      <c r="G10636" s="33" t="str">
        <f>IFERROR(VLOOKUP($D10636,'Informations sur les produits'!$A$3:$H$10000,8,FALSE),"0")</f>
        <v>0</v>
      </c>
      <c r="K10636" s="4"/>
      <c r="L10636" s="33" t="str">
        <f>IFERROR(VLOOKUP($J10636,'Informations sur les produits'!$A$3:$H$10000,8,FALSE),"0")</f>
        <v>0</v>
      </c>
      <c r="N10636" s="8"/>
      <c r="O10636" s="33" t="str">
        <f>IFERROR(VLOOKUP($M10636,'Informations sur les produits'!$A$3:$H$10000,8,FALSE),"0")</f>
        <v>0</v>
      </c>
      <c r="P10636" s="33">
        <f t="shared" si="664"/>
        <v>0</v>
      </c>
      <c r="Q10636" s="31" t="str">
        <f t="shared" si="665"/>
        <v/>
      </c>
      <c r="R10636" s="32" t="str">
        <f>IFERROR(VLOOKUP($D10636,'Informations sur les produits'!$A$3:$B$15000,2,FALSE),"")</f>
        <v/>
      </c>
      <c r="V10636">
        <f t="shared" si="666"/>
        <v>0</v>
      </c>
      <c r="W10636">
        <f t="shared" si="667"/>
        <v>0</v>
      </c>
    </row>
    <row r="10637" spans="5:23" x14ac:dyDescent="0.25">
      <c r="E10637" s="4"/>
      <c r="F10637" s="4"/>
      <c r="G10637" s="33" t="str">
        <f>IFERROR(VLOOKUP($D10637,'Informations sur les produits'!$A$3:$H$10000,8,FALSE),"0")</f>
        <v>0</v>
      </c>
      <c r="K10637" s="4"/>
      <c r="L10637" s="33" t="str">
        <f>IFERROR(VLOOKUP($J10637,'Informations sur les produits'!$A$3:$H$10000,8,FALSE),"0")</f>
        <v>0</v>
      </c>
      <c r="N10637" s="8"/>
      <c r="O10637" s="33" t="str">
        <f>IFERROR(VLOOKUP($M10637,'Informations sur les produits'!$A$3:$H$10000,8,FALSE),"0")</f>
        <v>0</v>
      </c>
      <c r="P10637" s="33">
        <f t="shared" si="664"/>
        <v>0</v>
      </c>
      <c r="Q10637" s="31" t="str">
        <f t="shared" si="665"/>
        <v/>
      </c>
      <c r="R10637" s="32" t="str">
        <f>IFERROR(VLOOKUP($D10637,'Informations sur les produits'!$A$3:$B$15000,2,FALSE),"")</f>
        <v/>
      </c>
      <c r="V10637">
        <f t="shared" si="666"/>
        <v>0</v>
      </c>
      <c r="W10637">
        <f t="shared" si="667"/>
        <v>0</v>
      </c>
    </row>
    <row r="10638" spans="5:23" x14ac:dyDescent="0.25">
      <c r="E10638" s="4"/>
      <c r="F10638" s="4"/>
      <c r="G10638" s="33" t="str">
        <f>IFERROR(VLOOKUP($D10638,'Informations sur les produits'!$A$3:$H$10000,8,FALSE),"0")</f>
        <v>0</v>
      </c>
      <c r="K10638" s="4"/>
      <c r="L10638" s="33" t="str">
        <f>IFERROR(VLOOKUP($J10638,'Informations sur les produits'!$A$3:$H$10000,8,FALSE),"0")</f>
        <v>0</v>
      </c>
      <c r="N10638" s="8"/>
      <c r="O10638" s="33" t="str">
        <f>IFERROR(VLOOKUP($M10638,'Informations sur les produits'!$A$3:$H$10000,8,FALSE),"0")</f>
        <v>0</v>
      </c>
      <c r="P10638" s="33">
        <f t="shared" si="664"/>
        <v>0</v>
      </c>
      <c r="Q10638" s="31" t="str">
        <f t="shared" si="665"/>
        <v/>
      </c>
      <c r="R10638" s="32" t="str">
        <f>IFERROR(VLOOKUP($D10638,'Informations sur les produits'!$A$3:$B$15000,2,FALSE),"")</f>
        <v/>
      </c>
      <c r="V10638">
        <f t="shared" si="666"/>
        <v>0</v>
      </c>
      <c r="W10638">
        <f t="shared" si="667"/>
        <v>0</v>
      </c>
    </row>
    <row r="10639" spans="5:23" x14ac:dyDescent="0.25">
      <c r="E10639" s="4"/>
      <c r="F10639" s="4"/>
      <c r="G10639" s="33" t="str">
        <f>IFERROR(VLOOKUP($D10639,'Informations sur les produits'!$A$3:$H$10000,8,FALSE),"0")</f>
        <v>0</v>
      </c>
      <c r="K10639" s="4"/>
      <c r="L10639" s="33" t="str">
        <f>IFERROR(VLOOKUP($J10639,'Informations sur les produits'!$A$3:$H$10000,8,FALSE),"0")</f>
        <v>0</v>
      </c>
      <c r="N10639" s="8"/>
      <c r="O10639" s="33" t="str">
        <f>IFERROR(VLOOKUP($M10639,'Informations sur les produits'!$A$3:$H$10000,8,FALSE),"0")</f>
        <v>0</v>
      </c>
      <c r="P10639" s="33">
        <f t="shared" si="664"/>
        <v>0</v>
      </c>
      <c r="Q10639" s="31" t="str">
        <f t="shared" si="665"/>
        <v/>
      </c>
      <c r="R10639" s="32" t="str">
        <f>IFERROR(VLOOKUP($D10639,'Informations sur les produits'!$A$3:$B$15000,2,FALSE),"")</f>
        <v/>
      </c>
      <c r="V10639">
        <f t="shared" si="666"/>
        <v>0</v>
      </c>
      <c r="W10639">
        <f t="shared" si="667"/>
        <v>0</v>
      </c>
    </row>
    <row r="10640" spans="5:23" x14ac:dyDescent="0.25">
      <c r="E10640" s="4"/>
      <c r="F10640" s="4"/>
      <c r="G10640" s="33" t="str">
        <f>IFERROR(VLOOKUP($D10640,'Informations sur les produits'!$A$3:$H$10000,8,FALSE),"0")</f>
        <v>0</v>
      </c>
      <c r="K10640" s="4"/>
      <c r="L10640" s="33" t="str">
        <f>IFERROR(VLOOKUP($J10640,'Informations sur les produits'!$A$3:$H$10000,8,FALSE),"0")</f>
        <v>0</v>
      </c>
      <c r="N10640" s="8"/>
      <c r="O10640" s="33" t="str">
        <f>IFERROR(VLOOKUP($M10640,'Informations sur les produits'!$A$3:$H$10000,8,FALSE),"0")</f>
        <v>0</v>
      </c>
      <c r="P10640" s="33">
        <f t="shared" si="664"/>
        <v>0</v>
      </c>
      <c r="Q10640" s="31" t="str">
        <f t="shared" si="665"/>
        <v/>
      </c>
      <c r="R10640" s="32" t="str">
        <f>IFERROR(VLOOKUP($D10640,'Informations sur les produits'!$A$3:$B$15000,2,FALSE),"")</f>
        <v/>
      </c>
      <c r="V10640">
        <f t="shared" si="666"/>
        <v>0</v>
      </c>
      <c r="W10640">
        <f t="shared" si="667"/>
        <v>0</v>
      </c>
    </row>
    <row r="10641" spans="5:23" x14ac:dyDescent="0.25">
      <c r="E10641" s="4"/>
      <c r="F10641" s="4"/>
      <c r="G10641" s="33" t="str">
        <f>IFERROR(VLOOKUP($D10641,'Informations sur les produits'!$A$3:$H$10000,8,FALSE),"0")</f>
        <v>0</v>
      </c>
      <c r="K10641" s="4"/>
      <c r="L10641" s="33" t="str">
        <f>IFERROR(VLOOKUP($J10641,'Informations sur les produits'!$A$3:$H$10000,8,FALSE),"0")</f>
        <v>0</v>
      </c>
      <c r="N10641" s="8"/>
      <c r="O10641" s="33" t="str">
        <f>IFERROR(VLOOKUP($M10641,'Informations sur les produits'!$A$3:$H$10000,8,FALSE),"0")</f>
        <v>0</v>
      </c>
      <c r="P10641" s="33">
        <f t="shared" si="664"/>
        <v>0</v>
      </c>
      <c r="Q10641" s="31" t="str">
        <f t="shared" si="665"/>
        <v/>
      </c>
      <c r="R10641" s="32" t="str">
        <f>IFERROR(VLOOKUP($D10641,'Informations sur les produits'!$A$3:$B$15000,2,FALSE),"")</f>
        <v/>
      </c>
      <c r="V10641">
        <f t="shared" si="666"/>
        <v>0</v>
      </c>
      <c r="W10641">
        <f t="shared" si="667"/>
        <v>0</v>
      </c>
    </row>
    <row r="10642" spans="5:23" x14ac:dyDescent="0.25">
      <c r="E10642" s="4"/>
      <c r="F10642" s="4"/>
      <c r="G10642" s="33" t="str">
        <f>IFERROR(VLOOKUP($D10642,'Informations sur les produits'!$A$3:$H$10000,8,FALSE),"0")</f>
        <v>0</v>
      </c>
      <c r="K10642" s="4"/>
      <c r="L10642" s="33" t="str">
        <f>IFERROR(VLOOKUP($J10642,'Informations sur les produits'!$A$3:$H$10000,8,FALSE),"0")</f>
        <v>0</v>
      </c>
      <c r="N10642" s="8"/>
      <c r="O10642" s="33" t="str">
        <f>IFERROR(VLOOKUP($M10642,'Informations sur les produits'!$A$3:$H$10000,8,FALSE),"0")</f>
        <v>0</v>
      </c>
      <c r="P10642" s="33">
        <f t="shared" si="664"/>
        <v>0</v>
      </c>
      <c r="Q10642" s="31" t="str">
        <f t="shared" si="665"/>
        <v/>
      </c>
      <c r="R10642" s="32" t="str">
        <f>IFERROR(VLOOKUP($D10642,'Informations sur les produits'!$A$3:$B$15000,2,FALSE),"")</f>
        <v/>
      </c>
      <c r="V10642">
        <f t="shared" si="666"/>
        <v>0</v>
      </c>
      <c r="W10642">
        <f t="shared" si="667"/>
        <v>0</v>
      </c>
    </row>
    <row r="10643" spans="5:23" x14ac:dyDescent="0.25">
      <c r="E10643" s="4"/>
      <c r="F10643" s="4"/>
      <c r="G10643" s="33" t="str">
        <f>IFERROR(VLOOKUP($D10643,'Informations sur les produits'!$A$3:$H$10000,8,FALSE),"0")</f>
        <v>0</v>
      </c>
      <c r="K10643" s="4"/>
      <c r="L10643" s="33" t="str">
        <f>IFERROR(VLOOKUP($J10643,'Informations sur les produits'!$A$3:$H$10000,8,FALSE),"0")</f>
        <v>0</v>
      </c>
      <c r="N10643" s="8"/>
      <c r="O10643" s="33" t="str">
        <f>IFERROR(VLOOKUP($M10643,'Informations sur les produits'!$A$3:$H$10000,8,FALSE),"0")</f>
        <v>0</v>
      </c>
      <c r="P10643" s="33">
        <f t="shared" si="664"/>
        <v>0</v>
      </c>
      <c r="Q10643" s="31" t="str">
        <f t="shared" si="665"/>
        <v/>
      </c>
      <c r="R10643" s="32" t="str">
        <f>IFERROR(VLOOKUP($D10643,'Informations sur les produits'!$A$3:$B$15000,2,FALSE),"")</f>
        <v/>
      </c>
      <c r="V10643">
        <f t="shared" si="666"/>
        <v>0</v>
      </c>
      <c r="W10643">
        <f t="shared" si="667"/>
        <v>0</v>
      </c>
    </row>
    <row r="10644" spans="5:23" x14ac:dyDescent="0.25">
      <c r="E10644" s="4"/>
      <c r="F10644" s="4"/>
      <c r="G10644" s="33" t="str">
        <f>IFERROR(VLOOKUP($D10644,'Informations sur les produits'!$A$3:$H$10000,8,FALSE),"0")</f>
        <v>0</v>
      </c>
      <c r="K10644" s="4"/>
      <c r="L10644" s="33" t="str">
        <f>IFERROR(VLOOKUP($J10644,'Informations sur les produits'!$A$3:$H$10000,8,FALSE),"0")</f>
        <v>0</v>
      </c>
      <c r="N10644" s="8"/>
      <c r="O10644" s="33" t="str">
        <f>IFERROR(VLOOKUP($M10644,'Informations sur les produits'!$A$3:$H$10000,8,FALSE),"0")</f>
        <v>0</v>
      </c>
      <c r="P10644" s="33">
        <f t="shared" si="664"/>
        <v>0</v>
      </c>
      <c r="Q10644" s="31" t="str">
        <f t="shared" si="665"/>
        <v/>
      </c>
      <c r="R10644" s="32" t="str">
        <f>IFERROR(VLOOKUP($D10644,'Informations sur les produits'!$A$3:$B$15000,2,FALSE),"")</f>
        <v/>
      </c>
      <c r="V10644">
        <f t="shared" si="666"/>
        <v>0</v>
      </c>
      <c r="W10644">
        <f t="shared" si="667"/>
        <v>0</v>
      </c>
    </row>
    <row r="10645" spans="5:23" x14ac:dyDescent="0.25">
      <c r="E10645" s="4"/>
      <c r="F10645" s="4"/>
      <c r="G10645" s="33" t="str">
        <f>IFERROR(VLOOKUP($D10645,'Informations sur les produits'!$A$3:$H$10000,8,FALSE),"0")</f>
        <v>0</v>
      </c>
      <c r="K10645" s="4"/>
      <c r="L10645" s="33" t="str">
        <f>IFERROR(VLOOKUP($J10645,'Informations sur les produits'!$A$3:$H$10000,8,FALSE),"0")</f>
        <v>0</v>
      </c>
      <c r="N10645" s="8"/>
      <c r="O10645" s="33" t="str">
        <f>IFERROR(VLOOKUP($M10645,'Informations sur les produits'!$A$3:$H$10000,8,FALSE),"0")</f>
        <v>0</v>
      </c>
      <c r="P10645" s="33">
        <f t="shared" si="664"/>
        <v>0</v>
      </c>
      <c r="Q10645" s="31" t="str">
        <f t="shared" si="665"/>
        <v/>
      </c>
      <c r="R10645" s="32" t="str">
        <f>IFERROR(VLOOKUP($D10645,'Informations sur les produits'!$A$3:$B$15000,2,FALSE),"")</f>
        <v/>
      </c>
      <c r="V10645">
        <f t="shared" si="666"/>
        <v>0</v>
      </c>
      <c r="W10645">
        <f t="shared" si="667"/>
        <v>0</v>
      </c>
    </row>
    <row r="10646" spans="5:23" x14ac:dyDescent="0.25">
      <c r="E10646" s="4"/>
      <c r="F10646" s="4"/>
      <c r="G10646" s="33" t="str">
        <f>IFERROR(VLOOKUP($D10646,'Informations sur les produits'!$A$3:$H$10000,8,FALSE),"0")</f>
        <v>0</v>
      </c>
      <c r="K10646" s="4"/>
      <c r="L10646" s="33" t="str">
        <f>IFERROR(VLOOKUP($J10646,'Informations sur les produits'!$A$3:$H$10000,8,FALSE),"0")</f>
        <v>0</v>
      </c>
      <c r="N10646" s="8"/>
      <c r="O10646" s="33" t="str">
        <f>IFERROR(VLOOKUP($M10646,'Informations sur les produits'!$A$3:$H$10000,8,FALSE),"0")</f>
        <v>0</v>
      </c>
      <c r="P10646" s="33">
        <f t="shared" si="664"/>
        <v>0</v>
      </c>
      <c r="Q10646" s="31" t="str">
        <f t="shared" si="665"/>
        <v/>
      </c>
      <c r="R10646" s="32" t="str">
        <f>IFERROR(VLOOKUP($D10646,'Informations sur les produits'!$A$3:$B$15000,2,FALSE),"")</f>
        <v/>
      </c>
      <c r="V10646">
        <f t="shared" si="666"/>
        <v>0</v>
      </c>
      <c r="W10646">
        <f t="shared" si="667"/>
        <v>0</v>
      </c>
    </row>
    <row r="10647" spans="5:23" x14ac:dyDescent="0.25">
      <c r="E10647" s="4"/>
      <c r="F10647" s="4"/>
      <c r="G10647" s="33" t="str">
        <f>IFERROR(VLOOKUP($D10647,'Informations sur les produits'!$A$3:$H$10000,8,FALSE),"0")</f>
        <v>0</v>
      </c>
      <c r="K10647" s="4"/>
      <c r="L10647" s="33" t="str">
        <f>IFERROR(VLOOKUP($J10647,'Informations sur les produits'!$A$3:$H$10000,8,FALSE),"0")</f>
        <v>0</v>
      </c>
      <c r="N10647" s="8"/>
      <c r="O10647" s="33" t="str">
        <f>IFERROR(VLOOKUP($M10647,'Informations sur les produits'!$A$3:$H$10000,8,FALSE),"0")</f>
        <v>0</v>
      </c>
      <c r="P10647" s="33">
        <f t="shared" si="664"/>
        <v>0</v>
      </c>
      <c r="Q10647" s="31" t="str">
        <f t="shared" si="665"/>
        <v/>
      </c>
      <c r="R10647" s="32" t="str">
        <f>IFERROR(VLOOKUP($D10647,'Informations sur les produits'!$A$3:$B$15000,2,FALSE),"")</f>
        <v/>
      </c>
      <c r="V10647">
        <f t="shared" si="666"/>
        <v>0</v>
      </c>
      <c r="W10647">
        <f t="shared" si="667"/>
        <v>0</v>
      </c>
    </row>
    <row r="10648" spans="5:23" x14ac:dyDescent="0.25">
      <c r="E10648" s="4"/>
      <c r="F10648" s="4"/>
      <c r="G10648" s="33" t="str">
        <f>IFERROR(VLOOKUP($D10648,'Informations sur les produits'!$A$3:$H$10000,8,FALSE),"0")</f>
        <v>0</v>
      </c>
      <c r="K10648" s="4"/>
      <c r="L10648" s="33" t="str">
        <f>IFERROR(VLOOKUP($J10648,'Informations sur les produits'!$A$3:$H$10000,8,FALSE),"0")</f>
        <v>0</v>
      </c>
      <c r="N10648" s="8"/>
      <c r="O10648" s="33" t="str">
        <f>IFERROR(VLOOKUP($M10648,'Informations sur les produits'!$A$3:$H$10000,8,FALSE),"0")</f>
        <v>0</v>
      </c>
      <c r="P10648" s="33">
        <f t="shared" si="664"/>
        <v>0</v>
      </c>
      <c r="Q10648" s="31" t="str">
        <f t="shared" si="665"/>
        <v/>
      </c>
      <c r="R10648" s="32" t="str">
        <f>IFERROR(VLOOKUP($D10648,'Informations sur les produits'!$A$3:$B$15000,2,FALSE),"")</f>
        <v/>
      </c>
      <c r="V10648">
        <f t="shared" si="666"/>
        <v>0</v>
      </c>
      <c r="W10648">
        <f t="shared" si="667"/>
        <v>0</v>
      </c>
    </row>
    <row r="10649" spans="5:23" x14ac:dyDescent="0.25">
      <c r="E10649" s="4"/>
      <c r="F10649" s="4"/>
      <c r="G10649" s="33" t="str">
        <f>IFERROR(VLOOKUP($D10649,'Informations sur les produits'!$A$3:$H$10000,8,FALSE),"0")</f>
        <v>0</v>
      </c>
      <c r="K10649" s="4"/>
      <c r="L10649" s="33" t="str">
        <f>IFERROR(VLOOKUP($J10649,'Informations sur les produits'!$A$3:$H$10000,8,FALSE),"0")</f>
        <v>0</v>
      </c>
      <c r="N10649" s="8"/>
      <c r="O10649" s="33" t="str">
        <f>IFERROR(VLOOKUP($M10649,'Informations sur les produits'!$A$3:$H$10000,8,FALSE),"0")</f>
        <v>0</v>
      </c>
      <c r="P10649" s="33">
        <f t="shared" si="664"/>
        <v>0</v>
      </c>
      <c r="Q10649" s="31" t="str">
        <f t="shared" si="665"/>
        <v/>
      </c>
      <c r="R10649" s="32" t="str">
        <f>IFERROR(VLOOKUP($D10649,'Informations sur les produits'!$A$3:$B$15000,2,FALSE),"")</f>
        <v/>
      </c>
      <c r="V10649">
        <f t="shared" si="666"/>
        <v>0</v>
      </c>
      <c r="W10649">
        <f t="shared" si="667"/>
        <v>0</v>
      </c>
    </row>
    <row r="10650" spans="5:23" x14ac:dyDescent="0.25">
      <c r="E10650" s="4"/>
      <c r="F10650" s="4"/>
      <c r="G10650" s="33" t="str">
        <f>IFERROR(VLOOKUP($D10650,'Informations sur les produits'!$A$3:$H$10000,8,FALSE),"0")</f>
        <v>0</v>
      </c>
      <c r="K10650" s="4"/>
      <c r="L10650" s="33" t="str">
        <f>IFERROR(VLOOKUP($J10650,'Informations sur les produits'!$A$3:$H$10000,8,FALSE),"0")</f>
        <v>0</v>
      </c>
      <c r="N10650" s="8"/>
      <c r="O10650" s="33" t="str">
        <f>IFERROR(VLOOKUP($M10650,'Informations sur les produits'!$A$3:$H$10000,8,FALSE),"0")</f>
        <v>0</v>
      </c>
      <c r="P10650" s="33">
        <f t="shared" si="664"/>
        <v>0</v>
      </c>
      <c r="Q10650" s="31" t="str">
        <f t="shared" si="665"/>
        <v/>
      </c>
      <c r="R10650" s="32" t="str">
        <f>IFERROR(VLOOKUP($D10650,'Informations sur les produits'!$A$3:$B$15000,2,FALSE),"")</f>
        <v/>
      </c>
      <c r="V10650">
        <f t="shared" si="666"/>
        <v>0</v>
      </c>
      <c r="W10650">
        <f t="shared" si="667"/>
        <v>0</v>
      </c>
    </row>
    <row r="10651" spans="5:23" x14ac:dyDescent="0.25">
      <c r="E10651" s="4"/>
      <c r="F10651" s="4"/>
      <c r="G10651" s="33" t="str">
        <f>IFERROR(VLOOKUP($D10651,'Informations sur les produits'!$A$3:$H$10000,8,FALSE),"0")</f>
        <v>0</v>
      </c>
      <c r="K10651" s="4"/>
      <c r="L10651" s="33" t="str">
        <f>IFERROR(VLOOKUP($J10651,'Informations sur les produits'!$A$3:$H$10000,8,FALSE),"0")</f>
        <v>0</v>
      </c>
      <c r="N10651" s="8"/>
      <c r="O10651" s="33" t="str">
        <f>IFERROR(VLOOKUP($M10651,'Informations sur les produits'!$A$3:$H$10000,8,FALSE),"0")</f>
        <v>0</v>
      </c>
      <c r="P10651" s="33">
        <f t="shared" si="664"/>
        <v>0</v>
      </c>
      <c r="Q10651" s="31" t="str">
        <f t="shared" si="665"/>
        <v/>
      </c>
      <c r="R10651" s="32" t="str">
        <f>IFERROR(VLOOKUP($D10651,'Informations sur les produits'!$A$3:$B$15000,2,FALSE),"")</f>
        <v/>
      </c>
      <c r="V10651">
        <f t="shared" si="666"/>
        <v>0</v>
      </c>
      <c r="W10651">
        <f t="shared" si="667"/>
        <v>0</v>
      </c>
    </row>
    <row r="10652" spans="5:23" x14ac:dyDescent="0.25">
      <c r="E10652" s="4"/>
      <c r="F10652" s="4"/>
      <c r="G10652" s="33" t="str">
        <f>IFERROR(VLOOKUP($D10652,'Informations sur les produits'!$A$3:$H$10000,8,FALSE),"0")</f>
        <v>0</v>
      </c>
      <c r="K10652" s="4"/>
      <c r="L10652" s="33" t="str">
        <f>IFERROR(VLOOKUP($J10652,'Informations sur les produits'!$A$3:$H$10000,8,FALSE),"0")</f>
        <v>0</v>
      </c>
      <c r="N10652" s="8"/>
      <c r="O10652" s="33" t="str">
        <f>IFERROR(VLOOKUP($M10652,'Informations sur les produits'!$A$3:$H$10000,8,FALSE),"0")</f>
        <v>0</v>
      </c>
      <c r="P10652" s="33">
        <f t="shared" si="664"/>
        <v>0</v>
      </c>
      <c r="Q10652" s="31" t="str">
        <f t="shared" si="665"/>
        <v/>
      </c>
      <c r="R10652" s="32" t="str">
        <f>IFERROR(VLOOKUP($D10652,'Informations sur les produits'!$A$3:$B$15000,2,FALSE),"")</f>
        <v/>
      </c>
      <c r="V10652">
        <f t="shared" si="666"/>
        <v>0</v>
      </c>
      <c r="W10652">
        <f t="shared" si="667"/>
        <v>0</v>
      </c>
    </row>
    <row r="10653" spans="5:23" x14ac:dyDescent="0.25">
      <c r="E10653" s="4"/>
      <c r="F10653" s="4"/>
      <c r="G10653" s="33" t="str">
        <f>IFERROR(VLOOKUP($D10653,'Informations sur les produits'!$A$3:$H$10000,8,FALSE),"0")</f>
        <v>0</v>
      </c>
      <c r="K10653" s="4"/>
      <c r="L10653" s="33" t="str">
        <f>IFERROR(VLOOKUP($J10653,'Informations sur les produits'!$A$3:$H$10000,8,FALSE),"0")</f>
        <v>0</v>
      </c>
      <c r="N10653" s="8"/>
      <c r="O10653" s="33" t="str">
        <f>IFERROR(VLOOKUP($M10653,'Informations sur les produits'!$A$3:$H$10000,8,FALSE),"0")</f>
        <v>0</v>
      </c>
      <c r="P10653" s="33">
        <f t="shared" si="664"/>
        <v>0</v>
      </c>
      <c r="Q10653" s="31" t="str">
        <f t="shared" si="665"/>
        <v/>
      </c>
      <c r="R10653" s="32" t="str">
        <f>IFERROR(VLOOKUP($D10653,'Informations sur les produits'!$A$3:$B$15000,2,FALSE),"")</f>
        <v/>
      </c>
      <c r="V10653">
        <f t="shared" si="666"/>
        <v>0</v>
      </c>
      <c r="W10653">
        <f t="shared" si="667"/>
        <v>0</v>
      </c>
    </row>
    <row r="10654" spans="5:23" x14ac:dyDescent="0.25">
      <c r="E10654" s="4"/>
      <c r="F10654" s="4"/>
      <c r="G10654" s="33" t="str">
        <f>IFERROR(VLOOKUP($D10654,'Informations sur les produits'!$A$3:$H$10000,8,FALSE),"0")</f>
        <v>0</v>
      </c>
      <c r="K10654" s="4"/>
      <c r="L10654" s="33" t="str">
        <f>IFERROR(VLOOKUP($J10654,'Informations sur les produits'!$A$3:$H$10000,8,FALSE),"0")</f>
        <v>0</v>
      </c>
      <c r="N10654" s="8"/>
      <c r="O10654" s="33" t="str">
        <f>IFERROR(VLOOKUP($M10654,'Informations sur les produits'!$A$3:$H$10000,8,FALSE),"0")</f>
        <v>0</v>
      </c>
      <c r="P10654" s="33">
        <f t="shared" si="664"/>
        <v>0</v>
      </c>
      <c r="Q10654" s="31" t="str">
        <f t="shared" si="665"/>
        <v/>
      </c>
      <c r="R10654" s="32" t="str">
        <f>IFERROR(VLOOKUP($D10654,'Informations sur les produits'!$A$3:$B$15000,2,FALSE),"")</f>
        <v/>
      </c>
      <c r="V10654">
        <f t="shared" si="666"/>
        <v>0</v>
      </c>
      <c r="W10654">
        <f t="shared" si="667"/>
        <v>0</v>
      </c>
    </row>
    <row r="10655" spans="5:23" x14ac:dyDescent="0.25">
      <c r="E10655" s="4"/>
      <c r="F10655" s="4"/>
      <c r="G10655" s="33" t="str">
        <f>IFERROR(VLOOKUP($D10655,'Informations sur les produits'!$A$3:$H$10000,8,FALSE),"0")</f>
        <v>0</v>
      </c>
      <c r="K10655" s="4"/>
      <c r="L10655" s="33" t="str">
        <f>IFERROR(VLOOKUP($J10655,'Informations sur les produits'!$A$3:$H$10000,8,FALSE),"0")</f>
        <v>0</v>
      </c>
      <c r="N10655" s="8"/>
      <c r="O10655" s="33" t="str">
        <f>IFERROR(VLOOKUP($M10655,'Informations sur les produits'!$A$3:$H$10000,8,FALSE),"0")</f>
        <v>0</v>
      </c>
      <c r="P10655" s="33">
        <f t="shared" si="664"/>
        <v>0</v>
      </c>
      <c r="Q10655" s="31" t="str">
        <f t="shared" si="665"/>
        <v/>
      </c>
      <c r="R10655" s="32" t="str">
        <f>IFERROR(VLOOKUP($D10655,'Informations sur les produits'!$A$3:$B$15000,2,FALSE),"")</f>
        <v/>
      </c>
      <c r="V10655">
        <f t="shared" si="666"/>
        <v>0</v>
      </c>
      <c r="W10655">
        <f t="shared" si="667"/>
        <v>0</v>
      </c>
    </row>
    <row r="10656" spans="5:23" x14ac:dyDescent="0.25">
      <c r="E10656" s="4"/>
      <c r="F10656" s="4"/>
      <c r="G10656" s="33" t="str">
        <f>IFERROR(VLOOKUP($D10656,'Informations sur les produits'!$A$3:$H$10000,8,FALSE),"0")</f>
        <v>0</v>
      </c>
      <c r="K10656" s="4"/>
      <c r="L10656" s="33" t="str">
        <f>IFERROR(VLOOKUP($J10656,'Informations sur les produits'!$A$3:$H$10000,8,FALSE),"0")</f>
        <v>0</v>
      </c>
      <c r="N10656" s="8"/>
      <c r="O10656" s="33" t="str">
        <f>IFERROR(VLOOKUP($M10656,'Informations sur les produits'!$A$3:$H$10000,8,FALSE),"0")</f>
        <v>0</v>
      </c>
      <c r="P10656" s="33">
        <f t="shared" si="664"/>
        <v>0</v>
      </c>
      <c r="Q10656" s="31" t="str">
        <f t="shared" si="665"/>
        <v/>
      </c>
      <c r="R10656" s="32" t="str">
        <f>IFERROR(VLOOKUP($D10656,'Informations sur les produits'!$A$3:$B$15000,2,FALSE),"")</f>
        <v/>
      </c>
      <c r="V10656">
        <f t="shared" si="666"/>
        <v>0</v>
      </c>
      <c r="W10656">
        <f t="shared" si="667"/>
        <v>0</v>
      </c>
    </row>
    <row r="10657" spans="5:23" x14ac:dyDescent="0.25">
      <c r="E10657" s="4"/>
      <c r="F10657" s="4"/>
      <c r="G10657" s="33" t="str">
        <f>IFERROR(VLOOKUP($D10657,'Informations sur les produits'!$A$3:$H$10000,8,FALSE),"0")</f>
        <v>0</v>
      </c>
      <c r="K10657" s="4"/>
      <c r="L10657" s="33" t="str">
        <f>IFERROR(VLOOKUP($J10657,'Informations sur les produits'!$A$3:$H$10000,8,FALSE),"0")</f>
        <v>0</v>
      </c>
      <c r="N10657" s="8"/>
      <c r="O10657" s="33" t="str">
        <f>IFERROR(VLOOKUP($M10657,'Informations sur les produits'!$A$3:$H$10000,8,FALSE),"0")</f>
        <v>0</v>
      </c>
      <c r="P10657" s="33">
        <f t="shared" si="664"/>
        <v>0</v>
      </c>
      <c r="Q10657" s="31" t="str">
        <f t="shared" si="665"/>
        <v/>
      </c>
      <c r="R10657" s="32" t="str">
        <f>IFERROR(VLOOKUP($D10657,'Informations sur les produits'!$A$3:$B$15000,2,FALSE),"")</f>
        <v/>
      </c>
      <c r="V10657">
        <f t="shared" si="666"/>
        <v>0</v>
      </c>
      <c r="W10657">
        <f t="shared" si="667"/>
        <v>0</v>
      </c>
    </row>
    <row r="10658" spans="5:23" x14ac:dyDescent="0.25">
      <c r="E10658" s="4"/>
      <c r="F10658" s="4"/>
      <c r="G10658" s="33" t="str">
        <f>IFERROR(VLOOKUP($D10658,'Informations sur les produits'!$A$3:$H$10000,8,FALSE),"0")</f>
        <v>0</v>
      </c>
      <c r="K10658" s="4"/>
      <c r="L10658" s="33" t="str">
        <f>IFERROR(VLOOKUP($J10658,'Informations sur les produits'!$A$3:$H$10000,8,FALSE),"0")</f>
        <v>0</v>
      </c>
      <c r="N10658" s="8"/>
      <c r="O10658" s="33" t="str">
        <f>IFERROR(VLOOKUP($M10658,'Informations sur les produits'!$A$3:$H$10000,8,FALSE),"0")</f>
        <v>0</v>
      </c>
      <c r="P10658" s="33">
        <f t="shared" si="664"/>
        <v>0</v>
      </c>
      <c r="Q10658" s="31" t="str">
        <f t="shared" si="665"/>
        <v/>
      </c>
      <c r="R10658" s="32" t="str">
        <f>IFERROR(VLOOKUP($D10658,'Informations sur les produits'!$A$3:$B$15000,2,FALSE),"")</f>
        <v/>
      </c>
      <c r="V10658">
        <f t="shared" si="666"/>
        <v>0</v>
      </c>
      <c r="W10658">
        <f t="shared" si="667"/>
        <v>0</v>
      </c>
    </row>
    <row r="10659" spans="5:23" x14ac:dyDescent="0.25">
      <c r="E10659" s="4"/>
      <c r="F10659" s="4"/>
      <c r="G10659" s="33" t="str">
        <f>IFERROR(VLOOKUP($D10659,'Informations sur les produits'!$A$3:$H$10000,8,FALSE),"0")</f>
        <v>0</v>
      </c>
      <c r="K10659" s="4"/>
      <c r="L10659" s="33" t="str">
        <f>IFERROR(VLOOKUP($J10659,'Informations sur les produits'!$A$3:$H$10000,8,FALSE),"0")</f>
        <v>0</v>
      </c>
      <c r="N10659" s="8"/>
      <c r="O10659" s="33" t="str">
        <f>IFERROR(VLOOKUP($M10659,'Informations sur les produits'!$A$3:$H$10000,8,FALSE),"0")</f>
        <v>0</v>
      </c>
      <c r="P10659" s="33">
        <f t="shared" si="664"/>
        <v>0</v>
      </c>
      <c r="Q10659" s="31" t="str">
        <f t="shared" si="665"/>
        <v/>
      </c>
      <c r="R10659" s="32" t="str">
        <f>IFERROR(VLOOKUP($D10659,'Informations sur les produits'!$A$3:$B$15000,2,FALSE),"")</f>
        <v/>
      </c>
      <c r="V10659">
        <f t="shared" si="666"/>
        <v>0</v>
      </c>
      <c r="W10659">
        <f t="shared" si="667"/>
        <v>0</v>
      </c>
    </row>
    <row r="10660" spans="5:23" x14ac:dyDescent="0.25">
      <c r="E10660" s="4"/>
      <c r="F10660" s="4"/>
      <c r="G10660" s="33" t="str">
        <f>IFERROR(VLOOKUP($D10660,'Informations sur les produits'!$A$3:$H$10000,8,FALSE),"0")</f>
        <v>0</v>
      </c>
      <c r="K10660" s="4"/>
      <c r="L10660" s="33" t="str">
        <f>IFERROR(VLOOKUP($J10660,'Informations sur les produits'!$A$3:$H$10000,8,FALSE),"0")</f>
        <v>0</v>
      </c>
      <c r="N10660" s="8"/>
      <c r="O10660" s="33" t="str">
        <f>IFERROR(VLOOKUP($M10660,'Informations sur les produits'!$A$3:$H$10000,8,FALSE),"0")</f>
        <v>0</v>
      </c>
      <c r="P10660" s="33">
        <f t="shared" si="664"/>
        <v>0</v>
      </c>
      <c r="Q10660" s="31" t="str">
        <f t="shared" si="665"/>
        <v/>
      </c>
      <c r="R10660" s="32" t="str">
        <f>IFERROR(VLOOKUP($D10660,'Informations sur les produits'!$A$3:$B$15000,2,FALSE),"")</f>
        <v/>
      </c>
      <c r="V10660">
        <f t="shared" si="666"/>
        <v>0</v>
      </c>
      <c r="W10660">
        <f t="shared" si="667"/>
        <v>0</v>
      </c>
    </row>
    <row r="10661" spans="5:23" x14ac:dyDescent="0.25">
      <c r="E10661" s="4"/>
      <c r="F10661" s="4"/>
      <c r="G10661" s="33" t="str">
        <f>IFERROR(VLOOKUP($D10661,'Informations sur les produits'!$A$3:$H$10000,8,FALSE),"0")</f>
        <v>0</v>
      </c>
      <c r="K10661" s="4"/>
      <c r="L10661" s="33" t="str">
        <f>IFERROR(VLOOKUP($J10661,'Informations sur les produits'!$A$3:$H$10000,8,FALSE),"0")</f>
        <v>0</v>
      </c>
      <c r="N10661" s="8"/>
      <c r="O10661" s="33" t="str">
        <f>IFERROR(VLOOKUP($M10661,'Informations sur les produits'!$A$3:$H$10000,8,FALSE),"0")</f>
        <v>0</v>
      </c>
      <c r="P10661" s="33">
        <f t="shared" si="664"/>
        <v>0</v>
      </c>
      <c r="Q10661" s="31" t="str">
        <f t="shared" si="665"/>
        <v/>
      </c>
      <c r="R10661" s="32" t="str">
        <f>IFERROR(VLOOKUP($D10661,'Informations sur les produits'!$A$3:$B$15000,2,FALSE),"")</f>
        <v/>
      </c>
      <c r="V10661">
        <f t="shared" si="666"/>
        <v>0</v>
      </c>
      <c r="W10661">
        <f t="shared" si="667"/>
        <v>0</v>
      </c>
    </row>
    <row r="10662" spans="5:23" x14ac:dyDescent="0.25">
      <c r="E10662" s="4"/>
      <c r="F10662" s="4"/>
      <c r="G10662" s="33" t="str">
        <f>IFERROR(VLOOKUP($D10662,'Informations sur les produits'!$A$3:$H$10000,8,FALSE),"0")</f>
        <v>0</v>
      </c>
      <c r="K10662" s="4"/>
      <c r="L10662" s="33" t="str">
        <f>IFERROR(VLOOKUP($J10662,'Informations sur les produits'!$A$3:$H$10000,8,FALSE),"0")</f>
        <v>0</v>
      </c>
      <c r="N10662" s="8"/>
      <c r="O10662" s="33" t="str">
        <f>IFERROR(VLOOKUP($M10662,'Informations sur les produits'!$A$3:$H$10000,8,FALSE),"0")</f>
        <v>0</v>
      </c>
      <c r="P10662" s="33">
        <f t="shared" si="664"/>
        <v>0</v>
      </c>
      <c r="Q10662" s="31" t="str">
        <f t="shared" si="665"/>
        <v/>
      </c>
      <c r="R10662" s="32" t="str">
        <f>IFERROR(VLOOKUP($D10662,'Informations sur les produits'!$A$3:$B$15000,2,FALSE),"")</f>
        <v/>
      </c>
      <c r="V10662">
        <f t="shared" si="666"/>
        <v>0</v>
      </c>
      <c r="W10662">
        <f t="shared" si="667"/>
        <v>0</v>
      </c>
    </row>
    <row r="10663" spans="5:23" x14ac:dyDescent="0.25">
      <c r="E10663" s="4"/>
      <c r="F10663" s="4"/>
      <c r="G10663" s="33" t="str">
        <f>IFERROR(VLOOKUP($D10663,'Informations sur les produits'!$A$3:$H$10000,8,FALSE),"0")</f>
        <v>0</v>
      </c>
      <c r="K10663" s="4"/>
      <c r="L10663" s="33" t="str">
        <f>IFERROR(VLOOKUP($J10663,'Informations sur les produits'!$A$3:$H$10000,8,FALSE),"0")</f>
        <v>0</v>
      </c>
      <c r="N10663" s="8"/>
      <c r="O10663" s="33" t="str">
        <f>IFERROR(VLOOKUP($M10663,'Informations sur les produits'!$A$3:$H$10000,8,FALSE),"0")</f>
        <v>0</v>
      </c>
      <c r="P10663" s="33">
        <f t="shared" si="664"/>
        <v>0</v>
      </c>
      <c r="Q10663" s="31" t="str">
        <f t="shared" si="665"/>
        <v/>
      </c>
      <c r="R10663" s="32" t="str">
        <f>IFERROR(VLOOKUP($D10663,'Informations sur les produits'!$A$3:$B$15000,2,FALSE),"")</f>
        <v/>
      </c>
      <c r="V10663">
        <f t="shared" si="666"/>
        <v>0</v>
      </c>
      <c r="W10663">
        <f t="shared" si="667"/>
        <v>0</v>
      </c>
    </row>
    <row r="10664" spans="5:23" x14ac:dyDescent="0.25">
      <c r="E10664" s="4"/>
      <c r="F10664" s="4"/>
      <c r="G10664" s="33" t="str">
        <f>IFERROR(VLOOKUP($D10664,'Informations sur les produits'!$A$3:$H$10000,8,FALSE),"0")</f>
        <v>0</v>
      </c>
      <c r="K10664" s="4"/>
      <c r="L10664" s="33" t="str">
        <f>IFERROR(VLOOKUP($J10664,'Informations sur les produits'!$A$3:$H$10000,8,FALSE),"0")</f>
        <v>0</v>
      </c>
      <c r="N10664" s="8"/>
      <c r="O10664" s="33" t="str">
        <f>IFERROR(VLOOKUP($M10664,'Informations sur les produits'!$A$3:$H$10000,8,FALSE),"0")</f>
        <v>0</v>
      </c>
      <c r="P10664" s="33">
        <f t="shared" si="664"/>
        <v>0</v>
      </c>
      <c r="Q10664" s="31" t="str">
        <f t="shared" si="665"/>
        <v/>
      </c>
      <c r="R10664" s="32" t="str">
        <f>IFERROR(VLOOKUP($D10664,'Informations sur les produits'!$A$3:$B$15000,2,FALSE),"")</f>
        <v/>
      </c>
      <c r="V10664">
        <f t="shared" si="666"/>
        <v>0</v>
      </c>
      <c r="W10664">
        <f t="shared" si="667"/>
        <v>0</v>
      </c>
    </row>
    <row r="10665" spans="5:23" x14ac:dyDescent="0.25">
      <c r="E10665" s="4"/>
      <c r="F10665" s="4"/>
      <c r="G10665" s="33" t="str">
        <f>IFERROR(VLOOKUP($D10665,'Informations sur les produits'!$A$3:$H$10000,8,FALSE),"0")</f>
        <v>0</v>
      </c>
      <c r="K10665" s="4"/>
      <c r="L10665" s="33" t="str">
        <f>IFERROR(VLOOKUP($J10665,'Informations sur les produits'!$A$3:$H$10000,8,FALSE),"0")</f>
        <v>0</v>
      </c>
      <c r="N10665" s="8"/>
      <c r="O10665" s="33" t="str">
        <f>IFERROR(VLOOKUP($M10665,'Informations sur les produits'!$A$3:$H$10000,8,FALSE),"0")</f>
        <v>0</v>
      </c>
      <c r="P10665" s="33">
        <f t="shared" si="664"/>
        <v>0</v>
      </c>
      <c r="Q10665" s="31" t="str">
        <f t="shared" si="665"/>
        <v/>
      </c>
      <c r="R10665" s="32" t="str">
        <f>IFERROR(VLOOKUP($D10665,'Informations sur les produits'!$A$3:$B$15000,2,FALSE),"")</f>
        <v/>
      </c>
      <c r="V10665">
        <f t="shared" si="666"/>
        <v>0</v>
      </c>
      <c r="W10665">
        <f t="shared" si="667"/>
        <v>0</v>
      </c>
    </row>
    <row r="10666" spans="5:23" x14ac:dyDescent="0.25">
      <c r="E10666" s="4"/>
      <c r="F10666" s="4"/>
      <c r="G10666" s="33" t="str">
        <f>IFERROR(VLOOKUP($D10666,'Informations sur les produits'!$A$3:$H$10000,8,FALSE),"0")</f>
        <v>0</v>
      </c>
      <c r="K10666" s="4"/>
      <c r="L10666" s="33" t="str">
        <f>IFERROR(VLOOKUP($J10666,'Informations sur les produits'!$A$3:$H$10000,8,FALSE),"0")</f>
        <v>0</v>
      </c>
      <c r="N10666" s="8"/>
      <c r="O10666" s="33" t="str">
        <f>IFERROR(VLOOKUP($M10666,'Informations sur les produits'!$A$3:$H$10000,8,FALSE),"0")</f>
        <v>0</v>
      </c>
      <c r="P10666" s="33">
        <f t="shared" si="664"/>
        <v>0</v>
      </c>
      <c r="Q10666" s="31" t="str">
        <f t="shared" si="665"/>
        <v/>
      </c>
      <c r="R10666" s="32" t="str">
        <f>IFERROR(VLOOKUP($D10666,'Informations sur les produits'!$A$3:$B$15000,2,FALSE),"")</f>
        <v/>
      </c>
      <c r="V10666">
        <f t="shared" si="666"/>
        <v>0</v>
      </c>
      <c r="W10666">
        <f t="shared" si="667"/>
        <v>0</v>
      </c>
    </row>
    <row r="10667" spans="5:23" x14ac:dyDescent="0.25">
      <c r="E10667" s="4"/>
      <c r="F10667" s="4"/>
      <c r="G10667" s="33" t="str">
        <f>IFERROR(VLOOKUP($D10667,'Informations sur les produits'!$A$3:$H$10000,8,FALSE),"0")</f>
        <v>0</v>
      </c>
      <c r="K10667" s="4"/>
      <c r="L10667" s="33" t="str">
        <f>IFERROR(VLOOKUP($J10667,'Informations sur les produits'!$A$3:$H$10000,8,FALSE),"0")</f>
        <v>0</v>
      </c>
      <c r="N10667" s="8"/>
      <c r="O10667" s="33" t="str">
        <f>IFERROR(VLOOKUP($M10667,'Informations sur les produits'!$A$3:$H$10000,8,FALSE),"0")</f>
        <v>0</v>
      </c>
      <c r="P10667" s="33">
        <f t="shared" si="664"/>
        <v>0</v>
      </c>
      <c r="Q10667" s="31" t="str">
        <f t="shared" si="665"/>
        <v/>
      </c>
      <c r="R10667" s="32" t="str">
        <f>IFERROR(VLOOKUP($D10667,'Informations sur les produits'!$A$3:$B$15000,2,FALSE),"")</f>
        <v/>
      </c>
      <c r="V10667">
        <f t="shared" si="666"/>
        <v>0</v>
      </c>
      <c r="W10667">
        <f t="shared" si="667"/>
        <v>0</v>
      </c>
    </row>
    <row r="10668" spans="5:23" x14ac:dyDescent="0.25">
      <c r="E10668" s="4"/>
      <c r="F10668" s="4"/>
      <c r="G10668" s="33" t="str">
        <f>IFERROR(VLOOKUP($D10668,'Informations sur les produits'!$A$3:$H$10000,8,FALSE),"0")</f>
        <v>0</v>
      </c>
      <c r="K10668" s="4"/>
      <c r="L10668" s="33" t="str">
        <f>IFERROR(VLOOKUP($J10668,'Informations sur les produits'!$A$3:$H$10000,8,FALSE),"0")</f>
        <v>0</v>
      </c>
      <c r="N10668" s="8"/>
      <c r="O10668" s="33" t="str">
        <f>IFERROR(VLOOKUP($M10668,'Informations sur les produits'!$A$3:$H$10000,8,FALSE),"0")</f>
        <v>0</v>
      </c>
      <c r="P10668" s="33">
        <f t="shared" si="664"/>
        <v>0</v>
      </c>
      <c r="Q10668" s="31" t="str">
        <f t="shared" si="665"/>
        <v/>
      </c>
      <c r="R10668" s="32" t="str">
        <f>IFERROR(VLOOKUP($D10668,'Informations sur les produits'!$A$3:$B$15000,2,FALSE),"")</f>
        <v/>
      </c>
      <c r="V10668">
        <f t="shared" si="666"/>
        <v>0</v>
      </c>
      <c r="W10668">
        <f t="shared" si="667"/>
        <v>0</v>
      </c>
    </row>
    <row r="10669" spans="5:23" x14ac:dyDescent="0.25">
      <c r="E10669" s="4"/>
      <c r="F10669" s="4"/>
      <c r="G10669" s="33" t="str">
        <f>IFERROR(VLOOKUP($D10669,'Informations sur les produits'!$A$3:$H$10000,8,FALSE),"0")</f>
        <v>0</v>
      </c>
      <c r="K10669" s="4"/>
      <c r="L10669" s="33" t="str">
        <f>IFERROR(VLOOKUP($J10669,'Informations sur les produits'!$A$3:$H$10000,8,FALSE),"0")</f>
        <v>0</v>
      </c>
      <c r="N10669" s="8"/>
      <c r="O10669" s="33" t="str">
        <f>IFERROR(VLOOKUP($M10669,'Informations sur les produits'!$A$3:$H$10000,8,FALSE),"0")</f>
        <v>0</v>
      </c>
      <c r="P10669" s="33">
        <f t="shared" si="664"/>
        <v>0</v>
      </c>
      <c r="Q10669" s="31" t="str">
        <f t="shared" si="665"/>
        <v/>
      </c>
      <c r="R10669" s="32" t="str">
        <f>IFERROR(VLOOKUP($D10669,'Informations sur les produits'!$A$3:$B$15000,2,FALSE),"")</f>
        <v/>
      </c>
      <c r="V10669">
        <f t="shared" si="666"/>
        <v>0</v>
      </c>
      <c r="W10669">
        <f t="shared" si="667"/>
        <v>0</v>
      </c>
    </row>
    <row r="10670" spans="5:23" x14ac:dyDescent="0.25">
      <c r="E10670" s="4"/>
      <c r="F10670" s="4"/>
      <c r="G10670" s="33" t="str">
        <f>IFERROR(VLOOKUP($D10670,'Informations sur les produits'!$A$3:$H$10000,8,FALSE),"0")</f>
        <v>0</v>
      </c>
      <c r="K10670" s="4"/>
      <c r="L10670" s="33" t="str">
        <f>IFERROR(VLOOKUP($J10670,'Informations sur les produits'!$A$3:$H$10000,8,FALSE),"0")</f>
        <v>0</v>
      </c>
      <c r="N10670" s="8"/>
      <c r="O10670" s="33" t="str">
        <f>IFERROR(VLOOKUP($M10670,'Informations sur les produits'!$A$3:$H$10000,8,FALSE),"0")</f>
        <v>0</v>
      </c>
      <c r="P10670" s="33">
        <f t="shared" si="664"/>
        <v>0</v>
      </c>
      <c r="Q10670" s="31" t="str">
        <f t="shared" si="665"/>
        <v/>
      </c>
      <c r="R10670" s="32" t="str">
        <f>IFERROR(VLOOKUP($D10670,'Informations sur les produits'!$A$3:$B$15000,2,FALSE),"")</f>
        <v/>
      </c>
      <c r="V10670">
        <f t="shared" si="666"/>
        <v>0</v>
      </c>
      <c r="W10670">
        <f t="shared" si="667"/>
        <v>0</v>
      </c>
    </row>
    <row r="10671" spans="5:23" x14ac:dyDescent="0.25">
      <c r="E10671" s="4"/>
      <c r="F10671" s="4"/>
      <c r="G10671" s="33" t="str">
        <f>IFERROR(VLOOKUP($D10671,'Informations sur les produits'!$A$3:$H$10000,8,FALSE),"0")</f>
        <v>0</v>
      </c>
      <c r="K10671" s="4"/>
      <c r="L10671" s="33" t="str">
        <f>IFERROR(VLOOKUP($J10671,'Informations sur les produits'!$A$3:$H$10000,8,FALSE),"0")</f>
        <v>0</v>
      </c>
      <c r="N10671" s="8"/>
      <c r="O10671" s="33" t="str">
        <f>IFERROR(VLOOKUP($M10671,'Informations sur les produits'!$A$3:$H$10000,8,FALSE),"0")</f>
        <v>0</v>
      </c>
      <c r="P10671" s="33">
        <f t="shared" si="664"/>
        <v>0</v>
      </c>
      <c r="Q10671" s="31" t="str">
        <f t="shared" si="665"/>
        <v/>
      </c>
      <c r="R10671" s="32" t="str">
        <f>IFERROR(VLOOKUP($D10671,'Informations sur les produits'!$A$3:$B$15000,2,FALSE),"")</f>
        <v/>
      </c>
      <c r="V10671">
        <f t="shared" si="666"/>
        <v>0</v>
      </c>
      <c r="W10671">
        <f t="shared" si="667"/>
        <v>0</v>
      </c>
    </row>
    <row r="10672" spans="5:23" x14ac:dyDescent="0.25">
      <c r="E10672" s="4"/>
      <c r="F10672" s="4"/>
      <c r="G10672" s="33" t="str">
        <f>IFERROR(VLOOKUP($D10672,'Informations sur les produits'!$A$3:$H$10000,8,FALSE),"0")</f>
        <v>0</v>
      </c>
      <c r="K10672" s="4"/>
      <c r="L10672" s="33" t="str">
        <f>IFERROR(VLOOKUP($J10672,'Informations sur les produits'!$A$3:$H$10000,8,FALSE),"0")</f>
        <v>0</v>
      </c>
      <c r="N10672" s="8"/>
      <c r="O10672" s="33" t="str">
        <f>IFERROR(VLOOKUP($M10672,'Informations sur les produits'!$A$3:$H$10000,8,FALSE),"0")</f>
        <v>0</v>
      </c>
      <c r="P10672" s="33">
        <f t="shared" si="664"/>
        <v>0</v>
      </c>
      <c r="Q10672" s="31" t="str">
        <f t="shared" si="665"/>
        <v/>
      </c>
      <c r="R10672" s="32" t="str">
        <f>IFERROR(VLOOKUP($D10672,'Informations sur les produits'!$A$3:$B$15000,2,FALSE),"")</f>
        <v/>
      </c>
      <c r="V10672">
        <f t="shared" si="666"/>
        <v>0</v>
      </c>
      <c r="W10672">
        <f t="shared" si="667"/>
        <v>0</v>
      </c>
    </row>
    <row r="10673" spans="5:23" x14ac:dyDescent="0.25">
      <c r="E10673" s="4"/>
      <c r="F10673" s="4"/>
      <c r="G10673" s="33" t="str">
        <f>IFERROR(VLOOKUP($D10673,'Informations sur les produits'!$A$3:$H$10000,8,FALSE),"0")</f>
        <v>0</v>
      </c>
      <c r="K10673" s="4"/>
      <c r="L10673" s="33" t="str">
        <f>IFERROR(VLOOKUP($J10673,'Informations sur les produits'!$A$3:$H$10000,8,FALSE),"0")</f>
        <v>0</v>
      </c>
      <c r="N10673" s="8"/>
      <c r="O10673" s="33" t="str">
        <f>IFERROR(VLOOKUP($M10673,'Informations sur les produits'!$A$3:$H$10000,8,FALSE),"0")</f>
        <v>0</v>
      </c>
      <c r="P10673" s="33">
        <f t="shared" si="664"/>
        <v>0</v>
      </c>
      <c r="Q10673" s="31" t="str">
        <f t="shared" si="665"/>
        <v/>
      </c>
      <c r="R10673" s="32" t="str">
        <f>IFERROR(VLOOKUP($D10673,'Informations sur les produits'!$A$3:$B$15000,2,FALSE),"")</f>
        <v/>
      </c>
      <c r="V10673">
        <f t="shared" si="666"/>
        <v>0</v>
      </c>
      <c r="W10673">
        <f t="shared" si="667"/>
        <v>0</v>
      </c>
    </row>
    <row r="10674" spans="5:23" x14ac:dyDescent="0.25">
      <c r="E10674" s="4"/>
      <c r="F10674" s="4"/>
      <c r="G10674" s="33" t="str">
        <f>IFERROR(VLOOKUP($D10674,'Informations sur les produits'!$A$3:$H$10000,8,FALSE),"0")</f>
        <v>0</v>
      </c>
      <c r="K10674" s="4"/>
      <c r="L10674" s="33" t="str">
        <f>IFERROR(VLOOKUP($J10674,'Informations sur les produits'!$A$3:$H$10000,8,FALSE),"0")</f>
        <v>0</v>
      </c>
      <c r="N10674" s="8"/>
      <c r="O10674" s="33" t="str">
        <f>IFERROR(VLOOKUP($M10674,'Informations sur les produits'!$A$3:$H$10000,8,FALSE),"0")</f>
        <v>0</v>
      </c>
      <c r="P10674" s="33">
        <f t="shared" si="664"/>
        <v>0</v>
      </c>
      <c r="Q10674" s="31" t="str">
        <f t="shared" si="665"/>
        <v/>
      </c>
      <c r="R10674" s="32" t="str">
        <f>IFERROR(VLOOKUP($D10674,'Informations sur les produits'!$A$3:$B$15000,2,FALSE),"")</f>
        <v/>
      </c>
      <c r="V10674">
        <f t="shared" si="666"/>
        <v>0</v>
      </c>
      <c r="W10674">
        <f t="shared" si="667"/>
        <v>0</v>
      </c>
    </row>
    <row r="10675" spans="5:23" x14ac:dyDescent="0.25">
      <c r="E10675" s="4"/>
      <c r="F10675" s="4"/>
      <c r="G10675" s="33" t="str">
        <f>IFERROR(VLOOKUP($D10675,'Informations sur les produits'!$A$3:$H$10000,8,FALSE),"0")</f>
        <v>0</v>
      </c>
      <c r="K10675" s="4"/>
      <c r="L10675" s="33" t="str">
        <f>IFERROR(VLOOKUP($J10675,'Informations sur les produits'!$A$3:$H$10000,8,FALSE),"0")</f>
        <v>0</v>
      </c>
      <c r="N10675" s="8"/>
      <c r="O10675" s="33" t="str">
        <f>IFERROR(VLOOKUP($M10675,'Informations sur les produits'!$A$3:$H$10000,8,FALSE),"0")</f>
        <v>0</v>
      </c>
      <c r="P10675" s="33">
        <f t="shared" si="664"/>
        <v>0</v>
      </c>
      <c r="Q10675" s="31" t="str">
        <f t="shared" si="665"/>
        <v/>
      </c>
      <c r="R10675" s="32" t="str">
        <f>IFERROR(VLOOKUP($D10675,'Informations sur les produits'!$A$3:$B$15000,2,FALSE),"")</f>
        <v/>
      </c>
      <c r="V10675">
        <f t="shared" si="666"/>
        <v>0</v>
      </c>
      <c r="W10675">
        <f t="shared" si="667"/>
        <v>0</v>
      </c>
    </row>
    <row r="10676" spans="5:23" x14ac:dyDescent="0.25">
      <c r="E10676" s="4"/>
      <c r="F10676" s="4"/>
      <c r="G10676" s="33" t="str">
        <f>IFERROR(VLOOKUP($D10676,'Informations sur les produits'!$A$3:$H$10000,8,FALSE),"0")</f>
        <v>0</v>
      </c>
      <c r="K10676" s="4"/>
      <c r="L10676" s="33" t="str">
        <f>IFERROR(VLOOKUP($J10676,'Informations sur les produits'!$A$3:$H$10000,8,FALSE),"0")</f>
        <v>0</v>
      </c>
      <c r="N10676" s="8"/>
      <c r="O10676" s="33" t="str">
        <f>IFERROR(VLOOKUP($M10676,'Informations sur les produits'!$A$3:$H$10000,8,FALSE),"0")</f>
        <v>0</v>
      </c>
      <c r="P10676" s="33">
        <f t="shared" si="664"/>
        <v>0</v>
      </c>
      <c r="Q10676" s="31" t="str">
        <f t="shared" si="665"/>
        <v/>
      </c>
      <c r="R10676" s="32" t="str">
        <f>IFERROR(VLOOKUP($D10676,'Informations sur les produits'!$A$3:$B$15000,2,FALSE),"")</f>
        <v/>
      </c>
      <c r="V10676">
        <f t="shared" si="666"/>
        <v>0</v>
      </c>
      <c r="W10676">
        <f t="shared" si="667"/>
        <v>0</v>
      </c>
    </row>
    <row r="10677" spans="5:23" x14ac:dyDescent="0.25">
      <c r="E10677" s="4"/>
      <c r="F10677" s="4"/>
      <c r="G10677" s="33" t="str">
        <f>IFERROR(VLOOKUP($D10677,'Informations sur les produits'!$A$3:$H$10000,8,FALSE),"0")</f>
        <v>0</v>
      </c>
      <c r="K10677" s="4"/>
      <c r="L10677" s="33" t="str">
        <f>IFERROR(VLOOKUP($J10677,'Informations sur les produits'!$A$3:$H$10000,8,FALSE),"0")</f>
        <v>0</v>
      </c>
      <c r="N10677" s="8"/>
      <c r="O10677" s="33" t="str">
        <f>IFERROR(VLOOKUP($M10677,'Informations sur les produits'!$A$3:$H$10000,8,FALSE),"0")</f>
        <v>0</v>
      </c>
      <c r="P10677" s="33">
        <f t="shared" si="664"/>
        <v>0</v>
      </c>
      <c r="Q10677" s="31" t="str">
        <f t="shared" si="665"/>
        <v/>
      </c>
      <c r="R10677" s="32" t="str">
        <f>IFERROR(VLOOKUP($D10677,'Informations sur les produits'!$A$3:$B$15000,2,FALSE),"")</f>
        <v/>
      </c>
      <c r="V10677">
        <f t="shared" si="666"/>
        <v>0</v>
      </c>
      <c r="W10677">
        <f t="shared" si="667"/>
        <v>0</v>
      </c>
    </row>
    <row r="10678" spans="5:23" x14ac:dyDescent="0.25">
      <c r="E10678" s="4"/>
      <c r="F10678" s="4"/>
      <c r="G10678" s="33" t="str">
        <f>IFERROR(VLOOKUP($D10678,'Informations sur les produits'!$A$3:$H$10000,8,FALSE),"0")</f>
        <v>0</v>
      </c>
      <c r="K10678" s="4"/>
      <c r="L10678" s="33" t="str">
        <f>IFERROR(VLOOKUP($J10678,'Informations sur les produits'!$A$3:$H$10000,8,FALSE),"0")</f>
        <v>0</v>
      </c>
      <c r="N10678" s="8"/>
      <c r="O10678" s="33" t="str">
        <f>IFERROR(VLOOKUP($M10678,'Informations sur les produits'!$A$3:$H$10000,8,FALSE),"0")</f>
        <v>0</v>
      </c>
      <c r="P10678" s="33">
        <f t="shared" si="664"/>
        <v>0</v>
      </c>
      <c r="Q10678" s="31" t="str">
        <f t="shared" si="665"/>
        <v/>
      </c>
      <c r="R10678" s="32" t="str">
        <f>IFERROR(VLOOKUP($D10678,'Informations sur les produits'!$A$3:$B$15000,2,FALSE),"")</f>
        <v/>
      </c>
      <c r="V10678">
        <f t="shared" si="666"/>
        <v>0</v>
      </c>
      <c r="W10678">
        <f t="shared" si="667"/>
        <v>0</v>
      </c>
    </row>
    <row r="10679" spans="5:23" x14ac:dyDescent="0.25">
      <c r="E10679" s="4"/>
      <c r="F10679" s="4"/>
      <c r="G10679" s="33" t="str">
        <f>IFERROR(VLOOKUP($D10679,'Informations sur les produits'!$A$3:$H$10000,8,FALSE),"0")</f>
        <v>0</v>
      </c>
      <c r="K10679" s="4"/>
      <c r="L10679" s="33" t="str">
        <f>IFERROR(VLOOKUP($J10679,'Informations sur les produits'!$A$3:$H$10000,8,FALSE),"0")</f>
        <v>0</v>
      </c>
      <c r="N10679" s="8"/>
      <c r="O10679" s="33" t="str">
        <f>IFERROR(VLOOKUP($M10679,'Informations sur les produits'!$A$3:$H$10000,8,FALSE),"0")</f>
        <v>0</v>
      </c>
      <c r="P10679" s="33">
        <f t="shared" si="664"/>
        <v>0</v>
      </c>
      <c r="Q10679" s="31" t="str">
        <f t="shared" si="665"/>
        <v/>
      </c>
      <c r="R10679" s="32" t="str">
        <f>IFERROR(VLOOKUP($D10679,'Informations sur les produits'!$A$3:$B$15000,2,FALSE),"")</f>
        <v/>
      </c>
      <c r="V10679">
        <f t="shared" si="666"/>
        <v>0</v>
      </c>
      <c r="W10679">
        <f t="shared" si="667"/>
        <v>0</v>
      </c>
    </row>
    <row r="10680" spans="5:23" x14ac:dyDescent="0.25">
      <c r="E10680" s="4"/>
      <c r="F10680" s="4"/>
      <c r="G10680" s="33" t="str">
        <f>IFERROR(VLOOKUP($D10680,'Informations sur les produits'!$A$3:$H$10000,8,FALSE),"0")</f>
        <v>0</v>
      </c>
      <c r="K10680" s="4"/>
      <c r="L10680" s="33" t="str">
        <f>IFERROR(VLOOKUP($J10680,'Informations sur les produits'!$A$3:$H$10000,8,FALSE),"0")</f>
        <v>0</v>
      </c>
      <c r="N10680" s="8"/>
      <c r="O10680" s="33" t="str">
        <f>IFERROR(VLOOKUP($M10680,'Informations sur les produits'!$A$3:$H$10000,8,FALSE),"0")</f>
        <v>0</v>
      </c>
      <c r="P10680" s="33">
        <f t="shared" si="664"/>
        <v>0</v>
      </c>
      <c r="Q10680" s="31" t="str">
        <f t="shared" si="665"/>
        <v/>
      </c>
      <c r="R10680" s="32" t="str">
        <f>IFERROR(VLOOKUP($D10680,'Informations sur les produits'!$A$3:$B$15000,2,FALSE),"")</f>
        <v/>
      </c>
      <c r="V10680">
        <f t="shared" si="666"/>
        <v>0</v>
      </c>
      <c r="W10680">
        <f t="shared" si="667"/>
        <v>0</v>
      </c>
    </row>
    <row r="10681" spans="5:23" x14ac:dyDescent="0.25">
      <c r="E10681" s="4"/>
      <c r="F10681" s="4"/>
      <c r="G10681" s="33" t="str">
        <f>IFERROR(VLOOKUP($D10681,'Informations sur les produits'!$A$3:$H$10000,8,FALSE),"0")</f>
        <v>0</v>
      </c>
      <c r="K10681" s="4"/>
      <c r="L10681" s="33" t="str">
        <f>IFERROR(VLOOKUP($J10681,'Informations sur les produits'!$A$3:$H$10000,8,FALSE),"0")</f>
        <v>0</v>
      </c>
      <c r="N10681" s="8"/>
      <c r="O10681" s="33" t="str">
        <f>IFERROR(VLOOKUP($M10681,'Informations sur les produits'!$A$3:$H$10000,8,FALSE),"0")</f>
        <v>0</v>
      </c>
      <c r="P10681" s="33">
        <f t="shared" si="664"/>
        <v>0</v>
      </c>
      <c r="Q10681" s="31" t="str">
        <f t="shared" si="665"/>
        <v/>
      </c>
      <c r="R10681" s="32" t="str">
        <f>IFERROR(VLOOKUP($D10681,'Informations sur les produits'!$A$3:$B$15000,2,FALSE),"")</f>
        <v/>
      </c>
      <c r="V10681">
        <f t="shared" si="666"/>
        <v>0</v>
      </c>
      <c r="W10681">
        <f t="shared" si="667"/>
        <v>0</v>
      </c>
    </row>
    <row r="10682" spans="5:23" x14ac:dyDescent="0.25">
      <c r="E10682" s="4"/>
      <c r="F10682" s="4"/>
      <c r="G10682" s="33" t="str">
        <f>IFERROR(VLOOKUP($D10682,'Informations sur les produits'!$A$3:$H$10000,8,FALSE),"0")</f>
        <v>0</v>
      </c>
      <c r="K10682" s="4"/>
      <c r="L10682" s="33" t="str">
        <f>IFERROR(VLOOKUP($J10682,'Informations sur les produits'!$A$3:$H$10000,8,FALSE),"0")</f>
        <v>0</v>
      </c>
      <c r="N10682" s="8"/>
      <c r="O10682" s="33" t="str">
        <f>IFERROR(VLOOKUP($M10682,'Informations sur les produits'!$A$3:$H$10000,8,FALSE),"0")</f>
        <v>0</v>
      </c>
      <c r="P10682" s="33">
        <f t="shared" si="664"/>
        <v>0</v>
      </c>
      <c r="Q10682" s="31" t="str">
        <f t="shared" si="665"/>
        <v/>
      </c>
      <c r="R10682" s="32" t="str">
        <f>IFERROR(VLOOKUP($D10682,'Informations sur les produits'!$A$3:$B$15000,2,FALSE),"")</f>
        <v/>
      </c>
      <c r="V10682">
        <f t="shared" si="666"/>
        <v>0</v>
      </c>
      <c r="W10682">
        <f t="shared" si="667"/>
        <v>0</v>
      </c>
    </row>
    <row r="10683" spans="5:23" x14ac:dyDescent="0.25">
      <c r="E10683" s="4"/>
      <c r="F10683" s="4"/>
      <c r="G10683" s="33" t="str">
        <f>IFERROR(VLOOKUP($D10683,'Informations sur les produits'!$A$3:$H$10000,8,FALSE),"0")</f>
        <v>0</v>
      </c>
      <c r="K10683" s="4"/>
      <c r="L10683" s="33" t="str">
        <f>IFERROR(VLOOKUP($J10683,'Informations sur les produits'!$A$3:$H$10000,8,FALSE),"0")</f>
        <v>0</v>
      </c>
      <c r="N10683" s="8"/>
      <c r="O10683" s="33" t="str">
        <f>IFERROR(VLOOKUP($M10683,'Informations sur les produits'!$A$3:$H$10000,8,FALSE),"0")</f>
        <v>0</v>
      </c>
      <c r="P10683" s="33">
        <f t="shared" si="664"/>
        <v>0</v>
      </c>
      <c r="Q10683" s="31" t="str">
        <f t="shared" si="665"/>
        <v/>
      </c>
      <c r="R10683" s="32" t="str">
        <f>IFERROR(VLOOKUP($D10683,'Informations sur les produits'!$A$3:$B$15000,2,FALSE),"")</f>
        <v/>
      </c>
      <c r="V10683">
        <f t="shared" si="666"/>
        <v>0</v>
      </c>
      <c r="W10683">
        <f t="shared" si="667"/>
        <v>0</v>
      </c>
    </row>
    <row r="10684" spans="5:23" x14ac:dyDescent="0.25">
      <c r="E10684" s="4"/>
      <c r="F10684" s="4"/>
      <c r="G10684" s="33" t="str">
        <f>IFERROR(VLOOKUP($D10684,'Informations sur les produits'!$A$3:$H$10000,8,FALSE),"0")</f>
        <v>0</v>
      </c>
      <c r="K10684" s="4"/>
      <c r="L10684" s="33" t="str">
        <f>IFERROR(VLOOKUP($J10684,'Informations sur les produits'!$A$3:$H$10000,8,FALSE),"0")</f>
        <v>0</v>
      </c>
      <c r="N10684" s="8"/>
      <c r="O10684" s="33" t="str">
        <f>IFERROR(VLOOKUP($M10684,'Informations sur les produits'!$A$3:$H$10000,8,FALSE),"0")</f>
        <v>0</v>
      </c>
      <c r="P10684" s="33">
        <f t="shared" si="664"/>
        <v>0</v>
      </c>
      <c r="Q10684" s="31" t="str">
        <f t="shared" si="665"/>
        <v/>
      </c>
      <c r="R10684" s="32" t="str">
        <f>IFERROR(VLOOKUP($D10684,'Informations sur les produits'!$A$3:$B$15000,2,FALSE),"")</f>
        <v/>
      </c>
      <c r="V10684">
        <f t="shared" si="666"/>
        <v>0</v>
      </c>
      <c r="W10684">
        <f t="shared" si="667"/>
        <v>0</v>
      </c>
    </row>
    <row r="10685" spans="5:23" x14ac:dyDescent="0.25">
      <c r="E10685" s="4"/>
      <c r="F10685" s="4"/>
      <c r="G10685" s="33" t="str">
        <f>IFERROR(VLOOKUP($D10685,'Informations sur les produits'!$A$3:$H$10000,8,FALSE),"0")</f>
        <v>0</v>
      </c>
      <c r="K10685" s="4"/>
      <c r="L10685" s="33" t="str">
        <f>IFERROR(VLOOKUP($J10685,'Informations sur les produits'!$A$3:$H$10000,8,FALSE),"0")</f>
        <v>0</v>
      </c>
      <c r="N10685" s="8"/>
      <c r="O10685" s="33" t="str">
        <f>IFERROR(VLOOKUP($M10685,'Informations sur les produits'!$A$3:$H$10000,8,FALSE),"0")</f>
        <v>0</v>
      </c>
      <c r="P10685" s="33">
        <f t="shared" si="664"/>
        <v>0</v>
      </c>
      <c r="Q10685" s="31" t="str">
        <f t="shared" si="665"/>
        <v/>
      </c>
      <c r="R10685" s="32" t="str">
        <f>IFERROR(VLOOKUP($D10685,'Informations sur les produits'!$A$3:$B$15000,2,FALSE),"")</f>
        <v/>
      </c>
      <c r="V10685">
        <f t="shared" si="666"/>
        <v>0</v>
      </c>
      <c r="W10685">
        <f t="shared" si="667"/>
        <v>0</v>
      </c>
    </row>
    <row r="10686" spans="5:23" x14ac:dyDescent="0.25">
      <c r="E10686" s="4"/>
      <c r="F10686" s="4"/>
      <c r="G10686" s="33" t="str">
        <f>IFERROR(VLOOKUP($D10686,'Informations sur les produits'!$A$3:$H$10000,8,FALSE),"0")</f>
        <v>0</v>
      </c>
      <c r="K10686" s="4"/>
      <c r="L10686" s="33" t="str">
        <f>IFERROR(VLOOKUP($J10686,'Informations sur les produits'!$A$3:$H$10000,8,FALSE),"0")</f>
        <v>0</v>
      </c>
      <c r="N10686" s="8"/>
      <c r="O10686" s="33" t="str">
        <f>IFERROR(VLOOKUP($M10686,'Informations sur les produits'!$A$3:$H$10000,8,FALSE),"0")</f>
        <v>0</v>
      </c>
      <c r="P10686" s="33">
        <f t="shared" si="664"/>
        <v>0</v>
      </c>
      <c r="Q10686" s="31" t="str">
        <f t="shared" si="665"/>
        <v/>
      </c>
      <c r="R10686" s="32" t="str">
        <f>IFERROR(VLOOKUP($D10686,'Informations sur les produits'!$A$3:$B$15000,2,FALSE),"")</f>
        <v/>
      </c>
      <c r="V10686">
        <f t="shared" si="666"/>
        <v>0</v>
      </c>
      <c r="W10686">
        <f t="shared" si="667"/>
        <v>0</v>
      </c>
    </row>
    <row r="10687" spans="5:23" x14ac:dyDescent="0.25">
      <c r="E10687" s="4"/>
      <c r="F10687" s="4"/>
      <c r="G10687" s="33" t="str">
        <f>IFERROR(VLOOKUP($D10687,'Informations sur les produits'!$A$3:$H$10000,8,FALSE),"0")</f>
        <v>0</v>
      </c>
      <c r="K10687" s="4"/>
      <c r="L10687" s="33" t="str">
        <f>IFERROR(VLOOKUP($J10687,'Informations sur les produits'!$A$3:$H$10000,8,FALSE),"0")</f>
        <v>0</v>
      </c>
      <c r="N10687" s="8"/>
      <c r="O10687" s="33" t="str">
        <f>IFERROR(VLOOKUP($M10687,'Informations sur les produits'!$A$3:$H$10000,8,FALSE),"0")</f>
        <v>0</v>
      </c>
      <c r="P10687" s="33">
        <f t="shared" si="664"/>
        <v>0</v>
      </c>
      <c r="Q10687" s="31" t="str">
        <f t="shared" si="665"/>
        <v/>
      </c>
      <c r="R10687" s="32" t="str">
        <f>IFERROR(VLOOKUP($D10687,'Informations sur les produits'!$A$3:$B$15000,2,FALSE),"")</f>
        <v/>
      </c>
      <c r="V10687">
        <f t="shared" si="666"/>
        <v>0</v>
      </c>
      <c r="W10687">
        <f t="shared" si="667"/>
        <v>0</v>
      </c>
    </row>
    <row r="10688" spans="5:23" x14ac:dyDescent="0.25">
      <c r="E10688" s="4"/>
      <c r="F10688" s="4"/>
      <c r="G10688" s="33" t="str">
        <f>IFERROR(VLOOKUP($D10688,'Informations sur les produits'!$A$3:$H$10000,8,FALSE),"0")</f>
        <v>0</v>
      </c>
      <c r="K10688" s="4"/>
      <c r="L10688" s="33" t="str">
        <f>IFERROR(VLOOKUP($J10688,'Informations sur les produits'!$A$3:$H$10000,8,FALSE),"0")</f>
        <v>0</v>
      </c>
      <c r="N10688" s="8"/>
      <c r="O10688" s="33" t="str">
        <f>IFERROR(VLOOKUP($M10688,'Informations sur les produits'!$A$3:$H$10000,8,FALSE),"0")</f>
        <v>0</v>
      </c>
      <c r="P10688" s="33">
        <f t="shared" si="664"/>
        <v>0</v>
      </c>
      <c r="Q10688" s="31" t="str">
        <f t="shared" si="665"/>
        <v/>
      </c>
      <c r="R10688" s="32" t="str">
        <f>IFERROR(VLOOKUP($D10688,'Informations sur les produits'!$A$3:$B$15000,2,FALSE),"")</f>
        <v/>
      </c>
      <c r="V10688">
        <f t="shared" si="666"/>
        <v>0</v>
      </c>
      <c r="W10688">
        <f t="shared" si="667"/>
        <v>0</v>
      </c>
    </row>
    <row r="10689" spans="5:23" x14ac:dyDescent="0.25">
      <c r="E10689" s="4"/>
      <c r="F10689" s="4"/>
      <c r="G10689" s="33" t="str">
        <f>IFERROR(VLOOKUP($D10689,'Informations sur les produits'!$A$3:$H$10000,8,FALSE),"0")</f>
        <v>0</v>
      </c>
      <c r="K10689" s="4"/>
      <c r="L10689" s="33" t="str">
        <f>IFERROR(VLOOKUP($J10689,'Informations sur les produits'!$A$3:$H$10000,8,FALSE),"0")</f>
        <v>0</v>
      </c>
      <c r="N10689" s="8"/>
      <c r="O10689" s="33" t="str">
        <f>IFERROR(VLOOKUP($M10689,'Informations sur les produits'!$A$3:$H$10000,8,FALSE),"0")</f>
        <v>0</v>
      </c>
      <c r="P10689" s="33">
        <f t="shared" si="664"/>
        <v>0</v>
      </c>
      <c r="Q10689" s="31" t="str">
        <f t="shared" si="665"/>
        <v/>
      </c>
      <c r="R10689" s="32" t="str">
        <f>IFERROR(VLOOKUP($D10689,'Informations sur les produits'!$A$3:$B$15000,2,FALSE),"")</f>
        <v/>
      </c>
      <c r="V10689">
        <f t="shared" si="666"/>
        <v>0</v>
      </c>
      <c r="W10689">
        <f t="shared" si="667"/>
        <v>0</v>
      </c>
    </row>
    <row r="10690" spans="5:23" x14ac:dyDescent="0.25">
      <c r="E10690" s="4"/>
      <c r="F10690" s="4"/>
      <c r="G10690" s="33" t="str">
        <f>IFERROR(VLOOKUP($D10690,'Informations sur les produits'!$A$3:$H$10000,8,FALSE),"0")</f>
        <v>0</v>
      </c>
      <c r="K10690" s="4"/>
      <c r="L10690" s="33" t="str">
        <f>IFERROR(VLOOKUP($J10690,'Informations sur les produits'!$A$3:$H$10000,8,FALSE),"0")</f>
        <v>0</v>
      </c>
      <c r="N10690" s="8"/>
      <c r="O10690" s="33" t="str">
        <f>IFERROR(VLOOKUP($M10690,'Informations sur les produits'!$A$3:$H$10000,8,FALSE),"0")</f>
        <v>0</v>
      </c>
      <c r="P10690" s="33">
        <f t="shared" si="664"/>
        <v>0</v>
      </c>
      <c r="Q10690" s="31" t="str">
        <f t="shared" si="665"/>
        <v/>
      </c>
      <c r="R10690" s="32" t="str">
        <f>IFERROR(VLOOKUP($D10690,'Informations sur les produits'!$A$3:$B$15000,2,FALSE),"")</f>
        <v/>
      </c>
      <c r="V10690">
        <f t="shared" si="666"/>
        <v>0</v>
      </c>
      <c r="W10690">
        <f t="shared" si="667"/>
        <v>0</v>
      </c>
    </row>
    <row r="10691" spans="5:23" x14ac:dyDescent="0.25">
      <c r="E10691" s="4"/>
      <c r="F10691" s="4"/>
      <c r="G10691" s="33" t="str">
        <f>IFERROR(VLOOKUP($D10691,'Informations sur les produits'!$A$3:$H$10000,8,FALSE),"0")</f>
        <v>0</v>
      </c>
      <c r="K10691" s="4"/>
      <c r="L10691" s="33" t="str">
        <f>IFERROR(VLOOKUP($J10691,'Informations sur les produits'!$A$3:$H$10000,8,FALSE),"0")</f>
        <v>0</v>
      </c>
      <c r="N10691" s="8"/>
      <c r="O10691" s="33" t="str">
        <f>IFERROR(VLOOKUP($M10691,'Informations sur les produits'!$A$3:$H$10000,8,FALSE),"0")</f>
        <v>0</v>
      </c>
      <c r="P10691" s="33">
        <f t="shared" si="664"/>
        <v>0</v>
      </c>
      <c r="Q10691" s="31" t="str">
        <f t="shared" si="665"/>
        <v/>
      </c>
      <c r="R10691" s="32" t="str">
        <f>IFERROR(VLOOKUP($D10691,'Informations sur les produits'!$A$3:$B$15000,2,FALSE),"")</f>
        <v/>
      </c>
      <c r="V10691">
        <f t="shared" si="666"/>
        <v>0</v>
      </c>
      <c r="W10691">
        <f t="shared" si="667"/>
        <v>0</v>
      </c>
    </row>
    <row r="10692" spans="5:23" x14ac:dyDescent="0.25">
      <c r="E10692" s="4"/>
      <c r="F10692" s="4"/>
      <c r="G10692" s="33" t="str">
        <f>IFERROR(VLOOKUP($D10692,'Informations sur les produits'!$A$3:$H$10000,8,FALSE),"0")</f>
        <v>0</v>
      </c>
      <c r="K10692" s="4"/>
      <c r="L10692" s="33" t="str">
        <f>IFERROR(VLOOKUP($J10692,'Informations sur les produits'!$A$3:$H$10000,8,FALSE),"0")</f>
        <v>0</v>
      </c>
      <c r="N10692" s="8"/>
      <c r="O10692" s="33" t="str">
        <f>IFERROR(VLOOKUP($M10692,'Informations sur les produits'!$A$3:$H$10000,8,FALSE),"0")</f>
        <v>0</v>
      </c>
      <c r="P10692" s="33">
        <f t="shared" ref="P10692:P10755" si="668">IFERROR((($E10692-$F10692)*$G10692+$K10692*$L10692+$N10692*$O10692),"")</f>
        <v>0</v>
      </c>
      <c r="Q10692" s="31" t="str">
        <f t="shared" ref="Q10692:Q10755" si="669">IFERROR((((($E10692-$F10692)*$G10692+$K10692*$L10692+$N10692*$O10692)*1000)/(($E10692-$F10692)+$K10692+$N10692)),"")</f>
        <v/>
      </c>
      <c r="R10692" s="32" t="str">
        <f>IFERROR(VLOOKUP($D10692,'Informations sur les produits'!$A$3:$B$15000,2,FALSE),"")</f>
        <v/>
      </c>
      <c r="V10692">
        <f t="shared" ref="V10692:V10755" si="670">IFERROR(P10692*1000,"")</f>
        <v>0</v>
      </c>
      <c r="W10692">
        <f t="shared" ref="W10692:W10755" si="671">IFERROR(($E10692-$F10692)+$K10692+$N10692,"")</f>
        <v>0</v>
      </c>
    </row>
    <row r="10693" spans="5:23" x14ac:dyDescent="0.25">
      <c r="E10693" s="4"/>
      <c r="F10693" s="4"/>
      <c r="G10693" s="33" t="str">
        <f>IFERROR(VLOOKUP($D10693,'Informations sur les produits'!$A$3:$H$10000,8,FALSE),"0")</f>
        <v>0</v>
      </c>
      <c r="K10693" s="4"/>
      <c r="L10693" s="33" t="str">
        <f>IFERROR(VLOOKUP($J10693,'Informations sur les produits'!$A$3:$H$10000,8,FALSE),"0")</f>
        <v>0</v>
      </c>
      <c r="N10693" s="8"/>
      <c r="O10693" s="33" t="str">
        <f>IFERROR(VLOOKUP($M10693,'Informations sur les produits'!$A$3:$H$10000,8,FALSE),"0")</f>
        <v>0</v>
      </c>
      <c r="P10693" s="33">
        <f t="shared" si="668"/>
        <v>0</v>
      </c>
      <c r="Q10693" s="31" t="str">
        <f t="shared" si="669"/>
        <v/>
      </c>
      <c r="R10693" s="32" t="str">
        <f>IFERROR(VLOOKUP($D10693,'Informations sur les produits'!$A$3:$B$15000,2,FALSE),"")</f>
        <v/>
      </c>
      <c r="V10693">
        <f t="shared" si="670"/>
        <v>0</v>
      </c>
      <c r="W10693">
        <f t="shared" si="671"/>
        <v>0</v>
      </c>
    </row>
    <row r="10694" spans="5:23" x14ac:dyDescent="0.25">
      <c r="E10694" s="4"/>
      <c r="F10694" s="4"/>
      <c r="G10694" s="33" t="str">
        <f>IFERROR(VLOOKUP($D10694,'Informations sur les produits'!$A$3:$H$10000,8,FALSE),"0")</f>
        <v>0</v>
      </c>
      <c r="K10694" s="4"/>
      <c r="L10694" s="33" t="str">
        <f>IFERROR(VLOOKUP($J10694,'Informations sur les produits'!$A$3:$H$10000,8,FALSE),"0")</f>
        <v>0</v>
      </c>
      <c r="N10694" s="8"/>
      <c r="O10694" s="33" t="str">
        <f>IFERROR(VLOOKUP($M10694,'Informations sur les produits'!$A$3:$H$10000,8,FALSE),"0")</f>
        <v>0</v>
      </c>
      <c r="P10694" s="33">
        <f t="shared" si="668"/>
        <v>0</v>
      </c>
      <c r="Q10694" s="31" t="str">
        <f t="shared" si="669"/>
        <v/>
      </c>
      <c r="R10694" s="32" t="str">
        <f>IFERROR(VLOOKUP($D10694,'Informations sur les produits'!$A$3:$B$15000,2,FALSE),"")</f>
        <v/>
      </c>
      <c r="V10694">
        <f t="shared" si="670"/>
        <v>0</v>
      </c>
      <c r="W10694">
        <f t="shared" si="671"/>
        <v>0</v>
      </c>
    </row>
    <row r="10695" spans="5:23" x14ac:dyDescent="0.25">
      <c r="E10695" s="4"/>
      <c r="F10695" s="4"/>
      <c r="G10695" s="33" t="str">
        <f>IFERROR(VLOOKUP($D10695,'Informations sur les produits'!$A$3:$H$10000,8,FALSE),"0")</f>
        <v>0</v>
      </c>
      <c r="K10695" s="4"/>
      <c r="L10695" s="33" t="str">
        <f>IFERROR(VLOOKUP($J10695,'Informations sur les produits'!$A$3:$H$10000,8,FALSE),"0")</f>
        <v>0</v>
      </c>
      <c r="N10695" s="8"/>
      <c r="O10695" s="33" t="str">
        <f>IFERROR(VLOOKUP($M10695,'Informations sur les produits'!$A$3:$H$10000,8,FALSE),"0")</f>
        <v>0</v>
      </c>
      <c r="P10695" s="33">
        <f t="shared" si="668"/>
        <v>0</v>
      </c>
      <c r="Q10695" s="31" t="str">
        <f t="shared" si="669"/>
        <v/>
      </c>
      <c r="R10695" s="32" t="str">
        <f>IFERROR(VLOOKUP($D10695,'Informations sur les produits'!$A$3:$B$15000,2,FALSE),"")</f>
        <v/>
      </c>
      <c r="V10695">
        <f t="shared" si="670"/>
        <v>0</v>
      </c>
      <c r="W10695">
        <f t="shared" si="671"/>
        <v>0</v>
      </c>
    </row>
    <row r="10696" spans="5:23" x14ac:dyDescent="0.25">
      <c r="E10696" s="4"/>
      <c r="F10696" s="4"/>
      <c r="G10696" s="33" t="str">
        <f>IFERROR(VLOOKUP($D10696,'Informations sur les produits'!$A$3:$H$10000,8,FALSE),"0")</f>
        <v>0</v>
      </c>
      <c r="K10696" s="4"/>
      <c r="L10696" s="33" t="str">
        <f>IFERROR(VLOOKUP($J10696,'Informations sur les produits'!$A$3:$H$10000,8,FALSE),"0")</f>
        <v>0</v>
      </c>
      <c r="N10696" s="8"/>
      <c r="O10696" s="33" t="str">
        <f>IFERROR(VLOOKUP($M10696,'Informations sur les produits'!$A$3:$H$10000,8,FALSE),"0")</f>
        <v>0</v>
      </c>
      <c r="P10696" s="33">
        <f t="shared" si="668"/>
        <v>0</v>
      </c>
      <c r="Q10696" s="31" t="str">
        <f t="shared" si="669"/>
        <v/>
      </c>
      <c r="R10696" s="32" t="str">
        <f>IFERROR(VLOOKUP($D10696,'Informations sur les produits'!$A$3:$B$15000,2,FALSE),"")</f>
        <v/>
      </c>
      <c r="V10696">
        <f t="shared" si="670"/>
        <v>0</v>
      </c>
      <c r="W10696">
        <f t="shared" si="671"/>
        <v>0</v>
      </c>
    </row>
    <row r="10697" spans="5:23" x14ac:dyDescent="0.25">
      <c r="E10697" s="4"/>
      <c r="F10697" s="4"/>
      <c r="G10697" s="33" t="str">
        <f>IFERROR(VLOOKUP($D10697,'Informations sur les produits'!$A$3:$H$10000,8,FALSE),"0")</f>
        <v>0</v>
      </c>
      <c r="K10697" s="4"/>
      <c r="L10697" s="33" t="str">
        <f>IFERROR(VLOOKUP($J10697,'Informations sur les produits'!$A$3:$H$10000,8,FALSE),"0")</f>
        <v>0</v>
      </c>
      <c r="N10697" s="8"/>
      <c r="O10697" s="33" t="str">
        <f>IFERROR(VLOOKUP($M10697,'Informations sur les produits'!$A$3:$H$10000,8,FALSE),"0")</f>
        <v>0</v>
      </c>
      <c r="P10697" s="33">
        <f t="shared" si="668"/>
        <v>0</v>
      </c>
      <c r="Q10697" s="31" t="str">
        <f t="shared" si="669"/>
        <v/>
      </c>
      <c r="R10697" s="32" t="str">
        <f>IFERROR(VLOOKUP($D10697,'Informations sur les produits'!$A$3:$B$15000,2,FALSE),"")</f>
        <v/>
      </c>
      <c r="V10697">
        <f t="shared" si="670"/>
        <v>0</v>
      </c>
      <c r="W10697">
        <f t="shared" si="671"/>
        <v>0</v>
      </c>
    </row>
    <row r="10698" spans="5:23" x14ac:dyDescent="0.25">
      <c r="E10698" s="4"/>
      <c r="F10698" s="4"/>
      <c r="G10698" s="33" t="str">
        <f>IFERROR(VLOOKUP($D10698,'Informations sur les produits'!$A$3:$H$10000,8,FALSE),"0")</f>
        <v>0</v>
      </c>
      <c r="K10698" s="4"/>
      <c r="L10698" s="33" t="str">
        <f>IFERROR(VLOOKUP($J10698,'Informations sur les produits'!$A$3:$H$10000,8,FALSE),"0")</f>
        <v>0</v>
      </c>
      <c r="N10698" s="8"/>
      <c r="O10698" s="33" t="str">
        <f>IFERROR(VLOOKUP($M10698,'Informations sur les produits'!$A$3:$H$10000,8,FALSE),"0")</f>
        <v>0</v>
      </c>
      <c r="P10698" s="33">
        <f t="shared" si="668"/>
        <v>0</v>
      </c>
      <c r="Q10698" s="31" t="str">
        <f t="shared" si="669"/>
        <v/>
      </c>
      <c r="R10698" s="32" t="str">
        <f>IFERROR(VLOOKUP($D10698,'Informations sur les produits'!$A$3:$B$15000,2,FALSE),"")</f>
        <v/>
      </c>
      <c r="V10698">
        <f t="shared" si="670"/>
        <v>0</v>
      </c>
      <c r="W10698">
        <f t="shared" si="671"/>
        <v>0</v>
      </c>
    </row>
    <row r="10699" spans="5:23" x14ac:dyDescent="0.25">
      <c r="E10699" s="4"/>
      <c r="F10699" s="4"/>
      <c r="G10699" s="33" t="str">
        <f>IFERROR(VLOOKUP($D10699,'Informations sur les produits'!$A$3:$H$10000,8,FALSE),"0")</f>
        <v>0</v>
      </c>
      <c r="K10699" s="4"/>
      <c r="L10699" s="33" t="str">
        <f>IFERROR(VLOOKUP($J10699,'Informations sur les produits'!$A$3:$H$10000,8,FALSE),"0")</f>
        <v>0</v>
      </c>
      <c r="N10699" s="8"/>
      <c r="O10699" s="33" t="str">
        <f>IFERROR(VLOOKUP($M10699,'Informations sur les produits'!$A$3:$H$10000,8,FALSE),"0")</f>
        <v>0</v>
      </c>
      <c r="P10699" s="33">
        <f t="shared" si="668"/>
        <v>0</v>
      </c>
      <c r="Q10699" s="31" t="str">
        <f t="shared" si="669"/>
        <v/>
      </c>
      <c r="R10699" s="32" t="str">
        <f>IFERROR(VLOOKUP($D10699,'Informations sur les produits'!$A$3:$B$15000,2,FALSE),"")</f>
        <v/>
      </c>
      <c r="V10699">
        <f t="shared" si="670"/>
        <v>0</v>
      </c>
      <c r="W10699">
        <f t="shared" si="671"/>
        <v>0</v>
      </c>
    </row>
    <row r="10700" spans="5:23" x14ac:dyDescent="0.25">
      <c r="E10700" s="4"/>
      <c r="F10700" s="4"/>
      <c r="G10700" s="33" t="str">
        <f>IFERROR(VLOOKUP($D10700,'Informations sur les produits'!$A$3:$H$10000,8,FALSE),"0")</f>
        <v>0</v>
      </c>
      <c r="K10700" s="4"/>
      <c r="L10700" s="33" t="str">
        <f>IFERROR(VLOOKUP($J10700,'Informations sur les produits'!$A$3:$H$10000,8,FALSE),"0")</f>
        <v>0</v>
      </c>
      <c r="N10700" s="8"/>
      <c r="O10700" s="33" t="str">
        <f>IFERROR(VLOOKUP($M10700,'Informations sur les produits'!$A$3:$H$10000,8,FALSE),"0")</f>
        <v>0</v>
      </c>
      <c r="P10700" s="33">
        <f t="shared" si="668"/>
        <v>0</v>
      </c>
      <c r="Q10700" s="31" t="str">
        <f t="shared" si="669"/>
        <v/>
      </c>
      <c r="R10700" s="32" t="str">
        <f>IFERROR(VLOOKUP($D10700,'Informations sur les produits'!$A$3:$B$15000,2,FALSE),"")</f>
        <v/>
      </c>
      <c r="V10700">
        <f t="shared" si="670"/>
        <v>0</v>
      </c>
      <c r="W10700">
        <f t="shared" si="671"/>
        <v>0</v>
      </c>
    </row>
    <row r="10701" spans="5:23" x14ac:dyDescent="0.25">
      <c r="E10701" s="4"/>
      <c r="F10701" s="4"/>
      <c r="G10701" s="33" t="str">
        <f>IFERROR(VLOOKUP($D10701,'Informations sur les produits'!$A$3:$H$10000,8,FALSE),"0")</f>
        <v>0</v>
      </c>
      <c r="K10701" s="4"/>
      <c r="L10701" s="33" t="str">
        <f>IFERROR(VLOOKUP($J10701,'Informations sur les produits'!$A$3:$H$10000,8,FALSE),"0")</f>
        <v>0</v>
      </c>
      <c r="N10701" s="8"/>
      <c r="O10701" s="33" t="str">
        <f>IFERROR(VLOOKUP($M10701,'Informations sur les produits'!$A$3:$H$10000,8,FALSE),"0")</f>
        <v>0</v>
      </c>
      <c r="P10701" s="33">
        <f t="shared" si="668"/>
        <v>0</v>
      </c>
      <c r="Q10701" s="31" t="str">
        <f t="shared" si="669"/>
        <v/>
      </c>
      <c r="R10701" s="32" t="str">
        <f>IFERROR(VLOOKUP($D10701,'Informations sur les produits'!$A$3:$B$15000,2,FALSE),"")</f>
        <v/>
      </c>
      <c r="V10701">
        <f t="shared" si="670"/>
        <v>0</v>
      </c>
      <c r="W10701">
        <f t="shared" si="671"/>
        <v>0</v>
      </c>
    </row>
    <row r="10702" spans="5:23" x14ac:dyDescent="0.25">
      <c r="E10702" s="4"/>
      <c r="F10702" s="4"/>
      <c r="G10702" s="33" t="str">
        <f>IFERROR(VLOOKUP($D10702,'Informations sur les produits'!$A$3:$H$10000,8,FALSE),"0")</f>
        <v>0</v>
      </c>
      <c r="K10702" s="4"/>
      <c r="L10702" s="33" t="str">
        <f>IFERROR(VLOOKUP($J10702,'Informations sur les produits'!$A$3:$H$10000,8,FALSE),"0")</f>
        <v>0</v>
      </c>
      <c r="N10702" s="8"/>
      <c r="O10702" s="33" t="str">
        <f>IFERROR(VLOOKUP($M10702,'Informations sur les produits'!$A$3:$H$10000,8,FALSE),"0")</f>
        <v>0</v>
      </c>
      <c r="P10702" s="33">
        <f t="shared" si="668"/>
        <v>0</v>
      </c>
      <c r="Q10702" s="31" t="str">
        <f t="shared" si="669"/>
        <v/>
      </c>
      <c r="R10702" s="32" t="str">
        <f>IFERROR(VLOOKUP($D10702,'Informations sur les produits'!$A$3:$B$15000,2,FALSE),"")</f>
        <v/>
      </c>
      <c r="V10702">
        <f t="shared" si="670"/>
        <v>0</v>
      </c>
      <c r="W10702">
        <f t="shared" si="671"/>
        <v>0</v>
      </c>
    </row>
    <row r="10703" spans="5:23" x14ac:dyDescent="0.25">
      <c r="E10703" s="4"/>
      <c r="F10703" s="4"/>
      <c r="G10703" s="33" t="str">
        <f>IFERROR(VLOOKUP($D10703,'Informations sur les produits'!$A$3:$H$10000,8,FALSE),"0")</f>
        <v>0</v>
      </c>
      <c r="K10703" s="4"/>
      <c r="L10703" s="33" t="str">
        <f>IFERROR(VLOOKUP($J10703,'Informations sur les produits'!$A$3:$H$10000,8,FALSE),"0")</f>
        <v>0</v>
      </c>
      <c r="N10703" s="8"/>
      <c r="O10703" s="33" t="str">
        <f>IFERROR(VLOOKUP($M10703,'Informations sur les produits'!$A$3:$H$10000,8,FALSE),"0")</f>
        <v>0</v>
      </c>
      <c r="P10703" s="33">
        <f t="shared" si="668"/>
        <v>0</v>
      </c>
      <c r="Q10703" s="31" t="str">
        <f t="shared" si="669"/>
        <v/>
      </c>
      <c r="R10703" s="32" t="str">
        <f>IFERROR(VLOOKUP($D10703,'Informations sur les produits'!$A$3:$B$15000,2,FALSE),"")</f>
        <v/>
      </c>
      <c r="V10703">
        <f t="shared" si="670"/>
        <v>0</v>
      </c>
      <c r="W10703">
        <f t="shared" si="671"/>
        <v>0</v>
      </c>
    </row>
    <row r="10704" spans="5:23" x14ac:dyDescent="0.25">
      <c r="E10704" s="4"/>
      <c r="F10704" s="4"/>
      <c r="G10704" s="33" t="str">
        <f>IFERROR(VLOOKUP($D10704,'Informations sur les produits'!$A$3:$H$10000,8,FALSE),"0")</f>
        <v>0</v>
      </c>
      <c r="K10704" s="4"/>
      <c r="L10704" s="33" t="str">
        <f>IFERROR(VLOOKUP($J10704,'Informations sur les produits'!$A$3:$H$10000,8,FALSE),"0")</f>
        <v>0</v>
      </c>
      <c r="N10704" s="8"/>
      <c r="O10704" s="33" t="str">
        <f>IFERROR(VLOOKUP($M10704,'Informations sur les produits'!$A$3:$H$10000,8,FALSE),"0")</f>
        <v>0</v>
      </c>
      <c r="P10704" s="33">
        <f t="shared" si="668"/>
        <v>0</v>
      </c>
      <c r="Q10704" s="31" t="str">
        <f t="shared" si="669"/>
        <v/>
      </c>
      <c r="R10704" s="32" t="str">
        <f>IFERROR(VLOOKUP($D10704,'Informations sur les produits'!$A$3:$B$15000,2,FALSE),"")</f>
        <v/>
      </c>
      <c r="V10704">
        <f t="shared" si="670"/>
        <v>0</v>
      </c>
      <c r="W10704">
        <f t="shared" si="671"/>
        <v>0</v>
      </c>
    </row>
    <row r="10705" spans="5:23" x14ac:dyDescent="0.25">
      <c r="E10705" s="4"/>
      <c r="F10705" s="4"/>
      <c r="G10705" s="33" t="str">
        <f>IFERROR(VLOOKUP($D10705,'Informations sur les produits'!$A$3:$H$10000,8,FALSE),"0")</f>
        <v>0</v>
      </c>
      <c r="K10705" s="4"/>
      <c r="L10705" s="33" t="str">
        <f>IFERROR(VLOOKUP($J10705,'Informations sur les produits'!$A$3:$H$10000,8,FALSE),"0")</f>
        <v>0</v>
      </c>
      <c r="N10705" s="8"/>
      <c r="O10705" s="33" t="str">
        <f>IFERROR(VLOOKUP($M10705,'Informations sur les produits'!$A$3:$H$10000,8,FALSE),"0")</f>
        <v>0</v>
      </c>
      <c r="P10705" s="33">
        <f t="shared" si="668"/>
        <v>0</v>
      </c>
      <c r="Q10705" s="31" t="str">
        <f t="shared" si="669"/>
        <v/>
      </c>
      <c r="R10705" s="32" t="str">
        <f>IFERROR(VLOOKUP($D10705,'Informations sur les produits'!$A$3:$B$15000,2,FALSE),"")</f>
        <v/>
      </c>
      <c r="V10705">
        <f t="shared" si="670"/>
        <v>0</v>
      </c>
      <c r="W10705">
        <f t="shared" si="671"/>
        <v>0</v>
      </c>
    </row>
    <row r="10706" spans="5:23" x14ac:dyDescent="0.25">
      <c r="E10706" s="4"/>
      <c r="F10706" s="4"/>
      <c r="G10706" s="33" t="str">
        <f>IFERROR(VLOOKUP($D10706,'Informations sur les produits'!$A$3:$H$10000,8,FALSE),"0")</f>
        <v>0</v>
      </c>
      <c r="K10706" s="4"/>
      <c r="L10706" s="33" t="str">
        <f>IFERROR(VLOOKUP($J10706,'Informations sur les produits'!$A$3:$H$10000,8,FALSE),"0")</f>
        <v>0</v>
      </c>
      <c r="N10706" s="8"/>
      <c r="O10706" s="33" t="str">
        <f>IFERROR(VLOOKUP($M10706,'Informations sur les produits'!$A$3:$H$10000,8,FALSE),"0")</f>
        <v>0</v>
      </c>
      <c r="P10706" s="33">
        <f t="shared" si="668"/>
        <v>0</v>
      </c>
      <c r="Q10706" s="31" t="str">
        <f t="shared" si="669"/>
        <v/>
      </c>
      <c r="R10706" s="32" t="str">
        <f>IFERROR(VLOOKUP($D10706,'Informations sur les produits'!$A$3:$B$15000,2,FALSE),"")</f>
        <v/>
      </c>
      <c r="V10706">
        <f t="shared" si="670"/>
        <v>0</v>
      </c>
      <c r="W10706">
        <f t="shared" si="671"/>
        <v>0</v>
      </c>
    </row>
    <row r="10707" spans="5:23" x14ac:dyDescent="0.25">
      <c r="E10707" s="4"/>
      <c r="F10707" s="4"/>
      <c r="G10707" s="33" t="str">
        <f>IFERROR(VLOOKUP($D10707,'Informations sur les produits'!$A$3:$H$10000,8,FALSE),"0")</f>
        <v>0</v>
      </c>
      <c r="K10707" s="4"/>
      <c r="L10707" s="33" t="str">
        <f>IFERROR(VLOOKUP($J10707,'Informations sur les produits'!$A$3:$H$10000,8,FALSE),"0")</f>
        <v>0</v>
      </c>
      <c r="N10707" s="8"/>
      <c r="O10707" s="33" t="str">
        <f>IFERROR(VLOOKUP($M10707,'Informations sur les produits'!$A$3:$H$10000,8,FALSE),"0")</f>
        <v>0</v>
      </c>
      <c r="P10707" s="33">
        <f t="shared" si="668"/>
        <v>0</v>
      </c>
      <c r="Q10707" s="31" t="str">
        <f t="shared" si="669"/>
        <v/>
      </c>
      <c r="R10707" s="32" t="str">
        <f>IFERROR(VLOOKUP($D10707,'Informations sur les produits'!$A$3:$B$15000,2,FALSE),"")</f>
        <v/>
      </c>
      <c r="V10707">
        <f t="shared" si="670"/>
        <v>0</v>
      </c>
      <c r="W10707">
        <f t="shared" si="671"/>
        <v>0</v>
      </c>
    </row>
    <row r="10708" spans="5:23" x14ac:dyDescent="0.25">
      <c r="E10708" s="4"/>
      <c r="F10708" s="4"/>
      <c r="G10708" s="33" t="str">
        <f>IFERROR(VLOOKUP($D10708,'Informations sur les produits'!$A$3:$H$10000,8,FALSE),"0")</f>
        <v>0</v>
      </c>
      <c r="K10708" s="4"/>
      <c r="L10708" s="33" t="str">
        <f>IFERROR(VLOOKUP($J10708,'Informations sur les produits'!$A$3:$H$10000,8,FALSE),"0")</f>
        <v>0</v>
      </c>
      <c r="N10708" s="8"/>
      <c r="O10708" s="33" t="str">
        <f>IFERROR(VLOOKUP($M10708,'Informations sur les produits'!$A$3:$H$10000,8,FALSE),"0")</f>
        <v>0</v>
      </c>
      <c r="P10708" s="33">
        <f t="shared" si="668"/>
        <v>0</v>
      </c>
      <c r="Q10708" s="31" t="str">
        <f t="shared" si="669"/>
        <v/>
      </c>
      <c r="R10708" s="32" t="str">
        <f>IFERROR(VLOOKUP($D10708,'Informations sur les produits'!$A$3:$B$15000,2,FALSE),"")</f>
        <v/>
      </c>
      <c r="V10708">
        <f t="shared" si="670"/>
        <v>0</v>
      </c>
      <c r="W10708">
        <f t="shared" si="671"/>
        <v>0</v>
      </c>
    </row>
    <row r="10709" spans="5:23" x14ac:dyDescent="0.25">
      <c r="E10709" s="4"/>
      <c r="F10709" s="4"/>
      <c r="G10709" s="33" t="str">
        <f>IFERROR(VLOOKUP($D10709,'Informations sur les produits'!$A$3:$H$10000,8,FALSE),"0")</f>
        <v>0</v>
      </c>
      <c r="K10709" s="4"/>
      <c r="L10709" s="33" t="str">
        <f>IFERROR(VLOOKUP($J10709,'Informations sur les produits'!$A$3:$H$10000,8,FALSE),"0")</f>
        <v>0</v>
      </c>
      <c r="N10709" s="8"/>
      <c r="O10709" s="33" t="str">
        <f>IFERROR(VLOOKUP($M10709,'Informations sur les produits'!$A$3:$H$10000,8,FALSE),"0")</f>
        <v>0</v>
      </c>
      <c r="P10709" s="33">
        <f t="shared" si="668"/>
        <v>0</v>
      </c>
      <c r="Q10709" s="31" t="str">
        <f t="shared" si="669"/>
        <v/>
      </c>
      <c r="R10709" s="32" t="str">
        <f>IFERROR(VLOOKUP($D10709,'Informations sur les produits'!$A$3:$B$15000,2,FALSE),"")</f>
        <v/>
      </c>
      <c r="V10709">
        <f t="shared" si="670"/>
        <v>0</v>
      </c>
      <c r="W10709">
        <f t="shared" si="671"/>
        <v>0</v>
      </c>
    </row>
    <row r="10710" spans="5:23" x14ac:dyDescent="0.25">
      <c r="E10710" s="4"/>
      <c r="F10710" s="4"/>
      <c r="G10710" s="33" t="str">
        <f>IFERROR(VLOOKUP($D10710,'Informations sur les produits'!$A$3:$H$10000,8,FALSE),"0")</f>
        <v>0</v>
      </c>
      <c r="K10710" s="4"/>
      <c r="L10710" s="33" t="str">
        <f>IFERROR(VLOOKUP($J10710,'Informations sur les produits'!$A$3:$H$10000,8,FALSE),"0")</f>
        <v>0</v>
      </c>
      <c r="N10710" s="8"/>
      <c r="O10710" s="33" t="str">
        <f>IFERROR(VLOOKUP($M10710,'Informations sur les produits'!$A$3:$H$10000,8,FALSE),"0")</f>
        <v>0</v>
      </c>
      <c r="P10710" s="33">
        <f t="shared" si="668"/>
        <v>0</v>
      </c>
      <c r="Q10710" s="31" t="str">
        <f t="shared" si="669"/>
        <v/>
      </c>
      <c r="R10710" s="32" t="str">
        <f>IFERROR(VLOOKUP($D10710,'Informations sur les produits'!$A$3:$B$15000,2,FALSE),"")</f>
        <v/>
      </c>
      <c r="V10710">
        <f t="shared" si="670"/>
        <v>0</v>
      </c>
      <c r="W10710">
        <f t="shared" si="671"/>
        <v>0</v>
      </c>
    </row>
    <row r="10711" spans="5:23" x14ac:dyDescent="0.25">
      <c r="E10711" s="4"/>
      <c r="F10711" s="4"/>
      <c r="G10711" s="33" t="str">
        <f>IFERROR(VLOOKUP($D10711,'Informations sur les produits'!$A$3:$H$10000,8,FALSE),"0")</f>
        <v>0</v>
      </c>
      <c r="K10711" s="4"/>
      <c r="L10711" s="33" t="str">
        <f>IFERROR(VLOOKUP($J10711,'Informations sur les produits'!$A$3:$H$10000,8,FALSE),"0")</f>
        <v>0</v>
      </c>
      <c r="N10711" s="8"/>
      <c r="O10711" s="33" t="str">
        <f>IFERROR(VLOOKUP($M10711,'Informations sur les produits'!$A$3:$H$10000,8,FALSE),"0")</f>
        <v>0</v>
      </c>
      <c r="P10711" s="33">
        <f t="shared" si="668"/>
        <v>0</v>
      </c>
      <c r="Q10711" s="31" t="str">
        <f t="shared" si="669"/>
        <v/>
      </c>
      <c r="R10711" s="32" t="str">
        <f>IFERROR(VLOOKUP($D10711,'Informations sur les produits'!$A$3:$B$15000,2,FALSE),"")</f>
        <v/>
      </c>
      <c r="V10711">
        <f t="shared" si="670"/>
        <v>0</v>
      </c>
      <c r="W10711">
        <f t="shared" si="671"/>
        <v>0</v>
      </c>
    </row>
    <row r="10712" spans="5:23" x14ac:dyDescent="0.25">
      <c r="E10712" s="4"/>
      <c r="F10712" s="4"/>
      <c r="G10712" s="33" t="str">
        <f>IFERROR(VLOOKUP($D10712,'Informations sur les produits'!$A$3:$H$10000,8,FALSE),"0")</f>
        <v>0</v>
      </c>
      <c r="K10712" s="4"/>
      <c r="L10712" s="33" t="str">
        <f>IFERROR(VLOOKUP($J10712,'Informations sur les produits'!$A$3:$H$10000,8,FALSE),"0")</f>
        <v>0</v>
      </c>
      <c r="N10712" s="8"/>
      <c r="O10712" s="33" t="str">
        <f>IFERROR(VLOOKUP($M10712,'Informations sur les produits'!$A$3:$H$10000,8,FALSE),"0")</f>
        <v>0</v>
      </c>
      <c r="P10712" s="33">
        <f t="shared" si="668"/>
        <v>0</v>
      </c>
      <c r="Q10712" s="31" t="str">
        <f t="shared" si="669"/>
        <v/>
      </c>
      <c r="R10712" s="32" t="str">
        <f>IFERROR(VLOOKUP($D10712,'Informations sur les produits'!$A$3:$B$15000,2,FALSE),"")</f>
        <v/>
      </c>
      <c r="V10712">
        <f t="shared" si="670"/>
        <v>0</v>
      </c>
      <c r="W10712">
        <f t="shared" si="671"/>
        <v>0</v>
      </c>
    </row>
    <row r="10713" spans="5:23" x14ac:dyDescent="0.25">
      <c r="E10713" s="4"/>
      <c r="F10713" s="4"/>
      <c r="G10713" s="33" t="str">
        <f>IFERROR(VLOOKUP($D10713,'Informations sur les produits'!$A$3:$H$10000,8,FALSE),"0")</f>
        <v>0</v>
      </c>
      <c r="K10713" s="4"/>
      <c r="L10713" s="33" t="str">
        <f>IFERROR(VLOOKUP($J10713,'Informations sur les produits'!$A$3:$H$10000,8,FALSE),"0")</f>
        <v>0</v>
      </c>
      <c r="N10713" s="8"/>
      <c r="O10713" s="33" t="str">
        <f>IFERROR(VLOOKUP($M10713,'Informations sur les produits'!$A$3:$H$10000,8,FALSE),"0")</f>
        <v>0</v>
      </c>
      <c r="P10713" s="33">
        <f t="shared" si="668"/>
        <v>0</v>
      </c>
      <c r="Q10713" s="31" t="str">
        <f t="shared" si="669"/>
        <v/>
      </c>
      <c r="R10713" s="32" t="str">
        <f>IFERROR(VLOOKUP($D10713,'Informations sur les produits'!$A$3:$B$15000,2,FALSE),"")</f>
        <v/>
      </c>
      <c r="V10713">
        <f t="shared" si="670"/>
        <v>0</v>
      </c>
      <c r="W10713">
        <f t="shared" si="671"/>
        <v>0</v>
      </c>
    </row>
    <row r="10714" spans="5:23" x14ac:dyDescent="0.25">
      <c r="E10714" s="4"/>
      <c r="F10714" s="4"/>
      <c r="G10714" s="33" t="str">
        <f>IFERROR(VLOOKUP($D10714,'Informations sur les produits'!$A$3:$H$10000,8,FALSE),"0")</f>
        <v>0</v>
      </c>
      <c r="K10714" s="4"/>
      <c r="L10714" s="33" t="str">
        <f>IFERROR(VLOOKUP($J10714,'Informations sur les produits'!$A$3:$H$10000,8,FALSE),"0")</f>
        <v>0</v>
      </c>
      <c r="N10714" s="8"/>
      <c r="O10714" s="33" t="str">
        <f>IFERROR(VLOOKUP($M10714,'Informations sur les produits'!$A$3:$H$10000,8,FALSE),"0")</f>
        <v>0</v>
      </c>
      <c r="P10714" s="33">
        <f t="shared" si="668"/>
        <v>0</v>
      </c>
      <c r="Q10714" s="31" t="str">
        <f t="shared" si="669"/>
        <v/>
      </c>
      <c r="R10714" s="32" t="str">
        <f>IFERROR(VLOOKUP($D10714,'Informations sur les produits'!$A$3:$B$15000,2,FALSE),"")</f>
        <v/>
      </c>
      <c r="V10714">
        <f t="shared" si="670"/>
        <v>0</v>
      </c>
      <c r="W10714">
        <f t="shared" si="671"/>
        <v>0</v>
      </c>
    </row>
    <row r="10715" spans="5:23" x14ac:dyDescent="0.25">
      <c r="E10715" s="4"/>
      <c r="F10715" s="4"/>
      <c r="G10715" s="33" t="str">
        <f>IFERROR(VLOOKUP($D10715,'Informations sur les produits'!$A$3:$H$10000,8,FALSE),"0")</f>
        <v>0</v>
      </c>
      <c r="K10715" s="4"/>
      <c r="L10715" s="33" t="str">
        <f>IFERROR(VLOOKUP($J10715,'Informations sur les produits'!$A$3:$H$10000,8,FALSE),"0")</f>
        <v>0</v>
      </c>
      <c r="N10715" s="8"/>
      <c r="O10715" s="33" t="str">
        <f>IFERROR(VLOOKUP($M10715,'Informations sur les produits'!$A$3:$H$10000,8,FALSE),"0")</f>
        <v>0</v>
      </c>
      <c r="P10715" s="33">
        <f t="shared" si="668"/>
        <v>0</v>
      </c>
      <c r="Q10715" s="31" t="str">
        <f t="shared" si="669"/>
        <v/>
      </c>
      <c r="R10715" s="32" t="str">
        <f>IFERROR(VLOOKUP($D10715,'Informations sur les produits'!$A$3:$B$15000,2,FALSE),"")</f>
        <v/>
      </c>
      <c r="V10715">
        <f t="shared" si="670"/>
        <v>0</v>
      </c>
      <c r="W10715">
        <f t="shared" si="671"/>
        <v>0</v>
      </c>
    </row>
    <row r="10716" spans="5:23" x14ac:dyDescent="0.25">
      <c r="E10716" s="4"/>
      <c r="F10716" s="4"/>
      <c r="G10716" s="33" t="str">
        <f>IFERROR(VLOOKUP($D10716,'Informations sur les produits'!$A$3:$H$10000,8,FALSE),"0")</f>
        <v>0</v>
      </c>
      <c r="K10716" s="4"/>
      <c r="L10716" s="33" t="str">
        <f>IFERROR(VLOOKUP($J10716,'Informations sur les produits'!$A$3:$H$10000,8,FALSE),"0")</f>
        <v>0</v>
      </c>
      <c r="N10716" s="8"/>
      <c r="O10716" s="33" t="str">
        <f>IFERROR(VLOOKUP($M10716,'Informations sur les produits'!$A$3:$H$10000,8,FALSE),"0")</f>
        <v>0</v>
      </c>
      <c r="P10716" s="33">
        <f t="shared" si="668"/>
        <v>0</v>
      </c>
      <c r="Q10716" s="31" t="str">
        <f t="shared" si="669"/>
        <v/>
      </c>
      <c r="R10716" s="32" t="str">
        <f>IFERROR(VLOOKUP($D10716,'Informations sur les produits'!$A$3:$B$15000,2,FALSE),"")</f>
        <v/>
      </c>
      <c r="V10716">
        <f t="shared" si="670"/>
        <v>0</v>
      </c>
      <c r="W10716">
        <f t="shared" si="671"/>
        <v>0</v>
      </c>
    </row>
    <row r="10717" spans="5:23" x14ac:dyDescent="0.25">
      <c r="E10717" s="4"/>
      <c r="F10717" s="4"/>
      <c r="G10717" s="33" t="str">
        <f>IFERROR(VLOOKUP($D10717,'Informations sur les produits'!$A$3:$H$10000,8,FALSE),"0")</f>
        <v>0</v>
      </c>
      <c r="K10717" s="4"/>
      <c r="L10717" s="33" t="str">
        <f>IFERROR(VLOOKUP($J10717,'Informations sur les produits'!$A$3:$H$10000,8,FALSE),"0")</f>
        <v>0</v>
      </c>
      <c r="N10717" s="8"/>
      <c r="O10717" s="33" t="str">
        <f>IFERROR(VLOOKUP($M10717,'Informations sur les produits'!$A$3:$H$10000,8,FALSE),"0")</f>
        <v>0</v>
      </c>
      <c r="P10717" s="33">
        <f t="shared" si="668"/>
        <v>0</v>
      </c>
      <c r="Q10717" s="31" t="str">
        <f t="shared" si="669"/>
        <v/>
      </c>
      <c r="R10717" s="32" t="str">
        <f>IFERROR(VLOOKUP($D10717,'Informations sur les produits'!$A$3:$B$15000,2,FALSE),"")</f>
        <v/>
      </c>
      <c r="V10717">
        <f t="shared" si="670"/>
        <v>0</v>
      </c>
      <c r="W10717">
        <f t="shared" si="671"/>
        <v>0</v>
      </c>
    </row>
    <row r="10718" spans="5:23" x14ac:dyDescent="0.25">
      <c r="E10718" s="4"/>
      <c r="F10718" s="4"/>
      <c r="G10718" s="33" t="str">
        <f>IFERROR(VLOOKUP($D10718,'Informations sur les produits'!$A$3:$H$10000,8,FALSE),"0")</f>
        <v>0</v>
      </c>
      <c r="K10718" s="4"/>
      <c r="L10718" s="33" t="str">
        <f>IFERROR(VLOOKUP($J10718,'Informations sur les produits'!$A$3:$H$10000,8,FALSE),"0")</f>
        <v>0</v>
      </c>
      <c r="N10718" s="8"/>
      <c r="O10718" s="33" t="str">
        <f>IFERROR(VLOOKUP($M10718,'Informations sur les produits'!$A$3:$H$10000,8,FALSE),"0")</f>
        <v>0</v>
      </c>
      <c r="P10718" s="33">
        <f t="shared" si="668"/>
        <v>0</v>
      </c>
      <c r="Q10718" s="31" t="str">
        <f t="shared" si="669"/>
        <v/>
      </c>
      <c r="R10718" s="32" t="str">
        <f>IFERROR(VLOOKUP($D10718,'Informations sur les produits'!$A$3:$B$15000,2,FALSE),"")</f>
        <v/>
      </c>
      <c r="V10718">
        <f t="shared" si="670"/>
        <v>0</v>
      </c>
      <c r="W10718">
        <f t="shared" si="671"/>
        <v>0</v>
      </c>
    </row>
    <row r="10719" spans="5:23" x14ac:dyDescent="0.25">
      <c r="E10719" s="4"/>
      <c r="F10719" s="4"/>
      <c r="G10719" s="33" t="str">
        <f>IFERROR(VLOOKUP($D10719,'Informations sur les produits'!$A$3:$H$10000,8,FALSE),"0")</f>
        <v>0</v>
      </c>
      <c r="K10719" s="4"/>
      <c r="L10719" s="33" t="str">
        <f>IFERROR(VLOOKUP($J10719,'Informations sur les produits'!$A$3:$H$10000,8,FALSE),"0")</f>
        <v>0</v>
      </c>
      <c r="N10719" s="8"/>
      <c r="O10719" s="33" t="str">
        <f>IFERROR(VLOOKUP($M10719,'Informations sur les produits'!$A$3:$H$10000,8,FALSE),"0")</f>
        <v>0</v>
      </c>
      <c r="P10719" s="33">
        <f t="shared" si="668"/>
        <v>0</v>
      </c>
      <c r="Q10719" s="31" t="str">
        <f t="shared" si="669"/>
        <v/>
      </c>
      <c r="R10719" s="32" t="str">
        <f>IFERROR(VLOOKUP($D10719,'Informations sur les produits'!$A$3:$B$15000,2,FALSE),"")</f>
        <v/>
      </c>
      <c r="V10719">
        <f t="shared" si="670"/>
        <v>0</v>
      </c>
      <c r="W10719">
        <f t="shared" si="671"/>
        <v>0</v>
      </c>
    </row>
    <row r="10720" spans="5:23" x14ac:dyDescent="0.25">
      <c r="E10720" s="4"/>
      <c r="F10720" s="4"/>
      <c r="G10720" s="33" t="str">
        <f>IFERROR(VLOOKUP($D10720,'Informations sur les produits'!$A$3:$H$10000,8,FALSE),"0")</f>
        <v>0</v>
      </c>
      <c r="K10720" s="4"/>
      <c r="L10720" s="33" t="str">
        <f>IFERROR(VLOOKUP($J10720,'Informations sur les produits'!$A$3:$H$10000,8,FALSE),"0")</f>
        <v>0</v>
      </c>
      <c r="N10720" s="8"/>
      <c r="O10720" s="33" t="str">
        <f>IFERROR(VLOOKUP($M10720,'Informations sur les produits'!$A$3:$H$10000,8,FALSE),"0")</f>
        <v>0</v>
      </c>
      <c r="P10720" s="33">
        <f t="shared" si="668"/>
        <v>0</v>
      </c>
      <c r="Q10720" s="31" t="str">
        <f t="shared" si="669"/>
        <v/>
      </c>
      <c r="R10720" s="32" t="str">
        <f>IFERROR(VLOOKUP($D10720,'Informations sur les produits'!$A$3:$B$15000,2,FALSE),"")</f>
        <v/>
      </c>
      <c r="V10720">
        <f t="shared" si="670"/>
        <v>0</v>
      </c>
      <c r="W10720">
        <f t="shared" si="671"/>
        <v>0</v>
      </c>
    </row>
    <row r="10721" spans="5:23" x14ac:dyDescent="0.25">
      <c r="E10721" s="4"/>
      <c r="F10721" s="4"/>
      <c r="G10721" s="33" t="str">
        <f>IFERROR(VLOOKUP($D10721,'Informations sur les produits'!$A$3:$H$10000,8,FALSE),"0")</f>
        <v>0</v>
      </c>
      <c r="K10721" s="4"/>
      <c r="L10721" s="33" t="str">
        <f>IFERROR(VLOOKUP($J10721,'Informations sur les produits'!$A$3:$H$10000,8,FALSE),"0")</f>
        <v>0</v>
      </c>
      <c r="N10721" s="8"/>
      <c r="O10721" s="33" t="str">
        <f>IFERROR(VLOOKUP($M10721,'Informations sur les produits'!$A$3:$H$10000,8,FALSE),"0")</f>
        <v>0</v>
      </c>
      <c r="P10721" s="33">
        <f t="shared" si="668"/>
        <v>0</v>
      </c>
      <c r="Q10721" s="31" t="str">
        <f t="shared" si="669"/>
        <v/>
      </c>
      <c r="R10721" s="32" t="str">
        <f>IFERROR(VLOOKUP($D10721,'Informations sur les produits'!$A$3:$B$15000,2,FALSE),"")</f>
        <v/>
      </c>
      <c r="V10721">
        <f t="shared" si="670"/>
        <v>0</v>
      </c>
      <c r="W10721">
        <f t="shared" si="671"/>
        <v>0</v>
      </c>
    </row>
    <row r="10722" spans="5:23" x14ac:dyDescent="0.25">
      <c r="E10722" s="4"/>
      <c r="F10722" s="4"/>
      <c r="G10722" s="33" t="str">
        <f>IFERROR(VLOOKUP($D10722,'Informations sur les produits'!$A$3:$H$10000,8,FALSE),"0")</f>
        <v>0</v>
      </c>
      <c r="K10722" s="4"/>
      <c r="L10722" s="33" t="str">
        <f>IFERROR(VLOOKUP($J10722,'Informations sur les produits'!$A$3:$H$10000,8,FALSE),"0")</f>
        <v>0</v>
      </c>
      <c r="N10722" s="8"/>
      <c r="O10722" s="33" t="str">
        <f>IFERROR(VLOOKUP($M10722,'Informations sur les produits'!$A$3:$H$10000,8,FALSE),"0")</f>
        <v>0</v>
      </c>
      <c r="P10722" s="33">
        <f t="shared" si="668"/>
        <v>0</v>
      </c>
      <c r="Q10722" s="31" t="str">
        <f t="shared" si="669"/>
        <v/>
      </c>
      <c r="R10722" s="32" t="str">
        <f>IFERROR(VLOOKUP($D10722,'Informations sur les produits'!$A$3:$B$15000,2,FALSE),"")</f>
        <v/>
      </c>
      <c r="V10722">
        <f t="shared" si="670"/>
        <v>0</v>
      </c>
      <c r="W10722">
        <f t="shared" si="671"/>
        <v>0</v>
      </c>
    </row>
    <row r="10723" spans="5:23" x14ac:dyDescent="0.25">
      <c r="E10723" s="4"/>
      <c r="F10723" s="4"/>
      <c r="G10723" s="33" t="str">
        <f>IFERROR(VLOOKUP($D10723,'Informations sur les produits'!$A$3:$H$10000,8,FALSE),"0")</f>
        <v>0</v>
      </c>
      <c r="K10723" s="4"/>
      <c r="L10723" s="33" t="str">
        <f>IFERROR(VLOOKUP($J10723,'Informations sur les produits'!$A$3:$H$10000,8,FALSE),"0")</f>
        <v>0</v>
      </c>
      <c r="N10723" s="8"/>
      <c r="O10723" s="33" t="str">
        <f>IFERROR(VLOOKUP($M10723,'Informations sur les produits'!$A$3:$H$10000,8,FALSE),"0")</f>
        <v>0</v>
      </c>
      <c r="P10723" s="33">
        <f t="shared" si="668"/>
        <v>0</v>
      </c>
      <c r="Q10723" s="31" t="str">
        <f t="shared" si="669"/>
        <v/>
      </c>
      <c r="R10723" s="32" t="str">
        <f>IFERROR(VLOOKUP($D10723,'Informations sur les produits'!$A$3:$B$15000,2,FALSE),"")</f>
        <v/>
      </c>
      <c r="V10723">
        <f t="shared" si="670"/>
        <v>0</v>
      </c>
      <c r="W10723">
        <f t="shared" si="671"/>
        <v>0</v>
      </c>
    </row>
    <row r="10724" spans="5:23" x14ac:dyDescent="0.25">
      <c r="E10724" s="4"/>
      <c r="F10724" s="4"/>
      <c r="G10724" s="33" t="str">
        <f>IFERROR(VLOOKUP($D10724,'Informations sur les produits'!$A$3:$H$10000,8,FALSE),"0")</f>
        <v>0</v>
      </c>
      <c r="K10724" s="4"/>
      <c r="L10724" s="33" t="str">
        <f>IFERROR(VLOOKUP($J10724,'Informations sur les produits'!$A$3:$H$10000,8,FALSE),"0")</f>
        <v>0</v>
      </c>
      <c r="N10724" s="8"/>
      <c r="O10724" s="33" t="str">
        <f>IFERROR(VLOOKUP($M10724,'Informations sur les produits'!$A$3:$H$10000,8,FALSE),"0")</f>
        <v>0</v>
      </c>
      <c r="P10724" s="33">
        <f t="shared" si="668"/>
        <v>0</v>
      </c>
      <c r="Q10724" s="31" t="str">
        <f t="shared" si="669"/>
        <v/>
      </c>
      <c r="R10724" s="32" t="str">
        <f>IFERROR(VLOOKUP($D10724,'Informations sur les produits'!$A$3:$B$15000,2,FALSE),"")</f>
        <v/>
      </c>
      <c r="V10724">
        <f t="shared" si="670"/>
        <v>0</v>
      </c>
      <c r="W10724">
        <f t="shared" si="671"/>
        <v>0</v>
      </c>
    </row>
    <row r="10725" spans="5:23" x14ac:dyDescent="0.25">
      <c r="E10725" s="4"/>
      <c r="F10725" s="4"/>
      <c r="G10725" s="33" t="str">
        <f>IFERROR(VLOOKUP($D10725,'Informations sur les produits'!$A$3:$H$10000,8,FALSE),"0")</f>
        <v>0</v>
      </c>
      <c r="K10725" s="4"/>
      <c r="L10725" s="33" t="str">
        <f>IFERROR(VLOOKUP($J10725,'Informations sur les produits'!$A$3:$H$10000,8,FALSE),"0")</f>
        <v>0</v>
      </c>
      <c r="N10725" s="8"/>
      <c r="O10725" s="33" t="str">
        <f>IFERROR(VLOOKUP($M10725,'Informations sur les produits'!$A$3:$H$10000,8,FALSE),"0")</f>
        <v>0</v>
      </c>
      <c r="P10725" s="33">
        <f t="shared" si="668"/>
        <v>0</v>
      </c>
      <c r="Q10725" s="31" t="str">
        <f t="shared" si="669"/>
        <v/>
      </c>
      <c r="R10725" s="32" t="str">
        <f>IFERROR(VLOOKUP($D10725,'Informations sur les produits'!$A$3:$B$15000,2,FALSE),"")</f>
        <v/>
      </c>
      <c r="V10725">
        <f t="shared" si="670"/>
        <v>0</v>
      </c>
      <c r="W10725">
        <f t="shared" si="671"/>
        <v>0</v>
      </c>
    </row>
    <row r="10726" spans="5:23" x14ac:dyDescent="0.25">
      <c r="E10726" s="4"/>
      <c r="F10726" s="4"/>
      <c r="G10726" s="33" t="str">
        <f>IFERROR(VLOOKUP($D10726,'Informations sur les produits'!$A$3:$H$10000,8,FALSE),"0")</f>
        <v>0</v>
      </c>
      <c r="K10726" s="4"/>
      <c r="L10726" s="33" t="str">
        <f>IFERROR(VLOOKUP($J10726,'Informations sur les produits'!$A$3:$H$10000,8,FALSE),"0")</f>
        <v>0</v>
      </c>
      <c r="N10726" s="8"/>
      <c r="O10726" s="33" t="str">
        <f>IFERROR(VLOOKUP($M10726,'Informations sur les produits'!$A$3:$H$10000,8,FALSE),"0")</f>
        <v>0</v>
      </c>
      <c r="P10726" s="33">
        <f t="shared" si="668"/>
        <v>0</v>
      </c>
      <c r="Q10726" s="31" t="str">
        <f t="shared" si="669"/>
        <v/>
      </c>
      <c r="R10726" s="32" t="str">
        <f>IFERROR(VLOOKUP($D10726,'Informations sur les produits'!$A$3:$B$15000,2,FALSE),"")</f>
        <v/>
      </c>
      <c r="V10726">
        <f t="shared" si="670"/>
        <v>0</v>
      </c>
      <c r="W10726">
        <f t="shared" si="671"/>
        <v>0</v>
      </c>
    </row>
    <row r="10727" spans="5:23" x14ac:dyDescent="0.25">
      <c r="E10727" s="4"/>
      <c r="F10727" s="4"/>
      <c r="G10727" s="33" t="str">
        <f>IFERROR(VLOOKUP($D10727,'Informations sur les produits'!$A$3:$H$10000,8,FALSE),"0")</f>
        <v>0</v>
      </c>
      <c r="K10727" s="4"/>
      <c r="L10727" s="33" t="str">
        <f>IFERROR(VLOOKUP($J10727,'Informations sur les produits'!$A$3:$H$10000,8,FALSE),"0")</f>
        <v>0</v>
      </c>
      <c r="N10727" s="8"/>
      <c r="O10727" s="33" t="str">
        <f>IFERROR(VLOOKUP($M10727,'Informations sur les produits'!$A$3:$H$10000,8,FALSE),"0")</f>
        <v>0</v>
      </c>
      <c r="P10727" s="33">
        <f t="shared" si="668"/>
        <v>0</v>
      </c>
      <c r="Q10727" s="31" t="str">
        <f t="shared" si="669"/>
        <v/>
      </c>
      <c r="R10727" s="32" t="str">
        <f>IFERROR(VLOOKUP($D10727,'Informations sur les produits'!$A$3:$B$15000,2,FALSE),"")</f>
        <v/>
      </c>
      <c r="V10727">
        <f t="shared" si="670"/>
        <v>0</v>
      </c>
      <c r="W10727">
        <f t="shared" si="671"/>
        <v>0</v>
      </c>
    </row>
    <row r="10728" spans="5:23" x14ac:dyDescent="0.25">
      <c r="E10728" s="4"/>
      <c r="F10728" s="4"/>
      <c r="G10728" s="33" t="str">
        <f>IFERROR(VLOOKUP($D10728,'Informations sur les produits'!$A$3:$H$10000,8,FALSE),"0")</f>
        <v>0</v>
      </c>
      <c r="K10728" s="4"/>
      <c r="L10728" s="33" t="str">
        <f>IFERROR(VLOOKUP($J10728,'Informations sur les produits'!$A$3:$H$10000,8,FALSE),"0")</f>
        <v>0</v>
      </c>
      <c r="N10728" s="8"/>
      <c r="O10728" s="33" t="str">
        <f>IFERROR(VLOOKUP($M10728,'Informations sur les produits'!$A$3:$H$10000,8,FALSE),"0")</f>
        <v>0</v>
      </c>
      <c r="P10728" s="33">
        <f t="shared" si="668"/>
        <v>0</v>
      </c>
      <c r="Q10728" s="31" t="str">
        <f t="shared" si="669"/>
        <v/>
      </c>
      <c r="R10728" s="32" t="str">
        <f>IFERROR(VLOOKUP($D10728,'Informations sur les produits'!$A$3:$B$15000,2,FALSE),"")</f>
        <v/>
      </c>
      <c r="V10728">
        <f t="shared" si="670"/>
        <v>0</v>
      </c>
      <c r="W10728">
        <f t="shared" si="671"/>
        <v>0</v>
      </c>
    </row>
    <row r="10729" spans="5:23" x14ac:dyDescent="0.25">
      <c r="E10729" s="4"/>
      <c r="F10729" s="4"/>
      <c r="G10729" s="33" t="str">
        <f>IFERROR(VLOOKUP($D10729,'Informations sur les produits'!$A$3:$H$10000,8,FALSE),"0")</f>
        <v>0</v>
      </c>
      <c r="K10729" s="4"/>
      <c r="L10729" s="33" t="str">
        <f>IFERROR(VLOOKUP($J10729,'Informations sur les produits'!$A$3:$H$10000,8,FALSE),"0")</f>
        <v>0</v>
      </c>
      <c r="N10729" s="8"/>
      <c r="O10729" s="33" t="str">
        <f>IFERROR(VLOOKUP($M10729,'Informations sur les produits'!$A$3:$H$10000,8,FALSE),"0")</f>
        <v>0</v>
      </c>
      <c r="P10729" s="33">
        <f t="shared" si="668"/>
        <v>0</v>
      </c>
      <c r="Q10729" s="31" t="str">
        <f t="shared" si="669"/>
        <v/>
      </c>
      <c r="R10729" s="32" t="str">
        <f>IFERROR(VLOOKUP($D10729,'Informations sur les produits'!$A$3:$B$15000,2,FALSE),"")</f>
        <v/>
      </c>
      <c r="V10729">
        <f t="shared" si="670"/>
        <v>0</v>
      </c>
      <c r="W10729">
        <f t="shared" si="671"/>
        <v>0</v>
      </c>
    </row>
    <row r="10730" spans="5:23" x14ac:dyDescent="0.25">
      <c r="E10730" s="4"/>
      <c r="F10730" s="4"/>
      <c r="G10730" s="33" t="str">
        <f>IFERROR(VLOOKUP($D10730,'Informations sur les produits'!$A$3:$H$10000,8,FALSE),"0")</f>
        <v>0</v>
      </c>
      <c r="K10730" s="4"/>
      <c r="L10730" s="33" t="str">
        <f>IFERROR(VLOOKUP($J10730,'Informations sur les produits'!$A$3:$H$10000,8,FALSE),"0")</f>
        <v>0</v>
      </c>
      <c r="N10730" s="8"/>
      <c r="O10730" s="33" t="str">
        <f>IFERROR(VLOOKUP($M10730,'Informations sur les produits'!$A$3:$H$10000,8,FALSE),"0")</f>
        <v>0</v>
      </c>
      <c r="P10730" s="33">
        <f t="shared" si="668"/>
        <v>0</v>
      </c>
      <c r="Q10730" s="31" t="str">
        <f t="shared" si="669"/>
        <v/>
      </c>
      <c r="R10730" s="32" t="str">
        <f>IFERROR(VLOOKUP($D10730,'Informations sur les produits'!$A$3:$B$15000,2,FALSE),"")</f>
        <v/>
      </c>
      <c r="V10730">
        <f t="shared" si="670"/>
        <v>0</v>
      </c>
      <c r="W10730">
        <f t="shared" si="671"/>
        <v>0</v>
      </c>
    </row>
    <row r="10731" spans="5:23" x14ac:dyDescent="0.25">
      <c r="E10731" s="4"/>
      <c r="F10731" s="4"/>
      <c r="G10731" s="33" t="str">
        <f>IFERROR(VLOOKUP($D10731,'Informations sur les produits'!$A$3:$H$10000,8,FALSE),"0")</f>
        <v>0</v>
      </c>
      <c r="K10731" s="4"/>
      <c r="L10731" s="33" t="str">
        <f>IFERROR(VLOOKUP($J10731,'Informations sur les produits'!$A$3:$H$10000,8,FALSE),"0")</f>
        <v>0</v>
      </c>
      <c r="N10731" s="8"/>
      <c r="O10731" s="33" t="str">
        <f>IFERROR(VLOOKUP($M10731,'Informations sur les produits'!$A$3:$H$10000,8,FALSE),"0")</f>
        <v>0</v>
      </c>
      <c r="P10731" s="33">
        <f t="shared" si="668"/>
        <v>0</v>
      </c>
      <c r="Q10731" s="31" t="str">
        <f t="shared" si="669"/>
        <v/>
      </c>
      <c r="R10731" s="32" t="str">
        <f>IFERROR(VLOOKUP($D10731,'Informations sur les produits'!$A$3:$B$15000,2,FALSE),"")</f>
        <v/>
      </c>
      <c r="V10731">
        <f t="shared" si="670"/>
        <v>0</v>
      </c>
      <c r="W10731">
        <f t="shared" si="671"/>
        <v>0</v>
      </c>
    </row>
    <row r="10732" spans="5:23" x14ac:dyDescent="0.25">
      <c r="E10732" s="4"/>
      <c r="F10732" s="4"/>
      <c r="G10732" s="33" t="str">
        <f>IFERROR(VLOOKUP($D10732,'Informations sur les produits'!$A$3:$H$10000,8,FALSE),"0")</f>
        <v>0</v>
      </c>
      <c r="K10732" s="4"/>
      <c r="L10732" s="33" t="str">
        <f>IFERROR(VLOOKUP($J10732,'Informations sur les produits'!$A$3:$H$10000,8,FALSE),"0")</f>
        <v>0</v>
      </c>
      <c r="N10732" s="8"/>
      <c r="O10732" s="33" t="str">
        <f>IFERROR(VLOOKUP($M10732,'Informations sur les produits'!$A$3:$H$10000,8,FALSE),"0")</f>
        <v>0</v>
      </c>
      <c r="P10732" s="33">
        <f t="shared" si="668"/>
        <v>0</v>
      </c>
      <c r="Q10732" s="31" t="str">
        <f t="shared" si="669"/>
        <v/>
      </c>
      <c r="R10732" s="32" t="str">
        <f>IFERROR(VLOOKUP($D10732,'Informations sur les produits'!$A$3:$B$15000,2,FALSE),"")</f>
        <v/>
      </c>
      <c r="V10732">
        <f t="shared" si="670"/>
        <v>0</v>
      </c>
      <c r="W10732">
        <f t="shared" si="671"/>
        <v>0</v>
      </c>
    </row>
    <row r="10733" spans="5:23" x14ac:dyDescent="0.25">
      <c r="E10733" s="4"/>
      <c r="F10733" s="4"/>
      <c r="G10733" s="33" t="str">
        <f>IFERROR(VLOOKUP($D10733,'Informations sur les produits'!$A$3:$H$10000,8,FALSE),"0")</f>
        <v>0</v>
      </c>
      <c r="K10733" s="4"/>
      <c r="L10733" s="33" t="str">
        <f>IFERROR(VLOOKUP($J10733,'Informations sur les produits'!$A$3:$H$10000,8,FALSE),"0")</f>
        <v>0</v>
      </c>
      <c r="N10733" s="8"/>
      <c r="O10733" s="33" t="str">
        <f>IFERROR(VLOOKUP($M10733,'Informations sur les produits'!$A$3:$H$10000,8,FALSE),"0")</f>
        <v>0</v>
      </c>
      <c r="P10733" s="33">
        <f t="shared" si="668"/>
        <v>0</v>
      </c>
      <c r="Q10733" s="31" t="str">
        <f t="shared" si="669"/>
        <v/>
      </c>
      <c r="R10733" s="32" t="str">
        <f>IFERROR(VLOOKUP($D10733,'Informations sur les produits'!$A$3:$B$15000,2,FALSE),"")</f>
        <v/>
      </c>
      <c r="V10733">
        <f t="shared" si="670"/>
        <v>0</v>
      </c>
      <c r="W10733">
        <f t="shared" si="671"/>
        <v>0</v>
      </c>
    </row>
    <row r="10734" spans="5:23" x14ac:dyDescent="0.25">
      <c r="E10734" s="4"/>
      <c r="F10734" s="4"/>
      <c r="G10734" s="33" t="str">
        <f>IFERROR(VLOOKUP($D10734,'Informations sur les produits'!$A$3:$H$10000,8,FALSE),"0")</f>
        <v>0</v>
      </c>
      <c r="K10734" s="4"/>
      <c r="L10734" s="33" t="str">
        <f>IFERROR(VLOOKUP($J10734,'Informations sur les produits'!$A$3:$H$10000,8,FALSE),"0")</f>
        <v>0</v>
      </c>
      <c r="N10734" s="8"/>
      <c r="O10734" s="33" t="str">
        <f>IFERROR(VLOOKUP($M10734,'Informations sur les produits'!$A$3:$H$10000,8,FALSE),"0")</f>
        <v>0</v>
      </c>
      <c r="P10734" s="33">
        <f t="shared" si="668"/>
        <v>0</v>
      </c>
      <c r="Q10734" s="31" t="str">
        <f t="shared" si="669"/>
        <v/>
      </c>
      <c r="R10734" s="32" t="str">
        <f>IFERROR(VLOOKUP($D10734,'Informations sur les produits'!$A$3:$B$15000,2,FALSE),"")</f>
        <v/>
      </c>
      <c r="V10734">
        <f t="shared" si="670"/>
        <v>0</v>
      </c>
      <c r="W10734">
        <f t="shared" si="671"/>
        <v>0</v>
      </c>
    </row>
    <row r="10735" spans="5:23" x14ac:dyDescent="0.25">
      <c r="E10735" s="4"/>
      <c r="F10735" s="4"/>
      <c r="G10735" s="33" t="str">
        <f>IFERROR(VLOOKUP($D10735,'Informations sur les produits'!$A$3:$H$10000,8,FALSE),"0")</f>
        <v>0</v>
      </c>
      <c r="K10735" s="4"/>
      <c r="L10735" s="33" t="str">
        <f>IFERROR(VLOOKUP($J10735,'Informations sur les produits'!$A$3:$H$10000,8,FALSE),"0")</f>
        <v>0</v>
      </c>
      <c r="N10735" s="8"/>
      <c r="O10735" s="33" t="str">
        <f>IFERROR(VLOOKUP($M10735,'Informations sur les produits'!$A$3:$H$10000,8,FALSE),"0")</f>
        <v>0</v>
      </c>
      <c r="P10735" s="33">
        <f t="shared" si="668"/>
        <v>0</v>
      </c>
      <c r="Q10735" s="31" t="str">
        <f t="shared" si="669"/>
        <v/>
      </c>
      <c r="R10735" s="32" t="str">
        <f>IFERROR(VLOOKUP($D10735,'Informations sur les produits'!$A$3:$B$15000,2,FALSE),"")</f>
        <v/>
      </c>
      <c r="V10735">
        <f t="shared" si="670"/>
        <v>0</v>
      </c>
      <c r="W10735">
        <f t="shared" si="671"/>
        <v>0</v>
      </c>
    </row>
    <row r="10736" spans="5:23" x14ac:dyDescent="0.25">
      <c r="E10736" s="4"/>
      <c r="F10736" s="4"/>
      <c r="G10736" s="33" t="str">
        <f>IFERROR(VLOOKUP($D10736,'Informations sur les produits'!$A$3:$H$10000,8,FALSE),"0")</f>
        <v>0</v>
      </c>
      <c r="K10736" s="4"/>
      <c r="L10736" s="33" t="str">
        <f>IFERROR(VLOOKUP($J10736,'Informations sur les produits'!$A$3:$H$10000,8,FALSE),"0")</f>
        <v>0</v>
      </c>
      <c r="N10736" s="8"/>
      <c r="O10736" s="33" t="str">
        <f>IFERROR(VLOOKUP($M10736,'Informations sur les produits'!$A$3:$H$10000,8,FALSE),"0")</f>
        <v>0</v>
      </c>
      <c r="P10736" s="33">
        <f t="shared" si="668"/>
        <v>0</v>
      </c>
      <c r="Q10736" s="31" t="str">
        <f t="shared" si="669"/>
        <v/>
      </c>
      <c r="R10736" s="32" t="str">
        <f>IFERROR(VLOOKUP($D10736,'Informations sur les produits'!$A$3:$B$15000,2,FALSE),"")</f>
        <v/>
      </c>
      <c r="V10736">
        <f t="shared" si="670"/>
        <v>0</v>
      </c>
      <c r="W10736">
        <f t="shared" si="671"/>
        <v>0</v>
      </c>
    </row>
    <row r="10737" spans="5:23" x14ac:dyDescent="0.25">
      <c r="E10737" s="4"/>
      <c r="F10737" s="4"/>
      <c r="G10737" s="33" t="str">
        <f>IFERROR(VLOOKUP($D10737,'Informations sur les produits'!$A$3:$H$10000,8,FALSE),"0")</f>
        <v>0</v>
      </c>
      <c r="K10737" s="4"/>
      <c r="L10737" s="33" t="str">
        <f>IFERROR(VLOOKUP($J10737,'Informations sur les produits'!$A$3:$H$10000,8,FALSE),"0")</f>
        <v>0</v>
      </c>
      <c r="N10737" s="8"/>
      <c r="O10737" s="33" t="str">
        <f>IFERROR(VLOOKUP($M10737,'Informations sur les produits'!$A$3:$H$10000,8,FALSE),"0")</f>
        <v>0</v>
      </c>
      <c r="P10737" s="33">
        <f t="shared" si="668"/>
        <v>0</v>
      </c>
      <c r="Q10737" s="31" t="str">
        <f t="shared" si="669"/>
        <v/>
      </c>
      <c r="R10737" s="32" t="str">
        <f>IFERROR(VLOOKUP($D10737,'Informations sur les produits'!$A$3:$B$15000,2,FALSE),"")</f>
        <v/>
      </c>
      <c r="V10737">
        <f t="shared" si="670"/>
        <v>0</v>
      </c>
      <c r="W10737">
        <f t="shared" si="671"/>
        <v>0</v>
      </c>
    </row>
    <row r="10738" spans="5:23" x14ac:dyDescent="0.25">
      <c r="E10738" s="4"/>
      <c r="F10738" s="4"/>
      <c r="G10738" s="33" t="str">
        <f>IFERROR(VLOOKUP($D10738,'Informations sur les produits'!$A$3:$H$10000,8,FALSE),"0")</f>
        <v>0</v>
      </c>
      <c r="K10738" s="4"/>
      <c r="L10738" s="33" t="str">
        <f>IFERROR(VLOOKUP($J10738,'Informations sur les produits'!$A$3:$H$10000,8,FALSE),"0")</f>
        <v>0</v>
      </c>
      <c r="N10738" s="8"/>
      <c r="O10738" s="33" t="str">
        <f>IFERROR(VLOOKUP($M10738,'Informations sur les produits'!$A$3:$H$10000,8,FALSE),"0")</f>
        <v>0</v>
      </c>
      <c r="P10738" s="33">
        <f t="shared" si="668"/>
        <v>0</v>
      </c>
      <c r="Q10738" s="31" t="str">
        <f t="shared" si="669"/>
        <v/>
      </c>
      <c r="R10738" s="32" t="str">
        <f>IFERROR(VLOOKUP($D10738,'Informations sur les produits'!$A$3:$B$15000,2,FALSE),"")</f>
        <v/>
      </c>
      <c r="V10738">
        <f t="shared" si="670"/>
        <v>0</v>
      </c>
      <c r="W10738">
        <f t="shared" si="671"/>
        <v>0</v>
      </c>
    </row>
    <row r="10739" spans="5:23" x14ac:dyDescent="0.25">
      <c r="E10739" s="4"/>
      <c r="F10739" s="4"/>
      <c r="G10739" s="33" t="str">
        <f>IFERROR(VLOOKUP($D10739,'Informations sur les produits'!$A$3:$H$10000,8,FALSE),"0")</f>
        <v>0</v>
      </c>
      <c r="K10739" s="4"/>
      <c r="L10739" s="33" t="str">
        <f>IFERROR(VLOOKUP($J10739,'Informations sur les produits'!$A$3:$H$10000,8,FALSE),"0")</f>
        <v>0</v>
      </c>
      <c r="N10739" s="8"/>
      <c r="O10739" s="33" t="str">
        <f>IFERROR(VLOOKUP($M10739,'Informations sur les produits'!$A$3:$H$10000,8,FALSE),"0")</f>
        <v>0</v>
      </c>
      <c r="P10739" s="33">
        <f t="shared" si="668"/>
        <v>0</v>
      </c>
      <c r="Q10739" s="31" t="str">
        <f t="shared" si="669"/>
        <v/>
      </c>
      <c r="R10739" s="32" t="str">
        <f>IFERROR(VLOOKUP($D10739,'Informations sur les produits'!$A$3:$B$15000,2,FALSE),"")</f>
        <v/>
      </c>
      <c r="V10739">
        <f t="shared" si="670"/>
        <v>0</v>
      </c>
      <c r="W10739">
        <f t="shared" si="671"/>
        <v>0</v>
      </c>
    </row>
    <row r="10740" spans="5:23" x14ac:dyDescent="0.25">
      <c r="E10740" s="4"/>
      <c r="F10740" s="4"/>
      <c r="G10740" s="33" t="str">
        <f>IFERROR(VLOOKUP($D10740,'Informations sur les produits'!$A$3:$H$10000,8,FALSE),"0")</f>
        <v>0</v>
      </c>
      <c r="K10740" s="4"/>
      <c r="L10740" s="33" t="str">
        <f>IFERROR(VLOOKUP($J10740,'Informations sur les produits'!$A$3:$H$10000,8,FALSE),"0")</f>
        <v>0</v>
      </c>
      <c r="N10740" s="8"/>
      <c r="O10740" s="33" t="str">
        <f>IFERROR(VLOOKUP($M10740,'Informations sur les produits'!$A$3:$H$10000,8,FALSE),"0")</f>
        <v>0</v>
      </c>
      <c r="P10740" s="33">
        <f t="shared" si="668"/>
        <v>0</v>
      </c>
      <c r="Q10740" s="31" t="str">
        <f t="shared" si="669"/>
        <v/>
      </c>
      <c r="R10740" s="32" t="str">
        <f>IFERROR(VLOOKUP($D10740,'Informations sur les produits'!$A$3:$B$15000,2,FALSE),"")</f>
        <v/>
      </c>
      <c r="V10740">
        <f t="shared" si="670"/>
        <v>0</v>
      </c>
      <c r="W10740">
        <f t="shared" si="671"/>
        <v>0</v>
      </c>
    </row>
    <row r="10741" spans="5:23" x14ac:dyDescent="0.25">
      <c r="E10741" s="4"/>
      <c r="F10741" s="4"/>
      <c r="G10741" s="33" t="str">
        <f>IFERROR(VLOOKUP($D10741,'Informations sur les produits'!$A$3:$H$10000,8,FALSE),"0")</f>
        <v>0</v>
      </c>
      <c r="K10741" s="4"/>
      <c r="L10741" s="33" t="str">
        <f>IFERROR(VLOOKUP($J10741,'Informations sur les produits'!$A$3:$H$10000,8,FALSE),"0")</f>
        <v>0</v>
      </c>
      <c r="N10741" s="8"/>
      <c r="O10741" s="33" t="str">
        <f>IFERROR(VLOOKUP($M10741,'Informations sur les produits'!$A$3:$H$10000,8,FALSE),"0")</f>
        <v>0</v>
      </c>
      <c r="P10741" s="33">
        <f t="shared" si="668"/>
        <v>0</v>
      </c>
      <c r="Q10741" s="31" t="str">
        <f t="shared" si="669"/>
        <v/>
      </c>
      <c r="R10741" s="32" t="str">
        <f>IFERROR(VLOOKUP($D10741,'Informations sur les produits'!$A$3:$B$15000,2,FALSE),"")</f>
        <v/>
      </c>
      <c r="V10741">
        <f t="shared" si="670"/>
        <v>0</v>
      </c>
      <c r="W10741">
        <f t="shared" si="671"/>
        <v>0</v>
      </c>
    </row>
    <row r="10742" spans="5:23" x14ac:dyDescent="0.25">
      <c r="E10742" s="4"/>
      <c r="F10742" s="4"/>
      <c r="G10742" s="33" t="str">
        <f>IFERROR(VLOOKUP($D10742,'Informations sur les produits'!$A$3:$H$10000,8,FALSE),"0")</f>
        <v>0</v>
      </c>
      <c r="K10742" s="4"/>
      <c r="L10742" s="33" t="str">
        <f>IFERROR(VLOOKUP($J10742,'Informations sur les produits'!$A$3:$H$10000,8,FALSE),"0")</f>
        <v>0</v>
      </c>
      <c r="N10742" s="8"/>
      <c r="O10742" s="33" t="str">
        <f>IFERROR(VLOOKUP($M10742,'Informations sur les produits'!$A$3:$H$10000,8,FALSE),"0")</f>
        <v>0</v>
      </c>
      <c r="P10742" s="33">
        <f t="shared" si="668"/>
        <v>0</v>
      </c>
      <c r="Q10742" s="31" t="str">
        <f t="shared" si="669"/>
        <v/>
      </c>
      <c r="R10742" s="32" t="str">
        <f>IFERROR(VLOOKUP($D10742,'Informations sur les produits'!$A$3:$B$15000,2,FALSE),"")</f>
        <v/>
      </c>
      <c r="V10742">
        <f t="shared" si="670"/>
        <v>0</v>
      </c>
      <c r="W10742">
        <f t="shared" si="671"/>
        <v>0</v>
      </c>
    </row>
    <row r="10743" spans="5:23" x14ac:dyDescent="0.25">
      <c r="E10743" s="4"/>
      <c r="F10743" s="4"/>
      <c r="G10743" s="33" t="str">
        <f>IFERROR(VLOOKUP($D10743,'Informations sur les produits'!$A$3:$H$10000,8,FALSE),"0")</f>
        <v>0</v>
      </c>
      <c r="K10743" s="4"/>
      <c r="L10743" s="33" t="str">
        <f>IFERROR(VLOOKUP($J10743,'Informations sur les produits'!$A$3:$H$10000,8,FALSE),"0")</f>
        <v>0</v>
      </c>
      <c r="N10743" s="8"/>
      <c r="O10743" s="33" t="str">
        <f>IFERROR(VLOOKUP($M10743,'Informations sur les produits'!$A$3:$H$10000,8,FALSE),"0")</f>
        <v>0</v>
      </c>
      <c r="P10743" s="33">
        <f t="shared" si="668"/>
        <v>0</v>
      </c>
      <c r="Q10743" s="31" t="str">
        <f t="shared" si="669"/>
        <v/>
      </c>
      <c r="R10743" s="32" t="str">
        <f>IFERROR(VLOOKUP($D10743,'Informations sur les produits'!$A$3:$B$15000,2,FALSE),"")</f>
        <v/>
      </c>
      <c r="V10743">
        <f t="shared" si="670"/>
        <v>0</v>
      </c>
      <c r="W10743">
        <f t="shared" si="671"/>
        <v>0</v>
      </c>
    </row>
    <row r="10744" spans="5:23" x14ac:dyDescent="0.25">
      <c r="E10744" s="4"/>
      <c r="F10744" s="4"/>
      <c r="G10744" s="33" t="str">
        <f>IFERROR(VLOOKUP($D10744,'Informations sur les produits'!$A$3:$H$10000,8,FALSE),"0")</f>
        <v>0</v>
      </c>
      <c r="K10744" s="4"/>
      <c r="L10744" s="33" t="str">
        <f>IFERROR(VLOOKUP($J10744,'Informations sur les produits'!$A$3:$H$10000,8,FALSE),"0")</f>
        <v>0</v>
      </c>
      <c r="N10744" s="8"/>
      <c r="O10744" s="33" t="str">
        <f>IFERROR(VLOOKUP($M10744,'Informations sur les produits'!$A$3:$H$10000,8,FALSE),"0")</f>
        <v>0</v>
      </c>
      <c r="P10744" s="33">
        <f t="shared" si="668"/>
        <v>0</v>
      </c>
      <c r="Q10744" s="31" t="str">
        <f t="shared" si="669"/>
        <v/>
      </c>
      <c r="R10744" s="32" t="str">
        <f>IFERROR(VLOOKUP($D10744,'Informations sur les produits'!$A$3:$B$15000,2,FALSE),"")</f>
        <v/>
      </c>
      <c r="V10744">
        <f t="shared" si="670"/>
        <v>0</v>
      </c>
      <c r="W10744">
        <f t="shared" si="671"/>
        <v>0</v>
      </c>
    </row>
    <row r="10745" spans="5:23" x14ac:dyDescent="0.25">
      <c r="E10745" s="4"/>
      <c r="F10745" s="4"/>
      <c r="G10745" s="33" t="str">
        <f>IFERROR(VLOOKUP($D10745,'Informations sur les produits'!$A$3:$H$10000,8,FALSE),"0")</f>
        <v>0</v>
      </c>
      <c r="K10745" s="4"/>
      <c r="L10745" s="33" t="str">
        <f>IFERROR(VLOOKUP($J10745,'Informations sur les produits'!$A$3:$H$10000,8,FALSE),"0")</f>
        <v>0</v>
      </c>
      <c r="N10745" s="8"/>
      <c r="O10745" s="33" t="str">
        <f>IFERROR(VLOOKUP($M10745,'Informations sur les produits'!$A$3:$H$10000,8,FALSE),"0")</f>
        <v>0</v>
      </c>
      <c r="P10745" s="33">
        <f t="shared" si="668"/>
        <v>0</v>
      </c>
      <c r="Q10745" s="31" t="str">
        <f t="shared" si="669"/>
        <v/>
      </c>
      <c r="R10745" s="32" t="str">
        <f>IFERROR(VLOOKUP($D10745,'Informations sur les produits'!$A$3:$B$15000,2,FALSE),"")</f>
        <v/>
      </c>
      <c r="V10745">
        <f t="shared" si="670"/>
        <v>0</v>
      </c>
      <c r="W10745">
        <f t="shared" si="671"/>
        <v>0</v>
      </c>
    </row>
    <row r="10746" spans="5:23" x14ac:dyDescent="0.25">
      <c r="E10746" s="4"/>
      <c r="F10746" s="4"/>
      <c r="G10746" s="33" t="str">
        <f>IFERROR(VLOOKUP($D10746,'Informations sur les produits'!$A$3:$H$10000,8,FALSE),"0")</f>
        <v>0</v>
      </c>
      <c r="K10746" s="4"/>
      <c r="L10746" s="33" t="str">
        <f>IFERROR(VLOOKUP($J10746,'Informations sur les produits'!$A$3:$H$10000,8,FALSE),"0")</f>
        <v>0</v>
      </c>
      <c r="N10746" s="8"/>
      <c r="O10746" s="33" t="str">
        <f>IFERROR(VLOOKUP($M10746,'Informations sur les produits'!$A$3:$H$10000,8,FALSE),"0")</f>
        <v>0</v>
      </c>
      <c r="P10746" s="33">
        <f t="shared" si="668"/>
        <v>0</v>
      </c>
      <c r="Q10746" s="31" t="str">
        <f t="shared" si="669"/>
        <v/>
      </c>
      <c r="R10746" s="32" t="str">
        <f>IFERROR(VLOOKUP($D10746,'Informations sur les produits'!$A$3:$B$15000,2,FALSE),"")</f>
        <v/>
      </c>
      <c r="V10746">
        <f t="shared" si="670"/>
        <v>0</v>
      </c>
      <c r="W10746">
        <f t="shared" si="671"/>
        <v>0</v>
      </c>
    </row>
    <row r="10747" spans="5:23" x14ac:dyDescent="0.25">
      <c r="E10747" s="4"/>
      <c r="F10747" s="4"/>
      <c r="G10747" s="33" t="str">
        <f>IFERROR(VLOOKUP($D10747,'Informations sur les produits'!$A$3:$H$10000,8,FALSE),"0")</f>
        <v>0</v>
      </c>
      <c r="K10747" s="4"/>
      <c r="L10747" s="33" t="str">
        <f>IFERROR(VLOOKUP($J10747,'Informations sur les produits'!$A$3:$H$10000,8,FALSE),"0")</f>
        <v>0</v>
      </c>
      <c r="N10747" s="8"/>
      <c r="O10747" s="33" t="str">
        <f>IFERROR(VLOOKUP($M10747,'Informations sur les produits'!$A$3:$H$10000,8,FALSE),"0")</f>
        <v>0</v>
      </c>
      <c r="P10747" s="33">
        <f t="shared" si="668"/>
        <v>0</v>
      </c>
      <c r="Q10747" s="31" t="str">
        <f t="shared" si="669"/>
        <v/>
      </c>
      <c r="R10747" s="32" t="str">
        <f>IFERROR(VLOOKUP($D10747,'Informations sur les produits'!$A$3:$B$15000,2,FALSE),"")</f>
        <v/>
      </c>
      <c r="V10747">
        <f t="shared" si="670"/>
        <v>0</v>
      </c>
      <c r="W10747">
        <f t="shared" si="671"/>
        <v>0</v>
      </c>
    </row>
    <row r="10748" spans="5:23" x14ac:dyDescent="0.25">
      <c r="E10748" s="4"/>
      <c r="F10748" s="4"/>
      <c r="G10748" s="33" t="str">
        <f>IFERROR(VLOOKUP($D10748,'Informations sur les produits'!$A$3:$H$10000,8,FALSE),"0")</f>
        <v>0</v>
      </c>
      <c r="K10748" s="4"/>
      <c r="L10748" s="33" t="str">
        <f>IFERROR(VLOOKUP($J10748,'Informations sur les produits'!$A$3:$H$10000,8,FALSE),"0")</f>
        <v>0</v>
      </c>
      <c r="N10748" s="8"/>
      <c r="O10748" s="33" t="str">
        <f>IFERROR(VLOOKUP($M10748,'Informations sur les produits'!$A$3:$H$10000,8,FALSE),"0")</f>
        <v>0</v>
      </c>
      <c r="P10748" s="33">
        <f t="shared" si="668"/>
        <v>0</v>
      </c>
      <c r="Q10748" s="31" t="str">
        <f t="shared" si="669"/>
        <v/>
      </c>
      <c r="R10748" s="32" t="str">
        <f>IFERROR(VLOOKUP($D10748,'Informations sur les produits'!$A$3:$B$15000,2,FALSE),"")</f>
        <v/>
      </c>
      <c r="V10748">
        <f t="shared" si="670"/>
        <v>0</v>
      </c>
      <c r="W10748">
        <f t="shared" si="671"/>
        <v>0</v>
      </c>
    </row>
    <row r="10749" spans="5:23" x14ac:dyDescent="0.25">
      <c r="E10749" s="4"/>
      <c r="F10749" s="4"/>
      <c r="G10749" s="33" t="str">
        <f>IFERROR(VLOOKUP($D10749,'Informations sur les produits'!$A$3:$H$10000,8,FALSE),"0")</f>
        <v>0</v>
      </c>
      <c r="K10749" s="4"/>
      <c r="L10749" s="33" t="str">
        <f>IFERROR(VLOOKUP($J10749,'Informations sur les produits'!$A$3:$H$10000,8,FALSE),"0")</f>
        <v>0</v>
      </c>
      <c r="N10749" s="8"/>
      <c r="O10749" s="33" t="str">
        <f>IFERROR(VLOOKUP($M10749,'Informations sur les produits'!$A$3:$H$10000,8,FALSE),"0")</f>
        <v>0</v>
      </c>
      <c r="P10749" s="33">
        <f t="shared" si="668"/>
        <v>0</v>
      </c>
      <c r="Q10749" s="31" t="str">
        <f t="shared" si="669"/>
        <v/>
      </c>
      <c r="R10749" s="32" t="str">
        <f>IFERROR(VLOOKUP($D10749,'Informations sur les produits'!$A$3:$B$15000,2,FALSE),"")</f>
        <v/>
      </c>
      <c r="V10749">
        <f t="shared" si="670"/>
        <v>0</v>
      </c>
      <c r="W10749">
        <f t="shared" si="671"/>
        <v>0</v>
      </c>
    </row>
    <row r="10750" spans="5:23" x14ac:dyDescent="0.25">
      <c r="E10750" s="4"/>
      <c r="F10750" s="4"/>
      <c r="G10750" s="33" t="str">
        <f>IFERROR(VLOOKUP($D10750,'Informations sur les produits'!$A$3:$H$10000,8,FALSE),"0")</f>
        <v>0</v>
      </c>
      <c r="K10750" s="4"/>
      <c r="L10750" s="33" t="str">
        <f>IFERROR(VLOOKUP($J10750,'Informations sur les produits'!$A$3:$H$10000,8,FALSE),"0")</f>
        <v>0</v>
      </c>
      <c r="N10750" s="8"/>
      <c r="O10750" s="33" t="str">
        <f>IFERROR(VLOOKUP($M10750,'Informations sur les produits'!$A$3:$H$10000,8,FALSE),"0")</f>
        <v>0</v>
      </c>
      <c r="P10750" s="33">
        <f t="shared" si="668"/>
        <v>0</v>
      </c>
      <c r="Q10750" s="31" t="str">
        <f t="shared" si="669"/>
        <v/>
      </c>
      <c r="R10750" s="32" t="str">
        <f>IFERROR(VLOOKUP($D10750,'Informations sur les produits'!$A$3:$B$15000,2,FALSE),"")</f>
        <v/>
      </c>
      <c r="V10750">
        <f t="shared" si="670"/>
        <v>0</v>
      </c>
      <c r="W10750">
        <f t="shared" si="671"/>
        <v>0</v>
      </c>
    </row>
    <row r="10751" spans="5:23" x14ac:dyDescent="0.25">
      <c r="E10751" s="4"/>
      <c r="F10751" s="4"/>
      <c r="G10751" s="33" t="str">
        <f>IFERROR(VLOOKUP($D10751,'Informations sur les produits'!$A$3:$H$10000,8,FALSE),"0")</f>
        <v>0</v>
      </c>
      <c r="K10751" s="4"/>
      <c r="L10751" s="33" t="str">
        <f>IFERROR(VLOOKUP($J10751,'Informations sur les produits'!$A$3:$H$10000,8,FALSE),"0")</f>
        <v>0</v>
      </c>
      <c r="N10751" s="8"/>
      <c r="O10751" s="33" t="str">
        <f>IFERROR(VLOOKUP($M10751,'Informations sur les produits'!$A$3:$H$10000,8,FALSE),"0")</f>
        <v>0</v>
      </c>
      <c r="P10751" s="33">
        <f t="shared" si="668"/>
        <v>0</v>
      </c>
      <c r="Q10751" s="31" t="str">
        <f t="shared" si="669"/>
        <v/>
      </c>
      <c r="R10751" s="32" t="str">
        <f>IFERROR(VLOOKUP($D10751,'Informations sur les produits'!$A$3:$B$15000,2,FALSE),"")</f>
        <v/>
      </c>
      <c r="V10751">
        <f t="shared" si="670"/>
        <v>0</v>
      </c>
      <c r="W10751">
        <f t="shared" si="671"/>
        <v>0</v>
      </c>
    </row>
    <row r="10752" spans="5:23" x14ac:dyDescent="0.25">
      <c r="E10752" s="4"/>
      <c r="F10752" s="4"/>
      <c r="G10752" s="33" t="str">
        <f>IFERROR(VLOOKUP($D10752,'Informations sur les produits'!$A$3:$H$10000,8,FALSE),"0")</f>
        <v>0</v>
      </c>
      <c r="K10752" s="4"/>
      <c r="L10752" s="33" t="str">
        <f>IFERROR(VLOOKUP($J10752,'Informations sur les produits'!$A$3:$H$10000,8,FALSE),"0")</f>
        <v>0</v>
      </c>
      <c r="N10752" s="8"/>
      <c r="O10752" s="33" t="str">
        <f>IFERROR(VLOOKUP($M10752,'Informations sur les produits'!$A$3:$H$10000,8,FALSE),"0")</f>
        <v>0</v>
      </c>
      <c r="P10752" s="33">
        <f t="shared" si="668"/>
        <v>0</v>
      </c>
      <c r="Q10752" s="31" t="str">
        <f t="shared" si="669"/>
        <v/>
      </c>
      <c r="R10752" s="32" t="str">
        <f>IFERROR(VLOOKUP($D10752,'Informations sur les produits'!$A$3:$B$15000,2,FALSE),"")</f>
        <v/>
      </c>
      <c r="V10752">
        <f t="shared" si="670"/>
        <v>0</v>
      </c>
      <c r="W10752">
        <f t="shared" si="671"/>
        <v>0</v>
      </c>
    </row>
    <row r="10753" spans="5:23" x14ac:dyDescent="0.25">
      <c r="E10753" s="4"/>
      <c r="F10753" s="4"/>
      <c r="G10753" s="33" t="str">
        <f>IFERROR(VLOOKUP($D10753,'Informations sur les produits'!$A$3:$H$10000,8,FALSE),"0")</f>
        <v>0</v>
      </c>
      <c r="K10753" s="4"/>
      <c r="L10753" s="33" t="str">
        <f>IFERROR(VLOOKUP($J10753,'Informations sur les produits'!$A$3:$H$10000,8,FALSE),"0")</f>
        <v>0</v>
      </c>
      <c r="N10753" s="8"/>
      <c r="O10753" s="33" t="str">
        <f>IFERROR(VLOOKUP($M10753,'Informations sur les produits'!$A$3:$H$10000,8,FALSE),"0")</f>
        <v>0</v>
      </c>
      <c r="P10753" s="33">
        <f t="shared" si="668"/>
        <v>0</v>
      </c>
      <c r="Q10753" s="31" t="str">
        <f t="shared" si="669"/>
        <v/>
      </c>
      <c r="R10753" s="32" t="str">
        <f>IFERROR(VLOOKUP($D10753,'Informations sur les produits'!$A$3:$B$15000,2,FALSE),"")</f>
        <v/>
      </c>
      <c r="V10753">
        <f t="shared" si="670"/>
        <v>0</v>
      </c>
      <c r="W10753">
        <f t="shared" si="671"/>
        <v>0</v>
      </c>
    </row>
    <row r="10754" spans="5:23" x14ac:dyDescent="0.25">
      <c r="E10754" s="4"/>
      <c r="F10754" s="4"/>
      <c r="G10754" s="33" t="str">
        <f>IFERROR(VLOOKUP($D10754,'Informations sur les produits'!$A$3:$H$10000,8,FALSE),"0")</f>
        <v>0</v>
      </c>
      <c r="K10754" s="4"/>
      <c r="L10754" s="33" t="str">
        <f>IFERROR(VLOOKUP($J10754,'Informations sur les produits'!$A$3:$H$10000,8,FALSE),"0")</f>
        <v>0</v>
      </c>
      <c r="N10754" s="8"/>
      <c r="O10754" s="33" t="str">
        <f>IFERROR(VLOOKUP($M10754,'Informations sur les produits'!$A$3:$H$10000,8,FALSE),"0")</f>
        <v>0</v>
      </c>
      <c r="P10754" s="33">
        <f t="shared" si="668"/>
        <v>0</v>
      </c>
      <c r="Q10754" s="31" t="str">
        <f t="shared" si="669"/>
        <v/>
      </c>
      <c r="R10754" s="32" t="str">
        <f>IFERROR(VLOOKUP($D10754,'Informations sur les produits'!$A$3:$B$15000,2,FALSE),"")</f>
        <v/>
      </c>
      <c r="V10754">
        <f t="shared" si="670"/>
        <v>0</v>
      </c>
      <c r="W10754">
        <f t="shared" si="671"/>
        <v>0</v>
      </c>
    </row>
    <row r="10755" spans="5:23" x14ac:dyDescent="0.25">
      <c r="E10755" s="4"/>
      <c r="F10755" s="4"/>
      <c r="G10755" s="33" t="str">
        <f>IFERROR(VLOOKUP($D10755,'Informations sur les produits'!$A$3:$H$10000,8,FALSE),"0")</f>
        <v>0</v>
      </c>
      <c r="K10755" s="4"/>
      <c r="L10755" s="33" t="str">
        <f>IFERROR(VLOOKUP($J10755,'Informations sur les produits'!$A$3:$H$10000,8,FALSE),"0")</f>
        <v>0</v>
      </c>
      <c r="N10755" s="8"/>
      <c r="O10755" s="33" t="str">
        <f>IFERROR(VLOOKUP($M10755,'Informations sur les produits'!$A$3:$H$10000,8,FALSE),"0")</f>
        <v>0</v>
      </c>
      <c r="P10755" s="33">
        <f t="shared" si="668"/>
        <v>0</v>
      </c>
      <c r="Q10755" s="31" t="str">
        <f t="shared" si="669"/>
        <v/>
      </c>
      <c r="R10755" s="32" t="str">
        <f>IFERROR(VLOOKUP($D10755,'Informations sur les produits'!$A$3:$B$15000,2,FALSE),"")</f>
        <v/>
      </c>
      <c r="V10755">
        <f t="shared" si="670"/>
        <v>0</v>
      </c>
      <c r="W10755">
        <f t="shared" si="671"/>
        <v>0</v>
      </c>
    </row>
    <row r="10756" spans="5:23" x14ac:dyDescent="0.25">
      <c r="E10756" s="4"/>
      <c r="F10756" s="4"/>
      <c r="G10756" s="33" t="str">
        <f>IFERROR(VLOOKUP($D10756,'Informations sur les produits'!$A$3:$H$10000,8,FALSE),"0")</f>
        <v>0</v>
      </c>
      <c r="K10756" s="4"/>
      <c r="L10756" s="33" t="str">
        <f>IFERROR(VLOOKUP($J10756,'Informations sur les produits'!$A$3:$H$10000,8,FALSE),"0")</f>
        <v>0</v>
      </c>
      <c r="N10756" s="8"/>
      <c r="O10756" s="33" t="str">
        <f>IFERROR(VLOOKUP($M10756,'Informations sur les produits'!$A$3:$H$10000,8,FALSE),"0")</f>
        <v>0</v>
      </c>
      <c r="P10756" s="33">
        <f t="shared" ref="P10756:P10819" si="672">IFERROR((($E10756-$F10756)*$G10756+$K10756*$L10756+$N10756*$O10756),"")</f>
        <v>0</v>
      </c>
      <c r="Q10756" s="31" t="str">
        <f t="shared" ref="Q10756:Q10819" si="673">IFERROR((((($E10756-$F10756)*$G10756+$K10756*$L10756+$N10756*$O10756)*1000)/(($E10756-$F10756)+$K10756+$N10756)),"")</f>
        <v/>
      </c>
      <c r="R10756" s="32" t="str">
        <f>IFERROR(VLOOKUP($D10756,'Informations sur les produits'!$A$3:$B$15000,2,FALSE),"")</f>
        <v/>
      </c>
      <c r="V10756">
        <f t="shared" ref="V10756:V10819" si="674">IFERROR(P10756*1000,"")</f>
        <v>0</v>
      </c>
      <c r="W10756">
        <f t="shared" ref="W10756:W10819" si="675">IFERROR(($E10756-$F10756)+$K10756+$N10756,"")</f>
        <v>0</v>
      </c>
    </row>
    <row r="10757" spans="5:23" x14ac:dyDescent="0.25">
      <c r="E10757" s="4"/>
      <c r="F10757" s="4"/>
      <c r="G10757" s="33" t="str">
        <f>IFERROR(VLOOKUP($D10757,'Informations sur les produits'!$A$3:$H$10000,8,FALSE),"0")</f>
        <v>0</v>
      </c>
      <c r="K10757" s="4"/>
      <c r="L10757" s="33" t="str">
        <f>IFERROR(VLOOKUP($J10757,'Informations sur les produits'!$A$3:$H$10000,8,FALSE),"0")</f>
        <v>0</v>
      </c>
      <c r="N10757" s="8"/>
      <c r="O10757" s="33" t="str">
        <f>IFERROR(VLOOKUP($M10757,'Informations sur les produits'!$A$3:$H$10000,8,FALSE),"0")</f>
        <v>0</v>
      </c>
      <c r="P10757" s="33">
        <f t="shared" si="672"/>
        <v>0</v>
      </c>
      <c r="Q10757" s="31" t="str">
        <f t="shared" si="673"/>
        <v/>
      </c>
      <c r="R10757" s="32" t="str">
        <f>IFERROR(VLOOKUP($D10757,'Informations sur les produits'!$A$3:$B$15000,2,FALSE),"")</f>
        <v/>
      </c>
      <c r="V10757">
        <f t="shared" si="674"/>
        <v>0</v>
      </c>
      <c r="W10757">
        <f t="shared" si="675"/>
        <v>0</v>
      </c>
    </row>
    <row r="10758" spans="5:23" x14ac:dyDescent="0.25">
      <c r="E10758" s="4"/>
      <c r="F10758" s="4"/>
      <c r="G10758" s="33" t="str">
        <f>IFERROR(VLOOKUP($D10758,'Informations sur les produits'!$A$3:$H$10000,8,FALSE),"0")</f>
        <v>0</v>
      </c>
      <c r="K10758" s="4"/>
      <c r="L10758" s="33" t="str">
        <f>IFERROR(VLOOKUP($J10758,'Informations sur les produits'!$A$3:$H$10000,8,FALSE),"0")</f>
        <v>0</v>
      </c>
      <c r="N10758" s="8"/>
      <c r="O10758" s="33" t="str">
        <f>IFERROR(VLOOKUP($M10758,'Informations sur les produits'!$A$3:$H$10000,8,FALSE),"0")</f>
        <v>0</v>
      </c>
      <c r="P10758" s="33">
        <f t="shared" si="672"/>
        <v>0</v>
      </c>
      <c r="Q10758" s="31" t="str">
        <f t="shared" si="673"/>
        <v/>
      </c>
      <c r="R10758" s="32" t="str">
        <f>IFERROR(VLOOKUP($D10758,'Informations sur les produits'!$A$3:$B$15000,2,FALSE),"")</f>
        <v/>
      </c>
      <c r="V10758">
        <f t="shared" si="674"/>
        <v>0</v>
      </c>
      <c r="W10758">
        <f t="shared" si="675"/>
        <v>0</v>
      </c>
    </row>
    <row r="10759" spans="5:23" x14ac:dyDescent="0.25">
      <c r="E10759" s="4"/>
      <c r="F10759" s="4"/>
      <c r="G10759" s="33" t="str">
        <f>IFERROR(VLOOKUP($D10759,'Informations sur les produits'!$A$3:$H$10000,8,FALSE),"0")</f>
        <v>0</v>
      </c>
      <c r="K10759" s="4"/>
      <c r="L10759" s="33" t="str">
        <f>IFERROR(VLOOKUP($J10759,'Informations sur les produits'!$A$3:$H$10000,8,FALSE),"0")</f>
        <v>0</v>
      </c>
      <c r="N10759" s="8"/>
      <c r="O10759" s="33" t="str">
        <f>IFERROR(VLOOKUP($M10759,'Informations sur les produits'!$A$3:$H$10000,8,FALSE),"0")</f>
        <v>0</v>
      </c>
      <c r="P10759" s="33">
        <f t="shared" si="672"/>
        <v>0</v>
      </c>
      <c r="Q10759" s="31" t="str">
        <f t="shared" si="673"/>
        <v/>
      </c>
      <c r="R10759" s="32" t="str">
        <f>IFERROR(VLOOKUP($D10759,'Informations sur les produits'!$A$3:$B$15000,2,FALSE),"")</f>
        <v/>
      </c>
      <c r="V10759">
        <f t="shared" si="674"/>
        <v>0</v>
      </c>
      <c r="W10759">
        <f t="shared" si="675"/>
        <v>0</v>
      </c>
    </row>
    <row r="10760" spans="5:23" x14ac:dyDescent="0.25">
      <c r="E10760" s="4"/>
      <c r="F10760" s="4"/>
      <c r="G10760" s="33" t="str">
        <f>IFERROR(VLOOKUP($D10760,'Informations sur les produits'!$A$3:$H$10000,8,FALSE),"0")</f>
        <v>0</v>
      </c>
      <c r="K10760" s="4"/>
      <c r="L10760" s="33" t="str">
        <f>IFERROR(VLOOKUP($J10760,'Informations sur les produits'!$A$3:$H$10000,8,FALSE),"0")</f>
        <v>0</v>
      </c>
      <c r="N10760" s="8"/>
      <c r="O10760" s="33" t="str">
        <f>IFERROR(VLOOKUP($M10760,'Informations sur les produits'!$A$3:$H$10000,8,FALSE),"0")</f>
        <v>0</v>
      </c>
      <c r="P10760" s="33">
        <f t="shared" si="672"/>
        <v>0</v>
      </c>
      <c r="Q10760" s="31" t="str">
        <f t="shared" si="673"/>
        <v/>
      </c>
      <c r="R10760" s="32" t="str">
        <f>IFERROR(VLOOKUP($D10760,'Informations sur les produits'!$A$3:$B$15000,2,FALSE),"")</f>
        <v/>
      </c>
      <c r="V10760">
        <f t="shared" si="674"/>
        <v>0</v>
      </c>
      <c r="W10760">
        <f t="shared" si="675"/>
        <v>0</v>
      </c>
    </row>
    <row r="10761" spans="5:23" x14ac:dyDescent="0.25">
      <c r="E10761" s="4"/>
      <c r="F10761" s="4"/>
      <c r="G10761" s="33" t="str">
        <f>IFERROR(VLOOKUP($D10761,'Informations sur les produits'!$A$3:$H$10000,8,FALSE),"0")</f>
        <v>0</v>
      </c>
      <c r="K10761" s="4"/>
      <c r="L10761" s="33" t="str">
        <f>IFERROR(VLOOKUP($J10761,'Informations sur les produits'!$A$3:$H$10000,8,FALSE),"0")</f>
        <v>0</v>
      </c>
      <c r="N10761" s="8"/>
      <c r="O10761" s="33" t="str">
        <f>IFERROR(VLOOKUP($M10761,'Informations sur les produits'!$A$3:$H$10000,8,FALSE),"0")</f>
        <v>0</v>
      </c>
      <c r="P10761" s="33">
        <f t="shared" si="672"/>
        <v>0</v>
      </c>
      <c r="Q10761" s="31" t="str">
        <f t="shared" si="673"/>
        <v/>
      </c>
      <c r="R10761" s="32" t="str">
        <f>IFERROR(VLOOKUP($D10761,'Informations sur les produits'!$A$3:$B$15000,2,FALSE),"")</f>
        <v/>
      </c>
      <c r="V10761">
        <f t="shared" si="674"/>
        <v>0</v>
      </c>
      <c r="W10761">
        <f t="shared" si="675"/>
        <v>0</v>
      </c>
    </row>
    <row r="10762" spans="5:23" x14ac:dyDescent="0.25">
      <c r="E10762" s="4"/>
      <c r="F10762" s="4"/>
      <c r="G10762" s="33" t="str">
        <f>IFERROR(VLOOKUP($D10762,'Informations sur les produits'!$A$3:$H$10000,8,FALSE),"0")</f>
        <v>0</v>
      </c>
      <c r="K10762" s="4"/>
      <c r="L10762" s="33" t="str">
        <f>IFERROR(VLOOKUP($J10762,'Informations sur les produits'!$A$3:$H$10000,8,FALSE),"0")</f>
        <v>0</v>
      </c>
      <c r="N10762" s="8"/>
      <c r="O10762" s="33" t="str">
        <f>IFERROR(VLOOKUP($M10762,'Informations sur les produits'!$A$3:$H$10000,8,FALSE),"0")</f>
        <v>0</v>
      </c>
      <c r="P10762" s="33">
        <f t="shared" si="672"/>
        <v>0</v>
      </c>
      <c r="Q10762" s="31" t="str">
        <f t="shared" si="673"/>
        <v/>
      </c>
      <c r="R10762" s="32" t="str">
        <f>IFERROR(VLOOKUP($D10762,'Informations sur les produits'!$A$3:$B$15000,2,FALSE),"")</f>
        <v/>
      </c>
      <c r="V10762">
        <f t="shared" si="674"/>
        <v>0</v>
      </c>
      <c r="W10762">
        <f t="shared" si="675"/>
        <v>0</v>
      </c>
    </row>
    <row r="10763" spans="5:23" x14ac:dyDescent="0.25">
      <c r="E10763" s="4"/>
      <c r="F10763" s="4"/>
      <c r="G10763" s="33" t="str">
        <f>IFERROR(VLOOKUP($D10763,'Informations sur les produits'!$A$3:$H$10000,8,FALSE),"0")</f>
        <v>0</v>
      </c>
      <c r="K10763" s="4"/>
      <c r="L10763" s="33" t="str">
        <f>IFERROR(VLOOKUP($J10763,'Informations sur les produits'!$A$3:$H$10000,8,FALSE),"0")</f>
        <v>0</v>
      </c>
      <c r="N10763" s="8"/>
      <c r="O10763" s="33" t="str">
        <f>IFERROR(VLOOKUP($M10763,'Informations sur les produits'!$A$3:$H$10000,8,FALSE),"0")</f>
        <v>0</v>
      </c>
      <c r="P10763" s="33">
        <f t="shared" si="672"/>
        <v>0</v>
      </c>
      <c r="Q10763" s="31" t="str">
        <f t="shared" si="673"/>
        <v/>
      </c>
      <c r="R10763" s="32" t="str">
        <f>IFERROR(VLOOKUP($D10763,'Informations sur les produits'!$A$3:$B$15000,2,FALSE),"")</f>
        <v/>
      </c>
      <c r="V10763">
        <f t="shared" si="674"/>
        <v>0</v>
      </c>
      <c r="W10763">
        <f t="shared" si="675"/>
        <v>0</v>
      </c>
    </row>
    <row r="10764" spans="5:23" x14ac:dyDescent="0.25">
      <c r="E10764" s="4"/>
      <c r="F10764" s="4"/>
      <c r="G10764" s="33" t="str">
        <f>IFERROR(VLOOKUP($D10764,'Informations sur les produits'!$A$3:$H$10000,8,FALSE),"0")</f>
        <v>0</v>
      </c>
      <c r="K10764" s="4"/>
      <c r="L10764" s="33" t="str">
        <f>IFERROR(VLOOKUP($J10764,'Informations sur les produits'!$A$3:$H$10000,8,FALSE),"0")</f>
        <v>0</v>
      </c>
      <c r="N10764" s="8"/>
      <c r="O10764" s="33" t="str">
        <f>IFERROR(VLOOKUP($M10764,'Informations sur les produits'!$A$3:$H$10000,8,FALSE),"0")</f>
        <v>0</v>
      </c>
      <c r="P10764" s="33">
        <f t="shared" si="672"/>
        <v>0</v>
      </c>
      <c r="Q10764" s="31" t="str">
        <f t="shared" si="673"/>
        <v/>
      </c>
      <c r="R10764" s="32" t="str">
        <f>IFERROR(VLOOKUP($D10764,'Informations sur les produits'!$A$3:$B$15000,2,FALSE),"")</f>
        <v/>
      </c>
      <c r="V10764">
        <f t="shared" si="674"/>
        <v>0</v>
      </c>
      <c r="W10764">
        <f t="shared" si="675"/>
        <v>0</v>
      </c>
    </row>
    <row r="10765" spans="5:23" x14ac:dyDescent="0.25">
      <c r="E10765" s="4"/>
      <c r="F10765" s="4"/>
      <c r="G10765" s="33" t="str">
        <f>IFERROR(VLOOKUP($D10765,'Informations sur les produits'!$A$3:$H$10000,8,FALSE),"0")</f>
        <v>0</v>
      </c>
      <c r="K10765" s="4"/>
      <c r="L10765" s="33" t="str">
        <f>IFERROR(VLOOKUP($J10765,'Informations sur les produits'!$A$3:$H$10000,8,FALSE),"0")</f>
        <v>0</v>
      </c>
      <c r="N10765" s="8"/>
      <c r="O10765" s="33" t="str">
        <f>IFERROR(VLOOKUP($M10765,'Informations sur les produits'!$A$3:$H$10000,8,FALSE),"0")</f>
        <v>0</v>
      </c>
      <c r="P10765" s="33">
        <f t="shared" si="672"/>
        <v>0</v>
      </c>
      <c r="Q10765" s="31" t="str">
        <f t="shared" si="673"/>
        <v/>
      </c>
      <c r="R10765" s="32" t="str">
        <f>IFERROR(VLOOKUP($D10765,'Informations sur les produits'!$A$3:$B$15000,2,FALSE),"")</f>
        <v/>
      </c>
      <c r="V10765">
        <f t="shared" si="674"/>
        <v>0</v>
      </c>
      <c r="W10765">
        <f t="shared" si="675"/>
        <v>0</v>
      </c>
    </row>
    <row r="10766" spans="5:23" x14ac:dyDescent="0.25">
      <c r="E10766" s="4"/>
      <c r="F10766" s="4"/>
      <c r="G10766" s="33" t="str">
        <f>IFERROR(VLOOKUP($D10766,'Informations sur les produits'!$A$3:$H$10000,8,FALSE),"0")</f>
        <v>0</v>
      </c>
      <c r="K10766" s="4"/>
      <c r="L10766" s="33" t="str">
        <f>IFERROR(VLOOKUP($J10766,'Informations sur les produits'!$A$3:$H$10000,8,FALSE),"0")</f>
        <v>0</v>
      </c>
      <c r="N10766" s="8"/>
      <c r="O10766" s="33" t="str">
        <f>IFERROR(VLOOKUP($M10766,'Informations sur les produits'!$A$3:$H$10000,8,FALSE),"0")</f>
        <v>0</v>
      </c>
      <c r="P10766" s="33">
        <f t="shared" si="672"/>
        <v>0</v>
      </c>
      <c r="Q10766" s="31" t="str">
        <f t="shared" si="673"/>
        <v/>
      </c>
      <c r="R10766" s="32" t="str">
        <f>IFERROR(VLOOKUP($D10766,'Informations sur les produits'!$A$3:$B$15000,2,FALSE),"")</f>
        <v/>
      </c>
      <c r="V10766">
        <f t="shared" si="674"/>
        <v>0</v>
      </c>
      <c r="W10766">
        <f t="shared" si="675"/>
        <v>0</v>
      </c>
    </row>
    <row r="10767" spans="5:23" x14ac:dyDescent="0.25">
      <c r="E10767" s="4"/>
      <c r="F10767" s="4"/>
      <c r="G10767" s="33" t="str">
        <f>IFERROR(VLOOKUP($D10767,'Informations sur les produits'!$A$3:$H$10000,8,FALSE),"0")</f>
        <v>0</v>
      </c>
      <c r="K10767" s="4"/>
      <c r="L10767" s="33" t="str">
        <f>IFERROR(VLOOKUP($J10767,'Informations sur les produits'!$A$3:$H$10000,8,FALSE),"0")</f>
        <v>0</v>
      </c>
      <c r="N10767" s="8"/>
      <c r="O10767" s="33" t="str">
        <f>IFERROR(VLOOKUP($M10767,'Informations sur les produits'!$A$3:$H$10000,8,FALSE),"0")</f>
        <v>0</v>
      </c>
      <c r="P10767" s="33">
        <f t="shared" si="672"/>
        <v>0</v>
      </c>
      <c r="Q10767" s="31" t="str">
        <f t="shared" si="673"/>
        <v/>
      </c>
      <c r="R10767" s="32" t="str">
        <f>IFERROR(VLOOKUP($D10767,'Informations sur les produits'!$A$3:$B$15000,2,FALSE),"")</f>
        <v/>
      </c>
      <c r="V10767">
        <f t="shared" si="674"/>
        <v>0</v>
      </c>
      <c r="W10767">
        <f t="shared" si="675"/>
        <v>0</v>
      </c>
    </row>
    <row r="10768" spans="5:23" x14ac:dyDescent="0.25">
      <c r="E10768" s="4"/>
      <c r="F10768" s="4"/>
      <c r="G10768" s="33" t="str">
        <f>IFERROR(VLOOKUP($D10768,'Informations sur les produits'!$A$3:$H$10000,8,FALSE),"0")</f>
        <v>0</v>
      </c>
      <c r="K10768" s="4"/>
      <c r="L10768" s="33" t="str">
        <f>IFERROR(VLOOKUP($J10768,'Informations sur les produits'!$A$3:$H$10000,8,FALSE),"0")</f>
        <v>0</v>
      </c>
      <c r="N10768" s="8"/>
      <c r="O10768" s="33" t="str">
        <f>IFERROR(VLOOKUP($M10768,'Informations sur les produits'!$A$3:$H$10000,8,FALSE),"0")</f>
        <v>0</v>
      </c>
      <c r="P10768" s="33">
        <f t="shared" si="672"/>
        <v>0</v>
      </c>
      <c r="Q10768" s="31" t="str">
        <f t="shared" si="673"/>
        <v/>
      </c>
      <c r="R10768" s="32" t="str">
        <f>IFERROR(VLOOKUP($D10768,'Informations sur les produits'!$A$3:$B$15000,2,FALSE),"")</f>
        <v/>
      </c>
      <c r="V10768">
        <f t="shared" si="674"/>
        <v>0</v>
      </c>
      <c r="W10768">
        <f t="shared" si="675"/>
        <v>0</v>
      </c>
    </row>
    <row r="10769" spans="5:23" x14ac:dyDescent="0.25">
      <c r="E10769" s="4"/>
      <c r="F10769" s="4"/>
      <c r="G10769" s="33" t="str">
        <f>IFERROR(VLOOKUP($D10769,'Informations sur les produits'!$A$3:$H$10000,8,FALSE),"0")</f>
        <v>0</v>
      </c>
      <c r="K10769" s="4"/>
      <c r="L10769" s="33" t="str">
        <f>IFERROR(VLOOKUP($J10769,'Informations sur les produits'!$A$3:$H$10000,8,FALSE),"0")</f>
        <v>0</v>
      </c>
      <c r="N10769" s="8"/>
      <c r="O10769" s="33" t="str">
        <f>IFERROR(VLOOKUP($M10769,'Informations sur les produits'!$A$3:$H$10000,8,FALSE),"0")</f>
        <v>0</v>
      </c>
      <c r="P10769" s="33">
        <f t="shared" si="672"/>
        <v>0</v>
      </c>
      <c r="Q10769" s="31" t="str">
        <f t="shared" si="673"/>
        <v/>
      </c>
      <c r="R10769" s="32" t="str">
        <f>IFERROR(VLOOKUP($D10769,'Informations sur les produits'!$A$3:$B$15000,2,FALSE),"")</f>
        <v/>
      </c>
      <c r="V10769">
        <f t="shared" si="674"/>
        <v>0</v>
      </c>
      <c r="W10769">
        <f t="shared" si="675"/>
        <v>0</v>
      </c>
    </row>
    <row r="10770" spans="5:23" x14ac:dyDescent="0.25">
      <c r="E10770" s="4"/>
      <c r="F10770" s="4"/>
      <c r="G10770" s="33" t="str">
        <f>IFERROR(VLOOKUP($D10770,'Informations sur les produits'!$A$3:$H$10000,8,FALSE),"0")</f>
        <v>0</v>
      </c>
      <c r="K10770" s="4"/>
      <c r="L10770" s="33" t="str">
        <f>IFERROR(VLOOKUP($J10770,'Informations sur les produits'!$A$3:$H$10000,8,FALSE),"0")</f>
        <v>0</v>
      </c>
      <c r="N10770" s="8"/>
      <c r="O10770" s="33" t="str">
        <f>IFERROR(VLOOKUP($M10770,'Informations sur les produits'!$A$3:$H$10000,8,FALSE),"0")</f>
        <v>0</v>
      </c>
      <c r="P10770" s="33">
        <f t="shared" si="672"/>
        <v>0</v>
      </c>
      <c r="Q10770" s="31" t="str">
        <f t="shared" si="673"/>
        <v/>
      </c>
      <c r="R10770" s="32" t="str">
        <f>IFERROR(VLOOKUP($D10770,'Informations sur les produits'!$A$3:$B$15000,2,FALSE),"")</f>
        <v/>
      </c>
      <c r="V10770">
        <f t="shared" si="674"/>
        <v>0</v>
      </c>
      <c r="W10770">
        <f t="shared" si="675"/>
        <v>0</v>
      </c>
    </row>
    <row r="10771" spans="5:23" x14ac:dyDescent="0.25">
      <c r="E10771" s="4"/>
      <c r="F10771" s="4"/>
      <c r="G10771" s="33" t="str">
        <f>IFERROR(VLOOKUP($D10771,'Informations sur les produits'!$A$3:$H$10000,8,FALSE),"0")</f>
        <v>0</v>
      </c>
      <c r="K10771" s="4"/>
      <c r="L10771" s="33" t="str">
        <f>IFERROR(VLOOKUP($J10771,'Informations sur les produits'!$A$3:$H$10000,8,FALSE),"0")</f>
        <v>0</v>
      </c>
      <c r="N10771" s="8"/>
      <c r="O10771" s="33" t="str">
        <f>IFERROR(VLOOKUP($M10771,'Informations sur les produits'!$A$3:$H$10000,8,FALSE),"0")</f>
        <v>0</v>
      </c>
      <c r="P10771" s="33">
        <f t="shared" si="672"/>
        <v>0</v>
      </c>
      <c r="Q10771" s="31" t="str">
        <f t="shared" si="673"/>
        <v/>
      </c>
      <c r="R10771" s="32" t="str">
        <f>IFERROR(VLOOKUP($D10771,'Informations sur les produits'!$A$3:$B$15000,2,FALSE),"")</f>
        <v/>
      </c>
      <c r="V10771">
        <f t="shared" si="674"/>
        <v>0</v>
      </c>
      <c r="W10771">
        <f t="shared" si="675"/>
        <v>0</v>
      </c>
    </row>
    <row r="10772" spans="5:23" x14ac:dyDescent="0.25">
      <c r="E10772" s="4"/>
      <c r="F10772" s="4"/>
      <c r="G10772" s="33" t="str">
        <f>IFERROR(VLOOKUP($D10772,'Informations sur les produits'!$A$3:$H$10000,8,FALSE),"0")</f>
        <v>0</v>
      </c>
      <c r="K10772" s="4"/>
      <c r="L10772" s="33" t="str">
        <f>IFERROR(VLOOKUP($J10772,'Informations sur les produits'!$A$3:$H$10000,8,FALSE),"0")</f>
        <v>0</v>
      </c>
      <c r="N10772" s="8"/>
      <c r="O10772" s="33" t="str">
        <f>IFERROR(VLOOKUP($M10772,'Informations sur les produits'!$A$3:$H$10000,8,FALSE),"0")</f>
        <v>0</v>
      </c>
      <c r="P10772" s="33">
        <f t="shared" si="672"/>
        <v>0</v>
      </c>
      <c r="Q10772" s="31" t="str">
        <f t="shared" si="673"/>
        <v/>
      </c>
      <c r="R10772" s="32" t="str">
        <f>IFERROR(VLOOKUP($D10772,'Informations sur les produits'!$A$3:$B$15000,2,FALSE),"")</f>
        <v/>
      </c>
      <c r="V10772">
        <f t="shared" si="674"/>
        <v>0</v>
      </c>
      <c r="W10772">
        <f t="shared" si="675"/>
        <v>0</v>
      </c>
    </row>
    <row r="10773" spans="5:23" x14ac:dyDescent="0.25">
      <c r="E10773" s="4"/>
      <c r="F10773" s="4"/>
      <c r="G10773" s="33" t="str">
        <f>IFERROR(VLOOKUP($D10773,'Informations sur les produits'!$A$3:$H$10000,8,FALSE),"0")</f>
        <v>0</v>
      </c>
      <c r="K10773" s="4"/>
      <c r="L10773" s="33" t="str">
        <f>IFERROR(VLOOKUP($J10773,'Informations sur les produits'!$A$3:$H$10000,8,FALSE),"0")</f>
        <v>0</v>
      </c>
      <c r="N10773" s="8"/>
      <c r="O10773" s="33" t="str">
        <f>IFERROR(VLOOKUP($M10773,'Informations sur les produits'!$A$3:$H$10000,8,FALSE),"0")</f>
        <v>0</v>
      </c>
      <c r="P10773" s="33">
        <f t="shared" si="672"/>
        <v>0</v>
      </c>
      <c r="Q10773" s="31" t="str">
        <f t="shared" si="673"/>
        <v/>
      </c>
      <c r="R10773" s="32" t="str">
        <f>IFERROR(VLOOKUP($D10773,'Informations sur les produits'!$A$3:$B$15000,2,FALSE),"")</f>
        <v/>
      </c>
      <c r="V10773">
        <f t="shared" si="674"/>
        <v>0</v>
      </c>
      <c r="W10773">
        <f t="shared" si="675"/>
        <v>0</v>
      </c>
    </row>
    <row r="10774" spans="5:23" x14ac:dyDescent="0.25">
      <c r="E10774" s="4"/>
      <c r="F10774" s="4"/>
      <c r="G10774" s="33" t="str">
        <f>IFERROR(VLOOKUP($D10774,'Informations sur les produits'!$A$3:$H$10000,8,FALSE),"0")</f>
        <v>0</v>
      </c>
      <c r="K10774" s="4"/>
      <c r="L10774" s="33" t="str">
        <f>IFERROR(VLOOKUP($J10774,'Informations sur les produits'!$A$3:$H$10000,8,FALSE),"0")</f>
        <v>0</v>
      </c>
      <c r="N10774" s="8"/>
      <c r="O10774" s="33" t="str">
        <f>IFERROR(VLOOKUP($M10774,'Informations sur les produits'!$A$3:$H$10000,8,FALSE),"0")</f>
        <v>0</v>
      </c>
      <c r="P10774" s="33">
        <f t="shared" si="672"/>
        <v>0</v>
      </c>
      <c r="Q10774" s="31" t="str">
        <f t="shared" si="673"/>
        <v/>
      </c>
      <c r="R10774" s="32" t="str">
        <f>IFERROR(VLOOKUP($D10774,'Informations sur les produits'!$A$3:$B$15000,2,FALSE),"")</f>
        <v/>
      </c>
      <c r="V10774">
        <f t="shared" si="674"/>
        <v>0</v>
      </c>
      <c r="W10774">
        <f t="shared" si="675"/>
        <v>0</v>
      </c>
    </row>
    <row r="10775" spans="5:23" x14ac:dyDescent="0.25">
      <c r="E10775" s="4"/>
      <c r="F10775" s="4"/>
      <c r="G10775" s="33" t="str">
        <f>IFERROR(VLOOKUP($D10775,'Informations sur les produits'!$A$3:$H$10000,8,FALSE),"0")</f>
        <v>0</v>
      </c>
      <c r="K10775" s="4"/>
      <c r="L10775" s="33" t="str">
        <f>IFERROR(VLOOKUP($J10775,'Informations sur les produits'!$A$3:$H$10000,8,FALSE),"0")</f>
        <v>0</v>
      </c>
      <c r="N10775" s="8"/>
      <c r="O10775" s="33" t="str">
        <f>IFERROR(VLOOKUP($M10775,'Informations sur les produits'!$A$3:$H$10000,8,FALSE),"0")</f>
        <v>0</v>
      </c>
      <c r="P10775" s="33">
        <f t="shared" si="672"/>
        <v>0</v>
      </c>
      <c r="Q10775" s="31" t="str">
        <f t="shared" si="673"/>
        <v/>
      </c>
      <c r="R10775" s="32" t="str">
        <f>IFERROR(VLOOKUP($D10775,'Informations sur les produits'!$A$3:$B$15000,2,FALSE),"")</f>
        <v/>
      </c>
      <c r="V10775">
        <f t="shared" si="674"/>
        <v>0</v>
      </c>
      <c r="W10775">
        <f t="shared" si="675"/>
        <v>0</v>
      </c>
    </row>
    <row r="10776" spans="5:23" x14ac:dyDescent="0.25">
      <c r="E10776" s="4"/>
      <c r="F10776" s="4"/>
      <c r="G10776" s="33" t="str">
        <f>IFERROR(VLOOKUP($D10776,'Informations sur les produits'!$A$3:$H$10000,8,FALSE),"0")</f>
        <v>0</v>
      </c>
      <c r="K10776" s="4"/>
      <c r="L10776" s="33" t="str">
        <f>IFERROR(VLOOKUP($J10776,'Informations sur les produits'!$A$3:$H$10000,8,FALSE),"0")</f>
        <v>0</v>
      </c>
      <c r="N10776" s="8"/>
      <c r="O10776" s="33" t="str">
        <f>IFERROR(VLOOKUP($M10776,'Informations sur les produits'!$A$3:$H$10000,8,FALSE),"0")</f>
        <v>0</v>
      </c>
      <c r="P10776" s="33">
        <f t="shared" si="672"/>
        <v>0</v>
      </c>
      <c r="Q10776" s="31" t="str">
        <f t="shared" si="673"/>
        <v/>
      </c>
      <c r="R10776" s="32" t="str">
        <f>IFERROR(VLOOKUP($D10776,'Informations sur les produits'!$A$3:$B$15000,2,FALSE),"")</f>
        <v/>
      </c>
      <c r="V10776">
        <f t="shared" si="674"/>
        <v>0</v>
      </c>
      <c r="W10776">
        <f t="shared" si="675"/>
        <v>0</v>
      </c>
    </row>
    <row r="10777" spans="5:23" x14ac:dyDescent="0.25">
      <c r="E10777" s="4"/>
      <c r="F10777" s="4"/>
      <c r="G10777" s="33" t="str">
        <f>IFERROR(VLOOKUP($D10777,'Informations sur les produits'!$A$3:$H$10000,8,FALSE),"0")</f>
        <v>0</v>
      </c>
      <c r="K10777" s="4"/>
      <c r="L10777" s="33" t="str">
        <f>IFERROR(VLOOKUP($J10777,'Informations sur les produits'!$A$3:$H$10000,8,FALSE),"0")</f>
        <v>0</v>
      </c>
      <c r="N10777" s="8"/>
      <c r="O10777" s="33" t="str">
        <f>IFERROR(VLOOKUP($M10777,'Informations sur les produits'!$A$3:$H$10000,8,FALSE),"0")</f>
        <v>0</v>
      </c>
      <c r="P10777" s="33">
        <f t="shared" si="672"/>
        <v>0</v>
      </c>
      <c r="Q10777" s="31" t="str">
        <f t="shared" si="673"/>
        <v/>
      </c>
      <c r="R10777" s="32" t="str">
        <f>IFERROR(VLOOKUP($D10777,'Informations sur les produits'!$A$3:$B$15000,2,FALSE),"")</f>
        <v/>
      </c>
      <c r="V10777">
        <f t="shared" si="674"/>
        <v>0</v>
      </c>
      <c r="W10777">
        <f t="shared" si="675"/>
        <v>0</v>
      </c>
    </row>
    <row r="10778" spans="5:23" x14ac:dyDescent="0.25">
      <c r="E10778" s="4"/>
      <c r="F10778" s="4"/>
      <c r="G10778" s="33" t="str">
        <f>IFERROR(VLOOKUP($D10778,'Informations sur les produits'!$A$3:$H$10000,8,FALSE),"0")</f>
        <v>0</v>
      </c>
      <c r="K10778" s="4"/>
      <c r="L10778" s="33" t="str">
        <f>IFERROR(VLOOKUP($J10778,'Informations sur les produits'!$A$3:$H$10000,8,FALSE),"0")</f>
        <v>0</v>
      </c>
      <c r="N10778" s="8"/>
      <c r="O10778" s="33" t="str">
        <f>IFERROR(VLOOKUP($M10778,'Informations sur les produits'!$A$3:$H$10000,8,FALSE),"0")</f>
        <v>0</v>
      </c>
      <c r="P10778" s="33">
        <f t="shared" si="672"/>
        <v>0</v>
      </c>
      <c r="Q10778" s="31" t="str">
        <f t="shared" si="673"/>
        <v/>
      </c>
      <c r="R10778" s="32" t="str">
        <f>IFERROR(VLOOKUP($D10778,'Informations sur les produits'!$A$3:$B$15000,2,FALSE),"")</f>
        <v/>
      </c>
      <c r="V10778">
        <f t="shared" si="674"/>
        <v>0</v>
      </c>
      <c r="W10778">
        <f t="shared" si="675"/>
        <v>0</v>
      </c>
    </row>
    <row r="10779" spans="5:23" x14ac:dyDescent="0.25">
      <c r="E10779" s="4"/>
      <c r="F10779" s="4"/>
      <c r="G10779" s="33" t="str">
        <f>IFERROR(VLOOKUP($D10779,'Informations sur les produits'!$A$3:$H$10000,8,FALSE),"0")</f>
        <v>0</v>
      </c>
      <c r="K10779" s="4"/>
      <c r="L10779" s="33" t="str">
        <f>IFERROR(VLOOKUP($J10779,'Informations sur les produits'!$A$3:$H$10000,8,FALSE),"0")</f>
        <v>0</v>
      </c>
      <c r="N10779" s="8"/>
      <c r="O10779" s="33" t="str">
        <f>IFERROR(VLOOKUP($M10779,'Informations sur les produits'!$A$3:$H$10000,8,FALSE),"0")</f>
        <v>0</v>
      </c>
      <c r="P10779" s="33">
        <f t="shared" si="672"/>
        <v>0</v>
      </c>
      <c r="Q10779" s="31" t="str">
        <f t="shared" si="673"/>
        <v/>
      </c>
      <c r="R10779" s="32" t="str">
        <f>IFERROR(VLOOKUP($D10779,'Informations sur les produits'!$A$3:$B$15000,2,FALSE),"")</f>
        <v/>
      </c>
      <c r="V10779">
        <f t="shared" si="674"/>
        <v>0</v>
      </c>
      <c r="W10779">
        <f t="shared" si="675"/>
        <v>0</v>
      </c>
    </row>
    <row r="10780" spans="5:23" x14ac:dyDescent="0.25">
      <c r="E10780" s="4"/>
      <c r="F10780" s="4"/>
      <c r="G10780" s="33" t="str">
        <f>IFERROR(VLOOKUP($D10780,'Informations sur les produits'!$A$3:$H$10000,8,FALSE),"0")</f>
        <v>0</v>
      </c>
      <c r="K10780" s="4"/>
      <c r="L10780" s="33" t="str">
        <f>IFERROR(VLOOKUP($J10780,'Informations sur les produits'!$A$3:$H$10000,8,FALSE),"0")</f>
        <v>0</v>
      </c>
      <c r="N10780" s="8"/>
      <c r="O10780" s="33" t="str">
        <f>IFERROR(VLOOKUP($M10780,'Informations sur les produits'!$A$3:$H$10000,8,FALSE),"0")</f>
        <v>0</v>
      </c>
      <c r="P10780" s="33">
        <f t="shared" si="672"/>
        <v>0</v>
      </c>
      <c r="Q10780" s="31" t="str">
        <f t="shared" si="673"/>
        <v/>
      </c>
      <c r="R10780" s="32" t="str">
        <f>IFERROR(VLOOKUP($D10780,'Informations sur les produits'!$A$3:$B$15000,2,FALSE),"")</f>
        <v/>
      </c>
      <c r="V10780">
        <f t="shared" si="674"/>
        <v>0</v>
      </c>
      <c r="W10780">
        <f t="shared" si="675"/>
        <v>0</v>
      </c>
    </row>
    <row r="10781" spans="5:23" x14ac:dyDescent="0.25">
      <c r="E10781" s="4"/>
      <c r="F10781" s="4"/>
      <c r="G10781" s="33" t="str">
        <f>IFERROR(VLOOKUP($D10781,'Informations sur les produits'!$A$3:$H$10000,8,FALSE),"0")</f>
        <v>0</v>
      </c>
      <c r="K10781" s="4"/>
      <c r="L10781" s="33" t="str">
        <f>IFERROR(VLOOKUP($J10781,'Informations sur les produits'!$A$3:$H$10000,8,FALSE),"0")</f>
        <v>0</v>
      </c>
      <c r="N10781" s="8"/>
      <c r="O10781" s="33" t="str">
        <f>IFERROR(VLOOKUP($M10781,'Informations sur les produits'!$A$3:$H$10000,8,FALSE),"0")</f>
        <v>0</v>
      </c>
      <c r="P10781" s="33">
        <f t="shared" si="672"/>
        <v>0</v>
      </c>
      <c r="Q10781" s="31" t="str">
        <f t="shared" si="673"/>
        <v/>
      </c>
      <c r="R10781" s="32" t="str">
        <f>IFERROR(VLOOKUP($D10781,'Informations sur les produits'!$A$3:$B$15000,2,FALSE),"")</f>
        <v/>
      </c>
      <c r="V10781">
        <f t="shared" si="674"/>
        <v>0</v>
      </c>
      <c r="W10781">
        <f t="shared" si="675"/>
        <v>0</v>
      </c>
    </row>
    <row r="10782" spans="5:23" x14ac:dyDescent="0.25">
      <c r="E10782" s="4"/>
      <c r="F10782" s="4"/>
      <c r="G10782" s="33" t="str">
        <f>IFERROR(VLOOKUP($D10782,'Informations sur les produits'!$A$3:$H$10000,8,FALSE),"0")</f>
        <v>0</v>
      </c>
      <c r="K10782" s="4"/>
      <c r="L10782" s="33" t="str">
        <f>IFERROR(VLOOKUP($J10782,'Informations sur les produits'!$A$3:$H$10000,8,FALSE),"0")</f>
        <v>0</v>
      </c>
      <c r="N10782" s="8"/>
      <c r="O10782" s="33" t="str">
        <f>IFERROR(VLOOKUP($M10782,'Informations sur les produits'!$A$3:$H$10000,8,FALSE),"0")</f>
        <v>0</v>
      </c>
      <c r="P10782" s="33">
        <f t="shared" si="672"/>
        <v>0</v>
      </c>
      <c r="Q10782" s="31" t="str">
        <f t="shared" si="673"/>
        <v/>
      </c>
      <c r="R10782" s="32" t="str">
        <f>IFERROR(VLOOKUP($D10782,'Informations sur les produits'!$A$3:$B$15000,2,FALSE),"")</f>
        <v/>
      </c>
      <c r="V10782">
        <f t="shared" si="674"/>
        <v>0</v>
      </c>
      <c r="W10782">
        <f t="shared" si="675"/>
        <v>0</v>
      </c>
    </row>
    <row r="10783" spans="5:23" x14ac:dyDescent="0.25">
      <c r="E10783" s="4"/>
      <c r="F10783" s="4"/>
      <c r="G10783" s="33" t="str">
        <f>IFERROR(VLOOKUP($D10783,'Informations sur les produits'!$A$3:$H$10000,8,FALSE),"0")</f>
        <v>0</v>
      </c>
      <c r="K10783" s="4"/>
      <c r="L10783" s="33" t="str">
        <f>IFERROR(VLOOKUP($J10783,'Informations sur les produits'!$A$3:$H$10000,8,FALSE),"0")</f>
        <v>0</v>
      </c>
      <c r="N10783" s="8"/>
      <c r="O10783" s="33" t="str">
        <f>IFERROR(VLOOKUP($M10783,'Informations sur les produits'!$A$3:$H$10000,8,FALSE),"0")</f>
        <v>0</v>
      </c>
      <c r="P10783" s="33">
        <f t="shared" si="672"/>
        <v>0</v>
      </c>
      <c r="Q10783" s="31" t="str">
        <f t="shared" si="673"/>
        <v/>
      </c>
      <c r="R10783" s="32" t="str">
        <f>IFERROR(VLOOKUP($D10783,'Informations sur les produits'!$A$3:$B$15000,2,FALSE),"")</f>
        <v/>
      </c>
      <c r="V10783">
        <f t="shared" si="674"/>
        <v>0</v>
      </c>
      <c r="W10783">
        <f t="shared" si="675"/>
        <v>0</v>
      </c>
    </row>
    <row r="10784" spans="5:23" x14ac:dyDescent="0.25">
      <c r="E10784" s="4"/>
      <c r="F10784" s="4"/>
      <c r="G10784" s="33" t="str">
        <f>IFERROR(VLOOKUP($D10784,'Informations sur les produits'!$A$3:$H$10000,8,FALSE),"0")</f>
        <v>0</v>
      </c>
      <c r="K10784" s="4"/>
      <c r="L10784" s="33" t="str">
        <f>IFERROR(VLOOKUP($J10784,'Informations sur les produits'!$A$3:$H$10000,8,FALSE),"0")</f>
        <v>0</v>
      </c>
      <c r="N10784" s="8"/>
      <c r="O10784" s="33" t="str">
        <f>IFERROR(VLOOKUP($M10784,'Informations sur les produits'!$A$3:$H$10000,8,FALSE),"0")</f>
        <v>0</v>
      </c>
      <c r="P10784" s="33">
        <f t="shared" si="672"/>
        <v>0</v>
      </c>
      <c r="Q10784" s="31" t="str">
        <f t="shared" si="673"/>
        <v/>
      </c>
      <c r="R10784" s="32" t="str">
        <f>IFERROR(VLOOKUP($D10784,'Informations sur les produits'!$A$3:$B$15000,2,FALSE),"")</f>
        <v/>
      </c>
      <c r="V10784">
        <f t="shared" si="674"/>
        <v>0</v>
      </c>
      <c r="W10784">
        <f t="shared" si="675"/>
        <v>0</v>
      </c>
    </row>
    <row r="10785" spans="5:23" x14ac:dyDescent="0.25">
      <c r="E10785" s="4"/>
      <c r="F10785" s="4"/>
      <c r="G10785" s="33" t="str">
        <f>IFERROR(VLOOKUP($D10785,'Informations sur les produits'!$A$3:$H$10000,8,FALSE),"0")</f>
        <v>0</v>
      </c>
      <c r="K10785" s="4"/>
      <c r="L10785" s="33" t="str">
        <f>IFERROR(VLOOKUP($J10785,'Informations sur les produits'!$A$3:$H$10000,8,FALSE),"0")</f>
        <v>0</v>
      </c>
      <c r="N10785" s="8"/>
      <c r="O10785" s="33" t="str">
        <f>IFERROR(VLOOKUP($M10785,'Informations sur les produits'!$A$3:$H$10000,8,FALSE),"0")</f>
        <v>0</v>
      </c>
      <c r="P10785" s="33">
        <f t="shared" si="672"/>
        <v>0</v>
      </c>
      <c r="Q10785" s="31" t="str">
        <f t="shared" si="673"/>
        <v/>
      </c>
      <c r="R10785" s="32" t="str">
        <f>IFERROR(VLOOKUP($D10785,'Informations sur les produits'!$A$3:$B$15000,2,FALSE),"")</f>
        <v/>
      </c>
      <c r="V10785">
        <f t="shared" si="674"/>
        <v>0</v>
      </c>
      <c r="W10785">
        <f t="shared" si="675"/>
        <v>0</v>
      </c>
    </row>
    <row r="10786" spans="5:23" x14ac:dyDescent="0.25">
      <c r="E10786" s="4"/>
      <c r="F10786" s="4"/>
      <c r="G10786" s="33" t="str">
        <f>IFERROR(VLOOKUP($D10786,'Informations sur les produits'!$A$3:$H$10000,8,FALSE),"0")</f>
        <v>0</v>
      </c>
      <c r="K10786" s="4"/>
      <c r="L10786" s="33" t="str">
        <f>IFERROR(VLOOKUP($J10786,'Informations sur les produits'!$A$3:$H$10000,8,FALSE),"0")</f>
        <v>0</v>
      </c>
      <c r="N10786" s="8"/>
      <c r="O10786" s="33" t="str">
        <f>IFERROR(VLOOKUP($M10786,'Informations sur les produits'!$A$3:$H$10000,8,FALSE),"0")</f>
        <v>0</v>
      </c>
      <c r="P10786" s="33">
        <f t="shared" si="672"/>
        <v>0</v>
      </c>
      <c r="Q10786" s="31" t="str">
        <f t="shared" si="673"/>
        <v/>
      </c>
      <c r="R10786" s="32" t="str">
        <f>IFERROR(VLOOKUP($D10786,'Informations sur les produits'!$A$3:$B$15000,2,FALSE),"")</f>
        <v/>
      </c>
      <c r="V10786">
        <f t="shared" si="674"/>
        <v>0</v>
      </c>
      <c r="W10786">
        <f t="shared" si="675"/>
        <v>0</v>
      </c>
    </row>
    <row r="10787" spans="5:23" x14ac:dyDescent="0.25">
      <c r="E10787" s="4"/>
      <c r="F10787" s="4"/>
      <c r="G10787" s="33" t="str">
        <f>IFERROR(VLOOKUP($D10787,'Informations sur les produits'!$A$3:$H$10000,8,FALSE),"0")</f>
        <v>0</v>
      </c>
      <c r="K10787" s="4"/>
      <c r="L10787" s="33" t="str">
        <f>IFERROR(VLOOKUP($J10787,'Informations sur les produits'!$A$3:$H$10000,8,FALSE),"0")</f>
        <v>0</v>
      </c>
      <c r="N10787" s="8"/>
      <c r="O10787" s="33" t="str">
        <f>IFERROR(VLOOKUP($M10787,'Informations sur les produits'!$A$3:$H$10000,8,FALSE),"0")</f>
        <v>0</v>
      </c>
      <c r="P10787" s="33">
        <f t="shared" si="672"/>
        <v>0</v>
      </c>
      <c r="Q10787" s="31" t="str">
        <f t="shared" si="673"/>
        <v/>
      </c>
      <c r="R10787" s="32" t="str">
        <f>IFERROR(VLOOKUP($D10787,'Informations sur les produits'!$A$3:$B$15000,2,FALSE),"")</f>
        <v/>
      </c>
      <c r="V10787">
        <f t="shared" si="674"/>
        <v>0</v>
      </c>
      <c r="W10787">
        <f t="shared" si="675"/>
        <v>0</v>
      </c>
    </row>
    <row r="10788" spans="5:23" x14ac:dyDescent="0.25">
      <c r="E10788" s="4"/>
      <c r="F10788" s="4"/>
      <c r="G10788" s="33" t="str">
        <f>IFERROR(VLOOKUP($D10788,'Informations sur les produits'!$A$3:$H$10000,8,FALSE),"0")</f>
        <v>0</v>
      </c>
      <c r="K10788" s="4"/>
      <c r="L10788" s="33" t="str">
        <f>IFERROR(VLOOKUP($J10788,'Informations sur les produits'!$A$3:$H$10000,8,FALSE),"0")</f>
        <v>0</v>
      </c>
      <c r="N10788" s="8"/>
      <c r="O10788" s="33" t="str">
        <f>IFERROR(VLOOKUP($M10788,'Informations sur les produits'!$A$3:$H$10000,8,FALSE),"0")</f>
        <v>0</v>
      </c>
      <c r="P10788" s="33">
        <f t="shared" si="672"/>
        <v>0</v>
      </c>
      <c r="Q10788" s="31" t="str">
        <f t="shared" si="673"/>
        <v/>
      </c>
      <c r="R10788" s="32" t="str">
        <f>IFERROR(VLOOKUP($D10788,'Informations sur les produits'!$A$3:$B$15000,2,FALSE),"")</f>
        <v/>
      </c>
      <c r="V10788">
        <f t="shared" si="674"/>
        <v>0</v>
      </c>
      <c r="W10788">
        <f t="shared" si="675"/>
        <v>0</v>
      </c>
    </row>
    <row r="10789" spans="5:23" x14ac:dyDescent="0.25">
      <c r="E10789" s="4"/>
      <c r="F10789" s="4"/>
      <c r="G10789" s="33" t="str">
        <f>IFERROR(VLOOKUP($D10789,'Informations sur les produits'!$A$3:$H$10000,8,FALSE),"0")</f>
        <v>0</v>
      </c>
      <c r="K10789" s="4"/>
      <c r="L10789" s="33" t="str">
        <f>IFERROR(VLOOKUP($J10789,'Informations sur les produits'!$A$3:$H$10000,8,FALSE),"0")</f>
        <v>0</v>
      </c>
      <c r="N10789" s="8"/>
      <c r="O10789" s="33" t="str">
        <f>IFERROR(VLOOKUP($M10789,'Informations sur les produits'!$A$3:$H$10000,8,FALSE),"0")</f>
        <v>0</v>
      </c>
      <c r="P10789" s="33">
        <f t="shared" si="672"/>
        <v>0</v>
      </c>
      <c r="Q10789" s="31" t="str">
        <f t="shared" si="673"/>
        <v/>
      </c>
      <c r="R10789" s="32" t="str">
        <f>IFERROR(VLOOKUP($D10789,'Informations sur les produits'!$A$3:$B$15000,2,FALSE),"")</f>
        <v/>
      </c>
      <c r="V10789">
        <f t="shared" si="674"/>
        <v>0</v>
      </c>
      <c r="W10789">
        <f t="shared" si="675"/>
        <v>0</v>
      </c>
    </row>
    <row r="10790" spans="5:23" x14ac:dyDescent="0.25">
      <c r="E10790" s="4"/>
      <c r="F10790" s="4"/>
      <c r="G10790" s="33" t="str">
        <f>IFERROR(VLOOKUP($D10790,'Informations sur les produits'!$A$3:$H$10000,8,FALSE),"0")</f>
        <v>0</v>
      </c>
      <c r="K10790" s="4"/>
      <c r="L10790" s="33" t="str">
        <f>IFERROR(VLOOKUP($J10790,'Informations sur les produits'!$A$3:$H$10000,8,FALSE),"0")</f>
        <v>0</v>
      </c>
      <c r="N10790" s="8"/>
      <c r="O10790" s="33" t="str">
        <f>IFERROR(VLOOKUP($M10790,'Informations sur les produits'!$A$3:$H$10000,8,FALSE),"0")</f>
        <v>0</v>
      </c>
      <c r="P10790" s="33">
        <f t="shared" si="672"/>
        <v>0</v>
      </c>
      <c r="Q10790" s="31" t="str">
        <f t="shared" si="673"/>
        <v/>
      </c>
      <c r="R10790" s="32" t="str">
        <f>IFERROR(VLOOKUP($D10790,'Informations sur les produits'!$A$3:$B$15000,2,FALSE),"")</f>
        <v/>
      </c>
      <c r="V10790">
        <f t="shared" si="674"/>
        <v>0</v>
      </c>
      <c r="W10790">
        <f t="shared" si="675"/>
        <v>0</v>
      </c>
    </row>
    <row r="10791" spans="5:23" x14ac:dyDescent="0.25">
      <c r="E10791" s="4"/>
      <c r="F10791" s="4"/>
      <c r="G10791" s="33" t="str">
        <f>IFERROR(VLOOKUP($D10791,'Informations sur les produits'!$A$3:$H$10000,8,FALSE),"0")</f>
        <v>0</v>
      </c>
      <c r="K10791" s="4"/>
      <c r="L10791" s="33" t="str">
        <f>IFERROR(VLOOKUP($J10791,'Informations sur les produits'!$A$3:$H$10000,8,FALSE),"0")</f>
        <v>0</v>
      </c>
      <c r="N10791" s="8"/>
      <c r="O10791" s="33" t="str">
        <f>IFERROR(VLOOKUP($M10791,'Informations sur les produits'!$A$3:$H$10000,8,FALSE),"0")</f>
        <v>0</v>
      </c>
      <c r="P10791" s="33">
        <f t="shared" si="672"/>
        <v>0</v>
      </c>
      <c r="Q10791" s="31" t="str">
        <f t="shared" si="673"/>
        <v/>
      </c>
      <c r="R10791" s="32" t="str">
        <f>IFERROR(VLOOKUP($D10791,'Informations sur les produits'!$A$3:$B$15000,2,FALSE),"")</f>
        <v/>
      </c>
      <c r="V10791">
        <f t="shared" si="674"/>
        <v>0</v>
      </c>
      <c r="W10791">
        <f t="shared" si="675"/>
        <v>0</v>
      </c>
    </row>
    <row r="10792" spans="5:23" x14ac:dyDescent="0.25">
      <c r="E10792" s="4"/>
      <c r="F10792" s="4"/>
      <c r="G10792" s="33" t="str">
        <f>IFERROR(VLOOKUP($D10792,'Informations sur les produits'!$A$3:$H$10000,8,FALSE),"0")</f>
        <v>0</v>
      </c>
      <c r="K10792" s="4"/>
      <c r="L10792" s="33" t="str">
        <f>IFERROR(VLOOKUP($J10792,'Informations sur les produits'!$A$3:$H$10000,8,FALSE),"0")</f>
        <v>0</v>
      </c>
      <c r="N10792" s="8"/>
      <c r="O10792" s="33" t="str">
        <f>IFERROR(VLOOKUP($M10792,'Informations sur les produits'!$A$3:$H$10000,8,FALSE),"0")</f>
        <v>0</v>
      </c>
      <c r="P10792" s="33">
        <f t="shared" si="672"/>
        <v>0</v>
      </c>
      <c r="Q10792" s="31" t="str">
        <f t="shared" si="673"/>
        <v/>
      </c>
      <c r="R10792" s="32" t="str">
        <f>IFERROR(VLOOKUP($D10792,'Informations sur les produits'!$A$3:$B$15000,2,FALSE),"")</f>
        <v/>
      </c>
      <c r="V10792">
        <f t="shared" si="674"/>
        <v>0</v>
      </c>
      <c r="W10792">
        <f t="shared" si="675"/>
        <v>0</v>
      </c>
    </row>
    <row r="10793" spans="5:23" x14ac:dyDescent="0.25">
      <c r="E10793" s="4"/>
      <c r="F10793" s="4"/>
      <c r="G10793" s="33" t="str">
        <f>IFERROR(VLOOKUP($D10793,'Informations sur les produits'!$A$3:$H$10000,8,FALSE),"0")</f>
        <v>0</v>
      </c>
      <c r="K10793" s="4"/>
      <c r="L10793" s="33" t="str">
        <f>IFERROR(VLOOKUP($J10793,'Informations sur les produits'!$A$3:$H$10000,8,FALSE),"0")</f>
        <v>0</v>
      </c>
      <c r="N10793" s="8"/>
      <c r="O10793" s="33" t="str">
        <f>IFERROR(VLOOKUP($M10793,'Informations sur les produits'!$A$3:$H$10000,8,FALSE),"0")</f>
        <v>0</v>
      </c>
      <c r="P10793" s="33">
        <f t="shared" si="672"/>
        <v>0</v>
      </c>
      <c r="Q10793" s="31" t="str">
        <f t="shared" si="673"/>
        <v/>
      </c>
      <c r="R10793" s="32" t="str">
        <f>IFERROR(VLOOKUP($D10793,'Informations sur les produits'!$A$3:$B$15000,2,FALSE),"")</f>
        <v/>
      </c>
      <c r="V10793">
        <f t="shared" si="674"/>
        <v>0</v>
      </c>
      <c r="W10793">
        <f t="shared" si="675"/>
        <v>0</v>
      </c>
    </row>
    <row r="10794" spans="5:23" x14ac:dyDescent="0.25">
      <c r="E10794" s="4"/>
      <c r="F10794" s="4"/>
      <c r="G10794" s="33" t="str">
        <f>IFERROR(VLOOKUP($D10794,'Informations sur les produits'!$A$3:$H$10000,8,FALSE),"0")</f>
        <v>0</v>
      </c>
      <c r="K10794" s="4"/>
      <c r="L10794" s="33" t="str">
        <f>IFERROR(VLOOKUP($J10794,'Informations sur les produits'!$A$3:$H$10000,8,FALSE),"0")</f>
        <v>0</v>
      </c>
      <c r="N10794" s="8"/>
      <c r="O10794" s="33" t="str">
        <f>IFERROR(VLOOKUP($M10794,'Informations sur les produits'!$A$3:$H$10000,8,FALSE),"0")</f>
        <v>0</v>
      </c>
      <c r="P10794" s="33">
        <f t="shared" si="672"/>
        <v>0</v>
      </c>
      <c r="Q10794" s="31" t="str">
        <f t="shared" si="673"/>
        <v/>
      </c>
      <c r="R10794" s="32" t="str">
        <f>IFERROR(VLOOKUP($D10794,'Informations sur les produits'!$A$3:$B$15000,2,FALSE),"")</f>
        <v/>
      </c>
      <c r="V10794">
        <f t="shared" si="674"/>
        <v>0</v>
      </c>
      <c r="W10794">
        <f t="shared" si="675"/>
        <v>0</v>
      </c>
    </row>
    <row r="10795" spans="5:23" x14ac:dyDescent="0.25">
      <c r="E10795" s="4"/>
      <c r="F10795" s="4"/>
      <c r="G10795" s="33" t="str">
        <f>IFERROR(VLOOKUP($D10795,'Informations sur les produits'!$A$3:$H$10000,8,FALSE),"0")</f>
        <v>0</v>
      </c>
      <c r="K10795" s="4"/>
      <c r="L10795" s="33" t="str">
        <f>IFERROR(VLOOKUP($J10795,'Informations sur les produits'!$A$3:$H$10000,8,FALSE),"0")</f>
        <v>0</v>
      </c>
      <c r="N10795" s="8"/>
      <c r="O10795" s="33" t="str">
        <f>IFERROR(VLOOKUP($M10795,'Informations sur les produits'!$A$3:$H$10000,8,FALSE),"0")</f>
        <v>0</v>
      </c>
      <c r="P10795" s="33">
        <f t="shared" si="672"/>
        <v>0</v>
      </c>
      <c r="Q10795" s="31" t="str">
        <f t="shared" si="673"/>
        <v/>
      </c>
      <c r="R10795" s="32" t="str">
        <f>IFERROR(VLOOKUP($D10795,'Informations sur les produits'!$A$3:$B$15000,2,FALSE),"")</f>
        <v/>
      </c>
      <c r="V10795">
        <f t="shared" si="674"/>
        <v>0</v>
      </c>
      <c r="W10795">
        <f t="shared" si="675"/>
        <v>0</v>
      </c>
    </row>
    <row r="10796" spans="5:23" x14ac:dyDescent="0.25">
      <c r="E10796" s="4"/>
      <c r="F10796" s="4"/>
      <c r="G10796" s="33" t="str">
        <f>IFERROR(VLOOKUP($D10796,'Informations sur les produits'!$A$3:$H$10000,8,FALSE),"0")</f>
        <v>0</v>
      </c>
      <c r="K10796" s="4"/>
      <c r="L10796" s="33" t="str">
        <f>IFERROR(VLOOKUP($J10796,'Informations sur les produits'!$A$3:$H$10000,8,FALSE),"0")</f>
        <v>0</v>
      </c>
      <c r="N10796" s="8"/>
      <c r="O10796" s="33" t="str">
        <f>IFERROR(VLOOKUP($M10796,'Informations sur les produits'!$A$3:$H$10000,8,FALSE),"0")</f>
        <v>0</v>
      </c>
      <c r="P10796" s="33">
        <f t="shared" si="672"/>
        <v>0</v>
      </c>
      <c r="Q10796" s="31" t="str">
        <f t="shared" si="673"/>
        <v/>
      </c>
      <c r="R10796" s="32" t="str">
        <f>IFERROR(VLOOKUP($D10796,'Informations sur les produits'!$A$3:$B$15000,2,FALSE),"")</f>
        <v/>
      </c>
      <c r="V10796">
        <f t="shared" si="674"/>
        <v>0</v>
      </c>
      <c r="W10796">
        <f t="shared" si="675"/>
        <v>0</v>
      </c>
    </row>
    <row r="10797" spans="5:23" x14ac:dyDescent="0.25">
      <c r="E10797" s="4"/>
      <c r="F10797" s="4"/>
      <c r="G10797" s="33" t="str">
        <f>IFERROR(VLOOKUP($D10797,'Informations sur les produits'!$A$3:$H$10000,8,FALSE),"0")</f>
        <v>0</v>
      </c>
      <c r="K10797" s="4"/>
      <c r="L10797" s="33" t="str">
        <f>IFERROR(VLOOKUP($J10797,'Informations sur les produits'!$A$3:$H$10000,8,FALSE),"0")</f>
        <v>0</v>
      </c>
      <c r="N10797" s="8"/>
      <c r="O10797" s="33" t="str">
        <f>IFERROR(VLOOKUP($M10797,'Informations sur les produits'!$A$3:$H$10000,8,FALSE),"0")</f>
        <v>0</v>
      </c>
      <c r="P10797" s="33">
        <f t="shared" si="672"/>
        <v>0</v>
      </c>
      <c r="Q10797" s="31" t="str">
        <f t="shared" si="673"/>
        <v/>
      </c>
      <c r="R10797" s="32" t="str">
        <f>IFERROR(VLOOKUP($D10797,'Informations sur les produits'!$A$3:$B$15000,2,FALSE),"")</f>
        <v/>
      </c>
      <c r="V10797">
        <f t="shared" si="674"/>
        <v>0</v>
      </c>
      <c r="W10797">
        <f t="shared" si="675"/>
        <v>0</v>
      </c>
    </row>
    <row r="10798" spans="5:23" x14ac:dyDescent="0.25">
      <c r="E10798" s="4"/>
      <c r="F10798" s="4"/>
      <c r="G10798" s="33" t="str">
        <f>IFERROR(VLOOKUP($D10798,'Informations sur les produits'!$A$3:$H$10000,8,FALSE),"0")</f>
        <v>0</v>
      </c>
      <c r="K10798" s="4"/>
      <c r="L10798" s="33" t="str">
        <f>IFERROR(VLOOKUP($J10798,'Informations sur les produits'!$A$3:$H$10000,8,FALSE),"0")</f>
        <v>0</v>
      </c>
      <c r="N10798" s="8"/>
      <c r="O10798" s="33" t="str">
        <f>IFERROR(VLOOKUP($M10798,'Informations sur les produits'!$A$3:$H$10000,8,FALSE),"0")</f>
        <v>0</v>
      </c>
      <c r="P10798" s="33">
        <f t="shared" si="672"/>
        <v>0</v>
      </c>
      <c r="Q10798" s="31" t="str">
        <f t="shared" si="673"/>
        <v/>
      </c>
      <c r="R10798" s="32" t="str">
        <f>IFERROR(VLOOKUP($D10798,'Informations sur les produits'!$A$3:$B$15000,2,FALSE),"")</f>
        <v/>
      </c>
      <c r="V10798">
        <f t="shared" si="674"/>
        <v>0</v>
      </c>
      <c r="W10798">
        <f t="shared" si="675"/>
        <v>0</v>
      </c>
    </row>
    <row r="10799" spans="5:23" x14ac:dyDescent="0.25">
      <c r="E10799" s="4"/>
      <c r="F10799" s="4"/>
      <c r="G10799" s="33" t="str">
        <f>IFERROR(VLOOKUP($D10799,'Informations sur les produits'!$A$3:$H$10000,8,FALSE),"0")</f>
        <v>0</v>
      </c>
      <c r="K10799" s="4"/>
      <c r="L10799" s="33" t="str">
        <f>IFERROR(VLOOKUP($J10799,'Informations sur les produits'!$A$3:$H$10000,8,FALSE),"0")</f>
        <v>0</v>
      </c>
      <c r="N10799" s="8"/>
      <c r="O10799" s="33" t="str">
        <f>IFERROR(VLOOKUP($M10799,'Informations sur les produits'!$A$3:$H$10000,8,FALSE),"0")</f>
        <v>0</v>
      </c>
      <c r="P10799" s="33">
        <f t="shared" si="672"/>
        <v>0</v>
      </c>
      <c r="Q10799" s="31" t="str">
        <f t="shared" si="673"/>
        <v/>
      </c>
      <c r="R10799" s="32" t="str">
        <f>IFERROR(VLOOKUP($D10799,'Informations sur les produits'!$A$3:$B$15000,2,FALSE),"")</f>
        <v/>
      </c>
      <c r="V10799">
        <f t="shared" si="674"/>
        <v>0</v>
      </c>
      <c r="W10799">
        <f t="shared" si="675"/>
        <v>0</v>
      </c>
    </row>
    <row r="10800" spans="5:23" x14ac:dyDescent="0.25">
      <c r="E10800" s="4"/>
      <c r="F10800" s="4"/>
      <c r="G10800" s="33" t="str">
        <f>IFERROR(VLOOKUP($D10800,'Informations sur les produits'!$A$3:$H$10000,8,FALSE),"0")</f>
        <v>0</v>
      </c>
      <c r="K10800" s="4"/>
      <c r="L10800" s="33" t="str">
        <f>IFERROR(VLOOKUP($J10800,'Informations sur les produits'!$A$3:$H$10000,8,FALSE),"0")</f>
        <v>0</v>
      </c>
      <c r="N10800" s="8"/>
      <c r="O10800" s="33" t="str">
        <f>IFERROR(VLOOKUP($M10800,'Informations sur les produits'!$A$3:$H$10000,8,FALSE),"0")</f>
        <v>0</v>
      </c>
      <c r="P10800" s="33">
        <f t="shared" si="672"/>
        <v>0</v>
      </c>
      <c r="Q10800" s="31" t="str">
        <f t="shared" si="673"/>
        <v/>
      </c>
      <c r="R10800" s="32" t="str">
        <f>IFERROR(VLOOKUP($D10800,'Informations sur les produits'!$A$3:$B$15000,2,FALSE),"")</f>
        <v/>
      </c>
      <c r="V10800">
        <f t="shared" si="674"/>
        <v>0</v>
      </c>
      <c r="W10800">
        <f t="shared" si="675"/>
        <v>0</v>
      </c>
    </row>
    <row r="10801" spans="5:23" x14ac:dyDescent="0.25">
      <c r="E10801" s="4"/>
      <c r="F10801" s="4"/>
      <c r="G10801" s="33" t="str">
        <f>IFERROR(VLOOKUP($D10801,'Informations sur les produits'!$A$3:$H$10000,8,FALSE),"0")</f>
        <v>0</v>
      </c>
      <c r="K10801" s="4"/>
      <c r="L10801" s="33" t="str">
        <f>IFERROR(VLOOKUP($J10801,'Informations sur les produits'!$A$3:$H$10000,8,FALSE),"0")</f>
        <v>0</v>
      </c>
      <c r="N10801" s="8"/>
      <c r="O10801" s="33" t="str">
        <f>IFERROR(VLOOKUP($M10801,'Informations sur les produits'!$A$3:$H$10000,8,FALSE),"0")</f>
        <v>0</v>
      </c>
      <c r="P10801" s="33">
        <f t="shared" si="672"/>
        <v>0</v>
      </c>
      <c r="Q10801" s="31" t="str">
        <f t="shared" si="673"/>
        <v/>
      </c>
      <c r="R10801" s="32" t="str">
        <f>IFERROR(VLOOKUP($D10801,'Informations sur les produits'!$A$3:$B$15000,2,FALSE),"")</f>
        <v/>
      </c>
      <c r="V10801">
        <f t="shared" si="674"/>
        <v>0</v>
      </c>
      <c r="W10801">
        <f t="shared" si="675"/>
        <v>0</v>
      </c>
    </row>
    <row r="10802" spans="5:23" x14ac:dyDescent="0.25">
      <c r="E10802" s="4"/>
      <c r="F10802" s="4"/>
      <c r="G10802" s="33" t="str">
        <f>IFERROR(VLOOKUP($D10802,'Informations sur les produits'!$A$3:$H$10000,8,FALSE),"0")</f>
        <v>0</v>
      </c>
      <c r="K10802" s="4"/>
      <c r="L10802" s="33" t="str">
        <f>IFERROR(VLOOKUP($J10802,'Informations sur les produits'!$A$3:$H$10000,8,FALSE),"0")</f>
        <v>0</v>
      </c>
      <c r="N10802" s="8"/>
      <c r="O10802" s="33" t="str">
        <f>IFERROR(VLOOKUP($M10802,'Informations sur les produits'!$A$3:$H$10000,8,FALSE),"0")</f>
        <v>0</v>
      </c>
      <c r="P10802" s="33">
        <f t="shared" si="672"/>
        <v>0</v>
      </c>
      <c r="Q10802" s="31" t="str">
        <f t="shared" si="673"/>
        <v/>
      </c>
      <c r="R10802" s="32" t="str">
        <f>IFERROR(VLOOKUP($D10802,'Informations sur les produits'!$A$3:$B$15000,2,FALSE),"")</f>
        <v/>
      </c>
      <c r="V10802">
        <f t="shared" si="674"/>
        <v>0</v>
      </c>
      <c r="W10802">
        <f t="shared" si="675"/>
        <v>0</v>
      </c>
    </row>
    <row r="10803" spans="5:23" x14ac:dyDescent="0.25">
      <c r="E10803" s="4"/>
      <c r="F10803" s="4"/>
      <c r="G10803" s="33" t="str">
        <f>IFERROR(VLOOKUP($D10803,'Informations sur les produits'!$A$3:$H$10000,8,FALSE),"0")</f>
        <v>0</v>
      </c>
      <c r="K10803" s="4"/>
      <c r="L10803" s="33" t="str">
        <f>IFERROR(VLOOKUP($J10803,'Informations sur les produits'!$A$3:$H$10000,8,FALSE),"0")</f>
        <v>0</v>
      </c>
      <c r="N10803" s="8"/>
      <c r="O10803" s="33" t="str">
        <f>IFERROR(VLOOKUP($M10803,'Informations sur les produits'!$A$3:$H$10000,8,FALSE),"0")</f>
        <v>0</v>
      </c>
      <c r="P10803" s="33">
        <f t="shared" si="672"/>
        <v>0</v>
      </c>
      <c r="Q10803" s="31" t="str">
        <f t="shared" si="673"/>
        <v/>
      </c>
      <c r="R10803" s="32" t="str">
        <f>IFERROR(VLOOKUP($D10803,'Informations sur les produits'!$A$3:$B$15000,2,FALSE),"")</f>
        <v/>
      </c>
      <c r="V10803">
        <f t="shared" si="674"/>
        <v>0</v>
      </c>
      <c r="W10803">
        <f t="shared" si="675"/>
        <v>0</v>
      </c>
    </row>
    <row r="10804" spans="5:23" x14ac:dyDescent="0.25">
      <c r="E10804" s="4"/>
      <c r="F10804" s="4"/>
      <c r="G10804" s="33" t="str">
        <f>IFERROR(VLOOKUP($D10804,'Informations sur les produits'!$A$3:$H$10000,8,FALSE),"0")</f>
        <v>0</v>
      </c>
      <c r="K10804" s="4"/>
      <c r="L10804" s="33" t="str">
        <f>IFERROR(VLOOKUP($J10804,'Informations sur les produits'!$A$3:$H$10000,8,FALSE),"0")</f>
        <v>0</v>
      </c>
      <c r="N10804" s="8"/>
      <c r="O10804" s="33" t="str">
        <f>IFERROR(VLOOKUP($M10804,'Informations sur les produits'!$A$3:$H$10000,8,FALSE),"0")</f>
        <v>0</v>
      </c>
      <c r="P10804" s="33">
        <f t="shared" si="672"/>
        <v>0</v>
      </c>
      <c r="Q10804" s="31" t="str">
        <f t="shared" si="673"/>
        <v/>
      </c>
      <c r="R10804" s="32" t="str">
        <f>IFERROR(VLOOKUP($D10804,'Informations sur les produits'!$A$3:$B$15000,2,FALSE),"")</f>
        <v/>
      </c>
      <c r="V10804">
        <f t="shared" si="674"/>
        <v>0</v>
      </c>
      <c r="W10804">
        <f t="shared" si="675"/>
        <v>0</v>
      </c>
    </row>
    <row r="10805" spans="5:23" x14ac:dyDescent="0.25">
      <c r="E10805" s="4"/>
      <c r="F10805" s="4"/>
      <c r="G10805" s="33" t="str">
        <f>IFERROR(VLOOKUP($D10805,'Informations sur les produits'!$A$3:$H$10000,8,FALSE),"0")</f>
        <v>0</v>
      </c>
      <c r="K10805" s="4"/>
      <c r="L10805" s="33" t="str">
        <f>IFERROR(VLOOKUP($J10805,'Informations sur les produits'!$A$3:$H$10000,8,FALSE),"0")</f>
        <v>0</v>
      </c>
      <c r="N10805" s="8"/>
      <c r="O10805" s="33" t="str">
        <f>IFERROR(VLOOKUP($M10805,'Informations sur les produits'!$A$3:$H$10000,8,FALSE),"0")</f>
        <v>0</v>
      </c>
      <c r="P10805" s="33">
        <f t="shared" si="672"/>
        <v>0</v>
      </c>
      <c r="Q10805" s="31" t="str">
        <f t="shared" si="673"/>
        <v/>
      </c>
      <c r="R10805" s="32" t="str">
        <f>IFERROR(VLOOKUP($D10805,'Informations sur les produits'!$A$3:$B$15000,2,FALSE),"")</f>
        <v/>
      </c>
      <c r="V10805">
        <f t="shared" si="674"/>
        <v>0</v>
      </c>
      <c r="W10805">
        <f t="shared" si="675"/>
        <v>0</v>
      </c>
    </row>
    <row r="10806" spans="5:23" x14ac:dyDescent="0.25">
      <c r="E10806" s="4"/>
      <c r="F10806" s="4"/>
      <c r="G10806" s="33" t="str">
        <f>IFERROR(VLOOKUP($D10806,'Informations sur les produits'!$A$3:$H$10000,8,FALSE),"0")</f>
        <v>0</v>
      </c>
      <c r="K10806" s="4"/>
      <c r="L10806" s="33" t="str">
        <f>IFERROR(VLOOKUP($J10806,'Informations sur les produits'!$A$3:$H$10000,8,FALSE),"0")</f>
        <v>0</v>
      </c>
      <c r="N10806" s="8"/>
      <c r="O10806" s="33" t="str">
        <f>IFERROR(VLOOKUP($M10806,'Informations sur les produits'!$A$3:$H$10000,8,FALSE),"0")</f>
        <v>0</v>
      </c>
      <c r="P10806" s="33">
        <f t="shared" si="672"/>
        <v>0</v>
      </c>
      <c r="Q10806" s="31" t="str">
        <f t="shared" si="673"/>
        <v/>
      </c>
      <c r="R10806" s="32" t="str">
        <f>IFERROR(VLOOKUP($D10806,'Informations sur les produits'!$A$3:$B$15000,2,FALSE),"")</f>
        <v/>
      </c>
      <c r="V10806">
        <f t="shared" si="674"/>
        <v>0</v>
      </c>
      <c r="W10806">
        <f t="shared" si="675"/>
        <v>0</v>
      </c>
    </row>
    <row r="10807" spans="5:23" x14ac:dyDescent="0.25">
      <c r="E10807" s="4"/>
      <c r="F10807" s="4"/>
      <c r="G10807" s="33" t="str">
        <f>IFERROR(VLOOKUP($D10807,'Informations sur les produits'!$A$3:$H$10000,8,FALSE),"0")</f>
        <v>0</v>
      </c>
      <c r="K10807" s="4"/>
      <c r="L10807" s="33" t="str">
        <f>IFERROR(VLOOKUP($J10807,'Informations sur les produits'!$A$3:$H$10000,8,FALSE),"0")</f>
        <v>0</v>
      </c>
      <c r="N10807" s="8"/>
      <c r="O10807" s="33" t="str">
        <f>IFERROR(VLOOKUP($M10807,'Informations sur les produits'!$A$3:$H$10000,8,FALSE),"0")</f>
        <v>0</v>
      </c>
      <c r="P10807" s="33">
        <f t="shared" si="672"/>
        <v>0</v>
      </c>
      <c r="Q10807" s="31" t="str">
        <f t="shared" si="673"/>
        <v/>
      </c>
      <c r="R10807" s="32" t="str">
        <f>IFERROR(VLOOKUP($D10807,'Informations sur les produits'!$A$3:$B$15000,2,FALSE),"")</f>
        <v/>
      </c>
      <c r="V10807">
        <f t="shared" si="674"/>
        <v>0</v>
      </c>
      <c r="W10807">
        <f t="shared" si="675"/>
        <v>0</v>
      </c>
    </row>
    <row r="10808" spans="5:23" x14ac:dyDescent="0.25">
      <c r="E10808" s="4"/>
      <c r="F10808" s="4"/>
      <c r="G10808" s="33" t="str">
        <f>IFERROR(VLOOKUP($D10808,'Informations sur les produits'!$A$3:$H$10000,8,FALSE),"0")</f>
        <v>0</v>
      </c>
      <c r="K10808" s="4"/>
      <c r="L10808" s="33" t="str">
        <f>IFERROR(VLOOKUP($J10808,'Informations sur les produits'!$A$3:$H$10000,8,FALSE),"0")</f>
        <v>0</v>
      </c>
      <c r="N10808" s="8"/>
      <c r="O10808" s="33" t="str">
        <f>IFERROR(VLOOKUP($M10808,'Informations sur les produits'!$A$3:$H$10000,8,FALSE),"0")</f>
        <v>0</v>
      </c>
      <c r="P10808" s="33">
        <f t="shared" si="672"/>
        <v>0</v>
      </c>
      <c r="Q10808" s="31" t="str">
        <f t="shared" si="673"/>
        <v/>
      </c>
      <c r="R10808" s="32" t="str">
        <f>IFERROR(VLOOKUP($D10808,'Informations sur les produits'!$A$3:$B$15000,2,FALSE),"")</f>
        <v/>
      </c>
      <c r="V10808">
        <f t="shared" si="674"/>
        <v>0</v>
      </c>
      <c r="W10808">
        <f t="shared" si="675"/>
        <v>0</v>
      </c>
    </row>
    <row r="10809" spans="5:23" x14ac:dyDescent="0.25">
      <c r="E10809" s="4"/>
      <c r="F10809" s="4"/>
      <c r="G10809" s="33" t="str">
        <f>IFERROR(VLOOKUP($D10809,'Informations sur les produits'!$A$3:$H$10000,8,FALSE),"0")</f>
        <v>0</v>
      </c>
      <c r="K10809" s="4"/>
      <c r="L10809" s="33" t="str">
        <f>IFERROR(VLOOKUP($J10809,'Informations sur les produits'!$A$3:$H$10000,8,FALSE),"0")</f>
        <v>0</v>
      </c>
      <c r="N10809" s="8"/>
      <c r="O10809" s="33" t="str">
        <f>IFERROR(VLOOKUP($M10809,'Informations sur les produits'!$A$3:$H$10000,8,FALSE),"0")</f>
        <v>0</v>
      </c>
      <c r="P10809" s="33">
        <f t="shared" si="672"/>
        <v>0</v>
      </c>
      <c r="Q10809" s="31" t="str">
        <f t="shared" si="673"/>
        <v/>
      </c>
      <c r="R10809" s="32" t="str">
        <f>IFERROR(VLOOKUP($D10809,'Informations sur les produits'!$A$3:$B$15000,2,FALSE),"")</f>
        <v/>
      </c>
      <c r="V10809">
        <f t="shared" si="674"/>
        <v>0</v>
      </c>
      <c r="W10809">
        <f t="shared" si="675"/>
        <v>0</v>
      </c>
    </row>
    <row r="10810" spans="5:23" x14ac:dyDescent="0.25">
      <c r="E10810" s="4"/>
      <c r="F10810" s="4"/>
      <c r="G10810" s="33" t="str">
        <f>IFERROR(VLOOKUP($D10810,'Informations sur les produits'!$A$3:$H$10000,8,FALSE),"0")</f>
        <v>0</v>
      </c>
      <c r="K10810" s="4"/>
      <c r="L10810" s="33" t="str">
        <f>IFERROR(VLOOKUP($J10810,'Informations sur les produits'!$A$3:$H$10000,8,FALSE),"0")</f>
        <v>0</v>
      </c>
      <c r="N10810" s="8"/>
      <c r="O10810" s="33" t="str">
        <f>IFERROR(VLOOKUP($M10810,'Informations sur les produits'!$A$3:$H$10000,8,FALSE),"0")</f>
        <v>0</v>
      </c>
      <c r="P10810" s="33">
        <f t="shared" si="672"/>
        <v>0</v>
      </c>
      <c r="Q10810" s="31" t="str">
        <f t="shared" si="673"/>
        <v/>
      </c>
      <c r="R10810" s="32" t="str">
        <f>IFERROR(VLOOKUP($D10810,'Informations sur les produits'!$A$3:$B$15000,2,FALSE),"")</f>
        <v/>
      </c>
      <c r="V10810">
        <f t="shared" si="674"/>
        <v>0</v>
      </c>
      <c r="W10810">
        <f t="shared" si="675"/>
        <v>0</v>
      </c>
    </row>
    <row r="10811" spans="5:23" x14ac:dyDescent="0.25">
      <c r="E10811" s="4"/>
      <c r="F10811" s="4"/>
      <c r="G10811" s="33" t="str">
        <f>IFERROR(VLOOKUP($D10811,'Informations sur les produits'!$A$3:$H$10000,8,FALSE),"0")</f>
        <v>0</v>
      </c>
      <c r="K10811" s="4"/>
      <c r="L10811" s="33" t="str">
        <f>IFERROR(VLOOKUP($J10811,'Informations sur les produits'!$A$3:$H$10000,8,FALSE),"0")</f>
        <v>0</v>
      </c>
      <c r="N10811" s="8"/>
      <c r="O10811" s="33" t="str">
        <f>IFERROR(VLOOKUP($M10811,'Informations sur les produits'!$A$3:$H$10000,8,FALSE),"0")</f>
        <v>0</v>
      </c>
      <c r="P10811" s="33">
        <f t="shared" si="672"/>
        <v>0</v>
      </c>
      <c r="Q10811" s="31" t="str">
        <f t="shared" si="673"/>
        <v/>
      </c>
      <c r="R10811" s="32" t="str">
        <f>IFERROR(VLOOKUP($D10811,'Informations sur les produits'!$A$3:$B$15000,2,FALSE),"")</f>
        <v/>
      </c>
      <c r="V10811">
        <f t="shared" si="674"/>
        <v>0</v>
      </c>
      <c r="W10811">
        <f t="shared" si="675"/>
        <v>0</v>
      </c>
    </row>
    <row r="10812" spans="5:23" x14ac:dyDescent="0.25">
      <c r="E10812" s="4"/>
      <c r="F10812" s="4"/>
      <c r="G10812" s="33" t="str">
        <f>IFERROR(VLOOKUP($D10812,'Informations sur les produits'!$A$3:$H$10000,8,FALSE),"0")</f>
        <v>0</v>
      </c>
      <c r="K10812" s="4"/>
      <c r="L10812" s="33" t="str">
        <f>IFERROR(VLOOKUP($J10812,'Informations sur les produits'!$A$3:$H$10000,8,FALSE),"0")</f>
        <v>0</v>
      </c>
      <c r="N10812" s="8"/>
      <c r="O10812" s="33" t="str">
        <f>IFERROR(VLOOKUP($M10812,'Informations sur les produits'!$A$3:$H$10000,8,FALSE),"0")</f>
        <v>0</v>
      </c>
      <c r="P10812" s="33">
        <f t="shared" si="672"/>
        <v>0</v>
      </c>
      <c r="Q10812" s="31" t="str">
        <f t="shared" si="673"/>
        <v/>
      </c>
      <c r="R10812" s="32" t="str">
        <f>IFERROR(VLOOKUP($D10812,'Informations sur les produits'!$A$3:$B$15000,2,FALSE),"")</f>
        <v/>
      </c>
      <c r="V10812">
        <f t="shared" si="674"/>
        <v>0</v>
      </c>
      <c r="W10812">
        <f t="shared" si="675"/>
        <v>0</v>
      </c>
    </row>
    <row r="10813" spans="5:23" x14ac:dyDescent="0.25">
      <c r="E10813" s="4"/>
      <c r="F10813" s="4"/>
      <c r="G10813" s="33" t="str">
        <f>IFERROR(VLOOKUP($D10813,'Informations sur les produits'!$A$3:$H$10000,8,FALSE),"0")</f>
        <v>0</v>
      </c>
      <c r="K10813" s="4"/>
      <c r="L10813" s="33" t="str">
        <f>IFERROR(VLOOKUP($J10813,'Informations sur les produits'!$A$3:$H$10000,8,FALSE),"0")</f>
        <v>0</v>
      </c>
      <c r="N10813" s="8"/>
      <c r="O10813" s="33" t="str">
        <f>IFERROR(VLOOKUP($M10813,'Informations sur les produits'!$A$3:$H$10000,8,FALSE),"0")</f>
        <v>0</v>
      </c>
      <c r="P10813" s="33">
        <f t="shared" si="672"/>
        <v>0</v>
      </c>
      <c r="Q10813" s="31" t="str">
        <f t="shared" si="673"/>
        <v/>
      </c>
      <c r="R10813" s="32" t="str">
        <f>IFERROR(VLOOKUP($D10813,'Informations sur les produits'!$A$3:$B$15000,2,FALSE),"")</f>
        <v/>
      </c>
      <c r="V10813">
        <f t="shared" si="674"/>
        <v>0</v>
      </c>
      <c r="W10813">
        <f t="shared" si="675"/>
        <v>0</v>
      </c>
    </row>
    <row r="10814" spans="5:23" x14ac:dyDescent="0.25">
      <c r="E10814" s="4"/>
      <c r="F10814" s="4"/>
      <c r="G10814" s="33" t="str">
        <f>IFERROR(VLOOKUP($D10814,'Informations sur les produits'!$A$3:$H$10000,8,FALSE),"0")</f>
        <v>0</v>
      </c>
      <c r="K10814" s="4"/>
      <c r="L10814" s="33" t="str">
        <f>IFERROR(VLOOKUP($J10814,'Informations sur les produits'!$A$3:$H$10000,8,FALSE),"0")</f>
        <v>0</v>
      </c>
      <c r="N10814" s="8"/>
      <c r="O10814" s="33" t="str">
        <f>IFERROR(VLOOKUP($M10814,'Informations sur les produits'!$A$3:$H$10000,8,FALSE),"0")</f>
        <v>0</v>
      </c>
      <c r="P10814" s="33">
        <f t="shared" si="672"/>
        <v>0</v>
      </c>
      <c r="Q10814" s="31" t="str">
        <f t="shared" si="673"/>
        <v/>
      </c>
      <c r="R10814" s="32" t="str">
        <f>IFERROR(VLOOKUP($D10814,'Informations sur les produits'!$A$3:$B$15000,2,FALSE),"")</f>
        <v/>
      </c>
      <c r="V10814">
        <f t="shared" si="674"/>
        <v>0</v>
      </c>
      <c r="W10814">
        <f t="shared" si="675"/>
        <v>0</v>
      </c>
    </row>
    <row r="10815" spans="5:23" x14ac:dyDescent="0.25">
      <c r="E10815" s="4"/>
      <c r="F10815" s="4"/>
      <c r="G10815" s="33" t="str">
        <f>IFERROR(VLOOKUP($D10815,'Informations sur les produits'!$A$3:$H$10000,8,FALSE),"0")</f>
        <v>0</v>
      </c>
      <c r="K10815" s="4"/>
      <c r="L10815" s="33" t="str">
        <f>IFERROR(VLOOKUP($J10815,'Informations sur les produits'!$A$3:$H$10000,8,FALSE),"0")</f>
        <v>0</v>
      </c>
      <c r="N10815" s="8"/>
      <c r="O10815" s="33" t="str">
        <f>IFERROR(VLOOKUP($M10815,'Informations sur les produits'!$A$3:$H$10000,8,FALSE),"0")</f>
        <v>0</v>
      </c>
      <c r="P10815" s="33">
        <f t="shared" si="672"/>
        <v>0</v>
      </c>
      <c r="Q10815" s="31" t="str">
        <f t="shared" si="673"/>
        <v/>
      </c>
      <c r="R10815" s="32" t="str">
        <f>IFERROR(VLOOKUP($D10815,'Informations sur les produits'!$A$3:$B$15000,2,FALSE),"")</f>
        <v/>
      </c>
      <c r="V10815">
        <f t="shared" si="674"/>
        <v>0</v>
      </c>
      <c r="W10815">
        <f t="shared" si="675"/>
        <v>0</v>
      </c>
    </row>
    <row r="10816" spans="5:23" x14ac:dyDescent="0.25">
      <c r="E10816" s="4"/>
      <c r="F10816" s="4"/>
      <c r="G10816" s="33" t="str">
        <f>IFERROR(VLOOKUP($D10816,'Informations sur les produits'!$A$3:$H$10000,8,FALSE),"0")</f>
        <v>0</v>
      </c>
      <c r="K10816" s="4"/>
      <c r="L10816" s="33" t="str">
        <f>IFERROR(VLOOKUP($J10816,'Informations sur les produits'!$A$3:$H$10000,8,FALSE),"0")</f>
        <v>0</v>
      </c>
      <c r="N10816" s="8"/>
      <c r="O10816" s="33" t="str">
        <f>IFERROR(VLOOKUP($M10816,'Informations sur les produits'!$A$3:$H$10000,8,FALSE),"0")</f>
        <v>0</v>
      </c>
      <c r="P10816" s="33">
        <f t="shared" si="672"/>
        <v>0</v>
      </c>
      <c r="Q10816" s="31" t="str">
        <f t="shared" si="673"/>
        <v/>
      </c>
      <c r="R10816" s="32" t="str">
        <f>IFERROR(VLOOKUP($D10816,'Informations sur les produits'!$A$3:$B$15000,2,FALSE),"")</f>
        <v/>
      </c>
      <c r="V10816">
        <f t="shared" si="674"/>
        <v>0</v>
      </c>
      <c r="W10816">
        <f t="shared" si="675"/>
        <v>0</v>
      </c>
    </row>
    <row r="10817" spans="5:23" x14ac:dyDescent="0.25">
      <c r="E10817" s="4"/>
      <c r="F10817" s="4"/>
      <c r="G10817" s="33" t="str">
        <f>IFERROR(VLOOKUP($D10817,'Informations sur les produits'!$A$3:$H$10000,8,FALSE),"0")</f>
        <v>0</v>
      </c>
      <c r="K10817" s="4"/>
      <c r="L10817" s="33" t="str">
        <f>IFERROR(VLOOKUP($J10817,'Informations sur les produits'!$A$3:$H$10000,8,FALSE),"0")</f>
        <v>0</v>
      </c>
      <c r="N10817" s="8"/>
      <c r="O10817" s="33" t="str">
        <f>IFERROR(VLOOKUP($M10817,'Informations sur les produits'!$A$3:$H$10000,8,FALSE),"0")</f>
        <v>0</v>
      </c>
      <c r="P10817" s="33">
        <f t="shared" si="672"/>
        <v>0</v>
      </c>
      <c r="Q10817" s="31" t="str">
        <f t="shared" si="673"/>
        <v/>
      </c>
      <c r="R10817" s="32" t="str">
        <f>IFERROR(VLOOKUP($D10817,'Informations sur les produits'!$A$3:$B$15000,2,FALSE),"")</f>
        <v/>
      </c>
      <c r="V10817">
        <f t="shared" si="674"/>
        <v>0</v>
      </c>
      <c r="W10817">
        <f t="shared" si="675"/>
        <v>0</v>
      </c>
    </row>
    <row r="10818" spans="5:23" x14ac:dyDescent="0.25">
      <c r="E10818" s="4"/>
      <c r="F10818" s="4"/>
      <c r="G10818" s="33" t="str">
        <f>IFERROR(VLOOKUP($D10818,'Informations sur les produits'!$A$3:$H$10000,8,FALSE),"0")</f>
        <v>0</v>
      </c>
      <c r="K10818" s="4"/>
      <c r="L10818" s="33" t="str">
        <f>IFERROR(VLOOKUP($J10818,'Informations sur les produits'!$A$3:$H$10000,8,FALSE),"0")</f>
        <v>0</v>
      </c>
      <c r="N10818" s="8"/>
      <c r="O10818" s="33" t="str">
        <f>IFERROR(VLOOKUP($M10818,'Informations sur les produits'!$A$3:$H$10000,8,FALSE),"0")</f>
        <v>0</v>
      </c>
      <c r="P10818" s="33">
        <f t="shared" si="672"/>
        <v>0</v>
      </c>
      <c r="Q10818" s="31" t="str">
        <f t="shared" si="673"/>
        <v/>
      </c>
      <c r="R10818" s="32" t="str">
        <f>IFERROR(VLOOKUP($D10818,'Informations sur les produits'!$A$3:$B$15000,2,FALSE),"")</f>
        <v/>
      </c>
      <c r="V10818">
        <f t="shared" si="674"/>
        <v>0</v>
      </c>
      <c r="W10818">
        <f t="shared" si="675"/>
        <v>0</v>
      </c>
    </row>
    <row r="10819" spans="5:23" x14ac:dyDescent="0.25">
      <c r="E10819" s="4"/>
      <c r="F10819" s="4"/>
      <c r="G10819" s="33" t="str">
        <f>IFERROR(VLOOKUP($D10819,'Informations sur les produits'!$A$3:$H$10000,8,FALSE),"0")</f>
        <v>0</v>
      </c>
      <c r="K10819" s="4"/>
      <c r="L10819" s="33" t="str">
        <f>IFERROR(VLOOKUP($J10819,'Informations sur les produits'!$A$3:$H$10000,8,FALSE),"0")</f>
        <v>0</v>
      </c>
      <c r="N10819" s="8"/>
      <c r="O10819" s="33" t="str">
        <f>IFERROR(VLOOKUP($M10819,'Informations sur les produits'!$A$3:$H$10000,8,FALSE),"0")</f>
        <v>0</v>
      </c>
      <c r="P10819" s="33">
        <f t="shared" si="672"/>
        <v>0</v>
      </c>
      <c r="Q10819" s="31" t="str">
        <f t="shared" si="673"/>
        <v/>
      </c>
      <c r="R10819" s="32" t="str">
        <f>IFERROR(VLOOKUP($D10819,'Informations sur les produits'!$A$3:$B$15000,2,FALSE),"")</f>
        <v/>
      </c>
      <c r="V10819">
        <f t="shared" si="674"/>
        <v>0</v>
      </c>
      <c r="W10819">
        <f t="shared" si="675"/>
        <v>0</v>
      </c>
    </row>
    <row r="10820" spans="5:23" x14ac:dyDescent="0.25">
      <c r="E10820" s="4"/>
      <c r="F10820" s="4"/>
      <c r="G10820" s="33" t="str">
        <f>IFERROR(VLOOKUP($D10820,'Informations sur les produits'!$A$3:$H$10000,8,FALSE),"0")</f>
        <v>0</v>
      </c>
      <c r="K10820" s="4"/>
      <c r="L10820" s="33" t="str">
        <f>IFERROR(VLOOKUP($J10820,'Informations sur les produits'!$A$3:$H$10000,8,FALSE),"0")</f>
        <v>0</v>
      </c>
      <c r="N10820" s="8"/>
      <c r="O10820" s="33" t="str">
        <f>IFERROR(VLOOKUP($M10820,'Informations sur les produits'!$A$3:$H$10000,8,FALSE),"0")</f>
        <v>0</v>
      </c>
      <c r="P10820" s="33">
        <f t="shared" ref="P10820:P10883" si="676">IFERROR((($E10820-$F10820)*$G10820+$K10820*$L10820+$N10820*$O10820),"")</f>
        <v>0</v>
      </c>
      <c r="Q10820" s="31" t="str">
        <f t="shared" ref="Q10820:Q10883" si="677">IFERROR((((($E10820-$F10820)*$G10820+$K10820*$L10820+$N10820*$O10820)*1000)/(($E10820-$F10820)+$K10820+$N10820)),"")</f>
        <v/>
      </c>
      <c r="R10820" s="32" t="str">
        <f>IFERROR(VLOOKUP($D10820,'Informations sur les produits'!$A$3:$B$15000,2,FALSE),"")</f>
        <v/>
      </c>
      <c r="V10820">
        <f t="shared" ref="V10820:V10883" si="678">IFERROR(P10820*1000,"")</f>
        <v>0</v>
      </c>
      <c r="W10820">
        <f t="shared" ref="W10820:W10883" si="679">IFERROR(($E10820-$F10820)+$K10820+$N10820,"")</f>
        <v>0</v>
      </c>
    </row>
    <row r="10821" spans="5:23" x14ac:dyDescent="0.25">
      <c r="E10821" s="4"/>
      <c r="F10821" s="4"/>
      <c r="G10821" s="33" t="str">
        <f>IFERROR(VLOOKUP($D10821,'Informations sur les produits'!$A$3:$H$10000,8,FALSE),"0")</f>
        <v>0</v>
      </c>
      <c r="K10821" s="4"/>
      <c r="L10821" s="33" t="str">
        <f>IFERROR(VLOOKUP($J10821,'Informations sur les produits'!$A$3:$H$10000,8,FALSE),"0")</f>
        <v>0</v>
      </c>
      <c r="N10821" s="8"/>
      <c r="O10821" s="33" t="str">
        <f>IFERROR(VLOOKUP($M10821,'Informations sur les produits'!$A$3:$H$10000,8,FALSE),"0")</f>
        <v>0</v>
      </c>
      <c r="P10821" s="33">
        <f t="shared" si="676"/>
        <v>0</v>
      </c>
      <c r="Q10821" s="31" t="str">
        <f t="shared" si="677"/>
        <v/>
      </c>
      <c r="R10821" s="32" t="str">
        <f>IFERROR(VLOOKUP($D10821,'Informations sur les produits'!$A$3:$B$15000,2,FALSE),"")</f>
        <v/>
      </c>
      <c r="V10821">
        <f t="shared" si="678"/>
        <v>0</v>
      </c>
      <c r="W10821">
        <f t="shared" si="679"/>
        <v>0</v>
      </c>
    </row>
    <row r="10822" spans="5:23" x14ac:dyDescent="0.25">
      <c r="E10822" s="4"/>
      <c r="F10822" s="4"/>
      <c r="G10822" s="33" t="str">
        <f>IFERROR(VLOOKUP($D10822,'Informations sur les produits'!$A$3:$H$10000,8,FALSE),"0")</f>
        <v>0</v>
      </c>
      <c r="K10822" s="4"/>
      <c r="L10822" s="33" t="str">
        <f>IFERROR(VLOOKUP($J10822,'Informations sur les produits'!$A$3:$H$10000,8,FALSE),"0")</f>
        <v>0</v>
      </c>
      <c r="N10822" s="8"/>
      <c r="O10822" s="33" t="str">
        <f>IFERROR(VLOOKUP($M10822,'Informations sur les produits'!$A$3:$H$10000,8,FALSE),"0")</f>
        <v>0</v>
      </c>
      <c r="P10822" s="33">
        <f t="shared" si="676"/>
        <v>0</v>
      </c>
      <c r="Q10822" s="31" t="str">
        <f t="shared" si="677"/>
        <v/>
      </c>
      <c r="R10822" s="32" t="str">
        <f>IFERROR(VLOOKUP($D10822,'Informations sur les produits'!$A$3:$B$15000,2,FALSE),"")</f>
        <v/>
      </c>
      <c r="V10822">
        <f t="shared" si="678"/>
        <v>0</v>
      </c>
      <c r="W10822">
        <f t="shared" si="679"/>
        <v>0</v>
      </c>
    </row>
    <row r="10823" spans="5:23" x14ac:dyDescent="0.25">
      <c r="E10823" s="4"/>
      <c r="F10823" s="4"/>
      <c r="G10823" s="33" t="str">
        <f>IFERROR(VLOOKUP($D10823,'Informations sur les produits'!$A$3:$H$10000,8,FALSE),"0")</f>
        <v>0</v>
      </c>
      <c r="K10823" s="4"/>
      <c r="L10823" s="33" t="str">
        <f>IFERROR(VLOOKUP($J10823,'Informations sur les produits'!$A$3:$H$10000,8,FALSE),"0")</f>
        <v>0</v>
      </c>
      <c r="N10823" s="8"/>
      <c r="O10823" s="33" t="str">
        <f>IFERROR(VLOOKUP($M10823,'Informations sur les produits'!$A$3:$H$10000,8,FALSE),"0")</f>
        <v>0</v>
      </c>
      <c r="P10823" s="33">
        <f t="shared" si="676"/>
        <v>0</v>
      </c>
      <c r="Q10823" s="31" t="str">
        <f t="shared" si="677"/>
        <v/>
      </c>
      <c r="R10823" s="32" t="str">
        <f>IFERROR(VLOOKUP($D10823,'Informations sur les produits'!$A$3:$B$15000,2,FALSE),"")</f>
        <v/>
      </c>
      <c r="V10823">
        <f t="shared" si="678"/>
        <v>0</v>
      </c>
      <c r="W10823">
        <f t="shared" si="679"/>
        <v>0</v>
      </c>
    </row>
    <row r="10824" spans="5:23" x14ac:dyDescent="0.25">
      <c r="E10824" s="4"/>
      <c r="F10824" s="4"/>
      <c r="G10824" s="33" t="str">
        <f>IFERROR(VLOOKUP($D10824,'Informations sur les produits'!$A$3:$H$10000,8,FALSE),"0")</f>
        <v>0</v>
      </c>
      <c r="K10824" s="4"/>
      <c r="L10824" s="33" t="str">
        <f>IFERROR(VLOOKUP($J10824,'Informations sur les produits'!$A$3:$H$10000,8,FALSE),"0")</f>
        <v>0</v>
      </c>
      <c r="N10824" s="8"/>
      <c r="O10824" s="33" t="str">
        <f>IFERROR(VLOOKUP($M10824,'Informations sur les produits'!$A$3:$H$10000,8,FALSE),"0")</f>
        <v>0</v>
      </c>
      <c r="P10824" s="33">
        <f t="shared" si="676"/>
        <v>0</v>
      </c>
      <c r="Q10824" s="31" t="str">
        <f t="shared" si="677"/>
        <v/>
      </c>
      <c r="R10824" s="32" t="str">
        <f>IFERROR(VLOOKUP($D10824,'Informations sur les produits'!$A$3:$B$15000,2,FALSE),"")</f>
        <v/>
      </c>
      <c r="V10824">
        <f t="shared" si="678"/>
        <v>0</v>
      </c>
      <c r="W10824">
        <f t="shared" si="679"/>
        <v>0</v>
      </c>
    </row>
    <row r="10825" spans="5:23" x14ac:dyDescent="0.25">
      <c r="E10825" s="4"/>
      <c r="F10825" s="4"/>
      <c r="G10825" s="33" t="str">
        <f>IFERROR(VLOOKUP($D10825,'Informations sur les produits'!$A$3:$H$10000,8,FALSE),"0")</f>
        <v>0</v>
      </c>
      <c r="K10825" s="4"/>
      <c r="L10825" s="33" t="str">
        <f>IFERROR(VLOOKUP($J10825,'Informations sur les produits'!$A$3:$H$10000,8,FALSE),"0")</f>
        <v>0</v>
      </c>
      <c r="N10825" s="8"/>
      <c r="O10825" s="33" t="str">
        <f>IFERROR(VLOOKUP($M10825,'Informations sur les produits'!$A$3:$H$10000,8,FALSE),"0")</f>
        <v>0</v>
      </c>
      <c r="P10825" s="33">
        <f t="shared" si="676"/>
        <v>0</v>
      </c>
      <c r="Q10825" s="31" t="str">
        <f t="shared" si="677"/>
        <v/>
      </c>
      <c r="R10825" s="32" t="str">
        <f>IFERROR(VLOOKUP($D10825,'Informations sur les produits'!$A$3:$B$15000,2,FALSE),"")</f>
        <v/>
      </c>
      <c r="V10825">
        <f t="shared" si="678"/>
        <v>0</v>
      </c>
      <c r="W10825">
        <f t="shared" si="679"/>
        <v>0</v>
      </c>
    </row>
    <row r="10826" spans="5:23" x14ac:dyDescent="0.25">
      <c r="E10826" s="4"/>
      <c r="F10826" s="4"/>
      <c r="G10826" s="33" t="str">
        <f>IFERROR(VLOOKUP($D10826,'Informations sur les produits'!$A$3:$H$10000,8,FALSE),"0")</f>
        <v>0</v>
      </c>
      <c r="K10826" s="4"/>
      <c r="L10826" s="33" t="str">
        <f>IFERROR(VLOOKUP($J10826,'Informations sur les produits'!$A$3:$H$10000,8,FALSE),"0")</f>
        <v>0</v>
      </c>
      <c r="N10826" s="8"/>
      <c r="O10826" s="33" t="str">
        <f>IFERROR(VLOOKUP($M10826,'Informations sur les produits'!$A$3:$H$10000,8,FALSE),"0")</f>
        <v>0</v>
      </c>
      <c r="P10826" s="33">
        <f t="shared" si="676"/>
        <v>0</v>
      </c>
      <c r="Q10826" s="31" t="str">
        <f t="shared" si="677"/>
        <v/>
      </c>
      <c r="R10826" s="32" t="str">
        <f>IFERROR(VLOOKUP($D10826,'Informations sur les produits'!$A$3:$B$15000,2,FALSE),"")</f>
        <v/>
      </c>
      <c r="V10826">
        <f t="shared" si="678"/>
        <v>0</v>
      </c>
      <c r="W10826">
        <f t="shared" si="679"/>
        <v>0</v>
      </c>
    </row>
    <row r="10827" spans="5:23" x14ac:dyDescent="0.25">
      <c r="E10827" s="4"/>
      <c r="F10827" s="4"/>
      <c r="G10827" s="33" t="str">
        <f>IFERROR(VLOOKUP($D10827,'Informations sur les produits'!$A$3:$H$10000,8,FALSE),"0")</f>
        <v>0</v>
      </c>
      <c r="K10827" s="4"/>
      <c r="L10827" s="33" t="str">
        <f>IFERROR(VLOOKUP($J10827,'Informations sur les produits'!$A$3:$H$10000,8,FALSE),"0")</f>
        <v>0</v>
      </c>
      <c r="N10827" s="8"/>
      <c r="O10827" s="33" t="str">
        <f>IFERROR(VLOOKUP($M10827,'Informations sur les produits'!$A$3:$H$10000,8,FALSE),"0")</f>
        <v>0</v>
      </c>
      <c r="P10827" s="33">
        <f t="shared" si="676"/>
        <v>0</v>
      </c>
      <c r="Q10827" s="31" t="str">
        <f t="shared" si="677"/>
        <v/>
      </c>
      <c r="R10827" s="32" t="str">
        <f>IFERROR(VLOOKUP($D10827,'Informations sur les produits'!$A$3:$B$15000,2,FALSE),"")</f>
        <v/>
      </c>
      <c r="V10827">
        <f t="shared" si="678"/>
        <v>0</v>
      </c>
      <c r="W10827">
        <f t="shared" si="679"/>
        <v>0</v>
      </c>
    </row>
    <row r="10828" spans="5:23" x14ac:dyDescent="0.25">
      <c r="E10828" s="4"/>
      <c r="F10828" s="4"/>
      <c r="G10828" s="33" t="str">
        <f>IFERROR(VLOOKUP($D10828,'Informations sur les produits'!$A$3:$H$10000,8,FALSE),"0")</f>
        <v>0</v>
      </c>
      <c r="K10828" s="4"/>
      <c r="L10828" s="33" t="str">
        <f>IFERROR(VLOOKUP($J10828,'Informations sur les produits'!$A$3:$H$10000,8,FALSE),"0")</f>
        <v>0</v>
      </c>
      <c r="N10828" s="8"/>
      <c r="O10828" s="33" t="str">
        <f>IFERROR(VLOOKUP($M10828,'Informations sur les produits'!$A$3:$H$10000,8,FALSE),"0")</f>
        <v>0</v>
      </c>
      <c r="P10828" s="33">
        <f t="shared" si="676"/>
        <v>0</v>
      </c>
      <c r="Q10828" s="31" t="str">
        <f t="shared" si="677"/>
        <v/>
      </c>
      <c r="R10828" s="32" t="str">
        <f>IFERROR(VLOOKUP($D10828,'Informations sur les produits'!$A$3:$B$15000,2,FALSE),"")</f>
        <v/>
      </c>
      <c r="V10828">
        <f t="shared" si="678"/>
        <v>0</v>
      </c>
      <c r="W10828">
        <f t="shared" si="679"/>
        <v>0</v>
      </c>
    </row>
    <row r="10829" spans="5:23" x14ac:dyDescent="0.25">
      <c r="E10829" s="4"/>
      <c r="F10829" s="4"/>
      <c r="G10829" s="33" t="str">
        <f>IFERROR(VLOOKUP($D10829,'Informations sur les produits'!$A$3:$H$10000,8,FALSE),"0")</f>
        <v>0</v>
      </c>
      <c r="K10829" s="4"/>
      <c r="L10829" s="33" t="str">
        <f>IFERROR(VLOOKUP($J10829,'Informations sur les produits'!$A$3:$H$10000,8,FALSE),"0")</f>
        <v>0</v>
      </c>
      <c r="N10829" s="8"/>
      <c r="O10829" s="33" t="str">
        <f>IFERROR(VLOOKUP($M10829,'Informations sur les produits'!$A$3:$H$10000,8,FALSE),"0")</f>
        <v>0</v>
      </c>
      <c r="P10829" s="33">
        <f t="shared" si="676"/>
        <v>0</v>
      </c>
      <c r="Q10829" s="31" t="str">
        <f t="shared" si="677"/>
        <v/>
      </c>
      <c r="R10829" s="32" t="str">
        <f>IFERROR(VLOOKUP($D10829,'Informations sur les produits'!$A$3:$B$15000,2,FALSE),"")</f>
        <v/>
      </c>
      <c r="V10829">
        <f t="shared" si="678"/>
        <v>0</v>
      </c>
      <c r="W10829">
        <f t="shared" si="679"/>
        <v>0</v>
      </c>
    </row>
    <row r="10830" spans="5:23" x14ac:dyDescent="0.25">
      <c r="E10830" s="4"/>
      <c r="F10830" s="4"/>
      <c r="G10830" s="33" t="str">
        <f>IFERROR(VLOOKUP($D10830,'Informations sur les produits'!$A$3:$H$10000,8,FALSE),"0")</f>
        <v>0</v>
      </c>
      <c r="K10830" s="4"/>
      <c r="L10830" s="33" t="str">
        <f>IFERROR(VLOOKUP($J10830,'Informations sur les produits'!$A$3:$H$10000,8,FALSE),"0")</f>
        <v>0</v>
      </c>
      <c r="N10830" s="8"/>
      <c r="O10830" s="33" t="str">
        <f>IFERROR(VLOOKUP($M10830,'Informations sur les produits'!$A$3:$H$10000,8,FALSE),"0")</f>
        <v>0</v>
      </c>
      <c r="P10830" s="33">
        <f t="shared" si="676"/>
        <v>0</v>
      </c>
      <c r="Q10830" s="31" t="str">
        <f t="shared" si="677"/>
        <v/>
      </c>
      <c r="R10830" s="32" t="str">
        <f>IFERROR(VLOOKUP($D10830,'Informations sur les produits'!$A$3:$B$15000,2,FALSE),"")</f>
        <v/>
      </c>
      <c r="V10830">
        <f t="shared" si="678"/>
        <v>0</v>
      </c>
      <c r="W10830">
        <f t="shared" si="679"/>
        <v>0</v>
      </c>
    </row>
    <row r="10831" spans="5:23" x14ac:dyDescent="0.25">
      <c r="E10831" s="4"/>
      <c r="F10831" s="4"/>
      <c r="G10831" s="33" t="str">
        <f>IFERROR(VLOOKUP($D10831,'Informations sur les produits'!$A$3:$H$10000,8,FALSE),"0")</f>
        <v>0</v>
      </c>
      <c r="K10831" s="4"/>
      <c r="L10831" s="33" t="str">
        <f>IFERROR(VLOOKUP($J10831,'Informations sur les produits'!$A$3:$H$10000,8,FALSE),"0")</f>
        <v>0</v>
      </c>
      <c r="N10831" s="8"/>
      <c r="O10831" s="33" t="str">
        <f>IFERROR(VLOOKUP($M10831,'Informations sur les produits'!$A$3:$H$10000,8,FALSE),"0")</f>
        <v>0</v>
      </c>
      <c r="P10831" s="33">
        <f t="shared" si="676"/>
        <v>0</v>
      </c>
      <c r="Q10831" s="31" t="str">
        <f t="shared" si="677"/>
        <v/>
      </c>
      <c r="R10831" s="32" t="str">
        <f>IFERROR(VLOOKUP($D10831,'Informations sur les produits'!$A$3:$B$15000,2,FALSE),"")</f>
        <v/>
      </c>
      <c r="V10831">
        <f t="shared" si="678"/>
        <v>0</v>
      </c>
      <c r="W10831">
        <f t="shared" si="679"/>
        <v>0</v>
      </c>
    </row>
    <row r="10832" spans="5:23" x14ac:dyDescent="0.25">
      <c r="E10832" s="4"/>
      <c r="F10832" s="4"/>
      <c r="G10832" s="33" t="str">
        <f>IFERROR(VLOOKUP($D10832,'Informations sur les produits'!$A$3:$H$10000,8,FALSE),"0")</f>
        <v>0</v>
      </c>
      <c r="K10832" s="4"/>
      <c r="L10832" s="33" t="str">
        <f>IFERROR(VLOOKUP($J10832,'Informations sur les produits'!$A$3:$H$10000,8,FALSE),"0")</f>
        <v>0</v>
      </c>
      <c r="N10832" s="8"/>
      <c r="O10832" s="33" t="str">
        <f>IFERROR(VLOOKUP($M10832,'Informations sur les produits'!$A$3:$H$10000,8,FALSE),"0")</f>
        <v>0</v>
      </c>
      <c r="P10832" s="33">
        <f t="shared" si="676"/>
        <v>0</v>
      </c>
      <c r="Q10832" s="31" t="str">
        <f t="shared" si="677"/>
        <v/>
      </c>
      <c r="R10832" s="32" t="str">
        <f>IFERROR(VLOOKUP($D10832,'Informations sur les produits'!$A$3:$B$15000,2,FALSE),"")</f>
        <v/>
      </c>
      <c r="V10832">
        <f t="shared" si="678"/>
        <v>0</v>
      </c>
      <c r="W10832">
        <f t="shared" si="679"/>
        <v>0</v>
      </c>
    </row>
    <row r="10833" spans="5:23" x14ac:dyDescent="0.25">
      <c r="E10833" s="4"/>
      <c r="F10833" s="4"/>
      <c r="G10833" s="33" t="str">
        <f>IFERROR(VLOOKUP($D10833,'Informations sur les produits'!$A$3:$H$10000,8,FALSE),"0")</f>
        <v>0</v>
      </c>
      <c r="K10833" s="4"/>
      <c r="L10833" s="33" t="str">
        <f>IFERROR(VLOOKUP($J10833,'Informations sur les produits'!$A$3:$H$10000,8,FALSE),"0")</f>
        <v>0</v>
      </c>
      <c r="N10833" s="8"/>
      <c r="O10833" s="33" t="str">
        <f>IFERROR(VLOOKUP($M10833,'Informations sur les produits'!$A$3:$H$10000,8,FALSE),"0")</f>
        <v>0</v>
      </c>
      <c r="P10833" s="33">
        <f t="shared" si="676"/>
        <v>0</v>
      </c>
      <c r="Q10833" s="31" t="str">
        <f t="shared" si="677"/>
        <v/>
      </c>
      <c r="R10833" s="32" t="str">
        <f>IFERROR(VLOOKUP($D10833,'Informations sur les produits'!$A$3:$B$15000,2,FALSE),"")</f>
        <v/>
      </c>
      <c r="V10833">
        <f t="shared" si="678"/>
        <v>0</v>
      </c>
      <c r="W10833">
        <f t="shared" si="679"/>
        <v>0</v>
      </c>
    </row>
    <row r="10834" spans="5:23" x14ac:dyDescent="0.25">
      <c r="E10834" s="4"/>
      <c r="F10834" s="4"/>
      <c r="G10834" s="33" t="str">
        <f>IFERROR(VLOOKUP($D10834,'Informations sur les produits'!$A$3:$H$10000,8,FALSE),"0")</f>
        <v>0</v>
      </c>
      <c r="K10834" s="4"/>
      <c r="L10834" s="33" t="str">
        <f>IFERROR(VLOOKUP($J10834,'Informations sur les produits'!$A$3:$H$10000,8,FALSE),"0")</f>
        <v>0</v>
      </c>
      <c r="N10834" s="8"/>
      <c r="O10834" s="33" t="str">
        <f>IFERROR(VLOOKUP($M10834,'Informations sur les produits'!$A$3:$H$10000,8,FALSE),"0")</f>
        <v>0</v>
      </c>
      <c r="P10834" s="33">
        <f t="shared" si="676"/>
        <v>0</v>
      </c>
      <c r="Q10834" s="31" t="str">
        <f t="shared" si="677"/>
        <v/>
      </c>
      <c r="R10834" s="32" t="str">
        <f>IFERROR(VLOOKUP($D10834,'Informations sur les produits'!$A$3:$B$15000,2,FALSE),"")</f>
        <v/>
      </c>
      <c r="V10834">
        <f t="shared" si="678"/>
        <v>0</v>
      </c>
      <c r="W10834">
        <f t="shared" si="679"/>
        <v>0</v>
      </c>
    </row>
    <row r="10835" spans="5:23" x14ac:dyDescent="0.25">
      <c r="E10835" s="4"/>
      <c r="F10835" s="4"/>
      <c r="G10835" s="33" t="str">
        <f>IFERROR(VLOOKUP($D10835,'Informations sur les produits'!$A$3:$H$10000,8,FALSE),"0")</f>
        <v>0</v>
      </c>
      <c r="K10835" s="4"/>
      <c r="L10835" s="33" t="str">
        <f>IFERROR(VLOOKUP($J10835,'Informations sur les produits'!$A$3:$H$10000,8,FALSE),"0")</f>
        <v>0</v>
      </c>
      <c r="N10835" s="8"/>
      <c r="O10835" s="33" t="str">
        <f>IFERROR(VLOOKUP($M10835,'Informations sur les produits'!$A$3:$H$10000,8,FALSE),"0")</f>
        <v>0</v>
      </c>
      <c r="P10835" s="33">
        <f t="shared" si="676"/>
        <v>0</v>
      </c>
      <c r="Q10835" s="31" t="str">
        <f t="shared" si="677"/>
        <v/>
      </c>
      <c r="R10835" s="32" t="str">
        <f>IFERROR(VLOOKUP($D10835,'Informations sur les produits'!$A$3:$B$15000,2,FALSE),"")</f>
        <v/>
      </c>
      <c r="V10835">
        <f t="shared" si="678"/>
        <v>0</v>
      </c>
      <c r="W10835">
        <f t="shared" si="679"/>
        <v>0</v>
      </c>
    </row>
    <row r="10836" spans="5:23" x14ac:dyDescent="0.25">
      <c r="E10836" s="4"/>
      <c r="F10836" s="4"/>
      <c r="G10836" s="33" t="str">
        <f>IFERROR(VLOOKUP($D10836,'Informations sur les produits'!$A$3:$H$10000,8,FALSE),"0")</f>
        <v>0</v>
      </c>
      <c r="K10836" s="4"/>
      <c r="L10836" s="33" t="str">
        <f>IFERROR(VLOOKUP($J10836,'Informations sur les produits'!$A$3:$H$10000,8,FALSE),"0")</f>
        <v>0</v>
      </c>
      <c r="N10836" s="8"/>
      <c r="O10836" s="33" t="str">
        <f>IFERROR(VLOOKUP($M10836,'Informations sur les produits'!$A$3:$H$10000,8,FALSE),"0")</f>
        <v>0</v>
      </c>
      <c r="P10836" s="33">
        <f t="shared" si="676"/>
        <v>0</v>
      </c>
      <c r="Q10836" s="31" t="str">
        <f t="shared" si="677"/>
        <v/>
      </c>
      <c r="R10836" s="32" t="str">
        <f>IFERROR(VLOOKUP($D10836,'Informations sur les produits'!$A$3:$B$15000,2,FALSE),"")</f>
        <v/>
      </c>
      <c r="V10836">
        <f t="shared" si="678"/>
        <v>0</v>
      </c>
      <c r="W10836">
        <f t="shared" si="679"/>
        <v>0</v>
      </c>
    </row>
    <row r="10837" spans="5:23" x14ac:dyDescent="0.25">
      <c r="E10837" s="4"/>
      <c r="F10837" s="4"/>
      <c r="G10837" s="33" t="str">
        <f>IFERROR(VLOOKUP($D10837,'Informations sur les produits'!$A$3:$H$10000,8,FALSE),"0")</f>
        <v>0</v>
      </c>
      <c r="K10837" s="4"/>
      <c r="L10837" s="33" t="str">
        <f>IFERROR(VLOOKUP($J10837,'Informations sur les produits'!$A$3:$H$10000,8,FALSE),"0")</f>
        <v>0</v>
      </c>
      <c r="N10837" s="8"/>
      <c r="O10837" s="33" t="str">
        <f>IFERROR(VLOOKUP($M10837,'Informations sur les produits'!$A$3:$H$10000,8,FALSE),"0")</f>
        <v>0</v>
      </c>
      <c r="P10837" s="33">
        <f t="shared" si="676"/>
        <v>0</v>
      </c>
      <c r="Q10837" s="31" t="str">
        <f t="shared" si="677"/>
        <v/>
      </c>
      <c r="R10837" s="32" t="str">
        <f>IFERROR(VLOOKUP($D10837,'Informations sur les produits'!$A$3:$B$15000,2,FALSE),"")</f>
        <v/>
      </c>
      <c r="V10837">
        <f t="shared" si="678"/>
        <v>0</v>
      </c>
      <c r="W10837">
        <f t="shared" si="679"/>
        <v>0</v>
      </c>
    </row>
    <row r="10838" spans="5:23" x14ac:dyDescent="0.25">
      <c r="E10838" s="4"/>
      <c r="F10838" s="4"/>
      <c r="G10838" s="33" t="str">
        <f>IFERROR(VLOOKUP($D10838,'Informations sur les produits'!$A$3:$H$10000,8,FALSE),"0")</f>
        <v>0</v>
      </c>
      <c r="K10838" s="4"/>
      <c r="L10838" s="33" t="str">
        <f>IFERROR(VLOOKUP($J10838,'Informations sur les produits'!$A$3:$H$10000,8,FALSE),"0")</f>
        <v>0</v>
      </c>
      <c r="N10838" s="8"/>
      <c r="O10838" s="33" t="str">
        <f>IFERROR(VLOOKUP($M10838,'Informations sur les produits'!$A$3:$H$10000,8,FALSE),"0")</f>
        <v>0</v>
      </c>
      <c r="P10838" s="33">
        <f t="shared" si="676"/>
        <v>0</v>
      </c>
      <c r="Q10838" s="31" t="str">
        <f t="shared" si="677"/>
        <v/>
      </c>
      <c r="R10838" s="32" t="str">
        <f>IFERROR(VLOOKUP($D10838,'Informations sur les produits'!$A$3:$B$15000,2,FALSE),"")</f>
        <v/>
      </c>
      <c r="V10838">
        <f t="shared" si="678"/>
        <v>0</v>
      </c>
      <c r="W10838">
        <f t="shared" si="679"/>
        <v>0</v>
      </c>
    </row>
    <row r="10839" spans="5:23" x14ac:dyDescent="0.25">
      <c r="E10839" s="4"/>
      <c r="F10839" s="4"/>
      <c r="G10839" s="33" t="str">
        <f>IFERROR(VLOOKUP($D10839,'Informations sur les produits'!$A$3:$H$10000,8,FALSE),"0")</f>
        <v>0</v>
      </c>
      <c r="K10839" s="4"/>
      <c r="L10839" s="33" t="str">
        <f>IFERROR(VLOOKUP($J10839,'Informations sur les produits'!$A$3:$H$10000,8,FALSE),"0")</f>
        <v>0</v>
      </c>
      <c r="N10839" s="8"/>
      <c r="O10839" s="33" t="str">
        <f>IFERROR(VLOOKUP($M10839,'Informations sur les produits'!$A$3:$H$10000,8,FALSE),"0")</f>
        <v>0</v>
      </c>
      <c r="P10839" s="33">
        <f t="shared" si="676"/>
        <v>0</v>
      </c>
      <c r="Q10839" s="31" t="str">
        <f t="shared" si="677"/>
        <v/>
      </c>
      <c r="R10839" s="32" t="str">
        <f>IFERROR(VLOOKUP($D10839,'Informations sur les produits'!$A$3:$B$15000,2,FALSE),"")</f>
        <v/>
      </c>
      <c r="V10839">
        <f t="shared" si="678"/>
        <v>0</v>
      </c>
      <c r="W10839">
        <f t="shared" si="679"/>
        <v>0</v>
      </c>
    </row>
    <row r="10840" spans="5:23" x14ac:dyDescent="0.25">
      <c r="E10840" s="4"/>
      <c r="F10840" s="4"/>
      <c r="G10840" s="33" t="str">
        <f>IFERROR(VLOOKUP($D10840,'Informations sur les produits'!$A$3:$H$10000,8,FALSE),"0")</f>
        <v>0</v>
      </c>
      <c r="K10840" s="4"/>
      <c r="L10840" s="33" t="str">
        <f>IFERROR(VLOOKUP($J10840,'Informations sur les produits'!$A$3:$H$10000,8,FALSE),"0")</f>
        <v>0</v>
      </c>
      <c r="N10840" s="8"/>
      <c r="O10840" s="33" t="str">
        <f>IFERROR(VLOOKUP($M10840,'Informations sur les produits'!$A$3:$H$10000,8,FALSE),"0")</f>
        <v>0</v>
      </c>
      <c r="P10840" s="33">
        <f t="shared" si="676"/>
        <v>0</v>
      </c>
      <c r="Q10840" s="31" t="str">
        <f t="shared" si="677"/>
        <v/>
      </c>
      <c r="R10840" s="32" t="str">
        <f>IFERROR(VLOOKUP($D10840,'Informations sur les produits'!$A$3:$B$15000,2,FALSE),"")</f>
        <v/>
      </c>
      <c r="V10840">
        <f t="shared" si="678"/>
        <v>0</v>
      </c>
      <c r="W10840">
        <f t="shared" si="679"/>
        <v>0</v>
      </c>
    </row>
    <row r="10841" spans="5:23" x14ac:dyDescent="0.25">
      <c r="E10841" s="4"/>
      <c r="F10841" s="4"/>
      <c r="G10841" s="33" t="str">
        <f>IFERROR(VLOOKUP($D10841,'Informations sur les produits'!$A$3:$H$10000,8,FALSE),"0")</f>
        <v>0</v>
      </c>
      <c r="K10841" s="4"/>
      <c r="L10841" s="33" t="str">
        <f>IFERROR(VLOOKUP($J10841,'Informations sur les produits'!$A$3:$H$10000,8,FALSE),"0")</f>
        <v>0</v>
      </c>
      <c r="N10841" s="8"/>
      <c r="O10841" s="33" t="str">
        <f>IFERROR(VLOOKUP($M10841,'Informations sur les produits'!$A$3:$H$10000,8,FALSE),"0")</f>
        <v>0</v>
      </c>
      <c r="P10841" s="33">
        <f t="shared" si="676"/>
        <v>0</v>
      </c>
      <c r="Q10841" s="31" t="str">
        <f t="shared" si="677"/>
        <v/>
      </c>
      <c r="R10841" s="32" t="str">
        <f>IFERROR(VLOOKUP($D10841,'Informations sur les produits'!$A$3:$B$15000,2,FALSE),"")</f>
        <v/>
      </c>
      <c r="V10841">
        <f t="shared" si="678"/>
        <v>0</v>
      </c>
      <c r="W10841">
        <f t="shared" si="679"/>
        <v>0</v>
      </c>
    </row>
    <row r="10842" spans="5:23" x14ac:dyDescent="0.25">
      <c r="E10842" s="4"/>
      <c r="F10842" s="4"/>
      <c r="G10842" s="33" t="str">
        <f>IFERROR(VLOOKUP($D10842,'Informations sur les produits'!$A$3:$H$10000,8,FALSE),"0")</f>
        <v>0</v>
      </c>
      <c r="K10842" s="4"/>
      <c r="L10842" s="33" t="str">
        <f>IFERROR(VLOOKUP($J10842,'Informations sur les produits'!$A$3:$H$10000,8,FALSE),"0")</f>
        <v>0</v>
      </c>
      <c r="N10842" s="8"/>
      <c r="O10842" s="33" t="str">
        <f>IFERROR(VLOOKUP($M10842,'Informations sur les produits'!$A$3:$H$10000,8,FALSE),"0")</f>
        <v>0</v>
      </c>
      <c r="P10842" s="33">
        <f t="shared" si="676"/>
        <v>0</v>
      </c>
      <c r="Q10842" s="31" t="str">
        <f t="shared" si="677"/>
        <v/>
      </c>
      <c r="R10842" s="32" t="str">
        <f>IFERROR(VLOOKUP($D10842,'Informations sur les produits'!$A$3:$B$15000,2,FALSE),"")</f>
        <v/>
      </c>
      <c r="V10842">
        <f t="shared" si="678"/>
        <v>0</v>
      </c>
      <c r="W10842">
        <f t="shared" si="679"/>
        <v>0</v>
      </c>
    </row>
    <row r="10843" spans="5:23" x14ac:dyDescent="0.25">
      <c r="E10843" s="4"/>
      <c r="F10843" s="4"/>
      <c r="G10843" s="33" t="str">
        <f>IFERROR(VLOOKUP($D10843,'Informations sur les produits'!$A$3:$H$10000,8,FALSE),"0")</f>
        <v>0</v>
      </c>
      <c r="K10843" s="4"/>
      <c r="L10843" s="33" t="str">
        <f>IFERROR(VLOOKUP($J10843,'Informations sur les produits'!$A$3:$H$10000,8,FALSE),"0")</f>
        <v>0</v>
      </c>
      <c r="N10843" s="8"/>
      <c r="O10843" s="33" t="str">
        <f>IFERROR(VLOOKUP($M10843,'Informations sur les produits'!$A$3:$H$10000,8,FALSE),"0")</f>
        <v>0</v>
      </c>
      <c r="P10843" s="33">
        <f t="shared" si="676"/>
        <v>0</v>
      </c>
      <c r="Q10843" s="31" t="str">
        <f t="shared" si="677"/>
        <v/>
      </c>
      <c r="R10843" s="32" t="str">
        <f>IFERROR(VLOOKUP($D10843,'Informations sur les produits'!$A$3:$B$15000,2,FALSE),"")</f>
        <v/>
      </c>
      <c r="V10843">
        <f t="shared" si="678"/>
        <v>0</v>
      </c>
      <c r="W10843">
        <f t="shared" si="679"/>
        <v>0</v>
      </c>
    </row>
    <row r="10844" spans="5:23" x14ac:dyDescent="0.25">
      <c r="E10844" s="4"/>
      <c r="F10844" s="4"/>
      <c r="G10844" s="33" t="str">
        <f>IFERROR(VLOOKUP($D10844,'Informations sur les produits'!$A$3:$H$10000,8,FALSE),"0")</f>
        <v>0</v>
      </c>
      <c r="K10844" s="4"/>
      <c r="L10844" s="33" t="str">
        <f>IFERROR(VLOOKUP($J10844,'Informations sur les produits'!$A$3:$H$10000,8,FALSE),"0")</f>
        <v>0</v>
      </c>
      <c r="N10844" s="8"/>
      <c r="O10844" s="33" t="str">
        <f>IFERROR(VLOOKUP($M10844,'Informations sur les produits'!$A$3:$H$10000,8,FALSE),"0")</f>
        <v>0</v>
      </c>
      <c r="P10844" s="33">
        <f t="shared" si="676"/>
        <v>0</v>
      </c>
      <c r="Q10844" s="31" t="str">
        <f t="shared" si="677"/>
        <v/>
      </c>
      <c r="R10844" s="32" t="str">
        <f>IFERROR(VLOOKUP($D10844,'Informations sur les produits'!$A$3:$B$15000,2,FALSE),"")</f>
        <v/>
      </c>
      <c r="V10844">
        <f t="shared" si="678"/>
        <v>0</v>
      </c>
      <c r="W10844">
        <f t="shared" si="679"/>
        <v>0</v>
      </c>
    </row>
    <row r="10845" spans="5:23" x14ac:dyDescent="0.25">
      <c r="E10845" s="4"/>
      <c r="F10845" s="4"/>
      <c r="G10845" s="33" t="str">
        <f>IFERROR(VLOOKUP($D10845,'Informations sur les produits'!$A$3:$H$10000,8,FALSE),"0")</f>
        <v>0</v>
      </c>
      <c r="K10845" s="4"/>
      <c r="L10845" s="33" t="str">
        <f>IFERROR(VLOOKUP($J10845,'Informations sur les produits'!$A$3:$H$10000,8,FALSE),"0")</f>
        <v>0</v>
      </c>
      <c r="N10845" s="8"/>
      <c r="O10845" s="33" t="str">
        <f>IFERROR(VLOOKUP($M10845,'Informations sur les produits'!$A$3:$H$10000,8,FALSE),"0")</f>
        <v>0</v>
      </c>
      <c r="P10845" s="33">
        <f t="shared" si="676"/>
        <v>0</v>
      </c>
      <c r="Q10845" s="31" t="str">
        <f t="shared" si="677"/>
        <v/>
      </c>
      <c r="R10845" s="32" t="str">
        <f>IFERROR(VLOOKUP($D10845,'Informations sur les produits'!$A$3:$B$15000,2,FALSE),"")</f>
        <v/>
      </c>
      <c r="V10845">
        <f t="shared" si="678"/>
        <v>0</v>
      </c>
      <c r="W10845">
        <f t="shared" si="679"/>
        <v>0</v>
      </c>
    </row>
    <row r="10846" spans="5:23" x14ac:dyDescent="0.25">
      <c r="E10846" s="4"/>
      <c r="F10846" s="4"/>
      <c r="G10846" s="33" t="str">
        <f>IFERROR(VLOOKUP($D10846,'Informations sur les produits'!$A$3:$H$10000,8,FALSE),"0")</f>
        <v>0</v>
      </c>
      <c r="K10846" s="4"/>
      <c r="L10846" s="33" t="str">
        <f>IFERROR(VLOOKUP($J10846,'Informations sur les produits'!$A$3:$H$10000,8,FALSE),"0")</f>
        <v>0</v>
      </c>
      <c r="N10846" s="8"/>
      <c r="O10846" s="33" t="str">
        <f>IFERROR(VLOOKUP($M10846,'Informations sur les produits'!$A$3:$H$10000,8,FALSE),"0")</f>
        <v>0</v>
      </c>
      <c r="P10846" s="33">
        <f t="shared" si="676"/>
        <v>0</v>
      </c>
      <c r="Q10846" s="31" t="str">
        <f t="shared" si="677"/>
        <v/>
      </c>
      <c r="R10846" s="32" t="str">
        <f>IFERROR(VLOOKUP($D10846,'Informations sur les produits'!$A$3:$B$15000,2,FALSE),"")</f>
        <v/>
      </c>
      <c r="V10846">
        <f t="shared" si="678"/>
        <v>0</v>
      </c>
      <c r="W10846">
        <f t="shared" si="679"/>
        <v>0</v>
      </c>
    </row>
    <row r="10847" spans="5:23" x14ac:dyDescent="0.25">
      <c r="E10847" s="4"/>
      <c r="F10847" s="4"/>
      <c r="G10847" s="33" t="str">
        <f>IFERROR(VLOOKUP($D10847,'Informations sur les produits'!$A$3:$H$10000,8,FALSE),"0")</f>
        <v>0</v>
      </c>
      <c r="K10847" s="4"/>
      <c r="L10847" s="33" t="str">
        <f>IFERROR(VLOOKUP($J10847,'Informations sur les produits'!$A$3:$H$10000,8,FALSE),"0")</f>
        <v>0</v>
      </c>
      <c r="N10847" s="8"/>
      <c r="O10847" s="33" t="str">
        <f>IFERROR(VLOOKUP($M10847,'Informations sur les produits'!$A$3:$H$10000,8,FALSE),"0")</f>
        <v>0</v>
      </c>
      <c r="P10847" s="33">
        <f t="shared" si="676"/>
        <v>0</v>
      </c>
      <c r="Q10847" s="31" t="str">
        <f t="shared" si="677"/>
        <v/>
      </c>
      <c r="R10847" s="32" t="str">
        <f>IFERROR(VLOOKUP($D10847,'Informations sur les produits'!$A$3:$B$15000,2,FALSE),"")</f>
        <v/>
      </c>
      <c r="V10847">
        <f t="shared" si="678"/>
        <v>0</v>
      </c>
      <c r="W10847">
        <f t="shared" si="679"/>
        <v>0</v>
      </c>
    </row>
    <row r="10848" spans="5:23" x14ac:dyDescent="0.25">
      <c r="E10848" s="4"/>
      <c r="F10848" s="4"/>
      <c r="G10848" s="33" t="str">
        <f>IFERROR(VLOOKUP($D10848,'Informations sur les produits'!$A$3:$H$10000,8,FALSE),"0")</f>
        <v>0</v>
      </c>
      <c r="K10848" s="4"/>
      <c r="L10848" s="33" t="str">
        <f>IFERROR(VLOOKUP($J10848,'Informations sur les produits'!$A$3:$H$10000,8,FALSE),"0")</f>
        <v>0</v>
      </c>
      <c r="N10848" s="8"/>
      <c r="O10848" s="33" t="str">
        <f>IFERROR(VLOOKUP($M10848,'Informations sur les produits'!$A$3:$H$10000,8,FALSE),"0")</f>
        <v>0</v>
      </c>
      <c r="P10848" s="33">
        <f t="shared" si="676"/>
        <v>0</v>
      </c>
      <c r="Q10848" s="31" t="str">
        <f t="shared" si="677"/>
        <v/>
      </c>
      <c r="R10848" s="32" t="str">
        <f>IFERROR(VLOOKUP($D10848,'Informations sur les produits'!$A$3:$B$15000,2,FALSE),"")</f>
        <v/>
      </c>
      <c r="V10848">
        <f t="shared" si="678"/>
        <v>0</v>
      </c>
      <c r="W10848">
        <f t="shared" si="679"/>
        <v>0</v>
      </c>
    </row>
    <row r="10849" spans="5:23" x14ac:dyDescent="0.25">
      <c r="E10849" s="4"/>
      <c r="F10849" s="4"/>
      <c r="G10849" s="33" t="str">
        <f>IFERROR(VLOOKUP($D10849,'Informations sur les produits'!$A$3:$H$10000,8,FALSE),"0")</f>
        <v>0</v>
      </c>
      <c r="K10849" s="4"/>
      <c r="L10849" s="33" t="str">
        <f>IFERROR(VLOOKUP($J10849,'Informations sur les produits'!$A$3:$H$10000,8,FALSE),"0")</f>
        <v>0</v>
      </c>
      <c r="N10849" s="8"/>
      <c r="O10849" s="33" t="str">
        <f>IFERROR(VLOOKUP($M10849,'Informations sur les produits'!$A$3:$H$10000,8,FALSE),"0")</f>
        <v>0</v>
      </c>
      <c r="P10849" s="33">
        <f t="shared" si="676"/>
        <v>0</v>
      </c>
      <c r="Q10849" s="31" t="str">
        <f t="shared" si="677"/>
        <v/>
      </c>
      <c r="R10849" s="32" t="str">
        <f>IFERROR(VLOOKUP($D10849,'Informations sur les produits'!$A$3:$B$15000,2,FALSE),"")</f>
        <v/>
      </c>
      <c r="V10849">
        <f t="shared" si="678"/>
        <v>0</v>
      </c>
      <c r="W10849">
        <f t="shared" si="679"/>
        <v>0</v>
      </c>
    </row>
    <row r="10850" spans="5:23" x14ac:dyDescent="0.25">
      <c r="E10850" s="4"/>
      <c r="F10850" s="4"/>
      <c r="G10850" s="33" t="str">
        <f>IFERROR(VLOOKUP($D10850,'Informations sur les produits'!$A$3:$H$10000,8,FALSE),"0")</f>
        <v>0</v>
      </c>
      <c r="K10850" s="4"/>
      <c r="L10850" s="33" t="str">
        <f>IFERROR(VLOOKUP($J10850,'Informations sur les produits'!$A$3:$H$10000,8,FALSE),"0")</f>
        <v>0</v>
      </c>
      <c r="N10850" s="8"/>
      <c r="O10850" s="33" t="str">
        <f>IFERROR(VLOOKUP($M10850,'Informations sur les produits'!$A$3:$H$10000,8,FALSE),"0")</f>
        <v>0</v>
      </c>
      <c r="P10850" s="33">
        <f t="shared" si="676"/>
        <v>0</v>
      </c>
      <c r="Q10850" s="31" t="str">
        <f t="shared" si="677"/>
        <v/>
      </c>
      <c r="R10850" s="32" t="str">
        <f>IFERROR(VLOOKUP($D10850,'Informations sur les produits'!$A$3:$B$15000,2,FALSE),"")</f>
        <v/>
      </c>
      <c r="V10850">
        <f t="shared" si="678"/>
        <v>0</v>
      </c>
      <c r="W10850">
        <f t="shared" si="679"/>
        <v>0</v>
      </c>
    </row>
    <row r="10851" spans="5:23" x14ac:dyDescent="0.25">
      <c r="E10851" s="4"/>
      <c r="F10851" s="4"/>
      <c r="G10851" s="33" t="str">
        <f>IFERROR(VLOOKUP($D10851,'Informations sur les produits'!$A$3:$H$10000,8,FALSE),"0")</f>
        <v>0</v>
      </c>
      <c r="K10851" s="4"/>
      <c r="L10851" s="33" t="str">
        <f>IFERROR(VLOOKUP($J10851,'Informations sur les produits'!$A$3:$H$10000,8,FALSE),"0")</f>
        <v>0</v>
      </c>
      <c r="N10851" s="8"/>
      <c r="O10851" s="33" t="str">
        <f>IFERROR(VLOOKUP($M10851,'Informations sur les produits'!$A$3:$H$10000,8,FALSE),"0")</f>
        <v>0</v>
      </c>
      <c r="P10851" s="33">
        <f t="shared" si="676"/>
        <v>0</v>
      </c>
      <c r="Q10851" s="31" t="str">
        <f t="shared" si="677"/>
        <v/>
      </c>
      <c r="R10851" s="32" t="str">
        <f>IFERROR(VLOOKUP($D10851,'Informations sur les produits'!$A$3:$B$15000,2,FALSE),"")</f>
        <v/>
      </c>
      <c r="V10851">
        <f t="shared" si="678"/>
        <v>0</v>
      </c>
      <c r="W10851">
        <f t="shared" si="679"/>
        <v>0</v>
      </c>
    </row>
    <row r="10852" spans="5:23" x14ac:dyDescent="0.25">
      <c r="E10852" s="4"/>
      <c r="F10852" s="4"/>
      <c r="G10852" s="33" t="str">
        <f>IFERROR(VLOOKUP($D10852,'Informations sur les produits'!$A$3:$H$10000,8,FALSE),"0")</f>
        <v>0</v>
      </c>
      <c r="K10852" s="4"/>
      <c r="L10852" s="33" t="str">
        <f>IFERROR(VLOOKUP($J10852,'Informations sur les produits'!$A$3:$H$10000,8,FALSE),"0")</f>
        <v>0</v>
      </c>
      <c r="N10852" s="8"/>
      <c r="O10852" s="33" t="str">
        <f>IFERROR(VLOOKUP($M10852,'Informations sur les produits'!$A$3:$H$10000,8,FALSE),"0")</f>
        <v>0</v>
      </c>
      <c r="P10852" s="33">
        <f t="shared" si="676"/>
        <v>0</v>
      </c>
      <c r="Q10852" s="31" t="str">
        <f t="shared" si="677"/>
        <v/>
      </c>
      <c r="R10852" s="32" t="str">
        <f>IFERROR(VLOOKUP($D10852,'Informations sur les produits'!$A$3:$B$15000,2,FALSE),"")</f>
        <v/>
      </c>
      <c r="V10852">
        <f t="shared" si="678"/>
        <v>0</v>
      </c>
      <c r="W10852">
        <f t="shared" si="679"/>
        <v>0</v>
      </c>
    </row>
    <row r="10853" spans="5:23" x14ac:dyDescent="0.25">
      <c r="E10853" s="4"/>
      <c r="F10853" s="4"/>
      <c r="G10853" s="33" t="str">
        <f>IFERROR(VLOOKUP($D10853,'Informations sur les produits'!$A$3:$H$10000,8,FALSE),"0")</f>
        <v>0</v>
      </c>
      <c r="K10853" s="4"/>
      <c r="L10853" s="33" t="str">
        <f>IFERROR(VLOOKUP($J10853,'Informations sur les produits'!$A$3:$H$10000,8,FALSE),"0")</f>
        <v>0</v>
      </c>
      <c r="N10853" s="8"/>
      <c r="O10853" s="33" t="str">
        <f>IFERROR(VLOOKUP($M10853,'Informations sur les produits'!$A$3:$H$10000,8,FALSE),"0")</f>
        <v>0</v>
      </c>
      <c r="P10853" s="33">
        <f t="shared" si="676"/>
        <v>0</v>
      </c>
      <c r="Q10853" s="31" t="str">
        <f t="shared" si="677"/>
        <v/>
      </c>
      <c r="R10853" s="32" t="str">
        <f>IFERROR(VLOOKUP($D10853,'Informations sur les produits'!$A$3:$B$15000,2,FALSE),"")</f>
        <v/>
      </c>
      <c r="V10853">
        <f t="shared" si="678"/>
        <v>0</v>
      </c>
      <c r="W10853">
        <f t="shared" si="679"/>
        <v>0</v>
      </c>
    </row>
    <row r="10854" spans="5:23" x14ac:dyDescent="0.25">
      <c r="E10854" s="4"/>
      <c r="F10854" s="4"/>
      <c r="G10854" s="33" t="str">
        <f>IFERROR(VLOOKUP($D10854,'Informations sur les produits'!$A$3:$H$10000,8,FALSE),"0")</f>
        <v>0</v>
      </c>
      <c r="K10854" s="4"/>
      <c r="L10854" s="33" t="str">
        <f>IFERROR(VLOOKUP($J10854,'Informations sur les produits'!$A$3:$H$10000,8,FALSE),"0")</f>
        <v>0</v>
      </c>
      <c r="N10854" s="8"/>
      <c r="O10854" s="33" t="str">
        <f>IFERROR(VLOOKUP($M10854,'Informations sur les produits'!$A$3:$H$10000,8,FALSE),"0")</f>
        <v>0</v>
      </c>
      <c r="P10854" s="33">
        <f t="shared" si="676"/>
        <v>0</v>
      </c>
      <c r="Q10854" s="31" t="str">
        <f t="shared" si="677"/>
        <v/>
      </c>
      <c r="R10854" s="32" t="str">
        <f>IFERROR(VLOOKUP($D10854,'Informations sur les produits'!$A$3:$B$15000,2,FALSE),"")</f>
        <v/>
      </c>
      <c r="V10854">
        <f t="shared" si="678"/>
        <v>0</v>
      </c>
      <c r="W10854">
        <f t="shared" si="679"/>
        <v>0</v>
      </c>
    </row>
    <row r="10855" spans="5:23" x14ac:dyDescent="0.25">
      <c r="E10855" s="4"/>
      <c r="F10855" s="4"/>
      <c r="G10855" s="33" t="str">
        <f>IFERROR(VLOOKUP($D10855,'Informations sur les produits'!$A$3:$H$10000,8,FALSE),"0")</f>
        <v>0</v>
      </c>
      <c r="K10855" s="4"/>
      <c r="L10855" s="33" t="str">
        <f>IFERROR(VLOOKUP($J10855,'Informations sur les produits'!$A$3:$H$10000,8,FALSE),"0")</f>
        <v>0</v>
      </c>
      <c r="N10855" s="8"/>
      <c r="O10855" s="33" t="str">
        <f>IFERROR(VLOOKUP($M10855,'Informations sur les produits'!$A$3:$H$10000,8,FALSE),"0")</f>
        <v>0</v>
      </c>
      <c r="P10855" s="33">
        <f t="shared" si="676"/>
        <v>0</v>
      </c>
      <c r="Q10855" s="31" t="str">
        <f t="shared" si="677"/>
        <v/>
      </c>
      <c r="R10855" s="32" t="str">
        <f>IFERROR(VLOOKUP($D10855,'Informations sur les produits'!$A$3:$B$15000,2,FALSE),"")</f>
        <v/>
      </c>
      <c r="V10855">
        <f t="shared" si="678"/>
        <v>0</v>
      </c>
      <c r="W10855">
        <f t="shared" si="679"/>
        <v>0</v>
      </c>
    </row>
    <row r="10856" spans="5:23" x14ac:dyDescent="0.25">
      <c r="E10856" s="4"/>
      <c r="F10856" s="4"/>
      <c r="G10856" s="33" t="str">
        <f>IFERROR(VLOOKUP($D10856,'Informations sur les produits'!$A$3:$H$10000,8,FALSE),"0")</f>
        <v>0</v>
      </c>
      <c r="K10856" s="4"/>
      <c r="L10856" s="33" t="str">
        <f>IFERROR(VLOOKUP($J10856,'Informations sur les produits'!$A$3:$H$10000,8,FALSE),"0")</f>
        <v>0</v>
      </c>
      <c r="N10856" s="8"/>
      <c r="O10856" s="33" t="str">
        <f>IFERROR(VLOOKUP($M10856,'Informations sur les produits'!$A$3:$H$10000,8,FALSE),"0")</f>
        <v>0</v>
      </c>
      <c r="P10856" s="33">
        <f t="shared" si="676"/>
        <v>0</v>
      </c>
      <c r="Q10856" s="31" t="str">
        <f t="shared" si="677"/>
        <v/>
      </c>
      <c r="R10856" s="32" t="str">
        <f>IFERROR(VLOOKUP($D10856,'Informations sur les produits'!$A$3:$B$15000,2,FALSE),"")</f>
        <v/>
      </c>
      <c r="V10856">
        <f t="shared" si="678"/>
        <v>0</v>
      </c>
      <c r="W10856">
        <f t="shared" si="679"/>
        <v>0</v>
      </c>
    </row>
    <row r="10857" spans="5:23" x14ac:dyDescent="0.25">
      <c r="E10857" s="4"/>
      <c r="F10857" s="4"/>
      <c r="G10857" s="33" t="str">
        <f>IFERROR(VLOOKUP($D10857,'Informations sur les produits'!$A$3:$H$10000,8,FALSE),"0")</f>
        <v>0</v>
      </c>
      <c r="K10857" s="4"/>
      <c r="L10857" s="33" t="str">
        <f>IFERROR(VLOOKUP($J10857,'Informations sur les produits'!$A$3:$H$10000,8,FALSE),"0")</f>
        <v>0</v>
      </c>
      <c r="N10857" s="8"/>
      <c r="O10857" s="33" t="str">
        <f>IFERROR(VLOOKUP($M10857,'Informations sur les produits'!$A$3:$H$10000,8,FALSE),"0")</f>
        <v>0</v>
      </c>
      <c r="P10857" s="33">
        <f t="shared" si="676"/>
        <v>0</v>
      </c>
      <c r="Q10857" s="31" t="str">
        <f t="shared" si="677"/>
        <v/>
      </c>
      <c r="R10857" s="32" t="str">
        <f>IFERROR(VLOOKUP($D10857,'Informations sur les produits'!$A$3:$B$15000,2,FALSE),"")</f>
        <v/>
      </c>
      <c r="V10857">
        <f t="shared" si="678"/>
        <v>0</v>
      </c>
      <c r="W10857">
        <f t="shared" si="679"/>
        <v>0</v>
      </c>
    </row>
    <row r="10858" spans="5:23" x14ac:dyDescent="0.25">
      <c r="E10858" s="4"/>
      <c r="F10858" s="4"/>
      <c r="G10858" s="33" t="str">
        <f>IFERROR(VLOOKUP($D10858,'Informations sur les produits'!$A$3:$H$10000,8,FALSE),"0")</f>
        <v>0</v>
      </c>
      <c r="K10858" s="4"/>
      <c r="L10858" s="33" t="str">
        <f>IFERROR(VLOOKUP($J10858,'Informations sur les produits'!$A$3:$H$10000,8,FALSE),"0")</f>
        <v>0</v>
      </c>
      <c r="N10858" s="8"/>
      <c r="O10858" s="33" t="str">
        <f>IFERROR(VLOOKUP($M10858,'Informations sur les produits'!$A$3:$H$10000,8,FALSE),"0")</f>
        <v>0</v>
      </c>
      <c r="P10858" s="33">
        <f t="shared" si="676"/>
        <v>0</v>
      </c>
      <c r="Q10858" s="31" t="str">
        <f t="shared" si="677"/>
        <v/>
      </c>
      <c r="R10858" s="32" t="str">
        <f>IFERROR(VLOOKUP($D10858,'Informations sur les produits'!$A$3:$B$15000,2,FALSE),"")</f>
        <v/>
      </c>
      <c r="V10858">
        <f t="shared" si="678"/>
        <v>0</v>
      </c>
      <c r="W10858">
        <f t="shared" si="679"/>
        <v>0</v>
      </c>
    </row>
    <row r="10859" spans="5:23" x14ac:dyDescent="0.25">
      <c r="E10859" s="4"/>
      <c r="F10859" s="4"/>
      <c r="G10859" s="33" t="str">
        <f>IFERROR(VLOOKUP($D10859,'Informations sur les produits'!$A$3:$H$10000,8,FALSE),"0")</f>
        <v>0</v>
      </c>
      <c r="K10859" s="4"/>
      <c r="L10859" s="33" t="str">
        <f>IFERROR(VLOOKUP($J10859,'Informations sur les produits'!$A$3:$H$10000,8,FALSE),"0")</f>
        <v>0</v>
      </c>
      <c r="N10859" s="8"/>
      <c r="O10859" s="33" t="str">
        <f>IFERROR(VLOOKUP($M10859,'Informations sur les produits'!$A$3:$H$10000,8,FALSE),"0")</f>
        <v>0</v>
      </c>
      <c r="P10859" s="33">
        <f t="shared" si="676"/>
        <v>0</v>
      </c>
      <c r="Q10859" s="31" t="str">
        <f t="shared" si="677"/>
        <v/>
      </c>
      <c r="R10859" s="32" t="str">
        <f>IFERROR(VLOOKUP($D10859,'Informations sur les produits'!$A$3:$B$15000,2,FALSE),"")</f>
        <v/>
      </c>
      <c r="V10859">
        <f t="shared" si="678"/>
        <v>0</v>
      </c>
      <c r="W10859">
        <f t="shared" si="679"/>
        <v>0</v>
      </c>
    </row>
    <row r="10860" spans="5:23" x14ac:dyDescent="0.25">
      <c r="E10860" s="4"/>
      <c r="F10860" s="4"/>
      <c r="G10860" s="33" t="str">
        <f>IFERROR(VLOOKUP($D10860,'Informations sur les produits'!$A$3:$H$10000,8,FALSE),"0")</f>
        <v>0</v>
      </c>
      <c r="K10860" s="4"/>
      <c r="L10860" s="33" t="str">
        <f>IFERROR(VLOOKUP($J10860,'Informations sur les produits'!$A$3:$H$10000,8,FALSE),"0")</f>
        <v>0</v>
      </c>
      <c r="N10860" s="8"/>
      <c r="O10860" s="33" t="str">
        <f>IFERROR(VLOOKUP($M10860,'Informations sur les produits'!$A$3:$H$10000,8,FALSE),"0")</f>
        <v>0</v>
      </c>
      <c r="P10860" s="33">
        <f t="shared" si="676"/>
        <v>0</v>
      </c>
      <c r="Q10860" s="31" t="str">
        <f t="shared" si="677"/>
        <v/>
      </c>
      <c r="R10860" s="32" t="str">
        <f>IFERROR(VLOOKUP($D10860,'Informations sur les produits'!$A$3:$B$15000,2,FALSE),"")</f>
        <v/>
      </c>
      <c r="V10860">
        <f t="shared" si="678"/>
        <v>0</v>
      </c>
      <c r="W10860">
        <f t="shared" si="679"/>
        <v>0</v>
      </c>
    </row>
    <row r="10861" spans="5:23" x14ac:dyDescent="0.25">
      <c r="E10861" s="4"/>
      <c r="F10861" s="4"/>
      <c r="G10861" s="33" t="str">
        <f>IFERROR(VLOOKUP($D10861,'Informations sur les produits'!$A$3:$H$10000,8,FALSE),"0")</f>
        <v>0</v>
      </c>
      <c r="K10861" s="4"/>
      <c r="L10861" s="33" t="str">
        <f>IFERROR(VLOOKUP($J10861,'Informations sur les produits'!$A$3:$H$10000,8,FALSE),"0")</f>
        <v>0</v>
      </c>
      <c r="N10861" s="8"/>
      <c r="O10861" s="33" t="str">
        <f>IFERROR(VLOOKUP($M10861,'Informations sur les produits'!$A$3:$H$10000,8,FALSE),"0")</f>
        <v>0</v>
      </c>
      <c r="P10861" s="33">
        <f t="shared" si="676"/>
        <v>0</v>
      </c>
      <c r="Q10861" s="31" t="str">
        <f t="shared" si="677"/>
        <v/>
      </c>
      <c r="R10861" s="32" t="str">
        <f>IFERROR(VLOOKUP($D10861,'Informations sur les produits'!$A$3:$B$15000,2,FALSE),"")</f>
        <v/>
      </c>
      <c r="V10861">
        <f t="shared" si="678"/>
        <v>0</v>
      </c>
      <c r="W10861">
        <f t="shared" si="679"/>
        <v>0</v>
      </c>
    </row>
    <row r="10862" spans="5:23" x14ac:dyDescent="0.25">
      <c r="E10862" s="4"/>
      <c r="F10862" s="4"/>
      <c r="G10862" s="33" t="str">
        <f>IFERROR(VLOOKUP($D10862,'Informations sur les produits'!$A$3:$H$10000,8,FALSE),"0")</f>
        <v>0</v>
      </c>
      <c r="K10862" s="4"/>
      <c r="L10862" s="33" t="str">
        <f>IFERROR(VLOOKUP($J10862,'Informations sur les produits'!$A$3:$H$10000,8,FALSE),"0")</f>
        <v>0</v>
      </c>
      <c r="N10862" s="8"/>
      <c r="O10862" s="33" t="str">
        <f>IFERROR(VLOOKUP($M10862,'Informations sur les produits'!$A$3:$H$10000,8,FALSE),"0")</f>
        <v>0</v>
      </c>
      <c r="P10862" s="33">
        <f t="shared" si="676"/>
        <v>0</v>
      </c>
      <c r="Q10862" s="31" t="str">
        <f t="shared" si="677"/>
        <v/>
      </c>
      <c r="R10862" s="32" t="str">
        <f>IFERROR(VLOOKUP($D10862,'Informations sur les produits'!$A$3:$B$15000,2,FALSE),"")</f>
        <v/>
      </c>
      <c r="V10862">
        <f t="shared" si="678"/>
        <v>0</v>
      </c>
      <c r="W10862">
        <f t="shared" si="679"/>
        <v>0</v>
      </c>
    </row>
    <row r="10863" spans="5:23" x14ac:dyDescent="0.25">
      <c r="E10863" s="4"/>
      <c r="F10863" s="4"/>
      <c r="G10863" s="33" t="str">
        <f>IFERROR(VLOOKUP($D10863,'Informations sur les produits'!$A$3:$H$10000,8,FALSE),"0")</f>
        <v>0</v>
      </c>
      <c r="K10863" s="4"/>
      <c r="L10863" s="33" t="str">
        <f>IFERROR(VLOOKUP($J10863,'Informations sur les produits'!$A$3:$H$10000,8,FALSE),"0")</f>
        <v>0</v>
      </c>
      <c r="N10863" s="8"/>
      <c r="O10863" s="33" t="str">
        <f>IFERROR(VLOOKUP($M10863,'Informations sur les produits'!$A$3:$H$10000,8,FALSE),"0")</f>
        <v>0</v>
      </c>
      <c r="P10863" s="33">
        <f t="shared" si="676"/>
        <v>0</v>
      </c>
      <c r="Q10863" s="31" t="str">
        <f t="shared" si="677"/>
        <v/>
      </c>
      <c r="R10863" s="32" t="str">
        <f>IFERROR(VLOOKUP($D10863,'Informations sur les produits'!$A$3:$B$15000,2,FALSE),"")</f>
        <v/>
      </c>
      <c r="V10863">
        <f t="shared" si="678"/>
        <v>0</v>
      </c>
      <c r="W10863">
        <f t="shared" si="679"/>
        <v>0</v>
      </c>
    </row>
    <row r="10864" spans="5:23" x14ac:dyDescent="0.25">
      <c r="E10864" s="4"/>
      <c r="F10864" s="4"/>
      <c r="G10864" s="33" t="str">
        <f>IFERROR(VLOOKUP($D10864,'Informations sur les produits'!$A$3:$H$10000,8,FALSE),"0")</f>
        <v>0</v>
      </c>
      <c r="K10864" s="4"/>
      <c r="L10864" s="33" t="str">
        <f>IFERROR(VLOOKUP($J10864,'Informations sur les produits'!$A$3:$H$10000,8,FALSE),"0")</f>
        <v>0</v>
      </c>
      <c r="N10864" s="8"/>
      <c r="O10864" s="33" t="str">
        <f>IFERROR(VLOOKUP($M10864,'Informations sur les produits'!$A$3:$H$10000,8,FALSE),"0")</f>
        <v>0</v>
      </c>
      <c r="P10864" s="33">
        <f t="shared" si="676"/>
        <v>0</v>
      </c>
      <c r="Q10864" s="31" t="str">
        <f t="shared" si="677"/>
        <v/>
      </c>
      <c r="R10864" s="32" t="str">
        <f>IFERROR(VLOOKUP($D10864,'Informations sur les produits'!$A$3:$B$15000,2,FALSE),"")</f>
        <v/>
      </c>
      <c r="V10864">
        <f t="shared" si="678"/>
        <v>0</v>
      </c>
      <c r="W10864">
        <f t="shared" si="679"/>
        <v>0</v>
      </c>
    </row>
    <row r="10865" spans="5:23" x14ac:dyDescent="0.25">
      <c r="E10865" s="4"/>
      <c r="F10865" s="4"/>
      <c r="G10865" s="33" t="str">
        <f>IFERROR(VLOOKUP($D10865,'Informations sur les produits'!$A$3:$H$10000,8,FALSE),"0")</f>
        <v>0</v>
      </c>
      <c r="K10865" s="4"/>
      <c r="L10865" s="33" t="str">
        <f>IFERROR(VLOOKUP($J10865,'Informations sur les produits'!$A$3:$H$10000,8,FALSE),"0")</f>
        <v>0</v>
      </c>
      <c r="N10865" s="8"/>
      <c r="O10865" s="33" t="str">
        <f>IFERROR(VLOOKUP($M10865,'Informations sur les produits'!$A$3:$H$10000,8,FALSE),"0")</f>
        <v>0</v>
      </c>
      <c r="P10865" s="33">
        <f t="shared" si="676"/>
        <v>0</v>
      </c>
      <c r="Q10865" s="31" t="str">
        <f t="shared" si="677"/>
        <v/>
      </c>
      <c r="R10865" s="32" t="str">
        <f>IFERROR(VLOOKUP($D10865,'Informations sur les produits'!$A$3:$B$15000,2,FALSE),"")</f>
        <v/>
      </c>
      <c r="V10865">
        <f t="shared" si="678"/>
        <v>0</v>
      </c>
      <c r="W10865">
        <f t="shared" si="679"/>
        <v>0</v>
      </c>
    </row>
    <row r="10866" spans="5:23" x14ac:dyDescent="0.25">
      <c r="E10866" s="4"/>
      <c r="F10866" s="4"/>
      <c r="G10866" s="33" t="str">
        <f>IFERROR(VLOOKUP($D10866,'Informations sur les produits'!$A$3:$H$10000,8,FALSE),"0")</f>
        <v>0</v>
      </c>
      <c r="K10866" s="4"/>
      <c r="L10866" s="33" t="str">
        <f>IFERROR(VLOOKUP($J10866,'Informations sur les produits'!$A$3:$H$10000,8,FALSE),"0")</f>
        <v>0</v>
      </c>
      <c r="N10866" s="8"/>
      <c r="O10866" s="33" t="str">
        <f>IFERROR(VLOOKUP($M10866,'Informations sur les produits'!$A$3:$H$10000,8,FALSE),"0")</f>
        <v>0</v>
      </c>
      <c r="P10866" s="33">
        <f t="shared" si="676"/>
        <v>0</v>
      </c>
      <c r="Q10866" s="31" t="str">
        <f t="shared" si="677"/>
        <v/>
      </c>
      <c r="R10866" s="32" t="str">
        <f>IFERROR(VLOOKUP($D10866,'Informations sur les produits'!$A$3:$B$15000,2,FALSE),"")</f>
        <v/>
      </c>
      <c r="V10866">
        <f t="shared" si="678"/>
        <v>0</v>
      </c>
      <c r="W10866">
        <f t="shared" si="679"/>
        <v>0</v>
      </c>
    </row>
    <row r="10867" spans="5:23" x14ac:dyDescent="0.25">
      <c r="E10867" s="4"/>
      <c r="F10867" s="4"/>
      <c r="G10867" s="33" t="str">
        <f>IFERROR(VLOOKUP($D10867,'Informations sur les produits'!$A$3:$H$10000,8,FALSE),"0")</f>
        <v>0</v>
      </c>
      <c r="K10867" s="4"/>
      <c r="L10867" s="33" t="str">
        <f>IFERROR(VLOOKUP($J10867,'Informations sur les produits'!$A$3:$H$10000,8,FALSE),"0")</f>
        <v>0</v>
      </c>
      <c r="N10867" s="8"/>
      <c r="O10867" s="33" t="str">
        <f>IFERROR(VLOOKUP($M10867,'Informations sur les produits'!$A$3:$H$10000,8,FALSE),"0")</f>
        <v>0</v>
      </c>
      <c r="P10867" s="33">
        <f t="shared" si="676"/>
        <v>0</v>
      </c>
      <c r="Q10867" s="31" t="str">
        <f t="shared" si="677"/>
        <v/>
      </c>
      <c r="R10867" s="32" t="str">
        <f>IFERROR(VLOOKUP($D10867,'Informations sur les produits'!$A$3:$B$15000,2,FALSE),"")</f>
        <v/>
      </c>
      <c r="V10867">
        <f t="shared" si="678"/>
        <v>0</v>
      </c>
      <c r="W10867">
        <f t="shared" si="679"/>
        <v>0</v>
      </c>
    </row>
    <row r="10868" spans="5:23" x14ac:dyDescent="0.25">
      <c r="E10868" s="4"/>
      <c r="F10868" s="4"/>
      <c r="G10868" s="33" t="str">
        <f>IFERROR(VLOOKUP($D10868,'Informations sur les produits'!$A$3:$H$10000,8,FALSE),"0")</f>
        <v>0</v>
      </c>
      <c r="K10868" s="4"/>
      <c r="L10868" s="33" t="str">
        <f>IFERROR(VLOOKUP($J10868,'Informations sur les produits'!$A$3:$H$10000,8,FALSE),"0")</f>
        <v>0</v>
      </c>
      <c r="N10868" s="8"/>
      <c r="O10868" s="33" t="str">
        <f>IFERROR(VLOOKUP($M10868,'Informations sur les produits'!$A$3:$H$10000,8,FALSE),"0")</f>
        <v>0</v>
      </c>
      <c r="P10868" s="33">
        <f t="shared" si="676"/>
        <v>0</v>
      </c>
      <c r="Q10868" s="31" t="str">
        <f t="shared" si="677"/>
        <v/>
      </c>
      <c r="R10868" s="32" t="str">
        <f>IFERROR(VLOOKUP($D10868,'Informations sur les produits'!$A$3:$B$15000,2,FALSE),"")</f>
        <v/>
      </c>
      <c r="V10868">
        <f t="shared" si="678"/>
        <v>0</v>
      </c>
      <c r="W10868">
        <f t="shared" si="679"/>
        <v>0</v>
      </c>
    </row>
    <row r="10869" spans="5:23" x14ac:dyDescent="0.25">
      <c r="E10869" s="4"/>
      <c r="F10869" s="4"/>
      <c r="G10869" s="33" t="str">
        <f>IFERROR(VLOOKUP($D10869,'Informations sur les produits'!$A$3:$H$10000,8,FALSE),"0")</f>
        <v>0</v>
      </c>
      <c r="K10869" s="4"/>
      <c r="L10869" s="33" t="str">
        <f>IFERROR(VLOOKUP($J10869,'Informations sur les produits'!$A$3:$H$10000,8,FALSE),"0")</f>
        <v>0</v>
      </c>
      <c r="N10869" s="8"/>
      <c r="O10869" s="33" t="str">
        <f>IFERROR(VLOOKUP($M10869,'Informations sur les produits'!$A$3:$H$10000,8,FALSE),"0")</f>
        <v>0</v>
      </c>
      <c r="P10869" s="33">
        <f t="shared" si="676"/>
        <v>0</v>
      </c>
      <c r="Q10869" s="31" t="str">
        <f t="shared" si="677"/>
        <v/>
      </c>
      <c r="R10869" s="32" t="str">
        <f>IFERROR(VLOOKUP($D10869,'Informations sur les produits'!$A$3:$B$15000,2,FALSE),"")</f>
        <v/>
      </c>
      <c r="V10869">
        <f t="shared" si="678"/>
        <v>0</v>
      </c>
      <c r="W10869">
        <f t="shared" si="679"/>
        <v>0</v>
      </c>
    </row>
    <row r="10870" spans="5:23" x14ac:dyDescent="0.25">
      <c r="E10870" s="4"/>
      <c r="F10870" s="4"/>
      <c r="G10870" s="33" t="str">
        <f>IFERROR(VLOOKUP($D10870,'Informations sur les produits'!$A$3:$H$10000,8,FALSE),"0")</f>
        <v>0</v>
      </c>
      <c r="K10870" s="4"/>
      <c r="L10870" s="33" t="str">
        <f>IFERROR(VLOOKUP($J10870,'Informations sur les produits'!$A$3:$H$10000,8,FALSE),"0")</f>
        <v>0</v>
      </c>
      <c r="N10870" s="8"/>
      <c r="O10870" s="33" t="str">
        <f>IFERROR(VLOOKUP($M10870,'Informations sur les produits'!$A$3:$H$10000,8,FALSE),"0")</f>
        <v>0</v>
      </c>
      <c r="P10870" s="33">
        <f t="shared" si="676"/>
        <v>0</v>
      </c>
      <c r="Q10870" s="31" t="str">
        <f t="shared" si="677"/>
        <v/>
      </c>
      <c r="R10870" s="32" t="str">
        <f>IFERROR(VLOOKUP($D10870,'Informations sur les produits'!$A$3:$B$15000,2,FALSE),"")</f>
        <v/>
      </c>
      <c r="V10870">
        <f t="shared" si="678"/>
        <v>0</v>
      </c>
      <c r="W10870">
        <f t="shared" si="679"/>
        <v>0</v>
      </c>
    </row>
    <row r="10871" spans="5:23" x14ac:dyDescent="0.25">
      <c r="E10871" s="4"/>
      <c r="F10871" s="4"/>
      <c r="G10871" s="33" t="str">
        <f>IFERROR(VLOOKUP($D10871,'Informations sur les produits'!$A$3:$H$10000,8,FALSE),"0")</f>
        <v>0</v>
      </c>
      <c r="K10871" s="4"/>
      <c r="L10871" s="33" t="str">
        <f>IFERROR(VLOOKUP($J10871,'Informations sur les produits'!$A$3:$H$10000,8,FALSE),"0")</f>
        <v>0</v>
      </c>
      <c r="N10871" s="8"/>
      <c r="O10871" s="33" t="str">
        <f>IFERROR(VLOOKUP($M10871,'Informations sur les produits'!$A$3:$H$10000,8,FALSE),"0")</f>
        <v>0</v>
      </c>
      <c r="P10871" s="33">
        <f t="shared" si="676"/>
        <v>0</v>
      </c>
      <c r="Q10871" s="31" t="str">
        <f t="shared" si="677"/>
        <v/>
      </c>
      <c r="R10871" s="32" t="str">
        <f>IFERROR(VLOOKUP($D10871,'Informations sur les produits'!$A$3:$B$15000,2,FALSE),"")</f>
        <v/>
      </c>
      <c r="V10871">
        <f t="shared" si="678"/>
        <v>0</v>
      </c>
      <c r="W10871">
        <f t="shared" si="679"/>
        <v>0</v>
      </c>
    </row>
    <row r="10872" spans="5:23" x14ac:dyDescent="0.25">
      <c r="E10872" s="4"/>
      <c r="F10872" s="4"/>
      <c r="G10872" s="33" t="str">
        <f>IFERROR(VLOOKUP($D10872,'Informations sur les produits'!$A$3:$H$10000,8,FALSE),"0")</f>
        <v>0</v>
      </c>
      <c r="K10872" s="4"/>
      <c r="L10872" s="33" t="str">
        <f>IFERROR(VLOOKUP($J10872,'Informations sur les produits'!$A$3:$H$10000,8,FALSE),"0")</f>
        <v>0</v>
      </c>
      <c r="N10872" s="8"/>
      <c r="O10872" s="33" t="str">
        <f>IFERROR(VLOOKUP($M10872,'Informations sur les produits'!$A$3:$H$10000,8,FALSE),"0")</f>
        <v>0</v>
      </c>
      <c r="P10872" s="33">
        <f t="shared" si="676"/>
        <v>0</v>
      </c>
      <c r="Q10872" s="31" t="str">
        <f t="shared" si="677"/>
        <v/>
      </c>
      <c r="R10872" s="32" t="str">
        <f>IFERROR(VLOOKUP($D10872,'Informations sur les produits'!$A$3:$B$15000,2,FALSE),"")</f>
        <v/>
      </c>
      <c r="V10872">
        <f t="shared" si="678"/>
        <v>0</v>
      </c>
      <c r="W10872">
        <f t="shared" si="679"/>
        <v>0</v>
      </c>
    </row>
    <row r="10873" spans="5:23" x14ac:dyDescent="0.25">
      <c r="E10873" s="4"/>
      <c r="F10873" s="4"/>
      <c r="G10873" s="33" t="str">
        <f>IFERROR(VLOOKUP($D10873,'Informations sur les produits'!$A$3:$H$10000,8,FALSE),"0")</f>
        <v>0</v>
      </c>
      <c r="K10873" s="4"/>
      <c r="L10873" s="33" t="str">
        <f>IFERROR(VLOOKUP($J10873,'Informations sur les produits'!$A$3:$H$10000,8,FALSE),"0")</f>
        <v>0</v>
      </c>
      <c r="N10873" s="8"/>
      <c r="O10873" s="33" t="str">
        <f>IFERROR(VLOOKUP($M10873,'Informations sur les produits'!$A$3:$H$10000,8,FALSE),"0")</f>
        <v>0</v>
      </c>
      <c r="P10873" s="33">
        <f t="shared" si="676"/>
        <v>0</v>
      </c>
      <c r="Q10873" s="31" t="str">
        <f t="shared" si="677"/>
        <v/>
      </c>
      <c r="R10873" s="32" t="str">
        <f>IFERROR(VLOOKUP($D10873,'Informations sur les produits'!$A$3:$B$15000,2,FALSE),"")</f>
        <v/>
      </c>
      <c r="V10873">
        <f t="shared" si="678"/>
        <v>0</v>
      </c>
      <c r="W10873">
        <f t="shared" si="679"/>
        <v>0</v>
      </c>
    </row>
    <row r="10874" spans="5:23" x14ac:dyDescent="0.25">
      <c r="E10874" s="4"/>
      <c r="F10874" s="4"/>
      <c r="G10874" s="33" t="str">
        <f>IFERROR(VLOOKUP($D10874,'Informations sur les produits'!$A$3:$H$10000,8,FALSE),"0")</f>
        <v>0</v>
      </c>
      <c r="K10874" s="4"/>
      <c r="L10874" s="33" t="str">
        <f>IFERROR(VLOOKUP($J10874,'Informations sur les produits'!$A$3:$H$10000,8,FALSE),"0")</f>
        <v>0</v>
      </c>
      <c r="N10874" s="8"/>
      <c r="O10874" s="33" t="str">
        <f>IFERROR(VLOOKUP($M10874,'Informations sur les produits'!$A$3:$H$10000,8,FALSE),"0")</f>
        <v>0</v>
      </c>
      <c r="P10874" s="33">
        <f t="shared" si="676"/>
        <v>0</v>
      </c>
      <c r="Q10874" s="31" t="str">
        <f t="shared" si="677"/>
        <v/>
      </c>
      <c r="R10874" s="32" t="str">
        <f>IFERROR(VLOOKUP($D10874,'Informations sur les produits'!$A$3:$B$15000,2,FALSE),"")</f>
        <v/>
      </c>
      <c r="V10874">
        <f t="shared" si="678"/>
        <v>0</v>
      </c>
      <c r="W10874">
        <f t="shared" si="679"/>
        <v>0</v>
      </c>
    </row>
    <row r="10875" spans="5:23" x14ac:dyDescent="0.25">
      <c r="E10875" s="4"/>
      <c r="F10875" s="4"/>
      <c r="G10875" s="33" t="str">
        <f>IFERROR(VLOOKUP($D10875,'Informations sur les produits'!$A$3:$H$10000,8,FALSE),"0")</f>
        <v>0</v>
      </c>
      <c r="K10875" s="4"/>
      <c r="L10875" s="33" t="str">
        <f>IFERROR(VLOOKUP($J10875,'Informations sur les produits'!$A$3:$H$10000,8,FALSE),"0")</f>
        <v>0</v>
      </c>
      <c r="N10875" s="8"/>
      <c r="O10875" s="33" t="str">
        <f>IFERROR(VLOOKUP($M10875,'Informations sur les produits'!$A$3:$H$10000,8,FALSE),"0")</f>
        <v>0</v>
      </c>
      <c r="P10875" s="33">
        <f t="shared" si="676"/>
        <v>0</v>
      </c>
      <c r="Q10875" s="31" t="str">
        <f t="shared" si="677"/>
        <v/>
      </c>
      <c r="R10875" s="32" t="str">
        <f>IFERROR(VLOOKUP($D10875,'Informations sur les produits'!$A$3:$B$15000,2,FALSE),"")</f>
        <v/>
      </c>
      <c r="V10875">
        <f t="shared" si="678"/>
        <v>0</v>
      </c>
      <c r="W10875">
        <f t="shared" si="679"/>
        <v>0</v>
      </c>
    </row>
    <row r="10876" spans="5:23" x14ac:dyDescent="0.25">
      <c r="E10876" s="4"/>
      <c r="F10876" s="4"/>
      <c r="G10876" s="33" t="str">
        <f>IFERROR(VLOOKUP($D10876,'Informations sur les produits'!$A$3:$H$10000,8,FALSE),"0")</f>
        <v>0</v>
      </c>
      <c r="K10876" s="4"/>
      <c r="L10876" s="33" t="str">
        <f>IFERROR(VLOOKUP($J10876,'Informations sur les produits'!$A$3:$H$10000,8,FALSE),"0")</f>
        <v>0</v>
      </c>
      <c r="N10876" s="8"/>
      <c r="O10876" s="33" t="str">
        <f>IFERROR(VLOOKUP($M10876,'Informations sur les produits'!$A$3:$H$10000,8,FALSE),"0")</f>
        <v>0</v>
      </c>
      <c r="P10876" s="33">
        <f t="shared" si="676"/>
        <v>0</v>
      </c>
      <c r="Q10876" s="31" t="str">
        <f t="shared" si="677"/>
        <v/>
      </c>
      <c r="R10876" s="32" t="str">
        <f>IFERROR(VLOOKUP($D10876,'Informations sur les produits'!$A$3:$B$15000,2,FALSE),"")</f>
        <v/>
      </c>
      <c r="V10876">
        <f t="shared" si="678"/>
        <v>0</v>
      </c>
      <c r="W10876">
        <f t="shared" si="679"/>
        <v>0</v>
      </c>
    </row>
    <row r="10877" spans="5:23" x14ac:dyDescent="0.25">
      <c r="E10877" s="4"/>
      <c r="F10877" s="4"/>
      <c r="G10877" s="33" t="str">
        <f>IFERROR(VLOOKUP($D10877,'Informations sur les produits'!$A$3:$H$10000,8,FALSE),"0")</f>
        <v>0</v>
      </c>
      <c r="K10877" s="4"/>
      <c r="L10877" s="33" t="str">
        <f>IFERROR(VLOOKUP($J10877,'Informations sur les produits'!$A$3:$H$10000,8,FALSE),"0")</f>
        <v>0</v>
      </c>
      <c r="N10877" s="8"/>
      <c r="O10877" s="33" t="str">
        <f>IFERROR(VLOOKUP($M10877,'Informations sur les produits'!$A$3:$H$10000,8,FALSE),"0")</f>
        <v>0</v>
      </c>
      <c r="P10877" s="33">
        <f t="shared" si="676"/>
        <v>0</v>
      </c>
      <c r="Q10877" s="31" t="str">
        <f t="shared" si="677"/>
        <v/>
      </c>
      <c r="R10877" s="32" t="str">
        <f>IFERROR(VLOOKUP($D10877,'Informations sur les produits'!$A$3:$B$15000,2,FALSE),"")</f>
        <v/>
      </c>
      <c r="V10877">
        <f t="shared" si="678"/>
        <v>0</v>
      </c>
      <c r="W10877">
        <f t="shared" si="679"/>
        <v>0</v>
      </c>
    </row>
    <row r="10878" spans="5:23" x14ac:dyDescent="0.25">
      <c r="E10878" s="4"/>
      <c r="F10878" s="4"/>
      <c r="G10878" s="33" t="str">
        <f>IFERROR(VLOOKUP($D10878,'Informations sur les produits'!$A$3:$H$10000,8,FALSE),"0")</f>
        <v>0</v>
      </c>
      <c r="K10878" s="4"/>
      <c r="L10878" s="33" t="str">
        <f>IFERROR(VLOOKUP($J10878,'Informations sur les produits'!$A$3:$H$10000,8,FALSE),"0")</f>
        <v>0</v>
      </c>
      <c r="N10878" s="8"/>
      <c r="O10878" s="33" t="str">
        <f>IFERROR(VLOOKUP($M10878,'Informations sur les produits'!$A$3:$H$10000,8,FALSE),"0")</f>
        <v>0</v>
      </c>
      <c r="P10878" s="33">
        <f t="shared" si="676"/>
        <v>0</v>
      </c>
      <c r="Q10878" s="31" t="str">
        <f t="shared" si="677"/>
        <v/>
      </c>
      <c r="R10878" s="32" t="str">
        <f>IFERROR(VLOOKUP($D10878,'Informations sur les produits'!$A$3:$B$15000,2,FALSE),"")</f>
        <v/>
      </c>
      <c r="V10878">
        <f t="shared" si="678"/>
        <v>0</v>
      </c>
      <c r="W10878">
        <f t="shared" si="679"/>
        <v>0</v>
      </c>
    </row>
    <row r="10879" spans="5:23" x14ac:dyDescent="0.25">
      <c r="E10879" s="4"/>
      <c r="F10879" s="4"/>
      <c r="G10879" s="33" t="str">
        <f>IFERROR(VLOOKUP($D10879,'Informations sur les produits'!$A$3:$H$10000,8,FALSE),"0")</f>
        <v>0</v>
      </c>
      <c r="K10879" s="4"/>
      <c r="L10879" s="33" t="str">
        <f>IFERROR(VLOOKUP($J10879,'Informations sur les produits'!$A$3:$H$10000,8,FALSE),"0")</f>
        <v>0</v>
      </c>
      <c r="N10879" s="8"/>
      <c r="O10879" s="33" t="str">
        <f>IFERROR(VLOOKUP($M10879,'Informations sur les produits'!$A$3:$H$10000,8,FALSE),"0")</f>
        <v>0</v>
      </c>
      <c r="P10879" s="33">
        <f t="shared" si="676"/>
        <v>0</v>
      </c>
      <c r="Q10879" s="31" t="str">
        <f t="shared" si="677"/>
        <v/>
      </c>
      <c r="R10879" s="32" t="str">
        <f>IFERROR(VLOOKUP($D10879,'Informations sur les produits'!$A$3:$B$15000,2,FALSE),"")</f>
        <v/>
      </c>
      <c r="V10879">
        <f t="shared" si="678"/>
        <v>0</v>
      </c>
      <c r="W10879">
        <f t="shared" si="679"/>
        <v>0</v>
      </c>
    </row>
    <row r="10880" spans="5:23" x14ac:dyDescent="0.25">
      <c r="E10880" s="4"/>
      <c r="F10880" s="4"/>
      <c r="G10880" s="33" t="str">
        <f>IFERROR(VLOOKUP($D10880,'Informations sur les produits'!$A$3:$H$10000,8,FALSE),"0")</f>
        <v>0</v>
      </c>
      <c r="K10880" s="4"/>
      <c r="L10880" s="33" t="str">
        <f>IFERROR(VLOOKUP($J10880,'Informations sur les produits'!$A$3:$H$10000,8,FALSE),"0")</f>
        <v>0</v>
      </c>
      <c r="N10880" s="8"/>
      <c r="O10880" s="33" t="str">
        <f>IFERROR(VLOOKUP($M10880,'Informations sur les produits'!$A$3:$H$10000,8,FALSE),"0")</f>
        <v>0</v>
      </c>
      <c r="P10880" s="33">
        <f t="shared" si="676"/>
        <v>0</v>
      </c>
      <c r="Q10880" s="31" t="str">
        <f t="shared" si="677"/>
        <v/>
      </c>
      <c r="R10880" s="32" t="str">
        <f>IFERROR(VLOOKUP($D10880,'Informations sur les produits'!$A$3:$B$15000,2,FALSE),"")</f>
        <v/>
      </c>
      <c r="V10880">
        <f t="shared" si="678"/>
        <v>0</v>
      </c>
      <c r="W10880">
        <f t="shared" si="679"/>
        <v>0</v>
      </c>
    </row>
    <row r="10881" spans="5:23" x14ac:dyDescent="0.25">
      <c r="E10881" s="4"/>
      <c r="F10881" s="4"/>
      <c r="G10881" s="33" t="str">
        <f>IFERROR(VLOOKUP($D10881,'Informations sur les produits'!$A$3:$H$10000,8,FALSE),"0")</f>
        <v>0</v>
      </c>
      <c r="K10881" s="4"/>
      <c r="L10881" s="33" t="str">
        <f>IFERROR(VLOOKUP($J10881,'Informations sur les produits'!$A$3:$H$10000,8,FALSE),"0")</f>
        <v>0</v>
      </c>
      <c r="N10881" s="8"/>
      <c r="O10881" s="33" t="str">
        <f>IFERROR(VLOOKUP($M10881,'Informations sur les produits'!$A$3:$H$10000,8,FALSE),"0")</f>
        <v>0</v>
      </c>
      <c r="P10881" s="33">
        <f t="shared" si="676"/>
        <v>0</v>
      </c>
      <c r="Q10881" s="31" t="str">
        <f t="shared" si="677"/>
        <v/>
      </c>
      <c r="R10881" s="32" t="str">
        <f>IFERROR(VLOOKUP($D10881,'Informations sur les produits'!$A$3:$B$15000,2,FALSE),"")</f>
        <v/>
      </c>
      <c r="V10881">
        <f t="shared" si="678"/>
        <v>0</v>
      </c>
      <c r="W10881">
        <f t="shared" si="679"/>
        <v>0</v>
      </c>
    </row>
    <row r="10882" spans="5:23" x14ac:dyDescent="0.25">
      <c r="E10882" s="4"/>
      <c r="F10882" s="4"/>
      <c r="G10882" s="33" t="str">
        <f>IFERROR(VLOOKUP($D10882,'Informations sur les produits'!$A$3:$H$10000,8,FALSE),"0")</f>
        <v>0</v>
      </c>
      <c r="K10882" s="4"/>
      <c r="L10882" s="33" t="str">
        <f>IFERROR(VLOOKUP($J10882,'Informations sur les produits'!$A$3:$H$10000,8,FALSE),"0")</f>
        <v>0</v>
      </c>
      <c r="N10882" s="8"/>
      <c r="O10882" s="33" t="str">
        <f>IFERROR(VLOOKUP($M10882,'Informations sur les produits'!$A$3:$H$10000,8,FALSE),"0")</f>
        <v>0</v>
      </c>
      <c r="P10882" s="33">
        <f t="shared" si="676"/>
        <v>0</v>
      </c>
      <c r="Q10882" s="31" t="str">
        <f t="shared" si="677"/>
        <v/>
      </c>
      <c r="R10882" s="32" t="str">
        <f>IFERROR(VLOOKUP($D10882,'Informations sur les produits'!$A$3:$B$15000,2,FALSE),"")</f>
        <v/>
      </c>
      <c r="V10882">
        <f t="shared" si="678"/>
        <v>0</v>
      </c>
      <c r="W10882">
        <f t="shared" si="679"/>
        <v>0</v>
      </c>
    </row>
    <row r="10883" spans="5:23" x14ac:dyDescent="0.25">
      <c r="E10883" s="4"/>
      <c r="F10883" s="4"/>
      <c r="G10883" s="33" t="str">
        <f>IFERROR(VLOOKUP($D10883,'Informations sur les produits'!$A$3:$H$10000,8,FALSE),"0")</f>
        <v>0</v>
      </c>
      <c r="K10883" s="4"/>
      <c r="L10883" s="33" t="str">
        <f>IFERROR(VLOOKUP($J10883,'Informations sur les produits'!$A$3:$H$10000,8,FALSE),"0")</f>
        <v>0</v>
      </c>
      <c r="N10883" s="8"/>
      <c r="O10883" s="33" t="str">
        <f>IFERROR(VLOOKUP($M10883,'Informations sur les produits'!$A$3:$H$10000,8,FALSE),"0")</f>
        <v>0</v>
      </c>
      <c r="P10883" s="33">
        <f t="shared" si="676"/>
        <v>0</v>
      </c>
      <c r="Q10883" s="31" t="str">
        <f t="shared" si="677"/>
        <v/>
      </c>
      <c r="R10883" s="32" t="str">
        <f>IFERROR(VLOOKUP($D10883,'Informations sur les produits'!$A$3:$B$15000,2,FALSE),"")</f>
        <v/>
      </c>
      <c r="V10883">
        <f t="shared" si="678"/>
        <v>0</v>
      </c>
      <c r="W10883">
        <f t="shared" si="679"/>
        <v>0</v>
      </c>
    </row>
    <row r="10884" spans="5:23" x14ac:dyDescent="0.25">
      <c r="E10884" s="4"/>
      <c r="F10884" s="4"/>
      <c r="G10884" s="33" t="str">
        <f>IFERROR(VLOOKUP($D10884,'Informations sur les produits'!$A$3:$H$10000,8,FALSE),"0")</f>
        <v>0</v>
      </c>
      <c r="K10884" s="4"/>
      <c r="L10884" s="33" t="str">
        <f>IFERROR(VLOOKUP($J10884,'Informations sur les produits'!$A$3:$H$10000,8,FALSE),"0")</f>
        <v>0</v>
      </c>
      <c r="N10884" s="8"/>
      <c r="O10884" s="33" t="str">
        <f>IFERROR(VLOOKUP($M10884,'Informations sur les produits'!$A$3:$H$10000,8,FALSE),"0")</f>
        <v>0</v>
      </c>
      <c r="P10884" s="33">
        <f t="shared" ref="P10884:P10947" si="680">IFERROR((($E10884-$F10884)*$G10884+$K10884*$L10884+$N10884*$O10884),"")</f>
        <v>0</v>
      </c>
      <c r="Q10884" s="31" t="str">
        <f t="shared" ref="Q10884:Q10947" si="681">IFERROR((((($E10884-$F10884)*$G10884+$K10884*$L10884+$N10884*$O10884)*1000)/(($E10884-$F10884)+$K10884+$N10884)),"")</f>
        <v/>
      </c>
      <c r="R10884" s="32" t="str">
        <f>IFERROR(VLOOKUP($D10884,'Informations sur les produits'!$A$3:$B$15000,2,FALSE),"")</f>
        <v/>
      </c>
      <c r="V10884">
        <f t="shared" ref="V10884:V10947" si="682">IFERROR(P10884*1000,"")</f>
        <v>0</v>
      </c>
      <c r="W10884">
        <f t="shared" ref="W10884:W10947" si="683">IFERROR(($E10884-$F10884)+$K10884+$N10884,"")</f>
        <v>0</v>
      </c>
    </row>
    <row r="10885" spans="5:23" x14ac:dyDescent="0.25">
      <c r="E10885" s="4"/>
      <c r="F10885" s="4"/>
      <c r="G10885" s="33" t="str">
        <f>IFERROR(VLOOKUP($D10885,'Informations sur les produits'!$A$3:$H$10000,8,FALSE),"0")</f>
        <v>0</v>
      </c>
      <c r="K10885" s="4"/>
      <c r="L10885" s="33" t="str">
        <f>IFERROR(VLOOKUP($J10885,'Informations sur les produits'!$A$3:$H$10000,8,FALSE),"0")</f>
        <v>0</v>
      </c>
      <c r="N10885" s="8"/>
      <c r="O10885" s="33" t="str">
        <f>IFERROR(VLOOKUP($M10885,'Informations sur les produits'!$A$3:$H$10000,8,FALSE),"0")</f>
        <v>0</v>
      </c>
      <c r="P10885" s="33">
        <f t="shared" si="680"/>
        <v>0</v>
      </c>
      <c r="Q10885" s="31" t="str">
        <f t="shared" si="681"/>
        <v/>
      </c>
      <c r="R10885" s="32" t="str">
        <f>IFERROR(VLOOKUP($D10885,'Informations sur les produits'!$A$3:$B$15000,2,FALSE),"")</f>
        <v/>
      </c>
      <c r="V10885">
        <f t="shared" si="682"/>
        <v>0</v>
      </c>
      <c r="W10885">
        <f t="shared" si="683"/>
        <v>0</v>
      </c>
    </row>
    <row r="10886" spans="5:23" x14ac:dyDescent="0.25">
      <c r="E10886" s="4"/>
      <c r="F10886" s="4"/>
      <c r="G10886" s="33" t="str">
        <f>IFERROR(VLOOKUP($D10886,'Informations sur les produits'!$A$3:$H$10000,8,FALSE),"0")</f>
        <v>0</v>
      </c>
      <c r="K10886" s="4"/>
      <c r="L10886" s="33" t="str">
        <f>IFERROR(VLOOKUP($J10886,'Informations sur les produits'!$A$3:$H$10000,8,FALSE),"0")</f>
        <v>0</v>
      </c>
      <c r="N10886" s="8"/>
      <c r="O10886" s="33" t="str">
        <f>IFERROR(VLOOKUP($M10886,'Informations sur les produits'!$A$3:$H$10000,8,FALSE),"0")</f>
        <v>0</v>
      </c>
      <c r="P10886" s="33">
        <f t="shared" si="680"/>
        <v>0</v>
      </c>
      <c r="Q10886" s="31" t="str">
        <f t="shared" si="681"/>
        <v/>
      </c>
      <c r="R10886" s="32" t="str">
        <f>IFERROR(VLOOKUP($D10886,'Informations sur les produits'!$A$3:$B$15000,2,FALSE),"")</f>
        <v/>
      </c>
      <c r="V10886">
        <f t="shared" si="682"/>
        <v>0</v>
      </c>
      <c r="W10886">
        <f t="shared" si="683"/>
        <v>0</v>
      </c>
    </row>
    <row r="10887" spans="5:23" x14ac:dyDescent="0.25">
      <c r="E10887" s="4"/>
      <c r="F10887" s="4"/>
      <c r="G10887" s="33" t="str">
        <f>IFERROR(VLOOKUP($D10887,'Informations sur les produits'!$A$3:$H$10000,8,FALSE),"0")</f>
        <v>0</v>
      </c>
      <c r="K10887" s="4"/>
      <c r="L10887" s="33" t="str">
        <f>IFERROR(VLOOKUP($J10887,'Informations sur les produits'!$A$3:$H$10000,8,FALSE),"0")</f>
        <v>0</v>
      </c>
      <c r="N10887" s="8"/>
      <c r="O10887" s="33" t="str">
        <f>IFERROR(VLOOKUP($M10887,'Informations sur les produits'!$A$3:$H$10000,8,FALSE),"0")</f>
        <v>0</v>
      </c>
      <c r="P10887" s="33">
        <f t="shared" si="680"/>
        <v>0</v>
      </c>
      <c r="Q10887" s="31" t="str">
        <f t="shared" si="681"/>
        <v/>
      </c>
      <c r="R10887" s="32" t="str">
        <f>IFERROR(VLOOKUP($D10887,'Informations sur les produits'!$A$3:$B$15000,2,FALSE),"")</f>
        <v/>
      </c>
      <c r="V10887">
        <f t="shared" si="682"/>
        <v>0</v>
      </c>
      <c r="W10887">
        <f t="shared" si="683"/>
        <v>0</v>
      </c>
    </row>
    <row r="10888" spans="5:23" x14ac:dyDescent="0.25">
      <c r="E10888" s="4"/>
      <c r="F10888" s="4"/>
      <c r="G10888" s="33" t="str">
        <f>IFERROR(VLOOKUP($D10888,'Informations sur les produits'!$A$3:$H$10000,8,FALSE),"0")</f>
        <v>0</v>
      </c>
      <c r="K10888" s="4"/>
      <c r="L10888" s="33" t="str">
        <f>IFERROR(VLOOKUP($J10888,'Informations sur les produits'!$A$3:$H$10000,8,FALSE),"0")</f>
        <v>0</v>
      </c>
      <c r="N10888" s="8"/>
      <c r="O10888" s="33" t="str">
        <f>IFERROR(VLOOKUP($M10888,'Informations sur les produits'!$A$3:$H$10000,8,FALSE),"0")</f>
        <v>0</v>
      </c>
      <c r="P10888" s="33">
        <f t="shared" si="680"/>
        <v>0</v>
      </c>
      <c r="Q10888" s="31" t="str">
        <f t="shared" si="681"/>
        <v/>
      </c>
      <c r="R10888" s="32" t="str">
        <f>IFERROR(VLOOKUP($D10888,'Informations sur les produits'!$A$3:$B$15000,2,FALSE),"")</f>
        <v/>
      </c>
      <c r="V10888">
        <f t="shared" si="682"/>
        <v>0</v>
      </c>
      <c r="W10888">
        <f t="shared" si="683"/>
        <v>0</v>
      </c>
    </row>
    <row r="10889" spans="5:23" x14ac:dyDescent="0.25">
      <c r="E10889" s="4"/>
      <c r="F10889" s="4"/>
      <c r="G10889" s="33" t="str">
        <f>IFERROR(VLOOKUP($D10889,'Informations sur les produits'!$A$3:$H$10000,8,FALSE),"0")</f>
        <v>0</v>
      </c>
      <c r="K10889" s="4"/>
      <c r="L10889" s="33" t="str">
        <f>IFERROR(VLOOKUP($J10889,'Informations sur les produits'!$A$3:$H$10000,8,FALSE),"0")</f>
        <v>0</v>
      </c>
      <c r="N10889" s="8"/>
      <c r="O10889" s="33" t="str">
        <f>IFERROR(VLOOKUP($M10889,'Informations sur les produits'!$A$3:$H$10000,8,FALSE),"0")</f>
        <v>0</v>
      </c>
      <c r="P10889" s="33">
        <f t="shared" si="680"/>
        <v>0</v>
      </c>
      <c r="Q10889" s="31" t="str">
        <f t="shared" si="681"/>
        <v/>
      </c>
      <c r="R10889" s="32" t="str">
        <f>IFERROR(VLOOKUP($D10889,'Informations sur les produits'!$A$3:$B$15000,2,FALSE),"")</f>
        <v/>
      </c>
      <c r="V10889">
        <f t="shared" si="682"/>
        <v>0</v>
      </c>
      <c r="W10889">
        <f t="shared" si="683"/>
        <v>0</v>
      </c>
    </row>
    <row r="10890" spans="5:23" x14ac:dyDescent="0.25">
      <c r="E10890" s="4"/>
      <c r="F10890" s="4"/>
      <c r="G10890" s="33" t="str">
        <f>IFERROR(VLOOKUP($D10890,'Informations sur les produits'!$A$3:$H$10000,8,FALSE),"0")</f>
        <v>0</v>
      </c>
      <c r="K10890" s="4"/>
      <c r="L10890" s="33" t="str">
        <f>IFERROR(VLOOKUP($J10890,'Informations sur les produits'!$A$3:$H$10000,8,FALSE),"0")</f>
        <v>0</v>
      </c>
      <c r="N10890" s="8"/>
      <c r="O10890" s="33" t="str">
        <f>IFERROR(VLOOKUP($M10890,'Informations sur les produits'!$A$3:$H$10000,8,FALSE),"0")</f>
        <v>0</v>
      </c>
      <c r="P10890" s="33">
        <f t="shared" si="680"/>
        <v>0</v>
      </c>
      <c r="Q10890" s="31" t="str">
        <f t="shared" si="681"/>
        <v/>
      </c>
      <c r="R10890" s="32" t="str">
        <f>IFERROR(VLOOKUP($D10890,'Informations sur les produits'!$A$3:$B$15000,2,FALSE),"")</f>
        <v/>
      </c>
      <c r="V10890">
        <f t="shared" si="682"/>
        <v>0</v>
      </c>
      <c r="W10890">
        <f t="shared" si="683"/>
        <v>0</v>
      </c>
    </row>
    <row r="10891" spans="5:23" x14ac:dyDescent="0.25">
      <c r="E10891" s="4"/>
      <c r="F10891" s="4"/>
      <c r="G10891" s="33" t="str">
        <f>IFERROR(VLOOKUP($D10891,'Informations sur les produits'!$A$3:$H$10000,8,FALSE),"0")</f>
        <v>0</v>
      </c>
      <c r="K10891" s="4"/>
      <c r="L10891" s="33" t="str">
        <f>IFERROR(VLOOKUP($J10891,'Informations sur les produits'!$A$3:$H$10000,8,FALSE),"0")</f>
        <v>0</v>
      </c>
      <c r="N10891" s="8"/>
      <c r="O10891" s="33" t="str">
        <f>IFERROR(VLOOKUP($M10891,'Informations sur les produits'!$A$3:$H$10000,8,FALSE),"0")</f>
        <v>0</v>
      </c>
      <c r="P10891" s="33">
        <f t="shared" si="680"/>
        <v>0</v>
      </c>
      <c r="Q10891" s="31" t="str">
        <f t="shared" si="681"/>
        <v/>
      </c>
      <c r="R10891" s="32" t="str">
        <f>IFERROR(VLOOKUP($D10891,'Informations sur les produits'!$A$3:$B$15000,2,FALSE),"")</f>
        <v/>
      </c>
      <c r="V10891">
        <f t="shared" si="682"/>
        <v>0</v>
      </c>
      <c r="W10891">
        <f t="shared" si="683"/>
        <v>0</v>
      </c>
    </row>
    <row r="10892" spans="5:23" x14ac:dyDescent="0.25">
      <c r="E10892" s="4"/>
      <c r="F10892" s="4"/>
      <c r="G10892" s="33" t="str">
        <f>IFERROR(VLOOKUP($D10892,'Informations sur les produits'!$A$3:$H$10000,8,FALSE),"0")</f>
        <v>0</v>
      </c>
      <c r="K10892" s="4"/>
      <c r="L10892" s="33" t="str">
        <f>IFERROR(VLOOKUP($J10892,'Informations sur les produits'!$A$3:$H$10000,8,FALSE),"0")</f>
        <v>0</v>
      </c>
      <c r="N10892" s="8"/>
      <c r="O10892" s="33" t="str">
        <f>IFERROR(VLOOKUP($M10892,'Informations sur les produits'!$A$3:$H$10000,8,FALSE),"0")</f>
        <v>0</v>
      </c>
      <c r="P10892" s="33">
        <f t="shared" si="680"/>
        <v>0</v>
      </c>
      <c r="Q10892" s="31" t="str">
        <f t="shared" si="681"/>
        <v/>
      </c>
      <c r="R10892" s="32" t="str">
        <f>IFERROR(VLOOKUP($D10892,'Informations sur les produits'!$A$3:$B$15000,2,FALSE),"")</f>
        <v/>
      </c>
      <c r="V10892">
        <f t="shared" si="682"/>
        <v>0</v>
      </c>
      <c r="W10892">
        <f t="shared" si="683"/>
        <v>0</v>
      </c>
    </row>
    <row r="10893" spans="5:23" x14ac:dyDescent="0.25">
      <c r="E10893" s="4"/>
      <c r="F10893" s="4"/>
      <c r="G10893" s="33" t="str">
        <f>IFERROR(VLOOKUP($D10893,'Informations sur les produits'!$A$3:$H$10000,8,FALSE),"0")</f>
        <v>0</v>
      </c>
      <c r="K10893" s="4"/>
      <c r="L10893" s="33" t="str">
        <f>IFERROR(VLOOKUP($J10893,'Informations sur les produits'!$A$3:$H$10000,8,FALSE),"0")</f>
        <v>0</v>
      </c>
      <c r="N10893" s="8"/>
      <c r="O10893" s="33" t="str">
        <f>IFERROR(VLOOKUP($M10893,'Informations sur les produits'!$A$3:$H$10000,8,FALSE),"0")</f>
        <v>0</v>
      </c>
      <c r="P10893" s="33">
        <f t="shared" si="680"/>
        <v>0</v>
      </c>
      <c r="Q10893" s="31" t="str">
        <f t="shared" si="681"/>
        <v/>
      </c>
      <c r="R10893" s="32" t="str">
        <f>IFERROR(VLOOKUP($D10893,'Informations sur les produits'!$A$3:$B$15000,2,FALSE),"")</f>
        <v/>
      </c>
      <c r="V10893">
        <f t="shared" si="682"/>
        <v>0</v>
      </c>
      <c r="W10893">
        <f t="shared" si="683"/>
        <v>0</v>
      </c>
    </row>
    <row r="10894" spans="5:23" x14ac:dyDescent="0.25">
      <c r="E10894" s="4"/>
      <c r="F10894" s="4"/>
      <c r="G10894" s="33" t="str">
        <f>IFERROR(VLOOKUP($D10894,'Informations sur les produits'!$A$3:$H$10000,8,FALSE),"0")</f>
        <v>0</v>
      </c>
      <c r="K10894" s="4"/>
      <c r="L10894" s="33" t="str">
        <f>IFERROR(VLOOKUP($J10894,'Informations sur les produits'!$A$3:$H$10000,8,FALSE),"0")</f>
        <v>0</v>
      </c>
      <c r="N10894" s="8"/>
      <c r="O10894" s="33" t="str">
        <f>IFERROR(VLOOKUP($M10894,'Informations sur les produits'!$A$3:$H$10000,8,FALSE),"0")</f>
        <v>0</v>
      </c>
      <c r="P10894" s="33">
        <f t="shared" si="680"/>
        <v>0</v>
      </c>
      <c r="Q10894" s="31" t="str">
        <f t="shared" si="681"/>
        <v/>
      </c>
      <c r="R10894" s="32" t="str">
        <f>IFERROR(VLOOKUP($D10894,'Informations sur les produits'!$A$3:$B$15000,2,FALSE),"")</f>
        <v/>
      </c>
      <c r="V10894">
        <f t="shared" si="682"/>
        <v>0</v>
      </c>
      <c r="W10894">
        <f t="shared" si="683"/>
        <v>0</v>
      </c>
    </row>
    <row r="10895" spans="5:23" x14ac:dyDescent="0.25">
      <c r="E10895" s="4"/>
      <c r="F10895" s="4"/>
      <c r="G10895" s="33" t="str">
        <f>IFERROR(VLOOKUP($D10895,'Informations sur les produits'!$A$3:$H$10000,8,FALSE),"0")</f>
        <v>0</v>
      </c>
      <c r="K10895" s="4"/>
      <c r="L10895" s="33" t="str">
        <f>IFERROR(VLOOKUP($J10895,'Informations sur les produits'!$A$3:$H$10000,8,FALSE),"0")</f>
        <v>0</v>
      </c>
      <c r="N10895" s="8"/>
      <c r="O10895" s="33" t="str">
        <f>IFERROR(VLOOKUP($M10895,'Informations sur les produits'!$A$3:$H$10000,8,FALSE),"0")</f>
        <v>0</v>
      </c>
      <c r="P10895" s="33">
        <f t="shared" si="680"/>
        <v>0</v>
      </c>
      <c r="Q10895" s="31" t="str">
        <f t="shared" si="681"/>
        <v/>
      </c>
      <c r="R10895" s="32" t="str">
        <f>IFERROR(VLOOKUP($D10895,'Informations sur les produits'!$A$3:$B$15000,2,FALSE),"")</f>
        <v/>
      </c>
      <c r="V10895">
        <f t="shared" si="682"/>
        <v>0</v>
      </c>
      <c r="W10895">
        <f t="shared" si="683"/>
        <v>0</v>
      </c>
    </row>
    <row r="10896" spans="5:23" x14ac:dyDescent="0.25">
      <c r="E10896" s="4"/>
      <c r="F10896" s="4"/>
      <c r="G10896" s="33" t="str">
        <f>IFERROR(VLOOKUP($D10896,'Informations sur les produits'!$A$3:$H$10000,8,FALSE),"0")</f>
        <v>0</v>
      </c>
      <c r="K10896" s="4"/>
      <c r="L10896" s="33" t="str">
        <f>IFERROR(VLOOKUP($J10896,'Informations sur les produits'!$A$3:$H$10000,8,FALSE),"0")</f>
        <v>0</v>
      </c>
      <c r="N10896" s="8"/>
      <c r="O10896" s="33" t="str">
        <f>IFERROR(VLOOKUP($M10896,'Informations sur les produits'!$A$3:$H$10000,8,FALSE),"0")</f>
        <v>0</v>
      </c>
      <c r="P10896" s="33">
        <f t="shared" si="680"/>
        <v>0</v>
      </c>
      <c r="Q10896" s="31" t="str">
        <f t="shared" si="681"/>
        <v/>
      </c>
      <c r="R10896" s="32" t="str">
        <f>IFERROR(VLOOKUP($D10896,'Informations sur les produits'!$A$3:$B$15000,2,FALSE),"")</f>
        <v/>
      </c>
      <c r="V10896">
        <f t="shared" si="682"/>
        <v>0</v>
      </c>
      <c r="W10896">
        <f t="shared" si="683"/>
        <v>0</v>
      </c>
    </row>
    <row r="10897" spans="5:23" x14ac:dyDescent="0.25">
      <c r="E10897" s="4"/>
      <c r="F10897" s="4"/>
      <c r="G10897" s="33" t="str">
        <f>IFERROR(VLOOKUP($D10897,'Informations sur les produits'!$A$3:$H$10000,8,FALSE),"0")</f>
        <v>0</v>
      </c>
      <c r="K10897" s="4"/>
      <c r="L10897" s="33" t="str">
        <f>IFERROR(VLOOKUP($J10897,'Informations sur les produits'!$A$3:$H$10000,8,FALSE),"0")</f>
        <v>0</v>
      </c>
      <c r="N10897" s="8"/>
      <c r="O10897" s="33" t="str">
        <f>IFERROR(VLOOKUP($M10897,'Informations sur les produits'!$A$3:$H$10000,8,FALSE),"0")</f>
        <v>0</v>
      </c>
      <c r="P10897" s="33">
        <f t="shared" si="680"/>
        <v>0</v>
      </c>
      <c r="Q10897" s="31" t="str">
        <f t="shared" si="681"/>
        <v/>
      </c>
      <c r="R10897" s="32" t="str">
        <f>IFERROR(VLOOKUP($D10897,'Informations sur les produits'!$A$3:$B$15000,2,FALSE),"")</f>
        <v/>
      </c>
      <c r="V10897">
        <f t="shared" si="682"/>
        <v>0</v>
      </c>
      <c r="W10897">
        <f t="shared" si="683"/>
        <v>0</v>
      </c>
    </row>
    <row r="10898" spans="5:23" x14ac:dyDescent="0.25">
      <c r="E10898" s="4"/>
      <c r="F10898" s="4"/>
      <c r="G10898" s="33" t="str">
        <f>IFERROR(VLOOKUP($D10898,'Informations sur les produits'!$A$3:$H$10000,8,FALSE),"0")</f>
        <v>0</v>
      </c>
      <c r="K10898" s="4"/>
      <c r="L10898" s="33" t="str">
        <f>IFERROR(VLOOKUP($J10898,'Informations sur les produits'!$A$3:$H$10000,8,FALSE),"0")</f>
        <v>0</v>
      </c>
      <c r="N10898" s="8"/>
      <c r="O10898" s="33" t="str">
        <f>IFERROR(VLOOKUP($M10898,'Informations sur les produits'!$A$3:$H$10000,8,FALSE),"0")</f>
        <v>0</v>
      </c>
      <c r="P10898" s="33">
        <f t="shared" si="680"/>
        <v>0</v>
      </c>
      <c r="Q10898" s="31" t="str">
        <f t="shared" si="681"/>
        <v/>
      </c>
      <c r="R10898" s="32" t="str">
        <f>IFERROR(VLOOKUP($D10898,'Informations sur les produits'!$A$3:$B$15000,2,FALSE),"")</f>
        <v/>
      </c>
      <c r="V10898">
        <f t="shared" si="682"/>
        <v>0</v>
      </c>
      <c r="W10898">
        <f t="shared" si="683"/>
        <v>0</v>
      </c>
    </row>
    <row r="10899" spans="5:23" x14ac:dyDescent="0.25">
      <c r="E10899" s="4"/>
      <c r="F10899" s="4"/>
      <c r="G10899" s="33" t="str">
        <f>IFERROR(VLOOKUP($D10899,'Informations sur les produits'!$A$3:$H$10000,8,FALSE),"0")</f>
        <v>0</v>
      </c>
      <c r="K10899" s="4"/>
      <c r="L10899" s="33" t="str">
        <f>IFERROR(VLOOKUP($J10899,'Informations sur les produits'!$A$3:$H$10000,8,FALSE),"0")</f>
        <v>0</v>
      </c>
      <c r="N10899" s="8"/>
      <c r="O10899" s="33" t="str">
        <f>IFERROR(VLOOKUP($M10899,'Informations sur les produits'!$A$3:$H$10000,8,FALSE),"0")</f>
        <v>0</v>
      </c>
      <c r="P10899" s="33">
        <f t="shared" si="680"/>
        <v>0</v>
      </c>
      <c r="Q10899" s="31" t="str">
        <f t="shared" si="681"/>
        <v/>
      </c>
      <c r="R10899" s="32" t="str">
        <f>IFERROR(VLOOKUP($D10899,'Informations sur les produits'!$A$3:$B$15000,2,FALSE),"")</f>
        <v/>
      </c>
      <c r="V10899">
        <f t="shared" si="682"/>
        <v>0</v>
      </c>
      <c r="W10899">
        <f t="shared" si="683"/>
        <v>0</v>
      </c>
    </row>
    <row r="10900" spans="5:23" x14ac:dyDescent="0.25">
      <c r="E10900" s="4"/>
      <c r="F10900" s="4"/>
      <c r="G10900" s="33" t="str">
        <f>IFERROR(VLOOKUP($D10900,'Informations sur les produits'!$A$3:$H$10000,8,FALSE),"0")</f>
        <v>0</v>
      </c>
      <c r="K10900" s="4"/>
      <c r="L10900" s="33" t="str">
        <f>IFERROR(VLOOKUP($J10900,'Informations sur les produits'!$A$3:$H$10000,8,FALSE),"0")</f>
        <v>0</v>
      </c>
      <c r="N10900" s="8"/>
      <c r="O10900" s="33" t="str">
        <f>IFERROR(VLOOKUP($M10900,'Informations sur les produits'!$A$3:$H$10000,8,FALSE),"0")</f>
        <v>0</v>
      </c>
      <c r="P10900" s="33">
        <f t="shared" si="680"/>
        <v>0</v>
      </c>
      <c r="Q10900" s="31" t="str">
        <f t="shared" si="681"/>
        <v/>
      </c>
      <c r="R10900" s="32" t="str">
        <f>IFERROR(VLOOKUP($D10900,'Informations sur les produits'!$A$3:$B$15000,2,FALSE),"")</f>
        <v/>
      </c>
      <c r="V10900">
        <f t="shared" si="682"/>
        <v>0</v>
      </c>
      <c r="W10900">
        <f t="shared" si="683"/>
        <v>0</v>
      </c>
    </row>
    <row r="10901" spans="5:23" x14ac:dyDescent="0.25">
      <c r="E10901" s="4"/>
      <c r="F10901" s="4"/>
      <c r="G10901" s="33" t="str">
        <f>IFERROR(VLOOKUP($D10901,'Informations sur les produits'!$A$3:$H$10000,8,FALSE),"0")</f>
        <v>0</v>
      </c>
      <c r="K10901" s="4"/>
      <c r="L10901" s="33" t="str">
        <f>IFERROR(VLOOKUP($J10901,'Informations sur les produits'!$A$3:$H$10000,8,FALSE),"0")</f>
        <v>0</v>
      </c>
      <c r="N10901" s="8"/>
      <c r="O10901" s="33" t="str">
        <f>IFERROR(VLOOKUP($M10901,'Informations sur les produits'!$A$3:$H$10000,8,FALSE),"0")</f>
        <v>0</v>
      </c>
      <c r="P10901" s="33">
        <f t="shared" si="680"/>
        <v>0</v>
      </c>
      <c r="Q10901" s="31" t="str">
        <f t="shared" si="681"/>
        <v/>
      </c>
      <c r="R10901" s="32" t="str">
        <f>IFERROR(VLOOKUP($D10901,'Informations sur les produits'!$A$3:$B$15000,2,FALSE),"")</f>
        <v/>
      </c>
      <c r="V10901">
        <f t="shared" si="682"/>
        <v>0</v>
      </c>
      <c r="W10901">
        <f t="shared" si="683"/>
        <v>0</v>
      </c>
    </row>
    <row r="10902" spans="5:23" x14ac:dyDescent="0.25">
      <c r="E10902" s="4"/>
      <c r="F10902" s="4"/>
      <c r="G10902" s="33" t="str">
        <f>IFERROR(VLOOKUP($D10902,'Informations sur les produits'!$A$3:$H$10000,8,FALSE),"0")</f>
        <v>0</v>
      </c>
      <c r="K10902" s="4"/>
      <c r="L10902" s="33" t="str">
        <f>IFERROR(VLOOKUP($J10902,'Informations sur les produits'!$A$3:$H$10000,8,FALSE),"0")</f>
        <v>0</v>
      </c>
      <c r="N10902" s="8"/>
      <c r="O10902" s="33" t="str">
        <f>IFERROR(VLOOKUP($M10902,'Informations sur les produits'!$A$3:$H$10000,8,FALSE),"0")</f>
        <v>0</v>
      </c>
      <c r="P10902" s="33">
        <f t="shared" si="680"/>
        <v>0</v>
      </c>
      <c r="Q10902" s="31" t="str">
        <f t="shared" si="681"/>
        <v/>
      </c>
      <c r="R10902" s="32" t="str">
        <f>IFERROR(VLOOKUP($D10902,'Informations sur les produits'!$A$3:$B$15000,2,FALSE),"")</f>
        <v/>
      </c>
      <c r="V10902">
        <f t="shared" si="682"/>
        <v>0</v>
      </c>
      <c r="W10902">
        <f t="shared" si="683"/>
        <v>0</v>
      </c>
    </row>
    <row r="10903" spans="5:23" x14ac:dyDescent="0.25">
      <c r="E10903" s="4"/>
      <c r="F10903" s="4"/>
      <c r="G10903" s="33" t="str">
        <f>IFERROR(VLOOKUP($D10903,'Informations sur les produits'!$A$3:$H$10000,8,FALSE),"0")</f>
        <v>0</v>
      </c>
      <c r="K10903" s="4"/>
      <c r="L10903" s="33" t="str">
        <f>IFERROR(VLOOKUP($J10903,'Informations sur les produits'!$A$3:$H$10000,8,FALSE),"0")</f>
        <v>0</v>
      </c>
      <c r="N10903" s="8"/>
      <c r="O10903" s="33" t="str">
        <f>IFERROR(VLOOKUP($M10903,'Informations sur les produits'!$A$3:$H$10000,8,FALSE),"0")</f>
        <v>0</v>
      </c>
      <c r="P10903" s="33">
        <f t="shared" si="680"/>
        <v>0</v>
      </c>
      <c r="Q10903" s="31" t="str">
        <f t="shared" si="681"/>
        <v/>
      </c>
      <c r="R10903" s="32" t="str">
        <f>IFERROR(VLOOKUP($D10903,'Informations sur les produits'!$A$3:$B$15000,2,FALSE),"")</f>
        <v/>
      </c>
      <c r="V10903">
        <f t="shared" si="682"/>
        <v>0</v>
      </c>
      <c r="W10903">
        <f t="shared" si="683"/>
        <v>0</v>
      </c>
    </row>
    <row r="10904" spans="5:23" x14ac:dyDescent="0.25">
      <c r="E10904" s="4"/>
      <c r="F10904" s="4"/>
      <c r="G10904" s="33" t="str">
        <f>IFERROR(VLOOKUP($D10904,'Informations sur les produits'!$A$3:$H$10000,8,FALSE),"0")</f>
        <v>0</v>
      </c>
      <c r="K10904" s="4"/>
      <c r="L10904" s="33" t="str">
        <f>IFERROR(VLOOKUP($J10904,'Informations sur les produits'!$A$3:$H$10000,8,FALSE),"0")</f>
        <v>0</v>
      </c>
      <c r="N10904" s="8"/>
      <c r="O10904" s="33" t="str">
        <f>IFERROR(VLOOKUP($M10904,'Informations sur les produits'!$A$3:$H$10000,8,FALSE),"0")</f>
        <v>0</v>
      </c>
      <c r="P10904" s="33">
        <f t="shared" si="680"/>
        <v>0</v>
      </c>
      <c r="Q10904" s="31" t="str">
        <f t="shared" si="681"/>
        <v/>
      </c>
      <c r="R10904" s="32" t="str">
        <f>IFERROR(VLOOKUP($D10904,'Informations sur les produits'!$A$3:$B$15000,2,FALSE),"")</f>
        <v/>
      </c>
      <c r="V10904">
        <f t="shared" si="682"/>
        <v>0</v>
      </c>
      <c r="W10904">
        <f t="shared" si="683"/>
        <v>0</v>
      </c>
    </row>
    <row r="10905" spans="5:23" x14ac:dyDescent="0.25">
      <c r="E10905" s="4"/>
      <c r="F10905" s="4"/>
      <c r="G10905" s="33" t="str">
        <f>IFERROR(VLOOKUP($D10905,'Informations sur les produits'!$A$3:$H$10000,8,FALSE),"0")</f>
        <v>0</v>
      </c>
      <c r="K10905" s="4"/>
      <c r="L10905" s="33" t="str">
        <f>IFERROR(VLOOKUP($J10905,'Informations sur les produits'!$A$3:$H$10000,8,FALSE),"0")</f>
        <v>0</v>
      </c>
      <c r="N10905" s="8"/>
      <c r="O10905" s="33" t="str">
        <f>IFERROR(VLOOKUP($M10905,'Informations sur les produits'!$A$3:$H$10000,8,FALSE),"0")</f>
        <v>0</v>
      </c>
      <c r="P10905" s="33">
        <f t="shared" si="680"/>
        <v>0</v>
      </c>
      <c r="Q10905" s="31" t="str">
        <f t="shared" si="681"/>
        <v/>
      </c>
      <c r="R10905" s="32" t="str">
        <f>IFERROR(VLOOKUP($D10905,'Informations sur les produits'!$A$3:$B$15000,2,FALSE),"")</f>
        <v/>
      </c>
      <c r="V10905">
        <f t="shared" si="682"/>
        <v>0</v>
      </c>
      <c r="W10905">
        <f t="shared" si="683"/>
        <v>0</v>
      </c>
    </row>
    <row r="10906" spans="5:23" x14ac:dyDescent="0.25">
      <c r="E10906" s="4"/>
      <c r="F10906" s="4"/>
      <c r="G10906" s="33" t="str">
        <f>IFERROR(VLOOKUP($D10906,'Informations sur les produits'!$A$3:$H$10000,8,FALSE),"0")</f>
        <v>0</v>
      </c>
      <c r="K10906" s="4"/>
      <c r="L10906" s="33" t="str">
        <f>IFERROR(VLOOKUP($J10906,'Informations sur les produits'!$A$3:$H$10000,8,FALSE),"0")</f>
        <v>0</v>
      </c>
      <c r="N10906" s="8"/>
      <c r="O10906" s="33" t="str">
        <f>IFERROR(VLOOKUP($M10906,'Informations sur les produits'!$A$3:$H$10000,8,FALSE),"0")</f>
        <v>0</v>
      </c>
      <c r="P10906" s="33">
        <f t="shared" si="680"/>
        <v>0</v>
      </c>
      <c r="Q10906" s="31" t="str">
        <f t="shared" si="681"/>
        <v/>
      </c>
      <c r="R10906" s="32" t="str">
        <f>IFERROR(VLOOKUP($D10906,'Informations sur les produits'!$A$3:$B$15000,2,FALSE),"")</f>
        <v/>
      </c>
      <c r="V10906">
        <f t="shared" si="682"/>
        <v>0</v>
      </c>
      <c r="W10906">
        <f t="shared" si="683"/>
        <v>0</v>
      </c>
    </row>
    <row r="10907" spans="5:23" x14ac:dyDescent="0.25">
      <c r="E10907" s="4"/>
      <c r="F10907" s="4"/>
      <c r="G10907" s="33" t="str">
        <f>IFERROR(VLOOKUP($D10907,'Informations sur les produits'!$A$3:$H$10000,8,FALSE),"0")</f>
        <v>0</v>
      </c>
      <c r="K10907" s="4"/>
      <c r="L10907" s="33" t="str">
        <f>IFERROR(VLOOKUP($J10907,'Informations sur les produits'!$A$3:$H$10000,8,FALSE),"0")</f>
        <v>0</v>
      </c>
      <c r="N10907" s="8"/>
      <c r="O10907" s="33" t="str">
        <f>IFERROR(VLOOKUP($M10907,'Informations sur les produits'!$A$3:$H$10000,8,FALSE),"0")</f>
        <v>0</v>
      </c>
      <c r="P10907" s="33">
        <f t="shared" si="680"/>
        <v>0</v>
      </c>
      <c r="Q10907" s="31" t="str">
        <f t="shared" si="681"/>
        <v/>
      </c>
      <c r="R10907" s="32" t="str">
        <f>IFERROR(VLOOKUP($D10907,'Informations sur les produits'!$A$3:$B$15000,2,FALSE),"")</f>
        <v/>
      </c>
      <c r="V10907">
        <f t="shared" si="682"/>
        <v>0</v>
      </c>
      <c r="W10907">
        <f t="shared" si="683"/>
        <v>0</v>
      </c>
    </row>
    <row r="10908" spans="5:23" x14ac:dyDescent="0.25">
      <c r="E10908" s="4"/>
      <c r="F10908" s="4"/>
      <c r="G10908" s="33" t="str">
        <f>IFERROR(VLOOKUP($D10908,'Informations sur les produits'!$A$3:$H$10000,8,FALSE),"0")</f>
        <v>0</v>
      </c>
      <c r="K10908" s="4"/>
      <c r="L10908" s="33" t="str">
        <f>IFERROR(VLOOKUP($J10908,'Informations sur les produits'!$A$3:$H$10000,8,FALSE),"0")</f>
        <v>0</v>
      </c>
      <c r="N10908" s="8"/>
      <c r="O10908" s="33" t="str">
        <f>IFERROR(VLOOKUP($M10908,'Informations sur les produits'!$A$3:$H$10000,8,FALSE),"0")</f>
        <v>0</v>
      </c>
      <c r="P10908" s="33">
        <f t="shared" si="680"/>
        <v>0</v>
      </c>
      <c r="Q10908" s="31" t="str">
        <f t="shared" si="681"/>
        <v/>
      </c>
      <c r="R10908" s="32" t="str">
        <f>IFERROR(VLOOKUP($D10908,'Informations sur les produits'!$A$3:$B$15000,2,FALSE),"")</f>
        <v/>
      </c>
      <c r="V10908">
        <f t="shared" si="682"/>
        <v>0</v>
      </c>
      <c r="W10908">
        <f t="shared" si="683"/>
        <v>0</v>
      </c>
    </row>
    <row r="10909" spans="5:23" x14ac:dyDescent="0.25">
      <c r="E10909" s="4"/>
      <c r="F10909" s="4"/>
      <c r="G10909" s="33" t="str">
        <f>IFERROR(VLOOKUP($D10909,'Informations sur les produits'!$A$3:$H$10000,8,FALSE),"0")</f>
        <v>0</v>
      </c>
      <c r="K10909" s="4"/>
      <c r="L10909" s="33" t="str">
        <f>IFERROR(VLOOKUP($J10909,'Informations sur les produits'!$A$3:$H$10000,8,FALSE),"0")</f>
        <v>0</v>
      </c>
      <c r="N10909" s="8"/>
      <c r="O10909" s="33" t="str">
        <f>IFERROR(VLOOKUP($M10909,'Informations sur les produits'!$A$3:$H$10000,8,FALSE),"0")</f>
        <v>0</v>
      </c>
      <c r="P10909" s="33">
        <f t="shared" si="680"/>
        <v>0</v>
      </c>
      <c r="Q10909" s="31" t="str">
        <f t="shared" si="681"/>
        <v/>
      </c>
      <c r="R10909" s="32" t="str">
        <f>IFERROR(VLOOKUP($D10909,'Informations sur les produits'!$A$3:$B$15000,2,FALSE),"")</f>
        <v/>
      </c>
      <c r="V10909">
        <f t="shared" si="682"/>
        <v>0</v>
      </c>
      <c r="W10909">
        <f t="shared" si="683"/>
        <v>0</v>
      </c>
    </row>
    <row r="10910" spans="5:23" x14ac:dyDescent="0.25">
      <c r="E10910" s="4"/>
      <c r="F10910" s="4"/>
      <c r="G10910" s="33" t="str">
        <f>IFERROR(VLOOKUP($D10910,'Informations sur les produits'!$A$3:$H$10000,8,FALSE),"0")</f>
        <v>0</v>
      </c>
      <c r="K10910" s="4"/>
      <c r="L10910" s="33" t="str">
        <f>IFERROR(VLOOKUP($J10910,'Informations sur les produits'!$A$3:$H$10000,8,FALSE),"0")</f>
        <v>0</v>
      </c>
      <c r="N10910" s="8"/>
      <c r="O10910" s="33" t="str">
        <f>IFERROR(VLOOKUP($M10910,'Informations sur les produits'!$A$3:$H$10000,8,FALSE),"0")</f>
        <v>0</v>
      </c>
      <c r="P10910" s="33">
        <f t="shared" si="680"/>
        <v>0</v>
      </c>
      <c r="Q10910" s="31" t="str">
        <f t="shared" si="681"/>
        <v/>
      </c>
      <c r="R10910" s="32" t="str">
        <f>IFERROR(VLOOKUP($D10910,'Informations sur les produits'!$A$3:$B$15000,2,FALSE),"")</f>
        <v/>
      </c>
      <c r="V10910">
        <f t="shared" si="682"/>
        <v>0</v>
      </c>
      <c r="W10910">
        <f t="shared" si="683"/>
        <v>0</v>
      </c>
    </row>
    <row r="10911" spans="5:23" x14ac:dyDescent="0.25">
      <c r="E10911" s="4"/>
      <c r="F10911" s="4"/>
      <c r="G10911" s="33" t="str">
        <f>IFERROR(VLOOKUP($D10911,'Informations sur les produits'!$A$3:$H$10000,8,FALSE),"0")</f>
        <v>0</v>
      </c>
      <c r="K10911" s="4"/>
      <c r="L10911" s="33" t="str">
        <f>IFERROR(VLOOKUP($J10911,'Informations sur les produits'!$A$3:$H$10000,8,FALSE),"0")</f>
        <v>0</v>
      </c>
      <c r="N10911" s="8"/>
      <c r="O10911" s="33" t="str">
        <f>IFERROR(VLOOKUP($M10911,'Informations sur les produits'!$A$3:$H$10000,8,FALSE),"0")</f>
        <v>0</v>
      </c>
      <c r="P10911" s="33">
        <f t="shared" si="680"/>
        <v>0</v>
      </c>
      <c r="Q10911" s="31" t="str">
        <f t="shared" si="681"/>
        <v/>
      </c>
      <c r="R10911" s="32" t="str">
        <f>IFERROR(VLOOKUP($D10911,'Informations sur les produits'!$A$3:$B$15000,2,FALSE),"")</f>
        <v/>
      </c>
      <c r="V10911">
        <f t="shared" si="682"/>
        <v>0</v>
      </c>
      <c r="W10911">
        <f t="shared" si="683"/>
        <v>0</v>
      </c>
    </row>
    <row r="10912" spans="5:23" x14ac:dyDescent="0.25">
      <c r="E10912" s="4"/>
      <c r="F10912" s="4"/>
      <c r="G10912" s="33" t="str">
        <f>IFERROR(VLOOKUP($D10912,'Informations sur les produits'!$A$3:$H$10000,8,FALSE),"0")</f>
        <v>0</v>
      </c>
      <c r="K10912" s="4"/>
      <c r="L10912" s="33" t="str">
        <f>IFERROR(VLOOKUP($J10912,'Informations sur les produits'!$A$3:$H$10000,8,FALSE),"0")</f>
        <v>0</v>
      </c>
      <c r="N10912" s="8"/>
      <c r="O10912" s="33" t="str">
        <f>IFERROR(VLOOKUP($M10912,'Informations sur les produits'!$A$3:$H$10000,8,FALSE),"0")</f>
        <v>0</v>
      </c>
      <c r="P10912" s="33">
        <f t="shared" si="680"/>
        <v>0</v>
      </c>
      <c r="Q10912" s="31" t="str">
        <f t="shared" si="681"/>
        <v/>
      </c>
      <c r="R10912" s="32" t="str">
        <f>IFERROR(VLOOKUP($D10912,'Informations sur les produits'!$A$3:$B$15000,2,FALSE),"")</f>
        <v/>
      </c>
      <c r="V10912">
        <f t="shared" si="682"/>
        <v>0</v>
      </c>
      <c r="W10912">
        <f t="shared" si="683"/>
        <v>0</v>
      </c>
    </row>
    <row r="10913" spans="5:23" x14ac:dyDescent="0.25">
      <c r="E10913" s="4"/>
      <c r="F10913" s="4"/>
      <c r="G10913" s="33" t="str">
        <f>IFERROR(VLOOKUP($D10913,'Informations sur les produits'!$A$3:$H$10000,8,FALSE),"0")</f>
        <v>0</v>
      </c>
      <c r="K10913" s="4"/>
      <c r="L10913" s="33" t="str">
        <f>IFERROR(VLOOKUP($J10913,'Informations sur les produits'!$A$3:$H$10000,8,FALSE),"0")</f>
        <v>0</v>
      </c>
      <c r="N10913" s="8"/>
      <c r="O10913" s="33" t="str">
        <f>IFERROR(VLOOKUP($M10913,'Informations sur les produits'!$A$3:$H$10000,8,FALSE),"0")</f>
        <v>0</v>
      </c>
      <c r="P10913" s="33">
        <f t="shared" si="680"/>
        <v>0</v>
      </c>
      <c r="Q10913" s="31" t="str">
        <f t="shared" si="681"/>
        <v/>
      </c>
      <c r="R10913" s="32" t="str">
        <f>IFERROR(VLOOKUP($D10913,'Informations sur les produits'!$A$3:$B$15000,2,FALSE),"")</f>
        <v/>
      </c>
      <c r="V10913">
        <f t="shared" si="682"/>
        <v>0</v>
      </c>
      <c r="W10913">
        <f t="shared" si="683"/>
        <v>0</v>
      </c>
    </row>
    <row r="10914" spans="5:23" x14ac:dyDescent="0.25">
      <c r="E10914" s="4"/>
      <c r="F10914" s="4"/>
      <c r="G10914" s="33" t="str">
        <f>IFERROR(VLOOKUP($D10914,'Informations sur les produits'!$A$3:$H$10000,8,FALSE),"0")</f>
        <v>0</v>
      </c>
      <c r="K10914" s="4"/>
      <c r="L10914" s="33" t="str">
        <f>IFERROR(VLOOKUP($J10914,'Informations sur les produits'!$A$3:$H$10000,8,FALSE),"0")</f>
        <v>0</v>
      </c>
      <c r="N10914" s="8"/>
      <c r="O10914" s="33" t="str">
        <f>IFERROR(VLOOKUP($M10914,'Informations sur les produits'!$A$3:$H$10000,8,FALSE),"0")</f>
        <v>0</v>
      </c>
      <c r="P10914" s="33">
        <f t="shared" si="680"/>
        <v>0</v>
      </c>
      <c r="Q10914" s="31" t="str">
        <f t="shared" si="681"/>
        <v/>
      </c>
      <c r="R10914" s="32" t="str">
        <f>IFERROR(VLOOKUP($D10914,'Informations sur les produits'!$A$3:$B$15000,2,FALSE),"")</f>
        <v/>
      </c>
      <c r="V10914">
        <f t="shared" si="682"/>
        <v>0</v>
      </c>
      <c r="W10914">
        <f t="shared" si="683"/>
        <v>0</v>
      </c>
    </row>
    <row r="10915" spans="5:23" x14ac:dyDescent="0.25">
      <c r="E10915" s="4"/>
      <c r="F10915" s="4"/>
      <c r="G10915" s="33" t="str">
        <f>IFERROR(VLOOKUP($D10915,'Informations sur les produits'!$A$3:$H$10000,8,FALSE),"0")</f>
        <v>0</v>
      </c>
      <c r="K10915" s="4"/>
      <c r="L10915" s="33" t="str">
        <f>IFERROR(VLOOKUP($J10915,'Informations sur les produits'!$A$3:$H$10000,8,FALSE),"0")</f>
        <v>0</v>
      </c>
      <c r="N10915" s="8"/>
      <c r="O10915" s="33" t="str">
        <f>IFERROR(VLOOKUP($M10915,'Informations sur les produits'!$A$3:$H$10000,8,FALSE),"0")</f>
        <v>0</v>
      </c>
      <c r="P10915" s="33">
        <f t="shared" si="680"/>
        <v>0</v>
      </c>
      <c r="Q10915" s="31" t="str">
        <f t="shared" si="681"/>
        <v/>
      </c>
      <c r="R10915" s="32" t="str">
        <f>IFERROR(VLOOKUP($D10915,'Informations sur les produits'!$A$3:$B$15000,2,FALSE),"")</f>
        <v/>
      </c>
      <c r="V10915">
        <f t="shared" si="682"/>
        <v>0</v>
      </c>
      <c r="W10915">
        <f t="shared" si="683"/>
        <v>0</v>
      </c>
    </row>
    <row r="10916" spans="5:23" x14ac:dyDescent="0.25">
      <c r="E10916" s="4"/>
      <c r="F10916" s="4"/>
      <c r="G10916" s="33" t="str">
        <f>IFERROR(VLOOKUP($D10916,'Informations sur les produits'!$A$3:$H$10000,8,FALSE),"0")</f>
        <v>0</v>
      </c>
      <c r="K10916" s="4"/>
      <c r="L10916" s="33" t="str">
        <f>IFERROR(VLOOKUP($J10916,'Informations sur les produits'!$A$3:$H$10000,8,FALSE),"0")</f>
        <v>0</v>
      </c>
      <c r="N10916" s="8"/>
      <c r="O10916" s="33" t="str">
        <f>IFERROR(VLOOKUP($M10916,'Informations sur les produits'!$A$3:$H$10000,8,FALSE),"0")</f>
        <v>0</v>
      </c>
      <c r="P10916" s="33">
        <f t="shared" si="680"/>
        <v>0</v>
      </c>
      <c r="Q10916" s="31" t="str">
        <f t="shared" si="681"/>
        <v/>
      </c>
      <c r="R10916" s="32" t="str">
        <f>IFERROR(VLOOKUP($D10916,'Informations sur les produits'!$A$3:$B$15000,2,FALSE),"")</f>
        <v/>
      </c>
      <c r="V10916">
        <f t="shared" si="682"/>
        <v>0</v>
      </c>
      <c r="W10916">
        <f t="shared" si="683"/>
        <v>0</v>
      </c>
    </row>
    <row r="10917" spans="5:23" x14ac:dyDescent="0.25">
      <c r="E10917" s="4"/>
      <c r="F10917" s="4"/>
      <c r="G10917" s="33" t="str">
        <f>IFERROR(VLOOKUP($D10917,'Informations sur les produits'!$A$3:$H$10000,8,FALSE),"0")</f>
        <v>0</v>
      </c>
      <c r="K10917" s="4"/>
      <c r="L10917" s="33" t="str">
        <f>IFERROR(VLOOKUP($J10917,'Informations sur les produits'!$A$3:$H$10000,8,FALSE),"0")</f>
        <v>0</v>
      </c>
      <c r="N10917" s="8"/>
      <c r="O10917" s="33" t="str">
        <f>IFERROR(VLOOKUP($M10917,'Informations sur les produits'!$A$3:$H$10000,8,FALSE),"0")</f>
        <v>0</v>
      </c>
      <c r="P10917" s="33">
        <f t="shared" si="680"/>
        <v>0</v>
      </c>
      <c r="Q10917" s="31" t="str">
        <f t="shared" si="681"/>
        <v/>
      </c>
      <c r="R10917" s="32" t="str">
        <f>IFERROR(VLOOKUP($D10917,'Informations sur les produits'!$A$3:$B$15000,2,FALSE),"")</f>
        <v/>
      </c>
      <c r="V10917">
        <f t="shared" si="682"/>
        <v>0</v>
      </c>
      <c r="W10917">
        <f t="shared" si="683"/>
        <v>0</v>
      </c>
    </row>
    <row r="10918" spans="5:23" x14ac:dyDescent="0.25">
      <c r="E10918" s="4"/>
      <c r="F10918" s="4"/>
      <c r="G10918" s="33" t="str">
        <f>IFERROR(VLOOKUP($D10918,'Informations sur les produits'!$A$3:$H$10000,8,FALSE),"0")</f>
        <v>0</v>
      </c>
      <c r="K10918" s="4"/>
      <c r="L10918" s="33" t="str">
        <f>IFERROR(VLOOKUP($J10918,'Informations sur les produits'!$A$3:$H$10000,8,FALSE),"0")</f>
        <v>0</v>
      </c>
      <c r="N10918" s="8"/>
      <c r="O10918" s="33" t="str">
        <f>IFERROR(VLOOKUP($M10918,'Informations sur les produits'!$A$3:$H$10000,8,FALSE),"0")</f>
        <v>0</v>
      </c>
      <c r="P10918" s="33">
        <f t="shared" si="680"/>
        <v>0</v>
      </c>
      <c r="Q10918" s="31" t="str">
        <f t="shared" si="681"/>
        <v/>
      </c>
      <c r="R10918" s="32" t="str">
        <f>IFERROR(VLOOKUP($D10918,'Informations sur les produits'!$A$3:$B$15000,2,FALSE),"")</f>
        <v/>
      </c>
      <c r="V10918">
        <f t="shared" si="682"/>
        <v>0</v>
      </c>
      <c r="W10918">
        <f t="shared" si="683"/>
        <v>0</v>
      </c>
    </row>
    <row r="10919" spans="5:23" x14ac:dyDescent="0.25">
      <c r="E10919" s="4"/>
      <c r="F10919" s="4"/>
      <c r="G10919" s="33" t="str">
        <f>IFERROR(VLOOKUP($D10919,'Informations sur les produits'!$A$3:$H$10000,8,FALSE),"0")</f>
        <v>0</v>
      </c>
      <c r="K10919" s="4"/>
      <c r="L10919" s="33" t="str">
        <f>IFERROR(VLOOKUP($J10919,'Informations sur les produits'!$A$3:$H$10000,8,FALSE),"0")</f>
        <v>0</v>
      </c>
      <c r="N10919" s="8"/>
      <c r="O10919" s="33" t="str">
        <f>IFERROR(VLOOKUP($M10919,'Informations sur les produits'!$A$3:$H$10000,8,FALSE),"0")</f>
        <v>0</v>
      </c>
      <c r="P10919" s="33">
        <f t="shared" si="680"/>
        <v>0</v>
      </c>
      <c r="Q10919" s="31" t="str">
        <f t="shared" si="681"/>
        <v/>
      </c>
      <c r="R10919" s="32" t="str">
        <f>IFERROR(VLOOKUP($D10919,'Informations sur les produits'!$A$3:$B$15000,2,FALSE),"")</f>
        <v/>
      </c>
      <c r="V10919">
        <f t="shared" si="682"/>
        <v>0</v>
      </c>
      <c r="W10919">
        <f t="shared" si="683"/>
        <v>0</v>
      </c>
    </row>
    <row r="10920" spans="5:23" x14ac:dyDescent="0.25">
      <c r="E10920" s="4"/>
      <c r="F10920" s="4"/>
      <c r="G10920" s="33" t="str">
        <f>IFERROR(VLOOKUP($D10920,'Informations sur les produits'!$A$3:$H$10000,8,FALSE),"0")</f>
        <v>0</v>
      </c>
      <c r="K10920" s="4"/>
      <c r="L10920" s="33" t="str">
        <f>IFERROR(VLOOKUP($J10920,'Informations sur les produits'!$A$3:$H$10000,8,FALSE),"0")</f>
        <v>0</v>
      </c>
      <c r="N10920" s="8"/>
      <c r="O10920" s="33" t="str">
        <f>IFERROR(VLOOKUP($M10920,'Informations sur les produits'!$A$3:$H$10000,8,FALSE),"0")</f>
        <v>0</v>
      </c>
      <c r="P10920" s="33">
        <f t="shared" si="680"/>
        <v>0</v>
      </c>
      <c r="Q10920" s="31" t="str">
        <f t="shared" si="681"/>
        <v/>
      </c>
      <c r="R10920" s="32" t="str">
        <f>IFERROR(VLOOKUP($D10920,'Informations sur les produits'!$A$3:$B$15000,2,FALSE),"")</f>
        <v/>
      </c>
      <c r="V10920">
        <f t="shared" si="682"/>
        <v>0</v>
      </c>
      <c r="W10920">
        <f t="shared" si="683"/>
        <v>0</v>
      </c>
    </row>
    <row r="10921" spans="5:23" x14ac:dyDescent="0.25">
      <c r="E10921" s="4"/>
      <c r="F10921" s="4"/>
      <c r="G10921" s="33" t="str">
        <f>IFERROR(VLOOKUP($D10921,'Informations sur les produits'!$A$3:$H$10000,8,FALSE),"0")</f>
        <v>0</v>
      </c>
      <c r="K10921" s="4"/>
      <c r="L10921" s="33" t="str">
        <f>IFERROR(VLOOKUP($J10921,'Informations sur les produits'!$A$3:$H$10000,8,FALSE),"0")</f>
        <v>0</v>
      </c>
      <c r="N10921" s="8"/>
      <c r="O10921" s="33" t="str">
        <f>IFERROR(VLOOKUP($M10921,'Informations sur les produits'!$A$3:$H$10000,8,FALSE),"0")</f>
        <v>0</v>
      </c>
      <c r="P10921" s="33">
        <f t="shared" si="680"/>
        <v>0</v>
      </c>
      <c r="Q10921" s="31" t="str">
        <f t="shared" si="681"/>
        <v/>
      </c>
      <c r="R10921" s="32" t="str">
        <f>IFERROR(VLOOKUP($D10921,'Informations sur les produits'!$A$3:$B$15000,2,FALSE),"")</f>
        <v/>
      </c>
      <c r="V10921">
        <f t="shared" si="682"/>
        <v>0</v>
      </c>
      <c r="W10921">
        <f t="shared" si="683"/>
        <v>0</v>
      </c>
    </row>
    <row r="10922" spans="5:23" x14ac:dyDescent="0.25">
      <c r="E10922" s="4"/>
      <c r="F10922" s="4"/>
      <c r="G10922" s="33" t="str">
        <f>IFERROR(VLOOKUP($D10922,'Informations sur les produits'!$A$3:$H$10000,8,FALSE),"0")</f>
        <v>0</v>
      </c>
      <c r="K10922" s="4"/>
      <c r="L10922" s="33" t="str">
        <f>IFERROR(VLOOKUP($J10922,'Informations sur les produits'!$A$3:$H$10000,8,FALSE),"0")</f>
        <v>0</v>
      </c>
      <c r="N10922" s="8"/>
      <c r="O10922" s="33" t="str">
        <f>IFERROR(VLOOKUP($M10922,'Informations sur les produits'!$A$3:$H$10000,8,FALSE),"0")</f>
        <v>0</v>
      </c>
      <c r="P10922" s="33">
        <f t="shared" si="680"/>
        <v>0</v>
      </c>
      <c r="Q10922" s="31" t="str">
        <f t="shared" si="681"/>
        <v/>
      </c>
      <c r="R10922" s="32" t="str">
        <f>IFERROR(VLOOKUP($D10922,'Informations sur les produits'!$A$3:$B$15000,2,FALSE),"")</f>
        <v/>
      </c>
      <c r="V10922">
        <f t="shared" si="682"/>
        <v>0</v>
      </c>
      <c r="W10922">
        <f t="shared" si="683"/>
        <v>0</v>
      </c>
    </row>
    <row r="10923" spans="5:23" x14ac:dyDescent="0.25">
      <c r="E10923" s="4"/>
      <c r="F10923" s="4"/>
      <c r="G10923" s="33" t="str">
        <f>IFERROR(VLOOKUP($D10923,'Informations sur les produits'!$A$3:$H$10000,8,FALSE),"0")</f>
        <v>0</v>
      </c>
      <c r="K10923" s="4"/>
      <c r="L10923" s="33" t="str">
        <f>IFERROR(VLOOKUP($J10923,'Informations sur les produits'!$A$3:$H$10000,8,FALSE),"0")</f>
        <v>0</v>
      </c>
      <c r="N10923" s="8"/>
      <c r="O10923" s="33" t="str">
        <f>IFERROR(VLOOKUP($M10923,'Informations sur les produits'!$A$3:$H$10000,8,FALSE),"0")</f>
        <v>0</v>
      </c>
      <c r="P10923" s="33">
        <f t="shared" si="680"/>
        <v>0</v>
      </c>
      <c r="Q10923" s="31" t="str">
        <f t="shared" si="681"/>
        <v/>
      </c>
      <c r="R10923" s="32" t="str">
        <f>IFERROR(VLOOKUP($D10923,'Informations sur les produits'!$A$3:$B$15000,2,FALSE),"")</f>
        <v/>
      </c>
      <c r="V10923">
        <f t="shared" si="682"/>
        <v>0</v>
      </c>
      <c r="W10923">
        <f t="shared" si="683"/>
        <v>0</v>
      </c>
    </row>
    <row r="10924" spans="5:23" x14ac:dyDescent="0.25">
      <c r="E10924" s="4"/>
      <c r="F10924" s="4"/>
      <c r="G10924" s="33" t="str">
        <f>IFERROR(VLOOKUP($D10924,'Informations sur les produits'!$A$3:$H$10000,8,FALSE),"0")</f>
        <v>0</v>
      </c>
      <c r="K10924" s="4"/>
      <c r="L10924" s="33" t="str">
        <f>IFERROR(VLOOKUP($J10924,'Informations sur les produits'!$A$3:$H$10000,8,FALSE),"0")</f>
        <v>0</v>
      </c>
      <c r="N10924" s="8"/>
      <c r="O10924" s="33" t="str">
        <f>IFERROR(VLOOKUP($M10924,'Informations sur les produits'!$A$3:$H$10000,8,FALSE),"0")</f>
        <v>0</v>
      </c>
      <c r="P10924" s="33">
        <f t="shared" si="680"/>
        <v>0</v>
      </c>
      <c r="Q10924" s="31" t="str">
        <f t="shared" si="681"/>
        <v/>
      </c>
      <c r="R10924" s="32" t="str">
        <f>IFERROR(VLOOKUP($D10924,'Informations sur les produits'!$A$3:$B$15000,2,FALSE),"")</f>
        <v/>
      </c>
      <c r="V10924">
        <f t="shared" si="682"/>
        <v>0</v>
      </c>
      <c r="W10924">
        <f t="shared" si="683"/>
        <v>0</v>
      </c>
    </row>
    <row r="10925" spans="5:23" x14ac:dyDescent="0.25">
      <c r="E10925" s="4"/>
      <c r="F10925" s="4"/>
      <c r="G10925" s="33" t="str">
        <f>IFERROR(VLOOKUP($D10925,'Informations sur les produits'!$A$3:$H$10000,8,FALSE),"0")</f>
        <v>0</v>
      </c>
      <c r="K10925" s="4"/>
      <c r="L10925" s="33" t="str">
        <f>IFERROR(VLOOKUP($J10925,'Informations sur les produits'!$A$3:$H$10000,8,FALSE),"0")</f>
        <v>0</v>
      </c>
      <c r="N10925" s="8"/>
      <c r="O10925" s="33" t="str">
        <f>IFERROR(VLOOKUP($M10925,'Informations sur les produits'!$A$3:$H$10000,8,FALSE),"0")</f>
        <v>0</v>
      </c>
      <c r="P10925" s="33">
        <f t="shared" si="680"/>
        <v>0</v>
      </c>
      <c r="Q10925" s="31" t="str">
        <f t="shared" si="681"/>
        <v/>
      </c>
      <c r="R10925" s="32" t="str">
        <f>IFERROR(VLOOKUP($D10925,'Informations sur les produits'!$A$3:$B$15000,2,FALSE),"")</f>
        <v/>
      </c>
      <c r="V10925">
        <f t="shared" si="682"/>
        <v>0</v>
      </c>
      <c r="W10925">
        <f t="shared" si="683"/>
        <v>0</v>
      </c>
    </row>
    <row r="10926" spans="5:23" x14ac:dyDescent="0.25">
      <c r="E10926" s="4"/>
      <c r="F10926" s="4"/>
      <c r="G10926" s="33" t="str">
        <f>IFERROR(VLOOKUP($D10926,'Informations sur les produits'!$A$3:$H$10000,8,FALSE),"0")</f>
        <v>0</v>
      </c>
      <c r="K10926" s="4"/>
      <c r="L10926" s="33" t="str">
        <f>IFERROR(VLOOKUP($J10926,'Informations sur les produits'!$A$3:$H$10000,8,FALSE),"0")</f>
        <v>0</v>
      </c>
      <c r="N10926" s="8"/>
      <c r="O10926" s="33" t="str">
        <f>IFERROR(VLOOKUP($M10926,'Informations sur les produits'!$A$3:$H$10000,8,FALSE),"0")</f>
        <v>0</v>
      </c>
      <c r="P10926" s="33">
        <f t="shared" si="680"/>
        <v>0</v>
      </c>
      <c r="Q10926" s="31" t="str">
        <f t="shared" si="681"/>
        <v/>
      </c>
      <c r="R10926" s="32" t="str">
        <f>IFERROR(VLOOKUP($D10926,'Informations sur les produits'!$A$3:$B$15000,2,FALSE),"")</f>
        <v/>
      </c>
      <c r="V10926">
        <f t="shared" si="682"/>
        <v>0</v>
      </c>
      <c r="W10926">
        <f t="shared" si="683"/>
        <v>0</v>
      </c>
    </row>
    <row r="10927" spans="5:23" x14ac:dyDescent="0.25">
      <c r="E10927" s="4"/>
      <c r="F10927" s="4"/>
      <c r="G10927" s="33" t="str">
        <f>IFERROR(VLOOKUP($D10927,'Informations sur les produits'!$A$3:$H$10000,8,FALSE),"0")</f>
        <v>0</v>
      </c>
      <c r="K10927" s="4"/>
      <c r="L10927" s="33" t="str">
        <f>IFERROR(VLOOKUP($J10927,'Informations sur les produits'!$A$3:$H$10000,8,FALSE),"0")</f>
        <v>0</v>
      </c>
      <c r="N10927" s="8"/>
      <c r="O10927" s="33" t="str">
        <f>IFERROR(VLOOKUP($M10927,'Informations sur les produits'!$A$3:$H$10000,8,FALSE),"0")</f>
        <v>0</v>
      </c>
      <c r="P10927" s="33">
        <f t="shared" si="680"/>
        <v>0</v>
      </c>
      <c r="Q10927" s="31" t="str">
        <f t="shared" si="681"/>
        <v/>
      </c>
      <c r="R10927" s="32" t="str">
        <f>IFERROR(VLOOKUP($D10927,'Informations sur les produits'!$A$3:$B$15000,2,FALSE),"")</f>
        <v/>
      </c>
      <c r="V10927">
        <f t="shared" si="682"/>
        <v>0</v>
      </c>
      <c r="W10927">
        <f t="shared" si="683"/>
        <v>0</v>
      </c>
    </row>
    <row r="10928" spans="5:23" x14ac:dyDescent="0.25">
      <c r="E10928" s="4"/>
      <c r="F10928" s="4"/>
      <c r="G10928" s="33" t="str">
        <f>IFERROR(VLOOKUP($D10928,'Informations sur les produits'!$A$3:$H$10000,8,FALSE),"0")</f>
        <v>0</v>
      </c>
      <c r="K10928" s="4"/>
      <c r="L10928" s="33" t="str">
        <f>IFERROR(VLOOKUP($J10928,'Informations sur les produits'!$A$3:$H$10000,8,FALSE),"0")</f>
        <v>0</v>
      </c>
      <c r="N10928" s="8"/>
      <c r="O10928" s="33" t="str">
        <f>IFERROR(VLOOKUP($M10928,'Informations sur les produits'!$A$3:$H$10000,8,FALSE),"0")</f>
        <v>0</v>
      </c>
      <c r="P10928" s="33">
        <f t="shared" si="680"/>
        <v>0</v>
      </c>
      <c r="Q10928" s="31" t="str">
        <f t="shared" si="681"/>
        <v/>
      </c>
      <c r="R10928" s="32" t="str">
        <f>IFERROR(VLOOKUP($D10928,'Informations sur les produits'!$A$3:$B$15000,2,FALSE),"")</f>
        <v/>
      </c>
      <c r="V10928">
        <f t="shared" si="682"/>
        <v>0</v>
      </c>
      <c r="W10928">
        <f t="shared" si="683"/>
        <v>0</v>
      </c>
    </row>
    <row r="10929" spans="5:23" x14ac:dyDescent="0.25">
      <c r="E10929" s="4"/>
      <c r="F10929" s="4"/>
      <c r="G10929" s="33" t="str">
        <f>IFERROR(VLOOKUP($D10929,'Informations sur les produits'!$A$3:$H$10000,8,FALSE),"0")</f>
        <v>0</v>
      </c>
      <c r="K10929" s="4"/>
      <c r="L10929" s="33" t="str">
        <f>IFERROR(VLOOKUP($J10929,'Informations sur les produits'!$A$3:$H$10000,8,FALSE),"0")</f>
        <v>0</v>
      </c>
      <c r="N10929" s="8"/>
      <c r="O10929" s="33" t="str">
        <f>IFERROR(VLOOKUP($M10929,'Informations sur les produits'!$A$3:$H$10000,8,FALSE),"0")</f>
        <v>0</v>
      </c>
      <c r="P10929" s="33">
        <f t="shared" si="680"/>
        <v>0</v>
      </c>
      <c r="Q10929" s="31" t="str">
        <f t="shared" si="681"/>
        <v/>
      </c>
      <c r="R10929" s="32" t="str">
        <f>IFERROR(VLOOKUP($D10929,'Informations sur les produits'!$A$3:$B$15000,2,FALSE),"")</f>
        <v/>
      </c>
      <c r="V10929">
        <f t="shared" si="682"/>
        <v>0</v>
      </c>
      <c r="W10929">
        <f t="shared" si="683"/>
        <v>0</v>
      </c>
    </row>
    <row r="10930" spans="5:23" x14ac:dyDescent="0.25">
      <c r="E10930" s="4"/>
      <c r="F10930" s="4"/>
      <c r="G10930" s="33" t="str">
        <f>IFERROR(VLOOKUP($D10930,'Informations sur les produits'!$A$3:$H$10000,8,FALSE),"0")</f>
        <v>0</v>
      </c>
      <c r="K10930" s="4"/>
      <c r="L10930" s="33" t="str">
        <f>IFERROR(VLOOKUP($J10930,'Informations sur les produits'!$A$3:$H$10000,8,FALSE),"0")</f>
        <v>0</v>
      </c>
      <c r="N10930" s="8"/>
      <c r="O10930" s="33" t="str">
        <f>IFERROR(VLOOKUP($M10930,'Informations sur les produits'!$A$3:$H$10000,8,FALSE),"0")</f>
        <v>0</v>
      </c>
      <c r="P10930" s="33">
        <f t="shared" si="680"/>
        <v>0</v>
      </c>
      <c r="Q10930" s="31" t="str">
        <f t="shared" si="681"/>
        <v/>
      </c>
      <c r="R10930" s="32" t="str">
        <f>IFERROR(VLOOKUP($D10930,'Informations sur les produits'!$A$3:$B$15000,2,FALSE),"")</f>
        <v/>
      </c>
      <c r="V10930">
        <f t="shared" si="682"/>
        <v>0</v>
      </c>
      <c r="W10930">
        <f t="shared" si="683"/>
        <v>0</v>
      </c>
    </row>
    <row r="10931" spans="5:23" x14ac:dyDescent="0.25">
      <c r="E10931" s="4"/>
      <c r="F10931" s="4"/>
      <c r="G10931" s="33" t="str">
        <f>IFERROR(VLOOKUP($D10931,'Informations sur les produits'!$A$3:$H$10000,8,FALSE),"0")</f>
        <v>0</v>
      </c>
      <c r="K10931" s="4"/>
      <c r="L10931" s="33" t="str">
        <f>IFERROR(VLOOKUP($J10931,'Informations sur les produits'!$A$3:$H$10000,8,FALSE),"0")</f>
        <v>0</v>
      </c>
      <c r="N10931" s="8"/>
      <c r="O10931" s="33" t="str">
        <f>IFERROR(VLOOKUP($M10931,'Informations sur les produits'!$A$3:$H$10000,8,FALSE),"0")</f>
        <v>0</v>
      </c>
      <c r="P10931" s="33">
        <f t="shared" si="680"/>
        <v>0</v>
      </c>
      <c r="Q10931" s="31" t="str">
        <f t="shared" si="681"/>
        <v/>
      </c>
      <c r="R10931" s="32" t="str">
        <f>IFERROR(VLOOKUP($D10931,'Informations sur les produits'!$A$3:$B$15000,2,FALSE),"")</f>
        <v/>
      </c>
      <c r="V10931">
        <f t="shared" si="682"/>
        <v>0</v>
      </c>
      <c r="W10931">
        <f t="shared" si="683"/>
        <v>0</v>
      </c>
    </row>
    <row r="10932" spans="5:23" x14ac:dyDescent="0.25">
      <c r="E10932" s="4"/>
      <c r="F10932" s="4"/>
      <c r="G10932" s="33" t="str">
        <f>IFERROR(VLOOKUP($D10932,'Informations sur les produits'!$A$3:$H$10000,8,FALSE),"0")</f>
        <v>0</v>
      </c>
      <c r="K10932" s="4"/>
      <c r="L10932" s="33" t="str">
        <f>IFERROR(VLOOKUP($J10932,'Informations sur les produits'!$A$3:$H$10000,8,FALSE),"0")</f>
        <v>0</v>
      </c>
      <c r="N10932" s="8"/>
      <c r="O10932" s="33" t="str">
        <f>IFERROR(VLOOKUP($M10932,'Informations sur les produits'!$A$3:$H$10000,8,FALSE),"0")</f>
        <v>0</v>
      </c>
      <c r="P10932" s="33">
        <f t="shared" si="680"/>
        <v>0</v>
      </c>
      <c r="Q10932" s="31" t="str">
        <f t="shared" si="681"/>
        <v/>
      </c>
      <c r="R10932" s="32" t="str">
        <f>IFERROR(VLOOKUP($D10932,'Informations sur les produits'!$A$3:$B$15000,2,FALSE),"")</f>
        <v/>
      </c>
      <c r="V10932">
        <f t="shared" si="682"/>
        <v>0</v>
      </c>
      <c r="W10932">
        <f t="shared" si="683"/>
        <v>0</v>
      </c>
    </row>
    <row r="10933" spans="5:23" x14ac:dyDescent="0.25">
      <c r="E10933" s="4"/>
      <c r="F10933" s="4"/>
      <c r="G10933" s="33" t="str">
        <f>IFERROR(VLOOKUP($D10933,'Informations sur les produits'!$A$3:$H$10000,8,FALSE),"0")</f>
        <v>0</v>
      </c>
      <c r="K10933" s="4"/>
      <c r="L10933" s="33" t="str">
        <f>IFERROR(VLOOKUP($J10933,'Informations sur les produits'!$A$3:$H$10000,8,FALSE),"0")</f>
        <v>0</v>
      </c>
      <c r="N10933" s="8"/>
      <c r="O10933" s="33" t="str">
        <f>IFERROR(VLOOKUP($M10933,'Informations sur les produits'!$A$3:$H$10000,8,FALSE),"0")</f>
        <v>0</v>
      </c>
      <c r="P10933" s="33">
        <f t="shared" si="680"/>
        <v>0</v>
      </c>
      <c r="Q10933" s="31" t="str">
        <f t="shared" si="681"/>
        <v/>
      </c>
      <c r="R10933" s="32" t="str">
        <f>IFERROR(VLOOKUP($D10933,'Informations sur les produits'!$A$3:$B$15000,2,FALSE),"")</f>
        <v/>
      </c>
      <c r="V10933">
        <f t="shared" si="682"/>
        <v>0</v>
      </c>
      <c r="W10933">
        <f t="shared" si="683"/>
        <v>0</v>
      </c>
    </row>
    <row r="10934" spans="5:23" x14ac:dyDescent="0.25">
      <c r="E10934" s="4"/>
      <c r="F10934" s="4"/>
      <c r="G10934" s="33" t="str">
        <f>IFERROR(VLOOKUP($D10934,'Informations sur les produits'!$A$3:$H$10000,8,FALSE),"0")</f>
        <v>0</v>
      </c>
      <c r="K10934" s="4"/>
      <c r="L10934" s="33" t="str">
        <f>IFERROR(VLOOKUP($J10934,'Informations sur les produits'!$A$3:$H$10000,8,FALSE),"0")</f>
        <v>0</v>
      </c>
      <c r="N10934" s="8"/>
      <c r="O10934" s="33" t="str">
        <f>IFERROR(VLOOKUP($M10934,'Informations sur les produits'!$A$3:$H$10000,8,FALSE),"0")</f>
        <v>0</v>
      </c>
      <c r="P10934" s="33">
        <f t="shared" si="680"/>
        <v>0</v>
      </c>
      <c r="Q10934" s="31" t="str">
        <f t="shared" si="681"/>
        <v/>
      </c>
      <c r="R10934" s="32" t="str">
        <f>IFERROR(VLOOKUP($D10934,'Informations sur les produits'!$A$3:$B$15000,2,FALSE),"")</f>
        <v/>
      </c>
      <c r="V10934">
        <f t="shared" si="682"/>
        <v>0</v>
      </c>
      <c r="W10934">
        <f t="shared" si="683"/>
        <v>0</v>
      </c>
    </row>
    <row r="10935" spans="5:23" x14ac:dyDescent="0.25">
      <c r="E10935" s="4"/>
      <c r="F10935" s="4"/>
      <c r="G10935" s="33" t="str">
        <f>IFERROR(VLOOKUP($D10935,'Informations sur les produits'!$A$3:$H$10000,8,FALSE),"0")</f>
        <v>0</v>
      </c>
      <c r="K10935" s="4"/>
      <c r="L10935" s="33" t="str">
        <f>IFERROR(VLOOKUP($J10935,'Informations sur les produits'!$A$3:$H$10000,8,FALSE),"0")</f>
        <v>0</v>
      </c>
      <c r="N10935" s="8"/>
      <c r="O10935" s="33" t="str">
        <f>IFERROR(VLOOKUP($M10935,'Informations sur les produits'!$A$3:$H$10000,8,FALSE),"0")</f>
        <v>0</v>
      </c>
      <c r="P10935" s="33">
        <f t="shared" si="680"/>
        <v>0</v>
      </c>
      <c r="Q10935" s="31" t="str">
        <f t="shared" si="681"/>
        <v/>
      </c>
      <c r="R10935" s="32" t="str">
        <f>IFERROR(VLOOKUP($D10935,'Informations sur les produits'!$A$3:$B$15000,2,FALSE),"")</f>
        <v/>
      </c>
      <c r="V10935">
        <f t="shared" si="682"/>
        <v>0</v>
      </c>
      <c r="W10935">
        <f t="shared" si="683"/>
        <v>0</v>
      </c>
    </row>
    <row r="10936" spans="5:23" x14ac:dyDescent="0.25">
      <c r="E10936" s="4"/>
      <c r="F10936" s="4"/>
      <c r="G10936" s="33" t="str">
        <f>IFERROR(VLOOKUP($D10936,'Informations sur les produits'!$A$3:$H$10000,8,FALSE),"0")</f>
        <v>0</v>
      </c>
      <c r="K10936" s="4"/>
      <c r="L10936" s="33" t="str">
        <f>IFERROR(VLOOKUP($J10936,'Informations sur les produits'!$A$3:$H$10000,8,FALSE),"0")</f>
        <v>0</v>
      </c>
      <c r="N10936" s="8"/>
      <c r="O10936" s="33" t="str">
        <f>IFERROR(VLOOKUP($M10936,'Informations sur les produits'!$A$3:$H$10000,8,FALSE),"0")</f>
        <v>0</v>
      </c>
      <c r="P10936" s="33">
        <f t="shared" si="680"/>
        <v>0</v>
      </c>
      <c r="Q10936" s="31" t="str">
        <f t="shared" si="681"/>
        <v/>
      </c>
      <c r="R10936" s="32" t="str">
        <f>IFERROR(VLOOKUP($D10936,'Informations sur les produits'!$A$3:$B$15000,2,FALSE),"")</f>
        <v/>
      </c>
      <c r="V10936">
        <f t="shared" si="682"/>
        <v>0</v>
      </c>
      <c r="W10936">
        <f t="shared" si="683"/>
        <v>0</v>
      </c>
    </row>
    <row r="10937" spans="5:23" x14ac:dyDescent="0.25">
      <c r="E10937" s="4"/>
      <c r="F10937" s="4"/>
      <c r="G10937" s="33" t="str">
        <f>IFERROR(VLOOKUP($D10937,'Informations sur les produits'!$A$3:$H$10000,8,FALSE),"0")</f>
        <v>0</v>
      </c>
      <c r="K10937" s="4"/>
      <c r="L10937" s="33" t="str">
        <f>IFERROR(VLOOKUP($J10937,'Informations sur les produits'!$A$3:$H$10000,8,FALSE),"0")</f>
        <v>0</v>
      </c>
      <c r="N10937" s="8"/>
      <c r="O10937" s="33" t="str">
        <f>IFERROR(VLOOKUP($M10937,'Informations sur les produits'!$A$3:$H$10000,8,FALSE),"0")</f>
        <v>0</v>
      </c>
      <c r="P10937" s="33">
        <f t="shared" si="680"/>
        <v>0</v>
      </c>
      <c r="Q10937" s="31" t="str">
        <f t="shared" si="681"/>
        <v/>
      </c>
      <c r="R10937" s="32" t="str">
        <f>IFERROR(VLOOKUP($D10937,'Informations sur les produits'!$A$3:$B$15000,2,FALSE),"")</f>
        <v/>
      </c>
      <c r="V10937">
        <f t="shared" si="682"/>
        <v>0</v>
      </c>
      <c r="W10937">
        <f t="shared" si="683"/>
        <v>0</v>
      </c>
    </row>
    <row r="10938" spans="5:23" x14ac:dyDescent="0.25">
      <c r="E10938" s="4"/>
      <c r="F10938" s="4"/>
      <c r="G10938" s="33" t="str">
        <f>IFERROR(VLOOKUP($D10938,'Informations sur les produits'!$A$3:$H$10000,8,FALSE),"0")</f>
        <v>0</v>
      </c>
      <c r="K10938" s="4"/>
      <c r="L10938" s="33" t="str">
        <f>IFERROR(VLOOKUP($J10938,'Informations sur les produits'!$A$3:$H$10000,8,FALSE),"0")</f>
        <v>0</v>
      </c>
      <c r="N10938" s="8"/>
      <c r="O10938" s="33" t="str">
        <f>IFERROR(VLOOKUP($M10938,'Informations sur les produits'!$A$3:$H$10000,8,FALSE),"0")</f>
        <v>0</v>
      </c>
      <c r="P10938" s="33">
        <f t="shared" si="680"/>
        <v>0</v>
      </c>
      <c r="Q10938" s="31" t="str">
        <f t="shared" si="681"/>
        <v/>
      </c>
      <c r="R10938" s="32" t="str">
        <f>IFERROR(VLOOKUP($D10938,'Informations sur les produits'!$A$3:$B$15000,2,FALSE),"")</f>
        <v/>
      </c>
      <c r="V10938">
        <f t="shared" si="682"/>
        <v>0</v>
      </c>
      <c r="W10938">
        <f t="shared" si="683"/>
        <v>0</v>
      </c>
    </row>
    <row r="10939" spans="5:23" x14ac:dyDescent="0.25">
      <c r="E10939" s="4"/>
      <c r="F10939" s="4"/>
      <c r="G10939" s="33" t="str">
        <f>IFERROR(VLOOKUP($D10939,'Informations sur les produits'!$A$3:$H$10000,8,FALSE),"0")</f>
        <v>0</v>
      </c>
      <c r="K10939" s="4"/>
      <c r="L10939" s="33" t="str">
        <f>IFERROR(VLOOKUP($J10939,'Informations sur les produits'!$A$3:$H$10000,8,FALSE),"0")</f>
        <v>0</v>
      </c>
      <c r="N10939" s="8"/>
      <c r="O10939" s="33" t="str">
        <f>IFERROR(VLOOKUP($M10939,'Informations sur les produits'!$A$3:$H$10000,8,FALSE),"0")</f>
        <v>0</v>
      </c>
      <c r="P10939" s="33">
        <f t="shared" si="680"/>
        <v>0</v>
      </c>
      <c r="Q10939" s="31" t="str">
        <f t="shared" si="681"/>
        <v/>
      </c>
      <c r="R10939" s="32" t="str">
        <f>IFERROR(VLOOKUP($D10939,'Informations sur les produits'!$A$3:$B$15000,2,FALSE),"")</f>
        <v/>
      </c>
      <c r="V10939">
        <f t="shared" si="682"/>
        <v>0</v>
      </c>
      <c r="W10939">
        <f t="shared" si="683"/>
        <v>0</v>
      </c>
    </row>
    <row r="10940" spans="5:23" x14ac:dyDescent="0.25">
      <c r="E10940" s="4"/>
      <c r="F10940" s="4"/>
      <c r="G10940" s="33" t="str">
        <f>IFERROR(VLOOKUP($D10940,'Informations sur les produits'!$A$3:$H$10000,8,FALSE),"0")</f>
        <v>0</v>
      </c>
      <c r="K10940" s="4"/>
      <c r="L10940" s="33" t="str">
        <f>IFERROR(VLOOKUP($J10940,'Informations sur les produits'!$A$3:$H$10000,8,FALSE),"0")</f>
        <v>0</v>
      </c>
      <c r="N10940" s="8"/>
      <c r="O10940" s="33" t="str">
        <f>IFERROR(VLOOKUP($M10940,'Informations sur les produits'!$A$3:$H$10000,8,FALSE),"0")</f>
        <v>0</v>
      </c>
      <c r="P10940" s="33">
        <f t="shared" si="680"/>
        <v>0</v>
      </c>
      <c r="Q10940" s="31" t="str">
        <f t="shared" si="681"/>
        <v/>
      </c>
      <c r="R10940" s="32" t="str">
        <f>IFERROR(VLOOKUP($D10940,'Informations sur les produits'!$A$3:$B$15000,2,FALSE),"")</f>
        <v/>
      </c>
      <c r="V10940">
        <f t="shared" si="682"/>
        <v>0</v>
      </c>
      <c r="W10940">
        <f t="shared" si="683"/>
        <v>0</v>
      </c>
    </row>
    <row r="10941" spans="5:23" x14ac:dyDescent="0.25">
      <c r="E10941" s="4"/>
      <c r="F10941" s="4"/>
      <c r="G10941" s="33" t="str">
        <f>IFERROR(VLOOKUP($D10941,'Informations sur les produits'!$A$3:$H$10000,8,FALSE),"0")</f>
        <v>0</v>
      </c>
      <c r="K10941" s="4"/>
      <c r="L10941" s="33" t="str">
        <f>IFERROR(VLOOKUP($J10941,'Informations sur les produits'!$A$3:$H$10000,8,FALSE),"0")</f>
        <v>0</v>
      </c>
      <c r="N10941" s="8"/>
      <c r="O10941" s="33" t="str">
        <f>IFERROR(VLOOKUP($M10941,'Informations sur les produits'!$A$3:$H$10000,8,FALSE),"0")</f>
        <v>0</v>
      </c>
      <c r="P10941" s="33">
        <f t="shared" si="680"/>
        <v>0</v>
      </c>
      <c r="Q10941" s="31" t="str">
        <f t="shared" si="681"/>
        <v/>
      </c>
      <c r="R10941" s="32" t="str">
        <f>IFERROR(VLOOKUP($D10941,'Informations sur les produits'!$A$3:$B$15000,2,FALSE),"")</f>
        <v/>
      </c>
      <c r="V10941">
        <f t="shared" si="682"/>
        <v>0</v>
      </c>
      <c r="W10941">
        <f t="shared" si="683"/>
        <v>0</v>
      </c>
    </row>
    <row r="10942" spans="5:23" x14ac:dyDescent="0.25">
      <c r="E10942" s="4"/>
      <c r="F10942" s="4"/>
      <c r="G10942" s="33" t="str">
        <f>IFERROR(VLOOKUP($D10942,'Informations sur les produits'!$A$3:$H$10000,8,FALSE),"0")</f>
        <v>0</v>
      </c>
      <c r="K10942" s="4"/>
      <c r="L10942" s="33" t="str">
        <f>IFERROR(VLOOKUP($J10942,'Informations sur les produits'!$A$3:$H$10000,8,FALSE),"0")</f>
        <v>0</v>
      </c>
      <c r="N10942" s="8"/>
      <c r="O10942" s="33" t="str">
        <f>IFERROR(VLOOKUP($M10942,'Informations sur les produits'!$A$3:$H$10000,8,FALSE),"0")</f>
        <v>0</v>
      </c>
      <c r="P10942" s="33">
        <f t="shared" si="680"/>
        <v>0</v>
      </c>
      <c r="Q10942" s="31" t="str">
        <f t="shared" si="681"/>
        <v/>
      </c>
      <c r="R10942" s="32" t="str">
        <f>IFERROR(VLOOKUP($D10942,'Informations sur les produits'!$A$3:$B$15000,2,FALSE),"")</f>
        <v/>
      </c>
      <c r="V10942">
        <f t="shared" si="682"/>
        <v>0</v>
      </c>
      <c r="W10942">
        <f t="shared" si="683"/>
        <v>0</v>
      </c>
    </row>
    <row r="10943" spans="5:23" x14ac:dyDescent="0.25">
      <c r="E10943" s="4"/>
      <c r="F10943" s="4"/>
      <c r="G10943" s="33" t="str">
        <f>IFERROR(VLOOKUP($D10943,'Informations sur les produits'!$A$3:$H$10000,8,FALSE),"0")</f>
        <v>0</v>
      </c>
      <c r="K10943" s="4"/>
      <c r="L10943" s="33" t="str">
        <f>IFERROR(VLOOKUP($J10943,'Informations sur les produits'!$A$3:$H$10000,8,FALSE),"0")</f>
        <v>0</v>
      </c>
      <c r="N10943" s="8"/>
      <c r="O10943" s="33" t="str">
        <f>IFERROR(VLOOKUP($M10943,'Informations sur les produits'!$A$3:$H$10000,8,FALSE),"0")</f>
        <v>0</v>
      </c>
      <c r="P10943" s="33">
        <f t="shared" si="680"/>
        <v>0</v>
      </c>
      <c r="Q10943" s="31" t="str">
        <f t="shared" si="681"/>
        <v/>
      </c>
      <c r="R10943" s="32" t="str">
        <f>IFERROR(VLOOKUP($D10943,'Informations sur les produits'!$A$3:$B$15000,2,FALSE),"")</f>
        <v/>
      </c>
      <c r="V10943">
        <f t="shared" si="682"/>
        <v>0</v>
      </c>
      <c r="W10943">
        <f t="shared" si="683"/>
        <v>0</v>
      </c>
    </row>
    <row r="10944" spans="5:23" x14ac:dyDescent="0.25">
      <c r="E10944" s="4"/>
      <c r="F10944" s="4"/>
      <c r="G10944" s="33" t="str">
        <f>IFERROR(VLOOKUP($D10944,'Informations sur les produits'!$A$3:$H$10000,8,FALSE),"0")</f>
        <v>0</v>
      </c>
      <c r="K10944" s="4"/>
      <c r="L10944" s="33" t="str">
        <f>IFERROR(VLOOKUP($J10944,'Informations sur les produits'!$A$3:$H$10000,8,FALSE),"0")</f>
        <v>0</v>
      </c>
      <c r="N10944" s="8"/>
      <c r="O10944" s="33" t="str">
        <f>IFERROR(VLOOKUP($M10944,'Informations sur les produits'!$A$3:$H$10000,8,FALSE),"0")</f>
        <v>0</v>
      </c>
      <c r="P10944" s="33">
        <f t="shared" si="680"/>
        <v>0</v>
      </c>
      <c r="Q10944" s="31" t="str">
        <f t="shared" si="681"/>
        <v/>
      </c>
      <c r="R10944" s="32" t="str">
        <f>IFERROR(VLOOKUP($D10944,'Informations sur les produits'!$A$3:$B$15000,2,FALSE),"")</f>
        <v/>
      </c>
      <c r="V10944">
        <f t="shared" si="682"/>
        <v>0</v>
      </c>
      <c r="W10944">
        <f t="shared" si="683"/>
        <v>0</v>
      </c>
    </row>
    <row r="10945" spans="5:23" x14ac:dyDescent="0.25">
      <c r="E10945" s="4"/>
      <c r="F10945" s="4"/>
      <c r="G10945" s="33" t="str">
        <f>IFERROR(VLOOKUP($D10945,'Informations sur les produits'!$A$3:$H$10000,8,FALSE),"0")</f>
        <v>0</v>
      </c>
      <c r="K10945" s="4"/>
      <c r="L10945" s="33" t="str">
        <f>IFERROR(VLOOKUP($J10945,'Informations sur les produits'!$A$3:$H$10000,8,FALSE),"0")</f>
        <v>0</v>
      </c>
      <c r="N10945" s="8"/>
      <c r="O10945" s="33" t="str">
        <f>IFERROR(VLOOKUP($M10945,'Informations sur les produits'!$A$3:$H$10000,8,FALSE),"0")</f>
        <v>0</v>
      </c>
      <c r="P10945" s="33">
        <f t="shared" si="680"/>
        <v>0</v>
      </c>
      <c r="Q10945" s="31" t="str">
        <f t="shared" si="681"/>
        <v/>
      </c>
      <c r="R10945" s="32" t="str">
        <f>IFERROR(VLOOKUP($D10945,'Informations sur les produits'!$A$3:$B$15000,2,FALSE),"")</f>
        <v/>
      </c>
      <c r="V10945">
        <f t="shared" si="682"/>
        <v>0</v>
      </c>
      <c r="W10945">
        <f t="shared" si="683"/>
        <v>0</v>
      </c>
    </row>
    <row r="10946" spans="5:23" x14ac:dyDescent="0.25">
      <c r="E10946" s="4"/>
      <c r="F10946" s="4"/>
      <c r="G10946" s="33" t="str">
        <f>IFERROR(VLOOKUP($D10946,'Informations sur les produits'!$A$3:$H$10000,8,FALSE),"0")</f>
        <v>0</v>
      </c>
      <c r="K10946" s="4"/>
      <c r="L10946" s="33" t="str">
        <f>IFERROR(VLOOKUP($J10946,'Informations sur les produits'!$A$3:$H$10000,8,FALSE),"0")</f>
        <v>0</v>
      </c>
      <c r="N10946" s="8"/>
      <c r="O10946" s="33" t="str">
        <f>IFERROR(VLOOKUP($M10946,'Informations sur les produits'!$A$3:$H$10000,8,FALSE),"0")</f>
        <v>0</v>
      </c>
      <c r="P10946" s="33">
        <f t="shared" si="680"/>
        <v>0</v>
      </c>
      <c r="Q10946" s="31" t="str">
        <f t="shared" si="681"/>
        <v/>
      </c>
      <c r="R10946" s="32" t="str">
        <f>IFERROR(VLOOKUP($D10946,'Informations sur les produits'!$A$3:$B$15000,2,FALSE),"")</f>
        <v/>
      </c>
      <c r="V10946">
        <f t="shared" si="682"/>
        <v>0</v>
      </c>
      <c r="W10946">
        <f t="shared" si="683"/>
        <v>0</v>
      </c>
    </row>
    <row r="10947" spans="5:23" x14ac:dyDescent="0.25">
      <c r="E10947" s="4"/>
      <c r="F10947" s="4"/>
      <c r="G10947" s="33" t="str">
        <f>IFERROR(VLOOKUP($D10947,'Informations sur les produits'!$A$3:$H$10000,8,FALSE),"0")</f>
        <v>0</v>
      </c>
      <c r="K10947" s="4"/>
      <c r="L10947" s="33" t="str">
        <f>IFERROR(VLOOKUP($J10947,'Informations sur les produits'!$A$3:$H$10000,8,FALSE),"0")</f>
        <v>0</v>
      </c>
      <c r="N10947" s="8"/>
      <c r="O10947" s="33" t="str">
        <f>IFERROR(VLOOKUP($M10947,'Informations sur les produits'!$A$3:$H$10000,8,FALSE),"0")</f>
        <v>0</v>
      </c>
      <c r="P10947" s="33">
        <f t="shared" si="680"/>
        <v>0</v>
      </c>
      <c r="Q10947" s="31" t="str">
        <f t="shared" si="681"/>
        <v/>
      </c>
      <c r="R10947" s="32" t="str">
        <f>IFERROR(VLOOKUP($D10947,'Informations sur les produits'!$A$3:$B$15000,2,FALSE),"")</f>
        <v/>
      </c>
      <c r="V10947">
        <f t="shared" si="682"/>
        <v>0</v>
      </c>
      <c r="W10947">
        <f t="shared" si="683"/>
        <v>0</v>
      </c>
    </row>
    <row r="10948" spans="5:23" x14ac:dyDescent="0.25">
      <c r="E10948" s="4"/>
      <c r="F10948" s="4"/>
      <c r="G10948" s="33" t="str">
        <f>IFERROR(VLOOKUP($D10948,'Informations sur les produits'!$A$3:$H$10000,8,FALSE),"0")</f>
        <v>0</v>
      </c>
      <c r="K10948" s="4"/>
      <c r="L10948" s="33" t="str">
        <f>IFERROR(VLOOKUP($J10948,'Informations sur les produits'!$A$3:$H$10000,8,FALSE),"0")</f>
        <v>0</v>
      </c>
      <c r="N10948" s="8"/>
      <c r="O10948" s="33" t="str">
        <f>IFERROR(VLOOKUP($M10948,'Informations sur les produits'!$A$3:$H$10000,8,FALSE),"0")</f>
        <v>0</v>
      </c>
      <c r="P10948" s="33">
        <f t="shared" ref="P10948:P11011" si="684">IFERROR((($E10948-$F10948)*$G10948+$K10948*$L10948+$N10948*$O10948),"")</f>
        <v>0</v>
      </c>
      <c r="Q10948" s="31" t="str">
        <f t="shared" ref="Q10948:Q11011" si="685">IFERROR((((($E10948-$F10948)*$G10948+$K10948*$L10948+$N10948*$O10948)*1000)/(($E10948-$F10948)+$K10948+$N10948)),"")</f>
        <v/>
      </c>
      <c r="R10948" s="32" t="str">
        <f>IFERROR(VLOOKUP($D10948,'Informations sur les produits'!$A$3:$B$15000,2,FALSE),"")</f>
        <v/>
      </c>
      <c r="V10948">
        <f t="shared" ref="V10948:V11011" si="686">IFERROR(P10948*1000,"")</f>
        <v>0</v>
      </c>
      <c r="W10948">
        <f t="shared" ref="W10948:W11011" si="687">IFERROR(($E10948-$F10948)+$K10948+$N10948,"")</f>
        <v>0</v>
      </c>
    </row>
    <row r="10949" spans="5:23" x14ac:dyDescent="0.25">
      <c r="E10949" s="4"/>
      <c r="F10949" s="4"/>
      <c r="G10949" s="33" t="str">
        <f>IFERROR(VLOOKUP($D10949,'Informations sur les produits'!$A$3:$H$10000,8,FALSE),"0")</f>
        <v>0</v>
      </c>
      <c r="K10949" s="4"/>
      <c r="L10949" s="33" t="str">
        <f>IFERROR(VLOOKUP($J10949,'Informations sur les produits'!$A$3:$H$10000,8,FALSE),"0")</f>
        <v>0</v>
      </c>
      <c r="N10949" s="8"/>
      <c r="O10949" s="33" t="str">
        <f>IFERROR(VLOOKUP($M10949,'Informations sur les produits'!$A$3:$H$10000,8,FALSE),"0")</f>
        <v>0</v>
      </c>
      <c r="P10949" s="33">
        <f t="shared" si="684"/>
        <v>0</v>
      </c>
      <c r="Q10949" s="31" t="str">
        <f t="shared" si="685"/>
        <v/>
      </c>
      <c r="R10949" s="32" t="str">
        <f>IFERROR(VLOOKUP($D10949,'Informations sur les produits'!$A$3:$B$15000,2,FALSE),"")</f>
        <v/>
      </c>
      <c r="V10949">
        <f t="shared" si="686"/>
        <v>0</v>
      </c>
      <c r="W10949">
        <f t="shared" si="687"/>
        <v>0</v>
      </c>
    </row>
    <row r="10950" spans="5:23" x14ac:dyDescent="0.25">
      <c r="E10950" s="4"/>
      <c r="F10950" s="4"/>
      <c r="G10950" s="33" t="str">
        <f>IFERROR(VLOOKUP($D10950,'Informations sur les produits'!$A$3:$H$10000,8,FALSE),"0")</f>
        <v>0</v>
      </c>
      <c r="K10950" s="4"/>
      <c r="L10950" s="33" t="str">
        <f>IFERROR(VLOOKUP($J10950,'Informations sur les produits'!$A$3:$H$10000,8,FALSE),"0")</f>
        <v>0</v>
      </c>
      <c r="N10950" s="8"/>
      <c r="O10950" s="33" t="str">
        <f>IFERROR(VLOOKUP($M10950,'Informations sur les produits'!$A$3:$H$10000,8,FALSE),"0")</f>
        <v>0</v>
      </c>
      <c r="P10950" s="33">
        <f t="shared" si="684"/>
        <v>0</v>
      </c>
      <c r="Q10950" s="31" t="str">
        <f t="shared" si="685"/>
        <v/>
      </c>
      <c r="R10950" s="32" t="str">
        <f>IFERROR(VLOOKUP($D10950,'Informations sur les produits'!$A$3:$B$15000,2,FALSE),"")</f>
        <v/>
      </c>
      <c r="V10950">
        <f t="shared" si="686"/>
        <v>0</v>
      </c>
      <c r="W10950">
        <f t="shared" si="687"/>
        <v>0</v>
      </c>
    </row>
    <row r="10951" spans="5:23" x14ac:dyDescent="0.25">
      <c r="E10951" s="4"/>
      <c r="F10951" s="4"/>
      <c r="G10951" s="33" t="str">
        <f>IFERROR(VLOOKUP($D10951,'Informations sur les produits'!$A$3:$H$10000,8,FALSE),"0")</f>
        <v>0</v>
      </c>
      <c r="K10951" s="4"/>
      <c r="L10951" s="33" t="str">
        <f>IFERROR(VLOOKUP($J10951,'Informations sur les produits'!$A$3:$H$10000,8,FALSE),"0")</f>
        <v>0</v>
      </c>
      <c r="N10951" s="8"/>
      <c r="O10951" s="33" t="str">
        <f>IFERROR(VLOOKUP($M10951,'Informations sur les produits'!$A$3:$H$10000,8,FALSE),"0")</f>
        <v>0</v>
      </c>
      <c r="P10951" s="33">
        <f t="shared" si="684"/>
        <v>0</v>
      </c>
      <c r="Q10951" s="31" t="str">
        <f t="shared" si="685"/>
        <v/>
      </c>
      <c r="R10951" s="32" t="str">
        <f>IFERROR(VLOOKUP($D10951,'Informations sur les produits'!$A$3:$B$15000,2,FALSE),"")</f>
        <v/>
      </c>
      <c r="V10951">
        <f t="shared" si="686"/>
        <v>0</v>
      </c>
      <c r="W10951">
        <f t="shared" si="687"/>
        <v>0</v>
      </c>
    </row>
    <row r="10952" spans="5:23" x14ac:dyDescent="0.25">
      <c r="E10952" s="4"/>
      <c r="F10952" s="4"/>
      <c r="G10952" s="33" t="str">
        <f>IFERROR(VLOOKUP($D10952,'Informations sur les produits'!$A$3:$H$10000,8,FALSE),"0")</f>
        <v>0</v>
      </c>
      <c r="K10952" s="4"/>
      <c r="L10952" s="33" t="str">
        <f>IFERROR(VLOOKUP($J10952,'Informations sur les produits'!$A$3:$H$10000,8,FALSE),"0")</f>
        <v>0</v>
      </c>
      <c r="N10952" s="8"/>
      <c r="O10952" s="33" t="str">
        <f>IFERROR(VLOOKUP($M10952,'Informations sur les produits'!$A$3:$H$10000,8,FALSE),"0")</f>
        <v>0</v>
      </c>
      <c r="P10952" s="33">
        <f t="shared" si="684"/>
        <v>0</v>
      </c>
      <c r="Q10952" s="31" t="str">
        <f t="shared" si="685"/>
        <v/>
      </c>
      <c r="R10952" s="32" t="str">
        <f>IFERROR(VLOOKUP($D10952,'Informations sur les produits'!$A$3:$B$15000,2,FALSE),"")</f>
        <v/>
      </c>
      <c r="V10952">
        <f t="shared" si="686"/>
        <v>0</v>
      </c>
      <c r="W10952">
        <f t="shared" si="687"/>
        <v>0</v>
      </c>
    </row>
    <row r="10953" spans="5:23" x14ac:dyDescent="0.25">
      <c r="E10953" s="4"/>
      <c r="F10953" s="4"/>
      <c r="G10953" s="33" t="str">
        <f>IFERROR(VLOOKUP($D10953,'Informations sur les produits'!$A$3:$H$10000,8,FALSE),"0")</f>
        <v>0</v>
      </c>
      <c r="K10953" s="4"/>
      <c r="L10953" s="33" t="str">
        <f>IFERROR(VLOOKUP($J10953,'Informations sur les produits'!$A$3:$H$10000,8,FALSE),"0")</f>
        <v>0</v>
      </c>
      <c r="N10953" s="8"/>
      <c r="O10953" s="33" t="str">
        <f>IFERROR(VLOOKUP($M10953,'Informations sur les produits'!$A$3:$H$10000,8,FALSE),"0")</f>
        <v>0</v>
      </c>
      <c r="P10953" s="33">
        <f t="shared" si="684"/>
        <v>0</v>
      </c>
      <c r="Q10953" s="31" t="str">
        <f t="shared" si="685"/>
        <v/>
      </c>
      <c r="R10953" s="32" t="str">
        <f>IFERROR(VLOOKUP($D10953,'Informations sur les produits'!$A$3:$B$15000,2,FALSE),"")</f>
        <v/>
      </c>
      <c r="V10953">
        <f t="shared" si="686"/>
        <v>0</v>
      </c>
      <c r="W10953">
        <f t="shared" si="687"/>
        <v>0</v>
      </c>
    </row>
    <row r="10954" spans="5:23" x14ac:dyDescent="0.25">
      <c r="E10954" s="4"/>
      <c r="F10954" s="4"/>
      <c r="G10954" s="33" t="str">
        <f>IFERROR(VLOOKUP($D10954,'Informations sur les produits'!$A$3:$H$10000,8,FALSE),"0")</f>
        <v>0</v>
      </c>
      <c r="K10954" s="4"/>
      <c r="L10954" s="33" t="str">
        <f>IFERROR(VLOOKUP($J10954,'Informations sur les produits'!$A$3:$H$10000,8,FALSE),"0")</f>
        <v>0</v>
      </c>
      <c r="N10954" s="8"/>
      <c r="O10954" s="33" t="str">
        <f>IFERROR(VLOOKUP($M10954,'Informations sur les produits'!$A$3:$H$10000,8,FALSE),"0")</f>
        <v>0</v>
      </c>
      <c r="P10954" s="33">
        <f t="shared" si="684"/>
        <v>0</v>
      </c>
      <c r="Q10954" s="31" t="str">
        <f t="shared" si="685"/>
        <v/>
      </c>
      <c r="R10954" s="32" t="str">
        <f>IFERROR(VLOOKUP($D10954,'Informations sur les produits'!$A$3:$B$15000,2,FALSE),"")</f>
        <v/>
      </c>
      <c r="V10954">
        <f t="shared" si="686"/>
        <v>0</v>
      </c>
      <c r="W10954">
        <f t="shared" si="687"/>
        <v>0</v>
      </c>
    </row>
    <row r="10955" spans="5:23" x14ac:dyDescent="0.25">
      <c r="E10955" s="4"/>
      <c r="F10955" s="4"/>
      <c r="G10955" s="33" t="str">
        <f>IFERROR(VLOOKUP($D10955,'Informations sur les produits'!$A$3:$H$10000,8,FALSE),"0")</f>
        <v>0</v>
      </c>
      <c r="K10955" s="4"/>
      <c r="L10955" s="33" t="str">
        <f>IFERROR(VLOOKUP($J10955,'Informations sur les produits'!$A$3:$H$10000,8,FALSE),"0")</f>
        <v>0</v>
      </c>
      <c r="N10955" s="8"/>
      <c r="O10955" s="33" t="str">
        <f>IFERROR(VLOOKUP($M10955,'Informations sur les produits'!$A$3:$H$10000,8,FALSE),"0")</f>
        <v>0</v>
      </c>
      <c r="P10955" s="33">
        <f t="shared" si="684"/>
        <v>0</v>
      </c>
      <c r="Q10955" s="31" t="str">
        <f t="shared" si="685"/>
        <v/>
      </c>
      <c r="R10955" s="32" t="str">
        <f>IFERROR(VLOOKUP($D10955,'Informations sur les produits'!$A$3:$B$15000,2,FALSE),"")</f>
        <v/>
      </c>
      <c r="V10955">
        <f t="shared" si="686"/>
        <v>0</v>
      </c>
      <c r="W10955">
        <f t="shared" si="687"/>
        <v>0</v>
      </c>
    </row>
    <row r="10956" spans="5:23" x14ac:dyDescent="0.25">
      <c r="E10956" s="4"/>
      <c r="F10956" s="4"/>
      <c r="G10956" s="33" t="str">
        <f>IFERROR(VLOOKUP($D10956,'Informations sur les produits'!$A$3:$H$10000,8,FALSE),"0")</f>
        <v>0</v>
      </c>
      <c r="K10956" s="4"/>
      <c r="L10956" s="33" t="str">
        <f>IFERROR(VLOOKUP($J10956,'Informations sur les produits'!$A$3:$H$10000,8,FALSE),"0")</f>
        <v>0</v>
      </c>
      <c r="N10956" s="8"/>
      <c r="O10956" s="33" t="str">
        <f>IFERROR(VLOOKUP($M10956,'Informations sur les produits'!$A$3:$H$10000,8,FALSE),"0")</f>
        <v>0</v>
      </c>
      <c r="P10956" s="33">
        <f t="shared" si="684"/>
        <v>0</v>
      </c>
      <c r="Q10956" s="31" t="str">
        <f t="shared" si="685"/>
        <v/>
      </c>
      <c r="R10956" s="32" t="str">
        <f>IFERROR(VLOOKUP($D10956,'Informations sur les produits'!$A$3:$B$15000,2,FALSE),"")</f>
        <v/>
      </c>
      <c r="V10956">
        <f t="shared" si="686"/>
        <v>0</v>
      </c>
      <c r="W10956">
        <f t="shared" si="687"/>
        <v>0</v>
      </c>
    </row>
    <row r="10957" spans="5:23" x14ac:dyDescent="0.25">
      <c r="E10957" s="4"/>
      <c r="F10957" s="4"/>
      <c r="G10957" s="33" t="str">
        <f>IFERROR(VLOOKUP($D10957,'Informations sur les produits'!$A$3:$H$10000,8,FALSE),"0")</f>
        <v>0</v>
      </c>
      <c r="K10957" s="4"/>
      <c r="L10957" s="33" t="str">
        <f>IFERROR(VLOOKUP($J10957,'Informations sur les produits'!$A$3:$H$10000,8,FALSE),"0")</f>
        <v>0</v>
      </c>
      <c r="N10957" s="8"/>
      <c r="O10957" s="33" t="str">
        <f>IFERROR(VLOOKUP($M10957,'Informations sur les produits'!$A$3:$H$10000,8,FALSE),"0")</f>
        <v>0</v>
      </c>
      <c r="P10957" s="33">
        <f t="shared" si="684"/>
        <v>0</v>
      </c>
      <c r="Q10957" s="31" t="str">
        <f t="shared" si="685"/>
        <v/>
      </c>
      <c r="R10957" s="32" t="str">
        <f>IFERROR(VLOOKUP($D10957,'Informations sur les produits'!$A$3:$B$15000,2,FALSE),"")</f>
        <v/>
      </c>
      <c r="V10957">
        <f t="shared" si="686"/>
        <v>0</v>
      </c>
      <c r="W10957">
        <f t="shared" si="687"/>
        <v>0</v>
      </c>
    </row>
    <row r="10958" spans="5:23" x14ac:dyDescent="0.25">
      <c r="E10958" s="4"/>
      <c r="F10958" s="4"/>
      <c r="G10958" s="33" t="str">
        <f>IFERROR(VLOOKUP($D10958,'Informations sur les produits'!$A$3:$H$10000,8,FALSE),"0")</f>
        <v>0</v>
      </c>
      <c r="K10958" s="4"/>
      <c r="L10958" s="33" t="str">
        <f>IFERROR(VLOOKUP($J10958,'Informations sur les produits'!$A$3:$H$10000,8,FALSE),"0")</f>
        <v>0</v>
      </c>
      <c r="N10958" s="8"/>
      <c r="O10958" s="33" t="str">
        <f>IFERROR(VLOOKUP($M10958,'Informations sur les produits'!$A$3:$H$10000,8,FALSE),"0")</f>
        <v>0</v>
      </c>
      <c r="P10958" s="33">
        <f t="shared" si="684"/>
        <v>0</v>
      </c>
      <c r="Q10958" s="31" t="str">
        <f t="shared" si="685"/>
        <v/>
      </c>
      <c r="R10958" s="32" t="str">
        <f>IFERROR(VLOOKUP($D10958,'Informations sur les produits'!$A$3:$B$15000,2,FALSE),"")</f>
        <v/>
      </c>
      <c r="V10958">
        <f t="shared" si="686"/>
        <v>0</v>
      </c>
      <c r="W10958">
        <f t="shared" si="687"/>
        <v>0</v>
      </c>
    </row>
    <row r="10959" spans="5:23" x14ac:dyDescent="0.25">
      <c r="E10959" s="4"/>
      <c r="F10959" s="4"/>
      <c r="G10959" s="33" t="str">
        <f>IFERROR(VLOOKUP($D10959,'Informations sur les produits'!$A$3:$H$10000,8,FALSE),"0")</f>
        <v>0</v>
      </c>
      <c r="K10959" s="4"/>
      <c r="L10959" s="33" t="str">
        <f>IFERROR(VLOOKUP($J10959,'Informations sur les produits'!$A$3:$H$10000,8,FALSE),"0")</f>
        <v>0</v>
      </c>
      <c r="N10959" s="8"/>
      <c r="O10959" s="33" t="str">
        <f>IFERROR(VLOOKUP($M10959,'Informations sur les produits'!$A$3:$H$10000,8,FALSE),"0")</f>
        <v>0</v>
      </c>
      <c r="P10959" s="33">
        <f t="shared" si="684"/>
        <v>0</v>
      </c>
      <c r="Q10959" s="31" t="str">
        <f t="shared" si="685"/>
        <v/>
      </c>
      <c r="R10959" s="32" t="str">
        <f>IFERROR(VLOOKUP($D10959,'Informations sur les produits'!$A$3:$B$15000,2,FALSE),"")</f>
        <v/>
      </c>
      <c r="V10959">
        <f t="shared" si="686"/>
        <v>0</v>
      </c>
      <c r="W10959">
        <f t="shared" si="687"/>
        <v>0</v>
      </c>
    </row>
    <row r="10960" spans="5:23" x14ac:dyDescent="0.25">
      <c r="E10960" s="4"/>
      <c r="F10960" s="4"/>
      <c r="G10960" s="33" t="str">
        <f>IFERROR(VLOOKUP($D10960,'Informations sur les produits'!$A$3:$H$10000,8,FALSE),"0")</f>
        <v>0</v>
      </c>
      <c r="K10960" s="4"/>
      <c r="L10960" s="33" t="str">
        <f>IFERROR(VLOOKUP($J10960,'Informations sur les produits'!$A$3:$H$10000,8,FALSE),"0")</f>
        <v>0</v>
      </c>
      <c r="N10960" s="8"/>
      <c r="O10960" s="33" t="str">
        <f>IFERROR(VLOOKUP($M10960,'Informations sur les produits'!$A$3:$H$10000,8,FALSE),"0")</f>
        <v>0</v>
      </c>
      <c r="P10960" s="33">
        <f t="shared" si="684"/>
        <v>0</v>
      </c>
      <c r="Q10960" s="31" t="str">
        <f t="shared" si="685"/>
        <v/>
      </c>
      <c r="R10960" s="32" t="str">
        <f>IFERROR(VLOOKUP($D10960,'Informations sur les produits'!$A$3:$B$15000,2,FALSE),"")</f>
        <v/>
      </c>
      <c r="V10960">
        <f t="shared" si="686"/>
        <v>0</v>
      </c>
      <c r="W10960">
        <f t="shared" si="687"/>
        <v>0</v>
      </c>
    </row>
    <row r="10961" spans="5:23" x14ac:dyDescent="0.25">
      <c r="E10961" s="4"/>
      <c r="F10961" s="4"/>
      <c r="G10961" s="33" t="str">
        <f>IFERROR(VLOOKUP($D10961,'Informations sur les produits'!$A$3:$H$10000,8,FALSE),"0")</f>
        <v>0</v>
      </c>
      <c r="K10961" s="4"/>
      <c r="L10961" s="33" t="str">
        <f>IFERROR(VLOOKUP($J10961,'Informations sur les produits'!$A$3:$H$10000,8,FALSE),"0")</f>
        <v>0</v>
      </c>
      <c r="N10961" s="8"/>
      <c r="O10961" s="33" t="str">
        <f>IFERROR(VLOOKUP($M10961,'Informations sur les produits'!$A$3:$H$10000,8,FALSE),"0")</f>
        <v>0</v>
      </c>
      <c r="P10961" s="33">
        <f t="shared" si="684"/>
        <v>0</v>
      </c>
      <c r="Q10961" s="31" t="str">
        <f t="shared" si="685"/>
        <v/>
      </c>
      <c r="R10961" s="32" t="str">
        <f>IFERROR(VLOOKUP($D10961,'Informations sur les produits'!$A$3:$B$15000,2,FALSE),"")</f>
        <v/>
      </c>
      <c r="V10961">
        <f t="shared" si="686"/>
        <v>0</v>
      </c>
      <c r="W10961">
        <f t="shared" si="687"/>
        <v>0</v>
      </c>
    </row>
    <row r="10962" spans="5:23" x14ac:dyDescent="0.25">
      <c r="E10962" s="4"/>
      <c r="F10962" s="4"/>
      <c r="G10962" s="33" t="str">
        <f>IFERROR(VLOOKUP($D10962,'Informations sur les produits'!$A$3:$H$10000,8,FALSE),"0")</f>
        <v>0</v>
      </c>
      <c r="K10962" s="4"/>
      <c r="L10962" s="33" t="str">
        <f>IFERROR(VLOOKUP($J10962,'Informations sur les produits'!$A$3:$H$10000,8,FALSE),"0")</f>
        <v>0</v>
      </c>
      <c r="N10962" s="8"/>
      <c r="O10962" s="33" t="str">
        <f>IFERROR(VLOOKUP($M10962,'Informations sur les produits'!$A$3:$H$10000,8,FALSE),"0")</f>
        <v>0</v>
      </c>
      <c r="P10962" s="33">
        <f t="shared" si="684"/>
        <v>0</v>
      </c>
      <c r="Q10962" s="31" t="str">
        <f t="shared" si="685"/>
        <v/>
      </c>
      <c r="R10962" s="32" t="str">
        <f>IFERROR(VLOOKUP($D10962,'Informations sur les produits'!$A$3:$B$15000,2,FALSE),"")</f>
        <v/>
      </c>
      <c r="V10962">
        <f t="shared" si="686"/>
        <v>0</v>
      </c>
      <c r="W10962">
        <f t="shared" si="687"/>
        <v>0</v>
      </c>
    </row>
    <row r="10963" spans="5:23" x14ac:dyDescent="0.25">
      <c r="E10963" s="4"/>
      <c r="F10963" s="4"/>
      <c r="G10963" s="33" t="str">
        <f>IFERROR(VLOOKUP($D10963,'Informations sur les produits'!$A$3:$H$10000,8,FALSE),"0")</f>
        <v>0</v>
      </c>
      <c r="K10963" s="4"/>
      <c r="L10963" s="33" t="str">
        <f>IFERROR(VLOOKUP($J10963,'Informations sur les produits'!$A$3:$H$10000,8,FALSE),"0")</f>
        <v>0</v>
      </c>
      <c r="N10963" s="8"/>
      <c r="O10963" s="33" t="str">
        <f>IFERROR(VLOOKUP($M10963,'Informations sur les produits'!$A$3:$H$10000,8,FALSE),"0")</f>
        <v>0</v>
      </c>
      <c r="P10963" s="33">
        <f t="shared" si="684"/>
        <v>0</v>
      </c>
      <c r="Q10963" s="31" t="str">
        <f t="shared" si="685"/>
        <v/>
      </c>
      <c r="R10963" s="32" t="str">
        <f>IFERROR(VLOOKUP($D10963,'Informations sur les produits'!$A$3:$B$15000,2,FALSE),"")</f>
        <v/>
      </c>
      <c r="V10963">
        <f t="shared" si="686"/>
        <v>0</v>
      </c>
      <c r="W10963">
        <f t="shared" si="687"/>
        <v>0</v>
      </c>
    </row>
    <row r="10964" spans="5:23" x14ac:dyDescent="0.25">
      <c r="E10964" s="4"/>
      <c r="F10964" s="4"/>
      <c r="G10964" s="33" t="str">
        <f>IFERROR(VLOOKUP($D10964,'Informations sur les produits'!$A$3:$H$10000,8,FALSE),"0")</f>
        <v>0</v>
      </c>
      <c r="K10964" s="4"/>
      <c r="L10964" s="33" t="str">
        <f>IFERROR(VLOOKUP($J10964,'Informations sur les produits'!$A$3:$H$10000,8,FALSE),"0")</f>
        <v>0</v>
      </c>
      <c r="N10964" s="8"/>
      <c r="O10964" s="33" t="str">
        <f>IFERROR(VLOOKUP($M10964,'Informations sur les produits'!$A$3:$H$10000,8,FALSE),"0")</f>
        <v>0</v>
      </c>
      <c r="P10964" s="33">
        <f t="shared" si="684"/>
        <v>0</v>
      </c>
      <c r="Q10964" s="31" t="str">
        <f t="shared" si="685"/>
        <v/>
      </c>
      <c r="R10964" s="32" t="str">
        <f>IFERROR(VLOOKUP($D10964,'Informations sur les produits'!$A$3:$B$15000,2,FALSE),"")</f>
        <v/>
      </c>
      <c r="V10964">
        <f t="shared" si="686"/>
        <v>0</v>
      </c>
      <c r="W10964">
        <f t="shared" si="687"/>
        <v>0</v>
      </c>
    </row>
    <row r="10965" spans="5:23" x14ac:dyDescent="0.25">
      <c r="E10965" s="4"/>
      <c r="F10965" s="4"/>
      <c r="G10965" s="33" t="str">
        <f>IFERROR(VLOOKUP($D10965,'Informations sur les produits'!$A$3:$H$10000,8,FALSE),"0")</f>
        <v>0</v>
      </c>
      <c r="K10965" s="4"/>
      <c r="L10965" s="33" t="str">
        <f>IFERROR(VLOOKUP($J10965,'Informations sur les produits'!$A$3:$H$10000,8,FALSE),"0")</f>
        <v>0</v>
      </c>
      <c r="N10965" s="8"/>
      <c r="O10965" s="33" t="str">
        <f>IFERROR(VLOOKUP($M10965,'Informations sur les produits'!$A$3:$H$10000,8,FALSE),"0")</f>
        <v>0</v>
      </c>
      <c r="P10965" s="33">
        <f t="shared" si="684"/>
        <v>0</v>
      </c>
      <c r="Q10965" s="31" t="str">
        <f t="shared" si="685"/>
        <v/>
      </c>
      <c r="R10965" s="32" t="str">
        <f>IFERROR(VLOOKUP($D10965,'Informations sur les produits'!$A$3:$B$15000,2,FALSE),"")</f>
        <v/>
      </c>
      <c r="V10965">
        <f t="shared" si="686"/>
        <v>0</v>
      </c>
      <c r="W10965">
        <f t="shared" si="687"/>
        <v>0</v>
      </c>
    </row>
    <row r="10966" spans="5:23" x14ac:dyDescent="0.25">
      <c r="E10966" s="4"/>
      <c r="F10966" s="4"/>
      <c r="G10966" s="33" t="str">
        <f>IFERROR(VLOOKUP($D10966,'Informations sur les produits'!$A$3:$H$10000,8,FALSE),"0")</f>
        <v>0</v>
      </c>
      <c r="K10966" s="4"/>
      <c r="L10966" s="33" t="str">
        <f>IFERROR(VLOOKUP($J10966,'Informations sur les produits'!$A$3:$H$10000,8,FALSE),"0")</f>
        <v>0</v>
      </c>
      <c r="N10966" s="8"/>
      <c r="O10966" s="33" t="str">
        <f>IFERROR(VLOOKUP($M10966,'Informations sur les produits'!$A$3:$H$10000,8,FALSE),"0")</f>
        <v>0</v>
      </c>
      <c r="P10966" s="33">
        <f t="shared" si="684"/>
        <v>0</v>
      </c>
      <c r="Q10966" s="31" t="str">
        <f t="shared" si="685"/>
        <v/>
      </c>
      <c r="R10966" s="32" t="str">
        <f>IFERROR(VLOOKUP($D10966,'Informations sur les produits'!$A$3:$B$15000,2,FALSE),"")</f>
        <v/>
      </c>
      <c r="V10966">
        <f t="shared" si="686"/>
        <v>0</v>
      </c>
      <c r="W10966">
        <f t="shared" si="687"/>
        <v>0</v>
      </c>
    </row>
    <row r="10967" spans="5:23" x14ac:dyDescent="0.25">
      <c r="E10967" s="4"/>
      <c r="F10967" s="4"/>
      <c r="G10967" s="33" t="str">
        <f>IFERROR(VLOOKUP($D10967,'Informations sur les produits'!$A$3:$H$10000,8,FALSE),"0")</f>
        <v>0</v>
      </c>
      <c r="K10967" s="4"/>
      <c r="L10967" s="33" t="str">
        <f>IFERROR(VLOOKUP($J10967,'Informations sur les produits'!$A$3:$H$10000,8,FALSE),"0")</f>
        <v>0</v>
      </c>
      <c r="N10967" s="8"/>
      <c r="O10967" s="33" t="str">
        <f>IFERROR(VLOOKUP($M10967,'Informations sur les produits'!$A$3:$H$10000,8,FALSE),"0")</f>
        <v>0</v>
      </c>
      <c r="P10967" s="33">
        <f t="shared" si="684"/>
        <v>0</v>
      </c>
      <c r="Q10967" s="31" t="str">
        <f t="shared" si="685"/>
        <v/>
      </c>
      <c r="R10967" s="32" t="str">
        <f>IFERROR(VLOOKUP($D10967,'Informations sur les produits'!$A$3:$B$15000,2,FALSE),"")</f>
        <v/>
      </c>
      <c r="V10967">
        <f t="shared" si="686"/>
        <v>0</v>
      </c>
      <c r="W10967">
        <f t="shared" si="687"/>
        <v>0</v>
      </c>
    </row>
    <row r="10968" spans="5:23" x14ac:dyDescent="0.25">
      <c r="E10968" s="4"/>
      <c r="F10968" s="4"/>
      <c r="G10968" s="33" t="str">
        <f>IFERROR(VLOOKUP($D10968,'Informations sur les produits'!$A$3:$H$10000,8,FALSE),"0")</f>
        <v>0</v>
      </c>
      <c r="K10968" s="4"/>
      <c r="L10968" s="33" t="str">
        <f>IFERROR(VLOOKUP($J10968,'Informations sur les produits'!$A$3:$H$10000,8,FALSE),"0")</f>
        <v>0</v>
      </c>
      <c r="N10968" s="8"/>
      <c r="O10968" s="33" t="str">
        <f>IFERROR(VLOOKUP($M10968,'Informations sur les produits'!$A$3:$H$10000,8,FALSE),"0")</f>
        <v>0</v>
      </c>
      <c r="P10968" s="33">
        <f t="shared" si="684"/>
        <v>0</v>
      </c>
      <c r="Q10968" s="31" t="str">
        <f t="shared" si="685"/>
        <v/>
      </c>
      <c r="R10968" s="32" t="str">
        <f>IFERROR(VLOOKUP($D10968,'Informations sur les produits'!$A$3:$B$15000,2,FALSE),"")</f>
        <v/>
      </c>
      <c r="V10968">
        <f t="shared" si="686"/>
        <v>0</v>
      </c>
      <c r="W10968">
        <f t="shared" si="687"/>
        <v>0</v>
      </c>
    </row>
    <row r="10969" spans="5:23" x14ac:dyDescent="0.25">
      <c r="E10969" s="4"/>
      <c r="F10969" s="4"/>
      <c r="G10969" s="33" t="str">
        <f>IFERROR(VLOOKUP($D10969,'Informations sur les produits'!$A$3:$H$10000,8,FALSE),"0")</f>
        <v>0</v>
      </c>
      <c r="K10969" s="4"/>
      <c r="L10969" s="33" t="str">
        <f>IFERROR(VLOOKUP($J10969,'Informations sur les produits'!$A$3:$H$10000,8,FALSE),"0")</f>
        <v>0</v>
      </c>
      <c r="N10969" s="8"/>
      <c r="O10969" s="33" t="str">
        <f>IFERROR(VLOOKUP($M10969,'Informations sur les produits'!$A$3:$H$10000,8,FALSE),"0")</f>
        <v>0</v>
      </c>
      <c r="P10969" s="33">
        <f t="shared" si="684"/>
        <v>0</v>
      </c>
      <c r="Q10969" s="31" t="str">
        <f t="shared" si="685"/>
        <v/>
      </c>
      <c r="R10969" s="32" t="str">
        <f>IFERROR(VLOOKUP($D10969,'Informations sur les produits'!$A$3:$B$15000,2,FALSE),"")</f>
        <v/>
      </c>
      <c r="V10969">
        <f t="shared" si="686"/>
        <v>0</v>
      </c>
      <c r="W10969">
        <f t="shared" si="687"/>
        <v>0</v>
      </c>
    </row>
    <row r="10970" spans="5:23" x14ac:dyDescent="0.25">
      <c r="E10970" s="4"/>
      <c r="F10970" s="4"/>
      <c r="G10970" s="33" t="str">
        <f>IFERROR(VLOOKUP($D10970,'Informations sur les produits'!$A$3:$H$10000,8,FALSE),"0")</f>
        <v>0</v>
      </c>
      <c r="K10970" s="4"/>
      <c r="L10970" s="33" t="str">
        <f>IFERROR(VLOOKUP($J10970,'Informations sur les produits'!$A$3:$H$10000,8,FALSE),"0")</f>
        <v>0</v>
      </c>
      <c r="N10970" s="8"/>
      <c r="O10970" s="33" t="str">
        <f>IFERROR(VLOOKUP($M10970,'Informations sur les produits'!$A$3:$H$10000,8,FALSE),"0")</f>
        <v>0</v>
      </c>
      <c r="P10970" s="33">
        <f t="shared" si="684"/>
        <v>0</v>
      </c>
      <c r="Q10970" s="31" t="str">
        <f t="shared" si="685"/>
        <v/>
      </c>
      <c r="R10970" s="32" t="str">
        <f>IFERROR(VLOOKUP($D10970,'Informations sur les produits'!$A$3:$B$15000,2,FALSE),"")</f>
        <v/>
      </c>
      <c r="V10970">
        <f t="shared" si="686"/>
        <v>0</v>
      </c>
      <c r="W10970">
        <f t="shared" si="687"/>
        <v>0</v>
      </c>
    </row>
    <row r="10971" spans="5:23" x14ac:dyDescent="0.25">
      <c r="E10971" s="4"/>
      <c r="F10971" s="4"/>
      <c r="G10971" s="33" t="str">
        <f>IFERROR(VLOOKUP($D10971,'Informations sur les produits'!$A$3:$H$10000,8,FALSE),"0")</f>
        <v>0</v>
      </c>
      <c r="K10971" s="4"/>
      <c r="L10971" s="33" t="str">
        <f>IFERROR(VLOOKUP($J10971,'Informations sur les produits'!$A$3:$H$10000,8,FALSE),"0")</f>
        <v>0</v>
      </c>
      <c r="N10971" s="8"/>
      <c r="O10971" s="33" t="str">
        <f>IFERROR(VLOOKUP($M10971,'Informations sur les produits'!$A$3:$H$10000,8,FALSE),"0")</f>
        <v>0</v>
      </c>
      <c r="P10971" s="33">
        <f t="shared" si="684"/>
        <v>0</v>
      </c>
      <c r="Q10971" s="31" t="str">
        <f t="shared" si="685"/>
        <v/>
      </c>
      <c r="R10971" s="32" t="str">
        <f>IFERROR(VLOOKUP($D10971,'Informations sur les produits'!$A$3:$B$15000,2,FALSE),"")</f>
        <v/>
      </c>
      <c r="V10971">
        <f t="shared" si="686"/>
        <v>0</v>
      </c>
      <c r="W10971">
        <f t="shared" si="687"/>
        <v>0</v>
      </c>
    </row>
    <row r="10972" spans="5:23" x14ac:dyDescent="0.25">
      <c r="E10972" s="4"/>
      <c r="F10972" s="4"/>
      <c r="G10972" s="33" t="str">
        <f>IFERROR(VLOOKUP($D10972,'Informations sur les produits'!$A$3:$H$10000,8,FALSE),"0")</f>
        <v>0</v>
      </c>
      <c r="K10972" s="4"/>
      <c r="L10972" s="33" t="str">
        <f>IFERROR(VLOOKUP($J10972,'Informations sur les produits'!$A$3:$H$10000,8,FALSE),"0")</f>
        <v>0</v>
      </c>
      <c r="N10972" s="8"/>
      <c r="O10972" s="33" t="str">
        <f>IFERROR(VLOOKUP($M10972,'Informations sur les produits'!$A$3:$H$10000,8,FALSE),"0")</f>
        <v>0</v>
      </c>
      <c r="P10972" s="33">
        <f t="shared" si="684"/>
        <v>0</v>
      </c>
      <c r="Q10972" s="31" t="str">
        <f t="shared" si="685"/>
        <v/>
      </c>
      <c r="R10972" s="32" t="str">
        <f>IFERROR(VLOOKUP($D10972,'Informations sur les produits'!$A$3:$B$15000,2,FALSE),"")</f>
        <v/>
      </c>
      <c r="V10972">
        <f t="shared" si="686"/>
        <v>0</v>
      </c>
      <c r="W10972">
        <f t="shared" si="687"/>
        <v>0</v>
      </c>
    </row>
    <row r="10973" spans="5:23" x14ac:dyDescent="0.25">
      <c r="E10973" s="4"/>
      <c r="F10973" s="4"/>
      <c r="G10973" s="33" t="str">
        <f>IFERROR(VLOOKUP($D10973,'Informations sur les produits'!$A$3:$H$10000,8,FALSE),"0")</f>
        <v>0</v>
      </c>
      <c r="K10973" s="4"/>
      <c r="L10973" s="33" t="str">
        <f>IFERROR(VLOOKUP($J10973,'Informations sur les produits'!$A$3:$H$10000,8,FALSE),"0")</f>
        <v>0</v>
      </c>
      <c r="N10973" s="8"/>
      <c r="O10973" s="33" t="str">
        <f>IFERROR(VLOOKUP($M10973,'Informations sur les produits'!$A$3:$H$10000,8,FALSE),"0")</f>
        <v>0</v>
      </c>
      <c r="P10973" s="33">
        <f t="shared" si="684"/>
        <v>0</v>
      </c>
      <c r="Q10973" s="31" t="str">
        <f t="shared" si="685"/>
        <v/>
      </c>
      <c r="R10973" s="32" t="str">
        <f>IFERROR(VLOOKUP($D10973,'Informations sur les produits'!$A$3:$B$15000,2,FALSE),"")</f>
        <v/>
      </c>
      <c r="V10973">
        <f t="shared" si="686"/>
        <v>0</v>
      </c>
      <c r="W10973">
        <f t="shared" si="687"/>
        <v>0</v>
      </c>
    </row>
    <row r="10974" spans="5:23" x14ac:dyDescent="0.25">
      <c r="E10974" s="4"/>
      <c r="F10974" s="4"/>
      <c r="G10974" s="33" t="str">
        <f>IFERROR(VLOOKUP($D10974,'Informations sur les produits'!$A$3:$H$10000,8,FALSE),"0")</f>
        <v>0</v>
      </c>
      <c r="K10974" s="4"/>
      <c r="L10974" s="33" t="str">
        <f>IFERROR(VLOOKUP($J10974,'Informations sur les produits'!$A$3:$H$10000,8,FALSE),"0")</f>
        <v>0</v>
      </c>
      <c r="N10974" s="8"/>
      <c r="O10974" s="33" t="str">
        <f>IFERROR(VLOOKUP($M10974,'Informations sur les produits'!$A$3:$H$10000,8,FALSE),"0")</f>
        <v>0</v>
      </c>
      <c r="P10974" s="33">
        <f t="shared" si="684"/>
        <v>0</v>
      </c>
      <c r="Q10974" s="31" t="str">
        <f t="shared" si="685"/>
        <v/>
      </c>
      <c r="R10974" s="32" t="str">
        <f>IFERROR(VLOOKUP($D10974,'Informations sur les produits'!$A$3:$B$15000,2,FALSE),"")</f>
        <v/>
      </c>
      <c r="V10974">
        <f t="shared" si="686"/>
        <v>0</v>
      </c>
      <c r="W10974">
        <f t="shared" si="687"/>
        <v>0</v>
      </c>
    </row>
    <row r="10975" spans="5:23" x14ac:dyDescent="0.25">
      <c r="E10975" s="4"/>
      <c r="F10975" s="4"/>
      <c r="G10975" s="33" t="str">
        <f>IFERROR(VLOOKUP($D10975,'Informations sur les produits'!$A$3:$H$10000,8,FALSE),"0")</f>
        <v>0</v>
      </c>
      <c r="K10975" s="4"/>
      <c r="L10975" s="33" t="str">
        <f>IFERROR(VLOOKUP($J10975,'Informations sur les produits'!$A$3:$H$10000,8,FALSE),"0")</f>
        <v>0</v>
      </c>
      <c r="N10975" s="8"/>
      <c r="O10975" s="33" t="str">
        <f>IFERROR(VLOOKUP($M10975,'Informations sur les produits'!$A$3:$H$10000,8,FALSE),"0")</f>
        <v>0</v>
      </c>
      <c r="P10975" s="33">
        <f t="shared" si="684"/>
        <v>0</v>
      </c>
      <c r="Q10975" s="31" t="str">
        <f t="shared" si="685"/>
        <v/>
      </c>
      <c r="R10975" s="32" t="str">
        <f>IFERROR(VLOOKUP($D10975,'Informations sur les produits'!$A$3:$B$15000,2,FALSE),"")</f>
        <v/>
      </c>
      <c r="V10975">
        <f t="shared" si="686"/>
        <v>0</v>
      </c>
      <c r="W10975">
        <f t="shared" si="687"/>
        <v>0</v>
      </c>
    </row>
    <row r="10976" spans="5:23" x14ac:dyDescent="0.25">
      <c r="E10976" s="4"/>
      <c r="F10976" s="4"/>
      <c r="G10976" s="33" t="str">
        <f>IFERROR(VLOOKUP($D10976,'Informations sur les produits'!$A$3:$H$10000,8,FALSE),"0")</f>
        <v>0</v>
      </c>
      <c r="K10976" s="4"/>
      <c r="L10976" s="33" t="str">
        <f>IFERROR(VLOOKUP($J10976,'Informations sur les produits'!$A$3:$H$10000,8,FALSE),"0")</f>
        <v>0</v>
      </c>
      <c r="N10976" s="8"/>
      <c r="O10976" s="33" t="str">
        <f>IFERROR(VLOOKUP($M10976,'Informations sur les produits'!$A$3:$H$10000,8,FALSE),"0")</f>
        <v>0</v>
      </c>
      <c r="P10976" s="33">
        <f t="shared" si="684"/>
        <v>0</v>
      </c>
      <c r="Q10976" s="31" t="str">
        <f t="shared" si="685"/>
        <v/>
      </c>
      <c r="R10976" s="32" t="str">
        <f>IFERROR(VLOOKUP($D10976,'Informations sur les produits'!$A$3:$B$15000,2,FALSE),"")</f>
        <v/>
      </c>
      <c r="V10976">
        <f t="shared" si="686"/>
        <v>0</v>
      </c>
      <c r="W10976">
        <f t="shared" si="687"/>
        <v>0</v>
      </c>
    </row>
    <row r="10977" spans="5:23" x14ac:dyDescent="0.25">
      <c r="E10977" s="4"/>
      <c r="F10977" s="4"/>
      <c r="G10977" s="33" t="str">
        <f>IFERROR(VLOOKUP($D10977,'Informations sur les produits'!$A$3:$H$10000,8,FALSE),"0")</f>
        <v>0</v>
      </c>
      <c r="K10977" s="4"/>
      <c r="L10977" s="33" t="str">
        <f>IFERROR(VLOOKUP($J10977,'Informations sur les produits'!$A$3:$H$10000,8,FALSE),"0")</f>
        <v>0</v>
      </c>
      <c r="N10977" s="8"/>
      <c r="O10977" s="33" t="str">
        <f>IFERROR(VLOOKUP($M10977,'Informations sur les produits'!$A$3:$H$10000,8,FALSE),"0")</f>
        <v>0</v>
      </c>
      <c r="P10977" s="33">
        <f t="shared" si="684"/>
        <v>0</v>
      </c>
      <c r="Q10977" s="31" t="str">
        <f t="shared" si="685"/>
        <v/>
      </c>
      <c r="R10977" s="32" t="str">
        <f>IFERROR(VLOOKUP($D10977,'Informations sur les produits'!$A$3:$B$15000,2,FALSE),"")</f>
        <v/>
      </c>
      <c r="V10977">
        <f t="shared" si="686"/>
        <v>0</v>
      </c>
      <c r="W10977">
        <f t="shared" si="687"/>
        <v>0</v>
      </c>
    </row>
    <row r="10978" spans="5:23" x14ac:dyDescent="0.25">
      <c r="E10978" s="4"/>
      <c r="F10978" s="4"/>
      <c r="G10978" s="33" t="str">
        <f>IFERROR(VLOOKUP($D10978,'Informations sur les produits'!$A$3:$H$10000,8,FALSE),"0")</f>
        <v>0</v>
      </c>
      <c r="K10978" s="4"/>
      <c r="L10978" s="33" t="str">
        <f>IFERROR(VLOOKUP($J10978,'Informations sur les produits'!$A$3:$H$10000,8,FALSE),"0")</f>
        <v>0</v>
      </c>
      <c r="N10978" s="8"/>
      <c r="O10978" s="33" t="str">
        <f>IFERROR(VLOOKUP($M10978,'Informations sur les produits'!$A$3:$H$10000,8,FALSE),"0")</f>
        <v>0</v>
      </c>
      <c r="P10978" s="33">
        <f t="shared" si="684"/>
        <v>0</v>
      </c>
      <c r="Q10978" s="31" t="str">
        <f t="shared" si="685"/>
        <v/>
      </c>
      <c r="R10978" s="32" t="str">
        <f>IFERROR(VLOOKUP($D10978,'Informations sur les produits'!$A$3:$B$15000,2,FALSE),"")</f>
        <v/>
      </c>
      <c r="V10978">
        <f t="shared" si="686"/>
        <v>0</v>
      </c>
      <c r="W10978">
        <f t="shared" si="687"/>
        <v>0</v>
      </c>
    </row>
    <row r="10979" spans="5:23" x14ac:dyDescent="0.25">
      <c r="E10979" s="4"/>
      <c r="F10979" s="4"/>
      <c r="G10979" s="33" t="str">
        <f>IFERROR(VLOOKUP($D10979,'Informations sur les produits'!$A$3:$H$10000,8,FALSE),"0")</f>
        <v>0</v>
      </c>
      <c r="K10979" s="4"/>
      <c r="L10979" s="33" t="str">
        <f>IFERROR(VLOOKUP($J10979,'Informations sur les produits'!$A$3:$H$10000,8,FALSE),"0")</f>
        <v>0</v>
      </c>
      <c r="N10979" s="8"/>
      <c r="O10979" s="33" t="str">
        <f>IFERROR(VLOOKUP($M10979,'Informations sur les produits'!$A$3:$H$10000,8,FALSE),"0")</f>
        <v>0</v>
      </c>
      <c r="P10979" s="33">
        <f t="shared" si="684"/>
        <v>0</v>
      </c>
      <c r="Q10979" s="31" t="str">
        <f t="shared" si="685"/>
        <v/>
      </c>
      <c r="R10979" s="32" t="str">
        <f>IFERROR(VLOOKUP($D10979,'Informations sur les produits'!$A$3:$B$15000,2,FALSE),"")</f>
        <v/>
      </c>
      <c r="V10979">
        <f t="shared" si="686"/>
        <v>0</v>
      </c>
      <c r="W10979">
        <f t="shared" si="687"/>
        <v>0</v>
      </c>
    </row>
    <row r="10980" spans="5:23" x14ac:dyDescent="0.25">
      <c r="E10980" s="4"/>
      <c r="F10980" s="4"/>
      <c r="G10980" s="33" t="str">
        <f>IFERROR(VLOOKUP($D10980,'Informations sur les produits'!$A$3:$H$10000,8,FALSE),"0")</f>
        <v>0</v>
      </c>
      <c r="K10980" s="4"/>
      <c r="L10980" s="33" t="str">
        <f>IFERROR(VLOOKUP($J10980,'Informations sur les produits'!$A$3:$H$10000,8,FALSE),"0")</f>
        <v>0</v>
      </c>
      <c r="N10980" s="8"/>
      <c r="O10980" s="33" t="str">
        <f>IFERROR(VLOOKUP($M10980,'Informations sur les produits'!$A$3:$H$10000,8,FALSE),"0")</f>
        <v>0</v>
      </c>
      <c r="P10980" s="33">
        <f t="shared" si="684"/>
        <v>0</v>
      </c>
      <c r="Q10980" s="31" t="str">
        <f t="shared" si="685"/>
        <v/>
      </c>
      <c r="R10980" s="32" t="str">
        <f>IFERROR(VLOOKUP($D10980,'Informations sur les produits'!$A$3:$B$15000,2,FALSE),"")</f>
        <v/>
      </c>
      <c r="V10980">
        <f t="shared" si="686"/>
        <v>0</v>
      </c>
      <c r="W10980">
        <f t="shared" si="687"/>
        <v>0</v>
      </c>
    </row>
    <row r="10981" spans="5:23" x14ac:dyDescent="0.25">
      <c r="E10981" s="4"/>
      <c r="F10981" s="4"/>
      <c r="G10981" s="33" t="str">
        <f>IFERROR(VLOOKUP($D10981,'Informations sur les produits'!$A$3:$H$10000,8,FALSE),"0")</f>
        <v>0</v>
      </c>
      <c r="K10981" s="4"/>
      <c r="L10981" s="33" t="str">
        <f>IFERROR(VLOOKUP($J10981,'Informations sur les produits'!$A$3:$H$10000,8,FALSE),"0")</f>
        <v>0</v>
      </c>
      <c r="N10981" s="8"/>
      <c r="O10981" s="33" t="str">
        <f>IFERROR(VLOOKUP($M10981,'Informations sur les produits'!$A$3:$H$10000,8,FALSE),"0")</f>
        <v>0</v>
      </c>
      <c r="P10981" s="33">
        <f t="shared" si="684"/>
        <v>0</v>
      </c>
      <c r="Q10981" s="31" t="str">
        <f t="shared" si="685"/>
        <v/>
      </c>
      <c r="R10981" s="32" t="str">
        <f>IFERROR(VLOOKUP($D10981,'Informations sur les produits'!$A$3:$B$15000,2,FALSE),"")</f>
        <v/>
      </c>
      <c r="V10981">
        <f t="shared" si="686"/>
        <v>0</v>
      </c>
      <c r="W10981">
        <f t="shared" si="687"/>
        <v>0</v>
      </c>
    </row>
    <row r="10982" spans="5:23" x14ac:dyDescent="0.25">
      <c r="E10982" s="4"/>
      <c r="F10982" s="4"/>
      <c r="G10982" s="33" t="str">
        <f>IFERROR(VLOOKUP($D10982,'Informations sur les produits'!$A$3:$H$10000,8,FALSE),"0")</f>
        <v>0</v>
      </c>
      <c r="K10982" s="4"/>
      <c r="L10982" s="33" t="str">
        <f>IFERROR(VLOOKUP($J10982,'Informations sur les produits'!$A$3:$H$10000,8,FALSE),"0")</f>
        <v>0</v>
      </c>
      <c r="N10982" s="8"/>
      <c r="O10982" s="33" t="str">
        <f>IFERROR(VLOOKUP($M10982,'Informations sur les produits'!$A$3:$H$10000,8,FALSE),"0")</f>
        <v>0</v>
      </c>
      <c r="P10982" s="33">
        <f t="shared" si="684"/>
        <v>0</v>
      </c>
      <c r="Q10982" s="31" t="str">
        <f t="shared" si="685"/>
        <v/>
      </c>
      <c r="R10982" s="32" t="str">
        <f>IFERROR(VLOOKUP($D10982,'Informations sur les produits'!$A$3:$B$15000,2,FALSE),"")</f>
        <v/>
      </c>
      <c r="V10982">
        <f t="shared" si="686"/>
        <v>0</v>
      </c>
      <c r="W10982">
        <f t="shared" si="687"/>
        <v>0</v>
      </c>
    </row>
    <row r="10983" spans="5:23" x14ac:dyDescent="0.25">
      <c r="E10983" s="4"/>
      <c r="F10983" s="4"/>
      <c r="G10983" s="33" t="str">
        <f>IFERROR(VLOOKUP($D10983,'Informations sur les produits'!$A$3:$H$10000,8,FALSE),"0")</f>
        <v>0</v>
      </c>
      <c r="K10983" s="4"/>
      <c r="L10983" s="33" t="str">
        <f>IFERROR(VLOOKUP($J10983,'Informations sur les produits'!$A$3:$H$10000,8,FALSE),"0")</f>
        <v>0</v>
      </c>
      <c r="N10983" s="8"/>
      <c r="O10983" s="33" t="str">
        <f>IFERROR(VLOOKUP($M10983,'Informations sur les produits'!$A$3:$H$10000,8,FALSE),"0")</f>
        <v>0</v>
      </c>
      <c r="P10983" s="33">
        <f t="shared" si="684"/>
        <v>0</v>
      </c>
      <c r="Q10983" s="31" t="str">
        <f t="shared" si="685"/>
        <v/>
      </c>
      <c r="R10983" s="32" t="str">
        <f>IFERROR(VLOOKUP($D10983,'Informations sur les produits'!$A$3:$B$15000,2,FALSE),"")</f>
        <v/>
      </c>
      <c r="V10983">
        <f t="shared" si="686"/>
        <v>0</v>
      </c>
      <c r="W10983">
        <f t="shared" si="687"/>
        <v>0</v>
      </c>
    </row>
    <row r="10984" spans="5:23" x14ac:dyDescent="0.25">
      <c r="E10984" s="4"/>
      <c r="F10984" s="4"/>
      <c r="G10984" s="33" t="str">
        <f>IFERROR(VLOOKUP($D10984,'Informations sur les produits'!$A$3:$H$10000,8,FALSE),"0")</f>
        <v>0</v>
      </c>
      <c r="K10984" s="4"/>
      <c r="L10984" s="33" t="str">
        <f>IFERROR(VLOOKUP($J10984,'Informations sur les produits'!$A$3:$H$10000,8,FALSE),"0")</f>
        <v>0</v>
      </c>
      <c r="N10984" s="8"/>
      <c r="O10984" s="33" t="str">
        <f>IFERROR(VLOOKUP($M10984,'Informations sur les produits'!$A$3:$H$10000,8,FALSE),"0")</f>
        <v>0</v>
      </c>
      <c r="P10984" s="33">
        <f t="shared" si="684"/>
        <v>0</v>
      </c>
      <c r="Q10984" s="31" t="str">
        <f t="shared" si="685"/>
        <v/>
      </c>
      <c r="R10984" s="32" t="str">
        <f>IFERROR(VLOOKUP($D10984,'Informations sur les produits'!$A$3:$B$15000,2,FALSE),"")</f>
        <v/>
      </c>
      <c r="V10984">
        <f t="shared" si="686"/>
        <v>0</v>
      </c>
      <c r="W10984">
        <f t="shared" si="687"/>
        <v>0</v>
      </c>
    </row>
    <row r="10985" spans="5:23" x14ac:dyDescent="0.25">
      <c r="E10985" s="4"/>
      <c r="F10985" s="4"/>
      <c r="G10985" s="33" t="str">
        <f>IFERROR(VLOOKUP($D10985,'Informations sur les produits'!$A$3:$H$10000,8,FALSE),"0")</f>
        <v>0</v>
      </c>
      <c r="K10985" s="4"/>
      <c r="L10985" s="33" t="str">
        <f>IFERROR(VLOOKUP($J10985,'Informations sur les produits'!$A$3:$H$10000,8,FALSE),"0")</f>
        <v>0</v>
      </c>
      <c r="N10985" s="8"/>
      <c r="O10985" s="33" t="str">
        <f>IFERROR(VLOOKUP($M10985,'Informations sur les produits'!$A$3:$H$10000,8,FALSE),"0")</f>
        <v>0</v>
      </c>
      <c r="P10985" s="33">
        <f t="shared" si="684"/>
        <v>0</v>
      </c>
      <c r="Q10985" s="31" t="str">
        <f t="shared" si="685"/>
        <v/>
      </c>
      <c r="R10985" s="32" t="str">
        <f>IFERROR(VLOOKUP($D10985,'Informations sur les produits'!$A$3:$B$15000,2,FALSE),"")</f>
        <v/>
      </c>
      <c r="V10985">
        <f t="shared" si="686"/>
        <v>0</v>
      </c>
      <c r="W10985">
        <f t="shared" si="687"/>
        <v>0</v>
      </c>
    </row>
    <row r="10986" spans="5:23" x14ac:dyDescent="0.25">
      <c r="E10986" s="4"/>
      <c r="F10986" s="4"/>
      <c r="G10986" s="33" t="str">
        <f>IFERROR(VLOOKUP($D10986,'Informations sur les produits'!$A$3:$H$10000,8,FALSE),"0")</f>
        <v>0</v>
      </c>
      <c r="K10986" s="4"/>
      <c r="L10986" s="33" t="str">
        <f>IFERROR(VLOOKUP($J10986,'Informations sur les produits'!$A$3:$H$10000,8,FALSE),"0")</f>
        <v>0</v>
      </c>
      <c r="N10986" s="8"/>
      <c r="O10986" s="33" t="str">
        <f>IFERROR(VLOOKUP($M10986,'Informations sur les produits'!$A$3:$H$10000,8,FALSE),"0")</f>
        <v>0</v>
      </c>
      <c r="P10986" s="33">
        <f t="shared" si="684"/>
        <v>0</v>
      </c>
      <c r="Q10986" s="31" t="str">
        <f t="shared" si="685"/>
        <v/>
      </c>
      <c r="R10986" s="32" t="str">
        <f>IFERROR(VLOOKUP($D10986,'Informations sur les produits'!$A$3:$B$15000,2,FALSE),"")</f>
        <v/>
      </c>
      <c r="V10986">
        <f t="shared" si="686"/>
        <v>0</v>
      </c>
      <c r="W10986">
        <f t="shared" si="687"/>
        <v>0</v>
      </c>
    </row>
    <row r="10987" spans="5:23" x14ac:dyDescent="0.25">
      <c r="E10987" s="4"/>
      <c r="F10987" s="4"/>
      <c r="G10987" s="33" t="str">
        <f>IFERROR(VLOOKUP($D10987,'Informations sur les produits'!$A$3:$H$10000,8,FALSE),"0")</f>
        <v>0</v>
      </c>
      <c r="K10987" s="4"/>
      <c r="L10987" s="33" t="str">
        <f>IFERROR(VLOOKUP($J10987,'Informations sur les produits'!$A$3:$H$10000,8,FALSE),"0")</f>
        <v>0</v>
      </c>
      <c r="N10987" s="8"/>
      <c r="O10987" s="33" t="str">
        <f>IFERROR(VLOOKUP($M10987,'Informations sur les produits'!$A$3:$H$10000,8,FALSE),"0")</f>
        <v>0</v>
      </c>
      <c r="P10987" s="33">
        <f t="shared" si="684"/>
        <v>0</v>
      </c>
      <c r="Q10987" s="31" t="str">
        <f t="shared" si="685"/>
        <v/>
      </c>
      <c r="R10987" s="32" t="str">
        <f>IFERROR(VLOOKUP($D10987,'Informations sur les produits'!$A$3:$B$15000,2,FALSE),"")</f>
        <v/>
      </c>
      <c r="V10987">
        <f t="shared" si="686"/>
        <v>0</v>
      </c>
      <c r="W10987">
        <f t="shared" si="687"/>
        <v>0</v>
      </c>
    </row>
    <row r="10988" spans="5:23" x14ac:dyDescent="0.25">
      <c r="E10988" s="4"/>
      <c r="F10988" s="4"/>
      <c r="G10988" s="33" t="str">
        <f>IFERROR(VLOOKUP($D10988,'Informations sur les produits'!$A$3:$H$10000,8,FALSE),"0")</f>
        <v>0</v>
      </c>
      <c r="K10988" s="4"/>
      <c r="L10988" s="33" t="str">
        <f>IFERROR(VLOOKUP($J10988,'Informations sur les produits'!$A$3:$H$10000,8,FALSE),"0")</f>
        <v>0</v>
      </c>
      <c r="N10988" s="8"/>
      <c r="O10988" s="33" t="str">
        <f>IFERROR(VLOOKUP($M10988,'Informations sur les produits'!$A$3:$H$10000,8,FALSE),"0")</f>
        <v>0</v>
      </c>
      <c r="P10988" s="33">
        <f t="shared" si="684"/>
        <v>0</v>
      </c>
      <c r="Q10988" s="31" t="str">
        <f t="shared" si="685"/>
        <v/>
      </c>
      <c r="R10988" s="32" t="str">
        <f>IFERROR(VLOOKUP($D10988,'Informations sur les produits'!$A$3:$B$15000,2,FALSE),"")</f>
        <v/>
      </c>
      <c r="V10988">
        <f t="shared" si="686"/>
        <v>0</v>
      </c>
      <c r="W10988">
        <f t="shared" si="687"/>
        <v>0</v>
      </c>
    </row>
    <row r="10989" spans="5:23" x14ac:dyDescent="0.25">
      <c r="E10989" s="4"/>
      <c r="F10989" s="4"/>
      <c r="G10989" s="33" t="str">
        <f>IFERROR(VLOOKUP($D10989,'Informations sur les produits'!$A$3:$H$10000,8,FALSE),"0")</f>
        <v>0</v>
      </c>
      <c r="K10989" s="4"/>
      <c r="L10989" s="33" t="str">
        <f>IFERROR(VLOOKUP($J10989,'Informations sur les produits'!$A$3:$H$10000,8,FALSE),"0")</f>
        <v>0</v>
      </c>
      <c r="N10989" s="8"/>
      <c r="O10989" s="33" t="str">
        <f>IFERROR(VLOOKUP($M10989,'Informations sur les produits'!$A$3:$H$10000,8,FALSE),"0")</f>
        <v>0</v>
      </c>
      <c r="P10989" s="33">
        <f t="shared" si="684"/>
        <v>0</v>
      </c>
      <c r="Q10989" s="31" t="str">
        <f t="shared" si="685"/>
        <v/>
      </c>
      <c r="R10989" s="32" t="str">
        <f>IFERROR(VLOOKUP($D10989,'Informations sur les produits'!$A$3:$B$15000,2,FALSE),"")</f>
        <v/>
      </c>
      <c r="V10989">
        <f t="shared" si="686"/>
        <v>0</v>
      </c>
      <c r="W10989">
        <f t="shared" si="687"/>
        <v>0</v>
      </c>
    </row>
    <row r="10990" spans="5:23" x14ac:dyDescent="0.25">
      <c r="E10990" s="4"/>
      <c r="F10990" s="4"/>
      <c r="G10990" s="33" t="str">
        <f>IFERROR(VLOOKUP($D10990,'Informations sur les produits'!$A$3:$H$10000,8,FALSE),"0")</f>
        <v>0</v>
      </c>
      <c r="K10990" s="4"/>
      <c r="L10990" s="33" t="str">
        <f>IFERROR(VLOOKUP($J10990,'Informations sur les produits'!$A$3:$H$10000,8,FALSE),"0")</f>
        <v>0</v>
      </c>
      <c r="N10990" s="8"/>
      <c r="O10990" s="33" t="str">
        <f>IFERROR(VLOOKUP($M10990,'Informations sur les produits'!$A$3:$H$10000,8,FALSE),"0")</f>
        <v>0</v>
      </c>
      <c r="P10990" s="33">
        <f t="shared" si="684"/>
        <v>0</v>
      </c>
      <c r="Q10990" s="31" t="str">
        <f t="shared" si="685"/>
        <v/>
      </c>
      <c r="R10990" s="32" t="str">
        <f>IFERROR(VLOOKUP($D10990,'Informations sur les produits'!$A$3:$B$15000,2,FALSE),"")</f>
        <v/>
      </c>
      <c r="V10990">
        <f t="shared" si="686"/>
        <v>0</v>
      </c>
      <c r="W10990">
        <f t="shared" si="687"/>
        <v>0</v>
      </c>
    </row>
    <row r="10991" spans="5:23" x14ac:dyDescent="0.25">
      <c r="E10991" s="4"/>
      <c r="F10991" s="4"/>
      <c r="G10991" s="33" t="str">
        <f>IFERROR(VLOOKUP($D10991,'Informations sur les produits'!$A$3:$H$10000,8,FALSE),"0")</f>
        <v>0</v>
      </c>
      <c r="K10991" s="4"/>
      <c r="L10991" s="33" t="str">
        <f>IFERROR(VLOOKUP($J10991,'Informations sur les produits'!$A$3:$H$10000,8,FALSE),"0")</f>
        <v>0</v>
      </c>
      <c r="N10991" s="8"/>
      <c r="O10991" s="33" t="str">
        <f>IFERROR(VLOOKUP($M10991,'Informations sur les produits'!$A$3:$H$10000,8,FALSE),"0")</f>
        <v>0</v>
      </c>
      <c r="P10991" s="33">
        <f t="shared" si="684"/>
        <v>0</v>
      </c>
      <c r="Q10991" s="31" t="str">
        <f t="shared" si="685"/>
        <v/>
      </c>
      <c r="R10991" s="32" t="str">
        <f>IFERROR(VLOOKUP($D10991,'Informations sur les produits'!$A$3:$B$15000,2,FALSE),"")</f>
        <v/>
      </c>
      <c r="V10991">
        <f t="shared" si="686"/>
        <v>0</v>
      </c>
      <c r="W10991">
        <f t="shared" si="687"/>
        <v>0</v>
      </c>
    </row>
    <row r="10992" spans="5:23" x14ac:dyDescent="0.25">
      <c r="E10992" s="4"/>
      <c r="F10992" s="4"/>
      <c r="G10992" s="33" t="str">
        <f>IFERROR(VLOOKUP($D10992,'Informations sur les produits'!$A$3:$H$10000,8,FALSE),"0")</f>
        <v>0</v>
      </c>
      <c r="K10992" s="4"/>
      <c r="L10992" s="33" t="str">
        <f>IFERROR(VLOOKUP($J10992,'Informations sur les produits'!$A$3:$H$10000,8,FALSE),"0")</f>
        <v>0</v>
      </c>
      <c r="N10992" s="8"/>
      <c r="O10992" s="33" t="str">
        <f>IFERROR(VLOOKUP($M10992,'Informations sur les produits'!$A$3:$H$10000,8,FALSE),"0")</f>
        <v>0</v>
      </c>
      <c r="P10992" s="33">
        <f t="shared" si="684"/>
        <v>0</v>
      </c>
      <c r="Q10992" s="31" t="str">
        <f t="shared" si="685"/>
        <v/>
      </c>
      <c r="R10992" s="32" t="str">
        <f>IFERROR(VLOOKUP($D10992,'Informations sur les produits'!$A$3:$B$15000,2,FALSE),"")</f>
        <v/>
      </c>
      <c r="V10992">
        <f t="shared" si="686"/>
        <v>0</v>
      </c>
      <c r="W10992">
        <f t="shared" si="687"/>
        <v>0</v>
      </c>
    </row>
    <row r="10993" spans="5:23" x14ac:dyDescent="0.25">
      <c r="E10993" s="4"/>
      <c r="F10993" s="4"/>
      <c r="G10993" s="33" t="str">
        <f>IFERROR(VLOOKUP($D10993,'Informations sur les produits'!$A$3:$H$10000,8,FALSE),"0")</f>
        <v>0</v>
      </c>
      <c r="K10993" s="4"/>
      <c r="L10993" s="33" t="str">
        <f>IFERROR(VLOOKUP($J10993,'Informations sur les produits'!$A$3:$H$10000,8,FALSE),"0")</f>
        <v>0</v>
      </c>
      <c r="N10993" s="8"/>
      <c r="O10993" s="33" t="str">
        <f>IFERROR(VLOOKUP($M10993,'Informations sur les produits'!$A$3:$H$10000,8,FALSE),"0")</f>
        <v>0</v>
      </c>
      <c r="P10993" s="33">
        <f t="shared" si="684"/>
        <v>0</v>
      </c>
      <c r="Q10993" s="31" t="str">
        <f t="shared" si="685"/>
        <v/>
      </c>
      <c r="R10993" s="32" t="str">
        <f>IFERROR(VLOOKUP($D10993,'Informations sur les produits'!$A$3:$B$15000,2,FALSE),"")</f>
        <v/>
      </c>
      <c r="V10993">
        <f t="shared" si="686"/>
        <v>0</v>
      </c>
      <c r="W10993">
        <f t="shared" si="687"/>
        <v>0</v>
      </c>
    </row>
    <row r="10994" spans="5:23" x14ac:dyDescent="0.25">
      <c r="E10994" s="4"/>
      <c r="F10994" s="4"/>
      <c r="G10994" s="33" t="str">
        <f>IFERROR(VLOOKUP($D10994,'Informations sur les produits'!$A$3:$H$10000,8,FALSE),"0")</f>
        <v>0</v>
      </c>
      <c r="K10994" s="4"/>
      <c r="L10994" s="33" t="str">
        <f>IFERROR(VLOOKUP($J10994,'Informations sur les produits'!$A$3:$H$10000,8,FALSE),"0")</f>
        <v>0</v>
      </c>
      <c r="N10994" s="8"/>
      <c r="O10994" s="33" t="str">
        <f>IFERROR(VLOOKUP($M10994,'Informations sur les produits'!$A$3:$H$10000,8,FALSE),"0")</f>
        <v>0</v>
      </c>
      <c r="P10994" s="33">
        <f t="shared" si="684"/>
        <v>0</v>
      </c>
      <c r="Q10994" s="31" t="str">
        <f t="shared" si="685"/>
        <v/>
      </c>
      <c r="R10994" s="32" t="str">
        <f>IFERROR(VLOOKUP($D10994,'Informations sur les produits'!$A$3:$B$15000,2,FALSE),"")</f>
        <v/>
      </c>
      <c r="V10994">
        <f t="shared" si="686"/>
        <v>0</v>
      </c>
      <c r="W10994">
        <f t="shared" si="687"/>
        <v>0</v>
      </c>
    </row>
    <row r="10995" spans="5:23" x14ac:dyDescent="0.25">
      <c r="E10995" s="4"/>
      <c r="F10995" s="4"/>
      <c r="G10995" s="33" t="str">
        <f>IFERROR(VLOOKUP($D10995,'Informations sur les produits'!$A$3:$H$10000,8,FALSE),"0")</f>
        <v>0</v>
      </c>
      <c r="K10995" s="4"/>
      <c r="L10995" s="33" t="str">
        <f>IFERROR(VLOOKUP($J10995,'Informations sur les produits'!$A$3:$H$10000,8,FALSE),"0")</f>
        <v>0</v>
      </c>
      <c r="N10995" s="8"/>
      <c r="O10995" s="33" t="str">
        <f>IFERROR(VLOOKUP($M10995,'Informations sur les produits'!$A$3:$H$10000,8,FALSE),"0")</f>
        <v>0</v>
      </c>
      <c r="P10995" s="33">
        <f t="shared" si="684"/>
        <v>0</v>
      </c>
      <c r="Q10995" s="31" t="str">
        <f t="shared" si="685"/>
        <v/>
      </c>
      <c r="R10995" s="32" t="str">
        <f>IFERROR(VLOOKUP($D10995,'Informations sur les produits'!$A$3:$B$15000,2,FALSE),"")</f>
        <v/>
      </c>
      <c r="V10995">
        <f t="shared" si="686"/>
        <v>0</v>
      </c>
      <c r="W10995">
        <f t="shared" si="687"/>
        <v>0</v>
      </c>
    </row>
    <row r="10996" spans="5:23" x14ac:dyDescent="0.25">
      <c r="E10996" s="4"/>
      <c r="F10996" s="4"/>
      <c r="G10996" s="33" t="str">
        <f>IFERROR(VLOOKUP($D10996,'Informations sur les produits'!$A$3:$H$10000,8,FALSE),"0")</f>
        <v>0</v>
      </c>
      <c r="K10996" s="4"/>
      <c r="L10996" s="33" t="str">
        <f>IFERROR(VLOOKUP($J10996,'Informations sur les produits'!$A$3:$H$10000,8,FALSE),"0")</f>
        <v>0</v>
      </c>
      <c r="N10996" s="8"/>
      <c r="O10996" s="33" t="str">
        <f>IFERROR(VLOOKUP($M10996,'Informations sur les produits'!$A$3:$H$10000,8,FALSE),"0")</f>
        <v>0</v>
      </c>
      <c r="P10996" s="33">
        <f t="shared" si="684"/>
        <v>0</v>
      </c>
      <c r="Q10996" s="31" t="str">
        <f t="shared" si="685"/>
        <v/>
      </c>
      <c r="R10996" s="32" t="str">
        <f>IFERROR(VLOOKUP($D10996,'Informations sur les produits'!$A$3:$B$15000,2,FALSE),"")</f>
        <v/>
      </c>
      <c r="V10996">
        <f t="shared" si="686"/>
        <v>0</v>
      </c>
      <c r="W10996">
        <f t="shared" si="687"/>
        <v>0</v>
      </c>
    </row>
    <row r="10997" spans="5:23" x14ac:dyDescent="0.25">
      <c r="E10997" s="4"/>
      <c r="F10997" s="4"/>
      <c r="G10997" s="33" t="str">
        <f>IFERROR(VLOOKUP($D10997,'Informations sur les produits'!$A$3:$H$10000,8,FALSE),"0")</f>
        <v>0</v>
      </c>
      <c r="K10997" s="4"/>
      <c r="L10997" s="33" t="str">
        <f>IFERROR(VLOOKUP($J10997,'Informations sur les produits'!$A$3:$H$10000,8,FALSE),"0")</f>
        <v>0</v>
      </c>
      <c r="N10997" s="8"/>
      <c r="O10997" s="33" t="str">
        <f>IFERROR(VLOOKUP($M10997,'Informations sur les produits'!$A$3:$H$10000,8,FALSE),"0")</f>
        <v>0</v>
      </c>
      <c r="P10997" s="33">
        <f t="shared" si="684"/>
        <v>0</v>
      </c>
      <c r="Q10997" s="31" t="str">
        <f t="shared" si="685"/>
        <v/>
      </c>
      <c r="R10997" s="32" t="str">
        <f>IFERROR(VLOOKUP($D10997,'Informations sur les produits'!$A$3:$B$15000,2,FALSE),"")</f>
        <v/>
      </c>
      <c r="V10997">
        <f t="shared" si="686"/>
        <v>0</v>
      </c>
      <c r="W10997">
        <f t="shared" si="687"/>
        <v>0</v>
      </c>
    </row>
    <row r="10998" spans="5:23" x14ac:dyDescent="0.25">
      <c r="E10998" s="4"/>
      <c r="F10998" s="4"/>
      <c r="G10998" s="33" t="str">
        <f>IFERROR(VLOOKUP($D10998,'Informations sur les produits'!$A$3:$H$10000,8,FALSE),"0")</f>
        <v>0</v>
      </c>
      <c r="K10998" s="4"/>
      <c r="L10998" s="33" t="str">
        <f>IFERROR(VLOOKUP($J10998,'Informations sur les produits'!$A$3:$H$10000,8,FALSE),"0")</f>
        <v>0</v>
      </c>
      <c r="N10998" s="8"/>
      <c r="O10998" s="33" t="str">
        <f>IFERROR(VLOOKUP($M10998,'Informations sur les produits'!$A$3:$H$10000,8,FALSE),"0")</f>
        <v>0</v>
      </c>
      <c r="P10998" s="33">
        <f t="shared" si="684"/>
        <v>0</v>
      </c>
      <c r="Q10998" s="31" t="str">
        <f t="shared" si="685"/>
        <v/>
      </c>
      <c r="R10998" s="32" t="str">
        <f>IFERROR(VLOOKUP($D10998,'Informations sur les produits'!$A$3:$B$15000,2,FALSE),"")</f>
        <v/>
      </c>
      <c r="V10998">
        <f t="shared" si="686"/>
        <v>0</v>
      </c>
      <c r="W10998">
        <f t="shared" si="687"/>
        <v>0</v>
      </c>
    </row>
    <row r="10999" spans="5:23" x14ac:dyDescent="0.25">
      <c r="E10999" s="4"/>
      <c r="F10999" s="4"/>
      <c r="G10999" s="33" t="str">
        <f>IFERROR(VLOOKUP($D10999,'Informations sur les produits'!$A$3:$H$10000,8,FALSE),"0")</f>
        <v>0</v>
      </c>
      <c r="K10999" s="4"/>
      <c r="L10999" s="33" t="str">
        <f>IFERROR(VLOOKUP($J10999,'Informations sur les produits'!$A$3:$H$10000,8,FALSE),"0")</f>
        <v>0</v>
      </c>
      <c r="N10999" s="8"/>
      <c r="O10999" s="33" t="str">
        <f>IFERROR(VLOOKUP($M10999,'Informations sur les produits'!$A$3:$H$10000,8,FALSE),"0")</f>
        <v>0</v>
      </c>
      <c r="P10999" s="33">
        <f t="shared" si="684"/>
        <v>0</v>
      </c>
      <c r="Q10999" s="31" t="str">
        <f t="shared" si="685"/>
        <v/>
      </c>
      <c r="R10999" s="32" t="str">
        <f>IFERROR(VLOOKUP($D10999,'Informations sur les produits'!$A$3:$B$15000,2,FALSE),"")</f>
        <v/>
      </c>
      <c r="V10999">
        <f t="shared" si="686"/>
        <v>0</v>
      </c>
      <c r="W10999">
        <f t="shared" si="687"/>
        <v>0</v>
      </c>
    </row>
    <row r="11000" spans="5:23" x14ac:dyDescent="0.25">
      <c r="E11000" s="4"/>
      <c r="F11000" s="4"/>
      <c r="G11000" s="33" t="str">
        <f>IFERROR(VLOOKUP($D11000,'Informations sur les produits'!$A$3:$H$10000,8,FALSE),"0")</f>
        <v>0</v>
      </c>
      <c r="K11000" s="4"/>
      <c r="L11000" s="33" t="str">
        <f>IFERROR(VLOOKUP($J11000,'Informations sur les produits'!$A$3:$H$10000,8,FALSE),"0")</f>
        <v>0</v>
      </c>
      <c r="N11000" s="8"/>
      <c r="O11000" s="33" t="str">
        <f>IFERROR(VLOOKUP($M11000,'Informations sur les produits'!$A$3:$H$10000,8,FALSE),"0")</f>
        <v>0</v>
      </c>
      <c r="P11000" s="33">
        <f t="shared" si="684"/>
        <v>0</v>
      </c>
      <c r="Q11000" s="31" t="str">
        <f t="shared" si="685"/>
        <v/>
      </c>
      <c r="R11000" s="32" t="str">
        <f>IFERROR(VLOOKUP($D11000,'Informations sur les produits'!$A$3:$B$15000,2,FALSE),"")</f>
        <v/>
      </c>
      <c r="V11000">
        <f t="shared" si="686"/>
        <v>0</v>
      </c>
      <c r="W11000">
        <f t="shared" si="687"/>
        <v>0</v>
      </c>
    </row>
    <row r="11001" spans="5:23" x14ac:dyDescent="0.25">
      <c r="E11001" s="4"/>
      <c r="F11001" s="4"/>
      <c r="G11001" s="33" t="str">
        <f>IFERROR(VLOOKUP($D11001,'Informations sur les produits'!$A$3:$H$10000,8,FALSE),"0")</f>
        <v>0</v>
      </c>
      <c r="K11001" s="4"/>
      <c r="L11001" s="33" t="str">
        <f>IFERROR(VLOOKUP($J11001,'Informations sur les produits'!$A$3:$H$10000,8,FALSE),"0")</f>
        <v>0</v>
      </c>
      <c r="N11001" s="8"/>
      <c r="O11001" s="33" t="str">
        <f>IFERROR(VLOOKUP($M11001,'Informations sur les produits'!$A$3:$H$10000,8,FALSE),"0")</f>
        <v>0</v>
      </c>
      <c r="P11001" s="33">
        <f t="shared" si="684"/>
        <v>0</v>
      </c>
      <c r="Q11001" s="31" t="str">
        <f t="shared" si="685"/>
        <v/>
      </c>
      <c r="R11001" s="32" t="str">
        <f>IFERROR(VLOOKUP($D11001,'Informations sur les produits'!$A$3:$B$15000,2,FALSE),"")</f>
        <v/>
      </c>
      <c r="V11001">
        <f t="shared" si="686"/>
        <v>0</v>
      </c>
      <c r="W11001">
        <f t="shared" si="687"/>
        <v>0</v>
      </c>
    </row>
    <row r="11002" spans="5:23" x14ac:dyDescent="0.25">
      <c r="E11002" s="4"/>
      <c r="F11002" s="4"/>
      <c r="G11002" s="33" t="str">
        <f>IFERROR(VLOOKUP($D11002,'Informations sur les produits'!$A$3:$H$10000,8,FALSE),"0")</f>
        <v>0</v>
      </c>
      <c r="K11002" s="4"/>
      <c r="L11002" s="33" t="str">
        <f>IFERROR(VLOOKUP($J11002,'Informations sur les produits'!$A$3:$H$10000,8,FALSE),"0")</f>
        <v>0</v>
      </c>
      <c r="N11002" s="8"/>
      <c r="O11002" s="33" t="str">
        <f>IFERROR(VLOOKUP($M11002,'Informations sur les produits'!$A$3:$H$10000,8,FALSE),"0")</f>
        <v>0</v>
      </c>
      <c r="P11002" s="33">
        <f t="shared" si="684"/>
        <v>0</v>
      </c>
      <c r="Q11002" s="31" t="str">
        <f t="shared" si="685"/>
        <v/>
      </c>
      <c r="R11002" s="32" t="str">
        <f>IFERROR(VLOOKUP($D11002,'Informations sur les produits'!$A$3:$B$15000,2,FALSE),"")</f>
        <v/>
      </c>
      <c r="V11002">
        <f t="shared" si="686"/>
        <v>0</v>
      </c>
      <c r="W11002">
        <f t="shared" si="687"/>
        <v>0</v>
      </c>
    </row>
    <row r="11003" spans="5:23" x14ac:dyDescent="0.25">
      <c r="E11003" s="4"/>
      <c r="F11003" s="4"/>
      <c r="G11003" s="33" t="str">
        <f>IFERROR(VLOOKUP($D11003,'Informations sur les produits'!$A$3:$H$10000,8,FALSE),"0")</f>
        <v>0</v>
      </c>
      <c r="K11003" s="4"/>
      <c r="L11003" s="33" t="str">
        <f>IFERROR(VLOOKUP($J11003,'Informations sur les produits'!$A$3:$H$10000,8,FALSE),"0")</f>
        <v>0</v>
      </c>
      <c r="N11003" s="8"/>
      <c r="O11003" s="33" t="str">
        <f>IFERROR(VLOOKUP($M11003,'Informations sur les produits'!$A$3:$H$10000,8,FALSE),"0")</f>
        <v>0</v>
      </c>
      <c r="P11003" s="33">
        <f t="shared" si="684"/>
        <v>0</v>
      </c>
      <c r="Q11003" s="31" t="str">
        <f t="shared" si="685"/>
        <v/>
      </c>
      <c r="R11003" s="32" t="str">
        <f>IFERROR(VLOOKUP($D11003,'Informations sur les produits'!$A$3:$B$15000,2,FALSE),"")</f>
        <v/>
      </c>
      <c r="V11003">
        <f t="shared" si="686"/>
        <v>0</v>
      </c>
      <c r="W11003">
        <f t="shared" si="687"/>
        <v>0</v>
      </c>
    </row>
    <row r="11004" spans="5:23" x14ac:dyDescent="0.25">
      <c r="E11004" s="4"/>
      <c r="F11004" s="4"/>
      <c r="G11004" s="33" t="str">
        <f>IFERROR(VLOOKUP($D11004,'Informations sur les produits'!$A$3:$H$10000,8,FALSE),"0")</f>
        <v>0</v>
      </c>
      <c r="K11004" s="4"/>
      <c r="L11004" s="33" t="str">
        <f>IFERROR(VLOOKUP($J11004,'Informations sur les produits'!$A$3:$H$10000,8,FALSE),"0")</f>
        <v>0</v>
      </c>
      <c r="N11004" s="8"/>
      <c r="O11004" s="33" t="str">
        <f>IFERROR(VLOOKUP($M11004,'Informations sur les produits'!$A$3:$H$10000,8,FALSE),"0")</f>
        <v>0</v>
      </c>
      <c r="P11004" s="33">
        <f t="shared" si="684"/>
        <v>0</v>
      </c>
      <c r="Q11004" s="31" t="str">
        <f t="shared" si="685"/>
        <v/>
      </c>
      <c r="R11004" s="32" t="str">
        <f>IFERROR(VLOOKUP($D11004,'Informations sur les produits'!$A$3:$B$15000,2,FALSE),"")</f>
        <v/>
      </c>
      <c r="V11004">
        <f t="shared" si="686"/>
        <v>0</v>
      </c>
      <c r="W11004">
        <f t="shared" si="687"/>
        <v>0</v>
      </c>
    </row>
    <row r="11005" spans="5:23" x14ac:dyDescent="0.25">
      <c r="E11005" s="4"/>
      <c r="F11005" s="4"/>
      <c r="G11005" s="33" t="str">
        <f>IFERROR(VLOOKUP($D11005,'Informations sur les produits'!$A$3:$H$10000,8,FALSE),"0")</f>
        <v>0</v>
      </c>
      <c r="K11005" s="4"/>
      <c r="L11005" s="33" t="str">
        <f>IFERROR(VLOOKUP($J11005,'Informations sur les produits'!$A$3:$H$10000,8,FALSE),"0")</f>
        <v>0</v>
      </c>
      <c r="N11005" s="8"/>
      <c r="O11005" s="33" t="str">
        <f>IFERROR(VLOOKUP($M11005,'Informations sur les produits'!$A$3:$H$10000,8,FALSE),"0")</f>
        <v>0</v>
      </c>
      <c r="P11005" s="33">
        <f t="shared" si="684"/>
        <v>0</v>
      </c>
      <c r="Q11005" s="31" t="str">
        <f t="shared" si="685"/>
        <v/>
      </c>
      <c r="R11005" s="32" t="str">
        <f>IFERROR(VLOOKUP($D11005,'Informations sur les produits'!$A$3:$B$15000,2,FALSE),"")</f>
        <v/>
      </c>
      <c r="V11005">
        <f t="shared" si="686"/>
        <v>0</v>
      </c>
      <c r="W11005">
        <f t="shared" si="687"/>
        <v>0</v>
      </c>
    </row>
    <row r="11006" spans="5:23" x14ac:dyDescent="0.25">
      <c r="E11006" s="4"/>
      <c r="F11006" s="4"/>
      <c r="G11006" s="33" t="str">
        <f>IFERROR(VLOOKUP($D11006,'Informations sur les produits'!$A$3:$H$10000,8,FALSE),"0")</f>
        <v>0</v>
      </c>
      <c r="K11006" s="4"/>
      <c r="L11006" s="33" t="str">
        <f>IFERROR(VLOOKUP($J11006,'Informations sur les produits'!$A$3:$H$10000,8,FALSE),"0")</f>
        <v>0</v>
      </c>
      <c r="N11006" s="8"/>
      <c r="O11006" s="33" t="str">
        <f>IFERROR(VLOOKUP($M11006,'Informations sur les produits'!$A$3:$H$10000,8,FALSE),"0")</f>
        <v>0</v>
      </c>
      <c r="P11006" s="33">
        <f t="shared" si="684"/>
        <v>0</v>
      </c>
      <c r="Q11006" s="31" t="str">
        <f t="shared" si="685"/>
        <v/>
      </c>
      <c r="R11006" s="32" t="str">
        <f>IFERROR(VLOOKUP($D11006,'Informations sur les produits'!$A$3:$B$15000,2,FALSE),"")</f>
        <v/>
      </c>
      <c r="V11006">
        <f t="shared" si="686"/>
        <v>0</v>
      </c>
      <c r="W11006">
        <f t="shared" si="687"/>
        <v>0</v>
      </c>
    </row>
    <row r="11007" spans="5:23" x14ac:dyDescent="0.25">
      <c r="E11007" s="4"/>
      <c r="F11007" s="4"/>
      <c r="G11007" s="33" t="str">
        <f>IFERROR(VLOOKUP($D11007,'Informations sur les produits'!$A$3:$H$10000,8,FALSE),"0")</f>
        <v>0</v>
      </c>
      <c r="K11007" s="4"/>
      <c r="L11007" s="33" t="str">
        <f>IFERROR(VLOOKUP($J11007,'Informations sur les produits'!$A$3:$H$10000,8,FALSE),"0")</f>
        <v>0</v>
      </c>
      <c r="N11007" s="8"/>
      <c r="O11007" s="33" t="str">
        <f>IFERROR(VLOOKUP($M11007,'Informations sur les produits'!$A$3:$H$10000,8,FALSE),"0")</f>
        <v>0</v>
      </c>
      <c r="P11007" s="33">
        <f t="shared" si="684"/>
        <v>0</v>
      </c>
      <c r="Q11007" s="31" t="str">
        <f t="shared" si="685"/>
        <v/>
      </c>
      <c r="R11007" s="32" t="str">
        <f>IFERROR(VLOOKUP($D11007,'Informations sur les produits'!$A$3:$B$15000,2,FALSE),"")</f>
        <v/>
      </c>
      <c r="V11007">
        <f t="shared" si="686"/>
        <v>0</v>
      </c>
      <c r="W11007">
        <f t="shared" si="687"/>
        <v>0</v>
      </c>
    </row>
    <row r="11008" spans="5:23" x14ac:dyDescent="0.25">
      <c r="E11008" s="4"/>
      <c r="F11008" s="4"/>
      <c r="G11008" s="33" t="str">
        <f>IFERROR(VLOOKUP($D11008,'Informations sur les produits'!$A$3:$H$10000,8,FALSE),"0")</f>
        <v>0</v>
      </c>
      <c r="K11008" s="4"/>
      <c r="L11008" s="33" t="str">
        <f>IFERROR(VLOOKUP($J11008,'Informations sur les produits'!$A$3:$H$10000,8,FALSE),"0")</f>
        <v>0</v>
      </c>
      <c r="N11008" s="8"/>
      <c r="O11008" s="33" t="str">
        <f>IFERROR(VLOOKUP($M11008,'Informations sur les produits'!$A$3:$H$10000,8,FALSE),"0")</f>
        <v>0</v>
      </c>
      <c r="P11008" s="33">
        <f t="shared" si="684"/>
        <v>0</v>
      </c>
      <c r="Q11008" s="31" t="str">
        <f t="shared" si="685"/>
        <v/>
      </c>
      <c r="R11008" s="32" t="str">
        <f>IFERROR(VLOOKUP($D11008,'Informations sur les produits'!$A$3:$B$15000,2,FALSE),"")</f>
        <v/>
      </c>
      <c r="V11008">
        <f t="shared" si="686"/>
        <v>0</v>
      </c>
      <c r="W11008">
        <f t="shared" si="687"/>
        <v>0</v>
      </c>
    </row>
    <row r="11009" spans="5:23" x14ac:dyDescent="0.25">
      <c r="E11009" s="4"/>
      <c r="F11009" s="4"/>
      <c r="G11009" s="33" t="str">
        <f>IFERROR(VLOOKUP($D11009,'Informations sur les produits'!$A$3:$H$10000,8,FALSE),"0")</f>
        <v>0</v>
      </c>
      <c r="K11009" s="4"/>
      <c r="L11009" s="33" t="str">
        <f>IFERROR(VLOOKUP($J11009,'Informations sur les produits'!$A$3:$H$10000,8,FALSE),"0")</f>
        <v>0</v>
      </c>
      <c r="N11009" s="8"/>
      <c r="O11009" s="33" t="str">
        <f>IFERROR(VLOOKUP($M11009,'Informations sur les produits'!$A$3:$H$10000,8,FALSE),"0")</f>
        <v>0</v>
      </c>
      <c r="P11009" s="33">
        <f t="shared" si="684"/>
        <v>0</v>
      </c>
      <c r="Q11009" s="31" t="str">
        <f t="shared" si="685"/>
        <v/>
      </c>
      <c r="R11009" s="32" t="str">
        <f>IFERROR(VLOOKUP($D11009,'Informations sur les produits'!$A$3:$B$15000,2,FALSE),"")</f>
        <v/>
      </c>
      <c r="V11009">
        <f t="shared" si="686"/>
        <v>0</v>
      </c>
      <c r="W11009">
        <f t="shared" si="687"/>
        <v>0</v>
      </c>
    </row>
    <row r="11010" spans="5:23" x14ac:dyDescent="0.25">
      <c r="E11010" s="4"/>
      <c r="F11010" s="4"/>
      <c r="G11010" s="33" t="str">
        <f>IFERROR(VLOOKUP($D11010,'Informations sur les produits'!$A$3:$H$10000,8,FALSE),"0")</f>
        <v>0</v>
      </c>
      <c r="K11010" s="4"/>
      <c r="L11010" s="33" t="str">
        <f>IFERROR(VLOOKUP($J11010,'Informations sur les produits'!$A$3:$H$10000,8,FALSE),"0")</f>
        <v>0</v>
      </c>
      <c r="N11010" s="8"/>
      <c r="O11010" s="33" t="str">
        <f>IFERROR(VLOOKUP($M11010,'Informations sur les produits'!$A$3:$H$10000,8,FALSE),"0")</f>
        <v>0</v>
      </c>
      <c r="P11010" s="33">
        <f t="shared" si="684"/>
        <v>0</v>
      </c>
      <c r="Q11010" s="31" t="str">
        <f t="shared" si="685"/>
        <v/>
      </c>
      <c r="R11010" s="32" t="str">
        <f>IFERROR(VLOOKUP($D11010,'Informations sur les produits'!$A$3:$B$15000,2,FALSE),"")</f>
        <v/>
      </c>
      <c r="V11010">
        <f t="shared" si="686"/>
        <v>0</v>
      </c>
      <c r="W11010">
        <f t="shared" si="687"/>
        <v>0</v>
      </c>
    </row>
    <row r="11011" spans="5:23" x14ac:dyDescent="0.25">
      <c r="E11011" s="4"/>
      <c r="F11011" s="4"/>
      <c r="G11011" s="33" t="str">
        <f>IFERROR(VLOOKUP($D11011,'Informations sur les produits'!$A$3:$H$10000,8,FALSE),"0")</f>
        <v>0</v>
      </c>
      <c r="K11011" s="4"/>
      <c r="L11011" s="33" t="str">
        <f>IFERROR(VLOOKUP($J11011,'Informations sur les produits'!$A$3:$H$10000,8,FALSE),"0")</f>
        <v>0</v>
      </c>
      <c r="N11011" s="8"/>
      <c r="O11011" s="33" t="str">
        <f>IFERROR(VLOOKUP($M11011,'Informations sur les produits'!$A$3:$H$10000,8,FALSE),"0")</f>
        <v>0</v>
      </c>
      <c r="P11011" s="33">
        <f t="shared" si="684"/>
        <v>0</v>
      </c>
      <c r="Q11011" s="31" t="str">
        <f t="shared" si="685"/>
        <v/>
      </c>
      <c r="R11011" s="32" t="str">
        <f>IFERROR(VLOOKUP($D11011,'Informations sur les produits'!$A$3:$B$15000,2,FALSE),"")</f>
        <v/>
      </c>
      <c r="V11011">
        <f t="shared" si="686"/>
        <v>0</v>
      </c>
      <c r="W11011">
        <f t="shared" si="687"/>
        <v>0</v>
      </c>
    </row>
    <row r="11012" spans="5:23" x14ac:dyDescent="0.25">
      <c r="E11012" s="4"/>
      <c r="F11012" s="4"/>
      <c r="G11012" s="33" t="str">
        <f>IFERROR(VLOOKUP($D11012,'Informations sur les produits'!$A$3:$H$10000,8,FALSE),"0")</f>
        <v>0</v>
      </c>
      <c r="K11012" s="4"/>
      <c r="L11012" s="33" t="str">
        <f>IFERROR(VLOOKUP($J11012,'Informations sur les produits'!$A$3:$H$10000,8,FALSE),"0")</f>
        <v>0</v>
      </c>
      <c r="N11012" s="8"/>
      <c r="O11012" s="33" t="str">
        <f>IFERROR(VLOOKUP($M11012,'Informations sur les produits'!$A$3:$H$10000,8,FALSE),"0")</f>
        <v>0</v>
      </c>
      <c r="P11012" s="33">
        <f t="shared" ref="P11012:P11075" si="688">IFERROR((($E11012-$F11012)*$G11012+$K11012*$L11012+$N11012*$O11012),"")</f>
        <v>0</v>
      </c>
      <c r="Q11012" s="31" t="str">
        <f t="shared" ref="Q11012:Q11075" si="689">IFERROR((((($E11012-$F11012)*$G11012+$K11012*$L11012+$N11012*$O11012)*1000)/(($E11012-$F11012)+$K11012+$N11012)),"")</f>
        <v/>
      </c>
      <c r="R11012" s="32" t="str">
        <f>IFERROR(VLOOKUP($D11012,'Informations sur les produits'!$A$3:$B$15000,2,FALSE),"")</f>
        <v/>
      </c>
      <c r="V11012">
        <f t="shared" ref="V11012:V11075" si="690">IFERROR(P11012*1000,"")</f>
        <v>0</v>
      </c>
      <c r="W11012">
        <f t="shared" ref="W11012:W11075" si="691">IFERROR(($E11012-$F11012)+$K11012+$N11012,"")</f>
        <v>0</v>
      </c>
    </row>
    <row r="11013" spans="5:23" x14ac:dyDescent="0.25">
      <c r="E11013" s="4"/>
      <c r="F11013" s="4"/>
      <c r="G11013" s="33" t="str">
        <f>IFERROR(VLOOKUP($D11013,'Informations sur les produits'!$A$3:$H$10000,8,FALSE),"0")</f>
        <v>0</v>
      </c>
      <c r="K11013" s="4"/>
      <c r="L11013" s="33" t="str">
        <f>IFERROR(VLOOKUP($J11013,'Informations sur les produits'!$A$3:$H$10000,8,FALSE),"0")</f>
        <v>0</v>
      </c>
      <c r="N11013" s="8"/>
      <c r="O11013" s="33" t="str">
        <f>IFERROR(VLOOKUP($M11013,'Informations sur les produits'!$A$3:$H$10000,8,FALSE),"0")</f>
        <v>0</v>
      </c>
      <c r="P11013" s="33">
        <f t="shared" si="688"/>
        <v>0</v>
      </c>
      <c r="Q11013" s="31" t="str">
        <f t="shared" si="689"/>
        <v/>
      </c>
      <c r="R11013" s="32" t="str">
        <f>IFERROR(VLOOKUP($D11013,'Informations sur les produits'!$A$3:$B$15000,2,FALSE),"")</f>
        <v/>
      </c>
      <c r="V11013">
        <f t="shared" si="690"/>
        <v>0</v>
      </c>
      <c r="W11013">
        <f t="shared" si="691"/>
        <v>0</v>
      </c>
    </row>
    <row r="11014" spans="5:23" x14ac:dyDescent="0.25">
      <c r="E11014" s="4"/>
      <c r="F11014" s="4"/>
      <c r="G11014" s="33" t="str">
        <f>IFERROR(VLOOKUP($D11014,'Informations sur les produits'!$A$3:$H$10000,8,FALSE),"0")</f>
        <v>0</v>
      </c>
      <c r="K11014" s="4"/>
      <c r="L11014" s="33" t="str">
        <f>IFERROR(VLOOKUP($J11014,'Informations sur les produits'!$A$3:$H$10000,8,FALSE),"0")</f>
        <v>0</v>
      </c>
      <c r="N11014" s="8"/>
      <c r="O11014" s="33" t="str">
        <f>IFERROR(VLOOKUP($M11014,'Informations sur les produits'!$A$3:$H$10000,8,FALSE),"0")</f>
        <v>0</v>
      </c>
      <c r="P11014" s="33">
        <f t="shared" si="688"/>
        <v>0</v>
      </c>
      <c r="Q11014" s="31" t="str">
        <f t="shared" si="689"/>
        <v/>
      </c>
      <c r="R11014" s="32" t="str">
        <f>IFERROR(VLOOKUP($D11014,'Informations sur les produits'!$A$3:$B$15000,2,FALSE),"")</f>
        <v/>
      </c>
      <c r="V11014">
        <f t="shared" si="690"/>
        <v>0</v>
      </c>
      <c r="W11014">
        <f t="shared" si="691"/>
        <v>0</v>
      </c>
    </row>
    <row r="11015" spans="5:23" x14ac:dyDescent="0.25">
      <c r="E11015" s="4"/>
      <c r="F11015" s="4"/>
      <c r="G11015" s="33" t="str">
        <f>IFERROR(VLOOKUP($D11015,'Informations sur les produits'!$A$3:$H$10000,8,FALSE),"0")</f>
        <v>0</v>
      </c>
      <c r="K11015" s="4"/>
      <c r="L11015" s="33" t="str">
        <f>IFERROR(VLOOKUP($J11015,'Informations sur les produits'!$A$3:$H$10000,8,FALSE),"0")</f>
        <v>0</v>
      </c>
      <c r="N11015" s="8"/>
      <c r="O11015" s="33" t="str">
        <f>IFERROR(VLOOKUP($M11015,'Informations sur les produits'!$A$3:$H$10000,8,FALSE),"0")</f>
        <v>0</v>
      </c>
      <c r="P11015" s="33">
        <f t="shared" si="688"/>
        <v>0</v>
      </c>
      <c r="Q11015" s="31" t="str">
        <f t="shared" si="689"/>
        <v/>
      </c>
      <c r="R11015" s="32" t="str">
        <f>IFERROR(VLOOKUP($D11015,'Informations sur les produits'!$A$3:$B$15000,2,FALSE),"")</f>
        <v/>
      </c>
      <c r="V11015">
        <f t="shared" si="690"/>
        <v>0</v>
      </c>
      <c r="W11015">
        <f t="shared" si="691"/>
        <v>0</v>
      </c>
    </row>
    <row r="11016" spans="5:23" x14ac:dyDescent="0.25">
      <c r="E11016" s="4"/>
      <c r="F11016" s="4"/>
      <c r="G11016" s="33" t="str">
        <f>IFERROR(VLOOKUP($D11016,'Informations sur les produits'!$A$3:$H$10000,8,FALSE),"0")</f>
        <v>0</v>
      </c>
      <c r="K11016" s="4"/>
      <c r="L11016" s="33" t="str">
        <f>IFERROR(VLOOKUP($J11016,'Informations sur les produits'!$A$3:$H$10000,8,FALSE),"0")</f>
        <v>0</v>
      </c>
      <c r="N11016" s="8"/>
      <c r="O11016" s="33" t="str">
        <f>IFERROR(VLOOKUP($M11016,'Informations sur les produits'!$A$3:$H$10000,8,FALSE),"0")</f>
        <v>0</v>
      </c>
      <c r="P11016" s="33">
        <f t="shared" si="688"/>
        <v>0</v>
      </c>
      <c r="Q11016" s="31" t="str">
        <f t="shared" si="689"/>
        <v/>
      </c>
      <c r="R11016" s="32" t="str">
        <f>IFERROR(VLOOKUP($D11016,'Informations sur les produits'!$A$3:$B$15000,2,FALSE),"")</f>
        <v/>
      </c>
      <c r="V11016">
        <f t="shared" si="690"/>
        <v>0</v>
      </c>
      <c r="W11016">
        <f t="shared" si="691"/>
        <v>0</v>
      </c>
    </row>
    <row r="11017" spans="5:23" x14ac:dyDescent="0.25">
      <c r="E11017" s="4"/>
      <c r="F11017" s="4"/>
      <c r="G11017" s="33" t="str">
        <f>IFERROR(VLOOKUP($D11017,'Informations sur les produits'!$A$3:$H$10000,8,FALSE),"0")</f>
        <v>0</v>
      </c>
      <c r="K11017" s="4"/>
      <c r="L11017" s="33" t="str">
        <f>IFERROR(VLOOKUP($J11017,'Informations sur les produits'!$A$3:$H$10000,8,FALSE),"0")</f>
        <v>0</v>
      </c>
      <c r="N11017" s="8"/>
      <c r="O11017" s="33" t="str">
        <f>IFERROR(VLOOKUP($M11017,'Informations sur les produits'!$A$3:$H$10000,8,FALSE),"0")</f>
        <v>0</v>
      </c>
      <c r="P11017" s="33">
        <f t="shared" si="688"/>
        <v>0</v>
      </c>
      <c r="Q11017" s="31" t="str">
        <f t="shared" si="689"/>
        <v/>
      </c>
      <c r="R11017" s="32" t="str">
        <f>IFERROR(VLOOKUP($D11017,'Informations sur les produits'!$A$3:$B$15000,2,FALSE),"")</f>
        <v/>
      </c>
      <c r="V11017">
        <f t="shared" si="690"/>
        <v>0</v>
      </c>
      <c r="W11017">
        <f t="shared" si="691"/>
        <v>0</v>
      </c>
    </row>
    <row r="11018" spans="5:23" x14ac:dyDescent="0.25">
      <c r="E11018" s="4"/>
      <c r="F11018" s="4"/>
      <c r="G11018" s="33" t="str">
        <f>IFERROR(VLOOKUP($D11018,'Informations sur les produits'!$A$3:$H$10000,8,FALSE),"0")</f>
        <v>0</v>
      </c>
      <c r="K11018" s="4"/>
      <c r="L11018" s="33" t="str">
        <f>IFERROR(VLOOKUP($J11018,'Informations sur les produits'!$A$3:$H$10000,8,FALSE),"0")</f>
        <v>0</v>
      </c>
      <c r="N11018" s="8"/>
      <c r="O11018" s="33" t="str">
        <f>IFERROR(VLOOKUP($M11018,'Informations sur les produits'!$A$3:$H$10000,8,FALSE),"0")</f>
        <v>0</v>
      </c>
      <c r="P11018" s="33">
        <f t="shared" si="688"/>
        <v>0</v>
      </c>
      <c r="Q11018" s="31" t="str">
        <f t="shared" si="689"/>
        <v/>
      </c>
      <c r="R11018" s="32" t="str">
        <f>IFERROR(VLOOKUP($D11018,'Informations sur les produits'!$A$3:$B$15000,2,FALSE),"")</f>
        <v/>
      </c>
      <c r="V11018">
        <f t="shared" si="690"/>
        <v>0</v>
      </c>
      <c r="W11018">
        <f t="shared" si="691"/>
        <v>0</v>
      </c>
    </row>
    <row r="11019" spans="5:23" x14ac:dyDescent="0.25">
      <c r="E11019" s="4"/>
      <c r="F11019" s="4"/>
      <c r="G11019" s="33" t="str">
        <f>IFERROR(VLOOKUP($D11019,'Informations sur les produits'!$A$3:$H$10000,8,FALSE),"0")</f>
        <v>0</v>
      </c>
      <c r="K11019" s="4"/>
      <c r="L11019" s="33" t="str">
        <f>IFERROR(VLOOKUP($J11019,'Informations sur les produits'!$A$3:$H$10000,8,FALSE),"0")</f>
        <v>0</v>
      </c>
      <c r="N11019" s="8"/>
      <c r="O11019" s="33" t="str">
        <f>IFERROR(VLOOKUP($M11019,'Informations sur les produits'!$A$3:$H$10000,8,FALSE),"0")</f>
        <v>0</v>
      </c>
      <c r="P11019" s="33">
        <f t="shared" si="688"/>
        <v>0</v>
      </c>
      <c r="Q11019" s="31" t="str">
        <f t="shared" si="689"/>
        <v/>
      </c>
      <c r="R11019" s="32" t="str">
        <f>IFERROR(VLOOKUP($D11019,'Informations sur les produits'!$A$3:$B$15000,2,FALSE),"")</f>
        <v/>
      </c>
      <c r="V11019">
        <f t="shared" si="690"/>
        <v>0</v>
      </c>
      <c r="W11019">
        <f t="shared" si="691"/>
        <v>0</v>
      </c>
    </row>
    <row r="11020" spans="5:23" x14ac:dyDescent="0.25">
      <c r="E11020" s="4"/>
      <c r="F11020" s="4"/>
      <c r="G11020" s="33" t="str">
        <f>IFERROR(VLOOKUP($D11020,'Informations sur les produits'!$A$3:$H$10000,8,FALSE),"0")</f>
        <v>0</v>
      </c>
      <c r="K11020" s="4"/>
      <c r="L11020" s="33" t="str">
        <f>IFERROR(VLOOKUP($J11020,'Informations sur les produits'!$A$3:$H$10000,8,FALSE),"0")</f>
        <v>0</v>
      </c>
      <c r="N11020" s="8"/>
      <c r="O11020" s="33" t="str">
        <f>IFERROR(VLOOKUP($M11020,'Informations sur les produits'!$A$3:$H$10000,8,FALSE),"0")</f>
        <v>0</v>
      </c>
      <c r="P11020" s="33">
        <f t="shared" si="688"/>
        <v>0</v>
      </c>
      <c r="Q11020" s="31" t="str">
        <f t="shared" si="689"/>
        <v/>
      </c>
      <c r="R11020" s="32" t="str">
        <f>IFERROR(VLOOKUP($D11020,'Informations sur les produits'!$A$3:$B$15000,2,FALSE),"")</f>
        <v/>
      </c>
      <c r="V11020">
        <f t="shared" si="690"/>
        <v>0</v>
      </c>
      <c r="W11020">
        <f t="shared" si="691"/>
        <v>0</v>
      </c>
    </row>
    <row r="11021" spans="5:23" x14ac:dyDescent="0.25">
      <c r="E11021" s="4"/>
      <c r="F11021" s="4"/>
      <c r="G11021" s="33" t="str">
        <f>IFERROR(VLOOKUP($D11021,'Informations sur les produits'!$A$3:$H$10000,8,FALSE),"0")</f>
        <v>0</v>
      </c>
      <c r="K11021" s="4"/>
      <c r="L11021" s="33" t="str">
        <f>IFERROR(VLOOKUP($J11021,'Informations sur les produits'!$A$3:$H$10000,8,FALSE),"0")</f>
        <v>0</v>
      </c>
      <c r="N11021" s="8"/>
      <c r="O11021" s="33" t="str">
        <f>IFERROR(VLOOKUP($M11021,'Informations sur les produits'!$A$3:$H$10000,8,FALSE),"0")</f>
        <v>0</v>
      </c>
      <c r="P11021" s="33">
        <f t="shared" si="688"/>
        <v>0</v>
      </c>
      <c r="Q11021" s="31" t="str">
        <f t="shared" si="689"/>
        <v/>
      </c>
      <c r="R11021" s="32" t="str">
        <f>IFERROR(VLOOKUP($D11021,'Informations sur les produits'!$A$3:$B$15000,2,FALSE),"")</f>
        <v/>
      </c>
      <c r="V11021">
        <f t="shared" si="690"/>
        <v>0</v>
      </c>
      <c r="W11021">
        <f t="shared" si="691"/>
        <v>0</v>
      </c>
    </row>
    <row r="11022" spans="5:23" x14ac:dyDescent="0.25">
      <c r="E11022" s="4"/>
      <c r="F11022" s="4"/>
      <c r="G11022" s="33" t="str">
        <f>IFERROR(VLOOKUP($D11022,'Informations sur les produits'!$A$3:$H$10000,8,FALSE),"0")</f>
        <v>0</v>
      </c>
      <c r="K11022" s="4"/>
      <c r="L11022" s="33" t="str">
        <f>IFERROR(VLOOKUP($J11022,'Informations sur les produits'!$A$3:$H$10000,8,FALSE),"0")</f>
        <v>0</v>
      </c>
      <c r="N11022" s="8"/>
      <c r="O11022" s="33" t="str">
        <f>IFERROR(VLOOKUP($M11022,'Informations sur les produits'!$A$3:$H$10000,8,FALSE),"0")</f>
        <v>0</v>
      </c>
      <c r="P11022" s="33">
        <f t="shared" si="688"/>
        <v>0</v>
      </c>
      <c r="Q11022" s="31" t="str">
        <f t="shared" si="689"/>
        <v/>
      </c>
      <c r="R11022" s="32" t="str">
        <f>IFERROR(VLOOKUP($D11022,'Informations sur les produits'!$A$3:$B$15000,2,FALSE),"")</f>
        <v/>
      </c>
      <c r="V11022">
        <f t="shared" si="690"/>
        <v>0</v>
      </c>
      <c r="W11022">
        <f t="shared" si="691"/>
        <v>0</v>
      </c>
    </row>
    <row r="11023" spans="5:23" x14ac:dyDescent="0.25">
      <c r="E11023" s="4"/>
      <c r="F11023" s="4"/>
      <c r="G11023" s="33" t="str">
        <f>IFERROR(VLOOKUP($D11023,'Informations sur les produits'!$A$3:$H$10000,8,FALSE),"0")</f>
        <v>0</v>
      </c>
      <c r="K11023" s="4"/>
      <c r="L11023" s="33" t="str">
        <f>IFERROR(VLOOKUP($J11023,'Informations sur les produits'!$A$3:$H$10000,8,FALSE),"0")</f>
        <v>0</v>
      </c>
      <c r="N11023" s="8"/>
      <c r="O11023" s="33" t="str">
        <f>IFERROR(VLOOKUP($M11023,'Informations sur les produits'!$A$3:$H$10000,8,FALSE),"0")</f>
        <v>0</v>
      </c>
      <c r="P11023" s="33">
        <f t="shared" si="688"/>
        <v>0</v>
      </c>
      <c r="Q11023" s="31" t="str">
        <f t="shared" si="689"/>
        <v/>
      </c>
      <c r="R11023" s="32" t="str">
        <f>IFERROR(VLOOKUP($D11023,'Informations sur les produits'!$A$3:$B$15000,2,FALSE),"")</f>
        <v/>
      </c>
      <c r="V11023">
        <f t="shared" si="690"/>
        <v>0</v>
      </c>
      <c r="W11023">
        <f t="shared" si="691"/>
        <v>0</v>
      </c>
    </row>
    <row r="11024" spans="5:23" x14ac:dyDescent="0.25">
      <c r="E11024" s="4"/>
      <c r="F11024" s="4"/>
      <c r="G11024" s="33" t="str">
        <f>IFERROR(VLOOKUP($D11024,'Informations sur les produits'!$A$3:$H$10000,8,FALSE),"0")</f>
        <v>0</v>
      </c>
      <c r="K11024" s="4"/>
      <c r="L11024" s="33" t="str">
        <f>IFERROR(VLOOKUP($J11024,'Informations sur les produits'!$A$3:$H$10000,8,FALSE),"0")</f>
        <v>0</v>
      </c>
      <c r="N11024" s="8"/>
      <c r="O11024" s="33" t="str">
        <f>IFERROR(VLOOKUP($M11024,'Informations sur les produits'!$A$3:$H$10000,8,FALSE),"0")</f>
        <v>0</v>
      </c>
      <c r="P11024" s="33">
        <f t="shared" si="688"/>
        <v>0</v>
      </c>
      <c r="Q11024" s="31" t="str">
        <f t="shared" si="689"/>
        <v/>
      </c>
      <c r="R11024" s="32" t="str">
        <f>IFERROR(VLOOKUP($D11024,'Informations sur les produits'!$A$3:$B$15000,2,FALSE),"")</f>
        <v/>
      </c>
      <c r="V11024">
        <f t="shared" si="690"/>
        <v>0</v>
      </c>
      <c r="W11024">
        <f t="shared" si="691"/>
        <v>0</v>
      </c>
    </row>
    <row r="11025" spans="5:23" x14ac:dyDescent="0.25">
      <c r="E11025" s="4"/>
      <c r="F11025" s="4"/>
      <c r="G11025" s="33" t="str">
        <f>IFERROR(VLOOKUP($D11025,'Informations sur les produits'!$A$3:$H$10000,8,FALSE),"0")</f>
        <v>0</v>
      </c>
      <c r="K11025" s="4"/>
      <c r="L11025" s="33" t="str">
        <f>IFERROR(VLOOKUP($J11025,'Informations sur les produits'!$A$3:$H$10000,8,FALSE),"0")</f>
        <v>0</v>
      </c>
      <c r="N11025" s="8"/>
      <c r="O11025" s="33" t="str">
        <f>IFERROR(VLOOKUP($M11025,'Informations sur les produits'!$A$3:$H$10000,8,FALSE),"0")</f>
        <v>0</v>
      </c>
      <c r="P11025" s="33">
        <f t="shared" si="688"/>
        <v>0</v>
      </c>
      <c r="Q11025" s="31" t="str">
        <f t="shared" si="689"/>
        <v/>
      </c>
      <c r="R11025" s="32" t="str">
        <f>IFERROR(VLOOKUP($D11025,'Informations sur les produits'!$A$3:$B$15000,2,FALSE),"")</f>
        <v/>
      </c>
      <c r="V11025">
        <f t="shared" si="690"/>
        <v>0</v>
      </c>
      <c r="W11025">
        <f t="shared" si="691"/>
        <v>0</v>
      </c>
    </row>
    <row r="11026" spans="5:23" x14ac:dyDescent="0.25">
      <c r="E11026" s="4"/>
      <c r="F11026" s="4"/>
      <c r="G11026" s="33" t="str">
        <f>IFERROR(VLOOKUP($D11026,'Informations sur les produits'!$A$3:$H$10000,8,FALSE),"0")</f>
        <v>0</v>
      </c>
      <c r="K11026" s="4"/>
      <c r="L11026" s="33" t="str">
        <f>IFERROR(VLOOKUP($J11026,'Informations sur les produits'!$A$3:$H$10000,8,FALSE),"0")</f>
        <v>0</v>
      </c>
      <c r="N11026" s="8"/>
      <c r="O11026" s="33" t="str">
        <f>IFERROR(VLOOKUP($M11026,'Informations sur les produits'!$A$3:$H$10000,8,FALSE),"0")</f>
        <v>0</v>
      </c>
      <c r="P11026" s="33">
        <f t="shared" si="688"/>
        <v>0</v>
      </c>
      <c r="Q11026" s="31" t="str">
        <f t="shared" si="689"/>
        <v/>
      </c>
      <c r="R11026" s="32" t="str">
        <f>IFERROR(VLOOKUP($D11026,'Informations sur les produits'!$A$3:$B$15000,2,FALSE),"")</f>
        <v/>
      </c>
      <c r="V11026">
        <f t="shared" si="690"/>
        <v>0</v>
      </c>
      <c r="W11026">
        <f t="shared" si="691"/>
        <v>0</v>
      </c>
    </row>
    <row r="11027" spans="5:23" x14ac:dyDescent="0.25">
      <c r="E11027" s="4"/>
      <c r="F11027" s="4"/>
      <c r="G11027" s="33" t="str">
        <f>IFERROR(VLOOKUP($D11027,'Informations sur les produits'!$A$3:$H$10000,8,FALSE),"0")</f>
        <v>0</v>
      </c>
      <c r="K11027" s="4"/>
      <c r="L11027" s="33" t="str">
        <f>IFERROR(VLOOKUP($J11027,'Informations sur les produits'!$A$3:$H$10000,8,FALSE),"0")</f>
        <v>0</v>
      </c>
      <c r="N11027" s="8"/>
      <c r="O11027" s="33" t="str">
        <f>IFERROR(VLOOKUP($M11027,'Informations sur les produits'!$A$3:$H$10000,8,FALSE),"0")</f>
        <v>0</v>
      </c>
      <c r="P11027" s="33">
        <f t="shared" si="688"/>
        <v>0</v>
      </c>
      <c r="Q11027" s="31" t="str">
        <f t="shared" si="689"/>
        <v/>
      </c>
      <c r="R11027" s="32" t="str">
        <f>IFERROR(VLOOKUP($D11027,'Informations sur les produits'!$A$3:$B$15000,2,FALSE),"")</f>
        <v/>
      </c>
      <c r="V11027">
        <f t="shared" si="690"/>
        <v>0</v>
      </c>
      <c r="W11027">
        <f t="shared" si="691"/>
        <v>0</v>
      </c>
    </row>
    <row r="11028" spans="5:23" x14ac:dyDescent="0.25">
      <c r="E11028" s="4"/>
      <c r="F11028" s="4"/>
      <c r="G11028" s="33" t="str">
        <f>IFERROR(VLOOKUP($D11028,'Informations sur les produits'!$A$3:$H$10000,8,FALSE),"0")</f>
        <v>0</v>
      </c>
      <c r="K11028" s="4"/>
      <c r="L11028" s="33" t="str">
        <f>IFERROR(VLOOKUP($J11028,'Informations sur les produits'!$A$3:$H$10000,8,FALSE),"0")</f>
        <v>0</v>
      </c>
      <c r="N11028" s="8"/>
      <c r="O11028" s="33" t="str">
        <f>IFERROR(VLOOKUP($M11028,'Informations sur les produits'!$A$3:$H$10000,8,FALSE),"0")</f>
        <v>0</v>
      </c>
      <c r="P11028" s="33">
        <f t="shared" si="688"/>
        <v>0</v>
      </c>
      <c r="Q11028" s="31" t="str">
        <f t="shared" si="689"/>
        <v/>
      </c>
      <c r="R11028" s="32" t="str">
        <f>IFERROR(VLOOKUP($D11028,'Informations sur les produits'!$A$3:$B$15000,2,FALSE),"")</f>
        <v/>
      </c>
      <c r="V11028">
        <f t="shared" si="690"/>
        <v>0</v>
      </c>
      <c r="W11028">
        <f t="shared" si="691"/>
        <v>0</v>
      </c>
    </row>
    <row r="11029" spans="5:23" x14ac:dyDescent="0.25">
      <c r="E11029" s="4"/>
      <c r="F11029" s="4"/>
      <c r="G11029" s="33" t="str">
        <f>IFERROR(VLOOKUP($D11029,'Informations sur les produits'!$A$3:$H$10000,8,FALSE),"0")</f>
        <v>0</v>
      </c>
      <c r="K11029" s="4"/>
      <c r="L11029" s="33" t="str">
        <f>IFERROR(VLOOKUP($J11029,'Informations sur les produits'!$A$3:$H$10000,8,FALSE),"0")</f>
        <v>0</v>
      </c>
      <c r="N11029" s="8"/>
      <c r="O11029" s="33" t="str">
        <f>IFERROR(VLOOKUP($M11029,'Informations sur les produits'!$A$3:$H$10000,8,FALSE),"0")</f>
        <v>0</v>
      </c>
      <c r="P11029" s="33">
        <f t="shared" si="688"/>
        <v>0</v>
      </c>
      <c r="Q11029" s="31" t="str">
        <f t="shared" si="689"/>
        <v/>
      </c>
      <c r="R11029" s="32" t="str">
        <f>IFERROR(VLOOKUP($D11029,'Informations sur les produits'!$A$3:$B$15000,2,FALSE),"")</f>
        <v/>
      </c>
      <c r="V11029">
        <f t="shared" si="690"/>
        <v>0</v>
      </c>
      <c r="W11029">
        <f t="shared" si="691"/>
        <v>0</v>
      </c>
    </row>
    <row r="11030" spans="5:23" x14ac:dyDescent="0.25">
      <c r="E11030" s="4"/>
      <c r="F11030" s="4"/>
      <c r="G11030" s="33" t="str">
        <f>IFERROR(VLOOKUP($D11030,'Informations sur les produits'!$A$3:$H$10000,8,FALSE),"0")</f>
        <v>0</v>
      </c>
      <c r="K11030" s="4"/>
      <c r="L11030" s="33" t="str">
        <f>IFERROR(VLOOKUP($J11030,'Informations sur les produits'!$A$3:$H$10000,8,FALSE),"0")</f>
        <v>0</v>
      </c>
      <c r="N11030" s="8"/>
      <c r="O11030" s="33" t="str">
        <f>IFERROR(VLOOKUP($M11030,'Informations sur les produits'!$A$3:$H$10000,8,FALSE),"0")</f>
        <v>0</v>
      </c>
      <c r="P11030" s="33">
        <f t="shared" si="688"/>
        <v>0</v>
      </c>
      <c r="Q11030" s="31" t="str">
        <f t="shared" si="689"/>
        <v/>
      </c>
      <c r="R11030" s="32" t="str">
        <f>IFERROR(VLOOKUP($D11030,'Informations sur les produits'!$A$3:$B$15000,2,FALSE),"")</f>
        <v/>
      </c>
      <c r="V11030">
        <f t="shared" si="690"/>
        <v>0</v>
      </c>
      <c r="W11030">
        <f t="shared" si="691"/>
        <v>0</v>
      </c>
    </row>
    <row r="11031" spans="5:23" x14ac:dyDescent="0.25">
      <c r="E11031" s="4"/>
      <c r="F11031" s="4"/>
      <c r="G11031" s="33" t="str">
        <f>IFERROR(VLOOKUP($D11031,'Informations sur les produits'!$A$3:$H$10000,8,FALSE),"0")</f>
        <v>0</v>
      </c>
      <c r="K11031" s="4"/>
      <c r="L11031" s="33" t="str">
        <f>IFERROR(VLOOKUP($J11031,'Informations sur les produits'!$A$3:$H$10000,8,FALSE),"0")</f>
        <v>0</v>
      </c>
      <c r="N11031" s="8"/>
      <c r="O11031" s="33" t="str">
        <f>IFERROR(VLOOKUP($M11031,'Informations sur les produits'!$A$3:$H$10000,8,FALSE),"0")</f>
        <v>0</v>
      </c>
      <c r="P11031" s="33">
        <f t="shared" si="688"/>
        <v>0</v>
      </c>
      <c r="Q11031" s="31" t="str">
        <f t="shared" si="689"/>
        <v/>
      </c>
      <c r="R11031" s="32" t="str">
        <f>IFERROR(VLOOKUP($D11031,'Informations sur les produits'!$A$3:$B$15000,2,FALSE),"")</f>
        <v/>
      </c>
      <c r="V11031">
        <f t="shared" si="690"/>
        <v>0</v>
      </c>
      <c r="W11031">
        <f t="shared" si="691"/>
        <v>0</v>
      </c>
    </row>
    <row r="11032" spans="5:23" x14ac:dyDescent="0.25">
      <c r="E11032" s="4"/>
      <c r="F11032" s="4"/>
      <c r="G11032" s="33" t="str">
        <f>IFERROR(VLOOKUP($D11032,'Informations sur les produits'!$A$3:$H$10000,8,FALSE),"0")</f>
        <v>0</v>
      </c>
      <c r="K11032" s="4"/>
      <c r="L11032" s="33" t="str">
        <f>IFERROR(VLOOKUP($J11032,'Informations sur les produits'!$A$3:$H$10000,8,FALSE),"0")</f>
        <v>0</v>
      </c>
      <c r="N11032" s="8"/>
      <c r="O11032" s="33" t="str">
        <f>IFERROR(VLOOKUP($M11032,'Informations sur les produits'!$A$3:$H$10000,8,FALSE),"0")</f>
        <v>0</v>
      </c>
      <c r="P11032" s="33">
        <f t="shared" si="688"/>
        <v>0</v>
      </c>
      <c r="Q11032" s="31" t="str">
        <f t="shared" si="689"/>
        <v/>
      </c>
      <c r="R11032" s="32" t="str">
        <f>IFERROR(VLOOKUP($D11032,'Informations sur les produits'!$A$3:$B$15000,2,FALSE),"")</f>
        <v/>
      </c>
      <c r="V11032">
        <f t="shared" si="690"/>
        <v>0</v>
      </c>
      <c r="W11032">
        <f t="shared" si="691"/>
        <v>0</v>
      </c>
    </row>
    <row r="11033" spans="5:23" x14ac:dyDescent="0.25">
      <c r="E11033" s="4"/>
      <c r="F11033" s="4"/>
      <c r="G11033" s="33" t="str">
        <f>IFERROR(VLOOKUP($D11033,'Informations sur les produits'!$A$3:$H$10000,8,FALSE),"0")</f>
        <v>0</v>
      </c>
      <c r="K11033" s="4"/>
      <c r="L11033" s="33" t="str">
        <f>IFERROR(VLOOKUP($J11033,'Informations sur les produits'!$A$3:$H$10000,8,FALSE),"0")</f>
        <v>0</v>
      </c>
      <c r="N11033" s="8"/>
      <c r="O11033" s="33" t="str">
        <f>IFERROR(VLOOKUP($M11033,'Informations sur les produits'!$A$3:$H$10000,8,FALSE),"0")</f>
        <v>0</v>
      </c>
      <c r="P11033" s="33">
        <f t="shared" si="688"/>
        <v>0</v>
      </c>
      <c r="Q11033" s="31" t="str">
        <f t="shared" si="689"/>
        <v/>
      </c>
      <c r="R11033" s="32" t="str">
        <f>IFERROR(VLOOKUP($D11033,'Informations sur les produits'!$A$3:$B$15000,2,FALSE),"")</f>
        <v/>
      </c>
      <c r="V11033">
        <f t="shared" si="690"/>
        <v>0</v>
      </c>
      <c r="W11033">
        <f t="shared" si="691"/>
        <v>0</v>
      </c>
    </row>
    <row r="11034" spans="5:23" x14ac:dyDescent="0.25">
      <c r="E11034" s="4"/>
      <c r="F11034" s="4"/>
      <c r="G11034" s="33" t="str">
        <f>IFERROR(VLOOKUP($D11034,'Informations sur les produits'!$A$3:$H$10000,8,FALSE),"0")</f>
        <v>0</v>
      </c>
      <c r="K11034" s="4"/>
      <c r="L11034" s="33" t="str">
        <f>IFERROR(VLOOKUP($J11034,'Informations sur les produits'!$A$3:$H$10000,8,FALSE),"0")</f>
        <v>0</v>
      </c>
      <c r="N11034" s="8"/>
      <c r="O11034" s="33" t="str">
        <f>IFERROR(VLOOKUP($M11034,'Informations sur les produits'!$A$3:$H$10000,8,FALSE),"0")</f>
        <v>0</v>
      </c>
      <c r="P11034" s="33">
        <f t="shared" si="688"/>
        <v>0</v>
      </c>
      <c r="Q11034" s="31" t="str">
        <f t="shared" si="689"/>
        <v/>
      </c>
      <c r="R11034" s="32" t="str">
        <f>IFERROR(VLOOKUP($D11034,'Informations sur les produits'!$A$3:$B$15000,2,FALSE),"")</f>
        <v/>
      </c>
      <c r="V11034">
        <f t="shared" si="690"/>
        <v>0</v>
      </c>
      <c r="W11034">
        <f t="shared" si="691"/>
        <v>0</v>
      </c>
    </row>
    <row r="11035" spans="5:23" x14ac:dyDescent="0.25">
      <c r="E11035" s="4"/>
      <c r="F11035" s="4"/>
      <c r="G11035" s="33" t="str">
        <f>IFERROR(VLOOKUP($D11035,'Informations sur les produits'!$A$3:$H$10000,8,FALSE),"0")</f>
        <v>0</v>
      </c>
      <c r="K11035" s="4"/>
      <c r="L11035" s="33" t="str">
        <f>IFERROR(VLOOKUP($J11035,'Informations sur les produits'!$A$3:$H$10000,8,FALSE),"0")</f>
        <v>0</v>
      </c>
      <c r="N11035" s="8"/>
      <c r="O11035" s="33" t="str">
        <f>IFERROR(VLOOKUP($M11035,'Informations sur les produits'!$A$3:$H$10000,8,FALSE),"0")</f>
        <v>0</v>
      </c>
      <c r="P11035" s="33">
        <f t="shared" si="688"/>
        <v>0</v>
      </c>
      <c r="Q11035" s="31" t="str">
        <f t="shared" si="689"/>
        <v/>
      </c>
      <c r="R11035" s="32" t="str">
        <f>IFERROR(VLOOKUP($D11035,'Informations sur les produits'!$A$3:$B$15000,2,FALSE),"")</f>
        <v/>
      </c>
      <c r="V11035">
        <f t="shared" si="690"/>
        <v>0</v>
      </c>
      <c r="W11035">
        <f t="shared" si="691"/>
        <v>0</v>
      </c>
    </row>
    <row r="11036" spans="5:23" x14ac:dyDescent="0.25">
      <c r="E11036" s="4"/>
      <c r="F11036" s="4"/>
      <c r="G11036" s="33" t="str">
        <f>IFERROR(VLOOKUP($D11036,'Informations sur les produits'!$A$3:$H$10000,8,FALSE),"0")</f>
        <v>0</v>
      </c>
      <c r="K11036" s="4"/>
      <c r="L11036" s="33" t="str">
        <f>IFERROR(VLOOKUP($J11036,'Informations sur les produits'!$A$3:$H$10000,8,FALSE),"0")</f>
        <v>0</v>
      </c>
      <c r="N11036" s="8"/>
      <c r="O11036" s="33" t="str">
        <f>IFERROR(VLOOKUP($M11036,'Informations sur les produits'!$A$3:$H$10000,8,FALSE),"0")</f>
        <v>0</v>
      </c>
      <c r="P11036" s="33">
        <f t="shared" si="688"/>
        <v>0</v>
      </c>
      <c r="Q11036" s="31" t="str">
        <f t="shared" si="689"/>
        <v/>
      </c>
      <c r="R11036" s="32" t="str">
        <f>IFERROR(VLOOKUP($D11036,'Informations sur les produits'!$A$3:$B$15000,2,FALSE),"")</f>
        <v/>
      </c>
      <c r="V11036">
        <f t="shared" si="690"/>
        <v>0</v>
      </c>
      <c r="W11036">
        <f t="shared" si="691"/>
        <v>0</v>
      </c>
    </row>
    <row r="11037" spans="5:23" x14ac:dyDescent="0.25">
      <c r="E11037" s="4"/>
      <c r="F11037" s="4"/>
      <c r="G11037" s="33" t="str">
        <f>IFERROR(VLOOKUP($D11037,'Informations sur les produits'!$A$3:$H$10000,8,FALSE),"0")</f>
        <v>0</v>
      </c>
      <c r="K11037" s="4"/>
      <c r="L11037" s="33" t="str">
        <f>IFERROR(VLOOKUP($J11037,'Informations sur les produits'!$A$3:$H$10000,8,FALSE),"0")</f>
        <v>0</v>
      </c>
      <c r="N11037" s="8"/>
      <c r="O11037" s="33" t="str">
        <f>IFERROR(VLOOKUP($M11037,'Informations sur les produits'!$A$3:$H$10000,8,FALSE),"0")</f>
        <v>0</v>
      </c>
      <c r="P11037" s="33">
        <f t="shared" si="688"/>
        <v>0</v>
      </c>
      <c r="Q11037" s="31" t="str">
        <f t="shared" si="689"/>
        <v/>
      </c>
      <c r="R11037" s="32" t="str">
        <f>IFERROR(VLOOKUP($D11037,'Informations sur les produits'!$A$3:$B$15000,2,FALSE),"")</f>
        <v/>
      </c>
      <c r="V11037">
        <f t="shared" si="690"/>
        <v>0</v>
      </c>
      <c r="W11037">
        <f t="shared" si="691"/>
        <v>0</v>
      </c>
    </row>
    <row r="11038" spans="5:23" x14ac:dyDescent="0.25">
      <c r="E11038" s="4"/>
      <c r="F11038" s="4"/>
      <c r="G11038" s="33" t="str">
        <f>IFERROR(VLOOKUP($D11038,'Informations sur les produits'!$A$3:$H$10000,8,FALSE),"0")</f>
        <v>0</v>
      </c>
      <c r="K11038" s="4"/>
      <c r="L11038" s="33" t="str">
        <f>IFERROR(VLOOKUP($J11038,'Informations sur les produits'!$A$3:$H$10000,8,FALSE),"0")</f>
        <v>0</v>
      </c>
      <c r="N11038" s="8"/>
      <c r="O11038" s="33" t="str">
        <f>IFERROR(VLOOKUP($M11038,'Informations sur les produits'!$A$3:$H$10000,8,FALSE),"0")</f>
        <v>0</v>
      </c>
      <c r="P11038" s="33">
        <f t="shared" si="688"/>
        <v>0</v>
      </c>
      <c r="Q11038" s="31" t="str">
        <f t="shared" si="689"/>
        <v/>
      </c>
      <c r="R11038" s="32" t="str">
        <f>IFERROR(VLOOKUP($D11038,'Informations sur les produits'!$A$3:$B$15000,2,FALSE),"")</f>
        <v/>
      </c>
      <c r="V11038">
        <f t="shared" si="690"/>
        <v>0</v>
      </c>
      <c r="W11038">
        <f t="shared" si="691"/>
        <v>0</v>
      </c>
    </row>
    <row r="11039" spans="5:23" x14ac:dyDescent="0.25">
      <c r="E11039" s="4"/>
      <c r="F11039" s="4"/>
      <c r="G11039" s="33" t="str">
        <f>IFERROR(VLOOKUP($D11039,'Informations sur les produits'!$A$3:$H$10000,8,FALSE),"0")</f>
        <v>0</v>
      </c>
      <c r="K11039" s="4"/>
      <c r="L11039" s="33" t="str">
        <f>IFERROR(VLOOKUP($J11039,'Informations sur les produits'!$A$3:$H$10000,8,FALSE),"0")</f>
        <v>0</v>
      </c>
      <c r="N11039" s="8"/>
      <c r="O11039" s="33" t="str">
        <f>IFERROR(VLOOKUP($M11039,'Informations sur les produits'!$A$3:$H$10000,8,FALSE),"0")</f>
        <v>0</v>
      </c>
      <c r="P11039" s="33">
        <f t="shared" si="688"/>
        <v>0</v>
      </c>
      <c r="Q11039" s="31" t="str">
        <f t="shared" si="689"/>
        <v/>
      </c>
      <c r="R11039" s="32" t="str">
        <f>IFERROR(VLOOKUP($D11039,'Informations sur les produits'!$A$3:$B$15000,2,FALSE),"")</f>
        <v/>
      </c>
      <c r="V11039">
        <f t="shared" si="690"/>
        <v>0</v>
      </c>
      <c r="W11039">
        <f t="shared" si="691"/>
        <v>0</v>
      </c>
    </row>
    <row r="11040" spans="5:23" x14ac:dyDescent="0.25">
      <c r="E11040" s="4"/>
      <c r="F11040" s="4"/>
      <c r="G11040" s="33" t="str">
        <f>IFERROR(VLOOKUP($D11040,'Informations sur les produits'!$A$3:$H$10000,8,FALSE),"0")</f>
        <v>0</v>
      </c>
      <c r="K11040" s="4"/>
      <c r="L11040" s="33" t="str">
        <f>IFERROR(VLOOKUP($J11040,'Informations sur les produits'!$A$3:$H$10000,8,FALSE),"0")</f>
        <v>0</v>
      </c>
      <c r="N11040" s="8"/>
      <c r="O11040" s="33" t="str">
        <f>IFERROR(VLOOKUP($M11040,'Informations sur les produits'!$A$3:$H$10000,8,FALSE),"0")</f>
        <v>0</v>
      </c>
      <c r="P11040" s="33">
        <f t="shared" si="688"/>
        <v>0</v>
      </c>
      <c r="Q11040" s="31" t="str">
        <f t="shared" si="689"/>
        <v/>
      </c>
      <c r="R11040" s="32" t="str">
        <f>IFERROR(VLOOKUP($D11040,'Informations sur les produits'!$A$3:$B$15000,2,FALSE),"")</f>
        <v/>
      </c>
      <c r="V11040">
        <f t="shared" si="690"/>
        <v>0</v>
      </c>
      <c r="W11040">
        <f t="shared" si="691"/>
        <v>0</v>
      </c>
    </row>
    <row r="11041" spans="5:23" x14ac:dyDescent="0.25">
      <c r="E11041" s="4"/>
      <c r="F11041" s="4"/>
      <c r="G11041" s="33" t="str">
        <f>IFERROR(VLOOKUP($D11041,'Informations sur les produits'!$A$3:$H$10000,8,FALSE),"0")</f>
        <v>0</v>
      </c>
      <c r="K11041" s="4"/>
      <c r="L11041" s="33" t="str">
        <f>IFERROR(VLOOKUP($J11041,'Informations sur les produits'!$A$3:$H$10000,8,FALSE),"0")</f>
        <v>0</v>
      </c>
      <c r="N11041" s="8"/>
      <c r="O11041" s="33" t="str">
        <f>IFERROR(VLOOKUP($M11041,'Informations sur les produits'!$A$3:$H$10000,8,FALSE),"0")</f>
        <v>0</v>
      </c>
      <c r="P11041" s="33">
        <f t="shared" si="688"/>
        <v>0</v>
      </c>
      <c r="Q11041" s="31" t="str">
        <f t="shared" si="689"/>
        <v/>
      </c>
      <c r="R11041" s="32" t="str">
        <f>IFERROR(VLOOKUP($D11041,'Informations sur les produits'!$A$3:$B$15000,2,FALSE),"")</f>
        <v/>
      </c>
      <c r="V11041">
        <f t="shared" si="690"/>
        <v>0</v>
      </c>
      <c r="W11041">
        <f t="shared" si="691"/>
        <v>0</v>
      </c>
    </row>
    <row r="11042" spans="5:23" x14ac:dyDescent="0.25">
      <c r="E11042" s="4"/>
      <c r="F11042" s="4"/>
      <c r="G11042" s="33" t="str">
        <f>IFERROR(VLOOKUP($D11042,'Informations sur les produits'!$A$3:$H$10000,8,FALSE),"0")</f>
        <v>0</v>
      </c>
      <c r="K11042" s="4"/>
      <c r="L11042" s="33" t="str">
        <f>IFERROR(VLOOKUP($J11042,'Informations sur les produits'!$A$3:$H$10000,8,FALSE),"0")</f>
        <v>0</v>
      </c>
      <c r="N11042" s="8"/>
      <c r="O11042" s="33" t="str">
        <f>IFERROR(VLOOKUP($M11042,'Informations sur les produits'!$A$3:$H$10000,8,FALSE),"0")</f>
        <v>0</v>
      </c>
      <c r="P11042" s="33">
        <f t="shared" si="688"/>
        <v>0</v>
      </c>
      <c r="Q11042" s="31" t="str">
        <f t="shared" si="689"/>
        <v/>
      </c>
      <c r="R11042" s="32" t="str">
        <f>IFERROR(VLOOKUP($D11042,'Informations sur les produits'!$A$3:$B$15000,2,FALSE),"")</f>
        <v/>
      </c>
      <c r="V11042">
        <f t="shared" si="690"/>
        <v>0</v>
      </c>
      <c r="W11042">
        <f t="shared" si="691"/>
        <v>0</v>
      </c>
    </row>
    <row r="11043" spans="5:23" x14ac:dyDescent="0.25">
      <c r="E11043" s="4"/>
      <c r="F11043" s="4"/>
      <c r="G11043" s="33" t="str">
        <f>IFERROR(VLOOKUP($D11043,'Informations sur les produits'!$A$3:$H$10000,8,FALSE),"0")</f>
        <v>0</v>
      </c>
      <c r="K11043" s="4"/>
      <c r="L11043" s="33" t="str">
        <f>IFERROR(VLOOKUP($J11043,'Informations sur les produits'!$A$3:$H$10000,8,FALSE),"0")</f>
        <v>0</v>
      </c>
      <c r="N11043" s="8"/>
      <c r="O11043" s="33" t="str">
        <f>IFERROR(VLOOKUP($M11043,'Informations sur les produits'!$A$3:$H$10000,8,FALSE),"0")</f>
        <v>0</v>
      </c>
      <c r="P11043" s="33">
        <f t="shared" si="688"/>
        <v>0</v>
      </c>
      <c r="Q11043" s="31" t="str">
        <f t="shared" si="689"/>
        <v/>
      </c>
      <c r="R11043" s="32" t="str">
        <f>IFERROR(VLOOKUP($D11043,'Informations sur les produits'!$A$3:$B$15000,2,FALSE),"")</f>
        <v/>
      </c>
      <c r="V11043">
        <f t="shared" si="690"/>
        <v>0</v>
      </c>
      <c r="W11043">
        <f t="shared" si="691"/>
        <v>0</v>
      </c>
    </row>
    <row r="11044" spans="5:23" x14ac:dyDescent="0.25">
      <c r="E11044" s="4"/>
      <c r="F11044" s="4"/>
      <c r="G11044" s="33" t="str">
        <f>IFERROR(VLOOKUP($D11044,'Informations sur les produits'!$A$3:$H$10000,8,FALSE),"0")</f>
        <v>0</v>
      </c>
      <c r="K11044" s="4"/>
      <c r="L11044" s="33" t="str">
        <f>IFERROR(VLOOKUP($J11044,'Informations sur les produits'!$A$3:$H$10000,8,FALSE),"0")</f>
        <v>0</v>
      </c>
      <c r="N11044" s="8"/>
      <c r="O11044" s="33" t="str">
        <f>IFERROR(VLOOKUP($M11044,'Informations sur les produits'!$A$3:$H$10000,8,FALSE),"0")</f>
        <v>0</v>
      </c>
      <c r="P11044" s="33">
        <f t="shared" si="688"/>
        <v>0</v>
      </c>
      <c r="Q11044" s="31" t="str">
        <f t="shared" si="689"/>
        <v/>
      </c>
      <c r="R11044" s="32" t="str">
        <f>IFERROR(VLOOKUP($D11044,'Informations sur les produits'!$A$3:$B$15000,2,FALSE),"")</f>
        <v/>
      </c>
      <c r="V11044">
        <f t="shared" si="690"/>
        <v>0</v>
      </c>
      <c r="W11044">
        <f t="shared" si="691"/>
        <v>0</v>
      </c>
    </row>
    <row r="11045" spans="5:23" x14ac:dyDescent="0.25">
      <c r="E11045" s="4"/>
      <c r="F11045" s="4"/>
      <c r="G11045" s="33" t="str">
        <f>IFERROR(VLOOKUP($D11045,'Informations sur les produits'!$A$3:$H$10000,8,FALSE),"0")</f>
        <v>0</v>
      </c>
      <c r="K11045" s="4"/>
      <c r="L11045" s="33" t="str">
        <f>IFERROR(VLOOKUP($J11045,'Informations sur les produits'!$A$3:$H$10000,8,FALSE),"0")</f>
        <v>0</v>
      </c>
      <c r="N11045" s="8"/>
      <c r="O11045" s="33" t="str">
        <f>IFERROR(VLOOKUP($M11045,'Informations sur les produits'!$A$3:$H$10000,8,FALSE),"0")</f>
        <v>0</v>
      </c>
      <c r="P11045" s="33">
        <f t="shared" si="688"/>
        <v>0</v>
      </c>
      <c r="Q11045" s="31" t="str">
        <f t="shared" si="689"/>
        <v/>
      </c>
      <c r="R11045" s="32" t="str">
        <f>IFERROR(VLOOKUP($D11045,'Informations sur les produits'!$A$3:$B$15000,2,FALSE),"")</f>
        <v/>
      </c>
      <c r="V11045">
        <f t="shared" si="690"/>
        <v>0</v>
      </c>
      <c r="W11045">
        <f t="shared" si="691"/>
        <v>0</v>
      </c>
    </row>
    <row r="11046" spans="5:23" x14ac:dyDescent="0.25">
      <c r="E11046" s="4"/>
      <c r="F11046" s="4"/>
      <c r="G11046" s="33" t="str">
        <f>IFERROR(VLOOKUP($D11046,'Informations sur les produits'!$A$3:$H$10000,8,FALSE),"0")</f>
        <v>0</v>
      </c>
      <c r="K11046" s="4"/>
      <c r="L11046" s="33" t="str">
        <f>IFERROR(VLOOKUP($J11046,'Informations sur les produits'!$A$3:$H$10000,8,FALSE),"0")</f>
        <v>0</v>
      </c>
      <c r="N11046" s="8"/>
      <c r="O11046" s="33" t="str">
        <f>IFERROR(VLOOKUP($M11046,'Informations sur les produits'!$A$3:$H$10000,8,FALSE),"0")</f>
        <v>0</v>
      </c>
      <c r="P11046" s="33">
        <f t="shared" si="688"/>
        <v>0</v>
      </c>
      <c r="Q11046" s="31" t="str">
        <f t="shared" si="689"/>
        <v/>
      </c>
      <c r="R11046" s="32" t="str">
        <f>IFERROR(VLOOKUP($D11046,'Informations sur les produits'!$A$3:$B$15000,2,FALSE),"")</f>
        <v/>
      </c>
      <c r="V11046">
        <f t="shared" si="690"/>
        <v>0</v>
      </c>
      <c r="W11046">
        <f t="shared" si="691"/>
        <v>0</v>
      </c>
    </row>
    <row r="11047" spans="5:23" x14ac:dyDescent="0.25">
      <c r="E11047" s="4"/>
      <c r="F11047" s="4"/>
      <c r="G11047" s="33" t="str">
        <f>IFERROR(VLOOKUP($D11047,'Informations sur les produits'!$A$3:$H$10000,8,FALSE),"0")</f>
        <v>0</v>
      </c>
      <c r="K11047" s="4"/>
      <c r="L11047" s="33" t="str">
        <f>IFERROR(VLOOKUP($J11047,'Informations sur les produits'!$A$3:$H$10000,8,FALSE),"0")</f>
        <v>0</v>
      </c>
      <c r="N11047" s="8"/>
      <c r="O11047" s="33" t="str">
        <f>IFERROR(VLOOKUP($M11047,'Informations sur les produits'!$A$3:$H$10000,8,FALSE),"0")</f>
        <v>0</v>
      </c>
      <c r="P11047" s="33">
        <f t="shared" si="688"/>
        <v>0</v>
      </c>
      <c r="Q11047" s="31" t="str">
        <f t="shared" si="689"/>
        <v/>
      </c>
      <c r="R11047" s="32" t="str">
        <f>IFERROR(VLOOKUP($D11047,'Informations sur les produits'!$A$3:$B$15000,2,FALSE),"")</f>
        <v/>
      </c>
      <c r="V11047">
        <f t="shared" si="690"/>
        <v>0</v>
      </c>
      <c r="W11047">
        <f t="shared" si="691"/>
        <v>0</v>
      </c>
    </row>
    <row r="11048" spans="5:23" x14ac:dyDescent="0.25">
      <c r="E11048" s="4"/>
      <c r="F11048" s="4"/>
      <c r="G11048" s="33" t="str">
        <f>IFERROR(VLOOKUP($D11048,'Informations sur les produits'!$A$3:$H$10000,8,FALSE),"0")</f>
        <v>0</v>
      </c>
      <c r="K11048" s="4"/>
      <c r="L11048" s="33" t="str">
        <f>IFERROR(VLOOKUP($J11048,'Informations sur les produits'!$A$3:$H$10000,8,FALSE),"0")</f>
        <v>0</v>
      </c>
      <c r="N11048" s="8"/>
      <c r="O11048" s="33" t="str">
        <f>IFERROR(VLOOKUP($M11048,'Informations sur les produits'!$A$3:$H$10000,8,FALSE),"0")</f>
        <v>0</v>
      </c>
      <c r="P11048" s="33">
        <f t="shared" si="688"/>
        <v>0</v>
      </c>
      <c r="Q11048" s="31" t="str">
        <f t="shared" si="689"/>
        <v/>
      </c>
      <c r="R11048" s="32" t="str">
        <f>IFERROR(VLOOKUP($D11048,'Informations sur les produits'!$A$3:$B$15000,2,FALSE),"")</f>
        <v/>
      </c>
      <c r="V11048">
        <f t="shared" si="690"/>
        <v>0</v>
      </c>
      <c r="W11048">
        <f t="shared" si="691"/>
        <v>0</v>
      </c>
    </row>
    <row r="11049" spans="5:23" x14ac:dyDescent="0.25">
      <c r="E11049" s="4"/>
      <c r="F11049" s="4"/>
      <c r="G11049" s="33" t="str">
        <f>IFERROR(VLOOKUP($D11049,'Informations sur les produits'!$A$3:$H$10000,8,FALSE),"0")</f>
        <v>0</v>
      </c>
      <c r="K11049" s="4"/>
      <c r="L11049" s="33" t="str">
        <f>IFERROR(VLOOKUP($J11049,'Informations sur les produits'!$A$3:$H$10000,8,FALSE),"0")</f>
        <v>0</v>
      </c>
      <c r="N11049" s="8"/>
      <c r="O11049" s="33" t="str">
        <f>IFERROR(VLOOKUP($M11049,'Informations sur les produits'!$A$3:$H$10000,8,FALSE),"0")</f>
        <v>0</v>
      </c>
      <c r="P11049" s="33">
        <f t="shared" si="688"/>
        <v>0</v>
      </c>
      <c r="Q11049" s="31" t="str">
        <f t="shared" si="689"/>
        <v/>
      </c>
      <c r="R11049" s="32" t="str">
        <f>IFERROR(VLOOKUP($D11049,'Informations sur les produits'!$A$3:$B$15000,2,FALSE),"")</f>
        <v/>
      </c>
      <c r="V11049">
        <f t="shared" si="690"/>
        <v>0</v>
      </c>
      <c r="W11049">
        <f t="shared" si="691"/>
        <v>0</v>
      </c>
    </row>
    <row r="11050" spans="5:23" x14ac:dyDescent="0.25">
      <c r="E11050" s="4"/>
      <c r="F11050" s="4"/>
      <c r="G11050" s="33" t="str">
        <f>IFERROR(VLOOKUP($D11050,'Informations sur les produits'!$A$3:$H$10000,8,FALSE),"0")</f>
        <v>0</v>
      </c>
      <c r="K11050" s="4"/>
      <c r="L11050" s="33" t="str">
        <f>IFERROR(VLOOKUP($J11050,'Informations sur les produits'!$A$3:$H$10000,8,FALSE),"0")</f>
        <v>0</v>
      </c>
      <c r="N11050" s="8"/>
      <c r="O11050" s="33" t="str">
        <f>IFERROR(VLOOKUP($M11050,'Informations sur les produits'!$A$3:$H$10000,8,FALSE),"0")</f>
        <v>0</v>
      </c>
      <c r="P11050" s="33">
        <f t="shared" si="688"/>
        <v>0</v>
      </c>
      <c r="Q11050" s="31" t="str">
        <f t="shared" si="689"/>
        <v/>
      </c>
      <c r="R11050" s="32" t="str">
        <f>IFERROR(VLOOKUP($D11050,'Informations sur les produits'!$A$3:$B$15000,2,FALSE),"")</f>
        <v/>
      </c>
      <c r="V11050">
        <f t="shared" si="690"/>
        <v>0</v>
      </c>
      <c r="W11050">
        <f t="shared" si="691"/>
        <v>0</v>
      </c>
    </row>
    <row r="11051" spans="5:23" x14ac:dyDescent="0.25">
      <c r="E11051" s="4"/>
      <c r="F11051" s="4"/>
      <c r="G11051" s="33" t="str">
        <f>IFERROR(VLOOKUP($D11051,'Informations sur les produits'!$A$3:$H$10000,8,FALSE),"0")</f>
        <v>0</v>
      </c>
      <c r="K11051" s="4"/>
      <c r="L11051" s="33" t="str">
        <f>IFERROR(VLOOKUP($J11051,'Informations sur les produits'!$A$3:$H$10000,8,FALSE),"0")</f>
        <v>0</v>
      </c>
      <c r="N11051" s="8"/>
      <c r="O11051" s="33" t="str">
        <f>IFERROR(VLOOKUP($M11051,'Informations sur les produits'!$A$3:$H$10000,8,FALSE),"0")</f>
        <v>0</v>
      </c>
      <c r="P11051" s="33">
        <f t="shared" si="688"/>
        <v>0</v>
      </c>
      <c r="Q11051" s="31" t="str">
        <f t="shared" si="689"/>
        <v/>
      </c>
      <c r="R11051" s="32" t="str">
        <f>IFERROR(VLOOKUP($D11051,'Informations sur les produits'!$A$3:$B$15000,2,FALSE),"")</f>
        <v/>
      </c>
      <c r="V11051">
        <f t="shared" si="690"/>
        <v>0</v>
      </c>
      <c r="W11051">
        <f t="shared" si="691"/>
        <v>0</v>
      </c>
    </row>
    <row r="11052" spans="5:23" x14ac:dyDescent="0.25">
      <c r="E11052" s="4"/>
      <c r="F11052" s="4"/>
      <c r="G11052" s="33" t="str">
        <f>IFERROR(VLOOKUP($D11052,'Informations sur les produits'!$A$3:$H$10000,8,FALSE),"0")</f>
        <v>0</v>
      </c>
      <c r="K11052" s="4"/>
      <c r="L11052" s="33" t="str">
        <f>IFERROR(VLOOKUP($J11052,'Informations sur les produits'!$A$3:$H$10000,8,FALSE),"0")</f>
        <v>0</v>
      </c>
      <c r="N11052" s="8"/>
      <c r="O11052" s="33" t="str">
        <f>IFERROR(VLOOKUP($M11052,'Informations sur les produits'!$A$3:$H$10000,8,FALSE),"0")</f>
        <v>0</v>
      </c>
      <c r="P11052" s="33">
        <f t="shared" si="688"/>
        <v>0</v>
      </c>
      <c r="Q11052" s="31" t="str">
        <f t="shared" si="689"/>
        <v/>
      </c>
      <c r="R11052" s="32" t="str">
        <f>IFERROR(VLOOKUP($D11052,'Informations sur les produits'!$A$3:$B$15000,2,FALSE),"")</f>
        <v/>
      </c>
      <c r="V11052">
        <f t="shared" si="690"/>
        <v>0</v>
      </c>
      <c r="W11052">
        <f t="shared" si="691"/>
        <v>0</v>
      </c>
    </row>
    <row r="11053" spans="5:23" x14ac:dyDescent="0.25">
      <c r="E11053" s="4"/>
      <c r="F11053" s="4"/>
      <c r="G11053" s="33" t="str">
        <f>IFERROR(VLOOKUP($D11053,'Informations sur les produits'!$A$3:$H$10000,8,FALSE),"0")</f>
        <v>0</v>
      </c>
      <c r="K11053" s="4"/>
      <c r="L11053" s="33" t="str">
        <f>IFERROR(VLOOKUP($J11053,'Informations sur les produits'!$A$3:$H$10000,8,FALSE),"0")</f>
        <v>0</v>
      </c>
      <c r="N11053" s="8"/>
      <c r="O11053" s="33" t="str">
        <f>IFERROR(VLOOKUP($M11053,'Informations sur les produits'!$A$3:$H$10000,8,FALSE),"0")</f>
        <v>0</v>
      </c>
      <c r="P11053" s="33">
        <f t="shared" si="688"/>
        <v>0</v>
      </c>
      <c r="Q11053" s="31" t="str">
        <f t="shared" si="689"/>
        <v/>
      </c>
      <c r="R11053" s="32" t="str">
        <f>IFERROR(VLOOKUP($D11053,'Informations sur les produits'!$A$3:$B$15000,2,FALSE),"")</f>
        <v/>
      </c>
      <c r="V11053">
        <f t="shared" si="690"/>
        <v>0</v>
      </c>
      <c r="W11053">
        <f t="shared" si="691"/>
        <v>0</v>
      </c>
    </row>
    <row r="11054" spans="5:23" x14ac:dyDescent="0.25">
      <c r="E11054" s="4"/>
      <c r="F11054" s="4"/>
      <c r="G11054" s="33" t="str">
        <f>IFERROR(VLOOKUP($D11054,'Informations sur les produits'!$A$3:$H$10000,8,FALSE),"0")</f>
        <v>0</v>
      </c>
      <c r="K11054" s="4"/>
      <c r="L11054" s="33" t="str">
        <f>IFERROR(VLOOKUP($J11054,'Informations sur les produits'!$A$3:$H$10000,8,FALSE),"0")</f>
        <v>0</v>
      </c>
      <c r="N11054" s="8"/>
      <c r="O11054" s="33" t="str">
        <f>IFERROR(VLOOKUP($M11054,'Informations sur les produits'!$A$3:$H$10000,8,FALSE),"0")</f>
        <v>0</v>
      </c>
      <c r="P11054" s="33">
        <f t="shared" si="688"/>
        <v>0</v>
      </c>
      <c r="Q11054" s="31" t="str">
        <f t="shared" si="689"/>
        <v/>
      </c>
      <c r="R11054" s="32" t="str">
        <f>IFERROR(VLOOKUP($D11054,'Informations sur les produits'!$A$3:$B$15000,2,FALSE),"")</f>
        <v/>
      </c>
      <c r="V11054">
        <f t="shared" si="690"/>
        <v>0</v>
      </c>
      <c r="W11054">
        <f t="shared" si="691"/>
        <v>0</v>
      </c>
    </row>
    <row r="11055" spans="5:23" x14ac:dyDescent="0.25">
      <c r="E11055" s="4"/>
      <c r="F11055" s="4"/>
      <c r="G11055" s="33" t="str">
        <f>IFERROR(VLOOKUP($D11055,'Informations sur les produits'!$A$3:$H$10000,8,FALSE),"0")</f>
        <v>0</v>
      </c>
      <c r="K11055" s="4"/>
      <c r="L11055" s="33" t="str">
        <f>IFERROR(VLOOKUP($J11055,'Informations sur les produits'!$A$3:$H$10000,8,FALSE),"0")</f>
        <v>0</v>
      </c>
      <c r="N11055" s="8"/>
      <c r="O11055" s="33" t="str">
        <f>IFERROR(VLOOKUP($M11055,'Informations sur les produits'!$A$3:$H$10000,8,FALSE),"0")</f>
        <v>0</v>
      </c>
      <c r="P11055" s="33">
        <f t="shared" si="688"/>
        <v>0</v>
      </c>
      <c r="Q11055" s="31" t="str">
        <f t="shared" si="689"/>
        <v/>
      </c>
      <c r="R11055" s="32" t="str">
        <f>IFERROR(VLOOKUP($D11055,'Informations sur les produits'!$A$3:$B$15000,2,FALSE),"")</f>
        <v/>
      </c>
      <c r="V11055">
        <f t="shared" si="690"/>
        <v>0</v>
      </c>
      <c r="W11055">
        <f t="shared" si="691"/>
        <v>0</v>
      </c>
    </row>
    <row r="11056" spans="5:23" x14ac:dyDescent="0.25">
      <c r="E11056" s="4"/>
      <c r="F11056" s="4"/>
      <c r="G11056" s="33" t="str">
        <f>IFERROR(VLOOKUP($D11056,'Informations sur les produits'!$A$3:$H$10000,8,FALSE),"0")</f>
        <v>0</v>
      </c>
      <c r="K11056" s="4"/>
      <c r="L11056" s="33" t="str">
        <f>IFERROR(VLOOKUP($J11056,'Informations sur les produits'!$A$3:$H$10000,8,FALSE),"0")</f>
        <v>0</v>
      </c>
      <c r="N11056" s="8"/>
      <c r="O11056" s="33" t="str">
        <f>IFERROR(VLOOKUP($M11056,'Informations sur les produits'!$A$3:$H$10000,8,FALSE),"0")</f>
        <v>0</v>
      </c>
      <c r="P11056" s="33">
        <f t="shared" si="688"/>
        <v>0</v>
      </c>
      <c r="Q11056" s="31" t="str">
        <f t="shared" si="689"/>
        <v/>
      </c>
      <c r="R11056" s="32" t="str">
        <f>IFERROR(VLOOKUP($D11056,'Informations sur les produits'!$A$3:$B$15000,2,FALSE),"")</f>
        <v/>
      </c>
      <c r="V11056">
        <f t="shared" si="690"/>
        <v>0</v>
      </c>
      <c r="W11056">
        <f t="shared" si="691"/>
        <v>0</v>
      </c>
    </row>
    <row r="11057" spans="5:23" x14ac:dyDescent="0.25">
      <c r="E11057" s="4"/>
      <c r="F11057" s="4"/>
      <c r="G11057" s="33" t="str">
        <f>IFERROR(VLOOKUP($D11057,'Informations sur les produits'!$A$3:$H$10000,8,FALSE),"0")</f>
        <v>0</v>
      </c>
      <c r="K11057" s="4"/>
      <c r="L11057" s="33" t="str">
        <f>IFERROR(VLOOKUP($J11057,'Informations sur les produits'!$A$3:$H$10000,8,FALSE),"0")</f>
        <v>0</v>
      </c>
      <c r="N11057" s="8"/>
      <c r="O11057" s="33" t="str">
        <f>IFERROR(VLOOKUP($M11057,'Informations sur les produits'!$A$3:$H$10000,8,FALSE),"0")</f>
        <v>0</v>
      </c>
      <c r="P11057" s="33">
        <f t="shared" si="688"/>
        <v>0</v>
      </c>
      <c r="Q11057" s="31" t="str">
        <f t="shared" si="689"/>
        <v/>
      </c>
      <c r="R11057" s="32" t="str">
        <f>IFERROR(VLOOKUP($D11057,'Informations sur les produits'!$A$3:$B$15000,2,FALSE),"")</f>
        <v/>
      </c>
      <c r="V11057">
        <f t="shared" si="690"/>
        <v>0</v>
      </c>
      <c r="W11057">
        <f t="shared" si="691"/>
        <v>0</v>
      </c>
    </row>
    <row r="11058" spans="5:23" x14ac:dyDescent="0.25">
      <c r="E11058" s="4"/>
      <c r="F11058" s="4"/>
      <c r="G11058" s="33" t="str">
        <f>IFERROR(VLOOKUP($D11058,'Informations sur les produits'!$A$3:$H$10000,8,FALSE),"0")</f>
        <v>0</v>
      </c>
      <c r="K11058" s="4"/>
      <c r="L11058" s="33" t="str">
        <f>IFERROR(VLOOKUP($J11058,'Informations sur les produits'!$A$3:$H$10000,8,FALSE),"0")</f>
        <v>0</v>
      </c>
      <c r="N11058" s="8"/>
      <c r="O11058" s="33" t="str">
        <f>IFERROR(VLOOKUP($M11058,'Informations sur les produits'!$A$3:$H$10000,8,FALSE),"0")</f>
        <v>0</v>
      </c>
      <c r="P11058" s="33">
        <f t="shared" si="688"/>
        <v>0</v>
      </c>
      <c r="Q11058" s="31" t="str">
        <f t="shared" si="689"/>
        <v/>
      </c>
      <c r="R11058" s="32" t="str">
        <f>IFERROR(VLOOKUP($D11058,'Informations sur les produits'!$A$3:$B$15000,2,FALSE),"")</f>
        <v/>
      </c>
      <c r="V11058">
        <f t="shared" si="690"/>
        <v>0</v>
      </c>
      <c r="W11058">
        <f t="shared" si="691"/>
        <v>0</v>
      </c>
    </row>
    <row r="11059" spans="5:23" x14ac:dyDescent="0.25">
      <c r="E11059" s="4"/>
      <c r="F11059" s="4"/>
      <c r="G11059" s="33" t="str">
        <f>IFERROR(VLOOKUP($D11059,'Informations sur les produits'!$A$3:$H$10000,8,FALSE),"0")</f>
        <v>0</v>
      </c>
      <c r="K11059" s="4"/>
      <c r="L11059" s="33" t="str">
        <f>IFERROR(VLOOKUP($J11059,'Informations sur les produits'!$A$3:$H$10000,8,FALSE),"0")</f>
        <v>0</v>
      </c>
      <c r="N11059" s="8"/>
      <c r="O11059" s="33" t="str">
        <f>IFERROR(VLOOKUP($M11059,'Informations sur les produits'!$A$3:$H$10000,8,FALSE),"0")</f>
        <v>0</v>
      </c>
      <c r="P11059" s="33">
        <f t="shared" si="688"/>
        <v>0</v>
      </c>
      <c r="Q11059" s="31" t="str">
        <f t="shared" si="689"/>
        <v/>
      </c>
      <c r="R11059" s="32" t="str">
        <f>IFERROR(VLOOKUP($D11059,'Informations sur les produits'!$A$3:$B$15000,2,FALSE),"")</f>
        <v/>
      </c>
      <c r="V11059">
        <f t="shared" si="690"/>
        <v>0</v>
      </c>
      <c r="W11059">
        <f t="shared" si="691"/>
        <v>0</v>
      </c>
    </row>
    <row r="11060" spans="5:23" x14ac:dyDescent="0.25">
      <c r="E11060" s="4"/>
      <c r="F11060" s="4"/>
      <c r="G11060" s="33" t="str">
        <f>IFERROR(VLOOKUP($D11060,'Informations sur les produits'!$A$3:$H$10000,8,FALSE),"0")</f>
        <v>0</v>
      </c>
      <c r="K11060" s="4"/>
      <c r="L11060" s="33" t="str">
        <f>IFERROR(VLOOKUP($J11060,'Informations sur les produits'!$A$3:$H$10000,8,FALSE),"0")</f>
        <v>0</v>
      </c>
      <c r="N11060" s="8"/>
      <c r="O11060" s="33" t="str">
        <f>IFERROR(VLOOKUP($M11060,'Informations sur les produits'!$A$3:$H$10000,8,FALSE),"0")</f>
        <v>0</v>
      </c>
      <c r="P11060" s="33">
        <f t="shared" si="688"/>
        <v>0</v>
      </c>
      <c r="Q11060" s="31" t="str">
        <f t="shared" si="689"/>
        <v/>
      </c>
      <c r="R11060" s="32" t="str">
        <f>IFERROR(VLOOKUP($D11060,'Informations sur les produits'!$A$3:$B$15000,2,FALSE),"")</f>
        <v/>
      </c>
      <c r="V11060">
        <f t="shared" si="690"/>
        <v>0</v>
      </c>
      <c r="W11060">
        <f t="shared" si="691"/>
        <v>0</v>
      </c>
    </row>
    <row r="11061" spans="5:23" x14ac:dyDescent="0.25">
      <c r="E11061" s="4"/>
      <c r="F11061" s="4"/>
      <c r="G11061" s="33" t="str">
        <f>IFERROR(VLOOKUP($D11061,'Informations sur les produits'!$A$3:$H$10000,8,FALSE),"0")</f>
        <v>0</v>
      </c>
      <c r="K11061" s="4"/>
      <c r="L11061" s="33" t="str">
        <f>IFERROR(VLOOKUP($J11061,'Informations sur les produits'!$A$3:$H$10000,8,FALSE),"0")</f>
        <v>0</v>
      </c>
      <c r="N11061" s="8"/>
      <c r="O11061" s="33" t="str">
        <f>IFERROR(VLOOKUP($M11061,'Informations sur les produits'!$A$3:$H$10000,8,FALSE),"0")</f>
        <v>0</v>
      </c>
      <c r="P11061" s="33">
        <f t="shared" si="688"/>
        <v>0</v>
      </c>
      <c r="Q11061" s="31" t="str">
        <f t="shared" si="689"/>
        <v/>
      </c>
      <c r="R11061" s="32" t="str">
        <f>IFERROR(VLOOKUP($D11061,'Informations sur les produits'!$A$3:$B$15000,2,FALSE),"")</f>
        <v/>
      </c>
      <c r="V11061">
        <f t="shared" si="690"/>
        <v>0</v>
      </c>
      <c r="W11061">
        <f t="shared" si="691"/>
        <v>0</v>
      </c>
    </row>
    <row r="11062" spans="5:23" x14ac:dyDescent="0.25">
      <c r="E11062" s="4"/>
      <c r="F11062" s="4"/>
      <c r="G11062" s="33" t="str">
        <f>IFERROR(VLOOKUP($D11062,'Informations sur les produits'!$A$3:$H$10000,8,FALSE),"0")</f>
        <v>0</v>
      </c>
      <c r="K11062" s="4"/>
      <c r="L11062" s="33" t="str">
        <f>IFERROR(VLOOKUP($J11062,'Informations sur les produits'!$A$3:$H$10000,8,FALSE),"0")</f>
        <v>0</v>
      </c>
      <c r="N11062" s="8"/>
      <c r="O11062" s="33" t="str">
        <f>IFERROR(VLOOKUP($M11062,'Informations sur les produits'!$A$3:$H$10000,8,FALSE),"0")</f>
        <v>0</v>
      </c>
      <c r="P11062" s="33">
        <f t="shared" si="688"/>
        <v>0</v>
      </c>
      <c r="Q11062" s="31" t="str">
        <f t="shared" si="689"/>
        <v/>
      </c>
      <c r="R11062" s="32" t="str">
        <f>IFERROR(VLOOKUP($D11062,'Informations sur les produits'!$A$3:$B$15000,2,FALSE),"")</f>
        <v/>
      </c>
      <c r="V11062">
        <f t="shared" si="690"/>
        <v>0</v>
      </c>
      <c r="W11062">
        <f t="shared" si="691"/>
        <v>0</v>
      </c>
    </row>
    <row r="11063" spans="5:23" x14ac:dyDescent="0.25">
      <c r="E11063" s="4"/>
      <c r="F11063" s="4"/>
      <c r="G11063" s="33" t="str">
        <f>IFERROR(VLOOKUP($D11063,'Informations sur les produits'!$A$3:$H$10000,8,FALSE),"0")</f>
        <v>0</v>
      </c>
      <c r="K11063" s="4"/>
      <c r="L11063" s="33" t="str">
        <f>IFERROR(VLOOKUP($J11063,'Informations sur les produits'!$A$3:$H$10000,8,FALSE),"0")</f>
        <v>0</v>
      </c>
      <c r="N11063" s="8"/>
      <c r="O11063" s="33" t="str">
        <f>IFERROR(VLOOKUP($M11063,'Informations sur les produits'!$A$3:$H$10000,8,FALSE),"0")</f>
        <v>0</v>
      </c>
      <c r="P11063" s="33">
        <f t="shared" si="688"/>
        <v>0</v>
      </c>
      <c r="Q11063" s="31" t="str">
        <f t="shared" si="689"/>
        <v/>
      </c>
      <c r="R11063" s="32" t="str">
        <f>IFERROR(VLOOKUP($D11063,'Informations sur les produits'!$A$3:$B$15000,2,FALSE),"")</f>
        <v/>
      </c>
      <c r="V11063">
        <f t="shared" si="690"/>
        <v>0</v>
      </c>
      <c r="W11063">
        <f t="shared" si="691"/>
        <v>0</v>
      </c>
    </row>
    <row r="11064" spans="5:23" x14ac:dyDescent="0.25">
      <c r="E11064" s="4"/>
      <c r="F11064" s="4"/>
      <c r="G11064" s="33" t="str">
        <f>IFERROR(VLOOKUP($D11064,'Informations sur les produits'!$A$3:$H$10000,8,FALSE),"0")</f>
        <v>0</v>
      </c>
      <c r="K11064" s="4"/>
      <c r="L11064" s="33" t="str">
        <f>IFERROR(VLOOKUP($J11064,'Informations sur les produits'!$A$3:$H$10000,8,FALSE),"0")</f>
        <v>0</v>
      </c>
      <c r="N11064" s="8"/>
      <c r="O11064" s="33" t="str">
        <f>IFERROR(VLOOKUP($M11064,'Informations sur les produits'!$A$3:$H$10000,8,FALSE),"0")</f>
        <v>0</v>
      </c>
      <c r="P11064" s="33">
        <f t="shared" si="688"/>
        <v>0</v>
      </c>
      <c r="Q11064" s="31" t="str">
        <f t="shared" si="689"/>
        <v/>
      </c>
      <c r="R11064" s="32" t="str">
        <f>IFERROR(VLOOKUP($D11064,'Informations sur les produits'!$A$3:$B$15000,2,FALSE),"")</f>
        <v/>
      </c>
      <c r="V11064">
        <f t="shared" si="690"/>
        <v>0</v>
      </c>
      <c r="W11064">
        <f t="shared" si="691"/>
        <v>0</v>
      </c>
    </row>
    <row r="11065" spans="5:23" x14ac:dyDescent="0.25">
      <c r="E11065" s="4"/>
      <c r="F11065" s="4"/>
      <c r="G11065" s="33" t="str">
        <f>IFERROR(VLOOKUP($D11065,'Informations sur les produits'!$A$3:$H$10000,8,FALSE),"0")</f>
        <v>0</v>
      </c>
      <c r="K11065" s="4"/>
      <c r="L11065" s="33" t="str">
        <f>IFERROR(VLOOKUP($J11065,'Informations sur les produits'!$A$3:$H$10000,8,FALSE),"0")</f>
        <v>0</v>
      </c>
      <c r="N11065" s="8"/>
      <c r="O11065" s="33" t="str">
        <f>IFERROR(VLOOKUP($M11065,'Informations sur les produits'!$A$3:$H$10000,8,FALSE),"0")</f>
        <v>0</v>
      </c>
      <c r="P11065" s="33">
        <f t="shared" si="688"/>
        <v>0</v>
      </c>
      <c r="Q11065" s="31" t="str">
        <f t="shared" si="689"/>
        <v/>
      </c>
      <c r="R11065" s="32" t="str">
        <f>IFERROR(VLOOKUP($D11065,'Informations sur les produits'!$A$3:$B$15000,2,FALSE),"")</f>
        <v/>
      </c>
      <c r="V11065">
        <f t="shared" si="690"/>
        <v>0</v>
      </c>
      <c r="W11065">
        <f t="shared" si="691"/>
        <v>0</v>
      </c>
    </row>
    <row r="11066" spans="5:23" x14ac:dyDescent="0.25">
      <c r="E11066" s="4"/>
      <c r="F11066" s="4"/>
      <c r="G11066" s="33" t="str">
        <f>IFERROR(VLOOKUP($D11066,'Informations sur les produits'!$A$3:$H$10000,8,FALSE),"0")</f>
        <v>0</v>
      </c>
      <c r="K11066" s="4"/>
      <c r="L11066" s="33" t="str">
        <f>IFERROR(VLOOKUP($J11066,'Informations sur les produits'!$A$3:$H$10000,8,FALSE),"0")</f>
        <v>0</v>
      </c>
      <c r="N11066" s="8"/>
      <c r="O11066" s="33" t="str">
        <f>IFERROR(VLOOKUP($M11066,'Informations sur les produits'!$A$3:$H$10000,8,FALSE),"0")</f>
        <v>0</v>
      </c>
      <c r="P11066" s="33">
        <f t="shared" si="688"/>
        <v>0</v>
      </c>
      <c r="Q11066" s="31" t="str">
        <f t="shared" si="689"/>
        <v/>
      </c>
      <c r="R11066" s="32" t="str">
        <f>IFERROR(VLOOKUP($D11066,'Informations sur les produits'!$A$3:$B$15000,2,FALSE),"")</f>
        <v/>
      </c>
      <c r="V11066">
        <f t="shared" si="690"/>
        <v>0</v>
      </c>
      <c r="W11066">
        <f t="shared" si="691"/>
        <v>0</v>
      </c>
    </row>
    <row r="11067" spans="5:23" x14ac:dyDescent="0.25">
      <c r="E11067" s="4"/>
      <c r="F11067" s="4"/>
      <c r="G11067" s="33" t="str">
        <f>IFERROR(VLOOKUP($D11067,'Informations sur les produits'!$A$3:$H$10000,8,FALSE),"0")</f>
        <v>0</v>
      </c>
      <c r="K11067" s="4"/>
      <c r="L11067" s="33" t="str">
        <f>IFERROR(VLOOKUP($J11067,'Informations sur les produits'!$A$3:$H$10000,8,FALSE),"0")</f>
        <v>0</v>
      </c>
      <c r="N11067" s="8"/>
      <c r="O11067" s="33" t="str">
        <f>IFERROR(VLOOKUP($M11067,'Informations sur les produits'!$A$3:$H$10000,8,FALSE),"0")</f>
        <v>0</v>
      </c>
      <c r="P11067" s="33">
        <f t="shared" si="688"/>
        <v>0</v>
      </c>
      <c r="Q11067" s="31" t="str">
        <f t="shared" si="689"/>
        <v/>
      </c>
      <c r="R11067" s="32" t="str">
        <f>IFERROR(VLOOKUP($D11067,'Informations sur les produits'!$A$3:$B$15000,2,FALSE),"")</f>
        <v/>
      </c>
      <c r="V11067">
        <f t="shared" si="690"/>
        <v>0</v>
      </c>
      <c r="W11067">
        <f t="shared" si="691"/>
        <v>0</v>
      </c>
    </row>
    <row r="11068" spans="5:23" x14ac:dyDescent="0.25">
      <c r="E11068" s="4"/>
      <c r="F11068" s="4"/>
      <c r="G11068" s="33" t="str">
        <f>IFERROR(VLOOKUP($D11068,'Informations sur les produits'!$A$3:$H$10000,8,FALSE),"0")</f>
        <v>0</v>
      </c>
      <c r="K11068" s="4"/>
      <c r="L11068" s="33" t="str">
        <f>IFERROR(VLOOKUP($J11068,'Informations sur les produits'!$A$3:$H$10000,8,FALSE),"0")</f>
        <v>0</v>
      </c>
      <c r="N11068" s="8"/>
      <c r="O11068" s="33" t="str">
        <f>IFERROR(VLOOKUP($M11068,'Informations sur les produits'!$A$3:$H$10000,8,FALSE),"0")</f>
        <v>0</v>
      </c>
      <c r="P11068" s="33">
        <f t="shared" si="688"/>
        <v>0</v>
      </c>
      <c r="Q11068" s="31" t="str">
        <f t="shared" si="689"/>
        <v/>
      </c>
      <c r="R11068" s="32" t="str">
        <f>IFERROR(VLOOKUP($D11068,'Informations sur les produits'!$A$3:$B$15000,2,FALSE),"")</f>
        <v/>
      </c>
      <c r="V11068">
        <f t="shared" si="690"/>
        <v>0</v>
      </c>
      <c r="W11068">
        <f t="shared" si="691"/>
        <v>0</v>
      </c>
    </row>
    <row r="11069" spans="5:23" x14ac:dyDescent="0.25">
      <c r="E11069" s="4"/>
      <c r="F11069" s="4"/>
      <c r="G11069" s="33" t="str">
        <f>IFERROR(VLOOKUP($D11069,'Informations sur les produits'!$A$3:$H$10000,8,FALSE),"0")</f>
        <v>0</v>
      </c>
      <c r="K11069" s="4"/>
      <c r="L11069" s="33" t="str">
        <f>IFERROR(VLOOKUP($J11069,'Informations sur les produits'!$A$3:$H$10000,8,FALSE),"0")</f>
        <v>0</v>
      </c>
      <c r="N11069" s="8"/>
      <c r="O11069" s="33" t="str">
        <f>IFERROR(VLOOKUP($M11069,'Informations sur les produits'!$A$3:$H$10000,8,FALSE),"0")</f>
        <v>0</v>
      </c>
      <c r="P11069" s="33">
        <f t="shared" si="688"/>
        <v>0</v>
      </c>
      <c r="Q11069" s="31" t="str">
        <f t="shared" si="689"/>
        <v/>
      </c>
      <c r="R11069" s="32" t="str">
        <f>IFERROR(VLOOKUP($D11069,'Informations sur les produits'!$A$3:$B$15000,2,FALSE),"")</f>
        <v/>
      </c>
      <c r="V11069">
        <f t="shared" si="690"/>
        <v>0</v>
      </c>
      <c r="W11069">
        <f t="shared" si="691"/>
        <v>0</v>
      </c>
    </row>
    <row r="11070" spans="5:23" x14ac:dyDescent="0.25">
      <c r="E11070" s="4"/>
      <c r="F11070" s="4"/>
      <c r="G11070" s="33" t="str">
        <f>IFERROR(VLOOKUP($D11070,'Informations sur les produits'!$A$3:$H$10000,8,FALSE),"0")</f>
        <v>0</v>
      </c>
      <c r="K11070" s="4"/>
      <c r="L11070" s="33" t="str">
        <f>IFERROR(VLOOKUP($J11070,'Informations sur les produits'!$A$3:$H$10000,8,FALSE),"0")</f>
        <v>0</v>
      </c>
      <c r="N11070" s="8"/>
      <c r="O11070" s="33" t="str">
        <f>IFERROR(VLOOKUP($M11070,'Informations sur les produits'!$A$3:$H$10000,8,FALSE),"0")</f>
        <v>0</v>
      </c>
      <c r="P11070" s="33">
        <f t="shared" si="688"/>
        <v>0</v>
      </c>
      <c r="Q11070" s="31" t="str">
        <f t="shared" si="689"/>
        <v/>
      </c>
      <c r="R11070" s="32" t="str">
        <f>IFERROR(VLOOKUP($D11070,'Informations sur les produits'!$A$3:$B$15000,2,FALSE),"")</f>
        <v/>
      </c>
      <c r="V11070">
        <f t="shared" si="690"/>
        <v>0</v>
      </c>
      <c r="W11070">
        <f t="shared" si="691"/>
        <v>0</v>
      </c>
    </row>
    <row r="11071" spans="5:23" x14ac:dyDescent="0.25">
      <c r="E11071" s="4"/>
      <c r="F11071" s="4"/>
      <c r="G11071" s="33" t="str">
        <f>IFERROR(VLOOKUP($D11071,'Informations sur les produits'!$A$3:$H$10000,8,FALSE),"0")</f>
        <v>0</v>
      </c>
      <c r="K11071" s="4"/>
      <c r="L11071" s="33" t="str">
        <f>IFERROR(VLOOKUP($J11071,'Informations sur les produits'!$A$3:$H$10000,8,FALSE),"0")</f>
        <v>0</v>
      </c>
      <c r="N11071" s="8"/>
      <c r="O11071" s="33" t="str">
        <f>IFERROR(VLOOKUP($M11071,'Informations sur les produits'!$A$3:$H$10000,8,FALSE),"0")</f>
        <v>0</v>
      </c>
      <c r="P11071" s="33">
        <f t="shared" si="688"/>
        <v>0</v>
      </c>
      <c r="Q11071" s="31" t="str">
        <f t="shared" si="689"/>
        <v/>
      </c>
      <c r="R11071" s="32" t="str">
        <f>IFERROR(VLOOKUP($D11071,'Informations sur les produits'!$A$3:$B$15000,2,FALSE),"")</f>
        <v/>
      </c>
      <c r="V11071">
        <f t="shared" si="690"/>
        <v>0</v>
      </c>
      <c r="W11071">
        <f t="shared" si="691"/>
        <v>0</v>
      </c>
    </row>
    <row r="11072" spans="5:23" x14ac:dyDescent="0.25">
      <c r="E11072" s="4"/>
      <c r="F11072" s="4"/>
      <c r="G11072" s="33" t="str">
        <f>IFERROR(VLOOKUP($D11072,'Informations sur les produits'!$A$3:$H$10000,8,FALSE),"0")</f>
        <v>0</v>
      </c>
      <c r="K11072" s="4"/>
      <c r="L11072" s="33" t="str">
        <f>IFERROR(VLOOKUP($J11072,'Informations sur les produits'!$A$3:$H$10000,8,FALSE),"0")</f>
        <v>0</v>
      </c>
      <c r="N11072" s="8"/>
      <c r="O11072" s="33" t="str">
        <f>IFERROR(VLOOKUP($M11072,'Informations sur les produits'!$A$3:$H$10000,8,FALSE),"0")</f>
        <v>0</v>
      </c>
      <c r="P11072" s="33">
        <f t="shared" si="688"/>
        <v>0</v>
      </c>
      <c r="Q11072" s="31" t="str">
        <f t="shared" si="689"/>
        <v/>
      </c>
      <c r="R11072" s="32" t="str">
        <f>IFERROR(VLOOKUP($D11072,'Informations sur les produits'!$A$3:$B$15000,2,FALSE),"")</f>
        <v/>
      </c>
      <c r="V11072">
        <f t="shared" si="690"/>
        <v>0</v>
      </c>
      <c r="W11072">
        <f t="shared" si="691"/>
        <v>0</v>
      </c>
    </row>
    <row r="11073" spans="5:23" x14ac:dyDescent="0.25">
      <c r="E11073" s="4"/>
      <c r="F11073" s="4"/>
      <c r="G11073" s="33" t="str">
        <f>IFERROR(VLOOKUP($D11073,'Informations sur les produits'!$A$3:$H$10000,8,FALSE),"0")</f>
        <v>0</v>
      </c>
      <c r="K11073" s="4"/>
      <c r="L11073" s="33" t="str">
        <f>IFERROR(VLOOKUP($J11073,'Informations sur les produits'!$A$3:$H$10000,8,FALSE),"0")</f>
        <v>0</v>
      </c>
      <c r="N11073" s="8"/>
      <c r="O11073" s="33" t="str">
        <f>IFERROR(VLOOKUP($M11073,'Informations sur les produits'!$A$3:$H$10000,8,FALSE),"0")</f>
        <v>0</v>
      </c>
      <c r="P11073" s="33">
        <f t="shared" si="688"/>
        <v>0</v>
      </c>
      <c r="Q11073" s="31" t="str">
        <f t="shared" si="689"/>
        <v/>
      </c>
      <c r="R11073" s="32" t="str">
        <f>IFERROR(VLOOKUP($D11073,'Informations sur les produits'!$A$3:$B$15000,2,FALSE),"")</f>
        <v/>
      </c>
      <c r="V11073">
        <f t="shared" si="690"/>
        <v>0</v>
      </c>
      <c r="W11073">
        <f t="shared" si="691"/>
        <v>0</v>
      </c>
    </row>
    <row r="11074" spans="5:23" x14ac:dyDescent="0.25">
      <c r="E11074" s="4"/>
      <c r="F11074" s="4"/>
      <c r="G11074" s="33" t="str">
        <f>IFERROR(VLOOKUP($D11074,'Informations sur les produits'!$A$3:$H$10000,8,FALSE),"0")</f>
        <v>0</v>
      </c>
      <c r="K11074" s="4"/>
      <c r="L11074" s="33" t="str">
        <f>IFERROR(VLOOKUP($J11074,'Informations sur les produits'!$A$3:$H$10000,8,FALSE),"0")</f>
        <v>0</v>
      </c>
      <c r="N11074" s="8"/>
      <c r="O11074" s="33" t="str">
        <f>IFERROR(VLOOKUP($M11074,'Informations sur les produits'!$A$3:$H$10000,8,FALSE),"0")</f>
        <v>0</v>
      </c>
      <c r="P11074" s="33">
        <f t="shared" si="688"/>
        <v>0</v>
      </c>
      <c r="Q11074" s="31" t="str">
        <f t="shared" si="689"/>
        <v/>
      </c>
      <c r="R11074" s="32" t="str">
        <f>IFERROR(VLOOKUP($D11074,'Informations sur les produits'!$A$3:$B$15000,2,FALSE),"")</f>
        <v/>
      </c>
      <c r="V11074">
        <f t="shared" si="690"/>
        <v>0</v>
      </c>
      <c r="W11074">
        <f t="shared" si="691"/>
        <v>0</v>
      </c>
    </row>
    <row r="11075" spans="5:23" x14ac:dyDescent="0.25">
      <c r="E11075" s="4"/>
      <c r="F11075" s="4"/>
      <c r="G11075" s="33" t="str">
        <f>IFERROR(VLOOKUP($D11075,'Informations sur les produits'!$A$3:$H$10000,8,FALSE),"0")</f>
        <v>0</v>
      </c>
      <c r="K11075" s="4"/>
      <c r="L11075" s="33" t="str">
        <f>IFERROR(VLOOKUP($J11075,'Informations sur les produits'!$A$3:$H$10000,8,FALSE),"0")</f>
        <v>0</v>
      </c>
      <c r="N11075" s="8"/>
      <c r="O11075" s="33" t="str">
        <f>IFERROR(VLOOKUP($M11075,'Informations sur les produits'!$A$3:$H$10000,8,FALSE),"0")</f>
        <v>0</v>
      </c>
      <c r="P11075" s="33">
        <f t="shared" si="688"/>
        <v>0</v>
      </c>
      <c r="Q11075" s="31" t="str">
        <f t="shared" si="689"/>
        <v/>
      </c>
      <c r="R11075" s="32" t="str">
        <f>IFERROR(VLOOKUP($D11075,'Informations sur les produits'!$A$3:$B$15000,2,FALSE),"")</f>
        <v/>
      </c>
      <c r="V11075">
        <f t="shared" si="690"/>
        <v>0</v>
      </c>
      <c r="W11075">
        <f t="shared" si="691"/>
        <v>0</v>
      </c>
    </row>
    <row r="11076" spans="5:23" x14ac:dyDescent="0.25">
      <c r="E11076" s="4"/>
      <c r="F11076" s="4"/>
      <c r="G11076" s="33" t="str">
        <f>IFERROR(VLOOKUP($D11076,'Informations sur les produits'!$A$3:$H$10000,8,FALSE),"0")</f>
        <v>0</v>
      </c>
      <c r="K11076" s="4"/>
      <c r="L11076" s="33" t="str">
        <f>IFERROR(VLOOKUP($J11076,'Informations sur les produits'!$A$3:$H$10000,8,FALSE),"0")</f>
        <v>0</v>
      </c>
      <c r="N11076" s="8"/>
      <c r="O11076" s="33" t="str">
        <f>IFERROR(VLOOKUP($M11076,'Informations sur les produits'!$A$3:$H$10000,8,FALSE),"0")</f>
        <v>0</v>
      </c>
      <c r="P11076" s="33">
        <f t="shared" ref="P11076:P11139" si="692">IFERROR((($E11076-$F11076)*$G11076+$K11076*$L11076+$N11076*$O11076),"")</f>
        <v>0</v>
      </c>
      <c r="Q11076" s="31" t="str">
        <f t="shared" ref="Q11076:Q11139" si="693">IFERROR((((($E11076-$F11076)*$G11076+$K11076*$L11076+$N11076*$O11076)*1000)/(($E11076-$F11076)+$K11076+$N11076)),"")</f>
        <v/>
      </c>
      <c r="R11076" s="32" t="str">
        <f>IFERROR(VLOOKUP($D11076,'Informations sur les produits'!$A$3:$B$15000,2,FALSE),"")</f>
        <v/>
      </c>
      <c r="V11076">
        <f t="shared" ref="V11076:V11139" si="694">IFERROR(P11076*1000,"")</f>
        <v>0</v>
      </c>
      <c r="W11076">
        <f t="shared" ref="W11076:W11139" si="695">IFERROR(($E11076-$F11076)+$K11076+$N11076,"")</f>
        <v>0</v>
      </c>
    </row>
    <row r="11077" spans="5:23" x14ac:dyDescent="0.25">
      <c r="E11077" s="4"/>
      <c r="F11077" s="4"/>
      <c r="G11077" s="33" t="str">
        <f>IFERROR(VLOOKUP($D11077,'Informations sur les produits'!$A$3:$H$10000,8,FALSE),"0")</f>
        <v>0</v>
      </c>
      <c r="K11077" s="4"/>
      <c r="L11077" s="33" t="str">
        <f>IFERROR(VLOOKUP($J11077,'Informations sur les produits'!$A$3:$H$10000,8,FALSE),"0")</f>
        <v>0</v>
      </c>
      <c r="N11077" s="8"/>
      <c r="O11077" s="33" t="str">
        <f>IFERROR(VLOOKUP($M11077,'Informations sur les produits'!$A$3:$H$10000,8,FALSE),"0")</f>
        <v>0</v>
      </c>
      <c r="P11077" s="33">
        <f t="shared" si="692"/>
        <v>0</v>
      </c>
      <c r="Q11077" s="31" t="str">
        <f t="shared" si="693"/>
        <v/>
      </c>
      <c r="R11077" s="32" t="str">
        <f>IFERROR(VLOOKUP($D11077,'Informations sur les produits'!$A$3:$B$15000,2,FALSE),"")</f>
        <v/>
      </c>
      <c r="V11077">
        <f t="shared" si="694"/>
        <v>0</v>
      </c>
      <c r="W11077">
        <f t="shared" si="695"/>
        <v>0</v>
      </c>
    </row>
    <row r="11078" spans="5:23" x14ac:dyDescent="0.25">
      <c r="E11078" s="4"/>
      <c r="F11078" s="4"/>
      <c r="G11078" s="33" t="str">
        <f>IFERROR(VLOOKUP($D11078,'Informations sur les produits'!$A$3:$H$10000,8,FALSE),"0")</f>
        <v>0</v>
      </c>
      <c r="K11078" s="4"/>
      <c r="L11078" s="33" t="str">
        <f>IFERROR(VLOOKUP($J11078,'Informations sur les produits'!$A$3:$H$10000,8,FALSE),"0")</f>
        <v>0</v>
      </c>
      <c r="N11078" s="8"/>
      <c r="O11078" s="33" t="str">
        <f>IFERROR(VLOOKUP($M11078,'Informations sur les produits'!$A$3:$H$10000,8,FALSE),"0")</f>
        <v>0</v>
      </c>
      <c r="P11078" s="33">
        <f t="shared" si="692"/>
        <v>0</v>
      </c>
      <c r="Q11078" s="31" t="str">
        <f t="shared" si="693"/>
        <v/>
      </c>
      <c r="R11078" s="32" t="str">
        <f>IFERROR(VLOOKUP($D11078,'Informations sur les produits'!$A$3:$B$15000,2,FALSE),"")</f>
        <v/>
      </c>
      <c r="V11078">
        <f t="shared" si="694"/>
        <v>0</v>
      </c>
      <c r="W11078">
        <f t="shared" si="695"/>
        <v>0</v>
      </c>
    </row>
    <row r="11079" spans="5:23" x14ac:dyDescent="0.25">
      <c r="E11079" s="4"/>
      <c r="F11079" s="4"/>
      <c r="G11079" s="33" t="str">
        <f>IFERROR(VLOOKUP($D11079,'Informations sur les produits'!$A$3:$H$10000,8,FALSE),"0")</f>
        <v>0</v>
      </c>
      <c r="K11079" s="4"/>
      <c r="L11079" s="33" t="str">
        <f>IFERROR(VLOOKUP($J11079,'Informations sur les produits'!$A$3:$H$10000,8,FALSE),"0")</f>
        <v>0</v>
      </c>
      <c r="N11079" s="8"/>
      <c r="O11079" s="33" t="str">
        <f>IFERROR(VLOOKUP($M11079,'Informations sur les produits'!$A$3:$H$10000,8,FALSE),"0")</f>
        <v>0</v>
      </c>
      <c r="P11079" s="33">
        <f t="shared" si="692"/>
        <v>0</v>
      </c>
      <c r="Q11079" s="31" t="str">
        <f t="shared" si="693"/>
        <v/>
      </c>
      <c r="R11079" s="32" t="str">
        <f>IFERROR(VLOOKUP($D11079,'Informations sur les produits'!$A$3:$B$15000,2,FALSE),"")</f>
        <v/>
      </c>
      <c r="V11079">
        <f t="shared" si="694"/>
        <v>0</v>
      </c>
      <c r="W11079">
        <f t="shared" si="695"/>
        <v>0</v>
      </c>
    </row>
    <row r="11080" spans="5:23" x14ac:dyDescent="0.25">
      <c r="E11080" s="4"/>
      <c r="F11080" s="4"/>
      <c r="G11080" s="33" t="str">
        <f>IFERROR(VLOOKUP($D11080,'Informations sur les produits'!$A$3:$H$10000,8,FALSE),"0")</f>
        <v>0</v>
      </c>
      <c r="K11080" s="4"/>
      <c r="L11080" s="33" t="str">
        <f>IFERROR(VLOOKUP($J11080,'Informations sur les produits'!$A$3:$H$10000,8,FALSE),"0")</f>
        <v>0</v>
      </c>
      <c r="N11080" s="8"/>
      <c r="O11080" s="33" t="str">
        <f>IFERROR(VLOOKUP($M11080,'Informations sur les produits'!$A$3:$H$10000,8,FALSE),"0")</f>
        <v>0</v>
      </c>
      <c r="P11080" s="33">
        <f t="shared" si="692"/>
        <v>0</v>
      </c>
      <c r="Q11080" s="31" t="str">
        <f t="shared" si="693"/>
        <v/>
      </c>
      <c r="R11080" s="32" t="str">
        <f>IFERROR(VLOOKUP($D11080,'Informations sur les produits'!$A$3:$B$15000,2,FALSE),"")</f>
        <v/>
      </c>
      <c r="V11080">
        <f t="shared" si="694"/>
        <v>0</v>
      </c>
      <c r="W11080">
        <f t="shared" si="695"/>
        <v>0</v>
      </c>
    </row>
    <row r="11081" spans="5:23" x14ac:dyDescent="0.25">
      <c r="E11081" s="4"/>
      <c r="F11081" s="4"/>
      <c r="G11081" s="33" t="str">
        <f>IFERROR(VLOOKUP($D11081,'Informations sur les produits'!$A$3:$H$10000,8,FALSE),"0")</f>
        <v>0</v>
      </c>
      <c r="K11081" s="4"/>
      <c r="L11081" s="33" t="str">
        <f>IFERROR(VLOOKUP($J11081,'Informations sur les produits'!$A$3:$H$10000,8,FALSE),"0")</f>
        <v>0</v>
      </c>
      <c r="N11081" s="8"/>
      <c r="O11081" s="33" t="str">
        <f>IFERROR(VLOOKUP($M11081,'Informations sur les produits'!$A$3:$H$10000,8,FALSE),"0")</f>
        <v>0</v>
      </c>
      <c r="P11081" s="33">
        <f t="shared" si="692"/>
        <v>0</v>
      </c>
      <c r="Q11081" s="31" t="str">
        <f t="shared" si="693"/>
        <v/>
      </c>
      <c r="R11081" s="32" t="str">
        <f>IFERROR(VLOOKUP($D11081,'Informations sur les produits'!$A$3:$B$15000,2,FALSE),"")</f>
        <v/>
      </c>
      <c r="V11081">
        <f t="shared" si="694"/>
        <v>0</v>
      </c>
      <c r="W11081">
        <f t="shared" si="695"/>
        <v>0</v>
      </c>
    </row>
    <row r="11082" spans="5:23" x14ac:dyDescent="0.25">
      <c r="E11082" s="4"/>
      <c r="F11082" s="4"/>
      <c r="G11082" s="33" t="str">
        <f>IFERROR(VLOOKUP($D11082,'Informations sur les produits'!$A$3:$H$10000,8,FALSE),"0")</f>
        <v>0</v>
      </c>
      <c r="K11082" s="4"/>
      <c r="L11082" s="33" t="str">
        <f>IFERROR(VLOOKUP($J11082,'Informations sur les produits'!$A$3:$H$10000,8,FALSE),"0")</f>
        <v>0</v>
      </c>
      <c r="N11082" s="8"/>
      <c r="O11082" s="33" t="str">
        <f>IFERROR(VLOOKUP($M11082,'Informations sur les produits'!$A$3:$H$10000,8,FALSE),"0")</f>
        <v>0</v>
      </c>
      <c r="P11082" s="33">
        <f t="shared" si="692"/>
        <v>0</v>
      </c>
      <c r="Q11082" s="31" t="str">
        <f t="shared" si="693"/>
        <v/>
      </c>
      <c r="R11082" s="32" t="str">
        <f>IFERROR(VLOOKUP($D11082,'Informations sur les produits'!$A$3:$B$15000,2,FALSE),"")</f>
        <v/>
      </c>
      <c r="V11082">
        <f t="shared" si="694"/>
        <v>0</v>
      </c>
      <c r="W11082">
        <f t="shared" si="695"/>
        <v>0</v>
      </c>
    </row>
    <row r="11083" spans="5:23" x14ac:dyDescent="0.25">
      <c r="E11083" s="4"/>
      <c r="F11083" s="4"/>
      <c r="G11083" s="33" t="str">
        <f>IFERROR(VLOOKUP($D11083,'Informations sur les produits'!$A$3:$H$10000,8,FALSE),"0")</f>
        <v>0</v>
      </c>
      <c r="K11083" s="4"/>
      <c r="L11083" s="33" t="str">
        <f>IFERROR(VLOOKUP($J11083,'Informations sur les produits'!$A$3:$H$10000,8,FALSE),"0")</f>
        <v>0</v>
      </c>
      <c r="N11083" s="8"/>
      <c r="O11083" s="33" t="str">
        <f>IFERROR(VLOOKUP($M11083,'Informations sur les produits'!$A$3:$H$10000,8,FALSE),"0")</f>
        <v>0</v>
      </c>
      <c r="P11083" s="33">
        <f t="shared" si="692"/>
        <v>0</v>
      </c>
      <c r="Q11083" s="31" t="str">
        <f t="shared" si="693"/>
        <v/>
      </c>
      <c r="R11083" s="32" t="str">
        <f>IFERROR(VLOOKUP($D11083,'Informations sur les produits'!$A$3:$B$15000,2,FALSE),"")</f>
        <v/>
      </c>
      <c r="V11083">
        <f t="shared" si="694"/>
        <v>0</v>
      </c>
      <c r="W11083">
        <f t="shared" si="695"/>
        <v>0</v>
      </c>
    </row>
    <row r="11084" spans="5:23" x14ac:dyDescent="0.25">
      <c r="E11084" s="4"/>
      <c r="F11084" s="4"/>
      <c r="G11084" s="33" t="str">
        <f>IFERROR(VLOOKUP($D11084,'Informations sur les produits'!$A$3:$H$10000,8,FALSE),"0")</f>
        <v>0</v>
      </c>
      <c r="K11084" s="4"/>
      <c r="L11084" s="33" t="str">
        <f>IFERROR(VLOOKUP($J11084,'Informations sur les produits'!$A$3:$H$10000,8,FALSE),"0")</f>
        <v>0</v>
      </c>
      <c r="N11084" s="8"/>
      <c r="O11084" s="33" t="str">
        <f>IFERROR(VLOOKUP($M11084,'Informations sur les produits'!$A$3:$H$10000,8,FALSE),"0")</f>
        <v>0</v>
      </c>
      <c r="P11084" s="33">
        <f t="shared" si="692"/>
        <v>0</v>
      </c>
      <c r="Q11084" s="31" t="str">
        <f t="shared" si="693"/>
        <v/>
      </c>
      <c r="R11084" s="32" t="str">
        <f>IFERROR(VLOOKUP($D11084,'Informations sur les produits'!$A$3:$B$15000,2,FALSE),"")</f>
        <v/>
      </c>
      <c r="V11084">
        <f t="shared" si="694"/>
        <v>0</v>
      </c>
      <c r="W11084">
        <f t="shared" si="695"/>
        <v>0</v>
      </c>
    </row>
    <row r="11085" spans="5:23" x14ac:dyDescent="0.25">
      <c r="E11085" s="4"/>
      <c r="F11085" s="4"/>
      <c r="G11085" s="33" t="str">
        <f>IFERROR(VLOOKUP($D11085,'Informations sur les produits'!$A$3:$H$10000,8,FALSE),"0")</f>
        <v>0</v>
      </c>
      <c r="K11085" s="4"/>
      <c r="L11085" s="33" t="str">
        <f>IFERROR(VLOOKUP($J11085,'Informations sur les produits'!$A$3:$H$10000,8,FALSE),"0")</f>
        <v>0</v>
      </c>
      <c r="N11085" s="8"/>
      <c r="O11085" s="33" t="str">
        <f>IFERROR(VLOOKUP($M11085,'Informations sur les produits'!$A$3:$H$10000,8,FALSE),"0")</f>
        <v>0</v>
      </c>
      <c r="P11085" s="33">
        <f t="shared" si="692"/>
        <v>0</v>
      </c>
      <c r="Q11085" s="31" t="str">
        <f t="shared" si="693"/>
        <v/>
      </c>
      <c r="R11085" s="32" t="str">
        <f>IFERROR(VLOOKUP($D11085,'Informations sur les produits'!$A$3:$B$15000,2,FALSE),"")</f>
        <v/>
      </c>
      <c r="V11085">
        <f t="shared" si="694"/>
        <v>0</v>
      </c>
      <c r="W11085">
        <f t="shared" si="695"/>
        <v>0</v>
      </c>
    </row>
    <row r="11086" spans="5:23" x14ac:dyDescent="0.25">
      <c r="E11086" s="4"/>
      <c r="F11086" s="4"/>
      <c r="G11086" s="33" t="str">
        <f>IFERROR(VLOOKUP($D11086,'Informations sur les produits'!$A$3:$H$10000,8,FALSE),"0")</f>
        <v>0</v>
      </c>
      <c r="K11086" s="4"/>
      <c r="L11086" s="33" t="str">
        <f>IFERROR(VLOOKUP($J11086,'Informations sur les produits'!$A$3:$H$10000,8,FALSE),"0")</f>
        <v>0</v>
      </c>
      <c r="N11086" s="8"/>
      <c r="O11086" s="33" t="str">
        <f>IFERROR(VLOOKUP($M11086,'Informations sur les produits'!$A$3:$H$10000,8,FALSE),"0")</f>
        <v>0</v>
      </c>
      <c r="P11086" s="33">
        <f t="shared" si="692"/>
        <v>0</v>
      </c>
      <c r="Q11086" s="31" t="str">
        <f t="shared" si="693"/>
        <v/>
      </c>
      <c r="R11086" s="32" t="str">
        <f>IFERROR(VLOOKUP($D11086,'Informations sur les produits'!$A$3:$B$15000,2,FALSE),"")</f>
        <v/>
      </c>
      <c r="V11086">
        <f t="shared" si="694"/>
        <v>0</v>
      </c>
      <c r="W11086">
        <f t="shared" si="695"/>
        <v>0</v>
      </c>
    </row>
    <row r="11087" spans="5:23" x14ac:dyDescent="0.25">
      <c r="E11087" s="4"/>
      <c r="F11087" s="4"/>
      <c r="G11087" s="33" t="str">
        <f>IFERROR(VLOOKUP($D11087,'Informations sur les produits'!$A$3:$H$10000,8,FALSE),"0")</f>
        <v>0</v>
      </c>
      <c r="K11087" s="4"/>
      <c r="L11087" s="33" t="str">
        <f>IFERROR(VLOOKUP($J11087,'Informations sur les produits'!$A$3:$H$10000,8,FALSE),"0")</f>
        <v>0</v>
      </c>
      <c r="N11087" s="8"/>
      <c r="O11087" s="33" t="str">
        <f>IFERROR(VLOOKUP($M11087,'Informations sur les produits'!$A$3:$H$10000,8,FALSE),"0")</f>
        <v>0</v>
      </c>
      <c r="P11087" s="33">
        <f t="shared" si="692"/>
        <v>0</v>
      </c>
      <c r="Q11087" s="31" t="str">
        <f t="shared" si="693"/>
        <v/>
      </c>
      <c r="R11087" s="32" t="str">
        <f>IFERROR(VLOOKUP($D11087,'Informations sur les produits'!$A$3:$B$15000,2,FALSE),"")</f>
        <v/>
      </c>
      <c r="V11087">
        <f t="shared" si="694"/>
        <v>0</v>
      </c>
      <c r="W11087">
        <f t="shared" si="695"/>
        <v>0</v>
      </c>
    </row>
    <row r="11088" spans="5:23" x14ac:dyDescent="0.25">
      <c r="E11088" s="4"/>
      <c r="F11088" s="4"/>
      <c r="G11088" s="33" t="str">
        <f>IFERROR(VLOOKUP($D11088,'Informations sur les produits'!$A$3:$H$10000,8,FALSE),"0")</f>
        <v>0</v>
      </c>
      <c r="K11088" s="4"/>
      <c r="L11088" s="33" t="str">
        <f>IFERROR(VLOOKUP($J11088,'Informations sur les produits'!$A$3:$H$10000,8,FALSE),"0")</f>
        <v>0</v>
      </c>
      <c r="N11088" s="8"/>
      <c r="O11088" s="33" t="str">
        <f>IFERROR(VLOOKUP($M11088,'Informations sur les produits'!$A$3:$H$10000,8,FALSE),"0")</f>
        <v>0</v>
      </c>
      <c r="P11088" s="33">
        <f t="shared" si="692"/>
        <v>0</v>
      </c>
      <c r="Q11088" s="31" t="str">
        <f t="shared" si="693"/>
        <v/>
      </c>
      <c r="R11088" s="32" t="str">
        <f>IFERROR(VLOOKUP($D11088,'Informations sur les produits'!$A$3:$B$15000,2,FALSE),"")</f>
        <v/>
      </c>
      <c r="V11088">
        <f t="shared" si="694"/>
        <v>0</v>
      </c>
      <c r="W11088">
        <f t="shared" si="695"/>
        <v>0</v>
      </c>
    </row>
    <row r="11089" spans="5:23" x14ac:dyDescent="0.25">
      <c r="E11089" s="4"/>
      <c r="F11089" s="4"/>
      <c r="G11089" s="33" t="str">
        <f>IFERROR(VLOOKUP($D11089,'Informations sur les produits'!$A$3:$H$10000,8,FALSE),"0")</f>
        <v>0</v>
      </c>
      <c r="K11089" s="4"/>
      <c r="L11089" s="33" t="str">
        <f>IFERROR(VLOOKUP($J11089,'Informations sur les produits'!$A$3:$H$10000,8,FALSE),"0")</f>
        <v>0</v>
      </c>
      <c r="N11089" s="8"/>
      <c r="O11089" s="33" t="str">
        <f>IFERROR(VLOOKUP($M11089,'Informations sur les produits'!$A$3:$H$10000,8,FALSE),"0")</f>
        <v>0</v>
      </c>
      <c r="P11089" s="33">
        <f t="shared" si="692"/>
        <v>0</v>
      </c>
      <c r="Q11089" s="31" t="str">
        <f t="shared" si="693"/>
        <v/>
      </c>
      <c r="R11089" s="32" t="str">
        <f>IFERROR(VLOOKUP($D11089,'Informations sur les produits'!$A$3:$B$15000,2,FALSE),"")</f>
        <v/>
      </c>
      <c r="V11089">
        <f t="shared" si="694"/>
        <v>0</v>
      </c>
      <c r="W11089">
        <f t="shared" si="695"/>
        <v>0</v>
      </c>
    </row>
    <row r="11090" spans="5:23" x14ac:dyDescent="0.25">
      <c r="E11090" s="4"/>
      <c r="F11090" s="4"/>
      <c r="G11090" s="33" t="str">
        <f>IFERROR(VLOOKUP($D11090,'Informations sur les produits'!$A$3:$H$10000,8,FALSE),"0")</f>
        <v>0</v>
      </c>
      <c r="K11090" s="4"/>
      <c r="L11090" s="33" t="str">
        <f>IFERROR(VLOOKUP($J11090,'Informations sur les produits'!$A$3:$H$10000,8,FALSE),"0")</f>
        <v>0</v>
      </c>
      <c r="N11090" s="8"/>
      <c r="O11090" s="33" t="str">
        <f>IFERROR(VLOOKUP($M11090,'Informations sur les produits'!$A$3:$H$10000,8,FALSE),"0")</f>
        <v>0</v>
      </c>
      <c r="P11090" s="33">
        <f t="shared" si="692"/>
        <v>0</v>
      </c>
      <c r="Q11090" s="31" t="str">
        <f t="shared" si="693"/>
        <v/>
      </c>
      <c r="R11090" s="32" t="str">
        <f>IFERROR(VLOOKUP($D11090,'Informations sur les produits'!$A$3:$B$15000,2,FALSE),"")</f>
        <v/>
      </c>
      <c r="V11090">
        <f t="shared" si="694"/>
        <v>0</v>
      </c>
      <c r="W11090">
        <f t="shared" si="695"/>
        <v>0</v>
      </c>
    </row>
    <row r="11091" spans="5:23" x14ac:dyDescent="0.25">
      <c r="E11091" s="4"/>
      <c r="F11091" s="4"/>
      <c r="G11091" s="33" t="str">
        <f>IFERROR(VLOOKUP($D11091,'Informations sur les produits'!$A$3:$H$10000,8,FALSE),"0")</f>
        <v>0</v>
      </c>
      <c r="K11091" s="4"/>
      <c r="L11091" s="33" t="str">
        <f>IFERROR(VLOOKUP($J11091,'Informations sur les produits'!$A$3:$H$10000,8,FALSE),"0")</f>
        <v>0</v>
      </c>
      <c r="N11091" s="8"/>
      <c r="O11091" s="33" t="str">
        <f>IFERROR(VLOOKUP($M11091,'Informations sur les produits'!$A$3:$H$10000,8,FALSE),"0")</f>
        <v>0</v>
      </c>
      <c r="P11091" s="33">
        <f t="shared" si="692"/>
        <v>0</v>
      </c>
      <c r="Q11091" s="31" t="str">
        <f t="shared" si="693"/>
        <v/>
      </c>
      <c r="R11091" s="32" t="str">
        <f>IFERROR(VLOOKUP($D11091,'Informations sur les produits'!$A$3:$B$15000,2,FALSE),"")</f>
        <v/>
      </c>
      <c r="V11091">
        <f t="shared" si="694"/>
        <v>0</v>
      </c>
      <c r="W11091">
        <f t="shared" si="695"/>
        <v>0</v>
      </c>
    </row>
    <row r="11092" spans="5:23" x14ac:dyDescent="0.25">
      <c r="E11092" s="4"/>
      <c r="F11092" s="4"/>
      <c r="G11092" s="33" t="str">
        <f>IFERROR(VLOOKUP($D11092,'Informations sur les produits'!$A$3:$H$10000,8,FALSE),"0")</f>
        <v>0</v>
      </c>
      <c r="K11092" s="4"/>
      <c r="L11092" s="33" t="str">
        <f>IFERROR(VLOOKUP($J11092,'Informations sur les produits'!$A$3:$H$10000,8,FALSE),"0")</f>
        <v>0</v>
      </c>
      <c r="N11092" s="8"/>
      <c r="O11092" s="33" t="str">
        <f>IFERROR(VLOOKUP($M11092,'Informations sur les produits'!$A$3:$H$10000,8,FALSE),"0")</f>
        <v>0</v>
      </c>
      <c r="P11092" s="33">
        <f t="shared" si="692"/>
        <v>0</v>
      </c>
      <c r="Q11092" s="31" t="str">
        <f t="shared" si="693"/>
        <v/>
      </c>
      <c r="R11092" s="32" t="str">
        <f>IFERROR(VLOOKUP($D11092,'Informations sur les produits'!$A$3:$B$15000,2,FALSE),"")</f>
        <v/>
      </c>
      <c r="V11092">
        <f t="shared" si="694"/>
        <v>0</v>
      </c>
      <c r="W11092">
        <f t="shared" si="695"/>
        <v>0</v>
      </c>
    </row>
    <row r="11093" spans="5:23" x14ac:dyDescent="0.25">
      <c r="E11093" s="4"/>
      <c r="F11093" s="4"/>
      <c r="G11093" s="33" t="str">
        <f>IFERROR(VLOOKUP($D11093,'Informations sur les produits'!$A$3:$H$10000,8,FALSE),"0")</f>
        <v>0</v>
      </c>
      <c r="K11093" s="4"/>
      <c r="L11093" s="33" t="str">
        <f>IFERROR(VLOOKUP($J11093,'Informations sur les produits'!$A$3:$H$10000,8,FALSE),"0")</f>
        <v>0</v>
      </c>
      <c r="N11093" s="8"/>
      <c r="O11093" s="33" t="str">
        <f>IFERROR(VLOOKUP($M11093,'Informations sur les produits'!$A$3:$H$10000,8,FALSE),"0")</f>
        <v>0</v>
      </c>
      <c r="P11093" s="33">
        <f t="shared" si="692"/>
        <v>0</v>
      </c>
      <c r="Q11093" s="31" t="str">
        <f t="shared" si="693"/>
        <v/>
      </c>
      <c r="R11093" s="32" t="str">
        <f>IFERROR(VLOOKUP($D11093,'Informations sur les produits'!$A$3:$B$15000,2,FALSE),"")</f>
        <v/>
      </c>
      <c r="V11093">
        <f t="shared" si="694"/>
        <v>0</v>
      </c>
      <c r="W11093">
        <f t="shared" si="695"/>
        <v>0</v>
      </c>
    </row>
    <row r="11094" spans="5:23" x14ac:dyDescent="0.25">
      <c r="E11094" s="4"/>
      <c r="F11094" s="4"/>
      <c r="G11094" s="33" t="str">
        <f>IFERROR(VLOOKUP($D11094,'Informations sur les produits'!$A$3:$H$10000,8,FALSE),"0")</f>
        <v>0</v>
      </c>
      <c r="K11094" s="4"/>
      <c r="L11094" s="33" t="str">
        <f>IFERROR(VLOOKUP($J11094,'Informations sur les produits'!$A$3:$H$10000,8,FALSE),"0")</f>
        <v>0</v>
      </c>
      <c r="N11094" s="8"/>
      <c r="O11094" s="33" t="str">
        <f>IFERROR(VLOOKUP($M11094,'Informations sur les produits'!$A$3:$H$10000,8,FALSE),"0")</f>
        <v>0</v>
      </c>
      <c r="P11094" s="33">
        <f t="shared" si="692"/>
        <v>0</v>
      </c>
      <c r="Q11094" s="31" t="str">
        <f t="shared" si="693"/>
        <v/>
      </c>
      <c r="R11094" s="32" t="str">
        <f>IFERROR(VLOOKUP($D11094,'Informations sur les produits'!$A$3:$B$15000,2,FALSE),"")</f>
        <v/>
      </c>
      <c r="V11094">
        <f t="shared" si="694"/>
        <v>0</v>
      </c>
      <c r="W11094">
        <f t="shared" si="695"/>
        <v>0</v>
      </c>
    </row>
    <row r="11095" spans="5:23" x14ac:dyDescent="0.25">
      <c r="E11095" s="4"/>
      <c r="F11095" s="4"/>
      <c r="G11095" s="33" t="str">
        <f>IFERROR(VLOOKUP($D11095,'Informations sur les produits'!$A$3:$H$10000,8,FALSE),"0")</f>
        <v>0</v>
      </c>
      <c r="K11095" s="4"/>
      <c r="L11095" s="33" t="str">
        <f>IFERROR(VLOOKUP($J11095,'Informations sur les produits'!$A$3:$H$10000,8,FALSE),"0")</f>
        <v>0</v>
      </c>
      <c r="N11095" s="8"/>
      <c r="O11095" s="33" t="str">
        <f>IFERROR(VLOOKUP($M11095,'Informations sur les produits'!$A$3:$H$10000,8,FALSE),"0")</f>
        <v>0</v>
      </c>
      <c r="P11095" s="33">
        <f t="shared" si="692"/>
        <v>0</v>
      </c>
      <c r="Q11095" s="31" t="str">
        <f t="shared" si="693"/>
        <v/>
      </c>
      <c r="R11095" s="32" t="str">
        <f>IFERROR(VLOOKUP($D11095,'Informations sur les produits'!$A$3:$B$15000,2,FALSE),"")</f>
        <v/>
      </c>
      <c r="V11095">
        <f t="shared" si="694"/>
        <v>0</v>
      </c>
      <c r="W11095">
        <f t="shared" si="695"/>
        <v>0</v>
      </c>
    </row>
    <row r="11096" spans="5:23" x14ac:dyDescent="0.25">
      <c r="E11096" s="4"/>
      <c r="F11096" s="4"/>
      <c r="G11096" s="33" t="str">
        <f>IFERROR(VLOOKUP($D11096,'Informations sur les produits'!$A$3:$H$10000,8,FALSE),"0")</f>
        <v>0</v>
      </c>
      <c r="K11096" s="4"/>
      <c r="L11096" s="33" t="str">
        <f>IFERROR(VLOOKUP($J11096,'Informations sur les produits'!$A$3:$H$10000,8,FALSE),"0")</f>
        <v>0</v>
      </c>
      <c r="N11096" s="8"/>
      <c r="O11096" s="33" t="str">
        <f>IFERROR(VLOOKUP($M11096,'Informations sur les produits'!$A$3:$H$10000,8,FALSE),"0")</f>
        <v>0</v>
      </c>
      <c r="P11096" s="33">
        <f t="shared" si="692"/>
        <v>0</v>
      </c>
      <c r="Q11096" s="31" t="str">
        <f t="shared" si="693"/>
        <v/>
      </c>
      <c r="R11096" s="32" t="str">
        <f>IFERROR(VLOOKUP($D11096,'Informations sur les produits'!$A$3:$B$15000,2,FALSE),"")</f>
        <v/>
      </c>
      <c r="V11096">
        <f t="shared" si="694"/>
        <v>0</v>
      </c>
      <c r="W11096">
        <f t="shared" si="695"/>
        <v>0</v>
      </c>
    </row>
    <row r="11097" spans="5:23" x14ac:dyDescent="0.25">
      <c r="E11097" s="4"/>
      <c r="F11097" s="4"/>
      <c r="G11097" s="33" t="str">
        <f>IFERROR(VLOOKUP($D11097,'Informations sur les produits'!$A$3:$H$10000,8,FALSE),"0")</f>
        <v>0</v>
      </c>
      <c r="K11097" s="4"/>
      <c r="L11097" s="33" t="str">
        <f>IFERROR(VLOOKUP($J11097,'Informations sur les produits'!$A$3:$H$10000,8,FALSE),"0")</f>
        <v>0</v>
      </c>
      <c r="N11097" s="8"/>
      <c r="O11097" s="33" t="str">
        <f>IFERROR(VLOOKUP($M11097,'Informations sur les produits'!$A$3:$H$10000,8,FALSE),"0")</f>
        <v>0</v>
      </c>
      <c r="P11097" s="33">
        <f t="shared" si="692"/>
        <v>0</v>
      </c>
      <c r="Q11097" s="31" t="str">
        <f t="shared" si="693"/>
        <v/>
      </c>
      <c r="R11097" s="32" t="str">
        <f>IFERROR(VLOOKUP($D11097,'Informations sur les produits'!$A$3:$B$15000,2,FALSE),"")</f>
        <v/>
      </c>
      <c r="V11097">
        <f t="shared" si="694"/>
        <v>0</v>
      </c>
      <c r="W11097">
        <f t="shared" si="695"/>
        <v>0</v>
      </c>
    </row>
    <row r="11098" spans="5:23" x14ac:dyDescent="0.25">
      <c r="E11098" s="4"/>
      <c r="F11098" s="4"/>
      <c r="G11098" s="33" t="str">
        <f>IFERROR(VLOOKUP($D11098,'Informations sur les produits'!$A$3:$H$10000,8,FALSE),"0")</f>
        <v>0</v>
      </c>
      <c r="K11098" s="4"/>
      <c r="L11098" s="33" t="str">
        <f>IFERROR(VLOOKUP($J11098,'Informations sur les produits'!$A$3:$H$10000,8,FALSE),"0")</f>
        <v>0</v>
      </c>
      <c r="N11098" s="8"/>
      <c r="O11098" s="33" t="str">
        <f>IFERROR(VLOOKUP($M11098,'Informations sur les produits'!$A$3:$H$10000,8,FALSE),"0")</f>
        <v>0</v>
      </c>
      <c r="P11098" s="33">
        <f t="shared" si="692"/>
        <v>0</v>
      </c>
      <c r="Q11098" s="31" t="str">
        <f t="shared" si="693"/>
        <v/>
      </c>
      <c r="R11098" s="32" t="str">
        <f>IFERROR(VLOOKUP($D11098,'Informations sur les produits'!$A$3:$B$15000,2,FALSE),"")</f>
        <v/>
      </c>
      <c r="V11098">
        <f t="shared" si="694"/>
        <v>0</v>
      </c>
      <c r="W11098">
        <f t="shared" si="695"/>
        <v>0</v>
      </c>
    </row>
    <row r="11099" spans="5:23" x14ac:dyDescent="0.25">
      <c r="E11099" s="4"/>
      <c r="F11099" s="4"/>
      <c r="G11099" s="33" t="str">
        <f>IFERROR(VLOOKUP($D11099,'Informations sur les produits'!$A$3:$H$10000,8,FALSE),"0")</f>
        <v>0</v>
      </c>
      <c r="K11099" s="4"/>
      <c r="L11099" s="33" t="str">
        <f>IFERROR(VLOOKUP($J11099,'Informations sur les produits'!$A$3:$H$10000,8,FALSE),"0")</f>
        <v>0</v>
      </c>
      <c r="N11099" s="8"/>
      <c r="O11099" s="33" t="str">
        <f>IFERROR(VLOOKUP($M11099,'Informations sur les produits'!$A$3:$H$10000,8,FALSE),"0")</f>
        <v>0</v>
      </c>
      <c r="P11099" s="33">
        <f t="shared" si="692"/>
        <v>0</v>
      </c>
      <c r="Q11099" s="31" t="str">
        <f t="shared" si="693"/>
        <v/>
      </c>
      <c r="R11099" s="32" t="str">
        <f>IFERROR(VLOOKUP($D11099,'Informations sur les produits'!$A$3:$B$15000,2,FALSE),"")</f>
        <v/>
      </c>
      <c r="V11099">
        <f t="shared" si="694"/>
        <v>0</v>
      </c>
      <c r="W11099">
        <f t="shared" si="695"/>
        <v>0</v>
      </c>
    </row>
    <row r="11100" spans="5:23" x14ac:dyDescent="0.25">
      <c r="E11100" s="4"/>
      <c r="F11100" s="4"/>
      <c r="G11100" s="33" t="str">
        <f>IFERROR(VLOOKUP($D11100,'Informations sur les produits'!$A$3:$H$10000,8,FALSE),"0")</f>
        <v>0</v>
      </c>
      <c r="K11100" s="4"/>
      <c r="L11100" s="33" t="str">
        <f>IFERROR(VLOOKUP($J11100,'Informations sur les produits'!$A$3:$H$10000,8,FALSE),"0")</f>
        <v>0</v>
      </c>
      <c r="N11100" s="8"/>
      <c r="O11100" s="33" t="str">
        <f>IFERROR(VLOOKUP($M11100,'Informations sur les produits'!$A$3:$H$10000,8,FALSE),"0")</f>
        <v>0</v>
      </c>
      <c r="P11100" s="33">
        <f t="shared" si="692"/>
        <v>0</v>
      </c>
      <c r="Q11100" s="31" t="str">
        <f t="shared" si="693"/>
        <v/>
      </c>
      <c r="R11100" s="32" t="str">
        <f>IFERROR(VLOOKUP($D11100,'Informations sur les produits'!$A$3:$B$15000,2,FALSE),"")</f>
        <v/>
      </c>
      <c r="V11100">
        <f t="shared" si="694"/>
        <v>0</v>
      </c>
      <c r="W11100">
        <f t="shared" si="695"/>
        <v>0</v>
      </c>
    </row>
    <row r="11101" spans="5:23" x14ac:dyDescent="0.25">
      <c r="E11101" s="4"/>
      <c r="F11101" s="4"/>
      <c r="G11101" s="33" t="str">
        <f>IFERROR(VLOOKUP($D11101,'Informations sur les produits'!$A$3:$H$10000,8,FALSE),"0")</f>
        <v>0</v>
      </c>
      <c r="K11101" s="4"/>
      <c r="L11101" s="33" t="str">
        <f>IFERROR(VLOOKUP($J11101,'Informations sur les produits'!$A$3:$H$10000,8,FALSE),"0")</f>
        <v>0</v>
      </c>
      <c r="N11101" s="8"/>
      <c r="O11101" s="33" t="str">
        <f>IFERROR(VLOOKUP($M11101,'Informations sur les produits'!$A$3:$H$10000,8,FALSE),"0")</f>
        <v>0</v>
      </c>
      <c r="P11101" s="33">
        <f t="shared" si="692"/>
        <v>0</v>
      </c>
      <c r="Q11101" s="31" t="str">
        <f t="shared" si="693"/>
        <v/>
      </c>
      <c r="R11101" s="32" t="str">
        <f>IFERROR(VLOOKUP($D11101,'Informations sur les produits'!$A$3:$B$15000,2,FALSE),"")</f>
        <v/>
      </c>
      <c r="V11101">
        <f t="shared" si="694"/>
        <v>0</v>
      </c>
      <c r="W11101">
        <f t="shared" si="695"/>
        <v>0</v>
      </c>
    </row>
    <row r="11102" spans="5:23" x14ac:dyDescent="0.25">
      <c r="E11102" s="4"/>
      <c r="F11102" s="4"/>
      <c r="G11102" s="33" t="str">
        <f>IFERROR(VLOOKUP($D11102,'Informations sur les produits'!$A$3:$H$10000,8,FALSE),"0")</f>
        <v>0</v>
      </c>
      <c r="K11102" s="4"/>
      <c r="L11102" s="33" t="str">
        <f>IFERROR(VLOOKUP($J11102,'Informations sur les produits'!$A$3:$H$10000,8,FALSE),"0")</f>
        <v>0</v>
      </c>
      <c r="N11102" s="8"/>
      <c r="O11102" s="33" t="str">
        <f>IFERROR(VLOOKUP($M11102,'Informations sur les produits'!$A$3:$H$10000,8,FALSE),"0")</f>
        <v>0</v>
      </c>
      <c r="P11102" s="33">
        <f t="shared" si="692"/>
        <v>0</v>
      </c>
      <c r="Q11102" s="31" t="str">
        <f t="shared" si="693"/>
        <v/>
      </c>
      <c r="R11102" s="32" t="str">
        <f>IFERROR(VLOOKUP($D11102,'Informations sur les produits'!$A$3:$B$15000,2,FALSE),"")</f>
        <v/>
      </c>
      <c r="V11102">
        <f t="shared" si="694"/>
        <v>0</v>
      </c>
      <c r="W11102">
        <f t="shared" si="695"/>
        <v>0</v>
      </c>
    </row>
    <row r="11103" spans="5:23" x14ac:dyDescent="0.25">
      <c r="E11103" s="4"/>
      <c r="F11103" s="4"/>
      <c r="G11103" s="33" t="str">
        <f>IFERROR(VLOOKUP($D11103,'Informations sur les produits'!$A$3:$H$10000,8,FALSE),"0")</f>
        <v>0</v>
      </c>
      <c r="K11103" s="4"/>
      <c r="L11103" s="33" t="str">
        <f>IFERROR(VLOOKUP($J11103,'Informations sur les produits'!$A$3:$H$10000,8,FALSE),"0")</f>
        <v>0</v>
      </c>
      <c r="N11103" s="8"/>
      <c r="O11103" s="33" t="str">
        <f>IFERROR(VLOOKUP($M11103,'Informations sur les produits'!$A$3:$H$10000,8,FALSE),"0")</f>
        <v>0</v>
      </c>
      <c r="P11103" s="33">
        <f t="shared" si="692"/>
        <v>0</v>
      </c>
      <c r="Q11103" s="31" t="str">
        <f t="shared" si="693"/>
        <v/>
      </c>
      <c r="R11103" s="32" t="str">
        <f>IFERROR(VLOOKUP($D11103,'Informations sur les produits'!$A$3:$B$15000,2,FALSE),"")</f>
        <v/>
      </c>
      <c r="V11103">
        <f t="shared" si="694"/>
        <v>0</v>
      </c>
      <c r="W11103">
        <f t="shared" si="695"/>
        <v>0</v>
      </c>
    </row>
    <row r="11104" spans="5:23" x14ac:dyDescent="0.25">
      <c r="E11104" s="4"/>
      <c r="F11104" s="4"/>
      <c r="G11104" s="33" t="str">
        <f>IFERROR(VLOOKUP($D11104,'Informations sur les produits'!$A$3:$H$10000,8,FALSE),"0")</f>
        <v>0</v>
      </c>
      <c r="K11104" s="4"/>
      <c r="L11104" s="33" t="str">
        <f>IFERROR(VLOOKUP($J11104,'Informations sur les produits'!$A$3:$H$10000,8,FALSE),"0")</f>
        <v>0</v>
      </c>
      <c r="N11104" s="8"/>
      <c r="O11104" s="33" t="str">
        <f>IFERROR(VLOOKUP($M11104,'Informations sur les produits'!$A$3:$H$10000,8,FALSE),"0")</f>
        <v>0</v>
      </c>
      <c r="P11104" s="33">
        <f t="shared" si="692"/>
        <v>0</v>
      </c>
      <c r="Q11104" s="31" t="str">
        <f t="shared" si="693"/>
        <v/>
      </c>
      <c r="R11104" s="32" t="str">
        <f>IFERROR(VLOOKUP($D11104,'Informations sur les produits'!$A$3:$B$15000,2,FALSE),"")</f>
        <v/>
      </c>
      <c r="V11104">
        <f t="shared" si="694"/>
        <v>0</v>
      </c>
      <c r="W11104">
        <f t="shared" si="695"/>
        <v>0</v>
      </c>
    </row>
    <row r="11105" spans="5:23" x14ac:dyDescent="0.25">
      <c r="E11105" s="4"/>
      <c r="F11105" s="4"/>
      <c r="G11105" s="33" t="str">
        <f>IFERROR(VLOOKUP($D11105,'Informations sur les produits'!$A$3:$H$10000,8,FALSE),"0")</f>
        <v>0</v>
      </c>
      <c r="K11105" s="4"/>
      <c r="L11105" s="33" t="str">
        <f>IFERROR(VLOOKUP($J11105,'Informations sur les produits'!$A$3:$H$10000,8,FALSE),"0")</f>
        <v>0</v>
      </c>
      <c r="N11105" s="8"/>
      <c r="O11105" s="33" t="str">
        <f>IFERROR(VLOOKUP($M11105,'Informations sur les produits'!$A$3:$H$10000,8,FALSE),"0")</f>
        <v>0</v>
      </c>
      <c r="P11105" s="33">
        <f t="shared" si="692"/>
        <v>0</v>
      </c>
      <c r="Q11105" s="31" t="str">
        <f t="shared" si="693"/>
        <v/>
      </c>
      <c r="R11105" s="32" t="str">
        <f>IFERROR(VLOOKUP($D11105,'Informations sur les produits'!$A$3:$B$15000,2,FALSE),"")</f>
        <v/>
      </c>
      <c r="V11105">
        <f t="shared" si="694"/>
        <v>0</v>
      </c>
      <c r="W11105">
        <f t="shared" si="695"/>
        <v>0</v>
      </c>
    </row>
    <row r="11106" spans="5:23" x14ac:dyDescent="0.25">
      <c r="E11106" s="4"/>
      <c r="F11106" s="4"/>
      <c r="G11106" s="33" t="str">
        <f>IFERROR(VLOOKUP($D11106,'Informations sur les produits'!$A$3:$H$10000,8,FALSE),"0")</f>
        <v>0</v>
      </c>
      <c r="K11106" s="4"/>
      <c r="L11106" s="33" t="str">
        <f>IFERROR(VLOOKUP($J11106,'Informations sur les produits'!$A$3:$H$10000,8,FALSE),"0")</f>
        <v>0</v>
      </c>
      <c r="N11106" s="8"/>
      <c r="O11106" s="33" t="str">
        <f>IFERROR(VLOOKUP($M11106,'Informations sur les produits'!$A$3:$H$10000,8,FALSE),"0")</f>
        <v>0</v>
      </c>
      <c r="P11106" s="33">
        <f t="shared" si="692"/>
        <v>0</v>
      </c>
      <c r="Q11106" s="31" t="str">
        <f t="shared" si="693"/>
        <v/>
      </c>
      <c r="R11106" s="32" t="str">
        <f>IFERROR(VLOOKUP($D11106,'Informations sur les produits'!$A$3:$B$15000,2,FALSE),"")</f>
        <v/>
      </c>
      <c r="V11106">
        <f t="shared" si="694"/>
        <v>0</v>
      </c>
      <c r="W11106">
        <f t="shared" si="695"/>
        <v>0</v>
      </c>
    </row>
    <row r="11107" spans="5:23" x14ac:dyDescent="0.25">
      <c r="E11107" s="4"/>
      <c r="F11107" s="4"/>
      <c r="G11107" s="33" t="str">
        <f>IFERROR(VLOOKUP($D11107,'Informations sur les produits'!$A$3:$H$10000,8,FALSE),"0")</f>
        <v>0</v>
      </c>
      <c r="K11107" s="4"/>
      <c r="L11107" s="33" t="str">
        <f>IFERROR(VLOOKUP($J11107,'Informations sur les produits'!$A$3:$H$10000,8,FALSE),"0")</f>
        <v>0</v>
      </c>
      <c r="N11107" s="8"/>
      <c r="O11107" s="33" t="str">
        <f>IFERROR(VLOOKUP($M11107,'Informations sur les produits'!$A$3:$H$10000,8,FALSE),"0")</f>
        <v>0</v>
      </c>
      <c r="P11107" s="33">
        <f t="shared" si="692"/>
        <v>0</v>
      </c>
      <c r="Q11107" s="31" t="str">
        <f t="shared" si="693"/>
        <v/>
      </c>
      <c r="R11107" s="32" t="str">
        <f>IFERROR(VLOOKUP($D11107,'Informations sur les produits'!$A$3:$B$15000,2,FALSE),"")</f>
        <v/>
      </c>
      <c r="V11107">
        <f t="shared" si="694"/>
        <v>0</v>
      </c>
      <c r="W11107">
        <f t="shared" si="695"/>
        <v>0</v>
      </c>
    </row>
    <row r="11108" spans="5:23" x14ac:dyDescent="0.25">
      <c r="E11108" s="4"/>
      <c r="F11108" s="4"/>
      <c r="G11108" s="33" t="str">
        <f>IFERROR(VLOOKUP($D11108,'Informations sur les produits'!$A$3:$H$10000,8,FALSE),"0")</f>
        <v>0</v>
      </c>
      <c r="K11108" s="4"/>
      <c r="L11108" s="33" t="str">
        <f>IFERROR(VLOOKUP($J11108,'Informations sur les produits'!$A$3:$H$10000,8,FALSE),"0")</f>
        <v>0</v>
      </c>
      <c r="N11108" s="8"/>
      <c r="O11108" s="33" t="str">
        <f>IFERROR(VLOOKUP($M11108,'Informations sur les produits'!$A$3:$H$10000,8,FALSE),"0")</f>
        <v>0</v>
      </c>
      <c r="P11108" s="33">
        <f t="shared" si="692"/>
        <v>0</v>
      </c>
      <c r="Q11108" s="31" t="str">
        <f t="shared" si="693"/>
        <v/>
      </c>
      <c r="R11108" s="32" t="str">
        <f>IFERROR(VLOOKUP($D11108,'Informations sur les produits'!$A$3:$B$15000,2,FALSE),"")</f>
        <v/>
      </c>
      <c r="V11108">
        <f t="shared" si="694"/>
        <v>0</v>
      </c>
      <c r="W11108">
        <f t="shared" si="695"/>
        <v>0</v>
      </c>
    </row>
    <row r="11109" spans="5:23" x14ac:dyDescent="0.25">
      <c r="E11109" s="4"/>
      <c r="F11109" s="4"/>
      <c r="G11109" s="33" t="str">
        <f>IFERROR(VLOOKUP($D11109,'Informations sur les produits'!$A$3:$H$10000,8,FALSE),"0")</f>
        <v>0</v>
      </c>
      <c r="K11109" s="4"/>
      <c r="L11109" s="33" t="str">
        <f>IFERROR(VLOOKUP($J11109,'Informations sur les produits'!$A$3:$H$10000,8,FALSE),"0")</f>
        <v>0</v>
      </c>
      <c r="N11109" s="8"/>
      <c r="O11109" s="33" t="str">
        <f>IFERROR(VLOOKUP($M11109,'Informations sur les produits'!$A$3:$H$10000,8,FALSE),"0")</f>
        <v>0</v>
      </c>
      <c r="P11109" s="33">
        <f t="shared" si="692"/>
        <v>0</v>
      </c>
      <c r="Q11109" s="31" t="str">
        <f t="shared" si="693"/>
        <v/>
      </c>
      <c r="R11109" s="32" t="str">
        <f>IFERROR(VLOOKUP($D11109,'Informations sur les produits'!$A$3:$B$15000,2,FALSE),"")</f>
        <v/>
      </c>
      <c r="V11109">
        <f t="shared" si="694"/>
        <v>0</v>
      </c>
      <c r="W11109">
        <f t="shared" si="695"/>
        <v>0</v>
      </c>
    </row>
    <row r="11110" spans="5:23" x14ac:dyDescent="0.25">
      <c r="E11110" s="4"/>
      <c r="F11110" s="4"/>
      <c r="G11110" s="33" t="str">
        <f>IFERROR(VLOOKUP($D11110,'Informations sur les produits'!$A$3:$H$10000,8,FALSE),"0")</f>
        <v>0</v>
      </c>
      <c r="K11110" s="4"/>
      <c r="L11110" s="33" t="str">
        <f>IFERROR(VLOOKUP($J11110,'Informations sur les produits'!$A$3:$H$10000,8,FALSE),"0")</f>
        <v>0</v>
      </c>
      <c r="N11110" s="8"/>
      <c r="O11110" s="33" t="str">
        <f>IFERROR(VLOOKUP($M11110,'Informations sur les produits'!$A$3:$H$10000,8,FALSE),"0")</f>
        <v>0</v>
      </c>
      <c r="P11110" s="33">
        <f t="shared" si="692"/>
        <v>0</v>
      </c>
      <c r="Q11110" s="31" t="str">
        <f t="shared" si="693"/>
        <v/>
      </c>
      <c r="R11110" s="32" t="str">
        <f>IFERROR(VLOOKUP($D11110,'Informations sur les produits'!$A$3:$B$15000,2,FALSE),"")</f>
        <v/>
      </c>
      <c r="V11110">
        <f t="shared" si="694"/>
        <v>0</v>
      </c>
      <c r="W11110">
        <f t="shared" si="695"/>
        <v>0</v>
      </c>
    </row>
    <row r="11111" spans="5:23" x14ac:dyDescent="0.25">
      <c r="E11111" s="4"/>
      <c r="F11111" s="4"/>
      <c r="G11111" s="33" t="str">
        <f>IFERROR(VLOOKUP($D11111,'Informations sur les produits'!$A$3:$H$10000,8,FALSE),"0")</f>
        <v>0</v>
      </c>
      <c r="K11111" s="4"/>
      <c r="L11111" s="33" t="str">
        <f>IFERROR(VLOOKUP($J11111,'Informations sur les produits'!$A$3:$H$10000,8,FALSE),"0")</f>
        <v>0</v>
      </c>
      <c r="N11111" s="8"/>
      <c r="O11111" s="33" t="str">
        <f>IFERROR(VLOOKUP($M11111,'Informations sur les produits'!$A$3:$H$10000,8,FALSE),"0")</f>
        <v>0</v>
      </c>
      <c r="P11111" s="33">
        <f t="shared" si="692"/>
        <v>0</v>
      </c>
      <c r="Q11111" s="31" t="str">
        <f t="shared" si="693"/>
        <v/>
      </c>
      <c r="R11111" s="32" t="str">
        <f>IFERROR(VLOOKUP($D11111,'Informations sur les produits'!$A$3:$B$15000,2,FALSE),"")</f>
        <v/>
      </c>
      <c r="V11111">
        <f t="shared" si="694"/>
        <v>0</v>
      </c>
      <c r="W11111">
        <f t="shared" si="695"/>
        <v>0</v>
      </c>
    </row>
    <row r="11112" spans="5:23" x14ac:dyDescent="0.25">
      <c r="E11112" s="4"/>
      <c r="F11112" s="4"/>
      <c r="G11112" s="33" t="str">
        <f>IFERROR(VLOOKUP($D11112,'Informations sur les produits'!$A$3:$H$10000,8,FALSE),"0")</f>
        <v>0</v>
      </c>
      <c r="K11112" s="4"/>
      <c r="L11112" s="33" t="str">
        <f>IFERROR(VLOOKUP($J11112,'Informations sur les produits'!$A$3:$H$10000,8,FALSE),"0")</f>
        <v>0</v>
      </c>
      <c r="N11112" s="8"/>
      <c r="O11112" s="33" t="str">
        <f>IFERROR(VLOOKUP($M11112,'Informations sur les produits'!$A$3:$H$10000,8,FALSE),"0")</f>
        <v>0</v>
      </c>
      <c r="P11112" s="33">
        <f t="shared" si="692"/>
        <v>0</v>
      </c>
      <c r="Q11112" s="31" t="str">
        <f t="shared" si="693"/>
        <v/>
      </c>
      <c r="R11112" s="32" t="str">
        <f>IFERROR(VLOOKUP($D11112,'Informations sur les produits'!$A$3:$B$15000,2,FALSE),"")</f>
        <v/>
      </c>
      <c r="V11112">
        <f t="shared" si="694"/>
        <v>0</v>
      </c>
      <c r="W11112">
        <f t="shared" si="695"/>
        <v>0</v>
      </c>
    </row>
    <row r="11113" spans="5:23" x14ac:dyDescent="0.25">
      <c r="E11113" s="4"/>
      <c r="F11113" s="4"/>
      <c r="G11113" s="33" t="str">
        <f>IFERROR(VLOOKUP($D11113,'Informations sur les produits'!$A$3:$H$10000,8,FALSE),"0")</f>
        <v>0</v>
      </c>
      <c r="K11113" s="4"/>
      <c r="L11113" s="33" t="str">
        <f>IFERROR(VLOOKUP($J11113,'Informations sur les produits'!$A$3:$H$10000,8,FALSE),"0")</f>
        <v>0</v>
      </c>
      <c r="N11113" s="8"/>
      <c r="O11113" s="33" t="str">
        <f>IFERROR(VLOOKUP($M11113,'Informations sur les produits'!$A$3:$H$10000,8,FALSE),"0")</f>
        <v>0</v>
      </c>
      <c r="P11113" s="33">
        <f t="shared" si="692"/>
        <v>0</v>
      </c>
      <c r="Q11113" s="31" t="str">
        <f t="shared" si="693"/>
        <v/>
      </c>
      <c r="R11113" s="32" t="str">
        <f>IFERROR(VLOOKUP($D11113,'Informations sur les produits'!$A$3:$B$15000,2,FALSE),"")</f>
        <v/>
      </c>
      <c r="V11113">
        <f t="shared" si="694"/>
        <v>0</v>
      </c>
      <c r="W11113">
        <f t="shared" si="695"/>
        <v>0</v>
      </c>
    </row>
    <row r="11114" spans="5:23" x14ac:dyDescent="0.25">
      <c r="E11114" s="4"/>
      <c r="F11114" s="4"/>
      <c r="G11114" s="33" t="str">
        <f>IFERROR(VLOOKUP($D11114,'Informations sur les produits'!$A$3:$H$10000,8,FALSE),"0")</f>
        <v>0</v>
      </c>
      <c r="K11114" s="4"/>
      <c r="L11114" s="33" t="str">
        <f>IFERROR(VLOOKUP($J11114,'Informations sur les produits'!$A$3:$H$10000,8,FALSE),"0")</f>
        <v>0</v>
      </c>
      <c r="N11114" s="8"/>
      <c r="O11114" s="33" t="str">
        <f>IFERROR(VLOOKUP($M11114,'Informations sur les produits'!$A$3:$H$10000,8,FALSE),"0")</f>
        <v>0</v>
      </c>
      <c r="P11114" s="33">
        <f t="shared" si="692"/>
        <v>0</v>
      </c>
      <c r="Q11114" s="31" t="str">
        <f t="shared" si="693"/>
        <v/>
      </c>
      <c r="R11114" s="32" t="str">
        <f>IFERROR(VLOOKUP($D11114,'Informations sur les produits'!$A$3:$B$15000,2,FALSE),"")</f>
        <v/>
      </c>
      <c r="V11114">
        <f t="shared" si="694"/>
        <v>0</v>
      </c>
      <c r="W11114">
        <f t="shared" si="695"/>
        <v>0</v>
      </c>
    </row>
    <row r="11115" spans="5:23" x14ac:dyDescent="0.25">
      <c r="E11115" s="4"/>
      <c r="F11115" s="4"/>
      <c r="G11115" s="33" t="str">
        <f>IFERROR(VLOOKUP($D11115,'Informations sur les produits'!$A$3:$H$10000,8,FALSE),"0")</f>
        <v>0</v>
      </c>
      <c r="K11115" s="4"/>
      <c r="L11115" s="33" t="str">
        <f>IFERROR(VLOOKUP($J11115,'Informations sur les produits'!$A$3:$H$10000,8,FALSE),"0")</f>
        <v>0</v>
      </c>
      <c r="N11115" s="8"/>
      <c r="O11115" s="33" t="str">
        <f>IFERROR(VLOOKUP($M11115,'Informations sur les produits'!$A$3:$H$10000,8,FALSE),"0")</f>
        <v>0</v>
      </c>
      <c r="P11115" s="33">
        <f t="shared" si="692"/>
        <v>0</v>
      </c>
      <c r="Q11115" s="31" t="str">
        <f t="shared" si="693"/>
        <v/>
      </c>
      <c r="R11115" s="32" t="str">
        <f>IFERROR(VLOOKUP($D11115,'Informations sur les produits'!$A$3:$B$15000,2,FALSE),"")</f>
        <v/>
      </c>
      <c r="V11115">
        <f t="shared" si="694"/>
        <v>0</v>
      </c>
      <c r="W11115">
        <f t="shared" si="695"/>
        <v>0</v>
      </c>
    </row>
    <row r="11116" spans="5:23" x14ac:dyDescent="0.25">
      <c r="E11116" s="4"/>
      <c r="F11116" s="4"/>
      <c r="G11116" s="33" t="str">
        <f>IFERROR(VLOOKUP($D11116,'Informations sur les produits'!$A$3:$H$10000,8,FALSE),"0")</f>
        <v>0</v>
      </c>
      <c r="K11116" s="4"/>
      <c r="L11116" s="33" t="str">
        <f>IFERROR(VLOOKUP($J11116,'Informations sur les produits'!$A$3:$H$10000,8,FALSE),"0")</f>
        <v>0</v>
      </c>
      <c r="N11116" s="8"/>
      <c r="O11116" s="33" t="str">
        <f>IFERROR(VLOOKUP($M11116,'Informations sur les produits'!$A$3:$H$10000,8,FALSE),"0")</f>
        <v>0</v>
      </c>
      <c r="P11116" s="33">
        <f t="shared" si="692"/>
        <v>0</v>
      </c>
      <c r="Q11116" s="31" t="str">
        <f t="shared" si="693"/>
        <v/>
      </c>
      <c r="R11116" s="32" t="str">
        <f>IFERROR(VLOOKUP($D11116,'Informations sur les produits'!$A$3:$B$15000,2,FALSE),"")</f>
        <v/>
      </c>
      <c r="V11116">
        <f t="shared" si="694"/>
        <v>0</v>
      </c>
      <c r="W11116">
        <f t="shared" si="695"/>
        <v>0</v>
      </c>
    </row>
    <row r="11117" spans="5:23" x14ac:dyDescent="0.25">
      <c r="E11117" s="4"/>
      <c r="F11117" s="4"/>
      <c r="G11117" s="33" t="str">
        <f>IFERROR(VLOOKUP($D11117,'Informations sur les produits'!$A$3:$H$10000,8,FALSE),"0")</f>
        <v>0</v>
      </c>
      <c r="K11117" s="4"/>
      <c r="L11117" s="33" t="str">
        <f>IFERROR(VLOOKUP($J11117,'Informations sur les produits'!$A$3:$H$10000,8,FALSE),"0")</f>
        <v>0</v>
      </c>
      <c r="N11117" s="8"/>
      <c r="O11117" s="33" t="str">
        <f>IFERROR(VLOOKUP($M11117,'Informations sur les produits'!$A$3:$H$10000,8,FALSE),"0")</f>
        <v>0</v>
      </c>
      <c r="P11117" s="33">
        <f t="shared" si="692"/>
        <v>0</v>
      </c>
      <c r="Q11117" s="31" t="str">
        <f t="shared" si="693"/>
        <v/>
      </c>
      <c r="R11117" s="32" t="str">
        <f>IFERROR(VLOOKUP($D11117,'Informations sur les produits'!$A$3:$B$15000,2,FALSE),"")</f>
        <v/>
      </c>
      <c r="V11117">
        <f t="shared" si="694"/>
        <v>0</v>
      </c>
      <c r="W11117">
        <f t="shared" si="695"/>
        <v>0</v>
      </c>
    </row>
    <row r="11118" spans="5:23" x14ac:dyDescent="0.25">
      <c r="E11118" s="4"/>
      <c r="F11118" s="4"/>
      <c r="G11118" s="33" t="str">
        <f>IFERROR(VLOOKUP($D11118,'Informations sur les produits'!$A$3:$H$10000,8,FALSE),"0")</f>
        <v>0</v>
      </c>
      <c r="K11118" s="4"/>
      <c r="L11118" s="33" t="str">
        <f>IFERROR(VLOOKUP($J11118,'Informations sur les produits'!$A$3:$H$10000,8,FALSE),"0")</f>
        <v>0</v>
      </c>
      <c r="N11118" s="8"/>
      <c r="O11118" s="33" t="str">
        <f>IFERROR(VLOOKUP($M11118,'Informations sur les produits'!$A$3:$H$10000,8,FALSE),"0")</f>
        <v>0</v>
      </c>
      <c r="P11118" s="33">
        <f t="shared" si="692"/>
        <v>0</v>
      </c>
      <c r="Q11118" s="31" t="str">
        <f t="shared" si="693"/>
        <v/>
      </c>
      <c r="R11118" s="32" t="str">
        <f>IFERROR(VLOOKUP($D11118,'Informations sur les produits'!$A$3:$B$15000,2,FALSE),"")</f>
        <v/>
      </c>
      <c r="V11118">
        <f t="shared" si="694"/>
        <v>0</v>
      </c>
      <c r="W11118">
        <f t="shared" si="695"/>
        <v>0</v>
      </c>
    </row>
    <row r="11119" spans="5:23" x14ac:dyDescent="0.25">
      <c r="E11119" s="4"/>
      <c r="F11119" s="4"/>
      <c r="G11119" s="33" t="str">
        <f>IFERROR(VLOOKUP($D11119,'Informations sur les produits'!$A$3:$H$10000,8,FALSE),"0")</f>
        <v>0</v>
      </c>
      <c r="K11119" s="4"/>
      <c r="L11119" s="33" t="str">
        <f>IFERROR(VLOOKUP($J11119,'Informations sur les produits'!$A$3:$H$10000,8,FALSE),"0")</f>
        <v>0</v>
      </c>
      <c r="N11119" s="8"/>
      <c r="O11119" s="33" t="str">
        <f>IFERROR(VLOOKUP($M11119,'Informations sur les produits'!$A$3:$H$10000,8,FALSE),"0")</f>
        <v>0</v>
      </c>
      <c r="P11119" s="33">
        <f t="shared" si="692"/>
        <v>0</v>
      </c>
      <c r="Q11119" s="31" t="str">
        <f t="shared" si="693"/>
        <v/>
      </c>
      <c r="R11119" s="32" t="str">
        <f>IFERROR(VLOOKUP($D11119,'Informations sur les produits'!$A$3:$B$15000,2,FALSE),"")</f>
        <v/>
      </c>
      <c r="V11119">
        <f t="shared" si="694"/>
        <v>0</v>
      </c>
      <c r="W11119">
        <f t="shared" si="695"/>
        <v>0</v>
      </c>
    </row>
    <row r="11120" spans="5:23" x14ac:dyDescent="0.25">
      <c r="E11120" s="4"/>
      <c r="F11120" s="4"/>
      <c r="G11120" s="33" t="str">
        <f>IFERROR(VLOOKUP($D11120,'Informations sur les produits'!$A$3:$H$10000,8,FALSE),"0")</f>
        <v>0</v>
      </c>
      <c r="K11120" s="4"/>
      <c r="L11120" s="33" t="str">
        <f>IFERROR(VLOOKUP($J11120,'Informations sur les produits'!$A$3:$H$10000,8,FALSE),"0")</f>
        <v>0</v>
      </c>
      <c r="N11120" s="8"/>
      <c r="O11120" s="33" t="str">
        <f>IFERROR(VLOOKUP($M11120,'Informations sur les produits'!$A$3:$H$10000,8,FALSE),"0")</f>
        <v>0</v>
      </c>
      <c r="P11120" s="33">
        <f t="shared" si="692"/>
        <v>0</v>
      </c>
      <c r="Q11120" s="31" t="str">
        <f t="shared" si="693"/>
        <v/>
      </c>
      <c r="R11120" s="32" t="str">
        <f>IFERROR(VLOOKUP($D11120,'Informations sur les produits'!$A$3:$B$15000,2,FALSE),"")</f>
        <v/>
      </c>
      <c r="V11120">
        <f t="shared" si="694"/>
        <v>0</v>
      </c>
      <c r="W11120">
        <f t="shared" si="695"/>
        <v>0</v>
      </c>
    </row>
    <row r="11121" spans="5:23" x14ac:dyDescent="0.25">
      <c r="E11121" s="4"/>
      <c r="F11121" s="4"/>
      <c r="G11121" s="33" t="str">
        <f>IFERROR(VLOOKUP($D11121,'Informations sur les produits'!$A$3:$H$10000,8,FALSE),"0")</f>
        <v>0</v>
      </c>
      <c r="K11121" s="4"/>
      <c r="L11121" s="33" t="str">
        <f>IFERROR(VLOOKUP($J11121,'Informations sur les produits'!$A$3:$H$10000,8,FALSE),"0")</f>
        <v>0</v>
      </c>
      <c r="N11121" s="8"/>
      <c r="O11121" s="33" t="str">
        <f>IFERROR(VLOOKUP($M11121,'Informations sur les produits'!$A$3:$H$10000,8,FALSE),"0")</f>
        <v>0</v>
      </c>
      <c r="P11121" s="33">
        <f t="shared" si="692"/>
        <v>0</v>
      </c>
      <c r="Q11121" s="31" t="str">
        <f t="shared" si="693"/>
        <v/>
      </c>
      <c r="R11121" s="32" t="str">
        <f>IFERROR(VLOOKUP($D11121,'Informations sur les produits'!$A$3:$B$15000,2,FALSE),"")</f>
        <v/>
      </c>
      <c r="V11121">
        <f t="shared" si="694"/>
        <v>0</v>
      </c>
      <c r="W11121">
        <f t="shared" si="695"/>
        <v>0</v>
      </c>
    </row>
    <row r="11122" spans="5:23" x14ac:dyDescent="0.25">
      <c r="E11122" s="4"/>
      <c r="F11122" s="4"/>
      <c r="G11122" s="33" t="str">
        <f>IFERROR(VLOOKUP($D11122,'Informations sur les produits'!$A$3:$H$10000,8,FALSE),"0")</f>
        <v>0</v>
      </c>
      <c r="K11122" s="4"/>
      <c r="L11122" s="33" t="str">
        <f>IFERROR(VLOOKUP($J11122,'Informations sur les produits'!$A$3:$H$10000,8,FALSE),"0")</f>
        <v>0</v>
      </c>
      <c r="N11122" s="8"/>
      <c r="O11122" s="33" t="str">
        <f>IFERROR(VLOOKUP($M11122,'Informations sur les produits'!$A$3:$H$10000,8,FALSE),"0")</f>
        <v>0</v>
      </c>
      <c r="P11122" s="33">
        <f t="shared" si="692"/>
        <v>0</v>
      </c>
      <c r="Q11122" s="31" t="str">
        <f t="shared" si="693"/>
        <v/>
      </c>
      <c r="R11122" s="32" t="str">
        <f>IFERROR(VLOOKUP($D11122,'Informations sur les produits'!$A$3:$B$15000,2,FALSE),"")</f>
        <v/>
      </c>
      <c r="V11122">
        <f t="shared" si="694"/>
        <v>0</v>
      </c>
      <c r="W11122">
        <f t="shared" si="695"/>
        <v>0</v>
      </c>
    </row>
    <row r="11123" spans="5:23" x14ac:dyDescent="0.25">
      <c r="E11123" s="4"/>
      <c r="F11123" s="4"/>
      <c r="G11123" s="33" t="str">
        <f>IFERROR(VLOOKUP($D11123,'Informations sur les produits'!$A$3:$H$10000,8,FALSE),"0")</f>
        <v>0</v>
      </c>
      <c r="K11123" s="4"/>
      <c r="L11123" s="33" t="str">
        <f>IFERROR(VLOOKUP($J11123,'Informations sur les produits'!$A$3:$H$10000,8,FALSE),"0")</f>
        <v>0</v>
      </c>
      <c r="N11123" s="8"/>
      <c r="O11123" s="33" t="str">
        <f>IFERROR(VLOOKUP($M11123,'Informations sur les produits'!$A$3:$H$10000,8,FALSE),"0")</f>
        <v>0</v>
      </c>
      <c r="P11123" s="33">
        <f t="shared" si="692"/>
        <v>0</v>
      </c>
      <c r="Q11123" s="31" t="str">
        <f t="shared" si="693"/>
        <v/>
      </c>
      <c r="R11123" s="32" t="str">
        <f>IFERROR(VLOOKUP($D11123,'Informations sur les produits'!$A$3:$B$15000,2,FALSE),"")</f>
        <v/>
      </c>
      <c r="V11123">
        <f t="shared" si="694"/>
        <v>0</v>
      </c>
      <c r="W11123">
        <f t="shared" si="695"/>
        <v>0</v>
      </c>
    </row>
    <row r="11124" spans="5:23" x14ac:dyDescent="0.25">
      <c r="E11124" s="4"/>
      <c r="F11124" s="4"/>
      <c r="G11124" s="33" t="str">
        <f>IFERROR(VLOOKUP($D11124,'Informations sur les produits'!$A$3:$H$10000,8,FALSE),"0")</f>
        <v>0</v>
      </c>
      <c r="K11124" s="4"/>
      <c r="L11124" s="33" t="str">
        <f>IFERROR(VLOOKUP($J11124,'Informations sur les produits'!$A$3:$H$10000,8,FALSE),"0")</f>
        <v>0</v>
      </c>
      <c r="N11124" s="8"/>
      <c r="O11124" s="33" t="str">
        <f>IFERROR(VLOOKUP($M11124,'Informations sur les produits'!$A$3:$H$10000,8,FALSE),"0")</f>
        <v>0</v>
      </c>
      <c r="P11124" s="33">
        <f t="shared" si="692"/>
        <v>0</v>
      </c>
      <c r="Q11124" s="31" t="str">
        <f t="shared" si="693"/>
        <v/>
      </c>
      <c r="R11124" s="32" t="str">
        <f>IFERROR(VLOOKUP($D11124,'Informations sur les produits'!$A$3:$B$15000,2,FALSE),"")</f>
        <v/>
      </c>
      <c r="V11124">
        <f t="shared" si="694"/>
        <v>0</v>
      </c>
      <c r="W11124">
        <f t="shared" si="695"/>
        <v>0</v>
      </c>
    </row>
    <row r="11125" spans="5:23" x14ac:dyDescent="0.25">
      <c r="E11125" s="4"/>
      <c r="F11125" s="4"/>
      <c r="G11125" s="33" t="str">
        <f>IFERROR(VLOOKUP($D11125,'Informations sur les produits'!$A$3:$H$10000,8,FALSE),"0")</f>
        <v>0</v>
      </c>
      <c r="K11125" s="4"/>
      <c r="L11125" s="33" t="str">
        <f>IFERROR(VLOOKUP($J11125,'Informations sur les produits'!$A$3:$H$10000,8,FALSE),"0")</f>
        <v>0</v>
      </c>
      <c r="N11125" s="8"/>
      <c r="O11125" s="33" t="str">
        <f>IFERROR(VLOOKUP($M11125,'Informations sur les produits'!$A$3:$H$10000,8,FALSE),"0")</f>
        <v>0</v>
      </c>
      <c r="P11125" s="33">
        <f t="shared" si="692"/>
        <v>0</v>
      </c>
      <c r="Q11125" s="31" t="str">
        <f t="shared" si="693"/>
        <v/>
      </c>
      <c r="R11125" s="32" t="str">
        <f>IFERROR(VLOOKUP($D11125,'Informations sur les produits'!$A$3:$B$15000,2,FALSE),"")</f>
        <v/>
      </c>
      <c r="V11125">
        <f t="shared" si="694"/>
        <v>0</v>
      </c>
      <c r="W11125">
        <f t="shared" si="695"/>
        <v>0</v>
      </c>
    </row>
    <row r="11126" spans="5:23" x14ac:dyDescent="0.25">
      <c r="E11126" s="4"/>
      <c r="F11126" s="4"/>
      <c r="G11126" s="33" t="str">
        <f>IFERROR(VLOOKUP($D11126,'Informations sur les produits'!$A$3:$H$10000,8,FALSE),"0")</f>
        <v>0</v>
      </c>
      <c r="K11126" s="4"/>
      <c r="L11126" s="33" t="str">
        <f>IFERROR(VLOOKUP($J11126,'Informations sur les produits'!$A$3:$H$10000,8,FALSE),"0")</f>
        <v>0</v>
      </c>
      <c r="N11126" s="8"/>
      <c r="O11126" s="33" t="str">
        <f>IFERROR(VLOOKUP($M11126,'Informations sur les produits'!$A$3:$H$10000,8,FALSE),"0")</f>
        <v>0</v>
      </c>
      <c r="P11126" s="33">
        <f t="shared" si="692"/>
        <v>0</v>
      </c>
      <c r="Q11126" s="31" t="str">
        <f t="shared" si="693"/>
        <v/>
      </c>
      <c r="R11126" s="32" t="str">
        <f>IFERROR(VLOOKUP($D11126,'Informations sur les produits'!$A$3:$B$15000,2,FALSE),"")</f>
        <v/>
      </c>
      <c r="V11126">
        <f t="shared" si="694"/>
        <v>0</v>
      </c>
      <c r="W11126">
        <f t="shared" si="695"/>
        <v>0</v>
      </c>
    </row>
    <row r="11127" spans="5:23" x14ac:dyDescent="0.25">
      <c r="E11127" s="4"/>
      <c r="F11127" s="4"/>
      <c r="G11127" s="33" t="str">
        <f>IFERROR(VLOOKUP($D11127,'Informations sur les produits'!$A$3:$H$10000,8,FALSE),"0")</f>
        <v>0</v>
      </c>
      <c r="K11127" s="4"/>
      <c r="L11127" s="33" t="str">
        <f>IFERROR(VLOOKUP($J11127,'Informations sur les produits'!$A$3:$H$10000,8,FALSE),"0")</f>
        <v>0</v>
      </c>
      <c r="N11127" s="8"/>
      <c r="O11127" s="33" t="str">
        <f>IFERROR(VLOOKUP($M11127,'Informations sur les produits'!$A$3:$H$10000,8,FALSE),"0")</f>
        <v>0</v>
      </c>
      <c r="P11127" s="33">
        <f t="shared" si="692"/>
        <v>0</v>
      </c>
      <c r="Q11127" s="31" t="str">
        <f t="shared" si="693"/>
        <v/>
      </c>
      <c r="R11127" s="32" t="str">
        <f>IFERROR(VLOOKUP($D11127,'Informations sur les produits'!$A$3:$B$15000,2,FALSE),"")</f>
        <v/>
      </c>
      <c r="V11127">
        <f t="shared" si="694"/>
        <v>0</v>
      </c>
      <c r="W11127">
        <f t="shared" si="695"/>
        <v>0</v>
      </c>
    </row>
    <row r="11128" spans="5:23" x14ac:dyDescent="0.25">
      <c r="E11128" s="4"/>
      <c r="F11128" s="4"/>
      <c r="G11128" s="33" t="str">
        <f>IFERROR(VLOOKUP($D11128,'Informations sur les produits'!$A$3:$H$10000,8,FALSE),"0")</f>
        <v>0</v>
      </c>
      <c r="K11128" s="4"/>
      <c r="L11128" s="33" t="str">
        <f>IFERROR(VLOOKUP($J11128,'Informations sur les produits'!$A$3:$H$10000,8,FALSE),"0")</f>
        <v>0</v>
      </c>
      <c r="N11128" s="8"/>
      <c r="O11128" s="33" t="str">
        <f>IFERROR(VLOOKUP($M11128,'Informations sur les produits'!$A$3:$H$10000,8,FALSE),"0")</f>
        <v>0</v>
      </c>
      <c r="P11128" s="33">
        <f t="shared" si="692"/>
        <v>0</v>
      </c>
      <c r="Q11128" s="31" t="str">
        <f t="shared" si="693"/>
        <v/>
      </c>
      <c r="R11128" s="32" t="str">
        <f>IFERROR(VLOOKUP($D11128,'Informations sur les produits'!$A$3:$B$15000,2,FALSE),"")</f>
        <v/>
      </c>
      <c r="V11128">
        <f t="shared" si="694"/>
        <v>0</v>
      </c>
      <c r="W11128">
        <f t="shared" si="695"/>
        <v>0</v>
      </c>
    </row>
    <row r="11129" spans="5:23" x14ac:dyDescent="0.25">
      <c r="E11129" s="4"/>
      <c r="F11129" s="4"/>
      <c r="G11129" s="33" t="str">
        <f>IFERROR(VLOOKUP($D11129,'Informations sur les produits'!$A$3:$H$10000,8,FALSE),"0")</f>
        <v>0</v>
      </c>
      <c r="K11129" s="4"/>
      <c r="L11129" s="33" t="str">
        <f>IFERROR(VLOOKUP($J11129,'Informations sur les produits'!$A$3:$H$10000,8,FALSE),"0")</f>
        <v>0</v>
      </c>
      <c r="N11129" s="8"/>
      <c r="O11129" s="33" t="str">
        <f>IFERROR(VLOOKUP($M11129,'Informations sur les produits'!$A$3:$H$10000,8,FALSE),"0")</f>
        <v>0</v>
      </c>
      <c r="P11129" s="33">
        <f t="shared" si="692"/>
        <v>0</v>
      </c>
      <c r="Q11129" s="31" t="str">
        <f t="shared" si="693"/>
        <v/>
      </c>
      <c r="R11129" s="32" t="str">
        <f>IFERROR(VLOOKUP($D11129,'Informations sur les produits'!$A$3:$B$15000,2,FALSE),"")</f>
        <v/>
      </c>
      <c r="V11129">
        <f t="shared" si="694"/>
        <v>0</v>
      </c>
      <c r="W11129">
        <f t="shared" si="695"/>
        <v>0</v>
      </c>
    </row>
    <row r="11130" spans="5:23" x14ac:dyDescent="0.25">
      <c r="E11130" s="4"/>
      <c r="F11130" s="4"/>
      <c r="G11130" s="33" t="str">
        <f>IFERROR(VLOOKUP($D11130,'Informations sur les produits'!$A$3:$H$10000,8,FALSE),"0")</f>
        <v>0</v>
      </c>
      <c r="K11130" s="4"/>
      <c r="L11130" s="33" t="str">
        <f>IFERROR(VLOOKUP($J11130,'Informations sur les produits'!$A$3:$H$10000,8,FALSE),"0")</f>
        <v>0</v>
      </c>
      <c r="N11130" s="8"/>
      <c r="O11130" s="33" t="str">
        <f>IFERROR(VLOOKUP($M11130,'Informations sur les produits'!$A$3:$H$10000,8,FALSE),"0")</f>
        <v>0</v>
      </c>
      <c r="P11130" s="33">
        <f t="shared" si="692"/>
        <v>0</v>
      </c>
      <c r="Q11130" s="31" t="str">
        <f t="shared" si="693"/>
        <v/>
      </c>
      <c r="R11130" s="32" t="str">
        <f>IFERROR(VLOOKUP($D11130,'Informations sur les produits'!$A$3:$B$15000,2,FALSE),"")</f>
        <v/>
      </c>
      <c r="V11130">
        <f t="shared" si="694"/>
        <v>0</v>
      </c>
      <c r="W11130">
        <f t="shared" si="695"/>
        <v>0</v>
      </c>
    </row>
    <row r="11131" spans="5:23" x14ac:dyDescent="0.25">
      <c r="E11131" s="4"/>
      <c r="F11131" s="4"/>
      <c r="G11131" s="33" t="str">
        <f>IFERROR(VLOOKUP($D11131,'Informations sur les produits'!$A$3:$H$10000,8,FALSE),"0")</f>
        <v>0</v>
      </c>
      <c r="K11131" s="4"/>
      <c r="L11131" s="33" t="str">
        <f>IFERROR(VLOOKUP($J11131,'Informations sur les produits'!$A$3:$H$10000,8,FALSE),"0")</f>
        <v>0</v>
      </c>
      <c r="N11131" s="8"/>
      <c r="O11131" s="33" t="str">
        <f>IFERROR(VLOOKUP($M11131,'Informations sur les produits'!$A$3:$H$10000,8,FALSE),"0")</f>
        <v>0</v>
      </c>
      <c r="P11131" s="33">
        <f t="shared" si="692"/>
        <v>0</v>
      </c>
      <c r="Q11131" s="31" t="str">
        <f t="shared" si="693"/>
        <v/>
      </c>
      <c r="R11131" s="32" t="str">
        <f>IFERROR(VLOOKUP($D11131,'Informations sur les produits'!$A$3:$B$15000,2,FALSE),"")</f>
        <v/>
      </c>
      <c r="V11131">
        <f t="shared" si="694"/>
        <v>0</v>
      </c>
      <c r="W11131">
        <f t="shared" si="695"/>
        <v>0</v>
      </c>
    </row>
    <row r="11132" spans="5:23" x14ac:dyDescent="0.25">
      <c r="E11132" s="4"/>
      <c r="F11132" s="4"/>
      <c r="G11132" s="33" t="str">
        <f>IFERROR(VLOOKUP($D11132,'Informations sur les produits'!$A$3:$H$10000,8,FALSE),"0")</f>
        <v>0</v>
      </c>
      <c r="K11132" s="4"/>
      <c r="L11132" s="33" t="str">
        <f>IFERROR(VLOOKUP($J11132,'Informations sur les produits'!$A$3:$H$10000,8,FALSE),"0")</f>
        <v>0</v>
      </c>
      <c r="N11132" s="8"/>
      <c r="O11132" s="33" t="str">
        <f>IFERROR(VLOOKUP($M11132,'Informations sur les produits'!$A$3:$H$10000,8,FALSE),"0")</f>
        <v>0</v>
      </c>
      <c r="P11132" s="33">
        <f t="shared" si="692"/>
        <v>0</v>
      </c>
      <c r="Q11132" s="31" t="str">
        <f t="shared" si="693"/>
        <v/>
      </c>
      <c r="R11132" s="32" t="str">
        <f>IFERROR(VLOOKUP($D11132,'Informations sur les produits'!$A$3:$B$15000,2,FALSE),"")</f>
        <v/>
      </c>
      <c r="V11132">
        <f t="shared" si="694"/>
        <v>0</v>
      </c>
      <c r="W11132">
        <f t="shared" si="695"/>
        <v>0</v>
      </c>
    </row>
    <row r="11133" spans="5:23" x14ac:dyDescent="0.25">
      <c r="E11133" s="4"/>
      <c r="F11133" s="4"/>
      <c r="G11133" s="33" t="str">
        <f>IFERROR(VLOOKUP($D11133,'Informations sur les produits'!$A$3:$H$10000,8,FALSE),"0")</f>
        <v>0</v>
      </c>
      <c r="K11133" s="4"/>
      <c r="L11133" s="33" t="str">
        <f>IFERROR(VLOOKUP($J11133,'Informations sur les produits'!$A$3:$H$10000,8,FALSE),"0")</f>
        <v>0</v>
      </c>
      <c r="N11133" s="8"/>
      <c r="O11133" s="33" t="str">
        <f>IFERROR(VLOOKUP($M11133,'Informations sur les produits'!$A$3:$H$10000,8,FALSE),"0")</f>
        <v>0</v>
      </c>
      <c r="P11133" s="33">
        <f t="shared" si="692"/>
        <v>0</v>
      </c>
      <c r="Q11133" s="31" t="str">
        <f t="shared" si="693"/>
        <v/>
      </c>
      <c r="R11133" s="32" t="str">
        <f>IFERROR(VLOOKUP($D11133,'Informations sur les produits'!$A$3:$B$15000,2,FALSE),"")</f>
        <v/>
      </c>
      <c r="V11133">
        <f t="shared" si="694"/>
        <v>0</v>
      </c>
      <c r="W11133">
        <f t="shared" si="695"/>
        <v>0</v>
      </c>
    </row>
    <row r="11134" spans="5:23" x14ac:dyDescent="0.25">
      <c r="E11134" s="4"/>
      <c r="F11134" s="4"/>
      <c r="G11134" s="33" t="str">
        <f>IFERROR(VLOOKUP($D11134,'Informations sur les produits'!$A$3:$H$10000,8,FALSE),"0")</f>
        <v>0</v>
      </c>
      <c r="K11134" s="4"/>
      <c r="L11134" s="33" t="str">
        <f>IFERROR(VLOOKUP($J11134,'Informations sur les produits'!$A$3:$H$10000,8,FALSE),"0")</f>
        <v>0</v>
      </c>
      <c r="N11134" s="8"/>
      <c r="O11134" s="33" t="str">
        <f>IFERROR(VLOOKUP($M11134,'Informations sur les produits'!$A$3:$H$10000,8,FALSE),"0")</f>
        <v>0</v>
      </c>
      <c r="P11134" s="33">
        <f t="shared" si="692"/>
        <v>0</v>
      </c>
      <c r="Q11134" s="31" t="str">
        <f t="shared" si="693"/>
        <v/>
      </c>
      <c r="R11134" s="32" t="str">
        <f>IFERROR(VLOOKUP($D11134,'Informations sur les produits'!$A$3:$B$15000,2,FALSE),"")</f>
        <v/>
      </c>
      <c r="V11134">
        <f t="shared" si="694"/>
        <v>0</v>
      </c>
      <c r="W11134">
        <f t="shared" si="695"/>
        <v>0</v>
      </c>
    </row>
    <row r="11135" spans="5:23" x14ac:dyDescent="0.25">
      <c r="E11135" s="4"/>
      <c r="F11135" s="4"/>
      <c r="G11135" s="33" t="str">
        <f>IFERROR(VLOOKUP($D11135,'Informations sur les produits'!$A$3:$H$10000,8,FALSE),"0")</f>
        <v>0</v>
      </c>
      <c r="K11135" s="4"/>
      <c r="L11135" s="33" t="str">
        <f>IFERROR(VLOOKUP($J11135,'Informations sur les produits'!$A$3:$H$10000,8,FALSE),"0")</f>
        <v>0</v>
      </c>
      <c r="N11135" s="8"/>
      <c r="O11135" s="33" t="str">
        <f>IFERROR(VLOOKUP($M11135,'Informations sur les produits'!$A$3:$H$10000,8,FALSE),"0")</f>
        <v>0</v>
      </c>
      <c r="P11135" s="33">
        <f t="shared" si="692"/>
        <v>0</v>
      </c>
      <c r="Q11135" s="31" t="str">
        <f t="shared" si="693"/>
        <v/>
      </c>
      <c r="R11135" s="32" t="str">
        <f>IFERROR(VLOOKUP($D11135,'Informations sur les produits'!$A$3:$B$15000,2,FALSE),"")</f>
        <v/>
      </c>
      <c r="V11135">
        <f t="shared" si="694"/>
        <v>0</v>
      </c>
      <c r="W11135">
        <f t="shared" si="695"/>
        <v>0</v>
      </c>
    </row>
    <row r="11136" spans="5:23" x14ac:dyDescent="0.25">
      <c r="E11136" s="4"/>
      <c r="F11136" s="4"/>
      <c r="G11136" s="33" t="str">
        <f>IFERROR(VLOOKUP($D11136,'Informations sur les produits'!$A$3:$H$10000,8,FALSE),"0")</f>
        <v>0</v>
      </c>
      <c r="K11136" s="4"/>
      <c r="L11136" s="33" t="str">
        <f>IFERROR(VLOOKUP($J11136,'Informations sur les produits'!$A$3:$H$10000,8,FALSE),"0")</f>
        <v>0</v>
      </c>
      <c r="N11136" s="8"/>
      <c r="O11136" s="33" t="str">
        <f>IFERROR(VLOOKUP($M11136,'Informations sur les produits'!$A$3:$H$10000,8,FALSE),"0")</f>
        <v>0</v>
      </c>
      <c r="P11136" s="33">
        <f t="shared" si="692"/>
        <v>0</v>
      </c>
      <c r="Q11136" s="31" t="str">
        <f t="shared" si="693"/>
        <v/>
      </c>
      <c r="R11136" s="32" t="str">
        <f>IFERROR(VLOOKUP($D11136,'Informations sur les produits'!$A$3:$B$15000,2,FALSE),"")</f>
        <v/>
      </c>
      <c r="V11136">
        <f t="shared" si="694"/>
        <v>0</v>
      </c>
      <c r="W11136">
        <f t="shared" si="695"/>
        <v>0</v>
      </c>
    </row>
    <row r="11137" spans="5:23" x14ac:dyDescent="0.25">
      <c r="E11137" s="4"/>
      <c r="F11137" s="4"/>
      <c r="G11137" s="33" t="str">
        <f>IFERROR(VLOOKUP($D11137,'Informations sur les produits'!$A$3:$H$10000,8,FALSE),"0")</f>
        <v>0</v>
      </c>
      <c r="K11137" s="4"/>
      <c r="L11137" s="33" t="str">
        <f>IFERROR(VLOOKUP($J11137,'Informations sur les produits'!$A$3:$H$10000,8,FALSE),"0")</f>
        <v>0</v>
      </c>
      <c r="N11137" s="8"/>
      <c r="O11137" s="33" t="str">
        <f>IFERROR(VLOOKUP($M11137,'Informations sur les produits'!$A$3:$H$10000,8,FALSE),"0")</f>
        <v>0</v>
      </c>
      <c r="P11137" s="33">
        <f t="shared" si="692"/>
        <v>0</v>
      </c>
      <c r="Q11137" s="31" t="str">
        <f t="shared" si="693"/>
        <v/>
      </c>
      <c r="R11137" s="32" t="str">
        <f>IFERROR(VLOOKUP($D11137,'Informations sur les produits'!$A$3:$B$15000,2,FALSE),"")</f>
        <v/>
      </c>
      <c r="V11137">
        <f t="shared" si="694"/>
        <v>0</v>
      </c>
      <c r="W11137">
        <f t="shared" si="695"/>
        <v>0</v>
      </c>
    </row>
    <row r="11138" spans="5:23" x14ac:dyDescent="0.25">
      <c r="E11138" s="4"/>
      <c r="F11138" s="4"/>
      <c r="G11138" s="33" t="str">
        <f>IFERROR(VLOOKUP($D11138,'Informations sur les produits'!$A$3:$H$10000,8,FALSE),"0")</f>
        <v>0</v>
      </c>
      <c r="K11138" s="4"/>
      <c r="L11138" s="33" t="str">
        <f>IFERROR(VLOOKUP($J11138,'Informations sur les produits'!$A$3:$H$10000,8,FALSE),"0")</f>
        <v>0</v>
      </c>
      <c r="N11138" s="8"/>
      <c r="O11138" s="33" t="str">
        <f>IFERROR(VLOOKUP($M11138,'Informations sur les produits'!$A$3:$H$10000,8,FALSE),"0")</f>
        <v>0</v>
      </c>
      <c r="P11138" s="33">
        <f t="shared" si="692"/>
        <v>0</v>
      </c>
      <c r="Q11138" s="31" t="str">
        <f t="shared" si="693"/>
        <v/>
      </c>
      <c r="R11138" s="32" t="str">
        <f>IFERROR(VLOOKUP($D11138,'Informations sur les produits'!$A$3:$B$15000,2,FALSE),"")</f>
        <v/>
      </c>
      <c r="V11138">
        <f t="shared" si="694"/>
        <v>0</v>
      </c>
      <c r="W11138">
        <f t="shared" si="695"/>
        <v>0</v>
      </c>
    </row>
    <row r="11139" spans="5:23" x14ac:dyDescent="0.25">
      <c r="E11139" s="4"/>
      <c r="F11139" s="4"/>
      <c r="G11139" s="33" t="str">
        <f>IFERROR(VLOOKUP($D11139,'Informations sur les produits'!$A$3:$H$10000,8,FALSE),"0")</f>
        <v>0</v>
      </c>
      <c r="K11139" s="4"/>
      <c r="L11139" s="33" t="str">
        <f>IFERROR(VLOOKUP($J11139,'Informations sur les produits'!$A$3:$H$10000,8,FALSE),"0")</f>
        <v>0</v>
      </c>
      <c r="N11139" s="8"/>
      <c r="O11139" s="33" t="str">
        <f>IFERROR(VLOOKUP($M11139,'Informations sur les produits'!$A$3:$H$10000,8,FALSE),"0")</f>
        <v>0</v>
      </c>
      <c r="P11139" s="33">
        <f t="shared" si="692"/>
        <v>0</v>
      </c>
      <c r="Q11139" s="31" t="str">
        <f t="shared" si="693"/>
        <v/>
      </c>
      <c r="R11139" s="32" t="str">
        <f>IFERROR(VLOOKUP($D11139,'Informations sur les produits'!$A$3:$B$15000,2,FALSE),"")</f>
        <v/>
      </c>
      <c r="V11139">
        <f t="shared" si="694"/>
        <v>0</v>
      </c>
      <c r="W11139">
        <f t="shared" si="695"/>
        <v>0</v>
      </c>
    </row>
    <row r="11140" spans="5:23" x14ac:dyDescent="0.25">
      <c r="E11140" s="4"/>
      <c r="F11140" s="4"/>
      <c r="G11140" s="33" t="str">
        <f>IFERROR(VLOOKUP($D11140,'Informations sur les produits'!$A$3:$H$10000,8,FALSE),"0")</f>
        <v>0</v>
      </c>
      <c r="K11140" s="4"/>
      <c r="L11140" s="33" t="str">
        <f>IFERROR(VLOOKUP($J11140,'Informations sur les produits'!$A$3:$H$10000,8,FALSE),"0")</f>
        <v>0</v>
      </c>
      <c r="N11140" s="8"/>
      <c r="O11140" s="33" t="str">
        <f>IFERROR(VLOOKUP($M11140,'Informations sur les produits'!$A$3:$H$10000,8,FALSE),"0")</f>
        <v>0</v>
      </c>
      <c r="P11140" s="33">
        <f t="shared" ref="P11140:P11203" si="696">IFERROR((($E11140-$F11140)*$G11140+$K11140*$L11140+$N11140*$O11140),"")</f>
        <v>0</v>
      </c>
      <c r="Q11140" s="31" t="str">
        <f t="shared" ref="Q11140:Q11203" si="697">IFERROR((((($E11140-$F11140)*$G11140+$K11140*$L11140+$N11140*$O11140)*1000)/(($E11140-$F11140)+$K11140+$N11140)),"")</f>
        <v/>
      </c>
      <c r="R11140" s="32" t="str">
        <f>IFERROR(VLOOKUP($D11140,'Informations sur les produits'!$A$3:$B$15000,2,FALSE),"")</f>
        <v/>
      </c>
      <c r="V11140">
        <f t="shared" ref="V11140:V11203" si="698">IFERROR(P11140*1000,"")</f>
        <v>0</v>
      </c>
      <c r="W11140">
        <f t="shared" ref="W11140:W11203" si="699">IFERROR(($E11140-$F11140)+$K11140+$N11140,"")</f>
        <v>0</v>
      </c>
    </row>
    <row r="11141" spans="5:23" x14ac:dyDescent="0.25">
      <c r="E11141" s="4"/>
      <c r="F11141" s="4"/>
      <c r="G11141" s="33" t="str">
        <f>IFERROR(VLOOKUP($D11141,'Informations sur les produits'!$A$3:$H$10000,8,FALSE),"0")</f>
        <v>0</v>
      </c>
      <c r="K11141" s="4"/>
      <c r="L11141" s="33" t="str">
        <f>IFERROR(VLOOKUP($J11141,'Informations sur les produits'!$A$3:$H$10000,8,FALSE),"0")</f>
        <v>0</v>
      </c>
      <c r="N11141" s="8"/>
      <c r="O11141" s="33" t="str">
        <f>IFERROR(VLOOKUP($M11141,'Informations sur les produits'!$A$3:$H$10000,8,FALSE),"0")</f>
        <v>0</v>
      </c>
      <c r="P11141" s="33">
        <f t="shared" si="696"/>
        <v>0</v>
      </c>
      <c r="Q11141" s="31" t="str">
        <f t="shared" si="697"/>
        <v/>
      </c>
      <c r="R11141" s="32" t="str">
        <f>IFERROR(VLOOKUP($D11141,'Informations sur les produits'!$A$3:$B$15000,2,FALSE),"")</f>
        <v/>
      </c>
      <c r="V11141">
        <f t="shared" si="698"/>
        <v>0</v>
      </c>
      <c r="W11141">
        <f t="shared" si="699"/>
        <v>0</v>
      </c>
    </row>
    <row r="11142" spans="5:23" x14ac:dyDescent="0.25">
      <c r="E11142" s="4"/>
      <c r="F11142" s="4"/>
      <c r="G11142" s="33" t="str">
        <f>IFERROR(VLOOKUP($D11142,'Informations sur les produits'!$A$3:$H$10000,8,FALSE),"0")</f>
        <v>0</v>
      </c>
      <c r="K11142" s="4"/>
      <c r="L11142" s="33" t="str">
        <f>IFERROR(VLOOKUP($J11142,'Informations sur les produits'!$A$3:$H$10000,8,FALSE),"0")</f>
        <v>0</v>
      </c>
      <c r="N11142" s="8"/>
      <c r="O11142" s="33" t="str">
        <f>IFERROR(VLOOKUP($M11142,'Informations sur les produits'!$A$3:$H$10000,8,FALSE),"0")</f>
        <v>0</v>
      </c>
      <c r="P11142" s="33">
        <f t="shared" si="696"/>
        <v>0</v>
      </c>
      <c r="Q11142" s="31" t="str">
        <f t="shared" si="697"/>
        <v/>
      </c>
      <c r="R11142" s="32" t="str">
        <f>IFERROR(VLOOKUP($D11142,'Informations sur les produits'!$A$3:$B$15000,2,FALSE),"")</f>
        <v/>
      </c>
      <c r="V11142">
        <f t="shared" si="698"/>
        <v>0</v>
      </c>
      <c r="W11142">
        <f t="shared" si="699"/>
        <v>0</v>
      </c>
    </row>
    <row r="11143" spans="5:23" x14ac:dyDescent="0.25">
      <c r="E11143" s="4"/>
      <c r="F11143" s="4"/>
      <c r="G11143" s="33" t="str">
        <f>IFERROR(VLOOKUP($D11143,'Informations sur les produits'!$A$3:$H$10000,8,FALSE),"0")</f>
        <v>0</v>
      </c>
      <c r="K11143" s="4"/>
      <c r="L11143" s="33" t="str">
        <f>IFERROR(VLOOKUP($J11143,'Informations sur les produits'!$A$3:$H$10000,8,FALSE),"0")</f>
        <v>0</v>
      </c>
      <c r="N11143" s="8"/>
      <c r="O11143" s="33" t="str">
        <f>IFERROR(VLOOKUP($M11143,'Informations sur les produits'!$A$3:$H$10000,8,FALSE),"0")</f>
        <v>0</v>
      </c>
      <c r="P11143" s="33">
        <f t="shared" si="696"/>
        <v>0</v>
      </c>
      <c r="Q11143" s="31" t="str">
        <f t="shared" si="697"/>
        <v/>
      </c>
      <c r="R11143" s="32" t="str">
        <f>IFERROR(VLOOKUP($D11143,'Informations sur les produits'!$A$3:$B$15000,2,FALSE),"")</f>
        <v/>
      </c>
      <c r="V11143">
        <f t="shared" si="698"/>
        <v>0</v>
      </c>
      <c r="W11143">
        <f t="shared" si="699"/>
        <v>0</v>
      </c>
    </row>
    <row r="11144" spans="5:23" x14ac:dyDescent="0.25">
      <c r="E11144" s="4"/>
      <c r="F11144" s="4"/>
      <c r="G11144" s="33" t="str">
        <f>IFERROR(VLOOKUP($D11144,'Informations sur les produits'!$A$3:$H$10000,8,FALSE),"0")</f>
        <v>0</v>
      </c>
      <c r="K11144" s="4"/>
      <c r="L11144" s="33" t="str">
        <f>IFERROR(VLOOKUP($J11144,'Informations sur les produits'!$A$3:$H$10000,8,FALSE),"0")</f>
        <v>0</v>
      </c>
      <c r="N11144" s="8"/>
      <c r="O11144" s="33" t="str">
        <f>IFERROR(VLOOKUP($M11144,'Informations sur les produits'!$A$3:$H$10000,8,FALSE),"0")</f>
        <v>0</v>
      </c>
      <c r="P11144" s="33">
        <f t="shared" si="696"/>
        <v>0</v>
      </c>
      <c r="Q11144" s="31" t="str">
        <f t="shared" si="697"/>
        <v/>
      </c>
      <c r="R11144" s="32" t="str">
        <f>IFERROR(VLOOKUP($D11144,'Informations sur les produits'!$A$3:$B$15000,2,FALSE),"")</f>
        <v/>
      </c>
      <c r="V11144">
        <f t="shared" si="698"/>
        <v>0</v>
      </c>
      <c r="W11144">
        <f t="shared" si="699"/>
        <v>0</v>
      </c>
    </row>
    <row r="11145" spans="5:23" x14ac:dyDescent="0.25">
      <c r="E11145" s="4"/>
      <c r="F11145" s="4"/>
      <c r="G11145" s="33" t="str">
        <f>IFERROR(VLOOKUP($D11145,'Informations sur les produits'!$A$3:$H$10000,8,FALSE),"0")</f>
        <v>0</v>
      </c>
      <c r="K11145" s="4"/>
      <c r="L11145" s="33" t="str">
        <f>IFERROR(VLOOKUP($J11145,'Informations sur les produits'!$A$3:$H$10000,8,FALSE),"0")</f>
        <v>0</v>
      </c>
      <c r="N11145" s="8"/>
      <c r="O11145" s="33" t="str">
        <f>IFERROR(VLOOKUP($M11145,'Informations sur les produits'!$A$3:$H$10000,8,FALSE),"0")</f>
        <v>0</v>
      </c>
      <c r="P11145" s="33">
        <f t="shared" si="696"/>
        <v>0</v>
      </c>
      <c r="Q11145" s="31" t="str">
        <f t="shared" si="697"/>
        <v/>
      </c>
      <c r="R11145" s="32" t="str">
        <f>IFERROR(VLOOKUP($D11145,'Informations sur les produits'!$A$3:$B$15000,2,FALSE),"")</f>
        <v/>
      </c>
      <c r="V11145">
        <f t="shared" si="698"/>
        <v>0</v>
      </c>
      <c r="W11145">
        <f t="shared" si="699"/>
        <v>0</v>
      </c>
    </row>
    <row r="11146" spans="5:23" x14ac:dyDescent="0.25">
      <c r="E11146" s="4"/>
      <c r="F11146" s="4"/>
      <c r="G11146" s="33" t="str">
        <f>IFERROR(VLOOKUP($D11146,'Informations sur les produits'!$A$3:$H$10000,8,FALSE),"0")</f>
        <v>0</v>
      </c>
      <c r="K11146" s="4"/>
      <c r="L11146" s="33" t="str">
        <f>IFERROR(VLOOKUP($J11146,'Informations sur les produits'!$A$3:$H$10000,8,FALSE),"0")</f>
        <v>0</v>
      </c>
      <c r="N11146" s="8"/>
      <c r="O11146" s="33" t="str">
        <f>IFERROR(VLOOKUP($M11146,'Informations sur les produits'!$A$3:$H$10000,8,FALSE),"0")</f>
        <v>0</v>
      </c>
      <c r="P11146" s="33">
        <f t="shared" si="696"/>
        <v>0</v>
      </c>
      <c r="Q11146" s="31" t="str">
        <f t="shared" si="697"/>
        <v/>
      </c>
      <c r="R11146" s="32" t="str">
        <f>IFERROR(VLOOKUP($D11146,'Informations sur les produits'!$A$3:$B$15000,2,FALSE),"")</f>
        <v/>
      </c>
      <c r="V11146">
        <f t="shared" si="698"/>
        <v>0</v>
      </c>
      <c r="W11146">
        <f t="shared" si="699"/>
        <v>0</v>
      </c>
    </row>
    <row r="11147" spans="5:23" x14ac:dyDescent="0.25">
      <c r="E11147" s="4"/>
      <c r="F11147" s="4"/>
      <c r="G11147" s="33" t="str">
        <f>IFERROR(VLOOKUP($D11147,'Informations sur les produits'!$A$3:$H$10000,8,FALSE),"0")</f>
        <v>0</v>
      </c>
      <c r="K11147" s="4"/>
      <c r="L11147" s="33" t="str">
        <f>IFERROR(VLOOKUP($J11147,'Informations sur les produits'!$A$3:$H$10000,8,FALSE),"0")</f>
        <v>0</v>
      </c>
      <c r="N11147" s="8"/>
      <c r="O11147" s="33" t="str">
        <f>IFERROR(VLOOKUP($M11147,'Informations sur les produits'!$A$3:$H$10000,8,FALSE),"0")</f>
        <v>0</v>
      </c>
      <c r="P11147" s="33">
        <f t="shared" si="696"/>
        <v>0</v>
      </c>
      <c r="Q11147" s="31" t="str">
        <f t="shared" si="697"/>
        <v/>
      </c>
      <c r="R11147" s="32" t="str">
        <f>IFERROR(VLOOKUP($D11147,'Informations sur les produits'!$A$3:$B$15000,2,FALSE),"")</f>
        <v/>
      </c>
      <c r="V11147">
        <f t="shared" si="698"/>
        <v>0</v>
      </c>
      <c r="W11147">
        <f t="shared" si="699"/>
        <v>0</v>
      </c>
    </row>
    <row r="11148" spans="5:23" x14ac:dyDescent="0.25">
      <c r="E11148" s="4"/>
      <c r="F11148" s="4"/>
      <c r="G11148" s="33" t="str">
        <f>IFERROR(VLOOKUP($D11148,'Informations sur les produits'!$A$3:$H$10000,8,FALSE),"0")</f>
        <v>0</v>
      </c>
      <c r="K11148" s="4"/>
      <c r="L11148" s="33" t="str">
        <f>IFERROR(VLOOKUP($J11148,'Informations sur les produits'!$A$3:$H$10000,8,FALSE),"0")</f>
        <v>0</v>
      </c>
      <c r="N11148" s="8"/>
      <c r="O11148" s="33" t="str">
        <f>IFERROR(VLOOKUP($M11148,'Informations sur les produits'!$A$3:$H$10000,8,FALSE),"0")</f>
        <v>0</v>
      </c>
      <c r="P11148" s="33">
        <f t="shared" si="696"/>
        <v>0</v>
      </c>
      <c r="Q11148" s="31" t="str">
        <f t="shared" si="697"/>
        <v/>
      </c>
      <c r="R11148" s="32" t="str">
        <f>IFERROR(VLOOKUP($D11148,'Informations sur les produits'!$A$3:$B$15000,2,FALSE),"")</f>
        <v/>
      </c>
      <c r="V11148">
        <f t="shared" si="698"/>
        <v>0</v>
      </c>
      <c r="W11148">
        <f t="shared" si="699"/>
        <v>0</v>
      </c>
    </row>
    <row r="11149" spans="5:23" x14ac:dyDescent="0.25">
      <c r="E11149" s="4"/>
      <c r="F11149" s="4"/>
      <c r="G11149" s="33" t="str">
        <f>IFERROR(VLOOKUP($D11149,'Informations sur les produits'!$A$3:$H$10000,8,FALSE),"0")</f>
        <v>0</v>
      </c>
      <c r="K11149" s="4"/>
      <c r="L11149" s="33" t="str">
        <f>IFERROR(VLOOKUP($J11149,'Informations sur les produits'!$A$3:$H$10000,8,FALSE),"0")</f>
        <v>0</v>
      </c>
      <c r="N11149" s="8"/>
      <c r="O11149" s="33" t="str">
        <f>IFERROR(VLOOKUP($M11149,'Informations sur les produits'!$A$3:$H$10000,8,FALSE),"0")</f>
        <v>0</v>
      </c>
      <c r="P11149" s="33">
        <f t="shared" si="696"/>
        <v>0</v>
      </c>
      <c r="Q11149" s="31" t="str">
        <f t="shared" si="697"/>
        <v/>
      </c>
      <c r="R11149" s="32" t="str">
        <f>IFERROR(VLOOKUP($D11149,'Informations sur les produits'!$A$3:$B$15000,2,FALSE),"")</f>
        <v/>
      </c>
      <c r="V11149">
        <f t="shared" si="698"/>
        <v>0</v>
      </c>
      <c r="W11149">
        <f t="shared" si="699"/>
        <v>0</v>
      </c>
    </row>
    <row r="11150" spans="5:23" x14ac:dyDescent="0.25">
      <c r="E11150" s="4"/>
      <c r="F11150" s="4"/>
      <c r="G11150" s="33" t="str">
        <f>IFERROR(VLOOKUP($D11150,'Informations sur les produits'!$A$3:$H$10000,8,FALSE),"0")</f>
        <v>0</v>
      </c>
      <c r="K11150" s="4"/>
      <c r="L11150" s="33" t="str">
        <f>IFERROR(VLOOKUP($J11150,'Informations sur les produits'!$A$3:$H$10000,8,FALSE),"0")</f>
        <v>0</v>
      </c>
      <c r="N11150" s="8"/>
      <c r="O11150" s="33" t="str">
        <f>IFERROR(VLOOKUP($M11150,'Informations sur les produits'!$A$3:$H$10000,8,FALSE),"0")</f>
        <v>0</v>
      </c>
      <c r="P11150" s="33">
        <f t="shared" si="696"/>
        <v>0</v>
      </c>
      <c r="Q11150" s="31" t="str">
        <f t="shared" si="697"/>
        <v/>
      </c>
      <c r="R11150" s="32" t="str">
        <f>IFERROR(VLOOKUP($D11150,'Informations sur les produits'!$A$3:$B$15000,2,FALSE),"")</f>
        <v/>
      </c>
      <c r="V11150">
        <f t="shared" si="698"/>
        <v>0</v>
      </c>
      <c r="W11150">
        <f t="shared" si="699"/>
        <v>0</v>
      </c>
    </row>
    <row r="11151" spans="5:23" x14ac:dyDescent="0.25">
      <c r="E11151" s="4"/>
      <c r="F11151" s="4"/>
      <c r="G11151" s="33" t="str">
        <f>IFERROR(VLOOKUP($D11151,'Informations sur les produits'!$A$3:$H$10000,8,FALSE),"0")</f>
        <v>0</v>
      </c>
      <c r="K11151" s="4"/>
      <c r="L11151" s="33" t="str">
        <f>IFERROR(VLOOKUP($J11151,'Informations sur les produits'!$A$3:$H$10000,8,FALSE),"0")</f>
        <v>0</v>
      </c>
      <c r="N11151" s="8"/>
      <c r="O11151" s="33" t="str">
        <f>IFERROR(VLOOKUP($M11151,'Informations sur les produits'!$A$3:$H$10000,8,FALSE),"0")</f>
        <v>0</v>
      </c>
      <c r="P11151" s="33">
        <f t="shared" si="696"/>
        <v>0</v>
      </c>
      <c r="Q11151" s="31" t="str">
        <f t="shared" si="697"/>
        <v/>
      </c>
      <c r="R11151" s="32" t="str">
        <f>IFERROR(VLOOKUP($D11151,'Informations sur les produits'!$A$3:$B$15000,2,FALSE),"")</f>
        <v/>
      </c>
      <c r="V11151">
        <f t="shared" si="698"/>
        <v>0</v>
      </c>
      <c r="W11151">
        <f t="shared" si="699"/>
        <v>0</v>
      </c>
    </row>
    <row r="11152" spans="5:23" x14ac:dyDescent="0.25">
      <c r="E11152" s="4"/>
      <c r="F11152" s="4"/>
      <c r="G11152" s="33" t="str">
        <f>IFERROR(VLOOKUP($D11152,'Informations sur les produits'!$A$3:$H$10000,8,FALSE),"0")</f>
        <v>0</v>
      </c>
      <c r="K11152" s="4"/>
      <c r="L11152" s="33" t="str">
        <f>IFERROR(VLOOKUP($J11152,'Informations sur les produits'!$A$3:$H$10000,8,FALSE),"0")</f>
        <v>0</v>
      </c>
      <c r="N11152" s="8"/>
      <c r="O11152" s="33" t="str">
        <f>IFERROR(VLOOKUP($M11152,'Informations sur les produits'!$A$3:$H$10000,8,FALSE),"0")</f>
        <v>0</v>
      </c>
      <c r="P11152" s="33">
        <f t="shared" si="696"/>
        <v>0</v>
      </c>
      <c r="Q11152" s="31" t="str">
        <f t="shared" si="697"/>
        <v/>
      </c>
      <c r="R11152" s="32" t="str">
        <f>IFERROR(VLOOKUP($D11152,'Informations sur les produits'!$A$3:$B$15000,2,FALSE),"")</f>
        <v/>
      </c>
      <c r="V11152">
        <f t="shared" si="698"/>
        <v>0</v>
      </c>
      <c r="W11152">
        <f t="shared" si="699"/>
        <v>0</v>
      </c>
    </row>
    <row r="11153" spans="5:23" x14ac:dyDescent="0.25">
      <c r="E11153" s="4"/>
      <c r="F11153" s="4"/>
      <c r="G11153" s="33" t="str">
        <f>IFERROR(VLOOKUP($D11153,'Informations sur les produits'!$A$3:$H$10000,8,FALSE),"0")</f>
        <v>0</v>
      </c>
      <c r="K11153" s="4"/>
      <c r="L11153" s="33" t="str">
        <f>IFERROR(VLOOKUP($J11153,'Informations sur les produits'!$A$3:$H$10000,8,FALSE),"0")</f>
        <v>0</v>
      </c>
      <c r="N11153" s="8"/>
      <c r="O11153" s="33" t="str">
        <f>IFERROR(VLOOKUP($M11153,'Informations sur les produits'!$A$3:$H$10000,8,FALSE),"0")</f>
        <v>0</v>
      </c>
      <c r="P11153" s="33">
        <f t="shared" si="696"/>
        <v>0</v>
      </c>
      <c r="Q11153" s="31" t="str">
        <f t="shared" si="697"/>
        <v/>
      </c>
      <c r="R11153" s="32" t="str">
        <f>IFERROR(VLOOKUP($D11153,'Informations sur les produits'!$A$3:$B$15000,2,FALSE),"")</f>
        <v/>
      </c>
      <c r="V11153">
        <f t="shared" si="698"/>
        <v>0</v>
      </c>
      <c r="W11153">
        <f t="shared" si="699"/>
        <v>0</v>
      </c>
    </row>
    <row r="11154" spans="5:23" x14ac:dyDescent="0.25">
      <c r="E11154" s="4"/>
      <c r="F11154" s="4"/>
      <c r="G11154" s="33" t="str">
        <f>IFERROR(VLOOKUP($D11154,'Informations sur les produits'!$A$3:$H$10000,8,FALSE),"0")</f>
        <v>0</v>
      </c>
      <c r="K11154" s="4"/>
      <c r="L11154" s="33" t="str">
        <f>IFERROR(VLOOKUP($J11154,'Informations sur les produits'!$A$3:$H$10000,8,FALSE),"0")</f>
        <v>0</v>
      </c>
      <c r="N11154" s="8"/>
      <c r="O11154" s="33" t="str">
        <f>IFERROR(VLOOKUP($M11154,'Informations sur les produits'!$A$3:$H$10000,8,FALSE),"0")</f>
        <v>0</v>
      </c>
      <c r="P11154" s="33">
        <f t="shared" si="696"/>
        <v>0</v>
      </c>
      <c r="Q11154" s="31" t="str">
        <f t="shared" si="697"/>
        <v/>
      </c>
      <c r="R11154" s="32" t="str">
        <f>IFERROR(VLOOKUP($D11154,'Informations sur les produits'!$A$3:$B$15000,2,FALSE),"")</f>
        <v/>
      </c>
      <c r="V11154">
        <f t="shared" si="698"/>
        <v>0</v>
      </c>
      <c r="W11154">
        <f t="shared" si="699"/>
        <v>0</v>
      </c>
    </row>
    <row r="11155" spans="5:23" x14ac:dyDescent="0.25">
      <c r="E11155" s="4"/>
      <c r="F11155" s="4"/>
      <c r="G11155" s="33" t="str">
        <f>IFERROR(VLOOKUP($D11155,'Informations sur les produits'!$A$3:$H$10000,8,FALSE),"0")</f>
        <v>0</v>
      </c>
      <c r="K11155" s="4"/>
      <c r="L11155" s="33" t="str">
        <f>IFERROR(VLOOKUP($J11155,'Informations sur les produits'!$A$3:$H$10000,8,FALSE),"0")</f>
        <v>0</v>
      </c>
      <c r="N11155" s="8"/>
      <c r="O11155" s="33" t="str">
        <f>IFERROR(VLOOKUP($M11155,'Informations sur les produits'!$A$3:$H$10000,8,FALSE),"0")</f>
        <v>0</v>
      </c>
      <c r="P11155" s="33">
        <f t="shared" si="696"/>
        <v>0</v>
      </c>
      <c r="Q11155" s="31" t="str">
        <f t="shared" si="697"/>
        <v/>
      </c>
      <c r="R11155" s="32" t="str">
        <f>IFERROR(VLOOKUP($D11155,'Informations sur les produits'!$A$3:$B$15000,2,FALSE),"")</f>
        <v/>
      </c>
      <c r="V11155">
        <f t="shared" si="698"/>
        <v>0</v>
      </c>
      <c r="W11155">
        <f t="shared" si="699"/>
        <v>0</v>
      </c>
    </row>
    <row r="11156" spans="5:23" x14ac:dyDescent="0.25">
      <c r="E11156" s="4"/>
      <c r="F11156" s="4"/>
      <c r="G11156" s="33" t="str">
        <f>IFERROR(VLOOKUP($D11156,'Informations sur les produits'!$A$3:$H$10000,8,FALSE),"0")</f>
        <v>0</v>
      </c>
      <c r="K11156" s="4"/>
      <c r="L11156" s="33" t="str">
        <f>IFERROR(VLOOKUP($J11156,'Informations sur les produits'!$A$3:$H$10000,8,FALSE),"0")</f>
        <v>0</v>
      </c>
      <c r="N11156" s="8"/>
      <c r="O11156" s="33" t="str">
        <f>IFERROR(VLOOKUP($M11156,'Informations sur les produits'!$A$3:$H$10000,8,FALSE),"0")</f>
        <v>0</v>
      </c>
      <c r="P11156" s="33">
        <f t="shared" si="696"/>
        <v>0</v>
      </c>
      <c r="Q11156" s="31" t="str">
        <f t="shared" si="697"/>
        <v/>
      </c>
      <c r="R11156" s="32" t="str">
        <f>IFERROR(VLOOKUP($D11156,'Informations sur les produits'!$A$3:$B$15000,2,FALSE),"")</f>
        <v/>
      </c>
      <c r="V11156">
        <f t="shared" si="698"/>
        <v>0</v>
      </c>
      <c r="W11156">
        <f t="shared" si="699"/>
        <v>0</v>
      </c>
    </row>
    <row r="11157" spans="5:23" x14ac:dyDescent="0.25">
      <c r="E11157" s="4"/>
      <c r="F11157" s="4"/>
      <c r="G11157" s="33" t="str">
        <f>IFERROR(VLOOKUP($D11157,'Informations sur les produits'!$A$3:$H$10000,8,FALSE),"0")</f>
        <v>0</v>
      </c>
      <c r="K11157" s="4"/>
      <c r="L11157" s="33" t="str">
        <f>IFERROR(VLOOKUP($J11157,'Informations sur les produits'!$A$3:$H$10000,8,FALSE),"0")</f>
        <v>0</v>
      </c>
      <c r="N11157" s="8"/>
      <c r="O11157" s="33" t="str">
        <f>IFERROR(VLOOKUP($M11157,'Informations sur les produits'!$A$3:$H$10000,8,FALSE),"0")</f>
        <v>0</v>
      </c>
      <c r="P11157" s="33">
        <f t="shared" si="696"/>
        <v>0</v>
      </c>
      <c r="Q11157" s="31" t="str">
        <f t="shared" si="697"/>
        <v/>
      </c>
      <c r="R11157" s="32" t="str">
        <f>IFERROR(VLOOKUP($D11157,'Informations sur les produits'!$A$3:$B$15000,2,FALSE),"")</f>
        <v/>
      </c>
      <c r="V11157">
        <f t="shared" si="698"/>
        <v>0</v>
      </c>
      <c r="W11157">
        <f t="shared" si="699"/>
        <v>0</v>
      </c>
    </row>
    <row r="11158" spans="5:23" x14ac:dyDescent="0.25">
      <c r="E11158" s="4"/>
      <c r="F11158" s="4"/>
      <c r="G11158" s="33" t="str">
        <f>IFERROR(VLOOKUP($D11158,'Informations sur les produits'!$A$3:$H$10000,8,FALSE),"0")</f>
        <v>0</v>
      </c>
      <c r="K11158" s="4"/>
      <c r="L11158" s="33" t="str">
        <f>IFERROR(VLOOKUP($J11158,'Informations sur les produits'!$A$3:$H$10000,8,FALSE),"0")</f>
        <v>0</v>
      </c>
      <c r="N11158" s="8"/>
      <c r="O11158" s="33" t="str">
        <f>IFERROR(VLOOKUP($M11158,'Informations sur les produits'!$A$3:$H$10000,8,FALSE),"0")</f>
        <v>0</v>
      </c>
      <c r="P11158" s="33">
        <f t="shared" si="696"/>
        <v>0</v>
      </c>
      <c r="Q11158" s="31" t="str">
        <f t="shared" si="697"/>
        <v/>
      </c>
      <c r="R11158" s="32" t="str">
        <f>IFERROR(VLOOKUP($D11158,'Informations sur les produits'!$A$3:$B$15000,2,FALSE),"")</f>
        <v/>
      </c>
      <c r="V11158">
        <f t="shared" si="698"/>
        <v>0</v>
      </c>
      <c r="W11158">
        <f t="shared" si="699"/>
        <v>0</v>
      </c>
    </row>
    <row r="11159" spans="5:23" x14ac:dyDescent="0.25">
      <c r="E11159" s="4"/>
      <c r="F11159" s="4"/>
      <c r="G11159" s="33" t="str">
        <f>IFERROR(VLOOKUP($D11159,'Informations sur les produits'!$A$3:$H$10000,8,FALSE),"0")</f>
        <v>0</v>
      </c>
      <c r="K11159" s="4"/>
      <c r="L11159" s="33" t="str">
        <f>IFERROR(VLOOKUP($J11159,'Informations sur les produits'!$A$3:$H$10000,8,FALSE),"0")</f>
        <v>0</v>
      </c>
      <c r="N11159" s="8"/>
      <c r="O11159" s="33" t="str">
        <f>IFERROR(VLOOKUP($M11159,'Informations sur les produits'!$A$3:$H$10000,8,FALSE),"0")</f>
        <v>0</v>
      </c>
      <c r="P11159" s="33">
        <f t="shared" si="696"/>
        <v>0</v>
      </c>
      <c r="Q11159" s="31" t="str">
        <f t="shared" si="697"/>
        <v/>
      </c>
      <c r="R11159" s="32" t="str">
        <f>IFERROR(VLOOKUP($D11159,'Informations sur les produits'!$A$3:$B$15000,2,FALSE),"")</f>
        <v/>
      </c>
      <c r="V11159">
        <f t="shared" si="698"/>
        <v>0</v>
      </c>
      <c r="W11159">
        <f t="shared" si="699"/>
        <v>0</v>
      </c>
    </row>
    <row r="11160" spans="5:23" x14ac:dyDescent="0.25">
      <c r="E11160" s="4"/>
      <c r="F11160" s="4"/>
      <c r="G11160" s="33" t="str">
        <f>IFERROR(VLOOKUP($D11160,'Informations sur les produits'!$A$3:$H$10000,8,FALSE),"0")</f>
        <v>0</v>
      </c>
      <c r="K11160" s="4"/>
      <c r="L11160" s="33" t="str">
        <f>IFERROR(VLOOKUP($J11160,'Informations sur les produits'!$A$3:$H$10000,8,FALSE),"0")</f>
        <v>0</v>
      </c>
      <c r="N11160" s="8"/>
      <c r="O11160" s="33" t="str">
        <f>IFERROR(VLOOKUP($M11160,'Informations sur les produits'!$A$3:$H$10000,8,FALSE),"0")</f>
        <v>0</v>
      </c>
      <c r="P11160" s="33">
        <f t="shared" si="696"/>
        <v>0</v>
      </c>
      <c r="Q11160" s="31" t="str">
        <f t="shared" si="697"/>
        <v/>
      </c>
      <c r="R11160" s="32" t="str">
        <f>IFERROR(VLOOKUP($D11160,'Informations sur les produits'!$A$3:$B$15000,2,FALSE),"")</f>
        <v/>
      </c>
      <c r="V11160">
        <f t="shared" si="698"/>
        <v>0</v>
      </c>
      <c r="W11160">
        <f t="shared" si="699"/>
        <v>0</v>
      </c>
    </row>
    <row r="11161" spans="5:23" x14ac:dyDescent="0.25">
      <c r="E11161" s="4"/>
      <c r="F11161" s="4"/>
      <c r="G11161" s="33" t="str">
        <f>IFERROR(VLOOKUP($D11161,'Informations sur les produits'!$A$3:$H$10000,8,FALSE),"0")</f>
        <v>0</v>
      </c>
      <c r="K11161" s="4"/>
      <c r="L11161" s="33" t="str">
        <f>IFERROR(VLOOKUP($J11161,'Informations sur les produits'!$A$3:$H$10000,8,FALSE),"0")</f>
        <v>0</v>
      </c>
      <c r="N11161" s="8"/>
      <c r="O11161" s="33" t="str">
        <f>IFERROR(VLOOKUP($M11161,'Informations sur les produits'!$A$3:$H$10000,8,FALSE),"0")</f>
        <v>0</v>
      </c>
      <c r="P11161" s="33">
        <f t="shared" si="696"/>
        <v>0</v>
      </c>
      <c r="Q11161" s="31" t="str">
        <f t="shared" si="697"/>
        <v/>
      </c>
      <c r="R11161" s="32" t="str">
        <f>IFERROR(VLOOKUP($D11161,'Informations sur les produits'!$A$3:$B$15000,2,FALSE),"")</f>
        <v/>
      </c>
      <c r="V11161">
        <f t="shared" si="698"/>
        <v>0</v>
      </c>
      <c r="W11161">
        <f t="shared" si="699"/>
        <v>0</v>
      </c>
    </row>
    <row r="11162" spans="5:23" x14ac:dyDescent="0.25">
      <c r="E11162" s="4"/>
      <c r="F11162" s="4"/>
      <c r="G11162" s="33" t="str">
        <f>IFERROR(VLOOKUP($D11162,'Informations sur les produits'!$A$3:$H$10000,8,FALSE),"0")</f>
        <v>0</v>
      </c>
      <c r="K11162" s="4"/>
      <c r="L11162" s="33" t="str">
        <f>IFERROR(VLOOKUP($J11162,'Informations sur les produits'!$A$3:$H$10000,8,FALSE),"0")</f>
        <v>0</v>
      </c>
      <c r="N11162" s="8"/>
      <c r="O11162" s="33" t="str">
        <f>IFERROR(VLOOKUP($M11162,'Informations sur les produits'!$A$3:$H$10000,8,FALSE),"0")</f>
        <v>0</v>
      </c>
      <c r="P11162" s="33">
        <f t="shared" si="696"/>
        <v>0</v>
      </c>
      <c r="Q11162" s="31" t="str">
        <f t="shared" si="697"/>
        <v/>
      </c>
      <c r="R11162" s="32" t="str">
        <f>IFERROR(VLOOKUP($D11162,'Informations sur les produits'!$A$3:$B$15000,2,FALSE),"")</f>
        <v/>
      </c>
      <c r="V11162">
        <f t="shared" si="698"/>
        <v>0</v>
      </c>
      <c r="W11162">
        <f t="shared" si="699"/>
        <v>0</v>
      </c>
    </row>
    <row r="11163" spans="5:23" x14ac:dyDescent="0.25">
      <c r="E11163" s="4"/>
      <c r="F11163" s="4"/>
      <c r="G11163" s="33" t="str">
        <f>IFERROR(VLOOKUP($D11163,'Informations sur les produits'!$A$3:$H$10000,8,FALSE),"0")</f>
        <v>0</v>
      </c>
      <c r="K11163" s="4"/>
      <c r="L11163" s="33" t="str">
        <f>IFERROR(VLOOKUP($J11163,'Informations sur les produits'!$A$3:$H$10000,8,FALSE),"0")</f>
        <v>0</v>
      </c>
      <c r="N11163" s="8"/>
      <c r="O11163" s="33" t="str">
        <f>IFERROR(VLOOKUP($M11163,'Informations sur les produits'!$A$3:$H$10000,8,FALSE),"0")</f>
        <v>0</v>
      </c>
      <c r="P11163" s="33">
        <f t="shared" si="696"/>
        <v>0</v>
      </c>
      <c r="Q11163" s="31" t="str">
        <f t="shared" si="697"/>
        <v/>
      </c>
      <c r="R11163" s="32" t="str">
        <f>IFERROR(VLOOKUP($D11163,'Informations sur les produits'!$A$3:$B$15000,2,FALSE),"")</f>
        <v/>
      </c>
      <c r="V11163">
        <f t="shared" si="698"/>
        <v>0</v>
      </c>
      <c r="W11163">
        <f t="shared" si="699"/>
        <v>0</v>
      </c>
    </row>
    <row r="11164" spans="5:23" x14ac:dyDescent="0.25">
      <c r="E11164" s="4"/>
      <c r="F11164" s="4"/>
      <c r="G11164" s="33" t="str">
        <f>IFERROR(VLOOKUP($D11164,'Informations sur les produits'!$A$3:$H$10000,8,FALSE),"0")</f>
        <v>0</v>
      </c>
      <c r="K11164" s="4"/>
      <c r="L11164" s="33" t="str">
        <f>IFERROR(VLOOKUP($J11164,'Informations sur les produits'!$A$3:$H$10000,8,FALSE),"0")</f>
        <v>0</v>
      </c>
      <c r="N11164" s="8"/>
      <c r="O11164" s="33" t="str">
        <f>IFERROR(VLOOKUP($M11164,'Informations sur les produits'!$A$3:$H$10000,8,FALSE),"0")</f>
        <v>0</v>
      </c>
      <c r="P11164" s="33">
        <f t="shared" si="696"/>
        <v>0</v>
      </c>
      <c r="Q11164" s="31" t="str">
        <f t="shared" si="697"/>
        <v/>
      </c>
      <c r="R11164" s="32" t="str">
        <f>IFERROR(VLOOKUP($D11164,'Informations sur les produits'!$A$3:$B$15000,2,FALSE),"")</f>
        <v/>
      </c>
      <c r="V11164">
        <f t="shared" si="698"/>
        <v>0</v>
      </c>
      <c r="W11164">
        <f t="shared" si="699"/>
        <v>0</v>
      </c>
    </row>
    <row r="11165" spans="5:23" x14ac:dyDescent="0.25">
      <c r="E11165" s="4"/>
      <c r="F11165" s="4"/>
      <c r="G11165" s="33" t="str">
        <f>IFERROR(VLOOKUP($D11165,'Informations sur les produits'!$A$3:$H$10000,8,FALSE),"0")</f>
        <v>0</v>
      </c>
      <c r="K11165" s="4"/>
      <c r="L11165" s="33" t="str">
        <f>IFERROR(VLOOKUP($J11165,'Informations sur les produits'!$A$3:$H$10000,8,FALSE),"0")</f>
        <v>0</v>
      </c>
      <c r="N11165" s="8"/>
      <c r="O11165" s="33" t="str">
        <f>IFERROR(VLOOKUP($M11165,'Informations sur les produits'!$A$3:$H$10000,8,FALSE),"0")</f>
        <v>0</v>
      </c>
      <c r="P11165" s="33">
        <f t="shared" si="696"/>
        <v>0</v>
      </c>
      <c r="Q11165" s="31" t="str">
        <f t="shared" si="697"/>
        <v/>
      </c>
      <c r="R11165" s="32" t="str">
        <f>IFERROR(VLOOKUP($D11165,'Informations sur les produits'!$A$3:$B$15000,2,FALSE),"")</f>
        <v/>
      </c>
      <c r="V11165">
        <f t="shared" si="698"/>
        <v>0</v>
      </c>
      <c r="W11165">
        <f t="shared" si="699"/>
        <v>0</v>
      </c>
    </row>
    <row r="11166" spans="5:23" x14ac:dyDescent="0.25">
      <c r="E11166" s="4"/>
      <c r="F11166" s="4"/>
      <c r="G11166" s="33" t="str">
        <f>IFERROR(VLOOKUP($D11166,'Informations sur les produits'!$A$3:$H$10000,8,FALSE),"0")</f>
        <v>0</v>
      </c>
      <c r="K11166" s="4"/>
      <c r="L11166" s="33" t="str">
        <f>IFERROR(VLOOKUP($J11166,'Informations sur les produits'!$A$3:$H$10000,8,FALSE),"0")</f>
        <v>0</v>
      </c>
      <c r="N11166" s="8"/>
      <c r="O11166" s="33" t="str">
        <f>IFERROR(VLOOKUP($M11166,'Informations sur les produits'!$A$3:$H$10000,8,FALSE),"0")</f>
        <v>0</v>
      </c>
      <c r="P11166" s="33">
        <f t="shared" si="696"/>
        <v>0</v>
      </c>
      <c r="Q11166" s="31" t="str">
        <f t="shared" si="697"/>
        <v/>
      </c>
      <c r="R11166" s="32" t="str">
        <f>IFERROR(VLOOKUP($D11166,'Informations sur les produits'!$A$3:$B$15000,2,FALSE),"")</f>
        <v/>
      </c>
      <c r="V11166">
        <f t="shared" si="698"/>
        <v>0</v>
      </c>
      <c r="W11166">
        <f t="shared" si="699"/>
        <v>0</v>
      </c>
    </row>
    <row r="11167" spans="5:23" x14ac:dyDescent="0.25">
      <c r="E11167" s="4"/>
      <c r="F11167" s="4"/>
      <c r="G11167" s="33" t="str">
        <f>IFERROR(VLOOKUP($D11167,'Informations sur les produits'!$A$3:$H$10000,8,FALSE),"0")</f>
        <v>0</v>
      </c>
      <c r="K11167" s="4"/>
      <c r="L11167" s="33" t="str">
        <f>IFERROR(VLOOKUP($J11167,'Informations sur les produits'!$A$3:$H$10000,8,FALSE),"0")</f>
        <v>0</v>
      </c>
      <c r="N11167" s="8"/>
      <c r="O11167" s="33" t="str">
        <f>IFERROR(VLOOKUP($M11167,'Informations sur les produits'!$A$3:$H$10000,8,FALSE),"0")</f>
        <v>0</v>
      </c>
      <c r="P11167" s="33">
        <f t="shared" si="696"/>
        <v>0</v>
      </c>
      <c r="Q11167" s="31" t="str">
        <f t="shared" si="697"/>
        <v/>
      </c>
      <c r="R11167" s="32" t="str">
        <f>IFERROR(VLOOKUP($D11167,'Informations sur les produits'!$A$3:$B$15000,2,FALSE),"")</f>
        <v/>
      </c>
      <c r="V11167">
        <f t="shared" si="698"/>
        <v>0</v>
      </c>
      <c r="W11167">
        <f t="shared" si="699"/>
        <v>0</v>
      </c>
    </row>
    <row r="11168" spans="5:23" x14ac:dyDescent="0.25">
      <c r="E11168" s="4"/>
      <c r="F11168" s="4"/>
      <c r="G11168" s="33" t="str">
        <f>IFERROR(VLOOKUP($D11168,'Informations sur les produits'!$A$3:$H$10000,8,FALSE),"0")</f>
        <v>0</v>
      </c>
      <c r="K11168" s="4"/>
      <c r="L11168" s="33" t="str">
        <f>IFERROR(VLOOKUP($J11168,'Informations sur les produits'!$A$3:$H$10000,8,FALSE),"0")</f>
        <v>0</v>
      </c>
      <c r="N11168" s="8"/>
      <c r="O11168" s="33" t="str">
        <f>IFERROR(VLOOKUP($M11168,'Informations sur les produits'!$A$3:$H$10000,8,FALSE),"0")</f>
        <v>0</v>
      </c>
      <c r="P11168" s="33">
        <f t="shared" si="696"/>
        <v>0</v>
      </c>
      <c r="Q11168" s="31" t="str">
        <f t="shared" si="697"/>
        <v/>
      </c>
      <c r="R11168" s="32" t="str">
        <f>IFERROR(VLOOKUP($D11168,'Informations sur les produits'!$A$3:$B$15000,2,FALSE),"")</f>
        <v/>
      </c>
      <c r="V11168">
        <f t="shared" si="698"/>
        <v>0</v>
      </c>
      <c r="W11168">
        <f t="shared" si="699"/>
        <v>0</v>
      </c>
    </row>
    <row r="11169" spans="5:23" x14ac:dyDescent="0.25">
      <c r="E11169" s="4"/>
      <c r="F11169" s="4"/>
      <c r="G11169" s="33" t="str">
        <f>IFERROR(VLOOKUP($D11169,'Informations sur les produits'!$A$3:$H$10000,8,FALSE),"0")</f>
        <v>0</v>
      </c>
      <c r="K11169" s="4"/>
      <c r="L11169" s="33" t="str">
        <f>IFERROR(VLOOKUP($J11169,'Informations sur les produits'!$A$3:$H$10000,8,FALSE),"0")</f>
        <v>0</v>
      </c>
      <c r="N11169" s="8"/>
      <c r="O11169" s="33" t="str">
        <f>IFERROR(VLOOKUP($M11169,'Informations sur les produits'!$A$3:$H$10000,8,FALSE),"0")</f>
        <v>0</v>
      </c>
      <c r="P11169" s="33">
        <f t="shared" si="696"/>
        <v>0</v>
      </c>
      <c r="Q11169" s="31" t="str">
        <f t="shared" si="697"/>
        <v/>
      </c>
      <c r="R11169" s="32" t="str">
        <f>IFERROR(VLOOKUP($D11169,'Informations sur les produits'!$A$3:$B$15000,2,FALSE),"")</f>
        <v/>
      </c>
      <c r="V11169">
        <f t="shared" si="698"/>
        <v>0</v>
      </c>
      <c r="W11169">
        <f t="shared" si="699"/>
        <v>0</v>
      </c>
    </row>
    <row r="11170" spans="5:23" x14ac:dyDescent="0.25">
      <c r="E11170" s="4"/>
      <c r="F11170" s="4"/>
      <c r="G11170" s="33" t="str">
        <f>IFERROR(VLOOKUP($D11170,'Informations sur les produits'!$A$3:$H$10000,8,FALSE),"0")</f>
        <v>0</v>
      </c>
      <c r="K11170" s="4"/>
      <c r="L11170" s="33" t="str">
        <f>IFERROR(VLOOKUP($J11170,'Informations sur les produits'!$A$3:$H$10000,8,FALSE),"0")</f>
        <v>0</v>
      </c>
      <c r="N11170" s="8"/>
      <c r="O11170" s="33" t="str">
        <f>IFERROR(VLOOKUP($M11170,'Informations sur les produits'!$A$3:$H$10000,8,FALSE),"0")</f>
        <v>0</v>
      </c>
      <c r="P11170" s="33">
        <f t="shared" si="696"/>
        <v>0</v>
      </c>
      <c r="Q11170" s="31" t="str">
        <f t="shared" si="697"/>
        <v/>
      </c>
      <c r="R11170" s="32" t="str">
        <f>IFERROR(VLOOKUP($D11170,'Informations sur les produits'!$A$3:$B$15000,2,FALSE),"")</f>
        <v/>
      </c>
      <c r="V11170">
        <f t="shared" si="698"/>
        <v>0</v>
      </c>
      <c r="W11170">
        <f t="shared" si="699"/>
        <v>0</v>
      </c>
    </row>
    <row r="11171" spans="5:23" x14ac:dyDescent="0.25">
      <c r="E11171" s="4"/>
      <c r="F11171" s="4"/>
      <c r="G11171" s="33" t="str">
        <f>IFERROR(VLOOKUP($D11171,'Informations sur les produits'!$A$3:$H$10000,8,FALSE),"0")</f>
        <v>0</v>
      </c>
      <c r="K11171" s="4"/>
      <c r="L11171" s="33" t="str">
        <f>IFERROR(VLOOKUP($J11171,'Informations sur les produits'!$A$3:$H$10000,8,FALSE),"0")</f>
        <v>0</v>
      </c>
      <c r="N11171" s="8"/>
      <c r="O11171" s="33" t="str">
        <f>IFERROR(VLOOKUP($M11171,'Informations sur les produits'!$A$3:$H$10000,8,FALSE),"0")</f>
        <v>0</v>
      </c>
      <c r="P11171" s="33">
        <f t="shared" si="696"/>
        <v>0</v>
      </c>
      <c r="Q11171" s="31" t="str">
        <f t="shared" si="697"/>
        <v/>
      </c>
      <c r="R11171" s="32" t="str">
        <f>IFERROR(VLOOKUP($D11171,'Informations sur les produits'!$A$3:$B$15000,2,FALSE),"")</f>
        <v/>
      </c>
      <c r="V11171">
        <f t="shared" si="698"/>
        <v>0</v>
      </c>
      <c r="W11171">
        <f t="shared" si="699"/>
        <v>0</v>
      </c>
    </row>
    <row r="11172" spans="5:23" x14ac:dyDescent="0.25">
      <c r="E11172" s="4"/>
      <c r="F11172" s="4"/>
      <c r="G11172" s="33" t="str">
        <f>IFERROR(VLOOKUP($D11172,'Informations sur les produits'!$A$3:$H$10000,8,FALSE),"0")</f>
        <v>0</v>
      </c>
      <c r="K11172" s="4"/>
      <c r="L11172" s="33" t="str">
        <f>IFERROR(VLOOKUP($J11172,'Informations sur les produits'!$A$3:$H$10000,8,FALSE),"0")</f>
        <v>0</v>
      </c>
      <c r="N11172" s="8"/>
      <c r="O11172" s="33" t="str">
        <f>IFERROR(VLOOKUP($M11172,'Informations sur les produits'!$A$3:$H$10000,8,FALSE),"0")</f>
        <v>0</v>
      </c>
      <c r="P11172" s="33">
        <f t="shared" si="696"/>
        <v>0</v>
      </c>
      <c r="Q11172" s="31" t="str">
        <f t="shared" si="697"/>
        <v/>
      </c>
      <c r="R11172" s="32" t="str">
        <f>IFERROR(VLOOKUP($D11172,'Informations sur les produits'!$A$3:$B$15000,2,FALSE),"")</f>
        <v/>
      </c>
      <c r="V11172">
        <f t="shared" si="698"/>
        <v>0</v>
      </c>
      <c r="W11172">
        <f t="shared" si="699"/>
        <v>0</v>
      </c>
    </row>
    <row r="11173" spans="5:23" x14ac:dyDescent="0.25">
      <c r="E11173" s="4"/>
      <c r="F11173" s="4"/>
      <c r="G11173" s="33" t="str">
        <f>IFERROR(VLOOKUP($D11173,'Informations sur les produits'!$A$3:$H$10000,8,FALSE),"0")</f>
        <v>0</v>
      </c>
      <c r="K11173" s="4"/>
      <c r="L11173" s="33" t="str">
        <f>IFERROR(VLOOKUP($J11173,'Informations sur les produits'!$A$3:$H$10000,8,FALSE),"0")</f>
        <v>0</v>
      </c>
      <c r="N11173" s="8"/>
      <c r="O11173" s="33" t="str">
        <f>IFERROR(VLOOKUP($M11173,'Informations sur les produits'!$A$3:$H$10000,8,FALSE),"0")</f>
        <v>0</v>
      </c>
      <c r="P11173" s="33">
        <f t="shared" si="696"/>
        <v>0</v>
      </c>
      <c r="Q11173" s="31" t="str">
        <f t="shared" si="697"/>
        <v/>
      </c>
      <c r="R11173" s="32" t="str">
        <f>IFERROR(VLOOKUP($D11173,'Informations sur les produits'!$A$3:$B$15000,2,FALSE),"")</f>
        <v/>
      </c>
      <c r="V11173">
        <f t="shared" si="698"/>
        <v>0</v>
      </c>
      <c r="W11173">
        <f t="shared" si="699"/>
        <v>0</v>
      </c>
    </row>
    <row r="11174" spans="5:23" x14ac:dyDescent="0.25">
      <c r="E11174" s="4"/>
      <c r="F11174" s="4"/>
      <c r="G11174" s="33" t="str">
        <f>IFERROR(VLOOKUP($D11174,'Informations sur les produits'!$A$3:$H$10000,8,FALSE),"0")</f>
        <v>0</v>
      </c>
      <c r="K11174" s="4"/>
      <c r="L11174" s="33" t="str">
        <f>IFERROR(VLOOKUP($J11174,'Informations sur les produits'!$A$3:$H$10000,8,FALSE),"0")</f>
        <v>0</v>
      </c>
      <c r="N11174" s="8"/>
      <c r="O11174" s="33" t="str">
        <f>IFERROR(VLOOKUP($M11174,'Informations sur les produits'!$A$3:$H$10000,8,FALSE),"0")</f>
        <v>0</v>
      </c>
      <c r="P11174" s="33">
        <f t="shared" si="696"/>
        <v>0</v>
      </c>
      <c r="Q11174" s="31" t="str">
        <f t="shared" si="697"/>
        <v/>
      </c>
      <c r="R11174" s="32" t="str">
        <f>IFERROR(VLOOKUP($D11174,'Informations sur les produits'!$A$3:$B$15000,2,FALSE),"")</f>
        <v/>
      </c>
      <c r="V11174">
        <f t="shared" si="698"/>
        <v>0</v>
      </c>
      <c r="W11174">
        <f t="shared" si="699"/>
        <v>0</v>
      </c>
    </row>
    <row r="11175" spans="5:23" x14ac:dyDescent="0.25">
      <c r="E11175" s="4"/>
      <c r="F11175" s="4"/>
      <c r="G11175" s="33" t="str">
        <f>IFERROR(VLOOKUP($D11175,'Informations sur les produits'!$A$3:$H$10000,8,FALSE),"0")</f>
        <v>0</v>
      </c>
      <c r="K11175" s="4"/>
      <c r="L11175" s="33" t="str">
        <f>IFERROR(VLOOKUP($J11175,'Informations sur les produits'!$A$3:$H$10000,8,FALSE),"0")</f>
        <v>0</v>
      </c>
      <c r="N11175" s="8"/>
      <c r="O11175" s="33" t="str">
        <f>IFERROR(VLOOKUP($M11175,'Informations sur les produits'!$A$3:$H$10000,8,FALSE),"0")</f>
        <v>0</v>
      </c>
      <c r="P11175" s="33">
        <f t="shared" si="696"/>
        <v>0</v>
      </c>
      <c r="Q11175" s="31" t="str">
        <f t="shared" si="697"/>
        <v/>
      </c>
      <c r="R11175" s="32" t="str">
        <f>IFERROR(VLOOKUP($D11175,'Informations sur les produits'!$A$3:$B$15000,2,FALSE),"")</f>
        <v/>
      </c>
      <c r="V11175">
        <f t="shared" si="698"/>
        <v>0</v>
      </c>
      <c r="W11175">
        <f t="shared" si="699"/>
        <v>0</v>
      </c>
    </row>
    <row r="11176" spans="5:23" x14ac:dyDescent="0.25">
      <c r="E11176" s="4"/>
      <c r="F11176" s="4"/>
      <c r="G11176" s="33" t="str">
        <f>IFERROR(VLOOKUP($D11176,'Informations sur les produits'!$A$3:$H$10000,8,FALSE),"0")</f>
        <v>0</v>
      </c>
      <c r="K11176" s="4"/>
      <c r="L11176" s="33" t="str">
        <f>IFERROR(VLOOKUP($J11176,'Informations sur les produits'!$A$3:$H$10000,8,FALSE),"0")</f>
        <v>0</v>
      </c>
      <c r="N11176" s="8"/>
      <c r="O11176" s="33" t="str">
        <f>IFERROR(VLOOKUP($M11176,'Informations sur les produits'!$A$3:$H$10000,8,FALSE),"0")</f>
        <v>0</v>
      </c>
      <c r="P11176" s="33">
        <f t="shared" si="696"/>
        <v>0</v>
      </c>
      <c r="Q11176" s="31" t="str">
        <f t="shared" si="697"/>
        <v/>
      </c>
      <c r="R11176" s="32" t="str">
        <f>IFERROR(VLOOKUP($D11176,'Informations sur les produits'!$A$3:$B$15000,2,FALSE),"")</f>
        <v/>
      </c>
      <c r="V11176">
        <f t="shared" si="698"/>
        <v>0</v>
      </c>
      <c r="W11176">
        <f t="shared" si="699"/>
        <v>0</v>
      </c>
    </row>
    <row r="11177" spans="5:23" x14ac:dyDescent="0.25">
      <c r="E11177" s="4"/>
      <c r="F11177" s="4"/>
      <c r="G11177" s="33" t="str">
        <f>IFERROR(VLOOKUP($D11177,'Informations sur les produits'!$A$3:$H$10000,8,FALSE),"0")</f>
        <v>0</v>
      </c>
      <c r="K11177" s="4"/>
      <c r="L11177" s="33" t="str">
        <f>IFERROR(VLOOKUP($J11177,'Informations sur les produits'!$A$3:$H$10000,8,FALSE),"0")</f>
        <v>0</v>
      </c>
      <c r="N11177" s="8"/>
      <c r="O11177" s="33" t="str">
        <f>IFERROR(VLOOKUP($M11177,'Informations sur les produits'!$A$3:$H$10000,8,FALSE),"0")</f>
        <v>0</v>
      </c>
      <c r="P11177" s="33">
        <f t="shared" si="696"/>
        <v>0</v>
      </c>
      <c r="Q11177" s="31" t="str">
        <f t="shared" si="697"/>
        <v/>
      </c>
      <c r="R11177" s="32" t="str">
        <f>IFERROR(VLOOKUP($D11177,'Informations sur les produits'!$A$3:$B$15000,2,FALSE),"")</f>
        <v/>
      </c>
      <c r="V11177">
        <f t="shared" si="698"/>
        <v>0</v>
      </c>
      <c r="W11177">
        <f t="shared" si="699"/>
        <v>0</v>
      </c>
    </row>
    <row r="11178" spans="5:23" x14ac:dyDescent="0.25">
      <c r="E11178" s="4"/>
      <c r="F11178" s="4"/>
      <c r="G11178" s="33" t="str">
        <f>IFERROR(VLOOKUP($D11178,'Informations sur les produits'!$A$3:$H$10000,8,FALSE),"0")</f>
        <v>0</v>
      </c>
      <c r="K11178" s="4"/>
      <c r="L11178" s="33" t="str">
        <f>IFERROR(VLOOKUP($J11178,'Informations sur les produits'!$A$3:$H$10000,8,FALSE),"0")</f>
        <v>0</v>
      </c>
      <c r="N11178" s="8"/>
      <c r="O11178" s="33" t="str">
        <f>IFERROR(VLOOKUP($M11178,'Informations sur les produits'!$A$3:$H$10000,8,FALSE),"0")</f>
        <v>0</v>
      </c>
      <c r="P11178" s="33">
        <f t="shared" si="696"/>
        <v>0</v>
      </c>
      <c r="Q11178" s="31" t="str">
        <f t="shared" si="697"/>
        <v/>
      </c>
      <c r="R11178" s="32" t="str">
        <f>IFERROR(VLOOKUP($D11178,'Informations sur les produits'!$A$3:$B$15000,2,FALSE),"")</f>
        <v/>
      </c>
      <c r="V11178">
        <f t="shared" si="698"/>
        <v>0</v>
      </c>
      <c r="W11178">
        <f t="shared" si="699"/>
        <v>0</v>
      </c>
    </row>
    <row r="11179" spans="5:23" x14ac:dyDescent="0.25">
      <c r="E11179" s="4"/>
      <c r="F11179" s="4"/>
      <c r="G11179" s="33" t="str">
        <f>IFERROR(VLOOKUP($D11179,'Informations sur les produits'!$A$3:$H$10000,8,FALSE),"0")</f>
        <v>0</v>
      </c>
      <c r="K11179" s="4"/>
      <c r="L11179" s="33" t="str">
        <f>IFERROR(VLOOKUP($J11179,'Informations sur les produits'!$A$3:$H$10000,8,FALSE),"0")</f>
        <v>0</v>
      </c>
      <c r="N11179" s="8"/>
      <c r="O11179" s="33" t="str">
        <f>IFERROR(VLOOKUP($M11179,'Informations sur les produits'!$A$3:$H$10000,8,FALSE),"0")</f>
        <v>0</v>
      </c>
      <c r="P11179" s="33">
        <f t="shared" si="696"/>
        <v>0</v>
      </c>
      <c r="Q11179" s="31" t="str">
        <f t="shared" si="697"/>
        <v/>
      </c>
      <c r="R11179" s="32" t="str">
        <f>IFERROR(VLOOKUP($D11179,'Informations sur les produits'!$A$3:$B$15000,2,FALSE),"")</f>
        <v/>
      </c>
      <c r="V11179">
        <f t="shared" si="698"/>
        <v>0</v>
      </c>
      <c r="W11179">
        <f t="shared" si="699"/>
        <v>0</v>
      </c>
    </row>
    <row r="11180" spans="5:23" x14ac:dyDescent="0.25">
      <c r="E11180" s="4"/>
      <c r="F11180" s="4"/>
      <c r="G11180" s="33" t="str">
        <f>IFERROR(VLOOKUP($D11180,'Informations sur les produits'!$A$3:$H$10000,8,FALSE),"0")</f>
        <v>0</v>
      </c>
      <c r="K11180" s="4"/>
      <c r="L11180" s="33" t="str">
        <f>IFERROR(VLOOKUP($J11180,'Informations sur les produits'!$A$3:$H$10000,8,FALSE),"0")</f>
        <v>0</v>
      </c>
      <c r="N11180" s="8"/>
      <c r="O11180" s="33" t="str">
        <f>IFERROR(VLOOKUP($M11180,'Informations sur les produits'!$A$3:$H$10000,8,FALSE),"0")</f>
        <v>0</v>
      </c>
      <c r="P11180" s="33">
        <f t="shared" si="696"/>
        <v>0</v>
      </c>
      <c r="Q11180" s="31" t="str">
        <f t="shared" si="697"/>
        <v/>
      </c>
      <c r="R11180" s="32" t="str">
        <f>IFERROR(VLOOKUP($D11180,'Informations sur les produits'!$A$3:$B$15000,2,FALSE),"")</f>
        <v/>
      </c>
      <c r="V11180">
        <f t="shared" si="698"/>
        <v>0</v>
      </c>
      <c r="W11180">
        <f t="shared" si="699"/>
        <v>0</v>
      </c>
    </row>
    <row r="11181" spans="5:23" x14ac:dyDescent="0.25">
      <c r="E11181" s="4"/>
      <c r="F11181" s="4"/>
      <c r="G11181" s="33" t="str">
        <f>IFERROR(VLOOKUP($D11181,'Informations sur les produits'!$A$3:$H$10000,8,FALSE),"0")</f>
        <v>0</v>
      </c>
      <c r="K11181" s="4"/>
      <c r="L11181" s="33" t="str">
        <f>IFERROR(VLOOKUP($J11181,'Informations sur les produits'!$A$3:$H$10000,8,FALSE),"0")</f>
        <v>0</v>
      </c>
      <c r="N11181" s="8"/>
      <c r="O11181" s="33" t="str">
        <f>IFERROR(VLOOKUP($M11181,'Informations sur les produits'!$A$3:$H$10000,8,FALSE),"0")</f>
        <v>0</v>
      </c>
      <c r="P11181" s="33">
        <f t="shared" si="696"/>
        <v>0</v>
      </c>
      <c r="Q11181" s="31" t="str">
        <f t="shared" si="697"/>
        <v/>
      </c>
      <c r="R11181" s="32" t="str">
        <f>IFERROR(VLOOKUP($D11181,'Informations sur les produits'!$A$3:$B$15000,2,FALSE),"")</f>
        <v/>
      </c>
      <c r="V11181">
        <f t="shared" si="698"/>
        <v>0</v>
      </c>
      <c r="W11181">
        <f t="shared" si="699"/>
        <v>0</v>
      </c>
    </row>
    <row r="11182" spans="5:23" x14ac:dyDescent="0.25">
      <c r="E11182" s="4"/>
      <c r="F11182" s="4"/>
      <c r="G11182" s="33" t="str">
        <f>IFERROR(VLOOKUP($D11182,'Informations sur les produits'!$A$3:$H$10000,8,FALSE),"0")</f>
        <v>0</v>
      </c>
      <c r="K11182" s="4"/>
      <c r="L11182" s="33" t="str">
        <f>IFERROR(VLOOKUP($J11182,'Informations sur les produits'!$A$3:$H$10000,8,FALSE),"0")</f>
        <v>0</v>
      </c>
      <c r="N11182" s="8"/>
      <c r="O11182" s="33" t="str">
        <f>IFERROR(VLOOKUP($M11182,'Informations sur les produits'!$A$3:$H$10000,8,FALSE),"0")</f>
        <v>0</v>
      </c>
      <c r="P11182" s="33">
        <f t="shared" si="696"/>
        <v>0</v>
      </c>
      <c r="Q11182" s="31" t="str">
        <f t="shared" si="697"/>
        <v/>
      </c>
      <c r="R11182" s="32" t="str">
        <f>IFERROR(VLOOKUP($D11182,'Informations sur les produits'!$A$3:$B$15000,2,FALSE),"")</f>
        <v/>
      </c>
      <c r="V11182">
        <f t="shared" si="698"/>
        <v>0</v>
      </c>
      <c r="W11182">
        <f t="shared" si="699"/>
        <v>0</v>
      </c>
    </row>
    <row r="11183" spans="5:23" x14ac:dyDescent="0.25">
      <c r="E11183" s="4"/>
      <c r="F11183" s="4"/>
      <c r="G11183" s="33" t="str">
        <f>IFERROR(VLOOKUP($D11183,'Informations sur les produits'!$A$3:$H$10000,8,FALSE),"0")</f>
        <v>0</v>
      </c>
      <c r="K11183" s="4"/>
      <c r="L11183" s="33" t="str">
        <f>IFERROR(VLOOKUP($J11183,'Informations sur les produits'!$A$3:$H$10000,8,FALSE),"0")</f>
        <v>0</v>
      </c>
      <c r="N11183" s="8"/>
      <c r="O11183" s="33" t="str">
        <f>IFERROR(VLOOKUP($M11183,'Informations sur les produits'!$A$3:$H$10000,8,FALSE),"0")</f>
        <v>0</v>
      </c>
      <c r="P11183" s="33">
        <f t="shared" si="696"/>
        <v>0</v>
      </c>
      <c r="Q11183" s="31" t="str">
        <f t="shared" si="697"/>
        <v/>
      </c>
      <c r="R11183" s="32" t="str">
        <f>IFERROR(VLOOKUP($D11183,'Informations sur les produits'!$A$3:$B$15000,2,FALSE),"")</f>
        <v/>
      </c>
      <c r="V11183">
        <f t="shared" si="698"/>
        <v>0</v>
      </c>
      <c r="W11183">
        <f t="shared" si="699"/>
        <v>0</v>
      </c>
    </row>
    <row r="11184" spans="5:23" x14ac:dyDescent="0.25">
      <c r="E11184" s="4"/>
      <c r="F11184" s="4"/>
      <c r="G11184" s="33" t="str">
        <f>IFERROR(VLOOKUP($D11184,'Informations sur les produits'!$A$3:$H$10000,8,FALSE),"0")</f>
        <v>0</v>
      </c>
      <c r="K11184" s="4"/>
      <c r="L11184" s="33" t="str">
        <f>IFERROR(VLOOKUP($J11184,'Informations sur les produits'!$A$3:$H$10000,8,FALSE),"0")</f>
        <v>0</v>
      </c>
      <c r="N11184" s="8"/>
      <c r="O11184" s="33" t="str">
        <f>IFERROR(VLOOKUP($M11184,'Informations sur les produits'!$A$3:$H$10000,8,FALSE),"0")</f>
        <v>0</v>
      </c>
      <c r="P11184" s="33">
        <f t="shared" si="696"/>
        <v>0</v>
      </c>
      <c r="Q11184" s="31" t="str">
        <f t="shared" si="697"/>
        <v/>
      </c>
      <c r="R11184" s="32" t="str">
        <f>IFERROR(VLOOKUP($D11184,'Informations sur les produits'!$A$3:$B$15000,2,FALSE),"")</f>
        <v/>
      </c>
      <c r="V11184">
        <f t="shared" si="698"/>
        <v>0</v>
      </c>
      <c r="W11184">
        <f t="shared" si="699"/>
        <v>0</v>
      </c>
    </row>
    <row r="11185" spans="5:23" x14ac:dyDescent="0.25">
      <c r="E11185" s="4"/>
      <c r="F11185" s="4"/>
      <c r="G11185" s="33" t="str">
        <f>IFERROR(VLOOKUP($D11185,'Informations sur les produits'!$A$3:$H$10000,8,FALSE),"0")</f>
        <v>0</v>
      </c>
      <c r="K11185" s="4"/>
      <c r="L11185" s="33" t="str">
        <f>IFERROR(VLOOKUP($J11185,'Informations sur les produits'!$A$3:$H$10000,8,FALSE),"0")</f>
        <v>0</v>
      </c>
      <c r="N11185" s="8"/>
      <c r="O11185" s="33" t="str">
        <f>IFERROR(VLOOKUP($M11185,'Informations sur les produits'!$A$3:$H$10000,8,FALSE),"0")</f>
        <v>0</v>
      </c>
      <c r="P11185" s="33">
        <f t="shared" si="696"/>
        <v>0</v>
      </c>
      <c r="Q11185" s="31" t="str">
        <f t="shared" si="697"/>
        <v/>
      </c>
      <c r="R11185" s="32" t="str">
        <f>IFERROR(VLOOKUP($D11185,'Informations sur les produits'!$A$3:$B$15000,2,FALSE),"")</f>
        <v/>
      </c>
      <c r="V11185">
        <f t="shared" si="698"/>
        <v>0</v>
      </c>
      <c r="W11185">
        <f t="shared" si="699"/>
        <v>0</v>
      </c>
    </row>
    <row r="11186" spans="5:23" x14ac:dyDescent="0.25">
      <c r="E11186" s="4"/>
      <c r="F11186" s="4"/>
      <c r="G11186" s="33" t="str">
        <f>IFERROR(VLOOKUP($D11186,'Informations sur les produits'!$A$3:$H$10000,8,FALSE),"0")</f>
        <v>0</v>
      </c>
      <c r="K11186" s="4"/>
      <c r="L11186" s="33" t="str">
        <f>IFERROR(VLOOKUP($J11186,'Informations sur les produits'!$A$3:$H$10000,8,FALSE),"0")</f>
        <v>0</v>
      </c>
      <c r="N11186" s="8"/>
      <c r="O11186" s="33" t="str">
        <f>IFERROR(VLOOKUP($M11186,'Informations sur les produits'!$A$3:$H$10000,8,FALSE),"0")</f>
        <v>0</v>
      </c>
      <c r="P11186" s="33">
        <f t="shared" si="696"/>
        <v>0</v>
      </c>
      <c r="Q11186" s="31" t="str">
        <f t="shared" si="697"/>
        <v/>
      </c>
      <c r="R11186" s="32" t="str">
        <f>IFERROR(VLOOKUP($D11186,'Informations sur les produits'!$A$3:$B$15000,2,FALSE),"")</f>
        <v/>
      </c>
      <c r="V11186">
        <f t="shared" si="698"/>
        <v>0</v>
      </c>
      <c r="W11186">
        <f t="shared" si="699"/>
        <v>0</v>
      </c>
    </row>
    <row r="11187" spans="5:23" x14ac:dyDescent="0.25">
      <c r="E11187" s="4"/>
      <c r="F11187" s="4"/>
      <c r="G11187" s="33" t="str">
        <f>IFERROR(VLOOKUP($D11187,'Informations sur les produits'!$A$3:$H$10000,8,FALSE),"0")</f>
        <v>0</v>
      </c>
      <c r="K11187" s="4"/>
      <c r="L11187" s="33" t="str">
        <f>IFERROR(VLOOKUP($J11187,'Informations sur les produits'!$A$3:$H$10000,8,FALSE),"0")</f>
        <v>0</v>
      </c>
      <c r="N11187" s="8"/>
      <c r="O11187" s="33" t="str">
        <f>IFERROR(VLOOKUP($M11187,'Informations sur les produits'!$A$3:$H$10000,8,FALSE),"0")</f>
        <v>0</v>
      </c>
      <c r="P11187" s="33">
        <f t="shared" si="696"/>
        <v>0</v>
      </c>
      <c r="Q11187" s="31" t="str">
        <f t="shared" si="697"/>
        <v/>
      </c>
      <c r="R11187" s="32" t="str">
        <f>IFERROR(VLOOKUP($D11187,'Informations sur les produits'!$A$3:$B$15000,2,FALSE),"")</f>
        <v/>
      </c>
      <c r="V11187">
        <f t="shared" si="698"/>
        <v>0</v>
      </c>
      <c r="W11187">
        <f t="shared" si="699"/>
        <v>0</v>
      </c>
    </row>
    <row r="11188" spans="5:23" x14ac:dyDescent="0.25">
      <c r="E11188" s="4"/>
      <c r="F11188" s="4"/>
      <c r="G11188" s="33" t="str">
        <f>IFERROR(VLOOKUP($D11188,'Informations sur les produits'!$A$3:$H$10000,8,FALSE),"0")</f>
        <v>0</v>
      </c>
      <c r="K11188" s="4"/>
      <c r="L11188" s="33" t="str">
        <f>IFERROR(VLOOKUP($J11188,'Informations sur les produits'!$A$3:$H$10000,8,FALSE),"0")</f>
        <v>0</v>
      </c>
      <c r="N11188" s="8"/>
      <c r="O11188" s="33" t="str">
        <f>IFERROR(VLOOKUP($M11188,'Informations sur les produits'!$A$3:$H$10000,8,FALSE),"0")</f>
        <v>0</v>
      </c>
      <c r="P11188" s="33">
        <f t="shared" si="696"/>
        <v>0</v>
      </c>
      <c r="Q11188" s="31" t="str">
        <f t="shared" si="697"/>
        <v/>
      </c>
      <c r="R11188" s="32" t="str">
        <f>IFERROR(VLOOKUP($D11188,'Informations sur les produits'!$A$3:$B$15000,2,FALSE),"")</f>
        <v/>
      </c>
      <c r="V11188">
        <f t="shared" si="698"/>
        <v>0</v>
      </c>
      <c r="W11188">
        <f t="shared" si="699"/>
        <v>0</v>
      </c>
    </row>
    <row r="11189" spans="5:23" x14ac:dyDescent="0.25">
      <c r="E11189" s="4"/>
      <c r="F11189" s="4"/>
      <c r="G11189" s="33" t="str">
        <f>IFERROR(VLOOKUP($D11189,'Informations sur les produits'!$A$3:$H$10000,8,FALSE),"0")</f>
        <v>0</v>
      </c>
      <c r="K11189" s="4"/>
      <c r="L11189" s="33" t="str">
        <f>IFERROR(VLOOKUP($J11189,'Informations sur les produits'!$A$3:$H$10000,8,FALSE),"0")</f>
        <v>0</v>
      </c>
      <c r="N11189" s="8"/>
      <c r="O11189" s="33" t="str">
        <f>IFERROR(VLOOKUP($M11189,'Informations sur les produits'!$A$3:$H$10000,8,FALSE),"0")</f>
        <v>0</v>
      </c>
      <c r="P11189" s="33">
        <f t="shared" si="696"/>
        <v>0</v>
      </c>
      <c r="Q11189" s="31" t="str">
        <f t="shared" si="697"/>
        <v/>
      </c>
      <c r="R11189" s="32" t="str">
        <f>IFERROR(VLOOKUP($D11189,'Informations sur les produits'!$A$3:$B$15000,2,FALSE),"")</f>
        <v/>
      </c>
      <c r="V11189">
        <f t="shared" si="698"/>
        <v>0</v>
      </c>
      <c r="W11189">
        <f t="shared" si="699"/>
        <v>0</v>
      </c>
    </row>
    <row r="11190" spans="5:23" x14ac:dyDescent="0.25">
      <c r="E11190" s="4"/>
      <c r="F11190" s="4"/>
      <c r="G11190" s="33" t="str">
        <f>IFERROR(VLOOKUP($D11190,'Informations sur les produits'!$A$3:$H$10000,8,FALSE),"0")</f>
        <v>0</v>
      </c>
      <c r="K11190" s="4"/>
      <c r="L11190" s="33" t="str">
        <f>IFERROR(VLOOKUP($J11190,'Informations sur les produits'!$A$3:$H$10000,8,FALSE),"0")</f>
        <v>0</v>
      </c>
      <c r="N11190" s="8"/>
      <c r="O11190" s="33" t="str">
        <f>IFERROR(VLOOKUP($M11190,'Informations sur les produits'!$A$3:$H$10000,8,FALSE),"0")</f>
        <v>0</v>
      </c>
      <c r="P11190" s="33">
        <f t="shared" si="696"/>
        <v>0</v>
      </c>
      <c r="Q11190" s="31" t="str">
        <f t="shared" si="697"/>
        <v/>
      </c>
      <c r="R11190" s="32" t="str">
        <f>IFERROR(VLOOKUP($D11190,'Informations sur les produits'!$A$3:$B$15000,2,FALSE),"")</f>
        <v/>
      </c>
      <c r="V11190">
        <f t="shared" si="698"/>
        <v>0</v>
      </c>
      <c r="W11190">
        <f t="shared" si="699"/>
        <v>0</v>
      </c>
    </row>
    <row r="11191" spans="5:23" x14ac:dyDescent="0.25">
      <c r="E11191" s="4"/>
      <c r="F11191" s="4"/>
      <c r="G11191" s="33" t="str">
        <f>IFERROR(VLOOKUP($D11191,'Informations sur les produits'!$A$3:$H$10000,8,FALSE),"0")</f>
        <v>0</v>
      </c>
      <c r="K11191" s="4"/>
      <c r="L11191" s="33" t="str">
        <f>IFERROR(VLOOKUP($J11191,'Informations sur les produits'!$A$3:$H$10000,8,FALSE),"0")</f>
        <v>0</v>
      </c>
      <c r="N11191" s="8"/>
      <c r="O11191" s="33" t="str">
        <f>IFERROR(VLOOKUP($M11191,'Informations sur les produits'!$A$3:$H$10000,8,FALSE),"0")</f>
        <v>0</v>
      </c>
      <c r="P11191" s="33">
        <f t="shared" si="696"/>
        <v>0</v>
      </c>
      <c r="Q11191" s="31" t="str">
        <f t="shared" si="697"/>
        <v/>
      </c>
      <c r="R11191" s="32" t="str">
        <f>IFERROR(VLOOKUP($D11191,'Informations sur les produits'!$A$3:$B$15000,2,FALSE),"")</f>
        <v/>
      </c>
      <c r="V11191">
        <f t="shared" si="698"/>
        <v>0</v>
      </c>
      <c r="W11191">
        <f t="shared" si="699"/>
        <v>0</v>
      </c>
    </row>
    <row r="11192" spans="5:23" x14ac:dyDescent="0.25">
      <c r="E11192" s="4"/>
      <c r="F11192" s="4"/>
      <c r="G11192" s="33" t="str">
        <f>IFERROR(VLOOKUP($D11192,'Informations sur les produits'!$A$3:$H$10000,8,FALSE),"0")</f>
        <v>0</v>
      </c>
      <c r="K11192" s="4"/>
      <c r="L11192" s="33" t="str">
        <f>IFERROR(VLOOKUP($J11192,'Informations sur les produits'!$A$3:$H$10000,8,FALSE),"0")</f>
        <v>0</v>
      </c>
      <c r="N11192" s="8"/>
      <c r="O11192" s="33" t="str">
        <f>IFERROR(VLOOKUP($M11192,'Informations sur les produits'!$A$3:$H$10000,8,FALSE),"0")</f>
        <v>0</v>
      </c>
      <c r="P11192" s="33">
        <f t="shared" si="696"/>
        <v>0</v>
      </c>
      <c r="Q11192" s="31" t="str">
        <f t="shared" si="697"/>
        <v/>
      </c>
      <c r="R11192" s="32" t="str">
        <f>IFERROR(VLOOKUP($D11192,'Informations sur les produits'!$A$3:$B$15000,2,FALSE),"")</f>
        <v/>
      </c>
      <c r="V11192">
        <f t="shared" si="698"/>
        <v>0</v>
      </c>
      <c r="W11192">
        <f t="shared" si="699"/>
        <v>0</v>
      </c>
    </row>
    <row r="11193" spans="5:23" x14ac:dyDescent="0.25">
      <c r="E11193" s="4"/>
      <c r="F11193" s="4"/>
      <c r="G11193" s="33" t="str">
        <f>IFERROR(VLOOKUP($D11193,'Informations sur les produits'!$A$3:$H$10000,8,FALSE),"0")</f>
        <v>0</v>
      </c>
      <c r="K11193" s="4"/>
      <c r="L11193" s="33" t="str">
        <f>IFERROR(VLOOKUP($J11193,'Informations sur les produits'!$A$3:$H$10000,8,FALSE),"0")</f>
        <v>0</v>
      </c>
      <c r="N11193" s="8"/>
      <c r="O11193" s="33" t="str">
        <f>IFERROR(VLOOKUP($M11193,'Informations sur les produits'!$A$3:$H$10000,8,FALSE),"0")</f>
        <v>0</v>
      </c>
      <c r="P11193" s="33">
        <f t="shared" si="696"/>
        <v>0</v>
      </c>
      <c r="Q11193" s="31" t="str">
        <f t="shared" si="697"/>
        <v/>
      </c>
      <c r="R11193" s="32" t="str">
        <f>IFERROR(VLOOKUP($D11193,'Informations sur les produits'!$A$3:$B$15000,2,FALSE),"")</f>
        <v/>
      </c>
      <c r="V11193">
        <f t="shared" si="698"/>
        <v>0</v>
      </c>
      <c r="W11193">
        <f t="shared" si="699"/>
        <v>0</v>
      </c>
    </row>
    <row r="11194" spans="5:23" x14ac:dyDescent="0.25">
      <c r="E11194" s="4"/>
      <c r="F11194" s="4"/>
      <c r="G11194" s="33" t="str">
        <f>IFERROR(VLOOKUP($D11194,'Informations sur les produits'!$A$3:$H$10000,8,FALSE),"0")</f>
        <v>0</v>
      </c>
      <c r="K11194" s="4"/>
      <c r="L11194" s="33" t="str">
        <f>IFERROR(VLOOKUP($J11194,'Informations sur les produits'!$A$3:$H$10000,8,FALSE),"0")</f>
        <v>0</v>
      </c>
      <c r="N11194" s="8"/>
      <c r="O11194" s="33" t="str">
        <f>IFERROR(VLOOKUP($M11194,'Informations sur les produits'!$A$3:$H$10000,8,FALSE),"0")</f>
        <v>0</v>
      </c>
      <c r="P11194" s="33">
        <f t="shared" si="696"/>
        <v>0</v>
      </c>
      <c r="Q11194" s="31" t="str">
        <f t="shared" si="697"/>
        <v/>
      </c>
      <c r="R11194" s="32" t="str">
        <f>IFERROR(VLOOKUP($D11194,'Informations sur les produits'!$A$3:$B$15000,2,FALSE),"")</f>
        <v/>
      </c>
      <c r="V11194">
        <f t="shared" si="698"/>
        <v>0</v>
      </c>
      <c r="W11194">
        <f t="shared" si="699"/>
        <v>0</v>
      </c>
    </row>
    <row r="11195" spans="5:23" x14ac:dyDescent="0.25">
      <c r="E11195" s="4"/>
      <c r="F11195" s="4"/>
      <c r="G11195" s="33" t="str">
        <f>IFERROR(VLOOKUP($D11195,'Informations sur les produits'!$A$3:$H$10000,8,FALSE),"0")</f>
        <v>0</v>
      </c>
      <c r="K11195" s="4"/>
      <c r="L11195" s="33" t="str">
        <f>IFERROR(VLOOKUP($J11195,'Informations sur les produits'!$A$3:$H$10000,8,FALSE),"0")</f>
        <v>0</v>
      </c>
      <c r="N11195" s="8"/>
      <c r="O11195" s="33" t="str">
        <f>IFERROR(VLOOKUP($M11195,'Informations sur les produits'!$A$3:$H$10000,8,FALSE),"0")</f>
        <v>0</v>
      </c>
      <c r="P11195" s="33">
        <f t="shared" si="696"/>
        <v>0</v>
      </c>
      <c r="Q11195" s="31" t="str">
        <f t="shared" si="697"/>
        <v/>
      </c>
      <c r="R11195" s="32" t="str">
        <f>IFERROR(VLOOKUP($D11195,'Informations sur les produits'!$A$3:$B$15000,2,FALSE),"")</f>
        <v/>
      </c>
      <c r="V11195">
        <f t="shared" si="698"/>
        <v>0</v>
      </c>
      <c r="W11195">
        <f t="shared" si="699"/>
        <v>0</v>
      </c>
    </row>
    <row r="11196" spans="5:23" x14ac:dyDescent="0.25">
      <c r="E11196" s="4"/>
      <c r="F11196" s="4"/>
      <c r="G11196" s="33" t="str">
        <f>IFERROR(VLOOKUP($D11196,'Informations sur les produits'!$A$3:$H$10000,8,FALSE),"0")</f>
        <v>0</v>
      </c>
      <c r="K11196" s="4"/>
      <c r="L11196" s="33" t="str">
        <f>IFERROR(VLOOKUP($J11196,'Informations sur les produits'!$A$3:$H$10000,8,FALSE),"0")</f>
        <v>0</v>
      </c>
      <c r="N11196" s="8"/>
      <c r="O11196" s="33" t="str">
        <f>IFERROR(VLOOKUP($M11196,'Informations sur les produits'!$A$3:$H$10000,8,FALSE),"0")</f>
        <v>0</v>
      </c>
      <c r="P11196" s="33">
        <f t="shared" si="696"/>
        <v>0</v>
      </c>
      <c r="Q11196" s="31" t="str">
        <f t="shared" si="697"/>
        <v/>
      </c>
      <c r="R11196" s="32" t="str">
        <f>IFERROR(VLOOKUP($D11196,'Informations sur les produits'!$A$3:$B$15000,2,FALSE),"")</f>
        <v/>
      </c>
      <c r="V11196">
        <f t="shared" si="698"/>
        <v>0</v>
      </c>
      <c r="W11196">
        <f t="shared" si="699"/>
        <v>0</v>
      </c>
    </row>
    <row r="11197" spans="5:23" x14ac:dyDescent="0.25">
      <c r="E11197" s="4"/>
      <c r="F11197" s="4"/>
      <c r="G11197" s="33" t="str">
        <f>IFERROR(VLOOKUP($D11197,'Informations sur les produits'!$A$3:$H$10000,8,FALSE),"0")</f>
        <v>0</v>
      </c>
      <c r="K11197" s="4"/>
      <c r="L11197" s="33" t="str">
        <f>IFERROR(VLOOKUP($J11197,'Informations sur les produits'!$A$3:$H$10000,8,FALSE),"0")</f>
        <v>0</v>
      </c>
      <c r="N11197" s="8"/>
      <c r="O11197" s="33" t="str">
        <f>IFERROR(VLOOKUP($M11197,'Informations sur les produits'!$A$3:$H$10000,8,FALSE),"0")</f>
        <v>0</v>
      </c>
      <c r="P11197" s="33">
        <f t="shared" si="696"/>
        <v>0</v>
      </c>
      <c r="Q11197" s="31" t="str">
        <f t="shared" si="697"/>
        <v/>
      </c>
      <c r="R11197" s="32" t="str">
        <f>IFERROR(VLOOKUP($D11197,'Informations sur les produits'!$A$3:$B$15000,2,FALSE),"")</f>
        <v/>
      </c>
      <c r="V11197">
        <f t="shared" si="698"/>
        <v>0</v>
      </c>
      <c r="W11197">
        <f t="shared" si="699"/>
        <v>0</v>
      </c>
    </row>
    <row r="11198" spans="5:23" x14ac:dyDescent="0.25">
      <c r="E11198" s="4"/>
      <c r="F11198" s="4"/>
      <c r="G11198" s="33" t="str">
        <f>IFERROR(VLOOKUP($D11198,'Informations sur les produits'!$A$3:$H$10000,8,FALSE),"0")</f>
        <v>0</v>
      </c>
      <c r="K11198" s="4"/>
      <c r="L11198" s="33" t="str">
        <f>IFERROR(VLOOKUP($J11198,'Informations sur les produits'!$A$3:$H$10000,8,FALSE),"0")</f>
        <v>0</v>
      </c>
      <c r="N11198" s="8"/>
      <c r="O11198" s="33" t="str">
        <f>IFERROR(VLOOKUP($M11198,'Informations sur les produits'!$A$3:$H$10000,8,FALSE),"0")</f>
        <v>0</v>
      </c>
      <c r="P11198" s="33">
        <f t="shared" si="696"/>
        <v>0</v>
      </c>
      <c r="Q11198" s="31" t="str">
        <f t="shared" si="697"/>
        <v/>
      </c>
      <c r="R11198" s="32" t="str">
        <f>IFERROR(VLOOKUP($D11198,'Informations sur les produits'!$A$3:$B$15000,2,FALSE),"")</f>
        <v/>
      </c>
      <c r="V11198">
        <f t="shared" si="698"/>
        <v>0</v>
      </c>
      <c r="W11198">
        <f t="shared" si="699"/>
        <v>0</v>
      </c>
    </row>
    <row r="11199" spans="5:23" x14ac:dyDescent="0.25">
      <c r="E11199" s="4"/>
      <c r="F11199" s="4"/>
      <c r="G11199" s="33" t="str">
        <f>IFERROR(VLOOKUP($D11199,'Informations sur les produits'!$A$3:$H$10000,8,FALSE),"0")</f>
        <v>0</v>
      </c>
      <c r="K11199" s="4"/>
      <c r="L11199" s="33" t="str">
        <f>IFERROR(VLOOKUP($J11199,'Informations sur les produits'!$A$3:$H$10000,8,FALSE),"0")</f>
        <v>0</v>
      </c>
      <c r="N11199" s="8"/>
      <c r="O11199" s="33" t="str">
        <f>IFERROR(VLOOKUP($M11199,'Informations sur les produits'!$A$3:$H$10000,8,FALSE),"0")</f>
        <v>0</v>
      </c>
      <c r="P11199" s="33">
        <f t="shared" si="696"/>
        <v>0</v>
      </c>
      <c r="Q11199" s="31" t="str">
        <f t="shared" si="697"/>
        <v/>
      </c>
      <c r="R11199" s="32" t="str">
        <f>IFERROR(VLOOKUP($D11199,'Informations sur les produits'!$A$3:$B$15000,2,FALSE),"")</f>
        <v/>
      </c>
      <c r="V11199">
        <f t="shared" si="698"/>
        <v>0</v>
      </c>
      <c r="W11199">
        <f t="shared" si="699"/>
        <v>0</v>
      </c>
    </row>
    <row r="11200" spans="5:23" x14ac:dyDescent="0.25">
      <c r="E11200" s="4"/>
      <c r="F11200" s="4"/>
      <c r="G11200" s="33" t="str">
        <f>IFERROR(VLOOKUP($D11200,'Informations sur les produits'!$A$3:$H$10000,8,FALSE),"0")</f>
        <v>0</v>
      </c>
      <c r="K11200" s="4"/>
      <c r="L11200" s="33" t="str">
        <f>IFERROR(VLOOKUP($J11200,'Informations sur les produits'!$A$3:$H$10000,8,FALSE),"0")</f>
        <v>0</v>
      </c>
      <c r="N11200" s="8"/>
      <c r="O11200" s="33" t="str">
        <f>IFERROR(VLOOKUP($M11200,'Informations sur les produits'!$A$3:$H$10000,8,FALSE),"0")</f>
        <v>0</v>
      </c>
      <c r="P11200" s="33">
        <f t="shared" si="696"/>
        <v>0</v>
      </c>
      <c r="Q11200" s="31" t="str">
        <f t="shared" si="697"/>
        <v/>
      </c>
      <c r="R11200" s="32" t="str">
        <f>IFERROR(VLOOKUP($D11200,'Informations sur les produits'!$A$3:$B$15000,2,FALSE),"")</f>
        <v/>
      </c>
      <c r="V11200">
        <f t="shared" si="698"/>
        <v>0</v>
      </c>
      <c r="W11200">
        <f t="shared" si="699"/>
        <v>0</v>
      </c>
    </row>
    <row r="11201" spans="5:23" x14ac:dyDescent="0.25">
      <c r="E11201" s="4"/>
      <c r="F11201" s="4"/>
      <c r="G11201" s="33" t="str">
        <f>IFERROR(VLOOKUP($D11201,'Informations sur les produits'!$A$3:$H$10000,8,FALSE),"0")</f>
        <v>0</v>
      </c>
      <c r="K11201" s="4"/>
      <c r="L11201" s="33" t="str">
        <f>IFERROR(VLOOKUP($J11201,'Informations sur les produits'!$A$3:$H$10000,8,FALSE),"0")</f>
        <v>0</v>
      </c>
      <c r="N11201" s="8"/>
      <c r="O11201" s="33" t="str">
        <f>IFERROR(VLOOKUP($M11201,'Informations sur les produits'!$A$3:$H$10000,8,FALSE),"0")</f>
        <v>0</v>
      </c>
      <c r="P11201" s="33">
        <f t="shared" si="696"/>
        <v>0</v>
      </c>
      <c r="Q11201" s="31" t="str">
        <f t="shared" si="697"/>
        <v/>
      </c>
      <c r="R11201" s="32" t="str">
        <f>IFERROR(VLOOKUP($D11201,'Informations sur les produits'!$A$3:$B$15000,2,FALSE),"")</f>
        <v/>
      </c>
      <c r="V11201">
        <f t="shared" si="698"/>
        <v>0</v>
      </c>
      <c r="W11201">
        <f t="shared" si="699"/>
        <v>0</v>
      </c>
    </row>
    <row r="11202" spans="5:23" x14ac:dyDescent="0.25">
      <c r="E11202" s="4"/>
      <c r="F11202" s="4"/>
      <c r="G11202" s="33" t="str">
        <f>IFERROR(VLOOKUP($D11202,'Informations sur les produits'!$A$3:$H$10000,8,FALSE),"0")</f>
        <v>0</v>
      </c>
      <c r="K11202" s="4"/>
      <c r="L11202" s="33" t="str">
        <f>IFERROR(VLOOKUP($J11202,'Informations sur les produits'!$A$3:$H$10000,8,FALSE),"0")</f>
        <v>0</v>
      </c>
      <c r="N11202" s="8"/>
      <c r="O11202" s="33" t="str">
        <f>IFERROR(VLOOKUP($M11202,'Informations sur les produits'!$A$3:$H$10000,8,FALSE),"0")</f>
        <v>0</v>
      </c>
      <c r="P11202" s="33">
        <f t="shared" si="696"/>
        <v>0</v>
      </c>
      <c r="Q11202" s="31" t="str">
        <f t="shared" si="697"/>
        <v/>
      </c>
      <c r="R11202" s="32" t="str">
        <f>IFERROR(VLOOKUP($D11202,'Informations sur les produits'!$A$3:$B$15000,2,FALSE),"")</f>
        <v/>
      </c>
      <c r="V11202">
        <f t="shared" si="698"/>
        <v>0</v>
      </c>
      <c r="W11202">
        <f t="shared" si="699"/>
        <v>0</v>
      </c>
    </row>
    <row r="11203" spans="5:23" x14ac:dyDescent="0.25">
      <c r="E11203" s="4"/>
      <c r="F11203" s="4"/>
      <c r="G11203" s="33" t="str">
        <f>IFERROR(VLOOKUP($D11203,'Informations sur les produits'!$A$3:$H$10000,8,FALSE),"0")</f>
        <v>0</v>
      </c>
      <c r="K11203" s="4"/>
      <c r="L11203" s="33" t="str">
        <f>IFERROR(VLOOKUP($J11203,'Informations sur les produits'!$A$3:$H$10000,8,FALSE),"0")</f>
        <v>0</v>
      </c>
      <c r="N11203" s="8"/>
      <c r="O11203" s="33" t="str">
        <f>IFERROR(VLOOKUP($M11203,'Informations sur les produits'!$A$3:$H$10000,8,FALSE),"0")</f>
        <v>0</v>
      </c>
      <c r="P11203" s="33">
        <f t="shared" si="696"/>
        <v>0</v>
      </c>
      <c r="Q11203" s="31" t="str">
        <f t="shared" si="697"/>
        <v/>
      </c>
      <c r="R11203" s="32" t="str">
        <f>IFERROR(VLOOKUP($D11203,'Informations sur les produits'!$A$3:$B$15000,2,FALSE),"")</f>
        <v/>
      </c>
      <c r="V11203">
        <f t="shared" si="698"/>
        <v>0</v>
      </c>
      <c r="W11203">
        <f t="shared" si="699"/>
        <v>0</v>
      </c>
    </row>
    <row r="11204" spans="5:23" x14ac:dyDescent="0.25">
      <c r="E11204" s="4"/>
      <c r="F11204" s="4"/>
      <c r="G11204" s="33" t="str">
        <f>IFERROR(VLOOKUP($D11204,'Informations sur les produits'!$A$3:$H$10000,8,FALSE),"0")</f>
        <v>0</v>
      </c>
      <c r="K11204" s="4"/>
      <c r="L11204" s="33" t="str">
        <f>IFERROR(VLOOKUP($J11204,'Informations sur les produits'!$A$3:$H$10000,8,FALSE),"0")</f>
        <v>0</v>
      </c>
      <c r="N11204" s="8"/>
      <c r="O11204" s="33" t="str">
        <f>IFERROR(VLOOKUP($M11204,'Informations sur les produits'!$A$3:$H$10000,8,FALSE),"0")</f>
        <v>0</v>
      </c>
      <c r="P11204" s="33">
        <f t="shared" ref="P11204:P11267" si="700">IFERROR((($E11204-$F11204)*$G11204+$K11204*$L11204+$N11204*$O11204),"")</f>
        <v>0</v>
      </c>
      <c r="Q11204" s="31" t="str">
        <f t="shared" ref="Q11204:Q11267" si="701">IFERROR((((($E11204-$F11204)*$G11204+$K11204*$L11204+$N11204*$O11204)*1000)/(($E11204-$F11204)+$K11204+$N11204)),"")</f>
        <v/>
      </c>
      <c r="R11204" s="32" t="str">
        <f>IFERROR(VLOOKUP($D11204,'Informations sur les produits'!$A$3:$B$15000,2,FALSE),"")</f>
        <v/>
      </c>
      <c r="V11204">
        <f t="shared" ref="V11204:V11267" si="702">IFERROR(P11204*1000,"")</f>
        <v>0</v>
      </c>
      <c r="W11204">
        <f t="shared" ref="W11204:W11267" si="703">IFERROR(($E11204-$F11204)+$K11204+$N11204,"")</f>
        <v>0</v>
      </c>
    </row>
    <row r="11205" spans="5:23" x14ac:dyDescent="0.25">
      <c r="E11205" s="4"/>
      <c r="F11205" s="4"/>
      <c r="G11205" s="33" t="str">
        <f>IFERROR(VLOOKUP($D11205,'Informations sur les produits'!$A$3:$H$10000,8,FALSE),"0")</f>
        <v>0</v>
      </c>
      <c r="K11205" s="4"/>
      <c r="L11205" s="33" t="str">
        <f>IFERROR(VLOOKUP($J11205,'Informations sur les produits'!$A$3:$H$10000,8,FALSE),"0")</f>
        <v>0</v>
      </c>
      <c r="N11205" s="8"/>
      <c r="O11205" s="33" t="str">
        <f>IFERROR(VLOOKUP($M11205,'Informations sur les produits'!$A$3:$H$10000,8,FALSE),"0")</f>
        <v>0</v>
      </c>
      <c r="P11205" s="33">
        <f t="shared" si="700"/>
        <v>0</v>
      </c>
      <c r="Q11205" s="31" t="str">
        <f t="shared" si="701"/>
        <v/>
      </c>
      <c r="R11205" s="32" t="str">
        <f>IFERROR(VLOOKUP($D11205,'Informations sur les produits'!$A$3:$B$15000,2,FALSE),"")</f>
        <v/>
      </c>
      <c r="V11205">
        <f t="shared" si="702"/>
        <v>0</v>
      </c>
      <c r="W11205">
        <f t="shared" si="703"/>
        <v>0</v>
      </c>
    </row>
    <row r="11206" spans="5:23" x14ac:dyDescent="0.25">
      <c r="E11206" s="4"/>
      <c r="F11206" s="4"/>
      <c r="G11206" s="33" t="str">
        <f>IFERROR(VLOOKUP($D11206,'Informations sur les produits'!$A$3:$H$10000,8,FALSE),"0")</f>
        <v>0</v>
      </c>
      <c r="K11206" s="4"/>
      <c r="L11206" s="33" t="str">
        <f>IFERROR(VLOOKUP($J11206,'Informations sur les produits'!$A$3:$H$10000,8,FALSE),"0")</f>
        <v>0</v>
      </c>
      <c r="N11206" s="8"/>
      <c r="O11206" s="33" t="str">
        <f>IFERROR(VLOOKUP($M11206,'Informations sur les produits'!$A$3:$H$10000,8,FALSE),"0")</f>
        <v>0</v>
      </c>
      <c r="P11206" s="33">
        <f t="shared" si="700"/>
        <v>0</v>
      </c>
      <c r="Q11206" s="31" t="str">
        <f t="shared" si="701"/>
        <v/>
      </c>
      <c r="R11206" s="32" t="str">
        <f>IFERROR(VLOOKUP($D11206,'Informations sur les produits'!$A$3:$B$15000,2,FALSE),"")</f>
        <v/>
      </c>
      <c r="V11206">
        <f t="shared" si="702"/>
        <v>0</v>
      </c>
      <c r="W11206">
        <f t="shared" si="703"/>
        <v>0</v>
      </c>
    </row>
    <row r="11207" spans="5:23" x14ac:dyDescent="0.25">
      <c r="E11207" s="4"/>
      <c r="F11207" s="4"/>
      <c r="G11207" s="33" t="str">
        <f>IFERROR(VLOOKUP($D11207,'Informations sur les produits'!$A$3:$H$10000,8,FALSE),"0")</f>
        <v>0</v>
      </c>
      <c r="K11207" s="4"/>
      <c r="L11207" s="33" t="str">
        <f>IFERROR(VLOOKUP($J11207,'Informations sur les produits'!$A$3:$H$10000,8,FALSE),"0")</f>
        <v>0</v>
      </c>
      <c r="N11207" s="8"/>
      <c r="O11207" s="33" t="str">
        <f>IFERROR(VLOOKUP($M11207,'Informations sur les produits'!$A$3:$H$10000,8,FALSE),"0")</f>
        <v>0</v>
      </c>
      <c r="P11207" s="33">
        <f t="shared" si="700"/>
        <v>0</v>
      </c>
      <c r="Q11207" s="31" t="str">
        <f t="shared" si="701"/>
        <v/>
      </c>
      <c r="R11207" s="32" t="str">
        <f>IFERROR(VLOOKUP($D11207,'Informations sur les produits'!$A$3:$B$15000,2,FALSE),"")</f>
        <v/>
      </c>
      <c r="V11207">
        <f t="shared" si="702"/>
        <v>0</v>
      </c>
      <c r="W11207">
        <f t="shared" si="703"/>
        <v>0</v>
      </c>
    </row>
    <row r="11208" spans="5:23" x14ac:dyDescent="0.25">
      <c r="E11208" s="4"/>
      <c r="F11208" s="4"/>
      <c r="G11208" s="33" t="str">
        <f>IFERROR(VLOOKUP($D11208,'Informations sur les produits'!$A$3:$H$10000,8,FALSE),"0")</f>
        <v>0</v>
      </c>
      <c r="K11208" s="4"/>
      <c r="L11208" s="33" t="str">
        <f>IFERROR(VLOOKUP($J11208,'Informations sur les produits'!$A$3:$H$10000,8,FALSE),"0")</f>
        <v>0</v>
      </c>
      <c r="N11208" s="8"/>
      <c r="O11208" s="33" t="str">
        <f>IFERROR(VLOOKUP($M11208,'Informations sur les produits'!$A$3:$H$10000,8,FALSE),"0")</f>
        <v>0</v>
      </c>
      <c r="P11208" s="33">
        <f t="shared" si="700"/>
        <v>0</v>
      </c>
      <c r="Q11208" s="31" t="str">
        <f t="shared" si="701"/>
        <v/>
      </c>
      <c r="R11208" s="32" t="str">
        <f>IFERROR(VLOOKUP($D11208,'Informations sur les produits'!$A$3:$B$15000,2,FALSE),"")</f>
        <v/>
      </c>
      <c r="V11208">
        <f t="shared" si="702"/>
        <v>0</v>
      </c>
      <c r="W11208">
        <f t="shared" si="703"/>
        <v>0</v>
      </c>
    </row>
    <row r="11209" spans="5:23" x14ac:dyDescent="0.25">
      <c r="E11209" s="4"/>
      <c r="F11209" s="4"/>
      <c r="G11209" s="33" t="str">
        <f>IFERROR(VLOOKUP($D11209,'Informations sur les produits'!$A$3:$H$10000,8,FALSE),"0")</f>
        <v>0</v>
      </c>
      <c r="K11209" s="4"/>
      <c r="L11209" s="33" t="str">
        <f>IFERROR(VLOOKUP($J11209,'Informations sur les produits'!$A$3:$H$10000,8,FALSE),"0")</f>
        <v>0</v>
      </c>
      <c r="N11209" s="8"/>
      <c r="O11209" s="33" t="str">
        <f>IFERROR(VLOOKUP($M11209,'Informations sur les produits'!$A$3:$H$10000,8,FALSE),"0")</f>
        <v>0</v>
      </c>
      <c r="P11209" s="33">
        <f t="shared" si="700"/>
        <v>0</v>
      </c>
      <c r="Q11209" s="31" t="str">
        <f t="shared" si="701"/>
        <v/>
      </c>
      <c r="R11209" s="32" t="str">
        <f>IFERROR(VLOOKUP($D11209,'Informations sur les produits'!$A$3:$B$15000,2,FALSE),"")</f>
        <v/>
      </c>
      <c r="V11209">
        <f t="shared" si="702"/>
        <v>0</v>
      </c>
      <c r="W11209">
        <f t="shared" si="703"/>
        <v>0</v>
      </c>
    </row>
    <row r="11210" spans="5:23" x14ac:dyDescent="0.25">
      <c r="E11210" s="4"/>
      <c r="F11210" s="4"/>
      <c r="G11210" s="33" t="str">
        <f>IFERROR(VLOOKUP($D11210,'Informations sur les produits'!$A$3:$H$10000,8,FALSE),"0")</f>
        <v>0</v>
      </c>
      <c r="K11210" s="4"/>
      <c r="L11210" s="33" t="str">
        <f>IFERROR(VLOOKUP($J11210,'Informations sur les produits'!$A$3:$H$10000,8,FALSE),"0")</f>
        <v>0</v>
      </c>
      <c r="N11210" s="8"/>
      <c r="O11210" s="33" t="str">
        <f>IFERROR(VLOOKUP($M11210,'Informations sur les produits'!$A$3:$H$10000,8,FALSE),"0")</f>
        <v>0</v>
      </c>
      <c r="P11210" s="33">
        <f t="shared" si="700"/>
        <v>0</v>
      </c>
      <c r="Q11210" s="31" t="str">
        <f t="shared" si="701"/>
        <v/>
      </c>
      <c r="R11210" s="32" t="str">
        <f>IFERROR(VLOOKUP($D11210,'Informations sur les produits'!$A$3:$B$15000,2,FALSE),"")</f>
        <v/>
      </c>
      <c r="V11210">
        <f t="shared" si="702"/>
        <v>0</v>
      </c>
      <c r="W11210">
        <f t="shared" si="703"/>
        <v>0</v>
      </c>
    </row>
    <row r="11211" spans="5:23" x14ac:dyDescent="0.25">
      <c r="E11211" s="4"/>
      <c r="F11211" s="4"/>
      <c r="G11211" s="33" t="str">
        <f>IFERROR(VLOOKUP($D11211,'Informations sur les produits'!$A$3:$H$10000,8,FALSE),"0")</f>
        <v>0</v>
      </c>
      <c r="K11211" s="4"/>
      <c r="L11211" s="33" t="str">
        <f>IFERROR(VLOOKUP($J11211,'Informations sur les produits'!$A$3:$H$10000,8,FALSE),"0")</f>
        <v>0</v>
      </c>
      <c r="N11211" s="8"/>
      <c r="O11211" s="33" t="str">
        <f>IFERROR(VLOOKUP($M11211,'Informations sur les produits'!$A$3:$H$10000,8,FALSE),"0")</f>
        <v>0</v>
      </c>
      <c r="P11211" s="33">
        <f t="shared" si="700"/>
        <v>0</v>
      </c>
      <c r="Q11211" s="31" t="str">
        <f t="shared" si="701"/>
        <v/>
      </c>
      <c r="R11211" s="32" t="str">
        <f>IFERROR(VLOOKUP($D11211,'Informations sur les produits'!$A$3:$B$15000,2,FALSE),"")</f>
        <v/>
      </c>
      <c r="V11211">
        <f t="shared" si="702"/>
        <v>0</v>
      </c>
      <c r="W11211">
        <f t="shared" si="703"/>
        <v>0</v>
      </c>
    </row>
    <row r="11212" spans="5:23" x14ac:dyDescent="0.25">
      <c r="E11212" s="4"/>
      <c r="F11212" s="4"/>
      <c r="G11212" s="33" t="str">
        <f>IFERROR(VLOOKUP($D11212,'Informations sur les produits'!$A$3:$H$10000,8,FALSE),"0")</f>
        <v>0</v>
      </c>
      <c r="K11212" s="4"/>
      <c r="L11212" s="33" t="str">
        <f>IFERROR(VLOOKUP($J11212,'Informations sur les produits'!$A$3:$H$10000,8,FALSE),"0")</f>
        <v>0</v>
      </c>
      <c r="N11212" s="8"/>
      <c r="O11212" s="33" t="str">
        <f>IFERROR(VLOOKUP($M11212,'Informations sur les produits'!$A$3:$H$10000,8,FALSE),"0")</f>
        <v>0</v>
      </c>
      <c r="P11212" s="33">
        <f t="shared" si="700"/>
        <v>0</v>
      </c>
      <c r="Q11212" s="31" t="str">
        <f t="shared" si="701"/>
        <v/>
      </c>
      <c r="R11212" s="32" t="str">
        <f>IFERROR(VLOOKUP($D11212,'Informations sur les produits'!$A$3:$B$15000,2,FALSE),"")</f>
        <v/>
      </c>
      <c r="V11212">
        <f t="shared" si="702"/>
        <v>0</v>
      </c>
      <c r="W11212">
        <f t="shared" si="703"/>
        <v>0</v>
      </c>
    </row>
    <row r="11213" spans="5:23" x14ac:dyDescent="0.25">
      <c r="E11213" s="4"/>
      <c r="F11213" s="4"/>
      <c r="G11213" s="33" t="str">
        <f>IFERROR(VLOOKUP($D11213,'Informations sur les produits'!$A$3:$H$10000,8,FALSE),"0")</f>
        <v>0</v>
      </c>
      <c r="K11213" s="4"/>
      <c r="L11213" s="33" t="str">
        <f>IFERROR(VLOOKUP($J11213,'Informations sur les produits'!$A$3:$H$10000,8,FALSE),"0")</f>
        <v>0</v>
      </c>
      <c r="N11213" s="8"/>
      <c r="O11213" s="33" t="str">
        <f>IFERROR(VLOOKUP($M11213,'Informations sur les produits'!$A$3:$H$10000,8,FALSE),"0")</f>
        <v>0</v>
      </c>
      <c r="P11213" s="33">
        <f t="shared" si="700"/>
        <v>0</v>
      </c>
      <c r="Q11213" s="31" t="str">
        <f t="shared" si="701"/>
        <v/>
      </c>
      <c r="R11213" s="32" t="str">
        <f>IFERROR(VLOOKUP($D11213,'Informations sur les produits'!$A$3:$B$15000,2,FALSE),"")</f>
        <v/>
      </c>
      <c r="V11213">
        <f t="shared" si="702"/>
        <v>0</v>
      </c>
      <c r="W11213">
        <f t="shared" si="703"/>
        <v>0</v>
      </c>
    </row>
    <row r="11214" spans="5:23" x14ac:dyDescent="0.25">
      <c r="E11214" s="4"/>
      <c r="F11214" s="4"/>
      <c r="G11214" s="33" t="str">
        <f>IFERROR(VLOOKUP($D11214,'Informations sur les produits'!$A$3:$H$10000,8,FALSE),"0")</f>
        <v>0</v>
      </c>
      <c r="K11214" s="4"/>
      <c r="L11214" s="33" t="str">
        <f>IFERROR(VLOOKUP($J11214,'Informations sur les produits'!$A$3:$H$10000,8,FALSE),"0")</f>
        <v>0</v>
      </c>
      <c r="N11214" s="8"/>
      <c r="O11214" s="33" t="str">
        <f>IFERROR(VLOOKUP($M11214,'Informations sur les produits'!$A$3:$H$10000,8,FALSE),"0")</f>
        <v>0</v>
      </c>
      <c r="P11214" s="33">
        <f t="shared" si="700"/>
        <v>0</v>
      </c>
      <c r="Q11214" s="31" t="str">
        <f t="shared" si="701"/>
        <v/>
      </c>
      <c r="R11214" s="32" t="str">
        <f>IFERROR(VLOOKUP($D11214,'Informations sur les produits'!$A$3:$B$15000,2,FALSE),"")</f>
        <v/>
      </c>
      <c r="V11214">
        <f t="shared" si="702"/>
        <v>0</v>
      </c>
      <c r="W11214">
        <f t="shared" si="703"/>
        <v>0</v>
      </c>
    </row>
    <row r="11215" spans="5:23" x14ac:dyDescent="0.25">
      <c r="E11215" s="4"/>
      <c r="F11215" s="4"/>
      <c r="G11215" s="33" t="str">
        <f>IFERROR(VLOOKUP($D11215,'Informations sur les produits'!$A$3:$H$10000,8,FALSE),"0")</f>
        <v>0</v>
      </c>
      <c r="K11215" s="4"/>
      <c r="L11215" s="33" t="str">
        <f>IFERROR(VLOOKUP($J11215,'Informations sur les produits'!$A$3:$H$10000,8,FALSE),"0")</f>
        <v>0</v>
      </c>
      <c r="N11215" s="8"/>
      <c r="O11215" s="33" t="str">
        <f>IFERROR(VLOOKUP($M11215,'Informations sur les produits'!$A$3:$H$10000,8,FALSE),"0")</f>
        <v>0</v>
      </c>
      <c r="P11215" s="33">
        <f t="shared" si="700"/>
        <v>0</v>
      </c>
      <c r="Q11215" s="31" t="str">
        <f t="shared" si="701"/>
        <v/>
      </c>
      <c r="R11215" s="32" t="str">
        <f>IFERROR(VLOOKUP($D11215,'Informations sur les produits'!$A$3:$B$15000,2,FALSE),"")</f>
        <v/>
      </c>
      <c r="V11215">
        <f t="shared" si="702"/>
        <v>0</v>
      </c>
      <c r="W11215">
        <f t="shared" si="703"/>
        <v>0</v>
      </c>
    </row>
    <row r="11216" spans="5:23" x14ac:dyDescent="0.25">
      <c r="E11216" s="4"/>
      <c r="F11216" s="4"/>
      <c r="G11216" s="33" t="str">
        <f>IFERROR(VLOOKUP($D11216,'Informations sur les produits'!$A$3:$H$10000,8,FALSE),"0")</f>
        <v>0</v>
      </c>
      <c r="K11216" s="4"/>
      <c r="L11216" s="33" t="str">
        <f>IFERROR(VLOOKUP($J11216,'Informations sur les produits'!$A$3:$H$10000,8,FALSE),"0")</f>
        <v>0</v>
      </c>
      <c r="N11216" s="8"/>
      <c r="O11216" s="33" t="str">
        <f>IFERROR(VLOOKUP($M11216,'Informations sur les produits'!$A$3:$H$10000,8,FALSE),"0")</f>
        <v>0</v>
      </c>
      <c r="P11216" s="33">
        <f t="shared" si="700"/>
        <v>0</v>
      </c>
      <c r="Q11216" s="31" t="str">
        <f t="shared" si="701"/>
        <v/>
      </c>
      <c r="R11216" s="32" t="str">
        <f>IFERROR(VLOOKUP($D11216,'Informations sur les produits'!$A$3:$B$15000,2,FALSE),"")</f>
        <v/>
      </c>
      <c r="V11216">
        <f t="shared" si="702"/>
        <v>0</v>
      </c>
      <c r="W11216">
        <f t="shared" si="703"/>
        <v>0</v>
      </c>
    </row>
    <row r="11217" spans="5:23" x14ac:dyDescent="0.25">
      <c r="E11217" s="4"/>
      <c r="F11217" s="4"/>
      <c r="G11217" s="33" t="str">
        <f>IFERROR(VLOOKUP($D11217,'Informations sur les produits'!$A$3:$H$10000,8,FALSE),"0")</f>
        <v>0</v>
      </c>
      <c r="K11217" s="4"/>
      <c r="L11217" s="33" t="str">
        <f>IFERROR(VLOOKUP($J11217,'Informations sur les produits'!$A$3:$H$10000,8,FALSE),"0")</f>
        <v>0</v>
      </c>
      <c r="N11217" s="8"/>
      <c r="O11217" s="33" t="str">
        <f>IFERROR(VLOOKUP($M11217,'Informations sur les produits'!$A$3:$H$10000,8,FALSE),"0")</f>
        <v>0</v>
      </c>
      <c r="P11217" s="33">
        <f t="shared" si="700"/>
        <v>0</v>
      </c>
      <c r="Q11217" s="31" t="str">
        <f t="shared" si="701"/>
        <v/>
      </c>
      <c r="R11217" s="32" t="str">
        <f>IFERROR(VLOOKUP($D11217,'Informations sur les produits'!$A$3:$B$15000,2,FALSE),"")</f>
        <v/>
      </c>
      <c r="V11217">
        <f t="shared" si="702"/>
        <v>0</v>
      </c>
      <c r="W11217">
        <f t="shared" si="703"/>
        <v>0</v>
      </c>
    </row>
    <row r="11218" spans="5:23" x14ac:dyDescent="0.25">
      <c r="E11218" s="4"/>
      <c r="F11218" s="4"/>
      <c r="G11218" s="33" t="str">
        <f>IFERROR(VLOOKUP($D11218,'Informations sur les produits'!$A$3:$H$10000,8,FALSE),"0")</f>
        <v>0</v>
      </c>
      <c r="K11218" s="4"/>
      <c r="L11218" s="33" t="str">
        <f>IFERROR(VLOOKUP($J11218,'Informations sur les produits'!$A$3:$H$10000,8,FALSE),"0")</f>
        <v>0</v>
      </c>
      <c r="N11218" s="8"/>
      <c r="O11218" s="33" t="str">
        <f>IFERROR(VLOOKUP($M11218,'Informations sur les produits'!$A$3:$H$10000,8,FALSE),"0")</f>
        <v>0</v>
      </c>
      <c r="P11218" s="33">
        <f t="shared" si="700"/>
        <v>0</v>
      </c>
      <c r="Q11218" s="31" t="str">
        <f t="shared" si="701"/>
        <v/>
      </c>
      <c r="R11218" s="32" t="str">
        <f>IFERROR(VLOOKUP($D11218,'Informations sur les produits'!$A$3:$B$15000,2,FALSE),"")</f>
        <v/>
      </c>
      <c r="V11218">
        <f t="shared" si="702"/>
        <v>0</v>
      </c>
      <c r="W11218">
        <f t="shared" si="703"/>
        <v>0</v>
      </c>
    </row>
    <row r="11219" spans="5:23" x14ac:dyDescent="0.25">
      <c r="E11219" s="4"/>
      <c r="F11219" s="4"/>
      <c r="G11219" s="33" t="str">
        <f>IFERROR(VLOOKUP($D11219,'Informations sur les produits'!$A$3:$H$10000,8,FALSE),"0")</f>
        <v>0</v>
      </c>
      <c r="K11219" s="4"/>
      <c r="L11219" s="33" t="str">
        <f>IFERROR(VLOOKUP($J11219,'Informations sur les produits'!$A$3:$H$10000,8,FALSE),"0")</f>
        <v>0</v>
      </c>
      <c r="N11219" s="8"/>
      <c r="O11219" s="33" t="str">
        <f>IFERROR(VLOOKUP($M11219,'Informations sur les produits'!$A$3:$H$10000,8,FALSE),"0")</f>
        <v>0</v>
      </c>
      <c r="P11219" s="33">
        <f t="shared" si="700"/>
        <v>0</v>
      </c>
      <c r="Q11219" s="31" t="str">
        <f t="shared" si="701"/>
        <v/>
      </c>
      <c r="R11219" s="32" t="str">
        <f>IFERROR(VLOOKUP($D11219,'Informations sur les produits'!$A$3:$B$15000,2,FALSE),"")</f>
        <v/>
      </c>
      <c r="V11219">
        <f t="shared" si="702"/>
        <v>0</v>
      </c>
      <c r="W11219">
        <f t="shared" si="703"/>
        <v>0</v>
      </c>
    </row>
    <row r="11220" spans="5:23" x14ac:dyDescent="0.25">
      <c r="E11220" s="4"/>
      <c r="F11220" s="4"/>
      <c r="G11220" s="33" t="str">
        <f>IFERROR(VLOOKUP($D11220,'Informations sur les produits'!$A$3:$H$10000,8,FALSE),"0")</f>
        <v>0</v>
      </c>
      <c r="K11220" s="4"/>
      <c r="L11220" s="33" t="str">
        <f>IFERROR(VLOOKUP($J11220,'Informations sur les produits'!$A$3:$H$10000,8,FALSE),"0")</f>
        <v>0</v>
      </c>
      <c r="N11220" s="8"/>
      <c r="O11220" s="33" t="str">
        <f>IFERROR(VLOOKUP($M11220,'Informations sur les produits'!$A$3:$H$10000,8,FALSE),"0")</f>
        <v>0</v>
      </c>
      <c r="P11220" s="33">
        <f t="shared" si="700"/>
        <v>0</v>
      </c>
      <c r="Q11220" s="31" t="str">
        <f t="shared" si="701"/>
        <v/>
      </c>
      <c r="R11220" s="32" t="str">
        <f>IFERROR(VLOOKUP($D11220,'Informations sur les produits'!$A$3:$B$15000,2,FALSE),"")</f>
        <v/>
      </c>
      <c r="V11220">
        <f t="shared" si="702"/>
        <v>0</v>
      </c>
      <c r="W11220">
        <f t="shared" si="703"/>
        <v>0</v>
      </c>
    </row>
    <row r="11221" spans="5:23" x14ac:dyDescent="0.25">
      <c r="E11221" s="4"/>
      <c r="F11221" s="4"/>
      <c r="G11221" s="33" t="str">
        <f>IFERROR(VLOOKUP($D11221,'Informations sur les produits'!$A$3:$H$10000,8,FALSE),"0")</f>
        <v>0</v>
      </c>
      <c r="K11221" s="4"/>
      <c r="L11221" s="33" t="str">
        <f>IFERROR(VLOOKUP($J11221,'Informations sur les produits'!$A$3:$H$10000,8,FALSE),"0")</f>
        <v>0</v>
      </c>
      <c r="N11221" s="8"/>
      <c r="O11221" s="33" t="str">
        <f>IFERROR(VLOOKUP($M11221,'Informations sur les produits'!$A$3:$H$10000,8,FALSE),"0")</f>
        <v>0</v>
      </c>
      <c r="P11221" s="33">
        <f t="shared" si="700"/>
        <v>0</v>
      </c>
      <c r="Q11221" s="31" t="str">
        <f t="shared" si="701"/>
        <v/>
      </c>
      <c r="R11221" s="32" t="str">
        <f>IFERROR(VLOOKUP($D11221,'Informations sur les produits'!$A$3:$B$15000,2,FALSE),"")</f>
        <v/>
      </c>
      <c r="V11221">
        <f t="shared" si="702"/>
        <v>0</v>
      </c>
      <c r="W11221">
        <f t="shared" si="703"/>
        <v>0</v>
      </c>
    </row>
    <row r="11222" spans="5:23" x14ac:dyDescent="0.25">
      <c r="E11222" s="4"/>
      <c r="F11222" s="4"/>
      <c r="G11222" s="33" t="str">
        <f>IFERROR(VLOOKUP($D11222,'Informations sur les produits'!$A$3:$H$10000,8,FALSE),"0")</f>
        <v>0</v>
      </c>
      <c r="K11222" s="4"/>
      <c r="L11222" s="33" t="str">
        <f>IFERROR(VLOOKUP($J11222,'Informations sur les produits'!$A$3:$H$10000,8,FALSE),"0")</f>
        <v>0</v>
      </c>
      <c r="N11222" s="8"/>
      <c r="O11222" s="33" t="str">
        <f>IFERROR(VLOOKUP($M11222,'Informations sur les produits'!$A$3:$H$10000,8,FALSE),"0")</f>
        <v>0</v>
      </c>
      <c r="P11222" s="33">
        <f t="shared" si="700"/>
        <v>0</v>
      </c>
      <c r="Q11222" s="31" t="str">
        <f t="shared" si="701"/>
        <v/>
      </c>
      <c r="R11222" s="32" t="str">
        <f>IFERROR(VLOOKUP($D11222,'Informations sur les produits'!$A$3:$B$15000,2,FALSE),"")</f>
        <v/>
      </c>
      <c r="V11222">
        <f t="shared" si="702"/>
        <v>0</v>
      </c>
      <c r="W11222">
        <f t="shared" si="703"/>
        <v>0</v>
      </c>
    </row>
    <row r="11223" spans="5:23" x14ac:dyDescent="0.25">
      <c r="E11223" s="4"/>
      <c r="F11223" s="4"/>
      <c r="G11223" s="33" t="str">
        <f>IFERROR(VLOOKUP($D11223,'Informations sur les produits'!$A$3:$H$10000,8,FALSE),"0")</f>
        <v>0</v>
      </c>
      <c r="K11223" s="4"/>
      <c r="L11223" s="33" t="str">
        <f>IFERROR(VLOOKUP($J11223,'Informations sur les produits'!$A$3:$H$10000,8,FALSE),"0")</f>
        <v>0</v>
      </c>
      <c r="N11223" s="8"/>
      <c r="O11223" s="33" t="str">
        <f>IFERROR(VLOOKUP($M11223,'Informations sur les produits'!$A$3:$H$10000,8,FALSE),"0")</f>
        <v>0</v>
      </c>
      <c r="P11223" s="33">
        <f t="shared" si="700"/>
        <v>0</v>
      </c>
      <c r="Q11223" s="31" t="str">
        <f t="shared" si="701"/>
        <v/>
      </c>
      <c r="R11223" s="32" t="str">
        <f>IFERROR(VLOOKUP($D11223,'Informations sur les produits'!$A$3:$B$15000,2,FALSE),"")</f>
        <v/>
      </c>
      <c r="V11223">
        <f t="shared" si="702"/>
        <v>0</v>
      </c>
      <c r="W11223">
        <f t="shared" si="703"/>
        <v>0</v>
      </c>
    </row>
    <row r="11224" spans="5:23" x14ac:dyDescent="0.25">
      <c r="E11224" s="4"/>
      <c r="F11224" s="4"/>
      <c r="G11224" s="33" t="str">
        <f>IFERROR(VLOOKUP($D11224,'Informations sur les produits'!$A$3:$H$10000,8,FALSE),"0")</f>
        <v>0</v>
      </c>
      <c r="K11224" s="4"/>
      <c r="L11224" s="33" t="str">
        <f>IFERROR(VLOOKUP($J11224,'Informations sur les produits'!$A$3:$H$10000,8,FALSE),"0")</f>
        <v>0</v>
      </c>
      <c r="N11224" s="8"/>
      <c r="O11224" s="33" t="str">
        <f>IFERROR(VLOOKUP($M11224,'Informations sur les produits'!$A$3:$H$10000,8,FALSE),"0")</f>
        <v>0</v>
      </c>
      <c r="P11224" s="33">
        <f t="shared" si="700"/>
        <v>0</v>
      </c>
      <c r="Q11224" s="31" t="str">
        <f t="shared" si="701"/>
        <v/>
      </c>
      <c r="R11224" s="32" t="str">
        <f>IFERROR(VLOOKUP($D11224,'Informations sur les produits'!$A$3:$B$15000,2,FALSE),"")</f>
        <v/>
      </c>
      <c r="V11224">
        <f t="shared" si="702"/>
        <v>0</v>
      </c>
      <c r="W11224">
        <f t="shared" si="703"/>
        <v>0</v>
      </c>
    </row>
    <row r="11225" spans="5:23" x14ac:dyDescent="0.25">
      <c r="E11225" s="4"/>
      <c r="F11225" s="4"/>
      <c r="G11225" s="33" t="str">
        <f>IFERROR(VLOOKUP($D11225,'Informations sur les produits'!$A$3:$H$10000,8,FALSE),"0")</f>
        <v>0</v>
      </c>
      <c r="K11225" s="4"/>
      <c r="L11225" s="33" t="str">
        <f>IFERROR(VLOOKUP($J11225,'Informations sur les produits'!$A$3:$H$10000,8,FALSE),"0")</f>
        <v>0</v>
      </c>
      <c r="N11225" s="8"/>
      <c r="O11225" s="33" t="str">
        <f>IFERROR(VLOOKUP($M11225,'Informations sur les produits'!$A$3:$H$10000,8,FALSE),"0")</f>
        <v>0</v>
      </c>
      <c r="P11225" s="33">
        <f t="shared" si="700"/>
        <v>0</v>
      </c>
      <c r="Q11225" s="31" t="str">
        <f t="shared" si="701"/>
        <v/>
      </c>
      <c r="R11225" s="32" t="str">
        <f>IFERROR(VLOOKUP($D11225,'Informations sur les produits'!$A$3:$B$15000,2,FALSE),"")</f>
        <v/>
      </c>
      <c r="V11225">
        <f t="shared" si="702"/>
        <v>0</v>
      </c>
      <c r="W11225">
        <f t="shared" si="703"/>
        <v>0</v>
      </c>
    </row>
    <row r="11226" spans="5:23" x14ac:dyDescent="0.25">
      <c r="E11226" s="4"/>
      <c r="F11226" s="4"/>
      <c r="G11226" s="33" t="str">
        <f>IFERROR(VLOOKUP($D11226,'Informations sur les produits'!$A$3:$H$10000,8,FALSE),"0")</f>
        <v>0</v>
      </c>
      <c r="K11226" s="4"/>
      <c r="L11226" s="33" t="str">
        <f>IFERROR(VLOOKUP($J11226,'Informations sur les produits'!$A$3:$H$10000,8,FALSE),"0")</f>
        <v>0</v>
      </c>
      <c r="N11226" s="8"/>
      <c r="O11226" s="33" t="str">
        <f>IFERROR(VLOOKUP($M11226,'Informations sur les produits'!$A$3:$H$10000,8,FALSE),"0")</f>
        <v>0</v>
      </c>
      <c r="P11226" s="33">
        <f t="shared" si="700"/>
        <v>0</v>
      </c>
      <c r="Q11226" s="31" t="str">
        <f t="shared" si="701"/>
        <v/>
      </c>
      <c r="R11226" s="32" t="str">
        <f>IFERROR(VLOOKUP($D11226,'Informations sur les produits'!$A$3:$B$15000,2,FALSE),"")</f>
        <v/>
      </c>
      <c r="V11226">
        <f t="shared" si="702"/>
        <v>0</v>
      </c>
      <c r="W11226">
        <f t="shared" si="703"/>
        <v>0</v>
      </c>
    </row>
    <row r="11227" spans="5:23" x14ac:dyDescent="0.25">
      <c r="E11227" s="4"/>
      <c r="F11227" s="4"/>
      <c r="G11227" s="33" t="str">
        <f>IFERROR(VLOOKUP($D11227,'Informations sur les produits'!$A$3:$H$10000,8,FALSE),"0")</f>
        <v>0</v>
      </c>
      <c r="K11227" s="4"/>
      <c r="L11227" s="33" t="str">
        <f>IFERROR(VLOOKUP($J11227,'Informations sur les produits'!$A$3:$H$10000,8,FALSE),"0")</f>
        <v>0</v>
      </c>
      <c r="N11227" s="8"/>
      <c r="O11227" s="33" t="str">
        <f>IFERROR(VLOOKUP($M11227,'Informations sur les produits'!$A$3:$H$10000,8,FALSE),"0")</f>
        <v>0</v>
      </c>
      <c r="P11227" s="33">
        <f t="shared" si="700"/>
        <v>0</v>
      </c>
      <c r="Q11227" s="31" t="str">
        <f t="shared" si="701"/>
        <v/>
      </c>
      <c r="R11227" s="32" t="str">
        <f>IFERROR(VLOOKUP($D11227,'Informations sur les produits'!$A$3:$B$15000,2,FALSE),"")</f>
        <v/>
      </c>
      <c r="V11227">
        <f t="shared" si="702"/>
        <v>0</v>
      </c>
      <c r="W11227">
        <f t="shared" si="703"/>
        <v>0</v>
      </c>
    </row>
    <row r="11228" spans="5:23" x14ac:dyDescent="0.25">
      <c r="E11228" s="4"/>
      <c r="F11228" s="4"/>
      <c r="G11228" s="33" t="str">
        <f>IFERROR(VLOOKUP($D11228,'Informations sur les produits'!$A$3:$H$10000,8,FALSE),"0")</f>
        <v>0</v>
      </c>
      <c r="K11228" s="4"/>
      <c r="L11228" s="33" t="str">
        <f>IFERROR(VLOOKUP($J11228,'Informations sur les produits'!$A$3:$H$10000,8,FALSE),"0")</f>
        <v>0</v>
      </c>
      <c r="N11228" s="8"/>
      <c r="O11228" s="33" t="str">
        <f>IFERROR(VLOOKUP($M11228,'Informations sur les produits'!$A$3:$H$10000,8,FALSE),"0")</f>
        <v>0</v>
      </c>
      <c r="P11228" s="33">
        <f t="shared" si="700"/>
        <v>0</v>
      </c>
      <c r="Q11228" s="31" t="str">
        <f t="shared" si="701"/>
        <v/>
      </c>
      <c r="R11228" s="32" t="str">
        <f>IFERROR(VLOOKUP($D11228,'Informations sur les produits'!$A$3:$B$15000,2,FALSE),"")</f>
        <v/>
      </c>
      <c r="V11228">
        <f t="shared" si="702"/>
        <v>0</v>
      </c>
      <c r="W11228">
        <f t="shared" si="703"/>
        <v>0</v>
      </c>
    </row>
    <row r="11229" spans="5:23" x14ac:dyDescent="0.25">
      <c r="E11229" s="4"/>
      <c r="F11229" s="4"/>
      <c r="G11229" s="33" t="str">
        <f>IFERROR(VLOOKUP($D11229,'Informations sur les produits'!$A$3:$H$10000,8,FALSE),"0")</f>
        <v>0</v>
      </c>
      <c r="K11229" s="4"/>
      <c r="L11229" s="33" t="str">
        <f>IFERROR(VLOOKUP($J11229,'Informations sur les produits'!$A$3:$H$10000,8,FALSE),"0")</f>
        <v>0</v>
      </c>
      <c r="N11229" s="8"/>
      <c r="O11229" s="33" t="str">
        <f>IFERROR(VLOOKUP($M11229,'Informations sur les produits'!$A$3:$H$10000,8,FALSE),"0")</f>
        <v>0</v>
      </c>
      <c r="P11229" s="33">
        <f t="shared" si="700"/>
        <v>0</v>
      </c>
      <c r="Q11229" s="31" t="str">
        <f t="shared" si="701"/>
        <v/>
      </c>
      <c r="R11229" s="32" t="str">
        <f>IFERROR(VLOOKUP($D11229,'Informations sur les produits'!$A$3:$B$15000,2,FALSE),"")</f>
        <v/>
      </c>
      <c r="V11229">
        <f t="shared" si="702"/>
        <v>0</v>
      </c>
      <c r="W11229">
        <f t="shared" si="703"/>
        <v>0</v>
      </c>
    </row>
    <row r="11230" spans="5:23" x14ac:dyDescent="0.25">
      <c r="E11230" s="4"/>
      <c r="F11230" s="4"/>
      <c r="G11230" s="33" t="str">
        <f>IFERROR(VLOOKUP($D11230,'Informations sur les produits'!$A$3:$H$10000,8,FALSE),"0")</f>
        <v>0</v>
      </c>
      <c r="K11230" s="4"/>
      <c r="L11230" s="33" t="str">
        <f>IFERROR(VLOOKUP($J11230,'Informations sur les produits'!$A$3:$H$10000,8,FALSE),"0")</f>
        <v>0</v>
      </c>
      <c r="N11230" s="8"/>
      <c r="O11230" s="33" t="str">
        <f>IFERROR(VLOOKUP($M11230,'Informations sur les produits'!$A$3:$H$10000,8,FALSE),"0")</f>
        <v>0</v>
      </c>
      <c r="P11230" s="33">
        <f t="shared" si="700"/>
        <v>0</v>
      </c>
      <c r="Q11230" s="31" t="str">
        <f t="shared" si="701"/>
        <v/>
      </c>
      <c r="R11230" s="32" t="str">
        <f>IFERROR(VLOOKUP($D11230,'Informations sur les produits'!$A$3:$B$15000,2,FALSE),"")</f>
        <v/>
      </c>
      <c r="V11230">
        <f t="shared" si="702"/>
        <v>0</v>
      </c>
      <c r="W11230">
        <f t="shared" si="703"/>
        <v>0</v>
      </c>
    </row>
    <row r="11231" spans="5:23" x14ac:dyDescent="0.25">
      <c r="E11231" s="4"/>
      <c r="F11231" s="4"/>
      <c r="G11231" s="33" t="str">
        <f>IFERROR(VLOOKUP($D11231,'Informations sur les produits'!$A$3:$H$10000,8,FALSE),"0")</f>
        <v>0</v>
      </c>
      <c r="K11231" s="4"/>
      <c r="L11231" s="33" t="str">
        <f>IFERROR(VLOOKUP($J11231,'Informations sur les produits'!$A$3:$H$10000,8,FALSE),"0")</f>
        <v>0</v>
      </c>
      <c r="N11231" s="8"/>
      <c r="O11231" s="33" t="str">
        <f>IFERROR(VLOOKUP($M11231,'Informations sur les produits'!$A$3:$H$10000,8,FALSE),"0")</f>
        <v>0</v>
      </c>
      <c r="P11231" s="33">
        <f t="shared" si="700"/>
        <v>0</v>
      </c>
      <c r="Q11231" s="31" t="str">
        <f t="shared" si="701"/>
        <v/>
      </c>
      <c r="R11231" s="32" t="str">
        <f>IFERROR(VLOOKUP($D11231,'Informations sur les produits'!$A$3:$B$15000,2,FALSE),"")</f>
        <v/>
      </c>
      <c r="V11231">
        <f t="shared" si="702"/>
        <v>0</v>
      </c>
      <c r="W11231">
        <f t="shared" si="703"/>
        <v>0</v>
      </c>
    </row>
    <row r="11232" spans="5:23" x14ac:dyDescent="0.25">
      <c r="E11232" s="4"/>
      <c r="F11232" s="4"/>
      <c r="G11232" s="33" t="str">
        <f>IFERROR(VLOOKUP($D11232,'Informations sur les produits'!$A$3:$H$10000,8,FALSE),"0")</f>
        <v>0</v>
      </c>
      <c r="K11232" s="4"/>
      <c r="L11232" s="33" t="str">
        <f>IFERROR(VLOOKUP($J11232,'Informations sur les produits'!$A$3:$H$10000,8,FALSE),"0")</f>
        <v>0</v>
      </c>
      <c r="N11232" s="8"/>
      <c r="O11232" s="33" t="str">
        <f>IFERROR(VLOOKUP($M11232,'Informations sur les produits'!$A$3:$H$10000,8,FALSE),"0")</f>
        <v>0</v>
      </c>
      <c r="P11232" s="33">
        <f t="shared" si="700"/>
        <v>0</v>
      </c>
      <c r="Q11232" s="31" t="str">
        <f t="shared" si="701"/>
        <v/>
      </c>
      <c r="R11232" s="32" t="str">
        <f>IFERROR(VLOOKUP($D11232,'Informations sur les produits'!$A$3:$B$15000,2,FALSE),"")</f>
        <v/>
      </c>
      <c r="V11232">
        <f t="shared" si="702"/>
        <v>0</v>
      </c>
      <c r="W11232">
        <f t="shared" si="703"/>
        <v>0</v>
      </c>
    </row>
    <row r="11233" spans="5:23" x14ac:dyDescent="0.25">
      <c r="E11233" s="4"/>
      <c r="F11233" s="4"/>
      <c r="G11233" s="33" t="str">
        <f>IFERROR(VLOOKUP($D11233,'Informations sur les produits'!$A$3:$H$10000,8,FALSE),"0")</f>
        <v>0</v>
      </c>
      <c r="K11233" s="4"/>
      <c r="L11233" s="33" t="str">
        <f>IFERROR(VLOOKUP($J11233,'Informations sur les produits'!$A$3:$H$10000,8,FALSE),"0")</f>
        <v>0</v>
      </c>
      <c r="N11233" s="8"/>
      <c r="O11233" s="33" t="str">
        <f>IFERROR(VLOOKUP($M11233,'Informations sur les produits'!$A$3:$H$10000,8,FALSE),"0")</f>
        <v>0</v>
      </c>
      <c r="P11233" s="33">
        <f t="shared" si="700"/>
        <v>0</v>
      </c>
      <c r="Q11233" s="31" t="str">
        <f t="shared" si="701"/>
        <v/>
      </c>
      <c r="R11233" s="32" t="str">
        <f>IFERROR(VLOOKUP($D11233,'Informations sur les produits'!$A$3:$B$15000,2,FALSE),"")</f>
        <v/>
      </c>
      <c r="V11233">
        <f t="shared" si="702"/>
        <v>0</v>
      </c>
      <c r="W11233">
        <f t="shared" si="703"/>
        <v>0</v>
      </c>
    </row>
    <row r="11234" spans="5:23" x14ac:dyDescent="0.25">
      <c r="E11234" s="4"/>
      <c r="F11234" s="4"/>
      <c r="G11234" s="33" t="str">
        <f>IFERROR(VLOOKUP($D11234,'Informations sur les produits'!$A$3:$H$10000,8,FALSE),"0")</f>
        <v>0</v>
      </c>
      <c r="K11234" s="4"/>
      <c r="L11234" s="33" t="str">
        <f>IFERROR(VLOOKUP($J11234,'Informations sur les produits'!$A$3:$H$10000,8,FALSE),"0")</f>
        <v>0</v>
      </c>
      <c r="N11234" s="8"/>
      <c r="O11234" s="33" t="str">
        <f>IFERROR(VLOOKUP($M11234,'Informations sur les produits'!$A$3:$H$10000,8,FALSE),"0")</f>
        <v>0</v>
      </c>
      <c r="P11234" s="33">
        <f t="shared" si="700"/>
        <v>0</v>
      </c>
      <c r="Q11234" s="31" t="str">
        <f t="shared" si="701"/>
        <v/>
      </c>
      <c r="R11234" s="32" t="str">
        <f>IFERROR(VLOOKUP($D11234,'Informations sur les produits'!$A$3:$B$15000,2,FALSE),"")</f>
        <v/>
      </c>
      <c r="V11234">
        <f t="shared" si="702"/>
        <v>0</v>
      </c>
      <c r="W11234">
        <f t="shared" si="703"/>
        <v>0</v>
      </c>
    </row>
    <row r="11235" spans="5:23" x14ac:dyDescent="0.25">
      <c r="E11235" s="4"/>
      <c r="F11235" s="4"/>
      <c r="G11235" s="33" t="str">
        <f>IFERROR(VLOOKUP($D11235,'Informations sur les produits'!$A$3:$H$10000,8,FALSE),"0")</f>
        <v>0</v>
      </c>
      <c r="K11235" s="4"/>
      <c r="L11235" s="33" t="str">
        <f>IFERROR(VLOOKUP($J11235,'Informations sur les produits'!$A$3:$H$10000,8,FALSE),"0")</f>
        <v>0</v>
      </c>
      <c r="N11235" s="8"/>
      <c r="O11235" s="33" t="str">
        <f>IFERROR(VLOOKUP($M11235,'Informations sur les produits'!$A$3:$H$10000,8,FALSE),"0")</f>
        <v>0</v>
      </c>
      <c r="P11235" s="33">
        <f t="shared" si="700"/>
        <v>0</v>
      </c>
      <c r="Q11235" s="31" t="str">
        <f t="shared" si="701"/>
        <v/>
      </c>
      <c r="R11235" s="32" t="str">
        <f>IFERROR(VLOOKUP($D11235,'Informations sur les produits'!$A$3:$B$15000,2,FALSE),"")</f>
        <v/>
      </c>
      <c r="V11235">
        <f t="shared" si="702"/>
        <v>0</v>
      </c>
      <c r="W11235">
        <f t="shared" si="703"/>
        <v>0</v>
      </c>
    </row>
    <row r="11236" spans="5:23" x14ac:dyDescent="0.25">
      <c r="E11236" s="4"/>
      <c r="F11236" s="4"/>
      <c r="G11236" s="33" t="str">
        <f>IFERROR(VLOOKUP($D11236,'Informations sur les produits'!$A$3:$H$10000,8,FALSE),"0")</f>
        <v>0</v>
      </c>
      <c r="K11236" s="4"/>
      <c r="L11236" s="33" t="str">
        <f>IFERROR(VLOOKUP($J11236,'Informations sur les produits'!$A$3:$H$10000,8,FALSE),"0")</f>
        <v>0</v>
      </c>
      <c r="N11236" s="8"/>
      <c r="O11236" s="33" t="str">
        <f>IFERROR(VLOOKUP($M11236,'Informations sur les produits'!$A$3:$H$10000,8,FALSE),"0")</f>
        <v>0</v>
      </c>
      <c r="P11236" s="33">
        <f t="shared" si="700"/>
        <v>0</v>
      </c>
      <c r="Q11236" s="31" t="str">
        <f t="shared" si="701"/>
        <v/>
      </c>
      <c r="R11236" s="32" t="str">
        <f>IFERROR(VLOOKUP($D11236,'Informations sur les produits'!$A$3:$B$15000,2,FALSE),"")</f>
        <v/>
      </c>
      <c r="V11236">
        <f t="shared" si="702"/>
        <v>0</v>
      </c>
      <c r="W11236">
        <f t="shared" si="703"/>
        <v>0</v>
      </c>
    </row>
    <row r="11237" spans="5:23" x14ac:dyDescent="0.25">
      <c r="E11237" s="4"/>
      <c r="F11237" s="4"/>
      <c r="G11237" s="33" t="str">
        <f>IFERROR(VLOOKUP($D11237,'Informations sur les produits'!$A$3:$H$10000,8,FALSE),"0")</f>
        <v>0</v>
      </c>
      <c r="K11237" s="4"/>
      <c r="L11237" s="33" t="str">
        <f>IFERROR(VLOOKUP($J11237,'Informations sur les produits'!$A$3:$H$10000,8,FALSE),"0")</f>
        <v>0</v>
      </c>
      <c r="N11237" s="8"/>
      <c r="O11237" s="33" t="str">
        <f>IFERROR(VLOOKUP($M11237,'Informations sur les produits'!$A$3:$H$10000,8,FALSE),"0")</f>
        <v>0</v>
      </c>
      <c r="P11237" s="33">
        <f t="shared" si="700"/>
        <v>0</v>
      </c>
      <c r="Q11237" s="31" t="str">
        <f t="shared" si="701"/>
        <v/>
      </c>
      <c r="R11237" s="32" t="str">
        <f>IFERROR(VLOOKUP($D11237,'Informations sur les produits'!$A$3:$B$15000,2,FALSE),"")</f>
        <v/>
      </c>
      <c r="V11237">
        <f t="shared" si="702"/>
        <v>0</v>
      </c>
      <c r="W11237">
        <f t="shared" si="703"/>
        <v>0</v>
      </c>
    </row>
    <row r="11238" spans="5:23" x14ac:dyDescent="0.25">
      <c r="E11238" s="4"/>
      <c r="F11238" s="4"/>
      <c r="G11238" s="33" t="str">
        <f>IFERROR(VLOOKUP($D11238,'Informations sur les produits'!$A$3:$H$10000,8,FALSE),"0")</f>
        <v>0</v>
      </c>
      <c r="K11238" s="4"/>
      <c r="L11238" s="33" t="str">
        <f>IFERROR(VLOOKUP($J11238,'Informations sur les produits'!$A$3:$H$10000,8,FALSE),"0")</f>
        <v>0</v>
      </c>
      <c r="N11238" s="8"/>
      <c r="O11238" s="33" t="str">
        <f>IFERROR(VLOOKUP($M11238,'Informations sur les produits'!$A$3:$H$10000,8,FALSE),"0")</f>
        <v>0</v>
      </c>
      <c r="P11238" s="33">
        <f t="shared" si="700"/>
        <v>0</v>
      </c>
      <c r="Q11238" s="31" t="str">
        <f t="shared" si="701"/>
        <v/>
      </c>
      <c r="R11238" s="32" t="str">
        <f>IFERROR(VLOOKUP($D11238,'Informations sur les produits'!$A$3:$B$15000,2,FALSE),"")</f>
        <v/>
      </c>
      <c r="V11238">
        <f t="shared" si="702"/>
        <v>0</v>
      </c>
      <c r="W11238">
        <f t="shared" si="703"/>
        <v>0</v>
      </c>
    </row>
    <row r="11239" spans="5:23" x14ac:dyDescent="0.25">
      <c r="E11239" s="4"/>
      <c r="F11239" s="4"/>
      <c r="G11239" s="33" t="str">
        <f>IFERROR(VLOOKUP($D11239,'Informations sur les produits'!$A$3:$H$10000,8,FALSE),"0")</f>
        <v>0</v>
      </c>
      <c r="K11239" s="4"/>
      <c r="L11239" s="33" t="str">
        <f>IFERROR(VLOOKUP($J11239,'Informations sur les produits'!$A$3:$H$10000,8,FALSE),"0")</f>
        <v>0</v>
      </c>
      <c r="N11239" s="8"/>
      <c r="O11239" s="33" t="str">
        <f>IFERROR(VLOOKUP($M11239,'Informations sur les produits'!$A$3:$H$10000,8,FALSE),"0")</f>
        <v>0</v>
      </c>
      <c r="P11239" s="33">
        <f t="shared" si="700"/>
        <v>0</v>
      </c>
      <c r="Q11239" s="31" t="str">
        <f t="shared" si="701"/>
        <v/>
      </c>
      <c r="R11239" s="32" t="str">
        <f>IFERROR(VLOOKUP($D11239,'Informations sur les produits'!$A$3:$B$15000,2,FALSE),"")</f>
        <v/>
      </c>
      <c r="V11239">
        <f t="shared" si="702"/>
        <v>0</v>
      </c>
      <c r="W11239">
        <f t="shared" si="703"/>
        <v>0</v>
      </c>
    </row>
    <row r="11240" spans="5:23" x14ac:dyDescent="0.25">
      <c r="E11240" s="4"/>
      <c r="F11240" s="4"/>
      <c r="G11240" s="33" t="str">
        <f>IFERROR(VLOOKUP($D11240,'Informations sur les produits'!$A$3:$H$10000,8,FALSE),"0")</f>
        <v>0</v>
      </c>
      <c r="K11240" s="4"/>
      <c r="L11240" s="33" t="str">
        <f>IFERROR(VLOOKUP($J11240,'Informations sur les produits'!$A$3:$H$10000,8,FALSE),"0")</f>
        <v>0</v>
      </c>
      <c r="N11240" s="8"/>
      <c r="O11240" s="33" t="str">
        <f>IFERROR(VLOOKUP($M11240,'Informations sur les produits'!$A$3:$H$10000,8,FALSE),"0")</f>
        <v>0</v>
      </c>
      <c r="P11240" s="33">
        <f t="shared" si="700"/>
        <v>0</v>
      </c>
      <c r="Q11240" s="31" t="str">
        <f t="shared" si="701"/>
        <v/>
      </c>
      <c r="R11240" s="32" t="str">
        <f>IFERROR(VLOOKUP($D11240,'Informations sur les produits'!$A$3:$B$15000,2,FALSE),"")</f>
        <v/>
      </c>
      <c r="V11240">
        <f t="shared" si="702"/>
        <v>0</v>
      </c>
      <c r="W11240">
        <f t="shared" si="703"/>
        <v>0</v>
      </c>
    </row>
    <row r="11241" spans="5:23" x14ac:dyDescent="0.25">
      <c r="E11241" s="4"/>
      <c r="F11241" s="4"/>
      <c r="G11241" s="33" t="str">
        <f>IFERROR(VLOOKUP($D11241,'Informations sur les produits'!$A$3:$H$10000,8,FALSE),"0")</f>
        <v>0</v>
      </c>
      <c r="K11241" s="4"/>
      <c r="L11241" s="33" t="str">
        <f>IFERROR(VLOOKUP($J11241,'Informations sur les produits'!$A$3:$H$10000,8,FALSE),"0")</f>
        <v>0</v>
      </c>
      <c r="N11241" s="8"/>
      <c r="O11241" s="33" t="str">
        <f>IFERROR(VLOOKUP($M11241,'Informations sur les produits'!$A$3:$H$10000,8,FALSE),"0")</f>
        <v>0</v>
      </c>
      <c r="P11241" s="33">
        <f t="shared" si="700"/>
        <v>0</v>
      </c>
      <c r="Q11241" s="31" t="str">
        <f t="shared" si="701"/>
        <v/>
      </c>
      <c r="R11241" s="32" t="str">
        <f>IFERROR(VLOOKUP($D11241,'Informations sur les produits'!$A$3:$B$15000,2,FALSE),"")</f>
        <v/>
      </c>
      <c r="V11241">
        <f t="shared" si="702"/>
        <v>0</v>
      </c>
      <c r="W11241">
        <f t="shared" si="703"/>
        <v>0</v>
      </c>
    </row>
    <row r="11242" spans="5:23" x14ac:dyDescent="0.25">
      <c r="E11242" s="4"/>
      <c r="F11242" s="4"/>
      <c r="G11242" s="33" t="str">
        <f>IFERROR(VLOOKUP($D11242,'Informations sur les produits'!$A$3:$H$10000,8,FALSE),"0")</f>
        <v>0</v>
      </c>
      <c r="K11242" s="4"/>
      <c r="L11242" s="33" t="str">
        <f>IFERROR(VLOOKUP($J11242,'Informations sur les produits'!$A$3:$H$10000,8,FALSE),"0")</f>
        <v>0</v>
      </c>
      <c r="N11242" s="8"/>
      <c r="O11242" s="33" t="str">
        <f>IFERROR(VLOOKUP($M11242,'Informations sur les produits'!$A$3:$H$10000,8,FALSE),"0")</f>
        <v>0</v>
      </c>
      <c r="P11242" s="33">
        <f t="shared" si="700"/>
        <v>0</v>
      </c>
      <c r="Q11242" s="31" t="str">
        <f t="shared" si="701"/>
        <v/>
      </c>
      <c r="R11242" s="32" t="str">
        <f>IFERROR(VLOOKUP($D11242,'Informations sur les produits'!$A$3:$B$15000,2,FALSE),"")</f>
        <v/>
      </c>
      <c r="V11242">
        <f t="shared" si="702"/>
        <v>0</v>
      </c>
      <c r="W11242">
        <f t="shared" si="703"/>
        <v>0</v>
      </c>
    </row>
    <row r="11243" spans="5:23" x14ac:dyDescent="0.25">
      <c r="E11243" s="4"/>
      <c r="F11243" s="4"/>
      <c r="G11243" s="33" t="str">
        <f>IFERROR(VLOOKUP($D11243,'Informations sur les produits'!$A$3:$H$10000,8,FALSE),"0")</f>
        <v>0</v>
      </c>
      <c r="K11243" s="4"/>
      <c r="L11243" s="33" t="str">
        <f>IFERROR(VLOOKUP($J11243,'Informations sur les produits'!$A$3:$H$10000,8,FALSE),"0")</f>
        <v>0</v>
      </c>
      <c r="N11243" s="8"/>
      <c r="O11243" s="33" t="str">
        <f>IFERROR(VLOOKUP($M11243,'Informations sur les produits'!$A$3:$H$10000,8,FALSE),"0")</f>
        <v>0</v>
      </c>
      <c r="P11243" s="33">
        <f t="shared" si="700"/>
        <v>0</v>
      </c>
      <c r="Q11243" s="31" t="str">
        <f t="shared" si="701"/>
        <v/>
      </c>
      <c r="R11243" s="32" t="str">
        <f>IFERROR(VLOOKUP($D11243,'Informations sur les produits'!$A$3:$B$15000,2,FALSE),"")</f>
        <v/>
      </c>
      <c r="V11243">
        <f t="shared" si="702"/>
        <v>0</v>
      </c>
      <c r="W11243">
        <f t="shared" si="703"/>
        <v>0</v>
      </c>
    </row>
    <row r="11244" spans="5:23" x14ac:dyDescent="0.25">
      <c r="E11244" s="4"/>
      <c r="F11244" s="4"/>
      <c r="G11244" s="33" t="str">
        <f>IFERROR(VLOOKUP($D11244,'Informations sur les produits'!$A$3:$H$10000,8,FALSE),"0")</f>
        <v>0</v>
      </c>
      <c r="K11244" s="4"/>
      <c r="L11244" s="33" t="str">
        <f>IFERROR(VLOOKUP($J11244,'Informations sur les produits'!$A$3:$H$10000,8,FALSE),"0")</f>
        <v>0</v>
      </c>
      <c r="N11244" s="8"/>
      <c r="O11244" s="33" t="str">
        <f>IFERROR(VLOOKUP($M11244,'Informations sur les produits'!$A$3:$H$10000,8,FALSE),"0")</f>
        <v>0</v>
      </c>
      <c r="P11244" s="33">
        <f t="shared" si="700"/>
        <v>0</v>
      </c>
      <c r="Q11244" s="31" t="str">
        <f t="shared" si="701"/>
        <v/>
      </c>
      <c r="R11244" s="32" t="str">
        <f>IFERROR(VLOOKUP($D11244,'Informations sur les produits'!$A$3:$B$15000,2,FALSE),"")</f>
        <v/>
      </c>
      <c r="V11244">
        <f t="shared" si="702"/>
        <v>0</v>
      </c>
      <c r="W11244">
        <f t="shared" si="703"/>
        <v>0</v>
      </c>
    </row>
    <row r="11245" spans="5:23" x14ac:dyDescent="0.25">
      <c r="E11245" s="4"/>
      <c r="F11245" s="4"/>
      <c r="G11245" s="33" t="str">
        <f>IFERROR(VLOOKUP($D11245,'Informations sur les produits'!$A$3:$H$10000,8,FALSE),"0")</f>
        <v>0</v>
      </c>
      <c r="K11245" s="4"/>
      <c r="L11245" s="33" t="str">
        <f>IFERROR(VLOOKUP($J11245,'Informations sur les produits'!$A$3:$H$10000,8,FALSE),"0")</f>
        <v>0</v>
      </c>
      <c r="N11245" s="8"/>
      <c r="O11245" s="33" t="str">
        <f>IFERROR(VLOOKUP($M11245,'Informations sur les produits'!$A$3:$H$10000,8,FALSE),"0")</f>
        <v>0</v>
      </c>
      <c r="P11245" s="33">
        <f t="shared" si="700"/>
        <v>0</v>
      </c>
      <c r="Q11245" s="31" t="str">
        <f t="shared" si="701"/>
        <v/>
      </c>
      <c r="R11245" s="32" t="str">
        <f>IFERROR(VLOOKUP($D11245,'Informations sur les produits'!$A$3:$B$15000,2,FALSE),"")</f>
        <v/>
      </c>
      <c r="V11245">
        <f t="shared" si="702"/>
        <v>0</v>
      </c>
      <c r="W11245">
        <f t="shared" si="703"/>
        <v>0</v>
      </c>
    </row>
    <row r="11246" spans="5:23" x14ac:dyDescent="0.25">
      <c r="E11246" s="4"/>
      <c r="F11246" s="4"/>
      <c r="G11246" s="33" t="str">
        <f>IFERROR(VLOOKUP($D11246,'Informations sur les produits'!$A$3:$H$10000,8,FALSE),"0")</f>
        <v>0</v>
      </c>
      <c r="K11246" s="4"/>
      <c r="L11246" s="33" t="str">
        <f>IFERROR(VLOOKUP($J11246,'Informations sur les produits'!$A$3:$H$10000,8,FALSE),"0")</f>
        <v>0</v>
      </c>
      <c r="N11246" s="8"/>
      <c r="O11246" s="33" t="str">
        <f>IFERROR(VLOOKUP($M11246,'Informations sur les produits'!$A$3:$H$10000,8,FALSE),"0")</f>
        <v>0</v>
      </c>
      <c r="P11246" s="33">
        <f t="shared" si="700"/>
        <v>0</v>
      </c>
      <c r="Q11246" s="31" t="str">
        <f t="shared" si="701"/>
        <v/>
      </c>
      <c r="R11246" s="32" t="str">
        <f>IFERROR(VLOOKUP($D11246,'Informations sur les produits'!$A$3:$B$15000,2,FALSE),"")</f>
        <v/>
      </c>
      <c r="V11246">
        <f t="shared" si="702"/>
        <v>0</v>
      </c>
      <c r="W11246">
        <f t="shared" si="703"/>
        <v>0</v>
      </c>
    </row>
    <row r="11247" spans="5:23" x14ac:dyDescent="0.25">
      <c r="E11247" s="4"/>
      <c r="F11247" s="4"/>
      <c r="G11247" s="33" t="str">
        <f>IFERROR(VLOOKUP($D11247,'Informations sur les produits'!$A$3:$H$10000,8,FALSE),"0")</f>
        <v>0</v>
      </c>
      <c r="K11247" s="4"/>
      <c r="L11247" s="33" t="str">
        <f>IFERROR(VLOOKUP($J11247,'Informations sur les produits'!$A$3:$H$10000,8,FALSE),"0")</f>
        <v>0</v>
      </c>
      <c r="N11247" s="8"/>
      <c r="O11247" s="33" t="str">
        <f>IFERROR(VLOOKUP($M11247,'Informations sur les produits'!$A$3:$H$10000,8,FALSE),"0")</f>
        <v>0</v>
      </c>
      <c r="P11247" s="33">
        <f t="shared" si="700"/>
        <v>0</v>
      </c>
      <c r="Q11247" s="31" t="str">
        <f t="shared" si="701"/>
        <v/>
      </c>
      <c r="R11247" s="32" t="str">
        <f>IFERROR(VLOOKUP($D11247,'Informations sur les produits'!$A$3:$B$15000,2,FALSE),"")</f>
        <v/>
      </c>
      <c r="V11247">
        <f t="shared" si="702"/>
        <v>0</v>
      </c>
      <c r="W11247">
        <f t="shared" si="703"/>
        <v>0</v>
      </c>
    </row>
    <row r="11248" spans="5:23" x14ac:dyDescent="0.25">
      <c r="E11248" s="4"/>
      <c r="F11248" s="4"/>
      <c r="G11248" s="33" t="str">
        <f>IFERROR(VLOOKUP($D11248,'Informations sur les produits'!$A$3:$H$10000,8,FALSE),"0")</f>
        <v>0</v>
      </c>
      <c r="K11248" s="4"/>
      <c r="L11248" s="33" t="str">
        <f>IFERROR(VLOOKUP($J11248,'Informations sur les produits'!$A$3:$H$10000,8,FALSE),"0")</f>
        <v>0</v>
      </c>
      <c r="N11248" s="8"/>
      <c r="O11248" s="33" t="str">
        <f>IFERROR(VLOOKUP($M11248,'Informations sur les produits'!$A$3:$H$10000,8,FALSE),"0")</f>
        <v>0</v>
      </c>
      <c r="P11248" s="33">
        <f t="shared" si="700"/>
        <v>0</v>
      </c>
      <c r="Q11248" s="31" t="str">
        <f t="shared" si="701"/>
        <v/>
      </c>
      <c r="R11248" s="32" t="str">
        <f>IFERROR(VLOOKUP($D11248,'Informations sur les produits'!$A$3:$B$15000,2,FALSE),"")</f>
        <v/>
      </c>
      <c r="V11248">
        <f t="shared" si="702"/>
        <v>0</v>
      </c>
      <c r="W11248">
        <f t="shared" si="703"/>
        <v>0</v>
      </c>
    </row>
    <row r="11249" spans="5:23" x14ac:dyDescent="0.25">
      <c r="E11249" s="4"/>
      <c r="F11249" s="4"/>
      <c r="G11249" s="33" t="str">
        <f>IFERROR(VLOOKUP($D11249,'Informations sur les produits'!$A$3:$H$10000,8,FALSE),"0")</f>
        <v>0</v>
      </c>
      <c r="K11249" s="4"/>
      <c r="L11249" s="33" t="str">
        <f>IFERROR(VLOOKUP($J11249,'Informations sur les produits'!$A$3:$H$10000,8,FALSE),"0")</f>
        <v>0</v>
      </c>
      <c r="N11249" s="8"/>
      <c r="O11249" s="33" t="str">
        <f>IFERROR(VLOOKUP($M11249,'Informations sur les produits'!$A$3:$H$10000,8,FALSE),"0")</f>
        <v>0</v>
      </c>
      <c r="P11249" s="33">
        <f t="shared" si="700"/>
        <v>0</v>
      </c>
      <c r="Q11249" s="31" t="str">
        <f t="shared" si="701"/>
        <v/>
      </c>
      <c r="R11249" s="32" t="str">
        <f>IFERROR(VLOOKUP($D11249,'Informations sur les produits'!$A$3:$B$15000,2,FALSE),"")</f>
        <v/>
      </c>
      <c r="V11249">
        <f t="shared" si="702"/>
        <v>0</v>
      </c>
      <c r="W11249">
        <f t="shared" si="703"/>
        <v>0</v>
      </c>
    </row>
    <row r="11250" spans="5:23" x14ac:dyDescent="0.25">
      <c r="E11250" s="4"/>
      <c r="F11250" s="4"/>
      <c r="G11250" s="33" t="str">
        <f>IFERROR(VLOOKUP($D11250,'Informations sur les produits'!$A$3:$H$10000,8,FALSE),"0")</f>
        <v>0</v>
      </c>
      <c r="K11250" s="4"/>
      <c r="L11250" s="33" t="str">
        <f>IFERROR(VLOOKUP($J11250,'Informations sur les produits'!$A$3:$H$10000,8,FALSE),"0")</f>
        <v>0</v>
      </c>
      <c r="N11250" s="8"/>
      <c r="O11250" s="33" t="str">
        <f>IFERROR(VLOOKUP($M11250,'Informations sur les produits'!$A$3:$H$10000,8,FALSE),"0")</f>
        <v>0</v>
      </c>
      <c r="P11250" s="33">
        <f t="shared" si="700"/>
        <v>0</v>
      </c>
      <c r="Q11250" s="31" t="str">
        <f t="shared" si="701"/>
        <v/>
      </c>
      <c r="R11250" s="32" t="str">
        <f>IFERROR(VLOOKUP($D11250,'Informations sur les produits'!$A$3:$B$15000,2,FALSE),"")</f>
        <v/>
      </c>
      <c r="V11250">
        <f t="shared" si="702"/>
        <v>0</v>
      </c>
      <c r="W11250">
        <f t="shared" si="703"/>
        <v>0</v>
      </c>
    </row>
    <row r="11251" spans="5:23" x14ac:dyDescent="0.25">
      <c r="E11251" s="4"/>
      <c r="F11251" s="4"/>
      <c r="G11251" s="33" t="str">
        <f>IFERROR(VLOOKUP($D11251,'Informations sur les produits'!$A$3:$H$10000,8,FALSE),"0")</f>
        <v>0</v>
      </c>
      <c r="K11251" s="4"/>
      <c r="L11251" s="33" t="str">
        <f>IFERROR(VLOOKUP($J11251,'Informations sur les produits'!$A$3:$H$10000,8,FALSE),"0")</f>
        <v>0</v>
      </c>
      <c r="N11251" s="8"/>
      <c r="O11251" s="33" t="str">
        <f>IFERROR(VLOOKUP($M11251,'Informations sur les produits'!$A$3:$H$10000,8,FALSE),"0")</f>
        <v>0</v>
      </c>
      <c r="P11251" s="33">
        <f t="shared" si="700"/>
        <v>0</v>
      </c>
      <c r="Q11251" s="31" t="str">
        <f t="shared" si="701"/>
        <v/>
      </c>
      <c r="R11251" s="32" t="str">
        <f>IFERROR(VLOOKUP($D11251,'Informations sur les produits'!$A$3:$B$15000,2,FALSE),"")</f>
        <v/>
      </c>
      <c r="V11251">
        <f t="shared" si="702"/>
        <v>0</v>
      </c>
      <c r="W11251">
        <f t="shared" si="703"/>
        <v>0</v>
      </c>
    </row>
    <row r="11252" spans="5:23" x14ac:dyDescent="0.25">
      <c r="E11252" s="4"/>
      <c r="F11252" s="4"/>
      <c r="G11252" s="33" t="str">
        <f>IFERROR(VLOOKUP($D11252,'Informations sur les produits'!$A$3:$H$10000,8,FALSE),"0")</f>
        <v>0</v>
      </c>
      <c r="K11252" s="4"/>
      <c r="L11252" s="33" t="str">
        <f>IFERROR(VLOOKUP($J11252,'Informations sur les produits'!$A$3:$H$10000,8,FALSE),"0")</f>
        <v>0</v>
      </c>
      <c r="N11252" s="8"/>
      <c r="O11252" s="33" t="str">
        <f>IFERROR(VLOOKUP($M11252,'Informations sur les produits'!$A$3:$H$10000,8,FALSE),"0")</f>
        <v>0</v>
      </c>
      <c r="P11252" s="33">
        <f t="shared" si="700"/>
        <v>0</v>
      </c>
      <c r="Q11252" s="31" t="str">
        <f t="shared" si="701"/>
        <v/>
      </c>
      <c r="R11252" s="32" t="str">
        <f>IFERROR(VLOOKUP($D11252,'Informations sur les produits'!$A$3:$B$15000,2,FALSE),"")</f>
        <v/>
      </c>
      <c r="V11252">
        <f t="shared" si="702"/>
        <v>0</v>
      </c>
      <c r="W11252">
        <f t="shared" si="703"/>
        <v>0</v>
      </c>
    </row>
    <row r="11253" spans="5:23" x14ac:dyDescent="0.25">
      <c r="E11253" s="4"/>
      <c r="F11253" s="4"/>
      <c r="G11253" s="33" t="str">
        <f>IFERROR(VLOOKUP($D11253,'Informations sur les produits'!$A$3:$H$10000,8,FALSE),"0")</f>
        <v>0</v>
      </c>
      <c r="K11253" s="4"/>
      <c r="L11253" s="33" t="str">
        <f>IFERROR(VLOOKUP($J11253,'Informations sur les produits'!$A$3:$H$10000,8,FALSE),"0")</f>
        <v>0</v>
      </c>
      <c r="N11253" s="8"/>
      <c r="O11253" s="33" t="str">
        <f>IFERROR(VLOOKUP($M11253,'Informations sur les produits'!$A$3:$H$10000,8,FALSE),"0")</f>
        <v>0</v>
      </c>
      <c r="P11253" s="33">
        <f t="shared" si="700"/>
        <v>0</v>
      </c>
      <c r="Q11253" s="31" t="str">
        <f t="shared" si="701"/>
        <v/>
      </c>
      <c r="R11253" s="32" t="str">
        <f>IFERROR(VLOOKUP($D11253,'Informations sur les produits'!$A$3:$B$15000,2,FALSE),"")</f>
        <v/>
      </c>
      <c r="V11253">
        <f t="shared" si="702"/>
        <v>0</v>
      </c>
      <c r="W11253">
        <f t="shared" si="703"/>
        <v>0</v>
      </c>
    </row>
    <row r="11254" spans="5:23" x14ac:dyDescent="0.25">
      <c r="E11254" s="4"/>
      <c r="F11254" s="4"/>
      <c r="G11254" s="33" t="str">
        <f>IFERROR(VLOOKUP($D11254,'Informations sur les produits'!$A$3:$H$10000,8,FALSE),"0")</f>
        <v>0</v>
      </c>
      <c r="K11254" s="4"/>
      <c r="L11254" s="33" t="str">
        <f>IFERROR(VLOOKUP($J11254,'Informations sur les produits'!$A$3:$H$10000,8,FALSE),"0")</f>
        <v>0</v>
      </c>
      <c r="N11254" s="8"/>
      <c r="O11254" s="33" t="str">
        <f>IFERROR(VLOOKUP($M11254,'Informations sur les produits'!$A$3:$H$10000,8,FALSE),"0")</f>
        <v>0</v>
      </c>
      <c r="P11254" s="33">
        <f t="shared" si="700"/>
        <v>0</v>
      </c>
      <c r="Q11254" s="31" t="str">
        <f t="shared" si="701"/>
        <v/>
      </c>
      <c r="R11254" s="32" t="str">
        <f>IFERROR(VLOOKUP($D11254,'Informations sur les produits'!$A$3:$B$15000,2,FALSE),"")</f>
        <v/>
      </c>
      <c r="V11254">
        <f t="shared" si="702"/>
        <v>0</v>
      </c>
      <c r="W11254">
        <f t="shared" si="703"/>
        <v>0</v>
      </c>
    </row>
    <row r="11255" spans="5:23" x14ac:dyDescent="0.25">
      <c r="E11255" s="4"/>
      <c r="F11255" s="4"/>
      <c r="G11255" s="33" t="str">
        <f>IFERROR(VLOOKUP($D11255,'Informations sur les produits'!$A$3:$H$10000,8,FALSE),"0")</f>
        <v>0</v>
      </c>
      <c r="K11255" s="4"/>
      <c r="L11255" s="33" t="str">
        <f>IFERROR(VLOOKUP($J11255,'Informations sur les produits'!$A$3:$H$10000,8,FALSE),"0")</f>
        <v>0</v>
      </c>
      <c r="N11255" s="8"/>
      <c r="O11255" s="33" t="str">
        <f>IFERROR(VLOOKUP($M11255,'Informations sur les produits'!$A$3:$H$10000,8,FALSE),"0")</f>
        <v>0</v>
      </c>
      <c r="P11255" s="33">
        <f t="shared" si="700"/>
        <v>0</v>
      </c>
      <c r="Q11255" s="31" t="str">
        <f t="shared" si="701"/>
        <v/>
      </c>
      <c r="R11255" s="32" t="str">
        <f>IFERROR(VLOOKUP($D11255,'Informations sur les produits'!$A$3:$B$15000,2,FALSE),"")</f>
        <v/>
      </c>
      <c r="V11255">
        <f t="shared" si="702"/>
        <v>0</v>
      </c>
      <c r="W11255">
        <f t="shared" si="703"/>
        <v>0</v>
      </c>
    </row>
    <row r="11256" spans="5:23" x14ac:dyDescent="0.25">
      <c r="E11256" s="4"/>
      <c r="F11256" s="4"/>
      <c r="G11256" s="33" t="str">
        <f>IFERROR(VLOOKUP($D11256,'Informations sur les produits'!$A$3:$H$10000,8,FALSE),"0")</f>
        <v>0</v>
      </c>
      <c r="K11256" s="4"/>
      <c r="L11256" s="33" t="str">
        <f>IFERROR(VLOOKUP($J11256,'Informations sur les produits'!$A$3:$H$10000,8,FALSE),"0")</f>
        <v>0</v>
      </c>
      <c r="N11256" s="8"/>
      <c r="O11256" s="33" t="str">
        <f>IFERROR(VLOOKUP($M11256,'Informations sur les produits'!$A$3:$H$10000,8,FALSE),"0")</f>
        <v>0</v>
      </c>
      <c r="P11256" s="33">
        <f t="shared" si="700"/>
        <v>0</v>
      </c>
      <c r="Q11256" s="31" t="str">
        <f t="shared" si="701"/>
        <v/>
      </c>
      <c r="R11256" s="32" t="str">
        <f>IFERROR(VLOOKUP($D11256,'Informations sur les produits'!$A$3:$B$15000,2,FALSE),"")</f>
        <v/>
      </c>
      <c r="V11256">
        <f t="shared" si="702"/>
        <v>0</v>
      </c>
      <c r="W11256">
        <f t="shared" si="703"/>
        <v>0</v>
      </c>
    </row>
    <row r="11257" spans="5:23" x14ac:dyDescent="0.25">
      <c r="E11257" s="4"/>
      <c r="F11257" s="4"/>
      <c r="G11257" s="33" t="str">
        <f>IFERROR(VLOOKUP($D11257,'Informations sur les produits'!$A$3:$H$10000,8,FALSE),"0")</f>
        <v>0</v>
      </c>
      <c r="K11257" s="4"/>
      <c r="L11257" s="33" t="str">
        <f>IFERROR(VLOOKUP($J11257,'Informations sur les produits'!$A$3:$H$10000,8,FALSE),"0")</f>
        <v>0</v>
      </c>
      <c r="N11257" s="8"/>
      <c r="O11257" s="33" t="str">
        <f>IFERROR(VLOOKUP($M11257,'Informations sur les produits'!$A$3:$H$10000,8,FALSE),"0")</f>
        <v>0</v>
      </c>
      <c r="P11257" s="33">
        <f t="shared" si="700"/>
        <v>0</v>
      </c>
      <c r="Q11257" s="31" t="str">
        <f t="shared" si="701"/>
        <v/>
      </c>
      <c r="R11257" s="32" t="str">
        <f>IFERROR(VLOOKUP($D11257,'Informations sur les produits'!$A$3:$B$15000,2,FALSE),"")</f>
        <v/>
      </c>
      <c r="V11257">
        <f t="shared" si="702"/>
        <v>0</v>
      </c>
      <c r="W11257">
        <f t="shared" si="703"/>
        <v>0</v>
      </c>
    </row>
    <row r="11258" spans="5:23" x14ac:dyDescent="0.25">
      <c r="E11258" s="4"/>
      <c r="F11258" s="4"/>
      <c r="G11258" s="33" t="str">
        <f>IFERROR(VLOOKUP($D11258,'Informations sur les produits'!$A$3:$H$10000,8,FALSE),"0")</f>
        <v>0</v>
      </c>
      <c r="K11258" s="4"/>
      <c r="L11258" s="33" t="str">
        <f>IFERROR(VLOOKUP($J11258,'Informations sur les produits'!$A$3:$H$10000,8,FALSE),"0")</f>
        <v>0</v>
      </c>
      <c r="N11258" s="8"/>
      <c r="O11258" s="33" t="str">
        <f>IFERROR(VLOOKUP($M11258,'Informations sur les produits'!$A$3:$H$10000,8,FALSE),"0")</f>
        <v>0</v>
      </c>
      <c r="P11258" s="33">
        <f t="shared" si="700"/>
        <v>0</v>
      </c>
      <c r="Q11258" s="31" t="str">
        <f t="shared" si="701"/>
        <v/>
      </c>
      <c r="R11258" s="32" t="str">
        <f>IFERROR(VLOOKUP($D11258,'Informations sur les produits'!$A$3:$B$15000,2,FALSE),"")</f>
        <v/>
      </c>
      <c r="V11258">
        <f t="shared" si="702"/>
        <v>0</v>
      </c>
      <c r="W11258">
        <f t="shared" si="703"/>
        <v>0</v>
      </c>
    </row>
    <row r="11259" spans="5:23" x14ac:dyDescent="0.25">
      <c r="E11259" s="4"/>
      <c r="F11259" s="4"/>
      <c r="G11259" s="33" t="str">
        <f>IFERROR(VLOOKUP($D11259,'Informations sur les produits'!$A$3:$H$10000,8,FALSE),"0")</f>
        <v>0</v>
      </c>
      <c r="K11259" s="4"/>
      <c r="L11259" s="33" t="str">
        <f>IFERROR(VLOOKUP($J11259,'Informations sur les produits'!$A$3:$H$10000,8,FALSE),"0")</f>
        <v>0</v>
      </c>
      <c r="N11259" s="8"/>
      <c r="O11259" s="33" t="str">
        <f>IFERROR(VLOOKUP($M11259,'Informations sur les produits'!$A$3:$H$10000,8,FALSE),"0")</f>
        <v>0</v>
      </c>
      <c r="P11259" s="33">
        <f t="shared" si="700"/>
        <v>0</v>
      </c>
      <c r="Q11259" s="31" t="str">
        <f t="shared" si="701"/>
        <v/>
      </c>
      <c r="R11259" s="32" t="str">
        <f>IFERROR(VLOOKUP($D11259,'Informations sur les produits'!$A$3:$B$15000,2,FALSE),"")</f>
        <v/>
      </c>
      <c r="V11259">
        <f t="shared" si="702"/>
        <v>0</v>
      </c>
      <c r="W11259">
        <f t="shared" si="703"/>
        <v>0</v>
      </c>
    </row>
    <row r="11260" spans="5:23" x14ac:dyDescent="0.25">
      <c r="E11260" s="4"/>
      <c r="F11260" s="4"/>
      <c r="G11260" s="33" t="str">
        <f>IFERROR(VLOOKUP($D11260,'Informations sur les produits'!$A$3:$H$10000,8,FALSE),"0")</f>
        <v>0</v>
      </c>
      <c r="K11260" s="4"/>
      <c r="L11260" s="33" t="str">
        <f>IFERROR(VLOOKUP($J11260,'Informations sur les produits'!$A$3:$H$10000,8,FALSE),"0")</f>
        <v>0</v>
      </c>
      <c r="N11260" s="8"/>
      <c r="O11260" s="33" t="str">
        <f>IFERROR(VLOOKUP($M11260,'Informations sur les produits'!$A$3:$H$10000,8,FALSE),"0")</f>
        <v>0</v>
      </c>
      <c r="P11260" s="33">
        <f t="shared" si="700"/>
        <v>0</v>
      </c>
      <c r="Q11260" s="31" t="str">
        <f t="shared" si="701"/>
        <v/>
      </c>
      <c r="R11260" s="32" t="str">
        <f>IFERROR(VLOOKUP($D11260,'Informations sur les produits'!$A$3:$B$15000,2,FALSE),"")</f>
        <v/>
      </c>
      <c r="V11260">
        <f t="shared" si="702"/>
        <v>0</v>
      </c>
      <c r="W11260">
        <f t="shared" si="703"/>
        <v>0</v>
      </c>
    </row>
    <row r="11261" spans="5:23" x14ac:dyDescent="0.25">
      <c r="E11261" s="4"/>
      <c r="F11261" s="4"/>
      <c r="G11261" s="33" t="str">
        <f>IFERROR(VLOOKUP($D11261,'Informations sur les produits'!$A$3:$H$10000,8,FALSE),"0")</f>
        <v>0</v>
      </c>
      <c r="K11261" s="4"/>
      <c r="L11261" s="33" t="str">
        <f>IFERROR(VLOOKUP($J11261,'Informations sur les produits'!$A$3:$H$10000,8,FALSE),"0")</f>
        <v>0</v>
      </c>
      <c r="N11261" s="8"/>
      <c r="O11261" s="33" t="str">
        <f>IFERROR(VLOOKUP($M11261,'Informations sur les produits'!$A$3:$H$10000,8,FALSE),"0")</f>
        <v>0</v>
      </c>
      <c r="P11261" s="33">
        <f t="shared" si="700"/>
        <v>0</v>
      </c>
      <c r="Q11261" s="31" t="str">
        <f t="shared" si="701"/>
        <v/>
      </c>
      <c r="R11261" s="32" t="str">
        <f>IFERROR(VLOOKUP($D11261,'Informations sur les produits'!$A$3:$B$15000,2,FALSE),"")</f>
        <v/>
      </c>
      <c r="V11261">
        <f t="shared" si="702"/>
        <v>0</v>
      </c>
      <c r="W11261">
        <f t="shared" si="703"/>
        <v>0</v>
      </c>
    </row>
    <row r="11262" spans="5:23" x14ac:dyDescent="0.25">
      <c r="E11262" s="4"/>
      <c r="F11262" s="4"/>
      <c r="G11262" s="33" t="str">
        <f>IFERROR(VLOOKUP($D11262,'Informations sur les produits'!$A$3:$H$10000,8,FALSE),"0")</f>
        <v>0</v>
      </c>
      <c r="K11262" s="4"/>
      <c r="L11262" s="33" t="str">
        <f>IFERROR(VLOOKUP($J11262,'Informations sur les produits'!$A$3:$H$10000,8,FALSE),"0")</f>
        <v>0</v>
      </c>
      <c r="N11262" s="8"/>
      <c r="O11262" s="33" t="str">
        <f>IFERROR(VLOOKUP($M11262,'Informations sur les produits'!$A$3:$H$10000,8,FALSE),"0")</f>
        <v>0</v>
      </c>
      <c r="P11262" s="33">
        <f t="shared" si="700"/>
        <v>0</v>
      </c>
      <c r="Q11262" s="31" t="str">
        <f t="shared" si="701"/>
        <v/>
      </c>
      <c r="R11262" s="32" t="str">
        <f>IFERROR(VLOOKUP($D11262,'Informations sur les produits'!$A$3:$B$15000,2,FALSE),"")</f>
        <v/>
      </c>
      <c r="V11262">
        <f t="shared" si="702"/>
        <v>0</v>
      </c>
      <c r="W11262">
        <f t="shared" si="703"/>
        <v>0</v>
      </c>
    </row>
    <row r="11263" spans="5:23" x14ac:dyDescent="0.25">
      <c r="E11263" s="4"/>
      <c r="F11263" s="4"/>
      <c r="G11263" s="33" t="str">
        <f>IFERROR(VLOOKUP($D11263,'Informations sur les produits'!$A$3:$H$10000,8,FALSE),"0")</f>
        <v>0</v>
      </c>
      <c r="K11263" s="4"/>
      <c r="L11263" s="33" t="str">
        <f>IFERROR(VLOOKUP($J11263,'Informations sur les produits'!$A$3:$H$10000,8,FALSE),"0")</f>
        <v>0</v>
      </c>
      <c r="N11263" s="8"/>
      <c r="O11263" s="33" t="str">
        <f>IFERROR(VLOOKUP($M11263,'Informations sur les produits'!$A$3:$H$10000,8,FALSE),"0")</f>
        <v>0</v>
      </c>
      <c r="P11263" s="33">
        <f t="shared" si="700"/>
        <v>0</v>
      </c>
      <c r="Q11263" s="31" t="str">
        <f t="shared" si="701"/>
        <v/>
      </c>
      <c r="R11263" s="32" t="str">
        <f>IFERROR(VLOOKUP($D11263,'Informations sur les produits'!$A$3:$B$15000,2,FALSE),"")</f>
        <v/>
      </c>
      <c r="V11263">
        <f t="shared" si="702"/>
        <v>0</v>
      </c>
      <c r="W11263">
        <f t="shared" si="703"/>
        <v>0</v>
      </c>
    </row>
    <row r="11264" spans="5:23" x14ac:dyDescent="0.25">
      <c r="E11264" s="4"/>
      <c r="F11264" s="4"/>
      <c r="G11264" s="33" t="str">
        <f>IFERROR(VLOOKUP($D11264,'Informations sur les produits'!$A$3:$H$10000,8,FALSE),"0")</f>
        <v>0</v>
      </c>
      <c r="K11264" s="4"/>
      <c r="L11264" s="33" t="str">
        <f>IFERROR(VLOOKUP($J11264,'Informations sur les produits'!$A$3:$H$10000,8,FALSE),"0")</f>
        <v>0</v>
      </c>
      <c r="N11264" s="8"/>
      <c r="O11264" s="33" t="str">
        <f>IFERROR(VLOOKUP($M11264,'Informations sur les produits'!$A$3:$H$10000,8,FALSE),"0")</f>
        <v>0</v>
      </c>
      <c r="P11264" s="33">
        <f t="shared" si="700"/>
        <v>0</v>
      </c>
      <c r="Q11264" s="31" t="str">
        <f t="shared" si="701"/>
        <v/>
      </c>
      <c r="R11264" s="32" t="str">
        <f>IFERROR(VLOOKUP($D11264,'Informations sur les produits'!$A$3:$B$15000,2,FALSE),"")</f>
        <v/>
      </c>
      <c r="V11264">
        <f t="shared" si="702"/>
        <v>0</v>
      </c>
      <c r="W11264">
        <f t="shared" si="703"/>
        <v>0</v>
      </c>
    </row>
    <row r="11265" spans="5:23" x14ac:dyDescent="0.25">
      <c r="E11265" s="4"/>
      <c r="F11265" s="4"/>
      <c r="G11265" s="33" t="str">
        <f>IFERROR(VLOOKUP($D11265,'Informations sur les produits'!$A$3:$H$10000,8,FALSE),"0")</f>
        <v>0</v>
      </c>
      <c r="K11265" s="4"/>
      <c r="L11265" s="33" t="str">
        <f>IFERROR(VLOOKUP($J11265,'Informations sur les produits'!$A$3:$H$10000,8,FALSE),"0")</f>
        <v>0</v>
      </c>
      <c r="N11265" s="8"/>
      <c r="O11265" s="33" t="str">
        <f>IFERROR(VLOOKUP($M11265,'Informations sur les produits'!$A$3:$H$10000,8,FALSE),"0")</f>
        <v>0</v>
      </c>
      <c r="P11265" s="33">
        <f t="shared" si="700"/>
        <v>0</v>
      </c>
      <c r="Q11265" s="31" t="str">
        <f t="shared" si="701"/>
        <v/>
      </c>
      <c r="R11265" s="32" t="str">
        <f>IFERROR(VLOOKUP($D11265,'Informations sur les produits'!$A$3:$B$15000,2,FALSE),"")</f>
        <v/>
      </c>
      <c r="V11265">
        <f t="shared" si="702"/>
        <v>0</v>
      </c>
      <c r="W11265">
        <f t="shared" si="703"/>
        <v>0</v>
      </c>
    </row>
    <row r="11266" spans="5:23" x14ac:dyDescent="0.25">
      <c r="E11266" s="4"/>
      <c r="F11266" s="4"/>
      <c r="G11266" s="33" t="str">
        <f>IFERROR(VLOOKUP($D11266,'Informations sur les produits'!$A$3:$H$10000,8,FALSE),"0")</f>
        <v>0</v>
      </c>
      <c r="K11266" s="4"/>
      <c r="L11266" s="33" t="str">
        <f>IFERROR(VLOOKUP($J11266,'Informations sur les produits'!$A$3:$H$10000,8,FALSE),"0")</f>
        <v>0</v>
      </c>
      <c r="N11266" s="8"/>
      <c r="O11266" s="33" t="str">
        <f>IFERROR(VLOOKUP($M11266,'Informations sur les produits'!$A$3:$H$10000,8,FALSE),"0")</f>
        <v>0</v>
      </c>
      <c r="P11266" s="33">
        <f t="shared" si="700"/>
        <v>0</v>
      </c>
      <c r="Q11266" s="31" t="str">
        <f t="shared" si="701"/>
        <v/>
      </c>
      <c r="R11266" s="32" t="str">
        <f>IFERROR(VLOOKUP($D11266,'Informations sur les produits'!$A$3:$B$15000,2,FALSE),"")</f>
        <v/>
      </c>
      <c r="V11266">
        <f t="shared" si="702"/>
        <v>0</v>
      </c>
      <c r="W11266">
        <f t="shared" si="703"/>
        <v>0</v>
      </c>
    </row>
    <row r="11267" spans="5:23" x14ac:dyDescent="0.25">
      <c r="E11267" s="4"/>
      <c r="F11267" s="4"/>
      <c r="G11267" s="33" t="str">
        <f>IFERROR(VLOOKUP($D11267,'Informations sur les produits'!$A$3:$H$10000,8,FALSE),"0")</f>
        <v>0</v>
      </c>
      <c r="K11267" s="4"/>
      <c r="L11267" s="33" t="str">
        <f>IFERROR(VLOOKUP($J11267,'Informations sur les produits'!$A$3:$H$10000,8,FALSE),"0")</f>
        <v>0</v>
      </c>
      <c r="N11267" s="8"/>
      <c r="O11267" s="33" t="str">
        <f>IFERROR(VLOOKUP($M11267,'Informations sur les produits'!$A$3:$H$10000,8,FALSE),"0")</f>
        <v>0</v>
      </c>
      <c r="P11267" s="33">
        <f t="shared" si="700"/>
        <v>0</v>
      </c>
      <c r="Q11267" s="31" t="str">
        <f t="shared" si="701"/>
        <v/>
      </c>
      <c r="R11267" s="32" t="str">
        <f>IFERROR(VLOOKUP($D11267,'Informations sur les produits'!$A$3:$B$15000,2,FALSE),"")</f>
        <v/>
      </c>
      <c r="V11267">
        <f t="shared" si="702"/>
        <v>0</v>
      </c>
      <c r="W11267">
        <f t="shared" si="703"/>
        <v>0</v>
      </c>
    </row>
    <row r="11268" spans="5:23" x14ac:dyDescent="0.25">
      <c r="E11268" s="4"/>
      <c r="F11268" s="4"/>
      <c r="G11268" s="33" t="str">
        <f>IFERROR(VLOOKUP($D11268,'Informations sur les produits'!$A$3:$H$10000,8,FALSE),"0")</f>
        <v>0</v>
      </c>
      <c r="K11268" s="4"/>
      <c r="L11268" s="33" t="str">
        <f>IFERROR(VLOOKUP($J11268,'Informations sur les produits'!$A$3:$H$10000,8,FALSE),"0")</f>
        <v>0</v>
      </c>
      <c r="N11268" s="8"/>
      <c r="O11268" s="33" t="str">
        <f>IFERROR(VLOOKUP($M11268,'Informations sur les produits'!$A$3:$H$10000,8,FALSE),"0")</f>
        <v>0</v>
      </c>
      <c r="P11268" s="33">
        <f t="shared" ref="P11268:P11331" si="704">IFERROR((($E11268-$F11268)*$G11268+$K11268*$L11268+$N11268*$O11268),"")</f>
        <v>0</v>
      </c>
      <c r="Q11268" s="31" t="str">
        <f t="shared" ref="Q11268:Q11331" si="705">IFERROR((((($E11268-$F11268)*$G11268+$K11268*$L11268+$N11268*$O11268)*1000)/(($E11268-$F11268)+$K11268+$N11268)),"")</f>
        <v/>
      </c>
      <c r="R11268" s="32" t="str">
        <f>IFERROR(VLOOKUP($D11268,'Informations sur les produits'!$A$3:$B$15000,2,FALSE),"")</f>
        <v/>
      </c>
      <c r="V11268">
        <f t="shared" ref="V11268:V11331" si="706">IFERROR(P11268*1000,"")</f>
        <v>0</v>
      </c>
      <c r="W11268">
        <f t="shared" ref="W11268:W11331" si="707">IFERROR(($E11268-$F11268)+$K11268+$N11268,"")</f>
        <v>0</v>
      </c>
    </row>
    <row r="11269" spans="5:23" x14ac:dyDescent="0.25">
      <c r="E11269" s="4"/>
      <c r="F11269" s="4"/>
      <c r="G11269" s="33" t="str">
        <f>IFERROR(VLOOKUP($D11269,'Informations sur les produits'!$A$3:$H$10000,8,FALSE),"0")</f>
        <v>0</v>
      </c>
      <c r="K11269" s="4"/>
      <c r="L11269" s="33" t="str">
        <f>IFERROR(VLOOKUP($J11269,'Informations sur les produits'!$A$3:$H$10000,8,FALSE),"0")</f>
        <v>0</v>
      </c>
      <c r="N11269" s="8"/>
      <c r="O11269" s="33" t="str">
        <f>IFERROR(VLOOKUP($M11269,'Informations sur les produits'!$A$3:$H$10000,8,FALSE),"0")</f>
        <v>0</v>
      </c>
      <c r="P11269" s="33">
        <f t="shared" si="704"/>
        <v>0</v>
      </c>
      <c r="Q11269" s="31" t="str">
        <f t="shared" si="705"/>
        <v/>
      </c>
      <c r="R11269" s="32" t="str">
        <f>IFERROR(VLOOKUP($D11269,'Informations sur les produits'!$A$3:$B$15000,2,FALSE),"")</f>
        <v/>
      </c>
      <c r="V11269">
        <f t="shared" si="706"/>
        <v>0</v>
      </c>
      <c r="W11269">
        <f t="shared" si="707"/>
        <v>0</v>
      </c>
    </row>
    <row r="11270" spans="5:23" x14ac:dyDescent="0.25">
      <c r="E11270" s="4"/>
      <c r="F11270" s="4"/>
      <c r="G11270" s="33" t="str">
        <f>IFERROR(VLOOKUP($D11270,'Informations sur les produits'!$A$3:$H$10000,8,FALSE),"0")</f>
        <v>0</v>
      </c>
      <c r="K11270" s="4"/>
      <c r="L11270" s="33" t="str">
        <f>IFERROR(VLOOKUP($J11270,'Informations sur les produits'!$A$3:$H$10000,8,FALSE),"0")</f>
        <v>0</v>
      </c>
      <c r="N11270" s="8"/>
      <c r="O11270" s="33" t="str">
        <f>IFERROR(VLOOKUP($M11270,'Informations sur les produits'!$A$3:$H$10000,8,FALSE),"0")</f>
        <v>0</v>
      </c>
      <c r="P11270" s="33">
        <f t="shared" si="704"/>
        <v>0</v>
      </c>
      <c r="Q11270" s="31" t="str">
        <f t="shared" si="705"/>
        <v/>
      </c>
      <c r="R11270" s="32" t="str">
        <f>IFERROR(VLOOKUP($D11270,'Informations sur les produits'!$A$3:$B$15000,2,FALSE),"")</f>
        <v/>
      </c>
      <c r="V11270">
        <f t="shared" si="706"/>
        <v>0</v>
      </c>
      <c r="W11270">
        <f t="shared" si="707"/>
        <v>0</v>
      </c>
    </row>
    <row r="11271" spans="5:23" x14ac:dyDescent="0.25">
      <c r="E11271" s="4"/>
      <c r="F11271" s="4"/>
      <c r="G11271" s="33" t="str">
        <f>IFERROR(VLOOKUP($D11271,'Informations sur les produits'!$A$3:$H$10000,8,FALSE),"0")</f>
        <v>0</v>
      </c>
      <c r="K11271" s="4"/>
      <c r="L11271" s="33" t="str">
        <f>IFERROR(VLOOKUP($J11271,'Informations sur les produits'!$A$3:$H$10000,8,FALSE),"0")</f>
        <v>0</v>
      </c>
      <c r="N11271" s="8"/>
      <c r="O11271" s="33" t="str">
        <f>IFERROR(VLOOKUP($M11271,'Informations sur les produits'!$A$3:$H$10000,8,FALSE),"0")</f>
        <v>0</v>
      </c>
      <c r="P11271" s="33">
        <f t="shared" si="704"/>
        <v>0</v>
      </c>
      <c r="Q11271" s="31" t="str">
        <f t="shared" si="705"/>
        <v/>
      </c>
      <c r="R11271" s="32" t="str">
        <f>IFERROR(VLOOKUP($D11271,'Informations sur les produits'!$A$3:$B$15000,2,FALSE),"")</f>
        <v/>
      </c>
      <c r="V11271">
        <f t="shared" si="706"/>
        <v>0</v>
      </c>
      <c r="W11271">
        <f t="shared" si="707"/>
        <v>0</v>
      </c>
    </row>
    <row r="11272" spans="5:23" x14ac:dyDescent="0.25">
      <c r="E11272" s="4"/>
      <c r="F11272" s="4"/>
      <c r="G11272" s="33" t="str">
        <f>IFERROR(VLOOKUP($D11272,'Informations sur les produits'!$A$3:$H$10000,8,FALSE),"0")</f>
        <v>0</v>
      </c>
      <c r="K11272" s="4"/>
      <c r="L11272" s="33" t="str">
        <f>IFERROR(VLOOKUP($J11272,'Informations sur les produits'!$A$3:$H$10000,8,FALSE),"0")</f>
        <v>0</v>
      </c>
      <c r="N11272" s="8"/>
      <c r="O11272" s="33" t="str">
        <f>IFERROR(VLOOKUP($M11272,'Informations sur les produits'!$A$3:$H$10000,8,FALSE),"0")</f>
        <v>0</v>
      </c>
      <c r="P11272" s="33">
        <f t="shared" si="704"/>
        <v>0</v>
      </c>
      <c r="Q11272" s="31" t="str">
        <f t="shared" si="705"/>
        <v/>
      </c>
      <c r="R11272" s="32" t="str">
        <f>IFERROR(VLOOKUP($D11272,'Informations sur les produits'!$A$3:$B$15000,2,FALSE),"")</f>
        <v/>
      </c>
      <c r="V11272">
        <f t="shared" si="706"/>
        <v>0</v>
      </c>
      <c r="W11272">
        <f t="shared" si="707"/>
        <v>0</v>
      </c>
    </row>
    <row r="11273" spans="5:23" x14ac:dyDescent="0.25">
      <c r="E11273" s="4"/>
      <c r="F11273" s="4"/>
      <c r="G11273" s="33" t="str">
        <f>IFERROR(VLOOKUP($D11273,'Informations sur les produits'!$A$3:$H$10000,8,FALSE),"0")</f>
        <v>0</v>
      </c>
      <c r="K11273" s="4"/>
      <c r="L11273" s="33" t="str">
        <f>IFERROR(VLOOKUP($J11273,'Informations sur les produits'!$A$3:$H$10000,8,FALSE),"0")</f>
        <v>0</v>
      </c>
      <c r="N11273" s="8"/>
      <c r="O11273" s="33" t="str">
        <f>IFERROR(VLOOKUP($M11273,'Informations sur les produits'!$A$3:$H$10000,8,FALSE),"0")</f>
        <v>0</v>
      </c>
      <c r="P11273" s="33">
        <f t="shared" si="704"/>
        <v>0</v>
      </c>
      <c r="Q11273" s="31" t="str">
        <f t="shared" si="705"/>
        <v/>
      </c>
      <c r="R11273" s="32" t="str">
        <f>IFERROR(VLOOKUP($D11273,'Informations sur les produits'!$A$3:$B$15000,2,FALSE),"")</f>
        <v/>
      </c>
      <c r="V11273">
        <f t="shared" si="706"/>
        <v>0</v>
      </c>
      <c r="W11273">
        <f t="shared" si="707"/>
        <v>0</v>
      </c>
    </row>
    <row r="11274" spans="5:23" x14ac:dyDescent="0.25">
      <c r="E11274" s="4"/>
      <c r="F11274" s="4"/>
      <c r="G11274" s="33" t="str">
        <f>IFERROR(VLOOKUP($D11274,'Informations sur les produits'!$A$3:$H$10000,8,FALSE),"0")</f>
        <v>0</v>
      </c>
      <c r="K11274" s="4"/>
      <c r="L11274" s="33" t="str">
        <f>IFERROR(VLOOKUP($J11274,'Informations sur les produits'!$A$3:$H$10000,8,FALSE),"0")</f>
        <v>0</v>
      </c>
      <c r="N11274" s="8"/>
      <c r="O11274" s="33" t="str">
        <f>IFERROR(VLOOKUP($M11274,'Informations sur les produits'!$A$3:$H$10000,8,FALSE),"0")</f>
        <v>0</v>
      </c>
      <c r="P11274" s="33">
        <f t="shared" si="704"/>
        <v>0</v>
      </c>
      <c r="Q11274" s="31" t="str">
        <f t="shared" si="705"/>
        <v/>
      </c>
      <c r="R11274" s="32" t="str">
        <f>IFERROR(VLOOKUP($D11274,'Informations sur les produits'!$A$3:$B$15000,2,FALSE),"")</f>
        <v/>
      </c>
      <c r="V11274">
        <f t="shared" si="706"/>
        <v>0</v>
      </c>
      <c r="W11274">
        <f t="shared" si="707"/>
        <v>0</v>
      </c>
    </row>
    <row r="11275" spans="5:23" x14ac:dyDescent="0.25">
      <c r="E11275" s="4"/>
      <c r="F11275" s="4"/>
      <c r="G11275" s="33" t="str">
        <f>IFERROR(VLOOKUP($D11275,'Informations sur les produits'!$A$3:$H$10000,8,FALSE),"0")</f>
        <v>0</v>
      </c>
      <c r="K11275" s="4"/>
      <c r="L11275" s="33" t="str">
        <f>IFERROR(VLOOKUP($J11275,'Informations sur les produits'!$A$3:$H$10000,8,FALSE),"0")</f>
        <v>0</v>
      </c>
      <c r="N11275" s="8"/>
      <c r="O11275" s="33" t="str">
        <f>IFERROR(VLOOKUP($M11275,'Informations sur les produits'!$A$3:$H$10000,8,FALSE),"0")</f>
        <v>0</v>
      </c>
      <c r="P11275" s="33">
        <f t="shared" si="704"/>
        <v>0</v>
      </c>
      <c r="Q11275" s="31" t="str">
        <f t="shared" si="705"/>
        <v/>
      </c>
      <c r="R11275" s="32" t="str">
        <f>IFERROR(VLOOKUP($D11275,'Informations sur les produits'!$A$3:$B$15000,2,FALSE),"")</f>
        <v/>
      </c>
      <c r="V11275">
        <f t="shared" si="706"/>
        <v>0</v>
      </c>
      <c r="W11275">
        <f t="shared" si="707"/>
        <v>0</v>
      </c>
    </row>
    <row r="11276" spans="5:23" x14ac:dyDescent="0.25">
      <c r="E11276" s="4"/>
      <c r="F11276" s="4"/>
      <c r="G11276" s="33" t="str">
        <f>IFERROR(VLOOKUP($D11276,'Informations sur les produits'!$A$3:$H$10000,8,FALSE),"0")</f>
        <v>0</v>
      </c>
      <c r="K11276" s="4"/>
      <c r="L11276" s="33" t="str">
        <f>IFERROR(VLOOKUP($J11276,'Informations sur les produits'!$A$3:$H$10000,8,FALSE),"0")</f>
        <v>0</v>
      </c>
      <c r="N11276" s="8"/>
      <c r="O11276" s="33" t="str">
        <f>IFERROR(VLOOKUP($M11276,'Informations sur les produits'!$A$3:$H$10000,8,FALSE),"0")</f>
        <v>0</v>
      </c>
      <c r="P11276" s="33">
        <f t="shared" si="704"/>
        <v>0</v>
      </c>
      <c r="Q11276" s="31" t="str">
        <f t="shared" si="705"/>
        <v/>
      </c>
      <c r="R11276" s="32" t="str">
        <f>IFERROR(VLOOKUP($D11276,'Informations sur les produits'!$A$3:$B$15000,2,FALSE),"")</f>
        <v/>
      </c>
      <c r="V11276">
        <f t="shared" si="706"/>
        <v>0</v>
      </c>
      <c r="W11276">
        <f t="shared" si="707"/>
        <v>0</v>
      </c>
    </row>
    <row r="11277" spans="5:23" x14ac:dyDescent="0.25">
      <c r="E11277" s="4"/>
      <c r="F11277" s="4"/>
      <c r="G11277" s="33" t="str">
        <f>IFERROR(VLOOKUP($D11277,'Informations sur les produits'!$A$3:$H$10000,8,FALSE),"0")</f>
        <v>0</v>
      </c>
      <c r="K11277" s="4"/>
      <c r="L11277" s="33" t="str">
        <f>IFERROR(VLOOKUP($J11277,'Informations sur les produits'!$A$3:$H$10000,8,FALSE),"0")</f>
        <v>0</v>
      </c>
      <c r="N11277" s="8"/>
      <c r="O11277" s="33" t="str">
        <f>IFERROR(VLOOKUP($M11277,'Informations sur les produits'!$A$3:$H$10000,8,FALSE),"0")</f>
        <v>0</v>
      </c>
      <c r="P11277" s="33">
        <f t="shared" si="704"/>
        <v>0</v>
      </c>
      <c r="Q11277" s="31" t="str">
        <f t="shared" si="705"/>
        <v/>
      </c>
      <c r="R11277" s="32" t="str">
        <f>IFERROR(VLOOKUP($D11277,'Informations sur les produits'!$A$3:$B$15000,2,FALSE),"")</f>
        <v/>
      </c>
      <c r="V11277">
        <f t="shared" si="706"/>
        <v>0</v>
      </c>
      <c r="W11277">
        <f t="shared" si="707"/>
        <v>0</v>
      </c>
    </row>
    <row r="11278" spans="5:23" x14ac:dyDescent="0.25">
      <c r="E11278" s="4"/>
      <c r="F11278" s="4"/>
      <c r="G11278" s="33" t="str">
        <f>IFERROR(VLOOKUP($D11278,'Informations sur les produits'!$A$3:$H$10000,8,FALSE),"0")</f>
        <v>0</v>
      </c>
      <c r="K11278" s="4"/>
      <c r="L11278" s="33" t="str">
        <f>IFERROR(VLOOKUP($J11278,'Informations sur les produits'!$A$3:$H$10000,8,FALSE),"0")</f>
        <v>0</v>
      </c>
      <c r="N11278" s="8"/>
      <c r="O11278" s="33" t="str">
        <f>IFERROR(VLOOKUP($M11278,'Informations sur les produits'!$A$3:$H$10000,8,FALSE),"0")</f>
        <v>0</v>
      </c>
      <c r="P11278" s="33">
        <f t="shared" si="704"/>
        <v>0</v>
      </c>
      <c r="Q11278" s="31" t="str">
        <f t="shared" si="705"/>
        <v/>
      </c>
      <c r="R11278" s="32" t="str">
        <f>IFERROR(VLOOKUP($D11278,'Informations sur les produits'!$A$3:$B$15000,2,FALSE),"")</f>
        <v/>
      </c>
      <c r="V11278">
        <f t="shared" si="706"/>
        <v>0</v>
      </c>
      <c r="W11278">
        <f t="shared" si="707"/>
        <v>0</v>
      </c>
    </row>
    <row r="11279" spans="5:23" x14ac:dyDescent="0.25">
      <c r="E11279" s="4"/>
      <c r="F11279" s="4"/>
      <c r="G11279" s="33" t="str">
        <f>IFERROR(VLOOKUP($D11279,'Informations sur les produits'!$A$3:$H$10000,8,FALSE),"0")</f>
        <v>0</v>
      </c>
      <c r="K11279" s="4"/>
      <c r="L11279" s="33" t="str">
        <f>IFERROR(VLOOKUP($J11279,'Informations sur les produits'!$A$3:$H$10000,8,FALSE),"0")</f>
        <v>0</v>
      </c>
      <c r="N11279" s="8"/>
      <c r="O11279" s="33" t="str">
        <f>IFERROR(VLOOKUP($M11279,'Informations sur les produits'!$A$3:$H$10000,8,FALSE),"0")</f>
        <v>0</v>
      </c>
      <c r="P11279" s="33">
        <f t="shared" si="704"/>
        <v>0</v>
      </c>
      <c r="Q11279" s="31" t="str">
        <f t="shared" si="705"/>
        <v/>
      </c>
      <c r="R11279" s="32" t="str">
        <f>IFERROR(VLOOKUP($D11279,'Informations sur les produits'!$A$3:$B$15000,2,FALSE),"")</f>
        <v/>
      </c>
      <c r="V11279">
        <f t="shared" si="706"/>
        <v>0</v>
      </c>
      <c r="W11279">
        <f t="shared" si="707"/>
        <v>0</v>
      </c>
    </row>
    <row r="11280" spans="5:23" x14ac:dyDescent="0.25">
      <c r="E11280" s="4"/>
      <c r="F11280" s="4"/>
      <c r="G11280" s="33" t="str">
        <f>IFERROR(VLOOKUP($D11280,'Informations sur les produits'!$A$3:$H$10000,8,FALSE),"0")</f>
        <v>0</v>
      </c>
      <c r="K11280" s="4"/>
      <c r="L11280" s="33" t="str">
        <f>IFERROR(VLOOKUP($J11280,'Informations sur les produits'!$A$3:$H$10000,8,FALSE),"0")</f>
        <v>0</v>
      </c>
      <c r="N11280" s="8"/>
      <c r="O11280" s="33" t="str">
        <f>IFERROR(VLOOKUP($M11280,'Informations sur les produits'!$A$3:$H$10000,8,FALSE),"0")</f>
        <v>0</v>
      </c>
      <c r="P11280" s="33">
        <f t="shared" si="704"/>
        <v>0</v>
      </c>
      <c r="Q11280" s="31" t="str">
        <f t="shared" si="705"/>
        <v/>
      </c>
      <c r="R11280" s="32" t="str">
        <f>IFERROR(VLOOKUP($D11280,'Informations sur les produits'!$A$3:$B$15000,2,FALSE),"")</f>
        <v/>
      </c>
      <c r="V11280">
        <f t="shared" si="706"/>
        <v>0</v>
      </c>
      <c r="W11280">
        <f t="shared" si="707"/>
        <v>0</v>
      </c>
    </row>
    <row r="11281" spans="5:23" x14ac:dyDescent="0.25">
      <c r="E11281" s="4"/>
      <c r="F11281" s="4"/>
      <c r="G11281" s="33" t="str">
        <f>IFERROR(VLOOKUP($D11281,'Informations sur les produits'!$A$3:$H$10000,8,FALSE),"0")</f>
        <v>0</v>
      </c>
      <c r="K11281" s="4"/>
      <c r="L11281" s="33" t="str">
        <f>IFERROR(VLOOKUP($J11281,'Informations sur les produits'!$A$3:$H$10000,8,FALSE),"0")</f>
        <v>0</v>
      </c>
      <c r="N11281" s="8"/>
      <c r="O11281" s="33" t="str">
        <f>IFERROR(VLOOKUP($M11281,'Informations sur les produits'!$A$3:$H$10000,8,FALSE),"0")</f>
        <v>0</v>
      </c>
      <c r="P11281" s="33">
        <f t="shared" si="704"/>
        <v>0</v>
      </c>
      <c r="Q11281" s="31" t="str">
        <f t="shared" si="705"/>
        <v/>
      </c>
      <c r="R11281" s="32" t="str">
        <f>IFERROR(VLOOKUP($D11281,'Informations sur les produits'!$A$3:$B$15000,2,FALSE),"")</f>
        <v/>
      </c>
      <c r="V11281">
        <f t="shared" si="706"/>
        <v>0</v>
      </c>
      <c r="W11281">
        <f t="shared" si="707"/>
        <v>0</v>
      </c>
    </row>
    <row r="11282" spans="5:23" x14ac:dyDescent="0.25">
      <c r="E11282" s="4"/>
      <c r="F11282" s="4"/>
      <c r="G11282" s="33" t="str">
        <f>IFERROR(VLOOKUP($D11282,'Informations sur les produits'!$A$3:$H$10000,8,FALSE),"0")</f>
        <v>0</v>
      </c>
      <c r="K11282" s="4"/>
      <c r="L11282" s="33" t="str">
        <f>IFERROR(VLOOKUP($J11282,'Informations sur les produits'!$A$3:$H$10000,8,FALSE),"0")</f>
        <v>0</v>
      </c>
      <c r="N11282" s="8"/>
      <c r="O11282" s="33" t="str">
        <f>IFERROR(VLOOKUP($M11282,'Informations sur les produits'!$A$3:$H$10000,8,FALSE),"0")</f>
        <v>0</v>
      </c>
      <c r="P11282" s="33">
        <f t="shared" si="704"/>
        <v>0</v>
      </c>
      <c r="Q11282" s="31" t="str">
        <f t="shared" si="705"/>
        <v/>
      </c>
      <c r="R11282" s="32" t="str">
        <f>IFERROR(VLOOKUP($D11282,'Informations sur les produits'!$A$3:$B$15000,2,FALSE),"")</f>
        <v/>
      </c>
      <c r="V11282">
        <f t="shared" si="706"/>
        <v>0</v>
      </c>
      <c r="W11282">
        <f t="shared" si="707"/>
        <v>0</v>
      </c>
    </row>
    <row r="11283" spans="5:23" x14ac:dyDescent="0.25">
      <c r="E11283" s="4"/>
      <c r="F11283" s="4"/>
      <c r="G11283" s="33" t="str">
        <f>IFERROR(VLOOKUP($D11283,'Informations sur les produits'!$A$3:$H$10000,8,FALSE),"0")</f>
        <v>0</v>
      </c>
      <c r="K11283" s="4"/>
      <c r="L11283" s="33" t="str">
        <f>IFERROR(VLOOKUP($J11283,'Informations sur les produits'!$A$3:$H$10000,8,FALSE),"0")</f>
        <v>0</v>
      </c>
      <c r="N11283" s="8"/>
      <c r="O11283" s="33" t="str">
        <f>IFERROR(VLOOKUP($M11283,'Informations sur les produits'!$A$3:$H$10000,8,FALSE),"0")</f>
        <v>0</v>
      </c>
      <c r="P11283" s="33">
        <f t="shared" si="704"/>
        <v>0</v>
      </c>
      <c r="Q11283" s="31" t="str">
        <f t="shared" si="705"/>
        <v/>
      </c>
      <c r="R11283" s="32" t="str">
        <f>IFERROR(VLOOKUP($D11283,'Informations sur les produits'!$A$3:$B$15000,2,FALSE),"")</f>
        <v/>
      </c>
      <c r="V11283">
        <f t="shared" si="706"/>
        <v>0</v>
      </c>
      <c r="W11283">
        <f t="shared" si="707"/>
        <v>0</v>
      </c>
    </row>
    <row r="11284" spans="5:23" x14ac:dyDescent="0.25">
      <c r="E11284" s="4"/>
      <c r="F11284" s="4"/>
      <c r="G11284" s="33" t="str">
        <f>IFERROR(VLOOKUP($D11284,'Informations sur les produits'!$A$3:$H$10000,8,FALSE),"0")</f>
        <v>0</v>
      </c>
      <c r="K11284" s="4"/>
      <c r="L11284" s="33" t="str">
        <f>IFERROR(VLOOKUP($J11284,'Informations sur les produits'!$A$3:$H$10000,8,FALSE),"0")</f>
        <v>0</v>
      </c>
      <c r="N11284" s="8"/>
      <c r="O11284" s="33" t="str">
        <f>IFERROR(VLOOKUP($M11284,'Informations sur les produits'!$A$3:$H$10000,8,FALSE),"0")</f>
        <v>0</v>
      </c>
      <c r="P11284" s="33">
        <f t="shared" si="704"/>
        <v>0</v>
      </c>
      <c r="Q11284" s="31" t="str">
        <f t="shared" si="705"/>
        <v/>
      </c>
      <c r="R11284" s="32" t="str">
        <f>IFERROR(VLOOKUP($D11284,'Informations sur les produits'!$A$3:$B$15000,2,FALSE),"")</f>
        <v/>
      </c>
      <c r="V11284">
        <f t="shared" si="706"/>
        <v>0</v>
      </c>
      <c r="W11284">
        <f t="shared" si="707"/>
        <v>0</v>
      </c>
    </row>
    <row r="11285" spans="5:23" x14ac:dyDescent="0.25">
      <c r="E11285" s="4"/>
      <c r="F11285" s="4"/>
      <c r="G11285" s="33" t="str">
        <f>IFERROR(VLOOKUP($D11285,'Informations sur les produits'!$A$3:$H$10000,8,FALSE),"0")</f>
        <v>0</v>
      </c>
      <c r="K11285" s="4"/>
      <c r="L11285" s="33" t="str">
        <f>IFERROR(VLOOKUP($J11285,'Informations sur les produits'!$A$3:$H$10000,8,FALSE),"0")</f>
        <v>0</v>
      </c>
      <c r="N11285" s="8"/>
      <c r="O11285" s="33" t="str">
        <f>IFERROR(VLOOKUP($M11285,'Informations sur les produits'!$A$3:$H$10000,8,FALSE),"0")</f>
        <v>0</v>
      </c>
      <c r="P11285" s="33">
        <f t="shared" si="704"/>
        <v>0</v>
      </c>
      <c r="Q11285" s="31" t="str">
        <f t="shared" si="705"/>
        <v/>
      </c>
      <c r="R11285" s="32" t="str">
        <f>IFERROR(VLOOKUP($D11285,'Informations sur les produits'!$A$3:$B$15000,2,FALSE),"")</f>
        <v/>
      </c>
      <c r="V11285">
        <f t="shared" si="706"/>
        <v>0</v>
      </c>
      <c r="W11285">
        <f t="shared" si="707"/>
        <v>0</v>
      </c>
    </row>
    <row r="11286" spans="5:23" x14ac:dyDescent="0.25">
      <c r="E11286" s="4"/>
      <c r="F11286" s="4"/>
      <c r="G11286" s="33" t="str">
        <f>IFERROR(VLOOKUP($D11286,'Informations sur les produits'!$A$3:$H$10000,8,FALSE),"0")</f>
        <v>0</v>
      </c>
      <c r="K11286" s="4"/>
      <c r="L11286" s="33" t="str">
        <f>IFERROR(VLOOKUP($J11286,'Informations sur les produits'!$A$3:$H$10000,8,FALSE),"0")</f>
        <v>0</v>
      </c>
      <c r="N11286" s="8"/>
      <c r="O11286" s="33" t="str">
        <f>IFERROR(VLOOKUP($M11286,'Informations sur les produits'!$A$3:$H$10000,8,FALSE),"0")</f>
        <v>0</v>
      </c>
      <c r="P11286" s="33">
        <f t="shared" si="704"/>
        <v>0</v>
      </c>
      <c r="Q11286" s="31" t="str">
        <f t="shared" si="705"/>
        <v/>
      </c>
      <c r="R11286" s="32" t="str">
        <f>IFERROR(VLOOKUP($D11286,'Informations sur les produits'!$A$3:$B$15000,2,FALSE),"")</f>
        <v/>
      </c>
      <c r="V11286">
        <f t="shared" si="706"/>
        <v>0</v>
      </c>
      <c r="W11286">
        <f t="shared" si="707"/>
        <v>0</v>
      </c>
    </row>
    <row r="11287" spans="5:23" x14ac:dyDescent="0.25">
      <c r="E11287" s="4"/>
      <c r="F11287" s="4"/>
      <c r="G11287" s="33" t="str">
        <f>IFERROR(VLOOKUP($D11287,'Informations sur les produits'!$A$3:$H$10000,8,FALSE),"0")</f>
        <v>0</v>
      </c>
      <c r="K11287" s="4"/>
      <c r="L11287" s="33" t="str">
        <f>IFERROR(VLOOKUP($J11287,'Informations sur les produits'!$A$3:$H$10000,8,FALSE),"0")</f>
        <v>0</v>
      </c>
      <c r="N11287" s="8"/>
      <c r="O11287" s="33" t="str">
        <f>IFERROR(VLOOKUP($M11287,'Informations sur les produits'!$A$3:$H$10000,8,FALSE),"0")</f>
        <v>0</v>
      </c>
      <c r="P11287" s="33">
        <f t="shared" si="704"/>
        <v>0</v>
      </c>
      <c r="Q11287" s="31" t="str">
        <f t="shared" si="705"/>
        <v/>
      </c>
      <c r="R11287" s="32" t="str">
        <f>IFERROR(VLOOKUP($D11287,'Informations sur les produits'!$A$3:$B$15000,2,FALSE),"")</f>
        <v/>
      </c>
      <c r="V11287">
        <f t="shared" si="706"/>
        <v>0</v>
      </c>
      <c r="W11287">
        <f t="shared" si="707"/>
        <v>0</v>
      </c>
    </row>
    <row r="11288" spans="5:23" x14ac:dyDescent="0.25">
      <c r="E11288" s="4"/>
      <c r="F11288" s="4"/>
      <c r="G11288" s="33" t="str">
        <f>IFERROR(VLOOKUP($D11288,'Informations sur les produits'!$A$3:$H$10000,8,FALSE),"0")</f>
        <v>0</v>
      </c>
      <c r="K11288" s="4"/>
      <c r="L11288" s="33" t="str">
        <f>IFERROR(VLOOKUP($J11288,'Informations sur les produits'!$A$3:$H$10000,8,FALSE),"0")</f>
        <v>0</v>
      </c>
      <c r="N11288" s="8"/>
      <c r="O11288" s="33" t="str">
        <f>IFERROR(VLOOKUP($M11288,'Informations sur les produits'!$A$3:$H$10000,8,FALSE),"0")</f>
        <v>0</v>
      </c>
      <c r="P11288" s="33">
        <f t="shared" si="704"/>
        <v>0</v>
      </c>
      <c r="Q11288" s="31" t="str">
        <f t="shared" si="705"/>
        <v/>
      </c>
      <c r="R11288" s="32" t="str">
        <f>IFERROR(VLOOKUP($D11288,'Informations sur les produits'!$A$3:$B$15000,2,FALSE),"")</f>
        <v/>
      </c>
      <c r="V11288">
        <f t="shared" si="706"/>
        <v>0</v>
      </c>
      <c r="W11288">
        <f t="shared" si="707"/>
        <v>0</v>
      </c>
    </row>
    <row r="11289" spans="5:23" x14ac:dyDescent="0.25">
      <c r="E11289" s="4"/>
      <c r="F11289" s="4"/>
      <c r="G11289" s="33" t="str">
        <f>IFERROR(VLOOKUP($D11289,'Informations sur les produits'!$A$3:$H$10000,8,FALSE),"0")</f>
        <v>0</v>
      </c>
      <c r="K11289" s="4"/>
      <c r="L11289" s="33" t="str">
        <f>IFERROR(VLOOKUP($J11289,'Informations sur les produits'!$A$3:$H$10000,8,FALSE),"0")</f>
        <v>0</v>
      </c>
      <c r="N11289" s="8"/>
      <c r="O11289" s="33" t="str">
        <f>IFERROR(VLOOKUP($M11289,'Informations sur les produits'!$A$3:$H$10000,8,FALSE),"0")</f>
        <v>0</v>
      </c>
      <c r="P11289" s="33">
        <f t="shared" si="704"/>
        <v>0</v>
      </c>
      <c r="Q11289" s="31" t="str">
        <f t="shared" si="705"/>
        <v/>
      </c>
      <c r="R11289" s="32" t="str">
        <f>IFERROR(VLOOKUP($D11289,'Informations sur les produits'!$A$3:$B$15000,2,FALSE),"")</f>
        <v/>
      </c>
      <c r="V11289">
        <f t="shared" si="706"/>
        <v>0</v>
      </c>
      <c r="W11289">
        <f t="shared" si="707"/>
        <v>0</v>
      </c>
    </row>
    <row r="11290" spans="5:23" x14ac:dyDescent="0.25">
      <c r="E11290" s="4"/>
      <c r="F11290" s="4"/>
      <c r="G11290" s="33" t="str">
        <f>IFERROR(VLOOKUP($D11290,'Informations sur les produits'!$A$3:$H$10000,8,FALSE),"0")</f>
        <v>0</v>
      </c>
      <c r="K11290" s="4"/>
      <c r="L11290" s="33" t="str">
        <f>IFERROR(VLOOKUP($J11290,'Informations sur les produits'!$A$3:$H$10000,8,FALSE),"0")</f>
        <v>0</v>
      </c>
      <c r="N11290" s="8"/>
      <c r="O11290" s="33" t="str">
        <f>IFERROR(VLOOKUP($M11290,'Informations sur les produits'!$A$3:$H$10000,8,FALSE),"0")</f>
        <v>0</v>
      </c>
      <c r="P11290" s="33">
        <f t="shared" si="704"/>
        <v>0</v>
      </c>
      <c r="Q11290" s="31" t="str">
        <f t="shared" si="705"/>
        <v/>
      </c>
      <c r="R11290" s="32" t="str">
        <f>IFERROR(VLOOKUP($D11290,'Informations sur les produits'!$A$3:$B$15000,2,FALSE),"")</f>
        <v/>
      </c>
      <c r="V11290">
        <f t="shared" si="706"/>
        <v>0</v>
      </c>
      <c r="W11290">
        <f t="shared" si="707"/>
        <v>0</v>
      </c>
    </row>
    <row r="11291" spans="5:23" x14ac:dyDescent="0.25">
      <c r="E11291" s="4"/>
      <c r="F11291" s="4"/>
      <c r="G11291" s="33" t="str">
        <f>IFERROR(VLOOKUP($D11291,'Informations sur les produits'!$A$3:$H$10000,8,FALSE),"0")</f>
        <v>0</v>
      </c>
      <c r="K11291" s="4"/>
      <c r="L11291" s="33" t="str">
        <f>IFERROR(VLOOKUP($J11291,'Informations sur les produits'!$A$3:$H$10000,8,FALSE),"0")</f>
        <v>0</v>
      </c>
      <c r="N11291" s="8"/>
      <c r="O11291" s="33" t="str">
        <f>IFERROR(VLOOKUP($M11291,'Informations sur les produits'!$A$3:$H$10000,8,FALSE),"0")</f>
        <v>0</v>
      </c>
      <c r="P11291" s="33">
        <f t="shared" si="704"/>
        <v>0</v>
      </c>
      <c r="Q11291" s="31" t="str">
        <f t="shared" si="705"/>
        <v/>
      </c>
      <c r="R11291" s="32" t="str">
        <f>IFERROR(VLOOKUP($D11291,'Informations sur les produits'!$A$3:$B$15000,2,FALSE),"")</f>
        <v/>
      </c>
      <c r="V11291">
        <f t="shared" si="706"/>
        <v>0</v>
      </c>
      <c r="W11291">
        <f t="shared" si="707"/>
        <v>0</v>
      </c>
    </row>
    <row r="11292" spans="5:23" x14ac:dyDescent="0.25">
      <c r="E11292" s="4"/>
      <c r="F11292" s="4"/>
      <c r="G11292" s="33" t="str">
        <f>IFERROR(VLOOKUP($D11292,'Informations sur les produits'!$A$3:$H$10000,8,FALSE),"0")</f>
        <v>0</v>
      </c>
      <c r="K11292" s="4"/>
      <c r="L11292" s="33" t="str">
        <f>IFERROR(VLOOKUP($J11292,'Informations sur les produits'!$A$3:$H$10000,8,FALSE),"0")</f>
        <v>0</v>
      </c>
      <c r="N11292" s="8"/>
      <c r="O11292" s="33" t="str">
        <f>IFERROR(VLOOKUP($M11292,'Informations sur les produits'!$A$3:$H$10000,8,FALSE),"0")</f>
        <v>0</v>
      </c>
      <c r="P11292" s="33">
        <f t="shared" si="704"/>
        <v>0</v>
      </c>
      <c r="Q11292" s="31" t="str">
        <f t="shared" si="705"/>
        <v/>
      </c>
      <c r="R11292" s="32" t="str">
        <f>IFERROR(VLOOKUP($D11292,'Informations sur les produits'!$A$3:$B$15000,2,FALSE),"")</f>
        <v/>
      </c>
      <c r="V11292">
        <f t="shared" si="706"/>
        <v>0</v>
      </c>
      <c r="W11292">
        <f t="shared" si="707"/>
        <v>0</v>
      </c>
    </row>
    <row r="11293" spans="5:23" x14ac:dyDescent="0.25">
      <c r="E11293" s="4"/>
      <c r="F11293" s="4"/>
      <c r="G11293" s="33" t="str">
        <f>IFERROR(VLOOKUP($D11293,'Informations sur les produits'!$A$3:$H$10000,8,FALSE),"0")</f>
        <v>0</v>
      </c>
      <c r="K11293" s="4"/>
      <c r="L11293" s="33" t="str">
        <f>IFERROR(VLOOKUP($J11293,'Informations sur les produits'!$A$3:$H$10000,8,FALSE),"0")</f>
        <v>0</v>
      </c>
      <c r="N11293" s="8"/>
      <c r="O11293" s="33" t="str">
        <f>IFERROR(VLOOKUP($M11293,'Informations sur les produits'!$A$3:$H$10000,8,FALSE),"0")</f>
        <v>0</v>
      </c>
      <c r="P11293" s="33">
        <f t="shared" si="704"/>
        <v>0</v>
      </c>
      <c r="Q11293" s="31" t="str">
        <f t="shared" si="705"/>
        <v/>
      </c>
      <c r="R11293" s="32" t="str">
        <f>IFERROR(VLOOKUP($D11293,'Informations sur les produits'!$A$3:$B$15000,2,FALSE),"")</f>
        <v/>
      </c>
      <c r="V11293">
        <f t="shared" si="706"/>
        <v>0</v>
      </c>
      <c r="W11293">
        <f t="shared" si="707"/>
        <v>0</v>
      </c>
    </row>
    <row r="11294" spans="5:23" x14ac:dyDescent="0.25">
      <c r="E11294" s="4"/>
      <c r="F11294" s="4"/>
      <c r="G11294" s="33" t="str">
        <f>IFERROR(VLOOKUP($D11294,'Informations sur les produits'!$A$3:$H$10000,8,FALSE),"0")</f>
        <v>0</v>
      </c>
      <c r="K11294" s="4"/>
      <c r="L11294" s="33" t="str">
        <f>IFERROR(VLOOKUP($J11294,'Informations sur les produits'!$A$3:$H$10000,8,FALSE),"0")</f>
        <v>0</v>
      </c>
      <c r="N11294" s="8"/>
      <c r="O11294" s="33" t="str">
        <f>IFERROR(VLOOKUP($M11294,'Informations sur les produits'!$A$3:$H$10000,8,FALSE),"0")</f>
        <v>0</v>
      </c>
      <c r="P11294" s="33">
        <f t="shared" si="704"/>
        <v>0</v>
      </c>
      <c r="Q11294" s="31" t="str">
        <f t="shared" si="705"/>
        <v/>
      </c>
      <c r="R11294" s="32" t="str">
        <f>IFERROR(VLOOKUP($D11294,'Informations sur les produits'!$A$3:$B$15000,2,FALSE),"")</f>
        <v/>
      </c>
      <c r="V11294">
        <f t="shared" si="706"/>
        <v>0</v>
      </c>
      <c r="W11294">
        <f t="shared" si="707"/>
        <v>0</v>
      </c>
    </row>
    <row r="11295" spans="5:23" x14ac:dyDescent="0.25">
      <c r="E11295" s="4"/>
      <c r="F11295" s="4"/>
      <c r="G11295" s="33" t="str">
        <f>IFERROR(VLOOKUP($D11295,'Informations sur les produits'!$A$3:$H$10000,8,FALSE),"0")</f>
        <v>0</v>
      </c>
      <c r="K11295" s="4"/>
      <c r="L11295" s="33" t="str">
        <f>IFERROR(VLOOKUP($J11295,'Informations sur les produits'!$A$3:$H$10000,8,FALSE),"0")</f>
        <v>0</v>
      </c>
      <c r="N11295" s="8"/>
      <c r="O11295" s="33" t="str">
        <f>IFERROR(VLOOKUP($M11295,'Informations sur les produits'!$A$3:$H$10000,8,FALSE),"0")</f>
        <v>0</v>
      </c>
      <c r="P11295" s="33">
        <f t="shared" si="704"/>
        <v>0</v>
      </c>
      <c r="Q11295" s="31" t="str">
        <f t="shared" si="705"/>
        <v/>
      </c>
      <c r="R11295" s="32" t="str">
        <f>IFERROR(VLOOKUP($D11295,'Informations sur les produits'!$A$3:$B$15000,2,FALSE),"")</f>
        <v/>
      </c>
      <c r="V11295">
        <f t="shared" si="706"/>
        <v>0</v>
      </c>
      <c r="W11295">
        <f t="shared" si="707"/>
        <v>0</v>
      </c>
    </row>
    <row r="11296" spans="5:23" x14ac:dyDescent="0.25">
      <c r="E11296" s="4"/>
      <c r="F11296" s="4"/>
      <c r="G11296" s="33" t="str">
        <f>IFERROR(VLOOKUP($D11296,'Informations sur les produits'!$A$3:$H$10000,8,FALSE),"0")</f>
        <v>0</v>
      </c>
      <c r="K11296" s="4"/>
      <c r="L11296" s="33" t="str">
        <f>IFERROR(VLOOKUP($J11296,'Informations sur les produits'!$A$3:$H$10000,8,FALSE),"0")</f>
        <v>0</v>
      </c>
      <c r="N11296" s="8"/>
      <c r="O11296" s="33" t="str">
        <f>IFERROR(VLOOKUP($M11296,'Informations sur les produits'!$A$3:$H$10000,8,FALSE),"0")</f>
        <v>0</v>
      </c>
      <c r="P11296" s="33">
        <f t="shared" si="704"/>
        <v>0</v>
      </c>
      <c r="Q11296" s="31" t="str">
        <f t="shared" si="705"/>
        <v/>
      </c>
      <c r="R11296" s="32" t="str">
        <f>IFERROR(VLOOKUP($D11296,'Informations sur les produits'!$A$3:$B$15000,2,FALSE),"")</f>
        <v/>
      </c>
      <c r="V11296">
        <f t="shared" si="706"/>
        <v>0</v>
      </c>
      <c r="W11296">
        <f t="shared" si="707"/>
        <v>0</v>
      </c>
    </row>
    <row r="11297" spans="5:23" x14ac:dyDescent="0.25">
      <c r="E11297" s="4"/>
      <c r="F11297" s="4"/>
      <c r="G11297" s="33" t="str">
        <f>IFERROR(VLOOKUP($D11297,'Informations sur les produits'!$A$3:$H$10000,8,FALSE),"0")</f>
        <v>0</v>
      </c>
      <c r="K11297" s="4"/>
      <c r="L11297" s="33" t="str">
        <f>IFERROR(VLOOKUP($J11297,'Informations sur les produits'!$A$3:$H$10000,8,FALSE),"0")</f>
        <v>0</v>
      </c>
      <c r="N11297" s="8"/>
      <c r="O11297" s="33" t="str">
        <f>IFERROR(VLOOKUP($M11297,'Informations sur les produits'!$A$3:$H$10000,8,FALSE),"0")</f>
        <v>0</v>
      </c>
      <c r="P11297" s="33">
        <f t="shared" si="704"/>
        <v>0</v>
      </c>
      <c r="Q11297" s="31" t="str">
        <f t="shared" si="705"/>
        <v/>
      </c>
      <c r="R11297" s="32" t="str">
        <f>IFERROR(VLOOKUP($D11297,'Informations sur les produits'!$A$3:$B$15000,2,FALSE),"")</f>
        <v/>
      </c>
      <c r="V11297">
        <f t="shared" si="706"/>
        <v>0</v>
      </c>
      <c r="W11297">
        <f t="shared" si="707"/>
        <v>0</v>
      </c>
    </row>
    <row r="11298" spans="5:23" x14ac:dyDescent="0.25">
      <c r="E11298" s="4"/>
      <c r="F11298" s="4"/>
      <c r="G11298" s="33" t="str">
        <f>IFERROR(VLOOKUP($D11298,'Informations sur les produits'!$A$3:$H$10000,8,FALSE),"0")</f>
        <v>0</v>
      </c>
      <c r="K11298" s="4"/>
      <c r="L11298" s="33" t="str">
        <f>IFERROR(VLOOKUP($J11298,'Informations sur les produits'!$A$3:$H$10000,8,FALSE),"0")</f>
        <v>0</v>
      </c>
      <c r="N11298" s="8"/>
      <c r="O11298" s="33" t="str">
        <f>IFERROR(VLOOKUP($M11298,'Informations sur les produits'!$A$3:$H$10000,8,FALSE),"0")</f>
        <v>0</v>
      </c>
      <c r="P11298" s="33">
        <f t="shared" si="704"/>
        <v>0</v>
      </c>
      <c r="Q11298" s="31" t="str">
        <f t="shared" si="705"/>
        <v/>
      </c>
      <c r="R11298" s="32" t="str">
        <f>IFERROR(VLOOKUP($D11298,'Informations sur les produits'!$A$3:$B$15000,2,FALSE),"")</f>
        <v/>
      </c>
      <c r="V11298">
        <f t="shared" si="706"/>
        <v>0</v>
      </c>
      <c r="W11298">
        <f t="shared" si="707"/>
        <v>0</v>
      </c>
    </row>
    <row r="11299" spans="5:23" x14ac:dyDescent="0.25">
      <c r="E11299" s="4"/>
      <c r="F11299" s="4"/>
      <c r="G11299" s="33" t="str">
        <f>IFERROR(VLOOKUP($D11299,'Informations sur les produits'!$A$3:$H$10000,8,FALSE),"0")</f>
        <v>0</v>
      </c>
      <c r="K11299" s="4"/>
      <c r="L11299" s="33" t="str">
        <f>IFERROR(VLOOKUP($J11299,'Informations sur les produits'!$A$3:$H$10000,8,FALSE),"0")</f>
        <v>0</v>
      </c>
      <c r="N11299" s="8"/>
      <c r="O11299" s="33" t="str">
        <f>IFERROR(VLOOKUP($M11299,'Informations sur les produits'!$A$3:$H$10000,8,FALSE),"0")</f>
        <v>0</v>
      </c>
      <c r="P11299" s="33">
        <f t="shared" si="704"/>
        <v>0</v>
      </c>
      <c r="Q11299" s="31" t="str">
        <f t="shared" si="705"/>
        <v/>
      </c>
      <c r="R11299" s="32" t="str">
        <f>IFERROR(VLOOKUP($D11299,'Informations sur les produits'!$A$3:$B$15000,2,FALSE),"")</f>
        <v/>
      </c>
      <c r="V11299">
        <f t="shared" si="706"/>
        <v>0</v>
      </c>
      <c r="W11299">
        <f t="shared" si="707"/>
        <v>0</v>
      </c>
    </row>
    <row r="11300" spans="5:23" x14ac:dyDescent="0.25">
      <c r="E11300" s="4"/>
      <c r="F11300" s="4"/>
      <c r="G11300" s="33" t="str">
        <f>IFERROR(VLOOKUP($D11300,'Informations sur les produits'!$A$3:$H$10000,8,FALSE),"0")</f>
        <v>0</v>
      </c>
      <c r="K11300" s="4"/>
      <c r="L11300" s="33" t="str">
        <f>IFERROR(VLOOKUP($J11300,'Informations sur les produits'!$A$3:$H$10000,8,FALSE),"0")</f>
        <v>0</v>
      </c>
      <c r="N11300" s="8"/>
      <c r="O11300" s="33" t="str">
        <f>IFERROR(VLOOKUP($M11300,'Informations sur les produits'!$A$3:$H$10000,8,FALSE),"0")</f>
        <v>0</v>
      </c>
      <c r="P11300" s="33">
        <f t="shared" si="704"/>
        <v>0</v>
      </c>
      <c r="Q11300" s="31" t="str">
        <f t="shared" si="705"/>
        <v/>
      </c>
      <c r="R11300" s="32" t="str">
        <f>IFERROR(VLOOKUP($D11300,'Informations sur les produits'!$A$3:$B$15000,2,FALSE),"")</f>
        <v/>
      </c>
      <c r="V11300">
        <f t="shared" si="706"/>
        <v>0</v>
      </c>
      <c r="W11300">
        <f t="shared" si="707"/>
        <v>0</v>
      </c>
    </row>
    <row r="11301" spans="5:23" x14ac:dyDescent="0.25">
      <c r="E11301" s="4"/>
      <c r="F11301" s="4"/>
      <c r="G11301" s="33" t="str">
        <f>IFERROR(VLOOKUP($D11301,'Informations sur les produits'!$A$3:$H$10000,8,FALSE),"0")</f>
        <v>0</v>
      </c>
      <c r="K11301" s="4"/>
      <c r="L11301" s="33" t="str">
        <f>IFERROR(VLOOKUP($J11301,'Informations sur les produits'!$A$3:$H$10000,8,FALSE),"0")</f>
        <v>0</v>
      </c>
      <c r="N11301" s="8"/>
      <c r="O11301" s="33" t="str">
        <f>IFERROR(VLOOKUP($M11301,'Informations sur les produits'!$A$3:$H$10000,8,FALSE),"0")</f>
        <v>0</v>
      </c>
      <c r="P11301" s="33">
        <f t="shared" si="704"/>
        <v>0</v>
      </c>
      <c r="Q11301" s="31" t="str">
        <f t="shared" si="705"/>
        <v/>
      </c>
      <c r="R11301" s="32" t="str">
        <f>IFERROR(VLOOKUP($D11301,'Informations sur les produits'!$A$3:$B$15000,2,FALSE),"")</f>
        <v/>
      </c>
      <c r="V11301">
        <f t="shared" si="706"/>
        <v>0</v>
      </c>
      <c r="W11301">
        <f t="shared" si="707"/>
        <v>0</v>
      </c>
    </row>
    <row r="11302" spans="5:23" x14ac:dyDescent="0.25">
      <c r="E11302" s="4"/>
      <c r="F11302" s="4"/>
      <c r="G11302" s="33" t="str">
        <f>IFERROR(VLOOKUP($D11302,'Informations sur les produits'!$A$3:$H$10000,8,FALSE),"0")</f>
        <v>0</v>
      </c>
      <c r="K11302" s="4"/>
      <c r="L11302" s="33" t="str">
        <f>IFERROR(VLOOKUP($J11302,'Informations sur les produits'!$A$3:$H$10000,8,FALSE),"0")</f>
        <v>0</v>
      </c>
      <c r="N11302" s="8"/>
      <c r="O11302" s="33" t="str">
        <f>IFERROR(VLOOKUP($M11302,'Informations sur les produits'!$A$3:$H$10000,8,FALSE),"0")</f>
        <v>0</v>
      </c>
      <c r="P11302" s="33">
        <f t="shared" si="704"/>
        <v>0</v>
      </c>
      <c r="Q11302" s="31" t="str">
        <f t="shared" si="705"/>
        <v/>
      </c>
      <c r="R11302" s="32" t="str">
        <f>IFERROR(VLOOKUP($D11302,'Informations sur les produits'!$A$3:$B$15000,2,FALSE),"")</f>
        <v/>
      </c>
      <c r="V11302">
        <f t="shared" si="706"/>
        <v>0</v>
      </c>
      <c r="W11302">
        <f t="shared" si="707"/>
        <v>0</v>
      </c>
    </row>
    <row r="11303" spans="5:23" x14ac:dyDescent="0.25">
      <c r="E11303" s="4"/>
      <c r="F11303" s="4"/>
      <c r="G11303" s="33" t="str">
        <f>IFERROR(VLOOKUP($D11303,'Informations sur les produits'!$A$3:$H$10000,8,FALSE),"0")</f>
        <v>0</v>
      </c>
      <c r="K11303" s="4"/>
      <c r="L11303" s="33" t="str">
        <f>IFERROR(VLOOKUP($J11303,'Informations sur les produits'!$A$3:$H$10000,8,FALSE),"0")</f>
        <v>0</v>
      </c>
      <c r="N11303" s="8"/>
      <c r="O11303" s="33" t="str">
        <f>IFERROR(VLOOKUP($M11303,'Informations sur les produits'!$A$3:$H$10000,8,FALSE),"0")</f>
        <v>0</v>
      </c>
      <c r="P11303" s="33">
        <f t="shared" si="704"/>
        <v>0</v>
      </c>
      <c r="Q11303" s="31" t="str">
        <f t="shared" si="705"/>
        <v/>
      </c>
      <c r="R11303" s="32" t="str">
        <f>IFERROR(VLOOKUP($D11303,'Informations sur les produits'!$A$3:$B$15000,2,FALSE),"")</f>
        <v/>
      </c>
      <c r="V11303">
        <f t="shared" si="706"/>
        <v>0</v>
      </c>
      <c r="W11303">
        <f t="shared" si="707"/>
        <v>0</v>
      </c>
    </row>
    <row r="11304" spans="5:23" x14ac:dyDescent="0.25">
      <c r="E11304" s="4"/>
      <c r="F11304" s="4"/>
      <c r="G11304" s="33" t="str">
        <f>IFERROR(VLOOKUP($D11304,'Informations sur les produits'!$A$3:$H$10000,8,FALSE),"0")</f>
        <v>0</v>
      </c>
      <c r="K11304" s="4"/>
      <c r="L11304" s="33" t="str">
        <f>IFERROR(VLOOKUP($J11304,'Informations sur les produits'!$A$3:$H$10000,8,FALSE),"0")</f>
        <v>0</v>
      </c>
      <c r="N11304" s="8"/>
      <c r="O11304" s="33" t="str">
        <f>IFERROR(VLOOKUP($M11304,'Informations sur les produits'!$A$3:$H$10000,8,FALSE),"0")</f>
        <v>0</v>
      </c>
      <c r="P11304" s="33">
        <f t="shared" si="704"/>
        <v>0</v>
      </c>
      <c r="Q11304" s="31" t="str">
        <f t="shared" si="705"/>
        <v/>
      </c>
      <c r="R11304" s="32" t="str">
        <f>IFERROR(VLOOKUP($D11304,'Informations sur les produits'!$A$3:$B$15000,2,FALSE),"")</f>
        <v/>
      </c>
      <c r="V11304">
        <f t="shared" si="706"/>
        <v>0</v>
      </c>
      <c r="W11304">
        <f t="shared" si="707"/>
        <v>0</v>
      </c>
    </row>
    <row r="11305" spans="5:23" x14ac:dyDescent="0.25">
      <c r="E11305" s="4"/>
      <c r="F11305" s="4"/>
      <c r="G11305" s="33" t="str">
        <f>IFERROR(VLOOKUP($D11305,'Informations sur les produits'!$A$3:$H$10000,8,FALSE),"0")</f>
        <v>0</v>
      </c>
      <c r="K11305" s="4"/>
      <c r="L11305" s="33" t="str">
        <f>IFERROR(VLOOKUP($J11305,'Informations sur les produits'!$A$3:$H$10000,8,FALSE),"0")</f>
        <v>0</v>
      </c>
      <c r="N11305" s="8"/>
      <c r="O11305" s="33" t="str">
        <f>IFERROR(VLOOKUP($M11305,'Informations sur les produits'!$A$3:$H$10000,8,FALSE),"0")</f>
        <v>0</v>
      </c>
      <c r="P11305" s="33">
        <f t="shared" si="704"/>
        <v>0</v>
      </c>
      <c r="Q11305" s="31" t="str">
        <f t="shared" si="705"/>
        <v/>
      </c>
      <c r="R11305" s="32" t="str">
        <f>IFERROR(VLOOKUP($D11305,'Informations sur les produits'!$A$3:$B$15000,2,FALSE),"")</f>
        <v/>
      </c>
      <c r="V11305">
        <f t="shared" si="706"/>
        <v>0</v>
      </c>
      <c r="W11305">
        <f t="shared" si="707"/>
        <v>0</v>
      </c>
    </row>
    <row r="11306" spans="5:23" x14ac:dyDescent="0.25">
      <c r="E11306" s="4"/>
      <c r="F11306" s="4"/>
      <c r="G11306" s="33" t="str">
        <f>IFERROR(VLOOKUP($D11306,'Informations sur les produits'!$A$3:$H$10000,8,FALSE),"0")</f>
        <v>0</v>
      </c>
      <c r="K11306" s="4"/>
      <c r="L11306" s="33" t="str">
        <f>IFERROR(VLOOKUP($J11306,'Informations sur les produits'!$A$3:$H$10000,8,FALSE),"0")</f>
        <v>0</v>
      </c>
      <c r="N11306" s="8"/>
      <c r="O11306" s="33" t="str">
        <f>IFERROR(VLOOKUP($M11306,'Informations sur les produits'!$A$3:$H$10000,8,FALSE),"0")</f>
        <v>0</v>
      </c>
      <c r="P11306" s="33">
        <f t="shared" si="704"/>
        <v>0</v>
      </c>
      <c r="Q11306" s="31" t="str">
        <f t="shared" si="705"/>
        <v/>
      </c>
      <c r="R11306" s="32" t="str">
        <f>IFERROR(VLOOKUP($D11306,'Informations sur les produits'!$A$3:$B$15000,2,FALSE),"")</f>
        <v/>
      </c>
      <c r="V11306">
        <f t="shared" si="706"/>
        <v>0</v>
      </c>
      <c r="W11306">
        <f t="shared" si="707"/>
        <v>0</v>
      </c>
    </row>
    <row r="11307" spans="5:23" x14ac:dyDescent="0.25">
      <c r="E11307" s="4"/>
      <c r="F11307" s="4"/>
      <c r="G11307" s="33" t="str">
        <f>IFERROR(VLOOKUP($D11307,'Informations sur les produits'!$A$3:$H$10000,8,FALSE),"0")</f>
        <v>0</v>
      </c>
      <c r="K11307" s="4"/>
      <c r="L11307" s="33" t="str">
        <f>IFERROR(VLOOKUP($J11307,'Informations sur les produits'!$A$3:$H$10000,8,FALSE),"0")</f>
        <v>0</v>
      </c>
      <c r="N11307" s="8"/>
      <c r="O11307" s="33" t="str">
        <f>IFERROR(VLOOKUP($M11307,'Informations sur les produits'!$A$3:$H$10000,8,FALSE),"0")</f>
        <v>0</v>
      </c>
      <c r="P11307" s="33">
        <f t="shared" si="704"/>
        <v>0</v>
      </c>
      <c r="Q11307" s="31" t="str">
        <f t="shared" si="705"/>
        <v/>
      </c>
      <c r="R11307" s="32" t="str">
        <f>IFERROR(VLOOKUP($D11307,'Informations sur les produits'!$A$3:$B$15000,2,FALSE),"")</f>
        <v/>
      </c>
      <c r="V11307">
        <f t="shared" si="706"/>
        <v>0</v>
      </c>
      <c r="W11307">
        <f t="shared" si="707"/>
        <v>0</v>
      </c>
    </row>
    <row r="11308" spans="5:23" x14ac:dyDescent="0.25">
      <c r="E11308" s="4"/>
      <c r="F11308" s="4"/>
      <c r="G11308" s="33" t="str">
        <f>IFERROR(VLOOKUP($D11308,'Informations sur les produits'!$A$3:$H$10000,8,FALSE),"0")</f>
        <v>0</v>
      </c>
      <c r="K11308" s="4"/>
      <c r="L11308" s="33" t="str">
        <f>IFERROR(VLOOKUP($J11308,'Informations sur les produits'!$A$3:$H$10000,8,FALSE),"0")</f>
        <v>0</v>
      </c>
      <c r="N11308" s="8"/>
      <c r="O11308" s="33" t="str">
        <f>IFERROR(VLOOKUP($M11308,'Informations sur les produits'!$A$3:$H$10000,8,FALSE),"0")</f>
        <v>0</v>
      </c>
      <c r="P11308" s="33">
        <f t="shared" si="704"/>
        <v>0</v>
      </c>
      <c r="Q11308" s="31" t="str">
        <f t="shared" si="705"/>
        <v/>
      </c>
      <c r="R11308" s="32" t="str">
        <f>IFERROR(VLOOKUP($D11308,'Informations sur les produits'!$A$3:$B$15000,2,FALSE),"")</f>
        <v/>
      </c>
      <c r="V11308">
        <f t="shared" si="706"/>
        <v>0</v>
      </c>
      <c r="W11308">
        <f t="shared" si="707"/>
        <v>0</v>
      </c>
    </row>
    <row r="11309" spans="5:23" x14ac:dyDescent="0.25">
      <c r="E11309" s="4"/>
      <c r="F11309" s="4"/>
      <c r="G11309" s="33" t="str">
        <f>IFERROR(VLOOKUP($D11309,'Informations sur les produits'!$A$3:$H$10000,8,FALSE),"0")</f>
        <v>0</v>
      </c>
      <c r="K11309" s="4"/>
      <c r="L11309" s="33" t="str">
        <f>IFERROR(VLOOKUP($J11309,'Informations sur les produits'!$A$3:$H$10000,8,FALSE),"0")</f>
        <v>0</v>
      </c>
      <c r="N11309" s="8"/>
      <c r="O11309" s="33" t="str">
        <f>IFERROR(VLOOKUP($M11309,'Informations sur les produits'!$A$3:$H$10000,8,FALSE),"0")</f>
        <v>0</v>
      </c>
      <c r="P11309" s="33">
        <f t="shared" si="704"/>
        <v>0</v>
      </c>
      <c r="Q11309" s="31" t="str">
        <f t="shared" si="705"/>
        <v/>
      </c>
      <c r="R11309" s="32" t="str">
        <f>IFERROR(VLOOKUP($D11309,'Informations sur les produits'!$A$3:$B$15000,2,FALSE),"")</f>
        <v/>
      </c>
      <c r="V11309">
        <f t="shared" si="706"/>
        <v>0</v>
      </c>
      <c r="W11309">
        <f t="shared" si="707"/>
        <v>0</v>
      </c>
    </row>
    <row r="11310" spans="5:23" x14ac:dyDescent="0.25">
      <c r="E11310" s="4"/>
      <c r="F11310" s="4"/>
      <c r="G11310" s="33" t="str">
        <f>IFERROR(VLOOKUP($D11310,'Informations sur les produits'!$A$3:$H$10000,8,FALSE),"0")</f>
        <v>0</v>
      </c>
      <c r="K11310" s="4"/>
      <c r="L11310" s="33" t="str">
        <f>IFERROR(VLOOKUP($J11310,'Informations sur les produits'!$A$3:$H$10000,8,FALSE),"0")</f>
        <v>0</v>
      </c>
      <c r="N11310" s="8"/>
      <c r="O11310" s="33" t="str">
        <f>IFERROR(VLOOKUP($M11310,'Informations sur les produits'!$A$3:$H$10000,8,FALSE),"0")</f>
        <v>0</v>
      </c>
      <c r="P11310" s="33">
        <f t="shared" si="704"/>
        <v>0</v>
      </c>
      <c r="Q11310" s="31" t="str">
        <f t="shared" si="705"/>
        <v/>
      </c>
      <c r="R11310" s="32" t="str">
        <f>IFERROR(VLOOKUP($D11310,'Informations sur les produits'!$A$3:$B$15000,2,FALSE),"")</f>
        <v/>
      </c>
      <c r="V11310">
        <f t="shared" si="706"/>
        <v>0</v>
      </c>
      <c r="W11310">
        <f t="shared" si="707"/>
        <v>0</v>
      </c>
    </row>
    <row r="11311" spans="5:23" x14ac:dyDescent="0.25">
      <c r="E11311" s="4"/>
      <c r="F11311" s="4"/>
      <c r="G11311" s="33" t="str">
        <f>IFERROR(VLOOKUP($D11311,'Informations sur les produits'!$A$3:$H$10000,8,FALSE),"0")</f>
        <v>0</v>
      </c>
      <c r="K11311" s="4"/>
      <c r="L11311" s="33" t="str">
        <f>IFERROR(VLOOKUP($J11311,'Informations sur les produits'!$A$3:$H$10000,8,FALSE),"0")</f>
        <v>0</v>
      </c>
      <c r="N11311" s="8"/>
      <c r="O11311" s="33" t="str">
        <f>IFERROR(VLOOKUP($M11311,'Informations sur les produits'!$A$3:$H$10000,8,FALSE),"0")</f>
        <v>0</v>
      </c>
      <c r="P11311" s="33">
        <f t="shared" si="704"/>
        <v>0</v>
      </c>
      <c r="Q11311" s="31" t="str">
        <f t="shared" si="705"/>
        <v/>
      </c>
      <c r="R11311" s="32" t="str">
        <f>IFERROR(VLOOKUP($D11311,'Informations sur les produits'!$A$3:$B$15000,2,FALSE),"")</f>
        <v/>
      </c>
      <c r="V11311">
        <f t="shared" si="706"/>
        <v>0</v>
      </c>
      <c r="W11311">
        <f t="shared" si="707"/>
        <v>0</v>
      </c>
    </row>
    <row r="11312" spans="5:23" x14ac:dyDescent="0.25">
      <c r="E11312" s="4"/>
      <c r="F11312" s="4"/>
      <c r="G11312" s="33" t="str">
        <f>IFERROR(VLOOKUP($D11312,'Informations sur les produits'!$A$3:$H$10000,8,FALSE),"0")</f>
        <v>0</v>
      </c>
      <c r="K11312" s="4"/>
      <c r="L11312" s="33" t="str">
        <f>IFERROR(VLOOKUP($J11312,'Informations sur les produits'!$A$3:$H$10000,8,FALSE),"0")</f>
        <v>0</v>
      </c>
      <c r="N11312" s="8"/>
      <c r="O11312" s="33" t="str">
        <f>IFERROR(VLOOKUP($M11312,'Informations sur les produits'!$A$3:$H$10000,8,FALSE),"0")</f>
        <v>0</v>
      </c>
      <c r="P11312" s="33">
        <f t="shared" si="704"/>
        <v>0</v>
      </c>
      <c r="Q11312" s="31" t="str">
        <f t="shared" si="705"/>
        <v/>
      </c>
      <c r="R11312" s="32" t="str">
        <f>IFERROR(VLOOKUP($D11312,'Informations sur les produits'!$A$3:$B$15000,2,FALSE),"")</f>
        <v/>
      </c>
      <c r="V11312">
        <f t="shared" si="706"/>
        <v>0</v>
      </c>
      <c r="W11312">
        <f t="shared" si="707"/>
        <v>0</v>
      </c>
    </row>
    <row r="11313" spans="5:23" x14ac:dyDescent="0.25">
      <c r="E11313" s="4"/>
      <c r="F11313" s="4"/>
      <c r="G11313" s="33" t="str">
        <f>IFERROR(VLOOKUP($D11313,'Informations sur les produits'!$A$3:$H$10000,8,FALSE),"0")</f>
        <v>0</v>
      </c>
      <c r="K11313" s="4"/>
      <c r="L11313" s="33" t="str">
        <f>IFERROR(VLOOKUP($J11313,'Informations sur les produits'!$A$3:$H$10000,8,FALSE),"0")</f>
        <v>0</v>
      </c>
      <c r="N11313" s="8"/>
      <c r="O11313" s="33" t="str">
        <f>IFERROR(VLOOKUP($M11313,'Informations sur les produits'!$A$3:$H$10000,8,FALSE),"0")</f>
        <v>0</v>
      </c>
      <c r="P11313" s="33">
        <f t="shared" si="704"/>
        <v>0</v>
      </c>
      <c r="Q11313" s="31" t="str">
        <f t="shared" si="705"/>
        <v/>
      </c>
      <c r="R11313" s="32" t="str">
        <f>IFERROR(VLOOKUP($D11313,'Informations sur les produits'!$A$3:$B$15000,2,FALSE),"")</f>
        <v/>
      </c>
      <c r="V11313">
        <f t="shared" si="706"/>
        <v>0</v>
      </c>
      <c r="W11313">
        <f t="shared" si="707"/>
        <v>0</v>
      </c>
    </row>
    <row r="11314" spans="5:23" x14ac:dyDescent="0.25">
      <c r="E11314" s="4"/>
      <c r="F11314" s="4"/>
      <c r="G11314" s="33" t="str">
        <f>IFERROR(VLOOKUP($D11314,'Informations sur les produits'!$A$3:$H$10000,8,FALSE),"0")</f>
        <v>0</v>
      </c>
      <c r="K11314" s="4"/>
      <c r="L11314" s="33" t="str">
        <f>IFERROR(VLOOKUP($J11314,'Informations sur les produits'!$A$3:$H$10000,8,FALSE),"0")</f>
        <v>0</v>
      </c>
      <c r="N11314" s="8"/>
      <c r="O11314" s="33" t="str">
        <f>IFERROR(VLOOKUP($M11314,'Informations sur les produits'!$A$3:$H$10000,8,FALSE),"0")</f>
        <v>0</v>
      </c>
      <c r="P11314" s="33">
        <f t="shared" si="704"/>
        <v>0</v>
      </c>
      <c r="Q11314" s="31" t="str">
        <f t="shared" si="705"/>
        <v/>
      </c>
      <c r="R11314" s="32" t="str">
        <f>IFERROR(VLOOKUP($D11314,'Informations sur les produits'!$A$3:$B$15000,2,FALSE),"")</f>
        <v/>
      </c>
      <c r="V11314">
        <f t="shared" si="706"/>
        <v>0</v>
      </c>
      <c r="W11314">
        <f t="shared" si="707"/>
        <v>0</v>
      </c>
    </row>
    <row r="11315" spans="5:23" x14ac:dyDescent="0.25">
      <c r="E11315" s="4"/>
      <c r="F11315" s="4"/>
      <c r="G11315" s="33" t="str">
        <f>IFERROR(VLOOKUP($D11315,'Informations sur les produits'!$A$3:$H$10000,8,FALSE),"0")</f>
        <v>0</v>
      </c>
      <c r="K11315" s="4"/>
      <c r="L11315" s="33" t="str">
        <f>IFERROR(VLOOKUP($J11315,'Informations sur les produits'!$A$3:$H$10000,8,FALSE),"0")</f>
        <v>0</v>
      </c>
      <c r="N11315" s="8"/>
      <c r="O11315" s="33" t="str">
        <f>IFERROR(VLOOKUP($M11315,'Informations sur les produits'!$A$3:$H$10000,8,FALSE),"0")</f>
        <v>0</v>
      </c>
      <c r="P11315" s="33">
        <f t="shared" si="704"/>
        <v>0</v>
      </c>
      <c r="Q11315" s="31" t="str">
        <f t="shared" si="705"/>
        <v/>
      </c>
      <c r="R11315" s="32" t="str">
        <f>IFERROR(VLOOKUP($D11315,'Informations sur les produits'!$A$3:$B$15000,2,FALSE),"")</f>
        <v/>
      </c>
      <c r="V11315">
        <f t="shared" si="706"/>
        <v>0</v>
      </c>
      <c r="W11315">
        <f t="shared" si="707"/>
        <v>0</v>
      </c>
    </row>
    <row r="11316" spans="5:23" x14ac:dyDescent="0.25">
      <c r="E11316" s="4"/>
      <c r="F11316" s="4"/>
      <c r="G11316" s="33" t="str">
        <f>IFERROR(VLOOKUP($D11316,'Informations sur les produits'!$A$3:$H$10000,8,FALSE),"0")</f>
        <v>0</v>
      </c>
      <c r="K11316" s="4"/>
      <c r="L11316" s="33" t="str">
        <f>IFERROR(VLOOKUP($J11316,'Informations sur les produits'!$A$3:$H$10000,8,FALSE),"0")</f>
        <v>0</v>
      </c>
      <c r="N11316" s="8"/>
      <c r="O11316" s="33" t="str">
        <f>IFERROR(VLOOKUP($M11316,'Informations sur les produits'!$A$3:$H$10000,8,FALSE),"0")</f>
        <v>0</v>
      </c>
      <c r="P11316" s="33">
        <f t="shared" si="704"/>
        <v>0</v>
      </c>
      <c r="Q11316" s="31" t="str">
        <f t="shared" si="705"/>
        <v/>
      </c>
      <c r="R11316" s="32" t="str">
        <f>IFERROR(VLOOKUP($D11316,'Informations sur les produits'!$A$3:$B$15000,2,FALSE),"")</f>
        <v/>
      </c>
      <c r="V11316">
        <f t="shared" si="706"/>
        <v>0</v>
      </c>
      <c r="W11316">
        <f t="shared" si="707"/>
        <v>0</v>
      </c>
    </row>
    <row r="11317" spans="5:23" x14ac:dyDescent="0.25">
      <c r="E11317" s="4"/>
      <c r="F11317" s="4"/>
      <c r="G11317" s="33" t="str">
        <f>IFERROR(VLOOKUP($D11317,'Informations sur les produits'!$A$3:$H$10000,8,FALSE),"0")</f>
        <v>0</v>
      </c>
      <c r="K11317" s="4"/>
      <c r="L11317" s="33" t="str">
        <f>IFERROR(VLOOKUP($J11317,'Informations sur les produits'!$A$3:$H$10000,8,FALSE),"0")</f>
        <v>0</v>
      </c>
      <c r="N11317" s="8"/>
      <c r="O11317" s="33" t="str">
        <f>IFERROR(VLOOKUP($M11317,'Informations sur les produits'!$A$3:$H$10000,8,FALSE),"0")</f>
        <v>0</v>
      </c>
      <c r="P11317" s="33">
        <f t="shared" si="704"/>
        <v>0</v>
      </c>
      <c r="Q11317" s="31" t="str">
        <f t="shared" si="705"/>
        <v/>
      </c>
      <c r="R11317" s="32" t="str">
        <f>IFERROR(VLOOKUP($D11317,'Informations sur les produits'!$A$3:$B$15000,2,FALSE),"")</f>
        <v/>
      </c>
      <c r="V11317">
        <f t="shared" si="706"/>
        <v>0</v>
      </c>
      <c r="W11317">
        <f t="shared" si="707"/>
        <v>0</v>
      </c>
    </row>
    <row r="11318" spans="5:23" x14ac:dyDescent="0.25">
      <c r="E11318" s="4"/>
      <c r="F11318" s="4"/>
      <c r="G11318" s="33" t="str">
        <f>IFERROR(VLOOKUP($D11318,'Informations sur les produits'!$A$3:$H$10000,8,FALSE),"0")</f>
        <v>0</v>
      </c>
      <c r="K11318" s="4"/>
      <c r="L11318" s="33" t="str">
        <f>IFERROR(VLOOKUP($J11318,'Informations sur les produits'!$A$3:$H$10000,8,FALSE),"0")</f>
        <v>0</v>
      </c>
      <c r="N11318" s="8"/>
      <c r="O11318" s="33" t="str">
        <f>IFERROR(VLOOKUP($M11318,'Informations sur les produits'!$A$3:$H$10000,8,FALSE),"0")</f>
        <v>0</v>
      </c>
      <c r="P11318" s="33">
        <f t="shared" si="704"/>
        <v>0</v>
      </c>
      <c r="Q11318" s="31" t="str">
        <f t="shared" si="705"/>
        <v/>
      </c>
      <c r="R11318" s="32" t="str">
        <f>IFERROR(VLOOKUP($D11318,'Informations sur les produits'!$A$3:$B$15000,2,FALSE),"")</f>
        <v/>
      </c>
      <c r="V11318">
        <f t="shared" si="706"/>
        <v>0</v>
      </c>
      <c r="W11318">
        <f t="shared" si="707"/>
        <v>0</v>
      </c>
    </row>
    <row r="11319" spans="5:23" x14ac:dyDescent="0.25">
      <c r="E11319" s="4"/>
      <c r="F11319" s="4"/>
      <c r="G11319" s="33" t="str">
        <f>IFERROR(VLOOKUP($D11319,'Informations sur les produits'!$A$3:$H$10000,8,FALSE),"0")</f>
        <v>0</v>
      </c>
      <c r="K11319" s="4"/>
      <c r="L11319" s="33" t="str">
        <f>IFERROR(VLOOKUP($J11319,'Informations sur les produits'!$A$3:$H$10000,8,FALSE),"0")</f>
        <v>0</v>
      </c>
      <c r="N11319" s="8"/>
      <c r="O11319" s="33" t="str">
        <f>IFERROR(VLOOKUP($M11319,'Informations sur les produits'!$A$3:$H$10000,8,FALSE),"0")</f>
        <v>0</v>
      </c>
      <c r="P11319" s="33">
        <f t="shared" si="704"/>
        <v>0</v>
      </c>
      <c r="Q11319" s="31" t="str">
        <f t="shared" si="705"/>
        <v/>
      </c>
      <c r="R11319" s="32" t="str">
        <f>IFERROR(VLOOKUP($D11319,'Informations sur les produits'!$A$3:$B$15000,2,FALSE),"")</f>
        <v/>
      </c>
      <c r="V11319">
        <f t="shared" si="706"/>
        <v>0</v>
      </c>
      <c r="W11319">
        <f t="shared" si="707"/>
        <v>0</v>
      </c>
    </row>
    <row r="11320" spans="5:23" x14ac:dyDescent="0.25">
      <c r="E11320" s="4"/>
      <c r="F11320" s="4"/>
      <c r="G11320" s="33" t="str">
        <f>IFERROR(VLOOKUP($D11320,'Informations sur les produits'!$A$3:$H$10000,8,FALSE),"0")</f>
        <v>0</v>
      </c>
      <c r="K11320" s="4"/>
      <c r="L11320" s="33" t="str">
        <f>IFERROR(VLOOKUP($J11320,'Informations sur les produits'!$A$3:$H$10000,8,FALSE),"0")</f>
        <v>0</v>
      </c>
      <c r="N11320" s="8"/>
      <c r="O11320" s="33" t="str">
        <f>IFERROR(VLOOKUP($M11320,'Informations sur les produits'!$A$3:$H$10000,8,FALSE),"0")</f>
        <v>0</v>
      </c>
      <c r="P11320" s="33">
        <f t="shared" si="704"/>
        <v>0</v>
      </c>
      <c r="Q11320" s="31" t="str">
        <f t="shared" si="705"/>
        <v/>
      </c>
      <c r="R11320" s="32" t="str">
        <f>IFERROR(VLOOKUP($D11320,'Informations sur les produits'!$A$3:$B$15000,2,FALSE),"")</f>
        <v/>
      </c>
      <c r="V11320">
        <f t="shared" si="706"/>
        <v>0</v>
      </c>
      <c r="W11320">
        <f t="shared" si="707"/>
        <v>0</v>
      </c>
    </row>
    <row r="11321" spans="5:23" x14ac:dyDescent="0.25">
      <c r="E11321" s="4"/>
      <c r="F11321" s="4"/>
      <c r="G11321" s="33" t="str">
        <f>IFERROR(VLOOKUP($D11321,'Informations sur les produits'!$A$3:$H$10000,8,FALSE),"0")</f>
        <v>0</v>
      </c>
      <c r="K11321" s="4"/>
      <c r="L11321" s="33" t="str">
        <f>IFERROR(VLOOKUP($J11321,'Informations sur les produits'!$A$3:$H$10000,8,FALSE),"0")</f>
        <v>0</v>
      </c>
      <c r="N11321" s="8"/>
      <c r="O11321" s="33" t="str">
        <f>IFERROR(VLOOKUP($M11321,'Informations sur les produits'!$A$3:$H$10000,8,FALSE),"0")</f>
        <v>0</v>
      </c>
      <c r="P11321" s="33">
        <f t="shared" si="704"/>
        <v>0</v>
      </c>
      <c r="Q11321" s="31" t="str">
        <f t="shared" si="705"/>
        <v/>
      </c>
      <c r="R11321" s="32" t="str">
        <f>IFERROR(VLOOKUP($D11321,'Informations sur les produits'!$A$3:$B$15000,2,FALSE),"")</f>
        <v/>
      </c>
      <c r="V11321">
        <f t="shared" si="706"/>
        <v>0</v>
      </c>
      <c r="W11321">
        <f t="shared" si="707"/>
        <v>0</v>
      </c>
    </row>
    <row r="11322" spans="5:23" x14ac:dyDescent="0.25">
      <c r="E11322" s="4"/>
      <c r="F11322" s="4"/>
      <c r="G11322" s="33" t="str">
        <f>IFERROR(VLOOKUP($D11322,'Informations sur les produits'!$A$3:$H$10000,8,FALSE),"0")</f>
        <v>0</v>
      </c>
      <c r="K11322" s="4"/>
      <c r="L11322" s="33" t="str">
        <f>IFERROR(VLOOKUP($J11322,'Informations sur les produits'!$A$3:$H$10000,8,FALSE),"0")</f>
        <v>0</v>
      </c>
      <c r="N11322" s="8"/>
      <c r="O11322" s="33" t="str">
        <f>IFERROR(VLOOKUP($M11322,'Informations sur les produits'!$A$3:$H$10000,8,FALSE),"0")</f>
        <v>0</v>
      </c>
      <c r="P11322" s="33">
        <f t="shared" si="704"/>
        <v>0</v>
      </c>
      <c r="Q11322" s="31" t="str">
        <f t="shared" si="705"/>
        <v/>
      </c>
      <c r="R11322" s="32" t="str">
        <f>IFERROR(VLOOKUP($D11322,'Informations sur les produits'!$A$3:$B$15000,2,FALSE),"")</f>
        <v/>
      </c>
      <c r="V11322">
        <f t="shared" si="706"/>
        <v>0</v>
      </c>
      <c r="W11322">
        <f t="shared" si="707"/>
        <v>0</v>
      </c>
    </row>
    <row r="11323" spans="5:23" x14ac:dyDescent="0.25">
      <c r="E11323" s="4"/>
      <c r="F11323" s="4"/>
      <c r="G11323" s="33" t="str">
        <f>IFERROR(VLOOKUP($D11323,'Informations sur les produits'!$A$3:$H$10000,8,FALSE),"0")</f>
        <v>0</v>
      </c>
      <c r="K11323" s="4"/>
      <c r="L11323" s="33" t="str">
        <f>IFERROR(VLOOKUP($J11323,'Informations sur les produits'!$A$3:$H$10000,8,FALSE),"0")</f>
        <v>0</v>
      </c>
      <c r="N11323" s="8"/>
      <c r="O11323" s="33" t="str">
        <f>IFERROR(VLOOKUP($M11323,'Informations sur les produits'!$A$3:$H$10000,8,FALSE),"0")</f>
        <v>0</v>
      </c>
      <c r="P11323" s="33">
        <f t="shared" si="704"/>
        <v>0</v>
      </c>
      <c r="Q11323" s="31" t="str">
        <f t="shared" si="705"/>
        <v/>
      </c>
      <c r="R11323" s="32" t="str">
        <f>IFERROR(VLOOKUP($D11323,'Informations sur les produits'!$A$3:$B$15000,2,FALSE),"")</f>
        <v/>
      </c>
      <c r="V11323">
        <f t="shared" si="706"/>
        <v>0</v>
      </c>
      <c r="W11323">
        <f t="shared" si="707"/>
        <v>0</v>
      </c>
    </row>
    <row r="11324" spans="5:23" x14ac:dyDescent="0.25">
      <c r="E11324" s="4"/>
      <c r="F11324" s="4"/>
      <c r="G11324" s="33" t="str">
        <f>IFERROR(VLOOKUP($D11324,'Informations sur les produits'!$A$3:$H$10000,8,FALSE),"0")</f>
        <v>0</v>
      </c>
      <c r="K11324" s="4"/>
      <c r="L11324" s="33" t="str">
        <f>IFERROR(VLOOKUP($J11324,'Informations sur les produits'!$A$3:$H$10000,8,FALSE),"0")</f>
        <v>0</v>
      </c>
      <c r="N11324" s="8"/>
      <c r="O11324" s="33" t="str">
        <f>IFERROR(VLOOKUP($M11324,'Informations sur les produits'!$A$3:$H$10000,8,FALSE),"0")</f>
        <v>0</v>
      </c>
      <c r="P11324" s="33">
        <f t="shared" si="704"/>
        <v>0</v>
      </c>
      <c r="Q11324" s="31" t="str">
        <f t="shared" si="705"/>
        <v/>
      </c>
      <c r="R11324" s="32" t="str">
        <f>IFERROR(VLOOKUP($D11324,'Informations sur les produits'!$A$3:$B$15000,2,FALSE),"")</f>
        <v/>
      </c>
      <c r="V11324">
        <f t="shared" si="706"/>
        <v>0</v>
      </c>
      <c r="W11324">
        <f t="shared" si="707"/>
        <v>0</v>
      </c>
    </row>
    <row r="11325" spans="5:23" x14ac:dyDescent="0.25">
      <c r="E11325" s="4"/>
      <c r="F11325" s="4"/>
      <c r="G11325" s="33" t="str">
        <f>IFERROR(VLOOKUP($D11325,'Informations sur les produits'!$A$3:$H$10000,8,FALSE),"0")</f>
        <v>0</v>
      </c>
      <c r="K11325" s="4"/>
      <c r="L11325" s="33" t="str">
        <f>IFERROR(VLOOKUP($J11325,'Informations sur les produits'!$A$3:$H$10000,8,FALSE),"0")</f>
        <v>0</v>
      </c>
      <c r="N11325" s="8"/>
      <c r="O11325" s="33" t="str">
        <f>IFERROR(VLOOKUP($M11325,'Informations sur les produits'!$A$3:$H$10000,8,FALSE),"0")</f>
        <v>0</v>
      </c>
      <c r="P11325" s="33">
        <f t="shared" si="704"/>
        <v>0</v>
      </c>
      <c r="Q11325" s="31" t="str">
        <f t="shared" si="705"/>
        <v/>
      </c>
      <c r="R11325" s="32" t="str">
        <f>IFERROR(VLOOKUP($D11325,'Informations sur les produits'!$A$3:$B$15000,2,FALSE),"")</f>
        <v/>
      </c>
      <c r="V11325">
        <f t="shared" si="706"/>
        <v>0</v>
      </c>
      <c r="W11325">
        <f t="shared" si="707"/>
        <v>0</v>
      </c>
    </row>
    <row r="11326" spans="5:23" x14ac:dyDescent="0.25">
      <c r="E11326" s="4"/>
      <c r="F11326" s="4"/>
      <c r="G11326" s="33" t="str">
        <f>IFERROR(VLOOKUP($D11326,'Informations sur les produits'!$A$3:$H$10000,8,FALSE),"0")</f>
        <v>0</v>
      </c>
      <c r="K11326" s="4"/>
      <c r="L11326" s="33" t="str">
        <f>IFERROR(VLOOKUP($J11326,'Informations sur les produits'!$A$3:$H$10000,8,FALSE),"0")</f>
        <v>0</v>
      </c>
      <c r="N11326" s="8"/>
      <c r="O11326" s="33" t="str">
        <f>IFERROR(VLOOKUP($M11326,'Informations sur les produits'!$A$3:$H$10000,8,FALSE),"0")</f>
        <v>0</v>
      </c>
      <c r="P11326" s="33">
        <f t="shared" si="704"/>
        <v>0</v>
      </c>
      <c r="Q11326" s="31" t="str">
        <f t="shared" si="705"/>
        <v/>
      </c>
      <c r="R11326" s="32" t="str">
        <f>IFERROR(VLOOKUP($D11326,'Informations sur les produits'!$A$3:$B$15000,2,FALSE),"")</f>
        <v/>
      </c>
      <c r="V11326">
        <f t="shared" si="706"/>
        <v>0</v>
      </c>
      <c r="W11326">
        <f t="shared" si="707"/>
        <v>0</v>
      </c>
    </row>
    <row r="11327" spans="5:23" x14ac:dyDescent="0.25">
      <c r="E11327" s="4"/>
      <c r="F11327" s="4"/>
      <c r="G11327" s="33" t="str">
        <f>IFERROR(VLOOKUP($D11327,'Informations sur les produits'!$A$3:$H$10000,8,FALSE),"0")</f>
        <v>0</v>
      </c>
      <c r="K11327" s="4"/>
      <c r="L11327" s="33" t="str">
        <f>IFERROR(VLOOKUP($J11327,'Informations sur les produits'!$A$3:$H$10000,8,FALSE),"0")</f>
        <v>0</v>
      </c>
      <c r="N11327" s="8"/>
      <c r="O11327" s="33" t="str">
        <f>IFERROR(VLOOKUP($M11327,'Informations sur les produits'!$A$3:$H$10000,8,FALSE),"0")</f>
        <v>0</v>
      </c>
      <c r="P11327" s="33">
        <f t="shared" si="704"/>
        <v>0</v>
      </c>
      <c r="Q11327" s="31" t="str">
        <f t="shared" si="705"/>
        <v/>
      </c>
      <c r="R11327" s="32" t="str">
        <f>IFERROR(VLOOKUP($D11327,'Informations sur les produits'!$A$3:$B$15000,2,FALSE),"")</f>
        <v/>
      </c>
      <c r="V11327">
        <f t="shared" si="706"/>
        <v>0</v>
      </c>
      <c r="W11327">
        <f t="shared" si="707"/>
        <v>0</v>
      </c>
    </row>
    <row r="11328" spans="5:23" x14ac:dyDescent="0.25">
      <c r="E11328" s="4"/>
      <c r="F11328" s="4"/>
      <c r="G11328" s="33" t="str">
        <f>IFERROR(VLOOKUP($D11328,'Informations sur les produits'!$A$3:$H$10000,8,FALSE),"0")</f>
        <v>0</v>
      </c>
      <c r="K11328" s="4"/>
      <c r="L11328" s="33" t="str">
        <f>IFERROR(VLOOKUP($J11328,'Informations sur les produits'!$A$3:$H$10000,8,FALSE),"0")</f>
        <v>0</v>
      </c>
      <c r="N11328" s="8"/>
      <c r="O11328" s="33" t="str">
        <f>IFERROR(VLOOKUP($M11328,'Informations sur les produits'!$A$3:$H$10000,8,FALSE),"0")</f>
        <v>0</v>
      </c>
      <c r="P11328" s="33">
        <f t="shared" si="704"/>
        <v>0</v>
      </c>
      <c r="Q11328" s="31" t="str">
        <f t="shared" si="705"/>
        <v/>
      </c>
      <c r="R11328" s="32" t="str">
        <f>IFERROR(VLOOKUP($D11328,'Informations sur les produits'!$A$3:$B$15000,2,FALSE),"")</f>
        <v/>
      </c>
      <c r="V11328">
        <f t="shared" si="706"/>
        <v>0</v>
      </c>
      <c r="W11328">
        <f t="shared" si="707"/>
        <v>0</v>
      </c>
    </row>
    <row r="11329" spans="5:23" x14ac:dyDescent="0.25">
      <c r="E11329" s="4"/>
      <c r="F11329" s="4"/>
      <c r="G11329" s="33" t="str">
        <f>IFERROR(VLOOKUP($D11329,'Informations sur les produits'!$A$3:$H$10000,8,FALSE),"0")</f>
        <v>0</v>
      </c>
      <c r="K11329" s="4"/>
      <c r="L11329" s="33" t="str">
        <f>IFERROR(VLOOKUP($J11329,'Informations sur les produits'!$A$3:$H$10000,8,FALSE),"0")</f>
        <v>0</v>
      </c>
      <c r="N11329" s="8"/>
      <c r="O11329" s="33" t="str">
        <f>IFERROR(VLOOKUP($M11329,'Informations sur les produits'!$A$3:$H$10000,8,FALSE),"0")</f>
        <v>0</v>
      </c>
      <c r="P11329" s="33">
        <f t="shared" si="704"/>
        <v>0</v>
      </c>
      <c r="Q11329" s="31" t="str">
        <f t="shared" si="705"/>
        <v/>
      </c>
      <c r="R11329" s="32" t="str">
        <f>IFERROR(VLOOKUP($D11329,'Informations sur les produits'!$A$3:$B$15000,2,FALSE),"")</f>
        <v/>
      </c>
      <c r="V11329">
        <f t="shared" si="706"/>
        <v>0</v>
      </c>
      <c r="W11329">
        <f t="shared" si="707"/>
        <v>0</v>
      </c>
    </row>
    <row r="11330" spans="5:23" x14ac:dyDescent="0.25">
      <c r="E11330" s="4"/>
      <c r="F11330" s="4"/>
      <c r="G11330" s="33" t="str">
        <f>IFERROR(VLOOKUP($D11330,'Informations sur les produits'!$A$3:$H$10000,8,FALSE),"0")</f>
        <v>0</v>
      </c>
      <c r="K11330" s="4"/>
      <c r="L11330" s="33" t="str">
        <f>IFERROR(VLOOKUP($J11330,'Informations sur les produits'!$A$3:$H$10000,8,FALSE),"0")</f>
        <v>0</v>
      </c>
      <c r="N11330" s="8"/>
      <c r="O11330" s="33" t="str">
        <f>IFERROR(VLOOKUP($M11330,'Informations sur les produits'!$A$3:$H$10000,8,FALSE),"0")</f>
        <v>0</v>
      </c>
      <c r="P11330" s="33">
        <f t="shared" si="704"/>
        <v>0</v>
      </c>
      <c r="Q11330" s="31" t="str">
        <f t="shared" si="705"/>
        <v/>
      </c>
      <c r="R11330" s="32" t="str">
        <f>IFERROR(VLOOKUP($D11330,'Informations sur les produits'!$A$3:$B$15000,2,FALSE),"")</f>
        <v/>
      </c>
      <c r="V11330">
        <f t="shared" si="706"/>
        <v>0</v>
      </c>
      <c r="W11330">
        <f t="shared" si="707"/>
        <v>0</v>
      </c>
    </row>
    <row r="11331" spans="5:23" x14ac:dyDescent="0.25">
      <c r="E11331" s="4"/>
      <c r="F11331" s="4"/>
      <c r="G11331" s="33" t="str">
        <f>IFERROR(VLOOKUP($D11331,'Informations sur les produits'!$A$3:$H$10000,8,FALSE),"0")</f>
        <v>0</v>
      </c>
      <c r="K11331" s="4"/>
      <c r="L11331" s="33" t="str">
        <f>IFERROR(VLOOKUP($J11331,'Informations sur les produits'!$A$3:$H$10000,8,FALSE),"0")</f>
        <v>0</v>
      </c>
      <c r="N11331" s="8"/>
      <c r="O11331" s="33" t="str">
        <f>IFERROR(VLOOKUP($M11331,'Informations sur les produits'!$A$3:$H$10000,8,FALSE),"0")</f>
        <v>0</v>
      </c>
      <c r="P11331" s="33">
        <f t="shared" si="704"/>
        <v>0</v>
      </c>
      <c r="Q11331" s="31" t="str">
        <f t="shared" si="705"/>
        <v/>
      </c>
      <c r="R11331" s="32" t="str">
        <f>IFERROR(VLOOKUP($D11331,'Informations sur les produits'!$A$3:$B$15000,2,FALSE),"")</f>
        <v/>
      </c>
      <c r="V11331">
        <f t="shared" si="706"/>
        <v>0</v>
      </c>
      <c r="W11331">
        <f t="shared" si="707"/>
        <v>0</v>
      </c>
    </row>
    <row r="11332" spans="5:23" x14ac:dyDescent="0.25">
      <c r="E11332" s="4"/>
      <c r="F11332" s="4"/>
      <c r="G11332" s="33" t="str">
        <f>IFERROR(VLOOKUP($D11332,'Informations sur les produits'!$A$3:$H$10000,8,FALSE),"0")</f>
        <v>0</v>
      </c>
      <c r="K11332" s="4"/>
      <c r="L11332" s="33" t="str">
        <f>IFERROR(VLOOKUP($J11332,'Informations sur les produits'!$A$3:$H$10000,8,FALSE),"0")</f>
        <v>0</v>
      </c>
      <c r="N11332" s="8"/>
      <c r="O11332" s="33" t="str">
        <f>IFERROR(VLOOKUP($M11332,'Informations sur les produits'!$A$3:$H$10000,8,FALSE),"0")</f>
        <v>0</v>
      </c>
      <c r="P11332" s="33">
        <f t="shared" ref="P11332:P11395" si="708">IFERROR((($E11332-$F11332)*$G11332+$K11332*$L11332+$N11332*$O11332),"")</f>
        <v>0</v>
      </c>
      <c r="Q11332" s="31" t="str">
        <f t="shared" ref="Q11332:Q11395" si="709">IFERROR((((($E11332-$F11332)*$G11332+$K11332*$L11332+$N11332*$O11332)*1000)/(($E11332-$F11332)+$K11332+$N11332)),"")</f>
        <v/>
      </c>
      <c r="R11332" s="32" t="str">
        <f>IFERROR(VLOOKUP($D11332,'Informations sur les produits'!$A$3:$B$15000,2,FALSE),"")</f>
        <v/>
      </c>
      <c r="V11332">
        <f t="shared" ref="V11332:V11395" si="710">IFERROR(P11332*1000,"")</f>
        <v>0</v>
      </c>
      <c r="W11332">
        <f t="shared" ref="W11332:W11395" si="711">IFERROR(($E11332-$F11332)+$K11332+$N11332,"")</f>
        <v>0</v>
      </c>
    </row>
    <row r="11333" spans="5:23" x14ac:dyDescent="0.25">
      <c r="E11333" s="4"/>
      <c r="F11333" s="4"/>
      <c r="G11333" s="33" t="str">
        <f>IFERROR(VLOOKUP($D11333,'Informations sur les produits'!$A$3:$H$10000,8,FALSE),"0")</f>
        <v>0</v>
      </c>
      <c r="K11333" s="4"/>
      <c r="L11333" s="33" t="str">
        <f>IFERROR(VLOOKUP($J11333,'Informations sur les produits'!$A$3:$H$10000,8,FALSE),"0")</f>
        <v>0</v>
      </c>
      <c r="N11333" s="8"/>
      <c r="O11333" s="33" t="str">
        <f>IFERROR(VLOOKUP($M11333,'Informations sur les produits'!$A$3:$H$10000,8,FALSE),"0")</f>
        <v>0</v>
      </c>
      <c r="P11333" s="33">
        <f t="shared" si="708"/>
        <v>0</v>
      </c>
      <c r="Q11333" s="31" t="str">
        <f t="shared" si="709"/>
        <v/>
      </c>
      <c r="R11333" s="32" t="str">
        <f>IFERROR(VLOOKUP($D11333,'Informations sur les produits'!$A$3:$B$15000,2,FALSE),"")</f>
        <v/>
      </c>
      <c r="V11333">
        <f t="shared" si="710"/>
        <v>0</v>
      </c>
      <c r="W11333">
        <f t="shared" si="711"/>
        <v>0</v>
      </c>
    </row>
    <row r="11334" spans="5:23" x14ac:dyDescent="0.25">
      <c r="E11334" s="4"/>
      <c r="F11334" s="4"/>
      <c r="G11334" s="33" t="str">
        <f>IFERROR(VLOOKUP($D11334,'Informations sur les produits'!$A$3:$H$10000,8,FALSE),"0")</f>
        <v>0</v>
      </c>
      <c r="K11334" s="4"/>
      <c r="L11334" s="33" t="str">
        <f>IFERROR(VLOOKUP($J11334,'Informations sur les produits'!$A$3:$H$10000,8,FALSE),"0")</f>
        <v>0</v>
      </c>
      <c r="N11334" s="8"/>
      <c r="O11334" s="33" t="str">
        <f>IFERROR(VLOOKUP($M11334,'Informations sur les produits'!$A$3:$H$10000,8,FALSE),"0")</f>
        <v>0</v>
      </c>
      <c r="P11334" s="33">
        <f t="shared" si="708"/>
        <v>0</v>
      </c>
      <c r="Q11334" s="31" t="str">
        <f t="shared" si="709"/>
        <v/>
      </c>
      <c r="R11334" s="32" t="str">
        <f>IFERROR(VLOOKUP($D11334,'Informations sur les produits'!$A$3:$B$15000,2,FALSE),"")</f>
        <v/>
      </c>
      <c r="V11334">
        <f t="shared" si="710"/>
        <v>0</v>
      </c>
      <c r="W11334">
        <f t="shared" si="711"/>
        <v>0</v>
      </c>
    </row>
    <row r="11335" spans="5:23" x14ac:dyDescent="0.25">
      <c r="E11335" s="4"/>
      <c r="F11335" s="4"/>
      <c r="G11335" s="33" t="str">
        <f>IFERROR(VLOOKUP($D11335,'Informations sur les produits'!$A$3:$H$10000,8,FALSE),"0")</f>
        <v>0</v>
      </c>
      <c r="K11335" s="4"/>
      <c r="L11335" s="33" t="str">
        <f>IFERROR(VLOOKUP($J11335,'Informations sur les produits'!$A$3:$H$10000,8,FALSE),"0")</f>
        <v>0</v>
      </c>
      <c r="N11335" s="8"/>
      <c r="O11335" s="33" t="str">
        <f>IFERROR(VLOOKUP($M11335,'Informations sur les produits'!$A$3:$H$10000,8,FALSE),"0")</f>
        <v>0</v>
      </c>
      <c r="P11335" s="33">
        <f t="shared" si="708"/>
        <v>0</v>
      </c>
      <c r="Q11335" s="31" t="str">
        <f t="shared" si="709"/>
        <v/>
      </c>
      <c r="R11335" s="32" t="str">
        <f>IFERROR(VLOOKUP($D11335,'Informations sur les produits'!$A$3:$B$15000,2,FALSE),"")</f>
        <v/>
      </c>
      <c r="V11335">
        <f t="shared" si="710"/>
        <v>0</v>
      </c>
      <c r="W11335">
        <f t="shared" si="711"/>
        <v>0</v>
      </c>
    </row>
    <row r="11336" spans="5:23" x14ac:dyDescent="0.25">
      <c r="E11336" s="4"/>
      <c r="F11336" s="4"/>
      <c r="G11336" s="33" t="str">
        <f>IFERROR(VLOOKUP($D11336,'Informations sur les produits'!$A$3:$H$10000,8,FALSE),"0")</f>
        <v>0</v>
      </c>
      <c r="K11336" s="4"/>
      <c r="L11336" s="33" t="str">
        <f>IFERROR(VLOOKUP($J11336,'Informations sur les produits'!$A$3:$H$10000,8,FALSE),"0")</f>
        <v>0</v>
      </c>
      <c r="N11336" s="8"/>
      <c r="O11336" s="33" t="str">
        <f>IFERROR(VLOOKUP($M11336,'Informations sur les produits'!$A$3:$H$10000,8,FALSE),"0")</f>
        <v>0</v>
      </c>
      <c r="P11336" s="33">
        <f t="shared" si="708"/>
        <v>0</v>
      </c>
      <c r="Q11336" s="31" t="str">
        <f t="shared" si="709"/>
        <v/>
      </c>
      <c r="R11336" s="32" t="str">
        <f>IFERROR(VLOOKUP($D11336,'Informations sur les produits'!$A$3:$B$15000,2,FALSE),"")</f>
        <v/>
      </c>
      <c r="V11336">
        <f t="shared" si="710"/>
        <v>0</v>
      </c>
      <c r="W11336">
        <f t="shared" si="711"/>
        <v>0</v>
      </c>
    </row>
    <row r="11337" spans="5:23" x14ac:dyDescent="0.25">
      <c r="E11337" s="4"/>
      <c r="F11337" s="4"/>
      <c r="G11337" s="33" t="str">
        <f>IFERROR(VLOOKUP($D11337,'Informations sur les produits'!$A$3:$H$10000,8,FALSE),"0")</f>
        <v>0</v>
      </c>
      <c r="K11337" s="4"/>
      <c r="L11337" s="33" t="str">
        <f>IFERROR(VLOOKUP($J11337,'Informations sur les produits'!$A$3:$H$10000,8,FALSE),"0")</f>
        <v>0</v>
      </c>
      <c r="N11337" s="8"/>
      <c r="O11337" s="33" t="str">
        <f>IFERROR(VLOOKUP($M11337,'Informations sur les produits'!$A$3:$H$10000,8,FALSE),"0")</f>
        <v>0</v>
      </c>
      <c r="P11337" s="33">
        <f t="shared" si="708"/>
        <v>0</v>
      </c>
      <c r="Q11337" s="31" t="str">
        <f t="shared" si="709"/>
        <v/>
      </c>
      <c r="R11337" s="32" t="str">
        <f>IFERROR(VLOOKUP($D11337,'Informations sur les produits'!$A$3:$B$15000,2,FALSE),"")</f>
        <v/>
      </c>
      <c r="V11337">
        <f t="shared" si="710"/>
        <v>0</v>
      </c>
      <c r="W11337">
        <f t="shared" si="711"/>
        <v>0</v>
      </c>
    </row>
    <row r="11338" spans="5:23" x14ac:dyDescent="0.25">
      <c r="E11338" s="4"/>
      <c r="F11338" s="4"/>
      <c r="G11338" s="33" t="str">
        <f>IFERROR(VLOOKUP($D11338,'Informations sur les produits'!$A$3:$H$10000,8,FALSE),"0")</f>
        <v>0</v>
      </c>
      <c r="K11338" s="4"/>
      <c r="L11338" s="33" t="str">
        <f>IFERROR(VLOOKUP($J11338,'Informations sur les produits'!$A$3:$H$10000,8,FALSE),"0")</f>
        <v>0</v>
      </c>
      <c r="N11338" s="8"/>
      <c r="O11338" s="33" t="str">
        <f>IFERROR(VLOOKUP($M11338,'Informations sur les produits'!$A$3:$H$10000,8,FALSE),"0")</f>
        <v>0</v>
      </c>
      <c r="P11338" s="33">
        <f t="shared" si="708"/>
        <v>0</v>
      </c>
      <c r="Q11338" s="31" t="str">
        <f t="shared" si="709"/>
        <v/>
      </c>
      <c r="R11338" s="32" t="str">
        <f>IFERROR(VLOOKUP($D11338,'Informations sur les produits'!$A$3:$B$15000,2,FALSE),"")</f>
        <v/>
      </c>
      <c r="V11338">
        <f t="shared" si="710"/>
        <v>0</v>
      </c>
      <c r="W11338">
        <f t="shared" si="711"/>
        <v>0</v>
      </c>
    </row>
    <row r="11339" spans="5:23" x14ac:dyDescent="0.25">
      <c r="E11339" s="4"/>
      <c r="F11339" s="4"/>
      <c r="G11339" s="33" t="str">
        <f>IFERROR(VLOOKUP($D11339,'Informations sur les produits'!$A$3:$H$10000,8,FALSE),"0")</f>
        <v>0</v>
      </c>
      <c r="K11339" s="4"/>
      <c r="L11339" s="33" t="str">
        <f>IFERROR(VLOOKUP($J11339,'Informations sur les produits'!$A$3:$H$10000,8,FALSE),"0")</f>
        <v>0</v>
      </c>
      <c r="N11339" s="8"/>
      <c r="O11339" s="33" t="str">
        <f>IFERROR(VLOOKUP($M11339,'Informations sur les produits'!$A$3:$H$10000,8,FALSE),"0")</f>
        <v>0</v>
      </c>
      <c r="P11339" s="33">
        <f t="shared" si="708"/>
        <v>0</v>
      </c>
      <c r="Q11339" s="31" t="str">
        <f t="shared" si="709"/>
        <v/>
      </c>
      <c r="R11339" s="32" t="str">
        <f>IFERROR(VLOOKUP($D11339,'Informations sur les produits'!$A$3:$B$15000,2,FALSE),"")</f>
        <v/>
      </c>
      <c r="V11339">
        <f t="shared" si="710"/>
        <v>0</v>
      </c>
      <c r="W11339">
        <f t="shared" si="711"/>
        <v>0</v>
      </c>
    </row>
    <row r="11340" spans="5:23" x14ac:dyDescent="0.25">
      <c r="E11340" s="4"/>
      <c r="F11340" s="4"/>
      <c r="G11340" s="33" t="str">
        <f>IFERROR(VLOOKUP($D11340,'Informations sur les produits'!$A$3:$H$10000,8,FALSE),"0")</f>
        <v>0</v>
      </c>
      <c r="K11340" s="4"/>
      <c r="L11340" s="33" t="str">
        <f>IFERROR(VLOOKUP($J11340,'Informations sur les produits'!$A$3:$H$10000,8,FALSE),"0")</f>
        <v>0</v>
      </c>
      <c r="N11340" s="8"/>
      <c r="O11340" s="33" t="str">
        <f>IFERROR(VLOOKUP($M11340,'Informations sur les produits'!$A$3:$H$10000,8,FALSE),"0")</f>
        <v>0</v>
      </c>
      <c r="P11340" s="33">
        <f t="shared" si="708"/>
        <v>0</v>
      </c>
      <c r="Q11340" s="31" t="str">
        <f t="shared" si="709"/>
        <v/>
      </c>
      <c r="R11340" s="32" t="str">
        <f>IFERROR(VLOOKUP($D11340,'Informations sur les produits'!$A$3:$B$15000,2,FALSE),"")</f>
        <v/>
      </c>
      <c r="V11340">
        <f t="shared" si="710"/>
        <v>0</v>
      </c>
      <c r="W11340">
        <f t="shared" si="711"/>
        <v>0</v>
      </c>
    </row>
    <row r="11341" spans="5:23" x14ac:dyDescent="0.25">
      <c r="E11341" s="4"/>
      <c r="F11341" s="4"/>
      <c r="G11341" s="33" t="str">
        <f>IFERROR(VLOOKUP($D11341,'Informations sur les produits'!$A$3:$H$10000,8,FALSE),"0")</f>
        <v>0</v>
      </c>
      <c r="K11341" s="4"/>
      <c r="L11341" s="33" t="str">
        <f>IFERROR(VLOOKUP($J11341,'Informations sur les produits'!$A$3:$H$10000,8,FALSE),"0")</f>
        <v>0</v>
      </c>
      <c r="N11341" s="8"/>
      <c r="O11341" s="33" t="str">
        <f>IFERROR(VLOOKUP($M11341,'Informations sur les produits'!$A$3:$H$10000,8,FALSE),"0")</f>
        <v>0</v>
      </c>
      <c r="P11341" s="33">
        <f t="shared" si="708"/>
        <v>0</v>
      </c>
      <c r="Q11341" s="31" t="str">
        <f t="shared" si="709"/>
        <v/>
      </c>
      <c r="R11341" s="32" t="str">
        <f>IFERROR(VLOOKUP($D11341,'Informations sur les produits'!$A$3:$B$15000,2,FALSE),"")</f>
        <v/>
      </c>
      <c r="V11341">
        <f t="shared" si="710"/>
        <v>0</v>
      </c>
      <c r="W11341">
        <f t="shared" si="711"/>
        <v>0</v>
      </c>
    </row>
    <row r="11342" spans="5:23" x14ac:dyDescent="0.25">
      <c r="E11342" s="4"/>
      <c r="F11342" s="4"/>
      <c r="G11342" s="33" t="str">
        <f>IFERROR(VLOOKUP($D11342,'Informations sur les produits'!$A$3:$H$10000,8,FALSE),"0")</f>
        <v>0</v>
      </c>
      <c r="K11342" s="4"/>
      <c r="L11342" s="33" t="str">
        <f>IFERROR(VLOOKUP($J11342,'Informations sur les produits'!$A$3:$H$10000,8,FALSE),"0")</f>
        <v>0</v>
      </c>
      <c r="N11342" s="8"/>
      <c r="O11342" s="33" t="str">
        <f>IFERROR(VLOOKUP($M11342,'Informations sur les produits'!$A$3:$H$10000,8,FALSE),"0")</f>
        <v>0</v>
      </c>
      <c r="P11342" s="33">
        <f t="shared" si="708"/>
        <v>0</v>
      </c>
      <c r="Q11342" s="31" t="str">
        <f t="shared" si="709"/>
        <v/>
      </c>
      <c r="R11342" s="32" t="str">
        <f>IFERROR(VLOOKUP($D11342,'Informations sur les produits'!$A$3:$B$15000,2,FALSE),"")</f>
        <v/>
      </c>
      <c r="V11342">
        <f t="shared" si="710"/>
        <v>0</v>
      </c>
      <c r="W11342">
        <f t="shared" si="711"/>
        <v>0</v>
      </c>
    </row>
    <row r="11343" spans="5:23" x14ac:dyDescent="0.25">
      <c r="E11343" s="4"/>
      <c r="F11343" s="4"/>
      <c r="G11343" s="33" t="str">
        <f>IFERROR(VLOOKUP($D11343,'Informations sur les produits'!$A$3:$H$10000,8,FALSE),"0")</f>
        <v>0</v>
      </c>
      <c r="K11343" s="4"/>
      <c r="L11343" s="33" t="str">
        <f>IFERROR(VLOOKUP($J11343,'Informations sur les produits'!$A$3:$H$10000,8,FALSE),"0")</f>
        <v>0</v>
      </c>
      <c r="N11343" s="8"/>
      <c r="O11343" s="33" t="str">
        <f>IFERROR(VLOOKUP($M11343,'Informations sur les produits'!$A$3:$H$10000,8,FALSE),"0")</f>
        <v>0</v>
      </c>
      <c r="P11343" s="33">
        <f t="shared" si="708"/>
        <v>0</v>
      </c>
      <c r="Q11343" s="31" t="str">
        <f t="shared" si="709"/>
        <v/>
      </c>
      <c r="R11343" s="32" t="str">
        <f>IFERROR(VLOOKUP($D11343,'Informations sur les produits'!$A$3:$B$15000,2,FALSE),"")</f>
        <v/>
      </c>
      <c r="V11343">
        <f t="shared" si="710"/>
        <v>0</v>
      </c>
      <c r="W11343">
        <f t="shared" si="711"/>
        <v>0</v>
      </c>
    </row>
    <row r="11344" spans="5:23" x14ac:dyDescent="0.25">
      <c r="E11344" s="4"/>
      <c r="F11344" s="4"/>
      <c r="G11344" s="33" t="str">
        <f>IFERROR(VLOOKUP($D11344,'Informations sur les produits'!$A$3:$H$10000,8,FALSE),"0")</f>
        <v>0</v>
      </c>
      <c r="K11344" s="4"/>
      <c r="L11344" s="33" t="str">
        <f>IFERROR(VLOOKUP($J11344,'Informations sur les produits'!$A$3:$H$10000,8,FALSE),"0")</f>
        <v>0</v>
      </c>
      <c r="N11344" s="8"/>
      <c r="O11344" s="33" t="str">
        <f>IFERROR(VLOOKUP($M11344,'Informations sur les produits'!$A$3:$H$10000,8,FALSE),"0")</f>
        <v>0</v>
      </c>
      <c r="P11344" s="33">
        <f t="shared" si="708"/>
        <v>0</v>
      </c>
      <c r="Q11344" s="31" t="str">
        <f t="shared" si="709"/>
        <v/>
      </c>
      <c r="R11344" s="32" t="str">
        <f>IFERROR(VLOOKUP($D11344,'Informations sur les produits'!$A$3:$B$15000,2,FALSE),"")</f>
        <v/>
      </c>
      <c r="V11344">
        <f t="shared" si="710"/>
        <v>0</v>
      </c>
      <c r="W11344">
        <f t="shared" si="711"/>
        <v>0</v>
      </c>
    </row>
    <row r="11345" spans="5:23" x14ac:dyDescent="0.25">
      <c r="E11345" s="4"/>
      <c r="F11345" s="4"/>
      <c r="G11345" s="33" t="str">
        <f>IFERROR(VLOOKUP($D11345,'Informations sur les produits'!$A$3:$H$10000,8,FALSE),"0")</f>
        <v>0</v>
      </c>
      <c r="K11345" s="4"/>
      <c r="L11345" s="33" t="str">
        <f>IFERROR(VLOOKUP($J11345,'Informations sur les produits'!$A$3:$H$10000,8,FALSE),"0")</f>
        <v>0</v>
      </c>
      <c r="N11345" s="8"/>
      <c r="O11345" s="33" t="str">
        <f>IFERROR(VLOOKUP($M11345,'Informations sur les produits'!$A$3:$H$10000,8,FALSE),"0")</f>
        <v>0</v>
      </c>
      <c r="P11345" s="33">
        <f t="shared" si="708"/>
        <v>0</v>
      </c>
      <c r="Q11345" s="31" t="str">
        <f t="shared" si="709"/>
        <v/>
      </c>
      <c r="R11345" s="32" t="str">
        <f>IFERROR(VLOOKUP($D11345,'Informations sur les produits'!$A$3:$B$15000,2,FALSE),"")</f>
        <v/>
      </c>
      <c r="V11345">
        <f t="shared" si="710"/>
        <v>0</v>
      </c>
      <c r="W11345">
        <f t="shared" si="711"/>
        <v>0</v>
      </c>
    </row>
    <row r="11346" spans="5:23" x14ac:dyDescent="0.25">
      <c r="E11346" s="4"/>
      <c r="F11346" s="4"/>
      <c r="G11346" s="33" t="str">
        <f>IFERROR(VLOOKUP($D11346,'Informations sur les produits'!$A$3:$H$10000,8,FALSE),"0")</f>
        <v>0</v>
      </c>
      <c r="K11346" s="4"/>
      <c r="L11346" s="33" t="str">
        <f>IFERROR(VLOOKUP($J11346,'Informations sur les produits'!$A$3:$H$10000,8,FALSE),"0")</f>
        <v>0</v>
      </c>
      <c r="N11346" s="8"/>
      <c r="O11346" s="33" t="str">
        <f>IFERROR(VLOOKUP($M11346,'Informations sur les produits'!$A$3:$H$10000,8,FALSE),"0")</f>
        <v>0</v>
      </c>
      <c r="P11346" s="33">
        <f t="shared" si="708"/>
        <v>0</v>
      </c>
      <c r="Q11346" s="31" t="str">
        <f t="shared" si="709"/>
        <v/>
      </c>
      <c r="R11346" s="32" t="str">
        <f>IFERROR(VLOOKUP($D11346,'Informations sur les produits'!$A$3:$B$15000,2,FALSE),"")</f>
        <v/>
      </c>
      <c r="V11346">
        <f t="shared" si="710"/>
        <v>0</v>
      </c>
      <c r="W11346">
        <f t="shared" si="711"/>
        <v>0</v>
      </c>
    </row>
    <row r="11347" spans="5:23" x14ac:dyDescent="0.25">
      <c r="E11347" s="4"/>
      <c r="F11347" s="4"/>
      <c r="G11347" s="33" t="str">
        <f>IFERROR(VLOOKUP($D11347,'Informations sur les produits'!$A$3:$H$10000,8,FALSE),"0")</f>
        <v>0</v>
      </c>
      <c r="K11347" s="4"/>
      <c r="L11347" s="33" t="str">
        <f>IFERROR(VLOOKUP($J11347,'Informations sur les produits'!$A$3:$H$10000,8,FALSE),"0")</f>
        <v>0</v>
      </c>
      <c r="N11347" s="8"/>
      <c r="O11347" s="33" t="str">
        <f>IFERROR(VLOOKUP($M11347,'Informations sur les produits'!$A$3:$H$10000,8,FALSE),"0")</f>
        <v>0</v>
      </c>
      <c r="P11347" s="33">
        <f t="shared" si="708"/>
        <v>0</v>
      </c>
      <c r="Q11347" s="31" t="str">
        <f t="shared" si="709"/>
        <v/>
      </c>
      <c r="R11347" s="32" t="str">
        <f>IFERROR(VLOOKUP($D11347,'Informations sur les produits'!$A$3:$B$15000,2,FALSE),"")</f>
        <v/>
      </c>
      <c r="V11347">
        <f t="shared" si="710"/>
        <v>0</v>
      </c>
      <c r="W11347">
        <f t="shared" si="711"/>
        <v>0</v>
      </c>
    </row>
    <row r="11348" spans="5:23" x14ac:dyDescent="0.25">
      <c r="E11348" s="4"/>
      <c r="F11348" s="4"/>
      <c r="G11348" s="33" t="str">
        <f>IFERROR(VLOOKUP($D11348,'Informations sur les produits'!$A$3:$H$10000,8,FALSE),"0")</f>
        <v>0</v>
      </c>
      <c r="K11348" s="4"/>
      <c r="L11348" s="33" t="str">
        <f>IFERROR(VLOOKUP($J11348,'Informations sur les produits'!$A$3:$H$10000,8,FALSE),"0")</f>
        <v>0</v>
      </c>
      <c r="N11348" s="8"/>
      <c r="O11348" s="33" t="str">
        <f>IFERROR(VLOOKUP($M11348,'Informations sur les produits'!$A$3:$H$10000,8,FALSE),"0")</f>
        <v>0</v>
      </c>
      <c r="P11348" s="33">
        <f t="shared" si="708"/>
        <v>0</v>
      </c>
      <c r="Q11348" s="31" t="str">
        <f t="shared" si="709"/>
        <v/>
      </c>
      <c r="R11348" s="32" t="str">
        <f>IFERROR(VLOOKUP($D11348,'Informations sur les produits'!$A$3:$B$15000,2,FALSE),"")</f>
        <v/>
      </c>
      <c r="V11348">
        <f t="shared" si="710"/>
        <v>0</v>
      </c>
      <c r="W11348">
        <f t="shared" si="711"/>
        <v>0</v>
      </c>
    </row>
    <row r="11349" spans="5:23" x14ac:dyDescent="0.25">
      <c r="E11349" s="4"/>
      <c r="F11349" s="4"/>
      <c r="G11349" s="33" t="str">
        <f>IFERROR(VLOOKUP($D11349,'Informations sur les produits'!$A$3:$H$10000,8,FALSE),"0")</f>
        <v>0</v>
      </c>
      <c r="K11349" s="4"/>
      <c r="L11349" s="33" t="str">
        <f>IFERROR(VLOOKUP($J11349,'Informations sur les produits'!$A$3:$H$10000,8,FALSE),"0")</f>
        <v>0</v>
      </c>
      <c r="N11349" s="8"/>
      <c r="O11349" s="33" t="str">
        <f>IFERROR(VLOOKUP($M11349,'Informations sur les produits'!$A$3:$H$10000,8,FALSE),"0")</f>
        <v>0</v>
      </c>
      <c r="P11349" s="33">
        <f t="shared" si="708"/>
        <v>0</v>
      </c>
      <c r="Q11349" s="31" t="str">
        <f t="shared" si="709"/>
        <v/>
      </c>
      <c r="R11349" s="32" t="str">
        <f>IFERROR(VLOOKUP($D11349,'Informations sur les produits'!$A$3:$B$15000,2,FALSE),"")</f>
        <v/>
      </c>
      <c r="V11349">
        <f t="shared" si="710"/>
        <v>0</v>
      </c>
      <c r="W11349">
        <f t="shared" si="711"/>
        <v>0</v>
      </c>
    </row>
    <row r="11350" spans="5:23" x14ac:dyDescent="0.25">
      <c r="E11350" s="4"/>
      <c r="F11350" s="4"/>
      <c r="G11350" s="33" t="str">
        <f>IFERROR(VLOOKUP($D11350,'Informations sur les produits'!$A$3:$H$10000,8,FALSE),"0")</f>
        <v>0</v>
      </c>
      <c r="K11350" s="4"/>
      <c r="L11350" s="33" t="str">
        <f>IFERROR(VLOOKUP($J11350,'Informations sur les produits'!$A$3:$H$10000,8,FALSE),"0")</f>
        <v>0</v>
      </c>
      <c r="N11350" s="8"/>
      <c r="O11350" s="33" t="str">
        <f>IFERROR(VLOOKUP($M11350,'Informations sur les produits'!$A$3:$H$10000,8,FALSE),"0")</f>
        <v>0</v>
      </c>
      <c r="P11350" s="33">
        <f t="shared" si="708"/>
        <v>0</v>
      </c>
      <c r="Q11350" s="31" t="str">
        <f t="shared" si="709"/>
        <v/>
      </c>
      <c r="R11350" s="32" t="str">
        <f>IFERROR(VLOOKUP($D11350,'Informations sur les produits'!$A$3:$B$15000,2,FALSE),"")</f>
        <v/>
      </c>
      <c r="V11350">
        <f t="shared" si="710"/>
        <v>0</v>
      </c>
      <c r="W11350">
        <f t="shared" si="711"/>
        <v>0</v>
      </c>
    </row>
    <row r="11351" spans="5:23" x14ac:dyDescent="0.25">
      <c r="E11351" s="4"/>
      <c r="F11351" s="4"/>
      <c r="G11351" s="33" t="str">
        <f>IFERROR(VLOOKUP($D11351,'Informations sur les produits'!$A$3:$H$10000,8,FALSE),"0")</f>
        <v>0</v>
      </c>
      <c r="K11351" s="4"/>
      <c r="L11351" s="33" t="str">
        <f>IFERROR(VLOOKUP($J11351,'Informations sur les produits'!$A$3:$H$10000,8,FALSE),"0")</f>
        <v>0</v>
      </c>
      <c r="N11351" s="8"/>
      <c r="O11351" s="33" t="str">
        <f>IFERROR(VLOOKUP($M11351,'Informations sur les produits'!$A$3:$H$10000,8,FALSE),"0")</f>
        <v>0</v>
      </c>
      <c r="P11351" s="33">
        <f t="shared" si="708"/>
        <v>0</v>
      </c>
      <c r="Q11351" s="31" t="str">
        <f t="shared" si="709"/>
        <v/>
      </c>
      <c r="R11351" s="32" t="str">
        <f>IFERROR(VLOOKUP($D11351,'Informations sur les produits'!$A$3:$B$15000,2,FALSE),"")</f>
        <v/>
      </c>
      <c r="V11351">
        <f t="shared" si="710"/>
        <v>0</v>
      </c>
      <c r="W11351">
        <f t="shared" si="711"/>
        <v>0</v>
      </c>
    </row>
    <row r="11352" spans="5:23" x14ac:dyDescent="0.25">
      <c r="E11352" s="4"/>
      <c r="F11352" s="4"/>
      <c r="G11352" s="33" t="str">
        <f>IFERROR(VLOOKUP($D11352,'Informations sur les produits'!$A$3:$H$10000,8,FALSE),"0")</f>
        <v>0</v>
      </c>
      <c r="K11352" s="4"/>
      <c r="L11352" s="33" t="str">
        <f>IFERROR(VLOOKUP($J11352,'Informations sur les produits'!$A$3:$H$10000,8,FALSE),"0")</f>
        <v>0</v>
      </c>
      <c r="N11352" s="8"/>
      <c r="O11352" s="33" t="str">
        <f>IFERROR(VLOOKUP($M11352,'Informations sur les produits'!$A$3:$H$10000,8,FALSE),"0")</f>
        <v>0</v>
      </c>
      <c r="P11352" s="33">
        <f t="shared" si="708"/>
        <v>0</v>
      </c>
      <c r="Q11352" s="31" t="str">
        <f t="shared" si="709"/>
        <v/>
      </c>
      <c r="R11352" s="32" t="str">
        <f>IFERROR(VLOOKUP($D11352,'Informations sur les produits'!$A$3:$B$15000,2,FALSE),"")</f>
        <v/>
      </c>
      <c r="V11352">
        <f t="shared" si="710"/>
        <v>0</v>
      </c>
      <c r="W11352">
        <f t="shared" si="711"/>
        <v>0</v>
      </c>
    </row>
    <row r="11353" spans="5:23" x14ac:dyDescent="0.25">
      <c r="E11353" s="4"/>
      <c r="F11353" s="4"/>
      <c r="G11353" s="33" t="str">
        <f>IFERROR(VLOOKUP($D11353,'Informations sur les produits'!$A$3:$H$10000,8,FALSE),"0")</f>
        <v>0</v>
      </c>
      <c r="K11353" s="4"/>
      <c r="L11353" s="33" t="str">
        <f>IFERROR(VLOOKUP($J11353,'Informations sur les produits'!$A$3:$H$10000,8,FALSE),"0")</f>
        <v>0</v>
      </c>
      <c r="N11353" s="8"/>
      <c r="O11353" s="33" t="str">
        <f>IFERROR(VLOOKUP($M11353,'Informations sur les produits'!$A$3:$H$10000,8,FALSE),"0")</f>
        <v>0</v>
      </c>
      <c r="P11353" s="33">
        <f t="shared" si="708"/>
        <v>0</v>
      </c>
      <c r="Q11353" s="31" t="str">
        <f t="shared" si="709"/>
        <v/>
      </c>
      <c r="R11353" s="32" t="str">
        <f>IFERROR(VLOOKUP($D11353,'Informations sur les produits'!$A$3:$B$15000,2,FALSE),"")</f>
        <v/>
      </c>
      <c r="V11353">
        <f t="shared" si="710"/>
        <v>0</v>
      </c>
      <c r="W11353">
        <f t="shared" si="711"/>
        <v>0</v>
      </c>
    </row>
    <row r="11354" spans="5:23" x14ac:dyDescent="0.25">
      <c r="E11354" s="4"/>
      <c r="F11354" s="4"/>
      <c r="G11354" s="33" t="str">
        <f>IFERROR(VLOOKUP($D11354,'Informations sur les produits'!$A$3:$H$10000,8,FALSE),"0")</f>
        <v>0</v>
      </c>
      <c r="K11354" s="4"/>
      <c r="L11354" s="33" t="str">
        <f>IFERROR(VLOOKUP($J11354,'Informations sur les produits'!$A$3:$H$10000,8,FALSE),"0")</f>
        <v>0</v>
      </c>
      <c r="N11354" s="8"/>
      <c r="O11354" s="33" t="str">
        <f>IFERROR(VLOOKUP($M11354,'Informations sur les produits'!$A$3:$H$10000,8,FALSE),"0")</f>
        <v>0</v>
      </c>
      <c r="P11354" s="33">
        <f t="shared" si="708"/>
        <v>0</v>
      </c>
      <c r="Q11354" s="31" t="str">
        <f t="shared" si="709"/>
        <v/>
      </c>
      <c r="R11354" s="32" t="str">
        <f>IFERROR(VLOOKUP($D11354,'Informations sur les produits'!$A$3:$B$15000,2,FALSE),"")</f>
        <v/>
      </c>
      <c r="V11354">
        <f t="shared" si="710"/>
        <v>0</v>
      </c>
      <c r="W11354">
        <f t="shared" si="711"/>
        <v>0</v>
      </c>
    </row>
    <row r="11355" spans="5:23" x14ac:dyDescent="0.25">
      <c r="E11355" s="4"/>
      <c r="F11355" s="4"/>
      <c r="G11355" s="33" t="str">
        <f>IFERROR(VLOOKUP($D11355,'Informations sur les produits'!$A$3:$H$10000,8,FALSE),"0")</f>
        <v>0</v>
      </c>
      <c r="K11355" s="4"/>
      <c r="L11355" s="33" t="str">
        <f>IFERROR(VLOOKUP($J11355,'Informations sur les produits'!$A$3:$H$10000,8,FALSE),"0")</f>
        <v>0</v>
      </c>
      <c r="N11355" s="8"/>
      <c r="O11355" s="33" t="str">
        <f>IFERROR(VLOOKUP($M11355,'Informations sur les produits'!$A$3:$H$10000,8,FALSE),"0")</f>
        <v>0</v>
      </c>
      <c r="P11355" s="33">
        <f t="shared" si="708"/>
        <v>0</v>
      </c>
      <c r="Q11355" s="31" t="str">
        <f t="shared" si="709"/>
        <v/>
      </c>
      <c r="R11355" s="32" t="str">
        <f>IFERROR(VLOOKUP($D11355,'Informations sur les produits'!$A$3:$B$15000,2,FALSE),"")</f>
        <v/>
      </c>
      <c r="V11355">
        <f t="shared" si="710"/>
        <v>0</v>
      </c>
      <c r="W11355">
        <f t="shared" si="711"/>
        <v>0</v>
      </c>
    </row>
    <row r="11356" spans="5:23" x14ac:dyDescent="0.25">
      <c r="E11356" s="4"/>
      <c r="F11356" s="4"/>
      <c r="G11356" s="33" t="str">
        <f>IFERROR(VLOOKUP($D11356,'Informations sur les produits'!$A$3:$H$10000,8,FALSE),"0")</f>
        <v>0</v>
      </c>
      <c r="K11356" s="4"/>
      <c r="L11356" s="33" t="str">
        <f>IFERROR(VLOOKUP($J11356,'Informations sur les produits'!$A$3:$H$10000,8,FALSE),"0")</f>
        <v>0</v>
      </c>
      <c r="N11356" s="8"/>
      <c r="O11356" s="33" t="str">
        <f>IFERROR(VLOOKUP($M11356,'Informations sur les produits'!$A$3:$H$10000,8,FALSE),"0")</f>
        <v>0</v>
      </c>
      <c r="P11356" s="33">
        <f t="shared" si="708"/>
        <v>0</v>
      </c>
      <c r="Q11356" s="31" t="str">
        <f t="shared" si="709"/>
        <v/>
      </c>
      <c r="R11356" s="32" t="str">
        <f>IFERROR(VLOOKUP($D11356,'Informations sur les produits'!$A$3:$B$15000,2,FALSE),"")</f>
        <v/>
      </c>
      <c r="V11356">
        <f t="shared" si="710"/>
        <v>0</v>
      </c>
      <c r="W11356">
        <f t="shared" si="711"/>
        <v>0</v>
      </c>
    </row>
    <row r="11357" spans="5:23" x14ac:dyDescent="0.25">
      <c r="E11357" s="4"/>
      <c r="F11357" s="4"/>
      <c r="G11357" s="33" t="str">
        <f>IFERROR(VLOOKUP($D11357,'Informations sur les produits'!$A$3:$H$10000,8,FALSE),"0")</f>
        <v>0</v>
      </c>
      <c r="K11357" s="4"/>
      <c r="L11357" s="33" t="str">
        <f>IFERROR(VLOOKUP($J11357,'Informations sur les produits'!$A$3:$H$10000,8,FALSE),"0")</f>
        <v>0</v>
      </c>
      <c r="N11357" s="8"/>
      <c r="O11357" s="33" t="str">
        <f>IFERROR(VLOOKUP($M11357,'Informations sur les produits'!$A$3:$H$10000,8,FALSE),"0")</f>
        <v>0</v>
      </c>
      <c r="P11357" s="33">
        <f t="shared" si="708"/>
        <v>0</v>
      </c>
      <c r="Q11357" s="31" t="str">
        <f t="shared" si="709"/>
        <v/>
      </c>
      <c r="R11357" s="32" t="str">
        <f>IFERROR(VLOOKUP($D11357,'Informations sur les produits'!$A$3:$B$15000,2,FALSE),"")</f>
        <v/>
      </c>
      <c r="V11357">
        <f t="shared" si="710"/>
        <v>0</v>
      </c>
      <c r="W11357">
        <f t="shared" si="711"/>
        <v>0</v>
      </c>
    </row>
    <row r="11358" spans="5:23" x14ac:dyDescent="0.25">
      <c r="E11358" s="4"/>
      <c r="F11358" s="4"/>
      <c r="G11358" s="33" t="str">
        <f>IFERROR(VLOOKUP($D11358,'Informations sur les produits'!$A$3:$H$10000,8,FALSE),"0")</f>
        <v>0</v>
      </c>
      <c r="K11358" s="4"/>
      <c r="L11358" s="33" t="str">
        <f>IFERROR(VLOOKUP($J11358,'Informations sur les produits'!$A$3:$H$10000,8,FALSE),"0")</f>
        <v>0</v>
      </c>
      <c r="N11358" s="8"/>
      <c r="O11358" s="33" t="str">
        <f>IFERROR(VLOOKUP($M11358,'Informations sur les produits'!$A$3:$H$10000,8,FALSE),"0")</f>
        <v>0</v>
      </c>
      <c r="P11358" s="33">
        <f t="shared" si="708"/>
        <v>0</v>
      </c>
      <c r="Q11358" s="31" t="str">
        <f t="shared" si="709"/>
        <v/>
      </c>
      <c r="R11358" s="32" t="str">
        <f>IFERROR(VLOOKUP($D11358,'Informations sur les produits'!$A$3:$B$15000,2,FALSE),"")</f>
        <v/>
      </c>
      <c r="V11358">
        <f t="shared" si="710"/>
        <v>0</v>
      </c>
      <c r="W11358">
        <f t="shared" si="711"/>
        <v>0</v>
      </c>
    </row>
    <row r="11359" spans="5:23" x14ac:dyDescent="0.25">
      <c r="E11359" s="4"/>
      <c r="F11359" s="4"/>
      <c r="G11359" s="33" t="str">
        <f>IFERROR(VLOOKUP($D11359,'Informations sur les produits'!$A$3:$H$10000,8,FALSE),"0")</f>
        <v>0</v>
      </c>
      <c r="K11359" s="4"/>
      <c r="L11359" s="33" t="str">
        <f>IFERROR(VLOOKUP($J11359,'Informations sur les produits'!$A$3:$H$10000,8,FALSE),"0")</f>
        <v>0</v>
      </c>
      <c r="N11359" s="8"/>
      <c r="O11359" s="33" t="str">
        <f>IFERROR(VLOOKUP($M11359,'Informations sur les produits'!$A$3:$H$10000,8,FALSE),"0")</f>
        <v>0</v>
      </c>
      <c r="P11359" s="33">
        <f t="shared" si="708"/>
        <v>0</v>
      </c>
      <c r="Q11359" s="31" t="str">
        <f t="shared" si="709"/>
        <v/>
      </c>
      <c r="R11359" s="32" t="str">
        <f>IFERROR(VLOOKUP($D11359,'Informations sur les produits'!$A$3:$B$15000,2,FALSE),"")</f>
        <v/>
      </c>
      <c r="V11359">
        <f t="shared" si="710"/>
        <v>0</v>
      </c>
      <c r="W11359">
        <f t="shared" si="711"/>
        <v>0</v>
      </c>
    </row>
    <row r="11360" spans="5:23" x14ac:dyDescent="0.25">
      <c r="E11360" s="4"/>
      <c r="F11360" s="4"/>
      <c r="G11360" s="33" t="str">
        <f>IFERROR(VLOOKUP($D11360,'Informations sur les produits'!$A$3:$H$10000,8,FALSE),"0")</f>
        <v>0</v>
      </c>
      <c r="K11360" s="4"/>
      <c r="L11360" s="33" t="str">
        <f>IFERROR(VLOOKUP($J11360,'Informations sur les produits'!$A$3:$H$10000,8,FALSE),"0")</f>
        <v>0</v>
      </c>
      <c r="N11360" s="8"/>
      <c r="O11360" s="33" t="str">
        <f>IFERROR(VLOOKUP($M11360,'Informations sur les produits'!$A$3:$H$10000,8,FALSE),"0")</f>
        <v>0</v>
      </c>
      <c r="P11360" s="33">
        <f t="shared" si="708"/>
        <v>0</v>
      </c>
      <c r="Q11360" s="31" t="str">
        <f t="shared" si="709"/>
        <v/>
      </c>
      <c r="R11360" s="32" t="str">
        <f>IFERROR(VLOOKUP($D11360,'Informations sur les produits'!$A$3:$B$15000,2,FALSE),"")</f>
        <v/>
      </c>
      <c r="V11360">
        <f t="shared" si="710"/>
        <v>0</v>
      </c>
      <c r="W11360">
        <f t="shared" si="711"/>
        <v>0</v>
      </c>
    </row>
    <row r="11361" spans="5:23" x14ac:dyDescent="0.25">
      <c r="E11361" s="4"/>
      <c r="F11361" s="4"/>
      <c r="G11361" s="33" t="str">
        <f>IFERROR(VLOOKUP($D11361,'Informations sur les produits'!$A$3:$H$10000,8,FALSE),"0")</f>
        <v>0</v>
      </c>
      <c r="K11361" s="4"/>
      <c r="L11361" s="33" t="str">
        <f>IFERROR(VLOOKUP($J11361,'Informations sur les produits'!$A$3:$H$10000,8,FALSE),"0")</f>
        <v>0</v>
      </c>
      <c r="N11361" s="8"/>
      <c r="O11361" s="33" t="str">
        <f>IFERROR(VLOOKUP($M11361,'Informations sur les produits'!$A$3:$H$10000,8,FALSE),"0")</f>
        <v>0</v>
      </c>
      <c r="P11361" s="33">
        <f t="shared" si="708"/>
        <v>0</v>
      </c>
      <c r="Q11361" s="31" t="str">
        <f t="shared" si="709"/>
        <v/>
      </c>
      <c r="R11361" s="32" t="str">
        <f>IFERROR(VLOOKUP($D11361,'Informations sur les produits'!$A$3:$B$15000,2,FALSE),"")</f>
        <v/>
      </c>
      <c r="V11361">
        <f t="shared" si="710"/>
        <v>0</v>
      </c>
      <c r="W11361">
        <f t="shared" si="711"/>
        <v>0</v>
      </c>
    </row>
    <row r="11362" spans="5:23" x14ac:dyDescent="0.25">
      <c r="E11362" s="4"/>
      <c r="F11362" s="4"/>
      <c r="G11362" s="33" t="str">
        <f>IFERROR(VLOOKUP($D11362,'Informations sur les produits'!$A$3:$H$10000,8,FALSE),"0")</f>
        <v>0</v>
      </c>
      <c r="K11362" s="4"/>
      <c r="L11362" s="33" t="str">
        <f>IFERROR(VLOOKUP($J11362,'Informations sur les produits'!$A$3:$H$10000,8,FALSE),"0")</f>
        <v>0</v>
      </c>
      <c r="N11362" s="8"/>
      <c r="O11362" s="33" t="str">
        <f>IFERROR(VLOOKUP($M11362,'Informations sur les produits'!$A$3:$H$10000,8,FALSE),"0")</f>
        <v>0</v>
      </c>
      <c r="P11362" s="33">
        <f t="shared" si="708"/>
        <v>0</v>
      </c>
      <c r="Q11362" s="31" t="str">
        <f t="shared" si="709"/>
        <v/>
      </c>
      <c r="R11362" s="32" t="str">
        <f>IFERROR(VLOOKUP($D11362,'Informations sur les produits'!$A$3:$B$15000,2,FALSE),"")</f>
        <v/>
      </c>
      <c r="V11362">
        <f t="shared" si="710"/>
        <v>0</v>
      </c>
      <c r="W11362">
        <f t="shared" si="711"/>
        <v>0</v>
      </c>
    </row>
    <row r="11363" spans="5:23" x14ac:dyDescent="0.25">
      <c r="E11363" s="4"/>
      <c r="F11363" s="4"/>
      <c r="G11363" s="33" t="str">
        <f>IFERROR(VLOOKUP($D11363,'Informations sur les produits'!$A$3:$H$10000,8,FALSE),"0")</f>
        <v>0</v>
      </c>
      <c r="K11363" s="4"/>
      <c r="L11363" s="33" t="str">
        <f>IFERROR(VLOOKUP($J11363,'Informations sur les produits'!$A$3:$H$10000,8,FALSE),"0")</f>
        <v>0</v>
      </c>
      <c r="N11363" s="8"/>
      <c r="O11363" s="33" t="str">
        <f>IFERROR(VLOOKUP($M11363,'Informations sur les produits'!$A$3:$H$10000,8,FALSE),"0")</f>
        <v>0</v>
      </c>
      <c r="P11363" s="33">
        <f t="shared" si="708"/>
        <v>0</v>
      </c>
      <c r="Q11363" s="31" t="str">
        <f t="shared" si="709"/>
        <v/>
      </c>
      <c r="R11363" s="32" t="str">
        <f>IFERROR(VLOOKUP($D11363,'Informations sur les produits'!$A$3:$B$15000,2,FALSE),"")</f>
        <v/>
      </c>
      <c r="V11363">
        <f t="shared" si="710"/>
        <v>0</v>
      </c>
      <c r="W11363">
        <f t="shared" si="711"/>
        <v>0</v>
      </c>
    </row>
    <row r="11364" spans="5:23" x14ac:dyDescent="0.25">
      <c r="E11364" s="4"/>
      <c r="F11364" s="4"/>
      <c r="G11364" s="33" t="str">
        <f>IFERROR(VLOOKUP($D11364,'Informations sur les produits'!$A$3:$H$10000,8,FALSE),"0")</f>
        <v>0</v>
      </c>
      <c r="K11364" s="4"/>
      <c r="L11364" s="33" t="str">
        <f>IFERROR(VLOOKUP($J11364,'Informations sur les produits'!$A$3:$H$10000,8,FALSE),"0")</f>
        <v>0</v>
      </c>
      <c r="N11364" s="8"/>
      <c r="O11364" s="33" t="str">
        <f>IFERROR(VLOOKUP($M11364,'Informations sur les produits'!$A$3:$H$10000,8,FALSE),"0")</f>
        <v>0</v>
      </c>
      <c r="P11364" s="33">
        <f t="shared" si="708"/>
        <v>0</v>
      </c>
      <c r="Q11364" s="31" t="str">
        <f t="shared" si="709"/>
        <v/>
      </c>
      <c r="R11364" s="32" t="str">
        <f>IFERROR(VLOOKUP($D11364,'Informations sur les produits'!$A$3:$B$15000,2,FALSE),"")</f>
        <v/>
      </c>
      <c r="V11364">
        <f t="shared" si="710"/>
        <v>0</v>
      </c>
      <c r="W11364">
        <f t="shared" si="711"/>
        <v>0</v>
      </c>
    </row>
    <row r="11365" spans="5:23" x14ac:dyDescent="0.25">
      <c r="E11365" s="4"/>
      <c r="F11365" s="4"/>
      <c r="G11365" s="33" t="str">
        <f>IFERROR(VLOOKUP($D11365,'Informations sur les produits'!$A$3:$H$10000,8,FALSE),"0")</f>
        <v>0</v>
      </c>
      <c r="K11365" s="4"/>
      <c r="L11365" s="33" t="str">
        <f>IFERROR(VLOOKUP($J11365,'Informations sur les produits'!$A$3:$H$10000,8,FALSE),"0")</f>
        <v>0</v>
      </c>
      <c r="N11365" s="8"/>
      <c r="O11365" s="33" t="str">
        <f>IFERROR(VLOOKUP($M11365,'Informations sur les produits'!$A$3:$H$10000,8,FALSE),"0")</f>
        <v>0</v>
      </c>
      <c r="P11365" s="33">
        <f t="shared" si="708"/>
        <v>0</v>
      </c>
      <c r="Q11365" s="31" t="str">
        <f t="shared" si="709"/>
        <v/>
      </c>
      <c r="R11365" s="32" t="str">
        <f>IFERROR(VLOOKUP($D11365,'Informations sur les produits'!$A$3:$B$15000,2,FALSE),"")</f>
        <v/>
      </c>
      <c r="V11365">
        <f t="shared" si="710"/>
        <v>0</v>
      </c>
      <c r="W11365">
        <f t="shared" si="711"/>
        <v>0</v>
      </c>
    </row>
    <row r="11366" spans="5:23" x14ac:dyDescent="0.25">
      <c r="E11366" s="4"/>
      <c r="F11366" s="4"/>
      <c r="G11366" s="33" t="str">
        <f>IFERROR(VLOOKUP($D11366,'Informations sur les produits'!$A$3:$H$10000,8,FALSE),"0")</f>
        <v>0</v>
      </c>
      <c r="K11366" s="4"/>
      <c r="L11366" s="33" t="str">
        <f>IFERROR(VLOOKUP($J11366,'Informations sur les produits'!$A$3:$H$10000,8,FALSE),"0")</f>
        <v>0</v>
      </c>
      <c r="N11366" s="8"/>
      <c r="O11366" s="33" t="str">
        <f>IFERROR(VLOOKUP($M11366,'Informations sur les produits'!$A$3:$H$10000,8,FALSE),"0")</f>
        <v>0</v>
      </c>
      <c r="P11366" s="33">
        <f t="shared" si="708"/>
        <v>0</v>
      </c>
      <c r="Q11366" s="31" t="str">
        <f t="shared" si="709"/>
        <v/>
      </c>
      <c r="R11366" s="32" t="str">
        <f>IFERROR(VLOOKUP($D11366,'Informations sur les produits'!$A$3:$B$15000,2,FALSE),"")</f>
        <v/>
      </c>
      <c r="V11366">
        <f t="shared" si="710"/>
        <v>0</v>
      </c>
      <c r="W11366">
        <f t="shared" si="711"/>
        <v>0</v>
      </c>
    </row>
    <row r="11367" spans="5:23" x14ac:dyDescent="0.25">
      <c r="E11367" s="4"/>
      <c r="F11367" s="4"/>
      <c r="G11367" s="33" t="str">
        <f>IFERROR(VLOOKUP($D11367,'Informations sur les produits'!$A$3:$H$10000,8,FALSE),"0")</f>
        <v>0</v>
      </c>
      <c r="K11367" s="4"/>
      <c r="L11367" s="33" t="str">
        <f>IFERROR(VLOOKUP($J11367,'Informations sur les produits'!$A$3:$H$10000,8,FALSE),"0")</f>
        <v>0</v>
      </c>
      <c r="N11367" s="8"/>
      <c r="O11367" s="33" t="str">
        <f>IFERROR(VLOOKUP($M11367,'Informations sur les produits'!$A$3:$H$10000,8,FALSE),"0")</f>
        <v>0</v>
      </c>
      <c r="P11367" s="33">
        <f t="shared" si="708"/>
        <v>0</v>
      </c>
      <c r="Q11367" s="31" t="str">
        <f t="shared" si="709"/>
        <v/>
      </c>
      <c r="R11367" s="32" t="str">
        <f>IFERROR(VLOOKUP($D11367,'Informations sur les produits'!$A$3:$B$15000,2,FALSE),"")</f>
        <v/>
      </c>
      <c r="V11367">
        <f t="shared" si="710"/>
        <v>0</v>
      </c>
      <c r="W11367">
        <f t="shared" si="711"/>
        <v>0</v>
      </c>
    </row>
    <row r="11368" spans="5:23" x14ac:dyDescent="0.25">
      <c r="E11368" s="4"/>
      <c r="F11368" s="4"/>
      <c r="G11368" s="33" t="str">
        <f>IFERROR(VLOOKUP($D11368,'Informations sur les produits'!$A$3:$H$10000,8,FALSE),"0")</f>
        <v>0</v>
      </c>
      <c r="K11368" s="4"/>
      <c r="L11368" s="33" t="str">
        <f>IFERROR(VLOOKUP($J11368,'Informations sur les produits'!$A$3:$H$10000,8,FALSE),"0")</f>
        <v>0</v>
      </c>
      <c r="N11368" s="8"/>
      <c r="O11368" s="33" t="str">
        <f>IFERROR(VLOOKUP($M11368,'Informations sur les produits'!$A$3:$H$10000,8,FALSE),"0")</f>
        <v>0</v>
      </c>
      <c r="P11368" s="33">
        <f t="shared" si="708"/>
        <v>0</v>
      </c>
      <c r="Q11368" s="31" t="str">
        <f t="shared" si="709"/>
        <v/>
      </c>
      <c r="R11368" s="32" t="str">
        <f>IFERROR(VLOOKUP($D11368,'Informations sur les produits'!$A$3:$B$15000,2,FALSE),"")</f>
        <v/>
      </c>
      <c r="V11368">
        <f t="shared" si="710"/>
        <v>0</v>
      </c>
      <c r="W11368">
        <f t="shared" si="711"/>
        <v>0</v>
      </c>
    </row>
    <row r="11369" spans="5:23" x14ac:dyDescent="0.25">
      <c r="E11369" s="4"/>
      <c r="F11369" s="4"/>
      <c r="G11369" s="33" t="str">
        <f>IFERROR(VLOOKUP($D11369,'Informations sur les produits'!$A$3:$H$10000,8,FALSE),"0")</f>
        <v>0</v>
      </c>
      <c r="K11369" s="4"/>
      <c r="L11369" s="33" t="str">
        <f>IFERROR(VLOOKUP($J11369,'Informations sur les produits'!$A$3:$H$10000,8,FALSE),"0")</f>
        <v>0</v>
      </c>
      <c r="N11369" s="8"/>
      <c r="O11369" s="33" t="str">
        <f>IFERROR(VLOOKUP($M11369,'Informations sur les produits'!$A$3:$H$10000,8,FALSE),"0")</f>
        <v>0</v>
      </c>
      <c r="P11369" s="33">
        <f t="shared" si="708"/>
        <v>0</v>
      </c>
      <c r="Q11369" s="31" t="str">
        <f t="shared" si="709"/>
        <v/>
      </c>
      <c r="R11369" s="32" t="str">
        <f>IFERROR(VLOOKUP($D11369,'Informations sur les produits'!$A$3:$B$15000,2,FALSE),"")</f>
        <v/>
      </c>
      <c r="V11369">
        <f t="shared" si="710"/>
        <v>0</v>
      </c>
      <c r="W11369">
        <f t="shared" si="711"/>
        <v>0</v>
      </c>
    </row>
    <row r="11370" spans="5:23" x14ac:dyDescent="0.25">
      <c r="E11370" s="4"/>
      <c r="F11370" s="4"/>
      <c r="G11370" s="33" t="str">
        <f>IFERROR(VLOOKUP($D11370,'Informations sur les produits'!$A$3:$H$10000,8,FALSE),"0")</f>
        <v>0</v>
      </c>
      <c r="K11370" s="4"/>
      <c r="L11370" s="33" t="str">
        <f>IFERROR(VLOOKUP($J11370,'Informations sur les produits'!$A$3:$H$10000,8,FALSE),"0")</f>
        <v>0</v>
      </c>
      <c r="N11370" s="8"/>
      <c r="O11370" s="33" t="str">
        <f>IFERROR(VLOOKUP($M11370,'Informations sur les produits'!$A$3:$H$10000,8,FALSE),"0")</f>
        <v>0</v>
      </c>
      <c r="P11370" s="33">
        <f t="shared" si="708"/>
        <v>0</v>
      </c>
      <c r="Q11370" s="31" t="str">
        <f t="shared" si="709"/>
        <v/>
      </c>
      <c r="R11370" s="32" t="str">
        <f>IFERROR(VLOOKUP($D11370,'Informations sur les produits'!$A$3:$B$15000,2,FALSE),"")</f>
        <v/>
      </c>
      <c r="V11370">
        <f t="shared" si="710"/>
        <v>0</v>
      </c>
      <c r="W11370">
        <f t="shared" si="711"/>
        <v>0</v>
      </c>
    </row>
    <row r="11371" spans="5:23" x14ac:dyDescent="0.25">
      <c r="E11371" s="4"/>
      <c r="F11371" s="4"/>
      <c r="G11371" s="33" t="str">
        <f>IFERROR(VLOOKUP($D11371,'Informations sur les produits'!$A$3:$H$10000,8,FALSE),"0")</f>
        <v>0</v>
      </c>
      <c r="K11371" s="4"/>
      <c r="L11371" s="33" t="str">
        <f>IFERROR(VLOOKUP($J11371,'Informations sur les produits'!$A$3:$H$10000,8,FALSE),"0")</f>
        <v>0</v>
      </c>
      <c r="N11371" s="8"/>
      <c r="O11371" s="33" t="str">
        <f>IFERROR(VLOOKUP($M11371,'Informations sur les produits'!$A$3:$H$10000,8,FALSE),"0")</f>
        <v>0</v>
      </c>
      <c r="P11371" s="33">
        <f t="shared" si="708"/>
        <v>0</v>
      </c>
      <c r="Q11371" s="31" t="str">
        <f t="shared" si="709"/>
        <v/>
      </c>
      <c r="R11371" s="32" t="str">
        <f>IFERROR(VLOOKUP($D11371,'Informations sur les produits'!$A$3:$B$15000,2,FALSE),"")</f>
        <v/>
      </c>
      <c r="V11371">
        <f t="shared" si="710"/>
        <v>0</v>
      </c>
      <c r="W11371">
        <f t="shared" si="711"/>
        <v>0</v>
      </c>
    </row>
    <row r="11372" spans="5:23" x14ac:dyDescent="0.25">
      <c r="E11372" s="4"/>
      <c r="F11372" s="4"/>
      <c r="G11372" s="33" t="str">
        <f>IFERROR(VLOOKUP($D11372,'Informations sur les produits'!$A$3:$H$10000,8,FALSE),"0")</f>
        <v>0</v>
      </c>
      <c r="K11372" s="4"/>
      <c r="L11372" s="33" t="str">
        <f>IFERROR(VLOOKUP($J11372,'Informations sur les produits'!$A$3:$H$10000,8,FALSE),"0")</f>
        <v>0</v>
      </c>
      <c r="N11372" s="8"/>
      <c r="O11372" s="33" t="str">
        <f>IFERROR(VLOOKUP($M11372,'Informations sur les produits'!$A$3:$H$10000,8,FALSE),"0")</f>
        <v>0</v>
      </c>
      <c r="P11372" s="33">
        <f t="shared" si="708"/>
        <v>0</v>
      </c>
      <c r="Q11372" s="31" t="str">
        <f t="shared" si="709"/>
        <v/>
      </c>
      <c r="R11372" s="32" t="str">
        <f>IFERROR(VLOOKUP($D11372,'Informations sur les produits'!$A$3:$B$15000,2,FALSE),"")</f>
        <v/>
      </c>
      <c r="V11372">
        <f t="shared" si="710"/>
        <v>0</v>
      </c>
      <c r="W11372">
        <f t="shared" si="711"/>
        <v>0</v>
      </c>
    </row>
    <row r="11373" spans="5:23" x14ac:dyDescent="0.25">
      <c r="E11373" s="4"/>
      <c r="F11373" s="4"/>
      <c r="G11373" s="33" t="str">
        <f>IFERROR(VLOOKUP($D11373,'Informations sur les produits'!$A$3:$H$10000,8,FALSE),"0")</f>
        <v>0</v>
      </c>
      <c r="K11373" s="4"/>
      <c r="L11373" s="33" t="str">
        <f>IFERROR(VLOOKUP($J11373,'Informations sur les produits'!$A$3:$H$10000,8,FALSE),"0")</f>
        <v>0</v>
      </c>
      <c r="N11373" s="8"/>
      <c r="O11373" s="33" t="str">
        <f>IFERROR(VLOOKUP($M11373,'Informations sur les produits'!$A$3:$H$10000,8,FALSE),"0")</f>
        <v>0</v>
      </c>
      <c r="P11373" s="33">
        <f t="shared" si="708"/>
        <v>0</v>
      </c>
      <c r="Q11373" s="31" t="str">
        <f t="shared" si="709"/>
        <v/>
      </c>
      <c r="R11373" s="32" t="str">
        <f>IFERROR(VLOOKUP($D11373,'Informations sur les produits'!$A$3:$B$15000,2,FALSE),"")</f>
        <v/>
      </c>
      <c r="V11373">
        <f t="shared" si="710"/>
        <v>0</v>
      </c>
      <c r="W11373">
        <f t="shared" si="711"/>
        <v>0</v>
      </c>
    </row>
    <row r="11374" spans="5:23" x14ac:dyDescent="0.25">
      <c r="E11374" s="4"/>
      <c r="F11374" s="4"/>
      <c r="G11374" s="33" t="str">
        <f>IFERROR(VLOOKUP($D11374,'Informations sur les produits'!$A$3:$H$10000,8,FALSE),"0")</f>
        <v>0</v>
      </c>
      <c r="K11374" s="4"/>
      <c r="L11374" s="33" t="str">
        <f>IFERROR(VLOOKUP($J11374,'Informations sur les produits'!$A$3:$H$10000,8,FALSE),"0")</f>
        <v>0</v>
      </c>
      <c r="N11374" s="8"/>
      <c r="O11374" s="33" t="str">
        <f>IFERROR(VLOOKUP($M11374,'Informations sur les produits'!$A$3:$H$10000,8,FALSE),"0")</f>
        <v>0</v>
      </c>
      <c r="P11374" s="33">
        <f t="shared" si="708"/>
        <v>0</v>
      </c>
      <c r="Q11374" s="31" t="str">
        <f t="shared" si="709"/>
        <v/>
      </c>
      <c r="R11374" s="32" t="str">
        <f>IFERROR(VLOOKUP($D11374,'Informations sur les produits'!$A$3:$B$15000,2,FALSE),"")</f>
        <v/>
      </c>
      <c r="V11374">
        <f t="shared" si="710"/>
        <v>0</v>
      </c>
      <c r="W11374">
        <f t="shared" si="711"/>
        <v>0</v>
      </c>
    </row>
    <row r="11375" spans="5:23" x14ac:dyDescent="0.25">
      <c r="E11375" s="4"/>
      <c r="F11375" s="4"/>
      <c r="G11375" s="33" t="str">
        <f>IFERROR(VLOOKUP($D11375,'Informations sur les produits'!$A$3:$H$10000,8,FALSE),"0")</f>
        <v>0</v>
      </c>
      <c r="K11375" s="4"/>
      <c r="L11375" s="33" t="str">
        <f>IFERROR(VLOOKUP($J11375,'Informations sur les produits'!$A$3:$H$10000,8,FALSE),"0")</f>
        <v>0</v>
      </c>
      <c r="N11375" s="8"/>
      <c r="O11375" s="33" t="str">
        <f>IFERROR(VLOOKUP($M11375,'Informations sur les produits'!$A$3:$H$10000,8,FALSE),"0")</f>
        <v>0</v>
      </c>
      <c r="P11375" s="33">
        <f t="shared" si="708"/>
        <v>0</v>
      </c>
      <c r="Q11375" s="31" t="str">
        <f t="shared" si="709"/>
        <v/>
      </c>
      <c r="R11375" s="32" t="str">
        <f>IFERROR(VLOOKUP($D11375,'Informations sur les produits'!$A$3:$B$15000,2,FALSE),"")</f>
        <v/>
      </c>
      <c r="V11375">
        <f t="shared" si="710"/>
        <v>0</v>
      </c>
      <c r="W11375">
        <f t="shared" si="711"/>
        <v>0</v>
      </c>
    </row>
    <row r="11376" spans="5:23" x14ac:dyDescent="0.25">
      <c r="E11376" s="4"/>
      <c r="F11376" s="4"/>
      <c r="G11376" s="33" t="str">
        <f>IFERROR(VLOOKUP($D11376,'Informations sur les produits'!$A$3:$H$10000,8,FALSE),"0")</f>
        <v>0</v>
      </c>
      <c r="K11376" s="4"/>
      <c r="L11376" s="33" t="str">
        <f>IFERROR(VLOOKUP($J11376,'Informations sur les produits'!$A$3:$H$10000,8,FALSE),"0")</f>
        <v>0</v>
      </c>
      <c r="N11376" s="8"/>
      <c r="O11376" s="33" t="str">
        <f>IFERROR(VLOOKUP($M11376,'Informations sur les produits'!$A$3:$H$10000,8,FALSE),"0")</f>
        <v>0</v>
      </c>
      <c r="P11376" s="33">
        <f t="shared" si="708"/>
        <v>0</v>
      </c>
      <c r="Q11376" s="31" t="str">
        <f t="shared" si="709"/>
        <v/>
      </c>
      <c r="R11376" s="32" t="str">
        <f>IFERROR(VLOOKUP($D11376,'Informations sur les produits'!$A$3:$B$15000,2,FALSE),"")</f>
        <v/>
      </c>
      <c r="V11376">
        <f t="shared" si="710"/>
        <v>0</v>
      </c>
      <c r="W11376">
        <f t="shared" si="711"/>
        <v>0</v>
      </c>
    </row>
    <row r="11377" spans="5:23" x14ac:dyDescent="0.25">
      <c r="E11377" s="4"/>
      <c r="F11377" s="4"/>
      <c r="G11377" s="33" t="str">
        <f>IFERROR(VLOOKUP($D11377,'Informations sur les produits'!$A$3:$H$10000,8,FALSE),"0")</f>
        <v>0</v>
      </c>
      <c r="K11377" s="4"/>
      <c r="L11377" s="33" t="str">
        <f>IFERROR(VLOOKUP($J11377,'Informations sur les produits'!$A$3:$H$10000,8,FALSE),"0")</f>
        <v>0</v>
      </c>
      <c r="N11377" s="8"/>
      <c r="O11377" s="33" t="str">
        <f>IFERROR(VLOOKUP($M11377,'Informations sur les produits'!$A$3:$H$10000,8,FALSE),"0")</f>
        <v>0</v>
      </c>
      <c r="P11377" s="33">
        <f t="shared" si="708"/>
        <v>0</v>
      </c>
      <c r="Q11377" s="31" t="str">
        <f t="shared" si="709"/>
        <v/>
      </c>
      <c r="R11377" s="32" t="str">
        <f>IFERROR(VLOOKUP($D11377,'Informations sur les produits'!$A$3:$B$15000,2,FALSE),"")</f>
        <v/>
      </c>
      <c r="V11377">
        <f t="shared" si="710"/>
        <v>0</v>
      </c>
      <c r="W11377">
        <f t="shared" si="711"/>
        <v>0</v>
      </c>
    </row>
    <row r="11378" spans="5:23" x14ac:dyDescent="0.25">
      <c r="E11378" s="4"/>
      <c r="F11378" s="4"/>
      <c r="G11378" s="33" t="str">
        <f>IFERROR(VLOOKUP($D11378,'Informations sur les produits'!$A$3:$H$10000,8,FALSE),"0")</f>
        <v>0</v>
      </c>
      <c r="K11378" s="4"/>
      <c r="L11378" s="33" t="str">
        <f>IFERROR(VLOOKUP($J11378,'Informations sur les produits'!$A$3:$H$10000,8,FALSE),"0")</f>
        <v>0</v>
      </c>
      <c r="N11378" s="8"/>
      <c r="O11378" s="33" t="str">
        <f>IFERROR(VLOOKUP($M11378,'Informations sur les produits'!$A$3:$H$10000,8,FALSE),"0")</f>
        <v>0</v>
      </c>
      <c r="P11378" s="33">
        <f t="shared" si="708"/>
        <v>0</v>
      </c>
      <c r="Q11378" s="31" t="str">
        <f t="shared" si="709"/>
        <v/>
      </c>
      <c r="R11378" s="32" t="str">
        <f>IFERROR(VLOOKUP($D11378,'Informations sur les produits'!$A$3:$B$15000,2,FALSE),"")</f>
        <v/>
      </c>
      <c r="V11378">
        <f t="shared" si="710"/>
        <v>0</v>
      </c>
      <c r="W11378">
        <f t="shared" si="711"/>
        <v>0</v>
      </c>
    </row>
    <row r="11379" spans="5:23" x14ac:dyDescent="0.25">
      <c r="E11379" s="4"/>
      <c r="F11379" s="4"/>
      <c r="G11379" s="33" t="str">
        <f>IFERROR(VLOOKUP($D11379,'Informations sur les produits'!$A$3:$H$10000,8,FALSE),"0")</f>
        <v>0</v>
      </c>
      <c r="K11379" s="4"/>
      <c r="L11379" s="33" t="str">
        <f>IFERROR(VLOOKUP($J11379,'Informations sur les produits'!$A$3:$H$10000,8,FALSE),"0")</f>
        <v>0</v>
      </c>
      <c r="N11379" s="8"/>
      <c r="O11379" s="33" t="str">
        <f>IFERROR(VLOOKUP($M11379,'Informations sur les produits'!$A$3:$H$10000,8,FALSE),"0")</f>
        <v>0</v>
      </c>
      <c r="P11379" s="33">
        <f t="shared" si="708"/>
        <v>0</v>
      </c>
      <c r="Q11379" s="31" t="str">
        <f t="shared" si="709"/>
        <v/>
      </c>
      <c r="R11379" s="32" t="str">
        <f>IFERROR(VLOOKUP($D11379,'Informations sur les produits'!$A$3:$B$15000,2,FALSE),"")</f>
        <v/>
      </c>
      <c r="V11379">
        <f t="shared" si="710"/>
        <v>0</v>
      </c>
      <c r="W11379">
        <f t="shared" si="711"/>
        <v>0</v>
      </c>
    </row>
    <row r="11380" spans="5:23" x14ac:dyDescent="0.25">
      <c r="E11380" s="4"/>
      <c r="F11380" s="4"/>
      <c r="G11380" s="33" t="str">
        <f>IFERROR(VLOOKUP($D11380,'Informations sur les produits'!$A$3:$H$10000,8,FALSE),"0")</f>
        <v>0</v>
      </c>
      <c r="K11380" s="4"/>
      <c r="L11380" s="33" t="str">
        <f>IFERROR(VLOOKUP($J11380,'Informations sur les produits'!$A$3:$H$10000,8,FALSE),"0")</f>
        <v>0</v>
      </c>
      <c r="N11380" s="8"/>
      <c r="O11380" s="33" t="str">
        <f>IFERROR(VLOOKUP($M11380,'Informations sur les produits'!$A$3:$H$10000,8,FALSE),"0")</f>
        <v>0</v>
      </c>
      <c r="P11380" s="33">
        <f t="shared" si="708"/>
        <v>0</v>
      </c>
      <c r="Q11380" s="31" t="str">
        <f t="shared" si="709"/>
        <v/>
      </c>
      <c r="R11380" s="32" t="str">
        <f>IFERROR(VLOOKUP($D11380,'Informations sur les produits'!$A$3:$B$15000,2,FALSE),"")</f>
        <v/>
      </c>
      <c r="V11380">
        <f t="shared" si="710"/>
        <v>0</v>
      </c>
      <c r="W11380">
        <f t="shared" si="711"/>
        <v>0</v>
      </c>
    </row>
    <row r="11381" spans="5:23" x14ac:dyDescent="0.25">
      <c r="E11381" s="4"/>
      <c r="F11381" s="4"/>
      <c r="G11381" s="33" t="str">
        <f>IFERROR(VLOOKUP($D11381,'Informations sur les produits'!$A$3:$H$10000,8,FALSE),"0")</f>
        <v>0</v>
      </c>
      <c r="K11381" s="4"/>
      <c r="L11381" s="33" t="str">
        <f>IFERROR(VLOOKUP($J11381,'Informations sur les produits'!$A$3:$H$10000,8,FALSE),"0")</f>
        <v>0</v>
      </c>
      <c r="N11381" s="8"/>
      <c r="O11381" s="33" t="str">
        <f>IFERROR(VLOOKUP($M11381,'Informations sur les produits'!$A$3:$H$10000,8,FALSE),"0")</f>
        <v>0</v>
      </c>
      <c r="P11381" s="33">
        <f t="shared" si="708"/>
        <v>0</v>
      </c>
      <c r="Q11381" s="31" t="str">
        <f t="shared" si="709"/>
        <v/>
      </c>
      <c r="R11381" s="32" t="str">
        <f>IFERROR(VLOOKUP($D11381,'Informations sur les produits'!$A$3:$B$15000,2,FALSE),"")</f>
        <v/>
      </c>
      <c r="V11381">
        <f t="shared" si="710"/>
        <v>0</v>
      </c>
      <c r="W11381">
        <f t="shared" si="711"/>
        <v>0</v>
      </c>
    </row>
    <row r="11382" spans="5:23" x14ac:dyDescent="0.25">
      <c r="E11382" s="4"/>
      <c r="F11382" s="4"/>
      <c r="G11382" s="33" t="str">
        <f>IFERROR(VLOOKUP($D11382,'Informations sur les produits'!$A$3:$H$10000,8,FALSE),"0")</f>
        <v>0</v>
      </c>
      <c r="K11382" s="4"/>
      <c r="L11382" s="33" t="str">
        <f>IFERROR(VLOOKUP($J11382,'Informations sur les produits'!$A$3:$H$10000,8,FALSE),"0")</f>
        <v>0</v>
      </c>
      <c r="N11382" s="8"/>
      <c r="O11382" s="33" t="str">
        <f>IFERROR(VLOOKUP($M11382,'Informations sur les produits'!$A$3:$H$10000,8,FALSE),"0")</f>
        <v>0</v>
      </c>
      <c r="P11382" s="33">
        <f t="shared" si="708"/>
        <v>0</v>
      </c>
      <c r="Q11382" s="31" t="str">
        <f t="shared" si="709"/>
        <v/>
      </c>
      <c r="R11382" s="32" t="str">
        <f>IFERROR(VLOOKUP($D11382,'Informations sur les produits'!$A$3:$B$15000,2,FALSE),"")</f>
        <v/>
      </c>
      <c r="V11382">
        <f t="shared" si="710"/>
        <v>0</v>
      </c>
      <c r="W11382">
        <f t="shared" si="711"/>
        <v>0</v>
      </c>
    </row>
    <row r="11383" spans="5:23" x14ac:dyDescent="0.25">
      <c r="E11383" s="4"/>
      <c r="F11383" s="4"/>
      <c r="G11383" s="33" t="str">
        <f>IFERROR(VLOOKUP($D11383,'Informations sur les produits'!$A$3:$H$10000,8,FALSE),"0")</f>
        <v>0</v>
      </c>
      <c r="K11383" s="4"/>
      <c r="L11383" s="33" t="str">
        <f>IFERROR(VLOOKUP($J11383,'Informations sur les produits'!$A$3:$H$10000,8,FALSE),"0")</f>
        <v>0</v>
      </c>
      <c r="N11383" s="8"/>
      <c r="O11383" s="33" t="str">
        <f>IFERROR(VLOOKUP($M11383,'Informations sur les produits'!$A$3:$H$10000,8,FALSE),"0")</f>
        <v>0</v>
      </c>
      <c r="P11383" s="33">
        <f t="shared" si="708"/>
        <v>0</v>
      </c>
      <c r="Q11383" s="31" t="str">
        <f t="shared" si="709"/>
        <v/>
      </c>
      <c r="R11383" s="32" t="str">
        <f>IFERROR(VLOOKUP($D11383,'Informations sur les produits'!$A$3:$B$15000,2,FALSE),"")</f>
        <v/>
      </c>
      <c r="V11383">
        <f t="shared" si="710"/>
        <v>0</v>
      </c>
      <c r="W11383">
        <f t="shared" si="711"/>
        <v>0</v>
      </c>
    </row>
    <row r="11384" spans="5:23" x14ac:dyDescent="0.25">
      <c r="E11384" s="4"/>
      <c r="F11384" s="4"/>
      <c r="G11384" s="33" t="str">
        <f>IFERROR(VLOOKUP($D11384,'Informations sur les produits'!$A$3:$H$10000,8,FALSE),"0")</f>
        <v>0</v>
      </c>
      <c r="K11384" s="4"/>
      <c r="L11384" s="33" t="str">
        <f>IFERROR(VLOOKUP($J11384,'Informations sur les produits'!$A$3:$H$10000,8,FALSE),"0")</f>
        <v>0</v>
      </c>
      <c r="N11384" s="8"/>
      <c r="O11384" s="33" t="str">
        <f>IFERROR(VLOOKUP($M11384,'Informations sur les produits'!$A$3:$H$10000,8,FALSE),"0")</f>
        <v>0</v>
      </c>
      <c r="P11384" s="33">
        <f t="shared" si="708"/>
        <v>0</v>
      </c>
      <c r="Q11384" s="31" t="str">
        <f t="shared" si="709"/>
        <v/>
      </c>
      <c r="R11384" s="32" t="str">
        <f>IFERROR(VLOOKUP($D11384,'Informations sur les produits'!$A$3:$B$15000,2,FALSE),"")</f>
        <v/>
      </c>
      <c r="V11384">
        <f t="shared" si="710"/>
        <v>0</v>
      </c>
      <c r="W11384">
        <f t="shared" si="711"/>
        <v>0</v>
      </c>
    </row>
    <row r="11385" spans="5:23" x14ac:dyDescent="0.25">
      <c r="E11385" s="4"/>
      <c r="F11385" s="4"/>
      <c r="G11385" s="33" t="str">
        <f>IFERROR(VLOOKUP($D11385,'Informations sur les produits'!$A$3:$H$10000,8,FALSE),"0")</f>
        <v>0</v>
      </c>
      <c r="K11385" s="4"/>
      <c r="L11385" s="33" t="str">
        <f>IFERROR(VLOOKUP($J11385,'Informations sur les produits'!$A$3:$H$10000,8,FALSE),"0")</f>
        <v>0</v>
      </c>
      <c r="N11385" s="8"/>
      <c r="O11385" s="33" t="str">
        <f>IFERROR(VLOOKUP($M11385,'Informations sur les produits'!$A$3:$H$10000,8,FALSE),"0")</f>
        <v>0</v>
      </c>
      <c r="P11385" s="33">
        <f t="shared" si="708"/>
        <v>0</v>
      </c>
      <c r="Q11385" s="31" t="str">
        <f t="shared" si="709"/>
        <v/>
      </c>
      <c r="R11385" s="32" t="str">
        <f>IFERROR(VLOOKUP($D11385,'Informations sur les produits'!$A$3:$B$15000,2,FALSE),"")</f>
        <v/>
      </c>
      <c r="V11385">
        <f t="shared" si="710"/>
        <v>0</v>
      </c>
      <c r="W11385">
        <f t="shared" si="711"/>
        <v>0</v>
      </c>
    </row>
    <row r="11386" spans="5:23" x14ac:dyDescent="0.25">
      <c r="E11386" s="4"/>
      <c r="F11386" s="4"/>
      <c r="G11386" s="33" t="str">
        <f>IFERROR(VLOOKUP($D11386,'Informations sur les produits'!$A$3:$H$10000,8,FALSE),"0")</f>
        <v>0</v>
      </c>
      <c r="K11386" s="4"/>
      <c r="L11386" s="33" t="str">
        <f>IFERROR(VLOOKUP($J11386,'Informations sur les produits'!$A$3:$H$10000,8,FALSE),"0")</f>
        <v>0</v>
      </c>
      <c r="N11386" s="8"/>
      <c r="O11386" s="33" t="str">
        <f>IFERROR(VLOOKUP($M11386,'Informations sur les produits'!$A$3:$H$10000,8,FALSE),"0")</f>
        <v>0</v>
      </c>
      <c r="P11386" s="33">
        <f t="shared" si="708"/>
        <v>0</v>
      </c>
      <c r="Q11386" s="31" t="str">
        <f t="shared" si="709"/>
        <v/>
      </c>
      <c r="R11386" s="32" t="str">
        <f>IFERROR(VLOOKUP($D11386,'Informations sur les produits'!$A$3:$B$15000,2,FALSE),"")</f>
        <v/>
      </c>
      <c r="V11386">
        <f t="shared" si="710"/>
        <v>0</v>
      </c>
      <c r="W11386">
        <f t="shared" si="711"/>
        <v>0</v>
      </c>
    </row>
    <row r="11387" spans="5:23" x14ac:dyDescent="0.25">
      <c r="E11387" s="4"/>
      <c r="F11387" s="4"/>
      <c r="G11387" s="33" t="str">
        <f>IFERROR(VLOOKUP($D11387,'Informations sur les produits'!$A$3:$H$10000,8,FALSE),"0")</f>
        <v>0</v>
      </c>
      <c r="K11387" s="4"/>
      <c r="L11387" s="33" t="str">
        <f>IFERROR(VLOOKUP($J11387,'Informations sur les produits'!$A$3:$H$10000,8,FALSE),"0")</f>
        <v>0</v>
      </c>
      <c r="N11387" s="8"/>
      <c r="O11387" s="33" t="str">
        <f>IFERROR(VLOOKUP($M11387,'Informations sur les produits'!$A$3:$H$10000,8,FALSE),"0")</f>
        <v>0</v>
      </c>
      <c r="P11387" s="33">
        <f t="shared" si="708"/>
        <v>0</v>
      </c>
      <c r="Q11387" s="31" t="str">
        <f t="shared" si="709"/>
        <v/>
      </c>
      <c r="R11387" s="32" t="str">
        <f>IFERROR(VLOOKUP($D11387,'Informations sur les produits'!$A$3:$B$15000,2,FALSE),"")</f>
        <v/>
      </c>
      <c r="V11387">
        <f t="shared" si="710"/>
        <v>0</v>
      </c>
      <c r="W11387">
        <f t="shared" si="711"/>
        <v>0</v>
      </c>
    </row>
    <row r="11388" spans="5:23" x14ac:dyDescent="0.25">
      <c r="E11388" s="4"/>
      <c r="F11388" s="4"/>
      <c r="G11388" s="33" t="str">
        <f>IFERROR(VLOOKUP($D11388,'Informations sur les produits'!$A$3:$H$10000,8,FALSE),"0")</f>
        <v>0</v>
      </c>
      <c r="K11388" s="4"/>
      <c r="L11388" s="33" t="str">
        <f>IFERROR(VLOOKUP($J11388,'Informations sur les produits'!$A$3:$H$10000,8,FALSE),"0")</f>
        <v>0</v>
      </c>
      <c r="N11388" s="8"/>
      <c r="O11388" s="33" t="str">
        <f>IFERROR(VLOOKUP($M11388,'Informations sur les produits'!$A$3:$H$10000,8,FALSE),"0")</f>
        <v>0</v>
      </c>
      <c r="P11388" s="33">
        <f t="shared" si="708"/>
        <v>0</v>
      </c>
      <c r="Q11388" s="31" t="str">
        <f t="shared" si="709"/>
        <v/>
      </c>
      <c r="R11388" s="32" t="str">
        <f>IFERROR(VLOOKUP($D11388,'Informations sur les produits'!$A$3:$B$15000,2,FALSE),"")</f>
        <v/>
      </c>
      <c r="V11388">
        <f t="shared" si="710"/>
        <v>0</v>
      </c>
      <c r="W11388">
        <f t="shared" si="711"/>
        <v>0</v>
      </c>
    </row>
    <row r="11389" spans="5:23" x14ac:dyDescent="0.25">
      <c r="E11389" s="4"/>
      <c r="F11389" s="4"/>
      <c r="G11389" s="33" t="str">
        <f>IFERROR(VLOOKUP($D11389,'Informations sur les produits'!$A$3:$H$10000,8,FALSE),"0")</f>
        <v>0</v>
      </c>
      <c r="K11389" s="4"/>
      <c r="L11389" s="33" t="str">
        <f>IFERROR(VLOOKUP($J11389,'Informations sur les produits'!$A$3:$H$10000,8,FALSE),"0")</f>
        <v>0</v>
      </c>
      <c r="N11389" s="8"/>
      <c r="O11389" s="33" t="str">
        <f>IFERROR(VLOOKUP($M11389,'Informations sur les produits'!$A$3:$H$10000,8,FALSE),"0")</f>
        <v>0</v>
      </c>
      <c r="P11389" s="33">
        <f t="shared" si="708"/>
        <v>0</v>
      </c>
      <c r="Q11389" s="31" t="str">
        <f t="shared" si="709"/>
        <v/>
      </c>
      <c r="R11389" s="32" t="str">
        <f>IFERROR(VLOOKUP($D11389,'Informations sur les produits'!$A$3:$B$15000,2,FALSE),"")</f>
        <v/>
      </c>
      <c r="V11389">
        <f t="shared" si="710"/>
        <v>0</v>
      </c>
      <c r="W11389">
        <f t="shared" si="711"/>
        <v>0</v>
      </c>
    </row>
    <row r="11390" spans="5:23" x14ac:dyDescent="0.25">
      <c r="E11390" s="4"/>
      <c r="F11390" s="4"/>
      <c r="G11390" s="33" t="str">
        <f>IFERROR(VLOOKUP($D11390,'Informations sur les produits'!$A$3:$H$10000,8,FALSE),"0")</f>
        <v>0</v>
      </c>
      <c r="K11390" s="4"/>
      <c r="L11390" s="33" t="str">
        <f>IFERROR(VLOOKUP($J11390,'Informations sur les produits'!$A$3:$H$10000,8,FALSE),"0")</f>
        <v>0</v>
      </c>
      <c r="N11390" s="8"/>
      <c r="O11390" s="33" t="str">
        <f>IFERROR(VLOOKUP($M11390,'Informations sur les produits'!$A$3:$H$10000,8,FALSE),"0")</f>
        <v>0</v>
      </c>
      <c r="P11390" s="33">
        <f t="shared" si="708"/>
        <v>0</v>
      </c>
      <c r="Q11390" s="31" t="str">
        <f t="shared" si="709"/>
        <v/>
      </c>
      <c r="R11390" s="32" t="str">
        <f>IFERROR(VLOOKUP($D11390,'Informations sur les produits'!$A$3:$B$15000,2,FALSE),"")</f>
        <v/>
      </c>
      <c r="V11390">
        <f t="shared" si="710"/>
        <v>0</v>
      </c>
      <c r="W11390">
        <f t="shared" si="711"/>
        <v>0</v>
      </c>
    </row>
    <row r="11391" spans="5:23" x14ac:dyDescent="0.25">
      <c r="E11391" s="4"/>
      <c r="F11391" s="4"/>
      <c r="G11391" s="33" t="str">
        <f>IFERROR(VLOOKUP($D11391,'Informations sur les produits'!$A$3:$H$10000,8,FALSE),"0")</f>
        <v>0</v>
      </c>
      <c r="K11391" s="4"/>
      <c r="L11391" s="33" t="str">
        <f>IFERROR(VLOOKUP($J11391,'Informations sur les produits'!$A$3:$H$10000,8,FALSE),"0")</f>
        <v>0</v>
      </c>
      <c r="N11391" s="8"/>
      <c r="O11391" s="33" t="str">
        <f>IFERROR(VLOOKUP($M11391,'Informations sur les produits'!$A$3:$H$10000,8,FALSE),"0")</f>
        <v>0</v>
      </c>
      <c r="P11391" s="33">
        <f t="shared" si="708"/>
        <v>0</v>
      </c>
      <c r="Q11391" s="31" t="str">
        <f t="shared" si="709"/>
        <v/>
      </c>
      <c r="R11391" s="32" t="str">
        <f>IFERROR(VLOOKUP($D11391,'Informations sur les produits'!$A$3:$B$15000,2,FALSE),"")</f>
        <v/>
      </c>
      <c r="V11391">
        <f t="shared" si="710"/>
        <v>0</v>
      </c>
      <c r="W11391">
        <f t="shared" si="711"/>
        <v>0</v>
      </c>
    </row>
    <row r="11392" spans="5:23" x14ac:dyDescent="0.25">
      <c r="E11392" s="4"/>
      <c r="F11392" s="4"/>
      <c r="G11392" s="33" t="str">
        <f>IFERROR(VLOOKUP($D11392,'Informations sur les produits'!$A$3:$H$10000,8,FALSE),"0")</f>
        <v>0</v>
      </c>
      <c r="K11392" s="4"/>
      <c r="L11392" s="33" t="str">
        <f>IFERROR(VLOOKUP($J11392,'Informations sur les produits'!$A$3:$H$10000,8,FALSE),"0")</f>
        <v>0</v>
      </c>
      <c r="N11392" s="8"/>
      <c r="O11392" s="33" t="str">
        <f>IFERROR(VLOOKUP($M11392,'Informations sur les produits'!$A$3:$H$10000,8,FALSE),"0")</f>
        <v>0</v>
      </c>
      <c r="P11392" s="33">
        <f t="shared" si="708"/>
        <v>0</v>
      </c>
      <c r="Q11392" s="31" t="str">
        <f t="shared" si="709"/>
        <v/>
      </c>
      <c r="R11392" s="32" t="str">
        <f>IFERROR(VLOOKUP($D11392,'Informations sur les produits'!$A$3:$B$15000,2,FALSE),"")</f>
        <v/>
      </c>
      <c r="V11392">
        <f t="shared" si="710"/>
        <v>0</v>
      </c>
      <c r="W11392">
        <f t="shared" si="711"/>
        <v>0</v>
      </c>
    </row>
    <row r="11393" spans="5:23" x14ac:dyDescent="0.25">
      <c r="E11393" s="4"/>
      <c r="F11393" s="4"/>
      <c r="G11393" s="33" t="str">
        <f>IFERROR(VLOOKUP($D11393,'Informations sur les produits'!$A$3:$H$10000,8,FALSE),"0")</f>
        <v>0</v>
      </c>
      <c r="K11393" s="4"/>
      <c r="L11393" s="33" t="str">
        <f>IFERROR(VLOOKUP($J11393,'Informations sur les produits'!$A$3:$H$10000,8,FALSE),"0")</f>
        <v>0</v>
      </c>
      <c r="N11393" s="8"/>
      <c r="O11393" s="33" t="str">
        <f>IFERROR(VLOOKUP($M11393,'Informations sur les produits'!$A$3:$H$10000,8,FALSE),"0")</f>
        <v>0</v>
      </c>
      <c r="P11393" s="33">
        <f t="shared" si="708"/>
        <v>0</v>
      </c>
      <c r="Q11393" s="31" t="str">
        <f t="shared" si="709"/>
        <v/>
      </c>
      <c r="R11393" s="32" t="str">
        <f>IFERROR(VLOOKUP($D11393,'Informations sur les produits'!$A$3:$B$15000,2,FALSE),"")</f>
        <v/>
      </c>
      <c r="V11393">
        <f t="shared" si="710"/>
        <v>0</v>
      </c>
      <c r="W11393">
        <f t="shared" si="711"/>
        <v>0</v>
      </c>
    </row>
    <row r="11394" spans="5:23" x14ac:dyDescent="0.25">
      <c r="E11394" s="4"/>
      <c r="F11394" s="4"/>
      <c r="G11394" s="33" t="str">
        <f>IFERROR(VLOOKUP($D11394,'Informations sur les produits'!$A$3:$H$10000,8,FALSE),"0")</f>
        <v>0</v>
      </c>
      <c r="K11394" s="4"/>
      <c r="L11394" s="33" t="str">
        <f>IFERROR(VLOOKUP($J11394,'Informations sur les produits'!$A$3:$H$10000,8,FALSE),"0")</f>
        <v>0</v>
      </c>
      <c r="N11394" s="8"/>
      <c r="O11394" s="33" t="str">
        <f>IFERROR(VLOOKUP($M11394,'Informations sur les produits'!$A$3:$H$10000,8,FALSE),"0")</f>
        <v>0</v>
      </c>
      <c r="P11394" s="33">
        <f t="shared" si="708"/>
        <v>0</v>
      </c>
      <c r="Q11394" s="31" t="str">
        <f t="shared" si="709"/>
        <v/>
      </c>
      <c r="R11394" s="32" t="str">
        <f>IFERROR(VLOOKUP($D11394,'Informations sur les produits'!$A$3:$B$15000,2,FALSE),"")</f>
        <v/>
      </c>
      <c r="V11394">
        <f t="shared" si="710"/>
        <v>0</v>
      </c>
      <c r="W11394">
        <f t="shared" si="711"/>
        <v>0</v>
      </c>
    </row>
    <row r="11395" spans="5:23" x14ac:dyDescent="0.25">
      <c r="E11395" s="4"/>
      <c r="F11395" s="4"/>
      <c r="G11395" s="33" t="str">
        <f>IFERROR(VLOOKUP($D11395,'Informations sur les produits'!$A$3:$H$10000,8,FALSE),"0")</f>
        <v>0</v>
      </c>
      <c r="K11395" s="4"/>
      <c r="L11395" s="33" t="str">
        <f>IFERROR(VLOOKUP($J11395,'Informations sur les produits'!$A$3:$H$10000,8,FALSE),"0")</f>
        <v>0</v>
      </c>
      <c r="N11395" s="8"/>
      <c r="O11395" s="33" t="str">
        <f>IFERROR(VLOOKUP($M11395,'Informations sur les produits'!$A$3:$H$10000,8,FALSE),"0")</f>
        <v>0</v>
      </c>
      <c r="P11395" s="33">
        <f t="shared" si="708"/>
        <v>0</v>
      </c>
      <c r="Q11395" s="31" t="str">
        <f t="shared" si="709"/>
        <v/>
      </c>
      <c r="R11395" s="32" t="str">
        <f>IFERROR(VLOOKUP($D11395,'Informations sur les produits'!$A$3:$B$15000,2,FALSE),"")</f>
        <v/>
      </c>
      <c r="V11395">
        <f t="shared" si="710"/>
        <v>0</v>
      </c>
      <c r="W11395">
        <f t="shared" si="711"/>
        <v>0</v>
      </c>
    </row>
    <row r="11396" spans="5:23" x14ac:dyDescent="0.25">
      <c r="E11396" s="4"/>
      <c r="F11396" s="4"/>
      <c r="G11396" s="33" t="str">
        <f>IFERROR(VLOOKUP($D11396,'Informations sur les produits'!$A$3:$H$10000,8,FALSE),"0")</f>
        <v>0</v>
      </c>
      <c r="K11396" s="4"/>
      <c r="L11396" s="33" t="str">
        <f>IFERROR(VLOOKUP($J11396,'Informations sur les produits'!$A$3:$H$10000,8,FALSE),"0")</f>
        <v>0</v>
      </c>
      <c r="N11396" s="8"/>
      <c r="O11396" s="33" t="str">
        <f>IFERROR(VLOOKUP($M11396,'Informations sur les produits'!$A$3:$H$10000,8,FALSE),"0")</f>
        <v>0</v>
      </c>
      <c r="P11396" s="33">
        <f t="shared" ref="P11396:P11459" si="712">IFERROR((($E11396-$F11396)*$G11396+$K11396*$L11396+$N11396*$O11396),"")</f>
        <v>0</v>
      </c>
      <c r="Q11396" s="31" t="str">
        <f t="shared" ref="Q11396:Q11459" si="713">IFERROR((((($E11396-$F11396)*$G11396+$K11396*$L11396+$N11396*$O11396)*1000)/(($E11396-$F11396)+$K11396+$N11396)),"")</f>
        <v/>
      </c>
      <c r="R11396" s="32" t="str">
        <f>IFERROR(VLOOKUP($D11396,'Informations sur les produits'!$A$3:$B$15000,2,FALSE),"")</f>
        <v/>
      </c>
      <c r="V11396">
        <f t="shared" ref="V11396:V11459" si="714">IFERROR(P11396*1000,"")</f>
        <v>0</v>
      </c>
      <c r="W11396">
        <f t="shared" ref="W11396:W11459" si="715">IFERROR(($E11396-$F11396)+$K11396+$N11396,"")</f>
        <v>0</v>
      </c>
    </row>
    <row r="11397" spans="5:23" x14ac:dyDescent="0.25">
      <c r="E11397" s="4"/>
      <c r="F11397" s="4"/>
      <c r="G11397" s="33" t="str">
        <f>IFERROR(VLOOKUP($D11397,'Informations sur les produits'!$A$3:$H$10000,8,FALSE),"0")</f>
        <v>0</v>
      </c>
      <c r="K11397" s="4"/>
      <c r="L11397" s="33" t="str">
        <f>IFERROR(VLOOKUP($J11397,'Informations sur les produits'!$A$3:$H$10000,8,FALSE),"0")</f>
        <v>0</v>
      </c>
      <c r="N11397" s="8"/>
      <c r="O11397" s="33" t="str">
        <f>IFERROR(VLOOKUP($M11397,'Informations sur les produits'!$A$3:$H$10000,8,FALSE),"0")</f>
        <v>0</v>
      </c>
      <c r="P11397" s="33">
        <f t="shared" si="712"/>
        <v>0</v>
      </c>
      <c r="Q11397" s="31" t="str">
        <f t="shared" si="713"/>
        <v/>
      </c>
      <c r="R11397" s="32" t="str">
        <f>IFERROR(VLOOKUP($D11397,'Informations sur les produits'!$A$3:$B$15000,2,FALSE),"")</f>
        <v/>
      </c>
      <c r="V11397">
        <f t="shared" si="714"/>
        <v>0</v>
      </c>
      <c r="W11397">
        <f t="shared" si="715"/>
        <v>0</v>
      </c>
    </row>
    <row r="11398" spans="5:23" x14ac:dyDescent="0.25">
      <c r="E11398" s="4"/>
      <c r="F11398" s="4"/>
      <c r="G11398" s="33" t="str">
        <f>IFERROR(VLOOKUP($D11398,'Informations sur les produits'!$A$3:$H$10000,8,FALSE),"0")</f>
        <v>0</v>
      </c>
      <c r="K11398" s="4"/>
      <c r="L11398" s="33" t="str">
        <f>IFERROR(VLOOKUP($J11398,'Informations sur les produits'!$A$3:$H$10000,8,FALSE),"0")</f>
        <v>0</v>
      </c>
      <c r="N11398" s="8"/>
      <c r="O11398" s="33" t="str">
        <f>IFERROR(VLOOKUP($M11398,'Informations sur les produits'!$A$3:$H$10000,8,FALSE),"0")</f>
        <v>0</v>
      </c>
      <c r="P11398" s="33">
        <f t="shared" si="712"/>
        <v>0</v>
      </c>
      <c r="Q11398" s="31" t="str">
        <f t="shared" si="713"/>
        <v/>
      </c>
      <c r="R11398" s="32" t="str">
        <f>IFERROR(VLOOKUP($D11398,'Informations sur les produits'!$A$3:$B$15000,2,FALSE),"")</f>
        <v/>
      </c>
      <c r="V11398">
        <f t="shared" si="714"/>
        <v>0</v>
      </c>
      <c r="W11398">
        <f t="shared" si="715"/>
        <v>0</v>
      </c>
    </row>
    <row r="11399" spans="5:23" x14ac:dyDescent="0.25">
      <c r="E11399" s="4"/>
      <c r="F11399" s="4"/>
      <c r="G11399" s="33" t="str">
        <f>IFERROR(VLOOKUP($D11399,'Informations sur les produits'!$A$3:$H$10000,8,FALSE),"0")</f>
        <v>0</v>
      </c>
      <c r="K11399" s="4"/>
      <c r="L11399" s="33" t="str">
        <f>IFERROR(VLOOKUP($J11399,'Informations sur les produits'!$A$3:$H$10000,8,FALSE),"0")</f>
        <v>0</v>
      </c>
      <c r="N11399" s="8"/>
      <c r="O11399" s="33" t="str">
        <f>IFERROR(VLOOKUP($M11399,'Informations sur les produits'!$A$3:$H$10000,8,FALSE),"0")</f>
        <v>0</v>
      </c>
      <c r="P11399" s="33">
        <f t="shared" si="712"/>
        <v>0</v>
      </c>
      <c r="Q11399" s="31" t="str">
        <f t="shared" si="713"/>
        <v/>
      </c>
      <c r="R11399" s="32" t="str">
        <f>IFERROR(VLOOKUP($D11399,'Informations sur les produits'!$A$3:$B$15000,2,FALSE),"")</f>
        <v/>
      </c>
      <c r="V11399">
        <f t="shared" si="714"/>
        <v>0</v>
      </c>
      <c r="W11399">
        <f t="shared" si="715"/>
        <v>0</v>
      </c>
    </row>
    <row r="11400" spans="5:23" x14ac:dyDescent="0.25">
      <c r="E11400" s="4"/>
      <c r="F11400" s="4"/>
      <c r="G11400" s="33" t="str">
        <f>IFERROR(VLOOKUP($D11400,'Informations sur les produits'!$A$3:$H$10000,8,FALSE),"0")</f>
        <v>0</v>
      </c>
      <c r="K11400" s="4"/>
      <c r="L11400" s="33" t="str">
        <f>IFERROR(VLOOKUP($J11400,'Informations sur les produits'!$A$3:$H$10000,8,FALSE),"0")</f>
        <v>0</v>
      </c>
      <c r="N11400" s="8"/>
      <c r="O11400" s="33" t="str">
        <f>IFERROR(VLOOKUP($M11400,'Informations sur les produits'!$A$3:$H$10000,8,FALSE),"0")</f>
        <v>0</v>
      </c>
      <c r="P11400" s="33">
        <f t="shared" si="712"/>
        <v>0</v>
      </c>
      <c r="Q11400" s="31" t="str">
        <f t="shared" si="713"/>
        <v/>
      </c>
      <c r="R11400" s="32" t="str">
        <f>IFERROR(VLOOKUP($D11400,'Informations sur les produits'!$A$3:$B$15000,2,FALSE),"")</f>
        <v/>
      </c>
      <c r="V11400">
        <f t="shared" si="714"/>
        <v>0</v>
      </c>
      <c r="W11400">
        <f t="shared" si="715"/>
        <v>0</v>
      </c>
    </row>
    <row r="11401" spans="5:23" x14ac:dyDescent="0.25">
      <c r="E11401" s="4"/>
      <c r="F11401" s="4"/>
      <c r="G11401" s="33" t="str">
        <f>IFERROR(VLOOKUP($D11401,'Informations sur les produits'!$A$3:$H$10000,8,FALSE),"0")</f>
        <v>0</v>
      </c>
      <c r="K11401" s="4"/>
      <c r="L11401" s="33" t="str">
        <f>IFERROR(VLOOKUP($J11401,'Informations sur les produits'!$A$3:$H$10000,8,FALSE),"0")</f>
        <v>0</v>
      </c>
      <c r="N11401" s="8"/>
      <c r="O11401" s="33" t="str">
        <f>IFERROR(VLOOKUP($M11401,'Informations sur les produits'!$A$3:$H$10000,8,FALSE),"0")</f>
        <v>0</v>
      </c>
      <c r="P11401" s="33">
        <f t="shared" si="712"/>
        <v>0</v>
      </c>
      <c r="Q11401" s="31" t="str">
        <f t="shared" si="713"/>
        <v/>
      </c>
      <c r="R11401" s="32" t="str">
        <f>IFERROR(VLOOKUP($D11401,'Informations sur les produits'!$A$3:$B$15000,2,FALSE),"")</f>
        <v/>
      </c>
      <c r="V11401">
        <f t="shared" si="714"/>
        <v>0</v>
      </c>
      <c r="W11401">
        <f t="shared" si="715"/>
        <v>0</v>
      </c>
    </row>
    <row r="11402" spans="5:23" x14ac:dyDescent="0.25">
      <c r="E11402" s="4"/>
      <c r="F11402" s="4"/>
      <c r="G11402" s="33" t="str">
        <f>IFERROR(VLOOKUP($D11402,'Informations sur les produits'!$A$3:$H$10000,8,FALSE),"0")</f>
        <v>0</v>
      </c>
      <c r="K11402" s="4"/>
      <c r="L11402" s="33" t="str">
        <f>IFERROR(VLOOKUP($J11402,'Informations sur les produits'!$A$3:$H$10000,8,FALSE),"0")</f>
        <v>0</v>
      </c>
      <c r="N11402" s="8"/>
      <c r="O11402" s="33" t="str">
        <f>IFERROR(VLOOKUP($M11402,'Informations sur les produits'!$A$3:$H$10000,8,FALSE),"0")</f>
        <v>0</v>
      </c>
      <c r="P11402" s="33">
        <f t="shared" si="712"/>
        <v>0</v>
      </c>
      <c r="Q11402" s="31" t="str">
        <f t="shared" si="713"/>
        <v/>
      </c>
      <c r="R11402" s="32" t="str">
        <f>IFERROR(VLOOKUP($D11402,'Informations sur les produits'!$A$3:$B$15000,2,FALSE),"")</f>
        <v/>
      </c>
      <c r="V11402">
        <f t="shared" si="714"/>
        <v>0</v>
      </c>
      <c r="W11402">
        <f t="shared" si="715"/>
        <v>0</v>
      </c>
    </row>
    <row r="11403" spans="5:23" x14ac:dyDescent="0.25">
      <c r="E11403" s="4"/>
      <c r="F11403" s="4"/>
      <c r="G11403" s="33" t="str">
        <f>IFERROR(VLOOKUP($D11403,'Informations sur les produits'!$A$3:$H$10000,8,FALSE),"0")</f>
        <v>0</v>
      </c>
      <c r="K11403" s="4"/>
      <c r="L11403" s="33" t="str">
        <f>IFERROR(VLOOKUP($J11403,'Informations sur les produits'!$A$3:$H$10000,8,FALSE),"0")</f>
        <v>0</v>
      </c>
      <c r="N11403" s="8"/>
      <c r="O11403" s="33" t="str">
        <f>IFERROR(VLOOKUP($M11403,'Informations sur les produits'!$A$3:$H$10000,8,FALSE),"0")</f>
        <v>0</v>
      </c>
      <c r="P11403" s="33">
        <f t="shared" si="712"/>
        <v>0</v>
      </c>
      <c r="Q11403" s="31" t="str">
        <f t="shared" si="713"/>
        <v/>
      </c>
      <c r="R11403" s="32" t="str">
        <f>IFERROR(VLOOKUP($D11403,'Informations sur les produits'!$A$3:$B$15000,2,FALSE),"")</f>
        <v/>
      </c>
      <c r="V11403">
        <f t="shared" si="714"/>
        <v>0</v>
      </c>
      <c r="W11403">
        <f t="shared" si="715"/>
        <v>0</v>
      </c>
    </row>
    <row r="11404" spans="5:23" x14ac:dyDescent="0.25">
      <c r="E11404" s="4"/>
      <c r="F11404" s="4"/>
      <c r="G11404" s="33" t="str">
        <f>IFERROR(VLOOKUP($D11404,'Informations sur les produits'!$A$3:$H$10000,8,FALSE),"0")</f>
        <v>0</v>
      </c>
      <c r="K11404" s="4"/>
      <c r="L11404" s="33" t="str">
        <f>IFERROR(VLOOKUP($J11404,'Informations sur les produits'!$A$3:$H$10000,8,FALSE),"0")</f>
        <v>0</v>
      </c>
      <c r="N11404" s="8"/>
      <c r="O11404" s="33" t="str">
        <f>IFERROR(VLOOKUP($M11404,'Informations sur les produits'!$A$3:$H$10000,8,FALSE),"0")</f>
        <v>0</v>
      </c>
      <c r="P11404" s="33">
        <f t="shared" si="712"/>
        <v>0</v>
      </c>
      <c r="Q11404" s="31" t="str">
        <f t="shared" si="713"/>
        <v/>
      </c>
      <c r="R11404" s="32" t="str">
        <f>IFERROR(VLOOKUP($D11404,'Informations sur les produits'!$A$3:$B$15000,2,FALSE),"")</f>
        <v/>
      </c>
      <c r="V11404">
        <f t="shared" si="714"/>
        <v>0</v>
      </c>
      <c r="W11404">
        <f t="shared" si="715"/>
        <v>0</v>
      </c>
    </row>
    <row r="11405" spans="5:23" x14ac:dyDescent="0.25">
      <c r="E11405" s="4"/>
      <c r="F11405" s="4"/>
      <c r="G11405" s="33" t="str">
        <f>IFERROR(VLOOKUP($D11405,'Informations sur les produits'!$A$3:$H$10000,8,FALSE),"0")</f>
        <v>0</v>
      </c>
      <c r="K11405" s="4"/>
      <c r="L11405" s="33" t="str">
        <f>IFERROR(VLOOKUP($J11405,'Informations sur les produits'!$A$3:$H$10000,8,FALSE),"0")</f>
        <v>0</v>
      </c>
      <c r="N11405" s="8"/>
      <c r="O11405" s="33" t="str">
        <f>IFERROR(VLOOKUP($M11405,'Informations sur les produits'!$A$3:$H$10000,8,FALSE),"0")</f>
        <v>0</v>
      </c>
      <c r="P11405" s="33">
        <f t="shared" si="712"/>
        <v>0</v>
      </c>
      <c r="Q11405" s="31" t="str">
        <f t="shared" si="713"/>
        <v/>
      </c>
      <c r="R11405" s="32" t="str">
        <f>IFERROR(VLOOKUP($D11405,'Informations sur les produits'!$A$3:$B$15000,2,FALSE),"")</f>
        <v/>
      </c>
      <c r="V11405">
        <f t="shared" si="714"/>
        <v>0</v>
      </c>
      <c r="W11405">
        <f t="shared" si="715"/>
        <v>0</v>
      </c>
    </row>
    <row r="11406" spans="5:23" x14ac:dyDescent="0.25">
      <c r="E11406" s="4"/>
      <c r="F11406" s="4"/>
      <c r="G11406" s="33" t="str">
        <f>IFERROR(VLOOKUP($D11406,'Informations sur les produits'!$A$3:$H$10000,8,FALSE),"0")</f>
        <v>0</v>
      </c>
      <c r="K11406" s="4"/>
      <c r="L11406" s="33" t="str">
        <f>IFERROR(VLOOKUP($J11406,'Informations sur les produits'!$A$3:$H$10000,8,FALSE),"0")</f>
        <v>0</v>
      </c>
      <c r="N11406" s="8"/>
      <c r="O11406" s="33" t="str">
        <f>IFERROR(VLOOKUP($M11406,'Informations sur les produits'!$A$3:$H$10000,8,FALSE),"0")</f>
        <v>0</v>
      </c>
      <c r="P11406" s="33">
        <f t="shared" si="712"/>
        <v>0</v>
      </c>
      <c r="Q11406" s="31" t="str">
        <f t="shared" si="713"/>
        <v/>
      </c>
      <c r="R11406" s="32" t="str">
        <f>IFERROR(VLOOKUP($D11406,'Informations sur les produits'!$A$3:$B$15000,2,FALSE),"")</f>
        <v/>
      </c>
      <c r="V11406">
        <f t="shared" si="714"/>
        <v>0</v>
      </c>
      <c r="W11406">
        <f t="shared" si="715"/>
        <v>0</v>
      </c>
    </row>
    <row r="11407" spans="5:23" x14ac:dyDescent="0.25">
      <c r="E11407" s="4"/>
      <c r="F11407" s="4"/>
      <c r="G11407" s="33" t="str">
        <f>IFERROR(VLOOKUP($D11407,'Informations sur les produits'!$A$3:$H$10000,8,FALSE),"0")</f>
        <v>0</v>
      </c>
      <c r="K11407" s="4"/>
      <c r="L11407" s="33" t="str">
        <f>IFERROR(VLOOKUP($J11407,'Informations sur les produits'!$A$3:$H$10000,8,FALSE),"0")</f>
        <v>0</v>
      </c>
      <c r="N11407" s="8"/>
      <c r="O11407" s="33" t="str">
        <f>IFERROR(VLOOKUP($M11407,'Informations sur les produits'!$A$3:$H$10000,8,FALSE),"0")</f>
        <v>0</v>
      </c>
      <c r="P11407" s="33">
        <f t="shared" si="712"/>
        <v>0</v>
      </c>
      <c r="Q11407" s="31" t="str">
        <f t="shared" si="713"/>
        <v/>
      </c>
      <c r="R11407" s="32" t="str">
        <f>IFERROR(VLOOKUP($D11407,'Informations sur les produits'!$A$3:$B$15000,2,FALSE),"")</f>
        <v/>
      </c>
      <c r="V11407">
        <f t="shared" si="714"/>
        <v>0</v>
      </c>
      <c r="W11407">
        <f t="shared" si="715"/>
        <v>0</v>
      </c>
    </row>
    <row r="11408" spans="5:23" x14ac:dyDescent="0.25">
      <c r="E11408" s="4"/>
      <c r="F11408" s="4"/>
      <c r="G11408" s="33" t="str">
        <f>IFERROR(VLOOKUP($D11408,'Informations sur les produits'!$A$3:$H$10000,8,FALSE),"0")</f>
        <v>0</v>
      </c>
      <c r="K11408" s="4"/>
      <c r="L11408" s="33" t="str">
        <f>IFERROR(VLOOKUP($J11408,'Informations sur les produits'!$A$3:$H$10000,8,FALSE),"0")</f>
        <v>0</v>
      </c>
      <c r="N11408" s="8"/>
      <c r="O11408" s="33" t="str">
        <f>IFERROR(VLOOKUP($M11408,'Informations sur les produits'!$A$3:$H$10000,8,FALSE),"0")</f>
        <v>0</v>
      </c>
      <c r="P11408" s="33">
        <f t="shared" si="712"/>
        <v>0</v>
      </c>
      <c r="Q11408" s="31" t="str">
        <f t="shared" si="713"/>
        <v/>
      </c>
      <c r="R11408" s="32" t="str">
        <f>IFERROR(VLOOKUP($D11408,'Informations sur les produits'!$A$3:$B$15000,2,FALSE),"")</f>
        <v/>
      </c>
      <c r="V11408">
        <f t="shared" si="714"/>
        <v>0</v>
      </c>
      <c r="W11408">
        <f t="shared" si="715"/>
        <v>0</v>
      </c>
    </row>
    <row r="11409" spans="5:23" x14ac:dyDescent="0.25">
      <c r="E11409" s="4"/>
      <c r="F11409" s="4"/>
      <c r="G11409" s="33" t="str">
        <f>IFERROR(VLOOKUP($D11409,'Informations sur les produits'!$A$3:$H$10000,8,FALSE),"0")</f>
        <v>0</v>
      </c>
      <c r="K11409" s="4"/>
      <c r="L11409" s="33" t="str">
        <f>IFERROR(VLOOKUP($J11409,'Informations sur les produits'!$A$3:$H$10000,8,FALSE),"0")</f>
        <v>0</v>
      </c>
      <c r="N11409" s="8"/>
      <c r="O11409" s="33" t="str">
        <f>IFERROR(VLOOKUP($M11409,'Informations sur les produits'!$A$3:$H$10000,8,FALSE),"0")</f>
        <v>0</v>
      </c>
      <c r="P11409" s="33">
        <f t="shared" si="712"/>
        <v>0</v>
      </c>
      <c r="Q11409" s="31" t="str">
        <f t="shared" si="713"/>
        <v/>
      </c>
      <c r="R11409" s="32" t="str">
        <f>IFERROR(VLOOKUP($D11409,'Informations sur les produits'!$A$3:$B$15000,2,FALSE),"")</f>
        <v/>
      </c>
      <c r="V11409">
        <f t="shared" si="714"/>
        <v>0</v>
      </c>
      <c r="W11409">
        <f t="shared" si="715"/>
        <v>0</v>
      </c>
    </row>
    <row r="11410" spans="5:23" x14ac:dyDescent="0.25">
      <c r="E11410" s="4"/>
      <c r="F11410" s="4"/>
      <c r="G11410" s="33" t="str">
        <f>IFERROR(VLOOKUP($D11410,'Informations sur les produits'!$A$3:$H$10000,8,FALSE),"0")</f>
        <v>0</v>
      </c>
      <c r="K11410" s="4"/>
      <c r="L11410" s="33" t="str">
        <f>IFERROR(VLOOKUP($J11410,'Informations sur les produits'!$A$3:$H$10000,8,FALSE),"0")</f>
        <v>0</v>
      </c>
      <c r="N11410" s="8"/>
      <c r="O11410" s="33" t="str">
        <f>IFERROR(VLOOKUP($M11410,'Informations sur les produits'!$A$3:$H$10000,8,FALSE),"0")</f>
        <v>0</v>
      </c>
      <c r="P11410" s="33">
        <f t="shared" si="712"/>
        <v>0</v>
      </c>
      <c r="Q11410" s="31" t="str">
        <f t="shared" si="713"/>
        <v/>
      </c>
      <c r="R11410" s="32" t="str">
        <f>IFERROR(VLOOKUP($D11410,'Informations sur les produits'!$A$3:$B$15000,2,FALSE),"")</f>
        <v/>
      </c>
      <c r="V11410">
        <f t="shared" si="714"/>
        <v>0</v>
      </c>
      <c r="W11410">
        <f t="shared" si="715"/>
        <v>0</v>
      </c>
    </row>
    <row r="11411" spans="5:23" x14ac:dyDescent="0.25">
      <c r="E11411" s="4"/>
      <c r="F11411" s="4"/>
      <c r="G11411" s="33" t="str">
        <f>IFERROR(VLOOKUP($D11411,'Informations sur les produits'!$A$3:$H$10000,8,FALSE),"0")</f>
        <v>0</v>
      </c>
      <c r="K11411" s="4"/>
      <c r="L11411" s="33" t="str">
        <f>IFERROR(VLOOKUP($J11411,'Informations sur les produits'!$A$3:$H$10000,8,FALSE),"0")</f>
        <v>0</v>
      </c>
      <c r="N11411" s="8"/>
      <c r="O11411" s="33" t="str">
        <f>IFERROR(VLOOKUP($M11411,'Informations sur les produits'!$A$3:$H$10000,8,FALSE),"0")</f>
        <v>0</v>
      </c>
      <c r="P11411" s="33">
        <f t="shared" si="712"/>
        <v>0</v>
      </c>
      <c r="Q11411" s="31" t="str">
        <f t="shared" si="713"/>
        <v/>
      </c>
      <c r="R11411" s="32" t="str">
        <f>IFERROR(VLOOKUP($D11411,'Informations sur les produits'!$A$3:$B$15000,2,FALSE),"")</f>
        <v/>
      </c>
      <c r="V11411">
        <f t="shared" si="714"/>
        <v>0</v>
      </c>
      <c r="W11411">
        <f t="shared" si="715"/>
        <v>0</v>
      </c>
    </row>
    <row r="11412" spans="5:23" x14ac:dyDescent="0.25">
      <c r="E11412" s="4"/>
      <c r="F11412" s="4"/>
      <c r="G11412" s="33" t="str">
        <f>IFERROR(VLOOKUP($D11412,'Informations sur les produits'!$A$3:$H$10000,8,FALSE),"0")</f>
        <v>0</v>
      </c>
      <c r="K11412" s="4"/>
      <c r="L11412" s="33" t="str">
        <f>IFERROR(VLOOKUP($J11412,'Informations sur les produits'!$A$3:$H$10000,8,FALSE),"0")</f>
        <v>0</v>
      </c>
      <c r="N11412" s="8"/>
      <c r="O11412" s="33" t="str">
        <f>IFERROR(VLOOKUP($M11412,'Informations sur les produits'!$A$3:$H$10000,8,FALSE),"0")</f>
        <v>0</v>
      </c>
      <c r="P11412" s="33">
        <f t="shared" si="712"/>
        <v>0</v>
      </c>
      <c r="Q11412" s="31" t="str">
        <f t="shared" si="713"/>
        <v/>
      </c>
      <c r="R11412" s="32" t="str">
        <f>IFERROR(VLOOKUP($D11412,'Informations sur les produits'!$A$3:$B$15000,2,FALSE),"")</f>
        <v/>
      </c>
      <c r="V11412">
        <f t="shared" si="714"/>
        <v>0</v>
      </c>
      <c r="W11412">
        <f t="shared" si="715"/>
        <v>0</v>
      </c>
    </row>
    <row r="11413" spans="5:23" x14ac:dyDescent="0.25">
      <c r="E11413" s="4"/>
      <c r="F11413" s="4"/>
      <c r="G11413" s="33" t="str">
        <f>IFERROR(VLOOKUP($D11413,'Informations sur les produits'!$A$3:$H$10000,8,FALSE),"0")</f>
        <v>0</v>
      </c>
      <c r="K11413" s="4"/>
      <c r="L11413" s="33" t="str">
        <f>IFERROR(VLOOKUP($J11413,'Informations sur les produits'!$A$3:$H$10000,8,FALSE),"0")</f>
        <v>0</v>
      </c>
      <c r="N11413" s="8"/>
      <c r="O11413" s="33" t="str">
        <f>IFERROR(VLOOKUP($M11413,'Informations sur les produits'!$A$3:$H$10000,8,FALSE),"0")</f>
        <v>0</v>
      </c>
      <c r="P11413" s="33">
        <f t="shared" si="712"/>
        <v>0</v>
      </c>
      <c r="Q11413" s="31" t="str">
        <f t="shared" si="713"/>
        <v/>
      </c>
      <c r="R11413" s="32" t="str">
        <f>IFERROR(VLOOKUP($D11413,'Informations sur les produits'!$A$3:$B$15000,2,FALSE),"")</f>
        <v/>
      </c>
      <c r="V11413">
        <f t="shared" si="714"/>
        <v>0</v>
      </c>
      <c r="W11413">
        <f t="shared" si="715"/>
        <v>0</v>
      </c>
    </row>
    <row r="11414" spans="5:23" x14ac:dyDescent="0.25">
      <c r="E11414" s="4"/>
      <c r="F11414" s="4"/>
      <c r="G11414" s="33" t="str">
        <f>IFERROR(VLOOKUP($D11414,'Informations sur les produits'!$A$3:$H$10000,8,FALSE),"0")</f>
        <v>0</v>
      </c>
      <c r="K11414" s="4"/>
      <c r="L11414" s="33" t="str">
        <f>IFERROR(VLOOKUP($J11414,'Informations sur les produits'!$A$3:$H$10000,8,FALSE),"0")</f>
        <v>0</v>
      </c>
      <c r="N11414" s="8"/>
      <c r="O11414" s="33" t="str">
        <f>IFERROR(VLOOKUP($M11414,'Informations sur les produits'!$A$3:$H$10000,8,FALSE),"0")</f>
        <v>0</v>
      </c>
      <c r="P11414" s="33">
        <f t="shared" si="712"/>
        <v>0</v>
      </c>
      <c r="Q11414" s="31" t="str">
        <f t="shared" si="713"/>
        <v/>
      </c>
      <c r="R11414" s="32" t="str">
        <f>IFERROR(VLOOKUP($D11414,'Informations sur les produits'!$A$3:$B$15000,2,FALSE),"")</f>
        <v/>
      </c>
      <c r="V11414">
        <f t="shared" si="714"/>
        <v>0</v>
      </c>
      <c r="W11414">
        <f t="shared" si="715"/>
        <v>0</v>
      </c>
    </row>
    <row r="11415" spans="5:23" x14ac:dyDescent="0.25">
      <c r="E11415" s="4"/>
      <c r="F11415" s="4"/>
      <c r="G11415" s="33" t="str">
        <f>IFERROR(VLOOKUP($D11415,'Informations sur les produits'!$A$3:$H$10000,8,FALSE),"0")</f>
        <v>0</v>
      </c>
      <c r="K11415" s="4"/>
      <c r="L11415" s="33" t="str">
        <f>IFERROR(VLOOKUP($J11415,'Informations sur les produits'!$A$3:$H$10000,8,FALSE),"0")</f>
        <v>0</v>
      </c>
      <c r="N11415" s="8"/>
      <c r="O11415" s="33" t="str">
        <f>IFERROR(VLOOKUP($M11415,'Informations sur les produits'!$A$3:$H$10000,8,FALSE),"0")</f>
        <v>0</v>
      </c>
      <c r="P11415" s="33">
        <f t="shared" si="712"/>
        <v>0</v>
      </c>
      <c r="Q11415" s="31" t="str">
        <f t="shared" si="713"/>
        <v/>
      </c>
      <c r="R11415" s="32" t="str">
        <f>IFERROR(VLOOKUP($D11415,'Informations sur les produits'!$A$3:$B$15000,2,FALSE),"")</f>
        <v/>
      </c>
      <c r="V11415">
        <f t="shared" si="714"/>
        <v>0</v>
      </c>
      <c r="W11415">
        <f t="shared" si="715"/>
        <v>0</v>
      </c>
    </row>
    <row r="11416" spans="5:23" x14ac:dyDescent="0.25">
      <c r="E11416" s="4"/>
      <c r="F11416" s="4"/>
      <c r="G11416" s="33" t="str">
        <f>IFERROR(VLOOKUP($D11416,'Informations sur les produits'!$A$3:$H$10000,8,FALSE),"0")</f>
        <v>0</v>
      </c>
      <c r="K11416" s="4"/>
      <c r="L11416" s="33" t="str">
        <f>IFERROR(VLOOKUP($J11416,'Informations sur les produits'!$A$3:$H$10000,8,FALSE),"0")</f>
        <v>0</v>
      </c>
      <c r="N11416" s="8"/>
      <c r="O11416" s="33" t="str">
        <f>IFERROR(VLOOKUP($M11416,'Informations sur les produits'!$A$3:$H$10000,8,FALSE),"0")</f>
        <v>0</v>
      </c>
      <c r="P11416" s="33">
        <f t="shared" si="712"/>
        <v>0</v>
      </c>
      <c r="Q11416" s="31" t="str">
        <f t="shared" si="713"/>
        <v/>
      </c>
      <c r="R11416" s="32" t="str">
        <f>IFERROR(VLOOKUP($D11416,'Informations sur les produits'!$A$3:$B$15000,2,FALSE),"")</f>
        <v/>
      </c>
      <c r="V11416">
        <f t="shared" si="714"/>
        <v>0</v>
      </c>
      <c r="W11416">
        <f t="shared" si="715"/>
        <v>0</v>
      </c>
    </row>
    <row r="11417" spans="5:23" x14ac:dyDescent="0.25">
      <c r="E11417" s="4"/>
      <c r="F11417" s="4"/>
      <c r="G11417" s="33" t="str">
        <f>IFERROR(VLOOKUP($D11417,'Informations sur les produits'!$A$3:$H$10000,8,FALSE),"0")</f>
        <v>0</v>
      </c>
      <c r="K11417" s="4"/>
      <c r="L11417" s="33" t="str">
        <f>IFERROR(VLOOKUP($J11417,'Informations sur les produits'!$A$3:$H$10000,8,FALSE),"0")</f>
        <v>0</v>
      </c>
      <c r="N11417" s="8"/>
      <c r="O11417" s="33" t="str">
        <f>IFERROR(VLOOKUP($M11417,'Informations sur les produits'!$A$3:$H$10000,8,FALSE),"0")</f>
        <v>0</v>
      </c>
      <c r="P11417" s="33">
        <f t="shared" si="712"/>
        <v>0</v>
      </c>
      <c r="Q11417" s="31" t="str">
        <f t="shared" si="713"/>
        <v/>
      </c>
      <c r="R11417" s="32" t="str">
        <f>IFERROR(VLOOKUP($D11417,'Informations sur les produits'!$A$3:$B$15000,2,FALSE),"")</f>
        <v/>
      </c>
      <c r="V11417">
        <f t="shared" si="714"/>
        <v>0</v>
      </c>
      <c r="W11417">
        <f t="shared" si="715"/>
        <v>0</v>
      </c>
    </row>
    <row r="11418" spans="5:23" x14ac:dyDescent="0.25">
      <c r="E11418" s="4"/>
      <c r="F11418" s="4"/>
      <c r="G11418" s="33" t="str">
        <f>IFERROR(VLOOKUP($D11418,'Informations sur les produits'!$A$3:$H$10000,8,FALSE),"0")</f>
        <v>0</v>
      </c>
      <c r="K11418" s="4"/>
      <c r="L11418" s="33" t="str">
        <f>IFERROR(VLOOKUP($J11418,'Informations sur les produits'!$A$3:$H$10000,8,FALSE),"0")</f>
        <v>0</v>
      </c>
      <c r="N11418" s="8"/>
      <c r="O11418" s="33" t="str">
        <f>IFERROR(VLOOKUP($M11418,'Informations sur les produits'!$A$3:$H$10000,8,FALSE),"0")</f>
        <v>0</v>
      </c>
      <c r="P11418" s="33">
        <f t="shared" si="712"/>
        <v>0</v>
      </c>
      <c r="Q11418" s="31" t="str">
        <f t="shared" si="713"/>
        <v/>
      </c>
      <c r="R11418" s="32" t="str">
        <f>IFERROR(VLOOKUP($D11418,'Informations sur les produits'!$A$3:$B$15000,2,FALSE),"")</f>
        <v/>
      </c>
      <c r="V11418">
        <f t="shared" si="714"/>
        <v>0</v>
      </c>
      <c r="W11418">
        <f t="shared" si="715"/>
        <v>0</v>
      </c>
    </row>
    <row r="11419" spans="5:23" x14ac:dyDescent="0.25">
      <c r="E11419" s="4"/>
      <c r="F11419" s="4"/>
      <c r="G11419" s="33" t="str">
        <f>IFERROR(VLOOKUP($D11419,'Informations sur les produits'!$A$3:$H$10000,8,FALSE),"0")</f>
        <v>0</v>
      </c>
      <c r="K11419" s="4"/>
      <c r="L11419" s="33" t="str">
        <f>IFERROR(VLOOKUP($J11419,'Informations sur les produits'!$A$3:$H$10000,8,FALSE),"0")</f>
        <v>0</v>
      </c>
      <c r="N11419" s="8"/>
      <c r="O11419" s="33" t="str">
        <f>IFERROR(VLOOKUP($M11419,'Informations sur les produits'!$A$3:$H$10000,8,FALSE),"0")</f>
        <v>0</v>
      </c>
      <c r="P11419" s="33">
        <f t="shared" si="712"/>
        <v>0</v>
      </c>
      <c r="Q11419" s="31" t="str">
        <f t="shared" si="713"/>
        <v/>
      </c>
      <c r="R11419" s="32" t="str">
        <f>IFERROR(VLOOKUP($D11419,'Informations sur les produits'!$A$3:$B$15000,2,FALSE),"")</f>
        <v/>
      </c>
      <c r="V11419">
        <f t="shared" si="714"/>
        <v>0</v>
      </c>
      <c r="W11419">
        <f t="shared" si="715"/>
        <v>0</v>
      </c>
    </row>
    <row r="11420" spans="5:23" x14ac:dyDescent="0.25">
      <c r="E11420" s="4"/>
      <c r="F11420" s="4"/>
      <c r="G11420" s="33" t="str">
        <f>IFERROR(VLOOKUP($D11420,'Informations sur les produits'!$A$3:$H$10000,8,FALSE),"0")</f>
        <v>0</v>
      </c>
      <c r="K11420" s="4"/>
      <c r="L11420" s="33" t="str">
        <f>IFERROR(VLOOKUP($J11420,'Informations sur les produits'!$A$3:$H$10000,8,FALSE),"0")</f>
        <v>0</v>
      </c>
      <c r="N11420" s="8"/>
      <c r="O11420" s="33" t="str">
        <f>IFERROR(VLOOKUP($M11420,'Informations sur les produits'!$A$3:$H$10000,8,FALSE),"0")</f>
        <v>0</v>
      </c>
      <c r="P11420" s="33">
        <f t="shared" si="712"/>
        <v>0</v>
      </c>
      <c r="Q11420" s="31" t="str">
        <f t="shared" si="713"/>
        <v/>
      </c>
      <c r="R11420" s="32" t="str">
        <f>IFERROR(VLOOKUP($D11420,'Informations sur les produits'!$A$3:$B$15000,2,FALSE),"")</f>
        <v/>
      </c>
      <c r="V11420">
        <f t="shared" si="714"/>
        <v>0</v>
      </c>
      <c r="W11420">
        <f t="shared" si="715"/>
        <v>0</v>
      </c>
    </row>
    <row r="11421" spans="5:23" x14ac:dyDescent="0.25">
      <c r="E11421" s="4"/>
      <c r="F11421" s="4"/>
      <c r="G11421" s="33" t="str">
        <f>IFERROR(VLOOKUP($D11421,'Informations sur les produits'!$A$3:$H$10000,8,FALSE),"0")</f>
        <v>0</v>
      </c>
      <c r="K11421" s="4"/>
      <c r="L11421" s="33" t="str">
        <f>IFERROR(VLOOKUP($J11421,'Informations sur les produits'!$A$3:$H$10000,8,FALSE),"0")</f>
        <v>0</v>
      </c>
      <c r="N11421" s="8"/>
      <c r="O11421" s="33" t="str">
        <f>IFERROR(VLOOKUP($M11421,'Informations sur les produits'!$A$3:$H$10000,8,FALSE),"0")</f>
        <v>0</v>
      </c>
      <c r="P11421" s="33">
        <f t="shared" si="712"/>
        <v>0</v>
      </c>
      <c r="Q11421" s="31" t="str">
        <f t="shared" si="713"/>
        <v/>
      </c>
      <c r="R11421" s="32" t="str">
        <f>IFERROR(VLOOKUP($D11421,'Informations sur les produits'!$A$3:$B$15000,2,FALSE),"")</f>
        <v/>
      </c>
      <c r="V11421">
        <f t="shared" si="714"/>
        <v>0</v>
      </c>
      <c r="W11421">
        <f t="shared" si="715"/>
        <v>0</v>
      </c>
    </row>
    <row r="11422" spans="5:23" x14ac:dyDescent="0.25">
      <c r="E11422" s="4"/>
      <c r="F11422" s="4"/>
      <c r="G11422" s="33" t="str">
        <f>IFERROR(VLOOKUP($D11422,'Informations sur les produits'!$A$3:$H$10000,8,FALSE),"0")</f>
        <v>0</v>
      </c>
      <c r="K11422" s="4"/>
      <c r="L11422" s="33" t="str">
        <f>IFERROR(VLOOKUP($J11422,'Informations sur les produits'!$A$3:$H$10000,8,FALSE),"0")</f>
        <v>0</v>
      </c>
      <c r="N11422" s="8"/>
      <c r="O11422" s="33" t="str">
        <f>IFERROR(VLOOKUP($M11422,'Informations sur les produits'!$A$3:$H$10000,8,FALSE),"0")</f>
        <v>0</v>
      </c>
      <c r="P11422" s="33">
        <f t="shared" si="712"/>
        <v>0</v>
      </c>
      <c r="Q11422" s="31" t="str">
        <f t="shared" si="713"/>
        <v/>
      </c>
      <c r="R11422" s="32" t="str">
        <f>IFERROR(VLOOKUP($D11422,'Informations sur les produits'!$A$3:$B$15000,2,FALSE),"")</f>
        <v/>
      </c>
      <c r="V11422">
        <f t="shared" si="714"/>
        <v>0</v>
      </c>
      <c r="W11422">
        <f t="shared" si="715"/>
        <v>0</v>
      </c>
    </row>
    <row r="11423" spans="5:23" x14ac:dyDescent="0.25">
      <c r="E11423" s="4"/>
      <c r="F11423" s="4"/>
      <c r="G11423" s="33" t="str">
        <f>IFERROR(VLOOKUP($D11423,'Informations sur les produits'!$A$3:$H$10000,8,FALSE),"0")</f>
        <v>0</v>
      </c>
      <c r="K11423" s="4"/>
      <c r="L11423" s="33" t="str">
        <f>IFERROR(VLOOKUP($J11423,'Informations sur les produits'!$A$3:$H$10000,8,FALSE),"0")</f>
        <v>0</v>
      </c>
      <c r="N11423" s="8"/>
      <c r="O11423" s="33" t="str">
        <f>IFERROR(VLOOKUP($M11423,'Informations sur les produits'!$A$3:$H$10000,8,FALSE),"0")</f>
        <v>0</v>
      </c>
      <c r="P11423" s="33">
        <f t="shared" si="712"/>
        <v>0</v>
      </c>
      <c r="Q11423" s="31" t="str">
        <f t="shared" si="713"/>
        <v/>
      </c>
      <c r="R11423" s="32" t="str">
        <f>IFERROR(VLOOKUP($D11423,'Informations sur les produits'!$A$3:$B$15000,2,FALSE),"")</f>
        <v/>
      </c>
      <c r="V11423">
        <f t="shared" si="714"/>
        <v>0</v>
      </c>
      <c r="W11423">
        <f t="shared" si="715"/>
        <v>0</v>
      </c>
    </row>
    <row r="11424" spans="5:23" x14ac:dyDescent="0.25">
      <c r="E11424" s="4"/>
      <c r="F11424" s="4"/>
      <c r="G11424" s="33" t="str">
        <f>IFERROR(VLOOKUP($D11424,'Informations sur les produits'!$A$3:$H$10000,8,FALSE),"0")</f>
        <v>0</v>
      </c>
      <c r="K11424" s="4"/>
      <c r="L11424" s="33" t="str">
        <f>IFERROR(VLOOKUP($J11424,'Informations sur les produits'!$A$3:$H$10000,8,FALSE),"0")</f>
        <v>0</v>
      </c>
      <c r="N11424" s="8"/>
      <c r="O11424" s="33" t="str">
        <f>IFERROR(VLOOKUP($M11424,'Informations sur les produits'!$A$3:$H$10000,8,FALSE),"0")</f>
        <v>0</v>
      </c>
      <c r="P11424" s="33">
        <f t="shared" si="712"/>
        <v>0</v>
      </c>
      <c r="Q11424" s="31" t="str">
        <f t="shared" si="713"/>
        <v/>
      </c>
      <c r="R11424" s="32" t="str">
        <f>IFERROR(VLOOKUP($D11424,'Informations sur les produits'!$A$3:$B$15000,2,FALSE),"")</f>
        <v/>
      </c>
      <c r="V11424">
        <f t="shared" si="714"/>
        <v>0</v>
      </c>
      <c r="W11424">
        <f t="shared" si="715"/>
        <v>0</v>
      </c>
    </row>
    <row r="11425" spans="5:23" x14ac:dyDescent="0.25">
      <c r="E11425" s="4"/>
      <c r="F11425" s="4"/>
      <c r="G11425" s="33" t="str">
        <f>IFERROR(VLOOKUP($D11425,'Informations sur les produits'!$A$3:$H$10000,8,FALSE),"0")</f>
        <v>0</v>
      </c>
      <c r="K11425" s="4"/>
      <c r="L11425" s="33" t="str">
        <f>IFERROR(VLOOKUP($J11425,'Informations sur les produits'!$A$3:$H$10000,8,FALSE),"0")</f>
        <v>0</v>
      </c>
      <c r="N11425" s="8"/>
      <c r="O11425" s="33" t="str">
        <f>IFERROR(VLOOKUP($M11425,'Informations sur les produits'!$A$3:$H$10000,8,FALSE),"0")</f>
        <v>0</v>
      </c>
      <c r="P11425" s="33">
        <f t="shared" si="712"/>
        <v>0</v>
      </c>
      <c r="Q11425" s="31" t="str">
        <f t="shared" si="713"/>
        <v/>
      </c>
      <c r="R11425" s="32" t="str">
        <f>IFERROR(VLOOKUP($D11425,'Informations sur les produits'!$A$3:$B$15000,2,FALSE),"")</f>
        <v/>
      </c>
      <c r="V11425">
        <f t="shared" si="714"/>
        <v>0</v>
      </c>
      <c r="W11425">
        <f t="shared" si="715"/>
        <v>0</v>
      </c>
    </row>
    <row r="11426" spans="5:23" x14ac:dyDescent="0.25">
      <c r="E11426" s="4"/>
      <c r="F11426" s="4"/>
      <c r="G11426" s="33" t="str">
        <f>IFERROR(VLOOKUP($D11426,'Informations sur les produits'!$A$3:$H$10000,8,FALSE),"0")</f>
        <v>0</v>
      </c>
      <c r="K11426" s="4"/>
      <c r="L11426" s="33" t="str">
        <f>IFERROR(VLOOKUP($J11426,'Informations sur les produits'!$A$3:$H$10000,8,FALSE),"0")</f>
        <v>0</v>
      </c>
      <c r="N11426" s="8"/>
      <c r="O11426" s="33" t="str">
        <f>IFERROR(VLOOKUP($M11426,'Informations sur les produits'!$A$3:$H$10000,8,FALSE),"0")</f>
        <v>0</v>
      </c>
      <c r="P11426" s="33">
        <f t="shared" si="712"/>
        <v>0</v>
      </c>
      <c r="Q11426" s="31" t="str">
        <f t="shared" si="713"/>
        <v/>
      </c>
      <c r="R11426" s="32" t="str">
        <f>IFERROR(VLOOKUP($D11426,'Informations sur les produits'!$A$3:$B$15000,2,FALSE),"")</f>
        <v/>
      </c>
      <c r="V11426">
        <f t="shared" si="714"/>
        <v>0</v>
      </c>
      <c r="W11426">
        <f t="shared" si="715"/>
        <v>0</v>
      </c>
    </row>
    <row r="11427" spans="5:23" x14ac:dyDescent="0.25">
      <c r="E11427" s="4"/>
      <c r="F11427" s="4"/>
      <c r="G11427" s="33" t="str">
        <f>IFERROR(VLOOKUP($D11427,'Informations sur les produits'!$A$3:$H$10000,8,FALSE),"0")</f>
        <v>0</v>
      </c>
      <c r="K11427" s="4"/>
      <c r="L11427" s="33" t="str">
        <f>IFERROR(VLOOKUP($J11427,'Informations sur les produits'!$A$3:$H$10000,8,FALSE),"0")</f>
        <v>0</v>
      </c>
      <c r="N11427" s="8"/>
      <c r="O11427" s="33" t="str">
        <f>IFERROR(VLOOKUP($M11427,'Informations sur les produits'!$A$3:$H$10000,8,FALSE),"0")</f>
        <v>0</v>
      </c>
      <c r="P11427" s="33">
        <f t="shared" si="712"/>
        <v>0</v>
      </c>
      <c r="Q11427" s="31" t="str">
        <f t="shared" si="713"/>
        <v/>
      </c>
      <c r="R11427" s="32" t="str">
        <f>IFERROR(VLOOKUP($D11427,'Informations sur les produits'!$A$3:$B$15000,2,FALSE),"")</f>
        <v/>
      </c>
      <c r="V11427">
        <f t="shared" si="714"/>
        <v>0</v>
      </c>
      <c r="W11427">
        <f t="shared" si="715"/>
        <v>0</v>
      </c>
    </row>
    <row r="11428" spans="5:23" x14ac:dyDescent="0.25">
      <c r="E11428" s="4"/>
      <c r="F11428" s="4"/>
      <c r="G11428" s="33" t="str">
        <f>IFERROR(VLOOKUP($D11428,'Informations sur les produits'!$A$3:$H$10000,8,FALSE),"0")</f>
        <v>0</v>
      </c>
      <c r="K11428" s="4"/>
      <c r="L11428" s="33" t="str">
        <f>IFERROR(VLOOKUP($J11428,'Informations sur les produits'!$A$3:$H$10000,8,FALSE),"0")</f>
        <v>0</v>
      </c>
      <c r="N11428" s="8"/>
      <c r="O11428" s="33" t="str">
        <f>IFERROR(VLOOKUP($M11428,'Informations sur les produits'!$A$3:$H$10000,8,FALSE),"0")</f>
        <v>0</v>
      </c>
      <c r="P11428" s="33">
        <f t="shared" si="712"/>
        <v>0</v>
      </c>
      <c r="Q11428" s="31" t="str">
        <f t="shared" si="713"/>
        <v/>
      </c>
      <c r="R11428" s="32" t="str">
        <f>IFERROR(VLOOKUP($D11428,'Informations sur les produits'!$A$3:$B$15000,2,FALSE),"")</f>
        <v/>
      </c>
      <c r="V11428">
        <f t="shared" si="714"/>
        <v>0</v>
      </c>
      <c r="W11428">
        <f t="shared" si="715"/>
        <v>0</v>
      </c>
    </row>
    <row r="11429" spans="5:23" x14ac:dyDescent="0.25">
      <c r="E11429" s="4"/>
      <c r="F11429" s="4"/>
      <c r="G11429" s="33" t="str">
        <f>IFERROR(VLOOKUP($D11429,'Informations sur les produits'!$A$3:$H$10000,8,FALSE),"0")</f>
        <v>0</v>
      </c>
      <c r="K11429" s="4"/>
      <c r="L11429" s="33" t="str">
        <f>IFERROR(VLOOKUP($J11429,'Informations sur les produits'!$A$3:$H$10000,8,FALSE),"0")</f>
        <v>0</v>
      </c>
      <c r="N11429" s="8"/>
      <c r="O11429" s="33" t="str">
        <f>IFERROR(VLOOKUP($M11429,'Informations sur les produits'!$A$3:$H$10000,8,FALSE),"0")</f>
        <v>0</v>
      </c>
      <c r="P11429" s="33">
        <f t="shared" si="712"/>
        <v>0</v>
      </c>
      <c r="Q11429" s="31" t="str">
        <f t="shared" si="713"/>
        <v/>
      </c>
      <c r="R11429" s="32" t="str">
        <f>IFERROR(VLOOKUP($D11429,'Informations sur les produits'!$A$3:$B$15000,2,FALSE),"")</f>
        <v/>
      </c>
      <c r="V11429">
        <f t="shared" si="714"/>
        <v>0</v>
      </c>
      <c r="W11429">
        <f t="shared" si="715"/>
        <v>0</v>
      </c>
    </row>
    <row r="11430" spans="5:23" x14ac:dyDescent="0.25">
      <c r="E11430" s="4"/>
      <c r="F11430" s="4"/>
      <c r="G11430" s="33" t="str">
        <f>IFERROR(VLOOKUP($D11430,'Informations sur les produits'!$A$3:$H$10000,8,FALSE),"0")</f>
        <v>0</v>
      </c>
      <c r="K11430" s="4"/>
      <c r="L11430" s="33" t="str">
        <f>IFERROR(VLOOKUP($J11430,'Informations sur les produits'!$A$3:$H$10000,8,FALSE),"0")</f>
        <v>0</v>
      </c>
      <c r="N11430" s="8"/>
      <c r="O11430" s="33" t="str">
        <f>IFERROR(VLOOKUP($M11430,'Informations sur les produits'!$A$3:$H$10000,8,FALSE),"0")</f>
        <v>0</v>
      </c>
      <c r="P11430" s="33">
        <f t="shared" si="712"/>
        <v>0</v>
      </c>
      <c r="Q11430" s="31" t="str">
        <f t="shared" si="713"/>
        <v/>
      </c>
      <c r="R11430" s="32" t="str">
        <f>IFERROR(VLOOKUP($D11430,'Informations sur les produits'!$A$3:$B$15000,2,FALSE),"")</f>
        <v/>
      </c>
      <c r="V11430">
        <f t="shared" si="714"/>
        <v>0</v>
      </c>
      <c r="W11430">
        <f t="shared" si="715"/>
        <v>0</v>
      </c>
    </row>
    <row r="11431" spans="5:23" x14ac:dyDescent="0.25">
      <c r="E11431" s="4"/>
      <c r="F11431" s="4"/>
      <c r="G11431" s="33" t="str">
        <f>IFERROR(VLOOKUP($D11431,'Informations sur les produits'!$A$3:$H$10000,8,FALSE),"0")</f>
        <v>0</v>
      </c>
      <c r="K11431" s="4"/>
      <c r="L11431" s="33" t="str">
        <f>IFERROR(VLOOKUP($J11431,'Informations sur les produits'!$A$3:$H$10000,8,FALSE),"0")</f>
        <v>0</v>
      </c>
      <c r="N11431" s="8"/>
      <c r="O11431" s="33" t="str">
        <f>IFERROR(VLOOKUP($M11431,'Informations sur les produits'!$A$3:$H$10000,8,FALSE),"0")</f>
        <v>0</v>
      </c>
      <c r="P11431" s="33">
        <f t="shared" si="712"/>
        <v>0</v>
      </c>
      <c r="Q11431" s="31" t="str">
        <f t="shared" si="713"/>
        <v/>
      </c>
      <c r="R11431" s="32" t="str">
        <f>IFERROR(VLOOKUP($D11431,'Informations sur les produits'!$A$3:$B$15000,2,FALSE),"")</f>
        <v/>
      </c>
      <c r="V11431">
        <f t="shared" si="714"/>
        <v>0</v>
      </c>
      <c r="W11431">
        <f t="shared" si="715"/>
        <v>0</v>
      </c>
    </row>
    <row r="11432" spans="5:23" x14ac:dyDescent="0.25">
      <c r="E11432" s="4"/>
      <c r="F11432" s="4"/>
      <c r="G11432" s="33" t="str">
        <f>IFERROR(VLOOKUP($D11432,'Informations sur les produits'!$A$3:$H$10000,8,FALSE),"0")</f>
        <v>0</v>
      </c>
      <c r="K11432" s="4"/>
      <c r="L11432" s="33" t="str">
        <f>IFERROR(VLOOKUP($J11432,'Informations sur les produits'!$A$3:$H$10000,8,FALSE),"0")</f>
        <v>0</v>
      </c>
      <c r="N11432" s="8"/>
      <c r="O11432" s="33" t="str">
        <f>IFERROR(VLOOKUP($M11432,'Informations sur les produits'!$A$3:$H$10000,8,FALSE),"0")</f>
        <v>0</v>
      </c>
      <c r="P11432" s="33">
        <f t="shared" si="712"/>
        <v>0</v>
      </c>
      <c r="Q11432" s="31" t="str">
        <f t="shared" si="713"/>
        <v/>
      </c>
      <c r="R11432" s="32" t="str">
        <f>IFERROR(VLOOKUP($D11432,'Informations sur les produits'!$A$3:$B$15000,2,FALSE),"")</f>
        <v/>
      </c>
      <c r="V11432">
        <f t="shared" si="714"/>
        <v>0</v>
      </c>
      <c r="W11432">
        <f t="shared" si="715"/>
        <v>0</v>
      </c>
    </row>
    <row r="11433" spans="5:23" x14ac:dyDescent="0.25">
      <c r="E11433" s="4"/>
      <c r="F11433" s="4"/>
      <c r="G11433" s="33" t="str">
        <f>IFERROR(VLOOKUP($D11433,'Informations sur les produits'!$A$3:$H$10000,8,FALSE),"0")</f>
        <v>0</v>
      </c>
      <c r="K11433" s="4"/>
      <c r="L11433" s="33" t="str">
        <f>IFERROR(VLOOKUP($J11433,'Informations sur les produits'!$A$3:$H$10000,8,FALSE),"0")</f>
        <v>0</v>
      </c>
      <c r="N11433" s="8"/>
      <c r="O11433" s="33" t="str">
        <f>IFERROR(VLOOKUP($M11433,'Informations sur les produits'!$A$3:$H$10000,8,FALSE),"0")</f>
        <v>0</v>
      </c>
      <c r="P11433" s="33">
        <f t="shared" si="712"/>
        <v>0</v>
      </c>
      <c r="Q11433" s="31" t="str">
        <f t="shared" si="713"/>
        <v/>
      </c>
      <c r="R11433" s="32" t="str">
        <f>IFERROR(VLOOKUP($D11433,'Informations sur les produits'!$A$3:$B$15000,2,FALSE),"")</f>
        <v/>
      </c>
      <c r="V11433">
        <f t="shared" si="714"/>
        <v>0</v>
      </c>
      <c r="W11433">
        <f t="shared" si="715"/>
        <v>0</v>
      </c>
    </row>
    <row r="11434" spans="5:23" x14ac:dyDescent="0.25">
      <c r="E11434" s="4"/>
      <c r="F11434" s="4"/>
      <c r="G11434" s="33" t="str">
        <f>IFERROR(VLOOKUP($D11434,'Informations sur les produits'!$A$3:$H$10000,8,FALSE),"0")</f>
        <v>0</v>
      </c>
      <c r="K11434" s="4"/>
      <c r="L11434" s="33" t="str">
        <f>IFERROR(VLOOKUP($J11434,'Informations sur les produits'!$A$3:$H$10000,8,FALSE),"0")</f>
        <v>0</v>
      </c>
      <c r="N11434" s="8"/>
      <c r="O11434" s="33" t="str">
        <f>IFERROR(VLOOKUP($M11434,'Informations sur les produits'!$A$3:$H$10000,8,FALSE),"0")</f>
        <v>0</v>
      </c>
      <c r="P11434" s="33">
        <f t="shared" si="712"/>
        <v>0</v>
      </c>
      <c r="Q11434" s="31" t="str">
        <f t="shared" si="713"/>
        <v/>
      </c>
      <c r="R11434" s="32" t="str">
        <f>IFERROR(VLOOKUP($D11434,'Informations sur les produits'!$A$3:$B$15000,2,FALSE),"")</f>
        <v/>
      </c>
      <c r="V11434">
        <f t="shared" si="714"/>
        <v>0</v>
      </c>
      <c r="W11434">
        <f t="shared" si="715"/>
        <v>0</v>
      </c>
    </row>
    <row r="11435" spans="5:23" x14ac:dyDescent="0.25">
      <c r="E11435" s="4"/>
      <c r="F11435" s="4"/>
      <c r="G11435" s="33" t="str">
        <f>IFERROR(VLOOKUP($D11435,'Informations sur les produits'!$A$3:$H$10000,8,FALSE),"0")</f>
        <v>0</v>
      </c>
      <c r="K11435" s="4"/>
      <c r="L11435" s="33" t="str">
        <f>IFERROR(VLOOKUP($J11435,'Informations sur les produits'!$A$3:$H$10000,8,FALSE),"0")</f>
        <v>0</v>
      </c>
      <c r="N11435" s="8"/>
      <c r="O11435" s="33" t="str">
        <f>IFERROR(VLOOKUP($M11435,'Informations sur les produits'!$A$3:$H$10000,8,FALSE),"0")</f>
        <v>0</v>
      </c>
      <c r="P11435" s="33">
        <f t="shared" si="712"/>
        <v>0</v>
      </c>
      <c r="Q11435" s="31" t="str">
        <f t="shared" si="713"/>
        <v/>
      </c>
      <c r="R11435" s="32" t="str">
        <f>IFERROR(VLOOKUP($D11435,'Informations sur les produits'!$A$3:$B$15000,2,FALSE),"")</f>
        <v/>
      </c>
      <c r="V11435">
        <f t="shared" si="714"/>
        <v>0</v>
      </c>
      <c r="W11435">
        <f t="shared" si="715"/>
        <v>0</v>
      </c>
    </row>
    <row r="11436" spans="5:23" x14ac:dyDescent="0.25">
      <c r="E11436" s="4"/>
      <c r="F11436" s="4"/>
      <c r="G11436" s="33" t="str">
        <f>IFERROR(VLOOKUP($D11436,'Informations sur les produits'!$A$3:$H$10000,8,FALSE),"0")</f>
        <v>0</v>
      </c>
      <c r="K11436" s="4"/>
      <c r="L11436" s="33" t="str">
        <f>IFERROR(VLOOKUP($J11436,'Informations sur les produits'!$A$3:$H$10000,8,FALSE),"0")</f>
        <v>0</v>
      </c>
      <c r="N11436" s="8"/>
      <c r="O11436" s="33" t="str">
        <f>IFERROR(VLOOKUP($M11436,'Informations sur les produits'!$A$3:$H$10000,8,FALSE),"0")</f>
        <v>0</v>
      </c>
      <c r="P11436" s="33">
        <f t="shared" si="712"/>
        <v>0</v>
      </c>
      <c r="Q11436" s="31" t="str">
        <f t="shared" si="713"/>
        <v/>
      </c>
      <c r="R11436" s="32" t="str">
        <f>IFERROR(VLOOKUP($D11436,'Informations sur les produits'!$A$3:$B$15000,2,FALSE),"")</f>
        <v/>
      </c>
      <c r="V11436">
        <f t="shared" si="714"/>
        <v>0</v>
      </c>
      <c r="W11436">
        <f t="shared" si="715"/>
        <v>0</v>
      </c>
    </row>
    <row r="11437" spans="5:23" x14ac:dyDescent="0.25">
      <c r="E11437" s="4"/>
      <c r="F11437" s="4"/>
      <c r="G11437" s="33" t="str">
        <f>IFERROR(VLOOKUP($D11437,'Informations sur les produits'!$A$3:$H$10000,8,FALSE),"0")</f>
        <v>0</v>
      </c>
      <c r="K11437" s="4"/>
      <c r="L11437" s="33" t="str">
        <f>IFERROR(VLOOKUP($J11437,'Informations sur les produits'!$A$3:$H$10000,8,FALSE),"0")</f>
        <v>0</v>
      </c>
      <c r="N11437" s="8"/>
      <c r="O11437" s="33" t="str">
        <f>IFERROR(VLOOKUP($M11437,'Informations sur les produits'!$A$3:$H$10000,8,FALSE),"0")</f>
        <v>0</v>
      </c>
      <c r="P11437" s="33">
        <f t="shared" si="712"/>
        <v>0</v>
      </c>
      <c r="Q11437" s="31" t="str">
        <f t="shared" si="713"/>
        <v/>
      </c>
      <c r="R11437" s="32" t="str">
        <f>IFERROR(VLOOKUP($D11437,'Informations sur les produits'!$A$3:$B$15000,2,FALSE),"")</f>
        <v/>
      </c>
      <c r="V11437">
        <f t="shared" si="714"/>
        <v>0</v>
      </c>
      <c r="W11437">
        <f t="shared" si="715"/>
        <v>0</v>
      </c>
    </row>
    <row r="11438" spans="5:23" x14ac:dyDescent="0.25">
      <c r="E11438" s="4"/>
      <c r="F11438" s="4"/>
      <c r="G11438" s="33" t="str">
        <f>IFERROR(VLOOKUP($D11438,'Informations sur les produits'!$A$3:$H$10000,8,FALSE),"0")</f>
        <v>0</v>
      </c>
      <c r="K11438" s="4"/>
      <c r="L11438" s="33" t="str">
        <f>IFERROR(VLOOKUP($J11438,'Informations sur les produits'!$A$3:$H$10000,8,FALSE),"0")</f>
        <v>0</v>
      </c>
      <c r="N11438" s="8"/>
      <c r="O11438" s="33" t="str">
        <f>IFERROR(VLOOKUP($M11438,'Informations sur les produits'!$A$3:$H$10000,8,FALSE),"0")</f>
        <v>0</v>
      </c>
      <c r="P11438" s="33">
        <f t="shared" si="712"/>
        <v>0</v>
      </c>
      <c r="Q11438" s="31" t="str">
        <f t="shared" si="713"/>
        <v/>
      </c>
      <c r="R11438" s="32" t="str">
        <f>IFERROR(VLOOKUP($D11438,'Informations sur les produits'!$A$3:$B$15000,2,FALSE),"")</f>
        <v/>
      </c>
      <c r="V11438">
        <f t="shared" si="714"/>
        <v>0</v>
      </c>
      <c r="W11438">
        <f t="shared" si="715"/>
        <v>0</v>
      </c>
    </row>
    <row r="11439" spans="5:23" x14ac:dyDescent="0.25">
      <c r="E11439" s="4"/>
      <c r="F11439" s="4"/>
      <c r="G11439" s="33" t="str">
        <f>IFERROR(VLOOKUP($D11439,'Informations sur les produits'!$A$3:$H$10000,8,FALSE),"0")</f>
        <v>0</v>
      </c>
      <c r="K11439" s="4"/>
      <c r="L11439" s="33" t="str">
        <f>IFERROR(VLOOKUP($J11439,'Informations sur les produits'!$A$3:$H$10000,8,FALSE),"0")</f>
        <v>0</v>
      </c>
      <c r="N11439" s="8"/>
      <c r="O11439" s="33" t="str">
        <f>IFERROR(VLOOKUP($M11439,'Informations sur les produits'!$A$3:$H$10000,8,FALSE),"0")</f>
        <v>0</v>
      </c>
      <c r="P11439" s="33">
        <f t="shared" si="712"/>
        <v>0</v>
      </c>
      <c r="Q11439" s="31" t="str">
        <f t="shared" si="713"/>
        <v/>
      </c>
      <c r="R11439" s="32" t="str">
        <f>IFERROR(VLOOKUP($D11439,'Informations sur les produits'!$A$3:$B$15000,2,FALSE),"")</f>
        <v/>
      </c>
      <c r="V11439">
        <f t="shared" si="714"/>
        <v>0</v>
      </c>
      <c r="W11439">
        <f t="shared" si="715"/>
        <v>0</v>
      </c>
    </row>
    <row r="11440" spans="5:23" x14ac:dyDescent="0.25">
      <c r="E11440" s="4"/>
      <c r="F11440" s="4"/>
      <c r="G11440" s="33" t="str">
        <f>IFERROR(VLOOKUP($D11440,'Informations sur les produits'!$A$3:$H$10000,8,FALSE),"0")</f>
        <v>0</v>
      </c>
      <c r="K11440" s="4"/>
      <c r="L11440" s="33" t="str">
        <f>IFERROR(VLOOKUP($J11440,'Informations sur les produits'!$A$3:$H$10000,8,FALSE),"0")</f>
        <v>0</v>
      </c>
      <c r="N11440" s="8"/>
      <c r="O11440" s="33" t="str">
        <f>IFERROR(VLOOKUP($M11440,'Informations sur les produits'!$A$3:$H$10000,8,FALSE),"0")</f>
        <v>0</v>
      </c>
      <c r="P11440" s="33">
        <f t="shared" si="712"/>
        <v>0</v>
      </c>
      <c r="Q11440" s="31" t="str">
        <f t="shared" si="713"/>
        <v/>
      </c>
      <c r="R11440" s="32" t="str">
        <f>IFERROR(VLOOKUP($D11440,'Informations sur les produits'!$A$3:$B$15000,2,FALSE),"")</f>
        <v/>
      </c>
      <c r="V11440">
        <f t="shared" si="714"/>
        <v>0</v>
      </c>
      <c r="W11440">
        <f t="shared" si="715"/>
        <v>0</v>
      </c>
    </row>
    <row r="11441" spans="5:23" x14ac:dyDescent="0.25">
      <c r="E11441" s="4"/>
      <c r="F11441" s="4"/>
      <c r="G11441" s="33" t="str">
        <f>IFERROR(VLOOKUP($D11441,'Informations sur les produits'!$A$3:$H$10000,8,FALSE),"0")</f>
        <v>0</v>
      </c>
      <c r="K11441" s="4"/>
      <c r="L11441" s="33" t="str">
        <f>IFERROR(VLOOKUP($J11441,'Informations sur les produits'!$A$3:$H$10000,8,FALSE),"0")</f>
        <v>0</v>
      </c>
      <c r="N11441" s="8"/>
      <c r="O11441" s="33" t="str">
        <f>IFERROR(VLOOKUP($M11441,'Informations sur les produits'!$A$3:$H$10000,8,FALSE),"0")</f>
        <v>0</v>
      </c>
      <c r="P11441" s="33">
        <f t="shared" si="712"/>
        <v>0</v>
      </c>
      <c r="Q11441" s="31" t="str">
        <f t="shared" si="713"/>
        <v/>
      </c>
      <c r="R11441" s="32" t="str">
        <f>IFERROR(VLOOKUP($D11441,'Informations sur les produits'!$A$3:$B$15000,2,FALSE),"")</f>
        <v/>
      </c>
      <c r="V11441">
        <f t="shared" si="714"/>
        <v>0</v>
      </c>
      <c r="W11441">
        <f t="shared" si="715"/>
        <v>0</v>
      </c>
    </row>
    <row r="11442" spans="5:23" x14ac:dyDescent="0.25">
      <c r="E11442" s="4"/>
      <c r="F11442" s="4"/>
      <c r="G11442" s="33" t="str">
        <f>IFERROR(VLOOKUP($D11442,'Informations sur les produits'!$A$3:$H$10000,8,FALSE),"0")</f>
        <v>0</v>
      </c>
      <c r="K11442" s="4"/>
      <c r="L11442" s="33" t="str">
        <f>IFERROR(VLOOKUP($J11442,'Informations sur les produits'!$A$3:$H$10000,8,FALSE),"0")</f>
        <v>0</v>
      </c>
      <c r="N11442" s="8"/>
      <c r="O11442" s="33" t="str">
        <f>IFERROR(VLOOKUP($M11442,'Informations sur les produits'!$A$3:$H$10000,8,FALSE),"0")</f>
        <v>0</v>
      </c>
      <c r="P11442" s="33">
        <f t="shared" si="712"/>
        <v>0</v>
      </c>
      <c r="Q11442" s="31" t="str">
        <f t="shared" si="713"/>
        <v/>
      </c>
      <c r="R11442" s="32" t="str">
        <f>IFERROR(VLOOKUP($D11442,'Informations sur les produits'!$A$3:$B$15000,2,FALSE),"")</f>
        <v/>
      </c>
      <c r="V11442">
        <f t="shared" si="714"/>
        <v>0</v>
      </c>
      <c r="W11442">
        <f t="shared" si="715"/>
        <v>0</v>
      </c>
    </row>
    <row r="11443" spans="5:23" x14ac:dyDescent="0.25">
      <c r="E11443" s="4"/>
      <c r="F11443" s="4"/>
      <c r="G11443" s="33" t="str">
        <f>IFERROR(VLOOKUP($D11443,'Informations sur les produits'!$A$3:$H$10000,8,FALSE),"0")</f>
        <v>0</v>
      </c>
      <c r="K11443" s="4"/>
      <c r="L11443" s="33" t="str">
        <f>IFERROR(VLOOKUP($J11443,'Informations sur les produits'!$A$3:$H$10000,8,FALSE),"0")</f>
        <v>0</v>
      </c>
      <c r="N11443" s="8"/>
      <c r="O11443" s="33" t="str">
        <f>IFERROR(VLOOKUP($M11443,'Informations sur les produits'!$A$3:$H$10000,8,FALSE),"0")</f>
        <v>0</v>
      </c>
      <c r="P11443" s="33">
        <f t="shared" si="712"/>
        <v>0</v>
      </c>
      <c r="Q11443" s="31" t="str">
        <f t="shared" si="713"/>
        <v/>
      </c>
      <c r="R11443" s="32" t="str">
        <f>IFERROR(VLOOKUP($D11443,'Informations sur les produits'!$A$3:$B$15000,2,FALSE),"")</f>
        <v/>
      </c>
      <c r="V11443">
        <f t="shared" si="714"/>
        <v>0</v>
      </c>
      <c r="W11443">
        <f t="shared" si="715"/>
        <v>0</v>
      </c>
    </row>
    <row r="11444" spans="5:23" x14ac:dyDescent="0.25">
      <c r="E11444" s="4"/>
      <c r="F11444" s="4"/>
      <c r="G11444" s="33" t="str">
        <f>IFERROR(VLOOKUP($D11444,'Informations sur les produits'!$A$3:$H$10000,8,FALSE),"0")</f>
        <v>0</v>
      </c>
      <c r="K11444" s="4"/>
      <c r="L11444" s="33" t="str">
        <f>IFERROR(VLOOKUP($J11444,'Informations sur les produits'!$A$3:$H$10000,8,FALSE),"0")</f>
        <v>0</v>
      </c>
      <c r="N11444" s="8"/>
      <c r="O11444" s="33" t="str">
        <f>IFERROR(VLOOKUP($M11444,'Informations sur les produits'!$A$3:$H$10000,8,FALSE),"0")</f>
        <v>0</v>
      </c>
      <c r="P11444" s="33">
        <f t="shared" si="712"/>
        <v>0</v>
      </c>
      <c r="Q11444" s="31" t="str">
        <f t="shared" si="713"/>
        <v/>
      </c>
      <c r="R11444" s="32" t="str">
        <f>IFERROR(VLOOKUP($D11444,'Informations sur les produits'!$A$3:$B$15000,2,FALSE),"")</f>
        <v/>
      </c>
      <c r="V11444">
        <f t="shared" si="714"/>
        <v>0</v>
      </c>
      <c r="W11444">
        <f t="shared" si="715"/>
        <v>0</v>
      </c>
    </row>
    <row r="11445" spans="5:23" x14ac:dyDescent="0.25">
      <c r="E11445" s="4"/>
      <c r="F11445" s="4"/>
      <c r="G11445" s="33" t="str">
        <f>IFERROR(VLOOKUP($D11445,'Informations sur les produits'!$A$3:$H$10000,8,FALSE),"0")</f>
        <v>0</v>
      </c>
      <c r="K11445" s="4"/>
      <c r="L11445" s="33" t="str">
        <f>IFERROR(VLOOKUP($J11445,'Informations sur les produits'!$A$3:$H$10000,8,FALSE),"0")</f>
        <v>0</v>
      </c>
      <c r="N11445" s="8"/>
      <c r="O11445" s="33" t="str">
        <f>IFERROR(VLOOKUP($M11445,'Informations sur les produits'!$A$3:$H$10000,8,FALSE),"0")</f>
        <v>0</v>
      </c>
      <c r="P11445" s="33">
        <f t="shared" si="712"/>
        <v>0</v>
      </c>
      <c r="Q11445" s="31" t="str">
        <f t="shared" si="713"/>
        <v/>
      </c>
      <c r="R11445" s="32" t="str">
        <f>IFERROR(VLOOKUP($D11445,'Informations sur les produits'!$A$3:$B$15000,2,FALSE),"")</f>
        <v/>
      </c>
      <c r="V11445">
        <f t="shared" si="714"/>
        <v>0</v>
      </c>
      <c r="W11445">
        <f t="shared" si="715"/>
        <v>0</v>
      </c>
    </row>
    <row r="11446" spans="5:23" x14ac:dyDescent="0.25">
      <c r="E11446" s="4"/>
      <c r="F11446" s="4"/>
      <c r="G11446" s="33" t="str">
        <f>IFERROR(VLOOKUP($D11446,'Informations sur les produits'!$A$3:$H$10000,8,FALSE),"0")</f>
        <v>0</v>
      </c>
      <c r="K11446" s="4"/>
      <c r="L11446" s="33" t="str">
        <f>IFERROR(VLOOKUP($J11446,'Informations sur les produits'!$A$3:$H$10000,8,FALSE),"0")</f>
        <v>0</v>
      </c>
      <c r="N11446" s="8"/>
      <c r="O11446" s="33" t="str">
        <f>IFERROR(VLOOKUP($M11446,'Informations sur les produits'!$A$3:$H$10000,8,FALSE),"0")</f>
        <v>0</v>
      </c>
      <c r="P11446" s="33">
        <f t="shared" si="712"/>
        <v>0</v>
      </c>
      <c r="Q11446" s="31" t="str">
        <f t="shared" si="713"/>
        <v/>
      </c>
      <c r="R11446" s="32" t="str">
        <f>IFERROR(VLOOKUP($D11446,'Informations sur les produits'!$A$3:$B$15000,2,FALSE),"")</f>
        <v/>
      </c>
      <c r="V11446">
        <f t="shared" si="714"/>
        <v>0</v>
      </c>
      <c r="W11446">
        <f t="shared" si="715"/>
        <v>0</v>
      </c>
    </row>
    <row r="11447" spans="5:23" x14ac:dyDescent="0.25">
      <c r="E11447" s="4"/>
      <c r="F11447" s="4"/>
      <c r="G11447" s="33" t="str">
        <f>IFERROR(VLOOKUP($D11447,'Informations sur les produits'!$A$3:$H$10000,8,FALSE),"0")</f>
        <v>0</v>
      </c>
      <c r="K11447" s="4"/>
      <c r="L11447" s="33" t="str">
        <f>IFERROR(VLOOKUP($J11447,'Informations sur les produits'!$A$3:$H$10000,8,FALSE),"0")</f>
        <v>0</v>
      </c>
      <c r="N11447" s="8"/>
      <c r="O11447" s="33" t="str">
        <f>IFERROR(VLOOKUP($M11447,'Informations sur les produits'!$A$3:$H$10000,8,FALSE),"0")</f>
        <v>0</v>
      </c>
      <c r="P11447" s="33">
        <f t="shared" si="712"/>
        <v>0</v>
      </c>
      <c r="Q11447" s="31" t="str">
        <f t="shared" si="713"/>
        <v/>
      </c>
      <c r="R11447" s="32" t="str">
        <f>IFERROR(VLOOKUP($D11447,'Informations sur les produits'!$A$3:$B$15000,2,FALSE),"")</f>
        <v/>
      </c>
      <c r="V11447">
        <f t="shared" si="714"/>
        <v>0</v>
      </c>
      <c r="W11447">
        <f t="shared" si="715"/>
        <v>0</v>
      </c>
    </row>
    <row r="11448" spans="5:23" x14ac:dyDescent="0.25">
      <c r="E11448" s="4"/>
      <c r="F11448" s="4"/>
      <c r="G11448" s="33" t="str">
        <f>IFERROR(VLOOKUP($D11448,'Informations sur les produits'!$A$3:$H$10000,8,FALSE),"0")</f>
        <v>0</v>
      </c>
      <c r="K11448" s="4"/>
      <c r="L11448" s="33" t="str">
        <f>IFERROR(VLOOKUP($J11448,'Informations sur les produits'!$A$3:$H$10000,8,FALSE),"0")</f>
        <v>0</v>
      </c>
      <c r="N11448" s="8"/>
      <c r="O11448" s="33" t="str">
        <f>IFERROR(VLOOKUP($M11448,'Informations sur les produits'!$A$3:$H$10000,8,FALSE),"0")</f>
        <v>0</v>
      </c>
      <c r="P11448" s="33">
        <f t="shared" si="712"/>
        <v>0</v>
      </c>
      <c r="Q11448" s="31" t="str">
        <f t="shared" si="713"/>
        <v/>
      </c>
      <c r="R11448" s="32" t="str">
        <f>IFERROR(VLOOKUP($D11448,'Informations sur les produits'!$A$3:$B$15000,2,FALSE),"")</f>
        <v/>
      </c>
      <c r="V11448">
        <f t="shared" si="714"/>
        <v>0</v>
      </c>
      <c r="W11448">
        <f t="shared" si="715"/>
        <v>0</v>
      </c>
    </row>
    <row r="11449" spans="5:23" x14ac:dyDescent="0.25">
      <c r="E11449" s="4"/>
      <c r="F11449" s="4"/>
      <c r="G11449" s="33" t="str">
        <f>IFERROR(VLOOKUP($D11449,'Informations sur les produits'!$A$3:$H$10000,8,FALSE),"0")</f>
        <v>0</v>
      </c>
      <c r="K11449" s="4"/>
      <c r="L11449" s="33" t="str">
        <f>IFERROR(VLOOKUP($J11449,'Informations sur les produits'!$A$3:$H$10000,8,FALSE),"0")</f>
        <v>0</v>
      </c>
      <c r="N11449" s="8"/>
      <c r="O11449" s="33" t="str">
        <f>IFERROR(VLOOKUP($M11449,'Informations sur les produits'!$A$3:$H$10000,8,FALSE),"0")</f>
        <v>0</v>
      </c>
      <c r="P11449" s="33">
        <f t="shared" si="712"/>
        <v>0</v>
      </c>
      <c r="Q11449" s="31" t="str">
        <f t="shared" si="713"/>
        <v/>
      </c>
      <c r="R11449" s="32" t="str">
        <f>IFERROR(VLOOKUP($D11449,'Informations sur les produits'!$A$3:$B$15000,2,FALSE),"")</f>
        <v/>
      </c>
      <c r="V11449">
        <f t="shared" si="714"/>
        <v>0</v>
      </c>
      <c r="W11449">
        <f t="shared" si="715"/>
        <v>0</v>
      </c>
    </row>
    <row r="11450" spans="5:23" x14ac:dyDescent="0.25">
      <c r="E11450" s="4"/>
      <c r="F11450" s="4"/>
      <c r="G11450" s="33" t="str">
        <f>IFERROR(VLOOKUP($D11450,'Informations sur les produits'!$A$3:$H$10000,8,FALSE),"0")</f>
        <v>0</v>
      </c>
      <c r="K11450" s="4"/>
      <c r="L11450" s="33" t="str">
        <f>IFERROR(VLOOKUP($J11450,'Informations sur les produits'!$A$3:$H$10000,8,FALSE),"0")</f>
        <v>0</v>
      </c>
      <c r="N11450" s="8"/>
      <c r="O11450" s="33" t="str">
        <f>IFERROR(VLOOKUP($M11450,'Informations sur les produits'!$A$3:$H$10000,8,FALSE),"0")</f>
        <v>0</v>
      </c>
      <c r="P11450" s="33">
        <f t="shared" si="712"/>
        <v>0</v>
      </c>
      <c r="Q11450" s="31" t="str">
        <f t="shared" si="713"/>
        <v/>
      </c>
      <c r="R11450" s="32" t="str">
        <f>IFERROR(VLOOKUP($D11450,'Informations sur les produits'!$A$3:$B$15000,2,FALSE),"")</f>
        <v/>
      </c>
      <c r="V11450">
        <f t="shared" si="714"/>
        <v>0</v>
      </c>
      <c r="W11450">
        <f t="shared" si="715"/>
        <v>0</v>
      </c>
    </row>
    <row r="11451" spans="5:23" x14ac:dyDescent="0.25">
      <c r="E11451" s="4"/>
      <c r="F11451" s="4"/>
      <c r="G11451" s="33" t="str">
        <f>IFERROR(VLOOKUP($D11451,'Informations sur les produits'!$A$3:$H$10000,8,FALSE),"0")</f>
        <v>0</v>
      </c>
      <c r="K11451" s="4"/>
      <c r="L11451" s="33" t="str">
        <f>IFERROR(VLOOKUP($J11451,'Informations sur les produits'!$A$3:$H$10000,8,FALSE),"0")</f>
        <v>0</v>
      </c>
      <c r="N11451" s="8"/>
      <c r="O11451" s="33" t="str">
        <f>IFERROR(VLOOKUP($M11451,'Informations sur les produits'!$A$3:$H$10000,8,FALSE),"0")</f>
        <v>0</v>
      </c>
      <c r="P11451" s="33">
        <f t="shared" si="712"/>
        <v>0</v>
      </c>
      <c r="Q11451" s="31" t="str">
        <f t="shared" si="713"/>
        <v/>
      </c>
      <c r="R11451" s="32" t="str">
        <f>IFERROR(VLOOKUP($D11451,'Informations sur les produits'!$A$3:$B$15000,2,FALSE),"")</f>
        <v/>
      </c>
      <c r="V11451">
        <f t="shared" si="714"/>
        <v>0</v>
      </c>
      <c r="W11451">
        <f t="shared" si="715"/>
        <v>0</v>
      </c>
    </row>
    <row r="11452" spans="5:23" x14ac:dyDescent="0.25">
      <c r="E11452" s="4"/>
      <c r="F11452" s="4"/>
      <c r="G11452" s="33" t="str">
        <f>IFERROR(VLOOKUP($D11452,'Informations sur les produits'!$A$3:$H$10000,8,FALSE),"0")</f>
        <v>0</v>
      </c>
      <c r="K11452" s="4"/>
      <c r="L11452" s="33" t="str">
        <f>IFERROR(VLOOKUP($J11452,'Informations sur les produits'!$A$3:$H$10000,8,FALSE),"0")</f>
        <v>0</v>
      </c>
      <c r="N11452" s="8"/>
      <c r="O11452" s="33" t="str">
        <f>IFERROR(VLOOKUP($M11452,'Informations sur les produits'!$A$3:$H$10000,8,FALSE),"0")</f>
        <v>0</v>
      </c>
      <c r="P11452" s="33">
        <f t="shared" si="712"/>
        <v>0</v>
      </c>
      <c r="Q11452" s="31" t="str">
        <f t="shared" si="713"/>
        <v/>
      </c>
      <c r="R11452" s="32" t="str">
        <f>IFERROR(VLOOKUP($D11452,'Informations sur les produits'!$A$3:$B$15000,2,FALSE),"")</f>
        <v/>
      </c>
      <c r="V11452">
        <f t="shared" si="714"/>
        <v>0</v>
      </c>
      <c r="W11452">
        <f t="shared" si="715"/>
        <v>0</v>
      </c>
    </row>
    <row r="11453" spans="5:23" x14ac:dyDescent="0.25">
      <c r="E11453" s="4"/>
      <c r="F11453" s="4"/>
      <c r="G11453" s="33" t="str">
        <f>IFERROR(VLOOKUP($D11453,'Informations sur les produits'!$A$3:$H$10000,8,FALSE),"0")</f>
        <v>0</v>
      </c>
      <c r="K11453" s="4"/>
      <c r="L11453" s="33" t="str">
        <f>IFERROR(VLOOKUP($J11453,'Informations sur les produits'!$A$3:$H$10000,8,FALSE),"0")</f>
        <v>0</v>
      </c>
      <c r="N11453" s="8"/>
      <c r="O11453" s="33" t="str">
        <f>IFERROR(VLOOKUP($M11453,'Informations sur les produits'!$A$3:$H$10000,8,FALSE),"0")</f>
        <v>0</v>
      </c>
      <c r="P11453" s="33">
        <f t="shared" si="712"/>
        <v>0</v>
      </c>
      <c r="Q11453" s="31" t="str">
        <f t="shared" si="713"/>
        <v/>
      </c>
      <c r="R11453" s="32" t="str">
        <f>IFERROR(VLOOKUP($D11453,'Informations sur les produits'!$A$3:$B$15000,2,FALSE),"")</f>
        <v/>
      </c>
      <c r="V11453">
        <f t="shared" si="714"/>
        <v>0</v>
      </c>
      <c r="W11453">
        <f t="shared" si="715"/>
        <v>0</v>
      </c>
    </row>
    <row r="11454" spans="5:23" x14ac:dyDescent="0.25">
      <c r="E11454" s="4"/>
      <c r="F11454" s="4"/>
      <c r="G11454" s="33" t="str">
        <f>IFERROR(VLOOKUP($D11454,'Informations sur les produits'!$A$3:$H$10000,8,FALSE),"0")</f>
        <v>0</v>
      </c>
      <c r="K11454" s="4"/>
      <c r="L11454" s="33" t="str">
        <f>IFERROR(VLOOKUP($J11454,'Informations sur les produits'!$A$3:$H$10000,8,FALSE),"0")</f>
        <v>0</v>
      </c>
      <c r="N11454" s="8"/>
      <c r="O11454" s="33" t="str">
        <f>IFERROR(VLOOKUP($M11454,'Informations sur les produits'!$A$3:$H$10000,8,FALSE),"0")</f>
        <v>0</v>
      </c>
      <c r="P11454" s="33">
        <f t="shared" si="712"/>
        <v>0</v>
      </c>
      <c r="Q11454" s="31" t="str">
        <f t="shared" si="713"/>
        <v/>
      </c>
      <c r="R11454" s="32" t="str">
        <f>IFERROR(VLOOKUP($D11454,'Informations sur les produits'!$A$3:$B$15000,2,FALSE),"")</f>
        <v/>
      </c>
      <c r="V11454">
        <f t="shared" si="714"/>
        <v>0</v>
      </c>
      <c r="W11454">
        <f t="shared" si="715"/>
        <v>0</v>
      </c>
    </row>
    <row r="11455" spans="5:23" x14ac:dyDescent="0.25">
      <c r="E11455" s="4"/>
      <c r="F11455" s="4"/>
      <c r="G11455" s="33" t="str">
        <f>IFERROR(VLOOKUP($D11455,'Informations sur les produits'!$A$3:$H$10000,8,FALSE),"0")</f>
        <v>0</v>
      </c>
      <c r="K11455" s="4"/>
      <c r="L11455" s="33" t="str">
        <f>IFERROR(VLOOKUP($J11455,'Informations sur les produits'!$A$3:$H$10000,8,FALSE),"0")</f>
        <v>0</v>
      </c>
      <c r="N11455" s="8"/>
      <c r="O11455" s="33" t="str">
        <f>IFERROR(VLOOKUP($M11455,'Informations sur les produits'!$A$3:$H$10000,8,FALSE),"0")</f>
        <v>0</v>
      </c>
      <c r="P11455" s="33">
        <f t="shared" si="712"/>
        <v>0</v>
      </c>
      <c r="Q11455" s="31" t="str">
        <f t="shared" si="713"/>
        <v/>
      </c>
      <c r="R11455" s="32" t="str">
        <f>IFERROR(VLOOKUP($D11455,'Informations sur les produits'!$A$3:$B$15000,2,FALSE),"")</f>
        <v/>
      </c>
      <c r="V11455">
        <f t="shared" si="714"/>
        <v>0</v>
      </c>
      <c r="W11455">
        <f t="shared" si="715"/>
        <v>0</v>
      </c>
    </row>
    <row r="11456" spans="5:23" x14ac:dyDescent="0.25">
      <c r="E11456" s="4"/>
      <c r="F11456" s="4"/>
      <c r="G11456" s="33" t="str">
        <f>IFERROR(VLOOKUP($D11456,'Informations sur les produits'!$A$3:$H$10000,8,FALSE),"0")</f>
        <v>0</v>
      </c>
      <c r="K11456" s="4"/>
      <c r="L11456" s="33" t="str">
        <f>IFERROR(VLOOKUP($J11456,'Informations sur les produits'!$A$3:$H$10000,8,FALSE),"0")</f>
        <v>0</v>
      </c>
      <c r="N11456" s="8"/>
      <c r="O11456" s="33" t="str">
        <f>IFERROR(VLOOKUP($M11456,'Informations sur les produits'!$A$3:$H$10000,8,FALSE),"0")</f>
        <v>0</v>
      </c>
      <c r="P11456" s="33">
        <f t="shared" si="712"/>
        <v>0</v>
      </c>
      <c r="Q11456" s="31" t="str">
        <f t="shared" si="713"/>
        <v/>
      </c>
      <c r="R11456" s="32" t="str">
        <f>IFERROR(VLOOKUP($D11456,'Informations sur les produits'!$A$3:$B$15000,2,FALSE),"")</f>
        <v/>
      </c>
      <c r="V11456">
        <f t="shared" si="714"/>
        <v>0</v>
      </c>
      <c r="W11456">
        <f t="shared" si="715"/>
        <v>0</v>
      </c>
    </row>
    <row r="11457" spans="5:23" x14ac:dyDescent="0.25">
      <c r="E11457" s="4"/>
      <c r="F11457" s="4"/>
      <c r="G11457" s="33" t="str">
        <f>IFERROR(VLOOKUP($D11457,'Informations sur les produits'!$A$3:$H$10000,8,FALSE),"0")</f>
        <v>0</v>
      </c>
      <c r="K11457" s="4"/>
      <c r="L11457" s="33" t="str">
        <f>IFERROR(VLOOKUP($J11457,'Informations sur les produits'!$A$3:$H$10000,8,FALSE),"0")</f>
        <v>0</v>
      </c>
      <c r="N11457" s="8"/>
      <c r="O11457" s="33" t="str">
        <f>IFERROR(VLOOKUP($M11457,'Informations sur les produits'!$A$3:$H$10000,8,FALSE),"0")</f>
        <v>0</v>
      </c>
      <c r="P11457" s="33">
        <f t="shared" si="712"/>
        <v>0</v>
      </c>
      <c r="Q11457" s="31" t="str">
        <f t="shared" si="713"/>
        <v/>
      </c>
      <c r="R11457" s="32" t="str">
        <f>IFERROR(VLOOKUP($D11457,'Informations sur les produits'!$A$3:$B$15000,2,FALSE),"")</f>
        <v/>
      </c>
      <c r="V11457">
        <f t="shared" si="714"/>
        <v>0</v>
      </c>
      <c r="W11457">
        <f t="shared" si="715"/>
        <v>0</v>
      </c>
    </row>
    <row r="11458" spans="5:23" x14ac:dyDescent="0.25">
      <c r="E11458" s="4"/>
      <c r="F11458" s="4"/>
      <c r="G11458" s="33" t="str">
        <f>IFERROR(VLOOKUP($D11458,'Informations sur les produits'!$A$3:$H$10000,8,FALSE),"0")</f>
        <v>0</v>
      </c>
      <c r="K11458" s="4"/>
      <c r="L11458" s="33" t="str">
        <f>IFERROR(VLOOKUP($J11458,'Informations sur les produits'!$A$3:$H$10000,8,FALSE),"0")</f>
        <v>0</v>
      </c>
      <c r="N11458" s="8"/>
      <c r="O11458" s="33" t="str">
        <f>IFERROR(VLOOKUP($M11458,'Informations sur les produits'!$A$3:$H$10000,8,FALSE),"0")</f>
        <v>0</v>
      </c>
      <c r="P11458" s="33">
        <f t="shared" si="712"/>
        <v>0</v>
      </c>
      <c r="Q11458" s="31" t="str">
        <f t="shared" si="713"/>
        <v/>
      </c>
      <c r="R11458" s="32" t="str">
        <f>IFERROR(VLOOKUP($D11458,'Informations sur les produits'!$A$3:$B$15000,2,FALSE),"")</f>
        <v/>
      </c>
      <c r="V11458">
        <f t="shared" si="714"/>
        <v>0</v>
      </c>
      <c r="W11458">
        <f t="shared" si="715"/>
        <v>0</v>
      </c>
    </row>
    <row r="11459" spans="5:23" x14ac:dyDescent="0.25">
      <c r="E11459" s="4"/>
      <c r="F11459" s="4"/>
      <c r="G11459" s="33" t="str">
        <f>IFERROR(VLOOKUP($D11459,'Informations sur les produits'!$A$3:$H$10000,8,FALSE),"0")</f>
        <v>0</v>
      </c>
      <c r="K11459" s="4"/>
      <c r="L11459" s="33" t="str">
        <f>IFERROR(VLOOKUP($J11459,'Informations sur les produits'!$A$3:$H$10000,8,FALSE),"0")</f>
        <v>0</v>
      </c>
      <c r="N11459" s="8"/>
      <c r="O11459" s="33" t="str">
        <f>IFERROR(VLOOKUP($M11459,'Informations sur les produits'!$A$3:$H$10000,8,FALSE),"0")</f>
        <v>0</v>
      </c>
      <c r="P11459" s="33">
        <f t="shared" si="712"/>
        <v>0</v>
      </c>
      <c r="Q11459" s="31" t="str">
        <f t="shared" si="713"/>
        <v/>
      </c>
      <c r="R11459" s="32" t="str">
        <f>IFERROR(VLOOKUP($D11459,'Informations sur les produits'!$A$3:$B$15000,2,FALSE),"")</f>
        <v/>
      </c>
      <c r="V11459">
        <f t="shared" si="714"/>
        <v>0</v>
      </c>
      <c r="W11459">
        <f t="shared" si="715"/>
        <v>0</v>
      </c>
    </row>
    <row r="11460" spans="5:23" x14ac:dyDescent="0.25">
      <c r="E11460" s="4"/>
      <c r="F11460" s="4"/>
      <c r="G11460" s="33" t="str">
        <f>IFERROR(VLOOKUP($D11460,'Informations sur les produits'!$A$3:$H$10000,8,FALSE),"0")</f>
        <v>0</v>
      </c>
      <c r="K11460" s="4"/>
      <c r="L11460" s="33" t="str">
        <f>IFERROR(VLOOKUP($J11460,'Informations sur les produits'!$A$3:$H$10000,8,FALSE),"0")</f>
        <v>0</v>
      </c>
      <c r="N11460" s="8"/>
      <c r="O11460" s="33" t="str">
        <f>IFERROR(VLOOKUP($M11460,'Informations sur les produits'!$A$3:$H$10000,8,FALSE),"0")</f>
        <v>0</v>
      </c>
      <c r="P11460" s="33">
        <f t="shared" ref="P11460:P11523" si="716">IFERROR((($E11460-$F11460)*$G11460+$K11460*$L11460+$N11460*$O11460),"")</f>
        <v>0</v>
      </c>
      <c r="Q11460" s="31" t="str">
        <f t="shared" ref="Q11460:Q11523" si="717">IFERROR((((($E11460-$F11460)*$G11460+$K11460*$L11460+$N11460*$O11460)*1000)/(($E11460-$F11460)+$K11460+$N11460)),"")</f>
        <v/>
      </c>
      <c r="R11460" s="32" t="str">
        <f>IFERROR(VLOOKUP($D11460,'Informations sur les produits'!$A$3:$B$15000,2,FALSE),"")</f>
        <v/>
      </c>
      <c r="V11460">
        <f t="shared" ref="V11460:V11523" si="718">IFERROR(P11460*1000,"")</f>
        <v>0</v>
      </c>
      <c r="W11460">
        <f t="shared" ref="W11460:W11523" si="719">IFERROR(($E11460-$F11460)+$K11460+$N11460,"")</f>
        <v>0</v>
      </c>
    </row>
    <row r="11461" spans="5:23" x14ac:dyDescent="0.25">
      <c r="E11461" s="4"/>
      <c r="F11461" s="4"/>
      <c r="G11461" s="33" t="str">
        <f>IFERROR(VLOOKUP($D11461,'Informations sur les produits'!$A$3:$H$10000,8,FALSE),"0")</f>
        <v>0</v>
      </c>
      <c r="K11461" s="4"/>
      <c r="L11461" s="33" t="str">
        <f>IFERROR(VLOOKUP($J11461,'Informations sur les produits'!$A$3:$H$10000,8,FALSE),"0")</f>
        <v>0</v>
      </c>
      <c r="N11461" s="8"/>
      <c r="O11461" s="33" t="str">
        <f>IFERROR(VLOOKUP($M11461,'Informations sur les produits'!$A$3:$H$10000,8,FALSE),"0")</f>
        <v>0</v>
      </c>
      <c r="P11461" s="33">
        <f t="shared" si="716"/>
        <v>0</v>
      </c>
      <c r="Q11461" s="31" t="str">
        <f t="shared" si="717"/>
        <v/>
      </c>
      <c r="R11461" s="32" t="str">
        <f>IFERROR(VLOOKUP($D11461,'Informations sur les produits'!$A$3:$B$15000,2,FALSE),"")</f>
        <v/>
      </c>
      <c r="V11461">
        <f t="shared" si="718"/>
        <v>0</v>
      </c>
      <c r="W11461">
        <f t="shared" si="719"/>
        <v>0</v>
      </c>
    </row>
    <row r="11462" spans="5:23" x14ac:dyDescent="0.25">
      <c r="E11462" s="4"/>
      <c r="F11462" s="4"/>
      <c r="G11462" s="33" t="str">
        <f>IFERROR(VLOOKUP($D11462,'Informations sur les produits'!$A$3:$H$10000,8,FALSE),"0")</f>
        <v>0</v>
      </c>
      <c r="K11462" s="4"/>
      <c r="L11462" s="33" t="str">
        <f>IFERROR(VLOOKUP($J11462,'Informations sur les produits'!$A$3:$H$10000,8,FALSE),"0")</f>
        <v>0</v>
      </c>
      <c r="N11462" s="8"/>
      <c r="O11462" s="33" t="str">
        <f>IFERROR(VLOOKUP($M11462,'Informations sur les produits'!$A$3:$H$10000,8,FALSE),"0")</f>
        <v>0</v>
      </c>
      <c r="P11462" s="33">
        <f t="shared" si="716"/>
        <v>0</v>
      </c>
      <c r="Q11462" s="31" t="str">
        <f t="shared" si="717"/>
        <v/>
      </c>
      <c r="R11462" s="32" t="str">
        <f>IFERROR(VLOOKUP($D11462,'Informations sur les produits'!$A$3:$B$15000,2,FALSE),"")</f>
        <v/>
      </c>
      <c r="V11462">
        <f t="shared" si="718"/>
        <v>0</v>
      </c>
      <c r="W11462">
        <f t="shared" si="719"/>
        <v>0</v>
      </c>
    </row>
    <row r="11463" spans="5:23" x14ac:dyDescent="0.25">
      <c r="E11463" s="4"/>
      <c r="F11463" s="4"/>
      <c r="G11463" s="33" t="str">
        <f>IFERROR(VLOOKUP($D11463,'Informations sur les produits'!$A$3:$H$10000,8,FALSE),"0")</f>
        <v>0</v>
      </c>
      <c r="K11463" s="4"/>
      <c r="L11463" s="33" t="str">
        <f>IFERROR(VLOOKUP($J11463,'Informations sur les produits'!$A$3:$H$10000,8,FALSE),"0")</f>
        <v>0</v>
      </c>
      <c r="N11463" s="8"/>
      <c r="O11463" s="33" t="str">
        <f>IFERROR(VLOOKUP($M11463,'Informations sur les produits'!$A$3:$H$10000,8,FALSE),"0")</f>
        <v>0</v>
      </c>
      <c r="P11463" s="33">
        <f t="shared" si="716"/>
        <v>0</v>
      </c>
      <c r="Q11463" s="31" t="str">
        <f t="shared" si="717"/>
        <v/>
      </c>
      <c r="R11463" s="32" t="str">
        <f>IFERROR(VLOOKUP($D11463,'Informations sur les produits'!$A$3:$B$15000,2,FALSE),"")</f>
        <v/>
      </c>
      <c r="V11463">
        <f t="shared" si="718"/>
        <v>0</v>
      </c>
      <c r="W11463">
        <f t="shared" si="719"/>
        <v>0</v>
      </c>
    </row>
    <row r="11464" spans="5:23" x14ac:dyDescent="0.25">
      <c r="E11464" s="4"/>
      <c r="F11464" s="4"/>
      <c r="G11464" s="33" t="str">
        <f>IFERROR(VLOOKUP($D11464,'Informations sur les produits'!$A$3:$H$10000,8,FALSE),"0")</f>
        <v>0</v>
      </c>
      <c r="K11464" s="4"/>
      <c r="L11464" s="33" t="str">
        <f>IFERROR(VLOOKUP($J11464,'Informations sur les produits'!$A$3:$H$10000,8,FALSE),"0")</f>
        <v>0</v>
      </c>
      <c r="N11464" s="8"/>
      <c r="O11464" s="33" t="str">
        <f>IFERROR(VLOOKUP($M11464,'Informations sur les produits'!$A$3:$H$10000,8,FALSE),"0")</f>
        <v>0</v>
      </c>
      <c r="P11464" s="33">
        <f t="shared" si="716"/>
        <v>0</v>
      </c>
      <c r="Q11464" s="31" t="str">
        <f t="shared" si="717"/>
        <v/>
      </c>
      <c r="R11464" s="32" t="str">
        <f>IFERROR(VLOOKUP($D11464,'Informations sur les produits'!$A$3:$B$15000,2,FALSE),"")</f>
        <v/>
      </c>
      <c r="V11464">
        <f t="shared" si="718"/>
        <v>0</v>
      </c>
      <c r="W11464">
        <f t="shared" si="719"/>
        <v>0</v>
      </c>
    </row>
    <row r="11465" spans="5:23" x14ac:dyDescent="0.25">
      <c r="E11465" s="4"/>
      <c r="F11465" s="4"/>
      <c r="G11465" s="33" t="str">
        <f>IFERROR(VLOOKUP($D11465,'Informations sur les produits'!$A$3:$H$10000,8,FALSE),"0")</f>
        <v>0</v>
      </c>
      <c r="K11465" s="4"/>
      <c r="L11465" s="33" t="str">
        <f>IFERROR(VLOOKUP($J11465,'Informations sur les produits'!$A$3:$H$10000,8,FALSE),"0")</f>
        <v>0</v>
      </c>
      <c r="N11465" s="8"/>
      <c r="O11465" s="33" t="str">
        <f>IFERROR(VLOOKUP($M11465,'Informations sur les produits'!$A$3:$H$10000,8,FALSE),"0")</f>
        <v>0</v>
      </c>
      <c r="P11465" s="33">
        <f t="shared" si="716"/>
        <v>0</v>
      </c>
      <c r="Q11465" s="31" t="str">
        <f t="shared" si="717"/>
        <v/>
      </c>
      <c r="R11465" s="32" t="str">
        <f>IFERROR(VLOOKUP($D11465,'Informations sur les produits'!$A$3:$B$15000,2,FALSE),"")</f>
        <v/>
      </c>
      <c r="V11465">
        <f t="shared" si="718"/>
        <v>0</v>
      </c>
      <c r="W11465">
        <f t="shared" si="719"/>
        <v>0</v>
      </c>
    </row>
    <row r="11466" spans="5:23" x14ac:dyDescent="0.25">
      <c r="E11466" s="4"/>
      <c r="F11466" s="4"/>
      <c r="G11466" s="33" t="str">
        <f>IFERROR(VLOOKUP($D11466,'Informations sur les produits'!$A$3:$H$10000,8,FALSE),"0")</f>
        <v>0</v>
      </c>
      <c r="K11466" s="4"/>
      <c r="L11466" s="33" t="str">
        <f>IFERROR(VLOOKUP($J11466,'Informations sur les produits'!$A$3:$H$10000,8,FALSE),"0")</f>
        <v>0</v>
      </c>
      <c r="N11466" s="8"/>
      <c r="O11466" s="33" t="str">
        <f>IFERROR(VLOOKUP($M11466,'Informations sur les produits'!$A$3:$H$10000,8,FALSE),"0")</f>
        <v>0</v>
      </c>
      <c r="P11466" s="33">
        <f t="shared" si="716"/>
        <v>0</v>
      </c>
      <c r="Q11466" s="31" t="str">
        <f t="shared" si="717"/>
        <v/>
      </c>
      <c r="R11466" s="32" t="str">
        <f>IFERROR(VLOOKUP($D11466,'Informations sur les produits'!$A$3:$B$15000,2,FALSE),"")</f>
        <v/>
      </c>
      <c r="V11466">
        <f t="shared" si="718"/>
        <v>0</v>
      </c>
      <c r="W11466">
        <f t="shared" si="719"/>
        <v>0</v>
      </c>
    </row>
    <row r="11467" spans="5:23" x14ac:dyDescent="0.25">
      <c r="E11467" s="4"/>
      <c r="F11467" s="4"/>
      <c r="G11467" s="33" t="str">
        <f>IFERROR(VLOOKUP($D11467,'Informations sur les produits'!$A$3:$H$10000,8,FALSE),"0")</f>
        <v>0</v>
      </c>
      <c r="K11467" s="4"/>
      <c r="L11467" s="33" t="str">
        <f>IFERROR(VLOOKUP($J11467,'Informations sur les produits'!$A$3:$H$10000,8,FALSE),"0")</f>
        <v>0</v>
      </c>
      <c r="N11467" s="8"/>
      <c r="O11467" s="33" t="str">
        <f>IFERROR(VLOOKUP($M11467,'Informations sur les produits'!$A$3:$H$10000,8,FALSE),"0")</f>
        <v>0</v>
      </c>
      <c r="P11467" s="33">
        <f t="shared" si="716"/>
        <v>0</v>
      </c>
      <c r="Q11467" s="31" t="str">
        <f t="shared" si="717"/>
        <v/>
      </c>
      <c r="R11467" s="32" t="str">
        <f>IFERROR(VLOOKUP($D11467,'Informations sur les produits'!$A$3:$B$15000,2,FALSE),"")</f>
        <v/>
      </c>
      <c r="V11467">
        <f t="shared" si="718"/>
        <v>0</v>
      </c>
      <c r="W11467">
        <f t="shared" si="719"/>
        <v>0</v>
      </c>
    </row>
    <row r="11468" spans="5:23" x14ac:dyDescent="0.25">
      <c r="E11468" s="4"/>
      <c r="F11468" s="4"/>
      <c r="G11468" s="33" t="str">
        <f>IFERROR(VLOOKUP($D11468,'Informations sur les produits'!$A$3:$H$10000,8,FALSE),"0")</f>
        <v>0</v>
      </c>
      <c r="K11468" s="4"/>
      <c r="L11468" s="33" t="str">
        <f>IFERROR(VLOOKUP($J11468,'Informations sur les produits'!$A$3:$H$10000,8,FALSE),"0")</f>
        <v>0</v>
      </c>
      <c r="N11468" s="8"/>
      <c r="O11468" s="33" t="str">
        <f>IFERROR(VLOOKUP($M11468,'Informations sur les produits'!$A$3:$H$10000,8,FALSE),"0")</f>
        <v>0</v>
      </c>
      <c r="P11468" s="33">
        <f t="shared" si="716"/>
        <v>0</v>
      </c>
      <c r="Q11468" s="31" t="str">
        <f t="shared" si="717"/>
        <v/>
      </c>
      <c r="R11468" s="32" t="str">
        <f>IFERROR(VLOOKUP($D11468,'Informations sur les produits'!$A$3:$B$15000,2,FALSE),"")</f>
        <v/>
      </c>
      <c r="V11468">
        <f t="shared" si="718"/>
        <v>0</v>
      </c>
      <c r="W11468">
        <f t="shared" si="719"/>
        <v>0</v>
      </c>
    </row>
    <row r="11469" spans="5:23" x14ac:dyDescent="0.25">
      <c r="E11469" s="4"/>
      <c r="F11469" s="4"/>
      <c r="G11469" s="33" t="str">
        <f>IFERROR(VLOOKUP($D11469,'Informations sur les produits'!$A$3:$H$10000,8,FALSE),"0")</f>
        <v>0</v>
      </c>
      <c r="K11469" s="4"/>
      <c r="L11469" s="33" t="str">
        <f>IFERROR(VLOOKUP($J11469,'Informations sur les produits'!$A$3:$H$10000,8,FALSE),"0")</f>
        <v>0</v>
      </c>
      <c r="N11469" s="8"/>
      <c r="O11469" s="33" t="str">
        <f>IFERROR(VLOOKUP($M11469,'Informations sur les produits'!$A$3:$H$10000,8,FALSE),"0")</f>
        <v>0</v>
      </c>
      <c r="P11469" s="33">
        <f t="shared" si="716"/>
        <v>0</v>
      </c>
      <c r="Q11469" s="31" t="str">
        <f t="shared" si="717"/>
        <v/>
      </c>
      <c r="R11469" s="32" t="str">
        <f>IFERROR(VLOOKUP($D11469,'Informations sur les produits'!$A$3:$B$15000,2,FALSE),"")</f>
        <v/>
      </c>
      <c r="V11469">
        <f t="shared" si="718"/>
        <v>0</v>
      </c>
      <c r="W11469">
        <f t="shared" si="719"/>
        <v>0</v>
      </c>
    </row>
    <row r="11470" spans="5:23" x14ac:dyDescent="0.25">
      <c r="E11470" s="4"/>
      <c r="F11470" s="4"/>
      <c r="G11470" s="33" t="str">
        <f>IFERROR(VLOOKUP($D11470,'Informations sur les produits'!$A$3:$H$10000,8,FALSE),"0")</f>
        <v>0</v>
      </c>
      <c r="K11470" s="4"/>
      <c r="L11470" s="33" t="str">
        <f>IFERROR(VLOOKUP($J11470,'Informations sur les produits'!$A$3:$H$10000,8,FALSE),"0")</f>
        <v>0</v>
      </c>
      <c r="N11470" s="8"/>
      <c r="O11470" s="33" t="str">
        <f>IFERROR(VLOOKUP($M11470,'Informations sur les produits'!$A$3:$H$10000,8,FALSE),"0")</f>
        <v>0</v>
      </c>
      <c r="P11470" s="33">
        <f t="shared" si="716"/>
        <v>0</v>
      </c>
      <c r="Q11470" s="31" t="str">
        <f t="shared" si="717"/>
        <v/>
      </c>
      <c r="R11470" s="32" t="str">
        <f>IFERROR(VLOOKUP($D11470,'Informations sur les produits'!$A$3:$B$15000,2,FALSE),"")</f>
        <v/>
      </c>
      <c r="V11470">
        <f t="shared" si="718"/>
        <v>0</v>
      </c>
      <c r="W11470">
        <f t="shared" si="719"/>
        <v>0</v>
      </c>
    </row>
    <row r="11471" spans="5:23" x14ac:dyDescent="0.25">
      <c r="E11471" s="4"/>
      <c r="F11471" s="4"/>
      <c r="G11471" s="33" t="str">
        <f>IFERROR(VLOOKUP($D11471,'Informations sur les produits'!$A$3:$H$10000,8,FALSE),"0")</f>
        <v>0</v>
      </c>
      <c r="K11471" s="4"/>
      <c r="L11471" s="33" t="str">
        <f>IFERROR(VLOOKUP($J11471,'Informations sur les produits'!$A$3:$H$10000,8,FALSE),"0")</f>
        <v>0</v>
      </c>
      <c r="N11471" s="8"/>
      <c r="O11471" s="33" t="str">
        <f>IFERROR(VLOOKUP($M11471,'Informations sur les produits'!$A$3:$H$10000,8,FALSE),"0")</f>
        <v>0</v>
      </c>
      <c r="P11471" s="33">
        <f t="shared" si="716"/>
        <v>0</v>
      </c>
      <c r="Q11471" s="31" t="str">
        <f t="shared" si="717"/>
        <v/>
      </c>
      <c r="R11471" s="32" t="str">
        <f>IFERROR(VLOOKUP($D11471,'Informations sur les produits'!$A$3:$B$15000,2,FALSE),"")</f>
        <v/>
      </c>
      <c r="V11471">
        <f t="shared" si="718"/>
        <v>0</v>
      </c>
      <c r="W11471">
        <f t="shared" si="719"/>
        <v>0</v>
      </c>
    </row>
    <row r="11472" spans="5:23" x14ac:dyDescent="0.25">
      <c r="E11472" s="4"/>
      <c r="F11472" s="4"/>
      <c r="G11472" s="33" t="str">
        <f>IFERROR(VLOOKUP($D11472,'Informations sur les produits'!$A$3:$H$10000,8,FALSE),"0")</f>
        <v>0</v>
      </c>
      <c r="K11472" s="4"/>
      <c r="L11472" s="33" t="str">
        <f>IFERROR(VLOOKUP($J11472,'Informations sur les produits'!$A$3:$H$10000,8,FALSE),"0")</f>
        <v>0</v>
      </c>
      <c r="N11472" s="8"/>
      <c r="O11472" s="33" t="str">
        <f>IFERROR(VLOOKUP($M11472,'Informations sur les produits'!$A$3:$H$10000,8,FALSE),"0")</f>
        <v>0</v>
      </c>
      <c r="P11472" s="33">
        <f t="shared" si="716"/>
        <v>0</v>
      </c>
      <c r="Q11472" s="31" t="str">
        <f t="shared" si="717"/>
        <v/>
      </c>
      <c r="R11472" s="32" t="str">
        <f>IFERROR(VLOOKUP($D11472,'Informations sur les produits'!$A$3:$B$15000,2,FALSE),"")</f>
        <v/>
      </c>
      <c r="V11472">
        <f t="shared" si="718"/>
        <v>0</v>
      </c>
      <c r="W11472">
        <f t="shared" si="719"/>
        <v>0</v>
      </c>
    </row>
    <row r="11473" spans="5:23" x14ac:dyDescent="0.25">
      <c r="E11473" s="4"/>
      <c r="F11473" s="4"/>
      <c r="G11473" s="33" t="str">
        <f>IFERROR(VLOOKUP($D11473,'Informations sur les produits'!$A$3:$H$10000,8,FALSE),"0")</f>
        <v>0</v>
      </c>
      <c r="K11473" s="4"/>
      <c r="L11473" s="33" t="str">
        <f>IFERROR(VLOOKUP($J11473,'Informations sur les produits'!$A$3:$H$10000,8,FALSE),"0")</f>
        <v>0</v>
      </c>
      <c r="N11473" s="8"/>
      <c r="O11473" s="33" t="str">
        <f>IFERROR(VLOOKUP($M11473,'Informations sur les produits'!$A$3:$H$10000,8,FALSE),"0")</f>
        <v>0</v>
      </c>
      <c r="P11473" s="33">
        <f t="shared" si="716"/>
        <v>0</v>
      </c>
      <c r="Q11473" s="31" t="str">
        <f t="shared" si="717"/>
        <v/>
      </c>
      <c r="R11473" s="32" t="str">
        <f>IFERROR(VLOOKUP($D11473,'Informations sur les produits'!$A$3:$B$15000,2,FALSE),"")</f>
        <v/>
      </c>
      <c r="V11473">
        <f t="shared" si="718"/>
        <v>0</v>
      </c>
      <c r="W11473">
        <f t="shared" si="719"/>
        <v>0</v>
      </c>
    </row>
    <row r="11474" spans="5:23" x14ac:dyDescent="0.25">
      <c r="E11474" s="4"/>
      <c r="F11474" s="4"/>
      <c r="G11474" s="33" t="str">
        <f>IFERROR(VLOOKUP($D11474,'Informations sur les produits'!$A$3:$H$10000,8,FALSE),"0")</f>
        <v>0</v>
      </c>
      <c r="K11474" s="4"/>
      <c r="L11474" s="33" t="str">
        <f>IFERROR(VLOOKUP($J11474,'Informations sur les produits'!$A$3:$H$10000,8,FALSE),"0")</f>
        <v>0</v>
      </c>
      <c r="N11474" s="8"/>
      <c r="O11474" s="33" t="str">
        <f>IFERROR(VLOOKUP($M11474,'Informations sur les produits'!$A$3:$H$10000,8,FALSE),"0")</f>
        <v>0</v>
      </c>
      <c r="P11474" s="33">
        <f t="shared" si="716"/>
        <v>0</v>
      </c>
      <c r="Q11474" s="31" t="str">
        <f t="shared" si="717"/>
        <v/>
      </c>
      <c r="R11474" s="32" t="str">
        <f>IFERROR(VLOOKUP($D11474,'Informations sur les produits'!$A$3:$B$15000,2,FALSE),"")</f>
        <v/>
      </c>
      <c r="V11474">
        <f t="shared" si="718"/>
        <v>0</v>
      </c>
      <c r="W11474">
        <f t="shared" si="719"/>
        <v>0</v>
      </c>
    </row>
    <row r="11475" spans="5:23" x14ac:dyDescent="0.25">
      <c r="E11475" s="4"/>
      <c r="F11475" s="4"/>
      <c r="G11475" s="33" t="str">
        <f>IFERROR(VLOOKUP($D11475,'Informations sur les produits'!$A$3:$H$10000,8,FALSE),"0")</f>
        <v>0</v>
      </c>
      <c r="K11475" s="4"/>
      <c r="L11475" s="33" t="str">
        <f>IFERROR(VLOOKUP($J11475,'Informations sur les produits'!$A$3:$H$10000,8,FALSE),"0")</f>
        <v>0</v>
      </c>
      <c r="N11475" s="8"/>
      <c r="O11475" s="33" t="str">
        <f>IFERROR(VLOOKUP($M11475,'Informations sur les produits'!$A$3:$H$10000,8,FALSE),"0")</f>
        <v>0</v>
      </c>
      <c r="P11475" s="33">
        <f t="shared" si="716"/>
        <v>0</v>
      </c>
      <c r="Q11475" s="31" t="str">
        <f t="shared" si="717"/>
        <v/>
      </c>
      <c r="R11475" s="32" t="str">
        <f>IFERROR(VLOOKUP($D11475,'Informations sur les produits'!$A$3:$B$15000,2,FALSE),"")</f>
        <v/>
      </c>
      <c r="V11475">
        <f t="shared" si="718"/>
        <v>0</v>
      </c>
      <c r="W11475">
        <f t="shared" si="719"/>
        <v>0</v>
      </c>
    </row>
    <row r="11476" spans="5:23" x14ac:dyDescent="0.25">
      <c r="E11476" s="4"/>
      <c r="F11476" s="4"/>
      <c r="G11476" s="33" t="str">
        <f>IFERROR(VLOOKUP($D11476,'Informations sur les produits'!$A$3:$H$10000,8,FALSE),"0")</f>
        <v>0</v>
      </c>
      <c r="K11476" s="4"/>
      <c r="L11476" s="33" t="str">
        <f>IFERROR(VLOOKUP($J11476,'Informations sur les produits'!$A$3:$H$10000,8,FALSE),"0")</f>
        <v>0</v>
      </c>
      <c r="N11476" s="8"/>
      <c r="O11476" s="33" t="str">
        <f>IFERROR(VLOOKUP($M11476,'Informations sur les produits'!$A$3:$H$10000,8,FALSE),"0")</f>
        <v>0</v>
      </c>
      <c r="P11476" s="33">
        <f t="shared" si="716"/>
        <v>0</v>
      </c>
      <c r="Q11476" s="31" t="str">
        <f t="shared" si="717"/>
        <v/>
      </c>
      <c r="R11476" s="32" t="str">
        <f>IFERROR(VLOOKUP($D11476,'Informations sur les produits'!$A$3:$B$15000,2,FALSE),"")</f>
        <v/>
      </c>
      <c r="V11476">
        <f t="shared" si="718"/>
        <v>0</v>
      </c>
      <c r="W11476">
        <f t="shared" si="719"/>
        <v>0</v>
      </c>
    </row>
    <row r="11477" spans="5:23" x14ac:dyDescent="0.25">
      <c r="E11477" s="4"/>
      <c r="F11477" s="4"/>
      <c r="G11477" s="33" t="str">
        <f>IFERROR(VLOOKUP($D11477,'Informations sur les produits'!$A$3:$H$10000,8,FALSE),"0")</f>
        <v>0</v>
      </c>
      <c r="K11477" s="4"/>
      <c r="L11477" s="33" t="str">
        <f>IFERROR(VLOOKUP($J11477,'Informations sur les produits'!$A$3:$H$10000,8,FALSE),"0")</f>
        <v>0</v>
      </c>
      <c r="N11477" s="8"/>
      <c r="O11477" s="33" t="str">
        <f>IFERROR(VLOOKUP($M11477,'Informations sur les produits'!$A$3:$H$10000,8,FALSE),"0")</f>
        <v>0</v>
      </c>
      <c r="P11477" s="33">
        <f t="shared" si="716"/>
        <v>0</v>
      </c>
      <c r="Q11477" s="31" t="str">
        <f t="shared" si="717"/>
        <v/>
      </c>
      <c r="R11477" s="32" t="str">
        <f>IFERROR(VLOOKUP($D11477,'Informations sur les produits'!$A$3:$B$15000,2,FALSE),"")</f>
        <v/>
      </c>
      <c r="V11477">
        <f t="shared" si="718"/>
        <v>0</v>
      </c>
      <c r="W11477">
        <f t="shared" si="719"/>
        <v>0</v>
      </c>
    </row>
    <row r="11478" spans="5:23" x14ac:dyDescent="0.25">
      <c r="E11478" s="4"/>
      <c r="F11478" s="4"/>
      <c r="G11478" s="33" t="str">
        <f>IFERROR(VLOOKUP($D11478,'Informations sur les produits'!$A$3:$H$10000,8,FALSE),"0")</f>
        <v>0</v>
      </c>
      <c r="K11478" s="4"/>
      <c r="L11478" s="33" t="str">
        <f>IFERROR(VLOOKUP($J11478,'Informations sur les produits'!$A$3:$H$10000,8,FALSE),"0")</f>
        <v>0</v>
      </c>
      <c r="N11478" s="8"/>
      <c r="O11478" s="33" t="str">
        <f>IFERROR(VLOOKUP($M11478,'Informations sur les produits'!$A$3:$H$10000,8,FALSE),"0")</f>
        <v>0</v>
      </c>
      <c r="P11478" s="33">
        <f t="shared" si="716"/>
        <v>0</v>
      </c>
      <c r="Q11478" s="31" t="str">
        <f t="shared" si="717"/>
        <v/>
      </c>
      <c r="R11478" s="32" t="str">
        <f>IFERROR(VLOOKUP($D11478,'Informations sur les produits'!$A$3:$B$15000,2,FALSE),"")</f>
        <v/>
      </c>
      <c r="V11478">
        <f t="shared" si="718"/>
        <v>0</v>
      </c>
      <c r="W11478">
        <f t="shared" si="719"/>
        <v>0</v>
      </c>
    </row>
    <row r="11479" spans="5:23" x14ac:dyDescent="0.25">
      <c r="E11479" s="4"/>
      <c r="F11479" s="4"/>
      <c r="G11479" s="33" t="str">
        <f>IFERROR(VLOOKUP($D11479,'Informations sur les produits'!$A$3:$H$10000,8,FALSE),"0")</f>
        <v>0</v>
      </c>
      <c r="K11479" s="4"/>
      <c r="L11479" s="33" t="str">
        <f>IFERROR(VLOOKUP($J11479,'Informations sur les produits'!$A$3:$H$10000,8,FALSE),"0")</f>
        <v>0</v>
      </c>
      <c r="N11479" s="8"/>
      <c r="O11479" s="33" t="str">
        <f>IFERROR(VLOOKUP($M11479,'Informations sur les produits'!$A$3:$H$10000,8,FALSE),"0")</f>
        <v>0</v>
      </c>
      <c r="P11479" s="33">
        <f t="shared" si="716"/>
        <v>0</v>
      </c>
      <c r="Q11479" s="31" t="str">
        <f t="shared" si="717"/>
        <v/>
      </c>
      <c r="R11479" s="32" t="str">
        <f>IFERROR(VLOOKUP($D11479,'Informations sur les produits'!$A$3:$B$15000,2,FALSE),"")</f>
        <v/>
      </c>
      <c r="V11479">
        <f t="shared" si="718"/>
        <v>0</v>
      </c>
      <c r="W11479">
        <f t="shared" si="719"/>
        <v>0</v>
      </c>
    </row>
    <row r="11480" spans="5:23" x14ac:dyDescent="0.25">
      <c r="E11480" s="4"/>
      <c r="F11480" s="4"/>
      <c r="G11480" s="33" t="str">
        <f>IFERROR(VLOOKUP($D11480,'Informations sur les produits'!$A$3:$H$10000,8,FALSE),"0")</f>
        <v>0</v>
      </c>
      <c r="K11480" s="4"/>
      <c r="L11480" s="33" t="str">
        <f>IFERROR(VLOOKUP($J11480,'Informations sur les produits'!$A$3:$H$10000,8,FALSE),"0")</f>
        <v>0</v>
      </c>
      <c r="N11480" s="8"/>
      <c r="O11480" s="33" t="str">
        <f>IFERROR(VLOOKUP($M11480,'Informations sur les produits'!$A$3:$H$10000,8,FALSE),"0")</f>
        <v>0</v>
      </c>
      <c r="P11480" s="33">
        <f t="shared" si="716"/>
        <v>0</v>
      </c>
      <c r="Q11480" s="31" t="str">
        <f t="shared" si="717"/>
        <v/>
      </c>
      <c r="R11480" s="32" t="str">
        <f>IFERROR(VLOOKUP($D11480,'Informations sur les produits'!$A$3:$B$15000,2,FALSE),"")</f>
        <v/>
      </c>
      <c r="V11480">
        <f t="shared" si="718"/>
        <v>0</v>
      </c>
      <c r="W11480">
        <f t="shared" si="719"/>
        <v>0</v>
      </c>
    </row>
    <row r="11481" spans="5:23" x14ac:dyDescent="0.25">
      <c r="E11481" s="4"/>
      <c r="F11481" s="4"/>
      <c r="G11481" s="33" t="str">
        <f>IFERROR(VLOOKUP($D11481,'Informations sur les produits'!$A$3:$H$10000,8,FALSE),"0")</f>
        <v>0</v>
      </c>
      <c r="K11481" s="4"/>
      <c r="L11481" s="33" t="str">
        <f>IFERROR(VLOOKUP($J11481,'Informations sur les produits'!$A$3:$H$10000,8,FALSE),"0")</f>
        <v>0</v>
      </c>
      <c r="N11481" s="8"/>
      <c r="O11481" s="33" t="str">
        <f>IFERROR(VLOOKUP($M11481,'Informations sur les produits'!$A$3:$H$10000,8,FALSE),"0")</f>
        <v>0</v>
      </c>
      <c r="P11481" s="33">
        <f t="shared" si="716"/>
        <v>0</v>
      </c>
      <c r="Q11481" s="31" t="str">
        <f t="shared" si="717"/>
        <v/>
      </c>
      <c r="R11481" s="32" t="str">
        <f>IFERROR(VLOOKUP($D11481,'Informations sur les produits'!$A$3:$B$15000,2,FALSE),"")</f>
        <v/>
      </c>
      <c r="V11481">
        <f t="shared" si="718"/>
        <v>0</v>
      </c>
      <c r="W11481">
        <f t="shared" si="719"/>
        <v>0</v>
      </c>
    </row>
    <row r="11482" spans="5:23" x14ac:dyDescent="0.25">
      <c r="E11482" s="4"/>
      <c r="F11482" s="4"/>
      <c r="G11482" s="33" t="str">
        <f>IFERROR(VLOOKUP($D11482,'Informations sur les produits'!$A$3:$H$10000,8,FALSE),"0")</f>
        <v>0</v>
      </c>
      <c r="K11482" s="4"/>
      <c r="L11482" s="33" t="str">
        <f>IFERROR(VLOOKUP($J11482,'Informations sur les produits'!$A$3:$H$10000,8,FALSE),"0")</f>
        <v>0</v>
      </c>
      <c r="N11482" s="8"/>
      <c r="O11482" s="33" t="str">
        <f>IFERROR(VLOOKUP($M11482,'Informations sur les produits'!$A$3:$H$10000,8,FALSE),"0")</f>
        <v>0</v>
      </c>
      <c r="P11482" s="33">
        <f t="shared" si="716"/>
        <v>0</v>
      </c>
      <c r="Q11482" s="31" t="str">
        <f t="shared" si="717"/>
        <v/>
      </c>
      <c r="R11482" s="32" t="str">
        <f>IFERROR(VLOOKUP($D11482,'Informations sur les produits'!$A$3:$B$15000,2,FALSE),"")</f>
        <v/>
      </c>
      <c r="V11482">
        <f t="shared" si="718"/>
        <v>0</v>
      </c>
      <c r="W11482">
        <f t="shared" si="719"/>
        <v>0</v>
      </c>
    </row>
    <row r="11483" spans="5:23" x14ac:dyDescent="0.25">
      <c r="E11483" s="4"/>
      <c r="F11483" s="4"/>
      <c r="G11483" s="33" t="str">
        <f>IFERROR(VLOOKUP($D11483,'Informations sur les produits'!$A$3:$H$10000,8,FALSE),"0")</f>
        <v>0</v>
      </c>
      <c r="K11483" s="4"/>
      <c r="L11483" s="33" t="str">
        <f>IFERROR(VLOOKUP($J11483,'Informations sur les produits'!$A$3:$H$10000,8,FALSE),"0")</f>
        <v>0</v>
      </c>
      <c r="N11483" s="8"/>
      <c r="O11483" s="33" t="str">
        <f>IFERROR(VLOOKUP($M11483,'Informations sur les produits'!$A$3:$H$10000,8,FALSE),"0")</f>
        <v>0</v>
      </c>
      <c r="P11483" s="33">
        <f t="shared" si="716"/>
        <v>0</v>
      </c>
      <c r="Q11483" s="31" t="str">
        <f t="shared" si="717"/>
        <v/>
      </c>
      <c r="R11483" s="32" t="str">
        <f>IFERROR(VLOOKUP($D11483,'Informations sur les produits'!$A$3:$B$15000,2,FALSE),"")</f>
        <v/>
      </c>
      <c r="V11483">
        <f t="shared" si="718"/>
        <v>0</v>
      </c>
      <c r="W11483">
        <f t="shared" si="719"/>
        <v>0</v>
      </c>
    </row>
    <row r="11484" spans="5:23" x14ac:dyDescent="0.25">
      <c r="E11484" s="4"/>
      <c r="F11484" s="4"/>
      <c r="G11484" s="33" t="str">
        <f>IFERROR(VLOOKUP($D11484,'Informations sur les produits'!$A$3:$H$10000,8,FALSE),"0")</f>
        <v>0</v>
      </c>
      <c r="K11484" s="4"/>
      <c r="L11484" s="33" t="str">
        <f>IFERROR(VLOOKUP($J11484,'Informations sur les produits'!$A$3:$H$10000,8,FALSE),"0")</f>
        <v>0</v>
      </c>
      <c r="N11484" s="8"/>
      <c r="O11484" s="33" t="str">
        <f>IFERROR(VLOOKUP($M11484,'Informations sur les produits'!$A$3:$H$10000,8,FALSE),"0")</f>
        <v>0</v>
      </c>
      <c r="P11484" s="33">
        <f t="shared" si="716"/>
        <v>0</v>
      </c>
      <c r="Q11484" s="31" t="str">
        <f t="shared" si="717"/>
        <v/>
      </c>
      <c r="R11484" s="32" t="str">
        <f>IFERROR(VLOOKUP($D11484,'Informations sur les produits'!$A$3:$B$15000,2,FALSE),"")</f>
        <v/>
      </c>
      <c r="V11484">
        <f t="shared" si="718"/>
        <v>0</v>
      </c>
      <c r="W11484">
        <f t="shared" si="719"/>
        <v>0</v>
      </c>
    </row>
    <row r="11485" spans="5:23" x14ac:dyDescent="0.25">
      <c r="E11485" s="4"/>
      <c r="F11485" s="4"/>
      <c r="G11485" s="33" t="str">
        <f>IFERROR(VLOOKUP($D11485,'Informations sur les produits'!$A$3:$H$10000,8,FALSE),"0")</f>
        <v>0</v>
      </c>
      <c r="K11485" s="4"/>
      <c r="L11485" s="33" t="str">
        <f>IFERROR(VLOOKUP($J11485,'Informations sur les produits'!$A$3:$H$10000,8,FALSE),"0")</f>
        <v>0</v>
      </c>
      <c r="N11485" s="8"/>
      <c r="O11485" s="33" t="str">
        <f>IFERROR(VLOOKUP($M11485,'Informations sur les produits'!$A$3:$H$10000,8,FALSE),"0")</f>
        <v>0</v>
      </c>
      <c r="P11485" s="33">
        <f t="shared" si="716"/>
        <v>0</v>
      </c>
      <c r="Q11485" s="31" t="str">
        <f t="shared" si="717"/>
        <v/>
      </c>
      <c r="R11485" s="32" t="str">
        <f>IFERROR(VLOOKUP($D11485,'Informations sur les produits'!$A$3:$B$15000,2,FALSE),"")</f>
        <v/>
      </c>
      <c r="V11485">
        <f t="shared" si="718"/>
        <v>0</v>
      </c>
      <c r="W11485">
        <f t="shared" si="719"/>
        <v>0</v>
      </c>
    </row>
    <row r="11486" spans="5:23" x14ac:dyDescent="0.25">
      <c r="E11486" s="4"/>
      <c r="F11486" s="4"/>
      <c r="G11486" s="33" t="str">
        <f>IFERROR(VLOOKUP($D11486,'Informations sur les produits'!$A$3:$H$10000,8,FALSE),"0")</f>
        <v>0</v>
      </c>
      <c r="K11486" s="4"/>
      <c r="L11486" s="33" t="str">
        <f>IFERROR(VLOOKUP($J11486,'Informations sur les produits'!$A$3:$H$10000,8,FALSE),"0")</f>
        <v>0</v>
      </c>
      <c r="N11486" s="8"/>
      <c r="O11486" s="33" t="str">
        <f>IFERROR(VLOOKUP($M11486,'Informations sur les produits'!$A$3:$H$10000,8,FALSE),"0")</f>
        <v>0</v>
      </c>
      <c r="P11486" s="33">
        <f t="shared" si="716"/>
        <v>0</v>
      </c>
      <c r="Q11486" s="31" t="str">
        <f t="shared" si="717"/>
        <v/>
      </c>
      <c r="R11486" s="32" t="str">
        <f>IFERROR(VLOOKUP($D11486,'Informations sur les produits'!$A$3:$B$15000,2,FALSE),"")</f>
        <v/>
      </c>
      <c r="V11486">
        <f t="shared" si="718"/>
        <v>0</v>
      </c>
      <c r="W11486">
        <f t="shared" si="719"/>
        <v>0</v>
      </c>
    </row>
    <row r="11487" spans="5:23" x14ac:dyDescent="0.25">
      <c r="E11487" s="4"/>
      <c r="F11487" s="4"/>
      <c r="G11487" s="33" t="str">
        <f>IFERROR(VLOOKUP($D11487,'Informations sur les produits'!$A$3:$H$10000,8,FALSE),"0")</f>
        <v>0</v>
      </c>
      <c r="K11487" s="4"/>
      <c r="L11487" s="33" t="str">
        <f>IFERROR(VLOOKUP($J11487,'Informations sur les produits'!$A$3:$H$10000,8,FALSE),"0")</f>
        <v>0</v>
      </c>
      <c r="N11487" s="8"/>
      <c r="O11487" s="33" t="str">
        <f>IFERROR(VLOOKUP($M11487,'Informations sur les produits'!$A$3:$H$10000,8,FALSE),"0")</f>
        <v>0</v>
      </c>
      <c r="P11487" s="33">
        <f t="shared" si="716"/>
        <v>0</v>
      </c>
      <c r="Q11487" s="31" t="str">
        <f t="shared" si="717"/>
        <v/>
      </c>
      <c r="R11487" s="32" t="str">
        <f>IFERROR(VLOOKUP($D11487,'Informations sur les produits'!$A$3:$B$15000,2,FALSE),"")</f>
        <v/>
      </c>
      <c r="V11487">
        <f t="shared" si="718"/>
        <v>0</v>
      </c>
      <c r="W11487">
        <f t="shared" si="719"/>
        <v>0</v>
      </c>
    </row>
    <row r="11488" spans="5:23" x14ac:dyDescent="0.25">
      <c r="E11488" s="4"/>
      <c r="F11488" s="4"/>
      <c r="G11488" s="33" t="str">
        <f>IFERROR(VLOOKUP($D11488,'Informations sur les produits'!$A$3:$H$10000,8,FALSE),"0")</f>
        <v>0</v>
      </c>
      <c r="K11488" s="4"/>
      <c r="L11488" s="33" t="str">
        <f>IFERROR(VLOOKUP($J11488,'Informations sur les produits'!$A$3:$H$10000,8,FALSE),"0")</f>
        <v>0</v>
      </c>
      <c r="N11488" s="8"/>
      <c r="O11488" s="33" t="str">
        <f>IFERROR(VLOOKUP($M11488,'Informations sur les produits'!$A$3:$H$10000,8,FALSE),"0")</f>
        <v>0</v>
      </c>
      <c r="P11488" s="33">
        <f t="shared" si="716"/>
        <v>0</v>
      </c>
      <c r="Q11488" s="31" t="str">
        <f t="shared" si="717"/>
        <v/>
      </c>
      <c r="R11488" s="32" t="str">
        <f>IFERROR(VLOOKUP($D11488,'Informations sur les produits'!$A$3:$B$15000,2,FALSE),"")</f>
        <v/>
      </c>
      <c r="V11488">
        <f t="shared" si="718"/>
        <v>0</v>
      </c>
      <c r="W11488">
        <f t="shared" si="719"/>
        <v>0</v>
      </c>
    </row>
    <row r="11489" spans="5:23" x14ac:dyDescent="0.25">
      <c r="E11489" s="4"/>
      <c r="F11489" s="4"/>
      <c r="G11489" s="33" t="str">
        <f>IFERROR(VLOOKUP($D11489,'Informations sur les produits'!$A$3:$H$10000,8,FALSE),"0")</f>
        <v>0</v>
      </c>
      <c r="K11489" s="4"/>
      <c r="L11489" s="33" t="str">
        <f>IFERROR(VLOOKUP($J11489,'Informations sur les produits'!$A$3:$H$10000,8,FALSE),"0")</f>
        <v>0</v>
      </c>
      <c r="N11489" s="8"/>
      <c r="O11489" s="33" t="str">
        <f>IFERROR(VLOOKUP($M11489,'Informations sur les produits'!$A$3:$H$10000,8,FALSE),"0")</f>
        <v>0</v>
      </c>
      <c r="P11489" s="33">
        <f t="shared" si="716"/>
        <v>0</v>
      </c>
      <c r="Q11489" s="31" t="str">
        <f t="shared" si="717"/>
        <v/>
      </c>
      <c r="R11489" s="32" t="str">
        <f>IFERROR(VLOOKUP($D11489,'Informations sur les produits'!$A$3:$B$15000,2,FALSE),"")</f>
        <v/>
      </c>
      <c r="V11489">
        <f t="shared" si="718"/>
        <v>0</v>
      </c>
      <c r="W11489">
        <f t="shared" si="719"/>
        <v>0</v>
      </c>
    </row>
    <row r="11490" spans="5:23" x14ac:dyDescent="0.25">
      <c r="E11490" s="4"/>
      <c r="F11490" s="4"/>
      <c r="G11490" s="33" t="str">
        <f>IFERROR(VLOOKUP($D11490,'Informations sur les produits'!$A$3:$H$10000,8,FALSE),"0")</f>
        <v>0</v>
      </c>
      <c r="K11490" s="4"/>
      <c r="L11490" s="33" t="str">
        <f>IFERROR(VLOOKUP($J11490,'Informations sur les produits'!$A$3:$H$10000,8,FALSE),"0")</f>
        <v>0</v>
      </c>
      <c r="N11490" s="8"/>
      <c r="O11490" s="33" t="str">
        <f>IFERROR(VLOOKUP($M11490,'Informations sur les produits'!$A$3:$H$10000,8,FALSE),"0")</f>
        <v>0</v>
      </c>
      <c r="P11490" s="33">
        <f t="shared" si="716"/>
        <v>0</v>
      </c>
      <c r="Q11490" s="31" t="str">
        <f t="shared" si="717"/>
        <v/>
      </c>
      <c r="R11490" s="32" t="str">
        <f>IFERROR(VLOOKUP($D11490,'Informations sur les produits'!$A$3:$B$15000,2,FALSE),"")</f>
        <v/>
      </c>
      <c r="V11490">
        <f t="shared" si="718"/>
        <v>0</v>
      </c>
      <c r="W11490">
        <f t="shared" si="719"/>
        <v>0</v>
      </c>
    </row>
    <row r="11491" spans="5:23" x14ac:dyDescent="0.25">
      <c r="E11491" s="4"/>
      <c r="F11491" s="4"/>
      <c r="G11491" s="33" t="str">
        <f>IFERROR(VLOOKUP($D11491,'Informations sur les produits'!$A$3:$H$10000,8,FALSE),"0")</f>
        <v>0</v>
      </c>
      <c r="K11491" s="4"/>
      <c r="L11491" s="33" t="str">
        <f>IFERROR(VLOOKUP($J11491,'Informations sur les produits'!$A$3:$H$10000,8,FALSE),"0")</f>
        <v>0</v>
      </c>
      <c r="N11491" s="8"/>
      <c r="O11491" s="33" t="str">
        <f>IFERROR(VLOOKUP($M11491,'Informations sur les produits'!$A$3:$H$10000,8,FALSE),"0")</f>
        <v>0</v>
      </c>
      <c r="P11491" s="33">
        <f t="shared" si="716"/>
        <v>0</v>
      </c>
      <c r="Q11491" s="31" t="str">
        <f t="shared" si="717"/>
        <v/>
      </c>
      <c r="R11491" s="32" t="str">
        <f>IFERROR(VLOOKUP($D11491,'Informations sur les produits'!$A$3:$B$15000,2,FALSE),"")</f>
        <v/>
      </c>
      <c r="V11491">
        <f t="shared" si="718"/>
        <v>0</v>
      </c>
      <c r="W11491">
        <f t="shared" si="719"/>
        <v>0</v>
      </c>
    </row>
    <row r="11492" spans="5:23" x14ac:dyDescent="0.25">
      <c r="E11492" s="4"/>
      <c r="F11492" s="4"/>
      <c r="G11492" s="33" t="str">
        <f>IFERROR(VLOOKUP($D11492,'Informations sur les produits'!$A$3:$H$10000,8,FALSE),"0")</f>
        <v>0</v>
      </c>
      <c r="K11492" s="4"/>
      <c r="L11492" s="33" t="str">
        <f>IFERROR(VLOOKUP($J11492,'Informations sur les produits'!$A$3:$H$10000,8,FALSE),"0")</f>
        <v>0</v>
      </c>
      <c r="N11492" s="8"/>
      <c r="O11492" s="33" t="str">
        <f>IFERROR(VLOOKUP($M11492,'Informations sur les produits'!$A$3:$H$10000,8,FALSE),"0")</f>
        <v>0</v>
      </c>
      <c r="P11492" s="33">
        <f t="shared" si="716"/>
        <v>0</v>
      </c>
      <c r="Q11492" s="31" t="str">
        <f t="shared" si="717"/>
        <v/>
      </c>
      <c r="R11492" s="32" t="str">
        <f>IFERROR(VLOOKUP($D11492,'Informations sur les produits'!$A$3:$B$15000,2,FALSE),"")</f>
        <v/>
      </c>
      <c r="V11492">
        <f t="shared" si="718"/>
        <v>0</v>
      </c>
      <c r="W11492">
        <f t="shared" si="719"/>
        <v>0</v>
      </c>
    </row>
    <row r="11493" spans="5:23" x14ac:dyDescent="0.25">
      <c r="E11493" s="4"/>
      <c r="F11493" s="4"/>
      <c r="G11493" s="33" t="str">
        <f>IFERROR(VLOOKUP($D11493,'Informations sur les produits'!$A$3:$H$10000,8,FALSE),"0")</f>
        <v>0</v>
      </c>
      <c r="K11493" s="4"/>
      <c r="L11493" s="33" t="str">
        <f>IFERROR(VLOOKUP($J11493,'Informations sur les produits'!$A$3:$H$10000,8,FALSE),"0")</f>
        <v>0</v>
      </c>
      <c r="N11493" s="8"/>
      <c r="O11493" s="33" t="str">
        <f>IFERROR(VLOOKUP($M11493,'Informations sur les produits'!$A$3:$H$10000,8,FALSE),"0")</f>
        <v>0</v>
      </c>
      <c r="P11493" s="33">
        <f t="shared" si="716"/>
        <v>0</v>
      </c>
      <c r="Q11493" s="31" t="str">
        <f t="shared" si="717"/>
        <v/>
      </c>
      <c r="R11493" s="32" t="str">
        <f>IFERROR(VLOOKUP($D11493,'Informations sur les produits'!$A$3:$B$15000,2,FALSE),"")</f>
        <v/>
      </c>
      <c r="V11493">
        <f t="shared" si="718"/>
        <v>0</v>
      </c>
      <c r="W11493">
        <f t="shared" si="719"/>
        <v>0</v>
      </c>
    </row>
    <row r="11494" spans="5:23" x14ac:dyDescent="0.25">
      <c r="E11494" s="4"/>
      <c r="F11494" s="4"/>
      <c r="G11494" s="33" t="str">
        <f>IFERROR(VLOOKUP($D11494,'Informations sur les produits'!$A$3:$H$10000,8,FALSE),"0")</f>
        <v>0</v>
      </c>
      <c r="K11494" s="4"/>
      <c r="L11494" s="33" t="str">
        <f>IFERROR(VLOOKUP($J11494,'Informations sur les produits'!$A$3:$H$10000,8,FALSE),"0")</f>
        <v>0</v>
      </c>
      <c r="N11494" s="8"/>
      <c r="O11494" s="33" t="str">
        <f>IFERROR(VLOOKUP($M11494,'Informations sur les produits'!$A$3:$H$10000,8,FALSE),"0")</f>
        <v>0</v>
      </c>
      <c r="P11494" s="33">
        <f t="shared" si="716"/>
        <v>0</v>
      </c>
      <c r="Q11494" s="31" t="str">
        <f t="shared" si="717"/>
        <v/>
      </c>
      <c r="R11494" s="32" t="str">
        <f>IFERROR(VLOOKUP($D11494,'Informations sur les produits'!$A$3:$B$15000,2,FALSE),"")</f>
        <v/>
      </c>
      <c r="V11494">
        <f t="shared" si="718"/>
        <v>0</v>
      </c>
      <c r="W11494">
        <f t="shared" si="719"/>
        <v>0</v>
      </c>
    </row>
    <row r="11495" spans="5:23" x14ac:dyDescent="0.25">
      <c r="E11495" s="4"/>
      <c r="F11495" s="4"/>
      <c r="G11495" s="33" t="str">
        <f>IFERROR(VLOOKUP($D11495,'Informations sur les produits'!$A$3:$H$10000,8,FALSE),"0")</f>
        <v>0</v>
      </c>
      <c r="K11495" s="4"/>
      <c r="L11495" s="33" t="str">
        <f>IFERROR(VLOOKUP($J11495,'Informations sur les produits'!$A$3:$H$10000,8,FALSE),"0")</f>
        <v>0</v>
      </c>
      <c r="N11495" s="8"/>
      <c r="O11495" s="33" t="str">
        <f>IFERROR(VLOOKUP($M11495,'Informations sur les produits'!$A$3:$H$10000,8,FALSE),"0")</f>
        <v>0</v>
      </c>
      <c r="P11495" s="33">
        <f t="shared" si="716"/>
        <v>0</v>
      </c>
      <c r="Q11495" s="31" t="str">
        <f t="shared" si="717"/>
        <v/>
      </c>
      <c r="R11495" s="32" t="str">
        <f>IFERROR(VLOOKUP($D11495,'Informations sur les produits'!$A$3:$B$15000,2,FALSE),"")</f>
        <v/>
      </c>
      <c r="V11495">
        <f t="shared" si="718"/>
        <v>0</v>
      </c>
      <c r="W11495">
        <f t="shared" si="719"/>
        <v>0</v>
      </c>
    </row>
    <row r="11496" spans="5:23" x14ac:dyDescent="0.25">
      <c r="E11496" s="4"/>
      <c r="F11496" s="4"/>
      <c r="G11496" s="33" t="str">
        <f>IFERROR(VLOOKUP($D11496,'Informations sur les produits'!$A$3:$H$10000,8,FALSE),"0")</f>
        <v>0</v>
      </c>
      <c r="K11496" s="4"/>
      <c r="L11496" s="33" t="str">
        <f>IFERROR(VLOOKUP($J11496,'Informations sur les produits'!$A$3:$H$10000,8,FALSE),"0")</f>
        <v>0</v>
      </c>
      <c r="N11496" s="8"/>
      <c r="O11496" s="33" t="str">
        <f>IFERROR(VLOOKUP($M11496,'Informations sur les produits'!$A$3:$H$10000,8,FALSE),"0")</f>
        <v>0</v>
      </c>
      <c r="P11496" s="33">
        <f t="shared" si="716"/>
        <v>0</v>
      </c>
      <c r="Q11496" s="31" t="str">
        <f t="shared" si="717"/>
        <v/>
      </c>
      <c r="R11496" s="32" t="str">
        <f>IFERROR(VLOOKUP($D11496,'Informations sur les produits'!$A$3:$B$15000,2,FALSE),"")</f>
        <v/>
      </c>
      <c r="V11496">
        <f t="shared" si="718"/>
        <v>0</v>
      </c>
      <c r="W11496">
        <f t="shared" si="719"/>
        <v>0</v>
      </c>
    </row>
    <row r="11497" spans="5:23" x14ac:dyDescent="0.25">
      <c r="E11497" s="4"/>
      <c r="F11497" s="4"/>
      <c r="G11497" s="33" t="str">
        <f>IFERROR(VLOOKUP($D11497,'Informations sur les produits'!$A$3:$H$10000,8,FALSE),"0")</f>
        <v>0</v>
      </c>
      <c r="K11497" s="4"/>
      <c r="L11497" s="33" t="str">
        <f>IFERROR(VLOOKUP($J11497,'Informations sur les produits'!$A$3:$H$10000,8,FALSE),"0")</f>
        <v>0</v>
      </c>
      <c r="N11497" s="8"/>
      <c r="O11497" s="33" t="str">
        <f>IFERROR(VLOOKUP($M11497,'Informations sur les produits'!$A$3:$H$10000,8,FALSE),"0")</f>
        <v>0</v>
      </c>
      <c r="P11497" s="33">
        <f t="shared" si="716"/>
        <v>0</v>
      </c>
      <c r="Q11497" s="31" t="str">
        <f t="shared" si="717"/>
        <v/>
      </c>
      <c r="R11497" s="32" t="str">
        <f>IFERROR(VLOOKUP($D11497,'Informations sur les produits'!$A$3:$B$15000,2,FALSE),"")</f>
        <v/>
      </c>
      <c r="V11497">
        <f t="shared" si="718"/>
        <v>0</v>
      </c>
      <c r="W11497">
        <f t="shared" si="719"/>
        <v>0</v>
      </c>
    </row>
    <row r="11498" spans="5:23" x14ac:dyDescent="0.25">
      <c r="E11498" s="4"/>
      <c r="F11498" s="4"/>
      <c r="G11498" s="33" t="str">
        <f>IFERROR(VLOOKUP($D11498,'Informations sur les produits'!$A$3:$H$10000,8,FALSE),"0")</f>
        <v>0</v>
      </c>
      <c r="K11498" s="4"/>
      <c r="L11498" s="33" t="str">
        <f>IFERROR(VLOOKUP($J11498,'Informations sur les produits'!$A$3:$H$10000,8,FALSE),"0")</f>
        <v>0</v>
      </c>
      <c r="N11498" s="8"/>
      <c r="O11498" s="33" t="str">
        <f>IFERROR(VLOOKUP($M11498,'Informations sur les produits'!$A$3:$H$10000,8,FALSE),"0")</f>
        <v>0</v>
      </c>
      <c r="P11498" s="33">
        <f t="shared" si="716"/>
        <v>0</v>
      </c>
      <c r="Q11498" s="31" t="str">
        <f t="shared" si="717"/>
        <v/>
      </c>
      <c r="R11498" s="32" t="str">
        <f>IFERROR(VLOOKUP($D11498,'Informations sur les produits'!$A$3:$B$15000,2,FALSE),"")</f>
        <v/>
      </c>
      <c r="V11498">
        <f t="shared" si="718"/>
        <v>0</v>
      </c>
      <c r="W11498">
        <f t="shared" si="719"/>
        <v>0</v>
      </c>
    </row>
    <row r="11499" spans="5:23" x14ac:dyDescent="0.25">
      <c r="E11499" s="4"/>
      <c r="F11499" s="4"/>
      <c r="G11499" s="33" t="str">
        <f>IFERROR(VLOOKUP($D11499,'Informations sur les produits'!$A$3:$H$10000,8,FALSE),"0")</f>
        <v>0</v>
      </c>
      <c r="K11499" s="4"/>
      <c r="L11499" s="33" t="str">
        <f>IFERROR(VLOOKUP($J11499,'Informations sur les produits'!$A$3:$H$10000,8,FALSE),"0")</f>
        <v>0</v>
      </c>
      <c r="N11499" s="8"/>
      <c r="O11499" s="33" t="str">
        <f>IFERROR(VLOOKUP($M11499,'Informations sur les produits'!$A$3:$H$10000,8,FALSE),"0")</f>
        <v>0</v>
      </c>
      <c r="P11499" s="33">
        <f t="shared" si="716"/>
        <v>0</v>
      </c>
      <c r="Q11499" s="31" t="str">
        <f t="shared" si="717"/>
        <v/>
      </c>
      <c r="R11499" s="32" t="str">
        <f>IFERROR(VLOOKUP($D11499,'Informations sur les produits'!$A$3:$B$15000,2,FALSE),"")</f>
        <v/>
      </c>
      <c r="V11499">
        <f t="shared" si="718"/>
        <v>0</v>
      </c>
      <c r="W11499">
        <f t="shared" si="719"/>
        <v>0</v>
      </c>
    </row>
    <row r="11500" spans="5:23" x14ac:dyDescent="0.25">
      <c r="E11500" s="4"/>
      <c r="F11500" s="4"/>
      <c r="G11500" s="33" t="str">
        <f>IFERROR(VLOOKUP($D11500,'Informations sur les produits'!$A$3:$H$10000,8,FALSE),"0")</f>
        <v>0</v>
      </c>
      <c r="K11500" s="4"/>
      <c r="L11500" s="33" t="str">
        <f>IFERROR(VLOOKUP($J11500,'Informations sur les produits'!$A$3:$H$10000,8,FALSE),"0")</f>
        <v>0</v>
      </c>
      <c r="N11500" s="8"/>
      <c r="O11500" s="33" t="str">
        <f>IFERROR(VLOOKUP($M11500,'Informations sur les produits'!$A$3:$H$10000,8,FALSE),"0")</f>
        <v>0</v>
      </c>
      <c r="P11500" s="33">
        <f t="shared" si="716"/>
        <v>0</v>
      </c>
      <c r="Q11500" s="31" t="str">
        <f t="shared" si="717"/>
        <v/>
      </c>
      <c r="R11500" s="32" t="str">
        <f>IFERROR(VLOOKUP($D11500,'Informations sur les produits'!$A$3:$B$15000,2,FALSE),"")</f>
        <v/>
      </c>
      <c r="V11500">
        <f t="shared" si="718"/>
        <v>0</v>
      </c>
      <c r="W11500">
        <f t="shared" si="719"/>
        <v>0</v>
      </c>
    </row>
    <row r="11501" spans="5:23" x14ac:dyDescent="0.25">
      <c r="E11501" s="4"/>
      <c r="F11501" s="4"/>
      <c r="G11501" s="33" t="str">
        <f>IFERROR(VLOOKUP($D11501,'Informations sur les produits'!$A$3:$H$10000,8,FALSE),"0")</f>
        <v>0</v>
      </c>
      <c r="K11501" s="4"/>
      <c r="L11501" s="33" t="str">
        <f>IFERROR(VLOOKUP($J11501,'Informations sur les produits'!$A$3:$H$10000,8,FALSE),"0")</f>
        <v>0</v>
      </c>
      <c r="N11501" s="8"/>
      <c r="O11501" s="33" t="str">
        <f>IFERROR(VLOOKUP($M11501,'Informations sur les produits'!$A$3:$H$10000,8,FALSE),"0")</f>
        <v>0</v>
      </c>
      <c r="P11501" s="33">
        <f t="shared" si="716"/>
        <v>0</v>
      </c>
      <c r="Q11501" s="31" t="str">
        <f t="shared" si="717"/>
        <v/>
      </c>
      <c r="R11501" s="32" t="str">
        <f>IFERROR(VLOOKUP($D11501,'Informations sur les produits'!$A$3:$B$15000,2,FALSE),"")</f>
        <v/>
      </c>
      <c r="V11501">
        <f t="shared" si="718"/>
        <v>0</v>
      </c>
      <c r="W11501">
        <f t="shared" si="719"/>
        <v>0</v>
      </c>
    </row>
    <row r="11502" spans="5:23" x14ac:dyDescent="0.25">
      <c r="E11502" s="4"/>
      <c r="F11502" s="4"/>
      <c r="G11502" s="33" t="str">
        <f>IFERROR(VLOOKUP($D11502,'Informations sur les produits'!$A$3:$H$10000,8,FALSE),"0")</f>
        <v>0</v>
      </c>
      <c r="K11502" s="4"/>
      <c r="L11502" s="33" t="str">
        <f>IFERROR(VLOOKUP($J11502,'Informations sur les produits'!$A$3:$H$10000,8,FALSE),"0")</f>
        <v>0</v>
      </c>
      <c r="N11502" s="8"/>
      <c r="O11502" s="33" t="str">
        <f>IFERROR(VLOOKUP($M11502,'Informations sur les produits'!$A$3:$H$10000,8,FALSE),"0")</f>
        <v>0</v>
      </c>
      <c r="P11502" s="33">
        <f t="shared" si="716"/>
        <v>0</v>
      </c>
      <c r="Q11502" s="31" t="str">
        <f t="shared" si="717"/>
        <v/>
      </c>
      <c r="R11502" s="32" t="str">
        <f>IFERROR(VLOOKUP($D11502,'Informations sur les produits'!$A$3:$B$15000,2,FALSE),"")</f>
        <v/>
      </c>
      <c r="V11502">
        <f t="shared" si="718"/>
        <v>0</v>
      </c>
      <c r="W11502">
        <f t="shared" si="719"/>
        <v>0</v>
      </c>
    </row>
    <row r="11503" spans="5:23" x14ac:dyDescent="0.25">
      <c r="E11503" s="4"/>
      <c r="F11503" s="4"/>
      <c r="G11503" s="33" t="str">
        <f>IFERROR(VLOOKUP($D11503,'Informations sur les produits'!$A$3:$H$10000,8,FALSE),"0")</f>
        <v>0</v>
      </c>
      <c r="K11503" s="4"/>
      <c r="L11503" s="33" t="str">
        <f>IFERROR(VLOOKUP($J11503,'Informations sur les produits'!$A$3:$H$10000,8,FALSE),"0")</f>
        <v>0</v>
      </c>
      <c r="N11503" s="8"/>
      <c r="O11503" s="33" t="str">
        <f>IFERROR(VLOOKUP($M11503,'Informations sur les produits'!$A$3:$H$10000,8,FALSE),"0")</f>
        <v>0</v>
      </c>
      <c r="P11503" s="33">
        <f t="shared" si="716"/>
        <v>0</v>
      </c>
      <c r="Q11503" s="31" t="str">
        <f t="shared" si="717"/>
        <v/>
      </c>
      <c r="R11503" s="32" t="str">
        <f>IFERROR(VLOOKUP($D11503,'Informations sur les produits'!$A$3:$B$15000,2,FALSE),"")</f>
        <v/>
      </c>
      <c r="V11503">
        <f t="shared" si="718"/>
        <v>0</v>
      </c>
      <c r="W11503">
        <f t="shared" si="719"/>
        <v>0</v>
      </c>
    </row>
    <row r="11504" spans="5:23" x14ac:dyDescent="0.25">
      <c r="E11504" s="4"/>
      <c r="F11504" s="4"/>
      <c r="G11504" s="33" t="str">
        <f>IFERROR(VLOOKUP($D11504,'Informations sur les produits'!$A$3:$H$10000,8,FALSE),"0")</f>
        <v>0</v>
      </c>
      <c r="K11504" s="4"/>
      <c r="L11504" s="33" t="str">
        <f>IFERROR(VLOOKUP($J11504,'Informations sur les produits'!$A$3:$H$10000,8,FALSE),"0")</f>
        <v>0</v>
      </c>
      <c r="N11504" s="8"/>
      <c r="O11504" s="33" t="str">
        <f>IFERROR(VLOOKUP($M11504,'Informations sur les produits'!$A$3:$H$10000,8,FALSE),"0")</f>
        <v>0</v>
      </c>
      <c r="P11504" s="33">
        <f t="shared" si="716"/>
        <v>0</v>
      </c>
      <c r="Q11504" s="31" t="str">
        <f t="shared" si="717"/>
        <v/>
      </c>
      <c r="R11504" s="32" t="str">
        <f>IFERROR(VLOOKUP($D11504,'Informations sur les produits'!$A$3:$B$15000,2,FALSE),"")</f>
        <v/>
      </c>
      <c r="V11504">
        <f t="shared" si="718"/>
        <v>0</v>
      </c>
      <c r="W11504">
        <f t="shared" si="719"/>
        <v>0</v>
      </c>
    </row>
    <row r="11505" spans="5:23" x14ac:dyDescent="0.25">
      <c r="E11505" s="4"/>
      <c r="F11505" s="4"/>
      <c r="G11505" s="33" t="str">
        <f>IFERROR(VLOOKUP($D11505,'Informations sur les produits'!$A$3:$H$10000,8,FALSE),"0")</f>
        <v>0</v>
      </c>
      <c r="K11505" s="4"/>
      <c r="L11505" s="33" t="str">
        <f>IFERROR(VLOOKUP($J11505,'Informations sur les produits'!$A$3:$H$10000,8,FALSE),"0")</f>
        <v>0</v>
      </c>
      <c r="N11505" s="8"/>
      <c r="O11505" s="33" t="str">
        <f>IFERROR(VLOOKUP($M11505,'Informations sur les produits'!$A$3:$H$10000,8,FALSE),"0")</f>
        <v>0</v>
      </c>
      <c r="P11505" s="33">
        <f t="shared" si="716"/>
        <v>0</v>
      </c>
      <c r="Q11505" s="31" t="str">
        <f t="shared" si="717"/>
        <v/>
      </c>
      <c r="R11505" s="32" t="str">
        <f>IFERROR(VLOOKUP($D11505,'Informations sur les produits'!$A$3:$B$15000,2,FALSE),"")</f>
        <v/>
      </c>
      <c r="V11505">
        <f t="shared" si="718"/>
        <v>0</v>
      </c>
      <c r="W11505">
        <f t="shared" si="719"/>
        <v>0</v>
      </c>
    </row>
    <row r="11506" spans="5:23" x14ac:dyDescent="0.25">
      <c r="E11506" s="4"/>
      <c r="F11506" s="4"/>
      <c r="G11506" s="33" t="str">
        <f>IFERROR(VLOOKUP($D11506,'Informations sur les produits'!$A$3:$H$10000,8,FALSE),"0")</f>
        <v>0</v>
      </c>
      <c r="K11506" s="4"/>
      <c r="L11506" s="33" t="str">
        <f>IFERROR(VLOOKUP($J11506,'Informations sur les produits'!$A$3:$H$10000,8,FALSE),"0")</f>
        <v>0</v>
      </c>
      <c r="N11506" s="8"/>
      <c r="O11506" s="33" t="str">
        <f>IFERROR(VLOOKUP($M11506,'Informations sur les produits'!$A$3:$H$10000,8,FALSE),"0")</f>
        <v>0</v>
      </c>
      <c r="P11506" s="33">
        <f t="shared" si="716"/>
        <v>0</v>
      </c>
      <c r="Q11506" s="31" t="str">
        <f t="shared" si="717"/>
        <v/>
      </c>
      <c r="R11506" s="32" t="str">
        <f>IFERROR(VLOOKUP($D11506,'Informations sur les produits'!$A$3:$B$15000,2,FALSE),"")</f>
        <v/>
      </c>
      <c r="V11506">
        <f t="shared" si="718"/>
        <v>0</v>
      </c>
      <c r="W11506">
        <f t="shared" si="719"/>
        <v>0</v>
      </c>
    </row>
    <row r="11507" spans="5:23" x14ac:dyDescent="0.25">
      <c r="E11507" s="4"/>
      <c r="F11507" s="4"/>
      <c r="G11507" s="33" t="str">
        <f>IFERROR(VLOOKUP($D11507,'Informations sur les produits'!$A$3:$H$10000,8,FALSE),"0")</f>
        <v>0</v>
      </c>
      <c r="K11507" s="4"/>
      <c r="L11507" s="33" t="str">
        <f>IFERROR(VLOOKUP($J11507,'Informations sur les produits'!$A$3:$H$10000,8,FALSE),"0")</f>
        <v>0</v>
      </c>
      <c r="N11507" s="8"/>
      <c r="O11507" s="33" t="str">
        <f>IFERROR(VLOOKUP($M11507,'Informations sur les produits'!$A$3:$H$10000,8,FALSE),"0")</f>
        <v>0</v>
      </c>
      <c r="P11507" s="33">
        <f t="shared" si="716"/>
        <v>0</v>
      </c>
      <c r="Q11507" s="31" t="str">
        <f t="shared" si="717"/>
        <v/>
      </c>
      <c r="R11507" s="32" t="str">
        <f>IFERROR(VLOOKUP($D11507,'Informations sur les produits'!$A$3:$B$15000,2,FALSE),"")</f>
        <v/>
      </c>
      <c r="V11507">
        <f t="shared" si="718"/>
        <v>0</v>
      </c>
      <c r="W11507">
        <f t="shared" si="719"/>
        <v>0</v>
      </c>
    </row>
    <row r="11508" spans="5:23" x14ac:dyDescent="0.25">
      <c r="E11508" s="4"/>
      <c r="F11508" s="4"/>
      <c r="G11508" s="33" t="str">
        <f>IFERROR(VLOOKUP($D11508,'Informations sur les produits'!$A$3:$H$10000,8,FALSE),"0")</f>
        <v>0</v>
      </c>
      <c r="K11508" s="4"/>
      <c r="L11508" s="33" t="str">
        <f>IFERROR(VLOOKUP($J11508,'Informations sur les produits'!$A$3:$H$10000,8,FALSE),"0")</f>
        <v>0</v>
      </c>
      <c r="N11508" s="8"/>
      <c r="O11508" s="33" t="str">
        <f>IFERROR(VLOOKUP($M11508,'Informations sur les produits'!$A$3:$H$10000,8,FALSE),"0")</f>
        <v>0</v>
      </c>
      <c r="P11508" s="33">
        <f t="shared" si="716"/>
        <v>0</v>
      </c>
      <c r="Q11508" s="31" t="str">
        <f t="shared" si="717"/>
        <v/>
      </c>
      <c r="R11508" s="32" t="str">
        <f>IFERROR(VLOOKUP($D11508,'Informations sur les produits'!$A$3:$B$15000,2,FALSE),"")</f>
        <v/>
      </c>
      <c r="V11508">
        <f t="shared" si="718"/>
        <v>0</v>
      </c>
      <c r="W11508">
        <f t="shared" si="719"/>
        <v>0</v>
      </c>
    </row>
    <row r="11509" spans="5:23" x14ac:dyDescent="0.25">
      <c r="E11509" s="4"/>
      <c r="F11509" s="4"/>
      <c r="G11509" s="33" t="str">
        <f>IFERROR(VLOOKUP($D11509,'Informations sur les produits'!$A$3:$H$10000,8,FALSE),"0")</f>
        <v>0</v>
      </c>
      <c r="K11509" s="4"/>
      <c r="L11509" s="33" t="str">
        <f>IFERROR(VLOOKUP($J11509,'Informations sur les produits'!$A$3:$H$10000,8,FALSE),"0")</f>
        <v>0</v>
      </c>
      <c r="N11509" s="8"/>
      <c r="O11509" s="33" t="str">
        <f>IFERROR(VLOOKUP($M11509,'Informations sur les produits'!$A$3:$H$10000,8,FALSE),"0")</f>
        <v>0</v>
      </c>
      <c r="P11509" s="33">
        <f t="shared" si="716"/>
        <v>0</v>
      </c>
      <c r="Q11509" s="31" t="str">
        <f t="shared" si="717"/>
        <v/>
      </c>
      <c r="R11509" s="32" t="str">
        <f>IFERROR(VLOOKUP($D11509,'Informations sur les produits'!$A$3:$B$15000,2,FALSE),"")</f>
        <v/>
      </c>
      <c r="V11509">
        <f t="shared" si="718"/>
        <v>0</v>
      </c>
      <c r="W11509">
        <f t="shared" si="719"/>
        <v>0</v>
      </c>
    </row>
    <row r="11510" spans="5:23" x14ac:dyDescent="0.25">
      <c r="E11510" s="4"/>
      <c r="F11510" s="4"/>
      <c r="G11510" s="33" t="str">
        <f>IFERROR(VLOOKUP($D11510,'Informations sur les produits'!$A$3:$H$10000,8,FALSE),"0")</f>
        <v>0</v>
      </c>
      <c r="K11510" s="4"/>
      <c r="L11510" s="33" t="str">
        <f>IFERROR(VLOOKUP($J11510,'Informations sur les produits'!$A$3:$H$10000,8,FALSE),"0")</f>
        <v>0</v>
      </c>
      <c r="N11510" s="8"/>
      <c r="O11510" s="33" t="str">
        <f>IFERROR(VLOOKUP($M11510,'Informations sur les produits'!$A$3:$H$10000,8,FALSE),"0")</f>
        <v>0</v>
      </c>
      <c r="P11510" s="33">
        <f t="shared" si="716"/>
        <v>0</v>
      </c>
      <c r="Q11510" s="31" t="str">
        <f t="shared" si="717"/>
        <v/>
      </c>
      <c r="R11510" s="32" t="str">
        <f>IFERROR(VLOOKUP($D11510,'Informations sur les produits'!$A$3:$B$15000,2,FALSE),"")</f>
        <v/>
      </c>
      <c r="V11510">
        <f t="shared" si="718"/>
        <v>0</v>
      </c>
      <c r="W11510">
        <f t="shared" si="719"/>
        <v>0</v>
      </c>
    </row>
    <row r="11511" spans="5:23" x14ac:dyDescent="0.25">
      <c r="E11511" s="4"/>
      <c r="F11511" s="4"/>
      <c r="G11511" s="33" t="str">
        <f>IFERROR(VLOOKUP($D11511,'Informations sur les produits'!$A$3:$H$10000,8,FALSE),"0")</f>
        <v>0</v>
      </c>
      <c r="K11511" s="4"/>
      <c r="L11511" s="33" t="str">
        <f>IFERROR(VLOOKUP($J11511,'Informations sur les produits'!$A$3:$H$10000,8,FALSE),"0")</f>
        <v>0</v>
      </c>
      <c r="N11511" s="8"/>
      <c r="O11511" s="33" t="str">
        <f>IFERROR(VLOOKUP($M11511,'Informations sur les produits'!$A$3:$H$10000,8,FALSE),"0")</f>
        <v>0</v>
      </c>
      <c r="P11511" s="33">
        <f t="shared" si="716"/>
        <v>0</v>
      </c>
      <c r="Q11511" s="31" t="str">
        <f t="shared" si="717"/>
        <v/>
      </c>
      <c r="R11511" s="32" t="str">
        <f>IFERROR(VLOOKUP($D11511,'Informations sur les produits'!$A$3:$B$15000,2,FALSE),"")</f>
        <v/>
      </c>
      <c r="V11511">
        <f t="shared" si="718"/>
        <v>0</v>
      </c>
      <c r="W11511">
        <f t="shared" si="719"/>
        <v>0</v>
      </c>
    </row>
    <row r="11512" spans="5:23" x14ac:dyDescent="0.25">
      <c r="E11512" s="4"/>
      <c r="F11512" s="4"/>
      <c r="G11512" s="33" t="str">
        <f>IFERROR(VLOOKUP($D11512,'Informations sur les produits'!$A$3:$H$10000,8,FALSE),"0")</f>
        <v>0</v>
      </c>
      <c r="K11512" s="4"/>
      <c r="L11512" s="33" t="str">
        <f>IFERROR(VLOOKUP($J11512,'Informations sur les produits'!$A$3:$H$10000,8,FALSE),"0")</f>
        <v>0</v>
      </c>
      <c r="N11512" s="8"/>
      <c r="O11512" s="33" t="str">
        <f>IFERROR(VLOOKUP($M11512,'Informations sur les produits'!$A$3:$H$10000,8,FALSE),"0")</f>
        <v>0</v>
      </c>
      <c r="P11512" s="33">
        <f t="shared" si="716"/>
        <v>0</v>
      </c>
      <c r="Q11512" s="31" t="str">
        <f t="shared" si="717"/>
        <v/>
      </c>
      <c r="R11512" s="32" t="str">
        <f>IFERROR(VLOOKUP($D11512,'Informations sur les produits'!$A$3:$B$15000,2,FALSE),"")</f>
        <v/>
      </c>
      <c r="V11512">
        <f t="shared" si="718"/>
        <v>0</v>
      </c>
      <c r="W11512">
        <f t="shared" si="719"/>
        <v>0</v>
      </c>
    </row>
    <row r="11513" spans="5:23" x14ac:dyDescent="0.25">
      <c r="E11513" s="4"/>
      <c r="F11513" s="4"/>
      <c r="G11513" s="33" t="str">
        <f>IFERROR(VLOOKUP($D11513,'Informations sur les produits'!$A$3:$H$10000,8,FALSE),"0")</f>
        <v>0</v>
      </c>
      <c r="K11513" s="4"/>
      <c r="L11513" s="33" t="str">
        <f>IFERROR(VLOOKUP($J11513,'Informations sur les produits'!$A$3:$H$10000,8,FALSE),"0")</f>
        <v>0</v>
      </c>
      <c r="N11513" s="8"/>
      <c r="O11513" s="33" t="str">
        <f>IFERROR(VLOOKUP($M11513,'Informations sur les produits'!$A$3:$H$10000,8,FALSE),"0")</f>
        <v>0</v>
      </c>
      <c r="P11513" s="33">
        <f t="shared" si="716"/>
        <v>0</v>
      </c>
      <c r="Q11513" s="31" t="str">
        <f t="shared" si="717"/>
        <v/>
      </c>
      <c r="R11513" s="32" t="str">
        <f>IFERROR(VLOOKUP($D11513,'Informations sur les produits'!$A$3:$B$15000,2,FALSE),"")</f>
        <v/>
      </c>
      <c r="V11513">
        <f t="shared" si="718"/>
        <v>0</v>
      </c>
      <c r="W11513">
        <f t="shared" si="719"/>
        <v>0</v>
      </c>
    </row>
    <row r="11514" spans="5:23" x14ac:dyDescent="0.25">
      <c r="E11514" s="4"/>
      <c r="F11514" s="4"/>
      <c r="G11514" s="33" t="str">
        <f>IFERROR(VLOOKUP($D11514,'Informations sur les produits'!$A$3:$H$10000,8,FALSE),"0")</f>
        <v>0</v>
      </c>
      <c r="K11514" s="4"/>
      <c r="L11514" s="33" t="str">
        <f>IFERROR(VLOOKUP($J11514,'Informations sur les produits'!$A$3:$H$10000,8,FALSE),"0")</f>
        <v>0</v>
      </c>
      <c r="N11514" s="8"/>
      <c r="O11514" s="33" t="str">
        <f>IFERROR(VLOOKUP($M11514,'Informations sur les produits'!$A$3:$H$10000,8,FALSE),"0")</f>
        <v>0</v>
      </c>
      <c r="P11514" s="33">
        <f t="shared" si="716"/>
        <v>0</v>
      </c>
      <c r="Q11514" s="31" t="str">
        <f t="shared" si="717"/>
        <v/>
      </c>
      <c r="R11514" s="32" t="str">
        <f>IFERROR(VLOOKUP($D11514,'Informations sur les produits'!$A$3:$B$15000,2,FALSE),"")</f>
        <v/>
      </c>
      <c r="V11514">
        <f t="shared" si="718"/>
        <v>0</v>
      </c>
      <c r="W11514">
        <f t="shared" si="719"/>
        <v>0</v>
      </c>
    </row>
    <row r="11515" spans="5:23" x14ac:dyDescent="0.25">
      <c r="E11515" s="4"/>
      <c r="F11515" s="4"/>
      <c r="G11515" s="33" t="str">
        <f>IFERROR(VLOOKUP($D11515,'Informations sur les produits'!$A$3:$H$10000,8,FALSE),"0")</f>
        <v>0</v>
      </c>
      <c r="K11515" s="4"/>
      <c r="L11515" s="33" t="str">
        <f>IFERROR(VLOOKUP($J11515,'Informations sur les produits'!$A$3:$H$10000,8,FALSE),"0")</f>
        <v>0</v>
      </c>
      <c r="N11515" s="8"/>
      <c r="O11515" s="33" t="str">
        <f>IFERROR(VLOOKUP($M11515,'Informations sur les produits'!$A$3:$H$10000,8,FALSE),"0")</f>
        <v>0</v>
      </c>
      <c r="P11515" s="33">
        <f t="shared" si="716"/>
        <v>0</v>
      </c>
      <c r="Q11515" s="31" t="str">
        <f t="shared" si="717"/>
        <v/>
      </c>
      <c r="R11515" s="32" t="str">
        <f>IFERROR(VLOOKUP($D11515,'Informations sur les produits'!$A$3:$B$15000,2,FALSE),"")</f>
        <v/>
      </c>
      <c r="V11515">
        <f t="shared" si="718"/>
        <v>0</v>
      </c>
      <c r="W11515">
        <f t="shared" si="719"/>
        <v>0</v>
      </c>
    </row>
    <row r="11516" spans="5:23" x14ac:dyDescent="0.25">
      <c r="E11516" s="4"/>
      <c r="F11516" s="4"/>
      <c r="G11516" s="33" t="str">
        <f>IFERROR(VLOOKUP($D11516,'Informations sur les produits'!$A$3:$H$10000,8,FALSE),"0")</f>
        <v>0</v>
      </c>
      <c r="K11516" s="4"/>
      <c r="L11516" s="33" t="str">
        <f>IFERROR(VLOOKUP($J11516,'Informations sur les produits'!$A$3:$H$10000,8,FALSE),"0")</f>
        <v>0</v>
      </c>
      <c r="N11516" s="8"/>
      <c r="O11516" s="33" t="str">
        <f>IFERROR(VLOOKUP($M11516,'Informations sur les produits'!$A$3:$H$10000,8,FALSE),"0")</f>
        <v>0</v>
      </c>
      <c r="P11516" s="33">
        <f t="shared" si="716"/>
        <v>0</v>
      </c>
      <c r="Q11516" s="31" t="str">
        <f t="shared" si="717"/>
        <v/>
      </c>
      <c r="R11516" s="32" t="str">
        <f>IFERROR(VLOOKUP($D11516,'Informations sur les produits'!$A$3:$B$15000,2,FALSE),"")</f>
        <v/>
      </c>
      <c r="V11516">
        <f t="shared" si="718"/>
        <v>0</v>
      </c>
      <c r="W11516">
        <f t="shared" si="719"/>
        <v>0</v>
      </c>
    </row>
    <row r="11517" spans="5:23" x14ac:dyDescent="0.25">
      <c r="E11517" s="4"/>
      <c r="F11517" s="4"/>
      <c r="G11517" s="33" t="str">
        <f>IFERROR(VLOOKUP($D11517,'Informations sur les produits'!$A$3:$H$10000,8,FALSE),"0")</f>
        <v>0</v>
      </c>
      <c r="K11517" s="4"/>
      <c r="L11517" s="33" t="str">
        <f>IFERROR(VLOOKUP($J11517,'Informations sur les produits'!$A$3:$H$10000,8,FALSE),"0")</f>
        <v>0</v>
      </c>
      <c r="N11517" s="8"/>
      <c r="O11517" s="33" t="str">
        <f>IFERROR(VLOOKUP($M11517,'Informations sur les produits'!$A$3:$H$10000,8,FALSE),"0")</f>
        <v>0</v>
      </c>
      <c r="P11517" s="33">
        <f t="shared" si="716"/>
        <v>0</v>
      </c>
      <c r="Q11517" s="31" t="str">
        <f t="shared" si="717"/>
        <v/>
      </c>
      <c r="R11517" s="32" t="str">
        <f>IFERROR(VLOOKUP($D11517,'Informations sur les produits'!$A$3:$B$15000,2,FALSE),"")</f>
        <v/>
      </c>
      <c r="V11517">
        <f t="shared" si="718"/>
        <v>0</v>
      </c>
      <c r="W11517">
        <f t="shared" si="719"/>
        <v>0</v>
      </c>
    </row>
    <row r="11518" spans="5:23" x14ac:dyDescent="0.25">
      <c r="E11518" s="4"/>
      <c r="F11518" s="4"/>
      <c r="G11518" s="33" t="str">
        <f>IFERROR(VLOOKUP($D11518,'Informations sur les produits'!$A$3:$H$10000,8,FALSE),"0")</f>
        <v>0</v>
      </c>
      <c r="K11518" s="4"/>
      <c r="L11518" s="33" t="str">
        <f>IFERROR(VLOOKUP($J11518,'Informations sur les produits'!$A$3:$H$10000,8,FALSE),"0")</f>
        <v>0</v>
      </c>
      <c r="N11518" s="8"/>
      <c r="O11518" s="33" t="str">
        <f>IFERROR(VLOOKUP($M11518,'Informations sur les produits'!$A$3:$H$10000,8,FALSE),"0")</f>
        <v>0</v>
      </c>
      <c r="P11518" s="33">
        <f t="shared" si="716"/>
        <v>0</v>
      </c>
      <c r="Q11518" s="31" t="str">
        <f t="shared" si="717"/>
        <v/>
      </c>
      <c r="R11518" s="32" t="str">
        <f>IFERROR(VLOOKUP($D11518,'Informations sur les produits'!$A$3:$B$15000,2,FALSE),"")</f>
        <v/>
      </c>
      <c r="V11518">
        <f t="shared" si="718"/>
        <v>0</v>
      </c>
      <c r="W11518">
        <f t="shared" si="719"/>
        <v>0</v>
      </c>
    </row>
    <row r="11519" spans="5:23" x14ac:dyDescent="0.25">
      <c r="E11519" s="4"/>
      <c r="F11519" s="4"/>
      <c r="G11519" s="33" t="str">
        <f>IFERROR(VLOOKUP($D11519,'Informations sur les produits'!$A$3:$H$10000,8,FALSE),"0")</f>
        <v>0</v>
      </c>
      <c r="K11519" s="4"/>
      <c r="L11519" s="33" t="str">
        <f>IFERROR(VLOOKUP($J11519,'Informations sur les produits'!$A$3:$H$10000,8,FALSE),"0")</f>
        <v>0</v>
      </c>
      <c r="N11519" s="8"/>
      <c r="O11519" s="33" t="str">
        <f>IFERROR(VLOOKUP($M11519,'Informations sur les produits'!$A$3:$H$10000,8,FALSE),"0")</f>
        <v>0</v>
      </c>
      <c r="P11519" s="33">
        <f t="shared" si="716"/>
        <v>0</v>
      </c>
      <c r="Q11519" s="31" t="str">
        <f t="shared" si="717"/>
        <v/>
      </c>
      <c r="R11519" s="32" t="str">
        <f>IFERROR(VLOOKUP($D11519,'Informations sur les produits'!$A$3:$B$15000,2,FALSE),"")</f>
        <v/>
      </c>
      <c r="V11519">
        <f t="shared" si="718"/>
        <v>0</v>
      </c>
      <c r="W11519">
        <f t="shared" si="719"/>
        <v>0</v>
      </c>
    </row>
    <row r="11520" spans="5:23" x14ac:dyDescent="0.25">
      <c r="E11520" s="4"/>
      <c r="F11520" s="4"/>
      <c r="G11520" s="33" t="str">
        <f>IFERROR(VLOOKUP($D11520,'Informations sur les produits'!$A$3:$H$10000,8,FALSE),"0")</f>
        <v>0</v>
      </c>
      <c r="K11520" s="4"/>
      <c r="L11520" s="33" t="str">
        <f>IFERROR(VLOOKUP($J11520,'Informations sur les produits'!$A$3:$H$10000,8,FALSE),"0")</f>
        <v>0</v>
      </c>
      <c r="N11520" s="8"/>
      <c r="O11520" s="33" t="str">
        <f>IFERROR(VLOOKUP($M11520,'Informations sur les produits'!$A$3:$H$10000,8,FALSE),"0")</f>
        <v>0</v>
      </c>
      <c r="P11520" s="33">
        <f t="shared" si="716"/>
        <v>0</v>
      </c>
      <c r="Q11520" s="31" t="str">
        <f t="shared" si="717"/>
        <v/>
      </c>
      <c r="R11520" s="32" t="str">
        <f>IFERROR(VLOOKUP($D11520,'Informations sur les produits'!$A$3:$B$15000,2,FALSE),"")</f>
        <v/>
      </c>
      <c r="V11520">
        <f t="shared" si="718"/>
        <v>0</v>
      </c>
      <c r="W11520">
        <f t="shared" si="719"/>
        <v>0</v>
      </c>
    </row>
    <row r="11521" spans="5:23" x14ac:dyDescent="0.25">
      <c r="E11521" s="4"/>
      <c r="F11521" s="4"/>
      <c r="G11521" s="33" t="str">
        <f>IFERROR(VLOOKUP($D11521,'Informations sur les produits'!$A$3:$H$10000,8,FALSE),"0")</f>
        <v>0</v>
      </c>
      <c r="K11521" s="4"/>
      <c r="L11521" s="33" t="str">
        <f>IFERROR(VLOOKUP($J11521,'Informations sur les produits'!$A$3:$H$10000,8,FALSE),"0")</f>
        <v>0</v>
      </c>
      <c r="N11521" s="8"/>
      <c r="O11521" s="33" t="str">
        <f>IFERROR(VLOOKUP($M11521,'Informations sur les produits'!$A$3:$H$10000,8,FALSE),"0")</f>
        <v>0</v>
      </c>
      <c r="P11521" s="33">
        <f t="shared" si="716"/>
        <v>0</v>
      </c>
      <c r="Q11521" s="31" t="str">
        <f t="shared" si="717"/>
        <v/>
      </c>
      <c r="R11521" s="32" t="str">
        <f>IFERROR(VLOOKUP($D11521,'Informations sur les produits'!$A$3:$B$15000,2,FALSE),"")</f>
        <v/>
      </c>
      <c r="V11521">
        <f t="shared" si="718"/>
        <v>0</v>
      </c>
      <c r="W11521">
        <f t="shared" si="719"/>
        <v>0</v>
      </c>
    </row>
    <row r="11522" spans="5:23" x14ac:dyDescent="0.25">
      <c r="E11522" s="4"/>
      <c r="F11522" s="4"/>
      <c r="G11522" s="33" t="str">
        <f>IFERROR(VLOOKUP($D11522,'Informations sur les produits'!$A$3:$H$10000,8,FALSE),"0")</f>
        <v>0</v>
      </c>
      <c r="K11522" s="4"/>
      <c r="L11522" s="33" t="str">
        <f>IFERROR(VLOOKUP($J11522,'Informations sur les produits'!$A$3:$H$10000,8,FALSE),"0")</f>
        <v>0</v>
      </c>
      <c r="N11522" s="8"/>
      <c r="O11522" s="33" t="str">
        <f>IFERROR(VLOOKUP($M11522,'Informations sur les produits'!$A$3:$H$10000,8,FALSE),"0")</f>
        <v>0</v>
      </c>
      <c r="P11522" s="33">
        <f t="shared" si="716"/>
        <v>0</v>
      </c>
      <c r="Q11522" s="31" t="str">
        <f t="shared" si="717"/>
        <v/>
      </c>
      <c r="R11522" s="32" t="str">
        <f>IFERROR(VLOOKUP($D11522,'Informations sur les produits'!$A$3:$B$15000,2,FALSE),"")</f>
        <v/>
      </c>
      <c r="V11522">
        <f t="shared" si="718"/>
        <v>0</v>
      </c>
      <c r="W11522">
        <f t="shared" si="719"/>
        <v>0</v>
      </c>
    </row>
    <row r="11523" spans="5:23" x14ac:dyDescent="0.25">
      <c r="E11523" s="4"/>
      <c r="F11523" s="4"/>
      <c r="G11523" s="33" t="str">
        <f>IFERROR(VLOOKUP($D11523,'Informations sur les produits'!$A$3:$H$10000,8,FALSE),"0")</f>
        <v>0</v>
      </c>
      <c r="K11523" s="4"/>
      <c r="L11523" s="33" t="str">
        <f>IFERROR(VLOOKUP($J11523,'Informations sur les produits'!$A$3:$H$10000,8,FALSE),"0")</f>
        <v>0</v>
      </c>
      <c r="N11523" s="8"/>
      <c r="O11523" s="33" t="str">
        <f>IFERROR(VLOOKUP($M11523,'Informations sur les produits'!$A$3:$H$10000,8,FALSE),"0")</f>
        <v>0</v>
      </c>
      <c r="P11523" s="33">
        <f t="shared" si="716"/>
        <v>0</v>
      </c>
      <c r="Q11523" s="31" t="str">
        <f t="shared" si="717"/>
        <v/>
      </c>
      <c r="R11523" s="32" t="str">
        <f>IFERROR(VLOOKUP($D11523,'Informations sur les produits'!$A$3:$B$15000,2,FALSE),"")</f>
        <v/>
      </c>
      <c r="V11523">
        <f t="shared" si="718"/>
        <v>0</v>
      </c>
      <c r="W11523">
        <f t="shared" si="719"/>
        <v>0</v>
      </c>
    </row>
    <row r="11524" spans="5:23" x14ac:dyDescent="0.25">
      <c r="E11524" s="4"/>
      <c r="F11524" s="4"/>
      <c r="G11524" s="33" t="str">
        <f>IFERROR(VLOOKUP($D11524,'Informations sur les produits'!$A$3:$H$10000,8,FALSE),"0")</f>
        <v>0</v>
      </c>
      <c r="K11524" s="4"/>
      <c r="L11524" s="33" t="str">
        <f>IFERROR(VLOOKUP($J11524,'Informations sur les produits'!$A$3:$H$10000,8,FALSE),"0")</f>
        <v>0</v>
      </c>
      <c r="N11524" s="8"/>
      <c r="O11524" s="33" t="str">
        <f>IFERROR(VLOOKUP($M11524,'Informations sur les produits'!$A$3:$H$10000,8,FALSE),"0")</f>
        <v>0</v>
      </c>
      <c r="P11524" s="33">
        <f t="shared" ref="P11524:P11587" si="720">IFERROR((($E11524-$F11524)*$G11524+$K11524*$L11524+$N11524*$O11524),"")</f>
        <v>0</v>
      </c>
      <c r="Q11524" s="31" t="str">
        <f t="shared" ref="Q11524:Q11587" si="721">IFERROR((((($E11524-$F11524)*$G11524+$K11524*$L11524+$N11524*$O11524)*1000)/(($E11524-$F11524)+$K11524+$N11524)),"")</f>
        <v/>
      </c>
      <c r="R11524" s="32" t="str">
        <f>IFERROR(VLOOKUP($D11524,'Informations sur les produits'!$A$3:$B$15000,2,FALSE),"")</f>
        <v/>
      </c>
      <c r="V11524">
        <f t="shared" ref="V11524:V11587" si="722">IFERROR(P11524*1000,"")</f>
        <v>0</v>
      </c>
      <c r="W11524">
        <f t="shared" ref="W11524:W11587" si="723">IFERROR(($E11524-$F11524)+$K11524+$N11524,"")</f>
        <v>0</v>
      </c>
    </row>
    <row r="11525" spans="5:23" x14ac:dyDescent="0.25">
      <c r="E11525" s="4"/>
      <c r="F11525" s="4"/>
      <c r="G11525" s="33" t="str">
        <f>IFERROR(VLOOKUP($D11525,'Informations sur les produits'!$A$3:$H$10000,8,FALSE),"0")</f>
        <v>0</v>
      </c>
      <c r="K11525" s="4"/>
      <c r="L11525" s="33" t="str">
        <f>IFERROR(VLOOKUP($J11525,'Informations sur les produits'!$A$3:$H$10000,8,FALSE),"0")</f>
        <v>0</v>
      </c>
      <c r="N11525" s="8"/>
      <c r="O11525" s="33" t="str">
        <f>IFERROR(VLOOKUP($M11525,'Informations sur les produits'!$A$3:$H$10000,8,FALSE),"0")</f>
        <v>0</v>
      </c>
      <c r="P11525" s="33">
        <f t="shared" si="720"/>
        <v>0</v>
      </c>
      <c r="Q11525" s="31" t="str">
        <f t="shared" si="721"/>
        <v/>
      </c>
      <c r="R11525" s="32" t="str">
        <f>IFERROR(VLOOKUP($D11525,'Informations sur les produits'!$A$3:$B$15000,2,FALSE),"")</f>
        <v/>
      </c>
      <c r="V11525">
        <f t="shared" si="722"/>
        <v>0</v>
      </c>
      <c r="W11525">
        <f t="shared" si="723"/>
        <v>0</v>
      </c>
    </row>
    <row r="11526" spans="5:23" x14ac:dyDescent="0.25">
      <c r="E11526" s="4"/>
      <c r="F11526" s="4"/>
      <c r="G11526" s="33" t="str">
        <f>IFERROR(VLOOKUP($D11526,'Informations sur les produits'!$A$3:$H$10000,8,FALSE),"0")</f>
        <v>0</v>
      </c>
      <c r="K11526" s="4"/>
      <c r="L11526" s="33" t="str">
        <f>IFERROR(VLOOKUP($J11526,'Informations sur les produits'!$A$3:$H$10000,8,FALSE),"0")</f>
        <v>0</v>
      </c>
      <c r="N11526" s="8"/>
      <c r="O11526" s="33" t="str">
        <f>IFERROR(VLOOKUP($M11526,'Informations sur les produits'!$A$3:$H$10000,8,FALSE),"0")</f>
        <v>0</v>
      </c>
      <c r="P11526" s="33">
        <f t="shared" si="720"/>
        <v>0</v>
      </c>
      <c r="Q11526" s="31" t="str">
        <f t="shared" si="721"/>
        <v/>
      </c>
      <c r="R11526" s="32" t="str">
        <f>IFERROR(VLOOKUP($D11526,'Informations sur les produits'!$A$3:$B$15000,2,FALSE),"")</f>
        <v/>
      </c>
      <c r="V11526">
        <f t="shared" si="722"/>
        <v>0</v>
      </c>
      <c r="W11526">
        <f t="shared" si="723"/>
        <v>0</v>
      </c>
    </row>
    <row r="11527" spans="5:23" x14ac:dyDescent="0.25">
      <c r="E11527" s="4"/>
      <c r="F11527" s="4"/>
      <c r="G11527" s="33" t="str">
        <f>IFERROR(VLOOKUP($D11527,'Informations sur les produits'!$A$3:$H$10000,8,FALSE),"0")</f>
        <v>0</v>
      </c>
      <c r="K11527" s="4"/>
      <c r="L11527" s="33" t="str">
        <f>IFERROR(VLOOKUP($J11527,'Informations sur les produits'!$A$3:$H$10000,8,FALSE),"0")</f>
        <v>0</v>
      </c>
      <c r="N11527" s="8"/>
      <c r="O11527" s="33" t="str">
        <f>IFERROR(VLOOKUP($M11527,'Informations sur les produits'!$A$3:$H$10000,8,FALSE),"0")</f>
        <v>0</v>
      </c>
      <c r="P11527" s="33">
        <f t="shared" si="720"/>
        <v>0</v>
      </c>
      <c r="Q11527" s="31" t="str">
        <f t="shared" si="721"/>
        <v/>
      </c>
      <c r="R11527" s="32" t="str">
        <f>IFERROR(VLOOKUP($D11527,'Informations sur les produits'!$A$3:$B$15000,2,FALSE),"")</f>
        <v/>
      </c>
      <c r="V11527">
        <f t="shared" si="722"/>
        <v>0</v>
      </c>
      <c r="W11527">
        <f t="shared" si="723"/>
        <v>0</v>
      </c>
    </row>
    <row r="11528" spans="5:23" x14ac:dyDescent="0.25">
      <c r="E11528" s="4"/>
      <c r="F11528" s="4"/>
      <c r="G11528" s="33" t="str">
        <f>IFERROR(VLOOKUP($D11528,'Informations sur les produits'!$A$3:$H$10000,8,FALSE),"0")</f>
        <v>0</v>
      </c>
      <c r="K11528" s="4"/>
      <c r="L11528" s="33" t="str">
        <f>IFERROR(VLOOKUP($J11528,'Informations sur les produits'!$A$3:$H$10000,8,FALSE),"0")</f>
        <v>0</v>
      </c>
      <c r="N11528" s="8"/>
      <c r="O11528" s="33" t="str">
        <f>IFERROR(VLOOKUP($M11528,'Informations sur les produits'!$A$3:$H$10000,8,FALSE),"0")</f>
        <v>0</v>
      </c>
      <c r="P11528" s="33">
        <f t="shared" si="720"/>
        <v>0</v>
      </c>
      <c r="Q11528" s="31" t="str">
        <f t="shared" si="721"/>
        <v/>
      </c>
      <c r="R11528" s="32" t="str">
        <f>IFERROR(VLOOKUP($D11528,'Informations sur les produits'!$A$3:$B$15000,2,FALSE),"")</f>
        <v/>
      </c>
      <c r="V11528">
        <f t="shared" si="722"/>
        <v>0</v>
      </c>
      <c r="W11528">
        <f t="shared" si="723"/>
        <v>0</v>
      </c>
    </row>
    <row r="11529" spans="5:23" x14ac:dyDescent="0.25">
      <c r="E11529" s="4"/>
      <c r="F11529" s="4"/>
      <c r="G11529" s="33" t="str">
        <f>IFERROR(VLOOKUP($D11529,'Informations sur les produits'!$A$3:$H$10000,8,FALSE),"0")</f>
        <v>0</v>
      </c>
      <c r="K11529" s="4"/>
      <c r="L11529" s="33" t="str">
        <f>IFERROR(VLOOKUP($J11529,'Informations sur les produits'!$A$3:$H$10000,8,FALSE),"0")</f>
        <v>0</v>
      </c>
      <c r="N11529" s="8"/>
      <c r="O11529" s="33" t="str">
        <f>IFERROR(VLOOKUP($M11529,'Informations sur les produits'!$A$3:$H$10000,8,FALSE),"0")</f>
        <v>0</v>
      </c>
      <c r="P11529" s="33">
        <f t="shared" si="720"/>
        <v>0</v>
      </c>
      <c r="Q11529" s="31" t="str">
        <f t="shared" si="721"/>
        <v/>
      </c>
      <c r="R11529" s="32" t="str">
        <f>IFERROR(VLOOKUP($D11529,'Informations sur les produits'!$A$3:$B$15000,2,FALSE),"")</f>
        <v/>
      </c>
      <c r="V11529">
        <f t="shared" si="722"/>
        <v>0</v>
      </c>
      <c r="W11529">
        <f t="shared" si="723"/>
        <v>0</v>
      </c>
    </row>
    <row r="11530" spans="5:23" x14ac:dyDescent="0.25">
      <c r="E11530" s="4"/>
      <c r="F11530" s="4"/>
      <c r="G11530" s="33" t="str">
        <f>IFERROR(VLOOKUP($D11530,'Informations sur les produits'!$A$3:$H$10000,8,FALSE),"0")</f>
        <v>0</v>
      </c>
      <c r="K11530" s="4"/>
      <c r="L11530" s="33" t="str">
        <f>IFERROR(VLOOKUP($J11530,'Informations sur les produits'!$A$3:$H$10000,8,FALSE),"0")</f>
        <v>0</v>
      </c>
      <c r="N11530" s="8"/>
      <c r="O11530" s="33" t="str">
        <f>IFERROR(VLOOKUP($M11530,'Informations sur les produits'!$A$3:$H$10000,8,FALSE),"0")</f>
        <v>0</v>
      </c>
      <c r="P11530" s="33">
        <f t="shared" si="720"/>
        <v>0</v>
      </c>
      <c r="Q11530" s="31" t="str">
        <f t="shared" si="721"/>
        <v/>
      </c>
      <c r="R11530" s="32" t="str">
        <f>IFERROR(VLOOKUP($D11530,'Informations sur les produits'!$A$3:$B$15000,2,FALSE),"")</f>
        <v/>
      </c>
      <c r="V11530">
        <f t="shared" si="722"/>
        <v>0</v>
      </c>
      <c r="W11530">
        <f t="shared" si="723"/>
        <v>0</v>
      </c>
    </row>
    <row r="11531" spans="5:23" x14ac:dyDescent="0.25">
      <c r="E11531" s="4"/>
      <c r="F11531" s="4"/>
      <c r="G11531" s="33" t="str">
        <f>IFERROR(VLOOKUP($D11531,'Informations sur les produits'!$A$3:$H$10000,8,FALSE),"0")</f>
        <v>0</v>
      </c>
      <c r="K11531" s="4"/>
      <c r="L11531" s="33" t="str">
        <f>IFERROR(VLOOKUP($J11531,'Informations sur les produits'!$A$3:$H$10000,8,FALSE),"0")</f>
        <v>0</v>
      </c>
      <c r="N11531" s="8"/>
      <c r="O11531" s="33" t="str">
        <f>IFERROR(VLOOKUP($M11531,'Informations sur les produits'!$A$3:$H$10000,8,FALSE),"0")</f>
        <v>0</v>
      </c>
      <c r="P11531" s="33">
        <f t="shared" si="720"/>
        <v>0</v>
      </c>
      <c r="Q11531" s="31" t="str">
        <f t="shared" si="721"/>
        <v/>
      </c>
      <c r="R11531" s="32" t="str">
        <f>IFERROR(VLOOKUP($D11531,'Informations sur les produits'!$A$3:$B$15000,2,FALSE),"")</f>
        <v/>
      </c>
      <c r="V11531">
        <f t="shared" si="722"/>
        <v>0</v>
      </c>
      <c r="W11531">
        <f t="shared" si="723"/>
        <v>0</v>
      </c>
    </row>
    <row r="11532" spans="5:23" x14ac:dyDescent="0.25">
      <c r="E11532" s="4"/>
      <c r="F11532" s="4"/>
      <c r="G11532" s="33" t="str">
        <f>IFERROR(VLOOKUP($D11532,'Informations sur les produits'!$A$3:$H$10000,8,FALSE),"0")</f>
        <v>0</v>
      </c>
      <c r="K11532" s="4"/>
      <c r="L11532" s="33" t="str">
        <f>IFERROR(VLOOKUP($J11532,'Informations sur les produits'!$A$3:$H$10000,8,FALSE),"0")</f>
        <v>0</v>
      </c>
      <c r="N11532" s="8"/>
      <c r="O11532" s="33" t="str">
        <f>IFERROR(VLOOKUP($M11532,'Informations sur les produits'!$A$3:$H$10000,8,FALSE),"0")</f>
        <v>0</v>
      </c>
      <c r="P11532" s="33">
        <f t="shared" si="720"/>
        <v>0</v>
      </c>
      <c r="Q11532" s="31" t="str">
        <f t="shared" si="721"/>
        <v/>
      </c>
      <c r="R11532" s="32" t="str">
        <f>IFERROR(VLOOKUP($D11532,'Informations sur les produits'!$A$3:$B$15000,2,FALSE),"")</f>
        <v/>
      </c>
      <c r="V11532">
        <f t="shared" si="722"/>
        <v>0</v>
      </c>
      <c r="W11532">
        <f t="shared" si="723"/>
        <v>0</v>
      </c>
    </row>
    <row r="11533" spans="5:23" x14ac:dyDescent="0.25">
      <c r="E11533" s="4"/>
      <c r="F11533" s="4"/>
      <c r="G11533" s="33" t="str">
        <f>IFERROR(VLOOKUP($D11533,'Informations sur les produits'!$A$3:$H$10000,8,FALSE),"0")</f>
        <v>0</v>
      </c>
      <c r="K11533" s="4"/>
      <c r="L11533" s="33" t="str">
        <f>IFERROR(VLOOKUP($J11533,'Informations sur les produits'!$A$3:$H$10000,8,FALSE),"0")</f>
        <v>0</v>
      </c>
      <c r="N11533" s="8"/>
      <c r="O11533" s="33" t="str">
        <f>IFERROR(VLOOKUP($M11533,'Informations sur les produits'!$A$3:$H$10000,8,FALSE),"0")</f>
        <v>0</v>
      </c>
      <c r="P11533" s="33">
        <f t="shared" si="720"/>
        <v>0</v>
      </c>
      <c r="Q11533" s="31" t="str">
        <f t="shared" si="721"/>
        <v/>
      </c>
      <c r="R11533" s="32" t="str">
        <f>IFERROR(VLOOKUP($D11533,'Informations sur les produits'!$A$3:$B$15000,2,FALSE),"")</f>
        <v/>
      </c>
      <c r="V11533">
        <f t="shared" si="722"/>
        <v>0</v>
      </c>
      <c r="W11533">
        <f t="shared" si="723"/>
        <v>0</v>
      </c>
    </row>
    <row r="11534" spans="5:23" x14ac:dyDescent="0.25">
      <c r="E11534" s="4"/>
      <c r="F11534" s="4"/>
      <c r="G11534" s="33" t="str">
        <f>IFERROR(VLOOKUP($D11534,'Informations sur les produits'!$A$3:$H$10000,8,FALSE),"0")</f>
        <v>0</v>
      </c>
      <c r="K11534" s="4"/>
      <c r="L11534" s="33" t="str">
        <f>IFERROR(VLOOKUP($J11534,'Informations sur les produits'!$A$3:$H$10000,8,FALSE),"0")</f>
        <v>0</v>
      </c>
      <c r="N11534" s="8"/>
      <c r="O11534" s="33" t="str">
        <f>IFERROR(VLOOKUP($M11534,'Informations sur les produits'!$A$3:$H$10000,8,FALSE),"0")</f>
        <v>0</v>
      </c>
      <c r="P11534" s="33">
        <f t="shared" si="720"/>
        <v>0</v>
      </c>
      <c r="Q11534" s="31" t="str">
        <f t="shared" si="721"/>
        <v/>
      </c>
      <c r="R11534" s="32" t="str">
        <f>IFERROR(VLOOKUP($D11534,'Informations sur les produits'!$A$3:$B$15000,2,FALSE),"")</f>
        <v/>
      </c>
      <c r="V11534">
        <f t="shared" si="722"/>
        <v>0</v>
      </c>
      <c r="W11534">
        <f t="shared" si="723"/>
        <v>0</v>
      </c>
    </row>
    <row r="11535" spans="5:23" x14ac:dyDescent="0.25">
      <c r="E11535" s="4"/>
      <c r="F11535" s="4"/>
      <c r="G11535" s="33" t="str">
        <f>IFERROR(VLOOKUP($D11535,'Informations sur les produits'!$A$3:$H$10000,8,FALSE),"0")</f>
        <v>0</v>
      </c>
      <c r="K11535" s="4"/>
      <c r="L11535" s="33" t="str">
        <f>IFERROR(VLOOKUP($J11535,'Informations sur les produits'!$A$3:$H$10000,8,FALSE),"0")</f>
        <v>0</v>
      </c>
      <c r="N11535" s="8"/>
      <c r="O11535" s="33" t="str">
        <f>IFERROR(VLOOKUP($M11535,'Informations sur les produits'!$A$3:$H$10000,8,FALSE),"0")</f>
        <v>0</v>
      </c>
      <c r="P11535" s="33">
        <f t="shared" si="720"/>
        <v>0</v>
      </c>
      <c r="Q11535" s="31" t="str">
        <f t="shared" si="721"/>
        <v/>
      </c>
      <c r="R11535" s="32" t="str">
        <f>IFERROR(VLOOKUP($D11535,'Informations sur les produits'!$A$3:$B$15000,2,FALSE),"")</f>
        <v/>
      </c>
      <c r="V11535">
        <f t="shared" si="722"/>
        <v>0</v>
      </c>
      <c r="W11535">
        <f t="shared" si="723"/>
        <v>0</v>
      </c>
    </row>
    <row r="11536" spans="5:23" x14ac:dyDescent="0.25">
      <c r="E11536" s="4"/>
      <c r="F11536" s="4"/>
      <c r="G11536" s="33" t="str">
        <f>IFERROR(VLOOKUP($D11536,'Informations sur les produits'!$A$3:$H$10000,8,FALSE),"0")</f>
        <v>0</v>
      </c>
      <c r="K11536" s="4"/>
      <c r="L11536" s="33" t="str">
        <f>IFERROR(VLOOKUP($J11536,'Informations sur les produits'!$A$3:$H$10000,8,FALSE),"0")</f>
        <v>0</v>
      </c>
      <c r="N11536" s="8"/>
      <c r="O11536" s="33" t="str">
        <f>IFERROR(VLOOKUP($M11536,'Informations sur les produits'!$A$3:$H$10000,8,FALSE),"0")</f>
        <v>0</v>
      </c>
      <c r="P11536" s="33">
        <f t="shared" si="720"/>
        <v>0</v>
      </c>
      <c r="Q11536" s="31" t="str">
        <f t="shared" si="721"/>
        <v/>
      </c>
      <c r="R11536" s="32" t="str">
        <f>IFERROR(VLOOKUP($D11536,'Informations sur les produits'!$A$3:$B$15000,2,FALSE),"")</f>
        <v/>
      </c>
      <c r="V11536">
        <f t="shared" si="722"/>
        <v>0</v>
      </c>
      <c r="W11536">
        <f t="shared" si="723"/>
        <v>0</v>
      </c>
    </row>
    <row r="11537" spans="5:23" x14ac:dyDescent="0.25">
      <c r="E11537" s="4"/>
      <c r="F11537" s="4"/>
      <c r="G11537" s="33" t="str">
        <f>IFERROR(VLOOKUP($D11537,'Informations sur les produits'!$A$3:$H$10000,8,FALSE),"0")</f>
        <v>0</v>
      </c>
      <c r="K11537" s="4"/>
      <c r="L11537" s="33" t="str">
        <f>IFERROR(VLOOKUP($J11537,'Informations sur les produits'!$A$3:$H$10000,8,FALSE),"0")</f>
        <v>0</v>
      </c>
      <c r="N11537" s="8"/>
      <c r="O11537" s="33" t="str">
        <f>IFERROR(VLOOKUP($M11537,'Informations sur les produits'!$A$3:$H$10000,8,FALSE),"0")</f>
        <v>0</v>
      </c>
      <c r="P11537" s="33">
        <f t="shared" si="720"/>
        <v>0</v>
      </c>
      <c r="Q11537" s="31" t="str">
        <f t="shared" si="721"/>
        <v/>
      </c>
      <c r="R11537" s="32" t="str">
        <f>IFERROR(VLOOKUP($D11537,'Informations sur les produits'!$A$3:$B$15000,2,FALSE),"")</f>
        <v/>
      </c>
      <c r="V11537">
        <f t="shared" si="722"/>
        <v>0</v>
      </c>
      <c r="W11537">
        <f t="shared" si="723"/>
        <v>0</v>
      </c>
    </row>
    <row r="11538" spans="5:23" x14ac:dyDescent="0.25">
      <c r="E11538" s="4"/>
      <c r="F11538" s="4"/>
      <c r="G11538" s="33" t="str">
        <f>IFERROR(VLOOKUP($D11538,'Informations sur les produits'!$A$3:$H$10000,8,FALSE),"0")</f>
        <v>0</v>
      </c>
      <c r="K11538" s="4"/>
      <c r="L11538" s="33" t="str">
        <f>IFERROR(VLOOKUP($J11538,'Informations sur les produits'!$A$3:$H$10000,8,FALSE),"0")</f>
        <v>0</v>
      </c>
      <c r="N11538" s="8"/>
      <c r="O11538" s="33" t="str">
        <f>IFERROR(VLOOKUP($M11538,'Informations sur les produits'!$A$3:$H$10000,8,FALSE),"0")</f>
        <v>0</v>
      </c>
      <c r="P11538" s="33">
        <f t="shared" si="720"/>
        <v>0</v>
      </c>
      <c r="Q11538" s="31" t="str">
        <f t="shared" si="721"/>
        <v/>
      </c>
      <c r="R11538" s="32" t="str">
        <f>IFERROR(VLOOKUP($D11538,'Informations sur les produits'!$A$3:$B$15000,2,FALSE),"")</f>
        <v/>
      </c>
      <c r="V11538">
        <f t="shared" si="722"/>
        <v>0</v>
      </c>
      <c r="W11538">
        <f t="shared" si="723"/>
        <v>0</v>
      </c>
    </row>
    <row r="11539" spans="5:23" x14ac:dyDescent="0.25">
      <c r="E11539" s="4"/>
      <c r="F11539" s="4"/>
      <c r="G11539" s="33" t="str">
        <f>IFERROR(VLOOKUP($D11539,'Informations sur les produits'!$A$3:$H$10000,8,FALSE),"0")</f>
        <v>0</v>
      </c>
      <c r="K11539" s="4"/>
      <c r="L11539" s="33" t="str">
        <f>IFERROR(VLOOKUP($J11539,'Informations sur les produits'!$A$3:$H$10000,8,FALSE),"0")</f>
        <v>0</v>
      </c>
      <c r="N11539" s="8"/>
      <c r="O11539" s="33" t="str">
        <f>IFERROR(VLOOKUP($M11539,'Informations sur les produits'!$A$3:$H$10000,8,FALSE),"0")</f>
        <v>0</v>
      </c>
      <c r="P11539" s="33">
        <f t="shared" si="720"/>
        <v>0</v>
      </c>
      <c r="Q11539" s="31" t="str">
        <f t="shared" si="721"/>
        <v/>
      </c>
      <c r="R11539" s="32" t="str">
        <f>IFERROR(VLOOKUP($D11539,'Informations sur les produits'!$A$3:$B$15000,2,FALSE),"")</f>
        <v/>
      </c>
      <c r="V11539">
        <f t="shared" si="722"/>
        <v>0</v>
      </c>
      <c r="W11539">
        <f t="shared" si="723"/>
        <v>0</v>
      </c>
    </row>
    <row r="11540" spans="5:23" x14ac:dyDescent="0.25">
      <c r="E11540" s="4"/>
      <c r="F11540" s="4"/>
      <c r="G11540" s="33" t="str">
        <f>IFERROR(VLOOKUP($D11540,'Informations sur les produits'!$A$3:$H$10000,8,FALSE),"0")</f>
        <v>0</v>
      </c>
      <c r="K11540" s="4"/>
      <c r="L11540" s="33" t="str">
        <f>IFERROR(VLOOKUP($J11540,'Informations sur les produits'!$A$3:$H$10000,8,FALSE),"0")</f>
        <v>0</v>
      </c>
      <c r="N11540" s="8"/>
      <c r="O11540" s="33" t="str">
        <f>IFERROR(VLOOKUP($M11540,'Informations sur les produits'!$A$3:$H$10000,8,FALSE),"0")</f>
        <v>0</v>
      </c>
      <c r="P11540" s="33">
        <f t="shared" si="720"/>
        <v>0</v>
      </c>
      <c r="Q11540" s="31" t="str">
        <f t="shared" si="721"/>
        <v/>
      </c>
      <c r="R11540" s="32" t="str">
        <f>IFERROR(VLOOKUP($D11540,'Informations sur les produits'!$A$3:$B$15000,2,FALSE),"")</f>
        <v/>
      </c>
      <c r="V11540">
        <f t="shared" si="722"/>
        <v>0</v>
      </c>
      <c r="W11540">
        <f t="shared" si="723"/>
        <v>0</v>
      </c>
    </row>
    <row r="11541" spans="5:23" x14ac:dyDescent="0.25">
      <c r="E11541" s="4"/>
      <c r="F11541" s="4"/>
      <c r="G11541" s="33" t="str">
        <f>IFERROR(VLOOKUP($D11541,'Informations sur les produits'!$A$3:$H$10000,8,FALSE),"0")</f>
        <v>0</v>
      </c>
      <c r="K11541" s="4"/>
      <c r="L11541" s="33" t="str">
        <f>IFERROR(VLOOKUP($J11541,'Informations sur les produits'!$A$3:$H$10000,8,FALSE),"0")</f>
        <v>0</v>
      </c>
      <c r="N11541" s="8"/>
      <c r="O11541" s="33" t="str">
        <f>IFERROR(VLOOKUP($M11541,'Informations sur les produits'!$A$3:$H$10000,8,FALSE),"0")</f>
        <v>0</v>
      </c>
      <c r="P11541" s="33">
        <f t="shared" si="720"/>
        <v>0</v>
      </c>
      <c r="Q11541" s="31" t="str">
        <f t="shared" si="721"/>
        <v/>
      </c>
      <c r="R11541" s="32" t="str">
        <f>IFERROR(VLOOKUP($D11541,'Informations sur les produits'!$A$3:$B$15000,2,FALSE),"")</f>
        <v/>
      </c>
      <c r="V11541">
        <f t="shared" si="722"/>
        <v>0</v>
      </c>
      <c r="W11541">
        <f t="shared" si="723"/>
        <v>0</v>
      </c>
    </row>
    <row r="11542" spans="5:23" x14ac:dyDescent="0.25">
      <c r="E11542" s="4"/>
      <c r="F11542" s="4"/>
      <c r="G11542" s="33" t="str">
        <f>IFERROR(VLOOKUP($D11542,'Informations sur les produits'!$A$3:$H$10000,8,FALSE),"0")</f>
        <v>0</v>
      </c>
      <c r="K11542" s="4"/>
      <c r="L11542" s="33" t="str">
        <f>IFERROR(VLOOKUP($J11542,'Informations sur les produits'!$A$3:$H$10000,8,FALSE),"0")</f>
        <v>0</v>
      </c>
      <c r="N11542" s="8"/>
      <c r="O11542" s="33" t="str">
        <f>IFERROR(VLOOKUP($M11542,'Informations sur les produits'!$A$3:$H$10000,8,FALSE),"0")</f>
        <v>0</v>
      </c>
      <c r="P11542" s="33">
        <f t="shared" si="720"/>
        <v>0</v>
      </c>
      <c r="Q11542" s="31" t="str">
        <f t="shared" si="721"/>
        <v/>
      </c>
      <c r="R11542" s="32" t="str">
        <f>IFERROR(VLOOKUP($D11542,'Informations sur les produits'!$A$3:$B$15000,2,FALSE),"")</f>
        <v/>
      </c>
      <c r="V11542">
        <f t="shared" si="722"/>
        <v>0</v>
      </c>
      <c r="W11542">
        <f t="shared" si="723"/>
        <v>0</v>
      </c>
    </row>
    <row r="11543" spans="5:23" x14ac:dyDescent="0.25">
      <c r="E11543" s="4"/>
      <c r="F11543" s="4"/>
      <c r="G11543" s="33" t="str">
        <f>IFERROR(VLOOKUP($D11543,'Informations sur les produits'!$A$3:$H$10000,8,FALSE),"0")</f>
        <v>0</v>
      </c>
      <c r="K11543" s="4"/>
      <c r="L11543" s="33" t="str">
        <f>IFERROR(VLOOKUP($J11543,'Informations sur les produits'!$A$3:$H$10000,8,FALSE),"0")</f>
        <v>0</v>
      </c>
      <c r="N11543" s="8"/>
      <c r="O11543" s="33" t="str">
        <f>IFERROR(VLOOKUP($M11543,'Informations sur les produits'!$A$3:$H$10000,8,FALSE),"0")</f>
        <v>0</v>
      </c>
      <c r="P11543" s="33">
        <f t="shared" si="720"/>
        <v>0</v>
      </c>
      <c r="Q11543" s="31" t="str">
        <f t="shared" si="721"/>
        <v/>
      </c>
      <c r="R11543" s="32" t="str">
        <f>IFERROR(VLOOKUP($D11543,'Informations sur les produits'!$A$3:$B$15000,2,FALSE),"")</f>
        <v/>
      </c>
      <c r="V11543">
        <f t="shared" si="722"/>
        <v>0</v>
      </c>
      <c r="W11543">
        <f t="shared" si="723"/>
        <v>0</v>
      </c>
    </row>
    <row r="11544" spans="5:23" x14ac:dyDescent="0.25">
      <c r="E11544" s="4"/>
      <c r="F11544" s="4"/>
      <c r="G11544" s="33" t="str">
        <f>IFERROR(VLOOKUP($D11544,'Informations sur les produits'!$A$3:$H$10000,8,FALSE),"0")</f>
        <v>0</v>
      </c>
      <c r="K11544" s="4"/>
      <c r="L11544" s="33" t="str">
        <f>IFERROR(VLOOKUP($J11544,'Informations sur les produits'!$A$3:$H$10000,8,FALSE),"0")</f>
        <v>0</v>
      </c>
      <c r="N11544" s="8"/>
      <c r="O11544" s="33" t="str">
        <f>IFERROR(VLOOKUP($M11544,'Informations sur les produits'!$A$3:$H$10000,8,FALSE),"0")</f>
        <v>0</v>
      </c>
      <c r="P11544" s="33">
        <f t="shared" si="720"/>
        <v>0</v>
      </c>
      <c r="Q11544" s="31" t="str">
        <f t="shared" si="721"/>
        <v/>
      </c>
      <c r="R11544" s="32" t="str">
        <f>IFERROR(VLOOKUP($D11544,'Informations sur les produits'!$A$3:$B$15000,2,FALSE),"")</f>
        <v/>
      </c>
      <c r="V11544">
        <f t="shared" si="722"/>
        <v>0</v>
      </c>
      <c r="W11544">
        <f t="shared" si="723"/>
        <v>0</v>
      </c>
    </row>
    <row r="11545" spans="5:23" x14ac:dyDescent="0.25">
      <c r="E11545" s="4"/>
      <c r="F11545" s="4"/>
      <c r="G11545" s="33" t="str">
        <f>IFERROR(VLOOKUP($D11545,'Informations sur les produits'!$A$3:$H$10000,8,FALSE),"0")</f>
        <v>0</v>
      </c>
      <c r="K11545" s="4"/>
      <c r="L11545" s="33" t="str">
        <f>IFERROR(VLOOKUP($J11545,'Informations sur les produits'!$A$3:$H$10000,8,FALSE),"0")</f>
        <v>0</v>
      </c>
      <c r="N11545" s="8"/>
      <c r="O11545" s="33" t="str">
        <f>IFERROR(VLOOKUP($M11545,'Informations sur les produits'!$A$3:$H$10000,8,FALSE),"0")</f>
        <v>0</v>
      </c>
      <c r="P11545" s="33">
        <f t="shared" si="720"/>
        <v>0</v>
      </c>
      <c r="Q11545" s="31" t="str">
        <f t="shared" si="721"/>
        <v/>
      </c>
      <c r="R11545" s="32" t="str">
        <f>IFERROR(VLOOKUP($D11545,'Informations sur les produits'!$A$3:$B$15000,2,FALSE),"")</f>
        <v/>
      </c>
      <c r="V11545">
        <f t="shared" si="722"/>
        <v>0</v>
      </c>
      <c r="W11545">
        <f t="shared" si="723"/>
        <v>0</v>
      </c>
    </row>
    <row r="11546" spans="5:23" x14ac:dyDescent="0.25">
      <c r="E11546" s="4"/>
      <c r="F11546" s="4"/>
      <c r="G11546" s="33" t="str">
        <f>IFERROR(VLOOKUP($D11546,'Informations sur les produits'!$A$3:$H$10000,8,FALSE),"0")</f>
        <v>0</v>
      </c>
      <c r="K11546" s="4"/>
      <c r="L11546" s="33" t="str">
        <f>IFERROR(VLOOKUP($J11546,'Informations sur les produits'!$A$3:$H$10000,8,FALSE),"0")</f>
        <v>0</v>
      </c>
      <c r="N11546" s="8"/>
      <c r="O11546" s="33" t="str">
        <f>IFERROR(VLOOKUP($M11546,'Informations sur les produits'!$A$3:$H$10000,8,FALSE),"0")</f>
        <v>0</v>
      </c>
      <c r="P11546" s="33">
        <f t="shared" si="720"/>
        <v>0</v>
      </c>
      <c r="Q11546" s="31" t="str">
        <f t="shared" si="721"/>
        <v/>
      </c>
      <c r="R11546" s="32" t="str">
        <f>IFERROR(VLOOKUP($D11546,'Informations sur les produits'!$A$3:$B$15000,2,FALSE),"")</f>
        <v/>
      </c>
      <c r="V11546">
        <f t="shared" si="722"/>
        <v>0</v>
      </c>
      <c r="W11546">
        <f t="shared" si="723"/>
        <v>0</v>
      </c>
    </row>
    <row r="11547" spans="5:23" x14ac:dyDescent="0.25">
      <c r="E11547" s="4"/>
      <c r="F11547" s="4"/>
      <c r="G11547" s="33" t="str">
        <f>IFERROR(VLOOKUP($D11547,'Informations sur les produits'!$A$3:$H$10000,8,FALSE),"0")</f>
        <v>0</v>
      </c>
      <c r="K11547" s="4"/>
      <c r="L11547" s="33" t="str">
        <f>IFERROR(VLOOKUP($J11547,'Informations sur les produits'!$A$3:$H$10000,8,FALSE),"0")</f>
        <v>0</v>
      </c>
      <c r="N11547" s="8"/>
      <c r="O11547" s="33" t="str">
        <f>IFERROR(VLOOKUP($M11547,'Informations sur les produits'!$A$3:$H$10000,8,FALSE),"0")</f>
        <v>0</v>
      </c>
      <c r="P11547" s="33">
        <f t="shared" si="720"/>
        <v>0</v>
      </c>
      <c r="Q11547" s="31" t="str">
        <f t="shared" si="721"/>
        <v/>
      </c>
      <c r="R11547" s="32" t="str">
        <f>IFERROR(VLOOKUP($D11547,'Informations sur les produits'!$A$3:$B$15000,2,FALSE),"")</f>
        <v/>
      </c>
      <c r="V11547">
        <f t="shared" si="722"/>
        <v>0</v>
      </c>
      <c r="W11547">
        <f t="shared" si="723"/>
        <v>0</v>
      </c>
    </row>
    <row r="11548" spans="5:23" x14ac:dyDescent="0.25">
      <c r="E11548" s="4"/>
      <c r="F11548" s="4"/>
      <c r="G11548" s="33" t="str">
        <f>IFERROR(VLOOKUP($D11548,'Informations sur les produits'!$A$3:$H$10000,8,FALSE),"0")</f>
        <v>0</v>
      </c>
      <c r="K11548" s="4"/>
      <c r="L11548" s="33" t="str">
        <f>IFERROR(VLOOKUP($J11548,'Informations sur les produits'!$A$3:$H$10000,8,FALSE),"0")</f>
        <v>0</v>
      </c>
      <c r="N11548" s="8"/>
      <c r="O11548" s="33" t="str">
        <f>IFERROR(VLOOKUP($M11548,'Informations sur les produits'!$A$3:$H$10000,8,FALSE),"0")</f>
        <v>0</v>
      </c>
      <c r="P11548" s="33">
        <f t="shared" si="720"/>
        <v>0</v>
      </c>
      <c r="Q11548" s="31" t="str">
        <f t="shared" si="721"/>
        <v/>
      </c>
      <c r="R11548" s="32" t="str">
        <f>IFERROR(VLOOKUP($D11548,'Informations sur les produits'!$A$3:$B$15000,2,FALSE),"")</f>
        <v/>
      </c>
      <c r="V11548">
        <f t="shared" si="722"/>
        <v>0</v>
      </c>
      <c r="W11548">
        <f t="shared" si="723"/>
        <v>0</v>
      </c>
    </row>
    <row r="11549" spans="5:23" x14ac:dyDescent="0.25">
      <c r="E11549" s="4"/>
      <c r="F11549" s="4"/>
      <c r="G11549" s="33" t="str">
        <f>IFERROR(VLOOKUP($D11549,'Informations sur les produits'!$A$3:$H$10000,8,FALSE),"0")</f>
        <v>0</v>
      </c>
      <c r="K11549" s="4"/>
      <c r="L11549" s="33" t="str">
        <f>IFERROR(VLOOKUP($J11549,'Informations sur les produits'!$A$3:$H$10000,8,FALSE),"0")</f>
        <v>0</v>
      </c>
      <c r="N11549" s="8"/>
      <c r="O11549" s="33" t="str">
        <f>IFERROR(VLOOKUP($M11549,'Informations sur les produits'!$A$3:$H$10000,8,FALSE),"0")</f>
        <v>0</v>
      </c>
      <c r="P11549" s="33">
        <f t="shared" si="720"/>
        <v>0</v>
      </c>
      <c r="Q11549" s="31" t="str">
        <f t="shared" si="721"/>
        <v/>
      </c>
      <c r="R11549" s="32" t="str">
        <f>IFERROR(VLOOKUP($D11549,'Informations sur les produits'!$A$3:$B$15000,2,FALSE),"")</f>
        <v/>
      </c>
      <c r="V11549">
        <f t="shared" si="722"/>
        <v>0</v>
      </c>
      <c r="W11549">
        <f t="shared" si="723"/>
        <v>0</v>
      </c>
    </row>
    <row r="11550" spans="5:23" x14ac:dyDescent="0.25">
      <c r="E11550" s="4"/>
      <c r="F11550" s="4"/>
      <c r="G11550" s="33" t="str">
        <f>IFERROR(VLOOKUP($D11550,'Informations sur les produits'!$A$3:$H$10000,8,FALSE),"0")</f>
        <v>0</v>
      </c>
      <c r="K11550" s="4"/>
      <c r="L11550" s="33" t="str">
        <f>IFERROR(VLOOKUP($J11550,'Informations sur les produits'!$A$3:$H$10000,8,FALSE),"0")</f>
        <v>0</v>
      </c>
      <c r="N11550" s="8"/>
      <c r="O11550" s="33" t="str">
        <f>IFERROR(VLOOKUP($M11550,'Informations sur les produits'!$A$3:$H$10000,8,FALSE),"0")</f>
        <v>0</v>
      </c>
      <c r="P11550" s="33">
        <f t="shared" si="720"/>
        <v>0</v>
      </c>
      <c r="Q11550" s="31" t="str">
        <f t="shared" si="721"/>
        <v/>
      </c>
      <c r="R11550" s="32" t="str">
        <f>IFERROR(VLOOKUP($D11550,'Informations sur les produits'!$A$3:$B$15000,2,FALSE),"")</f>
        <v/>
      </c>
      <c r="V11550">
        <f t="shared" si="722"/>
        <v>0</v>
      </c>
      <c r="W11550">
        <f t="shared" si="723"/>
        <v>0</v>
      </c>
    </row>
    <row r="11551" spans="5:23" x14ac:dyDescent="0.25">
      <c r="E11551" s="4"/>
      <c r="F11551" s="4"/>
      <c r="G11551" s="33" t="str">
        <f>IFERROR(VLOOKUP($D11551,'Informations sur les produits'!$A$3:$H$10000,8,FALSE),"0")</f>
        <v>0</v>
      </c>
      <c r="K11551" s="4"/>
      <c r="L11551" s="33" t="str">
        <f>IFERROR(VLOOKUP($J11551,'Informations sur les produits'!$A$3:$H$10000,8,FALSE),"0")</f>
        <v>0</v>
      </c>
      <c r="N11551" s="8"/>
      <c r="O11551" s="33" t="str">
        <f>IFERROR(VLOOKUP($M11551,'Informations sur les produits'!$A$3:$H$10000,8,FALSE),"0")</f>
        <v>0</v>
      </c>
      <c r="P11551" s="33">
        <f t="shared" si="720"/>
        <v>0</v>
      </c>
      <c r="Q11551" s="31" t="str">
        <f t="shared" si="721"/>
        <v/>
      </c>
      <c r="R11551" s="32" t="str">
        <f>IFERROR(VLOOKUP($D11551,'Informations sur les produits'!$A$3:$B$15000,2,FALSE),"")</f>
        <v/>
      </c>
      <c r="V11551">
        <f t="shared" si="722"/>
        <v>0</v>
      </c>
      <c r="W11551">
        <f t="shared" si="723"/>
        <v>0</v>
      </c>
    </row>
    <row r="11552" spans="5:23" x14ac:dyDescent="0.25">
      <c r="E11552" s="4"/>
      <c r="F11552" s="4"/>
      <c r="G11552" s="33" t="str">
        <f>IFERROR(VLOOKUP($D11552,'Informations sur les produits'!$A$3:$H$10000,8,FALSE),"0")</f>
        <v>0</v>
      </c>
      <c r="K11552" s="4"/>
      <c r="L11552" s="33" t="str">
        <f>IFERROR(VLOOKUP($J11552,'Informations sur les produits'!$A$3:$H$10000,8,FALSE),"0")</f>
        <v>0</v>
      </c>
      <c r="N11552" s="8"/>
      <c r="O11552" s="33" t="str">
        <f>IFERROR(VLOOKUP($M11552,'Informations sur les produits'!$A$3:$H$10000,8,FALSE),"0")</f>
        <v>0</v>
      </c>
      <c r="P11552" s="33">
        <f t="shared" si="720"/>
        <v>0</v>
      </c>
      <c r="Q11552" s="31" t="str">
        <f t="shared" si="721"/>
        <v/>
      </c>
      <c r="R11552" s="32" t="str">
        <f>IFERROR(VLOOKUP($D11552,'Informations sur les produits'!$A$3:$B$15000,2,FALSE),"")</f>
        <v/>
      </c>
      <c r="V11552">
        <f t="shared" si="722"/>
        <v>0</v>
      </c>
      <c r="W11552">
        <f t="shared" si="723"/>
        <v>0</v>
      </c>
    </row>
    <row r="11553" spans="5:23" x14ac:dyDescent="0.25">
      <c r="E11553" s="4"/>
      <c r="F11553" s="4"/>
      <c r="G11553" s="33" t="str">
        <f>IFERROR(VLOOKUP($D11553,'Informations sur les produits'!$A$3:$H$10000,8,FALSE),"0")</f>
        <v>0</v>
      </c>
      <c r="K11553" s="4"/>
      <c r="L11553" s="33" t="str">
        <f>IFERROR(VLOOKUP($J11553,'Informations sur les produits'!$A$3:$H$10000,8,FALSE),"0")</f>
        <v>0</v>
      </c>
      <c r="N11553" s="8"/>
      <c r="O11553" s="33" t="str">
        <f>IFERROR(VLOOKUP($M11553,'Informations sur les produits'!$A$3:$H$10000,8,FALSE),"0")</f>
        <v>0</v>
      </c>
      <c r="P11553" s="33">
        <f t="shared" si="720"/>
        <v>0</v>
      </c>
      <c r="Q11553" s="31" t="str">
        <f t="shared" si="721"/>
        <v/>
      </c>
      <c r="R11553" s="32" t="str">
        <f>IFERROR(VLOOKUP($D11553,'Informations sur les produits'!$A$3:$B$15000,2,FALSE),"")</f>
        <v/>
      </c>
      <c r="V11553">
        <f t="shared" si="722"/>
        <v>0</v>
      </c>
      <c r="W11553">
        <f t="shared" si="723"/>
        <v>0</v>
      </c>
    </row>
    <row r="11554" spans="5:23" x14ac:dyDescent="0.25">
      <c r="E11554" s="4"/>
      <c r="F11554" s="4"/>
      <c r="G11554" s="33" t="str">
        <f>IFERROR(VLOOKUP($D11554,'Informations sur les produits'!$A$3:$H$10000,8,FALSE),"0")</f>
        <v>0</v>
      </c>
      <c r="K11554" s="4"/>
      <c r="L11554" s="33" t="str">
        <f>IFERROR(VLOOKUP($J11554,'Informations sur les produits'!$A$3:$H$10000,8,FALSE),"0")</f>
        <v>0</v>
      </c>
      <c r="N11554" s="8"/>
      <c r="O11554" s="33" t="str">
        <f>IFERROR(VLOOKUP($M11554,'Informations sur les produits'!$A$3:$H$10000,8,FALSE),"0")</f>
        <v>0</v>
      </c>
      <c r="P11554" s="33">
        <f t="shared" si="720"/>
        <v>0</v>
      </c>
      <c r="Q11554" s="31" t="str">
        <f t="shared" si="721"/>
        <v/>
      </c>
      <c r="R11554" s="32" t="str">
        <f>IFERROR(VLOOKUP($D11554,'Informations sur les produits'!$A$3:$B$15000,2,FALSE),"")</f>
        <v/>
      </c>
      <c r="V11554">
        <f t="shared" si="722"/>
        <v>0</v>
      </c>
      <c r="W11554">
        <f t="shared" si="723"/>
        <v>0</v>
      </c>
    </row>
    <row r="11555" spans="5:23" x14ac:dyDescent="0.25">
      <c r="E11555" s="4"/>
      <c r="F11555" s="4"/>
      <c r="G11555" s="33" t="str">
        <f>IFERROR(VLOOKUP($D11555,'Informations sur les produits'!$A$3:$H$10000,8,FALSE),"0")</f>
        <v>0</v>
      </c>
      <c r="K11555" s="4"/>
      <c r="L11555" s="33" t="str">
        <f>IFERROR(VLOOKUP($J11555,'Informations sur les produits'!$A$3:$H$10000,8,FALSE),"0")</f>
        <v>0</v>
      </c>
      <c r="N11555" s="8"/>
      <c r="O11555" s="33" t="str">
        <f>IFERROR(VLOOKUP($M11555,'Informations sur les produits'!$A$3:$H$10000,8,FALSE),"0")</f>
        <v>0</v>
      </c>
      <c r="P11555" s="33">
        <f t="shared" si="720"/>
        <v>0</v>
      </c>
      <c r="Q11555" s="31" t="str">
        <f t="shared" si="721"/>
        <v/>
      </c>
      <c r="R11555" s="32" t="str">
        <f>IFERROR(VLOOKUP($D11555,'Informations sur les produits'!$A$3:$B$15000,2,FALSE),"")</f>
        <v/>
      </c>
      <c r="V11555">
        <f t="shared" si="722"/>
        <v>0</v>
      </c>
      <c r="W11555">
        <f t="shared" si="723"/>
        <v>0</v>
      </c>
    </row>
    <row r="11556" spans="5:23" x14ac:dyDescent="0.25">
      <c r="E11556" s="4"/>
      <c r="F11556" s="4"/>
      <c r="G11556" s="33" t="str">
        <f>IFERROR(VLOOKUP($D11556,'Informations sur les produits'!$A$3:$H$10000,8,FALSE),"0")</f>
        <v>0</v>
      </c>
      <c r="K11556" s="4"/>
      <c r="L11556" s="33" t="str">
        <f>IFERROR(VLOOKUP($J11556,'Informations sur les produits'!$A$3:$H$10000,8,FALSE),"0")</f>
        <v>0</v>
      </c>
      <c r="N11556" s="8"/>
      <c r="O11556" s="33" t="str">
        <f>IFERROR(VLOOKUP($M11556,'Informations sur les produits'!$A$3:$H$10000,8,FALSE),"0")</f>
        <v>0</v>
      </c>
      <c r="P11556" s="33">
        <f t="shared" si="720"/>
        <v>0</v>
      </c>
      <c r="Q11556" s="31" t="str">
        <f t="shared" si="721"/>
        <v/>
      </c>
      <c r="R11556" s="32" t="str">
        <f>IFERROR(VLOOKUP($D11556,'Informations sur les produits'!$A$3:$B$15000,2,FALSE),"")</f>
        <v/>
      </c>
      <c r="V11556">
        <f t="shared" si="722"/>
        <v>0</v>
      </c>
      <c r="W11556">
        <f t="shared" si="723"/>
        <v>0</v>
      </c>
    </row>
    <row r="11557" spans="5:23" x14ac:dyDescent="0.25">
      <c r="E11557" s="4"/>
      <c r="F11557" s="4"/>
      <c r="G11557" s="33" t="str">
        <f>IFERROR(VLOOKUP($D11557,'Informations sur les produits'!$A$3:$H$10000,8,FALSE),"0")</f>
        <v>0</v>
      </c>
      <c r="K11557" s="4"/>
      <c r="L11557" s="33" t="str">
        <f>IFERROR(VLOOKUP($J11557,'Informations sur les produits'!$A$3:$H$10000,8,FALSE),"0")</f>
        <v>0</v>
      </c>
      <c r="N11557" s="8"/>
      <c r="O11557" s="33" t="str">
        <f>IFERROR(VLOOKUP($M11557,'Informations sur les produits'!$A$3:$H$10000,8,FALSE),"0")</f>
        <v>0</v>
      </c>
      <c r="P11557" s="33">
        <f t="shared" si="720"/>
        <v>0</v>
      </c>
      <c r="Q11557" s="31" t="str">
        <f t="shared" si="721"/>
        <v/>
      </c>
      <c r="R11557" s="32" t="str">
        <f>IFERROR(VLOOKUP($D11557,'Informations sur les produits'!$A$3:$B$15000,2,FALSE),"")</f>
        <v/>
      </c>
      <c r="V11557">
        <f t="shared" si="722"/>
        <v>0</v>
      </c>
      <c r="W11557">
        <f t="shared" si="723"/>
        <v>0</v>
      </c>
    </row>
    <row r="11558" spans="5:23" x14ac:dyDescent="0.25">
      <c r="E11558" s="4"/>
      <c r="F11558" s="4"/>
      <c r="G11558" s="33" t="str">
        <f>IFERROR(VLOOKUP($D11558,'Informations sur les produits'!$A$3:$H$10000,8,FALSE),"0")</f>
        <v>0</v>
      </c>
      <c r="K11558" s="4"/>
      <c r="L11558" s="33" t="str">
        <f>IFERROR(VLOOKUP($J11558,'Informations sur les produits'!$A$3:$H$10000,8,FALSE),"0")</f>
        <v>0</v>
      </c>
      <c r="N11558" s="8"/>
      <c r="O11558" s="33" t="str">
        <f>IFERROR(VLOOKUP($M11558,'Informations sur les produits'!$A$3:$H$10000,8,FALSE),"0")</f>
        <v>0</v>
      </c>
      <c r="P11558" s="33">
        <f t="shared" si="720"/>
        <v>0</v>
      </c>
      <c r="Q11558" s="31" t="str">
        <f t="shared" si="721"/>
        <v/>
      </c>
      <c r="R11558" s="32" t="str">
        <f>IFERROR(VLOOKUP($D11558,'Informations sur les produits'!$A$3:$B$15000,2,FALSE),"")</f>
        <v/>
      </c>
      <c r="V11558">
        <f t="shared" si="722"/>
        <v>0</v>
      </c>
      <c r="W11558">
        <f t="shared" si="723"/>
        <v>0</v>
      </c>
    </row>
    <row r="11559" spans="5:23" x14ac:dyDescent="0.25">
      <c r="E11559" s="4"/>
      <c r="F11559" s="4"/>
      <c r="G11559" s="33" t="str">
        <f>IFERROR(VLOOKUP($D11559,'Informations sur les produits'!$A$3:$H$10000,8,FALSE),"0")</f>
        <v>0</v>
      </c>
      <c r="K11559" s="4"/>
      <c r="L11559" s="33" t="str">
        <f>IFERROR(VLOOKUP($J11559,'Informations sur les produits'!$A$3:$H$10000,8,FALSE),"0")</f>
        <v>0</v>
      </c>
      <c r="N11559" s="8"/>
      <c r="O11559" s="33" t="str">
        <f>IFERROR(VLOOKUP($M11559,'Informations sur les produits'!$A$3:$H$10000,8,FALSE),"0")</f>
        <v>0</v>
      </c>
      <c r="P11559" s="33">
        <f t="shared" si="720"/>
        <v>0</v>
      </c>
      <c r="Q11559" s="31" t="str">
        <f t="shared" si="721"/>
        <v/>
      </c>
      <c r="R11559" s="32" t="str">
        <f>IFERROR(VLOOKUP($D11559,'Informations sur les produits'!$A$3:$B$15000,2,FALSE),"")</f>
        <v/>
      </c>
      <c r="V11559">
        <f t="shared" si="722"/>
        <v>0</v>
      </c>
      <c r="W11559">
        <f t="shared" si="723"/>
        <v>0</v>
      </c>
    </row>
    <row r="11560" spans="5:23" x14ac:dyDescent="0.25">
      <c r="E11560" s="4"/>
      <c r="F11560" s="4"/>
      <c r="G11560" s="33" t="str">
        <f>IFERROR(VLOOKUP($D11560,'Informations sur les produits'!$A$3:$H$10000,8,FALSE),"0")</f>
        <v>0</v>
      </c>
      <c r="K11560" s="4"/>
      <c r="L11560" s="33" t="str">
        <f>IFERROR(VLOOKUP($J11560,'Informations sur les produits'!$A$3:$H$10000,8,FALSE),"0")</f>
        <v>0</v>
      </c>
      <c r="N11560" s="8"/>
      <c r="O11560" s="33" t="str">
        <f>IFERROR(VLOOKUP($M11560,'Informations sur les produits'!$A$3:$H$10000,8,FALSE),"0")</f>
        <v>0</v>
      </c>
      <c r="P11560" s="33">
        <f t="shared" si="720"/>
        <v>0</v>
      </c>
      <c r="Q11560" s="31" t="str">
        <f t="shared" si="721"/>
        <v/>
      </c>
      <c r="R11560" s="32" t="str">
        <f>IFERROR(VLOOKUP($D11560,'Informations sur les produits'!$A$3:$B$15000,2,FALSE),"")</f>
        <v/>
      </c>
      <c r="V11560">
        <f t="shared" si="722"/>
        <v>0</v>
      </c>
      <c r="W11560">
        <f t="shared" si="723"/>
        <v>0</v>
      </c>
    </row>
    <row r="11561" spans="5:23" x14ac:dyDescent="0.25">
      <c r="E11561" s="4"/>
      <c r="F11561" s="4"/>
      <c r="G11561" s="33" t="str">
        <f>IFERROR(VLOOKUP($D11561,'Informations sur les produits'!$A$3:$H$10000,8,FALSE),"0")</f>
        <v>0</v>
      </c>
      <c r="K11561" s="4"/>
      <c r="L11561" s="33" t="str">
        <f>IFERROR(VLOOKUP($J11561,'Informations sur les produits'!$A$3:$H$10000,8,FALSE),"0")</f>
        <v>0</v>
      </c>
      <c r="N11561" s="8"/>
      <c r="O11561" s="33" t="str">
        <f>IFERROR(VLOOKUP($M11561,'Informations sur les produits'!$A$3:$H$10000,8,FALSE),"0")</f>
        <v>0</v>
      </c>
      <c r="P11561" s="33">
        <f t="shared" si="720"/>
        <v>0</v>
      </c>
      <c r="Q11561" s="31" t="str">
        <f t="shared" si="721"/>
        <v/>
      </c>
      <c r="R11561" s="32" t="str">
        <f>IFERROR(VLOOKUP($D11561,'Informations sur les produits'!$A$3:$B$15000,2,FALSE),"")</f>
        <v/>
      </c>
      <c r="V11561">
        <f t="shared" si="722"/>
        <v>0</v>
      </c>
      <c r="W11561">
        <f t="shared" si="723"/>
        <v>0</v>
      </c>
    </row>
    <row r="11562" spans="5:23" x14ac:dyDescent="0.25">
      <c r="E11562" s="4"/>
      <c r="F11562" s="4"/>
      <c r="G11562" s="33" t="str">
        <f>IFERROR(VLOOKUP($D11562,'Informations sur les produits'!$A$3:$H$10000,8,FALSE),"0")</f>
        <v>0</v>
      </c>
      <c r="K11562" s="4"/>
      <c r="L11562" s="33" t="str">
        <f>IFERROR(VLOOKUP($J11562,'Informations sur les produits'!$A$3:$H$10000,8,FALSE),"0")</f>
        <v>0</v>
      </c>
      <c r="N11562" s="8"/>
      <c r="O11562" s="33" t="str">
        <f>IFERROR(VLOOKUP($M11562,'Informations sur les produits'!$A$3:$H$10000,8,FALSE),"0")</f>
        <v>0</v>
      </c>
      <c r="P11562" s="33">
        <f t="shared" si="720"/>
        <v>0</v>
      </c>
      <c r="Q11562" s="31" t="str">
        <f t="shared" si="721"/>
        <v/>
      </c>
      <c r="R11562" s="32" t="str">
        <f>IFERROR(VLOOKUP($D11562,'Informations sur les produits'!$A$3:$B$15000,2,FALSE),"")</f>
        <v/>
      </c>
      <c r="V11562">
        <f t="shared" si="722"/>
        <v>0</v>
      </c>
      <c r="W11562">
        <f t="shared" si="723"/>
        <v>0</v>
      </c>
    </row>
    <row r="11563" spans="5:23" x14ac:dyDescent="0.25">
      <c r="E11563" s="4"/>
      <c r="F11563" s="4"/>
      <c r="G11563" s="33" t="str">
        <f>IFERROR(VLOOKUP($D11563,'Informations sur les produits'!$A$3:$H$10000,8,FALSE),"0")</f>
        <v>0</v>
      </c>
      <c r="K11563" s="4"/>
      <c r="L11563" s="33" t="str">
        <f>IFERROR(VLOOKUP($J11563,'Informations sur les produits'!$A$3:$H$10000,8,FALSE),"0")</f>
        <v>0</v>
      </c>
      <c r="N11563" s="8"/>
      <c r="O11563" s="33" t="str">
        <f>IFERROR(VLOOKUP($M11563,'Informations sur les produits'!$A$3:$H$10000,8,FALSE),"0")</f>
        <v>0</v>
      </c>
      <c r="P11563" s="33">
        <f t="shared" si="720"/>
        <v>0</v>
      </c>
      <c r="Q11563" s="31" t="str">
        <f t="shared" si="721"/>
        <v/>
      </c>
      <c r="R11563" s="32" t="str">
        <f>IFERROR(VLOOKUP($D11563,'Informations sur les produits'!$A$3:$B$15000,2,FALSE),"")</f>
        <v/>
      </c>
      <c r="V11563">
        <f t="shared" si="722"/>
        <v>0</v>
      </c>
      <c r="W11563">
        <f t="shared" si="723"/>
        <v>0</v>
      </c>
    </row>
    <row r="11564" spans="5:23" x14ac:dyDescent="0.25">
      <c r="E11564" s="4"/>
      <c r="F11564" s="4"/>
      <c r="G11564" s="33" t="str">
        <f>IFERROR(VLOOKUP($D11564,'Informations sur les produits'!$A$3:$H$10000,8,FALSE),"0")</f>
        <v>0</v>
      </c>
      <c r="K11564" s="4"/>
      <c r="L11564" s="33" t="str">
        <f>IFERROR(VLOOKUP($J11564,'Informations sur les produits'!$A$3:$H$10000,8,FALSE),"0")</f>
        <v>0</v>
      </c>
      <c r="N11564" s="8"/>
      <c r="O11564" s="33" t="str">
        <f>IFERROR(VLOOKUP($M11564,'Informations sur les produits'!$A$3:$H$10000,8,FALSE),"0")</f>
        <v>0</v>
      </c>
      <c r="P11564" s="33">
        <f t="shared" si="720"/>
        <v>0</v>
      </c>
      <c r="Q11564" s="31" t="str">
        <f t="shared" si="721"/>
        <v/>
      </c>
      <c r="R11564" s="32" t="str">
        <f>IFERROR(VLOOKUP($D11564,'Informations sur les produits'!$A$3:$B$15000,2,FALSE),"")</f>
        <v/>
      </c>
      <c r="V11564">
        <f t="shared" si="722"/>
        <v>0</v>
      </c>
      <c r="W11564">
        <f t="shared" si="723"/>
        <v>0</v>
      </c>
    </row>
    <row r="11565" spans="5:23" x14ac:dyDescent="0.25">
      <c r="E11565" s="4"/>
      <c r="F11565" s="4"/>
      <c r="G11565" s="33" t="str">
        <f>IFERROR(VLOOKUP($D11565,'Informations sur les produits'!$A$3:$H$10000,8,FALSE),"0")</f>
        <v>0</v>
      </c>
      <c r="K11565" s="4"/>
      <c r="L11565" s="33" t="str">
        <f>IFERROR(VLOOKUP($J11565,'Informations sur les produits'!$A$3:$H$10000,8,FALSE),"0")</f>
        <v>0</v>
      </c>
      <c r="N11565" s="8"/>
      <c r="O11565" s="33" t="str">
        <f>IFERROR(VLOOKUP($M11565,'Informations sur les produits'!$A$3:$H$10000,8,FALSE),"0")</f>
        <v>0</v>
      </c>
      <c r="P11565" s="33">
        <f t="shared" si="720"/>
        <v>0</v>
      </c>
      <c r="Q11565" s="31" t="str">
        <f t="shared" si="721"/>
        <v/>
      </c>
      <c r="R11565" s="32" t="str">
        <f>IFERROR(VLOOKUP($D11565,'Informations sur les produits'!$A$3:$B$15000,2,FALSE),"")</f>
        <v/>
      </c>
      <c r="V11565">
        <f t="shared" si="722"/>
        <v>0</v>
      </c>
      <c r="W11565">
        <f t="shared" si="723"/>
        <v>0</v>
      </c>
    </row>
    <row r="11566" spans="5:23" x14ac:dyDescent="0.25">
      <c r="E11566" s="4"/>
      <c r="F11566" s="4"/>
      <c r="G11566" s="33" t="str">
        <f>IFERROR(VLOOKUP($D11566,'Informations sur les produits'!$A$3:$H$10000,8,FALSE),"0")</f>
        <v>0</v>
      </c>
      <c r="K11566" s="4"/>
      <c r="L11566" s="33" t="str">
        <f>IFERROR(VLOOKUP($J11566,'Informations sur les produits'!$A$3:$H$10000,8,FALSE),"0")</f>
        <v>0</v>
      </c>
      <c r="N11566" s="8"/>
      <c r="O11566" s="33" t="str">
        <f>IFERROR(VLOOKUP($M11566,'Informations sur les produits'!$A$3:$H$10000,8,FALSE),"0")</f>
        <v>0</v>
      </c>
      <c r="P11566" s="33">
        <f t="shared" si="720"/>
        <v>0</v>
      </c>
      <c r="Q11566" s="31" t="str">
        <f t="shared" si="721"/>
        <v/>
      </c>
      <c r="R11566" s="32" t="str">
        <f>IFERROR(VLOOKUP($D11566,'Informations sur les produits'!$A$3:$B$15000,2,FALSE),"")</f>
        <v/>
      </c>
      <c r="V11566">
        <f t="shared" si="722"/>
        <v>0</v>
      </c>
      <c r="W11566">
        <f t="shared" si="723"/>
        <v>0</v>
      </c>
    </row>
    <row r="11567" spans="5:23" x14ac:dyDescent="0.25">
      <c r="E11567" s="4"/>
      <c r="F11567" s="4"/>
      <c r="G11567" s="33" t="str">
        <f>IFERROR(VLOOKUP($D11567,'Informations sur les produits'!$A$3:$H$10000,8,FALSE),"0")</f>
        <v>0</v>
      </c>
      <c r="K11567" s="4"/>
      <c r="L11567" s="33" t="str">
        <f>IFERROR(VLOOKUP($J11567,'Informations sur les produits'!$A$3:$H$10000,8,FALSE),"0")</f>
        <v>0</v>
      </c>
      <c r="N11567" s="8"/>
      <c r="O11567" s="33" t="str">
        <f>IFERROR(VLOOKUP($M11567,'Informations sur les produits'!$A$3:$H$10000,8,FALSE),"0")</f>
        <v>0</v>
      </c>
      <c r="P11567" s="33">
        <f t="shared" si="720"/>
        <v>0</v>
      </c>
      <c r="Q11567" s="31" t="str">
        <f t="shared" si="721"/>
        <v/>
      </c>
      <c r="R11567" s="32" t="str">
        <f>IFERROR(VLOOKUP($D11567,'Informations sur les produits'!$A$3:$B$15000,2,FALSE),"")</f>
        <v/>
      </c>
      <c r="V11567">
        <f t="shared" si="722"/>
        <v>0</v>
      </c>
      <c r="W11567">
        <f t="shared" si="723"/>
        <v>0</v>
      </c>
    </row>
    <row r="11568" spans="5:23" x14ac:dyDescent="0.25">
      <c r="E11568" s="4"/>
      <c r="F11568" s="4"/>
      <c r="G11568" s="33" t="str">
        <f>IFERROR(VLOOKUP($D11568,'Informations sur les produits'!$A$3:$H$10000,8,FALSE),"0")</f>
        <v>0</v>
      </c>
      <c r="K11568" s="4"/>
      <c r="L11568" s="33" t="str">
        <f>IFERROR(VLOOKUP($J11568,'Informations sur les produits'!$A$3:$H$10000,8,FALSE),"0")</f>
        <v>0</v>
      </c>
      <c r="N11568" s="8"/>
      <c r="O11568" s="33" t="str">
        <f>IFERROR(VLOOKUP($M11568,'Informations sur les produits'!$A$3:$H$10000,8,FALSE),"0")</f>
        <v>0</v>
      </c>
      <c r="P11568" s="33">
        <f t="shared" si="720"/>
        <v>0</v>
      </c>
      <c r="Q11568" s="31" t="str">
        <f t="shared" si="721"/>
        <v/>
      </c>
      <c r="R11568" s="32" t="str">
        <f>IFERROR(VLOOKUP($D11568,'Informations sur les produits'!$A$3:$B$15000,2,FALSE),"")</f>
        <v/>
      </c>
      <c r="V11568">
        <f t="shared" si="722"/>
        <v>0</v>
      </c>
      <c r="W11568">
        <f t="shared" si="723"/>
        <v>0</v>
      </c>
    </row>
    <row r="11569" spans="5:23" x14ac:dyDescent="0.25">
      <c r="E11569" s="4"/>
      <c r="F11569" s="4"/>
      <c r="G11569" s="33" t="str">
        <f>IFERROR(VLOOKUP($D11569,'Informations sur les produits'!$A$3:$H$10000,8,FALSE),"0")</f>
        <v>0</v>
      </c>
      <c r="K11569" s="4"/>
      <c r="L11569" s="33" t="str">
        <f>IFERROR(VLOOKUP($J11569,'Informations sur les produits'!$A$3:$H$10000,8,FALSE),"0")</f>
        <v>0</v>
      </c>
      <c r="N11569" s="8"/>
      <c r="O11569" s="33" t="str">
        <f>IFERROR(VLOOKUP($M11569,'Informations sur les produits'!$A$3:$H$10000,8,FALSE),"0")</f>
        <v>0</v>
      </c>
      <c r="P11569" s="33">
        <f t="shared" si="720"/>
        <v>0</v>
      </c>
      <c r="Q11569" s="31" t="str">
        <f t="shared" si="721"/>
        <v/>
      </c>
      <c r="R11569" s="32" t="str">
        <f>IFERROR(VLOOKUP($D11569,'Informations sur les produits'!$A$3:$B$15000,2,FALSE),"")</f>
        <v/>
      </c>
      <c r="V11569">
        <f t="shared" si="722"/>
        <v>0</v>
      </c>
      <c r="W11569">
        <f t="shared" si="723"/>
        <v>0</v>
      </c>
    </row>
    <row r="11570" spans="5:23" x14ac:dyDescent="0.25">
      <c r="E11570" s="4"/>
      <c r="F11570" s="4"/>
      <c r="G11570" s="33" t="str">
        <f>IFERROR(VLOOKUP($D11570,'Informations sur les produits'!$A$3:$H$10000,8,FALSE),"0")</f>
        <v>0</v>
      </c>
      <c r="K11570" s="4"/>
      <c r="L11570" s="33" t="str">
        <f>IFERROR(VLOOKUP($J11570,'Informations sur les produits'!$A$3:$H$10000,8,FALSE),"0")</f>
        <v>0</v>
      </c>
      <c r="N11570" s="8"/>
      <c r="O11570" s="33" t="str">
        <f>IFERROR(VLOOKUP($M11570,'Informations sur les produits'!$A$3:$H$10000,8,FALSE),"0")</f>
        <v>0</v>
      </c>
      <c r="P11570" s="33">
        <f t="shared" si="720"/>
        <v>0</v>
      </c>
      <c r="Q11570" s="31" t="str">
        <f t="shared" si="721"/>
        <v/>
      </c>
      <c r="R11570" s="32" t="str">
        <f>IFERROR(VLOOKUP($D11570,'Informations sur les produits'!$A$3:$B$15000,2,FALSE),"")</f>
        <v/>
      </c>
      <c r="V11570">
        <f t="shared" si="722"/>
        <v>0</v>
      </c>
      <c r="W11570">
        <f t="shared" si="723"/>
        <v>0</v>
      </c>
    </row>
    <row r="11571" spans="5:23" x14ac:dyDescent="0.25">
      <c r="E11571" s="4"/>
      <c r="F11571" s="4"/>
      <c r="G11571" s="33" t="str">
        <f>IFERROR(VLOOKUP($D11571,'Informations sur les produits'!$A$3:$H$10000,8,FALSE),"0")</f>
        <v>0</v>
      </c>
      <c r="K11571" s="4"/>
      <c r="L11571" s="33" t="str">
        <f>IFERROR(VLOOKUP($J11571,'Informations sur les produits'!$A$3:$H$10000,8,FALSE),"0")</f>
        <v>0</v>
      </c>
      <c r="N11571" s="8"/>
      <c r="O11571" s="33" t="str">
        <f>IFERROR(VLOOKUP($M11571,'Informations sur les produits'!$A$3:$H$10000,8,FALSE),"0")</f>
        <v>0</v>
      </c>
      <c r="P11571" s="33">
        <f t="shared" si="720"/>
        <v>0</v>
      </c>
      <c r="Q11571" s="31" t="str">
        <f t="shared" si="721"/>
        <v/>
      </c>
      <c r="R11571" s="32" t="str">
        <f>IFERROR(VLOOKUP($D11571,'Informations sur les produits'!$A$3:$B$15000,2,FALSE),"")</f>
        <v/>
      </c>
      <c r="V11571">
        <f t="shared" si="722"/>
        <v>0</v>
      </c>
      <c r="W11571">
        <f t="shared" si="723"/>
        <v>0</v>
      </c>
    </row>
    <row r="11572" spans="5:23" x14ac:dyDescent="0.25">
      <c r="E11572" s="4"/>
      <c r="F11572" s="4"/>
      <c r="G11572" s="33" t="str">
        <f>IFERROR(VLOOKUP($D11572,'Informations sur les produits'!$A$3:$H$10000,8,FALSE),"0")</f>
        <v>0</v>
      </c>
      <c r="K11572" s="4"/>
      <c r="L11572" s="33" t="str">
        <f>IFERROR(VLOOKUP($J11572,'Informations sur les produits'!$A$3:$H$10000,8,FALSE),"0")</f>
        <v>0</v>
      </c>
      <c r="N11572" s="8"/>
      <c r="O11572" s="33" t="str">
        <f>IFERROR(VLOOKUP($M11572,'Informations sur les produits'!$A$3:$H$10000,8,FALSE),"0")</f>
        <v>0</v>
      </c>
      <c r="P11572" s="33">
        <f t="shared" si="720"/>
        <v>0</v>
      </c>
      <c r="Q11572" s="31" t="str">
        <f t="shared" si="721"/>
        <v/>
      </c>
      <c r="R11572" s="32" t="str">
        <f>IFERROR(VLOOKUP($D11572,'Informations sur les produits'!$A$3:$B$15000,2,FALSE),"")</f>
        <v/>
      </c>
      <c r="V11572">
        <f t="shared" si="722"/>
        <v>0</v>
      </c>
      <c r="W11572">
        <f t="shared" si="723"/>
        <v>0</v>
      </c>
    </row>
    <row r="11573" spans="5:23" x14ac:dyDescent="0.25">
      <c r="E11573" s="4"/>
      <c r="F11573" s="4"/>
      <c r="G11573" s="33" t="str">
        <f>IFERROR(VLOOKUP($D11573,'Informations sur les produits'!$A$3:$H$10000,8,FALSE),"0")</f>
        <v>0</v>
      </c>
      <c r="K11573" s="4"/>
      <c r="L11573" s="33" t="str">
        <f>IFERROR(VLOOKUP($J11573,'Informations sur les produits'!$A$3:$H$10000,8,FALSE),"0")</f>
        <v>0</v>
      </c>
      <c r="N11573" s="8"/>
      <c r="O11573" s="33" t="str">
        <f>IFERROR(VLOOKUP($M11573,'Informations sur les produits'!$A$3:$H$10000,8,FALSE),"0")</f>
        <v>0</v>
      </c>
      <c r="P11573" s="33">
        <f t="shared" si="720"/>
        <v>0</v>
      </c>
      <c r="Q11573" s="31" t="str">
        <f t="shared" si="721"/>
        <v/>
      </c>
      <c r="R11573" s="32" t="str">
        <f>IFERROR(VLOOKUP($D11573,'Informations sur les produits'!$A$3:$B$15000,2,FALSE),"")</f>
        <v/>
      </c>
      <c r="V11573">
        <f t="shared" si="722"/>
        <v>0</v>
      </c>
      <c r="W11573">
        <f t="shared" si="723"/>
        <v>0</v>
      </c>
    </row>
    <row r="11574" spans="5:23" x14ac:dyDescent="0.25">
      <c r="E11574" s="4"/>
      <c r="F11574" s="4"/>
      <c r="G11574" s="33" t="str">
        <f>IFERROR(VLOOKUP($D11574,'Informations sur les produits'!$A$3:$H$10000,8,FALSE),"0")</f>
        <v>0</v>
      </c>
      <c r="K11574" s="4"/>
      <c r="L11574" s="33" t="str">
        <f>IFERROR(VLOOKUP($J11574,'Informations sur les produits'!$A$3:$H$10000,8,FALSE),"0")</f>
        <v>0</v>
      </c>
      <c r="N11574" s="8"/>
      <c r="O11574" s="33" t="str">
        <f>IFERROR(VLOOKUP($M11574,'Informations sur les produits'!$A$3:$H$10000,8,FALSE),"0")</f>
        <v>0</v>
      </c>
      <c r="P11574" s="33">
        <f t="shared" si="720"/>
        <v>0</v>
      </c>
      <c r="Q11574" s="31" t="str">
        <f t="shared" si="721"/>
        <v/>
      </c>
      <c r="R11574" s="32" t="str">
        <f>IFERROR(VLOOKUP($D11574,'Informations sur les produits'!$A$3:$B$15000,2,FALSE),"")</f>
        <v/>
      </c>
      <c r="V11574">
        <f t="shared" si="722"/>
        <v>0</v>
      </c>
      <c r="W11574">
        <f t="shared" si="723"/>
        <v>0</v>
      </c>
    </row>
    <row r="11575" spans="5:23" x14ac:dyDescent="0.25">
      <c r="E11575" s="4"/>
      <c r="F11575" s="4"/>
      <c r="G11575" s="33" t="str">
        <f>IFERROR(VLOOKUP($D11575,'Informations sur les produits'!$A$3:$H$10000,8,FALSE),"0")</f>
        <v>0</v>
      </c>
      <c r="K11575" s="4"/>
      <c r="L11575" s="33" t="str">
        <f>IFERROR(VLOOKUP($J11575,'Informations sur les produits'!$A$3:$H$10000,8,FALSE),"0")</f>
        <v>0</v>
      </c>
      <c r="N11575" s="8"/>
      <c r="O11575" s="33" t="str">
        <f>IFERROR(VLOOKUP($M11575,'Informations sur les produits'!$A$3:$H$10000,8,FALSE),"0")</f>
        <v>0</v>
      </c>
      <c r="P11575" s="33">
        <f t="shared" si="720"/>
        <v>0</v>
      </c>
      <c r="Q11575" s="31" t="str">
        <f t="shared" si="721"/>
        <v/>
      </c>
      <c r="R11575" s="32" t="str">
        <f>IFERROR(VLOOKUP($D11575,'Informations sur les produits'!$A$3:$B$15000,2,FALSE),"")</f>
        <v/>
      </c>
      <c r="V11575">
        <f t="shared" si="722"/>
        <v>0</v>
      </c>
      <c r="W11575">
        <f t="shared" si="723"/>
        <v>0</v>
      </c>
    </row>
    <row r="11576" spans="5:23" x14ac:dyDescent="0.25">
      <c r="E11576" s="4"/>
      <c r="F11576" s="4"/>
      <c r="G11576" s="33" t="str">
        <f>IFERROR(VLOOKUP($D11576,'Informations sur les produits'!$A$3:$H$10000,8,FALSE),"0")</f>
        <v>0</v>
      </c>
      <c r="K11576" s="4"/>
      <c r="L11576" s="33" t="str">
        <f>IFERROR(VLOOKUP($J11576,'Informations sur les produits'!$A$3:$H$10000,8,FALSE),"0")</f>
        <v>0</v>
      </c>
      <c r="N11576" s="8"/>
      <c r="O11576" s="33" t="str">
        <f>IFERROR(VLOOKUP($M11576,'Informations sur les produits'!$A$3:$H$10000,8,FALSE),"0")</f>
        <v>0</v>
      </c>
      <c r="P11576" s="33">
        <f t="shared" si="720"/>
        <v>0</v>
      </c>
      <c r="Q11576" s="31" t="str">
        <f t="shared" si="721"/>
        <v/>
      </c>
      <c r="R11576" s="32" t="str">
        <f>IFERROR(VLOOKUP($D11576,'Informations sur les produits'!$A$3:$B$15000,2,FALSE),"")</f>
        <v/>
      </c>
      <c r="V11576">
        <f t="shared" si="722"/>
        <v>0</v>
      </c>
      <c r="W11576">
        <f t="shared" si="723"/>
        <v>0</v>
      </c>
    </row>
    <row r="11577" spans="5:23" x14ac:dyDescent="0.25">
      <c r="E11577" s="4"/>
      <c r="F11577" s="4"/>
      <c r="G11577" s="33" t="str">
        <f>IFERROR(VLOOKUP($D11577,'Informations sur les produits'!$A$3:$H$10000,8,FALSE),"0")</f>
        <v>0</v>
      </c>
      <c r="K11577" s="4"/>
      <c r="L11577" s="33" t="str">
        <f>IFERROR(VLOOKUP($J11577,'Informations sur les produits'!$A$3:$H$10000,8,FALSE),"0")</f>
        <v>0</v>
      </c>
      <c r="N11577" s="8"/>
      <c r="O11577" s="33" t="str">
        <f>IFERROR(VLOOKUP($M11577,'Informations sur les produits'!$A$3:$H$10000,8,FALSE),"0")</f>
        <v>0</v>
      </c>
      <c r="P11577" s="33">
        <f t="shared" si="720"/>
        <v>0</v>
      </c>
      <c r="Q11577" s="31" t="str">
        <f t="shared" si="721"/>
        <v/>
      </c>
      <c r="R11577" s="32" t="str">
        <f>IFERROR(VLOOKUP($D11577,'Informations sur les produits'!$A$3:$B$15000,2,FALSE),"")</f>
        <v/>
      </c>
      <c r="V11577">
        <f t="shared" si="722"/>
        <v>0</v>
      </c>
      <c r="W11577">
        <f t="shared" si="723"/>
        <v>0</v>
      </c>
    </row>
    <row r="11578" spans="5:23" x14ac:dyDescent="0.25">
      <c r="E11578" s="4"/>
      <c r="F11578" s="4"/>
      <c r="G11578" s="33" t="str">
        <f>IFERROR(VLOOKUP($D11578,'Informations sur les produits'!$A$3:$H$10000,8,FALSE),"0")</f>
        <v>0</v>
      </c>
      <c r="K11578" s="4"/>
      <c r="L11578" s="33" t="str">
        <f>IFERROR(VLOOKUP($J11578,'Informations sur les produits'!$A$3:$H$10000,8,FALSE),"0")</f>
        <v>0</v>
      </c>
      <c r="N11578" s="8"/>
      <c r="O11578" s="33" t="str">
        <f>IFERROR(VLOOKUP($M11578,'Informations sur les produits'!$A$3:$H$10000,8,FALSE),"0")</f>
        <v>0</v>
      </c>
      <c r="P11578" s="33">
        <f t="shared" si="720"/>
        <v>0</v>
      </c>
      <c r="Q11578" s="31" t="str">
        <f t="shared" si="721"/>
        <v/>
      </c>
      <c r="R11578" s="32" t="str">
        <f>IFERROR(VLOOKUP($D11578,'Informations sur les produits'!$A$3:$B$15000,2,FALSE),"")</f>
        <v/>
      </c>
      <c r="V11578">
        <f t="shared" si="722"/>
        <v>0</v>
      </c>
      <c r="W11578">
        <f t="shared" si="723"/>
        <v>0</v>
      </c>
    </row>
    <row r="11579" spans="5:23" x14ac:dyDescent="0.25">
      <c r="E11579" s="4"/>
      <c r="F11579" s="4"/>
      <c r="G11579" s="33" t="str">
        <f>IFERROR(VLOOKUP($D11579,'Informations sur les produits'!$A$3:$H$10000,8,FALSE),"0")</f>
        <v>0</v>
      </c>
      <c r="K11579" s="4"/>
      <c r="L11579" s="33" t="str">
        <f>IFERROR(VLOOKUP($J11579,'Informations sur les produits'!$A$3:$H$10000,8,FALSE),"0")</f>
        <v>0</v>
      </c>
      <c r="N11579" s="8"/>
      <c r="O11579" s="33" t="str">
        <f>IFERROR(VLOOKUP($M11579,'Informations sur les produits'!$A$3:$H$10000,8,FALSE),"0")</f>
        <v>0</v>
      </c>
      <c r="P11579" s="33">
        <f t="shared" si="720"/>
        <v>0</v>
      </c>
      <c r="Q11579" s="31" t="str">
        <f t="shared" si="721"/>
        <v/>
      </c>
      <c r="R11579" s="32" t="str">
        <f>IFERROR(VLOOKUP($D11579,'Informations sur les produits'!$A$3:$B$15000,2,FALSE),"")</f>
        <v/>
      </c>
      <c r="V11579">
        <f t="shared" si="722"/>
        <v>0</v>
      </c>
      <c r="W11579">
        <f t="shared" si="723"/>
        <v>0</v>
      </c>
    </row>
    <row r="11580" spans="5:23" x14ac:dyDescent="0.25">
      <c r="E11580" s="4"/>
      <c r="F11580" s="4"/>
      <c r="G11580" s="33" t="str">
        <f>IFERROR(VLOOKUP($D11580,'Informations sur les produits'!$A$3:$H$10000,8,FALSE),"0")</f>
        <v>0</v>
      </c>
      <c r="K11580" s="4"/>
      <c r="L11580" s="33" t="str">
        <f>IFERROR(VLOOKUP($J11580,'Informations sur les produits'!$A$3:$H$10000,8,FALSE),"0")</f>
        <v>0</v>
      </c>
      <c r="N11580" s="8"/>
      <c r="O11580" s="33" t="str">
        <f>IFERROR(VLOOKUP($M11580,'Informations sur les produits'!$A$3:$H$10000,8,FALSE),"0")</f>
        <v>0</v>
      </c>
      <c r="P11580" s="33">
        <f t="shared" si="720"/>
        <v>0</v>
      </c>
      <c r="Q11580" s="31" t="str">
        <f t="shared" si="721"/>
        <v/>
      </c>
      <c r="R11580" s="32" t="str">
        <f>IFERROR(VLOOKUP($D11580,'Informations sur les produits'!$A$3:$B$15000,2,FALSE),"")</f>
        <v/>
      </c>
      <c r="V11580">
        <f t="shared" si="722"/>
        <v>0</v>
      </c>
      <c r="W11580">
        <f t="shared" si="723"/>
        <v>0</v>
      </c>
    </row>
    <row r="11581" spans="5:23" x14ac:dyDescent="0.25">
      <c r="E11581" s="4"/>
      <c r="F11581" s="4"/>
      <c r="G11581" s="33" t="str">
        <f>IFERROR(VLOOKUP($D11581,'Informations sur les produits'!$A$3:$H$10000,8,FALSE),"0")</f>
        <v>0</v>
      </c>
      <c r="K11581" s="4"/>
      <c r="L11581" s="33" t="str">
        <f>IFERROR(VLOOKUP($J11581,'Informations sur les produits'!$A$3:$H$10000,8,FALSE),"0")</f>
        <v>0</v>
      </c>
      <c r="N11581" s="8"/>
      <c r="O11581" s="33" t="str">
        <f>IFERROR(VLOOKUP($M11581,'Informations sur les produits'!$A$3:$H$10000,8,FALSE),"0")</f>
        <v>0</v>
      </c>
      <c r="P11581" s="33">
        <f t="shared" si="720"/>
        <v>0</v>
      </c>
      <c r="Q11581" s="31" t="str">
        <f t="shared" si="721"/>
        <v/>
      </c>
      <c r="R11581" s="32" t="str">
        <f>IFERROR(VLOOKUP($D11581,'Informations sur les produits'!$A$3:$B$15000,2,FALSE),"")</f>
        <v/>
      </c>
      <c r="V11581">
        <f t="shared" si="722"/>
        <v>0</v>
      </c>
      <c r="W11581">
        <f t="shared" si="723"/>
        <v>0</v>
      </c>
    </row>
    <row r="11582" spans="5:23" x14ac:dyDescent="0.25">
      <c r="E11582" s="4"/>
      <c r="F11582" s="4"/>
      <c r="G11582" s="33" t="str">
        <f>IFERROR(VLOOKUP($D11582,'Informations sur les produits'!$A$3:$H$10000,8,FALSE),"0")</f>
        <v>0</v>
      </c>
      <c r="K11582" s="4"/>
      <c r="L11582" s="33" t="str">
        <f>IFERROR(VLOOKUP($J11582,'Informations sur les produits'!$A$3:$H$10000,8,FALSE),"0")</f>
        <v>0</v>
      </c>
      <c r="N11582" s="8"/>
      <c r="O11582" s="33" t="str">
        <f>IFERROR(VLOOKUP($M11582,'Informations sur les produits'!$A$3:$H$10000,8,FALSE),"0")</f>
        <v>0</v>
      </c>
      <c r="P11582" s="33">
        <f t="shared" si="720"/>
        <v>0</v>
      </c>
      <c r="Q11582" s="31" t="str">
        <f t="shared" si="721"/>
        <v/>
      </c>
      <c r="R11582" s="32" t="str">
        <f>IFERROR(VLOOKUP($D11582,'Informations sur les produits'!$A$3:$B$15000,2,FALSE),"")</f>
        <v/>
      </c>
      <c r="V11582">
        <f t="shared" si="722"/>
        <v>0</v>
      </c>
      <c r="W11582">
        <f t="shared" si="723"/>
        <v>0</v>
      </c>
    </row>
    <row r="11583" spans="5:23" x14ac:dyDescent="0.25">
      <c r="E11583" s="4"/>
      <c r="F11583" s="4"/>
      <c r="G11583" s="33" t="str">
        <f>IFERROR(VLOOKUP($D11583,'Informations sur les produits'!$A$3:$H$10000,8,FALSE),"0")</f>
        <v>0</v>
      </c>
      <c r="K11583" s="4"/>
      <c r="L11583" s="33" t="str">
        <f>IFERROR(VLOOKUP($J11583,'Informations sur les produits'!$A$3:$H$10000,8,FALSE),"0")</f>
        <v>0</v>
      </c>
      <c r="N11583" s="8"/>
      <c r="O11583" s="33" t="str">
        <f>IFERROR(VLOOKUP($M11583,'Informations sur les produits'!$A$3:$H$10000,8,FALSE),"0")</f>
        <v>0</v>
      </c>
      <c r="P11583" s="33">
        <f t="shared" si="720"/>
        <v>0</v>
      </c>
      <c r="Q11583" s="31" t="str">
        <f t="shared" si="721"/>
        <v/>
      </c>
      <c r="R11583" s="32" t="str">
        <f>IFERROR(VLOOKUP($D11583,'Informations sur les produits'!$A$3:$B$15000,2,FALSE),"")</f>
        <v/>
      </c>
      <c r="V11583">
        <f t="shared" si="722"/>
        <v>0</v>
      </c>
      <c r="W11583">
        <f t="shared" si="723"/>
        <v>0</v>
      </c>
    </row>
    <row r="11584" spans="5:23" x14ac:dyDescent="0.25">
      <c r="E11584" s="4"/>
      <c r="F11584" s="4"/>
      <c r="G11584" s="33" t="str">
        <f>IFERROR(VLOOKUP($D11584,'Informations sur les produits'!$A$3:$H$10000,8,FALSE),"0")</f>
        <v>0</v>
      </c>
      <c r="K11584" s="4"/>
      <c r="L11584" s="33" t="str">
        <f>IFERROR(VLOOKUP($J11584,'Informations sur les produits'!$A$3:$H$10000,8,FALSE),"0")</f>
        <v>0</v>
      </c>
      <c r="N11584" s="8"/>
      <c r="O11584" s="33" t="str">
        <f>IFERROR(VLOOKUP($M11584,'Informations sur les produits'!$A$3:$H$10000,8,FALSE),"0")</f>
        <v>0</v>
      </c>
      <c r="P11584" s="33">
        <f t="shared" si="720"/>
        <v>0</v>
      </c>
      <c r="Q11584" s="31" t="str">
        <f t="shared" si="721"/>
        <v/>
      </c>
      <c r="R11584" s="32" t="str">
        <f>IFERROR(VLOOKUP($D11584,'Informations sur les produits'!$A$3:$B$15000,2,FALSE),"")</f>
        <v/>
      </c>
      <c r="V11584">
        <f t="shared" si="722"/>
        <v>0</v>
      </c>
      <c r="W11584">
        <f t="shared" si="723"/>
        <v>0</v>
      </c>
    </row>
    <row r="11585" spans="5:23" x14ac:dyDescent="0.25">
      <c r="E11585" s="4"/>
      <c r="F11585" s="4"/>
      <c r="G11585" s="33" t="str">
        <f>IFERROR(VLOOKUP($D11585,'Informations sur les produits'!$A$3:$H$10000,8,FALSE),"0")</f>
        <v>0</v>
      </c>
      <c r="K11585" s="4"/>
      <c r="L11585" s="33" t="str">
        <f>IFERROR(VLOOKUP($J11585,'Informations sur les produits'!$A$3:$H$10000,8,FALSE),"0")</f>
        <v>0</v>
      </c>
      <c r="N11585" s="8"/>
      <c r="O11585" s="33" t="str">
        <f>IFERROR(VLOOKUP($M11585,'Informations sur les produits'!$A$3:$H$10000,8,FALSE),"0")</f>
        <v>0</v>
      </c>
      <c r="P11585" s="33">
        <f t="shared" si="720"/>
        <v>0</v>
      </c>
      <c r="Q11585" s="31" t="str">
        <f t="shared" si="721"/>
        <v/>
      </c>
      <c r="R11585" s="32" t="str">
        <f>IFERROR(VLOOKUP($D11585,'Informations sur les produits'!$A$3:$B$15000,2,FALSE),"")</f>
        <v/>
      </c>
      <c r="V11585">
        <f t="shared" si="722"/>
        <v>0</v>
      </c>
      <c r="W11585">
        <f t="shared" si="723"/>
        <v>0</v>
      </c>
    </row>
    <row r="11586" spans="5:23" x14ac:dyDescent="0.25">
      <c r="E11586" s="4"/>
      <c r="F11586" s="4"/>
      <c r="G11586" s="33" t="str">
        <f>IFERROR(VLOOKUP($D11586,'Informations sur les produits'!$A$3:$H$10000,8,FALSE),"0")</f>
        <v>0</v>
      </c>
      <c r="K11586" s="4"/>
      <c r="L11586" s="33" t="str">
        <f>IFERROR(VLOOKUP($J11586,'Informations sur les produits'!$A$3:$H$10000,8,FALSE),"0")</f>
        <v>0</v>
      </c>
      <c r="N11586" s="8"/>
      <c r="O11586" s="33" t="str">
        <f>IFERROR(VLOOKUP($M11586,'Informations sur les produits'!$A$3:$H$10000,8,FALSE),"0")</f>
        <v>0</v>
      </c>
      <c r="P11586" s="33">
        <f t="shared" si="720"/>
        <v>0</v>
      </c>
      <c r="Q11586" s="31" t="str">
        <f t="shared" si="721"/>
        <v/>
      </c>
      <c r="R11586" s="32" t="str">
        <f>IFERROR(VLOOKUP($D11586,'Informations sur les produits'!$A$3:$B$15000,2,FALSE),"")</f>
        <v/>
      </c>
      <c r="V11586">
        <f t="shared" si="722"/>
        <v>0</v>
      </c>
      <c r="W11586">
        <f t="shared" si="723"/>
        <v>0</v>
      </c>
    </row>
    <row r="11587" spans="5:23" x14ac:dyDescent="0.25">
      <c r="E11587" s="4"/>
      <c r="F11587" s="4"/>
      <c r="G11587" s="33" t="str">
        <f>IFERROR(VLOOKUP($D11587,'Informations sur les produits'!$A$3:$H$10000,8,FALSE),"0")</f>
        <v>0</v>
      </c>
      <c r="K11587" s="4"/>
      <c r="L11587" s="33" t="str">
        <f>IFERROR(VLOOKUP($J11587,'Informations sur les produits'!$A$3:$H$10000,8,FALSE),"0")</f>
        <v>0</v>
      </c>
      <c r="N11587" s="8"/>
      <c r="O11587" s="33" t="str">
        <f>IFERROR(VLOOKUP($M11587,'Informations sur les produits'!$A$3:$H$10000,8,FALSE),"0")</f>
        <v>0</v>
      </c>
      <c r="P11587" s="33">
        <f t="shared" si="720"/>
        <v>0</v>
      </c>
      <c r="Q11587" s="31" t="str">
        <f t="shared" si="721"/>
        <v/>
      </c>
      <c r="R11587" s="32" t="str">
        <f>IFERROR(VLOOKUP($D11587,'Informations sur les produits'!$A$3:$B$15000,2,FALSE),"")</f>
        <v/>
      </c>
      <c r="V11587">
        <f t="shared" si="722"/>
        <v>0</v>
      </c>
      <c r="W11587">
        <f t="shared" si="723"/>
        <v>0</v>
      </c>
    </row>
    <row r="11588" spans="5:23" x14ac:dyDescent="0.25">
      <c r="E11588" s="4"/>
      <c r="F11588" s="4"/>
      <c r="G11588" s="33" t="str">
        <f>IFERROR(VLOOKUP($D11588,'Informations sur les produits'!$A$3:$H$10000,8,FALSE),"0")</f>
        <v>0</v>
      </c>
      <c r="K11588" s="4"/>
      <c r="L11588" s="33" t="str">
        <f>IFERROR(VLOOKUP($J11588,'Informations sur les produits'!$A$3:$H$10000,8,FALSE),"0")</f>
        <v>0</v>
      </c>
      <c r="N11588" s="8"/>
      <c r="O11588" s="33" t="str">
        <f>IFERROR(VLOOKUP($M11588,'Informations sur les produits'!$A$3:$H$10000,8,FALSE),"0")</f>
        <v>0</v>
      </c>
      <c r="P11588" s="33">
        <f t="shared" ref="P11588:P11651" si="724">IFERROR((($E11588-$F11588)*$G11588+$K11588*$L11588+$N11588*$O11588),"")</f>
        <v>0</v>
      </c>
      <c r="Q11588" s="31" t="str">
        <f t="shared" ref="Q11588:Q11651" si="725">IFERROR((((($E11588-$F11588)*$G11588+$K11588*$L11588+$N11588*$O11588)*1000)/(($E11588-$F11588)+$K11588+$N11588)),"")</f>
        <v/>
      </c>
      <c r="R11588" s="32" t="str">
        <f>IFERROR(VLOOKUP($D11588,'Informations sur les produits'!$A$3:$B$15000,2,FALSE),"")</f>
        <v/>
      </c>
      <c r="V11588">
        <f t="shared" ref="V11588:V11651" si="726">IFERROR(P11588*1000,"")</f>
        <v>0</v>
      </c>
      <c r="W11588">
        <f t="shared" ref="W11588:W11651" si="727">IFERROR(($E11588-$F11588)+$K11588+$N11588,"")</f>
        <v>0</v>
      </c>
    </row>
    <row r="11589" spans="5:23" x14ac:dyDescent="0.25">
      <c r="E11589" s="4"/>
      <c r="F11589" s="4"/>
      <c r="G11589" s="33" t="str">
        <f>IFERROR(VLOOKUP($D11589,'Informations sur les produits'!$A$3:$H$10000,8,FALSE),"0")</f>
        <v>0</v>
      </c>
      <c r="K11589" s="4"/>
      <c r="L11589" s="33" t="str">
        <f>IFERROR(VLOOKUP($J11589,'Informations sur les produits'!$A$3:$H$10000,8,FALSE),"0")</f>
        <v>0</v>
      </c>
      <c r="N11589" s="8"/>
      <c r="O11589" s="33" t="str">
        <f>IFERROR(VLOOKUP($M11589,'Informations sur les produits'!$A$3:$H$10000,8,FALSE),"0")</f>
        <v>0</v>
      </c>
      <c r="P11589" s="33">
        <f t="shared" si="724"/>
        <v>0</v>
      </c>
      <c r="Q11589" s="31" t="str">
        <f t="shared" si="725"/>
        <v/>
      </c>
      <c r="R11589" s="32" t="str">
        <f>IFERROR(VLOOKUP($D11589,'Informations sur les produits'!$A$3:$B$15000,2,FALSE),"")</f>
        <v/>
      </c>
      <c r="V11589">
        <f t="shared" si="726"/>
        <v>0</v>
      </c>
      <c r="W11589">
        <f t="shared" si="727"/>
        <v>0</v>
      </c>
    </row>
    <row r="11590" spans="5:23" x14ac:dyDescent="0.25">
      <c r="E11590" s="4"/>
      <c r="F11590" s="4"/>
      <c r="G11590" s="33" t="str">
        <f>IFERROR(VLOOKUP($D11590,'Informations sur les produits'!$A$3:$H$10000,8,FALSE),"0")</f>
        <v>0</v>
      </c>
      <c r="K11590" s="4"/>
      <c r="L11590" s="33" t="str">
        <f>IFERROR(VLOOKUP($J11590,'Informations sur les produits'!$A$3:$H$10000,8,FALSE),"0")</f>
        <v>0</v>
      </c>
      <c r="N11590" s="8"/>
      <c r="O11590" s="33" t="str">
        <f>IFERROR(VLOOKUP($M11590,'Informations sur les produits'!$A$3:$H$10000,8,FALSE),"0")</f>
        <v>0</v>
      </c>
      <c r="P11590" s="33">
        <f t="shared" si="724"/>
        <v>0</v>
      </c>
      <c r="Q11590" s="31" t="str">
        <f t="shared" si="725"/>
        <v/>
      </c>
      <c r="R11590" s="32" t="str">
        <f>IFERROR(VLOOKUP($D11590,'Informations sur les produits'!$A$3:$B$15000,2,FALSE),"")</f>
        <v/>
      </c>
      <c r="V11590">
        <f t="shared" si="726"/>
        <v>0</v>
      </c>
      <c r="W11590">
        <f t="shared" si="727"/>
        <v>0</v>
      </c>
    </row>
    <row r="11591" spans="5:23" x14ac:dyDescent="0.25">
      <c r="E11591" s="4"/>
      <c r="F11591" s="4"/>
      <c r="G11591" s="33" t="str">
        <f>IFERROR(VLOOKUP($D11591,'Informations sur les produits'!$A$3:$H$10000,8,FALSE),"0")</f>
        <v>0</v>
      </c>
      <c r="K11591" s="4"/>
      <c r="L11591" s="33" t="str">
        <f>IFERROR(VLOOKUP($J11591,'Informations sur les produits'!$A$3:$H$10000,8,FALSE),"0")</f>
        <v>0</v>
      </c>
      <c r="N11591" s="8"/>
      <c r="O11591" s="33" t="str">
        <f>IFERROR(VLOOKUP($M11591,'Informations sur les produits'!$A$3:$H$10000,8,FALSE),"0")</f>
        <v>0</v>
      </c>
      <c r="P11591" s="33">
        <f t="shared" si="724"/>
        <v>0</v>
      </c>
      <c r="Q11591" s="31" t="str">
        <f t="shared" si="725"/>
        <v/>
      </c>
      <c r="R11591" s="32" t="str">
        <f>IFERROR(VLOOKUP($D11591,'Informations sur les produits'!$A$3:$B$15000,2,FALSE),"")</f>
        <v/>
      </c>
      <c r="V11591">
        <f t="shared" si="726"/>
        <v>0</v>
      </c>
      <c r="W11591">
        <f t="shared" si="727"/>
        <v>0</v>
      </c>
    </row>
    <row r="11592" spans="5:23" x14ac:dyDescent="0.25">
      <c r="E11592" s="4"/>
      <c r="F11592" s="4"/>
      <c r="G11592" s="33" t="str">
        <f>IFERROR(VLOOKUP($D11592,'Informations sur les produits'!$A$3:$H$10000,8,FALSE),"0")</f>
        <v>0</v>
      </c>
      <c r="K11592" s="4"/>
      <c r="L11592" s="33" t="str">
        <f>IFERROR(VLOOKUP($J11592,'Informations sur les produits'!$A$3:$H$10000,8,FALSE),"0")</f>
        <v>0</v>
      </c>
      <c r="N11592" s="8"/>
      <c r="O11592" s="33" t="str">
        <f>IFERROR(VLOOKUP($M11592,'Informations sur les produits'!$A$3:$H$10000,8,FALSE),"0")</f>
        <v>0</v>
      </c>
      <c r="P11592" s="33">
        <f t="shared" si="724"/>
        <v>0</v>
      </c>
      <c r="Q11592" s="31" t="str">
        <f t="shared" si="725"/>
        <v/>
      </c>
      <c r="R11592" s="32" t="str">
        <f>IFERROR(VLOOKUP($D11592,'Informations sur les produits'!$A$3:$B$15000,2,FALSE),"")</f>
        <v/>
      </c>
      <c r="V11592">
        <f t="shared" si="726"/>
        <v>0</v>
      </c>
      <c r="W11592">
        <f t="shared" si="727"/>
        <v>0</v>
      </c>
    </row>
    <row r="11593" spans="5:23" x14ac:dyDescent="0.25">
      <c r="E11593" s="4"/>
      <c r="F11593" s="4"/>
      <c r="G11593" s="33" t="str">
        <f>IFERROR(VLOOKUP($D11593,'Informations sur les produits'!$A$3:$H$10000,8,FALSE),"0")</f>
        <v>0</v>
      </c>
      <c r="K11593" s="4"/>
      <c r="L11593" s="33" t="str">
        <f>IFERROR(VLOOKUP($J11593,'Informations sur les produits'!$A$3:$H$10000,8,FALSE),"0")</f>
        <v>0</v>
      </c>
      <c r="N11593" s="8"/>
      <c r="O11593" s="33" t="str">
        <f>IFERROR(VLOOKUP($M11593,'Informations sur les produits'!$A$3:$H$10000,8,FALSE),"0")</f>
        <v>0</v>
      </c>
      <c r="P11593" s="33">
        <f t="shared" si="724"/>
        <v>0</v>
      </c>
      <c r="Q11593" s="31" t="str">
        <f t="shared" si="725"/>
        <v/>
      </c>
      <c r="R11593" s="32" t="str">
        <f>IFERROR(VLOOKUP($D11593,'Informations sur les produits'!$A$3:$B$15000,2,FALSE),"")</f>
        <v/>
      </c>
      <c r="V11593">
        <f t="shared" si="726"/>
        <v>0</v>
      </c>
      <c r="W11593">
        <f t="shared" si="727"/>
        <v>0</v>
      </c>
    </row>
    <row r="11594" spans="5:23" x14ac:dyDescent="0.25">
      <c r="E11594" s="4"/>
      <c r="F11594" s="4"/>
      <c r="G11594" s="33" t="str">
        <f>IFERROR(VLOOKUP($D11594,'Informations sur les produits'!$A$3:$H$10000,8,FALSE),"0")</f>
        <v>0</v>
      </c>
      <c r="K11594" s="4"/>
      <c r="L11594" s="33" t="str">
        <f>IFERROR(VLOOKUP($J11594,'Informations sur les produits'!$A$3:$H$10000,8,FALSE),"0")</f>
        <v>0</v>
      </c>
      <c r="N11594" s="8"/>
      <c r="O11594" s="33" t="str">
        <f>IFERROR(VLOOKUP($M11594,'Informations sur les produits'!$A$3:$H$10000,8,FALSE),"0")</f>
        <v>0</v>
      </c>
      <c r="P11594" s="33">
        <f t="shared" si="724"/>
        <v>0</v>
      </c>
      <c r="Q11594" s="31" t="str">
        <f t="shared" si="725"/>
        <v/>
      </c>
      <c r="R11594" s="32" t="str">
        <f>IFERROR(VLOOKUP($D11594,'Informations sur les produits'!$A$3:$B$15000,2,FALSE),"")</f>
        <v/>
      </c>
      <c r="V11594">
        <f t="shared" si="726"/>
        <v>0</v>
      </c>
      <c r="W11594">
        <f t="shared" si="727"/>
        <v>0</v>
      </c>
    </row>
    <row r="11595" spans="5:23" x14ac:dyDescent="0.25">
      <c r="E11595" s="4"/>
      <c r="F11595" s="4"/>
      <c r="G11595" s="33" t="str">
        <f>IFERROR(VLOOKUP($D11595,'Informations sur les produits'!$A$3:$H$10000,8,FALSE),"0")</f>
        <v>0</v>
      </c>
      <c r="K11595" s="4"/>
      <c r="L11595" s="33" t="str">
        <f>IFERROR(VLOOKUP($J11595,'Informations sur les produits'!$A$3:$H$10000,8,FALSE),"0")</f>
        <v>0</v>
      </c>
      <c r="N11595" s="8"/>
      <c r="O11595" s="33" t="str">
        <f>IFERROR(VLOOKUP($M11595,'Informations sur les produits'!$A$3:$H$10000,8,FALSE),"0")</f>
        <v>0</v>
      </c>
      <c r="P11595" s="33">
        <f t="shared" si="724"/>
        <v>0</v>
      </c>
      <c r="Q11595" s="31" t="str">
        <f t="shared" si="725"/>
        <v/>
      </c>
      <c r="R11595" s="32" t="str">
        <f>IFERROR(VLOOKUP($D11595,'Informations sur les produits'!$A$3:$B$15000,2,FALSE),"")</f>
        <v/>
      </c>
      <c r="V11595">
        <f t="shared" si="726"/>
        <v>0</v>
      </c>
      <c r="W11595">
        <f t="shared" si="727"/>
        <v>0</v>
      </c>
    </row>
    <row r="11596" spans="5:23" x14ac:dyDescent="0.25">
      <c r="E11596" s="4"/>
      <c r="F11596" s="4"/>
      <c r="G11596" s="33" t="str">
        <f>IFERROR(VLOOKUP($D11596,'Informations sur les produits'!$A$3:$H$10000,8,FALSE),"0")</f>
        <v>0</v>
      </c>
      <c r="K11596" s="4"/>
      <c r="L11596" s="33" t="str">
        <f>IFERROR(VLOOKUP($J11596,'Informations sur les produits'!$A$3:$H$10000,8,FALSE),"0")</f>
        <v>0</v>
      </c>
      <c r="N11596" s="8"/>
      <c r="O11596" s="33" t="str">
        <f>IFERROR(VLOOKUP($M11596,'Informations sur les produits'!$A$3:$H$10000,8,FALSE),"0")</f>
        <v>0</v>
      </c>
      <c r="P11596" s="33">
        <f t="shared" si="724"/>
        <v>0</v>
      </c>
      <c r="Q11596" s="31" t="str">
        <f t="shared" si="725"/>
        <v/>
      </c>
      <c r="R11596" s="32" t="str">
        <f>IFERROR(VLOOKUP($D11596,'Informations sur les produits'!$A$3:$B$15000,2,FALSE),"")</f>
        <v/>
      </c>
      <c r="V11596">
        <f t="shared" si="726"/>
        <v>0</v>
      </c>
      <c r="W11596">
        <f t="shared" si="727"/>
        <v>0</v>
      </c>
    </row>
    <row r="11597" spans="5:23" x14ac:dyDescent="0.25">
      <c r="E11597" s="4"/>
      <c r="F11597" s="4"/>
      <c r="G11597" s="33" t="str">
        <f>IFERROR(VLOOKUP($D11597,'Informations sur les produits'!$A$3:$H$10000,8,FALSE),"0")</f>
        <v>0</v>
      </c>
      <c r="K11597" s="4"/>
      <c r="L11597" s="33" t="str">
        <f>IFERROR(VLOOKUP($J11597,'Informations sur les produits'!$A$3:$H$10000,8,FALSE),"0")</f>
        <v>0</v>
      </c>
      <c r="N11597" s="8"/>
      <c r="O11597" s="33" t="str">
        <f>IFERROR(VLOOKUP($M11597,'Informations sur les produits'!$A$3:$H$10000,8,FALSE),"0")</f>
        <v>0</v>
      </c>
      <c r="P11597" s="33">
        <f t="shared" si="724"/>
        <v>0</v>
      </c>
      <c r="Q11597" s="31" t="str">
        <f t="shared" si="725"/>
        <v/>
      </c>
      <c r="R11597" s="32" t="str">
        <f>IFERROR(VLOOKUP($D11597,'Informations sur les produits'!$A$3:$B$15000,2,FALSE),"")</f>
        <v/>
      </c>
      <c r="V11597">
        <f t="shared" si="726"/>
        <v>0</v>
      </c>
      <c r="W11597">
        <f t="shared" si="727"/>
        <v>0</v>
      </c>
    </row>
    <row r="11598" spans="5:23" x14ac:dyDescent="0.25">
      <c r="E11598" s="4"/>
      <c r="F11598" s="4"/>
      <c r="G11598" s="33" t="str">
        <f>IFERROR(VLOOKUP($D11598,'Informations sur les produits'!$A$3:$H$10000,8,FALSE),"0")</f>
        <v>0</v>
      </c>
      <c r="K11598" s="4"/>
      <c r="L11598" s="33" t="str">
        <f>IFERROR(VLOOKUP($J11598,'Informations sur les produits'!$A$3:$H$10000,8,FALSE),"0")</f>
        <v>0</v>
      </c>
      <c r="N11598" s="8"/>
      <c r="O11598" s="33" t="str">
        <f>IFERROR(VLOOKUP($M11598,'Informations sur les produits'!$A$3:$H$10000,8,FALSE),"0")</f>
        <v>0</v>
      </c>
      <c r="P11598" s="33">
        <f t="shared" si="724"/>
        <v>0</v>
      </c>
      <c r="Q11598" s="31" t="str">
        <f t="shared" si="725"/>
        <v/>
      </c>
      <c r="R11598" s="32" t="str">
        <f>IFERROR(VLOOKUP($D11598,'Informations sur les produits'!$A$3:$B$15000,2,FALSE),"")</f>
        <v/>
      </c>
      <c r="V11598">
        <f t="shared" si="726"/>
        <v>0</v>
      </c>
      <c r="W11598">
        <f t="shared" si="727"/>
        <v>0</v>
      </c>
    </row>
    <row r="11599" spans="5:23" x14ac:dyDescent="0.25">
      <c r="E11599" s="4"/>
      <c r="F11599" s="4"/>
      <c r="G11599" s="33" t="str">
        <f>IFERROR(VLOOKUP($D11599,'Informations sur les produits'!$A$3:$H$10000,8,FALSE),"0")</f>
        <v>0</v>
      </c>
      <c r="K11599" s="4"/>
      <c r="L11599" s="33" t="str">
        <f>IFERROR(VLOOKUP($J11599,'Informations sur les produits'!$A$3:$H$10000,8,FALSE),"0")</f>
        <v>0</v>
      </c>
      <c r="N11599" s="8"/>
      <c r="O11599" s="33" t="str">
        <f>IFERROR(VLOOKUP($M11599,'Informations sur les produits'!$A$3:$H$10000,8,FALSE),"0")</f>
        <v>0</v>
      </c>
      <c r="P11599" s="33">
        <f t="shared" si="724"/>
        <v>0</v>
      </c>
      <c r="Q11599" s="31" t="str">
        <f t="shared" si="725"/>
        <v/>
      </c>
      <c r="R11599" s="32" t="str">
        <f>IFERROR(VLOOKUP($D11599,'Informations sur les produits'!$A$3:$B$15000,2,FALSE),"")</f>
        <v/>
      </c>
      <c r="V11599">
        <f t="shared" si="726"/>
        <v>0</v>
      </c>
      <c r="W11599">
        <f t="shared" si="727"/>
        <v>0</v>
      </c>
    </row>
    <row r="11600" spans="5:23" x14ac:dyDescent="0.25">
      <c r="E11600" s="4"/>
      <c r="F11600" s="4"/>
      <c r="G11600" s="33" t="str">
        <f>IFERROR(VLOOKUP($D11600,'Informations sur les produits'!$A$3:$H$10000,8,FALSE),"0")</f>
        <v>0</v>
      </c>
      <c r="K11600" s="4"/>
      <c r="L11600" s="33" t="str">
        <f>IFERROR(VLOOKUP($J11600,'Informations sur les produits'!$A$3:$H$10000,8,FALSE),"0")</f>
        <v>0</v>
      </c>
      <c r="N11600" s="8"/>
      <c r="O11600" s="33" t="str">
        <f>IFERROR(VLOOKUP($M11600,'Informations sur les produits'!$A$3:$H$10000,8,FALSE),"0")</f>
        <v>0</v>
      </c>
      <c r="P11600" s="33">
        <f t="shared" si="724"/>
        <v>0</v>
      </c>
      <c r="Q11600" s="31" t="str">
        <f t="shared" si="725"/>
        <v/>
      </c>
      <c r="R11600" s="32" t="str">
        <f>IFERROR(VLOOKUP($D11600,'Informations sur les produits'!$A$3:$B$15000,2,FALSE),"")</f>
        <v/>
      </c>
      <c r="V11600">
        <f t="shared" si="726"/>
        <v>0</v>
      </c>
      <c r="W11600">
        <f t="shared" si="727"/>
        <v>0</v>
      </c>
    </row>
    <row r="11601" spans="5:23" x14ac:dyDescent="0.25">
      <c r="E11601" s="4"/>
      <c r="F11601" s="4"/>
      <c r="G11601" s="33" t="str">
        <f>IFERROR(VLOOKUP($D11601,'Informations sur les produits'!$A$3:$H$10000,8,FALSE),"0")</f>
        <v>0</v>
      </c>
      <c r="K11601" s="4"/>
      <c r="L11601" s="33" t="str">
        <f>IFERROR(VLOOKUP($J11601,'Informations sur les produits'!$A$3:$H$10000,8,FALSE),"0")</f>
        <v>0</v>
      </c>
      <c r="N11601" s="8"/>
      <c r="O11601" s="33" t="str">
        <f>IFERROR(VLOOKUP($M11601,'Informations sur les produits'!$A$3:$H$10000,8,FALSE),"0")</f>
        <v>0</v>
      </c>
      <c r="P11601" s="33">
        <f t="shared" si="724"/>
        <v>0</v>
      </c>
      <c r="Q11601" s="31" t="str">
        <f t="shared" si="725"/>
        <v/>
      </c>
      <c r="R11601" s="32" t="str">
        <f>IFERROR(VLOOKUP($D11601,'Informations sur les produits'!$A$3:$B$15000,2,FALSE),"")</f>
        <v/>
      </c>
      <c r="V11601">
        <f t="shared" si="726"/>
        <v>0</v>
      </c>
      <c r="W11601">
        <f t="shared" si="727"/>
        <v>0</v>
      </c>
    </row>
    <row r="11602" spans="5:23" x14ac:dyDescent="0.25">
      <c r="E11602" s="4"/>
      <c r="F11602" s="4"/>
      <c r="G11602" s="33" t="str">
        <f>IFERROR(VLOOKUP($D11602,'Informations sur les produits'!$A$3:$H$10000,8,FALSE),"0")</f>
        <v>0</v>
      </c>
      <c r="K11602" s="4"/>
      <c r="L11602" s="33" t="str">
        <f>IFERROR(VLOOKUP($J11602,'Informations sur les produits'!$A$3:$H$10000,8,FALSE),"0")</f>
        <v>0</v>
      </c>
      <c r="N11602" s="8"/>
      <c r="O11602" s="33" t="str">
        <f>IFERROR(VLOOKUP($M11602,'Informations sur les produits'!$A$3:$H$10000,8,FALSE),"0")</f>
        <v>0</v>
      </c>
      <c r="P11602" s="33">
        <f t="shared" si="724"/>
        <v>0</v>
      </c>
      <c r="Q11602" s="31" t="str">
        <f t="shared" si="725"/>
        <v/>
      </c>
      <c r="R11602" s="32" t="str">
        <f>IFERROR(VLOOKUP($D11602,'Informations sur les produits'!$A$3:$B$15000,2,FALSE),"")</f>
        <v/>
      </c>
      <c r="V11602">
        <f t="shared" si="726"/>
        <v>0</v>
      </c>
      <c r="W11602">
        <f t="shared" si="727"/>
        <v>0</v>
      </c>
    </row>
    <row r="11603" spans="5:23" x14ac:dyDescent="0.25">
      <c r="E11603" s="4"/>
      <c r="F11603" s="4"/>
      <c r="G11603" s="33" t="str">
        <f>IFERROR(VLOOKUP($D11603,'Informations sur les produits'!$A$3:$H$10000,8,FALSE),"0")</f>
        <v>0</v>
      </c>
      <c r="K11603" s="4"/>
      <c r="L11603" s="33" t="str">
        <f>IFERROR(VLOOKUP($J11603,'Informations sur les produits'!$A$3:$H$10000,8,FALSE),"0")</f>
        <v>0</v>
      </c>
      <c r="N11603" s="8"/>
      <c r="O11603" s="33" t="str">
        <f>IFERROR(VLOOKUP($M11603,'Informations sur les produits'!$A$3:$H$10000,8,FALSE),"0")</f>
        <v>0</v>
      </c>
      <c r="P11603" s="33">
        <f t="shared" si="724"/>
        <v>0</v>
      </c>
      <c r="Q11603" s="31" t="str">
        <f t="shared" si="725"/>
        <v/>
      </c>
      <c r="R11603" s="32" t="str">
        <f>IFERROR(VLOOKUP($D11603,'Informations sur les produits'!$A$3:$B$15000,2,FALSE),"")</f>
        <v/>
      </c>
      <c r="V11603">
        <f t="shared" si="726"/>
        <v>0</v>
      </c>
      <c r="W11603">
        <f t="shared" si="727"/>
        <v>0</v>
      </c>
    </row>
    <row r="11604" spans="5:23" x14ac:dyDescent="0.25">
      <c r="E11604" s="4"/>
      <c r="F11604" s="4"/>
      <c r="G11604" s="33" t="str">
        <f>IFERROR(VLOOKUP($D11604,'Informations sur les produits'!$A$3:$H$10000,8,FALSE),"0")</f>
        <v>0</v>
      </c>
      <c r="K11604" s="4"/>
      <c r="L11604" s="33" t="str">
        <f>IFERROR(VLOOKUP($J11604,'Informations sur les produits'!$A$3:$H$10000,8,FALSE),"0")</f>
        <v>0</v>
      </c>
      <c r="N11604" s="8"/>
      <c r="O11604" s="33" t="str">
        <f>IFERROR(VLOOKUP($M11604,'Informations sur les produits'!$A$3:$H$10000,8,FALSE),"0")</f>
        <v>0</v>
      </c>
      <c r="P11604" s="33">
        <f t="shared" si="724"/>
        <v>0</v>
      </c>
      <c r="Q11604" s="31" t="str">
        <f t="shared" si="725"/>
        <v/>
      </c>
      <c r="R11604" s="32" t="str">
        <f>IFERROR(VLOOKUP($D11604,'Informations sur les produits'!$A$3:$B$15000,2,FALSE),"")</f>
        <v/>
      </c>
      <c r="V11604">
        <f t="shared" si="726"/>
        <v>0</v>
      </c>
      <c r="W11604">
        <f t="shared" si="727"/>
        <v>0</v>
      </c>
    </row>
    <row r="11605" spans="5:23" x14ac:dyDescent="0.25">
      <c r="E11605" s="4"/>
      <c r="F11605" s="4"/>
      <c r="G11605" s="33" t="str">
        <f>IFERROR(VLOOKUP($D11605,'Informations sur les produits'!$A$3:$H$10000,8,FALSE),"0")</f>
        <v>0</v>
      </c>
      <c r="K11605" s="4"/>
      <c r="L11605" s="33" t="str">
        <f>IFERROR(VLOOKUP($J11605,'Informations sur les produits'!$A$3:$H$10000,8,FALSE),"0")</f>
        <v>0</v>
      </c>
      <c r="N11605" s="8"/>
      <c r="O11605" s="33" t="str">
        <f>IFERROR(VLOOKUP($M11605,'Informations sur les produits'!$A$3:$H$10000,8,FALSE),"0")</f>
        <v>0</v>
      </c>
      <c r="P11605" s="33">
        <f t="shared" si="724"/>
        <v>0</v>
      </c>
      <c r="Q11605" s="31" t="str">
        <f t="shared" si="725"/>
        <v/>
      </c>
      <c r="R11605" s="32" t="str">
        <f>IFERROR(VLOOKUP($D11605,'Informations sur les produits'!$A$3:$B$15000,2,FALSE),"")</f>
        <v/>
      </c>
      <c r="V11605">
        <f t="shared" si="726"/>
        <v>0</v>
      </c>
      <c r="W11605">
        <f t="shared" si="727"/>
        <v>0</v>
      </c>
    </row>
    <row r="11606" spans="5:23" x14ac:dyDescent="0.25">
      <c r="E11606" s="4"/>
      <c r="F11606" s="4"/>
      <c r="G11606" s="33" t="str">
        <f>IFERROR(VLOOKUP($D11606,'Informations sur les produits'!$A$3:$H$10000,8,FALSE),"0")</f>
        <v>0</v>
      </c>
      <c r="K11606" s="4"/>
      <c r="L11606" s="33" t="str">
        <f>IFERROR(VLOOKUP($J11606,'Informations sur les produits'!$A$3:$H$10000,8,FALSE),"0")</f>
        <v>0</v>
      </c>
      <c r="N11606" s="8"/>
      <c r="O11606" s="33" t="str">
        <f>IFERROR(VLOOKUP($M11606,'Informations sur les produits'!$A$3:$H$10000,8,FALSE),"0")</f>
        <v>0</v>
      </c>
      <c r="P11606" s="33">
        <f t="shared" si="724"/>
        <v>0</v>
      </c>
      <c r="Q11606" s="31" t="str">
        <f t="shared" si="725"/>
        <v/>
      </c>
      <c r="R11606" s="32" t="str">
        <f>IFERROR(VLOOKUP($D11606,'Informations sur les produits'!$A$3:$B$15000,2,FALSE),"")</f>
        <v/>
      </c>
      <c r="V11606">
        <f t="shared" si="726"/>
        <v>0</v>
      </c>
      <c r="W11606">
        <f t="shared" si="727"/>
        <v>0</v>
      </c>
    </row>
    <row r="11607" spans="5:23" x14ac:dyDescent="0.25">
      <c r="E11607" s="4"/>
      <c r="F11607" s="4"/>
      <c r="G11607" s="33" t="str">
        <f>IFERROR(VLOOKUP($D11607,'Informations sur les produits'!$A$3:$H$10000,8,FALSE),"0")</f>
        <v>0</v>
      </c>
      <c r="K11607" s="4"/>
      <c r="L11607" s="33" t="str">
        <f>IFERROR(VLOOKUP($J11607,'Informations sur les produits'!$A$3:$H$10000,8,FALSE),"0")</f>
        <v>0</v>
      </c>
      <c r="N11607" s="8"/>
      <c r="O11607" s="33" t="str">
        <f>IFERROR(VLOOKUP($M11607,'Informations sur les produits'!$A$3:$H$10000,8,FALSE),"0")</f>
        <v>0</v>
      </c>
      <c r="P11607" s="33">
        <f t="shared" si="724"/>
        <v>0</v>
      </c>
      <c r="Q11607" s="31" t="str">
        <f t="shared" si="725"/>
        <v/>
      </c>
      <c r="R11607" s="32" t="str">
        <f>IFERROR(VLOOKUP($D11607,'Informations sur les produits'!$A$3:$B$15000,2,FALSE),"")</f>
        <v/>
      </c>
      <c r="V11607">
        <f t="shared" si="726"/>
        <v>0</v>
      </c>
      <c r="W11607">
        <f t="shared" si="727"/>
        <v>0</v>
      </c>
    </row>
    <row r="11608" spans="5:23" x14ac:dyDescent="0.25">
      <c r="E11608" s="4"/>
      <c r="F11608" s="4"/>
      <c r="G11608" s="33" t="str">
        <f>IFERROR(VLOOKUP($D11608,'Informations sur les produits'!$A$3:$H$10000,8,FALSE),"0")</f>
        <v>0</v>
      </c>
      <c r="K11608" s="4"/>
      <c r="L11608" s="33" t="str">
        <f>IFERROR(VLOOKUP($J11608,'Informations sur les produits'!$A$3:$H$10000,8,FALSE),"0")</f>
        <v>0</v>
      </c>
      <c r="N11608" s="8"/>
      <c r="O11608" s="33" t="str">
        <f>IFERROR(VLOOKUP($M11608,'Informations sur les produits'!$A$3:$H$10000,8,FALSE),"0")</f>
        <v>0</v>
      </c>
      <c r="P11608" s="33">
        <f t="shared" si="724"/>
        <v>0</v>
      </c>
      <c r="Q11608" s="31" t="str">
        <f t="shared" si="725"/>
        <v/>
      </c>
      <c r="R11608" s="32" t="str">
        <f>IFERROR(VLOOKUP($D11608,'Informations sur les produits'!$A$3:$B$15000,2,FALSE),"")</f>
        <v/>
      </c>
      <c r="V11608">
        <f t="shared" si="726"/>
        <v>0</v>
      </c>
      <c r="W11608">
        <f t="shared" si="727"/>
        <v>0</v>
      </c>
    </row>
    <row r="11609" spans="5:23" x14ac:dyDescent="0.25">
      <c r="E11609" s="4"/>
      <c r="F11609" s="4"/>
      <c r="G11609" s="33" t="str">
        <f>IFERROR(VLOOKUP($D11609,'Informations sur les produits'!$A$3:$H$10000,8,FALSE),"0")</f>
        <v>0</v>
      </c>
      <c r="K11609" s="4"/>
      <c r="L11609" s="33" t="str">
        <f>IFERROR(VLOOKUP($J11609,'Informations sur les produits'!$A$3:$H$10000,8,FALSE),"0")</f>
        <v>0</v>
      </c>
      <c r="N11609" s="8"/>
      <c r="O11609" s="33" t="str">
        <f>IFERROR(VLOOKUP($M11609,'Informations sur les produits'!$A$3:$H$10000,8,FALSE),"0")</f>
        <v>0</v>
      </c>
      <c r="P11609" s="33">
        <f t="shared" si="724"/>
        <v>0</v>
      </c>
      <c r="Q11609" s="31" t="str">
        <f t="shared" si="725"/>
        <v/>
      </c>
      <c r="R11609" s="32" t="str">
        <f>IFERROR(VLOOKUP($D11609,'Informations sur les produits'!$A$3:$B$15000,2,FALSE),"")</f>
        <v/>
      </c>
      <c r="V11609">
        <f t="shared" si="726"/>
        <v>0</v>
      </c>
      <c r="W11609">
        <f t="shared" si="727"/>
        <v>0</v>
      </c>
    </row>
    <row r="11610" spans="5:23" x14ac:dyDescent="0.25">
      <c r="E11610" s="4"/>
      <c r="F11610" s="4"/>
      <c r="G11610" s="33" t="str">
        <f>IFERROR(VLOOKUP($D11610,'Informations sur les produits'!$A$3:$H$10000,8,FALSE),"0")</f>
        <v>0</v>
      </c>
      <c r="K11610" s="4"/>
      <c r="L11610" s="33" t="str">
        <f>IFERROR(VLOOKUP($J11610,'Informations sur les produits'!$A$3:$H$10000,8,FALSE),"0")</f>
        <v>0</v>
      </c>
      <c r="N11610" s="8"/>
      <c r="O11610" s="33" t="str">
        <f>IFERROR(VLOOKUP($M11610,'Informations sur les produits'!$A$3:$H$10000,8,FALSE),"0")</f>
        <v>0</v>
      </c>
      <c r="P11610" s="33">
        <f t="shared" si="724"/>
        <v>0</v>
      </c>
      <c r="Q11610" s="31" t="str">
        <f t="shared" si="725"/>
        <v/>
      </c>
      <c r="R11610" s="32" t="str">
        <f>IFERROR(VLOOKUP($D11610,'Informations sur les produits'!$A$3:$B$15000,2,FALSE),"")</f>
        <v/>
      </c>
      <c r="V11610">
        <f t="shared" si="726"/>
        <v>0</v>
      </c>
      <c r="W11610">
        <f t="shared" si="727"/>
        <v>0</v>
      </c>
    </row>
    <row r="11611" spans="5:23" x14ac:dyDescent="0.25">
      <c r="E11611" s="4"/>
      <c r="F11611" s="4"/>
      <c r="G11611" s="33" t="str">
        <f>IFERROR(VLOOKUP($D11611,'Informations sur les produits'!$A$3:$H$10000,8,FALSE),"0")</f>
        <v>0</v>
      </c>
      <c r="K11611" s="4"/>
      <c r="L11611" s="33" t="str">
        <f>IFERROR(VLOOKUP($J11611,'Informations sur les produits'!$A$3:$H$10000,8,FALSE),"0")</f>
        <v>0</v>
      </c>
      <c r="N11611" s="8"/>
      <c r="O11611" s="33" t="str">
        <f>IFERROR(VLOOKUP($M11611,'Informations sur les produits'!$A$3:$H$10000,8,FALSE),"0")</f>
        <v>0</v>
      </c>
      <c r="P11611" s="33">
        <f t="shared" si="724"/>
        <v>0</v>
      </c>
      <c r="Q11611" s="31" t="str">
        <f t="shared" si="725"/>
        <v/>
      </c>
      <c r="R11611" s="32" t="str">
        <f>IFERROR(VLOOKUP($D11611,'Informations sur les produits'!$A$3:$B$15000,2,FALSE),"")</f>
        <v/>
      </c>
      <c r="V11611">
        <f t="shared" si="726"/>
        <v>0</v>
      </c>
      <c r="W11611">
        <f t="shared" si="727"/>
        <v>0</v>
      </c>
    </row>
    <row r="11612" spans="5:23" x14ac:dyDescent="0.25">
      <c r="E11612" s="4"/>
      <c r="F11612" s="4"/>
      <c r="G11612" s="33" t="str">
        <f>IFERROR(VLOOKUP($D11612,'Informations sur les produits'!$A$3:$H$10000,8,FALSE),"0")</f>
        <v>0</v>
      </c>
      <c r="K11612" s="4"/>
      <c r="L11612" s="33" t="str">
        <f>IFERROR(VLOOKUP($J11612,'Informations sur les produits'!$A$3:$H$10000,8,FALSE),"0")</f>
        <v>0</v>
      </c>
      <c r="N11612" s="8"/>
      <c r="O11612" s="33" t="str">
        <f>IFERROR(VLOOKUP($M11612,'Informations sur les produits'!$A$3:$H$10000,8,FALSE),"0")</f>
        <v>0</v>
      </c>
      <c r="P11612" s="33">
        <f t="shared" si="724"/>
        <v>0</v>
      </c>
      <c r="Q11612" s="31" t="str">
        <f t="shared" si="725"/>
        <v/>
      </c>
      <c r="R11612" s="32" t="str">
        <f>IFERROR(VLOOKUP($D11612,'Informations sur les produits'!$A$3:$B$15000,2,FALSE),"")</f>
        <v/>
      </c>
      <c r="V11612">
        <f t="shared" si="726"/>
        <v>0</v>
      </c>
      <c r="W11612">
        <f t="shared" si="727"/>
        <v>0</v>
      </c>
    </row>
    <row r="11613" spans="5:23" x14ac:dyDescent="0.25">
      <c r="E11613" s="4"/>
      <c r="F11613" s="4"/>
      <c r="G11613" s="33" t="str">
        <f>IFERROR(VLOOKUP($D11613,'Informations sur les produits'!$A$3:$H$10000,8,FALSE),"0")</f>
        <v>0</v>
      </c>
      <c r="K11613" s="4"/>
      <c r="L11613" s="33" t="str">
        <f>IFERROR(VLOOKUP($J11613,'Informations sur les produits'!$A$3:$H$10000,8,FALSE),"0")</f>
        <v>0</v>
      </c>
      <c r="N11613" s="8"/>
      <c r="O11613" s="33" t="str">
        <f>IFERROR(VLOOKUP($M11613,'Informations sur les produits'!$A$3:$H$10000,8,FALSE),"0")</f>
        <v>0</v>
      </c>
      <c r="P11613" s="33">
        <f t="shared" si="724"/>
        <v>0</v>
      </c>
      <c r="Q11613" s="31" t="str">
        <f t="shared" si="725"/>
        <v/>
      </c>
      <c r="R11613" s="32" t="str">
        <f>IFERROR(VLOOKUP($D11613,'Informations sur les produits'!$A$3:$B$15000,2,FALSE),"")</f>
        <v/>
      </c>
      <c r="V11613">
        <f t="shared" si="726"/>
        <v>0</v>
      </c>
      <c r="W11613">
        <f t="shared" si="727"/>
        <v>0</v>
      </c>
    </row>
    <row r="11614" spans="5:23" x14ac:dyDescent="0.25">
      <c r="E11614" s="4"/>
      <c r="F11614" s="4"/>
      <c r="G11614" s="33" t="str">
        <f>IFERROR(VLOOKUP($D11614,'Informations sur les produits'!$A$3:$H$10000,8,FALSE),"0")</f>
        <v>0</v>
      </c>
      <c r="K11614" s="4"/>
      <c r="L11614" s="33" t="str">
        <f>IFERROR(VLOOKUP($J11614,'Informations sur les produits'!$A$3:$H$10000,8,FALSE),"0")</f>
        <v>0</v>
      </c>
      <c r="N11614" s="8"/>
      <c r="O11614" s="33" t="str">
        <f>IFERROR(VLOOKUP($M11614,'Informations sur les produits'!$A$3:$H$10000,8,FALSE),"0")</f>
        <v>0</v>
      </c>
      <c r="P11614" s="33">
        <f t="shared" si="724"/>
        <v>0</v>
      </c>
      <c r="Q11614" s="31" t="str">
        <f t="shared" si="725"/>
        <v/>
      </c>
      <c r="R11614" s="32" t="str">
        <f>IFERROR(VLOOKUP($D11614,'Informations sur les produits'!$A$3:$B$15000,2,FALSE),"")</f>
        <v/>
      </c>
      <c r="V11614">
        <f t="shared" si="726"/>
        <v>0</v>
      </c>
      <c r="W11614">
        <f t="shared" si="727"/>
        <v>0</v>
      </c>
    </row>
    <row r="11615" spans="5:23" x14ac:dyDescent="0.25">
      <c r="E11615" s="4"/>
      <c r="F11615" s="4"/>
      <c r="G11615" s="33" t="str">
        <f>IFERROR(VLOOKUP($D11615,'Informations sur les produits'!$A$3:$H$10000,8,FALSE),"0")</f>
        <v>0</v>
      </c>
      <c r="K11615" s="4"/>
      <c r="L11615" s="33" t="str">
        <f>IFERROR(VLOOKUP($J11615,'Informations sur les produits'!$A$3:$H$10000,8,FALSE),"0")</f>
        <v>0</v>
      </c>
      <c r="N11615" s="8"/>
      <c r="O11615" s="33" t="str">
        <f>IFERROR(VLOOKUP($M11615,'Informations sur les produits'!$A$3:$H$10000,8,FALSE),"0")</f>
        <v>0</v>
      </c>
      <c r="P11615" s="33">
        <f t="shared" si="724"/>
        <v>0</v>
      </c>
      <c r="Q11615" s="31" t="str">
        <f t="shared" si="725"/>
        <v/>
      </c>
      <c r="R11615" s="32" t="str">
        <f>IFERROR(VLOOKUP($D11615,'Informations sur les produits'!$A$3:$B$15000,2,FALSE),"")</f>
        <v/>
      </c>
      <c r="V11615">
        <f t="shared" si="726"/>
        <v>0</v>
      </c>
      <c r="W11615">
        <f t="shared" si="727"/>
        <v>0</v>
      </c>
    </row>
    <row r="11616" spans="5:23" x14ac:dyDescent="0.25">
      <c r="E11616" s="4"/>
      <c r="F11616" s="4"/>
      <c r="G11616" s="33" t="str">
        <f>IFERROR(VLOOKUP($D11616,'Informations sur les produits'!$A$3:$H$10000,8,FALSE),"0")</f>
        <v>0</v>
      </c>
      <c r="K11616" s="4"/>
      <c r="L11616" s="33" t="str">
        <f>IFERROR(VLOOKUP($J11616,'Informations sur les produits'!$A$3:$H$10000,8,FALSE),"0")</f>
        <v>0</v>
      </c>
      <c r="N11616" s="8"/>
      <c r="O11616" s="33" t="str">
        <f>IFERROR(VLOOKUP($M11616,'Informations sur les produits'!$A$3:$H$10000,8,FALSE),"0")</f>
        <v>0</v>
      </c>
      <c r="P11616" s="33">
        <f t="shared" si="724"/>
        <v>0</v>
      </c>
      <c r="Q11616" s="31" t="str">
        <f t="shared" si="725"/>
        <v/>
      </c>
      <c r="R11616" s="32" t="str">
        <f>IFERROR(VLOOKUP($D11616,'Informations sur les produits'!$A$3:$B$15000,2,FALSE),"")</f>
        <v/>
      </c>
      <c r="V11616">
        <f t="shared" si="726"/>
        <v>0</v>
      </c>
      <c r="W11616">
        <f t="shared" si="727"/>
        <v>0</v>
      </c>
    </row>
    <row r="11617" spans="5:23" x14ac:dyDescent="0.25">
      <c r="E11617" s="4"/>
      <c r="F11617" s="4"/>
      <c r="G11617" s="33" t="str">
        <f>IFERROR(VLOOKUP($D11617,'Informations sur les produits'!$A$3:$H$10000,8,FALSE),"0")</f>
        <v>0</v>
      </c>
      <c r="K11617" s="4"/>
      <c r="L11617" s="33" t="str">
        <f>IFERROR(VLOOKUP($J11617,'Informations sur les produits'!$A$3:$H$10000,8,FALSE),"0")</f>
        <v>0</v>
      </c>
      <c r="N11617" s="8"/>
      <c r="O11617" s="33" t="str">
        <f>IFERROR(VLOOKUP($M11617,'Informations sur les produits'!$A$3:$H$10000,8,FALSE),"0")</f>
        <v>0</v>
      </c>
      <c r="P11617" s="33">
        <f t="shared" si="724"/>
        <v>0</v>
      </c>
      <c r="Q11617" s="31" t="str">
        <f t="shared" si="725"/>
        <v/>
      </c>
      <c r="R11617" s="32" t="str">
        <f>IFERROR(VLOOKUP($D11617,'Informations sur les produits'!$A$3:$B$15000,2,FALSE),"")</f>
        <v/>
      </c>
      <c r="V11617">
        <f t="shared" si="726"/>
        <v>0</v>
      </c>
      <c r="W11617">
        <f t="shared" si="727"/>
        <v>0</v>
      </c>
    </row>
    <row r="11618" spans="5:23" x14ac:dyDescent="0.25">
      <c r="E11618" s="4"/>
      <c r="F11618" s="4"/>
      <c r="G11618" s="33" t="str">
        <f>IFERROR(VLOOKUP($D11618,'Informations sur les produits'!$A$3:$H$10000,8,FALSE),"0")</f>
        <v>0</v>
      </c>
      <c r="K11618" s="4"/>
      <c r="L11618" s="33" t="str">
        <f>IFERROR(VLOOKUP($J11618,'Informations sur les produits'!$A$3:$H$10000,8,FALSE),"0")</f>
        <v>0</v>
      </c>
      <c r="N11618" s="8"/>
      <c r="O11618" s="33" t="str">
        <f>IFERROR(VLOOKUP($M11618,'Informations sur les produits'!$A$3:$H$10000,8,FALSE),"0")</f>
        <v>0</v>
      </c>
      <c r="P11618" s="33">
        <f t="shared" si="724"/>
        <v>0</v>
      </c>
      <c r="Q11618" s="31" t="str">
        <f t="shared" si="725"/>
        <v/>
      </c>
      <c r="R11618" s="32" t="str">
        <f>IFERROR(VLOOKUP($D11618,'Informations sur les produits'!$A$3:$B$15000,2,FALSE),"")</f>
        <v/>
      </c>
      <c r="V11618">
        <f t="shared" si="726"/>
        <v>0</v>
      </c>
      <c r="W11618">
        <f t="shared" si="727"/>
        <v>0</v>
      </c>
    </row>
    <row r="11619" spans="5:23" x14ac:dyDescent="0.25">
      <c r="E11619" s="4"/>
      <c r="F11619" s="4"/>
      <c r="G11619" s="33" t="str">
        <f>IFERROR(VLOOKUP($D11619,'Informations sur les produits'!$A$3:$H$10000,8,FALSE),"0")</f>
        <v>0</v>
      </c>
      <c r="K11619" s="4"/>
      <c r="L11619" s="33" t="str">
        <f>IFERROR(VLOOKUP($J11619,'Informations sur les produits'!$A$3:$H$10000,8,FALSE),"0")</f>
        <v>0</v>
      </c>
      <c r="N11619" s="8"/>
      <c r="O11619" s="33" t="str">
        <f>IFERROR(VLOOKUP($M11619,'Informations sur les produits'!$A$3:$H$10000,8,FALSE),"0")</f>
        <v>0</v>
      </c>
      <c r="P11619" s="33">
        <f t="shared" si="724"/>
        <v>0</v>
      </c>
      <c r="Q11619" s="31" t="str">
        <f t="shared" si="725"/>
        <v/>
      </c>
      <c r="R11619" s="32" t="str">
        <f>IFERROR(VLOOKUP($D11619,'Informations sur les produits'!$A$3:$B$15000,2,FALSE),"")</f>
        <v/>
      </c>
      <c r="V11619">
        <f t="shared" si="726"/>
        <v>0</v>
      </c>
      <c r="W11619">
        <f t="shared" si="727"/>
        <v>0</v>
      </c>
    </row>
    <row r="11620" spans="5:23" x14ac:dyDescent="0.25">
      <c r="E11620" s="4"/>
      <c r="F11620" s="4"/>
      <c r="G11620" s="33" t="str">
        <f>IFERROR(VLOOKUP($D11620,'Informations sur les produits'!$A$3:$H$10000,8,FALSE),"0")</f>
        <v>0</v>
      </c>
      <c r="K11620" s="4"/>
      <c r="L11620" s="33" t="str">
        <f>IFERROR(VLOOKUP($J11620,'Informations sur les produits'!$A$3:$H$10000,8,FALSE),"0")</f>
        <v>0</v>
      </c>
      <c r="N11620" s="8"/>
      <c r="O11620" s="33" t="str">
        <f>IFERROR(VLOOKUP($M11620,'Informations sur les produits'!$A$3:$H$10000,8,FALSE),"0")</f>
        <v>0</v>
      </c>
      <c r="P11620" s="33">
        <f t="shared" si="724"/>
        <v>0</v>
      </c>
      <c r="Q11620" s="31" t="str">
        <f t="shared" si="725"/>
        <v/>
      </c>
      <c r="R11620" s="32" t="str">
        <f>IFERROR(VLOOKUP($D11620,'Informations sur les produits'!$A$3:$B$15000,2,FALSE),"")</f>
        <v/>
      </c>
      <c r="V11620">
        <f t="shared" si="726"/>
        <v>0</v>
      </c>
      <c r="W11620">
        <f t="shared" si="727"/>
        <v>0</v>
      </c>
    </row>
    <row r="11621" spans="5:23" x14ac:dyDescent="0.25">
      <c r="E11621" s="4"/>
      <c r="F11621" s="4"/>
      <c r="G11621" s="33" t="str">
        <f>IFERROR(VLOOKUP($D11621,'Informations sur les produits'!$A$3:$H$10000,8,FALSE),"0")</f>
        <v>0</v>
      </c>
      <c r="K11621" s="4"/>
      <c r="L11621" s="33" t="str">
        <f>IFERROR(VLOOKUP($J11621,'Informations sur les produits'!$A$3:$H$10000,8,FALSE),"0")</f>
        <v>0</v>
      </c>
      <c r="N11621" s="8"/>
      <c r="O11621" s="33" t="str">
        <f>IFERROR(VLOOKUP($M11621,'Informations sur les produits'!$A$3:$H$10000,8,FALSE),"0")</f>
        <v>0</v>
      </c>
      <c r="P11621" s="33">
        <f t="shared" si="724"/>
        <v>0</v>
      </c>
      <c r="Q11621" s="31" t="str">
        <f t="shared" si="725"/>
        <v/>
      </c>
      <c r="R11621" s="32" t="str">
        <f>IFERROR(VLOOKUP($D11621,'Informations sur les produits'!$A$3:$B$15000,2,FALSE),"")</f>
        <v/>
      </c>
      <c r="V11621">
        <f t="shared" si="726"/>
        <v>0</v>
      </c>
      <c r="W11621">
        <f t="shared" si="727"/>
        <v>0</v>
      </c>
    </row>
    <row r="11622" spans="5:23" x14ac:dyDescent="0.25">
      <c r="E11622" s="4"/>
      <c r="F11622" s="4"/>
      <c r="G11622" s="33" t="str">
        <f>IFERROR(VLOOKUP($D11622,'Informations sur les produits'!$A$3:$H$10000,8,FALSE),"0")</f>
        <v>0</v>
      </c>
      <c r="K11622" s="4"/>
      <c r="L11622" s="33" t="str">
        <f>IFERROR(VLOOKUP($J11622,'Informations sur les produits'!$A$3:$H$10000,8,FALSE),"0")</f>
        <v>0</v>
      </c>
      <c r="N11622" s="8"/>
      <c r="O11622" s="33" t="str">
        <f>IFERROR(VLOOKUP($M11622,'Informations sur les produits'!$A$3:$H$10000,8,FALSE),"0")</f>
        <v>0</v>
      </c>
      <c r="P11622" s="33">
        <f t="shared" si="724"/>
        <v>0</v>
      </c>
      <c r="Q11622" s="31" t="str">
        <f t="shared" si="725"/>
        <v/>
      </c>
      <c r="R11622" s="32" t="str">
        <f>IFERROR(VLOOKUP($D11622,'Informations sur les produits'!$A$3:$B$15000,2,FALSE),"")</f>
        <v/>
      </c>
      <c r="V11622">
        <f t="shared" si="726"/>
        <v>0</v>
      </c>
      <c r="W11622">
        <f t="shared" si="727"/>
        <v>0</v>
      </c>
    </row>
    <row r="11623" spans="5:23" x14ac:dyDescent="0.25">
      <c r="E11623" s="4"/>
      <c r="F11623" s="4"/>
      <c r="G11623" s="33" t="str">
        <f>IFERROR(VLOOKUP($D11623,'Informations sur les produits'!$A$3:$H$10000,8,FALSE),"0")</f>
        <v>0</v>
      </c>
      <c r="K11623" s="4"/>
      <c r="L11623" s="33" t="str">
        <f>IFERROR(VLOOKUP($J11623,'Informations sur les produits'!$A$3:$H$10000,8,FALSE),"0")</f>
        <v>0</v>
      </c>
      <c r="N11623" s="8"/>
      <c r="O11623" s="33" t="str">
        <f>IFERROR(VLOOKUP($M11623,'Informations sur les produits'!$A$3:$H$10000,8,FALSE),"0")</f>
        <v>0</v>
      </c>
      <c r="P11623" s="33">
        <f t="shared" si="724"/>
        <v>0</v>
      </c>
      <c r="Q11623" s="31" t="str">
        <f t="shared" si="725"/>
        <v/>
      </c>
      <c r="R11623" s="32" t="str">
        <f>IFERROR(VLOOKUP($D11623,'Informations sur les produits'!$A$3:$B$15000,2,FALSE),"")</f>
        <v/>
      </c>
      <c r="V11623">
        <f t="shared" si="726"/>
        <v>0</v>
      </c>
      <c r="W11623">
        <f t="shared" si="727"/>
        <v>0</v>
      </c>
    </row>
    <row r="11624" spans="5:23" x14ac:dyDescent="0.25">
      <c r="E11624" s="4"/>
      <c r="F11624" s="4"/>
      <c r="G11624" s="33" t="str">
        <f>IFERROR(VLOOKUP($D11624,'Informations sur les produits'!$A$3:$H$10000,8,FALSE),"0")</f>
        <v>0</v>
      </c>
      <c r="K11624" s="4"/>
      <c r="L11624" s="33" t="str">
        <f>IFERROR(VLOOKUP($J11624,'Informations sur les produits'!$A$3:$H$10000,8,FALSE),"0")</f>
        <v>0</v>
      </c>
      <c r="N11624" s="8"/>
      <c r="O11624" s="33" t="str">
        <f>IFERROR(VLOOKUP($M11624,'Informations sur les produits'!$A$3:$H$10000,8,FALSE),"0")</f>
        <v>0</v>
      </c>
      <c r="P11624" s="33">
        <f t="shared" si="724"/>
        <v>0</v>
      </c>
      <c r="Q11624" s="31" t="str">
        <f t="shared" si="725"/>
        <v/>
      </c>
      <c r="R11624" s="32" t="str">
        <f>IFERROR(VLOOKUP($D11624,'Informations sur les produits'!$A$3:$B$15000,2,FALSE),"")</f>
        <v/>
      </c>
      <c r="V11624">
        <f t="shared" si="726"/>
        <v>0</v>
      </c>
      <c r="W11624">
        <f t="shared" si="727"/>
        <v>0</v>
      </c>
    </row>
    <row r="11625" spans="5:23" x14ac:dyDescent="0.25">
      <c r="E11625" s="4"/>
      <c r="F11625" s="4"/>
      <c r="G11625" s="33" t="str">
        <f>IFERROR(VLOOKUP($D11625,'Informations sur les produits'!$A$3:$H$10000,8,FALSE),"0")</f>
        <v>0</v>
      </c>
      <c r="K11625" s="4"/>
      <c r="L11625" s="33" t="str">
        <f>IFERROR(VLOOKUP($J11625,'Informations sur les produits'!$A$3:$H$10000,8,FALSE),"0")</f>
        <v>0</v>
      </c>
      <c r="N11625" s="8"/>
      <c r="O11625" s="33" t="str">
        <f>IFERROR(VLOOKUP($M11625,'Informations sur les produits'!$A$3:$H$10000,8,FALSE),"0")</f>
        <v>0</v>
      </c>
      <c r="P11625" s="33">
        <f t="shared" si="724"/>
        <v>0</v>
      </c>
      <c r="Q11625" s="31" t="str">
        <f t="shared" si="725"/>
        <v/>
      </c>
      <c r="R11625" s="32" t="str">
        <f>IFERROR(VLOOKUP($D11625,'Informations sur les produits'!$A$3:$B$15000,2,FALSE),"")</f>
        <v/>
      </c>
      <c r="V11625">
        <f t="shared" si="726"/>
        <v>0</v>
      </c>
      <c r="W11625">
        <f t="shared" si="727"/>
        <v>0</v>
      </c>
    </row>
    <row r="11626" spans="5:23" x14ac:dyDescent="0.25">
      <c r="E11626" s="4"/>
      <c r="F11626" s="4"/>
      <c r="G11626" s="33" t="str">
        <f>IFERROR(VLOOKUP($D11626,'Informations sur les produits'!$A$3:$H$10000,8,FALSE),"0")</f>
        <v>0</v>
      </c>
      <c r="K11626" s="4"/>
      <c r="L11626" s="33" t="str">
        <f>IFERROR(VLOOKUP($J11626,'Informations sur les produits'!$A$3:$H$10000,8,FALSE),"0")</f>
        <v>0</v>
      </c>
      <c r="N11626" s="8"/>
      <c r="O11626" s="33" t="str">
        <f>IFERROR(VLOOKUP($M11626,'Informations sur les produits'!$A$3:$H$10000,8,FALSE),"0")</f>
        <v>0</v>
      </c>
      <c r="P11626" s="33">
        <f t="shared" si="724"/>
        <v>0</v>
      </c>
      <c r="Q11626" s="31" t="str">
        <f t="shared" si="725"/>
        <v/>
      </c>
      <c r="R11626" s="32" t="str">
        <f>IFERROR(VLOOKUP($D11626,'Informations sur les produits'!$A$3:$B$15000,2,FALSE),"")</f>
        <v/>
      </c>
      <c r="V11626">
        <f t="shared" si="726"/>
        <v>0</v>
      </c>
      <c r="W11626">
        <f t="shared" si="727"/>
        <v>0</v>
      </c>
    </row>
    <row r="11627" spans="5:23" x14ac:dyDescent="0.25">
      <c r="E11627" s="4"/>
      <c r="F11627" s="4"/>
      <c r="G11627" s="33" t="str">
        <f>IFERROR(VLOOKUP($D11627,'Informations sur les produits'!$A$3:$H$10000,8,FALSE),"0")</f>
        <v>0</v>
      </c>
      <c r="K11627" s="4"/>
      <c r="L11627" s="33" t="str">
        <f>IFERROR(VLOOKUP($J11627,'Informations sur les produits'!$A$3:$H$10000,8,FALSE),"0")</f>
        <v>0</v>
      </c>
      <c r="N11627" s="8"/>
      <c r="O11627" s="33" t="str">
        <f>IFERROR(VLOOKUP($M11627,'Informations sur les produits'!$A$3:$H$10000,8,FALSE),"0")</f>
        <v>0</v>
      </c>
      <c r="P11627" s="33">
        <f t="shared" si="724"/>
        <v>0</v>
      </c>
      <c r="Q11627" s="31" t="str">
        <f t="shared" si="725"/>
        <v/>
      </c>
      <c r="R11627" s="32" t="str">
        <f>IFERROR(VLOOKUP($D11627,'Informations sur les produits'!$A$3:$B$15000,2,FALSE),"")</f>
        <v/>
      </c>
      <c r="V11627">
        <f t="shared" si="726"/>
        <v>0</v>
      </c>
      <c r="W11627">
        <f t="shared" si="727"/>
        <v>0</v>
      </c>
    </row>
    <row r="11628" spans="5:23" x14ac:dyDescent="0.25">
      <c r="E11628" s="4"/>
      <c r="F11628" s="4"/>
      <c r="G11628" s="33" t="str">
        <f>IFERROR(VLOOKUP($D11628,'Informations sur les produits'!$A$3:$H$10000,8,FALSE),"0")</f>
        <v>0</v>
      </c>
      <c r="K11628" s="4"/>
      <c r="L11628" s="33" t="str">
        <f>IFERROR(VLOOKUP($J11628,'Informations sur les produits'!$A$3:$H$10000,8,FALSE),"0")</f>
        <v>0</v>
      </c>
      <c r="N11628" s="8"/>
      <c r="O11628" s="33" t="str">
        <f>IFERROR(VLOOKUP($M11628,'Informations sur les produits'!$A$3:$H$10000,8,FALSE),"0")</f>
        <v>0</v>
      </c>
      <c r="P11628" s="33">
        <f t="shared" si="724"/>
        <v>0</v>
      </c>
      <c r="Q11628" s="31" t="str">
        <f t="shared" si="725"/>
        <v/>
      </c>
      <c r="R11628" s="32" t="str">
        <f>IFERROR(VLOOKUP($D11628,'Informations sur les produits'!$A$3:$B$15000,2,FALSE),"")</f>
        <v/>
      </c>
      <c r="V11628">
        <f t="shared" si="726"/>
        <v>0</v>
      </c>
      <c r="W11628">
        <f t="shared" si="727"/>
        <v>0</v>
      </c>
    </row>
    <row r="11629" spans="5:23" x14ac:dyDescent="0.25">
      <c r="E11629" s="4"/>
      <c r="F11629" s="4"/>
      <c r="G11629" s="33" t="str">
        <f>IFERROR(VLOOKUP($D11629,'Informations sur les produits'!$A$3:$H$10000,8,FALSE),"0")</f>
        <v>0</v>
      </c>
      <c r="K11629" s="4"/>
      <c r="L11629" s="33" t="str">
        <f>IFERROR(VLOOKUP($J11629,'Informations sur les produits'!$A$3:$H$10000,8,FALSE),"0")</f>
        <v>0</v>
      </c>
      <c r="N11629" s="8"/>
      <c r="O11629" s="33" t="str">
        <f>IFERROR(VLOOKUP($M11629,'Informations sur les produits'!$A$3:$H$10000,8,FALSE),"0")</f>
        <v>0</v>
      </c>
      <c r="P11629" s="33">
        <f t="shared" si="724"/>
        <v>0</v>
      </c>
      <c r="Q11629" s="31" t="str">
        <f t="shared" si="725"/>
        <v/>
      </c>
      <c r="R11629" s="32" t="str">
        <f>IFERROR(VLOOKUP($D11629,'Informations sur les produits'!$A$3:$B$15000,2,FALSE),"")</f>
        <v/>
      </c>
      <c r="V11629">
        <f t="shared" si="726"/>
        <v>0</v>
      </c>
      <c r="W11629">
        <f t="shared" si="727"/>
        <v>0</v>
      </c>
    </row>
    <row r="11630" spans="5:23" x14ac:dyDescent="0.25">
      <c r="E11630" s="4"/>
      <c r="F11630" s="4"/>
      <c r="G11630" s="33" t="str">
        <f>IFERROR(VLOOKUP($D11630,'Informations sur les produits'!$A$3:$H$10000,8,FALSE),"0")</f>
        <v>0</v>
      </c>
      <c r="K11630" s="4"/>
      <c r="L11630" s="33" t="str">
        <f>IFERROR(VLOOKUP($J11630,'Informations sur les produits'!$A$3:$H$10000,8,FALSE),"0")</f>
        <v>0</v>
      </c>
      <c r="N11630" s="8"/>
      <c r="O11630" s="33" t="str">
        <f>IFERROR(VLOOKUP($M11630,'Informations sur les produits'!$A$3:$H$10000,8,FALSE),"0")</f>
        <v>0</v>
      </c>
      <c r="P11630" s="33">
        <f t="shared" si="724"/>
        <v>0</v>
      </c>
      <c r="Q11630" s="31" t="str">
        <f t="shared" si="725"/>
        <v/>
      </c>
      <c r="R11630" s="32" t="str">
        <f>IFERROR(VLOOKUP($D11630,'Informations sur les produits'!$A$3:$B$15000,2,FALSE),"")</f>
        <v/>
      </c>
      <c r="V11630">
        <f t="shared" si="726"/>
        <v>0</v>
      </c>
      <c r="W11630">
        <f t="shared" si="727"/>
        <v>0</v>
      </c>
    </row>
    <row r="11631" spans="5:23" x14ac:dyDescent="0.25">
      <c r="E11631" s="4"/>
      <c r="F11631" s="4"/>
      <c r="G11631" s="33" t="str">
        <f>IFERROR(VLOOKUP($D11631,'Informations sur les produits'!$A$3:$H$10000,8,FALSE),"0")</f>
        <v>0</v>
      </c>
      <c r="K11631" s="4"/>
      <c r="L11631" s="33" t="str">
        <f>IFERROR(VLOOKUP($J11631,'Informations sur les produits'!$A$3:$H$10000,8,FALSE),"0")</f>
        <v>0</v>
      </c>
      <c r="N11631" s="8"/>
      <c r="O11631" s="33" t="str">
        <f>IFERROR(VLOOKUP($M11631,'Informations sur les produits'!$A$3:$H$10000,8,FALSE),"0")</f>
        <v>0</v>
      </c>
      <c r="P11631" s="33">
        <f t="shared" si="724"/>
        <v>0</v>
      </c>
      <c r="Q11631" s="31" t="str">
        <f t="shared" si="725"/>
        <v/>
      </c>
      <c r="R11631" s="32" t="str">
        <f>IFERROR(VLOOKUP($D11631,'Informations sur les produits'!$A$3:$B$15000,2,FALSE),"")</f>
        <v/>
      </c>
      <c r="V11631">
        <f t="shared" si="726"/>
        <v>0</v>
      </c>
      <c r="W11631">
        <f t="shared" si="727"/>
        <v>0</v>
      </c>
    </row>
    <row r="11632" spans="5:23" x14ac:dyDescent="0.25">
      <c r="E11632" s="4"/>
      <c r="F11632" s="4"/>
      <c r="G11632" s="33" t="str">
        <f>IFERROR(VLOOKUP($D11632,'Informations sur les produits'!$A$3:$H$10000,8,FALSE),"0")</f>
        <v>0</v>
      </c>
      <c r="K11632" s="4"/>
      <c r="L11632" s="33" t="str">
        <f>IFERROR(VLOOKUP($J11632,'Informations sur les produits'!$A$3:$H$10000,8,FALSE),"0")</f>
        <v>0</v>
      </c>
      <c r="N11632" s="8"/>
      <c r="O11632" s="33" t="str">
        <f>IFERROR(VLOOKUP($M11632,'Informations sur les produits'!$A$3:$H$10000,8,FALSE),"0")</f>
        <v>0</v>
      </c>
      <c r="P11632" s="33">
        <f t="shared" si="724"/>
        <v>0</v>
      </c>
      <c r="Q11632" s="31" t="str">
        <f t="shared" si="725"/>
        <v/>
      </c>
      <c r="R11632" s="32" t="str">
        <f>IFERROR(VLOOKUP($D11632,'Informations sur les produits'!$A$3:$B$15000,2,FALSE),"")</f>
        <v/>
      </c>
      <c r="V11632">
        <f t="shared" si="726"/>
        <v>0</v>
      </c>
      <c r="W11632">
        <f t="shared" si="727"/>
        <v>0</v>
      </c>
    </row>
    <row r="11633" spans="5:23" x14ac:dyDescent="0.25">
      <c r="E11633" s="4"/>
      <c r="F11633" s="4"/>
      <c r="G11633" s="33" t="str">
        <f>IFERROR(VLOOKUP($D11633,'Informations sur les produits'!$A$3:$H$10000,8,FALSE),"0")</f>
        <v>0</v>
      </c>
      <c r="K11633" s="4"/>
      <c r="L11633" s="33" t="str">
        <f>IFERROR(VLOOKUP($J11633,'Informations sur les produits'!$A$3:$H$10000,8,FALSE),"0")</f>
        <v>0</v>
      </c>
      <c r="N11633" s="8"/>
      <c r="O11633" s="33" t="str">
        <f>IFERROR(VLOOKUP($M11633,'Informations sur les produits'!$A$3:$H$10000,8,FALSE),"0")</f>
        <v>0</v>
      </c>
      <c r="P11633" s="33">
        <f t="shared" si="724"/>
        <v>0</v>
      </c>
      <c r="Q11633" s="31" t="str">
        <f t="shared" si="725"/>
        <v/>
      </c>
      <c r="R11633" s="32" t="str">
        <f>IFERROR(VLOOKUP($D11633,'Informations sur les produits'!$A$3:$B$15000,2,FALSE),"")</f>
        <v/>
      </c>
      <c r="V11633">
        <f t="shared" si="726"/>
        <v>0</v>
      </c>
      <c r="W11633">
        <f t="shared" si="727"/>
        <v>0</v>
      </c>
    </row>
    <row r="11634" spans="5:23" x14ac:dyDescent="0.25">
      <c r="E11634" s="4"/>
      <c r="F11634" s="4"/>
      <c r="G11634" s="33" t="str">
        <f>IFERROR(VLOOKUP($D11634,'Informations sur les produits'!$A$3:$H$10000,8,FALSE),"0")</f>
        <v>0</v>
      </c>
      <c r="K11634" s="4"/>
      <c r="L11634" s="33" t="str">
        <f>IFERROR(VLOOKUP($J11634,'Informations sur les produits'!$A$3:$H$10000,8,FALSE),"0")</f>
        <v>0</v>
      </c>
      <c r="N11634" s="8"/>
      <c r="O11634" s="33" t="str">
        <f>IFERROR(VLOOKUP($M11634,'Informations sur les produits'!$A$3:$H$10000,8,FALSE),"0")</f>
        <v>0</v>
      </c>
      <c r="P11634" s="33">
        <f t="shared" si="724"/>
        <v>0</v>
      </c>
      <c r="Q11634" s="31" t="str">
        <f t="shared" si="725"/>
        <v/>
      </c>
      <c r="R11634" s="32" t="str">
        <f>IFERROR(VLOOKUP($D11634,'Informations sur les produits'!$A$3:$B$15000,2,FALSE),"")</f>
        <v/>
      </c>
      <c r="V11634">
        <f t="shared" si="726"/>
        <v>0</v>
      </c>
      <c r="W11634">
        <f t="shared" si="727"/>
        <v>0</v>
      </c>
    </row>
    <row r="11635" spans="5:23" x14ac:dyDescent="0.25">
      <c r="E11635" s="4"/>
      <c r="F11635" s="4"/>
      <c r="G11635" s="33" t="str">
        <f>IFERROR(VLOOKUP($D11635,'Informations sur les produits'!$A$3:$H$10000,8,FALSE),"0")</f>
        <v>0</v>
      </c>
      <c r="K11635" s="4"/>
      <c r="L11635" s="33" t="str">
        <f>IFERROR(VLOOKUP($J11635,'Informations sur les produits'!$A$3:$H$10000,8,FALSE),"0")</f>
        <v>0</v>
      </c>
      <c r="N11635" s="8"/>
      <c r="O11635" s="33" t="str">
        <f>IFERROR(VLOOKUP($M11635,'Informations sur les produits'!$A$3:$H$10000,8,FALSE),"0")</f>
        <v>0</v>
      </c>
      <c r="P11635" s="33">
        <f t="shared" si="724"/>
        <v>0</v>
      </c>
      <c r="Q11635" s="31" t="str">
        <f t="shared" si="725"/>
        <v/>
      </c>
      <c r="R11635" s="32" t="str">
        <f>IFERROR(VLOOKUP($D11635,'Informations sur les produits'!$A$3:$B$15000,2,FALSE),"")</f>
        <v/>
      </c>
      <c r="V11635">
        <f t="shared" si="726"/>
        <v>0</v>
      </c>
      <c r="W11635">
        <f t="shared" si="727"/>
        <v>0</v>
      </c>
    </row>
    <row r="11636" spans="5:23" x14ac:dyDescent="0.25">
      <c r="E11636" s="4"/>
      <c r="F11636" s="4"/>
      <c r="G11636" s="33" t="str">
        <f>IFERROR(VLOOKUP($D11636,'Informations sur les produits'!$A$3:$H$10000,8,FALSE),"0")</f>
        <v>0</v>
      </c>
      <c r="K11636" s="4"/>
      <c r="L11636" s="33" t="str">
        <f>IFERROR(VLOOKUP($J11636,'Informations sur les produits'!$A$3:$H$10000,8,FALSE),"0")</f>
        <v>0</v>
      </c>
      <c r="N11636" s="8"/>
      <c r="O11636" s="33" t="str">
        <f>IFERROR(VLOOKUP($M11636,'Informations sur les produits'!$A$3:$H$10000,8,FALSE),"0")</f>
        <v>0</v>
      </c>
      <c r="P11636" s="33">
        <f t="shared" si="724"/>
        <v>0</v>
      </c>
      <c r="Q11636" s="31" t="str">
        <f t="shared" si="725"/>
        <v/>
      </c>
      <c r="R11636" s="32" t="str">
        <f>IFERROR(VLOOKUP($D11636,'Informations sur les produits'!$A$3:$B$15000,2,FALSE),"")</f>
        <v/>
      </c>
      <c r="V11636">
        <f t="shared" si="726"/>
        <v>0</v>
      </c>
      <c r="W11636">
        <f t="shared" si="727"/>
        <v>0</v>
      </c>
    </row>
    <row r="11637" spans="5:23" x14ac:dyDescent="0.25">
      <c r="E11637" s="4"/>
      <c r="F11637" s="4"/>
      <c r="G11637" s="33" t="str">
        <f>IFERROR(VLOOKUP($D11637,'Informations sur les produits'!$A$3:$H$10000,8,FALSE),"0")</f>
        <v>0</v>
      </c>
      <c r="K11637" s="4"/>
      <c r="L11637" s="33" t="str">
        <f>IFERROR(VLOOKUP($J11637,'Informations sur les produits'!$A$3:$H$10000,8,FALSE),"0")</f>
        <v>0</v>
      </c>
      <c r="N11637" s="8"/>
      <c r="O11637" s="33" t="str">
        <f>IFERROR(VLOOKUP($M11637,'Informations sur les produits'!$A$3:$H$10000,8,FALSE),"0")</f>
        <v>0</v>
      </c>
      <c r="P11637" s="33">
        <f t="shared" si="724"/>
        <v>0</v>
      </c>
      <c r="Q11637" s="31" t="str">
        <f t="shared" si="725"/>
        <v/>
      </c>
      <c r="R11637" s="32" t="str">
        <f>IFERROR(VLOOKUP($D11637,'Informations sur les produits'!$A$3:$B$15000,2,FALSE),"")</f>
        <v/>
      </c>
      <c r="V11637">
        <f t="shared" si="726"/>
        <v>0</v>
      </c>
      <c r="W11637">
        <f t="shared" si="727"/>
        <v>0</v>
      </c>
    </row>
    <row r="11638" spans="5:23" x14ac:dyDescent="0.25">
      <c r="E11638" s="4"/>
      <c r="F11638" s="4"/>
      <c r="G11638" s="33" t="str">
        <f>IFERROR(VLOOKUP($D11638,'Informations sur les produits'!$A$3:$H$10000,8,FALSE),"0")</f>
        <v>0</v>
      </c>
      <c r="K11638" s="4"/>
      <c r="L11638" s="33" t="str">
        <f>IFERROR(VLOOKUP($J11638,'Informations sur les produits'!$A$3:$H$10000,8,FALSE),"0")</f>
        <v>0</v>
      </c>
      <c r="N11638" s="8"/>
      <c r="O11638" s="33" t="str">
        <f>IFERROR(VLOOKUP($M11638,'Informations sur les produits'!$A$3:$H$10000,8,FALSE),"0")</f>
        <v>0</v>
      </c>
      <c r="P11638" s="33">
        <f t="shared" si="724"/>
        <v>0</v>
      </c>
      <c r="Q11638" s="31" t="str">
        <f t="shared" si="725"/>
        <v/>
      </c>
      <c r="R11638" s="32" t="str">
        <f>IFERROR(VLOOKUP($D11638,'Informations sur les produits'!$A$3:$B$15000,2,FALSE),"")</f>
        <v/>
      </c>
      <c r="V11638">
        <f t="shared" si="726"/>
        <v>0</v>
      </c>
      <c r="W11638">
        <f t="shared" si="727"/>
        <v>0</v>
      </c>
    </row>
    <row r="11639" spans="5:23" x14ac:dyDescent="0.25">
      <c r="E11639" s="4"/>
      <c r="F11639" s="4"/>
      <c r="G11639" s="33" t="str">
        <f>IFERROR(VLOOKUP($D11639,'Informations sur les produits'!$A$3:$H$10000,8,FALSE),"0")</f>
        <v>0</v>
      </c>
      <c r="K11639" s="4"/>
      <c r="L11639" s="33" t="str">
        <f>IFERROR(VLOOKUP($J11639,'Informations sur les produits'!$A$3:$H$10000,8,FALSE),"0")</f>
        <v>0</v>
      </c>
      <c r="N11639" s="8"/>
      <c r="O11639" s="33" t="str">
        <f>IFERROR(VLOOKUP($M11639,'Informations sur les produits'!$A$3:$H$10000,8,FALSE),"0")</f>
        <v>0</v>
      </c>
      <c r="P11639" s="33">
        <f t="shared" si="724"/>
        <v>0</v>
      </c>
      <c r="Q11639" s="31" t="str">
        <f t="shared" si="725"/>
        <v/>
      </c>
      <c r="R11639" s="32" t="str">
        <f>IFERROR(VLOOKUP($D11639,'Informations sur les produits'!$A$3:$B$15000,2,FALSE),"")</f>
        <v/>
      </c>
      <c r="V11639">
        <f t="shared" si="726"/>
        <v>0</v>
      </c>
      <c r="W11639">
        <f t="shared" si="727"/>
        <v>0</v>
      </c>
    </row>
    <row r="11640" spans="5:23" x14ac:dyDescent="0.25">
      <c r="E11640" s="4"/>
      <c r="F11640" s="4"/>
      <c r="G11640" s="33" t="str">
        <f>IFERROR(VLOOKUP($D11640,'Informations sur les produits'!$A$3:$H$10000,8,FALSE),"0")</f>
        <v>0</v>
      </c>
      <c r="K11640" s="4"/>
      <c r="L11640" s="33" t="str">
        <f>IFERROR(VLOOKUP($J11640,'Informations sur les produits'!$A$3:$H$10000,8,FALSE),"0")</f>
        <v>0</v>
      </c>
      <c r="N11640" s="8"/>
      <c r="O11640" s="33" t="str">
        <f>IFERROR(VLOOKUP($M11640,'Informations sur les produits'!$A$3:$H$10000,8,FALSE),"0")</f>
        <v>0</v>
      </c>
      <c r="P11640" s="33">
        <f t="shared" si="724"/>
        <v>0</v>
      </c>
      <c r="Q11640" s="31" t="str">
        <f t="shared" si="725"/>
        <v/>
      </c>
      <c r="R11640" s="32" t="str">
        <f>IFERROR(VLOOKUP($D11640,'Informations sur les produits'!$A$3:$B$15000,2,FALSE),"")</f>
        <v/>
      </c>
      <c r="V11640">
        <f t="shared" si="726"/>
        <v>0</v>
      </c>
      <c r="W11640">
        <f t="shared" si="727"/>
        <v>0</v>
      </c>
    </row>
    <row r="11641" spans="5:23" x14ac:dyDescent="0.25">
      <c r="E11641" s="4"/>
      <c r="F11641" s="4"/>
      <c r="G11641" s="33" t="str">
        <f>IFERROR(VLOOKUP($D11641,'Informations sur les produits'!$A$3:$H$10000,8,FALSE),"0")</f>
        <v>0</v>
      </c>
      <c r="K11641" s="4"/>
      <c r="L11641" s="33" t="str">
        <f>IFERROR(VLOOKUP($J11641,'Informations sur les produits'!$A$3:$H$10000,8,FALSE),"0")</f>
        <v>0</v>
      </c>
      <c r="N11641" s="8"/>
      <c r="O11641" s="33" t="str">
        <f>IFERROR(VLOOKUP($M11641,'Informations sur les produits'!$A$3:$H$10000,8,FALSE),"0")</f>
        <v>0</v>
      </c>
      <c r="P11641" s="33">
        <f t="shared" si="724"/>
        <v>0</v>
      </c>
      <c r="Q11641" s="31" t="str">
        <f t="shared" si="725"/>
        <v/>
      </c>
      <c r="R11641" s="32" t="str">
        <f>IFERROR(VLOOKUP($D11641,'Informations sur les produits'!$A$3:$B$15000,2,FALSE),"")</f>
        <v/>
      </c>
      <c r="V11641">
        <f t="shared" si="726"/>
        <v>0</v>
      </c>
      <c r="W11641">
        <f t="shared" si="727"/>
        <v>0</v>
      </c>
    </row>
    <row r="11642" spans="5:23" x14ac:dyDescent="0.25">
      <c r="E11642" s="4"/>
      <c r="F11642" s="4"/>
      <c r="G11642" s="33" t="str">
        <f>IFERROR(VLOOKUP($D11642,'Informations sur les produits'!$A$3:$H$10000,8,FALSE),"0")</f>
        <v>0</v>
      </c>
      <c r="K11642" s="4"/>
      <c r="L11642" s="33" t="str">
        <f>IFERROR(VLOOKUP($J11642,'Informations sur les produits'!$A$3:$H$10000,8,FALSE),"0")</f>
        <v>0</v>
      </c>
      <c r="N11642" s="8"/>
      <c r="O11642" s="33" t="str">
        <f>IFERROR(VLOOKUP($M11642,'Informations sur les produits'!$A$3:$H$10000,8,FALSE),"0")</f>
        <v>0</v>
      </c>
      <c r="P11642" s="33">
        <f t="shared" si="724"/>
        <v>0</v>
      </c>
      <c r="Q11642" s="31" t="str">
        <f t="shared" si="725"/>
        <v/>
      </c>
      <c r="R11642" s="32" t="str">
        <f>IFERROR(VLOOKUP($D11642,'Informations sur les produits'!$A$3:$B$15000,2,FALSE),"")</f>
        <v/>
      </c>
      <c r="V11642">
        <f t="shared" si="726"/>
        <v>0</v>
      </c>
      <c r="W11642">
        <f t="shared" si="727"/>
        <v>0</v>
      </c>
    </row>
    <row r="11643" spans="5:23" x14ac:dyDescent="0.25">
      <c r="E11643" s="4"/>
      <c r="F11643" s="4"/>
      <c r="G11643" s="33" t="str">
        <f>IFERROR(VLOOKUP($D11643,'Informations sur les produits'!$A$3:$H$10000,8,FALSE),"0")</f>
        <v>0</v>
      </c>
      <c r="K11643" s="4"/>
      <c r="L11643" s="33" t="str">
        <f>IFERROR(VLOOKUP($J11643,'Informations sur les produits'!$A$3:$H$10000,8,FALSE),"0")</f>
        <v>0</v>
      </c>
      <c r="N11643" s="8"/>
      <c r="O11643" s="33" t="str">
        <f>IFERROR(VLOOKUP($M11643,'Informations sur les produits'!$A$3:$H$10000,8,FALSE),"0")</f>
        <v>0</v>
      </c>
      <c r="P11643" s="33">
        <f t="shared" si="724"/>
        <v>0</v>
      </c>
      <c r="Q11643" s="31" t="str">
        <f t="shared" si="725"/>
        <v/>
      </c>
      <c r="R11643" s="32" t="str">
        <f>IFERROR(VLOOKUP($D11643,'Informations sur les produits'!$A$3:$B$15000,2,FALSE),"")</f>
        <v/>
      </c>
      <c r="V11643">
        <f t="shared" si="726"/>
        <v>0</v>
      </c>
      <c r="W11643">
        <f t="shared" si="727"/>
        <v>0</v>
      </c>
    </row>
    <row r="11644" spans="5:23" x14ac:dyDescent="0.25">
      <c r="E11644" s="4"/>
      <c r="F11644" s="4"/>
      <c r="G11644" s="33" t="str">
        <f>IFERROR(VLOOKUP($D11644,'Informations sur les produits'!$A$3:$H$10000,8,FALSE),"0")</f>
        <v>0</v>
      </c>
      <c r="K11644" s="4"/>
      <c r="L11644" s="33" t="str">
        <f>IFERROR(VLOOKUP($J11644,'Informations sur les produits'!$A$3:$H$10000,8,FALSE),"0")</f>
        <v>0</v>
      </c>
      <c r="N11644" s="8"/>
      <c r="O11644" s="33" t="str">
        <f>IFERROR(VLOOKUP($M11644,'Informations sur les produits'!$A$3:$H$10000,8,FALSE),"0")</f>
        <v>0</v>
      </c>
      <c r="P11644" s="33">
        <f t="shared" si="724"/>
        <v>0</v>
      </c>
      <c r="Q11644" s="31" t="str">
        <f t="shared" si="725"/>
        <v/>
      </c>
      <c r="R11644" s="32" t="str">
        <f>IFERROR(VLOOKUP($D11644,'Informations sur les produits'!$A$3:$B$15000,2,FALSE),"")</f>
        <v/>
      </c>
      <c r="V11644">
        <f t="shared" si="726"/>
        <v>0</v>
      </c>
      <c r="W11644">
        <f t="shared" si="727"/>
        <v>0</v>
      </c>
    </row>
    <row r="11645" spans="5:23" x14ac:dyDescent="0.25">
      <c r="E11645" s="4"/>
      <c r="F11645" s="4"/>
      <c r="G11645" s="33" t="str">
        <f>IFERROR(VLOOKUP($D11645,'Informations sur les produits'!$A$3:$H$10000,8,FALSE),"0")</f>
        <v>0</v>
      </c>
      <c r="K11645" s="4"/>
      <c r="L11645" s="33" t="str">
        <f>IFERROR(VLOOKUP($J11645,'Informations sur les produits'!$A$3:$H$10000,8,FALSE),"0")</f>
        <v>0</v>
      </c>
      <c r="N11645" s="8"/>
      <c r="O11645" s="33" t="str">
        <f>IFERROR(VLOOKUP($M11645,'Informations sur les produits'!$A$3:$H$10000,8,FALSE),"0")</f>
        <v>0</v>
      </c>
      <c r="P11645" s="33">
        <f t="shared" si="724"/>
        <v>0</v>
      </c>
      <c r="Q11645" s="31" t="str">
        <f t="shared" si="725"/>
        <v/>
      </c>
      <c r="R11645" s="32" t="str">
        <f>IFERROR(VLOOKUP($D11645,'Informations sur les produits'!$A$3:$B$15000,2,FALSE),"")</f>
        <v/>
      </c>
      <c r="V11645">
        <f t="shared" si="726"/>
        <v>0</v>
      </c>
      <c r="W11645">
        <f t="shared" si="727"/>
        <v>0</v>
      </c>
    </row>
    <row r="11646" spans="5:23" x14ac:dyDescent="0.25">
      <c r="E11646" s="4"/>
      <c r="F11646" s="4"/>
      <c r="G11646" s="33" t="str">
        <f>IFERROR(VLOOKUP($D11646,'Informations sur les produits'!$A$3:$H$10000,8,FALSE),"0")</f>
        <v>0</v>
      </c>
      <c r="K11646" s="4"/>
      <c r="L11646" s="33" t="str">
        <f>IFERROR(VLOOKUP($J11646,'Informations sur les produits'!$A$3:$H$10000,8,FALSE),"0")</f>
        <v>0</v>
      </c>
      <c r="N11646" s="8"/>
      <c r="O11646" s="33" t="str">
        <f>IFERROR(VLOOKUP($M11646,'Informations sur les produits'!$A$3:$H$10000,8,FALSE),"0")</f>
        <v>0</v>
      </c>
      <c r="P11646" s="33">
        <f t="shared" si="724"/>
        <v>0</v>
      </c>
      <c r="Q11646" s="31" t="str">
        <f t="shared" si="725"/>
        <v/>
      </c>
      <c r="R11646" s="32" t="str">
        <f>IFERROR(VLOOKUP($D11646,'Informations sur les produits'!$A$3:$B$15000,2,FALSE),"")</f>
        <v/>
      </c>
      <c r="V11646">
        <f t="shared" si="726"/>
        <v>0</v>
      </c>
      <c r="W11646">
        <f t="shared" si="727"/>
        <v>0</v>
      </c>
    </row>
    <row r="11647" spans="5:23" x14ac:dyDescent="0.25">
      <c r="E11647" s="4"/>
      <c r="F11647" s="4"/>
      <c r="G11647" s="33" t="str">
        <f>IFERROR(VLOOKUP($D11647,'Informations sur les produits'!$A$3:$H$10000,8,FALSE),"0")</f>
        <v>0</v>
      </c>
      <c r="K11647" s="4"/>
      <c r="L11647" s="33" t="str">
        <f>IFERROR(VLOOKUP($J11647,'Informations sur les produits'!$A$3:$H$10000,8,FALSE),"0")</f>
        <v>0</v>
      </c>
      <c r="N11647" s="8"/>
      <c r="O11647" s="33" t="str">
        <f>IFERROR(VLOOKUP($M11647,'Informations sur les produits'!$A$3:$H$10000,8,FALSE),"0")</f>
        <v>0</v>
      </c>
      <c r="P11647" s="33">
        <f t="shared" si="724"/>
        <v>0</v>
      </c>
      <c r="Q11647" s="31" t="str">
        <f t="shared" si="725"/>
        <v/>
      </c>
      <c r="R11647" s="32" t="str">
        <f>IFERROR(VLOOKUP($D11647,'Informations sur les produits'!$A$3:$B$15000,2,FALSE),"")</f>
        <v/>
      </c>
      <c r="V11647">
        <f t="shared" si="726"/>
        <v>0</v>
      </c>
      <c r="W11647">
        <f t="shared" si="727"/>
        <v>0</v>
      </c>
    </row>
    <row r="11648" spans="5:23" x14ac:dyDescent="0.25">
      <c r="E11648" s="4"/>
      <c r="F11648" s="4"/>
      <c r="G11648" s="33" t="str">
        <f>IFERROR(VLOOKUP($D11648,'Informations sur les produits'!$A$3:$H$10000,8,FALSE),"0")</f>
        <v>0</v>
      </c>
      <c r="K11648" s="4"/>
      <c r="L11648" s="33" t="str">
        <f>IFERROR(VLOOKUP($J11648,'Informations sur les produits'!$A$3:$H$10000,8,FALSE),"0")</f>
        <v>0</v>
      </c>
      <c r="N11648" s="8"/>
      <c r="O11648" s="33" t="str">
        <f>IFERROR(VLOOKUP($M11648,'Informations sur les produits'!$A$3:$H$10000,8,FALSE),"0")</f>
        <v>0</v>
      </c>
      <c r="P11648" s="33">
        <f t="shared" si="724"/>
        <v>0</v>
      </c>
      <c r="Q11648" s="31" t="str">
        <f t="shared" si="725"/>
        <v/>
      </c>
      <c r="R11648" s="32" t="str">
        <f>IFERROR(VLOOKUP($D11648,'Informations sur les produits'!$A$3:$B$15000,2,FALSE),"")</f>
        <v/>
      </c>
      <c r="V11648">
        <f t="shared" si="726"/>
        <v>0</v>
      </c>
      <c r="W11648">
        <f t="shared" si="727"/>
        <v>0</v>
      </c>
    </row>
    <row r="11649" spans="5:23" x14ac:dyDescent="0.25">
      <c r="E11649" s="4"/>
      <c r="F11649" s="4"/>
      <c r="G11649" s="33" t="str">
        <f>IFERROR(VLOOKUP($D11649,'Informations sur les produits'!$A$3:$H$10000,8,FALSE),"0")</f>
        <v>0</v>
      </c>
      <c r="K11649" s="4"/>
      <c r="L11649" s="33" t="str">
        <f>IFERROR(VLOOKUP($J11649,'Informations sur les produits'!$A$3:$H$10000,8,FALSE),"0")</f>
        <v>0</v>
      </c>
      <c r="N11649" s="8"/>
      <c r="O11649" s="33" t="str">
        <f>IFERROR(VLOOKUP($M11649,'Informations sur les produits'!$A$3:$H$10000,8,FALSE),"0")</f>
        <v>0</v>
      </c>
      <c r="P11649" s="33">
        <f t="shared" si="724"/>
        <v>0</v>
      </c>
      <c r="Q11649" s="31" t="str">
        <f t="shared" si="725"/>
        <v/>
      </c>
      <c r="R11649" s="32" t="str">
        <f>IFERROR(VLOOKUP($D11649,'Informations sur les produits'!$A$3:$B$15000,2,FALSE),"")</f>
        <v/>
      </c>
      <c r="V11649">
        <f t="shared" si="726"/>
        <v>0</v>
      </c>
      <c r="W11649">
        <f t="shared" si="727"/>
        <v>0</v>
      </c>
    </row>
    <row r="11650" spans="5:23" x14ac:dyDescent="0.25">
      <c r="E11650" s="4"/>
      <c r="F11650" s="4"/>
      <c r="G11650" s="33" t="str">
        <f>IFERROR(VLOOKUP($D11650,'Informations sur les produits'!$A$3:$H$10000,8,FALSE),"0")</f>
        <v>0</v>
      </c>
      <c r="K11650" s="4"/>
      <c r="L11650" s="33" t="str">
        <f>IFERROR(VLOOKUP($J11650,'Informations sur les produits'!$A$3:$H$10000,8,FALSE),"0")</f>
        <v>0</v>
      </c>
      <c r="N11650" s="8"/>
      <c r="O11650" s="33" t="str">
        <f>IFERROR(VLOOKUP($M11650,'Informations sur les produits'!$A$3:$H$10000,8,FALSE),"0")</f>
        <v>0</v>
      </c>
      <c r="P11650" s="33">
        <f t="shared" si="724"/>
        <v>0</v>
      </c>
      <c r="Q11650" s="31" t="str">
        <f t="shared" si="725"/>
        <v/>
      </c>
      <c r="R11650" s="32" t="str">
        <f>IFERROR(VLOOKUP($D11650,'Informations sur les produits'!$A$3:$B$15000,2,FALSE),"")</f>
        <v/>
      </c>
      <c r="V11650">
        <f t="shared" si="726"/>
        <v>0</v>
      </c>
      <c r="W11650">
        <f t="shared" si="727"/>
        <v>0</v>
      </c>
    </row>
    <row r="11651" spans="5:23" x14ac:dyDescent="0.25">
      <c r="E11651" s="4"/>
      <c r="F11651" s="4"/>
      <c r="G11651" s="33" t="str">
        <f>IFERROR(VLOOKUP($D11651,'Informations sur les produits'!$A$3:$H$10000,8,FALSE),"0")</f>
        <v>0</v>
      </c>
      <c r="K11651" s="4"/>
      <c r="L11651" s="33" t="str">
        <f>IFERROR(VLOOKUP($J11651,'Informations sur les produits'!$A$3:$H$10000,8,FALSE),"0")</f>
        <v>0</v>
      </c>
      <c r="N11651" s="8"/>
      <c r="O11651" s="33" t="str">
        <f>IFERROR(VLOOKUP($M11651,'Informations sur les produits'!$A$3:$H$10000,8,FALSE),"0")</f>
        <v>0</v>
      </c>
      <c r="P11651" s="33">
        <f t="shared" si="724"/>
        <v>0</v>
      </c>
      <c r="Q11651" s="31" t="str">
        <f t="shared" si="725"/>
        <v/>
      </c>
      <c r="R11651" s="32" t="str">
        <f>IFERROR(VLOOKUP($D11651,'Informations sur les produits'!$A$3:$B$15000,2,FALSE),"")</f>
        <v/>
      </c>
      <c r="V11651">
        <f t="shared" si="726"/>
        <v>0</v>
      </c>
      <c r="W11651">
        <f t="shared" si="727"/>
        <v>0</v>
      </c>
    </row>
    <row r="11652" spans="5:23" x14ac:dyDescent="0.25">
      <c r="E11652" s="4"/>
      <c r="F11652" s="4"/>
      <c r="G11652" s="33" t="str">
        <f>IFERROR(VLOOKUP($D11652,'Informations sur les produits'!$A$3:$H$10000,8,FALSE),"0")</f>
        <v>0</v>
      </c>
      <c r="K11652" s="4"/>
      <c r="L11652" s="33" t="str">
        <f>IFERROR(VLOOKUP($J11652,'Informations sur les produits'!$A$3:$H$10000,8,FALSE),"0")</f>
        <v>0</v>
      </c>
      <c r="N11652" s="8"/>
      <c r="O11652" s="33" t="str">
        <f>IFERROR(VLOOKUP($M11652,'Informations sur les produits'!$A$3:$H$10000,8,FALSE),"0")</f>
        <v>0</v>
      </c>
      <c r="P11652" s="33">
        <f t="shared" ref="P11652:P11715" si="728">IFERROR((($E11652-$F11652)*$G11652+$K11652*$L11652+$N11652*$O11652),"")</f>
        <v>0</v>
      </c>
      <c r="Q11652" s="31" t="str">
        <f t="shared" ref="Q11652:Q11715" si="729">IFERROR((((($E11652-$F11652)*$G11652+$K11652*$L11652+$N11652*$O11652)*1000)/(($E11652-$F11652)+$K11652+$N11652)),"")</f>
        <v/>
      </c>
      <c r="R11652" s="32" t="str">
        <f>IFERROR(VLOOKUP($D11652,'Informations sur les produits'!$A$3:$B$15000,2,FALSE),"")</f>
        <v/>
      </c>
      <c r="V11652">
        <f t="shared" ref="V11652:V11715" si="730">IFERROR(P11652*1000,"")</f>
        <v>0</v>
      </c>
      <c r="W11652">
        <f t="shared" ref="W11652:W11715" si="731">IFERROR(($E11652-$F11652)+$K11652+$N11652,"")</f>
        <v>0</v>
      </c>
    </row>
    <row r="11653" spans="5:23" x14ac:dyDescent="0.25">
      <c r="E11653" s="4"/>
      <c r="F11653" s="4"/>
      <c r="G11653" s="33" t="str">
        <f>IFERROR(VLOOKUP($D11653,'Informations sur les produits'!$A$3:$H$10000,8,FALSE),"0")</f>
        <v>0</v>
      </c>
      <c r="K11653" s="4"/>
      <c r="L11653" s="33" t="str">
        <f>IFERROR(VLOOKUP($J11653,'Informations sur les produits'!$A$3:$H$10000,8,FALSE),"0")</f>
        <v>0</v>
      </c>
      <c r="N11653" s="8"/>
      <c r="O11653" s="33" t="str">
        <f>IFERROR(VLOOKUP($M11653,'Informations sur les produits'!$A$3:$H$10000,8,FALSE),"0")</f>
        <v>0</v>
      </c>
      <c r="P11653" s="33">
        <f t="shared" si="728"/>
        <v>0</v>
      </c>
      <c r="Q11653" s="31" t="str">
        <f t="shared" si="729"/>
        <v/>
      </c>
      <c r="R11653" s="32" t="str">
        <f>IFERROR(VLOOKUP($D11653,'Informations sur les produits'!$A$3:$B$15000,2,FALSE),"")</f>
        <v/>
      </c>
      <c r="V11653">
        <f t="shared" si="730"/>
        <v>0</v>
      </c>
      <c r="W11653">
        <f t="shared" si="731"/>
        <v>0</v>
      </c>
    </row>
    <row r="11654" spans="5:23" x14ac:dyDescent="0.25">
      <c r="E11654" s="4"/>
      <c r="F11654" s="4"/>
      <c r="G11654" s="33" t="str">
        <f>IFERROR(VLOOKUP($D11654,'Informations sur les produits'!$A$3:$H$10000,8,FALSE),"0")</f>
        <v>0</v>
      </c>
      <c r="K11654" s="4"/>
      <c r="L11654" s="33" t="str">
        <f>IFERROR(VLOOKUP($J11654,'Informations sur les produits'!$A$3:$H$10000,8,FALSE),"0")</f>
        <v>0</v>
      </c>
      <c r="N11654" s="8"/>
      <c r="O11654" s="33" t="str">
        <f>IFERROR(VLOOKUP($M11654,'Informations sur les produits'!$A$3:$H$10000,8,FALSE),"0")</f>
        <v>0</v>
      </c>
      <c r="P11654" s="33">
        <f t="shared" si="728"/>
        <v>0</v>
      </c>
      <c r="Q11654" s="31" t="str">
        <f t="shared" si="729"/>
        <v/>
      </c>
      <c r="R11654" s="32" t="str">
        <f>IFERROR(VLOOKUP($D11654,'Informations sur les produits'!$A$3:$B$15000,2,FALSE),"")</f>
        <v/>
      </c>
      <c r="V11654">
        <f t="shared" si="730"/>
        <v>0</v>
      </c>
      <c r="W11654">
        <f t="shared" si="731"/>
        <v>0</v>
      </c>
    </row>
    <row r="11655" spans="5:23" x14ac:dyDescent="0.25">
      <c r="E11655" s="4"/>
      <c r="F11655" s="4"/>
      <c r="G11655" s="33" t="str">
        <f>IFERROR(VLOOKUP($D11655,'Informations sur les produits'!$A$3:$H$10000,8,FALSE),"0")</f>
        <v>0</v>
      </c>
      <c r="K11655" s="4"/>
      <c r="L11655" s="33" t="str">
        <f>IFERROR(VLOOKUP($J11655,'Informations sur les produits'!$A$3:$H$10000,8,FALSE),"0")</f>
        <v>0</v>
      </c>
      <c r="N11655" s="8"/>
      <c r="O11655" s="33" t="str">
        <f>IFERROR(VLOOKUP($M11655,'Informations sur les produits'!$A$3:$H$10000,8,FALSE),"0")</f>
        <v>0</v>
      </c>
      <c r="P11655" s="33">
        <f t="shared" si="728"/>
        <v>0</v>
      </c>
      <c r="Q11655" s="31" t="str">
        <f t="shared" si="729"/>
        <v/>
      </c>
      <c r="R11655" s="32" t="str">
        <f>IFERROR(VLOOKUP($D11655,'Informations sur les produits'!$A$3:$B$15000,2,FALSE),"")</f>
        <v/>
      </c>
      <c r="V11655">
        <f t="shared" si="730"/>
        <v>0</v>
      </c>
      <c r="W11655">
        <f t="shared" si="731"/>
        <v>0</v>
      </c>
    </row>
    <row r="11656" spans="5:23" x14ac:dyDescent="0.25">
      <c r="E11656" s="4"/>
      <c r="F11656" s="4"/>
      <c r="G11656" s="33" t="str">
        <f>IFERROR(VLOOKUP($D11656,'Informations sur les produits'!$A$3:$H$10000,8,FALSE),"0")</f>
        <v>0</v>
      </c>
      <c r="K11656" s="4"/>
      <c r="L11656" s="33" t="str">
        <f>IFERROR(VLOOKUP($J11656,'Informations sur les produits'!$A$3:$H$10000,8,FALSE),"0")</f>
        <v>0</v>
      </c>
      <c r="N11656" s="8"/>
      <c r="O11656" s="33" t="str">
        <f>IFERROR(VLOOKUP($M11656,'Informations sur les produits'!$A$3:$H$10000,8,FALSE),"0")</f>
        <v>0</v>
      </c>
      <c r="P11656" s="33">
        <f t="shared" si="728"/>
        <v>0</v>
      </c>
      <c r="Q11656" s="31" t="str">
        <f t="shared" si="729"/>
        <v/>
      </c>
      <c r="R11656" s="32" t="str">
        <f>IFERROR(VLOOKUP($D11656,'Informations sur les produits'!$A$3:$B$15000,2,FALSE),"")</f>
        <v/>
      </c>
      <c r="V11656">
        <f t="shared" si="730"/>
        <v>0</v>
      </c>
      <c r="W11656">
        <f t="shared" si="731"/>
        <v>0</v>
      </c>
    </row>
    <row r="11657" spans="5:23" x14ac:dyDescent="0.25">
      <c r="E11657" s="4"/>
      <c r="F11657" s="4"/>
      <c r="G11657" s="33" t="str">
        <f>IFERROR(VLOOKUP($D11657,'Informations sur les produits'!$A$3:$H$10000,8,FALSE),"0")</f>
        <v>0</v>
      </c>
      <c r="K11657" s="4"/>
      <c r="L11657" s="33" t="str">
        <f>IFERROR(VLOOKUP($J11657,'Informations sur les produits'!$A$3:$H$10000,8,FALSE),"0")</f>
        <v>0</v>
      </c>
      <c r="N11657" s="8"/>
      <c r="O11657" s="33" t="str">
        <f>IFERROR(VLOOKUP($M11657,'Informations sur les produits'!$A$3:$H$10000,8,FALSE),"0")</f>
        <v>0</v>
      </c>
      <c r="P11657" s="33">
        <f t="shared" si="728"/>
        <v>0</v>
      </c>
      <c r="Q11657" s="31" t="str">
        <f t="shared" si="729"/>
        <v/>
      </c>
      <c r="R11657" s="32" t="str">
        <f>IFERROR(VLOOKUP($D11657,'Informations sur les produits'!$A$3:$B$15000,2,FALSE),"")</f>
        <v/>
      </c>
      <c r="V11657">
        <f t="shared" si="730"/>
        <v>0</v>
      </c>
      <c r="W11657">
        <f t="shared" si="731"/>
        <v>0</v>
      </c>
    </row>
    <row r="11658" spans="5:23" x14ac:dyDescent="0.25">
      <c r="E11658" s="4"/>
      <c r="F11658" s="4"/>
      <c r="G11658" s="33" t="str">
        <f>IFERROR(VLOOKUP($D11658,'Informations sur les produits'!$A$3:$H$10000,8,FALSE),"0")</f>
        <v>0</v>
      </c>
      <c r="K11658" s="4"/>
      <c r="L11658" s="33" t="str">
        <f>IFERROR(VLOOKUP($J11658,'Informations sur les produits'!$A$3:$H$10000,8,FALSE),"0")</f>
        <v>0</v>
      </c>
      <c r="N11658" s="8"/>
      <c r="O11658" s="33" t="str">
        <f>IFERROR(VLOOKUP($M11658,'Informations sur les produits'!$A$3:$H$10000,8,FALSE),"0")</f>
        <v>0</v>
      </c>
      <c r="P11658" s="33">
        <f t="shared" si="728"/>
        <v>0</v>
      </c>
      <c r="Q11658" s="31" t="str">
        <f t="shared" si="729"/>
        <v/>
      </c>
      <c r="R11658" s="32" t="str">
        <f>IFERROR(VLOOKUP($D11658,'Informations sur les produits'!$A$3:$B$15000,2,FALSE),"")</f>
        <v/>
      </c>
      <c r="V11658">
        <f t="shared" si="730"/>
        <v>0</v>
      </c>
      <c r="W11658">
        <f t="shared" si="731"/>
        <v>0</v>
      </c>
    </row>
    <row r="11659" spans="5:23" x14ac:dyDescent="0.25">
      <c r="E11659" s="4"/>
      <c r="F11659" s="4"/>
      <c r="G11659" s="33" t="str">
        <f>IFERROR(VLOOKUP($D11659,'Informations sur les produits'!$A$3:$H$10000,8,FALSE),"0")</f>
        <v>0</v>
      </c>
      <c r="K11659" s="4"/>
      <c r="L11659" s="33" t="str">
        <f>IFERROR(VLOOKUP($J11659,'Informations sur les produits'!$A$3:$H$10000,8,FALSE),"0")</f>
        <v>0</v>
      </c>
      <c r="N11659" s="8"/>
      <c r="O11659" s="33" t="str">
        <f>IFERROR(VLOOKUP($M11659,'Informations sur les produits'!$A$3:$H$10000,8,FALSE),"0")</f>
        <v>0</v>
      </c>
      <c r="P11659" s="33">
        <f t="shared" si="728"/>
        <v>0</v>
      </c>
      <c r="Q11659" s="31" t="str">
        <f t="shared" si="729"/>
        <v/>
      </c>
      <c r="R11659" s="32" t="str">
        <f>IFERROR(VLOOKUP($D11659,'Informations sur les produits'!$A$3:$B$15000,2,FALSE),"")</f>
        <v/>
      </c>
      <c r="V11659">
        <f t="shared" si="730"/>
        <v>0</v>
      </c>
      <c r="W11659">
        <f t="shared" si="731"/>
        <v>0</v>
      </c>
    </row>
    <row r="11660" spans="5:23" x14ac:dyDescent="0.25">
      <c r="E11660" s="4"/>
      <c r="F11660" s="4"/>
      <c r="G11660" s="33" t="str">
        <f>IFERROR(VLOOKUP($D11660,'Informations sur les produits'!$A$3:$H$10000,8,FALSE),"0")</f>
        <v>0</v>
      </c>
      <c r="K11660" s="4"/>
      <c r="L11660" s="33" t="str">
        <f>IFERROR(VLOOKUP($J11660,'Informations sur les produits'!$A$3:$H$10000,8,FALSE),"0")</f>
        <v>0</v>
      </c>
      <c r="N11660" s="8"/>
      <c r="O11660" s="33" t="str">
        <f>IFERROR(VLOOKUP($M11660,'Informations sur les produits'!$A$3:$H$10000,8,FALSE),"0")</f>
        <v>0</v>
      </c>
      <c r="P11660" s="33">
        <f t="shared" si="728"/>
        <v>0</v>
      </c>
      <c r="Q11660" s="31" t="str">
        <f t="shared" si="729"/>
        <v/>
      </c>
      <c r="R11660" s="32" t="str">
        <f>IFERROR(VLOOKUP($D11660,'Informations sur les produits'!$A$3:$B$15000,2,FALSE),"")</f>
        <v/>
      </c>
      <c r="V11660">
        <f t="shared" si="730"/>
        <v>0</v>
      </c>
      <c r="W11660">
        <f t="shared" si="731"/>
        <v>0</v>
      </c>
    </row>
    <row r="11661" spans="5:23" x14ac:dyDescent="0.25">
      <c r="E11661" s="4"/>
      <c r="F11661" s="4"/>
      <c r="G11661" s="33" t="str">
        <f>IFERROR(VLOOKUP($D11661,'Informations sur les produits'!$A$3:$H$10000,8,FALSE),"0")</f>
        <v>0</v>
      </c>
      <c r="K11661" s="4"/>
      <c r="L11661" s="33" t="str">
        <f>IFERROR(VLOOKUP($J11661,'Informations sur les produits'!$A$3:$H$10000,8,FALSE),"0")</f>
        <v>0</v>
      </c>
      <c r="N11661" s="8"/>
      <c r="O11661" s="33" t="str">
        <f>IFERROR(VLOOKUP($M11661,'Informations sur les produits'!$A$3:$H$10000,8,FALSE),"0")</f>
        <v>0</v>
      </c>
      <c r="P11661" s="33">
        <f t="shared" si="728"/>
        <v>0</v>
      </c>
      <c r="Q11661" s="31" t="str">
        <f t="shared" si="729"/>
        <v/>
      </c>
      <c r="R11661" s="32" t="str">
        <f>IFERROR(VLOOKUP($D11661,'Informations sur les produits'!$A$3:$B$15000,2,FALSE),"")</f>
        <v/>
      </c>
      <c r="V11661">
        <f t="shared" si="730"/>
        <v>0</v>
      </c>
      <c r="W11661">
        <f t="shared" si="731"/>
        <v>0</v>
      </c>
    </row>
    <row r="11662" spans="5:23" x14ac:dyDescent="0.25">
      <c r="E11662" s="4"/>
      <c r="F11662" s="4"/>
      <c r="G11662" s="33" t="str">
        <f>IFERROR(VLOOKUP($D11662,'Informations sur les produits'!$A$3:$H$10000,8,FALSE),"0")</f>
        <v>0</v>
      </c>
      <c r="K11662" s="4"/>
      <c r="L11662" s="33" t="str">
        <f>IFERROR(VLOOKUP($J11662,'Informations sur les produits'!$A$3:$H$10000,8,FALSE),"0")</f>
        <v>0</v>
      </c>
      <c r="N11662" s="8"/>
      <c r="O11662" s="33" t="str">
        <f>IFERROR(VLOOKUP($M11662,'Informations sur les produits'!$A$3:$H$10000,8,FALSE),"0")</f>
        <v>0</v>
      </c>
      <c r="P11662" s="33">
        <f t="shared" si="728"/>
        <v>0</v>
      </c>
      <c r="Q11662" s="31" t="str">
        <f t="shared" si="729"/>
        <v/>
      </c>
      <c r="R11662" s="32" t="str">
        <f>IFERROR(VLOOKUP($D11662,'Informations sur les produits'!$A$3:$B$15000,2,FALSE),"")</f>
        <v/>
      </c>
      <c r="V11662">
        <f t="shared" si="730"/>
        <v>0</v>
      </c>
      <c r="W11662">
        <f t="shared" si="731"/>
        <v>0</v>
      </c>
    </row>
    <row r="11663" spans="5:23" x14ac:dyDescent="0.25">
      <c r="E11663" s="4"/>
      <c r="F11663" s="4"/>
      <c r="G11663" s="33" t="str">
        <f>IFERROR(VLOOKUP($D11663,'Informations sur les produits'!$A$3:$H$10000,8,FALSE),"0")</f>
        <v>0</v>
      </c>
      <c r="K11663" s="4"/>
      <c r="L11663" s="33" t="str">
        <f>IFERROR(VLOOKUP($J11663,'Informations sur les produits'!$A$3:$H$10000,8,FALSE),"0")</f>
        <v>0</v>
      </c>
      <c r="N11663" s="8"/>
      <c r="O11663" s="33" t="str">
        <f>IFERROR(VLOOKUP($M11663,'Informations sur les produits'!$A$3:$H$10000,8,FALSE),"0")</f>
        <v>0</v>
      </c>
      <c r="P11663" s="33">
        <f t="shared" si="728"/>
        <v>0</v>
      </c>
      <c r="Q11663" s="31" t="str">
        <f t="shared" si="729"/>
        <v/>
      </c>
      <c r="R11663" s="32" t="str">
        <f>IFERROR(VLOOKUP($D11663,'Informations sur les produits'!$A$3:$B$15000,2,FALSE),"")</f>
        <v/>
      </c>
      <c r="V11663">
        <f t="shared" si="730"/>
        <v>0</v>
      </c>
      <c r="W11663">
        <f t="shared" si="731"/>
        <v>0</v>
      </c>
    </row>
    <row r="11664" spans="5:23" x14ac:dyDescent="0.25">
      <c r="E11664" s="4"/>
      <c r="F11664" s="4"/>
      <c r="G11664" s="33" t="str">
        <f>IFERROR(VLOOKUP($D11664,'Informations sur les produits'!$A$3:$H$10000,8,FALSE),"0")</f>
        <v>0</v>
      </c>
      <c r="K11664" s="4"/>
      <c r="L11664" s="33" t="str">
        <f>IFERROR(VLOOKUP($J11664,'Informations sur les produits'!$A$3:$H$10000,8,FALSE),"0")</f>
        <v>0</v>
      </c>
      <c r="N11664" s="8"/>
      <c r="O11664" s="33" t="str">
        <f>IFERROR(VLOOKUP($M11664,'Informations sur les produits'!$A$3:$H$10000,8,FALSE),"0")</f>
        <v>0</v>
      </c>
      <c r="P11664" s="33">
        <f t="shared" si="728"/>
        <v>0</v>
      </c>
      <c r="Q11664" s="31" t="str">
        <f t="shared" si="729"/>
        <v/>
      </c>
      <c r="R11664" s="32" t="str">
        <f>IFERROR(VLOOKUP($D11664,'Informations sur les produits'!$A$3:$B$15000,2,FALSE),"")</f>
        <v/>
      </c>
      <c r="V11664">
        <f t="shared" si="730"/>
        <v>0</v>
      </c>
      <c r="W11664">
        <f t="shared" si="731"/>
        <v>0</v>
      </c>
    </row>
    <row r="11665" spans="5:23" x14ac:dyDescent="0.25">
      <c r="E11665" s="4"/>
      <c r="F11665" s="4"/>
      <c r="G11665" s="33" t="str">
        <f>IFERROR(VLOOKUP($D11665,'Informations sur les produits'!$A$3:$H$10000,8,FALSE),"0")</f>
        <v>0</v>
      </c>
      <c r="K11665" s="4"/>
      <c r="L11665" s="33" t="str">
        <f>IFERROR(VLOOKUP($J11665,'Informations sur les produits'!$A$3:$H$10000,8,FALSE),"0")</f>
        <v>0</v>
      </c>
      <c r="N11665" s="8"/>
      <c r="O11665" s="33" t="str">
        <f>IFERROR(VLOOKUP($M11665,'Informations sur les produits'!$A$3:$H$10000,8,FALSE),"0")</f>
        <v>0</v>
      </c>
      <c r="P11665" s="33">
        <f t="shared" si="728"/>
        <v>0</v>
      </c>
      <c r="Q11665" s="31" t="str">
        <f t="shared" si="729"/>
        <v/>
      </c>
      <c r="R11665" s="32" t="str">
        <f>IFERROR(VLOOKUP($D11665,'Informations sur les produits'!$A$3:$B$15000,2,FALSE),"")</f>
        <v/>
      </c>
      <c r="V11665">
        <f t="shared" si="730"/>
        <v>0</v>
      </c>
      <c r="W11665">
        <f t="shared" si="731"/>
        <v>0</v>
      </c>
    </row>
    <row r="11666" spans="5:23" x14ac:dyDescent="0.25">
      <c r="E11666" s="4"/>
      <c r="F11666" s="4"/>
      <c r="G11666" s="33" t="str">
        <f>IFERROR(VLOOKUP($D11666,'Informations sur les produits'!$A$3:$H$10000,8,FALSE),"0")</f>
        <v>0</v>
      </c>
      <c r="K11666" s="4"/>
      <c r="L11666" s="33" t="str">
        <f>IFERROR(VLOOKUP($J11666,'Informations sur les produits'!$A$3:$H$10000,8,FALSE),"0")</f>
        <v>0</v>
      </c>
      <c r="N11666" s="8"/>
      <c r="O11666" s="33" t="str">
        <f>IFERROR(VLOOKUP($M11666,'Informations sur les produits'!$A$3:$H$10000,8,FALSE),"0")</f>
        <v>0</v>
      </c>
      <c r="P11666" s="33">
        <f t="shared" si="728"/>
        <v>0</v>
      </c>
      <c r="Q11666" s="31" t="str">
        <f t="shared" si="729"/>
        <v/>
      </c>
      <c r="R11666" s="32" t="str">
        <f>IFERROR(VLOOKUP($D11666,'Informations sur les produits'!$A$3:$B$15000,2,FALSE),"")</f>
        <v/>
      </c>
      <c r="V11666">
        <f t="shared" si="730"/>
        <v>0</v>
      </c>
      <c r="W11666">
        <f t="shared" si="731"/>
        <v>0</v>
      </c>
    </row>
    <row r="11667" spans="5:23" x14ac:dyDescent="0.25">
      <c r="E11667" s="4"/>
      <c r="F11667" s="4"/>
      <c r="G11667" s="33" t="str">
        <f>IFERROR(VLOOKUP($D11667,'Informations sur les produits'!$A$3:$H$10000,8,FALSE),"0")</f>
        <v>0</v>
      </c>
      <c r="K11667" s="4"/>
      <c r="L11667" s="33" t="str">
        <f>IFERROR(VLOOKUP($J11667,'Informations sur les produits'!$A$3:$H$10000,8,FALSE),"0")</f>
        <v>0</v>
      </c>
      <c r="N11667" s="8"/>
      <c r="O11667" s="33" t="str">
        <f>IFERROR(VLOOKUP($M11667,'Informations sur les produits'!$A$3:$H$10000,8,FALSE),"0")</f>
        <v>0</v>
      </c>
      <c r="P11667" s="33">
        <f t="shared" si="728"/>
        <v>0</v>
      </c>
      <c r="Q11667" s="31" t="str">
        <f t="shared" si="729"/>
        <v/>
      </c>
      <c r="R11667" s="32" t="str">
        <f>IFERROR(VLOOKUP($D11667,'Informations sur les produits'!$A$3:$B$15000,2,FALSE),"")</f>
        <v/>
      </c>
      <c r="V11667">
        <f t="shared" si="730"/>
        <v>0</v>
      </c>
      <c r="W11667">
        <f t="shared" si="731"/>
        <v>0</v>
      </c>
    </row>
    <row r="11668" spans="5:23" x14ac:dyDescent="0.25">
      <c r="E11668" s="4"/>
      <c r="F11668" s="4"/>
      <c r="G11668" s="33" t="str">
        <f>IFERROR(VLOOKUP($D11668,'Informations sur les produits'!$A$3:$H$10000,8,FALSE),"0")</f>
        <v>0</v>
      </c>
      <c r="K11668" s="4"/>
      <c r="L11668" s="33" t="str">
        <f>IFERROR(VLOOKUP($J11668,'Informations sur les produits'!$A$3:$H$10000,8,FALSE),"0")</f>
        <v>0</v>
      </c>
      <c r="N11668" s="8"/>
      <c r="O11668" s="33" t="str">
        <f>IFERROR(VLOOKUP($M11668,'Informations sur les produits'!$A$3:$H$10000,8,FALSE),"0")</f>
        <v>0</v>
      </c>
      <c r="P11668" s="33">
        <f t="shared" si="728"/>
        <v>0</v>
      </c>
      <c r="Q11668" s="31" t="str">
        <f t="shared" si="729"/>
        <v/>
      </c>
      <c r="R11668" s="32" t="str">
        <f>IFERROR(VLOOKUP($D11668,'Informations sur les produits'!$A$3:$B$15000,2,FALSE),"")</f>
        <v/>
      </c>
      <c r="V11668">
        <f t="shared" si="730"/>
        <v>0</v>
      </c>
      <c r="W11668">
        <f t="shared" si="731"/>
        <v>0</v>
      </c>
    </row>
    <row r="11669" spans="5:23" x14ac:dyDescent="0.25">
      <c r="E11669" s="4"/>
      <c r="F11669" s="4"/>
      <c r="G11669" s="33" t="str">
        <f>IFERROR(VLOOKUP($D11669,'Informations sur les produits'!$A$3:$H$10000,8,FALSE),"0")</f>
        <v>0</v>
      </c>
      <c r="K11669" s="4"/>
      <c r="L11669" s="33" t="str">
        <f>IFERROR(VLOOKUP($J11669,'Informations sur les produits'!$A$3:$H$10000,8,FALSE),"0")</f>
        <v>0</v>
      </c>
      <c r="N11669" s="8"/>
      <c r="O11669" s="33" t="str">
        <f>IFERROR(VLOOKUP($M11669,'Informations sur les produits'!$A$3:$H$10000,8,FALSE),"0")</f>
        <v>0</v>
      </c>
      <c r="P11669" s="33">
        <f t="shared" si="728"/>
        <v>0</v>
      </c>
      <c r="Q11669" s="31" t="str">
        <f t="shared" si="729"/>
        <v/>
      </c>
      <c r="R11669" s="32" t="str">
        <f>IFERROR(VLOOKUP($D11669,'Informations sur les produits'!$A$3:$B$15000,2,FALSE),"")</f>
        <v/>
      </c>
      <c r="V11669">
        <f t="shared" si="730"/>
        <v>0</v>
      </c>
      <c r="W11669">
        <f t="shared" si="731"/>
        <v>0</v>
      </c>
    </row>
    <row r="11670" spans="5:23" x14ac:dyDescent="0.25">
      <c r="E11670" s="4"/>
      <c r="F11670" s="4"/>
      <c r="G11670" s="33" t="str">
        <f>IFERROR(VLOOKUP($D11670,'Informations sur les produits'!$A$3:$H$10000,8,FALSE),"0")</f>
        <v>0</v>
      </c>
      <c r="K11670" s="4"/>
      <c r="L11670" s="33" t="str">
        <f>IFERROR(VLOOKUP($J11670,'Informations sur les produits'!$A$3:$H$10000,8,FALSE),"0")</f>
        <v>0</v>
      </c>
      <c r="N11670" s="8"/>
      <c r="O11670" s="33" t="str">
        <f>IFERROR(VLOOKUP($M11670,'Informations sur les produits'!$A$3:$H$10000,8,FALSE),"0")</f>
        <v>0</v>
      </c>
      <c r="P11670" s="33">
        <f t="shared" si="728"/>
        <v>0</v>
      </c>
      <c r="Q11670" s="31" t="str">
        <f t="shared" si="729"/>
        <v/>
      </c>
      <c r="R11670" s="32" t="str">
        <f>IFERROR(VLOOKUP($D11670,'Informations sur les produits'!$A$3:$B$15000,2,FALSE),"")</f>
        <v/>
      </c>
      <c r="V11670">
        <f t="shared" si="730"/>
        <v>0</v>
      </c>
      <c r="W11670">
        <f t="shared" si="731"/>
        <v>0</v>
      </c>
    </row>
    <row r="11671" spans="5:23" x14ac:dyDescent="0.25">
      <c r="E11671" s="4"/>
      <c r="F11671" s="4"/>
      <c r="G11671" s="33" t="str">
        <f>IFERROR(VLOOKUP($D11671,'Informations sur les produits'!$A$3:$H$10000,8,FALSE),"0")</f>
        <v>0</v>
      </c>
      <c r="K11671" s="4"/>
      <c r="L11671" s="33" t="str">
        <f>IFERROR(VLOOKUP($J11671,'Informations sur les produits'!$A$3:$H$10000,8,FALSE),"0")</f>
        <v>0</v>
      </c>
      <c r="N11671" s="8"/>
      <c r="O11671" s="33" t="str">
        <f>IFERROR(VLOOKUP($M11671,'Informations sur les produits'!$A$3:$H$10000,8,FALSE),"0")</f>
        <v>0</v>
      </c>
      <c r="P11671" s="33">
        <f t="shared" si="728"/>
        <v>0</v>
      </c>
      <c r="Q11671" s="31" t="str">
        <f t="shared" si="729"/>
        <v/>
      </c>
      <c r="R11671" s="32" t="str">
        <f>IFERROR(VLOOKUP($D11671,'Informations sur les produits'!$A$3:$B$15000,2,FALSE),"")</f>
        <v/>
      </c>
      <c r="V11671">
        <f t="shared" si="730"/>
        <v>0</v>
      </c>
      <c r="W11671">
        <f t="shared" si="731"/>
        <v>0</v>
      </c>
    </row>
    <row r="11672" spans="5:23" x14ac:dyDescent="0.25">
      <c r="E11672" s="4"/>
      <c r="F11672" s="4"/>
      <c r="G11672" s="33" t="str">
        <f>IFERROR(VLOOKUP($D11672,'Informations sur les produits'!$A$3:$H$10000,8,FALSE),"0")</f>
        <v>0</v>
      </c>
      <c r="K11672" s="4"/>
      <c r="L11672" s="33" t="str">
        <f>IFERROR(VLOOKUP($J11672,'Informations sur les produits'!$A$3:$H$10000,8,FALSE),"0")</f>
        <v>0</v>
      </c>
      <c r="N11672" s="8"/>
      <c r="O11672" s="33" t="str">
        <f>IFERROR(VLOOKUP($M11672,'Informations sur les produits'!$A$3:$H$10000,8,FALSE),"0")</f>
        <v>0</v>
      </c>
      <c r="P11672" s="33">
        <f t="shared" si="728"/>
        <v>0</v>
      </c>
      <c r="Q11672" s="31" t="str">
        <f t="shared" si="729"/>
        <v/>
      </c>
      <c r="R11672" s="32" t="str">
        <f>IFERROR(VLOOKUP($D11672,'Informations sur les produits'!$A$3:$B$15000,2,FALSE),"")</f>
        <v/>
      </c>
      <c r="V11672">
        <f t="shared" si="730"/>
        <v>0</v>
      </c>
      <c r="W11672">
        <f t="shared" si="731"/>
        <v>0</v>
      </c>
    </row>
    <row r="11673" spans="5:23" x14ac:dyDescent="0.25">
      <c r="E11673" s="4"/>
      <c r="F11673" s="4"/>
      <c r="G11673" s="33" t="str">
        <f>IFERROR(VLOOKUP($D11673,'Informations sur les produits'!$A$3:$H$10000,8,FALSE),"0")</f>
        <v>0</v>
      </c>
      <c r="K11673" s="4"/>
      <c r="L11673" s="33" t="str">
        <f>IFERROR(VLOOKUP($J11673,'Informations sur les produits'!$A$3:$H$10000,8,FALSE),"0")</f>
        <v>0</v>
      </c>
      <c r="N11673" s="8"/>
      <c r="O11673" s="33" t="str">
        <f>IFERROR(VLOOKUP($M11673,'Informations sur les produits'!$A$3:$H$10000,8,FALSE),"0")</f>
        <v>0</v>
      </c>
      <c r="P11673" s="33">
        <f t="shared" si="728"/>
        <v>0</v>
      </c>
      <c r="Q11673" s="31" t="str">
        <f t="shared" si="729"/>
        <v/>
      </c>
      <c r="R11673" s="32" t="str">
        <f>IFERROR(VLOOKUP($D11673,'Informations sur les produits'!$A$3:$B$15000,2,FALSE),"")</f>
        <v/>
      </c>
      <c r="V11673">
        <f t="shared" si="730"/>
        <v>0</v>
      </c>
      <c r="W11673">
        <f t="shared" si="731"/>
        <v>0</v>
      </c>
    </row>
    <row r="11674" spans="5:23" x14ac:dyDescent="0.25">
      <c r="E11674" s="4"/>
      <c r="F11674" s="4"/>
      <c r="G11674" s="33" t="str">
        <f>IFERROR(VLOOKUP($D11674,'Informations sur les produits'!$A$3:$H$10000,8,FALSE),"0")</f>
        <v>0</v>
      </c>
      <c r="K11674" s="4"/>
      <c r="L11674" s="33" t="str">
        <f>IFERROR(VLOOKUP($J11674,'Informations sur les produits'!$A$3:$H$10000,8,FALSE),"0")</f>
        <v>0</v>
      </c>
      <c r="N11674" s="8"/>
      <c r="O11674" s="33" t="str">
        <f>IFERROR(VLOOKUP($M11674,'Informations sur les produits'!$A$3:$H$10000,8,FALSE),"0")</f>
        <v>0</v>
      </c>
      <c r="P11674" s="33">
        <f t="shared" si="728"/>
        <v>0</v>
      </c>
      <c r="Q11674" s="31" t="str">
        <f t="shared" si="729"/>
        <v/>
      </c>
      <c r="R11674" s="32" t="str">
        <f>IFERROR(VLOOKUP($D11674,'Informations sur les produits'!$A$3:$B$15000,2,FALSE),"")</f>
        <v/>
      </c>
      <c r="V11674">
        <f t="shared" si="730"/>
        <v>0</v>
      </c>
      <c r="W11674">
        <f t="shared" si="731"/>
        <v>0</v>
      </c>
    </row>
    <row r="11675" spans="5:23" x14ac:dyDescent="0.25">
      <c r="E11675" s="4"/>
      <c r="F11675" s="4"/>
      <c r="G11675" s="33" t="str">
        <f>IFERROR(VLOOKUP($D11675,'Informations sur les produits'!$A$3:$H$10000,8,FALSE),"0")</f>
        <v>0</v>
      </c>
      <c r="K11675" s="4"/>
      <c r="L11675" s="33" t="str">
        <f>IFERROR(VLOOKUP($J11675,'Informations sur les produits'!$A$3:$H$10000,8,FALSE),"0")</f>
        <v>0</v>
      </c>
      <c r="N11675" s="8"/>
      <c r="O11675" s="33" t="str">
        <f>IFERROR(VLOOKUP($M11675,'Informations sur les produits'!$A$3:$H$10000,8,FALSE),"0")</f>
        <v>0</v>
      </c>
      <c r="P11675" s="33">
        <f t="shared" si="728"/>
        <v>0</v>
      </c>
      <c r="Q11675" s="31" t="str">
        <f t="shared" si="729"/>
        <v/>
      </c>
      <c r="R11675" s="32" t="str">
        <f>IFERROR(VLOOKUP($D11675,'Informations sur les produits'!$A$3:$B$15000,2,FALSE),"")</f>
        <v/>
      </c>
      <c r="V11675">
        <f t="shared" si="730"/>
        <v>0</v>
      </c>
      <c r="W11675">
        <f t="shared" si="731"/>
        <v>0</v>
      </c>
    </row>
    <row r="11676" spans="5:23" x14ac:dyDescent="0.25">
      <c r="E11676" s="4"/>
      <c r="F11676" s="4"/>
      <c r="G11676" s="33" t="str">
        <f>IFERROR(VLOOKUP($D11676,'Informations sur les produits'!$A$3:$H$10000,8,FALSE),"0")</f>
        <v>0</v>
      </c>
      <c r="K11676" s="4"/>
      <c r="L11676" s="33" t="str">
        <f>IFERROR(VLOOKUP($J11676,'Informations sur les produits'!$A$3:$H$10000,8,FALSE),"0")</f>
        <v>0</v>
      </c>
      <c r="N11676" s="8"/>
      <c r="O11676" s="33" t="str">
        <f>IFERROR(VLOOKUP($M11676,'Informations sur les produits'!$A$3:$H$10000,8,FALSE),"0")</f>
        <v>0</v>
      </c>
      <c r="P11676" s="33">
        <f t="shared" si="728"/>
        <v>0</v>
      </c>
      <c r="Q11676" s="31" t="str">
        <f t="shared" si="729"/>
        <v/>
      </c>
      <c r="R11676" s="32" t="str">
        <f>IFERROR(VLOOKUP($D11676,'Informations sur les produits'!$A$3:$B$15000,2,FALSE),"")</f>
        <v/>
      </c>
      <c r="V11676">
        <f t="shared" si="730"/>
        <v>0</v>
      </c>
      <c r="W11676">
        <f t="shared" si="731"/>
        <v>0</v>
      </c>
    </row>
    <row r="11677" spans="5:23" x14ac:dyDescent="0.25">
      <c r="E11677" s="4"/>
      <c r="F11677" s="4"/>
      <c r="G11677" s="33" t="str">
        <f>IFERROR(VLOOKUP($D11677,'Informations sur les produits'!$A$3:$H$10000,8,FALSE),"0")</f>
        <v>0</v>
      </c>
      <c r="K11677" s="4"/>
      <c r="L11677" s="33" t="str">
        <f>IFERROR(VLOOKUP($J11677,'Informations sur les produits'!$A$3:$H$10000,8,FALSE),"0")</f>
        <v>0</v>
      </c>
      <c r="N11677" s="8"/>
      <c r="O11677" s="33" t="str">
        <f>IFERROR(VLOOKUP($M11677,'Informations sur les produits'!$A$3:$H$10000,8,FALSE),"0")</f>
        <v>0</v>
      </c>
      <c r="P11677" s="33">
        <f t="shared" si="728"/>
        <v>0</v>
      </c>
      <c r="Q11677" s="31" t="str">
        <f t="shared" si="729"/>
        <v/>
      </c>
      <c r="R11677" s="32" t="str">
        <f>IFERROR(VLOOKUP($D11677,'Informations sur les produits'!$A$3:$B$15000,2,FALSE),"")</f>
        <v/>
      </c>
      <c r="V11677">
        <f t="shared" si="730"/>
        <v>0</v>
      </c>
      <c r="W11677">
        <f t="shared" si="731"/>
        <v>0</v>
      </c>
    </row>
    <row r="11678" spans="5:23" x14ac:dyDescent="0.25">
      <c r="E11678" s="4"/>
      <c r="F11678" s="4"/>
      <c r="G11678" s="33" t="str">
        <f>IFERROR(VLOOKUP($D11678,'Informations sur les produits'!$A$3:$H$10000,8,FALSE),"0")</f>
        <v>0</v>
      </c>
      <c r="K11678" s="4"/>
      <c r="L11678" s="33" t="str">
        <f>IFERROR(VLOOKUP($J11678,'Informations sur les produits'!$A$3:$H$10000,8,FALSE),"0")</f>
        <v>0</v>
      </c>
      <c r="N11678" s="8"/>
      <c r="O11678" s="33" t="str">
        <f>IFERROR(VLOOKUP($M11678,'Informations sur les produits'!$A$3:$H$10000,8,FALSE),"0")</f>
        <v>0</v>
      </c>
      <c r="P11678" s="33">
        <f t="shared" si="728"/>
        <v>0</v>
      </c>
      <c r="Q11678" s="31" t="str">
        <f t="shared" si="729"/>
        <v/>
      </c>
      <c r="R11678" s="32" t="str">
        <f>IFERROR(VLOOKUP($D11678,'Informations sur les produits'!$A$3:$B$15000,2,FALSE),"")</f>
        <v/>
      </c>
      <c r="V11678">
        <f t="shared" si="730"/>
        <v>0</v>
      </c>
      <c r="W11678">
        <f t="shared" si="731"/>
        <v>0</v>
      </c>
    </row>
    <row r="11679" spans="5:23" x14ac:dyDescent="0.25">
      <c r="E11679" s="4"/>
      <c r="F11679" s="4"/>
      <c r="G11679" s="33" t="str">
        <f>IFERROR(VLOOKUP($D11679,'Informations sur les produits'!$A$3:$H$10000,8,FALSE),"0")</f>
        <v>0</v>
      </c>
      <c r="K11679" s="4"/>
      <c r="L11679" s="33" t="str">
        <f>IFERROR(VLOOKUP($J11679,'Informations sur les produits'!$A$3:$H$10000,8,FALSE),"0")</f>
        <v>0</v>
      </c>
      <c r="N11679" s="8"/>
      <c r="O11679" s="33" t="str">
        <f>IFERROR(VLOOKUP($M11679,'Informations sur les produits'!$A$3:$H$10000,8,FALSE),"0")</f>
        <v>0</v>
      </c>
      <c r="P11679" s="33">
        <f t="shared" si="728"/>
        <v>0</v>
      </c>
      <c r="Q11679" s="31" t="str">
        <f t="shared" si="729"/>
        <v/>
      </c>
      <c r="R11679" s="32" t="str">
        <f>IFERROR(VLOOKUP($D11679,'Informations sur les produits'!$A$3:$B$15000,2,FALSE),"")</f>
        <v/>
      </c>
      <c r="V11679">
        <f t="shared" si="730"/>
        <v>0</v>
      </c>
      <c r="W11679">
        <f t="shared" si="731"/>
        <v>0</v>
      </c>
    </row>
    <row r="11680" spans="5:23" x14ac:dyDescent="0.25">
      <c r="E11680" s="4"/>
      <c r="F11680" s="4"/>
      <c r="G11680" s="33" t="str">
        <f>IFERROR(VLOOKUP($D11680,'Informations sur les produits'!$A$3:$H$10000,8,FALSE),"0")</f>
        <v>0</v>
      </c>
      <c r="K11680" s="4"/>
      <c r="L11680" s="33" t="str">
        <f>IFERROR(VLOOKUP($J11680,'Informations sur les produits'!$A$3:$H$10000,8,FALSE),"0")</f>
        <v>0</v>
      </c>
      <c r="N11680" s="8"/>
      <c r="O11680" s="33" t="str">
        <f>IFERROR(VLOOKUP($M11680,'Informations sur les produits'!$A$3:$H$10000,8,FALSE),"0")</f>
        <v>0</v>
      </c>
      <c r="P11680" s="33">
        <f t="shared" si="728"/>
        <v>0</v>
      </c>
      <c r="Q11680" s="31" t="str">
        <f t="shared" si="729"/>
        <v/>
      </c>
      <c r="R11680" s="32" t="str">
        <f>IFERROR(VLOOKUP($D11680,'Informations sur les produits'!$A$3:$B$15000,2,FALSE),"")</f>
        <v/>
      </c>
      <c r="V11680">
        <f t="shared" si="730"/>
        <v>0</v>
      </c>
      <c r="W11680">
        <f t="shared" si="731"/>
        <v>0</v>
      </c>
    </row>
    <row r="11681" spans="5:23" x14ac:dyDescent="0.25">
      <c r="E11681" s="4"/>
      <c r="F11681" s="4"/>
      <c r="G11681" s="33" t="str">
        <f>IFERROR(VLOOKUP($D11681,'Informations sur les produits'!$A$3:$H$10000,8,FALSE),"0")</f>
        <v>0</v>
      </c>
      <c r="K11681" s="4"/>
      <c r="L11681" s="33" t="str">
        <f>IFERROR(VLOOKUP($J11681,'Informations sur les produits'!$A$3:$H$10000,8,FALSE),"0")</f>
        <v>0</v>
      </c>
      <c r="N11681" s="8"/>
      <c r="O11681" s="33" t="str">
        <f>IFERROR(VLOOKUP($M11681,'Informations sur les produits'!$A$3:$H$10000,8,FALSE),"0")</f>
        <v>0</v>
      </c>
      <c r="P11681" s="33">
        <f t="shared" si="728"/>
        <v>0</v>
      </c>
      <c r="Q11681" s="31" t="str">
        <f t="shared" si="729"/>
        <v/>
      </c>
      <c r="R11681" s="32" t="str">
        <f>IFERROR(VLOOKUP($D11681,'Informations sur les produits'!$A$3:$B$15000,2,FALSE),"")</f>
        <v/>
      </c>
      <c r="V11681">
        <f t="shared" si="730"/>
        <v>0</v>
      </c>
      <c r="W11681">
        <f t="shared" si="731"/>
        <v>0</v>
      </c>
    </row>
    <row r="11682" spans="5:23" x14ac:dyDescent="0.25">
      <c r="E11682" s="4"/>
      <c r="F11682" s="4"/>
      <c r="G11682" s="33" t="str">
        <f>IFERROR(VLOOKUP($D11682,'Informations sur les produits'!$A$3:$H$10000,8,FALSE),"0")</f>
        <v>0</v>
      </c>
      <c r="K11682" s="4"/>
      <c r="L11682" s="33" t="str">
        <f>IFERROR(VLOOKUP($J11682,'Informations sur les produits'!$A$3:$H$10000,8,FALSE),"0")</f>
        <v>0</v>
      </c>
      <c r="N11682" s="8"/>
      <c r="O11682" s="33" t="str">
        <f>IFERROR(VLOOKUP($M11682,'Informations sur les produits'!$A$3:$H$10000,8,FALSE),"0")</f>
        <v>0</v>
      </c>
      <c r="P11682" s="33">
        <f t="shared" si="728"/>
        <v>0</v>
      </c>
      <c r="Q11682" s="31" t="str">
        <f t="shared" si="729"/>
        <v/>
      </c>
      <c r="R11682" s="32" t="str">
        <f>IFERROR(VLOOKUP($D11682,'Informations sur les produits'!$A$3:$B$15000,2,FALSE),"")</f>
        <v/>
      </c>
      <c r="V11682">
        <f t="shared" si="730"/>
        <v>0</v>
      </c>
      <c r="W11682">
        <f t="shared" si="731"/>
        <v>0</v>
      </c>
    </row>
    <row r="11683" spans="5:23" x14ac:dyDescent="0.25">
      <c r="E11683" s="4"/>
      <c r="F11683" s="4"/>
      <c r="G11683" s="33" t="str">
        <f>IFERROR(VLOOKUP($D11683,'Informations sur les produits'!$A$3:$H$10000,8,FALSE),"0")</f>
        <v>0</v>
      </c>
      <c r="K11683" s="4"/>
      <c r="L11683" s="33" t="str">
        <f>IFERROR(VLOOKUP($J11683,'Informations sur les produits'!$A$3:$H$10000,8,FALSE),"0")</f>
        <v>0</v>
      </c>
      <c r="N11683" s="8"/>
      <c r="O11683" s="33" t="str">
        <f>IFERROR(VLOOKUP($M11683,'Informations sur les produits'!$A$3:$H$10000,8,FALSE),"0")</f>
        <v>0</v>
      </c>
      <c r="P11683" s="33">
        <f t="shared" si="728"/>
        <v>0</v>
      </c>
      <c r="Q11683" s="31" t="str">
        <f t="shared" si="729"/>
        <v/>
      </c>
      <c r="R11683" s="32" t="str">
        <f>IFERROR(VLOOKUP($D11683,'Informations sur les produits'!$A$3:$B$15000,2,FALSE),"")</f>
        <v/>
      </c>
      <c r="V11683">
        <f t="shared" si="730"/>
        <v>0</v>
      </c>
      <c r="W11683">
        <f t="shared" si="731"/>
        <v>0</v>
      </c>
    </row>
    <row r="11684" spans="5:23" x14ac:dyDescent="0.25">
      <c r="E11684" s="4"/>
      <c r="F11684" s="4"/>
      <c r="G11684" s="33" t="str">
        <f>IFERROR(VLOOKUP($D11684,'Informations sur les produits'!$A$3:$H$10000,8,FALSE),"0")</f>
        <v>0</v>
      </c>
      <c r="K11684" s="4"/>
      <c r="L11684" s="33" t="str">
        <f>IFERROR(VLOOKUP($J11684,'Informations sur les produits'!$A$3:$H$10000,8,FALSE),"0")</f>
        <v>0</v>
      </c>
      <c r="N11684" s="8"/>
      <c r="O11684" s="33" t="str">
        <f>IFERROR(VLOOKUP($M11684,'Informations sur les produits'!$A$3:$H$10000,8,FALSE),"0")</f>
        <v>0</v>
      </c>
      <c r="P11684" s="33">
        <f t="shared" si="728"/>
        <v>0</v>
      </c>
      <c r="Q11684" s="31" t="str">
        <f t="shared" si="729"/>
        <v/>
      </c>
      <c r="R11684" s="32" t="str">
        <f>IFERROR(VLOOKUP($D11684,'Informations sur les produits'!$A$3:$B$15000,2,FALSE),"")</f>
        <v/>
      </c>
      <c r="V11684">
        <f t="shared" si="730"/>
        <v>0</v>
      </c>
      <c r="W11684">
        <f t="shared" si="731"/>
        <v>0</v>
      </c>
    </row>
    <row r="11685" spans="5:23" x14ac:dyDescent="0.25">
      <c r="E11685" s="4"/>
      <c r="F11685" s="4"/>
      <c r="G11685" s="33" t="str">
        <f>IFERROR(VLOOKUP($D11685,'Informations sur les produits'!$A$3:$H$10000,8,FALSE),"0")</f>
        <v>0</v>
      </c>
      <c r="K11685" s="4"/>
      <c r="L11685" s="33" t="str">
        <f>IFERROR(VLOOKUP($J11685,'Informations sur les produits'!$A$3:$H$10000,8,FALSE),"0")</f>
        <v>0</v>
      </c>
      <c r="N11685" s="8"/>
      <c r="O11685" s="33" t="str">
        <f>IFERROR(VLOOKUP($M11685,'Informations sur les produits'!$A$3:$H$10000,8,FALSE),"0")</f>
        <v>0</v>
      </c>
      <c r="P11685" s="33">
        <f t="shared" si="728"/>
        <v>0</v>
      </c>
      <c r="Q11685" s="31" t="str">
        <f t="shared" si="729"/>
        <v/>
      </c>
      <c r="R11685" s="32" t="str">
        <f>IFERROR(VLOOKUP($D11685,'Informations sur les produits'!$A$3:$B$15000,2,FALSE),"")</f>
        <v/>
      </c>
      <c r="V11685">
        <f t="shared" si="730"/>
        <v>0</v>
      </c>
      <c r="W11685">
        <f t="shared" si="731"/>
        <v>0</v>
      </c>
    </row>
    <row r="11686" spans="5:23" x14ac:dyDescent="0.25">
      <c r="E11686" s="4"/>
      <c r="F11686" s="4"/>
      <c r="G11686" s="33" t="str">
        <f>IFERROR(VLOOKUP($D11686,'Informations sur les produits'!$A$3:$H$10000,8,FALSE),"0")</f>
        <v>0</v>
      </c>
      <c r="K11686" s="4"/>
      <c r="L11686" s="33" t="str">
        <f>IFERROR(VLOOKUP($J11686,'Informations sur les produits'!$A$3:$H$10000,8,FALSE),"0")</f>
        <v>0</v>
      </c>
      <c r="N11686" s="8"/>
      <c r="O11686" s="33" t="str">
        <f>IFERROR(VLOOKUP($M11686,'Informations sur les produits'!$A$3:$H$10000,8,FALSE),"0")</f>
        <v>0</v>
      </c>
      <c r="P11686" s="33">
        <f t="shared" si="728"/>
        <v>0</v>
      </c>
      <c r="Q11686" s="31" t="str">
        <f t="shared" si="729"/>
        <v/>
      </c>
      <c r="R11686" s="32" t="str">
        <f>IFERROR(VLOOKUP($D11686,'Informations sur les produits'!$A$3:$B$15000,2,FALSE),"")</f>
        <v/>
      </c>
      <c r="V11686">
        <f t="shared" si="730"/>
        <v>0</v>
      </c>
      <c r="W11686">
        <f t="shared" si="731"/>
        <v>0</v>
      </c>
    </row>
    <row r="11687" spans="5:23" x14ac:dyDescent="0.25">
      <c r="E11687" s="4"/>
      <c r="F11687" s="4"/>
      <c r="G11687" s="33" t="str">
        <f>IFERROR(VLOOKUP($D11687,'Informations sur les produits'!$A$3:$H$10000,8,FALSE),"0")</f>
        <v>0</v>
      </c>
      <c r="K11687" s="4"/>
      <c r="L11687" s="33" t="str">
        <f>IFERROR(VLOOKUP($J11687,'Informations sur les produits'!$A$3:$H$10000,8,FALSE),"0")</f>
        <v>0</v>
      </c>
      <c r="N11687" s="8"/>
      <c r="O11687" s="33" t="str">
        <f>IFERROR(VLOOKUP($M11687,'Informations sur les produits'!$A$3:$H$10000,8,FALSE),"0")</f>
        <v>0</v>
      </c>
      <c r="P11687" s="33">
        <f t="shared" si="728"/>
        <v>0</v>
      </c>
      <c r="Q11687" s="31" t="str">
        <f t="shared" si="729"/>
        <v/>
      </c>
      <c r="R11687" s="32" t="str">
        <f>IFERROR(VLOOKUP($D11687,'Informations sur les produits'!$A$3:$B$15000,2,FALSE),"")</f>
        <v/>
      </c>
      <c r="V11687">
        <f t="shared" si="730"/>
        <v>0</v>
      </c>
      <c r="W11687">
        <f t="shared" si="731"/>
        <v>0</v>
      </c>
    </row>
    <row r="11688" spans="5:23" x14ac:dyDescent="0.25">
      <c r="E11688" s="4"/>
      <c r="F11688" s="4"/>
      <c r="G11688" s="33" t="str">
        <f>IFERROR(VLOOKUP($D11688,'Informations sur les produits'!$A$3:$H$10000,8,FALSE),"0")</f>
        <v>0</v>
      </c>
      <c r="K11688" s="4"/>
      <c r="L11688" s="33" t="str">
        <f>IFERROR(VLOOKUP($J11688,'Informations sur les produits'!$A$3:$H$10000,8,FALSE),"0")</f>
        <v>0</v>
      </c>
      <c r="N11688" s="8"/>
      <c r="O11688" s="33" t="str">
        <f>IFERROR(VLOOKUP($M11688,'Informations sur les produits'!$A$3:$H$10000,8,FALSE),"0")</f>
        <v>0</v>
      </c>
      <c r="P11688" s="33">
        <f t="shared" si="728"/>
        <v>0</v>
      </c>
      <c r="Q11688" s="31" t="str">
        <f t="shared" si="729"/>
        <v/>
      </c>
      <c r="R11688" s="32" t="str">
        <f>IFERROR(VLOOKUP($D11688,'Informations sur les produits'!$A$3:$B$15000,2,FALSE),"")</f>
        <v/>
      </c>
      <c r="V11688">
        <f t="shared" si="730"/>
        <v>0</v>
      </c>
      <c r="W11688">
        <f t="shared" si="731"/>
        <v>0</v>
      </c>
    </row>
    <row r="11689" spans="5:23" x14ac:dyDescent="0.25">
      <c r="E11689" s="4"/>
      <c r="F11689" s="4"/>
      <c r="G11689" s="33" t="str">
        <f>IFERROR(VLOOKUP($D11689,'Informations sur les produits'!$A$3:$H$10000,8,FALSE),"0")</f>
        <v>0</v>
      </c>
      <c r="K11689" s="4"/>
      <c r="L11689" s="33" t="str">
        <f>IFERROR(VLOOKUP($J11689,'Informations sur les produits'!$A$3:$H$10000,8,FALSE),"0")</f>
        <v>0</v>
      </c>
      <c r="N11689" s="8"/>
      <c r="O11689" s="33" t="str">
        <f>IFERROR(VLOOKUP($M11689,'Informations sur les produits'!$A$3:$H$10000,8,FALSE),"0")</f>
        <v>0</v>
      </c>
      <c r="P11689" s="33">
        <f t="shared" si="728"/>
        <v>0</v>
      </c>
      <c r="Q11689" s="31" t="str">
        <f t="shared" si="729"/>
        <v/>
      </c>
      <c r="R11689" s="32" t="str">
        <f>IFERROR(VLOOKUP($D11689,'Informations sur les produits'!$A$3:$B$15000,2,FALSE),"")</f>
        <v/>
      </c>
      <c r="V11689">
        <f t="shared" si="730"/>
        <v>0</v>
      </c>
      <c r="W11689">
        <f t="shared" si="731"/>
        <v>0</v>
      </c>
    </row>
    <row r="11690" spans="5:23" x14ac:dyDescent="0.25">
      <c r="E11690" s="4"/>
      <c r="F11690" s="4"/>
      <c r="G11690" s="33" t="str">
        <f>IFERROR(VLOOKUP($D11690,'Informations sur les produits'!$A$3:$H$10000,8,FALSE),"0")</f>
        <v>0</v>
      </c>
      <c r="K11690" s="4"/>
      <c r="L11690" s="33" t="str">
        <f>IFERROR(VLOOKUP($J11690,'Informations sur les produits'!$A$3:$H$10000,8,FALSE),"0")</f>
        <v>0</v>
      </c>
      <c r="N11690" s="8"/>
      <c r="O11690" s="33" t="str">
        <f>IFERROR(VLOOKUP($M11690,'Informations sur les produits'!$A$3:$H$10000,8,FALSE),"0")</f>
        <v>0</v>
      </c>
      <c r="P11690" s="33">
        <f t="shared" si="728"/>
        <v>0</v>
      </c>
      <c r="Q11690" s="31" t="str">
        <f t="shared" si="729"/>
        <v/>
      </c>
      <c r="R11690" s="32" t="str">
        <f>IFERROR(VLOOKUP($D11690,'Informations sur les produits'!$A$3:$B$15000,2,FALSE),"")</f>
        <v/>
      </c>
      <c r="V11690">
        <f t="shared" si="730"/>
        <v>0</v>
      </c>
      <c r="W11690">
        <f t="shared" si="731"/>
        <v>0</v>
      </c>
    </row>
    <row r="11691" spans="5:23" x14ac:dyDescent="0.25">
      <c r="E11691" s="4"/>
      <c r="F11691" s="4"/>
      <c r="G11691" s="33" t="str">
        <f>IFERROR(VLOOKUP($D11691,'Informations sur les produits'!$A$3:$H$10000,8,FALSE),"0")</f>
        <v>0</v>
      </c>
      <c r="K11691" s="4"/>
      <c r="L11691" s="33" t="str">
        <f>IFERROR(VLOOKUP($J11691,'Informations sur les produits'!$A$3:$H$10000,8,FALSE),"0")</f>
        <v>0</v>
      </c>
      <c r="N11691" s="8"/>
      <c r="O11691" s="33" t="str">
        <f>IFERROR(VLOOKUP($M11691,'Informations sur les produits'!$A$3:$H$10000,8,FALSE),"0")</f>
        <v>0</v>
      </c>
      <c r="P11691" s="33">
        <f t="shared" si="728"/>
        <v>0</v>
      </c>
      <c r="Q11691" s="31" t="str">
        <f t="shared" si="729"/>
        <v/>
      </c>
      <c r="R11691" s="32" t="str">
        <f>IFERROR(VLOOKUP($D11691,'Informations sur les produits'!$A$3:$B$15000,2,FALSE),"")</f>
        <v/>
      </c>
      <c r="V11691">
        <f t="shared" si="730"/>
        <v>0</v>
      </c>
      <c r="W11691">
        <f t="shared" si="731"/>
        <v>0</v>
      </c>
    </row>
    <row r="11692" spans="5:23" x14ac:dyDescent="0.25">
      <c r="E11692" s="4"/>
      <c r="F11692" s="4"/>
      <c r="G11692" s="33" t="str">
        <f>IFERROR(VLOOKUP($D11692,'Informations sur les produits'!$A$3:$H$10000,8,FALSE),"0")</f>
        <v>0</v>
      </c>
      <c r="K11692" s="4"/>
      <c r="L11692" s="33" t="str">
        <f>IFERROR(VLOOKUP($J11692,'Informations sur les produits'!$A$3:$H$10000,8,FALSE),"0")</f>
        <v>0</v>
      </c>
      <c r="N11692" s="8"/>
      <c r="O11692" s="33" t="str">
        <f>IFERROR(VLOOKUP($M11692,'Informations sur les produits'!$A$3:$H$10000,8,FALSE),"0")</f>
        <v>0</v>
      </c>
      <c r="P11692" s="33">
        <f t="shared" si="728"/>
        <v>0</v>
      </c>
      <c r="Q11692" s="31" t="str">
        <f t="shared" si="729"/>
        <v/>
      </c>
      <c r="R11692" s="32" t="str">
        <f>IFERROR(VLOOKUP($D11692,'Informations sur les produits'!$A$3:$B$15000,2,FALSE),"")</f>
        <v/>
      </c>
      <c r="V11692">
        <f t="shared" si="730"/>
        <v>0</v>
      </c>
      <c r="W11692">
        <f t="shared" si="731"/>
        <v>0</v>
      </c>
    </row>
    <row r="11693" spans="5:23" x14ac:dyDescent="0.25">
      <c r="E11693" s="4"/>
      <c r="F11693" s="4"/>
      <c r="G11693" s="33" t="str">
        <f>IFERROR(VLOOKUP($D11693,'Informations sur les produits'!$A$3:$H$10000,8,FALSE),"0")</f>
        <v>0</v>
      </c>
      <c r="K11693" s="4"/>
      <c r="L11693" s="33" t="str">
        <f>IFERROR(VLOOKUP($J11693,'Informations sur les produits'!$A$3:$H$10000,8,FALSE),"0")</f>
        <v>0</v>
      </c>
      <c r="N11693" s="8"/>
      <c r="O11693" s="33" t="str">
        <f>IFERROR(VLOOKUP($M11693,'Informations sur les produits'!$A$3:$H$10000,8,FALSE),"0")</f>
        <v>0</v>
      </c>
      <c r="P11693" s="33">
        <f t="shared" si="728"/>
        <v>0</v>
      </c>
      <c r="Q11693" s="31" t="str">
        <f t="shared" si="729"/>
        <v/>
      </c>
      <c r="R11693" s="32" t="str">
        <f>IFERROR(VLOOKUP($D11693,'Informations sur les produits'!$A$3:$B$15000,2,FALSE),"")</f>
        <v/>
      </c>
      <c r="V11693">
        <f t="shared" si="730"/>
        <v>0</v>
      </c>
      <c r="W11693">
        <f t="shared" si="731"/>
        <v>0</v>
      </c>
    </row>
    <row r="11694" spans="5:23" x14ac:dyDescent="0.25">
      <c r="E11694" s="4"/>
      <c r="F11694" s="4"/>
      <c r="G11694" s="33" t="str">
        <f>IFERROR(VLOOKUP($D11694,'Informations sur les produits'!$A$3:$H$10000,8,FALSE),"0")</f>
        <v>0</v>
      </c>
      <c r="K11694" s="4"/>
      <c r="L11694" s="33" t="str">
        <f>IFERROR(VLOOKUP($J11694,'Informations sur les produits'!$A$3:$H$10000,8,FALSE),"0")</f>
        <v>0</v>
      </c>
      <c r="N11694" s="8"/>
      <c r="O11694" s="33" t="str">
        <f>IFERROR(VLOOKUP($M11694,'Informations sur les produits'!$A$3:$H$10000,8,FALSE),"0")</f>
        <v>0</v>
      </c>
      <c r="P11694" s="33">
        <f t="shared" si="728"/>
        <v>0</v>
      </c>
      <c r="Q11694" s="31" t="str">
        <f t="shared" si="729"/>
        <v/>
      </c>
      <c r="R11694" s="32" t="str">
        <f>IFERROR(VLOOKUP($D11694,'Informations sur les produits'!$A$3:$B$15000,2,FALSE),"")</f>
        <v/>
      </c>
      <c r="V11694">
        <f t="shared" si="730"/>
        <v>0</v>
      </c>
      <c r="W11694">
        <f t="shared" si="731"/>
        <v>0</v>
      </c>
    </row>
    <row r="11695" spans="5:23" x14ac:dyDescent="0.25">
      <c r="E11695" s="4"/>
      <c r="F11695" s="4"/>
      <c r="G11695" s="33" t="str">
        <f>IFERROR(VLOOKUP($D11695,'Informations sur les produits'!$A$3:$H$10000,8,FALSE),"0")</f>
        <v>0</v>
      </c>
      <c r="K11695" s="4"/>
      <c r="L11695" s="33" t="str">
        <f>IFERROR(VLOOKUP($J11695,'Informations sur les produits'!$A$3:$H$10000,8,FALSE),"0")</f>
        <v>0</v>
      </c>
      <c r="N11695" s="8"/>
      <c r="O11695" s="33" t="str">
        <f>IFERROR(VLOOKUP($M11695,'Informations sur les produits'!$A$3:$H$10000,8,FALSE),"0")</f>
        <v>0</v>
      </c>
      <c r="P11695" s="33">
        <f t="shared" si="728"/>
        <v>0</v>
      </c>
      <c r="Q11695" s="31" t="str">
        <f t="shared" si="729"/>
        <v/>
      </c>
      <c r="R11695" s="32" t="str">
        <f>IFERROR(VLOOKUP($D11695,'Informations sur les produits'!$A$3:$B$15000,2,FALSE),"")</f>
        <v/>
      </c>
      <c r="V11695">
        <f t="shared" si="730"/>
        <v>0</v>
      </c>
      <c r="W11695">
        <f t="shared" si="731"/>
        <v>0</v>
      </c>
    </row>
    <row r="11696" spans="5:23" x14ac:dyDescent="0.25">
      <c r="E11696" s="4"/>
      <c r="F11696" s="4"/>
      <c r="G11696" s="33" t="str">
        <f>IFERROR(VLOOKUP($D11696,'Informations sur les produits'!$A$3:$H$10000,8,FALSE),"0")</f>
        <v>0</v>
      </c>
      <c r="K11696" s="4"/>
      <c r="L11696" s="33" t="str">
        <f>IFERROR(VLOOKUP($J11696,'Informations sur les produits'!$A$3:$H$10000,8,FALSE),"0")</f>
        <v>0</v>
      </c>
      <c r="N11696" s="8"/>
      <c r="O11696" s="33" t="str">
        <f>IFERROR(VLOOKUP($M11696,'Informations sur les produits'!$A$3:$H$10000,8,FALSE),"0")</f>
        <v>0</v>
      </c>
      <c r="P11696" s="33">
        <f t="shared" si="728"/>
        <v>0</v>
      </c>
      <c r="Q11696" s="31" t="str">
        <f t="shared" si="729"/>
        <v/>
      </c>
      <c r="R11696" s="32" t="str">
        <f>IFERROR(VLOOKUP($D11696,'Informations sur les produits'!$A$3:$B$15000,2,FALSE),"")</f>
        <v/>
      </c>
      <c r="V11696">
        <f t="shared" si="730"/>
        <v>0</v>
      </c>
      <c r="W11696">
        <f t="shared" si="731"/>
        <v>0</v>
      </c>
    </row>
    <row r="11697" spans="5:23" x14ac:dyDescent="0.25">
      <c r="E11697" s="4"/>
      <c r="F11697" s="4"/>
      <c r="G11697" s="33" t="str">
        <f>IFERROR(VLOOKUP($D11697,'Informations sur les produits'!$A$3:$H$10000,8,FALSE),"0")</f>
        <v>0</v>
      </c>
      <c r="K11697" s="4"/>
      <c r="L11697" s="33" t="str">
        <f>IFERROR(VLOOKUP($J11697,'Informations sur les produits'!$A$3:$H$10000,8,FALSE),"0")</f>
        <v>0</v>
      </c>
      <c r="N11697" s="8"/>
      <c r="O11697" s="33" t="str">
        <f>IFERROR(VLOOKUP($M11697,'Informations sur les produits'!$A$3:$H$10000,8,FALSE),"0")</f>
        <v>0</v>
      </c>
      <c r="P11697" s="33">
        <f t="shared" si="728"/>
        <v>0</v>
      </c>
      <c r="Q11697" s="31" t="str">
        <f t="shared" si="729"/>
        <v/>
      </c>
      <c r="R11697" s="32" t="str">
        <f>IFERROR(VLOOKUP($D11697,'Informations sur les produits'!$A$3:$B$15000,2,FALSE),"")</f>
        <v/>
      </c>
      <c r="V11697">
        <f t="shared" si="730"/>
        <v>0</v>
      </c>
      <c r="W11697">
        <f t="shared" si="731"/>
        <v>0</v>
      </c>
    </row>
    <row r="11698" spans="5:23" x14ac:dyDescent="0.25">
      <c r="E11698" s="4"/>
      <c r="F11698" s="4"/>
      <c r="G11698" s="33" t="str">
        <f>IFERROR(VLOOKUP($D11698,'Informations sur les produits'!$A$3:$H$10000,8,FALSE),"0")</f>
        <v>0</v>
      </c>
      <c r="K11698" s="4"/>
      <c r="L11698" s="33" t="str">
        <f>IFERROR(VLOOKUP($J11698,'Informations sur les produits'!$A$3:$H$10000,8,FALSE),"0")</f>
        <v>0</v>
      </c>
      <c r="N11698" s="8"/>
      <c r="O11698" s="33" t="str">
        <f>IFERROR(VLOOKUP($M11698,'Informations sur les produits'!$A$3:$H$10000,8,FALSE),"0")</f>
        <v>0</v>
      </c>
      <c r="P11698" s="33">
        <f t="shared" si="728"/>
        <v>0</v>
      </c>
      <c r="Q11698" s="31" t="str">
        <f t="shared" si="729"/>
        <v/>
      </c>
      <c r="R11698" s="32" t="str">
        <f>IFERROR(VLOOKUP($D11698,'Informations sur les produits'!$A$3:$B$15000,2,FALSE),"")</f>
        <v/>
      </c>
      <c r="V11698">
        <f t="shared" si="730"/>
        <v>0</v>
      </c>
      <c r="W11698">
        <f t="shared" si="731"/>
        <v>0</v>
      </c>
    </row>
    <row r="11699" spans="5:23" x14ac:dyDescent="0.25">
      <c r="E11699" s="4"/>
      <c r="F11699" s="4"/>
      <c r="G11699" s="33" t="str">
        <f>IFERROR(VLOOKUP($D11699,'Informations sur les produits'!$A$3:$H$10000,8,FALSE),"0")</f>
        <v>0</v>
      </c>
      <c r="K11699" s="4"/>
      <c r="L11699" s="33" t="str">
        <f>IFERROR(VLOOKUP($J11699,'Informations sur les produits'!$A$3:$H$10000,8,FALSE),"0")</f>
        <v>0</v>
      </c>
      <c r="N11699" s="8"/>
      <c r="O11699" s="33" t="str">
        <f>IFERROR(VLOOKUP($M11699,'Informations sur les produits'!$A$3:$H$10000,8,FALSE),"0")</f>
        <v>0</v>
      </c>
      <c r="P11699" s="33">
        <f t="shared" si="728"/>
        <v>0</v>
      </c>
      <c r="Q11699" s="31" t="str">
        <f t="shared" si="729"/>
        <v/>
      </c>
      <c r="R11699" s="32" t="str">
        <f>IFERROR(VLOOKUP($D11699,'Informations sur les produits'!$A$3:$B$15000,2,FALSE),"")</f>
        <v/>
      </c>
      <c r="V11699">
        <f t="shared" si="730"/>
        <v>0</v>
      </c>
      <c r="W11699">
        <f t="shared" si="731"/>
        <v>0</v>
      </c>
    </row>
    <row r="11700" spans="5:23" x14ac:dyDescent="0.25">
      <c r="E11700" s="4"/>
      <c r="F11700" s="4"/>
      <c r="G11700" s="33" t="str">
        <f>IFERROR(VLOOKUP($D11700,'Informations sur les produits'!$A$3:$H$10000,8,FALSE),"0")</f>
        <v>0</v>
      </c>
      <c r="K11700" s="4"/>
      <c r="L11700" s="33" t="str">
        <f>IFERROR(VLOOKUP($J11700,'Informations sur les produits'!$A$3:$H$10000,8,FALSE),"0")</f>
        <v>0</v>
      </c>
      <c r="N11700" s="8"/>
      <c r="O11700" s="33" t="str">
        <f>IFERROR(VLOOKUP($M11700,'Informations sur les produits'!$A$3:$H$10000,8,FALSE),"0")</f>
        <v>0</v>
      </c>
      <c r="P11700" s="33">
        <f t="shared" si="728"/>
        <v>0</v>
      </c>
      <c r="Q11700" s="31" t="str">
        <f t="shared" si="729"/>
        <v/>
      </c>
      <c r="R11700" s="32" t="str">
        <f>IFERROR(VLOOKUP($D11700,'Informations sur les produits'!$A$3:$B$15000,2,FALSE),"")</f>
        <v/>
      </c>
      <c r="V11700">
        <f t="shared" si="730"/>
        <v>0</v>
      </c>
      <c r="W11700">
        <f t="shared" si="731"/>
        <v>0</v>
      </c>
    </row>
    <row r="11701" spans="5:23" x14ac:dyDescent="0.25">
      <c r="E11701" s="4"/>
      <c r="F11701" s="4"/>
      <c r="G11701" s="33" t="str">
        <f>IFERROR(VLOOKUP($D11701,'Informations sur les produits'!$A$3:$H$10000,8,FALSE),"0")</f>
        <v>0</v>
      </c>
      <c r="K11701" s="4"/>
      <c r="L11701" s="33" t="str">
        <f>IFERROR(VLOOKUP($J11701,'Informations sur les produits'!$A$3:$H$10000,8,FALSE),"0")</f>
        <v>0</v>
      </c>
      <c r="N11701" s="8"/>
      <c r="O11701" s="33" t="str">
        <f>IFERROR(VLOOKUP($M11701,'Informations sur les produits'!$A$3:$H$10000,8,FALSE),"0")</f>
        <v>0</v>
      </c>
      <c r="P11701" s="33">
        <f t="shared" si="728"/>
        <v>0</v>
      </c>
      <c r="Q11701" s="31" t="str">
        <f t="shared" si="729"/>
        <v/>
      </c>
      <c r="R11701" s="32" t="str">
        <f>IFERROR(VLOOKUP($D11701,'Informations sur les produits'!$A$3:$B$15000,2,FALSE),"")</f>
        <v/>
      </c>
      <c r="V11701">
        <f t="shared" si="730"/>
        <v>0</v>
      </c>
      <c r="W11701">
        <f t="shared" si="731"/>
        <v>0</v>
      </c>
    </row>
    <row r="11702" spans="5:23" x14ac:dyDescent="0.25">
      <c r="E11702" s="4"/>
      <c r="F11702" s="4"/>
      <c r="G11702" s="33" t="str">
        <f>IFERROR(VLOOKUP($D11702,'Informations sur les produits'!$A$3:$H$10000,8,FALSE),"0")</f>
        <v>0</v>
      </c>
      <c r="K11702" s="4"/>
      <c r="L11702" s="33" t="str">
        <f>IFERROR(VLOOKUP($J11702,'Informations sur les produits'!$A$3:$H$10000,8,FALSE),"0")</f>
        <v>0</v>
      </c>
      <c r="N11702" s="8"/>
      <c r="O11702" s="33" t="str">
        <f>IFERROR(VLOOKUP($M11702,'Informations sur les produits'!$A$3:$H$10000,8,FALSE),"0")</f>
        <v>0</v>
      </c>
      <c r="P11702" s="33">
        <f t="shared" si="728"/>
        <v>0</v>
      </c>
      <c r="Q11702" s="31" t="str">
        <f t="shared" si="729"/>
        <v/>
      </c>
      <c r="R11702" s="32" t="str">
        <f>IFERROR(VLOOKUP($D11702,'Informations sur les produits'!$A$3:$B$15000,2,FALSE),"")</f>
        <v/>
      </c>
      <c r="V11702">
        <f t="shared" si="730"/>
        <v>0</v>
      </c>
      <c r="W11702">
        <f t="shared" si="731"/>
        <v>0</v>
      </c>
    </row>
    <row r="11703" spans="5:23" x14ac:dyDescent="0.25">
      <c r="E11703" s="4"/>
      <c r="F11703" s="4"/>
      <c r="G11703" s="33" t="str">
        <f>IFERROR(VLOOKUP($D11703,'Informations sur les produits'!$A$3:$H$10000,8,FALSE),"0")</f>
        <v>0</v>
      </c>
      <c r="K11703" s="4"/>
      <c r="L11703" s="33" t="str">
        <f>IFERROR(VLOOKUP($J11703,'Informations sur les produits'!$A$3:$H$10000,8,FALSE),"0")</f>
        <v>0</v>
      </c>
      <c r="N11703" s="8"/>
      <c r="O11703" s="33" t="str">
        <f>IFERROR(VLOOKUP($M11703,'Informations sur les produits'!$A$3:$H$10000,8,FALSE),"0")</f>
        <v>0</v>
      </c>
      <c r="P11703" s="33">
        <f t="shared" si="728"/>
        <v>0</v>
      </c>
      <c r="Q11703" s="31" t="str">
        <f t="shared" si="729"/>
        <v/>
      </c>
      <c r="R11703" s="32" t="str">
        <f>IFERROR(VLOOKUP($D11703,'Informations sur les produits'!$A$3:$B$15000,2,FALSE),"")</f>
        <v/>
      </c>
      <c r="V11703">
        <f t="shared" si="730"/>
        <v>0</v>
      </c>
      <c r="W11703">
        <f t="shared" si="731"/>
        <v>0</v>
      </c>
    </row>
    <row r="11704" spans="5:23" x14ac:dyDescent="0.25">
      <c r="E11704" s="4"/>
      <c r="F11704" s="4"/>
      <c r="G11704" s="33" t="str">
        <f>IFERROR(VLOOKUP($D11704,'Informations sur les produits'!$A$3:$H$10000,8,FALSE),"0")</f>
        <v>0</v>
      </c>
      <c r="K11704" s="4"/>
      <c r="L11704" s="33" t="str">
        <f>IFERROR(VLOOKUP($J11704,'Informations sur les produits'!$A$3:$H$10000,8,FALSE),"0")</f>
        <v>0</v>
      </c>
      <c r="N11704" s="8"/>
      <c r="O11704" s="33" t="str">
        <f>IFERROR(VLOOKUP($M11704,'Informations sur les produits'!$A$3:$H$10000,8,FALSE),"0")</f>
        <v>0</v>
      </c>
      <c r="P11704" s="33">
        <f t="shared" si="728"/>
        <v>0</v>
      </c>
      <c r="Q11704" s="31" t="str">
        <f t="shared" si="729"/>
        <v/>
      </c>
      <c r="R11704" s="32" t="str">
        <f>IFERROR(VLOOKUP($D11704,'Informations sur les produits'!$A$3:$B$15000,2,FALSE),"")</f>
        <v/>
      </c>
      <c r="V11704">
        <f t="shared" si="730"/>
        <v>0</v>
      </c>
      <c r="W11704">
        <f t="shared" si="731"/>
        <v>0</v>
      </c>
    </row>
    <row r="11705" spans="5:23" x14ac:dyDescent="0.25">
      <c r="E11705" s="4"/>
      <c r="F11705" s="4"/>
      <c r="G11705" s="33" t="str">
        <f>IFERROR(VLOOKUP($D11705,'Informations sur les produits'!$A$3:$H$10000,8,FALSE),"0")</f>
        <v>0</v>
      </c>
      <c r="K11705" s="4"/>
      <c r="L11705" s="33" t="str">
        <f>IFERROR(VLOOKUP($J11705,'Informations sur les produits'!$A$3:$H$10000,8,FALSE),"0")</f>
        <v>0</v>
      </c>
      <c r="N11705" s="8"/>
      <c r="O11705" s="33" t="str">
        <f>IFERROR(VLOOKUP($M11705,'Informations sur les produits'!$A$3:$H$10000,8,FALSE),"0")</f>
        <v>0</v>
      </c>
      <c r="P11705" s="33">
        <f t="shared" si="728"/>
        <v>0</v>
      </c>
      <c r="Q11705" s="31" t="str">
        <f t="shared" si="729"/>
        <v/>
      </c>
      <c r="R11705" s="32" t="str">
        <f>IFERROR(VLOOKUP($D11705,'Informations sur les produits'!$A$3:$B$15000,2,FALSE),"")</f>
        <v/>
      </c>
      <c r="V11705">
        <f t="shared" si="730"/>
        <v>0</v>
      </c>
      <c r="W11705">
        <f t="shared" si="731"/>
        <v>0</v>
      </c>
    </row>
    <row r="11706" spans="5:23" x14ac:dyDescent="0.25">
      <c r="E11706" s="4"/>
      <c r="F11706" s="4"/>
      <c r="G11706" s="33" t="str">
        <f>IFERROR(VLOOKUP($D11706,'Informations sur les produits'!$A$3:$H$10000,8,FALSE),"0")</f>
        <v>0</v>
      </c>
      <c r="K11706" s="4"/>
      <c r="L11706" s="33" t="str">
        <f>IFERROR(VLOOKUP($J11706,'Informations sur les produits'!$A$3:$H$10000,8,FALSE),"0")</f>
        <v>0</v>
      </c>
      <c r="N11706" s="8"/>
      <c r="O11706" s="33" t="str">
        <f>IFERROR(VLOOKUP($M11706,'Informations sur les produits'!$A$3:$H$10000,8,FALSE),"0")</f>
        <v>0</v>
      </c>
      <c r="P11706" s="33">
        <f t="shared" si="728"/>
        <v>0</v>
      </c>
      <c r="Q11706" s="31" t="str">
        <f t="shared" si="729"/>
        <v/>
      </c>
      <c r="R11706" s="32" t="str">
        <f>IFERROR(VLOOKUP($D11706,'Informations sur les produits'!$A$3:$B$15000,2,FALSE),"")</f>
        <v/>
      </c>
      <c r="V11706">
        <f t="shared" si="730"/>
        <v>0</v>
      </c>
      <c r="W11706">
        <f t="shared" si="731"/>
        <v>0</v>
      </c>
    </row>
    <row r="11707" spans="5:23" x14ac:dyDescent="0.25">
      <c r="E11707" s="4"/>
      <c r="F11707" s="4"/>
      <c r="G11707" s="33" t="str">
        <f>IFERROR(VLOOKUP($D11707,'Informations sur les produits'!$A$3:$H$10000,8,FALSE),"0")</f>
        <v>0</v>
      </c>
      <c r="K11707" s="4"/>
      <c r="L11707" s="33" t="str">
        <f>IFERROR(VLOOKUP($J11707,'Informations sur les produits'!$A$3:$H$10000,8,FALSE),"0")</f>
        <v>0</v>
      </c>
      <c r="N11707" s="8"/>
      <c r="O11707" s="33" t="str">
        <f>IFERROR(VLOOKUP($M11707,'Informations sur les produits'!$A$3:$H$10000,8,FALSE),"0")</f>
        <v>0</v>
      </c>
      <c r="P11707" s="33">
        <f t="shared" si="728"/>
        <v>0</v>
      </c>
      <c r="Q11707" s="31" t="str">
        <f t="shared" si="729"/>
        <v/>
      </c>
      <c r="R11707" s="32" t="str">
        <f>IFERROR(VLOOKUP($D11707,'Informations sur les produits'!$A$3:$B$15000,2,FALSE),"")</f>
        <v/>
      </c>
      <c r="V11707">
        <f t="shared" si="730"/>
        <v>0</v>
      </c>
      <c r="W11707">
        <f t="shared" si="731"/>
        <v>0</v>
      </c>
    </row>
    <row r="11708" spans="5:23" x14ac:dyDescent="0.25">
      <c r="E11708" s="4"/>
      <c r="F11708" s="4"/>
      <c r="G11708" s="33" t="str">
        <f>IFERROR(VLOOKUP($D11708,'Informations sur les produits'!$A$3:$H$10000,8,FALSE),"0")</f>
        <v>0</v>
      </c>
      <c r="K11708" s="4"/>
      <c r="L11708" s="33" t="str">
        <f>IFERROR(VLOOKUP($J11708,'Informations sur les produits'!$A$3:$H$10000,8,FALSE),"0")</f>
        <v>0</v>
      </c>
      <c r="N11708" s="8"/>
      <c r="O11708" s="33" t="str">
        <f>IFERROR(VLOOKUP($M11708,'Informations sur les produits'!$A$3:$H$10000,8,FALSE),"0")</f>
        <v>0</v>
      </c>
      <c r="P11708" s="33">
        <f t="shared" si="728"/>
        <v>0</v>
      </c>
      <c r="Q11708" s="31" t="str">
        <f t="shared" si="729"/>
        <v/>
      </c>
      <c r="R11708" s="32" t="str">
        <f>IFERROR(VLOOKUP($D11708,'Informations sur les produits'!$A$3:$B$15000,2,FALSE),"")</f>
        <v/>
      </c>
      <c r="V11708">
        <f t="shared" si="730"/>
        <v>0</v>
      </c>
      <c r="W11708">
        <f t="shared" si="731"/>
        <v>0</v>
      </c>
    </row>
    <row r="11709" spans="5:23" x14ac:dyDescent="0.25">
      <c r="E11709" s="4"/>
      <c r="F11709" s="4"/>
      <c r="G11709" s="33" t="str">
        <f>IFERROR(VLOOKUP($D11709,'Informations sur les produits'!$A$3:$H$10000,8,FALSE),"0")</f>
        <v>0</v>
      </c>
      <c r="K11709" s="4"/>
      <c r="L11709" s="33" t="str">
        <f>IFERROR(VLOOKUP($J11709,'Informations sur les produits'!$A$3:$H$10000,8,FALSE),"0")</f>
        <v>0</v>
      </c>
      <c r="N11709" s="8"/>
      <c r="O11709" s="33" t="str">
        <f>IFERROR(VLOOKUP($M11709,'Informations sur les produits'!$A$3:$H$10000,8,FALSE),"0")</f>
        <v>0</v>
      </c>
      <c r="P11709" s="33">
        <f t="shared" si="728"/>
        <v>0</v>
      </c>
      <c r="Q11709" s="31" t="str">
        <f t="shared" si="729"/>
        <v/>
      </c>
      <c r="R11709" s="32" t="str">
        <f>IFERROR(VLOOKUP($D11709,'Informations sur les produits'!$A$3:$B$15000,2,FALSE),"")</f>
        <v/>
      </c>
      <c r="V11709">
        <f t="shared" si="730"/>
        <v>0</v>
      </c>
      <c r="W11709">
        <f t="shared" si="731"/>
        <v>0</v>
      </c>
    </row>
    <row r="11710" spans="5:23" x14ac:dyDescent="0.25">
      <c r="E11710" s="4"/>
      <c r="F11710" s="4"/>
      <c r="G11710" s="33" t="str">
        <f>IFERROR(VLOOKUP($D11710,'Informations sur les produits'!$A$3:$H$10000,8,FALSE),"0")</f>
        <v>0</v>
      </c>
      <c r="K11710" s="4"/>
      <c r="L11710" s="33" t="str">
        <f>IFERROR(VLOOKUP($J11710,'Informations sur les produits'!$A$3:$H$10000,8,FALSE),"0")</f>
        <v>0</v>
      </c>
      <c r="N11710" s="8"/>
      <c r="O11710" s="33" t="str">
        <f>IFERROR(VLOOKUP($M11710,'Informations sur les produits'!$A$3:$H$10000,8,FALSE),"0")</f>
        <v>0</v>
      </c>
      <c r="P11710" s="33">
        <f t="shared" si="728"/>
        <v>0</v>
      </c>
      <c r="Q11710" s="31" t="str">
        <f t="shared" si="729"/>
        <v/>
      </c>
      <c r="R11710" s="32" t="str">
        <f>IFERROR(VLOOKUP($D11710,'Informations sur les produits'!$A$3:$B$15000,2,FALSE),"")</f>
        <v/>
      </c>
      <c r="V11710">
        <f t="shared" si="730"/>
        <v>0</v>
      </c>
      <c r="W11710">
        <f t="shared" si="731"/>
        <v>0</v>
      </c>
    </row>
    <row r="11711" spans="5:23" x14ac:dyDescent="0.25">
      <c r="E11711" s="4"/>
      <c r="F11711" s="4"/>
      <c r="G11711" s="33" t="str">
        <f>IFERROR(VLOOKUP($D11711,'Informations sur les produits'!$A$3:$H$10000,8,FALSE),"0")</f>
        <v>0</v>
      </c>
      <c r="K11711" s="4"/>
      <c r="L11711" s="33" t="str">
        <f>IFERROR(VLOOKUP($J11711,'Informations sur les produits'!$A$3:$H$10000,8,FALSE),"0")</f>
        <v>0</v>
      </c>
      <c r="N11711" s="8"/>
      <c r="O11711" s="33" t="str">
        <f>IFERROR(VLOOKUP($M11711,'Informations sur les produits'!$A$3:$H$10000,8,FALSE),"0")</f>
        <v>0</v>
      </c>
      <c r="P11711" s="33">
        <f t="shared" si="728"/>
        <v>0</v>
      </c>
      <c r="Q11711" s="31" t="str">
        <f t="shared" si="729"/>
        <v/>
      </c>
      <c r="R11711" s="32" t="str">
        <f>IFERROR(VLOOKUP($D11711,'Informations sur les produits'!$A$3:$B$15000,2,FALSE),"")</f>
        <v/>
      </c>
      <c r="V11711">
        <f t="shared" si="730"/>
        <v>0</v>
      </c>
      <c r="W11711">
        <f t="shared" si="731"/>
        <v>0</v>
      </c>
    </row>
    <row r="11712" spans="5:23" x14ac:dyDescent="0.25">
      <c r="E11712" s="4"/>
      <c r="F11712" s="4"/>
      <c r="G11712" s="33" t="str">
        <f>IFERROR(VLOOKUP($D11712,'Informations sur les produits'!$A$3:$H$10000,8,FALSE),"0")</f>
        <v>0</v>
      </c>
      <c r="K11712" s="4"/>
      <c r="L11712" s="33" t="str">
        <f>IFERROR(VLOOKUP($J11712,'Informations sur les produits'!$A$3:$H$10000,8,FALSE),"0")</f>
        <v>0</v>
      </c>
      <c r="N11712" s="8"/>
      <c r="O11712" s="33" t="str">
        <f>IFERROR(VLOOKUP($M11712,'Informations sur les produits'!$A$3:$H$10000,8,FALSE),"0")</f>
        <v>0</v>
      </c>
      <c r="P11712" s="33">
        <f t="shared" si="728"/>
        <v>0</v>
      </c>
      <c r="Q11712" s="31" t="str">
        <f t="shared" si="729"/>
        <v/>
      </c>
      <c r="R11712" s="32" t="str">
        <f>IFERROR(VLOOKUP($D11712,'Informations sur les produits'!$A$3:$B$15000,2,FALSE),"")</f>
        <v/>
      </c>
      <c r="V11712">
        <f t="shared" si="730"/>
        <v>0</v>
      </c>
      <c r="W11712">
        <f t="shared" si="731"/>
        <v>0</v>
      </c>
    </row>
    <row r="11713" spans="5:23" x14ac:dyDescent="0.25">
      <c r="E11713" s="4"/>
      <c r="F11713" s="4"/>
      <c r="G11713" s="33" t="str">
        <f>IFERROR(VLOOKUP($D11713,'Informations sur les produits'!$A$3:$H$10000,8,FALSE),"0")</f>
        <v>0</v>
      </c>
      <c r="K11713" s="4"/>
      <c r="L11713" s="33" t="str">
        <f>IFERROR(VLOOKUP($J11713,'Informations sur les produits'!$A$3:$H$10000,8,FALSE),"0")</f>
        <v>0</v>
      </c>
      <c r="N11713" s="8"/>
      <c r="O11713" s="33" t="str">
        <f>IFERROR(VLOOKUP($M11713,'Informations sur les produits'!$A$3:$H$10000,8,FALSE),"0")</f>
        <v>0</v>
      </c>
      <c r="P11713" s="33">
        <f t="shared" si="728"/>
        <v>0</v>
      </c>
      <c r="Q11713" s="31" t="str">
        <f t="shared" si="729"/>
        <v/>
      </c>
      <c r="R11713" s="32" t="str">
        <f>IFERROR(VLOOKUP($D11713,'Informations sur les produits'!$A$3:$B$15000,2,FALSE),"")</f>
        <v/>
      </c>
      <c r="V11713">
        <f t="shared" si="730"/>
        <v>0</v>
      </c>
      <c r="W11713">
        <f t="shared" si="731"/>
        <v>0</v>
      </c>
    </row>
    <row r="11714" spans="5:23" x14ac:dyDescent="0.25">
      <c r="E11714" s="4"/>
      <c r="F11714" s="4"/>
      <c r="G11714" s="33" t="str">
        <f>IFERROR(VLOOKUP($D11714,'Informations sur les produits'!$A$3:$H$10000,8,FALSE),"0")</f>
        <v>0</v>
      </c>
      <c r="K11714" s="4"/>
      <c r="L11714" s="33" t="str">
        <f>IFERROR(VLOOKUP($J11714,'Informations sur les produits'!$A$3:$H$10000,8,FALSE),"0")</f>
        <v>0</v>
      </c>
      <c r="N11714" s="8"/>
      <c r="O11714" s="33" t="str">
        <f>IFERROR(VLOOKUP($M11714,'Informations sur les produits'!$A$3:$H$10000,8,FALSE),"0")</f>
        <v>0</v>
      </c>
      <c r="P11714" s="33">
        <f t="shared" si="728"/>
        <v>0</v>
      </c>
      <c r="Q11714" s="31" t="str">
        <f t="shared" si="729"/>
        <v/>
      </c>
      <c r="R11714" s="32" t="str">
        <f>IFERROR(VLOOKUP($D11714,'Informations sur les produits'!$A$3:$B$15000,2,FALSE),"")</f>
        <v/>
      </c>
      <c r="V11714">
        <f t="shared" si="730"/>
        <v>0</v>
      </c>
      <c r="W11714">
        <f t="shared" si="731"/>
        <v>0</v>
      </c>
    </row>
    <row r="11715" spans="5:23" x14ac:dyDescent="0.25">
      <c r="E11715" s="4"/>
      <c r="F11715" s="4"/>
      <c r="G11715" s="33" t="str">
        <f>IFERROR(VLOOKUP($D11715,'Informations sur les produits'!$A$3:$H$10000,8,FALSE),"0")</f>
        <v>0</v>
      </c>
      <c r="K11715" s="4"/>
      <c r="L11715" s="33" t="str">
        <f>IFERROR(VLOOKUP($J11715,'Informations sur les produits'!$A$3:$H$10000,8,FALSE),"0")</f>
        <v>0</v>
      </c>
      <c r="N11715" s="8"/>
      <c r="O11715" s="33" t="str">
        <f>IFERROR(VLOOKUP($M11715,'Informations sur les produits'!$A$3:$H$10000,8,FALSE),"0")</f>
        <v>0</v>
      </c>
      <c r="P11715" s="33">
        <f t="shared" si="728"/>
        <v>0</v>
      </c>
      <c r="Q11715" s="31" t="str">
        <f t="shared" si="729"/>
        <v/>
      </c>
      <c r="R11715" s="32" t="str">
        <f>IFERROR(VLOOKUP($D11715,'Informations sur les produits'!$A$3:$B$15000,2,FALSE),"")</f>
        <v/>
      </c>
      <c r="V11715">
        <f t="shared" si="730"/>
        <v>0</v>
      </c>
      <c r="W11715">
        <f t="shared" si="731"/>
        <v>0</v>
      </c>
    </row>
    <row r="11716" spans="5:23" x14ac:dyDescent="0.25">
      <c r="E11716" s="4"/>
      <c r="F11716" s="4"/>
      <c r="G11716" s="33" t="str">
        <f>IFERROR(VLOOKUP($D11716,'Informations sur les produits'!$A$3:$H$10000,8,FALSE),"0")</f>
        <v>0</v>
      </c>
      <c r="K11716" s="4"/>
      <c r="L11716" s="33" t="str">
        <f>IFERROR(VLOOKUP($J11716,'Informations sur les produits'!$A$3:$H$10000,8,FALSE),"0")</f>
        <v>0</v>
      </c>
      <c r="N11716" s="8"/>
      <c r="O11716" s="33" t="str">
        <f>IFERROR(VLOOKUP($M11716,'Informations sur les produits'!$A$3:$H$10000,8,FALSE),"0")</f>
        <v>0</v>
      </c>
      <c r="P11716" s="33">
        <f t="shared" ref="P11716:P11779" si="732">IFERROR((($E11716-$F11716)*$G11716+$K11716*$L11716+$N11716*$O11716),"")</f>
        <v>0</v>
      </c>
      <c r="Q11716" s="31" t="str">
        <f t="shared" ref="Q11716:Q11779" si="733">IFERROR((((($E11716-$F11716)*$G11716+$K11716*$L11716+$N11716*$O11716)*1000)/(($E11716-$F11716)+$K11716+$N11716)),"")</f>
        <v/>
      </c>
      <c r="R11716" s="32" t="str">
        <f>IFERROR(VLOOKUP($D11716,'Informations sur les produits'!$A$3:$B$15000,2,FALSE),"")</f>
        <v/>
      </c>
      <c r="V11716">
        <f t="shared" ref="V11716:V11779" si="734">IFERROR(P11716*1000,"")</f>
        <v>0</v>
      </c>
      <c r="W11716">
        <f t="shared" ref="W11716:W11779" si="735">IFERROR(($E11716-$F11716)+$K11716+$N11716,"")</f>
        <v>0</v>
      </c>
    </row>
    <row r="11717" spans="5:23" x14ac:dyDescent="0.25">
      <c r="E11717" s="4"/>
      <c r="F11717" s="4"/>
      <c r="G11717" s="33" t="str">
        <f>IFERROR(VLOOKUP($D11717,'Informations sur les produits'!$A$3:$H$10000,8,FALSE),"0")</f>
        <v>0</v>
      </c>
      <c r="K11717" s="4"/>
      <c r="L11717" s="33" t="str">
        <f>IFERROR(VLOOKUP($J11717,'Informations sur les produits'!$A$3:$H$10000,8,FALSE),"0")</f>
        <v>0</v>
      </c>
      <c r="N11717" s="8"/>
      <c r="O11717" s="33" t="str">
        <f>IFERROR(VLOOKUP($M11717,'Informations sur les produits'!$A$3:$H$10000,8,FALSE),"0")</f>
        <v>0</v>
      </c>
      <c r="P11717" s="33">
        <f t="shared" si="732"/>
        <v>0</v>
      </c>
      <c r="Q11717" s="31" t="str">
        <f t="shared" si="733"/>
        <v/>
      </c>
      <c r="R11717" s="32" t="str">
        <f>IFERROR(VLOOKUP($D11717,'Informations sur les produits'!$A$3:$B$15000,2,FALSE),"")</f>
        <v/>
      </c>
      <c r="V11717">
        <f t="shared" si="734"/>
        <v>0</v>
      </c>
      <c r="W11717">
        <f t="shared" si="735"/>
        <v>0</v>
      </c>
    </row>
    <row r="11718" spans="5:23" x14ac:dyDescent="0.25">
      <c r="E11718" s="4"/>
      <c r="F11718" s="4"/>
      <c r="G11718" s="33" t="str">
        <f>IFERROR(VLOOKUP($D11718,'Informations sur les produits'!$A$3:$H$10000,8,FALSE),"0")</f>
        <v>0</v>
      </c>
      <c r="K11718" s="4"/>
      <c r="L11718" s="33" t="str">
        <f>IFERROR(VLOOKUP($J11718,'Informations sur les produits'!$A$3:$H$10000,8,FALSE),"0")</f>
        <v>0</v>
      </c>
      <c r="N11718" s="8"/>
      <c r="O11718" s="33" t="str">
        <f>IFERROR(VLOOKUP($M11718,'Informations sur les produits'!$A$3:$H$10000,8,FALSE),"0")</f>
        <v>0</v>
      </c>
      <c r="P11718" s="33">
        <f t="shared" si="732"/>
        <v>0</v>
      </c>
      <c r="Q11718" s="31" t="str">
        <f t="shared" si="733"/>
        <v/>
      </c>
      <c r="R11718" s="32" t="str">
        <f>IFERROR(VLOOKUP($D11718,'Informations sur les produits'!$A$3:$B$15000,2,FALSE),"")</f>
        <v/>
      </c>
      <c r="V11718">
        <f t="shared" si="734"/>
        <v>0</v>
      </c>
      <c r="W11718">
        <f t="shared" si="735"/>
        <v>0</v>
      </c>
    </row>
    <row r="11719" spans="5:23" x14ac:dyDescent="0.25">
      <c r="E11719" s="4"/>
      <c r="F11719" s="4"/>
      <c r="G11719" s="33" t="str">
        <f>IFERROR(VLOOKUP($D11719,'Informations sur les produits'!$A$3:$H$10000,8,FALSE),"0")</f>
        <v>0</v>
      </c>
      <c r="K11719" s="4"/>
      <c r="L11719" s="33" t="str">
        <f>IFERROR(VLOOKUP($J11719,'Informations sur les produits'!$A$3:$H$10000,8,FALSE),"0")</f>
        <v>0</v>
      </c>
      <c r="N11719" s="8"/>
      <c r="O11719" s="33" t="str">
        <f>IFERROR(VLOOKUP($M11719,'Informations sur les produits'!$A$3:$H$10000,8,FALSE),"0")</f>
        <v>0</v>
      </c>
      <c r="P11719" s="33">
        <f t="shared" si="732"/>
        <v>0</v>
      </c>
      <c r="Q11719" s="31" t="str">
        <f t="shared" si="733"/>
        <v/>
      </c>
      <c r="R11719" s="32" t="str">
        <f>IFERROR(VLOOKUP($D11719,'Informations sur les produits'!$A$3:$B$15000,2,FALSE),"")</f>
        <v/>
      </c>
      <c r="V11719">
        <f t="shared" si="734"/>
        <v>0</v>
      </c>
      <c r="W11719">
        <f t="shared" si="735"/>
        <v>0</v>
      </c>
    </row>
    <row r="11720" spans="5:23" x14ac:dyDescent="0.25">
      <c r="E11720" s="4"/>
      <c r="F11720" s="4"/>
      <c r="G11720" s="33" t="str">
        <f>IFERROR(VLOOKUP($D11720,'Informations sur les produits'!$A$3:$H$10000,8,FALSE),"0")</f>
        <v>0</v>
      </c>
      <c r="K11720" s="4"/>
      <c r="L11720" s="33" t="str">
        <f>IFERROR(VLOOKUP($J11720,'Informations sur les produits'!$A$3:$H$10000,8,FALSE),"0")</f>
        <v>0</v>
      </c>
      <c r="N11720" s="8"/>
      <c r="O11720" s="33" t="str">
        <f>IFERROR(VLOOKUP($M11720,'Informations sur les produits'!$A$3:$H$10000,8,FALSE),"0")</f>
        <v>0</v>
      </c>
      <c r="P11720" s="33">
        <f t="shared" si="732"/>
        <v>0</v>
      </c>
      <c r="Q11720" s="31" t="str">
        <f t="shared" si="733"/>
        <v/>
      </c>
      <c r="R11720" s="32" t="str">
        <f>IFERROR(VLOOKUP($D11720,'Informations sur les produits'!$A$3:$B$15000,2,FALSE),"")</f>
        <v/>
      </c>
      <c r="V11720">
        <f t="shared" si="734"/>
        <v>0</v>
      </c>
      <c r="W11720">
        <f t="shared" si="735"/>
        <v>0</v>
      </c>
    </row>
    <row r="11721" spans="5:23" x14ac:dyDescent="0.25">
      <c r="E11721" s="4"/>
      <c r="F11721" s="4"/>
      <c r="G11721" s="33" t="str">
        <f>IFERROR(VLOOKUP($D11721,'Informations sur les produits'!$A$3:$H$10000,8,FALSE),"0")</f>
        <v>0</v>
      </c>
      <c r="K11721" s="4"/>
      <c r="L11721" s="33" t="str">
        <f>IFERROR(VLOOKUP($J11721,'Informations sur les produits'!$A$3:$H$10000,8,FALSE),"0")</f>
        <v>0</v>
      </c>
      <c r="N11721" s="8"/>
      <c r="O11721" s="33" t="str">
        <f>IFERROR(VLOOKUP($M11721,'Informations sur les produits'!$A$3:$H$10000,8,FALSE),"0")</f>
        <v>0</v>
      </c>
      <c r="P11721" s="33">
        <f t="shared" si="732"/>
        <v>0</v>
      </c>
      <c r="Q11721" s="31" t="str">
        <f t="shared" si="733"/>
        <v/>
      </c>
      <c r="R11721" s="32" t="str">
        <f>IFERROR(VLOOKUP($D11721,'Informations sur les produits'!$A$3:$B$15000,2,FALSE),"")</f>
        <v/>
      </c>
      <c r="V11721">
        <f t="shared" si="734"/>
        <v>0</v>
      </c>
      <c r="W11721">
        <f t="shared" si="735"/>
        <v>0</v>
      </c>
    </row>
    <row r="11722" spans="5:23" x14ac:dyDescent="0.25">
      <c r="E11722" s="4"/>
      <c r="F11722" s="4"/>
      <c r="G11722" s="33" t="str">
        <f>IFERROR(VLOOKUP($D11722,'Informations sur les produits'!$A$3:$H$10000,8,FALSE),"0")</f>
        <v>0</v>
      </c>
      <c r="K11722" s="4"/>
      <c r="L11722" s="33" t="str">
        <f>IFERROR(VLOOKUP($J11722,'Informations sur les produits'!$A$3:$H$10000,8,FALSE),"0")</f>
        <v>0</v>
      </c>
      <c r="N11722" s="8"/>
      <c r="O11722" s="33" t="str">
        <f>IFERROR(VLOOKUP($M11722,'Informations sur les produits'!$A$3:$H$10000,8,FALSE),"0")</f>
        <v>0</v>
      </c>
      <c r="P11722" s="33">
        <f t="shared" si="732"/>
        <v>0</v>
      </c>
      <c r="Q11722" s="31" t="str">
        <f t="shared" si="733"/>
        <v/>
      </c>
      <c r="R11722" s="32" t="str">
        <f>IFERROR(VLOOKUP($D11722,'Informations sur les produits'!$A$3:$B$15000,2,FALSE),"")</f>
        <v/>
      </c>
      <c r="V11722">
        <f t="shared" si="734"/>
        <v>0</v>
      </c>
      <c r="W11722">
        <f t="shared" si="735"/>
        <v>0</v>
      </c>
    </row>
    <row r="11723" spans="5:23" x14ac:dyDescent="0.25">
      <c r="E11723" s="4"/>
      <c r="F11723" s="4"/>
      <c r="G11723" s="33" t="str">
        <f>IFERROR(VLOOKUP($D11723,'Informations sur les produits'!$A$3:$H$10000,8,FALSE),"0")</f>
        <v>0</v>
      </c>
      <c r="K11723" s="4"/>
      <c r="L11723" s="33" t="str">
        <f>IFERROR(VLOOKUP($J11723,'Informations sur les produits'!$A$3:$H$10000,8,FALSE),"0")</f>
        <v>0</v>
      </c>
      <c r="N11723" s="8"/>
      <c r="O11723" s="33" t="str">
        <f>IFERROR(VLOOKUP($M11723,'Informations sur les produits'!$A$3:$H$10000,8,FALSE),"0")</f>
        <v>0</v>
      </c>
      <c r="P11723" s="33">
        <f t="shared" si="732"/>
        <v>0</v>
      </c>
      <c r="Q11723" s="31" t="str">
        <f t="shared" si="733"/>
        <v/>
      </c>
      <c r="R11723" s="32" t="str">
        <f>IFERROR(VLOOKUP($D11723,'Informations sur les produits'!$A$3:$B$15000,2,FALSE),"")</f>
        <v/>
      </c>
      <c r="V11723">
        <f t="shared" si="734"/>
        <v>0</v>
      </c>
      <c r="W11723">
        <f t="shared" si="735"/>
        <v>0</v>
      </c>
    </row>
    <row r="11724" spans="5:23" x14ac:dyDescent="0.25">
      <c r="E11724" s="4"/>
      <c r="F11724" s="4"/>
      <c r="G11724" s="33" t="str">
        <f>IFERROR(VLOOKUP($D11724,'Informations sur les produits'!$A$3:$H$10000,8,FALSE),"0")</f>
        <v>0</v>
      </c>
      <c r="K11724" s="4"/>
      <c r="L11724" s="33" t="str">
        <f>IFERROR(VLOOKUP($J11724,'Informations sur les produits'!$A$3:$H$10000,8,FALSE),"0")</f>
        <v>0</v>
      </c>
      <c r="N11724" s="8"/>
      <c r="O11724" s="33" t="str">
        <f>IFERROR(VLOOKUP($M11724,'Informations sur les produits'!$A$3:$H$10000,8,FALSE),"0")</f>
        <v>0</v>
      </c>
      <c r="P11724" s="33">
        <f t="shared" si="732"/>
        <v>0</v>
      </c>
      <c r="Q11724" s="31" t="str">
        <f t="shared" si="733"/>
        <v/>
      </c>
      <c r="R11724" s="32" t="str">
        <f>IFERROR(VLOOKUP($D11724,'Informations sur les produits'!$A$3:$B$15000,2,FALSE),"")</f>
        <v/>
      </c>
      <c r="V11724">
        <f t="shared" si="734"/>
        <v>0</v>
      </c>
      <c r="W11724">
        <f t="shared" si="735"/>
        <v>0</v>
      </c>
    </row>
    <row r="11725" spans="5:23" x14ac:dyDescent="0.25">
      <c r="E11725" s="4"/>
      <c r="F11725" s="4"/>
      <c r="G11725" s="33" t="str">
        <f>IFERROR(VLOOKUP($D11725,'Informations sur les produits'!$A$3:$H$10000,8,FALSE),"0")</f>
        <v>0</v>
      </c>
      <c r="K11725" s="4"/>
      <c r="L11725" s="33" t="str">
        <f>IFERROR(VLOOKUP($J11725,'Informations sur les produits'!$A$3:$H$10000,8,FALSE),"0")</f>
        <v>0</v>
      </c>
      <c r="N11725" s="8"/>
      <c r="O11725" s="33" t="str">
        <f>IFERROR(VLOOKUP($M11725,'Informations sur les produits'!$A$3:$H$10000,8,FALSE),"0")</f>
        <v>0</v>
      </c>
      <c r="P11725" s="33">
        <f t="shared" si="732"/>
        <v>0</v>
      </c>
      <c r="Q11725" s="31" t="str">
        <f t="shared" si="733"/>
        <v/>
      </c>
      <c r="R11725" s="32" t="str">
        <f>IFERROR(VLOOKUP($D11725,'Informations sur les produits'!$A$3:$B$15000,2,FALSE),"")</f>
        <v/>
      </c>
      <c r="V11725">
        <f t="shared" si="734"/>
        <v>0</v>
      </c>
      <c r="W11725">
        <f t="shared" si="735"/>
        <v>0</v>
      </c>
    </row>
    <row r="11726" spans="5:23" x14ac:dyDescent="0.25">
      <c r="E11726" s="4"/>
      <c r="F11726" s="4"/>
      <c r="G11726" s="33" t="str">
        <f>IFERROR(VLOOKUP($D11726,'Informations sur les produits'!$A$3:$H$10000,8,FALSE),"0")</f>
        <v>0</v>
      </c>
      <c r="K11726" s="4"/>
      <c r="L11726" s="33" t="str">
        <f>IFERROR(VLOOKUP($J11726,'Informations sur les produits'!$A$3:$H$10000,8,FALSE),"0")</f>
        <v>0</v>
      </c>
      <c r="N11726" s="8"/>
      <c r="O11726" s="33" t="str">
        <f>IFERROR(VLOOKUP($M11726,'Informations sur les produits'!$A$3:$H$10000,8,FALSE),"0")</f>
        <v>0</v>
      </c>
      <c r="P11726" s="33">
        <f t="shared" si="732"/>
        <v>0</v>
      </c>
      <c r="Q11726" s="31" t="str">
        <f t="shared" si="733"/>
        <v/>
      </c>
      <c r="R11726" s="32" t="str">
        <f>IFERROR(VLOOKUP($D11726,'Informations sur les produits'!$A$3:$B$15000,2,FALSE),"")</f>
        <v/>
      </c>
      <c r="V11726">
        <f t="shared" si="734"/>
        <v>0</v>
      </c>
      <c r="W11726">
        <f t="shared" si="735"/>
        <v>0</v>
      </c>
    </row>
    <row r="11727" spans="5:23" x14ac:dyDescent="0.25">
      <c r="E11727" s="4"/>
      <c r="F11727" s="4"/>
      <c r="G11727" s="33" t="str">
        <f>IFERROR(VLOOKUP($D11727,'Informations sur les produits'!$A$3:$H$10000,8,FALSE),"0")</f>
        <v>0</v>
      </c>
      <c r="K11727" s="4"/>
      <c r="L11727" s="33" t="str">
        <f>IFERROR(VLOOKUP($J11727,'Informations sur les produits'!$A$3:$H$10000,8,FALSE),"0")</f>
        <v>0</v>
      </c>
      <c r="N11727" s="8"/>
      <c r="O11727" s="33" t="str">
        <f>IFERROR(VLOOKUP($M11727,'Informations sur les produits'!$A$3:$H$10000,8,FALSE),"0")</f>
        <v>0</v>
      </c>
      <c r="P11727" s="33">
        <f t="shared" si="732"/>
        <v>0</v>
      </c>
      <c r="Q11727" s="31" t="str">
        <f t="shared" si="733"/>
        <v/>
      </c>
      <c r="R11727" s="32" t="str">
        <f>IFERROR(VLOOKUP($D11727,'Informations sur les produits'!$A$3:$B$15000,2,FALSE),"")</f>
        <v/>
      </c>
      <c r="V11727">
        <f t="shared" si="734"/>
        <v>0</v>
      </c>
      <c r="W11727">
        <f t="shared" si="735"/>
        <v>0</v>
      </c>
    </row>
    <row r="11728" spans="5:23" x14ac:dyDescent="0.25">
      <c r="E11728" s="4"/>
      <c r="F11728" s="4"/>
      <c r="G11728" s="33" t="str">
        <f>IFERROR(VLOOKUP($D11728,'Informations sur les produits'!$A$3:$H$10000,8,FALSE),"0")</f>
        <v>0</v>
      </c>
      <c r="K11728" s="4"/>
      <c r="L11728" s="33" t="str">
        <f>IFERROR(VLOOKUP($J11728,'Informations sur les produits'!$A$3:$H$10000,8,FALSE),"0")</f>
        <v>0</v>
      </c>
      <c r="N11728" s="8"/>
      <c r="O11728" s="33" t="str">
        <f>IFERROR(VLOOKUP($M11728,'Informations sur les produits'!$A$3:$H$10000,8,FALSE),"0")</f>
        <v>0</v>
      </c>
      <c r="P11728" s="33">
        <f t="shared" si="732"/>
        <v>0</v>
      </c>
      <c r="Q11728" s="31" t="str">
        <f t="shared" si="733"/>
        <v/>
      </c>
      <c r="R11728" s="32" t="str">
        <f>IFERROR(VLOOKUP($D11728,'Informations sur les produits'!$A$3:$B$15000,2,FALSE),"")</f>
        <v/>
      </c>
      <c r="V11728">
        <f t="shared" si="734"/>
        <v>0</v>
      </c>
      <c r="W11728">
        <f t="shared" si="735"/>
        <v>0</v>
      </c>
    </row>
    <row r="11729" spans="5:23" x14ac:dyDescent="0.25">
      <c r="E11729" s="4"/>
      <c r="F11729" s="4"/>
      <c r="G11729" s="33" t="str">
        <f>IFERROR(VLOOKUP($D11729,'Informations sur les produits'!$A$3:$H$10000,8,FALSE),"0")</f>
        <v>0</v>
      </c>
      <c r="K11729" s="4"/>
      <c r="L11729" s="33" t="str">
        <f>IFERROR(VLOOKUP($J11729,'Informations sur les produits'!$A$3:$H$10000,8,FALSE),"0")</f>
        <v>0</v>
      </c>
      <c r="N11729" s="8"/>
      <c r="O11729" s="33" t="str">
        <f>IFERROR(VLOOKUP($M11729,'Informations sur les produits'!$A$3:$H$10000,8,FALSE),"0")</f>
        <v>0</v>
      </c>
      <c r="P11729" s="33">
        <f t="shared" si="732"/>
        <v>0</v>
      </c>
      <c r="Q11729" s="31" t="str">
        <f t="shared" si="733"/>
        <v/>
      </c>
      <c r="R11729" s="32" t="str">
        <f>IFERROR(VLOOKUP($D11729,'Informations sur les produits'!$A$3:$B$15000,2,FALSE),"")</f>
        <v/>
      </c>
      <c r="V11729">
        <f t="shared" si="734"/>
        <v>0</v>
      </c>
      <c r="W11729">
        <f t="shared" si="735"/>
        <v>0</v>
      </c>
    </row>
    <row r="11730" spans="5:23" x14ac:dyDescent="0.25">
      <c r="E11730" s="4"/>
      <c r="F11730" s="4"/>
      <c r="G11730" s="33" t="str">
        <f>IFERROR(VLOOKUP($D11730,'Informations sur les produits'!$A$3:$H$10000,8,FALSE),"0")</f>
        <v>0</v>
      </c>
      <c r="K11730" s="4"/>
      <c r="L11730" s="33" t="str">
        <f>IFERROR(VLOOKUP($J11730,'Informations sur les produits'!$A$3:$H$10000,8,FALSE),"0")</f>
        <v>0</v>
      </c>
      <c r="N11730" s="8"/>
      <c r="O11730" s="33" t="str">
        <f>IFERROR(VLOOKUP($M11730,'Informations sur les produits'!$A$3:$H$10000,8,FALSE),"0")</f>
        <v>0</v>
      </c>
      <c r="P11730" s="33">
        <f t="shared" si="732"/>
        <v>0</v>
      </c>
      <c r="Q11730" s="31" t="str">
        <f t="shared" si="733"/>
        <v/>
      </c>
      <c r="R11730" s="32" t="str">
        <f>IFERROR(VLOOKUP($D11730,'Informations sur les produits'!$A$3:$B$15000,2,FALSE),"")</f>
        <v/>
      </c>
      <c r="V11730">
        <f t="shared" si="734"/>
        <v>0</v>
      </c>
      <c r="W11730">
        <f t="shared" si="735"/>
        <v>0</v>
      </c>
    </row>
    <row r="11731" spans="5:23" x14ac:dyDescent="0.25">
      <c r="E11731" s="4"/>
      <c r="F11731" s="4"/>
      <c r="G11731" s="33" t="str">
        <f>IFERROR(VLOOKUP($D11731,'Informations sur les produits'!$A$3:$H$10000,8,FALSE),"0")</f>
        <v>0</v>
      </c>
      <c r="K11731" s="4"/>
      <c r="L11731" s="33" t="str">
        <f>IFERROR(VLOOKUP($J11731,'Informations sur les produits'!$A$3:$H$10000,8,FALSE),"0")</f>
        <v>0</v>
      </c>
      <c r="N11731" s="8"/>
      <c r="O11731" s="33" t="str">
        <f>IFERROR(VLOOKUP($M11731,'Informations sur les produits'!$A$3:$H$10000,8,FALSE),"0")</f>
        <v>0</v>
      </c>
      <c r="P11731" s="33">
        <f t="shared" si="732"/>
        <v>0</v>
      </c>
      <c r="Q11731" s="31" t="str">
        <f t="shared" si="733"/>
        <v/>
      </c>
      <c r="R11731" s="32" t="str">
        <f>IFERROR(VLOOKUP($D11731,'Informations sur les produits'!$A$3:$B$15000,2,FALSE),"")</f>
        <v/>
      </c>
      <c r="V11731">
        <f t="shared" si="734"/>
        <v>0</v>
      </c>
      <c r="W11731">
        <f t="shared" si="735"/>
        <v>0</v>
      </c>
    </row>
    <row r="11732" spans="5:23" x14ac:dyDescent="0.25">
      <c r="E11732" s="4"/>
      <c r="F11732" s="4"/>
      <c r="G11732" s="33" t="str">
        <f>IFERROR(VLOOKUP($D11732,'Informations sur les produits'!$A$3:$H$10000,8,FALSE),"0")</f>
        <v>0</v>
      </c>
      <c r="K11732" s="4"/>
      <c r="L11732" s="33" t="str">
        <f>IFERROR(VLOOKUP($J11732,'Informations sur les produits'!$A$3:$H$10000,8,FALSE),"0")</f>
        <v>0</v>
      </c>
      <c r="N11732" s="8"/>
      <c r="O11732" s="33" t="str">
        <f>IFERROR(VLOOKUP($M11732,'Informations sur les produits'!$A$3:$H$10000,8,FALSE),"0")</f>
        <v>0</v>
      </c>
      <c r="P11732" s="33">
        <f t="shared" si="732"/>
        <v>0</v>
      </c>
      <c r="Q11732" s="31" t="str">
        <f t="shared" si="733"/>
        <v/>
      </c>
      <c r="R11732" s="32" t="str">
        <f>IFERROR(VLOOKUP($D11732,'Informations sur les produits'!$A$3:$B$15000,2,FALSE),"")</f>
        <v/>
      </c>
      <c r="V11732">
        <f t="shared" si="734"/>
        <v>0</v>
      </c>
      <c r="W11732">
        <f t="shared" si="735"/>
        <v>0</v>
      </c>
    </row>
    <row r="11733" spans="5:23" x14ac:dyDescent="0.25">
      <c r="E11733" s="4"/>
      <c r="F11733" s="4"/>
      <c r="G11733" s="33" t="str">
        <f>IFERROR(VLOOKUP($D11733,'Informations sur les produits'!$A$3:$H$10000,8,FALSE),"0")</f>
        <v>0</v>
      </c>
      <c r="K11733" s="4"/>
      <c r="L11733" s="33" t="str">
        <f>IFERROR(VLOOKUP($J11733,'Informations sur les produits'!$A$3:$H$10000,8,FALSE),"0")</f>
        <v>0</v>
      </c>
      <c r="N11733" s="8"/>
      <c r="O11733" s="33" t="str">
        <f>IFERROR(VLOOKUP($M11733,'Informations sur les produits'!$A$3:$H$10000,8,FALSE),"0")</f>
        <v>0</v>
      </c>
      <c r="P11733" s="33">
        <f t="shared" si="732"/>
        <v>0</v>
      </c>
      <c r="Q11733" s="31" t="str">
        <f t="shared" si="733"/>
        <v/>
      </c>
      <c r="R11733" s="32" t="str">
        <f>IFERROR(VLOOKUP($D11733,'Informations sur les produits'!$A$3:$B$15000,2,FALSE),"")</f>
        <v/>
      </c>
      <c r="V11733">
        <f t="shared" si="734"/>
        <v>0</v>
      </c>
      <c r="W11733">
        <f t="shared" si="735"/>
        <v>0</v>
      </c>
    </row>
    <row r="11734" spans="5:23" x14ac:dyDescent="0.25">
      <c r="E11734" s="4"/>
      <c r="F11734" s="4"/>
      <c r="G11734" s="33" t="str">
        <f>IFERROR(VLOOKUP($D11734,'Informations sur les produits'!$A$3:$H$10000,8,FALSE),"0")</f>
        <v>0</v>
      </c>
      <c r="K11734" s="4"/>
      <c r="L11734" s="33" t="str">
        <f>IFERROR(VLOOKUP($J11734,'Informations sur les produits'!$A$3:$H$10000,8,FALSE),"0")</f>
        <v>0</v>
      </c>
      <c r="N11734" s="8"/>
      <c r="O11734" s="33" t="str">
        <f>IFERROR(VLOOKUP($M11734,'Informations sur les produits'!$A$3:$H$10000,8,FALSE),"0")</f>
        <v>0</v>
      </c>
      <c r="P11734" s="33">
        <f t="shared" si="732"/>
        <v>0</v>
      </c>
      <c r="Q11734" s="31" t="str">
        <f t="shared" si="733"/>
        <v/>
      </c>
      <c r="R11734" s="32" t="str">
        <f>IFERROR(VLOOKUP($D11734,'Informations sur les produits'!$A$3:$B$15000,2,FALSE),"")</f>
        <v/>
      </c>
      <c r="V11734">
        <f t="shared" si="734"/>
        <v>0</v>
      </c>
      <c r="W11734">
        <f t="shared" si="735"/>
        <v>0</v>
      </c>
    </row>
    <row r="11735" spans="5:23" x14ac:dyDescent="0.25">
      <c r="E11735" s="4"/>
      <c r="F11735" s="4"/>
      <c r="G11735" s="33" t="str">
        <f>IFERROR(VLOOKUP($D11735,'Informations sur les produits'!$A$3:$H$10000,8,FALSE),"0")</f>
        <v>0</v>
      </c>
      <c r="K11735" s="4"/>
      <c r="L11735" s="33" t="str">
        <f>IFERROR(VLOOKUP($J11735,'Informations sur les produits'!$A$3:$H$10000,8,FALSE),"0")</f>
        <v>0</v>
      </c>
      <c r="N11735" s="8"/>
      <c r="O11735" s="33" t="str">
        <f>IFERROR(VLOOKUP($M11735,'Informations sur les produits'!$A$3:$H$10000,8,FALSE),"0")</f>
        <v>0</v>
      </c>
      <c r="P11735" s="33">
        <f t="shared" si="732"/>
        <v>0</v>
      </c>
      <c r="Q11735" s="31" t="str">
        <f t="shared" si="733"/>
        <v/>
      </c>
      <c r="R11735" s="32" t="str">
        <f>IFERROR(VLOOKUP($D11735,'Informations sur les produits'!$A$3:$B$15000,2,FALSE),"")</f>
        <v/>
      </c>
      <c r="V11735">
        <f t="shared" si="734"/>
        <v>0</v>
      </c>
      <c r="W11735">
        <f t="shared" si="735"/>
        <v>0</v>
      </c>
    </row>
    <row r="11736" spans="5:23" x14ac:dyDescent="0.25">
      <c r="E11736" s="4"/>
      <c r="F11736" s="4"/>
      <c r="G11736" s="33" t="str">
        <f>IFERROR(VLOOKUP($D11736,'Informations sur les produits'!$A$3:$H$10000,8,FALSE),"0")</f>
        <v>0</v>
      </c>
      <c r="K11736" s="4"/>
      <c r="L11736" s="33" t="str">
        <f>IFERROR(VLOOKUP($J11736,'Informations sur les produits'!$A$3:$H$10000,8,FALSE),"0")</f>
        <v>0</v>
      </c>
      <c r="N11736" s="8"/>
      <c r="O11736" s="33" t="str">
        <f>IFERROR(VLOOKUP($M11736,'Informations sur les produits'!$A$3:$H$10000,8,FALSE),"0")</f>
        <v>0</v>
      </c>
      <c r="P11736" s="33">
        <f t="shared" si="732"/>
        <v>0</v>
      </c>
      <c r="Q11736" s="31" t="str">
        <f t="shared" si="733"/>
        <v/>
      </c>
      <c r="R11736" s="32" t="str">
        <f>IFERROR(VLOOKUP($D11736,'Informations sur les produits'!$A$3:$B$15000,2,FALSE),"")</f>
        <v/>
      </c>
      <c r="V11736">
        <f t="shared" si="734"/>
        <v>0</v>
      </c>
      <c r="W11736">
        <f t="shared" si="735"/>
        <v>0</v>
      </c>
    </row>
    <row r="11737" spans="5:23" x14ac:dyDescent="0.25">
      <c r="E11737" s="4"/>
      <c r="F11737" s="4"/>
      <c r="G11737" s="33" t="str">
        <f>IFERROR(VLOOKUP($D11737,'Informations sur les produits'!$A$3:$H$10000,8,FALSE),"0")</f>
        <v>0</v>
      </c>
      <c r="K11737" s="4"/>
      <c r="L11737" s="33" t="str">
        <f>IFERROR(VLOOKUP($J11737,'Informations sur les produits'!$A$3:$H$10000,8,FALSE),"0")</f>
        <v>0</v>
      </c>
      <c r="N11737" s="8"/>
      <c r="O11737" s="33" t="str">
        <f>IFERROR(VLOOKUP($M11737,'Informations sur les produits'!$A$3:$H$10000,8,FALSE),"0")</f>
        <v>0</v>
      </c>
      <c r="P11737" s="33">
        <f t="shared" si="732"/>
        <v>0</v>
      </c>
      <c r="Q11737" s="31" t="str">
        <f t="shared" si="733"/>
        <v/>
      </c>
      <c r="R11737" s="32" t="str">
        <f>IFERROR(VLOOKUP($D11737,'Informations sur les produits'!$A$3:$B$15000,2,FALSE),"")</f>
        <v/>
      </c>
      <c r="V11737">
        <f t="shared" si="734"/>
        <v>0</v>
      </c>
      <c r="W11737">
        <f t="shared" si="735"/>
        <v>0</v>
      </c>
    </row>
    <row r="11738" spans="5:23" x14ac:dyDescent="0.25">
      <c r="E11738" s="4"/>
      <c r="F11738" s="4"/>
      <c r="G11738" s="33" t="str">
        <f>IFERROR(VLOOKUP($D11738,'Informations sur les produits'!$A$3:$H$10000,8,FALSE),"0")</f>
        <v>0</v>
      </c>
      <c r="K11738" s="4"/>
      <c r="L11738" s="33" t="str">
        <f>IFERROR(VLOOKUP($J11738,'Informations sur les produits'!$A$3:$H$10000,8,FALSE),"0")</f>
        <v>0</v>
      </c>
      <c r="N11738" s="8"/>
      <c r="O11738" s="33" t="str">
        <f>IFERROR(VLOOKUP($M11738,'Informations sur les produits'!$A$3:$H$10000,8,FALSE),"0")</f>
        <v>0</v>
      </c>
      <c r="P11738" s="33">
        <f t="shared" si="732"/>
        <v>0</v>
      </c>
      <c r="Q11738" s="31" t="str">
        <f t="shared" si="733"/>
        <v/>
      </c>
      <c r="R11738" s="32" t="str">
        <f>IFERROR(VLOOKUP($D11738,'Informations sur les produits'!$A$3:$B$15000,2,FALSE),"")</f>
        <v/>
      </c>
      <c r="V11738">
        <f t="shared" si="734"/>
        <v>0</v>
      </c>
      <c r="W11738">
        <f t="shared" si="735"/>
        <v>0</v>
      </c>
    </row>
    <row r="11739" spans="5:23" x14ac:dyDescent="0.25">
      <c r="E11739" s="4"/>
      <c r="F11739" s="4"/>
      <c r="G11739" s="33" t="str">
        <f>IFERROR(VLOOKUP($D11739,'Informations sur les produits'!$A$3:$H$10000,8,FALSE),"0")</f>
        <v>0</v>
      </c>
      <c r="K11739" s="4"/>
      <c r="L11739" s="33" t="str">
        <f>IFERROR(VLOOKUP($J11739,'Informations sur les produits'!$A$3:$H$10000,8,FALSE),"0")</f>
        <v>0</v>
      </c>
      <c r="N11739" s="8"/>
      <c r="O11739" s="33" t="str">
        <f>IFERROR(VLOOKUP($M11739,'Informations sur les produits'!$A$3:$H$10000,8,FALSE),"0")</f>
        <v>0</v>
      </c>
      <c r="P11739" s="33">
        <f t="shared" si="732"/>
        <v>0</v>
      </c>
      <c r="Q11739" s="31" t="str">
        <f t="shared" si="733"/>
        <v/>
      </c>
      <c r="R11739" s="32" t="str">
        <f>IFERROR(VLOOKUP($D11739,'Informations sur les produits'!$A$3:$B$15000,2,FALSE),"")</f>
        <v/>
      </c>
      <c r="V11739">
        <f t="shared" si="734"/>
        <v>0</v>
      </c>
      <c r="W11739">
        <f t="shared" si="735"/>
        <v>0</v>
      </c>
    </row>
    <row r="11740" spans="5:23" x14ac:dyDescent="0.25">
      <c r="E11740" s="4"/>
      <c r="F11740" s="4"/>
      <c r="G11740" s="33" t="str">
        <f>IFERROR(VLOOKUP($D11740,'Informations sur les produits'!$A$3:$H$10000,8,FALSE),"0")</f>
        <v>0</v>
      </c>
      <c r="K11740" s="4"/>
      <c r="L11740" s="33" t="str">
        <f>IFERROR(VLOOKUP($J11740,'Informations sur les produits'!$A$3:$H$10000,8,FALSE),"0")</f>
        <v>0</v>
      </c>
      <c r="N11740" s="8"/>
      <c r="O11740" s="33" t="str">
        <f>IFERROR(VLOOKUP($M11740,'Informations sur les produits'!$A$3:$H$10000,8,FALSE),"0")</f>
        <v>0</v>
      </c>
      <c r="P11740" s="33">
        <f t="shared" si="732"/>
        <v>0</v>
      </c>
      <c r="Q11740" s="31" t="str">
        <f t="shared" si="733"/>
        <v/>
      </c>
      <c r="R11740" s="32" t="str">
        <f>IFERROR(VLOOKUP($D11740,'Informations sur les produits'!$A$3:$B$15000,2,FALSE),"")</f>
        <v/>
      </c>
      <c r="V11740">
        <f t="shared" si="734"/>
        <v>0</v>
      </c>
      <c r="W11740">
        <f t="shared" si="735"/>
        <v>0</v>
      </c>
    </row>
    <row r="11741" spans="5:23" x14ac:dyDescent="0.25">
      <c r="E11741" s="4"/>
      <c r="F11741" s="4"/>
      <c r="G11741" s="33" t="str">
        <f>IFERROR(VLOOKUP($D11741,'Informations sur les produits'!$A$3:$H$10000,8,FALSE),"0")</f>
        <v>0</v>
      </c>
      <c r="K11741" s="4"/>
      <c r="L11741" s="33" t="str">
        <f>IFERROR(VLOOKUP($J11741,'Informations sur les produits'!$A$3:$H$10000,8,FALSE),"0")</f>
        <v>0</v>
      </c>
      <c r="N11741" s="8"/>
      <c r="O11741" s="33" t="str">
        <f>IFERROR(VLOOKUP($M11741,'Informations sur les produits'!$A$3:$H$10000,8,FALSE),"0")</f>
        <v>0</v>
      </c>
      <c r="P11741" s="33">
        <f t="shared" si="732"/>
        <v>0</v>
      </c>
      <c r="Q11741" s="31" t="str">
        <f t="shared" si="733"/>
        <v/>
      </c>
      <c r="R11741" s="32" t="str">
        <f>IFERROR(VLOOKUP($D11741,'Informations sur les produits'!$A$3:$B$15000,2,FALSE),"")</f>
        <v/>
      </c>
      <c r="V11741">
        <f t="shared" si="734"/>
        <v>0</v>
      </c>
      <c r="W11741">
        <f t="shared" si="735"/>
        <v>0</v>
      </c>
    </row>
    <row r="11742" spans="5:23" x14ac:dyDescent="0.25">
      <c r="E11742" s="4"/>
      <c r="F11742" s="4"/>
      <c r="G11742" s="33" t="str">
        <f>IFERROR(VLOOKUP($D11742,'Informations sur les produits'!$A$3:$H$10000,8,FALSE),"0")</f>
        <v>0</v>
      </c>
      <c r="K11742" s="4"/>
      <c r="L11742" s="33" t="str">
        <f>IFERROR(VLOOKUP($J11742,'Informations sur les produits'!$A$3:$H$10000,8,FALSE),"0")</f>
        <v>0</v>
      </c>
      <c r="N11742" s="8"/>
      <c r="O11742" s="33" t="str">
        <f>IFERROR(VLOOKUP($M11742,'Informations sur les produits'!$A$3:$H$10000,8,FALSE),"0")</f>
        <v>0</v>
      </c>
      <c r="P11742" s="33">
        <f t="shared" si="732"/>
        <v>0</v>
      </c>
      <c r="Q11742" s="31" t="str">
        <f t="shared" si="733"/>
        <v/>
      </c>
      <c r="R11742" s="32" t="str">
        <f>IFERROR(VLOOKUP($D11742,'Informations sur les produits'!$A$3:$B$15000,2,FALSE),"")</f>
        <v/>
      </c>
      <c r="V11742">
        <f t="shared" si="734"/>
        <v>0</v>
      </c>
      <c r="W11742">
        <f t="shared" si="735"/>
        <v>0</v>
      </c>
    </row>
    <row r="11743" spans="5:23" x14ac:dyDescent="0.25">
      <c r="E11743" s="4"/>
      <c r="F11743" s="4"/>
      <c r="G11743" s="33" t="str">
        <f>IFERROR(VLOOKUP($D11743,'Informations sur les produits'!$A$3:$H$10000,8,FALSE),"0")</f>
        <v>0</v>
      </c>
      <c r="K11743" s="4"/>
      <c r="L11743" s="33" t="str">
        <f>IFERROR(VLOOKUP($J11743,'Informations sur les produits'!$A$3:$H$10000,8,FALSE),"0")</f>
        <v>0</v>
      </c>
      <c r="N11743" s="8"/>
      <c r="O11743" s="33" t="str">
        <f>IFERROR(VLOOKUP($M11743,'Informations sur les produits'!$A$3:$H$10000,8,FALSE),"0")</f>
        <v>0</v>
      </c>
      <c r="P11743" s="33">
        <f t="shared" si="732"/>
        <v>0</v>
      </c>
      <c r="Q11743" s="31" t="str">
        <f t="shared" si="733"/>
        <v/>
      </c>
      <c r="R11743" s="32" t="str">
        <f>IFERROR(VLOOKUP($D11743,'Informations sur les produits'!$A$3:$B$15000,2,FALSE),"")</f>
        <v/>
      </c>
      <c r="V11743">
        <f t="shared" si="734"/>
        <v>0</v>
      </c>
      <c r="W11743">
        <f t="shared" si="735"/>
        <v>0</v>
      </c>
    </row>
    <row r="11744" spans="5:23" x14ac:dyDescent="0.25">
      <c r="E11744" s="4"/>
      <c r="F11744" s="4"/>
      <c r="G11744" s="33" t="str">
        <f>IFERROR(VLOOKUP($D11744,'Informations sur les produits'!$A$3:$H$10000,8,FALSE),"0")</f>
        <v>0</v>
      </c>
      <c r="K11744" s="4"/>
      <c r="L11744" s="33" t="str">
        <f>IFERROR(VLOOKUP($J11744,'Informations sur les produits'!$A$3:$H$10000,8,FALSE),"0")</f>
        <v>0</v>
      </c>
      <c r="N11744" s="8"/>
      <c r="O11744" s="33" t="str">
        <f>IFERROR(VLOOKUP($M11744,'Informations sur les produits'!$A$3:$H$10000,8,FALSE),"0")</f>
        <v>0</v>
      </c>
      <c r="P11744" s="33">
        <f t="shared" si="732"/>
        <v>0</v>
      </c>
      <c r="Q11744" s="31" t="str">
        <f t="shared" si="733"/>
        <v/>
      </c>
      <c r="R11744" s="32" t="str">
        <f>IFERROR(VLOOKUP($D11744,'Informations sur les produits'!$A$3:$B$15000,2,FALSE),"")</f>
        <v/>
      </c>
      <c r="V11744">
        <f t="shared" si="734"/>
        <v>0</v>
      </c>
      <c r="W11744">
        <f t="shared" si="735"/>
        <v>0</v>
      </c>
    </row>
    <row r="11745" spans="5:23" x14ac:dyDescent="0.25">
      <c r="E11745" s="4"/>
      <c r="F11745" s="4"/>
      <c r="G11745" s="33" t="str">
        <f>IFERROR(VLOOKUP($D11745,'Informations sur les produits'!$A$3:$H$10000,8,FALSE),"0")</f>
        <v>0</v>
      </c>
      <c r="K11745" s="4"/>
      <c r="L11745" s="33" t="str">
        <f>IFERROR(VLOOKUP($J11745,'Informations sur les produits'!$A$3:$H$10000,8,FALSE),"0")</f>
        <v>0</v>
      </c>
      <c r="N11745" s="8"/>
      <c r="O11745" s="33" t="str">
        <f>IFERROR(VLOOKUP($M11745,'Informations sur les produits'!$A$3:$H$10000,8,FALSE),"0")</f>
        <v>0</v>
      </c>
      <c r="P11745" s="33">
        <f t="shared" si="732"/>
        <v>0</v>
      </c>
      <c r="Q11745" s="31" t="str">
        <f t="shared" si="733"/>
        <v/>
      </c>
      <c r="R11745" s="32" t="str">
        <f>IFERROR(VLOOKUP($D11745,'Informations sur les produits'!$A$3:$B$15000,2,FALSE),"")</f>
        <v/>
      </c>
      <c r="V11745">
        <f t="shared" si="734"/>
        <v>0</v>
      </c>
      <c r="W11745">
        <f t="shared" si="735"/>
        <v>0</v>
      </c>
    </row>
    <row r="11746" spans="5:23" x14ac:dyDescent="0.25">
      <c r="E11746" s="4"/>
      <c r="F11746" s="4"/>
      <c r="G11746" s="33" t="str">
        <f>IFERROR(VLOOKUP($D11746,'Informations sur les produits'!$A$3:$H$10000,8,FALSE),"0")</f>
        <v>0</v>
      </c>
      <c r="K11746" s="4"/>
      <c r="L11746" s="33" t="str">
        <f>IFERROR(VLOOKUP($J11746,'Informations sur les produits'!$A$3:$H$10000,8,FALSE),"0")</f>
        <v>0</v>
      </c>
      <c r="N11746" s="8"/>
      <c r="O11746" s="33" t="str">
        <f>IFERROR(VLOOKUP($M11746,'Informations sur les produits'!$A$3:$H$10000,8,FALSE),"0")</f>
        <v>0</v>
      </c>
      <c r="P11746" s="33">
        <f t="shared" si="732"/>
        <v>0</v>
      </c>
      <c r="Q11746" s="31" t="str">
        <f t="shared" si="733"/>
        <v/>
      </c>
      <c r="R11746" s="32" t="str">
        <f>IFERROR(VLOOKUP($D11746,'Informations sur les produits'!$A$3:$B$15000,2,FALSE),"")</f>
        <v/>
      </c>
      <c r="V11746">
        <f t="shared" si="734"/>
        <v>0</v>
      </c>
      <c r="W11746">
        <f t="shared" si="735"/>
        <v>0</v>
      </c>
    </row>
    <row r="11747" spans="5:23" x14ac:dyDescent="0.25">
      <c r="E11747" s="4"/>
      <c r="F11747" s="4"/>
      <c r="G11747" s="33" t="str">
        <f>IFERROR(VLOOKUP($D11747,'Informations sur les produits'!$A$3:$H$10000,8,FALSE),"0")</f>
        <v>0</v>
      </c>
      <c r="K11747" s="4"/>
      <c r="L11747" s="33" t="str">
        <f>IFERROR(VLOOKUP($J11747,'Informations sur les produits'!$A$3:$H$10000,8,FALSE),"0")</f>
        <v>0</v>
      </c>
      <c r="N11747" s="8"/>
      <c r="O11747" s="33" t="str">
        <f>IFERROR(VLOOKUP($M11747,'Informations sur les produits'!$A$3:$H$10000,8,FALSE),"0")</f>
        <v>0</v>
      </c>
      <c r="P11747" s="33">
        <f t="shared" si="732"/>
        <v>0</v>
      </c>
      <c r="Q11747" s="31" t="str">
        <f t="shared" si="733"/>
        <v/>
      </c>
      <c r="R11747" s="32" t="str">
        <f>IFERROR(VLOOKUP($D11747,'Informations sur les produits'!$A$3:$B$15000,2,FALSE),"")</f>
        <v/>
      </c>
      <c r="V11747">
        <f t="shared" si="734"/>
        <v>0</v>
      </c>
      <c r="W11747">
        <f t="shared" si="735"/>
        <v>0</v>
      </c>
    </row>
    <row r="11748" spans="5:23" x14ac:dyDescent="0.25">
      <c r="E11748" s="4"/>
      <c r="F11748" s="4"/>
      <c r="G11748" s="33" t="str">
        <f>IFERROR(VLOOKUP($D11748,'Informations sur les produits'!$A$3:$H$10000,8,FALSE),"0")</f>
        <v>0</v>
      </c>
      <c r="K11748" s="4"/>
      <c r="L11748" s="33" t="str">
        <f>IFERROR(VLOOKUP($J11748,'Informations sur les produits'!$A$3:$H$10000,8,FALSE),"0")</f>
        <v>0</v>
      </c>
      <c r="N11748" s="8"/>
      <c r="O11748" s="33" t="str">
        <f>IFERROR(VLOOKUP($M11748,'Informations sur les produits'!$A$3:$H$10000,8,FALSE),"0")</f>
        <v>0</v>
      </c>
      <c r="P11748" s="33">
        <f t="shared" si="732"/>
        <v>0</v>
      </c>
      <c r="Q11748" s="31" t="str">
        <f t="shared" si="733"/>
        <v/>
      </c>
      <c r="R11748" s="32" t="str">
        <f>IFERROR(VLOOKUP($D11748,'Informations sur les produits'!$A$3:$B$15000,2,FALSE),"")</f>
        <v/>
      </c>
      <c r="V11748">
        <f t="shared" si="734"/>
        <v>0</v>
      </c>
      <c r="W11748">
        <f t="shared" si="735"/>
        <v>0</v>
      </c>
    </row>
    <row r="11749" spans="5:23" x14ac:dyDescent="0.25">
      <c r="E11749" s="4"/>
      <c r="F11749" s="4"/>
      <c r="G11749" s="33" t="str">
        <f>IFERROR(VLOOKUP($D11749,'Informations sur les produits'!$A$3:$H$10000,8,FALSE),"0")</f>
        <v>0</v>
      </c>
      <c r="K11749" s="4"/>
      <c r="L11749" s="33" t="str">
        <f>IFERROR(VLOOKUP($J11749,'Informations sur les produits'!$A$3:$H$10000,8,FALSE),"0")</f>
        <v>0</v>
      </c>
      <c r="N11749" s="8"/>
      <c r="O11749" s="33" t="str">
        <f>IFERROR(VLOOKUP($M11749,'Informations sur les produits'!$A$3:$H$10000,8,FALSE),"0")</f>
        <v>0</v>
      </c>
      <c r="P11749" s="33">
        <f t="shared" si="732"/>
        <v>0</v>
      </c>
      <c r="Q11749" s="31" t="str">
        <f t="shared" si="733"/>
        <v/>
      </c>
      <c r="R11749" s="32" t="str">
        <f>IFERROR(VLOOKUP($D11749,'Informations sur les produits'!$A$3:$B$15000,2,FALSE),"")</f>
        <v/>
      </c>
      <c r="V11749">
        <f t="shared" si="734"/>
        <v>0</v>
      </c>
      <c r="W11749">
        <f t="shared" si="735"/>
        <v>0</v>
      </c>
    </row>
    <row r="11750" spans="5:23" x14ac:dyDescent="0.25">
      <c r="E11750" s="4"/>
      <c r="F11750" s="4"/>
      <c r="G11750" s="33" t="str">
        <f>IFERROR(VLOOKUP($D11750,'Informations sur les produits'!$A$3:$H$10000,8,FALSE),"0")</f>
        <v>0</v>
      </c>
      <c r="K11750" s="4"/>
      <c r="L11750" s="33" t="str">
        <f>IFERROR(VLOOKUP($J11750,'Informations sur les produits'!$A$3:$H$10000,8,FALSE),"0")</f>
        <v>0</v>
      </c>
      <c r="N11750" s="8"/>
      <c r="O11750" s="33" t="str">
        <f>IFERROR(VLOOKUP($M11750,'Informations sur les produits'!$A$3:$H$10000,8,FALSE),"0")</f>
        <v>0</v>
      </c>
      <c r="P11750" s="33">
        <f t="shared" si="732"/>
        <v>0</v>
      </c>
      <c r="Q11750" s="31" t="str">
        <f t="shared" si="733"/>
        <v/>
      </c>
      <c r="R11750" s="32" t="str">
        <f>IFERROR(VLOOKUP($D11750,'Informations sur les produits'!$A$3:$B$15000,2,FALSE),"")</f>
        <v/>
      </c>
      <c r="V11750">
        <f t="shared" si="734"/>
        <v>0</v>
      </c>
      <c r="W11750">
        <f t="shared" si="735"/>
        <v>0</v>
      </c>
    </row>
    <row r="11751" spans="5:23" x14ac:dyDescent="0.25">
      <c r="E11751" s="4"/>
      <c r="F11751" s="4"/>
      <c r="G11751" s="33" t="str">
        <f>IFERROR(VLOOKUP($D11751,'Informations sur les produits'!$A$3:$H$10000,8,FALSE),"0")</f>
        <v>0</v>
      </c>
      <c r="K11751" s="4"/>
      <c r="L11751" s="33" t="str">
        <f>IFERROR(VLOOKUP($J11751,'Informations sur les produits'!$A$3:$H$10000,8,FALSE),"0")</f>
        <v>0</v>
      </c>
      <c r="N11751" s="8"/>
      <c r="O11751" s="33" t="str">
        <f>IFERROR(VLOOKUP($M11751,'Informations sur les produits'!$A$3:$H$10000,8,FALSE),"0")</f>
        <v>0</v>
      </c>
      <c r="P11751" s="33">
        <f t="shared" si="732"/>
        <v>0</v>
      </c>
      <c r="Q11751" s="31" t="str">
        <f t="shared" si="733"/>
        <v/>
      </c>
      <c r="R11751" s="32" t="str">
        <f>IFERROR(VLOOKUP($D11751,'Informations sur les produits'!$A$3:$B$15000,2,FALSE),"")</f>
        <v/>
      </c>
      <c r="V11751">
        <f t="shared" si="734"/>
        <v>0</v>
      </c>
      <c r="W11751">
        <f t="shared" si="735"/>
        <v>0</v>
      </c>
    </row>
    <row r="11752" spans="5:23" x14ac:dyDescent="0.25">
      <c r="E11752" s="4"/>
      <c r="F11752" s="4"/>
      <c r="G11752" s="33" t="str">
        <f>IFERROR(VLOOKUP($D11752,'Informations sur les produits'!$A$3:$H$10000,8,FALSE),"0")</f>
        <v>0</v>
      </c>
      <c r="K11752" s="4"/>
      <c r="L11752" s="33" t="str">
        <f>IFERROR(VLOOKUP($J11752,'Informations sur les produits'!$A$3:$H$10000,8,FALSE),"0")</f>
        <v>0</v>
      </c>
      <c r="N11752" s="8"/>
      <c r="O11752" s="33" t="str">
        <f>IFERROR(VLOOKUP($M11752,'Informations sur les produits'!$A$3:$H$10000,8,FALSE),"0")</f>
        <v>0</v>
      </c>
      <c r="P11752" s="33">
        <f t="shared" si="732"/>
        <v>0</v>
      </c>
      <c r="Q11752" s="31" t="str">
        <f t="shared" si="733"/>
        <v/>
      </c>
      <c r="R11752" s="32" t="str">
        <f>IFERROR(VLOOKUP($D11752,'Informations sur les produits'!$A$3:$B$15000,2,FALSE),"")</f>
        <v/>
      </c>
      <c r="V11752">
        <f t="shared" si="734"/>
        <v>0</v>
      </c>
      <c r="W11752">
        <f t="shared" si="735"/>
        <v>0</v>
      </c>
    </row>
    <row r="11753" spans="5:23" x14ac:dyDescent="0.25">
      <c r="E11753" s="4"/>
      <c r="F11753" s="4"/>
      <c r="G11753" s="33" t="str">
        <f>IFERROR(VLOOKUP($D11753,'Informations sur les produits'!$A$3:$H$10000,8,FALSE),"0")</f>
        <v>0</v>
      </c>
      <c r="K11753" s="4"/>
      <c r="L11753" s="33" t="str">
        <f>IFERROR(VLOOKUP($J11753,'Informations sur les produits'!$A$3:$H$10000,8,FALSE),"0")</f>
        <v>0</v>
      </c>
      <c r="N11753" s="8"/>
      <c r="O11753" s="33" t="str">
        <f>IFERROR(VLOOKUP($M11753,'Informations sur les produits'!$A$3:$H$10000,8,FALSE),"0")</f>
        <v>0</v>
      </c>
      <c r="P11753" s="33">
        <f t="shared" si="732"/>
        <v>0</v>
      </c>
      <c r="Q11753" s="31" t="str">
        <f t="shared" si="733"/>
        <v/>
      </c>
      <c r="R11753" s="32" t="str">
        <f>IFERROR(VLOOKUP($D11753,'Informations sur les produits'!$A$3:$B$15000,2,FALSE),"")</f>
        <v/>
      </c>
      <c r="V11753">
        <f t="shared" si="734"/>
        <v>0</v>
      </c>
      <c r="W11753">
        <f t="shared" si="735"/>
        <v>0</v>
      </c>
    </row>
    <row r="11754" spans="5:23" x14ac:dyDescent="0.25">
      <c r="E11754" s="4"/>
      <c r="F11754" s="4"/>
      <c r="G11754" s="33" t="str">
        <f>IFERROR(VLOOKUP($D11754,'Informations sur les produits'!$A$3:$H$10000,8,FALSE),"0")</f>
        <v>0</v>
      </c>
      <c r="K11754" s="4"/>
      <c r="L11754" s="33" t="str">
        <f>IFERROR(VLOOKUP($J11754,'Informations sur les produits'!$A$3:$H$10000,8,FALSE),"0")</f>
        <v>0</v>
      </c>
      <c r="N11754" s="8"/>
      <c r="O11754" s="33" t="str">
        <f>IFERROR(VLOOKUP($M11754,'Informations sur les produits'!$A$3:$H$10000,8,FALSE),"0")</f>
        <v>0</v>
      </c>
      <c r="P11754" s="33">
        <f t="shared" si="732"/>
        <v>0</v>
      </c>
      <c r="Q11754" s="31" t="str">
        <f t="shared" si="733"/>
        <v/>
      </c>
      <c r="R11754" s="32" t="str">
        <f>IFERROR(VLOOKUP($D11754,'Informations sur les produits'!$A$3:$B$15000,2,FALSE),"")</f>
        <v/>
      </c>
      <c r="V11754">
        <f t="shared" si="734"/>
        <v>0</v>
      </c>
      <c r="W11754">
        <f t="shared" si="735"/>
        <v>0</v>
      </c>
    </row>
    <row r="11755" spans="5:23" x14ac:dyDescent="0.25">
      <c r="E11755" s="4"/>
      <c r="F11755" s="4"/>
      <c r="G11755" s="33" t="str">
        <f>IFERROR(VLOOKUP($D11755,'Informations sur les produits'!$A$3:$H$10000,8,FALSE),"0")</f>
        <v>0</v>
      </c>
      <c r="K11755" s="4"/>
      <c r="L11755" s="33" t="str">
        <f>IFERROR(VLOOKUP($J11755,'Informations sur les produits'!$A$3:$H$10000,8,FALSE),"0")</f>
        <v>0</v>
      </c>
      <c r="N11755" s="8"/>
      <c r="O11755" s="33" t="str">
        <f>IFERROR(VLOOKUP($M11755,'Informations sur les produits'!$A$3:$H$10000,8,FALSE),"0")</f>
        <v>0</v>
      </c>
      <c r="P11755" s="33">
        <f t="shared" si="732"/>
        <v>0</v>
      </c>
      <c r="Q11755" s="31" t="str">
        <f t="shared" si="733"/>
        <v/>
      </c>
      <c r="R11755" s="32" t="str">
        <f>IFERROR(VLOOKUP($D11755,'Informations sur les produits'!$A$3:$B$15000,2,FALSE),"")</f>
        <v/>
      </c>
      <c r="V11755">
        <f t="shared" si="734"/>
        <v>0</v>
      </c>
      <c r="W11755">
        <f t="shared" si="735"/>
        <v>0</v>
      </c>
    </row>
    <row r="11756" spans="5:23" x14ac:dyDescent="0.25">
      <c r="E11756" s="4"/>
      <c r="F11756" s="4"/>
      <c r="G11756" s="33" t="str">
        <f>IFERROR(VLOOKUP($D11756,'Informations sur les produits'!$A$3:$H$10000,8,FALSE),"0")</f>
        <v>0</v>
      </c>
      <c r="K11756" s="4"/>
      <c r="L11756" s="33" t="str">
        <f>IFERROR(VLOOKUP($J11756,'Informations sur les produits'!$A$3:$H$10000,8,FALSE),"0")</f>
        <v>0</v>
      </c>
      <c r="N11756" s="8"/>
      <c r="O11756" s="33" t="str">
        <f>IFERROR(VLOOKUP($M11756,'Informations sur les produits'!$A$3:$H$10000,8,FALSE),"0")</f>
        <v>0</v>
      </c>
      <c r="P11756" s="33">
        <f t="shared" si="732"/>
        <v>0</v>
      </c>
      <c r="Q11756" s="31" t="str">
        <f t="shared" si="733"/>
        <v/>
      </c>
      <c r="R11756" s="32" t="str">
        <f>IFERROR(VLOOKUP($D11756,'Informations sur les produits'!$A$3:$B$15000,2,FALSE),"")</f>
        <v/>
      </c>
      <c r="V11756">
        <f t="shared" si="734"/>
        <v>0</v>
      </c>
      <c r="W11756">
        <f t="shared" si="735"/>
        <v>0</v>
      </c>
    </row>
    <row r="11757" spans="5:23" x14ac:dyDescent="0.25">
      <c r="E11757" s="4"/>
      <c r="F11757" s="4"/>
      <c r="G11757" s="33" t="str">
        <f>IFERROR(VLOOKUP($D11757,'Informations sur les produits'!$A$3:$H$10000,8,FALSE),"0")</f>
        <v>0</v>
      </c>
      <c r="K11757" s="4"/>
      <c r="L11757" s="33" t="str">
        <f>IFERROR(VLOOKUP($J11757,'Informations sur les produits'!$A$3:$H$10000,8,FALSE),"0")</f>
        <v>0</v>
      </c>
      <c r="N11757" s="8"/>
      <c r="O11757" s="33" t="str">
        <f>IFERROR(VLOOKUP($M11757,'Informations sur les produits'!$A$3:$H$10000,8,FALSE),"0")</f>
        <v>0</v>
      </c>
      <c r="P11757" s="33">
        <f t="shared" si="732"/>
        <v>0</v>
      </c>
      <c r="Q11757" s="31" t="str">
        <f t="shared" si="733"/>
        <v/>
      </c>
      <c r="R11757" s="32" t="str">
        <f>IFERROR(VLOOKUP($D11757,'Informations sur les produits'!$A$3:$B$15000,2,FALSE),"")</f>
        <v/>
      </c>
      <c r="V11757">
        <f t="shared" si="734"/>
        <v>0</v>
      </c>
      <c r="W11757">
        <f t="shared" si="735"/>
        <v>0</v>
      </c>
    </row>
    <row r="11758" spans="5:23" x14ac:dyDescent="0.25">
      <c r="E11758" s="4"/>
      <c r="F11758" s="4"/>
      <c r="G11758" s="33" t="str">
        <f>IFERROR(VLOOKUP($D11758,'Informations sur les produits'!$A$3:$H$10000,8,FALSE),"0")</f>
        <v>0</v>
      </c>
      <c r="K11758" s="4"/>
      <c r="L11758" s="33" t="str">
        <f>IFERROR(VLOOKUP($J11758,'Informations sur les produits'!$A$3:$H$10000,8,FALSE),"0")</f>
        <v>0</v>
      </c>
      <c r="N11758" s="8"/>
      <c r="O11758" s="33" t="str">
        <f>IFERROR(VLOOKUP($M11758,'Informations sur les produits'!$A$3:$H$10000,8,FALSE),"0")</f>
        <v>0</v>
      </c>
      <c r="P11758" s="33">
        <f t="shared" si="732"/>
        <v>0</v>
      </c>
      <c r="Q11758" s="31" t="str">
        <f t="shared" si="733"/>
        <v/>
      </c>
      <c r="R11758" s="32" t="str">
        <f>IFERROR(VLOOKUP($D11758,'Informations sur les produits'!$A$3:$B$15000,2,FALSE),"")</f>
        <v/>
      </c>
      <c r="V11758">
        <f t="shared" si="734"/>
        <v>0</v>
      </c>
      <c r="W11758">
        <f t="shared" si="735"/>
        <v>0</v>
      </c>
    </row>
    <row r="11759" spans="5:23" x14ac:dyDescent="0.25">
      <c r="E11759" s="4"/>
      <c r="F11759" s="4"/>
      <c r="G11759" s="33" t="str">
        <f>IFERROR(VLOOKUP($D11759,'Informations sur les produits'!$A$3:$H$10000,8,FALSE),"0")</f>
        <v>0</v>
      </c>
      <c r="K11759" s="4"/>
      <c r="L11759" s="33" t="str">
        <f>IFERROR(VLOOKUP($J11759,'Informations sur les produits'!$A$3:$H$10000,8,FALSE),"0")</f>
        <v>0</v>
      </c>
      <c r="N11759" s="8"/>
      <c r="O11759" s="33" t="str">
        <f>IFERROR(VLOOKUP($M11759,'Informations sur les produits'!$A$3:$H$10000,8,FALSE),"0")</f>
        <v>0</v>
      </c>
      <c r="P11759" s="33">
        <f t="shared" si="732"/>
        <v>0</v>
      </c>
      <c r="Q11759" s="31" t="str">
        <f t="shared" si="733"/>
        <v/>
      </c>
      <c r="R11759" s="32" t="str">
        <f>IFERROR(VLOOKUP($D11759,'Informations sur les produits'!$A$3:$B$15000,2,FALSE),"")</f>
        <v/>
      </c>
      <c r="V11759">
        <f t="shared" si="734"/>
        <v>0</v>
      </c>
      <c r="W11759">
        <f t="shared" si="735"/>
        <v>0</v>
      </c>
    </row>
    <row r="11760" spans="5:23" x14ac:dyDescent="0.25">
      <c r="E11760" s="4"/>
      <c r="F11760" s="4"/>
      <c r="G11760" s="33" t="str">
        <f>IFERROR(VLOOKUP($D11760,'Informations sur les produits'!$A$3:$H$10000,8,FALSE),"0")</f>
        <v>0</v>
      </c>
      <c r="K11760" s="4"/>
      <c r="L11760" s="33" t="str">
        <f>IFERROR(VLOOKUP($J11760,'Informations sur les produits'!$A$3:$H$10000,8,FALSE),"0")</f>
        <v>0</v>
      </c>
      <c r="N11760" s="8"/>
      <c r="O11760" s="33" t="str">
        <f>IFERROR(VLOOKUP($M11760,'Informations sur les produits'!$A$3:$H$10000,8,FALSE),"0")</f>
        <v>0</v>
      </c>
      <c r="P11760" s="33">
        <f t="shared" si="732"/>
        <v>0</v>
      </c>
      <c r="Q11760" s="31" t="str">
        <f t="shared" si="733"/>
        <v/>
      </c>
      <c r="R11760" s="32" t="str">
        <f>IFERROR(VLOOKUP($D11760,'Informations sur les produits'!$A$3:$B$15000,2,FALSE),"")</f>
        <v/>
      </c>
      <c r="V11760">
        <f t="shared" si="734"/>
        <v>0</v>
      </c>
      <c r="W11760">
        <f t="shared" si="735"/>
        <v>0</v>
      </c>
    </row>
    <row r="11761" spans="5:23" x14ac:dyDescent="0.25">
      <c r="E11761" s="4"/>
      <c r="F11761" s="4"/>
      <c r="G11761" s="33" t="str">
        <f>IFERROR(VLOOKUP($D11761,'Informations sur les produits'!$A$3:$H$10000,8,FALSE),"0")</f>
        <v>0</v>
      </c>
      <c r="K11761" s="4"/>
      <c r="L11761" s="33" t="str">
        <f>IFERROR(VLOOKUP($J11761,'Informations sur les produits'!$A$3:$H$10000,8,FALSE),"0")</f>
        <v>0</v>
      </c>
      <c r="N11761" s="8"/>
      <c r="O11761" s="33" t="str">
        <f>IFERROR(VLOOKUP($M11761,'Informations sur les produits'!$A$3:$H$10000,8,FALSE),"0")</f>
        <v>0</v>
      </c>
      <c r="P11761" s="33">
        <f t="shared" si="732"/>
        <v>0</v>
      </c>
      <c r="Q11761" s="31" t="str">
        <f t="shared" si="733"/>
        <v/>
      </c>
      <c r="R11761" s="32" t="str">
        <f>IFERROR(VLOOKUP($D11761,'Informations sur les produits'!$A$3:$B$15000,2,FALSE),"")</f>
        <v/>
      </c>
      <c r="V11761">
        <f t="shared" si="734"/>
        <v>0</v>
      </c>
      <c r="W11761">
        <f t="shared" si="735"/>
        <v>0</v>
      </c>
    </row>
    <row r="11762" spans="5:23" x14ac:dyDescent="0.25">
      <c r="E11762" s="4"/>
      <c r="F11762" s="4"/>
      <c r="G11762" s="33" t="str">
        <f>IFERROR(VLOOKUP($D11762,'Informations sur les produits'!$A$3:$H$10000,8,FALSE),"0")</f>
        <v>0</v>
      </c>
      <c r="K11762" s="4"/>
      <c r="L11762" s="33" t="str">
        <f>IFERROR(VLOOKUP($J11762,'Informations sur les produits'!$A$3:$H$10000,8,FALSE),"0")</f>
        <v>0</v>
      </c>
      <c r="N11762" s="8"/>
      <c r="O11762" s="33" t="str">
        <f>IFERROR(VLOOKUP($M11762,'Informations sur les produits'!$A$3:$H$10000,8,FALSE),"0")</f>
        <v>0</v>
      </c>
      <c r="P11762" s="33">
        <f t="shared" si="732"/>
        <v>0</v>
      </c>
      <c r="Q11762" s="31" t="str">
        <f t="shared" si="733"/>
        <v/>
      </c>
      <c r="R11762" s="32" t="str">
        <f>IFERROR(VLOOKUP($D11762,'Informations sur les produits'!$A$3:$B$15000,2,FALSE),"")</f>
        <v/>
      </c>
      <c r="V11762">
        <f t="shared" si="734"/>
        <v>0</v>
      </c>
      <c r="W11762">
        <f t="shared" si="735"/>
        <v>0</v>
      </c>
    </row>
    <row r="11763" spans="5:23" x14ac:dyDescent="0.25">
      <c r="E11763" s="4"/>
      <c r="F11763" s="4"/>
      <c r="G11763" s="33" t="str">
        <f>IFERROR(VLOOKUP($D11763,'Informations sur les produits'!$A$3:$H$10000,8,FALSE),"0")</f>
        <v>0</v>
      </c>
      <c r="K11763" s="4"/>
      <c r="L11763" s="33" t="str">
        <f>IFERROR(VLOOKUP($J11763,'Informations sur les produits'!$A$3:$H$10000,8,FALSE),"0")</f>
        <v>0</v>
      </c>
      <c r="N11763" s="8"/>
      <c r="O11763" s="33" t="str">
        <f>IFERROR(VLOOKUP($M11763,'Informations sur les produits'!$A$3:$H$10000,8,FALSE),"0")</f>
        <v>0</v>
      </c>
      <c r="P11763" s="33">
        <f t="shared" si="732"/>
        <v>0</v>
      </c>
      <c r="Q11763" s="31" t="str">
        <f t="shared" si="733"/>
        <v/>
      </c>
      <c r="R11763" s="32" t="str">
        <f>IFERROR(VLOOKUP($D11763,'Informations sur les produits'!$A$3:$B$15000,2,FALSE),"")</f>
        <v/>
      </c>
      <c r="V11763">
        <f t="shared" si="734"/>
        <v>0</v>
      </c>
      <c r="W11763">
        <f t="shared" si="735"/>
        <v>0</v>
      </c>
    </row>
    <row r="11764" spans="5:23" x14ac:dyDescent="0.25">
      <c r="E11764" s="4"/>
      <c r="F11764" s="4"/>
      <c r="G11764" s="33" t="str">
        <f>IFERROR(VLOOKUP($D11764,'Informations sur les produits'!$A$3:$H$10000,8,FALSE),"0")</f>
        <v>0</v>
      </c>
      <c r="K11764" s="4"/>
      <c r="L11764" s="33" t="str">
        <f>IFERROR(VLOOKUP($J11764,'Informations sur les produits'!$A$3:$H$10000,8,FALSE),"0")</f>
        <v>0</v>
      </c>
      <c r="N11764" s="8"/>
      <c r="O11764" s="33" t="str">
        <f>IFERROR(VLOOKUP($M11764,'Informations sur les produits'!$A$3:$H$10000,8,FALSE),"0")</f>
        <v>0</v>
      </c>
      <c r="P11764" s="33">
        <f t="shared" si="732"/>
        <v>0</v>
      </c>
      <c r="Q11764" s="31" t="str">
        <f t="shared" si="733"/>
        <v/>
      </c>
      <c r="R11764" s="32" t="str">
        <f>IFERROR(VLOOKUP($D11764,'Informations sur les produits'!$A$3:$B$15000,2,FALSE),"")</f>
        <v/>
      </c>
      <c r="V11764">
        <f t="shared" si="734"/>
        <v>0</v>
      </c>
      <c r="W11764">
        <f t="shared" si="735"/>
        <v>0</v>
      </c>
    </row>
    <row r="11765" spans="5:23" x14ac:dyDescent="0.25">
      <c r="E11765" s="4"/>
      <c r="F11765" s="4"/>
      <c r="G11765" s="33" t="str">
        <f>IFERROR(VLOOKUP($D11765,'Informations sur les produits'!$A$3:$H$10000,8,FALSE),"0")</f>
        <v>0</v>
      </c>
      <c r="K11765" s="4"/>
      <c r="L11765" s="33" t="str">
        <f>IFERROR(VLOOKUP($J11765,'Informations sur les produits'!$A$3:$H$10000,8,FALSE),"0")</f>
        <v>0</v>
      </c>
      <c r="N11765" s="8"/>
      <c r="O11765" s="33" t="str">
        <f>IFERROR(VLOOKUP($M11765,'Informations sur les produits'!$A$3:$H$10000,8,FALSE),"0")</f>
        <v>0</v>
      </c>
      <c r="P11765" s="33">
        <f t="shared" si="732"/>
        <v>0</v>
      </c>
      <c r="Q11765" s="31" t="str">
        <f t="shared" si="733"/>
        <v/>
      </c>
      <c r="R11765" s="32" t="str">
        <f>IFERROR(VLOOKUP($D11765,'Informations sur les produits'!$A$3:$B$15000,2,FALSE),"")</f>
        <v/>
      </c>
      <c r="V11765">
        <f t="shared" si="734"/>
        <v>0</v>
      </c>
      <c r="W11765">
        <f t="shared" si="735"/>
        <v>0</v>
      </c>
    </row>
    <row r="11766" spans="5:23" x14ac:dyDescent="0.25">
      <c r="E11766" s="4"/>
      <c r="F11766" s="4"/>
      <c r="G11766" s="33" t="str">
        <f>IFERROR(VLOOKUP($D11766,'Informations sur les produits'!$A$3:$H$10000,8,FALSE),"0")</f>
        <v>0</v>
      </c>
      <c r="K11766" s="4"/>
      <c r="L11766" s="33" t="str">
        <f>IFERROR(VLOOKUP($J11766,'Informations sur les produits'!$A$3:$H$10000,8,FALSE),"0")</f>
        <v>0</v>
      </c>
      <c r="N11766" s="8"/>
      <c r="O11766" s="33" t="str">
        <f>IFERROR(VLOOKUP($M11766,'Informations sur les produits'!$A$3:$H$10000,8,FALSE),"0")</f>
        <v>0</v>
      </c>
      <c r="P11766" s="33">
        <f t="shared" si="732"/>
        <v>0</v>
      </c>
      <c r="Q11766" s="31" t="str">
        <f t="shared" si="733"/>
        <v/>
      </c>
      <c r="R11766" s="32" t="str">
        <f>IFERROR(VLOOKUP($D11766,'Informations sur les produits'!$A$3:$B$15000,2,FALSE),"")</f>
        <v/>
      </c>
      <c r="V11766">
        <f t="shared" si="734"/>
        <v>0</v>
      </c>
      <c r="W11766">
        <f t="shared" si="735"/>
        <v>0</v>
      </c>
    </row>
    <row r="11767" spans="5:23" x14ac:dyDescent="0.25">
      <c r="E11767" s="4"/>
      <c r="F11767" s="4"/>
      <c r="G11767" s="33" t="str">
        <f>IFERROR(VLOOKUP($D11767,'Informations sur les produits'!$A$3:$H$10000,8,FALSE),"0")</f>
        <v>0</v>
      </c>
      <c r="K11767" s="4"/>
      <c r="L11767" s="33" t="str">
        <f>IFERROR(VLOOKUP($J11767,'Informations sur les produits'!$A$3:$H$10000,8,FALSE),"0")</f>
        <v>0</v>
      </c>
      <c r="N11767" s="8"/>
      <c r="O11767" s="33" t="str">
        <f>IFERROR(VLOOKUP($M11767,'Informations sur les produits'!$A$3:$H$10000,8,FALSE),"0")</f>
        <v>0</v>
      </c>
      <c r="P11767" s="33">
        <f t="shared" si="732"/>
        <v>0</v>
      </c>
      <c r="Q11767" s="31" t="str">
        <f t="shared" si="733"/>
        <v/>
      </c>
      <c r="R11767" s="32" t="str">
        <f>IFERROR(VLOOKUP($D11767,'Informations sur les produits'!$A$3:$B$15000,2,FALSE),"")</f>
        <v/>
      </c>
      <c r="V11767">
        <f t="shared" si="734"/>
        <v>0</v>
      </c>
      <c r="W11767">
        <f t="shared" si="735"/>
        <v>0</v>
      </c>
    </row>
    <row r="11768" spans="5:23" x14ac:dyDescent="0.25">
      <c r="E11768" s="4"/>
      <c r="F11768" s="4"/>
      <c r="G11768" s="33" t="str">
        <f>IFERROR(VLOOKUP($D11768,'Informations sur les produits'!$A$3:$H$10000,8,FALSE),"0")</f>
        <v>0</v>
      </c>
      <c r="K11768" s="4"/>
      <c r="L11768" s="33" t="str">
        <f>IFERROR(VLOOKUP($J11768,'Informations sur les produits'!$A$3:$H$10000,8,FALSE),"0")</f>
        <v>0</v>
      </c>
      <c r="N11768" s="8"/>
      <c r="O11768" s="33" t="str">
        <f>IFERROR(VLOOKUP($M11768,'Informations sur les produits'!$A$3:$H$10000,8,FALSE),"0")</f>
        <v>0</v>
      </c>
      <c r="P11768" s="33">
        <f t="shared" si="732"/>
        <v>0</v>
      </c>
      <c r="Q11768" s="31" t="str">
        <f t="shared" si="733"/>
        <v/>
      </c>
      <c r="R11768" s="32" t="str">
        <f>IFERROR(VLOOKUP($D11768,'Informations sur les produits'!$A$3:$B$15000,2,FALSE),"")</f>
        <v/>
      </c>
      <c r="V11768">
        <f t="shared" si="734"/>
        <v>0</v>
      </c>
      <c r="W11768">
        <f t="shared" si="735"/>
        <v>0</v>
      </c>
    </row>
    <row r="11769" spans="5:23" x14ac:dyDescent="0.25">
      <c r="E11769" s="4"/>
      <c r="F11769" s="4"/>
      <c r="G11769" s="33" t="str">
        <f>IFERROR(VLOOKUP($D11769,'Informations sur les produits'!$A$3:$H$10000,8,FALSE),"0")</f>
        <v>0</v>
      </c>
      <c r="K11769" s="4"/>
      <c r="L11769" s="33" t="str">
        <f>IFERROR(VLOOKUP($J11769,'Informations sur les produits'!$A$3:$H$10000,8,FALSE),"0")</f>
        <v>0</v>
      </c>
      <c r="N11769" s="8"/>
      <c r="O11769" s="33" t="str">
        <f>IFERROR(VLOOKUP($M11769,'Informations sur les produits'!$A$3:$H$10000,8,FALSE),"0")</f>
        <v>0</v>
      </c>
      <c r="P11769" s="33">
        <f t="shared" si="732"/>
        <v>0</v>
      </c>
      <c r="Q11769" s="31" t="str">
        <f t="shared" si="733"/>
        <v/>
      </c>
      <c r="R11769" s="32" t="str">
        <f>IFERROR(VLOOKUP($D11769,'Informations sur les produits'!$A$3:$B$15000,2,FALSE),"")</f>
        <v/>
      </c>
      <c r="V11769">
        <f t="shared" si="734"/>
        <v>0</v>
      </c>
      <c r="W11769">
        <f t="shared" si="735"/>
        <v>0</v>
      </c>
    </row>
    <row r="11770" spans="5:23" x14ac:dyDescent="0.25">
      <c r="E11770" s="4"/>
      <c r="F11770" s="4"/>
      <c r="G11770" s="33" t="str">
        <f>IFERROR(VLOOKUP($D11770,'Informations sur les produits'!$A$3:$H$10000,8,FALSE),"0")</f>
        <v>0</v>
      </c>
      <c r="K11770" s="4"/>
      <c r="L11770" s="33" t="str">
        <f>IFERROR(VLOOKUP($J11770,'Informations sur les produits'!$A$3:$H$10000,8,FALSE),"0")</f>
        <v>0</v>
      </c>
      <c r="N11770" s="8"/>
      <c r="O11770" s="33" t="str">
        <f>IFERROR(VLOOKUP($M11770,'Informations sur les produits'!$A$3:$H$10000,8,FALSE),"0")</f>
        <v>0</v>
      </c>
      <c r="P11770" s="33">
        <f t="shared" si="732"/>
        <v>0</v>
      </c>
      <c r="Q11770" s="31" t="str">
        <f t="shared" si="733"/>
        <v/>
      </c>
      <c r="R11770" s="32" t="str">
        <f>IFERROR(VLOOKUP($D11770,'Informations sur les produits'!$A$3:$B$15000,2,FALSE),"")</f>
        <v/>
      </c>
      <c r="V11770">
        <f t="shared" si="734"/>
        <v>0</v>
      </c>
      <c r="W11770">
        <f t="shared" si="735"/>
        <v>0</v>
      </c>
    </row>
    <row r="11771" spans="5:23" x14ac:dyDescent="0.25">
      <c r="E11771" s="4"/>
      <c r="F11771" s="4"/>
      <c r="G11771" s="33" t="str">
        <f>IFERROR(VLOOKUP($D11771,'Informations sur les produits'!$A$3:$H$10000,8,FALSE),"0")</f>
        <v>0</v>
      </c>
      <c r="K11771" s="4"/>
      <c r="L11771" s="33" t="str">
        <f>IFERROR(VLOOKUP($J11771,'Informations sur les produits'!$A$3:$H$10000,8,FALSE),"0")</f>
        <v>0</v>
      </c>
      <c r="N11771" s="8"/>
      <c r="O11771" s="33" t="str">
        <f>IFERROR(VLOOKUP($M11771,'Informations sur les produits'!$A$3:$H$10000,8,FALSE),"0")</f>
        <v>0</v>
      </c>
      <c r="P11771" s="33">
        <f t="shared" si="732"/>
        <v>0</v>
      </c>
      <c r="Q11771" s="31" t="str">
        <f t="shared" si="733"/>
        <v/>
      </c>
      <c r="R11771" s="32" t="str">
        <f>IFERROR(VLOOKUP($D11771,'Informations sur les produits'!$A$3:$B$15000,2,FALSE),"")</f>
        <v/>
      </c>
      <c r="V11771">
        <f t="shared" si="734"/>
        <v>0</v>
      </c>
      <c r="W11771">
        <f t="shared" si="735"/>
        <v>0</v>
      </c>
    </row>
    <row r="11772" spans="5:23" x14ac:dyDescent="0.25">
      <c r="E11772" s="4"/>
      <c r="F11772" s="4"/>
      <c r="G11772" s="33" t="str">
        <f>IFERROR(VLOOKUP($D11772,'Informations sur les produits'!$A$3:$H$10000,8,FALSE),"0")</f>
        <v>0</v>
      </c>
      <c r="K11772" s="4"/>
      <c r="L11772" s="33" t="str">
        <f>IFERROR(VLOOKUP($J11772,'Informations sur les produits'!$A$3:$H$10000,8,FALSE),"0")</f>
        <v>0</v>
      </c>
      <c r="N11772" s="8"/>
      <c r="O11772" s="33" t="str">
        <f>IFERROR(VLOOKUP($M11772,'Informations sur les produits'!$A$3:$H$10000,8,FALSE),"0")</f>
        <v>0</v>
      </c>
      <c r="P11772" s="33">
        <f t="shared" si="732"/>
        <v>0</v>
      </c>
      <c r="Q11772" s="31" t="str">
        <f t="shared" si="733"/>
        <v/>
      </c>
      <c r="R11772" s="32" t="str">
        <f>IFERROR(VLOOKUP($D11772,'Informations sur les produits'!$A$3:$B$15000,2,FALSE),"")</f>
        <v/>
      </c>
      <c r="V11772">
        <f t="shared" si="734"/>
        <v>0</v>
      </c>
      <c r="W11772">
        <f t="shared" si="735"/>
        <v>0</v>
      </c>
    </row>
    <row r="11773" spans="5:23" x14ac:dyDescent="0.25">
      <c r="E11773" s="4"/>
      <c r="F11773" s="4"/>
      <c r="G11773" s="33" t="str">
        <f>IFERROR(VLOOKUP($D11773,'Informations sur les produits'!$A$3:$H$10000,8,FALSE),"0")</f>
        <v>0</v>
      </c>
      <c r="K11773" s="4"/>
      <c r="L11773" s="33" t="str">
        <f>IFERROR(VLOOKUP($J11773,'Informations sur les produits'!$A$3:$H$10000,8,FALSE),"0")</f>
        <v>0</v>
      </c>
      <c r="N11773" s="8"/>
      <c r="O11773" s="33" t="str">
        <f>IFERROR(VLOOKUP($M11773,'Informations sur les produits'!$A$3:$H$10000,8,FALSE),"0")</f>
        <v>0</v>
      </c>
      <c r="P11773" s="33">
        <f t="shared" si="732"/>
        <v>0</v>
      </c>
      <c r="Q11773" s="31" t="str">
        <f t="shared" si="733"/>
        <v/>
      </c>
      <c r="R11773" s="32" t="str">
        <f>IFERROR(VLOOKUP($D11773,'Informations sur les produits'!$A$3:$B$15000,2,FALSE),"")</f>
        <v/>
      </c>
      <c r="V11773">
        <f t="shared" si="734"/>
        <v>0</v>
      </c>
      <c r="W11773">
        <f t="shared" si="735"/>
        <v>0</v>
      </c>
    </row>
    <row r="11774" spans="5:23" x14ac:dyDescent="0.25">
      <c r="E11774" s="4"/>
      <c r="F11774" s="4"/>
      <c r="G11774" s="33" t="str">
        <f>IFERROR(VLOOKUP($D11774,'Informations sur les produits'!$A$3:$H$10000,8,FALSE),"0")</f>
        <v>0</v>
      </c>
      <c r="K11774" s="4"/>
      <c r="L11774" s="33" t="str">
        <f>IFERROR(VLOOKUP($J11774,'Informations sur les produits'!$A$3:$H$10000,8,FALSE),"0")</f>
        <v>0</v>
      </c>
      <c r="N11774" s="8"/>
      <c r="O11774" s="33" t="str">
        <f>IFERROR(VLOOKUP($M11774,'Informations sur les produits'!$A$3:$H$10000,8,FALSE),"0")</f>
        <v>0</v>
      </c>
      <c r="P11774" s="33">
        <f t="shared" si="732"/>
        <v>0</v>
      </c>
      <c r="Q11774" s="31" t="str">
        <f t="shared" si="733"/>
        <v/>
      </c>
      <c r="R11774" s="32" t="str">
        <f>IFERROR(VLOOKUP($D11774,'Informations sur les produits'!$A$3:$B$15000,2,FALSE),"")</f>
        <v/>
      </c>
      <c r="V11774">
        <f t="shared" si="734"/>
        <v>0</v>
      </c>
      <c r="W11774">
        <f t="shared" si="735"/>
        <v>0</v>
      </c>
    </row>
    <row r="11775" spans="5:23" x14ac:dyDescent="0.25">
      <c r="E11775" s="4"/>
      <c r="F11775" s="4"/>
      <c r="G11775" s="33" t="str">
        <f>IFERROR(VLOOKUP($D11775,'Informations sur les produits'!$A$3:$H$10000,8,FALSE),"0")</f>
        <v>0</v>
      </c>
      <c r="K11775" s="4"/>
      <c r="L11775" s="33" t="str">
        <f>IFERROR(VLOOKUP($J11775,'Informations sur les produits'!$A$3:$H$10000,8,FALSE),"0")</f>
        <v>0</v>
      </c>
      <c r="N11775" s="8"/>
      <c r="O11775" s="33" t="str">
        <f>IFERROR(VLOOKUP($M11775,'Informations sur les produits'!$A$3:$H$10000,8,FALSE),"0")</f>
        <v>0</v>
      </c>
      <c r="P11775" s="33">
        <f t="shared" si="732"/>
        <v>0</v>
      </c>
      <c r="Q11775" s="31" t="str">
        <f t="shared" si="733"/>
        <v/>
      </c>
      <c r="R11775" s="32" t="str">
        <f>IFERROR(VLOOKUP($D11775,'Informations sur les produits'!$A$3:$B$15000,2,FALSE),"")</f>
        <v/>
      </c>
      <c r="V11775">
        <f t="shared" si="734"/>
        <v>0</v>
      </c>
      <c r="W11775">
        <f t="shared" si="735"/>
        <v>0</v>
      </c>
    </row>
    <row r="11776" spans="5:23" x14ac:dyDescent="0.25">
      <c r="E11776" s="4"/>
      <c r="F11776" s="4"/>
      <c r="G11776" s="33" t="str">
        <f>IFERROR(VLOOKUP($D11776,'Informations sur les produits'!$A$3:$H$10000,8,FALSE),"0")</f>
        <v>0</v>
      </c>
      <c r="K11776" s="4"/>
      <c r="L11776" s="33" t="str">
        <f>IFERROR(VLOOKUP($J11776,'Informations sur les produits'!$A$3:$H$10000,8,FALSE),"0")</f>
        <v>0</v>
      </c>
      <c r="N11776" s="8"/>
      <c r="O11776" s="33" t="str">
        <f>IFERROR(VLOOKUP($M11776,'Informations sur les produits'!$A$3:$H$10000,8,FALSE),"0")</f>
        <v>0</v>
      </c>
      <c r="P11776" s="33">
        <f t="shared" si="732"/>
        <v>0</v>
      </c>
      <c r="Q11776" s="31" t="str">
        <f t="shared" si="733"/>
        <v/>
      </c>
      <c r="R11776" s="32" t="str">
        <f>IFERROR(VLOOKUP($D11776,'Informations sur les produits'!$A$3:$B$15000,2,FALSE),"")</f>
        <v/>
      </c>
      <c r="V11776">
        <f t="shared" si="734"/>
        <v>0</v>
      </c>
      <c r="W11776">
        <f t="shared" si="735"/>
        <v>0</v>
      </c>
    </row>
    <row r="11777" spans="5:23" x14ac:dyDescent="0.25">
      <c r="E11777" s="4"/>
      <c r="F11777" s="4"/>
      <c r="G11777" s="33" t="str">
        <f>IFERROR(VLOOKUP($D11777,'Informations sur les produits'!$A$3:$H$10000,8,FALSE),"0")</f>
        <v>0</v>
      </c>
      <c r="K11777" s="4"/>
      <c r="L11777" s="33" t="str">
        <f>IFERROR(VLOOKUP($J11777,'Informations sur les produits'!$A$3:$H$10000,8,FALSE),"0")</f>
        <v>0</v>
      </c>
      <c r="N11777" s="8"/>
      <c r="O11777" s="33" t="str">
        <f>IFERROR(VLOOKUP($M11777,'Informations sur les produits'!$A$3:$H$10000,8,FALSE),"0")</f>
        <v>0</v>
      </c>
      <c r="P11777" s="33">
        <f t="shared" si="732"/>
        <v>0</v>
      </c>
      <c r="Q11777" s="31" t="str">
        <f t="shared" si="733"/>
        <v/>
      </c>
      <c r="R11777" s="32" t="str">
        <f>IFERROR(VLOOKUP($D11777,'Informations sur les produits'!$A$3:$B$15000,2,FALSE),"")</f>
        <v/>
      </c>
      <c r="V11777">
        <f t="shared" si="734"/>
        <v>0</v>
      </c>
      <c r="W11777">
        <f t="shared" si="735"/>
        <v>0</v>
      </c>
    </row>
    <row r="11778" spans="5:23" x14ac:dyDescent="0.25">
      <c r="E11778" s="4"/>
      <c r="F11778" s="4"/>
      <c r="G11778" s="33" t="str">
        <f>IFERROR(VLOOKUP($D11778,'Informations sur les produits'!$A$3:$H$10000,8,FALSE),"0")</f>
        <v>0</v>
      </c>
      <c r="K11778" s="4"/>
      <c r="L11778" s="33" t="str">
        <f>IFERROR(VLOOKUP($J11778,'Informations sur les produits'!$A$3:$H$10000,8,FALSE),"0")</f>
        <v>0</v>
      </c>
      <c r="N11778" s="8"/>
      <c r="O11778" s="33" t="str">
        <f>IFERROR(VLOOKUP($M11778,'Informations sur les produits'!$A$3:$H$10000,8,FALSE),"0")</f>
        <v>0</v>
      </c>
      <c r="P11778" s="33">
        <f t="shared" si="732"/>
        <v>0</v>
      </c>
      <c r="Q11778" s="31" t="str">
        <f t="shared" si="733"/>
        <v/>
      </c>
      <c r="R11778" s="32" t="str">
        <f>IFERROR(VLOOKUP($D11778,'Informations sur les produits'!$A$3:$B$15000,2,FALSE),"")</f>
        <v/>
      </c>
      <c r="V11778">
        <f t="shared" si="734"/>
        <v>0</v>
      </c>
      <c r="W11778">
        <f t="shared" si="735"/>
        <v>0</v>
      </c>
    </row>
    <row r="11779" spans="5:23" x14ac:dyDescent="0.25">
      <c r="E11779" s="4"/>
      <c r="F11779" s="4"/>
      <c r="G11779" s="33" t="str">
        <f>IFERROR(VLOOKUP($D11779,'Informations sur les produits'!$A$3:$H$10000,8,FALSE),"0")</f>
        <v>0</v>
      </c>
      <c r="K11779" s="4"/>
      <c r="L11779" s="33" t="str">
        <f>IFERROR(VLOOKUP($J11779,'Informations sur les produits'!$A$3:$H$10000,8,FALSE),"0")</f>
        <v>0</v>
      </c>
      <c r="N11779" s="8"/>
      <c r="O11779" s="33" t="str">
        <f>IFERROR(VLOOKUP($M11779,'Informations sur les produits'!$A$3:$H$10000,8,FALSE),"0")</f>
        <v>0</v>
      </c>
      <c r="P11779" s="33">
        <f t="shared" si="732"/>
        <v>0</v>
      </c>
      <c r="Q11779" s="31" t="str">
        <f t="shared" si="733"/>
        <v/>
      </c>
      <c r="R11779" s="32" t="str">
        <f>IFERROR(VLOOKUP($D11779,'Informations sur les produits'!$A$3:$B$15000,2,FALSE),"")</f>
        <v/>
      </c>
      <c r="V11779">
        <f t="shared" si="734"/>
        <v>0</v>
      </c>
      <c r="W11779">
        <f t="shared" si="735"/>
        <v>0</v>
      </c>
    </row>
    <row r="11780" spans="5:23" x14ac:dyDescent="0.25">
      <c r="E11780" s="4"/>
      <c r="F11780" s="4"/>
      <c r="G11780" s="33" t="str">
        <f>IFERROR(VLOOKUP($D11780,'Informations sur les produits'!$A$3:$H$10000,8,FALSE),"0")</f>
        <v>0</v>
      </c>
      <c r="K11780" s="4"/>
      <c r="L11780" s="33" t="str">
        <f>IFERROR(VLOOKUP($J11780,'Informations sur les produits'!$A$3:$H$10000,8,FALSE),"0")</f>
        <v>0</v>
      </c>
      <c r="N11780" s="8"/>
      <c r="O11780" s="33" t="str">
        <f>IFERROR(VLOOKUP($M11780,'Informations sur les produits'!$A$3:$H$10000,8,FALSE),"0")</f>
        <v>0</v>
      </c>
      <c r="P11780" s="33">
        <f t="shared" ref="P11780:P11843" si="736">IFERROR((($E11780-$F11780)*$G11780+$K11780*$L11780+$N11780*$O11780),"")</f>
        <v>0</v>
      </c>
      <c r="Q11780" s="31" t="str">
        <f t="shared" ref="Q11780:Q11843" si="737">IFERROR((((($E11780-$F11780)*$G11780+$K11780*$L11780+$N11780*$O11780)*1000)/(($E11780-$F11780)+$K11780+$N11780)),"")</f>
        <v/>
      </c>
      <c r="R11780" s="32" t="str">
        <f>IFERROR(VLOOKUP($D11780,'Informations sur les produits'!$A$3:$B$15000,2,FALSE),"")</f>
        <v/>
      </c>
      <c r="V11780">
        <f t="shared" ref="V11780:V11843" si="738">IFERROR(P11780*1000,"")</f>
        <v>0</v>
      </c>
      <c r="W11780">
        <f t="shared" ref="W11780:W11843" si="739">IFERROR(($E11780-$F11780)+$K11780+$N11780,"")</f>
        <v>0</v>
      </c>
    </row>
    <row r="11781" spans="5:23" x14ac:dyDescent="0.25">
      <c r="E11781" s="4"/>
      <c r="F11781" s="4"/>
      <c r="G11781" s="33" t="str">
        <f>IFERROR(VLOOKUP($D11781,'Informations sur les produits'!$A$3:$H$10000,8,FALSE),"0")</f>
        <v>0</v>
      </c>
      <c r="K11781" s="4"/>
      <c r="L11781" s="33" t="str">
        <f>IFERROR(VLOOKUP($J11781,'Informations sur les produits'!$A$3:$H$10000,8,FALSE),"0")</f>
        <v>0</v>
      </c>
      <c r="N11781" s="8"/>
      <c r="O11781" s="33" t="str">
        <f>IFERROR(VLOOKUP($M11781,'Informations sur les produits'!$A$3:$H$10000,8,FALSE),"0")</f>
        <v>0</v>
      </c>
      <c r="P11781" s="33">
        <f t="shared" si="736"/>
        <v>0</v>
      </c>
      <c r="Q11781" s="31" t="str">
        <f t="shared" si="737"/>
        <v/>
      </c>
      <c r="R11781" s="32" t="str">
        <f>IFERROR(VLOOKUP($D11781,'Informations sur les produits'!$A$3:$B$15000,2,FALSE),"")</f>
        <v/>
      </c>
      <c r="V11781">
        <f t="shared" si="738"/>
        <v>0</v>
      </c>
      <c r="W11781">
        <f t="shared" si="739"/>
        <v>0</v>
      </c>
    </row>
    <row r="11782" spans="5:23" x14ac:dyDescent="0.25">
      <c r="E11782" s="4"/>
      <c r="F11782" s="4"/>
      <c r="G11782" s="33" t="str">
        <f>IFERROR(VLOOKUP($D11782,'Informations sur les produits'!$A$3:$H$10000,8,FALSE),"0")</f>
        <v>0</v>
      </c>
      <c r="K11782" s="4"/>
      <c r="L11782" s="33" t="str">
        <f>IFERROR(VLOOKUP($J11782,'Informations sur les produits'!$A$3:$H$10000,8,FALSE),"0")</f>
        <v>0</v>
      </c>
      <c r="N11782" s="8"/>
      <c r="O11782" s="33" t="str">
        <f>IFERROR(VLOOKUP($M11782,'Informations sur les produits'!$A$3:$H$10000,8,FALSE),"0")</f>
        <v>0</v>
      </c>
      <c r="P11782" s="33">
        <f t="shared" si="736"/>
        <v>0</v>
      </c>
      <c r="Q11782" s="31" t="str">
        <f t="shared" si="737"/>
        <v/>
      </c>
      <c r="R11782" s="32" t="str">
        <f>IFERROR(VLOOKUP($D11782,'Informations sur les produits'!$A$3:$B$15000,2,FALSE),"")</f>
        <v/>
      </c>
      <c r="V11782">
        <f t="shared" si="738"/>
        <v>0</v>
      </c>
      <c r="W11782">
        <f t="shared" si="739"/>
        <v>0</v>
      </c>
    </row>
    <row r="11783" spans="5:23" x14ac:dyDescent="0.25">
      <c r="E11783" s="4"/>
      <c r="F11783" s="4"/>
      <c r="G11783" s="33" t="str">
        <f>IFERROR(VLOOKUP($D11783,'Informations sur les produits'!$A$3:$H$10000,8,FALSE),"0")</f>
        <v>0</v>
      </c>
      <c r="K11783" s="4"/>
      <c r="L11783" s="33" t="str">
        <f>IFERROR(VLOOKUP($J11783,'Informations sur les produits'!$A$3:$H$10000,8,FALSE),"0")</f>
        <v>0</v>
      </c>
      <c r="N11783" s="8"/>
      <c r="O11783" s="33" t="str">
        <f>IFERROR(VLOOKUP($M11783,'Informations sur les produits'!$A$3:$H$10000,8,FALSE),"0")</f>
        <v>0</v>
      </c>
      <c r="P11783" s="33">
        <f t="shared" si="736"/>
        <v>0</v>
      </c>
      <c r="Q11783" s="31" t="str">
        <f t="shared" si="737"/>
        <v/>
      </c>
      <c r="R11783" s="32" t="str">
        <f>IFERROR(VLOOKUP($D11783,'Informations sur les produits'!$A$3:$B$15000,2,FALSE),"")</f>
        <v/>
      </c>
      <c r="V11783">
        <f t="shared" si="738"/>
        <v>0</v>
      </c>
      <c r="W11783">
        <f t="shared" si="739"/>
        <v>0</v>
      </c>
    </row>
    <row r="11784" spans="5:23" x14ac:dyDescent="0.25">
      <c r="E11784" s="4"/>
      <c r="F11784" s="4"/>
      <c r="G11784" s="33" t="str">
        <f>IFERROR(VLOOKUP($D11784,'Informations sur les produits'!$A$3:$H$10000,8,FALSE),"0")</f>
        <v>0</v>
      </c>
      <c r="K11784" s="4"/>
      <c r="L11784" s="33" t="str">
        <f>IFERROR(VLOOKUP($J11784,'Informations sur les produits'!$A$3:$H$10000,8,FALSE),"0")</f>
        <v>0</v>
      </c>
      <c r="N11784" s="8"/>
      <c r="O11784" s="33" t="str">
        <f>IFERROR(VLOOKUP($M11784,'Informations sur les produits'!$A$3:$H$10000,8,FALSE),"0")</f>
        <v>0</v>
      </c>
      <c r="P11784" s="33">
        <f t="shared" si="736"/>
        <v>0</v>
      </c>
      <c r="Q11784" s="31" t="str">
        <f t="shared" si="737"/>
        <v/>
      </c>
      <c r="R11784" s="32" t="str">
        <f>IFERROR(VLOOKUP($D11784,'Informations sur les produits'!$A$3:$B$15000,2,FALSE),"")</f>
        <v/>
      </c>
      <c r="V11784">
        <f t="shared" si="738"/>
        <v>0</v>
      </c>
      <c r="W11784">
        <f t="shared" si="739"/>
        <v>0</v>
      </c>
    </row>
    <row r="11785" spans="5:23" x14ac:dyDescent="0.25">
      <c r="E11785" s="4"/>
      <c r="F11785" s="4"/>
      <c r="G11785" s="33" t="str">
        <f>IFERROR(VLOOKUP($D11785,'Informations sur les produits'!$A$3:$H$10000,8,FALSE),"0")</f>
        <v>0</v>
      </c>
      <c r="K11785" s="4"/>
      <c r="L11785" s="33" t="str">
        <f>IFERROR(VLOOKUP($J11785,'Informations sur les produits'!$A$3:$H$10000,8,FALSE),"0")</f>
        <v>0</v>
      </c>
      <c r="N11785" s="8"/>
      <c r="O11785" s="33" t="str">
        <f>IFERROR(VLOOKUP($M11785,'Informations sur les produits'!$A$3:$H$10000,8,FALSE),"0")</f>
        <v>0</v>
      </c>
      <c r="P11785" s="33">
        <f t="shared" si="736"/>
        <v>0</v>
      </c>
      <c r="Q11785" s="31" t="str">
        <f t="shared" si="737"/>
        <v/>
      </c>
      <c r="R11785" s="32" t="str">
        <f>IFERROR(VLOOKUP($D11785,'Informations sur les produits'!$A$3:$B$15000,2,FALSE),"")</f>
        <v/>
      </c>
      <c r="V11785">
        <f t="shared" si="738"/>
        <v>0</v>
      </c>
      <c r="W11785">
        <f t="shared" si="739"/>
        <v>0</v>
      </c>
    </row>
    <row r="11786" spans="5:23" x14ac:dyDescent="0.25">
      <c r="E11786" s="4"/>
      <c r="F11786" s="4"/>
      <c r="G11786" s="33" t="str">
        <f>IFERROR(VLOOKUP($D11786,'Informations sur les produits'!$A$3:$H$10000,8,FALSE),"0")</f>
        <v>0</v>
      </c>
      <c r="K11786" s="4"/>
      <c r="L11786" s="33" t="str">
        <f>IFERROR(VLOOKUP($J11786,'Informations sur les produits'!$A$3:$H$10000,8,FALSE),"0")</f>
        <v>0</v>
      </c>
      <c r="N11786" s="8"/>
      <c r="O11786" s="33" t="str">
        <f>IFERROR(VLOOKUP($M11786,'Informations sur les produits'!$A$3:$H$10000,8,FALSE),"0")</f>
        <v>0</v>
      </c>
      <c r="P11786" s="33">
        <f t="shared" si="736"/>
        <v>0</v>
      </c>
      <c r="Q11786" s="31" t="str">
        <f t="shared" si="737"/>
        <v/>
      </c>
      <c r="R11786" s="32" t="str">
        <f>IFERROR(VLOOKUP($D11786,'Informations sur les produits'!$A$3:$B$15000,2,FALSE),"")</f>
        <v/>
      </c>
      <c r="V11786">
        <f t="shared" si="738"/>
        <v>0</v>
      </c>
      <c r="W11786">
        <f t="shared" si="739"/>
        <v>0</v>
      </c>
    </row>
    <row r="11787" spans="5:23" x14ac:dyDescent="0.25">
      <c r="E11787" s="4"/>
      <c r="F11787" s="4"/>
      <c r="G11787" s="33" t="str">
        <f>IFERROR(VLOOKUP($D11787,'Informations sur les produits'!$A$3:$H$10000,8,FALSE),"0")</f>
        <v>0</v>
      </c>
      <c r="K11787" s="4"/>
      <c r="L11787" s="33" t="str">
        <f>IFERROR(VLOOKUP($J11787,'Informations sur les produits'!$A$3:$H$10000,8,FALSE),"0")</f>
        <v>0</v>
      </c>
      <c r="N11787" s="8"/>
      <c r="O11787" s="33" t="str">
        <f>IFERROR(VLOOKUP($M11787,'Informations sur les produits'!$A$3:$H$10000,8,FALSE),"0")</f>
        <v>0</v>
      </c>
      <c r="P11787" s="33">
        <f t="shared" si="736"/>
        <v>0</v>
      </c>
      <c r="Q11787" s="31" t="str">
        <f t="shared" si="737"/>
        <v/>
      </c>
      <c r="R11787" s="32" t="str">
        <f>IFERROR(VLOOKUP($D11787,'Informations sur les produits'!$A$3:$B$15000,2,FALSE),"")</f>
        <v/>
      </c>
      <c r="V11787">
        <f t="shared" si="738"/>
        <v>0</v>
      </c>
      <c r="W11787">
        <f t="shared" si="739"/>
        <v>0</v>
      </c>
    </row>
    <row r="11788" spans="5:23" x14ac:dyDescent="0.25">
      <c r="E11788" s="4"/>
      <c r="F11788" s="4"/>
      <c r="G11788" s="33" t="str">
        <f>IFERROR(VLOOKUP($D11788,'Informations sur les produits'!$A$3:$H$10000,8,FALSE),"0")</f>
        <v>0</v>
      </c>
      <c r="K11788" s="4"/>
      <c r="L11788" s="33" t="str">
        <f>IFERROR(VLOOKUP($J11788,'Informations sur les produits'!$A$3:$H$10000,8,FALSE),"0")</f>
        <v>0</v>
      </c>
      <c r="N11788" s="8"/>
      <c r="O11788" s="33" t="str">
        <f>IFERROR(VLOOKUP($M11788,'Informations sur les produits'!$A$3:$H$10000,8,FALSE),"0")</f>
        <v>0</v>
      </c>
      <c r="P11788" s="33">
        <f t="shared" si="736"/>
        <v>0</v>
      </c>
      <c r="Q11788" s="31" t="str">
        <f t="shared" si="737"/>
        <v/>
      </c>
      <c r="R11788" s="32" t="str">
        <f>IFERROR(VLOOKUP($D11788,'Informations sur les produits'!$A$3:$B$15000,2,FALSE),"")</f>
        <v/>
      </c>
      <c r="V11788">
        <f t="shared" si="738"/>
        <v>0</v>
      </c>
      <c r="W11788">
        <f t="shared" si="739"/>
        <v>0</v>
      </c>
    </row>
    <row r="11789" spans="5:23" x14ac:dyDescent="0.25">
      <c r="E11789" s="4"/>
      <c r="F11789" s="4"/>
      <c r="G11789" s="33" t="str">
        <f>IFERROR(VLOOKUP($D11789,'Informations sur les produits'!$A$3:$H$10000,8,FALSE),"0")</f>
        <v>0</v>
      </c>
      <c r="K11789" s="4"/>
      <c r="L11789" s="33" t="str">
        <f>IFERROR(VLOOKUP($J11789,'Informations sur les produits'!$A$3:$H$10000,8,FALSE),"0")</f>
        <v>0</v>
      </c>
      <c r="N11789" s="8"/>
      <c r="O11789" s="33" t="str">
        <f>IFERROR(VLOOKUP($M11789,'Informations sur les produits'!$A$3:$H$10000,8,FALSE),"0")</f>
        <v>0</v>
      </c>
      <c r="P11789" s="33">
        <f t="shared" si="736"/>
        <v>0</v>
      </c>
      <c r="Q11789" s="31" t="str">
        <f t="shared" si="737"/>
        <v/>
      </c>
      <c r="R11789" s="32" t="str">
        <f>IFERROR(VLOOKUP($D11789,'Informations sur les produits'!$A$3:$B$15000,2,FALSE),"")</f>
        <v/>
      </c>
      <c r="V11789">
        <f t="shared" si="738"/>
        <v>0</v>
      </c>
      <c r="W11789">
        <f t="shared" si="739"/>
        <v>0</v>
      </c>
    </row>
    <row r="11790" spans="5:23" x14ac:dyDescent="0.25">
      <c r="E11790" s="4"/>
      <c r="F11790" s="4"/>
      <c r="G11790" s="33" t="str">
        <f>IFERROR(VLOOKUP($D11790,'Informations sur les produits'!$A$3:$H$10000,8,FALSE),"0")</f>
        <v>0</v>
      </c>
      <c r="K11790" s="4"/>
      <c r="L11790" s="33" t="str">
        <f>IFERROR(VLOOKUP($J11790,'Informations sur les produits'!$A$3:$H$10000,8,FALSE),"0")</f>
        <v>0</v>
      </c>
      <c r="N11790" s="8"/>
      <c r="O11790" s="33" t="str">
        <f>IFERROR(VLOOKUP($M11790,'Informations sur les produits'!$A$3:$H$10000,8,FALSE),"0")</f>
        <v>0</v>
      </c>
      <c r="P11790" s="33">
        <f t="shared" si="736"/>
        <v>0</v>
      </c>
      <c r="Q11790" s="31" t="str">
        <f t="shared" si="737"/>
        <v/>
      </c>
      <c r="R11790" s="32" t="str">
        <f>IFERROR(VLOOKUP($D11790,'Informations sur les produits'!$A$3:$B$15000,2,FALSE),"")</f>
        <v/>
      </c>
      <c r="V11790">
        <f t="shared" si="738"/>
        <v>0</v>
      </c>
      <c r="W11790">
        <f t="shared" si="739"/>
        <v>0</v>
      </c>
    </row>
    <row r="11791" spans="5:23" x14ac:dyDescent="0.25">
      <c r="E11791" s="4"/>
      <c r="F11791" s="4"/>
      <c r="G11791" s="33" t="str">
        <f>IFERROR(VLOOKUP($D11791,'Informations sur les produits'!$A$3:$H$10000,8,FALSE),"0")</f>
        <v>0</v>
      </c>
      <c r="K11791" s="4"/>
      <c r="L11791" s="33" t="str">
        <f>IFERROR(VLOOKUP($J11791,'Informations sur les produits'!$A$3:$H$10000,8,FALSE),"0")</f>
        <v>0</v>
      </c>
      <c r="N11791" s="8"/>
      <c r="O11791" s="33" t="str">
        <f>IFERROR(VLOOKUP($M11791,'Informations sur les produits'!$A$3:$H$10000,8,FALSE),"0")</f>
        <v>0</v>
      </c>
      <c r="P11791" s="33">
        <f t="shared" si="736"/>
        <v>0</v>
      </c>
      <c r="Q11791" s="31" t="str">
        <f t="shared" si="737"/>
        <v/>
      </c>
      <c r="R11791" s="32" t="str">
        <f>IFERROR(VLOOKUP($D11791,'Informations sur les produits'!$A$3:$B$15000,2,FALSE),"")</f>
        <v/>
      </c>
      <c r="V11791">
        <f t="shared" si="738"/>
        <v>0</v>
      </c>
      <c r="W11791">
        <f t="shared" si="739"/>
        <v>0</v>
      </c>
    </row>
    <row r="11792" spans="5:23" x14ac:dyDescent="0.25">
      <c r="E11792" s="4"/>
      <c r="F11792" s="4"/>
      <c r="G11792" s="33" t="str">
        <f>IFERROR(VLOOKUP($D11792,'Informations sur les produits'!$A$3:$H$10000,8,FALSE),"0")</f>
        <v>0</v>
      </c>
      <c r="K11792" s="4"/>
      <c r="L11792" s="33" t="str">
        <f>IFERROR(VLOOKUP($J11792,'Informations sur les produits'!$A$3:$H$10000,8,FALSE),"0")</f>
        <v>0</v>
      </c>
      <c r="N11792" s="8"/>
      <c r="O11792" s="33" t="str">
        <f>IFERROR(VLOOKUP($M11792,'Informations sur les produits'!$A$3:$H$10000,8,FALSE),"0")</f>
        <v>0</v>
      </c>
      <c r="P11792" s="33">
        <f t="shared" si="736"/>
        <v>0</v>
      </c>
      <c r="Q11792" s="31" t="str">
        <f t="shared" si="737"/>
        <v/>
      </c>
      <c r="R11792" s="32" t="str">
        <f>IFERROR(VLOOKUP($D11792,'Informations sur les produits'!$A$3:$B$15000,2,FALSE),"")</f>
        <v/>
      </c>
      <c r="V11792">
        <f t="shared" si="738"/>
        <v>0</v>
      </c>
      <c r="W11792">
        <f t="shared" si="739"/>
        <v>0</v>
      </c>
    </row>
    <row r="11793" spans="5:23" x14ac:dyDescent="0.25">
      <c r="E11793" s="4"/>
      <c r="F11793" s="4"/>
      <c r="G11793" s="33" t="str">
        <f>IFERROR(VLOOKUP($D11793,'Informations sur les produits'!$A$3:$H$10000,8,FALSE),"0")</f>
        <v>0</v>
      </c>
      <c r="K11793" s="4"/>
      <c r="L11793" s="33" t="str">
        <f>IFERROR(VLOOKUP($J11793,'Informations sur les produits'!$A$3:$H$10000,8,FALSE),"0")</f>
        <v>0</v>
      </c>
      <c r="N11793" s="8"/>
      <c r="O11793" s="33" t="str">
        <f>IFERROR(VLOOKUP($M11793,'Informations sur les produits'!$A$3:$H$10000,8,FALSE),"0")</f>
        <v>0</v>
      </c>
      <c r="P11793" s="33">
        <f t="shared" si="736"/>
        <v>0</v>
      </c>
      <c r="Q11793" s="31" t="str">
        <f t="shared" si="737"/>
        <v/>
      </c>
      <c r="R11793" s="32" t="str">
        <f>IFERROR(VLOOKUP($D11793,'Informations sur les produits'!$A$3:$B$15000,2,FALSE),"")</f>
        <v/>
      </c>
      <c r="V11793">
        <f t="shared" si="738"/>
        <v>0</v>
      </c>
      <c r="W11793">
        <f t="shared" si="739"/>
        <v>0</v>
      </c>
    </row>
    <row r="11794" spans="5:23" x14ac:dyDescent="0.25">
      <c r="E11794" s="4"/>
      <c r="F11794" s="4"/>
      <c r="G11794" s="33" t="str">
        <f>IFERROR(VLOOKUP($D11794,'Informations sur les produits'!$A$3:$H$10000,8,FALSE),"0")</f>
        <v>0</v>
      </c>
      <c r="K11794" s="4"/>
      <c r="L11794" s="33" t="str">
        <f>IFERROR(VLOOKUP($J11794,'Informations sur les produits'!$A$3:$H$10000,8,FALSE),"0")</f>
        <v>0</v>
      </c>
      <c r="N11794" s="8"/>
      <c r="O11794" s="33" t="str">
        <f>IFERROR(VLOOKUP($M11794,'Informations sur les produits'!$A$3:$H$10000,8,FALSE),"0")</f>
        <v>0</v>
      </c>
      <c r="P11794" s="33">
        <f t="shared" si="736"/>
        <v>0</v>
      </c>
      <c r="Q11794" s="31" t="str">
        <f t="shared" si="737"/>
        <v/>
      </c>
      <c r="R11794" s="32" t="str">
        <f>IFERROR(VLOOKUP($D11794,'Informations sur les produits'!$A$3:$B$15000,2,FALSE),"")</f>
        <v/>
      </c>
      <c r="V11794">
        <f t="shared" si="738"/>
        <v>0</v>
      </c>
      <c r="W11794">
        <f t="shared" si="739"/>
        <v>0</v>
      </c>
    </row>
    <row r="11795" spans="5:23" x14ac:dyDescent="0.25">
      <c r="E11795" s="4"/>
      <c r="F11795" s="4"/>
      <c r="G11795" s="33" t="str">
        <f>IFERROR(VLOOKUP($D11795,'Informations sur les produits'!$A$3:$H$10000,8,FALSE),"0")</f>
        <v>0</v>
      </c>
      <c r="K11795" s="4"/>
      <c r="L11795" s="33" t="str">
        <f>IFERROR(VLOOKUP($J11795,'Informations sur les produits'!$A$3:$H$10000,8,FALSE),"0")</f>
        <v>0</v>
      </c>
      <c r="N11795" s="8"/>
      <c r="O11795" s="33" t="str">
        <f>IFERROR(VLOOKUP($M11795,'Informations sur les produits'!$A$3:$H$10000,8,FALSE),"0")</f>
        <v>0</v>
      </c>
      <c r="P11795" s="33">
        <f t="shared" si="736"/>
        <v>0</v>
      </c>
      <c r="Q11795" s="31" t="str">
        <f t="shared" si="737"/>
        <v/>
      </c>
      <c r="R11795" s="32" t="str">
        <f>IFERROR(VLOOKUP($D11795,'Informations sur les produits'!$A$3:$B$15000,2,FALSE),"")</f>
        <v/>
      </c>
      <c r="V11795">
        <f t="shared" si="738"/>
        <v>0</v>
      </c>
      <c r="W11795">
        <f t="shared" si="739"/>
        <v>0</v>
      </c>
    </row>
    <row r="11796" spans="5:23" x14ac:dyDescent="0.25">
      <c r="E11796" s="4"/>
      <c r="F11796" s="4"/>
      <c r="G11796" s="33" t="str">
        <f>IFERROR(VLOOKUP($D11796,'Informations sur les produits'!$A$3:$H$10000,8,FALSE),"0")</f>
        <v>0</v>
      </c>
      <c r="K11796" s="4"/>
      <c r="L11796" s="33" t="str">
        <f>IFERROR(VLOOKUP($J11796,'Informations sur les produits'!$A$3:$H$10000,8,FALSE),"0")</f>
        <v>0</v>
      </c>
      <c r="N11796" s="8"/>
      <c r="O11796" s="33" t="str">
        <f>IFERROR(VLOOKUP($M11796,'Informations sur les produits'!$A$3:$H$10000,8,FALSE),"0")</f>
        <v>0</v>
      </c>
      <c r="P11796" s="33">
        <f t="shared" si="736"/>
        <v>0</v>
      </c>
      <c r="Q11796" s="31" t="str">
        <f t="shared" si="737"/>
        <v/>
      </c>
      <c r="R11796" s="32" t="str">
        <f>IFERROR(VLOOKUP($D11796,'Informations sur les produits'!$A$3:$B$15000,2,FALSE),"")</f>
        <v/>
      </c>
      <c r="V11796">
        <f t="shared" si="738"/>
        <v>0</v>
      </c>
      <c r="W11796">
        <f t="shared" si="739"/>
        <v>0</v>
      </c>
    </row>
    <row r="11797" spans="5:23" x14ac:dyDescent="0.25">
      <c r="E11797" s="4"/>
      <c r="F11797" s="4"/>
      <c r="G11797" s="33" t="str">
        <f>IFERROR(VLOOKUP($D11797,'Informations sur les produits'!$A$3:$H$10000,8,FALSE),"0")</f>
        <v>0</v>
      </c>
      <c r="K11797" s="4"/>
      <c r="L11797" s="33" t="str">
        <f>IFERROR(VLOOKUP($J11797,'Informations sur les produits'!$A$3:$H$10000,8,FALSE),"0")</f>
        <v>0</v>
      </c>
      <c r="N11797" s="8"/>
      <c r="O11797" s="33" t="str">
        <f>IFERROR(VLOOKUP($M11797,'Informations sur les produits'!$A$3:$H$10000,8,FALSE),"0")</f>
        <v>0</v>
      </c>
      <c r="P11797" s="33">
        <f t="shared" si="736"/>
        <v>0</v>
      </c>
      <c r="Q11797" s="31" t="str">
        <f t="shared" si="737"/>
        <v/>
      </c>
      <c r="R11797" s="32" t="str">
        <f>IFERROR(VLOOKUP($D11797,'Informations sur les produits'!$A$3:$B$15000,2,FALSE),"")</f>
        <v/>
      </c>
      <c r="V11797">
        <f t="shared" si="738"/>
        <v>0</v>
      </c>
      <c r="W11797">
        <f t="shared" si="739"/>
        <v>0</v>
      </c>
    </row>
    <row r="11798" spans="5:23" x14ac:dyDescent="0.25">
      <c r="E11798" s="4"/>
      <c r="F11798" s="4"/>
      <c r="G11798" s="33" t="str">
        <f>IFERROR(VLOOKUP($D11798,'Informations sur les produits'!$A$3:$H$10000,8,FALSE),"0")</f>
        <v>0</v>
      </c>
      <c r="K11798" s="4"/>
      <c r="L11798" s="33" t="str">
        <f>IFERROR(VLOOKUP($J11798,'Informations sur les produits'!$A$3:$H$10000,8,FALSE),"0")</f>
        <v>0</v>
      </c>
      <c r="N11798" s="8"/>
      <c r="O11798" s="33" t="str">
        <f>IFERROR(VLOOKUP($M11798,'Informations sur les produits'!$A$3:$H$10000,8,FALSE),"0")</f>
        <v>0</v>
      </c>
      <c r="P11798" s="33">
        <f t="shared" si="736"/>
        <v>0</v>
      </c>
      <c r="Q11798" s="31" t="str">
        <f t="shared" si="737"/>
        <v/>
      </c>
      <c r="R11798" s="32" t="str">
        <f>IFERROR(VLOOKUP($D11798,'Informations sur les produits'!$A$3:$B$15000,2,FALSE),"")</f>
        <v/>
      </c>
      <c r="V11798">
        <f t="shared" si="738"/>
        <v>0</v>
      </c>
      <c r="W11798">
        <f t="shared" si="739"/>
        <v>0</v>
      </c>
    </row>
    <row r="11799" spans="5:23" x14ac:dyDescent="0.25">
      <c r="E11799" s="4"/>
      <c r="F11799" s="4"/>
      <c r="G11799" s="33" t="str">
        <f>IFERROR(VLOOKUP($D11799,'Informations sur les produits'!$A$3:$H$10000,8,FALSE),"0")</f>
        <v>0</v>
      </c>
      <c r="K11799" s="4"/>
      <c r="L11799" s="33" t="str">
        <f>IFERROR(VLOOKUP($J11799,'Informations sur les produits'!$A$3:$H$10000,8,FALSE),"0")</f>
        <v>0</v>
      </c>
      <c r="N11799" s="8"/>
      <c r="O11799" s="33" t="str">
        <f>IFERROR(VLOOKUP($M11799,'Informations sur les produits'!$A$3:$H$10000,8,FALSE),"0")</f>
        <v>0</v>
      </c>
      <c r="P11799" s="33">
        <f t="shared" si="736"/>
        <v>0</v>
      </c>
      <c r="Q11799" s="31" t="str">
        <f t="shared" si="737"/>
        <v/>
      </c>
      <c r="R11799" s="32" t="str">
        <f>IFERROR(VLOOKUP($D11799,'Informations sur les produits'!$A$3:$B$15000,2,FALSE),"")</f>
        <v/>
      </c>
      <c r="V11799">
        <f t="shared" si="738"/>
        <v>0</v>
      </c>
      <c r="W11799">
        <f t="shared" si="739"/>
        <v>0</v>
      </c>
    </row>
    <row r="11800" spans="5:23" x14ac:dyDescent="0.25">
      <c r="E11800" s="4"/>
      <c r="F11800" s="4"/>
      <c r="G11800" s="33" t="str">
        <f>IFERROR(VLOOKUP($D11800,'Informations sur les produits'!$A$3:$H$10000,8,FALSE),"0")</f>
        <v>0</v>
      </c>
      <c r="K11800" s="4"/>
      <c r="L11800" s="33" t="str">
        <f>IFERROR(VLOOKUP($J11800,'Informations sur les produits'!$A$3:$H$10000,8,FALSE),"0")</f>
        <v>0</v>
      </c>
      <c r="N11800" s="8"/>
      <c r="O11800" s="33" t="str">
        <f>IFERROR(VLOOKUP($M11800,'Informations sur les produits'!$A$3:$H$10000,8,FALSE),"0")</f>
        <v>0</v>
      </c>
      <c r="P11800" s="33">
        <f t="shared" si="736"/>
        <v>0</v>
      </c>
      <c r="Q11800" s="31" t="str">
        <f t="shared" si="737"/>
        <v/>
      </c>
      <c r="R11800" s="32" t="str">
        <f>IFERROR(VLOOKUP($D11800,'Informations sur les produits'!$A$3:$B$15000,2,FALSE),"")</f>
        <v/>
      </c>
      <c r="V11800">
        <f t="shared" si="738"/>
        <v>0</v>
      </c>
      <c r="W11800">
        <f t="shared" si="739"/>
        <v>0</v>
      </c>
    </row>
    <row r="11801" spans="5:23" x14ac:dyDescent="0.25">
      <c r="E11801" s="4"/>
      <c r="F11801" s="4"/>
      <c r="G11801" s="33" t="str">
        <f>IFERROR(VLOOKUP($D11801,'Informations sur les produits'!$A$3:$H$10000,8,FALSE),"0")</f>
        <v>0</v>
      </c>
      <c r="K11801" s="4"/>
      <c r="L11801" s="33" t="str">
        <f>IFERROR(VLOOKUP($J11801,'Informations sur les produits'!$A$3:$H$10000,8,FALSE),"0")</f>
        <v>0</v>
      </c>
      <c r="N11801" s="8"/>
      <c r="O11801" s="33" t="str">
        <f>IFERROR(VLOOKUP($M11801,'Informations sur les produits'!$A$3:$H$10000,8,FALSE),"0")</f>
        <v>0</v>
      </c>
      <c r="P11801" s="33">
        <f t="shared" si="736"/>
        <v>0</v>
      </c>
      <c r="Q11801" s="31" t="str">
        <f t="shared" si="737"/>
        <v/>
      </c>
      <c r="R11801" s="32" t="str">
        <f>IFERROR(VLOOKUP($D11801,'Informations sur les produits'!$A$3:$B$15000,2,FALSE),"")</f>
        <v/>
      </c>
      <c r="V11801">
        <f t="shared" si="738"/>
        <v>0</v>
      </c>
      <c r="W11801">
        <f t="shared" si="739"/>
        <v>0</v>
      </c>
    </row>
    <row r="11802" spans="5:23" x14ac:dyDescent="0.25">
      <c r="E11802" s="4"/>
      <c r="F11802" s="4"/>
      <c r="G11802" s="33" t="str">
        <f>IFERROR(VLOOKUP($D11802,'Informations sur les produits'!$A$3:$H$10000,8,FALSE),"0")</f>
        <v>0</v>
      </c>
      <c r="K11802" s="4"/>
      <c r="L11802" s="33" t="str">
        <f>IFERROR(VLOOKUP($J11802,'Informations sur les produits'!$A$3:$H$10000,8,FALSE),"0")</f>
        <v>0</v>
      </c>
      <c r="N11802" s="8"/>
      <c r="O11802" s="33" t="str">
        <f>IFERROR(VLOOKUP($M11802,'Informations sur les produits'!$A$3:$H$10000,8,FALSE),"0")</f>
        <v>0</v>
      </c>
      <c r="P11802" s="33">
        <f t="shared" si="736"/>
        <v>0</v>
      </c>
      <c r="Q11802" s="31" t="str">
        <f t="shared" si="737"/>
        <v/>
      </c>
      <c r="R11802" s="32" t="str">
        <f>IFERROR(VLOOKUP($D11802,'Informations sur les produits'!$A$3:$B$15000,2,FALSE),"")</f>
        <v/>
      </c>
      <c r="V11802">
        <f t="shared" si="738"/>
        <v>0</v>
      </c>
      <c r="W11802">
        <f t="shared" si="739"/>
        <v>0</v>
      </c>
    </row>
    <row r="11803" spans="5:23" x14ac:dyDescent="0.25">
      <c r="E11803" s="4"/>
      <c r="F11803" s="4"/>
      <c r="G11803" s="33" t="str">
        <f>IFERROR(VLOOKUP($D11803,'Informations sur les produits'!$A$3:$H$10000,8,FALSE),"0")</f>
        <v>0</v>
      </c>
      <c r="K11803" s="4"/>
      <c r="L11803" s="33" t="str">
        <f>IFERROR(VLOOKUP($J11803,'Informations sur les produits'!$A$3:$H$10000,8,FALSE),"0")</f>
        <v>0</v>
      </c>
      <c r="N11803" s="8"/>
      <c r="O11803" s="33" t="str">
        <f>IFERROR(VLOOKUP($M11803,'Informations sur les produits'!$A$3:$H$10000,8,FALSE),"0")</f>
        <v>0</v>
      </c>
      <c r="P11803" s="33">
        <f t="shared" si="736"/>
        <v>0</v>
      </c>
      <c r="Q11803" s="31" t="str">
        <f t="shared" si="737"/>
        <v/>
      </c>
      <c r="R11803" s="32" t="str">
        <f>IFERROR(VLOOKUP($D11803,'Informations sur les produits'!$A$3:$B$15000,2,FALSE),"")</f>
        <v/>
      </c>
      <c r="V11803">
        <f t="shared" si="738"/>
        <v>0</v>
      </c>
      <c r="W11803">
        <f t="shared" si="739"/>
        <v>0</v>
      </c>
    </row>
    <row r="11804" spans="5:23" x14ac:dyDescent="0.25">
      <c r="E11804" s="4"/>
      <c r="F11804" s="4"/>
      <c r="G11804" s="33" t="str">
        <f>IFERROR(VLOOKUP($D11804,'Informations sur les produits'!$A$3:$H$10000,8,FALSE),"0")</f>
        <v>0</v>
      </c>
      <c r="K11804" s="4"/>
      <c r="L11804" s="33" t="str">
        <f>IFERROR(VLOOKUP($J11804,'Informations sur les produits'!$A$3:$H$10000,8,FALSE),"0")</f>
        <v>0</v>
      </c>
      <c r="N11804" s="8"/>
      <c r="O11804" s="33" t="str">
        <f>IFERROR(VLOOKUP($M11804,'Informations sur les produits'!$A$3:$H$10000,8,FALSE),"0")</f>
        <v>0</v>
      </c>
      <c r="P11804" s="33">
        <f t="shared" si="736"/>
        <v>0</v>
      </c>
      <c r="Q11804" s="31" t="str">
        <f t="shared" si="737"/>
        <v/>
      </c>
      <c r="R11804" s="32" t="str">
        <f>IFERROR(VLOOKUP($D11804,'Informations sur les produits'!$A$3:$B$15000,2,FALSE),"")</f>
        <v/>
      </c>
      <c r="V11804">
        <f t="shared" si="738"/>
        <v>0</v>
      </c>
      <c r="W11804">
        <f t="shared" si="739"/>
        <v>0</v>
      </c>
    </row>
    <row r="11805" spans="5:23" x14ac:dyDescent="0.25">
      <c r="E11805" s="4"/>
      <c r="F11805" s="4"/>
      <c r="G11805" s="33" t="str">
        <f>IFERROR(VLOOKUP($D11805,'Informations sur les produits'!$A$3:$H$10000,8,FALSE),"0")</f>
        <v>0</v>
      </c>
      <c r="K11805" s="4"/>
      <c r="L11805" s="33" t="str">
        <f>IFERROR(VLOOKUP($J11805,'Informations sur les produits'!$A$3:$H$10000,8,FALSE),"0")</f>
        <v>0</v>
      </c>
      <c r="N11805" s="8"/>
      <c r="O11805" s="33" t="str">
        <f>IFERROR(VLOOKUP($M11805,'Informations sur les produits'!$A$3:$H$10000,8,FALSE),"0")</f>
        <v>0</v>
      </c>
      <c r="P11805" s="33">
        <f t="shared" si="736"/>
        <v>0</v>
      </c>
      <c r="Q11805" s="31" t="str">
        <f t="shared" si="737"/>
        <v/>
      </c>
      <c r="R11805" s="32" t="str">
        <f>IFERROR(VLOOKUP($D11805,'Informations sur les produits'!$A$3:$B$15000,2,FALSE),"")</f>
        <v/>
      </c>
      <c r="V11805">
        <f t="shared" si="738"/>
        <v>0</v>
      </c>
      <c r="W11805">
        <f t="shared" si="739"/>
        <v>0</v>
      </c>
    </row>
    <row r="11806" spans="5:23" x14ac:dyDescent="0.25">
      <c r="E11806" s="4"/>
      <c r="F11806" s="4"/>
      <c r="G11806" s="33" t="str">
        <f>IFERROR(VLOOKUP($D11806,'Informations sur les produits'!$A$3:$H$10000,8,FALSE),"0")</f>
        <v>0</v>
      </c>
      <c r="K11806" s="4"/>
      <c r="L11806" s="33" t="str">
        <f>IFERROR(VLOOKUP($J11806,'Informations sur les produits'!$A$3:$H$10000,8,FALSE),"0")</f>
        <v>0</v>
      </c>
      <c r="N11806" s="8"/>
      <c r="O11806" s="33" t="str">
        <f>IFERROR(VLOOKUP($M11806,'Informations sur les produits'!$A$3:$H$10000,8,FALSE),"0")</f>
        <v>0</v>
      </c>
      <c r="P11806" s="33">
        <f t="shared" si="736"/>
        <v>0</v>
      </c>
      <c r="Q11806" s="31" t="str">
        <f t="shared" si="737"/>
        <v/>
      </c>
      <c r="R11806" s="32" t="str">
        <f>IFERROR(VLOOKUP($D11806,'Informations sur les produits'!$A$3:$B$15000,2,FALSE),"")</f>
        <v/>
      </c>
      <c r="V11806">
        <f t="shared" si="738"/>
        <v>0</v>
      </c>
      <c r="W11806">
        <f t="shared" si="739"/>
        <v>0</v>
      </c>
    </row>
    <row r="11807" spans="5:23" x14ac:dyDescent="0.25">
      <c r="E11807" s="4"/>
      <c r="F11807" s="4"/>
      <c r="G11807" s="33" t="str">
        <f>IFERROR(VLOOKUP($D11807,'Informations sur les produits'!$A$3:$H$10000,8,FALSE),"0")</f>
        <v>0</v>
      </c>
      <c r="K11807" s="4"/>
      <c r="L11807" s="33" t="str">
        <f>IFERROR(VLOOKUP($J11807,'Informations sur les produits'!$A$3:$H$10000,8,FALSE),"0")</f>
        <v>0</v>
      </c>
      <c r="N11807" s="8"/>
      <c r="O11807" s="33" t="str">
        <f>IFERROR(VLOOKUP($M11807,'Informations sur les produits'!$A$3:$H$10000,8,FALSE),"0")</f>
        <v>0</v>
      </c>
      <c r="P11807" s="33">
        <f t="shared" si="736"/>
        <v>0</v>
      </c>
      <c r="Q11807" s="31" t="str">
        <f t="shared" si="737"/>
        <v/>
      </c>
      <c r="R11807" s="32" t="str">
        <f>IFERROR(VLOOKUP($D11807,'Informations sur les produits'!$A$3:$B$15000,2,FALSE),"")</f>
        <v/>
      </c>
      <c r="V11807">
        <f t="shared" si="738"/>
        <v>0</v>
      </c>
      <c r="W11807">
        <f t="shared" si="739"/>
        <v>0</v>
      </c>
    </row>
    <row r="11808" spans="5:23" x14ac:dyDescent="0.25">
      <c r="E11808" s="4"/>
      <c r="F11808" s="4"/>
      <c r="G11808" s="33" t="str">
        <f>IFERROR(VLOOKUP($D11808,'Informations sur les produits'!$A$3:$H$10000,8,FALSE),"0")</f>
        <v>0</v>
      </c>
      <c r="K11808" s="4"/>
      <c r="L11808" s="33" t="str">
        <f>IFERROR(VLOOKUP($J11808,'Informations sur les produits'!$A$3:$H$10000,8,FALSE),"0")</f>
        <v>0</v>
      </c>
      <c r="N11808" s="8"/>
      <c r="O11808" s="33" t="str">
        <f>IFERROR(VLOOKUP($M11808,'Informations sur les produits'!$A$3:$H$10000,8,FALSE),"0")</f>
        <v>0</v>
      </c>
      <c r="P11808" s="33">
        <f t="shared" si="736"/>
        <v>0</v>
      </c>
      <c r="Q11808" s="31" t="str">
        <f t="shared" si="737"/>
        <v/>
      </c>
      <c r="R11808" s="32" t="str">
        <f>IFERROR(VLOOKUP($D11808,'Informations sur les produits'!$A$3:$B$15000,2,FALSE),"")</f>
        <v/>
      </c>
      <c r="V11808">
        <f t="shared" si="738"/>
        <v>0</v>
      </c>
      <c r="W11808">
        <f t="shared" si="739"/>
        <v>0</v>
      </c>
    </row>
    <row r="11809" spans="5:23" x14ac:dyDescent="0.25">
      <c r="E11809" s="4"/>
      <c r="F11809" s="4"/>
      <c r="G11809" s="33" t="str">
        <f>IFERROR(VLOOKUP($D11809,'Informations sur les produits'!$A$3:$H$10000,8,FALSE),"0")</f>
        <v>0</v>
      </c>
      <c r="K11809" s="4"/>
      <c r="L11809" s="33" t="str">
        <f>IFERROR(VLOOKUP($J11809,'Informations sur les produits'!$A$3:$H$10000,8,FALSE),"0")</f>
        <v>0</v>
      </c>
      <c r="N11809" s="8"/>
      <c r="O11809" s="33" t="str">
        <f>IFERROR(VLOOKUP($M11809,'Informations sur les produits'!$A$3:$H$10000,8,FALSE),"0")</f>
        <v>0</v>
      </c>
      <c r="P11809" s="33">
        <f t="shared" si="736"/>
        <v>0</v>
      </c>
      <c r="Q11809" s="31" t="str">
        <f t="shared" si="737"/>
        <v/>
      </c>
      <c r="R11809" s="32" t="str">
        <f>IFERROR(VLOOKUP($D11809,'Informations sur les produits'!$A$3:$B$15000,2,FALSE),"")</f>
        <v/>
      </c>
      <c r="V11809">
        <f t="shared" si="738"/>
        <v>0</v>
      </c>
      <c r="W11809">
        <f t="shared" si="739"/>
        <v>0</v>
      </c>
    </row>
    <row r="11810" spans="5:23" x14ac:dyDescent="0.25">
      <c r="E11810" s="4"/>
      <c r="F11810" s="4"/>
      <c r="G11810" s="33" t="str">
        <f>IFERROR(VLOOKUP($D11810,'Informations sur les produits'!$A$3:$H$10000,8,FALSE),"0")</f>
        <v>0</v>
      </c>
      <c r="K11810" s="4"/>
      <c r="L11810" s="33" t="str">
        <f>IFERROR(VLOOKUP($J11810,'Informations sur les produits'!$A$3:$H$10000,8,FALSE),"0")</f>
        <v>0</v>
      </c>
      <c r="N11810" s="8"/>
      <c r="O11810" s="33" t="str">
        <f>IFERROR(VLOOKUP($M11810,'Informations sur les produits'!$A$3:$H$10000,8,FALSE),"0")</f>
        <v>0</v>
      </c>
      <c r="P11810" s="33">
        <f t="shared" si="736"/>
        <v>0</v>
      </c>
      <c r="Q11810" s="31" t="str">
        <f t="shared" si="737"/>
        <v/>
      </c>
      <c r="R11810" s="32" t="str">
        <f>IFERROR(VLOOKUP($D11810,'Informations sur les produits'!$A$3:$B$15000,2,FALSE),"")</f>
        <v/>
      </c>
      <c r="V11810">
        <f t="shared" si="738"/>
        <v>0</v>
      </c>
      <c r="W11810">
        <f t="shared" si="739"/>
        <v>0</v>
      </c>
    </row>
    <row r="11811" spans="5:23" x14ac:dyDescent="0.25">
      <c r="E11811" s="4"/>
      <c r="F11811" s="4"/>
      <c r="G11811" s="33" t="str">
        <f>IFERROR(VLOOKUP($D11811,'Informations sur les produits'!$A$3:$H$10000,8,FALSE),"0")</f>
        <v>0</v>
      </c>
      <c r="K11811" s="4"/>
      <c r="L11811" s="33" t="str">
        <f>IFERROR(VLOOKUP($J11811,'Informations sur les produits'!$A$3:$H$10000,8,FALSE),"0")</f>
        <v>0</v>
      </c>
      <c r="N11811" s="8"/>
      <c r="O11811" s="33" t="str">
        <f>IFERROR(VLOOKUP($M11811,'Informations sur les produits'!$A$3:$H$10000,8,FALSE),"0")</f>
        <v>0</v>
      </c>
      <c r="P11811" s="33">
        <f t="shared" si="736"/>
        <v>0</v>
      </c>
      <c r="Q11811" s="31" t="str">
        <f t="shared" si="737"/>
        <v/>
      </c>
      <c r="R11811" s="32" t="str">
        <f>IFERROR(VLOOKUP($D11811,'Informations sur les produits'!$A$3:$B$15000,2,FALSE),"")</f>
        <v/>
      </c>
      <c r="V11811">
        <f t="shared" si="738"/>
        <v>0</v>
      </c>
      <c r="W11811">
        <f t="shared" si="739"/>
        <v>0</v>
      </c>
    </row>
    <row r="11812" spans="5:23" x14ac:dyDescent="0.25">
      <c r="E11812" s="4"/>
      <c r="F11812" s="4"/>
      <c r="G11812" s="33" t="str">
        <f>IFERROR(VLOOKUP($D11812,'Informations sur les produits'!$A$3:$H$10000,8,FALSE),"0")</f>
        <v>0</v>
      </c>
      <c r="K11812" s="4"/>
      <c r="L11812" s="33" t="str">
        <f>IFERROR(VLOOKUP($J11812,'Informations sur les produits'!$A$3:$H$10000,8,FALSE),"0")</f>
        <v>0</v>
      </c>
      <c r="N11812" s="8"/>
      <c r="O11812" s="33" t="str">
        <f>IFERROR(VLOOKUP($M11812,'Informations sur les produits'!$A$3:$H$10000,8,FALSE),"0")</f>
        <v>0</v>
      </c>
      <c r="P11812" s="33">
        <f t="shared" si="736"/>
        <v>0</v>
      </c>
      <c r="Q11812" s="31" t="str">
        <f t="shared" si="737"/>
        <v/>
      </c>
      <c r="R11812" s="32" t="str">
        <f>IFERROR(VLOOKUP($D11812,'Informations sur les produits'!$A$3:$B$15000,2,FALSE),"")</f>
        <v/>
      </c>
      <c r="V11812">
        <f t="shared" si="738"/>
        <v>0</v>
      </c>
      <c r="W11812">
        <f t="shared" si="739"/>
        <v>0</v>
      </c>
    </row>
    <row r="11813" spans="5:23" x14ac:dyDescent="0.25">
      <c r="E11813" s="4"/>
      <c r="F11813" s="4"/>
      <c r="G11813" s="33" t="str">
        <f>IFERROR(VLOOKUP($D11813,'Informations sur les produits'!$A$3:$H$10000,8,FALSE),"0")</f>
        <v>0</v>
      </c>
      <c r="K11813" s="4"/>
      <c r="L11813" s="33" t="str">
        <f>IFERROR(VLOOKUP($J11813,'Informations sur les produits'!$A$3:$H$10000,8,FALSE),"0")</f>
        <v>0</v>
      </c>
      <c r="N11813" s="8"/>
      <c r="O11813" s="33" t="str">
        <f>IFERROR(VLOOKUP($M11813,'Informations sur les produits'!$A$3:$H$10000,8,FALSE),"0")</f>
        <v>0</v>
      </c>
      <c r="P11813" s="33">
        <f t="shared" si="736"/>
        <v>0</v>
      </c>
      <c r="Q11813" s="31" t="str">
        <f t="shared" si="737"/>
        <v/>
      </c>
      <c r="R11813" s="32" t="str">
        <f>IFERROR(VLOOKUP($D11813,'Informations sur les produits'!$A$3:$B$15000,2,FALSE),"")</f>
        <v/>
      </c>
      <c r="V11813">
        <f t="shared" si="738"/>
        <v>0</v>
      </c>
      <c r="W11813">
        <f t="shared" si="739"/>
        <v>0</v>
      </c>
    </row>
    <row r="11814" spans="5:23" x14ac:dyDescent="0.25">
      <c r="E11814" s="4"/>
      <c r="F11814" s="4"/>
      <c r="G11814" s="33" t="str">
        <f>IFERROR(VLOOKUP($D11814,'Informations sur les produits'!$A$3:$H$10000,8,FALSE),"0")</f>
        <v>0</v>
      </c>
      <c r="K11814" s="4"/>
      <c r="L11814" s="33" t="str">
        <f>IFERROR(VLOOKUP($J11814,'Informations sur les produits'!$A$3:$H$10000,8,FALSE),"0")</f>
        <v>0</v>
      </c>
      <c r="N11814" s="8"/>
      <c r="O11814" s="33" t="str">
        <f>IFERROR(VLOOKUP($M11814,'Informations sur les produits'!$A$3:$H$10000,8,FALSE),"0")</f>
        <v>0</v>
      </c>
      <c r="P11814" s="33">
        <f t="shared" si="736"/>
        <v>0</v>
      </c>
      <c r="Q11814" s="31" t="str">
        <f t="shared" si="737"/>
        <v/>
      </c>
      <c r="R11814" s="32" t="str">
        <f>IFERROR(VLOOKUP($D11814,'Informations sur les produits'!$A$3:$B$15000,2,FALSE),"")</f>
        <v/>
      </c>
      <c r="V11814">
        <f t="shared" si="738"/>
        <v>0</v>
      </c>
      <c r="W11814">
        <f t="shared" si="739"/>
        <v>0</v>
      </c>
    </row>
    <row r="11815" spans="5:23" x14ac:dyDescent="0.25">
      <c r="E11815" s="4"/>
      <c r="F11815" s="4"/>
      <c r="G11815" s="33" t="str">
        <f>IFERROR(VLOOKUP($D11815,'Informations sur les produits'!$A$3:$H$10000,8,FALSE),"0")</f>
        <v>0</v>
      </c>
      <c r="K11815" s="4"/>
      <c r="L11815" s="33" t="str">
        <f>IFERROR(VLOOKUP($J11815,'Informations sur les produits'!$A$3:$H$10000,8,FALSE),"0")</f>
        <v>0</v>
      </c>
      <c r="N11815" s="8"/>
      <c r="O11815" s="33" t="str">
        <f>IFERROR(VLOOKUP($M11815,'Informations sur les produits'!$A$3:$H$10000,8,FALSE),"0")</f>
        <v>0</v>
      </c>
      <c r="P11815" s="33">
        <f t="shared" si="736"/>
        <v>0</v>
      </c>
      <c r="Q11815" s="31" t="str">
        <f t="shared" si="737"/>
        <v/>
      </c>
      <c r="R11815" s="32" t="str">
        <f>IFERROR(VLOOKUP($D11815,'Informations sur les produits'!$A$3:$B$15000,2,FALSE),"")</f>
        <v/>
      </c>
      <c r="V11815">
        <f t="shared" si="738"/>
        <v>0</v>
      </c>
      <c r="W11815">
        <f t="shared" si="739"/>
        <v>0</v>
      </c>
    </row>
    <row r="11816" spans="5:23" x14ac:dyDescent="0.25">
      <c r="E11816" s="4"/>
      <c r="F11816" s="4"/>
      <c r="G11816" s="33" t="str">
        <f>IFERROR(VLOOKUP($D11816,'Informations sur les produits'!$A$3:$H$10000,8,FALSE),"0")</f>
        <v>0</v>
      </c>
      <c r="K11816" s="4"/>
      <c r="L11816" s="33" t="str">
        <f>IFERROR(VLOOKUP($J11816,'Informations sur les produits'!$A$3:$H$10000,8,FALSE),"0")</f>
        <v>0</v>
      </c>
      <c r="N11816" s="8"/>
      <c r="O11816" s="33" t="str">
        <f>IFERROR(VLOOKUP($M11816,'Informations sur les produits'!$A$3:$H$10000,8,FALSE),"0")</f>
        <v>0</v>
      </c>
      <c r="P11816" s="33">
        <f t="shared" si="736"/>
        <v>0</v>
      </c>
      <c r="Q11816" s="31" t="str">
        <f t="shared" si="737"/>
        <v/>
      </c>
      <c r="R11816" s="32" t="str">
        <f>IFERROR(VLOOKUP($D11816,'Informations sur les produits'!$A$3:$B$15000,2,FALSE),"")</f>
        <v/>
      </c>
      <c r="V11816">
        <f t="shared" si="738"/>
        <v>0</v>
      </c>
      <c r="W11816">
        <f t="shared" si="739"/>
        <v>0</v>
      </c>
    </row>
    <row r="11817" spans="5:23" x14ac:dyDescent="0.25">
      <c r="E11817" s="4"/>
      <c r="F11817" s="4"/>
      <c r="G11817" s="33" t="str">
        <f>IFERROR(VLOOKUP($D11817,'Informations sur les produits'!$A$3:$H$10000,8,FALSE),"0")</f>
        <v>0</v>
      </c>
      <c r="K11817" s="4"/>
      <c r="L11817" s="33" t="str">
        <f>IFERROR(VLOOKUP($J11817,'Informations sur les produits'!$A$3:$H$10000,8,FALSE),"0")</f>
        <v>0</v>
      </c>
      <c r="N11817" s="8"/>
      <c r="O11817" s="33" t="str">
        <f>IFERROR(VLOOKUP($M11817,'Informations sur les produits'!$A$3:$H$10000,8,FALSE),"0")</f>
        <v>0</v>
      </c>
      <c r="P11817" s="33">
        <f t="shared" si="736"/>
        <v>0</v>
      </c>
      <c r="Q11817" s="31" t="str">
        <f t="shared" si="737"/>
        <v/>
      </c>
      <c r="R11817" s="32" t="str">
        <f>IFERROR(VLOOKUP($D11817,'Informations sur les produits'!$A$3:$B$15000,2,FALSE),"")</f>
        <v/>
      </c>
      <c r="V11817">
        <f t="shared" si="738"/>
        <v>0</v>
      </c>
      <c r="W11817">
        <f t="shared" si="739"/>
        <v>0</v>
      </c>
    </row>
    <row r="11818" spans="5:23" x14ac:dyDescent="0.25">
      <c r="E11818" s="4"/>
      <c r="F11818" s="4"/>
      <c r="G11818" s="33" t="str">
        <f>IFERROR(VLOOKUP($D11818,'Informations sur les produits'!$A$3:$H$10000,8,FALSE),"0")</f>
        <v>0</v>
      </c>
      <c r="K11818" s="4"/>
      <c r="L11818" s="33" t="str">
        <f>IFERROR(VLOOKUP($J11818,'Informations sur les produits'!$A$3:$H$10000,8,FALSE),"0")</f>
        <v>0</v>
      </c>
      <c r="N11818" s="8"/>
      <c r="O11818" s="33" t="str">
        <f>IFERROR(VLOOKUP($M11818,'Informations sur les produits'!$A$3:$H$10000,8,FALSE),"0")</f>
        <v>0</v>
      </c>
      <c r="P11818" s="33">
        <f t="shared" si="736"/>
        <v>0</v>
      </c>
      <c r="Q11818" s="31" t="str">
        <f t="shared" si="737"/>
        <v/>
      </c>
      <c r="R11818" s="32" t="str">
        <f>IFERROR(VLOOKUP($D11818,'Informations sur les produits'!$A$3:$B$15000,2,FALSE),"")</f>
        <v/>
      </c>
      <c r="V11818">
        <f t="shared" si="738"/>
        <v>0</v>
      </c>
      <c r="W11818">
        <f t="shared" si="739"/>
        <v>0</v>
      </c>
    </row>
    <row r="11819" spans="5:23" x14ac:dyDescent="0.25">
      <c r="E11819" s="4"/>
      <c r="F11819" s="4"/>
      <c r="G11819" s="33" t="str">
        <f>IFERROR(VLOOKUP($D11819,'Informations sur les produits'!$A$3:$H$10000,8,FALSE),"0")</f>
        <v>0</v>
      </c>
      <c r="K11819" s="4"/>
      <c r="L11819" s="33" t="str">
        <f>IFERROR(VLOOKUP($J11819,'Informations sur les produits'!$A$3:$H$10000,8,FALSE),"0")</f>
        <v>0</v>
      </c>
      <c r="N11819" s="8"/>
      <c r="O11819" s="33" t="str">
        <f>IFERROR(VLOOKUP($M11819,'Informations sur les produits'!$A$3:$H$10000,8,FALSE),"0")</f>
        <v>0</v>
      </c>
      <c r="P11819" s="33">
        <f t="shared" si="736"/>
        <v>0</v>
      </c>
      <c r="Q11819" s="31" t="str">
        <f t="shared" si="737"/>
        <v/>
      </c>
      <c r="R11819" s="32" t="str">
        <f>IFERROR(VLOOKUP($D11819,'Informations sur les produits'!$A$3:$B$15000,2,FALSE),"")</f>
        <v/>
      </c>
      <c r="V11819">
        <f t="shared" si="738"/>
        <v>0</v>
      </c>
      <c r="W11819">
        <f t="shared" si="739"/>
        <v>0</v>
      </c>
    </row>
    <row r="11820" spans="5:23" x14ac:dyDescent="0.25">
      <c r="E11820" s="4"/>
      <c r="F11820" s="4"/>
      <c r="G11820" s="33" t="str">
        <f>IFERROR(VLOOKUP($D11820,'Informations sur les produits'!$A$3:$H$10000,8,FALSE),"0")</f>
        <v>0</v>
      </c>
      <c r="K11820" s="4"/>
      <c r="L11820" s="33" t="str">
        <f>IFERROR(VLOOKUP($J11820,'Informations sur les produits'!$A$3:$H$10000,8,FALSE),"0")</f>
        <v>0</v>
      </c>
      <c r="N11820" s="8"/>
      <c r="O11820" s="33" t="str">
        <f>IFERROR(VLOOKUP($M11820,'Informations sur les produits'!$A$3:$H$10000,8,FALSE),"0")</f>
        <v>0</v>
      </c>
      <c r="P11820" s="33">
        <f t="shared" si="736"/>
        <v>0</v>
      </c>
      <c r="Q11820" s="31" t="str">
        <f t="shared" si="737"/>
        <v/>
      </c>
      <c r="R11820" s="32" t="str">
        <f>IFERROR(VLOOKUP($D11820,'Informations sur les produits'!$A$3:$B$15000,2,FALSE),"")</f>
        <v/>
      </c>
      <c r="V11820">
        <f t="shared" si="738"/>
        <v>0</v>
      </c>
      <c r="W11820">
        <f t="shared" si="739"/>
        <v>0</v>
      </c>
    </row>
    <row r="11821" spans="5:23" x14ac:dyDescent="0.25">
      <c r="E11821" s="4"/>
      <c r="F11821" s="4"/>
      <c r="G11821" s="33" t="str">
        <f>IFERROR(VLOOKUP($D11821,'Informations sur les produits'!$A$3:$H$10000,8,FALSE),"0")</f>
        <v>0</v>
      </c>
      <c r="K11821" s="4"/>
      <c r="L11821" s="33" t="str">
        <f>IFERROR(VLOOKUP($J11821,'Informations sur les produits'!$A$3:$H$10000,8,FALSE),"0")</f>
        <v>0</v>
      </c>
      <c r="N11821" s="8"/>
      <c r="O11821" s="33" t="str">
        <f>IFERROR(VLOOKUP($M11821,'Informations sur les produits'!$A$3:$H$10000,8,FALSE),"0")</f>
        <v>0</v>
      </c>
      <c r="P11821" s="33">
        <f t="shared" si="736"/>
        <v>0</v>
      </c>
      <c r="Q11821" s="31" t="str">
        <f t="shared" si="737"/>
        <v/>
      </c>
      <c r="R11821" s="32" t="str">
        <f>IFERROR(VLOOKUP($D11821,'Informations sur les produits'!$A$3:$B$15000,2,FALSE),"")</f>
        <v/>
      </c>
      <c r="V11821">
        <f t="shared" si="738"/>
        <v>0</v>
      </c>
      <c r="W11821">
        <f t="shared" si="739"/>
        <v>0</v>
      </c>
    </row>
    <row r="11822" spans="5:23" x14ac:dyDescent="0.25">
      <c r="E11822" s="4"/>
      <c r="F11822" s="4"/>
      <c r="G11822" s="33" t="str">
        <f>IFERROR(VLOOKUP($D11822,'Informations sur les produits'!$A$3:$H$10000,8,FALSE),"0")</f>
        <v>0</v>
      </c>
      <c r="K11822" s="4"/>
      <c r="L11822" s="33" t="str">
        <f>IFERROR(VLOOKUP($J11822,'Informations sur les produits'!$A$3:$H$10000,8,FALSE),"0")</f>
        <v>0</v>
      </c>
      <c r="N11822" s="8"/>
      <c r="O11822" s="33" t="str">
        <f>IFERROR(VLOOKUP($M11822,'Informations sur les produits'!$A$3:$H$10000,8,FALSE),"0")</f>
        <v>0</v>
      </c>
      <c r="P11822" s="33">
        <f t="shared" si="736"/>
        <v>0</v>
      </c>
      <c r="Q11822" s="31" t="str">
        <f t="shared" si="737"/>
        <v/>
      </c>
      <c r="R11822" s="32" t="str">
        <f>IFERROR(VLOOKUP($D11822,'Informations sur les produits'!$A$3:$B$15000,2,FALSE),"")</f>
        <v/>
      </c>
      <c r="V11822">
        <f t="shared" si="738"/>
        <v>0</v>
      </c>
      <c r="W11822">
        <f t="shared" si="739"/>
        <v>0</v>
      </c>
    </row>
    <row r="11823" spans="5:23" x14ac:dyDescent="0.25">
      <c r="E11823" s="4"/>
      <c r="F11823" s="4"/>
      <c r="G11823" s="33" t="str">
        <f>IFERROR(VLOOKUP($D11823,'Informations sur les produits'!$A$3:$H$10000,8,FALSE),"0")</f>
        <v>0</v>
      </c>
      <c r="K11823" s="4"/>
      <c r="L11823" s="33" t="str">
        <f>IFERROR(VLOOKUP($J11823,'Informations sur les produits'!$A$3:$H$10000,8,FALSE),"0")</f>
        <v>0</v>
      </c>
      <c r="N11823" s="8"/>
      <c r="O11823" s="33" t="str">
        <f>IFERROR(VLOOKUP($M11823,'Informations sur les produits'!$A$3:$H$10000,8,FALSE),"0")</f>
        <v>0</v>
      </c>
      <c r="P11823" s="33">
        <f t="shared" si="736"/>
        <v>0</v>
      </c>
      <c r="Q11823" s="31" t="str">
        <f t="shared" si="737"/>
        <v/>
      </c>
      <c r="R11823" s="32" t="str">
        <f>IFERROR(VLOOKUP($D11823,'Informations sur les produits'!$A$3:$B$15000,2,FALSE),"")</f>
        <v/>
      </c>
      <c r="V11823">
        <f t="shared" si="738"/>
        <v>0</v>
      </c>
      <c r="W11823">
        <f t="shared" si="739"/>
        <v>0</v>
      </c>
    </row>
    <row r="11824" spans="5:23" x14ac:dyDescent="0.25">
      <c r="E11824" s="4"/>
      <c r="F11824" s="4"/>
      <c r="G11824" s="33" t="str">
        <f>IFERROR(VLOOKUP($D11824,'Informations sur les produits'!$A$3:$H$10000,8,FALSE),"0")</f>
        <v>0</v>
      </c>
      <c r="K11824" s="4"/>
      <c r="L11824" s="33" t="str">
        <f>IFERROR(VLOOKUP($J11824,'Informations sur les produits'!$A$3:$H$10000,8,FALSE),"0")</f>
        <v>0</v>
      </c>
      <c r="N11824" s="8"/>
      <c r="O11824" s="33" t="str">
        <f>IFERROR(VLOOKUP($M11824,'Informations sur les produits'!$A$3:$H$10000,8,FALSE),"0")</f>
        <v>0</v>
      </c>
      <c r="P11824" s="33">
        <f t="shared" si="736"/>
        <v>0</v>
      </c>
      <c r="Q11824" s="31" t="str">
        <f t="shared" si="737"/>
        <v/>
      </c>
      <c r="R11824" s="32" t="str">
        <f>IFERROR(VLOOKUP($D11824,'Informations sur les produits'!$A$3:$B$15000,2,FALSE),"")</f>
        <v/>
      </c>
      <c r="V11824">
        <f t="shared" si="738"/>
        <v>0</v>
      </c>
      <c r="W11824">
        <f t="shared" si="739"/>
        <v>0</v>
      </c>
    </row>
    <row r="11825" spans="5:23" x14ac:dyDescent="0.25">
      <c r="E11825" s="4"/>
      <c r="F11825" s="4"/>
      <c r="G11825" s="33" t="str">
        <f>IFERROR(VLOOKUP($D11825,'Informations sur les produits'!$A$3:$H$10000,8,FALSE),"0")</f>
        <v>0</v>
      </c>
      <c r="K11825" s="4"/>
      <c r="L11825" s="33" t="str">
        <f>IFERROR(VLOOKUP($J11825,'Informations sur les produits'!$A$3:$H$10000,8,FALSE),"0")</f>
        <v>0</v>
      </c>
      <c r="N11825" s="8"/>
      <c r="O11825" s="33" t="str">
        <f>IFERROR(VLOOKUP($M11825,'Informations sur les produits'!$A$3:$H$10000,8,FALSE),"0")</f>
        <v>0</v>
      </c>
      <c r="P11825" s="33">
        <f t="shared" si="736"/>
        <v>0</v>
      </c>
      <c r="Q11825" s="31" t="str">
        <f t="shared" si="737"/>
        <v/>
      </c>
      <c r="R11825" s="32" t="str">
        <f>IFERROR(VLOOKUP($D11825,'Informations sur les produits'!$A$3:$B$15000,2,FALSE),"")</f>
        <v/>
      </c>
      <c r="V11825">
        <f t="shared" si="738"/>
        <v>0</v>
      </c>
      <c r="W11825">
        <f t="shared" si="739"/>
        <v>0</v>
      </c>
    </row>
    <row r="11826" spans="5:23" x14ac:dyDescent="0.25">
      <c r="E11826" s="4"/>
      <c r="F11826" s="4"/>
      <c r="G11826" s="33" t="str">
        <f>IFERROR(VLOOKUP($D11826,'Informations sur les produits'!$A$3:$H$10000,8,FALSE),"0")</f>
        <v>0</v>
      </c>
      <c r="K11826" s="4"/>
      <c r="L11826" s="33" t="str">
        <f>IFERROR(VLOOKUP($J11826,'Informations sur les produits'!$A$3:$H$10000,8,FALSE),"0")</f>
        <v>0</v>
      </c>
      <c r="N11826" s="8"/>
      <c r="O11826" s="33" t="str">
        <f>IFERROR(VLOOKUP($M11826,'Informations sur les produits'!$A$3:$H$10000,8,FALSE),"0")</f>
        <v>0</v>
      </c>
      <c r="P11826" s="33">
        <f t="shared" si="736"/>
        <v>0</v>
      </c>
      <c r="Q11826" s="31" t="str">
        <f t="shared" si="737"/>
        <v/>
      </c>
      <c r="R11826" s="32" t="str">
        <f>IFERROR(VLOOKUP($D11826,'Informations sur les produits'!$A$3:$B$15000,2,FALSE),"")</f>
        <v/>
      </c>
      <c r="V11826">
        <f t="shared" si="738"/>
        <v>0</v>
      </c>
      <c r="W11826">
        <f t="shared" si="739"/>
        <v>0</v>
      </c>
    </row>
    <row r="11827" spans="5:23" x14ac:dyDescent="0.25">
      <c r="E11827" s="4"/>
      <c r="F11827" s="4"/>
      <c r="G11827" s="33" t="str">
        <f>IFERROR(VLOOKUP($D11827,'Informations sur les produits'!$A$3:$H$10000,8,FALSE),"0")</f>
        <v>0</v>
      </c>
      <c r="K11827" s="4"/>
      <c r="L11827" s="33" t="str">
        <f>IFERROR(VLOOKUP($J11827,'Informations sur les produits'!$A$3:$H$10000,8,FALSE),"0")</f>
        <v>0</v>
      </c>
      <c r="N11827" s="8"/>
      <c r="O11827" s="33" t="str">
        <f>IFERROR(VLOOKUP($M11827,'Informations sur les produits'!$A$3:$H$10000,8,FALSE),"0")</f>
        <v>0</v>
      </c>
      <c r="P11827" s="33">
        <f t="shared" si="736"/>
        <v>0</v>
      </c>
      <c r="Q11827" s="31" t="str">
        <f t="shared" si="737"/>
        <v/>
      </c>
      <c r="R11827" s="32" t="str">
        <f>IFERROR(VLOOKUP($D11827,'Informations sur les produits'!$A$3:$B$15000,2,FALSE),"")</f>
        <v/>
      </c>
      <c r="V11827">
        <f t="shared" si="738"/>
        <v>0</v>
      </c>
      <c r="W11827">
        <f t="shared" si="739"/>
        <v>0</v>
      </c>
    </row>
    <row r="11828" spans="5:23" x14ac:dyDescent="0.25">
      <c r="E11828" s="4"/>
      <c r="F11828" s="4"/>
      <c r="G11828" s="33" t="str">
        <f>IFERROR(VLOOKUP($D11828,'Informations sur les produits'!$A$3:$H$10000,8,FALSE),"0")</f>
        <v>0</v>
      </c>
      <c r="K11828" s="4"/>
      <c r="L11828" s="33" t="str">
        <f>IFERROR(VLOOKUP($J11828,'Informations sur les produits'!$A$3:$H$10000,8,FALSE),"0")</f>
        <v>0</v>
      </c>
      <c r="N11828" s="8"/>
      <c r="O11828" s="33" t="str">
        <f>IFERROR(VLOOKUP($M11828,'Informations sur les produits'!$A$3:$H$10000,8,FALSE),"0")</f>
        <v>0</v>
      </c>
      <c r="P11828" s="33">
        <f t="shared" si="736"/>
        <v>0</v>
      </c>
      <c r="Q11828" s="31" t="str">
        <f t="shared" si="737"/>
        <v/>
      </c>
      <c r="R11828" s="32" t="str">
        <f>IFERROR(VLOOKUP($D11828,'Informations sur les produits'!$A$3:$B$15000,2,FALSE),"")</f>
        <v/>
      </c>
      <c r="V11828">
        <f t="shared" si="738"/>
        <v>0</v>
      </c>
      <c r="W11828">
        <f t="shared" si="739"/>
        <v>0</v>
      </c>
    </row>
    <row r="11829" spans="5:23" x14ac:dyDescent="0.25">
      <c r="E11829" s="4"/>
      <c r="F11829" s="4"/>
      <c r="G11829" s="33" t="str">
        <f>IFERROR(VLOOKUP($D11829,'Informations sur les produits'!$A$3:$H$10000,8,FALSE),"0")</f>
        <v>0</v>
      </c>
      <c r="K11829" s="4"/>
      <c r="L11829" s="33" t="str">
        <f>IFERROR(VLOOKUP($J11829,'Informations sur les produits'!$A$3:$H$10000,8,FALSE),"0")</f>
        <v>0</v>
      </c>
      <c r="N11829" s="8"/>
      <c r="O11829" s="33" t="str">
        <f>IFERROR(VLOOKUP($M11829,'Informations sur les produits'!$A$3:$H$10000,8,FALSE),"0")</f>
        <v>0</v>
      </c>
      <c r="P11829" s="33">
        <f t="shared" si="736"/>
        <v>0</v>
      </c>
      <c r="Q11829" s="31" t="str">
        <f t="shared" si="737"/>
        <v/>
      </c>
      <c r="R11829" s="32" t="str">
        <f>IFERROR(VLOOKUP($D11829,'Informations sur les produits'!$A$3:$B$15000,2,FALSE),"")</f>
        <v/>
      </c>
      <c r="V11829">
        <f t="shared" si="738"/>
        <v>0</v>
      </c>
      <c r="W11829">
        <f t="shared" si="739"/>
        <v>0</v>
      </c>
    </row>
    <row r="11830" spans="5:23" x14ac:dyDescent="0.25">
      <c r="E11830" s="4"/>
      <c r="F11830" s="4"/>
      <c r="G11830" s="33" t="str">
        <f>IFERROR(VLOOKUP($D11830,'Informations sur les produits'!$A$3:$H$10000,8,FALSE),"0")</f>
        <v>0</v>
      </c>
      <c r="K11830" s="4"/>
      <c r="L11830" s="33" t="str">
        <f>IFERROR(VLOOKUP($J11830,'Informations sur les produits'!$A$3:$H$10000,8,FALSE),"0")</f>
        <v>0</v>
      </c>
      <c r="N11830" s="8"/>
      <c r="O11830" s="33" t="str">
        <f>IFERROR(VLOOKUP($M11830,'Informations sur les produits'!$A$3:$H$10000,8,FALSE),"0")</f>
        <v>0</v>
      </c>
      <c r="P11830" s="33">
        <f t="shared" si="736"/>
        <v>0</v>
      </c>
      <c r="Q11830" s="31" t="str">
        <f t="shared" si="737"/>
        <v/>
      </c>
      <c r="R11830" s="32" t="str">
        <f>IFERROR(VLOOKUP($D11830,'Informations sur les produits'!$A$3:$B$15000,2,FALSE),"")</f>
        <v/>
      </c>
      <c r="V11830">
        <f t="shared" si="738"/>
        <v>0</v>
      </c>
      <c r="W11830">
        <f t="shared" si="739"/>
        <v>0</v>
      </c>
    </row>
    <row r="11831" spans="5:23" x14ac:dyDescent="0.25">
      <c r="E11831" s="4"/>
      <c r="F11831" s="4"/>
      <c r="G11831" s="33" t="str">
        <f>IFERROR(VLOOKUP($D11831,'Informations sur les produits'!$A$3:$H$10000,8,FALSE),"0")</f>
        <v>0</v>
      </c>
      <c r="K11831" s="4"/>
      <c r="L11831" s="33" t="str">
        <f>IFERROR(VLOOKUP($J11831,'Informations sur les produits'!$A$3:$H$10000,8,FALSE),"0")</f>
        <v>0</v>
      </c>
      <c r="N11831" s="8"/>
      <c r="O11831" s="33" t="str">
        <f>IFERROR(VLOOKUP($M11831,'Informations sur les produits'!$A$3:$H$10000,8,FALSE),"0")</f>
        <v>0</v>
      </c>
      <c r="P11831" s="33">
        <f t="shared" si="736"/>
        <v>0</v>
      </c>
      <c r="Q11831" s="31" t="str">
        <f t="shared" si="737"/>
        <v/>
      </c>
      <c r="R11831" s="32" t="str">
        <f>IFERROR(VLOOKUP($D11831,'Informations sur les produits'!$A$3:$B$15000,2,FALSE),"")</f>
        <v/>
      </c>
      <c r="V11831">
        <f t="shared" si="738"/>
        <v>0</v>
      </c>
      <c r="W11831">
        <f t="shared" si="739"/>
        <v>0</v>
      </c>
    </row>
    <row r="11832" spans="5:23" x14ac:dyDescent="0.25">
      <c r="E11832" s="4"/>
      <c r="F11832" s="4"/>
      <c r="G11832" s="33" t="str">
        <f>IFERROR(VLOOKUP($D11832,'Informations sur les produits'!$A$3:$H$10000,8,FALSE),"0")</f>
        <v>0</v>
      </c>
      <c r="K11832" s="4"/>
      <c r="L11832" s="33" t="str">
        <f>IFERROR(VLOOKUP($J11832,'Informations sur les produits'!$A$3:$H$10000,8,FALSE),"0")</f>
        <v>0</v>
      </c>
      <c r="N11832" s="8"/>
      <c r="O11832" s="33" t="str">
        <f>IFERROR(VLOOKUP($M11832,'Informations sur les produits'!$A$3:$H$10000,8,FALSE),"0")</f>
        <v>0</v>
      </c>
      <c r="P11832" s="33">
        <f t="shared" si="736"/>
        <v>0</v>
      </c>
      <c r="Q11832" s="31" t="str">
        <f t="shared" si="737"/>
        <v/>
      </c>
      <c r="R11832" s="32" t="str">
        <f>IFERROR(VLOOKUP($D11832,'Informations sur les produits'!$A$3:$B$15000,2,FALSE),"")</f>
        <v/>
      </c>
      <c r="V11832">
        <f t="shared" si="738"/>
        <v>0</v>
      </c>
      <c r="W11832">
        <f t="shared" si="739"/>
        <v>0</v>
      </c>
    </row>
    <row r="11833" spans="5:23" x14ac:dyDescent="0.25">
      <c r="E11833" s="4"/>
      <c r="F11833" s="4"/>
      <c r="G11833" s="33" t="str">
        <f>IFERROR(VLOOKUP($D11833,'Informations sur les produits'!$A$3:$H$10000,8,FALSE),"0")</f>
        <v>0</v>
      </c>
      <c r="K11833" s="4"/>
      <c r="L11833" s="33" t="str">
        <f>IFERROR(VLOOKUP($J11833,'Informations sur les produits'!$A$3:$H$10000,8,FALSE),"0")</f>
        <v>0</v>
      </c>
      <c r="N11833" s="8"/>
      <c r="O11833" s="33" t="str">
        <f>IFERROR(VLOOKUP($M11833,'Informations sur les produits'!$A$3:$H$10000,8,FALSE),"0")</f>
        <v>0</v>
      </c>
      <c r="P11833" s="33">
        <f t="shared" si="736"/>
        <v>0</v>
      </c>
      <c r="Q11833" s="31" t="str">
        <f t="shared" si="737"/>
        <v/>
      </c>
      <c r="R11833" s="32" t="str">
        <f>IFERROR(VLOOKUP($D11833,'Informations sur les produits'!$A$3:$B$15000,2,FALSE),"")</f>
        <v/>
      </c>
      <c r="V11833">
        <f t="shared" si="738"/>
        <v>0</v>
      </c>
      <c r="W11833">
        <f t="shared" si="739"/>
        <v>0</v>
      </c>
    </row>
    <row r="11834" spans="5:23" x14ac:dyDescent="0.25">
      <c r="E11834" s="4"/>
      <c r="F11834" s="4"/>
      <c r="G11834" s="33" t="str">
        <f>IFERROR(VLOOKUP($D11834,'Informations sur les produits'!$A$3:$H$10000,8,FALSE),"0")</f>
        <v>0</v>
      </c>
      <c r="K11834" s="4"/>
      <c r="L11834" s="33" t="str">
        <f>IFERROR(VLOOKUP($J11834,'Informations sur les produits'!$A$3:$H$10000,8,FALSE),"0")</f>
        <v>0</v>
      </c>
      <c r="N11834" s="8"/>
      <c r="O11834" s="33" t="str">
        <f>IFERROR(VLOOKUP($M11834,'Informations sur les produits'!$A$3:$H$10000,8,FALSE),"0")</f>
        <v>0</v>
      </c>
      <c r="P11834" s="33">
        <f t="shared" si="736"/>
        <v>0</v>
      </c>
      <c r="Q11834" s="31" t="str">
        <f t="shared" si="737"/>
        <v/>
      </c>
      <c r="R11834" s="32" t="str">
        <f>IFERROR(VLOOKUP($D11834,'Informations sur les produits'!$A$3:$B$15000,2,FALSE),"")</f>
        <v/>
      </c>
      <c r="V11834">
        <f t="shared" si="738"/>
        <v>0</v>
      </c>
      <c r="W11834">
        <f t="shared" si="739"/>
        <v>0</v>
      </c>
    </row>
    <row r="11835" spans="5:23" x14ac:dyDescent="0.25">
      <c r="E11835" s="4"/>
      <c r="F11835" s="4"/>
      <c r="G11835" s="33" t="str">
        <f>IFERROR(VLOOKUP($D11835,'Informations sur les produits'!$A$3:$H$10000,8,FALSE),"0")</f>
        <v>0</v>
      </c>
      <c r="K11835" s="4"/>
      <c r="L11835" s="33" t="str">
        <f>IFERROR(VLOOKUP($J11835,'Informations sur les produits'!$A$3:$H$10000,8,FALSE),"0")</f>
        <v>0</v>
      </c>
      <c r="N11835" s="8"/>
      <c r="O11835" s="33" t="str">
        <f>IFERROR(VLOOKUP($M11835,'Informations sur les produits'!$A$3:$H$10000,8,FALSE),"0")</f>
        <v>0</v>
      </c>
      <c r="P11835" s="33">
        <f t="shared" si="736"/>
        <v>0</v>
      </c>
      <c r="Q11835" s="31" t="str">
        <f t="shared" si="737"/>
        <v/>
      </c>
      <c r="R11835" s="32" t="str">
        <f>IFERROR(VLOOKUP($D11835,'Informations sur les produits'!$A$3:$B$15000,2,FALSE),"")</f>
        <v/>
      </c>
      <c r="V11835">
        <f t="shared" si="738"/>
        <v>0</v>
      </c>
      <c r="W11835">
        <f t="shared" si="739"/>
        <v>0</v>
      </c>
    </row>
    <row r="11836" spans="5:23" x14ac:dyDescent="0.25">
      <c r="E11836" s="4"/>
      <c r="F11836" s="4"/>
      <c r="G11836" s="33" t="str">
        <f>IFERROR(VLOOKUP($D11836,'Informations sur les produits'!$A$3:$H$10000,8,FALSE),"0")</f>
        <v>0</v>
      </c>
      <c r="K11836" s="4"/>
      <c r="L11836" s="33" t="str">
        <f>IFERROR(VLOOKUP($J11836,'Informations sur les produits'!$A$3:$H$10000,8,FALSE),"0")</f>
        <v>0</v>
      </c>
      <c r="N11836" s="8"/>
      <c r="O11836" s="33" t="str">
        <f>IFERROR(VLOOKUP($M11836,'Informations sur les produits'!$A$3:$H$10000,8,FALSE),"0")</f>
        <v>0</v>
      </c>
      <c r="P11836" s="33">
        <f t="shared" si="736"/>
        <v>0</v>
      </c>
      <c r="Q11836" s="31" t="str">
        <f t="shared" si="737"/>
        <v/>
      </c>
      <c r="R11836" s="32" t="str">
        <f>IFERROR(VLOOKUP($D11836,'Informations sur les produits'!$A$3:$B$15000,2,FALSE),"")</f>
        <v/>
      </c>
      <c r="V11836">
        <f t="shared" si="738"/>
        <v>0</v>
      </c>
      <c r="W11836">
        <f t="shared" si="739"/>
        <v>0</v>
      </c>
    </row>
    <row r="11837" spans="5:23" x14ac:dyDescent="0.25">
      <c r="E11837" s="4"/>
      <c r="F11837" s="4"/>
      <c r="G11837" s="33" t="str">
        <f>IFERROR(VLOOKUP($D11837,'Informations sur les produits'!$A$3:$H$10000,8,FALSE),"0")</f>
        <v>0</v>
      </c>
      <c r="K11837" s="4"/>
      <c r="L11837" s="33" t="str">
        <f>IFERROR(VLOOKUP($J11837,'Informations sur les produits'!$A$3:$H$10000,8,FALSE),"0")</f>
        <v>0</v>
      </c>
      <c r="N11837" s="8"/>
      <c r="O11837" s="33" t="str">
        <f>IFERROR(VLOOKUP($M11837,'Informations sur les produits'!$A$3:$H$10000,8,FALSE),"0")</f>
        <v>0</v>
      </c>
      <c r="P11837" s="33">
        <f t="shared" si="736"/>
        <v>0</v>
      </c>
      <c r="Q11837" s="31" t="str">
        <f t="shared" si="737"/>
        <v/>
      </c>
      <c r="R11837" s="32" t="str">
        <f>IFERROR(VLOOKUP($D11837,'Informations sur les produits'!$A$3:$B$15000,2,FALSE),"")</f>
        <v/>
      </c>
      <c r="V11837">
        <f t="shared" si="738"/>
        <v>0</v>
      </c>
      <c r="W11837">
        <f t="shared" si="739"/>
        <v>0</v>
      </c>
    </row>
    <row r="11838" spans="5:23" x14ac:dyDescent="0.25">
      <c r="E11838" s="4"/>
      <c r="F11838" s="4"/>
      <c r="G11838" s="33" t="str">
        <f>IFERROR(VLOOKUP($D11838,'Informations sur les produits'!$A$3:$H$10000,8,FALSE),"0")</f>
        <v>0</v>
      </c>
      <c r="K11838" s="4"/>
      <c r="L11838" s="33" t="str">
        <f>IFERROR(VLOOKUP($J11838,'Informations sur les produits'!$A$3:$H$10000,8,FALSE),"0")</f>
        <v>0</v>
      </c>
      <c r="N11838" s="8"/>
      <c r="O11838" s="33" t="str">
        <f>IFERROR(VLOOKUP($M11838,'Informations sur les produits'!$A$3:$H$10000,8,FALSE),"0")</f>
        <v>0</v>
      </c>
      <c r="P11838" s="33">
        <f t="shared" si="736"/>
        <v>0</v>
      </c>
      <c r="Q11838" s="31" t="str">
        <f t="shared" si="737"/>
        <v/>
      </c>
      <c r="R11838" s="32" t="str">
        <f>IFERROR(VLOOKUP($D11838,'Informations sur les produits'!$A$3:$B$15000,2,FALSE),"")</f>
        <v/>
      </c>
      <c r="V11838">
        <f t="shared" si="738"/>
        <v>0</v>
      </c>
      <c r="W11838">
        <f t="shared" si="739"/>
        <v>0</v>
      </c>
    </row>
    <row r="11839" spans="5:23" x14ac:dyDescent="0.25">
      <c r="E11839" s="4"/>
      <c r="F11839" s="4"/>
      <c r="G11839" s="33" t="str">
        <f>IFERROR(VLOOKUP($D11839,'Informations sur les produits'!$A$3:$H$10000,8,FALSE),"0")</f>
        <v>0</v>
      </c>
      <c r="K11839" s="4"/>
      <c r="L11839" s="33" t="str">
        <f>IFERROR(VLOOKUP($J11839,'Informations sur les produits'!$A$3:$H$10000,8,FALSE),"0")</f>
        <v>0</v>
      </c>
      <c r="N11839" s="8"/>
      <c r="O11839" s="33" t="str">
        <f>IFERROR(VLOOKUP($M11839,'Informations sur les produits'!$A$3:$H$10000,8,FALSE),"0")</f>
        <v>0</v>
      </c>
      <c r="P11839" s="33">
        <f t="shared" si="736"/>
        <v>0</v>
      </c>
      <c r="Q11839" s="31" t="str">
        <f t="shared" si="737"/>
        <v/>
      </c>
      <c r="R11839" s="32" t="str">
        <f>IFERROR(VLOOKUP($D11839,'Informations sur les produits'!$A$3:$B$15000,2,FALSE),"")</f>
        <v/>
      </c>
      <c r="V11839">
        <f t="shared" si="738"/>
        <v>0</v>
      </c>
      <c r="W11839">
        <f t="shared" si="739"/>
        <v>0</v>
      </c>
    </row>
    <row r="11840" spans="5:23" x14ac:dyDescent="0.25">
      <c r="E11840" s="4"/>
      <c r="F11840" s="4"/>
      <c r="G11840" s="33" t="str">
        <f>IFERROR(VLOOKUP($D11840,'Informations sur les produits'!$A$3:$H$10000,8,FALSE),"0")</f>
        <v>0</v>
      </c>
      <c r="K11840" s="4"/>
      <c r="L11840" s="33" t="str">
        <f>IFERROR(VLOOKUP($J11840,'Informations sur les produits'!$A$3:$H$10000,8,FALSE),"0")</f>
        <v>0</v>
      </c>
      <c r="N11840" s="8"/>
      <c r="O11840" s="33" t="str">
        <f>IFERROR(VLOOKUP($M11840,'Informations sur les produits'!$A$3:$H$10000,8,FALSE),"0")</f>
        <v>0</v>
      </c>
      <c r="P11840" s="33">
        <f t="shared" si="736"/>
        <v>0</v>
      </c>
      <c r="Q11840" s="31" t="str">
        <f t="shared" si="737"/>
        <v/>
      </c>
      <c r="R11840" s="32" t="str">
        <f>IFERROR(VLOOKUP($D11840,'Informations sur les produits'!$A$3:$B$15000,2,FALSE),"")</f>
        <v/>
      </c>
      <c r="V11840">
        <f t="shared" si="738"/>
        <v>0</v>
      </c>
      <c r="W11840">
        <f t="shared" si="739"/>
        <v>0</v>
      </c>
    </row>
    <row r="11841" spans="5:23" x14ac:dyDescent="0.25">
      <c r="E11841" s="4"/>
      <c r="F11841" s="4"/>
      <c r="G11841" s="33" t="str">
        <f>IFERROR(VLOOKUP($D11841,'Informations sur les produits'!$A$3:$H$10000,8,FALSE),"0")</f>
        <v>0</v>
      </c>
      <c r="K11841" s="4"/>
      <c r="L11841" s="33" t="str">
        <f>IFERROR(VLOOKUP($J11841,'Informations sur les produits'!$A$3:$H$10000,8,FALSE),"0")</f>
        <v>0</v>
      </c>
      <c r="N11841" s="8"/>
      <c r="O11841" s="33" t="str">
        <f>IFERROR(VLOOKUP($M11841,'Informations sur les produits'!$A$3:$H$10000,8,FALSE),"0")</f>
        <v>0</v>
      </c>
      <c r="P11841" s="33">
        <f t="shared" si="736"/>
        <v>0</v>
      </c>
      <c r="Q11841" s="31" t="str">
        <f t="shared" si="737"/>
        <v/>
      </c>
      <c r="R11841" s="32" t="str">
        <f>IFERROR(VLOOKUP($D11841,'Informations sur les produits'!$A$3:$B$15000,2,FALSE),"")</f>
        <v/>
      </c>
      <c r="V11841">
        <f t="shared" si="738"/>
        <v>0</v>
      </c>
      <c r="W11841">
        <f t="shared" si="739"/>
        <v>0</v>
      </c>
    </row>
    <row r="11842" spans="5:23" x14ac:dyDescent="0.25">
      <c r="E11842" s="4"/>
      <c r="F11842" s="4"/>
      <c r="G11842" s="33" t="str">
        <f>IFERROR(VLOOKUP($D11842,'Informations sur les produits'!$A$3:$H$10000,8,FALSE),"0")</f>
        <v>0</v>
      </c>
      <c r="K11842" s="4"/>
      <c r="L11842" s="33" t="str">
        <f>IFERROR(VLOOKUP($J11842,'Informations sur les produits'!$A$3:$H$10000,8,FALSE),"0")</f>
        <v>0</v>
      </c>
      <c r="N11842" s="8"/>
      <c r="O11842" s="33" t="str">
        <f>IFERROR(VLOOKUP($M11842,'Informations sur les produits'!$A$3:$H$10000,8,FALSE),"0")</f>
        <v>0</v>
      </c>
      <c r="P11842" s="33">
        <f t="shared" si="736"/>
        <v>0</v>
      </c>
      <c r="Q11842" s="31" t="str">
        <f t="shared" si="737"/>
        <v/>
      </c>
      <c r="R11842" s="32" t="str">
        <f>IFERROR(VLOOKUP($D11842,'Informations sur les produits'!$A$3:$B$15000,2,FALSE),"")</f>
        <v/>
      </c>
      <c r="V11842">
        <f t="shared" si="738"/>
        <v>0</v>
      </c>
      <c r="W11842">
        <f t="shared" si="739"/>
        <v>0</v>
      </c>
    </row>
    <row r="11843" spans="5:23" x14ac:dyDescent="0.25">
      <c r="E11843" s="4"/>
      <c r="F11843" s="4"/>
      <c r="G11843" s="33" t="str">
        <f>IFERROR(VLOOKUP($D11843,'Informations sur les produits'!$A$3:$H$10000,8,FALSE),"0")</f>
        <v>0</v>
      </c>
      <c r="K11843" s="4"/>
      <c r="L11843" s="33" t="str">
        <f>IFERROR(VLOOKUP($J11843,'Informations sur les produits'!$A$3:$H$10000,8,FALSE),"0")</f>
        <v>0</v>
      </c>
      <c r="N11843" s="8"/>
      <c r="O11843" s="33" t="str">
        <f>IFERROR(VLOOKUP($M11843,'Informations sur les produits'!$A$3:$H$10000,8,FALSE),"0")</f>
        <v>0</v>
      </c>
      <c r="P11843" s="33">
        <f t="shared" si="736"/>
        <v>0</v>
      </c>
      <c r="Q11843" s="31" t="str">
        <f t="shared" si="737"/>
        <v/>
      </c>
      <c r="R11843" s="32" t="str">
        <f>IFERROR(VLOOKUP($D11843,'Informations sur les produits'!$A$3:$B$15000,2,FALSE),"")</f>
        <v/>
      </c>
      <c r="V11843">
        <f t="shared" si="738"/>
        <v>0</v>
      </c>
      <c r="W11843">
        <f t="shared" si="739"/>
        <v>0</v>
      </c>
    </row>
    <row r="11844" spans="5:23" x14ac:dyDescent="0.25">
      <c r="E11844" s="4"/>
      <c r="F11844" s="4"/>
      <c r="G11844" s="33" t="str">
        <f>IFERROR(VLOOKUP($D11844,'Informations sur les produits'!$A$3:$H$10000,8,FALSE),"0")</f>
        <v>0</v>
      </c>
      <c r="K11844" s="4"/>
      <c r="L11844" s="33" t="str">
        <f>IFERROR(VLOOKUP($J11844,'Informations sur les produits'!$A$3:$H$10000,8,FALSE),"0")</f>
        <v>0</v>
      </c>
      <c r="N11844" s="8"/>
      <c r="O11844" s="33" t="str">
        <f>IFERROR(VLOOKUP($M11844,'Informations sur les produits'!$A$3:$H$10000,8,FALSE),"0")</f>
        <v>0</v>
      </c>
      <c r="P11844" s="33">
        <f t="shared" ref="P11844:P11907" si="740">IFERROR((($E11844-$F11844)*$G11844+$K11844*$L11844+$N11844*$O11844),"")</f>
        <v>0</v>
      </c>
      <c r="Q11844" s="31" t="str">
        <f t="shared" ref="Q11844:Q11907" si="741">IFERROR((((($E11844-$F11844)*$G11844+$K11844*$L11844+$N11844*$O11844)*1000)/(($E11844-$F11844)+$K11844+$N11844)),"")</f>
        <v/>
      </c>
      <c r="R11844" s="32" t="str">
        <f>IFERROR(VLOOKUP($D11844,'Informations sur les produits'!$A$3:$B$15000,2,FALSE),"")</f>
        <v/>
      </c>
      <c r="V11844">
        <f t="shared" ref="V11844:V11907" si="742">IFERROR(P11844*1000,"")</f>
        <v>0</v>
      </c>
      <c r="W11844">
        <f t="shared" ref="W11844:W11907" si="743">IFERROR(($E11844-$F11844)+$K11844+$N11844,"")</f>
        <v>0</v>
      </c>
    </row>
    <row r="11845" spans="5:23" x14ac:dyDescent="0.25">
      <c r="E11845" s="4"/>
      <c r="F11845" s="4"/>
      <c r="G11845" s="33" t="str">
        <f>IFERROR(VLOOKUP($D11845,'Informations sur les produits'!$A$3:$H$10000,8,FALSE),"0")</f>
        <v>0</v>
      </c>
      <c r="K11845" s="4"/>
      <c r="L11845" s="33" t="str">
        <f>IFERROR(VLOOKUP($J11845,'Informations sur les produits'!$A$3:$H$10000,8,FALSE),"0")</f>
        <v>0</v>
      </c>
      <c r="N11845" s="8"/>
      <c r="O11845" s="33" t="str">
        <f>IFERROR(VLOOKUP($M11845,'Informations sur les produits'!$A$3:$H$10000,8,FALSE),"0")</f>
        <v>0</v>
      </c>
      <c r="P11845" s="33">
        <f t="shared" si="740"/>
        <v>0</v>
      </c>
      <c r="Q11845" s="31" t="str">
        <f t="shared" si="741"/>
        <v/>
      </c>
      <c r="R11845" s="32" t="str">
        <f>IFERROR(VLOOKUP($D11845,'Informations sur les produits'!$A$3:$B$15000,2,FALSE),"")</f>
        <v/>
      </c>
      <c r="V11845">
        <f t="shared" si="742"/>
        <v>0</v>
      </c>
      <c r="W11845">
        <f t="shared" si="743"/>
        <v>0</v>
      </c>
    </row>
    <row r="11846" spans="5:23" x14ac:dyDescent="0.25">
      <c r="E11846" s="4"/>
      <c r="F11846" s="4"/>
      <c r="G11846" s="33" t="str">
        <f>IFERROR(VLOOKUP($D11846,'Informations sur les produits'!$A$3:$H$10000,8,FALSE),"0")</f>
        <v>0</v>
      </c>
      <c r="K11846" s="4"/>
      <c r="L11846" s="33" t="str">
        <f>IFERROR(VLOOKUP($J11846,'Informations sur les produits'!$A$3:$H$10000,8,FALSE),"0")</f>
        <v>0</v>
      </c>
      <c r="N11846" s="8"/>
      <c r="O11846" s="33" t="str">
        <f>IFERROR(VLOOKUP($M11846,'Informations sur les produits'!$A$3:$H$10000,8,FALSE),"0")</f>
        <v>0</v>
      </c>
      <c r="P11846" s="33">
        <f t="shared" si="740"/>
        <v>0</v>
      </c>
      <c r="Q11846" s="31" t="str">
        <f t="shared" si="741"/>
        <v/>
      </c>
      <c r="R11846" s="32" t="str">
        <f>IFERROR(VLOOKUP($D11846,'Informations sur les produits'!$A$3:$B$15000,2,FALSE),"")</f>
        <v/>
      </c>
      <c r="V11846">
        <f t="shared" si="742"/>
        <v>0</v>
      </c>
      <c r="W11846">
        <f t="shared" si="743"/>
        <v>0</v>
      </c>
    </row>
    <row r="11847" spans="5:23" x14ac:dyDescent="0.25">
      <c r="E11847" s="4"/>
      <c r="F11847" s="4"/>
      <c r="G11847" s="33" t="str">
        <f>IFERROR(VLOOKUP($D11847,'Informations sur les produits'!$A$3:$H$10000,8,FALSE),"0")</f>
        <v>0</v>
      </c>
      <c r="K11847" s="4"/>
      <c r="L11847" s="33" t="str">
        <f>IFERROR(VLOOKUP($J11847,'Informations sur les produits'!$A$3:$H$10000,8,FALSE),"0")</f>
        <v>0</v>
      </c>
      <c r="N11847" s="8"/>
      <c r="O11847" s="33" t="str">
        <f>IFERROR(VLOOKUP($M11847,'Informations sur les produits'!$A$3:$H$10000,8,FALSE),"0")</f>
        <v>0</v>
      </c>
      <c r="P11847" s="33">
        <f t="shared" si="740"/>
        <v>0</v>
      </c>
      <c r="Q11847" s="31" t="str">
        <f t="shared" si="741"/>
        <v/>
      </c>
      <c r="R11847" s="32" t="str">
        <f>IFERROR(VLOOKUP($D11847,'Informations sur les produits'!$A$3:$B$15000,2,FALSE),"")</f>
        <v/>
      </c>
      <c r="V11847">
        <f t="shared" si="742"/>
        <v>0</v>
      </c>
      <c r="W11847">
        <f t="shared" si="743"/>
        <v>0</v>
      </c>
    </row>
    <row r="11848" spans="5:23" x14ac:dyDescent="0.25">
      <c r="E11848" s="4"/>
      <c r="F11848" s="4"/>
      <c r="G11848" s="33" t="str">
        <f>IFERROR(VLOOKUP($D11848,'Informations sur les produits'!$A$3:$H$10000,8,FALSE),"0")</f>
        <v>0</v>
      </c>
      <c r="K11848" s="4"/>
      <c r="L11848" s="33" t="str">
        <f>IFERROR(VLOOKUP($J11848,'Informations sur les produits'!$A$3:$H$10000,8,FALSE),"0")</f>
        <v>0</v>
      </c>
      <c r="N11848" s="8"/>
      <c r="O11848" s="33" t="str">
        <f>IFERROR(VLOOKUP($M11848,'Informations sur les produits'!$A$3:$H$10000,8,FALSE),"0")</f>
        <v>0</v>
      </c>
      <c r="P11848" s="33">
        <f t="shared" si="740"/>
        <v>0</v>
      </c>
      <c r="Q11848" s="31" t="str">
        <f t="shared" si="741"/>
        <v/>
      </c>
      <c r="R11848" s="32" t="str">
        <f>IFERROR(VLOOKUP($D11848,'Informations sur les produits'!$A$3:$B$15000,2,FALSE),"")</f>
        <v/>
      </c>
      <c r="V11848">
        <f t="shared" si="742"/>
        <v>0</v>
      </c>
      <c r="W11848">
        <f t="shared" si="743"/>
        <v>0</v>
      </c>
    </row>
    <row r="11849" spans="5:23" x14ac:dyDescent="0.25">
      <c r="E11849" s="4"/>
      <c r="F11849" s="4"/>
      <c r="G11849" s="33" t="str">
        <f>IFERROR(VLOOKUP($D11849,'Informations sur les produits'!$A$3:$H$10000,8,FALSE),"0")</f>
        <v>0</v>
      </c>
      <c r="K11849" s="4"/>
      <c r="L11849" s="33" t="str">
        <f>IFERROR(VLOOKUP($J11849,'Informations sur les produits'!$A$3:$H$10000,8,FALSE),"0")</f>
        <v>0</v>
      </c>
      <c r="N11849" s="8"/>
      <c r="O11849" s="33" t="str">
        <f>IFERROR(VLOOKUP($M11849,'Informations sur les produits'!$A$3:$H$10000,8,FALSE),"0")</f>
        <v>0</v>
      </c>
      <c r="P11849" s="33">
        <f t="shared" si="740"/>
        <v>0</v>
      </c>
      <c r="Q11849" s="31" t="str">
        <f t="shared" si="741"/>
        <v/>
      </c>
      <c r="R11849" s="32" t="str">
        <f>IFERROR(VLOOKUP($D11849,'Informations sur les produits'!$A$3:$B$15000,2,FALSE),"")</f>
        <v/>
      </c>
      <c r="V11849">
        <f t="shared" si="742"/>
        <v>0</v>
      </c>
      <c r="W11849">
        <f t="shared" si="743"/>
        <v>0</v>
      </c>
    </row>
    <row r="11850" spans="5:23" x14ac:dyDescent="0.25">
      <c r="E11850" s="4"/>
      <c r="F11850" s="4"/>
      <c r="G11850" s="33" t="str">
        <f>IFERROR(VLOOKUP($D11850,'Informations sur les produits'!$A$3:$H$10000,8,FALSE),"0")</f>
        <v>0</v>
      </c>
      <c r="K11850" s="4"/>
      <c r="L11850" s="33" t="str">
        <f>IFERROR(VLOOKUP($J11850,'Informations sur les produits'!$A$3:$H$10000,8,FALSE),"0")</f>
        <v>0</v>
      </c>
      <c r="N11850" s="8"/>
      <c r="O11850" s="33" t="str">
        <f>IFERROR(VLOOKUP($M11850,'Informations sur les produits'!$A$3:$H$10000,8,FALSE),"0")</f>
        <v>0</v>
      </c>
      <c r="P11850" s="33">
        <f t="shared" si="740"/>
        <v>0</v>
      </c>
      <c r="Q11850" s="31" t="str">
        <f t="shared" si="741"/>
        <v/>
      </c>
      <c r="R11850" s="32" t="str">
        <f>IFERROR(VLOOKUP($D11850,'Informations sur les produits'!$A$3:$B$15000,2,FALSE),"")</f>
        <v/>
      </c>
      <c r="V11850">
        <f t="shared" si="742"/>
        <v>0</v>
      </c>
      <c r="W11850">
        <f t="shared" si="743"/>
        <v>0</v>
      </c>
    </row>
    <row r="11851" spans="5:23" x14ac:dyDescent="0.25">
      <c r="E11851" s="4"/>
      <c r="F11851" s="4"/>
      <c r="G11851" s="33" t="str">
        <f>IFERROR(VLOOKUP($D11851,'Informations sur les produits'!$A$3:$H$10000,8,FALSE),"0")</f>
        <v>0</v>
      </c>
      <c r="K11851" s="4"/>
      <c r="L11851" s="33" t="str">
        <f>IFERROR(VLOOKUP($J11851,'Informations sur les produits'!$A$3:$H$10000,8,FALSE),"0")</f>
        <v>0</v>
      </c>
      <c r="N11851" s="8"/>
      <c r="O11851" s="33" t="str">
        <f>IFERROR(VLOOKUP($M11851,'Informations sur les produits'!$A$3:$H$10000,8,FALSE),"0")</f>
        <v>0</v>
      </c>
      <c r="P11851" s="33">
        <f t="shared" si="740"/>
        <v>0</v>
      </c>
      <c r="Q11851" s="31" t="str">
        <f t="shared" si="741"/>
        <v/>
      </c>
      <c r="R11851" s="32" t="str">
        <f>IFERROR(VLOOKUP($D11851,'Informations sur les produits'!$A$3:$B$15000,2,FALSE),"")</f>
        <v/>
      </c>
      <c r="V11851">
        <f t="shared" si="742"/>
        <v>0</v>
      </c>
      <c r="W11851">
        <f t="shared" si="743"/>
        <v>0</v>
      </c>
    </row>
    <row r="11852" spans="5:23" x14ac:dyDescent="0.25">
      <c r="E11852" s="4"/>
      <c r="F11852" s="4"/>
      <c r="G11852" s="33" t="str">
        <f>IFERROR(VLOOKUP($D11852,'Informations sur les produits'!$A$3:$H$10000,8,FALSE),"0")</f>
        <v>0</v>
      </c>
      <c r="K11852" s="4"/>
      <c r="L11852" s="33" t="str">
        <f>IFERROR(VLOOKUP($J11852,'Informations sur les produits'!$A$3:$H$10000,8,FALSE),"0")</f>
        <v>0</v>
      </c>
      <c r="N11852" s="8"/>
      <c r="O11852" s="33" t="str">
        <f>IFERROR(VLOOKUP($M11852,'Informations sur les produits'!$A$3:$H$10000,8,FALSE),"0")</f>
        <v>0</v>
      </c>
      <c r="P11852" s="33">
        <f t="shared" si="740"/>
        <v>0</v>
      </c>
      <c r="Q11852" s="31" t="str">
        <f t="shared" si="741"/>
        <v/>
      </c>
      <c r="R11852" s="32" t="str">
        <f>IFERROR(VLOOKUP($D11852,'Informations sur les produits'!$A$3:$B$15000,2,FALSE),"")</f>
        <v/>
      </c>
      <c r="V11852">
        <f t="shared" si="742"/>
        <v>0</v>
      </c>
      <c r="W11852">
        <f t="shared" si="743"/>
        <v>0</v>
      </c>
    </row>
    <row r="11853" spans="5:23" x14ac:dyDescent="0.25">
      <c r="E11853" s="4"/>
      <c r="F11853" s="4"/>
      <c r="G11853" s="33" t="str">
        <f>IFERROR(VLOOKUP($D11853,'Informations sur les produits'!$A$3:$H$10000,8,FALSE),"0")</f>
        <v>0</v>
      </c>
      <c r="K11853" s="4"/>
      <c r="L11853" s="33" t="str">
        <f>IFERROR(VLOOKUP($J11853,'Informations sur les produits'!$A$3:$H$10000,8,FALSE),"0")</f>
        <v>0</v>
      </c>
      <c r="N11853" s="8"/>
      <c r="O11853" s="33" t="str">
        <f>IFERROR(VLOOKUP($M11853,'Informations sur les produits'!$A$3:$H$10000,8,FALSE),"0")</f>
        <v>0</v>
      </c>
      <c r="P11853" s="33">
        <f t="shared" si="740"/>
        <v>0</v>
      </c>
      <c r="Q11853" s="31" t="str">
        <f t="shared" si="741"/>
        <v/>
      </c>
      <c r="R11853" s="32" t="str">
        <f>IFERROR(VLOOKUP($D11853,'Informations sur les produits'!$A$3:$B$15000,2,FALSE),"")</f>
        <v/>
      </c>
      <c r="V11853">
        <f t="shared" si="742"/>
        <v>0</v>
      </c>
      <c r="W11853">
        <f t="shared" si="743"/>
        <v>0</v>
      </c>
    </row>
    <row r="11854" spans="5:23" x14ac:dyDescent="0.25">
      <c r="E11854" s="4"/>
      <c r="F11854" s="4"/>
      <c r="G11854" s="33" t="str">
        <f>IFERROR(VLOOKUP($D11854,'Informations sur les produits'!$A$3:$H$10000,8,FALSE),"0")</f>
        <v>0</v>
      </c>
      <c r="K11854" s="4"/>
      <c r="L11854" s="33" t="str">
        <f>IFERROR(VLOOKUP($J11854,'Informations sur les produits'!$A$3:$H$10000,8,FALSE),"0")</f>
        <v>0</v>
      </c>
      <c r="N11854" s="8"/>
      <c r="O11854" s="33" t="str">
        <f>IFERROR(VLOOKUP($M11854,'Informations sur les produits'!$A$3:$H$10000,8,FALSE),"0")</f>
        <v>0</v>
      </c>
      <c r="P11854" s="33">
        <f t="shared" si="740"/>
        <v>0</v>
      </c>
      <c r="Q11854" s="31" t="str">
        <f t="shared" si="741"/>
        <v/>
      </c>
      <c r="R11854" s="32" t="str">
        <f>IFERROR(VLOOKUP($D11854,'Informations sur les produits'!$A$3:$B$15000,2,FALSE),"")</f>
        <v/>
      </c>
      <c r="V11854">
        <f t="shared" si="742"/>
        <v>0</v>
      </c>
      <c r="W11854">
        <f t="shared" si="743"/>
        <v>0</v>
      </c>
    </row>
    <row r="11855" spans="5:23" x14ac:dyDescent="0.25">
      <c r="E11855" s="4"/>
      <c r="F11855" s="4"/>
      <c r="G11855" s="33" t="str">
        <f>IFERROR(VLOOKUP($D11855,'Informations sur les produits'!$A$3:$H$10000,8,FALSE),"0")</f>
        <v>0</v>
      </c>
      <c r="K11855" s="4"/>
      <c r="L11855" s="33" t="str">
        <f>IFERROR(VLOOKUP($J11855,'Informations sur les produits'!$A$3:$H$10000,8,FALSE),"0")</f>
        <v>0</v>
      </c>
      <c r="N11855" s="8"/>
      <c r="O11855" s="33" t="str">
        <f>IFERROR(VLOOKUP($M11855,'Informations sur les produits'!$A$3:$H$10000,8,FALSE),"0")</f>
        <v>0</v>
      </c>
      <c r="P11855" s="33">
        <f t="shared" si="740"/>
        <v>0</v>
      </c>
      <c r="Q11855" s="31" t="str">
        <f t="shared" si="741"/>
        <v/>
      </c>
      <c r="R11855" s="32" t="str">
        <f>IFERROR(VLOOKUP($D11855,'Informations sur les produits'!$A$3:$B$15000,2,FALSE),"")</f>
        <v/>
      </c>
      <c r="V11855">
        <f t="shared" si="742"/>
        <v>0</v>
      </c>
      <c r="W11855">
        <f t="shared" si="743"/>
        <v>0</v>
      </c>
    </row>
    <row r="11856" spans="5:23" x14ac:dyDescent="0.25">
      <c r="E11856" s="4"/>
      <c r="F11856" s="4"/>
      <c r="G11856" s="33" t="str">
        <f>IFERROR(VLOOKUP($D11856,'Informations sur les produits'!$A$3:$H$10000,8,FALSE),"0")</f>
        <v>0</v>
      </c>
      <c r="K11856" s="4"/>
      <c r="L11856" s="33" t="str">
        <f>IFERROR(VLOOKUP($J11856,'Informations sur les produits'!$A$3:$H$10000,8,FALSE),"0")</f>
        <v>0</v>
      </c>
      <c r="N11856" s="8"/>
      <c r="O11856" s="33" t="str">
        <f>IFERROR(VLOOKUP($M11856,'Informations sur les produits'!$A$3:$H$10000,8,FALSE),"0")</f>
        <v>0</v>
      </c>
      <c r="P11856" s="33">
        <f t="shared" si="740"/>
        <v>0</v>
      </c>
      <c r="Q11856" s="31" t="str">
        <f t="shared" si="741"/>
        <v/>
      </c>
      <c r="R11856" s="32" t="str">
        <f>IFERROR(VLOOKUP($D11856,'Informations sur les produits'!$A$3:$B$15000,2,FALSE),"")</f>
        <v/>
      </c>
      <c r="V11856">
        <f t="shared" si="742"/>
        <v>0</v>
      </c>
      <c r="W11856">
        <f t="shared" si="743"/>
        <v>0</v>
      </c>
    </row>
    <row r="11857" spans="5:23" x14ac:dyDescent="0.25">
      <c r="E11857" s="4"/>
      <c r="F11857" s="4"/>
      <c r="G11857" s="33" t="str">
        <f>IFERROR(VLOOKUP($D11857,'Informations sur les produits'!$A$3:$H$10000,8,FALSE),"0")</f>
        <v>0</v>
      </c>
      <c r="K11857" s="4"/>
      <c r="L11857" s="33" t="str">
        <f>IFERROR(VLOOKUP($J11857,'Informations sur les produits'!$A$3:$H$10000,8,FALSE),"0")</f>
        <v>0</v>
      </c>
      <c r="N11857" s="8"/>
      <c r="O11857" s="33" t="str">
        <f>IFERROR(VLOOKUP($M11857,'Informations sur les produits'!$A$3:$H$10000,8,FALSE),"0")</f>
        <v>0</v>
      </c>
      <c r="P11857" s="33">
        <f t="shared" si="740"/>
        <v>0</v>
      </c>
      <c r="Q11857" s="31" t="str">
        <f t="shared" si="741"/>
        <v/>
      </c>
      <c r="R11857" s="32" t="str">
        <f>IFERROR(VLOOKUP($D11857,'Informations sur les produits'!$A$3:$B$15000,2,FALSE),"")</f>
        <v/>
      </c>
      <c r="V11857">
        <f t="shared" si="742"/>
        <v>0</v>
      </c>
      <c r="W11857">
        <f t="shared" si="743"/>
        <v>0</v>
      </c>
    </row>
    <row r="11858" spans="5:23" x14ac:dyDescent="0.25">
      <c r="E11858" s="4"/>
      <c r="F11858" s="4"/>
      <c r="G11858" s="33" t="str">
        <f>IFERROR(VLOOKUP($D11858,'Informations sur les produits'!$A$3:$H$10000,8,FALSE),"0")</f>
        <v>0</v>
      </c>
      <c r="K11858" s="4"/>
      <c r="L11858" s="33" t="str">
        <f>IFERROR(VLOOKUP($J11858,'Informations sur les produits'!$A$3:$H$10000,8,FALSE),"0")</f>
        <v>0</v>
      </c>
      <c r="N11858" s="8"/>
      <c r="O11858" s="33" t="str">
        <f>IFERROR(VLOOKUP($M11858,'Informations sur les produits'!$A$3:$H$10000,8,FALSE),"0")</f>
        <v>0</v>
      </c>
      <c r="P11858" s="33">
        <f t="shared" si="740"/>
        <v>0</v>
      </c>
      <c r="Q11858" s="31" t="str">
        <f t="shared" si="741"/>
        <v/>
      </c>
      <c r="R11858" s="32" t="str">
        <f>IFERROR(VLOOKUP($D11858,'Informations sur les produits'!$A$3:$B$15000,2,FALSE),"")</f>
        <v/>
      </c>
      <c r="V11858">
        <f t="shared" si="742"/>
        <v>0</v>
      </c>
      <c r="W11858">
        <f t="shared" si="743"/>
        <v>0</v>
      </c>
    </row>
    <row r="11859" spans="5:23" x14ac:dyDescent="0.25">
      <c r="E11859" s="4"/>
      <c r="F11859" s="4"/>
      <c r="G11859" s="33" t="str">
        <f>IFERROR(VLOOKUP($D11859,'Informations sur les produits'!$A$3:$H$10000,8,FALSE),"0")</f>
        <v>0</v>
      </c>
      <c r="K11859" s="4"/>
      <c r="L11859" s="33" t="str">
        <f>IFERROR(VLOOKUP($J11859,'Informations sur les produits'!$A$3:$H$10000,8,FALSE),"0")</f>
        <v>0</v>
      </c>
      <c r="N11859" s="8"/>
      <c r="O11859" s="33" t="str">
        <f>IFERROR(VLOOKUP($M11859,'Informations sur les produits'!$A$3:$H$10000,8,FALSE),"0")</f>
        <v>0</v>
      </c>
      <c r="P11859" s="33">
        <f t="shared" si="740"/>
        <v>0</v>
      </c>
      <c r="Q11859" s="31" t="str">
        <f t="shared" si="741"/>
        <v/>
      </c>
      <c r="R11859" s="32" t="str">
        <f>IFERROR(VLOOKUP($D11859,'Informations sur les produits'!$A$3:$B$15000,2,FALSE),"")</f>
        <v/>
      </c>
      <c r="V11859">
        <f t="shared" si="742"/>
        <v>0</v>
      </c>
      <c r="W11859">
        <f t="shared" si="743"/>
        <v>0</v>
      </c>
    </row>
    <row r="11860" spans="5:23" x14ac:dyDescent="0.25">
      <c r="E11860" s="4"/>
      <c r="F11860" s="4"/>
      <c r="G11860" s="33" t="str">
        <f>IFERROR(VLOOKUP($D11860,'Informations sur les produits'!$A$3:$H$10000,8,FALSE),"0")</f>
        <v>0</v>
      </c>
      <c r="K11860" s="4"/>
      <c r="L11860" s="33" t="str">
        <f>IFERROR(VLOOKUP($J11860,'Informations sur les produits'!$A$3:$H$10000,8,FALSE),"0")</f>
        <v>0</v>
      </c>
      <c r="N11860" s="8"/>
      <c r="O11860" s="33" t="str">
        <f>IFERROR(VLOOKUP($M11860,'Informations sur les produits'!$A$3:$H$10000,8,FALSE),"0")</f>
        <v>0</v>
      </c>
      <c r="P11860" s="33">
        <f t="shared" si="740"/>
        <v>0</v>
      </c>
      <c r="Q11860" s="31" t="str">
        <f t="shared" si="741"/>
        <v/>
      </c>
      <c r="R11860" s="32" t="str">
        <f>IFERROR(VLOOKUP($D11860,'Informations sur les produits'!$A$3:$B$15000,2,FALSE),"")</f>
        <v/>
      </c>
      <c r="V11860">
        <f t="shared" si="742"/>
        <v>0</v>
      </c>
      <c r="W11860">
        <f t="shared" si="743"/>
        <v>0</v>
      </c>
    </row>
    <row r="11861" spans="5:23" x14ac:dyDescent="0.25">
      <c r="E11861" s="4"/>
      <c r="F11861" s="4"/>
      <c r="G11861" s="33" t="str">
        <f>IFERROR(VLOOKUP($D11861,'Informations sur les produits'!$A$3:$H$10000,8,FALSE),"0")</f>
        <v>0</v>
      </c>
      <c r="K11861" s="4"/>
      <c r="L11861" s="33" t="str">
        <f>IFERROR(VLOOKUP($J11861,'Informations sur les produits'!$A$3:$H$10000,8,FALSE),"0")</f>
        <v>0</v>
      </c>
      <c r="N11861" s="8"/>
      <c r="O11861" s="33" t="str">
        <f>IFERROR(VLOOKUP($M11861,'Informations sur les produits'!$A$3:$H$10000,8,FALSE),"0")</f>
        <v>0</v>
      </c>
      <c r="P11861" s="33">
        <f t="shared" si="740"/>
        <v>0</v>
      </c>
      <c r="Q11861" s="31" t="str">
        <f t="shared" si="741"/>
        <v/>
      </c>
      <c r="R11861" s="32" t="str">
        <f>IFERROR(VLOOKUP($D11861,'Informations sur les produits'!$A$3:$B$15000,2,FALSE),"")</f>
        <v/>
      </c>
      <c r="V11861">
        <f t="shared" si="742"/>
        <v>0</v>
      </c>
      <c r="W11861">
        <f t="shared" si="743"/>
        <v>0</v>
      </c>
    </row>
    <row r="11862" spans="5:23" x14ac:dyDescent="0.25">
      <c r="E11862" s="4"/>
      <c r="F11862" s="4"/>
      <c r="G11862" s="33" t="str">
        <f>IFERROR(VLOOKUP($D11862,'Informations sur les produits'!$A$3:$H$10000,8,FALSE),"0")</f>
        <v>0</v>
      </c>
      <c r="K11862" s="4"/>
      <c r="L11862" s="33" t="str">
        <f>IFERROR(VLOOKUP($J11862,'Informations sur les produits'!$A$3:$H$10000,8,FALSE),"0")</f>
        <v>0</v>
      </c>
      <c r="N11862" s="8"/>
      <c r="O11862" s="33" t="str">
        <f>IFERROR(VLOOKUP($M11862,'Informations sur les produits'!$A$3:$H$10000,8,FALSE),"0")</f>
        <v>0</v>
      </c>
      <c r="P11862" s="33">
        <f t="shared" si="740"/>
        <v>0</v>
      </c>
      <c r="Q11862" s="31" t="str">
        <f t="shared" si="741"/>
        <v/>
      </c>
      <c r="R11862" s="32" t="str">
        <f>IFERROR(VLOOKUP($D11862,'Informations sur les produits'!$A$3:$B$15000,2,FALSE),"")</f>
        <v/>
      </c>
      <c r="V11862">
        <f t="shared" si="742"/>
        <v>0</v>
      </c>
      <c r="W11862">
        <f t="shared" si="743"/>
        <v>0</v>
      </c>
    </row>
    <row r="11863" spans="5:23" x14ac:dyDescent="0.25">
      <c r="E11863" s="4"/>
      <c r="F11863" s="4"/>
      <c r="G11863" s="33" t="str">
        <f>IFERROR(VLOOKUP($D11863,'Informations sur les produits'!$A$3:$H$10000,8,FALSE),"0")</f>
        <v>0</v>
      </c>
      <c r="K11863" s="4"/>
      <c r="L11863" s="33" t="str">
        <f>IFERROR(VLOOKUP($J11863,'Informations sur les produits'!$A$3:$H$10000,8,FALSE),"0")</f>
        <v>0</v>
      </c>
      <c r="N11863" s="8"/>
      <c r="O11863" s="33" t="str">
        <f>IFERROR(VLOOKUP($M11863,'Informations sur les produits'!$A$3:$H$10000,8,FALSE),"0")</f>
        <v>0</v>
      </c>
      <c r="P11863" s="33">
        <f t="shared" si="740"/>
        <v>0</v>
      </c>
      <c r="Q11863" s="31" t="str">
        <f t="shared" si="741"/>
        <v/>
      </c>
      <c r="R11863" s="32" t="str">
        <f>IFERROR(VLOOKUP($D11863,'Informations sur les produits'!$A$3:$B$15000,2,FALSE),"")</f>
        <v/>
      </c>
      <c r="V11863">
        <f t="shared" si="742"/>
        <v>0</v>
      </c>
      <c r="W11863">
        <f t="shared" si="743"/>
        <v>0</v>
      </c>
    </row>
    <row r="11864" spans="5:23" x14ac:dyDescent="0.25">
      <c r="E11864" s="4"/>
      <c r="F11864" s="4"/>
      <c r="G11864" s="33" t="str">
        <f>IFERROR(VLOOKUP($D11864,'Informations sur les produits'!$A$3:$H$10000,8,FALSE),"0")</f>
        <v>0</v>
      </c>
      <c r="K11864" s="4"/>
      <c r="L11864" s="33" t="str">
        <f>IFERROR(VLOOKUP($J11864,'Informations sur les produits'!$A$3:$H$10000,8,FALSE),"0")</f>
        <v>0</v>
      </c>
      <c r="N11864" s="8"/>
      <c r="O11864" s="33" t="str">
        <f>IFERROR(VLOOKUP($M11864,'Informations sur les produits'!$A$3:$H$10000,8,FALSE),"0")</f>
        <v>0</v>
      </c>
      <c r="P11864" s="33">
        <f t="shared" si="740"/>
        <v>0</v>
      </c>
      <c r="Q11864" s="31" t="str">
        <f t="shared" si="741"/>
        <v/>
      </c>
      <c r="R11864" s="32" t="str">
        <f>IFERROR(VLOOKUP($D11864,'Informations sur les produits'!$A$3:$B$15000,2,FALSE),"")</f>
        <v/>
      </c>
      <c r="V11864">
        <f t="shared" si="742"/>
        <v>0</v>
      </c>
      <c r="W11864">
        <f t="shared" si="743"/>
        <v>0</v>
      </c>
    </row>
    <row r="11865" spans="5:23" x14ac:dyDescent="0.25">
      <c r="E11865" s="4"/>
      <c r="F11865" s="4"/>
      <c r="G11865" s="33" t="str">
        <f>IFERROR(VLOOKUP($D11865,'Informations sur les produits'!$A$3:$H$10000,8,FALSE),"0")</f>
        <v>0</v>
      </c>
      <c r="K11865" s="4"/>
      <c r="L11865" s="33" t="str">
        <f>IFERROR(VLOOKUP($J11865,'Informations sur les produits'!$A$3:$H$10000,8,FALSE),"0")</f>
        <v>0</v>
      </c>
      <c r="N11865" s="8"/>
      <c r="O11865" s="33" t="str">
        <f>IFERROR(VLOOKUP($M11865,'Informations sur les produits'!$A$3:$H$10000,8,FALSE),"0")</f>
        <v>0</v>
      </c>
      <c r="P11865" s="33">
        <f t="shared" si="740"/>
        <v>0</v>
      </c>
      <c r="Q11865" s="31" t="str">
        <f t="shared" si="741"/>
        <v/>
      </c>
      <c r="R11865" s="32" t="str">
        <f>IFERROR(VLOOKUP($D11865,'Informations sur les produits'!$A$3:$B$15000,2,FALSE),"")</f>
        <v/>
      </c>
      <c r="V11865">
        <f t="shared" si="742"/>
        <v>0</v>
      </c>
      <c r="W11865">
        <f t="shared" si="743"/>
        <v>0</v>
      </c>
    </row>
    <row r="11866" spans="5:23" x14ac:dyDescent="0.25">
      <c r="E11866" s="4"/>
      <c r="F11866" s="4"/>
      <c r="G11866" s="33" t="str">
        <f>IFERROR(VLOOKUP($D11866,'Informations sur les produits'!$A$3:$H$10000,8,FALSE),"0")</f>
        <v>0</v>
      </c>
      <c r="K11866" s="4"/>
      <c r="L11866" s="33" t="str">
        <f>IFERROR(VLOOKUP($J11866,'Informations sur les produits'!$A$3:$H$10000,8,FALSE),"0")</f>
        <v>0</v>
      </c>
      <c r="N11866" s="8"/>
      <c r="O11866" s="33" t="str">
        <f>IFERROR(VLOOKUP($M11866,'Informations sur les produits'!$A$3:$H$10000,8,FALSE),"0")</f>
        <v>0</v>
      </c>
      <c r="P11866" s="33">
        <f t="shared" si="740"/>
        <v>0</v>
      </c>
      <c r="Q11866" s="31" t="str">
        <f t="shared" si="741"/>
        <v/>
      </c>
      <c r="R11866" s="32" t="str">
        <f>IFERROR(VLOOKUP($D11866,'Informations sur les produits'!$A$3:$B$15000,2,FALSE),"")</f>
        <v/>
      </c>
      <c r="V11866">
        <f t="shared" si="742"/>
        <v>0</v>
      </c>
      <c r="W11866">
        <f t="shared" si="743"/>
        <v>0</v>
      </c>
    </row>
    <row r="11867" spans="5:23" x14ac:dyDescent="0.25">
      <c r="E11867" s="4"/>
      <c r="F11867" s="4"/>
      <c r="G11867" s="33" t="str">
        <f>IFERROR(VLOOKUP($D11867,'Informations sur les produits'!$A$3:$H$10000,8,FALSE),"0")</f>
        <v>0</v>
      </c>
      <c r="K11867" s="4"/>
      <c r="L11867" s="33" t="str">
        <f>IFERROR(VLOOKUP($J11867,'Informations sur les produits'!$A$3:$H$10000,8,FALSE),"0")</f>
        <v>0</v>
      </c>
      <c r="N11867" s="8"/>
      <c r="O11867" s="33" t="str">
        <f>IFERROR(VLOOKUP($M11867,'Informations sur les produits'!$A$3:$H$10000,8,FALSE),"0")</f>
        <v>0</v>
      </c>
      <c r="P11867" s="33">
        <f t="shared" si="740"/>
        <v>0</v>
      </c>
      <c r="Q11867" s="31" t="str">
        <f t="shared" si="741"/>
        <v/>
      </c>
      <c r="R11867" s="32" t="str">
        <f>IFERROR(VLOOKUP($D11867,'Informations sur les produits'!$A$3:$B$15000,2,FALSE),"")</f>
        <v/>
      </c>
      <c r="V11867">
        <f t="shared" si="742"/>
        <v>0</v>
      </c>
      <c r="W11867">
        <f t="shared" si="743"/>
        <v>0</v>
      </c>
    </row>
    <row r="11868" spans="5:23" x14ac:dyDescent="0.25">
      <c r="E11868" s="4"/>
      <c r="F11868" s="4"/>
      <c r="G11868" s="33" t="str">
        <f>IFERROR(VLOOKUP($D11868,'Informations sur les produits'!$A$3:$H$10000,8,FALSE),"0")</f>
        <v>0</v>
      </c>
      <c r="K11868" s="4"/>
      <c r="L11868" s="33" t="str">
        <f>IFERROR(VLOOKUP($J11868,'Informations sur les produits'!$A$3:$H$10000,8,FALSE),"0")</f>
        <v>0</v>
      </c>
      <c r="N11868" s="8"/>
      <c r="O11868" s="33" t="str">
        <f>IFERROR(VLOOKUP($M11868,'Informations sur les produits'!$A$3:$H$10000,8,FALSE),"0")</f>
        <v>0</v>
      </c>
      <c r="P11868" s="33">
        <f t="shared" si="740"/>
        <v>0</v>
      </c>
      <c r="Q11868" s="31" t="str">
        <f t="shared" si="741"/>
        <v/>
      </c>
      <c r="R11868" s="32" t="str">
        <f>IFERROR(VLOOKUP($D11868,'Informations sur les produits'!$A$3:$B$15000,2,FALSE),"")</f>
        <v/>
      </c>
      <c r="V11868">
        <f t="shared" si="742"/>
        <v>0</v>
      </c>
      <c r="W11868">
        <f t="shared" si="743"/>
        <v>0</v>
      </c>
    </row>
    <row r="11869" spans="5:23" x14ac:dyDescent="0.25">
      <c r="E11869" s="4"/>
      <c r="F11869" s="4"/>
      <c r="G11869" s="33" t="str">
        <f>IFERROR(VLOOKUP($D11869,'Informations sur les produits'!$A$3:$H$10000,8,FALSE),"0")</f>
        <v>0</v>
      </c>
      <c r="K11869" s="4"/>
      <c r="L11869" s="33" t="str">
        <f>IFERROR(VLOOKUP($J11869,'Informations sur les produits'!$A$3:$H$10000,8,FALSE),"0")</f>
        <v>0</v>
      </c>
      <c r="N11869" s="8"/>
      <c r="O11869" s="33" t="str">
        <f>IFERROR(VLOOKUP($M11869,'Informations sur les produits'!$A$3:$H$10000,8,FALSE),"0")</f>
        <v>0</v>
      </c>
      <c r="P11869" s="33">
        <f t="shared" si="740"/>
        <v>0</v>
      </c>
      <c r="Q11869" s="31" t="str">
        <f t="shared" si="741"/>
        <v/>
      </c>
      <c r="R11869" s="32" t="str">
        <f>IFERROR(VLOOKUP($D11869,'Informations sur les produits'!$A$3:$B$15000,2,FALSE),"")</f>
        <v/>
      </c>
      <c r="V11869">
        <f t="shared" si="742"/>
        <v>0</v>
      </c>
      <c r="W11869">
        <f t="shared" si="743"/>
        <v>0</v>
      </c>
    </row>
    <row r="11870" spans="5:23" x14ac:dyDescent="0.25">
      <c r="E11870" s="4"/>
      <c r="F11870" s="4"/>
      <c r="G11870" s="33" t="str">
        <f>IFERROR(VLOOKUP($D11870,'Informations sur les produits'!$A$3:$H$10000,8,FALSE),"0")</f>
        <v>0</v>
      </c>
      <c r="K11870" s="4"/>
      <c r="L11870" s="33" t="str">
        <f>IFERROR(VLOOKUP($J11870,'Informations sur les produits'!$A$3:$H$10000,8,FALSE),"0")</f>
        <v>0</v>
      </c>
      <c r="N11870" s="8"/>
      <c r="O11870" s="33" t="str">
        <f>IFERROR(VLOOKUP($M11870,'Informations sur les produits'!$A$3:$H$10000,8,FALSE),"0")</f>
        <v>0</v>
      </c>
      <c r="P11870" s="33">
        <f t="shared" si="740"/>
        <v>0</v>
      </c>
      <c r="Q11870" s="31" t="str">
        <f t="shared" si="741"/>
        <v/>
      </c>
      <c r="R11870" s="32" t="str">
        <f>IFERROR(VLOOKUP($D11870,'Informations sur les produits'!$A$3:$B$15000,2,FALSE),"")</f>
        <v/>
      </c>
      <c r="V11870">
        <f t="shared" si="742"/>
        <v>0</v>
      </c>
      <c r="W11870">
        <f t="shared" si="743"/>
        <v>0</v>
      </c>
    </row>
    <row r="11871" spans="5:23" x14ac:dyDescent="0.25">
      <c r="E11871" s="4"/>
      <c r="F11871" s="4"/>
      <c r="G11871" s="33" t="str">
        <f>IFERROR(VLOOKUP($D11871,'Informations sur les produits'!$A$3:$H$10000,8,FALSE),"0")</f>
        <v>0</v>
      </c>
      <c r="K11871" s="4"/>
      <c r="L11871" s="33" t="str">
        <f>IFERROR(VLOOKUP($J11871,'Informations sur les produits'!$A$3:$H$10000,8,FALSE),"0")</f>
        <v>0</v>
      </c>
      <c r="N11871" s="8"/>
      <c r="O11871" s="33" t="str">
        <f>IFERROR(VLOOKUP($M11871,'Informations sur les produits'!$A$3:$H$10000,8,FALSE),"0")</f>
        <v>0</v>
      </c>
      <c r="P11871" s="33">
        <f t="shared" si="740"/>
        <v>0</v>
      </c>
      <c r="Q11871" s="31" t="str">
        <f t="shared" si="741"/>
        <v/>
      </c>
      <c r="R11871" s="32" t="str">
        <f>IFERROR(VLOOKUP($D11871,'Informations sur les produits'!$A$3:$B$15000,2,FALSE),"")</f>
        <v/>
      </c>
      <c r="V11871">
        <f t="shared" si="742"/>
        <v>0</v>
      </c>
      <c r="W11871">
        <f t="shared" si="743"/>
        <v>0</v>
      </c>
    </row>
    <row r="11872" spans="5:23" x14ac:dyDescent="0.25">
      <c r="E11872" s="4"/>
      <c r="F11872" s="4"/>
      <c r="G11872" s="33" t="str">
        <f>IFERROR(VLOOKUP($D11872,'Informations sur les produits'!$A$3:$H$10000,8,FALSE),"0")</f>
        <v>0</v>
      </c>
      <c r="K11872" s="4"/>
      <c r="L11872" s="33" t="str">
        <f>IFERROR(VLOOKUP($J11872,'Informations sur les produits'!$A$3:$H$10000,8,FALSE),"0")</f>
        <v>0</v>
      </c>
      <c r="N11872" s="8"/>
      <c r="O11872" s="33" t="str">
        <f>IFERROR(VLOOKUP($M11872,'Informations sur les produits'!$A$3:$H$10000,8,FALSE),"0")</f>
        <v>0</v>
      </c>
      <c r="P11872" s="33">
        <f t="shared" si="740"/>
        <v>0</v>
      </c>
      <c r="Q11872" s="31" t="str">
        <f t="shared" si="741"/>
        <v/>
      </c>
      <c r="R11872" s="32" t="str">
        <f>IFERROR(VLOOKUP($D11872,'Informations sur les produits'!$A$3:$B$15000,2,FALSE),"")</f>
        <v/>
      </c>
      <c r="V11872">
        <f t="shared" si="742"/>
        <v>0</v>
      </c>
      <c r="W11872">
        <f t="shared" si="743"/>
        <v>0</v>
      </c>
    </row>
    <row r="11873" spans="5:23" x14ac:dyDescent="0.25">
      <c r="E11873" s="4"/>
      <c r="F11873" s="4"/>
      <c r="G11873" s="33" t="str">
        <f>IFERROR(VLOOKUP($D11873,'Informations sur les produits'!$A$3:$H$10000,8,FALSE),"0")</f>
        <v>0</v>
      </c>
      <c r="K11873" s="4"/>
      <c r="L11873" s="33" t="str">
        <f>IFERROR(VLOOKUP($J11873,'Informations sur les produits'!$A$3:$H$10000,8,FALSE),"0")</f>
        <v>0</v>
      </c>
      <c r="N11873" s="8"/>
      <c r="O11873" s="33" t="str">
        <f>IFERROR(VLOOKUP($M11873,'Informations sur les produits'!$A$3:$H$10000,8,FALSE),"0")</f>
        <v>0</v>
      </c>
      <c r="P11873" s="33">
        <f t="shared" si="740"/>
        <v>0</v>
      </c>
      <c r="Q11873" s="31" t="str">
        <f t="shared" si="741"/>
        <v/>
      </c>
      <c r="R11873" s="32" t="str">
        <f>IFERROR(VLOOKUP($D11873,'Informations sur les produits'!$A$3:$B$15000,2,FALSE),"")</f>
        <v/>
      </c>
      <c r="V11873">
        <f t="shared" si="742"/>
        <v>0</v>
      </c>
      <c r="W11873">
        <f t="shared" si="743"/>
        <v>0</v>
      </c>
    </row>
    <row r="11874" spans="5:23" x14ac:dyDescent="0.25">
      <c r="E11874" s="4"/>
      <c r="F11874" s="4"/>
      <c r="G11874" s="33" t="str">
        <f>IFERROR(VLOOKUP($D11874,'Informations sur les produits'!$A$3:$H$10000,8,FALSE),"0")</f>
        <v>0</v>
      </c>
      <c r="K11874" s="4"/>
      <c r="L11874" s="33" t="str">
        <f>IFERROR(VLOOKUP($J11874,'Informations sur les produits'!$A$3:$H$10000,8,FALSE),"0")</f>
        <v>0</v>
      </c>
      <c r="N11874" s="8"/>
      <c r="O11874" s="33" t="str">
        <f>IFERROR(VLOOKUP($M11874,'Informations sur les produits'!$A$3:$H$10000,8,FALSE),"0")</f>
        <v>0</v>
      </c>
      <c r="P11874" s="33">
        <f t="shared" si="740"/>
        <v>0</v>
      </c>
      <c r="Q11874" s="31" t="str">
        <f t="shared" si="741"/>
        <v/>
      </c>
      <c r="R11874" s="32" t="str">
        <f>IFERROR(VLOOKUP($D11874,'Informations sur les produits'!$A$3:$B$15000,2,FALSE),"")</f>
        <v/>
      </c>
      <c r="V11874">
        <f t="shared" si="742"/>
        <v>0</v>
      </c>
      <c r="W11874">
        <f t="shared" si="743"/>
        <v>0</v>
      </c>
    </row>
    <row r="11875" spans="5:23" x14ac:dyDescent="0.25">
      <c r="E11875" s="4"/>
      <c r="F11875" s="4"/>
      <c r="G11875" s="33" t="str">
        <f>IFERROR(VLOOKUP($D11875,'Informations sur les produits'!$A$3:$H$10000,8,FALSE),"0")</f>
        <v>0</v>
      </c>
      <c r="K11875" s="4"/>
      <c r="L11875" s="33" t="str">
        <f>IFERROR(VLOOKUP($J11875,'Informations sur les produits'!$A$3:$H$10000,8,FALSE),"0")</f>
        <v>0</v>
      </c>
      <c r="N11875" s="8"/>
      <c r="O11875" s="33" t="str">
        <f>IFERROR(VLOOKUP($M11875,'Informations sur les produits'!$A$3:$H$10000,8,FALSE),"0")</f>
        <v>0</v>
      </c>
      <c r="P11875" s="33">
        <f t="shared" si="740"/>
        <v>0</v>
      </c>
      <c r="Q11875" s="31" t="str">
        <f t="shared" si="741"/>
        <v/>
      </c>
      <c r="R11875" s="32" t="str">
        <f>IFERROR(VLOOKUP($D11875,'Informations sur les produits'!$A$3:$B$15000,2,FALSE),"")</f>
        <v/>
      </c>
      <c r="V11875">
        <f t="shared" si="742"/>
        <v>0</v>
      </c>
      <c r="W11875">
        <f t="shared" si="743"/>
        <v>0</v>
      </c>
    </row>
    <row r="11876" spans="5:23" x14ac:dyDescent="0.25">
      <c r="E11876" s="4"/>
      <c r="F11876" s="4"/>
      <c r="G11876" s="33" t="str">
        <f>IFERROR(VLOOKUP($D11876,'Informations sur les produits'!$A$3:$H$10000,8,FALSE),"0")</f>
        <v>0</v>
      </c>
      <c r="K11876" s="4"/>
      <c r="L11876" s="33" t="str">
        <f>IFERROR(VLOOKUP($J11876,'Informations sur les produits'!$A$3:$H$10000,8,FALSE),"0")</f>
        <v>0</v>
      </c>
      <c r="N11876" s="8"/>
      <c r="O11876" s="33" t="str">
        <f>IFERROR(VLOOKUP($M11876,'Informations sur les produits'!$A$3:$H$10000,8,FALSE),"0")</f>
        <v>0</v>
      </c>
      <c r="P11876" s="33">
        <f t="shared" si="740"/>
        <v>0</v>
      </c>
      <c r="Q11876" s="31" t="str">
        <f t="shared" si="741"/>
        <v/>
      </c>
      <c r="R11876" s="32" t="str">
        <f>IFERROR(VLOOKUP($D11876,'Informations sur les produits'!$A$3:$B$15000,2,FALSE),"")</f>
        <v/>
      </c>
      <c r="V11876">
        <f t="shared" si="742"/>
        <v>0</v>
      </c>
      <c r="W11876">
        <f t="shared" si="743"/>
        <v>0</v>
      </c>
    </row>
    <row r="11877" spans="5:23" x14ac:dyDescent="0.25">
      <c r="E11877" s="4"/>
      <c r="F11877" s="4"/>
      <c r="G11877" s="33" t="str">
        <f>IFERROR(VLOOKUP($D11877,'Informations sur les produits'!$A$3:$H$10000,8,FALSE),"0")</f>
        <v>0</v>
      </c>
      <c r="K11877" s="4"/>
      <c r="L11877" s="33" t="str">
        <f>IFERROR(VLOOKUP($J11877,'Informations sur les produits'!$A$3:$H$10000,8,FALSE),"0")</f>
        <v>0</v>
      </c>
      <c r="N11877" s="8"/>
      <c r="O11877" s="33" t="str">
        <f>IFERROR(VLOOKUP($M11877,'Informations sur les produits'!$A$3:$H$10000,8,FALSE),"0")</f>
        <v>0</v>
      </c>
      <c r="P11877" s="33">
        <f t="shared" si="740"/>
        <v>0</v>
      </c>
      <c r="Q11877" s="31" t="str">
        <f t="shared" si="741"/>
        <v/>
      </c>
      <c r="R11877" s="32" t="str">
        <f>IFERROR(VLOOKUP($D11877,'Informations sur les produits'!$A$3:$B$15000,2,FALSE),"")</f>
        <v/>
      </c>
      <c r="V11877">
        <f t="shared" si="742"/>
        <v>0</v>
      </c>
      <c r="W11877">
        <f t="shared" si="743"/>
        <v>0</v>
      </c>
    </row>
    <row r="11878" spans="5:23" x14ac:dyDescent="0.25">
      <c r="E11878" s="4"/>
      <c r="F11878" s="4"/>
      <c r="G11878" s="33" t="str">
        <f>IFERROR(VLOOKUP($D11878,'Informations sur les produits'!$A$3:$H$10000,8,FALSE),"0")</f>
        <v>0</v>
      </c>
      <c r="K11878" s="4"/>
      <c r="L11878" s="33" t="str">
        <f>IFERROR(VLOOKUP($J11878,'Informations sur les produits'!$A$3:$H$10000,8,FALSE),"0")</f>
        <v>0</v>
      </c>
      <c r="N11878" s="8"/>
      <c r="O11878" s="33" t="str">
        <f>IFERROR(VLOOKUP($M11878,'Informations sur les produits'!$A$3:$H$10000,8,FALSE),"0")</f>
        <v>0</v>
      </c>
      <c r="P11878" s="33">
        <f t="shared" si="740"/>
        <v>0</v>
      </c>
      <c r="Q11878" s="31" t="str">
        <f t="shared" si="741"/>
        <v/>
      </c>
      <c r="R11878" s="32" t="str">
        <f>IFERROR(VLOOKUP($D11878,'Informations sur les produits'!$A$3:$B$15000,2,FALSE),"")</f>
        <v/>
      </c>
      <c r="V11878">
        <f t="shared" si="742"/>
        <v>0</v>
      </c>
      <c r="W11878">
        <f t="shared" si="743"/>
        <v>0</v>
      </c>
    </row>
    <row r="11879" spans="5:23" x14ac:dyDescent="0.25">
      <c r="E11879" s="4"/>
      <c r="F11879" s="4"/>
      <c r="G11879" s="33" t="str">
        <f>IFERROR(VLOOKUP($D11879,'Informations sur les produits'!$A$3:$H$10000,8,FALSE),"0")</f>
        <v>0</v>
      </c>
      <c r="K11879" s="4"/>
      <c r="L11879" s="33" t="str">
        <f>IFERROR(VLOOKUP($J11879,'Informations sur les produits'!$A$3:$H$10000,8,FALSE),"0")</f>
        <v>0</v>
      </c>
      <c r="N11879" s="8"/>
      <c r="O11879" s="33" t="str">
        <f>IFERROR(VLOOKUP($M11879,'Informations sur les produits'!$A$3:$H$10000,8,FALSE),"0")</f>
        <v>0</v>
      </c>
      <c r="P11879" s="33">
        <f t="shared" si="740"/>
        <v>0</v>
      </c>
      <c r="Q11879" s="31" t="str">
        <f t="shared" si="741"/>
        <v/>
      </c>
      <c r="R11879" s="32" t="str">
        <f>IFERROR(VLOOKUP($D11879,'Informations sur les produits'!$A$3:$B$15000,2,FALSE),"")</f>
        <v/>
      </c>
      <c r="V11879">
        <f t="shared" si="742"/>
        <v>0</v>
      </c>
      <c r="W11879">
        <f t="shared" si="743"/>
        <v>0</v>
      </c>
    </row>
    <row r="11880" spans="5:23" x14ac:dyDescent="0.25">
      <c r="E11880" s="4"/>
      <c r="F11880" s="4"/>
      <c r="G11880" s="33" t="str">
        <f>IFERROR(VLOOKUP($D11880,'Informations sur les produits'!$A$3:$H$10000,8,FALSE),"0")</f>
        <v>0</v>
      </c>
      <c r="K11880" s="4"/>
      <c r="L11880" s="33" t="str">
        <f>IFERROR(VLOOKUP($J11880,'Informations sur les produits'!$A$3:$H$10000,8,FALSE),"0")</f>
        <v>0</v>
      </c>
      <c r="N11880" s="8"/>
      <c r="O11880" s="33" t="str">
        <f>IFERROR(VLOOKUP($M11880,'Informations sur les produits'!$A$3:$H$10000,8,FALSE),"0")</f>
        <v>0</v>
      </c>
      <c r="P11880" s="33">
        <f t="shared" si="740"/>
        <v>0</v>
      </c>
      <c r="Q11880" s="31" t="str">
        <f t="shared" si="741"/>
        <v/>
      </c>
      <c r="R11880" s="32" t="str">
        <f>IFERROR(VLOOKUP($D11880,'Informations sur les produits'!$A$3:$B$15000,2,FALSE),"")</f>
        <v/>
      </c>
      <c r="V11880">
        <f t="shared" si="742"/>
        <v>0</v>
      </c>
      <c r="W11880">
        <f t="shared" si="743"/>
        <v>0</v>
      </c>
    </row>
    <row r="11881" spans="5:23" x14ac:dyDescent="0.25">
      <c r="E11881" s="4"/>
      <c r="F11881" s="4"/>
      <c r="G11881" s="33" t="str">
        <f>IFERROR(VLOOKUP($D11881,'Informations sur les produits'!$A$3:$H$10000,8,FALSE),"0")</f>
        <v>0</v>
      </c>
      <c r="K11881" s="4"/>
      <c r="L11881" s="33" t="str">
        <f>IFERROR(VLOOKUP($J11881,'Informations sur les produits'!$A$3:$H$10000,8,FALSE),"0")</f>
        <v>0</v>
      </c>
      <c r="N11881" s="8"/>
      <c r="O11881" s="33" t="str">
        <f>IFERROR(VLOOKUP($M11881,'Informations sur les produits'!$A$3:$H$10000,8,FALSE),"0")</f>
        <v>0</v>
      </c>
      <c r="P11881" s="33">
        <f t="shared" si="740"/>
        <v>0</v>
      </c>
      <c r="Q11881" s="31" t="str">
        <f t="shared" si="741"/>
        <v/>
      </c>
      <c r="R11881" s="32" t="str">
        <f>IFERROR(VLOOKUP($D11881,'Informations sur les produits'!$A$3:$B$15000,2,FALSE),"")</f>
        <v/>
      </c>
      <c r="V11881">
        <f t="shared" si="742"/>
        <v>0</v>
      </c>
      <c r="W11881">
        <f t="shared" si="743"/>
        <v>0</v>
      </c>
    </row>
    <row r="11882" spans="5:23" x14ac:dyDescent="0.25">
      <c r="E11882" s="4"/>
      <c r="F11882" s="4"/>
      <c r="G11882" s="33" t="str">
        <f>IFERROR(VLOOKUP($D11882,'Informations sur les produits'!$A$3:$H$10000,8,FALSE),"0")</f>
        <v>0</v>
      </c>
      <c r="K11882" s="4"/>
      <c r="L11882" s="33" t="str">
        <f>IFERROR(VLOOKUP($J11882,'Informations sur les produits'!$A$3:$H$10000,8,FALSE),"0")</f>
        <v>0</v>
      </c>
      <c r="N11882" s="8"/>
      <c r="O11882" s="33" t="str">
        <f>IFERROR(VLOOKUP($M11882,'Informations sur les produits'!$A$3:$H$10000,8,FALSE),"0")</f>
        <v>0</v>
      </c>
      <c r="P11882" s="33">
        <f t="shared" si="740"/>
        <v>0</v>
      </c>
      <c r="Q11882" s="31" t="str">
        <f t="shared" si="741"/>
        <v/>
      </c>
      <c r="R11882" s="32" t="str">
        <f>IFERROR(VLOOKUP($D11882,'Informations sur les produits'!$A$3:$B$15000,2,FALSE),"")</f>
        <v/>
      </c>
      <c r="V11882">
        <f t="shared" si="742"/>
        <v>0</v>
      </c>
      <c r="W11882">
        <f t="shared" si="743"/>
        <v>0</v>
      </c>
    </row>
    <row r="11883" spans="5:23" x14ac:dyDescent="0.25">
      <c r="E11883" s="4"/>
      <c r="F11883" s="4"/>
      <c r="G11883" s="33" t="str">
        <f>IFERROR(VLOOKUP($D11883,'Informations sur les produits'!$A$3:$H$10000,8,FALSE),"0")</f>
        <v>0</v>
      </c>
      <c r="K11883" s="4"/>
      <c r="L11883" s="33" t="str">
        <f>IFERROR(VLOOKUP($J11883,'Informations sur les produits'!$A$3:$H$10000,8,FALSE),"0")</f>
        <v>0</v>
      </c>
      <c r="N11883" s="8"/>
      <c r="O11883" s="33" t="str">
        <f>IFERROR(VLOOKUP($M11883,'Informations sur les produits'!$A$3:$H$10000,8,FALSE),"0")</f>
        <v>0</v>
      </c>
      <c r="P11883" s="33">
        <f t="shared" si="740"/>
        <v>0</v>
      </c>
      <c r="Q11883" s="31" t="str">
        <f t="shared" si="741"/>
        <v/>
      </c>
      <c r="R11883" s="32" t="str">
        <f>IFERROR(VLOOKUP($D11883,'Informations sur les produits'!$A$3:$B$15000,2,FALSE),"")</f>
        <v/>
      </c>
      <c r="V11883">
        <f t="shared" si="742"/>
        <v>0</v>
      </c>
      <c r="W11883">
        <f t="shared" si="743"/>
        <v>0</v>
      </c>
    </row>
    <row r="11884" spans="5:23" x14ac:dyDescent="0.25">
      <c r="E11884" s="4"/>
      <c r="F11884" s="4"/>
      <c r="G11884" s="33" t="str">
        <f>IFERROR(VLOOKUP($D11884,'Informations sur les produits'!$A$3:$H$10000,8,FALSE),"0")</f>
        <v>0</v>
      </c>
      <c r="K11884" s="4"/>
      <c r="L11884" s="33" t="str">
        <f>IFERROR(VLOOKUP($J11884,'Informations sur les produits'!$A$3:$H$10000,8,FALSE),"0")</f>
        <v>0</v>
      </c>
      <c r="N11884" s="8"/>
      <c r="O11884" s="33" t="str">
        <f>IFERROR(VLOOKUP($M11884,'Informations sur les produits'!$A$3:$H$10000,8,FALSE),"0")</f>
        <v>0</v>
      </c>
      <c r="P11884" s="33">
        <f t="shared" si="740"/>
        <v>0</v>
      </c>
      <c r="Q11884" s="31" t="str">
        <f t="shared" si="741"/>
        <v/>
      </c>
      <c r="R11884" s="32" t="str">
        <f>IFERROR(VLOOKUP($D11884,'Informations sur les produits'!$A$3:$B$15000,2,FALSE),"")</f>
        <v/>
      </c>
      <c r="V11884">
        <f t="shared" si="742"/>
        <v>0</v>
      </c>
      <c r="W11884">
        <f t="shared" si="743"/>
        <v>0</v>
      </c>
    </row>
    <row r="11885" spans="5:23" x14ac:dyDescent="0.25">
      <c r="E11885" s="4"/>
      <c r="F11885" s="4"/>
      <c r="G11885" s="33" t="str">
        <f>IFERROR(VLOOKUP($D11885,'Informations sur les produits'!$A$3:$H$10000,8,FALSE),"0")</f>
        <v>0</v>
      </c>
      <c r="K11885" s="4"/>
      <c r="L11885" s="33" t="str">
        <f>IFERROR(VLOOKUP($J11885,'Informations sur les produits'!$A$3:$H$10000,8,FALSE),"0")</f>
        <v>0</v>
      </c>
      <c r="N11885" s="8"/>
      <c r="O11885" s="33" t="str">
        <f>IFERROR(VLOOKUP($M11885,'Informations sur les produits'!$A$3:$H$10000,8,FALSE),"0")</f>
        <v>0</v>
      </c>
      <c r="P11885" s="33">
        <f t="shared" si="740"/>
        <v>0</v>
      </c>
      <c r="Q11885" s="31" t="str">
        <f t="shared" si="741"/>
        <v/>
      </c>
      <c r="R11885" s="32" t="str">
        <f>IFERROR(VLOOKUP($D11885,'Informations sur les produits'!$A$3:$B$15000,2,FALSE),"")</f>
        <v/>
      </c>
      <c r="V11885">
        <f t="shared" si="742"/>
        <v>0</v>
      </c>
      <c r="W11885">
        <f t="shared" si="743"/>
        <v>0</v>
      </c>
    </row>
    <row r="11886" spans="5:23" x14ac:dyDescent="0.25">
      <c r="E11886" s="4"/>
      <c r="F11886" s="4"/>
      <c r="G11886" s="33" t="str">
        <f>IFERROR(VLOOKUP($D11886,'Informations sur les produits'!$A$3:$H$10000,8,FALSE),"0")</f>
        <v>0</v>
      </c>
      <c r="K11886" s="4"/>
      <c r="L11886" s="33" t="str">
        <f>IFERROR(VLOOKUP($J11886,'Informations sur les produits'!$A$3:$H$10000,8,FALSE),"0")</f>
        <v>0</v>
      </c>
      <c r="N11886" s="8"/>
      <c r="O11886" s="33" t="str">
        <f>IFERROR(VLOOKUP($M11886,'Informations sur les produits'!$A$3:$H$10000,8,FALSE),"0")</f>
        <v>0</v>
      </c>
      <c r="P11886" s="33">
        <f t="shared" si="740"/>
        <v>0</v>
      </c>
      <c r="Q11886" s="31" t="str">
        <f t="shared" si="741"/>
        <v/>
      </c>
      <c r="R11886" s="32" t="str">
        <f>IFERROR(VLOOKUP($D11886,'Informations sur les produits'!$A$3:$B$15000,2,FALSE),"")</f>
        <v/>
      </c>
      <c r="V11886">
        <f t="shared" si="742"/>
        <v>0</v>
      </c>
      <c r="W11886">
        <f t="shared" si="743"/>
        <v>0</v>
      </c>
    </row>
    <row r="11887" spans="5:23" x14ac:dyDescent="0.25">
      <c r="E11887" s="4"/>
      <c r="F11887" s="4"/>
      <c r="G11887" s="33" t="str">
        <f>IFERROR(VLOOKUP($D11887,'Informations sur les produits'!$A$3:$H$10000,8,FALSE),"0")</f>
        <v>0</v>
      </c>
      <c r="K11887" s="4"/>
      <c r="L11887" s="33" t="str">
        <f>IFERROR(VLOOKUP($J11887,'Informations sur les produits'!$A$3:$H$10000,8,FALSE),"0")</f>
        <v>0</v>
      </c>
      <c r="N11887" s="8"/>
      <c r="O11887" s="33" t="str">
        <f>IFERROR(VLOOKUP($M11887,'Informations sur les produits'!$A$3:$H$10000,8,FALSE),"0")</f>
        <v>0</v>
      </c>
      <c r="P11887" s="33">
        <f t="shared" si="740"/>
        <v>0</v>
      </c>
      <c r="Q11887" s="31" t="str">
        <f t="shared" si="741"/>
        <v/>
      </c>
      <c r="R11887" s="32" t="str">
        <f>IFERROR(VLOOKUP($D11887,'Informations sur les produits'!$A$3:$B$15000,2,FALSE),"")</f>
        <v/>
      </c>
      <c r="V11887">
        <f t="shared" si="742"/>
        <v>0</v>
      </c>
      <c r="W11887">
        <f t="shared" si="743"/>
        <v>0</v>
      </c>
    </row>
    <row r="11888" spans="5:23" x14ac:dyDescent="0.25">
      <c r="E11888" s="4"/>
      <c r="F11888" s="4"/>
      <c r="G11888" s="33" t="str">
        <f>IFERROR(VLOOKUP($D11888,'Informations sur les produits'!$A$3:$H$10000,8,FALSE),"0")</f>
        <v>0</v>
      </c>
      <c r="K11888" s="4"/>
      <c r="L11888" s="33" t="str">
        <f>IFERROR(VLOOKUP($J11888,'Informations sur les produits'!$A$3:$H$10000,8,FALSE),"0")</f>
        <v>0</v>
      </c>
      <c r="N11888" s="8"/>
      <c r="O11888" s="33" t="str">
        <f>IFERROR(VLOOKUP($M11888,'Informations sur les produits'!$A$3:$H$10000,8,FALSE),"0")</f>
        <v>0</v>
      </c>
      <c r="P11888" s="33">
        <f t="shared" si="740"/>
        <v>0</v>
      </c>
      <c r="Q11888" s="31" t="str">
        <f t="shared" si="741"/>
        <v/>
      </c>
      <c r="R11888" s="32" t="str">
        <f>IFERROR(VLOOKUP($D11888,'Informations sur les produits'!$A$3:$B$15000,2,FALSE),"")</f>
        <v/>
      </c>
      <c r="V11888">
        <f t="shared" si="742"/>
        <v>0</v>
      </c>
      <c r="W11888">
        <f t="shared" si="743"/>
        <v>0</v>
      </c>
    </row>
    <row r="11889" spans="5:23" x14ac:dyDescent="0.25">
      <c r="E11889" s="4"/>
      <c r="F11889" s="4"/>
      <c r="G11889" s="33" t="str">
        <f>IFERROR(VLOOKUP($D11889,'Informations sur les produits'!$A$3:$H$10000,8,FALSE),"0")</f>
        <v>0</v>
      </c>
      <c r="K11889" s="4"/>
      <c r="L11889" s="33" t="str">
        <f>IFERROR(VLOOKUP($J11889,'Informations sur les produits'!$A$3:$H$10000,8,FALSE),"0")</f>
        <v>0</v>
      </c>
      <c r="N11889" s="8"/>
      <c r="O11889" s="33" t="str">
        <f>IFERROR(VLOOKUP($M11889,'Informations sur les produits'!$A$3:$H$10000,8,FALSE),"0")</f>
        <v>0</v>
      </c>
      <c r="P11889" s="33">
        <f t="shared" si="740"/>
        <v>0</v>
      </c>
      <c r="Q11889" s="31" t="str">
        <f t="shared" si="741"/>
        <v/>
      </c>
      <c r="R11889" s="32" t="str">
        <f>IFERROR(VLOOKUP($D11889,'Informations sur les produits'!$A$3:$B$15000,2,FALSE),"")</f>
        <v/>
      </c>
      <c r="V11889">
        <f t="shared" si="742"/>
        <v>0</v>
      </c>
      <c r="W11889">
        <f t="shared" si="743"/>
        <v>0</v>
      </c>
    </row>
    <row r="11890" spans="5:23" x14ac:dyDescent="0.25">
      <c r="E11890" s="4"/>
      <c r="F11890" s="4"/>
      <c r="G11890" s="33" t="str">
        <f>IFERROR(VLOOKUP($D11890,'Informations sur les produits'!$A$3:$H$10000,8,FALSE),"0")</f>
        <v>0</v>
      </c>
      <c r="K11890" s="4"/>
      <c r="L11890" s="33" t="str">
        <f>IFERROR(VLOOKUP($J11890,'Informations sur les produits'!$A$3:$H$10000,8,FALSE),"0")</f>
        <v>0</v>
      </c>
      <c r="N11890" s="8"/>
      <c r="O11890" s="33" t="str">
        <f>IFERROR(VLOOKUP($M11890,'Informations sur les produits'!$A$3:$H$10000,8,FALSE),"0")</f>
        <v>0</v>
      </c>
      <c r="P11890" s="33">
        <f t="shared" si="740"/>
        <v>0</v>
      </c>
      <c r="Q11890" s="31" t="str">
        <f t="shared" si="741"/>
        <v/>
      </c>
      <c r="R11890" s="32" t="str">
        <f>IFERROR(VLOOKUP($D11890,'Informations sur les produits'!$A$3:$B$15000,2,FALSE),"")</f>
        <v/>
      </c>
      <c r="V11890">
        <f t="shared" si="742"/>
        <v>0</v>
      </c>
      <c r="W11890">
        <f t="shared" si="743"/>
        <v>0</v>
      </c>
    </row>
    <row r="11891" spans="5:23" x14ac:dyDescent="0.25">
      <c r="E11891" s="4"/>
      <c r="F11891" s="4"/>
      <c r="G11891" s="33" t="str">
        <f>IFERROR(VLOOKUP($D11891,'Informations sur les produits'!$A$3:$H$10000,8,FALSE),"0")</f>
        <v>0</v>
      </c>
      <c r="K11891" s="4"/>
      <c r="L11891" s="33" t="str">
        <f>IFERROR(VLOOKUP($J11891,'Informations sur les produits'!$A$3:$H$10000,8,FALSE),"0")</f>
        <v>0</v>
      </c>
      <c r="N11891" s="8"/>
      <c r="O11891" s="33" t="str">
        <f>IFERROR(VLOOKUP($M11891,'Informations sur les produits'!$A$3:$H$10000,8,FALSE),"0")</f>
        <v>0</v>
      </c>
      <c r="P11891" s="33">
        <f t="shared" si="740"/>
        <v>0</v>
      </c>
      <c r="Q11891" s="31" t="str">
        <f t="shared" si="741"/>
        <v/>
      </c>
      <c r="R11891" s="32" t="str">
        <f>IFERROR(VLOOKUP($D11891,'Informations sur les produits'!$A$3:$B$15000,2,FALSE),"")</f>
        <v/>
      </c>
      <c r="V11891">
        <f t="shared" si="742"/>
        <v>0</v>
      </c>
      <c r="W11891">
        <f t="shared" si="743"/>
        <v>0</v>
      </c>
    </row>
    <row r="11892" spans="5:23" x14ac:dyDescent="0.25">
      <c r="E11892" s="4"/>
      <c r="F11892" s="4"/>
      <c r="G11892" s="33" t="str">
        <f>IFERROR(VLOOKUP($D11892,'Informations sur les produits'!$A$3:$H$10000,8,FALSE),"0")</f>
        <v>0</v>
      </c>
      <c r="K11892" s="4"/>
      <c r="L11892" s="33" t="str">
        <f>IFERROR(VLOOKUP($J11892,'Informations sur les produits'!$A$3:$H$10000,8,FALSE),"0")</f>
        <v>0</v>
      </c>
      <c r="N11892" s="8"/>
      <c r="O11892" s="33" t="str">
        <f>IFERROR(VLOOKUP($M11892,'Informations sur les produits'!$A$3:$H$10000,8,FALSE),"0")</f>
        <v>0</v>
      </c>
      <c r="P11892" s="33">
        <f t="shared" si="740"/>
        <v>0</v>
      </c>
      <c r="Q11892" s="31" t="str">
        <f t="shared" si="741"/>
        <v/>
      </c>
      <c r="R11892" s="32" t="str">
        <f>IFERROR(VLOOKUP($D11892,'Informations sur les produits'!$A$3:$B$15000,2,FALSE),"")</f>
        <v/>
      </c>
      <c r="V11892">
        <f t="shared" si="742"/>
        <v>0</v>
      </c>
      <c r="W11892">
        <f t="shared" si="743"/>
        <v>0</v>
      </c>
    </row>
    <row r="11893" spans="5:23" x14ac:dyDescent="0.25">
      <c r="E11893" s="4"/>
      <c r="F11893" s="4"/>
      <c r="G11893" s="33" t="str">
        <f>IFERROR(VLOOKUP($D11893,'Informations sur les produits'!$A$3:$H$10000,8,FALSE),"0")</f>
        <v>0</v>
      </c>
      <c r="K11893" s="4"/>
      <c r="L11893" s="33" t="str">
        <f>IFERROR(VLOOKUP($J11893,'Informations sur les produits'!$A$3:$H$10000,8,FALSE),"0")</f>
        <v>0</v>
      </c>
      <c r="N11893" s="8"/>
      <c r="O11893" s="33" t="str">
        <f>IFERROR(VLOOKUP($M11893,'Informations sur les produits'!$A$3:$H$10000,8,FALSE),"0")</f>
        <v>0</v>
      </c>
      <c r="P11893" s="33">
        <f t="shared" si="740"/>
        <v>0</v>
      </c>
      <c r="Q11893" s="31" t="str">
        <f t="shared" si="741"/>
        <v/>
      </c>
      <c r="R11893" s="32" t="str">
        <f>IFERROR(VLOOKUP($D11893,'Informations sur les produits'!$A$3:$B$15000,2,FALSE),"")</f>
        <v/>
      </c>
      <c r="V11893">
        <f t="shared" si="742"/>
        <v>0</v>
      </c>
      <c r="W11893">
        <f t="shared" si="743"/>
        <v>0</v>
      </c>
    </row>
    <row r="11894" spans="5:23" x14ac:dyDescent="0.25">
      <c r="E11894" s="4"/>
      <c r="F11894" s="4"/>
      <c r="G11894" s="33" t="str">
        <f>IFERROR(VLOOKUP($D11894,'Informations sur les produits'!$A$3:$H$10000,8,FALSE),"0")</f>
        <v>0</v>
      </c>
      <c r="K11894" s="4"/>
      <c r="L11894" s="33" t="str">
        <f>IFERROR(VLOOKUP($J11894,'Informations sur les produits'!$A$3:$H$10000,8,FALSE),"0")</f>
        <v>0</v>
      </c>
      <c r="N11894" s="8"/>
      <c r="O11894" s="33" t="str">
        <f>IFERROR(VLOOKUP($M11894,'Informations sur les produits'!$A$3:$H$10000,8,FALSE),"0")</f>
        <v>0</v>
      </c>
      <c r="P11894" s="33">
        <f t="shared" si="740"/>
        <v>0</v>
      </c>
      <c r="Q11894" s="31" t="str">
        <f t="shared" si="741"/>
        <v/>
      </c>
      <c r="R11894" s="32" t="str">
        <f>IFERROR(VLOOKUP($D11894,'Informations sur les produits'!$A$3:$B$15000,2,FALSE),"")</f>
        <v/>
      </c>
      <c r="V11894">
        <f t="shared" si="742"/>
        <v>0</v>
      </c>
      <c r="W11894">
        <f t="shared" si="743"/>
        <v>0</v>
      </c>
    </row>
    <row r="11895" spans="5:23" x14ac:dyDescent="0.25">
      <c r="E11895" s="4"/>
      <c r="F11895" s="4"/>
      <c r="G11895" s="33" t="str">
        <f>IFERROR(VLOOKUP($D11895,'Informations sur les produits'!$A$3:$H$10000,8,FALSE),"0")</f>
        <v>0</v>
      </c>
      <c r="K11895" s="4"/>
      <c r="L11895" s="33" t="str">
        <f>IFERROR(VLOOKUP($J11895,'Informations sur les produits'!$A$3:$H$10000,8,FALSE),"0")</f>
        <v>0</v>
      </c>
      <c r="N11895" s="8"/>
      <c r="O11895" s="33" t="str">
        <f>IFERROR(VLOOKUP($M11895,'Informations sur les produits'!$A$3:$H$10000,8,FALSE),"0")</f>
        <v>0</v>
      </c>
      <c r="P11895" s="33">
        <f t="shared" si="740"/>
        <v>0</v>
      </c>
      <c r="Q11895" s="31" t="str">
        <f t="shared" si="741"/>
        <v/>
      </c>
      <c r="R11895" s="32" t="str">
        <f>IFERROR(VLOOKUP($D11895,'Informations sur les produits'!$A$3:$B$15000,2,FALSE),"")</f>
        <v/>
      </c>
      <c r="V11895">
        <f t="shared" si="742"/>
        <v>0</v>
      </c>
      <c r="W11895">
        <f t="shared" si="743"/>
        <v>0</v>
      </c>
    </row>
    <row r="11896" spans="5:23" x14ac:dyDescent="0.25">
      <c r="E11896" s="4"/>
      <c r="F11896" s="4"/>
      <c r="G11896" s="33" t="str">
        <f>IFERROR(VLOOKUP($D11896,'Informations sur les produits'!$A$3:$H$10000,8,FALSE),"0")</f>
        <v>0</v>
      </c>
      <c r="K11896" s="4"/>
      <c r="L11896" s="33" t="str">
        <f>IFERROR(VLOOKUP($J11896,'Informations sur les produits'!$A$3:$H$10000,8,FALSE),"0")</f>
        <v>0</v>
      </c>
      <c r="N11896" s="8"/>
      <c r="O11896" s="33" t="str">
        <f>IFERROR(VLOOKUP($M11896,'Informations sur les produits'!$A$3:$H$10000,8,FALSE),"0")</f>
        <v>0</v>
      </c>
      <c r="P11896" s="33">
        <f t="shared" si="740"/>
        <v>0</v>
      </c>
      <c r="Q11896" s="31" t="str">
        <f t="shared" si="741"/>
        <v/>
      </c>
      <c r="R11896" s="32" t="str">
        <f>IFERROR(VLOOKUP($D11896,'Informations sur les produits'!$A$3:$B$15000,2,FALSE),"")</f>
        <v/>
      </c>
      <c r="V11896">
        <f t="shared" si="742"/>
        <v>0</v>
      </c>
      <c r="W11896">
        <f t="shared" si="743"/>
        <v>0</v>
      </c>
    </row>
    <row r="11897" spans="5:23" x14ac:dyDescent="0.25">
      <c r="E11897" s="4"/>
      <c r="F11897" s="4"/>
      <c r="G11897" s="33" t="str">
        <f>IFERROR(VLOOKUP($D11897,'Informations sur les produits'!$A$3:$H$10000,8,FALSE),"0")</f>
        <v>0</v>
      </c>
      <c r="K11897" s="4"/>
      <c r="L11897" s="33" t="str">
        <f>IFERROR(VLOOKUP($J11897,'Informations sur les produits'!$A$3:$H$10000,8,FALSE),"0")</f>
        <v>0</v>
      </c>
      <c r="N11897" s="8"/>
      <c r="O11897" s="33" t="str">
        <f>IFERROR(VLOOKUP($M11897,'Informations sur les produits'!$A$3:$H$10000,8,FALSE),"0")</f>
        <v>0</v>
      </c>
      <c r="P11897" s="33">
        <f t="shared" si="740"/>
        <v>0</v>
      </c>
      <c r="Q11897" s="31" t="str">
        <f t="shared" si="741"/>
        <v/>
      </c>
      <c r="R11897" s="32" t="str">
        <f>IFERROR(VLOOKUP($D11897,'Informations sur les produits'!$A$3:$B$15000,2,FALSE),"")</f>
        <v/>
      </c>
      <c r="V11897">
        <f t="shared" si="742"/>
        <v>0</v>
      </c>
      <c r="W11897">
        <f t="shared" si="743"/>
        <v>0</v>
      </c>
    </row>
    <row r="11898" spans="5:23" x14ac:dyDescent="0.25">
      <c r="E11898" s="4"/>
      <c r="F11898" s="4"/>
      <c r="G11898" s="33" t="str">
        <f>IFERROR(VLOOKUP($D11898,'Informations sur les produits'!$A$3:$H$10000,8,FALSE),"0")</f>
        <v>0</v>
      </c>
      <c r="K11898" s="4"/>
      <c r="L11898" s="33" t="str">
        <f>IFERROR(VLOOKUP($J11898,'Informations sur les produits'!$A$3:$H$10000,8,FALSE),"0")</f>
        <v>0</v>
      </c>
      <c r="N11898" s="8"/>
      <c r="O11898" s="33" t="str">
        <f>IFERROR(VLOOKUP($M11898,'Informations sur les produits'!$A$3:$H$10000,8,FALSE),"0")</f>
        <v>0</v>
      </c>
      <c r="P11898" s="33">
        <f t="shared" si="740"/>
        <v>0</v>
      </c>
      <c r="Q11898" s="31" t="str">
        <f t="shared" si="741"/>
        <v/>
      </c>
      <c r="R11898" s="32" t="str">
        <f>IFERROR(VLOOKUP($D11898,'Informations sur les produits'!$A$3:$B$15000,2,FALSE),"")</f>
        <v/>
      </c>
      <c r="V11898">
        <f t="shared" si="742"/>
        <v>0</v>
      </c>
      <c r="W11898">
        <f t="shared" si="743"/>
        <v>0</v>
      </c>
    </row>
    <row r="11899" spans="5:23" x14ac:dyDescent="0.25">
      <c r="E11899" s="4"/>
      <c r="F11899" s="4"/>
      <c r="G11899" s="33" t="str">
        <f>IFERROR(VLOOKUP($D11899,'Informations sur les produits'!$A$3:$H$10000,8,FALSE),"0")</f>
        <v>0</v>
      </c>
      <c r="K11899" s="4"/>
      <c r="L11899" s="33" t="str">
        <f>IFERROR(VLOOKUP($J11899,'Informations sur les produits'!$A$3:$H$10000,8,FALSE),"0")</f>
        <v>0</v>
      </c>
      <c r="N11899" s="8"/>
      <c r="O11899" s="33" t="str">
        <f>IFERROR(VLOOKUP($M11899,'Informations sur les produits'!$A$3:$H$10000,8,FALSE),"0")</f>
        <v>0</v>
      </c>
      <c r="P11899" s="33">
        <f t="shared" si="740"/>
        <v>0</v>
      </c>
      <c r="Q11899" s="31" t="str">
        <f t="shared" si="741"/>
        <v/>
      </c>
      <c r="R11899" s="32" t="str">
        <f>IFERROR(VLOOKUP($D11899,'Informations sur les produits'!$A$3:$B$15000,2,FALSE),"")</f>
        <v/>
      </c>
      <c r="V11899">
        <f t="shared" si="742"/>
        <v>0</v>
      </c>
      <c r="W11899">
        <f t="shared" si="743"/>
        <v>0</v>
      </c>
    </row>
    <row r="11900" spans="5:23" x14ac:dyDescent="0.25">
      <c r="E11900" s="4"/>
      <c r="F11900" s="4"/>
      <c r="G11900" s="33" t="str">
        <f>IFERROR(VLOOKUP($D11900,'Informations sur les produits'!$A$3:$H$10000,8,FALSE),"0")</f>
        <v>0</v>
      </c>
      <c r="K11900" s="4"/>
      <c r="L11900" s="33" t="str">
        <f>IFERROR(VLOOKUP($J11900,'Informations sur les produits'!$A$3:$H$10000,8,FALSE),"0")</f>
        <v>0</v>
      </c>
      <c r="N11900" s="8"/>
      <c r="O11900" s="33" t="str">
        <f>IFERROR(VLOOKUP($M11900,'Informations sur les produits'!$A$3:$H$10000,8,FALSE),"0")</f>
        <v>0</v>
      </c>
      <c r="P11900" s="33">
        <f t="shared" si="740"/>
        <v>0</v>
      </c>
      <c r="Q11900" s="31" t="str">
        <f t="shared" si="741"/>
        <v/>
      </c>
      <c r="R11900" s="32" t="str">
        <f>IFERROR(VLOOKUP($D11900,'Informations sur les produits'!$A$3:$B$15000,2,FALSE),"")</f>
        <v/>
      </c>
      <c r="V11900">
        <f t="shared" si="742"/>
        <v>0</v>
      </c>
      <c r="W11900">
        <f t="shared" si="743"/>
        <v>0</v>
      </c>
    </row>
    <row r="11901" spans="5:23" x14ac:dyDescent="0.25">
      <c r="E11901" s="4"/>
      <c r="F11901" s="4"/>
      <c r="G11901" s="33" t="str">
        <f>IFERROR(VLOOKUP($D11901,'Informations sur les produits'!$A$3:$H$10000,8,FALSE),"0")</f>
        <v>0</v>
      </c>
      <c r="K11901" s="4"/>
      <c r="L11901" s="33" t="str">
        <f>IFERROR(VLOOKUP($J11901,'Informations sur les produits'!$A$3:$H$10000,8,FALSE),"0")</f>
        <v>0</v>
      </c>
      <c r="N11901" s="8"/>
      <c r="O11901" s="33" t="str">
        <f>IFERROR(VLOOKUP($M11901,'Informations sur les produits'!$A$3:$H$10000,8,FALSE),"0")</f>
        <v>0</v>
      </c>
      <c r="P11901" s="33">
        <f t="shared" si="740"/>
        <v>0</v>
      </c>
      <c r="Q11901" s="31" t="str">
        <f t="shared" si="741"/>
        <v/>
      </c>
      <c r="R11901" s="32" t="str">
        <f>IFERROR(VLOOKUP($D11901,'Informations sur les produits'!$A$3:$B$15000,2,FALSE),"")</f>
        <v/>
      </c>
      <c r="V11901">
        <f t="shared" si="742"/>
        <v>0</v>
      </c>
      <c r="W11901">
        <f t="shared" si="743"/>
        <v>0</v>
      </c>
    </row>
    <row r="11902" spans="5:23" x14ac:dyDescent="0.25">
      <c r="E11902" s="4"/>
      <c r="F11902" s="4"/>
      <c r="G11902" s="33" t="str">
        <f>IFERROR(VLOOKUP($D11902,'Informations sur les produits'!$A$3:$H$10000,8,FALSE),"0")</f>
        <v>0</v>
      </c>
      <c r="K11902" s="4"/>
      <c r="L11902" s="33" t="str">
        <f>IFERROR(VLOOKUP($J11902,'Informations sur les produits'!$A$3:$H$10000,8,FALSE),"0")</f>
        <v>0</v>
      </c>
      <c r="N11902" s="8"/>
      <c r="O11902" s="33" t="str">
        <f>IFERROR(VLOOKUP($M11902,'Informations sur les produits'!$A$3:$H$10000,8,FALSE),"0")</f>
        <v>0</v>
      </c>
      <c r="P11902" s="33">
        <f t="shared" si="740"/>
        <v>0</v>
      </c>
      <c r="Q11902" s="31" t="str">
        <f t="shared" si="741"/>
        <v/>
      </c>
      <c r="R11902" s="32" t="str">
        <f>IFERROR(VLOOKUP($D11902,'Informations sur les produits'!$A$3:$B$15000,2,FALSE),"")</f>
        <v/>
      </c>
      <c r="V11902">
        <f t="shared" si="742"/>
        <v>0</v>
      </c>
      <c r="W11902">
        <f t="shared" si="743"/>
        <v>0</v>
      </c>
    </row>
    <row r="11903" spans="5:23" x14ac:dyDescent="0.25">
      <c r="E11903" s="4"/>
      <c r="F11903" s="4"/>
      <c r="G11903" s="33" t="str">
        <f>IFERROR(VLOOKUP($D11903,'Informations sur les produits'!$A$3:$H$10000,8,FALSE),"0")</f>
        <v>0</v>
      </c>
      <c r="K11903" s="4"/>
      <c r="L11903" s="33" t="str">
        <f>IFERROR(VLOOKUP($J11903,'Informations sur les produits'!$A$3:$H$10000,8,FALSE),"0")</f>
        <v>0</v>
      </c>
      <c r="N11903" s="8"/>
      <c r="O11903" s="33" t="str">
        <f>IFERROR(VLOOKUP($M11903,'Informations sur les produits'!$A$3:$H$10000,8,FALSE),"0")</f>
        <v>0</v>
      </c>
      <c r="P11903" s="33">
        <f t="shared" si="740"/>
        <v>0</v>
      </c>
      <c r="Q11903" s="31" t="str">
        <f t="shared" si="741"/>
        <v/>
      </c>
      <c r="R11903" s="32" t="str">
        <f>IFERROR(VLOOKUP($D11903,'Informations sur les produits'!$A$3:$B$15000,2,FALSE),"")</f>
        <v/>
      </c>
      <c r="V11903">
        <f t="shared" si="742"/>
        <v>0</v>
      </c>
      <c r="W11903">
        <f t="shared" si="743"/>
        <v>0</v>
      </c>
    </row>
    <row r="11904" spans="5:23" x14ac:dyDescent="0.25">
      <c r="E11904" s="4"/>
      <c r="F11904" s="4"/>
      <c r="G11904" s="33" t="str">
        <f>IFERROR(VLOOKUP($D11904,'Informations sur les produits'!$A$3:$H$10000,8,FALSE),"0")</f>
        <v>0</v>
      </c>
      <c r="K11904" s="4"/>
      <c r="L11904" s="33" t="str">
        <f>IFERROR(VLOOKUP($J11904,'Informations sur les produits'!$A$3:$H$10000,8,FALSE),"0")</f>
        <v>0</v>
      </c>
      <c r="N11904" s="8"/>
      <c r="O11904" s="33" t="str">
        <f>IFERROR(VLOOKUP($M11904,'Informations sur les produits'!$A$3:$H$10000,8,FALSE),"0")</f>
        <v>0</v>
      </c>
      <c r="P11904" s="33">
        <f t="shared" si="740"/>
        <v>0</v>
      </c>
      <c r="Q11904" s="31" t="str">
        <f t="shared" si="741"/>
        <v/>
      </c>
      <c r="R11904" s="32" t="str">
        <f>IFERROR(VLOOKUP($D11904,'Informations sur les produits'!$A$3:$B$15000,2,FALSE),"")</f>
        <v/>
      </c>
      <c r="V11904">
        <f t="shared" si="742"/>
        <v>0</v>
      </c>
      <c r="W11904">
        <f t="shared" si="743"/>
        <v>0</v>
      </c>
    </row>
    <row r="11905" spans="5:23" x14ac:dyDescent="0.25">
      <c r="E11905" s="4"/>
      <c r="F11905" s="4"/>
      <c r="G11905" s="33" t="str">
        <f>IFERROR(VLOOKUP($D11905,'Informations sur les produits'!$A$3:$H$10000,8,FALSE),"0")</f>
        <v>0</v>
      </c>
      <c r="K11905" s="4"/>
      <c r="L11905" s="33" t="str">
        <f>IFERROR(VLOOKUP($J11905,'Informations sur les produits'!$A$3:$H$10000,8,FALSE),"0")</f>
        <v>0</v>
      </c>
      <c r="N11905" s="8"/>
      <c r="O11905" s="33" t="str">
        <f>IFERROR(VLOOKUP($M11905,'Informations sur les produits'!$A$3:$H$10000,8,FALSE),"0")</f>
        <v>0</v>
      </c>
      <c r="P11905" s="33">
        <f t="shared" si="740"/>
        <v>0</v>
      </c>
      <c r="Q11905" s="31" t="str">
        <f t="shared" si="741"/>
        <v/>
      </c>
      <c r="R11905" s="32" t="str">
        <f>IFERROR(VLOOKUP($D11905,'Informations sur les produits'!$A$3:$B$15000,2,FALSE),"")</f>
        <v/>
      </c>
      <c r="V11905">
        <f t="shared" si="742"/>
        <v>0</v>
      </c>
      <c r="W11905">
        <f t="shared" si="743"/>
        <v>0</v>
      </c>
    </row>
    <row r="11906" spans="5:23" x14ac:dyDescent="0.25">
      <c r="E11906" s="4"/>
      <c r="F11906" s="4"/>
      <c r="G11906" s="33" t="str">
        <f>IFERROR(VLOOKUP($D11906,'Informations sur les produits'!$A$3:$H$10000,8,FALSE),"0")</f>
        <v>0</v>
      </c>
      <c r="K11906" s="4"/>
      <c r="L11906" s="33" t="str">
        <f>IFERROR(VLOOKUP($J11906,'Informations sur les produits'!$A$3:$H$10000,8,FALSE),"0")</f>
        <v>0</v>
      </c>
      <c r="N11906" s="8"/>
      <c r="O11906" s="33" t="str">
        <f>IFERROR(VLOOKUP($M11906,'Informations sur les produits'!$A$3:$H$10000,8,FALSE),"0")</f>
        <v>0</v>
      </c>
      <c r="P11906" s="33">
        <f t="shared" si="740"/>
        <v>0</v>
      </c>
      <c r="Q11906" s="31" t="str">
        <f t="shared" si="741"/>
        <v/>
      </c>
      <c r="R11906" s="32" t="str">
        <f>IFERROR(VLOOKUP($D11906,'Informations sur les produits'!$A$3:$B$15000,2,FALSE),"")</f>
        <v/>
      </c>
      <c r="V11906">
        <f t="shared" si="742"/>
        <v>0</v>
      </c>
      <c r="W11906">
        <f t="shared" si="743"/>
        <v>0</v>
      </c>
    </row>
    <row r="11907" spans="5:23" x14ac:dyDescent="0.25">
      <c r="E11907" s="4"/>
      <c r="F11907" s="4"/>
      <c r="G11907" s="33" t="str">
        <f>IFERROR(VLOOKUP($D11907,'Informations sur les produits'!$A$3:$H$10000,8,FALSE),"0")</f>
        <v>0</v>
      </c>
      <c r="K11907" s="4"/>
      <c r="L11907" s="33" t="str">
        <f>IFERROR(VLOOKUP($J11907,'Informations sur les produits'!$A$3:$H$10000,8,FALSE),"0")</f>
        <v>0</v>
      </c>
      <c r="N11907" s="8"/>
      <c r="O11907" s="33" t="str">
        <f>IFERROR(VLOOKUP($M11907,'Informations sur les produits'!$A$3:$H$10000,8,FALSE),"0")</f>
        <v>0</v>
      </c>
      <c r="P11907" s="33">
        <f t="shared" si="740"/>
        <v>0</v>
      </c>
      <c r="Q11907" s="31" t="str">
        <f t="shared" si="741"/>
        <v/>
      </c>
      <c r="R11907" s="32" t="str">
        <f>IFERROR(VLOOKUP($D11907,'Informations sur les produits'!$A$3:$B$15000,2,FALSE),"")</f>
        <v/>
      </c>
      <c r="V11907">
        <f t="shared" si="742"/>
        <v>0</v>
      </c>
      <c r="W11907">
        <f t="shared" si="743"/>
        <v>0</v>
      </c>
    </row>
    <row r="11908" spans="5:23" x14ac:dyDescent="0.25">
      <c r="E11908" s="4"/>
      <c r="F11908" s="4"/>
      <c r="G11908" s="33" t="str">
        <f>IFERROR(VLOOKUP($D11908,'Informations sur les produits'!$A$3:$H$10000,8,FALSE),"0")</f>
        <v>0</v>
      </c>
      <c r="K11908" s="4"/>
      <c r="L11908" s="33" t="str">
        <f>IFERROR(VLOOKUP($J11908,'Informations sur les produits'!$A$3:$H$10000,8,FALSE),"0")</f>
        <v>0</v>
      </c>
      <c r="N11908" s="8"/>
      <c r="O11908" s="33" t="str">
        <f>IFERROR(VLOOKUP($M11908,'Informations sur les produits'!$A$3:$H$10000,8,FALSE),"0")</f>
        <v>0</v>
      </c>
      <c r="P11908" s="33">
        <f t="shared" ref="P11908:P11971" si="744">IFERROR((($E11908-$F11908)*$G11908+$K11908*$L11908+$N11908*$O11908),"")</f>
        <v>0</v>
      </c>
      <c r="Q11908" s="31" t="str">
        <f t="shared" ref="Q11908:Q11971" si="745">IFERROR((((($E11908-$F11908)*$G11908+$K11908*$L11908+$N11908*$O11908)*1000)/(($E11908-$F11908)+$K11908+$N11908)),"")</f>
        <v/>
      </c>
      <c r="R11908" s="32" t="str">
        <f>IFERROR(VLOOKUP($D11908,'Informations sur les produits'!$A$3:$B$15000,2,FALSE),"")</f>
        <v/>
      </c>
      <c r="V11908">
        <f t="shared" ref="V11908:V11971" si="746">IFERROR(P11908*1000,"")</f>
        <v>0</v>
      </c>
      <c r="W11908">
        <f t="shared" ref="W11908:W11971" si="747">IFERROR(($E11908-$F11908)+$K11908+$N11908,"")</f>
        <v>0</v>
      </c>
    </row>
    <row r="11909" spans="5:23" x14ac:dyDescent="0.25">
      <c r="E11909" s="4"/>
      <c r="F11909" s="4"/>
      <c r="G11909" s="33" t="str">
        <f>IFERROR(VLOOKUP($D11909,'Informations sur les produits'!$A$3:$H$10000,8,FALSE),"0")</f>
        <v>0</v>
      </c>
      <c r="K11909" s="4"/>
      <c r="L11909" s="33" t="str">
        <f>IFERROR(VLOOKUP($J11909,'Informations sur les produits'!$A$3:$H$10000,8,FALSE),"0")</f>
        <v>0</v>
      </c>
      <c r="N11909" s="8"/>
      <c r="O11909" s="33" t="str">
        <f>IFERROR(VLOOKUP($M11909,'Informations sur les produits'!$A$3:$H$10000,8,FALSE),"0")</f>
        <v>0</v>
      </c>
      <c r="P11909" s="33">
        <f t="shared" si="744"/>
        <v>0</v>
      </c>
      <c r="Q11909" s="31" t="str">
        <f t="shared" si="745"/>
        <v/>
      </c>
      <c r="R11909" s="32" t="str">
        <f>IFERROR(VLOOKUP($D11909,'Informations sur les produits'!$A$3:$B$15000,2,FALSE),"")</f>
        <v/>
      </c>
      <c r="V11909">
        <f t="shared" si="746"/>
        <v>0</v>
      </c>
      <c r="W11909">
        <f t="shared" si="747"/>
        <v>0</v>
      </c>
    </row>
    <row r="11910" spans="5:23" x14ac:dyDescent="0.25">
      <c r="E11910" s="4"/>
      <c r="F11910" s="4"/>
      <c r="G11910" s="33" t="str">
        <f>IFERROR(VLOOKUP($D11910,'Informations sur les produits'!$A$3:$H$10000,8,FALSE),"0")</f>
        <v>0</v>
      </c>
      <c r="K11910" s="4"/>
      <c r="L11910" s="33" t="str">
        <f>IFERROR(VLOOKUP($J11910,'Informations sur les produits'!$A$3:$H$10000,8,FALSE),"0")</f>
        <v>0</v>
      </c>
      <c r="N11910" s="8"/>
      <c r="O11910" s="33" t="str">
        <f>IFERROR(VLOOKUP($M11910,'Informations sur les produits'!$A$3:$H$10000,8,FALSE),"0")</f>
        <v>0</v>
      </c>
      <c r="P11910" s="33">
        <f t="shared" si="744"/>
        <v>0</v>
      </c>
      <c r="Q11910" s="31" t="str">
        <f t="shared" si="745"/>
        <v/>
      </c>
      <c r="R11910" s="32" t="str">
        <f>IFERROR(VLOOKUP($D11910,'Informations sur les produits'!$A$3:$B$15000,2,FALSE),"")</f>
        <v/>
      </c>
      <c r="V11910">
        <f t="shared" si="746"/>
        <v>0</v>
      </c>
      <c r="W11910">
        <f t="shared" si="747"/>
        <v>0</v>
      </c>
    </row>
    <row r="11911" spans="5:23" x14ac:dyDescent="0.25">
      <c r="E11911" s="4"/>
      <c r="F11911" s="4"/>
      <c r="G11911" s="33" t="str">
        <f>IFERROR(VLOOKUP($D11911,'Informations sur les produits'!$A$3:$H$10000,8,FALSE),"0")</f>
        <v>0</v>
      </c>
      <c r="K11911" s="4"/>
      <c r="L11911" s="33" t="str">
        <f>IFERROR(VLOOKUP($J11911,'Informations sur les produits'!$A$3:$H$10000,8,FALSE),"0")</f>
        <v>0</v>
      </c>
      <c r="N11911" s="8"/>
      <c r="O11911" s="33" t="str">
        <f>IFERROR(VLOOKUP($M11911,'Informations sur les produits'!$A$3:$H$10000,8,FALSE),"0")</f>
        <v>0</v>
      </c>
      <c r="P11911" s="33">
        <f t="shared" si="744"/>
        <v>0</v>
      </c>
      <c r="Q11911" s="31" t="str">
        <f t="shared" si="745"/>
        <v/>
      </c>
      <c r="R11911" s="32" t="str">
        <f>IFERROR(VLOOKUP($D11911,'Informations sur les produits'!$A$3:$B$15000,2,FALSE),"")</f>
        <v/>
      </c>
      <c r="V11911">
        <f t="shared" si="746"/>
        <v>0</v>
      </c>
      <c r="W11911">
        <f t="shared" si="747"/>
        <v>0</v>
      </c>
    </row>
    <row r="11912" spans="5:23" x14ac:dyDescent="0.25">
      <c r="E11912" s="4"/>
      <c r="F11912" s="4"/>
      <c r="G11912" s="33" t="str">
        <f>IFERROR(VLOOKUP($D11912,'Informations sur les produits'!$A$3:$H$10000,8,FALSE),"0")</f>
        <v>0</v>
      </c>
      <c r="K11912" s="4"/>
      <c r="L11912" s="33" t="str">
        <f>IFERROR(VLOOKUP($J11912,'Informations sur les produits'!$A$3:$H$10000,8,FALSE),"0")</f>
        <v>0</v>
      </c>
      <c r="N11912" s="8"/>
      <c r="O11912" s="33" t="str">
        <f>IFERROR(VLOOKUP($M11912,'Informations sur les produits'!$A$3:$H$10000,8,FALSE),"0")</f>
        <v>0</v>
      </c>
      <c r="P11912" s="33">
        <f t="shared" si="744"/>
        <v>0</v>
      </c>
      <c r="Q11912" s="31" t="str">
        <f t="shared" si="745"/>
        <v/>
      </c>
      <c r="R11912" s="32" t="str">
        <f>IFERROR(VLOOKUP($D11912,'Informations sur les produits'!$A$3:$B$15000,2,FALSE),"")</f>
        <v/>
      </c>
      <c r="V11912">
        <f t="shared" si="746"/>
        <v>0</v>
      </c>
      <c r="W11912">
        <f t="shared" si="747"/>
        <v>0</v>
      </c>
    </row>
    <row r="11913" spans="5:23" x14ac:dyDescent="0.25">
      <c r="E11913" s="4"/>
      <c r="F11913" s="4"/>
      <c r="G11913" s="33" t="str">
        <f>IFERROR(VLOOKUP($D11913,'Informations sur les produits'!$A$3:$H$10000,8,FALSE),"0")</f>
        <v>0</v>
      </c>
      <c r="K11913" s="4"/>
      <c r="L11913" s="33" t="str">
        <f>IFERROR(VLOOKUP($J11913,'Informations sur les produits'!$A$3:$H$10000,8,FALSE),"0")</f>
        <v>0</v>
      </c>
      <c r="N11913" s="8"/>
      <c r="O11913" s="33" t="str">
        <f>IFERROR(VLOOKUP($M11913,'Informations sur les produits'!$A$3:$H$10000,8,FALSE),"0")</f>
        <v>0</v>
      </c>
      <c r="P11913" s="33">
        <f t="shared" si="744"/>
        <v>0</v>
      </c>
      <c r="Q11913" s="31" t="str">
        <f t="shared" si="745"/>
        <v/>
      </c>
      <c r="R11913" s="32" t="str">
        <f>IFERROR(VLOOKUP($D11913,'Informations sur les produits'!$A$3:$B$15000,2,FALSE),"")</f>
        <v/>
      </c>
      <c r="V11913">
        <f t="shared" si="746"/>
        <v>0</v>
      </c>
      <c r="W11913">
        <f t="shared" si="747"/>
        <v>0</v>
      </c>
    </row>
    <row r="11914" spans="5:23" x14ac:dyDescent="0.25">
      <c r="E11914" s="4"/>
      <c r="F11914" s="4"/>
      <c r="G11914" s="33" t="str">
        <f>IFERROR(VLOOKUP($D11914,'Informations sur les produits'!$A$3:$H$10000,8,FALSE),"0")</f>
        <v>0</v>
      </c>
      <c r="K11914" s="4"/>
      <c r="L11914" s="33" t="str">
        <f>IFERROR(VLOOKUP($J11914,'Informations sur les produits'!$A$3:$H$10000,8,FALSE),"0")</f>
        <v>0</v>
      </c>
      <c r="N11914" s="8"/>
      <c r="O11914" s="33" t="str">
        <f>IFERROR(VLOOKUP($M11914,'Informations sur les produits'!$A$3:$H$10000,8,FALSE),"0")</f>
        <v>0</v>
      </c>
      <c r="P11914" s="33">
        <f t="shared" si="744"/>
        <v>0</v>
      </c>
      <c r="Q11914" s="31" t="str">
        <f t="shared" si="745"/>
        <v/>
      </c>
      <c r="R11914" s="32" t="str">
        <f>IFERROR(VLOOKUP($D11914,'Informations sur les produits'!$A$3:$B$15000,2,FALSE),"")</f>
        <v/>
      </c>
      <c r="V11914">
        <f t="shared" si="746"/>
        <v>0</v>
      </c>
      <c r="W11914">
        <f t="shared" si="747"/>
        <v>0</v>
      </c>
    </row>
    <row r="11915" spans="5:23" x14ac:dyDescent="0.25">
      <c r="E11915" s="4"/>
      <c r="F11915" s="4"/>
      <c r="G11915" s="33" t="str">
        <f>IFERROR(VLOOKUP($D11915,'Informations sur les produits'!$A$3:$H$10000,8,FALSE),"0")</f>
        <v>0</v>
      </c>
      <c r="K11915" s="4"/>
      <c r="L11915" s="33" t="str">
        <f>IFERROR(VLOOKUP($J11915,'Informations sur les produits'!$A$3:$H$10000,8,FALSE),"0")</f>
        <v>0</v>
      </c>
      <c r="N11915" s="8"/>
      <c r="O11915" s="33" t="str">
        <f>IFERROR(VLOOKUP($M11915,'Informations sur les produits'!$A$3:$H$10000,8,FALSE),"0")</f>
        <v>0</v>
      </c>
      <c r="P11915" s="33">
        <f t="shared" si="744"/>
        <v>0</v>
      </c>
      <c r="Q11915" s="31" t="str">
        <f t="shared" si="745"/>
        <v/>
      </c>
      <c r="R11915" s="32" t="str">
        <f>IFERROR(VLOOKUP($D11915,'Informations sur les produits'!$A$3:$B$15000,2,FALSE),"")</f>
        <v/>
      </c>
      <c r="V11915">
        <f t="shared" si="746"/>
        <v>0</v>
      </c>
      <c r="W11915">
        <f t="shared" si="747"/>
        <v>0</v>
      </c>
    </row>
    <row r="11916" spans="5:23" x14ac:dyDescent="0.25">
      <c r="E11916" s="4"/>
      <c r="F11916" s="4"/>
      <c r="G11916" s="33" t="str">
        <f>IFERROR(VLOOKUP($D11916,'Informations sur les produits'!$A$3:$H$10000,8,FALSE),"0")</f>
        <v>0</v>
      </c>
      <c r="K11916" s="4"/>
      <c r="L11916" s="33" t="str">
        <f>IFERROR(VLOOKUP($J11916,'Informations sur les produits'!$A$3:$H$10000,8,FALSE),"0")</f>
        <v>0</v>
      </c>
      <c r="N11916" s="8"/>
      <c r="O11916" s="33" t="str">
        <f>IFERROR(VLOOKUP($M11916,'Informations sur les produits'!$A$3:$H$10000,8,FALSE),"0")</f>
        <v>0</v>
      </c>
      <c r="P11916" s="33">
        <f t="shared" si="744"/>
        <v>0</v>
      </c>
      <c r="Q11916" s="31" t="str">
        <f t="shared" si="745"/>
        <v/>
      </c>
      <c r="R11916" s="32" t="str">
        <f>IFERROR(VLOOKUP($D11916,'Informations sur les produits'!$A$3:$B$15000,2,FALSE),"")</f>
        <v/>
      </c>
      <c r="V11916">
        <f t="shared" si="746"/>
        <v>0</v>
      </c>
      <c r="W11916">
        <f t="shared" si="747"/>
        <v>0</v>
      </c>
    </row>
    <row r="11917" spans="5:23" x14ac:dyDescent="0.25">
      <c r="E11917" s="4"/>
      <c r="F11917" s="4"/>
      <c r="G11917" s="33" t="str">
        <f>IFERROR(VLOOKUP($D11917,'Informations sur les produits'!$A$3:$H$10000,8,FALSE),"0")</f>
        <v>0</v>
      </c>
      <c r="K11917" s="4"/>
      <c r="L11917" s="33" t="str">
        <f>IFERROR(VLOOKUP($J11917,'Informations sur les produits'!$A$3:$H$10000,8,FALSE),"0")</f>
        <v>0</v>
      </c>
      <c r="N11917" s="8"/>
      <c r="O11917" s="33" t="str">
        <f>IFERROR(VLOOKUP($M11917,'Informations sur les produits'!$A$3:$H$10000,8,FALSE),"0")</f>
        <v>0</v>
      </c>
      <c r="P11917" s="33">
        <f t="shared" si="744"/>
        <v>0</v>
      </c>
      <c r="Q11917" s="31" t="str">
        <f t="shared" si="745"/>
        <v/>
      </c>
      <c r="R11917" s="32" t="str">
        <f>IFERROR(VLOOKUP($D11917,'Informations sur les produits'!$A$3:$B$15000,2,FALSE),"")</f>
        <v/>
      </c>
      <c r="V11917">
        <f t="shared" si="746"/>
        <v>0</v>
      </c>
      <c r="W11917">
        <f t="shared" si="747"/>
        <v>0</v>
      </c>
    </row>
    <row r="11918" spans="5:23" x14ac:dyDescent="0.25">
      <c r="E11918" s="4"/>
      <c r="F11918" s="4"/>
      <c r="G11918" s="33" t="str">
        <f>IFERROR(VLOOKUP($D11918,'Informations sur les produits'!$A$3:$H$10000,8,FALSE),"0")</f>
        <v>0</v>
      </c>
      <c r="K11918" s="4"/>
      <c r="L11918" s="33" t="str">
        <f>IFERROR(VLOOKUP($J11918,'Informations sur les produits'!$A$3:$H$10000,8,FALSE),"0")</f>
        <v>0</v>
      </c>
      <c r="N11918" s="8"/>
      <c r="O11918" s="33" t="str">
        <f>IFERROR(VLOOKUP($M11918,'Informations sur les produits'!$A$3:$H$10000,8,FALSE),"0")</f>
        <v>0</v>
      </c>
      <c r="P11918" s="33">
        <f t="shared" si="744"/>
        <v>0</v>
      </c>
      <c r="Q11918" s="31" t="str">
        <f t="shared" si="745"/>
        <v/>
      </c>
      <c r="R11918" s="32" t="str">
        <f>IFERROR(VLOOKUP($D11918,'Informations sur les produits'!$A$3:$B$15000,2,FALSE),"")</f>
        <v/>
      </c>
      <c r="V11918">
        <f t="shared" si="746"/>
        <v>0</v>
      </c>
      <c r="W11918">
        <f t="shared" si="747"/>
        <v>0</v>
      </c>
    </row>
    <row r="11919" spans="5:23" x14ac:dyDescent="0.25">
      <c r="E11919" s="4"/>
      <c r="F11919" s="4"/>
      <c r="G11919" s="33" t="str">
        <f>IFERROR(VLOOKUP($D11919,'Informations sur les produits'!$A$3:$H$10000,8,FALSE),"0")</f>
        <v>0</v>
      </c>
      <c r="K11919" s="4"/>
      <c r="L11919" s="33" t="str">
        <f>IFERROR(VLOOKUP($J11919,'Informations sur les produits'!$A$3:$H$10000,8,FALSE),"0")</f>
        <v>0</v>
      </c>
      <c r="N11919" s="8"/>
      <c r="O11919" s="33" t="str">
        <f>IFERROR(VLOOKUP($M11919,'Informations sur les produits'!$A$3:$H$10000,8,FALSE),"0")</f>
        <v>0</v>
      </c>
      <c r="P11919" s="33">
        <f t="shared" si="744"/>
        <v>0</v>
      </c>
      <c r="Q11919" s="31" t="str">
        <f t="shared" si="745"/>
        <v/>
      </c>
      <c r="R11919" s="32" t="str">
        <f>IFERROR(VLOOKUP($D11919,'Informations sur les produits'!$A$3:$B$15000,2,FALSE),"")</f>
        <v/>
      </c>
      <c r="V11919">
        <f t="shared" si="746"/>
        <v>0</v>
      </c>
      <c r="W11919">
        <f t="shared" si="747"/>
        <v>0</v>
      </c>
    </row>
    <row r="11920" spans="5:23" x14ac:dyDescent="0.25">
      <c r="E11920" s="4"/>
      <c r="F11920" s="4"/>
      <c r="G11920" s="33" t="str">
        <f>IFERROR(VLOOKUP($D11920,'Informations sur les produits'!$A$3:$H$10000,8,FALSE),"0")</f>
        <v>0</v>
      </c>
      <c r="K11920" s="4"/>
      <c r="L11920" s="33" t="str">
        <f>IFERROR(VLOOKUP($J11920,'Informations sur les produits'!$A$3:$H$10000,8,FALSE),"0")</f>
        <v>0</v>
      </c>
      <c r="N11920" s="8"/>
      <c r="O11920" s="33" t="str">
        <f>IFERROR(VLOOKUP($M11920,'Informations sur les produits'!$A$3:$H$10000,8,FALSE),"0")</f>
        <v>0</v>
      </c>
      <c r="P11920" s="33">
        <f t="shared" si="744"/>
        <v>0</v>
      </c>
      <c r="Q11920" s="31" t="str">
        <f t="shared" si="745"/>
        <v/>
      </c>
      <c r="R11920" s="32" t="str">
        <f>IFERROR(VLOOKUP($D11920,'Informations sur les produits'!$A$3:$B$15000,2,FALSE),"")</f>
        <v/>
      </c>
      <c r="V11920">
        <f t="shared" si="746"/>
        <v>0</v>
      </c>
      <c r="W11920">
        <f t="shared" si="747"/>
        <v>0</v>
      </c>
    </row>
    <row r="11921" spans="5:23" x14ac:dyDescent="0.25">
      <c r="E11921" s="4"/>
      <c r="F11921" s="4"/>
      <c r="G11921" s="33" t="str">
        <f>IFERROR(VLOOKUP($D11921,'Informations sur les produits'!$A$3:$H$10000,8,FALSE),"0")</f>
        <v>0</v>
      </c>
      <c r="K11921" s="4"/>
      <c r="L11921" s="33" t="str">
        <f>IFERROR(VLOOKUP($J11921,'Informations sur les produits'!$A$3:$H$10000,8,FALSE),"0")</f>
        <v>0</v>
      </c>
      <c r="N11921" s="8"/>
      <c r="O11921" s="33" t="str">
        <f>IFERROR(VLOOKUP($M11921,'Informations sur les produits'!$A$3:$H$10000,8,FALSE),"0")</f>
        <v>0</v>
      </c>
      <c r="P11921" s="33">
        <f t="shared" si="744"/>
        <v>0</v>
      </c>
      <c r="Q11921" s="31" t="str">
        <f t="shared" si="745"/>
        <v/>
      </c>
      <c r="R11921" s="32" t="str">
        <f>IFERROR(VLOOKUP($D11921,'Informations sur les produits'!$A$3:$B$15000,2,FALSE),"")</f>
        <v/>
      </c>
      <c r="V11921">
        <f t="shared" si="746"/>
        <v>0</v>
      </c>
      <c r="W11921">
        <f t="shared" si="747"/>
        <v>0</v>
      </c>
    </row>
    <row r="11922" spans="5:23" x14ac:dyDescent="0.25">
      <c r="E11922" s="4"/>
      <c r="F11922" s="4"/>
      <c r="G11922" s="33" t="str">
        <f>IFERROR(VLOOKUP($D11922,'Informations sur les produits'!$A$3:$H$10000,8,FALSE),"0")</f>
        <v>0</v>
      </c>
      <c r="K11922" s="4"/>
      <c r="L11922" s="33" t="str">
        <f>IFERROR(VLOOKUP($J11922,'Informations sur les produits'!$A$3:$H$10000,8,FALSE),"0")</f>
        <v>0</v>
      </c>
      <c r="N11922" s="8"/>
      <c r="O11922" s="33" t="str">
        <f>IFERROR(VLOOKUP($M11922,'Informations sur les produits'!$A$3:$H$10000,8,FALSE),"0")</f>
        <v>0</v>
      </c>
      <c r="P11922" s="33">
        <f t="shared" si="744"/>
        <v>0</v>
      </c>
      <c r="Q11922" s="31" t="str">
        <f t="shared" si="745"/>
        <v/>
      </c>
      <c r="R11922" s="32" t="str">
        <f>IFERROR(VLOOKUP($D11922,'Informations sur les produits'!$A$3:$B$15000,2,FALSE),"")</f>
        <v/>
      </c>
      <c r="V11922">
        <f t="shared" si="746"/>
        <v>0</v>
      </c>
      <c r="W11922">
        <f t="shared" si="747"/>
        <v>0</v>
      </c>
    </row>
    <row r="11923" spans="5:23" x14ac:dyDescent="0.25">
      <c r="E11923" s="4"/>
      <c r="F11923" s="4"/>
      <c r="G11923" s="33" t="str">
        <f>IFERROR(VLOOKUP($D11923,'Informations sur les produits'!$A$3:$H$10000,8,FALSE),"0")</f>
        <v>0</v>
      </c>
      <c r="K11923" s="4"/>
      <c r="L11923" s="33" t="str">
        <f>IFERROR(VLOOKUP($J11923,'Informations sur les produits'!$A$3:$H$10000,8,FALSE),"0")</f>
        <v>0</v>
      </c>
      <c r="N11923" s="8"/>
      <c r="O11923" s="33" t="str">
        <f>IFERROR(VLOOKUP($M11923,'Informations sur les produits'!$A$3:$H$10000,8,FALSE),"0")</f>
        <v>0</v>
      </c>
      <c r="P11923" s="33">
        <f t="shared" si="744"/>
        <v>0</v>
      </c>
      <c r="Q11923" s="31" t="str">
        <f t="shared" si="745"/>
        <v/>
      </c>
      <c r="R11923" s="32" t="str">
        <f>IFERROR(VLOOKUP($D11923,'Informations sur les produits'!$A$3:$B$15000,2,FALSE),"")</f>
        <v/>
      </c>
      <c r="V11923">
        <f t="shared" si="746"/>
        <v>0</v>
      </c>
      <c r="W11923">
        <f t="shared" si="747"/>
        <v>0</v>
      </c>
    </row>
    <row r="11924" spans="5:23" x14ac:dyDescent="0.25">
      <c r="E11924" s="4"/>
      <c r="F11924" s="4"/>
      <c r="G11924" s="33" t="str">
        <f>IFERROR(VLOOKUP($D11924,'Informations sur les produits'!$A$3:$H$10000,8,FALSE),"0")</f>
        <v>0</v>
      </c>
      <c r="K11924" s="4"/>
      <c r="L11924" s="33" t="str">
        <f>IFERROR(VLOOKUP($J11924,'Informations sur les produits'!$A$3:$H$10000,8,FALSE),"0")</f>
        <v>0</v>
      </c>
      <c r="N11924" s="8"/>
      <c r="O11924" s="33" t="str">
        <f>IFERROR(VLOOKUP($M11924,'Informations sur les produits'!$A$3:$H$10000,8,FALSE),"0")</f>
        <v>0</v>
      </c>
      <c r="P11924" s="33">
        <f t="shared" si="744"/>
        <v>0</v>
      </c>
      <c r="Q11924" s="31" t="str">
        <f t="shared" si="745"/>
        <v/>
      </c>
      <c r="R11924" s="32" t="str">
        <f>IFERROR(VLOOKUP($D11924,'Informations sur les produits'!$A$3:$B$15000,2,FALSE),"")</f>
        <v/>
      </c>
      <c r="V11924">
        <f t="shared" si="746"/>
        <v>0</v>
      </c>
      <c r="W11924">
        <f t="shared" si="747"/>
        <v>0</v>
      </c>
    </row>
    <row r="11925" spans="5:23" x14ac:dyDescent="0.25">
      <c r="E11925" s="4"/>
      <c r="F11925" s="4"/>
      <c r="G11925" s="33" t="str">
        <f>IFERROR(VLOOKUP($D11925,'Informations sur les produits'!$A$3:$H$10000,8,FALSE),"0")</f>
        <v>0</v>
      </c>
      <c r="K11925" s="4"/>
      <c r="L11925" s="33" t="str">
        <f>IFERROR(VLOOKUP($J11925,'Informations sur les produits'!$A$3:$H$10000,8,FALSE),"0")</f>
        <v>0</v>
      </c>
      <c r="N11925" s="8"/>
      <c r="O11925" s="33" t="str">
        <f>IFERROR(VLOOKUP($M11925,'Informations sur les produits'!$A$3:$H$10000,8,FALSE),"0")</f>
        <v>0</v>
      </c>
      <c r="P11925" s="33">
        <f t="shared" si="744"/>
        <v>0</v>
      </c>
      <c r="Q11925" s="31" t="str">
        <f t="shared" si="745"/>
        <v/>
      </c>
      <c r="R11925" s="32" t="str">
        <f>IFERROR(VLOOKUP($D11925,'Informations sur les produits'!$A$3:$B$15000,2,FALSE),"")</f>
        <v/>
      </c>
      <c r="V11925">
        <f t="shared" si="746"/>
        <v>0</v>
      </c>
      <c r="W11925">
        <f t="shared" si="747"/>
        <v>0</v>
      </c>
    </row>
    <row r="11926" spans="5:23" x14ac:dyDescent="0.25">
      <c r="E11926" s="4"/>
      <c r="F11926" s="4"/>
      <c r="G11926" s="33" t="str">
        <f>IFERROR(VLOOKUP($D11926,'Informations sur les produits'!$A$3:$H$10000,8,FALSE),"0")</f>
        <v>0</v>
      </c>
      <c r="K11926" s="4"/>
      <c r="L11926" s="33" t="str">
        <f>IFERROR(VLOOKUP($J11926,'Informations sur les produits'!$A$3:$H$10000,8,FALSE),"0")</f>
        <v>0</v>
      </c>
      <c r="N11926" s="8"/>
      <c r="O11926" s="33" t="str">
        <f>IFERROR(VLOOKUP($M11926,'Informations sur les produits'!$A$3:$H$10000,8,FALSE),"0")</f>
        <v>0</v>
      </c>
      <c r="P11926" s="33">
        <f t="shared" si="744"/>
        <v>0</v>
      </c>
      <c r="Q11926" s="31" t="str">
        <f t="shared" si="745"/>
        <v/>
      </c>
      <c r="R11926" s="32" t="str">
        <f>IFERROR(VLOOKUP($D11926,'Informations sur les produits'!$A$3:$B$15000,2,FALSE),"")</f>
        <v/>
      </c>
      <c r="V11926">
        <f t="shared" si="746"/>
        <v>0</v>
      </c>
      <c r="W11926">
        <f t="shared" si="747"/>
        <v>0</v>
      </c>
    </row>
    <row r="11927" spans="5:23" x14ac:dyDescent="0.25">
      <c r="E11927" s="4"/>
      <c r="F11927" s="4"/>
      <c r="G11927" s="33" t="str">
        <f>IFERROR(VLOOKUP($D11927,'Informations sur les produits'!$A$3:$H$10000,8,FALSE),"0")</f>
        <v>0</v>
      </c>
      <c r="K11927" s="4"/>
      <c r="L11927" s="33" t="str">
        <f>IFERROR(VLOOKUP($J11927,'Informations sur les produits'!$A$3:$H$10000,8,FALSE),"0")</f>
        <v>0</v>
      </c>
      <c r="N11927" s="8"/>
      <c r="O11927" s="33" t="str">
        <f>IFERROR(VLOOKUP($M11927,'Informations sur les produits'!$A$3:$H$10000,8,FALSE),"0")</f>
        <v>0</v>
      </c>
      <c r="P11927" s="33">
        <f t="shared" si="744"/>
        <v>0</v>
      </c>
      <c r="Q11927" s="31" t="str">
        <f t="shared" si="745"/>
        <v/>
      </c>
      <c r="R11927" s="32" t="str">
        <f>IFERROR(VLOOKUP($D11927,'Informations sur les produits'!$A$3:$B$15000,2,FALSE),"")</f>
        <v/>
      </c>
      <c r="V11927">
        <f t="shared" si="746"/>
        <v>0</v>
      </c>
      <c r="W11927">
        <f t="shared" si="747"/>
        <v>0</v>
      </c>
    </row>
    <row r="11928" spans="5:23" x14ac:dyDescent="0.25">
      <c r="E11928" s="4"/>
      <c r="F11928" s="4"/>
      <c r="G11928" s="33" t="str">
        <f>IFERROR(VLOOKUP($D11928,'Informations sur les produits'!$A$3:$H$10000,8,FALSE),"0")</f>
        <v>0</v>
      </c>
      <c r="K11928" s="4"/>
      <c r="L11928" s="33" t="str">
        <f>IFERROR(VLOOKUP($J11928,'Informations sur les produits'!$A$3:$H$10000,8,FALSE),"0")</f>
        <v>0</v>
      </c>
      <c r="N11928" s="8"/>
      <c r="O11928" s="33" t="str">
        <f>IFERROR(VLOOKUP($M11928,'Informations sur les produits'!$A$3:$H$10000,8,FALSE),"0")</f>
        <v>0</v>
      </c>
      <c r="P11928" s="33">
        <f t="shared" si="744"/>
        <v>0</v>
      </c>
      <c r="Q11928" s="31" t="str">
        <f t="shared" si="745"/>
        <v/>
      </c>
      <c r="R11928" s="32" t="str">
        <f>IFERROR(VLOOKUP($D11928,'Informations sur les produits'!$A$3:$B$15000,2,FALSE),"")</f>
        <v/>
      </c>
      <c r="V11928">
        <f t="shared" si="746"/>
        <v>0</v>
      </c>
      <c r="W11928">
        <f t="shared" si="747"/>
        <v>0</v>
      </c>
    </row>
    <row r="11929" spans="5:23" x14ac:dyDescent="0.25">
      <c r="E11929" s="4"/>
      <c r="F11929" s="4"/>
      <c r="G11929" s="33" t="str">
        <f>IFERROR(VLOOKUP($D11929,'Informations sur les produits'!$A$3:$H$10000,8,FALSE),"0")</f>
        <v>0</v>
      </c>
      <c r="K11929" s="4"/>
      <c r="L11929" s="33" t="str">
        <f>IFERROR(VLOOKUP($J11929,'Informations sur les produits'!$A$3:$H$10000,8,FALSE),"0")</f>
        <v>0</v>
      </c>
      <c r="N11929" s="8"/>
      <c r="O11929" s="33" t="str">
        <f>IFERROR(VLOOKUP($M11929,'Informations sur les produits'!$A$3:$H$10000,8,FALSE),"0")</f>
        <v>0</v>
      </c>
      <c r="P11929" s="33">
        <f t="shared" si="744"/>
        <v>0</v>
      </c>
      <c r="Q11929" s="31" t="str">
        <f t="shared" si="745"/>
        <v/>
      </c>
      <c r="R11929" s="32" t="str">
        <f>IFERROR(VLOOKUP($D11929,'Informations sur les produits'!$A$3:$B$15000,2,FALSE),"")</f>
        <v/>
      </c>
      <c r="V11929">
        <f t="shared" si="746"/>
        <v>0</v>
      </c>
      <c r="W11929">
        <f t="shared" si="747"/>
        <v>0</v>
      </c>
    </row>
    <row r="11930" spans="5:23" x14ac:dyDescent="0.25">
      <c r="E11930" s="4"/>
      <c r="F11930" s="4"/>
      <c r="G11930" s="33" t="str">
        <f>IFERROR(VLOOKUP($D11930,'Informations sur les produits'!$A$3:$H$10000,8,FALSE),"0")</f>
        <v>0</v>
      </c>
      <c r="K11930" s="4"/>
      <c r="L11930" s="33" t="str">
        <f>IFERROR(VLOOKUP($J11930,'Informations sur les produits'!$A$3:$H$10000,8,FALSE),"0")</f>
        <v>0</v>
      </c>
      <c r="N11930" s="8"/>
      <c r="O11930" s="33" t="str">
        <f>IFERROR(VLOOKUP($M11930,'Informations sur les produits'!$A$3:$H$10000,8,FALSE),"0")</f>
        <v>0</v>
      </c>
      <c r="P11930" s="33">
        <f t="shared" si="744"/>
        <v>0</v>
      </c>
      <c r="Q11930" s="31" t="str">
        <f t="shared" si="745"/>
        <v/>
      </c>
      <c r="R11930" s="32" t="str">
        <f>IFERROR(VLOOKUP($D11930,'Informations sur les produits'!$A$3:$B$15000,2,FALSE),"")</f>
        <v/>
      </c>
      <c r="V11930">
        <f t="shared" si="746"/>
        <v>0</v>
      </c>
      <c r="W11930">
        <f t="shared" si="747"/>
        <v>0</v>
      </c>
    </row>
    <row r="11931" spans="5:23" x14ac:dyDescent="0.25">
      <c r="E11931" s="4"/>
      <c r="F11931" s="4"/>
      <c r="G11931" s="33" t="str">
        <f>IFERROR(VLOOKUP($D11931,'Informations sur les produits'!$A$3:$H$10000,8,FALSE),"0")</f>
        <v>0</v>
      </c>
      <c r="K11931" s="4"/>
      <c r="L11931" s="33" t="str">
        <f>IFERROR(VLOOKUP($J11931,'Informations sur les produits'!$A$3:$H$10000,8,FALSE),"0")</f>
        <v>0</v>
      </c>
      <c r="N11931" s="8"/>
      <c r="O11931" s="33" t="str">
        <f>IFERROR(VLOOKUP($M11931,'Informations sur les produits'!$A$3:$H$10000,8,FALSE),"0")</f>
        <v>0</v>
      </c>
      <c r="P11931" s="33">
        <f t="shared" si="744"/>
        <v>0</v>
      </c>
      <c r="Q11931" s="31" t="str">
        <f t="shared" si="745"/>
        <v/>
      </c>
      <c r="R11931" s="32" t="str">
        <f>IFERROR(VLOOKUP($D11931,'Informations sur les produits'!$A$3:$B$15000,2,FALSE),"")</f>
        <v/>
      </c>
      <c r="V11931">
        <f t="shared" si="746"/>
        <v>0</v>
      </c>
      <c r="W11931">
        <f t="shared" si="747"/>
        <v>0</v>
      </c>
    </row>
    <row r="11932" spans="5:23" x14ac:dyDescent="0.25">
      <c r="E11932" s="4"/>
      <c r="F11932" s="4"/>
      <c r="G11932" s="33" t="str">
        <f>IFERROR(VLOOKUP($D11932,'Informations sur les produits'!$A$3:$H$10000,8,FALSE),"0")</f>
        <v>0</v>
      </c>
      <c r="K11932" s="4"/>
      <c r="L11932" s="33" t="str">
        <f>IFERROR(VLOOKUP($J11932,'Informations sur les produits'!$A$3:$H$10000,8,FALSE),"0")</f>
        <v>0</v>
      </c>
      <c r="N11932" s="8"/>
      <c r="O11932" s="33" t="str">
        <f>IFERROR(VLOOKUP($M11932,'Informations sur les produits'!$A$3:$H$10000,8,FALSE),"0")</f>
        <v>0</v>
      </c>
      <c r="P11932" s="33">
        <f t="shared" si="744"/>
        <v>0</v>
      </c>
      <c r="Q11932" s="31" t="str">
        <f t="shared" si="745"/>
        <v/>
      </c>
      <c r="R11932" s="32" t="str">
        <f>IFERROR(VLOOKUP($D11932,'Informations sur les produits'!$A$3:$B$15000,2,FALSE),"")</f>
        <v/>
      </c>
      <c r="V11932">
        <f t="shared" si="746"/>
        <v>0</v>
      </c>
      <c r="W11932">
        <f t="shared" si="747"/>
        <v>0</v>
      </c>
    </row>
    <row r="11933" spans="5:23" x14ac:dyDescent="0.25">
      <c r="E11933" s="4"/>
      <c r="F11933" s="4"/>
      <c r="G11933" s="33" t="str">
        <f>IFERROR(VLOOKUP($D11933,'Informations sur les produits'!$A$3:$H$10000,8,FALSE),"0")</f>
        <v>0</v>
      </c>
      <c r="K11933" s="4"/>
      <c r="L11933" s="33" t="str">
        <f>IFERROR(VLOOKUP($J11933,'Informations sur les produits'!$A$3:$H$10000,8,FALSE),"0")</f>
        <v>0</v>
      </c>
      <c r="N11933" s="8"/>
      <c r="O11933" s="33" t="str">
        <f>IFERROR(VLOOKUP($M11933,'Informations sur les produits'!$A$3:$H$10000,8,FALSE),"0")</f>
        <v>0</v>
      </c>
      <c r="P11933" s="33">
        <f t="shared" si="744"/>
        <v>0</v>
      </c>
      <c r="Q11933" s="31" t="str">
        <f t="shared" si="745"/>
        <v/>
      </c>
      <c r="R11933" s="32" t="str">
        <f>IFERROR(VLOOKUP($D11933,'Informations sur les produits'!$A$3:$B$15000,2,FALSE),"")</f>
        <v/>
      </c>
      <c r="V11933">
        <f t="shared" si="746"/>
        <v>0</v>
      </c>
      <c r="W11933">
        <f t="shared" si="747"/>
        <v>0</v>
      </c>
    </row>
    <row r="11934" spans="5:23" x14ac:dyDescent="0.25">
      <c r="E11934" s="4"/>
      <c r="F11934" s="4"/>
      <c r="G11934" s="33" t="str">
        <f>IFERROR(VLOOKUP($D11934,'Informations sur les produits'!$A$3:$H$10000,8,FALSE),"0")</f>
        <v>0</v>
      </c>
      <c r="K11934" s="4"/>
      <c r="L11934" s="33" t="str">
        <f>IFERROR(VLOOKUP($J11934,'Informations sur les produits'!$A$3:$H$10000,8,FALSE),"0")</f>
        <v>0</v>
      </c>
      <c r="N11934" s="8"/>
      <c r="O11934" s="33" t="str">
        <f>IFERROR(VLOOKUP($M11934,'Informations sur les produits'!$A$3:$H$10000,8,FALSE),"0")</f>
        <v>0</v>
      </c>
      <c r="P11934" s="33">
        <f t="shared" si="744"/>
        <v>0</v>
      </c>
      <c r="Q11934" s="31" t="str">
        <f t="shared" si="745"/>
        <v/>
      </c>
      <c r="R11934" s="32" t="str">
        <f>IFERROR(VLOOKUP($D11934,'Informations sur les produits'!$A$3:$B$15000,2,FALSE),"")</f>
        <v/>
      </c>
      <c r="V11934">
        <f t="shared" si="746"/>
        <v>0</v>
      </c>
      <c r="W11934">
        <f t="shared" si="747"/>
        <v>0</v>
      </c>
    </row>
    <row r="11935" spans="5:23" x14ac:dyDescent="0.25">
      <c r="E11935" s="4"/>
      <c r="F11935" s="4"/>
      <c r="G11935" s="33" t="str">
        <f>IFERROR(VLOOKUP($D11935,'Informations sur les produits'!$A$3:$H$10000,8,FALSE),"0")</f>
        <v>0</v>
      </c>
      <c r="K11935" s="4"/>
      <c r="L11935" s="33" t="str">
        <f>IFERROR(VLOOKUP($J11935,'Informations sur les produits'!$A$3:$H$10000,8,FALSE),"0")</f>
        <v>0</v>
      </c>
      <c r="N11935" s="8"/>
      <c r="O11935" s="33" t="str">
        <f>IFERROR(VLOOKUP($M11935,'Informations sur les produits'!$A$3:$H$10000,8,FALSE),"0")</f>
        <v>0</v>
      </c>
      <c r="P11935" s="33">
        <f t="shared" si="744"/>
        <v>0</v>
      </c>
      <c r="Q11935" s="31" t="str">
        <f t="shared" si="745"/>
        <v/>
      </c>
      <c r="R11935" s="32" t="str">
        <f>IFERROR(VLOOKUP($D11935,'Informations sur les produits'!$A$3:$B$15000,2,FALSE),"")</f>
        <v/>
      </c>
      <c r="V11935">
        <f t="shared" si="746"/>
        <v>0</v>
      </c>
      <c r="W11935">
        <f t="shared" si="747"/>
        <v>0</v>
      </c>
    </row>
    <row r="11936" spans="5:23" x14ac:dyDescent="0.25">
      <c r="E11936" s="4"/>
      <c r="F11936" s="4"/>
      <c r="G11936" s="33" t="str">
        <f>IFERROR(VLOOKUP($D11936,'Informations sur les produits'!$A$3:$H$10000,8,FALSE),"0")</f>
        <v>0</v>
      </c>
      <c r="K11936" s="4"/>
      <c r="L11936" s="33" t="str">
        <f>IFERROR(VLOOKUP($J11936,'Informations sur les produits'!$A$3:$H$10000,8,FALSE),"0")</f>
        <v>0</v>
      </c>
      <c r="N11936" s="8"/>
      <c r="O11936" s="33" t="str">
        <f>IFERROR(VLOOKUP($M11936,'Informations sur les produits'!$A$3:$H$10000,8,FALSE),"0")</f>
        <v>0</v>
      </c>
      <c r="P11936" s="33">
        <f t="shared" si="744"/>
        <v>0</v>
      </c>
      <c r="Q11936" s="31" t="str">
        <f t="shared" si="745"/>
        <v/>
      </c>
      <c r="R11936" s="32" t="str">
        <f>IFERROR(VLOOKUP($D11936,'Informations sur les produits'!$A$3:$B$15000,2,FALSE),"")</f>
        <v/>
      </c>
      <c r="V11936">
        <f t="shared" si="746"/>
        <v>0</v>
      </c>
      <c r="W11936">
        <f t="shared" si="747"/>
        <v>0</v>
      </c>
    </row>
    <row r="11937" spans="5:23" x14ac:dyDescent="0.25">
      <c r="E11937" s="4"/>
      <c r="F11937" s="4"/>
      <c r="G11937" s="33" t="str">
        <f>IFERROR(VLOOKUP($D11937,'Informations sur les produits'!$A$3:$H$10000,8,FALSE),"0")</f>
        <v>0</v>
      </c>
      <c r="K11937" s="4"/>
      <c r="L11937" s="33" t="str">
        <f>IFERROR(VLOOKUP($J11937,'Informations sur les produits'!$A$3:$H$10000,8,FALSE),"0")</f>
        <v>0</v>
      </c>
      <c r="N11937" s="8"/>
      <c r="O11937" s="33" t="str">
        <f>IFERROR(VLOOKUP($M11937,'Informations sur les produits'!$A$3:$H$10000,8,FALSE),"0")</f>
        <v>0</v>
      </c>
      <c r="P11937" s="33">
        <f t="shared" si="744"/>
        <v>0</v>
      </c>
      <c r="Q11937" s="31" t="str">
        <f t="shared" si="745"/>
        <v/>
      </c>
      <c r="R11937" s="32" t="str">
        <f>IFERROR(VLOOKUP($D11937,'Informations sur les produits'!$A$3:$B$15000,2,FALSE),"")</f>
        <v/>
      </c>
      <c r="V11937">
        <f t="shared" si="746"/>
        <v>0</v>
      </c>
      <c r="W11937">
        <f t="shared" si="747"/>
        <v>0</v>
      </c>
    </row>
    <row r="11938" spans="5:23" x14ac:dyDescent="0.25">
      <c r="E11938" s="4"/>
      <c r="F11938" s="4"/>
      <c r="G11938" s="33" t="str">
        <f>IFERROR(VLOOKUP($D11938,'Informations sur les produits'!$A$3:$H$10000,8,FALSE),"0")</f>
        <v>0</v>
      </c>
      <c r="K11938" s="4"/>
      <c r="L11938" s="33" t="str">
        <f>IFERROR(VLOOKUP($J11938,'Informations sur les produits'!$A$3:$H$10000,8,FALSE),"0")</f>
        <v>0</v>
      </c>
      <c r="N11938" s="8"/>
      <c r="O11938" s="33" t="str">
        <f>IFERROR(VLOOKUP($M11938,'Informations sur les produits'!$A$3:$H$10000,8,FALSE),"0")</f>
        <v>0</v>
      </c>
      <c r="P11938" s="33">
        <f t="shared" si="744"/>
        <v>0</v>
      </c>
      <c r="Q11938" s="31" t="str">
        <f t="shared" si="745"/>
        <v/>
      </c>
      <c r="R11938" s="32" t="str">
        <f>IFERROR(VLOOKUP($D11938,'Informations sur les produits'!$A$3:$B$15000,2,FALSE),"")</f>
        <v/>
      </c>
      <c r="V11938">
        <f t="shared" si="746"/>
        <v>0</v>
      </c>
      <c r="W11938">
        <f t="shared" si="747"/>
        <v>0</v>
      </c>
    </row>
    <row r="11939" spans="5:23" x14ac:dyDescent="0.25">
      <c r="E11939" s="4"/>
      <c r="F11939" s="4"/>
      <c r="G11939" s="33" t="str">
        <f>IFERROR(VLOOKUP($D11939,'Informations sur les produits'!$A$3:$H$10000,8,FALSE),"0")</f>
        <v>0</v>
      </c>
      <c r="K11939" s="4"/>
      <c r="L11939" s="33" t="str">
        <f>IFERROR(VLOOKUP($J11939,'Informations sur les produits'!$A$3:$H$10000,8,FALSE),"0")</f>
        <v>0</v>
      </c>
      <c r="N11939" s="8"/>
      <c r="O11939" s="33" t="str">
        <f>IFERROR(VLOOKUP($M11939,'Informations sur les produits'!$A$3:$H$10000,8,FALSE),"0")</f>
        <v>0</v>
      </c>
      <c r="P11939" s="33">
        <f t="shared" si="744"/>
        <v>0</v>
      </c>
      <c r="Q11939" s="31" t="str">
        <f t="shared" si="745"/>
        <v/>
      </c>
      <c r="R11939" s="32" t="str">
        <f>IFERROR(VLOOKUP($D11939,'Informations sur les produits'!$A$3:$B$15000,2,FALSE),"")</f>
        <v/>
      </c>
      <c r="V11939">
        <f t="shared" si="746"/>
        <v>0</v>
      </c>
      <c r="W11939">
        <f t="shared" si="747"/>
        <v>0</v>
      </c>
    </row>
    <row r="11940" spans="5:23" x14ac:dyDescent="0.25">
      <c r="E11940" s="4"/>
      <c r="F11940" s="4"/>
      <c r="G11940" s="33" t="str">
        <f>IFERROR(VLOOKUP($D11940,'Informations sur les produits'!$A$3:$H$10000,8,FALSE),"0")</f>
        <v>0</v>
      </c>
      <c r="K11940" s="4"/>
      <c r="L11940" s="33" t="str">
        <f>IFERROR(VLOOKUP($J11940,'Informations sur les produits'!$A$3:$H$10000,8,FALSE),"0")</f>
        <v>0</v>
      </c>
      <c r="N11940" s="8"/>
      <c r="O11940" s="33" t="str">
        <f>IFERROR(VLOOKUP($M11940,'Informations sur les produits'!$A$3:$H$10000,8,FALSE),"0")</f>
        <v>0</v>
      </c>
      <c r="P11940" s="33">
        <f t="shared" si="744"/>
        <v>0</v>
      </c>
      <c r="Q11940" s="31" t="str">
        <f t="shared" si="745"/>
        <v/>
      </c>
      <c r="R11940" s="32" t="str">
        <f>IFERROR(VLOOKUP($D11940,'Informations sur les produits'!$A$3:$B$15000,2,FALSE),"")</f>
        <v/>
      </c>
      <c r="V11940">
        <f t="shared" si="746"/>
        <v>0</v>
      </c>
      <c r="W11940">
        <f t="shared" si="747"/>
        <v>0</v>
      </c>
    </row>
    <row r="11941" spans="5:23" x14ac:dyDescent="0.25">
      <c r="E11941" s="4"/>
      <c r="F11941" s="4"/>
      <c r="G11941" s="33" t="str">
        <f>IFERROR(VLOOKUP($D11941,'Informations sur les produits'!$A$3:$H$10000,8,FALSE),"0")</f>
        <v>0</v>
      </c>
      <c r="K11941" s="4"/>
      <c r="L11941" s="33" t="str">
        <f>IFERROR(VLOOKUP($J11941,'Informations sur les produits'!$A$3:$H$10000,8,FALSE),"0")</f>
        <v>0</v>
      </c>
      <c r="N11941" s="8"/>
      <c r="O11941" s="33" t="str">
        <f>IFERROR(VLOOKUP($M11941,'Informations sur les produits'!$A$3:$H$10000,8,FALSE),"0")</f>
        <v>0</v>
      </c>
      <c r="P11941" s="33">
        <f t="shared" si="744"/>
        <v>0</v>
      </c>
      <c r="Q11941" s="31" t="str">
        <f t="shared" si="745"/>
        <v/>
      </c>
      <c r="R11941" s="32" t="str">
        <f>IFERROR(VLOOKUP($D11941,'Informations sur les produits'!$A$3:$B$15000,2,FALSE),"")</f>
        <v/>
      </c>
      <c r="V11941">
        <f t="shared" si="746"/>
        <v>0</v>
      </c>
      <c r="W11941">
        <f t="shared" si="747"/>
        <v>0</v>
      </c>
    </row>
    <row r="11942" spans="5:23" x14ac:dyDescent="0.25">
      <c r="E11942" s="4"/>
      <c r="F11942" s="4"/>
      <c r="G11942" s="33" t="str">
        <f>IFERROR(VLOOKUP($D11942,'Informations sur les produits'!$A$3:$H$10000,8,FALSE),"0")</f>
        <v>0</v>
      </c>
      <c r="K11942" s="4"/>
      <c r="L11942" s="33" t="str">
        <f>IFERROR(VLOOKUP($J11942,'Informations sur les produits'!$A$3:$H$10000,8,FALSE),"0")</f>
        <v>0</v>
      </c>
      <c r="N11942" s="8"/>
      <c r="O11942" s="33" t="str">
        <f>IFERROR(VLOOKUP($M11942,'Informations sur les produits'!$A$3:$H$10000,8,FALSE),"0")</f>
        <v>0</v>
      </c>
      <c r="P11942" s="33">
        <f t="shared" si="744"/>
        <v>0</v>
      </c>
      <c r="Q11942" s="31" t="str">
        <f t="shared" si="745"/>
        <v/>
      </c>
      <c r="R11942" s="32" t="str">
        <f>IFERROR(VLOOKUP($D11942,'Informations sur les produits'!$A$3:$B$15000,2,FALSE),"")</f>
        <v/>
      </c>
      <c r="V11942">
        <f t="shared" si="746"/>
        <v>0</v>
      </c>
      <c r="W11942">
        <f t="shared" si="747"/>
        <v>0</v>
      </c>
    </row>
    <row r="11943" spans="5:23" x14ac:dyDescent="0.25">
      <c r="E11943" s="4"/>
      <c r="F11943" s="4"/>
      <c r="G11943" s="33" t="str">
        <f>IFERROR(VLOOKUP($D11943,'Informations sur les produits'!$A$3:$H$10000,8,FALSE),"0")</f>
        <v>0</v>
      </c>
      <c r="K11943" s="4"/>
      <c r="L11943" s="33" t="str">
        <f>IFERROR(VLOOKUP($J11943,'Informations sur les produits'!$A$3:$H$10000,8,FALSE),"0")</f>
        <v>0</v>
      </c>
      <c r="N11943" s="8"/>
      <c r="O11943" s="33" t="str">
        <f>IFERROR(VLOOKUP($M11943,'Informations sur les produits'!$A$3:$H$10000,8,FALSE),"0")</f>
        <v>0</v>
      </c>
      <c r="P11943" s="33">
        <f t="shared" si="744"/>
        <v>0</v>
      </c>
      <c r="Q11943" s="31" t="str">
        <f t="shared" si="745"/>
        <v/>
      </c>
      <c r="R11943" s="32" t="str">
        <f>IFERROR(VLOOKUP($D11943,'Informations sur les produits'!$A$3:$B$15000,2,FALSE),"")</f>
        <v/>
      </c>
      <c r="V11943">
        <f t="shared" si="746"/>
        <v>0</v>
      </c>
      <c r="W11943">
        <f t="shared" si="747"/>
        <v>0</v>
      </c>
    </row>
    <row r="11944" spans="5:23" x14ac:dyDescent="0.25">
      <c r="E11944" s="4"/>
      <c r="F11944" s="4"/>
      <c r="G11944" s="33" t="str">
        <f>IFERROR(VLOOKUP($D11944,'Informations sur les produits'!$A$3:$H$10000,8,FALSE),"0")</f>
        <v>0</v>
      </c>
      <c r="K11944" s="4"/>
      <c r="L11944" s="33" t="str">
        <f>IFERROR(VLOOKUP($J11944,'Informations sur les produits'!$A$3:$H$10000,8,FALSE),"0")</f>
        <v>0</v>
      </c>
      <c r="N11944" s="8"/>
      <c r="O11944" s="33" t="str">
        <f>IFERROR(VLOOKUP($M11944,'Informations sur les produits'!$A$3:$H$10000,8,FALSE),"0")</f>
        <v>0</v>
      </c>
      <c r="P11944" s="33">
        <f t="shared" si="744"/>
        <v>0</v>
      </c>
      <c r="Q11944" s="31" t="str">
        <f t="shared" si="745"/>
        <v/>
      </c>
      <c r="R11944" s="32" t="str">
        <f>IFERROR(VLOOKUP($D11944,'Informations sur les produits'!$A$3:$B$15000,2,FALSE),"")</f>
        <v/>
      </c>
      <c r="V11944">
        <f t="shared" si="746"/>
        <v>0</v>
      </c>
      <c r="W11944">
        <f t="shared" si="747"/>
        <v>0</v>
      </c>
    </row>
    <row r="11945" spans="5:23" x14ac:dyDescent="0.25">
      <c r="E11945" s="4"/>
      <c r="F11945" s="4"/>
      <c r="G11945" s="33" t="str">
        <f>IFERROR(VLOOKUP($D11945,'Informations sur les produits'!$A$3:$H$10000,8,FALSE),"0")</f>
        <v>0</v>
      </c>
      <c r="K11945" s="4"/>
      <c r="L11945" s="33" t="str">
        <f>IFERROR(VLOOKUP($J11945,'Informations sur les produits'!$A$3:$H$10000,8,FALSE),"0")</f>
        <v>0</v>
      </c>
      <c r="N11945" s="8"/>
      <c r="O11945" s="33" t="str">
        <f>IFERROR(VLOOKUP($M11945,'Informations sur les produits'!$A$3:$H$10000,8,FALSE),"0")</f>
        <v>0</v>
      </c>
      <c r="P11945" s="33">
        <f t="shared" si="744"/>
        <v>0</v>
      </c>
      <c r="Q11945" s="31" t="str">
        <f t="shared" si="745"/>
        <v/>
      </c>
      <c r="R11945" s="32" t="str">
        <f>IFERROR(VLOOKUP($D11945,'Informations sur les produits'!$A$3:$B$15000,2,FALSE),"")</f>
        <v/>
      </c>
      <c r="V11945">
        <f t="shared" si="746"/>
        <v>0</v>
      </c>
      <c r="W11945">
        <f t="shared" si="747"/>
        <v>0</v>
      </c>
    </row>
    <row r="11946" spans="5:23" x14ac:dyDescent="0.25">
      <c r="E11946" s="4"/>
      <c r="F11946" s="4"/>
      <c r="G11946" s="33" t="str">
        <f>IFERROR(VLOOKUP($D11946,'Informations sur les produits'!$A$3:$H$10000,8,FALSE),"0")</f>
        <v>0</v>
      </c>
      <c r="K11946" s="4"/>
      <c r="L11946" s="33" t="str">
        <f>IFERROR(VLOOKUP($J11946,'Informations sur les produits'!$A$3:$H$10000,8,FALSE),"0")</f>
        <v>0</v>
      </c>
      <c r="N11946" s="8"/>
      <c r="O11946" s="33" t="str">
        <f>IFERROR(VLOOKUP($M11946,'Informations sur les produits'!$A$3:$H$10000,8,FALSE),"0")</f>
        <v>0</v>
      </c>
      <c r="P11946" s="33">
        <f t="shared" si="744"/>
        <v>0</v>
      </c>
      <c r="Q11946" s="31" t="str">
        <f t="shared" si="745"/>
        <v/>
      </c>
      <c r="R11946" s="32" t="str">
        <f>IFERROR(VLOOKUP($D11946,'Informations sur les produits'!$A$3:$B$15000,2,FALSE),"")</f>
        <v/>
      </c>
      <c r="V11946">
        <f t="shared" si="746"/>
        <v>0</v>
      </c>
      <c r="W11946">
        <f t="shared" si="747"/>
        <v>0</v>
      </c>
    </row>
    <row r="11947" spans="5:23" x14ac:dyDescent="0.25">
      <c r="E11947" s="4"/>
      <c r="F11947" s="4"/>
      <c r="G11947" s="33" t="str">
        <f>IFERROR(VLOOKUP($D11947,'Informations sur les produits'!$A$3:$H$10000,8,FALSE),"0")</f>
        <v>0</v>
      </c>
      <c r="K11947" s="4"/>
      <c r="L11947" s="33" t="str">
        <f>IFERROR(VLOOKUP($J11947,'Informations sur les produits'!$A$3:$H$10000,8,FALSE),"0")</f>
        <v>0</v>
      </c>
      <c r="N11947" s="8"/>
      <c r="O11947" s="33" t="str">
        <f>IFERROR(VLOOKUP($M11947,'Informations sur les produits'!$A$3:$H$10000,8,FALSE),"0")</f>
        <v>0</v>
      </c>
      <c r="P11947" s="33">
        <f t="shared" si="744"/>
        <v>0</v>
      </c>
      <c r="Q11947" s="31" t="str">
        <f t="shared" si="745"/>
        <v/>
      </c>
      <c r="R11947" s="32" t="str">
        <f>IFERROR(VLOOKUP($D11947,'Informations sur les produits'!$A$3:$B$15000,2,FALSE),"")</f>
        <v/>
      </c>
      <c r="V11947">
        <f t="shared" si="746"/>
        <v>0</v>
      </c>
      <c r="W11947">
        <f t="shared" si="747"/>
        <v>0</v>
      </c>
    </row>
    <row r="11948" spans="5:23" x14ac:dyDescent="0.25">
      <c r="E11948" s="4"/>
      <c r="F11948" s="4"/>
      <c r="G11948" s="33" t="str">
        <f>IFERROR(VLOOKUP($D11948,'Informations sur les produits'!$A$3:$H$10000,8,FALSE),"0")</f>
        <v>0</v>
      </c>
      <c r="K11948" s="4"/>
      <c r="L11948" s="33" t="str">
        <f>IFERROR(VLOOKUP($J11948,'Informations sur les produits'!$A$3:$H$10000,8,FALSE),"0")</f>
        <v>0</v>
      </c>
      <c r="N11948" s="8"/>
      <c r="O11948" s="33" t="str">
        <f>IFERROR(VLOOKUP($M11948,'Informations sur les produits'!$A$3:$H$10000,8,FALSE),"0")</f>
        <v>0</v>
      </c>
      <c r="P11948" s="33">
        <f t="shared" si="744"/>
        <v>0</v>
      </c>
      <c r="Q11948" s="31" t="str">
        <f t="shared" si="745"/>
        <v/>
      </c>
      <c r="R11948" s="32" t="str">
        <f>IFERROR(VLOOKUP($D11948,'Informations sur les produits'!$A$3:$B$15000,2,FALSE),"")</f>
        <v/>
      </c>
      <c r="V11948">
        <f t="shared" si="746"/>
        <v>0</v>
      </c>
      <c r="W11948">
        <f t="shared" si="747"/>
        <v>0</v>
      </c>
    </row>
    <row r="11949" spans="5:23" x14ac:dyDescent="0.25">
      <c r="E11949" s="4"/>
      <c r="F11949" s="4"/>
      <c r="G11949" s="33" t="str">
        <f>IFERROR(VLOOKUP($D11949,'Informations sur les produits'!$A$3:$H$10000,8,FALSE),"0")</f>
        <v>0</v>
      </c>
      <c r="K11949" s="4"/>
      <c r="L11949" s="33" t="str">
        <f>IFERROR(VLOOKUP($J11949,'Informations sur les produits'!$A$3:$H$10000,8,FALSE),"0")</f>
        <v>0</v>
      </c>
      <c r="N11949" s="8"/>
      <c r="O11949" s="33" t="str">
        <f>IFERROR(VLOOKUP($M11949,'Informations sur les produits'!$A$3:$H$10000,8,FALSE),"0")</f>
        <v>0</v>
      </c>
      <c r="P11949" s="33">
        <f t="shared" si="744"/>
        <v>0</v>
      </c>
      <c r="Q11949" s="31" t="str">
        <f t="shared" si="745"/>
        <v/>
      </c>
      <c r="R11949" s="32" t="str">
        <f>IFERROR(VLOOKUP($D11949,'Informations sur les produits'!$A$3:$B$15000,2,FALSE),"")</f>
        <v/>
      </c>
      <c r="V11949">
        <f t="shared" si="746"/>
        <v>0</v>
      </c>
      <c r="W11949">
        <f t="shared" si="747"/>
        <v>0</v>
      </c>
    </row>
    <row r="11950" spans="5:23" x14ac:dyDescent="0.25">
      <c r="E11950" s="4"/>
      <c r="F11950" s="4"/>
      <c r="G11950" s="33" t="str">
        <f>IFERROR(VLOOKUP($D11950,'Informations sur les produits'!$A$3:$H$10000,8,FALSE),"0")</f>
        <v>0</v>
      </c>
      <c r="K11950" s="4"/>
      <c r="L11950" s="33" t="str">
        <f>IFERROR(VLOOKUP($J11950,'Informations sur les produits'!$A$3:$H$10000,8,FALSE),"0")</f>
        <v>0</v>
      </c>
      <c r="N11950" s="8"/>
      <c r="O11950" s="33" t="str">
        <f>IFERROR(VLOOKUP($M11950,'Informations sur les produits'!$A$3:$H$10000,8,FALSE),"0")</f>
        <v>0</v>
      </c>
      <c r="P11950" s="33">
        <f t="shared" si="744"/>
        <v>0</v>
      </c>
      <c r="Q11950" s="31" t="str">
        <f t="shared" si="745"/>
        <v/>
      </c>
      <c r="R11950" s="32" t="str">
        <f>IFERROR(VLOOKUP($D11950,'Informations sur les produits'!$A$3:$B$15000,2,FALSE),"")</f>
        <v/>
      </c>
      <c r="V11950">
        <f t="shared" si="746"/>
        <v>0</v>
      </c>
      <c r="W11950">
        <f t="shared" si="747"/>
        <v>0</v>
      </c>
    </row>
    <row r="11951" spans="5:23" x14ac:dyDescent="0.25">
      <c r="E11951" s="4"/>
      <c r="F11951" s="4"/>
      <c r="G11951" s="33" t="str">
        <f>IFERROR(VLOOKUP($D11951,'Informations sur les produits'!$A$3:$H$10000,8,FALSE),"0")</f>
        <v>0</v>
      </c>
      <c r="K11951" s="4"/>
      <c r="L11951" s="33" t="str">
        <f>IFERROR(VLOOKUP($J11951,'Informations sur les produits'!$A$3:$H$10000,8,FALSE),"0")</f>
        <v>0</v>
      </c>
      <c r="N11951" s="8"/>
      <c r="O11951" s="33" t="str">
        <f>IFERROR(VLOOKUP($M11951,'Informations sur les produits'!$A$3:$H$10000,8,FALSE),"0")</f>
        <v>0</v>
      </c>
      <c r="P11951" s="33">
        <f t="shared" si="744"/>
        <v>0</v>
      </c>
      <c r="Q11951" s="31" t="str">
        <f t="shared" si="745"/>
        <v/>
      </c>
      <c r="R11951" s="32" t="str">
        <f>IFERROR(VLOOKUP($D11951,'Informations sur les produits'!$A$3:$B$15000,2,FALSE),"")</f>
        <v/>
      </c>
      <c r="V11951">
        <f t="shared" si="746"/>
        <v>0</v>
      </c>
      <c r="W11951">
        <f t="shared" si="747"/>
        <v>0</v>
      </c>
    </row>
    <row r="11952" spans="5:23" x14ac:dyDescent="0.25">
      <c r="E11952" s="4"/>
      <c r="F11952" s="4"/>
      <c r="G11952" s="33" t="str">
        <f>IFERROR(VLOOKUP($D11952,'Informations sur les produits'!$A$3:$H$10000,8,FALSE),"0")</f>
        <v>0</v>
      </c>
      <c r="K11952" s="4"/>
      <c r="L11952" s="33" t="str">
        <f>IFERROR(VLOOKUP($J11952,'Informations sur les produits'!$A$3:$H$10000,8,FALSE),"0")</f>
        <v>0</v>
      </c>
      <c r="N11952" s="8"/>
      <c r="O11952" s="33" t="str">
        <f>IFERROR(VLOOKUP($M11952,'Informations sur les produits'!$A$3:$H$10000,8,FALSE),"0")</f>
        <v>0</v>
      </c>
      <c r="P11952" s="33">
        <f t="shared" si="744"/>
        <v>0</v>
      </c>
      <c r="Q11952" s="31" t="str">
        <f t="shared" si="745"/>
        <v/>
      </c>
      <c r="R11952" s="32" t="str">
        <f>IFERROR(VLOOKUP($D11952,'Informations sur les produits'!$A$3:$B$15000,2,FALSE),"")</f>
        <v/>
      </c>
      <c r="V11952">
        <f t="shared" si="746"/>
        <v>0</v>
      </c>
      <c r="W11952">
        <f t="shared" si="747"/>
        <v>0</v>
      </c>
    </row>
    <row r="11953" spans="5:23" x14ac:dyDescent="0.25">
      <c r="E11953" s="4"/>
      <c r="F11953" s="4"/>
      <c r="G11953" s="33" t="str">
        <f>IFERROR(VLOOKUP($D11953,'Informations sur les produits'!$A$3:$H$10000,8,FALSE),"0")</f>
        <v>0</v>
      </c>
      <c r="K11953" s="4"/>
      <c r="L11953" s="33" t="str">
        <f>IFERROR(VLOOKUP($J11953,'Informations sur les produits'!$A$3:$H$10000,8,FALSE),"0")</f>
        <v>0</v>
      </c>
      <c r="N11953" s="8"/>
      <c r="O11953" s="33" t="str">
        <f>IFERROR(VLOOKUP($M11953,'Informations sur les produits'!$A$3:$H$10000,8,FALSE),"0")</f>
        <v>0</v>
      </c>
      <c r="P11953" s="33">
        <f t="shared" si="744"/>
        <v>0</v>
      </c>
      <c r="Q11953" s="31" t="str">
        <f t="shared" si="745"/>
        <v/>
      </c>
      <c r="R11953" s="32" t="str">
        <f>IFERROR(VLOOKUP($D11953,'Informations sur les produits'!$A$3:$B$15000,2,FALSE),"")</f>
        <v/>
      </c>
      <c r="V11953">
        <f t="shared" si="746"/>
        <v>0</v>
      </c>
      <c r="W11953">
        <f t="shared" si="747"/>
        <v>0</v>
      </c>
    </row>
    <row r="11954" spans="5:23" x14ac:dyDescent="0.25">
      <c r="E11954" s="4"/>
      <c r="F11954" s="4"/>
      <c r="G11954" s="33" t="str">
        <f>IFERROR(VLOOKUP($D11954,'Informations sur les produits'!$A$3:$H$10000,8,FALSE),"0")</f>
        <v>0</v>
      </c>
      <c r="K11954" s="4"/>
      <c r="L11954" s="33" t="str">
        <f>IFERROR(VLOOKUP($J11954,'Informations sur les produits'!$A$3:$H$10000,8,FALSE),"0")</f>
        <v>0</v>
      </c>
      <c r="N11954" s="8"/>
      <c r="O11954" s="33" t="str">
        <f>IFERROR(VLOOKUP($M11954,'Informations sur les produits'!$A$3:$H$10000,8,FALSE),"0")</f>
        <v>0</v>
      </c>
      <c r="P11954" s="33">
        <f t="shared" si="744"/>
        <v>0</v>
      </c>
      <c r="Q11954" s="31" t="str">
        <f t="shared" si="745"/>
        <v/>
      </c>
      <c r="R11954" s="32" t="str">
        <f>IFERROR(VLOOKUP($D11954,'Informations sur les produits'!$A$3:$B$15000,2,FALSE),"")</f>
        <v/>
      </c>
      <c r="V11954">
        <f t="shared" si="746"/>
        <v>0</v>
      </c>
      <c r="W11954">
        <f t="shared" si="747"/>
        <v>0</v>
      </c>
    </row>
    <row r="11955" spans="5:23" x14ac:dyDescent="0.25">
      <c r="E11955" s="4"/>
      <c r="F11955" s="4"/>
      <c r="G11955" s="33" t="str">
        <f>IFERROR(VLOOKUP($D11955,'Informations sur les produits'!$A$3:$H$10000,8,FALSE),"0")</f>
        <v>0</v>
      </c>
      <c r="K11955" s="4"/>
      <c r="L11955" s="33" t="str">
        <f>IFERROR(VLOOKUP($J11955,'Informations sur les produits'!$A$3:$H$10000,8,FALSE),"0")</f>
        <v>0</v>
      </c>
      <c r="N11955" s="8"/>
      <c r="O11955" s="33" t="str">
        <f>IFERROR(VLOOKUP($M11955,'Informations sur les produits'!$A$3:$H$10000,8,FALSE),"0")</f>
        <v>0</v>
      </c>
      <c r="P11955" s="33">
        <f t="shared" si="744"/>
        <v>0</v>
      </c>
      <c r="Q11955" s="31" t="str">
        <f t="shared" si="745"/>
        <v/>
      </c>
      <c r="R11955" s="32" t="str">
        <f>IFERROR(VLOOKUP($D11955,'Informations sur les produits'!$A$3:$B$15000,2,FALSE),"")</f>
        <v/>
      </c>
      <c r="V11955">
        <f t="shared" si="746"/>
        <v>0</v>
      </c>
      <c r="W11955">
        <f t="shared" si="747"/>
        <v>0</v>
      </c>
    </row>
    <row r="11956" spans="5:23" x14ac:dyDescent="0.25">
      <c r="E11956" s="4"/>
      <c r="F11956" s="4"/>
      <c r="G11956" s="33" t="str">
        <f>IFERROR(VLOOKUP($D11956,'Informations sur les produits'!$A$3:$H$10000,8,FALSE),"0")</f>
        <v>0</v>
      </c>
      <c r="K11956" s="4"/>
      <c r="L11956" s="33" t="str">
        <f>IFERROR(VLOOKUP($J11956,'Informations sur les produits'!$A$3:$H$10000,8,FALSE),"0")</f>
        <v>0</v>
      </c>
      <c r="N11956" s="8"/>
      <c r="O11956" s="33" t="str">
        <f>IFERROR(VLOOKUP($M11956,'Informations sur les produits'!$A$3:$H$10000,8,FALSE),"0")</f>
        <v>0</v>
      </c>
      <c r="P11956" s="33">
        <f t="shared" si="744"/>
        <v>0</v>
      </c>
      <c r="Q11956" s="31" t="str">
        <f t="shared" si="745"/>
        <v/>
      </c>
      <c r="R11956" s="32" t="str">
        <f>IFERROR(VLOOKUP($D11956,'Informations sur les produits'!$A$3:$B$15000,2,FALSE),"")</f>
        <v/>
      </c>
      <c r="V11956">
        <f t="shared" si="746"/>
        <v>0</v>
      </c>
      <c r="W11956">
        <f t="shared" si="747"/>
        <v>0</v>
      </c>
    </row>
    <row r="11957" spans="5:23" x14ac:dyDescent="0.25">
      <c r="E11957" s="4"/>
      <c r="F11957" s="4"/>
      <c r="G11957" s="33" t="str">
        <f>IFERROR(VLOOKUP($D11957,'Informations sur les produits'!$A$3:$H$10000,8,FALSE),"0")</f>
        <v>0</v>
      </c>
      <c r="K11957" s="4"/>
      <c r="L11957" s="33" t="str">
        <f>IFERROR(VLOOKUP($J11957,'Informations sur les produits'!$A$3:$H$10000,8,FALSE),"0")</f>
        <v>0</v>
      </c>
      <c r="N11957" s="8"/>
      <c r="O11957" s="33" t="str">
        <f>IFERROR(VLOOKUP($M11957,'Informations sur les produits'!$A$3:$H$10000,8,FALSE),"0")</f>
        <v>0</v>
      </c>
      <c r="P11957" s="33">
        <f t="shared" si="744"/>
        <v>0</v>
      </c>
      <c r="Q11957" s="31" t="str">
        <f t="shared" si="745"/>
        <v/>
      </c>
      <c r="R11957" s="32" t="str">
        <f>IFERROR(VLOOKUP($D11957,'Informations sur les produits'!$A$3:$B$15000,2,FALSE),"")</f>
        <v/>
      </c>
      <c r="V11957">
        <f t="shared" si="746"/>
        <v>0</v>
      </c>
      <c r="W11957">
        <f t="shared" si="747"/>
        <v>0</v>
      </c>
    </row>
    <row r="11958" spans="5:23" x14ac:dyDescent="0.25">
      <c r="E11958" s="4"/>
      <c r="F11958" s="4"/>
      <c r="G11958" s="33" t="str">
        <f>IFERROR(VLOOKUP($D11958,'Informations sur les produits'!$A$3:$H$10000,8,FALSE),"0")</f>
        <v>0</v>
      </c>
      <c r="K11958" s="4"/>
      <c r="L11958" s="33" t="str">
        <f>IFERROR(VLOOKUP($J11958,'Informations sur les produits'!$A$3:$H$10000,8,FALSE),"0")</f>
        <v>0</v>
      </c>
      <c r="N11958" s="8"/>
      <c r="O11958" s="33" t="str">
        <f>IFERROR(VLOOKUP($M11958,'Informations sur les produits'!$A$3:$H$10000,8,FALSE),"0")</f>
        <v>0</v>
      </c>
      <c r="P11958" s="33">
        <f t="shared" si="744"/>
        <v>0</v>
      </c>
      <c r="Q11958" s="31" t="str">
        <f t="shared" si="745"/>
        <v/>
      </c>
      <c r="R11958" s="32" t="str">
        <f>IFERROR(VLOOKUP($D11958,'Informations sur les produits'!$A$3:$B$15000,2,FALSE),"")</f>
        <v/>
      </c>
      <c r="V11958">
        <f t="shared" si="746"/>
        <v>0</v>
      </c>
      <c r="W11958">
        <f t="shared" si="747"/>
        <v>0</v>
      </c>
    </row>
    <row r="11959" spans="5:23" x14ac:dyDescent="0.25">
      <c r="E11959" s="4"/>
      <c r="F11959" s="4"/>
      <c r="G11959" s="33" t="str">
        <f>IFERROR(VLOOKUP($D11959,'Informations sur les produits'!$A$3:$H$10000,8,FALSE),"0")</f>
        <v>0</v>
      </c>
      <c r="K11959" s="4"/>
      <c r="L11959" s="33" t="str">
        <f>IFERROR(VLOOKUP($J11959,'Informations sur les produits'!$A$3:$H$10000,8,FALSE),"0")</f>
        <v>0</v>
      </c>
      <c r="N11959" s="8"/>
      <c r="O11959" s="33" t="str">
        <f>IFERROR(VLOOKUP($M11959,'Informations sur les produits'!$A$3:$H$10000,8,FALSE),"0")</f>
        <v>0</v>
      </c>
      <c r="P11959" s="33">
        <f t="shared" si="744"/>
        <v>0</v>
      </c>
      <c r="Q11959" s="31" t="str">
        <f t="shared" si="745"/>
        <v/>
      </c>
      <c r="R11959" s="32" t="str">
        <f>IFERROR(VLOOKUP($D11959,'Informations sur les produits'!$A$3:$B$15000,2,FALSE),"")</f>
        <v/>
      </c>
      <c r="V11959">
        <f t="shared" si="746"/>
        <v>0</v>
      </c>
      <c r="W11959">
        <f t="shared" si="747"/>
        <v>0</v>
      </c>
    </row>
    <row r="11960" spans="5:23" x14ac:dyDescent="0.25">
      <c r="E11960" s="4"/>
      <c r="F11960" s="4"/>
      <c r="G11960" s="33" t="str">
        <f>IFERROR(VLOOKUP($D11960,'Informations sur les produits'!$A$3:$H$10000,8,FALSE),"0")</f>
        <v>0</v>
      </c>
      <c r="K11960" s="4"/>
      <c r="L11960" s="33" t="str">
        <f>IFERROR(VLOOKUP($J11960,'Informations sur les produits'!$A$3:$H$10000,8,FALSE),"0")</f>
        <v>0</v>
      </c>
      <c r="N11960" s="8"/>
      <c r="O11960" s="33" t="str">
        <f>IFERROR(VLOOKUP($M11960,'Informations sur les produits'!$A$3:$H$10000,8,FALSE),"0")</f>
        <v>0</v>
      </c>
      <c r="P11960" s="33">
        <f t="shared" si="744"/>
        <v>0</v>
      </c>
      <c r="Q11960" s="31" t="str">
        <f t="shared" si="745"/>
        <v/>
      </c>
      <c r="R11960" s="32" t="str">
        <f>IFERROR(VLOOKUP($D11960,'Informations sur les produits'!$A$3:$B$15000,2,FALSE),"")</f>
        <v/>
      </c>
      <c r="V11960">
        <f t="shared" si="746"/>
        <v>0</v>
      </c>
      <c r="W11960">
        <f t="shared" si="747"/>
        <v>0</v>
      </c>
    </row>
    <row r="11961" spans="5:23" x14ac:dyDescent="0.25">
      <c r="E11961" s="4"/>
      <c r="F11961" s="4"/>
      <c r="G11961" s="33" t="str">
        <f>IFERROR(VLOOKUP($D11961,'Informations sur les produits'!$A$3:$H$10000,8,FALSE),"0")</f>
        <v>0</v>
      </c>
      <c r="K11961" s="4"/>
      <c r="L11961" s="33" t="str">
        <f>IFERROR(VLOOKUP($J11961,'Informations sur les produits'!$A$3:$H$10000,8,FALSE),"0")</f>
        <v>0</v>
      </c>
      <c r="N11961" s="8"/>
      <c r="O11961" s="33" t="str">
        <f>IFERROR(VLOOKUP($M11961,'Informations sur les produits'!$A$3:$H$10000,8,FALSE),"0")</f>
        <v>0</v>
      </c>
      <c r="P11961" s="33">
        <f t="shared" si="744"/>
        <v>0</v>
      </c>
      <c r="Q11961" s="31" t="str">
        <f t="shared" si="745"/>
        <v/>
      </c>
      <c r="R11961" s="32" t="str">
        <f>IFERROR(VLOOKUP($D11961,'Informations sur les produits'!$A$3:$B$15000,2,FALSE),"")</f>
        <v/>
      </c>
      <c r="V11961">
        <f t="shared" si="746"/>
        <v>0</v>
      </c>
      <c r="W11961">
        <f t="shared" si="747"/>
        <v>0</v>
      </c>
    </row>
    <row r="11962" spans="5:23" x14ac:dyDescent="0.25">
      <c r="E11962" s="4"/>
      <c r="F11962" s="4"/>
      <c r="G11962" s="33" t="str">
        <f>IFERROR(VLOOKUP($D11962,'Informations sur les produits'!$A$3:$H$10000,8,FALSE),"0")</f>
        <v>0</v>
      </c>
      <c r="K11962" s="4"/>
      <c r="L11962" s="33" t="str">
        <f>IFERROR(VLOOKUP($J11962,'Informations sur les produits'!$A$3:$H$10000,8,FALSE),"0")</f>
        <v>0</v>
      </c>
      <c r="N11962" s="8"/>
      <c r="O11962" s="33" t="str">
        <f>IFERROR(VLOOKUP($M11962,'Informations sur les produits'!$A$3:$H$10000,8,FALSE),"0")</f>
        <v>0</v>
      </c>
      <c r="P11962" s="33">
        <f t="shared" si="744"/>
        <v>0</v>
      </c>
      <c r="Q11962" s="31" t="str">
        <f t="shared" si="745"/>
        <v/>
      </c>
      <c r="R11962" s="32" t="str">
        <f>IFERROR(VLOOKUP($D11962,'Informations sur les produits'!$A$3:$B$15000,2,FALSE),"")</f>
        <v/>
      </c>
      <c r="V11962">
        <f t="shared" si="746"/>
        <v>0</v>
      </c>
      <c r="W11962">
        <f t="shared" si="747"/>
        <v>0</v>
      </c>
    </row>
    <row r="11963" spans="5:23" x14ac:dyDescent="0.25">
      <c r="E11963" s="4"/>
      <c r="F11963" s="4"/>
      <c r="G11963" s="33" t="str">
        <f>IFERROR(VLOOKUP($D11963,'Informations sur les produits'!$A$3:$H$10000,8,FALSE),"0")</f>
        <v>0</v>
      </c>
      <c r="K11963" s="4"/>
      <c r="L11963" s="33" t="str">
        <f>IFERROR(VLOOKUP($J11963,'Informations sur les produits'!$A$3:$H$10000,8,FALSE),"0")</f>
        <v>0</v>
      </c>
      <c r="N11963" s="8"/>
      <c r="O11963" s="33" t="str">
        <f>IFERROR(VLOOKUP($M11963,'Informations sur les produits'!$A$3:$H$10000,8,FALSE),"0")</f>
        <v>0</v>
      </c>
      <c r="P11963" s="33">
        <f t="shared" si="744"/>
        <v>0</v>
      </c>
      <c r="Q11963" s="31" t="str">
        <f t="shared" si="745"/>
        <v/>
      </c>
      <c r="R11963" s="32" t="str">
        <f>IFERROR(VLOOKUP($D11963,'Informations sur les produits'!$A$3:$B$15000,2,FALSE),"")</f>
        <v/>
      </c>
      <c r="V11963">
        <f t="shared" si="746"/>
        <v>0</v>
      </c>
      <c r="W11963">
        <f t="shared" si="747"/>
        <v>0</v>
      </c>
    </row>
    <row r="11964" spans="5:23" x14ac:dyDescent="0.25">
      <c r="E11964" s="4"/>
      <c r="F11964" s="4"/>
      <c r="G11964" s="33" t="str">
        <f>IFERROR(VLOOKUP($D11964,'Informations sur les produits'!$A$3:$H$10000,8,FALSE),"0")</f>
        <v>0</v>
      </c>
      <c r="K11964" s="4"/>
      <c r="L11964" s="33" t="str">
        <f>IFERROR(VLOOKUP($J11964,'Informations sur les produits'!$A$3:$H$10000,8,FALSE),"0")</f>
        <v>0</v>
      </c>
      <c r="N11964" s="8"/>
      <c r="O11964" s="33" t="str">
        <f>IFERROR(VLOOKUP($M11964,'Informations sur les produits'!$A$3:$H$10000,8,FALSE),"0")</f>
        <v>0</v>
      </c>
      <c r="P11964" s="33">
        <f t="shared" si="744"/>
        <v>0</v>
      </c>
      <c r="Q11964" s="31" t="str">
        <f t="shared" si="745"/>
        <v/>
      </c>
      <c r="R11964" s="32" t="str">
        <f>IFERROR(VLOOKUP($D11964,'Informations sur les produits'!$A$3:$B$15000,2,FALSE),"")</f>
        <v/>
      </c>
      <c r="V11964">
        <f t="shared" si="746"/>
        <v>0</v>
      </c>
      <c r="W11964">
        <f t="shared" si="747"/>
        <v>0</v>
      </c>
    </row>
    <row r="11965" spans="5:23" x14ac:dyDescent="0.25">
      <c r="E11965" s="4"/>
      <c r="F11965" s="4"/>
      <c r="G11965" s="33" t="str">
        <f>IFERROR(VLOOKUP($D11965,'Informations sur les produits'!$A$3:$H$10000,8,FALSE),"0")</f>
        <v>0</v>
      </c>
      <c r="K11965" s="4"/>
      <c r="L11965" s="33" t="str">
        <f>IFERROR(VLOOKUP($J11965,'Informations sur les produits'!$A$3:$H$10000,8,FALSE),"0")</f>
        <v>0</v>
      </c>
      <c r="N11965" s="8"/>
      <c r="O11965" s="33" t="str">
        <f>IFERROR(VLOOKUP($M11965,'Informations sur les produits'!$A$3:$H$10000,8,FALSE),"0")</f>
        <v>0</v>
      </c>
      <c r="P11965" s="33">
        <f t="shared" si="744"/>
        <v>0</v>
      </c>
      <c r="Q11965" s="31" t="str">
        <f t="shared" si="745"/>
        <v/>
      </c>
      <c r="R11965" s="32" t="str">
        <f>IFERROR(VLOOKUP($D11965,'Informations sur les produits'!$A$3:$B$15000,2,FALSE),"")</f>
        <v/>
      </c>
      <c r="V11965">
        <f t="shared" si="746"/>
        <v>0</v>
      </c>
      <c r="W11965">
        <f t="shared" si="747"/>
        <v>0</v>
      </c>
    </row>
    <row r="11966" spans="5:23" x14ac:dyDescent="0.25">
      <c r="E11966" s="4"/>
      <c r="F11966" s="4"/>
      <c r="G11966" s="33" t="str">
        <f>IFERROR(VLOOKUP($D11966,'Informations sur les produits'!$A$3:$H$10000,8,FALSE),"0")</f>
        <v>0</v>
      </c>
      <c r="K11966" s="4"/>
      <c r="L11966" s="33" t="str">
        <f>IFERROR(VLOOKUP($J11966,'Informations sur les produits'!$A$3:$H$10000,8,FALSE),"0")</f>
        <v>0</v>
      </c>
      <c r="N11966" s="8"/>
      <c r="O11966" s="33" t="str">
        <f>IFERROR(VLOOKUP($M11966,'Informations sur les produits'!$A$3:$H$10000,8,FALSE),"0")</f>
        <v>0</v>
      </c>
      <c r="P11966" s="33">
        <f t="shared" si="744"/>
        <v>0</v>
      </c>
      <c r="Q11966" s="31" t="str">
        <f t="shared" si="745"/>
        <v/>
      </c>
      <c r="R11966" s="32" t="str">
        <f>IFERROR(VLOOKUP($D11966,'Informations sur les produits'!$A$3:$B$15000,2,FALSE),"")</f>
        <v/>
      </c>
      <c r="V11966">
        <f t="shared" si="746"/>
        <v>0</v>
      </c>
      <c r="W11966">
        <f t="shared" si="747"/>
        <v>0</v>
      </c>
    </row>
    <row r="11967" spans="5:23" x14ac:dyDescent="0.25">
      <c r="E11967" s="4"/>
      <c r="F11967" s="4"/>
      <c r="G11967" s="33" t="str">
        <f>IFERROR(VLOOKUP($D11967,'Informations sur les produits'!$A$3:$H$10000,8,FALSE),"0")</f>
        <v>0</v>
      </c>
      <c r="K11967" s="4"/>
      <c r="L11967" s="33" t="str">
        <f>IFERROR(VLOOKUP($J11967,'Informations sur les produits'!$A$3:$H$10000,8,FALSE),"0")</f>
        <v>0</v>
      </c>
      <c r="N11967" s="8"/>
      <c r="O11967" s="33" t="str">
        <f>IFERROR(VLOOKUP($M11967,'Informations sur les produits'!$A$3:$H$10000,8,FALSE),"0")</f>
        <v>0</v>
      </c>
      <c r="P11967" s="33">
        <f t="shared" si="744"/>
        <v>0</v>
      </c>
      <c r="Q11967" s="31" t="str">
        <f t="shared" si="745"/>
        <v/>
      </c>
      <c r="R11967" s="32" t="str">
        <f>IFERROR(VLOOKUP($D11967,'Informations sur les produits'!$A$3:$B$15000,2,FALSE),"")</f>
        <v/>
      </c>
      <c r="V11967">
        <f t="shared" si="746"/>
        <v>0</v>
      </c>
      <c r="W11967">
        <f t="shared" si="747"/>
        <v>0</v>
      </c>
    </row>
    <row r="11968" spans="5:23" x14ac:dyDescent="0.25">
      <c r="E11968" s="4"/>
      <c r="F11968" s="4"/>
      <c r="G11968" s="33" t="str">
        <f>IFERROR(VLOOKUP($D11968,'Informations sur les produits'!$A$3:$H$10000,8,FALSE),"0")</f>
        <v>0</v>
      </c>
      <c r="K11968" s="4"/>
      <c r="L11968" s="33" t="str">
        <f>IFERROR(VLOOKUP($J11968,'Informations sur les produits'!$A$3:$H$10000,8,FALSE),"0")</f>
        <v>0</v>
      </c>
      <c r="N11968" s="8"/>
      <c r="O11968" s="33" t="str">
        <f>IFERROR(VLOOKUP($M11968,'Informations sur les produits'!$A$3:$H$10000,8,FALSE),"0")</f>
        <v>0</v>
      </c>
      <c r="P11968" s="33">
        <f t="shared" si="744"/>
        <v>0</v>
      </c>
      <c r="Q11968" s="31" t="str">
        <f t="shared" si="745"/>
        <v/>
      </c>
      <c r="R11968" s="32" t="str">
        <f>IFERROR(VLOOKUP($D11968,'Informations sur les produits'!$A$3:$B$15000,2,FALSE),"")</f>
        <v/>
      </c>
      <c r="V11968">
        <f t="shared" si="746"/>
        <v>0</v>
      </c>
      <c r="W11968">
        <f t="shared" si="747"/>
        <v>0</v>
      </c>
    </row>
    <row r="11969" spans="5:23" x14ac:dyDescent="0.25">
      <c r="E11969" s="4"/>
      <c r="F11969" s="4"/>
      <c r="G11969" s="33" t="str">
        <f>IFERROR(VLOOKUP($D11969,'Informations sur les produits'!$A$3:$H$10000,8,FALSE),"0")</f>
        <v>0</v>
      </c>
      <c r="K11969" s="4"/>
      <c r="L11969" s="33" t="str">
        <f>IFERROR(VLOOKUP($J11969,'Informations sur les produits'!$A$3:$H$10000,8,FALSE),"0")</f>
        <v>0</v>
      </c>
      <c r="N11969" s="8"/>
      <c r="O11969" s="33" t="str">
        <f>IFERROR(VLOOKUP($M11969,'Informations sur les produits'!$A$3:$H$10000,8,FALSE),"0")</f>
        <v>0</v>
      </c>
      <c r="P11969" s="33">
        <f t="shared" si="744"/>
        <v>0</v>
      </c>
      <c r="Q11969" s="31" t="str">
        <f t="shared" si="745"/>
        <v/>
      </c>
      <c r="R11969" s="32" t="str">
        <f>IFERROR(VLOOKUP($D11969,'Informations sur les produits'!$A$3:$B$15000,2,FALSE),"")</f>
        <v/>
      </c>
      <c r="V11969">
        <f t="shared" si="746"/>
        <v>0</v>
      </c>
      <c r="W11969">
        <f t="shared" si="747"/>
        <v>0</v>
      </c>
    </row>
    <row r="11970" spans="5:23" x14ac:dyDescent="0.25">
      <c r="E11970" s="4"/>
      <c r="F11970" s="4"/>
      <c r="G11970" s="33" t="str">
        <f>IFERROR(VLOOKUP($D11970,'Informations sur les produits'!$A$3:$H$10000,8,FALSE),"0")</f>
        <v>0</v>
      </c>
      <c r="K11970" s="4"/>
      <c r="L11970" s="33" t="str">
        <f>IFERROR(VLOOKUP($J11970,'Informations sur les produits'!$A$3:$H$10000,8,FALSE),"0")</f>
        <v>0</v>
      </c>
      <c r="N11970" s="8"/>
      <c r="O11970" s="33" t="str">
        <f>IFERROR(VLOOKUP($M11970,'Informations sur les produits'!$A$3:$H$10000,8,FALSE),"0")</f>
        <v>0</v>
      </c>
      <c r="P11970" s="33">
        <f t="shared" si="744"/>
        <v>0</v>
      </c>
      <c r="Q11970" s="31" t="str">
        <f t="shared" si="745"/>
        <v/>
      </c>
      <c r="R11970" s="32" t="str">
        <f>IFERROR(VLOOKUP($D11970,'Informations sur les produits'!$A$3:$B$15000,2,FALSE),"")</f>
        <v/>
      </c>
      <c r="V11970">
        <f t="shared" si="746"/>
        <v>0</v>
      </c>
      <c r="W11970">
        <f t="shared" si="747"/>
        <v>0</v>
      </c>
    </row>
    <row r="11971" spans="5:23" x14ac:dyDescent="0.25">
      <c r="E11971" s="4"/>
      <c r="F11971" s="4"/>
      <c r="G11971" s="33" t="str">
        <f>IFERROR(VLOOKUP($D11971,'Informations sur les produits'!$A$3:$H$10000,8,FALSE),"0")</f>
        <v>0</v>
      </c>
      <c r="K11971" s="4"/>
      <c r="L11971" s="33" t="str">
        <f>IFERROR(VLOOKUP($J11971,'Informations sur les produits'!$A$3:$H$10000,8,FALSE),"0")</f>
        <v>0</v>
      </c>
      <c r="N11971" s="8"/>
      <c r="O11971" s="33" t="str">
        <f>IFERROR(VLOOKUP($M11971,'Informations sur les produits'!$A$3:$H$10000,8,FALSE),"0")</f>
        <v>0</v>
      </c>
      <c r="P11971" s="33">
        <f t="shared" si="744"/>
        <v>0</v>
      </c>
      <c r="Q11971" s="31" t="str">
        <f t="shared" si="745"/>
        <v/>
      </c>
      <c r="R11971" s="32" t="str">
        <f>IFERROR(VLOOKUP($D11971,'Informations sur les produits'!$A$3:$B$15000,2,FALSE),"")</f>
        <v/>
      </c>
      <c r="V11971">
        <f t="shared" si="746"/>
        <v>0</v>
      </c>
      <c r="W11971">
        <f t="shared" si="747"/>
        <v>0</v>
      </c>
    </row>
    <row r="11972" spans="5:23" x14ac:dyDescent="0.25">
      <c r="E11972" s="4"/>
      <c r="F11972" s="4"/>
      <c r="G11972" s="33" t="str">
        <f>IFERROR(VLOOKUP($D11972,'Informations sur les produits'!$A$3:$H$10000,8,FALSE),"0")</f>
        <v>0</v>
      </c>
      <c r="K11972" s="4"/>
      <c r="L11972" s="33" t="str">
        <f>IFERROR(VLOOKUP($J11972,'Informations sur les produits'!$A$3:$H$10000,8,FALSE),"0")</f>
        <v>0</v>
      </c>
      <c r="N11972" s="8"/>
      <c r="O11972" s="33" t="str">
        <f>IFERROR(VLOOKUP($M11972,'Informations sur les produits'!$A$3:$H$10000,8,FALSE),"0")</f>
        <v>0</v>
      </c>
      <c r="P11972" s="33">
        <f t="shared" ref="P11972:P12035" si="748">IFERROR((($E11972-$F11972)*$G11972+$K11972*$L11972+$N11972*$O11972),"")</f>
        <v>0</v>
      </c>
      <c r="Q11972" s="31" t="str">
        <f t="shared" ref="Q11972:Q12035" si="749">IFERROR((((($E11972-$F11972)*$G11972+$K11972*$L11972+$N11972*$O11972)*1000)/(($E11972-$F11972)+$K11972+$N11972)),"")</f>
        <v/>
      </c>
      <c r="R11972" s="32" t="str">
        <f>IFERROR(VLOOKUP($D11972,'Informations sur les produits'!$A$3:$B$15000,2,FALSE),"")</f>
        <v/>
      </c>
      <c r="V11972">
        <f t="shared" ref="V11972:V12035" si="750">IFERROR(P11972*1000,"")</f>
        <v>0</v>
      </c>
      <c r="W11972">
        <f t="shared" ref="W11972:W12035" si="751">IFERROR(($E11972-$F11972)+$K11972+$N11972,"")</f>
        <v>0</v>
      </c>
    </row>
    <row r="11973" spans="5:23" x14ac:dyDescent="0.25">
      <c r="E11973" s="4"/>
      <c r="F11973" s="4"/>
      <c r="G11973" s="33" t="str">
        <f>IFERROR(VLOOKUP($D11973,'Informations sur les produits'!$A$3:$H$10000,8,FALSE),"0")</f>
        <v>0</v>
      </c>
      <c r="K11973" s="4"/>
      <c r="L11973" s="33" t="str">
        <f>IFERROR(VLOOKUP($J11973,'Informations sur les produits'!$A$3:$H$10000,8,FALSE),"0")</f>
        <v>0</v>
      </c>
      <c r="N11973" s="8"/>
      <c r="O11973" s="33" t="str">
        <f>IFERROR(VLOOKUP($M11973,'Informations sur les produits'!$A$3:$H$10000,8,FALSE),"0")</f>
        <v>0</v>
      </c>
      <c r="P11973" s="33">
        <f t="shared" si="748"/>
        <v>0</v>
      </c>
      <c r="Q11973" s="31" t="str">
        <f t="shared" si="749"/>
        <v/>
      </c>
      <c r="R11973" s="32" t="str">
        <f>IFERROR(VLOOKUP($D11973,'Informations sur les produits'!$A$3:$B$15000,2,FALSE),"")</f>
        <v/>
      </c>
      <c r="V11973">
        <f t="shared" si="750"/>
        <v>0</v>
      </c>
      <c r="W11973">
        <f t="shared" si="751"/>
        <v>0</v>
      </c>
    </row>
    <row r="11974" spans="5:23" x14ac:dyDescent="0.25">
      <c r="E11974" s="4"/>
      <c r="F11974" s="4"/>
      <c r="G11974" s="33" t="str">
        <f>IFERROR(VLOOKUP($D11974,'Informations sur les produits'!$A$3:$H$10000,8,FALSE),"0")</f>
        <v>0</v>
      </c>
      <c r="K11974" s="4"/>
      <c r="L11974" s="33" t="str">
        <f>IFERROR(VLOOKUP($J11974,'Informations sur les produits'!$A$3:$H$10000,8,FALSE),"0")</f>
        <v>0</v>
      </c>
      <c r="N11974" s="8"/>
      <c r="O11974" s="33" t="str">
        <f>IFERROR(VLOOKUP($M11974,'Informations sur les produits'!$A$3:$H$10000,8,FALSE),"0")</f>
        <v>0</v>
      </c>
      <c r="P11974" s="33">
        <f t="shared" si="748"/>
        <v>0</v>
      </c>
      <c r="Q11974" s="31" t="str">
        <f t="shared" si="749"/>
        <v/>
      </c>
      <c r="R11974" s="32" t="str">
        <f>IFERROR(VLOOKUP($D11974,'Informations sur les produits'!$A$3:$B$15000,2,FALSE),"")</f>
        <v/>
      </c>
      <c r="V11974">
        <f t="shared" si="750"/>
        <v>0</v>
      </c>
      <c r="W11974">
        <f t="shared" si="751"/>
        <v>0</v>
      </c>
    </row>
    <row r="11975" spans="5:23" x14ac:dyDescent="0.25">
      <c r="E11975" s="4"/>
      <c r="F11975" s="4"/>
      <c r="G11975" s="33" t="str">
        <f>IFERROR(VLOOKUP($D11975,'Informations sur les produits'!$A$3:$H$10000,8,FALSE),"0")</f>
        <v>0</v>
      </c>
      <c r="K11975" s="4"/>
      <c r="L11975" s="33" t="str">
        <f>IFERROR(VLOOKUP($J11975,'Informations sur les produits'!$A$3:$H$10000,8,FALSE),"0")</f>
        <v>0</v>
      </c>
      <c r="N11975" s="8"/>
      <c r="O11975" s="33" t="str">
        <f>IFERROR(VLOOKUP($M11975,'Informations sur les produits'!$A$3:$H$10000,8,FALSE),"0")</f>
        <v>0</v>
      </c>
      <c r="P11975" s="33">
        <f t="shared" si="748"/>
        <v>0</v>
      </c>
      <c r="Q11975" s="31" t="str">
        <f t="shared" si="749"/>
        <v/>
      </c>
      <c r="R11975" s="32" t="str">
        <f>IFERROR(VLOOKUP($D11975,'Informations sur les produits'!$A$3:$B$15000,2,FALSE),"")</f>
        <v/>
      </c>
      <c r="V11975">
        <f t="shared" si="750"/>
        <v>0</v>
      </c>
      <c r="W11975">
        <f t="shared" si="751"/>
        <v>0</v>
      </c>
    </row>
    <row r="11976" spans="5:23" x14ac:dyDescent="0.25">
      <c r="E11976" s="4"/>
      <c r="F11976" s="4"/>
      <c r="G11976" s="33" t="str">
        <f>IFERROR(VLOOKUP($D11976,'Informations sur les produits'!$A$3:$H$10000,8,FALSE),"0")</f>
        <v>0</v>
      </c>
      <c r="K11976" s="4"/>
      <c r="L11976" s="33" t="str">
        <f>IFERROR(VLOOKUP($J11976,'Informations sur les produits'!$A$3:$H$10000,8,FALSE),"0")</f>
        <v>0</v>
      </c>
      <c r="N11976" s="8"/>
      <c r="O11976" s="33" t="str">
        <f>IFERROR(VLOOKUP($M11976,'Informations sur les produits'!$A$3:$H$10000,8,FALSE),"0")</f>
        <v>0</v>
      </c>
      <c r="P11976" s="33">
        <f t="shared" si="748"/>
        <v>0</v>
      </c>
      <c r="Q11976" s="31" t="str">
        <f t="shared" si="749"/>
        <v/>
      </c>
      <c r="R11976" s="32" t="str">
        <f>IFERROR(VLOOKUP($D11976,'Informations sur les produits'!$A$3:$B$15000,2,FALSE),"")</f>
        <v/>
      </c>
      <c r="V11976">
        <f t="shared" si="750"/>
        <v>0</v>
      </c>
      <c r="W11976">
        <f t="shared" si="751"/>
        <v>0</v>
      </c>
    </row>
    <row r="11977" spans="5:23" x14ac:dyDescent="0.25">
      <c r="E11977" s="4"/>
      <c r="F11977" s="4"/>
      <c r="G11977" s="33" t="str">
        <f>IFERROR(VLOOKUP($D11977,'Informations sur les produits'!$A$3:$H$10000,8,FALSE),"0")</f>
        <v>0</v>
      </c>
      <c r="K11977" s="4"/>
      <c r="L11977" s="33" t="str">
        <f>IFERROR(VLOOKUP($J11977,'Informations sur les produits'!$A$3:$H$10000,8,FALSE),"0")</f>
        <v>0</v>
      </c>
      <c r="N11977" s="8"/>
      <c r="O11977" s="33" t="str">
        <f>IFERROR(VLOOKUP($M11977,'Informations sur les produits'!$A$3:$H$10000,8,FALSE),"0")</f>
        <v>0</v>
      </c>
      <c r="P11977" s="33">
        <f t="shared" si="748"/>
        <v>0</v>
      </c>
      <c r="Q11977" s="31" t="str">
        <f t="shared" si="749"/>
        <v/>
      </c>
      <c r="R11977" s="32" t="str">
        <f>IFERROR(VLOOKUP($D11977,'Informations sur les produits'!$A$3:$B$15000,2,FALSE),"")</f>
        <v/>
      </c>
      <c r="V11977">
        <f t="shared" si="750"/>
        <v>0</v>
      </c>
      <c r="W11977">
        <f t="shared" si="751"/>
        <v>0</v>
      </c>
    </row>
    <row r="11978" spans="5:23" x14ac:dyDescent="0.25">
      <c r="E11978" s="4"/>
      <c r="F11978" s="4"/>
      <c r="G11978" s="33" t="str">
        <f>IFERROR(VLOOKUP($D11978,'Informations sur les produits'!$A$3:$H$10000,8,FALSE),"0")</f>
        <v>0</v>
      </c>
      <c r="K11978" s="4"/>
      <c r="L11978" s="33" t="str">
        <f>IFERROR(VLOOKUP($J11978,'Informations sur les produits'!$A$3:$H$10000,8,FALSE),"0")</f>
        <v>0</v>
      </c>
      <c r="N11978" s="8"/>
      <c r="O11978" s="33" t="str">
        <f>IFERROR(VLOOKUP($M11978,'Informations sur les produits'!$A$3:$H$10000,8,FALSE),"0")</f>
        <v>0</v>
      </c>
      <c r="P11978" s="33">
        <f t="shared" si="748"/>
        <v>0</v>
      </c>
      <c r="Q11978" s="31" t="str">
        <f t="shared" si="749"/>
        <v/>
      </c>
      <c r="R11978" s="32" t="str">
        <f>IFERROR(VLOOKUP($D11978,'Informations sur les produits'!$A$3:$B$15000,2,FALSE),"")</f>
        <v/>
      </c>
      <c r="V11978">
        <f t="shared" si="750"/>
        <v>0</v>
      </c>
      <c r="W11978">
        <f t="shared" si="751"/>
        <v>0</v>
      </c>
    </row>
    <row r="11979" spans="5:23" x14ac:dyDescent="0.25">
      <c r="E11979" s="4"/>
      <c r="F11979" s="4"/>
      <c r="G11979" s="33" t="str">
        <f>IFERROR(VLOOKUP($D11979,'Informations sur les produits'!$A$3:$H$10000,8,FALSE),"0")</f>
        <v>0</v>
      </c>
      <c r="K11979" s="4"/>
      <c r="L11979" s="33" t="str">
        <f>IFERROR(VLOOKUP($J11979,'Informations sur les produits'!$A$3:$H$10000,8,FALSE),"0")</f>
        <v>0</v>
      </c>
      <c r="N11979" s="8"/>
      <c r="O11979" s="33" t="str">
        <f>IFERROR(VLOOKUP($M11979,'Informations sur les produits'!$A$3:$H$10000,8,FALSE),"0")</f>
        <v>0</v>
      </c>
      <c r="P11979" s="33">
        <f t="shared" si="748"/>
        <v>0</v>
      </c>
      <c r="Q11979" s="31" t="str">
        <f t="shared" si="749"/>
        <v/>
      </c>
      <c r="R11979" s="32" t="str">
        <f>IFERROR(VLOOKUP($D11979,'Informations sur les produits'!$A$3:$B$15000,2,FALSE),"")</f>
        <v/>
      </c>
      <c r="V11979">
        <f t="shared" si="750"/>
        <v>0</v>
      </c>
      <c r="W11979">
        <f t="shared" si="751"/>
        <v>0</v>
      </c>
    </row>
    <row r="11980" spans="5:23" x14ac:dyDescent="0.25">
      <c r="E11980" s="4"/>
      <c r="F11980" s="4"/>
      <c r="G11980" s="33" t="str">
        <f>IFERROR(VLOOKUP($D11980,'Informations sur les produits'!$A$3:$H$10000,8,FALSE),"0")</f>
        <v>0</v>
      </c>
      <c r="K11980" s="4"/>
      <c r="L11980" s="33" t="str">
        <f>IFERROR(VLOOKUP($J11980,'Informations sur les produits'!$A$3:$H$10000,8,FALSE),"0")</f>
        <v>0</v>
      </c>
      <c r="N11980" s="8"/>
      <c r="O11980" s="33" t="str">
        <f>IFERROR(VLOOKUP($M11980,'Informations sur les produits'!$A$3:$H$10000,8,FALSE),"0")</f>
        <v>0</v>
      </c>
      <c r="P11980" s="33">
        <f t="shared" si="748"/>
        <v>0</v>
      </c>
      <c r="Q11980" s="31" t="str">
        <f t="shared" si="749"/>
        <v/>
      </c>
      <c r="R11980" s="32" t="str">
        <f>IFERROR(VLOOKUP($D11980,'Informations sur les produits'!$A$3:$B$15000,2,FALSE),"")</f>
        <v/>
      </c>
      <c r="V11980">
        <f t="shared" si="750"/>
        <v>0</v>
      </c>
      <c r="W11980">
        <f t="shared" si="751"/>
        <v>0</v>
      </c>
    </row>
    <row r="11981" spans="5:23" x14ac:dyDescent="0.25">
      <c r="E11981" s="4"/>
      <c r="F11981" s="4"/>
      <c r="G11981" s="33" t="str">
        <f>IFERROR(VLOOKUP($D11981,'Informations sur les produits'!$A$3:$H$10000,8,FALSE),"0")</f>
        <v>0</v>
      </c>
      <c r="K11981" s="4"/>
      <c r="L11981" s="33" t="str">
        <f>IFERROR(VLOOKUP($J11981,'Informations sur les produits'!$A$3:$H$10000,8,FALSE),"0")</f>
        <v>0</v>
      </c>
      <c r="N11981" s="8"/>
      <c r="O11981" s="33" t="str">
        <f>IFERROR(VLOOKUP($M11981,'Informations sur les produits'!$A$3:$H$10000,8,FALSE),"0")</f>
        <v>0</v>
      </c>
      <c r="P11981" s="33">
        <f t="shared" si="748"/>
        <v>0</v>
      </c>
      <c r="Q11981" s="31" t="str">
        <f t="shared" si="749"/>
        <v/>
      </c>
      <c r="R11981" s="32" t="str">
        <f>IFERROR(VLOOKUP($D11981,'Informations sur les produits'!$A$3:$B$15000,2,FALSE),"")</f>
        <v/>
      </c>
      <c r="V11981">
        <f t="shared" si="750"/>
        <v>0</v>
      </c>
      <c r="W11981">
        <f t="shared" si="751"/>
        <v>0</v>
      </c>
    </row>
    <row r="11982" spans="5:23" x14ac:dyDescent="0.25">
      <c r="E11982" s="4"/>
      <c r="F11982" s="4"/>
      <c r="G11982" s="33" t="str">
        <f>IFERROR(VLOOKUP($D11982,'Informations sur les produits'!$A$3:$H$10000,8,FALSE),"0")</f>
        <v>0</v>
      </c>
      <c r="K11982" s="4"/>
      <c r="L11982" s="33" t="str">
        <f>IFERROR(VLOOKUP($J11982,'Informations sur les produits'!$A$3:$H$10000,8,FALSE),"0")</f>
        <v>0</v>
      </c>
      <c r="N11982" s="8"/>
      <c r="O11982" s="33" t="str">
        <f>IFERROR(VLOOKUP($M11982,'Informations sur les produits'!$A$3:$H$10000,8,FALSE),"0")</f>
        <v>0</v>
      </c>
      <c r="P11982" s="33">
        <f t="shared" si="748"/>
        <v>0</v>
      </c>
      <c r="Q11982" s="31" t="str">
        <f t="shared" si="749"/>
        <v/>
      </c>
      <c r="R11982" s="32" t="str">
        <f>IFERROR(VLOOKUP($D11982,'Informations sur les produits'!$A$3:$B$15000,2,FALSE),"")</f>
        <v/>
      </c>
      <c r="V11982">
        <f t="shared" si="750"/>
        <v>0</v>
      </c>
      <c r="W11982">
        <f t="shared" si="751"/>
        <v>0</v>
      </c>
    </row>
    <row r="11983" spans="5:23" x14ac:dyDescent="0.25">
      <c r="E11983" s="4"/>
      <c r="F11983" s="4"/>
      <c r="G11983" s="33" t="str">
        <f>IFERROR(VLOOKUP($D11983,'Informations sur les produits'!$A$3:$H$10000,8,FALSE),"0")</f>
        <v>0</v>
      </c>
      <c r="K11983" s="4"/>
      <c r="L11983" s="33" t="str">
        <f>IFERROR(VLOOKUP($J11983,'Informations sur les produits'!$A$3:$H$10000,8,FALSE),"0")</f>
        <v>0</v>
      </c>
      <c r="N11983" s="8"/>
      <c r="O11983" s="33" t="str">
        <f>IFERROR(VLOOKUP($M11983,'Informations sur les produits'!$A$3:$H$10000,8,FALSE),"0")</f>
        <v>0</v>
      </c>
      <c r="P11983" s="33">
        <f t="shared" si="748"/>
        <v>0</v>
      </c>
      <c r="Q11983" s="31" t="str">
        <f t="shared" si="749"/>
        <v/>
      </c>
      <c r="R11983" s="32" t="str">
        <f>IFERROR(VLOOKUP($D11983,'Informations sur les produits'!$A$3:$B$15000,2,FALSE),"")</f>
        <v/>
      </c>
      <c r="V11983">
        <f t="shared" si="750"/>
        <v>0</v>
      </c>
      <c r="W11983">
        <f t="shared" si="751"/>
        <v>0</v>
      </c>
    </row>
    <row r="11984" spans="5:23" x14ac:dyDescent="0.25">
      <c r="E11984" s="4"/>
      <c r="F11984" s="4"/>
      <c r="G11984" s="33" t="str">
        <f>IFERROR(VLOOKUP($D11984,'Informations sur les produits'!$A$3:$H$10000,8,FALSE),"0")</f>
        <v>0</v>
      </c>
      <c r="K11984" s="4"/>
      <c r="L11984" s="33" t="str">
        <f>IFERROR(VLOOKUP($J11984,'Informations sur les produits'!$A$3:$H$10000,8,FALSE),"0")</f>
        <v>0</v>
      </c>
      <c r="N11984" s="8"/>
      <c r="O11984" s="33" t="str">
        <f>IFERROR(VLOOKUP($M11984,'Informations sur les produits'!$A$3:$H$10000,8,FALSE),"0")</f>
        <v>0</v>
      </c>
      <c r="P11984" s="33">
        <f t="shared" si="748"/>
        <v>0</v>
      </c>
      <c r="Q11984" s="31" t="str">
        <f t="shared" si="749"/>
        <v/>
      </c>
      <c r="R11984" s="32" t="str">
        <f>IFERROR(VLOOKUP($D11984,'Informations sur les produits'!$A$3:$B$15000,2,FALSE),"")</f>
        <v/>
      </c>
      <c r="V11984">
        <f t="shared" si="750"/>
        <v>0</v>
      </c>
      <c r="W11984">
        <f t="shared" si="751"/>
        <v>0</v>
      </c>
    </row>
    <row r="11985" spans="5:23" x14ac:dyDescent="0.25">
      <c r="E11985" s="4"/>
      <c r="F11985" s="4"/>
      <c r="G11985" s="33" t="str">
        <f>IFERROR(VLOOKUP($D11985,'Informations sur les produits'!$A$3:$H$10000,8,FALSE),"0")</f>
        <v>0</v>
      </c>
      <c r="K11985" s="4"/>
      <c r="L11985" s="33" t="str">
        <f>IFERROR(VLOOKUP($J11985,'Informations sur les produits'!$A$3:$H$10000,8,FALSE),"0")</f>
        <v>0</v>
      </c>
      <c r="N11985" s="8"/>
      <c r="O11985" s="33" t="str">
        <f>IFERROR(VLOOKUP($M11985,'Informations sur les produits'!$A$3:$H$10000,8,FALSE),"0")</f>
        <v>0</v>
      </c>
      <c r="P11985" s="33">
        <f t="shared" si="748"/>
        <v>0</v>
      </c>
      <c r="Q11985" s="31" t="str">
        <f t="shared" si="749"/>
        <v/>
      </c>
      <c r="R11985" s="32" t="str">
        <f>IFERROR(VLOOKUP($D11985,'Informations sur les produits'!$A$3:$B$15000,2,FALSE),"")</f>
        <v/>
      </c>
      <c r="V11985">
        <f t="shared" si="750"/>
        <v>0</v>
      </c>
      <c r="W11985">
        <f t="shared" si="751"/>
        <v>0</v>
      </c>
    </row>
    <row r="11986" spans="5:23" x14ac:dyDescent="0.25">
      <c r="E11986" s="4"/>
      <c r="F11986" s="4"/>
      <c r="G11986" s="33" t="str">
        <f>IFERROR(VLOOKUP($D11986,'Informations sur les produits'!$A$3:$H$10000,8,FALSE),"0")</f>
        <v>0</v>
      </c>
      <c r="K11986" s="4"/>
      <c r="L11986" s="33" t="str">
        <f>IFERROR(VLOOKUP($J11986,'Informations sur les produits'!$A$3:$H$10000,8,FALSE),"0")</f>
        <v>0</v>
      </c>
      <c r="N11986" s="8"/>
      <c r="O11986" s="33" t="str">
        <f>IFERROR(VLOOKUP($M11986,'Informations sur les produits'!$A$3:$H$10000,8,FALSE),"0")</f>
        <v>0</v>
      </c>
      <c r="P11986" s="33">
        <f t="shared" si="748"/>
        <v>0</v>
      </c>
      <c r="Q11986" s="31" t="str">
        <f t="shared" si="749"/>
        <v/>
      </c>
      <c r="R11986" s="32" t="str">
        <f>IFERROR(VLOOKUP($D11986,'Informations sur les produits'!$A$3:$B$15000,2,FALSE),"")</f>
        <v/>
      </c>
      <c r="V11986">
        <f t="shared" si="750"/>
        <v>0</v>
      </c>
      <c r="W11986">
        <f t="shared" si="751"/>
        <v>0</v>
      </c>
    </row>
    <row r="11987" spans="5:23" x14ac:dyDescent="0.25">
      <c r="E11987" s="4"/>
      <c r="F11987" s="4"/>
      <c r="G11987" s="33" t="str">
        <f>IFERROR(VLOOKUP($D11987,'Informations sur les produits'!$A$3:$H$10000,8,FALSE),"0")</f>
        <v>0</v>
      </c>
      <c r="K11987" s="4"/>
      <c r="L11987" s="33" t="str">
        <f>IFERROR(VLOOKUP($J11987,'Informations sur les produits'!$A$3:$H$10000,8,FALSE),"0")</f>
        <v>0</v>
      </c>
      <c r="N11987" s="8"/>
      <c r="O11987" s="33" t="str">
        <f>IFERROR(VLOOKUP($M11987,'Informations sur les produits'!$A$3:$H$10000,8,FALSE),"0")</f>
        <v>0</v>
      </c>
      <c r="P11987" s="33">
        <f t="shared" si="748"/>
        <v>0</v>
      </c>
      <c r="Q11987" s="31" t="str">
        <f t="shared" si="749"/>
        <v/>
      </c>
      <c r="R11987" s="32" t="str">
        <f>IFERROR(VLOOKUP($D11987,'Informations sur les produits'!$A$3:$B$15000,2,FALSE),"")</f>
        <v/>
      </c>
      <c r="V11987">
        <f t="shared" si="750"/>
        <v>0</v>
      </c>
      <c r="W11987">
        <f t="shared" si="751"/>
        <v>0</v>
      </c>
    </row>
    <row r="11988" spans="5:23" x14ac:dyDescent="0.25">
      <c r="E11988" s="4"/>
      <c r="F11988" s="4"/>
      <c r="G11988" s="33" t="str">
        <f>IFERROR(VLOOKUP($D11988,'Informations sur les produits'!$A$3:$H$10000,8,FALSE),"0")</f>
        <v>0</v>
      </c>
      <c r="K11988" s="4"/>
      <c r="L11988" s="33" t="str">
        <f>IFERROR(VLOOKUP($J11988,'Informations sur les produits'!$A$3:$H$10000,8,FALSE),"0")</f>
        <v>0</v>
      </c>
      <c r="N11988" s="8"/>
      <c r="O11988" s="33" t="str">
        <f>IFERROR(VLOOKUP($M11988,'Informations sur les produits'!$A$3:$H$10000,8,FALSE),"0")</f>
        <v>0</v>
      </c>
      <c r="P11988" s="33">
        <f t="shared" si="748"/>
        <v>0</v>
      </c>
      <c r="Q11988" s="31" t="str">
        <f t="shared" si="749"/>
        <v/>
      </c>
      <c r="R11988" s="32" t="str">
        <f>IFERROR(VLOOKUP($D11988,'Informations sur les produits'!$A$3:$B$15000,2,FALSE),"")</f>
        <v/>
      </c>
      <c r="V11988">
        <f t="shared" si="750"/>
        <v>0</v>
      </c>
      <c r="W11988">
        <f t="shared" si="751"/>
        <v>0</v>
      </c>
    </row>
    <row r="11989" spans="5:23" x14ac:dyDescent="0.25">
      <c r="E11989" s="4"/>
      <c r="F11989" s="4"/>
      <c r="G11989" s="33" t="str">
        <f>IFERROR(VLOOKUP($D11989,'Informations sur les produits'!$A$3:$H$10000,8,FALSE),"0")</f>
        <v>0</v>
      </c>
      <c r="K11989" s="4"/>
      <c r="L11989" s="33" t="str">
        <f>IFERROR(VLOOKUP($J11989,'Informations sur les produits'!$A$3:$H$10000,8,FALSE),"0")</f>
        <v>0</v>
      </c>
      <c r="N11989" s="8"/>
      <c r="O11989" s="33" t="str">
        <f>IFERROR(VLOOKUP($M11989,'Informations sur les produits'!$A$3:$H$10000,8,FALSE),"0")</f>
        <v>0</v>
      </c>
      <c r="P11989" s="33">
        <f t="shared" si="748"/>
        <v>0</v>
      </c>
      <c r="Q11989" s="31" t="str">
        <f t="shared" si="749"/>
        <v/>
      </c>
      <c r="R11989" s="32" t="str">
        <f>IFERROR(VLOOKUP($D11989,'Informations sur les produits'!$A$3:$B$15000,2,FALSE),"")</f>
        <v/>
      </c>
      <c r="V11989">
        <f t="shared" si="750"/>
        <v>0</v>
      </c>
      <c r="W11989">
        <f t="shared" si="751"/>
        <v>0</v>
      </c>
    </row>
    <row r="11990" spans="5:23" x14ac:dyDescent="0.25">
      <c r="E11990" s="4"/>
      <c r="F11990" s="4"/>
      <c r="G11990" s="33" t="str">
        <f>IFERROR(VLOOKUP($D11990,'Informations sur les produits'!$A$3:$H$10000,8,FALSE),"0")</f>
        <v>0</v>
      </c>
      <c r="K11990" s="4"/>
      <c r="L11990" s="33" t="str">
        <f>IFERROR(VLOOKUP($J11990,'Informations sur les produits'!$A$3:$H$10000,8,FALSE),"0")</f>
        <v>0</v>
      </c>
      <c r="N11990" s="8"/>
      <c r="O11990" s="33" t="str">
        <f>IFERROR(VLOOKUP($M11990,'Informations sur les produits'!$A$3:$H$10000,8,FALSE),"0")</f>
        <v>0</v>
      </c>
      <c r="P11990" s="33">
        <f t="shared" si="748"/>
        <v>0</v>
      </c>
      <c r="Q11990" s="31" t="str">
        <f t="shared" si="749"/>
        <v/>
      </c>
      <c r="R11990" s="32" t="str">
        <f>IFERROR(VLOOKUP($D11990,'Informations sur les produits'!$A$3:$B$15000,2,FALSE),"")</f>
        <v/>
      </c>
      <c r="V11990">
        <f t="shared" si="750"/>
        <v>0</v>
      </c>
      <c r="W11990">
        <f t="shared" si="751"/>
        <v>0</v>
      </c>
    </row>
    <row r="11991" spans="5:23" x14ac:dyDescent="0.25">
      <c r="E11991" s="4"/>
      <c r="F11991" s="4"/>
      <c r="G11991" s="33" t="str">
        <f>IFERROR(VLOOKUP($D11991,'Informations sur les produits'!$A$3:$H$10000,8,FALSE),"0")</f>
        <v>0</v>
      </c>
      <c r="K11991" s="4"/>
      <c r="L11991" s="33" t="str">
        <f>IFERROR(VLOOKUP($J11991,'Informations sur les produits'!$A$3:$H$10000,8,FALSE),"0")</f>
        <v>0</v>
      </c>
      <c r="N11991" s="8"/>
      <c r="O11991" s="33" t="str">
        <f>IFERROR(VLOOKUP($M11991,'Informations sur les produits'!$A$3:$H$10000,8,FALSE),"0")</f>
        <v>0</v>
      </c>
      <c r="P11991" s="33">
        <f t="shared" si="748"/>
        <v>0</v>
      </c>
      <c r="Q11991" s="31" t="str">
        <f t="shared" si="749"/>
        <v/>
      </c>
      <c r="R11991" s="32" t="str">
        <f>IFERROR(VLOOKUP($D11991,'Informations sur les produits'!$A$3:$B$15000,2,FALSE),"")</f>
        <v/>
      </c>
      <c r="V11991">
        <f t="shared" si="750"/>
        <v>0</v>
      </c>
      <c r="W11991">
        <f t="shared" si="751"/>
        <v>0</v>
      </c>
    </row>
    <row r="11992" spans="5:23" x14ac:dyDescent="0.25">
      <c r="E11992" s="4"/>
      <c r="F11992" s="4"/>
      <c r="G11992" s="33" t="str">
        <f>IFERROR(VLOOKUP($D11992,'Informations sur les produits'!$A$3:$H$10000,8,FALSE),"0")</f>
        <v>0</v>
      </c>
      <c r="K11992" s="4"/>
      <c r="L11992" s="33" t="str">
        <f>IFERROR(VLOOKUP($J11992,'Informations sur les produits'!$A$3:$H$10000,8,FALSE),"0")</f>
        <v>0</v>
      </c>
      <c r="N11992" s="8"/>
      <c r="O11992" s="33" t="str">
        <f>IFERROR(VLOOKUP($M11992,'Informations sur les produits'!$A$3:$H$10000,8,FALSE),"0")</f>
        <v>0</v>
      </c>
      <c r="P11992" s="33">
        <f t="shared" si="748"/>
        <v>0</v>
      </c>
      <c r="Q11992" s="31" t="str">
        <f t="shared" si="749"/>
        <v/>
      </c>
      <c r="R11992" s="32" t="str">
        <f>IFERROR(VLOOKUP($D11992,'Informations sur les produits'!$A$3:$B$15000,2,FALSE),"")</f>
        <v/>
      </c>
      <c r="V11992">
        <f t="shared" si="750"/>
        <v>0</v>
      </c>
      <c r="W11992">
        <f t="shared" si="751"/>
        <v>0</v>
      </c>
    </row>
    <row r="11993" spans="5:23" x14ac:dyDescent="0.25">
      <c r="E11993" s="4"/>
      <c r="F11993" s="4"/>
      <c r="G11993" s="33" t="str">
        <f>IFERROR(VLOOKUP($D11993,'Informations sur les produits'!$A$3:$H$10000,8,FALSE),"0")</f>
        <v>0</v>
      </c>
      <c r="K11993" s="4"/>
      <c r="L11993" s="33" t="str">
        <f>IFERROR(VLOOKUP($J11993,'Informations sur les produits'!$A$3:$H$10000,8,FALSE),"0")</f>
        <v>0</v>
      </c>
      <c r="N11993" s="8"/>
      <c r="O11993" s="33" t="str">
        <f>IFERROR(VLOOKUP($M11993,'Informations sur les produits'!$A$3:$H$10000,8,FALSE),"0")</f>
        <v>0</v>
      </c>
      <c r="P11993" s="33">
        <f t="shared" si="748"/>
        <v>0</v>
      </c>
      <c r="Q11993" s="31" t="str">
        <f t="shared" si="749"/>
        <v/>
      </c>
      <c r="R11993" s="32" t="str">
        <f>IFERROR(VLOOKUP($D11993,'Informations sur les produits'!$A$3:$B$15000,2,FALSE),"")</f>
        <v/>
      </c>
      <c r="V11993">
        <f t="shared" si="750"/>
        <v>0</v>
      </c>
      <c r="W11993">
        <f t="shared" si="751"/>
        <v>0</v>
      </c>
    </row>
    <row r="11994" spans="5:23" x14ac:dyDescent="0.25">
      <c r="E11994" s="4"/>
      <c r="F11994" s="4"/>
      <c r="G11994" s="33" t="str">
        <f>IFERROR(VLOOKUP($D11994,'Informations sur les produits'!$A$3:$H$10000,8,FALSE),"0")</f>
        <v>0</v>
      </c>
      <c r="K11994" s="4"/>
      <c r="L11994" s="33" t="str">
        <f>IFERROR(VLOOKUP($J11994,'Informations sur les produits'!$A$3:$H$10000,8,FALSE),"0")</f>
        <v>0</v>
      </c>
      <c r="N11994" s="8"/>
      <c r="O11994" s="33" t="str">
        <f>IFERROR(VLOOKUP($M11994,'Informations sur les produits'!$A$3:$H$10000,8,FALSE),"0")</f>
        <v>0</v>
      </c>
      <c r="P11994" s="33">
        <f t="shared" si="748"/>
        <v>0</v>
      </c>
      <c r="Q11994" s="31" t="str">
        <f t="shared" si="749"/>
        <v/>
      </c>
      <c r="R11994" s="32" t="str">
        <f>IFERROR(VLOOKUP($D11994,'Informations sur les produits'!$A$3:$B$15000,2,FALSE),"")</f>
        <v/>
      </c>
      <c r="V11994">
        <f t="shared" si="750"/>
        <v>0</v>
      </c>
      <c r="W11994">
        <f t="shared" si="751"/>
        <v>0</v>
      </c>
    </row>
    <row r="11995" spans="5:23" x14ac:dyDescent="0.25">
      <c r="E11995" s="4"/>
      <c r="F11995" s="4"/>
      <c r="G11995" s="33" t="str">
        <f>IFERROR(VLOOKUP($D11995,'Informations sur les produits'!$A$3:$H$10000,8,FALSE),"0")</f>
        <v>0</v>
      </c>
      <c r="K11995" s="4"/>
      <c r="L11995" s="33" t="str">
        <f>IFERROR(VLOOKUP($J11995,'Informations sur les produits'!$A$3:$H$10000,8,FALSE),"0")</f>
        <v>0</v>
      </c>
      <c r="N11995" s="8"/>
      <c r="O11995" s="33" t="str">
        <f>IFERROR(VLOOKUP($M11995,'Informations sur les produits'!$A$3:$H$10000,8,FALSE),"0")</f>
        <v>0</v>
      </c>
      <c r="P11995" s="33">
        <f t="shared" si="748"/>
        <v>0</v>
      </c>
      <c r="Q11995" s="31" t="str">
        <f t="shared" si="749"/>
        <v/>
      </c>
      <c r="R11995" s="32" t="str">
        <f>IFERROR(VLOOKUP($D11995,'Informations sur les produits'!$A$3:$B$15000,2,FALSE),"")</f>
        <v/>
      </c>
      <c r="V11995">
        <f t="shared" si="750"/>
        <v>0</v>
      </c>
      <c r="W11995">
        <f t="shared" si="751"/>
        <v>0</v>
      </c>
    </row>
    <row r="11996" spans="5:23" x14ac:dyDescent="0.25">
      <c r="E11996" s="4"/>
      <c r="F11996" s="4"/>
      <c r="G11996" s="33" t="str">
        <f>IFERROR(VLOOKUP($D11996,'Informations sur les produits'!$A$3:$H$10000,8,FALSE),"0")</f>
        <v>0</v>
      </c>
      <c r="K11996" s="4"/>
      <c r="L11996" s="33" t="str">
        <f>IFERROR(VLOOKUP($J11996,'Informations sur les produits'!$A$3:$H$10000,8,FALSE),"0")</f>
        <v>0</v>
      </c>
      <c r="N11996" s="8"/>
      <c r="O11996" s="33" t="str">
        <f>IFERROR(VLOOKUP($M11996,'Informations sur les produits'!$A$3:$H$10000,8,FALSE),"0")</f>
        <v>0</v>
      </c>
      <c r="P11996" s="33">
        <f t="shared" si="748"/>
        <v>0</v>
      </c>
      <c r="Q11996" s="31" t="str">
        <f t="shared" si="749"/>
        <v/>
      </c>
      <c r="R11996" s="32" t="str">
        <f>IFERROR(VLOOKUP($D11996,'Informations sur les produits'!$A$3:$B$15000,2,FALSE),"")</f>
        <v/>
      </c>
      <c r="V11996">
        <f t="shared" si="750"/>
        <v>0</v>
      </c>
      <c r="W11996">
        <f t="shared" si="751"/>
        <v>0</v>
      </c>
    </row>
    <row r="11997" spans="5:23" x14ac:dyDescent="0.25">
      <c r="E11997" s="4"/>
      <c r="F11997" s="4"/>
      <c r="G11997" s="33" t="str">
        <f>IFERROR(VLOOKUP($D11997,'Informations sur les produits'!$A$3:$H$10000,8,FALSE),"0")</f>
        <v>0</v>
      </c>
      <c r="K11997" s="4"/>
      <c r="L11997" s="33" t="str">
        <f>IFERROR(VLOOKUP($J11997,'Informations sur les produits'!$A$3:$H$10000,8,FALSE),"0")</f>
        <v>0</v>
      </c>
      <c r="N11997" s="8"/>
      <c r="O11997" s="33" t="str">
        <f>IFERROR(VLOOKUP($M11997,'Informations sur les produits'!$A$3:$H$10000,8,FALSE),"0")</f>
        <v>0</v>
      </c>
      <c r="P11997" s="33">
        <f t="shared" si="748"/>
        <v>0</v>
      </c>
      <c r="Q11997" s="31" t="str">
        <f t="shared" si="749"/>
        <v/>
      </c>
      <c r="R11997" s="32" t="str">
        <f>IFERROR(VLOOKUP($D11997,'Informations sur les produits'!$A$3:$B$15000,2,FALSE),"")</f>
        <v/>
      </c>
      <c r="V11997">
        <f t="shared" si="750"/>
        <v>0</v>
      </c>
      <c r="W11997">
        <f t="shared" si="751"/>
        <v>0</v>
      </c>
    </row>
    <row r="11998" spans="5:23" x14ac:dyDescent="0.25">
      <c r="E11998" s="4"/>
      <c r="F11998" s="4"/>
      <c r="G11998" s="33" t="str">
        <f>IFERROR(VLOOKUP($D11998,'Informations sur les produits'!$A$3:$H$10000,8,FALSE),"0")</f>
        <v>0</v>
      </c>
      <c r="K11998" s="4"/>
      <c r="L11998" s="33" t="str">
        <f>IFERROR(VLOOKUP($J11998,'Informations sur les produits'!$A$3:$H$10000,8,FALSE),"0")</f>
        <v>0</v>
      </c>
      <c r="N11998" s="8"/>
      <c r="O11998" s="33" t="str">
        <f>IFERROR(VLOOKUP($M11998,'Informations sur les produits'!$A$3:$H$10000,8,FALSE),"0")</f>
        <v>0</v>
      </c>
      <c r="P11998" s="33">
        <f t="shared" si="748"/>
        <v>0</v>
      </c>
      <c r="Q11998" s="31" t="str">
        <f t="shared" si="749"/>
        <v/>
      </c>
      <c r="R11998" s="32" t="str">
        <f>IFERROR(VLOOKUP($D11998,'Informations sur les produits'!$A$3:$B$15000,2,FALSE),"")</f>
        <v/>
      </c>
      <c r="V11998">
        <f t="shared" si="750"/>
        <v>0</v>
      </c>
      <c r="W11998">
        <f t="shared" si="751"/>
        <v>0</v>
      </c>
    </row>
    <row r="11999" spans="5:23" x14ac:dyDescent="0.25">
      <c r="E11999" s="4"/>
      <c r="F11999" s="4"/>
      <c r="G11999" s="33" t="str">
        <f>IFERROR(VLOOKUP($D11999,'Informations sur les produits'!$A$3:$H$10000,8,FALSE),"0")</f>
        <v>0</v>
      </c>
      <c r="K11999" s="4"/>
      <c r="L11999" s="33" t="str">
        <f>IFERROR(VLOOKUP($J11999,'Informations sur les produits'!$A$3:$H$10000,8,FALSE),"0")</f>
        <v>0</v>
      </c>
      <c r="N11999" s="8"/>
      <c r="O11999" s="33" t="str">
        <f>IFERROR(VLOOKUP($M11999,'Informations sur les produits'!$A$3:$H$10000,8,FALSE),"0")</f>
        <v>0</v>
      </c>
      <c r="P11999" s="33">
        <f t="shared" si="748"/>
        <v>0</v>
      </c>
      <c r="Q11999" s="31" t="str">
        <f t="shared" si="749"/>
        <v/>
      </c>
      <c r="R11999" s="32" t="str">
        <f>IFERROR(VLOOKUP($D11999,'Informations sur les produits'!$A$3:$B$15000,2,FALSE),"")</f>
        <v/>
      </c>
      <c r="V11999">
        <f t="shared" si="750"/>
        <v>0</v>
      </c>
      <c r="W11999">
        <f t="shared" si="751"/>
        <v>0</v>
      </c>
    </row>
    <row r="12000" spans="5:23" x14ac:dyDescent="0.25">
      <c r="E12000" s="4"/>
      <c r="F12000" s="4"/>
      <c r="G12000" s="33" t="str">
        <f>IFERROR(VLOOKUP($D12000,'Informations sur les produits'!$A$3:$H$10000,8,FALSE),"0")</f>
        <v>0</v>
      </c>
      <c r="K12000" s="4"/>
      <c r="L12000" s="33" t="str">
        <f>IFERROR(VLOOKUP($J12000,'Informations sur les produits'!$A$3:$H$10000,8,FALSE),"0")</f>
        <v>0</v>
      </c>
      <c r="N12000" s="8"/>
      <c r="O12000" s="33" t="str">
        <f>IFERROR(VLOOKUP($M12000,'Informations sur les produits'!$A$3:$H$10000,8,FALSE),"0")</f>
        <v>0</v>
      </c>
      <c r="P12000" s="33">
        <f t="shared" si="748"/>
        <v>0</v>
      </c>
      <c r="Q12000" s="31" t="str">
        <f t="shared" si="749"/>
        <v/>
      </c>
      <c r="R12000" s="32" t="str">
        <f>IFERROR(VLOOKUP($D12000,'Informations sur les produits'!$A$3:$B$15000,2,FALSE),"")</f>
        <v/>
      </c>
      <c r="V12000">
        <f t="shared" si="750"/>
        <v>0</v>
      </c>
      <c r="W12000">
        <f t="shared" si="751"/>
        <v>0</v>
      </c>
    </row>
    <row r="12001" spans="5:23" x14ac:dyDescent="0.25">
      <c r="E12001" s="4"/>
      <c r="F12001" s="4"/>
      <c r="G12001" s="33" t="str">
        <f>IFERROR(VLOOKUP($D12001,'Informations sur les produits'!$A$3:$H$10000,8,FALSE),"0")</f>
        <v>0</v>
      </c>
      <c r="K12001" s="4"/>
      <c r="L12001" s="33" t="str">
        <f>IFERROR(VLOOKUP($J12001,'Informations sur les produits'!$A$3:$H$10000,8,FALSE),"0")</f>
        <v>0</v>
      </c>
      <c r="N12001" s="8"/>
      <c r="O12001" s="33" t="str">
        <f>IFERROR(VLOOKUP($M12001,'Informations sur les produits'!$A$3:$H$10000,8,FALSE),"0")</f>
        <v>0</v>
      </c>
      <c r="P12001" s="33">
        <f t="shared" si="748"/>
        <v>0</v>
      </c>
      <c r="Q12001" s="31" t="str">
        <f t="shared" si="749"/>
        <v/>
      </c>
      <c r="R12001" s="32" t="str">
        <f>IFERROR(VLOOKUP($D12001,'Informations sur les produits'!$A$3:$B$15000,2,FALSE),"")</f>
        <v/>
      </c>
      <c r="V12001">
        <f t="shared" si="750"/>
        <v>0</v>
      </c>
      <c r="W12001">
        <f t="shared" si="751"/>
        <v>0</v>
      </c>
    </row>
    <row r="12002" spans="5:23" x14ac:dyDescent="0.25">
      <c r="E12002" s="4"/>
      <c r="F12002" s="4"/>
      <c r="G12002" s="33" t="str">
        <f>IFERROR(VLOOKUP($D12002,'Informations sur les produits'!$A$3:$H$10000,8,FALSE),"0")</f>
        <v>0</v>
      </c>
      <c r="K12002" s="4"/>
      <c r="L12002" s="33" t="str">
        <f>IFERROR(VLOOKUP($J12002,'Informations sur les produits'!$A$3:$H$10000,8,FALSE),"0")</f>
        <v>0</v>
      </c>
      <c r="N12002" s="8"/>
      <c r="O12002" s="33" t="str">
        <f>IFERROR(VLOOKUP($M12002,'Informations sur les produits'!$A$3:$H$10000,8,FALSE),"0")</f>
        <v>0</v>
      </c>
      <c r="P12002" s="33">
        <f t="shared" si="748"/>
        <v>0</v>
      </c>
      <c r="Q12002" s="31" t="str">
        <f t="shared" si="749"/>
        <v/>
      </c>
      <c r="R12002" s="32" t="str">
        <f>IFERROR(VLOOKUP($D12002,'Informations sur les produits'!$A$3:$B$15000,2,FALSE),"")</f>
        <v/>
      </c>
      <c r="V12002">
        <f t="shared" si="750"/>
        <v>0</v>
      </c>
      <c r="W12002">
        <f t="shared" si="751"/>
        <v>0</v>
      </c>
    </row>
    <row r="12003" spans="5:23" x14ac:dyDescent="0.25">
      <c r="E12003" s="4"/>
      <c r="F12003" s="4"/>
      <c r="G12003" s="33" t="str">
        <f>IFERROR(VLOOKUP($D12003,'Informations sur les produits'!$A$3:$H$10000,8,FALSE),"0")</f>
        <v>0</v>
      </c>
      <c r="K12003" s="4"/>
      <c r="L12003" s="33" t="str">
        <f>IFERROR(VLOOKUP($J12003,'Informations sur les produits'!$A$3:$H$10000,8,FALSE),"0")</f>
        <v>0</v>
      </c>
      <c r="N12003" s="8"/>
      <c r="O12003" s="33" t="str">
        <f>IFERROR(VLOOKUP($M12003,'Informations sur les produits'!$A$3:$H$10000,8,FALSE),"0")</f>
        <v>0</v>
      </c>
      <c r="P12003" s="33">
        <f t="shared" si="748"/>
        <v>0</v>
      </c>
      <c r="Q12003" s="31" t="str">
        <f t="shared" si="749"/>
        <v/>
      </c>
      <c r="R12003" s="32" t="str">
        <f>IFERROR(VLOOKUP($D12003,'Informations sur les produits'!$A$3:$B$15000,2,FALSE),"")</f>
        <v/>
      </c>
      <c r="V12003">
        <f t="shared" si="750"/>
        <v>0</v>
      </c>
      <c r="W12003">
        <f t="shared" si="751"/>
        <v>0</v>
      </c>
    </row>
    <row r="12004" spans="5:23" x14ac:dyDescent="0.25">
      <c r="E12004" s="4"/>
      <c r="F12004" s="4"/>
      <c r="G12004" s="33" t="str">
        <f>IFERROR(VLOOKUP($D12004,'Informations sur les produits'!$A$3:$H$10000,8,FALSE),"0")</f>
        <v>0</v>
      </c>
      <c r="K12004" s="4"/>
      <c r="L12004" s="33" t="str">
        <f>IFERROR(VLOOKUP($J12004,'Informations sur les produits'!$A$3:$H$10000,8,FALSE),"0")</f>
        <v>0</v>
      </c>
      <c r="N12004" s="8"/>
      <c r="O12004" s="33" t="str">
        <f>IFERROR(VLOOKUP($M12004,'Informations sur les produits'!$A$3:$H$10000,8,FALSE),"0")</f>
        <v>0</v>
      </c>
      <c r="P12004" s="33">
        <f t="shared" si="748"/>
        <v>0</v>
      </c>
      <c r="Q12004" s="31" t="str">
        <f t="shared" si="749"/>
        <v/>
      </c>
      <c r="R12004" s="32" t="str">
        <f>IFERROR(VLOOKUP($D12004,'Informations sur les produits'!$A$3:$B$15000,2,FALSE),"")</f>
        <v/>
      </c>
      <c r="V12004">
        <f t="shared" si="750"/>
        <v>0</v>
      </c>
      <c r="W12004">
        <f t="shared" si="751"/>
        <v>0</v>
      </c>
    </row>
    <row r="12005" spans="5:23" x14ac:dyDescent="0.25">
      <c r="E12005" s="4"/>
      <c r="F12005" s="4"/>
      <c r="G12005" s="33" t="str">
        <f>IFERROR(VLOOKUP($D12005,'Informations sur les produits'!$A$3:$H$10000,8,FALSE),"0")</f>
        <v>0</v>
      </c>
      <c r="K12005" s="4"/>
      <c r="L12005" s="33" t="str">
        <f>IFERROR(VLOOKUP($J12005,'Informations sur les produits'!$A$3:$H$10000,8,FALSE),"0")</f>
        <v>0</v>
      </c>
      <c r="N12005" s="8"/>
      <c r="O12005" s="33" t="str">
        <f>IFERROR(VLOOKUP($M12005,'Informations sur les produits'!$A$3:$H$10000,8,FALSE),"0")</f>
        <v>0</v>
      </c>
      <c r="P12005" s="33">
        <f t="shared" si="748"/>
        <v>0</v>
      </c>
      <c r="Q12005" s="31" t="str">
        <f t="shared" si="749"/>
        <v/>
      </c>
      <c r="R12005" s="32" t="str">
        <f>IFERROR(VLOOKUP($D12005,'Informations sur les produits'!$A$3:$B$15000,2,FALSE),"")</f>
        <v/>
      </c>
      <c r="V12005">
        <f t="shared" si="750"/>
        <v>0</v>
      </c>
      <c r="W12005">
        <f t="shared" si="751"/>
        <v>0</v>
      </c>
    </row>
    <row r="12006" spans="5:23" x14ac:dyDescent="0.25">
      <c r="E12006" s="4"/>
      <c r="F12006" s="4"/>
      <c r="G12006" s="33" t="str">
        <f>IFERROR(VLOOKUP($D12006,'Informations sur les produits'!$A$3:$H$10000,8,FALSE),"0")</f>
        <v>0</v>
      </c>
      <c r="K12006" s="4"/>
      <c r="L12006" s="33" t="str">
        <f>IFERROR(VLOOKUP($J12006,'Informations sur les produits'!$A$3:$H$10000,8,FALSE),"0")</f>
        <v>0</v>
      </c>
      <c r="N12006" s="8"/>
      <c r="O12006" s="33" t="str">
        <f>IFERROR(VLOOKUP($M12006,'Informations sur les produits'!$A$3:$H$10000,8,FALSE),"0")</f>
        <v>0</v>
      </c>
      <c r="P12006" s="33">
        <f t="shared" si="748"/>
        <v>0</v>
      </c>
      <c r="Q12006" s="31" t="str">
        <f t="shared" si="749"/>
        <v/>
      </c>
      <c r="R12006" s="32" t="str">
        <f>IFERROR(VLOOKUP($D12006,'Informations sur les produits'!$A$3:$B$15000,2,FALSE),"")</f>
        <v/>
      </c>
      <c r="V12006">
        <f t="shared" si="750"/>
        <v>0</v>
      </c>
      <c r="W12006">
        <f t="shared" si="751"/>
        <v>0</v>
      </c>
    </row>
    <row r="12007" spans="5:23" x14ac:dyDescent="0.25">
      <c r="E12007" s="4"/>
      <c r="F12007" s="4"/>
      <c r="G12007" s="33" t="str">
        <f>IFERROR(VLOOKUP($D12007,'Informations sur les produits'!$A$3:$H$10000,8,FALSE),"0")</f>
        <v>0</v>
      </c>
      <c r="K12007" s="4"/>
      <c r="L12007" s="33" t="str">
        <f>IFERROR(VLOOKUP($J12007,'Informations sur les produits'!$A$3:$H$10000,8,FALSE),"0")</f>
        <v>0</v>
      </c>
      <c r="N12007" s="8"/>
      <c r="O12007" s="33" t="str">
        <f>IFERROR(VLOOKUP($M12007,'Informations sur les produits'!$A$3:$H$10000,8,FALSE),"0")</f>
        <v>0</v>
      </c>
      <c r="P12007" s="33">
        <f t="shared" si="748"/>
        <v>0</v>
      </c>
      <c r="Q12007" s="31" t="str">
        <f t="shared" si="749"/>
        <v/>
      </c>
      <c r="R12007" s="32" t="str">
        <f>IFERROR(VLOOKUP($D12007,'Informations sur les produits'!$A$3:$B$15000,2,FALSE),"")</f>
        <v/>
      </c>
      <c r="V12007">
        <f t="shared" si="750"/>
        <v>0</v>
      </c>
      <c r="W12007">
        <f t="shared" si="751"/>
        <v>0</v>
      </c>
    </row>
    <row r="12008" spans="5:23" x14ac:dyDescent="0.25">
      <c r="E12008" s="4"/>
      <c r="F12008" s="4"/>
      <c r="G12008" s="33" t="str">
        <f>IFERROR(VLOOKUP($D12008,'Informations sur les produits'!$A$3:$H$10000,8,FALSE),"0")</f>
        <v>0</v>
      </c>
      <c r="K12008" s="4"/>
      <c r="L12008" s="33" t="str">
        <f>IFERROR(VLOOKUP($J12008,'Informations sur les produits'!$A$3:$H$10000,8,FALSE),"0")</f>
        <v>0</v>
      </c>
      <c r="N12008" s="8"/>
      <c r="O12008" s="33" t="str">
        <f>IFERROR(VLOOKUP($M12008,'Informations sur les produits'!$A$3:$H$10000,8,FALSE),"0")</f>
        <v>0</v>
      </c>
      <c r="P12008" s="33">
        <f t="shared" si="748"/>
        <v>0</v>
      </c>
      <c r="Q12008" s="31" t="str">
        <f t="shared" si="749"/>
        <v/>
      </c>
      <c r="R12008" s="32" t="str">
        <f>IFERROR(VLOOKUP($D12008,'Informations sur les produits'!$A$3:$B$15000,2,FALSE),"")</f>
        <v/>
      </c>
      <c r="V12008">
        <f t="shared" si="750"/>
        <v>0</v>
      </c>
      <c r="W12008">
        <f t="shared" si="751"/>
        <v>0</v>
      </c>
    </row>
    <row r="12009" spans="5:23" x14ac:dyDescent="0.25">
      <c r="E12009" s="4"/>
      <c r="F12009" s="4"/>
      <c r="G12009" s="33" t="str">
        <f>IFERROR(VLOOKUP($D12009,'Informations sur les produits'!$A$3:$H$10000,8,FALSE),"0")</f>
        <v>0</v>
      </c>
      <c r="K12009" s="4"/>
      <c r="L12009" s="33" t="str">
        <f>IFERROR(VLOOKUP($J12009,'Informations sur les produits'!$A$3:$H$10000,8,FALSE),"0")</f>
        <v>0</v>
      </c>
      <c r="N12009" s="8"/>
      <c r="O12009" s="33" t="str">
        <f>IFERROR(VLOOKUP($M12009,'Informations sur les produits'!$A$3:$H$10000,8,FALSE),"0")</f>
        <v>0</v>
      </c>
      <c r="P12009" s="33">
        <f t="shared" si="748"/>
        <v>0</v>
      </c>
      <c r="Q12009" s="31" t="str">
        <f t="shared" si="749"/>
        <v/>
      </c>
      <c r="R12009" s="32" t="str">
        <f>IFERROR(VLOOKUP($D12009,'Informations sur les produits'!$A$3:$B$15000,2,FALSE),"")</f>
        <v/>
      </c>
      <c r="V12009">
        <f t="shared" si="750"/>
        <v>0</v>
      </c>
      <c r="W12009">
        <f t="shared" si="751"/>
        <v>0</v>
      </c>
    </row>
    <row r="12010" spans="5:23" x14ac:dyDescent="0.25">
      <c r="E12010" s="4"/>
      <c r="F12010" s="4"/>
      <c r="G12010" s="33" t="str">
        <f>IFERROR(VLOOKUP($D12010,'Informations sur les produits'!$A$3:$H$10000,8,FALSE),"0")</f>
        <v>0</v>
      </c>
      <c r="K12010" s="4"/>
      <c r="L12010" s="33" t="str">
        <f>IFERROR(VLOOKUP($J12010,'Informations sur les produits'!$A$3:$H$10000,8,FALSE),"0")</f>
        <v>0</v>
      </c>
      <c r="N12010" s="8"/>
      <c r="O12010" s="33" t="str">
        <f>IFERROR(VLOOKUP($M12010,'Informations sur les produits'!$A$3:$H$10000,8,FALSE),"0")</f>
        <v>0</v>
      </c>
      <c r="P12010" s="33">
        <f t="shared" si="748"/>
        <v>0</v>
      </c>
      <c r="Q12010" s="31" t="str">
        <f t="shared" si="749"/>
        <v/>
      </c>
      <c r="R12010" s="32" t="str">
        <f>IFERROR(VLOOKUP($D12010,'Informations sur les produits'!$A$3:$B$15000,2,FALSE),"")</f>
        <v/>
      </c>
      <c r="V12010">
        <f t="shared" si="750"/>
        <v>0</v>
      </c>
      <c r="W12010">
        <f t="shared" si="751"/>
        <v>0</v>
      </c>
    </row>
    <row r="12011" spans="5:23" x14ac:dyDescent="0.25">
      <c r="E12011" s="4"/>
      <c r="F12011" s="4"/>
      <c r="G12011" s="33" t="str">
        <f>IFERROR(VLOOKUP($D12011,'Informations sur les produits'!$A$3:$H$10000,8,FALSE),"0")</f>
        <v>0</v>
      </c>
      <c r="K12011" s="4"/>
      <c r="L12011" s="33" t="str">
        <f>IFERROR(VLOOKUP($J12011,'Informations sur les produits'!$A$3:$H$10000,8,FALSE),"0")</f>
        <v>0</v>
      </c>
      <c r="N12011" s="8"/>
      <c r="O12011" s="33" t="str">
        <f>IFERROR(VLOOKUP($M12011,'Informations sur les produits'!$A$3:$H$10000,8,FALSE),"0")</f>
        <v>0</v>
      </c>
      <c r="P12011" s="33">
        <f t="shared" si="748"/>
        <v>0</v>
      </c>
      <c r="Q12011" s="31" t="str">
        <f t="shared" si="749"/>
        <v/>
      </c>
      <c r="R12011" s="32" t="str">
        <f>IFERROR(VLOOKUP($D12011,'Informations sur les produits'!$A$3:$B$15000,2,FALSE),"")</f>
        <v/>
      </c>
      <c r="V12011">
        <f t="shared" si="750"/>
        <v>0</v>
      </c>
      <c r="W12011">
        <f t="shared" si="751"/>
        <v>0</v>
      </c>
    </row>
    <row r="12012" spans="5:23" x14ac:dyDescent="0.25">
      <c r="E12012" s="4"/>
      <c r="F12012" s="4"/>
      <c r="G12012" s="33" t="str">
        <f>IFERROR(VLOOKUP($D12012,'Informations sur les produits'!$A$3:$H$10000,8,FALSE),"0")</f>
        <v>0</v>
      </c>
      <c r="K12012" s="4"/>
      <c r="L12012" s="33" t="str">
        <f>IFERROR(VLOOKUP($J12012,'Informations sur les produits'!$A$3:$H$10000,8,FALSE),"0")</f>
        <v>0</v>
      </c>
      <c r="N12012" s="8"/>
      <c r="O12012" s="33" t="str">
        <f>IFERROR(VLOOKUP($M12012,'Informations sur les produits'!$A$3:$H$10000,8,FALSE),"0")</f>
        <v>0</v>
      </c>
      <c r="P12012" s="33">
        <f t="shared" si="748"/>
        <v>0</v>
      </c>
      <c r="Q12012" s="31" t="str">
        <f t="shared" si="749"/>
        <v/>
      </c>
      <c r="R12012" s="32" t="str">
        <f>IFERROR(VLOOKUP($D12012,'Informations sur les produits'!$A$3:$B$15000,2,FALSE),"")</f>
        <v/>
      </c>
      <c r="V12012">
        <f t="shared" si="750"/>
        <v>0</v>
      </c>
      <c r="W12012">
        <f t="shared" si="751"/>
        <v>0</v>
      </c>
    </row>
    <row r="12013" spans="5:23" x14ac:dyDescent="0.25">
      <c r="E12013" s="4"/>
      <c r="F12013" s="4"/>
      <c r="G12013" s="33" t="str">
        <f>IFERROR(VLOOKUP($D12013,'Informations sur les produits'!$A$3:$H$10000,8,FALSE),"0")</f>
        <v>0</v>
      </c>
      <c r="K12013" s="4"/>
      <c r="L12013" s="33" t="str">
        <f>IFERROR(VLOOKUP($J12013,'Informations sur les produits'!$A$3:$H$10000,8,FALSE),"0")</f>
        <v>0</v>
      </c>
      <c r="N12013" s="8"/>
      <c r="O12013" s="33" t="str">
        <f>IFERROR(VLOOKUP($M12013,'Informations sur les produits'!$A$3:$H$10000,8,FALSE),"0")</f>
        <v>0</v>
      </c>
      <c r="P12013" s="33">
        <f t="shared" si="748"/>
        <v>0</v>
      </c>
      <c r="Q12013" s="31" t="str">
        <f t="shared" si="749"/>
        <v/>
      </c>
      <c r="R12013" s="32" t="str">
        <f>IFERROR(VLOOKUP($D12013,'Informations sur les produits'!$A$3:$B$15000,2,FALSE),"")</f>
        <v/>
      </c>
      <c r="V12013">
        <f t="shared" si="750"/>
        <v>0</v>
      </c>
      <c r="W12013">
        <f t="shared" si="751"/>
        <v>0</v>
      </c>
    </row>
    <row r="12014" spans="5:23" x14ac:dyDescent="0.25">
      <c r="E12014" s="4"/>
      <c r="F12014" s="4"/>
      <c r="G12014" s="33" t="str">
        <f>IFERROR(VLOOKUP($D12014,'Informations sur les produits'!$A$3:$H$10000,8,FALSE),"0")</f>
        <v>0</v>
      </c>
      <c r="K12014" s="4"/>
      <c r="L12014" s="33" t="str">
        <f>IFERROR(VLOOKUP($J12014,'Informations sur les produits'!$A$3:$H$10000,8,FALSE),"0")</f>
        <v>0</v>
      </c>
      <c r="N12014" s="8"/>
      <c r="O12014" s="33" t="str">
        <f>IFERROR(VLOOKUP($M12014,'Informations sur les produits'!$A$3:$H$10000,8,FALSE),"0")</f>
        <v>0</v>
      </c>
      <c r="P12014" s="33">
        <f t="shared" si="748"/>
        <v>0</v>
      </c>
      <c r="Q12014" s="31" t="str">
        <f t="shared" si="749"/>
        <v/>
      </c>
      <c r="R12014" s="32" t="str">
        <f>IFERROR(VLOOKUP($D12014,'Informations sur les produits'!$A$3:$B$15000,2,FALSE),"")</f>
        <v/>
      </c>
      <c r="V12014">
        <f t="shared" si="750"/>
        <v>0</v>
      </c>
      <c r="W12014">
        <f t="shared" si="751"/>
        <v>0</v>
      </c>
    </row>
    <row r="12015" spans="5:23" x14ac:dyDescent="0.25">
      <c r="E12015" s="4"/>
      <c r="F12015" s="4"/>
      <c r="G12015" s="33" t="str">
        <f>IFERROR(VLOOKUP($D12015,'Informations sur les produits'!$A$3:$H$10000,8,FALSE),"0")</f>
        <v>0</v>
      </c>
      <c r="K12015" s="4"/>
      <c r="L12015" s="33" t="str">
        <f>IFERROR(VLOOKUP($J12015,'Informations sur les produits'!$A$3:$H$10000,8,FALSE),"0")</f>
        <v>0</v>
      </c>
      <c r="N12015" s="8"/>
      <c r="O12015" s="33" t="str">
        <f>IFERROR(VLOOKUP($M12015,'Informations sur les produits'!$A$3:$H$10000,8,FALSE),"0")</f>
        <v>0</v>
      </c>
      <c r="P12015" s="33">
        <f t="shared" si="748"/>
        <v>0</v>
      </c>
      <c r="Q12015" s="31" t="str">
        <f t="shared" si="749"/>
        <v/>
      </c>
      <c r="R12015" s="32" t="str">
        <f>IFERROR(VLOOKUP($D12015,'Informations sur les produits'!$A$3:$B$15000,2,FALSE),"")</f>
        <v/>
      </c>
      <c r="V12015">
        <f t="shared" si="750"/>
        <v>0</v>
      </c>
      <c r="W12015">
        <f t="shared" si="751"/>
        <v>0</v>
      </c>
    </row>
    <row r="12016" spans="5:23" x14ac:dyDescent="0.25">
      <c r="E12016" s="4"/>
      <c r="F12016" s="4"/>
      <c r="G12016" s="33" t="str">
        <f>IFERROR(VLOOKUP($D12016,'Informations sur les produits'!$A$3:$H$10000,8,FALSE),"0")</f>
        <v>0</v>
      </c>
      <c r="K12016" s="4"/>
      <c r="L12016" s="33" t="str">
        <f>IFERROR(VLOOKUP($J12016,'Informations sur les produits'!$A$3:$H$10000,8,FALSE),"0")</f>
        <v>0</v>
      </c>
      <c r="N12016" s="8"/>
      <c r="O12016" s="33" t="str">
        <f>IFERROR(VLOOKUP($M12016,'Informations sur les produits'!$A$3:$H$10000,8,FALSE),"0")</f>
        <v>0</v>
      </c>
      <c r="P12016" s="33">
        <f t="shared" si="748"/>
        <v>0</v>
      </c>
      <c r="Q12016" s="31" t="str">
        <f t="shared" si="749"/>
        <v/>
      </c>
      <c r="R12016" s="32" t="str">
        <f>IFERROR(VLOOKUP($D12016,'Informations sur les produits'!$A$3:$B$15000,2,FALSE),"")</f>
        <v/>
      </c>
      <c r="V12016">
        <f t="shared" si="750"/>
        <v>0</v>
      </c>
      <c r="W12016">
        <f t="shared" si="751"/>
        <v>0</v>
      </c>
    </row>
    <row r="12017" spans="5:23" x14ac:dyDescent="0.25">
      <c r="E12017" s="4"/>
      <c r="F12017" s="4"/>
      <c r="G12017" s="33" t="str">
        <f>IFERROR(VLOOKUP($D12017,'Informations sur les produits'!$A$3:$H$10000,8,FALSE),"0")</f>
        <v>0</v>
      </c>
      <c r="K12017" s="4"/>
      <c r="L12017" s="33" t="str">
        <f>IFERROR(VLOOKUP($J12017,'Informations sur les produits'!$A$3:$H$10000,8,FALSE),"0")</f>
        <v>0</v>
      </c>
      <c r="N12017" s="8"/>
      <c r="O12017" s="33" t="str">
        <f>IFERROR(VLOOKUP($M12017,'Informations sur les produits'!$A$3:$H$10000,8,FALSE),"0")</f>
        <v>0</v>
      </c>
      <c r="P12017" s="33">
        <f t="shared" si="748"/>
        <v>0</v>
      </c>
      <c r="Q12017" s="31" t="str">
        <f t="shared" si="749"/>
        <v/>
      </c>
      <c r="R12017" s="32" t="str">
        <f>IFERROR(VLOOKUP($D12017,'Informations sur les produits'!$A$3:$B$15000,2,FALSE),"")</f>
        <v/>
      </c>
      <c r="V12017">
        <f t="shared" si="750"/>
        <v>0</v>
      </c>
      <c r="W12017">
        <f t="shared" si="751"/>
        <v>0</v>
      </c>
    </row>
    <row r="12018" spans="5:23" x14ac:dyDescent="0.25">
      <c r="E12018" s="4"/>
      <c r="F12018" s="4"/>
      <c r="G12018" s="33" t="str">
        <f>IFERROR(VLOOKUP($D12018,'Informations sur les produits'!$A$3:$H$10000,8,FALSE),"0")</f>
        <v>0</v>
      </c>
      <c r="K12018" s="4"/>
      <c r="L12018" s="33" t="str">
        <f>IFERROR(VLOOKUP($J12018,'Informations sur les produits'!$A$3:$H$10000,8,FALSE),"0")</f>
        <v>0</v>
      </c>
      <c r="N12018" s="8"/>
      <c r="O12018" s="33" t="str">
        <f>IFERROR(VLOOKUP($M12018,'Informations sur les produits'!$A$3:$H$10000,8,FALSE),"0")</f>
        <v>0</v>
      </c>
      <c r="P12018" s="33">
        <f t="shared" si="748"/>
        <v>0</v>
      </c>
      <c r="Q12018" s="31" t="str">
        <f t="shared" si="749"/>
        <v/>
      </c>
      <c r="R12018" s="32" t="str">
        <f>IFERROR(VLOOKUP($D12018,'Informations sur les produits'!$A$3:$B$15000,2,FALSE),"")</f>
        <v/>
      </c>
      <c r="V12018">
        <f t="shared" si="750"/>
        <v>0</v>
      </c>
      <c r="W12018">
        <f t="shared" si="751"/>
        <v>0</v>
      </c>
    </row>
    <row r="12019" spans="5:23" x14ac:dyDescent="0.25">
      <c r="E12019" s="4"/>
      <c r="F12019" s="4"/>
      <c r="G12019" s="33" t="str">
        <f>IFERROR(VLOOKUP($D12019,'Informations sur les produits'!$A$3:$H$10000,8,FALSE),"0")</f>
        <v>0</v>
      </c>
      <c r="K12019" s="4"/>
      <c r="L12019" s="33" t="str">
        <f>IFERROR(VLOOKUP($J12019,'Informations sur les produits'!$A$3:$H$10000,8,FALSE),"0")</f>
        <v>0</v>
      </c>
      <c r="N12019" s="8"/>
      <c r="O12019" s="33" t="str">
        <f>IFERROR(VLOOKUP($M12019,'Informations sur les produits'!$A$3:$H$10000,8,FALSE),"0")</f>
        <v>0</v>
      </c>
      <c r="P12019" s="33">
        <f t="shared" si="748"/>
        <v>0</v>
      </c>
      <c r="Q12019" s="31" t="str">
        <f t="shared" si="749"/>
        <v/>
      </c>
      <c r="R12019" s="32" t="str">
        <f>IFERROR(VLOOKUP($D12019,'Informations sur les produits'!$A$3:$B$15000,2,FALSE),"")</f>
        <v/>
      </c>
      <c r="V12019">
        <f t="shared" si="750"/>
        <v>0</v>
      </c>
      <c r="W12019">
        <f t="shared" si="751"/>
        <v>0</v>
      </c>
    </row>
    <row r="12020" spans="5:23" x14ac:dyDescent="0.25">
      <c r="E12020" s="4"/>
      <c r="F12020" s="4"/>
      <c r="G12020" s="33" t="str">
        <f>IFERROR(VLOOKUP($D12020,'Informations sur les produits'!$A$3:$H$10000,8,FALSE),"0")</f>
        <v>0</v>
      </c>
      <c r="K12020" s="4"/>
      <c r="L12020" s="33" t="str">
        <f>IFERROR(VLOOKUP($J12020,'Informations sur les produits'!$A$3:$H$10000,8,FALSE),"0")</f>
        <v>0</v>
      </c>
      <c r="N12020" s="8"/>
      <c r="O12020" s="33" t="str">
        <f>IFERROR(VLOOKUP($M12020,'Informations sur les produits'!$A$3:$H$10000,8,FALSE),"0")</f>
        <v>0</v>
      </c>
      <c r="P12020" s="33">
        <f t="shared" si="748"/>
        <v>0</v>
      </c>
      <c r="Q12020" s="31" t="str">
        <f t="shared" si="749"/>
        <v/>
      </c>
      <c r="R12020" s="32" t="str">
        <f>IFERROR(VLOOKUP($D12020,'Informations sur les produits'!$A$3:$B$15000,2,FALSE),"")</f>
        <v/>
      </c>
      <c r="V12020">
        <f t="shared" si="750"/>
        <v>0</v>
      </c>
      <c r="W12020">
        <f t="shared" si="751"/>
        <v>0</v>
      </c>
    </row>
    <row r="12021" spans="5:23" x14ac:dyDescent="0.25">
      <c r="E12021" s="4"/>
      <c r="F12021" s="4"/>
      <c r="G12021" s="33" t="str">
        <f>IFERROR(VLOOKUP($D12021,'Informations sur les produits'!$A$3:$H$10000,8,FALSE),"0")</f>
        <v>0</v>
      </c>
      <c r="K12021" s="4"/>
      <c r="L12021" s="33" t="str">
        <f>IFERROR(VLOOKUP($J12021,'Informations sur les produits'!$A$3:$H$10000,8,FALSE),"0")</f>
        <v>0</v>
      </c>
      <c r="N12021" s="8"/>
      <c r="O12021" s="33" t="str">
        <f>IFERROR(VLOOKUP($M12021,'Informations sur les produits'!$A$3:$H$10000,8,FALSE),"0")</f>
        <v>0</v>
      </c>
      <c r="P12021" s="33">
        <f t="shared" si="748"/>
        <v>0</v>
      </c>
      <c r="Q12021" s="31" t="str">
        <f t="shared" si="749"/>
        <v/>
      </c>
      <c r="R12021" s="32" t="str">
        <f>IFERROR(VLOOKUP($D12021,'Informations sur les produits'!$A$3:$B$15000,2,FALSE),"")</f>
        <v/>
      </c>
      <c r="V12021">
        <f t="shared" si="750"/>
        <v>0</v>
      </c>
      <c r="W12021">
        <f t="shared" si="751"/>
        <v>0</v>
      </c>
    </row>
    <row r="12022" spans="5:23" x14ac:dyDescent="0.25">
      <c r="E12022" s="4"/>
      <c r="F12022" s="4"/>
      <c r="G12022" s="33" t="str">
        <f>IFERROR(VLOOKUP($D12022,'Informations sur les produits'!$A$3:$H$10000,8,FALSE),"0")</f>
        <v>0</v>
      </c>
      <c r="K12022" s="4"/>
      <c r="L12022" s="33" t="str">
        <f>IFERROR(VLOOKUP($J12022,'Informations sur les produits'!$A$3:$H$10000,8,FALSE),"0")</f>
        <v>0</v>
      </c>
      <c r="N12022" s="8"/>
      <c r="O12022" s="33" t="str">
        <f>IFERROR(VLOOKUP($M12022,'Informations sur les produits'!$A$3:$H$10000,8,FALSE),"0")</f>
        <v>0</v>
      </c>
      <c r="P12022" s="33">
        <f t="shared" si="748"/>
        <v>0</v>
      </c>
      <c r="Q12022" s="31" t="str">
        <f t="shared" si="749"/>
        <v/>
      </c>
      <c r="R12022" s="32" t="str">
        <f>IFERROR(VLOOKUP($D12022,'Informations sur les produits'!$A$3:$B$15000,2,FALSE),"")</f>
        <v/>
      </c>
      <c r="V12022">
        <f t="shared" si="750"/>
        <v>0</v>
      </c>
      <c r="W12022">
        <f t="shared" si="751"/>
        <v>0</v>
      </c>
    </row>
    <row r="12023" spans="5:23" x14ac:dyDescent="0.25">
      <c r="E12023" s="4"/>
      <c r="F12023" s="4"/>
      <c r="G12023" s="33" t="str">
        <f>IFERROR(VLOOKUP($D12023,'Informations sur les produits'!$A$3:$H$10000,8,FALSE),"0")</f>
        <v>0</v>
      </c>
      <c r="K12023" s="4"/>
      <c r="L12023" s="33" t="str">
        <f>IFERROR(VLOOKUP($J12023,'Informations sur les produits'!$A$3:$H$10000,8,FALSE),"0")</f>
        <v>0</v>
      </c>
      <c r="N12023" s="8"/>
      <c r="O12023" s="33" t="str">
        <f>IFERROR(VLOOKUP($M12023,'Informations sur les produits'!$A$3:$H$10000,8,FALSE),"0")</f>
        <v>0</v>
      </c>
      <c r="P12023" s="33">
        <f t="shared" si="748"/>
        <v>0</v>
      </c>
      <c r="Q12023" s="31" t="str">
        <f t="shared" si="749"/>
        <v/>
      </c>
      <c r="R12023" s="32" t="str">
        <f>IFERROR(VLOOKUP($D12023,'Informations sur les produits'!$A$3:$B$15000,2,FALSE),"")</f>
        <v/>
      </c>
      <c r="V12023">
        <f t="shared" si="750"/>
        <v>0</v>
      </c>
      <c r="W12023">
        <f t="shared" si="751"/>
        <v>0</v>
      </c>
    </row>
    <row r="12024" spans="5:23" x14ac:dyDescent="0.25">
      <c r="E12024" s="4"/>
      <c r="F12024" s="4"/>
      <c r="G12024" s="33" t="str">
        <f>IFERROR(VLOOKUP($D12024,'Informations sur les produits'!$A$3:$H$10000,8,FALSE),"0")</f>
        <v>0</v>
      </c>
      <c r="K12024" s="4"/>
      <c r="L12024" s="33" t="str">
        <f>IFERROR(VLOOKUP($J12024,'Informations sur les produits'!$A$3:$H$10000,8,FALSE),"0")</f>
        <v>0</v>
      </c>
      <c r="N12024" s="8"/>
      <c r="O12024" s="33" t="str">
        <f>IFERROR(VLOOKUP($M12024,'Informations sur les produits'!$A$3:$H$10000,8,FALSE),"0")</f>
        <v>0</v>
      </c>
      <c r="P12024" s="33">
        <f t="shared" si="748"/>
        <v>0</v>
      </c>
      <c r="Q12024" s="31" t="str">
        <f t="shared" si="749"/>
        <v/>
      </c>
      <c r="R12024" s="32" t="str">
        <f>IFERROR(VLOOKUP($D12024,'Informations sur les produits'!$A$3:$B$15000,2,FALSE),"")</f>
        <v/>
      </c>
      <c r="V12024">
        <f t="shared" si="750"/>
        <v>0</v>
      </c>
      <c r="W12024">
        <f t="shared" si="751"/>
        <v>0</v>
      </c>
    </row>
    <row r="12025" spans="5:23" x14ac:dyDescent="0.25">
      <c r="E12025" s="4"/>
      <c r="F12025" s="4"/>
      <c r="G12025" s="33" t="str">
        <f>IFERROR(VLOOKUP($D12025,'Informations sur les produits'!$A$3:$H$10000,8,FALSE),"0")</f>
        <v>0</v>
      </c>
      <c r="K12025" s="4"/>
      <c r="L12025" s="33" t="str">
        <f>IFERROR(VLOOKUP($J12025,'Informations sur les produits'!$A$3:$H$10000,8,FALSE),"0")</f>
        <v>0</v>
      </c>
      <c r="N12025" s="8"/>
      <c r="O12025" s="33" t="str">
        <f>IFERROR(VLOOKUP($M12025,'Informations sur les produits'!$A$3:$H$10000,8,FALSE),"0")</f>
        <v>0</v>
      </c>
      <c r="P12025" s="33">
        <f t="shared" si="748"/>
        <v>0</v>
      </c>
      <c r="Q12025" s="31" t="str">
        <f t="shared" si="749"/>
        <v/>
      </c>
      <c r="R12025" s="32" t="str">
        <f>IFERROR(VLOOKUP($D12025,'Informations sur les produits'!$A$3:$B$15000,2,FALSE),"")</f>
        <v/>
      </c>
      <c r="V12025">
        <f t="shared" si="750"/>
        <v>0</v>
      </c>
      <c r="W12025">
        <f t="shared" si="751"/>
        <v>0</v>
      </c>
    </row>
    <row r="12026" spans="5:23" x14ac:dyDescent="0.25">
      <c r="E12026" s="4"/>
      <c r="F12026" s="4"/>
      <c r="G12026" s="33" t="str">
        <f>IFERROR(VLOOKUP($D12026,'Informations sur les produits'!$A$3:$H$10000,8,FALSE),"0")</f>
        <v>0</v>
      </c>
      <c r="K12026" s="4"/>
      <c r="L12026" s="33" t="str">
        <f>IFERROR(VLOOKUP($J12026,'Informations sur les produits'!$A$3:$H$10000,8,FALSE),"0")</f>
        <v>0</v>
      </c>
      <c r="N12026" s="8"/>
      <c r="O12026" s="33" t="str">
        <f>IFERROR(VLOOKUP($M12026,'Informations sur les produits'!$A$3:$H$10000,8,FALSE),"0")</f>
        <v>0</v>
      </c>
      <c r="P12026" s="33">
        <f t="shared" si="748"/>
        <v>0</v>
      </c>
      <c r="Q12026" s="31" t="str">
        <f t="shared" si="749"/>
        <v/>
      </c>
      <c r="R12026" s="32" t="str">
        <f>IFERROR(VLOOKUP($D12026,'Informations sur les produits'!$A$3:$B$15000,2,FALSE),"")</f>
        <v/>
      </c>
      <c r="V12026">
        <f t="shared" si="750"/>
        <v>0</v>
      </c>
      <c r="W12026">
        <f t="shared" si="751"/>
        <v>0</v>
      </c>
    </row>
    <row r="12027" spans="5:23" x14ac:dyDescent="0.25">
      <c r="E12027" s="4"/>
      <c r="F12027" s="4"/>
      <c r="G12027" s="33" t="str">
        <f>IFERROR(VLOOKUP($D12027,'Informations sur les produits'!$A$3:$H$10000,8,FALSE),"0")</f>
        <v>0</v>
      </c>
      <c r="K12027" s="4"/>
      <c r="L12027" s="33" t="str">
        <f>IFERROR(VLOOKUP($J12027,'Informations sur les produits'!$A$3:$H$10000,8,FALSE),"0")</f>
        <v>0</v>
      </c>
      <c r="N12027" s="8"/>
      <c r="O12027" s="33" t="str">
        <f>IFERROR(VLOOKUP($M12027,'Informations sur les produits'!$A$3:$H$10000,8,FALSE),"0")</f>
        <v>0</v>
      </c>
      <c r="P12027" s="33">
        <f t="shared" si="748"/>
        <v>0</v>
      </c>
      <c r="Q12027" s="31" t="str">
        <f t="shared" si="749"/>
        <v/>
      </c>
      <c r="R12027" s="32" t="str">
        <f>IFERROR(VLOOKUP($D12027,'Informations sur les produits'!$A$3:$B$15000,2,FALSE),"")</f>
        <v/>
      </c>
      <c r="V12027">
        <f t="shared" si="750"/>
        <v>0</v>
      </c>
      <c r="W12027">
        <f t="shared" si="751"/>
        <v>0</v>
      </c>
    </row>
    <row r="12028" spans="5:23" x14ac:dyDescent="0.25">
      <c r="E12028" s="4"/>
      <c r="F12028" s="4"/>
      <c r="G12028" s="33" t="str">
        <f>IFERROR(VLOOKUP($D12028,'Informations sur les produits'!$A$3:$H$10000,8,FALSE),"0")</f>
        <v>0</v>
      </c>
      <c r="K12028" s="4"/>
      <c r="L12028" s="33" t="str">
        <f>IFERROR(VLOOKUP($J12028,'Informations sur les produits'!$A$3:$H$10000,8,FALSE),"0")</f>
        <v>0</v>
      </c>
      <c r="N12028" s="8"/>
      <c r="O12028" s="33" t="str">
        <f>IFERROR(VLOOKUP($M12028,'Informations sur les produits'!$A$3:$H$10000,8,FALSE),"0")</f>
        <v>0</v>
      </c>
      <c r="P12028" s="33">
        <f t="shared" si="748"/>
        <v>0</v>
      </c>
      <c r="Q12028" s="31" t="str">
        <f t="shared" si="749"/>
        <v/>
      </c>
      <c r="R12028" s="32" t="str">
        <f>IFERROR(VLOOKUP($D12028,'Informations sur les produits'!$A$3:$B$15000,2,FALSE),"")</f>
        <v/>
      </c>
      <c r="V12028">
        <f t="shared" si="750"/>
        <v>0</v>
      </c>
      <c r="W12028">
        <f t="shared" si="751"/>
        <v>0</v>
      </c>
    </row>
    <row r="12029" spans="5:23" x14ac:dyDescent="0.25">
      <c r="E12029" s="4"/>
      <c r="F12029" s="4"/>
      <c r="G12029" s="33" t="str">
        <f>IFERROR(VLOOKUP($D12029,'Informations sur les produits'!$A$3:$H$10000,8,FALSE),"0")</f>
        <v>0</v>
      </c>
      <c r="K12029" s="4"/>
      <c r="L12029" s="33" t="str">
        <f>IFERROR(VLOOKUP($J12029,'Informations sur les produits'!$A$3:$H$10000,8,FALSE),"0")</f>
        <v>0</v>
      </c>
      <c r="N12029" s="8"/>
      <c r="O12029" s="33" t="str">
        <f>IFERROR(VLOOKUP($M12029,'Informations sur les produits'!$A$3:$H$10000,8,FALSE),"0")</f>
        <v>0</v>
      </c>
      <c r="P12029" s="33">
        <f t="shared" si="748"/>
        <v>0</v>
      </c>
      <c r="Q12029" s="31" t="str">
        <f t="shared" si="749"/>
        <v/>
      </c>
      <c r="R12029" s="32" t="str">
        <f>IFERROR(VLOOKUP($D12029,'Informations sur les produits'!$A$3:$B$15000,2,FALSE),"")</f>
        <v/>
      </c>
      <c r="V12029">
        <f t="shared" si="750"/>
        <v>0</v>
      </c>
      <c r="W12029">
        <f t="shared" si="751"/>
        <v>0</v>
      </c>
    </row>
    <row r="12030" spans="5:23" x14ac:dyDescent="0.25">
      <c r="E12030" s="4"/>
      <c r="F12030" s="4"/>
      <c r="G12030" s="33" t="str">
        <f>IFERROR(VLOOKUP($D12030,'Informations sur les produits'!$A$3:$H$10000,8,FALSE),"0")</f>
        <v>0</v>
      </c>
      <c r="K12030" s="4"/>
      <c r="L12030" s="33" t="str">
        <f>IFERROR(VLOOKUP($J12030,'Informations sur les produits'!$A$3:$H$10000,8,FALSE),"0")</f>
        <v>0</v>
      </c>
      <c r="N12030" s="8"/>
      <c r="O12030" s="33" t="str">
        <f>IFERROR(VLOOKUP($M12030,'Informations sur les produits'!$A$3:$H$10000,8,FALSE),"0")</f>
        <v>0</v>
      </c>
      <c r="P12030" s="33">
        <f t="shared" si="748"/>
        <v>0</v>
      </c>
      <c r="Q12030" s="31" t="str">
        <f t="shared" si="749"/>
        <v/>
      </c>
      <c r="R12030" s="32" t="str">
        <f>IFERROR(VLOOKUP($D12030,'Informations sur les produits'!$A$3:$B$15000,2,FALSE),"")</f>
        <v/>
      </c>
      <c r="V12030">
        <f t="shared" si="750"/>
        <v>0</v>
      </c>
      <c r="W12030">
        <f t="shared" si="751"/>
        <v>0</v>
      </c>
    </row>
    <row r="12031" spans="5:23" x14ac:dyDescent="0.25">
      <c r="E12031" s="4"/>
      <c r="F12031" s="4"/>
      <c r="G12031" s="33" t="str">
        <f>IFERROR(VLOOKUP($D12031,'Informations sur les produits'!$A$3:$H$10000,8,FALSE),"0")</f>
        <v>0</v>
      </c>
      <c r="K12031" s="4"/>
      <c r="L12031" s="33" t="str">
        <f>IFERROR(VLOOKUP($J12031,'Informations sur les produits'!$A$3:$H$10000,8,FALSE),"0")</f>
        <v>0</v>
      </c>
      <c r="N12031" s="8"/>
      <c r="O12031" s="33" t="str">
        <f>IFERROR(VLOOKUP($M12031,'Informations sur les produits'!$A$3:$H$10000,8,FALSE),"0")</f>
        <v>0</v>
      </c>
      <c r="P12031" s="33">
        <f t="shared" si="748"/>
        <v>0</v>
      </c>
      <c r="Q12031" s="31" t="str">
        <f t="shared" si="749"/>
        <v/>
      </c>
      <c r="R12031" s="32" t="str">
        <f>IFERROR(VLOOKUP($D12031,'Informations sur les produits'!$A$3:$B$15000,2,FALSE),"")</f>
        <v/>
      </c>
      <c r="V12031">
        <f t="shared" si="750"/>
        <v>0</v>
      </c>
      <c r="W12031">
        <f t="shared" si="751"/>
        <v>0</v>
      </c>
    </row>
    <row r="12032" spans="5:23" x14ac:dyDescent="0.25">
      <c r="E12032" s="4"/>
      <c r="F12032" s="4"/>
      <c r="G12032" s="33" t="str">
        <f>IFERROR(VLOOKUP($D12032,'Informations sur les produits'!$A$3:$H$10000,8,FALSE),"0")</f>
        <v>0</v>
      </c>
      <c r="K12032" s="4"/>
      <c r="L12032" s="33" t="str">
        <f>IFERROR(VLOOKUP($J12032,'Informations sur les produits'!$A$3:$H$10000,8,FALSE),"0")</f>
        <v>0</v>
      </c>
      <c r="N12032" s="8"/>
      <c r="O12032" s="33" t="str">
        <f>IFERROR(VLOOKUP($M12032,'Informations sur les produits'!$A$3:$H$10000,8,FALSE),"0")</f>
        <v>0</v>
      </c>
      <c r="P12032" s="33">
        <f t="shared" si="748"/>
        <v>0</v>
      </c>
      <c r="Q12032" s="31" t="str">
        <f t="shared" si="749"/>
        <v/>
      </c>
      <c r="R12032" s="32" t="str">
        <f>IFERROR(VLOOKUP($D12032,'Informations sur les produits'!$A$3:$B$15000,2,FALSE),"")</f>
        <v/>
      </c>
      <c r="V12032">
        <f t="shared" si="750"/>
        <v>0</v>
      </c>
      <c r="W12032">
        <f t="shared" si="751"/>
        <v>0</v>
      </c>
    </row>
    <row r="12033" spans="5:23" x14ac:dyDescent="0.25">
      <c r="E12033" s="4"/>
      <c r="F12033" s="4"/>
      <c r="G12033" s="33" t="str">
        <f>IFERROR(VLOOKUP($D12033,'Informations sur les produits'!$A$3:$H$10000,8,FALSE),"0")</f>
        <v>0</v>
      </c>
      <c r="K12033" s="4"/>
      <c r="L12033" s="33" t="str">
        <f>IFERROR(VLOOKUP($J12033,'Informations sur les produits'!$A$3:$H$10000,8,FALSE),"0")</f>
        <v>0</v>
      </c>
      <c r="N12033" s="8"/>
      <c r="O12033" s="33" t="str">
        <f>IFERROR(VLOOKUP($M12033,'Informations sur les produits'!$A$3:$H$10000,8,FALSE),"0")</f>
        <v>0</v>
      </c>
      <c r="P12033" s="33">
        <f t="shared" si="748"/>
        <v>0</v>
      </c>
      <c r="Q12033" s="31" t="str">
        <f t="shared" si="749"/>
        <v/>
      </c>
      <c r="R12033" s="32" t="str">
        <f>IFERROR(VLOOKUP($D12033,'Informations sur les produits'!$A$3:$B$15000,2,FALSE),"")</f>
        <v/>
      </c>
      <c r="V12033">
        <f t="shared" si="750"/>
        <v>0</v>
      </c>
      <c r="W12033">
        <f t="shared" si="751"/>
        <v>0</v>
      </c>
    </row>
    <row r="12034" spans="5:23" x14ac:dyDescent="0.25">
      <c r="E12034" s="4"/>
      <c r="F12034" s="4"/>
      <c r="G12034" s="33" t="str">
        <f>IFERROR(VLOOKUP($D12034,'Informations sur les produits'!$A$3:$H$10000,8,FALSE),"0")</f>
        <v>0</v>
      </c>
      <c r="K12034" s="4"/>
      <c r="L12034" s="33" t="str">
        <f>IFERROR(VLOOKUP($J12034,'Informations sur les produits'!$A$3:$H$10000,8,FALSE),"0")</f>
        <v>0</v>
      </c>
      <c r="N12034" s="8"/>
      <c r="O12034" s="33" t="str">
        <f>IFERROR(VLOOKUP($M12034,'Informations sur les produits'!$A$3:$H$10000,8,FALSE),"0")</f>
        <v>0</v>
      </c>
      <c r="P12034" s="33">
        <f t="shared" si="748"/>
        <v>0</v>
      </c>
      <c r="Q12034" s="31" t="str">
        <f t="shared" si="749"/>
        <v/>
      </c>
      <c r="R12034" s="32" t="str">
        <f>IFERROR(VLOOKUP($D12034,'Informations sur les produits'!$A$3:$B$15000,2,FALSE),"")</f>
        <v/>
      </c>
      <c r="V12034">
        <f t="shared" si="750"/>
        <v>0</v>
      </c>
      <c r="W12034">
        <f t="shared" si="751"/>
        <v>0</v>
      </c>
    </row>
    <row r="12035" spans="5:23" x14ac:dyDescent="0.25">
      <c r="E12035" s="4"/>
      <c r="F12035" s="4"/>
      <c r="G12035" s="33" t="str">
        <f>IFERROR(VLOOKUP($D12035,'Informations sur les produits'!$A$3:$H$10000,8,FALSE),"0")</f>
        <v>0</v>
      </c>
      <c r="K12035" s="4"/>
      <c r="L12035" s="33" t="str">
        <f>IFERROR(VLOOKUP($J12035,'Informations sur les produits'!$A$3:$H$10000,8,FALSE),"0")</f>
        <v>0</v>
      </c>
      <c r="N12035" s="8"/>
      <c r="O12035" s="33" t="str">
        <f>IFERROR(VLOOKUP($M12035,'Informations sur les produits'!$A$3:$H$10000,8,FALSE),"0")</f>
        <v>0</v>
      </c>
      <c r="P12035" s="33">
        <f t="shared" si="748"/>
        <v>0</v>
      </c>
      <c r="Q12035" s="31" t="str">
        <f t="shared" si="749"/>
        <v/>
      </c>
      <c r="R12035" s="32" t="str">
        <f>IFERROR(VLOOKUP($D12035,'Informations sur les produits'!$A$3:$B$15000,2,FALSE),"")</f>
        <v/>
      </c>
      <c r="V12035">
        <f t="shared" si="750"/>
        <v>0</v>
      </c>
      <c r="W12035">
        <f t="shared" si="751"/>
        <v>0</v>
      </c>
    </row>
    <row r="12036" spans="5:23" x14ac:dyDescent="0.25">
      <c r="E12036" s="4"/>
      <c r="F12036" s="4"/>
      <c r="G12036" s="33" t="str">
        <f>IFERROR(VLOOKUP($D12036,'Informations sur les produits'!$A$3:$H$10000,8,FALSE),"0")</f>
        <v>0</v>
      </c>
      <c r="K12036" s="4"/>
      <c r="L12036" s="33" t="str">
        <f>IFERROR(VLOOKUP($J12036,'Informations sur les produits'!$A$3:$H$10000,8,FALSE),"0")</f>
        <v>0</v>
      </c>
      <c r="N12036" s="8"/>
      <c r="O12036" s="33" t="str">
        <f>IFERROR(VLOOKUP($M12036,'Informations sur les produits'!$A$3:$H$10000,8,FALSE),"0")</f>
        <v>0</v>
      </c>
      <c r="P12036" s="33">
        <f t="shared" ref="P12036:P12099" si="752">IFERROR((($E12036-$F12036)*$G12036+$K12036*$L12036+$N12036*$O12036),"")</f>
        <v>0</v>
      </c>
      <c r="Q12036" s="31" t="str">
        <f t="shared" ref="Q12036:Q12099" si="753">IFERROR((((($E12036-$F12036)*$G12036+$K12036*$L12036+$N12036*$O12036)*1000)/(($E12036-$F12036)+$K12036+$N12036)),"")</f>
        <v/>
      </c>
      <c r="R12036" s="32" t="str">
        <f>IFERROR(VLOOKUP($D12036,'Informations sur les produits'!$A$3:$B$15000,2,FALSE),"")</f>
        <v/>
      </c>
      <c r="V12036">
        <f t="shared" ref="V12036:V12099" si="754">IFERROR(P12036*1000,"")</f>
        <v>0</v>
      </c>
      <c r="W12036">
        <f t="shared" ref="W12036:W12099" si="755">IFERROR(($E12036-$F12036)+$K12036+$N12036,"")</f>
        <v>0</v>
      </c>
    </row>
    <row r="12037" spans="5:23" x14ac:dyDescent="0.25">
      <c r="E12037" s="4"/>
      <c r="F12037" s="4"/>
      <c r="G12037" s="33" t="str">
        <f>IFERROR(VLOOKUP($D12037,'Informations sur les produits'!$A$3:$H$10000,8,FALSE),"0")</f>
        <v>0</v>
      </c>
      <c r="K12037" s="4"/>
      <c r="L12037" s="33" t="str">
        <f>IFERROR(VLOOKUP($J12037,'Informations sur les produits'!$A$3:$H$10000,8,FALSE),"0")</f>
        <v>0</v>
      </c>
      <c r="N12037" s="8"/>
      <c r="O12037" s="33" t="str">
        <f>IFERROR(VLOOKUP($M12037,'Informations sur les produits'!$A$3:$H$10000,8,FALSE),"0")</f>
        <v>0</v>
      </c>
      <c r="P12037" s="33">
        <f t="shared" si="752"/>
        <v>0</v>
      </c>
      <c r="Q12037" s="31" t="str">
        <f t="shared" si="753"/>
        <v/>
      </c>
      <c r="R12037" s="32" t="str">
        <f>IFERROR(VLOOKUP($D12037,'Informations sur les produits'!$A$3:$B$15000,2,FALSE),"")</f>
        <v/>
      </c>
      <c r="V12037">
        <f t="shared" si="754"/>
        <v>0</v>
      </c>
      <c r="W12037">
        <f t="shared" si="755"/>
        <v>0</v>
      </c>
    </row>
    <row r="12038" spans="5:23" x14ac:dyDescent="0.25">
      <c r="E12038" s="4"/>
      <c r="F12038" s="4"/>
      <c r="G12038" s="33" t="str">
        <f>IFERROR(VLOOKUP($D12038,'Informations sur les produits'!$A$3:$H$10000,8,FALSE),"0")</f>
        <v>0</v>
      </c>
      <c r="K12038" s="4"/>
      <c r="L12038" s="33" t="str">
        <f>IFERROR(VLOOKUP($J12038,'Informations sur les produits'!$A$3:$H$10000,8,FALSE),"0")</f>
        <v>0</v>
      </c>
      <c r="N12038" s="8"/>
      <c r="O12038" s="33" t="str">
        <f>IFERROR(VLOOKUP($M12038,'Informations sur les produits'!$A$3:$H$10000,8,FALSE),"0")</f>
        <v>0</v>
      </c>
      <c r="P12038" s="33">
        <f t="shared" si="752"/>
        <v>0</v>
      </c>
      <c r="Q12038" s="31" t="str">
        <f t="shared" si="753"/>
        <v/>
      </c>
      <c r="R12038" s="32" t="str">
        <f>IFERROR(VLOOKUP($D12038,'Informations sur les produits'!$A$3:$B$15000,2,FALSE),"")</f>
        <v/>
      </c>
      <c r="V12038">
        <f t="shared" si="754"/>
        <v>0</v>
      </c>
      <c r="W12038">
        <f t="shared" si="755"/>
        <v>0</v>
      </c>
    </row>
    <row r="12039" spans="5:23" x14ac:dyDescent="0.25">
      <c r="E12039" s="4"/>
      <c r="F12039" s="4"/>
      <c r="G12039" s="33" t="str">
        <f>IFERROR(VLOOKUP($D12039,'Informations sur les produits'!$A$3:$H$10000,8,FALSE),"0")</f>
        <v>0</v>
      </c>
      <c r="K12039" s="4"/>
      <c r="L12039" s="33" t="str">
        <f>IFERROR(VLOOKUP($J12039,'Informations sur les produits'!$A$3:$H$10000,8,FALSE),"0")</f>
        <v>0</v>
      </c>
      <c r="N12039" s="8"/>
      <c r="O12039" s="33" t="str">
        <f>IFERROR(VLOOKUP($M12039,'Informations sur les produits'!$A$3:$H$10000,8,FALSE),"0")</f>
        <v>0</v>
      </c>
      <c r="P12039" s="33">
        <f t="shared" si="752"/>
        <v>0</v>
      </c>
      <c r="Q12039" s="31" t="str">
        <f t="shared" si="753"/>
        <v/>
      </c>
      <c r="R12039" s="32" t="str">
        <f>IFERROR(VLOOKUP($D12039,'Informations sur les produits'!$A$3:$B$15000,2,FALSE),"")</f>
        <v/>
      </c>
      <c r="V12039">
        <f t="shared" si="754"/>
        <v>0</v>
      </c>
      <c r="W12039">
        <f t="shared" si="755"/>
        <v>0</v>
      </c>
    </row>
    <row r="12040" spans="5:23" x14ac:dyDescent="0.25">
      <c r="E12040" s="4"/>
      <c r="F12040" s="4"/>
      <c r="G12040" s="33" t="str">
        <f>IFERROR(VLOOKUP($D12040,'Informations sur les produits'!$A$3:$H$10000,8,FALSE),"0")</f>
        <v>0</v>
      </c>
      <c r="K12040" s="4"/>
      <c r="L12040" s="33" t="str">
        <f>IFERROR(VLOOKUP($J12040,'Informations sur les produits'!$A$3:$H$10000,8,FALSE),"0")</f>
        <v>0</v>
      </c>
      <c r="N12040" s="8"/>
      <c r="O12040" s="33" t="str">
        <f>IFERROR(VLOOKUP($M12040,'Informations sur les produits'!$A$3:$H$10000,8,FALSE),"0")</f>
        <v>0</v>
      </c>
      <c r="P12040" s="33">
        <f t="shared" si="752"/>
        <v>0</v>
      </c>
      <c r="Q12040" s="31" t="str">
        <f t="shared" si="753"/>
        <v/>
      </c>
      <c r="R12040" s="32" t="str">
        <f>IFERROR(VLOOKUP($D12040,'Informations sur les produits'!$A$3:$B$15000,2,FALSE),"")</f>
        <v/>
      </c>
      <c r="V12040">
        <f t="shared" si="754"/>
        <v>0</v>
      </c>
      <c r="W12040">
        <f t="shared" si="755"/>
        <v>0</v>
      </c>
    </row>
    <row r="12041" spans="5:23" x14ac:dyDescent="0.25">
      <c r="E12041" s="4"/>
      <c r="F12041" s="4"/>
      <c r="G12041" s="33" t="str">
        <f>IFERROR(VLOOKUP($D12041,'Informations sur les produits'!$A$3:$H$10000,8,FALSE),"0")</f>
        <v>0</v>
      </c>
      <c r="K12041" s="4"/>
      <c r="L12041" s="33" t="str">
        <f>IFERROR(VLOOKUP($J12041,'Informations sur les produits'!$A$3:$H$10000,8,FALSE),"0")</f>
        <v>0</v>
      </c>
      <c r="N12041" s="8"/>
      <c r="O12041" s="33" t="str">
        <f>IFERROR(VLOOKUP($M12041,'Informations sur les produits'!$A$3:$H$10000,8,FALSE),"0")</f>
        <v>0</v>
      </c>
      <c r="P12041" s="33">
        <f t="shared" si="752"/>
        <v>0</v>
      </c>
      <c r="Q12041" s="31" t="str">
        <f t="shared" si="753"/>
        <v/>
      </c>
      <c r="R12041" s="32" t="str">
        <f>IFERROR(VLOOKUP($D12041,'Informations sur les produits'!$A$3:$B$15000,2,FALSE),"")</f>
        <v/>
      </c>
      <c r="V12041">
        <f t="shared" si="754"/>
        <v>0</v>
      </c>
      <c r="W12041">
        <f t="shared" si="755"/>
        <v>0</v>
      </c>
    </row>
    <row r="12042" spans="5:23" x14ac:dyDescent="0.25">
      <c r="E12042" s="4"/>
      <c r="F12042" s="4"/>
      <c r="G12042" s="33" t="str">
        <f>IFERROR(VLOOKUP($D12042,'Informations sur les produits'!$A$3:$H$10000,8,FALSE),"0")</f>
        <v>0</v>
      </c>
      <c r="K12042" s="4"/>
      <c r="L12042" s="33" t="str">
        <f>IFERROR(VLOOKUP($J12042,'Informations sur les produits'!$A$3:$H$10000,8,FALSE),"0")</f>
        <v>0</v>
      </c>
      <c r="N12042" s="8"/>
      <c r="O12042" s="33" t="str">
        <f>IFERROR(VLOOKUP($M12042,'Informations sur les produits'!$A$3:$H$10000,8,FALSE),"0")</f>
        <v>0</v>
      </c>
      <c r="P12042" s="33">
        <f t="shared" si="752"/>
        <v>0</v>
      </c>
      <c r="Q12042" s="31" t="str">
        <f t="shared" si="753"/>
        <v/>
      </c>
      <c r="R12042" s="32" t="str">
        <f>IFERROR(VLOOKUP($D12042,'Informations sur les produits'!$A$3:$B$15000,2,FALSE),"")</f>
        <v/>
      </c>
      <c r="V12042">
        <f t="shared" si="754"/>
        <v>0</v>
      </c>
      <c r="W12042">
        <f t="shared" si="755"/>
        <v>0</v>
      </c>
    </row>
    <row r="12043" spans="5:23" x14ac:dyDescent="0.25">
      <c r="E12043" s="4"/>
      <c r="F12043" s="4"/>
      <c r="G12043" s="33" t="str">
        <f>IFERROR(VLOOKUP($D12043,'Informations sur les produits'!$A$3:$H$10000,8,FALSE),"0")</f>
        <v>0</v>
      </c>
      <c r="K12043" s="4"/>
      <c r="L12043" s="33" t="str">
        <f>IFERROR(VLOOKUP($J12043,'Informations sur les produits'!$A$3:$H$10000,8,FALSE),"0")</f>
        <v>0</v>
      </c>
      <c r="N12043" s="8"/>
      <c r="O12043" s="33" t="str">
        <f>IFERROR(VLOOKUP($M12043,'Informations sur les produits'!$A$3:$H$10000,8,FALSE),"0")</f>
        <v>0</v>
      </c>
      <c r="P12043" s="33">
        <f t="shared" si="752"/>
        <v>0</v>
      </c>
      <c r="Q12043" s="31" t="str">
        <f t="shared" si="753"/>
        <v/>
      </c>
      <c r="R12043" s="32" t="str">
        <f>IFERROR(VLOOKUP($D12043,'Informations sur les produits'!$A$3:$B$15000,2,FALSE),"")</f>
        <v/>
      </c>
      <c r="V12043">
        <f t="shared" si="754"/>
        <v>0</v>
      </c>
      <c r="W12043">
        <f t="shared" si="755"/>
        <v>0</v>
      </c>
    </row>
    <row r="12044" spans="5:23" x14ac:dyDescent="0.25">
      <c r="E12044" s="4"/>
      <c r="F12044" s="4"/>
      <c r="G12044" s="33" t="str">
        <f>IFERROR(VLOOKUP($D12044,'Informations sur les produits'!$A$3:$H$10000,8,FALSE),"0")</f>
        <v>0</v>
      </c>
      <c r="K12044" s="4"/>
      <c r="L12044" s="33" t="str">
        <f>IFERROR(VLOOKUP($J12044,'Informations sur les produits'!$A$3:$H$10000,8,FALSE),"0")</f>
        <v>0</v>
      </c>
      <c r="N12044" s="8"/>
      <c r="O12044" s="33" t="str">
        <f>IFERROR(VLOOKUP($M12044,'Informations sur les produits'!$A$3:$H$10000,8,FALSE),"0")</f>
        <v>0</v>
      </c>
      <c r="P12044" s="33">
        <f t="shared" si="752"/>
        <v>0</v>
      </c>
      <c r="Q12044" s="31" t="str">
        <f t="shared" si="753"/>
        <v/>
      </c>
      <c r="R12044" s="32" t="str">
        <f>IFERROR(VLOOKUP($D12044,'Informations sur les produits'!$A$3:$B$15000,2,FALSE),"")</f>
        <v/>
      </c>
      <c r="V12044">
        <f t="shared" si="754"/>
        <v>0</v>
      </c>
      <c r="W12044">
        <f t="shared" si="755"/>
        <v>0</v>
      </c>
    </row>
    <row r="12045" spans="5:23" x14ac:dyDescent="0.25">
      <c r="E12045" s="4"/>
      <c r="F12045" s="4"/>
      <c r="G12045" s="33" t="str">
        <f>IFERROR(VLOOKUP($D12045,'Informations sur les produits'!$A$3:$H$10000,8,FALSE),"0")</f>
        <v>0</v>
      </c>
      <c r="K12045" s="4"/>
      <c r="L12045" s="33" t="str">
        <f>IFERROR(VLOOKUP($J12045,'Informations sur les produits'!$A$3:$H$10000,8,FALSE),"0")</f>
        <v>0</v>
      </c>
      <c r="N12045" s="8"/>
      <c r="O12045" s="33" t="str">
        <f>IFERROR(VLOOKUP($M12045,'Informations sur les produits'!$A$3:$H$10000,8,FALSE),"0")</f>
        <v>0</v>
      </c>
      <c r="P12045" s="33">
        <f t="shared" si="752"/>
        <v>0</v>
      </c>
      <c r="Q12045" s="31" t="str">
        <f t="shared" si="753"/>
        <v/>
      </c>
      <c r="R12045" s="32" t="str">
        <f>IFERROR(VLOOKUP($D12045,'Informations sur les produits'!$A$3:$B$15000,2,FALSE),"")</f>
        <v/>
      </c>
      <c r="V12045">
        <f t="shared" si="754"/>
        <v>0</v>
      </c>
      <c r="W12045">
        <f t="shared" si="755"/>
        <v>0</v>
      </c>
    </row>
    <row r="12046" spans="5:23" x14ac:dyDescent="0.25">
      <c r="E12046" s="4"/>
      <c r="F12046" s="4"/>
      <c r="G12046" s="33" t="str">
        <f>IFERROR(VLOOKUP($D12046,'Informations sur les produits'!$A$3:$H$10000,8,FALSE),"0")</f>
        <v>0</v>
      </c>
      <c r="K12046" s="4"/>
      <c r="L12046" s="33" t="str">
        <f>IFERROR(VLOOKUP($J12046,'Informations sur les produits'!$A$3:$H$10000,8,FALSE),"0")</f>
        <v>0</v>
      </c>
      <c r="N12046" s="8"/>
      <c r="O12046" s="33" t="str">
        <f>IFERROR(VLOOKUP($M12046,'Informations sur les produits'!$A$3:$H$10000,8,FALSE),"0")</f>
        <v>0</v>
      </c>
      <c r="P12046" s="33">
        <f t="shared" si="752"/>
        <v>0</v>
      </c>
      <c r="Q12046" s="31" t="str">
        <f t="shared" si="753"/>
        <v/>
      </c>
      <c r="R12046" s="32" t="str">
        <f>IFERROR(VLOOKUP($D12046,'Informations sur les produits'!$A$3:$B$15000,2,FALSE),"")</f>
        <v/>
      </c>
      <c r="V12046">
        <f t="shared" si="754"/>
        <v>0</v>
      </c>
      <c r="W12046">
        <f t="shared" si="755"/>
        <v>0</v>
      </c>
    </row>
    <row r="12047" spans="5:23" x14ac:dyDescent="0.25">
      <c r="E12047" s="4"/>
      <c r="F12047" s="4"/>
      <c r="G12047" s="33" t="str">
        <f>IFERROR(VLOOKUP($D12047,'Informations sur les produits'!$A$3:$H$10000,8,FALSE),"0")</f>
        <v>0</v>
      </c>
      <c r="K12047" s="4"/>
      <c r="L12047" s="33" t="str">
        <f>IFERROR(VLOOKUP($J12047,'Informations sur les produits'!$A$3:$H$10000,8,FALSE),"0")</f>
        <v>0</v>
      </c>
      <c r="N12047" s="8"/>
      <c r="O12047" s="33" t="str">
        <f>IFERROR(VLOOKUP($M12047,'Informations sur les produits'!$A$3:$H$10000,8,FALSE),"0")</f>
        <v>0</v>
      </c>
      <c r="P12047" s="33">
        <f t="shared" si="752"/>
        <v>0</v>
      </c>
      <c r="Q12047" s="31" t="str">
        <f t="shared" si="753"/>
        <v/>
      </c>
      <c r="R12047" s="32" t="str">
        <f>IFERROR(VLOOKUP($D12047,'Informations sur les produits'!$A$3:$B$15000,2,FALSE),"")</f>
        <v/>
      </c>
      <c r="V12047">
        <f t="shared" si="754"/>
        <v>0</v>
      </c>
      <c r="W12047">
        <f t="shared" si="755"/>
        <v>0</v>
      </c>
    </row>
    <row r="12048" spans="5:23" x14ac:dyDescent="0.25">
      <c r="E12048" s="4"/>
      <c r="F12048" s="4"/>
      <c r="G12048" s="33" t="str">
        <f>IFERROR(VLOOKUP($D12048,'Informations sur les produits'!$A$3:$H$10000,8,FALSE),"0")</f>
        <v>0</v>
      </c>
      <c r="K12048" s="4"/>
      <c r="L12048" s="33" t="str">
        <f>IFERROR(VLOOKUP($J12048,'Informations sur les produits'!$A$3:$H$10000,8,FALSE),"0")</f>
        <v>0</v>
      </c>
      <c r="N12048" s="8"/>
      <c r="O12048" s="33" t="str">
        <f>IFERROR(VLOOKUP($M12048,'Informations sur les produits'!$A$3:$H$10000,8,FALSE),"0")</f>
        <v>0</v>
      </c>
      <c r="P12048" s="33">
        <f t="shared" si="752"/>
        <v>0</v>
      </c>
      <c r="Q12048" s="31" t="str">
        <f t="shared" si="753"/>
        <v/>
      </c>
      <c r="R12048" s="32" t="str">
        <f>IFERROR(VLOOKUP($D12048,'Informations sur les produits'!$A$3:$B$15000,2,FALSE),"")</f>
        <v/>
      </c>
      <c r="V12048">
        <f t="shared" si="754"/>
        <v>0</v>
      </c>
      <c r="W12048">
        <f t="shared" si="755"/>
        <v>0</v>
      </c>
    </row>
    <row r="12049" spans="5:23" x14ac:dyDescent="0.25">
      <c r="E12049" s="4"/>
      <c r="F12049" s="4"/>
      <c r="G12049" s="33" t="str">
        <f>IFERROR(VLOOKUP($D12049,'Informations sur les produits'!$A$3:$H$10000,8,FALSE),"0")</f>
        <v>0</v>
      </c>
      <c r="K12049" s="4"/>
      <c r="L12049" s="33" t="str">
        <f>IFERROR(VLOOKUP($J12049,'Informations sur les produits'!$A$3:$H$10000,8,FALSE),"0")</f>
        <v>0</v>
      </c>
      <c r="N12049" s="8"/>
      <c r="O12049" s="33" t="str">
        <f>IFERROR(VLOOKUP($M12049,'Informations sur les produits'!$A$3:$H$10000,8,FALSE),"0")</f>
        <v>0</v>
      </c>
      <c r="P12049" s="33">
        <f t="shared" si="752"/>
        <v>0</v>
      </c>
      <c r="Q12049" s="31" t="str">
        <f t="shared" si="753"/>
        <v/>
      </c>
      <c r="R12049" s="32" t="str">
        <f>IFERROR(VLOOKUP($D12049,'Informations sur les produits'!$A$3:$B$15000,2,FALSE),"")</f>
        <v/>
      </c>
      <c r="V12049">
        <f t="shared" si="754"/>
        <v>0</v>
      </c>
      <c r="W12049">
        <f t="shared" si="755"/>
        <v>0</v>
      </c>
    </row>
    <row r="12050" spans="5:23" x14ac:dyDescent="0.25">
      <c r="E12050" s="4"/>
      <c r="F12050" s="4"/>
      <c r="G12050" s="33" t="str">
        <f>IFERROR(VLOOKUP($D12050,'Informations sur les produits'!$A$3:$H$10000,8,FALSE),"0")</f>
        <v>0</v>
      </c>
      <c r="K12050" s="4"/>
      <c r="L12050" s="33" t="str">
        <f>IFERROR(VLOOKUP($J12050,'Informations sur les produits'!$A$3:$H$10000,8,FALSE),"0")</f>
        <v>0</v>
      </c>
      <c r="N12050" s="8"/>
      <c r="O12050" s="33" t="str">
        <f>IFERROR(VLOOKUP($M12050,'Informations sur les produits'!$A$3:$H$10000,8,FALSE),"0")</f>
        <v>0</v>
      </c>
      <c r="P12050" s="33">
        <f t="shared" si="752"/>
        <v>0</v>
      </c>
      <c r="Q12050" s="31" t="str">
        <f t="shared" si="753"/>
        <v/>
      </c>
      <c r="R12050" s="32" t="str">
        <f>IFERROR(VLOOKUP($D12050,'Informations sur les produits'!$A$3:$B$15000,2,FALSE),"")</f>
        <v/>
      </c>
      <c r="V12050">
        <f t="shared" si="754"/>
        <v>0</v>
      </c>
      <c r="W12050">
        <f t="shared" si="755"/>
        <v>0</v>
      </c>
    </row>
    <row r="12051" spans="5:23" x14ac:dyDescent="0.25">
      <c r="E12051" s="4"/>
      <c r="F12051" s="4"/>
      <c r="G12051" s="33" t="str">
        <f>IFERROR(VLOOKUP($D12051,'Informations sur les produits'!$A$3:$H$10000,8,FALSE),"0")</f>
        <v>0</v>
      </c>
      <c r="K12051" s="4"/>
      <c r="L12051" s="33" t="str">
        <f>IFERROR(VLOOKUP($J12051,'Informations sur les produits'!$A$3:$H$10000,8,FALSE),"0")</f>
        <v>0</v>
      </c>
      <c r="N12051" s="8"/>
      <c r="O12051" s="33" t="str">
        <f>IFERROR(VLOOKUP($M12051,'Informations sur les produits'!$A$3:$H$10000,8,FALSE),"0")</f>
        <v>0</v>
      </c>
      <c r="P12051" s="33">
        <f t="shared" si="752"/>
        <v>0</v>
      </c>
      <c r="Q12051" s="31" t="str">
        <f t="shared" si="753"/>
        <v/>
      </c>
      <c r="R12051" s="32" t="str">
        <f>IFERROR(VLOOKUP($D12051,'Informations sur les produits'!$A$3:$B$15000,2,FALSE),"")</f>
        <v/>
      </c>
      <c r="V12051">
        <f t="shared" si="754"/>
        <v>0</v>
      </c>
      <c r="W12051">
        <f t="shared" si="755"/>
        <v>0</v>
      </c>
    </row>
    <row r="12052" spans="5:23" x14ac:dyDescent="0.25">
      <c r="E12052" s="4"/>
      <c r="F12052" s="4"/>
      <c r="G12052" s="33" t="str">
        <f>IFERROR(VLOOKUP($D12052,'Informations sur les produits'!$A$3:$H$10000,8,FALSE),"0")</f>
        <v>0</v>
      </c>
      <c r="K12052" s="4"/>
      <c r="L12052" s="33" t="str">
        <f>IFERROR(VLOOKUP($J12052,'Informations sur les produits'!$A$3:$H$10000,8,FALSE),"0")</f>
        <v>0</v>
      </c>
      <c r="N12052" s="8"/>
      <c r="O12052" s="33" t="str">
        <f>IFERROR(VLOOKUP($M12052,'Informations sur les produits'!$A$3:$H$10000,8,FALSE),"0")</f>
        <v>0</v>
      </c>
      <c r="P12052" s="33">
        <f t="shared" si="752"/>
        <v>0</v>
      </c>
      <c r="Q12052" s="31" t="str">
        <f t="shared" si="753"/>
        <v/>
      </c>
      <c r="R12052" s="32" t="str">
        <f>IFERROR(VLOOKUP($D12052,'Informations sur les produits'!$A$3:$B$15000,2,FALSE),"")</f>
        <v/>
      </c>
      <c r="V12052">
        <f t="shared" si="754"/>
        <v>0</v>
      </c>
      <c r="W12052">
        <f t="shared" si="755"/>
        <v>0</v>
      </c>
    </row>
    <row r="12053" spans="5:23" x14ac:dyDescent="0.25">
      <c r="E12053" s="4"/>
      <c r="F12053" s="4"/>
      <c r="G12053" s="33" t="str">
        <f>IFERROR(VLOOKUP($D12053,'Informations sur les produits'!$A$3:$H$10000,8,FALSE),"0")</f>
        <v>0</v>
      </c>
      <c r="K12053" s="4"/>
      <c r="L12053" s="33" t="str">
        <f>IFERROR(VLOOKUP($J12053,'Informations sur les produits'!$A$3:$H$10000,8,FALSE),"0")</f>
        <v>0</v>
      </c>
      <c r="N12053" s="8"/>
      <c r="O12053" s="33" t="str">
        <f>IFERROR(VLOOKUP($M12053,'Informations sur les produits'!$A$3:$H$10000,8,FALSE),"0")</f>
        <v>0</v>
      </c>
      <c r="P12053" s="33">
        <f t="shared" si="752"/>
        <v>0</v>
      </c>
      <c r="Q12053" s="31" t="str">
        <f t="shared" si="753"/>
        <v/>
      </c>
      <c r="R12053" s="32" t="str">
        <f>IFERROR(VLOOKUP($D12053,'Informations sur les produits'!$A$3:$B$15000,2,FALSE),"")</f>
        <v/>
      </c>
      <c r="V12053">
        <f t="shared" si="754"/>
        <v>0</v>
      </c>
      <c r="W12053">
        <f t="shared" si="755"/>
        <v>0</v>
      </c>
    </row>
    <row r="12054" spans="5:23" x14ac:dyDescent="0.25">
      <c r="E12054" s="4"/>
      <c r="F12054" s="4"/>
      <c r="G12054" s="33" t="str">
        <f>IFERROR(VLOOKUP($D12054,'Informations sur les produits'!$A$3:$H$10000,8,FALSE),"0")</f>
        <v>0</v>
      </c>
      <c r="K12054" s="4"/>
      <c r="L12054" s="33" t="str">
        <f>IFERROR(VLOOKUP($J12054,'Informations sur les produits'!$A$3:$H$10000,8,FALSE),"0")</f>
        <v>0</v>
      </c>
      <c r="N12054" s="8"/>
      <c r="O12054" s="33" t="str">
        <f>IFERROR(VLOOKUP($M12054,'Informations sur les produits'!$A$3:$H$10000,8,FALSE),"0")</f>
        <v>0</v>
      </c>
      <c r="P12054" s="33">
        <f t="shared" si="752"/>
        <v>0</v>
      </c>
      <c r="Q12054" s="31" t="str">
        <f t="shared" si="753"/>
        <v/>
      </c>
      <c r="R12054" s="32" t="str">
        <f>IFERROR(VLOOKUP($D12054,'Informations sur les produits'!$A$3:$B$15000,2,FALSE),"")</f>
        <v/>
      </c>
      <c r="V12054">
        <f t="shared" si="754"/>
        <v>0</v>
      </c>
      <c r="W12054">
        <f t="shared" si="755"/>
        <v>0</v>
      </c>
    </row>
    <row r="12055" spans="5:23" x14ac:dyDescent="0.25">
      <c r="E12055" s="4"/>
      <c r="F12055" s="4"/>
      <c r="G12055" s="33" t="str">
        <f>IFERROR(VLOOKUP($D12055,'Informations sur les produits'!$A$3:$H$10000,8,FALSE),"0")</f>
        <v>0</v>
      </c>
      <c r="K12055" s="4"/>
      <c r="L12055" s="33" t="str">
        <f>IFERROR(VLOOKUP($J12055,'Informations sur les produits'!$A$3:$H$10000,8,FALSE),"0")</f>
        <v>0</v>
      </c>
      <c r="N12055" s="8"/>
      <c r="O12055" s="33" t="str">
        <f>IFERROR(VLOOKUP($M12055,'Informations sur les produits'!$A$3:$H$10000,8,FALSE),"0")</f>
        <v>0</v>
      </c>
      <c r="P12055" s="33">
        <f t="shared" si="752"/>
        <v>0</v>
      </c>
      <c r="Q12055" s="31" t="str">
        <f t="shared" si="753"/>
        <v/>
      </c>
      <c r="R12055" s="32" t="str">
        <f>IFERROR(VLOOKUP($D12055,'Informations sur les produits'!$A$3:$B$15000,2,FALSE),"")</f>
        <v/>
      </c>
      <c r="V12055">
        <f t="shared" si="754"/>
        <v>0</v>
      </c>
      <c r="W12055">
        <f t="shared" si="755"/>
        <v>0</v>
      </c>
    </row>
    <row r="12056" spans="5:23" x14ac:dyDescent="0.25">
      <c r="E12056" s="4"/>
      <c r="F12056" s="4"/>
      <c r="G12056" s="33" t="str">
        <f>IFERROR(VLOOKUP($D12056,'Informations sur les produits'!$A$3:$H$10000,8,FALSE),"0")</f>
        <v>0</v>
      </c>
      <c r="K12056" s="4"/>
      <c r="L12056" s="33" t="str">
        <f>IFERROR(VLOOKUP($J12056,'Informations sur les produits'!$A$3:$H$10000,8,FALSE),"0")</f>
        <v>0</v>
      </c>
      <c r="N12056" s="8"/>
      <c r="O12056" s="33" t="str">
        <f>IFERROR(VLOOKUP($M12056,'Informations sur les produits'!$A$3:$H$10000,8,FALSE),"0")</f>
        <v>0</v>
      </c>
      <c r="P12056" s="33">
        <f t="shared" si="752"/>
        <v>0</v>
      </c>
      <c r="Q12056" s="31" t="str">
        <f t="shared" si="753"/>
        <v/>
      </c>
      <c r="R12056" s="32" t="str">
        <f>IFERROR(VLOOKUP($D12056,'Informations sur les produits'!$A$3:$B$15000,2,FALSE),"")</f>
        <v/>
      </c>
      <c r="V12056">
        <f t="shared" si="754"/>
        <v>0</v>
      </c>
      <c r="W12056">
        <f t="shared" si="755"/>
        <v>0</v>
      </c>
    </row>
    <row r="12057" spans="5:23" x14ac:dyDescent="0.25">
      <c r="E12057" s="4"/>
      <c r="F12057" s="4"/>
      <c r="G12057" s="33" t="str">
        <f>IFERROR(VLOOKUP($D12057,'Informations sur les produits'!$A$3:$H$10000,8,FALSE),"0")</f>
        <v>0</v>
      </c>
      <c r="K12057" s="4"/>
      <c r="L12057" s="33" t="str">
        <f>IFERROR(VLOOKUP($J12057,'Informations sur les produits'!$A$3:$H$10000,8,FALSE),"0")</f>
        <v>0</v>
      </c>
      <c r="N12057" s="8"/>
      <c r="O12057" s="33" t="str">
        <f>IFERROR(VLOOKUP($M12057,'Informations sur les produits'!$A$3:$H$10000,8,FALSE),"0")</f>
        <v>0</v>
      </c>
      <c r="P12057" s="33">
        <f t="shared" si="752"/>
        <v>0</v>
      </c>
      <c r="Q12057" s="31" t="str">
        <f t="shared" si="753"/>
        <v/>
      </c>
      <c r="R12057" s="32" t="str">
        <f>IFERROR(VLOOKUP($D12057,'Informations sur les produits'!$A$3:$B$15000,2,FALSE),"")</f>
        <v/>
      </c>
      <c r="V12057">
        <f t="shared" si="754"/>
        <v>0</v>
      </c>
      <c r="W12057">
        <f t="shared" si="755"/>
        <v>0</v>
      </c>
    </row>
    <row r="12058" spans="5:23" x14ac:dyDescent="0.25">
      <c r="E12058" s="4"/>
      <c r="F12058" s="4"/>
      <c r="G12058" s="33" t="str">
        <f>IFERROR(VLOOKUP($D12058,'Informations sur les produits'!$A$3:$H$10000,8,FALSE),"0")</f>
        <v>0</v>
      </c>
      <c r="K12058" s="4"/>
      <c r="L12058" s="33" t="str">
        <f>IFERROR(VLOOKUP($J12058,'Informations sur les produits'!$A$3:$H$10000,8,FALSE),"0")</f>
        <v>0</v>
      </c>
      <c r="N12058" s="8"/>
      <c r="O12058" s="33" t="str">
        <f>IFERROR(VLOOKUP($M12058,'Informations sur les produits'!$A$3:$H$10000,8,FALSE),"0")</f>
        <v>0</v>
      </c>
      <c r="P12058" s="33">
        <f t="shared" si="752"/>
        <v>0</v>
      </c>
      <c r="Q12058" s="31" t="str">
        <f t="shared" si="753"/>
        <v/>
      </c>
      <c r="R12058" s="32" t="str">
        <f>IFERROR(VLOOKUP($D12058,'Informations sur les produits'!$A$3:$B$15000,2,FALSE),"")</f>
        <v/>
      </c>
      <c r="V12058">
        <f t="shared" si="754"/>
        <v>0</v>
      </c>
      <c r="W12058">
        <f t="shared" si="755"/>
        <v>0</v>
      </c>
    </row>
    <row r="12059" spans="5:23" x14ac:dyDescent="0.25">
      <c r="E12059" s="4"/>
      <c r="F12059" s="4"/>
      <c r="G12059" s="33" t="str">
        <f>IFERROR(VLOOKUP($D12059,'Informations sur les produits'!$A$3:$H$10000,8,FALSE),"0")</f>
        <v>0</v>
      </c>
      <c r="K12059" s="4"/>
      <c r="L12059" s="33" t="str">
        <f>IFERROR(VLOOKUP($J12059,'Informations sur les produits'!$A$3:$H$10000,8,FALSE),"0")</f>
        <v>0</v>
      </c>
      <c r="N12059" s="8"/>
      <c r="O12059" s="33" t="str">
        <f>IFERROR(VLOOKUP($M12059,'Informations sur les produits'!$A$3:$H$10000,8,FALSE),"0")</f>
        <v>0</v>
      </c>
      <c r="P12059" s="33">
        <f t="shared" si="752"/>
        <v>0</v>
      </c>
      <c r="Q12059" s="31" t="str">
        <f t="shared" si="753"/>
        <v/>
      </c>
      <c r="R12059" s="32" t="str">
        <f>IFERROR(VLOOKUP($D12059,'Informations sur les produits'!$A$3:$B$15000,2,FALSE),"")</f>
        <v/>
      </c>
      <c r="V12059">
        <f t="shared" si="754"/>
        <v>0</v>
      </c>
      <c r="W12059">
        <f t="shared" si="755"/>
        <v>0</v>
      </c>
    </row>
    <row r="12060" spans="5:23" x14ac:dyDescent="0.25">
      <c r="E12060" s="4"/>
      <c r="F12060" s="4"/>
      <c r="G12060" s="33" t="str">
        <f>IFERROR(VLOOKUP($D12060,'Informations sur les produits'!$A$3:$H$10000,8,FALSE),"0")</f>
        <v>0</v>
      </c>
      <c r="K12060" s="4"/>
      <c r="L12060" s="33" t="str">
        <f>IFERROR(VLOOKUP($J12060,'Informations sur les produits'!$A$3:$H$10000,8,FALSE),"0")</f>
        <v>0</v>
      </c>
      <c r="N12060" s="8"/>
      <c r="O12060" s="33" t="str">
        <f>IFERROR(VLOOKUP($M12060,'Informations sur les produits'!$A$3:$H$10000,8,FALSE),"0")</f>
        <v>0</v>
      </c>
      <c r="P12060" s="33">
        <f t="shared" si="752"/>
        <v>0</v>
      </c>
      <c r="Q12060" s="31" t="str">
        <f t="shared" si="753"/>
        <v/>
      </c>
      <c r="R12060" s="32" t="str">
        <f>IFERROR(VLOOKUP($D12060,'Informations sur les produits'!$A$3:$B$15000,2,FALSE),"")</f>
        <v/>
      </c>
      <c r="V12060">
        <f t="shared" si="754"/>
        <v>0</v>
      </c>
      <c r="W12060">
        <f t="shared" si="755"/>
        <v>0</v>
      </c>
    </row>
    <row r="12061" spans="5:23" x14ac:dyDescent="0.25">
      <c r="E12061" s="4"/>
      <c r="F12061" s="4"/>
      <c r="G12061" s="33" t="str">
        <f>IFERROR(VLOOKUP($D12061,'Informations sur les produits'!$A$3:$H$10000,8,FALSE),"0")</f>
        <v>0</v>
      </c>
      <c r="K12061" s="4"/>
      <c r="L12061" s="33" t="str">
        <f>IFERROR(VLOOKUP($J12061,'Informations sur les produits'!$A$3:$H$10000,8,FALSE),"0")</f>
        <v>0</v>
      </c>
      <c r="N12061" s="8"/>
      <c r="O12061" s="33" t="str">
        <f>IFERROR(VLOOKUP($M12061,'Informations sur les produits'!$A$3:$H$10000,8,FALSE),"0")</f>
        <v>0</v>
      </c>
      <c r="P12061" s="33">
        <f t="shared" si="752"/>
        <v>0</v>
      </c>
      <c r="Q12061" s="31" t="str">
        <f t="shared" si="753"/>
        <v/>
      </c>
      <c r="R12061" s="32" t="str">
        <f>IFERROR(VLOOKUP($D12061,'Informations sur les produits'!$A$3:$B$15000,2,FALSE),"")</f>
        <v/>
      </c>
      <c r="V12061">
        <f t="shared" si="754"/>
        <v>0</v>
      </c>
      <c r="W12061">
        <f t="shared" si="755"/>
        <v>0</v>
      </c>
    </row>
    <row r="12062" spans="5:23" x14ac:dyDescent="0.25">
      <c r="E12062" s="4"/>
      <c r="F12062" s="4"/>
      <c r="G12062" s="33" t="str">
        <f>IFERROR(VLOOKUP($D12062,'Informations sur les produits'!$A$3:$H$10000,8,FALSE),"0")</f>
        <v>0</v>
      </c>
      <c r="K12062" s="4"/>
      <c r="L12062" s="33" t="str">
        <f>IFERROR(VLOOKUP($J12062,'Informations sur les produits'!$A$3:$H$10000,8,FALSE),"0")</f>
        <v>0</v>
      </c>
      <c r="N12062" s="8"/>
      <c r="O12062" s="33" t="str">
        <f>IFERROR(VLOOKUP($M12062,'Informations sur les produits'!$A$3:$H$10000,8,FALSE),"0")</f>
        <v>0</v>
      </c>
      <c r="P12062" s="33">
        <f t="shared" si="752"/>
        <v>0</v>
      </c>
      <c r="Q12062" s="31" t="str">
        <f t="shared" si="753"/>
        <v/>
      </c>
      <c r="R12062" s="32" t="str">
        <f>IFERROR(VLOOKUP($D12062,'Informations sur les produits'!$A$3:$B$15000,2,FALSE),"")</f>
        <v/>
      </c>
      <c r="V12062">
        <f t="shared" si="754"/>
        <v>0</v>
      </c>
      <c r="W12062">
        <f t="shared" si="755"/>
        <v>0</v>
      </c>
    </row>
    <row r="12063" spans="5:23" x14ac:dyDescent="0.25">
      <c r="E12063" s="4"/>
      <c r="F12063" s="4"/>
      <c r="G12063" s="33" t="str">
        <f>IFERROR(VLOOKUP($D12063,'Informations sur les produits'!$A$3:$H$10000,8,FALSE),"0")</f>
        <v>0</v>
      </c>
      <c r="K12063" s="4"/>
      <c r="L12063" s="33" t="str">
        <f>IFERROR(VLOOKUP($J12063,'Informations sur les produits'!$A$3:$H$10000,8,FALSE),"0")</f>
        <v>0</v>
      </c>
      <c r="N12063" s="8"/>
      <c r="O12063" s="33" t="str">
        <f>IFERROR(VLOOKUP($M12063,'Informations sur les produits'!$A$3:$H$10000,8,FALSE),"0")</f>
        <v>0</v>
      </c>
      <c r="P12063" s="33">
        <f t="shared" si="752"/>
        <v>0</v>
      </c>
      <c r="Q12063" s="31" t="str">
        <f t="shared" si="753"/>
        <v/>
      </c>
      <c r="R12063" s="32" t="str">
        <f>IFERROR(VLOOKUP($D12063,'Informations sur les produits'!$A$3:$B$15000,2,FALSE),"")</f>
        <v/>
      </c>
      <c r="V12063">
        <f t="shared" si="754"/>
        <v>0</v>
      </c>
      <c r="W12063">
        <f t="shared" si="755"/>
        <v>0</v>
      </c>
    </row>
    <row r="12064" spans="5:23" x14ac:dyDescent="0.25">
      <c r="E12064" s="4"/>
      <c r="F12064" s="4"/>
      <c r="G12064" s="33" t="str">
        <f>IFERROR(VLOOKUP($D12064,'Informations sur les produits'!$A$3:$H$10000,8,FALSE),"0")</f>
        <v>0</v>
      </c>
      <c r="K12064" s="4"/>
      <c r="L12064" s="33" t="str">
        <f>IFERROR(VLOOKUP($J12064,'Informations sur les produits'!$A$3:$H$10000,8,FALSE),"0")</f>
        <v>0</v>
      </c>
      <c r="N12064" s="8"/>
      <c r="O12064" s="33" t="str">
        <f>IFERROR(VLOOKUP($M12064,'Informations sur les produits'!$A$3:$H$10000,8,FALSE),"0")</f>
        <v>0</v>
      </c>
      <c r="P12064" s="33">
        <f t="shared" si="752"/>
        <v>0</v>
      </c>
      <c r="Q12064" s="31" t="str">
        <f t="shared" si="753"/>
        <v/>
      </c>
      <c r="R12064" s="32" t="str">
        <f>IFERROR(VLOOKUP($D12064,'Informations sur les produits'!$A$3:$B$15000,2,FALSE),"")</f>
        <v/>
      </c>
      <c r="V12064">
        <f t="shared" si="754"/>
        <v>0</v>
      </c>
      <c r="W12064">
        <f t="shared" si="755"/>
        <v>0</v>
      </c>
    </row>
    <row r="12065" spans="5:23" x14ac:dyDescent="0.25">
      <c r="E12065" s="4"/>
      <c r="F12065" s="4"/>
      <c r="G12065" s="33" t="str">
        <f>IFERROR(VLOOKUP($D12065,'Informations sur les produits'!$A$3:$H$10000,8,FALSE),"0")</f>
        <v>0</v>
      </c>
      <c r="K12065" s="4"/>
      <c r="L12065" s="33" t="str">
        <f>IFERROR(VLOOKUP($J12065,'Informations sur les produits'!$A$3:$H$10000,8,FALSE),"0")</f>
        <v>0</v>
      </c>
      <c r="N12065" s="8"/>
      <c r="O12065" s="33" t="str">
        <f>IFERROR(VLOOKUP($M12065,'Informations sur les produits'!$A$3:$H$10000,8,FALSE),"0")</f>
        <v>0</v>
      </c>
      <c r="P12065" s="33">
        <f t="shared" si="752"/>
        <v>0</v>
      </c>
      <c r="Q12065" s="31" t="str">
        <f t="shared" si="753"/>
        <v/>
      </c>
      <c r="R12065" s="32" t="str">
        <f>IFERROR(VLOOKUP($D12065,'Informations sur les produits'!$A$3:$B$15000,2,FALSE),"")</f>
        <v/>
      </c>
      <c r="V12065">
        <f t="shared" si="754"/>
        <v>0</v>
      </c>
      <c r="W12065">
        <f t="shared" si="755"/>
        <v>0</v>
      </c>
    </row>
    <row r="12066" spans="5:23" x14ac:dyDescent="0.25">
      <c r="E12066" s="4"/>
      <c r="F12066" s="4"/>
      <c r="G12066" s="33" t="str">
        <f>IFERROR(VLOOKUP($D12066,'Informations sur les produits'!$A$3:$H$10000,8,FALSE),"0")</f>
        <v>0</v>
      </c>
      <c r="K12066" s="4"/>
      <c r="L12066" s="33" t="str">
        <f>IFERROR(VLOOKUP($J12066,'Informations sur les produits'!$A$3:$H$10000,8,FALSE),"0")</f>
        <v>0</v>
      </c>
      <c r="N12066" s="8"/>
      <c r="O12066" s="33" t="str">
        <f>IFERROR(VLOOKUP($M12066,'Informations sur les produits'!$A$3:$H$10000,8,FALSE),"0")</f>
        <v>0</v>
      </c>
      <c r="P12066" s="33">
        <f t="shared" si="752"/>
        <v>0</v>
      </c>
      <c r="Q12066" s="31" t="str">
        <f t="shared" si="753"/>
        <v/>
      </c>
      <c r="R12066" s="32" t="str">
        <f>IFERROR(VLOOKUP($D12066,'Informations sur les produits'!$A$3:$B$15000,2,FALSE),"")</f>
        <v/>
      </c>
      <c r="V12066">
        <f t="shared" si="754"/>
        <v>0</v>
      </c>
      <c r="W12066">
        <f t="shared" si="755"/>
        <v>0</v>
      </c>
    </row>
    <row r="12067" spans="5:23" x14ac:dyDescent="0.25">
      <c r="E12067" s="4"/>
      <c r="F12067" s="4"/>
      <c r="G12067" s="33" t="str">
        <f>IFERROR(VLOOKUP($D12067,'Informations sur les produits'!$A$3:$H$10000,8,FALSE),"0")</f>
        <v>0</v>
      </c>
      <c r="K12067" s="4"/>
      <c r="L12067" s="33" t="str">
        <f>IFERROR(VLOOKUP($J12067,'Informations sur les produits'!$A$3:$H$10000,8,FALSE),"0")</f>
        <v>0</v>
      </c>
      <c r="N12067" s="8"/>
      <c r="O12067" s="33" t="str">
        <f>IFERROR(VLOOKUP($M12067,'Informations sur les produits'!$A$3:$H$10000,8,FALSE),"0")</f>
        <v>0</v>
      </c>
      <c r="P12067" s="33">
        <f t="shared" si="752"/>
        <v>0</v>
      </c>
      <c r="Q12067" s="31" t="str">
        <f t="shared" si="753"/>
        <v/>
      </c>
      <c r="R12067" s="32" t="str">
        <f>IFERROR(VLOOKUP($D12067,'Informations sur les produits'!$A$3:$B$15000,2,FALSE),"")</f>
        <v/>
      </c>
      <c r="V12067">
        <f t="shared" si="754"/>
        <v>0</v>
      </c>
      <c r="W12067">
        <f t="shared" si="755"/>
        <v>0</v>
      </c>
    </row>
    <row r="12068" spans="5:23" x14ac:dyDescent="0.25">
      <c r="E12068" s="4"/>
      <c r="F12068" s="4"/>
      <c r="G12068" s="33" t="str">
        <f>IFERROR(VLOOKUP($D12068,'Informations sur les produits'!$A$3:$H$10000,8,FALSE),"0")</f>
        <v>0</v>
      </c>
      <c r="K12068" s="4"/>
      <c r="L12068" s="33" t="str">
        <f>IFERROR(VLOOKUP($J12068,'Informations sur les produits'!$A$3:$H$10000,8,FALSE),"0")</f>
        <v>0</v>
      </c>
      <c r="N12068" s="8"/>
      <c r="O12068" s="33" t="str">
        <f>IFERROR(VLOOKUP($M12068,'Informations sur les produits'!$A$3:$H$10000,8,FALSE),"0")</f>
        <v>0</v>
      </c>
      <c r="P12068" s="33">
        <f t="shared" si="752"/>
        <v>0</v>
      </c>
      <c r="Q12068" s="31" t="str">
        <f t="shared" si="753"/>
        <v/>
      </c>
      <c r="R12068" s="32" t="str">
        <f>IFERROR(VLOOKUP($D12068,'Informations sur les produits'!$A$3:$B$15000,2,FALSE),"")</f>
        <v/>
      </c>
      <c r="V12068">
        <f t="shared" si="754"/>
        <v>0</v>
      </c>
      <c r="W12068">
        <f t="shared" si="755"/>
        <v>0</v>
      </c>
    </row>
    <row r="12069" spans="5:23" x14ac:dyDescent="0.25">
      <c r="E12069" s="4"/>
      <c r="F12069" s="4"/>
      <c r="G12069" s="33" t="str">
        <f>IFERROR(VLOOKUP($D12069,'Informations sur les produits'!$A$3:$H$10000,8,FALSE),"0")</f>
        <v>0</v>
      </c>
      <c r="K12069" s="4"/>
      <c r="L12069" s="33" t="str">
        <f>IFERROR(VLOOKUP($J12069,'Informations sur les produits'!$A$3:$H$10000,8,FALSE),"0")</f>
        <v>0</v>
      </c>
      <c r="N12069" s="8"/>
      <c r="O12069" s="33" t="str">
        <f>IFERROR(VLOOKUP($M12069,'Informations sur les produits'!$A$3:$H$10000,8,FALSE),"0")</f>
        <v>0</v>
      </c>
      <c r="P12069" s="33">
        <f t="shared" si="752"/>
        <v>0</v>
      </c>
      <c r="Q12069" s="31" t="str">
        <f t="shared" si="753"/>
        <v/>
      </c>
      <c r="R12069" s="32" t="str">
        <f>IFERROR(VLOOKUP($D12069,'Informations sur les produits'!$A$3:$B$15000,2,FALSE),"")</f>
        <v/>
      </c>
      <c r="V12069">
        <f t="shared" si="754"/>
        <v>0</v>
      </c>
      <c r="W12069">
        <f t="shared" si="755"/>
        <v>0</v>
      </c>
    </row>
    <row r="12070" spans="5:23" x14ac:dyDescent="0.25">
      <c r="E12070" s="4"/>
      <c r="F12070" s="4"/>
      <c r="G12070" s="33" t="str">
        <f>IFERROR(VLOOKUP($D12070,'Informations sur les produits'!$A$3:$H$10000,8,FALSE),"0")</f>
        <v>0</v>
      </c>
      <c r="K12070" s="4"/>
      <c r="L12070" s="33" t="str">
        <f>IFERROR(VLOOKUP($J12070,'Informations sur les produits'!$A$3:$H$10000,8,FALSE),"0")</f>
        <v>0</v>
      </c>
      <c r="N12070" s="8"/>
      <c r="O12070" s="33" t="str">
        <f>IFERROR(VLOOKUP($M12070,'Informations sur les produits'!$A$3:$H$10000,8,FALSE),"0")</f>
        <v>0</v>
      </c>
      <c r="P12070" s="33">
        <f t="shared" si="752"/>
        <v>0</v>
      </c>
      <c r="Q12070" s="31" t="str">
        <f t="shared" si="753"/>
        <v/>
      </c>
      <c r="R12070" s="32" t="str">
        <f>IFERROR(VLOOKUP($D12070,'Informations sur les produits'!$A$3:$B$15000,2,FALSE),"")</f>
        <v/>
      </c>
      <c r="V12070">
        <f t="shared" si="754"/>
        <v>0</v>
      </c>
      <c r="W12070">
        <f t="shared" si="755"/>
        <v>0</v>
      </c>
    </row>
    <row r="12071" spans="5:23" x14ac:dyDescent="0.25">
      <c r="E12071" s="4"/>
      <c r="F12071" s="4"/>
      <c r="G12071" s="33" t="str">
        <f>IFERROR(VLOOKUP($D12071,'Informations sur les produits'!$A$3:$H$10000,8,FALSE),"0")</f>
        <v>0</v>
      </c>
      <c r="K12071" s="4"/>
      <c r="L12071" s="33" t="str">
        <f>IFERROR(VLOOKUP($J12071,'Informations sur les produits'!$A$3:$H$10000,8,FALSE),"0")</f>
        <v>0</v>
      </c>
      <c r="N12071" s="8"/>
      <c r="O12071" s="33" t="str">
        <f>IFERROR(VLOOKUP($M12071,'Informations sur les produits'!$A$3:$H$10000,8,FALSE),"0")</f>
        <v>0</v>
      </c>
      <c r="P12071" s="33">
        <f t="shared" si="752"/>
        <v>0</v>
      </c>
      <c r="Q12071" s="31" t="str">
        <f t="shared" si="753"/>
        <v/>
      </c>
      <c r="R12071" s="32" t="str">
        <f>IFERROR(VLOOKUP($D12071,'Informations sur les produits'!$A$3:$B$15000,2,FALSE),"")</f>
        <v/>
      </c>
      <c r="V12071">
        <f t="shared" si="754"/>
        <v>0</v>
      </c>
      <c r="W12071">
        <f t="shared" si="755"/>
        <v>0</v>
      </c>
    </row>
    <row r="12072" spans="5:23" x14ac:dyDescent="0.25">
      <c r="E12072" s="4"/>
      <c r="F12072" s="4"/>
      <c r="G12072" s="33" t="str">
        <f>IFERROR(VLOOKUP($D12072,'Informations sur les produits'!$A$3:$H$10000,8,FALSE),"0")</f>
        <v>0</v>
      </c>
      <c r="K12072" s="4"/>
      <c r="L12072" s="33" t="str">
        <f>IFERROR(VLOOKUP($J12072,'Informations sur les produits'!$A$3:$H$10000,8,FALSE),"0")</f>
        <v>0</v>
      </c>
      <c r="N12072" s="8"/>
      <c r="O12072" s="33" t="str">
        <f>IFERROR(VLOOKUP($M12072,'Informations sur les produits'!$A$3:$H$10000,8,FALSE),"0")</f>
        <v>0</v>
      </c>
      <c r="P12072" s="33">
        <f t="shared" si="752"/>
        <v>0</v>
      </c>
      <c r="Q12072" s="31" t="str">
        <f t="shared" si="753"/>
        <v/>
      </c>
      <c r="R12072" s="32" t="str">
        <f>IFERROR(VLOOKUP($D12072,'Informations sur les produits'!$A$3:$B$15000,2,FALSE),"")</f>
        <v/>
      </c>
      <c r="V12072">
        <f t="shared" si="754"/>
        <v>0</v>
      </c>
      <c r="W12072">
        <f t="shared" si="755"/>
        <v>0</v>
      </c>
    </row>
    <row r="12073" spans="5:23" x14ac:dyDescent="0.25">
      <c r="E12073" s="4"/>
      <c r="F12073" s="4"/>
      <c r="G12073" s="33" t="str">
        <f>IFERROR(VLOOKUP($D12073,'Informations sur les produits'!$A$3:$H$10000,8,FALSE),"0")</f>
        <v>0</v>
      </c>
      <c r="K12073" s="4"/>
      <c r="L12073" s="33" t="str">
        <f>IFERROR(VLOOKUP($J12073,'Informations sur les produits'!$A$3:$H$10000,8,FALSE),"0")</f>
        <v>0</v>
      </c>
      <c r="N12073" s="8"/>
      <c r="O12073" s="33" t="str">
        <f>IFERROR(VLOOKUP($M12073,'Informations sur les produits'!$A$3:$H$10000,8,FALSE),"0")</f>
        <v>0</v>
      </c>
      <c r="P12073" s="33">
        <f t="shared" si="752"/>
        <v>0</v>
      </c>
      <c r="Q12073" s="31" t="str">
        <f t="shared" si="753"/>
        <v/>
      </c>
      <c r="R12073" s="32" t="str">
        <f>IFERROR(VLOOKUP($D12073,'Informations sur les produits'!$A$3:$B$15000,2,FALSE),"")</f>
        <v/>
      </c>
      <c r="V12073">
        <f t="shared" si="754"/>
        <v>0</v>
      </c>
      <c r="W12073">
        <f t="shared" si="755"/>
        <v>0</v>
      </c>
    </row>
    <row r="12074" spans="5:23" x14ac:dyDescent="0.25">
      <c r="E12074" s="4"/>
      <c r="F12074" s="4"/>
      <c r="G12074" s="33" t="str">
        <f>IFERROR(VLOOKUP($D12074,'Informations sur les produits'!$A$3:$H$10000,8,FALSE),"0")</f>
        <v>0</v>
      </c>
      <c r="K12074" s="4"/>
      <c r="L12074" s="33" t="str">
        <f>IFERROR(VLOOKUP($J12074,'Informations sur les produits'!$A$3:$H$10000,8,FALSE),"0")</f>
        <v>0</v>
      </c>
      <c r="N12074" s="8"/>
      <c r="O12074" s="33" t="str">
        <f>IFERROR(VLOOKUP($M12074,'Informations sur les produits'!$A$3:$H$10000,8,FALSE),"0")</f>
        <v>0</v>
      </c>
      <c r="P12074" s="33">
        <f t="shared" si="752"/>
        <v>0</v>
      </c>
      <c r="Q12074" s="31" t="str">
        <f t="shared" si="753"/>
        <v/>
      </c>
      <c r="R12074" s="32" t="str">
        <f>IFERROR(VLOOKUP($D12074,'Informations sur les produits'!$A$3:$B$15000,2,FALSE),"")</f>
        <v/>
      </c>
      <c r="V12074">
        <f t="shared" si="754"/>
        <v>0</v>
      </c>
      <c r="W12074">
        <f t="shared" si="755"/>
        <v>0</v>
      </c>
    </row>
    <row r="12075" spans="5:23" x14ac:dyDescent="0.25">
      <c r="E12075" s="4"/>
      <c r="F12075" s="4"/>
      <c r="G12075" s="33" t="str">
        <f>IFERROR(VLOOKUP($D12075,'Informations sur les produits'!$A$3:$H$10000,8,FALSE),"0")</f>
        <v>0</v>
      </c>
      <c r="K12075" s="4"/>
      <c r="L12075" s="33" t="str">
        <f>IFERROR(VLOOKUP($J12075,'Informations sur les produits'!$A$3:$H$10000,8,FALSE),"0")</f>
        <v>0</v>
      </c>
      <c r="N12075" s="8"/>
      <c r="O12075" s="33" t="str">
        <f>IFERROR(VLOOKUP($M12075,'Informations sur les produits'!$A$3:$H$10000,8,FALSE),"0")</f>
        <v>0</v>
      </c>
      <c r="P12075" s="33">
        <f t="shared" si="752"/>
        <v>0</v>
      </c>
      <c r="Q12075" s="31" t="str">
        <f t="shared" si="753"/>
        <v/>
      </c>
      <c r="R12075" s="32" t="str">
        <f>IFERROR(VLOOKUP($D12075,'Informations sur les produits'!$A$3:$B$15000,2,FALSE),"")</f>
        <v/>
      </c>
      <c r="V12075">
        <f t="shared" si="754"/>
        <v>0</v>
      </c>
      <c r="W12075">
        <f t="shared" si="755"/>
        <v>0</v>
      </c>
    </row>
    <row r="12076" spans="5:23" x14ac:dyDescent="0.25">
      <c r="E12076" s="4"/>
      <c r="F12076" s="4"/>
      <c r="G12076" s="33" t="str">
        <f>IFERROR(VLOOKUP($D12076,'Informations sur les produits'!$A$3:$H$10000,8,FALSE),"0")</f>
        <v>0</v>
      </c>
      <c r="K12076" s="4"/>
      <c r="L12076" s="33" t="str">
        <f>IFERROR(VLOOKUP($J12076,'Informations sur les produits'!$A$3:$H$10000,8,FALSE),"0")</f>
        <v>0</v>
      </c>
      <c r="N12076" s="8"/>
      <c r="O12076" s="33" t="str">
        <f>IFERROR(VLOOKUP($M12076,'Informations sur les produits'!$A$3:$H$10000,8,FALSE),"0")</f>
        <v>0</v>
      </c>
      <c r="P12076" s="33">
        <f t="shared" si="752"/>
        <v>0</v>
      </c>
      <c r="Q12076" s="31" t="str">
        <f t="shared" si="753"/>
        <v/>
      </c>
      <c r="R12076" s="32" t="str">
        <f>IFERROR(VLOOKUP($D12076,'Informations sur les produits'!$A$3:$B$15000,2,FALSE),"")</f>
        <v/>
      </c>
      <c r="V12076">
        <f t="shared" si="754"/>
        <v>0</v>
      </c>
      <c r="W12076">
        <f t="shared" si="755"/>
        <v>0</v>
      </c>
    </row>
    <row r="12077" spans="5:23" x14ac:dyDescent="0.25">
      <c r="E12077" s="4"/>
      <c r="F12077" s="4"/>
      <c r="G12077" s="33" t="str">
        <f>IFERROR(VLOOKUP($D12077,'Informations sur les produits'!$A$3:$H$10000,8,FALSE),"0")</f>
        <v>0</v>
      </c>
      <c r="K12077" s="4"/>
      <c r="L12077" s="33" t="str">
        <f>IFERROR(VLOOKUP($J12077,'Informations sur les produits'!$A$3:$H$10000,8,FALSE),"0")</f>
        <v>0</v>
      </c>
      <c r="N12077" s="8"/>
      <c r="O12077" s="33" t="str">
        <f>IFERROR(VLOOKUP($M12077,'Informations sur les produits'!$A$3:$H$10000,8,FALSE),"0")</f>
        <v>0</v>
      </c>
      <c r="P12077" s="33">
        <f t="shared" si="752"/>
        <v>0</v>
      </c>
      <c r="Q12077" s="31" t="str">
        <f t="shared" si="753"/>
        <v/>
      </c>
      <c r="R12077" s="32" t="str">
        <f>IFERROR(VLOOKUP($D12077,'Informations sur les produits'!$A$3:$B$15000,2,FALSE),"")</f>
        <v/>
      </c>
      <c r="V12077">
        <f t="shared" si="754"/>
        <v>0</v>
      </c>
      <c r="W12077">
        <f t="shared" si="755"/>
        <v>0</v>
      </c>
    </row>
    <row r="12078" spans="5:23" x14ac:dyDescent="0.25">
      <c r="E12078" s="4"/>
      <c r="F12078" s="4"/>
      <c r="G12078" s="33" t="str">
        <f>IFERROR(VLOOKUP($D12078,'Informations sur les produits'!$A$3:$H$10000,8,FALSE),"0")</f>
        <v>0</v>
      </c>
      <c r="K12078" s="4"/>
      <c r="L12078" s="33" t="str">
        <f>IFERROR(VLOOKUP($J12078,'Informations sur les produits'!$A$3:$H$10000,8,FALSE),"0")</f>
        <v>0</v>
      </c>
      <c r="N12078" s="8"/>
      <c r="O12078" s="33" t="str">
        <f>IFERROR(VLOOKUP($M12078,'Informations sur les produits'!$A$3:$H$10000,8,FALSE),"0")</f>
        <v>0</v>
      </c>
      <c r="P12078" s="33">
        <f t="shared" si="752"/>
        <v>0</v>
      </c>
      <c r="Q12078" s="31" t="str">
        <f t="shared" si="753"/>
        <v/>
      </c>
      <c r="R12078" s="32" t="str">
        <f>IFERROR(VLOOKUP($D12078,'Informations sur les produits'!$A$3:$B$15000,2,FALSE),"")</f>
        <v/>
      </c>
      <c r="V12078">
        <f t="shared" si="754"/>
        <v>0</v>
      </c>
      <c r="W12078">
        <f t="shared" si="755"/>
        <v>0</v>
      </c>
    </row>
    <row r="12079" spans="5:23" x14ac:dyDescent="0.25">
      <c r="E12079" s="4"/>
      <c r="F12079" s="4"/>
      <c r="G12079" s="33" t="str">
        <f>IFERROR(VLOOKUP($D12079,'Informations sur les produits'!$A$3:$H$10000,8,FALSE),"0")</f>
        <v>0</v>
      </c>
      <c r="K12079" s="4"/>
      <c r="L12079" s="33" t="str">
        <f>IFERROR(VLOOKUP($J12079,'Informations sur les produits'!$A$3:$H$10000,8,FALSE),"0")</f>
        <v>0</v>
      </c>
      <c r="N12079" s="8"/>
      <c r="O12079" s="33" t="str">
        <f>IFERROR(VLOOKUP($M12079,'Informations sur les produits'!$A$3:$H$10000,8,FALSE),"0")</f>
        <v>0</v>
      </c>
      <c r="P12079" s="33">
        <f t="shared" si="752"/>
        <v>0</v>
      </c>
      <c r="Q12079" s="31" t="str">
        <f t="shared" si="753"/>
        <v/>
      </c>
      <c r="R12079" s="32" t="str">
        <f>IFERROR(VLOOKUP($D12079,'Informations sur les produits'!$A$3:$B$15000,2,FALSE),"")</f>
        <v/>
      </c>
      <c r="V12079">
        <f t="shared" si="754"/>
        <v>0</v>
      </c>
      <c r="W12079">
        <f t="shared" si="755"/>
        <v>0</v>
      </c>
    </row>
    <row r="12080" spans="5:23" x14ac:dyDescent="0.25">
      <c r="E12080" s="4"/>
      <c r="F12080" s="4"/>
      <c r="G12080" s="33" t="str">
        <f>IFERROR(VLOOKUP($D12080,'Informations sur les produits'!$A$3:$H$10000,8,FALSE),"0")</f>
        <v>0</v>
      </c>
      <c r="K12080" s="4"/>
      <c r="L12080" s="33" t="str">
        <f>IFERROR(VLOOKUP($J12080,'Informations sur les produits'!$A$3:$H$10000,8,FALSE),"0")</f>
        <v>0</v>
      </c>
      <c r="N12080" s="8"/>
      <c r="O12080" s="33" t="str">
        <f>IFERROR(VLOOKUP($M12080,'Informations sur les produits'!$A$3:$H$10000,8,FALSE),"0")</f>
        <v>0</v>
      </c>
      <c r="P12080" s="33">
        <f t="shared" si="752"/>
        <v>0</v>
      </c>
      <c r="Q12080" s="31" t="str">
        <f t="shared" si="753"/>
        <v/>
      </c>
      <c r="R12080" s="32" t="str">
        <f>IFERROR(VLOOKUP($D12080,'Informations sur les produits'!$A$3:$B$15000,2,FALSE),"")</f>
        <v/>
      </c>
      <c r="V12080">
        <f t="shared" si="754"/>
        <v>0</v>
      </c>
      <c r="W12080">
        <f t="shared" si="755"/>
        <v>0</v>
      </c>
    </row>
    <row r="12081" spans="5:23" x14ac:dyDescent="0.25">
      <c r="E12081" s="4"/>
      <c r="F12081" s="4"/>
      <c r="G12081" s="33" t="str">
        <f>IFERROR(VLOOKUP($D12081,'Informations sur les produits'!$A$3:$H$10000,8,FALSE),"0")</f>
        <v>0</v>
      </c>
      <c r="K12081" s="4"/>
      <c r="L12081" s="33" t="str">
        <f>IFERROR(VLOOKUP($J12081,'Informations sur les produits'!$A$3:$H$10000,8,FALSE),"0")</f>
        <v>0</v>
      </c>
      <c r="N12081" s="8"/>
      <c r="O12081" s="33" t="str">
        <f>IFERROR(VLOOKUP($M12081,'Informations sur les produits'!$A$3:$H$10000,8,FALSE),"0")</f>
        <v>0</v>
      </c>
      <c r="P12081" s="33">
        <f t="shared" si="752"/>
        <v>0</v>
      </c>
      <c r="Q12081" s="31" t="str">
        <f t="shared" si="753"/>
        <v/>
      </c>
      <c r="R12081" s="32" t="str">
        <f>IFERROR(VLOOKUP($D12081,'Informations sur les produits'!$A$3:$B$15000,2,FALSE),"")</f>
        <v/>
      </c>
      <c r="V12081">
        <f t="shared" si="754"/>
        <v>0</v>
      </c>
      <c r="W12081">
        <f t="shared" si="755"/>
        <v>0</v>
      </c>
    </row>
    <row r="12082" spans="5:23" x14ac:dyDescent="0.25">
      <c r="E12082" s="4"/>
      <c r="F12082" s="4"/>
      <c r="G12082" s="33" t="str">
        <f>IFERROR(VLOOKUP($D12082,'Informations sur les produits'!$A$3:$H$10000,8,FALSE),"0")</f>
        <v>0</v>
      </c>
      <c r="K12082" s="4"/>
      <c r="L12082" s="33" t="str">
        <f>IFERROR(VLOOKUP($J12082,'Informations sur les produits'!$A$3:$H$10000,8,FALSE),"0")</f>
        <v>0</v>
      </c>
      <c r="N12082" s="8"/>
      <c r="O12082" s="33" t="str">
        <f>IFERROR(VLOOKUP($M12082,'Informations sur les produits'!$A$3:$H$10000,8,FALSE),"0")</f>
        <v>0</v>
      </c>
      <c r="P12082" s="33">
        <f t="shared" si="752"/>
        <v>0</v>
      </c>
      <c r="Q12082" s="31" t="str">
        <f t="shared" si="753"/>
        <v/>
      </c>
      <c r="R12082" s="32" t="str">
        <f>IFERROR(VLOOKUP($D12082,'Informations sur les produits'!$A$3:$B$15000,2,FALSE),"")</f>
        <v/>
      </c>
      <c r="V12082">
        <f t="shared" si="754"/>
        <v>0</v>
      </c>
      <c r="W12082">
        <f t="shared" si="755"/>
        <v>0</v>
      </c>
    </row>
    <row r="12083" spans="5:23" x14ac:dyDescent="0.25">
      <c r="E12083" s="4"/>
      <c r="F12083" s="4"/>
      <c r="G12083" s="33" t="str">
        <f>IFERROR(VLOOKUP($D12083,'Informations sur les produits'!$A$3:$H$10000,8,FALSE),"0")</f>
        <v>0</v>
      </c>
      <c r="K12083" s="4"/>
      <c r="L12083" s="33" t="str">
        <f>IFERROR(VLOOKUP($J12083,'Informations sur les produits'!$A$3:$H$10000,8,FALSE),"0")</f>
        <v>0</v>
      </c>
      <c r="N12083" s="8"/>
      <c r="O12083" s="33" t="str">
        <f>IFERROR(VLOOKUP($M12083,'Informations sur les produits'!$A$3:$H$10000,8,FALSE),"0")</f>
        <v>0</v>
      </c>
      <c r="P12083" s="33">
        <f t="shared" si="752"/>
        <v>0</v>
      </c>
      <c r="Q12083" s="31" t="str">
        <f t="shared" si="753"/>
        <v/>
      </c>
      <c r="R12083" s="32" t="str">
        <f>IFERROR(VLOOKUP($D12083,'Informations sur les produits'!$A$3:$B$15000,2,FALSE),"")</f>
        <v/>
      </c>
      <c r="V12083">
        <f t="shared" si="754"/>
        <v>0</v>
      </c>
      <c r="W12083">
        <f t="shared" si="755"/>
        <v>0</v>
      </c>
    </row>
    <row r="12084" spans="5:23" x14ac:dyDescent="0.25">
      <c r="E12084" s="4"/>
      <c r="F12084" s="4"/>
      <c r="G12084" s="33" t="str">
        <f>IFERROR(VLOOKUP($D12084,'Informations sur les produits'!$A$3:$H$10000,8,FALSE),"0")</f>
        <v>0</v>
      </c>
      <c r="K12084" s="4"/>
      <c r="L12084" s="33" t="str">
        <f>IFERROR(VLOOKUP($J12084,'Informations sur les produits'!$A$3:$H$10000,8,FALSE),"0")</f>
        <v>0</v>
      </c>
      <c r="N12084" s="8"/>
      <c r="O12084" s="33" t="str">
        <f>IFERROR(VLOOKUP($M12084,'Informations sur les produits'!$A$3:$H$10000,8,FALSE),"0")</f>
        <v>0</v>
      </c>
      <c r="P12084" s="33">
        <f t="shared" si="752"/>
        <v>0</v>
      </c>
      <c r="Q12084" s="31" t="str">
        <f t="shared" si="753"/>
        <v/>
      </c>
      <c r="R12084" s="32" t="str">
        <f>IFERROR(VLOOKUP($D12084,'Informations sur les produits'!$A$3:$B$15000,2,FALSE),"")</f>
        <v/>
      </c>
      <c r="V12084">
        <f t="shared" si="754"/>
        <v>0</v>
      </c>
      <c r="W12084">
        <f t="shared" si="755"/>
        <v>0</v>
      </c>
    </row>
    <row r="12085" spans="5:23" x14ac:dyDescent="0.25">
      <c r="E12085" s="4"/>
      <c r="F12085" s="4"/>
      <c r="G12085" s="33" t="str">
        <f>IFERROR(VLOOKUP($D12085,'Informations sur les produits'!$A$3:$H$10000,8,FALSE),"0")</f>
        <v>0</v>
      </c>
      <c r="K12085" s="4"/>
      <c r="L12085" s="33" t="str">
        <f>IFERROR(VLOOKUP($J12085,'Informations sur les produits'!$A$3:$H$10000,8,FALSE),"0")</f>
        <v>0</v>
      </c>
      <c r="N12085" s="8"/>
      <c r="O12085" s="33" t="str">
        <f>IFERROR(VLOOKUP($M12085,'Informations sur les produits'!$A$3:$H$10000,8,FALSE),"0")</f>
        <v>0</v>
      </c>
      <c r="P12085" s="33">
        <f t="shared" si="752"/>
        <v>0</v>
      </c>
      <c r="Q12085" s="31" t="str">
        <f t="shared" si="753"/>
        <v/>
      </c>
      <c r="R12085" s="32" t="str">
        <f>IFERROR(VLOOKUP($D12085,'Informations sur les produits'!$A$3:$B$15000,2,FALSE),"")</f>
        <v/>
      </c>
      <c r="V12085">
        <f t="shared" si="754"/>
        <v>0</v>
      </c>
      <c r="W12085">
        <f t="shared" si="755"/>
        <v>0</v>
      </c>
    </row>
    <row r="12086" spans="5:23" x14ac:dyDescent="0.25">
      <c r="E12086" s="4"/>
      <c r="F12086" s="4"/>
      <c r="G12086" s="33" t="str">
        <f>IFERROR(VLOOKUP($D12086,'Informations sur les produits'!$A$3:$H$10000,8,FALSE),"0")</f>
        <v>0</v>
      </c>
      <c r="K12086" s="4"/>
      <c r="L12086" s="33" t="str">
        <f>IFERROR(VLOOKUP($J12086,'Informations sur les produits'!$A$3:$H$10000,8,FALSE),"0")</f>
        <v>0</v>
      </c>
      <c r="N12086" s="8"/>
      <c r="O12086" s="33" t="str">
        <f>IFERROR(VLOOKUP($M12086,'Informations sur les produits'!$A$3:$H$10000,8,FALSE),"0")</f>
        <v>0</v>
      </c>
      <c r="P12086" s="33">
        <f t="shared" si="752"/>
        <v>0</v>
      </c>
      <c r="Q12086" s="31" t="str">
        <f t="shared" si="753"/>
        <v/>
      </c>
      <c r="R12086" s="32" t="str">
        <f>IFERROR(VLOOKUP($D12086,'Informations sur les produits'!$A$3:$B$15000,2,FALSE),"")</f>
        <v/>
      </c>
      <c r="V12086">
        <f t="shared" si="754"/>
        <v>0</v>
      </c>
      <c r="W12086">
        <f t="shared" si="755"/>
        <v>0</v>
      </c>
    </row>
    <row r="12087" spans="5:23" x14ac:dyDescent="0.25">
      <c r="E12087" s="4"/>
      <c r="F12087" s="4"/>
      <c r="G12087" s="33" t="str">
        <f>IFERROR(VLOOKUP($D12087,'Informations sur les produits'!$A$3:$H$10000,8,FALSE),"0")</f>
        <v>0</v>
      </c>
      <c r="K12087" s="4"/>
      <c r="L12087" s="33" t="str">
        <f>IFERROR(VLOOKUP($J12087,'Informations sur les produits'!$A$3:$H$10000,8,FALSE),"0")</f>
        <v>0</v>
      </c>
      <c r="N12087" s="8"/>
      <c r="O12087" s="33" t="str">
        <f>IFERROR(VLOOKUP($M12087,'Informations sur les produits'!$A$3:$H$10000,8,FALSE),"0")</f>
        <v>0</v>
      </c>
      <c r="P12087" s="33">
        <f t="shared" si="752"/>
        <v>0</v>
      </c>
      <c r="Q12087" s="31" t="str">
        <f t="shared" si="753"/>
        <v/>
      </c>
      <c r="R12087" s="32" t="str">
        <f>IFERROR(VLOOKUP($D12087,'Informations sur les produits'!$A$3:$B$15000,2,FALSE),"")</f>
        <v/>
      </c>
      <c r="V12087">
        <f t="shared" si="754"/>
        <v>0</v>
      </c>
      <c r="W12087">
        <f t="shared" si="755"/>
        <v>0</v>
      </c>
    </row>
    <row r="12088" spans="5:23" x14ac:dyDescent="0.25">
      <c r="E12088" s="4"/>
      <c r="F12088" s="4"/>
      <c r="G12088" s="33" t="str">
        <f>IFERROR(VLOOKUP($D12088,'Informations sur les produits'!$A$3:$H$10000,8,FALSE),"0")</f>
        <v>0</v>
      </c>
      <c r="K12088" s="4"/>
      <c r="L12088" s="33" t="str">
        <f>IFERROR(VLOOKUP($J12088,'Informations sur les produits'!$A$3:$H$10000,8,FALSE),"0")</f>
        <v>0</v>
      </c>
      <c r="N12088" s="8"/>
      <c r="O12088" s="33" t="str">
        <f>IFERROR(VLOOKUP($M12088,'Informations sur les produits'!$A$3:$H$10000,8,FALSE),"0")</f>
        <v>0</v>
      </c>
      <c r="P12088" s="33">
        <f t="shared" si="752"/>
        <v>0</v>
      </c>
      <c r="Q12088" s="31" t="str">
        <f t="shared" si="753"/>
        <v/>
      </c>
      <c r="R12088" s="32" t="str">
        <f>IFERROR(VLOOKUP($D12088,'Informations sur les produits'!$A$3:$B$15000,2,FALSE),"")</f>
        <v/>
      </c>
      <c r="V12088">
        <f t="shared" si="754"/>
        <v>0</v>
      </c>
      <c r="W12088">
        <f t="shared" si="755"/>
        <v>0</v>
      </c>
    </row>
    <row r="12089" spans="5:23" x14ac:dyDescent="0.25">
      <c r="E12089" s="4"/>
      <c r="F12089" s="4"/>
      <c r="G12089" s="33" t="str">
        <f>IFERROR(VLOOKUP($D12089,'Informations sur les produits'!$A$3:$H$10000,8,FALSE),"0")</f>
        <v>0</v>
      </c>
      <c r="K12089" s="4"/>
      <c r="L12089" s="33" t="str">
        <f>IFERROR(VLOOKUP($J12089,'Informations sur les produits'!$A$3:$H$10000,8,FALSE),"0")</f>
        <v>0</v>
      </c>
      <c r="N12089" s="8"/>
      <c r="O12089" s="33" t="str">
        <f>IFERROR(VLOOKUP($M12089,'Informations sur les produits'!$A$3:$H$10000,8,FALSE),"0")</f>
        <v>0</v>
      </c>
      <c r="P12089" s="33">
        <f t="shared" si="752"/>
        <v>0</v>
      </c>
      <c r="Q12089" s="31" t="str">
        <f t="shared" si="753"/>
        <v/>
      </c>
      <c r="R12089" s="32" t="str">
        <f>IFERROR(VLOOKUP($D12089,'Informations sur les produits'!$A$3:$B$15000,2,FALSE),"")</f>
        <v/>
      </c>
      <c r="V12089">
        <f t="shared" si="754"/>
        <v>0</v>
      </c>
      <c r="W12089">
        <f t="shared" si="755"/>
        <v>0</v>
      </c>
    </row>
    <row r="12090" spans="5:23" x14ac:dyDescent="0.25">
      <c r="E12090" s="4"/>
      <c r="F12090" s="4"/>
      <c r="G12090" s="33" t="str">
        <f>IFERROR(VLOOKUP($D12090,'Informations sur les produits'!$A$3:$H$10000,8,FALSE),"0")</f>
        <v>0</v>
      </c>
      <c r="K12090" s="4"/>
      <c r="L12090" s="33" t="str">
        <f>IFERROR(VLOOKUP($J12090,'Informations sur les produits'!$A$3:$H$10000,8,FALSE),"0")</f>
        <v>0</v>
      </c>
      <c r="N12090" s="8"/>
      <c r="O12090" s="33" t="str">
        <f>IFERROR(VLOOKUP($M12090,'Informations sur les produits'!$A$3:$H$10000,8,FALSE),"0")</f>
        <v>0</v>
      </c>
      <c r="P12090" s="33">
        <f t="shared" si="752"/>
        <v>0</v>
      </c>
      <c r="Q12090" s="31" t="str">
        <f t="shared" si="753"/>
        <v/>
      </c>
      <c r="R12090" s="32" t="str">
        <f>IFERROR(VLOOKUP($D12090,'Informations sur les produits'!$A$3:$B$15000,2,FALSE),"")</f>
        <v/>
      </c>
      <c r="V12090">
        <f t="shared" si="754"/>
        <v>0</v>
      </c>
      <c r="W12090">
        <f t="shared" si="755"/>
        <v>0</v>
      </c>
    </row>
    <row r="12091" spans="5:23" x14ac:dyDescent="0.25">
      <c r="E12091" s="4"/>
      <c r="F12091" s="4"/>
      <c r="G12091" s="33" t="str">
        <f>IFERROR(VLOOKUP($D12091,'Informations sur les produits'!$A$3:$H$10000,8,FALSE),"0")</f>
        <v>0</v>
      </c>
      <c r="K12091" s="4"/>
      <c r="L12091" s="33" t="str">
        <f>IFERROR(VLOOKUP($J12091,'Informations sur les produits'!$A$3:$H$10000,8,FALSE),"0")</f>
        <v>0</v>
      </c>
      <c r="N12091" s="8"/>
      <c r="O12091" s="33" t="str">
        <f>IFERROR(VLOOKUP($M12091,'Informations sur les produits'!$A$3:$H$10000,8,FALSE),"0")</f>
        <v>0</v>
      </c>
      <c r="P12091" s="33">
        <f t="shared" si="752"/>
        <v>0</v>
      </c>
      <c r="Q12091" s="31" t="str">
        <f t="shared" si="753"/>
        <v/>
      </c>
      <c r="R12091" s="32" t="str">
        <f>IFERROR(VLOOKUP($D12091,'Informations sur les produits'!$A$3:$B$15000,2,FALSE),"")</f>
        <v/>
      </c>
      <c r="V12091">
        <f t="shared" si="754"/>
        <v>0</v>
      </c>
      <c r="W12091">
        <f t="shared" si="755"/>
        <v>0</v>
      </c>
    </row>
    <row r="12092" spans="5:23" x14ac:dyDescent="0.25">
      <c r="E12092" s="4"/>
      <c r="F12092" s="4"/>
      <c r="G12092" s="33" t="str">
        <f>IFERROR(VLOOKUP($D12092,'Informations sur les produits'!$A$3:$H$10000,8,FALSE),"0")</f>
        <v>0</v>
      </c>
      <c r="K12092" s="4"/>
      <c r="L12092" s="33" t="str">
        <f>IFERROR(VLOOKUP($J12092,'Informations sur les produits'!$A$3:$H$10000,8,FALSE),"0")</f>
        <v>0</v>
      </c>
      <c r="N12092" s="8"/>
      <c r="O12092" s="33" t="str">
        <f>IFERROR(VLOOKUP($M12092,'Informations sur les produits'!$A$3:$H$10000,8,FALSE),"0")</f>
        <v>0</v>
      </c>
      <c r="P12092" s="33">
        <f t="shared" si="752"/>
        <v>0</v>
      </c>
      <c r="Q12092" s="31" t="str">
        <f t="shared" si="753"/>
        <v/>
      </c>
      <c r="R12092" s="32" t="str">
        <f>IFERROR(VLOOKUP($D12092,'Informations sur les produits'!$A$3:$B$15000,2,FALSE),"")</f>
        <v/>
      </c>
      <c r="V12092">
        <f t="shared" si="754"/>
        <v>0</v>
      </c>
      <c r="W12092">
        <f t="shared" si="755"/>
        <v>0</v>
      </c>
    </row>
    <row r="12093" spans="5:23" x14ac:dyDescent="0.25">
      <c r="E12093" s="4"/>
      <c r="F12093" s="4"/>
      <c r="G12093" s="33" t="str">
        <f>IFERROR(VLOOKUP($D12093,'Informations sur les produits'!$A$3:$H$10000,8,FALSE),"0")</f>
        <v>0</v>
      </c>
      <c r="K12093" s="4"/>
      <c r="L12093" s="33" t="str">
        <f>IFERROR(VLOOKUP($J12093,'Informations sur les produits'!$A$3:$H$10000,8,FALSE),"0")</f>
        <v>0</v>
      </c>
      <c r="N12093" s="8"/>
      <c r="O12093" s="33" t="str">
        <f>IFERROR(VLOOKUP($M12093,'Informations sur les produits'!$A$3:$H$10000,8,FALSE),"0")</f>
        <v>0</v>
      </c>
      <c r="P12093" s="33">
        <f t="shared" si="752"/>
        <v>0</v>
      </c>
      <c r="Q12093" s="31" t="str">
        <f t="shared" si="753"/>
        <v/>
      </c>
      <c r="R12093" s="32" t="str">
        <f>IFERROR(VLOOKUP($D12093,'Informations sur les produits'!$A$3:$B$15000,2,FALSE),"")</f>
        <v/>
      </c>
      <c r="V12093">
        <f t="shared" si="754"/>
        <v>0</v>
      </c>
      <c r="W12093">
        <f t="shared" si="755"/>
        <v>0</v>
      </c>
    </row>
    <row r="12094" spans="5:23" x14ac:dyDescent="0.25">
      <c r="E12094" s="4"/>
      <c r="F12094" s="4"/>
      <c r="G12094" s="33" t="str">
        <f>IFERROR(VLOOKUP($D12094,'Informations sur les produits'!$A$3:$H$10000,8,FALSE),"0")</f>
        <v>0</v>
      </c>
      <c r="K12094" s="4"/>
      <c r="L12094" s="33" t="str">
        <f>IFERROR(VLOOKUP($J12094,'Informations sur les produits'!$A$3:$H$10000,8,FALSE),"0")</f>
        <v>0</v>
      </c>
      <c r="N12094" s="8"/>
      <c r="O12094" s="33" t="str">
        <f>IFERROR(VLOOKUP($M12094,'Informations sur les produits'!$A$3:$H$10000,8,FALSE),"0")</f>
        <v>0</v>
      </c>
      <c r="P12094" s="33">
        <f t="shared" si="752"/>
        <v>0</v>
      </c>
      <c r="Q12094" s="31" t="str">
        <f t="shared" si="753"/>
        <v/>
      </c>
      <c r="R12094" s="32" t="str">
        <f>IFERROR(VLOOKUP($D12094,'Informations sur les produits'!$A$3:$B$15000,2,FALSE),"")</f>
        <v/>
      </c>
      <c r="V12094">
        <f t="shared" si="754"/>
        <v>0</v>
      </c>
      <c r="W12094">
        <f t="shared" si="755"/>
        <v>0</v>
      </c>
    </row>
    <row r="12095" spans="5:23" x14ac:dyDescent="0.25">
      <c r="E12095" s="4"/>
      <c r="F12095" s="4"/>
      <c r="G12095" s="33" t="str">
        <f>IFERROR(VLOOKUP($D12095,'Informations sur les produits'!$A$3:$H$10000,8,FALSE),"0")</f>
        <v>0</v>
      </c>
      <c r="K12095" s="4"/>
      <c r="L12095" s="33" t="str">
        <f>IFERROR(VLOOKUP($J12095,'Informations sur les produits'!$A$3:$H$10000,8,FALSE),"0")</f>
        <v>0</v>
      </c>
      <c r="N12095" s="8"/>
      <c r="O12095" s="33" t="str">
        <f>IFERROR(VLOOKUP($M12095,'Informations sur les produits'!$A$3:$H$10000,8,FALSE),"0")</f>
        <v>0</v>
      </c>
      <c r="P12095" s="33">
        <f t="shared" si="752"/>
        <v>0</v>
      </c>
      <c r="Q12095" s="31" t="str">
        <f t="shared" si="753"/>
        <v/>
      </c>
      <c r="R12095" s="32" t="str">
        <f>IFERROR(VLOOKUP($D12095,'Informations sur les produits'!$A$3:$B$15000,2,FALSE),"")</f>
        <v/>
      </c>
      <c r="V12095">
        <f t="shared" si="754"/>
        <v>0</v>
      </c>
      <c r="W12095">
        <f t="shared" si="755"/>
        <v>0</v>
      </c>
    </row>
    <row r="12096" spans="5:23" x14ac:dyDescent="0.25">
      <c r="E12096" s="4"/>
      <c r="F12096" s="4"/>
      <c r="G12096" s="33" t="str">
        <f>IFERROR(VLOOKUP($D12096,'Informations sur les produits'!$A$3:$H$10000,8,FALSE),"0")</f>
        <v>0</v>
      </c>
      <c r="K12096" s="4"/>
      <c r="L12096" s="33" t="str">
        <f>IFERROR(VLOOKUP($J12096,'Informations sur les produits'!$A$3:$H$10000,8,FALSE),"0")</f>
        <v>0</v>
      </c>
      <c r="N12096" s="8"/>
      <c r="O12096" s="33" t="str">
        <f>IFERROR(VLOOKUP($M12096,'Informations sur les produits'!$A$3:$H$10000,8,FALSE),"0")</f>
        <v>0</v>
      </c>
      <c r="P12096" s="33">
        <f t="shared" si="752"/>
        <v>0</v>
      </c>
      <c r="Q12096" s="31" t="str">
        <f t="shared" si="753"/>
        <v/>
      </c>
      <c r="R12096" s="32" t="str">
        <f>IFERROR(VLOOKUP($D12096,'Informations sur les produits'!$A$3:$B$15000,2,FALSE),"")</f>
        <v/>
      </c>
      <c r="V12096">
        <f t="shared" si="754"/>
        <v>0</v>
      </c>
      <c r="W12096">
        <f t="shared" si="755"/>
        <v>0</v>
      </c>
    </row>
    <row r="12097" spans="5:23" x14ac:dyDescent="0.25">
      <c r="E12097" s="4"/>
      <c r="F12097" s="4"/>
      <c r="G12097" s="33" t="str">
        <f>IFERROR(VLOOKUP($D12097,'Informations sur les produits'!$A$3:$H$10000,8,FALSE),"0")</f>
        <v>0</v>
      </c>
      <c r="K12097" s="4"/>
      <c r="L12097" s="33" t="str">
        <f>IFERROR(VLOOKUP($J12097,'Informations sur les produits'!$A$3:$H$10000,8,FALSE),"0")</f>
        <v>0</v>
      </c>
      <c r="N12097" s="8"/>
      <c r="O12097" s="33" t="str">
        <f>IFERROR(VLOOKUP($M12097,'Informations sur les produits'!$A$3:$H$10000,8,FALSE),"0")</f>
        <v>0</v>
      </c>
      <c r="P12097" s="33">
        <f t="shared" si="752"/>
        <v>0</v>
      </c>
      <c r="Q12097" s="31" t="str">
        <f t="shared" si="753"/>
        <v/>
      </c>
      <c r="R12097" s="32" t="str">
        <f>IFERROR(VLOOKUP($D12097,'Informations sur les produits'!$A$3:$B$15000,2,FALSE),"")</f>
        <v/>
      </c>
      <c r="V12097">
        <f t="shared" si="754"/>
        <v>0</v>
      </c>
      <c r="W12097">
        <f t="shared" si="755"/>
        <v>0</v>
      </c>
    </row>
    <row r="12098" spans="5:23" x14ac:dyDescent="0.25">
      <c r="E12098" s="4"/>
      <c r="F12098" s="4"/>
      <c r="G12098" s="33" t="str">
        <f>IFERROR(VLOOKUP($D12098,'Informations sur les produits'!$A$3:$H$10000,8,FALSE),"0")</f>
        <v>0</v>
      </c>
      <c r="K12098" s="4"/>
      <c r="L12098" s="33" t="str">
        <f>IFERROR(VLOOKUP($J12098,'Informations sur les produits'!$A$3:$H$10000,8,FALSE),"0")</f>
        <v>0</v>
      </c>
      <c r="N12098" s="8"/>
      <c r="O12098" s="33" t="str">
        <f>IFERROR(VLOOKUP($M12098,'Informations sur les produits'!$A$3:$H$10000,8,FALSE),"0")</f>
        <v>0</v>
      </c>
      <c r="P12098" s="33">
        <f t="shared" si="752"/>
        <v>0</v>
      </c>
      <c r="Q12098" s="31" t="str">
        <f t="shared" si="753"/>
        <v/>
      </c>
      <c r="R12098" s="32" t="str">
        <f>IFERROR(VLOOKUP($D12098,'Informations sur les produits'!$A$3:$B$15000,2,FALSE),"")</f>
        <v/>
      </c>
      <c r="V12098">
        <f t="shared" si="754"/>
        <v>0</v>
      </c>
      <c r="W12098">
        <f t="shared" si="755"/>
        <v>0</v>
      </c>
    </row>
    <row r="12099" spans="5:23" x14ac:dyDescent="0.25">
      <c r="E12099" s="4"/>
      <c r="F12099" s="4"/>
      <c r="G12099" s="33" t="str">
        <f>IFERROR(VLOOKUP($D12099,'Informations sur les produits'!$A$3:$H$10000,8,FALSE),"0")</f>
        <v>0</v>
      </c>
      <c r="K12099" s="4"/>
      <c r="L12099" s="33" t="str">
        <f>IFERROR(VLOOKUP($J12099,'Informations sur les produits'!$A$3:$H$10000,8,FALSE),"0")</f>
        <v>0</v>
      </c>
      <c r="N12099" s="8"/>
      <c r="O12099" s="33" t="str">
        <f>IFERROR(VLOOKUP($M12099,'Informations sur les produits'!$A$3:$H$10000,8,FALSE),"0")</f>
        <v>0</v>
      </c>
      <c r="P12099" s="33">
        <f t="shared" si="752"/>
        <v>0</v>
      </c>
      <c r="Q12099" s="31" t="str">
        <f t="shared" si="753"/>
        <v/>
      </c>
      <c r="R12099" s="32" t="str">
        <f>IFERROR(VLOOKUP($D12099,'Informations sur les produits'!$A$3:$B$15000,2,FALSE),"")</f>
        <v/>
      </c>
      <c r="V12099">
        <f t="shared" si="754"/>
        <v>0</v>
      </c>
      <c r="W12099">
        <f t="shared" si="755"/>
        <v>0</v>
      </c>
    </row>
    <row r="12100" spans="5:23" x14ac:dyDescent="0.25">
      <c r="E12100" s="4"/>
      <c r="F12100" s="4"/>
      <c r="G12100" s="33" t="str">
        <f>IFERROR(VLOOKUP($D12100,'Informations sur les produits'!$A$3:$H$10000,8,FALSE),"0")</f>
        <v>0</v>
      </c>
      <c r="K12100" s="4"/>
      <c r="L12100" s="33" t="str">
        <f>IFERROR(VLOOKUP($J12100,'Informations sur les produits'!$A$3:$H$10000,8,FALSE),"0")</f>
        <v>0</v>
      </c>
      <c r="N12100" s="8"/>
      <c r="O12100" s="33" t="str">
        <f>IFERROR(VLOOKUP($M12100,'Informations sur les produits'!$A$3:$H$10000,8,FALSE),"0")</f>
        <v>0</v>
      </c>
      <c r="P12100" s="33">
        <f t="shared" ref="P12100:P12163" si="756">IFERROR((($E12100-$F12100)*$G12100+$K12100*$L12100+$N12100*$O12100),"")</f>
        <v>0</v>
      </c>
      <c r="Q12100" s="31" t="str">
        <f t="shared" ref="Q12100:Q12163" si="757">IFERROR((((($E12100-$F12100)*$G12100+$K12100*$L12100+$N12100*$O12100)*1000)/(($E12100-$F12100)+$K12100+$N12100)),"")</f>
        <v/>
      </c>
      <c r="R12100" s="32" t="str">
        <f>IFERROR(VLOOKUP($D12100,'Informations sur les produits'!$A$3:$B$15000,2,FALSE),"")</f>
        <v/>
      </c>
      <c r="V12100">
        <f t="shared" ref="V12100:V12163" si="758">IFERROR(P12100*1000,"")</f>
        <v>0</v>
      </c>
      <c r="W12100">
        <f t="shared" ref="W12100:W12163" si="759">IFERROR(($E12100-$F12100)+$K12100+$N12100,"")</f>
        <v>0</v>
      </c>
    </row>
    <row r="12101" spans="5:23" x14ac:dyDescent="0.25">
      <c r="E12101" s="4"/>
      <c r="F12101" s="4"/>
      <c r="G12101" s="33" t="str">
        <f>IFERROR(VLOOKUP($D12101,'Informations sur les produits'!$A$3:$H$10000,8,FALSE),"0")</f>
        <v>0</v>
      </c>
      <c r="K12101" s="4"/>
      <c r="L12101" s="33" t="str">
        <f>IFERROR(VLOOKUP($J12101,'Informations sur les produits'!$A$3:$H$10000,8,FALSE),"0")</f>
        <v>0</v>
      </c>
      <c r="N12101" s="8"/>
      <c r="O12101" s="33" t="str">
        <f>IFERROR(VLOOKUP($M12101,'Informations sur les produits'!$A$3:$H$10000,8,FALSE),"0")</f>
        <v>0</v>
      </c>
      <c r="P12101" s="33">
        <f t="shared" si="756"/>
        <v>0</v>
      </c>
      <c r="Q12101" s="31" t="str">
        <f t="shared" si="757"/>
        <v/>
      </c>
      <c r="R12101" s="32" t="str">
        <f>IFERROR(VLOOKUP($D12101,'Informations sur les produits'!$A$3:$B$15000,2,FALSE),"")</f>
        <v/>
      </c>
      <c r="V12101">
        <f t="shared" si="758"/>
        <v>0</v>
      </c>
      <c r="W12101">
        <f t="shared" si="759"/>
        <v>0</v>
      </c>
    </row>
    <row r="12102" spans="5:23" x14ac:dyDescent="0.25">
      <c r="E12102" s="4"/>
      <c r="F12102" s="4"/>
      <c r="G12102" s="33" t="str">
        <f>IFERROR(VLOOKUP($D12102,'Informations sur les produits'!$A$3:$H$10000,8,FALSE),"0")</f>
        <v>0</v>
      </c>
      <c r="K12102" s="4"/>
      <c r="L12102" s="33" t="str">
        <f>IFERROR(VLOOKUP($J12102,'Informations sur les produits'!$A$3:$H$10000,8,FALSE),"0")</f>
        <v>0</v>
      </c>
      <c r="N12102" s="8"/>
      <c r="O12102" s="33" t="str">
        <f>IFERROR(VLOOKUP($M12102,'Informations sur les produits'!$A$3:$H$10000,8,FALSE),"0")</f>
        <v>0</v>
      </c>
      <c r="P12102" s="33">
        <f t="shared" si="756"/>
        <v>0</v>
      </c>
      <c r="Q12102" s="31" t="str">
        <f t="shared" si="757"/>
        <v/>
      </c>
      <c r="R12102" s="32" t="str">
        <f>IFERROR(VLOOKUP($D12102,'Informations sur les produits'!$A$3:$B$15000,2,FALSE),"")</f>
        <v/>
      </c>
      <c r="V12102">
        <f t="shared" si="758"/>
        <v>0</v>
      </c>
      <c r="W12102">
        <f t="shared" si="759"/>
        <v>0</v>
      </c>
    </row>
    <row r="12103" spans="5:23" x14ac:dyDescent="0.25">
      <c r="E12103" s="4"/>
      <c r="F12103" s="4"/>
      <c r="G12103" s="33" t="str">
        <f>IFERROR(VLOOKUP($D12103,'Informations sur les produits'!$A$3:$H$10000,8,FALSE),"0")</f>
        <v>0</v>
      </c>
      <c r="K12103" s="4"/>
      <c r="L12103" s="33" t="str">
        <f>IFERROR(VLOOKUP($J12103,'Informations sur les produits'!$A$3:$H$10000,8,FALSE),"0")</f>
        <v>0</v>
      </c>
      <c r="N12103" s="8"/>
      <c r="O12103" s="33" t="str">
        <f>IFERROR(VLOOKUP($M12103,'Informations sur les produits'!$A$3:$H$10000,8,FALSE),"0")</f>
        <v>0</v>
      </c>
      <c r="P12103" s="33">
        <f t="shared" si="756"/>
        <v>0</v>
      </c>
      <c r="Q12103" s="31" t="str">
        <f t="shared" si="757"/>
        <v/>
      </c>
      <c r="R12103" s="32" t="str">
        <f>IFERROR(VLOOKUP($D12103,'Informations sur les produits'!$A$3:$B$15000,2,FALSE),"")</f>
        <v/>
      </c>
      <c r="V12103">
        <f t="shared" si="758"/>
        <v>0</v>
      </c>
      <c r="W12103">
        <f t="shared" si="759"/>
        <v>0</v>
      </c>
    </row>
    <row r="12104" spans="5:23" x14ac:dyDescent="0.25">
      <c r="E12104" s="4"/>
      <c r="F12104" s="4"/>
      <c r="G12104" s="33" t="str">
        <f>IFERROR(VLOOKUP($D12104,'Informations sur les produits'!$A$3:$H$10000,8,FALSE),"0")</f>
        <v>0</v>
      </c>
      <c r="K12104" s="4"/>
      <c r="L12104" s="33" t="str">
        <f>IFERROR(VLOOKUP($J12104,'Informations sur les produits'!$A$3:$H$10000,8,FALSE),"0")</f>
        <v>0</v>
      </c>
      <c r="N12104" s="8"/>
      <c r="O12104" s="33" t="str">
        <f>IFERROR(VLOOKUP($M12104,'Informations sur les produits'!$A$3:$H$10000,8,FALSE),"0")</f>
        <v>0</v>
      </c>
      <c r="P12104" s="33">
        <f t="shared" si="756"/>
        <v>0</v>
      </c>
      <c r="Q12104" s="31" t="str">
        <f t="shared" si="757"/>
        <v/>
      </c>
      <c r="R12104" s="32" t="str">
        <f>IFERROR(VLOOKUP($D12104,'Informations sur les produits'!$A$3:$B$15000,2,FALSE),"")</f>
        <v/>
      </c>
      <c r="V12104">
        <f t="shared" si="758"/>
        <v>0</v>
      </c>
      <c r="W12104">
        <f t="shared" si="759"/>
        <v>0</v>
      </c>
    </row>
    <row r="12105" spans="5:23" x14ac:dyDescent="0.25">
      <c r="E12105" s="4"/>
      <c r="F12105" s="4"/>
      <c r="G12105" s="33" t="str">
        <f>IFERROR(VLOOKUP($D12105,'Informations sur les produits'!$A$3:$H$10000,8,FALSE),"0")</f>
        <v>0</v>
      </c>
      <c r="K12105" s="4"/>
      <c r="L12105" s="33" t="str">
        <f>IFERROR(VLOOKUP($J12105,'Informations sur les produits'!$A$3:$H$10000,8,FALSE),"0")</f>
        <v>0</v>
      </c>
      <c r="N12105" s="8"/>
      <c r="O12105" s="33" t="str">
        <f>IFERROR(VLOOKUP($M12105,'Informations sur les produits'!$A$3:$H$10000,8,FALSE),"0")</f>
        <v>0</v>
      </c>
      <c r="P12105" s="33">
        <f t="shared" si="756"/>
        <v>0</v>
      </c>
      <c r="Q12105" s="31" t="str">
        <f t="shared" si="757"/>
        <v/>
      </c>
      <c r="R12105" s="32" t="str">
        <f>IFERROR(VLOOKUP($D12105,'Informations sur les produits'!$A$3:$B$15000,2,FALSE),"")</f>
        <v/>
      </c>
      <c r="V12105">
        <f t="shared" si="758"/>
        <v>0</v>
      </c>
      <c r="W12105">
        <f t="shared" si="759"/>
        <v>0</v>
      </c>
    </row>
    <row r="12106" spans="5:23" x14ac:dyDescent="0.25">
      <c r="E12106" s="4"/>
      <c r="F12106" s="4"/>
      <c r="G12106" s="33" t="str">
        <f>IFERROR(VLOOKUP($D12106,'Informations sur les produits'!$A$3:$H$10000,8,FALSE),"0")</f>
        <v>0</v>
      </c>
      <c r="K12106" s="4"/>
      <c r="L12106" s="33" t="str">
        <f>IFERROR(VLOOKUP($J12106,'Informations sur les produits'!$A$3:$H$10000,8,FALSE),"0")</f>
        <v>0</v>
      </c>
      <c r="N12106" s="8"/>
      <c r="O12106" s="33" t="str">
        <f>IFERROR(VLOOKUP($M12106,'Informations sur les produits'!$A$3:$H$10000,8,FALSE),"0")</f>
        <v>0</v>
      </c>
      <c r="P12106" s="33">
        <f t="shared" si="756"/>
        <v>0</v>
      </c>
      <c r="Q12106" s="31" t="str">
        <f t="shared" si="757"/>
        <v/>
      </c>
      <c r="R12106" s="32" t="str">
        <f>IFERROR(VLOOKUP($D12106,'Informations sur les produits'!$A$3:$B$15000,2,FALSE),"")</f>
        <v/>
      </c>
      <c r="V12106">
        <f t="shared" si="758"/>
        <v>0</v>
      </c>
      <c r="W12106">
        <f t="shared" si="759"/>
        <v>0</v>
      </c>
    </row>
    <row r="12107" spans="5:23" x14ac:dyDescent="0.25">
      <c r="E12107" s="4"/>
      <c r="F12107" s="4"/>
      <c r="G12107" s="33" t="str">
        <f>IFERROR(VLOOKUP($D12107,'Informations sur les produits'!$A$3:$H$10000,8,FALSE),"0")</f>
        <v>0</v>
      </c>
      <c r="K12107" s="4"/>
      <c r="L12107" s="33" t="str">
        <f>IFERROR(VLOOKUP($J12107,'Informations sur les produits'!$A$3:$H$10000,8,FALSE),"0")</f>
        <v>0</v>
      </c>
      <c r="N12107" s="8"/>
      <c r="O12107" s="33" t="str">
        <f>IFERROR(VLOOKUP($M12107,'Informations sur les produits'!$A$3:$H$10000,8,FALSE),"0")</f>
        <v>0</v>
      </c>
      <c r="P12107" s="33">
        <f t="shared" si="756"/>
        <v>0</v>
      </c>
      <c r="Q12107" s="31" t="str">
        <f t="shared" si="757"/>
        <v/>
      </c>
      <c r="R12107" s="32" t="str">
        <f>IFERROR(VLOOKUP($D12107,'Informations sur les produits'!$A$3:$B$15000,2,FALSE),"")</f>
        <v/>
      </c>
      <c r="V12107">
        <f t="shared" si="758"/>
        <v>0</v>
      </c>
      <c r="W12107">
        <f t="shared" si="759"/>
        <v>0</v>
      </c>
    </row>
    <row r="12108" spans="5:23" x14ac:dyDescent="0.25">
      <c r="E12108" s="4"/>
      <c r="F12108" s="4"/>
      <c r="G12108" s="33" t="str">
        <f>IFERROR(VLOOKUP($D12108,'Informations sur les produits'!$A$3:$H$10000,8,FALSE),"0")</f>
        <v>0</v>
      </c>
      <c r="K12108" s="4"/>
      <c r="L12108" s="33" t="str">
        <f>IFERROR(VLOOKUP($J12108,'Informations sur les produits'!$A$3:$H$10000,8,FALSE),"0")</f>
        <v>0</v>
      </c>
      <c r="N12108" s="8"/>
      <c r="O12108" s="33" t="str">
        <f>IFERROR(VLOOKUP($M12108,'Informations sur les produits'!$A$3:$H$10000,8,FALSE),"0")</f>
        <v>0</v>
      </c>
      <c r="P12108" s="33">
        <f t="shared" si="756"/>
        <v>0</v>
      </c>
      <c r="Q12108" s="31" t="str">
        <f t="shared" si="757"/>
        <v/>
      </c>
      <c r="R12108" s="32" t="str">
        <f>IFERROR(VLOOKUP($D12108,'Informations sur les produits'!$A$3:$B$15000,2,FALSE),"")</f>
        <v/>
      </c>
      <c r="V12108">
        <f t="shared" si="758"/>
        <v>0</v>
      </c>
      <c r="W12108">
        <f t="shared" si="759"/>
        <v>0</v>
      </c>
    </row>
    <row r="12109" spans="5:23" x14ac:dyDescent="0.25">
      <c r="E12109" s="4"/>
      <c r="F12109" s="4"/>
      <c r="G12109" s="33" t="str">
        <f>IFERROR(VLOOKUP($D12109,'Informations sur les produits'!$A$3:$H$10000,8,FALSE),"0")</f>
        <v>0</v>
      </c>
      <c r="K12109" s="4"/>
      <c r="L12109" s="33" t="str">
        <f>IFERROR(VLOOKUP($J12109,'Informations sur les produits'!$A$3:$H$10000,8,FALSE),"0")</f>
        <v>0</v>
      </c>
      <c r="N12109" s="8"/>
      <c r="O12109" s="33" t="str">
        <f>IFERROR(VLOOKUP($M12109,'Informations sur les produits'!$A$3:$H$10000,8,FALSE),"0")</f>
        <v>0</v>
      </c>
      <c r="P12109" s="33">
        <f t="shared" si="756"/>
        <v>0</v>
      </c>
      <c r="Q12109" s="31" t="str">
        <f t="shared" si="757"/>
        <v/>
      </c>
      <c r="R12109" s="32" t="str">
        <f>IFERROR(VLOOKUP($D12109,'Informations sur les produits'!$A$3:$B$15000,2,FALSE),"")</f>
        <v/>
      </c>
      <c r="V12109">
        <f t="shared" si="758"/>
        <v>0</v>
      </c>
      <c r="W12109">
        <f t="shared" si="759"/>
        <v>0</v>
      </c>
    </row>
    <row r="12110" spans="5:23" x14ac:dyDescent="0.25">
      <c r="E12110" s="4"/>
      <c r="F12110" s="4"/>
      <c r="G12110" s="33" t="str">
        <f>IFERROR(VLOOKUP($D12110,'Informations sur les produits'!$A$3:$H$10000,8,FALSE),"0")</f>
        <v>0</v>
      </c>
      <c r="K12110" s="4"/>
      <c r="L12110" s="33" t="str">
        <f>IFERROR(VLOOKUP($J12110,'Informations sur les produits'!$A$3:$H$10000,8,FALSE),"0")</f>
        <v>0</v>
      </c>
      <c r="N12110" s="8"/>
      <c r="O12110" s="33" t="str">
        <f>IFERROR(VLOOKUP($M12110,'Informations sur les produits'!$A$3:$H$10000,8,FALSE),"0")</f>
        <v>0</v>
      </c>
      <c r="P12110" s="33">
        <f t="shared" si="756"/>
        <v>0</v>
      </c>
      <c r="Q12110" s="31" t="str">
        <f t="shared" si="757"/>
        <v/>
      </c>
      <c r="R12110" s="32" t="str">
        <f>IFERROR(VLOOKUP($D12110,'Informations sur les produits'!$A$3:$B$15000,2,FALSE),"")</f>
        <v/>
      </c>
      <c r="V12110">
        <f t="shared" si="758"/>
        <v>0</v>
      </c>
      <c r="W12110">
        <f t="shared" si="759"/>
        <v>0</v>
      </c>
    </row>
    <row r="12111" spans="5:23" x14ac:dyDescent="0.25">
      <c r="E12111" s="4"/>
      <c r="F12111" s="4"/>
      <c r="G12111" s="33" t="str">
        <f>IFERROR(VLOOKUP($D12111,'Informations sur les produits'!$A$3:$H$10000,8,FALSE),"0")</f>
        <v>0</v>
      </c>
      <c r="K12111" s="4"/>
      <c r="L12111" s="33" t="str">
        <f>IFERROR(VLOOKUP($J12111,'Informations sur les produits'!$A$3:$H$10000,8,FALSE),"0")</f>
        <v>0</v>
      </c>
      <c r="N12111" s="8"/>
      <c r="O12111" s="33" t="str">
        <f>IFERROR(VLOOKUP($M12111,'Informations sur les produits'!$A$3:$H$10000,8,FALSE),"0")</f>
        <v>0</v>
      </c>
      <c r="P12111" s="33">
        <f t="shared" si="756"/>
        <v>0</v>
      </c>
      <c r="Q12111" s="31" t="str">
        <f t="shared" si="757"/>
        <v/>
      </c>
      <c r="R12111" s="32" t="str">
        <f>IFERROR(VLOOKUP($D12111,'Informations sur les produits'!$A$3:$B$15000,2,FALSE),"")</f>
        <v/>
      </c>
      <c r="V12111">
        <f t="shared" si="758"/>
        <v>0</v>
      </c>
      <c r="W12111">
        <f t="shared" si="759"/>
        <v>0</v>
      </c>
    </row>
    <row r="12112" spans="5:23" x14ac:dyDescent="0.25">
      <c r="E12112" s="4"/>
      <c r="F12112" s="4"/>
      <c r="G12112" s="33" t="str">
        <f>IFERROR(VLOOKUP($D12112,'Informations sur les produits'!$A$3:$H$10000,8,FALSE),"0")</f>
        <v>0</v>
      </c>
      <c r="K12112" s="4"/>
      <c r="L12112" s="33" t="str">
        <f>IFERROR(VLOOKUP($J12112,'Informations sur les produits'!$A$3:$H$10000,8,FALSE),"0")</f>
        <v>0</v>
      </c>
      <c r="N12112" s="8"/>
      <c r="O12112" s="33" t="str">
        <f>IFERROR(VLOOKUP($M12112,'Informations sur les produits'!$A$3:$H$10000,8,FALSE),"0")</f>
        <v>0</v>
      </c>
      <c r="P12112" s="33">
        <f t="shared" si="756"/>
        <v>0</v>
      </c>
      <c r="Q12112" s="31" t="str">
        <f t="shared" si="757"/>
        <v/>
      </c>
      <c r="R12112" s="32" t="str">
        <f>IFERROR(VLOOKUP($D12112,'Informations sur les produits'!$A$3:$B$15000,2,FALSE),"")</f>
        <v/>
      </c>
      <c r="V12112">
        <f t="shared" si="758"/>
        <v>0</v>
      </c>
      <c r="W12112">
        <f t="shared" si="759"/>
        <v>0</v>
      </c>
    </row>
    <row r="12113" spans="5:23" x14ac:dyDescent="0.25">
      <c r="E12113" s="4"/>
      <c r="F12113" s="4"/>
      <c r="G12113" s="33" t="str">
        <f>IFERROR(VLOOKUP($D12113,'Informations sur les produits'!$A$3:$H$10000,8,FALSE),"0")</f>
        <v>0</v>
      </c>
      <c r="K12113" s="4"/>
      <c r="L12113" s="33" t="str">
        <f>IFERROR(VLOOKUP($J12113,'Informations sur les produits'!$A$3:$H$10000,8,FALSE),"0")</f>
        <v>0</v>
      </c>
      <c r="N12113" s="8"/>
      <c r="O12113" s="33" t="str">
        <f>IFERROR(VLOOKUP($M12113,'Informations sur les produits'!$A$3:$H$10000,8,FALSE),"0")</f>
        <v>0</v>
      </c>
      <c r="P12113" s="33">
        <f t="shared" si="756"/>
        <v>0</v>
      </c>
      <c r="Q12113" s="31" t="str">
        <f t="shared" si="757"/>
        <v/>
      </c>
      <c r="R12113" s="32" t="str">
        <f>IFERROR(VLOOKUP($D12113,'Informations sur les produits'!$A$3:$B$15000,2,FALSE),"")</f>
        <v/>
      </c>
      <c r="V12113">
        <f t="shared" si="758"/>
        <v>0</v>
      </c>
      <c r="W12113">
        <f t="shared" si="759"/>
        <v>0</v>
      </c>
    </row>
    <row r="12114" spans="5:23" x14ac:dyDescent="0.25">
      <c r="E12114" s="4"/>
      <c r="F12114" s="4"/>
      <c r="G12114" s="33" t="str">
        <f>IFERROR(VLOOKUP($D12114,'Informations sur les produits'!$A$3:$H$10000,8,FALSE),"0")</f>
        <v>0</v>
      </c>
      <c r="K12114" s="4"/>
      <c r="L12114" s="33" t="str">
        <f>IFERROR(VLOOKUP($J12114,'Informations sur les produits'!$A$3:$H$10000,8,FALSE),"0")</f>
        <v>0</v>
      </c>
      <c r="N12114" s="8"/>
      <c r="O12114" s="33" t="str">
        <f>IFERROR(VLOOKUP($M12114,'Informations sur les produits'!$A$3:$H$10000,8,FALSE),"0")</f>
        <v>0</v>
      </c>
      <c r="P12114" s="33">
        <f t="shared" si="756"/>
        <v>0</v>
      </c>
      <c r="Q12114" s="31" t="str">
        <f t="shared" si="757"/>
        <v/>
      </c>
      <c r="R12114" s="32" t="str">
        <f>IFERROR(VLOOKUP($D12114,'Informations sur les produits'!$A$3:$B$15000,2,FALSE),"")</f>
        <v/>
      </c>
      <c r="V12114">
        <f t="shared" si="758"/>
        <v>0</v>
      </c>
      <c r="W12114">
        <f t="shared" si="759"/>
        <v>0</v>
      </c>
    </row>
    <row r="12115" spans="5:23" x14ac:dyDescent="0.25">
      <c r="E12115" s="4"/>
      <c r="F12115" s="4"/>
      <c r="G12115" s="33" t="str">
        <f>IFERROR(VLOOKUP($D12115,'Informations sur les produits'!$A$3:$H$10000,8,FALSE),"0")</f>
        <v>0</v>
      </c>
      <c r="K12115" s="4"/>
      <c r="L12115" s="33" t="str">
        <f>IFERROR(VLOOKUP($J12115,'Informations sur les produits'!$A$3:$H$10000,8,FALSE),"0")</f>
        <v>0</v>
      </c>
      <c r="N12115" s="8"/>
      <c r="O12115" s="33" t="str">
        <f>IFERROR(VLOOKUP($M12115,'Informations sur les produits'!$A$3:$H$10000,8,FALSE),"0")</f>
        <v>0</v>
      </c>
      <c r="P12115" s="33">
        <f t="shared" si="756"/>
        <v>0</v>
      </c>
      <c r="Q12115" s="31" t="str">
        <f t="shared" si="757"/>
        <v/>
      </c>
      <c r="R12115" s="32" t="str">
        <f>IFERROR(VLOOKUP($D12115,'Informations sur les produits'!$A$3:$B$15000,2,FALSE),"")</f>
        <v/>
      </c>
      <c r="V12115">
        <f t="shared" si="758"/>
        <v>0</v>
      </c>
      <c r="W12115">
        <f t="shared" si="759"/>
        <v>0</v>
      </c>
    </row>
    <row r="12116" spans="5:23" x14ac:dyDescent="0.25">
      <c r="E12116" s="4"/>
      <c r="F12116" s="4"/>
      <c r="G12116" s="33" t="str">
        <f>IFERROR(VLOOKUP($D12116,'Informations sur les produits'!$A$3:$H$10000,8,FALSE),"0")</f>
        <v>0</v>
      </c>
      <c r="K12116" s="4"/>
      <c r="L12116" s="33" t="str">
        <f>IFERROR(VLOOKUP($J12116,'Informations sur les produits'!$A$3:$H$10000,8,FALSE),"0")</f>
        <v>0</v>
      </c>
      <c r="N12116" s="8"/>
      <c r="O12116" s="33" t="str">
        <f>IFERROR(VLOOKUP($M12116,'Informations sur les produits'!$A$3:$H$10000,8,FALSE),"0")</f>
        <v>0</v>
      </c>
      <c r="P12116" s="33">
        <f t="shared" si="756"/>
        <v>0</v>
      </c>
      <c r="Q12116" s="31" t="str">
        <f t="shared" si="757"/>
        <v/>
      </c>
      <c r="R12116" s="32" t="str">
        <f>IFERROR(VLOOKUP($D12116,'Informations sur les produits'!$A$3:$B$15000,2,FALSE),"")</f>
        <v/>
      </c>
      <c r="V12116">
        <f t="shared" si="758"/>
        <v>0</v>
      </c>
      <c r="W12116">
        <f t="shared" si="759"/>
        <v>0</v>
      </c>
    </row>
    <row r="12117" spans="5:23" x14ac:dyDescent="0.25">
      <c r="E12117" s="4"/>
      <c r="F12117" s="4"/>
      <c r="G12117" s="33" t="str">
        <f>IFERROR(VLOOKUP($D12117,'Informations sur les produits'!$A$3:$H$10000,8,FALSE),"0")</f>
        <v>0</v>
      </c>
      <c r="K12117" s="4"/>
      <c r="L12117" s="33" t="str">
        <f>IFERROR(VLOOKUP($J12117,'Informations sur les produits'!$A$3:$H$10000,8,FALSE),"0")</f>
        <v>0</v>
      </c>
      <c r="N12117" s="8"/>
      <c r="O12117" s="33" t="str">
        <f>IFERROR(VLOOKUP($M12117,'Informations sur les produits'!$A$3:$H$10000,8,FALSE),"0")</f>
        <v>0</v>
      </c>
      <c r="P12117" s="33">
        <f t="shared" si="756"/>
        <v>0</v>
      </c>
      <c r="Q12117" s="31" t="str">
        <f t="shared" si="757"/>
        <v/>
      </c>
      <c r="R12117" s="32" t="str">
        <f>IFERROR(VLOOKUP($D12117,'Informations sur les produits'!$A$3:$B$15000,2,FALSE),"")</f>
        <v/>
      </c>
      <c r="V12117">
        <f t="shared" si="758"/>
        <v>0</v>
      </c>
      <c r="W12117">
        <f t="shared" si="759"/>
        <v>0</v>
      </c>
    </row>
    <row r="12118" spans="5:23" x14ac:dyDescent="0.25">
      <c r="E12118" s="4"/>
      <c r="F12118" s="4"/>
      <c r="G12118" s="33" t="str">
        <f>IFERROR(VLOOKUP($D12118,'Informations sur les produits'!$A$3:$H$10000,8,FALSE),"0")</f>
        <v>0</v>
      </c>
      <c r="K12118" s="4"/>
      <c r="L12118" s="33" t="str">
        <f>IFERROR(VLOOKUP($J12118,'Informations sur les produits'!$A$3:$H$10000,8,FALSE),"0")</f>
        <v>0</v>
      </c>
      <c r="N12118" s="8"/>
      <c r="O12118" s="33" t="str">
        <f>IFERROR(VLOOKUP($M12118,'Informations sur les produits'!$A$3:$H$10000,8,FALSE),"0")</f>
        <v>0</v>
      </c>
      <c r="P12118" s="33">
        <f t="shared" si="756"/>
        <v>0</v>
      </c>
      <c r="Q12118" s="31" t="str">
        <f t="shared" si="757"/>
        <v/>
      </c>
      <c r="R12118" s="32" t="str">
        <f>IFERROR(VLOOKUP($D12118,'Informations sur les produits'!$A$3:$B$15000,2,FALSE),"")</f>
        <v/>
      </c>
      <c r="V12118">
        <f t="shared" si="758"/>
        <v>0</v>
      </c>
      <c r="W12118">
        <f t="shared" si="759"/>
        <v>0</v>
      </c>
    </row>
    <row r="12119" spans="5:23" x14ac:dyDescent="0.25">
      <c r="E12119" s="4"/>
      <c r="F12119" s="4"/>
      <c r="G12119" s="33" t="str">
        <f>IFERROR(VLOOKUP($D12119,'Informations sur les produits'!$A$3:$H$10000,8,FALSE),"0")</f>
        <v>0</v>
      </c>
      <c r="K12119" s="4"/>
      <c r="L12119" s="33" t="str">
        <f>IFERROR(VLOOKUP($J12119,'Informations sur les produits'!$A$3:$H$10000,8,FALSE),"0")</f>
        <v>0</v>
      </c>
      <c r="N12119" s="8"/>
      <c r="O12119" s="33" t="str">
        <f>IFERROR(VLOOKUP($M12119,'Informations sur les produits'!$A$3:$H$10000,8,FALSE),"0")</f>
        <v>0</v>
      </c>
      <c r="P12119" s="33">
        <f t="shared" si="756"/>
        <v>0</v>
      </c>
      <c r="Q12119" s="31" t="str">
        <f t="shared" si="757"/>
        <v/>
      </c>
      <c r="R12119" s="32" t="str">
        <f>IFERROR(VLOOKUP($D12119,'Informations sur les produits'!$A$3:$B$15000,2,FALSE),"")</f>
        <v/>
      </c>
      <c r="V12119">
        <f t="shared" si="758"/>
        <v>0</v>
      </c>
      <c r="W12119">
        <f t="shared" si="759"/>
        <v>0</v>
      </c>
    </row>
    <row r="12120" spans="5:23" x14ac:dyDescent="0.25">
      <c r="E12120" s="4"/>
      <c r="F12120" s="4"/>
      <c r="G12120" s="33" t="str">
        <f>IFERROR(VLOOKUP($D12120,'Informations sur les produits'!$A$3:$H$10000,8,FALSE),"0")</f>
        <v>0</v>
      </c>
      <c r="K12120" s="4"/>
      <c r="L12120" s="33" t="str">
        <f>IFERROR(VLOOKUP($J12120,'Informations sur les produits'!$A$3:$H$10000,8,FALSE),"0")</f>
        <v>0</v>
      </c>
      <c r="N12120" s="8"/>
      <c r="O12120" s="33" t="str">
        <f>IFERROR(VLOOKUP($M12120,'Informations sur les produits'!$A$3:$H$10000,8,FALSE),"0")</f>
        <v>0</v>
      </c>
      <c r="P12120" s="33">
        <f t="shared" si="756"/>
        <v>0</v>
      </c>
      <c r="Q12120" s="31" t="str">
        <f t="shared" si="757"/>
        <v/>
      </c>
      <c r="R12120" s="32" t="str">
        <f>IFERROR(VLOOKUP($D12120,'Informations sur les produits'!$A$3:$B$15000,2,FALSE),"")</f>
        <v/>
      </c>
      <c r="V12120">
        <f t="shared" si="758"/>
        <v>0</v>
      </c>
      <c r="W12120">
        <f t="shared" si="759"/>
        <v>0</v>
      </c>
    </row>
    <row r="12121" spans="5:23" x14ac:dyDescent="0.25">
      <c r="E12121" s="4"/>
      <c r="F12121" s="4"/>
      <c r="G12121" s="33" t="str">
        <f>IFERROR(VLOOKUP($D12121,'Informations sur les produits'!$A$3:$H$10000,8,FALSE),"0")</f>
        <v>0</v>
      </c>
      <c r="K12121" s="4"/>
      <c r="L12121" s="33" t="str">
        <f>IFERROR(VLOOKUP($J12121,'Informations sur les produits'!$A$3:$H$10000,8,FALSE),"0")</f>
        <v>0</v>
      </c>
      <c r="N12121" s="8"/>
      <c r="O12121" s="33" t="str">
        <f>IFERROR(VLOOKUP($M12121,'Informations sur les produits'!$A$3:$H$10000,8,FALSE),"0")</f>
        <v>0</v>
      </c>
      <c r="P12121" s="33">
        <f t="shared" si="756"/>
        <v>0</v>
      </c>
      <c r="Q12121" s="31" t="str">
        <f t="shared" si="757"/>
        <v/>
      </c>
      <c r="R12121" s="32" t="str">
        <f>IFERROR(VLOOKUP($D12121,'Informations sur les produits'!$A$3:$B$15000,2,FALSE),"")</f>
        <v/>
      </c>
      <c r="V12121">
        <f t="shared" si="758"/>
        <v>0</v>
      </c>
      <c r="W12121">
        <f t="shared" si="759"/>
        <v>0</v>
      </c>
    </row>
    <row r="12122" spans="5:23" x14ac:dyDescent="0.25">
      <c r="E12122" s="4"/>
      <c r="F12122" s="4"/>
      <c r="G12122" s="33" t="str">
        <f>IFERROR(VLOOKUP($D12122,'Informations sur les produits'!$A$3:$H$10000,8,FALSE),"0")</f>
        <v>0</v>
      </c>
      <c r="K12122" s="4"/>
      <c r="L12122" s="33" t="str">
        <f>IFERROR(VLOOKUP($J12122,'Informations sur les produits'!$A$3:$H$10000,8,FALSE),"0")</f>
        <v>0</v>
      </c>
      <c r="N12122" s="8"/>
      <c r="O12122" s="33" t="str">
        <f>IFERROR(VLOOKUP($M12122,'Informations sur les produits'!$A$3:$H$10000,8,FALSE),"0")</f>
        <v>0</v>
      </c>
      <c r="P12122" s="33">
        <f t="shared" si="756"/>
        <v>0</v>
      </c>
      <c r="Q12122" s="31" t="str">
        <f t="shared" si="757"/>
        <v/>
      </c>
      <c r="R12122" s="32" t="str">
        <f>IFERROR(VLOOKUP($D12122,'Informations sur les produits'!$A$3:$B$15000,2,FALSE),"")</f>
        <v/>
      </c>
      <c r="V12122">
        <f t="shared" si="758"/>
        <v>0</v>
      </c>
      <c r="W12122">
        <f t="shared" si="759"/>
        <v>0</v>
      </c>
    </row>
    <row r="12123" spans="5:23" x14ac:dyDescent="0.25">
      <c r="E12123" s="4"/>
      <c r="F12123" s="4"/>
      <c r="G12123" s="33" t="str">
        <f>IFERROR(VLOOKUP($D12123,'Informations sur les produits'!$A$3:$H$10000,8,FALSE),"0")</f>
        <v>0</v>
      </c>
      <c r="K12123" s="4"/>
      <c r="L12123" s="33" t="str">
        <f>IFERROR(VLOOKUP($J12123,'Informations sur les produits'!$A$3:$H$10000,8,FALSE),"0")</f>
        <v>0</v>
      </c>
      <c r="N12123" s="8"/>
      <c r="O12123" s="33" t="str">
        <f>IFERROR(VLOOKUP($M12123,'Informations sur les produits'!$A$3:$H$10000,8,FALSE),"0")</f>
        <v>0</v>
      </c>
      <c r="P12123" s="33">
        <f t="shared" si="756"/>
        <v>0</v>
      </c>
      <c r="Q12123" s="31" t="str">
        <f t="shared" si="757"/>
        <v/>
      </c>
      <c r="R12123" s="32" t="str">
        <f>IFERROR(VLOOKUP($D12123,'Informations sur les produits'!$A$3:$B$15000,2,FALSE),"")</f>
        <v/>
      </c>
      <c r="V12123">
        <f t="shared" si="758"/>
        <v>0</v>
      </c>
      <c r="W12123">
        <f t="shared" si="759"/>
        <v>0</v>
      </c>
    </row>
    <row r="12124" spans="5:23" x14ac:dyDescent="0.25">
      <c r="E12124" s="4"/>
      <c r="F12124" s="4"/>
      <c r="G12124" s="33" t="str">
        <f>IFERROR(VLOOKUP($D12124,'Informations sur les produits'!$A$3:$H$10000,8,FALSE),"0")</f>
        <v>0</v>
      </c>
      <c r="K12124" s="4"/>
      <c r="L12124" s="33" t="str">
        <f>IFERROR(VLOOKUP($J12124,'Informations sur les produits'!$A$3:$H$10000,8,FALSE),"0")</f>
        <v>0</v>
      </c>
      <c r="N12124" s="8"/>
      <c r="O12124" s="33" t="str">
        <f>IFERROR(VLOOKUP($M12124,'Informations sur les produits'!$A$3:$H$10000,8,FALSE),"0")</f>
        <v>0</v>
      </c>
      <c r="P12124" s="33">
        <f t="shared" si="756"/>
        <v>0</v>
      </c>
      <c r="Q12124" s="31" t="str">
        <f t="shared" si="757"/>
        <v/>
      </c>
      <c r="R12124" s="32" t="str">
        <f>IFERROR(VLOOKUP($D12124,'Informations sur les produits'!$A$3:$B$15000,2,FALSE),"")</f>
        <v/>
      </c>
      <c r="V12124">
        <f t="shared" si="758"/>
        <v>0</v>
      </c>
      <c r="W12124">
        <f t="shared" si="759"/>
        <v>0</v>
      </c>
    </row>
    <row r="12125" spans="5:23" x14ac:dyDescent="0.25">
      <c r="E12125" s="4"/>
      <c r="F12125" s="4"/>
      <c r="G12125" s="33" t="str">
        <f>IFERROR(VLOOKUP($D12125,'Informations sur les produits'!$A$3:$H$10000,8,FALSE),"0")</f>
        <v>0</v>
      </c>
      <c r="K12125" s="4"/>
      <c r="L12125" s="33" t="str">
        <f>IFERROR(VLOOKUP($J12125,'Informations sur les produits'!$A$3:$H$10000,8,FALSE),"0")</f>
        <v>0</v>
      </c>
      <c r="N12125" s="8"/>
      <c r="O12125" s="33" t="str">
        <f>IFERROR(VLOOKUP($M12125,'Informations sur les produits'!$A$3:$H$10000,8,FALSE),"0")</f>
        <v>0</v>
      </c>
      <c r="P12125" s="33">
        <f t="shared" si="756"/>
        <v>0</v>
      </c>
      <c r="Q12125" s="31" t="str">
        <f t="shared" si="757"/>
        <v/>
      </c>
      <c r="R12125" s="32" t="str">
        <f>IFERROR(VLOOKUP($D12125,'Informations sur les produits'!$A$3:$B$15000,2,FALSE),"")</f>
        <v/>
      </c>
      <c r="V12125">
        <f t="shared" si="758"/>
        <v>0</v>
      </c>
      <c r="W12125">
        <f t="shared" si="759"/>
        <v>0</v>
      </c>
    </row>
    <row r="12126" spans="5:23" x14ac:dyDescent="0.25">
      <c r="E12126" s="4"/>
      <c r="F12126" s="4"/>
      <c r="G12126" s="33" t="str">
        <f>IFERROR(VLOOKUP($D12126,'Informations sur les produits'!$A$3:$H$10000,8,FALSE),"0")</f>
        <v>0</v>
      </c>
      <c r="K12126" s="4"/>
      <c r="L12126" s="33" t="str">
        <f>IFERROR(VLOOKUP($J12126,'Informations sur les produits'!$A$3:$H$10000,8,FALSE),"0")</f>
        <v>0</v>
      </c>
      <c r="N12126" s="8"/>
      <c r="O12126" s="33" t="str">
        <f>IFERROR(VLOOKUP($M12126,'Informations sur les produits'!$A$3:$H$10000,8,FALSE),"0")</f>
        <v>0</v>
      </c>
      <c r="P12126" s="33">
        <f t="shared" si="756"/>
        <v>0</v>
      </c>
      <c r="Q12126" s="31" t="str">
        <f t="shared" si="757"/>
        <v/>
      </c>
      <c r="R12126" s="32" t="str">
        <f>IFERROR(VLOOKUP($D12126,'Informations sur les produits'!$A$3:$B$15000,2,FALSE),"")</f>
        <v/>
      </c>
      <c r="V12126">
        <f t="shared" si="758"/>
        <v>0</v>
      </c>
      <c r="W12126">
        <f t="shared" si="759"/>
        <v>0</v>
      </c>
    </row>
    <row r="12127" spans="5:23" x14ac:dyDescent="0.25">
      <c r="E12127" s="4"/>
      <c r="F12127" s="4"/>
      <c r="G12127" s="33" t="str">
        <f>IFERROR(VLOOKUP($D12127,'Informations sur les produits'!$A$3:$H$10000,8,FALSE),"0")</f>
        <v>0</v>
      </c>
      <c r="K12127" s="4"/>
      <c r="L12127" s="33" t="str">
        <f>IFERROR(VLOOKUP($J12127,'Informations sur les produits'!$A$3:$H$10000,8,FALSE),"0")</f>
        <v>0</v>
      </c>
      <c r="N12127" s="8"/>
      <c r="O12127" s="33" t="str">
        <f>IFERROR(VLOOKUP($M12127,'Informations sur les produits'!$A$3:$H$10000,8,FALSE),"0")</f>
        <v>0</v>
      </c>
      <c r="P12127" s="33">
        <f t="shared" si="756"/>
        <v>0</v>
      </c>
      <c r="Q12127" s="31" t="str">
        <f t="shared" si="757"/>
        <v/>
      </c>
      <c r="R12127" s="32" t="str">
        <f>IFERROR(VLOOKUP($D12127,'Informations sur les produits'!$A$3:$B$15000,2,FALSE),"")</f>
        <v/>
      </c>
      <c r="V12127">
        <f t="shared" si="758"/>
        <v>0</v>
      </c>
      <c r="W12127">
        <f t="shared" si="759"/>
        <v>0</v>
      </c>
    </row>
    <row r="12128" spans="5:23" x14ac:dyDescent="0.25">
      <c r="E12128" s="4"/>
      <c r="F12128" s="4"/>
      <c r="G12128" s="33" t="str">
        <f>IFERROR(VLOOKUP($D12128,'Informations sur les produits'!$A$3:$H$10000,8,FALSE),"0")</f>
        <v>0</v>
      </c>
      <c r="K12128" s="4"/>
      <c r="L12128" s="33" t="str">
        <f>IFERROR(VLOOKUP($J12128,'Informations sur les produits'!$A$3:$H$10000,8,FALSE),"0")</f>
        <v>0</v>
      </c>
      <c r="N12128" s="8"/>
      <c r="O12128" s="33" t="str">
        <f>IFERROR(VLOOKUP($M12128,'Informations sur les produits'!$A$3:$H$10000,8,FALSE),"0")</f>
        <v>0</v>
      </c>
      <c r="P12128" s="33">
        <f t="shared" si="756"/>
        <v>0</v>
      </c>
      <c r="Q12128" s="31" t="str">
        <f t="shared" si="757"/>
        <v/>
      </c>
      <c r="R12128" s="32" t="str">
        <f>IFERROR(VLOOKUP($D12128,'Informations sur les produits'!$A$3:$B$15000,2,FALSE),"")</f>
        <v/>
      </c>
      <c r="V12128">
        <f t="shared" si="758"/>
        <v>0</v>
      </c>
      <c r="W12128">
        <f t="shared" si="759"/>
        <v>0</v>
      </c>
    </row>
    <row r="12129" spans="5:23" x14ac:dyDescent="0.25">
      <c r="E12129" s="4"/>
      <c r="F12129" s="4"/>
      <c r="G12129" s="33" t="str">
        <f>IFERROR(VLOOKUP($D12129,'Informations sur les produits'!$A$3:$H$10000,8,FALSE),"0")</f>
        <v>0</v>
      </c>
      <c r="K12129" s="4"/>
      <c r="L12129" s="33" t="str">
        <f>IFERROR(VLOOKUP($J12129,'Informations sur les produits'!$A$3:$H$10000,8,FALSE),"0")</f>
        <v>0</v>
      </c>
      <c r="N12129" s="8"/>
      <c r="O12129" s="33" t="str">
        <f>IFERROR(VLOOKUP($M12129,'Informations sur les produits'!$A$3:$H$10000,8,FALSE),"0")</f>
        <v>0</v>
      </c>
      <c r="P12129" s="33">
        <f t="shared" si="756"/>
        <v>0</v>
      </c>
      <c r="Q12129" s="31" t="str">
        <f t="shared" si="757"/>
        <v/>
      </c>
      <c r="R12129" s="32" t="str">
        <f>IFERROR(VLOOKUP($D12129,'Informations sur les produits'!$A$3:$B$15000,2,FALSE),"")</f>
        <v/>
      </c>
      <c r="V12129">
        <f t="shared" si="758"/>
        <v>0</v>
      </c>
      <c r="W12129">
        <f t="shared" si="759"/>
        <v>0</v>
      </c>
    </row>
    <row r="12130" spans="5:23" x14ac:dyDescent="0.25">
      <c r="E12130" s="4"/>
      <c r="F12130" s="4"/>
      <c r="G12130" s="33" t="str">
        <f>IFERROR(VLOOKUP($D12130,'Informations sur les produits'!$A$3:$H$10000,8,FALSE),"0")</f>
        <v>0</v>
      </c>
      <c r="K12130" s="4"/>
      <c r="L12130" s="33" t="str">
        <f>IFERROR(VLOOKUP($J12130,'Informations sur les produits'!$A$3:$H$10000,8,FALSE),"0")</f>
        <v>0</v>
      </c>
      <c r="N12130" s="8"/>
      <c r="O12130" s="33" t="str">
        <f>IFERROR(VLOOKUP($M12130,'Informations sur les produits'!$A$3:$H$10000,8,FALSE),"0")</f>
        <v>0</v>
      </c>
      <c r="P12130" s="33">
        <f t="shared" si="756"/>
        <v>0</v>
      </c>
      <c r="Q12130" s="31" t="str">
        <f t="shared" si="757"/>
        <v/>
      </c>
      <c r="R12130" s="32" t="str">
        <f>IFERROR(VLOOKUP($D12130,'Informations sur les produits'!$A$3:$B$15000,2,FALSE),"")</f>
        <v/>
      </c>
      <c r="V12130">
        <f t="shared" si="758"/>
        <v>0</v>
      </c>
      <c r="W12130">
        <f t="shared" si="759"/>
        <v>0</v>
      </c>
    </row>
    <row r="12131" spans="5:23" x14ac:dyDescent="0.25">
      <c r="E12131" s="4"/>
      <c r="F12131" s="4"/>
      <c r="G12131" s="33" t="str">
        <f>IFERROR(VLOOKUP($D12131,'Informations sur les produits'!$A$3:$H$10000,8,FALSE),"0")</f>
        <v>0</v>
      </c>
      <c r="K12131" s="4"/>
      <c r="L12131" s="33" t="str">
        <f>IFERROR(VLOOKUP($J12131,'Informations sur les produits'!$A$3:$H$10000,8,FALSE),"0")</f>
        <v>0</v>
      </c>
      <c r="N12131" s="8"/>
      <c r="O12131" s="33" t="str">
        <f>IFERROR(VLOOKUP($M12131,'Informations sur les produits'!$A$3:$H$10000,8,FALSE),"0")</f>
        <v>0</v>
      </c>
      <c r="P12131" s="33">
        <f t="shared" si="756"/>
        <v>0</v>
      </c>
      <c r="Q12131" s="31" t="str">
        <f t="shared" si="757"/>
        <v/>
      </c>
      <c r="R12131" s="32" t="str">
        <f>IFERROR(VLOOKUP($D12131,'Informations sur les produits'!$A$3:$B$15000,2,FALSE),"")</f>
        <v/>
      </c>
      <c r="V12131">
        <f t="shared" si="758"/>
        <v>0</v>
      </c>
      <c r="W12131">
        <f t="shared" si="759"/>
        <v>0</v>
      </c>
    </row>
    <row r="12132" spans="5:23" x14ac:dyDescent="0.25">
      <c r="E12132" s="4"/>
      <c r="F12132" s="4"/>
      <c r="G12132" s="33" t="str">
        <f>IFERROR(VLOOKUP($D12132,'Informations sur les produits'!$A$3:$H$10000,8,FALSE),"0")</f>
        <v>0</v>
      </c>
      <c r="K12132" s="4"/>
      <c r="L12132" s="33" t="str">
        <f>IFERROR(VLOOKUP($J12132,'Informations sur les produits'!$A$3:$H$10000,8,FALSE),"0")</f>
        <v>0</v>
      </c>
      <c r="N12132" s="8"/>
      <c r="O12132" s="33" t="str">
        <f>IFERROR(VLOOKUP($M12132,'Informations sur les produits'!$A$3:$H$10000,8,FALSE),"0")</f>
        <v>0</v>
      </c>
      <c r="P12132" s="33">
        <f t="shared" si="756"/>
        <v>0</v>
      </c>
      <c r="Q12132" s="31" t="str">
        <f t="shared" si="757"/>
        <v/>
      </c>
      <c r="R12132" s="32" t="str">
        <f>IFERROR(VLOOKUP($D12132,'Informations sur les produits'!$A$3:$B$15000,2,FALSE),"")</f>
        <v/>
      </c>
      <c r="V12132">
        <f t="shared" si="758"/>
        <v>0</v>
      </c>
      <c r="W12132">
        <f t="shared" si="759"/>
        <v>0</v>
      </c>
    </row>
    <row r="12133" spans="5:23" x14ac:dyDescent="0.25">
      <c r="E12133" s="4"/>
      <c r="F12133" s="4"/>
      <c r="G12133" s="33" t="str">
        <f>IFERROR(VLOOKUP($D12133,'Informations sur les produits'!$A$3:$H$10000,8,FALSE),"0")</f>
        <v>0</v>
      </c>
      <c r="K12133" s="4"/>
      <c r="L12133" s="33" t="str">
        <f>IFERROR(VLOOKUP($J12133,'Informations sur les produits'!$A$3:$H$10000,8,FALSE),"0")</f>
        <v>0</v>
      </c>
      <c r="N12133" s="8"/>
      <c r="O12133" s="33" t="str">
        <f>IFERROR(VLOOKUP($M12133,'Informations sur les produits'!$A$3:$H$10000,8,FALSE),"0")</f>
        <v>0</v>
      </c>
      <c r="P12133" s="33">
        <f t="shared" si="756"/>
        <v>0</v>
      </c>
      <c r="Q12133" s="31" t="str">
        <f t="shared" si="757"/>
        <v/>
      </c>
      <c r="R12133" s="32" t="str">
        <f>IFERROR(VLOOKUP($D12133,'Informations sur les produits'!$A$3:$B$15000,2,FALSE),"")</f>
        <v/>
      </c>
      <c r="V12133">
        <f t="shared" si="758"/>
        <v>0</v>
      </c>
      <c r="W12133">
        <f t="shared" si="759"/>
        <v>0</v>
      </c>
    </row>
    <row r="12134" spans="5:23" x14ac:dyDescent="0.25">
      <c r="E12134" s="4"/>
      <c r="F12134" s="4"/>
      <c r="G12134" s="33" t="str">
        <f>IFERROR(VLOOKUP($D12134,'Informations sur les produits'!$A$3:$H$10000,8,FALSE),"0")</f>
        <v>0</v>
      </c>
      <c r="K12134" s="4"/>
      <c r="L12134" s="33" t="str">
        <f>IFERROR(VLOOKUP($J12134,'Informations sur les produits'!$A$3:$H$10000,8,FALSE),"0")</f>
        <v>0</v>
      </c>
      <c r="N12134" s="8"/>
      <c r="O12134" s="33" t="str">
        <f>IFERROR(VLOOKUP($M12134,'Informations sur les produits'!$A$3:$H$10000,8,FALSE),"0")</f>
        <v>0</v>
      </c>
      <c r="P12134" s="33">
        <f t="shared" si="756"/>
        <v>0</v>
      </c>
      <c r="Q12134" s="31" t="str">
        <f t="shared" si="757"/>
        <v/>
      </c>
      <c r="R12134" s="32" t="str">
        <f>IFERROR(VLOOKUP($D12134,'Informations sur les produits'!$A$3:$B$15000,2,FALSE),"")</f>
        <v/>
      </c>
      <c r="V12134">
        <f t="shared" si="758"/>
        <v>0</v>
      </c>
      <c r="W12134">
        <f t="shared" si="759"/>
        <v>0</v>
      </c>
    </row>
    <row r="12135" spans="5:23" x14ac:dyDescent="0.25">
      <c r="E12135" s="4"/>
      <c r="F12135" s="4"/>
      <c r="G12135" s="33" t="str">
        <f>IFERROR(VLOOKUP($D12135,'Informations sur les produits'!$A$3:$H$10000,8,FALSE),"0")</f>
        <v>0</v>
      </c>
      <c r="K12135" s="4"/>
      <c r="L12135" s="33" t="str">
        <f>IFERROR(VLOOKUP($J12135,'Informations sur les produits'!$A$3:$H$10000,8,FALSE),"0")</f>
        <v>0</v>
      </c>
      <c r="N12135" s="8"/>
      <c r="O12135" s="33" t="str">
        <f>IFERROR(VLOOKUP($M12135,'Informations sur les produits'!$A$3:$H$10000,8,FALSE),"0")</f>
        <v>0</v>
      </c>
      <c r="P12135" s="33">
        <f t="shared" si="756"/>
        <v>0</v>
      </c>
      <c r="Q12135" s="31" t="str">
        <f t="shared" si="757"/>
        <v/>
      </c>
      <c r="R12135" s="32" t="str">
        <f>IFERROR(VLOOKUP($D12135,'Informations sur les produits'!$A$3:$B$15000,2,FALSE),"")</f>
        <v/>
      </c>
      <c r="V12135">
        <f t="shared" si="758"/>
        <v>0</v>
      </c>
      <c r="W12135">
        <f t="shared" si="759"/>
        <v>0</v>
      </c>
    </row>
    <row r="12136" spans="5:23" x14ac:dyDescent="0.25">
      <c r="E12136" s="4"/>
      <c r="F12136" s="4"/>
      <c r="G12136" s="33" t="str">
        <f>IFERROR(VLOOKUP($D12136,'Informations sur les produits'!$A$3:$H$10000,8,FALSE),"0")</f>
        <v>0</v>
      </c>
      <c r="K12136" s="4"/>
      <c r="L12136" s="33" t="str">
        <f>IFERROR(VLOOKUP($J12136,'Informations sur les produits'!$A$3:$H$10000,8,FALSE),"0")</f>
        <v>0</v>
      </c>
      <c r="N12136" s="8"/>
      <c r="O12136" s="33" t="str">
        <f>IFERROR(VLOOKUP($M12136,'Informations sur les produits'!$A$3:$H$10000,8,FALSE),"0")</f>
        <v>0</v>
      </c>
      <c r="P12136" s="33">
        <f t="shared" si="756"/>
        <v>0</v>
      </c>
      <c r="Q12136" s="31" t="str">
        <f t="shared" si="757"/>
        <v/>
      </c>
      <c r="R12136" s="32" t="str">
        <f>IFERROR(VLOOKUP($D12136,'Informations sur les produits'!$A$3:$B$15000,2,FALSE),"")</f>
        <v/>
      </c>
      <c r="V12136">
        <f t="shared" si="758"/>
        <v>0</v>
      </c>
      <c r="W12136">
        <f t="shared" si="759"/>
        <v>0</v>
      </c>
    </row>
    <row r="12137" spans="5:23" x14ac:dyDescent="0.25">
      <c r="E12137" s="4"/>
      <c r="F12137" s="4"/>
      <c r="G12137" s="33" t="str">
        <f>IFERROR(VLOOKUP($D12137,'Informations sur les produits'!$A$3:$H$10000,8,FALSE),"0")</f>
        <v>0</v>
      </c>
      <c r="K12137" s="4"/>
      <c r="L12137" s="33" t="str">
        <f>IFERROR(VLOOKUP($J12137,'Informations sur les produits'!$A$3:$H$10000,8,FALSE),"0")</f>
        <v>0</v>
      </c>
      <c r="N12137" s="8"/>
      <c r="O12137" s="33" t="str">
        <f>IFERROR(VLOOKUP($M12137,'Informations sur les produits'!$A$3:$H$10000,8,FALSE),"0")</f>
        <v>0</v>
      </c>
      <c r="P12137" s="33">
        <f t="shared" si="756"/>
        <v>0</v>
      </c>
      <c r="Q12137" s="31" t="str">
        <f t="shared" si="757"/>
        <v/>
      </c>
      <c r="R12137" s="32" t="str">
        <f>IFERROR(VLOOKUP($D12137,'Informations sur les produits'!$A$3:$B$15000,2,FALSE),"")</f>
        <v/>
      </c>
      <c r="V12137">
        <f t="shared" si="758"/>
        <v>0</v>
      </c>
      <c r="W12137">
        <f t="shared" si="759"/>
        <v>0</v>
      </c>
    </row>
    <row r="12138" spans="5:23" x14ac:dyDescent="0.25">
      <c r="E12138" s="4"/>
      <c r="F12138" s="4"/>
      <c r="G12138" s="33" t="str">
        <f>IFERROR(VLOOKUP($D12138,'Informations sur les produits'!$A$3:$H$10000,8,FALSE),"0")</f>
        <v>0</v>
      </c>
      <c r="K12138" s="4"/>
      <c r="L12138" s="33" t="str">
        <f>IFERROR(VLOOKUP($J12138,'Informations sur les produits'!$A$3:$H$10000,8,FALSE),"0")</f>
        <v>0</v>
      </c>
      <c r="N12138" s="8"/>
      <c r="O12138" s="33" t="str">
        <f>IFERROR(VLOOKUP($M12138,'Informations sur les produits'!$A$3:$H$10000,8,FALSE),"0")</f>
        <v>0</v>
      </c>
      <c r="P12138" s="33">
        <f t="shared" si="756"/>
        <v>0</v>
      </c>
      <c r="Q12138" s="31" t="str">
        <f t="shared" si="757"/>
        <v/>
      </c>
      <c r="R12138" s="32" t="str">
        <f>IFERROR(VLOOKUP($D12138,'Informations sur les produits'!$A$3:$B$15000,2,FALSE),"")</f>
        <v/>
      </c>
      <c r="V12138">
        <f t="shared" si="758"/>
        <v>0</v>
      </c>
      <c r="W12138">
        <f t="shared" si="759"/>
        <v>0</v>
      </c>
    </row>
    <row r="12139" spans="5:23" x14ac:dyDescent="0.25">
      <c r="E12139" s="4"/>
      <c r="F12139" s="4"/>
      <c r="G12139" s="33" t="str">
        <f>IFERROR(VLOOKUP($D12139,'Informations sur les produits'!$A$3:$H$10000,8,FALSE),"0")</f>
        <v>0</v>
      </c>
      <c r="K12139" s="4"/>
      <c r="L12139" s="33" t="str">
        <f>IFERROR(VLOOKUP($J12139,'Informations sur les produits'!$A$3:$H$10000,8,FALSE),"0")</f>
        <v>0</v>
      </c>
      <c r="N12139" s="8"/>
      <c r="O12139" s="33" t="str">
        <f>IFERROR(VLOOKUP($M12139,'Informations sur les produits'!$A$3:$H$10000,8,FALSE),"0")</f>
        <v>0</v>
      </c>
      <c r="P12139" s="33">
        <f t="shared" si="756"/>
        <v>0</v>
      </c>
      <c r="Q12139" s="31" t="str">
        <f t="shared" si="757"/>
        <v/>
      </c>
      <c r="R12139" s="32" t="str">
        <f>IFERROR(VLOOKUP($D12139,'Informations sur les produits'!$A$3:$B$15000,2,FALSE),"")</f>
        <v/>
      </c>
      <c r="V12139">
        <f t="shared" si="758"/>
        <v>0</v>
      </c>
      <c r="W12139">
        <f t="shared" si="759"/>
        <v>0</v>
      </c>
    </row>
    <row r="12140" spans="5:23" x14ac:dyDescent="0.25">
      <c r="E12140" s="4"/>
      <c r="F12140" s="4"/>
      <c r="G12140" s="33" t="str">
        <f>IFERROR(VLOOKUP($D12140,'Informations sur les produits'!$A$3:$H$10000,8,FALSE),"0")</f>
        <v>0</v>
      </c>
      <c r="K12140" s="4"/>
      <c r="L12140" s="33" t="str">
        <f>IFERROR(VLOOKUP($J12140,'Informations sur les produits'!$A$3:$H$10000,8,FALSE),"0")</f>
        <v>0</v>
      </c>
      <c r="N12140" s="8"/>
      <c r="O12140" s="33" t="str">
        <f>IFERROR(VLOOKUP($M12140,'Informations sur les produits'!$A$3:$H$10000,8,FALSE),"0")</f>
        <v>0</v>
      </c>
      <c r="P12140" s="33">
        <f t="shared" si="756"/>
        <v>0</v>
      </c>
      <c r="Q12140" s="31" t="str">
        <f t="shared" si="757"/>
        <v/>
      </c>
      <c r="R12140" s="32" t="str">
        <f>IFERROR(VLOOKUP($D12140,'Informations sur les produits'!$A$3:$B$15000,2,FALSE),"")</f>
        <v/>
      </c>
      <c r="V12140">
        <f t="shared" si="758"/>
        <v>0</v>
      </c>
      <c r="W12140">
        <f t="shared" si="759"/>
        <v>0</v>
      </c>
    </row>
    <row r="12141" spans="5:23" x14ac:dyDescent="0.25">
      <c r="E12141" s="4"/>
      <c r="F12141" s="4"/>
      <c r="G12141" s="33" t="str">
        <f>IFERROR(VLOOKUP($D12141,'Informations sur les produits'!$A$3:$H$10000,8,FALSE),"0")</f>
        <v>0</v>
      </c>
      <c r="K12141" s="4"/>
      <c r="L12141" s="33" t="str">
        <f>IFERROR(VLOOKUP($J12141,'Informations sur les produits'!$A$3:$H$10000,8,FALSE),"0")</f>
        <v>0</v>
      </c>
      <c r="N12141" s="8"/>
      <c r="O12141" s="33" t="str">
        <f>IFERROR(VLOOKUP($M12141,'Informations sur les produits'!$A$3:$H$10000,8,FALSE),"0")</f>
        <v>0</v>
      </c>
      <c r="P12141" s="33">
        <f t="shared" si="756"/>
        <v>0</v>
      </c>
      <c r="Q12141" s="31" t="str">
        <f t="shared" si="757"/>
        <v/>
      </c>
      <c r="R12141" s="32" t="str">
        <f>IFERROR(VLOOKUP($D12141,'Informations sur les produits'!$A$3:$B$15000,2,FALSE),"")</f>
        <v/>
      </c>
      <c r="V12141">
        <f t="shared" si="758"/>
        <v>0</v>
      </c>
      <c r="W12141">
        <f t="shared" si="759"/>
        <v>0</v>
      </c>
    </row>
    <row r="12142" spans="5:23" x14ac:dyDescent="0.25">
      <c r="E12142" s="4"/>
      <c r="F12142" s="4"/>
      <c r="G12142" s="33" t="str">
        <f>IFERROR(VLOOKUP($D12142,'Informations sur les produits'!$A$3:$H$10000,8,FALSE),"0")</f>
        <v>0</v>
      </c>
      <c r="K12142" s="4"/>
      <c r="L12142" s="33" t="str">
        <f>IFERROR(VLOOKUP($J12142,'Informations sur les produits'!$A$3:$H$10000,8,FALSE),"0")</f>
        <v>0</v>
      </c>
      <c r="N12142" s="8"/>
      <c r="O12142" s="33" t="str">
        <f>IFERROR(VLOOKUP($M12142,'Informations sur les produits'!$A$3:$H$10000,8,FALSE),"0")</f>
        <v>0</v>
      </c>
      <c r="P12142" s="33">
        <f t="shared" si="756"/>
        <v>0</v>
      </c>
      <c r="Q12142" s="31" t="str">
        <f t="shared" si="757"/>
        <v/>
      </c>
      <c r="R12142" s="32" t="str">
        <f>IFERROR(VLOOKUP($D12142,'Informations sur les produits'!$A$3:$B$15000,2,FALSE),"")</f>
        <v/>
      </c>
      <c r="V12142">
        <f t="shared" si="758"/>
        <v>0</v>
      </c>
      <c r="W12142">
        <f t="shared" si="759"/>
        <v>0</v>
      </c>
    </row>
    <row r="12143" spans="5:23" x14ac:dyDescent="0.25">
      <c r="E12143" s="4"/>
      <c r="F12143" s="4"/>
      <c r="G12143" s="33" t="str">
        <f>IFERROR(VLOOKUP($D12143,'Informations sur les produits'!$A$3:$H$10000,8,FALSE),"0")</f>
        <v>0</v>
      </c>
      <c r="K12143" s="4"/>
      <c r="L12143" s="33" t="str">
        <f>IFERROR(VLOOKUP($J12143,'Informations sur les produits'!$A$3:$H$10000,8,FALSE),"0")</f>
        <v>0</v>
      </c>
      <c r="N12143" s="8"/>
      <c r="O12143" s="33" t="str">
        <f>IFERROR(VLOOKUP($M12143,'Informations sur les produits'!$A$3:$H$10000,8,FALSE),"0")</f>
        <v>0</v>
      </c>
      <c r="P12143" s="33">
        <f t="shared" si="756"/>
        <v>0</v>
      </c>
      <c r="Q12143" s="31" t="str">
        <f t="shared" si="757"/>
        <v/>
      </c>
      <c r="R12143" s="32" t="str">
        <f>IFERROR(VLOOKUP($D12143,'Informations sur les produits'!$A$3:$B$15000,2,FALSE),"")</f>
        <v/>
      </c>
      <c r="V12143">
        <f t="shared" si="758"/>
        <v>0</v>
      </c>
      <c r="W12143">
        <f t="shared" si="759"/>
        <v>0</v>
      </c>
    </row>
    <row r="12144" spans="5:23" x14ac:dyDescent="0.25">
      <c r="E12144" s="4"/>
      <c r="F12144" s="4"/>
      <c r="G12144" s="33" t="str">
        <f>IFERROR(VLOOKUP($D12144,'Informations sur les produits'!$A$3:$H$10000,8,FALSE),"0")</f>
        <v>0</v>
      </c>
      <c r="K12144" s="4"/>
      <c r="L12144" s="33" t="str">
        <f>IFERROR(VLOOKUP($J12144,'Informations sur les produits'!$A$3:$H$10000,8,FALSE),"0")</f>
        <v>0</v>
      </c>
      <c r="N12144" s="8"/>
      <c r="O12144" s="33" t="str">
        <f>IFERROR(VLOOKUP($M12144,'Informations sur les produits'!$A$3:$H$10000,8,FALSE),"0")</f>
        <v>0</v>
      </c>
      <c r="P12144" s="33">
        <f t="shared" si="756"/>
        <v>0</v>
      </c>
      <c r="Q12144" s="31" t="str">
        <f t="shared" si="757"/>
        <v/>
      </c>
      <c r="R12144" s="32" t="str">
        <f>IFERROR(VLOOKUP($D12144,'Informations sur les produits'!$A$3:$B$15000,2,FALSE),"")</f>
        <v/>
      </c>
      <c r="V12144">
        <f t="shared" si="758"/>
        <v>0</v>
      </c>
      <c r="W12144">
        <f t="shared" si="759"/>
        <v>0</v>
      </c>
    </row>
    <row r="12145" spans="5:23" x14ac:dyDescent="0.25">
      <c r="E12145" s="4"/>
      <c r="F12145" s="4"/>
      <c r="G12145" s="33" t="str">
        <f>IFERROR(VLOOKUP($D12145,'Informations sur les produits'!$A$3:$H$10000,8,FALSE),"0")</f>
        <v>0</v>
      </c>
      <c r="K12145" s="4"/>
      <c r="L12145" s="33" t="str">
        <f>IFERROR(VLOOKUP($J12145,'Informations sur les produits'!$A$3:$H$10000,8,FALSE),"0")</f>
        <v>0</v>
      </c>
      <c r="N12145" s="8"/>
      <c r="O12145" s="33" t="str">
        <f>IFERROR(VLOOKUP($M12145,'Informations sur les produits'!$A$3:$H$10000,8,FALSE),"0")</f>
        <v>0</v>
      </c>
      <c r="P12145" s="33">
        <f t="shared" si="756"/>
        <v>0</v>
      </c>
      <c r="Q12145" s="31" t="str">
        <f t="shared" si="757"/>
        <v/>
      </c>
      <c r="R12145" s="32" t="str">
        <f>IFERROR(VLOOKUP($D12145,'Informations sur les produits'!$A$3:$B$15000,2,FALSE),"")</f>
        <v/>
      </c>
      <c r="V12145">
        <f t="shared" si="758"/>
        <v>0</v>
      </c>
      <c r="W12145">
        <f t="shared" si="759"/>
        <v>0</v>
      </c>
    </row>
    <row r="12146" spans="5:23" x14ac:dyDescent="0.25">
      <c r="E12146" s="4"/>
      <c r="F12146" s="4"/>
      <c r="G12146" s="33" t="str">
        <f>IFERROR(VLOOKUP($D12146,'Informations sur les produits'!$A$3:$H$10000,8,FALSE),"0")</f>
        <v>0</v>
      </c>
      <c r="K12146" s="4"/>
      <c r="L12146" s="33" t="str">
        <f>IFERROR(VLOOKUP($J12146,'Informations sur les produits'!$A$3:$H$10000,8,FALSE),"0")</f>
        <v>0</v>
      </c>
      <c r="N12146" s="8"/>
      <c r="O12146" s="33" t="str">
        <f>IFERROR(VLOOKUP($M12146,'Informations sur les produits'!$A$3:$H$10000,8,FALSE),"0")</f>
        <v>0</v>
      </c>
      <c r="P12146" s="33">
        <f t="shared" si="756"/>
        <v>0</v>
      </c>
      <c r="Q12146" s="31" t="str">
        <f t="shared" si="757"/>
        <v/>
      </c>
      <c r="R12146" s="32" t="str">
        <f>IFERROR(VLOOKUP($D12146,'Informations sur les produits'!$A$3:$B$15000,2,FALSE),"")</f>
        <v/>
      </c>
      <c r="V12146">
        <f t="shared" si="758"/>
        <v>0</v>
      </c>
      <c r="W12146">
        <f t="shared" si="759"/>
        <v>0</v>
      </c>
    </row>
    <row r="12147" spans="5:23" x14ac:dyDescent="0.25">
      <c r="E12147" s="4"/>
      <c r="F12147" s="4"/>
      <c r="G12147" s="33" t="str">
        <f>IFERROR(VLOOKUP($D12147,'Informations sur les produits'!$A$3:$H$10000,8,FALSE),"0")</f>
        <v>0</v>
      </c>
      <c r="K12147" s="4"/>
      <c r="L12147" s="33" t="str">
        <f>IFERROR(VLOOKUP($J12147,'Informations sur les produits'!$A$3:$H$10000,8,FALSE),"0")</f>
        <v>0</v>
      </c>
      <c r="N12147" s="8"/>
      <c r="O12147" s="33" t="str">
        <f>IFERROR(VLOOKUP($M12147,'Informations sur les produits'!$A$3:$H$10000,8,FALSE),"0")</f>
        <v>0</v>
      </c>
      <c r="P12147" s="33">
        <f t="shared" si="756"/>
        <v>0</v>
      </c>
      <c r="Q12147" s="31" t="str">
        <f t="shared" si="757"/>
        <v/>
      </c>
      <c r="R12147" s="32" t="str">
        <f>IFERROR(VLOOKUP($D12147,'Informations sur les produits'!$A$3:$B$15000,2,FALSE),"")</f>
        <v/>
      </c>
      <c r="V12147">
        <f t="shared" si="758"/>
        <v>0</v>
      </c>
      <c r="W12147">
        <f t="shared" si="759"/>
        <v>0</v>
      </c>
    </row>
    <row r="12148" spans="5:23" x14ac:dyDescent="0.25">
      <c r="E12148" s="4"/>
      <c r="F12148" s="4"/>
      <c r="G12148" s="33" t="str">
        <f>IFERROR(VLOOKUP($D12148,'Informations sur les produits'!$A$3:$H$10000,8,FALSE),"0")</f>
        <v>0</v>
      </c>
      <c r="K12148" s="4"/>
      <c r="L12148" s="33" t="str">
        <f>IFERROR(VLOOKUP($J12148,'Informations sur les produits'!$A$3:$H$10000,8,FALSE),"0")</f>
        <v>0</v>
      </c>
      <c r="N12148" s="8"/>
      <c r="O12148" s="33" t="str">
        <f>IFERROR(VLOOKUP($M12148,'Informations sur les produits'!$A$3:$H$10000,8,FALSE),"0")</f>
        <v>0</v>
      </c>
      <c r="P12148" s="33">
        <f t="shared" si="756"/>
        <v>0</v>
      </c>
      <c r="Q12148" s="31" t="str">
        <f t="shared" si="757"/>
        <v/>
      </c>
      <c r="R12148" s="32" t="str">
        <f>IFERROR(VLOOKUP($D12148,'Informations sur les produits'!$A$3:$B$15000,2,FALSE),"")</f>
        <v/>
      </c>
      <c r="V12148">
        <f t="shared" si="758"/>
        <v>0</v>
      </c>
      <c r="W12148">
        <f t="shared" si="759"/>
        <v>0</v>
      </c>
    </row>
    <row r="12149" spans="5:23" x14ac:dyDescent="0.25">
      <c r="E12149" s="4"/>
      <c r="F12149" s="4"/>
      <c r="G12149" s="33" t="str">
        <f>IFERROR(VLOOKUP($D12149,'Informations sur les produits'!$A$3:$H$10000,8,FALSE),"0")</f>
        <v>0</v>
      </c>
      <c r="K12149" s="4"/>
      <c r="L12149" s="33" t="str">
        <f>IFERROR(VLOOKUP($J12149,'Informations sur les produits'!$A$3:$H$10000,8,FALSE),"0")</f>
        <v>0</v>
      </c>
      <c r="N12149" s="8"/>
      <c r="O12149" s="33" t="str">
        <f>IFERROR(VLOOKUP($M12149,'Informations sur les produits'!$A$3:$H$10000,8,FALSE),"0")</f>
        <v>0</v>
      </c>
      <c r="P12149" s="33">
        <f t="shared" si="756"/>
        <v>0</v>
      </c>
      <c r="Q12149" s="31" t="str">
        <f t="shared" si="757"/>
        <v/>
      </c>
      <c r="R12149" s="32" t="str">
        <f>IFERROR(VLOOKUP($D12149,'Informations sur les produits'!$A$3:$B$15000,2,FALSE),"")</f>
        <v/>
      </c>
      <c r="V12149">
        <f t="shared" si="758"/>
        <v>0</v>
      </c>
      <c r="W12149">
        <f t="shared" si="759"/>
        <v>0</v>
      </c>
    </row>
    <row r="12150" spans="5:23" x14ac:dyDescent="0.25">
      <c r="E12150" s="4"/>
      <c r="F12150" s="4"/>
      <c r="G12150" s="33" t="str">
        <f>IFERROR(VLOOKUP($D12150,'Informations sur les produits'!$A$3:$H$10000,8,FALSE),"0")</f>
        <v>0</v>
      </c>
      <c r="K12150" s="4"/>
      <c r="L12150" s="33" t="str">
        <f>IFERROR(VLOOKUP($J12150,'Informations sur les produits'!$A$3:$H$10000,8,FALSE),"0")</f>
        <v>0</v>
      </c>
      <c r="N12150" s="8"/>
      <c r="O12150" s="33" t="str">
        <f>IFERROR(VLOOKUP($M12150,'Informations sur les produits'!$A$3:$H$10000,8,FALSE),"0")</f>
        <v>0</v>
      </c>
      <c r="P12150" s="33">
        <f t="shared" si="756"/>
        <v>0</v>
      </c>
      <c r="Q12150" s="31" t="str">
        <f t="shared" si="757"/>
        <v/>
      </c>
      <c r="R12150" s="32" t="str">
        <f>IFERROR(VLOOKUP($D12150,'Informations sur les produits'!$A$3:$B$15000,2,FALSE),"")</f>
        <v/>
      </c>
      <c r="V12150">
        <f t="shared" si="758"/>
        <v>0</v>
      </c>
      <c r="W12150">
        <f t="shared" si="759"/>
        <v>0</v>
      </c>
    </row>
    <row r="12151" spans="5:23" x14ac:dyDescent="0.25">
      <c r="E12151" s="4"/>
      <c r="F12151" s="4"/>
      <c r="G12151" s="33" t="str">
        <f>IFERROR(VLOOKUP($D12151,'Informations sur les produits'!$A$3:$H$10000,8,FALSE),"0")</f>
        <v>0</v>
      </c>
      <c r="K12151" s="4"/>
      <c r="L12151" s="33" t="str">
        <f>IFERROR(VLOOKUP($J12151,'Informations sur les produits'!$A$3:$H$10000,8,FALSE),"0")</f>
        <v>0</v>
      </c>
      <c r="N12151" s="8"/>
      <c r="O12151" s="33" t="str">
        <f>IFERROR(VLOOKUP($M12151,'Informations sur les produits'!$A$3:$H$10000,8,FALSE),"0")</f>
        <v>0</v>
      </c>
      <c r="P12151" s="33">
        <f t="shared" si="756"/>
        <v>0</v>
      </c>
      <c r="Q12151" s="31" t="str">
        <f t="shared" si="757"/>
        <v/>
      </c>
      <c r="R12151" s="32" t="str">
        <f>IFERROR(VLOOKUP($D12151,'Informations sur les produits'!$A$3:$B$15000,2,FALSE),"")</f>
        <v/>
      </c>
      <c r="V12151">
        <f t="shared" si="758"/>
        <v>0</v>
      </c>
      <c r="W12151">
        <f t="shared" si="759"/>
        <v>0</v>
      </c>
    </row>
    <row r="12152" spans="5:23" x14ac:dyDescent="0.25">
      <c r="E12152" s="4"/>
      <c r="F12152" s="4"/>
      <c r="G12152" s="33" t="str">
        <f>IFERROR(VLOOKUP($D12152,'Informations sur les produits'!$A$3:$H$10000,8,FALSE),"0")</f>
        <v>0</v>
      </c>
      <c r="K12152" s="4"/>
      <c r="L12152" s="33" t="str">
        <f>IFERROR(VLOOKUP($J12152,'Informations sur les produits'!$A$3:$H$10000,8,FALSE),"0")</f>
        <v>0</v>
      </c>
      <c r="N12152" s="8"/>
      <c r="O12152" s="33" t="str">
        <f>IFERROR(VLOOKUP($M12152,'Informations sur les produits'!$A$3:$H$10000,8,FALSE),"0")</f>
        <v>0</v>
      </c>
      <c r="P12152" s="33">
        <f t="shared" si="756"/>
        <v>0</v>
      </c>
      <c r="Q12152" s="31" t="str">
        <f t="shared" si="757"/>
        <v/>
      </c>
      <c r="R12152" s="32" t="str">
        <f>IFERROR(VLOOKUP($D12152,'Informations sur les produits'!$A$3:$B$15000,2,FALSE),"")</f>
        <v/>
      </c>
      <c r="V12152">
        <f t="shared" si="758"/>
        <v>0</v>
      </c>
      <c r="W12152">
        <f t="shared" si="759"/>
        <v>0</v>
      </c>
    </row>
    <row r="12153" spans="5:23" x14ac:dyDescent="0.25">
      <c r="E12153" s="4"/>
      <c r="F12153" s="4"/>
      <c r="G12153" s="33" t="str">
        <f>IFERROR(VLOOKUP($D12153,'Informations sur les produits'!$A$3:$H$10000,8,FALSE),"0")</f>
        <v>0</v>
      </c>
      <c r="K12153" s="4"/>
      <c r="L12153" s="33" t="str">
        <f>IFERROR(VLOOKUP($J12153,'Informations sur les produits'!$A$3:$H$10000,8,FALSE),"0")</f>
        <v>0</v>
      </c>
      <c r="N12153" s="8"/>
      <c r="O12153" s="33" t="str">
        <f>IFERROR(VLOOKUP($M12153,'Informations sur les produits'!$A$3:$H$10000,8,FALSE),"0")</f>
        <v>0</v>
      </c>
      <c r="P12153" s="33">
        <f t="shared" si="756"/>
        <v>0</v>
      </c>
      <c r="Q12153" s="31" t="str">
        <f t="shared" si="757"/>
        <v/>
      </c>
      <c r="R12153" s="32" t="str">
        <f>IFERROR(VLOOKUP($D12153,'Informations sur les produits'!$A$3:$B$15000,2,FALSE),"")</f>
        <v/>
      </c>
      <c r="V12153">
        <f t="shared" si="758"/>
        <v>0</v>
      </c>
      <c r="W12153">
        <f t="shared" si="759"/>
        <v>0</v>
      </c>
    </row>
    <row r="12154" spans="5:23" x14ac:dyDescent="0.25">
      <c r="E12154" s="4"/>
      <c r="F12154" s="4"/>
      <c r="G12154" s="33" t="str">
        <f>IFERROR(VLOOKUP($D12154,'Informations sur les produits'!$A$3:$H$10000,8,FALSE),"0")</f>
        <v>0</v>
      </c>
      <c r="K12154" s="4"/>
      <c r="L12154" s="33" t="str">
        <f>IFERROR(VLOOKUP($J12154,'Informations sur les produits'!$A$3:$H$10000,8,FALSE),"0")</f>
        <v>0</v>
      </c>
      <c r="N12154" s="8"/>
      <c r="O12154" s="33" t="str">
        <f>IFERROR(VLOOKUP($M12154,'Informations sur les produits'!$A$3:$H$10000,8,FALSE),"0")</f>
        <v>0</v>
      </c>
      <c r="P12154" s="33">
        <f t="shared" si="756"/>
        <v>0</v>
      </c>
      <c r="Q12154" s="31" t="str">
        <f t="shared" si="757"/>
        <v/>
      </c>
      <c r="R12154" s="32" t="str">
        <f>IFERROR(VLOOKUP($D12154,'Informations sur les produits'!$A$3:$B$15000,2,FALSE),"")</f>
        <v/>
      </c>
      <c r="V12154">
        <f t="shared" si="758"/>
        <v>0</v>
      </c>
      <c r="W12154">
        <f t="shared" si="759"/>
        <v>0</v>
      </c>
    </row>
    <row r="12155" spans="5:23" x14ac:dyDescent="0.25">
      <c r="E12155" s="4"/>
      <c r="F12155" s="4"/>
      <c r="G12155" s="33" t="str">
        <f>IFERROR(VLOOKUP($D12155,'Informations sur les produits'!$A$3:$H$10000,8,FALSE),"0")</f>
        <v>0</v>
      </c>
      <c r="K12155" s="4"/>
      <c r="L12155" s="33" t="str">
        <f>IFERROR(VLOOKUP($J12155,'Informations sur les produits'!$A$3:$H$10000,8,FALSE),"0")</f>
        <v>0</v>
      </c>
      <c r="N12155" s="8"/>
      <c r="O12155" s="33" t="str">
        <f>IFERROR(VLOOKUP($M12155,'Informations sur les produits'!$A$3:$H$10000,8,FALSE),"0")</f>
        <v>0</v>
      </c>
      <c r="P12155" s="33">
        <f t="shared" si="756"/>
        <v>0</v>
      </c>
      <c r="Q12155" s="31" t="str">
        <f t="shared" si="757"/>
        <v/>
      </c>
      <c r="R12155" s="32" t="str">
        <f>IFERROR(VLOOKUP($D12155,'Informations sur les produits'!$A$3:$B$15000,2,FALSE),"")</f>
        <v/>
      </c>
      <c r="V12155">
        <f t="shared" si="758"/>
        <v>0</v>
      </c>
      <c r="W12155">
        <f t="shared" si="759"/>
        <v>0</v>
      </c>
    </row>
    <row r="12156" spans="5:23" x14ac:dyDescent="0.25">
      <c r="E12156" s="4"/>
      <c r="F12156" s="4"/>
      <c r="G12156" s="33" t="str">
        <f>IFERROR(VLOOKUP($D12156,'Informations sur les produits'!$A$3:$H$10000,8,FALSE),"0")</f>
        <v>0</v>
      </c>
      <c r="K12156" s="4"/>
      <c r="L12156" s="33" t="str">
        <f>IFERROR(VLOOKUP($J12156,'Informations sur les produits'!$A$3:$H$10000,8,FALSE),"0")</f>
        <v>0</v>
      </c>
      <c r="N12156" s="8"/>
      <c r="O12156" s="33" t="str">
        <f>IFERROR(VLOOKUP($M12156,'Informations sur les produits'!$A$3:$H$10000,8,FALSE),"0")</f>
        <v>0</v>
      </c>
      <c r="P12156" s="33">
        <f t="shared" si="756"/>
        <v>0</v>
      </c>
      <c r="Q12156" s="31" t="str">
        <f t="shared" si="757"/>
        <v/>
      </c>
      <c r="R12156" s="32" t="str">
        <f>IFERROR(VLOOKUP($D12156,'Informations sur les produits'!$A$3:$B$15000,2,FALSE),"")</f>
        <v/>
      </c>
      <c r="V12156">
        <f t="shared" si="758"/>
        <v>0</v>
      </c>
      <c r="W12156">
        <f t="shared" si="759"/>
        <v>0</v>
      </c>
    </row>
    <row r="12157" spans="5:23" x14ac:dyDescent="0.25">
      <c r="E12157" s="4"/>
      <c r="F12157" s="4"/>
      <c r="G12157" s="33" t="str">
        <f>IFERROR(VLOOKUP($D12157,'Informations sur les produits'!$A$3:$H$10000,8,FALSE),"0")</f>
        <v>0</v>
      </c>
      <c r="K12157" s="4"/>
      <c r="L12157" s="33" t="str">
        <f>IFERROR(VLOOKUP($J12157,'Informations sur les produits'!$A$3:$H$10000,8,FALSE),"0")</f>
        <v>0</v>
      </c>
      <c r="N12157" s="8"/>
      <c r="O12157" s="33" t="str">
        <f>IFERROR(VLOOKUP($M12157,'Informations sur les produits'!$A$3:$H$10000,8,FALSE),"0")</f>
        <v>0</v>
      </c>
      <c r="P12157" s="33">
        <f t="shared" si="756"/>
        <v>0</v>
      </c>
      <c r="Q12157" s="31" t="str">
        <f t="shared" si="757"/>
        <v/>
      </c>
      <c r="R12157" s="32" t="str">
        <f>IFERROR(VLOOKUP($D12157,'Informations sur les produits'!$A$3:$B$15000,2,FALSE),"")</f>
        <v/>
      </c>
      <c r="V12157">
        <f t="shared" si="758"/>
        <v>0</v>
      </c>
      <c r="W12157">
        <f t="shared" si="759"/>
        <v>0</v>
      </c>
    </row>
    <row r="12158" spans="5:23" x14ac:dyDescent="0.25">
      <c r="E12158" s="4"/>
      <c r="F12158" s="4"/>
      <c r="G12158" s="33" t="str">
        <f>IFERROR(VLOOKUP($D12158,'Informations sur les produits'!$A$3:$H$10000,8,FALSE),"0")</f>
        <v>0</v>
      </c>
      <c r="K12158" s="4"/>
      <c r="L12158" s="33" t="str">
        <f>IFERROR(VLOOKUP($J12158,'Informations sur les produits'!$A$3:$H$10000,8,FALSE),"0")</f>
        <v>0</v>
      </c>
      <c r="N12158" s="8"/>
      <c r="O12158" s="33" t="str">
        <f>IFERROR(VLOOKUP($M12158,'Informations sur les produits'!$A$3:$H$10000,8,FALSE),"0")</f>
        <v>0</v>
      </c>
      <c r="P12158" s="33">
        <f t="shared" si="756"/>
        <v>0</v>
      </c>
      <c r="Q12158" s="31" t="str">
        <f t="shared" si="757"/>
        <v/>
      </c>
      <c r="R12158" s="32" t="str">
        <f>IFERROR(VLOOKUP($D12158,'Informations sur les produits'!$A$3:$B$15000,2,FALSE),"")</f>
        <v/>
      </c>
      <c r="V12158">
        <f t="shared" si="758"/>
        <v>0</v>
      </c>
      <c r="W12158">
        <f t="shared" si="759"/>
        <v>0</v>
      </c>
    </row>
    <row r="12159" spans="5:23" x14ac:dyDescent="0.25">
      <c r="E12159" s="4"/>
      <c r="F12159" s="4"/>
      <c r="G12159" s="33" t="str">
        <f>IFERROR(VLOOKUP($D12159,'Informations sur les produits'!$A$3:$H$10000,8,FALSE),"0")</f>
        <v>0</v>
      </c>
      <c r="K12159" s="4"/>
      <c r="L12159" s="33" t="str">
        <f>IFERROR(VLOOKUP($J12159,'Informations sur les produits'!$A$3:$H$10000,8,FALSE),"0")</f>
        <v>0</v>
      </c>
      <c r="N12159" s="8"/>
      <c r="O12159" s="33" t="str">
        <f>IFERROR(VLOOKUP($M12159,'Informations sur les produits'!$A$3:$H$10000,8,FALSE),"0")</f>
        <v>0</v>
      </c>
      <c r="P12159" s="33">
        <f t="shared" si="756"/>
        <v>0</v>
      </c>
      <c r="Q12159" s="31" t="str">
        <f t="shared" si="757"/>
        <v/>
      </c>
      <c r="R12159" s="32" t="str">
        <f>IFERROR(VLOOKUP($D12159,'Informations sur les produits'!$A$3:$B$15000,2,FALSE),"")</f>
        <v/>
      </c>
      <c r="V12159">
        <f t="shared" si="758"/>
        <v>0</v>
      </c>
      <c r="W12159">
        <f t="shared" si="759"/>
        <v>0</v>
      </c>
    </row>
    <row r="12160" spans="5:23" x14ac:dyDescent="0.25">
      <c r="E12160" s="4"/>
      <c r="F12160" s="4"/>
      <c r="G12160" s="33" t="str">
        <f>IFERROR(VLOOKUP($D12160,'Informations sur les produits'!$A$3:$H$10000,8,FALSE),"0")</f>
        <v>0</v>
      </c>
      <c r="K12160" s="4"/>
      <c r="L12160" s="33" t="str">
        <f>IFERROR(VLOOKUP($J12160,'Informations sur les produits'!$A$3:$H$10000,8,FALSE),"0")</f>
        <v>0</v>
      </c>
      <c r="N12160" s="8"/>
      <c r="O12160" s="33" t="str">
        <f>IFERROR(VLOOKUP($M12160,'Informations sur les produits'!$A$3:$H$10000,8,FALSE),"0")</f>
        <v>0</v>
      </c>
      <c r="P12160" s="33">
        <f t="shared" si="756"/>
        <v>0</v>
      </c>
      <c r="Q12160" s="31" t="str">
        <f t="shared" si="757"/>
        <v/>
      </c>
      <c r="R12160" s="32" t="str">
        <f>IFERROR(VLOOKUP($D12160,'Informations sur les produits'!$A$3:$B$15000,2,FALSE),"")</f>
        <v/>
      </c>
      <c r="V12160">
        <f t="shared" si="758"/>
        <v>0</v>
      </c>
      <c r="W12160">
        <f t="shared" si="759"/>
        <v>0</v>
      </c>
    </row>
    <row r="12161" spans="5:23" x14ac:dyDescent="0.25">
      <c r="E12161" s="4"/>
      <c r="F12161" s="4"/>
      <c r="G12161" s="33" t="str">
        <f>IFERROR(VLOOKUP($D12161,'Informations sur les produits'!$A$3:$H$10000,8,FALSE),"0")</f>
        <v>0</v>
      </c>
      <c r="K12161" s="4"/>
      <c r="L12161" s="33" t="str">
        <f>IFERROR(VLOOKUP($J12161,'Informations sur les produits'!$A$3:$H$10000,8,FALSE),"0")</f>
        <v>0</v>
      </c>
      <c r="N12161" s="8"/>
      <c r="O12161" s="33" t="str">
        <f>IFERROR(VLOOKUP($M12161,'Informations sur les produits'!$A$3:$H$10000,8,FALSE),"0")</f>
        <v>0</v>
      </c>
      <c r="P12161" s="33">
        <f t="shared" si="756"/>
        <v>0</v>
      </c>
      <c r="Q12161" s="31" t="str">
        <f t="shared" si="757"/>
        <v/>
      </c>
      <c r="R12161" s="32" t="str">
        <f>IFERROR(VLOOKUP($D12161,'Informations sur les produits'!$A$3:$B$15000,2,FALSE),"")</f>
        <v/>
      </c>
      <c r="V12161">
        <f t="shared" si="758"/>
        <v>0</v>
      </c>
      <c r="W12161">
        <f t="shared" si="759"/>
        <v>0</v>
      </c>
    </row>
    <row r="12162" spans="5:23" x14ac:dyDescent="0.25">
      <c r="E12162" s="4"/>
      <c r="F12162" s="4"/>
      <c r="G12162" s="33" t="str">
        <f>IFERROR(VLOOKUP($D12162,'Informations sur les produits'!$A$3:$H$10000,8,FALSE),"0")</f>
        <v>0</v>
      </c>
      <c r="K12162" s="4"/>
      <c r="L12162" s="33" t="str">
        <f>IFERROR(VLOOKUP($J12162,'Informations sur les produits'!$A$3:$H$10000,8,FALSE),"0")</f>
        <v>0</v>
      </c>
      <c r="N12162" s="8"/>
      <c r="O12162" s="33" t="str">
        <f>IFERROR(VLOOKUP($M12162,'Informations sur les produits'!$A$3:$H$10000,8,FALSE),"0")</f>
        <v>0</v>
      </c>
      <c r="P12162" s="33">
        <f t="shared" si="756"/>
        <v>0</v>
      </c>
      <c r="Q12162" s="31" t="str">
        <f t="shared" si="757"/>
        <v/>
      </c>
      <c r="R12162" s="32" t="str">
        <f>IFERROR(VLOOKUP($D12162,'Informations sur les produits'!$A$3:$B$15000,2,FALSE),"")</f>
        <v/>
      </c>
      <c r="V12162">
        <f t="shared" si="758"/>
        <v>0</v>
      </c>
      <c r="W12162">
        <f t="shared" si="759"/>
        <v>0</v>
      </c>
    </row>
    <row r="12163" spans="5:23" x14ac:dyDescent="0.25">
      <c r="E12163" s="4"/>
      <c r="F12163" s="4"/>
      <c r="G12163" s="33" t="str">
        <f>IFERROR(VLOOKUP($D12163,'Informations sur les produits'!$A$3:$H$10000,8,FALSE),"0")</f>
        <v>0</v>
      </c>
      <c r="K12163" s="4"/>
      <c r="L12163" s="33" t="str">
        <f>IFERROR(VLOOKUP($J12163,'Informations sur les produits'!$A$3:$H$10000,8,FALSE),"0")</f>
        <v>0</v>
      </c>
      <c r="N12163" s="8"/>
      <c r="O12163" s="33" t="str">
        <f>IFERROR(VLOOKUP($M12163,'Informations sur les produits'!$A$3:$H$10000,8,FALSE),"0")</f>
        <v>0</v>
      </c>
      <c r="P12163" s="33">
        <f t="shared" si="756"/>
        <v>0</v>
      </c>
      <c r="Q12163" s="31" t="str">
        <f t="shared" si="757"/>
        <v/>
      </c>
      <c r="R12163" s="32" t="str">
        <f>IFERROR(VLOOKUP($D12163,'Informations sur les produits'!$A$3:$B$15000,2,FALSE),"")</f>
        <v/>
      </c>
      <c r="V12163">
        <f t="shared" si="758"/>
        <v>0</v>
      </c>
      <c r="W12163">
        <f t="shared" si="759"/>
        <v>0</v>
      </c>
    </row>
    <row r="12164" spans="5:23" x14ac:dyDescent="0.25">
      <c r="E12164" s="4"/>
      <c r="F12164" s="4"/>
      <c r="G12164" s="33" t="str">
        <f>IFERROR(VLOOKUP($D12164,'Informations sur les produits'!$A$3:$H$10000,8,FALSE),"0")</f>
        <v>0</v>
      </c>
      <c r="K12164" s="4"/>
      <c r="L12164" s="33" t="str">
        <f>IFERROR(VLOOKUP($J12164,'Informations sur les produits'!$A$3:$H$10000,8,FALSE),"0")</f>
        <v>0</v>
      </c>
      <c r="N12164" s="8"/>
      <c r="O12164" s="33" t="str">
        <f>IFERROR(VLOOKUP($M12164,'Informations sur les produits'!$A$3:$H$10000,8,FALSE),"0")</f>
        <v>0</v>
      </c>
      <c r="P12164" s="33">
        <f t="shared" ref="P12164:P12227" si="760">IFERROR((($E12164-$F12164)*$G12164+$K12164*$L12164+$N12164*$O12164),"")</f>
        <v>0</v>
      </c>
      <c r="Q12164" s="31" t="str">
        <f t="shared" ref="Q12164:Q12227" si="761">IFERROR((((($E12164-$F12164)*$G12164+$K12164*$L12164+$N12164*$O12164)*1000)/(($E12164-$F12164)+$K12164+$N12164)),"")</f>
        <v/>
      </c>
      <c r="R12164" s="32" t="str">
        <f>IFERROR(VLOOKUP($D12164,'Informations sur les produits'!$A$3:$B$15000,2,FALSE),"")</f>
        <v/>
      </c>
      <c r="V12164">
        <f t="shared" ref="V12164:V12227" si="762">IFERROR(P12164*1000,"")</f>
        <v>0</v>
      </c>
      <c r="W12164">
        <f t="shared" ref="W12164:W12227" si="763">IFERROR(($E12164-$F12164)+$K12164+$N12164,"")</f>
        <v>0</v>
      </c>
    </row>
    <row r="12165" spans="5:23" x14ac:dyDescent="0.25">
      <c r="E12165" s="4"/>
      <c r="F12165" s="4"/>
      <c r="G12165" s="33" t="str">
        <f>IFERROR(VLOOKUP($D12165,'Informations sur les produits'!$A$3:$H$10000,8,FALSE),"0")</f>
        <v>0</v>
      </c>
      <c r="K12165" s="4"/>
      <c r="L12165" s="33" t="str">
        <f>IFERROR(VLOOKUP($J12165,'Informations sur les produits'!$A$3:$H$10000,8,FALSE),"0")</f>
        <v>0</v>
      </c>
      <c r="N12165" s="8"/>
      <c r="O12165" s="33" t="str">
        <f>IFERROR(VLOOKUP($M12165,'Informations sur les produits'!$A$3:$H$10000,8,FALSE),"0")</f>
        <v>0</v>
      </c>
      <c r="P12165" s="33">
        <f t="shared" si="760"/>
        <v>0</v>
      </c>
      <c r="Q12165" s="31" t="str">
        <f t="shared" si="761"/>
        <v/>
      </c>
      <c r="R12165" s="32" t="str">
        <f>IFERROR(VLOOKUP($D12165,'Informations sur les produits'!$A$3:$B$15000,2,FALSE),"")</f>
        <v/>
      </c>
      <c r="V12165">
        <f t="shared" si="762"/>
        <v>0</v>
      </c>
      <c r="W12165">
        <f t="shared" si="763"/>
        <v>0</v>
      </c>
    </row>
    <row r="12166" spans="5:23" x14ac:dyDescent="0.25">
      <c r="E12166" s="4"/>
      <c r="F12166" s="4"/>
      <c r="G12166" s="33" t="str">
        <f>IFERROR(VLOOKUP($D12166,'Informations sur les produits'!$A$3:$H$10000,8,FALSE),"0")</f>
        <v>0</v>
      </c>
      <c r="K12166" s="4"/>
      <c r="L12166" s="33" t="str">
        <f>IFERROR(VLOOKUP($J12166,'Informations sur les produits'!$A$3:$H$10000,8,FALSE),"0")</f>
        <v>0</v>
      </c>
      <c r="N12166" s="8"/>
      <c r="O12166" s="33" t="str">
        <f>IFERROR(VLOOKUP($M12166,'Informations sur les produits'!$A$3:$H$10000,8,FALSE),"0")</f>
        <v>0</v>
      </c>
      <c r="P12166" s="33">
        <f t="shared" si="760"/>
        <v>0</v>
      </c>
      <c r="Q12166" s="31" t="str">
        <f t="shared" si="761"/>
        <v/>
      </c>
      <c r="R12166" s="32" t="str">
        <f>IFERROR(VLOOKUP($D12166,'Informations sur les produits'!$A$3:$B$15000,2,FALSE),"")</f>
        <v/>
      </c>
      <c r="V12166">
        <f t="shared" si="762"/>
        <v>0</v>
      </c>
      <c r="W12166">
        <f t="shared" si="763"/>
        <v>0</v>
      </c>
    </row>
    <row r="12167" spans="5:23" x14ac:dyDescent="0.25">
      <c r="E12167" s="4"/>
      <c r="F12167" s="4"/>
      <c r="G12167" s="33" t="str">
        <f>IFERROR(VLOOKUP($D12167,'Informations sur les produits'!$A$3:$H$10000,8,FALSE),"0")</f>
        <v>0</v>
      </c>
      <c r="K12167" s="4"/>
      <c r="L12167" s="33" t="str">
        <f>IFERROR(VLOOKUP($J12167,'Informations sur les produits'!$A$3:$H$10000,8,FALSE),"0")</f>
        <v>0</v>
      </c>
      <c r="N12167" s="8"/>
      <c r="O12167" s="33" t="str">
        <f>IFERROR(VLOOKUP($M12167,'Informations sur les produits'!$A$3:$H$10000,8,FALSE),"0")</f>
        <v>0</v>
      </c>
      <c r="P12167" s="33">
        <f t="shared" si="760"/>
        <v>0</v>
      </c>
      <c r="Q12167" s="31" t="str">
        <f t="shared" si="761"/>
        <v/>
      </c>
      <c r="R12167" s="32" t="str">
        <f>IFERROR(VLOOKUP($D12167,'Informations sur les produits'!$A$3:$B$15000,2,FALSE),"")</f>
        <v/>
      </c>
      <c r="V12167">
        <f t="shared" si="762"/>
        <v>0</v>
      </c>
      <c r="W12167">
        <f t="shared" si="763"/>
        <v>0</v>
      </c>
    </row>
    <row r="12168" spans="5:23" x14ac:dyDescent="0.25">
      <c r="E12168" s="4"/>
      <c r="F12168" s="4"/>
      <c r="G12168" s="33" t="str">
        <f>IFERROR(VLOOKUP($D12168,'Informations sur les produits'!$A$3:$H$10000,8,FALSE),"0")</f>
        <v>0</v>
      </c>
      <c r="K12168" s="4"/>
      <c r="L12168" s="33" t="str">
        <f>IFERROR(VLOOKUP($J12168,'Informations sur les produits'!$A$3:$H$10000,8,FALSE),"0")</f>
        <v>0</v>
      </c>
      <c r="N12168" s="8"/>
      <c r="O12168" s="33" t="str">
        <f>IFERROR(VLOOKUP($M12168,'Informations sur les produits'!$A$3:$H$10000,8,FALSE),"0")</f>
        <v>0</v>
      </c>
      <c r="P12168" s="33">
        <f t="shared" si="760"/>
        <v>0</v>
      </c>
      <c r="Q12168" s="31" t="str">
        <f t="shared" si="761"/>
        <v/>
      </c>
      <c r="R12168" s="32" t="str">
        <f>IFERROR(VLOOKUP($D12168,'Informations sur les produits'!$A$3:$B$15000,2,FALSE),"")</f>
        <v/>
      </c>
      <c r="V12168">
        <f t="shared" si="762"/>
        <v>0</v>
      </c>
      <c r="W12168">
        <f t="shared" si="763"/>
        <v>0</v>
      </c>
    </row>
    <row r="12169" spans="5:23" x14ac:dyDescent="0.25">
      <c r="E12169" s="4"/>
      <c r="F12169" s="4"/>
      <c r="G12169" s="33" t="str">
        <f>IFERROR(VLOOKUP($D12169,'Informations sur les produits'!$A$3:$H$10000,8,FALSE),"0")</f>
        <v>0</v>
      </c>
      <c r="K12169" s="4"/>
      <c r="L12169" s="33" t="str">
        <f>IFERROR(VLOOKUP($J12169,'Informations sur les produits'!$A$3:$H$10000,8,FALSE),"0")</f>
        <v>0</v>
      </c>
      <c r="N12169" s="8"/>
      <c r="O12169" s="33" t="str">
        <f>IFERROR(VLOOKUP($M12169,'Informations sur les produits'!$A$3:$H$10000,8,FALSE),"0")</f>
        <v>0</v>
      </c>
      <c r="P12169" s="33">
        <f t="shared" si="760"/>
        <v>0</v>
      </c>
      <c r="Q12169" s="31" t="str">
        <f t="shared" si="761"/>
        <v/>
      </c>
      <c r="R12169" s="32" t="str">
        <f>IFERROR(VLOOKUP($D12169,'Informations sur les produits'!$A$3:$B$15000,2,FALSE),"")</f>
        <v/>
      </c>
      <c r="V12169">
        <f t="shared" si="762"/>
        <v>0</v>
      </c>
      <c r="W12169">
        <f t="shared" si="763"/>
        <v>0</v>
      </c>
    </row>
    <row r="12170" spans="5:23" x14ac:dyDescent="0.25">
      <c r="E12170" s="4"/>
      <c r="F12170" s="4"/>
      <c r="G12170" s="33" t="str">
        <f>IFERROR(VLOOKUP($D12170,'Informations sur les produits'!$A$3:$H$10000,8,FALSE),"0")</f>
        <v>0</v>
      </c>
      <c r="K12170" s="4"/>
      <c r="L12170" s="33" t="str">
        <f>IFERROR(VLOOKUP($J12170,'Informations sur les produits'!$A$3:$H$10000,8,FALSE),"0")</f>
        <v>0</v>
      </c>
      <c r="N12170" s="8"/>
      <c r="O12170" s="33" t="str">
        <f>IFERROR(VLOOKUP($M12170,'Informations sur les produits'!$A$3:$H$10000,8,FALSE),"0")</f>
        <v>0</v>
      </c>
      <c r="P12170" s="33">
        <f t="shared" si="760"/>
        <v>0</v>
      </c>
      <c r="Q12170" s="31" t="str">
        <f t="shared" si="761"/>
        <v/>
      </c>
      <c r="R12170" s="32" t="str">
        <f>IFERROR(VLOOKUP($D12170,'Informations sur les produits'!$A$3:$B$15000,2,FALSE),"")</f>
        <v/>
      </c>
      <c r="V12170">
        <f t="shared" si="762"/>
        <v>0</v>
      </c>
      <c r="W12170">
        <f t="shared" si="763"/>
        <v>0</v>
      </c>
    </row>
    <row r="12171" spans="5:23" x14ac:dyDescent="0.25">
      <c r="E12171" s="4"/>
      <c r="F12171" s="4"/>
      <c r="G12171" s="33" t="str">
        <f>IFERROR(VLOOKUP($D12171,'Informations sur les produits'!$A$3:$H$10000,8,FALSE),"0")</f>
        <v>0</v>
      </c>
      <c r="K12171" s="4"/>
      <c r="L12171" s="33" t="str">
        <f>IFERROR(VLOOKUP($J12171,'Informations sur les produits'!$A$3:$H$10000,8,FALSE),"0")</f>
        <v>0</v>
      </c>
      <c r="N12171" s="8"/>
      <c r="O12171" s="33" t="str">
        <f>IFERROR(VLOOKUP($M12171,'Informations sur les produits'!$A$3:$H$10000,8,FALSE),"0")</f>
        <v>0</v>
      </c>
      <c r="P12171" s="33">
        <f t="shared" si="760"/>
        <v>0</v>
      </c>
      <c r="Q12171" s="31" t="str">
        <f t="shared" si="761"/>
        <v/>
      </c>
      <c r="R12171" s="32" t="str">
        <f>IFERROR(VLOOKUP($D12171,'Informations sur les produits'!$A$3:$B$15000,2,FALSE),"")</f>
        <v/>
      </c>
      <c r="V12171">
        <f t="shared" si="762"/>
        <v>0</v>
      </c>
      <c r="W12171">
        <f t="shared" si="763"/>
        <v>0</v>
      </c>
    </row>
    <row r="12172" spans="5:23" x14ac:dyDescent="0.25">
      <c r="E12172" s="4"/>
      <c r="F12172" s="4"/>
      <c r="G12172" s="33" t="str">
        <f>IFERROR(VLOOKUP($D12172,'Informations sur les produits'!$A$3:$H$10000,8,FALSE),"0")</f>
        <v>0</v>
      </c>
      <c r="K12172" s="4"/>
      <c r="L12172" s="33" t="str">
        <f>IFERROR(VLOOKUP($J12172,'Informations sur les produits'!$A$3:$H$10000,8,FALSE),"0")</f>
        <v>0</v>
      </c>
      <c r="N12172" s="8"/>
      <c r="O12172" s="33" t="str">
        <f>IFERROR(VLOOKUP($M12172,'Informations sur les produits'!$A$3:$H$10000,8,FALSE),"0")</f>
        <v>0</v>
      </c>
      <c r="P12172" s="33">
        <f t="shared" si="760"/>
        <v>0</v>
      </c>
      <c r="Q12172" s="31" t="str">
        <f t="shared" si="761"/>
        <v/>
      </c>
      <c r="R12172" s="32" t="str">
        <f>IFERROR(VLOOKUP($D12172,'Informations sur les produits'!$A$3:$B$15000,2,FALSE),"")</f>
        <v/>
      </c>
      <c r="V12172">
        <f t="shared" si="762"/>
        <v>0</v>
      </c>
      <c r="W12172">
        <f t="shared" si="763"/>
        <v>0</v>
      </c>
    </row>
    <row r="12173" spans="5:23" x14ac:dyDescent="0.25">
      <c r="E12173" s="4"/>
      <c r="F12173" s="4"/>
      <c r="G12173" s="33" t="str">
        <f>IFERROR(VLOOKUP($D12173,'Informations sur les produits'!$A$3:$H$10000,8,FALSE),"0")</f>
        <v>0</v>
      </c>
      <c r="K12173" s="4"/>
      <c r="L12173" s="33" t="str">
        <f>IFERROR(VLOOKUP($J12173,'Informations sur les produits'!$A$3:$H$10000,8,FALSE),"0")</f>
        <v>0</v>
      </c>
      <c r="N12173" s="8"/>
      <c r="O12173" s="33" t="str">
        <f>IFERROR(VLOOKUP($M12173,'Informations sur les produits'!$A$3:$H$10000,8,FALSE),"0")</f>
        <v>0</v>
      </c>
      <c r="P12173" s="33">
        <f t="shared" si="760"/>
        <v>0</v>
      </c>
      <c r="Q12173" s="31" t="str">
        <f t="shared" si="761"/>
        <v/>
      </c>
      <c r="R12173" s="32" t="str">
        <f>IFERROR(VLOOKUP($D12173,'Informations sur les produits'!$A$3:$B$15000,2,FALSE),"")</f>
        <v/>
      </c>
      <c r="V12173">
        <f t="shared" si="762"/>
        <v>0</v>
      </c>
      <c r="W12173">
        <f t="shared" si="763"/>
        <v>0</v>
      </c>
    </row>
    <row r="12174" spans="5:23" x14ac:dyDescent="0.25">
      <c r="E12174" s="4"/>
      <c r="F12174" s="4"/>
      <c r="G12174" s="33" t="str">
        <f>IFERROR(VLOOKUP($D12174,'Informations sur les produits'!$A$3:$H$10000,8,FALSE),"0")</f>
        <v>0</v>
      </c>
      <c r="K12174" s="4"/>
      <c r="L12174" s="33" t="str">
        <f>IFERROR(VLOOKUP($J12174,'Informations sur les produits'!$A$3:$H$10000,8,FALSE),"0")</f>
        <v>0</v>
      </c>
      <c r="N12174" s="8"/>
      <c r="O12174" s="33" t="str">
        <f>IFERROR(VLOOKUP($M12174,'Informations sur les produits'!$A$3:$H$10000,8,FALSE),"0")</f>
        <v>0</v>
      </c>
      <c r="P12174" s="33">
        <f t="shared" si="760"/>
        <v>0</v>
      </c>
      <c r="Q12174" s="31" t="str">
        <f t="shared" si="761"/>
        <v/>
      </c>
      <c r="R12174" s="32" t="str">
        <f>IFERROR(VLOOKUP($D12174,'Informations sur les produits'!$A$3:$B$15000,2,FALSE),"")</f>
        <v/>
      </c>
      <c r="V12174">
        <f t="shared" si="762"/>
        <v>0</v>
      </c>
      <c r="W12174">
        <f t="shared" si="763"/>
        <v>0</v>
      </c>
    </row>
    <row r="12175" spans="5:23" x14ac:dyDescent="0.25">
      <c r="E12175" s="4"/>
      <c r="F12175" s="4"/>
      <c r="G12175" s="33" t="str">
        <f>IFERROR(VLOOKUP($D12175,'Informations sur les produits'!$A$3:$H$10000,8,FALSE),"0")</f>
        <v>0</v>
      </c>
      <c r="K12175" s="4"/>
      <c r="L12175" s="33" t="str">
        <f>IFERROR(VLOOKUP($J12175,'Informations sur les produits'!$A$3:$H$10000,8,FALSE),"0")</f>
        <v>0</v>
      </c>
      <c r="N12175" s="8"/>
      <c r="O12175" s="33" t="str">
        <f>IFERROR(VLOOKUP($M12175,'Informations sur les produits'!$A$3:$H$10000,8,FALSE),"0")</f>
        <v>0</v>
      </c>
      <c r="P12175" s="33">
        <f t="shared" si="760"/>
        <v>0</v>
      </c>
      <c r="Q12175" s="31" t="str">
        <f t="shared" si="761"/>
        <v/>
      </c>
      <c r="R12175" s="32" t="str">
        <f>IFERROR(VLOOKUP($D12175,'Informations sur les produits'!$A$3:$B$15000,2,FALSE),"")</f>
        <v/>
      </c>
      <c r="V12175">
        <f t="shared" si="762"/>
        <v>0</v>
      </c>
      <c r="W12175">
        <f t="shared" si="763"/>
        <v>0</v>
      </c>
    </row>
    <row r="12176" spans="5:23" x14ac:dyDescent="0.25">
      <c r="E12176" s="4"/>
      <c r="F12176" s="4"/>
      <c r="G12176" s="33" t="str">
        <f>IFERROR(VLOOKUP($D12176,'Informations sur les produits'!$A$3:$H$10000,8,FALSE),"0")</f>
        <v>0</v>
      </c>
      <c r="K12176" s="4"/>
      <c r="L12176" s="33" t="str">
        <f>IFERROR(VLOOKUP($J12176,'Informations sur les produits'!$A$3:$H$10000,8,FALSE),"0")</f>
        <v>0</v>
      </c>
      <c r="N12176" s="8"/>
      <c r="O12176" s="33" t="str">
        <f>IFERROR(VLOOKUP($M12176,'Informations sur les produits'!$A$3:$H$10000,8,FALSE),"0")</f>
        <v>0</v>
      </c>
      <c r="P12176" s="33">
        <f t="shared" si="760"/>
        <v>0</v>
      </c>
      <c r="Q12176" s="31" t="str">
        <f t="shared" si="761"/>
        <v/>
      </c>
      <c r="R12176" s="32" t="str">
        <f>IFERROR(VLOOKUP($D12176,'Informations sur les produits'!$A$3:$B$15000,2,FALSE),"")</f>
        <v/>
      </c>
      <c r="V12176">
        <f t="shared" si="762"/>
        <v>0</v>
      </c>
      <c r="W12176">
        <f t="shared" si="763"/>
        <v>0</v>
      </c>
    </row>
    <row r="12177" spans="5:23" x14ac:dyDescent="0.25">
      <c r="E12177" s="4"/>
      <c r="F12177" s="4"/>
      <c r="G12177" s="33" t="str">
        <f>IFERROR(VLOOKUP($D12177,'Informations sur les produits'!$A$3:$H$10000,8,FALSE),"0")</f>
        <v>0</v>
      </c>
      <c r="K12177" s="4"/>
      <c r="L12177" s="33" t="str">
        <f>IFERROR(VLOOKUP($J12177,'Informations sur les produits'!$A$3:$H$10000,8,FALSE),"0")</f>
        <v>0</v>
      </c>
      <c r="N12177" s="8"/>
      <c r="O12177" s="33" t="str">
        <f>IFERROR(VLOOKUP($M12177,'Informations sur les produits'!$A$3:$H$10000,8,FALSE),"0")</f>
        <v>0</v>
      </c>
      <c r="P12177" s="33">
        <f t="shared" si="760"/>
        <v>0</v>
      </c>
      <c r="Q12177" s="31" t="str">
        <f t="shared" si="761"/>
        <v/>
      </c>
      <c r="R12177" s="32" t="str">
        <f>IFERROR(VLOOKUP($D12177,'Informations sur les produits'!$A$3:$B$15000,2,FALSE),"")</f>
        <v/>
      </c>
      <c r="V12177">
        <f t="shared" si="762"/>
        <v>0</v>
      </c>
      <c r="W12177">
        <f t="shared" si="763"/>
        <v>0</v>
      </c>
    </row>
    <row r="12178" spans="5:23" x14ac:dyDescent="0.25">
      <c r="E12178" s="4"/>
      <c r="F12178" s="4"/>
      <c r="G12178" s="33" t="str">
        <f>IFERROR(VLOOKUP($D12178,'Informations sur les produits'!$A$3:$H$10000,8,FALSE),"0")</f>
        <v>0</v>
      </c>
      <c r="K12178" s="4"/>
      <c r="L12178" s="33" t="str">
        <f>IFERROR(VLOOKUP($J12178,'Informations sur les produits'!$A$3:$H$10000,8,FALSE),"0")</f>
        <v>0</v>
      </c>
      <c r="N12178" s="8"/>
      <c r="O12178" s="33" t="str">
        <f>IFERROR(VLOOKUP($M12178,'Informations sur les produits'!$A$3:$H$10000,8,FALSE),"0")</f>
        <v>0</v>
      </c>
      <c r="P12178" s="33">
        <f t="shared" si="760"/>
        <v>0</v>
      </c>
      <c r="Q12178" s="31" t="str">
        <f t="shared" si="761"/>
        <v/>
      </c>
      <c r="R12178" s="32" t="str">
        <f>IFERROR(VLOOKUP($D12178,'Informations sur les produits'!$A$3:$B$15000,2,FALSE),"")</f>
        <v/>
      </c>
      <c r="V12178">
        <f t="shared" si="762"/>
        <v>0</v>
      </c>
      <c r="W12178">
        <f t="shared" si="763"/>
        <v>0</v>
      </c>
    </row>
    <row r="12179" spans="5:23" x14ac:dyDescent="0.25">
      <c r="E12179" s="4"/>
      <c r="F12179" s="4"/>
      <c r="G12179" s="33" t="str">
        <f>IFERROR(VLOOKUP($D12179,'Informations sur les produits'!$A$3:$H$10000,8,FALSE),"0")</f>
        <v>0</v>
      </c>
      <c r="K12179" s="4"/>
      <c r="L12179" s="33" t="str">
        <f>IFERROR(VLOOKUP($J12179,'Informations sur les produits'!$A$3:$H$10000,8,FALSE),"0")</f>
        <v>0</v>
      </c>
      <c r="N12179" s="8"/>
      <c r="O12179" s="33" t="str">
        <f>IFERROR(VLOOKUP($M12179,'Informations sur les produits'!$A$3:$H$10000,8,FALSE),"0")</f>
        <v>0</v>
      </c>
      <c r="P12179" s="33">
        <f t="shared" si="760"/>
        <v>0</v>
      </c>
      <c r="Q12179" s="31" t="str">
        <f t="shared" si="761"/>
        <v/>
      </c>
      <c r="R12179" s="32" t="str">
        <f>IFERROR(VLOOKUP($D12179,'Informations sur les produits'!$A$3:$B$15000,2,FALSE),"")</f>
        <v/>
      </c>
      <c r="V12179">
        <f t="shared" si="762"/>
        <v>0</v>
      </c>
      <c r="W12179">
        <f t="shared" si="763"/>
        <v>0</v>
      </c>
    </row>
    <row r="12180" spans="5:23" x14ac:dyDescent="0.25">
      <c r="E12180" s="4"/>
      <c r="F12180" s="4"/>
      <c r="G12180" s="33" t="str">
        <f>IFERROR(VLOOKUP($D12180,'Informations sur les produits'!$A$3:$H$10000,8,FALSE),"0")</f>
        <v>0</v>
      </c>
      <c r="K12180" s="4"/>
      <c r="L12180" s="33" t="str">
        <f>IFERROR(VLOOKUP($J12180,'Informations sur les produits'!$A$3:$H$10000,8,FALSE),"0")</f>
        <v>0</v>
      </c>
      <c r="N12180" s="8"/>
      <c r="O12180" s="33" t="str">
        <f>IFERROR(VLOOKUP($M12180,'Informations sur les produits'!$A$3:$H$10000,8,FALSE),"0")</f>
        <v>0</v>
      </c>
      <c r="P12180" s="33">
        <f t="shared" si="760"/>
        <v>0</v>
      </c>
      <c r="Q12180" s="31" t="str">
        <f t="shared" si="761"/>
        <v/>
      </c>
      <c r="R12180" s="32" t="str">
        <f>IFERROR(VLOOKUP($D12180,'Informations sur les produits'!$A$3:$B$15000,2,FALSE),"")</f>
        <v/>
      </c>
      <c r="V12180">
        <f t="shared" si="762"/>
        <v>0</v>
      </c>
      <c r="W12180">
        <f t="shared" si="763"/>
        <v>0</v>
      </c>
    </row>
    <row r="12181" spans="5:23" x14ac:dyDescent="0.25">
      <c r="E12181" s="4"/>
      <c r="F12181" s="4"/>
      <c r="G12181" s="33" t="str">
        <f>IFERROR(VLOOKUP($D12181,'Informations sur les produits'!$A$3:$H$10000,8,FALSE),"0")</f>
        <v>0</v>
      </c>
      <c r="K12181" s="4"/>
      <c r="L12181" s="33" t="str">
        <f>IFERROR(VLOOKUP($J12181,'Informations sur les produits'!$A$3:$H$10000,8,FALSE),"0")</f>
        <v>0</v>
      </c>
      <c r="N12181" s="8"/>
      <c r="O12181" s="33" t="str">
        <f>IFERROR(VLOOKUP($M12181,'Informations sur les produits'!$A$3:$H$10000,8,FALSE),"0")</f>
        <v>0</v>
      </c>
      <c r="P12181" s="33">
        <f t="shared" si="760"/>
        <v>0</v>
      </c>
      <c r="Q12181" s="31" t="str">
        <f t="shared" si="761"/>
        <v/>
      </c>
      <c r="R12181" s="32" t="str">
        <f>IFERROR(VLOOKUP($D12181,'Informations sur les produits'!$A$3:$B$15000,2,FALSE),"")</f>
        <v/>
      </c>
      <c r="V12181">
        <f t="shared" si="762"/>
        <v>0</v>
      </c>
      <c r="W12181">
        <f t="shared" si="763"/>
        <v>0</v>
      </c>
    </row>
    <row r="12182" spans="5:23" x14ac:dyDescent="0.25">
      <c r="E12182" s="4"/>
      <c r="F12182" s="4"/>
      <c r="G12182" s="33" t="str">
        <f>IFERROR(VLOOKUP($D12182,'Informations sur les produits'!$A$3:$H$10000,8,FALSE),"0")</f>
        <v>0</v>
      </c>
      <c r="K12182" s="4"/>
      <c r="L12182" s="33" t="str">
        <f>IFERROR(VLOOKUP($J12182,'Informations sur les produits'!$A$3:$H$10000,8,FALSE),"0")</f>
        <v>0</v>
      </c>
      <c r="N12182" s="8"/>
      <c r="O12182" s="33" t="str">
        <f>IFERROR(VLOOKUP($M12182,'Informations sur les produits'!$A$3:$H$10000,8,FALSE),"0")</f>
        <v>0</v>
      </c>
      <c r="P12182" s="33">
        <f t="shared" si="760"/>
        <v>0</v>
      </c>
      <c r="Q12182" s="31" t="str">
        <f t="shared" si="761"/>
        <v/>
      </c>
      <c r="R12182" s="32" t="str">
        <f>IFERROR(VLOOKUP($D12182,'Informations sur les produits'!$A$3:$B$15000,2,FALSE),"")</f>
        <v/>
      </c>
      <c r="V12182">
        <f t="shared" si="762"/>
        <v>0</v>
      </c>
      <c r="W12182">
        <f t="shared" si="763"/>
        <v>0</v>
      </c>
    </row>
    <row r="12183" spans="5:23" x14ac:dyDescent="0.25">
      <c r="E12183" s="4"/>
      <c r="F12183" s="4"/>
      <c r="G12183" s="33" t="str">
        <f>IFERROR(VLOOKUP($D12183,'Informations sur les produits'!$A$3:$H$10000,8,FALSE),"0")</f>
        <v>0</v>
      </c>
      <c r="K12183" s="4"/>
      <c r="L12183" s="33" t="str">
        <f>IFERROR(VLOOKUP($J12183,'Informations sur les produits'!$A$3:$H$10000,8,FALSE),"0")</f>
        <v>0</v>
      </c>
      <c r="N12183" s="8"/>
      <c r="O12183" s="33" t="str">
        <f>IFERROR(VLOOKUP($M12183,'Informations sur les produits'!$A$3:$H$10000,8,FALSE),"0")</f>
        <v>0</v>
      </c>
      <c r="P12183" s="33">
        <f t="shared" si="760"/>
        <v>0</v>
      </c>
      <c r="Q12183" s="31" t="str">
        <f t="shared" si="761"/>
        <v/>
      </c>
      <c r="R12183" s="32" t="str">
        <f>IFERROR(VLOOKUP($D12183,'Informations sur les produits'!$A$3:$B$15000,2,FALSE),"")</f>
        <v/>
      </c>
      <c r="V12183">
        <f t="shared" si="762"/>
        <v>0</v>
      </c>
      <c r="W12183">
        <f t="shared" si="763"/>
        <v>0</v>
      </c>
    </row>
    <row r="12184" spans="5:23" x14ac:dyDescent="0.25">
      <c r="E12184" s="4"/>
      <c r="F12184" s="4"/>
      <c r="G12184" s="33" t="str">
        <f>IFERROR(VLOOKUP($D12184,'Informations sur les produits'!$A$3:$H$10000,8,FALSE),"0")</f>
        <v>0</v>
      </c>
      <c r="K12184" s="4"/>
      <c r="L12184" s="33" t="str">
        <f>IFERROR(VLOOKUP($J12184,'Informations sur les produits'!$A$3:$H$10000,8,FALSE),"0")</f>
        <v>0</v>
      </c>
      <c r="N12184" s="8"/>
      <c r="O12184" s="33" t="str">
        <f>IFERROR(VLOOKUP($M12184,'Informations sur les produits'!$A$3:$H$10000,8,FALSE),"0")</f>
        <v>0</v>
      </c>
      <c r="P12184" s="33">
        <f t="shared" si="760"/>
        <v>0</v>
      </c>
      <c r="Q12184" s="31" t="str">
        <f t="shared" si="761"/>
        <v/>
      </c>
      <c r="R12184" s="32" t="str">
        <f>IFERROR(VLOOKUP($D12184,'Informations sur les produits'!$A$3:$B$15000,2,FALSE),"")</f>
        <v/>
      </c>
      <c r="V12184">
        <f t="shared" si="762"/>
        <v>0</v>
      </c>
      <c r="W12184">
        <f t="shared" si="763"/>
        <v>0</v>
      </c>
    </row>
    <row r="12185" spans="5:23" x14ac:dyDescent="0.25">
      <c r="E12185" s="4"/>
      <c r="F12185" s="4"/>
      <c r="G12185" s="33" t="str">
        <f>IFERROR(VLOOKUP($D12185,'Informations sur les produits'!$A$3:$H$10000,8,FALSE),"0")</f>
        <v>0</v>
      </c>
      <c r="K12185" s="4"/>
      <c r="L12185" s="33" t="str">
        <f>IFERROR(VLOOKUP($J12185,'Informations sur les produits'!$A$3:$H$10000,8,FALSE),"0")</f>
        <v>0</v>
      </c>
      <c r="N12185" s="8"/>
      <c r="O12185" s="33" t="str">
        <f>IFERROR(VLOOKUP($M12185,'Informations sur les produits'!$A$3:$H$10000,8,FALSE),"0")</f>
        <v>0</v>
      </c>
      <c r="P12185" s="33">
        <f t="shared" si="760"/>
        <v>0</v>
      </c>
      <c r="Q12185" s="31" t="str">
        <f t="shared" si="761"/>
        <v/>
      </c>
      <c r="R12185" s="32" t="str">
        <f>IFERROR(VLOOKUP($D12185,'Informations sur les produits'!$A$3:$B$15000,2,FALSE),"")</f>
        <v/>
      </c>
      <c r="V12185">
        <f t="shared" si="762"/>
        <v>0</v>
      </c>
      <c r="W12185">
        <f t="shared" si="763"/>
        <v>0</v>
      </c>
    </row>
    <row r="12186" spans="5:23" x14ac:dyDescent="0.25">
      <c r="E12186" s="4"/>
      <c r="F12186" s="4"/>
      <c r="G12186" s="33" t="str">
        <f>IFERROR(VLOOKUP($D12186,'Informations sur les produits'!$A$3:$H$10000,8,FALSE),"0")</f>
        <v>0</v>
      </c>
      <c r="K12186" s="4"/>
      <c r="L12186" s="33" t="str">
        <f>IFERROR(VLOOKUP($J12186,'Informations sur les produits'!$A$3:$H$10000,8,FALSE),"0")</f>
        <v>0</v>
      </c>
      <c r="N12186" s="8"/>
      <c r="O12186" s="33" t="str">
        <f>IFERROR(VLOOKUP($M12186,'Informations sur les produits'!$A$3:$H$10000,8,FALSE),"0")</f>
        <v>0</v>
      </c>
      <c r="P12186" s="33">
        <f t="shared" si="760"/>
        <v>0</v>
      </c>
      <c r="Q12186" s="31" t="str">
        <f t="shared" si="761"/>
        <v/>
      </c>
      <c r="R12186" s="32" t="str">
        <f>IFERROR(VLOOKUP($D12186,'Informations sur les produits'!$A$3:$B$15000,2,FALSE),"")</f>
        <v/>
      </c>
      <c r="V12186">
        <f t="shared" si="762"/>
        <v>0</v>
      </c>
      <c r="W12186">
        <f t="shared" si="763"/>
        <v>0</v>
      </c>
    </row>
    <row r="12187" spans="5:23" x14ac:dyDescent="0.25">
      <c r="E12187" s="4"/>
      <c r="F12187" s="4"/>
      <c r="G12187" s="33" t="str">
        <f>IFERROR(VLOOKUP($D12187,'Informations sur les produits'!$A$3:$H$10000,8,FALSE),"0")</f>
        <v>0</v>
      </c>
      <c r="K12187" s="4"/>
      <c r="L12187" s="33" t="str">
        <f>IFERROR(VLOOKUP($J12187,'Informations sur les produits'!$A$3:$H$10000,8,FALSE),"0")</f>
        <v>0</v>
      </c>
      <c r="N12187" s="8"/>
      <c r="O12187" s="33" t="str">
        <f>IFERROR(VLOOKUP($M12187,'Informations sur les produits'!$A$3:$H$10000,8,FALSE),"0")</f>
        <v>0</v>
      </c>
      <c r="P12187" s="33">
        <f t="shared" si="760"/>
        <v>0</v>
      </c>
      <c r="Q12187" s="31" t="str">
        <f t="shared" si="761"/>
        <v/>
      </c>
      <c r="R12187" s="32" t="str">
        <f>IFERROR(VLOOKUP($D12187,'Informations sur les produits'!$A$3:$B$15000,2,FALSE),"")</f>
        <v/>
      </c>
      <c r="V12187">
        <f t="shared" si="762"/>
        <v>0</v>
      </c>
      <c r="W12187">
        <f t="shared" si="763"/>
        <v>0</v>
      </c>
    </row>
    <row r="12188" spans="5:23" x14ac:dyDescent="0.25">
      <c r="E12188" s="4"/>
      <c r="F12188" s="4"/>
      <c r="G12188" s="33" t="str">
        <f>IFERROR(VLOOKUP($D12188,'Informations sur les produits'!$A$3:$H$10000,8,FALSE),"0")</f>
        <v>0</v>
      </c>
      <c r="K12188" s="4"/>
      <c r="L12188" s="33" t="str">
        <f>IFERROR(VLOOKUP($J12188,'Informations sur les produits'!$A$3:$H$10000,8,FALSE),"0")</f>
        <v>0</v>
      </c>
      <c r="N12188" s="8"/>
      <c r="O12188" s="33" t="str">
        <f>IFERROR(VLOOKUP($M12188,'Informations sur les produits'!$A$3:$H$10000,8,FALSE),"0")</f>
        <v>0</v>
      </c>
      <c r="P12188" s="33">
        <f t="shared" si="760"/>
        <v>0</v>
      </c>
      <c r="Q12188" s="31" t="str">
        <f t="shared" si="761"/>
        <v/>
      </c>
      <c r="R12188" s="32" t="str">
        <f>IFERROR(VLOOKUP($D12188,'Informations sur les produits'!$A$3:$B$15000,2,FALSE),"")</f>
        <v/>
      </c>
      <c r="V12188">
        <f t="shared" si="762"/>
        <v>0</v>
      </c>
      <c r="W12188">
        <f t="shared" si="763"/>
        <v>0</v>
      </c>
    </row>
    <row r="12189" spans="5:23" x14ac:dyDescent="0.25">
      <c r="E12189" s="4"/>
      <c r="F12189" s="4"/>
      <c r="G12189" s="33" t="str">
        <f>IFERROR(VLOOKUP($D12189,'Informations sur les produits'!$A$3:$H$10000,8,FALSE),"0")</f>
        <v>0</v>
      </c>
      <c r="K12189" s="4"/>
      <c r="L12189" s="33" t="str">
        <f>IFERROR(VLOOKUP($J12189,'Informations sur les produits'!$A$3:$H$10000,8,FALSE),"0")</f>
        <v>0</v>
      </c>
      <c r="N12189" s="8"/>
      <c r="O12189" s="33" t="str">
        <f>IFERROR(VLOOKUP($M12189,'Informations sur les produits'!$A$3:$H$10000,8,FALSE),"0")</f>
        <v>0</v>
      </c>
      <c r="P12189" s="33">
        <f t="shared" si="760"/>
        <v>0</v>
      </c>
      <c r="Q12189" s="31" t="str">
        <f t="shared" si="761"/>
        <v/>
      </c>
      <c r="R12189" s="32" t="str">
        <f>IFERROR(VLOOKUP($D12189,'Informations sur les produits'!$A$3:$B$15000,2,FALSE),"")</f>
        <v/>
      </c>
      <c r="V12189">
        <f t="shared" si="762"/>
        <v>0</v>
      </c>
      <c r="W12189">
        <f t="shared" si="763"/>
        <v>0</v>
      </c>
    </row>
    <row r="12190" spans="5:23" x14ac:dyDescent="0.25">
      <c r="E12190" s="4"/>
      <c r="F12190" s="4"/>
      <c r="G12190" s="33" t="str">
        <f>IFERROR(VLOOKUP($D12190,'Informations sur les produits'!$A$3:$H$10000,8,FALSE),"0")</f>
        <v>0</v>
      </c>
      <c r="K12190" s="4"/>
      <c r="L12190" s="33" t="str">
        <f>IFERROR(VLOOKUP($J12190,'Informations sur les produits'!$A$3:$H$10000,8,FALSE),"0")</f>
        <v>0</v>
      </c>
      <c r="N12190" s="8"/>
      <c r="O12190" s="33" t="str">
        <f>IFERROR(VLOOKUP($M12190,'Informations sur les produits'!$A$3:$H$10000,8,FALSE),"0")</f>
        <v>0</v>
      </c>
      <c r="P12190" s="33">
        <f t="shared" si="760"/>
        <v>0</v>
      </c>
      <c r="Q12190" s="31" t="str">
        <f t="shared" si="761"/>
        <v/>
      </c>
      <c r="R12190" s="32" t="str">
        <f>IFERROR(VLOOKUP($D12190,'Informations sur les produits'!$A$3:$B$15000,2,FALSE),"")</f>
        <v/>
      </c>
      <c r="V12190">
        <f t="shared" si="762"/>
        <v>0</v>
      </c>
      <c r="W12190">
        <f t="shared" si="763"/>
        <v>0</v>
      </c>
    </row>
    <row r="12191" spans="5:23" x14ac:dyDescent="0.25">
      <c r="E12191" s="4"/>
      <c r="F12191" s="4"/>
      <c r="G12191" s="33" t="str">
        <f>IFERROR(VLOOKUP($D12191,'Informations sur les produits'!$A$3:$H$10000,8,FALSE),"0")</f>
        <v>0</v>
      </c>
      <c r="K12191" s="4"/>
      <c r="L12191" s="33" t="str">
        <f>IFERROR(VLOOKUP($J12191,'Informations sur les produits'!$A$3:$H$10000,8,FALSE),"0")</f>
        <v>0</v>
      </c>
      <c r="N12191" s="8"/>
      <c r="O12191" s="33" t="str">
        <f>IFERROR(VLOOKUP($M12191,'Informations sur les produits'!$A$3:$H$10000,8,FALSE),"0")</f>
        <v>0</v>
      </c>
      <c r="P12191" s="33">
        <f t="shared" si="760"/>
        <v>0</v>
      </c>
      <c r="Q12191" s="31" t="str">
        <f t="shared" si="761"/>
        <v/>
      </c>
      <c r="R12191" s="32" t="str">
        <f>IFERROR(VLOOKUP($D12191,'Informations sur les produits'!$A$3:$B$15000,2,FALSE),"")</f>
        <v/>
      </c>
      <c r="V12191">
        <f t="shared" si="762"/>
        <v>0</v>
      </c>
      <c r="W12191">
        <f t="shared" si="763"/>
        <v>0</v>
      </c>
    </row>
    <row r="12192" spans="5:23" x14ac:dyDescent="0.25">
      <c r="E12192" s="4"/>
      <c r="F12192" s="4"/>
      <c r="G12192" s="33" t="str">
        <f>IFERROR(VLOOKUP($D12192,'Informations sur les produits'!$A$3:$H$10000,8,FALSE),"0")</f>
        <v>0</v>
      </c>
      <c r="K12192" s="4"/>
      <c r="L12192" s="33" t="str">
        <f>IFERROR(VLOOKUP($J12192,'Informations sur les produits'!$A$3:$H$10000,8,FALSE),"0")</f>
        <v>0</v>
      </c>
      <c r="N12192" s="8"/>
      <c r="O12192" s="33" t="str">
        <f>IFERROR(VLOOKUP($M12192,'Informations sur les produits'!$A$3:$H$10000,8,FALSE),"0")</f>
        <v>0</v>
      </c>
      <c r="P12192" s="33">
        <f t="shared" si="760"/>
        <v>0</v>
      </c>
      <c r="Q12192" s="31" t="str">
        <f t="shared" si="761"/>
        <v/>
      </c>
      <c r="R12192" s="32" t="str">
        <f>IFERROR(VLOOKUP($D12192,'Informations sur les produits'!$A$3:$B$15000,2,FALSE),"")</f>
        <v/>
      </c>
      <c r="V12192">
        <f t="shared" si="762"/>
        <v>0</v>
      </c>
      <c r="W12192">
        <f t="shared" si="763"/>
        <v>0</v>
      </c>
    </row>
    <row r="12193" spans="5:23" x14ac:dyDescent="0.25">
      <c r="E12193" s="4"/>
      <c r="F12193" s="4"/>
      <c r="G12193" s="33" t="str">
        <f>IFERROR(VLOOKUP($D12193,'Informations sur les produits'!$A$3:$H$10000,8,FALSE),"0")</f>
        <v>0</v>
      </c>
      <c r="K12193" s="4"/>
      <c r="L12193" s="33" t="str">
        <f>IFERROR(VLOOKUP($J12193,'Informations sur les produits'!$A$3:$H$10000,8,FALSE),"0")</f>
        <v>0</v>
      </c>
      <c r="N12193" s="8"/>
      <c r="O12193" s="33" t="str">
        <f>IFERROR(VLOOKUP($M12193,'Informations sur les produits'!$A$3:$H$10000,8,FALSE),"0")</f>
        <v>0</v>
      </c>
      <c r="P12193" s="33">
        <f t="shared" si="760"/>
        <v>0</v>
      </c>
      <c r="Q12193" s="31" t="str">
        <f t="shared" si="761"/>
        <v/>
      </c>
      <c r="R12193" s="32" t="str">
        <f>IFERROR(VLOOKUP($D12193,'Informations sur les produits'!$A$3:$B$15000,2,FALSE),"")</f>
        <v/>
      </c>
      <c r="V12193">
        <f t="shared" si="762"/>
        <v>0</v>
      </c>
      <c r="W12193">
        <f t="shared" si="763"/>
        <v>0</v>
      </c>
    </row>
    <row r="12194" spans="5:23" x14ac:dyDescent="0.25">
      <c r="E12194" s="4"/>
      <c r="F12194" s="4"/>
      <c r="G12194" s="33" t="str">
        <f>IFERROR(VLOOKUP($D12194,'Informations sur les produits'!$A$3:$H$10000,8,FALSE),"0")</f>
        <v>0</v>
      </c>
      <c r="K12194" s="4"/>
      <c r="L12194" s="33" t="str">
        <f>IFERROR(VLOOKUP($J12194,'Informations sur les produits'!$A$3:$H$10000,8,FALSE),"0")</f>
        <v>0</v>
      </c>
      <c r="N12194" s="8"/>
      <c r="O12194" s="33" t="str">
        <f>IFERROR(VLOOKUP($M12194,'Informations sur les produits'!$A$3:$H$10000,8,FALSE),"0")</f>
        <v>0</v>
      </c>
      <c r="P12194" s="33">
        <f t="shared" si="760"/>
        <v>0</v>
      </c>
      <c r="Q12194" s="31" t="str">
        <f t="shared" si="761"/>
        <v/>
      </c>
      <c r="R12194" s="32" t="str">
        <f>IFERROR(VLOOKUP($D12194,'Informations sur les produits'!$A$3:$B$15000,2,FALSE),"")</f>
        <v/>
      </c>
      <c r="V12194">
        <f t="shared" si="762"/>
        <v>0</v>
      </c>
      <c r="W12194">
        <f t="shared" si="763"/>
        <v>0</v>
      </c>
    </row>
    <row r="12195" spans="5:23" x14ac:dyDescent="0.25">
      <c r="E12195" s="4"/>
      <c r="F12195" s="4"/>
      <c r="G12195" s="33" t="str">
        <f>IFERROR(VLOOKUP($D12195,'Informations sur les produits'!$A$3:$H$10000,8,FALSE),"0")</f>
        <v>0</v>
      </c>
      <c r="K12195" s="4"/>
      <c r="L12195" s="33" t="str">
        <f>IFERROR(VLOOKUP($J12195,'Informations sur les produits'!$A$3:$H$10000,8,FALSE),"0")</f>
        <v>0</v>
      </c>
      <c r="N12195" s="8"/>
      <c r="O12195" s="33" t="str">
        <f>IFERROR(VLOOKUP($M12195,'Informations sur les produits'!$A$3:$H$10000,8,FALSE),"0")</f>
        <v>0</v>
      </c>
      <c r="P12195" s="33">
        <f t="shared" si="760"/>
        <v>0</v>
      </c>
      <c r="Q12195" s="31" t="str">
        <f t="shared" si="761"/>
        <v/>
      </c>
      <c r="R12195" s="32" t="str">
        <f>IFERROR(VLOOKUP($D12195,'Informations sur les produits'!$A$3:$B$15000,2,FALSE),"")</f>
        <v/>
      </c>
      <c r="V12195">
        <f t="shared" si="762"/>
        <v>0</v>
      </c>
      <c r="W12195">
        <f t="shared" si="763"/>
        <v>0</v>
      </c>
    </row>
    <row r="12196" spans="5:23" x14ac:dyDescent="0.25">
      <c r="E12196" s="4"/>
      <c r="F12196" s="4"/>
      <c r="G12196" s="33" t="str">
        <f>IFERROR(VLOOKUP($D12196,'Informations sur les produits'!$A$3:$H$10000,8,FALSE),"0")</f>
        <v>0</v>
      </c>
      <c r="K12196" s="4"/>
      <c r="L12196" s="33" t="str">
        <f>IFERROR(VLOOKUP($J12196,'Informations sur les produits'!$A$3:$H$10000,8,FALSE),"0")</f>
        <v>0</v>
      </c>
      <c r="N12196" s="8"/>
      <c r="O12196" s="33" t="str">
        <f>IFERROR(VLOOKUP($M12196,'Informations sur les produits'!$A$3:$H$10000,8,FALSE),"0")</f>
        <v>0</v>
      </c>
      <c r="P12196" s="33">
        <f t="shared" si="760"/>
        <v>0</v>
      </c>
      <c r="Q12196" s="31" t="str">
        <f t="shared" si="761"/>
        <v/>
      </c>
      <c r="R12196" s="32" t="str">
        <f>IFERROR(VLOOKUP($D12196,'Informations sur les produits'!$A$3:$B$15000,2,FALSE),"")</f>
        <v/>
      </c>
      <c r="V12196">
        <f t="shared" si="762"/>
        <v>0</v>
      </c>
      <c r="W12196">
        <f t="shared" si="763"/>
        <v>0</v>
      </c>
    </row>
    <row r="12197" spans="5:23" x14ac:dyDescent="0.25">
      <c r="E12197" s="4"/>
      <c r="F12197" s="4"/>
      <c r="G12197" s="33" t="str">
        <f>IFERROR(VLOOKUP($D12197,'Informations sur les produits'!$A$3:$H$10000,8,FALSE),"0")</f>
        <v>0</v>
      </c>
      <c r="K12197" s="4"/>
      <c r="L12197" s="33" t="str">
        <f>IFERROR(VLOOKUP($J12197,'Informations sur les produits'!$A$3:$H$10000,8,FALSE),"0")</f>
        <v>0</v>
      </c>
      <c r="N12197" s="8"/>
      <c r="O12197" s="33" t="str">
        <f>IFERROR(VLOOKUP($M12197,'Informations sur les produits'!$A$3:$H$10000,8,FALSE),"0")</f>
        <v>0</v>
      </c>
      <c r="P12197" s="33">
        <f t="shared" si="760"/>
        <v>0</v>
      </c>
      <c r="Q12197" s="31" t="str">
        <f t="shared" si="761"/>
        <v/>
      </c>
      <c r="R12197" s="32" t="str">
        <f>IFERROR(VLOOKUP($D12197,'Informations sur les produits'!$A$3:$B$15000,2,FALSE),"")</f>
        <v/>
      </c>
      <c r="V12197">
        <f t="shared" si="762"/>
        <v>0</v>
      </c>
      <c r="W12197">
        <f t="shared" si="763"/>
        <v>0</v>
      </c>
    </row>
    <row r="12198" spans="5:23" x14ac:dyDescent="0.25">
      <c r="E12198" s="4"/>
      <c r="F12198" s="4"/>
      <c r="G12198" s="33" t="str">
        <f>IFERROR(VLOOKUP($D12198,'Informations sur les produits'!$A$3:$H$10000,8,FALSE),"0")</f>
        <v>0</v>
      </c>
      <c r="K12198" s="4"/>
      <c r="L12198" s="33" t="str">
        <f>IFERROR(VLOOKUP($J12198,'Informations sur les produits'!$A$3:$H$10000,8,FALSE),"0")</f>
        <v>0</v>
      </c>
      <c r="N12198" s="8"/>
      <c r="O12198" s="33" t="str">
        <f>IFERROR(VLOOKUP($M12198,'Informations sur les produits'!$A$3:$H$10000,8,FALSE),"0")</f>
        <v>0</v>
      </c>
      <c r="P12198" s="33">
        <f t="shared" si="760"/>
        <v>0</v>
      </c>
      <c r="Q12198" s="31" t="str">
        <f t="shared" si="761"/>
        <v/>
      </c>
      <c r="R12198" s="32" t="str">
        <f>IFERROR(VLOOKUP($D12198,'Informations sur les produits'!$A$3:$B$15000,2,FALSE),"")</f>
        <v/>
      </c>
      <c r="V12198">
        <f t="shared" si="762"/>
        <v>0</v>
      </c>
      <c r="W12198">
        <f t="shared" si="763"/>
        <v>0</v>
      </c>
    </row>
    <row r="12199" spans="5:23" x14ac:dyDescent="0.25">
      <c r="E12199" s="4"/>
      <c r="F12199" s="4"/>
      <c r="G12199" s="33" t="str">
        <f>IFERROR(VLOOKUP($D12199,'Informations sur les produits'!$A$3:$H$10000,8,FALSE),"0")</f>
        <v>0</v>
      </c>
      <c r="K12199" s="4"/>
      <c r="L12199" s="33" t="str">
        <f>IFERROR(VLOOKUP($J12199,'Informations sur les produits'!$A$3:$H$10000,8,FALSE),"0")</f>
        <v>0</v>
      </c>
      <c r="N12199" s="8"/>
      <c r="O12199" s="33" t="str">
        <f>IFERROR(VLOOKUP($M12199,'Informations sur les produits'!$A$3:$H$10000,8,FALSE),"0")</f>
        <v>0</v>
      </c>
      <c r="P12199" s="33">
        <f t="shared" si="760"/>
        <v>0</v>
      </c>
      <c r="Q12199" s="31" t="str">
        <f t="shared" si="761"/>
        <v/>
      </c>
      <c r="R12199" s="32" t="str">
        <f>IFERROR(VLOOKUP($D12199,'Informations sur les produits'!$A$3:$B$15000,2,FALSE),"")</f>
        <v/>
      </c>
      <c r="V12199">
        <f t="shared" si="762"/>
        <v>0</v>
      </c>
      <c r="W12199">
        <f t="shared" si="763"/>
        <v>0</v>
      </c>
    </row>
    <row r="12200" spans="5:23" x14ac:dyDescent="0.25">
      <c r="E12200" s="4"/>
      <c r="F12200" s="4"/>
      <c r="G12200" s="33" t="str">
        <f>IFERROR(VLOOKUP($D12200,'Informations sur les produits'!$A$3:$H$10000,8,FALSE),"0")</f>
        <v>0</v>
      </c>
      <c r="K12200" s="4"/>
      <c r="L12200" s="33" t="str">
        <f>IFERROR(VLOOKUP($J12200,'Informations sur les produits'!$A$3:$H$10000,8,FALSE),"0")</f>
        <v>0</v>
      </c>
      <c r="N12200" s="8"/>
      <c r="O12200" s="33" t="str">
        <f>IFERROR(VLOOKUP($M12200,'Informations sur les produits'!$A$3:$H$10000,8,FALSE),"0")</f>
        <v>0</v>
      </c>
      <c r="P12200" s="33">
        <f t="shared" si="760"/>
        <v>0</v>
      </c>
      <c r="Q12200" s="31" t="str">
        <f t="shared" si="761"/>
        <v/>
      </c>
      <c r="R12200" s="32" t="str">
        <f>IFERROR(VLOOKUP($D12200,'Informations sur les produits'!$A$3:$B$15000,2,FALSE),"")</f>
        <v/>
      </c>
      <c r="V12200">
        <f t="shared" si="762"/>
        <v>0</v>
      </c>
      <c r="W12200">
        <f t="shared" si="763"/>
        <v>0</v>
      </c>
    </row>
    <row r="12201" spans="5:23" x14ac:dyDescent="0.25">
      <c r="E12201" s="4"/>
      <c r="F12201" s="4"/>
      <c r="G12201" s="33" t="str">
        <f>IFERROR(VLOOKUP($D12201,'Informations sur les produits'!$A$3:$H$10000,8,FALSE),"0")</f>
        <v>0</v>
      </c>
      <c r="K12201" s="4"/>
      <c r="L12201" s="33" t="str">
        <f>IFERROR(VLOOKUP($J12201,'Informations sur les produits'!$A$3:$H$10000,8,FALSE),"0")</f>
        <v>0</v>
      </c>
      <c r="N12201" s="8"/>
      <c r="O12201" s="33" t="str">
        <f>IFERROR(VLOOKUP($M12201,'Informations sur les produits'!$A$3:$H$10000,8,FALSE),"0")</f>
        <v>0</v>
      </c>
      <c r="P12201" s="33">
        <f t="shared" si="760"/>
        <v>0</v>
      </c>
      <c r="Q12201" s="31" t="str">
        <f t="shared" si="761"/>
        <v/>
      </c>
      <c r="R12201" s="32" t="str">
        <f>IFERROR(VLOOKUP($D12201,'Informations sur les produits'!$A$3:$B$15000,2,FALSE),"")</f>
        <v/>
      </c>
      <c r="V12201">
        <f t="shared" si="762"/>
        <v>0</v>
      </c>
      <c r="W12201">
        <f t="shared" si="763"/>
        <v>0</v>
      </c>
    </row>
    <row r="12202" spans="5:23" x14ac:dyDescent="0.25">
      <c r="E12202" s="4"/>
      <c r="F12202" s="4"/>
      <c r="G12202" s="33" t="str">
        <f>IFERROR(VLOOKUP($D12202,'Informations sur les produits'!$A$3:$H$10000,8,FALSE),"0")</f>
        <v>0</v>
      </c>
      <c r="K12202" s="4"/>
      <c r="L12202" s="33" t="str">
        <f>IFERROR(VLOOKUP($J12202,'Informations sur les produits'!$A$3:$H$10000,8,FALSE),"0")</f>
        <v>0</v>
      </c>
      <c r="N12202" s="8"/>
      <c r="O12202" s="33" t="str">
        <f>IFERROR(VLOOKUP($M12202,'Informations sur les produits'!$A$3:$H$10000,8,FALSE),"0")</f>
        <v>0</v>
      </c>
      <c r="P12202" s="33">
        <f t="shared" si="760"/>
        <v>0</v>
      </c>
      <c r="Q12202" s="31" t="str">
        <f t="shared" si="761"/>
        <v/>
      </c>
      <c r="R12202" s="32" t="str">
        <f>IFERROR(VLOOKUP($D12202,'Informations sur les produits'!$A$3:$B$15000,2,FALSE),"")</f>
        <v/>
      </c>
      <c r="V12202">
        <f t="shared" si="762"/>
        <v>0</v>
      </c>
      <c r="W12202">
        <f t="shared" si="763"/>
        <v>0</v>
      </c>
    </row>
    <row r="12203" spans="5:23" x14ac:dyDescent="0.25">
      <c r="E12203" s="4"/>
      <c r="F12203" s="4"/>
      <c r="G12203" s="33" t="str">
        <f>IFERROR(VLOOKUP($D12203,'Informations sur les produits'!$A$3:$H$10000,8,FALSE),"0")</f>
        <v>0</v>
      </c>
      <c r="K12203" s="4"/>
      <c r="L12203" s="33" t="str">
        <f>IFERROR(VLOOKUP($J12203,'Informations sur les produits'!$A$3:$H$10000,8,FALSE),"0")</f>
        <v>0</v>
      </c>
      <c r="N12203" s="8"/>
      <c r="O12203" s="33" t="str">
        <f>IFERROR(VLOOKUP($M12203,'Informations sur les produits'!$A$3:$H$10000,8,FALSE),"0")</f>
        <v>0</v>
      </c>
      <c r="P12203" s="33">
        <f t="shared" si="760"/>
        <v>0</v>
      </c>
      <c r="Q12203" s="31" t="str">
        <f t="shared" si="761"/>
        <v/>
      </c>
      <c r="R12203" s="32" t="str">
        <f>IFERROR(VLOOKUP($D12203,'Informations sur les produits'!$A$3:$B$15000,2,FALSE),"")</f>
        <v/>
      </c>
      <c r="V12203">
        <f t="shared" si="762"/>
        <v>0</v>
      </c>
      <c r="W12203">
        <f t="shared" si="763"/>
        <v>0</v>
      </c>
    </row>
    <row r="12204" spans="5:23" x14ac:dyDescent="0.25">
      <c r="E12204" s="4"/>
      <c r="F12204" s="4"/>
      <c r="G12204" s="33" t="str">
        <f>IFERROR(VLOOKUP($D12204,'Informations sur les produits'!$A$3:$H$10000,8,FALSE),"0")</f>
        <v>0</v>
      </c>
      <c r="K12204" s="4"/>
      <c r="L12204" s="33" t="str">
        <f>IFERROR(VLOOKUP($J12204,'Informations sur les produits'!$A$3:$H$10000,8,FALSE),"0")</f>
        <v>0</v>
      </c>
      <c r="N12204" s="8"/>
      <c r="O12204" s="33" t="str">
        <f>IFERROR(VLOOKUP($M12204,'Informations sur les produits'!$A$3:$H$10000,8,FALSE),"0")</f>
        <v>0</v>
      </c>
      <c r="P12204" s="33">
        <f t="shared" si="760"/>
        <v>0</v>
      </c>
      <c r="Q12204" s="31" t="str">
        <f t="shared" si="761"/>
        <v/>
      </c>
      <c r="R12204" s="32" t="str">
        <f>IFERROR(VLOOKUP($D12204,'Informations sur les produits'!$A$3:$B$15000,2,FALSE),"")</f>
        <v/>
      </c>
      <c r="V12204">
        <f t="shared" si="762"/>
        <v>0</v>
      </c>
      <c r="W12204">
        <f t="shared" si="763"/>
        <v>0</v>
      </c>
    </row>
    <row r="12205" spans="5:23" x14ac:dyDescent="0.25">
      <c r="E12205" s="4"/>
      <c r="F12205" s="4"/>
      <c r="G12205" s="33" t="str">
        <f>IFERROR(VLOOKUP($D12205,'Informations sur les produits'!$A$3:$H$10000,8,FALSE),"0")</f>
        <v>0</v>
      </c>
      <c r="K12205" s="4"/>
      <c r="L12205" s="33" t="str">
        <f>IFERROR(VLOOKUP($J12205,'Informations sur les produits'!$A$3:$H$10000,8,FALSE),"0")</f>
        <v>0</v>
      </c>
      <c r="N12205" s="8"/>
      <c r="O12205" s="33" t="str">
        <f>IFERROR(VLOOKUP($M12205,'Informations sur les produits'!$A$3:$H$10000,8,FALSE),"0")</f>
        <v>0</v>
      </c>
      <c r="P12205" s="33">
        <f t="shared" si="760"/>
        <v>0</v>
      </c>
      <c r="Q12205" s="31" t="str">
        <f t="shared" si="761"/>
        <v/>
      </c>
      <c r="R12205" s="32" t="str">
        <f>IFERROR(VLOOKUP($D12205,'Informations sur les produits'!$A$3:$B$15000,2,FALSE),"")</f>
        <v/>
      </c>
      <c r="V12205">
        <f t="shared" si="762"/>
        <v>0</v>
      </c>
      <c r="W12205">
        <f t="shared" si="763"/>
        <v>0</v>
      </c>
    </row>
    <row r="12206" spans="5:23" x14ac:dyDescent="0.25">
      <c r="E12206" s="4"/>
      <c r="F12206" s="4"/>
      <c r="G12206" s="33" t="str">
        <f>IFERROR(VLOOKUP($D12206,'Informations sur les produits'!$A$3:$H$10000,8,FALSE),"0")</f>
        <v>0</v>
      </c>
      <c r="K12206" s="4"/>
      <c r="L12206" s="33" t="str">
        <f>IFERROR(VLOOKUP($J12206,'Informations sur les produits'!$A$3:$H$10000,8,FALSE),"0")</f>
        <v>0</v>
      </c>
      <c r="N12206" s="8"/>
      <c r="O12206" s="33" t="str">
        <f>IFERROR(VLOOKUP($M12206,'Informations sur les produits'!$A$3:$H$10000,8,FALSE),"0")</f>
        <v>0</v>
      </c>
      <c r="P12206" s="33">
        <f t="shared" si="760"/>
        <v>0</v>
      </c>
      <c r="Q12206" s="31" t="str">
        <f t="shared" si="761"/>
        <v/>
      </c>
      <c r="R12206" s="32" t="str">
        <f>IFERROR(VLOOKUP($D12206,'Informations sur les produits'!$A$3:$B$15000,2,FALSE),"")</f>
        <v/>
      </c>
      <c r="V12206">
        <f t="shared" si="762"/>
        <v>0</v>
      </c>
      <c r="W12206">
        <f t="shared" si="763"/>
        <v>0</v>
      </c>
    </row>
    <row r="12207" spans="5:23" x14ac:dyDescent="0.25">
      <c r="E12207" s="4"/>
      <c r="F12207" s="4"/>
      <c r="G12207" s="33" t="str">
        <f>IFERROR(VLOOKUP($D12207,'Informations sur les produits'!$A$3:$H$10000,8,FALSE),"0")</f>
        <v>0</v>
      </c>
      <c r="K12207" s="4"/>
      <c r="L12207" s="33" t="str">
        <f>IFERROR(VLOOKUP($J12207,'Informations sur les produits'!$A$3:$H$10000,8,FALSE),"0")</f>
        <v>0</v>
      </c>
      <c r="N12207" s="8"/>
      <c r="O12207" s="33" t="str">
        <f>IFERROR(VLOOKUP($M12207,'Informations sur les produits'!$A$3:$H$10000,8,FALSE),"0")</f>
        <v>0</v>
      </c>
      <c r="P12207" s="33">
        <f t="shared" si="760"/>
        <v>0</v>
      </c>
      <c r="Q12207" s="31" t="str">
        <f t="shared" si="761"/>
        <v/>
      </c>
      <c r="R12207" s="32" t="str">
        <f>IFERROR(VLOOKUP($D12207,'Informations sur les produits'!$A$3:$B$15000,2,FALSE),"")</f>
        <v/>
      </c>
      <c r="V12207">
        <f t="shared" si="762"/>
        <v>0</v>
      </c>
      <c r="W12207">
        <f t="shared" si="763"/>
        <v>0</v>
      </c>
    </row>
    <row r="12208" spans="5:23" x14ac:dyDescent="0.25">
      <c r="E12208" s="4"/>
      <c r="F12208" s="4"/>
      <c r="G12208" s="33" t="str">
        <f>IFERROR(VLOOKUP($D12208,'Informations sur les produits'!$A$3:$H$10000,8,FALSE),"0")</f>
        <v>0</v>
      </c>
      <c r="K12208" s="4"/>
      <c r="L12208" s="33" t="str">
        <f>IFERROR(VLOOKUP($J12208,'Informations sur les produits'!$A$3:$H$10000,8,FALSE),"0")</f>
        <v>0</v>
      </c>
      <c r="N12208" s="8"/>
      <c r="O12208" s="33" t="str">
        <f>IFERROR(VLOOKUP($M12208,'Informations sur les produits'!$A$3:$H$10000,8,FALSE),"0")</f>
        <v>0</v>
      </c>
      <c r="P12208" s="33">
        <f t="shared" si="760"/>
        <v>0</v>
      </c>
      <c r="Q12208" s="31" t="str">
        <f t="shared" si="761"/>
        <v/>
      </c>
      <c r="R12208" s="32" t="str">
        <f>IFERROR(VLOOKUP($D12208,'Informations sur les produits'!$A$3:$B$15000,2,FALSE),"")</f>
        <v/>
      </c>
      <c r="V12208">
        <f t="shared" si="762"/>
        <v>0</v>
      </c>
      <c r="W12208">
        <f t="shared" si="763"/>
        <v>0</v>
      </c>
    </row>
    <row r="12209" spans="5:23" x14ac:dyDescent="0.25">
      <c r="E12209" s="4"/>
      <c r="F12209" s="4"/>
      <c r="G12209" s="33" t="str">
        <f>IFERROR(VLOOKUP($D12209,'Informations sur les produits'!$A$3:$H$10000,8,FALSE),"0")</f>
        <v>0</v>
      </c>
      <c r="K12209" s="4"/>
      <c r="L12209" s="33" t="str">
        <f>IFERROR(VLOOKUP($J12209,'Informations sur les produits'!$A$3:$H$10000,8,FALSE),"0")</f>
        <v>0</v>
      </c>
      <c r="N12209" s="8"/>
      <c r="O12209" s="33" t="str">
        <f>IFERROR(VLOOKUP($M12209,'Informations sur les produits'!$A$3:$H$10000,8,FALSE),"0")</f>
        <v>0</v>
      </c>
      <c r="P12209" s="33">
        <f t="shared" si="760"/>
        <v>0</v>
      </c>
      <c r="Q12209" s="31" t="str">
        <f t="shared" si="761"/>
        <v/>
      </c>
      <c r="R12209" s="32" t="str">
        <f>IFERROR(VLOOKUP($D12209,'Informations sur les produits'!$A$3:$B$15000,2,FALSE),"")</f>
        <v/>
      </c>
      <c r="V12209">
        <f t="shared" si="762"/>
        <v>0</v>
      </c>
      <c r="W12209">
        <f t="shared" si="763"/>
        <v>0</v>
      </c>
    </row>
    <row r="12210" spans="5:23" x14ac:dyDescent="0.25">
      <c r="E12210" s="4"/>
      <c r="F12210" s="4"/>
      <c r="G12210" s="33" t="str">
        <f>IFERROR(VLOOKUP($D12210,'Informations sur les produits'!$A$3:$H$10000,8,FALSE),"0")</f>
        <v>0</v>
      </c>
      <c r="K12210" s="4"/>
      <c r="L12210" s="33" t="str">
        <f>IFERROR(VLOOKUP($J12210,'Informations sur les produits'!$A$3:$H$10000,8,FALSE),"0")</f>
        <v>0</v>
      </c>
      <c r="N12210" s="8"/>
      <c r="O12210" s="33" t="str">
        <f>IFERROR(VLOOKUP($M12210,'Informations sur les produits'!$A$3:$H$10000,8,FALSE),"0")</f>
        <v>0</v>
      </c>
      <c r="P12210" s="33">
        <f t="shared" si="760"/>
        <v>0</v>
      </c>
      <c r="Q12210" s="31" t="str">
        <f t="shared" si="761"/>
        <v/>
      </c>
      <c r="R12210" s="32" t="str">
        <f>IFERROR(VLOOKUP($D12210,'Informations sur les produits'!$A$3:$B$15000,2,FALSE),"")</f>
        <v/>
      </c>
      <c r="V12210">
        <f t="shared" si="762"/>
        <v>0</v>
      </c>
      <c r="W12210">
        <f t="shared" si="763"/>
        <v>0</v>
      </c>
    </row>
    <row r="12211" spans="5:23" x14ac:dyDescent="0.25">
      <c r="E12211" s="4"/>
      <c r="F12211" s="4"/>
      <c r="G12211" s="33" t="str">
        <f>IFERROR(VLOOKUP($D12211,'Informations sur les produits'!$A$3:$H$10000,8,FALSE),"0")</f>
        <v>0</v>
      </c>
      <c r="K12211" s="4"/>
      <c r="L12211" s="33" t="str">
        <f>IFERROR(VLOOKUP($J12211,'Informations sur les produits'!$A$3:$H$10000,8,FALSE),"0")</f>
        <v>0</v>
      </c>
      <c r="N12211" s="8"/>
      <c r="O12211" s="33" t="str">
        <f>IFERROR(VLOOKUP($M12211,'Informations sur les produits'!$A$3:$H$10000,8,FALSE),"0")</f>
        <v>0</v>
      </c>
      <c r="P12211" s="33">
        <f t="shared" si="760"/>
        <v>0</v>
      </c>
      <c r="Q12211" s="31" t="str">
        <f t="shared" si="761"/>
        <v/>
      </c>
      <c r="R12211" s="32" t="str">
        <f>IFERROR(VLOOKUP($D12211,'Informations sur les produits'!$A$3:$B$15000,2,FALSE),"")</f>
        <v/>
      </c>
      <c r="V12211">
        <f t="shared" si="762"/>
        <v>0</v>
      </c>
      <c r="W12211">
        <f t="shared" si="763"/>
        <v>0</v>
      </c>
    </row>
    <row r="12212" spans="5:23" x14ac:dyDescent="0.25">
      <c r="E12212" s="4"/>
      <c r="F12212" s="4"/>
      <c r="G12212" s="33" t="str">
        <f>IFERROR(VLOOKUP($D12212,'Informations sur les produits'!$A$3:$H$10000,8,FALSE),"0")</f>
        <v>0</v>
      </c>
      <c r="K12212" s="4"/>
      <c r="L12212" s="33" t="str">
        <f>IFERROR(VLOOKUP($J12212,'Informations sur les produits'!$A$3:$H$10000,8,FALSE),"0")</f>
        <v>0</v>
      </c>
      <c r="N12212" s="8"/>
      <c r="O12212" s="33" t="str">
        <f>IFERROR(VLOOKUP($M12212,'Informations sur les produits'!$A$3:$H$10000,8,FALSE),"0")</f>
        <v>0</v>
      </c>
      <c r="P12212" s="33">
        <f t="shared" si="760"/>
        <v>0</v>
      </c>
      <c r="Q12212" s="31" t="str">
        <f t="shared" si="761"/>
        <v/>
      </c>
      <c r="R12212" s="32" t="str">
        <f>IFERROR(VLOOKUP($D12212,'Informations sur les produits'!$A$3:$B$15000,2,FALSE),"")</f>
        <v/>
      </c>
      <c r="V12212">
        <f t="shared" si="762"/>
        <v>0</v>
      </c>
      <c r="W12212">
        <f t="shared" si="763"/>
        <v>0</v>
      </c>
    </row>
    <row r="12213" spans="5:23" x14ac:dyDescent="0.25">
      <c r="E12213" s="4"/>
      <c r="F12213" s="4"/>
      <c r="G12213" s="33" t="str">
        <f>IFERROR(VLOOKUP($D12213,'Informations sur les produits'!$A$3:$H$10000,8,FALSE),"0")</f>
        <v>0</v>
      </c>
      <c r="K12213" s="4"/>
      <c r="L12213" s="33" t="str">
        <f>IFERROR(VLOOKUP($J12213,'Informations sur les produits'!$A$3:$H$10000,8,FALSE),"0")</f>
        <v>0</v>
      </c>
      <c r="N12213" s="8"/>
      <c r="O12213" s="33" t="str">
        <f>IFERROR(VLOOKUP($M12213,'Informations sur les produits'!$A$3:$H$10000,8,FALSE),"0")</f>
        <v>0</v>
      </c>
      <c r="P12213" s="33">
        <f t="shared" si="760"/>
        <v>0</v>
      </c>
      <c r="Q12213" s="31" t="str">
        <f t="shared" si="761"/>
        <v/>
      </c>
      <c r="R12213" s="32" t="str">
        <f>IFERROR(VLOOKUP($D12213,'Informations sur les produits'!$A$3:$B$15000,2,FALSE),"")</f>
        <v/>
      </c>
      <c r="V12213">
        <f t="shared" si="762"/>
        <v>0</v>
      </c>
      <c r="W12213">
        <f t="shared" si="763"/>
        <v>0</v>
      </c>
    </row>
    <row r="12214" spans="5:23" x14ac:dyDescent="0.25">
      <c r="E12214" s="4"/>
      <c r="F12214" s="4"/>
      <c r="G12214" s="33" t="str">
        <f>IFERROR(VLOOKUP($D12214,'Informations sur les produits'!$A$3:$H$10000,8,FALSE),"0")</f>
        <v>0</v>
      </c>
      <c r="K12214" s="4"/>
      <c r="L12214" s="33" t="str">
        <f>IFERROR(VLOOKUP($J12214,'Informations sur les produits'!$A$3:$H$10000,8,FALSE),"0")</f>
        <v>0</v>
      </c>
      <c r="N12214" s="8"/>
      <c r="O12214" s="33" t="str">
        <f>IFERROR(VLOOKUP($M12214,'Informations sur les produits'!$A$3:$H$10000,8,FALSE),"0")</f>
        <v>0</v>
      </c>
      <c r="P12214" s="33">
        <f t="shared" si="760"/>
        <v>0</v>
      </c>
      <c r="Q12214" s="31" t="str">
        <f t="shared" si="761"/>
        <v/>
      </c>
      <c r="R12214" s="32" t="str">
        <f>IFERROR(VLOOKUP($D12214,'Informations sur les produits'!$A$3:$B$15000,2,FALSE),"")</f>
        <v/>
      </c>
      <c r="V12214">
        <f t="shared" si="762"/>
        <v>0</v>
      </c>
      <c r="W12214">
        <f t="shared" si="763"/>
        <v>0</v>
      </c>
    </row>
    <row r="12215" spans="5:23" x14ac:dyDescent="0.25">
      <c r="E12215" s="4"/>
      <c r="F12215" s="4"/>
      <c r="G12215" s="33" t="str">
        <f>IFERROR(VLOOKUP($D12215,'Informations sur les produits'!$A$3:$H$10000,8,FALSE),"0")</f>
        <v>0</v>
      </c>
      <c r="K12215" s="4"/>
      <c r="L12215" s="33" t="str">
        <f>IFERROR(VLOOKUP($J12215,'Informations sur les produits'!$A$3:$H$10000,8,FALSE),"0")</f>
        <v>0</v>
      </c>
      <c r="N12215" s="8"/>
      <c r="O12215" s="33" t="str">
        <f>IFERROR(VLOOKUP($M12215,'Informations sur les produits'!$A$3:$H$10000,8,FALSE),"0")</f>
        <v>0</v>
      </c>
      <c r="P12215" s="33">
        <f t="shared" si="760"/>
        <v>0</v>
      </c>
      <c r="Q12215" s="31" t="str">
        <f t="shared" si="761"/>
        <v/>
      </c>
      <c r="R12215" s="32" t="str">
        <f>IFERROR(VLOOKUP($D12215,'Informations sur les produits'!$A$3:$B$15000,2,FALSE),"")</f>
        <v/>
      </c>
      <c r="V12215">
        <f t="shared" si="762"/>
        <v>0</v>
      </c>
      <c r="W12215">
        <f t="shared" si="763"/>
        <v>0</v>
      </c>
    </row>
    <row r="12216" spans="5:23" x14ac:dyDescent="0.25">
      <c r="E12216" s="4"/>
      <c r="F12216" s="4"/>
      <c r="G12216" s="33" t="str">
        <f>IFERROR(VLOOKUP($D12216,'Informations sur les produits'!$A$3:$H$10000,8,FALSE),"0")</f>
        <v>0</v>
      </c>
      <c r="K12216" s="4"/>
      <c r="L12216" s="33" t="str">
        <f>IFERROR(VLOOKUP($J12216,'Informations sur les produits'!$A$3:$H$10000,8,FALSE),"0")</f>
        <v>0</v>
      </c>
      <c r="N12216" s="8"/>
      <c r="O12216" s="33" t="str">
        <f>IFERROR(VLOOKUP($M12216,'Informations sur les produits'!$A$3:$H$10000,8,FALSE),"0")</f>
        <v>0</v>
      </c>
      <c r="P12216" s="33">
        <f t="shared" si="760"/>
        <v>0</v>
      </c>
      <c r="Q12216" s="31" t="str">
        <f t="shared" si="761"/>
        <v/>
      </c>
      <c r="R12216" s="32" t="str">
        <f>IFERROR(VLOOKUP($D12216,'Informations sur les produits'!$A$3:$B$15000,2,FALSE),"")</f>
        <v/>
      </c>
      <c r="V12216">
        <f t="shared" si="762"/>
        <v>0</v>
      </c>
      <c r="W12216">
        <f t="shared" si="763"/>
        <v>0</v>
      </c>
    </row>
    <row r="12217" spans="5:23" x14ac:dyDescent="0.25">
      <c r="E12217" s="4"/>
      <c r="F12217" s="4"/>
      <c r="G12217" s="33" t="str">
        <f>IFERROR(VLOOKUP($D12217,'Informations sur les produits'!$A$3:$H$10000,8,FALSE),"0")</f>
        <v>0</v>
      </c>
      <c r="K12217" s="4"/>
      <c r="L12217" s="33" t="str">
        <f>IFERROR(VLOOKUP($J12217,'Informations sur les produits'!$A$3:$H$10000,8,FALSE),"0")</f>
        <v>0</v>
      </c>
      <c r="N12217" s="8"/>
      <c r="O12217" s="33" t="str">
        <f>IFERROR(VLOOKUP($M12217,'Informations sur les produits'!$A$3:$H$10000,8,FALSE),"0")</f>
        <v>0</v>
      </c>
      <c r="P12217" s="33">
        <f t="shared" si="760"/>
        <v>0</v>
      </c>
      <c r="Q12217" s="31" t="str">
        <f t="shared" si="761"/>
        <v/>
      </c>
      <c r="R12217" s="32" t="str">
        <f>IFERROR(VLOOKUP($D12217,'Informations sur les produits'!$A$3:$B$15000,2,FALSE),"")</f>
        <v/>
      </c>
      <c r="V12217">
        <f t="shared" si="762"/>
        <v>0</v>
      </c>
      <c r="W12217">
        <f t="shared" si="763"/>
        <v>0</v>
      </c>
    </row>
    <row r="12218" spans="5:23" x14ac:dyDescent="0.25">
      <c r="E12218" s="4"/>
      <c r="F12218" s="4"/>
      <c r="G12218" s="33" t="str">
        <f>IFERROR(VLOOKUP($D12218,'Informations sur les produits'!$A$3:$H$10000,8,FALSE),"0")</f>
        <v>0</v>
      </c>
      <c r="K12218" s="4"/>
      <c r="L12218" s="33" t="str">
        <f>IFERROR(VLOOKUP($J12218,'Informations sur les produits'!$A$3:$H$10000,8,FALSE),"0")</f>
        <v>0</v>
      </c>
      <c r="N12218" s="8"/>
      <c r="O12218" s="33" t="str">
        <f>IFERROR(VLOOKUP($M12218,'Informations sur les produits'!$A$3:$H$10000,8,FALSE),"0")</f>
        <v>0</v>
      </c>
      <c r="P12218" s="33">
        <f t="shared" si="760"/>
        <v>0</v>
      </c>
      <c r="Q12218" s="31" t="str">
        <f t="shared" si="761"/>
        <v/>
      </c>
      <c r="R12218" s="32" t="str">
        <f>IFERROR(VLOOKUP($D12218,'Informations sur les produits'!$A$3:$B$15000,2,FALSE),"")</f>
        <v/>
      </c>
      <c r="V12218">
        <f t="shared" si="762"/>
        <v>0</v>
      </c>
      <c r="W12218">
        <f t="shared" si="763"/>
        <v>0</v>
      </c>
    </row>
    <row r="12219" spans="5:23" x14ac:dyDescent="0.25">
      <c r="E12219" s="4"/>
      <c r="F12219" s="4"/>
      <c r="G12219" s="33" t="str">
        <f>IFERROR(VLOOKUP($D12219,'Informations sur les produits'!$A$3:$H$10000,8,FALSE),"0")</f>
        <v>0</v>
      </c>
      <c r="K12219" s="4"/>
      <c r="L12219" s="33" t="str">
        <f>IFERROR(VLOOKUP($J12219,'Informations sur les produits'!$A$3:$H$10000,8,FALSE),"0")</f>
        <v>0</v>
      </c>
      <c r="N12219" s="8"/>
      <c r="O12219" s="33" t="str">
        <f>IFERROR(VLOOKUP($M12219,'Informations sur les produits'!$A$3:$H$10000,8,FALSE),"0")</f>
        <v>0</v>
      </c>
      <c r="P12219" s="33">
        <f t="shared" si="760"/>
        <v>0</v>
      </c>
      <c r="Q12219" s="31" t="str">
        <f t="shared" si="761"/>
        <v/>
      </c>
      <c r="R12219" s="32" t="str">
        <f>IFERROR(VLOOKUP($D12219,'Informations sur les produits'!$A$3:$B$15000,2,FALSE),"")</f>
        <v/>
      </c>
      <c r="V12219">
        <f t="shared" si="762"/>
        <v>0</v>
      </c>
      <c r="W12219">
        <f t="shared" si="763"/>
        <v>0</v>
      </c>
    </row>
    <row r="12220" spans="5:23" x14ac:dyDescent="0.25">
      <c r="E12220" s="4"/>
      <c r="F12220" s="4"/>
      <c r="G12220" s="33" t="str">
        <f>IFERROR(VLOOKUP($D12220,'Informations sur les produits'!$A$3:$H$10000,8,FALSE),"0")</f>
        <v>0</v>
      </c>
      <c r="K12220" s="4"/>
      <c r="L12220" s="33" t="str">
        <f>IFERROR(VLOOKUP($J12220,'Informations sur les produits'!$A$3:$H$10000,8,FALSE),"0")</f>
        <v>0</v>
      </c>
      <c r="N12220" s="8"/>
      <c r="O12220" s="33" t="str">
        <f>IFERROR(VLOOKUP($M12220,'Informations sur les produits'!$A$3:$H$10000,8,FALSE),"0")</f>
        <v>0</v>
      </c>
      <c r="P12220" s="33">
        <f t="shared" si="760"/>
        <v>0</v>
      </c>
      <c r="Q12220" s="31" t="str">
        <f t="shared" si="761"/>
        <v/>
      </c>
      <c r="R12220" s="32" t="str">
        <f>IFERROR(VLOOKUP($D12220,'Informations sur les produits'!$A$3:$B$15000,2,FALSE),"")</f>
        <v/>
      </c>
      <c r="V12220">
        <f t="shared" si="762"/>
        <v>0</v>
      </c>
      <c r="W12220">
        <f t="shared" si="763"/>
        <v>0</v>
      </c>
    </row>
    <row r="12221" spans="5:23" x14ac:dyDescent="0.25">
      <c r="E12221" s="4"/>
      <c r="F12221" s="4"/>
      <c r="G12221" s="33" t="str">
        <f>IFERROR(VLOOKUP($D12221,'Informations sur les produits'!$A$3:$H$10000,8,FALSE),"0")</f>
        <v>0</v>
      </c>
      <c r="K12221" s="4"/>
      <c r="L12221" s="33" t="str">
        <f>IFERROR(VLOOKUP($J12221,'Informations sur les produits'!$A$3:$H$10000,8,FALSE),"0")</f>
        <v>0</v>
      </c>
      <c r="N12221" s="8"/>
      <c r="O12221" s="33" t="str">
        <f>IFERROR(VLOOKUP($M12221,'Informations sur les produits'!$A$3:$H$10000,8,FALSE),"0")</f>
        <v>0</v>
      </c>
      <c r="P12221" s="33">
        <f t="shared" si="760"/>
        <v>0</v>
      </c>
      <c r="Q12221" s="31" t="str">
        <f t="shared" si="761"/>
        <v/>
      </c>
      <c r="R12221" s="32" t="str">
        <f>IFERROR(VLOOKUP($D12221,'Informations sur les produits'!$A$3:$B$15000,2,FALSE),"")</f>
        <v/>
      </c>
      <c r="V12221">
        <f t="shared" si="762"/>
        <v>0</v>
      </c>
      <c r="W12221">
        <f t="shared" si="763"/>
        <v>0</v>
      </c>
    </row>
    <row r="12222" spans="5:23" x14ac:dyDescent="0.25">
      <c r="E12222" s="4"/>
      <c r="F12222" s="4"/>
      <c r="G12222" s="33" t="str">
        <f>IFERROR(VLOOKUP($D12222,'Informations sur les produits'!$A$3:$H$10000,8,FALSE),"0")</f>
        <v>0</v>
      </c>
      <c r="K12222" s="4"/>
      <c r="L12222" s="33" t="str">
        <f>IFERROR(VLOOKUP($J12222,'Informations sur les produits'!$A$3:$H$10000,8,FALSE),"0")</f>
        <v>0</v>
      </c>
      <c r="N12222" s="8"/>
      <c r="O12222" s="33" t="str">
        <f>IFERROR(VLOOKUP($M12222,'Informations sur les produits'!$A$3:$H$10000,8,FALSE),"0")</f>
        <v>0</v>
      </c>
      <c r="P12222" s="33">
        <f t="shared" si="760"/>
        <v>0</v>
      </c>
      <c r="Q12222" s="31" t="str">
        <f t="shared" si="761"/>
        <v/>
      </c>
      <c r="R12222" s="32" t="str">
        <f>IFERROR(VLOOKUP($D12222,'Informations sur les produits'!$A$3:$B$15000,2,FALSE),"")</f>
        <v/>
      </c>
      <c r="V12222">
        <f t="shared" si="762"/>
        <v>0</v>
      </c>
      <c r="W12222">
        <f t="shared" si="763"/>
        <v>0</v>
      </c>
    </row>
    <row r="12223" spans="5:23" x14ac:dyDescent="0.25">
      <c r="E12223" s="4"/>
      <c r="F12223" s="4"/>
      <c r="G12223" s="33" t="str">
        <f>IFERROR(VLOOKUP($D12223,'Informations sur les produits'!$A$3:$H$10000,8,FALSE),"0")</f>
        <v>0</v>
      </c>
      <c r="K12223" s="4"/>
      <c r="L12223" s="33" t="str">
        <f>IFERROR(VLOOKUP($J12223,'Informations sur les produits'!$A$3:$H$10000,8,FALSE),"0")</f>
        <v>0</v>
      </c>
      <c r="N12223" s="8"/>
      <c r="O12223" s="33" t="str">
        <f>IFERROR(VLOOKUP($M12223,'Informations sur les produits'!$A$3:$H$10000,8,FALSE),"0")</f>
        <v>0</v>
      </c>
      <c r="P12223" s="33">
        <f t="shared" si="760"/>
        <v>0</v>
      </c>
      <c r="Q12223" s="31" t="str">
        <f t="shared" si="761"/>
        <v/>
      </c>
      <c r="R12223" s="32" t="str">
        <f>IFERROR(VLOOKUP($D12223,'Informations sur les produits'!$A$3:$B$15000,2,FALSE),"")</f>
        <v/>
      </c>
      <c r="V12223">
        <f t="shared" si="762"/>
        <v>0</v>
      </c>
      <c r="W12223">
        <f t="shared" si="763"/>
        <v>0</v>
      </c>
    </row>
    <row r="12224" spans="5:23" x14ac:dyDescent="0.25">
      <c r="E12224" s="4"/>
      <c r="F12224" s="4"/>
      <c r="G12224" s="33" t="str">
        <f>IFERROR(VLOOKUP($D12224,'Informations sur les produits'!$A$3:$H$10000,8,FALSE),"0")</f>
        <v>0</v>
      </c>
      <c r="K12224" s="4"/>
      <c r="L12224" s="33" t="str">
        <f>IFERROR(VLOOKUP($J12224,'Informations sur les produits'!$A$3:$H$10000,8,FALSE),"0")</f>
        <v>0</v>
      </c>
      <c r="N12224" s="8"/>
      <c r="O12224" s="33" t="str">
        <f>IFERROR(VLOOKUP($M12224,'Informations sur les produits'!$A$3:$H$10000,8,FALSE),"0")</f>
        <v>0</v>
      </c>
      <c r="P12224" s="33">
        <f t="shared" si="760"/>
        <v>0</v>
      </c>
      <c r="Q12224" s="31" t="str">
        <f t="shared" si="761"/>
        <v/>
      </c>
      <c r="R12224" s="32" t="str">
        <f>IFERROR(VLOOKUP($D12224,'Informations sur les produits'!$A$3:$B$15000,2,FALSE),"")</f>
        <v/>
      </c>
      <c r="V12224">
        <f t="shared" si="762"/>
        <v>0</v>
      </c>
      <c r="W12224">
        <f t="shared" si="763"/>
        <v>0</v>
      </c>
    </row>
    <row r="12225" spans="5:23" x14ac:dyDescent="0.25">
      <c r="E12225" s="4"/>
      <c r="F12225" s="4"/>
      <c r="G12225" s="33" t="str">
        <f>IFERROR(VLOOKUP($D12225,'Informations sur les produits'!$A$3:$H$10000,8,FALSE),"0")</f>
        <v>0</v>
      </c>
      <c r="K12225" s="4"/>
      <c r="L12225" s="33" t="str">
        <f>IFERROR(VLOOKUP($J12225,'Informations sur les produits'!$A$3:$H$10000,8,FALSE),"0")</f>
        <v>0</v>
      </c>
      <c r="N12225" s="8"/>
      <c r="O12225" s="33" t="str">
        <f>IFERROR(VLOOKUP($M12225,'Informations sur les produits'!$A$3:$H$10000,8,FALSE),"0")</f>
        <v>0</v>
      </c>
      <c r="P12225" s="33">
        <f t="shared" si="760"/>
        <v>0</v>
      </c>
      <c r="Q12225" s="31" t="str">
        <f t="shared" si="761"/>
        <v/>
      </c>
      <c r="R12225" s="32" t="str">
        <f>IFERROR(VLOOKUP($D12225,'Informations sur les produits'!$A$3:$B$15000,2,FALSE),"")</f>
        <v/>
      </c>
      <c r="V12225">
        <f t="shared" si="762"/>
        <v>0</v>
      </c>
      <c r="W12225">
        <f t="shared" si="763"/>
        <v>0</v>
      </c>
    </row>
    <row r="12226" spans="5:23" x14ac:dyDescent="0.25">
      <c r="E12226" s="4"/>
      <c r="F12226" s="4"/>
      <c r="G12226" s="33" t="str">
        <f>IFERROR(VLOOKUP($D12226,'Informations sur les produits'!$A$3:$H$10000,8,FALSE),"0")</f>
        <v>0</v>
      </c>
      <c r="K12226" s="4"/>
      <c r="L12226" s="33" t="str">
        <f>IFERROR(VLOOKUP($J12226,'Informations sur les produits'!$A$3:$H$10000,8,FALSE),"0")</f>
        <v>0</v>
      </c>
      <c r="N12226" s="8"/>
      <c r="O12226" s="33" t="str">
        <f>IFERROR(VLOOKUP($M12226,'Informations sur les produits'!$A$3:$H$10000,8,FALSE),"0")</f>
        <v>0</v>
      </c>
      <c r="P12226" s="33">
        <f t="shared" si="760"/>
        <v>0</v>
      </c>
      <c r="Q12226" s="31" t="str">
        <f t="shared" si="761"/>
        <v/>
      </c>
      <c r="R12226" s="32" t="str">
        <f>IFERROR(VLOOKUP($D12226,'Informations sur les produits'!$A$3:$B$15000,2,FALSE),"")</f>
        <v/>
      </c>
      <c r="V12226">
        <f t="shared" si="762"/>
        <v>0</v>
      </c>
      <c r="W12226">
        <f t="shared" si="763"/>
        <v>0</v>
      </c>
    </row>
    <row r="12227" spans="5:23" x14ac:dyDescent="0.25">
      <c r="E12227" s="4"/>
      <c r="F12227" s="4"/>
      <c r="G12227" s="33" t="str">
        <f>IFERROR(VLOOKUP($D12227,'Informations sur les produits'!$A$3:$H$10000,8,FALSE),"0")</f>
        <v>0</v>
      </c>
      <c r="K12227" s="4"/>
      <c r="L12227" s="33" t="str">
        <f>IFERROR(VLOOKUP($J12227,'Informations sur les produits'!$A$3:$H$10000,8,FALSE),"0")</f>
        <v>0</v>
      </c>
      <c r="N12227" s="8"/>
      <c r="O12227" s="33" t="str">
        <f>IFERROR(VLOOKUP($M12227,'Informations sur les produits'!$A$3:$H$10000,8,FALSE),"0")</f>
        <v>0</v>
      </c>
      <c r="P12227" s="33">
        <f t="shared" si="760"/>
        <v>0</v>
      </c>
      <c r="Q12227" s="31" t="str">
        <f t="shared" si="761"/>
        <v/>
      </c>
      <c r="R12227" s="32" t="str">
        <f>IFERROR(VLOOKUP($D12227,'Informations sur les produits'!$A$3:$B$15000,2,FALSE),"")</f>
        <v/>
      </c>
      <c r="V12227">
        <f t="shared" si="762"/>
        <v>0</v>
      </c>
      <c r="W12227">
        <f t="shared" si="763"/>
        <v>0</v>
      </c>
    </row>
    <row r="12228" spans="5:23" x14ac:dyDescent="0.25">
      <c r="E12228" s="4"/>
      <c r="F12228" s="4"/>
      <c r="G12228" s="33" t="str">
        <f>IFERROR(VLOOKUP($D12228,'Informations sur les produits'!$A$3:$H$10000,8,FALSE),"0")</f>
        <v>0</v>
      </c>
      <c r="K12228" s="4"/>
      <c r="L12228" s="33" t="str">
        <f>IFERROR(VLOOKUP($J12228,'Informations sur les produits'!$A$3:$H$10000,8,FALSE),"0")</f>
        <v>0</v>
      </c>
      <c r="N12228" s="8"/>
      <c r="O12228" s="33" t="str">
        <f>IFERROR(VLOOKUP($M12228,'Informations sur les produits'!$A$3:$H$10000,8,FALSE),"0")</f>
        <v>0</v>
      </c>
      <c r="P12228" s="33">
        <f t="shared" ref="P12228:P12291" si="764">IFERROR((($E12228-$F12228)*$G12228+$K12228*$L12228+$N12228*$O12228),"")</f>
        <v>0</v>
      </c>
      <c r="Q12228" s="31" t="str">
        <f t="shared" ref="Q12228:Q12291" si="765">IFERROR((((($E12228-$F12228)*$G12228+$K12228*$L12228+$N12228*$O12228)*1000)/(($E12228-$F12228)+$K12228+$N12228)),"")</f>
        <v/>
      </c>
      <c r="R12228" s="32" t="str">
        <f>IFERROR(VLOOKUP($D12228,'Informations sur les produits'!$A$3:$B$15000,2,FALSE),"")</f>
        <v/>
      </c>
      <c r="V12228">
        <f t="shared" ref="V12228:V12291" si="766">IFERROR(P12228*1000,"")</f>
        <v>0</v>
      </c>
      <c r="W12228">
        <f t="shared" ref="W12228:W12291" si="767">IFERROR(($E12228-$F12228)+$K12228+$N12228,"")</f>
        <v>0</v>
      </c>
    </row>
    <row r="12229" spans="5:23" x14ac:dyDescent="0.25">
      <c r="E12229" s="4"/>
      <c r="F12229" s="4"/>
      <c r="G12229" s="33" t="str">
        <f>IFERROR(VLOOKUP($D12229,'Informations sur les produits'!$A$3:$H$10000,8,FALSE),"0")</f>
        <v>0</v>
      </c>
      <c r="K12229" s="4"/>
      <c r="L12229" s="33" t="str">
        <f>IFERROR(VLOOKUP($J12229,'Informations sur les produits'!$A$3:$H$10000,8,FALSE),"0")</f>
        <v>0</v>
      </c>
      <c r="N12229" s="8"/>
      <c r="O12229" s="33" t="str">
        <f>IFERROR(VLOOKUP($M12229,'Informations sur les produits'!$A$3:$H$10000,8,FALSE),"0")</f>
        <v>0</v>
      </c>
      <c r="P12229" s="33">
        <f t="shared" si="764"/>
        <v>0</v>
      </c>
      <c r="Q12229" s="31" t="str">
        <f t="shared" si="765"/>
        <v/>
      </c>
      <c r="R12229" s="32" t="str">
        <f>IFERROR(VLOOKUP($D12229,'Informations sur les produits'!$A$3:$B$15000,2,FALSE),"")</f>
        <v/>
      </c>
      <c r="V12229">
        <f t="shared" si="766"/>
        <v>0</v>
      </c>
      <c r="W12229">
        <f t="shared" si="767"/>
        <v>0</v>
      </c>
    </row>
    <row r="12230" spans="5:23" x14ac:dyDescent="0.25">
      <c r="E12230" s="4"/>
      <c r="F12230" s="4"/>
      <c r="G12230" s="33" t="str">
        <f>IFERROR(VLOOKUP($D12230,'Informations sur les produits'!$A$3:$H$10000,8,FALSE),"0")</f>
        <v>0</v>
      </c>
      <c r="K12230" s="4"/>
      <c r="L12230" s="33" t="str">
        <f>IFERROR(VLOOKUP($J12230,'Informations sur les produits'!$A$3:$H$10000,8,FALSE),"0")</f>
        <v>0</v>
      </c>
      <c r="N12230" s="8"/>
      <c r="O12230" s="33" t="str">
        <f>IFERROR(VLOOKUP($M12230,'Informations sur les produits'!$A$3:$H$10000,8,FALSE),"0")</f>
        <v>0</v>
      </c>
      <c r="P12230" s="33">
        <f t="shared" si="764"/>
        <v>0</v>
      </c>
      <c r="Q12230" s="31" t="str">
        <f t="shared" si="765"/>
        <v/>
      </c>
      <c r="R12230" s="32" t="str">
        <f>IFERROR(VLOOKUP($D12230,'Informations sur les produits'!$A$3:$B$15000,2,FALSE),"")</f>
        <v/>
      </c>
      <c r="V12230">
        <f t="shared" si="766"/>
        <v>0</v>
      </c>
      <c r="W12230">
        <f t="shared" si="767"/>
        <v>0</v>
      </c>
    </row>
    <row r="12231" spans="5:23" x14ac:dyDescent="0.25">
      <c r="E12231" s="4"/>
      <c r="F12231" s="4"/>
      <c r="G12231" s="33" t="str">
        <f>IFERROR(VLOOKUP($D12231,'Informations sur les produits'!$A$3:$H$10000,8,FALSE),"0")</f>
        <v>0</v>
      </c>
      <c r="K12231" s="4"/>
      <c r="L12231" s="33" t="str">
        <f>IFERROR(VLOOKUP($J12231,'Informations sur les produits'!$A$3:$H$10000,8,FALSE),"0")</f>
        <v>0</v>
      </c>
      <c r="N12231" s="8"/>
      <c r="O12231" s="33" t="str">
        <f>IFERROR(VLOOKUP($M12231,'Informations sur les produits'!$A$3:$H$10000,8,FALSE),"0")</f>
        <v>0</v>
      </c>
      <c r="P12231" s="33">
        <f t="shared" si="764"/>
        <v>0</v>
      </c>
      <c r="Q12231" s="31" t="str">
        <f t="shared" si="765"/>
        <v/>
      </c>
      <c r="R12231" s="32" t="str">
        <f>IFERROR(VLOOKUP($D12231,'Informations sur les produits'!$A$3:$B$15000,2,FALSE),"")</f>
        <v/>
      </c>
      <c r="V12231">
        <f t="shared" si="766"/>
        <v>0</v>
      </c>
      <c r="W12231">
        <f t="shared" si="767"/>
        <v>0</v>
      </c>
    </row>
    <row r="12232" spans="5:23" x14ac:dyDescent="0.25">
      <c r="E12232" s="4"/>
      <c r="F12232" s="4"/>
      <c r="G12232" s="33" t="str">
        <f>IFERROR(VLOOKUP($D12232,'Informations sur les produits'!$A$3:$H$10000,8,FALSE),"0")</f>
        <v>0</v>
      </c>
      <c r="K12232" s="4"/>
      <c r="L12232" s="33" t="str">
        <f>IFERROR(VLOOKUP($J12232,'Informations sur les produits'!$A$3:$H$10000,8,FALSE),"0")</f>
        <v>0</v>
      </c>
      <c r="N12232" s="8"/>
      <c r="O12232" s="33" t="str">
        <f>IFERROR(VLOOKUP($M12232,'Informations sur les produits'!$A$3:$H$10000,8,FALSE),"0")</f>
        <v>0</v>
      </c>
      <c r="P12232" s="33">
        <f t="shared" si="764"/>
        <v>0</v>
      </c>
      <c r="Q12232" s="31" t="str">
        <f t="shared" si="765"/>
        <v/>
      </c>
      <c r="R12232" s="32" t="str">
        <f>IFERROR(VLOOKUP($D12232,'Informations sur les produits'!$A$3:$B$15000,2,FALSE),"")</f>
        <v/>
      </c>
      <c r="V12232">
        <f t="shared" si="766"/>
        <v>0</v>
      </c>
      <c r="W12232">
        <f t="shared" si="767"/>
        <v>0</v>
      </c>
    </row>
    <row r="12233" spans="5:23" x14ac:dyDescent="0.25">
      <c r="E12233" s="4"/>
      <c r="F12233" s="4"/>
      <c r="G12233" s="33" t="str">
        <f>IFERROR(VLOOKUP($D12233,'Informations sur les produits'!$A$3:$H$10000,8,FALSE),"0")</f>
        <v>0</v>
      </c>
      <c r="K12233" s="4"/>
      <c r="L12233" s="33" t="str">
        <f>IFERROR(VLOOKUP($J12233,'Informations sur les produits'!$A$3:$H$10000,8,FALSE),"0")</f>
        <v>0</v>
      </c>
      <c r="N12233" s="8"/>
      <c r="O12233" s="33" t="str">
        <f>IFERROR(VLOOKUP($M12233,'Informations sur les produits'!$A$3:$H$10000,8,FALSE),"0")</f>
        <v>0</v>
      </c>
      <c r="P12233" s="33">
        <f t="shared" si="764"/>
        <v>0</v>
      </c>
      <c r="Q12233" s="31" t="str">
        <f t="shared" si="765"/>
        <v/>
      </c>
      <c r="R12233" s="32" t="str">
        <f>IFERROR(VLOOKUP($D12233,'Informations sur les produits'!$A$3:$B$15000,2,FALSE),"")</f>
        <v/>
      </c>
      <c r="V12233">
        <f t="shared" si="766"/>
        <v>0</v>
      </c>
      <c r="W12233">
        <f t="shared" si="767"/>
        <v>0</v>
      </c>
    </row>
    <row r="12234" spans="5:23" x14ac:dyDescent="0.25">
      <c r="E12234" s="4"/>
      <c r="F12234" s="4"/>
      <c r="G12234" s="33" t="str">
        <f>IFERROR(VLOOKUP($D12234,'Informations sur les produits'!$A$3:$H$10000,8,FALSE),"0")</f>
        <v>0</v>
      </c>
      <c r="K12234" s="4"/>
      <c r="L12234" s="33" t="str">
        <f>IFERROR(VLOOKUP($J12234,'Informations sur les produits'!$A$3:$H$10000,8,FALSE),"0")</f>
        <v>0</v>
      </c>
      <c r="N12234" s="8"/>
      <c r="O12234" s="33" t="str">
        <f>IFERROR(VLOOKUP($M12234,'Informations sur les produits'!$A$3:$H$10000,8,FALSE),"0")</f>
        <v>0</v>
      </c>
      <c r="P12234" s="33">
        <f t="shared" si="764"/>
        <v>0</v>
      </c>
      <c r="Q12234" s="31" t="str">
        <f t="shared" si="765"/>
        <v/>
      </c>
      <c r="R12234" s="32" t="str">
        <f>IFERROR(VLOOKUP($D12234,'Informations sur les produits'!$A$3:$B$15000,2,FALSE),"")</f>
        <v/>
      </c>
      <c r="V12234">
        <f t="shared" si="766"/>
        <v>0</v>
      </c>
      <c r="W12234">
        <f t="shared" si="767"/>
        <v>0</v>
      </c>
    </row>
    <row r="12235" spans="5:23" x14ac:dyDescent="0.25">
      <c r="E12235" s="4"/>
      <c r="F12235" s="4"/>
      <c r="G12235" s="33" t="str">
        <f>IFERROR(VLOOKUP($D12235,'Informations sur les produits'!$A$3:$H$10000,8,FALSE),"0")</f>
        <v>0</v>
      </c>
      <c r="K12235" s="4"/>
      <c r="L12235" s="33" t="str">
        <f>IFERROR(VLOOKUP($J12235,'Informations sur les produits'!$A$3:$H$10000,8,FALSE),"0")</f>
        <v>0</v>
      </c>
      <c r="N12235" s="8"/>
      <c r="O12235" s="33" t="str">
        <f>IFERROR(VLOOKUP($M12235,'Informations sur les produits'!$A$3:$H$10000,8,FALSE),"0")</f>
        <v>0</v>
      </c>
      <c r="P12235" s="33">
        <f t="shared" si="764"/>
        <v>0</v>
      </c>
      <c r="Q12235" s="31" t="str">
        <f t="shared" si="765"/>
        <v/>
      </c>
      <c r="R12235" s="32" t="str">
        <f>IFERROR(VLOOKUP($D12235,'Informations sur les produits'!$A$3:$B$15000,2,FALSE),"")</f>
        <v/>
      </c>
      <c r="V12235">
        <f t="shared" si="766"/>
        <v>0</v>
      </c>
      <c r="W12235">
        <f t="shared" si="767"/>
        <v>0</v>
      </c>
    </row>
    <row r="12236" spans="5:23" x14ac:dyDescent="0.25">
      <c r="E12236" s="4"/>
      <c r="F12236" s="4"/>
      <c r="G12236" s="33" t="str">
        <f>IFERROR(VLOOKUP($D12236,'Informations sur les produits'!$A$3:$H$10000,8,FALSE),"0")</f>
        <v>0</v>
      </c>
      <c r="K12236" s="4"/>
      <c r="L12236" s="33" t="str">
        <f>IFERROR(VLOOKUP($J12236,'Informations sur les produits'!$A$3:$H$10000,8,FALSE),"0")</f>
        <v>0</v>
      </c>
      <c r="N12236" s="8"/>
      <c r="O12236" s="33" t="str">
        <f>IFERROR(VLOOKUP($M12236,'Informations sur les produits'!$A$3:$H$10000,8,FALSE),"0")</f>
        <v>0</v>
      </c>
      <c r="P12236" s="33">
        <f t="shared" si="764"/>
        <v>0</v>
      </c>
      <c r="Q12236" s="31" t="str">
        <f t="shared" si="765"/>
        <v/>
      </c>
      <c r="R12236" s="32" t="str">
        <f>IFERROR(VLOOKUP($D12236,'Informations sur les produits'!$A$3:$B$15000,2,FALSE),"")</f>
        <v/>
      </c>
      <c r="V12236">
        <f t="shared" si="766"/>
        <v>0</v>
      </c>
      <c r="W12236">
        <f t="shared" si="767"/>
        <v>0</v>
      </c>
    </row>
    <row r="12237" spans="5:23" x14ac:dyDescent="0.25">
      <c r="E12237" s="4"/>
      <c r="F12237" s="4"/>
      <c r="G12237" s="33" t="str">
        <f>IFERROR(VLOOKUP($D12237,'Informations sur les produits'!$A$3:$H$10000,8,FALSE),"0")</f>
        <v>0</v>
      </c>
      <c r="K12237" s="4"/>
      <c r="L12237" s="33" t="str">
        <f>IFERROR(VLOOKUP($J12237,'Informations sur les produits'!$A$3:$H$10000,8,FALSE),"0")</f>
        <v>0</v>
      </c>
      <c r="N12237" s="8"/>
      <c r="O12237" s="33" t="str">
        <f>IFERROR(VLOOKUP($M12237,'Informations sur les produits'!$A$3:$H$10000,8,FALSE),"0")</f>
        <v>0</v>
      </c>
      <c r="P12237" s="33">
        <f t="shared" si="764"/>
        <v>0</v>
      </c>
      <c r="Q12237" s="31" t="str">
        <f t="shared" si="765"/>
        <v/>
      </c>
      <c r="R12237" s="32" t="str">
        <f>IFERROR(VLOOKUP($D12237,'Informations sur les produits'!$A$3:$B$15000,2,FALSE),"")</f>
        <v/>
      </c>
      <c r="V12237">
        <f t="shared" si="766"/>
        <v>0</v>
      </c>
      <c r="W12237">
        <f t="shared" si="767"/>
        <v>0</v>
      </c>
    </row>
    <row r="12238" spans="5:23" x14ac:dyDescent="0.25">
      <c r="E12238" s="4"/>
      <c r="F12238" s="4"/>
      <c r="G12238" s="33" t="str">
        <f>IFERROR(VLOOKUP($D12238,'Informations sur les produits'!$A$3:$H$10000,8,FALSE),"0")</f>
        <v>0</v>
      </c>
      <c r="K12238" s="4"/>
      <c r="L12238" s="33" t="str">
        <f>IFERROR(VLOOKUP($J12238,'Informations sur les produits'!$A$3:$H$10000,8,FALSE),"0")</f>
        <v>0</v>
      </c>
      <c r="N12238" s="8"/>
      <c r="O12238" s="33" t="str">
        <f>IFERROR(VLOOKUP($M12238,'Informations sur les produits'!$A$3:$H$10000,8,FALSE),"0")</f>
        <v>0</v>
      </c>
      <c r="P12238" s="33">
        <f t="shared" si="764"/>
        <v>0</v>
      </c>
      <c r="Q12238" s="31" t="str">
        <f t="shared" si="765"/>
        <v/>
      </c>
      <c r="R12238" s="32" t="str">
        <f>IFERROR(VLOOKUP($D12238,'Informations sur les produits'!$A$3:$B$15000,2,FALSE),"")</f>
        <v/>
      </c>
      <c r="V12238">
        <f t="shared" si="766"/>
        <v>0</v>
      </c>
      <c r="W12238">
        <f t="shared" si="767"/>
        <v>0</v>
      </c>
    </row>
    <row r="12239" spans="5:23" x14ac:dyDescent="0.25">
      <c r="E12239" s="4"/>
      <c r="F12239" s="4"/>
      <c r="G12239" s="33" t="str">
        <f>IFERROR(VLOOKUP($D12239,'Informations sur les produits'!$A$3:$H$10000,8,FALSE),"0")</f>
        <v>0</v>
      </c>
      <c r="K12239" s="4"/>
      <c r="L12239" s="33" t="str">
        <f>IFERROR(VLOOKUP($J12239,'Informations sur les produits'!$A$3:$H$10000,8,FALSE),"0")</f>
        <v>0</v>
      </c>
      <c r="N12239" s="8"/>
      <c r="O12239" s="33" t="str">
        <f>IFERROR(VLOOKUP($M12239,'Informations sur les produits'!$A$3:$H$10000,8,FALSE),"0")</f>
        <v>0</v>
      </c>
      <c r="P12239" s="33">
        <f t="shared" si="764"/>
        <v>0</v>
      </c>
      <c r="Q12239" s="31" t="str">
        <f t="shared" si="765"/>
        <v/>
      </c>
      <c r="R12239" s="32" t="str">
        <f>IFERROR(VLOOKUP($D12239,'Informations sur les produits'!$A$3:$B$15000,2,FALSE),"")</f>
        <v/>
      </c>
      <c r="V12239">
        <f t="shared" si="766"/>
        <v>0</v>
      </c>
      <c r="W12239">
        <f t="shared" si="767"/>
        <v>0</v>
      </c>
    </row>
    <row r="12240" spans="5:23" x14ac:dyDescent="0.25">
      <c r="E12240" s="4"/>
      <c r="F12240" s="4"/>
      <c r="G12240" s="33" t="str">
        <f>IFERROR(VLOOKUP($D12240,'Informations sur les produits'!$A$3:$H$10000,8,FALSE),"0")</f>
        <v>0</v>
      </c>
      <c r="K12240" s="4"/>
      <c r="L12240" s="33" t="str">
        <f>IFERROR(VLOOKUP($J12240,'Informations sur les produits'!$A$3:$H$10000,8,FALSE),"0")</f>
        <v>0</v>
      </c>
      <c r="N12240" s="8"/>
      <c r="O12240" s="33" t="str">
        <f>IFERROR(VLOOKUP($M12240,'Informations sur les produits'!$A$3:$H$10000,8,FALSE),"0")</f>
        <v>0</v>
      </c>
      <c r="P12240" s="33">
        <f t="shared" si="764"/>
        <v>0</v>
      </c>
      <c r="Q12240" s="31" t="str">
        <f t="shared" si="765"/>
        <v/>
      </c>
      <c r="R12240" s="32" t="str">
        <f>IFERROR(VLOOKUP($D12240,'Informations sur les produits'!$A$3:$B$15000,2,FALSE),"")</f>
        <v/>
      </c>
      <c r="V12240">
        <f t="shared" si="766"/>
        <v>0</v>
      </c>
      <c r="W12240">
        <f t="shared" si="767"/>
        <v>0</v>
      </c>
    </row>
    <row r="12241" spans="5:23" x14ac:dyDescent="0.25">
      <c r="E12241" s="4"/>
      <c r="F12241" s="4"/>
      <c r="G12241" s="33" t="str">
        <f>IFERROR(VLOOKUP($D12241,'Informations sur les produits'!$A$3:$H$10000,8,FALSE),"0")</f>
        <v>0</v>
      </c>
      <c r="K12241" s="4"/>
      <c r="L12241" s="33" t="str">
        <f>IFERROR(VLOOKUP($J12241,'Informations sur les produits'!$A$3:$H$10000,8,FALSE),"0")</f>
        <v>0</v>
      </c>
      <c r="N12241" s="8"/>
      <c r="O12241" s="33" t="str">
        <f>IFERROR(VLOOKUP($M12241,'Informations sur les produits'!$A$3:$H$10000,8,FALSE),"0")</f>
        <v>0</v>
      </c>
      <c r="P12241" s="33">
        <f t="shared" si="764"/>
        <v>0</v>
      </c>
      <c r="Q12241" s="31" t="str">
        <f t="shared" si="765"/>
        <v/>
      </c>
      <c r="R12241" s="32" t="str">
        <f>IFERROR(VLOOKUP($D12241,'Informations sur les produits'!$A$3:$B$15000,2,FALSE),"")</f>
        <v/>
      </c>
      <c r="V12241">
        <f t="shared" si="766"/>
        <v>0</v>
      </c>
      <c r="W12241">
        <f t="shared" si="767"/>
        <v>0</v>
      </c>
    </row>
    <row r="12242" spans="5:23" x14ac:dyDescent="0.25">
      <c r="E12242" s="4"/>
      <c r="F12242" s="4"/>
      <c r="G12242" s="33" t="str">
        <f>IFERROR(VLOOKUP($D12242,'Informations sur les produits'!$A$3:$H$10000,8,FALSE),"0")</f>
        <v>0</v>
      </c>
      <c r="K12242" s="4"/>
      <c r="L12242" s="33" t="str">
        <f>IFERROR(VLOOKUP($J12242,'Informations sur les produits'!$A$3:$H$10000,8,FALSE),"0")</f>
        <v>0</v>
      </c>
      <c r="N12242" s="8"/>
      <c r="O12242" s="33" t="str">
        <f>IFERROR(VLOOKUP($M12242,'Informations sur les produits'!$A$3:$H$10000,8,FALSE),"0")</f>
        <v>0</v>
      </c>
      <c r="P12242" s="33">
        <f t="shared" si="764"/>
        <v>0</v>
      </c>
      <c r="Q12242" s="31" t="str">
        <f t="shared" si="765"/>
        <v/>
      </c>
      <c r="R12242" s="32" t="str">
        <f>IFERROR(VLOOKUP($D12242,'Informations sur les produits'!$A$3:$B$15000,2,FALSE),"")</f>
        <v/>
      </c>
      <c r="V12242">
        <f t="shared" si="766"/>
        <v>0</v>
      </c>
      <c r="W12242">
        <f t="shared" si="767"/>
        <v>0</v>
      </c>
    </row>
    <row r="12243" spans="5:23" x14ac:dyDescent="0.25">
      <c r="E12243" s="4"/>
      <c r="F12243" s="4"/>
      <c r="G12243" s="33" t="str">
        <f>IFERROR(VLOOKUP($D12243,'Informations sur les produits'!$A$3:$H$10000,8,FALSE),"0")</f>
        <v>0</v>
      </c>
      <c r="K12243" s="4"/>
      <c r="L12243" s="33" t="str">
        <f>IFERROR(VLOOKUP($J12243,'Informations sur les produits'!$A$3:$H$10000,8,FALSE),"0")</f>
        <v>0</v>
      </c>
      <c r="N12243" s="8"/>
      <c r="O12243" s="33" t="str">
        <f>IFERROR(VLOOKUP($M12243,'Informations sur les produits'!$A$3:$H$10000,8,FALSE),"0")</f>
        <v>0</v>
      </c>
      <c r="P12243" s="33">
        <f t="shared" si="764"/>
        <v>0</v>
      </c>
      <c r="Q12243" s="31" t="str">
        <f t="shared" si="765"/>
        <v/>
      </c>
      <c r="R12243" s="32" t="str">
        <f>IFERROR(VLOOKUP($D12243,'Informations sur les produits'!$A$3:$B$15000,2,FALSE),"")</f>
        <v/>
      </c>
      <c r="V12243">
        <f t="shared" si="766"/>
        <v>0</v>
      </c>
      <c r="W12243">
        <f t="shared" si="767"/>
        <v>0</v>
      </c>
    </row>
    <row r="12244" spans="5:23" x14ac:dyDescent="0.25">
      <c r="E12244" s="4"/>
      <c r="F12244" s="4"/>
      <c r="G12244" s="33" t="str">
        <f>IFERROR(VLOOKUP($D12244,'Informations sur les produits'!$A$3:$H$10000,8,FALSE),"0")</f>
        <v>0</v>
      </c>
      <c r="K12244" s="4"/>
      <c r="L12244" s="33" t="str">
        <f>IFERROR(VLOOKUP($J12244,'Informations sur les produits'!$A$3:$H$10000,8,FALSE),"0")</f>
        <v>0</v>
      </c>
      <c r="N12244" s="8"/>
      <c r="O12244" s="33" t="str">
        <f>IFERROR(VLOOKUP($M12244,'Informations sur les produits'!$A$3:$H$10000,8,FALSE),"0")</f>
        <v>0</v>
      </c>
      <c r="P12244" s="33">
        <f t="shared" si="764"/>
        <v>0</v>
      </c>
      <c r="Q12244" s="31" t="str">
        <f t="shared" si="765"/>
        <v/>
      </c>
      <c r="R12244" s="32" t="str">
        <f>IFERROR(VLOOKUP($D12244,'Informations sur les produits'!$A$3:$B$15000,2,FALSE),"")</f>
        <v/>
      </c>
      <c r="V12244">
        <f t="shared" si="766"/>
        <v>0</v>
      </c>
      <c r="W12244">
        <f t="shared" si="767"/>
        <v>0</v>
      </c>
    </row>
    <row r="12245" spans="5:23" x14ac:dyDescent="0.25">
      <c r="E12245" s="4"/>
      <c r="F12245" s="4"/>
      <c r="G12245" s="33" t="str">
        <f>IFERROR(VLOOKUP($D12245,'Informations sur les produits'!$A$3:$H$10000,8,FALSE),"0")</f>
        <v>0</v>
      </c>
      <c r="K12245" s="4"/>
      <c r="L12245" s="33" t="str">
        <f>IFERROR(VLOOKUP($J12245,'Informations sur les produits'!$A$3:$H$10000,8,FALSE),"0")</f>
        <v>0</v>
      </c>
      <c r="N12245" s="8"/>
      <c r="O12245" s="33" t="str">
        <f>IFERROR(VLOOKUP($M12245,'Informations sur les produits'!$A$3:$H$10000,8,FALSE),"0")</f>
        <v>0</v>
      </c>
      <c r="P12245" s="33">
        <f t="shared" si="764"/>
        <v>0</v>
      </c>
      <c r="Q12245" s="31" t="str">
        <f t="shared" si="765"/>
        <v/>
      </c>
      <c r="R12245" s="32" t="str">
        <f>IFERROR(VLOOKUP($D12245,'Informations sur les produits'!$A$3:$B$15000,2,FALSE),"")</f>
        <v/>
      </c>
      <c r="V12245">
        <f t="shared" si="766"/>
        <v>0</v>
      </c>
      <c r="W12245">
        <f t="shared" si="767"/>
        <v>0</v>
      </c>
    </row>
    <row r="12246" spans="5:23" x14ac:dyDescent="0.25">
      <c r="E12246" s="4"/>
      <c r="F12246" s="4"/>
      <c r="G12246" s="33" t="str">
        <f>IFERROR(VLOOKUP($D12246,'Informations sur les produits'!$A$3:$H$10000,8,FALSE),"0")</f>
        <v>0</v>
      </c>
      <c r="K12246" s="4"/>
      <c r="L12246" s="33" t="str">
        <f>IFERROR(VLOOKUP($J12246,'Informations sur les produits'!$A$3:$H$10000,8,FALSE),"0")</f>
        <v>0</v>
      </c>
      <c r="N12246" s="8"/>
      <c r="O12246" s="33" t="str">
        <f>IFERROR(VLOOKUP($M12246,'Informations sur les produits'!$A$3:$H$10000,8,FALSE),"0")</f>
        <v>0</v>
      </c>
      <c r="P12246" s="33">
        <f t="shared" si="764"/>
        <v>0</v>
      </c>
      <c r="Q12246" s="31" t="str">
        <f t="shared" si="765"/>
        <v/>
      </c>
      <c r="R12246" s="32" t="str">
        <f>IFERROR(VLOOKUP($D12246,'Informations sur les produits'!$A$3:$B$15000,2,FALSE),"")</f>
        <v/>
      </c>
      <c r="V12246">
        <f t="shared" si="766"/>
        <v>0</v>
      </c>
      <c r="W12246">
        <f t="shared" si="767"/>
        <v>0</v>
      </c>
    </row>
    <row r="12247" spans="5:23" x14ac:dyDescent="0.25">
      <c r="E12247" s="4"/>
      <c r="F12247" s="4"/>
      <c r="G12247" s="33" t="str">
        <f>IFERROR(VLOOKUP($D12247,'Informations sur les produits'!$A$3:$H$10000,8,FALSE),"0")</f>
        <v>0</v>
      </c>
      <c r="K12247" s="4"/>
      <c r="L12247" s="33" t="str">
        <f>IFERROR(VLOOKUP($J12247,'Informations sur les produits'!$A$3:$H$10000,8,FALSE),"0")</f>
        <v>0</v>
      </c>
      <c r="N12247" s="8"/>
      <c r="O12247" s="33" t="str">
        <f>IFERROR(VLOOKUP($M12247,'Informations sur les produits'!$A$3:$H$10000,8,FALSE),"0")</f>
        <v>0</v>
      </c>
      <c r="P12247" s="33">
        <f t="shared" si="764"/>
        <v>0</v>
      </c>
      <c r="Q12247" s="31" t="str">
        <f t="shared" si="765"/>
        <v/>
      </c>
      <c r="R12247" s="32" t="str">
        <f>IFERROR(VLOOKUP($D12247,'Informations sur les produits'!$A$3:$B$15000,2,FALSE),"")</f>
        <v/>
      </c>
      <c r="V12247">
        <f t="shared" si="766"/>
        <v>0</v>
      </c>
      <c r="W12247">
        <f t="shared" si="767"/>
        <v>0</v>
      </c>
    </row>
    <row r="12248" spans="5:23" x14ac:dyDescent="0.25">
      <c r="E12248" s="4"/>
      <c r="F12248" s="4"/>
      <c r="G12248" s="33" t="str">
        <f>IFERROR(VLOOKUP($D12248,'Informations sur les produits'!$A$3:$H$10000,8,FALSE),"0")</f>
        <v>0</v>
      </c>
      <c r="K12248" s="4"/>
      <c r="L12248" s="33" t="str">
        <f>IFERROR(VLOOKUP($J12248,'Informations sur les produits'!$A$3:$H$10000,8,FALSE),"0")</f>
        <v>0</v>
      </c>
      <c r="N12248" s="8"/>
      <c r="O12248" s="33" t="str">
        <f>IFERROR(VLOOKUP($M12248,'Informations sur les produits'!$A$3:$H$10000,8,FALSE),"0")</f>
        <v>0</v>
      </c>
      <c r="P12248" s="33">
        <f t="shared" si="764"/>
        <v>0</v>
      </c>
      <c r="Q12248" s="31" t="str">
        <f t="shared" si="765"/>
        <v/>
      </c>
      <c r="R12248" s="32" t="str">
        <f>IFERROR(VLOOKUP($D12248,'Informations sur les produits'!$A$3:$B$15000,2,FALSE),"")</f>
        <v/>
      </c>
      <c r="V12248">
        <f t="shared" si="766"/>
        <v>0</v>
      </c>
      <c r="W12248">
        <f t="shared" si="767"/>
        <v>0</v>
      </c>
    </row>
    <row r="12249" spans="5:23" x14ac:dyDescent="0.25">
      <c r="E12249" s="4"/>
      <c r="F12249" s="4"/>
      <c r="G12249" s="33" t="str">
        <f>IFERROR(VLOOKUP($D12249,'Informations sur les produits'!$A$3:$H$10000,8,FALSE),"0")</f>
        <v>0</v>
      </c>
      <c r="K12249" s="4"/>
      <c r="L12249" s="33" t="str">
        <f>IFERROR(VLOOKUP($J12249,'Informations sur les produits'!$A$3:$H$10000,8,FALSE),"0")</f>
        <v>0</v>
      </c>
      <c r="N12249" s="8"/>
      <c r="O12249" s="33" t="str">
        <f>IFERROR(VLOOKUP($M12249,'Informations sur les produits'!$A$3:$H$10000,8,FALSE),"0")</f>
        <v>0</v>
      </c>
      <c r="P12249" s="33">
        <f t="shared" si="764"/>
        <v>0</v>
      </c>
      <c r="Q12249" s="31" t="str">
        <f t="shared" si="765"/>
        <v/>
      </c>
      <c r="R12249" s="32" t="str">
        <f>IFERROR(VLOOKUP($D12249,'Informations sur les produits'!$A$3:$B$15000,2,FALSE),"")</f>
        <v/>
      </c>
      <c r="V12249">
        <f t="shared" si="766"/>
        <v>0</v>
      </c>
      <c r="W12249">
        <f t="shared" si="767"/>
        <v>0</v>
      </c>
    </row>
    <row r="12250" spans="5:23" x14ac:dyDescent="0.25">
      <c r="E12250" s="4"/>
      <c r="F12250" s="4"/>
      <c r="G12250" s="33" t="str">
        <f>IFERROR(VLOOKUP($D12250,'Informations sur les produits'!$A$3:$H$10000,8,FALSE),"0")</f>
        <v>0</v>
      </c>
      <c r="K12250" s="4"/>
      <c r="L12250" s="33" t="str">
        <f>IFERROR(VLOOKUP($J12250,'Informations sur les produits'!$A$3:$H$10000,8,FALSE),"0")</f>
        <v>0</v>
      </c>
      <c r="N12250" s="8"/>
      <c r="O12250" s="33" t="str">
        <f>IFERROR(VLOOKUP($M12250,'Informations sur les produits'!$A$3:$H$10000,8,FALSE),"0")</f>
        <v>0</v>
      </c>
      <c r="P12250" s="33">
        <f t="shared" si="764"/>
        <v>0</v>
      </c>
      <c r="Q12250" s="31" t="str">
        <f t="shared" si="765"/>
        <v/>
      </c>
      <c r="R12250" s="32" t="str">
        <f>IFERROR(VLOOKUP($D12250,'Informations sur les produits'!$A$3:$B$15000,2,FALSE),"")</f>
        <v/>
      </c>
      <c r="V12250">
        <f t="shared" si="766"/>
        <v>0</v>
      </c>
      <c r="W12250">
        <f t="shared" si="767"/>
        <v>0</v>
      </c>
    </row>
    <row r="12251" spans="5:23" x14ac:dyDescent="0.25">
      <c r="E12251" s="4"/>
      <c r="F12251" s="4"/>
      <c r="G12251" s="33" t="str">
        <f>IFERROR(VLOOKUP($D12251,'Informations sur les produits'!$A$3:$H$10000,8,FALSE),"0")</f>
        <v>0</v>
      </c>
      <c r="K12251" s="4"/>
      <c r="L12251" s="33" t="str">
        <f>IFERROR(VLOOKUP($J12251,'Informations sur les produits'!$A$3:$H$10000,8,FALSE),"0")</f>
        <v>0</v>
      </c>
      <c r="N12251" s="8"/>
      <c r="O12251" s="33" t="str">
        <f>IFERROR(VLOOKUP($M12251,'Informations sur les produits'!$A$3:$H$10000,8,FALSE),"0")</f>
        <v>0</v>
      </c>
      <c r="P12251" s="33">
        <f t="shared" si="764"/>
        <v>0</v>
      </c>
      <c r="Q12251" s="31" t="str">
        <f t="shared" si="765"/>
        <v/>
      </c>
      <c r="R12251" s="32" t="str">
        <f>IFERROR(VLOOKUP($D12251,'Informations sur les produits'!$A$3:$B$15000,2,FALSE),"")</f>
        <v/>
      </c>
      <c r="V12251">
        <f t="shared" si="766"/>
        <v>0</v>
      </c>
      <c r="W12251">
        <f t="shared" si="767"/>
        <v>0</v>
      </c>
    </row>
    <row r="12252" spans="5:23" x14ac:dyDescent="0.25">
      <c r="E12252" s="4"/>
      <c r="F12252" s="4"/>
      <c r="G12252" s="33" t="str">
        <f>IFERROR(VLOOKUP($D12252,'Informations sur les produits'!$A$3:$H$10000,8,FALSE),"0")</f>
        <v>0</v>
      </c>
      <c r="K12252" s="4"/>
      <c r="L12252" s="33" t="str">
        <f>IFERROR(VLOOKUP($J12252,'Informations sur les produits'!$A$3:$H$10000,8,FALSE),"0")</f>
        <v>0</v>
      </c>
      <c r="N12252" s="8"/>
      <c r="O12252" s="33" t="str">
        <f>IFERROR(VLOOKUP($M12252,'Informations sur les produits'!$A$3:$H$10000,8,FALSE),"0")</f>
        <v>0</v>
      </c>
      <c r="P12252" s="33">
        <f t="shared" si="764"/>
        <v>0</v>
      </c>
      <c r="Q12252" s="31" t="str">
        <f t="shared" si="765"/>
        <v/>
      </c>
      <c r="R12252" s="32" t="str">
        <f>IFERROR(VLOOKUP($D12252,'Informations sur les produits'!$A$3:$B$15000,2,FALSE),"")</f>
        <v/>
      </c>
      <c r="V12252">
        <f t="shared" si="766"/>
        <v>0</v>
      </c>
      <c r="W12252">
        <f t="shared" si="767"/>
        <v>0</v>
      </c>
    </row>
    <row r="12253" spans="5:23" x14ac:dyDescent="0.25">
      <c r="E12253" s="4"/>
      <c r="F12253" s="4"/>
      <c r="G12253" s="33" t="str">
        <f>IFERROR(VLOOKUP($D12253,'Informations sur les produits'!$A$3:$H$10000,8,FALSE),"0")</f>
        <v>0</v>
      </c>
      <c r="K12253" s="4"/>
      <c r="L12253" s="33" t="str">
        <f>IFERROR(VLOOKUP($J12253,'Informations sur les produits'!$A$3:$H$10000,8,FALSE),"0")</f>
        <v>0</v>
      </c>
      <c r="N12253" s="8"/>
      <c r="O12253" s="33" t="str">
        <f>IFERROR(VLOOKUP($M12253,'Informations sur les produits'!$A$3:$H$10000,8,FALSE),"0")</f>
        <v>0</v>
      </c>
      <c r="P12253" s="33">
        <f t="shared" si="764"/>
        <v>0</v>
      </c>
      <c r="Q12253" s="31" t="str">
        <f t="shared" si="765"/>
        <v/>
      </c>
      <c r="R12253" s="32" t="str">
        <f>IFERROR(VLOOKUP($D12253,'Informations sur les produits'!$A$3:$B$15000,2,FALSE),"")</f>
        <v/>
      </c>
      <c r="V12253">
        <f t="shared" si="766"/>
        <v>0</v>
      </c>
      <c r="W12253">
        <f t="shared" si="767"/>
        <v>0</v>
      </c>
    </row>
    <row r="12254" spans="5:23" x14ac:dyDescent="0.25">
      <c r="E12254" s="4"/>
      <c r="F12254" s="4"/>
      <c r="G12254" s="33" t="str">
        <f>IFERROR(VLOOKUP($D12254,'Informations sur les produits'!$A$3:$H$10000,8,FALSE),"0")</f>
        <v>0</v>
      </c>
      <c r="K12254" s="4"/>
      <c r="L12254" s="33" t="str">
        <f>IFERROR(VLOOKUP($J12254,'Informations sur les produits'!$A$3:$H$10000,8,FALSE),"0")</f>
        <v>0</v>
      </c>
      <c r="N12254" s="8"/>
      <c r="O12254" s="33" t="str">
        <f>IFERROR(VLOOKUP($M12254,'Informations sur les produits'!$A$3:$H$10000,8,FALSE),"0")</f>
        <v>0</v>
      </c>
      <c r="P12254" s="33">
        <f t="shared" si="764"/>
        <v>0</v>
      </c>
      <c r="Q12254" s="31" t="str">
        <f t="shared" si="765"/>
        <v/>
      </c>
      <c r="R12254" s="32" t="str">
        <f>IFERROR(VLOOKUP($D12254,'Informations sur les produits'!$A$3:$B$15000,2,FALSE),"")</f>
        <v/>
      </c>
      <c r="V12254">
        <f t="shared" si="766"/>
        <v>0</v>
      </c>
      <c r="W12254">
        <f t="shared" si="767"/>
        <v>0</v>
      </c>
    </row>
    <row r="12255" spans="5:23" x14ac:dyDescent="0.25">
      <c r="E12255" s="4"/>
      <c r="F12255" s="4"/>
      <c r="G12255" s="33" t="str">
        <f>IFERROR(VLOOKUP($D12255,'Informations sur les produits'!$A$3:$H$10000,8,FALSE),"0")</f>
        <v>0</v>
      </c>
      <c r="K12255" s="4"/>
      <c r="L12255" s="33" t="str">
        <f>IFERROR(VLOOKUP($J12255,'Informations sur les produits'!$A$3:$H$10000,8,FALSE),"0")</f>
        <v>0</v>
      </c>
      <c r="N12255" s="8"/>
      <c r="O12255" s="33" t="str">
        <f>IFERROR(VLOOKUP($M12255,'Informations sur les produits'!$A$3:$H$10000,8,FALSE),"0")</f>
        <v>0</v>
      </c>
      <c r="P12255" s="33">
        <f t="shared" si="764"/>
        <v>0</v>
      </c>
      <c r="Q12255" s="31" t="str">
        <f t="shared" si="765"/>
        <v/>
      </c>
      <c r="R12255" s="32" t="str">
        <f>IFERROR(VLOOKUP($D12255,'Informations sur les produits'!$A$3:$B$15000,2,FALSE),"")</f>
        <v/>
      </c>
      <c r="V12255">
        <f t="shared" si="766"/>
        <v>0</v>
      </c>
      <c r="W12255">
        <f t="shared" si="767"/>
        <v>0</v>
      </c>
    </row>
    <row r="12256" spans="5:23" x14ac:dyDescent="0.25">
      <c r="E12256" s="4"/>
      <c r="F12256" s="4"/>
      <c r="G12256" s="33" t="str">
        <f>IFERROR(VLOOKUP($D12256,'Informations sur les produits'!$A$3:$H$10000,8,FALSE),"0")</f>
        <v>0</v>
      </c>
      <c r="K12256" s="4"/>
      <c r="L12256" s="33" t="str">
        <f>IFERROR(VLOOKUP($J12256,'Informations sur les produits'!$A$3:$H$10000,8,FALSE),"0")</f>
        <v>0</v>
      </c>
      <c r="N12256" s="8"/>
      <c r="O12256" s="33" t="str">
        <f>IFERROR(VLOOKUP($M12256,'Informations sur les produits'!$A$3:$H$10000,8,FALSE),"0")</f>
        <v>0</v>
      </c>
      <c r="P12256" s="33">
        <f t="shared" si="764"/>
        <v>0</v>
      </c>
      <c r="Q12256" s="31" t="str">
        <f t="shared" si="765"/>
        <v/>
      </c>
      <c r="R12256" s="32" t="str">
        <f>IFERROR(VLOOKUP($D12256,'Informations sur les produits'!$A$3:$B$15000,2,FALSE),"")</f>
        <v/>
      </c>
      <c r="V12256">
        <f t="shared" si="766"/>
        <v>0</v>
      </c>
      <c r="W12256">
        <f t="shared" si="767"/>
        <v>0</v>
      </c>
    </row>
    <row r="12257" spans="5:23" x14ac:dyDescent="0.25">
      <c r="E12257" s="4"/>
      <c r="F12257" s="4"/>
      <c r="G12257" s="33" t="str">
        <f>IFERROR(VLOOKUP($D12257,'Informations sur les produits'!$A$3:$H$10000,8,FALSE),"0")</f>
        <v>0</v>
      </c>
      <c r="K12257" s="4"/>
      <c r="L12257" s="33" t="str">
        <f>IFERROR(VLOOKUP($J12257,'Informations sur les produits'!$A$3:$H$10000,8,FALSE),"0")</f>
        <v>0</v>
      </c>
      <c r="N12257" s="8"/>
      <c r="O12257" s="33" t="str">
        <f>IFERROR(VLOOKUP($M12257,'Informations sur les produits'!$A$3:$H$10000,8,FALSE),"0")</f>
        <v>0</v>
      </c>
      <c r="P12257" s="33">
        <f t="shared" si="764"/>
        <v>0</v>
      </c>
      <c r="Q12257" s="31" t="str">
        <f t="shared" si="765"/>
        <v/>
      </c>
      <c r="R12257" s="32" t="str">
        <f>IFERROR(VLOOKUP($D12257,'Informations sur les produits'!$A$3:$B$15000,2,FALSE),"")</f>
        <v/>
      </c>
      <c r="V12257">
        <f t="shared" si="766"/>
        <v>0</v>
      </c>
      <c r="W12257">
        <f t="shared" si="767"/>
        <v>0</v>
      </c>
    </row>
    <row r="12258" spans="5:23" x14ac:dyDescent="0.25">
      <c r="E12258" s="4"/>
      <c r="F12258" s="4"/>
      <c r="G12258" s="33" t="str">
        <f>IFERROR(VLOOKUP($D12258,'Informations sur les produits'!$A$3:$H$10000,8,FALSE),"0")</f>
        <v>0</v>
      </c>
      <c r="K12258" s="4"/>
      <c r="L12258" s="33" t="str">
        <f>IFERROR(VLOOKUP($J12258,'Informations sur les produits'!$A$3:$H$10000,8,FALSE),"0")</f>
        <v>0</v>
      </c>
      <c r="N12258" s="8"/>
      <c r="O12258" s="33" t="str">
        <f>IFERROR(VLOOKUP($M12258,'Informations sur les produits'!$A$3:$H$10000,8,FALSE),"0")</f>
        <v>0</v>
      </c>
      <c r="P12258" s="33">
        <f t="shared" si="764"/>
        <v>0</v>
      </c>
      <c r="Q12258" s="31" t="str">
        <f t="shared" si="765"/>
        <v/>
      </c>
      <c r="R12258" s="32" t="str">
        <f>IFERROR(VLOOKUP($D12258,'Informations sur les produits'!$A$3:$B$15000,2,FALSE),"")</f>
        <v/>
      </c>
      <c r="V12258">
        <f t="shared" si="766"/>
        <v>0</v>
      </c>
      <c r="W12258">
        <f t="shared" si="767"/>
        <v>0</v>
      </c>
    </row>
    <row r="12259" spans="5:23" x14ac:dyDescent="0.25">
      <c r="E12259" s="4"/>
      <c r="F12259" s="4"/>
      <c r="G12259" s="33" t="str">
        <f>IFERROR(VLOOKUP($D12259,'Informations sur les produits'!$A$3:$H$10000,8,FALSE),"0")</f>
        <v>0</v>
      </c>
      <c r="K12259" s="4"/>
      <c r="L12259" s="33" t="str">
        <f>IFERROR(VLOOKUP($J12259,'Informations sur les produits'!$A$3:$H$10000,8,FALSE),"0")</f>
        <v>0</v>
      </c>
      <c r="N12259" s="8"/>
      <c r="O12259" s="33" t="str">
        <f>IFERROR(VLOOKUP($M12259,'Informations sur les produits'!$A$3:$H$10000,8,FALSE),"0")</f>
        <v>0</v>
      </c>
      <c r="P12259" s="33">
        <f t="shared" si="764"/>
        <v>0</v>
      </c>
      <c r="Q12259" s="31" t="str">
        <f t="shared" si="765"/>
        <v/>
      </c>
      <c r="R12259" s="32" t="str">
        <f>IFERROR(VLOOKUP($D12259,'Informations sur les produits'!$A$3:$B$15000,2,FALSE),"")</f>
        <v/>
      </c>
      <c r="V12259">
        <f t="shared" si="766"/>
        <v>0</v>
      </c>
      <c r="W12259">
        <f t="shared" si="767"/>
        <v>0</v>
      </c>
    </row>
    <row r="12260" spans="5:23" x14ac:dyDescent="0.25">
      <c r="E12260" s="4"/>
      <c r="F12260" s="4"/>
      <c r="G12260" s="33" t="str">
        <f>IFERROR(VLOOKUP($D12260,'Informations sur les produits'!$A$3:$H$10000,8,FALSE),"0")</f>
        <v>0</v>
      </c>
      <c r="K12260" s="4"/>
      <c r="L12260" s="33" t="str">
        <f>IFERROR(VLOOKUP($J12260,'Informations sur les produits'!$A$3:$H$10000,8,FALSE),"0")</f>
        <v>0</v>
      </c>
      <c r="N12260" s="8"/>
      <c r="O12260" s="33" t="str">
        <f>IFERROR(VLOOKUP($M12260,'Informations sur les produits'!$A$3:$H$10000,8,FALSE),"0")</f>
        <v>0</v>
      </c>
      <c r="P12260" s="33">
        <f t="shared" si="764"/>
        <v>0</v>
      </c>
      <c r="Q12260" s="31" t="str">
        <f t="shared" si="765"/>
        <v/>
      </c>
      <c r="R12260" s="32" t="str">
        <f>IFERROR(VLOOKUP($D12260,'Informations sur les produits'!$A$3:$B$15000,2,FALSE),"")</f>
        <v/>
      </c>
      <c r="V12260">
        <f t="shared" si="766"/>
        <v>0</v>
      </c>
      <c r="W12260">
        <f t="shared" si="767"/>
        <v>0</v>
      </c>
    </row>
    <row r="12261" spans="5:23" x14ac:dyDescent="0.25">
      <c r="E12261" s="4"/>
      <c r="F12261" s="4"/>
      <c r="G12261" s="33" t="str">
        <f>IFERROR(VLOOKUP($D12261,'Informations sur les produits'!$A$3:$H$10000,8,FALSE),"0")</f>
        <v>0</v>
      </c>
      <c r="K12261" s="4"/>
      <c r="L12261" s="33" t="str">
        <f>IFERROR(VLOOKUP($J12261,'Informations sur les produits'!$A$3:$H$10000,8,FALSE),"0")</f>
        <v>0</v>
      </c>
      <c r="N12261" s="8"/>
      <c r="O12261" s="33" t="str">
        <f>IFERROR(VLOOKUP($M12261,'Informations sur les produits'!$A$3:$H$10000,8,FALSE),"0")</f>
        <v>0</v>
      </c>
      <c r="P12261" s="33">
        <f t="shared" si="764"/>
        <v>0</v>
      </c>
      <c r="Q12261" s="31" t="str">
        <f t="shared" si="765"/>
        <v/>
      </c>
      <c r="R12261" s="32" t="str">
        <f>IFERROR(VLOOKUP($D12261,'Informations sur les produits'!$A$3:$B$15000,2,FALSE),"")</f>
        <v/>
      </c>
      <c r="V12261">
        <f t="shared" si="766"/>
        <v>0</v>
      </c>
      <c r="W12261">
        <f t="shared" si="767"/>
        <v>0</v>
      </c>
    </row>
    <row r="12262" spans="5:23" x14ac:dyDescent="0.25">
      <c r="E12262" s="4"/>
      <c r="F12262" s="4"/>
      <c r="G12262" s="33" t="str">
        <f>IFERROR(VLOOKUP($D12262,'Informations sur les produits'!$A$3:$H$10000,8,FALSE),"0")</f>
        <v>0</v>
      </c>
      <c r="K12262" s="4"/>
      <c r="L12262" s="33" t="str">
        <f>IFERROR(VLOOKUP($J12262,'Informations sur les produits'!$A$3:$H$10000,8,FALSE),"0")</f>
        <v>0</v>
      </c>
      <c r="N12262" s="8"/>
      <c r="O12262" s="33" t="str">
        <f>IFERROR(VLOOKUP($M12262,'Informations sur les produits'!$A$3:$H$10000,8,FALSE),"0")</f>
        <v>0</v>
      </c>
      <c r="P12262" s="33">
        <f t="shared" si="764"/>
        <v>0</v>
      </c>
      <c r="Q12262" s="31" t="str">
        <f t="shared" si="765"/>
        <v/>
      </c>
      <c r="R12262" s="32" t="str">
        <f>IFERROR(VLOOKUP($D12262,'Informations sur les produits'!$A$3:$B$15000,2,FALSE),"")</f>
        <v/>
      </c>
      <c r="V12262">
        <f t="shared" si="766"/>
        <v>0</v>
      </c>
      <c r="W12262">
        <f t="shared" si="767"/>
        <v>0</v>
      </c>
    </row>
    <row r="12263" spans="5:23" x14ac:dyDescent="0.25">
      <c r="E12263" s="4"/>
      <c r="F12263" s="4"/>
      <c r="G12263" s="33" t="str">
        <f>IFERROR(VLOOKUP($D12263,'Informations sur les produits'!$A$3:$H$10000,8,FALSE),"0")</f>
        <v>0</v>
      </c>
      <c r="K12263" s="4"/>
      <c r="L12263" s="33" t="str">
        <f>IFERROR(VLOOKUP($J12263,'Informations sur les produits'!$A$3:$H$10000,8,FALSE),"0")</f>
        <v>0</v>
      </c>
      <c r="N12263" s="8"/>
      <c r="O12263" s="33" t="str">
        <f>IFERROR(VLOOKUP($M12263,'Informations sur les produits'!$A$3:$H$10000,8,FALSE),"0")</f>
        <v>0</v>
      </c>
      <c r="P12263" s="33">
        <f t="shared" si="764"/>
        <v>0</v>
      </c>
      <c r="Q12263" s="31" t="str">
        <f t="shared" si="765"/>
        <v/>
      </c>
      <c r="R12263" s="32" t="str">
        <f>IFERROR(VLOOKUP($D12263,'Informations sur les produits'!$A$3:$B$15000,2,FALSE),"")</f>
        <v/>
      </c>
      <c r="V12263">
        <f t="shared" si="766"/>
        <v>0</v>
      </c>
      <c r="W12263">
        <f t="shared" si="767"/>
        <v>0</v>
      </c>
    </row>
    <row r="12264" spans="5:23" x14ac:dyDescent="0.25">
      <c r="E12264" s="4"/>
      <c r="F12264" s="4"/>
      <c r="G12264" s="33" t="str">
        <f>IFERROR(VLOOKUP($D12264,'Informations sur les produits'!$A$3:$H$10000,8,FALSE),"0")</f>
        <v>0</v>
      </c>
      <c r="K12264" s="4"/>
      <c r="L12264" s="33" t="str">
        <f>IFERROR(VLOOKUP($J12264,'Informations sur les produits'!$A$3:$H$10000,8,FALSE),"0")</f>
        <v>0</v>
      </c>
      <c r="N12264" s="8"/>
      <c r="O12264" s="33" t="str">
        <f>IFERROR(VLOOKUP($M12264,'Informations sur les produits'!$A$3:$H$10000,8,FALSE),"0")</f>
        <v>0</v>
      </c>
      <c r="P12264" s="33">
        <f t="shared" si="764"/>
        <v>0</v>
      </c>
      <c r="Q12264" s="31" t="str">
        <f t="shared" si="765"/>
        <v/>
      </c>
      <c r="R12264" s="32" t="str">
        <f>IFERROR(VLOOKUP($D12264,'Informations sur les produits'!$A$3:$B$15000,2,FALSE),"")</f>
        <v/>
      </c>
      <c r="V12264">
        <f t="shared" si="766"/>
        <v>0</v>
      </c>
      <c r="W12264">
        <f t="shared" si="767"/>
        <v>0</v>
      </c>
    </row>
    <row r="12265" spans="5:23" x14ac:dyDescent="0.25">
      <c r="E12265" s="4"/>
      <c r="F12265" s="4"/>
      <c r="G12265" s="33" t="str">
        <f>IFERROR(VLOOKUP($D12265,'Informations sur les produits'!$A$3:$H$10000,8,FALSE),"0")</f>
        <v>0</v>
      </c>
      <c r="K12265" s="4"/>
      <c r="L12265" s="33" t="str">
        <f>IFERROR(VLOOKUP($J12265,'Informations sur les produits'!$A$3:$H$10000,8,FALSE),"0")</f>
        <v>0</v>
      </c>
      <c r="N12265" s="8"/>
      <c r="O12265" s="33" t="str">
        <f>IFERROR(VLOOKUP($M12265,'Informations sur les produits'!$A$3:$H$10000,8,FALSE),"0")</f>
        <v>0</v>
      </c>
      <c r="P12265" s="33">
        <f t="shared" si="764"/>
        <v>0</v>
      </c>
      <c r="Q12265" s="31" t="str">
        <f t="shared" si="765"/>
        <v/>
      </c>
      <c r="R12265" s="32" t="str">
        <f>IFERROR(VLOOKUP($D12265,'Informations sur les produits'!$A$3:$B$15000,2,FALSE),"")</f>
        <v/>
      </c>
      <c r="V12265">
        <f t="shared" si="766"/>
        <v>0</v>
      </c>
      <c r="W12265">
        <f t="shared" si="767"/>
        <v>0</v>
      </c>
    </row>
    <row r="12266" spans="5:23" x14ac:dyDescent="0.25">
      <c r="E12266" s="4"/>
      <c r="F12266" s="4"/>
      <c r="G12266" s="33" t="str">
        <f>IFERROR(VLOOKUP($D12266,'Informations sur les produits'!$A$3:$H$10000,8,FALSE),"0")</f>
        <v>0</v>
      </c>
      <c r="K12266" s="4"/>
      <c r="L12266" s="33" t="str">
        <f>IFERROR(VLOOKUP($J12266,'Informations sur les produits'!$A$3:$H$10000,8,FALSE),"0")</f>
        <v>0</v>
      </c>
      <c r="N12266" s="8"/>
      <c r="O12266" s="33" t="str">
        <f>IFERROR(VLOOKUP($M12266,'Informations sur les produits'!$A$3:$H$10000,8,FALSE),"0")</f>
        <v>0</v>
      </c>
      <c r="P12266" s="33">
        <f t="shared" si="764"/>
        <v>0</v>
      </c>
      <c r="Q12266" s="31" t="str">
        <f t="shared" si="765"/>
        <v/>
      </c>
      <c r="R12266" s="32" t="str">
        <f>IFERROR(VLOOKUP($D12266,'Informations sur les produits'!$A$3:$B$15000,2,FALSE),"")</f>
        <v/>
      </c>
      <c r="V12266">
        <f t="shared" si="766"/>
        <v>0</v>
      </c>
      <c r="W12266">
        <f t="shared" si="767"/>
        <v>0</v>
      </c>
    </row>
    <row r="12267" spans="5:23" x14ac:dyDescent="0.25">
      <c r="E12267" s="4"/>
      <c r="F12267" s="4"/>
      <c r="G12267" s="33" t="str">
        <f>IFERROR(VLOOKUP($D12267,'Informations sur les produits'!$A$3:$H$10000,8,FALSE),"0")</f>
        <v>0</v>
      </c>
      <c r="K12267" s="4"/>
      <c r="L12267" s="33" t="str">
        <f>IFERROR(VLOOKUP($J12267,'Informations sur les produits'!$A$3:$H$10000,8,FALSE),"0")</f>
        <v>0</v>
      </c>
      <c r="N12267" s="8"/>
      <c r="O12267" s="33" t="str">
        <f>IFERROR(VLOOKUP($M12267,'Informations sur les produits'!$A$3:$H$10000,8,FALSE),"0")</f>
        <v>0</v>
      </c>
      <c r="P12267" s="33">
        <f t="shared" si="764"/>
        <v>0</v>
      </c>
      <c r="Q12267" s="31" t="str">
        <f t="shared" si="765"/>
        <v/>
      </c>
      <c r="R12267" s="32" t="str">
        <f>IFERROR(VLOOKUP($D12267,'Informations sur les produits'!$A$3:$B$15000,2,FALSE),"")</f>
        <v/>
      </c>
      <c r="V12267">
        <f t="shared" si="766"/>
        <v>0</v>
      </c>
      <c r="W12267">
        <f t="shared" si="767"/>
        <v>0</v>
      </c>
    </row>
    <row r="12268" spans="5:23" x14ac:dyDescent="0.25">
      <c r="E12268" s="4"/>
      <c r="F12268" s="4"/>
      <c r="G12268" s="33" t="str">
        <f>IFERROR(VLOOKUP($D12268,'Informations sur les produits'!$A$3:$H$10000,8,FALSE),"0")</f>
        <v>0</v>
      </c>
      <c r="K12268" s="4"/>
      <c r="L12268" s="33" t="str">
        <f>IFERROR(VLOOKUP($J12268,'Informations sur les produits'!$A$3:$H$10000,8,FALSE),"0")</f>
        <v>0</v>
      </c>
      <c r="N12268" s="8"/>
      <c r="O12268" s="33" t="str">
        <f>IFERROR(VLOOKUP($M12268,'Informations sur les produits'!$A$3:$H$10000,8,FALSE),"0")</f>
        <v>0</v>
      </c>
      <c r="P12268" s="33">
        <f t="shared" si="764"/>
        <v>0</v>
      </c>
      <c r="Q12268" s="31" t="str">
        <f t="shared" si="765"/>
        <v/>
      </c>
      <c r="R12268" s="32" t="str">
        <f>IFERROR(VLOOKUP($D12268,'Informations sur les produits'!$A$3:$B$15000,2,FALSE),"")</f>
        <v/>
      </c>
      <c r="V12268">
        <f t="shared" si="766"/>
        <v>0</v>
      </c>
      <c r="W12268">
        <f t="shared" si="767"/>
        <v>0</v>
      </c>
    </row>
    <row r="12269" spans="5:23" x14ac:dyDescent="0.25">
      <c r="E12269" s="4"/>
      <c r="F12269" s="4"/>
      <c r="G12269" s="33" t="str">
        <f>IFERROR(VLOOKUP($D12269,'Informations sur les produits'!$A$3:$H$10000,8,FALSE),"0")</f>
        <v>0</v>
      </c>
      <c r="K12269" s="4"/>
      <c r="L12269" s="33" t="str">
        <f>IFERROR(VLOOKUP($J12269,'Informations sur les produits'!$A$3:$H$10000,8,FALSE),"0")</f>
        <v>0</v>
      </c>
      <c r="N12269" s="8"/>
      <c r="O12269" s="33" t="str">
        <f>IFERROR(VLOOKUP($M12269,'Informations sur les produits'!$A$3:$H$10000,8,FALSE),"0")</f>
        <v>0</v>
      </c>
      <c r="P12269" s="33">
        <f t="shared" si="764"/>
        <v>0</v>
      </c>
      <c r="Q12269" s="31" t="str">
        <f t="shared" si="765"/>
        <v/>
      </c>
      <c r="R12269" s="32" t="str">
        <f>IFERROR(VLOOKUP($D12269,'Informations sur les produits'!$A$3:$B$15000,2,FALSE),"")</f>
        <v/>
      </c>
      <c r="V12269">
        <f t="shared" si="766"/>
        <v>0</v>
      </c>
      <c r="W12269">
        <f t="shared" si="767"/>
        <v>0</v>
      </c>
    </row>
    <row r="12270" spans="5:23" x14ac:dyDescent="0.25">
      <c r="E12270" s="4"/>
      <c r="F12270" s="4"/>
      <c r="G12270" s="33" t="str">
        <f>IFERROR(VLOOKUP($D12270,'Informations sur les produits'!$A$3:$H$10000,8,FALSE),"0")</f>
        <v>0</v>
      </c>
      <c r="K12270" s="4"/>
      <c r="L12270" s="33" t="str">
        <f>IFERROR(VLOOKUP($J12270,'Informations sur les produits'!$A$3:$H$10000,8,FALSE),"0")</f>
        <v>0</v>
      </c>
      <c r="N12270" s="8"/>
      <c r="O12270" s="33" t="str">
        <f>IFERROR(VLOOKUP($M12270,'Informations sur les produits'!$A$3:$H$10000,8,FALSE),"0")</f>
        <v>0</v>
      </c>
      <c r="P12270" s="33">
        <f t="shared" si="764"/>
        <v>0</v>
      </c>
      <c r="Q12270" s="31" t="str">
        <f t="shared" si="765"/>
        <v/>
      </c>
      <c r="R12270" s="32" t="str">
        <f>IFERROR(VLOOKUP($D12270,'Informations sur les produits'!$A$3:$B$15000,2,FALSE),"")</f>
        <v/>
      </c>
      <c r="V12270">
        <f t="shared" si="766"/>
        <v>0</v>
      </c>
      <c r="W12270">
        <f t="shared" si="767"/>
        <v>0</v>
      </c>
    </row>
    <row r="12271" spans="5:23" x14ac:dyDescent="0.25">
      <c r="E12271" s="4"/>
      <c r="F12271" s="4"/>
      <c r="G12271" s="33" t="str">
        <f>IFERROR(VLOOKUP($D12271,'Informations sur les produits'!$A$3:$H$10000,8,FALSE),"0")</f>
        <v>0</v>
      </c>
      <c r="K12271" s="4"/>
      <c r="L12271" s="33" t="str">
        <f>IFERROR(VLOOKUP($J12271,'Informations sur les produits'!$A$3:$H$10000,8,FALSE),"0")</f>
        <v>0</v>
      </c>
      <c r="N12271" s="8"/>
      <c r="O12271" s="33" t="str">
        <f>IFERROR(VLOOKUP($M12271,'Informations sur les produits'!$A$3:$H$10000,8,FALSE),"0")</f>
        <v>0</v>
      </c>
      <c r="P12271" s="33">
        <f t="shared" si="764"/>
        <v>0</v>
      </c>
      <c r="Q12271" s="31" t="str">
        <f t="shared" si="765"/>
        <v/>
      </c>
      <c r="R12271" s="32" t="str">
        <f>IFERROR(VLOOKUP($D12271,'Informations sur les produits'!$A$3:$B$15000,2,FALSE),"")</f>
        <v/>
      </c>
      <c r="V12271">
        <f t="shared" si="766"/>
        <v>0</v>
      </c>
      <c r="W12271">
        <f t="shared" si="767"/>
        <v>0</v>
      </c>
    </row>
    <row r="12272" spans="5:23" x14ac:dyDescent="0.25">
      <c r="E12272" s="4"/>
      <c r="F12272" s="4"/>
      <c r="G12272" s="33" t="str">
        <f>IFERROR(VLOOKUP($D12272,'Informations sur les produits'!$A$3:$H$10000,8,FALSE),"0")</f>
        <v>0</v>
      </c>
      <c r="K12272" s="4"/>
      <c r="L12272" s="33" t="str">
        <f>IFERROR(VLOOKUP($J12272,'Informations sur les produits'!$A$3:$H$10000,8,FALSE),"0")</f>
        <v>0</v>
      </c>
      <c r="N12272" s="8"/>
      <c r="O12272" s="33" t="str">
        <f>IFERROR(VLOOKUP($M12272,'Informations sur les produits'!$A$3:$H$10000,8,FALSE),"0")</f>
        <v>0</v>
      </c>
      <c r="P12272" s="33">
        <f t="shared" si="764"/>
        <v>0</v>
      </c>
      <c r="Q12272" s="31" t="str">
        <f t="shared" si="765"/>
        <v/>
      </c>
      <c r="R12272" s="32" t="str">
        <f>IFERROR(VLOOKUP($D12272,'Informations sur les produits'!$A$3:$B$15000,2,FALSE),"")</f>
        <v/>
      </c>
      <c r="V12272">
        <f t="shared" si="766"/>
        <v>0</v>
      </c>
      <c r="W12272">
        <f t="shared" si="767"/>
        <v>0</v>
      </c>
    </row>
    <row r="12273" spans="5:23" x14ac:dyDescent="0.25">
      <c r="E12273" s="4"/>
      <c r="F12273" s="4"/>
      <c r="G12273" s="33" t="str">
        <f>IFERROR(VLOOKUP($D12273,'Informations sur les produits'!$A$3:$H$10000,8,FALSE),"0")</f>
        <v>0</v>
      </c>
      <c r="K12273" s="4"/>
      <c r="L12273" s="33" t="str">
        <f>IFERROR(VLOOKUP($J12273,'Informations sur les produits'!$A$3:$H$10000,8,FALSE),"0")</f>
        <v>0</v>
      </c>
      <c r="N12273" s="8"/>
      <c r="O12273" s="33" t="str">
        <f>IFERROR(VLOOKUP($M12273,'Informations sur les produits'!$A$3:$H$10000,8,FALSE),"0")</f>
        <v>0</v>
      </c>
      <c r="P12273" s="33">
        <f t="shared" si="764"/>
        <v>0</v>
      </c>
      <c r="Q12273" s="31" t="str">
        <f t="shared" si="765"/>
        <v/>
      </c>
      <c r="R12273" s="32" t="str">
        <f>IFERROR(VLOOKUP($D12273,'Informations sur les produits'!$A$3:$B$15000,2,FALSE),"")</f>
        <v/>
      </c>
      <c r="V12273">
        <f t="shared" si="766"/>
        <v>0</v>
      </c>
      <c r="W12273">
        <f t="shared" si="767"/>
        <v>0</v>
      </c>
    </row>
    <row r="12274" spans="5:23" x14ac:dyDescent="0.25">
      <c r="E12274" s="4"/>
      <c r="F12274" s="4"/>
      <c r="G12274" s="33" t="str">
        <f>IFERROR(VLOOKUP($D12274,'Informations sur les produits'!$A$3:$H$10000,8,FALSE),"0")</f>
        <v>0</v>
      </c>
      <c r="K12274" s="4"/>
      <c r="L12274" s="33" t="str">
        <f>IFERROR(VLOOKUP($J12274,'Informations sur les produits'!$A$3:$H$10000,8,FALSE),"0")</f>
        <v>0</v>
      </c>
      <c r="N12274" s="8"/>
      <c r="O12274" s="33" t="str">
        <f>IFERROR(VLOOKUP($M12274,'Informations sur les produits'!$A$3:$H$10000,8,FALSE),"0")</f>
        <v>0</v>
      </c>
      <c r="P12274" s="33">
        <f t="shared" si="764"/>
        <v>0</v>
      </c>
      <c r="Q12274" s="31" t="str">
        <f t="shared" si="765"/>
        <v/>
      </c>
      <c r="R12274" s="32" t="str">
        <f>IFERROR(VLOOKUP($D12274,'Informations sur les produits'!$A$3:$B$15000,2,FALSE),"")</f>
        <v/>
      </c>
      <c r="V12274">
        <f t="shared" si="766"/>
        <v>0</v>
      </c>
      <c r="W12274">
        <f t="shared" si="767"/>
        <v>0</v>
      </c>
    </row>
    <row r="12275" spans="5:23" x14ac:dyDescent="0.25">
      <c r="E12275" s="4"/>
      <c r="F12275" s="4"/>
      <c r="G12275" s="33" t="str">
        <f>IFERROR(VLOOKUP($D12275,'Informations sur les produits'!$A$3:$H$10000,8,FALSE),"0")</f>
        <v>0</v>
      </c>
      <c r="K12275" s="4"/>
      <c r="L12275" s="33" t="str">
        <f>IFERROR(VLOOKUP($J12275,'Informations sur les produits'!$A$3:$H$10000,8,FALSE),"0")</f>
        <v>0</v>
      </c>
      <c r="N12275" s="8"/>
      <c r="O12275" s="33" t="str">
        <f>IFERROR(VLOOKUP($M12275,'Informations sur les produits'!$A$3:$H$10000,8,FALSE),"0")</f>
        <v>0</v>
      </c>
      <c r="P12275" s="33">
        <f t="shared" si="764"/>
        <v>0</v>
      </c>
      <c r="Q12275" s="31" t="str">
        <f t="shared" si="765"/>
        <v/>
      </c>
      <c r="R12275" s="32" t="str">
        <f>IFERROR(VLOOKUP($D12275,'Informations sur les produits'!$A$3:$B$15000,2,FALSE),"")</f>
        <v/>
      </c>
      <c r="V12275">
        <f t="shared" si="766"/>
        <v>0</v>
      </c>
      <c r="W12275">
        <f t="shared" si="767"/>
        <v>0</v>
      </c>
    </row>
    <row r="12276" spans="5:23" x14ac:dyDescent="0.25">
      <c r="E12276" s="4"/>
      <c r="F12276" s="4"/>
      <c r="G12276" s="33" t="str">
        <f>IFERROR(VLOOKUP($D12276,'Informations sur les produits'!$A$3:$H$10000,8,FALSE),"0")</f>
        <v>0</v>
      </c>
      <c r="K12276" s="4"/>
      <c r="L12276" s="33" t="str">
        <f>IFERROR(VLOOKUP($J12276,'Informations sur les produits'!$A$3:$H$10000,8,FALSE),"0")</f>
        <v>0</v>
      </c>
      <c r="N12276" s="8"/>
      <c r="O12276" s="33" t="str">
        <f>IFERROR(VLOOKUP($M12276,'Informations sur les produits'!$A$3:$H$10000,8,FALSE),"0")</f>
        <v>0</v>
      </c>
      <c r="P12276" s="33">
        <f t="shared" si="764"/>
        <v>0</v>
      </c>
      <c r="Q12276" s="31" t="str">
        <f t="shared" si="765"/>
        <v/>
      </c>
      <c r="R12276" s="32" t="str">
        <f>IFERROR(VLOOKUP($D12276,'Informations sur les produits'!$A$3:$B$15000,2,FALSE),"")</f>
        <v/>
      </c>
      <c r="V12276">
        <f t="shared" si="766"/>
        <v>0</v>
      </c>
      <c r="W12276">
        <f t="shared" si="767"/>
        <v>0</v>
      </c>
    </row>
    <row r="12277" spans="5:23" x14ac:dyDescent="0.25">
      <c r="E12277" s="4"/>
      <c r="F12277" s="4"/>
      <c r="G12277" s="33" t="str">
        <f>IFERROR(VLOOKUP($D12277,'Informations sur les produits'!$A$3:$H$10000,8,FALSE),"0")</f>
        <v>0</v>
      </c>
      <c r="K12277" s="4"/>
      <c r="L12277" s="33" t="str">
        <f>IFERROR(VLOOKUP($J12277,'Informations sur les produits'!$A$3:$H$10000,8,FALSE),"0")</f>
        <v>0</v>
      </c>
      <c r="N12277" s="8"/>
      <c r="O12277" s="33" t="str">
        <f>IFERROR(VLOOKUP($M12277,'Informations sur les produits'!$A$3:$H$10000,8,FALSE),"0")</f>
        <v>0</v>
      </c>
      <c r="P12277" s="33">
        <f t="shared" si="764"/>
        <v>0</v>
      </c>
      <c r="Q12277" s="31" t="str">
        <f t="shared" si="765"/>
        <v/>
      </c>
      <c r="R12277" s="32" t="str">
        <f>IFERROR(VLOOKUP($D12277,'Informations sur les produits'!$A$3:$B$15000,2,FALSE),"")</f>
        <v/>
      </c>
      <c r="V12277">
        <f t="shared" si="766"/>
        <v>0</v>
      </c>
      <c r="W12277">
        <f t="shared" si="767"/>
        <v>0</v>
      </c>
    </row>
    <row r="12278" spans="5:23" x14ac:dyDescent="0.25">
      <c r="E12278" s="4"/>
      <c r="F12278" s="4"/>
      <c r="G12278" s="33" t="str">
        <f>IFERROR(VLOOKUP($D12278,'Informations sur les produits'!$A$3:$H$10000,8,FALSE),"0")</f>
        <v>0</v>
      </c>
      <c r="K12278" s="4"/>
      <c r="L12278" s="33" t="str">
        <f>IFERROR(VLOOKUP($J12278,'Informations sur les produits'!$A$3:$H$10000,8,FALSE),"0")</f>
        <v>0</v>
      </c>
      <c r="N12278" s="8"/>
      <c r="O12278" s="33" t="str">
        <f>IFERROR(VLOOKUP($M12278,'Informations sur les produits'!$A$3:$H$10000,8,FALSE),"0")</f>
        <v>0</v>
      </c>
      <c r="P12278" s="33">
        <f t="shared" si="764"/>
        <v>0</v>
      </c>
      <c r="Q12278" s="31" t="str">
        <f t="shared" si="765"/>
        <v/>
      </c>
      <c r="R12278" s="32" t="str">
        <f>IFERROR(VLOOKUP($D12278,'Informations sur les produits'!$A$3:$B$15000,2,FALSE),"")</f>
        <v/>
      </c>
      <c r="V12278">
        <f t="shared" si="766"/>
        <v>0</v>
      </c>
      <c r="W12278">
        <f t="shared" si="767"/>
        <v>0</v>
      </c>
    </row>
    <row r="12279" spans="5:23" x14ac:dyDescent="0.25">
      <c r="E12279" s="4"/>
      <c r="F12279" s="4"/>
      <c r="G12279" s="33" t="str">
        <f>IFERROR(VLOOKUP($D12279,'Informations sur les produits'!$A$3:$H$10000,8,FALSE),"0")</f>
        <v>0</v>
      </c>
      <c r="K12279" s="4"/>
      <c r="L12279" s="33" t="str">
        <f>IFERROR(VLOOKUP($J12279,'Informations sur les produits'!$A$3:$H$10000,8,FALSE),"0")</f>
        <v>0</v>
      </c>
      <c r="N12279" s="8"/>
      <c r="O12279" s="33" t="str">
        <f>IFERROR(VLOOKUP($M12279,'Informations sur les produits'!$A$3:$H$10000,8,FALSE),"0")</f>
        <v>0</v>
      </c>
      <c r="P12279" s="33">
        <f t="shared" si="764"/>
        <v>0</v>
      </c>
      <c r="Q12279" s="31" t="str">
        <f t="shared" si="765"/>
        <v/>
      </c>
      <c r="R12279" s="32" t="str">
        <f>IFERROR(VLOOKUP($D12279,'Informations sur les produits'!$A$3:$B$15000,2,FALSE),"")</f>
        <v/>
      </c>
      <c r="V12279">
        <f t="shared" si="766"/>
        <v>0</v>
      </c>
      <c r="W12279">
        <f t="shared" si="767"/>
        <v>0</v>
      </c>
    </row>
    <row r="12280" spans="5:23" x14ac:dyDescent="0.25">
      <c r="E12280" s="4"/>
      <c r="F12280" s="4"/>
      <c r="G12280" s="33" t="str">
        <f>IFERROR(VLOOKUP($D12280,'Informations sur les produits'!$A$3:$H$10000,8,FALSE),"0")</f>
        <v>0</v>
      </c>
      <c r="K12280" s="4"/>
      <c r="L12280" s="33" t="str">
        <f>IFERROR(VLOOKUP($J12280,'Informations sur les produits'!$A$3:$H$10000,8,FALSE),"0")</f>
        <v>0</v>
      </c>
      <c r="N12280" s="8"/>
      <c r="O12280" s="33" t="str">
        <f>IFERROR(VLOOKUP($M12280,'Informations sur les produits'!$A$3:$H$10000,8,FALSE),"0")</f>
        <v>0</v>
      </c>
      <c r="P12280" s="33">
        <f t="shared" si="764"/>
        <v>0</v>
      </c>
      <c r="Q12280" s="31" t="str">
        <f t="shared" si="765"/>
        <v/>
      </c>
      <c r="R12280" s="32" t="str">
        <f>IFERROR(VLOOKUP($D12280,'Informations sur les produits'!$A$3:$B$15000,2,FALSE),"")</f>
        <v/>
      </c>
      <c r="V12280">
        <f t="shared" si="766"/>
        <v>0</v>
      </c>
      <c r="W12280">
        <f t="shared" si="767"/>
        <v>0</v>
      </c>
    </row>
    <row r="12281" spans="5:23" x14ac:dyDescent="0.25">
      <c r="E12281" s="4"/>
      <c r="F12281" s="4"/>
      <c r="G12281" s="33" t="str">
        <f>IFERROR(VLOOKUP($D12281,'Informations sur les produits'!$A$3:$H$10000,8,FALSE),"0")</f>
        <v>0</v>
      </c>
      <c r="K12281" s="4"/>
      <c r="L12281" s="33" t="str">
        <f>IFERROR(VLOOKUP($J12281,'Informations sur les produits'!$A$3:$H$10000,8,FALSE),"0")</f>
        <v>0</v>
      </c>
      <c r="N12281" s="8"/>
      <c r="O12281" s="33" t="str">
        <f>IFERROR(VLOOKUP($M12281,'Informations sur les produits'!$A$3:$H$10000,8,FALSE),"0")</f>
        <v>0</v>
      </c>
      <c r="P12281" s="33">
        <f t="shared" si="764"/>
        <v>0</v>
      </c>
      <c r="Q12281" s="31" t="str">
        <f t="shared" si="765"/>
        <v/>
      </c>
      <c r="R12281" s="32" t="str">
        <f>IFERROR(VLOOKUP($D12281,'Informations sur les produits'!$A$3:$B$15000,2,FALSE),"")</f>
        <v/>
      </c>
      <c r="V12281">
        <f t="shared" si="766"/>
        <v>0</v>
      </c>
      <c r="W12281">
        <f t="shared" si="767"/>
        <v>0</v>
      </c>
    </row>
    <row r="12282" spans="5:23" x14ac:dyDescent="0.25">
      <c r="E12282" s="4"/>
      <c r="F12282" s="4"/>
      <c r="G12282" s="33" t="str">
        <f>IFERROR(VLOOKUP($D12282,'Informations sur les produits'!$A$3:$H$10000,8,FALSE),"0")</f>
        <v>0</v>
      </c>
      <c r="K12282" s="4"/>
      <c r="L12282" s="33" t="str">
        <f>IFERROR(VLOOKUP($J12282,'Informations sur les produits'!$A$3:$H$10000,8,FALSE),"0")</f>
        <v>0</v>
      </c>
      <c r="N12282" s="8"/>
      <c r="O12282" s="33" t="str">
        <f>IFERROR(VLOOKUP($M12282,'Informations sur les produits'!$A$3:$H$10000,8,FALSE),"0")</f>
        <v>0</v>
      </c>
      <c r="P12282" s="33">
        <f t="shared" si="764"/>
        <v>0</v>
      </c>
      <c r="Q12282" s="31" t="str">
        <f t="shared" si="765"/>
        <v/>
      </c>
      <c r="R12282" s="32" t="str">
        <f>IFERROR(VLOOKUP($D12282,'Informations sur les produits'!$A$3:$B$15000,2,FALSE),"")</f>
        <v/>
      </c>
      <c r="V12282">
        <f t="shared" si="766"/>
        <v>0</v>
      </c>
      <c r="W12282">
        <f t="shared" si="767"/>
        <v>0</v>
      </c>
    </row>
    <row r="12283" spans="5:23" x14ac:dyDescent="0.25">
      <c r="E12283" s="4"/>
      <c r="F12283" s="4"/>
      <c r="G12283" s="33" t="str">
        <f>IFERROR(VLOOKUP($D12283,'Informations sur les produits'!$A$3:$H$10000,8,FALSE),"0")</f>
        <v>0</v>
      </c>
      <c r="K12283" s="4"/>
      <c r="L12283" s="33" t="str">
        <f>IFERROR(VLOOKUP($J12283,'Informations sur les produits'!$A$3:$H$10000,8,FALSE),"0")</f>
        <v>0</v>
      </c>
      <c r="N12283" s="8"/>
      <c r="O12283" s="33" t="str">
        <f>IFERROR(VLOOKUP($M12283,'Informations sur les produits'!$A$3:$H$10000,8,FALSE),"0")</f>
        <v>0</v>
      </c>
      <c r="P12283" s="33">
        <f t="shared" si="764"/>
        <v>0</v>
      </c>
      <c r="Q12283" s="31" t="str">
        <f t="shared" si="765"/>
        <v/>
      </c>
      <c r="R12283" s="32" t="str">
        <f>IFERROR(VLOOKUP($D12283,'Informations sur les produits'!$A$3:$B$15000,2,FALSE),"")</f>
        <v/>
      </c>
      <c r="V12283">
        <f t="shared" si="766"/>
        <v>0</v>
      </c>
      <c r="W12283">
        <f t="shared" si="767"/>
        <v>0</v>
      </c>
    </row>
    <row r="12284" spans="5:23" x14ac:dyDescent="0.25">
      <c r="E12284" s="4"/>
      <c r="F12284" s="4"/>
      <c r="G12284" s="33" t="str">
        <f>IFERROR(VLOOKUP($D12284,'Informations sur les produits'!$A$3:$H$10000,8,FALSE),"0")</f>
        <v>0</v>
      </c>
      <c r="K12284" s="4"/>
      <c r="L12284" s="33" t="str">
        <f>IFERROR(VLOOKUP($J12284,'Informations sur les produits'!$A$3:$H$10000,8,FALSE),"0")</f>
        <v>0</v>
      </c>
      <c r="N12284" s="8"/>
      <c r="O12284" s="33" t="str">
        <f>IFERROR(VLOOKUP($M12284,'Informations sur les produits'!$A$3:$H$10000,8,FALSE),"0")</f>
        <v>0</v>
      </c>
      <c r="P12284" s="33">
        <f t="shared" si="764"/>
        <v>0</v>
      </c>
      <c r="Q12284" s="31" t="str">
        <f t="shared" si="765"/>
        <v/>
      </c>
      <c r="R12284" s="32" t="str">
        <f>IFERROR(VLOOKUP($D12284,'Informations sur les produits'!$A$3:$B$15000,2,FALSE),"")</f>
        <v/>
      </c>
      <c r="V12284">
        <f t="shared" si="766"/>
        <v>0</v>
      </c>
      <c r="W12284">
        <f t="shared" si="767"/>
        <v>0</v>
      </c>
    </row>
    <row r="12285" spans="5:23" x14ac:dyDescent="0.25">
      <c r="E12285" s="4"/>
      <c r="F12285" s="4"/>
      <c r="G12285" s="33" t="str">
        <f>IFERROR(VLOOKUP($D12285,'Informations sur les produits'!$A$3:$H$10000,8,FALSE),"0")</f>
        <v>0</v>
      </c>
      <c r="K12285" s="4"/>
      <c r="L12285" s="33" t="str">
        <f>IFERROR(VLOOKUP($J12285,'Informations sur les produits'!$A$3:$H$10000,8,FALSE),"0")</f>
        <v>0</v>
      </c>
      <c r="N12285" s="8"/>
      <c r="O12285" s="33" t="str">
        <f>IFERROR(VLOOKUP($M12285,'Informations sur les produits'!$A$3:$H$10000,8,FALSE),"0")</f>
        <v>0</v>
      </c>
      <c r="P12285" s="33">
        <f t="shared" si="764"/>
        <v>0</v>
      </c>
      <c r="Q12285" s="31" t="str">
        <f t="shared" si="765"/>
        <v/>
      </c>
      <c r="R12285" s="32" t="str">
        <f>IFERROR(VLOOKUP($D12285,'Informations sur les produits'!$A$3:$B$15000,2,FALSE),"")</f>
        <v/>
      </c>
      <c r="V12285">
        <f t="shared" si="766"/>
        <v>0</v>
      </c>
      <c r="W12285">
        <f t="shared" si="767"/>
        <v>0</v>
      </c>
    </row>
    <row r="12286" spans="5:23" x14ac:dyDescent="0.25">
      <c r="E12286" s="4"/>
      <c r="F12286" s="4"/>
      <c r="G12286" s="33" t="str">
        <f>IFERROR(VLOOKUP($D12286,'Informations sur les produits'!$A$3:$H$10000,8,FALSE),"0")</f>
        <v>0</v>
      </c>
      <c r="K12286" s="4"/>
      <c r="L12286" s="33" t="str">
        <f>IFERROR(VLOOKUP($J12286,'Informations sur les produits'!$A$3:$H$10000,8,FALSE),"0")</f>
        <v>0</v>
      </c>
      <c r="N12286" s="8"/>
      <c r="O12286" s="33" t="str">
        <f>IFERROR(VLOOKUP($M12286,'Informations sur les produits'!$A$3:$H$10000,8,FALSE),"0")</f>
        <v>0</v>
      </c>
      <c r="P12286" s="33">
        <f t="shared" si="764"/>
        <v>0</v>
      </c>
      <c r="Q12286" s="31" t="str">
        <f t="shared" si="765"/>
        <v/>
      </c>
      <c r="R12286" s="32" t="str">
        <f>IFERROR(VLOOKUP($D12286,'Informations sur les produits'!$A$3:$B$15000,2,FALSE),"")</f>
        <v/>
      </c>
      <c r="V12286">
        <f t="shared" si="766"/>
        <v>0</v>
      </c>
      <c r="W12286">
        <f t="shared" si="767"/>
        <v>0</v>
      </c>
    </row>
    <row r="12287" spans="5:23" x14ac:dyDescent="0.25">
      <c r="E12287" s="4"/>
      <c r="F12287" s="4"/>
      <c r="G12287" s="33" t="str">
        <f>IFERROR(VLOOKUP($D12287,'Informations sur les produits'!$A$3:$H$10000,8,FALSE),"0")</f>
        <v>0</v>
      </c>
      <c r="K12287" s="4"/>
      <c r="L12287" s="33" t="str">
        <f>IFERROR(VLOOKUP($J12287,'Informations sur les produits'!$A$3:$H$10000,8,FALSE),"0")</f>
        <v>0</v>
      </c>
      <c r="N12287" s="8"/>
      <c r="O12287" s="33" t="str">
        <f>IFERROR(VLOOKUP($M12287,'Informations sur les produits'!$A$3:$H$10000,8,FALSE),"0")</f>
        <v>0</v>
      </c>
      <c r="P12287" s="33">
        <f t="shared" si="764"/>
        <v>0</v>
      </c>
      <c r="Q12287" s="31" t="str">
        <f t="shared" si="765"/>
        <v/>
      </c>
      <c r="R12287" s="32" t="str">
        <f>IFERROR(VLOOKUP($D12287,'Informations sur les produits'!$A$3:$B$15000,2,FALSE),"")</f>
        <v/>
      </c>
      <c r="V12287">
        <f t="shared" si="766"/>
        <v>0</v>
      </c>
      <c r="W12287">
        <f t="shared" si="767"/>
        <v>0</v>
      </c>
    </row>
    <row r="12288" spans="5:23" x14ac:dyDescent="0.25">
      <c r="E12288" s="4"/>
      <c r="F12288" s="4"/>
      <c r="G12288" s="33" t="str">
        <f>IFERROR(VLOOKUP($D12288,'Informations sur les produits'!$A$3:$H$10000,8,FALSE),"0")</f>
        <v>0</v>
      </c>
      <c r="K12288" s="4"/>
      <c r="L12288" s="33" t="str">
        <f>IFERROR(VLOOKUP($J12288,'Informations sur les produits'!$A$3:$H$10000,8,FALSE),"0")</f>
        <v>0</v>
      </c>
      <c r="N12288" s="8"/>
      <c r="O12288" s="33" t="str">
        <f>IFERROR(VLOOKUP($M12288,'Informations sur les produits'!$A$3:$H$10000,8,FALSE),"0")</f>
        <v>0</v>
      </c>
      <c r="P12288" s="33">
        <f t="shared" si="764"/>
        <v>0</v>
      </c>
      <c r="Q12288" s="31" t="str">
        <f t="shared" si="765"/>
        <v/>
      </c>
      <c r="R12288" s="32" t="str">
        <f>IFERROR(VLOOKUP($D12288,'Informations sur les produits'!$A$3:$B$15000,2,FALSE),"")</f>
        <v/>
      </c>
      <c r="V12288">
        <f t="shared" si="766"/>
        <v>0</v>
      </c>
      <c r="W12288">
        <f t="shared" si="767"/>
        <v>0</v>
      </c>
    </row>
    <row r="12289" spans="5:23" x14ac:dyDescent="0.25">
      <c r="E12289" s="4"/>
      <c r="F12289" s="4"/>
      <c r="G12289" s="33" t="str">
        <f>IFERROR(VLOOKUP($D12289,'Informations sur les produits'!$A$3:$H$10000,8,FALSE),"0")</f>
        <v>0</v>
      </c>
      <c r="K12289" s="4"/>
      <c r="L12289" s="33" t="str">
        <f>IFERROR(VLOOKUP($J12289,'Informations sur les produits'!$A$3:$H$10000,8,FALSE),"0")</f>
        <v>0</v>
      </c>
      <c r="N12289" s="8"/>
      <c r="O12289" s="33" t="str">
        <f>IFERROR(VLOOKUP($M12289,'Informations sur les produits'!$A$3:$H$10000,8,FALSE),"0")</f>
        <v>0</v>
      </c>
      <c r="P12289" s="33">
        <f t="shared" si="764"/>
        <v>0</v>
      </c>
      <c r="Q12289" s="31" t="str">
        <f t="shared" si="765"/>
        <v/>
      </c>
      <c r="R12289" s="32" t="str">
        <f>IFERROR(VLOOKUP($D12289,'Informations sur les produits'!$A$3:$B$15000,2,FALSE),"")</f>
        <v/>
      </c>
      <c r="V12289">
        <f t="shared" si="766"/>
        <v>0</v>
      </c>
      <c r="W12289">
        <f t="shared" si="767"/>
        <v>0</v>
      </c>
    </row>
    <row r="12290" spans="5:23" x14ac:dyDescent="0.25">
      <c r="E12290" s="4"/>
      <c r="F12290" s="4"/>
      <c r="G12290" s="33" t="str">
        <f>IFERROR(VLOOKUP($D12290,'Informations sur les produits'!$A$3:$H$10000,8,FALSE),"0")</f>
        <v>0</v>
      </c>
      <c r="K12290" s="4"/>
      <c r="L12290" s="33" t="str">
        <f>IFERROR(VLOOKUP($J12290,'Informations sur les produits'!$A$3:$H$10000,8,FALSE),"0")</f>
        <v>0</v>
      </c>
      <c r="N12290" s="8"/>
      <c r="O12290" s="33" t="str">
        <f>IFERROR(VLOOKUP($M12290,'Informations sur les produits'!$A$3:$H$10000,8,FALSE),"0")</f>
        <v>0</v>
      </c>
      <c r="P12290" s="33">
        <f t="shared" si="764"/>
        <v>0</v>
      </c>
      <c r="Q12290" s="31" t="str">
        <f t="shared" si="765"/>
        <v/>
      </c>
      <c r="R12290" s="32" t="str">
        <f>IFERROR(VLOOKUP($D12290,'Informations sur les produits'!$A$3:$B$15000,2,FALSE),"")</f>
        <v/>
      </c>
      <c r="V12290">
        <f t="shared" si="766"/>
        <v>0</v>
      </c>
      <c r="W12290">
        <f t="shared" si="767"/>
        <v>0</v>
      </c>
    </row>
    <row r="12291" spans="5:23" x14ac:dyDescent="0.25">
      <c r="E12291" s="4"/>
      <c r="F12291" s="4"/>
      <c r="G12291" s="33" t="str">
        <f>IFERROR(VLOOKUP($D12291,'Informations sur les produits'!$A$3:$H$10000,8,FALSE),"0")</f>
        <v>0</v>
      </c>
      <c r="K12291" s="4"/>
      <c r="L12291" s="33" t="str">
        <f>IFERROR(VLOOKUP($J12291,'Informations sur les produits'!$A$3:$H$10000,8,FALSE),"0")</f>
        <v>0</v>
      </c>
      <c r="N12291" s="8"/>
      <c r="O12291" s="33" t="str">
        <f>IFERROR(VLOOKUP($M12291,'Informations sur les produits'!$A$3:$H$10000,8,FALSE),"0")</f>
        <v>0</v>
      </c>
      <c r="P12291" s="33">
        <f t="shared" si="764"/>
        <v>0</v>
      </c>
      <c r="Q12291" s="31" t="str">
        <f t="shared" si="765"/>
        <v/>
      </c>
      <c r="R12291" s="32" t="str">
        <f>IFERROR(VLOOKUP($D12291,'Informations sur les produits'!$A$3:$B$15000,2,FALSE),"")</f>
        <v/>
      </c>
      <c r="V12291">
        <f t="shared" si="766"/>
        <v>0</v>
      </c>
      <c r="W12291">
        <f t="shared" si="767"/>
        <v>0</v>
      </c>
    </row>
    <row r="12292" spans="5:23" x14ac:dyDescent="0.25">
      <c r="E12292" s="4"/>
      <c r="F12292" s="4"/>
      <c r="G12292" s="33" t="str">
        <f>IFERROR(VLOOKUP($D12292,'Informations sur les produits'!$A$3:$H$10000,8,FALSE),"0")</f>
        <v>0</v>
      </c>
      <c r="K12292" s="4"/>
      <c r="L12292" s="33" t="str">
        <f>IFERROR(VLOOKUP($J12292,'Informations sur les produits'!$A$3:$H$10000,8,FALSE),"0")</f>
        <v>0</v>
      </c>
      <c r="N12292" s="8"/>
      <c r="O12292" s="33" t="str">
        <f>IFERROR(VLOOKUP($M12292,'Informations sur les produits'!$A$3:$H$10000,8,FALSE),"0")</f>
        <v>0</v>
      </c>
      <c r="P12292" s="33">
        <f t="shared" ref="P12292:P12355" si="768">IFERROR((($E12292-$F12292)*$G12292+$K12292*$L12292+$N12292*$O12292),"")</f>
        <v>0</v>
      </c>
      <c r="Q12292" s="31" t="str">
        <f t="shared" ref="Q12292:Q12355" si="769">IFERROR((((($E12292-$F12292)*$G12292+$K12292*$L12292+$N12292*$O12292)*1000)/(($E12292-$F12292)+$K12292+$N12292)),"")</f>
        <v/>
      </c>
      <c r="R12292" s="32" t="str">
        <f>IFERROR(VLOOKUP($D12292,'Informations sur les produits'!$A$3:$B$15000,2,FALSE),"")</f>
        <v/>
      </c>
      <c r="V12292">
        <f t="shared" ref="V12292:V12355" si="770">IFERROR(P12292*1000,"")</f>
        <v>0</v>
      </c>
      <c r="W12292">
        <f t="shared" ref="W12292:W12355" si="771">IFERROR(($E12292-$F12292)+$K12292+$N12292,"")</f>
        <v>0</v>
      </c>
    </row>
    <row r="12293" spans="5:23" x14ac:dyDescent="0.25">
      <c r="E12293" s="4"/>
      <c r="F12293" s="4"/>
      <c r="G12293" s="33" t="str">
        <f>IFERROR(VLOOKUP($D12293,'Informations sur les produits'!$A$3:$H$10000,8,FALSE),"0")</f>
        <v>0</v>
      </c>
      <c r="K12293" s="4"/>
      <c r="L12293" s="33" t="str">
        <f>IFERROR(VLOOKUP($J12293,'Informations sur les produits'!$A$3:$H$10000,8,FALSE),"0")</f>
        <v>0</v>
      </c>
      <c r="N12293" s="8"/>
      <c r="O12293" s="33" t="str">
        <f>IFERROR(VLOOKUP($M12293,'Informations sur les produits'!$A$3:$H$10000,8,FALSE),"0")</f>
        <v>0</v>
      </c>
      <c r="P12293" s="33">
        <f t="shared" si="768"/>
        <v>0</v>
      </c>
      <c r="Q12293" s="31" t="str">
        <f t="shared" si="769"/>
        <v/>
      </c>
      <c r="R12293" s="32" t="str">
        <f>IFERROR(VLOOKUP($D12293,'Informations sur les produits'!$A$3:$B$15000,2,FALSE),"")</f>
        <v/>
      </c>
      <c r="V12293">
        <f t="shared" si="770"/>
        <v>0</v>
      </c>
      <c r="W12293">
        <f t="shared" si="771"/>
        <v>0</v>
      </c>
    </row>
    <row r="12294" spans="5:23" x14ac:dyDescent="0.25">
      <c r="E12294" s="4"/>
      <c r="F12294" s="4"/>
      <c r="G12294" s="33" t="str">
        <f>IFERROR(VLOOKUP($D12294,'Informations sur les produits'!$A$3:$H$10000,8,FALSE),"0")</f>
        <v>0</v>
      </c>
      <c r="K12294" s="4"/>
      <c r="L12294" s="33" t="str">
        <f>IFERROR(VLOOKUP($J12294,'Informations sur les produits'!$A$3:$H$10000,8,FALSE),"0")</f>
        <v>0</v>
      </c>
      <c r="N12294" s="8"/>
      <c r="O12294" s="33" t="str">
        <f>IFERROR(VLOOKUP($M12294,'Informations sur les produits'!$A$3:$H$10000,8,FALSE),"0")</f>
        <v>0</v>
      </c>
      <c r="P12294" s="33">
        <f t="shared" si="768"/>
        <v>0</v>
      </c>
      <c r="Q12294" s="31" t="str">
        <f t="shared" si="769"/>
        <v/>
      </c>
      <c r="R12294" s="32" t="str">
        <f>IFERROR(VLOOKUP($D12294,'Informations sur les produits'!$A$3:$B$15000,2,FALSE),"")</f>
        <v/>
      </c>
      <c r="V12294">
        <f t="shared" si="770"/>
        <v>0</v>
      </c>
      <c r="W12294">
        <f t="shared" si="771"/>
        <v>0</v>
      </c>
    </row>
    <row r="12295" spans="5:23" x14ac:dyDescent="0.25">
      <c r="E12295" s="4"/>
      <c r="F12295" s="4"/>
      <c r="G12295" s="33" t="str">
        <f>IFERROR(VLOOKUP($D12295,'Informations sur les produits'!$A$3:$H$10000,8,FALSE),"0")</f>
        <v>0</v>
      </c>
      <c r="K12295" s="4"/>
      <c r="L12295" s="33" t="str">
        <f>IFERROR(VLOOKUP($J12295,'Informations sur les produits'!$A$3:$H$10000,8,FALSE),"0")</f>
        <v>0</v>
      </c>
      <c r="N12295" s="8"/>
      <c r="O12295" s="33" t="str">
        <f>IFERROR(VLOOKUP($M12295,'Informations sur les produits'!$A$3:$H$10000,8,FALSE),"0")</f>
        <v>0</v>
      </c>
      <c r="P12295" s="33">
        <f t="shared" si="768"/>
        <v>0</v>
      </c>
      <c r="Q12295" s="31" t="str">
        <f t="shared" si="769"/>
        <v/>
      </c>
      <c r="R12295" s="32" t="str">
        <f>IFERROR(VLOOKUP($D12295,'Informations sur les produits'!$A$3:$B$15000,2,FALSE),"")</f>
        <v/>
      </c>
      <c r="V12295">
        <f t="shared" si="770"/>
        <v>0</v>
      </c>
      <c r="W12295">
        <f t="shared" si="771"/>
        <v>0</v>
      </c>
    </row>
    <row r="12296" spans="5:23" x14ac:dyDescent="0.25">
      <c r="E12296" s="4"/>
      <c r="F12296" s="4"/>
      <c r="G12296" s="33" t="str">
        <f>IFERROR(VLOOKUP($D12296,'Informations sur les produits'!$A$3:$H$10000,8,FALSE),"0")</f>
        <v>0</v>
      </c>
      <c r="K12296" s="4"/>
      <c r="L12296" s="33" t="str">
        <f>IFERROR(VLOOKUP($J12296,'Informations sur les produits'!$A$3:$H$10000,8,FALSE),"0")</f>
        <v>0</v>
      </c>
      <c r="N12296" s="8"/>
      <c r="O12296" s="33" t="str">
        <f>IFERROR(VLOOKUP($M12296,'Informations sur les produits'!$A$3:$H$10000,8,FALSE),"0")</f>
        <v>0</v>
      </c>
      <c r="P12296" s="33">
        <f t="shared" si="768"/>
        <v>0</v>
      </c>
      <c r="Q12296" s="31" t="str">
        <f t="shared" si="769"/>
        <v/>
      </c>
      <c r="R12296" s="32" t="str">
        <f>IFERROR(VLOOKUP($D12296,'Informations sur les produits'!$A$3:$B$15000,2,FALSE),"")</f>
        <v/>
      </c>
      <c r="V12296">
        <f t="shared" si="770"/>
        <v>0</v>
      </c>
      <c r="W12296">
        <f t="shared" si="771"/>
        <v>0</v>
      </c>
    </row>
    <row r="12297" spans="5:23" x14ac:dyDescent="0.25">
      <c r="E12297" s="4"/>
      <c r="F12297" s="4"/>
      <c r="G12297" s="33" t="str">
        <f>IFERROR(VLOOKUP($D12297,'Informations sur les produits'!$A$3:$H$10000,8,FALSE),"0")</f>
        <v>0</v>
      </c>
      <c r="K12297" s="4"/>
      <c r="L12297" s="33" t="str">
        <f>IFERROR(VLOOKUP($J12297,'Informations sur les produits'!$A$3:$H$10000,8,FALSE),"0")</f>
        <v>0</v>
      </c>
      <c r="N12297" s="8"/>
      <c r="O12297" s="33" t="str">
        <f>IFERROR(VLOOKUP($M12297,'Informations sur les produits'!$A$3:$H$10000,8,FALSE),"0")</f>
        <v>0</v>
      </c>
      <c r="P12297" s="33">
        <f t="shared" si="768"/>
        <v>0</v>
      </c>
      <c r="Q12297" s="31" t="str">
        <f t="shared" si="769"/>
        <v/>
      </c>
      <c r="R12297" s="32" t="str">
        <f>IFERROR(VLOOKUP($D12297,'Informations sur les produits'!$A$3:$B$15000,2,FALSE),"")</f>
        <v/>
      </c>
      <c r="V12297">
        <f t="shared" si="770"/>
        <v>0</v>
      </c>
      <c r="W12297">
        <f t="shared" si="771"/>
        <v>0</v>
      </c>
    </row>
    <row r="12298" spans="5:23" x14ac:dyDescent="0.25">
      <c r="E12298" s="4"/>
      <c r="F12298" s="4"/>
      <c r="G12298" s="33" t="str">
        <f>IFERROR(VLOOKUP($D12298,'Informations sur les produits'!$A$3:$H$10000,8,FALSE),"0")</f>
        <v>0</v>
      </c>
      <c r="K12298" s="4"/>
      <c r="L12298" s="33" t="str">
        <f>IFERROR(VLOOKUP($J12298,'Informations sur les produits'!$A$3:$H$10000,8,FALSE),"0")</f>
        <v>0</v>
      </c>
      <c r="N12298" s="8"/>
      <c r="O12298" s="33" t="str">
        <f>IFERROR(VLOOKUP($M12298,'Informations sur les produits'!$A$3:$H$10000,8,FALSE),"0")</f>
        <v>0</v>
      </c>
      <c r="P12298" s="33">
        <f t="shared" si="768"/>
        <v>0</v>
      </c>
      <c r="Q12298" s="31" t="str">
        <f t="shared" si="769"/>
        <v/>
      </c>
      <c r="R12298" s="32" t="str">
        <f>IFERROR(VLOOKUP($D12298,'Informations sur les produits'!$A$3:$B$15000,2,FALSE),"")</f>
        <v/>
      </c>
      <c r="V12298">
        <f t="shared" si="770"/>
        <v>0</v>
      </c>
      <c r="W12298">
        <f t="shared" si="771"/>
        <v>0</v>
      </c>
    </row>
    <row r="12299" spans="5:23" x14ac:dyDescent="0.25">
      <c r="E12299" s="4"/>
      <c r="F12299" s="4"/>
      <c r="G12299" s="33" t="str">
        <f>IFERROR(VLOOKUP($D12299,'Informations sur les produits'!$A$3:$H$10000,8,FALSE),"0")</f>
        <v>0</v>
      </c>
      <c r="K12299" s="4"/>
      <c r="L12299" s="33" t="str">
        <f>IFERROR(VLOOKUP($J12299,'Informations sur les produits'!$A$3:$H$10000,8,FALSE),"0")</f>
        <v>0</v>
      </c>
      <c r="N12299" s="8"/>
      <c r="O12299" s="33" t="str">
        <f>IFERROR(VLOOKUP($M12299,'Informations sur les produits'!$A$3:$H$10000,8,FALSE),"0")</f>
        <v>0</v>
      </c>
      <c r="P12299" s="33">
        <f t="shared" si="768"/>
        <v>0</v>
      </c>
      <c r="Q12299" s="31" t="str">
        <f t="shared" si="769"/>
        <v/>
      </c>
      <c r="R12299" s="32" t="str">
        <f>IFERROR(VLOOKUP($D12299,'Informations sur les produits'!$A$3:$B$15000,2,FALSE),"")</f>
        <v/>
      </c>
      <c r="V12299">
        <f t="shared" si="770"/>
        <v>0</v>
      </c>
      <c r="W12299">
        <f t="shared" si="771"/>
        <v>0</v>
      </c>
    </row>
    <row r="12300" spans="5:23" x14ac:dyDescent="0.25">
      <c r="E12300" s="4"/>
      <c r="F12300" s="4"/>
      <c r="G12300" s="33" t="str">
        <f>IFERROR(VLOOKUP($D12300,'Informations sur les produits'!$A$3:$H$10000,8,FALSE),"0")</f>
        <v>0</v>
      </c>
      <c r="K12300" s="4"/>
      <c r="L12300" s="33" t="str">
        <f>IFERROR(VLOOKUP($J12300,'Informations sur les produits'!$A$3:$H$10000,8,FALSE),"0")</f>
        <v>0</v>
      </c>
      <c r="N12300" s="8"/>
      <c r="O12300" s="33" t="str">
        <f>IFERROR(VLOOKUP($M12300,'Informations sur les produits'!$A$3:$H$10000,8,FALSE),"0")</f>
        <v>0</v>
      </c>
      <c r="P12300" s="33">
        <f t="shared" si="768"/>
        <v>0</v>
      </c>
      <c r="Q12300" s="31" t="str">
        <f t="shared" si="769"/>
        <v/>
      </c>
      <c r="R12300" s="32" t="str">
        <f>IFERROR(VLOOKUP($D12300,'Informations sur les produits'!$A$3:$B$15000,2,FALSE),"")</f>
        <v/>
      </c>
      <c r="V12300">
        <f t="shared" si="770"/>
        <v>0</v>
      </c>
      <c r="W12300">
        <f t="shared" si="771"/>
        <v>0</v>
      </c>
    </row>
    <row r="12301" spans="5:23" x14ac:dyDescent="0.25">
      <c r="E12301" s="4"/>
      <c r="F12301" s="4"/>
      <c r="G12301" s="33" t="str">
        <f>IFERROR(VLOOKUP($D12301,'Informations sur les produits'!$A$3:$H$10000,8,FALSE),"0")</f>
        <v>0</v>
      </c>
      <c r="K12301" s="4"/>
      <c r="L12301" s="33" t="str">
        <f>IFERROR(VLOOKUP($J12301,'Informations sur les produits'!$A$3:$H$10000,8,FALSE),"0")</f>
        <v>0</v>
      </c>
      <c r="N12301" s="8"/>
      <c r="O12301" s="33" t="str">
        <f>IFERROR(VLOOKUP($M12301,'Informations sur les produits'!$A$3:$H$10000,8,FALSE),"0")</f>
        <v>0</v>
      </c>
      <c r="P12301" s="33">
        <f t="shared" si="768"/>
        <v>0</v>
      </c>
      <c r="Q12301" s="31" t="str">
        <f t="shared" si="769"/>
        <v/>
      </c>
      <c r="R12301" s="32" t="str">
        <f>IFERROR(VLOOKUP($D12301,'Informations sur les produits'!$A$3:$B$15000,2,FALSE),"")</f>
        <v/>
      </c>
      <c r="V12301">
        <f t="shared" si="770"/>
        <v>0</v>
      </c>
      <c r="W12301">
        <f t="shared" si="771"/>
        <v>0</v>
      </c>
    </row>
    <row r="12302" spans="5:23" x14ac:dyDescent="0.25">
      <c r="E12302" s="4"/>
      <c r="F12302" s="4"/>
      <c r="G12302" s="33" t="str">
        <f>IFERROR(VLOOKUP($D12302,'Informations sur les produits'!$A$3:$H$10000,8,FALSE),"0")</f>
        <v>0</v>
      </c>
      <c r="K12302" s="4"/>
      <c r="L12302" s="33" t="str">
        <f>IFERROR(VLOOKUP($J12302,'Informations sur les produits'!$A$3:$H$10000,8,FALSE),"0")</f>
        <v>0</v>
      </c>
      <c r="N12302" s="8"/>
      <c r="O12302" s="33" t="str">
        <f>IFERROR(VLOOKUP($M12302,'Informations sur les produits'!$A$3:$H$10000,8,FALSE),"0")</f>
        <v>0</v>
      </c>
      <c r="P12302" s="33">
        <f t="shared" si="768"/>
        <v>0</v>
      </c>
      <c r="Q12302" s="31" t="str">
        <f t="shared" si="769"/>
        <v/>
      </c>
      <c r="R12302" s="32" t="str">
        <f>IFERROR(VLOOKUP($D12302,'Informations sur les produits'!$A$3:$B$15000,2,FALSE),"")</f>
        <v/>
      </c>
      <c r="V12302">
        <f t="shared" si="770"/>
        <v>0</v>
      </c>
      <c r="W12302">
        <f t="shared" si="771"/>
        <v>0</v>
      </c>
    </row>
    <row r="12303" spans="5:23" x14ac:dyDescent="0.25">
      <c r="E12303" s="4"/>
      <c r="F12303" s="4"/>
      <c r="G12303" s="33" t="str">
        <f>IFERROR(VLOOKUP($D12303,'Informations sur les produits'!$A$3:$H$10000,8,FALSE),"0")</f>
        <v>0</v>
      </c>
      <c r="K12303" s="4"/>
      <c r="L12303" s="33" t="str">
        <f>IFERROR(VLOOKUP($J12303,'Informations sur les produits'!$A$3:$H$10000,8,FALSE),"0")</f>
        <v>0</v>
      </c>
      <c r="N12303" s="8"/>
      <c r="O12303" s="33" t="str">
        <f>IFERROR(VLOOKUP($M12303,'Informations sur les produits'!$A$3:$H$10000,8,FALSE),"0")</f>
        <v>0</v>
      </c>
      <c r="P12303" s="33">
        <f t="shared" si="768"/>
        <v>0</v>
      </c>
      <c r="Q12303" s="31" t="str">
        <f t="shared" si="769"/>
        <v/>
      </c>
      <c r="R12303" s="32" t="str">
        <f>IFERROR(VLOOKUP($D12303,'Informations sur les produits'!$A$3:$B$15000,2,FALSE),"")</f>
        <v/>
      </c>
      <c r="V12303">
        <f t="shared" si="770"/>
        <v>0</v>
      </c>
      <c r="W12303">
        <f t="shared" si="771"/>
        <v>0</v>
      </c>
    </row>
    <row r="12304" spans="5:23" x14ac:dyDescent="0.25">
      <c r="E12304" s="4"/>
      <c r="F12304" s="4"/>
      <c r="G12304" s="33" t="str">
        <f>IFERROR(VLOOKUP($D12304,'Informations sur les produits'!$A$3:$H$10000,8,FALSE),"0")</f>
        <v>0</v>
      </c>
      <c r="K12304" s="4"/>
      <c r="L12304" s="33" t="str">
        <f>IFERROR(VLOOKUP($J12304,'Informations sur les produits'!$A$3:$H$10000,8,FALSE),"0")</f>
        <v>0</v>
      </c>
      <c r="N12304" s="8"/>
      <c r="O12304" s="33" t="str">
        <f>IFERROR(VLOOKUP($M12304,'Informations sur les produits'!$A$3:$H$10000,8,FALSE),"0")</f>
        <v>0</v>
      </c>
      <c r="P12304" s="33">
        <f t="shared" si="768"/>
        <v>0</v>
      </c>
      <c r="Q12304" s="31" t="str">
        <f t="shared" si="769"/>
        <v/>
      </c>
      <c r="R12304" s="32" t="str">
        <f>IFERROR(VLOOKUP($D12304,'Informations sur les produits'!$A$3:$B$15000,2,FALSE),"")</f>
        <v/>
      </c>
      <c r="V12304">
        <f t="shared" si="770"/>
        <v>0</v>
      </c>
      <c r="W12304">
        <f t="shared" si="771"/>
        <v>0</v>
      </c>
    </row>
    <row r="12305" spans="5:23" x14ac:dyDescent="0.25">
      <c r="E12305" s="4"/>
      <c r="F12305" s="4"/>
      <c r="G12305" s="33" t="str">
        <f>IFERROR(VLOOKUP($D12305,'Informations sur les produits'!$A$3:$H$10000,8,FALSE),"0")</f>
        <v>0</v>
      </c>
      <c r="K12305" s="4"/>
      <c r="L12305" s="33" t="str">
        <f>IFERROR(VLOOKUP($J12305,'Informations sur les produits'!$A$3:$H$10000,8,FALSE),"0")</f>
        <v>0</v>
      </c>
      <c r="N12305" s="8"/>
      <c r="O12305" s="33" t="str">
        <f>IFERROR(VLOOKUP($M12305,'Informations sur les produits'!$A$3:$H$10000,8,FALSE),"0")</f>
        <v>0</v>
      </c>
      <c r="P12305" s="33">
        <f t="shared" si="768"/>
        <v>0</v>
      </c>
      <c r="Q12305" s="31" t="str">
        <f t="shared" si="769"/>
        <v/>
      </c>
      <c r="R12305" s="32" t="str">
        <f>IFERROR(VLOOKUP($D12305,'Informations sur les produits'!$A$3:$B$15000,2,FALSE),"")</f>
        <v/>
      </c>
      <c r="V12305">
        <f t="shared" si="770"/>
        <v>0</v>
      </c>
      <c r="W12305">
        <f t="shared" si="771"/>
        <v>0</v>
      </c>
    </row>
    <row r="12306" spans="5:23" x14ac:dyDescent="0.25">
      <c r="E12306" s="4"/>
      <c r="F12306" s="4"/>
      <c r="G12306" s="33" t="str">
        <f>IFERROR(VLOOKUP($D12306,'Informations sur les produits'!$A$3:$H$10000,8,FALSE),"0")</f>
        <v>0</v>
      </c>
      <c r="K12306" s="4"/>
      <c r="L12306" s="33" t="str">
        <f>IFERROR(VLOOKUP($J12306,'Informations sur les produits'!$A$3:$H$10000,8,FALSE),"0")</f>
        <v>0</v>
      </c>
      <c r="N12306" s="8"/>
      <c r="O12306" s="33" t="str">
        <f>IFERROR(VLOOKUP($M12306,'Informations sur les produits'!$A$3:$H$10000,8,FALSE),"0")</f>
        <v>0</v>
      </c>
      <c r="P12306" s="33">
        <f t="shared" si="768"/>
        <v>0</v>
      </c>
      <c r="Q12306" s="31" t="str">
        <f t="shared" si="769"/>
        <v/>
      </c>
      <c r="R12306" s="32" t="str">
        <f>IFERROR(VLOOKUP($D12306,'Informations sur les produits'!$A$3:$B$15000,2,FALSE),"")</f>
        <v/>
      </c>
      <c r="V12306">
        <f t="shared" si="770"/>
        <v>0</v>
      </c>
      <c r="W12306">
        <f t="shared" si="771"/>
        <v>0</v>
      </c>
    </row>
    <row r="12307" spans="5:23" x14ac:dyDescent="0.25">
      <c r="E12307" s="4"/>
      <c r="F12307" s="4"/>
      <c r="G12307" s="33" t="str">
        <f>IFERROR(VLOOKUP($D12307,'Informations sur les produits'!$A$3:$H$10000,8,FALSE),"0")</f>
        <v>0</v>
      </c>
      <c r="K12307" s="4"/>
      <c r="L12307" s="33" t="str">
        <f>IFERROR(VLOOKUP($J12307,'Informations sur les produits'!$A$3:$H$10000,8,FALSE),"0")</f>
        <v>0</v>
      </c>
      <c r="N12307" s="8"/>
      <c r="O12307" s="33" t="str">
        <f>IFERROR(VLOOKUP($M12307,'Informations sur les produits'!$A$3:$H$10000,8,FALSE),"0")</f>
        <v>0</v>
      </c>
      <c r="P12307" s="33">
        <f t="shared" si="768"/>
        <v>0</v>
      </c>
      <c r="Q12307" s="31" t="str">
        <f t="shared" si="769"/>
        <v/>
      </c>
      <c r="R12307" s="32" t="str">
        <f>IFERROR(VLOOKUP($D12307,'Informations sur les produits'!$A$3:$B$15000,2,FALSE),"")</f>
        <v/>
      </c>
      <c r="V12307">
        <f t="shared" si="770"/>
        <v>0</v>
      </c>
      <c r="W12307">
        <f t="shared" si="771"/>
        <v>0</v>
      </c>
    </row>
    <row r="12308" spans="5:23" x14ac:dyDescent="0.25">
      <c r="E12308" s="4"/>
      <c r="F12308" s="4"/>
      <c r="G12308" s="33" t="str">
        <f>IFERROR(VLOOKUP($D12308,'Informations sur les produits'!$A$3:$H$10000,8,FALSE),"0")</f>
        <v>0</v>
      </c>
      <c r="K12308" s="4"/>
      <c r="L12308" s="33" t="str">
        <f>IFERROR(VLOOKUP($J12308,'Informations sur les produits'!$A$3:$H$10000,8,FALSE),"0")</f>
        <v>0</v>
      </c>
      <c r="N12308" s="8"/>
      <c r="O12308" s="33" t="str">
        <f>IFERROR(VLOOKUP($M12308,'Informations sur les produits'!$A$3:$H$10000,8,FALSE),"0")</f>
        <v>0</v>
      </c>
      <c r="P12308" s="33">
        <f t="shared" si="768"/>
        <v>0</v>
      </c>
      <c r="Q12308" s="31" t="str">
        <f t="shared" si="769"/>
        <v/>
      </c>
      <c r="R12308" s="32" t="str">
        <f>IFERROR(VLOOKUP($D12308,'Informations sur les produits'!$A$3:$B$15000,2,FALSE),"")</f>
        <v/>
      </c>
      <c r="V12308">
        <f t="shared" si="770"/>
        <v>0</v>
      </c>
      <c r="W12308">
        <f t="shared" si="771"/>
        <v>0</v>
      </c>
    </row>
    <row r="12309" spans="5:23" x14ac:dyDescent="0.25">
      <c r="E12309" s="4"/>
      <c r="F12309" s="4"/>
      <c r="G12309" s="33" t="str">
        <f>IFERROR(VLOOKUP($D12309,'Informations sur les produits'!$A$3:$H$10000,8,FALSE),"0")</f>
        <v>0</v>
      </c>
      <c r="K12309" s="4"/>
      <c r="L12309" s="33" t="str">
        <f>IFERROR(VLOOKUP($J12309,'Informations sur les produits'!$A$3:$H$10000,8,FALSE),"0")</f>
        <v>0</v>
      </c>
      <c r="N12309" s="8"/>
      <c r="O12309" s="33" t="str">
        <f>IFERROR(VLOOKUP($M12309,'Informations sur les produits'!$A$3:$H$10000,8,FALSE),"0")</f>
        <v>0</v>
      </c>
      <c r="P12309" s="33">
        <f t="shared" si="768"/>
        <v>0</v>
      </c>
      <c r="Q12309" s="31" t="str">
        <f t="shared" si="769"/>
        <v/>
      </c>
      <c r="R12309" s="32" t="str">
        <f>IFERROR(VLOOKUP($D12309,'Informations sur les produits'!$A$3:$B$15000,2,FALSE),"")</f>
        <v/>
      </c>
      <c r="V12309">
        <f t="shared" si="770"/>
        <v>0</v>
      </c>
      <c r="W12309">
        <f t="shared" si="771"/>
        <v>0</v>
      </c>
    </row>
    <row r="12310" spans="5:23" x14ac:dyDescent="0.25">
      <c r="E12310" s="4"/>
      <c r="F12310" s="4"/>
      <c r="G12310" s="33" t="str">
        <f>IFERROR(VLOOKUP($D12310,'Informations sur les produits'!$A$3:$H$10000,8,FALSE),"0")</f>
        <v>0</v>
      </c>
      <c r="K12310" s="4"/>
      <c r="L12310" s="33" t="str">
        <f>IFERROR(VLOOKUP($J12310,'Informations sur les produits'!$A$3:$H$10000,8,FALSE),"0")</f>
        <v>0</v>
      </c>
      <c r="N12310" s="8"/>
      <c r="O12310" s="33" t="str">
        <f>IFERROR(VLOOKUP($M12310,'Informations sur les produits'!$A$3:$H$10000,8,FALSE),"0")</f>
        <v>0</v>
      </c>
      <c r="P12310" s="33">
        <f t="shared" si="768"/>
        <v>0</v>
      </c>
      <c r="Q12310" s="31" t="str">
        <f t="shared" si="769"/>
        <v/>
      </c>
      <c r="R12310" s="32" t="str">
        <f>IFERROR(VLOOKUP($D12310,'Informations sur les produits'!$A$3:$B$15000,2,FALSE),"")</f>
        <v/>
      </c>
      <c r="V12310">
        <f t="shared" si="770"/>
        <v>0</v>
      </c>
      <c r="W12310">
        <f t="shared" si="771"/>
        <v>0</v>
      </c>
    </row>
    <row r="12311" spans="5:23" x14ac:dyDescent="0.25">
      <c r="E12311" s="4"/>
      <c r="F12311" s="4"/>
      <c r="G12311" s="33" t="str">
        <f>IFERROR(VLOOKUP($D12311,'Informations sur les produits'!$A$3:$H$10000,8,FALSE),"0")</f>
        <v>0</v>
      </c>
      <c r="K12311" s="4"/>
      <c r="L12311" s="33" t="str">
        <f>IFERROR(VLOOKUP($J12311,'Informations sur les produits'!$A$3:$H$10000,8,FALSE),"0")</f>
        <v>0</v>
      </c>
      <c r="N12311" s="8"/>
      <c r="O12311" s="33" t="str">
        <f>IFERROR(VLOOKUP($M12311,'Informations sur les produits'!$A$3:$H$10000,8,FALSE),"0")</f>
        <v>0</v>
      </c>
      <c r="P12311" s="33">
        <f t="shared" si="768"/>
        <v>0</v>
      </c>
      <c r="Q12311" s="31" t="str">
        <f t="shared" si="769"/>
        <v/>
      </c>
      <c r="R12311" s="32" t="str">
        <f>IFERROR(VLOOKUP($D12311,'Informations sur les produits'!$A$3:$B$15000,2,FALSE),"")</f>
        <v/>
      </c>
      <c r="V12311">
        <f t="shared" si="770"/>
        <v>0</v>
      </c>
      <c r="W12311">
        <f t="shared" si="771"/>
        <v>0</v>
      </c>
    </row>
    <row r="12312" spans="5:23" x14ac:dyDescent="0.25">
      <c r="E12312" s="4"/>
      <c r="F12312" s="4"/>
      <c r="G12312" s="33" t="str">
        <f>IFERROR(VLOOKUP($D12312,'Informations sur les produits'!$A$3:$H$10000,8,FALSE),"0")</f>
        <v>0</v>
      </c>
      <c r="K12312" s="4"/>
      <c r="L12312" s="33" t="str">
        <f>IFERROR(VLOOKUP($J12312,'Informations sur les produits'!$A$3:$H$10000,8,FALSE),"0")</f>
        <v>0</v>
      </c>
      <c r="N12312" s="8"/>
      <c r="O12312" s="33" t="str">
        <f>IFERROR(VLOOKUP($M12312,'Informations sur les produits'!$A$3:$H$10000,8,FALSE),"0")</f>
        <v>0</v>
      </c>
      <c r="P12312" s="33">
        <f t="shared" si="768"/>
        <v>0</v>
      </c>
      <c r="Q12312" s="31" t="str">
        <f t="shared" si="769"/>
        <v/>
      </c>
      <c r="R12312" s="32" t="str">
        <f>IFERROR(VLOOKUP($D12312,'Informations sur les produits'!$A$3:$B$15000,2,FALSE),"")</f>
        <v/>
      </c>
      <c r="V12312">
        <f t="shared" si="770"/>
        <v>0</v>
      </c>
      <c r="W12312">
        <f t="shared" si="771"/>
        <v>0</v>
      </c>
    </row>
    <row r="12313" spans="5:23" x14ac:dyDescent="0.25">
      <c r="E12313" s="4"/>
      <c r="F12313" s="4"/>
      <c r="G12313" s="33" t="str">
        <f>IFERROR(VLOOKUP($D12313,'Informations sur les produits'!$A$3:$H$10000,8,FALSE),"0")</f>
        <v>0</v>
      </c>
      <c r="K12313" s="4"/>
      <c r="L12313" s="33" t="str">
        <f>IFERROR(VLOOKUP($J12313,'Informations sur les produits'!$A$3:$H$10000,8,FALSE),"0")</f>
        <v>0</v>
      </c>
      <c r="N12313" s="8"/>
      <c r="O12313" s="33" t="str">
        <f>IFERROR(VLOOKUP($M12313,'Informations sur les produits'!$A$3:$H$10000,8,FALSE),"0")</f>
        <v>0</v>
      </c>
      <c r="P12313" s="33">
        <f t="shared" si="768"/>
        <v>0</v>
      </c>
      <c r="Q12313" s="31" t="str">
        <f t="shared" si="769"/>
        <v/>
      </c>
      <c r="R12313" s="32" t="str">
        <f>IFERROR(VLOOKUP($D12313,'Informations sur les produits'!$A$3:$B$15000,2,FALSE),"")</f>
        <v/>
      </c>
      <c r="V12313">
        <f t="shared" si="770"/>
        <v>0</v>
      </c>
      <c r="W12313">
        <f t="shared" si="771"/>
        <v>0</v>
      </c>
    </row>
    <row r="12314" spans="5:23" x14ac:dyDescent="0.25">
      <c r="E12314" s="4"/>
      <c r="F12314" s="4"/>
      <c r="G12314" s="33" t="str">
        <f>IFERROR(VLOOKUP($D12314,'Informations sur les produits'!$A$3:$H$10000,8,FALSE),"0")</f>
        <v>0</v>
      </c>
      <c r="K12314" s="4"/>
      <c r="L12314" s="33" t="str">
        <f>IFERROR(VLOOKUP($J12314,'Informations sur les produits'!$A$3:$H$10000,8,FALSE),"0")</f>
        <v>0</v>
      </c>
      <c r="N12314" s="8"/>
      <c r="O12314" s="33" t="str">
        <f>IFERROR(VLOOKUP($M12314,'Informations sur les produits'!$A$3:$H$10000,8,FALSE),"0")</f>
        <v>0</v>
      </c>
      <c r="P12314" s="33">
        <f t="shared" si="768"/>
        <v>0</v>
      </c>
      <c r="Q12314" s="31" t="str">
        <f t="shared" si="769"/>
        <v/>
      </c>
      <c r="R12314" s="32" t="str">
        <f>IFERROR(VLOOKUP($D12314,'Informations sur les produits'!$A$3:$B$15000,2,FALSE),"")</f>
        <v/>
      </c>
      <c r="V12314">
        <f t="shared" si="770"/>
        <v>0</v>
      </c>
      <c r="W12314">
        <f t="shared" si="771"/>
        <v>0</v>
      </c>
    </row>
    <row r="12315" spans="5:23" x14ac:dyDescent="0.25">
      <c r="E12315" s="4"/>
      <c r="F12315" s="4"/>
      <c r="G12315" s="33" t="str">
        <f>IFERROR(VLOOKUP($D12315,'Informations sur les produits'!$A$3:$H$10000,8,FALSE),"0")</f>
        <v>0</v>
      </c>
      <c r="K12315" s="4"/>
      <c r="L12315" s="33" t="str">
        <f>IFERROR(VLOOKUP($J12315,'Informations sur les produits'!$A$3:$H$10000,8,FALSE),"0")</f>
        <v>0</v>
      </c>
      <c r="N12315" s="8"/>
      <c r="O12315" s="33" t="str">
        <f>IFERROR(VLOOKUP($M12315,'Informations sur les produits'!$A$3:$H$10000,8,FALSE),"0")</f>
        <v>0</v>
      </c>
      <c r="P12315" s="33">
        <f t="shared" si="768"/>
        <v>0</v>
      </c>
      <c r="Q12315" s="31" t="str">
        <f t="shared" si="769"/>
        <v/>
      </c>
      <c r="R12315" s="32" t="str">
        <f>IFERROR(VLOOKUP($D12315,'Informations sur les produits'!$A$3:$B$15000,2,FALSE),"")</f>
        <v/>
      </c>
      <c r="V12315">
        <f t="shared" si="770"/>
        <v>0</v>
      </c>
      <c r="W12315">
        <f t="shared" si="771"/>
        <v>0</v>
      </c>
    </row>
    <row r="12316" spans="5:23" x14ac:dyDescent="0.25">
      <c r="E12316" s="4"/>
      <c r="F12316" s="4"/>
      <c r="G12316" s="33" t="str">
        <f>IFERROR(VLOOKUP($D12316,'Informations sur les produits'!$A$3:$H$10000,8,FALSE),"0")</f>
        <v>0</v>
      </c>
      <c r="K12316" s="4"/>
      <c r="L12316" s="33" t="str">
        <f>IFERROR(VLOOKUP($J12316,'Informations sur les produits'!$A$3:$H$10000,8,FALSE),"0")</f>
        <v>0</v>
      </c>
      <c r="N12316" s="8"/>
      <c r="O12316" s="33" t="str">
        <f>IFERROR(VLOOKUP($M12316,'Informations sur les produits'!$A$3:$H$10000,8,FALSE),"0")</f>
        <v>0</v>
      </c>
      <c r="P12316" s="33">
        <f t="shared" si="768"/>
        <v>0</v>
      </c>
      <c r="Q12316" s="31" t="str">
        <f t="shared" si="769"/>
        <v/>
      </c>
      <c r="R12316" s="32" t="str">
        <f>IFERROR(VLOOKUP($D12316,'Informations sur les produits'!$A$3:$B$15000,2,FALSE),"")</f>
        <v/>
      </c>
      <c r="V12316">
        <f t="shared" si="770"/>
        <v>0</v>
      </c>
      <c r="W12316">
        <f t="shared" si="771"/>
        <v>0</v>
      </c>
    </row>
    <row r="12317" spans="5:23" x14ac:dyDescent="0.25">
      <c r="E12317" s="4"/>
      <c r="F12317" s="4"/>
      <c r="G12317" s="33" t="str">
        <f>IFERROR(VLOOKUP($D12317,'Informations sur les produits'!$A$3:$H$10000,8,FALSE),"0")</f>
        <v>0</v>
      </c>
      <c r="K12317" s="4"/>
      <c r="L12317" s="33" t="str">
        <f>IFERROR(VLOOKUP($J12317,'Informations sur les produits'!$A$3:$H$10000,8,FALSE),"0")</f>
        <v>0</v>
      </c>
      <c r="N12317" s="8"/>
      <c r="O12317" s="33" t="str">
        <f>IFERROR(VLOOKUP($M12317,'Informations sur les produits'!$A$3:$H$10000,8,FALSE),"0")</f>
        <v>0</v>
      </c>
      <c r="P12317" s="33">
        <f t="shared" si="768"/>
        <v>0</v>
      </c>
      <c r="Q12317" s="31" t="str">
        <f t="shared" si="769"/>
        <v/>
      </c>
      <c r="R12317" s="32" t="str">
        <f>IFERROR(VLOOKUP($D12317,'Informations sur les produits'!$A$3:$B$15000,2,FALSE),"")</f>
        <v/>
      </c>
      <c r="V12317">
        <f t="shared" si="770"/>
        <v>0</v>
      </c>
      <c r="W12317">
        <f t="shared" si="771"/>
        <v>0</v>
      </c>
    </row>
    <row r="12318" spans="5:23" x14ac:dyDescent="0.25">
      <c r="E12318" s="4"/>
      <c r="F12318" s="4"/>
      <c r="G12318" s="33" t="str">
        <f>IFERROR(VLOOKUP($D12318,'Informations sur les produits'!$A$3:$H$10000,8,FALSE),"0")</f>
        <v>0</v>
      </c>
      <c r="K12318" s="4"/>
      <c r="L12318" s="33" t="str">
        <f>IFERROR(VLOOKUP($J12318,'Informations sur les produits'!$A$3:$H$10000,8,FALSE),"0")</f>
        <v>0</v>
      </c>
      <c r="N12318" s="8"/>
      <c r="O12318" s="33" t="str">
        <f>IFERROR(VLOOKUP($M12318,'Informations sur les produits'!$A$3:$H$10000,8,FALSE),"0")</f>
        <v>0</v>
      </c>
      <c r="P12318" s="33">
        <f t="shared" si="768"/>
        <v>0</v>
      </c>
      <c r="Q12318" s="31" t="str">
        <f t="shared" si="769"/>
        <v/>
      </c>
      <c r="R12318" s="32" t="str">
        <f>IFERROR(VLOOKUP($D12318,'Informations sur les produits'!$A$3:$B$15000,2,FALSE),"")</f>
        <v/>
      </c>
      <c r="V12318">
        <f t="shared" si="770"/>
        <v>0</v>
      </c>
      <c r="W12318">
        <f t="shared" si="771"/>
        <v>0</v>
      </c>
    </row>
    <row r="12319" spans="5:23" x14ac:dyDescent="0.25">
      <c r="E12319" s="4"/>
      <c r="F12319" s="4"/>
      <c r="G12319" s="33" t="str">
        <f>IFERROR(VLOOKUP($D12319,'Informations sur les produits'!$A$3:$H$10000,8,FALSE),"0")</f>
        <v>0</v>
      </c>
      <c r="K12319" s="4"/>
      <c r="L12319" s="33" t="str">
        <f>IFERROR(VLOOKUP($J12319,'Informations sur les produits'!$A$3:$H$10000,8,FALSE),"0")</f>
        <v>0</v>
      </c>
      <c r="N12319" s="8"/>
      <c r="O12319" s="33" t="str">
        <f>IFERROR(VLOOKUP($M12319,'Informations sur les produits'!$A$3:$H$10000,8,FALSE),"0")</f>
        <v>0</v>
      </c>
      <c r="P12319" s="33">
        <f t="shared" si="768"/>
        <v>0</v>
      </c>
      <c r="Q12319" s="31" t="str">
        <f t="shared" si="769"/>
        <v/>
      </c>
      <c r="R12319" s="32" t="str">
        <f>IFERROR(VLOOKUP($D12319,'Informations sur les produits'!$A$3:$B$15000,2,FALSE),"")</f>
        <v/>
      </c>
      <c r="V12319">
        <f t="shared" si="770"/>
        <v>0</v>
      </c>
      <c r="W12319">
        <f t="shared" si="771"/>
        <v>0</v>
      </c>
    </row>
    <row r="12320" spans="5:23" x14ac:dyDescent="0.25">
      <c r="E12320" s="4"/>
      <c r="F12320" s="4"/>
      <c r="G12320" s="33" t="str">
        <f>IFERROR(VLOOKUP($D12320,'Informations sur les produits'!$A$3:$H$10000,8,FALSE),"0")</f>
        <v>0</v>
      </c>
      <c r="K12320" s="4"/>
      <c r="L12320" s="33" t="str">
        <f>IFERROR(VLOOKUP($J12320,'Informations sur les produits'!$A$3:$H$10000,8,FALSE),"0")</f>
        <v>0</v>
      </c>
      <c r="N12320" s="8"/>
      <c r="O12320" s="33" t="str">
        <f>IFERROR(VLOOKUP($M12320,'Informations sur les produits'!$A$3:$H$10000,8,FALSE),"0")</f>
        <v>0</v>
      </c>
      <c r="P12320" s="33">
        <f t="shared" si="768"/>
        <v>0</v>
      </c>
      <c r="Q12320" s="31" t="str">
        <f t="shared" si="769"/>
        <v/>
      </c>
      <c r="R12320" s="32" t="str">
        <f>IFERROR(VLOOKUP($D12320,'Informations sur les produits'!$A$3:$B$15000,2,FALSE),"")</f>
        <v/>
      </c>
      <c r="V12320">
        <f t="shared" si="770"/>
        <v>0</v>
      </c>
      <c r="W12320">
        <f t="shared" si="771"/>
        <v>0</v>
      </c>
    </row>
    <row r="12321" spans="5:23" x14ac:dyDescent="0.25">
      <c r="E12321" s="4"/>
      <c r="F12321" s="4"/>
      <c r="G12321" s="33" t="str">
        <f>IFERROR(VLOOKUP($D12321,'Informations sur les produits'!$A$3:$H$10000,8,FALSE),"0")</f>
        <v>0</v>
      </c>
      <c r="K12321" s="4"/>
      <c r="L12321" s="33" t="str">
        <f>IFERROR(VLOOKUP($J12321,'Informations sur les produits'!$A$3:$H$10000,8,FALSE),"0")</f>
        <v>0</v>
      </c>
      <c r="N12321" s="8"/>
      <c r="O12321" s="33" t="str">
        <f>IFERROR(VLOOKUP($M12321,'Informations sur les produits'!$A$3:$H$10000,8,FALSE),"0")</f>
        <v>0</v>
      </c>
      <c r="P12321" s="33">
        <f t="shared" si="768"/>
        <v>0</v>
      </c>
      <c r="Q12321" s="31" t="str">
        <f t="shared" si="769"/>
        <v/>
      </c>
      <c r="R12321" s="32" t="str">
        <f>IFERROR(VLOOKUP($D12321,'Informations sur les produits'!$A$3:$B$15000,2,FALSE),"")</f>
        <v/>
      </c>
      <c r="V12321">
        <f t="shared" si="770"/>
        <v>0</v>
      </c>
      <c r="W12321">
        <f t="shared" si="771"/>
        <v>0</v>
      </c>
    </row>
    <row r="12322" spans="5:23" x14ac:dyDescent="0.25">
      <c r="E12322" s="4"/>
      <c r="F12322" s="4"/>
      <c r="G12322" s="33" t="str">
        <f>IFERROR(VLOOKUP($D12322,'Informations sur les produits'!$A$3:$H$10000,8,FALSE),"0")</f>
        <v>0</v>
      </c>
      <c r="K12322" s="4"/>
      <c r="L12322" s="33" t="str">
        <f>IFERROR(VLOOKUP($J12322,'Informations sur les produits'!$A$3:$H$10000,8,FALSE),"0")</f>
        <v>0</v>
      </c>
      <c r="N12322" s="8"/>
      <c r="O12322" s="33" t="str">
        <f>IFERROR(VLOOKUP($M12322,'Informations sur les produits'!$A$3:$H$10000,8,FALSE),"0")</f>
        <v>0</v>
      </c>
      <c r="P12322" s="33">
        <f t="shared" si="768"/>
        <v>0</v>
      </c>
      <c r="Q12322" s="31" t="str">
        <f t="shared" si="769"/>
        <v/>
      </c>
      <c r="R12322" s="32" t="str">
        <f>IFERROR(VLOOKUP($D12322,'Informations sur les produits'!$A$3:$B$15000,2,FALSE),"")</f>
        <v/>
      </c>
      <c r="V12322">
        <f t="shared" si="770"/>
        <v>0</v>
      </c>
      <c r="W12322">
        <f t="shared" si="771"/>
        <v>0</v>
      </c>
    </row>
    <row r="12323" spans="5:23" x14ac:dyDescent="0.25">
      <c r="E12323" s="4"/>
      <c r="F12323" s="4"/>
      <c r="G12323" s="33" t="str">
        <f>IFERROR(VLOOKUP($D12323,'Informations sur les produits'!$A$3:$H$10000,8,FALSE),"0")</f>
        <v>0</v>
      </c>
      <c r="K12323" s="4"/>
      <c r="L12323" s="33" t="str">
        <f>IFERROR(VLOOKUP($J12323,'Informations sur les produits'!$A$3:$H$10000,8,FALSE),"0")</f>
        <v>0</v>
      </c>
      <c r="N12323" s="8"/>
      <c r="O12323" s="33" t="str">
        <f>IFERROR(VLOOKUP($M12323,'Informations sur les produits'!$A$3:$H$10000,8,FALSE),"0")</f>
        <v>0</v>
      </c>
      <c r="P12323" s="33">
        <f t="shared" si="768"/>
        <v>0</v>
      </c>
      <c r="Q12323" s="31" t="str">
        <f t="shared" si="769"/>
        <v/>
      </c>
      <c r="R12323" s="32" t="str">
        <f>IFERROR(VLOOKUP($D12323,'Informations sur les produits'!$A$3:$B$15000,2,FALSE),"")</f>
        <v/>
      </c>
      <c r="V12323">
        <f t="shared" si="770"/>
        <v>0</v>
      </c>
      <c r="W12323">
        <f t="shared" si="771"/>
        <v>0</v>
      </c>
    </row>
    <row r="12324" spans="5:23" x14ac:dyDescent="0.25">
      <c r="E12324" s="4"/>
      <c r="F12324" s="4"/>
      <c r="G12324" s="33" t="str">
        <f>IFERROR(VLOOKUP($D12324,'Informations sur les produits'!$A$3:$H$10000,8,FALSE),"0")</f>
        <v>0</v>
      </c>
      <c r="K12324" s="4"/>
      <c r="L12324" s="33" t="str">
        <f>IFERROR(VLOOKUP($J12324,'Informations sur les produits'!$A$3:$H$10000,8,FALSE),"0")</f>
        <v>0</v>
      </c>
      <c r="N12324" s="8"/>
      <c r="O12324" s="33" t="str">
        <f>IFERROR(VLOOKUP($M12324,'Informations sur les produits'!$A$3:$H$10000,8,FALSE),"0")</f>
        <v>0</v>
      </c>
      <c r="P12324" s="33">
        <f t="shared" si="768"/>
        <v>0</v>
      </c>
      <c r="Q12324" s="31" t="str">
        <f t="shared" si="769"/>
        <v/>
      </c>
      <c r="R12324" s="32" t="str">
        <f>IFERROR(VLOOKUP($D12324,'Informations sur les produits'!$A$3:$B$15000,2,FALSE),"")</f>
        <v/>
      </c>
      <c r="V12324">
        <f t="shared" si="770"/>
        <v>0</v>
      </c>
      <c r="W12324">
        <f t="shared" si="771"/>
        <v>0</v>
      </c>
    </row>
    <row r="12325" spans="5:23" x14ac:dyDescent="0.25">
      <c r="E12325" s="4"/>
      <c r="F12325" s="4"/>
      <c r="G12325" s="33" t="str">
        <f>IFERROR(VLOOKUP($D12325,'Informations sur les produits'!$A$3:$H$10000,8,FALSE),"0")</f>
        <v>0</v>
      </c>
      <c r="K12325" s="4"/>
      <c r="L12325" s="33" t="str">
        <f>IFERROR(VLOOKUP($J12325,'Informations sur les produits'!$A$3:$H$10000,8,FALSE),"0")</f>
        <v>0</v>
      </c>
      <c r="N12325" s="8"/>
      <c r="O12325" s="33" t="str">
        <f>IFERROR(VLOOKUP($M12325,'Informations sur les produits'!$A$3:$H$10000,8,FALSE),"0")</f>
        <v>0</v>
      </c>
      <c r="P12325" s="33">
        <f t="shared" si="768"/>
        <v>0</v>
      </c>
      <c r="Q12325" s="31" t="str">
        <f t="shared" si="769"/>
        <v/>
      </c>
      <c r="R12325" s="32" t="str">
        <f>IFERROR(VLOOKUP($D12325,'Informations sur les produits'!$A$3:$B$15000,2,FALSE),"")</f>
        <v/>
      </c>
      <c r="V12325">
        <f t="shared" si="770"/>
        <v>0</v>
      </c>
      <c r="W12325">
        <f t="shared" si="771"/>
        <v>0</v>
      </c>
    </row>
    <row r="12326" spans="5:23" x14ac:dyDescent="0.25">
      <c r="E12326" s="4"/>
      <c r="F12326" s="4"/>
      <c r="G12326" s="33" t="str">
        <f>IFERROR(VLOOKUP($D12326,'Informations sur les produits'!$A$3:$H$10000,8,FALSE),"0")</f>
        <v>0</v>
      </c>
      <c r="K12326" s="4"/>
      <c r="L12326" s="33" t="str">
        <f>IFERROR(VLOOKUP($J12326,'Informations sur les produits'!$A$3:$H$10000,8,FALSE),"0")</f>
        <v>0</v>
      </c>
      <c r="N12326" s="8"/>
      <c r="O12326" s="33" t="str">
        <f>IFERROR(VLOOKUP($M12326,'Informations sur les produits'!$A$3:$H$10000,8,FALSE),"0")</f>
        <v>0</v>
      </c>
      <c r="P12326" s="33">
        <f t="shared" si="768"/>
        <v>0</v>
      </c>
      <c r="Q12326" s="31" t="str">
        <f t="shared" si="769"/>
        <v/>
      </c>
      <c r="R12326" s="32" t="str">
        <f>IFERROR(VLOOKUP($D12326,'Informations sur les produits'!$A$3:$B$15000,2,FALSE),"")</f>
        <v/>
      </c>
      <c r="V12326">
        <f t="shared" si="770"/>
        <v>0</v>
      </c>
      <c r="W12326">
        <f t="shared" si="771"/>
        <v>0</v>
      </c>
    </row>
    <row r="12327" spans="5:23" x14ac:dyDescent="0.25">
      <c r="E12327" s="4"/>
      <c r="F12327" s="4"/>
      <c r="G12327" s="33" t="str">
        <f>IFERROR(VLOOKUP($D12327,'Informations sur les produits'!$A$3:$H$10000,8,FALSE),"0")</f>
        <v>0</v>
      </c>
      <c r="K12327" s="4"/>
      <c r="L12327" s="33" t="str">
        <f>IFERROR(VLOOKUP($J12327,'Informations sur les produits'!$A$3:$H$10000,8,FALSE),"0")</f>
        <v>0</v>
      </c>
      <c r="N12327" s="8"/>
      <c r="O12327" s="33" t="str">
        <f>IFERROR(VLOOKUP($M12327,'Informations sur les produits'!$A$3:$H$10000,8,FALSE),"0")</f>
        <v>0</v>
      </c>
      <c r="P12327" s="33">
        <f t="shared" si="768"/>
        <v>0</v>
      </c>
      <c r="Q12327" s="31" t="str">
        <f t="shared" si="769"/>
        <v/>
      </c>
      <c r="R12327" s="32" t="str">
        <f>IFERROR(VLOOKUP($D12327,'Informations sur les produits'!$A$3:$B$15000,2,FALSE),"")</f>
        <v/>
      </c>
      <c r="V12327">
        <f t="shared" si="770"/>
        <v>0</v>
      </c>
      <c r="W12327">
        <f t="shared" si="771"/>
        <v>0</v>
      </c>
    </row>
    <row r="12328" spans="5:23" x14ac:dyDescent="0.25">
      <c r="E12328" s="4"/>
      <c r="F12328" s="4"/>
      <c r="G12328" s="33" t="str">
        <f>IFERROR(VLOOKUP($D12328,'Informations sur les produits'!$A$3:$H$10000,8,FALSE),"0")</f>
        <v>0</v>
      </c>
      <c r="K12328" s="4"/>
      <c r="L12328" s="33" t="str">
        <f>IFERROR(VLOOKUP($J12328,'Informations sur les produits'!$A$3:$H$10000,8,FALSE),"0")</f>
        <v>0</v>
      </c>
      <c r="N12328" s="8"/>
      <c r="O12328" s="33" t="str">
        <f>IFERROR(VLOOKUP($M12328,'Informations sur les produits'!$A$3:$H$10000,8,FALSE),"0")</f>
        <v>0</v>
      </c>
      <c r="P12328" s="33">
        <f t="shared" si="768"/>
        <v>0</v>
      </c>
      <c r="Q12328" s="31" t="str">
        <f t="shared" si="769"/>
        <v/>
      </c>
      <c r="R12328" s="32" t="str">
        <f>IFERROR(VLOOKUP($D12328,'Informations sur les produits'!$A$3:$B$15000,2,FALSE),"")</f>
        <v/>
      </c>
      <c r="V12328">
        <f t="shared" si="770"/>
        <v>0</v>
      </c>
      <c r="W12328">
        <f t="shared" si="771"/>
        <v>0</v>
      </c>
    </row>
    <row r="12329" spans="5:23" x14ac:dyDescent="0.25">
      <c r="E12329" s="4"/>
      <c r="F12329" s="4"/>
      <c r="G12329" s="33" t="str">
        <f>IFERROR(VLOOKUP($D12329,'Informations sur les produits'!$A$3:$H$10000,8,FALSE),"0")</f>
        <v>0</v>
      </c>
      <c r="K12329" s="4"/>
      <c r="L12329" s="33" t="str">
        <f>IFERROR(VLOOKUP($J12329,'Informations sur les produits'!$A$3:$H$10000,8,FALSE),"0")</f>
        <v>0</v>
      </c>
      <c r="N12329" s="8"/>
      <c r="O12329" s="33" t="str">
        <f>IFERROR(VLOOKUP($M12329,'Informations sur les produits'!$A$3:$H$10000,8,FALSE),"0")</f>
        <v>0</v>
      </c>
      <c r="P12329" s="33">
        <f t="shared" si="768"/>
        <v>0</v>
      </c>
      <c r="Q12329" s="31" t="str">
        <f t="shared" si="769"/>
        <v/>
      </c>
      <c r="R12329" s="32" t="str">
        <f>IFERROR(VLOOKUP($D12329,'Informations sur les produits'!$A$3:$B$15000,2,FALSE),"")</f>
        <v/>
      </c>
      <c r="V12329">
        <f t="shared" si="770"/>
        <v>0</v>
      </c>
      <c r="W12329">
        <f t="shared" si="771"/>
        <v>0</v>
      </c>
    </row>
    <row r="12330" spans="5:23" x14ac:dyDescent="0.25">
      <c r="E12330" s="4"/>
      <c r="F12330" s="4"/>
      <c r="G12330" s="33" t="str">
        <f>IFERROR(VLOOKUP($D12330,'Informations sur les produits'!$A$3:$H$10000,8,FALSE),"0")</f>
        <v>0</v>
      </c>
      <c r="K12330" s="4"/>
      <c r="L12330" s="33" t="str">
        <f>IFERROR(VLOOKUP($J12330,'Informations sur les produits'!$A$3:$H$10000,8,FALSE),"0")</f>
        <v>0</v>
      </c>
      <c r="N12330" s="8"/>
      <c r="O12330" s="33" t="str">
        <f>IFERROR(VLOOKUP($M12330,'Informations sur les produits'!$A$3:$H$10000,8,FALSE),"0")</f>
        <v>0</v>
      </c>
      <c r="P12330" s="33">
        <f t="shared" si="768"/>
        <v>0</v>
      </c>
      <c r="Q12330" s="31" t="str">
        <f t="shared" si="769"/>
        <v/>
      </c>
      <c r="R12330" s="32" t="str">
        <f>IFERROR(VLOOKUP($D12330,'Informations sur les produits'!$A$3:$B$15000,2,FALSE),"")</f>
        <v/>
      </c>
      <c r="V12330">
        <f t="shared" si="770"/>
        <v>0</v>
      </c>
      <c r="W12330">
        <f t="shared" si="771"/>
        <v>0</v>
      </c>
    </row>
    <row r="12331" spans="5:23" x14ac:dyDescent="0.25">
      <c r="E12331" s="4"/>
      <c r="F12331" s="4"/>
      <c r="G12331" s="33" t="str">
        <f>IFERROR(VLOOKUP($D12331,'Informations sur les produits'!$A$3:$H$10000,8,FALSE),"0")</f>
        <v>0</v>
      </c>
      <c r="K12331" s="4"/>
      <c r="L12331" s="33" t="str">
        <f>IFERROR(VLOOKUP($J12331,'Informations sur les produits'!$A$3:$H$10000,8,FALSE),"0")</f>
        <v>0</v>
      </c>
      <c r="N12331" s="8"/>
      <c r="O12331" s="33" t="str">
        <f>IFERROR(VLOOKUP($M12331,'Informations sur les produits'!$A$3:$H$10000,8,FALSE),"0")</f>
        <v>0</v>
      </c>
      <c r="P12331" s="33">
        <f t="shared" si="768"/>
        <v>0</v>
      </c>
      <c r="Q12331" s="31" t="str">
        <f t="shared" si="769"/>
        <v/>
      </c>
      <c r="R12331" s="32" t="str">
        <f>IFERROR(VLOOKUP($D12331,'Informations sur les produits'!$A$3:$B$15000,2,FALSE),"")</f>
        <v/>
      </c>
      <c r="V12331">
        <f t="shared" si="770"/>
        <v>0</v>
      </c>
      <c r="W12331">
        <f t="shared" si="771"/>
        <v>0</v>
      </c>
    </row>
    <row r="12332" spans="5:23" x14ac:dyDescent="0.25">
      <c r="E12332" s="4"/>
      <c r="F12332" s="4"/>
      <c r="G12332" s="33" t="str">
        <f>IFERROR(VLOOKUP($D12332,'Informations sur les produits'!$A$3:$H$10000,8,FALSE),"0")</f>
        <v>0</v>
      </c>
      <c r="K12332" s="4"/>
      <c r="L12332" s="33" t="str">
        <f>IFERROR(VLOOKUP($J12332,'Informations sur les produits'!$A$3:$H$10000,8,FALSE),"0")</f>
        <v>0</v>
      </c>
      <c r="N12332" s="8"/>
      <c r="O12332" s="33" t="str">
        <f>IFERROR(VLOOKUP($M12332,'Informations sur les produits'!$A$3:$H$10000,8,FALSE),"0")</f>
        <v>0</v>
      </c>
      <c r="P12332" s="33">
        <f t="shared" si="768"/>
        <v>0</v>
      </c>
      <c r="Q12332" s="31" t="str">
        <f t="shared" si="769"/>
        <v/>
      </c>
      <c r="R12332" s="32" t="str">
        <f>IFERROR(VLOOKUP($D12332,'Informations sur les produits'!$A$3:$B$15000,2,FALSE),"")</f>
        <v/>
      </c>
      <c r="V12332">
        <f t="shared" si="770"/>
        <v>0</v>
      </c>
      <c r="W12332">
        <f t="shared" si="771"/>
        <v>0</v>
      </c>
    </row>
    <row r="12333" spans="5:23" x14ac:dyDescent="0.25">
      <c r="E12333" s="4"/>
      <c r="F12333" s="4"/>
      <c r="G12333" s="33" t="str">
        <f>IFERROR(VLOOKUP($D12333,'Informations sur les produits'!$A$3:$H$10000,8,FALSE),"0")</f>
        <v>0</v>
      </c>
      <c r="K12333" s="4"/>
      <c r="L12333" s="33" t="str">
        <f>IFERROR(VLOOKUP($J12333,'Informations sur les produits'!$A$3:$H$10000,8,FALSE),"0")</f>
        <v>0</v>
      </c>
      <c r="N12333" s="8"/>
      <c r="O12333" s="33" t="str">
        <f>IFERROR(VLOOKUP($M12333,'Informations sur les produits'!$A$3:$H$10000,8,FALSE),"0")</f>
        <v>0</v>
      </c>
      <c r="P12333" s="33">
        <f t="shared" si="768"/>
        <v>0</v>
      </c>
      <c r="Q12333" s="31" t="str">
        <f t="shared" si="769"/>
        <v/>
      </c>
      <c r="R12333" s="32" t="str">
        <f>IFERROR(VLOOKUP($D12333,'Informations sur les produits'!$A$3:$B$15000,2,FALSE),"")</f>
        <v/>
      </c>
      <c r="V12333">
        <f t="shared" si="770"/>
        <v>0</v>
      </c>
      <c r="W12333">
        <f t="shared" si="771"/>
        <v>0</v>
      </c>
    </row>
    <row r="12334" spans="5:23" x14ac:dyDescent="0.25">
      <c r="E12334" s="4"/>
      <c r="F12334" s="4"/>
      <c r="G12334" s="33" t="str">
        <f>IFERROR(VLOOKUP($D12334,'Informations sur les produits'!$A$3:$H$10000,8,FALSE),"0")</f>
        <v>0</v>
      </c>
      <c r="K12334" s="4"/>
      <c r="L12334" s="33" t="str">
        <f>IFERROR(VLOOKUP($J12334,'Informations sur les produits'!$A$3:$H$10000,8,FALSE),"0")</f>
        <v>0</v>
      </c>
      <c r="N12334" s="8"/>
      <c r="O12334" s="33" t="str">
        <f>IFERROR(VLOOKUP($M12334,'Informations sur les produits'!$A$3:$H$10000,8,FALSE),"0")</f>
        <v>0</v>
      </c>
      <c r="P12334" s="33">
        <f t="shared" si="768"/>
        <v>0</v>
      </c>
      <c r="Q12334" s="31" t="str">
        <f t="shared" si="769"/>
        <v/>
      </c>
      <c r="R12334" s="32" t="str">
        <f>IFERROR(VLOOKUP($D12334,'Informations sur les produits'!$A$3:$B$15000,2,FALSE),"")</f>
        <v/>
      </c>
      <c r="V12334">
        <f t="shared" si="770"/>
        <v>0</v>
      </c>
      <c r="W12334">
        <f t="shared" si="771"/>
        <v>0</v>
      </c>
    </row>
    <row r="12335" spans="5:23" x14ac:dyDescent="0.25">
      <c r="E12335" s="4"/>
      <c r="F12335" s="4"/>
      <c r="G12335" s="33" t="str">
        <f>IFERROR(VLOOKUP($D12335,'Informations sur les produits'!$A$3:$H$10000,8,FALSE),"0")</f>
        <v>0</v>
      </c>
      <c r="K12335" s="4"/>
      <c r="L12335" s="33" t="str">
        <f>IFERROR(VLOOKUP($J12335,'Informations sur les produits'!$A$3:$H$10000,8,FALSE),"0")</f>
        <v>0</v>
      </c>
      <c r="N12335" s="8"/>
      <c r="O12335" s="33" t="str">
        <f>IFERROR(VLOOKUP($M12335,'Informations sur les produits'!$A$3:$H$10000,8,FALSE),"0")</f>
        <v>0</v>
      </c>
      <c r="P12335" s="33">
        <f t="shared" si="768"/>
        <v>0</v>
      </c>
      <c r="Q12335" s="31" t="str">
        <f t="shared" si="769"/>
        <v/>
      </c>
      <c r="R12335" s="32" t="str">
        <f>IFERROR(VLOOKUP($D12335,'Informations sur les produits'!$A$3:$B$15000,2,FALSE),"")</f>
        <v/>
      </c>
      <c r="V12335">
        <f t="shared" si="770"/>
        <v>0</v>
      </c>
      <c r="W12335">
        <f t="shared" si="771"/>
        <v>0</v>
      </c>
    </row>
    <row r="12336" spans="5:23" x14ac:dyDescent="0.25">
      <c r="E12336" s="4"/>
      <c r="F12336" s="4"/>
      <c r="G12336" s="33" t="str">
        <f>IFERROR(VLOOKUP($D12336,'Informations sur les produits'!$A$3:$H$10000,8,FALSE),"0")</f>
        <v>0</v>
      </c>
      <c r="K12336" s="4"/>
      <c r="L12336" s="33" t="str">
        <f>IFERROR(VLOOKUP($J12336,'Informations sur les produits'!$A$3:$H$10000,8,FALSE),"0")</f>
        <v>0</v>
      </c>
      <c r="N12336" s="8"/>
      <c r="O12336" s="33" t="str">
        <f>IFERROR(VLOOKUP($M12336,'Informations sur les produits'!$A$3:$H$10000,8,FALSE),"0")</f>
        <v>0</v>
      </c>
      <c r="P12336" s="33">
        <f t="shared" si="768"/>
        <v>0</v>
      </c>
      <c r="Q12336" s="31" t="str">
        <f t="shared" si="769"/>
        <v/>
      </c>
      <c r="R12336" s="32" t="str">
        <f>IFERROR(VLOOKUP($D12336,'Informations sur les produits'!$A$3:$B$15000,2,FALSE),"")</f>
        <v/>
      </c>
      <c r="V12336">
        <f t="shared" si="770"/>
        <v>0</v>
      </c>
      <c r="W12336">
        <f t="shared" si="771"/>
        <v>0</v>
      </c>
    </row>
    <row r="12337" spans="5:23" x14ac:dyDescent="0.25">
      <c r="E12337" s="4"/>
      <c r="F12337" s="4"/>
      <c r="G12337" s="33" t="str">
        <f>IFERROR(VLOOKUP($D12337,'Informations sur les produits'!$A$3:$H$10000,8,FALSE),"0")</f>
        <v>0</v>
      </c>
      <c r="K12337" s="4"/>
      <c r="L12337" s="33" t="str">
        <f>IFERROR(VLOOKUP($J12337,'Informations sur les produits'!$A$3:$H$10000,8,FALSE),"0")</f>
        <v>0</v>
      </c>
      <c r="N12337" s="8"/>
      <c r="O12337" s="33" t="str">
        <f>IFERROR(VLOOKUP($M12337,'Informations sur les produits'!$A$3:$H$10000,8,FALSE),"0")</f>
        <v>0</v>
      </c>
      <c r="P12337" s="33">
        <f t="shared" si="768"/>
        <v>0</v>
      </c>
      <c r="Q12337" s="31" t="str">
        <f t="shared" si="769"/>
        <v/>
      </c>
      <c r="R12337" s="32" t="str">
        <f>IFERROR(VLOOKUP($D12337,'Informations sur les produits'!$A$3:$B$15000,2,FALSE),"")</f>
        <v/>
      </c>
      <c r="V12337">
        <f t="shared" si="770"/>
        <v>0</v>
      </c>
      <c r="W12337">
        <f t="shared" si="771"/>
        <v>0</v>
      </c>
    </row>
    <row r="12338" spans="5:23" x14ac:dyDescent="0.25">
      <c r="E12338" s="4"/>
      <c r="F12338" s="4"/>
      <c r="G12338" s="33" t="str">
        <f>IFERROR(VLOOKUP($D12338,'Informations sur les produits'!$A$3:$H$10000,8,FALSE),"0")</f>
        <v>0</v>
      </c>
      <c r="K12338" s="4"/>
      <c r="L12338" s="33" t="str">
        <f>IFERROR(VLOOKUP($J12338,'Informations sur les produits'!$A$3:$H$10000,8,FALSE),"0")</f>
        <v>0</v>
      </c>
      <c r="N12338" s="8"/>
      <c r="O12338" s="33" t="str">
        <f>IFERROR(VLOOKUP($M12338,'Informations sur les produits'!$A$3:$H$10000,8,FALSE),"0")</f>
        <v>0</v>
      </c>
      <c r="P12338" s="33">
        <f t="shared" si="768"/>
        <v>0</v>
      </c>
      <c r="Q12338" s="31" t="str">
        <f t="shared" si="769"/>
        <v/>
      </c>
      <c r="R12338" s="32" t="str">
        <f>IFERROR(VLOOKUP($D12338,'Informations sur les produits'!$A$3:$B$15000,2,FALSE),"")</f>
        <v/>
      </c>
      <c r="V12338">
        <f t="shared" si="770"/>
        <v>0</v>
      </c>
      <c r="W12338">
        <f t="shared" si="771"/>
        <v>0</v>
      </c>
    </row>
    <row r="12339" spans="5:23" x14ac:dyDescent="0.25">
      <c r="E12339" s="4"/>
      <c r="F12339" s="4"/>
      <c r="G12339" s="33" t="str">
        <f>IFERROR(VLOOKUP($D12339,'Informations sur les produits'!$A$3:$H$10000,8,FALSE),"0")</f>
        <v>0</v>
      </c>
      <c r="K12339" s="4"/>
      <c r="L12339" s="33" t="str">
        <f>IFERROR(VLOOKUP($J12339,'Informations sur les produits'!$A$3:$H$10000,8,FALSE),"0")</f>
        <v>0</v>
      </c>
      <c r="N12339" s="8"/>
      <c r="O12339" s="33" t="str">
        <f>IFERROR(VLOOKUP($M12339,'Informations sur les produits'!$A$3:$H$10000,8,FALSE),"0")</f>
        <v>0</v>
      </c>
      <c r="P12339" s="33">
        <f t="shared" si="768"/>
        <v>0</v>
      </c>
      <c r="Q12339" s="31" t="str">
        <f t="shared" si="769"/>
        <v/>
      </c>
      <c r="R12339" s="32" t="str">
        <f>IFERROR(VLOOKUP($D12339,'Informations sur les produits'!$A$3:$B$15000,2,FALSE),"")</f>
        <v/>
      </c>
      <c r="V12339">
        <f t="shared" si="770"/>
        <v>0</v>
      </c>
      <c r="W12339">
        <f t="shared" si="771"/>
        <v>0</v>
      </c>
    </row>
    <row r="12340" spans="5:23" x14ac:dyDescent="0.25">
      <c r="E12340" s="4"/>
      <c r="F12340" s="4"/>
      <c r="G12340" s="33" t="str">
        <f>IFERROR(VLOOKUP($D12340,'Informations sur les produits'!$A$3:$H$10000,8,FALSE),"0")</f>
        <v>0</v>
      </c>
      <c r="K12340" s="4"/>
      <c r="L12340" s="33" t="str">
        <f>IFERROR(VLOOKUP($J12340,'Informations sur les produits'!$A$3:$H$10000,8,FALSE),"0")</f>
        <v>0</v>
      </c>
      <c r="N12340" s="8"/>
      <c r="O12340" s="33" t="str">
        <f>IFERROR(VLOOKUP($M12340,'Informations sur les produits'!$A$3:$H$10000,8,FALSE),"0")</f>
        <v>0</v>
      </c>
      <c r="P12340" s="33">
        <f t="shared" si="768"/>
        <v>0</v>
      </c>
      <c r="Q12340" s="31" t="str">
        <f t="shared" si="769"/>
        <v/>
      </c>
      <c r="R12340" s="32" t="str">
        <f>IFERROR(VLOOKUP($D12340,'Informations sur les produits'!$A$3:$B$15000,2,FALSE),"")</f>
        <v/>
      </c>
      <c r="V12340">
        <f t="shared" si="770"/>
        <v>0</v>
      </c>
      <c r="W12340">
        <f t="shared" si="771"/>
        <v>0</v>
      </c>
    </row>
    <row r="12341" spans="5:23" x14ac:dyDescent="0.25">
      <c r="E12341" s="4"/>
      <c r="F12341" s="4"/>
      <c r="G12341" s="33" t="str">
        <f>IFERROR(VLOOKUP($D12341,'Informations sur les produits'!$A$3:$H$10000,8,FALSE),"0")</f>
        <v>0</v>
      </c>
      <c r="K12341" s="4"/>
      <c r="L12341" s="33" t="str">
        <f>IFERROR(VLOOKUP($J12341,'Informations sur les produits'!$A$3:$H$10000,8,FALSE),"0")</f>
        <v>0</v>
      </c>
      <c r="N12341" s="8"/>
      <c r="O12341" s="33" t="str">
        <f>IFERROR(VLOOKUP($M12341,'Informations sur les produits'!$A$3:$H$10000,8,FALSE),"0")</f>
        <v>0</v>
      </c>
      <c r="P12341" s="33">
        <f t="shared" si="768"/>
        <v>0</v>
      </c>
      <c r="Q12341" s="31" t="str">
        <f t="shared" si="769"/>
        <v/>
      </c>
      <c r="R12341" s="32" t="str">
        <f>IFERROR(VLOOKUP($D12341,'Informations sur les produits'!$A$3:$B$15000,2,FALSE),"")</f>
        <v/>
      </c>
      <c r="V12341">
        <f t="shared" si="770"/>
        <v>0</v>
      </c>
      <c r="W12341">
        <f t="shared" si="771"/>
        <v>0</v>
      </c>
    </row>
    <row r="12342" spans="5:23" x14ac:dyDescent="0.25">
      <c r="E12342" s="4"/>
      <c r="F12342" s="4"/>
      <c r="G12342" s="33" t="str">
        <f>IFERROR(VLOOKUP($D12342,'Informations sur les produits'!$A$3:$H$10000,8,FALSE),"0")</f>
        <v>0</v>
      </c>
      <c r="K12342" s="4"/>
      <c r="L12342" s="33" t="str">
        <f>IFERROR(VLOOKUP($J12342,'Informations sur les produits'!$A$3:$H$10000,8,FALSE),"0")</f>
        <v>0</v>
      </c>
      <c r="N12342" s="8"/>
      <c r="O12342" s="33" t="str">
        <f>IFERROR(VLOOKUP($M12342,'Informations sur les produits'!$A$3:$H$10000,8,FALSE),"0")</f>
        <v>0</v>
      </c>
      <c r="P12342" s="33">
        <f t="shared" si="768"/>
        <v>0</v>
      </c>
      <c r="Q12342" s="31" t="str">
        <f t="shared" si="769"/>
        <v/>
      </c>
      <c r="R12342" s="32" t="str">
        <f>IFERROR(VLOOKUP($D12342,'Informations sur les produits'!$A$3:$B$15000,2,FALSE),"")</f>
        <v/>
      </c>
      <c r="V12342">
        <f t="shared" si="770"/>
        <v>0</v>
      </c>
      <c r="W12342">
        <f t="shared" si="771"/>
        <v>0</v>
      </c>
    </row>
    <row r="12343" spans="5:23" x14ac:dyDescent="0.25">
      <c r="E12343" s="4"/>
      <c r="F12343" s="4"/>
      <c r="G12343" s="33" t="str">
        <f>IFERROR(VLOOKUP($D12343,'Informations sur les produits'!$A$3:$H$10000,8,FALSE),"0")</f>
        <v>0</v>
      </c>
      <c r="K12343" s="4"/>
      <c r="L12343" s="33" t="str">
        <f>IFERROR(VLOOKUP($J12343,'Informations sur les produits'!$A$3:$H$10000,8,FALSE),"0")</f>
        <v>0</v>
      </c>
      <c r="N12343" s="8"/>
      <c r="O12343" s="33" t="str">
        <f>IFERROR(VLOOKUP($M12343,'Informations sur les produits'!$A$3:$H$10000,8,FALSE),"0")</f>
        <v>0</v>
      </c>
      <c r="P12343" s="33">
        <f t="shared" si="768"/>
        <v>0</v>
      </c>
      <c r="Q12343" s="31" t="str">
        <f t="shared" si="769"/>
        <v/>
      </c>
      <c r="R12343" s="32" t="str">
        <f>IFERROR(VLOOKUP($D12343,'Informations sur les produits'!$A$3:$B$15000,2,FALSE),"")</f>
        <v/>
      </c>
      <c r="V12343">
        <f t="shared" si="770"/>
        <v>0</v>
      </c>
      <c r="W12343">
        <f t="shared" si="771"/>
        <v>0</v>
      </c>
    </row>
    <row r="12344" spans="5:23" x14ac:dyDescent="0.25">
      <c r="E12344" s="4"/>
      <c r="F12344" s="4"/>
      <c r="G12344" s="33" t="str">
        <f>IFERROR(VLOOKUP($D12344,'Informations sur les produits'!$A$3:$H$10000,8,FALSE),"0")</f>
        <v>0</v>
      </c>
      <c r="K12344" s="4"/>
      <c r="L12344" s="33" t="str">
        <f>IFERROR(VLOOKUP($J12344,'Informations sur les produits'!$A$3:$H$10000,8,FALSE),"0")</f>
        <v>0</v>
      </c>
      <c r="N12344" s="8"/>
      <c r="O12344" s="33" t="str">
        <f>IFERROR(VLOOKUP($M12344,'Informations sur les produits'!$A$3:$H$10000,8,FALSE),"0")</f>
        <v>0</v>
      </c>
      <c r="P12344" s="33">
        <f t="shared" si="768"/>
        <v>0</v>
      </c>
      <c r="Q12344" s="31" t="str">
        <f t="shared" si="769"/>
        <v/>
      </c>
      <c r="R12344" s="32" t="str">
        <f>IFERROR(VLOOKUP($D12344,'Informations sur les produits'!$A$3:$B$15000,2,FALSE),"")</f>
        <v/>
      </c>
      <c r="V12344">
        <f t="shared" si="770"/>
        <v>0</v>
      </c>
      <c r="W12344">
        <f t="shared" si="771"/>
        <v>0</v>
      </c>
    </row>
    <row r="12345" spans="5:23" x14ac:dyDescent="0.25">
      <c r="E12345" s="4"/>
      <c r="F12345" s="4"/>
      <c r="G12345" s="33" t="str">
        <f>IFERROR(VLOOKUP($D12345,'Informations sur les produits'!$A$3:$H$10000,8,FALSE),"0")</f>
        <v>0</v>
      </c>
      <c r="K12345" s="4"/>
      <c r="L12345" s="33" t="str">
        <f>IFERROR(VLOOKUP($J12345,'Informations sur les produits'!$A$3:$H$10000,8,FALSE),"0")</f>
        <v>0</v>
      </c>
      <c r="N12345" s="8"/>
      <c r="O12345" s="33" t="str">
        <f>IFERROR(VLOOKUP($M12345,'Informations sur les produits'!$A$3:$H$10000,8,FALSE),"0")</f>
        <v>0</v>
      </c>
      <c r="P12345" s="33">
        <f t="shared" si="768"/>
        <v>0</v>
      </c>
      <c r="Q12345" s="31" t="str">
        <f t="shared" si="769"/>
        <v/>
      </c>
      <c r="R12345" s="32" t="str">
        <f>IFERROR(VLOOKUP($D12345,'Informations sur les produits'!$A$3:$B$15000,2,FALSE),"")</f>
        <v/>
      </c>
      <c r="V12345">
        <f t="shared" si="770"/>
        <v>0</v>
      </c>
      <c r="W12345">
        <f t="shared" si="771"/>
        <v>0</v>
      </c>
    </row>
    <row r="12346" spans="5:23" x14ac:dyDescent="0.25">
      <c r="E12346" s="4"/>
      <c r="F12346" s="4"/>
      <c r="G12346" s="33" t="str">
        <f>IFERROR(VLOOKUP($D12346,'Informations sur les produits'!$A$3:$H$10000,8,FALSE),"0")</f>
        <v>0</v>
      </c>
      <c r="K12346" s="4"/>
      <c r="L12346" s="33" t="str">
        <f>IFERROR(VLOOKUP($J12346,'Informations sur les produits'!$A$3:$H$10000,8,FALSE),"0")</f>
        <v>0</v>
      </c>
      <c r="N12346" s="8"/>
      <c r="O12346" s="33" t="str">
        <f>IFERROR(VLOOKUP($M12346,'Informations sur les produits'!$A$3:$H$10000,8,FALSE),"0")</f>
        <v>0</v>
      </c>
      <c r="P12346" s="33">
        <f t="shared" si="768"/>
        <v>0</v>
      </c>
      <c r="Q12346" s="31" t="str">
        <f t="shared" si="769"/>
        <v/>
      </c>
      <c r="R12346" s="32" t="str">
        <f>IFERROR(VLOOKUP($D12346,'Informations sur les produits'!$A$3:$B$15000,2,FALSE),"")</f>
        <v/>
      </c>
      <c r="V12346">
        <f t="shared" si="770"/>
        <v>0</v>
      </c>
      <c r="W12346">
        <f t="shared" si="771"/>
        <v>0</v>
      </c>
    </row>
    <row r="12347" spans="5:23" x14ac:dyDescent="0.25">
      <c r="E12347" s="4"/>
      <c r="F12347" s="4"/>
      <c r="G12347" s="33" t="str">
        <f>IFERROR(VLOOKUP($D12347,'Informations sur les produits'!$A$3:$H$10000,8,FALSE),"0")</f>
        <v>0</v>
      </c>
      <c r="K12347" s="4"/>
      <c r="L12347" s="33" t="str">
        <f>IFERROR(VLOOKUP($J12347,'Informations sur les produits'!$A$3:$H$10000,8,FALSE),"0")</f>
        <v>0</v>
      </c>
      <c r="N12347" s="8"/>
      <c r="O12347" s="33" t="str">
        <f>IFERROR(VLOOKUP($M12347,'Informations sur les produits'!$A$3:$H$10000,8,FALSE),"0")</f>
        <v>0</v>
      </c>
      <c r="P12347" s="33">
        <f t="shared" si="768"/>
        <v>0</v>
      </c>
      <c r="Q12347" s="31" t="str">
        <f t="shared" si="769"/>
        <v/>
      </c>
      <c r="R12347" s="32" t="str">
        <f>IFERROR(VLOOKUP($D12347,'Informations sur les produits'!$A$3:$B$15000,2,FALSE),"")</f>
        <v/>
      </c>
      <c r="V12347">
        <f t="shared" si="770"/>
        <v>0</v>
      </c>
      <c r="W12347">
        <f t="shared" si="771"/>
        <v>0</v>
      </c>
    </row>
    <row r="12348" spans="5:23" x14ac:dyDescent="0.25">
      <c r="E12348" s="4"/>
      <c r="F12348" s="4"/>
      <c r="G12348" s="33" t="str">
        <f>IFERROR(VLOOKUP($D12348,'Informations sur les produits'!$A$3:$H$10000,8,FALSE),"0")</f>
        <v>0</v>
      </c>
      <c r="K12348" s="4"/>
      <c r="L12348" s="33" t="str">
        <f>IFERROR(VLOOKUP($J12348,'Informations sur les produits'!$A$3:$H$10000,8,FALSE),"0")</f>
        <v>0</v>
      </c>
      <c r="N12348" s="8"/>
      <c r="O12348" s="33" t="str">
        <f>IFERROR(VLOOKUP($M12348,'Informations sur les produits'!$A$3:$H$10000,8,FALSE),"0")</f>
        <v>0</v>
      </c>
      <c r="P12348" s="33">
        <f t="shared" si="768"/>
        <v>0</v>
      </c>
      <c r="Q12348" s="31" t="str">
        <f t="shared" si="769"/>
        <v/>
      </c>
      <c r="R12348" s="32" t="str">
        <f>IFERROR(VLOOKUP($D12348,'Informations sur les produits'!$A$3:$B$15000,2,FALSE),"")</f>
        <v/>
      </c>
      <c r="V12348">
        <f t="shared" si="770"/>
        <v>0</v>
      </c>
      <c r="W12348">
        <f t="shared" si="771"/>
        <v>0</v>
      </c>
    </row>
    <row r="12349" spans="5:23" x14ac:dyDescent="0.25">
      <c r="E12349" s="4"/>
      <c r="F12349" s="4"/>
      <c r="G12349" s="33" t="str">
        <f>IFERROR(VLOOKUP($D12349,'Informations sur les produits'!$A$3:$H$10000,8,FALSE),"0")</f>
        <v>0</v>
      </c>
      <c r="K12349" s="4"/>
      <c r="L12349" s="33" t="str">
        <f>IFERROR(VLOOKUP($J12349,'Informations sur les produits'!$A$3:$H$10000,8,FALSE),"0")</f>
        <v>0</v>
      </c>
      <c r="N12349" s="8"/>
      <c r="O12349" s="33" t="str">
        <f>IFERROR(VLOOKUP($M12349,'Informations sur les produits'!$A$3:$H$10000,8,FALSE),"0")</f>
        <v>0</v>
      </c>
      <c r="P12349" s="33">
        <f t="shared" si="768"/>
        <v>0</v>
      </c>
      <c r="Q12349" s="31" t="str">
        <f t="shared" si="769"/>
        <v/>
      </c>
      <c r="R12349" s="32" t="str">
        <f>IFERROR(VLOOKUP($D12349,'Informations sur les produits'!$A$3:$B$15000,2,FALSE),"")</f>
        <v/>
      </c>
      <c r="V12349">
        <f t="shared" si="770"/>
        <v>0</v>
      </c>
      <c r="W12349">
        <f t="shared" si="771"/>
        <v>0</v>
      </c>
    </row>
    <row r="12350" spans="5:23" x14ac:dyDescent="0.25">
      <c r="E12350" s="4"/>
      <c r="F12350" s="4"/>
      <c r="G12350" s="33" t="str">
        <f>IFERROR(VLOOKUP($D12350,'Informations sur les produits'!$A$3:$H$10000,8,FALSE),"0")</f>
        <v>0</v>
      </c>
      <c r="K12350" s="4"/>
      <c r="L12350" s="33" t="str">
        <f>IFERROR(VLOOKUP($J12350,'Informations sur les produits'!$A$3:$H$10000,8,FALSE),"0")</f>
        <v>0</v>
      </c>
      <c r="N12350" s="8"/>
      <c r="O12350" s="33" t="str">
        <f>IFERROR(VLOOKUP($M12350,'Informations sur les produits'!$A$3:$H$10000,8,FALSE),"0")</f>
        <v>0</v>
      </c>
      <c r="P12350" s="33">
        <f t="shared" si="768"/>
        <v>0</v>
      </c>
      <c r="Q12350" s="31" t="str">
        <f t="shared" si="769"/>
        <v/>
      </c>
      <c r="R12350" s="32" t="str">
        <f>IFERROR(VLOOKUP($D12350,'Informations sur les produits'!$A$3:$B$15000,2,FALSE),"")</f>
        <v/>
      </c>
      <c r="V12350">
        <f t="shared" si="770"/>
        <v>0</v>
      </c>
      <c r="W12350">
        <f t="shared" si="771"/>
        <v>0</v>
      </c>
    </row>
    <row r="12351" spans="5:23" x14ac:dyDescent="0.25">
      <c r="E12351" s="4"/>
      <c r="F12351" s="4"/>
      <c r="G12351" s="33" t="str">
        <f>IFERROR(VLOOKUP($D12351,'Informations sur les produits'!$A$3:$H$10000,8,FALSE),"0")</f>
        <v>0</v>
      </c>
      <c r="K12351" s="4"/>
      <c r="L12351" s="33" t="str">
        <f>IFERROR(VLOOKUP($J12351,'Informations sur les produits'!$A$3:$H$10000,8,FALSE),"0")</f>
        <v>0</v>
      </c>
      <c r="N12351" s="8"/>
      <c r="O12351" s="33" t="str">
        <f>IFERROR(VLOOKUP($M12351,'Informations sur les produits'!$A$3:$H$10000,8,FALSE),"0")</f>
        <v>0</v>
      </c>
      <c r="P12351" s="33">
        <f t="shared" si="768"/>
        <v>0</v>
      </c>
      <c r="Q12351" s="31" t="str">
        <f t="shared" si="769"/>
        <v/>
      </c>
      <c r="R12351" s="32" t="str">
        <f>IFERROR(VLOOKUP($D12351,'Informations sur les produits'!$A$3:$B$15000,2,FALSE),"")</f>
        <v/>
      </c>
      <c r="V12351">
        <f t="shared" si="770"/>
        <v>0</v>
      </c>
      <c r="W12351">
        <f t="shared" si="771"/>
        <v>0</v>
      </c>
    </row>
    <row r="12352" spans="5:23" x14ac:dyDescent="0.25">
      <c r="E12352" s="4"/>
      <c r="F12352" s="4"/>
      <c r="G12352" s="33" t="str">
        <f>IFERROR(VLOOKUP($D12352,'Informations sur les produits'!$A$3:$H$10000,8,FALSE),"0")</f>
        <v>0</v>
      </c>
      <c r="K12352" s="4"/>
      <c r="L12352" s="33" t="str">
        <f>IFERROR(VLOOKUP($J12352,'Informations sur les produits'!$A$3:$H$10000,8,FALSE),"0")</f>
        <v>0</v>
      </c>
      <c r="N12352" s="8"/>
      <c r="O12352" s="33" t="str">
        <f>IFERROR(VLOOKUP($M12352,'Informations sur les produits'!$A$3:$H$10000,8,FALSE),"0")</f>
        <v>0</v>
      </c>
      <c r="P12352" s="33">
        <f t="shared" si="768"/>
        <v>0</v>
      </c>
      <c r="Q12352" s="31" t="str">
        <f t="shared" si="769"/>
        <v/>
      </c>
      <c r="R12352" s="32" t="str">
        <f>IFERROR(VLOOKUP($D12352,'Informations sur les produits'!$A$3:$B$15000,2,FALSE),"")</f>
        <v/>
      </c>
      <c r="V12352">
        <f t="shared" si="770"/>
        <v>0</v>
      </c>
      <c r="W12352">
        <f t="shared" si="771"/>
        <v>0</v>
      </c>
    </row>
    <row r="12353" spans="5:23" x14ac:dyDescent="0.25">
      <c r="E12353" s="4"/>
      <c r="F12353" s="4"/>
      <c r="G12353" s="33" t="str">
        <f>IFERROR(VLOOKUP($D12353,'Informations sur les produits'!$A$3:$H$10000,8,FALSE),"0")</f>
        <v>0</v>
      </c>
      <c r="K12353" s="4"/>
      <c r="L12353" s="33" t="str">
        <f>IFERROR(VLOOKUP($J12353,'Informations sur les produits'!$A$3:$H$10000,8,FALSE),"0")</f>
        <v>0</v>
      </c>
      <c r="N12353" s="8"/>
      <c r="O12353" s="33" t="str">
        <f>IFERROR(VLOOKUP($M12353,'Informations sur les produits'!$A$3:$H$10000,8,FALSE),"0")</f>
        <v>0</v>
      </c>
      <c r="P12353" s="33">
        <f t="shared" si="768"/>
        <v>0</v>
      </c>
      <c r="Q12353" s="31" t="str">
        <f t="shared" si="769"/>
        <v/>
      </c>
      <c r="R12353" s="32" t="str">
        <f>IFERROR(VLOOKUP($D12353,'Informations sur les produits'!$A$3:$B$15000,2,FALSE),"")</f>
        <v/>
      </c>
      <c r="V12353">
        <f t="shared" si="770"/>
        <v>0</v>
      </c>
      <c r="W12353">
        <f t="shared" si="771"/>
        <v>0</v>
      </c>
    </row>
    <row r="12354" spans="5:23" x14ac:dyDescent="0.25">
      <c r="E12354" s="4"/>
      <c r="F12354" s="4"/>
      <c r="G12354" s="33" t="str">
        <f>IFERROR(VLOOKUP($D12354,'Informations sur les produits'!$A$3:$H$10000,8,FALSE),"0")</f>
        <v>0</v>
      </c>
      <c r="K12354" s="4"/>
      <c r="L12354" s="33" t="str">
        <f>IFERROR(VLOOKUP($J12354,'Informations sur les produits'!$A$3:$H$10000,8,FALSE),"0")</f>
        <v>0</v>
      </c>
      <c r="N12354" s="8"/>
      <c r="O12354" s="33" t="str">
        <f>IFERROR(VLOOKUP($M12354,'Informations sur les produits'!$A$3:$H$10000,8,FALSE),"0")</f>
        <v>0</v>
      </c>
      <c r="P12354" s="33">
        <f t="shared" si="768"/>
        <v>0</v>
      </c>
      <c r="Q12354" s="31" t="str">
        <f t="shared" si="769"/>
        <v/>
      </c>
      <c r="R12354" s="32" t="str">
        <f>IFERROR(VLOOKUP($D12354,'Informations sur les produits'!$A$3:$B$15000,2,FALSE),"")</f>
        <v/>
      </c>
      <c r="V12354">
        <f t="shared" si="770"/>
        <v>0</v>
      </c>
      <c r="W12354">
        <f t="shared" si="771"/>
        <v>0</v>
      </c>
    </row>
    <row r="12355" spans="5:23" x14ac:dyDescent="0.25">
      <c r="E12355" s="4"/>
      <c r="F12355" s="4"/>
      <c r="G12355" s="33" t="str">
        <f>IFERROR(VLOOKUP($D12355,'Informations sur les produits'!$A$3:$H$10000,8,FALSE),"0")</f>
        <v>0</v>
      </c>
      <c r="K12355" s="4"/>
      <c r="L12355" s="33" t="str">
        <f>IFERROR(VLOOKUP($J12355,'Informations sur les produits'!$A$3:$H$10000,8,FALSE),"0")</f>
        <v>0</v>
      </c>
      <c r="N12355" s="8"/>
      <c r="O12355" s="33" t="str">
        <f>IFERROR(VLOOKUP($M12355,'Informations sur les produits'!$A$3:$H$10000,8,FALSE),"0")</f>
        <v>0</v>
      </c>
      <c r="P12355" s="33">
        <f t="shared" si="768"/>
        <v>0</v>
      </c>
      <c r="Q12355" s="31" t="str">
        <f t="shared" si="769"/>
        <v/>
      </c>
      <c r="R12355" s="32" t="str">
        <f>IFERROR(VLOOKUP($D12355,'Informations sur les produits'!$A$3:$B$15000,2,FALSE),"")</f>
        <v/>
      </c>
      <c r="V12355">
        <f t="shared" si="770"/>
        <v>0</v>
      </c>
      <c r="W12355">
        <f t="shared" si="771"/>
        <v>0</v>
      </c>
    </row>
    <row r="12356" spans="5:23" x14ac:dyDescent="0.25">
      <c r="E12356" s="4"/>
      <c r="F12356" s="4"/>
      <c r="G12356" s="33" t="str">
        <f>IFERROR(VLOOKUP($D12356,'Informations sur les produits'!$A$3:$H$10000,8,FALSE),"0")</f>
        <v>0</v>
      </c>
      <c r="K12356" s="4"/>
      <c r="L12356" s="33" t="str">
        <f>IFERROR(VLOOKUP($J12356,'Informations sur les produits'!$A$3:$H$10000,8,FALSE),"0")</f>
        <v>0</v>
      </c>
      <c r="N12356" s="8"/>
      <c r="O12356" s="33" t="str">
        <f>IFERROR(VLOOKUP($M12356,'Informations sur les produits'!$A$3:$H$10000,8,FALSE),"0")</f>
        <v>0</v>
      </c>
      <c r="P12356" s="33">
        <f t="shared" ref="P12356:P12419" si="772">IFERROR((($E12356-$F12356)*$G12356+$K12356*$L12356+$N12356*$O12356),"")</f>
        <v>0</v>
      </c>
      <c r="Q12356" s="31" t="str">
        <f t="shared" ref="Q12356:Q12419" si="773">IFERROR((((($E12356-$F12356)*$G12356+$K12356*$L12356+$N12356*$O12356)*1000)/(($E12356-$F12356)+$K12356+$N12356)),"")</f>
        <v/>
      </c>
      <c r="R12356" s="32" t="str">
        <f>IFERROR(VLOOKUP($D12356,'Informations sur les produits'!$A$3:$B$15000,2,FALSE),"")</f>
        <v/>
      </c>
      <c r="V12356">
        <f t="shared" ref="V12356:V12419" si="774">IFERROR(P12356*1000,"")</f>
        <v>0</v>
      </c>
      <c r="W12356">
        <f t="shared" ref="W12356:W12419" si="775">IFERROR(($E12356-$F12356)+$K12356+$N12356,"")</f>
        <v>0</v>
      </c>
    </row>
    <row r="12357" spans="5:23" x14ac:dyDescent="0.25">
      <c r="E12357" s="4"/>
      <c r="F12357" s="4"/>
      <c r="G12357" s="33" t="str">
        <f>IFERROR(VLOOKUP($D12357,'Informations sur les produits'!$A$3:$H$10000,8,FALSE),"0")</f>
        <v>0</v>
      </c>
      <c r="K12357" s="4"/>
      <c r="L12357" s="33" t="str">
        <f>IFERROR(VLOOKUP($J12357,'Informations sur les produits'!$A$3:$H$10000,8,FALSE),"0")</f>
        <v>0</v>
      </c>
      <c r="N12357" s="8"/>
      <c r="O12357" s="33" t="str">
        <f>IFERROR(VLOOKUP($M12357,'Informations sur les produits'!$A$3:$H$10000,8,FALSE),"0")</f>
        <v>0</v>
      </c>
      <c r="P12357" s="33">
        <f t="shared" si="772"/>
        <v>0</v>
      </c>
      <c r="Q12357" s="31" t="str">
        <f t="shared" si="773"/>
        <v/>
      </c>
      <c r="R12357" s="32" t="str">
        <f>IFERROR(VLOOKUP($D12357,'Informations sur les produits'!$A$3:$B$15000,2,FALSE),"")</f>
        <v/>
      </c>
      <c r="V12357">
        <f t="shared" si="774"/>
        <v>0</v>
      </c>
      <c r="W12357">
        <f t="shared" si="775"/>
        <v>0</v>
      </c>
    </row>
    <row r="12358" spans="5:23" x14ac:dyDescent="0.25">
      <c r="E12358" s="4"/>
      <c r="F12358" s="4"/>
      <c r="G12358" s="33" t="str">
        <f>IFERROR(VLOOKUP($D12358,'Informations sur les produits'!$A$3:$H$10000,8,FALSE),"0")</f>
        <v>0</v>
      </c>
      <c r="K12358" s="4"/>
      <c r="L12358" s="33" t="str">
        <f>IFERROR(VLOOKUP($J12358,'Informations sur les produits'!$A$3:$H$10000,8,FALSE),"0")</f>
        <v>0</v>
      </c>
      <c r="N12358" s="8"/>
      <c r="O12358" s="33" t="str">
        <f>IFERROR(VLOOKUP($M12358,'Informations sur les produits'!$A$3:$H$10000,8,FALSE),"0")</f>
        <v>0</v>
      </c>
      <c r="P12358" s="33">
        <f t="shared" si="772"/>
        <v>0</v>
      </c>
      <c r="Q12358" s="31" t="str">
        <f t="shared" si="773"/>
        <v/>
      </c>
      <c r="R12358" s="32" t="str">
        <f>IFERROR(VLOOKUP($D12358,'Informations sur les produits'!$A$3:$B$15000,2,FALSE),"")</f>
        <v/>
      </c>
      <c r="V12358">
        <f t="shared" si="774"/>
        <v>0</v>
      </c>
      <c r="W12358">
        <f t="shared" si="775"/>
        <v>0</v>
      </c>
    </row>
    <row r="12359" spans="5:23" x14ac:dyDescent="0.25">
      <c r="E12359" s="4"/>
      <c r="F12359" s="4"/>
      <c r="G12359" s="33" t="str">
        <f>IFERROR(VLOOKUP($D12359,'Informations sur les produits'!$A$3:$H$10000,8,FALSE),"0")</f>
        <v>0</v>
      </c>
      <c r="K12359" s="4"/>
      <c r="L12359" s="33" t="str">
        <f>IFERROR(VLOOKUP($J12359,'Informations sur les produits'!$A$3:$H$10000,8,FALSE),"0")</f>
        <v>0</v>
      </c>
      <c r="N12359" s="8"/>
      <c r="O12359" s="33" t="str">
        <f>IFERROR(VLOOKUP($M12359,'Informations sur les produits'!$A$3:$H$10000,8,FALSE),"0")</f>
        <v>0</v>
      </c>
      <c r="P12359" s="33">
        <f t="shared" si="772"/>
        <v>0</v>
      </c>
      <c r="Q12359" s="31" t="str">
        <f t="shared" si="773"/>
        <v/>
      </c>
      <c r="R12359" s="32" t="str">
        <f>IFERROR(VLOOKUP($D12359,'Informations sur les produits'!$A$3:$B$15000,2,FALSE),"")</f>
        <v/>
      </c>
      <c r="V12359">
        <f t="shared" si="774"/>
        <v>0</v>
      </c>
      <c r="W12359">
        <f t="shared" si="775"/>
        <v>0</v>
      </c>
    </row>
    <row r="12360" spans="5:23" x14ac:dyDescent="0.25">
      <c r="E12360" s="4"/>
      <c r="F12360" s="4"/>
      <c r="G12360" s="33" t="str">
        <f>IFERROR(VLOOKUP($D12360,'Informations sur les produits'!$A$3:$H$10000,8,FALSE),"0")</f>
        <v>0</v>
      </c>
      <c r="K12360" s="4"/>
      <c r="L12360" s="33" t="str">
        <f>IFERROR(VLOOKUP($J12360,'Informations sur les produits'!$A$3:$H$10000,8,FALSE),"0")</f>
        <v>0</v>
      </c>
      <c r="N12360" s="8"/>
      <c r="O12360" s="33" t="str">
        <f>IFERROR(VLOOKUP($M12360,'Informations sur les produits'!$A$3:$H$10000,8,FALSE),"0")</f>
        <v>0</v>
      </c>
      <c r="P12360" s="33">
        <f t="shared" si="772"/>
        <v>0</v>
      </c>
      <c r="Q12360" s="31" t="str">
        <f t="shared" si="773"/>
        <v/>
      </c>
      <c r="R12360" s="32" t="str">
        <f>IFERROR(VLOOKUP($D12360,'Informations sur les produits'!$A$3:$B$15000,2,FALSE),"")</f>
        <v/>
      </c>
      <c r="V12360">
        <f t="shared" si="774"/>
        <v>0</v>
      </c>
      <c r="W12360">
        <f t="shared" si="775"/>
        <v>0</v>
      </c>
    </row>
    <row r="12361" spans="5:23" x14ac:dyDescent="0.25">
      <c r="E12361" s="4"/>
      <c r="F12361" s="4"/>
      <c r="G12361" s="33" t="str">
        <f>IFERROR(VLOOKUP($D12361,'Informations sur les produits'!$A$3:$H$10000,8,FALSE),"0")</f>
        <v>0</v>
      </c>
      <c r="K12361" s="4"/>
      <c r="L12361" s="33" t="str">
        <f>IFERROR(VLOOKUP($J12361,'Informations sur les produits'!$A$3:$H$10000,8,FALSE),"0")</f>
        <v>0</v>
      </c>
      <c r="N12361" s="8"/>
      <c r="O12361" s="33" t="str">
        <f>IFERROR(VLOOKUP($M12361,'Informations sur les produits'!$A$3:$H$10000,8,FALSE),"0")</f>
        <v>0</v>
      </c>
      <c r="P12361" s="33">
        <f t="shared" si="772"/>
        <v>0</v>
      </c>
      <c r="Q12361" s="31" t="str">
        <f t="shared" si="773"/>
        <v/>
      </c>
      <c r="R12361" s="32" t="str">
        <f>IFERROR(VLOOKUP($D12361,'Informations sur les produits'!$A$3:$B$15000,2,FALSE),"")</f>
        <v/>
      </c>
      <c r="V12361">
        <f t="shared" si="774"/>
        <v>0</v>
      </c>
      <c r="W12361">
        <f t="shared" si="775"/>
        <v>0</v>
      </c>
    </row>
    <row r="12362" spans="5:23" x14ac:dyDescent="0.25">
      <c r="E12362" s="4"/>
      <c r="F12362" s="4"/>
      <c r="G12362" s="33" t="str">
        <f>IFERROR(VLOOKUP($D12362,'Informations sur les produits'!$A$3:$H$10000,8,FALSE),"0")</f>
        <v>0</v>
      </c>
      <c r="K12362" s="4"/>
      <c r="L12362" s="33" t="str">
        <f>IFERROR(VLOOKUP($J12362,'Informations sur les produits'!$A$3:$H$10000,8,FALSE),"0")</f>
        <v>0</v>
      </c>
      <c r="N12362" s="8"/>
      <c r="O12362" s="33" t="str">
        <f>IFERROR(VLOOKUP($M12362,'Informations sur les produits'!$A$3:$H$10000,8,FALSE),"0")</f>
        <v>0</v>
      </c>
      <c r="P12362" s="33">
        <f t="shared" si="772"/>
        <v>0</v>
      </c>
      <c r="Q12362" s="31" t="str">
        <f t="shared" si="773"/>
        <v/>
      </c>
      <c r="R12362" s="32" t="str">
        <f>IFERROR(VLOOKUP($D12362,'Informations sur les produits'!$A$3:$B$15000,2,FALSE),"")</f>
        <v/>
      </c>
      <c r="V12362">
        <f t="shared" si="774"/>
        <v>0</v>
      </c>
      <c r="W12362">
        <f t="shared" si="775"/>
        <v>0</v>
      </c>
    </row>
    <row r="12363" spans="5:23" x14ac:dyDescent="0.25">
      <c r="E12363" s="4"/>
      <c r="F12363" s="4"/>
      <c r="G12363" s="33" t="str">
        <f>IFERROR(VLOOKUP($D12363,'Informations sur les produits'!$A$3:$H$10000,8,FALSE),"0")</f>
        <v>0</v>
      </c>
      <c r="K12363" s="4"/>
      <c r="L12363" s="33" t="str">
        <f>IFERROR(VLOOKUP($J12363,'Informations sur les produits'!$A$3:$H$10000,8,FALSE),"0")</f>
        <v>0</v>
      </c>
      <c r="N12363" s="8"/>
      <c r="O12363" s="33" t="str">
        <f>IFERROR(VLOOKUP($M12363,'Informations sur les produits'!$A$3:$H$10000,8,FALSE),"0")</f>
        <v>0</v>
      </c>
      <c r="P12363" s="33">
        <f t="shared" si="772"/>
        <v>0</v>
      </c>
      <c r="Q12363" s="31" t="str">
        <f t="shared" si="773"/>
        <v/>
      </c>
      <c r="R12363" s="32" t="str">
        <f>IFERROR(VLOOKUP($D12363,'Informations sur les produits'!$A$3:$B$15000,2,FALSE),"")</f>
        <v/>
      </c>
      <c r="V12363">
        <f t="shared" si="774"/>
        <v>0</v>
      </c>
      <c r="W12363">
        <f t="shared" si="775"/>
        <v>0</v>
      </c>
    </row>
    <row r="12364" spans="5:23" x14ac:dyDescent="0.25">
      <c r="E12364" s="4"/>
      <c r="F12364" s="4"/>
      <c r="G12364" s="33" t="str">
        <f>IFERROR(VLOOKUP($D12364,'Informations sur les produits'!$A$3:$H$10000,8,FALSE),"0")</f>
        <v>0</v>
      </c>
      <c r="K12364" s="4"/>
      <c r="L12364" s="33" t="str">
        <f>IFERROR(VLOOKUP($J12364,'Informations sur les produits'!$A$3:$H$10000,8,FALSE),"0")</f>
        <v>0</v>
      </c>
      <c r="N12364" s="8"/>
      <c r="O12364" s="33" t="str">
        <f>IFERROR(VLOOKUP($M12364,'Informations sur les produits'!$A$3:$H$10000,8,FALSE),"0")</f>
        <v>0</v>
      </c>
      <c r="P12364" s="33">
        <f t="shared" si="772"/>
        <v>0</v>
      </c>
      <c r="Q12364" s="31" t="str">
        <f t="shared" si="773"/>
        <v/>
      </c>
      <c r="R12364" s="32" t="str">
        <f>IFERROR(VLOOKUP($D12364,'Informations sur les produits'!$A$3:$B$15000,2,FALSE),"")</f>
        <v/>
      </c>
      <c r="V12364">
        <f t="shared" si="774"/>
        <v>0</v>
      </c>
      <c r="W12364">
        <f t="shared" si="775"/>
        <v>0</v>
      </c>
    </row>
    <row r="12365" spans="5:23" x14ac:dyDescent="0.25">
      <c r="E12365" s="4"/>
      <c r="F12365" s="4"/>
      <c r="G12365" s="33" t="str">
        <f>IFERROR(VLOOKUP($D12365,'Informations sur les produits'!$A$3:$H$10000,8,FALSE),"0")</f>
        <v>0</v>
      </c>
      <c r="K12365" s="4"/>
      <c r="L12365" s="33" t="str">
        <f>IFERROR(VLOOKUP($J12365,'Informations sur les produits'!$A$3:$H$10000,8,FALSE),"0")</f>
        <v>0</v>
      </c>
      <c r="N12365" s="8"/>
      <c r="O12365" s="33" t="str">
        <f>IFERROR(VLOOKUP($M12365,'Informations sur les produits'!$A$3:$H$10000,8,FALSE),"0")</f>
        <v>0</v>
      </c>
      <c r="P12365" s="33">
        <f t="shared" si="772"/>
        <v>0</v>
      </c>
      <c r="Q12365" s="31" t="str">
        <f t="shared" si="773"/>
        <v/>
      </c>
      <c r="R12365" s="32" t="str">
        <f>IFERROR(VLOOKUP($D12365,'Informations sur les produits'!$A$3:$B$15000,2,FALSE),"")</f>
        <v/>
      </c>
      <c r="V12365">
        <f t="shared" si="774"/>
        <v>0</v>
      </c>
      <c r="W12365">
        <f t="shared" si="775"/>
        <v>0</v>
      </c>
    </row>
    <row r="12366" spans="5:23" x14ac:dyDescent="0.25">
      <c r="E12366" s="4"/>
      <c r="F12366" s="4"/>
      <c r="G12366" s="33" t="str">
        <f>IFERROR(VLOOKUP($D12366,'Informations sur les produits'!$A$3:$H$10000,8,FALSE),"0")</f>
        <v>0</v>
      </c>
      <c r="K12366" s="4"/>
      <c r="L12366" s="33" t="str">
        <f>IFERROR(VLOOKUP($J12366,'Informations sur les produits'!$A$3:$H$10000,8,FALSE),"0")</f>
        <v>0</v>
      </c>
      <c r="N12366" s="8"/>
      <c r="O12366" s="33" t="str">
        <f>IFERROR(VLOOKUP($M12366,'Informations sur les produits'!$A$3:$H$10000,8,FALSE),"0")</f>
        <v>0</v>
      </c>
      <c r="P12366" s="33">
        <f t="shared" si="772"/>
        <v>0</v>
      </c>
      <c r="Q12366" s="31" t="str">
        <f t="shared" si="773"/>
        <v/>
      </c>
      <c r="R12366" s="32" t="str">
        <f>IFERROR(VLOOKUP($D12366,'Informations sur les produits'!$A$3:$B$15000,2,FALSE),"")</f>
        <v/>
      </c>
      <c r="V12366">
        <f t="shared" si="774"/>
        <v>0</v>
      </c>
      <c r="W12366">
        <f t="shared" si="775"/>
        <v>0</v>
      </c>
    </row>
    <row r="12367" spans="5:23" x14ac:dyDescent="0.25">
      <c r="E12367" s="4"/>
      <c r="F12367" s="4"/>
      <c r="G12367" s="33" t="str">
        <f>IFERROR(VLOOKUP($D12367,'Informations sur les produits'!$A$3:$H$10000,8,FALSE),"0")</f>
        <v>0</v>
      </c>
      <c r="K12367" s="4"/>
      <c r="L12367" s="33" t="str">
        <f>IFERROR(VLOOKUP($J12367,'Informations sur les produits'!$A$3:$H$10000,8,FALSE),"0")</f>
        <v>0</v>
      </c>
      <c r="N12367" s="8"/>
      <c r="O12367" s="33" t="str">
        <f>IFERROR(VLOOKUP($M12367,'Informations sur les produits'!$A$3:$H$10000,8,FALSE),"0")</f>
        <v>0</v>
      </c>
      <c r="P12367" s="33">
        <f t="shared" si="772"/>
        <v>0</v>
      </c>
      <c r="Q12367" s="31" t="str">
        <f t="shared" si="773"/>
        <v/>
      </c>
      <c r="R12367" s="32" t="str">
        <f>IFERROR(VLOOKUP($D12367,'Informations sur les produits'!$A$3:$B$15000,2,FALSE),"")</f>
        <v/>
      </c>
      <c r="V12367">
        <f t="shared" si="774"/>
        <v>0</v>
      </c>
      <c r="W12367">
        <f t="shared" si="775"/>
        <v>0</v>
      </c>
    </row>
    <row r="12368" spans="5:23" x14ac:dyDescent="0.25">
      <c r="E12368" s="4"/>
      <c r="F12368" s="4"/>
      <c r="G12368" s="33" t="str">
        <f>IFERROR(VLOOKUP($D12368,'Informations sur les produits'!$A$3:$H$10000,8,FALSE),"0")</f>
        <v>0</v>
      </c>
      <c r="K12368" s="4"/>
      <c r="L12368" s="33" t="str">
        <f>IFERROR(VLOOKUP($J12368,'Informations sur les produits'!$A$3:$H$10000,8,FALSE),"0")</f>
        <v>0</v>
      </c>
      <c r="N12368" s="8"/>
      <c r="O12368" s="33" t="str">
        <f>IFERROR(VLOOKUP($M12368,'Informations sur les produits'!$A$3:$H$10000,8,FALSE),"0")</f>
        <v>0</v>
      </c>
      <c r="P12368" s="33">
        <f t="shared" si="772"/>
        <v>0</v>
      </c>
      <c r="Q12368" s="31" t="str">
        <f t="shared" si="773"/>
        <v/>
      </c>
      <c r="R12368" s="32" t="str">
        <f>IFERROR(VLOOKUP($D12368,'Informations sur les produits'!$A$3:$B$15000,2,FALSE),"")</f>
        <v/>
      </c>
      <c r="V12368">
        <f t="shared" si="774"/>
        <v>0</v>
      </c>
      <c r="W12368">
        <f t="shared" si="775"/>
        <v>0</v>
      </c>
    </row>
    <row r="12369" spans="5:23" x14ac:dyDescent="0.25">
      <c r="E12369" s="4"/>
      <c r="F12369" s="4"/>
      <c r="G12369" s="33" t="str">
        <f>IFERROR(VLOOKUP($D12369,'Informations sur les produits'!$A$3:$H$10000,8,FALSE),"0")</f>
        <v>0</v>
      </c>
      <c r="K12369" s="4"/>
      <c r="L12369" s="33" t="str">
        <f>IFERROR(VLOOKUP($J12369,'Informations sur les produits'!$A$3:$H$10000,8,FALSE),"0")</f>
        <v>0</v>
      </c>
      <c r="N12369" s="8"/>
      <c r="O12369" s="33" t="str">
        <f>IFERROR(VLOOKUP($M12369,'Informations sur les produits'!$A$3:$H$10000,8,FALSE),"0")</f>
        <v>0</v>
      </c>
      <c r="P12369" s="33">
        <f t="shared" si="772"/>
        <v>0</v>
      </c>
      <c r="Q12369" s="31" t="str">
        <f t="shared" si="773"/>
        <v/>
      </c>
      <c r="R12369" s="32" t="str">
        <f>IFERROR(VLOOKUP($D12369,'Informations sur les produits'!$A$3:$B$15000,2,FALSE),"")</f>
        <v/>
      </c>
      <c r="V12369">
        <f t="shared" si="774"/>
        <v>0</v>
      </c>
      <c r="W12369">
        <f t="shared" si="775"/>
        <v>0</v>
      </c>
    </row>
    <row r="12370" spans="5:23" x14ac:dyDescent="0.25">
      <c r="E12370" s="4"/>
      <c r="F12370" s="4"/>
      <c r="G12370" s="33" t="str">
        <f>IFERROR(VLOOKUP($D12370,'Informations sur les produits'!$A$3:$H$10000,8,FALSE),"0")</f>
        <v>0</v>
      </c>
      <c r="K12370" s="4"/>
      <c r="L12370" s="33" t="str">
        <f>IFERROR(VLOOKUP($J12370,'Informations sur les produits'!$A$3:$H$10000,8,FALSE),"0")</f>
        <v>0</v>
      </c>
      <c r="N12370" s="8"/>
      <c r="O12370" s="33" t="str">
        <f>IFERROR(VLOOKUP($M12370,'Informations sur les produits'!$A$3:$H$10000,8,FALSE),"0")</f>
        <v>0</v>
      </c>
      <c r="P12370" s="33">
        <f t="shared" si="772"/>
        <v>0</v>
      </c>
      <c r="Q12370" s="31" t="str">
        <f t="shared" si="773"/>
        <v/>
      </c>
      <c r="R12370" s="32" t="str">
        <f>IFERROR(VLOOKUP($D12370,'Informations sur les produits'!$A$3:$B$15000,2,FALSE),"")</f>
        <v/>
      </c>
      <c r="V12370">
        <f t="shared" si="774"/>
        <v>0</v>
      </c>
      <c r="W12370">
        <f t="shared" si="775"/>
        <v>0</v>
      </c>
    </row>
    <row r="12371" spans="5:23" x14ac:dyDescent="0.25">
      <c r="E12371" s="4"/>
      <c r="F12371" s="4"/>
      <c r="G12371" s="33" t="str">
        <f>IFERROR(VLOOKUP($D12371,'Informations sur les produits'!$A$3:$H$10000,8,FALSE),"0")</f>
        <v>0</v>
      </c>
      <c r="K12371" s="4"/>
      <c r="L12371" s="33" t="str">
        <f>IFERROR(VLOOKUP($J12371,'Informations sur les produits'!$A$3:$H$10000,8,FALSE),"0")</f>
        <v>0</v>
      </c>
      <c r="N12371" s="8"/>
      <c r="O12371" s="33" t="str">
        <f>IFERROR(VLOOKUP($M12371,'Informations sur les produits'!$A$3:$H$10000,8,FALSE),"0")</f>
        <v>0</v>
      </c>
      <c r="P12371" s="33">
        <f t="shared" si="772"/>
        <v>0</v>
      </c>
      <c r="Q12371" s="31" t="str">
        <f t="shared" si="773"/>
        <v/>
      </c>
      <c r="R12371" s="32" t="str">
        <f>IFERROR(VLOOKUP($D12371,'Informations sur les produits'!$A$3:$B$15000,2,FALSE),"")</f>
        <v/>
      </c>
      <c r="V12371">
        <f t="shared" si="774"/>
        <v>0</v>
      </c>
      <c r="W12371">
        <f t="shared" si="775"/>
        <v>0</v>
      </c>
    </row>
    <row r="12372" spans="5:23" x14ac:dyDescent="0.25">
      <c r="E12372" s="4"/>
      <c r="F12372" s="4"/>
      <c r="G12372" s="33" t="str">
        <f>IFERROR(VLOOKUP($D12372,'Informations sur les produits'!$A$3:$H$10000,8,FALSE),"0")</f>
        <v>0</v>
      </c>
      <c r="K12372" s="4"/>
      <c r="L12372" s="33" t="str">
        <f>IFERROR(VLOOKUP($J12372,'Informations sur les produits'!$A$3:$H$10000,8,FALSE),"0")</f>
        <v>0</v>
      </c>
      <c r="N12372" s="8"/>
      <c r="O12372" s="33" t="str">
        <f>IFERROR(VLOOKUP($M12372,'Informations sur les produits'!$A$3:$H$10000,8,FALSE),"0")</f>
        <v>0</v>
      </c>
      <c r="P12372" s="33">
        <f t="shared" si="772"/>
        <v>0</v>
      </c>
      <c r="Q12372" s="31" t="str">
        <f t="shared" si="773"/>
        <v/>
      </c>
      <c r="R12372" s="32" t="str">
        <f>IFERROR(VLOOKUP($D12372,'Informations sur les produits'!$A$3:$B$15000,2,FALSE),"")</f>
        <v/>
      </c>
      <c r="V12372">
        <f t="shared" si="774"/>
        <v>0</v>
      </c>
      <c r="W12372">
        <f t="shared" si="775"/>
        <v>0</v>
      </c>
    </row>
    <row r="12373" spans="5:23" x14ac:dyDescent="0.25">
      <c r="E12373" s="4"/>
      <c r="F12373" s="4"/>
      <c r="G12373" s="33" t="str">
        <f>IFERROR(VLOOKUP($D12373,'Informations sur les produits'!$A$3:$H$10000,8,FALSE),"0")</f>
        <v>0</v>
      </c>
      <c r="K12373" s="4"/>
      <c r="L12373" s="33" t="str">
        <f>IFERROR(VLOOKUP($J12373,'Informations sur les produits'!$A$3:$H$10000,8,FALSE),"0")</f>
        <v>0</v>
      </c>
      <c r="N12373" s="8"/>
      <c r="O12373" s="33" t="str">
        <f>IFERROR(VLOOKUP($M12373,'Informations sur les produits'!$A$3:$H$10000,8,FALSE),"0")</f>
        <v>0</v>
      </c>
      <c r="P12373" s="33">
        <f t="shared" si="772"/>
        <v>0</v>
      </c>
      <c r="Q12373" s="31" t="str">
        <f t="shared" si="773"/>
        <v/>
      </c>
      <c r="R12373" s="32" t="str">
        <f>IFERROR(VLOOKUP($D12373,'Informations sur les produits'!$A$3:$B$15000,2,FALSE),"")</f>
        <v/>
      </c>
      <c r="V12373">
        <f t="shared" si="774"/>
        <v>0</v>
      </c>
      <c r="W12373">
        <f t="shared" si="775"/>
        <v>0</v>
      </c>
    </row>
    <row r="12374" spans="5:23" x14ac:dyDescent="0.25">
      <c r="E12374" s="4"/>
      <c r="F12374" s="4"/>
      <c r="G12374" s="33" t="str">
        <f>IFERROR(VLOOKUP($D12374,'Informations sur les produits'!$A$3:$H$10000,8,FALSE),"0")</f>
        <v>0</v>
      </c>
      <c r="K12374" s="4"/>
      <c r="L12374" s="33" t="str">
        <f>IFERROR(VLOOKUP($J12374,'Informations sur les produits'!$A$3:$H$10000,8,FALSE),"0")</f>
        <v>0</v>
      </c>
      <c r="N12374" s="8"/>
      <c r="O12374" s="33" t="str">
        <f>IFERROR(VLOOKUP($M12374,'Informations sur les produits'!$A$3:$H$10000,8,FALSE),"0")</f>
        <v>0</v>
      </c>
      <c r="P12374" s="33">
        <f t="shared" si="772"/>
        <v>0</v>
      </c>
      <c r="Q12374" s="31" t="str">
        <f t="shared" si="773"/>
        <v/>
      </c>
      <c r="R12374" s="32" t="str">
        <f>IFERROR(VLOOKUP($D12374,'Informations sur les produits'!$A$3:$B$15000,2,FALSE),"")</f>
        <v/>
      </c>
      <c r="V12374">
        <f t="shared" si="774"/>
        <v>0</v>
      </c>
      <c r="W12374">
        <f t="shared" si="775"/>
        <v>0</v>
      </c>
    </row>
    <row r="12375" spans="5:23" x14ac:dyDescent="0.25">
      <c r="E12375" s="4"/>
      <c r="F12375" s="4"/>
      <c r="G12375" s="33" t="str">
        <f>IFERROR(VLOOKUP($D12375,'Informations sur les produits'!$A$3:$H$10000,8,FALSE),"0")</f>
        <v>0</v>
      </c>
      <c r="K12375" s="4"/>
      <c r="L12375" s="33" t="str">
        <f>IFERROR(VLOOKUP($J12375,'Informations sur les produits'!$A$3:$H$10000,8,FALSE),"0")</f>
        <v>0</v>
      </c>
      <c r="N12375" s="8"/>
      <c r="O12375" s="33" t="str">
        <f>IFERROR(VLOOKUP($M12375,'Informations sur les produits'!$A$3:$H$10000,8,FALSE),"0")</f>
        <v>0</v>
      </c>
      <c r="P12375" s="33">
        <f t="shared" si="772"/>
        <v>0</v>
      </c>
      <c r="Q12375" s="31" t="str">
        <f t="shared" si="773"/>
        <v/>
      </c>
      <c r="R12375" s="32" t="str">
        <f>IFERROR(VLOOKUP($D12375,'Informations sur les produits'!$A$3:$B$15000,2,FALSE),"")</f>
        <v/>
      </c>
      <c r="V12375">
        <f t="shared" si="774"/>
        <v>0</v>
      </c>
      <c r="W12375">
        <f t="shared" si="775"/>
        <v>0</v>
      </c>
    </row>
    <row r="12376" spans="5:23" x14ac:dyDescent="0.25">
      <c r="E12376" s="4"/>
      <c r="F12376" s="4"/>
      <c r="G12376" s="33" t="str">
        <f>IFERROR(VLOOKUP($D12376,'Informations sur les produits'!$A$3:$H$10000,8,FALSE),"0")</f>
        <v>0</v>
      </c>
      <c r="K12376" s="4"/>
      <c r="L12376" s="33" t="str">
        <f>IFERROR(VLOOKUP($J12376,'Informations sur les produits'!$A$3:$H$10000,8,FALSE),"0")</f>
        <v>0</v>
      </c>
      <c r="N12376" s="8"/>
      <c r="O12376" s="33" t="str">
        <f>IFERROR(VLOOKUP($M12376,'Informations sur les produits'!$A$3:$H$10000,8,FALSE),"0")</f>
        <v>0</v>
      </c>
      <c r="P12376" s="33">
        <f t="shared" si="772"/>
        <v>0</v>
      </c>
      <c r="Q12376" s="31" t="str">
        <f t="shared" si="773"/>
        <v/>
      </c>
      <c r="R12376" s="32" t="str">
        <f>IFERROR(VLOOKUP($D12376,'Informations sur les produits'!$A$3:$B$15000,2,FALSE),"")</f>
        <v/>
      </c>
      <c r="V12376">
        <f t="shared" si="774"/>
        <v>0</v>
      </c>
      <c r="W12376">
        <f t="shared" si="775"/>
        <v>0</v>
      </c>
    </row>
    <row r="12377" spans="5:23" x14ac:dyDescent="0.25">
      <c r="E12377" s="4"/>
      <c r="F12377" s="4"/>
      <c r="G12377" s="33" t="str">
        <f>IFERROR(VLOOKUP($D12377,'Informations sur les produits'!$A$3:$H$10000,8,FALSE),"0")</f>
        <v>0</v>
      </c>
      <c r="K12377" s="4"/>
      <c r="L12377" s="33" t="str">
        <f>IFERROR(VLOOKUP($J12377,'Informations sur les produits'!$A$3:$H$10000,8,FALSE),"0")</f>
        <v>0</v>
      </c>
      <c r="N12377" s="8"/>
      <c r="O12377" s="33" t="str">
        <f>IFERROR(VLOOKUP($M12377,'Informations sur les produits'!$A$3:$H$10000,8,FALSE),"0")</f>
        <v>0</v>
      </c>
      <c r="P12377" s="33">
        <f t="shared" si="772"/>
        <v>0</v>
      </c>
      <c r="Q12377" s="31" t="str">
        <f t="shared" si="773"/>
        <v/>
      </c>
      <c r="R12377" s="32" t="str">
        <f>IFERROR(VLOOKUP($D12377,'Informations sur les produits'!$A$3:$B$15000,2,FALSE),"")</f>
        <v/>
      </c>
      <c r="V12377">
        <f t="shared" si="774"/>
        <v>0</v>
      </c>
      <c r="W12377">
        <f t="shared" si="775"/>
        <v>0</v>
      </c>
    </row>
    <row r="12378" spans="5:23" x14ac:dyDescent="0.25">
      <c r="E12378" s="4"/>
      <c r="F12378" s="4"/>
      <c r="G12378" s="33" t="str">
        <f>IFERROR(VLOOKUP($D12378,'Informations sur les produits'!$A$3:$H$10000,8,FALSE),"0")</f>
        <v>0</v>
      </c>
      <c r="K12378" s="4"/>
      <c r="L12378" s="33" t="str">
        <f>IFERROR(VLOOKUP($J12378,'Informations sur les produits'!$A$3:$H$10000,8,FALSE),"0")</f>
        <v>0</v>
      </c>
      <c r="N12378" s="8"/>
      <c r="O12378" s="33" t="str">
        <f>IFERROR(VLOOKUP($M12378,'Informations sur les produits'!$A$3:$H$10000,8,FALSE),"0")</f>
        <v>0</v>
      </c>
      <c r="P12378" s="33">
        <f t="shared" si="772"/>
        <v>0</v>
      </c>
      <c r="Q12378" s="31" t="str">
        <f t="shared" si="773"/>
        <v/>
      </c>
      <c r="R12378" s="32" t="str">
        <f>IFERROR(VLOOKUP($D12378,'Informations sur les produits'!$A$3:$B$15000,2,FALSE),"")</f>
        <v/>
      </c>
      <c r="V12378">
        <f t="shared" si="774"/>
        <v>0</v>
      </c>
      <c r="W12378">
        <f t="shared" si="775"/>
        <v>0</v>
      </c>
    </row>
    <row r="12379" spans="5:23" x14ac:dyDescent="0.25">
      <c r="E12379" s="4"/>
      <c r="F12379" s="4"/>
      <c r="G12379" s="33" t="str">
        <f>IFERROR(VLOOKUP($D12379,'Informations sur les produits'!$A$3:$H$10000,8,FALSE),"0")</f>
        <v>0</v>
      </c>
      <c r="K12379" s="4"/>
      <c r="L12379" s="33" t="str">
        <f>IFERROR(VLOOKUP($J12379,'Informations sur les produits'!$A$3:$H$10000,8,FALSE),"0")</f>
        <v>0</v>
      </c>
      <c r="N12379" s="8"/>
      <c r="O12379" s="33" t="str">
        <f>IFERROR(VLOOKUP($M12379,'Informations sur les produits'!$A$3:$H$10000,8,FALSE),"0")</f>
        <v>0</v>
      </c>
      <c r="P12379" s="33">
        <f t="shared" si="772"/>
        <v>0</v>
      </c>
      <c r="Q12379" s="31" t="str">
        <f t="shared" si="773"/>
        <v/>
      </c>
      <c r="R12379" s="32" t="str">
        <f>IFERROR(VLOOKUP($D12379,'Informations sur les produits'!$A$3:$B$15000,2,FALSE),"")</f>
        <v/>
      </c>
      <c r="V12379">
        <f t="shared" si="774"/>
        <v>0</v>
      </c>
      <c r="W12379">
        <f t="shared" si="775"/>
        <v>0</v>
      </c>
    </row>
    <row r="12380" spans="5:23" x14ac:dyDescent="0.25">
      <c r="E12380" s="4"/>
      <c r="F12380" s="4"/>
      <c r="G12380" s="33" t="str">
        <f>IFERROR(VLOOKUP($D12380,'Informations sur les produits'!$A$3:$H$10000,8,FALSE),"0")</f>
        <v>0</v>
      </c>
      <c r="K12380" s="4"/>
      <c r="L12380" s="33" t="str">
        <f>IFERROR(VLOOKUP($J12380,'Informations sur les produits'!$A$3:$H$10000,8,FALSE),"0")</f>
        <v>0</v>
      </c>
      <c r="N12380" s="8"/>
      <c r="O12380" s="33" t="str">
        <f>IFERROR(VLOOKUP($M12380,'Informations sur les produits'!$A$3:$H$10000,8,FALSE),"0")</f>
        <v>0</v>
      </c>
      <c r="P12380" s="33">
        <f t="shared" si="772"/>
        <v>0</v>
      </c>
      <c r="Q12380" s="31" t="str">
        <f t="shared" si="773"/>
        <v/>
      </c>
      <c r="R12380" s="32" t="str">
        <f>IFERROR(VLOOKUP($D12380,'Informations sur les produits'!$A$3:$B$15000,2,FALSE),"")</f>
        <v/>
      </c>
      <c r="V12380">
        <f t="shared" si="774"/>
        <v>0</v>
      </c>
      <c r="W12380">
        <f t="shared" si="775"/>
        <v>0</v>
      </c>
    </row>
    <row r="12381" spans="5:23" x14ac:dyDescent="0.25">
      <c r="E12381" s="4"/>
      <c r="F12381" s="4"/>
      <c r="G12381" s="33" t="str">
        <f>IFERROR(VLOOKUP($D12381,'Informations sur les produits'!$A$3:$H$10000,8,FALSE),"0")</f>
        <v>0</v>
      </c>
      <c r="K12381" s="4"/>
      <c r="L12381" s="33" t="str">
        <f>IFERROR(VLOOKUP($J12381,'Informations sur les produits'!$A$3:$H$10000,8,FALSE),"0")</f>
        <v>0</v>
      </c>
      <c r="N12381" s="8"/>
      <c r="O12381" s="33" t="str">
        <f>IFERROR(VLOOKUP($M12381,'Informations sur les produits'!$A$3:$H$10000,8,FALSE),"0")</f>
        <v>0</v>
      </c>
      <c r="P12381" s="33">
        <f t="shared" si="772"/>
        <v>0</v>
      </c>
      <c r="Q12381" s="31" t="str">
        <f t="shared" si="773"/>
        <v/>
      </c>
      <c r="R12381" s="32" t="str">
        <f>IFERROR(VLOOKUP($D12381,'Informations sur les produits'!$A$3:$B$15000,2,FALSE),"")</f>
        <v/>
      </c>
      <c r="V12381">
        <f t="shared" si="774"/>
        <v>0</v>
      </c>
      <c r="W12381">
        <f t="shared" si="775"/>
        <v>0</v>
      </c>
    </row>
    <row r="12382" spans="5:23" x14ac:dyDescent="0.25">
      <c r="E12382" s="4"/>
      <c r="F12382" s="4"/>
      <c r="G12382" s="33" t="str">
        <f>IFERROR(VLOOKUP($D12382,'Informations sur les produits'!$A$3:$H$10000,8,FALSE),"0")</f>
        <v>0</v>
      </c>
      <c r="K12382" s="4"/>
      <c r="L12382" s="33" t="str">
        <f>IFERROR(VLOOKUP($J12382,'Informations sur les produits'!$A$3:$H$10000,8,FALSE),"0")</f>
        <v>0</v>
      </c>
      <c r="N12382" s="8"/>
      <c r="O12382" s="33" t="str">
        <f>IFERROR(VLOOKUP($M12382,'Informations sur les produits'!$A$3:$H$10000,8,FALSE),"0")</f>
        <v>0</v>
      </c>
      <c r="P12382" s="33">
        <f t="shared" si="772"/>
        <v>0</v>
      </c>
      <c r="Q12382" s="31" t="str">
        <f t="shared" si="773"/>
        <v/>
      </c>
      <c r="R12382" s="32" t="str">
        <f>IFERROR(VLOOKUP($D12382,'Informations sur les produits'!$A$3:$B$15000,2,FALSE),"")</f>
        <v/>
      </c>
      <c r="V12382">
        <f t="shared" si="774"/>
        <v>0</v>
      </c>
      <c r="W12382">
        <f t="shared" si="775"/>
        <v>0</v>
      </c>
    </row>
    <row r="12383" spans="5:23" x14ac:dyDescent="0.25">
      <c r="E12383" s="4"/>
      <c r="F12383" s="4"/>
      <c r="G12383" s="33" t="str">
        <f>IFERROR(VLOOKUP($D12383,'Informations sur les produits'!$A$3:$H$10000,8,FALSE),"0")</f>
        <v>0</v>
      </c>
      <c r="K12383" s="4"/>
      <c r="L12383" s="33" t="str">
        <f>IFERROR(VLOOKUP($J12383,'Informations sur les produits'!$A$3:$H$10000,8,FALSE),"0")</f>
        <v>0</v>
      </c>
      <c r="N12383" s="8"/>
      <c r="O12383" s="33" t="str">
        <f>IFERROR(VLOOKUP($M12383,'Informations sur les produits'!$A$3:$H$10000,8,FALSE),"0")</f>
        <v>0</v>
      </c>
      <c r="P12383" s="33">
        <f t="shared" si="772"/>
        <v>0</v>
      </c>
      <c r="Q12383" s="31" t="str">
        <f t="shared" si="773"/>
        <v/>
      </c>
      <c r="R12383" s="32" t="str">
        <f>IFERROR(VLOOKUP($D12383,'Informations sur les produits'!$A$3:$B$15000,2,FALSE),"")</f>
        <v/>
      </c>
      <c r="V12383">
        <f t="shared" si="774"/>
        <v>0</v>
      </c>
      <c r="W12383">
        <f t="shared" si="775"/>
        <v>0</v>
      </c>
    </row>
    <row r="12384" spans="5:23" x14ac:dyDescent="0.25">
      <c r="E12384" s="4"/>
      <c r="F12384" s="4"/>
      <c r="G12384" s="33" t="str">
        <f>IFERROR(VLOOKUP($D12384,'Informations sur les produits'!$A$3:$H$10000,8,FALSE),"0")</f>
        <v>0</v>
      </c>
      <c r="K12384" s="4"/>
      <c r="L12384" s="33" t="str">
        <f>IFERROR(VLOOKUP($J12384,'Informations sur les produits'!$A$3:$H$10000,8,FALSE),"0")</f>
        <v>0</v>
      </c>
      <c r="N12384" s="8"/>
      <c r="O12384" s="33" t="str">
        <f>IFERROR(VLOOKUP($M12384,'Informations sur les produits'!$A$3:$H$10000,8,FALSE),"0")</f>
        <v>0</v>
      </c>
      <c r="P12384" s="33">
        <f t="shared" si="772"/>
        <v>0</v>
      </c>
      <c r="Q12384" s="31" t="str">
        <f t="shared" si="773"/>
        <v/>
      </c>
      <c r="R12384" s="32" t="str">
        <f>IFERROR(VLOOKUP($D12384,'Informations sur les produits'!$A$3:$B$15000,2,FALSE),"")</f>
        <v/>
      </c>
      <c r="V12384">
        <f t="shared" si="774"/>
        <v>0</v>
      </c>
      <c r="W12384">
        <f t="shared" si="775"/>
        <v>0</v>
      </c>
    </row>
    <row r="12385" spans="5:23" x14ac:dyDescent="0.25">
      <c r="E12385" s="4"/>
      <c r="F12385" s="4"/>
      <c r="G12385" s="33" t="str">
        <f>IFERROR(VLOOKUP($D12385,'Informations sur les produits'!$A$3:$H$10000,8,FALSE),"0")</f>
        <v>0</v>
      </c>
      <c r="K12385" s="4"/>
      <c r="L12385" s="33" t="str">
        <f>IFERROR(VLOOKUP($J12385,'Informations sur les produits'!$A$3:$H$10000,8,FALSE),"0")</f>
        <v>0</v>
      </c>
      <c r="N12385" s="8"/>
      <c r="O12385" s="33" t="str">
        <f>IFERROR(VLOOKUP($M12385,'Informations sur les produits'!$A$3:$H$10000,8,FALSE),"0")</f>
        <v>0</v>
      </c>
      <c r="P12385" s="33">
        <f t="shared" si="772"/>
        <v>0</v>
      </c>
      <c r="Q12385" s="31" t="str">
        <f t="shared" si="773"/>
        <v/>
      </c>
      <c r="R12385" s="32" t="str">
        <f>IFERROR(VLOOKUP($D12385,'Informations sur les produits'!$A$3:$B$15000,2,FALSE),"")</f>
        <v/>
      </c>
      <c r="V12385">
        <f t="shared" si="774"/>
        <v>0</v>
      </c>
      <c r="W12385">
        <f t="shared" si="775"/>
        <v>0</v>
      </c>
    </row>
    <row r="12386" spans="5:23" x14ac:dyDescent="0.25">
      <c r="E12386" s="4"/>
      <c r="F12386" s="4"/>
      <c r="G12386" s="33" t="str">
        <f>IFERROR(VLOOKUP($D12386,'Informations sur les produits'!$A$3:$H$10000,8,FALSE),"0")</f>
        <v>0</v>
      </c>
      <c r="K12386" s="4"/>
      <c r="L12386" s="33" t="str">
        <f>IFERROR(VLOOKUP($J12386,'Informations sur les produits'!$A$3:$H$10000,8,FALSE),"0")</f>
        <v>0</v>
      </c>
      <c r="N12386" s="8"/>
      <c r="O12386" s="33" t="str">
        <f>IFERROR(VLOOKUP($M12386,'Informations sur les produits'!$A$3:$H$10000,8,FALSE),"0")</f>
        <v>0</v>
      </c>
      <c r="P12386" s="33">
        <f t="shared" si="772"/>
        <v>0</v>
      </c>
      <c r="Q12386" s="31" t="str">
        <f t="shared" si="773"/>
        <v/>
      </c>
      <c r="R12386" s="32" t="str">
        <f>IFERROR(VLOOKUP($D12386,'Informations sur les produits'!$A$3:$B$15000,2,FALSE),"")</f>
        <v/>
      </c>
      <c r="V12386">
        <f t="shared" si="774"/>
        <v>0</v>
      </c>
      <c r="W12386">
        <f t="shared" si="775"/>
        <v>0</v>
      </c>
    </row>
    <row r="12387" spans="5:23" x14ac:dyDescent="0.25">
      <c r="E12387" s="4"/>
      <c r="F12387" s="4"/>
      <c r="G12387" s="33" t="str">
        <f>IFERROR(VLOOKUP($D12387,'Informations sur les produits'!$A$3:$H$10000,8,FALSE),"0")</f>
        <v>0</v>
      </c>
      <c r="K12387" s="4"/>
      <c r="L12387" s="33" t="str">
        <f>IFERROR(VLOOKUP($J12387,'Informations sur les produits'!$A$3:$H$10000,8,FALSE),"0")</f>
        <v>0</v>
      </c>
      <c r="N12387" s="8"/>
      <c r="O12387" s="33" t="str">
        <f>IFERROR(VLOOKUP($M12387,'Informations sur les produits'!$A$3:$H$10000,8,FALSE),"0")</f>
        <v>0</v>
      </c>
      <c r="P12387" s="33">
        <f t="shared" si="772"/>
        <v>0</v>
      </c>
      <c r="Q12387" s="31" t="str">
        <f t="shared" si="773"/>
        <v/>
      </c>
      <c r="R12387" s="32" t="str">
        <f>IFERROR(VLOOKUP($D12387,'Informations sur les produits'!$A$3:$B$15000,2,FALSE),"")</f>
        <v/>
      </c>
      <c r="V12387">
        <f t="shared" si="774"/>
        <v>0</v>
      </c>
      <c r="W12387">
        <f t="shared" si="775"/>
        <v>0</v>
      </c>
    </row>
    <row r="12388" spans="5:23" x14ac:dyDescent="0.25">
      <c r="E12388" s="4"/>
      <c r="F12388" s="4"/>
      <c r="G12388" s="33" t="str">
        <f>IFERROR(VLOOKUP($D12388,'Informations sur les produits'!$A$3:$H$10000,8,FALSE),"0")</f>
        <v>0</v>
      </c>
      <c r="K12388" s="4"/>
      <c r="L12388" s="33" t="str">
        <f>IFERROR(VLOOKUP($J12388,'Informations sur les produits'!$A$3:$H$10000,8,FALSE),"0")</f>
        <v>0</v>
      </c>
      <c r="N12388" s="8"/>
      <c r="O12388" s="33" t="str">
        <f>IFERROR(VLOOKUP($M12388,'Informations sur les produits'!$A$3:$H$10000,8,FALSE),"0")</f>
        <v>0</v>
      </c>
      <c r="P12388" s="33">
        <f t="shared" si="772"/>
        <v>0</v>
      </c>
      <c r="Q12388" s="31" t="str">
        <f t="shared" si="773"/>
        <v/>
      </c>
      <c r="R12388" s="32" t="str">
        <f>IFERROR(VLOOKUP($D12388,'Informations sur les produits'!$A$3:$B$15000,2,FALSE),"")</f>
        <v/>
      </c>
      <c r="V12388">
        <f t="shared" si="774"/>
        <v>0</v>
      </c>
      <c r="W12388">
        <f t="shared" si="775"/>
        <v>0</v>
      </c>
    </row>
    <row r="12389" spans="5:23" x14ac:dyDescent="0.25">
      <c r="E12389" s="4"/>
      <c r="F12389" s="4"/>
      <c r="G12389" s="33" t="str">
        <f>IFERROR(VLOOKUP($D12389,'Informations sur les produits'!$A$3:$H$10000,8,FALSE),"0")</f>
        <v>0</v>
      </c>
      <c r="K12389" s="4"/>
      <c r="L12389" s="33" t="str">
        <f>IFERROR(VLOOKUP($J12389,'Informations sur les produits'!$A$3:$H$10000,8,FALSE),"0")</f>
        <v>0</v>
      </c>
      <c r="N12389" s="8"/>
      <c r="O12389" s="33" t="str">
        <f>IFERROR(VLOOKUP($M12389,'Informations sur les produits'!$A$3:$H$10000,8,FALSE),"0")</f>
        <v>0</v>
      </c>
      <c r="P12389" s="33">
        <f t="shared" si="772"/>
        <v>0</v>
      </c>
      <c r="Q12389" s="31" t="str">
        <f t="shared" si="773"/>
        <v/>
      </c>
      <c r="R12389" s="32" t="str">
        <f>IFERROR(VLOOKUP($D12389,'Informations sur les produits'!$A$3:$B$15000,2,FALSE),"")</f>
        <v/>
      </c>
      <c r="V12389">
        <f t="shared" si="774"/>
        <v>0</v>
      </c>
      <c r="W12389">
        <f t="shared" si="775"/>
        <v>0</v>
      </c>
    </row>
    <row r="12390" spans="5:23" x14ac:dyDescent="0.25">
      <c r="E12390" s="4"/>
      <c r="F12390" s="4"/>
      <c r="G12390" s="33" t="str">
        <f>IFERROR(VLOOKUP($D12390,'Informations sur les produits'!$A$3:$H$10000,8,FALSE),"0")</f>
        <v>0</v>
      </c>
      <c r="K12390" s="4"/>
      <c r="L12390" s="33" t="str">
        <f>IFERROR(VLOOKUP($J12390,'Informations sur les produits'!$A$3:$H$10000,8,FALSE),"0")</f>
        <v>0</v>
      </c>
      <c r="N12390" s="8"/>
      <c r="O12390" s="33" t="str">
        <f>IFERROR(VLOOKUP($M12390,'Informations sur les produits'!$A$3:$H$10000,8,FALSE),"0")</f>
        <v>0</v>
      </c>
      <c r="P12390" s="33">
        <f t="shared" si="772"/>
        <v>0</v>
      </c>
      <c r="Q12390" s="31" t="str">
        <f t="shared" si="773"/>
        <v/>
      </c>
      <c r="R12390" s="32" t="str">
        <f>IFERROR(VLOOKUP($D12390,'Informations sur les produits'!$A$3:$B$15000,2,FALSE),"")</f>
        <v/>
      </c>
      <c r="V12390">
        <f t="shared" si="774"/>
        <v>0</v>
      </c>
      <c r="W12390">
        <f t="shared" si="775"/>
        <v>0</v>
      </c>
    </row>
    <row r="12391" spans="5:23" x14ac:dyDescent="0.25">
      <c r="E12391" s="4"/>
      <c r="F12391" s="4"/>
      <c r="G12391" s="33" t="str">
        <f>IFERROR(VLOOKUP($D12391,'Informations sur les produits'!$A$3:$H$10000,8,FALSE),"0")</f>
        <v>0</v>
      </c>
      <c r="K12391" s="4"/>
      <c r="L12391" s="33" t="str">
        <f>IFERROR(VLOOKUP($J12391,'Informations sur les produits'!$A$3:$H$10000,8,FALSE),"0")</f>
        <v>0</v>
      </c>
      <c r="N12391" s="8"/>
      <c r="O12391" s="33" t="str">
        <f>IFERROR(VLOOKUP($M12391,'Informations sur les produits'!$A$3:$H$10000,8,FALSE),"0")</f>
        <v>0</v>
      </c>
      <c r="P12391" s="33">
        <f t="shared" si="772"/>
        <v>0</v>
      </c>
      <c r="Q12391" s="31" t="str">
        <f t="shared" si="773"/>
        <v/>
      </c>
      <c r="R12391" s="32" t="str">
        <f>IFERROR(VLOOKUP($D12391,'Informations sur les produits'!$A$3:$B$15000,2,FALSE),"")</f>
        <v/>
      </c>
      <c r="V12391">
        <f t="shared" si="774"/>
        <v>0</v>
      </c>
      <c r="W12391">
        <f t="shared" si="775"/>
        <v>0</v>
      </c>
    </row>
    <row r="12392" spans="5:23" x14ac:dyDescent="0.25">
      <c r="E12392" s="4"/>
      <c r="F12392" s="4"/>
      <c r="G12392" s="33" t="str">
        <f>IFERROR(VLOOKUP($D12392,'Informations sur les produits'!$A$3:$H$10000,8,FALSE),"0")</f>
        <v>0</v>
      </c>
      <c r="K12392" s="4"/>
      <c r="L12392" s="33" t="str">
        <f>IFERROR(VLOOKUP($J12392,'Informations sur les produits'!$A$3:$H$10000,8,FALSE),"0")</f>
        <v>0</v>
      </c>
      <c r="N12392" s="8"/>
      <c r="O12392" s="33" t="str">
        <f>IFERROR(VLOOKUP($M12392,'Informations sur les produits'!$A$3:$H$10000,8,FALSE),"0")</f>
        <v>0</v>
      </c>
      <c r="P12392" s="33">
        <f t="shared" si="772"/>
        <v>0</v>
      </c>
      <c r="Q12392" s="31" t="str">
        <f t="shared" si="773"/>
        <v/>
      </c>
      <c r="R12392" s="32" t="str">
        <f>IFERROR(VLOOKUP($D12392,'Informations sur les produits'!$A$3:$B$15000,2,FALSE),"")</f>
        <v/>
      </c>
      <c r="V12392">
        <f t="shared" si="774"/>
        <v>0</v>
      </c>
      <c r="W12392">
        <f t="shared" si="775"/>
        <v>0</v>
      </c>
    </row>
    <row r="12393" spans="5:23" x14ac:dyDescent="0.25">
      <c r="E12393" s="4"/>
      <c r="F12393" s="4"/>
      <c r="G12393" s="33" t="str">
        <f>IFERROR(VLOOKUP($D12393,'Informations sur les produits'!$A$3:$H$10000,8,FALSE),"0")</f>
        <v>0</v>
      </c>
      <c r="K12393" s="4"/>
      <c r="L12393" s="33" t="str">
        <f>IFERROR(VLOOKUP($J12393,'Informations sur les produits'!$A$3:$H$10000,8,FALSE),"0")</f>
        <v>0</v>
      </c>
      <c r="N12393" s="8"/>
      <c r="O12393" s="33" t="str">
        <f>IFERROR(VLOOKUP($M12393,'Informations sur les produits'!$A$3:$H$10000,8,FALSE),"0")</f>
        <v>0</v>
      </c>
      <c r="P12393" s="33">
        <f t="shared" si="772"/>
        <v>0</v>
      </c>
      <c r="Q12393" s="31" t="str">
        <f t="shared" si="773"/>
        <v/>
      </c>
      <c r="R12393" s="32" t="str">
        <f>IFERROR(VLOOKUP($D12393,'Informations sur les produits'!$A$3:$B$15000,2,FALSE),"")</f>
        <v/>
      </c>
      <c r="V12393">
        <f t="shared" si="774"/>
        <v>0</v>
      </c>
      <c r="W12393">
        <f t="shared" si="775"/>
        <v>0</v>
      </c>
    </row>
    <row r="12394" spans="5:23" x14ac:dyDescent="0.25">
      <c r="E12394" s="4"/>
      <c r="F12394" s="4"/>
      <c r="G12394" s="33" t="str">
        <f>IFERROR(VLOOKUP($D12394,'Informations sur les produits'!$A$3:$H$10000,8,FALSE),"0")</f>
        <v>0</v>
      </c>
      <c r="K12394" s="4"/>
      <c r="L12394" s="33" t="str">
        <f>IFERROR(VLOOKUP($J12394,'Informations sur les produits'!$A$3:$H$10000,8,FALSE),"0")</f>
        <v>0</v>
      </c>
      <c r="N12394" s="8"/>
      <c r="O12394" s="33" t="str">
        <f>IFERROR(VLOOKUP($M12394,'Informations sur les produits'!$A$3:$H$10000,8,FALSE),"0")</f>
        <v>0</v>
      </c>
      <c r="P12394" s="33">
        <f t="shared" si="772"/>
        <v>0</v>
      </c>
      <c r="Q12394" s="31" t="str">
        <f t="shared" si="773"/>
        <v/>
      </c>
      <c r="R12394" s="32" t="str">
        <f>IFERROR(VLOOKUP($D12394,'Informations sur les produits'!$A$3:$B$15000,2,FALSE),"")</f>
        <v/>
      </c>
      <c r="V12394">
        <f t="shared" si="774"/>
        <v>0</v>
      </c>
      <c r="W12394">
        <f t="shared" si="775"/>
        <v>0</v>
      </c>
    </row>
    <row r="12395" spans="5:23" x14ac:dyDescent="0.25">
      <c r="E12395" s="4"/>
      <c r="F12395" s="4"/>
      <c r="G12395" s="33" t="str">
        <f>IFERROR(VLOOKUP($D12395,'Informations sur les produits'!$A$3:$H$10000,8,FALSE),"0")</f>
        <v>0</v>
      </c>
      <c r="K12395" s="4"/>
      <c r="L12395" s="33" t="str">
        <f>IFERROR(VLOOKUP($J12395,'Informations sur les produits'!$A$3:$H$10000,8,FALSE),"0")</f>
        <v>0</v>
      </c>
      <c r="N12395" s="8"/>
      <c r="O12395" s="33" t="str">
        <f>IFERROR(VLOOKUP($M12395,'Informations sur les produits'!$A$3:$H$10000,8,FALSE),"0")</f>
        <v>0</v>
      </c>
      <c r="P12395" s="33">
        <f t="shared" si="772"/>
        <v>0</v>
      </c>
      <c r="Q12395" s="31" t="str">
        <f t="shared" si="773"/>
        <v/>
      </c>
      <c r="R12395" s="32" t="str">
        <f>IFERROR(VLOOKUP($D12395,'Informations sur les produits'!$A$3:$B$15000,2,FALSE),"")</f>
        <v/>
      </c>
      <c r="V12395">
        <f t="shared" si="774"/>
        <v>0</v>
      </c>
      <c r="W12395">
        <f t="shared" si="775"/>
        <v>0</v>
      </c>
    </row>
    <row r="12396" spans="5:23" x14ac:dyDescent="0.25">
      <c r="E12396" s="4"/>
      <c r="F12396" s="4"/>
      <c r="G12396" s="33" t="str">
        <f>IFERROR(VLOOKUP($D12396,'Informations sur les produits'!$A$3:$H$10000,8,FALSE),"0")</f>
        <v>0</v>
      </c>
      <c r="K12396" s="4"/>
      <c r="L12396" s="33" t="str">
        <f>IFERROR(VLOOKUP($J12396,'Informations sur les produits'!$A$3:$H$10000,8,FALSE),"0")</f>
        <v>0</v>
      </c>
      <c r="N12396" s="8"/>
      <c r="O12396" s="33" t="str">
        <f>IFERROR(VLOOKUP($M12396,'Informations sur les produits'!$A$3:$H$10000,8,FALSE),"0")</f>
        <v>0</v>
      </c>
      <c r="P12396" s="33">
        <f t="shared" si="772"/>
        <v>0</v>
      </c>
      <c r="Q12396" s="31" t="str">
        <f t="shared" si="773"/>
        <v/>
      </c>
      <c r="R12396" s="32" t="str">
        <f>IFERROR(VLOOKUP($D12396,'Informations sur les produits'!$A$3:$B$15000,2,FALSE),"")</f>
        <v/>
      </c>
      <c r="V12396">
        <f t="shared" si="774"/>
        <v>0</v>
      </c>
      <c r="W12396">
        <f t="shared" si="775"/>
        <v>0</v>
      </c>
    </row>
    <row r="12397" spans="5:23" x14ac:dyDescent="0.25">
      <c r="E12397" s="4"/>
      <c r="F12397" s="4"/>
      <c r="G12397" s="33" t="str">
        <f>IFERROR(VLOOKUP($D12397,'Informations sur les produits'!$A$3:$H$10000,8,FALSE),"0")</f>
        <v>0</v>
      </c>
      <c r="K12397" s="4"/>
      <c r="L12397" s="33" t="str">
        <f>IFERROR(VLOOKUP($J12397,'Informations sur les produits'!$A$3:$H$10000,8,FALSE),"0")</f>
        <v>0</v>
      </c>
      <c r="N12397" s="8"/>
      <c r="O12397" s="33" t="str">
        <f>IFERROR(VLOOKUP($M12397,'Informations sur les produits'!$A$3:$H$10000,8,FALSE),"0")</f>
        <v>0</v>
      </c>
      <c r="P12397" s="33">
        <f t="shared" si="772"/>
        <v>0</v>
      </c>
      <c r="Q12397" s="31" t="str">
        <f t="shared" si="773"/>
        <v/>
      </c>
      <c r="R12397" s="32" t="str">
        <f>IFERROR(VLOOKUP($D12397,'Informations sur les produits'!$A$3:$B$15000,2,FALSE),"")</f>
        <v/>
      </c>
      <c r="V12397">
        <f t="shared" si="774"/>
        <v>0</v>
      </c>
      <c r="W12397">
        <f t="shared" si="775"/>
        <v>0</v>
      </c>
    </row>
    <row r="12398" spans="5:23" x14ac:dyDescent="0.25">
      <c r="E12398" s="4"/>
      <c r="F12398" s="4"/>
      <c r="G12398" s="33" t="str">
        <f>IFERROR(VLOOKUP($D12398,'Informations sur les produits'!$A$3:$H$10000,8,FALSE),"0")</f>
        <v>0</v>
      </c>
      <c r="K12398" s="4"/>
      <c r="L12398" s="33" t="str">
        <f>IFERROR(VLOOKUP($J12398,'Informations sur les produits'!$A$3:$H$10000,8,FALSE),"0")</f>
        <v>0</v>
      </c>
      <c r="N12398" s="8"/>
      <c r="O12398" s="33" t="str">
        <f>IFERROR(VLOOKUP($M12398,'Informations sur les produits'!$A$3:$H$10000,8,FALSE),"0")</f>
        <v>0</v>
      </c>
      <c r="P12398" s="33">
        <f t="shared" si="772"/>
        <v>0</v>
      </c>
      <c r="Q12398" s="31" t="str">
        <f t="shared" si="773"/>
        <v/>
      </c>
      <c r="R12398" s="32" t="str">
        <f>IFERROR(VLOOKUP($D12398,'Informations sur les produits'!$A$3:$B$15000,2,FALSE),"")</f>
        <v/>
      </c>
      <c r="V12398">
        <f t="shared" si="774"/>
        <v>0</v>
      </c>
      <c r="W12398">
        <f t="shared" si="775"/>
        <v>0</v>
      </c>
    </row>
    <row r="12399" spans="5:23" x14ac:dyDescent="0.25">
      <c r="E12399" s="4"/>
      <c r="F12399" s="4"/>
      <c r="G12399" s="33" t="str">
        <f>IFERROR(VLOOKUP($D12399,'Informations sur les produits'!$A$3:$H$10000,8,FALSE),"0")</f>
        <v>0</v>
      </c>
      <c r="K12399" s="4"/>
      <c r="L12399" s="33" t="str">
        <f>IFERROR(VLOOKUP($J12399,'Informations sur les produits'!$A$3:$H$10000,8,FALSE),"0")</f>
        <v>0</v>
      </c>
      <c r="N12399" s="8"/>
      <c r="O12399" s="33" t="str">
        <f>IFERROR(VLOOKUP($M12399,'Informations sur les produits'!$A$3:$H$10000,8,FALSE),"0")</f>
        <v>0</v>
      </c>
      <c r="P12399" s="33">
        <f t="shared" si="772"/>
        <v>0</v>
      </c>
      <c r="Q12399" s="31" t="str">
        <f t="shared" si="773"/>
        <v/>
      </c>
      <c r="R12399" s="32" t="str">
        <f>IFERROR(VLOOKUP($D12399,'Informations sur les produits'!$A$3:$B$15000,2,FALSE),"")</f>
        <v/>
      </c>
      <c r="V12399">
        <f t="shared" si="774"/>
        <v>0</v>
      </c>
      <c r="W12399">
        <f t="shared" si="775"/>
        <v>0</v>
      </c>
    </row>
    <row r="12400" spans="5:23" x14ac:dyDescent="0.25">
      <c r="E12400" s="4"/>
      <c r="F12400" s="4"/>
      <c r="G12400" s="33" t="str">
        <f>IFERROR(VLOOKUP($D12400,'Informations sur les produits'!$A$3:$H$10000,8,FALSE),"0")</f>
        <v>0</v>
      </c>
      <c r="K12400" s="4"/>
      <c r="L12400" s="33" t="str">
        <f>IFERROR(VLOOKUP($J12400,'Informations sur les produits'!$A$3:$H$10000,8,FALSE),"0")</f>
        <v>0</v>
      </c>
      <c r="N12400" s="8"/>
      <c r="O12400" s="33" t="str">
        <f>IFERROR(VLOOKUP($M12400,'Informations sur les produits'!$A$3:$H$10000,8,FALSE),"0")</f>
        <v>0</v>
      </c>
      <c r="P12400" s="33">
        <f t="shared" si="772"/>
        <v>0</v>
      </c>
      <c r="Q12400" s="31" t="str">
        <f t="shared" si="773"/>
        <v/>
      </c>
      <c r="R12400" s="32" t="str">
        <f>IFERROR(VLOOKUP($D12400,'Informations sur les produits'!$A$3:$B$15000,2,FALSE),"")</f>
        <v/>
      </c>
      <c r="V12400">
        <f t="shared" si="774"/>
        <v>0</v>
      </c>
      <c r="W12400">
        <f t="shared" si="775"/>
        <v>0</v>
      </c>
    </row>
    <row r="12401" spans="5:23" x14ac:dyDescent="0.25">
      <c r="E12401" s="4"/>
      <c r="F12401" s="4"/>
      <c r="G12401" s="33" t="str">
        <f>IFERROR(VLOOKUP($D12401,'Informations sur les produits'!$A$3:$H$10000,8,FALSE),"0")</f>
        <v>0</v>
      </c>
      <c r="K12401" s="4"/>
      <c r="L12401" s="33" t="str">
        <f>IFERROR(VLOOKUP($J12401,'Informations sur les produits'!$A$3:$H$10000,8,FALSE),"0")</f>
        <v>0</v>
      </c>
      <c r="N12401" s="8"/>
      <c r="O12401" s="33" t="str">
        <f>IFERROR(VLOOKUP($M12401,'Informations sur les produits'!$A$3:$H$10000,8,FALSE),"0")</f>
        <v>0</v>
      </c>
      <c r="P12401" s="33">
        <f t="shared" si="772"/>
        <v>0</v>
      </c>
      <c r="Q12401" s="31" t="str">
        <f t="shared" si="773"/>
        <v/>
      </c>
      <c r="R12401" s="32" t="str">
        <f>IFERROR(VLOOKUP($D12401,'Informations sur les produits'!$A$3:$B$15000,2,FALSE),"")</f>
        <v/>
      </c>
      <c r="V12401">
        <f t="shared" si="774"/>
        <v>0</v>
      </c>
      <c r="W12401">
        <f t="shared" si="775"/>
        <v>0</v>
      </c>
    </row>
    <row r="12402" spans="5:23" x14ac:dyDescent="0.25">
      <c r="E12402" s="4"/>
      <c r="F12402" s="4"/>
      <c r="G12402" s="33" t="str">
        <f>IFERROR(VLOOKUP($D12402,'Informations sur les produits'!$A$3:$H$10000,8,FALSE),"0")</f>
        <v>0</v>
      </c>
      <c r="K12402" s="4"/>
      <c r="L12402" s="33" t="str">
        <f>IFERROR(VLOOKUP($J12402,'Informations sur les produits'!$A$3:$H$10000,8,FALSE),"0")</f>
        <v>0</v>
      </c>
      <c r="N12402" s="8"/>
      <c r="O12402" s="33" t="str">
        <f>IFERROR(VLOOKUP($M12402,'Informations sur les produits'!$A$3:$H$10000,8,FALSE),"0")</f>
        <v>0</v>
      </c>
      <c r="P12402" s="33">
        <f t="shared" si="772"/>
        <v>0</v>
      </c>
      <c r="Q12402" s="31" t="str">
        <f t="shared" si="773"/>
        <v/>
      </c>
      <c r="R12402" s="32" t="str">
        <f>IFERROR(VLOOKUP($D12402,'Informations sur les produits'!$A$3:$B$15000,2,FALSE),"")</f>
        <v/>
      </c>
      <c r="V12402">
        <f t="shared" si="774"/>
        <v>0</v>
      </c>
      <c r="W12402">
        <f t="shared" si="775"/>
        <v>0</v>
      </c>
    </row>
    <row r="12403" spans="5:23" x14ac:dyDescent="0.25">
      <c r="E12403" s="4"/>
      <c r="F12403" s="4"/>
      <c r="G12403" s="33" t="str">
        <f>IFERROR(VLOOKUP($D12403,'Informations sur les produits'!$A$3:$H$10000,8,FALSE),"0")</f>
        <v>0</v>
      </c>
      <c r="K12403" s="4"/>
      <c r="L12403" s="33" t="str">
        <f>IFERROR(VLOOKUP($J12403,'Informations sur les produits'!$A$3:$H$10000,8,FALSE),"0")</f>
        <v>0</v>
      </c>
      <c r="N12403" s="8"/>
      <c r="O12403" s="33" t="str">
        <f>IFERROR(VLOOKUP($M12403,'Informations sur les produits'!$A$3:$H$10000,8,FALSE),"0")</f>
        <v>0</v>
      </c>
      <c r="P12403" s="33">
        <f t="shared" si="772"/>
        <v>0</v>
      </c>
      <c r="Q12403" s="31" t="str">
        <f t="shared" si="773"/>
        <v/>
      </c>
      <c r="R12403" s="32" t="str">
        <f>IFERROR(VLOOKUP($D12403,'Informations sur les produits'!$A$3:$B$15000,2,FALSE),"")</f>
        <v/>
      </c>
      <c r="V12403">
        <f t="shared" si="774"/>
        <v>0</v>
      </c>
      <c r="W12403">
        <f t="shared" si="775"/>
        <v>0</v>
      </c>
    </row>
    <row r="12404" spans="5:23" x14ac:dyDescent="0.25">
      <c r="E12404" s="4"/>
      <c r="F12404" s="4"/>
      <c r="G12404" s="33" t="str">
        <f>IFERROR(VLOOKUP($D12404,'Informations sur les produits'!$A$3:$H$10000,8,FALSE),"0")</f>
        <v>0</v>
      </c>
      <c r="K12404" s="4"/>
      <c r="L12404" s="33" t="str">
        <f>IFERROR(VLOOKUP($J12404,'Informations sur les produits'!$A$3:$H$10000,8,FALSE),"0")</f>
        <v>0</v>
      </c>
      <c r="N12404" s="8"/>
      <c r="O12404" s="33" t="str">
        <f>IFERROR(VLOOKUP($M12404,'Informations sur les produits'!$A$3:$H$10000,8,FALSE),"0")</f>
        <v>0</v>
      </c>
      <c r="P12404" s="33">
        <f t="shared" si="772"/>
        <v>0</v>
      </c>
      <c r="Q12404" s="31" t="str">
        <f t="shared" si="773"/>
        <v/>
      </c>
      <c r="R12404" s="32" t="str">
        <f>IFERROR(VLOOKUP($D12404,'Informations sur les produits'!$A$3:$B$15000,2,FALSE),"")</f>
        <v/>
      </c>
      <c r="V12404">
        <f t="shared" si="774"/>
        <v>0</v>
      </c>
      <c r="W12404">
        <f t="shared" si="775"/>
        <v>0</v>
      </c>
    </row>
    <row r="12405" spans="5:23" x14ac:dyDescent="0.25">
      <c r="E12405" s="4"/>
      <c r="F12405" s="4"/>
      <c r="G12405" s="33" t="str">
        <f>IFERROR(VLOOKUP($D12405,'Informations sur les produits'!$A$3:$H$10000,8,FALSE),"0")</f>
        <v>0</v>
      </c>
      <c r="K12405" s="4"/>
      <c r="L12405" s="33" t="str">
        <f>IFERROR(VLOOKUP($J12405,'Informations sur les produits'!$A$3:$H$10000,8,FALSE),"0")</f>
        <v>0</v>
      </c>
      <c r="N12405" s="8"/>
      <c r="O12405" s="33" t="str">
        <f>IFERROR(VLOOKUP($M12405,'Informations sur les produits'!$A$3:$H$10000,8,FALSE),"0")</f>
        <v>0</v>
      </c>
      <c r="P12405" s="33">
        <f t="shared" si="772"/>
        <v>0</v>
      </c>
      <c r="Q12405" s="31" t="str">
        <f t="shared" si="773"/>
        <v/>
      </c>
      <c r="R12405" s="32" t="str">
        <f>IFERROR(VLOOKUP($D12405,'Informations sur les produits'!$A$3:$B$15000,2,FALSE),"")</f>
        <v/>
      </c>
      <c r="V12405">
        <f t="shared" si="774"/>
        <v>0</v>
      </c>
      <c r="W12405">
        <f t="shared" si="775"/>
        <v>0</v>
      </c>
    </row>
    <row r="12406" spans="5:23" x14ac:dyDescent="0.25">
      <c r="E12406" s="4"/>
      <c r="F12406" s="4"/>
      <c r="G12406" s="33" t="str">
        <f>IFERROR(VLOOKUP($D12406,'Informations sur les produits'!$A$3:$H$10000,8,FALSE),"0")</f>
        <v>0</v>
      </c>
      <c r="K12406" s="4"/>
      <c r="L12406" s="33" t="str">
        <f>IFERROR(VLOOKUP($J12406,'Informations sur les produits'!$A$3:$H$10000,8,FALSE),"0")</f>
        <v>0</v>
      </c>
      <c r="N12406" s="8"/>
      <c r="O12406" s="33" t="str">
        <f>IFERROR(VLOOKUP($M12406,'Informations sur les produits'!$A$3:$H$10000,8,FALSE),"0")</f>
        <v>0</v>
      </c>
      <c r="P12406" s="33">
        <f t="shared" si="772"/>
        <v>0</v>
      </c>
      <c r="Q12406" s="31" t="str">
        <f t="shared" si="773"/>
        <v/>
      </c>
      <c r="R12406" s="32" t="str">
        <f>IFERROR(VLOOKUP($D12406,'Informations sur les produits'!$A$3:$B$15000,2,FALSE),"")</f>
        <v/>
      </c>
      <c r="V12406">
        <f t="shared" si="774"/>
        <v>0</v>
      </c>
      <c r="W12406">
        <f t="shared" si="775"/>
        <v>0</v>
      </c>
    </row>
    <row r="12407" spans="5:23" x14ac:dyDescent="0.25">
      <c r="E12407" s="4"/>
      <c r="F12407" s="4"/>
      <c r="G12407" s="33" t="str">
        <f>IFERROR(VLOOKUP($D12407,'Informations sur les produits'!$A$3:$H$10000,8,FALSE),"0")</f>
        <v>0</v>
      </c>
      <c r="K12407" s="4"/>
      <c r="L12407" s="33" t="str">
        <f>IFERROR(VLOOKUP($J12407,'Informations sur les produits'!$A$3:$H$10000,8,FALSE),"0")</f>
        <v>0</v>
      </c>
      <c r="N12407" s="8"/>
      <c r="O12407" s="33" t="str">
        <f>IFERROR(VLOOKUP($M12407,'Informations sur les produits'!$A$3:$H$10000,8,FALSE),"0")</f>
        <v>0</v>
      </c>
      <c r="P12407" s="33">
        <f t="shared" si="772"/>
        <v>0</v>
      </c>
      <c r="Q12407" s="31" t="str">
        <f t="shared" si="773"/>
        <v/>
      </c>
      <c r="R12407" s="32" t="str">
        <f>IFERROR(VLOOKUP($D12407,'Informations sur les produits'!$A$3:$B$15000,2,FALSE),"")</f>
        <v/>
      </c>
      <c r="V12407">
        <f t="shared" si="774"/>
        <v>0</v>
      </c>
      <c r="W12407">
        <f t="shared" si="775"/>
        <v>0</v>
      </c>
    </row>
    <row r="12408" spans="5:23" x14ac:dyDescent="0.25">
      <c r="E12408" s="4"/>
      <c r="F12408" s="4"/>
      <c r="G12408" s="33" t="str">
        <f>IFERROR(VLOOKUP($D12408,'Informations sur les produits'!$A$3:$H$10000,8,FALSE),"0")</f>
        <v>0</v>
      </c>
      <c r="K12408" s="4"/>
      <c r="L12408" s="33" t="str">
        <f>IFERROR(VLOOKUP($J12408,'Informations sur les produits'!$A$3:$H$10000,8,FALSE),"0")</f>
        <v>0</v>
      </c>
      <c r="N12408" s="8"/>
      <c r="O12408" s="33" t="str">
        <f>IFERROR(VLOOKUP($M12408,'Informations sur les produits'!$A$3:$H$10000,8,FALSE),"0")</f>
        <v>0</v>
      </c>
      <c r="P12408" s="33">
        <f t="shared" si="772"/>
        <v>0</v>
      </c>
      <c r="Q12408" s="31" t="str">
        <f t="shared" si="773"/>
        <v/>
      </c>
      <c r="R12408" s="32" t="str">
        <f>IFERROR(VLOOKUP($D12408,'Informations sur les produits'!$A$3:$B$15000,2,FALSE),"")</f>
        <v/>
      </c>
      <c r="V12408">
        <f t="shared" si="774"/>
        <v>0</v>
      </c>
      <c r="W12408">
        <f t="shared" si="775"/>
        <v>0</v>
      </c>
    </row>
    <row r="12409" spans="5:23" x14ac:dyDescent="0.25">
      <c r="E12409" s="4"/>
      <c r="F12409" s="4"/>
      <c r="G12409" s="33" t="str">
        <f>IFERROR(VLOOKUP($D12409,'Informations sur les produits'!$A$3:$H$10000,8,FALSE),"0")</f>
        <v>0</v>
      </c>
      <c r="K12409" s="4"/>
      <c r="L12409" s="33" t="str">
        <f>IFERROR(VLOOKUP($J12409,'Informations sur les produits'!$A$3:$H$10000,8,FALSE),"0")</f>
        <v>0</v>
      </c>
      <c r="N12409" s="8"/>
      <c r="O12409" s="33" t="str">
        <f>IFERROR(VLOOKUP($M12409,'Informations sur les produits'!$A$3:$H$10000,8,FALSE),"0")</f>
        <v>0</v>
      </c>
      <c r="P12409" s="33">
        <f t="shared" si="772"/>
        <v>0</v>
      </c>
      <c r="Q12409" s="31" t="str">
        <f t="shared" si="773"/>
        <v/>
      </c>
      <c r="R12409" s="32" t="str">
        <f>IFERROR(VLOOKUP($D12409,'Informations sur les produits'!$A$3:$B$15000,2,FALSE),"")</f>
        <v/>
      </c>
      <c r="V12409">
        <f t="shared" si="774"/>
        <v>0</v>
      </c>
      <c r="W12409">
        <f t="shared" si="775"/>
        <v>0</v>
      </c>
    </row>
    <row r="12410" spans="5:23" x14ac:dyDescent="0.25">
      <c r="E12410" s="4"/>
      <c r="F12410" s="4"/>
      <c r="G12410" s="33" t="str">
        <f>IFERROR(VLOOKUP($D12410,'Informations sur les produits'!$A$3:$H$10000,8,FALSE),"0")</f>
        <v>0</v>
      </c>
      <c r="K12410" s="4"/>
      <c r="L12410" s="33" t="str">
        <f>IFERROR(VLOOKUP($J12410,'Informations sur les produits'!$A$3:$H$10000,8,FALSE),"0")</f>
        <v>0</v>
      </c>
      <c r="N12410" s="8"/>
      <c r="O12410" s="33" t="str">
        <f>IFERROR(VLOOKUP($M12410,'Informations sur les produits'!$A$3:$H$10000,8,FALSE),"0")</f>
        <v>0</v>
      </c>
      <c r="P12410" s="33">
        <f t="shared" si="772"/>
        <v>0</v>
      </c>
      <c r="Q12410" s="31" t="str">
        <f t="shared" si="773"/>
        <v/>
      </c>
      <c r="R12410" s="32" t="str">
        <f>IFERROR(VLOOKUP($D12410,'Informations sur les produits'!$A$3:$B$15000,2,FALSE),"")</f>
        <v/>
      </c>
      <c r="V12410">
        <f t="shared" si="774"/>
        <v>0</v>
      </c>
      <c r="W12410">
        <f t="shared" si="775"/>
        <v>0</v>
      </c>
    </row>
    <row r="12411" spans="5:23" x14ac:dyDescent="0.25">
      <c r="E12411" s="4"/>
      <c r="F12411" s="4"/>
      <c r="G12411" s="33" t="str">
        <f>IFERROR(VLOOKUP($D12411,'Informations sur les produits'!$A$3:$H$10000,8,FALSE),"0")</f>
        <v>0</v>
      </c>
      <c r="K12411" s="4"/>
      <c r="L12411" s="33" t="str">
        <f>IFERROR(VLOOKUP($J12411,'Informations sur les produits'!$A$3:$H$10000,8,FALSE),"0")</f>
        <v>0</v>
      </c>
      <c r="N12411" s="8"/>
      <c r="O12411" s="33" t="str">
        <f>IFERROR(VLOOKUP($M12411,'Informations sur les produits'!$A$3:$H$10000,8,FALSE),"0")</f>
        <v>0</v>
      </c>
      <c r="P12411" s="33">
        <f t="shared" si="772"/>
        <v>0</v>
      </c>
      <c r="Q12411" s="31" t="str">
        <f t="shared" si="773"/>
        <v/>
      </c>
      <c r="R12411" s="32" t="str">
        <f>IFERROR(VLOOKUP($D12411,'Informations sur les produits'!$A$3:$B$15000,2,FALSE),"")</f>
        <v/>
      </c>
      <c r="V12411">
        <f t="shared" si="774"/>
        <v>0</v>
      </c>
      <c r="W12411">
        <f t="shared" si="775"/>
        <v>0</v>
      </c>
    </row>
    <row r="12412" spans="5:23" x14ac:dyDescent="0.25">
      <c r="E12412" s="4"/>
      <c r="F12412" s="4"/>
      <c r="G12412" s="33" t="str">
        <f>IFERROR(VLOOKUP($D12412,'Informations sur les produits'!$A$3:$H$10000,8,FALSE),"0")</f>
        <v>0</v>
      </c>
      <c r="K12412" s="4"/>
      <c r="L12412" s="33" t="str">
        <f>IFERROR(VLOOKUP($J12412,'Informations sur les produits'!$A$3:$H$10000,8,FALSE),"0")</f>
        <v>0</v>
      </c>
      <c r="N12412" s="8"/>
      <c r="O12412" s="33" t="str">
        <f>IFERROR(VLOOKUP($M12412,'Informations sur les produits'!$A$3:$H$10000,8,FALSE),"0")</f>
        <v>0</v>
      </c>
      <c r="P12412" s="33">
        <f t="shared" si="772"/>
        <v>0</v>
      </c>
      <c r="Q12412" s="31" t="str">
        <f t="shared" si="773"/>
        <v/>
      </c>
      <c r="R12412" s="32" t="str">
        <f>IFERROR(VLOOKUP($D12412,'Informations sur les produits'!$A$3:$B$15000,2,FALSE),"")</f>
        <v/>
      </c>
      <c r="V12412">
        <f t="shared" si="774"/>
        <v>0</v>
      </c>
      <c r="W12412">
        <f t="shared" si="775"/>
        <v>0</v>
      </c>
    </row>
    <row r="12413" spans="5:23" x14ac:dyDescent="0.25">
      <c r="E12413" s="4"/>
      <c r="F12413" s="4"/>
      <c r="G12413" s="33" t="str">
        <f>IFERROR(VLOOKUP($D12413,'Informations sur les produits'!$A$3:$H$10000,8,FALSE),"0")</f>
        <v>0</v>
      </c>
      <c r="K12413" s="4"/>
      <c r="L12413" s="33" t="str">
        <f>IFERROR(VLOOKUP($J12413,'Informations sur les produits'!$A$3:$H$10000,8,FALSE),"0")</f>
        <v>0</v>
      </c>
      <c r="N12413" s="8"/>
      <c r="O12413" s="33" t="str">
        <f>IFERROR(VLOOKUP($M12413,'Informations sur les produits'!$A$3:$H$10000,8,FALSE),"0")</f>
        <v>0</v>
      </c>
      <c r="P12413" s="33">
        <f t="shared" si="772"/>
        <v>0</v>
      </c>
      <c r="Q12413" s="31" t="str">
        <f t="shared" si="773"/>
        <v/>
      </c>
      <c r="R12413" s="32" t="str">
        <f>IFERROR(VLOOKUP($D12413,'Informations sur les produits'!$A$3:$B$15000,2,FALSE),"")</f>
        <v/>
      </c>
      <c r="V12413">
        <f t="shared" si="774"/>
        <v>0</v>
      </c>
      <c r="W12413">
        <f t="shared" si="775"/>
        <v>0</v>
      </c>
    </row>
    <row r="12414" spans="5:23" x14ac:dyDescent="0.25">
      <c r="E12414" s="4"/>
      <c r="F12414" s="4"/>
      <c r="G12414" s="33" t="str">
        <f>IFERROR(VLOOKUP($D12414,'Informations sur les produits'!$A$3:$H$10000,8,FALSE),"0")</f>
        <v>0</v>
      </c>
      <c r="K12414" s="4"/>
      <c r="L12414" s="33" t="str">
        <f>IFERROR(VLOOKUP($J12414,'Informations sur les produits'!$A$3:$H$10000,8,FALSE),"0")</f>
        <v>0</v>
      </c>
      <c r="N12414" s="8"/>
      <c r="O12414" s="33" t="str">
        <f>IFERROR(VLOOKUP($M12414,'Informations sur les produits'!$A$3:$H$10000,8,FALSE),"0")</f>
        <v>0</v>
      </c>
      <c r="P12414" s="33">
        <f t="shared" si="772"/>
        <v>0</v>
      </c>
      <c r="Q12414" s="31" t="str">
        <f t="shared" si="773"/>
        <v/>
      </c>
      <c r="R12414" s="32" t="str">
        <f>IFERROR(VLOOKUP($D12414,'Informations sur les produits'!$A$3:$B$15000,2,FALSE),"")</f>
        <v/>
      </c>
      <c r="V12414">
        <f t="shared" si="774"/>
        <v>0</v>
      </c>
      <c r="W12414">
        <f t="shared" si="775"/>
        <v>0</v>
      </c>
    </row>
    <row r="12415" spans="5:23" x14ac:dyDescent="0.25">
      <c r="E12415" s="4"/>
      <c r="F12415" s="4"/>
      <c r="G12415" s="33" t="str">
        <f>IFERROR(VLOOKUP($D12415,'Informations sur les produits'!$A$3:$H$10000,8,FALSE),"0")</f>
        <v>0</v>
      </c>
      <c r="K12415" s="4"/>
      <c r="L12415" s="33" t="str">
        <f>IFERROR(VLOOKUP($J12415,'Informations sur les produits'!$A$3:$H$10000,8,FALSE),"0")</f>
        <v>0</v>
      </c>
      <c r="N12415" s="8"/>
      <c r="O12415" s="33" t="str">
        <f>IFERROR(VLOOKUP($M12415,'Informations sur les produits'!$A$3:$H$10000,8,FALSE),"0")</f>
        <v>0</v>
      </c>
      <c r="P12415" s="33">
        <f t="shared" si="772"/>
        <v>0</v>
      </c>
      <c r="Q12415" s="31" t="str">
        <f t="shared" si="773"/>
        <v/>
      </c>
      <c r="R12415" s="32" t="str">
        <f>IFERROR(VLOOKUP($D12415,'Informations sur les produits'!$A$3:$B$15000,2,FALSE),"")</f>
        <v/>
      </c>
      <c r="V12415">
        <f t="shared" si="774"/>
        <v>0</v>
      </c>
      <c r="W12415">
        <f t="shared" si="775"/>
        <v>0</v>
      </c>
    </row>
    <row r="12416" spans="5:23" x14ac:dyDescent="0.25">
      <c r="E12416" s="4"/>
      <c r="F12416" s="4"/>
      <c r="G12416" s="33" t="str">
        <f>IFERROR(VLOOKUP($D12416,'Informations sur les produits'!$A$3:$H$10000,8,FALSE),"0")</f>
        <v>0</v>
      </c>
      <c r="K12416" s="4"/>
      <c r="L12416" s="33" t="str">
        <f>IFERROR(VLOOKUP($J12416,'Informations sur les produits'!$A$3:$H$10000,8,FALSE),"0")</f>
        <v>0</v>
      </c>
      <c r="N12416" s="8"/>
      <c r="O12416" s="33" t="str">
        <f>IFERROR(VLOOKUP($M12416,'Informations sur les produits'!$A$3:$H$10000,8,FALSE),"0")</f>
        <v>0</v>
      </c>
      <c r="P12416" s="33">
        <f t="shared" si="772"/>
        <v>0</v>
      </c>
      <c r="Q12416" s="31" t="str">
        <f t="shared" si="773"/>
        <v/>
      </c>
      <c r="R12416" s="32" t="str">
        <f>IFERROR(VLOOKUP($D12416,'Informations sur les produits'!$A$3:$B$15000,2,FALSE),"")</f>
        <v/>
      </c>
      <c r="V12416">
        <f t="shared" si="774"/>
        <v>0</v>
      </c>
      <c r="W12416">
        <f t="shared" si="775"/>
        <v>0</v>
      </c>
    </row>
    <row r="12417" spans="5:23" x14ac:dyDescent="0.25">
      <c r="E12417" s="4"/>
      <c r="F12417" s="4"/>
      <c r="G12417" s="33" t="str">
        <f>IFERROR(VLOOKUP($D12417,'Informations sur les produits'!$A$3:$H$10000,8,FALSE),"0")</f>
        <v>0</v>
      </c>
      <c r="K12417" s="4"/>
      <c r="L12417" s="33" t="str">
        <f>IFERROR(VLOOKUP($J12417,'Informations sur les produits'!$A$3:$H$10000,8,FALSE),"0")</f>
        <v>0</v>
      </c>
      <c r="N12417" s="8"/>
      <c r="O12417" s="33" t="str">
        <f>IFERROR(VLOOKUP($M12417,'Informations sur les produits'!$A$3:$H$10000,8,FALSE),"0")</f>
        <v>0</v>
      </c>
      <c r="P12417" s="33">
        <f t="shared" si="772"/>
        <v>0</v>
      </c>
      <c r="Q12417" s="31" t="str">
        <f t="shared" si="773"/>
        <v/>
      </c>
      <c r="R12417" s="32" t="str">
        <f>IFERROR(VLOOKUP($D12417,'Informations sur les produits'!$A$3:$B$15000,2,FALSE),"")</f>
        <v/>
      </c>
      <c r="V12417">
        <f t="shared" si="774"/>
        <v>0</v>
      </c>
      <c r="W12417">
        <f t="shared" si="775"/>
        <v>0</v>
      </c>
    </row>
    <row r="12418" spans="5:23" x14ac:dyDescent="0.25">
      <c r="E12418" s="4"/>
      <c r="F12418" s="4"/>
      <c r="G12418" s="33" t="str">
        <f>IFERROR(VLOOKUP($D12418,'Informations sur les produits'!$A$3:$H$10000,8,FALSE),"0")</f>
        <v>0</v>
      </c>
      <c r="K12418" s="4"/>
      <c r="L12418" s="33" t="str">
        <f>IFERROR(VLOOKUP($J12418,'Informations sur les produits'!$A$3:$H$10000,8,FALSE),"0")</f>
        <v>0</v>
      </c>
      <c r="N12418" s="8"/>
      <c r="O12418" s="33" t="str">
        <f>IFERROR(VLOOKUP($M12418,'Informations sur les produits'!$A$3:$H$10000,8,FALSE),"0")</f>
        <v>0</v>
      </c>
      <c r="P12418" s="33">
        <f t="shared" si="772"/>
        <v>0</v>
      </c>
      <c r="Q12418" s="31" t="str">
        <f t="shared" si="773"/>
        <v/>
      </c>
      <c r="R12418" s="32" t="str">
        <f>IFERROR(VLOOKUP($D12418,'Informations sur les produits'!$A$3:$B$15000,2,FALSE),"")</f>
        <v/>
      </c>
      <c r="V12418">
        <f t="shared" si="774"/>
        <v>0</v>
      </c>
      <c r="W12418">
        <f t="shared" si="775"/>
        <v>0</v>
      </c>
    </row>
    <row r="12419" spans="5:23" x14ac:dyDescent="0.25">
      <c r="E12419" s="4"/>
      <c r="F12419" s="4"/>
      <c r="G12419" s="33" t="str">
        <f>IFERROR(VLOOKUP($D12419,'Informations sur les produits'!$A$3:$H$10000,8,FALSE),"0")</f>
        <v>0</v>
      </c>
      <c r="K12419" s="4"/>
      <c r="L12419" s="33" t="str">
        <f>IFERROR(VLOOKUP($J12419,'Informations sur les produits'!$A$3:$H$10000,8,FALSE),"0")</f>
        <v>0</v>
      </c>
      <c r="N12419" s="8"/>
      <c r="O12419" s="33" t="str">
        <f>IFERROR(VLOOKUP($M12419,'Informations sur les produits'!$A$3:$H$10000,8,FALSE),"0")</f>
        <v>0</v>
      </c>
      <c r="P12419" s="33">
        <f t="shared" si="772"/>
        <v>0</v>
      </c>
      <c r="Q12419" s="31" t="str">
        <f t="shared" si="773"/>
        <v/>
      </c>
      <c r="R12419" s="32" t="str">
        <f>IFERROR(VLOOKUP($D12419,'Informations sur les produits'!$A$3:$B$15000,2,FALSE),"")</f>
        <v/>
      </c>
      <c r="V12419">
        <f t="shared" si="774"/>
        <v>0</v>
      </c>
      <c r="W12419">
        <f t="shared" si="775"/>
        <v>0</v>
      </c>
    </row>
    <row r="12420" spans="5:23" x14ac:dyDescent="0.25">
      <c r="E12420" s="4"/>
      <c r="F12420" s="4"/>
      <c r="G12420" s="33" t="str">
        <f>IFERROR(VLOOKUP($D12420,'Informations sur les produits'!$A$3:$H$10000,8,FALSE),"0")</f>
        <v>0</v>
      </c>
      <c r="K12420" s="4"/>
      <c r="L12420" s="33" t="str">
        <f>IFERROR(VLOOKUP($J12420,'Informations sur les produits'!$A$3:$H$10000,8,FALSE),"0")</f>
        <v>0</v>
      </c>
      <c r="N12420" s="8"/>
      <c r="O12420" s="33" t="str">
        <f>IFERROR(VLOOKUP($M12420,'Informations sur les produits'!$A$3:$H$10000,8,FALSE),"0")</f>
        <v>0</v>
      </c>
      <c r="P12420" s="33">
        <f t="shared" ref="P12420:P12483" si="776">IFERROR((($E12420-$F12420)*$G12420+$K12420*$L12420+$N12420*$O12420),"")</f>
        <v>0</v>
      </c>
      <c r="Q12420" s="31" t="str">
        <f t="shared" ref="Q12420:Q12483" si="777">IFERROR((((($E12420-$F12420)*$G12420+$K12420*$L12420+$N12420*$O12420)*1000)/(($E12420-$F12420)+$K12420+$N12420)),"")</f>
        <v/>
      </c>
      <c r="R12420" s="32" t="str">
        <f>IFERROR(VLOOKUP($D12420,'Informations sur les produits'!$A$3:$B$15000,2,FALSE),"")</f>
        <v/>
      </c>
      <c r="V12420">
        <f t="shared" ref="V12420:V12483" si="778">IFERROR(P12420*1000,"")</f>
        <v>0</v>
      </c>
      <c r="W12420">
        <f t="shared" ref="W12420:W12483" si="779">IFERROR(($E12420-$F12420)+$K12420+$N12420,"")</f>
        <v>0</v>
      </c>
    </row>
    <row r="12421" spans="5:23" x14ac:dyDescent="0.25">
      <c r="E12421" s="4"/>
      <c r="F12421" s="4"/>
      <c r="G12421" s="33" t="str">
        <f>IFERROR(VLOOKUP($D12421,'Informations sur les produits'!$A$3:$H$10000,8,FALSE),"0")</f>
        <v>0</v>
      </c>
      <c r="K12421" s="4"/>
      <c r="L12421" s="33" t="str">
        <f>IFERROR(VLOOKUP($J12421,'Informations sur les produits'!$A$3:$H$10000,8,FALSE),"0")</f>
        <v>0</v>
      </c>
      <c r="N12421" s="8"/>
      <c r="O12421" s="33" t="str">
        <f>IFERROR(VLOOKUP($M12421,'Informations sur les produits'!$A$3:$H$10000,8,FALSE),"0")</f>
        <v>0</v>
      </c>
      <c r="P12421" s="33">
        <f t="shared" si="776"/>
        <v>0</v>
      </c>
      <c r="Q12421" s="31" t="str">
        <f t="shared" si="777"/>
        <v/>
      </c>
      <c r="R12421" s="32" t="str">
        <f>IFERROR(VLOOKUP($D12421,'Informations sur les produits'!$A$3:$B$15000,2,FALSE),"")</f>
        <v/>
      </c>
      <c r="V12421">
        <f t="shared" si="778"/>
        <v>0</v>
      </c>
      <c r="W12421">
        <f t="shared" si="779"/>
        <v>0</v>
      </c>
    </row>
    <row r="12422" spans="5:23" x14ac:dyDescent="0.25">
      <c r="E12422" s="4"/>
      <c r="F12422" s="4"/>
      <c r="G12422" s="33" t="str">
        <f>IFERROR(VLOOKUP($D12422,'Informations sur les produits'!$A$3:$H$10000,8,FALSE),"0")</f>
        <v>0</v>
      </c>
      <c r="K12422" s="4"/>
      <c r="L12422" s="33" t="str">
        <f>IFERROR(VLOOKUP($J12422,'Informations sur les produits'!$A$3:$H$10000,8,FALSE),"0")</f>
        <v>0</v>
      </c>
      <c r="N12422" s="8"/>
      <c r="O12422" s="33" t="str">
        <f>IFERROR(VLOOKUP($M12422,'Informations sur les produits'!$A$3:$H$10000,8,FALSE),"0")</f>
        <v>0</v>
      </c>
      <c r="P12422" s="33">
        <f t="shared" si="776"/>
        <v>0</v>
      </c>
      <c r="Q12422" s="31" t="str">
        <f t="shared" si="777"/>
        <v/>
      </c>
      <c r="R12422" s="32" t="str">
        <f>IFERROR(VLOOKUP($D12422,'Informations sur les produits'!$A$3:$B$15000,2,FALSE),"")</f>
        <v/>
      </c>
      <c r="V12422">
        <f t="shared" si="778"/>
        <v>0</v>
      </c>
      <c r="W12422">
        <f t="shared" si="779"/>
        <v>0</v>
      </c>
    </row>
    <row r="12423" spans="5:23" x14ac:dyDescent="0.25">
      <c r="E12423" s="4"/>
      <c r="F12423" s="4"/>
      <c r="G12423" s="33" t="str">
        <f>IFERROR(VLOOKUP($D12423,'Informations sur les produits'!$A$3:$H$10000,8,FALSE),"0")</f>
        <v>0</v>
      </c>
      <c r="K12423" s="4"/>
      <c r="L12423" s="33" t="str">
        <f>IFERROR(VLOOKUP($J12423,'Informations sur les produits'!$A$3:$H$10000,8,FALSE),"0")</f>
        <v>0</v>
      </c>
      <c r="N12423" s="8"/>
      <c r="O12423" s="33" t="str">
        <f>IFERROR(VLOOKUP($M12423,'Informations sur les produits'!$A$3:$H$10000,8,FALSE),"0")</f>
        <v>0</v>
      </c>
      <c r="P12423" s="33">
        <f t="shared" si="776"/>
        <v>0</v>
      </c>
      <c r="Q12423" s="31" t="str">
        <f t="shared" si="777"/>
        <v/>
      </c>
      <c r="R12423" s="32" t="str">
        <f>IFERROR(VLOOKUP($D12423,'Informations sur les produits'!$A$3:$B$15000,2,FALSE),"")</f>
        <v/>
      </c>
      <c r="V12423">
        <f t="shared" si="778"/>
        <v>0</v>
      </c>
      <c r="W12423">
        <f t="shared" si="779"/>
        <v>0</v>
      </c>
    </row>
    <row r="12424" spans="5:23" x14ac:dyDescent="0.25">
      <c r="E12424" s="4"/>
      <c r="F12424" s="4"/>
      <c r="G12424" s="33" t="str">
        <f>IFERROR(VLOOKUP($D12424,'Informations sur les produits'!$A$3:$H$10000,8,FALSE),"0")</f>
        <v>0</v>
      </c>
      <c r="K12424" s="4"/>
      <c r="L12424" s="33" t="str">
        <f>IFERROR(VLOOKUP($J12424,'Informations sur les produits'!$A$3:$H$10000,8,FALSE),"0")</f>
        <v>0</v>
      </c>
      <c r="N12424" s="8"/>
      <c r="O12424" s="33" t="str">
        <f>IFERROR(VLOOKUP($M12424,'Informations sur les produits'!$A$3:$H$10000,8,FALSE),"0")</f>
        <v>0</v>
      </c>
      <c r="P12424" s="33">
        <f t="shared" si="776"/>
        <v>0</v>
      </c>
      <c r="Q12424" s="31" t="str">
        <f t="shared" si="777"/>
        <v/>
      </c>
      <c r="R12424" s="32" t="str">
        <f>IFERROR(VLOOKUP($D12424,'Informations sur les produits'!$A$3:$B$15000,2,FALSE),"")</f>
        <v/>
      </c>
      <c r="V12424">
        <f t="shared" si="778"/>
        <v>0</v>
      </c>
      <c r="W12424">
        <f t="shared" si="779"/>
        <v>0</v>
      </c>
    </row>
    <row r="12425" spans="5:23" x14ac:dyDescent="0.25">
      <c r="E12425" s="4"/>
      <c r="F12425" s="4"/>
      <c r="G12425" s="33" t="str">
        <f>IFERROR(VLOOKUP($D12425,'Informations sur les produits'!$A$3:$H$10000,8,FALSE),"0")</f>
        <v>0</v>
      </c>
      <c r="K12425" s="4"/>
      <c r="L12425" s="33" t="str">
        <f>IFERROR(VLOOKUP($J12425,'Informations sur les produits'!$A$3:$H$10000,8,FALSE),"0")</f>
        <v>0</v>
      </c>
      <c r="N12425" s="8"/>
      <c r="O12425" s="33" t="str">
        <f>IFERROR(VLOOKUP($M12425,'Informations sur les produits'!$A$3:$H$10000,8,FALSE),"0")</f>
        <v>0</v>
      </c>
      <c r="P12425" s="33">
        <f t="shared" si="776"/>
        <v>0</v>
      </c>
      <c r="Q12425" s="31" t="str">
        <f t="shared" si="777"/>
        <v/>
      </c>
      <c r="R12425" s="32" t="str">
        <f>IFERROR(VLOOKUP($D12425,'Informations sur les produits'!$A$3:$B$15000,2,FALSE),"")</f>
        <v/>
      </c>
      <c r="V12425">
        <f t="shared" si="778"/>
        <v>0</v>
      </c>
      <c r="W12425">
        <f t="shared" si="779"/>
        <v>0</v>
      </c>
    </row>
    <row r="12426" spans="5:23" x14ac:dyDescent="0.25">
      <c r="E12426" s="4"/>
      <c r="F12426" s="4"/>
      <c r="G12426" s="33" t="str">
        <f>IFERROR(VLOOKUP($D12426,'Informations sur les produits'!$A$3:$H$10000,8,FALSE),"0")</f>
        <v>0</v>
      </c>
      <c r="K12426" s="4"/>
      <c r="L12426" s="33" t="str">
        <f>IFERROR(VLOOKUP($J12426,'Informations sur les produits'!$A$3:$H$10000,8,FALSE),"0")</f>
        <v>0</v>
      </c>
      <c r="N12426" s="8"/>
      <c r="O12426" s="33" t="str">
        <f>IFERROR(VLOOKUP($M12426,'Informations sur les produits'!$A$3:$H$10000,8,FALSE),"0")</f>
        <v>0</v>
      </c>
      <c r="P12426" s="33">
        <f t="shared" si="776"/>
        <v>0</v>
      </c>
      <c r="Q12426" s="31" t="str">
        <f t="shared" si="777"/>
        <v/>
      </c>
      <c r="R12426" s="32" t="str">
        <f>IFERROR(VLOOKUP($D12426,'Informations sur les produits'!$A$3:$B$15000,2,FALSE),"")</f>
        <v/>
      </c>
      <c r="V12426">
        <f t="shared" si="778"/>
        <v>0</v>
      </c>
      <c r="W12426">
        <f t="shared" si="779"/>
        <v>0</v>
      </c>
    </row>
    <row r="12427" spans="5:23" x14ac:dyDescent="0.25">
      <c r="E12427" s="4"/>
      <c r="F12427" s="4"/>
      <c r="G12427" s="33" t="str">
        <f>IFERROR(VLOOKUP($D12427,'Informations sur les produits'!$A$3:$H$10000,8,FALSE),"0")</f>
        <v>0</v>
      </c>
      <c r="K12427" s="4"/>
      <c r="L12427" s="33" t="str">
        <f>IFERROR(VLOOKUP($J12427,'Informations sur les produits'!$A$3:$H$10000,8,FALSE),"0")</f>
        <v>0</v>
      </c>
      <c r="N12427" s="8"/>
      <c r="O12427" s="33" t="str">
        <f>IFERROR(VLOOKUP($M12427,'Informations sur les produits'!$A$3:$H$10000,8,FALSE),"0")</f>
        <v>0</v>
      </c>
      <c r="P12427" s="33">
        <f t="shared" si="776"/>
        <v>0</v>
      </c>
      <c r="Q12427" s="31" t="str">
        <f t="shared" si="777"/>
        <v/>
      </c>
      <c r="R12427" s="32" t="str">
        <f>IFERROR(VLOOKUP($D12427,'Informations sur les produits'!$A$3:$B$15000,2,FALSE),"")</f>
        <v/>
      </c>
      <c r="V12427">
        <f t="shared" si="778"/>
        <v>0</v>
      </c>
      <c r="W12427">
        <f t="shared" si="779"/>
        <v>0</v>
      </c>
    </row>
    <row r="12428" spans="5:23" x14ac:dyDescent="0.25">
      <c r="E12428" s="4"/>
      <c r="F12428" s="4"/>
      <c r="G12428" s="33" t="str">
        <f>IFERROR(VLOOKUP($D12428,'Informations sur les produits'!$A$3:$H$10000,8,FALSE),"0")</f>
        <v>0</v>
      </c>
      <c r="K12428" s="4"/>
      <c r="L12428" s="33" t="str">
        <f>IFERROR(VLOOKUP($J12428,'Informations sur les produits'!$A$3:$H$10000,8,FALSE),"0")</f>
        <v>0</v>
      </c>
      <c r="N12428" s="8"/>
      <c r="O12428" s="33" t="str">
        <f>IFERROR(VLOOKUP($M12428,'Informations sur les produits'!$A$3:$H$10000,8,FALSE),"0")</f>
        <v>0</v>
      </c>
      <c r="P12428" s="33">
        <f t="shared" si="776"/>
        <v>0</v>
      </c>
      <c r="Q12428" s="31" t="str">
        <f t="shared" si="777"/>
        <v/>
      </c>
      <c r="R12428" s="32" t="str">
        <f>IFERROR(VLOOKUP($D12428,'Informations sur les produits'!$A$3:$B$15000,2,FALSE),"")</f>
        <v/>
      </c>
      <c r="V12428">
        <f t="shared" si="778"/>
        <v>0</v>
      </c>
      <c r="W12428">
        <f t="shared" si="779"/>
        <v>0</v>
      </c>
    </row>
    <row r="12429" spans="5:23" x14ac:dyDescent="0.25">
      <c r="E12429" s="4"/>
      <c r="F12429" s="4"/>
      <c r="G12429" s="33" t="str">
        <f>IFERROR(VLOOKUP($D12429,'Informations sur les produits'!$A$3:$H$10000,8,FALSE),"0")</f>
        <v>0</v>
      </c>
      <c r="K12429" s="4"/>
      <c r="L12429" s="33" t="str">
        <f>IFERROR(VLOOKUP($J12429,'Informations sur les produits'!$A$3:$H$10000,8,FALSE),"0")</f>
        <v>0</v>
      </c>
      <c r="N12429" s="8"/>
      <c r="O12429" s="33" t="str">
        <f>IFERROR(VLOOKUP($M12429,'Informations sur les produits'!$A$3:$H$10000,8,FALSE),"0")</f>
        <v>0</v>
      </c>
      <c r="P12429" s="33">
        <f t="shared" si="776"/>
        <v>0</v>
      </c>
      <c r="Q12429" s="31" t="str">
        <f t="shared" si="777"/>
        <v/>
      </c>
      <c r="R12429" s="32" t="str">
        <f>IFERROR(VLOOKUP($D12429,'Informations sur les produits'!$A$3:$B$15000,2,FALSE),"")</f>
        <v/>
      </c>
      <c r="V12429">
        <f t="shared" si="778"/>
        <v>0</v>
      </c>
      <c r="W12429">
        <f t="shared" si="779"/>
        <v>0</v>
      </c>
    </row>
    <row r="12430" spans="5:23" x14ac:dyDescent="0.25">
      <c r="E12430" s="4"/>
      <c r="F12430" s="4"/>
      <c r="G12430" s="33" t="str">
        <f>IFERROR(VLOOKUP($D12430,'Informations sur les produits'!$A$3:$H$10000,8,FALSE),"0")</f>
        <v>0</v>
      </c>
      <c r="K12430" s="4"/>
      <c r="L12430" s="33" t="str">
        <f>IFERROR(VLOOKUP($J12430,'Informations sur les produits'!$A$3:$H$10000,8,FALSE),"0")</f>
        <v>0</v>
      </c>
      <c r="N12430" s="8"/>
      <c r="O12430" s="33" t="str">
        <f>IFERROR(VLOOKUP($M12430,'Informations sur les produits'!$A$3:$H$10000,8,FALSE),"0")</f>
        <v>0</v>
      </c>
      <c r="P12430" s="33">
        <f t="shared" si="776"/>
        <v>0</v>
      </c>
      <c r="Q12430" s="31" t="str">
        <f t="shared" si="777"/>
        <v/>
      </c>
      <c r="R12430" s="32" t="str">
        <f>IFERROR(VLOOKUP($D12430,'Informations sur les produits'!$A$3:$B$15000,2,FALSE),"")</f>
        <v/>
      </c>
      <c r="V12430">
        <f t="shared" si="778"/>
        <v>0</v>
      </c>
      <c r="W12430">
        <f t="shared" si="779"/>
        <v>0</v>
      </c>
    </row>
    <row r="12431" spans="5:23" x14ac:dyDescent="0.25">
      <c r="E12431" s="4"/>
      <c r="F12431" s="4"/>
      <c r="G12431" s="33" t="str">
        <f>IFERROR(VLOOKUP($D12431,'Informations sur les produits'!$A$3:$H$10000,8,FALSE),"0")</f>
        <v>0</v>
      </c>
      <c r="K12431" s="4"/>
      <c r="L12431" s="33" t="str">
        <f>IFERROR(VLOOKUP($J12431,'Informations sur les produits'!$A$3:$H$10000,8,FALSE),"0")</f>
        <v>0</v>
      </c>
      <c r="N12431" s="8"/>
      <c r="O12431" s="33" t="str">
        <f>IFERROR(VLOOKUP($M12431,'Informations sur les produits'!$A$3:$H$10000,8,FALSE),"0")</f>
        <v>0</v>
      </c>
      <c r="P12431" s="33">
        <f t="shared" si="776"/>
        <v>0</v>
      </c>
      <c r="Q12431" s="31" t="str">
        <f t="shared" si="777"/>
        <v/>
      </c>
      <c r="R12431" s="32" t="str">
        <f>IFERROR(VLOOKUP($D12431,'Informations sur les produits'!$A$3:$B$15000,2,FALSE),"")</f>
        <v/>
      </c>
      <c r="V12431">
        <f t="shared" si="778"/>
        <v>0</v>
      </c>
      <c r="W12431">
        <f t="shared" si="779"/>
        <v>0</v>
      </c>
    </row>
    <row r="12432" spans="5:23" x14ac:dyDescent="0.25">
      <c r="E12432" s="4"/>
      <c r="F12432" s="4"/>
      <c r="G12432" s="33" t="str">
        <f>IFERROR(VLOOKUP($D12432,'Informations sur les produits'!$A$3:$H$10000,8,FALSE),"0")</f>
        <v>0</v>
      </c>
      <c r="K12432" s="4"/>
      <c r="L12432" s="33" t="str">
        <f>IFERROR(VLOOKUP($J12432,'Informations sur les produits'!$A$3:$H$10000,8,FALSE),"0")</f>
        <v>0</v>
      </c>
      <c r="N12432" s="8"/>
      <c r="O12432" s="33" t="str">
        <f>IFERROR(VLOOKUP($M12432,'Informations sur les produits'!$A$3:$H$10000,8,FALSE),"0")</f>
        <v>0</v>
      </c>
      <c r="P12432" s="33">
        <f t="shared" si="776"/>
        <v>0</v>
      </c>
      <c r="Q12432" s="31" t="str">
        <f t="shared" si="777"/>
        <v/>
      </c>
      <c r="R12432" s="32" t="str">
        <f>IFERROR(VLOOKUP($D12432,'Informations sur les produits'!$A$3:$B$15000,2,FALSE),"")</f>
        <v/>
      </c>
      <c r="V12432">
        <f t="shared" si="778"/>
        <v>0</v>
      </c>
      <c r="W12432">
        <f t="shared" si="779"/>
        <v>0</v>
      </c>
    </row>
    <row r="12433" spans="5:23" x14ac:dyDescent="0.25">
      <c r="E12433" s="4"/>
      <c r="F12433" s="4"/>
      <c r="G12433" s="33" t="str">
        <f>IFERROR(VLOOKUP($D12433,'Informations sur les produits'!$A$3:$H$10000,8,FALSE),"0")</f>
        <v>0</v>
      </c>
      <c r="K12433" s="4"/>
      <c r="L12433" s="33" t="str">
        <f>IFERROR(VLOOKUP($J12433,'Informations sur les produits'!$A$3:$H$10000,8,FALSE),"0")</f>
        <v>0</v>
      </c>
      <c r="N12433" s="8"/>
      <c r="O12433" s="33" t="str">
        <f>IFERROR(VLOOKUP($M12433,'Informations sur les produits'!$A$3:$H$10000,8,FALSE),"0")</f>
        <v>0</v>
      </c>
      <c r="P12433" s="33">
        <f t="shared" si="776"/>
        <v>0</v>
      </c>
      <c r="Q12433" s="31" t="str">
        <f t="shared" si="777"/>
        <v/>
      </c>
      <c r="R12433" s="32" t="str">
        <f>IFERROR(VLOOKUP($D12433,'Informations sur les produits'!$A$3:$B$15000,2,FALSE),"")</f>
        <v/>
      </c>
      <c r="V12433">
        <f t="shared" si="778"/>
        <v>0</v>
      </c>
      <c r="W12433">
        <f t="shared" si="779"/>
        <v>0</v>
      </c>
    </row>
    <row r="12434" spans="5:23" x14ac:dyDescent="0.25">
      <c r="E12434" s="4"/>
      <c r="F12434" s="4"/>
      <c r="G12434" s="33" t="str">
        <f>IFERROR(VLOOKUP($D12434,'Informations sur les produits'!$A$3:$H$10000,8,FALSE),"0")</f>
        <v>0</v>
      </c>
      <c r="K12434" s="4"/>
      <c r="L12434" s="33" t="str">
        <f>IFERROR(VLOOKUP($J12434,'Informations sur les produits'!$A$3:$H$10000,8,FALSE),"0")</f>
        <v>0</v>
      </c>
      <c r="N12434" s="8"/>
      <c r="O12434" s="33" t="str">
        <f>IFERROR(VLOOKUP($M12434,'Informations sur les produits'!$A$3:$H$10000,8,FALSE),"0")</f>
        <v>0</v>
      </c>
      <c r="P12434" s="33">
        <f t="shared" si="776"/>
        <v>0</v>
      </c>
      <c r="Q12434" s="31" t="str">
        <f t="shared" si="777"/>
        <v/>
      </c>
      <c r="R12434" s="32" t="str">
        <f>IFERROR(VLOOKUP($D12434,'Informations sur les produits'!$A$3:$B$15000,2,FALSE),"")</f>
        <v/>
      </c>
      <c r="V12434">
        <f t="shared" si="778"/>
        <v>0</v>
      </c>
      <c r="W12434">
        <f t="shared" si="779"/>
        <v>0</v>
      </c>
    </row>
    <row r="12435" spans="5:23" x14ac:dyDescent="0.25">
      <c r="E12435" s="4"/>
      <c r="F12435" s="4"/>
      <c r="G12435" s="33" t="str">
        <f>IFERROR(VLOOKUP($D12435,'Informations sur les produits'!$A$3:$H$10000,8,FALSE),"0")</f>
        <v>0</v>
      </c>
      <c r="K12435" s="4"/>
      <c r="L12435" s="33" t="str">
        <f>IFERROR(VLOOKUP($J12435,'Informations sur les produits'!$A$3:$H$10000,8,FALSE),"0")</f>
        <v>0</v>
      </c>
      <c r="N12435" s="8"/>
      <c r="O12435" s="33" t="str">
        <f>IFERROR(VLOOKUP($M12435,'Informations sur les produits'!$A$3:$H$10000,8,FALSE),"0")</f>
        <v>0</v>
      </c>
      <c r="P12435" s="33">
        <f t="shared" si="776"/>
        <v>0</v>
      </c>
      <c r="Q12435" s="31" t="str">
        <f t="shared" si="777"/>
        <v/>
      </c>
      <c r="R12435" s="32" t="str">
        <f>IFERROR(VLOOKUP($D12435,'Informations sur les produits'!$A$3:$B$15000,2,FALSE),"")</f>
        <v/>
      </c>
      <c r="V12435">
        <f t="shared" si="778"/>
        <v>0</v>
      </c>
      <c r="W12435">
        <f t="shared" si="779"/>
        <v>0</v>
      </c>
    </row>
    <row r="12436" spans="5:23" x14ac:dyDescent="0.25">
      <c r="E12436" s="4"/>
      <c r="F12436" s="4"/>
      <c r="G12436" s="33" t="str">
        <f>IFERROR(VLOOKUP($D12436,'Informations sur les produits'!$A$3:$H$10000,8,FALSE),"0")</f>
        <v>0</v>
      </c>
      <c r="K12436" s="4"/>
      <c r="L12436" s="33" t="str">
        <f>IFERROR(VLOOKUP($J12436,'Informations sur les produits'!$A$3:$H$10000,8,FALSE),"0")</f>
        <v>0</v>
      </c>
      <c r="N12436" s="8"/>
      <c r="O12436" s="33" t="str">
        <f>IFERROR(VLOOKUP($M12436,'Informations sur les produits'!$A$3:$H$10000,8,FALSE),"0")</f>
        <v>0</v>
      </c>
      <c r="P12436" s="33">
        <f t="shared" si="776"/>
        <v>0</v>
      </c>
      <c r="Q12436" s="31" t="str">
        <f t="shared" si="777"/>
        <v/>
      </c>
      <c r="R12436" s="32" t="str">
        <f>IFERROR(VLOOKUP($D12436,'Informations sur les produits'!$A$3:$B$15000,2,FALSE),"")</f>
        <v/>
      </c>
      <c r="V12436">
        <f t="shared" si="778"/>
        <v>0</v>
      </c>
      <c r="W12436">
        <f t="shared" si="779"/>
        <v>0</v>
      </c>
    </row>
    <row r="12437" spans="5:23" x14ac:dyDescent="0.25">
      <c r="E12437" s="4"/>
      <c r="F12437" s="4"/>
      <c r="G12437" s="33" t="str">
        <f>IFERROR(VLOOKUP($D12437,'Informations sur les produits'!$A$3:$H$10000,8,FALSE),"0")</f>
        <v>0</v>
      </c>
      <c r="K12437" s="4"/>
      <c r="L12437" s="33" t="str">
        <f>IFERROR(VLOOKUP($J12437,'Informations sur les produits'!$A$3:$H$10000,8,FALSE),"0")</f>
        <v>0</v>
      </c>
      <c r="N12437" s="8"/>
      <c r="O12437" s="33" t="str">
        <f>IFERROR(VLOOKUP($M12437,'Informations sur les produits'!$A$3:$H$10000,8,FALSE),"0")</f>
        <v>0</v>
      </c>
      <c r="P12437" s="33">
        <f t="shared" si="776"/>
        <v>0</v>
      </c>
      <c r="Q12437" s="31" t="str">
        <f t="shared" si="777"/>
        <v/>
      </c>
      <c r="R12437" s="32" t="str">
        <f>IFERROR(VLOOKUP($D12437,'Informations sur les produits'!$A$3:$B$15000,2,FALSE),"")</f>
        <v/>
      </c>
      <c r="V12437">
        <f t="shared" si="778"/>
        <v>0</v>
      </c>
      <c r="W12437">
        <f t="shared" si="779"/>
        <v>0</v>
      </c>
    </row>
    <row r="12438" spans="5:23" x14ac:dyDescent="0.25">
      <c r="E12438" s="4"/>
      <c r="F12438" s="4"/>
      <c r="G12438" s="33" t="str">
        <f>IFERROR(VLOOKUP($D12438,'Informations sur les produits'!$A$3:$H$10000,8,FALSE),"0")</f>
        <v>0</v>
      </c>
      <c r="K12438" s="4"/>
      <c r="L12438" s="33" t="str">
        <f>IFERROR(VLOOKUP($J12438,'Informations sur les produits'!$A$3:$H$10000,8,FALSE),"0")</f>
        <v>0</v>
      </c>
      <c r="N12438" s="8"/>
      <c r="O12438" s="33" t="str">
        <f>IFERROR(VLOOKUP($M12438,'Informations sur les produits'!$A$3:$H$10000,8,FALSE),"0")</f>
        <v>0</v>
      </c>
      <c r="P12438" s="33">
        <f t="shared" si="776"/>
        <v>0</v>
      </c>
      <c r="Q12438" s="31" t="str">
        <f t="shared" si="777"/>
        <v/>
      </c>
      <c r="R12438" s="32" t="str">
        <f>IFERROR(VLOOKUP($D12438,'Informations sur les produits'!$A$3:$B$15000,2,FALSE),"")</f>
        <v/>
      </c>
      <c r="V12438">
        <f t="shared" si="778"/>
        <v>0</v>
      </c>
      <c r="W12438">
        <f t="shared" si="779"/>
        <v>0</v>
      </c>
    </row>
    <row r="12439" spans="5:23" x14ac:dyDescent="0.25">
      <c r="E12439" s="4"/>
      <c r="F12439" s="4"/>
      <c r="G12439" s="33" t="str">
        <f>IFERROR(VLOOKUP($D12439,'Informations sur les produits'!$A$3:$H$10000,8,FALSE),"0")</f>
        <v>0</v>
      </c>
      <c r="K12439" s="4"/>
      <c r="L12439" s="33" t="str">
        <f>IFERROR(VLOOKUP($J12439,'Informations sur les produits'!$A$3:$H$10000,8,FALSE),"0")</f>
        <v>0</v>
      </c>
      <c r="N12439" s="8"/>
      <c r="O12439" s="33" t="str">
        <f>IFERROR(VLOOKUP($M12439,'Informations sur les produits'!$A$3:$H$10000,8,FALSE),"0")</f>
        <v>0</v>
      </c>
      <c r="P12439" s="33">
        <f t="shared" si="776"/>
        <v>0</v>
      </c>
      <c r="Q12439" s="31" t="str">
        <f t="shared" si="777"/>
        <v/>
      </c>
      <c r="R12439" s="32" t="str">
        <f>IFERROR(VLOOKUP($D12439,'Informations sur les produits'!$A$3:$B$15000,2,FALSE),"")</f>
        <v/>
      </c>
      <c r="V12439">
        <f t="shared" si="778"/>
        <v>0</v>
      </c>
      <c r="W12439">
        <f t="shared" si="779"/>
        <v>0</v>
      </c>
    </row>
    <row r="12440" spans="5:23" x14ac:dyDescent="0.25">
      <c r="E12440" s="4"/>
      <c r="F12440" s="4"/>
      <c r="G12440" s="33" t="str">
        <f>IFERROR(VLOOKUP($D12440,'Informations sur les produits'!$A$3:$H$10000,8,FALSE),"0")</f>
        <v>0</v>
      </c>
      <c r="K12440" s="4"/>
      <c r="L12440" s="33" t="str">
        <f>IFERROR(VLOOKUP($J12440,'Informations sur les produits'!$A$3:$H$10000,8,FALSE),"0")</f>
        <v>0</v>
      </c>
      <c r="N12440" s="8"/>
      <c r="O12440" s="33" t="str">
        <f>IFERROR(VLOOKUP($M12440,'Informations sur les produits'!$A$3:$H$10000,8,FALSE),"0")</f>
        <v>0</v>
      </c>
      <c r="P12440" s="33">
        <f t="shared" si="776"/>
        <v>0</v>
      </c>
      <c r="Q12440" s="31" t="str">
        <f t="shared" si="777"/>
        <v/>
      </c>
      <c r="R12440" s="32" t="str">
        <f>IFERROR(VLOOKUP($D12440,'Informations sur les produits'!$A$3:$B$15000,2,FALSE),"")</f>
        <v/>
      </c>
      <c r="V12440">
        <f t="shared" si="778"/>
        <v>0</v>
      </c>
      <c r="W12440">
        <f t="shared" si="779"/>
        <v>0</v>
      </c>
    </row>
    <row r="12441" spans="5:23" x14ac:dyDescent="0.25">
      <c r="E12441" s="4"/>
      <c r="F12441" s="4"/>
      <c r="G12441" s="33" t="str">
        <f>IFERROR(VLOOKUP($D12441,'Informations sur les produits'!$A$3:$H$10000,8,FALSE),"0")</f>
        <v>0</v>
      </c>
      <c r="K12441" s="4"/>
      <c r="L12441" s="33" t="str">
        <f>IFERROR(VLOOKUP($J12441,'Informations sur les produits'!$A$3:$H$10000,8,FALSE),"0")</f>
        <v>0</v>
      </c>
      <c r="N12441" s="8"/>
      <c r="O12441" s="33" t="str">
        <f>IFERROR(VLOOKUP($M12441,'Informations sur les produits'!$A$3:$H$10000,8,FALSE),"0")</f>
        <v>0</v>
      </c>
      <c r="P12441" s="33">
        <f t="shared" si="776"/>
        <v>0</v>
      </c>
      <c r="Q12441" s="31" t="str">
        <f t="shared" si="777"/>
        <v/>
      </c>
      <c r="R12441" s="32" t="str">
        <f>IFERROR(VLOOKUP($D12441,'Informations sur les produits'!$A$3:$B$15000,2,FALSE),"")</f>
        <v/>
      </c>
      <c r="V12441">
        <f t="shared" si="778"/>
        <v>0</v>
      </c>
      <c r="W12441">
        <f t="shared" si="779"/>
        <v>0</v>
      </c>
    </row>
    <row r="12442" spans="5:23" x14ac:dyDescent="0.25">
      <c r="E12442" s="4"/>
      <c r="F12442" s="4"/>
      <c r="G12442" s="33" t="str">
        <f>IFERROR(VLOOKUP($D12442,'Informations sur les produits'!$A$3:$H$10000,8,FALSE),"0")</f>
        <v>0</v>
      </c>
      <c r="K12442" s="4"/>
      <c r="L12442" s="33" t="str">
        <f>IFERROR(VLOOKUP($J12442,'Informations sur les produits'!$A$3:$H$10000,8,FALSE),"0")</f>
        <v>0</v>
      </c>
      <c r="N12442" s="8"/>
      <c r="O12442" s="33" t="str">
        <f>IFERROR(VLOOKUP($M12442,'Informations sur les produits'!$A$3:$H$10000,8,FALSE),"0")</f>
        <v>0</v>
      </c>
      <c r="P12442" s="33">
        <f t="shared" si="776"/>
        <v>0</v>
      </c>
      <c r="Q12442" s="31" t="str">
        <f t="shared" si="777"/>
        <v/>
      </c>
      <c r="R12442" s="32" t="str">
        <f>IFERROR(VLOOKUP($D12442,'Informations sur les produits'!$A$3:$B$15000,2,FALSE),"")</f>
        <v/>
      </c>
      <c r="V12442">
        <f t="shared" si="778"/>
        <v>0</v>
      </c>
      <c r="W12442">
        <f t="shared" si="779"/>
        <v>0</v>
      </c>
    </row>
    <row r="12443" spans="5:23" x14ac:dyDescent="0.25">
      <c r="E12443" s="4"/>
      <c r="F12443" s="4"/>
      <c r="G12443" s="33" t="str">
        <f>IFERROR(VLOOKUP($D12443,'Informations sur les produits'!$A$3:$H$10000,8,FALSE),"0")</f>
        <v>0</v>
      </c>
      <c r="K12443" s="4"/>
      <c r="L12443" s="33" t="str">
        <f>IFERROR(VLOOKUP($J12443,'Informations sur les produits'!$A$3:$H$10000,8,FALSE),"0")</f>
        <v>0</v>
      </c>
      <c r="N12443" s="8"/>
      <c r="O12443" s="33" t="str">
        <f>IFERROR(VLOOKUP($M12443,'Informations sur les produits'!$A$3:$H$10000,8,FALSE),"0")</f>
        <v>0</v>
      </c>
      <c r="P12443" s="33">
        <f t="shared" si="776"/>
        <v>0</v>
      </c>
      <c r="Q12443" s="31" t="str">
        <f t="shared" si="777"/>
        <v/>
      </c>
      <c r="R12443" s="32" t="str">
        <f>IFERROR(VLOOKUP($D12443,'Informations sur les produits'!$A$3:$B$15000,2,FALSE),"")</f>
        <v/>
      </c>
      <c r="V12443">
        <f t="shared" si="778"/>
        <v>0</v>
      </c>
      <c r="W12443">
        <f t="shared" si="779"/>
        <v>0</v>
      </c>
    </row>
    <row r="12444" spans="5:23" x14ac:dyDescent="0.25">
      <c r="E12444" s="4"/>
      <c r="F12444" s="4"/>
      <c r="G12444" s="33" t="str">
        <f>IFERROR(VLOOKUP($D12444,'Informations sur les produits'!$A$3:$H$10000,8,FALSE),"0")</f>
        <v>0</v>
      </c>
      <c r="K12444" s="4"/>
      <c r="L12444" s="33" t="str">
        <f>IFERROR(VLOOKUP($J12444,'Informations sur les produits'!$A$3:$H$10000,8,FALSE),"0")</f>
        <v>0</v>
      </c>
      <c r="N12444" s="8"/>
      <c r="O12444" s="33" t="str">
        <f>IFERROR(VLOOKUP($M12444,'Informations sur les produits'!$A$3:$H$10000,8,FALSE),"0")</f>
        <v>0</v>
      </c>
      <c r="P12444" s="33">
        <f t="shared" si="776"/>
        <v>0</v>
      </c>
      <c r="Q12444" s="31" t="str">
        <f t="shared" si="777"/>
        <v/>
      </c>
      <c r="R12444" s="32" t="str">
        <f>IFERROR(VLOOKUP($D12444,'Informations sur les produits'!$A$3:$B$15000,2,FALSE),"")</f>
        <v/>
      </c>
      <c r="V12444">
        <f t="shared" si="778"/>
        <v>0</v>
      </c>
      <c r="W12444">
        <f t="shared" si="779"/>
        <v>0</v>
      </c>
    </row>
    <row r="12445" spans="5:23" x14ac:dyDescent="0.25">
      <c r="E12445" s="4"/>
      <c r="F12445" s="4"/>
      <c r="G12445" s="33" t="str">
        <f>IFERROR(VLOOKUP($D12445,'Informations sur les produits'!$A$3:$H$10000,8,FALSE),"0")</f>
        <v>0</v>
      </c>
      <c r="K12445" s="4"/>
      <c r="L12445" s="33" t="str">
        <f>IFERROR(VLOOKUP($J12445,'Informations sur les produits'!$A$3:$H$10000,8,FALSE),"0")</f>
        <v>0</v>
      </c>
      <c r="N12445" s="8"/>
      <c r="O12445" s="33" t="str">
        <f>IFERROR(VLOOKUP($M12445,'Informations sur les produits'!$A$3:$H$10000,8,FALSE),"0")</f>
        <v>0</v>
      </c>
      <c r="P12445" s="33">
        <f t="shared" si="776"/>
        <v>0</v>
      </c>
      <c r="Q12445" s="31" t="str">
        <f t="shared" si="777"/>
        <v/>
      </c>
      <c r="R12445" s="32" t="str">
        <f>IFERROR(VLOOKUP($D12445,'Informations sur les produits'!$A$3:$B$15000,2,FALSE),"")</f>
        <v/>
      </c>
      <c r="V12445">
        <f t="shared" si="778"/>
        <v>0</v>
      </c>
      <c r="W12445">
        <f t="shared" si="779"/>
        <v>0</v>
      </c>
    </row>
    <row r="12446" spans="5:23" x14ac:dyDescent="0.25">
      <c r="E12446" s="4"/>
      <c r="F12446" s="4"/>
      <c r="G12446" s="33" t="str">
        <f>IFERROR(VLOOKUP($D12446,'Informations sur les produits'!$A$3:$H$10000,8,FALSE),"0")</f>
        <v>0</v>
      </c>
      <c r="K12446" s="4"/>
      <c r="L12446" s="33" t="str">
        <f>IFERROR(VLOOKUP($J12446,'Informations sur les produits'!$A$3:$H$10000,8,FALSE),"0")</f>
        <v>0</v>
      </c>
      <c r="N12446" s="8"/>
      <c r="O12446" s="33" t="str">
        <f>IFERROR(VLOOKUP($M12446,'Informations sur les produits'!$A$3:$H$10000,8,FALSE),"0")</f>
        <v>0</v>
      </c>
      <c r="P12446" s="33">
        <f t="shared" si="776"/>
        <v>0</v>
      </c>
      <c r="Q12446" s="31" t="str">
        <f t="shared" si="777"/>
        <v/>
      </c>
      <c r="R12446" s="32" t="str">
        <f>IFERROR(VLOOKUP($D12446,'Informations sur les produits'!$A$3:$B$15000,2,FALSE),"")</f>
        <v/>
      </c>
      <c r="V12446">
        <f t="shared" si="778"/>
        <v>0</v>
      </c>
      <c r="W12446">
        <f t="shared" si="779"/>
        <v>0</v>
      </c>
    </row>
    <row r="12447" spans="5:23" x14ac:dyDescent="0.25">
      <c r="E12447" s="4"/>
      <c r="F12447" s="4"/>
      <c r="G12447" s="33" t="str">
        <f>IFERROR(VLOOKUP($D12447,'Informations sur les produits'!$A$3:$H$10000,8,FALSE),"0")</f>
        <v>0</v>
      </c>
      <c r="K12447" s="4"/>
      <c r="L12447" s="33" t="str">
        <f>IFERROR(VLOOKUP($J12447,'Informations sur les produits'!$A$3:$H$10000,8,FALSE),"0")</f>
        <v>0</v>
      </c>
      <c r="N12447" s="8"/>
      <c r="O12447" s="33" t="str">
        <f>IFERROR(VLOOKUP($M12447,'Informations sur les produits'!$A$3:$H$10000,8,FALSE),"0")</f>
        <v>0</v>
      </c>
      <c r="P12447" s="33">
        <f t="shared" si="776"/>
        <v>0</v>
      </c>
      <c r="Q12447" s="31" t="str">
        <f t="shared" si="777"/>
        <v/>
      </c>
      <c r="R12447" s="32" t="str">
        <f>IFERROR(VLOOKUP($D12447,'Informations sur les produits'!$A$3:$B$15000,2,FALSE),"")</f>
        <v/>
      </c>
      <c r="V12447">
        <f t="shared" si="778"/>
        <v>0</v>
      </c>
      <c r="W12447">
        <f t="shared" si="779"/>
        <v>0</v>
      </c>
    </row>
    <row r="12448" spans="5:23" x14ac:dyDescent="0.25">
      <c r="E12448" s="4"/>
      <c r="F12448" s="4"/>
      <c r="G12448" s="33" t="str">
        <f>IFERROR(VLOOKUP($D12448,'Informations sur les produits'!$A$3:$H$10000,8,FALSE),"0")</f>
        <v>0</v>
      </c>
      <c r="K12448" s="4"/>
      <c r="L12448" s="33" t="str">
        <f>IFERROR(VLOOKUP($J12448,'Informations sur les produits'!$A$3:$H$10000,8,FALSE),"0")</f>
        <v>0</v>
      </c>
      <c r="N12448" s="8"/>
      <c r="O12448" s="33" t="str">
        <f>IFERROR(VLOOKUP($M12448,'Informations sur les produits'!$A$3:$H$10000,8,FALSE),"0")</f>
        <v>0</v>
      </c>
      <c r="P12448" s="33">
        <f t="shared" si="776"/>
        <v>0</v>
      </c>
      <c r="Q12448" s="31" t="str">
        <f t="shared" si="777"/>
        <v/>
      </c>
      <c r="R12448" s="32" t="str">
        <f>IFERROR(VLOOKUP($D12448,'Informations sur les produits'!$A$3:$B$15000,2,FALSE),"")</f>
        <v/>
      </c>
      <c r="V12448">
        <f t="shared" si="778"/>
        <v>0</v>
      </c>
      <c r="W12448">
        <f t="shared" si="779"/>
        <v>0</v>
      </c>
    </row>
    <row r="12449" spans="5:23" x14ac:dyDescent="0.25">
      <c r="E12449" s="4"/>
      <c r="F12449" s="4"/>
      <c r="G12449" s="33" t="str">
        <f>IFERROR(VLOOKUP($D12449,'Informations sur les produits'!$A$3:$H$10000,8,FALSE),"0")</f>
        <v>0</v>
      </c>
      <c r="K12449" s="4"/>
      <c r="L12449" s="33" t="str">
        <f>IFERROR(VLOOKUP($J12449,'Informations sur les produits'!$A$3:$H$10000,8,FALSE),"0")</f>
        <v>0</v>
      </c>
      <c r="N12449" s="8"/>
      <c r="O12449" s="33" t="str">
        <f>IFERROR(VLOOKUP($M12449,'Informations sur les produits'!$A$3:$H$10000,8,FALSE),"0")</f>
        <v>0</v>
      </c>
      <c r="P12449" s="33">
        <f t="shared" si="776"/>
        <v>0</v>
      </c>
      <c r="Q12449" s="31" t="str">
        <f t="shared" si="777"/>
        <v/>
      </c>
      <c r="R12449" s="32" t="str">
        <f>IFERROR(VLOOKUP($D12449,'Informations sur les produits'!$A$3:$B$15000,2,FALSE),"")</f>
        <v/>
      </c>
      <c r="V12449">
        <f t="shared" si="778"/>
        <v>0</v>
      </c>
      <c r="W12449">
        <f t="shared" si="779"/>
        <v>0</v>
      </c>
    </row>
    <row r="12450" spans="5:23" x14ac:dyDescent="0.25">
      <c r="E12450" s="4"/>
      <c r="F12450" s="4"/>
      <c r="G12450" s="33" t="str">
        <f>IFERROR(VLOOKUP($D12450,'Informations sur les produits'!$A$3:$H$10000,8,FALSE),"0")</f>
        <v>0</v>
      </c>
      <c r="K12450" s="4"/>
      <c r="L12450" s="33" t="str">
        <f>IFERROR(VLOOKUP($J12450,'Informations sur les produits'!$A$3:$H$10000,8,FALSE),"0")</f>
        <v>0</v>
      </c>
      <c r="N12450" s="8"/>
      <c r="O12450" s="33" t="str">
        <f>IFERROR(VLOOKUP($M12450,'Informations sur les produits'!$A$3:$H$10000,8,FALSE),"0")</f>
        <v>0</v>
      </c>
      <c r="P12450" s="33">
        <f t="shared" si="776"/>
        <v>0</v>
      </c>
      <c r="Q12450" s="31" t="str">
        <f t="shared" si="777"/>
        <v/>
      </c>
      <c r="R12450" s="32" t="str">
        <f>IFERROR(VLOOKUP($D12450,'Informations sur les produits'!$A$3:$B$15000,2,FALSE),"")</f>
        <v/>
      </c>
      <c r="V12450">
        <f t="shared" si="778"/>
        <v>0</v>
      </c>
      <c r="W12450">
        <f t="shared" si="779"/>
        <v>0</v>
      </c>
    </row>
    <row r="12451" spans="5:23" x14ac:dyDescent="0.25">
      <c r="E12451" s="4"/>
      <c r="F12451" s="4"/>
      <c r="G12451" s="33" t="str">
        <f>IFERROR(VLOOKUP($D12451,'Informations sur les produits'!$A$3:$H$10000,8,FALSE),"0")</f>
        <v>0</v>
      </c>
      <c r="K12451" s="4"/>
      <c r="L12451" s="33" t="str">
        <f>IFERROR(VLOOKUP($J12451,'Informations sur les produits'!$A$3:$H$10000,8,FALSE),"0")</f>
        <v>0</v>
      </c>
      <c r="N12451" s="8"/>
      <c r="O12451" s="33" t="str">
        <f>IFERROR(VLOOKUP($M12451,'Informations sur les produits'!$A$3:$H$10000,8,FALSE),"0")</f>
        <v>0</v>
      </c>
      <c r="P12451" s="33">
        <f t="shared" si="776"/>
        <v>0</v>
      </c>
      <c r="Q12451" s="31" t="str">
        <f t="shared" si="777"/>
        <v/>
      </c>
      <c r="R12451" s="32" t="str">
        <f>IFERROR(VLOOKUP($D12451,'Informations sur les produits'!$A$3:$B$15000,2,FALSE),"")</f>
        <v/>
      </c>
      <c r="V12451">
        <f t="shared" si="778"/>
        <v>0</v>
      </c>
      <c r="W12451">
        <f t="shared" si="779"/>
        <v>0</v>
      </c>
    </row>
    <row r="12452" spans="5:23" x14ac:dyDescent="0.25">
      <c r="E12452" s="4"/>
      <c r="F12452" s="4"/>
      <c r="G12452" s="33" t="str">
        <f>IFERROR(VLOOKUP($D12452,'Informations sur les produits'!$A$3:$H$10000,8,FALSE),"0")</f>
        <v>0</v>
      </c>
      <c r="K12452" s="4"/>
      <c r="L12452" s="33" t="str">
        <f>IFERROR(VLOOKUP($J12452,'Informations sur les produits'!$A$3:$H$10000,8,FALSE),"0")</f>
        <v>0</v>
      </c>
      <c r="N12452" s="8"/>
      <c r="O12452" s="33" t="str">
        <f>IFERROR(VLOOKUP($M12452,'Informations sur les produits'!$A$3:$H$10000,8,FALSE),"0")</f>
        <v>0</v>
      </c>
      <c r="P12452" s="33">
        <f t="shared" si="776"/>
        <v>0</v>
      </c>
      <c r="Q12452" s="31" t="str">
        <f t="shared" si="777"/>
        <v/>
      </c>
      <c r="R12452" s="32" t="str">
        <f>IFERROR(VLOOKUP($D12452,'Informations sur les produits'!$A$3:$B$15000,2,FALSE),"")</f>
        <v/>
      </c>
      <c r="V12452">
        <f t="shared" si="778"/>
        <v>0</v>
      </c>
      <c r="W12452">
        <f t="shared" si="779"/>
        <v>0</v>
      </c>
    </row>
    <row r="12453" spans="5:23" x14ac:dyDescent="0.25">
      <c r="E12453" s="4"/>
      <c r="F12453" s="4"/>
      <c r="G12453" s="33" t="str">
        <f>IFERROR(VLOOKUP($D12453,'Informations sur les produits'!$A$3:$H$10000,8,FALSE),"0")</f>
        <v>0</v>
      </c>
      <c r="K12453" s="4"/>
      <c r="L12453" s="33" t="str">
        <f>IFERROR(VLOOKUP($J12453,'Informations sur les produits'!$A$3:$H$10000,8,FALSE),"0")</f>
        <v>0</v>
      </c>
      <c r="N12453" s="8"/>
      <c r="O12453" s="33" t="str">
        <f>IFERROR(VLOOKUP($M12453,'Informations sur les produits'!$A$3:$H$10000,8,FALSE),"0")</f>
        <v>0</v>
      </c>
      <c r="P12453" s="33">
        <f t="shared" si="776"/>
        <v>0</v>
      </c>
      <c r="Q12453" s="31" t="str">
        <f t="shared" si="777"/>
        <v/>
      </c>
      <c r="R12453" s="32" t="str">
        <f>IFERROR(VLOOKUP($D12453,'Informations sur les produits'!$A$3:$B$15000,2,FALSE),"")</f>
        <v/>
      </c>
      <c r="V12453">
        <f t="shared" si="778"/>
        <v>0</v>
      </c>
      <c r="W12453">
        <f t="shared" si="779"/>
        <v>0</v>
      </c>
    </row>
    <row r="12454" spans="5:23" x14ac:dyDescent="0.25">
      <c r="E12454" s="4"/>
      <c r="F12454" s="4"/>
      <c r="G12454" s="33" t="str">
        <f>IFERROR(VLOOKUP($D12454,'Informations sur les produits'!$A$3:$H$10000,8,FALSE),"0")</f>
        <v>0</v>
      </c>
      <c r="K12454" s="4"/>
      <c r="L12454" s="33" t="str">
        <f>IFERROR(VLOOKUP($J12454,'Informations sur les produits'!$A$3:$H$10000,8,FALSE),"0")</f>
        <v>0</v>
      </c>
      <c r="N12454" s="8"/>
      <c r="O12454" s="33" t="str">
        <f>IFERROR(VLOOKUP($M12454,'Informations sur les produits'!$A$3:$H$10000,8,FALSE),"0")</f>
        <v>0</v>
      </c>
      <c r="P12454" s="33">
        <f t="shared" si="776"/>
        <v>0</v>
      </c>
      <c r="Q12454" s="31" t="str">
        <f t="shared" si="777"/>
        <v/>
      </c>
      <c r="R12454" s="32" t="str">
        <f>IFERROR(VLOOKUP($D12454,'Informations sur les produits'!$A$3:$B$15000,2,FALSE),"")</f>
        <v/>
      </c>
      <c r="V12454">
        <f t="shared" si="778"/>
        <v>0</v>
      </c>
      <c r="W12454">
        <f t="shared" si="779"/>
        <v>0</v>
      </c>
    </row>
    <row r="12455" spans="5:23" x14ac:dyDescent="0.25">
      <c r="E12455" s="4"/>
      <c r="F12455" s="4"/>
      <c r="G12455" s="33" t="str">
        <f>IFERROR(VLOOKUP($D12455,'Informations sur les produits'!$A$3:$H$10000,8,FALSE),"0")</f>
        <v>0</v>
      </c>
      <c r="K12455" s="4"/>
      <c r="L12455" s="33" t="str">
        <f>IFERROR(VLOOKUP($J12455,'Informations sur les produits'!$A$3:$H$10000,8,FALSE),"0")</f>
        <v>0</v>
      </c>
      <c r="N12455" s="8"/>
      <c r="O12455" s="33" t="str">
        <f>IFERROR(VLOOKUP($M12455,'Informations sur les produits'!$A$3:$H$10000,8,FALSE),"0")</f>
        <v>0</v>
      </c>
      <c r="P12455" s="33">
        <f t="shared" si="776"/>
        <v>0</v>
      </c>
      <c r="Q12455" s="31" t="str">
        <f t="shared" si="777"/>
        <v/>
      </c>
      <c r="R12455" s="32" t="str">
        <f>IFERROR(VLOOKUP($D12455,'Informations sur les produits'!$A$3:$B$15000,2,FALSE),"")</f>
        <v/>
      </c>
      <c r="V12455">
        <f t="shared" si="778"/>
        <v>0</v>
      </c>
      <c r="W12455">
        <f t="shared" si="779"/>
        <v>0</v>
      </c>
    </row>
    <row r="12456" spans="5:23" x14ac:dyDescent="0.25">
      <c r="E12456" s="4"/>
      <c r="F12456" s="4"/>
      <c r="G12456" s="33" t="str">
        <f>IFERROR(VLOOKUP($D12456,'Informations sur les produits'!$A$3:$H$10000,8,FALSE),"0")</f>
        <v>0</v>
      </c>
      <c r="K12456" s="4"/>
      <c r="L12456" s="33" t="str">
        <f>IFERROR(VLOOKUP($J12456,'Informations sur les produits'!$A$3:$H$10000,8,FALSE),"0")</f>
        <v>0</v>
      </c>
      <c r="N12456" s="8"/>
      <c r="O12456" s="33" t="str">
        <f>IFERROR(VLOOKUP($M12456,'Informations sur les produits'!$A$3:$H$10000,8,FALSE),"0")</f>
        <v>0</v>
      </c>
      <c r="P12456" s="33">
        <f t="shared" si="776"/>
        <v>0</v>
      </c>
      <c r="Q12456" s="31" t="str">
        <f t="shared" si="777"/>
        <v/>
      </c>
      <c r="R12456" s="32" t="str">
        <f>IFERROR(VLOOKUP($D12456,'Informations sur les produits'!$A$3:$B$15000,2,FALSE),"")</f>
        <v/>
      </c>
      <c r="V12456">
        <f t="shared" si="778"/>
        <v>0</v>
      </c>
      <c r="W12456">
        <f t="shared" si="779"/>
        <v>0</v>
      </c>
    </row>
    <row r="12457" spans="5:23" x14ac:dyDescent="0.25">
      <c r="E12457" s="4"/>
      <c r="F12457" s="4"/>
      <c r="G12457" s="33" t="str">
        <f>IFERROR(VLOOKUP($D12457,'Informations sur les produits'!$A$3:$H$10000,8,FALSE),"0")</f>
        <v>0</v>
      </c>
      <c r="K12457" s="4"/>
      <c r="L12457" s="33" t="str">
        <f>IFERROR(VLOOKUP($J12457,'Informations sur les produits'!$A$3:$H$10000,8,FALSE),"0")</f>
        <v>0</v>
      </c>
      <c r="N12457" s="8"/>
      <c r="O12457" s="33" t="str">
        <f>IFERROR(VLOOKUP($M12457,'Informations sur les produits'!$A$3:$H$10000,8,FALSE),"0")</f>
        <v>0</v>
      </c>
      <c r="P12457" s="33">
        <f t="shared" si="776"/>
        <v>0</v>
      </c>
      <c r="Q12457" s="31" t="str">
        <f t="shared" si="777"/>
        <v/>
      </c>
      <c r="R12457" s="32" t="str">
        <f>IFERROR(VLOOKUP($D12457,'Informations sur les produits'!$A$3:$B$15000,2,FALSE),"")</f>
        <v/>
      </c>
      <c r="V12457">
        <f t="shared" si="778"/>
        <v>0</v>
      </c>
      <c r="W12457">
        <f t="shared" si="779"/>
        <v>0</v>
      </c>
    </row>
    <row r="12458" spans="5:23" x14ac:dyDescent="0.25">
      <c r="E12458" s="4"/>
      <c r="F12458" s="4"/>
      <c r="G12458" s="33" t="str">
        <f>IFERROR(VLOOKUP($D12458,'Informations sur les produits'!$A$3:$H$10000,8,FALSE),"0")</f>
        <v>0</v>
      </c>
      <c r="K12458" s="4"/>
      <c r="L12458" s="33" t="str">
        <f>IFERROR(VLOOKUP($J12458,'Informations sur les produits'!$A$3:$H$10000,8,FALSE),"0")</f>
        <v>0</v>
      </c>
      <c r="N12458" s="8"/>
      <c r="O12458" s="33" t="str">
        <f>IFERROR(VLOOKUP($M12458,'Informations sur les produits'!$A$3:$H$10000,8,FALSE),"0")</f>
        <v>0</v>
      </c>
      <c r="P12458" s="33">
        <f t="shared" si="776"/>
        <v>0</v>
      </c>
      <c r="Q12458" s="31" t="str">
        <f t="shared" si="777"/>
        <v/>
      </c>
      <c r="R12458" s="32" t="str">
        <f>IFERROR(VLOOKUP($D12458,'Informations sur les produits'!$A$3:$B$15000,2,FALSE),"")</f>
        <v/>
      </c>
      <c r="V12458">
        <f t="shared" si="778"/>
        <v>0</v>
      </c>
      <c r="W12458">
        <f t="shared" si="779"/>
        <v>0</v>
      </c>
    </row>
    <row r="12459" spans="5:23" x14ac:dyDescent="0.25">
      <c r="E12459" s="4"/>
      <c r="F12459" s="4"/>
      <c r="G12459" s="33" t="str">
        <f>IFERROR(VLOOKUP($D12459,'Informations sur les produits'!$A$3:$H$10000,8,FALSE),"0")</f>
        <v>0</v>
      </c>
      <c r="K12459" s="4"/>
      <c r="L12459" s="33" t="str">
        <f>IFERROR(VLOOKUP($J12459,'Informations sur les produits'!$A$3:$H$10000,8,FALSE),"0")</f>
        <v>0</v>
      </c>
      <c r="N12459" s="8"/>
      <c r="O12459" s="33" t="str">
        <f>IFERROR(VLOOKUP($M12459,'Informations sur les produits'!$A$3:$H$10000,8,FALSE),"0")</f>
        <v>0</v>
      </c>
      <c r="P12459" s="33">
        <f t="shared" si="776"/>
        <v>0</v>
      </c>
      <c r="Q12459" s="31" t="str">
        <f t="shared" si="777"/>
        <v/>
      </c>
      <c r="R12459" s="32" t="str">
        <f>IFERROR(VLOOKUP($D12459,'Informations sur les produits'!$A$3:$B$15000,2,FALSE),"")</f>
        <v/>
      </c>
      <c r="V12459">
        <f t="shared" si="778"/>
        <v>0</v>
      </c>
      <c r="W12459">
        <f t="shared" si="779"/>
        <v>0</v>
      </c>
    </row>
    <row r="12460" spans="5:23" x14ac:dyDescent="0.25">
      <c r="E12460" s="4"/>
      <c r="F12460" s="4"/>
      <c r="G12460" s="33" t="str">
        <f>IFERROR(VLOOKUP($D12460,'Informations sur les produits'!$A$3:$H$10000,8,FALSE),"0")</f>
        <v>0</v>
      </c>
      <c r="K12460" s="4"/>
      <c r="L12460" s="33" t="str">
        <f>IFERROR(VLOOKUP($J12460,'Informations sur les produits'!$A$3:$H$10000,8,FALSE),"0")</f>
        <v>0</v>
      </c>
      <c r="N12460" s="8"/>
      <c r="O12460" s="33" t="str">
        <f>IFERROR(VLOOKUP($M12460,'Informations sur les produits'!$A$3:$H$10000,8,FALSE),"0")</f>
        <v>0</v>
      </c>
      <c r="P12460" s="33">
        <f t="shared" si="776"/>
        <v>0</v>
      </c>
      <c r="Q12460" s="31" t="str">
        <f t="shared" si="777"/>
        <v/>
      </c>
      <c r="R12460" s="32" t="str">
        <f>IFERROR(VLOOKUP($D12460,'Informations sur les produits'!$A$3:$B$15000,2,FALSE),"")</f>
        <v/>
      </c>
      <c r="V12460">
        <f t="shared" si="778"/>
        <v>0</v>
      </c>
      <c r="W12460">
        <f t="shared" si="779"/>
        <v>0</v>
      </c>
    </row>
    <row r="12461" spans="5:23" x14ac:dyDescent="0.25">
      <c r="E12461" s="4"/>
      <c r="F12461" s="4"/>
      <c r="G12461" s="33" t="str">
        <f>IFERROR(VLOOKUP($D12461,'Informations sur les produits'!$A$3:$H$10000,8,FALSE),"0")</f>
        <v>0</v>
      </c>
      <c r="K12461" s="4"/>
      <c r="L12461" s="33" t="str">
        <f>IFERROR(VLOOKUP($J12461,'Informations sur les produits'!$A$3:$H$10000,8,FALSE),"0")</f>
        <v>0</v>
      </c>
      <c r="N12461" s="8"/>
      <c r="O12461" s="33" t="str">
        <f>IFERROR(VLOOKUP($M12461,'Informations sur les produits'!$A$3:$H$10000,8,FALSE),"0")</f>
        <v>0</v>
      </c>
      <c r="P12461" s="33">
        <f t="shared" si="776"/>
        <v>0</v>
      </c>
      <c r="Q12461" s="31" t="str">
        <f t="shared" si="777"/>
        <v/>
      </c>
      <c r="R12461" s="32" t="str">
        <f>IFERROR(VLOOKUP($D12461,'Informations sur les produits'!$A$3:$B$15000,2,FALSE),"")</f>
        <v/>
      </c>
      <c r="V12461">
        <f t="shared" si="778"/>
        <v>0</v>
      </c>
      <c r="W12461">
        <f t="shared" si="779"/>
        <v>0</v>
      </c>
    </row>
    <row r="12462" spans="5:23" x14ac:dyDescent="0.25">
      <c r="E12462" s="4"/>
      <c r="F12462" s="4"/>
      <c r="G12462" s="33" t="str">
        <f>IFERROR(VLOOKUP($D12462,'Informations sur les produits'!$A$3:$H$10000,8,FALSE),"0")</f>
        <v>0</v>
      </c>
      <c r="K12462" s="4"/>
      <c r="L12462" s="33" t="str">
        <f>IFERROR(VLOOKUP($J12462,'Informations sur les produits'!$A$3:$H$10000,8,FALSE),"0")</f>
        <v>0</v>
      </c>
      <c r="N12462" s="8"/>
      <c r="O12462" s="33" t="str">
        <f>IFERROR(VLOOKUP($M12462,'Informations sur les produits'!$A$3:$H$10000,8,FALSE),"0")</f>
        <v>0</v>
      </c>
      <c r="P12462" s="33">
        <f t="shared" si="776"/>
        <v>0</v>
      </c>
      <c r="Q12462" s="31" t="str">
        <f t="shared" si="777"/>
        <v/>
      </c>
      <c r="R12462" s="32" t="str">
        <f>IFERROR(VLOOKUP($D12462,'Informations sur les produits'!$A$3:$B$15000,2,FALSE),"")</f>
        <v/>
      </c>
      <c r="V12462">
        <f t="shared" si="778"/>
        <v>0</v>
      </c>
      <c r="W12462">
        <f t="shared" si="779"/>
        <v>0</v>
      </c>
    </row>
    <row r="12463" spans="5:23" x14ac:dyDescent="0.25">
      <c r="E12463" s="4"/>
      <c r="F12463" s="4"/>
      <c r="G12463" s="33" t="str">
        <f>IFERROR(VLOOKUP($D12463,'Informations sur les produits'!$A$3:$H$10000,8,FALSE),"0")</f>
        <v>0</v>
      </c>
      <c r="K12463" s="4"/>
      <c r="L12463" s="33" t="str">
        <f>IFERROR(VLOOKUP($J12463,'Informations sur les produits'!$A$3:$H$10000,8,FALSE),"0")</f>
        <v>0</v>
      </c>
      <c r="N12463" s="8"/>
      <c r="O12463" s="33" t="str">
        <f>IFERROR(VLOOKUP($M12463,'Informations sur les produits'!$A$3:$H$10000,8,FALSE),"0")</f>
        <v>0</v>
      </c>
      <c r="P12463" s="33">
        <f t="shared" si="776"/>
        <v>0</v>
      </c>
      <c r="Q12463" s="31" t="str">
        <f t="shared" si="777"/>
        <v/>
      </c>
      <c r="R12463" s="32" t="str">
        <f>IFERROR(VLOOKUP($D12463,'Informations sur les produits'!$A$3:$B$15000,2,FALSE),"")</f>
        <v/>
      </c>
      <c r="V12463">
        <f t="shared" si="778"/>
        <v>0</v>
      </c>
      <c r="W12463">
        <f t="shared" si="779"/>
        <v>0</v>
      </c>
    </row>
    <row r="12464" spans="5:23" x14ac:dyDescent="0.25">
      <c r="E12464" s="4"/>
      <c r="F12464" s="4"/>
      <c r="G12464" s="33" t="str">
        <f>IFERROR(VLOOKUP($D12464,'Informations sur les produits'!$A$3:$H$10000,8,FALSE),"0")</f>
        <v>0</v>
      </c>
      <c r="K12464" s="4"/>
      <c r="L12464" s="33" t="str">
        <f>IFERROR(VLOOKUP($J12464,'Informations sur les produits'!$A$3:$H$10000,8,FALSE),"0")</f>
        <v>0</v>
      </c>
      <c r="N12464" s="8"/>
      <c r="O12464" s="33" t="str">
        <f>IFERROR(VLOOKUP($M12464,'Informations sur les produits'!$A$3:$H$10000,8,FALSE),"0")</f>
        <v>0</v>
      </c>
      <c r="P12464" s="33">
        <f t="shared" si="776"/>
        <v>0</v>
      </c>
      <c r="Q12464" s="31" t="str">
        <f t="shared" si="777"/>
        <v/>
      </c>
      <c r="R12464" s="32" t="str">
        <f>IFERROR(VLOOKUP($D12464,'Informations sur les produits'!$A$3:$B$15000,2,FALSE),"")</f>
        <v/>
      </c>
      <c r="V12464">
        <f t="shared" si="778"/>
        <v>0</v>
      </c>
      <c r="W12464">
        <f t="shared" si="779"/>
        <v>0</v>
      </c>
    </row>
    <row r="12465" spans="5:23" x14ac:dyDescent="0.25">
      <c r="E12465" s="4"/>
      <c r="F12465" s="4"/>
      <c r="G12465" s="33" t="str">
        <f>IFERROR(VLOOKUP($D12465,'Informations sur les produits'!$A$3:$H$10000,8,FALSE),"0")</f>
        <v>0</v>
      </c>
      <c r="K12465" s="4"/>
      <c r="L12465" s="33" t="str">
        <f>IFERROR(VLOOKUP($J12465,'Informations sur les produits'!$A$3:$H$10000,8,FALSE),"0")</f>
        <v>0</v>
      </c>
      <c r="N12465" s="8"/>
      <c r="O12465" s="33" t="str">
        <f>IFERROR(VLOOKUP($M12465,'Informations sur les produits'!$A$3:$H$10000,8,FALSE),"0")</f>
        <v>0</v>
      </c>
      <c r="P12465" s="33">
        <f t="shared" si="776"/>
        <v>0</v>
      </c>
      <c r="Q12465" s="31" t="str">
        <f t="shared" si="777"/>
        <v/>
      </c>
      <c r="R12465" s="32" t="str">
        <f>IFERROR(VLOOKUP($D12465,'Informations sur les produits'!$A$3:$B$15000,2,FALSE),"")</f>
        <v/>
      </c>
      <c r="V12465">
        <f t="shared" si="778"/>
        <v>0</v>
      </c>
      <c r="W12465">
        <f t="shared" si="779"/>
        <v>0</v>
      </c>
    </row>
    <row r="12466" spans="5:23" x14ac:dyDescent="0.25">
      <c r="E12466" s="4"/>
      <c r="F12466" s="4"/>
      <c r="G12466" s="33" t="str">
        <f>IFERROR(VLOOKUP($D12466,'Informations sur les produits'!$A$3:$H$10000,8,FALSE),"0")</f>
        <v>0</v>
      </c>
      <c r="K12466" s="4"/>
      <c r="L12466" s="33" t="str">
        <f>IFERROR(VLOOKUP($J12466,'Informations sur les produits'!$A$3:$H$10000,8,FALSE),"0")</f>
        <v>0</v>
      </c>
      <c r="N12466" s="8"/>
      <c r="O12466" s="33" t="str">
        <f>IFERROR(VLOOKUP($M12466,'Informations sur les produits'!$A$3:$H$10000,8,FALSE),"0")</f>
        <v>0</v>
      </c>
      <c r="P12466" s="33">
        <f t="shared" si="776"/>
        <v>0</v>
      </c>
      <c r="Q12466" s="31" t="str">
        <f t="shared" si="777"/>
        <v/>
      </c>
      <c r="R12466" s="32" t="str">
        <f>IFERROR(VLOOKUP($D12466,'Informations sur les produits'!$A$3:$B$15000,2,FALSE),"")</f>
        <v/>
      </c>
      <c r="V12466">
        <f t="shared" si="778"/>
        <v>0</v>
      </c>
      <c r="W12466">
        <f t="shared" si="779"/>
        <v>0</v>
      </c>
    </row>
    <row r="12467" spans="5:23" x14ac:dyDescent="0.25">
      <c r="E12467" s="4"/>
      <c r="F12467" s="4"/>
      <c r="G12467" s="33" t="str">
        <f>IFERROR(VLOOKUP($D12467,'Informations sur les produits'!$A$3:$H$10000,8,FALSE),"0")</f>
        <v>0</v>
      </c>
      <c r="K12467" s="4"/>
      <c r="L12467" s="33" t="str">
        <f>IFERROR(VLOOKUP($J12467,'Informations sur les produits'!$A$3:$H$10000,8,FALSE),"0")</f>
        <v>0</v>
      </c>
      <c r="N12467" s="8"/>
      <c r="O12467" s="33" t="str">
        <f>IFERROR(VLOOKUP($M12467,'Informations sur les produits'!$A$3:$H$10000,8,FALSE),"0")</f>
        <v>0</v>
      </c>
      <c r="P12467" s="33">
        <f t="shared" si="776"/>
        <v>0</v>
      </c>
      <c r="Q12467" s="31" t="str">
        <f t="shared" si="777"/>
        <v/>
      </c>
      <c r="R12467" s="32" t="str">
        <f>IFERROR(VLOOKUP($D12467,'Informations sur les produits'!$A$3:$B$15000,2,FALSE),"")</f>
        <v/>
      </c>
      <c r="V12467">
        <f t="shared" si="778"/>
        <v>0</v>
      </c>
      <c r="W12467">
        <f t="shared" si="779"/>
        <v>0</v>
      </c>
    </row>
    <row r="12468" spans="5:23" x14ac:dyDescent="0.25">
      <c r="E12468" s="4"/>
      <c r="F12468" s="4"/>
      <c r="G12468" s="33" t="str">
        <f>IFERROR(VLOOKUP($D12468,'Informations sur les produits'!$A$3:$H$10000,8,FALSE),"0")</f>
        <v>0</v>
      </c>
      <c r="K12468" s="4"/>
      <c r="L12468" s="33" t="str">
        <f>IFERROR(VLOOKUP($J12468,'Informations sur les produits'!$A$3:$H$10000,8,FALSE),"0")</f>
        <v>0</v>
      </c>
      <c r="N12468" s="8"/>
      <c r="O12468" s="33" t="str">
        <f>IFERROR(VLOOKUP($M12468,'Informations sur les produits'!$A$3:$H$10000,8,FALSE),"0")</f>
        <v>0</v>
      </c>
      <c r="P12468" s="33">
        <f t="shared" si="776"/>
        <v>0</v>
      </c>
      <c r="Q12468" s="31" t="str">
        <f t="shared" si="777"/>
        <v/>
      </c>
      <c r="R12468" s="32" t="str">
        <f>IFERROR(VLOOKUP($D12468,'Informations sur les produits'!$A$3:$B$15000,2,FALSE),"")</f>
        <v/>
      </c>
      <c r="V12468">
        <f t="shared" si="778"/>
        <v>0</v>
      </c>
      <c r="W12468">
        <f t="shared" si="779"/>
        <v>0</v>
      </c>
    </row>
    <row r="12469" spans="5:23" x14ac:dyDescent="0.25">
      <c r="E12469" s="4"/>
      <c r="F12469" s="4"/>
      <c r="G12469" s="33" t="str">
        <f>IFERROR(VLOOKUP($D12469,'Informations sur les produits'!$A$3:$H$10000,8,FALSE),"0")</f>
        <v>0</v>
      </c>
      <c r="K12469" s="4"/>
      <c r="L12469" s="33" t="str">
        <f>IFERROR(VLOOKUP($J12469,'Informations sur les produits'!$A$3:$H$10000,8,FALSE),"0")</f>
        <v>0</v>
      </c>
      <c r="N12469" s="8"/>
      <c r="O12469" s="33" t="str">
        <f>IFERROR(VLOOKUP($M12469,'Informations sur les produits'!$A$3:$H$10000,8,FALSE),"0")</f>
        <v>0</v>
      </c>
      <c r="P12469" s="33">
        <f t="shared" si="776"/>
        <v>0</v>
      </c>
      <c r="Q12469" s="31" t="str">
        <f t="shared" si="777"/>
        <v/>
      </c>
      <c r="R12469" s="32" t="str">
        <f>IFERROR(VLOOKUP($D12469,'Informations sur les produits'!$A$3:$B$15000,2,FALSE),"")</f>
        <v/>
      </c>
      <c r="V12469">
        <f t="shared" si="778"/>
        <v>0</v>
      </c>
      <c r="W12469">
        <f t="shared" si="779"/>
        <v>0</v>
      </c>
    </row>
    <row r="12470" spans="5:23" x14ac:dyDescent="0.25">
      <c r="E12470" s="4"/>
      <c r="F12470" s="4"/>
      <c r="G12470" s="33" t="str">
        <f>IFERROR(VLOOKUP($D12470,'Informations sur les produits'!$A$3:$H$10000,8,FALSE),"0")</f>
        <v>0</v>
      </c>
      <c r="K12470" s="4"/>
      <c r="L12470" s="33" t="str">
        <f>IFERROR(VLOOKUP($J12470,'Informations sur les produits'!$A$3:$H$10000,8,FALSE),"0")</f>
        <v>0</v>
      </c>
      <c r="N12470" s="8"/>
      <c r="O12470" s="33" t="str">
        <f>IFERROR(VLOOKUP($M12470,'Informations sur les produits'!$A$3:$H$10000,8,FALSE),"0")</f>
        <v>0</v>
      </c>
      <c r="P12470" s="33">
        <f t="shared" si="776"/>
        <v>0</v>
      </c>
      <c r="Q12470" s="31" t="str">
        <f t="shared" si="777"/>
        <v/>
      </c>
      <c r="R12470" s="32" t="str">
        <f>IFERROR(VLOOKUP($D12470,'Informations sur les produits'!$A$3:$B$15000,2,FALSE),"")</f>
        <v/>
      </c>
      <c r="V12470">
        <f t="shared" si="778"/>
        <v>0</v>
      </c>
      <c r="W12470">
        <f t="shared" si="779"/>
        <v>0</v>
      </c>
    </row>
    <row r="12471" spans="5:23" x14ac:dyDescent="0.25">
      <c r="E12471" s="4"/>
      <c r="F12471" s="4"/>
      <c r="G12471" s="33" t="str">
        <f>IFERROR(VLOOKUP($D12471,'Informations sur les produits'!$A$3:$H$10000,8,FALSE),"0")</f>
        <v>0</v>
      </c>
      <c r="K12471" s="4"/>
      <c r="L12471" s="33" t="str">
        <f>IFERROR(VLOOKUP($J12471,'Informations sur les produits'!$A$3:$H$10000,8,FALSE),"0")</f>
        <v>0</v>
      </c>
      <c r="N12471" s="8"/>
      <c r="O12471" s="33" t="str">
        <f>IFERROR(VLOOKUP($M12471,'Informations sur les produits'!$A$3:$H$10000,8,FALSE),"0")</f>
        <v>0</v>
      </c>
      <c r="P12471" s="33">
        <f t="shared" si="776"/>
        <v>0</v>
      </c>
      <c r="Q12471" s="31" t="str">
        <f t="shared" si="777"/>
        <v/>
      </c>
      <c r="R12471" s="32" t="str">
        <f>IFERROR(VLOOKUP($D12471,'Informations sur les produits'!$A$3:$B$15000,2,FALSE),"")</f>
        <v/>
      </c>
      <c r="V12471">
        <f t="shared" si="778"/>
        <v>0</v>
      </c>
      <c r="W12471">
        <f t="shared" si="779"/>
        <v>0</v>
      </c>
    </row>
    <row r="12472" spans="5:23" x14ac:dyDescent="0.25">
      <c r="E12472" s="4"/>
      <c r="F12472" s="4"/>
      <c r="G12472" s="33" t="str">
        <f>IFERROR(VLOOKUP($D12472,'Informations sur les produits'!$A$3:$H$10000,8,FALSE),"0")</f>
        <v>0</v>
      </c>
      <c r="K12472" s="4"/>
      <c r="L12472" s="33" t="str">
        <f>IFERROR(VLOOKUP($J12472,'Informations sur les produits'!$A$3:$H$10000,8,FALSE),"0")</f>
        <v>0</v>
      </c>
      <c r="N12472" s="8"/>
      <c r="O12472" s="33" t="str">
        <f>IFERROR(VLOOKUP($M12472,'Informations sur les produits'!$A$3:$H$10000,8,FALSE),"0")</f>
        <v>0</v>
      </c>
      <c r="P12472" s="33">
        <f t="shared" si="776"/>
        <v>0</v>
      </c>
      <c r="Q12472" s="31" t="str">
        <f t="shared" si="777"/>
        <v/>
      </c>
      <c r="R12472" s="32" t="str">
        <f>IFERROR(VLOOKUP($D12472,'Informations sur les produits'!$A$3:$B$15000,2,FALSE),"")</f>
        <v/>
      </c>
      <c r="V12472">
        <f t="shared" si="778"/>
        <v>0</v>
      </c>
      <c r="W12472">
        <f t="shared" si="779"/>
        <v>0</v>
      </c>
    </row>
    <row r="12473" spans="5:23" x14ac:dyDescent="0.25">
      <c r="E12473" s="4"/>
      <c r="F12473" s="4"/>
      <c r="G12473" s="33" t="str">
        <f>IFERROR(VLOOKUP($D12473,'Informations sur les produits'!$A$3:$H$10000,8,FALSE),"0")</f>
        <v>0</v>
      </c>
      <c r="K12473" s="4"/>
      <c r="L12473" s="33" t="str">
        <f>IFERROR(VLOOKUP($J12473,'Informations sur les produits'!$A$3:$H$10000,8,FALSE),"0")</f>
        <v>0</v>
      </c>
      <c r="N12473" s="8"/>
      <c r="O12473" s="33" t="str">
        <f>IFERROR(VLOOKUP($M12473,'Informations sur les produits'!$A$3:$H$10000,8,FALSE),"0")</f>
        <v>0</v>
      </c>
      <c r="P12473" s="33">
        <f t="shared" si="776"/>
        <v>0</v>
      </c>
      <c r="Q12473" s="31" t="str">
        <f t="shared" si="777"/>
        <v/>
      </c>
      <c r="R12473" s="32" t="str">
        <f>IFERROR(VLOOKUP($D12473,'Informations sur les produits'!$A$3:$B$15000,2,FALSE),"")</f>
        <v/>
      </c>
      <c r="V12473">
        <f t="shared" si="778"/>
        <v>0</v>
      </c>
      <c r="W12473">
        <f t="shared" si="779"/>
        <v>0</v>
      </c>
    </row>
    <row r="12474" spans="5:23" x14ac:dyDescent="0.25">
      <c r="E12474" s="4"/>
      <c r="F12474" s="4"/>
      <c r="G12474" s="33" t="str">
        <f>IFERROR(VLOOKUP($D12474,'Informations sur les produits'!$A$3:$H$10000,8,FALSE),"0")</f>
        <v>0</v>
      </c>
      <c r="K12474" s="4"/>
      <c r="L12474" s="33" t="str">
        <f>IFERROR(VLOOKUP($J12474,'Informations sur les produits'!$A$3:$H$10000,8,FALSE),"0")</f>
        <v>0</v>
      </c>
      <c r="N12474" s="8"/>
      <c r="O12474" s="33" t="str">
        <f>IFERROR(VLOOKUP($M12474,'Informations sur les produits'!$A$3:$H$10000,8,FALSE),"0")</f>
        <v>0</v>
      </c>
      <c r="P12474" s="33">
        <f t="shared" si="776"/>
        <v>0</v>
      </c>
      <c r="Q12474" s="31" t="str">
        <f t="shared" si="777"/>
        <v/>
      </c>
      <c r="R12474" s="32" t="str">
        <f>IFERROR(VLOOKUP($D12474,'Informations sur les produits'!$A$3:$B$15000,2,FALSE),"")</f>
        <v/>
      </c>
      <c r="V12474">
        <f t="shared" si="778"/>
        <v>0</v>
      </c>
      <c r="W12474">
        <f t="shared" si="779"/>
        <v>0</v>
      </c>
    </row>
    <row r="12475" spans="5:23" x14ac:dyDescent="0.25">
      <c r="E12475" s="4"/>
      <c r="F12475" s="4"/>
      <c r="G12475" s="33" t="str">
        <f>IFERROR(VLOOKUP($D12475,'Informations sur les produits'!$A$3:$H$10000,8,FALSE),"0")</f>
        <v>0</v>
      </c>
      <c r="K12475" s="4"/>
      <c r="L12475" s="33" t="str">
        <f>IFERROR(VLOOKUP($J12475,'Informations sur les produits'!$A$3:$H$10000,8,FALSE),"0")</f>
        <v>0</v>
      </c>
      <c r="N12475" s="8"/>
      <c r="O12475" s="33" t="str">
        <f>IFERROR(VLOOKUP($M12475,'Informations sur les produits'!$A$3:$H$10000,8,FALSE),"0")</f>
        <v>0</v>
      </c>
      <c r="P12475" s="33">
        <f t="shared" si="776"/>
        <v>0</v>
      </c>
      <c r="Q12475" s="31" t="str">
        <f t="shared" si="777"/>
        <v/>
      </c>
      <c r="R12475" s="32" t="str">
        <f>IFERROR(VLOOKUP($D12475,'Informations sur les produits'!$A$3:$B$15000,2,FALSE),"")</f>
        <v/>
      </c>
      <c r="V12475">
        <f t="shared" si="778"/>
        <v>0</v>
      </c>
      <c r="W12475">
        <f t="shared" si="779"/>
        <v>0</v>
      </c>
    </row>
    <row r="12476" spans="5:23" x14ac:dyDescent="0.25">
      <c r="E12476" s="4"/>
      <c r="F12476" s="4"/>
      <c r="G12476" s="33" t="str">
        <f>IFERROR(VLOOKUP($D12476,'Informations sur les produits'!$A$3:$H$10000,8,FALSE),"0")</f>
        <v>0</v>
      </c>
      <c r="K12476" s="4"/>
      <c r="L12476" s="33" t="str">
        <f>IFERROR(VLOOKUP($J12476,'Informations sur les produits'!$A$3:$H$10000,8,FALSE),"0")</f>
        <v>0</v>
      </c>
      <c r="N12476" s="8"/>
      <c r="O12476" s="33" t="str">
        <f>IFERROR(VLOOKUP($M12476,'Informations sur les produits'!$A$3:$H$10000,8,FALSE),"0")</f>
        <v>0</v>
      </c>
      <c r="P12476" s="33">
        <f t="shared" si="776"/>
        <v>0</v>
      </c>
      <c r="Q12476" s="31" t="str">
        <f t="shared" si="777"/>
        <v/>
      </c>
      <c r="R12476" s="32" t="str">
        <f>IFERROR(VLOOKUP($D12476,'Informations sur les produits'!$A$3:$B$15000,2,FALSE),"")</f>
        <v/>
      </c>
      <c r="V12476">
        <f t="shared" si="778"/>
        <v>0</v>
      </c>
      <c r="W12476">
        <f t="shared" si="779"/>
        <v>0</v>
      </c>
    </row>
    <row r="12477" spans="5:23" x14ac:dyDescent="0.25">
      <c r="E12477" s="4"/>
      <c r="F12477" s="4"/>
      <c r="G12477" s="33" t="str">
        <f>IFERROR(VLOOKUP($D12477,'Informations sur les produits'!$A$3:$H$10000,8,FALSE),"0")</f>
        <v>0</v>
      </c>
      <c r="K12477" s="4"/>
      <c r="L12477" s="33" t="str">
        <f>IFERROR(VLOOKUP($J12477,'Informations sur les produits'!$A$3:$H$10000,8,FALSE),"0")</f>
        <v>0</v>
      </c>
      <c r="N12477" s="8"/>
      <c r="O12477" s="33" t="str">
        <f>IFERROR(VLOOKUP($M12477,'Informations sur les produits'!$A$3:$H$10000,8,FALSE),"0")</f>
        <v>0</v>
      </c>
      <c r="P12477" s="33">
        <f t="shared" si="776"/>
        <v>0</v>
      </c>
      <c r="Q12477" s="31" t="str">
        <f t="shared" si="777"/>
        <v/>
      </c>
      <c r="R12477" s="32" t="str">
        <f>IFERROR(VLOOKUP($D12477,'Informations sur les produits'!$A$3:$B$15000,2,FALSE),"")</f>
        <v/>
      </c>
      <c r="V12477">
        <f t="shared" si="778"/>
        <v>0</v>
      </c>
      <c r="W12477">
        <f t="shared" si="779"/>
        <v>0</v>
      </c>
    </row>
    <row r="12478" spans="5:23" x14ac:dyDescent="0.25">
      <c r="E12478" s="4"/>
      <c r="F12478" s="4"/>
      <c r="G12478" s="33" t="str">
        <f>IFERROR(VLOOKUP($D12478,'Informations sur les produits'!$A$3:$H$10000,8,FALSE),"0")</f>
        <v>0</v>
      </c>
      <c r="K12478" s="4"/>
      <c r="L12478" s="33" t="str">
        <f>IFERROR(VLOOKUP($J12478,'Informations sur les produits'!$A$3:$H$10000,8,FALSE),"0")</f>
        <v>0</v>
      </c>
      <c r="N12478" s="8"/>
      <c r="O12478" s="33" t="str">
        <f>IFERROR(VLOOKUP($M12478,'Informations sur les produits'!$A$3:$H$10000,8,FALSE),"0")</f>
        <v>0</v>
      </c>
      <c r="P12478" s="33">
        <f t="shared" si="776"/>
        <v>0</v>
      </c>
      <c r="Q12478" s="31" t="str">
        <f t="shared" si="777"/>
        <v/>
      </c>
      <c r="R12478" s="32" t="str">
        <f>IFERROR(VLOOKUP($D12478,'Informations sur les produits'!$A$3:$B$15000,2,FALSE),"")</f>
        <v/>
      </c>
      <c r="V12478">
        <f t="shared" si="778"/>
        <v>0</v>
      </c>
      <c r="W12478">
        <f t="shared" si="779"/>
        <v>0</v>
      </c>
    </row>
    <row r="12479" spans="5:23" x14ac:dyDescent="0.25">
      <c r="E12479" s="4"/>
      <c r="F12479" s="4"/>
      <c r="G12479" s="33" t="str">
        <f>IFERROR(VLOOKUP($D12479,'Informations sur les produits'!$A$3:$H$10000,8,FALSE),"0")</f>
        <v>0</v>
      </c>
      <c r="K12479" s="4"/>
      <c r="L12479" s="33" t="str">
        <f>IFERROR(VLOOKUP($J12479,'Informations sur les produits'!$A$3:$H$10000,8,FALSE),"0")</f>
        <v>0</v>
      </c>
      <c r="N12479" s="8"/>
      <c r="O12479" s="33" t="str">
        <f>IFERROR(VLOOKUP($M12479,'Informations sur les produits'!$A$3:$H$10000,8,FALSE),"0")</f>
        <v>0</v>
      </c>
      <c r="P12479" s="33">
        <f t="shared" si="776"/>
        <v>0</v>
      </c>
      <c r="Q12479" s="31" t="str">
        <f t="shared" si="777"/>
        <v/>
      </c>
      <c r="R12479" s="32" t="str">
        <f>IFERROR(VLOOKUP($D12479,'Informations sur les produits'!$A$3:$B$15000,2,FALSE),"")</f>
        <v/>
      </c>
      <c r="V12479">
        <f t="shared" si="778"/>
        <v>0</v>
      </c>
      <c r="W12479">
        <f t="shared" si="779"/>
        <v>0</v>
      </c>
    </row>
    <row r="12480" spans="5:23" x14ac:dyDescent="0.25">
      <c r="E12480" s="4"/>
      <c r="F12480" s="4"/>
      <c r="G12480" s="33" t="str">
        <f>IFERROR(VLOOKUP($D12480,'Informations sur les produits'!$A$3:$H$10000,8,FALSE),"0")</f>
        <v>0</v>
      </c>
      <c r="K12480" s="4"/>
      <c r="L12480" s="33" t="str">
        <f>IFERROR(VLOOKUP($J12480,'Informations sur les produits'!$A$3:$H$10000,8,FALSE),"0")</f>
        <v>0</v>
      </c>
      <c r="N12480" s="8"/>
      <c r="O12480" s="33" t="str">
        <f>IFERROR(VLOOKUP($M12480,'Informations sur les produits'!$A$3:$H$10000,8,FALSE),"0")</f>
        <v>0</v>
      </c>
      <c r="P12480" s="33">
        <f t="shared" si="776"/>
        <v>0</v>
      </c>
      <c r="Q12480" s="31" t="str">
        <f t="shared" si="777"/>
        <v/>
      </c>
      <c r="R12480" s="32" t="str">
        <f>IFERROR(VLOOKUP($D12480,'Informations sur les produits'!$A$3:$B$15000,2,FALSE),"")</f>
        <v/>
      </c>
      <c r="V12480">
        <f t="shared" si="778"/>
        <v>0</v>
      </c>
      <c r="W12480">
        <f t="shared" si="779"/>
        <v>0</v>
      </c>
    </row>
    <row r="12481" spans="5:23" x14ac:dyDescent="0.25">
      <c r="E12481" s="4"/>
      <c r="F12481" s="4"/>
      <c r="G12481" s="33" t="str">
        <f>IFERROR(VLOOKUP($D12481,'Informations sur les produits'!$A$3:$H$10000,8,FALSE),"0")</f>
        <v>0</v>
      </c>
      <c r="K12481" s="4"/>
      <c r="L12481" s="33" t="str">
        <f>IFERROR(VLOOKUP($J12481,'Informations sur les produits'!$A$3:$H$10000,8,FALSE),"0")</f>
        <v>0</v>
      </c>
      <c r="N12481" s="8"/>
      <c r="O12481" s="33" t="str">
        <f>IFERROR(VLOOKUP($M12481,'Informations sur les produits'!$A$3:$H$10000,8,FALSE),"0")</f>
        <v>0</v>
      </c>
      <c r="P12481" s="33">
        <f t="shared" si="776"/>
        <v>0</v>
      </c>
      <c r="Q12481" s="31" t="str">
        <f t="shared" si="777"/>
        <v/>
      </c>
      <c r="R12481" s="32" t="str">
        <f>IFERROR(VLOOKUP($D12481,'Informations sur les produits'!$A$3:$B$15000,2,FALSE),"")</f>
        <v/>
      </c>
      <c r="V12481">
        <f t="shared" si="778"/>
        <v>0</v>
      </c>
      <c r="W12481">
        <f t="shared" si="779"/>
        <v>0</v>
      </c>
    </row>
    <row r="12482" spans="5:23" x14ac:dyDescent="0.25">
      <c r="E12482" s="4"/>
      <c r="F12482" s="4"/>
      <c r="G12482" s="33" t="str">
        <f>IFERROR(VLOOKUP($D12482,'Informations sur les produits'!$A$3:$H$10000,8,FALSE),"0")</f>
        <v>0</v>
      </c>
      <c r="K12482" s="4"/>
      <c r="L12482" s="33" t="str">
        <f>IFERROR(VLOOKUP($J12482,'Informations sur les produits'!$A$3:$H$10000,8,FALSE),"0")</f>
        <v>0</v>
      </c>
      <c r="N12482" s="8"/>
      <c r="O12482" s="33" t="str">
        <f>IFERROR(VLOOKUP($M12482,'Informations sur les produits'!$A$3:$H$10000,8,FALSE),"0")</f>
        <v>0</v>
      </c>
      <c r="P12482" s="33">
        <f t="shared" si="776"/>
        <v>0</v>
      </c>
      <c r="Q12482" s="31" t="str">
        <f t="shared" si="777"/>
        <v/>
      </c>
      <c r="R12482" s="32" t="str">
        <f>IFERROR(VLOOKUP($D12482,'Informations sur les produits'!$A$3:$B$15000,2,FALSE),"")</f>
        <v/>
      </c>
      <c r="V12482">
        <f t="shared" si="778"/>
        <v>0</v>
      </c>
      <c r="W12482">
        <f t="shared" si="779"/>
        <v>0</v>
      </c>
    </row>
    <row r="12483" spans="5:23" x14ac:dyDescent="0.25">
      <c r="E12483" s="4"/>
      <c r="F12483" s="4"/>
      <c r="G12483" s="33" t="str">
        <f>IFERROR(VLOOKUP($D12483,'Informations sur les produits'!$A$3:$H$10000,8,FALSE),"0")</f>
        <v>0</v>
      </c>
      <c r="K12483" s="4"/>
      <c r="L12483" s="33" t="str">
        <f>IFERROR(VLOOKUP($J12483,'Informations sur les produits'!$A$3:$H$10000,8,FALSE),"0")</f>
        <v>0</v>
      </c>
      <c r="N12483" s="8"/>
      <c r="O12483" s="33" t="str">
        <f>IFERROR(VLOOKUP($M12483,'Informations sur les produits'!$A$3:$H$10000,8,FALSE),"0")</f>
        <v>0</v>
      </c>
      <c r="P12483" s="33">
        <f t="shared" si="776"/>
        <v>0</v>
      </c>
      <c r="Q12483" s="31" t="str">
        <f t="shared" si="777"/>
        <v/>
      </c>
      <c r="R12483" s="32" t="str">
        <f>IFERROR(VLOOKUP($D12483,'Informations sur les produits'!$A$3:$B$15000,2,FALSE),"")</f>
        <v/>
      </c>
      <c r="V12483">
        <f t="shared" si="778"/>
        <v>0</v>
      </c>
      <c r="W12483">
        <f t="shared" si="779"/>
        <v>0</v>
      </c>
    </row>
    <row r="12484" spans="5:23" x14ac:dyDescent="0.25">
      <c r="E12484" s="4"/>
      <c r="F12484" s="4"/>
      <c r="G12484" s="33" t="str">
        <f>IFERROR(VLOOKUP($D12484,'Informations sur les produits'!$A$3:$H$10000,8,FALSE),"0")</f>
        <v>0</v>
      </c>
      <c r="K12484" s="4"/>
      <c r="L12484" s="33" t="str">
        <f>IFERROR(VLOOKUP($J12484,'Informations sur les produits'!$A$3:$H$10000,8,FALSE),"0")</f>
        <v>0</v>
      </c>
      <c r="N12484" s="8"/>
      <c r="O12484" s="33" t="str">
        <f>IFERROR(VLOOKUP($M12484,'Informations sur les produits'!$A$3:$H$10000,8,FALSE),"0")</f>
        <v>0</v>
      </c>
      <c r="P12484" s="33">
        <f t="shared" ref="P12484:P12547" si="780">IFERROR((($E12484-$F12484)*$G12484+$K12484*$L12484+$N12484*$O12484),"")</f>
        <v>0</v>
      </c>
      <c r="Q12484" s="31" t="str">
        <f t="shared" ref="Q12484:Q12547" si="781">IFERROR((((($E12484-$F12484)*$G12484+$K12484*$L12484+$N12484*$O12484)*1000)/(($E12484-$F12484)+$K12484+$N12484)),"")</f>
        <v/>
      </c>
      <c r="R12484" s="32" t="str">
        <f>IFERROR(VLOOKUP($D12484,'Informations sur les produits'!$A$3:$B$15000,2,FALSE),"")</f>
        <v/>
      </c>
      <c r="V12484">
        <f t="shared" ref="V12484:V12547" si="782">IFERROR(P12484*1000,"")</f>
        <v>0</v>
      </c>
      <c r="W12484">
        <f t="shared" ref="W12484:W12547" si="783">IFERROR(($E12484-$F12484)+$K12484+$N12484,"")</f>
        <v>0</v>
      </c>
    </row>
    <row r="12485" spans="5:23" x14ac:dyDescent="0.25">
      <c r="E12485" s="4"/>
      <c r="F12485" s="4"/>
      <c r="G12485" s="33" t="str">
        <f>IFERROR(VLOOKUP($D12485,'Informations sur les produits'!$A$3:$H$10000,8,FALSE),"0")</f>
        <v>0</v>
      </c>
      <c r="K12485" s="4"/>
      <c r="L12485" s="33" t="str">
        <f>IFERROR(VLOOKUP($J12485,'Informations sur les produits'!$A$3:$H$10000,8,FALSE),"0")</f>
        <v>0</v>
      </c>
      <c r="N12485" s="8"/>
      <c r="O12485" s="33" t="str">
        <f>IFERROR(VLOOKUP($M12485,'Informations sur les produits'!$A$3:$H$10000,8,FALSE),"0")</f>
        <v>0</v>
      </c>
      <c r="P12485" s="33">
        <f t="shared" si="780"/>
        <v>0</v>
      </c>
      <c r="Q12485" s="31" t="str">
        <f t="shared" si="781"/>
        <v/>
      </c>
      <c r="R12485" s="32" t="str">
        <f>IFERROR(VLOOKUP($D12485,'Informations sur les produits'!$A$3:$B$15000,2,FALSE),"")</f>
        <v/>
      </c>
      <c r="V12485">
        <f t="shared" si="782"/>
        <v>0</v>
      </c>
      <c r="W12485">
        <f t="shared" si="783"/>
        <v>0</v>
      </c>
    </row>
    <row r="12486" spans="5:23" x14ac:dyDescent="0.25">
      <c r="E12486" s="4"/>
      <c r="F12486" s="4"/>
      <c r="G12486" s="33" t="str">
        <f>IFERROR(VLOOKUP($D12486,'Informations sur les produits'!$A$3:$H$10000,8,FALSE),"0")</f>
        <v>0</v>
      </c>
      <c r="K12486" s="4"/>
      <c r="L12486" s="33" t="str">
        <f>IFERROR(VLOOKUP($J12486,'Informations sur les produits'!$A$3:$H$10000,8,FALSE),"0")</f>
        <v>0</v>
      </c>
      <c r="N12486" s="8"/>
      <c r="O12486" s="33" t="str">
        <f>IFERROR(VLOOKUP($M12486,'Informations sur les produits'!$A$3:$H$10000,8,FALSE),"0")</f>
        <v>0</v>
      </c>
      <c r="P12486" s="33">
        <f t="shared" si="780"/>
        <v>0</v>
      </c>
      <c r="Q12486" s="31" t="str">
        <f t="shared" si="781"/>
        <v/>
      </c>
      <c r="R12486" s="32" t="str">
        <f>IFERROR(VLOOKUP($D12486,'Informations sur les produits'!$A$3:$B$15000,2,FALSE),"")</f>
        <v/>
      </c>
      <c r="V12486">
        <f t="shared" si="782"/>
        <v>0</v>
      </c>
      <c r="W12486">
        <f t="shared" si="783"/>
        <v>0</v>
      </c>
    </row>
    <row r="12487" spans="5:23" x14ac:dyDescent="0.25">
      <c r="E12487" s="4"/>
      <c r="F12487" s="4"/>
      <c r="G12487" s="33" t="str">
        <f>IFERROR(VLOOKUP($D12487,'Informations sur les produits'!$A$3:$H$10000,8,FALSE),"0")</f>
        <v>0</v>
      </c>
      <c r="K12487" s="4"/>
      <c r="L12487" s="33" t="str">
        <f>IFERROR(VLOOKUP($J12487,'Informations sur les produits'!$A$3:$H$10000,8,FALSE),"0")</f>
        <v>0</v>
      </c>
      <c r="N12487" s="8"/>
      <c r="O12487" s="33" t="str">
        <f>IFERROR(VLOOKUP($M12487,'Informations sur les produits'!$A$3:$H$10000,8,FALSE),"0")</f>
        <v>0</v>
      </c>
      <c r="P12487" s="33">
        <f t="shared" si="780"/>
        <v>0</v>
      </c>
      <c r="Q12487" s="31" t="str">
        <f t="shared" si="781"/>
        <v/>
      </c>
      <c r="R12487" s="32" t="str">
        <f>IFERROR(VLOOKUP($D12487,'Informations sur les produits'!$A$3:$B$15000,2,FALSE),"")</f>
        <v/>
      </c>
      <c r="V12487">
        <f t="shared" si="782"/>
        <v>0</v>
      </c>
      <c r="W12487">
        <f t="shared" si="783"/>
        <v>0</v>
      </c>
    </row>
    <row r="12488" spans="5:23" x14ac:dyDescent="0.25">
      <c r="E12488" s="4"/>
      <c r="F12488" s="4"/>
      <c r="G12488" s="33" t="str">
        <f>IFERROR(VLOOKUP($D12488,'Informations sur les produits'!$A$3:$H$10000,8,FALSE),"0")</f>
        <v>0</v>
      </c>
      <c r="K12488" s="4"/>
      <c r="L12488" s="33" t="str">
        <f>IFERROR(VLOOKUP($J12488,'Informations sur les produits'!$A$3:$H$10000,8,FALSE),"0")</f>
        <v>0</v>
      </c>
      <c r="N12488" s="8"/>
      <c r="O12488" s="33" t="str">
        <f>IFERROR(VLOOKUP($M12488,'Informations sur les produits'!$A$3:$H$10000,8,FALSE),"0")</f>
        <v>0</v>
      </c>
      <c r="P12488" s="33">
        <f t="shared" si="780"/>
        <v>0</v>
      </c>
      <c r="Q12488" s="31" t="str">
        <f t="shared" si="781"/>
        <v/>
      </c>
      <c r="R12488" s="32" t="str">
        <f>IFERROR(VLOOKUP($D12488,'Informations sur les produits'!$A$3:$B$15000,2,FALSE),"")</f>
        <v/>
      </c>
      <c r="V12488">
        <f t="shared" si="782"/>
        <v>0</v>
      </c>
      <c r="W12488">
        <f t="shared" si="783"/>
        <v>0</v>
      </c>
    </row>
    <row r="12489" spans="5:23" x14ac:dyDescent="0.25">
      <c r="E12489" s="4"/>
      <c r="F12489" s="4"/>
      <c r="G12489" s="33" t="str">
        <f>IFERROR(VLOOKUP($D12489,'Informations sur les produits'!$A$3:$H$10000,8,FALSE),"0")</f>
        <v>0</v>
      </c>
      <c r="K12489" s="4"/>
      <c r="L12489" s="33" t="str">
        <f>IFERROR(VLOOKUP($J12489,'Informations sur les produits'!$A$3:$H$10000,8,FALSE),"0")</f>
        <v>0</v>
      </c>
      <c r="N12489" s="8"/>
      <c r="O12489" s="33" t="str">
        <f>IFERROR(VLOOKUP($M12489,'Informations sur les produits'!$A$3:$H$10000,8,FALSE),"0")</f>
        <v>0</v>
      </c>
      <c r="P12489" s="33">
        <f t="shared" si="780"/>
        <v>0</v>
      </c>
      <c r="Q12489" s="31" t="str">
        <f t="shared" si="781"/>
        <v/>
      </c>
      <c r="R12489" s="32" t="str">
        <f>IFERROR(VLOOKUP($D12489,'Informations sur les produits'!$A$3:$B$15000,2,FALSE),"")</f>
        <v/>
      </c>
      <c r="V12489">
        <f t="shared" si="782"/>
        <v>0</v>
      </c>
      <c r="W12489">
        <f t="shared" si="783"/>
        <v>0</v>
      </c>
    </row>
    <row r="12490" spans="5:23" x14ac:dyDescent="0.25">
      <c r="E12490" s="4"/>
      <c r="F12490" s="4"/>
      <c r="G12490" s="33" t="str">
        <f>IFERROR(VLOOKUP($D12490,'Informations sur les produits'!$A$3:$H$10000,8,FALSE),"0")</f>
        <v>0</v>
      </c>
      <c r="K12490" s="4"/>
      <c r="L12490" s="33" t="str">
        <f>IFERROR(VLOOKUP($J12490,'Informations sur les produits'!$A$3:$H$10000,8,FALSE),"0")</f>
        <v>0</v>
      </c>
      <c r="N12490" s="8"/>
      <c r="O12490" s="33" t="str">
        <f>IFERROR(VLOOKUP($M12490,'Informations sur les produits'!$A$3:$H$10000,8,FALSE),"0")</f>
        <v>0</v>
      </c>
      <c r="P12490" s="33">
        <f t="shared" si="780"/>
        <v>0</v>
      </c>
      <c r="Q12490" s="31" t="str">
        <f t="shared" si="781"/>
        <v/>
      </c>
      <c r="R12490" s="32" t="str">
        <f>IFERROR(VLOOKUP($D12490,'Informations sur les produits'!$A$3:$B$15000,2,FALSE),"")</f>
        <v/>
      </c>
      <c r="V12490">
        <f t="shared" si="782"/>
        <v>0</v>
      </c>
      <c r="W12490">
        <f t="shared" si="783"/>
        <v>0</v>
      </c>
    </row>
    <row r="12491" spans="5:23" x14ac:dyDescent="0.25">
      <c r="E12491" s="4"/>
      <c r="F12491" s="4"/>
      <c r="G12491" s="33" t="str">
        <f>IFERROR(VLOOKUP($D12491,'Informations sur les produits'!$A$3:$H$10000,8,FALSE),"0")</f>
        <v>0</v>
      </c>
      <c r="K12491" s="4"/>
      <c r="L12491" s="33" t="str">
        <f>IFERROR(VLOOKUP($J12491,'Informations sur les produits'!$A$3:$H$10000,8,FALSE),"0")</f>
        <v>0</v>
      </c>
      <c r="N12491" s="8"/>
      <c r="O12491" s="33" t="str">
        <f>IFERROR(VLOOKUP($M12491,'Informations sur les produits'!$A$3:$H$10000,8,FALSE),"0")</f>
        <v>0</v>
      </c>
      <c r="P12491" s="33">
        <f t="shared" si="780"/>
        <v>0</v>
      </c>
      <c r="Q12491" s="31" t="str">
        <f t="shared" si="781"/>
        <v/>
      </c>
      <c r="R12491" s="32" t="str">
        <f>IFERROR(VLOOKUP($D12491,'Informations sur les produits'!$A$3:$B$15000,2,FALSE),"")</f>
        <v/>
      </c>
      <c r="V12491">
        <f t="shared" si="782"/>
        <v>0</v>
      </c>
      <c r="W12491">
        <f t="shared" si="783"/>
        <v>0</v>
      </c>
    </row>
    <row r="12492" spans="5:23" x14ac:dyDescent="0.25">
      <c r="E12492" s="4"/>
      <c r="F12492" s="4"/>
      <c r="G12492" s="33" t="str">
        <f>IFERROR(VLOOKUP($D12492,'Informations sur les produits'!$A$3:$H$10000,8,FALSE),"0")</f>
        <v>0</v>
      </c>
      <c r="K12492" s="4"/>
      <c r="L12492" s="33" t="str">
        <f>IFERROR(VLOOKUP($J12492,'Informations sur les produits'!$A$3:$H$10000,8,FALSE),"0")</f>
        <v>0</v>
      </c>
      <c r="N12492" s="8"/>
      <c r="O12492" s="33" t="str">
        <f>IFERROR(VLOOKUP($M12492,'Informations sur les produits'!$A$3:$H$10000,8,FALSE),"0")</f>
        <v>0</v>
      </c>
      <c r="P12492" s="33">
        <f t="shared" si="780"/>
        <v>0</v>
      </c>
      <c r="Q12492" s="31" t="str">
        <f t="shared" si="781"/>
        <v/>
      </c>
      <c r="R12492" s="32" t="str">
        <f>IFERROR(VLOOKUP($D12492,'Informations sur les produits'!$A$3:$B$15000,2,FALSE),"")</f>
        <v/>
      </c>
      <c r="V12492">
        <f t="shared" si="782"/>
        <v>0</v>
      </c>
      <c r="W12492">
        <f t="shared" si="783"/>
        <v>0</v>
      </c>
    </row>
    <row r="12493" spans="5:23" x14ac:dyDescent="0.25">
      <c r="E12493" s="4"/>
      <c r="F12493" s="4"/>
      <c r="G12493" s="33" t="str">
        <f>IFERROR(VLOOKUP($D12493,'Informations sur les produits'!$A$3:$H$10000,8,FALSE),"0")</f>
        <v>0</v>
      </c>
      <c r="K12493" s="4"/>
      <c r="L12493" s="33" t="str">
        <f>IFERROR(VLOOKUP($J12493,'Informations sur les produits'!$A$3:$H$10000,8,FALSE),"0")</f>
        <v>0</v>
      </c>
      <c r="N12493" s="8"/>
      <c r="O12493" s="33" t="str">
        <f>IFERROR(VLOOKUP($M12493,'Informations sur les produits'!$A$3:$H$10000,8,FALSE),"0")</f>
        <v>0</v>
      </c>
      <c r="P12493" s="33">
        <f t="shared" si="780"/>
        <v>0</v>
      </c>
      <c r="Q12493" s="31" t="str">
        <f t="shared" si="781"/>
        <v/>
      </c>
      <c r="R12493" s="32" t="str">
        <f>IFERROR(VLOOKUP($D12493,'Informations sur les produits'!$A$3:$B$15000,2,FALSE),"")</f>
        <v/>
      </c>
      <c r="V12493">
        <f t="shared" si="782"/>
        <v>0</v>
      </c>
      <c r="W12493">
        <f t="shared" si="783"/>
        <v>0</v>
      </c>
    </row>
    <row r="12494" spans="5:23" x14ac:dyDescent="0.25">
      <c r="E12494" s="4"/>
      <c r="F12494" s="4"/>
      <c r="G12494" s="33" t="str">
        <f>IFERROR(VLOOKUP($D12494,'Informations sur les produits'!$A$3:$H$10000,8,FALSE),"0")</f>
        <v>0</v>
      </c>
      <c r="K12494" s="4"/>
      <c r="L12494" s="33" t="str">
        <f>IFERROR(VLOOKUP($J12494,'Informations sur les produits'!$A$3:$H$10000,8,FALSE),"0")</f>
        <v>0</v>
      </c>
      <c r="N12494" s="8"/>
      <c r="O12494" s="33" t="str">
        <f>IFERROR(VLOOKUP($M12494,'Informations sur les produits'!$A$3:$H$10000,8,FALSE),"0")</f>
        <v>0</v>
      </c>
      <c r="P12494" s="33">
        <f t="shared" si="780"/>
        <v>0</v>
      </c>
      <c r="Q12494" s="31" t="str">
        <f t="shared" si="781"/>
        <v/>
      </c>
      <c r="R12494" s="32" t="str">
        <f>IFERROR(VLOOKUP($D12494,'Informations sur les produits'!$A$3:$B$15000,2,FALSE),"")</f>
        <v/>
      </c>
      <c r="V12494">
        <f t="shared" si="782"/>
        <v>0</v>
      </c>
      <c r="W12494">
        <f t="shared" si="783"/>
        <v>0</v>
      </c>
    </row>
    <row r="12495" spans="5:23" x14ac:dyDescent="0.25">
      <c r="E12495" s="4"/>
      <c r="F12495" s="4"/>
      <c r="G12495" s="33" t="str">
        <f>IFERROR(VLOOKUP($D12495,'Informations sur les produits'!$A$3:$H$10000,8,FALSE),"0")</f>
        <v>0</v>
      </c>
      <c r="K12495" s="4"/>
      <c r="L12495" s="33" t="str">
        <f>IFERROR(VLOOKUP($J12495,'Informations sur les produits'!$A$3:$H$10000,8,FALSE),"0")</f>
        <v>0</v>
      </c>
      <c r="N12495" s="8"/>
      <c r="O12495" s="33" t="str">
        <f>IFERROR(VLOOKUP($M12495,'Informations sur les produits'!$A$3:$H$10000,8,FALSE),"0")</f>
        <v>0</v>
      </c>
      <c r="P12495" s="33">
        <f t="shared" si="780"/>
        <v>0</v>
      </c>
      <c r="Q12495" s="31" t="str">
        <f t="shared" si="781"/>
        <v/>
      </c>
      <c r="R12495" s="32" t="str">
        <f>IFERROR(VLOOKUP($D12495,'Informations sur les produits'!$A$3:$B$15000,2,FALSE),"")</f>
        <v/>
      </c>
      <c r="V12495">
        <f t="shared" si="782"/>
        <v>0</v>
      </c>
      <c r="W12495">
        <f t="shared" si="783"/>
        <v>0</v>
      </c>
    </row>
    <row r="12496" spans="5:23" x14ac:dyDescent="0.25">
      <c r="E12496" s="4"/>
      <c r="F12496" s="4"/>
      <c r="G12496" s="33" t="str">
        <f>IFERROR(VLOOKUP($D12496,'Informations sur les produits'!$A$3:$H$10000,8,FALSE),"0")</f>
        <v>0</v>
      </c>
      <c r="K12496" s="4"/>
      <c r="L12496" s="33" t="str">
        <f>IFERROR(VLOOKUP($J12496,'Informations sur les produits'!$A$3:$H$10000,8,FALSE),"0")</f>
        <v>0</v>
      </c>
      <c r="N12496" s="8"/>
      <c r="O12496" s="33" t="str">
        <f>IFERROR(VLOOKUP($M12496,'Informations sur les produits'!$A$3:$H$10000,8,FALSE),"0")</f>
        <v>0</v>
      </c>
      <c r="P12496" s="33">
        <f t="shared" si="780"/>
        <v>0</v>
      </c>
      <c r="Q12496" s="31" t="str">
        <f t="shared" si="781"/>
        <v/>
      </c>
      <c r="R12496" s="32" t="str">
        <f>IFERROR(VLOOKUP($D12496,'Informations sur les produits'!$A$3:$B$15000,2,FALSE),"")</f>
        <v/>
      </c>
      <c r="V12496">
        <f t="shared" si="782"/>
        <v>0</v>
      </c>
      <c r="W12496">
        <f t="shared" si="783"/>
        <v>0</v>
      </c>
    </row>
    <row r="12497" spans="5:23" x14ac:dyDescent="0.25">
      <c r="E12497" s="4"/>
      <c r="F12497" s="4"/>
      <c r="G12497" s="33" t="str">
        <f>IFERROR(VLOOKUP($D12497,'Informations sur les produits'!$A$3:$H$10000,8,FALSE),"0")</f>
        <v>0</v>
      </c>
      <c r="K12497" s="4"/>
      <c r="L12497" s="33" t="str">
        <f>IFERROR(VLOOKUP($J12497,'Informations sur les produits'!$A$3:$H$10000,8,FALSE),"0")</f>
        <v>0</v>
      </c>
      <c r="N12497" s="8"/>
      <c r="O12497" s="33" t="str">
        <f>IFERROR(VLOOKUP($M12497,'Informations sur les produits'!$A$3:$H$10000,8,FALSE),"0")</f>
        <v>0</v>
      </c>
      <c r="P12497" s="33">
        <f t="shared" si="780"/>
        <v>0</v>
      </c>
      <c r="Q12497" s="31" t="str">
        <f t="shared" si="781"/>
        <v/>
      </c>
      <c r="R12497" s="32" t="str">
        <f>IFERROR(VLOOKUP($D12497,'Informations sur les produits'!$A$3:$B$15000,2,FALSE),"")</f>
        <v/>
      </c>
      <c r="V12497">
        <f t="shared" si="782"/>
        <v>0</v>
      </c>
      <c r="W12497">
        <f t="shared" si="783"/>
        <v>0</v>
      </c>
    </row>
    <row r="12498" spans="5:23" x14ac:dyDescent="0.25">
      <c r="E12498" s="4"/>
      <c r="F12498" s="4"/>
      <c r="G12498" s="33" t="str">
        <f>IFERROR(VLOOKUP($D12498,'Informations sur les produits'!$A$3:$H$10000,8,FALSE),"0")</f>
        <v>0</v>
      </c>
      <c r="K12498" s="4"/>
      <c r="L12498" s="33" t="str">
        <f>IFERROR(VLOOKUP($J12498,'Informations sur les produits'!$A$3:$H$10000,8,FALSE),"0")</f>
        <v>0</v>
      </c>
      <c r="N12498" s="8"/>
      <c r="O12498" s="33" t="str">
        <f>IFERROR(VLOOKUP($M12498,'Informations sur les produits'!$A$3:$H$10000,8,FALSE),"0")</f>
        <v>0</v>
      </c>
      <c r="P12498" s="33">
        <f t="shared" si="780"/>
        <v>0</v>
      </c>
      <c r="Q12498" s="31" t="str">
        <f t="shared" si="781"/>
        <v/>
      </c>
      <c r="R12498" s="32" t="str">
        <f>IFERROR(VLOOKUP($D12498,'Informations sur les produits'!$A$3:$B$15000,2,FALSE),"")</f>
        <v/>
      </c>
      <c r="V12498">
        <f t="shared" si="782"/>
        <v>0</v>
      </c>
      <c r="W12498">
        <f t="shared" si="783"/>
        <v>0</v>
      </c>
    </row>
    <row r="12499" spans="5:23" x14ac:dyDescent="0.25">
      <c r="E12499" s="4"/>
      <c r="F12499" s="4"/>
      <c r="G12499" s="33" t="str">
        <f>IFERROR(VLOOKUP($D12499,'Informations sur les produits'!$A$3:$H$10000,8,FALSE),"0")</f>
        <v>0</v>
      </c>
      <c r="K12499" s="4"/>
      <c r="L12499" s="33" t="str">
        <f>IFERROR(VLOOKUP($J12499,'Informations sur les produits'!$A$3:$H$10000,8,FALSE),"0")</f>
        <v>0</v>
      </c>
      <c r="N12499" s="8"/>
      <c r="O12499" s="33" t="str">
        <f>IFERROR(VLOOKUP($M12499,'Informations sur les produits'!$A$3:$H$10000,8,FALSE),"0")</f>
        <v>0</v>
      </c>
      <c r="P12499" s="33">
        <f t="shared" si="780"/>
        <v>0</v>
      </c>
      <c r="Q12499" s="31" t="str">
        <f t="shared" si="781"/>
        <v/>
      </c>
      <c r="R12499" s="32" t="str">
        <f>IFERROR(VLOOKUP($D12499,'Informations sur les produits'!$A$3:$B$15000,2,FALSE),"")</f>
        <v/>
      </c>
      <c r="V12499">
        <f t="shared" si="782"/>
        <v>0</v>
      </c>
      <c r="W12499">
        <f t="shared" si="783"/>
        <v>0</v>
      </c>
    </row>
    <row r="12500" spans="5:23" x14ac:dyDescent="0.25">
      <c r="E12500" s="4"/>
      <c r="F12500" s="4"/>
      <c r="G12500" s="33" t="str">
        <f>IFERROR(VLOOKUP($D12500,'Informations sur les produits'!$A$3:$H$10000,8,FALSE),"0")</f>
        <v>0</v>
      </c>
      <c r="K12500" s="4"/>
      <c r="L12500" s="33" t="str">
        <f>IFERROR(VLOOKUP($J12500,'Informations sur les produits'!$A$3:$H$10000,8,FALSE),"0")</f>
        <v>0</v>
      </c>
      <c r="N12500" s="8"/>
      <c r="O12500" s="33" t="str">
        <f>IFERROR(VLOOKUP($M12500,'Informations sur les produits'!$A$3:$H$10000,8,FALSE),"0")</f>
        <v>0</v>
      </c>
      <c r="P12500" s="33">
        <f t="shared" si="780"/>
        <v>0</v>
      </c>
      <c r="Q12500" s="31" t="str">
        <f t="shared" si="781"/>
        <v/>
      </c>
      <c r="R12500" s="32" t="str">
        <f>IFERROR(VLOOKUP($D12500,'Informations sur les produits'!$A$3:$B$15000,2,FALSE),"")</f>
        <v/>
      </c>
      <c r="V12500">
        <f t="shared" si="782"/>
        <v>0</v>
      </c>
      <c r="W12500">
        <f t="shared" si="783"/>
        <v>0</v>
      </c>
    </row>
    <row r="12501" spans="5:23" x14ac:dyDescent="0.25">
      <c r="E12501" s="4"/>
      <c r="F12501" s="4"/>
      <c r="G12501" s="33" t="str">
        <f>IFERROR(VLOOKUP($D12501,'Informations sur les produits'!$A$3:$H$10000,8,FALSE),"0")</f>
        <v>0</v>
      </c>
      <c r="K12501" s="4"/>
      <c r="L12501" s="33" t="str">
        <f>IFERROR(VLOOKUP($J12501,'Informations sur les produits'!$A$3:$H$10000,8,FALSE),"0")</f>
        <v>0</v>
      </c>
      <c r="N12501" s="8"/>
      <c r="O12501" s="33" t="str">
        <f>IFERROR(VLOOKUP($M12501,'Informations sur les produits'!$A$3:$H$10000,8,FALSE),"0")</f>
        <v>0</v>
      </c>
      <c r="P12501" s="33">
        <f t="shared" si="780"/>
        <v>0</v>
      </c>
      <c r="Q12501" s="31" t="str">
        <f t="shared" si="781"/>
        <v/>
      </c>
      <c r="R12501" s="32" t="str">
        <f>IFERROR(VLOOKUP($D12501,'Informations sur les produits'!$A$3:$B$15000,2,FALSE),"")</f>
        <v/>
      </c>
      <c r="V12501">
        <f t="shared" si="782"/>
        <v>0</v>
      </c>
      <c r="W12501">
        <f t="shared" si="783"/>
        <v>0</v>
      </c>
    </row>
    <row r="12502" spans="5:23" x14ac:dyDescent="0.25">
      <c r="E12502" s="4"/>
      <c r="F12502" s="4"/>
      <c r="G12502" s="33" t="str">
        <f>IFERROR(VLOOKUP($D12502,'Informations sur les produits'!$A$3:$H$10000,8,FALSE),"0")</f>
        <v>0</v>
      </c>
      <c r="K12502" s="4"/>
      <c r="L12502" s="33" t="str">
        <f>IFERROR(VLOOKUP($J12502,'Informations sur les produits'!$A$3:$H$10000,8,FALSE),"0")</f>
        <v>0</v>
      </c>
      <c r="N12502" s="8"/>
      <c r="O12502" s="33" t="str">
        <f>IFERROR(VLOOKUP($M12502,'Informations sur les produits'!$A$3:$H$10000,8,FALSE),"0")</f>
        <v>0</v>
      </c>
      <c r="P12502" s="33">
        <f t="shared" si="780"/>
        <v>0</v>
      </c>
      <c r="Q12502" s="31" t="str">
        <f t="shared" si="781"/>
        <v/>
      </c>
      <c r="R12502" s="32" t="str">
        <f>IFERROR(VLOOKUP($D12502,'Informations sur les produits'!$A$3:$B$15000,2,FALSE),"")</f>
        <v/>
      </c>
      <c r="V12502">
        <f t="shared" si="782"/>
        <v>0</v>
      </c>
      <c r="W12502">
        <f t="shared" si="783"/>
        <v>0</v>
      </c>
    </row>
    <row r="12503" spans="5:23" x14ac:dyDescent="0.25">
      <c r="E12503" s="4"/>
      <c r="F12503" s="4"/>
      <c r="G12503" s="33" t="str">
        <f>IFERROR(VLOOKUP($D12503,'Informations sur les produits'!$A$3:$H$10000,8,FALSE),"0")</f>
        <v>0</v>
      </c>
      <c r="K12503" s="4"/>
      <c r="L12503" s="33" t="str">
        <f>IFERROR(VLOOKUP($J12503,'Informations sur les produits'!$A$3:$H$10000,8,FALSE),"0")</f>
        <v>0</v>
      </c>
      <c r="N12503" s="8"/>
      <c r="O12503" s="33" t="str">
        <f>IFERROR(VLOOKUP($M12503,'Informations sur les produits'!$A$3:$H$10000,8,FALSE),"0")</f>
        <v>0</v>
      </c>
      <c r="P12503" s="33">
        <f t="shared" si="780"/>
        <v>0</v>
      </c>
      <c r="Q12503" s="31" t="str">
        <f t="shared" si="781"/>
        <v/>
      </c>
      <c r="R12503" s="32" t="str">
        <f>IFERROR(VLOOKUP($D12503,'Informations sur les produits'!$A$3:$B$15000,2,FALSE),"")</f>
        <v/>
      </c>
      <c r="V12503">
        <f t="shared" si="782"/>
        <v>0</v>
      </c>
      <c r="W12503">
        <f t="shared" si="783"/>
        <v>0</v>
      </c>
    </row>
    <row r="12504" spans="5:23" x14ac:dyDescent="0.25">
      <c r="E12504" s="4"/>
      <c r="F12504" s="4"/>
      <c r="G12504" s="33" t="str">
        <f>IFERROR(VLOOKUP($D12504,'Informations sur les produits'!$A$3:$H$10000,8,FALSE),"0")</f>
        <v>0</v>
      </c>
      <c r="K12504" s="4"/>
      <c r="L12504" s="33" t="str">
        <f>IFERROR(VLOOKUP($J12504,'Informations sur les produits'!$A$3:$H$10000,8,FALSE),"0")</f>
        <v>0</v>
      </c>
      <c r="N12504" s="8"/>
      <c r="O12504" s="33" t="str">
        <f>IFERROR(VLOOKUP($M12504,'Informations sur les produits'!$A$3:$H$10000,8,FALSE),"0")</f>
        <v>0</v>
      </c>
      <c r="P12504" s="33">
        <f t="shared" si="780"/>
        <v>0</v>
      </c>
      <c r="Q12504" s="31" t="str">
        <f t="shared" si="781"/>
        <v/>
      </c>
      <c r="R12504" s="32" t="str">
        <f>IFERROR(VLOOKUP($D12504,'Informations sur les produits'!$A$3:$B$15000,2,FALSE),"")</f>
        <v/>
      </c>
      <c r="V12504">
        <f t="shared" si="782"/>
        <v>0</v>
      </c>
      <c r="W12504">
        <f t="shared" si="783"/>
        <v>0</v>
      </c>
    </row>
    <row r="12505" spans="5:23" x14ac:dyDescent="0.25">
      <c r="E12505" s="4"/>
      <c r="F12505" s="4"/>
      <c r="G12505" s="33" t="str">
        <f>IFERROR(VLOOKUP($D12505,'Informations sur les produits'!$A$3:$H$10000,8,FALSE),"0")</f>
        <v>0</v>
      </c>
      <c r="K12505" s="4"/>
      <c r="L12505" s="33" t="str">
        <f>IFERROR(VLOOKUP($J12505,'Informations sur les produits'!$A$3:$H$10000,8,FALSE),"0")</f>
        <v>0</v>
      </c>
      <c r="N12505" s="8"/>
      <c r="O12505" s="33" t="str">
        <f>IFERROR(VLOOKUP($M12505,'Informations sur les produits'!$A$3:$H$10000,8,FALSE),"0")</f>
        <v>0</v>
      </c>
      <c r="P12505" s="33">
        <f t="shared" si="780"/>
        <v>0</v>
      </c>
      <c r="Q12505" s="31" t="str">
        <f t="shared" si="781"/>
        <v/>
      </c>
      <c r="R12505" s="32" t="str">
        <f>IFERROR(VLOOKUP($D12505,'Informations sur les produits'!$A$3:$B$15000,2,FALSE),"")</f>
        <v/>
      </c>
      <c r="V12505">
        <f t="shared" si="782"/>
        <v>0</v>
      </c>
      <c r="W12505">
        <f t="shared" si="783"/>
        <v>0</v>
      </c>
    </row>
    <row r="12506" spans="5:23" x14ac:dyDescent="0.25">
      <c r="E12506" s="4"/>
      <c r="F12506" s="4"/>
      <c r="G12506" s="33" t="str">
        <f>IFERROR(VLOOKUP($D12506,'Informations sur les produits'!$A$3:$H$10000,8,FALSE),"0")</f>
        <v>0</v>
      </c>
      <c r="K12506" s="4"/>
      <c r="L12506" s="33" t="str">
        <f>IFERROR(VLOOKUP($J12506,'Informations sur les produits'!$A$3:$H$10000,8,FALSE),"0")</f>
        <v>0</v>
      </c>
      <c r="N12506" s="8"/>
      <c r="O12506" s="33" t="str">
        <f>IFERROR(VLOOKUP($M12506,'Informations sur les produits'!$A$3:$H$10000,8,FALSE),"0")</f>
        <v>0</v>
      </c>
      <c r="P12506" s="33">
        <f t="shared" si="780"/>
        <v>0</v>
      </c>
      <c r="Q12506" s="31" t="str">
        <f t="shared" si="781"/>
        <v/>
      </c>
      <c r="R12506" s="32" t="str">
        <f>IFERROR(VLOOKUP($D12506,'Informations sur les produits'!$A$3:$B$15000,2,FALSE),"")</f>
        <v/>
      </c>
      <c r="V12506">
        <f t="shared" si="782"/>
        <v>0</v>
      </c>
      <c r="W12506">
        <f t="shared" si="783"/>
        <v>0</v>
      </c>
    </row>
    <row r="12507" spans="5:23" x14ac:dyDescent="0.25">
      <c r="E12507" s="4"/>
      <c r="F12507" s="4"/>
      <c r="G12507" s="33" t="str">
        <f>IFERROR(VLOOKUP($D12507,'Informations sur les produits'!$A$3:$H$10000,8,FALSE),"0")</f>
        <v>0</v>
      </c>
      <c r="K12507" s="4"/>
      <c r="L12507" s="33" t="str">
        <f>IFERROR(VLOOKUP($J12507,'Informations sur les produits'!$A$3:$H$10000,8,FALSE),"0")</f>
        <v>0</v>
      </c>
      <c r="N12507" s="8"/>
      <c r="O12507" s="33" t="str">
        <f>IFERROR(VLOOKUP($M12507,'Informations sur les produits'!$A$3:$H$10000,8,FALSE),"0")</f>
        <v>0</v>
      </c>
      <c r="P12507" s="33">
        <f t="shared" si="780"/>
        <v>0</v>
      </c>
      <c r="Q12507" s="31" t="str">
        <f t="shared" si="781"/>
        <v/>
      </c>
      <c r="R12507" s="32" t="str">
        <f>IFERROR(VLOOKUP($D12507,'Informations sur les produits'!$A$3:$B$15000,2,FALSE),"")</f>
        <v/>
      </c>
      <c r="V12507">
        <f t="shared" si="782"/>
        <v>0</v>
      </c>
      <c r="W12507">
        <f t="shared" si="783"/>
        <v>0</v>
      </c>
    </row>
    <row r="12508" spans="5:23" x14ac:dyDescent="0.25">
      <c r="E12508" s="4"/>
      <c r="F12508" s="4"/>
      <c r="G12508" s="33" t="str">
        <f>IFERROR(VLOOKUP($D12508,'Informations sur les produits'!$A$3:$H$10000,8,FALSE),"0")</f>
        <v>0</v>
      </c>
      <c r="K12508" s="4"/>
      <c r="L12508" s="33" t="str">
        <f>IFERROR(VLOOKUP($J12508,'Informations sur les produits'!$A$3:$H$10000,8,FALSE),"0")</f>
        <v>0</v>
      </c>
      <c r="N12508" s="8"/>
      <c r="O12508" s="33" t="str">
        <f>IFERROR(VLOOKUP($M12508,'Informations sur les produits'!$A$3:$H$10000,8,FALSE),"0")</f>
        <v>0</v>
      </c>
      <c r="P12508" s="33">
        <f t="shared" si="780"/>
        <v>0</v>
      </c>
      <c r="Q12508" s="31" t="str">
        <f t="shared" si="781"/>
        <v/>
      </c>
      <c r="R12508" s="32" t="str">
        <f>IFERROR(VLOOKUP($D12508,'Informations sur les produits'!$A$3:$B$15000,2,FALSE),"")</f>
        <v/>
      </c>
      <c r="V12508">
        <f t="shared" si="782"/>
        <v>0</v>
      </c>
      <c r="W12508">
        <f t="shared" si="783"/>
        <v>0</v>
      </c>
    </row>
    <row r="12509" spans="5:23" x14ac:dyDescent="0.25">
      <c r="E12509" s="4"/>
      <c r="F12509" s="4"/>
      <c r="G12509" s="33" t="str">
        <f>IFERROR(VLOOKUP($D12509,'Informations sur les produits'!$A$3:$H$10000,8,FALSE),"0")</f>
        <v>0</v>
      </c>
      <c r="K12509" s="4"/>
      <c r="L12509" s="33" t="str">
        <f>IFERROR(VLOOKUP($J12509,'Informations sur les produits'!$A$3:$H$10000,8,FALSE),"0")</f>
        <v>0</v>
      </c>
      <c r="N12509" s="8"/>
      <c r="O12509" s="33" t="str">
        <f>IFERROR(VLOOKUP($M12509,'Informations sur les produits'!$A$3:$H$10000,8,FALSE),"0")</f>
        <v>0</v>
      </c>
      <c r="P12509" s="33">
        <f t="shared" si="780"/>
        <v>0</v>
      </c>
      <c r="Q12509" s="31" t="str">
        <f t="shared" si="781"/>
        <v/>
      </c>
      <c r="R12509" s="32" t="str">
        <f>IFERROR(VLOOKUP($D12509,'Informations sur les produits'!$A$3:$B$15000,2,FALSE),"")</f>
        <v/>
      </c>
      <c r="V12509">
        <f t="shared" si="782"/>
        <v>0</v>
      </c>
      <c r="W12509">
        <f t="shared" si="783"/>
        <v>0</v>
      </c>
    </row>
    <row r="12510" spans="5:23" x14ac:dyDescent="0.25">
      <c r="E12510" s="4"/>
      <c r="F12510" s="4"/>
      <c r="G12510" s="33" t="str">
        <f>IFERROR(VLOOKUP($D12510,'Informations sur les produits'!$A$3:$H$10000,8,FALSE),"0")</f>
        <v>0</v>
      </c>
      <c r="K12510" s="4"/>
      <c r="L12510" s="33" t="str">
        <f>IFERROR(VLOOKUP($J12510,'Informations sur les produits'!$A$3:$H$10000,8,FALSE),"0")</f>
        <v>0</v>
      </c>
      <c r="N12510" s="8"/>
      <c r="O12510" s="33" t="str">
        <f>IFERROR(VLOOKUP($M12510,'Informations sur les produits'!$A$3:$H$10000,8,FALSE),"0")</f>
        <v>0</v>
      </c>
      <c r="P12510" s="33">
        <f t="shared" si="780"/>
        <v>0</v>
      </c>
      <c r="Q12510" s="31" t="str">
        <f t="shared" si="781"/>
        <v/>
      </c>
      <c r="R12510" s="32" t="str">
        <f>IFERROR(VLOOKUP($D12510,'Informations sur les produits'!$A$3:$B$15000,2,FALSE),"")</f>
        <v/>
      </c>
      <c r="V12510">
        <f t="shared" si="782"/>
        <v>0</v>
      </c>
      <c r="W12510">
        <f t="shared" si="783"/>
        <v>0</v>
      </c>
    </row>
    <row r="12511" spans="5:23" x14ac:dyDescent="0.25">
      <c r="E12511" s="4"/>
      <c r="F12511" s="4"/>
      <c r="G12511" s="33" t="str">
        <f>IFERROR(VLOOKUP($D12511,'Informations sur les produits'!$A$3:$H$10000,8,FALSE),"0")</f>
        <v>0</v>
      </c>
      <c r="K12511" s="4"/>
      <c r="L12511" s="33" t="str">
        <f>IFERROR(VLOOKUP($J12511,'Informations sur les produits'!$A$3:$H$10000,8,FALSE),"0")</f>
        <v>0</v>
      </c>
      <c r="N12511" s="8"/>
      <c r="O12511" s="33" t="str">
        <f>IFERROR(VLOOKUP($M12511,'Informations sur les produits'!$A$3:$H$10000,8,FALSE),"0")</f>
        <v>0</v>
      </c>
      <c r="P12511" s="33">
        <f t="shared" si="780"/>
        <v>0</v>
      </c>
      <c r="Q12511" s="31" t="str">
        <f t="shared" si="781"/>
        <v/>
      </c>
      <c r="R12511" s="32" t="str">
        <f>IFERROR(VLOOKUP($D12511,'Informations sur les produits'!$A$3:$B$15000,2,FALSE),"")</f>
        <v/>
      </c>
      <c r="V12511">
        <f t="shared" si="782"/>
        <v>0</v>
      </c>
      <c r="W12511">
        <f t="shared" si="783"/>
        <v>0</v>
      </c>
    </row>
    <row r="12512" spans="5:23" x14ac:dyDescent="0.25">
      <c r="E12512" s="4"/>
      <c r="F12512" s="4"/>
      <c r="G12512" s="33" t="str">
        <f>IFERROR(VLOOKUP($D12512,'Informations sur les produits'!$A$3:$H$10000,8,FALSE),"0")</f>
        <v>0</v>
      </c>
      <c r="K12512" s="4"/>
      <c r="L12512" s="33" t="str">
        <f>IFERROR(VLOOKUP($J12512,'Informations sur les produits'!$A$3:$H$10000,8,FALSE),"0")</f>
        <v>0</v>
      </c>
      <c r="N12512" s="8"/>
      <c r="O12512" s="33" t="str">
        <f>IFERROR(VLOOKUP($M12512,'Informations sur les produits'!$A$3:$H$10000,8,FALSE),"0")</f>
        <v>0</v>
      </c>
      <c r="P12512" s="33">
        <f t="shared" si="780"/>
        <v>0</v>
      </c>
      <c r="Q12512" s="31" t="str">
        <f t="shared" si="781"/>
        <v/>
      </c>
      <c r="R12512" s="32" t="str">
        <f>IFERROR(VLOOKUP($D12512,'Informations sur les produits'!$A$3:$B$15000,2,FALSE),"")</f>
        <v/>
      </c>
      <c r="V12512">
        <f t="shared" si="782"/>
        <v>0</v>
      </c>
      <c r="W12512">
        <f t="shared" si="783"/>
        <v>0</v>
      </c>
    </row>
    <row r="12513" spans="5:23" x14ac:dyDescent="0.25">
      <c r="E12513" s="4"/>
      <c r="F12513" s="4"/>
      <c r="G12513" s="33" t="str">
        <f>IFERROR(VLOOKUP($D12513,'Informations sur les produits'!$A$3:$H$10000,8,FALSE),"0")</f>
        <v>0</v>
      </c>
      <c r="K12513" s="4"/>
      <c r="L12513" s="33" t="str">
        <f>IFERROR(VLOOKUP($J12513,'Informations sur les produits'!$A$3:$H$10000,8,FALSE),"0")</f>
        <v>0</v>
      </c>
      <c r="N12513" s="8"/>
      <c r="O12513" s="33" t="str">
        <f>IFERROR(VLOOKUP($M12513,'Informations sur les produits'!$A$3:$H$10000,8,FALSE),"0")</f>
        <v>0</v>
      </c>
      <c r="P12513" s="33">
        <f t="shared" si="780"/>
        <v>0</v>
      </c>
      <c r="Q12513" s="31" t="str">
        <f t="shared" si="781"/>
        <v/>
      </c>
      <c r="R12513" s="32" t="str">
        <f>IFERROR(VLOOKUP($D12513,'Informations sur les produits'!$A$3:$B$15000,2,FALSE),"")</f>
        <v/>
      </c>
      <c r="V12513">
        <f t="shared" si="782"/>
        <v>0</v>
      </c>
      <c r="W12513">
        <f t="shared" si="783"/>
        <v>0</v>
      </c>
    </row>
    <row r="12514" spans="5:23" x14ac:dyDescent="0.25">
      <c r="E12514" s="4"/>
      <c r="F12514" s="4"/>
      <c r="G12514" s="33" t="str">
        <f>IFERROR(VLOOKUP($D12514,'Informations sur les produits'!$A$3:$H$10000,8,FALSE),"0")</f>
        <v>0</v>
      </c>
      <c r="K12514" s="4"/>
      <c r="L12514" s="33" t="str">
        <f>IFERROR(VLOOKUP($J12514,'Informations sur les produits'!$A$3:$H$10000,8,FALSE),"0")</f>
        <v>0</v>
      </c>
      <c r="N12514" s="8"/>
      <c r="O12514" s="33" t="str">
        <f>IFERROR(VLOOKUP($M12514,'Informations sur les produits'!$A$3:$H$10000,8,FALSE),"0")</f>
        <v>0</v>
      </c>
      <c r="P12514" s="33">
        <f t="shared" si="780"/>
        <v>0</v>
      </c>
      <c r="Q12514" s="31" t="str">
        <f t="shared" si="781"/>
        <v/>
      </c>
      <c r="R12514" s="32" t="str">
        <f>IFERROR(VLOOKUP($D12514,'Informations sur les produits'!$A$3:$B$15000,2,FALSE),"")</f>
        <v/>
      </c>
      <c r="V12514">
        <f t="shared" si="782"/>
        <v>0</v>
      </c>
      <c r="W12514">
        <f t="shared" si="783"/>
        <v>0</v>
      </c>
    </row>
    <row r="12515" spans="5:23" x14ac:dyDescent="0.25">
      <c r="E12515" s="4"/>
      <c r="F12515" s="4"/>
      <c r="G12515" s="33" t="str">
        <f>IFERROR(VLOOKUP($D12515,'Informations sur les produits'!$A$3:$H$10000,8,FALSE),"0")</f>
        <v>0</v>
      </c>
      <c r="K12515" s="4"/>
      <c r="L12515" s="33" t="str">
        <f>IFERROR(VLOOKUP($J12515,'Informations sur les produits'!$A$3:$H$10000,8,FALSE),"0")</f>
        <v>0</v>
      </c>
      <c r="N12515" s="8"/>
      <c r="O12515" s="33" t="str">
        <f>IFERROR(VLOOKUP($M12515,'Informations sur les produits'!$A$3:$H$10000,8,FALSE),"0")</f>
        <v>0</v>
      </c>
      <c r="P12515" s="33">
        <f t="shared" si="780"/>
        <v>0</v>
      </c>
      <c r="Q12515" s="31" t="str">
        <f t="shared" si="781"/>
        <v/>
      </c>
      <c r="R12515" s="32" t="str">
        <f>IFERROR(VLOOKUP($D12515,'Informations sur les produits'!$A$3:$B$15000,2,FALSE),"")</f>
        <v/>
      </c>
      <c r="V12515">
        <f t="shared" si="782"/>
        <v>0</v>
      </c>
      <c r="W12515">
        <f t="shared" si="783"/>
        <v>0</v>
      </c>
    </row>
    <row r="12516" spans="5:23" x14ac:dyDescent="0.25">
      <c r="E12516" s="4"/>
      <c r="F12516" s="4"/>
      <c r="G12516" s="33" t="str">
        <f>IFERROR(VLOOKUP($D12516,'Informations sur les produits'!$A$3:$H$10000,8,FALSE),"0")</f>
        <v>0</v>
      </c>
      <c r="K12516" s="4"/>
      <c r="L12516" s="33" t="str">
        <f>IFERROR(VLOOKUP($J12516,'Informations sur les produits'!$A$3:$H$10000,8,FALSE),"0")</f>
        <v>0</v>
      </c>
      <c r="N12516" s="8"/>
      <c r="O12516" s="33" t="str">
        <f>IFERROR(VLOOKUP($M12516,'Informations sur les produits'!$A$3:$H$10000,8,FALSE),"0")</f>
        <v>0</v>
      </c>
      <c r="P12516" s="33">
        <f t="shared" si="780"/>
        <v>0</v>
      </c>
      <c r="Q12516" s="31" t="str">
        <f t="shared" si="781"/>
        <v/>
      </c>
      <c r="R12516" s="32" t="str">
        <f>IFERROR(VLOOKUP($D12516,'Informations sur les produits'!$A$3:$B$15000,2,FALSE),"")</f>
        <v/>
      </c>
      <c r="V12516">
        <f t="shared" si="782"/>
        <v>0</v>
      </c>
      <c r="W12516">
        <f t="shared" si="783"/>
        <v>0</v>
      </c>
    </row>
    <row r="12517" spans="5:23" x14ac:dyDescent="0.25">
      <c r="E12517" s="4"/>
      <c r="F12517" s="4"/>
      <c r="G12517" s="33" t="str">
        <f>IFERROR(VLOOKUP($D12517,'Informations sur les produits'!$A$3:$H$10000,8,FALSE),"0")</f>
        <v>0</v>
      </c>
      <c r="K12517" s="4"/>
      <c r="L12517" s="33" t="str">
        <f>IFERROR(VLOOKUP($J12517,'Informations sur les produits'!$A$3:$H$10000,8,FALSE),"0")</f>
        <v>0</v>
      </c>
      <c r="N12517" s="8"/>
      <c r="O12517" s="33" t="str">
        <f>IFERROR(VLOOKUP($M12517,'Informations sur les produits'!$A$3:$H$10000,8,FALSE),"0")</f>
        <v>0</v>
      </c>
      <c r="P12517" s="33">
        <f t="shared" si="780"/>
        <v>0</v>
      </c>
      <c r="Q12517" s="31" t="str">
        <f t="shared" si="781"/>
        <v/>
      </c>
      <c r="R12517" s="32" t="str">
        <f>IFERROR(VLOOKUP($D12517,'Informations sur les produits'!$A$3:$B$15000,2,FALSE),"")</f>
        <v/>
      </c>
      <c r="V12517">
        <f t="shared" si="782"/>
        <v>0</v>
      </c>
      <c r="W12517">
        <f t="shared" si="783"/>
        <v>0</v>
      </c>
    </row>
    <row r="12518" spans="5:23" x14ac:dyDescent="0.25">
      <c r="E12518" s="4"/>
      <c r="F12518" s="4"/>
      <c r="G12518" s="33" t="str">
        <f>IFERROR(VLOOKUP($D12518,'Informations sur les produits'!$A$3:$H$10000,8,FALSE),"0")</f>
        <v>0</v>
      </c>
      <c r="K12518" s="4"/>
      <c r="L12518" s="33" t="str">
        <f>IFERROR(VLOOKUP($J12518,'Informations sur les produits'!$A$3:$H$10000,8,FALSE),"0")</f>
        <v>0</v>
      </c>
      <c r="N12518" s="8"/>
      <c r="O12518" s="33" t="str">
        <f>IFERROR(VLOOKUP($M12518,'Informations sur les produits'!$A$3:$H$10000,8,FALSE),"0")</f>
        <v>0</v>
      </c>
      <c r="P12518" s="33">
        <f t="shared" si="780"/>
        <v>0</v>
      </c>
      <c r="Q12518" s="31" t="str">
        <f t="shared" si="781"/>
        <v/>
      </c>
      <c r="R12518" s="32" t="str">
        <f>IFERROR(VLOOKUP($D12518,'Informations sur les produits'!$A$3:$B$15000,2,FALSE),"")</f>
        <v/>
      </c>
      <c r="V12518">
        <f t="shared" si="782"/>
        <v>0</v>
      </c>
      <c r="W12518">
        <f t="shared" si="783"/>
        <v>0</v>
      </c>
    </row>
    <row r="12519" spans="5:23" x14ac:dyDescent="0.25">
      <c r="E12519" s="4"/>
      <c r="F12519" s="4"/>
      <c r="G12519" s="33" t="str">
        <f>IFERROR(VLOOKUP($D12519,'Informations sur les produits'!$A$3:$H$10000,8,FALSE),"0")</f>
        <v>0</v>
      </c>
      <c r="K12519" s="4"/>
      <c r="L12519" s="33" t="str">
        <f>IFERROR(VLOOKUP($J12519,'Informations sur les produits'!$A$3:$H$10000,8,FALSE),"0")</f>
        <v>0</v>
      </c>
      <c r="N12519" s="8"/>
      <c r="O12519" s="33" t="str">
        <f>IFERROR(VLOOKUP($M12519,'Informations sur les produits'!$A$3:$H$10000,8,FALSE),"0")</f>
        <v>0</v>
      </c>
      <c r="P12519" s="33">
        <f t="shared" si="780"/>
        <v>0</v>
      </c>
      <c r="Q12519" s="31" t="str">
        <f t="shared" si="781"/>
        <v/>
      </c>
      <c r="R12519" s="32" t="str">
        <f>IFERROR(VLOOKUP($D12519,'Informations sur les produits'!$A$3:$B$15000,2,FALSE),"")</f>
        <v/>
      </c>
      <c r="V12519">
        <f t="shared" si="782"/>
        <v>0</v>
      </c>
      <c r="W12519">
        <f t="shared" si="783"/>
        <v>0</v>
      </c>
    </row>
    <row r="12520" spans="5:23" x14ac:dyDescent="0.25">
      <c r="E12520" s="4"/>
      <c r="F12520" s="4"/>
      <c r="G12520" s="33" t="str">
        <f>IFERROR(VLOOKUP($D12520,'Informations sur les produits'!$A$3:$H$10000,8,FALSE),"0")</f>
        <v>0</v>
      </c>
      <c r="K12520" s="4"/>
      <c r="L12520" s="33" t="str">
        <f>IFERROR(VLOOKUP($J12520,'Informations sur les produits'!$A$3:$H$10000,8,FALSE),"0")</f>
        <v>0</v>
      </c>
      <c r="N12520" s="8"/>
      <c r="O12520" s="33" t="str">
        <f>IFERROR(VLOOKUP($M12520,'Informations sur les produits'!$A$3:$H$10000,8,FALSE),"0")</f>
        <v>0</v>
      </c>
      <c r="P12520" s="33">
        <f t="shared" si="780"/>
        <v>0</v>
      </c>
      <c r="Q12520" s="31" t="str">
        <f t="shared" si="781"/>
        <v/>
      </c>
      <c r="R12520" s="32" t="str">
        <f>IFERROR(VLOOKUP($D12520,'Informations sur les produits'!$A$3:$B$15000,2,FALSE),"")</f>
        <v/>
      </c>
      <c r="V12520">
        <f t="shared" si="782"/>
        <v>0</v>
      </c>
      <c r="W12520">
        <f t="shared" si="783"/>
        <v>0</v>
      </c>
    </row>
    <row r="12521" spans="5:23" x14ac:dyDescent="0.25">
      <c r="E12521" s="4"/>
      <c r="F12521" s="4"/>
      <c r="G12521" s="33" t="str">
        <f>IFERROR(VLOOKUP($D12521,'Informations sur les produits'!$A$3:$H$10000,8,FALSE),"0")</f>
        <v>0</v>
      </c>
      <c r="K12521" s="4"/>
      <c r="L12521" s="33" t="str">
        <f>IFERROR(VLOOKUP($J12521,'Informations sur les produits'!$A$3:$H$10000,8,FALSE),"0")</f>
        <v>0</v>
      </c>
      <c r="N12521" s="8"/>
      <c r="O12521" s="33" t="str">
        <f>IFERROR(VLOOKUP($M12521,'Informations sur les produits'!$A$3:$H$10000,8,FALSE),"0")</f>
        <v>0</v>
      </c>
      <c r="P12521" s="33">
        <f t="shared" si="780"/>
        <v>0</v>
      </c>
      <c r="Q12521" s="31" t="str">
        <f t="shared" si="781"/>
        <v/>
      </c>
      <c r="R12521" s="32" t="str">
        <f>IFERROR(VLOOKUP($D12521,'Informations sur les produits'!$A$3:$B$15000,2,FALSE),"")</f>
        <v/>
      </c>
      <c r="V12521">
        <f t="shared" si="782"/>
        <v>0</v>
      </c>
      <c r="W12521">
        <f t="shared" si="783"/>
        <v>0</v>
      </c>
    </row>
    <row r="12522" spans="5:23" x14ac:dyDescent="0.25">
      <c r="E12522" s="4"/>
      <c r="F12522" s="4"/>
      <c r="G12522" s="33" t="str">
        <f>IFERROR(VLOOKUP($D12522,'Informations sur les produits'!$A$3:$H$10000,8,FALSE),"0")</f>
        <v>0</v>
      </c>
      <c r="K12522" s="4"/>
      <c r="L12522" s="33" t="str">
        <f>IFERROR(VLOOKUP($J12522,'Informations sur les produits'!$A$3:$H$10000,8,FALSE),"0")</f>
        <v>0</v>
      </c>
      <c r="N12522" s="8"/>
      <c r="O12522" s="33" t="str">
        <f>IFERROR(VLOOKUP($M12522,'Informations sur les produits'!$A$3:$H$10000,8,FALSE),"0")</f>
        <v>0</v>
      </c>
      <c r="P12522" s="33">
        <f t="shared" si="780"/>
        <v>0</v>
      </c>
      <c r="Q12522" s="31" t="str">
        <f t="shared" si="781"/>
        <v/>
      </c>
      <c r="R12522" s="32" t="str">
        <f>IFERROR(VLOOKUP($D12522,'Informations sur les produits'!$A$3:$B$15000,2,FALSE),"")</f>
        <v/>
      </c>
      <c r="V12522">
        <f t="shared" si="782"/>
        <v>0</v>
      </c>
      <c r="W12522">
        <f t="shared" si="783"/>
        <v>0</v>
      </c>
    </row>
    <row r="12523" spans="5:23" x14ac:dyDescent="0.25">
      <c r="E12523" s="4"/>
      <c r="F12523" s="4"/>
      <c r="G12523" s="33" t="str">
        <f>IFERROR(VLOOKUP($D12523,'Informations sur les produits'!$A$3:$H$10000,8,FALSE),"0")</f>
        <v>0</v>
      </c>
      <c r="K12523" s="4"/>
      <c r="L12523" s="33" t="str">
        <f>IFERROR(VLOOKUP($J12523,'Informations sur les produits'!$A$3:$H$10000,8,FALSE),"0")</f>
        <v>0</v>
      </c>
      <c r="N12523" s="8"/>
      <c r="O12523" s="33" t="str">
        <f>IFERROR(VLOOKUP($M12523,'Informations sur les produits'!$A$3:$H$10000,8,FALSE),"0")</f>
        <v>0</v>
      </c>
      <c r="P12523" s="33">
        <f t="shared" si="780"/>
        <v>0</v>
      </c>
      <c r="Q12523" s="31" t="str">
        <f t="shared" si="781"/>
        <v/>
      </c>
      <c r="R12523" s="32" t="str">
        <f>IFERROR(VLOOKUP($D12523,'Informations sur les produits'!$A$3:$B$15000,2,FALSE),"")</f>
        <v/>
      </c>
      <c r="V12523">
        <f t="shared" si="782"/>
        <v>0</v>
      </c>
      <c r="W12523">
        <f t="shared" si="783"/>
        <v>0</v>
      </c>
    </row>
    <row r="12524" spans="5:23" x14ac:dyDescent="0.25">
      <c r="E12524" s="4"/>
      <c r="F12524" s="4"/>
      <c r="G12524" s="33" t="str">
        <f>IFERROR(VLOOKUP($D12524,'Informations sur les produits'!$A$3:$H$10000,8,FALSE),"0")</f>
        <v>0</v>
      </c>
      <c r="K12524" s="4"/>
      <c r="L12524" s="33" t="str">
        <f>IFERROR(VLOOKUP($J12524,'Informations sur les produits'!$A$3:$H$10000,8,FALSE),"0")</f>
        <v>0</v>
      </c>
      <c r="N12524" s="8"/>
      <c r="O12524" s="33" t="str">
        <f>IFERROR(VLOOKUP($M12524,'Informations sur les produits'!$A$3:$H$10000,8,FALSE),"0")</f>
        <v>0</v>
      </c>
      <c r="P12524" s="33">
        <f t="shared" si="780"/>
        <v>0</v>
      </c>
      <c r="Q12524" s="31" t="str">
        <f t="shared" si="781"/>
        <v/>
      </c>
      <c r="R12524" s="32" t="str">
        <f>IFERROR(VLOOKUP($D12524,'Informations sur les produits'!$A$3:$B$15000,2,FALSE),"")</f>
        <v/>
      </c>
      <c r="V12524">
        <f t="shared" si="782"/>
        <v>0</v>
      </c>
      <c r="W12524">
        <f t="shared" si="783"/>
        <v>0</v>
      </c>
    </row>
    <row r="12525" spans="5:23" x14ac:dyDescent="0.25">
      <c r="E12525" s="4"/>
      <c r="F12525" s="4"/>
      <c r="G12525" s="33" t="str">
        <f>IFERROR(VLOOKUP($D12525,'Informations sur les produits'!$A$3:$H$10000,8,FALSE),"0")</f>
        <v>0</v>
      </c>
      <c r="K12525" s="4"/>
      <c r="L12525" s="33" t="str">
        <f>IFERROR(VLOOKUP($J12525,'Informations sur les produits'!$A$3:$H$10000,8,FALSE),"0")</f>
        <v>0</v>
      </c>
      <c r="N12525" s="8"/>
      <c r="O12525" s="33" t="str">
        <f>IFERROR(VLOOKUP($M12525,'Informations sur les produits'!$A$3:$H$10000,8,FALSE),"0")</f>
        <v>0</v>
      </c>
      <c r="P12525" s="33">
        <f t="shared" si="780"/>
        <v>0</v>
      </c>
      <c r="Q12525" s="31" t="str">
        <f t="shared" si="781"/>
        <v/>
      </c>
      <c r="R12525" s="32" t="str">
        <f>IFERROR(VLOOKUP($D12525,'Informations sur les produits'!$A$3:$B$15000,2,FALSE),"")</f>
        <v/>
      </c>
      <c r="V12525">
        <f t="shared" si="782"/>
        <v>0</v>
      </c>
      <c r="W12525">
        <f t="shared" si="783"/>
        <v>0</v>
      </c>
    </row>
    <row r="12526" spans="5:23" x14ac:dyDescent="0.25">
      <c r="E12526" s="4"/>
      <c r="F12526" s="4"/>
      <c r="G12526" s="33" t="str">
        <f>IFERROR(VLOOKUP($D12526,'Informations sur les produits'!$A$3:$H$10000,8,FALSE),"0")</f>
        <v>0</v>
      </c>
      <c r="K12526" s="4"/>
      <c r="L12526" s="33" t="str">
        <f>IFERROR(VLOOKUP($J12526,'Informations sur les produits'!$A$3:$H$10000,8,FALSE),"0")</f>
        <v>0</v>
      </c>
      <c r="N12526" s="8"/>
      <c r="O12526" s="33" t="str">
        <f>IFERROR(VLOOKUP($M12526,'Informations sur les produits'!$A$3:$H$10000,8,FALSE),"0")</f>
        <v>0</v>
      </c>
      <c r="P12526" s="33">
        <f t="shared" si="780"/>
        <v>0</v>
      </c>
      <c r="Q12526" s="31" t="str">
        <f t="shared" si="781"/>
        <v/>
      </c>
      <c r="R12526" s="32" t="str">
        <f>IFERROR(VLOOKUP($D12526,'Informations sur les produits'!$A$3:$B$15000,2,FALSE),"")</f>
        <v/>
      </c>
      <c r="V12526">
        <f t="shared" si="782"/>
        <v>0</v>
      </c>
      <c r="W12526">
        <f t="shared" si="783"/>
        <v>0</v>
      </c>
    </row>
    <row r="12527" spans="5:23" x14ac:dyDescent="0.25">
      <c r="E12527" s="4"/>
      <c r="F12527" s="4"/>
      <c r="G12527" s="33" t="str">
        <f>IFERROR(VLOOKUP($D12527,'Informations sur les produits'!$A$3:$H$10000,8,FALSE),"0")</f>
        <v>0</v>
      </c>
      <c r="K12527" s="4"/>
      <c r="L12527" s="33" t="str">
        <f>IFERROR(VLOOKUP($J12527,'Informations sur les produits'!$A$3:$H$10000,8,FALSE),"0")</f>
        <v>0</v>
      </c>
      <c r="N12527" s="8"/>
      <c r="O12527" s="33" t="str">
        <f>IFERROR(VLOOKUP($M12527,'Informations sur les produits'!$A$3:$H$10000,8,FALSE),"0")</f>
        <v>0</v>
      </c>
      <c r="P12527" s="33">
        <f t="shared" si="780"/>
        <v>0</v>
      </c>
      <c r="Q12527" s="31" t="str">
        <f t="shared" si="781"/>
        <v/>
      </c>
      <c r="R12527" s="32" t="str">
        <f>IFERROR(VLOOKUP($D12527,'Informations sur les produits'!$A$3:$B$15000,2,FALSE),"")</f>
        <v/>
      </c>
      <c r="V12527">
        <f t="shared" si="782"/>
        <v>0</v>
      </c>
      <c r="W12527">
        <f t="shared" si="783"/>
        <v>0</v>
      </c>
    </row>
    <row r="12528" spans="5:23" x14ac:dyDescent="0.25">
      <c r="E12528" s="4"/>
      <c r="F12528" s="4"/>
      <c r="G12528" s="33" t="str">
        <f>IFERROR(VLOOKUP($D12528,'Informations sur les produits'!$A$3:$H$10000,8,FALSE),"0")</f>
        <v>0</v>
      </c>
      <c r="K12528" s="4"/>
      <c r="L12528" s="33" t="str">
        <f>IFERROR(VLOOKUP($J12528,'Informations sur les produits'!$A$3:$H$10000,8,FALSE),"0")</f>
        <v>0</v>
      </c>
      <c r="N12528" s="8"/>
      <c r="O12528" s="33" t="str">
        <f>IFERROR(VLOOKUP($M12528,'Informations sur les produits'!$A$3:$H$10000,8,FALSE),"0")</f>
        <v>0</v>
      </c>
      <c r="P12528" s="33">
        <f t="shared" si="780"/>
        <v>0</v>
      </c>
      <c r="Q12528" s="31" t="str">
        <f t="shared" si="781"/>
        <v/>
      </c>
      <c r="R12528" s="32" t="str">
        <f>IFERROR(VLOOKUP($D12528,'Informations sur les produits'!$A$3:$B$15000,2,FALSE),"")</f>
        <v/>
      </c>
      <c r="V12528">
        <f t="shared" si="782"/>
        <v>0</v>
      </c>
      <c r="W12528">
        <f t="shared" si="783"/>
        <v>0</v>
      </c>
    </row>
    <row r="12529" spans="5:23" x14ac:dyDescent="0.25">
      <c r="E12529" s="4"/>
      <c r="F12529" s="4"/>
      <c r="G12529" s="33" t="str">
        <f>IFERROR(VLOOKUP($D12529,'Informations sur les produits'!$A$3:$H$10000,8,FALSE),"0")</f>
        <v>0</v>
      </c>
      <c r="K12529" s="4"/>
      <c r="L12529" s="33" t="str">
        <f>IFERROR(VLOOKUP($J12529,'Informations sur les produits'!$A$3:$H$10000,8,FALSE),"0")</f>
        <v>0</v>
      </c>
      <c r="N12529" s="8"/>
      <c r="O12529" s="33" t="str">
        <f>IFERROR(VLOOKUP($M12529,'Informations sur les produits'!$A$3:$H$10000,8,FALSE),"0")</f>
        <v>0</v>
      </c>
      <c r="P12529" s="33">
        <f t="shared" si="780"/>
        <v>0</v>
      </c>
      <c r="Q12529" s="31" t="str">
        <f t="shared" si="781"/>
        <v/>
      </c>
      <c r="R12529" s="32" t="str">
        <f>IFERROR(VLOOKUP($D12529,'Informations sur les produits'!$A$3:$B$15000,2,FALSE),"")</f>
        <v/>
      </c>
      <c r="V12529">
        <f t="shared" si="782"/>
        <v>0</v>
      </c>
      <c r="W12529">
        <f t="shared" si="783"/>
        <v>0</v>
      </c>
    </row>
    <row r="12530" spans="5:23" x14ac:dyDescent="0.25">
      <c r="E12530" s="4"/>
      <c r="F12530" s="4"/>
      <c r="G12530" s="33" t="str">
        <f>IFERROR(VLOOKUP($D12530,'Informations sur les produits'!$A$3:$H$10000,8,FALSE),"0")</f>
        <v>0</v>
      </c>
      <c r="K12530" s="4"/>
      <c r="L12530" s="33" t="str">
        <f>IFERROR(VLOOKUP($J12530,'Informations sur les produits'!$A$3:$H$10000,8,FALSE),"0")</f>
        <v>0</v>
      </c>
      <c r="N12530" s="8"/>
      <c r="O12530" s="33" t="str">
        <f>IFERROR(VLOOKUP($M12530,'Informations sur les produits'!$A$3:$H$10000,8,FALSE),"0")</f>
        <v>0</v>
      </c>
      <c r="P12530" s="33">
        <f t="shared" si="780"/>
        <v>0</v>
      </c>
      <c r="Q12530" s="31" t="str">
        <f t="shared" si="781"/>
        <v/>
      </c>
      <c r="R12530" s="32" t="str">
        <f>IFERROR(VLOOKUP($D12530,'Informations sur les produits'!$A$3:$B$15000,2,FALSE),"")</f>
        <v/>
      </c>
      <c r="V12530">
        <f t="shared" si="782"/>
        <v>0</v>
      </c>
      <c r="W12530">
        <f t="shared" si="783"/>
        <v>0</v>
      </c>
    </row>
    <row r="12531" spans="5:23" x14ac:dyDescent="0.25">
      <c r="E12531" s="4"/>
      <c r="F12531" s="4"/>
      <c r="G12531" s="33" t="str">
        <f>IFERROR(VLOOKUP($D12531,'Informations sur les produits'!$A$3:$H$10000,8,FALSE),"0")</f>
        <v>0</v>
      </c>
      <c r="K12531" s="4"/>
      <c r="L12531" s="33" t="str">
        <f>IFERROR(VLOOKUP($J12531,'Informations sur les produits'!$A$3:$H$10000,8,FALSE),"0")</f>
        <v>0</v>
      </c>
      <c r="N12531" s="8"/>
      <c r="O12531" s="33" t="str">
        <f>IFERROR(VLOOKUP($M12531,'Informations sur les produits'!$A$3:$H$10000,8,FALSE),"0")</f>
        <v>0</v>
      </c>
      <c r="P12531" s="33">
        <f t="shared" si="780"/>
        <v>0</v>
      </c>
      <c r="Q12531" s="31" t="str">
        <f t="shared" si="781"/>
        <v/>
      </c>
      <c r="R12531" s="32" t="str">
        <f>IFERROR(VLOOKUP($D12531,'Informations sur les produits'!$A$3:$B$15000,2,FALSE),"")</f>
        <v/>
      </c>
      <c r="V12531">
        <f t="shared" si="782"/>
        <v>0</v>
      </c>
      <c r="W12531">
        <f t="shared" si="783"/>
        <v>0</v>
      </c>
    </row>
    <row r="12532" spans="5:23" x14ac:dyDescent="0.25">
      <c r="E12532" s="4"/>
      <c r="F12532" s="4"/>
      <c r="G12532" s="33" t="str">
        <f>IFERROR(VLOOKUP($D12532,'Informations sur les produits'!$A$3:$H$10000,8,FALSE),"0")</f>
        <v>0</v>
      </c>
      <c r="K12532" s="4"/>
      <c r="L12532" s="33" t="str">
        <f>IFERROR(VLOOKUP($J12532,'Informations sur les produits'!$A$3:$H$10000,8,FALSE),"0")</f>
        <v>0</v>
      </c>
      <c r="N12532" s="8"/>
      <c r="O12532" s="33" t="str">
        <f>IFERROR(VLOOKUP($M12532,'Informations sur les produits'!$A$3:$H$10000,8,FALSE),"0")</f>
        <v>0</v>
      </c>
      <c r="P12532" s="33">
        <f t="shared" si="780"/>
        <v>0</v>
      </c>
      <c r="Q12532" s="31" t="str">
        <f t="shared" si="781"/>
        <v/>
      </c>
      <c r="R12532" s="32" t="str">
        <f>IFERROR(VLOOKUP($D12532,'Informations sur les produits'!$A$3:$B$15000,2,FALSE),"")</f>
        <v/>
      </c>
      <c r="V12532">
        <f t="shared" si="782"/>
        <v>0</v>
      </c>
      <c r="W12532">
        <f t="shared" si="783"/>
        <v>0</v>
      </c>
    </row>
    <row r="12533" spans="5:23" x14ac:dyDescent="0.25">
      <c r="E12533" s="4"/>
      <c r="F12533" s="4"/>
      <c r="G12533" s="33" t="str">
        <f>IFERROR(VLOOKUP($D12533,'Informations sur les produits'!$A$3:$H$10000,8,FALSE),"0")</f>
        <v>0</v>
      </c>
      <c r="K12533" s="4"/>
      <c r="L12533" s="33" t="str">
        <f>IFERROR(VLOOKUP($J12533,'Informations sur les produits'!$A$3:$H$10000,8,FALSE),"0")</f>
        <v>0</v>
      </c>
      <c r="N12533" s="8"/>
      <c r="O12533" s="33" t="str">
        <f>IFERROR(VLOOKUP($M12533,'Informations sur les produits'!$A$3:$H$10000,8,FALSE),"0")</f>
        <v>0</v>
      </c>
      <c r="P12533" s="33">
        <f t="shared" si="780"/>
        <v>0</v>
      </c>
      <c r="Q12533" s="31" t="str">
        <f t="shared" si="781"/>
        <v/>
      </c>
      <c r="R12533" s="32" t="str">
        <f>IFERROR(VLOOKUP($D12533,'Informations sur les produits'!$A$3:$B$15000,2,FALSE),"")</f>
        <v/>
      </c>
      <c r="V12533">
        <f t="shared" si="782"/>
        <v>0</v>
      </c>
      <c r="W12533">
        <f t="shared" si="783"/>
        <v>0</v>
      </c>
    </row>
    <row r="12534" spans="5:23" x14ac:dyDescent="0.25">
      <c r="E12534" s="4"/>
      <c r="F12534" s="4"/>
      <c r="G12534" s="33" t="str">
        <f>IFERROR(VLOOKUP($D12534,'Informations sur les produits'!$A$3:$H$10000,8,FALSE),"0")</f>
        <v>0</v>
      </c>
      <c r="K12534" s="4"/>
      <c r="L12534" s="33" t="str">
        <f>IFERROR(VLOOKUP($J12534,'Informations sur les produits'!$A$3:$H$10000,8,FALSE),"0")</f>
        <v>0</v>
      </c>
      <c r="N12534" s="8"/>
      <c r="O12534" s="33" t="str">
        <f>IFERROR(VLOOKUP($M12534,'Informations sur les produits'!$A$3:$H$10000,8,FALSE),"0")</f>
        <v>0</v>
      </c>
      <c r="P12534" s="33">
        <f t="shared" si="780"/>
        <v>0</v>
      </c>
      <c r="Q12534" s="31" t="str">
        <f t="shared" si="781"/>
        <v/>
      </c>
      <c r="R12534" s="32" t="str">
        <f>IFERROR(VLOOKUP($D12534,'Informations sur les produits'!$A$3:$B$15000,2,FALSE),"")</f>
        <v/>
      </c>
      <c r="V12534">
        <f t="shared" si="782"/>
        <v>0</v>
      </c>
      <c r="W12534">
        <f t="shared" si="783"/>
        <v>0</v>
      </c>
    </row>
    <row r="12535" spans="5:23" x14ac:dyDescent="0.25">
      <c r="E12535" s="4"/>
      <c r="F12535" s="4"/>
      <c r="G12535" s="33" t="str">
        <f>IFERROR(VLOOKUP($D12535,'Informations sur les produits'!$A$3:$H$10000,8,FALSE),"0")</f>
        <v>0</v>
      </c>
      <c r="K12535" s="4"/>
      <c r="L12535" s="33" t="str">
        <f>IFERROR(VLOOKUP($J12535,'Informations sur les produits'!$A$3:$H$10000,8,FALSE),"0")</f>
        <v>0</v>
      </c>
      <c r="N12535" s="8"/>
      <c r="O12535" s="33" t="str">
        <f>IFERROR(VLOOKUP($M12535,'Informations sur les produits'!$A$3:$H$10000,8,FALSE),"0")</f>
        <v>0</v>
      </c>
      <c r="P12535" s="33">
        <f t="shared" si="780"/>
        <v>0</v>
      </c>
      <c r="Q12535" s="31" t="str">
        <f t="shared" si="781"/>
        <v/>
      </c>
      <c r="R12535" s="32" t="str">
        <f>IFERROR(VLOOKUP($D12535,'Informations sur les produits'!$A$3:$B$15000,2,FALSE),"")</f>
        <v/>
      </c>
      <c r="V12535">
        <f t="shared" si="782"/>
        <v>0</v>
      </c>
      <c r="W12535">
        <f t="shared" si="783"/>
        <v>0</v>
      </c>
    </row>
    <row r="12536" spans="5:23" x14ac:dyDescent="0.25">
      <c r="E12536" s="4"/>
      <c r="F12536" s="4"/>
      <c r="G12536" s="33" t="str">
        <f>IFERROR(VLOOKUP($D12536,'Informations sur les produits'!$A$3:$H$10000,8,FALSE),"0")</f>
        <v>0</v>
      </c>
      <c r="K12536" s="4"/>
      <c r="L12536" s="33" t="str">
        <f>IFERROR(VLOOKUP($J12536,'Informations sur les produits'!$A$3:$H$10000,8,FALSE),"0")</f>
        <v>0</v>
      </c>
      <c r="N12536" s="8"/>
      <c r="O12536" s="33" t="str">
        <f>IFERROR(VLOOKUP($M12536,'Informations sur les produits'!$A$3:$H$10000,8,FALSE),"0")</f>
        <v>0</v>
      </c>
      <c r="P12536" s="33">
        <f t="shared" si="780"/>
        <v>0</v>
      </c>
      <c r="Q12536" s="31" t="str">
        <f t="shared" si="781"/>
        <v/>
      </c>
      <c r="R12536" s="32" t="str">
        <f>IFERROR(VLOOKUP($D12536,'Informations sur les produits'!$A$3:$B$15000,2,FALSE),"")</f>
        <v/>
      </c>
      <c r="V12536">
        <f t="shared" si="782"/>
        <v>0</v>
      </c>
      <c r="W12536">
        <f t="shared" si="783"/>
        <v>0</v>
      </c>
    </row>
    <row r="12537" spans="5:23" x14ac:dyDescent="0.25">
      <c r="E12537" s="4"/>
      <c r="F12537" s="4"/>
      <c r="G12537" s="33" t="str">
        <f>IFERROR(VLOOKUP($D12537,'Informations sur les produits'!$A$3:$H$10000,8,FALSE),"0")</f>
        <v>0</v>
      </c>
      <c r="K12537" s="4"/>
      <c r="L12537" s="33" t="str">
        <f>IFERROR(VLOOKUP($J12537,'Informations sur les produits'!$A$3:$H$10000,8,FALSE),"0")</f>
        <v>0</v>
      </c>
      <c r="N12537" s="8"/>
      <c r="O12537" s="33" t="str">
        <f>IFERROR(VLOOKUP($M12537,'Informations sur les produits'!$A$3:$H$10000,8,FALSE),"0")</f>
        <v>0</v>
      </c>
      <c r="P12537" s="33">
        <f t="shared" si="780"/>
        <v>0</v>
      </c>
      <c r="Q12537" s="31" t="str">
        <f t="shared" si="781"/>
        <v/>
      </c>
      <c r="R12537" s="32" t="str">
        <f>IFERROR(VLOOKUP($D12537,'Informations sur les produits'!$A$3:$B$15000,2,FALSE),"")</f>
        <v/>
      </c>
      <c r="V12537">
        <f t="shared" si="782"/>
        <v>0</v>
      </c>
      <c r="W12537">
        <f t="shared" si="783"/>
        <v>0</v>
      </c>
    </row>
    <row r="12538" spans="5:23" x14ac:dyDescent="0.25">
      <c r="E12538" s="4"/>
      <c r="F12538" s="4"/>
      <c r="G12538" s="33" t="str">
        <f>IFERROR(VLOOKUP($D12538,'Informations sur les produits'!$A$3:$H$10000,8,FALSE),"0")</f>
        <v>0</v>
      </c>
      <c r="K12538" s="4"/>
      <c r="L12538" s="33" t="str">
        <f>IFERROR(VLOOKUP($J12538,'Informations sur les produits'!$A$3:$H$10000,8,FALSE),"0")</f>
        <v>0</v>
      </c>
      <c r="N12538" s="8"/>
      <c r="O12538" s="33" t="str">
        <f>IFERROR(VLOOKUP($M12538,'Informations sur les produits'!$A$3:$H$10000,8,FALSE),"0")</f>
        <v>0</v>
      </c>
      <c r="P12538" s="33">
        <f t="shared" si="780"/>
        <v>0</v>
      </c>
      <c r="Q12538" s="31" t="str">
        <f t="shared" si="781"/>
        <v/>
      </c>
      <c r="R12538" s="32" t="str">
        <f>IFERROR(VLOOKUP($D12538,'Informations sur les produits'!$A$3:$B$15000,2,FALSE),"")</f>
        <v/>
      </c>
      <c r="V12538">
        <f t="shared" si="782"/>
        <v>0</v>
      </c>
      <c r="W12538">
        <f t="shared" si="783"/>
        <v>0</v>
      </c>
    </row>
    <row r="12539" spans="5:23" x14ac:dyDescent="0.25">
      <c r="E12539" s="4"/>
      <c r="F12539" s="4"/>
      <c r="G12539" s="33" t="str">
        <f>IFERROR(VLOOKUP($D12539,'Informations sur les produits'!$A$3:$H$10000,8,FALSE),"0")</f>
        <v>0</v>
      </c>
      <c r="K12539" s="4"/>
      <c r="L12539" s="33" t="str">
        <f>IFERROR(VLOOKUP($J12539,'Informations sur les produits'!$A$3:$H$10000,8,FALSE),"0")</f>
        <v>0</v>
      </c>
      <c r="N12539" s="8"/>
      <c r="O12539" s="33" t="str">
        <f>IFERROR(VLOOKUP($M12539,'Informations sur les produits'!$A$3:$H$10000,8,FALSE),"0")</f>
        <v>0</v>
      </c>
      <c r="P12539" s="33">
        <f t="shared" si="780"/>
        <v>0</v>
      </c>
      <c r="Q12539" s="31" t="str">
        <f t="shared" si="781"/>
        <v/>
      </c>
      <c r="R12539" s="32" t="str">
        <f>IFERROR(VLOOKUP($D12539,'Informations sur les produits'!$A$3:$B$15000,2,FALSE),"")</f>
        <v/>
      </c>
      <c r="V12539">
        <f t="shared" si="782"/>
        <v>0</v>
      </c>
      <c r="W12539">
        <f t="shared" si="783"/>
        <v>0</v>
      </c>
    </row>
    <row r="12540" spans="5:23" x14ac:dyDescent="0.25">
      <c r="E12540" s="4"/>
      <c r="F12540" s="4"/>
      <c r="G12540" s="33" t="str">
        <f>IFERROR(VLOOKUP($D12540,'Informations sur les produits'!$A$3:$H$10000,8,FALSE),"0")</f>
        <v>0</v>
      </c>
      <c r="K12540" s="4"/>
      <c r="L12540" s="33" t="str">
        <f>IFERROR(VLOOKUP($J12540,'Informations sur les produits'!$A$3:$H$10000,8,FALSE),"0")</f>
        <v>0</v>
      </c>
      <c r="N12540" s="8"/>
      <c r="O12540" s="33" t="str">
        <f>IFERROR(VLOOKUP($M12540,'Informations sur les produits'!$A$3:$H$10000,8,FALSE),"0")</f>
        <v>0</v>
      </c>
      <c r="P12540" s="33">
        <f t="shared" si="780"/>
        <v>0</v>
      </c>
      <c r="Q12540" s="31" t="str">
        <f t="shared" si="781"/>
        <v/>
      </c>
      <c r="R12540" s="32" t="str">
        <f>IFERROR(VLOOKUP($D12540,'Informations sur les produits'!$A$3:$B$15000,2,FALSE),"")</f>
        <v/>
      </c>
      <c r="V12540">
        <f t="shared" si="782"/>
        <v>0</v>
      </c>
      <c r="W12540">
        <f t="shared" si="783"/>
        <v>0</v>
      </c>
    </row>
    <row r="12541" spans="5:23" x14ac:dyDescent="0.25">
      <c r="E12541" s="4"/>
      <c r="F12541" s="4"/>
      <c r="G12541" s="33" t="str">
        <f>IFERROR(VLOOKUP($D12541,'Informations sur les produits'!$A$3:$H$10000,8,FALSE),"0")</f>
        <v>0</v>
      </c>
      <c r="K12541" s="4"/>
      <c r="L12541" s="33" t="str">
        <f>IFERROR(VLOOKUP($J12541,'Informations sur les produits'!$A$3:$H$10000,8,FALSE),"0")</f>
        <v>0</v>
      </c>
      <c r="N12541" s="8"/>
      <c r="O12541" s="33" t="str">
        <f>IFERROR(VLOOKUP($M12541,'Informations sur les produits'!$A$3:$H$10000,8,FALSE),"0")</f>
        <v>0</v>
      </c>
      <c r="P12541" s="33">
        <f t="shared" si="780"/>
        <v>0</v>
      </c>
      <c r="Q12541" s="31" t="str">
        <f t="shared" si="781"/>
        <v/>
      </c>
      <c r="R12541" s="32" t="str">
        <f>IFERROR(VLOOKUP($D12541,'Informations sur les produits'!$A$3:$B$15000,2,FALSE),"")</f>
        <v/>
      </c>
      <c r="V12541">
        <f t="shared" si="782"/>
        <v>0</v>
      </c>
      <c r="W12541">
        <f t="shared" si="783"/>
        <v>0</v>
      </c>
    </row>
    <row r="12542" spans="5:23" x14ac:dyDescent="0.25">
      <c r="E12542" s="4"/>
      <c r="F12542" s="4"/>
      <c r="G12542" s="33" t="str">
        <f>IFERROR(VLOOKUP($D12542,'Informations sur les produits'!$A$3:$H$10000,8,FALSE),"0")</f>
        <v>0</v>
      </c>
      <c r="K12542" s="4"/>
      <c r="L12542" s="33" t="str">
        <f>IFERROR(VLOOKUP($J12542,'Informations sur les produits'!$A$3:$H$10000,8,FALSE),"0")</f>
        <v>0</v>
      </c>
      <c r="N12542" s="8"/>
      <c r="O12542" s="33" t="str">
        <f>IFERROR(VLOOKUP($M12542,'Informations sur les produits'!$A$3:$H$10000,8,FALSE),"0")</f>
        <v>0</v>
      </c>
      <c r="P12542" s="33">
        <f t="shared" si="780"/>
        <v>0</v>
      </c>
      <c r="Q12542" s="31" t="str">
        <f t="shared" si="781"/>
        <v/>
      </c>
      <c r="R12542" s="32" t="str">
        <f>IFERROR(VLOOKUP($D12542,'Informations sur les produits'!$A$3:$B$15000,2,FALSE),"")</f>
        <v/>
      </c>
      <c r="V12542">
        <f t="shared" si="782"/>
        <v>0</v>
      </c>
      <c r="W12542">
        <f t="shared" si="783"/>
        <v>0</v>
      </c>
    </row>
    <row r="12543" spans="5:23" x14ac:dyDescent="0.25">
      <c r="E12543" s="4"/>
      <c r="F12543" s="4"/>
      <c r="G12543" s="33" t="str">
        <f>IFERROR(VLOOKUP($D12543,'Informations sur les produits'!$A$3:$H$10000,8,FALSE),"0")</f>
        <v>0</v>
      </c>
      <c r="K12543" s="4"/>
      <c r="L12543" s="33" t="str">
        <f>IFERROR(VLOOKUP($J12543,'Informations sur les produits'!$A$3:$H$10000,8,FALSE),"0")</f>
        <v>0</v>
      </c>
      <c r="N12543" s="8"/>
      <c r="O12543" s="33" t="str">
        <f>IFERROR(VLOOKUP($M12543,'Informations sur les produits'!$A$3:$H$10000,8,FALSE),"0")</f>
        <v>0</v>
      </c>
      <c r="P12543" s="33">
        <f t="shared" si="780"/>
        <v>0</v>
      </c>
      <c r="Q12543" s="31" t="str">
        <f t="shared" si="781"/>
        <v/>
      </c>
      <c r="R12543" s="32" t="str">
        <f>IFERROR(VLOOKUP($D12543,'Informations sur les produits'!$A$3:$B$15000,2,FALSE),"")</f>
        <v/>
      </c>
      <c r="V12543">
        <f t="shared" si="782"/>
        <v>0</v>
      </c>
      <c r="W12543">
        <f t="shared" si="783"/>
        <v>0</v>
      </c>
    </row>
    <row r="12544" spans="5:23" x14ac:dyDescent="0.25">
      <c r="E12544" s="4"/>
      <c r="F12544" s="4"/>
      <c r="G12544" s="33" t="str">
        <f>IFERROR(VLOOKUP($D12544,'Informations sur les produits'!$A$3:$H$10000,8,FALSE),"0")</f>
        <v>0</v>
      </c>
      <c r="K12544" s="4"/>
      <c r="L12544" s="33" t="str">
        <f>IFERROR(VLOOKUP($J12544,'Informations sur les produits'!$A$3:$H$10000,8,FALSE),"0")</f>
        <v>0</v>
      </c>
      <c r="N12544" s="8"/>
      <c r="O12544" s="33" t="str">
        <f>IFERROR(VLOOKUP($M12544,'Informations sur les produits'!$A$3:$H$10000,8,FALSE),"0")</f>
        <v>0</v>
      </c>
      <c r="P12544" s="33">
        <f t="shared" si="780"/>
        <v>0</v>
      </c>
      <c r="Q12544" s="31" t="str">
        <f t="shared" si="781"/>
        <v/>
      </c>
      <c r="R12544" s="32" t="str">
        <f>IFERROR(VLOOKUP($D12544,'Informations sur les produits'!$A$3:$B$15000,2,FALSE),"")</f>
        <v/>
      </c>
      <c r="V12544">
        <f t="shared" si="782"/>
        <v>0</v>
      </c>
      <c r="W12544">
        <f t="shared" si="783"/>
        <v>0</v>
      </c>
    </row>
    <row r="12545" spans="5:23" x14ac:dyDescent="0.25">
      <c r="E12545" s="4"/>
      <c r="F12545" s="4"/>
      <c r="G12545" s="33" t="str">
        <f>IFERROR(VLOOKUP($D12545,'Informations sur les produits'!$A$3:$H$10000,8,FALSE),"0")</f>
        <v>0</v>
      </c>
      <c r="K12545" s="4"/>
      <c r="L12545" s="33" t="str">
        <f>IFERROR(VLOOKUP($J12545,'Informations sur les produits'!$A$3:$H$10000,8,FALSE),"0")</f>
        <v>0</v>
      </c>
      <c r="N12545" s="8"/>
      <c r="O12545" s="33" t="str">
        <f>IFERROR(VLOOKUP($M12545,'Informations sur les produits'!$A$3:$H$10000,8,FALSE),"0")</f>
        <v>0</v>
      </c>
      <c r="P12545" s="33">
        <f t="shared" si="780"/>
        <v>0</v>
      </c>
      <c r="Q12545" s="31" t="str">
        <f t="shared" si="781"/>
        <v/>
      </c>
      <c r="R12545" s="32" t="str">
        <f>IFERROR(VLOOKUP($D12545,'Informations sur les produits'!$A$3:$B$15000,2,FALSE),"")</f>
        <v/>
      </c>
      <c r="V12545">
        <f t="shared" si="782"/>
        <v>0</v>
      </c>
      <c r="W12545">
        <f t="shared" si="783"/>
        <v>0</v>
      </c>
    </row>
    <row r="12546" spans="5:23" x14ac:dyDescent="0.25">
      <c r="E12546" s="4"/>
      <c r="F12546" s="4"/>
      <c r="G12546" s="33" t="str">
        <f>IFERROR(VLOOKUP($D12546,'Informations sur les produits'!$A$3:$H$10000,8,FALSE),"0")</f>
        <v>0</v>
      </c>
      <c r="K12546" s="4"/>
      <c r="L12546" s="33" t="str">
        <f>IFERROR(VLOOKUP($J12546,'Informations sur les produits'!$A$3:$H$10000,8,FALSE),"0")</f>
        <v>0</v>
      </c>
      <c r="N12546" s="8"/>
      <c r="O12546" s="33" t="str">
        <f>IFERROR(VLOOKUP($M12546,'Informations sur les produits'!$A$3:$H$10000,8,FALSE),"0")</f>
        <v>0</v>
      </c>
      <c r="P12546" s="33">
        <f t="shared" si="780"/>
        <v>0</v>
      </c>
      <c r="Q12546" s="31" t="str">
        <f t="shared" si="781"/>
        <v/>
      </c>
      <c r="R12546" s="32" t="str">
        <f>IFERROR(VLOOKUP($D12546,'Informations sur les produits'!$A$3:$B$15000,2,FALSE),"")</f>
        <v/>
      </c>
      <c r="V12546">
        <f t="shared" si="782"/>
        <v>0</v>
      </c>
      <c r="W12546">
        <f t="shared" si="783"/>
        <v>0</v>
      </c>
    </row>
    <row r="12547" spans="5:23" x14ac:dyDescent="0.25">
      <c r="E12547" s="4"/>
      <c r="F12547" s="4"/>
      <c r="G12547" s="33" t="str">
        <f>IFERROR(VLOOKUP($D12547,'Informations sur les produits'!$A$3:$H$10000,8,FALSE),"0")</f>
        <v>0</v>
      </c>
      <c r="K12547" s="4"/>
      <c r="L12547" s="33" t="str">
        <f>IFERROR(VLOOKUP($J12547,'Informations sur les produits'!$A$3:$H$10000,8,FALSE),"0")</f>
        <v>0</v>
      </c>
      <c r="N12547" s="8"/>
      <c r="O12547" s="33" t="str">
        <f>IFERROR(VLOOKUP($M12547,'Informations sur les produits'!$A$3:$H$10000,8,FALSE),"0")</f>
        <v>0</v>
      </c>
      <c r="P12547" s="33">
        <f t="shared" si="780"/>
        <v>0</v>
      </c>
      <c r="Q12547" s="31" t="str">
        <f t="shared" si="781"/>
        <v/>
      </c>
      <c r="R12547" s="32" t="str">
        <f>IFERROR(VLOOKUP($D12547,'Informations sur les produits'!$A$3:$B$15000,2,FALSE),"")</f>
        <v/>
      </c>
      <c r="V12547">
        <f t="shared" si="782"/>
        <v>0</v>
      </c>
      <c r="W12547">
        <f t="shared" si="783"/>
        <v>0</v>
      </c>
    </row>
    <row r="12548" spans="5:23" x14ac:dyDescent="0.25">
      <c r="E12548" s="4"/>
      <c r="F12548" s="4"/>
      <c r="G12548" s="33" t="str">
        <f>IFERROR(VLOOKUP($D12548,'Informations sur les produits'!$A$3:$H$10000,8,FALSE),"0")</f>
        <v>0</v>
      </c>
      <c r="K12548" s="4"/>
      <c r="L12548" s="33" t="str">
        <f>IFERROR(VLOOKUP($J12548,'Informations sur les produits'!$A$3:$H$10000,8,FALSE),"0")</f>
        <v>0</v>
      </c>
      <c r="N12548" s="8"/>
      <c r="O12548" s="33" t="str">
        <f>IFERROR(VLOOKUP($M12548,'Informations sur les produits'!$A$3:$H$10000,8,FALSE),"0")</f>
        <v>0</v>
      </c>
      <c r="P12548" s="33">
        <f t="shared" ref="P12548:P12611" si="784">IFERROR((($E12548-$F12548)*$G12548+$K12548*$L12548+$N12548*$O12548),"")</f>
        <v>0</v>
      </c>
      <c r="Q12548" s="31" t="str">
        <f t="shared" ref="Q12548:Q12611" si="785">IFERROR((((($E12548-$F12548)*$G12548+$K12548*$L12548+$N12548*$O12548)*1000)/(($E12548-$F12548)+$K12548+$N12548)),"")</f>
        <v/>
      </c>
      <c r="R12548" s="32" t="str">
        <f>IFERROR(VLOOKUP($D12548,'Informations sur les produits'!$A$3:$B$15000,2,FALSE),"")</f>
        <v/>
      </c>
      <c r="V12548">
        <f t="shared" ref="V12548:V12611" si="786">IFERROR(P12548*1000,"")</f>
        <v>0</v>
      </c>
      <c r="W12548">
        <f t="shared" ref="W12548:W12611" si="787">IFERROR(($E12548-$F12548)+$K12548+$N12548,"")</f>
        <v>0</v>
      </c>
    </row>
    <row r="12549" spans="5:23" x14ac:dyDescent="0.25">
      <c r="E12549" s="4"/>
      <c r="F12549" s="4"/>
      <c r="G12549" s="33" t="str">
        <f>IFERROR(VLOOKUP($D12549,'Informations sur les produits'!$A$3:$H$10000,8,FALSE),"0")</f>
        <v>0</v>
      </c>
      <c r="K12549" s="4"/>
      <c r="L12549" s="33" t="str">
        <f>IFERROR(VLOOKUP($J12549,'Informations sur les produits'!$A$3:$H$10000,8,FALSE),"0")</f>
        <v>0</v>
      </c>
      <c r="N12549" s="8"/>
      <c r="O12549" s="33" t="str">
        <f>IFERROR(VLOOKUP($M12549,'Informations sur les produits'!$A$3:$H$10000,8,FALSE),"0")</f>
        <v>0</v>
      </c>
      <c r="P12549" s="33">
        <f t="shared" si="784"/>
        <v>0</v>
      </c>
      <c r="Q12549" s="31" t="str">
        <f t="shared" si="785"/>
        <v/>
      </c>
      <c r="R12549" s="32" t="str">
        <f>IFERROR(VLOOKUP($D12549,'Informations sur les produits'!$A$3:$B$15000,2,FALSE),"")</f>
        <v/>
      </c>
      <c r="V12549">
        <f t="shared" si="786"/>
        <v>0</v>
      </c>
      <c r="W12549">
        <f t="shared" si="787"/>
        <v>0</v>
      </c>
    </row>
    <row r="12550" spans="5:23" x14ac:dyDescent="0.25">
      <c r="E12550" s="4"/>
      <c r="F12550" s="4"/>
      <c r="G12550" s="33" t="str">
        <f>IFERROR(VLOOKUP($D12550,'Informations sur les produits'!$A$3:$H$10000,8,FALSE),"0")</f>
        <v>0</v>
      </c>
      <c r="K12550" s="4"/>
      <c r="L12550" s="33" t="str">
        <f>IFERROR(VLOOKUP($J12550,'Informations sur les produits'!$A$3:$H$10000,8,FALSE),"0")</f>
        <v>0</v>
      </c>
      <c r="N12550" s="8"/>
      <c r="O12550" s="33" t="str">
        <f>IFERROR(VLOOKUP($M12550,'Informations sur les produits'!$A$3:$H$10000,8,FALSE),"0")</f>
        <v>0</v>
      </c>
      <c r="P12550" s="33">
        <f t="shared" si="784"/>
        <v>0</v>
      </c>
      <c r="Q12550" s="31" t="str">
        <f t="shared" si="785"/>
        <v/>
      </c>
      <c r="R12550" s="32" t="str">
        <f>IFERROR(VLOOKUP($D12550,'Informations sur les produits'!$A$3:$B$15000,2,FALSE),"")</f>
        <v/>
      </c>
      <c r="V12550">
        <f t="shared" si="786"/>
        <v>0</v>
      </c>
      <c r="W12550">
        <f t="shared" si="787"/>
        <v>0</v>
      </c>
    </row>
    <row r="12551" spans="5:23" x14ac:dyDescent="0.25">
      <c r="E12551" s="4"/>
      <c r="F12551" s="4"/>
      <c r="G12551" s="33" t="str">
        <f>IFERROR(VLOOKUP($D12551,'Informations sur les produits'!$A$3:$H$10000,8,FALSE),"0")</f>
        <v>0</v>
      </c>
      <c r="K12551" s="4"/>
      <c r="L12551" s="33" t="str">
        <f>IFERROR(VLOOKUP($J12551,'Informations sur les produits'!$A$3:$H$10000,8,FALSE),"0")</f>
        <v>0</v>
      </c>
      <c r="N12551" s="8"/>
      <c r="O12551" s="33" t="str">
        <f>IFERROR(VLOOKUP($M12551,'Informations sur les produits'!$A$3:$H$10000,8,FALSE),"0")</f>
        <v>0</v>
      </c>
      <c r="P12551" s="33">
        <f t="shared" si="784"/>
        <v>0</v>
      </c>
      <c r="Q12551" s="31" t="str">
        <f t="shared" si="785"/>
        <v/>
      </c>
      <c r="R12551" s="32" t="str">
        <f>IFERROR(VLOOKUP($D12551,'Informations sur les produits'!$A$3:$B$15000,2,FALSE),"")</f>
        <v/>
      </c>
      <c r="V12551">
        <f t="shared" si="786"/>
        <v>0</v>
      </c>
      <c r="W12551">
        <f t="shared" si="787"/>
        <v>0</v>
      </c>
    </row>
    <row r="12552" spans="5:23" x14ac:dyDescent="0.25">
      <c r="E12552" s="4"/>
      <c r="F12552" s="4"/>
      <c r="G12552" s="33" t="str">
        <f>IFERROR(VLOOKUP($D12552,'Informations sur les produits'!$A$3:$H$10000,8,FALSE),"0")</f>
        <v>0</v>
      </c>
      <c r="K12552" s="4"/>
      <c r="L12552" s="33" t="str">
        <f>IFERROR(VLOOKUP($J12552,'Informations sur les produits'!$A$3:$H$10000,8,FALSE),"0")</f>
        <v>0</v>
      </c>
      <c r="N12552" s="8"/>
      <c r="O12552" s="33" t="str">
        <f>IFERROR(VLOOKUP($M12552,'Informations sur les produits'!$A$3:$H$10000,8,FALSE),"0")</f>
        <v>0</v>
      </c>
      <c r="P12552" s="33">
        <f t="shared" si="784"/>
        <v>0</v>
      </c>
      <c r="Q12552" s="31" t="str">
        <f t="shared" si="785"/>
        <v/>
      </c>
      <c r="R12552" s="32" t="str">
        <f>IFERROR(VLOOKUP($D12552,'Informations sur les produits'!$A$3:$B$15000,2,FALSE),"")</f>
        <v/>
      </c>
      <c r="V12552">
        <f t="shared" si="786"/>
        <v>0</v>
      </c>
      <c r="W12552">
        <f t="shared" si="787"/>
        <v>0</v>
      </c>
    </row>
    <row r="12553" spans="5:23" x14ac:dyDescent="0.25">
      <c r="E12553" s="4"/>
      <c r="F12553" s="4"/>
      <c r="G12553" s="33" t="str">
        <f>IFERROR(VLOOKUP($D12553,'Informations sur les produits'!$A$3:$H$10000,8,FALSE),"0")</f>
        <v>0</v>
      </c>
      <c r="K12553" s="4"/>
      <c r="L12553" s="33" t="str">
        <f>IFERROR(VLOOKUP($J12553,'Informations sur les produits'!$A$3:$H$10000,8,FALSE),"0")</f>
        <v>0</v>
      </c>
      <c r="N12553" s="8"/>
      <c r="O12553" s="33" t="str">
        <f>IFERROR(VLOOKUP($M12553,'Informations sur les produits'!$A$3:$H$10000,8,FALSE),"0")</f>
        <v>0</v>
      </c>
      <c r="P12553" s="33">
        <f t="shared" si="784"/>
        <v>0</v>
      </c>
      <c r="Q12553" s="31" t="str">
        <f t="shared" si="785"/>
        <v/>
      </c>
      <c r="R12553" s="32" t="str">
        <f>IFERROR(VLOOKUP($D12553,'Informations sur les produits'!$A$3:$B$15000,2,FALSE),"")</f>
        <v/>
      </c>
      <c r="V12553">
        <f t="shared" si="786"/>
        <v>0</v>
      </c>
      <c r="W12553">
        <f t="shared" si="787"/>
        <v>0</v>
      </c>
    </row>
    <row r="12554" spans="5:23" x14ac:dyDescent="0.25">
      <c r="E12554" s="4"/>
      <c r="F12554" s="4"/>
      <c r="G12554" s="33" t="str">
        <f>IFERROR(VLOOKUP($D12554,'Informations sur les produits'!$A$3:$H$10000,8,FALSE),"0")</f>
        <v>0</v>
      </c>
      <c r="K12554" s="4"/>
      <c r="L12554" s="33" t="str">
        <f>IFERROR(VLOOKUP($J12554,'Informations sur les produits'!$A$3:$H$10000,8,FALSE),"0")</f>
        <v>0</v>
      </c>
      <c r="N12554" s="8"/>
      <c r="O12554" s="33" t="str">
        <f>IFERROR(VLOOKUP($M12554,'Informations sur les produits'!$A$3:$H$10000,8,FALSE),"0")</f>
        <v>0</v>
      </c>
      <c r="P12554" s="33">
        <f t="shared" si="784"/>
        <v>0</v>
      </c>
      <c r="Q12554" s="31" t="str">
        <f t="shared" si="785"/>
        <v/>
      </c>
      <c r="R12554" s="32" t="str">
        <f>IFERROR(VLOOKUP($D12554,'Informations sur les produits'!$A$3:$B$15000,2,FALSE),"")</f>
        <v/>
      </c>
      <c r="V12554">
        <f t="shared" si="786"/>
        <v>0</v>
      </c>
      <c r="W12554">
        <f t="shared" si="787"/>
        <v>0</v>
      </c>
    </row>
    <row r="12555" spans="5:23" x14ac:dyDescent="0.25">
      <c r="E12555" s="4"/>
      <c r="F12555" s="4"/>
      <c r="G12555" s="33" t="str">
        <f>IFERROR(VLOOKUP($D12555,'Informations sur les produits'!$A$3:$H$10000,8,FALSE),"0")</f>
        <v>0</v>
      </c>
      <c r="K12555" s="4"/>
      <c r="L12555" s="33" t="str">
        <f>IFERROR(VLOOKUP($J12555,'Informations sur les produits'!$A$3:$H$10000,8,FALSE),"0")</f>
        <v>0</v>
      </c>
      <c r="N12555" s="8"/>
      <c r="O12555" s="33" t="str">
        <f>IFERROR(VLOOKUP($M12555,'Informations sur les produits'!$A$3:$H$10000,8,FALSE),"0")</f>
        <v>0</v>
      </c>
      <c r="P12555" s="33">
        <f t="shared" si="784"/>
        <v>0</v>
      </c>
      <c r="Q12555" s="31" t="str">
        <f t="shared" si="785"/>
        <v/>
      </c>
      <c r="R12555" s="32" t="str">
        <f>IFERROR(VLOOKUP($D12555,'Informations sur les produits'!$A$3:$B$15000,2,FALSE),"")</f>
        <v/>
      </c>
      <c r="V12555">
        <f t="shared" si="786"/>
        <v>0</v>
      </c>
      <c r="W12555">
        <f t="shared" si="787"/>
        <v>0</v>
      </c>
    </row>
    <row r="12556" spans="5:23" x14ac:dyDescent="0.25">
      <c r="E12556" s="4"/>
      <c r="F12556" s="4"/>
      <c r="G12556" s="33" t="str">
        <f>IFERROR(VLOOKUP($D12556,'Informations sur les produits'!$A$3:$H$10000,8,FALSE),"0")</f>
        <v>0</v>
      </c>
      <c r="K12556" s="4"/>
      <c r="L12556" s="33" t="str">
        <f>IFERROR(VLOOKUP($J12556,'Informations sur les produits'!$A$3:$H$10000,8,FALSE),"0")</f>
        <v>0</v>
      </c>
      <c r="N12556" s="8"/>
      <c r="O12556" s="33" t="str">
        <f>IFERROR(VLOOKUP($M12556,'Informations sur les produits'!$A$3:$H$10000,8,FALSE),"0")</f>
        <v>0</v>
      </c>
      <c r="P12556" s="33">
        <f t="shared" si="784"/>
        <v>0</v>
      </c>
      <c r="Q12556" s="31" t="str">
        <f t="shared" si="785"/>
        <v/>
      </c>
      <c r="R12556" s="32" t="str">
        <f>IFERROR(VLOOKUP($D12556,'Informations sur les produits'!$A$3:$B$15000,2,FALSE),"")</f>
        <v/>
      </c>
      <c r="V12556">
        <f t="shared" si="786"/>
        <v>0</v>
      </c>
      <c r="W12556">
        <f t="shared" si="787"/>
        <v>0</v>
      </c>
    </row>
    <row r="12557" spans="5:23" x14ac:dyDescent="0.25">
      <c r="E12557" s="4"/>
      <c r="F12557" s="4"/>
      <c r="G12557" s="33" t="str">
        <f>IFERROR(VLOOKUP($D12557,'Informations sur les produits'!$A$3:$H$10000,8,FALSE),"0")</f>
        <v>0</v>
      </c>
      <c r="K12557" s="4"/>
      <c r="L12557" s="33" t="str">
        <f>IFERROR(VLOOKUP($J12557,'Informations sur les produits'!$A$3:$H$10000,8,FALSE),"0")</f>
        <v>0</v>
      </c>
      <c r="N12557" s="8"/>
      <c r="O12557" s="33" t="str">
        <f>IFERROR(VLOOKUP($M12557,'Informations sur les produits'!$A$3:$H$10000,8,FALSE),"0")</f>
        <v>0</v>
      </c>
      <c r="P12557" s="33">
        <f t="shared" si="784"/>
        <v>0</v>
      </c>
      <c r="Q12557" s="31" t="str">
        <f t="shared" si="785"/>
        <v/>
      </c>
      <c r="R12557" s="32" t="str">
        <f>IFERROR(VLOOKUP($D12557,'Informations sur les produits'!$A$3:$B$15000,2,FALSE),"")</f>
        <v/>
      </c>
      <c r="V12557">
        <f t="shared" si="786"/>
        <v>0</v>
      </c>
      <c r="W12557">
        <f t="shared" si="787"/>
        <v>0</v>
      </c>
    </row>
    <row r="12558" spans="5:23" x14ac:dyDescent="0.25">
      <c r="E12558" s="4"/>
      <c r="F12558" s="4"/>
      <c r="G12558" s="33" t="str">
        <f>IFERROR(VLOOKUP($D12558,'Informations sur les produits'!$A$3:$H$10000,8,FALSE),"0")</f>
        <v>0</v>
      </c>
      <c r="K12558" s="4"/>
      <c r="L12558" s="33" t="str">
        <f>IFERROR(VLOOKUP($J12558,'Informations sur les produits'!$A$3:$H$10000,8,FALSE),"0")</f>
        <v>0</v>
      </c>
      <c r="N12558" s="8"/>
      <c r="O12558" s="33" t="str">
        <f>IFERROR(VLOOKUP($M12558,'Informations sur les produits'!$A$3:$H$10000,8,FALSE),"0")</f>
        <v>0</v>
      </c>
      <c r="P12558" s="33">
        <f t="shared" si="784"/>
        <v>0</v>
      </c>
      <c r="Q12558" s="31" t="str">
        <f t="shared" si="785"/>
        <v/>
      </c>
      <c r="R12558" s="32" t="str">
        <f>IFERROR(VLOOKUP($D12558,'Informations sur les produits'!$A$3:$B$15000,2,FALSE),"")</f>
        <v/>
      </c>
      <c r="V12558">
        <f t="shared" si="786"/>
        <v>0</v>
      </c>
      <c r="W12558">
        <f t="shared" si="787"/>
        <v>0</v>
      </c>
    </row>
    <row r="12559" spans="5:23" x14ac:dyDescent="0.25">
      <c r="E12559" s="4"/>
      <c r="F12559" s="4"/>
      <c r="G12559" s="33" t="str">
        <f>IFERROR(VLOOKUP($D12559,'Informations sur les produits'!$A$3:$H$10000,8,FALSE),"0")</f>
        <v>0</v>
      </c>
      <c r="K12559" s="4"/>
      <c r="L12559" s="33" t="str">
        <f>IFERROR(VLOOKUP($J12559,'Informations sur les produits'!$A$3:$H$10000,8,FALSE),"0")</f>
        <v>0</v>
      </c>
      <c r="N12559" s="8"/>
      <c r="O12559" s="33" t="str">
        <f>IFERROR(VLOOKUP($M12559,'Informations sur les produits'!$A$3:$H$10000,8,FALSE),"0")</f>
        <v>0</v>
      </c>
      <c r="P12559" s="33">
        <f t="shared" si="784"/>
        <v>0</v>
      </c>
      <c r="Q12559" s="31" t="str">
        <f t="shared" si="785"/>
        <v/>
      </c>
      <c r="R12559" s="32" t="str">
        <f>IFERROR(VLOOKUP($D12559,'Informations sur les produits'!$A$3:$B$15000,2,FALSE),"")</f>
        <v/>
      </c>
      <c r="V12559">
        <f t="shared" si="786"/>
        <v>0</v>
      </c>
      <c r="W12559">
        <f t="shared" si="787"/>
        <v>0</v>
      </c>
    </row>
    <row r="12560" spans="5:23" x14ac:dyDescent="0.25">
      <c r="E12560" s="4"/>
      <c r="F12560" s="4"/>
      <c r="G12560" s="33" t="str">
        <f>IFERROR(VLOOKUP($D12560,'Informations sur les produits'!$A$3:$H$10000,8,FALSE),"0")</f>
        <v>0</v>
      </c>
      <c r="K12560" s="4"/>
      <c r="L12560" s="33" t="str">
        <f>IFERROR(VLOOKUP($J12560,'Informations sur les produits'!$A$3:$H$10000,8,FALSE),"0")</f>
        <v>0</v>
      </c>
      <c r="N12560" s="8"/>
      <c r="O12560" s="33" t="str">
        <f>IFERROR(VLOOKUP($M12560,'Informations sur les produits'!$A$3:$H$10000,8,FALSE),"0")</f>
        <v>0</v>
      </c>
      <c r="P12560" s="33">
        <f t="shared" si="784"/>
        <v>0</v>
      </c>
      <c r="Q12560" s="31" t="str">
        <f t="shared" si="785"/>
        <v/>
      </c>
      <c r="R12560" s="32" t="str">
        <f>IFERROR(VLOOKUP($D12560,'Informations sur les produits'!$A$3:$B$15000,2,FALSE),"")</f>
        <v/>
      </c>
      <c r="V12560">
        <f t="shared" si="786"/>
        <v>0</v>
      </c>
      <c r="W12560">
        <f t="shared" si="787"/>
        <v>0</v>
      </c>
    </row>
    <row r="12561" spans="5:23" x14ac:dyDescent="0.25">
      <c r="E12561" s="4"/>
      <c r="F12561" s="4"/>
      <c r="G12561" s="33" t="str">
        <f>IFERROR(VLOOKUP($D12561,'Informations sur les produits'!$A$3:$H$10000,8,FALSE),"0")</f>
        <v>0</v>
      </c>
      <c r="K12561" s="4"/>
      <c r="L12561" s="33" t="str">
        <f>IFERROR(VLOOKUP($J12561,'Informations sur les produits'!$A$3:$H$10000,8,FALSE),"0")</f>
        <v>0</v>
      </c>
      <c r="N12561" s="8"/>
      <c r="O12561" s="33" t="str">
        <f>IFERROR(VLOOKUP($M12561,'Informations sur les produits'!$A$3:$H$10000,8,FALSE),"0")</f>
        <v>0</v>
      </c>
      <c r="P12561" s="33">
        <f t="shared" si="784"/>
        <v>0</v>
      </c>
      <c r="Q12561" s="31" t="str">
        <f t="shared" si="785"/>
        <v/>
      </c>
      <c r="R12561" s="32" t="str">
        <f>IFERROR(VLOOKUP($D12561,'Informations sur les produits'!$A$3:$B$15000,2,FALSE),"")</f>
        <v/>
      </c>
      <c r="V12561">
        <f t="shared" si="786"/>
        <v>0</v>
      </c>
      <c r="W12561">
        <f t="shared" si="787"/>
        <v>0</v>
      </c>
    </row>
    <row r="12562" spans="5:23" x14ac:dyDescent="0.25">
      <c r="E12562" s="4"/>
      <c r="F12562" s="4"/>
      <c r="G12562" s="33" t="str">
        <f>IFERROR(VLOOKUP($D12562,'Informations sur les produits'!$A$3:$H$10000,8,FALSE),"0")</f>
        <v>0</v>
      </c>
      <c r="K12562" s="4"/>
      <c r="L12562" s="33" t="str">
        <f>IFERROR(VLOOKUP($J12562,'Informations sur les produits'!$A$3:$H$10000,8,FALSE),"0")</f>
        <v>0</v>
      </c>
      <c r="N12562" s="8"/>
      <c r="O12562" s="33" t="str">
        <f>IFERROR(VLOOKUP($M12562,'Informations sur les produits'!$A$3:$H$10000,8,FALSE),"0")</f>
        <v>0</v>
      </c>
      <c r="P12562" s="33">
        <f t="shared" si="784"/>
        <v>0</v>
      </c>
      <c r="Q12562" s="31" t="str">
        <f t="shared" si="785"/>
        <v/>
      </c>
      <c r="R12562" s="32" t="str">
        <f>IFERROR(VLOOKUP($D12562,'Informations sur les produits'!$A$3:$B$15000,2,FALSE),"")</f>
        <v/>
      </c>
      <c r="V12562">
        <f t="shared" si="786"/>
        <v>0</v>
      </c>
      <c r="W12562">
        <f t="shared" si="787"/>
        <v>0</v>
      </c>
    </row>
    <row r="12563" spans="5:23" x14ac:dyDescent="0.25">
      <c r="E12563" s="4"/>
      <c r="F12563" s="4"/>
      <c r="G12563" s="33" t="str">
        <f>IFERROR(VLOOKUP($D12563,'Informations sur les produits'!$A$3:$H$10000,8,FALSE),"0")</f>
        <v>0</v>
      </c>
      <c r="K12563" s="4"/>
      <c r="L12563" s="33" t="str">
        <f>IFERROR(VLOOKUP($J12563,'Informations sur les produits'!$A$3:$H$10000,8,FALSE),"0")</f>
        <v>0</v>
      </c>
      <c r="N12563" s="8"/>
      <c r="O12563" s="33" t="str">
        <f>IFERROR(VLOOKUP($M12563,'Informations sur les produits'!$A$3:$H$10000,8,FALSE),"0")</f>
        <v>0</v>
      </c>
      <c r="P12563" s="33">
        <f t="shared" si="784"/>
        <v>0</v>
      </c>
      <c r="Q12563" s="31" t="str">
        <f t="shared" si="785"/>
        <v/>
      </c>
      <c r="R12563" s="32" t="str">
        <f>IFERROR(VLOOKUP($D12563,'Informations sur les produits'!$A$3:$B$15000,2,FALSE),"")</f>
        <v/>
      </c>
      <c r="V12563">
        <f t="shared" si="786"/>
        <v>0</v>
      </c>
      <c r="W12563">
        <f t="shared" si="787"/>
        <v>0</v>
      </c>
    </row>
    <row r="12564" spans="5:23" x14ac:dyDescent="0.25">
      <c r="E12564" s="4"/>
      <c r="F12564" s="4"/>
      <c r="G12564" s="33" t="str">
        <f>IFERROR(VLOOKUP($D12564,'Informations sur les produits'!$A$3:$H$10000,8,FALSE),"0")</f>
        <v>0</v>
      </c>
      <c r="K12564" s="4"/>
      <c r="L12564" s="33" t="str">
        <f>IFERROR(VLOOKUP($J12564,'Informations sur les produits'!$A$3:$H$10000,8,FALSE),"0")</f>
        <v>0</v>
      </c>
      <c r="N12564" s="8"/>
      <c r="O12564" s="33" t="str">
        <f>IFERROR(VLOOKUP($M12564,'Informations sur les produits'!$A$3:$H$10000,8,FALSE),"0")</f>
        <v>0</v>
      </c>
      <c r="P12564" s="33">
        <f t="shared" si="784"/>
        <v>0</v>
      </c>
      <c r="Q12564" s="31" t="str">
        <f t="shared" si="785"/>
        <v/>
      </c>
      <c r="R12564" s="32" t="str">
        <f>IFERROR(VLOOKUP($D12564,'Informations sur les produits'!$A$3:$B$15000,2,FALSE),"")</f>
        <v/>
      </c>
      <c r="V12564">
        <f t="shared" si="786"/>
        <v>0</v>
      </c>
      <c r="W12564">
        <f t="shared" si="787"/>
        <v>0</v>
      </c>
    </row>
    <row r="12565" spans="5:23" x14ac:dyDescent="0.25">
      <c r="E12565" s="4"/>
      <c r="F12565" s="4"/>
      <c r="G12565" s="33" t="str">
        <f>IFERROR(VLOOKUP($D12565,'Informations sur les produits'!$A$3:$H$10000,8,FALSE),"0")</f>
        <v>0</v>
      </c>
      <c r="K12565" s="4"/>
      <c r="L12565" s="33" t="str">
        <f>IFERROR(VLOOKUP($J12565,'Informations sur les produits'!$A$3:$H$10000,8,FALSE),"0")</f>
        <v>0</v>
      </c>
      <c r="N12565" s="8"/>
      <c r="O12565" s="33" t="str">
        <f>IFERROR(VLOOKUP($M12565,'Informations sur les produits'!$A$3:$H$10000,8,FALSE),"0")</f>
        <v>0</v>
      </c>
      <c r="P12565" s="33">
        <f t="shared" si="784"/>
        <v>0</v>
      </c>
      <c r="Q12565" s="31" t="str">
        <f t="shared" si="785"/>
        <v/>
      </c>
      <c r="R12565" s="32" t="str">
        <f>IFERROR(VLOOKUP($D12565,'Informations sur les produits'!$A$3:$B$15000,2,FALSE),"")</f>
        <v/>
      </c>
      <c r="V12565">
        <f t="shared" si="786"/>
        <v>0</v>
      </c>
      <c r="W12565">
        <f t="shared" si="787"/>
        <v>0</v>
      </c>
    </row>
    <row r="12566" spans="5:23" x14ac:dyDescent="0.25">
      <c r="E12566" s="4"/>
      <c r="F12566" s="4"/>
      <c r="G12566" s="33" t="str">
        <f>IFERROR(VLOOKUP($D12566,'Informations sur les produits'!$A$3:$H$10000,8,FALSE),"0")</f>
        <v>0</v>
      </c>
      <c r="K12566" s="4"/>
      <c r="L12566" s="33" t="str">
        <f>IFERROR(VLOOKUP($J12566,'Informations sur les produits'!$A$3:$H$10000,8,FALSE),"0")</f>
        <v>0</v>
      </c>
      <c r="N12566" s="8"/>
      <c r="O12566" s="33" t="str">
        <f>IFERROR(VLOOKUP($M12566,'Informations sur les produits'!$A$3:$H$10000,8,FALSE),"0")</f>
        <v>0</v>
      </c>
      <c r="P12566" s="33">
        <f t="shared" si="784"/>
        <v>0</v>
      </c>
      <c r="Q12566" s="31" t="str">
        <f t="shared" si="785"/>
        <v/>
      </c>
      <c r="R12566" s="32" t="str">
        <f>IFERROR(VLOOKUP($D12566,'Informations sur les produits'!$A$3:$B$15000,2,FALSE),"")</f>
        <v/>
      </c>
      <c r="V12566">
        <f t="shared" si="786"/>
        <v>0</v>
      </c>
      <c r="W12566">
        <f t="shared" si="787"/>
        <v>0</v>
      </c>
    </row>
    <row r="12567" spans="5:23" x14ac:dyDescent="0.25">
      <c r="E12567" s="4"/>
      <c r="F12567" s="4"/>
      <c r="G12567" s="33" t="str">
        <f>IFERROR(VLOOKUP($D12567,'Informations sur les produits'!$A$3:$H$10000,8,FALSE),"0")</f>
        <v>0</v>
      </c>
      <c r="K12567" s="4"/>
      <c r="L12567" s="33" t="str">
        <f>IFERROR(VLOOKUP($J12567,'Informations sur les produits'!$A$3:$H$10000,8,FALSE),"0")</f>
        <v>0</v>
      </c>
      <c r="N12567" s="8"/>
      <c r="O12567" s="33" t="str">
        <f>IFERROR(VLOOKUP($M12567,'Informations sur les produits'!$A$3:$H$10000,8,FALSE),"0")</f>
        <v>0</v>
      </c>
      <c r="P12567" s="33">
        <f t="shared" si="784"/>
        <v>0</v>
      </c>
      <c r="Q12567" s="31" t="str">
        <f t="shared" si="785"/>
        <v/>
      </c>
      <c r="R12567" s="32" t="str">
        <f>IFERROR(VLOOKUP($D12567,'Informations sur les produits'!$A$3:$B$15000,2,FALSE),"")</f>
        <v/>
      </c>
      <c r="V12567">
        <f t="shared" si="786"/>
        <v>0</v>
      </c>
      <c r="W12567">
        <f t="shared" si="787"/>
        <v>0</v>
      </c>
    </row>
    <row r="12568" spans="5:23" x14ac:dyDescent="0.25">
      <c r="E12568" s="4"/>
      <c r="F12568" s="4"/>
      <c r="G12568" s="33" t="str">
        <f>IFERROR(VLOOKUP($D12568,'Informations sur les produits'!$A$3:$H$10000,8,FALSE),"0")</f>
        <v>0</v>
      </c>
      <c r="K12568" s="4"/>
      <c r="L12568" s="33" t="str">
        <f>IFERROR(VLOOKUP($J12568,'Informations sur les produits'!$A$3:$H$10000,8,FALSE),"0")</f>
        <v>0</v>
      </c>
      <c r="N12568" s="8"/>
      <c r="O12568" s="33" t="str">
        <f>IFERROR(VLOOKUP($M12568,'Informations sur les produits'!$A$3:$H$10000,8,FALSE),"0")</f>
        <v>0</v>
      </c>
      <c r="P12568" s="33">
        <f t="shared" si="784"/>
        <v>0</v>
      </c>
      <c r="Q12568" s="31" t="str">
        <f t="shared" si="785"/>
        <v/>
      </c>
      <c r="R12568" s="32" t="str">
        <f>IFERROR(VLOOKUP($D12568,'Informations sur les produits'!$A$3:$B$15000,2,FALSE),"")</f>
        <v/>
      </c>
      <c r="V12568">
        <f t="shared" si="786"/>
        <v>0</v>
      </c>
      <c r="W12568">
        <f t="shared" si="787"/>
        <v>0</v>
      </c>
    </row>
    <row r="12569" spans="5:23" x14ac:dyDescent="0.25">
      <c r="E12569" s="4"/>
      <c r="F12569" s="4"/>
      <c r="G12569" s="33" t="str">
        <f>IFERROR(VLOOKUP($D12569,'Informations sur les produits'!$A$3:$H$10000,8,FALSE),"0")</f>
        <v>0</v>
      </c>
      <c r="K12569" s="4"/>
      <c r="L12569" s="33" t="str">
        <f>IFERROR(VLOOKUP($J12569,'Informations sur les produits'!$A$3:$H$10000,8,FALSE),"0")</f>
        <v>0</v>
      </c>
      <c r="N12569" s="8"/>
      <c r="O12569" s="33" t="str">
        <f>IFERROR(VLOOKUP($M12569,'Informations sur les produits'!$A$3:$H$10000,8,FALSE),"0")</f>
        <v>0</v>
      </c>
      <c r="P12569" s="33">
        <f t="shared" si="784"/>
        <v>0</v>
      </c>
      <c r="Q12569" s="31" t="str">
        <f t="shared" si="785"/>
        <v/>
      </c>
      <c r="R12569" s="32" t="str">
        <f>IFERROR(VLOOKUP($D12569,'Informations sur les produits'!$A$3:$B$15000,2,FALSE),"")</f>
        <v/>
      </c>
      <c r="V12569">
        <f t="shared" si="786"/>
        <v>0</v>
      </c>
      <c r="W12569">
        <f t="shared" si="787"/>
        <v>0</v>
      </c>
    </row>
    <row r="12570" spans="5:23" x14ac:dyDescent="0.25">
      <c r="E12570" s="4"/>
      <c r="F12570" s="4"/>
      <c r="G12570" s="33" t="str">
        <f>IFERROR(VLOOKUP($D12570,'Informations sur les produits'!$A$3:$H$10000,8,FALSE),"0")</f>
        <v>0</v>
      </c>
      <c r="K12570" s="4"/>
      <c r="L12570" s="33" t="str">
        <f>IFERROR(VLOOKUP($J12570,'Informations sur les produits'!$A$3:$H$10000,8,FALSE),"0")</f>
        <v>0</v>
      </c>
      <c r="N12570" s="8"/>
      <c r="O12570" s="33" t="str">
        <f>IFERROR(VLOOKUP($M12570,'Informations sur les produits'!$A$3:$H$10000,8,FALSE),"0")</f>
        <v>0</v>
      </c>
      <c r="P12570" s="33">
        <f t="shared" si="784"/>
        <v>0</v>
      </c>
      <c r="Q12570" s="31" t="str">
        <f t="shared" si="785"/>
        <v/>
      </c>
      <c r="R12570" s="32" t="str">
        <f>IFERROR(VLOOKUP($D12570,'Informations sur les produits'!$A$3:$B$15000,2,FALSE),"")</f>
        <v/>
      </c>
      <c r="V12570">
        <f t="shared" si="786"/>
        <v>0</v>
      </c>
      <c r="W12570">
        <f t="shared" si="787"/>
        <v>0</v>
      </c>
    </row>
    <row r="12571" spans="5:23" x14ac:dyDescent="0.25">
      <c r="E12571" s="4"/>
      <c r="F12571" s="4"/>
      <c r="G12571" s="33" t="str">
        <f>IFERROR(VLOOKUP($D12571,'Informations sur les produits'!$A$3:$H$10000,8,FALSE),"0")</f>
        <v>0</v>
      </c>
      <c r="K12571" s="4"/>
      <c r="L12571" s="33" t="str">
        <f>IFERROR(VLOOKUP($J12571,'Informations sur les produits'!$A$3:$H$10000,8,FALSE),"0")</f>
        <v>0</v>
      </c>
      <c r="N12571" s="8"/>
      <c r="O12571" s="33" t="str">
        <f>IFERROR(VLOOKUP($M12571,'Informations sur les produits'!$A$3:$H$10000,8,FALSE),"0")</f>
        <v>0</v>
      </c>
      <c r="P12571" s="33">
        <f t="shared" si="784"/>
        <v>0</v>
      </c>
      <c r="Q12571" s="31" t="str">
        <f t="shared" si="785"/>
        <v/>
      </c>
      <c r="R12571" s="32" t="str">
        <f>IFERROR(VLOOKUP($D12571,'Informations sur les produits'!$A$3:$B$15000,2,FALSE),"")</f>
        <v/>
      </c>
      <c r="V12571">
        <f t="shared" si="786"/>
        <v>0</v>
      </c>
      <c r="W12571">
        <f t="shared" si="787"/>
        <v>0</v>
      </c>
    </row>
    <row r="12572" spans="5:23" x14ac:dyDescent="0.25">
      <c r="E12572" s="4"/>
      <c r="F12572" s="4"/>
      <c r="G12572" s="33" t="str">
        <f>IFERROR(VLOOKUP($D12572,'Informations sur les produits'!$A$3:$H$10000,8,FALSE),"0")</f>
        <v>0</v>
      </c>
      <c r="K12572" s="4"/>
      <c r="L12572" s="33" t="str">
        <f>IFERROR(VLOOKUP($J12572,'Informations sur les produits'!$A$3:$H$10000,8,FALSE),"0")</f>
        <v>0</v>
      </c>
      <c r="N12572" s="8"/>
      <c r="O12572" s="33" t="str">
        <f>IFERROR(VLOOKUP($M12572,'Informations sur les produits'!$A$3:$H$10000,8,FALSE),"0")</f>
        <v>0</v>
      </c>
      <c r="P12572" s="33">
        <f t="shared" si="784"/>
        <v>0</v>
      </c>
      <c r="Q12572" s="31" t="str">
        <f t="shared" si="785"/>
        <v/>
      </c>
      <c r="R12572" s="32" t="str">
        <f>IFERROR(VLOOKUP($D12572,'Informations sur les produits'!$A$3:$B$15000,2,FALSE),"")</f>
        <v/>
      </c>
      <c r="V12572">
        <f t="shared" si="786"/>
        <v>0</v>
      </c>
      <c r="W12572">
        <f t="shared" si="787"/>
        <v>0</v>
      </c>
    </row>
    <row r="12573" spans="5:23" x14ac:dyDescent="0.25">
      <c r="E12573" s="4"/>
      <c r="F12573" s="4"/>
      <c r="G12573" s="33" t="str">
        <f>IFERROR(VLOOKUP($D12573,'Informations sur les produits'!$A$3:$H$10000,8,FALSE),"0")</f>
        <v>0</v>
      </c>
      <c r="K12573" s="4"/>
      <c r="L12573" s="33" t="str">
        <f>IFERROR(VLOOKUP($J12573,'Informations sur les produits'!$A$3:$H$10000,8,FALSE),"0")</f>
        <v>0</v>
      </c>
      <c r="N12573" s="8"/>
      <c r="O12573" s="33" t="str">
        <f>IFERROR(VLOOKUP($M12573,'Informations sur les produits'!$A$3:$H$10000,8,FALSE),"0")</f>
        <v>0</v>
      </c>
      <c r="P12573" s="33">
        <f t="shared" si="784"/>
        <v>0</v>
      </c>
      <c r="Q12573" s="31" t="str">
        <f t="shared" si="785"/>
        <v/>
      </c>
      <c r="R12573" s="32" t="str">
        <f>IFERROR(VLOOKUP($D12573,'Informations sur les produits'!$A$3:$B$15000,2,FALSE),"")</f>
        <v/>
      </c>
      <c r="V12573">
        <f t="shared" si="786"/>
        <v>0</v>
      </c>
      <c r="W12573">
        <f t="shared" si="787"/>
        <v>0</v>
      </c>
    </row>
    <row r="12574" spans="5:23" x14ac:dyDescent="0.25">
      <c r="E12574" s="4"/>
      <c r="F12574" s="4"/>
      <c r="G12574" s="33" t="str">
        <f>IFERROR(VLOOKUP($D12574,'Informations sur les produits'!$A$3:$H$10000,8,FALSE),"0")</f>
        <v>0</v>
      </c>
      <c r="K12574" s="4"/>
      <c r="L12574" s="33" t="str">
        <f>IFERROR(VLOOKUP($J12574,'Informations sur les produits'!$A$3:$H$10000,8,FALSE),"0")</f>
        <v>0</v>
      </c>
      <c r="N12574" s="8"/>
      <c r="O12574" s="33" t="str">
        <f>IFERROR(VLOOKUP($M12574,'Informations sur les produits'!$A$3:$H$10000,8,FALSE),"0")</f>
        <v>0</v>
      </c>
      <c r="P12574" s="33">
        <f t="shared" si="784"/>
        <v>0</v>
      </c>
      <c r="Q12574" s="31" t="str">
        <f t="shared" si="785"/>
        <v/>
      </c>
      <c r="R12574" s="32" t="str">
        <f>IFERROR(VLOOKUP($D12574,'Informations sur les produits'!$A$3:$B$15000,2,FALSE),"")</f>
        <v/>
      </c>
      <c r="V12574">
        <f t="shared" si="786"/>
        <v>0</v>
      </c>
      <c r="W12574">
        <f t="shared" si="787"/>
        <v>0</v>
      </c>
    </row>
    <row r="12575" spans="5:23" x14ac:dyDescent="0.25">
      <c r="E12575" s="4"/>
      <c r="F12575" s="4"/>
      <c r="G12575" s="33" t="str">
        <f>IFERROR(VLOOKUP($D12575,'Informations sur les produits'!$A$3:$H$10000,8,FALSE),"0")</f>
        <v>0</v>
      </c>
      <c r="K12575" s="4"/>
      <c r="L12575" s="33" t="str">
        <f>IFERROR(VLOOKUP($J12575,'Informations sur les produits'!$A$3:$H$10000,8,FALSE),"0")</f>
        <v>0</v>
      </c>
      <c r="N12575" s="8"/>
      <c r="O12575" s="33" t="str">
        <f>IFERROR(VLOOKUP($M12575,'Informations sur les produits'!$A$3:$H$10000,8,FALSE),"0")</f>
        <v>0</v>
      </c>
      <c r="P12575" s="33">
        <f t="shared" si="784"/>
        <v>0</v>
      </c>
      <c r="Q12575" s="31" t="str">
        <f t="shared" si="785"/>
        <v/>
      </c>
      <c r="R12575" s="32" t="str">
        <f>IFERROR(VLOOKUP($D12575,'Informations sur les produits'!$A$3:$B$15000,2,FALSE),"")</f>
        <v/>
      </c>
      <c r="V12575">
        <f t="shared" si="786"/>
        <v>0</v>
      </c>
      <c r="W12575">
        <f t="shared" si="787"/>
        <v>0</v>
      </c>
    </row>
    <row r="12576" spans="5:23" x14ac:dyDescent="0.25">
      <c r="E12576" s="4"/>
      <c r="F12576" s="4"/>
      <c r="G12576" s="33" t="str">
        <f>IFERROR(VLOOKUP($D12576,'Informations sur les produits'!$A$3:$H$10000,8,FALSE),"0")</f>
        <v>0</v>
      </c>
      <c r="K12576" s="4"/>
      <c r="L12576" s="33" t="str">
        <f>IFERROR(VLOOKUP($J12576,'Informations sur les produits'!$A$3:$H$10000,8,FALSE),"0")</f>
        <v>0</v>
      </c>
      <c r="N12576" s="8"/>
      <c r="O12576" s="33" t="str">
        <f>IFERROR(VLOOKUP($M12576,'Informations sur les produits'!$A$3:$H$10000,8,FALSE),"0")</f>
        <v>0</v>
      </c>
      <c r="P12576" s="33">
        <f t="shared" si="784"/>
        <v>0</v>
      </c>
      <c r="Q12576" s="31" t="str">
        <f t="shared" si="785"/>
        <v/>
      </c>
      <c r="R12576" s="32" t="str">
        <f>IFERROR(VLOOKUP($D12576,'Informations sur les produits'!$A$3:$B$15000,2,FALSE),"")</f>
        <v/>
      </c>
      <c r="V12576">
        <f t="shared" si="786"/>
        <v>0</v>
      </c>
      <c r="W12576">
        <f t="shared" si="787"/>
        <v>0</v>
      </c>
    </row>
    <row r="12577" spans="5:23" x14ac:dyDescent="0.25">
      <c r="E12577" s="4"/>
      <c r="F12577" s="4"/>
      <c r="G12577" s="33" t="str">
        <f>IFERROR(VLOOKUP($D12577,'Informations sur les produits'!$A$3:$H$10000,8,FALSE),"0")</f>
        <v>0</v>
      </c>
      <c r="K12577" s="4"/>
      <c r="L12577" s="33" t="str">
        <f>IFERROR(VLOOKUP($J12577,'Informations sur les produits'!$A$3:$H$10000,8,FALSE),"0")</f>
        <v>0</v>
      </c>
      <c r="N12577" s="8"/>
      <c r="O12577" s="33" t="str">
        <f>IFERROR(VLOOKUP($M12577,'Informations sur les produits'!$A$3:$H$10000,8,FALSE),"0")</f>
        <v>0</v>
      </c>
      <c r="P12577" s="33">
        <f t="shared" si="784"/>
        <v>0</v>
      </c>
      <c r="Q12577" s="31" t="str">
        <f t="shared" si="785"/>
        <v/>
      </c>
      <c r="R12577" s="32" t="str">
        <f>IFERROR(VLOOKUP($D12577,'Informations sur les produits'!$A$3:$B$15000,2,FALSE),"")</f>
        <v/>
      </c>
      <c r="V12577">
        <f t="shared" si="786"/>
        <v>0</v>
      </c>
      <c r="W12577">
        <f t="shared" si="787"/>
        <v>0</v>
      </c>
    </row>
    <row r="12578" spans="5:23" x14ac:dyDescent="0.25">
      <c r="E12578" s="4"/>
      <c r="F12578" s="4"/>
      <c r="G12578" s="33" t="str">
        <f>IFERROR(VLOOKUP($D12578,'Informations sur les produits'!$A$3:$H$10000,8,FALSE),"0")</f>
        <v>0</v>
      </c>
      <c r="K12578" s="4"/>
      <c r="L12578" s="33" t="str">
        <f>IFERROR(VLOOKUP($J12578,'Informations sur les produits'!$A$3:$H$10000,8,FALSE),"0")</f>
        <v>0</v>
      </c>
      <c r="N12578" s="8"/>
      <c r="O12578" s="33" t="str">
        <f>IFERROR(VLOOKUP($M12578,'Informations sur les produits'!$A$3:$H$10000,8,FALSE),"0")</f>
        <v>0</v>
      </c>
      <c r="P12578" s="33">
        <f t="shared" si="784"/>
        <v>0</v>
      </c>
      <c r="Q12578" s="31" t="str">
        <f t="shared" si="785"/>
        <v/>
      </c>
      <c r="R12578" s="32" t="str">
        <f>IFERROR(VLOOKUP($D12578,'Informations sur les produits'!$A$3:$B$15000,2,FALSE),"")</f>
        <v/>
      </c>
      <c r="V12578">
        <f t="shared" si="786"/>
        <v>0</v>
      </c>
      <c r="W12578">
        <f t="shared" si="787"/>
        <v>0</v>
      </c>
    </row>
    <row r="12579" spans="5:23" x14ac:dyDescent="0.25">
      <c r="E12579" s="4"/>
      <c r="F12579" s="4"/>
      <c r="G12579" s="33" t="str">
        <f>IFERROR(VLOOKUP($D12579,'Informations sur les produits'!$A$3:$H$10000,8,FALSE),"0")</f>
        <v>0</v>
      </c>
      <c r="K12579" s="4"/>
      <c r="L12579" s="33" t="str">
        <f>IFERROR(VLOOKUP($J12579,'Informations sur les produits'!$A$3:$H$10000,8,FALSE),"0")</f>
        <v>0</v>
      </c>
      <c r="N12579" s="8"/>
      <c r="O12579" s="33" t="str">
        <f>IFERROR(VLOOKUP($M12579,'Informations sur les produits'!$A$3:$H$10000,8,FALSE),"0")</f>
        <v>0</v>
      </c>
      <c r="P12579" s="33">
        <f t="shared" si="784"/>
        <v>0</v>
      </c>
      <c r="Q12579" s="31" t="str">
        <f t="shared" si="785"/>
        <v/>
      </c>
      <c r="R12579" s="32" t="str">
        <f>IFERROR(VLOOKUP($D12579,'Informations sur les produits'!$A$3:$B$15000,2,FALSE),"")</f>
        <v/>
      </c>
      <c r="V12579">
        <f t="shared" si="786"/>
        <v>0</v>
      </c>
      <c r="W12579">
        <f t="shared" si="787"/>
        <v>0</v>
      </c>
    </row>
    <row r="12580" spans="5:23" x14ac:dyDescent="0.25">
      <c r="E12580" s="4"/>
      <c r="F12580" s="4"/>
      <c r="G12580" s="33" t="str">
        <f>IFERROR(VLOOKUP($D12580,'Informations sur les produits'!$A$3:$H$10000,8,FALSE),"0")</f>
        <v>0</v>
      </c>
      <c r="K12580" s="4"/>
      <c r="L12580" s="33" t="str">
        <f>IFERROR(VLOOKUP($J12580,'Informations sur les produits'!$A$3:$H$10000,8,FALSE),"0")</f>
        <v>0</v>
      </c>
      <c r="N12580" s="8"/>
      <c r="O12580" s="33" t="str">
        <f>IFERROR(VLOOKUP($M12580,'Informations sur les produits'!$A$3:$H$10000,8,FALSE),"0")</f>
        <v>0</v>
      </c>
      <c r="P12580" s="33">
        <f t="shared" si="784"/>
        <v>0</v>
      </c>
      <c r="Q12580" s="31" t="str">
        <f t="shared" si="785"/>
        <v/>
      </c>
      <c r="R12580" s="32" t="str">
        <f>IFERROR(VLOOKUP($D12580,'Informations sur les produits'!$A$3:$B$15000,2,FALSE),"")</f>
        <v/>
      </c>
      <c r="V12580">
        <f t="shared" si="786"/>
        <v>0</v>
      </c>
      <c r="W12580">
        <f t="shared" si="787"/>
        <v>0</v>
      </c>
    </row>
    <row r="12581" spans="5:23" x14ac:dyDescent="0.25">
      <c r="E12581" s="4"/>
      <c r="F12581" s="4"/>
      <c r="G12581" s="33" t="str">
        <f>IFERROR(VLOOKUP($D12581,'Informations sur les produits'!$A$3:$H$10000,8,FALSE),"0")</f>
        <v>0</v>
      </c>
      <c r="K12581" s="4"/>
      <c r="L12581" s="33" t="str">
        <f>IFERROR(VLOOKUP($J12581,'Informations sur les produits'!$A$3:$H$10000,8,FALSE),"0")</f>
        <v>0</v>
      </c>
      <c r="N12581" s="8"/>
      <c r="O12581" s="33" t="str">
        <f>IFERROR(VLOOKUP($M12581,'Informations sur les produits'!$A$3:$H$10000,8,FALSE),"0")</f>
        <v>0</v>
      </c>
      <c r="P12581" s="33">
        <f t="shared" si="784"/>
        <v>0</v>
      </c>
      <c r="Q12581" s="31" t="str">
        <f t="shared" si="785"/>
        <v/>
      </c>
      <c r="R12581" s="32" t="str">
        <f>IFERROR(VLOOKUP($D12581,'Informations sur les produits'!$A$3:$B$15000,2,FALSE),"")</f>
        <v/>
      </c>
      <c r="V12581">
        <f t="shared" si="786"/>
        <v>0</v>
      </c>
      <c r="W12581">
        <f t="shared" si="787"/>
        <v>0</v>
      </c>
    </row>
    <row r="12582" spans="5:23" x14ac:dyDescent="0.25">
      <c r="E12582" s="4"/>
      <c r="F12582" s="4"/>
      <c r="G12582" s="33" t="str">
        <f>IFERROR(VLOOKUP($D12582,'Informations sur les produits'!$A$3:$H$10000,8,FALSE),"0")</f>
        <v>0</v>
      </c>
      <c r="K12582" s="4"/>
      <c r="L12582" s="33" t="str">
        <f>IFERROR(VLOOKUP($J12582,'Informations sur les produits'!$A$3:$H$10000,8,FALSE),"0")</f>
        <v>0</v>
      </c>
      <c r="N12582" s="8"/>
      <c r="O12582" s="33" t="str">
        <f>IFERROR(VLOOKUP($M12582,'Informations sur les produits'!$A$3:$H$10000,8,FALSE),"0")</f>
        <v>0</v>
      </c>
      <c r="P12582" s="33">
        <f t="shared" si="784"/>
        <v>0</v>
      </c>
      <c r="Q12582" s="31" t="str">
        <f t="shared" si="785"/>
        <v/>
      </c>
      <c r="R12582" s="32" t="str">
        <f>IFERROR(VLOOKUP($D12582,'Informations sur les produits'!$A$3:$B$15000,2,FALSE),"")</f>
        <v/>
      </c>
      <c r="V12582">
        <f t="shared" si="786"/>
        <v>0</v>
      </c>
      <c r="W12582">
        <f t="shared" si="787"/>
        <v>0</v>
      </c>
    </row>
    <row r="12583" spans="5:23" x14ac:dyDescent="0.25">
      <c r="E12583" s="4"/>
      <c r="F12583" s="4"/>
      <c r="G12583" s="33" t="str">
        <f>IFERROR(VLOOKUP($D12583,'Informations sur les produits'!$A$3:$H$10000,8,FALSE),"0")</f>
        <v>0</v>
      </c>
      <c r="K12583" s="4"/>
      <c r="L12583" s="33" t="str">
        <f>IFERROR(VLOOKUP($J12583,'Informations sur les produits'!$A$3:$H$10000,8,FALSE),"0")</f>
        <v>0</v>
      </c>
      <c r="N12583" s="8"/>
      <c r="O12583" s="33" t="str">
        <f>IFERROR(VLOOKUP($M12583,'Informations sur les produits'!$A$3:$H$10000,8,FALSE),"0")</f>
        <v>0</v>
      </c>
      <c r="P12583" s="33">
        <f t="shared" si="784"/>
        <v>0</v>
      </c>
      <c r="Q12583" s="31" t="str">
        <f t="shared" si="785"/>
        <v/>
      </c>
      <c r="R12583" s="32" t="str">
        <f>IFERROR(VLOOKUP($D12583,'Informations sur les produits'!$A$3:$B$15000,2,FALSE),"")</f>
        <v/>
      </c>
      <c r="V12583">
        <f t="shared" si="786"/>
        <v>0</v>
      </c>
      <c r="W12583">
        <f t="shared" si="787"/>
        <v>0</v>
      </c>
    </row>
    <row r="12584" spans="5:23" x14ac:dyDescent="0.25">
      <c r="E12584" s="4"/>
      <c r="F12584" s="4"/>
      <c r="G12584" s="33" t="str">
        <f>IFERROR(VLOOKUP($D12584,'Informations sur les produits'!$A$3:$H$10000,8,FALSE),"0")</f>
        <v>0</v>
      </c>
      <c r="K12584" s="4"/>
      <c r="L12584" s="33" t="str">
        <f>IFERROR(VLOOKUP($J12584,'Informations sur les produits'!$A$3:$H$10000,8,FALSE),"0")</f>
        <v>0</v>
      </c>
      <c r="N12584" s="8"/>
      <c r="O12584" s="33" t="str">
        <f>IFERROR(VLOOKUP($M12584,'Informations sur les produits'!$A$3:$H$10000,8,FALSE),"0")</f>
        <v>0</v>
      </c>
      <c r="P12584" s="33">
        <f t="shared" si="784"/>
        <v>0</v>
      </c>
      <c r="Q12584" s="31" t="str">
        <f t="shared" si="785"/>
        <v/>
      </c>
      <c r="R12584" s="32" t="str">
        <f>IFERROR(VLOOKUP($D12584,'Informations sur les produits'!$A$3:$B$15000,2,FALSE),"")</f>
        <v/>
      </c>
      <c r="V12584">
        <f t="shared" si="786"/>
        <v>0</v>
      </c>
      <c r="W12584">
        <f t="shared" si="787"/>
        <v>0</v>
      </c>
    </row>
    <row r="12585" spans="5:23" x14ac:dyDescent="0.25">
      <c r="E12585" s="4"/>
      <c r="F12585" s="4"/>
      <c r="G12585" s="33" t="str">
        <f>IFERROR(VLOOKUP($D12585,'Informations sur les produits'!$A$3:$H$10000,8,FALSE),"0")</f>
        <v>0</v>
      </c>
      <c r="K12585" s="4"/>
      <c r="L12585" s="33" t="str">
        <f>IFERROR(VLOOKUP($J12585,'Informations sur les produits'!$A$3:$H$10000,8,FALSE),"0")</f>
        <v>0</v>
      </c>
      <c r="N12585" s="8"/>
      <c r="O12585" s="33" t="str">
        <f>IFERROR(VLOOKUP($M12585,'Informations sur les produits'!$A$3:$H$10000,8,FALSE),"0")</f>
        <v>0</v>
      </c>
      <c r="P12585" s="33">
        <f t="shared" si="784"/>
        <v>0</v>
      </c>
      <c r="Q12585" s="31" t="str">
        <f t="shared" si="785"/>
        <v/>
      </c>
      <c r="R12585" s="32" t="str">
        <f>IFERROR(VLOOKUP($D12585,'Informations sur les produits'!$A$3:$B$15000,2,FALSE),"")</f>
        <v/>
      </c>
      <c r="V12585">
        <f t="shared" si="786"/>
        <v>0</v>
      </c>
      <c r="W12585">
        <f t="shared" si="787"/>
        <v>0</v>
      </c>
    </row>
    <row r="12586" spans="5:23" x14ac:dyDescent="0.25">
      <c r="E12586" s="4"/>
      <c r="F12586" s="4"/>
      <c r="G12586" s="33" t="str">
        <f>IFERROR(VLOOKUP($D12586,'Informations sur les produits'!$A$3:$H$10000,8,FALSE),"0")</f>
        <v>0</v>
      </c>
      <c r="K12586" s="4"/>
      <c r="L12586" s="33" t="str">
        <f>IFERROR(VLOOKUP($J12586,'Informations sur les produits'!$A$3:$H$10000,8,FALSE),"0")</f>
        <v>0</v>
      </c>
      <c r="N12586" s="8"/>
      <c r="O12586" s="33" t="str">
        <f>IFERROR(VLOOKUP($M12586,'Informations sur les produits'!$A$3:$H$10000,8,FALSE),"0")</f>
        <v>0</v>
      </c>
      <c r="P12586" s="33">
        <f t="shared" si="784"/>
        <v>0</v>
      </c>
      <c r="Q12586" s="31" t="str">
        <f t="shared" si="785"/>
        <v/>
      </c>
      <c r="R12586" s="32" t="str">
        <f>IFERROR(VLOOKUP($D12586,'Informations sur les produits'!$A$3:$B$15000,2,FALSE),"")</f>
        <v/>
      </c>
      <c r="V12586">
        <f t="shared" si="786"/>
        <v>0</v>
      </c>
      <c r="W12586">
        <f t="shared" si="787"/>
        <v>0</v>
      </c>
    </row>
    <row r="12587" spans="5:23" x14ac:dyDescent="0.25">
      <c r="E12587" s="4"/>
      <c r="F12587" s="4"/>
      <c r="G12587" s="33" t="str">
        <f>IFERROR(VLOOKUP($D12587,'Informations sur les produits'!$A$3:$H$10000,8,FALSE),"0")</f>
        <v>0</v>
      </c>
      <c r="K12587" s="4"/>
      <c r="L12587" s="33" t="str">
        <f>IFERROR(VLOOKUP($J12587,'Informations sur les produits'!$A$3:$H$10000,8,FALSE),"0")</f>
        <v>0</v>
      </c>
      <c r="N12587" s="8"/>
      <c r="O12587" s="33" t="str">
        <f>IFERROR(VLOOKUP($M12587,'Informations sur les produits'!$A$3:$H$10000,8,FALSE),"0")</f>
        <v>0</v>
      </c>
      <c r="P12587" s="33">
        <f t="shared" si="784"/>
        <v>0</v>
      </c>
      <c r="Q12587" s="31" t="str">
        <f t="shared" si="785"/>
        <v/>
      </c>
      <c r="R12587" s="32" t="str">
        <f>IFERROR(VLOOKUP($D12587,'Informations sur les produits'!$A$3:$B$15000,2,FALSE),"")</f>
        <v/>
      </c>
      <c r="V12587">
        <f t="shared" si="786"/>
        <v>0</v>
      </c>
      <c r="W12587">
        <f t="shared" si="787"/>
        <v>0</v>
      </c>
    </row>
    <row r="12588" spans="5:23" x14ac:dyDescent="0.25">
      <c r="E12588" s="4"/>
      <c r="F12588" s="4"/>
      <c r="G12588" s="33" t="str">
        <f>IFERROR(VLOOKUP($D12588,'Informations sur les produits'!$A$3:$H$10000,8,FALSE),"0")</f>
        <v>0</v>
      </c>
      <c r="K12588" s="4"/>
      <c r="L12588" s="33" t="str">
        <f>IFERROR(VLOOKUP($J12588,'Informations sur les produits'!$A$3:$H$10000,8,FALSE),"0")</f>
        <v>0</v>
      </c>
      <c r="N12588" s="8"/>
      <c r="O12588" s="33" t="str">
        <f>IFERROR(VLOOKUP($M12588,'Informations sur les produits'!$A$3:$H$10000,8,FALSE),"0")</f>
        <v>0</v>
      </c>
      <c r="P12588" s="33">
        <f t="shared" si="784"/>
        <v>0</v>
      </c>
      <c r="Q12588" s="31" t="str">
        <f t="shared" si="785"/>
        <v/>
      </c>
      <c r="R12588" s="32" t="str">
        <f>IFERROR(VLOOKUP($D12588,'Informations sur les produits'!$A$3:$B$15000,2,FALSE),"")</f>
        <v/>
      </c>
      <c r="V12588">
        <f t="shared" si="786"/>
        <v>0</v>
      </c>
      <c r="W12588">
        <f t="shared" si="787"/>
        <v>0</v>
      </c>
    </row>
    <row r="12589" spans="5:23" x14ac:dyDescent="0.25">
      <c r="E12589" s="4"/>
      <c r="F12589" s="4"/>
      <c r="G12589" s="33" t="str">
        <f>IFERROR(VLOOKUP($D12589,'Informations sur les produits'!$A$3:$H$10000,8,FALSE),"0")</f>
        <v>0</v>
      </c>
      <c r="K12589" s="4"/>
      <c r="L12589" s="33" t="str">
        <f>IFERROR(VLOOKUP($J12589,'Informations sur les produits'!$A$3:$H$10000,8,FALSE),"0")</f>
        <v>0</v>
      </c>
      <c r="N12589" s="8"/>
      <c r="O12589" s="33" t="str">
        <f>IFERROR(VLOOKUP($M12589,'Informations sur les produits'!$A$3:$H$10000,8,FALSE),"0")</f>
        <v>0</v>
      </c>
      <c r="P12589" s="33">
        <f t="shared" si="784"/>
        <v>0</v>
      </c>
      <c r="Q12589" s="31" t="str">
        <f t="shared" si="785"/>
        <v/>
      </c>
      <c r="R12589" s="32" t="str">
        <f>IFERROR(VLOOKUP($D12589,'Informations sur les produits'!$A$3:$B$15000,2,FALSE),"")</f>
        <v/>
      </c>
      <c r="V12589">
        <f t="shared" si="786"/>
        <v>0</v>
      </c>
      <c r="W12589">
        <f t="shared" si="787"/>
        <v>0</v>
      </c>
    </row>
    <row r="12590" spans="5:23" x14ac:dyDescent="0.25">
      <c r="E12590" s="4"/>
      <c r="F12590" s="4"/>
      <c r="G12590" s="33" t="str">
        <f>IFERROR(VLOOKUP($D12590,'Informations sur les produits'!$A$3:$H$10000,8,FALSE),"0")</f>
        <v>0</v>
      </c>
      <c r="K12590" s="4"/>
      <c r="L12590" s="33" t="str">
        <f>IFERROR(VLOOKUP($J12590,'Informations sur les produits'!$A$3:$H$10000,8,FALSE),"0")</f>
        <v>0</v>
      </c>
      <c r="N12590" s="8"/>
      <c r="O12590" s="33" t="str">
        <f>IFERROR(VLOOKUP($M12590,'Informations sur les produits'!$A$3:$H$10000,8,FALSE),"0")</f>
        <v>0</v>
      </c>
      <c r="P12590" s="33">
        <f t="shared" si="784"/>
        <v>0</v>
      </c>
      <c r="Q12590" s="31" t="str">
        <f t="shared" si="785"/>
        <v/>
      </c>
      <c r="R12590" s="32" t="str">
        <f>IFERROR(VLOOKUP($D12590,'Informations sur les produits'!$A$3:$B$15000,2,FALSE),"")</f>
        <v/>
      </c>
      <c r="V12590">
        <f t="shared" si="786"/>
        <v>0</v>
      </c>
      <c r="W12590">
        <f t="shared" si="787"/>
        <v>0</v>
      </c>
    </row>
    <row r="12591" spans="5:23" x14ac:dyDescent="0.25">
      <c r="E12591" s="4"/>
      <c r="F12591" s="4"/>
      <c r="G12591" s="33" t="str">
        <f>IFERROR(VLOOKUP($D12591,'Informations sur les produits'!$A$3:$H$10000,8,FALSE),"0")</f>
        <v>0</v>
      </c>
      <c r="K12591" s="4"/>
      <c r="L12591" s="33" t="str">
        <f>IFERROR(VLOOKUP($J12591,'Informations sur les produits'!$A$3:$H$10000,8,FALSE),"0")</f>
        <v>0</v>
      </c>
      <c r="N12591" s="8"/>
      <c r="O12591" s="33" t="str">
        <f>IFERROR(VLOOKUP($M12591,'Informations sur les produits'!$A$3:$H$10000,8,FALSE),"0")</f>
        <v>0</v>
      </c>
      <c r="P12591" s="33">
        <f t="shared" si="784"/>
        <v>0</v>
      </c>
      <c r="Q12591" s="31" t="str">
        <f t="shared" si="785"/>
        <v/>
      </c>
      <c r="R12591" s="32" t="str">
        <f>IFERROR(VLOOKUP($D12591,'Informations sur les produits'!$A$3:$B$15000,2,FALSE),"")</f>
        <v/>
      </c>
      <c r="V12591">
        <f t="shared" si="786"/>
        <v>0</v>
      </c>
      <c r="W12591">
        <f t="shared" si="787"/>
        <v>0</v>
      </c>
    </row>
    <row r="12592" spans="5:23" x14ac:dyDescent="0.25">
      <c r="E12592" s="4"/>
      <c r="F12592" s="4"/>
      <c r="G12592" s="33" t="str">
        <f>IFERROR(VLOOKUP($D12592,'Informations sur les produits'!$A$3:$H$10000,8,FALSE),"0")</f>
        <v>0</v>
      </c>
      <c r="K12592" s="4"/>
      <c r="L12592" s="33" t="str">
        <f>IFERROR(VLOOKUP($J12592,'Informations sur les produits'!$A$3:$H$10000,8,FALSE),"0")</f>
        <v>0</v>
      </c>
      <c r="N12592" s="8"/>
      <c r="O12592" s="33" t="str">
        <f>IFERROR(VLOOKUP($M12592,'Informations sur les produits'!$A$3:$H$10000,8,FALSE),"0")</f>
        <v>0</v>
      </c>
      <c r="P12592" s="33">
        <f t="shared" si="784"/>
        <v>0</v>
      </c>
      <c r="Q12592" s="31" t="str">
        <f t="shared" si="785"/>
        <v/>
      </c>
      <c r="R12592" s="32" t="str">
        <f>IFERROR(VLOOKUP($D12592,'Informations sur les produits'!$A$3:$B$15000,2,FALSE),"")</f>
        <v/>
      </c>
      <c r="V12592">
        <f t="shared" si="786"/>
        <v>0</v>
      </c>
      <c r="W12592">
        <f t="shared" si="787"/>
        <v>0</v>
      </c>
    </row>
    <row r="12593" spans="5:23" x14ac:dyDescent="0.25">
      <c r="E12593" s="4"/>
      <c r="F12593" s="4"/>
      <c r="G12593" s="33" t="str">
        <f>IFERROR(VLOOKUP($D12593,'Informations sur les produits'!$A$3:$H$10000,8,FALSE),"0")</f>
        <v>0</v>
      </c>
      <c r="K12593" s="4"/>
      <c r="L12593" s="33" t="str">
        <f>IFERROR(VLOOKUP($J12593,'Informations sur les produits'!$A$3:$H$10000,8,FALSE),"0")</f>
        <v>0</v>
      </c>
      <c r="N12593" s="8"/>
      <c r="O12593" s="33" t="str">
        <f>IFERROR(VLOOKUP($M12593,'Informations sur les produits'!$A$3:$H$10000,8,FALSE),"0")</f>
        <v>0</v>
      </c>
      <c r="P12593" s="33">
        <f t="shared" si="784"/>
        <v>0</v>
      </c>
      <c r="Q12593" s="31" t="str">
        <f t="shared" si="785"/>
        <v/>
      </c>
      <c r="R12593" s="32" t="str">
        <f>IFERROR(VLOOKUP($D12593,'Informations sur les produits'!$A$3:$B$15000,2,FALSE),"")</f>
        <v/>
      </c>
      <c r="V12593">
        <f t="shared" si="786"/>
        <v>0</v>
      </c>
      <c r="W12593">
        <f t="shared" si="787"/>
        <v>0</v>
      </c>
    </row>
    <row r="12594" spans="5:23" x14ac:dyDescent="0.25">
      <c r="E12594" s="4"/>
      <c r="F12594" s="4"/>
      <c r="G12594" s="33" t="str">
        <f>IFERROR(VLOOKUP($D12594,'Informations sur les produits'!$A$3:$H$10000,8,FALSE),"0")</f>
        <v>0</v>
      </c>
      <c r="K12594" s="4"/>
      <c r="L12594" s="33" t="str">
        <f>IFERROR(VLOOKUP($J12594,'Informations sur les produits'!$A$3:$H$10000,8,FALSE),"0")</f>
        <v>0</v>
      </c>
      <c r="N12594" s="8"/>
      <c r="O12594" s="33" t="str">
        <f>IFERROR(VLOOKUP($M12594,'Informations sur les produits'!$A$3:$H$10000,8,FALSE),"0")</f>
        <v>0</v>
      </c>
      <c r="P12594" s="33">
        <f t="shared" si="784"/>
        <v>0</v>
      </c>
      <c r="Q12594" s="31" t="str">
        <f t="shared" si="785"/>
        <v/>
      </c>
      <c r="R12594" s="32" t="str">
        <f>IFERROR(VLOOKUP($D12594,'Informations sur les produits'!$A$3:$B$15000,2,FALSE),"")</f>
        <v/>
      </c>
      <c r="V12594">
        <f t="shared" si="786"/>
        <v>0</v>
      </c>
      <c r="W12594">
        <f t="shared" si="787"/>
        <v>0</v>
      </c>
    </row>
    <row r="12595" spans="5:23" x14ac:dyDescent="0.25">
      <c r="E12595" s="4"/>
      <c r="F12595" s="4"/>
      <c r="G12595" s="33" t="str">
        <f>IFERROR(VLOOKUP($D12595,'Informations sur les produits'!$A$3:$H$10000,8,FALSE),"0")</f>
        <v>0</v>
      </c>
      <c r="K12595" s="4"/>
      <c r="L12595" s="33" t="str">
        <f>IFERROR(VLOOKUP($J12595,'Informations sur les produits'!$A$3:$H$10000,8,FALSE),"0")</f>
        <v>0</v>
      </c>
      <c r="N12595" s="8"/>
      <c r="O12595" s="33" t="str">
        <f>IFERROR(VLOOKUP($M12595,'Informations sur les produits'!$A$3:$H$10000,8,FALSE),"0")</f>
        <v>0</v>
      </c>
      <c r="P12595" s="33">
        <f t="shared" si="784"/>
        <v>0</v>
      </c>
      <c r="Q12595" s="31" t="str">
        <f t="shared" si="785"/>
        <v/>
      </c>
      <c r="R12595" s="32" t="str">
        <f>IFERROR(VLOOKUP($D12595,'Informations sur les produits'!$A$3:$B$15000,2,FALSE),"")</f>
        <v/>
      </c>
      <c r="V12595">
        <f t="shared" si="786"/>
        <v>0</v>
      </c>
      <c r="W12595">
        <f t="shared" si="787"/>
        <v>0</v>
      </c>
    </row>
    <row r="12596" spans="5:23" x14ac:dyDescent="0.25">
      <c r="E12596" s="4"/>
      <c r="F12596" s="4"/>
      <c r="G12596" s="33" t="str">
        <f>IFERROR(VLOOKUP($D12596,'Informations sur les produits'!$A$3:$H$10000,8,FALSE),"0")</f>
        <v>0</v>
      </c>
      <c r="K12596" s="4"/>
      <c r="L12596" s="33" t="str">
        <f>IFERROR(VLOOKUP($J12596,'Informations sur les produits'!$A$3:$H$10000,8,FALSE),"0")</f>
        <v>0</v>
      </c>
      <c r="N12596" s="8"/>
      <c r="O12596" s="33" t="str">
        <f>IFERROR(VLOOKUP($M12596,'Informations sur les produits'!$A$3:$H$10000,8,FALSE),"0")</f>
        <v>0</v>
      </c>
      <c r="P12596" s="33">
        <f t="shared" si="784"/>
        <v>0</v>
      </c>
      <c r="Q12596" s="31" t="str">
        <f t="shared" si="785"/>
        <v/>
      </c>
      <c r="R12596" s="32" t="str">
        <f>IFERROR(VLOOKUP($D12596,'Informations sur les produits'!$A$3:$B$15000,2,FALSE),"")</f>
        <v/>
      </c>
      <c r="V12596">
        <f t="shared" si="786"/>
        <v>0</v>
      </c>
      <c r="W12596">
        <f t="shared" si="787"/>
        <v>0</v>
      </c>
    </row>
    <row r="12597" spans="5:23" x14ac:dyDescent="0.25">
      <c r="E12597" s="4"/>
      <c r="F12597" s="4"/>
      <c r="G12597" s="33" t="str">
        <f>IFERROR(VLOOKUP($D12597,'Informations sur les produits'!$A$3:$H$10000,8,FALSE),"0")</f>
        <v>0</v>
      </c>
      <c r="K12597" s="4"/>
      <c r="L12597" s="33" t="str">
        <f>IFERROR(VLOOKUP($J12597,'Informations sur les produits'!$A$3:$H$10000,8,FALSE),"0")</f>
        <v>0</v>
      </c>
      <c r="N12597" s="8"/>
      <c r="O12597" s="33" t="str">
        <f>IFERROR(VLOOKUP($M12597,'Informations sur les produits'!$A$3:$H$10000,8,FALSE),"0")</f>
        <v>0</v>
      </c>
      <c r="P12597" s="33">
        <f t="shared" si="784"/>
        <v>0</v>
      </c>
      <c r="Q12597" s="31" t="str">
        <f t="shared" si="785"/>
        <v/>
      </c>
      <c r="R12597" s="32" t="str">
        <f>IFERROR(VLOOKUP($D12597,'Informations sur les produits'!$A$3:$B$15000,2,FALSE),"")</f>
        <v/>
      </c>
      <c r="V12597">
        <f t="shared" si="786"/>
        <v>0</v>
      </c>
      <c r="W12597">
        <f t="shared" si="787"/>
        <v>0</v>
      </c>
    </row>
    <row r="12598" spans="5:23" x14ac:dyDescent="0.25">
      <c r="E12598" s="4"/>
      <c r="F12598" s="4"/>
      <c r="G12598" s="33" t="str">
        <f>IFERROR(VLOOKUP($D12598,'Informations sur les produits'!$A$3:$H$10000,8,FALSE),"0")</f>
        <v>0</v>
      </c>
      <c r="K12598" s="4"/>
      <c r="L12598" s="33" t="str">
        <f>IFERROR(VLOOKUP($J12598,'Informations sur les produits'!$A$3:$H$10000,8,FALSE),"0")</f>
        <v>0</v>
      </c>
      <c r="N12598" s="8"/>
      <c r="O12598" s="33" t="str">
        <f>IFERROR(VLOOKUP($M12598,'Informations sur les produits'!$A$3:$H$10000,8,FALSE),"0")</f>
        <v>0</v>
      </c>
      <c r="P12598" s="33">
        <f t="shared" si="784"/>
        <v>0</v>
      </c>
      <c r="Q12598" s="31" t="str">
        <f t="shared" si="785"/>
        <v/>
      </c>
      <c r="R12598" s="32" t="str">
        <f>IFERROR(VLOOKUP($D12598,'Informations sur les produits'!$A$3:$B$15000,2,FALSE),"")</f>
        <v/>
      </c>
      <c r="V12598">
        <f t="shared" si="786"/>
        <v>0</v>
      </c>
      <c r="W12598">
        <f t="shared" si="787"/>
        <v>0</v>
      </c>
    </row>
    <row r="12599" spans="5:23" x14ac:dyDescent="0.25">
      <c r="E12599" s="4"/>
      <c r="F12599" s="4"/>
      <c r="G12599" s="33" t="str">
        <f>IFERROR(VLOOKUP($D12599,'Informations sur les produits'!$A$3:$H$10000,8,FALSE),"0")</f>
        <v>0</v>
      </c>
      <c r="K12599" s="4"/>
      <c r="L12599" s="33" t="str">
        <f>IFERROR(VLOOKUP($J12599,'Informations sur les produits'!$A$3:$H$10000,8,FALSE),"0")</f>
        <v>0</v>
      </c>
      <c r="N12599" s="8"/>
      <c r="O12599" s="33" t="str">
        <f>IFERROR(VLOOKUP($M12599,'Informations sur les produits'!$A$3:$H$10000,8,FALSE),"0")</f>
        <v>0</v>
      </c>
      <c r="P12599" s="33">
        <f t="shared" si="784"/>
        <v>0</v>
      </c>
      <c r="Q12599" s="31" t="str">
        <f t="shared" si="785"/>
        <v/>
      </c>
      <c r="R12599" s="32" t="str">
        <f>IFERROR(VLOOKUP($D12599,'Informations sur les produits'!$A$3:$B$15000,2,FALSE),"")</f>
        <v/>
      </c>
      <c r="V12599">
        <f t="shared" si="786"/>
        <v>0</v>
      </c>
      <c r="W12599">
        <f t="shared" si="787"/>
        <v>0</v>
      </c>
    </row>
    <row r="12600" spans="5:23" x14ac:dyDescent="0.25">
      <c r="E12600" s="4"/>
      <c r="F12600" s="4"/>
      <c r="G12600" s="33" t="str">
        <f>IFERROR(VLOOKUP($D12600,'Informations sur les produits'!$A$3:$H$10000,8,FALSE),"0")</f>
        <v>0</v>
      </c>
      <c r="K12600" s="4"/>
      <c r="L12600" s="33" t="str">
        <f>IFERROR(VLOOKUP($J12600,'Informations sur les produits'!$A$3:$H$10000,8,FALSE),"0")</f>
        <v>0</v>
      </c>
      <c r="N12600" s="8"/>
      <c r="O12600" s="33" t="str">
        <f>IFERROR(VLOOKUP($M12600,'Informations sur les produits'!$A$3:$H$10000,8,FALSE),"0")</f>
        <v>0</v>
      </c>
      <c r="P12600" s="33">
        <f t="shared" si="784"/>
        <v>0</v>
      </c>
      <c r="Q12600" s="31" t="str">
        <f t="shared" si="785"/>
        <v/>
      </c>
      <c r="R12600" s="32" t="str">
        <f>IFERROR(VLOOKUP($D12600,'Informations sur les produits'!$A$3:$B$15000,2,FALSE),"")</f>
        <v/>
      </c>
      <c r="V12600">
        <f t="shared" si="786"/>
        <v>0</v>
      </c>
      <c r="W12600">
        <f t="shared" si="787"/>
        <v>0</v>
      </c>
    </row>
    <row r="12601" spans="5:23" x14ac:dyDescent="0.25">
      <c r="E12601" s="4"/>
      <c r="F12601" s="4"/>
      <c r="G12601" s="33" t="str">
        <f>IFERROR(VLOOKUP($D12601,'Informations sur les produits'!$A$3:$H$10000,8,FALSE),"0")</f>
        <v>0</v>
      </c>
      <c r="K12601" s="4"/>
      <c r="L12601" s="33" t="str">
        <f>IFERROR(VLOOKUP($J12601,'Informations sur les produits'!$A$3:$H$10000,8,FALSE),"0")</f>
        <v>0</v>
      </c>
      <c r="N12601" s="8"/>
      <c r="O12601" s="33" t="str">
        <f>IFERROR(VLOOKUP($M12601,'Informations sur les produits'!$A$3:$H$10000,8,FALSE),"0")</f>
        <v>0</v>
      </c>
      <c r="P12601" s="33">
        <f t="shared" si="784"/>
        <v>0</v>
      </c>
      <c r="Q12601" s="31" t="str">
        <f t="shared" si="785"/>
        <v/>
      </c>
      <c r="R12601" s="32" t="str">
        <f>IFERROR(VLOOKUP($D12601,'Informations sur les produits'!$A$3:$B$15000,2,FALSE),"")</f>
        <v/>
      </c>
      <c r="V12601">
        <f t="shared" si="786"/>
        <v>0</v>
      </c>
      <c r="W12601">
        <f t="shared" si="787"/>
        <v>0</v>
      </c>
    </row>
    <row r="12602" spans="5:23" x14ac:dyDescent="0.25">
      <c r="E12602" s="4"/>
      <c r="F12602" s="4"/>
      <c r="G12602" s="33" t="str">
        <f>IFERROR(VLOOKUP($D12602,'Informations sur les produits'!$A$3:$H$10000,8,FALSE),"0")</f>
        <v>0</v>
      </c>
      <c r="K12602" s="4"/>
      <c r="L12602" s="33" t="str">
        <f>IFERROR(VLOOKUP($J12602,'Informations sur les produits'!$A$3:$H$10000,8,FALSE),"0")</f>
        <v>0</v>
      </c>
      <c r="N12602" s="8"/>
      <c r="O12602" s="33" t="str">
        <f>IFERROR(VLOOKUP($M12602,'Informations sur les produits'!$A$3:$H$10000,8,FALSE),"0")</f>
        <v>0</v>
      </c>
      <c r="P12602" s="33">
        <f t="shared" si="784"/>
        <v>0</v>
      </c>
      <c r="Q12602" s="31" t="str">
        <f t="shared" si="785"/>
        <v/>
      </c>
      <c r="R12602" s="32" t="str">
        <f>IFERROR(VLOOKUP($D12602,'Informations sur les produits'!$A$3:$B$15000,2,FALSE),"")</f>
        <v/>
      </c>
      <c r="V12602">
        <f t="shared" si="786"/>
        <v>0</v>
      </c>
      <c r="W12602">
        <f t="shared" si="787"/>
        <v>0</v>
      </c>
    </row>
    <row r="12603" spans="5:23" x14ac:dyDescent="0.25">
      <c r="E12603" s="4"/>
      <c r="F12603" s="4"/>
      <c r="G12603" s="33" t="str">
        <f>IFERROR(VLOOKUP($D12603,'Informations sur les produits'!$A$3:$H$10000,8,FALSE),"0")</f>
        <v>0</v>
      </c>
      <c r="K12603" s="4"/>
      <c r="L12603" s="33" t="str">
        <f>IFERROR(VLOOKUP($J12603,'Informations sur les produits'!$A$3:$H$10000,8,FALSE),"0")</f>
        <v>0</v>
      </c>
      <c r="N12603" s="8"/>
      <c r="O12603" s="33" t="str">
        <f>IFERROR(VLOOKUP($M12603,'Informations sur les produits'!$A$3:$H$10000,8,FALSE),"0")</f>
        <v>0</v>
      </c>
      <c r="P12603" s="33">
        <f t="shared" si="784"/>
        <v>0</v>
      </c>
      <c r="Q12603" s="31" t="str">
        <f t="shared" si="785"/>
        <v/>
      </c>
      <c r="R12603" s="32" t="str">
        <f>IFERROR(VLOOKUP($D12603,'Informations sur les produits'!$A$3:$B$15000,2,FALSE),"")</f>
        <v/>
      </c>
      <c r="V12603">
        <f t="shared" si="786"/>
        <v>0</v>
      </c>
      <c r="W12603">
        <f t="shared" si="787"/>
        <v>0</v>
      </c>
    </row>
    <row r="12604" spans="5:23" x14ac:dyDescent="0.25">
      <c r="E12604" s="4"/>
      <c r="F12604" s="4"/>
      <c r="G12604" s="33" t="str">
        <f>IFERROR(VLOOKUP($D12604,'Informations sur les produits'!$A$3:$H$10000,8,FALSE),"0")</f>
        <v>0</v>
      </c>
      <c r="K12604" s="4"/>
      <c r="L12604" s="33" t="str">
        <f>IFERROR(VLOOKUP($J12604,'Informations sur les produits'!$A$3:$H$10000,8,FALSE),"0")</f>
        <v>0</v>
      </c>
      <c r="N12604" s="8"/>
      <c r="O12604" s="33" t="str">
        <f>IFERROR(VLOOKUP($M12604,'Informations sur les produits'!$A$3:$H$10000,8,FALSE),"0")</f>
        <v>0</v>
      </c>
      <c r="P12604" s="33">
        <f t="shared" si="784"/>
        <v>0</v>
      </c>
      <c r="Q12604" s="31" t="str">
        <f t="shared" si="785"/>
        <v/>
      </c>
      <c r="R12604" s="32" t="str">
        <f>IFERROR(VLOOKUP($D12604,'Informations sur les produits'!$A$3:$B$15000,2,FALSE),"")</f>
        <v/>
      </c>
      <c r="V12604">
        <f t="shared" si="786"/>
        <v>0</v>
      </c>
      <c r="W12604">
        <f t="shared" si="787"/>
        <v>0</v>
      </c>
    </row>
    <row r="12605" spans="5:23" x14ac:dyDescent="0.25">
      <c r="E12605" s="4"/>
      <c r="F12605" s="4"/>
      <c r="G12605" s="33" t="str">
        <f>IFERROR(VLOOKUP($D12605,'Informations sur les produits'!$A$3:$H$10000,8,FALSE),"0")</f>
        <v>0</v>
      </c>
      <c r="K12605" s="4"/>
      <c r="L12605" s="33" t="str">
        <f>IFERROR(VLOOKUP($J12605,'Informations sur les produits'!$A$3:$H$10000,8,FALSE),"0")</f>
        <v>0</v>
      </c>
      <c r="N12605" s="8"/>
      <c r="O12605" s="33" t="str">
        <f>IFERROR(VLOOKUP($M12605,'Informations sur les produits'!$A$3:$H$10000,8,FALSE),"0")</f>
        <v>0</v>
      </c>
      <c r="P12605" s="33">
        <f t="shared" si="784"/>
        <v>0</v>
      </c>
      <c r="Q12605" s="31" t="str">
        <f t="shared" si="785"/>
        <v/>
      </c>
      <c r="R12605" s="32" t="str">
        <f>IFERROR(VLOOKUP($D12605,'Informations sur les produits'!$A$3:$B$15000,2,FALSE),"")</f>
        <v/>
      </c>
      <c r="V12605">
        <f t="shared" si="786"/>
        <v>0</v>
      </c>
      <c r="W12605">
        <f t="shared" si="787"/>
        <v>0</v>
      </c>
    </row>
    <row r="12606" spans="5:23" x14ac:dyDescent="0.25">
      <c r="E12606" s="4"/>
      <c r="F12606" s="4"/>
      <c r="G12606" s="33" t="str">
        <f>IFERROR(VLOOKUP($D12606,'Informations sur les produits'!$A$3:$H$10000,8,FALSE),"0")</f>
        <v>0</v>
      </c>
      <c r="K12606" s="4"/>
      <c r="L12606" s="33" t="str">
        <f>IFERROR(VLOOKUP($J12606,'Informations sur les produits'!$A$3:$H$10000,8,FALSE),"0")</f>
        <v>0</v>
      </c>
      <c r="N12606" s="8"/>
      <c r="O12606" s="33" t="str">
        <f>IFERROR(VLOOKUP($M12606,'Informations sur les produits'!$A$3:$H$10000,8,FALSE),"0")</f>
        <v>0</v>
      </c>
      <c r="P12606" s="33">
        <f t="shared" si="784"/>
        <v>0</v>
      </c>
      <c r="Q12606" s="31" t="str">
        <f t="shared" si="785"/>
        <v/>
      </c>
      <c r="R12606" s="32" t="str">
        <f>IFERROR(VLOOKUP($D12606,'Informations sur les produits'!$A$3:$B$15000,2,FALSE),"")</f>
        <v/>
      </c>
      <c r="V12606">
        <f t="shared" si="786"/>
        <v>0</v>
      </c>
      <c r="W12606">
        <f t="shared" si="787"/>
        <v>0</v>
      </c>
    </row>
    <row r="12607" spans="5:23" x14ac:dyDescent="0.25">
      <c r="E12607" s="4"/>
      <c r="F12607" s="4"/>
      <c r="G12607" s="33" t="str">
        <f>IFERROR(VLOOKUP($D12607,'Informations sur les produits'!$A$3:$H$10000,8,FALSE),"0")</f>
        <v>0</v>
      </c>
      <c r="K12607" s="4"/>
      <c r="L12607" s="33" t="str">
        <f>IFERROR(VLOOKUP($J12607,'Informations sur les produits'!$A$3:$H$10000,8,FALSE),"0")</f>
        <v>0</v>
      </c>
      <c r="N12607" s="8"/>
      <c r="O12607" s="33" t="str">
        <f>IFERROR(VLOOKUP($M12607,'Informations sur les produits'!$A$3:$H$10000,8,FALSE),"0")</f>
        <v>0</v>
      </c>
      <c r="P12607" s="33">
        <f t="shared" si="784"/>
        <v>0</v>
      </c>
      <c r="Q12607" s="31" t="str">
        <f t="shared" si="785"/>
        <v/>
      </c>
      <c r="R12607" s="32" t="str">
        <f>IFERROR(VLOOKUP($D12607,'Informations sur les produits'!$A$3:$B$15000,2,FALSE),"")</f>
        <v/>
      </c>
      <c r="V12607">
        <f t="shared" si="786"/>
        <v>0</v>
      </c>
      <c r="W12607">
        <f t="shared" si="787"/>
        <v>0</v>
      </c>
    </row>
    <row r="12608" spans="5:23" x14ac:dyDescent="0.25">
      <c r="E12608" s="4"/>
      <c r="F12608" s="4"/>
      <c r="G12608" s="33" t="str">
        <f>IFERROR(VLOOKUP($D12608,'Informations sur les produits'!$A$3:$H$10000,8,FALSE),"0")</f>
        <v>0</v>
      </c>
      <c r="K12608" s="4"/>
      <c r="L12608" s="33" t="str">
        <f>IFERROR(VLOOKUP($J12608,'Informations sur les produits'!$A$3:$H$10000,8,FALSE),"0")</f>
        <v>0</v>
      </c>
      <c r="N12608" s="8"/>
      <c r="O12608" s="33" t="str">
        <f>IFERROR(VLOOKUP($M12608,'Informations sur les produits'!$A$3:$H$10000,8,FALSE),"0")</f>
        <v>0</v>
      </c>
      <c r="P12608" s="33">
        <f t="shared" si="784"/>
        <v>0</v>
      </c>
      <c r="Q12608" s="31" t="str">
        <f t="shared" si="785"/>
        <v/>
      </c>
      <c r="R12608" s="32" t="str">
        <f>IFERROR(VLOOKUP($D12608,'Informations sur les produits'!$A$3:$B$15000,2,FALSE),"")</f>
        <v/>
      </c>
      <c r="V12608">
        <f t="shared" si="786"/>
        <v>0</v>
      </c>
      <c r="W12608">
        <f t="shared" si="787"/>
        <v>0</v>
      </c>
    </row>
    <row r="12609" spans="5:23" x14ac:dyDescent="0.25">
      <c r="E12609" s="4"/>
      <c r="F12609" s="4"/>
      <c r="G12609" s="33" t="str">
        <f>IFERROR(VLOOKUP($D12609,'Informations sur les produits'!$A$3:$H$10000,8,FALSE),"0")</f>
        <v>0</v>
      </c>
      <c r="K12609" s="4"/>
      <c r="L12609" s="33" t="str">
        <f>IFERROR(VLOOKUP($J12609,'Informations sur les produits'!$A$3:$H$10000,8,FALSE),"0")</f>
        <v>0</v>
      </c>
      <c r="N12609" s="8"/>
      <c r="O12609" s="33" t="str">
        <f>IFERROR(VLOOKUP($M12609,'Informations sur les produits'!$A$3:$H$10000,8,FALSE),"0")</f>
        <v>0</v>
      </c>
      <c r="P12609" s="33">
        <f t="shared" si="784"/>
        <v>0</v>
      </c>
      <c r="Q12609" s="31" t="str">
        <f t="shared" si="785"/>
        <v/>
      </c>
      <c r="R12609" s="32" t="str">
        <f>IFERROR(VLOOKUP($D12609,'Informations sur les produits'!$A$3:$B$15000,2,FALSE),"")</f>
        <v/>
      </c>
      <c r="V12609">
        <f t="shared" si="786"/>
        <v>0</v>
      </c>
      <c r="W12609">
        <f t="shared" si="787"/>
        <v>0</v>
      </c>
    </row>
    <row r="12610" spans="5:23" x14ac:dyDescent="0.25">
      <c r="E12610" s="4"/>
      <c r="F12610" s="4"/>
      <c r="G12610" s="33" t="str">
        <f>IFERROR(VLOOKUP($D12610,'Informations sur les produits'!$A$3:$H$10000,8,FALSE),"0")</f>
        <v>0</v>
      </c>
      <c r="K12610" s="4"/>
      <c r="L12610" s="33" t="str">
        <f>IFERROR(VLOOKUP($J12610,'Informations sur les produits'!$A$3:$H$10000,8,FALSE),"0")</f>
        <v>0</v>
      </c>
      <c r="N12610" s="8"/>
      <c r="O12610" s="33" t="str">
        <f>IFERROR(VLOOKUP($M12610,'Informations sur les produits'!$A$3:$H$10000,8,FALSE),"0")</f>
        <v>0</v>
      </c>
      <c r="P12610" s="33">
        <f t="shared" si="784"/>
        <v>0</v>
      </c>
      <c r="Q12610" s="31" t="str">
        <f t="shared" si="785"/>
        <v/>
      </c>
      <c r="R12610" s="32" t="str">
        <f>IFERROR(VLOOKUP($D12610,'Informations sur les produits'!$A$3:$B$15000,2,FALSE),"")</f>
        <v/>
      </c>
      <c r="V12610">
        <f t="shared" si="786"/>
        <v>0</v>
      </c>
      <c r="W12610">
        <f t="shared" si="787"/>
        <v>0</v>
      </c>
    </row>
    <row r="12611" spans="5:23" x14ac:dyDescent="0.25">
      <c r="E12611" s="4"/>
      <c r="F12611" s="4"/>
      <c r="G12611" s="33" t="str">
        <f>IFERROR(VLOOKUP($D12611,'Informations sur les produits'!$A$3:$H$10000,8,FALSE),"0")</f>
        <v>0</v>
      </c>
      <c r="K12611" s="4"/>
      <c r="L12611" s="33" t="str">
        <f>IFERROR(VLOOKUP($J12611,'Informations sur les produits'!$A$3:$H$10000,8,FALSE),"0")</f>
        <v>0</v>
      </c>
      <c r="N12611" s="8"/>
      <c r="O12611" s="33" t="str">
        <f>IFERROR(VLOOKUP($M12611,'Informations sur les produits'!$A$3:$H$10000,8,FALSE),"0")</f>
        <v>0</v>
      </c>
      <c r="P12611" s="33">
        <f t="shared" si="784"/>
        <v>0</v>
      </c>
      <c r="Q12611" s="31" t="str">
        <f t="shared" si="785"/>
        <v/>
      </c>
      <c r="R12611" s="32" t="str">
        <f>IFERROR(VLOOKUP($D12611,'Informations sur les produits'!$A$3:$B$15000,2,FALSE),"")</f>
        <v/>
      </c>
      <c r="V12611">
        <f t="shared" si="786"/>
        <v>0</v>
      </c>
      <c r="W12611">
        <f t="shared" si="787"/>
        <v>0</v>
      </c>
    </row>
    <row r="12612" spans="5:23" x14ac:dyDescent="0.25">
      <c r="E12612" s="4"/>
      <c r="F12612" s="4"/>
      <c r="G12612" s="33" t="str">
        <f>IFERROR(VLOOKUP($D12612,'Informations sur les produits'!$A$3:$H$10000,8,FALSE),"0")</f>
        <v>0</v>
      </c>
      <c r="K12612" s="4"/>
      <c r="L12612" s="33" t="str">
        <f>IFERROR(VLOOKUP($J12612,'Informations sur les produits'!$A$3:$H$10000,8,FALSE),"0")</f>
        <v>0</v>
      </c>
      <c r="N12612" s="8"/>
      <c r="O12612" s="33" t="str">
        <f>IFERROR(VLOOKUP($M12612,'Informations sur les produits'!$A$3:$H$10000,8,FALSE),"0")</f>
        <v>0</v>
      </c>
      <c r="P12612" s="33">
        <f t="shared" ref="P12612:P12675" si="788">IFERROR((($E12612-$F12612)*$G12612+$K12612*$L12612+$N12612*$O12612),"")</f>
        <v>0</v>
      </c>
      <c r="Q12612" s="31" t="str">
        <f t="shared" ref="Q12612:Q12675" si="789">IFERROR((((($E12612-$F12612)*$G12612+$K12612*$L12612+$N12612*$O12612)*1000)/(($E12612-$F12612)+$K12612+$N12612)),"")</f>
        <v/>
      </c>
      <c r="R12612" s="32" t="str">
        <f>IFERROR(VLOOKUP($D12612,'Informations sur les produits'!$A$3:$B$15000,2,FALSE),"")</f>
        <v/>
      </c>
      <c r="V12612">
        <f t="shared" ref="V12612:V12675" si="790">IFERROR(P12612*1000,"")</f>
        <v>0</v>
      </c>
      <c r="W12612">
        <f t="shared" ref="W12612:W12675" si="791">IFERROR(($E12612-$F12612)+$K12612+$N12612,"")</f>
        <v>0</v>
      </c>
    </row>
    <row r="12613" spans="5:23" x14ac:dyDescent="0.25">
      <c r="E12613" s="4"/>
      <c r="F12613" s="4"/>
      <c r="G12613" s="33" t="str">
        <f>IFERROR(VLOOKUP($D12613,'Informations sur les produits'!$A$3:$H$10000,8,FALSE),"0")</f>
        <v>0</v>
      </c>
      <c r="K12613" s="4"/>
      <c r="L12613" s="33" t="str">
        <f>IFERROR(VLOOKUP($J12613,'Informations sur les produits'!$A$3:$H$10000,8,FALSE),"0")</f>
        <v>0</v>
      </c>
      <c r="N12613" s="8"/>
      <c r="O12613" s="33" t="str">
        <f>IFERROR(VLOOKUP($M12613,'Informations sur les produits'!$A$3:$H$10000,8,FALSE),"0")</f>
        <v>0</v>
      </c>
      <c r="P12613" s="33">
        <f t="shared" si="788"/>
        <v>0</v>
      </c>
      <c r="Q12613" s="31" t="str">
        <f t="shared" si="789"/>
        <v/>
      </c>
      <c r="R12613" s="32" t="str">
        <f>IFERROR(VLOOKUP($D12613,'Informations sur les produits'!$A$3:$B$15000,2,FALSE),"")</f>
        <v/>
      </c>
      <c r="V12613">
        <f t="shared" si="790"/>
        <v>0</v>
      </c>
      <c r="W12613">
        <f t="shared" si="791"/>
        <v>0</v>
      </c>
    </row>
    <row r="12614" spans="5:23" x14ac:dyDescent="0.25">
      <c r="E12614" s="4"/>
      <c r="F12614" s="4"/>
      <c r="G12614" s="33" t="str">
        <f>IFERROR(VLOOKUP($D12614,'Informations sur les produits'!$A$3:$H$10000,8,FALSE),"0")</f>
        <v>0</v>
      </c>
      <c r="K12614" s="4"/>
      <c r="L12614" s="33" t="str">
        <f>IFERROR(VLOOKUP($J12614,'Informations sur les produits'!$A$3:$H$10000,8,FALSE),"0")</f>
        <v>0</v>
      </c>
      <c r="N12614" s="8"/>
      <c r="O12614" s="33" t="str">
        <f>IFERROR(VLOOKUP($M12614,'Informations sur les produits'!$A$3:$H$10000,8,FALSE),"0")</f>
        <v>0</v>
      </c>
      <c r="P12614" s="33">
        <f t="shared" si="788"/>
        <v>0</v>
      </c>
      <c r="Q12614" s="31" t="str">
        <f t="shared" si="789"/>
        <v/>
      </c>
      <c r="R12614" s="32" t="str">
        <f>IFERROR(VLOOKUP($D12614,'Informations sur les produits'!$A$3:$B$15000,2,FALSE),"")</f>
        <v/>
      </c>
      <c r="V12614">
        <f t="shared" si="790"/>
        <v>0</v>
      </c>
      <c r="W12614">
        <f t="shared" si="791"/>
        <v>0</v>
      </c>
    </row>
    <row r="12615" spans="5:23" x14ac:dyDescent="0.25">
      <c r="E12615" s="4"/>
      <c r="F12615" s="4"/>
      <c r="G12615" s="33" t="str">
        <f>IFERROR(VLOOKUP($D12615,'Informations sur les produits'!$A$3:$H$10000,8,FALSE),"0")</f>
        <v>0</v>
      </c>
      <c r="K12615" s="4"/>
      <c r="L12615" s="33" t="str">
        <f>IFERROR(VLOOKUP($J12615,'Informations sur les produits'!$A$3:$H$10000,8,FALSE),"0")</f>
        <v>0</v>
      </c>
      <c r="N12615" s="8"/>
      <c r="O12615" s="33" t="str">
        <f>IFERROR(VLOOKUP($M12615,'Informations sur les produits'!$A$3:$H$10000,8,FALSE),"0")</f>
        <v>0</v>
      </c>
      <c r="P12615" s="33">
        <f t="shared" si="788"/>
        <v>0</v>
      </c>
      <c r="Q12615" s="31" t="str">
        <f t="shared" si="789"/>
        <v/>
      </c>
      <c r="R12615" s="32" t="str">
        <f>IFERROR(VLOOKUP($D12615,'Informations sur les produits'!$A$3:$B$15000,2,FALSE),"")</f>
        <v/>
      </c>
      <c r="V12615">
        <f t="shared" si="790"/>
        <v>0</v>
      </c>
      <c r="W12615">
        <f t="shared" si="791"/>
        <v>0</v>
      </c>
    </row>
    <row r="12616" spans="5:23" x14ac:dyDescent="0.25">
      <c r="E12616" s="4"/>
      <c r="F12616" s="4"/>
      <c r="G12616" s="33" t="str">
        <f>IFERROR(VLOOKUP($D12616,'Informations sur les produits'!$A$3:$H$10000,8,FALSE),"0")</f>
        <v>0</v>
      </c>
      <c r="K12616" s="4"/>
      <c r="L12616" s="33" t="str">
        <f>IFERROR(VLOOKUP($J12616,'Informations sur les produits'!$A$3:$H$10000,8,FALSE),"0")</f>
        <v>0</v>
      </c>
      <c r="N12616" s="8"/>
      <c r="O12616" s="33" t="str">
        <f>IFERROR(VLOOKUP($M12616,'Informations sur les produits'!$A$3:$H$10000,8,FALSE),"0")</f>
        <v>0</v>
      </c>
      <c r="P12616" s="33">
        <f t="shared" si="788"/>
        <v>0</v>
      </c>
      <c r="Q12616" s="31" t="str">
        <f t="shared" si="789"/>
        <v/>
      </c>
      <c r="R12616" s="32" t="str">
        <f>IFERROR(VLOOKUP($D12616,'Informations sur les produits'!$A$3:$B$15000,2,FALSE),"")</f>
        <v/>
      </c>
      <c r="V12616">
        <f t="shared" si="790"/>
        <v>0</v>
      </c>
      <c r="W12616">
        <f t="shared" si="791"/>
        <v>0</v>
      </c>
    </row>
    <row r="12617" spans="5:23" x14ac:dyDescent="0.25">
      <c r="E12617" s="4"/>
      <c r="F12617" s="4"/>
      <c r="G12617" s="33" t="str">
        <f>IFERROR(VLOOKUP($D12617,'Informations sur les produits'!$A$3:$H$10000,8,FALSE),"0")</f>
        <v>0</v>
      </c>
      <c r="K12617" s="4"/>
      <c r="L12617" s="33" t="str">
        <f>IFERROR(VLOOKUP($J12617,'Informations sur les produits'!$A$3:$H$10000,8,FALSE),"0")</f>
        <v>0</v>
      </c>
      <c r="N12617" s="8"/>
      <c r="O12617" s="33" t="str">
        <f>IFERROR(VLOOKUP($M12617,'Informations sur les produits'!$A$3:$H$10000,8,FALSE),"0")</f>
        <v>0</v>
      </c>
      <c r="P12617" s="33">
        <f t="shared" si="788"/>
        <v>0</v>
      </c>
      <c r="Q12617" s="31" t="str">
        <f t="shared" si="789"/>
        <v/>
      </c>
      <c r="R12617" s="32" t="str">
        <f>IFERROR(VLOOKUP($D12617,'Informations sur les produits'!$A$3:$B$15000,2,FALSE),"")</f>
        <v/>
      </c>
      <c r="V12617">
        <f t="shared" si="790"/>
        <v>0</v>
      </c>
      <c r="W12617">
        <f t="shared" si="791"/>
        <v>0</v>
      </c>
    </row>
    <row r="12618" spans="5:23" x14ac:dyDescent="0.25">
      <c r="E12618" s="4"/>
      <c r="F12618" s="4"/>
      <c r="G12618" s="33" t="str">
        <f>IFERROR(VLOOKUP($D12618,'Informations sur les produits'!$A$3:$H$10000,8,FALSE),"0")</f>
        <v>0</v>
      </c>
      <c r="K12618" s="4"/>
      <c r="L12618" s="33" t="str">
        <f>IFERROR(VLOOKUP($J12618,'Informations sur les produits'!$A$3:$H$10000,8,FALSE),"0")</f>
        <v>0</v>
      </c>
      <c r="N12618" s="8"/>
      <c r="O12618" s="33" t="str">
        <f>IFERROR(VLOOKUP($M12618,'Informations sur les produits'!$A$3:$H$10000,8,FALSE),"0")</f>
        <v>0</v>
      </c>
      <c r="P12618" s="33">
        <f t="shared" si="788"/>
        <v>0</v>
      </c>
      <c r="Q12618" s="31" t="str">
        <f t="shared" si="789"/>
        <v/>
      </c>
      <c r="R12618" s="32" t="str">
        <f>IFERROR(VLOOKUP($D12618,'Informations sur les produits'!$A$3:$B$15000,2,FALSE),"")</f>
        <v/>
      </c>
      <c r="V12618">
        <f t="shared" si="790"/>
        <v>0</v>
      </c>
      <c r="W12618">
        <f t="shared" si="791"/>
        <v>0</v>
      </c>
    </row>
    <row r="12619" spans="5:23" x14ac:dyDescent="0.25">
      <c r="E12619" s="4"/>
      <c r="F12619" s="4"/>
      <c r="G12619" s="33" t="str">
        <f>IFERROR(VLOOKUP($D12619,'Informations sur les produits'!$A$3:$H$10000,8,FALSE),"0")</f>
        <v>0</v>
      </c>
      <c r="K12619" s="4"/>
      <c r="L12619" s="33" t="str">
        <f>IFERROR(VLOOKUP($J12619,'Informations sur les produits'!$A$3:$H$10000,8,FALSE),"0")</f>
        <v>0</v>
      </c>
      <c r="N12619" s="8"/>
      <c r="O12619" s="33" t="str">
        <f>IFERROR(VLOOKUP($M12619,'Informations sur les produits'!$A$3:$H$10000,8,FALSE),"0")</f>
        <v>0</v>
      </c>
      <c r="P12619" s="33">
        <f t="shared" si="788"/>
        <v>0</v>
      </c>
      <c r="Q12619" s="31" t="str">
        <f t="shared" si="789"/>
        <v/>
      </c>
      <c r="R12619" s="32" t="str">
        <f>IFERROR(VLOOKUP($D12619,'Informations sur les produits'!$A$3:$B$15000,2,FALSE),"")</f>
        <v/>
      </c>
      <c r="V12619">
        <f t="shared" si="790"/>
        <v>0</v>
      </c>
      <c r="W12619">
        <f t="shared" si="791"/>
        <v>0</v>
      </c>
    </row>
    <row r="12620" spans="5:23" x14ac:dyDescent="0.25">
      <c r="E12620" s="4"/>
      <c r="F12620" s="4"/>
      <c r="G12620" s="33" t="str">
        <f>IFERROR(VLOOKUP($D12620,'Informations sur les produits'!$A$3:$H$10000,8,FALSE),"0")</f>
        <v>0</v>
      </c>
      <c r="K12620" s="4"/>
      <c r="L12620" s="33" t="str">
        <f>IFERROR(VLOOKUP($J12620,'Informations sur les produits'!$A$3:$H$10000,8,FALSE),"0")</f>
        <v>0</v>
      </c>
      <c r="N12620" s="8"/>
      <c r="O12620" s="33" t="str">
        <f>IFERROR(VLOOKUP($M12620,'Informations sur les produits'!$A$3:$H$10000,8,FALSE),"0")</f>
        <v>0</v>
      </c>
      <c r="P12620" s="33">
        <f t="shared" si="788"/>
        <v>0</v>
      </c>
      <c r="Q12620" s="31" t="str">
        <f t="shared" si="789"/>
        <v/>
      </c>
      <c r="R12620" s="32" t="str">
        <f>IFERROR(VLOOKUP($D12620,'Informations sur les produits'!$A$3:$B$15000,2,FALSE),"")</f>
        <v/>
      </c>
      <c r="V12620">
        <f t="shared" si="790"/>
        <v>0</v>
      </c>
      <c r="W12620">
        <f t="shared" si="791"/>
        <v>0</v>
      </c>
    </row>
    <row r="12621" spans="5:23" x14ac:dyDescent="0.25">
      <c r="E12621" s="4"/>
      <c r="F12621" s="4"/>
      <c r="G12621" s="33" t="str">
        <f>IFERROR(VLOOKUP($D12621,'Informations sur les produits'!$A$3:$H$10000,8,FALSE),"0")</f>
        <v>0</v>
      </c>
      <c r="K12621" s="4"/>
      <c r="L12621" s="33" t="str">
        <f>IFERROR(VLOOKUP($J12621,'Informations sur les produits'!$A$3:$H$10000,8,FALSE),"0")</f>
        <v>0</v>
      </c>
      <c r="N12621" s="8"/>
      <c r="O12621" s="33" t="str">
        <f>IFERROR(VLOOKUP($M12621,'Informations sur les produits'!$A$3:$H$10000,8,FALSE),"0")</f>
        <v>0</v>
      </c>
      <c r="P12621" s="33">
        <f t="shared" si="788"/>
        <v>0</v>
      </c>
      <c r="Q12621" s="31" t="str">
        <f t="shared" si="789"/>
        <v/>
      </c>
      <c r="R12621" s="32" t="str">
        <f>IFERROR(VLOOKUP($D12621,'Informations sur les produits'!$A$3:$B$15000,2,FALSE),"")</f>
        <v/>
      </c>
      <c r="V12621">
        <f t="shared" si="790"/>
        <v>0</v>
      </c>
      <c r="W12621">
        <f t="shared" si="791"/>
        <v>0</v>
      </c>
    </row>
    <row r="12622" spans="5:23" x14ac:dyDescent="0.25">
      <c r="E12622" s="4"/>
      <c r="F12622" s="4"/>
      <c r="G12622" s="33" t="str">
        <f>IFERROR(VLOOKUP($D12622,'Informations sur les produits'!$A$3:$H$10000,8,FALSE),"0")</f>
        <v>0</v>
      </c>
      <c r="K12622" s="4"/>
      <c r="L12622" s="33" t="str">
        <f>IFERROR(VLOOKUP($J12622,'Informations sur les produits'!$A$3:$H$10000,8,FALSE),"0")</f>
        <v>0</v>
      </c>
      <c r="N12622" s="8"/>
      <c r="O12622" s="33" t="str">
        <f>IFERROR(VLOOKUP($M12622,'Informations sur les produits'!$A$3:$H$10000,8,FALSE),"0")</f>
        <v>0</v>
      </c>
      <c r="P12622" s="33">
        <f t="shared" si="788"/>
        <v>0</v>
      </c>
      <c r="Q12622" s="31" t="str">
        <f t="shared" si="789"/>
        <v/>
      </c>
      <c r="R12622" s="32" t="str">
        <f>IFERROR(VLOOKUP($D12622,'Informations sur les produits'!$A$3:$B$15000,2,FALSE),"")</f>
        <v/>
      </c>
      <c r="V12622">
        <f t="shared" si="790"/>
        <v>0</v>
      </c>
      <c r="W12622">
        <f t="shared" si="791"/>
        <v>0</v>
      </c>
    </row>
    <row r="12623" spans="5:23" x14ac:dyDescent="0.25">
      <c r="E12623" s="4"/>
      <c r="F12623" s="4"/>
      <c r="G12623" s="33" t="str">
        <f>IFERROR(VLOOKUP($D12623,'Informations sur les produits'!$A$3:$H$10000,8,FALSE),"0")</f>
        <v>0</v>
      </c>
      <c r="K12623" s="4"/>
      <c r="L12623" s="33" t="str">
        <f>IFERROR(VLOOKUP($J12623,'Informations sur les produits'!$A$3:$H$10000,8,FALSE),"0")</f>
        <v>0</v>
      </c>
      <c r="N12623" s="8"/>
      <c r="O12623" s="33" t="str">
        <f>IFERROR(VLOOKUP($M12623,'Informations sur les produits'!$A$3:$H$10000,8,FALSE),"0")</f>
        <v>0</v>
      </c>
      <c r="P12623" s="33">
        <f t="shared" si="788"/>
        <v>0</v>
      </c>
      <c r="Q12623" s="31" t="str">
        <f t="shared" si="789"/>
        <v/>
      </c>
      <c r="R12623" s="32" t="str">
        <f>IFERROR(VLOOKUP($D12623,'Informations sur les produits'!$A$3:$B$15000,2,FALSE),"")</f>
        <v/>
      </c>
      <c r="V12623">
        <f t="shared" si="790"/>
        <v>0</v>
      </c>
      <c r="W12623">
        <f t="shared" si="791"/>
        <v>0</v>
      </c>
    </row>
    <row r="12624" spans="5:23" x14ac:dyDescent="0.25">
      <c r="E12624" s="4"/>
      <c r="F12624" s="4"/>
      <c r="G12624" s="33" t="str">
        <f>IFERROR(VLOOKUP($D12624,'Informations sur les produits'!$A$3:$H$10000,8,FALSE),"0")</f>
        <v>0</v>
      </c>
      <c r="K12624" s="4"/>
      <c r="L12624" s="33" t="str">
        <f>IFERROR(VLOOKUP($J12624,'Informations sur les produits'!$A$3:$H$10000,8,FALSE),"0")</f>
        <v>0</v>
      </c>
      <c r="N12624" s="8"/>
      <c r="O12624" s="33" t="str">
        <f>IFERROR(VLOOKUP($M12624,'Informations sur les produits'!$A$3:$H$10000,8,FALSE),"0")</f>
        <v>0</v>
      </c>
      <c r="P12624" s="33">
        <f t="shared" si="788"/>
        <v>0</v>
      </c>
      <c r="Q12624" s="31" t="str">
        <f t="shared" si="789"/>
        <v/>
      </c>
      <c r="R12624" s="32" t="str">
        <f>IFERROR(VLOOKUP($D12624,'Informations sur les produits'!$A$3:$B$15000,2,FALSE),"")</f>
        <v/>
      </c>
      <c r="V12624">
        <f t="shared" si="790"/>
        <v>0</v>
      </c>
      <c r="W12624">
        <f t="shared" si="791"/>
        <v>0</v>
      </c>
    </row>
    <row r="12625" spans="5:23" x14ac:dyDescent="0.25">
      <c r="E12625" s="4"/>
      <c r="F12625" s="4"/>
      <c r="G12625" s="33" t="str">
        <f>IFERROR(VLOOKUP($D12625,'Informations sur les produits'!$A$3:$H$10000,8,FALSE),"0")</f>
        <v>0</v>
      </c>
      <c r="K12625" s="4"/>
      <c r="L12625" s="33" t="str">
        <f>IFERROR(VLOOKUP($J12625,'Informations sur les produits'!$A$3:$H$10000,8,FALSE),"0")</f>
        <v>0</v>
      </c>
      <c r="N12625" s="8"/>
      <c r="O12625" s="33" t="str">
        <f>IFERROR(VLOOKUP($M12625,'Informations sur les produits'!$A$3:$H$10000,8,FALSE),"0")</f>
        <v>0</v>
      </c>
      <c r="P12625" s="33">
        <f t="shared" si="788"/>
        <v>0</v>
      </c>
      <c r="Q12625" s="31" t="str">
        <f t="shared" si="789"/>
        <v/>
      </c>
      <c r="R12625" s="32" t="str">
        <f>IFERROR(VLOOKUP($D12625,'Informations sur les produits'!$A$3:$B$15000,2,FALSE),"")</f>
        <v/>
      </c>
      <c r="V12625">
        <f t="shared" si="790"/>
        <v>0</v>
      </c>
      <c r="W12625">
        <f t="shared" si="791"/>
        <v>0</v>
      </c>
    </row>
    <row r="12626" spans="5:23" x14ac:dyDescent="0.25">
      <c r="E12626" s="4"/>
      <c r="F12626" s="4"/>
      <c r="G12626" s="33" t="str">
        <f>IFERROR(VLOOKUP($D12626,'Informations sur les produits'!$A$3:$H$10000,8,FALSE),"0")</f>
        <v>0</v>
      </c>
      <c r="K12626" s="4"/>
      <c r="L12626" s="33" t="str">
        <f>IFERROR(VLOOKUP($J12626,'Informations sur les produits'!$A$3:$H$10000,8,FALSE),"0")</f>
        <v>0</v>
      </c>
      <c r="N12626" s="8"/>
      <c r="O12626" s="33" t="str">
        <f>IFERROR(VLOOKUP($M12626,'Informations sur les produits'!$A$3:$H$10000,8,FALSE),"0")</f>
        <v>0</v>
      </c>
      <c r="P12626" s="33">
        <f t="shared" si="788"/>
        <v>0</v>
      </c>
      <c r="Q12626" s="31" t="str">
        <f t="shared" si="789"/>
        <v/>
      </c>
      <c r="R12626" s="32" t="str">
        <f>IFERROR(VLOOKUP($D12626,'Informations sur les produits'!$A$3:$B$15000,2,FALSE),"")</f>
        <v/>
      </c>
      <c r="V12626">
        <f t="shared" si="790"/>
        <v>0</v>
      </c>
      <c r="W12626">
        <f t="shared" si="791"/>
        <v>0</v>
      </c>
    </row>
    <row r="12627" spans="5:23" x14ac:dyDescent="0.25">
      <c r="E12627" s="4"/>
      <c r="F12627" s="4"/>
      <c r="G12627" s="33" t="str">
        <f>IFERROR(VLOOKUP($D12627,'Informations sur les produits'!$A$3:$H$10000,8,FALSE),"0")</f>
        <v>0</v>
      </c>
      <c r="K12627" s="4"/>
      <c r="L12627" s="33" t="str">
        <f>IFERROR(VLOOKUP($J12627,'Informations sur les produits'!$A$3:$H$10000,8,FALSE),"0")</f>
        <v>0</v>
      </c>
      <c r="N12627" s="8"/>
      <c r="O12627" s="33" t="str">
        <f>IFERROR(VLOOKUP($M12627,'Informations sur les produits'!$A$3:$H$10000,8,FALSE),"0")</f>
        <v>0</v>
      </c>
      <c r="P12627" s="33">
        <f t="shared" si="788"/>
        <v>0</v>
      </c>
      <c r="Q12627" s="31" t="str">
        <f t="shared" si="789"/>
        <v/>
      </c>
      <c r="R12627" s="32" t="str">
        <f>IFERROR(VLOOKUP($D12627,'Informations sur les produits'!$A$3:$B$15000,2,FALSE),"")</f>
        <v/>
      </c>
      <c r="V12627">
        <f t="shared" si="790"/>
        <v>0</v>
      </c>
      <c r="W12627">
        <f t="shared" si="791"/>
        <v>0</v>
      </c>
    </row>
    <row r="12628" spans="5:23" x14ac:dyDescent="0.25">
      <c r="E12628" s="4"/>
      <c r="F12628" s="4"/>
      <c r="G12628" s="33" t="str">
        <f>IFERROR(VLOOKUP($D12628,'Informations sur les produits'!$A$3:$H$10000,8,FALSE),"0")</f>
        <v>0</v>
      </c>
      <c r="K12628" s="4"/>
      <c r="L12628" s="33" t="str">
        <f>IFERROR(VLOOKUP($J12628,'Informations sur les produits'!$A$3:$H$10000,8,FALSE),"0")</f>
        <v>0</v>
      </c>
      <c r="N12628" s="8"/>
      <c r="O12628" s="33" t="str">
        <f>IFERROR(VLOOKUP($M12628,'Informations sur les produits'!$A$3:$H$10000,8,FALSE),"0")</f>
        <v>0</v>
      </c>
      <c r="P12628" s="33">
        <f t="shared" si="788"/>
        <v>0</v>
      </c>
      <c r="Q12628" s="31" t="str">
        <f t="shared" si="789"/>
        <v/>
      </c>
      <c r="R12628" s="32" t="str">
        <f>IFERROR(VLOOKUP($D12628,'Informations sur les produits'!$A$3:$B$15000,2,FALSE),"")</f>
        <v/>
      </c>
      <c r="V12628">
        <f t="shared" si="790"/>
        <v>0</v>
      </c>
      <c r="W12628">
        <f t="shared" si="791"/>
        <v>0</v>
      </c>
    </row>
    <row r="12629" spans="5:23" x14ac:dyDescent="0.25">
      <c r="E12629" s="4"/>
      <c r="F12629" s="4"/>
      <c r="G12629" s="33" t="str">
        <f>IFERROR(VLOOKUP($D12629,'Informations sur les produits'!$A$3:$H$10000,8,FALSE),"0")</f>
        <v>0</v>
      </c>
      <c r="K12629" s="4"/>
      <c r="L12629" s="33" t="str">
        <f>IFERROR(VLOOKUP($J12629,'Informations sur les produits'!$A$3:$H$10000,8,FALSE),"0")</f>
        <v>0</v>
      </c>
      <c r="N12629" s="8"/>
      <c r="O12629" s="33" t="str">
        <f>IFERROR(VLOOKUP($M12629,'Informations sur les produits'!$A$3:$H$10000,8,FALSE),"0")</f>
        <v>0</v>
      </c>
      <c r="P12629" s="33">
        <f t="shared" si="788"/>
        <v>0</v>
      </c>
      <c r="Q12629" s="31" t="str">
        <f t="shared" si="789"/>
        <v/>
      </c>
      <c r="R12629" s="32" t="str">
        <f>IFERROR(VLOOKUP($D12629,'Informations sur les produits'!$A$3:$B$15000,2,FALSE),"")</f>
        <v/>
      </c>
      <c r="V12629">
        <f t="shared" si="790"/>
        <v>0</v>
      </c>
      <c r="W12629">
        <f t="shared" si="791"/>
        <v>0</v>
      </c>
    </row>
    <row r="12630" spans="5:23" x14ac:dyDescent="0.25">
      <c r="E12630" s="4"/>
      <c r="F12630" s="4"/>
      <c r="G12630" s="33" t="str">
        <f>IFERROR(VLOOKUP($D12630,'Informations sur les produits'!$A$3:$H$10000,8,FALSE),"0")</f>
        <v>0</v>
      </c>
      <c r="K12630" s="4"/>
      <c r="L12630" s="33" t="str">
        <f>IFERROR(VLOOKUP($J12630,'Informations sur les produits'!$A$3:$H$10000,8,FALSE),"0")</f>
        <v>0</v>
      </c>
      <c r="N12630" s="8"/>
      <c r="O12630" s="33" t="str">
        <f>IFERROR(VLOOKUP($M12630,'Informations sur les produits'!$A$3:$H$10000,8,FALSE),"0")</f>
        <v>0</v>
      </c>
      <c r="P12630" s="33">
        <f t="shared" si="788"/>
        <v>0</v>
      </c>
      <c r="Q12630" s="31" t="str">
        <f t="shared" si="789"/>
        <v/>
      </c>
      <c r="R12630" s="32" t="str">
        <f>IFERROR(VLOOKUP($D12630,'Informations sur les produits'!$A$3:$B$15000,2,FALSE),"")</f>
        <v/>
      </c>
      <c r="V12630">
        <f t="shared" si="790"/>
        <v>0</v>
      </c>
      <c r="W12630">
        <f t="shared" si="791"/>
        <v>0</v>
      </c>
    </row>
    <row r="12631" spans="5:23" x14ac:dyDescent="0.25">
      <c r="E12631" s="4"/>
      <c r="F12631" s="4"/>
      <c r="G12631" s="33" t="str">
        <f>IFERROR(VLOOKUP($D12631,'Informations sur les produits'!$A$3:$H$10000,8,FALSE),"0")</f>
        <v>0</v>
      </c>
      <c r="K12631" s="4"/>
      <c r="L12631" s="33" t="str">
        <f>IFERROR(VLOOKUP($J12631,'Informations sur les produits'!$A$3:$H$10000,8,FALSE),"0")</f>
        <v>0</v>
      </c>
      <c r="N12631" s="8"/>
      <c r="O12631" s="33" t="str">
        <f>IFERROR(VLOOKUP($M12631,'Informations sur les produits'!$A$3:$H$10000,8,FALSE),"0")</f>
        <v>0</v>
      </c>
      <c r="P12631" s="33">
        <f t="shared" si="788"/>
        <v>0</v>
      </c>
      <c r="Q12631" s="31" t="str">
        <f t="shared" si="789"/>
        <v/>
      </c>
      <c r="R12631" s="32" t="str">
        <f>IFERROR(VLOOKUP($D12631,'Informations sur les produits'!$A$3:$B$15000,2,FALSE),"")</f>
        <v/>
      </c>
      <c r="V12631">
        <f t="shared" si="790"/>
        <v>0</v>
      </c>
      <c r="W12631">
        <f t="shared" si="791"/>
        <v>0</v>
      </c>
    </row>
    <row r="12632" spans="5:23" x14ac:dyDescent="0.25">
      <c r="E12632" s="4"/>
      <c r="F12632" s="4"/>
      <c r="G12632" s="33" t="str">
        <f>IFERROR(VLOOKUP($D12632,'Informations sur les produits'!$A$3:$H$10000,8,FALSE),"0")</f>
        <v>0</v>
      </c>
      <c r="K12632" s="4"/>
      <c r="L12632" s="33" t="str">
        <f>IFERROR(VLOOKUP($J12632,'Informations sur les produits'!$A$3:$H$10000,8,FALSE),"0")</f>
        <v>0</v>
      </c>
      <c r="N12632" s="8"/>
      <c r="O12632" s="33" t="str">
        <f>IFERROR(VLOOKUP($M12632,'Informations sur les produits'!$A$3:$H$10000,8,FALSE),"0")</f>
        <v>0</v>
      </c>
      <c r="P12632" s="33">
        <f t="shared" si="788"/>
        <v>0</v>
      </c>
      <c r="Q12632" s="31" t="str">
        <f t="shared" si="789"/>
        <v/>
      </c>
      <c r="R12632" s="32" t="str">
        <f>IFERROR(VLOOKUP($D12632,'Informations sur les produits'!$A$3:$B$15000,2,FALSE),"")</f>
        <v/>
      </c>
      <c r="V12632">
        <f t="shared" si="790"/>
        <v>0</v>
      </c>
      <c r="W12632">
        <f t="shared" si="791"/>
        <v>0</v>
      </c>
    </row>
    <row r="12633" spans="5:23" x14ac:dyDescent="0.25">
      <c r="E12633" s="4"/>
      <c r="F12633" s="4"/>
      <c r="G12633" s="33" t="str">
        <f>IFERROR(VLOOKUP($D12633,'Informations sur les produits'!$A$3:$H$10000,8,FALSE),"0")</f>
        <v>0</v>
      </c>
      <c r="K12633" s="4"/>
      <c r="L12633" s="33" t="str">
        <f>IFERROR(VLOOKUP($J12633,'Informations sur les produits'!$A$3:$H$10000,8,FALSE),"0")</f>
        <v>0</v>
      </c>
      <c r="N12633" s="8"/>
      <c r="O12633" s="33" t="str">
        <f>IFERROR(VLOOKUP($M12633,'Informations sur les produits'!$A$3:$H$10000,8,FALSE),"0")</f>
        <v>0</v>
      </c>
      <c r="P12633" s="33">
        <f t="shared" si="788"/>
        <v>0</v>
      </c>
      <c r="Q12633" s="31" t="str">
        <f t="shared" si="789"/>
        <v/>
      </c>
      <c r="R12633" s="32" t="str">
        <f>IFERROR(VLOOKUP($D12633,'Informations sur les produits'!$A$3:$B$15000,2,FALSE),"")</f>
        <v/>
      </c>
      <c r="V12633">
        <f t="shared" si="790"/>
        <v>0</v>
      </c>
      <c r="W12633">
        <f t="shared" si="791"/>
        <v>0</v>
      </c>
    </row>
    <row r="12634" spans="5:23" x14ac:dyDescent="0.25">
      <c r="E12634" s="4"/>
      <c r="F12634" s="4"/>
      <c r="G12634" s="33" t="str">
        <f>IFERROR(VLOOKUP($D12634,'Informations sur les produits'!$A$3:$H$10000,8,FALSE),"0")</f>
        <v>0</v>
      </c>
      <c r="K12634" s="4"/>
      <c r="L12634" s="33" t="str">
        <f>IFERROR(VLOOKUP($J12634,'Informations sur les produits'!$A$3:$H$10000,8,FALSE),"0")</f>
        <v>0</v>
      </c>
      <c r="N12634" s="8"/>
      <c r="O12634" s="33" t="str">
        <f>IFERROR(VLOOKUP($M12634,'Informations sur les produits'!$A$3:$H$10000,8,FALSE),"0")</f>
        <v>0</v>
      </c>
      <c r="P12634" s="33">
        <f t="shared" si="788"/>
        <v>0</v>
      </c>
      <c r="Q12634" s="31" t="str">
        <f t="shared" si="789"/>
        <v/>
      </c>
      <c r="R12634" s="32" t="str">
        <f>IFERROR(VLOOKUP($D12634,'Informations sur les produits'!$A$3:$B$15000,2,FALSE),"")</f>
        <v/>
      </c>
      <c r="V12634">
        <f t="shared" si="790"/>
        <v>0</v>
      </c>
      <c r="W12634">
        <f t="shared" si="791"/>
        <v>0</v>
      </c>
    </row>
    <row r="12635" spans="5:23" x14ac:dyDescent="0.25">
      <c r="E12635" s="4"/>
      <c r="F12635" s="4"/>
      <c r="G12635" s="33" t="str">
        <f>IFERROR(VLOOKUP($D12635,'Informations sur les produits'!$A$3:$H$10000,8,FALSE),"0")</f>
        <v>0</v>
      </c>
      <c r="K12635" s="4"/>
      <c r="L12635" s="33" t="str">
        <f>IFERROR(VLOOKUP($J12635,'Informations sur les produits'!$A$3:$H$10000,8,FALSE),"0")</f>
        <v>0</v>
      </c>
      <c r="N12635" s="8"/>
      <c r="O12635" s="33" t="str">
        <f>IFERROR(VLOOKUP($M12635,'Informations sur les produits'!$A$3:$H$10000,8,FALSE),"0")</f>
        <v>0</v>
      </c>
      <c r="P12635" s="33">
        <f t="shared" si="788"/>
        <v>0</v>
      </c>
      <c r="Q12635" s="31" t="str">
        <f t="shared" si="789"/>
        <v/>
      </c>
      <c r="R12635" s="32" t="str">
        <f>IFERROR(VLOOKUP($D12635,'Informations sur les produits'!$A$3:$B$15000,2,FALSE),"")</f>
        <v/>
      </c>
      <c r="V12635">
        <f t="shared" si="790"/>
        <v>0</v>
      </c>
      <c r="W12635">
        <f t="shared" si="791"/>
        <v>0</v>
      </c>
    </row>
    <row r="12636" spans="5:23" x14ac:dyDescent="0.25">
      <c r="E12636" s="4"/>
      <c r="F12636" s="4"/>
      <c r="G12636" s="33" t="str">
        <f>IFERROR(VLOOKUP($D12636,'Informations sur les produits'!$A$3:$H$10000,8,FALSE),"0")</f>
        <v>0</v>
      </c>
      <c r="K12636" s="4"/>
      <c r="L12636" s="33" t="str">
        <f>IFERROR(VLOOKUP($J12636,'Informations sur les produits'!$A$3:$H$10000,8,FALSE),"0")</f>
        <v>0</v>
      </c>
      <c r="N12636" s="8"/>
      <c r="O12636" s="33" t="str">
        <f>IFERROR(VLOOKUP($M12636,'Informations sur les produits'!$A$3:$H$10000,8,FALSE),"0")</f>
        <v>0</v>
      </c>
      <c r="P12636" s="33">
        <f t="shared" si="788"/>
        <v>0</v>
      </c>
      <c r="Q12636" s="31" t="str">
        <f t="shared" si="789"/>
        <v/>
      </c>
      <c r="R12636" s="32" t="str">
        <f>IFERROR(VLOOKUP($D12636,'Informations sur les produits'!$A$3:$B$15000,2,FALSE),"")</f>
        <v/>
      </c>
      <c r="V12636">
        <f t="shared" si="790"/>
        <v>0</v>
      </c>
      <c r="W12636">
        <f t="shared" si="791"/>
        <v>0</v>
      </c>
    </row>
    <row r="12637" spans="5:23" x14ac:dyDescent="0.25">
      <c r="E12637" s="4"/>
      <c r="F12637" s="4"/>
      <c r="G12637" s="33" t="str">
        <f>IFERROR(VLOOKUP($D12637,'Informations sur les produits'!$A$3:$H$10000,8,FALSE),"0")</f>
        <v>0</v>
      </c>
      <c r="K12637" s="4"/>
      <c r="L12637" s="33" t="str">
        <f>IFERROR(VLOOKUP($J12637,'Informations sur les produits'!$A$3:$H$10000,8,FALSE),"0")</f>
        <v>0</v>
      </c>
      <c r="N12637" s="8"/>
      <c r="O12637" s="33" t="str">
        <f>IFERROR(VLOOKUP($M12637,'Informations sur les produits'!$A$3:$H$10000,8,FALSE),"0")</f>
        <v>0</v>
      </c>
      <c r="P12637" s="33">
        <f t="shared" si="788"/>
        <v>0</v>
      </c>
      <c r="Q12637" s="31" t="str">
        <f t="shared" si="789"/>
        <v/>
      </c>
      <c r="R12637" s="32" t="str">
        <f>IFERROR(VLOOKUP($D12637,'Informations sur les produits'!$A$3:$B$15000,2,FALSE),"")</f>
        <v/>
      </c>
      <c r="V12637">
        <f t="shared" si="790"/>
        <v>0</v>
      </c>
      <c r="W12637">
        <f t="shared" si="791"/>
        <v>0</v>
      </c>
    </row>
    <row r="12638" spans="5:23" x14ac:dyDescent="0.25">
      <c r="E12638" s="4"/>
      <c r="F12638" s="4"/>
      <c r="G12638" s="33" t="str">
        <f>IFERROR(VLOOKUP($D12638,'Informations sur les produits'!$A$3:$H$10000,8,FALSE),"0")</f>
        <v>0</v>
      </c>
      <c r="K12638" s="4"/>
      <c r="L12638" s="33" t="str">
        <f>IFERROR(VLOOKUP($J12638,'Informations sur les produits'!$A$3:$H$10000,8,FALSE),"0")</f>
        <v>0</v>
      </c>
      <c r="N12638" s="8"/>
      <c r="O12638" s="33" t="str">
        <f>IFERROR(VLOOKUP($M12638,'Informations sur les produits'!$A$3:$H$10000,8,FALSE),"0")</f>
        <v>0</v>
      </c>
      <c r="P12638" s="33">
        <f t="shared" si="788"/>
        <v>0</v>
      </c>
      <c r="Q12638" s="31" t="str">
        <f t="shared" si="789"/>
        <v/>
      </c>
      <c r="R12638" s="32" t="str">
        <f>IFERROR(VLOOKUP($D12638,'Informations sur les produits'!$A$3:$B$15000,2,FALSE),"")</f>
        <v/>
      </c>
      <c r="V12638">
        <f t="shared" si="790"/>
        <v>0</v>
      </c>
      <c r="W12638">
        <f t="shared" si="791"/>
        <v>0</v>
      </c>
    </row>
    <row r="12639" spans="5:23" x14ac:dyDescent="0.25">
      <c r="E12639" s="4"/>
      <c r="F12639" s="4"/>
      <c r="G12639" s="33" t="str">
        <f>IFERROR(VLOOKUP($D12639,'Informations sur les produits'!$A$3:$H$10000,8,FALSE),"0")</f>
        <v>0</v>
      </c>
      <c r="K12639" s="4"/>
      <c r="L12639" s="33" t="str">
        <f>IFERROR(VLOOKUP($J12639,'Informations sur les produits'!$A$3:$H$10000,8,FALSE),"0")</f>
        <v>0</v>
      </c>
      <c r="N12639" s="8"/>
      <c r="O12639" s="33" t="str">
        <f>IFERROR(VLOOKUP($M12639,'Informations sur les produits'!$A$3:$H$10000,8,FALSE),"0")</f>
        <v>0</v>
      </c>
      <c r="P12639" s="33">
        <f t="shared" si="788"/>
        <v>0</v>
      </c>
      <c r="Q12639" s="31" t="str">
        <f t="shared" si="789"/>
        <v/>
      </c>
      <c r="R12639" s="32" t="str">
        <f>IFERROR(VLOOKUP($D12639,'Informations sur les produits'!$A$3:$B$15000,2,FALSE),"")</f>
        <v/>
      </c>
      <c r="V12639">
        <f t="shared" si="790"/>
        <v>0</v>
      </c>
      <c r="W12639">
        <f t="shared" si="791"/>
        <v>0</v>
      </c>
    </row>
    <row r="12640" spans="5:23" x14ac:dyDescent="0.25">
      <c r="E12640" s="4"/>
      <c r="F12640" s="4"/>
      <c r="G12640" s="33" t="str">
        <f>IFERROR(VLOOKUP($D12640,'Informations sur les produits'!$A$3:$H$10000,8,FALSE),"0")</f>
        <v>0</v>
      </c>
      <c r="K12640" s="4"/>
      <c r="L12640" s="33" t="str">
        <f>IFERROR(VLOOKUP($J12640,'Informations sur les produits'!$A$3:$H$10000,8,FALSE),"0")</f>
        <v>0</v>
      </c>
      <c r="N12640" s="8"/>
      <c r="O12640" s="33" t="str">
        <f>IFERROR(VLOOKUP($M12640,'Informations sur les produits'!$A$3:$H$10000,8,FALSE),"0")</f>
        <v>0</v>
      </c>
      <c r="P12640" s="33">
        <f t="shared" si="788"/>
        <v>0</v>
      </c>
      <c r="Q12640" s="31" t="str">
        <f t="shared" si="789"/>
        <v/>
      </c>
      <c r="R12640" s="32" t="str">
        <f>IFERROR(VLOOKUP($D12640,'Informations sur les produits'!$A$3:$B$15000,2,FALSE),"")</f>
        <v/>
      </c>
      <c r="V12640">
        <f t="shared" si="790"/>
        <v>0</v>
      </c>
      <c r="W12640">
        <f t="shared" si="791"/>
        <v>0</v>
      </c>
    </row>
    <row r="12641" spans="5:23" x14ac:dyDescent="0.25">
      <c r="E12641" s="4"/>
      <c r="F12641" s="4"/>
      <c r="G12641" s="33" t="str">
        <f>IFERROR(VLOOKUP($D12641,'Informations sur les produits'!$A$3:$H$10000,8,FALSE),"0")</f>
        <v>0</v>
      </c>
      <c r="K12641" s="4"/>
      <c r="L12641" s="33" t="str">
        <f>IFERROR(VLOOKUP($J12641,'Informations sur les produits'!$A$3:$H$10000,8,FALSE),"0")</f>
        <v>0</v>
      </c>
      <c r="N12641" s="8"/>
      <c r="O12641" s="33" t="str">
        <f>IFERROR(VLOOKUP($M12641,'Informations sur les produits'!$A$3:$H$10000,8,FALSE),"0")</f>
        <v>0</v>
      </c>
      <c r="P12641" s="33">
        <f t="shared" si="788"/>
        <v>0</v>
      </c>
      <c r="Q12641" s="31" t="str">
        <f t="shared" si="789"/>
        <v/>
      </c>
      <c r="R12641" s="32" t="str">
        <f>IFERROR(VLOOKUP($D12641,'Informations sur les produits'!$A$3:$B$15000,2,FALSE),"")</f>
        <v/>
      </c>
      <c r="V12641">
        <f t="shared" si="790"/>
        <v>0</v>
      </c>
      <c r="W12641">
        <f t="shared" si="791"/>
        <v>0</v>
      </c>
    </row>
    <row r="12642" spans="5:23" x14ac:dyDescent="0.25">
      <c r="E12642" s="4"/>
      <c r="F12642" s="4"/>
      <c r="G12642" s="33" t="str">
        <f>IFERROR(VLOOKUP($D12642,'Informations sur les produits'!$A$3:$H$10000,8,FALSE),"0")</f>
        <v>0</v>
      </c>
      <c r="K12642" s="4"/>
      <c r="L12642" s="33" t="str">
        <f>IFERROR(VLOOKUP($J12642,'Informations sur les produits'!$A$3:$H$10000,8,FALSE),"0")</f>
        <v>0</v>
      </c>
      <c r="N12642" s="8"/>
      <c r="O12642" s="33" t="str">
        <f>IFERROR(VLOOKUP($M12642,'Informations sur les produits'!$A$3:$H$10000,8,FALSE),"0")</f>
        <v>0</v>
      </c>
      <c r="P12642" s="33">
        <f t="shared" si="788"/>
        <v>0</v>
      </c>
      <c r="Q12642" s="31" t="str">
        <f t="shared" si="789"/>
        <v/>
      </c>
      <c r="R12642" s="32" t="str">
        <f>IFERROR(VLOOKUP($D12642,'Informations sur les produits'!$A$3:$B$15000,2,FALSE),"")</f>
        <v/>
      </c>
      <c r="V12642">
        <f t="shared" si="790"/>
        <v>0</v>
      </c>
      <c r="W12642">
        <f t="shared" si="791"/>
        <v>0</v>
      </c>
    </row>
    <row r="12643" spans="5:23" x14ac:dyDescent="0.25">
      <c r="E12643" s="4"/>
      <c r="F12643" s="4"/>
      <c r="G12643" s="33" t="str">
        <f>IFERROR(VLOOKUP($D12643,'Informations sur les produits'!$A$3:$H$10000,8,FALSE),"0")</f>
        <v>0</v>
      </c>
      <c r="K12643" s="4"/>
      <c r="L12643" s="33" t="str">
        <f>IFERROR(VLOOKUP($J12643,'Informations sur les produits'!$A$3:$H$10000,8,FALSE),"0")</f>
        <v>0</v>
      </c>
      <c r="N12643" s="8"/>
      <c r="O12643" s="33" t="str">
        <f>IFERROR(VLOOKUP($M12643,'Informations sur les produits'!$A$3:$H$10000,8,FALSE),"0")</f>
        <v>0</v>
      </c>
      <c r="P12643" s="33">
        <f t="shared" si="788"/>
        <v>0</v>
      </c>
      <c r="Q12643" s="31" t="str">
        <f t="shared" si="789"/>
        <v/>
      </c>
      <c r="R12643" s="32" t="str">
        <f>IFERROR(VLOOKUP($D12643,'Informations sur les produits'!$A$3:$B$15000,2,FALSE),"")</f>
        <v/>
      </c>
      <c r="V12643">
        <f t="shared" si="790"/>
        <v>0</v>
      </c>
      <c r="W12643">
        <f t="shared" si="791"/>
        <v>0</v>
      </c>
    </row>
    <row r="12644" spans="5:23" x14ac:dyDescent="0.25">
      <c r="E12644" s="4"/>
      <c r="F12644" s="4"/>
      <c r="G12644" s="33" t="str">
        <f>IFERROR(VLOOKUP($D12644,'Informations sur les produits'!$A$3:$H$10000,8,FALSE),"0")</f>
        <v>0</v>
      </c>
      <c r="K12644" s="4"/>
      <c r="L12644" s="33" t="str">
        <f>IFERROR(VLOOKUP($J12644,'Informations sur les produits'!$A$3:$H$10000,8,FALSE),"0")</f>
        <v>0</v>
      </c>
      <c r="N12644" s="8"/>
      <c r="O12644" s="33" t="str">
        <f>IFERROR(VLOOKUP($M12644,'Informations sur les produits'!$A$3:$H$10000,8,FALSE),"0")</f>
        <v>0</v>
      </c>
      <c r="P12644" s="33">
        <f t="shared" si="788"/>
        <v>0</v>
      </c>
      <c r="Q12644" s="31" t="str">
        <f t="shared" si="789"/>
        <v/>
      </c>
      <c r="R12644" s="32" t="str">
        <f>IFERROR(VLOOKUP($D12644,'Informations sur les produits'!$A$3:$B$15000,2,FALSE),"")</f>
        <v/>
      </c>
      <c r="V12644">
        <f t="shared" si="790"/>
        <v>0</v>
      </c>
      <c r="W12644">
        <f t="shared" si="791"/>
        <v>0</v>
      </c>
    </row>
    <row r="12645" spans="5:23" x14ac:dyDescent="0.25">
      <c r="E12645" s="4"/>
      <c r="F12645" s="4"/>
      <c r="G12645" s="33" t="str">
        <f>IFERROR(VLOOKUP($D12645,'Informations sur les produits'!$A$3:$H$10000,8,FALSE),"0")</f>
        <v>0</v>
      </c>
      <c r="K12645" s="4"/>
      <c r="L12645" s="33" t="str">
        <f>IFERROR(VLOOKUP($J12645,'Informations sur les produits'!$A$3:$H$10000,8,FALSE),"0")</f>
        <v>0</v>
      </c>
      <c r="N12645" s="8"/>
      <c r="O12645" s="33" t="str">
        <f>IFERROR(VLOOKUP($M12645,'Informations sur les produits'!$A$3:$H$10000,8,FALSE),"0")</f>
        <v>0</v>
      </c>
      <c r="P12645" s="33">
        <f t="shared" si="788"/>
        <v>0</v>
      </c>
      <c r="Q12645" s="31" t="str">
        <f t="shared" si="789"/>
        <v/>
      </c>
      <c r="R12645" s="32" t="str">
        <f>IFERROR(VLOOKUP($D12645,'Informations sur les produits'!$A$3:$B$15000,2,FALSE),"")</f>
        <v/>
      </c>
      <c r="V12645">
        <f t="shared" si="790"/>
        <v>0</v>
      </c>
      <c r="W12645">
        <f t="shared" si="791"/>
        <v>0</v>
      </c>
    </row>
    <row r="12646" spans="5:23" x14ac:dyDescent="0.25">
      <c r="E12646" s="4"/>
      <c r="F12646" s="4"/>
      <c r="G12646" s="33" t="str">
        <f>IFERROR(VLOOKUP($D12646,'Informations sur les produits'!$A$3:$H$10000,8,FALSE),"0")</f>
        <v>0</v>
      </c>
      <c r="K12646" s="4"/>
      <c r="L12646" s="33" t="str">
        <f>IFERROR(VLOOKUP($J12646,'Informations sur les produits'!$A$3:$H$10000,8,FALSE),"0")</f>
        <v>0</v>
      </c>
      <c r="N12646" s="8"/>
      <c r="O12646" s="33" t="str">
        <f>IFERROR(VLOOKUP($M12646,'Informations sur les produits'!$A$3:$H$10000,8,FALSE),"0")</f>
        <v>0</v>
      </c>
      <c r="P12646" s="33">
        <f t="shared" si="788"/>
        <v>0</v>
      </c>
      <c r="Q12646" s="31" t="str">
        <f t="shared" si="789"/>
        <v/>
      </c>
      <c r="R12646" s="32" t="str">
        <f>IFERROR(VLOOKUP($D12646,'Informations sur les produits'!$A$3:$B$15000,2,FALSE),"")</f>
        <v/>
      </c>
      <c r="V12646">
        <f t="shared" si="790"/>
        <v>0</v>
      </c>
      <c r="W12646">
        <f t="shared" si="791"/>
        <v>0</v>
      </c>
    </row>
    <row r="12647" spans="5:23" x14ac:dyDescent="0.25">
      <c r="E12647" s="4"/>
      <c r="F12647" s="4"/>
      <c r="G12647" s="33" t="str">
        <f>IFERROR(VLOOKUP($D12647,'Informations sur les produits'!$A$3:$H$10000,8,FALSE),"0")</f>
        <v>0</v>
      </c>
      <c r="K12647" s="4"/>
      <c r="L12647" s="33" t="str">
        <f>IFERROR(VLOOKUP($J12647,'Informations sur les produits'!$A$3:$H$10000,8,FALSE),"0")</f>
        <v>0</v>
      </c>
      <c r="N12647" s="8"/>
      <c r="O12647" s="33" t="str">
        <f>IFERROR(VLOOKUP($M12647,'Informations sur les produits'!$A$3:$H$10000,8,FALSE),"0")</f>
        <v>0</v>
      </c>
      <c r="P12647" s="33">
        <f t="shared" si="788"/>
        <v>0</v>
      </c>
      <c r="Q12647" s="31" t="str">
        <f t="shared" si="789"/>
        <v/>
      </c>
      <c r="R12647" s="32" t="str">
        <f>IFERROR(VLOOKUP($D12647,'Informations sur les produits'!$A$3:$B$15000,2,FALSE),"")</f>
        <v/>
      </c>
      <c r="V12647">
        <f t="shared" si="790"/>
        <v>0</v>
      </c>
      <c r="W12647">
        <f t="shared" si="791"/>
        <v>0</v>
      </c>
    </row>
    <row r="12648" spans="5:23" x14ac:dyDescent="0.25">
      <c r="E12648" s="4"/>
      <c r="F12648" s="4"/>
      <c r="G12648" s="33" t="str">
        <f>IFERROR(VLOOKUP($D12648,'Informations sur les produits'!$A$3:$H$10000,8,FALSE),"0")</f>
        <v>0</v>
      </c>
      <c r="K12648" s="4"/>
      <c r="L12648" s="33" t="str">
        <f>IFERROR(VLOOKUP($J12648,'Informations sur les produits'!$A$3:$H$10000,8,FALSE),"0")</f>
        <v>0</v>
      </c>
      <c r="N12648" s="8"/>
      <c r="O12648" s="33" t="str">
        <f>IFERROR(VLOOKUP($M12648,'Informations sur les produits'!$A$3:$H$10000,8,FALSE),"0")</f>
        <v>0</v>
      </c>
      <c r="P12648" s="33">
        <f t="shared" si="788"/>
        <v>0</v>
      </c>
      <c r="Q12648" s="31" t="str">
        <f t="shared" si="789"/>
        <v/>
      </c>
      <c r="R12648" s="32" t="str">
        <f>IFERROR(VLOOKUP($D12648,'Informations sur les produits'!$A$3:$B$15000,2,FALSE),"")</f>
        <v/>
      </c>
      <c r="V12648">
        <f t="shared" si="790"/>
        <v>0</v>
      </c>
      <c r="W12648">
        <f t="shared" si="791"/>
        <v>0</v>
      </c>
    </row>
    <row r="12649" spans="5:23" x14ac:dyDescent="0.25">
      <c r="E12649" s="4"/>
      <c r="F12649" s="4"/>
      <c r="G12649" s="33" t="str">
        <f>IFERROR(VLOOKUP($D12649,'Informations sur les produits'!$A$3:$H$10000,8,FALSE),"0")</f>
        <v>0</v>
      </c>
      <c r="K12649" s="4"/>
      <c r="L12649" s="33" t="str">
        <f>IFERROR(VLOOKUP($J12649,'Informations sur les produits'!$A$3:$H$10000,8,FALSE),"0")</f>
        <v>0</v>
      </c>
      <c r="N12649" s="8"/>
      <c r="O12649" s="33" t="str">
        <f>IFERROR(VLOOKUP($M12649,'Informations sur les produits'!$A$3:$H$10000,8,FALSE),"0")</f>
        <v>0</v>
      </c>
      <c r="P12649" s="33">
        <f t="shared" si="788"/>
        <v>0</v>
      </c>
      <c r="Q12649" s="31" t="str">
        <f t="shared" si="789"/>
        <v/>
      </c>
      <c r="R12649" s="32" t="str">
        <f>IFERROR(VLOOKUP($D12649,'Informations sur les produits'!$A$3:$B$15000,2,FALSE),"")</f>
        <v/>
      </c>
      <c r="V12649">
        <f t="shared" si="790"/>
        <v>0</v>
      </c>
      <c r="W12649">
        <f t="shared" si="791"/>
        <v>0</v>
      </c>
    </row>
    <row r="12650" spans="5:23" x14ac:dyDescent="0.25">
      <c r="E12650" s="4"/>
      <c r="F12650" s="4"/>
      <c r="G12650" s="33" t="str">
        <f>IFERROR(VLOOKUP($D12650,'Informations sur les produits'!$A$3:$H$10000,8,FALSE),"0")</f>
        <v>0</v>
      </c>
      <c r="K12650" s="4"/>
      <c r="L12650" s="33" t="str">
        <f>IFERROR(VLOOKUP($J12650,'Informations sur les produits'!$A$3:$H$10000,8,FALSE),"0")</f>
        <v>0</v>
      </c>
      <c r="N12650" s="8"/>
      <c r="O12650" s="33" t="str">
        <f>IFERROR(VLOOKUP($M12650,'Informations sur les produits'!$A$3:$H$10000,8,FALSE),"0")</f>
        <v>0</v>
      </c>
      <c r="P12650" s="33">
        <f t="shared" si="788"/>
        <v>0</v>
      </c>
      <c r="Q12650" s="31" t="str">
        <f t="shared" si="789"/>
        <v/>
      </c>
      <c r="R12650" s="32" t="str">
        <f>IFERROR(VLOOKUP($D12650,'Informations sur les produits'!$A$3:$B$15000,2,FALSE),"")</f>
        <v/>
      </c>
      <c r="V12650">
        <f t="shared" si="790"/>
        <v>0</v>
      </c>
      <c r="W12650">
        <f t="shared" si="791"/>
        <v>0</v>
      </c>
    </row>
    <row r="12651" spans="5:23" x14ac:dyDescent="0.25">
      <c r="E12651" s="4"/>
      <c r="F12651" s="4"/>
      <c r="G12651" s="33" t="str">
        <f>IFERROR(VLOOKUP($D12651,'Informations sur les produits'!$A$3:$H$10000,8,FALSE),"0")</f>
        <v>0</v>
      </c>
      <c r="K12651" s="4"/>
      <c r="L12651" s="33" t="str">
        <f>IFERROR(VLOOKUP($J12651,'Informations sur les produits'!$A$3:$H$10000,8,FALSE),"0")</f>
        <v>0</v>
      </c>
      <c r="N12651" s="8"/>
      <c r="O12651" s="33" t="str">
        <f>IFERROR(VLOOKUP($M12651,'Informations sur les produits'!$A$3:$H$10000,8,FALSE),"0")</f>
        <v>0</v>
      </c>
      <c r="P12651" s="33">
        <f t="shared" si="788"/>
        <v>0</v>
      </c>
      <c r="Q12651" s="31" t="str">
        <f t="shared" si="789"/>
        <v/>
      </c>
      <c r="R12651" s="32" t="str">
        <f>IFERROR(VLOOKUP($D12651,'Informations sur les produits'!$A$3:$B$15000,2,FALSE),"")</f>
        <v/>
      </c>
      <c r="V12651">
        <f t="shared" si="790"/>
        <v>0</v>
      </c>
      <c r="W12651">
        <f t="shared" si="791"/>
        <v>0</v>
      </c>
    </row>
    <row r="12652" spans="5:23" x14ac:dyDescent="0.25">
      <c r="E12652" s="4"/>
      <c r="F12652" s="4"/>
      <c r="G12652" s="33" t="str">
        <f>IFERROR(VLOOKUP($D12652,'Informations sur les produits'!$A$3:$H$10000,8,FALSE),"0")</f>
        <v>0</v>
      </c>
      <c r="K12652" s="4"/>
      <c r="L12652" s="33" t="str">
        <f>IFERROR(VLOOKUP($J12652,'Informations sur les produits'!$A$3:$H$10000,8,FALSE),"0")</f>
        <v>0</v>
      </c>
      <c r="N12652" s="8"/>
      <c r="O12652" s="33" t="str">
        <f>IFERROR(VLOOKUP($M12652,'Informations sur les produits'!$A$3:$H$10000,8,FALSE),"0")</f>
        <v>0</v>
      </c>
      <c r="P12652" s="33">
        <f t="shared" si="788"/>
        <v>0</v>
      </c>
      <c r="Q12652" s="31" t="str">
        <f t="shared" si="789"/>
        <v/>
      </c>
      <c r="R12652" s="32" t="str">
        <f>IFERROR(VLOOKUP($D12652,'Informations sur les produits'!$A$3:$B$15000,2,FALSE),"")</f>
        <v/>
      </c>
      <c r="V12652">
        <f t="shared" si="790"/>
        <v>0</v>
      </c>
      <c r="W12652">
        <f t="shared" si="791"/>
        <v>0</v>
      </c>
    </row>
    <row r="12653" spans="5:23" x14ac:dyDescent="0.25">
      <c r="E12653" s="4"/>
      <c r="F12653" s="4"/>
      <c r="G12653" s="33" t="str">
        <f>IFERROR(VLOOKUP($D12653,'Informations sur les produits'!$A$3:$H$10000,8,FALSE),"0")</f>
        <v>0</v>
      </c>
      <c r="K12653" s="4"/>
      <c r="L12653" s="33" t="str">
        <f>IFERROR(VLOOKUP($J12653,'Informations sur les produits'!$A$3:$H$10000,8,FALSE),"0")</f>
        <v>0</v>
      </c>
      <c r="N12653" s="8"/>
      <c r="O12653" s="33" t="str">
        <f>IFERROR(VLOOKUP($M12653,'Informations sur les produits'!$A$3:$H$10000,8,FALSE),"0")</f>
        <v>0</v>
      </c>
      <c r="P12653" s="33">
        <f t="shared" si="788"/>
        <v>0</v>
      </c>
      <c r="Q12653" s="31" t="str">
        <f t="shared" si="789"/>
        <v/>
      </c>
      <c r="R12653" s="32" t="str">
        <f>IFERROR(VLOOKUP($D12653,'Informations sur les produits'!$A$3:$B$15000,2,FALSE),"")</f>
        <v/>
      </c>
      <c r="V12653">
        <f t="shared" si="790"/>
        <v>0</v>
      </c>
      <c r="W12653">
        <f t="shared" si="791"/>
        <v>0</v>
      </c>
    </row>
    <row r="12654" spans="5:23" x14ac:dyDescent="0.25">
      <c r="E12654" s="4"/>
      <c r="F12654" s="4"/>
      <c r="G12654" s="33" t="str">
        <f>IFERROR(VLOOKUP($D12654,'Informations sur les produits'!$A$3:$H$10000,8,FALSE),"0")</f>
        <v>0</v>
      </c>
      <c r="K12654" s="4"/>
      <c r="L12654" s="33" t="str">
        <f>IFERROR(VLOOKUP($J12654,'Informations sur les produits'!$A$3:$H$10000,8,FALSE),"0")</f>
        <v>0</v>
      </c>
      <c r="N12654" s="8"/>
      <c r="O12654" s="33" t="str">
        <f>IFERROR(VLOOKUP($M12654,'Informations sur les produits'!$A$3:$H$10000,8,FALSE),"0")</f>
        <v>0</v>
      </c>
      <c r="P12654" s="33">
        <f t="shared" si="788"/>
        <v>0</v>
      </c>
      <c r="Q12654" s="31" t="str">
        <f t="shared" si="789"/>
        <v/>
      </c>
      <c r="R12654" s="32" t="str">
        <f>IFERROR(VLOOKUP($D12654,'Informations sur les produits'!$A$3:$B$15000,2,FALSE),"")</f>
        <v/>
      </c>
      <c r="V12654">
        <f t="shared" si="790"/>
        <v>0</v>
      </c>
      <c r="W12654">
        <f t="shared" si="791"/>
        <v>0</v>
      </c>
    </row>
    <row r="12655" spans="5:23" x14ac:dyDescent="0.25">
      <c r="E12655" s="4"/>
      <c r="F12655" s="4"/>
      <c r="G12655" s="33" t="str">
        <f>IFERROR(VLOOKUP($D12655,'Informations sur les produits'!$A$3:$H$10000,8,FALSE),"0")</f>
        <v>0</v>
      </c>
      <c r="K12655" s="4"/>
      <c r="L12655" s="33" t="str">
        <f>IFERROR(VLOOKUP($J12655,'Informations sur les produits'!$A$3:$H$10000,8,FALSE),"0")</f>
        <v>0</v>
      </c>
      <c r="N12655" s="8"/>
      <c r="O12655" s="33" t="str">
        <f>IFERROR(VLOOKUP($M12655,'Informations sur les produits'!$A$3:$H$10000,8,FALSE),"0")</f>
        <v>0</v>
      </c>
      <c r="P12655" s="33">
        <f t="shared" si="788"/>
        <v>0</v>
      </c>
      <c r="Q12655" s="31" t="str">
        <f t="shared" si="789"/>
        <v/>
      </c>
      <c r="R12655" s="32" t="str">
        <f>IFERROR(VLOOKUP($D12655,'Informations sur les produits'!$A$3:$B$15000,2,FALSE),"")</f>
        <v/>
      </c>
      <c r="V12655">
        <f t="shared" si="790"/>
        <v>0</v>
      </c>
      <c r="W12655">
        <f t="shared" si="791"/>
        <v>0</v>
      </c>
    </row>
    <row r="12656" spans="5:23" x14ac:dyDescent="0.25">
      <c r="E12656" s="4"/>
      <c r="F12656" s="4"/>
      <c r="G12656" s="33" t="str">
        <f>IFERROR(VLOOKUP($D12656,'Informations sur les produits'!$A$3:$H$10000,8,FALSE),"0")</f>
        <v>0</v>
      </c>
      <c r="K12656" s="4"/>
      <c r="L12656" s="33" t="str">
        <f>IFERROR(VLOOKUP($J12656,'Informations sur les produits'!$A$3:$H$10000,8,FALSE),"0")</f>
        <v>0</v>
      </c>
      <c r="N12656" s="8"/>
      <c r="O12656" s="33" t="str">
        <f>IFERROR(VLOOKUP($M12656,'Informations sur les produits'!$A$3:$H$10000,8,FALSE),"0")</f>
        <v>0</v>
      </c>
      <c r="P12656" s="33">
        <f t="shared" si="788"/>
        <v>0</v>
      </c>
      <c r="Q12656" s="31" t="str">
        <f t="shared" si="789"/>
        <v/>
      </c>
      <c r="R12656" s="32" t="str">
        <f>IFERROR(VLOOKUP($D12656,'Informations sur les produits'!$A$3:$B$15000,2,FALSE),"")</f>
        <v/>
      </c>
      <c r="V12656">
        <f t="shared" si="790"/>
        <v>0</v>
      </c>
      <c r="W12656">
        <f t="shared" si="791"/>
        <v>0</v>
      </c>
    </row>
    <row r="12657" spans="5:23" x14ac:dyDescent="0.25">
      <c r="E12657" s="4"/>
      <c r="F12657" s="4"/>
      <c r="G12657" s="33" t="str">
        <f>IFERROR(VLOOKUP($D12657,'Informations sur les produits'!$A$3:$H$10000,8,FALSE),"0")</f>
        <v>0</v>
      </c>
      <c r="K12657" s="4"/>
      <c r="L12657" s="33" t="str">
        <f>IFERROR(VLOOKUP($J12657,'Informations sur les produits'!$A$3:$H$10000,8,FALSE),"0")</f>
        <v>0</v>
      </c>
      <c r="N12657" s="8"/>
      <c r="O12657" s="33" t="str">
        <f>IFERROR(VLOOKUP($M12657,'Informations sur les produits'!$A$3:$H$10000,8,FALSE),"0")</f>
        <v>0</v>
      </c>
      <c r="P12657" s="33">
        <f t="shared" si="788"/>
        <v>0</v>
      </c>
      <c r="Q12657" s="31" t="str">
        <f t="shared" si="789"/>
        <v/>
      </c>
      <c r="R12657" s="32" t="str">
        <f>IFERROR(VLOOKUP($D12657,'Informations sur les produits'!$A$3:$B$15000,2,FALSE),"")</f>
        <v/>
      </c>
      <c r="V12657">
        <f t="shared" si="790"/>
        <v>0</v>
      </c>
      <c r="W12657">
        <f t="shared" si="791"/>
        <v>0</v>
      </c>
    </row>
    <row r="12658" spans="5:23" x14ac:dyDescent="0.25">
      <c r="E12658" s="4"/>
      <c r="F12658" s="4"/>
      <c r="G12658" s="33" t="str">
        <f>IFERROR(VLOOKUP($D12658,'Informations sur les produits'!$A$3:$H$10000,8,FALSE),"0")</f>
        <v>0</v>
      </c>
      <c r="K12658" s="4"/>
      <c r="L12658" s="33" t="str">
        <f>IFERROR(VLOOKUP($J12658,'Informations sur les produits'!$A$3:$H$10000,8,FALSE),"0")</f>
        <v>0</v>
      </c>
      <c r="N12658" s="8"/>
      <c r="O12658" s="33" t="str">
        <f>IFERROR(VLOOKUP($M12658,'Informations sur les produits'!$A$3:$H$10000,8,FALSE),"0")</f>
        <v>0</v>
      </c>
      <c r="P12658" s="33">
        <f t="shared" si="788"/>
        <v>0</v>
      </c>
      <c r="Q12658" s="31" t="str">
        <f t="shared" si="789"/>
        <v/>
      </c>
      <c r="R12658" s="32" t="str">
        <f>IFERROR(VLOOKUP($D12658,'Informations sur les produits'!$A$3:$B$15000,2,FALSE),"")</f>
        <v/>
      </c>
      <c r="V12658">
        <f t="shared" si="790"/>
        <v>0</v>
      </c>
      <c r="W12658">
        <f t="shared" si="791"/>
        <v>0</v>
      </c>
    </row>
    <row r="12659" spans="5:23" x14ac:dyDescent="0.25">
      <c r="E12659" s="4"/>
      <c r="F12659" s="4"/>
      <c r="G12659" s="33" t="str">
        <f>IFERROR(VLOOKUP($D12659,'Informations sur les produits'!$A$3:$H$10000,8,FALSE),"0")</f>
        <v>0</v>
      </c>
      <c r="K12659" s="4"/>
      <c r="L12659" s="33" t="str">
        <f>IFERROR(VLOOKUP($J12659,'Informations sur les produits'!$A$3:$H$10000,8,FALSE),"0")</f>
        <v>0</v>
      </c>
      <c r="N12659" s="8"/>
      <c r="O12659" s="33" t="str">
        <f>IFERROR(VLOOKUP($M12659,'Informations sur les produits'!$A$3:$H$10000,8,FALSE),"0")</f>
        <v>0</v>
      </c>
      <c r="P12659" s="33">
        <f t="shared" si="788"/>
        <v>0</v>
      </c>
      <c r="Q12659" s="31" t="str">
        <f t="shared" si="789"/>
        <v/>
      </c>
      <c r="R12659" s="32" t="str">
        <f>IFERROR(VLOOKUP($D12659,'Informations sur les produits'!$A$3:$B$15000,2,FALSE),"")</f>
        <v/>
      </c>
      <c r="V12659">
        <f t="shared" si="790"/>
        <v>0</v>
      </c>
      <c r="W12659">
        <f t="shared" si="791"/>
        <v>0</v>
      </c>
    </row>
    <row r="12660" spans="5:23" x14ac:dyDescent="0.25">
      <c r="E12660" s="4"/>
      <c r="F12660" s="4"/>
      <c r="G12660" s="33" t="str">
        <f>IFERROR(VLOOKUP($D12660,'Informations sur les produits'!$A$3:$H$10000,8,FALSE),"0")</f>
        <v>0</v>
      </c>
      <c r="K12660" s="4"/>
      <c r="L12660" s="33" t="str">
        <f>IFERROR(VLOOKUP($J12660,'Informations sur les produits'!$A$3:$H$10000,8,FALSE),"0")</f>
        <v>0</v>
      </c>
      <c r="N12660" s="8"/>
      <c r="O12660" s="33" t="str">
        <f>IFERROR(VLOOKUP($M12660,'Informations sur les produits'!$A$3:$H$10000,8,FALSE),"0")</f>
        <v>0</v>
      </c>
      <c r="P12660" s="33">
        <f t="shared" si="788"/>
        <v>0</v>
      </c>
      <c r="Q12660" s="31" t="str">
        <f t="shared" si="789"/>
        <v/>
      </c>
      <c r="R12660" s="32" t="str">
        <f>IFERROR(VLOOKUP($D12660,'Informations sur les produits'!$A$3:$B$15000,2,FALSE),"")</f>
        <v/>
      </c>
      <c r="V12660">
        <f t="shared" si="790"/>
        <v>0</v>
      </c>
      <c r="W12660">
        <f t="shared" si="791"/>
        <v>0</v>
      </c>
    </row>
    <row r="12661" spans="5:23" x14ac:dyDescent="0.25">
      <c r="E12661" s="4"/>
      <c r="F12661" s="4"/>
      <c r="G12661" s="33" t="str">
        <f>IFERROR(VLOOKUP($D12661,'Informations sur les produits'!$A$3:$H$10000,8,FALSE),"0")</f>
        <v>0</v>
      </c>
      <c r="K12661" s="4"/>
      <c r="L12661" s="33" t="str">
        <f>IFERROR(VLOOKUP($J12661,'Informations sur les produits'!$A$3:$H$10000,8,FALSE),"0")</f>
        <v>0</v>
      </c>
      <c r="N12661" s="8"/>
      <c r="O12661" s="33" t="str">
        <f>IFERROR(VLOOKUP($M12661,'Informations sur les produits'!$A$3:$H$10000,8,FALSE),"0")</f>
        <v>0</v>
      </c>
      <c r="P12661" s="33">
        <f t="shared" si="788"/>
        <v>0</v>
      </c>
      <c r="Q12661" s="31" t="str">
        <f t="shared" si="789"/>
        <v/>
      </c>
      <c r="R12661" s="32" t="str">
        <f>IFERROR(VLOOKUP($D12661,'Informations sur les produits'!$A$3:$B$15000,2,FALSE),"")</f>
        <v/>
      </c>
      <c r="V12661">
        <f t="shared" si="790"/>
        <v>0</v>
      </c>
      <c r="W12661">
        <f t="shared" si="791"/>
        <v>0</v>
      </c>
    </row>
    <row r="12662" spans="5:23" x14ac:dyDescent="0.25">
      <c r="E12662" s="4"/>
      <c r="F12662" s="4"/>
      <c r="G12662" s="33" t="str">
        <f>IFERROR(VLOOKUP($D12662,'Informations sur les produits'!$A$3:$H$10000,8,FALSE),"0")</f>
        <v>0</v>
      </c>
      <c r="K12662" s="4"/>
      <c r="L12662" s="33" t="str">
        <f>IFERROR(VLOOKUP($J12662,'Informations sur les produits'!$A$3:$H$10000,8,FALSE),"0")</f>
        <v>0</v>
      </c>
      <c r="N12662" s="8"/>
      <c r="O12662" s="33" t="str">
        <f>IFERROR(VLOOKUP($M12662,'Informations sur les produits'!$A$3:$H$10000,8,FALSE),"0")</f>
        <v>0</v>
      </c>
      <c r="P12662" s="33">
        <f t="shared" si="788"/>
        <v>0</v>
      </c>
      <c r="Q12662" s="31" t="str">
        <f t="shared" si="789"/>
        <v/>
      </c>
      <c r="R12662" s="32" t="str">
        <f>IFERROR(VLOOKUP($D12662,'Informations sur les produits'!$A$3:$B$15000,2,FALSE),"")</f>
        <v/>
      </c>
      <c r="V12662">
        <f t="shared" si="790"/>
        <v>0</v>
      </c>
      <c r="W12662">
        <f t="shared" si="791"/>
        <v>0</v>
      </c>
    </row>
    <row r="12663" spans="5:23" x14ac:dyDescent="0.25">
      <c r="E12663" s="4"/>
      <c r="F12663" s="4"/>
      <c r="G12663" s="33" t="str">
        <f>IFERROR(VLOOKUP($D12663,'Informations sur les produits'!$A$3:$H$10000,8,FALSE),"0")</f>
        <v>0</v>
      </c>
      <c r="K12663" s="4"/>
      <c r="L12663" s="33" t="str">
        <f>IFERROR(VLOOKUP($J12663,'Informations sur les produits'!$A$3:$H$10000,8,FALSE),"0")</f>
        <v>0</v>
      </c>
      <c r="N12663" s="8"/>
      <c r="O12663" s="33" t="str">
        <f>IFERROR(VLOOKUP($M12663,'Informations sur les produits'!$A$3:$H$10000,8,FALSE),"0")</f>
        <v>0</v>
      </c>
      <c r="P12663" s="33">
        <f t="shared" si="788"/>
        <v>0</v>
      </c>
      <c r="Q12663" s="31" t="str">
        <f t="shared" si="789"/>
        <v/>
      </c>
      <c r="R12663" s="32" t="str">
        <f>IFERROR(VLOOKUP($D12663,'Informations sur les produits'!$A$3:$B$15000,2,FALSE),"")</f>
        <v/>
      </c>
      <c r="V12663">
        <f t="shared" si="790"/>
        <v>0</v>
      </c>
      <c r="W12663">
        <f t="shared" si="791"/>
        <v>0</v>
      </c>
    </row>
    <row r="12664" spans="5:23" x14ac:dyDescent="0.25">
      <c r="E12664" s="4"/>
      <c r="F12664" s="4"/>
      <c r="G12664" s="33" t="str">
        <f>IFERROR(VLOOKUP($D12664,'Informations sur les produits'!$A$3:$H$10000,8,FALSE),"0")</f>
        <v>0</v>
      </c>
      <c r="K12664" s="4"/>
      <c r="L12664" s="33" t="str">
        <f>IFERROR(VLOOKUP($J12664,'Informations sur les produits'!$A$3:$H$10000,8,FALSE),"0")</f>
        <v>0</v>
      </c>
      <c r="N12664" s="8"/>
      <c r="O12664" s="33" t="str">
        <f>IFERROR(VLOOKUP($M12664,'Informations sur les produits'!$A$3:$H$10000,8,FALSE),"0")</f>
        <v>0</v>
      </c>
      <c r="P12664" s="33">
        <f t="shared" si="788"/>
        <v>0</v>
      </c>
      <c r="Q12664" s="31" t="str">
        <f t="shared" si="789"/>
        <v/>
      </c>
      <c r="R12664" s="32" t="str">
        <f>IFERROR(VLOOKUP($D12664,'Informations sur les produits'!$A$3:$B$15000,2,FALSE),"")</f>
        <v/>
      </c>
      <c r="V12664">
        <f t="shared" si="790"/>
        <v>0</v>
      </c>
      <c r="W12664">
        <f t="shared" si="791"/>
        <v>0</v>
      </c>
    </row>
    <row r="12665" spans="5:23" x14ac:dyDescent="0.25">
      <c r="E12665" s="4"/>
      <c r="F12665" s="4"/>
      <c r="G12665" s="33" t="str">
        <f>IFERROR(VLOOKUP($D12665,'Informations sur les produits'!$A$3:$H$10000,8,FALSE),"0")</f>
        <v>0</v>
      </c>
      <c r="K12665" s="4"/>
      <c r="L12665" s="33" t="str">
        <f>IFERROR(VLOOKUP($J12665,'Informations sur les produits'!$A$3:$H$10000,8,FALSE),"0")</f>
        <v>0</v>
      </c>
      <c r="N12665" s="8"/>
      <c r="O12665" s="33" t="str">
        <f>IFERROR(VLOOKUP($M12665,'Informations sur les produits'!$A$3:$H$10000,8,FALSE),"0")</f>
        <v>0</v>
      </c>
      <c r="P12665" s="33">
        <f t="shared" si="788"/>
        <v>0</v>
      </c>
      <c r="Q12665" s="31" t="str">
        <f t="shared" si="789"/>
        <v/>
      </c>
      <c r="R12665" s="32" t="str">
        <f>IFERROR(VLOOKUP($D12665,'Informations sur les produits'!$A$3:$B$15000,2,FALSE),"")</f>
        <v/>
      </c>
      <c r="V12665">
        <f t="shared" si="790"/>
        <v>0</v>
      </c>
      <c r="W12665">
        <f t="shared" si="791"/>
        <v>0</v>
      </c>
    </row>
    <row r="12666" spans="5:23" x14ac:dyDescent="0.25">
      <c r="E12666" s="4"/>
      <c r="F12666" s="4"/>
      <c r="G12666" s="33" t="str">
        <f>IFERROR(VLOOKUP($D12666,'Informations sur les produits'!$A$3:$H$10000,8,FALSE),"0")</f>
        <v>0</v>
      </c>
      <c r="K12666" s="4"/>
      <c r="L12666" s="33" t="str">
        <f>IFERROR(VLOOKUP($J12666,'Informations sur les produits'!$A$3:$H$10000,8,FALSE),"0")</f>
        <v>0</v>
      </c>
      <c r="N12666" s="8"/>
      <c r="O12666" s="33" t="str">
        <f>IFERROR(VLOOKUP($M12666,'Informations sur les produits'!$A$3:$H$10000,8,FALSE),"0")</f>
        <v>0</v>
      </c>
      <c r="P12666" s="33">
        <f t="shared" si="788"/>
        <v>0</v>
      </c>
      <c r="Q12666" s="31" t="str">
        <f t="shared" si="789"/>
        <v/>
      </c>
      <c r="R12666" s="32" t="str">
        <f>IFERROR(VLOOKUP($D12666,'Informations sur les produits'!$A$3:$B$15000,2,FALSE),"")</f>
        <v/>
      </c>
      <c r="V12666">
        <f t="shared" si="790"/>
        <v>0</v>
      </c>
      <c r="W12666">
        <f t="shared" si="791"/>
        <v>0</v>
      </c>
    </row>
    <row r="12667" spans="5:23" x14ac:dyDescent="0.25">
      <c r="E12667" s="4"/>
      <c r="F12667" s="4"/>
      <c r="G12667" s="33" t="str">
        <f>IFERROR(VLOOKUP($D12667,'Informations sur les produits'!$A$3:$H$10000,8,FALSE),"0")</f>
        <v>0</v>
      </c>
      <c r="K12667" s="4"/>
      <c r="L12667" s="33" t="str">
        <f>IFERROR(VLOOKUP($J12667,'Informations sur les produits'!$A$3:$H$10000,8,FALSE),"0")</f>
        <v>0</v>
      </c>
      <c r="N12667" s="8"/>
      <c r="O12667" s="33" t="str">
        <f>IFERROR(VLOOKUP($M12667,'Informations sur les produits'!$A$3:$H$10000,8,FALSE),"0")</f>
        <v>0</v>
      </c>
      <c r="P12667" s="33">
        <f t="shared" si="788"/>
        <v>0</v>
      </c>
      <c r="Q12667" s="31" t="str">
        <f t="shared" si="789"/>
        <v/>
      </c>
      <c r="R12667" s="32" t="str">
        <f>IFERROR(VLOOKUP($D12667,'Informations sur les produits'!$A$3:$B$15000,2,FALSE),"")</f>
        <v/>
      </c>
      <c r="V12667">
        <f t="shared" si="790"/>
        <v>0</v>
      </c>
      <c r="W12667">
        <f t="shared" si="791"/>
        <v>0</v>
      </c>
    </row>
    <row r="12668" spans="5:23" x14ac:dyDescent="0.25">
      <c r="E12668" s="4"/>
      <c r="F12668" s="4"/>
      <c r="G12668" s="33" t="str">
        <f>IFERROR(VLOOKUP($D12668,'Informations sur les produits'!$A$3:$H$10000,8,FALSE),"0")</f>
        <v>0</v>
      </c>
      <c r="K12668" s="4"/>
      <c r="L12668" s="33" t="str">
        <f>IFERROR(VLOOKUP($J12668,'Informations sur les produits'!$A$3:$H$10000,8,FALSE),"0")</f>
        <v>0</v>
      </c>
      <c r="N12668" s="8"/>
      <c r="O12668" s="33" t="str">
        <f>IFERROR(VLOOKUP($M12668,'Informations sur les produits'!$A$3:$H$10000,8,FALSE),"0")</f>
        <v>0</v>
      </c>
      <c r="P12668" s="33">
        <f t="shared" si="788"/>
        <v>0</v>
      </c>
      <c r="Q12668" s="31" t="str">
        <f t="shared" si="789"/>
        <v/>
      </c>
      <c r="R12668" s="32" t="str">
        <f>IFERROR(VLOOKUP($D12668,'Informations sur les produits'!$A$3:$B$15000,2,FALSE),"")</f>
        <v/>
      </c>
      <c r="V12668">
        <f t="shared" si="790"/>
        <v>0</v>
      </c>
      <c r="W12668">
        <f t="shared" si="791"/>
        <v>0</v>
      </c>
    </row>
    <row r="12669" spans="5:23" x14ac:dyDescent="0.25">
      <c r="E12669" s="4"/>
      <c r="F12669" s="4"/>
      <c r="G12669" s="33" t="str">
        <f>IFERROR(VLOOKUP($D12669,'Informations sur les produits'!$A$3:$H$10000,8,FALSE),"0")</f>
        <v>0</v>
      </c>
      <c r="K12669" s="4"/>
      <c r="L12669" s="33" t="str">
        <f>IFERROR(VLOOKUP($J12669,'Informations sur les produits'!$A$3:$H$10000,8,FALSE),"0")</f>
        <v>0</v>
      </c>
      <c r="N12669" s="8"/>
      <c r="O12669" s="33" t="str">
        <f>IFERROR(VLOOKUP($M12669,'Informations sur les produits'!$A$3:$H$10000,8,FALSE),"0")</f>
        <v>0</v>
      </c>
      <c r="P12669" s="33">
        <f t="shared" si="788"/>
        <v>0</v>
      </c>
      <c r="Q12669" s="31" t="str">
        <f t="shared" si="789"/>
        <v/>
      </c>
      <c r="R12669" s="32" t="str">
        <f>IFERROR(VLOOKUP($D12669,'Informations sur les produits'!$A$3:$B$15000,2,FALSE),"")</f>
        <v/>
      </c>
      <c r="V12669">
        <f t="shared" si="790"/>
        <v>0</v>
      </c>
      <c r="W12669">
        <f t="shared" si="791"/>
        <v>0</v>
      </c>
    </row>
    <row r="12670" spans="5:23" x14ac:dyDescent="0.25">
      <c r="E12670" s="4"/>
      <c r="F12670" s="4"/>
      <c r="G12670" s="33" t="str">
        <f>IFERROR(VLOOKUP($D12670,'Informations sur les produits'!$A$3:$H$10000,8,FALSE),"0")</f>
        <v>0</v>
      </c>
      <c r="K12670" s="4"/>
      <c r="L12670" s="33" t="str">
        <f>IFERROR(VLOOKUP($J12670,'Informations sur les produits'!$A$3:$H$10000,8,FALSE),"0")</f>
        <v>0</v>
      </c>
      <c r="N12670" s="8"/>
      <c r="O12670" s="33" t="str">
        <f>IFERROR(VLOOKUP($M12670,'Informations sur les produits'!$A$3:$H$10000,8,FALSE),"0")</f>
        <v>0</v>
      </c>
      <c r="P12670" s="33">
        <f t="shared" si="788"/>
        <v>0</v>
      </c>
      <c r="Q12670" s="31" t="str">
        <f t="shared" si="789"/>
        <v/>
      </c>
      <c r="R12670" s="32" t="str">
        <f>IFERROR(VLOOKUP($D12670,'Informations sur les produits'!$A$3:$B$15000,2,FALSE),"")</f>
        <v/>
      </c>
      <c r="V12670">
        <f t="shared" si="790"/>
        <v>0</v>
      </c>
      <c r="W12670">
        <f t="shared" si="791"/>
        <v>0</v>
      </c>
    </row>
    <row r="12671" spans="5:23" x14ac:dyDescent="0.25">
      <c r="E12671" s="4"/>
      <c r="F12671" s="4"/>
      <c r="G12671" s="33" t="str">
        <f>IFERROR(VLOOKUP($D12671,'Informations sur les produits'!$A$3:$H$10000,8,FALSE),"0")</f>
        <v>0</v>
      </c>
      <c r="K12671" s="4"/>
      <c r="L12671" s="33" t="str">
        <f>IFERROR(VLOOKUP($J12671,'Informations sur les produits'!$A$3:$H$10000,8,FALSE),"0")</f>
        <v>0</v>
      </c>
      <c r="N12671" s="8"/>
      <c r="O12671" s="33" t="str">
        <f>IFERROR(VLOOKUP($M12671,'Informations sur les produits'!$A$3:$H$10000,8,FALSE),"0")</f>
        <v>0</v>
      </c>
      <c r="P12671" s="33">
        <f t="shared" si="788"/>
        <v>0</v>
      </c>
      <c r="Q12671" s="31" t="str">
        <f t="shared" si="789"/>
        <v/>
      </c>
      <c r="R12671" s="32" t="str">
        <f>IFERROR(VLOOKUP($D12671,'Informations sur les produits'!$A$3:$B$15000,2,FALSE),"")</f>
        <v/>
      </c>
      <c r="V12671">
        <f t="shared" si="790"/>
        <v>0</v>
      </c>
      <c r="W12671">
        <f t="shared" si="791"/>
        <v>0</v>
      </c>
    </row>
    <row r="12672" spans="5:23" x14ac:dyDescent="0.25">
      <c r="E12672" s="4"/>
      <c r="F12672" s="4"/>
      <c r="G12672" s="33" t="str">
        <f>IFERROR(VLOOKUP($D12672,'Informations sur les produits'!$A$3:$H$10000,8,FALSE),"0")</f>
        <v>0</v>
      </c>
      <c r="K12672" s="4"/>
      <c r="L12672" s="33" t="str">
        <f>IFERROR(VLOOKUP($J12672,'Informations sur les produits'!$A$3:$H$10000,8,FALSE),"0")</f>
        <v>0</v>
      </c>
      <c r="N12672" s="8"/>
      <c r="O12672" s="33" t="str">
        <f>IFERROR(VLOOKUP($M12672,'Informations sur les produits'!$A$3:$H$10000,8,FALSE),"0")</f>
        <v>0</v>
      </c>
      <c r="P12672" s="33">
        <f t="shared" si="788"/>
        <v>0</v>
      </c>
      <c r="Q12672" s="31" t="str">
        <f t="shared" si="789"/>
        <v/>
      </c>
      <c r="R12672" s="32" t="str">
        <f>IFERROR(VLOOKUP($D12672,'Informations sur les produits'!$A$3:$B$15000,2,FALSE),"")</f>
        <v/>
      </c>
      <c r="V12672">
        <f t="shared" si="790"/>
        <v>0</v>
      </c>
      <c r="W12672">
        <f t="shared" si="791"/>
        <v>0</v>
      </c>
    </row>
    <row r="12673" spans="5:23" x14ac:dyDescent="0.25">
      <c r="E12673" s="4"/>
      <c r="F12673" s="4"/>
      <c r="G12673" s="33" t="str">
        <f>IFERROR(VLOOKUP($D12673,'Informations sur les produits'!$A$3:$H$10000,8,FALSE),"0")</f>
        <v>0</v>
      </c>
      <c r="K12673" s="4"/>
      <c r="L12673" s="33" t="str">
        <f>IFERROR(VLOOKUP($J12673,'Informations sur les produits'!$A$3:$H$10000,8,FALSE),"0")</f>
        <v>0</v>
      </c>
      <c r="N12673" s="8"/>
      <c r="O12673" s="33" t="str">
        <f>IFERROR(VLOOKUP($M12673,'Informations sur les produits'!$A$3:$H$10000,8,FALSE),"0")</f>
        <v>0</v>
      </c>
      <c r="P12673" s="33">
        <f t="shared" si="788"/>
        <v>0</v>
      </c>
      <c r="Q12673" s="31" t="str">
        <f t="shared" si="789"/>
        <v/>
      </c>
      <c r="R12673" s="32" t="str">
        <f>IFERROR(VLOOKUP($D12673,'Informations sur les produits'!$A$3:$B$15000,2,FALSE),"")</f>
        <v/>
      </c>
      <c r="V12673">
        <f t="shared" si="790"/>
        <v>0</v>
      </c>
      <c r="W12673">
        <f t="shared" si="791"/>
        <v>0</v>
      </c>
    </row>
    <row r="12674" spans="5:23" x14ac:dyDescent="0.25">
      <c r="E12674" s="4"/>
      <c r="F12674" s="4"/>
      <c r="G12674" s="33" t="str">
        <f>IFERROR(VLOOKUP($D12674,'Informations sur les produits'!$A$3:$H$10000,8,FALSE),"0")</f>
        <v>0</v>
      </c>
      <c r="K12674" s="4"/>
      <c r="L12674" s="33" t="str">
        <f>IFERROR(VLOOKUP($J12674,'Informations sur les produits'!$A$3:$H$10000,8,FALSE),"0")</f>
        <v>0</v>
      </c>
      <c r="N12674" s="8"/>
      <c r="O12674" s="33" t="str">
        <f>IFERROR(VLOOKUP($M12674,'Informations sur les produits'!$A$3:$H$10000,8,FALSE),"0")</f>
        <v>0</v>
      </c>
      <c r="P12674" s="33">
        <f t="shared" si="788"/>
        <v>0</v>
      </c>
      <c r="Q12674" s="31" t="str">
        <f t="shared" si="789"/>
        <v/>
      </c>
      <c r="R12674" s="32" t="str">
        <f>IFERROR(VLOOKUP($D12674,'Informations sur les produits'!$A$3:$B$15000,2,FALSE),"")</f>
        <v/>
      </c>
      <c r="V12674">
        <f t="shared" si="790"/>
        <v>0</v>
      </c>
      <c r="W12674">
        <f t="shared" si="791"/>
        <v>0</v>
      </c>
    </row>
    <row r="12675" spans="5:23" x14ac:dyDescent="0.25">
      <c r="E12675" s="4"/>
      <c r="F12675" s="4"/>
      <c r="G12675" s="33" t="str">
        <f>IFERROR(VLOOKUP($D12675,'Informations sur les produits'!$A$3:$H$10000,8,FALSE),"0")</f>
        <v>0</v>
      </c>
      <c r="K12675" s="4"/>
      <c r="L12675" s="33" t="str">
        <f>IFERROR(VLOOKUP($J12675,'Informations sur les produits'!$A$3:$H$10000,8,FALSE),"0")</f>
        <v>0</v>
      </c>
      <c r="N12675" s="8"/>
      <c r="O12675" s="33" t="str">
        <f>IFERROR(VLOOKUP($M12675,'Informations sur les produits'!$A$3:$H$10000,8,FALSE),"0")</f>
        <v>0</v>
      </c>
      <c r="P12675" s="33">
        <f t="shared" si="788"/>
        <v>0</v>
      </c>
      <c r="Q12675" s="31" t="str">
        <f t="shared" si="789"/>
        <v/>
      </c>
      <c r="R12675" s="32" t="str">
        <f>IFERROR(VLOOKUP($D12675,'Informations sur les produits'!$A$3:$B$15000,2,FALSE),"")</f>
        <v/>
      </c>
      <c r="V12675">
        <f t="shared" si="790"/>
        <v>0</v>
      </c>
      <c r="W12675">
        <f t="shared" si="791"/>
        <v>0</v>
      </c>
    </row>
    <row r="12676" spans="5:23" x14ac:dyDescent="0.25">
      <c r="E12676" s="4"/>
      <c r="F12676" s="4"/>
      <c r="G12676" s="33" t="str">
        <f>IFERROR(VLOOKUP($D12676,'Informations sur les produits'!$A$3:$H$10000,8,FALSE),"0")</f>
        <v>0</v>
      </c>
      <c r="K12676" s="4"/>
      <c r="L12676" s="33" t="str">
        <f>IFERROR(VLOOKUP($J12676,'Informations sur les produits'!$A$3:$H$10000,8,FALSE),"0")</f>
        <v>0</v>
      </c>
      <c r="N12676" s="8"/>
      <c r="O12676" s="33" t="str">
        <f>IFERROR(VLOOKUP($M12676,'Informations sur les produits'!$A$3:$H$10000,8,FALSE),"0")</f>
        <v>0</v>
      </c>
      <c r="P12676" s="33">
        <f t="shared" ref="P12676:P12739" si="792">IFERROR((($E12676-$F12676)*$G12676+$K12676*$L12676+$N12676*$O12676),"")</f>
        <v>0</v>
      </c>
      <c r="Q12676" s="31" t="str">
        <f t="shared" ref="Q12676:Q12739" si="793">IFERROR((((($E12676-$F12676)*$G12676+$K12676*$L12676+$N12676*$O12676)*1000)/(($E12676-$F12676)+$K12676+$N12676)),"")</f>
        <v/>
      </c>
      <c r="R12676" s="32" t="str">
        <f>IFERROR(VLOOKUP($D12676,'Informations sur les produits'!$A$3:$B$15000,2,FALSE),"")</f>
        <v/>
      </c>
      <c r="V12676">
        <f t="shared" ref="V12676:V12739" si="794">IFERROR(P12676*1000,"")</f>
        <v>0</v>
      </c>
      <c r="W12676">
        <f t="shared" ref="W12676:W12739" si="795">IFERROR(($E12676-$F12676)+$K12676+$N12676,"")</f>
        <v>0</v>
      </c>
    </row>
    <row r="12677" spans="5:23" x14ac:dyDescent="0.25">
      <c r="E12677" s="4"/>
      <c r="F12677" s="4"/>
      <c r="G12677" s="33" t="str">
        <f>IFERROR(VLOOKUP($D12677,'Informations sur les produits'!$A$3:$H$10000,8,FALSE),"0")</f>
        <v>0</v>
      </c>
      <c r="K12677" s="4"/>
      <c r="L12677" s="33" t="str">
        <f>IFERROR(VLOOKUP($J12677,'Informations sur les produits'!$A$3:$H$10000,8,FALSE),"0")</f>
        <v>0</v>
      </c>
      <c r="N12677" s="8"/>
      <c r="O12677" s="33" t="str">
        <f>IFERROR(VLOOKUP($M12677,'Informations sur les produits'!$A$3:$H$10000,8,FALSE),"0")</f>
        <v>0</v>
      </c>
      <c r="P12677" s="33">
        <f t="shared" si="792"/>
        <v>0</v>
      </c>
      <c r="Q12677" s="31" t="str">
        <f t="shared" si="793"/>
        <v/>
      </c>
      <c r="R12677" s="32" t="str">
        <f>IFERROR(VLOOKUP($D12677,'Informations sur les produits'!$A$3:$B$15000,2,FALSE),"")</f>
        <v/>
      </c>
      <c r="V12677">
        <f t="shared" si="794"/>
        <v>0</v>
      </c>
      <c r="W12677">
        <f t="shared" si="795"/>
        <v>0</v>
      </c>
    </row>
    <row r="12678" spans="5:23" x14ac:dyDescent="0.25">
      <c r="E12678" s="4"/>
      <c r="F12678" s="4"/>
      <c r="G12678" s="33" t="str">
        <f>IFERROR(VLOOKUP($D12678,'Informations sur les produits'!$A$3:$H$10000,8,FALSE),"0")</f>
        <v>0</v>
      </c>
      <c r="K12678" s="4"/>
      <c r="L12678" s="33" t="str">
        <f>IFERROR(VLOOKUP($J12678,'Informations sur les produits'!$A$3:$H$10000,8,FALSE),"0")</f>
        <v>0</v>
      </c>
      <c r="N12678" s="8"/>
      <c r="O12678" s="33" t="str">
        <f>IFERROR(VLOOKUP($M12678,'Informations sur les produits'!$A$3:$H$10000,8,FALSE),"0")</f>
        <v>0</v>
      </c>
      <c r="P12678" s="33">
        <f t="shared" si="792"/>
        <v>0</v>
      </c>
      <c r="Q12678" s="31" t="str">
        <f t="shared" si="793"/>
        <v/>
      </c>
      <c r="R12678" s="32" t="str">
        <f>IFERROR(VLOOKUP($D12678,'Informations sur les produits'!$A$3:$B$15000,2,FALSE),"")</f>
        <v/>
      </c>
      <c r="V12678">
        <f t="shared" si="794"/>
        <v>0</v>
      </c>
      <c r="W12678">
        <f t="shared" si="795"/>
        <v>0</v>
      </c>
    </row>
    <row r="12679" spans="5:23" x14ac:dyDescent="0.25">
      <c r="E12679" s="4"/>
      <c r="F12679" s="4"/>
      <c r="G12679" s="33" t="str">
        <f>IFERROR(VLOOKUP($D12679,'Informations sur les produits'!$A$3:$H$10000,8,FALSE),"0")</f>
        <v>0</v>
      </c>
      <c r="K12679" s="4"/>
      <c r="L12679" s="33" t="str">
        <f>IFERROR(VLOOKUP($J12679,'Informations sur les produits'!$A$3:$H$10000,8,FALSE),"0")</f>
        <v>0</v>
      </c>
      <c r="N12679" s="8"/>
      <c r="O12679" s="33" t="str">
        <f>IFERROR(VLOOKUP($M12679,'Informations sur les produits'!$A$3:$H$10000,8,FALSE),"0")</f>
        <v>0</v>
      </c>
      <c r="P12679" s="33">
        <f t="shared" si="792"/>
        <v>0</v>
      </c>
      <c r="Q12679" s="31" t="str">
        <f t="shared" si="793"/>
        <v/>
      </c>
      <c r="R12679" s="32" t="str">
        <f>IFERROR(VLOOKUP($D12679,'Informations sur les produits'!$A$3:$B$15000,2,FALSE),"")</f>
        <v/>
      </c>
      <c r="V12679">
        <f t="shared" si="794"/>
        <v>0</v>
      </c>
      <c r="W12679">
        <f t="shared" si="795"/>
        <v>0</v>
      </c>
    </row>
    <row r="12680" spans="5:23" x14ac:dyDescent="0.25">
      <c r="E12680" s="4"/>
      <c r="F12680" s="4"/>
      <c r="G12680" s="33" t="str">
        <f>IFERROR(VLOOKUP($D12680,'Informations sur les produits'!$A$3:$H$10000,8,FALSE),"0")</f>
        <v>0</v>
      </c>
      <c r="K12680" s="4"/>
      <c r="L12680" s="33" t="str">
        <f>IFERROR(VLOOKUP($J12680,'Informations sur les produits'!$A$3:$H$10000,8,FALSE),"0")</f>
        <v>0</v>
      </c>
      <c r="N12680" s="8"/>
      <c r="O12680" s="33" t="str">
        <f>IFERROR(VLOOKUP($M12680,'Informations sur les produits'!$A$3:$H$10000,8,FALSE),"0")</f>
        <v>0</v>
      </c>
      <c r="P12680" s="33">
        <f t="shared" si="792"/>
        <v>0</v>
      </c>
      <c r="Q12680" s="31" t="str">
        <f t="shared" si="793"/>
        <v/>
      </c>
      <c r="R12680" s="32" t="str">
        <f>IFERROR(VLOOKUP($D12680,'Informations sur les produits'!$A$3:$B$15000,2,FALSE),"")</f>
        <v/>
      </c>
      <c r="V12680">
        <f t="shared" si="794"/>
        <v>0</v>
      </c>
      <c r="W12680">
        <f t="shared" si="795"/>
        <v>0</v>
      </c>
    </row>
    <row r="12681" spans="5:23" x14ac:dyDescent="0.25">
      <c r="E12681" s="4"/>
      <c r="F12681" s="4"/>
      <c r="G12681" s="33" t="str">
        <f>IFERROR(VLOOKUP($D12681,'Informations sur les produits'!$A$3:$H$10000,8,FALSE),"0")</f>
        <v>0</v>
      </c>
      <c r="K12681" s="4"/>
      <c r="L12681" s="33" t="str">
        <f>IFERROR(VLOOKUP($J12681,'Informations sur les produits'!$A$3:$H$10000,8,FALSE),"0")</f>
        <v>0</v>
      </c>
      <c r="N12681" s="8"/>
      <c r="O12681" s="33" t="str">
        <f>IFERROR(VLOOKUP($M12681,'Informations sur les produits'!$A$3:$H$10000,8,FALSE),"0")</f>
        <v>0</v>
      </c>
      <c r="P12681" s="33">
        <f t="shared" si="792"/>
        <v>0</v>
      </c>
      <c r="Q12681" s="31" t="str">
        <f t="shared" si="793"/>
        <v/>
      </c>
      <c r="R12681" s="32" t="str">
        <f>IFERROR(VLOOKUP($D12681,'Informations sur les produits'!$A$3:$B$15000,2,FALSE),"")</f>
        <v/>
      </c>
      <c r="V12681">
        <f t="shared" si="794"/>
        <v>0</v>
      </c>
      <c r="W12681">
        <f t="shared" si="795"/>
        <v>0</v>
      </c>
    </row>
    <row r="12682" spans="5:23" x14ac:dyDescent="0.25">
      <c r="E12682" s="4"/>
      <c r="F12682" s="4"/>
      <c r="G12682" s="33" t="str">
        <f>IFERROR(VLOOKUP($D12682,'Informations sur les produits'!$A$3:$H$10000,8,FALSE),"0")</f>
        <v>0</v>
      </c>
      <c r="K12682" s="4"/>
      <c r="L12682" s="33" t="str">
        <f>IFERROR(VLOOKUP($J12682,'Informations sur les produits'!$A$3:$H$10000,8,FALSE),"0")</f>
        <v>0</v>
      </c>
      <c r="N12682" s="8"/>
      <c r="O12682" s="33" t="str">
        <f>IFERROR(VLOOKUP($M12682,'Informations sur les produits'!$A$3:$H$10000,8,FALSE),"0")</f>
        <v>0</v>
      </c>
      <c r="P12682" s="33">
        <f t="shared" si="792"/>
        <v>0</v>
      </c>
      <c r="Q12682" s="31" t="str">
        <f t="shared" si="793"/>
        <v/>
      </c>
      <c r="R12682" s="32" t="str">
        <f>IFERROR(VLOOKUP($D12682,'Informations sur les produits'!$A$3:$B$15000,2,FALSE),"")</f>
        <v/>
      </c>
      <c r="V12682">
        <f t="shared" si="794"/>
        <v>0</v>
      </c>
      <c r="W12682">
        <f t="shared" si="795"/>
        <v>0</v>
      </c>
    </row>
    <row r="12683" spans="5:23" x14ac:dyDescent="0.25">
      <c r="E12683" s="4"/>
      <c r="F12683" s="4"/>
      <c r="G12683" s="33" t="str">
        <f>IFERROR(VLOOKUP($D12683,'Informations sur les produits'!$A$3:$H$10000,8,FALSE),"0")</f>
        <v>0</v>
      </c>
      <c r="K12683" s="4"/>
      <c r="L12683" s="33" t="str">
        <f>IFERROR(VLOOKUP($J12683,'Informations sur les produits'!$A$3:$H$10000,8,FALSE),"0")</f>
        <v>0</v>
      </c>
      <c r="N12683" s="8"/>
      <c r="O12683" s="33" t="str">
        <f>IFERROR(VLOOKUP($M12683,'Informations sur les produits'!$A$3:$H$10000,8,FALSE),"0")</f>
        <v>0</v>
      </c>
      <c r="P12683" s="33">
        <f t="shared" si="792"/>
        <v>0</v>
      </c>
      <c r="Q12683" s="31" t="str">
        <f t="shared" si="793"/>
        <v/>
      </c>
      <c r="R12683" s="32" t="str">
        <f>IFERROR(VLOOKUP($D12683,'Informations sur les produits'!$A$3:$B$15000,2,FALSE),"")</f>
        <v/>
      </c>
      <c r="V12683">
        <f t="shared" si="794"/>
        <v>0</v>
      </c>
      <c r="W12683">
        <f t="shared" si="795"/>
        <v>0</v>
      </c>
    </row>
    <row r="12684" spans="5:23" x14ac:dyDescent="0.25">
      <c r="E12684" s="4"/>
      <c r="F12684" s="4"/>
      <c r="G12684" s="33" t="str">
        <f>IFERROR(VLOOKUP($D12684,'Informations sur les produits'!$A$3:$H$10000,8,FALSE),"0")</f>
        <v>0</v>
      </c>
      <c r="K12684" s="4"/>
      <c r="L12684" s="33" t="str">
        <f>IFERROR(VLOOKUP($J12684,'Informations sur les produits'!$A$3:$H$10000,8,FALSE),"0")</f>
        <v>0</v>
      </c>
      <c r="N12684" s="8"/>
      <c r="O12684" s="33" t="str">
        <f>IFERROR(VLOOKUP($M12684,'Informations sur les produits'!$A$3:$H$10000,8,FALSE),"0")</f>
        <v>0</v>
      </c>
      <c r="P12684" s="33">
        <f t="shared" si="792"/>
        <v>0</v>
      </c>
      <c r="Q12684" s="31" t="str">
        <f t="shared" si="793"/>
        <v/>
      </c>
      <c r="R12684" s="32" t="str">
        <f>IFERROR(VLOOKUP($D12684,'Informations sur les produits'!$A$3:$B$15000,2,FALSE),"")</f>
        <v/>
      </c>
      <c r="V12684">
        <f t="shared" si="794"/>
        <v>0</v>
      </c>
      <c r="W12684">
        <f t="shared" si="795"/>
        <v>0</v>
      </c>
    </row>
    <row r="12685" spans="5:23" x14ac:dyDescent="0.25">
      <c r="E12685" s="4"/>
      <c r="F12685" s="4"/>
      <c r="G12685" s="33" t="str">
        <f>IFERROR(VLOOKUP($D12685,'Informations sur les produits'!$A$3:$H$10000,8,FALSE),"0")</f>
        <v>0</v>
      </c>
      <c r="K12685" s="4"/>
      <c r="L12685" s="33" t="str">
        <f>IFERROR(VLOOKUP($J12685,'Informations sur les produits'!$A$3:$H$10000,8,FALSE),"0")</f>
        <v>0</v>
      </c>
      <c r="N12685" s="8"/>
      <c r="O12685" s="33" t="str">
        <f>IFERROR(VLOOKUP($M12685,'Informations sur les produits'!$A$3:$H$10000,8,FALSE),"0")</f>
        <v>0</v>
      </c>
      <c r="P12685" s="33">
        <f t="shared" si="792"/>
        <v>0</v>
      </c>
      <c r="Q12685" s="31" t="str">
        <f t="shared" si="793"/>
        <v/>
      </c>
      <c r="R12685" s="32" t="str">
        <f>IFERROR(VLOOKUP($D12685,'Informations sur les produits'!$A$3:$B$15000,2,FALSE),"")</f>
        <v/>
      </c>
      <c r="V12685">
        <f t="shared" si="794"/>
        <v>0</v>
      </c>
      <c r="W12685">
        <f t="shared" si="795"/>
        <v>0</v>
      </c>
    </row>
    <row r="12686" spans="5:23" x14ac:dyDescent="0.25">
      <c r="E12686" s="4"/>
      <c r="F12686" s="4"/>
      <c r="G12686" s="33" t="str">
        <f>IFERROR(VLOOKUP($D12686,'Informations sur les produits'!$A$3:$H$10000,8,FALSE),"0")</f>
        <v>0</v>
      </c>
      <c r="K12686" s="4"/>
      <c r="L12686" s="33" t="str">
        <f>IFERROR(VLOOKUP($J12686,'Informations sur les produits'!$A$3:$H$10000,8,FALSE),"0")</f>
        <v>0</v>
      </c>
      <c r="N12686" s="8"/>
      <c r="O12686" s="33" t="str">
        <f>IFERROR(VLOOKUP($M12686,'Informations sur les produits'!$A$3:$H$10000,8,FALSE),"0")</f>
        <v>0</v>
      </c>
      <c r="P12686" s="33">
        <f t="shared" si="792"/>
        <v>0</v>
      </c>
      <c r="Q12686" s="31" t="str">
        <f t="shared" si="793"/>
        <v/>
      </c>
      <c r="R12686" s="32" t="str">
        <f>IFERROR(VLOOKUP($D12686,'Informations sur les produits'!$A$3:$B$15000,2,FALSE),"")</f>
        <v/>
      </c>
      <c r="V12686">
        <f t="shared" si="794"/>
        <v>0</v>
      </c>
      <c r="W12686">
        <f t="shared" si="795"/>
        <v>0</v>
      </c>
    </row>
    <row r="12687" spans="5:23" x14ac:dyDescent="0.25">
      <c r="E12687" s="4"/>
      <c r="F12687" s="4"/>
      <c r="G12687" s="33" t="str">
        <f>IFERROR(VLOOKUP($D12687,'Informations sur les produits'!$A$3:$H$10000,8,FALSE),"0")</f>
        <v>0</v>
      </c>
      <c r="K12687" s="4"/>
      <c r="L12687" s="33" t="str">
        <f>IFERROR(VLOOKUP($J12687,'Informations sur les produits'!$A$3:$H$10000,8,FALSE),"0")</f>
        <v>0</v>
      </c>
      <c r="N12687" s="8"/>
      <c r="O12687" s="33" t="str">
        <f>IFERROR(VLOOKUP($M12687,'Informations sur les produits'!$A$3:$H$10000,8,FALSE),"0")</f>
        <v>0</v>
      </c>
      <c r="P12687" s="33">
        <f t="shared" si="792"/>
        <v>0</v>
      </c>
      <c r="Q12687" s="31" t="str">
        <f t="shared" si="793"/>
        <v/>
      </c>
      <c r="R12687" s="32" t="str">
        <f>IFERROR(VLOOKUP($D12687,'Informations sur les produits'!$A$3:$B$15000,2,FALSE),"")</f>
        <v/>
      </c>
      <c r="V12687">
        <f t="shared" si="794"/>
        <v>0</v>
      </c>
      <c r="W12687">
        <f t="shared" si="795"/>
        <v>0</v>
      </c>
    </row>
    <row r="12688" spans="5:23" x14ac:dyDescent="0.25">
      <c r="E12688" s="4"/>
      <c r="F12688" s="4"/>
      <c r="G12688" s="33" t="str">
        <f>IFERROR(VLOOKUP($D12688,'Informations sur les produits'!$A$3:$H$10000,8,FALSE),"0")</f>
        <v>0</v>
      </c>
      <c r="K12688" s="4"/>
      <c r="L12688" s="33" t="str">
        <f>IFERROR(VLOOKUP($J12688,'Informations sur les produits'!$A$3:$H$10000,8,FALSE),"0")</f>
        <v>0</v>
      </c>
      <c r="N12688" s="8"/>
      <c r="O12688" s="33" t="str">
        <f>IFERROR(VLOOKUP($M12688,'Informations sur les produits'!$A$3:$H$10000,8,FALSE),"0")</f>
        <v>0</v>
      </c>
      <c r="P12688" s="33">
        <f t="shared" si="792"/>
        <v>0</v>
      </c>
      <c r="Q12688" s="31" t="str">
        <f t="shared" si="793"/>
        <v/>
      </c>
      <c r="R12688" s="32" t="str">
        <f>IFERROR(VLOOKUP($D12688,'Informations sur les produits'!$A$3:$B$15000,2,FALSE),"")</f>
        <v/>
      </c>
      <c r="V12688">
        <f t="shared" si="794"/>
        <v>0</v>
      </c>
      <c r="W12688">
        <f t="shared" si="795"/>
        <v>0</v>
      </c>
    </row>
    <row r="12689" spans="5:23" x14ac:dyDescent="0.25">
      <c r="E12689" s="4"/>
      <c r="F12689" s="4"/>
      <c r="G12689" s="33" t="str">
        <f>IFERROR(VLOOKUP($D12689,'Informations sur les produits'!$A$3:$H$10000,8,FALSE),"0")</f>
        <v>0</v>
      </c>
      <c r="K12689" s="4"/>
      <c r="L12689" s="33" t="str">
        <f>IFERROR(VLOOKUP($J12689,'Informations sur les produits'!$A$3:$H$10000,8,FALSE),"0")</f>
        <v>0</v>
      </c>
      <c r="N12689" s="8"/>
      <c r="O12689" s="33" t="str">
        <f>IFERROR(VLOOKUP($M12689,'Informations sur les produits'!$A$3:$H$10000,8,FALSE),"0")</f>
        <v>0</v>
      </c>
      <c r="P12689" s="33">
        <f t="shared" si="792"/>
        <v>0</v>
      </c>
      <c r="Q12689" s="31" t="str">
        <f t="shared" si="793"/>
        <v/>
      </c>
      <c r="R12689" s="32" t="str">
        <f>IFERROR(VLOOKUP($D12689,'Informations sur les produits'!$A$3:$B$15000,2,FALSE),"")</f>
        <v/>
      </c>
      <c r="V12689">
        <f t="shared" si="794"/>
        <v>0</v>
      </c>
      <c r="W12689">
        <f t="shared" si="795"/>
        <v>0</v>
      </c>
    </row>
    <row r="12690" spans="5:23" x14ac:dyDescent="0.25">
      <c r="E12690" s="4"/>
      <c r="F12690" s="4"/>
      <c r="G12690" s="33" t="str">
        <f>IFERROR(VLOOKUP($D12690,'Informations sur les produits'!$A$3:$H$10000,8,FALSE),"0")</f>
        <v>0</v>
      </c>
      <c r="K12690" s="4"/>
      <c r="L12690" s="33" t="str">
        <f>IFERROR(VLOOKUP($J12690,'Informations sur les produits'!$A$3:$H$10000,8,FALSE),"0")</f>
        <v>0</v>
      </c>
      <c r="N12690" s="8"/>
      <c r="O12690" s="33" t="str">
        <f>IFERROR(VLOOKUP($M12690,'Informations sur les produits'!$A$3:$H$10000,8,FALSE),"0")</f>
        <v>0</v>
      </c>
      <c r="P12690" s="33">
        <f t="shared" si="792"/>
        <v>0</v>
      </c>
      <c r="Q12690" s="31" t="str">
        <f t="shared" si="793"/>
        <v/>
      </c>
      <c r="R12690" s="32" t="str">
        <f>IFERROR(VLOOKUP($D12690,'Informations sur les produits'!$A$3:$B$15000,2,FALSE),"")</f>
        <v/>
      </c>
      <c r="V12690">
        <f t="shared" si="794"/>
        <v>0</v>
      </c>
      <c r="W12690">
        <f t="shared" si="795"/>
        <v>0</v>
      </c>
    </row>
    <row r="12691" spans="5:23" x14ac:dyDescent="0.25">
      <c r="E12691" s="4"/>
      <c r="F12691" s="4"/>
      <c r="G12691" s="33" t="str">
        <f>IFERROR(VLOOKUP($D12691,'Informations sur les produits'!$A$3:$H$10000,8,FALSE),"0")</f>
        <v>0</v>
      </c>
      <c r="K12691" s="4"/>
      <c r="L12691" s="33" t="str">
        <f>IFERROR(VLOOKUP($J12691,'Informations sur les produits'!$A$3:$H$10000,8,FALSE),"0")</f>
        <v>0</v>
      </c>
      <c r="N12691" s="8"/>
      <c r="O12691" s="33" t="str">
        <f>IFERROR(VLOOKUP($M12691,'Informations sur les produits'!$A$3:$H$10000,8,FALSE),"0")</f>
        <v>0</v>
      </c>
      <c r="P12691" s="33">
        <f t="shared" si="792"/>
        <v>0</v>
      </c>
      <c r="Q12691" s="31" t="str">
        <f t="shared" si="793"/>
        <v/>
      </c>
      <c r="R12691" s="32" t="str">
        <f>IFERROR(VLOOKUP($D12691,'Informations sur les produits'!$A$3:$B$15000,2,FALSE),"")</f>
        <v/>
      </c>
      <c r="V12691">
        <f t="shared" si="794"/>
        <v>0</v>
      </c>
      <c r="W12691">
        <f t="shared" si="795"/>
        <v>0</v>
      </c>
    </row>
    <row r="12692" spans="5:23" x14ac:dyDescent="0.25">
      <c r="E12692" s="4"/>
      <c r="F12692" s="4"/>
      <c r="G12692" s="33" t="str">
        <f>IFERROR(VLOOKUP($D12692,'Informations sur les produits'!$A$3:$H$10000,8,FALSE),"0")</f>
        <v>0</v>
      </c>
      <c r="K12692" s="4"/>
      <c r="L12692" s="33" t="str">
        <f>IFERROR(VLOOKUP($J12692,'Informations sur les produits'!$A$3:$H$10000,8,FALSE),"0")</f>
        <v>0</v>
      </c>
      <c r="N12692" s="8"/>
      <c r="O12692" s="33" t="str">
        <f>IFERROR(VLOOKUP($M12692,'Informations sur les produits'!$A$3:$H$10000,8,FALSE),"0")</f>
        <v>0</v>
      </c>
      <c r="P12692" s="33">
        <f t="shared" si="792"/>
        <v>0</v>
      </c>
      <c r="Q12692" s="31" t="str">
        <f t="shared" si="793"/>
        <v/>
      </c>
      <c r="R12692" s="32" t="str">
        <f>IFERROR(VLOOKUP($D12692,'Informations sur les produits'!$A$3:$B$15000,2,FALSE),"")</f>
        <v/>
      </c>
      <c r="V12692">
        <f t="shared" si="794"/>
        <v>0</v>
      </c>
      <c r="W12692">
        <f t="shared" si="795"/>
        <v>0</v>
      </c>
    </row>
    <row r="12693" spans="5:23" x14ac:dyDescent="0.25">
      <c r="E12693" s="4"/>
      <c r="F12693" s="4"/>
      <c r="G12693" s="33" t="str">
        <f>IFERROR(VLOOKUP($D12693,'Informations sur les produits'!$A$3:$H$10000,8,FALSE),"0")</f>
        <v>0</v>
      </c>
      <c r="K12693" s="4"/>
      <c r="L12693" s="33" t="str">
        <f>IFERROR(VLOOKUP($J12693,'Informations sur les produits'!$A$3:$H$10000,8,FALSE),"0")</f>
        <v>0</v>
      </c>
      <c r="N12693" s="8"/>
      <c r="O12693" s="33" t="str">
        <f>IFERROR(VLOOKUP($M12693,'Informations sur les produits'!$A$3:$H$10000,8,FALSE),"0")</f>
        <v>0</v>
      </c>
      <c r="P12693" s="33">
        <f t="shared" si="792"/>
        <v>0</v>
      </c>
      <c r="Q12693" s="31" t="str">
        <f t="shared" si="793"/>
        <v/>
      </c>
      <c r="R12693" s="32" t="str">
        <f>IFERROR(VLOOKUP($D12693,'Informations sur les produits'!$A$3:$B$15000,2,FALSE),"")</f>
        <v/>
      </c>
      <c r="V12693">
        <f t="shared" si="794"/>
        <v>0</v>
      </c>
      <c r="W12693">
        <f t="shared" si="795"/>
        <v>0</v>
      </c>
    </row>
    <row r="12694" spans="5:23" x14ac:dyDescent="0.25">
      <c r="E12694" s="4"/>
      <c r="F12694" s="4"/>
      <c r="G12694" s="33" t="str">
        <f>IFERROR(VLOOKUP($D12694,'Informations sur les produits'!$A$3:$H$10000,8,FALSE),"0")</f>
        <v>0</v>
      </c>
      <c r="K12694" s="4"/>
      <c r="L12694" s="33" t="str">
        <f>IFERROR(VLOOKUP($J12694,'Informations sur les produits'!$A$3:$H$10000,8,FALSE),"0")</f>
        <v>0</v>
      </c>
      <c r="N12694" s="8"/>
      <c r="O12694" s="33" t="str">
        <f>IFERROR(VLOOKUP($M12694,'Informations sur les produits'!$A$3:$H$10000,8,FALSE),"0")</f>
        <v>0</v>
      </c>
      <c r="P12694" s="33">
        <f t="shared" si="792"/>
        <v>0</v>
      </c>
      <c r="Q12694" s="31" t="str">
        <f t="shared" si="793"/>
        <v/>
      </c>
      <c r="R12694" s="32" t="str">
        <f>IFERROR(VLOOKUP($D12694,'Informations sur les produits'!$A$3:$B$15000,2,FALSE),"")</f>
        <v/>
      </c>
      <c r="V12694">
        <f t="shared" si="794"/>
        <v>0</v>
      </c>
      <c r="W12694">
        <f t="shared" si="795"/>
        <v>0</v>
      </c>
    </row>
    <row r="12695" spans="5:23" x14ac:dyDescent="0.25">
      <c r="E12695" s="4"/>
      <c r="F12695" s="4"/>
      <c r="G12695" s="33" t="str">
        <f>IFERROR(VLOOKUP($D12695,'Informations sur les produits'!$A$3:$H$10000,8,FALSE),"0")</f>
        <v>0</v>
      </c>
      <c r="K12695" s="4"/>
      <c r="L12695" s="33" t="str">
        <f>IFERROR(VLOOKUP($J12695,'Informations sur les produits'!$A$3:$H$10000,8,FALSE),"0")</f>
        <v>0</v>
      </c>
      <c r="N12695" s="8"/>
      <c r="O12695" s="33" t="str">
        <f>IFERROR(VLOOKUP($M12695,'Informations sur les produits'!$A$3:$H$10000,8,FALSE),"0")</f>
        <v>0</v>
      </c>
      <c r="P12695" s="33">
        <f t="shared" si="792"/>
        <v>0</v>
      </c>
      <c r="Q12695" s="31" t="str">
        <f t="shared" si="793"/>
        <v/>
      </c>
      <c r="R12695" s="32" t="str">
        <f>IFERROR(VLOOKUP($D12695,'Informations sur les produits'!$A$3:$B$15000,2,FALSE),"")</f>
        <v/>
      </c>
      <c r="V12695">
        <f t="shared" si="794"/>
        <v>0</v>
      </c>
      <c r="W12695">
        <f t="shared" si="795"/>
        <v>0</v>
      </c>
    </row>
    <row r="12696" spans="5:23" x14ac:dyDescent="0.25">
      <c r="E12696" s="4"/>
      <c r="F12696" s="4"/>
      <c r="G12696" s="33" t="str">
        <f>IFERROR(VLOOKUP($D12696,'Informations sur les produits'!$A$3:$H$10000,8,FALSE),"0")</f>
        <v>0</v>
      </c>
      <c r="K12696" s="4"/>
      <c r="L12696" s="33" t="str">
        <f>IFERROR(VLOOKUP($J12696,'Informations sur les produits'!$A$3:$H$10000,8,FALSE),"0")</f>
        <v>0</v>
      </c>
      <c r="N12696" s="8"/>
      <c r="O12696" s="33" t="str">
        <f>IFERROR(VLOOKUP($M12696,'Informations sur les produits'!$A$3:$H$10000,8,FALSE),"0")</f>
        <v>0</v>
      </c>
      <c r="P12696" s="33">
        <f t="shared" si="792"/>
        <v>0</v>
      </c>
      <c r="Q12696" s="31" t="str">
        <f t="shared" si="793"/>
        <v/>
      </c>
      <c r="R12696" s="32" t="str">
        <f>IFERROR(VLOOKUP($D12696,'Informations sur les produits'!$A$3:$B$15000,2,FALSE),"")</f>
        <v/>
      </c>
      <c r="V12696">
        <f t="shared" si="794"/>
        <v>0</v>
      </c>
      <c r="W12696">
        <f t="shared" si="795"/>
        <v>0</v>
      </c>
    </row>
    <row r="12697" spans="5:23" x14ac:dyDescent="0.25">
      <c r="E12697" s="4"/>
      <c r="F12697" s="4"/>
      <c r="G12697" s="33" t="str">
        <f>IFERROR(VLOOKUP($D12697,'Informations sur les produits'!$A$3:$H$10000,8,FALSE),"0")</f>
        <v>0</v>
      </c>
      <c r="K12697" s="4"/>
      <c r="L12697" s="33" t="str">
        <f>IFERROR(VLOOKUP($J12697,'Informations sur les produits'!$A$3:$H$10000,8,FALSE),"0")</f>
        <v>0</v>
      </c>
      <c r="N12697" s="8"/>
      <c r="O12697" s="33" t="str">
        <f>IFERROR(VLOOKUP($M12697,'Informations sur les produits'!$A$3:$H$10000,8,FALSE),"0")</f>
        <v>0</v>
      </c>
      <c r="P12697" s="33">
        <f t="shared" si="792"/>
        <v>0</v>
      </c>
      <c r="Q12697" s="31" t="str">
        <f t="shared" si="793"/>
        <v/>
      </c>
      <c r="R12697" s="32" t="str">
        <f>IFERROR(VLOOKUP($D12697,'Informations sur les produits'!$A$3:$B$15000,2,FALSE),"")</f>
        <v/>
      </c>
      <c r="V12697">
        <f t="shared" si="794"/>
        <v>0</v>
      </c>
      <c r="W12697">
        <f t="shared" si="795"/>
        <v>0</v>
      </c>
    </row>
    <row r="12698" spans="5:23" x14ac:dyDescent="0.25">
      <c r="E12698" s="4"/>
      <c r="F12698" s="4"/>
      <c r="G12698" s="33" t="str">
        <f>IFERROR(VLOOKUP($D12698,'Informations sur les produits'!$A$3:$H$10000,8,FALSE),"0")</f>
        <v>0</v>
      </c>
      <c r="K12698" s="4"/>
      <c r="L12698" s="33" t="str">
        <f>IFERROR(VLOOKUP($J12698,'Informations sur les produits'!$A$3:$H$10000,8,FALSE),"0")</f>
        <v>0</v>
      </c>
      <c r="N12698" s="8"/>
      <c r="O12698" s="33" t="str">
        <f>IFERROR(VLOOKUP($M12698,'Informations sur les produits'!$A$3:$H$10000,8,FALSE),"0")</f>
        <v>0</v>
      </c>
      <c r="P12698" s="33">
        <f t="shared" si="792"/>
        <v>0</v>
      </c>
      <c r="Q12698" s="31" t="str">
        <f t="shared" si="793"/>
        <v/>
      </c>
      <c r="R12698" s="32" t="str">
        <f>IFERROR(VLOOKUP($D12698,'Informations sur les produits'!$A$3:$B$15000,2,FALSE),"")</f>
        <v/>
      </c>
      <c r="V12698">
        <f t="shared" si="794"/>
        <v>0</v>
      </c>
      <c r="W12698">
        <f t="shared" si="795"/>
        <v>0</v>
      </c>
    </row>
    <row r="12699" spans="5:23" x14ac:dyDescent="0.25">
      <c r="E12699" s="4"/>
      <c r="F12699" s="4"/>
      <c r="G12699" s="33" t="str">
        <f>IFERROR(VLOOKUP($D12699,'Informations sur les produits'!$A$3:$H$10000,8,FALSE),"0")</f>
        <v>0</v>
      </c>
      <c r="K12699" s="4"/>
      <c r="L12699" s="33" t="str">
        <f>IFERROR(VLOOKUP($J12699,'Informations sur les produits'!$A$3:$H$10000,8,FALSE),"0")</f>
        <v>0</v>
      </c>
      <c r="N12699" s="8"/>
      <c r="O12699" s="33" t="str">
        <f>IFERROR(VLOOKUP($M12699,'Informations sur les produits'!$A$3:$H$10000,8,FALSE),"0")</f>
        <v>0</v>
      </c>
      <c r="P12699" s="33">
        <f t="shared" si="792"/>
        <v>0</v>
      </c>
      <c r="Q12699" s="31" t="str">
        <f t="shared" si="793"/>
        <v/>
      </c>
      <c r="R12699" s="32" t="str">
        <f>IFERROR(VLOOKUP($D12699,'Informations sur les produits'!$A$3:$B$15000,2,FALSE),"")</f>
        <v/>
      </c>
      <c r="V12699">
        <f t="shared" si="794"/>
        <v>0</v>
      </c>
      <c r="W12699">
        <f t="shared" si="795"/>
        <v>0</v>
      </c>
    </row>
    <row r="12700" spans="5:23" x14ac:dyDescent="0.25">
      <c r="E12700" s="4"/>
      <c r="F12700" s="4"/>
      <c r="G12700" s="33" t="str">
        <f>IFERROR(VLOOKUP($D12700,'Informations sur les produits'!$A$3:$H$10000,8,FALSE),"0")</f>
        <v>0</v>
      </c>
      <c r="K12700" s="4"/>
      <c r="L12700" s="33" t="str">
        <f>IFERROR(VLOOKUP($J12700,'Informations sur les produits'!$A$3:$H$10000,8,FALSE),"0")</f>
        <v>0</v>
      </c>
      <c r="N12700" s="8"/>
      <c r="O12700" s="33" t="str">
        <f>IFERROR(VLOOKUP($M12700,'Informations sur les produits'!$A$3:$H$10000,8,FALSE),"0")</f>
        <v>0</v>
      </c>
      <c r="P12700" s="33">
        <f t="shared" si="792"/>
        <v>0</v>
      </c>
      <c r="Q12700" s="31" t="str">
        <f t="shared" si="793"/>
        <v/>
      </c>
      <c r="R12700" s="32" t="str">
        <f>IFERROR(VLOOKUP($D12700,'Informations sur les produits'!$A$3:$B$15000,2,FALSE),"")</f>
        <v/>
      </c>
      <c r="V12700">
        <f t="shared" si="794"/>
        <v>0</v>
      </c>
      <c r="W12700">
        <f t="shared" si="795"/>
        <v>0</v>
      </c>
    </row>
    <row r="12701" spans="5:23" x14ac:dyDescent="0.25">
      <c r="E12701" s="4"/>
      <c r="F12701" s="4"/>
      <c r="G12701" s="33" t="str">
        <f>IFERROR(VLOOKUP($D12701,'Informations sur les produits'!$A$3:$H$10000,8,FALSE),"0")</f>
        <v>0</v>
      </c>
      <c r="K12701" s="4"/>
      <c r="L12701" s="33" t="str">
        <f>IFERROR(VLOOKUP($J12701,'Informations sur les produits'!$A$3:$H$10000,8,FALSE),"0")</f>
        <v>0</v>
      </c>
      <c r="N12701" s="8"/>
      <c r="O12701" s="33" t="str">
        <f>IFERROR(VLOOKUP($M12701,'Informations sur les produits'!$A$3:$H$10000,8,FALSE),"0")</f>
        <v>0</v>
      </c>
      <c r="P12701" s="33">
        <f t="shared" si="792"/>
        <v>0</v>
      </c>
      <c r="Q12701" s="31" t="str">
        <f t="shared" si="793"/>
        <v/>
      </c>
      <c r="R12701" s="32" t="str">
        <f>IFERROR(VLOOKUP($D12701,'Informations sur les produits'!$A$3:$B$15000,2,FALSE),"")</f>
        <v/>
      </c>
      <c r="V12701">
        <f t="shared" si="794"/>
        <v>0</v>
      </c>
      <c r="W12701">
        <f t="shared" si="795"/>
        <v>0</v>
      </c>
    </row>
    <row r="12702" spans="5:23" x14ac:dyDescent="0.25">
      <c r="E12702" s="4"/>
      <c r="F12702" s="4"/>
      <c r="G12702" s="33" t="str">
        <f>IFERROR(VLOOKUP($D12702,'Informations sur les produits'!$A$3:$H$10000,8,FALSE),"0")</f>
        <v>0</v>
      </c>
      <c r="K12702" s="4"/>
      <c r="L12702" s="33" t="str">
        <f>IFERROR(VLOOKUP($J12702,'Informations sur les produits'!$A$3:$H$10000,8,FALSE),"0")</f>
        <v>0</v>
      </c>
      <c r="N12702" s="8"/>
      <c r="O12702" s="33" t="str">
        <f>IFERROR(VLOOKUP($M12702,'Informations sur les produits'!$A$3:$H$10000,8,FALSE),"0")</f>
        <v>0</v>
      </c>
      <c r="P12702" s="33">
        <f t="shared" si="792"/>
        <v>0</v>
      </c>
      <c r="Q12702" s="31" t="str">
        <f t="shared" si="793"/>
        <v/>
      </c>
      <c r="R12702" s="32" t="str">
        <f>IFERROR(VLOOKUP($D12702,'Informations sur les produits'!$A$3:$B$15000,2,FALSE),"")</f>
        <v/>
      </c>
      <c r="V12702">
        <f t="shared" si="794"/>
        <v>0</v>
      </c>
      <c r="W12702">
        <f t="shared" si="795"/>
        <v>0</v>
      </c>
    </row>
    <row r="12703" spans="5:23" x14ac:dyDescent="0.25">
      <c r="E12703" s="4"/>
      <c r="F12703" s="4"/>
      <c r="G12703" s="33" t="str">
        <f>IFERROR(VLOOKUP($D12703,'Informations sur les produits'!$A$3:$H$10000,8,FALSE),"0")</f>
        <v>0</v>
      </c>
      <c r="K12703" s="4"/>
      <c r="L12703" s="33" t="str">
        <f>IFERROR(VLOOKUP($J12703,'Informations sur les produits'!$A$3:$H$10000,8,FALSE),"0")</f>
        <v>0</v>
      </c>
      <c r="N12703" s="8"/>
      <c r="O12703" s="33" t="str">
        <f>IFERROR(VLOOKUP($M12703,'Informations sur les produits'!$A$3:$H$10000,8,FALSE),"0")</f>
        <v>0</v>
      </c>
      <c r="P12703" s="33">
        <f t="shared" si="792"/>
        <v>0</v>
      </c>
      <c r="Q12703" s="31" t="str">
        <f t="shared" si="793"/>
        <v/>
      </c>
      <c r="R12703" s="32" t="str">
        <f>IFERROR(VLOOKUP($D12703,'Informations sur les produits'!$A$3:$B$15000,2,FALSE),"")</f>
        <v/>
      </c>
      <c r="V12703">
        <f t="shared" si="794"/>
        <v>0</v>
      </c>
      <c r="W12703">
        <f t="shared" si="795"/>
        <v>0</v>
      </c>
    </row>
    <row r="12704" spans="5:23" x14ac:dyDescent="0.25">
      <c r="E12704" s="4"/>
      <c r="F12704" s="4"/>
      <c r="G12704" s="33" t="str">
        <f>IFERROR(VLOOKUP($D12704,'Informations sur les produits'!$A$3:$H$10000,8,FALSE),"0")</f>
        <v>0</v>
      </c>
      <c r="K12704" s="4"/>
      <c r="L12704" s="33" t="str">
        <f>IFERROR(VLOOKUP($J12704,'Informations sur les produits'!$A$3:$H$10000,8,FALSE),"0")</f>
        <v>0</v>
      </c>
      <c r="N12704" s="8"/>
      <c r="O12704" s="33" t="str">
        <f>IFERROR(VLOOKUP($M12704,'Informations sur les produits'!$A$3:$H$10000,8,FALSE),"0")</f>
        <v>0</v>
      </c>
      <c r="P12704" s="33">
        <f t="shared" si="792"/>
        <v>0</v>
      </c>
      <c r="Q12704" s="31" t="str">
        <f t="shared" si="793"/>
        <v/>
      </c>
      <c r="R12704" s="32" t="str">
        <f>IFERROR(VLOOKUP($D12704,'Informations sur les produits'!$A$3:$B$15000,2,FALSE),"")</f>
        <v/>
      </c>
      <c r="V12704">
        <f t="shared" si="794"/>
        <v>0</v>
      </c>
      <c r="W12704">
        <f t="shared" si="795"/>
        <v>0</v>
      </c>
    </row>
    <row r="12705" spans="5:23" x14ac:dyDescent="0.25">
      <c r="E12705" s="4"/>
      <c r="F12705" s="4"/>
      <c r="G12705" s="33" t="str">
        <f>IFERROR(VLOOKUP($D12705,'Informations sur les produits'!$A$3:$H$10000,8,FALSE),"0")</f>
        <v>0</v>
      </c>
      <c r="K12705" s="4"/>
      <c r="L12705" s="33" t="str">
        <f>IFERROR(VLOOKUP($J12705,'Informations sur les produits'!$A$3:$H$10000,8,FALSE),"0")</f>
        <v>0</v>
      </c>
      <c r="N12705" s="8"/>
      <c r="O12705" s="33" t="str">
        <f>IFERROR(VLOOKUP($M12705,'Informations sur les produits'!$A$3:$H$10000,8,FALSE),"0")</f>
        <v>0</v>
      </c>
      <c r="P12705" s="33">
        <f t="shared" si="792"/>
        <v>0</v>
      </c>
      <c r="Q12705" s="31" t="str">
        <f t="shared" si="793"/>
        <v/>
      </c>
      <c r="R12705" s="32" t="str">
        <f>IFERROR(VLOOKUP($D12705,'Informations sur les produits'!$A$3:$B$15000,2,FALSE),"")</f>
        <v/>
      </c>
      <c r="V12705">
        <f t="shared" si="794"/>
        <v>0</v>
      </c>
      <c r="W12705">
        <f t="shared" si="795"/>
        <v>0</v>
      </c>
    </row>
    <row r="12706" spans="5:23" x14ac:dyDescent="0.25">
      <c r="E12706" s="4"/>
      <c r="F12706" s="4"/>
      <c r="G12706" s="33" t="str">
        <f>IFERROR(VLOOKUP($D12706,'Informations sur les produits'!$A$3:$H$10000,8,FALSE),"0")</f>
        <v>0</v>
      </c>
      <c r="K12706" s="4"/>
      <c r="L12706" s="33" t="str">
        <f>IFERROR(VLOOKUP($J12706,'Informations sur les produits'!$A$3:$H$10000,8,FALSE),"0")</f>
        <v>0</v>
      </c>
      <c r="N12706" s="8"/>
      <c r="O12706" s="33" t="str">
        <f>IFERROR(VLOOKUP($M12706,'Informations sur les produits'!$A$3:$H$10000,8,FALSE),"0")</f>
        <v>0</v>
      </c>
      <c r="P12706" s="33">
        <f t="shared" si="792"/>
        <v>0</v>
      </c>
      <c r="Q12706" s="31" t="str">
        <f t="shared" si="793"/>
        <v/>
      </c>
      <c r="R12706" s="32" t="str">
        <f>IFERROR(VLOOKUP($D12706,'Informations sur les produits'!$A$3:$B$15000,2,FALSE),"")</f>
        <v/>
      </c>
      <c r="V12706">
        <f t="shared" si="794"/>
        <v>0</v>
      </c>
      <c r="W12706">
        <f t="shared" si="795"/>
        <v>0</v>
      </c>
    </row>
    <row r="12707" spans="5:23" x14ac:dyDescent="0.25">
      <c r="E12707" s="4"/>
      <c r="F12707" s="4"/>
      <c r="G12707" s="33" t="str">
        <f>IFERROR(VLOOKUP($D12707,'Informations sur les produits'!$A$3:$H$10000,8,FALSE),"0")</f>
        <v>0</v>
      </c>
      <c r="K12707" s="4"/>
      <c r="L12707" s="33" t="str">
        <f>IFERROR(VLOOKUP($J12707,'Informations sur les produits'!$A$3:$H$10000,8,FALSE),"0")</f>
        <v>0</v>
      </c>
      <c r="N12707" s="8"/>
      <c r="O12707" s="33" t="str">
        <f>IFERROR(VLOOKUP($M12707,'Informations sur les produits'!$A$3:$H$10000,8,FALSE),"0")</f>
        <v>0</v>
      </c>
      <c r="P12707" s="33">
        <f t="shared" si="792"/>
        <v>0</v>
      </c>
      <c r="Q12707" s="31" t="str">
        <f t="shared" si="793"/>
        <v/>
      </c>
      <c r="R12707" s="32" t="str">
        <f>IFERROR(VLOOKUP($D12707,'Informations sur les produits'!$A$3:$B$15000,2,FALSE),"")</f>
        <v/>
      </c>
      <c r="V12707">
        <f t="shared" si="794"/>
        <v>0</v>
      </c>
      <c r="W12707">
        <f t="shared" si="795"/>
        <v>0</v>
      </c>
    </row>
    <row r="12708" spans="5:23" x14ac:dyDescent="0.25">
      <c r="E12708" s="4"/>
      <c r="F12708" s="4"/>
      <c r="G12708" s="33" t="str">
        <f>IFERROR(VLOOKUP($D12708,'Informations sur les produits'!$A$3:$H$10000,8,FALSE),"0")</f>
        <v>0</v>
      </c>
      <c r="K12708" s="4"/>
      <c r="L12708" s="33" t="str">
        <f>IFERROR(VLOOKUP($J12708,'Informations sur les produits'!$A$3:$H$10000,8,FALSE),"0")</f>
        <v>0</v>
      </c>
      <c r="N12708" s="8"/>
      <c r="O12708" s="33" t="str">
        <f>IFERROR(VLOOKUP($M12708,'Informations sur les produits'!$A$3:$H$10000,8,FALSE),"0")</f>
        <v>0</v>
      </c>
      <c r="P12708" s="33">
        <f t="shared" si="792"/>
        <v>0</v>
      </c>
      <c r="Q12708" s="31" t="str">
        <f t="shared" si="793"/>
        <v/>
      </c>
      <c r="R12708" s="32" t="str">
        <f>IFERROR(VLOOKUP($D12708,'Informations sur les produits'!$A$3:$B$15000,2,FALSE),"")</f>
        <v/>
      </c>
      <c r="V12708">
        <f t="shared" si="794"/>
        <v>0</v>
      </c>
      <c r="W12708">
        <f t="shared" si="795"/>
        <v>0</v>
      </c>
    </row>
    <row r="12709" spans="5:23" x14ac:dyDescent="0.25">
      <c r="E12709" s="4"/>
      <c r="F12709" s="4"/>
      <c r="G12709" s="33" t="str">
        <f>IFERROR(VLOOKUP($D12709,'Informations sur les produits'!$A$3:$H$10000,8,FALSE),"0")</f>
        <v>0</v>
      </c>
      <c r="K12709" s="4"/>
      <c r="L12709" s="33" t="str">
        <f>IFERROR(VLOOKUP($J12709,'Informations sur les produits'!$A$3:$H$10000,8,FALSE),"0")</f>
        <v>0</v>
      </c>
      <c r="N12709" s="8"/>
      <c r="O12709" s="33" t="str">
        <f>IFERROR(VLOOKUP($M12709,'Informations sur les produits'!$A$3:$H$10000,8,FALSE),"0")</f>
        <v>0</v>
      </c>
      <c r="P12709" s="33">
        <f t="shared" si="792"/>
        <v>0</v>
      </c>
      <c r="Q12709" s="31" t="str">
        <f t="shared" si="793"/>
        <v/>
      </c>
      <c r="R12709" s="32" t="str">
        <f>IFERROR(VLOOKUP($D12709,'Informations sur les produits'!$A$3:$B$15000,2,FALSE),"")</f>
        <v/>
      </c>
      <c r="V12709">
        <f t="shared" si="794"/>
        <v>0</v>
      </c>
      <c r="W12709">
        <f t="shared" si="795"/>
        <v>0</v>
      </c>
    </row>
    <row r="12710" spans="5:23" x14ac:dyDescent="0.25">
      <c r="E12710" s="4"/>
      <c r="F12710" s="4"/>
      <c r="G12710" s="33" t="str">
        <f>IFERROR(VLOOKUP($D12710,'Informations sur les produits'!$A$3:$H$10000,8,FALSE),"0")</f>
        <v>0</v>
      </c>
      <c r="K12710" s="4"/>
      <c r="L12710" s="33" t="str">
        <f>IFERROR(VLOOKUP($J12710,'Informations sur les produits'!$A$3:$H$10000,8,FALSE),"0")</f>
        <v>0</v>
      </c>
      <c r="N12710" s="8"/>
      <c r="O12710" s="33" t="str">
        <f>IFERROR(VLOOKUP($M12710,'Informations sur les produits'!$A$3:$H$10000,8,FALSE),"0")</f>
        <v>0</v>
      </c>
      <c r="P12710" s="33">
        <f t="shared" si="792"/>
        <v>0</v>
      </c>
      <c r="Q12710" s="31" t="str">
        <f t="shared" si="793"/>
        <v/>
      </c>
      <c r="R12710" s="32" t="str">
        <f>IFERROR(VLOOKUP($D12710,'Informations sur les produits'!$A$3:$B$15000,2,FALSE),"")</f>
        <v/>
      </c>
      <c r="V12710">
        <f t="shared" si="794"/>
        <v>0</v>
      </c>
      <c r="W12710">
        <f t="shared" si="795"/>
        <v>0</v>
      </c>
    </row>
    <row r="12711" spans="5:23" x14ac:dyDescent="0.25">
      <c r="E12711" s="4"/>
      <c r="F12711" s="4"/>
      <c r="G12711" s="33" t="str">
        <f>IFERROR(VLOOKUP($D12711,'Informations sur les produits'!$A$3:$H$10000,8,FALSE),"0")</f>
        <v>0</v>
      </c>
      <c r="K12711" s="4"/>
      <c r="L12711" s="33" t="str">
        <f>IFERROR(VLOOKUP($J12711,'Informations sur les produits'!$A$3:$H$10000,8,FALSE),"0")</f>
        <v>0</v>
      </c>
      <c r="N12711" s="8"/>
      <c r="O12711" s="33" t="str">
        <f>IFERROR(VLOOKUP($M12711,'Informations sur les produits'!$A$3:$H$10000,8,FALSE),"0")</f>
        <v>0</v>
      </c>
      <c r="P12711" s="33">
        <f t="shared" si="792"/>
        <v>0</v>
      </c>
      <c r="Q12711" s="31" t="str">
        <f t="shared" si="793"/>
        <v/>
      </c>
      <c r="R12711" s="32" t="str">
        <f>IFERROR(VLOOKUP($D12711,'Informations sur les produits'!$A$3:$B$15000,2,FALSE),"")</f>
        <v/>
      </c>
      <c r="V12711">
        <f t="shared" si="794"/>
        <v>0</v>
      </c>
      <c r="W12711">
        <f t="shared" si="795"/>
        <v>0</v>
      </c>
    </row>
    <row r="12712" spans="5:23" x14ac:dyDescent="0.25">
      <c r="E12712" s="4"/>
      <c r="F12712" s="4"/>
      <c r="G12712" s="33" t="str">
        <f>IFERROR(VLOOKUP($D12712,'Informations sur les produits'!$A$3:$H$10000,8,FALSE),"0")</f>
        <v>0</v>
      </c>
      <c r="K12712" s="4"/>
      <c r="L12712" s="33" t="str">
        <f>IFERROR(VLOOKUP($J12712,'Informations sur les produits'!$A$3:$H$10000,8,FALSE),"0")</f>
        <v>0</v>
      </c>
      <c r="N12712" s="8"/>
      <c r="O12712" s="33" t="str">
        <f>IFERROR(VLOOKUP($M12712,'Informations sur les produits'!$A$3:$H$10000,8,FALSE),"0")</f>
        <v>0</v>
      </c>
      <c r="P12712" s="33">
        <f t="shared" si="792"/>
        <v>0</v>
      </c>
      <c r="Q12712" s="31" t="str">
        <f t="shared" si="793"/>
        <v/>
      </c>
      <c r="R12712" s="32" t="str">
        <f>IFERROR(VLOOKUP($D12712,'Informations sur les produits'!$A$3:$B$15000,2,FALSE),"")</f>
        <v/>
      </c>
      <c r="V12712">
        <f t="shared" si="794"/>
        <v>0</v>
      </c>
      <c r="W12712">
        <f t="shared" si="795"/>
        <v>0</v>
      </c>
    </row>
    <row r="12713" spans="5:23" x14ac:dyDescent="0.25">
      <c r="E12713" s="4"/>
      <c r="F12713" s="4"/>
      <c r="G12713" s="33" t="str">
        <f>IFERROR(VLOOKUP($D12713,'Informations sur les produits'!$A$3:$H$10000,8,FALSE),"0")</f>
        <v>0</v>
      </c>
      <c r="K12713" s="4"/>
      <c r="L12713" s="33" t="str">
        <f>IFERROR(VLOOKUP($J12713,'Informations sur les produits'!$A$3:$H$10000,8,FALSE),"0")</f>
        <v>0</v>
      </c>
      <c r="N12713" s="8"/>
      <c r="O12713" s="33" t="str">
        <f>IFERROR(VLOOKUP($M12713,'Informations sur les produits'!$A$3:$H$10000,8,FALSE),"0")</f>
        <v>0</v>
      </c>
      <c r="P12713" s="33">
        <f t="shared" si="792"/>
        <v>0</v>
      </c>
      <c r="Q12713" s="31" t="str">
        <f t="shared" si="793"/>
        <v/>
      </c>
      <c r="R12713" s="32" t="str">
        <f>IFERROR(VLOOKUP($D12713,'Informations sur les produits'!$A$3:$B$15000,2,FALSE),"")</f>
        <v/>
      </c>
      <c r="V12713">
        <f t="shared" si="794"/>
        <v>0</v>
      </c>
      <c r="W12713">
        <f t="shared" si="795"/>
        <v>0</v>
      </c>
    </row>
    <row r="12714" spans="5:23" x14ac:dyDescent="0.25">
      <c r="E12714" s="4"/>
      <c r="F12714" s="4"/>
      <c r="G12714" s="33" t="str">
        <f>IFERROR(VLOOKUP($D12714,'Informations sur les produits'!$A$3:$H$10000,8,FALSE),"0")</f>
        <v>0</v>
      </c>
      <c r="K12714" s="4"/>
      <c r="L12714" s="33" t="str">
        <f>IFERROR(VLOOKUP($J12714,'Informations sur les produits'!$A$3:$H$10000,8,FALSE),"0")</f>
        <v>0</v>
      </c>
      <c r="N12714" s="8"/>
      <c r="O12714" s="33" t="str">
        <f>IFERROR(VLOOKUP($M12714,'Informations sur les produits'!$A$3:$H$10000,8,FALSE),"0")</f>
        <v>0</v>
      </c>
      <c r="P12714" s="33">
        <f t="shared" si="792"/>
        <v>0</v>
      </c>
      <c r="Q12714" s="31" t="str">
        <f t="shared" si="793"/>
        <v/>
      </c>
      <c r="R12714" s="32" t="str">
        <f>IFERROR(VLOOKUP($D12714,'Informations sur les produits'!$A$3:$B$15000,2,FALSE),"")</f>
        <v/>
      </c>
      <c r="V12714">
        <f t="shared" si="794"/>
        <v>0</v>
      </c>
      <c r="W12714">
        <f t="shared" si="795"/>
        <v>0</v>
      </c>
    </row>
    <row r="12715" spans="5:23" x14ac:dyDescent="0.25">
      <c r="E12715" s="4"/>
      <c r="F12715" s="4"/>
      <c r="G12715" s="33" t="str">
        <f>IFERROR(VLOOKUP($D12715,'Informations sur les produits'!$A$3:$H$10000,8,FALSE),"0")</f>
        <v>0</v>
      </c>
      <c r="K12715" s="4"/>
      <c r="L12715" s="33" t="str">
        <f>IFERROR(VLOOKUP($J12715,'Informations sur les produits'!$A$3:$H$10000,8,FALSE),"0")</f>
        <v>0</v>
      </c>
      <c r="N12715" s="8"/>
      <c r="O12715" s="33" t="str">
        <f>IFERROR(VLOOKUP($M12715,'Informations sur les produits'!$A$3:$H$10000,8,FALSE),"0")</f>
        <v>0</v>
      </c>
      <c r="P12715" s="33">
        <f t="shared" si="792"/>
        <v>0</v>
      </c>
      <c r="Q12715" s="31" t="str">
        <f t="shared" si="793"/>
        <v/>
      </c>
      <c r="R12715" s="32" t="str">
        <f>IFERROR(VLOOKUP($D12715,'Informations sur les produits'!$A$3:$B$15000,2,FALSE),"")</f>
        <v/>
      </c>
      <c r="V12715">
        <f t="shared" si="794"/>
        <v>0</v>
      </c>
      <c r="W12715">
        <f t="shared" si="795"/>
        <v>0</v>
      </c>
    </row>
    <row r="12716" spans="5:23" x14ac:dyDescent="0.25">
      <c r="E12716" s="4"/>
      <c r="F12716" s="4"/>
      <c r="G12716" s="33" t="str">
        <f>IFERROR(VLOOKUP($D12716,'Informations sur les produits'!$A$3:$H$10000,8,FALSE),"0")</f>
        <v>0</v>
      </c>
      <c r="K12716" s="4"/>
      <c r="L12716" s="33" t="str">
        <f>IFERROR(VLOOKUP($J12716,'Informations sur les produits'!$A$3:$H$10000,8,FALSE),"0")</f>
        <v>0</v>
      </c>
      <c r="N12716" s="8"/>
      <c r="O12716" s="33" t="str">
        <f>IFERROR(VLOOKUP($M12716,'Informations sur les produits'!$A$3:$H$10000,8,FALSE),"0")</f>
        <v>0</v>
      </c>
      <c r="P12716" s="33">
        <f t="shared" si="792"/>
        <v>0</v>
      </c>
      <c r="Q12716" s="31" t="str">
        <f t="shared" si="793"/>
        <v/>
      </c>
      <c r="R12716" s="32" t="str">
        <f>IFERROR(VLOOKUP($D12716,'Informations sur les produits'!$A$3:$B$15000,2,FALSE),"")</f>
        <v/>
      </c>
      <c r="V12716">
        <f t="shared" si="794"/>
        <v>0</v>
      </c>
      <c r="W12716">
        <f t="shared" si="795"/>
        <v>0</v>
      </c>
    </row>
    <row r="12717" spans="5:23" x14ac:dyDescent="0.25">
      <c r="E12717" s="4"/>
      <c r="F12717" s="4"/>
      <c r="G12717" s="33" t="str">
        <f>IFERROR(VLOOKUP($D12717,'Informations sur les produits'!$A$3:$H$10000,8,FALSE),"0")</f>
        <v>0</v>
      </c>
      <c r="K12717" s="4"/>
      <c r="L12717" s="33" t="str">
        <f>IFERROR(VLOOKUP($J12717,'Informations sur les produits'!$A$3:$H$10000,8,FALSE),"0")</f>
        <v>0</v>
      </c>
      <c r="N12717" s="8"/>
      <c r="O12717" s="33" t="str">
        <f>IFERROR(VLOOKUP($M12717,'Informations sur les produits'!$A$3:$H$10000,8,FALSE),"0")</f>
        <v>0</v>
      </c>
      <c r="P12717" s="33">
        <f t="shared" si="792"/>
        <v>0</v>
      </c>
      <c r="Q12717" s="31" t="str">
        <f t="shared" si="793"/>
        <v/>
      </c>
      <c r="R12717" s="32" t="str">
        <f>IFERROR(VLOOKUP($D12717,'Informations sur les produits'!$A$3:$B$15000,2,FALSE),"")</f>
        <v/>
      </c>
      <c r="V12717">
        <f t="shared" si="794"/>
        <v>0</v>
      </c>
      <c r="W12717">
        <f t="shared" si="795"/>
        <v>0</v>
      </c>
    </row>
    <row r="12718" spans="5:23" x14ac:dyDescent="0.25">
      <c r="E12718" s="4"/>
      <c r="F12718" s="4"/>
      <c r="G12718" s="33" t="str">
        <f>IFERROR(VLOOKUP($D12718,'Informations sur les produits'!$A$3:$H$10000,8,FALSE),"0")</f>
        <v>0</v>
      </c>
      <c r="K12718" s="4"/>
      <c r="L12718" s="33" t="str">
        <f>IFERROR(VLOOKUP($J12718,'Informations sur les produits'!$A$3:$H$10000,8,FALSE),"0")</f>
        <v>0</v>
      </c>
      <c r="N12718" s="8"/>
      <c r="O12718" s="33" t="str">
        <f>IFERROR(VLOOKUP($M12718,'Informations sur les produits'!$A$3:$H$10000,8,FALSE),"0")</f>
        <v>0</v>
      </c>
      <c r="P12718" s="33">
        <f t="shared" si="792"/>
        <v>0</v>
      </c>
      <c r="Q12718" s="31" t="str">
        <f t="shared" si="793"/>
        <v/>
      </c>
      <c r="R12718" s="32" t="str">
        <f>IFERROR(VLOOKUP($D12718,'Informations sur les produits'!$A$3:$B$15000,2,FALSE),"")</f>
        <v/>
      </c>
      <c r="V12718">
        <f t="shared" si="794"/>
        <v>0</v>
      </c>
      <c r="W12718">
        <f t="shared" si="795"/>
        <v>0</v>
      </c>
    </row>
    <row r="12719" spans="5:23" x14ac:dyDescent="0.25">
      <c r="E12719" s="4"/>
      <c r="F12719" s="4"/>
      <c r="G12719" s="33" t="str">
        <f>IFERROR(VLOOKUP($D12719,'Informations sur les produits'!$A$3:$H$10000,8,FALSE),"0")</f>
        <v>0</v>
      </c>
      <c r="K12719" s="4"/>
      <c r="L12719" s="33" t="str">
        <f>IFERROR(VLOOKUP($J12719,'Informations sur les produits'!$A$3:$H$10000,8,FALSE),"0")</f>
        <v>0</v>
      </c>
      <c r="N12719" s="8"/>
      <c r="O12719" s="33" t="str">
        <f>IFERROR(VLOOKUP($M12719,'Informations sur les produits'!$A$3:$H$10000,8,FALSE),"0")</f>
        <v>0</v>
      </c>
      <c r="P12719" s="33">
        <f t="shared" si="792"/>
        <v>0</v>
      </c>
      <c r="Q12719" s="31" t="str">
        <f t="shared" si="793"/>
        <v/>
      </c>
      <c r="R12719" s="32" t="str">
        <f>IFERROR(VLOOKUP($D12719,'Informations sur les produits'!$A$3:$B$15000,2,FALSE),"")</f>
        <v/>
      </c>
      <c r="V12719">
        <f t="shared" si="794"/>
        <v>0</v>
      </c>
      <c r="W12719">
        <f t="shared" si="795"/>
        <v>0</v>
      </c>
    </row>
    <row r="12720" spans="5:23" x14ac:dyDescent="0.25">
      <c r="E12720" s="4"/>
      <c r="F12720" s="4"/>
      <c r="G12720" s="33" t="str">
        <f>IFERROR(VLOOKUP($D12720,'Informations sur les produits'!$A$3:$H$10000,8,FALSE),"0")</f>
        <v>0</v>
      </c>
      <c r="K12720" s="4"/>
      <c r="L12720" s="33" t="str">
        <f>IFERROR(VLOOKUP($J12720,'Informations sur les produits'!$A$3:$H$10000,8,FALSE),"0")</f>
        <v>0</v>
      </c>
      <c r="N12720" s="8"/>
      <c r="O12720" s="33" t="str">
        <f>IFERROR(VLOOKUP($M12720,'Informations sur les produits'!$A$3:$H$10000,8,FALSE),"0")</f>
        <v>0</v>
      </c>
      <c r="P12720" s="33">
        <f t="shared" si="792"/>
        <v>0</v>
      </c>
      <c r="Q12720" s="31" t="str">
        <f t="shared" si="793"/>
        <v/>
      </c>
      <c r="R12720" s="32" t="str">
        <f>IFERROR(VLOOKUP($D12720,'Informations sur les produits'!$A$3:$B$15000,2,FALSE),"")</f>
        <v/>
      </c>
      <c r="V12720">
        <f t="shared" si="794"/>
        <v>0</v>
      </c>
      <c r="W12720">
        <f t="shared" si="795"/>
        <v>0</v>
      </c>
    </row>
    <row r="12721" spans="5:23" x14ac:dyDescent="0.25">
      <c r="E12721" s="4"/>
      <c r="F12721" s="4"/>
      <c r="G12721" s="33" t="str">
        <f>IFERROR(VLOOKUP($D12721,'Informations sur les produits'!$A$3:$H$10000,8,FALSE),"0")</f>
        <v>0</v>
      </c>
      <c r="K12721" s="4"/>
      <c r="L12721" s="33" t="str">
        <f>IFERROR(VLOOKUP($J12721,'Informations sur les produits'!$A$3:$H$10000,8,FALSE),"0")</f>
        <v>0</v>
      </c>
      <c r="N12721" s="8"/>
      <c r="O12721" s="33" t="str">
        <f>IFERROR(VLOOKUP($M12721,'Informations sur les produits'!$A$3:$H$10000,8,FALSE),"0")</f>
        <v>0</v>
      </c>
      <c r="P12721" s="33">
        <f t="shared" si="792"/>
        <v>0</v>
      </c>
      <c r="Q12721" s="31" t="str">
        <f t="shared" si="793"/>
        <v/>
      </c>
      <c r="R12721" s="32" t="str">
        <f>IFERROR(VLOOKUP($D12721,'Informations sur les produits'!$A$3:$B$15000,2,FALSE),"")</f>
        <v/>
      </c>
      <c r="V12721">
        <f t="shared" si="794"/>
        <v>0</v>
      </c>
      <c r="W12721">
        <f t="shared" si="795"/>
        <v>0</v>
      </c>
    </row>
    <row r="12722" spans="5:23" x14ac:dyDescent="0.25">
      <c r="E12722" s="4"/>
      <c r="F12722" s="4"/>
      <c r="G12722" s="33" t="str">
        <f>IFERROR(VLOOKUP($D12722,'Informations sur les produits'!$A$3:$H$10000,8,FALSE),"0")</f>
        <v>0</v>
      </c>
      <c r="K12722" s="4"/>
      <c r="L12722" s="33" t="str">
        <f>IFERROR(VLOOKUP($J12722,'Informations sur les produits'!$A$3:$H$10000,8,FALSE),"0")</f>
        <v>0</v>
      </c>
      <c r="N12722" s="8"/>
      <c r="O12722" s="33" t="str">
        <f>IFERROR(VLOOKUP($M12722,'Informations sur les produits'!$A$3:$H$10000,8,FALSE),"0")</f>
        <v>0</v>
      </c>
      <c r="P12722" s="33">
        <f t="shared" si="792"/>
        <v>0</v>
      </c>
      <c r="Q12722" s="31" t="str">
        <f t="shared" si="793"/>
        <v/>
      </c>
      <c r="R12722" s="32" t="str">
        <f>IFERROR(VLOOKUP($D12722,'Informations sur les produits'!$A$3:$B$15000,2,FALSE),"")</f>
        <v/>
      </c>
      <c r="V12722">
        <f t="shared" si="794"/>
        <v>0</v>
      </c>
      <c r="W12722">
        <f t="shared" si="795"/>
        <v>0</v>
      </c>
    </row>
    <row r="12723" spans="5:23" x14ac:dyDescent="0.25">
      <c r="E12723" s="4"/>
      <c r="F12723" s="4"/>
      <c r="G12723" s="33" t="str">
        <f>IFERROR(VLOOKUP($D12723,'Informations sur les produits'!$A$3:$H$10000,8,FALSE),"0")</f>
        <v>0</v>
      </c>
      <c r="K12723" s="4"/>
      <c r="L12723" s="33" t="str">
        <f>IFERROR(VLOOKUP($J12723,'Informations sur les produits'!$A$3:$H$10000,8,FALSE),"0")</f>
        <v>0</v>
      </c>
      <c r="N12723" s="8"/>
      <c r="O12723" s="33" t="str">
        <f>IFERROR(VLOOKUP($M12723,'Informations sur les produits'!$A$3:$H$10000,8,FALSE),"0")</f>
        <v>0</v>
      </c>
      <c r="P12723" s="33">
        <f t="shared" si="792"/>
        <v>0</v>
      </c>
      <c r="Q12723" s="31" t="str">
        <f t="shared" si="793"/>
        <v/>
      </c>
      <c r="R12723" s="32" t="str">
        <f>IFERROR(VLOOKUP($D12723,'Informations sur les produits'!$A$3:$B$15000,2,FALSE),"")</f>
        <v/>
      </c>
      <c r="V12723">
        <f t="shared" si="794"/>
        <v>0</v>
      </c>
      <c r="W12723">
        <f t="shared" si="795"/>
        <v>0</v>
      </c>
    </row>
    <row r="12724" spans="5:23" x14ac:dyDescent="0.25">
      <c r="E12724" s="4"/>
      <c r="F12724" s="4"/>
      <c r="G12724" s="33" t="str">
        <f>IFERROR(VLOOKUP($D12724,'Informations sur les produits'!$A$3:$H$10000,8,FALSE),"0")</f>
        <v>0</v>
      </c>
      <c r="K12724" s="4"/>
      <c r="L12724" s="33" t="str">
        <f>IFERROR(VLOOKUP($J12724,'Informations sur les produits'!$A$3:$H$10000,8,FALSE),"0")</f>
        <v>0</v>
      </c>
      <c r="N12724" s="8"/>
      <c r="O12724" s="33" t="str">
        <f>IFERROR(VLOOKUP($M12724,'Informations sur les produits'!$A$3:$H$10000,8,FALSE),"0")</f>
        <v>0</v>
      </c>
      <c r="P12724" s="33">
        <f t="shared" si="792"/>
        <v>0</v>
      </c>
      <c r="Q12724" s="31" t="str">
        <f t="shared" si="793"/>
        <v/>
      </c>
      <c r="R12724" s="32" t="str">
        <f>IFERROR(VLOOKUP($D12724,'Informations sur les produits'!$A$3:$B$15000,2,FALSE),"")</f>
        <v/>
      </c>
      <c r="V12724">
        <f t="shared" si="794"/>
        <v>0</v>
      </c>
      <c r="W12724">
        <f t="shared" si="795"/>
        <v>0</v>
      </c>
    </row>
    <row r="12725" spans="5:23" x14ac:dyDescent="0.25">
      <c r="E12725" s="4"/>
      <c r="F12725" s="4"/>
      <c r="G12725" s="33" t="str">
        <f>IFERROR(VLOOKUP($D12725,'Informations sur les produits'!$A$3:$H$10000,8,FALSE),"0")</f>
        <v>0</v>
      </c>
      <c r="K12725" s="4"/>
      <c r="L12725" s="33" t="str">
        <f>IFERROR(VLOOKUP($J12725,'Informations sur les produits'!$A$3:$H$10000,8,FALSE),"0")</f>
        <v>0</v>
      </c>
      <c r="N12725" s="8"/>
      <c r="O12725" s="33" t="str">
        <f>IFERROR(VLOOKUP($M12725,'Informations sur les produits'!$A$3:$H$10000,8,FALSE),"0")</f>
        <v>0</v>
      </c>
      <c r="P12725" s="33">
        <f t="shared" si="792"/>
        <v>0</v>
      </c>
      <c r="Q12725" s="31" t="str">
        <f t="shared" si="793"/>
        <v/>
      </c>
      <c r="R12725" s="32" t="str">
        <f>IFERROR(VLOOKUP($D12725,'Informations sur les produits'!$A$3:$B$15000,2,FALSE),"")</f>
        <v/>
      </c>
      <c r="V12725">
        <f t="shared" si="794"/>
        <v>0</v>
      </c>
      <c r="W12725">
        <f t="shared" si="795"/>
        <v>0</v>
      </c>
    </row>
    <row r="12726" spans="5:23" x14ac:dyDescent="0.25">
      <c r="E12726" s="4"/>
      <c r="F12726" s="4"/>
      <c r="G12726" s="33" t="str">
        <f>IFERROR(VLOOKUP($D12726,'Informations sur les produits'!$A$3:$H$10000,8,FALSE),"0")</f>
        <v>0</v>
      </c>
      <c r="K12726" s="4"/>
      <c r="L12726" s="33" t="str">
        <f>IFERROR(VLOOKUP($J12726,'Informations sur les produits'!$A$3:$H$10000,8,FALSE),"0")</f>
        <v>0</v>
      </c>
      <c r="N12726" s="8"/>
      <c r="O12726" s="33" t="str">
        <f>IFERROR(VLOOKUP($M12726,'Informations sur les produits'!$A$3:$H$10000,8,FALSE),"0")</f>
        <v>0</v>
      </c>
      <c r="P12726" s="33">
        <f t="shared" si="792"/>
        <v>0</v>
      </c>
      <c r="Q12726" s="31" t="str">
        <f t="shared" si="793"/>
        <v/>
      </c>
      <c r="R12726" s="32" t="str">
        <f>IFERROR(VLOOKUP($D12726,'Informations sur les produits'!$A$3:$B$15000,2,FALSE),"")</f>
        <v/>
      </c>
      <c r="V12726">
        <f t="shared" si="794"/>
        <v>0</v>
      </c>
      <c r="W12726">
        <f t="shared" si="795"/>
        <v>0</v>
      </c>
    </row>
    <row r="12727" spans="5:23" x14ac:dyDescent="0.25">
      <c r="E12727" s="4"/>
      <c r="F12727" s="4"/>
      <c r="G12727" s="33" t="str">
        <f>IFERROR(VLOOKUP($D12727,'Informations sur les produits'!$A$3:$H$10000,8,FALSE),"0")</f>
        <v>0</v>
      </c>
      <c r="K12727" s="4"/>
      <c r="L12727" s="33" t="str">
        <f>IFERROR(VLOOKUP($J12727,'Informations sur les produits'!$A$3:$H$10000,8,FALSE),"0")</f>
        <v>0</v>
      </c>
      <c r="N12727" s="8"/>
      <c r="O12727" s="33" t="str">
        <f>IFERROR(VLOOKUP($M12727,'Informations sur les produits'!$A$3:$H$10000,8,FALSE),"0")</f>
        <v>0</v>
      </c>
      <c r="P12727" s="33">
        <f t="shared" si="792"/>
        <v>0</v>
      </c>
      <c r="Q12727" s="31" t="str">
        <f t="shared" si="793"/>
        <v/>
      </c>
      <c r="R12727" s="32" t="str">
        <f>IFERROR(VLOOKUP($D12727,'Informations sur les produits'!$A$3:$B$15000,2,FALSE),"")</f>
        <v/>
      </c>
      <c r="V12727">
        <f t="shared" si="794"/>
        <v>0</v>
      </c>
      <c r="W12727">
        <f t="shared" si="795"/>
        <v>0</v>
      </c>
    </row>
    <row r="12728" spans="5:23" x14ac:dyDescent="0.25">
      <c r="E12728" s="4"/>
      <c r="F12728" s="4"/>
      <c r="G12728" s="33" t="str">
        <f>IFERROR(VLOOKUP($D12728,'Informations sur les produits'!$A$3:$H$10000,8,FALSE),"0")</f>
        <v>0</v>
      </c>
      <c r="K12728" s="4"/>
      <c r="L12728" s="33" t="str">
        <f>IFERROR(VLOOKUP($J12728,'Informations sur les produits'!$A$3:$H$10000,8,FALSE),"0")</f>
        <v>0</v>
      </c>
      <c r="N12728" s="8"/>
      <c r="O12728" s="33" t="str">
        <f>IFERROR(VLOOKUP($M12728,'Informations sur les produits'!$A$3:$H$10000,8,FALSE),"0")</f>
        <v>0</v>
      </c>
      <c r="P12728" s="33">
        <f t="shared" si="792"/>
        <v>0</v>
      </c>
      <c r="Q12728" s="31" t="str">
        <f t="shared" si="793"/>
        <v/>
      </c>
      <c r="R12728" s="32" t="str">
        <f>IFERROR(VLOOKUP($D12728,'Informations sur les produits'!$A$3:$B$15000,2,FALSE),"")</f>
        <v/>
      </c>
      <c r="V12728">
        <f t="shared" si="794"/>
        <v>0</v>
      </c>
      <c r="W12728">
        <f t="shared" si="795"/>
        <v>0</v>
      </c>
    </row>
    <row r="12729" spans="5:23" x14ac:dyDescent="0.25">
      <c r="E12729" s="4"/>
      <c r="F12729" s="4"/>
      <c r="G12729" s="33" t="str">
        <f>IFERROR(VLOOKUP($D12729,'Informations sur les produits'!$A$3:$H$10000,8,FALSE),"0")</f>
        <v>0</v>
      </c>
      <c r="K12729" s="4"/>
      <c r="L12729" s="33" t="str">
        <f>IFERROR(VLOOKUP($J12729,'Informations sur les produits'!$A$3:$H$10000,8,FALSE),"0")</f>
        <v>0</v>
      </c>
      <c r="N12729" s="8"/>
      <c r="O12729" s="33" t="str">
        <f>IFERROR(VLOOKUP($M12729,'Informations sur les produits'!$A$3:$H$10000,8,FALSE),"0")</f>
        <v>0</v>
      </c>
      <c r="P12729" s="33">
        <f t="shared" si="792"/>
        <v>0</v>
      </c>
      <c r="Q12729" s="31" t="str">
        <f t="shared" si="793"/>
        <v/>
      </c>
      <c r="R12729" s="32" t="str">
        <f>IFERROR(VLOOKUP($D12729,'Informations sur les produits'!$A$3:$B$15000,2,FALSE),"")</f>
        <v/>
      </c>
      <c r="V12729">
        <f t="shared" si="794"/>
        <v>0</v>
      </c>
      <c r="W12729">
        <f t="shared" si="795"/>
        <v>0</v>
      </c>
    </row>
    <row r="12730" spans="5:23" x14ac:dyDescent="0.25">
      <c r="E12730" s="4"/>
      <c r="F12730" s="4"/>
      <c r="G12730" s="33" t="str">
        <f>IFERROR(VLOOKUP($D12730,'Informations sur les produits'!$A$3:$H$10000,8,FALSE),"0")</f>
        <v>0</v>
      </c>
      <c r="K12730" s="4"/>
      <c r="L12730" s="33" t="str">
        <f>IFERROR(VLOOKUP($J12730,'Informations sur les produits'!$A$3:$H$10000,8,FALSE),"0")</f>
        <v>0</v>
      </c>
      <c r="N12730" s="8"/>
      <c r="O12730" s="33" t="str">
        <f>IFERROR(VLOOKUP($M12730,'Informations sur les produits'!$A$3:$H$10000,8,FALSE),"0")</f>
        <v>0</v>
      </c>
      <c r="P12730" s="33">
        <f t="shared" si="792"/>
        <v>0</v>
      </c>
      <c r="Q12730" s="31" t="str">
        <f t="shared" si="793"/>
        <v/>
      </c>
      <c r="R12730" s="32" t="str">
        <f>IFERROR(VLOOKUP($D12730,'Informations sur les produits'!$A$3:$B$15000,2,FALSE),"")</f>
        <v/>
      </c>
      <c r="V12730">
        <f t="shared" si="794"/>
        <v>0</v>
      </c>
      <c r="W12730">
        <f t="shared" si="795"/>
        <v>0</v>
      </c>
    </row>
    <row r="12731" spans="5:23" x14ac:dyDescent="0.25">
      <c r="E12731" s="4"/>
      <c r="F12731" s="4"/>
      <c r="G12731" s="33" t="str">
        <f>IFERROR(VLOOKUP($D12731,'Informations sur les produits'!$A$3:$H$10000,8,FALSE),"0")</f>
        <v>0</v>
      </c>
      <c r="K12731" s="4"/>
      <c r="L12731" s="33" t="str">
        <f>IFERROR(VLOOKUP($J12731,'Informations sur les produits'!$A$3:$H$10000,8,FALSE),"0")</f>
        <v>0</v>
      </c>
      <c r="N12731" s="8"/>
      <c r="O12731" s="33" t="str">
        <f>IFERROR(VLOOKUP($M12731,'Informations sur les produits'!$A$3:$H$10000,8,FALSE),"0")</f>
        <v>0</v>
      </c>
      <c r="P12731" s="33">
        <f t="shared" si="792"/>
        <v>0</v>
      </c>
      <c r="Q12731" s="31" t="str">
        <f t="shared" si="793"/>
        <v/>
      </c>
      <c r="R12731" s="32" t="str">
        <f>IFERROR(VLOOKUP($D12731,'Informations sur les produits'!$A$3:$B$15000,2,FALSE),"")</f>
        <v/>
      </c>
      <c r="V12731">
        <f t="shared" si="794"/>
        <v>0</v>
      </c>
      <c r="W12731">
        <f t="shared" si="795"/>
        <v>0</v>
      </c>
    </row>
    <row r="12732" spans="5:23" x14ac:dyDescent="0.25">
      <c r="E12732" s="4"/>
      <c r="F12732" s="4"/>
      <c r="G12732" s="33" t="str">
        <f>IFERROR(VLOOKUP($D12732,'Informations sur les produits'!$A$3:$H$10000,8,FALSE),"0")</f>
        <v>0</v>
      </c>
      <c r="K12732" s="4"/>
      <c r="L12732" s="33" t="str">
        <f>IFERROR(VLOOKUP($J12732,'Informations sur les produits'!$A$3:$H$10000,8,FALSE),"0")</f>
        <v>0</v>
      </c>
      <c r="N12732" s="8"/>
      <c r="O12732" s="33" t="str">
        <f>IFERROR(VLOOKUP($M12732,'Informations sur les produits'!$A$3:$H$10000,8,FALSE),"0")</f>
        <v>0</v>
      </c>
      <c r="P12732" s="33">
        <f t="shared" si="792"/>
        <v>0</v>
      </c>
      <c r="Q12732" s="31" t="str">
        <f t="shared" si="793"/>
        <v/>
      </c>
      <c r="R12732" s="32" t="str">
        <f>IFERROR(VLOOKUP($D12732,'Informations sur les produits'!$A$3:$B$15000,2,FALSE),"")</f>
        <v/>
      </c>
      <c r="V12732">
        <f t="shared" si="794"/>
        <v>0</v>
      </c>
      <c r="W12732">
        <f t="shared" si="795"/>
        <v>0</v>
      </c>
    </row>
    <row r="12733" spans="5:23" x14ac:dyDescent="0.25">
      <c r="E12733" s="4"/>
      <c r="F12733" s="4"/>
      <c r="G12733" s="33" t="str">
        <f>IFERROR(VLOOKUP($D12733,'Informations sur les produits'!$A$3:$H$10000,8,FALSE),"0")</f>
        <v>0</v>
      </c>
      <c r="K12733" s="4"/>
      <c r="L12733" s="33" t="str">
        <f>IFERROR(VLOOKUP($J12733,'Informations sur les produits'!$A$3:$H$10000,8,FALSE),"0")</f>
        <v>0</v>
      </c>
      <c r="N12733" s="8"/>
      <c r="O12733" s="33" t="str">
        <f>IFERROR(VLOOKUP($M12733,'Informations sur les produits'!$A$3:$H$10000,8,FALSE),"0")</f>
        <v>0</v>
      </c>
      <c r="P12733" s="33">
        <f t="shared" si="792"/>
        <v>0</v>
      </c>
      <c r="Q12733" s="31" t="str">
        <f t="shared" si="793"/>
        <v/>
      </c>
      <c r="R12733" s="32" t="str">
        <f>IFERROR(VLOOKUP($D12733,'Informations sur les produits'!$A$3:$B$15000,2,FALSE),"")</f>
        <v/>
      </c>
      <c r="V12733">
        <f t="shared" si="794"/>
        <v>0</v>
      </c>
      <c r="W12733">
        <f t="shared" si="795"/>
        <v>0</v>
      </c>
    </row>
    <row r="12734" spans="5:23" x14ac:dyDescent="0.25">
      <c r="E12734" s="4"/>
      <c r="F12734" s="4"/>
      <c r="G12734" s="33" t="str">
        <f>IFERROR(VLOOKUP($D12734,'Informations sur les produits'!$A$3:$H$10000,8,FALSE),"0")</f>
        <v>0</v>
      </c>
      <c r="K12734" s="4"/>
      <c r="L12734" s="33" t="str">
        <f>IFERROR(VLOOKUP($J12734,'Informations sur les produits'!$A$3:$H$10000,8,FALSE),"0")</f>
        <v>0</v>
      </c>
      <c r="N12734" s="8"/>
      <c r="O12734" s="33" t="str">
        <f>IFERROR(VLOOKUP($M12734,'Informations sur les produits'!$A$3:$H$10000,8,FALSE),"0")</f>
        <v>0</v>
      </c>
      <c r="P12734" s="33">
        <f t="shared" si="792"/>
        <v>0</v>
      </c>
      <c r="Q12734" s="31" t="str">
        <f t="shared" si="793"/>
        <v/>
      </c>
      <c r="R12734" s="32" t="str">
        <f>IFERROR(VLOOKUP($D12734,'Informations sur les produits'!$A$3:$B$15000,2,FALSE),"")</f>
        <v/>
      </c>
      <c r="V12734">
        <f t="shared" si="794"/>
        <v>0</v>
      </c>
      <c r="W12734">
        <f t="shared" si="795"/>
        <v>0</v>
      </c>
    </row>
    <row r="12735" spans="5:23" x14ac:dyDescent="0.25">
      <c r="E12735" s="4"/>
      <c r="F12735" s="4"/>
      <c r="G12735" s="33" t="str">
        <f>IFERROR(VLOOKUP($D12735,'Informations sur les produits'!$A$3:$H$10000,8,FALSE),"0")</f>
        <v>0</v>
      </c>
      <c r="K12735" s="4"/>
      <c r="L12735" s="33" t="str">
        <f>IFERROR(VLOOKUP($J12735,'Informations sur les produits'!$A$3:$H$10000,8,FALSE),"0")</f>
        <v>0</v>
      </c>
      <c r="N12735" s="8"/>
      <c r="O12735" s="33" t="str">
        <f>IFERROR(VLOOKUP($M12735,'Informations sur les produits'!$A$3:$H$10000,8,FALSE),"0")</f>
        <v>0</v>
      </c>
      <c r="P12735" s="33">
        <f t="shared" si="792"/>
        <v>0</v>
      </c>
      <c r="Q12735" s="31" t="str">
        <f t="shared" si="793"/>
        <v/>
      </c>
      <c r="R12735" s="32" t="str">
        <f>IFERROR(VLOOKUP($D12735,'Informations sur les produits'!$A$3:$B$15000,2,FALSE),"")</f>
        <v/>
      </c>
      <c r="V12735">
        <f t="shared" si="794"/>
        <v>0</v>
      </c>
      <c r="W12735">
        <f t="shared" si="795"/>
        <v>0</v>
      </c>
    </row>
    <row r="12736" spans="5:23" x14ac:dyDescent="0.25">
      <c r="E12736" s="4"/>
      <c r="F12736" s="4"/>
      <c r="G12736" s="33" t="str">
        <f>IFERROR(VLOOKUP($D12736,'Informations sur les produits'!$A$3:$H$10000,8,FALSE),"0")</f>
        <v>0</v>
      </c>
      <c r="K12736" s="4"/>
      <c r="L12736" s="33" t="str">
        <f>IFERROR(VLOOKUP($J12736,'Informations sur les produits'!$A$3:$H$10000,8,FALSE),"0")</f>
        <v>0</v>
      </c>
      <c r="N12736" s="8"/>
      <c r="O12736" s="33" t="str">
        <f>IFERROR(VLOOKUP($M12736,'Informations sur les produits'!$A$3:$H$10000,8,FALSE),"0")</f>
        <v>0</v>
      </c>
      <c r="P12736" s="33">
        <f t="shared" si="792"/>
        <v>0</v>
      </c>
      <c r="Q12736" s="31" t="str">
        <f t="shared" si="793"/>
        <v/>
      </c>
      <c r="R12736" s="32" t="str">
        <f>IFERROR(VLOOKUP($D12736,'Informations sur les produits'!$A$3:$B$15000,2,FALSE),"")</f>
        <v/>
      </c>
      <c r="V12736">
        <f t="shared" si="794"/>
        <v>0</v>
      </c>
      <c r="W12736">
        <f t="shared" si="795"/>
        <v>0</v>
      </c>
    </row>
    <row r="12737" spans="5:23" x14ac:dyDescent="0.25">
      <c r="E12737" s="4"/>
      <c r="F12737" s="4"/>
      <c r="G12737" s="33" t="str">
        <f>IFERROR(VLOOKUP($D12737,'Informations sur les produits'!$A$3:$H$10000,8,FALSE),"0")</f>
        <v>0</v>
      </c>
      <c r="K12737" s="4"/>
      <c r="L12737" s="33" t="str">
        <f>IFERROR(VLOOKUP($J12737,'Informations sur les produits'!$A$3:$H$10000,8,FALSE),"0")</f>
        <v>0</v>
      </c>
      <c r="N12737" s="8"/>
      <c r="O12737" s="33" t="str">
        <f>IFERROR(VLOOKUP($M12737,'Informations sur les produits'!$A$3:$H$10000,8,FALSE),"0")</f>
        <v>0</v>
      </c>
      <c r="P12737" s="33">
        <f t="shared" si="792"/>
        <v>0</v>
      </c>
      <c r="Q12737" s="31" t="str">
        <f t="shared" si="793"/>
        <v/>
      </c>
      <c r="R12737" s="32" t="str">
        <f>IFERROR(VLOOKUP($D12737,'Informations sur les produits'!$A$3:$B$15000,2,FALSE),"")</f>
        <v/>
      </c>
      <c r="V12737">
        <f t="shared" si="794"/>
        <v>0</v>
      </c>
      <c r="W12737">
        <f t="shared" si="795"/>
        <v>0</v>
      </c>
    </row>
    <row r="12738" spans="5:23" x14ac:dyDescent="0.25">
      <c r="E12738" s="4"/>
      <c r="F12738" s="4"/>
      <c r="G12738" s="33" t="str">
        <f>IFERROR(VLOOKUP($D12738,'Informations sur les produits'!$A$3:$H$10000,8,FALSE),"0")</f>
        <v>0</v>
      </c>
      <c r="K12738" s="4"/>
      <c r="L12738" s="33" t="str">
        <f>IFERROR(VLOOKUP($J12738,'Informations sur les produits'!$A$3:$H$10000,8,FALSE),"0")</f>
        <v>0</v>
      </c>
      <c r="N12738" s="8"/>
      <c r="O12738" s="33" t="str">
        <f>IFERROR(VLOOKUP($M12738,'Informations sur les produits'!$A$3:$H$10000,8,FALSE),"0")</f>
        <v>0</v>
      </c>
      <c r="P12738" s="33">
        <f t="shared" si="792"/>
        <v>0</v>
      </c>
      <c r="Q12738" s="31" t="str">
        <f t="shared" si="793"/>
        <v/>
      </c>
      <c r="R12738" s="32" t="str">
        <f>IFERROR(VLOOKUP($D12738,'Informations sur les produits'!$A$3:$B$15000,2,FALSE),"")</f>
        <v/>
      </c>
      <c r="V12738">
        <f t="shared" si="794"/>
        <v>0</v>
      </c>
      <c r="W12738">
        <f t="shared" si="795"/>
        <v>0</v>
      </c>
    </row>
    <row r="12739" spans="5:23" x14ac:dyDescent="0.25">
      <c r="E12739" s="4"/>
      <c r="F12739" s="4"/>
      <c r="G12739" s="33" t="str">
        <f>IFERROR(VLOOKUP($D12739,'Informations sur les produits'!$A$3:$H$10000,8,FALSE),"0")</f>
        <v>0</v>
      </c>
      <c r="K12739" s="4"/>
      <c r="L12739" s="33" t="str">
        <f>IFERROR(VLOOKUP($J12739,'Informations sur les produits'!$A$3:$H$10000,8,FALSE),"0")</f>
        <v>0</v>
      </c>
      <c r="N12739" s="8"/>
      <c r="O12739" s="33" t="str">
        <f>IFERROR(VLOOKUP($M12739,'Informations sur les produits'!$A$3:$H$10000,8,FALSE),"0")</f>
        <v>0</v>
      </c>
      <c r="P12739" s="33">
        <f t="shared" si="792"/>
        <v>0</v>
      </c>
      <c r="Q12739" s="31" t="str">
        <f t="shared" si="793"/>
        <v/>
      </c>
      <c r="R12739" s="32" t="str">
        <f>IFERROR(VLOOKUP($D12739,'Informations sur les produits'!$A$3:$B$15000,2,FALSE),"")</f>
        <v/>
      </c>
      <c r="V12739">
        <f t="shared" si="794"/>
        <v>0</v>
      </c>
      <c r="W12739">
        <f t="shared" si="795"/>
        <v>0</v>
      </c>
    </row>
    <row r="12740" spans="5:23" x14ac:dyDescent="0.25">
      <c r="E12740" s="4"/>
      <c r="F12740" s="4"/>
      <c r="G12740" s="33" t="str">
        <f>IFERROR(VLOOKUP($D12740,'Informations sur les produits'!$A$3:$H$10000,8,FALSE),"0")</f>
        <v>0</v>
      </c>
      <c r="K12740" s="4"/>
      <c r="L12740" s="33" t="str">
        <f>IFERROR(VLOOKUP($J12740,'Informations sur les produits'!$A$3:$H$10000,8,FALSE),"0")</f>
        <v>0</v>
      </c>
      <c r="N12740" s="8"/>
      <c r="O12740" s="33" t="str">
        <f>IFERROR(VLOOKUP($M12740,'Informations sur les produits'!$A$3:$H$10000,8,FALSE),"0")</f>
        <v>0</v>
      </c>
      <c r="P12740" s="33">
        <f t="shared" ref="P12740:P12803" si="796">IFERROR((($E12740-$F12740)*$G12740+$K12740*$L12740+$N12740*$O12740),"")</f>
        <v>0</v>
      </c>
      <c r="Q12740" s="31" t="str">
        <f t="shared" ref="Q12740:Q12803" si="797">IFERROR((((($E12740-$F12740)*$G12740+$K12740*$L12740+$N12740*$O12740)*1000)/(($E12740-$F12740)+$K12740+$N12740)),"")</f>
        <v/>
      </c>
      <c r="R12740" s="32" t="str">
        <f>IFERROR(VLOOKUP($D12740,'Informations sur les produits'!$A$3:$B$15000,2,FALSE),"")</f>
        <v/>
      </c>
      <c r="V12740">
        <f t="shared" ref="V12740:V12803" si="798">IFERROR(P12740*1000,"")</f>
        <v>0</v>
      </c>
      <c r="W12740">
        <f t="shared" ref="W12740:W12803" si="799">IFERROR(($E12740-$F12740)+$K12740+$N12740,"")</f>
        <v>0</v>
      </c>
    </row>
    <row r="12741" spans="5:23" x14ac:dyDescent="0.25">
      <c r="E12741" s="4"/>
      <c r="F12741" s="4"/>
      <c r="G12741" s="33" t="str">
        <f>IFERROR(VLOOKUP($D12741,'Informations sur les produits'!$A$3:$H$10000,8,FALSE),"0")</f>
        <v>0</v>
      </c>
      <c r="K12741" s="4"/>
      <c r="L12741" s="33" t="str">
        <f>IFERROR(VLOOKUP($J12741,'Informations sur les produits'!$A$3:$H$10000,8,FALSE),"0")</f>
        <v>0</v>
      </c>
      <c r="N12741" s="8"/>
      <c r="O12741" s="33" t="str">
        <f>IFERROR(VLOOKUP($M12741,'Informations sur les produits'!$A$3:$H$10000,8,FALSE),"0")</f>
        <v>0</v>
      </c>
      <c r="P12741" s="33">
        <f t="shared" si="796"/>
        <v>0</v>
      </c>
      <c r="Q12741" s="31" t="str">
        <f t="shared" si="797"/>
        <v/>
      </c>
      <c r="R12741" s="32" t="str">
        <f>IFERROR(VLOOKUP($D12741,'Informations sur les produits'!$A$3:$B$15000,2,FALSE),"")</f>
        <v/>
      </c>
      <c r="V12741">
        <f t="shared" si="798"/>
        <v>0</v>
      </c>
      <c r="W12741">
        <f t="shared" si="799"/>
        <v>0</v>
      </c>
    </row>
    <row r="12742" spans="5:23" x14ac:dyDescent="0.25">
      <c r="E12742" s="4"/>
      <c r="F12742" s="4"/>
      <c r="G12742" s="33" t="str">
        <f>IFERROR(VLOOKUP($D12742,'Informations sur les produits'!$A$3:$H$10000,8,FALSE),"0")</f>
        <v>0</v>
      </c>
      <c r="K12742" s="4"/>
      <c r="L12742" s="33" t="str">
        <f>IFERROR(VLOOKUP($J12742,'Informations sur les produits'!$A$3:$H$10000,8,FALSE),"0")</f>
        <v>0</v>
      </c>
      <c r="N12742" s="8"/>
      <c r="O12742" s="33" t="str">
        <f>IFERROR(VLOOKUP($M12742,'Informations sur les produits'!$A$3:$H$10000,8,FALSE),"0")</f>
        <v>0</v>
      </c>
      <c r="P12742" s="33">
        <f t="shared" si="796"/>
        <v>0</v>
      </c>
      <c r="Q12742" s="31" t="str">
        <f t="shared" si="797"/>
        <v/>
      </c>
      <c r="R12742" s="32" t="str">
        <f>IFERROR(VLOOKUP($D12742,'Informations sur les produits'!$A$3:$B$15000,2,FALSE),"")</f>
        <v/>
      </c>
      <c r="V12742">
        <f t="shared" si="798"/>
        <v>0</v>
      </c>
      <c r="W12742">
        <f t="shared" si="799"/>
        <v>0</v>
      </c>
    </row>
    <row r="12743" spans="5:23" x14ac:dyDescent="0.25">
      <c r="E12743" s="4"/>
      <c r="F12743" s="4"/>
      <c r="G12743" s="33" t="str">
        <f>IFERROR(VLOOKUP($D12743,'Informations sur les produits'!$A$3:$H$10000,8,FALSE),"0")</f>
        <v>0</v>
      </c>
      <c r="K12743" s="4"/>
      <c r="L12743" s="33" t="str">
        <f>IFERROR(VLOOKUP($J12743,'Informations sur les produits'!$A$3:$H$10000,8,FALSE),"0")</f>
        <v>0</v>
      </c>
      <c r="N12743" s="8"/>
      <c r="O12743" s="33" t="str">
        <f>IFERROR(VLOOKUP($M12743,'Informations sur les produits'!$A$3:$H$10000,8,FALSE),"0")</f>
        <v>0</v>
      </c>
      <c r="P12743" s="33">
        <f t="shared" si="796"/>
        <v>0</v>
      </c>
      <c r="Q12743" s="31" t="str">
        <f t="shared" si="797"/>
        <v/>
      </c>
      <c r="R12743" s="32" t="str">
        <f>IFERROR(VLOOKUP($D12743,'Informations sur les produits'!$A$3:$B$15000,2,FALSE),"")</f>
        <v/>
      </c>
      <c r="V12743">
        <f t="shared" si="798"/>
        <v>0</v>
      </c>
      <c r="W12743">
        <f t="shared" si="799"/>
        <v>0</v>
      </c>
    </row>
    <row r="12744" spans="5:23" x14ac:dyDescent="0.25">
      <c r="E12744" s="4"/>
      <c r="F12744" s="4"/>
      <c r="G12744" s="33" t="str">
        <f>IFERROR(VLOOKUP($D12744,'Informations sur les produits'!$A$3:$H$10000,8,FALSE),"0")</f>
        <v>0</v>
      </c>
      <c r="K12744" s="4"/>
      <c r="L12744" s="33" t="str">
        <f>IFERROR(VLOOKUP($J12744,'Informations sur les produits'!$A$3:$H$10000,8,FALSE),"0")</f>
        <v>0</v>
      </c>
      <c r="N12744" s="8"/>
      <c r="O12744" s="33" t="str">
        <f>IFERROR(VLOOKUP($M12744,'Informations sur les produits'!$A$3:$H$10000,8,FALSE),"0")</f>
        <v>0</v>
      </c>
      <c r="P12744" s="33">
        <f t="shared" si="796"/>
        <v>0</v>
      </c>
      <c r="Q12744" s="31" t="str">
        <f t="shared" si="797"/>
        <v/>
      </c>
      <c r="R12744" s="32" t="str">
        <f>IFERROR(VLOOKUP($D12744,'Informations sur les produits'!$A$3:$B$15000,2,FALSE),"")</f>
        <v/>
      </c>
      <c r="V12744">
        <f t="shared" si="798"/>
        <v>0</v>
      </c>
      <c r="W12744">
        <f t="shared" si="799"/>
        <v>0</v>
      </c>
    </row>
    <row r="12745" spans="5:23" x14ac:dyDescent="0.25">
      <c r="E12745" s="4"/>
      <c r="F12745" s="4"/>
      <c r="G12745" s="33" t="str">
        <f>IFERROR(VLOOKUP($D12745,'Informations sur les produits'!$A$3:$H$10000,8,FALSE),"0")</f>
        <v>0</v>
      </c>
      <c r="K12745" s="4"/>
      <c r="L12745" s="33" t="str">
        <f>IFERROR(VLOOKUP($J12745,'Informations sur les produits'!$A$3:$H$10000,8,FALSE),"0")</f>
        <v>0</v>
      </c>
      <c r="N12745" s="8"/>
      <c r="O12745" s="33" t="str">
        <f>IFERROR(VLOOKUP($M12745,'Informations sur les produits'!$A$3:$H$10000,8,FALSE),"0")</f>
        <v>0</v>
      </c>
      <c r="P12745" s="33">
        <f t="shared" si="796"/>
        <v>0</v>
      </c>
      <c r="Q12745" s="31" t="str">
        <f t="shared" si="797"/>
        <v/>
      </c>
      <c r="R12745" s="32" t="str">
        <f>IFERROR(VLOOKUP($D12745,'Informations sur les produits'!$A$3:$B$15000,2,FALSE),"")</f>
        <v/>
      </c>
      <c r="V12745">
        <f t="shared" si="798"/>
        <v>0</v>
      </c>
      <c r="W12745">
        <f t="shared" si="799"/>
        <v>0</v>
      </c>
    </row>
    <row r="12746" spans="5:23" x14ac:dyDescent="0.25">
      <c r="E12746" s="4"/>
      <c r="F12746" s="4"/>
      <c r="G12746" s="33" t="str">
        <f>IFERROR(VLOOKUP($D12746,'Informations sur les produits'!$A$3:$H$10000,8,FALSE),"0")</f>
        <v>0</v>
      </c>
      <c r="K12746" s="4"/>
      <c r="L12746" s="33" t="str">
        <f>IFERROR(VLOOKUP($J12746,'Informations sur les produits'!$A$3:$H$10000,8,FALSE),"0")</f>
        <v>0</v>
      </c>
      <c r="N12746" s="8"/>
      <c r="O12746" s="33" t="str">
        <f>IFERROR(VLOOKUP($M12746,'Informations sur les produits'!$A$3:$H$10000,8,FALSE),"0")</f>
        <v>0</v>
      </c>
      <c r="P12746" s="33">
        <f t="shared" si="796"/>
        <v>0</v>
      </c>
      <c r="Q12746" s="31" t="str">
        <f t="shared" si="797"/>
        <v/>
      </c>
      <c r="R12746" s="32" t="str">
        <f>IFERROR(VLOOKUP($D12746,'Informations sur les produits'!$A$3:$B$15000,2,FALSE),"")</f>
        <v/>
      </c>
      <c r="V12746">
        <f t="shared" si="798"/>
        <v>0</v>
      </c>
      <c r="W12746">
        <f t="shared" si="799"/>
        <v>0</v>
      </c>
    </row>
    <row r="12747" spans="5:23" x14ac:dyDescent="0.25">
      <c r="E12747" s="4"/>
      <c r="F12747" s="4"/>
      <c r="G12747" s="33" t="str">
        <f>IFERROR(VLOOKUP($D12747,'Informations sur les produits'!$A$3:$H$10000,8,FALSE),"0")</f>
        <v>0</v>
      </c>
      <c r="K12747" s="4"/>
      <c r="L12747" s="33" t="str">
        <f>IFERROR(VLOOKUP($J12747,'Informations sur les produits'!$A$3:$H$10000,8,FALSE),"0")</f>
        <v>0</v>
      </c>
      <c r="N12747" s="8"/>
      <c r="O12747" s="33" t="str">
        <f>IFERROR(VLOOKUP($M12747,'Informations sur les produits'!$A$3:$H$10000,8,FALSE),"0")</f>
        <v>0</v>
      </c>
      <c r="P12747" s="33">
        <f t="shared" si="796"/>
        <v>0</v>
      </c>
      <c r="Q12747" s="31" t="str">
        <f t="shared" si="797"/>
        <v/>
      </c>
      <c r="R12747" s="32" t="str">
        <f>IFERROR(VLOOKUP($D12747,'Informations sur les produits'!$A$3:$B$15000,2,FALSE),"")</f>
        <v/>
      </c>
      <c r="V12747">
        <f t="shared" si="798"/>
        <v>0</v>
      </c>
      <c r="W12747">
        <f t="shared" si="799"/>
        <v>0</v>
      </c>
    </row>
    <row r="12748" spans="5:23" x14ac:dyDescent="0.25">
      <c r="E12748" s="4"/>
      <c r="F12748" s="4"/>
      <c r="G12748" s="33" t="str">
        <f>IFERROR(VLOOKUP($D12748,'Informations sur les produits'!$A$3:$H$10000,8,FALSE),"0")</f>
        <v>0</v>
      </c>
      <c r="K12748" s="4"/>
      <c r="L12748" s="33" t="str">
        <f>IFERROR(VLOOKUP($J12748,'Informations sur les produits'!$A$3:$H$10000,8,FALSE),"0")</f>
        <v>0</v>
      </c>
      <c r="N12748" s="8"/>
      <c r="O12748" s="33" t="str">
        <f>IFERROR(VLOOKUP($M12748,'Informations sur les produits'!$A$3:$H$10000,8,FALSE),"0")</f>
        <v>0</v>
      </c>
      <c r="P12748" s="33">
        <f t="shared" si="796"/>
        <v>0</v>
      </c>
      <c r="Q12748" s="31" t="str">
        <f t="shared" si="797"/>
        <v/>
      </c>
      <c r="R12748" s="32" t="str">
        <f>IFERROR(VLOOKUP($D12748,'Informations sur les produits'!$A$3:$B$15000,2,FALSE),"")</f>
        <v/>
      </c>
      <c r="V12748">
        <f t="shared" si="798"/>
        <v>0</v>
      </c>
      <c r="W12748">
        <f t="shared" si="799"/>
        <v>0</v>
      </c>
    </row>
    <row r="12749" spans="5:23" x14ac:dyDescent="0.25">
      <c r="E12749" s="4"/>
      <c r="F12749" s="4"/>
      <c r="G12749" s="33" t="str">
        <f>IFERROR(VLOOKUP($D12749,'Informations sur les produits'!$A$3:$H$10000,8,FALSE),"0")</f>
        <v>0</v>
      </c>
      <c r="K12749" s="4"/>
      <c r="L12749" s="33" t="str">
        <f>IFERROR(VLOOKUP($J12749,'Informations sur les produits'!$A$3:$H$10000,8,FALSE),"0")</f>
        <v>0</v>
      </c>
      <c r="N12749" s="8"/>
      <c r="O12749" s="33" t="str">
        <f>IFERROR(VLOOKUP($M12749,'Informations sur les produits'!$A$3:$H$10000,8,FALSE),"0")</f>
        <v>0</v>
      </c>
      <c r="P12749" s="33">
        <f t="shared" si="796"/>
        <v>0</v>
      </c>
      <c r="Q12749" s="31" t="str">
        <f t="shared" si="797"/>
        <v/>
      </c>
      <c r="R12749" s="32" t="str">
        <f>IFERROR(VLOOKUP($D12749,'Informations sur les produits'!$A$3:$B$15000,2,FALSE),"")</f>
        <v/>
      </c>
      <c r="V12749">
        <f t="shared" si="798"/>
        <v>0</v>
      </c>
      <c r="W12749">
        <f t="shared" si="799"/>
        <v>0</v>
      </c>
    </row>
    <row r="12750" spans="5:23" x14ac:dyDescent="0.25">
      <c r="E12750" s="4"/>
      <c r="F12750" s="4"/>
      <c r="G12750" s="33" t="str">
        <f>IFERROR(VLOOKUP($D12750,'Informations sur les produits'!$A$3:$H$10000,8,FALSE),"0")</f>
        <v>0</v>
      </c>
      <c r="K12750" s="4"/>
      <c r="L12750" s="33" t="str">
        <f>IFERROR(VLOOKUP($J12750,'Informations sur les produits'!$A$3:$H$10000,8,FALSE),"0")</f>
        <v>0</v>
      </c>
      <c r="N12750" s="8"/>
      <c r="O12750" s="33" t="str">
        <f>IFERROR(VLOOKUP($M12750,'Informations sur les produits'!$A$3:$H$10000,8,FALSE),"0")</f>
        <v>0</v>
      </c>
      <c r="P12750" s="33">
        <f t="shared" si="796"/>
        <v>0</v>
      </c>
      <c r="Q12750" s="31" t="str">
        <f t="shared" si="797"/>
        <v/>
      </c>
      <c r="R12750" s="32" t="str">
        <f>IFERROR(VLOOKUP($D12750,'Informations sur les produits'!$A$3:$B$15000,2,FALSE),"")</f>
        <v/>
      </c>
      <c r="V12750">
        <f t="shared" si="798"/>
        <v>0</v>
      </c>
      <c r="W12750">
        <f t="shared" si="799"/>
        <v>0</v>
      </c>
    </row>
    <row r="12751" spans="5:23" x14ac:dyDescent="0.25">
      <c r="E12751" s="4"/>
      <c r="F12751" s="4"/>
      <c r="G12751" s="33" t="str">
        <f>IFERROR(VLOOKUP($D12751,'Informations sur les produits'!$A$3:$H$10000,8,FALSE),"0")</f>
        <v>0</v>
      </c>
      <c r="K12751" s="4"/>
      <c r="L12751" s="33" t="str">
        <f>IFERROR(VLOOKUP($J12751,'Informations sur les produits'!$A$3:$H$10000,8,FALSE),"0")</f>
        <v>0</v>
      </c>
      <c r="N12751" s="8"/>
      <c r="O12751" s="33" t="str">
        <f>IFERROR(VLOOKUP($M12751,'Informations sur les produits'!$A$3:$H$10000,8,FALSE),"0")</f>
        <v>0</v>
      </c>
      <c r="P12751" s="33">
        <f t="shared" si="796"/>
        <v>0</v>
      </c>
      <c r="Q12751" s="31" t="str">
        <f t="shared" si="797"/>
        <v/>
      </c>
      <c r="R12751" s="32" t="str">
        <f>IFERROR(VLOOKUP($D12751,'Informations sur les produits'!$A$3:$B$15000,2,FALSE),"")</f>
        <v/>
      </c>
      <c r="V12751">
        <f t="shared" si="798"/>
        <v>0</v>
      </c>
      <c r="W12751">
        <f t="shared" si="799"/>
        <v>0</v>
      </c>
    </row>
    <row r="12752" spans="5:23" x14ac:dyDescent="0.25">
      <c r="E12752" s="4"/>
      <c r="F12752" s="4"/>
      <c r="G12752" s="33" t="str">
        <f>IFERROR(VLOOKUP($D12752,'Informations sur les produits'!$A$3:$H$10000,8,FALSE),"0")</f>
        <v>0</v>
      </c>
      <c r="K12752" s="4"/>
      <c r="L12752" s="33" t="str">
        <f>IFERROR(VLOOKUP($J12752,'Informations sur les produits'!$A$3:$H$10000,8,FALSE),"0")</f>
        <v>0</v>
      </c>
      <c r="N12752" s="8"/>
      <c r="O12752" s="33" t="str">
        <f>IFERROR(VLOOKUP($M12752,'Informations sur les produits'!$A$3:$H$10000,8,FALSE),"0")</f>
        <v>0</v>
      </c>
      <c r="P12752" s="33">
        <f t="shared" si="796"/>
        <v>0</v>
      </c>
      <c r="Q12752" s="31" t="str">
        <f t="shared" si="797"/>
        <v/>
      </c>
      <c r="R12752" s="32" t="str">
        <f>IFERROR(VLOOKUP($D12752,'Informations sur les produits'!$A$3:$B$15000,2,FALSE),"")</f>
        <v/>
      </c>
      <c r="V12752">
        <f t="shared" si="798"/>
        <v>0</v>
      </c>
      <c r="W12752">
        <f t="shared" si="799"/>
        <v>0</v>
      </c>
    </row>
    <row r="12753" spans="5:23" x14ac:dyDescent="0.25">
      <c r="E12753" s="4"/>
      <c r="F12753" s="4"/>
      <c r="G12753" s="33" t="str">
        <f>IFERROR(VLOOKUP($D12753,'Informations sur les produits'!$A$3:$H$10000,8,FALSE),"0")</f>
        <v>0</v>
      </c>
      <c r="K12753" s="4"/>
      <c r="L12753" s="33" t="str">
        <f>IFERROR(VLOOKUP($J12753,'Informations sur les produits'!$A$3:$H$10000,8,FALSE),"0")</f>
        <v>0</v>
      </c>
      <c r="N12753" s="8"/>
      <c r="O12753" s="33" t="str">
        <f>IFERROR(VLOOKUP($M12753,'Informations sur les produits'!$A$3:$H$10000,8,FALSE),"0")</f>
        <v>0</v>
      </c>
      <c r="P12753" s="33">
        <f t="shared" si="796"/>
        <v>0</v>
      </c>
      <c r="Q12753" s="31" t="str">
        <f t="shared" si="797"/>
        <v/>
      </c>
      <c r="R12753" s="32" t="str">
        <f>IFERROR(VLOOKUP($D12753,'Informations sur les produits'!$A$3:$B$15000,2,FALSE),"")</f>
        <v/>
      </c>
      <c r="V12753">
        <f t="shared" si="798"/>
        <v>0</v>
      </c>
      <c r="W12753">
        <f t="shared" si="799"/>
        <v>0</v>
      </c>
    </row>
    <row r="12754" spans="5:23" x14ac:dyDescent="0.25">
      <c r="E12754" s="4"/>
      <c r="F12754" s="4"/>
      <c r="G12754" s="33" t="str">
        <f>IFERROR(VLOOKUP($D12754,'Informations sur les produits'!$A$3:$H$10000,8,FALSE),"0")</f>
        <v>0</v>
      </c>
      <c r="K12754" s="4"/>
      <c r="L12754" s="33" t="str">
        <f>IFERROR(VLOOKUP($J12754,'Informations sur les produits'!$A$3:$H$10000,8,FALSE),"0")</f>
        <v>0</v>
      </c>
      <c r="N12754" s="8"/>
      <c r="O12754" s="33" t="str">
        <f>IFERROR(VLOOKUP($M12754,'Informations sur les produits'!$A$3:$H$10000,8,FALSE),"0")</f>
        <v>0</v>
      </c>
      <c r="P12754" s="33">
        <f t="shared" si="796"/>
        <v>0</v>
      </c>
      <c r="Q12754" s="31" t="str">
        <f t="shared" si="797"/>
        <v/>
      </c>
      <c r="R12754" s="32" t="str">
        <f>IFERROR(VLOOKUP($D12754,'Informations sur les produits'!$A$3:$B$15000,2,FALSE),"")</f>
        <v/>
      </c>
      <c r="V12754">
        <f t="shared" si="798"/>
        <v>0</v>
      </c>
      <c r="W12754">
        <f t="shared" si="799"/>
        <v>0</v>
      </c>
    </row>
    <row r="12755" spans="5:23" x14ac:dyDescent="0.25">
      <c r="E12755" s="4"/>
      <c r="F12755" s="4"/>
      <c r="G12755" s="33" t="str">
        <f>IFERROR(VLOOKUP($D12755,'Informations sur les produits'!$A$3:$H$10000,8,FALSE),"0")</f>
        <v>0</v>
      </c>
      <c r="K12755" s="4"/>
      <c r="L12755" s="33" t="str">
        <f>IFERROR(VLOOKUP($J12755,'Informations sur les produits'!$A$3:$H$10000,8,FALSE),"0")</f>
        <v>0</v>
      </c>
      <c r="N12755" s="8"/>
      <c r="O12755" s="33" t="str">
        <f>IFERROR(VLOOKUP($M12755,'Informations sur les produits'!$A$3:$H$10000,8,FALSE),"0")</f>
        <v>0</v>
      </c>
      <c r="P12755" s="33">
        <f t="shared" si="796"/>
        <v>0</v>
      </c>
      <c r="Q12755" s="31" t="str">
        <f t="shared" si="797"/>
        <v/>
      </c>
      <c r="R12755" s="32" t="str">
        <f>IFERROR(VLOOKUP($D12755,'Informations sur les produits'!$A$3:$B$15000,2,FALSE),"")</f>
        <v/>
      </c>
      <c r="V12755">
        <f t="shared" si="798"/>
        <v>0</v>
      </c>
      <c r="W12755">
        <f t="shared" si="799"/>
        <v>0</v>
      </c>
    </row>
    <row r="12756" spans="5:23" x14ac:dyDescent="0.25">
      <c r="E12756" s="4"/>
      <c r="F12756" s="4"/>
      <c r="G12756" s="33" t="str">
        <f>IFERROR(VLOOKUP($D12756,'Informations sur les produits'!$A$3:$H$10000,8,FALSE),"0")</f>
        <v>0</v>
      </c>
      <c r="K12756" s="4"/>
      <c r="L12756" s="33" t="str">
        <f>IFERROR(VLOOKUP($J12756,'Informations sur les produits'!$A$3:$H$10000,8,FALSE),"0")</f>
        <v>0</v>
      </c>
      <c r="N12756" s="8"/>
      <c r="O12756" s="33" t="str">
        <f>IFERROR(VLOOKUP($M12756,'Informations sur les produits'!$A$3:$H$10000,8,FALSE),"0")</f>
        <v>0</v>
      </c>
      <c r="P12756" s="33">
        <f t="shared" si="796"/>
        <v>0</v>
      </c>
      <c r="Q12756" s="31" t="str">
        <f t="shared" si="797"/>
        <v/>
      </c>
      <c r="R12756" s="32" t="str">
        <f>IFERROR(VLOOKUP($D12756,'Informations sur les produits'!$A$3:$B$15000,2,FALSE),"")</f>
        <v/>
      </c>
      <c r="V12756">
        <f t="shared" si="798"/>
        <v>0</v>
      </c>
      <c r="W12756">
        <f t="shared" si="799"/>
        <v>0</v>
      </c>
    </row>
    <row r="12757" spans="5:23" x14ac:dyDescent="0.25">
      <c r="E12757" s="4"/>
      <c r="F12757" s="4"/>
      <c r="G12757" s="33" t="str">
        <f>IFERROR(VLOOKUP($D12757,'Informations sur les produits'!$A$3:$H$10000,8,FALSE),"0")</f>
        <v>0</v>
      </c>
      <c r="K12757" s="4"/>
      <c r="L12757" s="33" t="str">
        <f>IFERROR(VLOOKUP($J12757,'Informations sur les produits'!$A$3:$H$10000,8,FALSE),"0")</f>
        <v>0</v>
      </c>
      <c r="N12757" s="8"/>
      <c r="O12757" s="33" t="str">
        <f>IFERROR(VLOOKUP($M12757,'Informations sur les produits'!$A$3:$H$10000,8,FALSE),"0")</f>
        <v>0</v>
      </c>
      <c r="P12757" s="33">
        <f t="shared" si="796"/>
        <v>0</v>
      </c>
      <c r="Q12757" s="31" t="str">
        <f t="shared" si="797"/>
        <v/>
      </c>
      <c r="R12757" s="32" t="str">
        <f>IFERROR(VLOOKUP($D12757,'Informations sur les produits'!$A$3:$B$15000,2,FALSE),"")</f>
        <v/>
      </c>
      <c r="V12757">
        <f t="shared" si="798"/>
        <v>0</v>
      </c>
      <c r="W12757">
        <f t="shared" si="799"/>
        <v>0</v>
      </c>
    </row>
    <row r="12758" spans="5:23" x14ac:dyDescent="0.25">
      <c r="E12758" s="4"/>
      <c r="F12758" s="4"/>
      <c r="G12758" s="33" t="str">
        <f>IFERROR(VLOOKUP($D12758,'Informations sur les produits'!$A$3:$H$10000,8,FALSE),"0")</f>
        <v>0</v>
      </c>
      <c r="K12758" s="4"/>
      <c r="L12758" s="33" t="str">
        <f>IFERROR(VLOOKUP($J12758,'Informations sur les produits'!$A$3:$H$10000,8,FALSE),"0")</f>
        <v>0</v>
      </c>
      <c r="N12758" s="8"/>
      <c r="O12758" s="33" t="str">
        <f>IFERROR(VLOOKUP($M12758,'Informations sur les produits'!$A$3:$H$10000,8,FALSE),"0")</f>
        <v>0</v>
      </c>
      <c r="P12758" s="33">
        <f t="shared" si="796"/>
        <v>0</v>
      </c>
      <c r="Q12758" s="31" t="str">
        <f t="shared" si="797"/>
        <v/>
      </c>
      <c r="R12758" s="32" t="str">
        <f>IFERROR(VLOOKUP($D12758,'Informations sur les produits'!$A$3:$B$15000,2,FALSE),"")</f>
        <v/>
      </c>
      <c r="V12758">
        <f t="shared" si="798"/>
        <v>0</v>
      </c>
      <c r="W12758">
        <f t="shared" si="799"/>
        <v>0</v>
      </c>
    </row>
    <row r="12759" spans="5:23" x14ac:dyDescent="0.25">
      <c r="E12759" s="4"/>
      <c r="F12759" s="4"/>
      <c r="G12759" s="33" t="str">
        <f>IFERROR(VLOOKUP($D12759,'Informations sur les produits'!$A$3:$H$10000,8,FALSE),"0")</f>
        <v>0</v>
      </c>
      <c r="K12759" s="4"/>
      <c r="L12759" s="33" t="str">
        <f>IFERROR(VLOOKUP($J12759,'Informations sur les produits'!$A$3:$H$10000,8,FALSE),"0")</f>
        <v>0</v>
      </c>
      <c r="N12759" s="8"/>
      <c r="O12759" s="33" t="str">
        <f>IFERROR(VLOOKUP($M12759,'Informations sur les produits'!$A$3:$H$10000,8,FALSE),"0")</f>
        <v>0</v>
      </c>
      <c r="P12759" s="33">
        <f t="shared" si="796"/>
        <v>0</v>
      </c>
      <c r="Q12759" s="31" t="str">
        <f t="shared" si="797"/>
        <v/>
      </c>
      <c r="R12759" s="32" t="str">
        <f>IFERROR(VLOOKUP($D12759,'Informations sur les produits'!$A$3:$B$15000,2,FALSE),"")</f>
        <v/>
      </c>
      <c r="V12759">
        <f t="shared" si="798"/>
        <v>0</v>
      </c>
      <c r="W12759">
        <f t="shared" si="799"/>
        <v>0</v>
      </c>
    </row>
    <row r="12760" spans="5:23" x14ac:dyDescent="0.25">
      <c r="E12760" s="4"/>
      <c r="F12760" s="4"/>
      <c r="G12760" s="33" t="str">
        <f>IFERROR(VLOOKUP($D12760,'Informations sur les produits'!$A$3:$H$10000,8,FALSE),"0")</f>
        <v>0</v>
      </c>
      <c r="K12760" s="4"/>
      <c r="L12760" s="33" t="str">
        <f>IFERROR(VLOOKUP($J12760,'Informations sur les produits'!$A$3:$H$10000,8,FALSE),"0")</f>
        <v>0</v>
      </c>
      <c r="N12760" s="8"/>
      <c r="O12760" s="33" t="str">
        <f>IFERROR(VLOOKUP($M12760,'Informations sur les produits'!$A$3:$H$10000,8,FALSE),"0")</f>
        <v>0</v>
      </c>
      <c r="P12760" s="33">
        <f t="shared" si="796"/>
        <v>0</v>
      </c>
      <c r="Q12760" s="31" t="str">
        <f t="shared" si="797"/>
        <v/>
      </c>
      <c r="R12760" s="32" t="str">
        <f>IFERROR(VLOOKUP($D12760,'Informations sur les produits'!$A$3:$B$15000,2,FALSE),"")</f>
        <v/>
      </c>
      <c r="V12760">
        <f t="shared" si="798"/>
        <v>0</v>
      </c>
      <c r="W12760">
        <f t="shared" si="799"/>
        <v>0</v>
      </c>
    </row>
    <row r="12761" spans="5:23" x14ac:dyDescent="0.25">
      <c r="E12761" s="4"/>
      <c r="F12761" s="4"/>
      <c r="G12761" s="33" t="str">
        <f>IFERROR(VLOOKUP($D12761,'Informations sur les produits'!$A$3:$H$10000,8,FALSE),"0")</f>
        <v>0</v>
      </c>
      <c r="K12761" s="4"/>
      <c r="L12761" s="33" t="str">
        <f>IFERROR(VLOOKUP($J12761,'Informations sur les produits'!$A$3:$H$10000,8,FALSE),"0")</f>
        <v>0</v>
      </c>
      <c r="N12761" s="8"/>
      <c r="O12761" s="33" t="str">
        <f>IFERROR(VLOOKUP($M12761,'Informations sur les produits'!$A$3:$H$10000,8,FALSE),"0")</f>
        <v>0</v>
      </c>
      <c r="P12761" s="33">
        <f t="shared" si="796"/>
        <v>0</v>
      </c>
      <c r="Q12761" s="31" t="str">
        <f t="shared" si="797"/>
        <v/>
      </c>
      <c r="R12761" s="32" t="str">
        <f>IFERROR(VLOOKUP($D12761,'Informations sur les produits'!$A$3:$B$15000,2,FALSE),"")</f>
        <v/>
      </c>
      <c r="V12761">
        <f t="shared" si="798"/>
        <v>0</v>
      </c>
      <c r="W12761">
        <f t="shared" si="799"/>
        <v>0</v>
      </c>
    </row>
    <row r="12762" spans="5:23" x14ac:dyDescent="0.25">
      <c r="E12762" s="4"/>
      <c r="F12762" s="4"/>
      <c r="G12762" s="33" t="str">
        <f>IFERROR(VLOOKUP($D12762,'Informations sur les produits'!$A$3:$H$10000,8,FALSE),"0")</f>
        <v>0</v>
      </c>
      <c r="K12762" s="4"/>
      <c r="L12762" s="33" t="str">
        <f>IFERROR(VLOOKUP($J12762,'Informations sur les produits'!$A$3:$H$10000,8,FALSE),"0")</f>
        <v>0</v>
      </c>
      <c r="N12762" s="8"/>
      <c r="O12762" s="33" t="str">
        <f>IFERROR(VLOOKUP($M12762,'Informations sur les produits'!$A$3:$H$10000,8,FALSE),"0")</f>
        <v>0</v>
      </c>
      <c r="P12762" s="33">
        <f t="shared" si="796"/>
        <v>0</v>
      </c>
      <c r="Q12762" s="31" t="str">
        <f t="shared" si="797"/>
        <v/>
      </c>
      <c r="R12762" s="32" t="str">
        <f>IFERROR(VLOOKUP($D12762,'Informations sur les produits'!$A$3:$B$15000,2,FALSE),"")</f>
        <v/>
      </c>
      <c r="V12762">
        <f t="shared" si="798"/>
        <v>0</v>
      </c>
      <c r="W12762">
        <f t="shared" si="799"/>
        <v>0</v>
      </c>
    </row>
    <row r="12763" spans="5:23" x14ac:dyDescent="0.25">
      <c r="E12763" s="4"/>
      <c r="F12763" s="4"/>
      <c r="G12763" s="33" t="str">
        <f>IFERROR(VLOOKUP($D12763,'Informations sur les produits'!$A$3:$H$10000,8,FALSE),"0")</f>
        <v>0</v>
      </c>
      <c r="K12763" s="4"/>
      <c r="L12763" s="33" t="str">
        <f>IFERROR(VLOOKUP($J12763,'Informations sur les produits'!$A$3:$H$10000,8,FALSE),"0")</f>
        <v>0</v>
      </c>
      <c r="N12763" s="8"/>
      <c r="O12763" s="33" t="str">
        <f>IFERROR(VLOOKUP($M12763,'Informations sur les produits'!$A$3:$H$10000,8,FALSE),"0")</f>
        <v>0</v>
      </c>
      <c r="P12763" s="33">
        <f t="shared" si="796"/>
        <v>0</v>
      </c>
      <c r="Q12763" s="31" t="str">
        <f t="shared" si="797"/>
        <v/>
      </c>
      <c r="R12763" s="32" t="str">
        <f>IFERROR(VLOOKUP($D12763,'Informations sur les produits'!$A$3:$B$15000,2,FALSE),"")</f>
        <v/>
      </c>
      <c r="V12763">
        <f t="shared" si="798"/>
        <v>0</v>
      </c>
      <c r="W12763">
        <f t="shared" si="799"/>
        <v>0</v>
      </c>
    </row>
    <row r="12764" spans="5:23" x14ac:dyDescent="0.25">
      <c r="E12764" s="4"/>
      <c r="F12764" s="4"/>
      <c r="G12764" s="33" t="str">
        <f>IFERROR(VLOOKUP($D12764,'Informations sur les produits'!$A$3:$H$10000,8,FALSE),"0")</f>
        <v>0</v>
      </c>
      <c r="K12764" s="4"/>
      <c r="L12764" s="33" t="str">
        <f>IFERROR(VLOOKUP($J12764,'Informations sur les produits'!$A$3:$H$10000,8,FALSE),"0")</f>
        <v>0</v>
      </c>
      <c r="N12764" s="8"/>
      <c r="O12764" s="33" t="str">
        <f>IFERROR(VLOOKUP($M12764,'Informations sur les produits'!$A$3:$H$10000,8,FALSE),"0")</f>
        <v>0</v>
      </c>
      <c r="P12764" s="33">
        <f t="shared" si="796"/>
        <v>0</v>
      </c>
      <c r="Q12764" s="31" t="str">
        <f t="shared" si="797"/>
        <v/>
      </c>
      <c r="R12764" s="32" t="str">
        <f>IFERROR(VLOOKUP($D12764,'Informations sur les produits'!$A$3:$B$15000,2,FALSE),"")</f>
        <v/>
      </c>
      <c r="V12764">
        <f t="shared" si="798"/>
        <v>0</v>
      </c>
      <c r="W12764">
        <f t="shared" si="799"/>
        <v>0</v>
      </c>
    </row>
    <row r="12765" spans="5:23" x14ac:dyDescent="0.25">
      <c r="E12765" s="4"/>
      <c r="F12765" s="4"/>
      <c r="G12765" s="33" t="str">
        <f>IFERROR(VLOOKUP($D12765,'Informations sur les produits'!$A$3:$H$10000,8,FALSE),"0")</f>
        <v>0</v>
      </c>
      <c r="K12765" s="4"/>
      <c r="L12765" s="33" t="str">
        <f>IFERROR(VLOOKUP($J12765,'Informations sur les produits'!$A$3:$H$10000,8,FALSE),"0")</f>
        <v>0</v>
      </c>
      <c r="N12765" s="8"/>
      <c r="O12765" s="33" t="str">
        <f>IFERROR(VLOOKUP($M12765,'Informations sur les produits'!$A$3:$H$10000,8,FALSE),"0")</f>
        <v>0</v>
      </c>
      <c r="P12765" s="33">
        <f t="shared" si="796"/>
        <v>0</v>
      </c>
      <c r="Q12765" s="31" t="str">
        <f t="shared" si="797"/>
        <v/>
      </c>
      <c r="R12765" s="32" t="str">
        <f>IFERROR(VLOOKUP($D12765,'Informations sur les produits'!$A$3:$B$15000,2,FALSE),"")</f>
        <v/>
      </c>
      <c r="V12765">
        <f t="shared" si="798"/>
        <v>0</v>
      </c>
      <c r="W12765">
        <f t="shared" si="799"/>
        <v>0</v>
      </c>
    </row>
    <row r="12766" spans="5:23" x14ac:dyDescent="0.25">
      <c r="E12766" s="4"/>
      <c r="F12766" s="4"/>
      <c r="G12766" s="33" t="str">
        <f>IFERROR(VLOOKUP($D12766,'Informations sur les produits'!$A$3:$H$10000,8,FALSE),"0")</f>
        <v>0</v>
      </c>
      <c r="K12766" s="4"/>
      <c r="L12766" s="33" t="str">
        <f>IFERROR(VLOOKUP($J12766,'Informations sur les produits'!$A$3:$H$10000,8,FALSE),"0")</f>
        <v>0</v>
      </c>
      <c r="N12766" s="8"/>
      <c r="O12766" s="33" t="str">
        <f>IFERROR(VLOOKUP($M12766,'Informations sur les produits'!$A$3:$H$10000,8,FALSE),"0")</f>
        <v>0</v>
      </c>
      <c r="P12766" s="33">
        <f t="shared" si="796"/>
        <v>0</v>
      </c>
      <c r="Q12766" s="31" t="str">
        <f t="shared" si="797"/>
        <v/>
      </c>
      <c r="R12766" s="32" t="str">
        <f>IFERROR(VLOOKUP($D12766,'Informations sur les produits'!$A$3:$B$15000,2,FALSE),"")</f>
        <v/>
      </c>
      <c r="V12766">
        <f t="shared" si="798"/>
        <v>0</v>
      </c>
      <c r="W12766">
        <f t="shared" si="799"/>
        <v>0</v>
      </c>
    </row>
    <row r="12767" spans="5:23" x14ac:dyDescent="0.25">
      <c r="E12767" s="4"/>
      <c r="F12767" s="4"/>
      <c r="G12767" s="33" t="str">
        <f>IFERROR(VLOOKUP($D12767,'Informations sur les produits'!$A$3:$H$10000,8,FALSE),"0")</f>
        <v>0</v>
      </c>
      <c r="K12767" s="4"/>
      <c r="L12767" s="33" t="str">
        <f>IFERROR(VLOOKUP($J12767,'Informations sur les produits'!$A$3:$H$10000,8,FALSE),"0")</f>
        <v>0</v>
      </c>
      <c r="N12767" s="8"/>
      <c r="O12767" s="33" t="str">
        <f>IFERROR(VLOOKUP($M12767,'Informations sur les produits'!$A$3:$H$10000,8,FALSE),"0")</f>
        <v>0</v>
      </c>
      <c r="P12767" s="33">
        <f t="shared" si="796"/>
        <v>0</v>
      </c>
      <c r="Q12767" s="31" t="str">
        <f t="shared" si="797"/>
        <v/>
      </c>
      <c r="R12767" s="32" t="str">
        <f>IFERROR(VLOOKUP($D12767,'Informations sur les produits'!$A$3:$B$15000,2,FALSE),"")</f>
        <v/>
      </c>
      <c r="V12767">
        <f t="shared" si="798"/>
        <v>0</v>
      </c>
      <c r="W12767">
        <f t="shared" si="799"/>
        <v>0</v>
      </c>
    </row>
    <row r="12768" spans="5:23" x14ac:dyDescent="0.25">
      <c r="E12768" s="4"/>
      <c r="F12768" s="4"/>
      <c r="G12768" s="33" t="str">
        <f>IFERROR(VLOOKUP($D12768,'Informations sur les produits'!$A$3:$H$10000,8,FALSE),"0")</f>
        <v>0</v>
      </c>
      <c r="K12768" s="4"/>
      <c r="L12768" s="33" t="str">
        <f>IFERROR(VLOOKUP($J12768,'Informations sur les produits'!$A$3:$H$10000,8,FALSE),"0")</f>
        <v>0</v>
      </c>
      <c r="N12768" s="8"/>
      <c r="O12768" s="33" t="str">
        <f>IFERROR(VLOOKUP($M12768,'Informations sur les produits'!$A$3:$H$10000,8,FALSE),"0")</f>
        <v>0</v>
      </c>
      <c r="P12768" s="33">
        <f t="shared" si="796"/>
        <v>0</v>
      </c>
      <c r="Q12768" s="31" t="str">
        <f t="shared" si="797"/>
        <v/>
      </c>
      <c r="R12768" s="32" t="str">
        <f>IFERROR(VLOOKUP($D12768,'Informations sur les produits'!$A$3:$B$15000,2,FALSE),"")</f>
        <v/>
      </c>
      <c r="V12768">
        <f t="shared" si="798"/>
        <v>0</v>
      </c>
      <c r="W12768">
        <f t="shared" si="799"/>
        <v>0</v>
      </c>
    </row>
    <row r="12769" spans="5:23" x14ac:dyDescent="0.25">
      <c r="E12769" s="4"/>
      <c r="F12769" s="4"/>
      <c r="G12769" s="33" t="str">
        <f>IFERROR(VLOOKUP($D12769,'Informations sur les produits'!$A$3:$H$10000,8,FALSE),"0")</f>
        <v>0</v>
      </c>
      <c r="K12769" s="4"/>
      <c r="L12769" s="33" t="str">
        <f>IFERROR(VLOOKUP($J12769,'Informations sur les produits'!$A$3:$H$10000,8,FALSE),"0")</f>
        <v>0</v>
      </c>
      <c r="N12769" s="8"/>
      <c r="O12769" s="33" t="str">
        <f>IFERROR(VLOOKUP($M12769,'Informations sur les produits'!$A$3:$H$10000,8,FALSE),"0")</f>
        <v>0</v>
      </c>
      <c r="P12769" s="33">
        <f t="shared" si="796"/>
        <v>0</v>
      </c>
      <c r="Q12769" s="31" t="str">
        <f t="shared" si="797"/>
        <v/>
      </c>
      <c r="R12769" s="32" t="str">
        <f>IFERROR(VLOOKUP($D12769,'Informations sur les produits'!$A$3:$B$15000,2,FALSE),"")</f>
        <v/>
      </c>
      <c r="V12769">
        <f t="shared" si="798"/>
        <v>0</v>
      </c>
      <c r="W12769">
        <f t="shared" si="799"/>
        <v>0</v>
      </c>
    </row>
    <row r="12770" spans="5:23" x14ac:dyDescent="0.25">
      <c r="E12770" s="4"/>
      <c r="F12770" s="4"/>
      <c r="G12770" s="33" t="str">
        <f>IFERROR(VLOOKUP($D12770,'Informations sur les produits'!$A$3:$H$10000,8,FALSE),"0")</f>
        <v>0</v>
      </c>
      <c r="K12770" s="4"/>
      <c r="L12770" s="33" t="str">
        <f>IFERROR(VLOOKUP($J12770,'Informations sur les produits'!$A$3:$H$10000,8,FALSE),"0")</f>
        <v>0</v>
      </c>
      <c r="N12770" s="8"/>
      <c r="O12770" s="33" t="str">
        <f>IFERROR(VLOOKUP($M12770,'Informations sur les produits'!$A$3:$H$10000,8,FALSE),"0")</f>
        <v>0</v>
      </c>
      <c r="P12770" s="33">
        <f t="shared" si="796"/>
        <v>0</v>
      </c>
      <c r="Q12770" s="31" t="str">
        <f t="shared" si="797"/>
        <v/>
      </c>
      <c r="R12770" s="32" t="str">
        <f>IFERROR(VLOOKUP($D12770,'Informations sur les produits'!$A$3:$B$15000,2,FALSE),"")</f>
        <v/>
      </c>
      <c r="V12770">
        <f t="shared" si="798"/>
        <v>0</v>
      </c>
      <c r="W12770">
        <f t="shared" si="799"/>
        <v>0</v>
      </c>
    </row>
    <row r="12771" spans="5:23" x14ac:dyDescent="0.25">
      <c r="E12771" s="4"/>
      <c r="F12771" s="4"/>
      <c r="G12771" s="33" t="str">
        <f>IFERROR(VLOOKUP($D12771,'Informations sur les produits'!$A$3:$H$10000,8,FALSE),"0")</f>
        <v>0</v>
      </c>
      <c r="K12771" s="4"/>
      <c r="L12771" s="33" t="str">
        <f>IFERROR(VLOOKUP($J12771,'Informations sur les produits'!$A$3:$H$10000,8,FALSE),"0")</f>
        <v>0</v>
      </c>
      <c r="N12771" s="8"/>
      <c r="O12771" s="33" t="str">
        <f>IFERROR(VLOOKUP($M12771,'Informations sur les produits'!$A$3:$H$10000,8,FALSE),"0")</f>
        <v>0</v>
      </c>
      <c r="P12771" s="33">
        <f t="shared" si="796"/>
        <v>0</v>
      </c>
      <c r="Q12771" s="31" t="str">
        <f t="shared" si="797"/>
        <v/>
      </c>
      <c r="R12771" s="32" t="str">
        <f>IFERROR(VLOOKUP($D12771,'Informations sur les produits'!$A$3:$B$15000,2,FALSE),"")</f>
        <v/>
      </c>
      <c r="V12771">
        <f t="shared" si="798"/>
        <v>0</v>
      </c>
      <c r="W12771">
        <f t="shared" si="799"/>
        <v>0</v>
      </c>
    </row>
    <row r="12772" spans="5:23" x14ac:dyDescent="0.25">
      <c r="E12772" s="4"/>
      <c r="F12772" s="4"/>
      <c r="G12772" s="33" t="str">
        <f>IFERROR(VLOOKUP($D12772,'Informations sur les produits'!$A$3:$H$10000,8,FALSE),"0")</f>
        <v>0</v>
      </c>
      <c r="K12772" s="4"/>
      <c r="L12772" s="33" t="str">
        <f>IFERROR(VLOOKUP($J12772,'Informations sur les produits'!$A$3:$H$10000,8,FALSE),"0")</f>
        <v>0</v>
      </c>
      <c r="N12772" s="8"/>
      <c r="O12772" s="33" t="str">
        <f>IFERROR(VLOOKUP($M12772,'Informations sur les produits'!$A$3:$H$10000,8,FALSE),"0")</f>
        <v>0</v>
      </c>
      <c r="P12772" s="33">
        <f t="shared" si="796"/>
        <v>0</v>
      </c>
      <c r="Q12772" s="31" t="str">
        <f t="shared" si="797"/>
        <v/>
      </c>
      <c r="R12772" s="32" t="str">
        <f>IFERROR(VLOOKUP($D12772,'Informations sur les produits'!$A$3:$B$15000,2,FALSE),"")</f>
        <v/>
      </c>
      <c r="V12772">
        <f t="shared" si="798"/>
        <v>0</v>
      </c>
      <c r="W12772">
        <f t="shared" si="799"/>
        <v>0</v>
      </c>
    </row>
    <row r="12773" spans="5:23" x14ac:dyDescent="0.25">
      <c r="E12773" s="4"/>
      <c r="F12773" s="4"/>
      <c r="G12773" s="33" t="str">
        <f>IFERROR(VLOOKUP($D12773,'Informations sur les produits'!$A$3:$H$10000,8,FALSE),"0")</f>
        <v>0</v>
      </c>
      <c r="K12773" s="4"/>
      <c r="L12773" s="33" t="str">
        <f>IFERROR(VLOOKUP($J12773,'Informations sur les produits'!$A$3:$H$10000,8,FALSE),"0")</f>
        <v>0</v>
      </c>
      <c r="N12773" s="8"/>
      <c r="O12773" s="33" t="str">
        <f>IFERROR(VLOOKUP($M12773,'Informations sur les produits'!$A$3:$H$10000,8,FALSE),"0")</f>
        <v>0</v>
      </c>
      <c r="P12773" s="33">
        <f t="shared" si="796"/>
        <v>0</v>
      </c>
      <c r="Q12773" s="31" t="str">
        <f t="shared" si="797"/>
        <v/>
      </c>
      <c r="R12773" s="32" t="str">
        <f>IFERROR(VLOOKUP($D12773,'Informations sur les produits'!$A$3:$B$15000,2,FALSE),"")</f>
        <v/>
      </c>
      <c r="V12773">
        <f t="shared" si="798"/>
        <v>0</v>
      </c>
      <c r="W12773">
        <f t="shared" si="799"/>
        <v>0</v>
      </c>
    </row>
    <row r="12774" spans="5:23" x14ac:dyDescent="0.25">
      <c r="E12774" s="4"/>
      <c r="F12774" s="4"/>
      <c r="G12774" s="33" t="str">
        <f>IFERROR(VLOOKUP($D12774,'Informations sur les produits'!$A$3:$H$10000,8,FALSE),"0")</f>
        <v>0</v>
      </c>
      <c r="K12774" s="4"/>
      <c r="L12774" s="33" t="str">
        <f>IFERROR(VLOOKUP($J12774,'Informations sur les produits'!$A$3:$H$10000,8,FALSE),"0")</f>
        <v>0</v>
      </c>
      <c r="N12774" s="8"/>
      <c r="O12774" s="33" t="str">
        <f>IFERROR(VLOOKUP($M12774,'Informations sur les produits'!$A$3:$H$10000,8,FALSE),"0")</f>
        <v>0</v>
      </c>
      <c r="P12774" s="33">
        <f t="shared" si="796"/>
        <v>0</v>
      </c>
      <c r="Q12774" s="31" t="str">
        <f t="shared" si="797"/>
        <v/>
      </c>
      <c r="R12774" s="32" t="str">
        <f>IFERROR(VLOOKUP($D12774,'Informations sur les produits'!$A$3:$B$15000,2,FALSE),"")</f>
        <v/>
      </c>
      <c r="V12774">
        <f t="shared" si="798"/>
        <v>0</v>
      </c>
      <c r="W12774">
        <f t="shared" si="799"/>
        <v>0</v>
      </c>
    </row>
    <row r="12775" spans="5:23" x14ac:dyDescent="0.25">
      <c r="E12775" s="4"/>
      <c r="F12775" s="4"/>
      <c r="G12775" s="33" t="str">
        <f>IFERROR(VLOOKUP($D12775,'Informations sur les produits'!$A$3:$H$10000,8,FALSE),"0")</f>
        <v>0</v>
      </c>
      <c r="K12775" s="4"/>
      <c r="L12775" s="33" t="str">
        <f>IFERROR(VLOOKUP($J12775,'Informations sur les produits'!$A$3:$H$10000,8,FALSE),"0")</f>
        <v>0</v>
      </c>
      <c r="N12775" s="8"/>
      <c r="O12775" s="33" t="str">
        <f>IFERROR(VLOOKUP($M12775,'Informations sur les produits'!$A$3:$H$10000,8,FALSE),"0")</f>
        <v>0</v>
      </c>
      <c r="P12775" s="33">
        <f t="shared" si="796"/>
        <v>0</v>
      </c>
      <c r="Q12775" s="31" t="str">
        <f t="shared" si="797"/>
        <v/>
      </c>
      <c r="R12775" s="32" t="str">
        <f>IFERROR(VLOOKUP($D12775,'Informations sur les produits'!$A$3:$B$15000,2,FALSE),"")</f>
        <v/>
      </c>
      <c r="V12775">
        <f t="shared" si="798"/>
        <v>0</v>
      </c>
      <c r="W12775">
        <f t="shared" si="799"/>
        <v>0</v>
      </c>
    </row>
    <row r="12776" spans="5:23" x14ac:dyDescent="0.25">
      <c r="E12776" s="4"/>
      <c r="F12776" s="4"/>
      <c r="G12776" s="33" t="str">
        <f>IFERROR(VLOOKUP($D12776,'Informations sur les produits'!$A$3:$H$10000,8,FALSE),"0")</f>
        <v>0</v>
      </c>
      <c r="K12776" s="4"/>
      <c r="L12776" s="33" t="str">
        <f>IFERROR(VLOOKUP($J12776,'Informations sur les produits'!$A$3:$H$10000,8,FALSE),"0")</f>
        <v>0</v>
      </c>
      <c r="N12776" s="8"/>
      <c r="O12776" s="33" t="str">
        <f>IFERROR(VLOOKUP($M12776,'Informations sur les produits'!$A$3:$H$10000,8,FALSE),"0")</f>
        <v>0</v>
      </c>
      <c r="P12776" s="33">
        <f t="shared" si="796"/>
        <v>0</v>
      </c>
      <c r="Q12776" s="31" t="str">
        <f t="shared" si="797"/>
        <v/>
      </c>
      <c r="R12776" s="32" t="str">
        <f>IFERROR(VLOOKUP($D12776,'Informations sur les produits'!$A$3:$B$15000,2,FALSE),"")</f>
        <v/>
      </c>
      <c r="V12776">
        <f t="shared" si="798"/>
        <v>0</v>
      </c>
      <c r="W12776">
        <f t="shared" si="799"/>
        <v>0</v>
      </c>
    </row>
    <row r="12777" spans="5:23" x14ac:dyDescent="0.25">
      <c r="E12777" s="4"/>
      <c r="F12777" s="4"/>
      <c r="G12777" s="33" t="str">
        <f>IFERROR(VLOOKUP($D12777,'Informations sur les produits'!$A$3:$H$10000,8,FALSE),"0")</f>
        <v>0</v>
      </c>
      <c r="K12777" s="4"/>
      <c r="L12777" s="33" t="str">
        <f>IFERROR(VLOOKUP($J12777,'Informations sur les produits'!$A$3:$H$10000,8,FALSE),"0")</f>
        <v>0</v>
      </c>
      <c r="N12777" s="8"/>
      <c r="O12777" s="33" t="str">
        <f>IFERROR(VLOOKUP($M12777,'Informations sur les produits'!$A$3:$H$10000,8,FALSE),"0")</f>
        <v>0</v>
      </c>
      <c r="P12777" s="33">
        <f t="shared" si="796"/>
        <v>0</v>
      </c>
      <c r="Q12777" s="31" t="str">
        <f t="shared" si="797"/>
        <v/>
      </c>
      <c r="R12777" s="32" t="str">
        <f>IFERROR(VLOOKUP($D12777,'Informations sur les produits'!$A$3:$B$15000,2,FALSE),"")</f>
        <v/>
      </c>
      <c r="V12777">
        <f t="shared" si="798"/>
        <v>0</v>
      </c>
      <c r="W12777">
        <f t="shared" si="799"/>
        <v>0</v>
      </c>
    </row>
    <row r="12778" spans="5:23" x14ac:dyDescent="0.25">
      <c r="E12778" s="4"/>
      <c r="F12778" s="4"/>
      <c r="G12778" s="33" t="str">
        <f>IFERROR(VLOOKUP($D12778,'Informations sur les produits'!$A$3:$H$10000,8,FALSE),"0")</f>
        <v>0</v>
      </c>
      <c r="K12778" s="4"/>
      <c r="L12778" s="33" t="str">
        <f>IFERROR(VLOOKUP($J12778,'Informations sur les produits'!$A$3:$H$10000,8,FALSE),"0")</f>
        <v>0</v>
      </c>
      <c r="N12778" s="8"/>
      <c r="O12778" s="33" t="str">
        <f>IFERROR(VLOOKUP($M12778,'Informations sur les produits'!$A$3:$H$10000,8,FALSE),"0")</f>
        <v>0</v>
      </c>
      <c r="P12778" s="33">
        <f t="shared" si="796"/>
        <v>0</v>
      </c>
      <c r="Q12778" s="31" t="str">
        <f t="shared" si="797"/>
        <v/>
      </c>
      <c r="R12778" s="32" t="str">
        <f>IFERROR(VLOOKUP($D12778,'Informations sur les produits'!$A$3:$B$15000,2,FALSE),"")</f>
        <v/>
      </c>
      <c r="V12778">
        <f t="shared" si="798"/>
        <v>0</v>
      </c>
      <c r="W12778">
        <f t="shared" si="799"/>
        <v>0</v>
      </c>
    </row>
    <row r="12779" spans="5:23" x14ac:dyDescent="0.25">
      <c r="E12779" s="4"/>
      <c r="F12779" s="4"/>
      <c r="G12779" s="33" t="str">
        <f>IFERROR(VLOOKUP($D12779,'Informations sur les produits'!$A$3:$H$10000,8,FALSE),"0")</f>
        <v>0</v>
      </c>
      <c r="K12779" s="4"/>
      <c r="L12779" s="33" t="str">
        <f>IFERROR(VLOOKUP($J12779,'Informations sur les produits'!$A$3:$H$10000,8,FALSE),"0")</f>
        <v>0</v>
      </c>
      <c r="N12779" s="8"/>
      <c r="O12779" s="33" t="str">
        <f>IFERROR(VLOOKUP($M12779,'Informations sur les produits'!$A$3:$H$10000,8,FALSE),"0")</f>
        <v>0</v>
      </c>
      <c r="P12779" s="33">
        <f t="shared" si="796"/>
        <v>0</v>
      </c>
      <c r="Q12779" s="31" t="str">
        <f t="shared" si="797"/>
        <v/>
      </c>
      <c r="R12779" s="32" t="str">
        <f>IFERROR(VLOOKUP($D12779,'Informations sur les produits'!$A$3:$B$15000,2,FALSE),"")</f>
        <v/>
      </c>
      <c r="V12779">
        <f t="shared" si="798"/>
        <v>0</v>
      </c>
      <c r="W12779">
        <f t="shared" si="799"/>
        <v>0</v>
      </c>
    </row>
    <row r="12780" spans="5:23" x14ac:dyDescent="0.25">
      <c r="E12780" s="4"/>
      <c r="F12780" s="4"/>
      <c r="G12780" s="33" t="str">
        <f>IFERROR(VLOOKUP($D12780,'Informations sur les produits'!$A$3:$H$10000,8,FALSE),"0")</f>
        <v>0</v>
      </c>
      <c r="K12780" s="4"/>
      <c r="L12780" s="33" t="str">
        <f>IFERROR(VLOOKUP($J12780,'Informations sur les produits'!$A$3:$H$10000,8,FALSE),"0")</f>
        <v>0</v>
      </c>
      <c r="N12780" s="8"/>
      <c r="O12780" s="33" t="str">
        <f>IFERROR(VLOOKUP($M12780,'Informations sur les produits'!$A$3:$H$10000,8,FALSE),"0")</f>
        <v>0</v>
      </c>
      <c r="P12780" s="33">
        <f t="shared" si="796"/>
        <v>0</v>
      </c>
      <c r="Q12780" s="31" t="str">
        <f t="shared" si="797"/>
        <v/>
      </c>
      <c r="R12780" s="32" t="str">
        <f>IFERROR(VLOOKUP($D12780,'Informations sur les produits'!$A$3:$B$15000,2,FALSE),"")</f>
        <v/>
      </c>
      <c r="V12780">
        <f t="shared" si="798"/>
        <v>0</v>
      </c>
      <c r="W12780">
        <f t="shared" si="799"/>
        <v>0</v>
      </c>
    </row>
    <row r="12781" spans="5:23" x14ac:dyDescent="0.25">
      <c r="E12781" s="4"/>
      <c r="F12781" s="4"/>
      <c r="G12781" s="33" t="str">
        <f>IFERROR(VLOOKUP($D12781,'Informations sur les produits'!$A$3:$H$10000,8,FALSE),"0")</f>
        <v>0</v>
      </c>
      <c r="K12781" s="4"/>
      <c r="L12781" s="33" t="str">
        <f>IFERROR(VLOOKUP($J12781,'Informations sur les produits'!$A$3:$H$10000,8,FALSE),"0")</f>
        <v>0</v>
      </c>
      <c r="N12781" s="8"/>
      <c r="O12781" s="33" t="str">
        <f>IFERROR(VLOOKUP($M12781,'Informations sur les produits'!$A$3:$H$10000,8,FALSE),"0")</f>
        <v>0</v>
      </c>
      <c r="P12781" s="33">
        <f t="shared" si="796"/>
        <v>0</v>
      </c>
      <c r="Q12781" s="31" t="str">
        <f t="shared" si="797"/>
        <v/>
      </c>
      <c r="R12781" s="32" t="str">
        <f>IFERROR(VLOOKUP($D12781,'Informations sur les produits'!$A$3:$B$15000,2,FALSE),"")</f>
        <v/>
      </c>
      <c r="V12781">
        <f t="shared" si="798"/>
        <v>0</v>
      </c>
      <c r="W12781">
        <f t="shared" si="799"/>
        <v>0</v>
      </c>
    </row>
    <row r="12782" spans="5:23" x14ac:dyDescent="0.25">
      <c r="E12782" s="4"/>
      <c r="F12782" s="4"/>
      <c r="G12782" s="33" t="str">
        <f>IFERROR(VLOOKUP($D12782,'Informations sur les produits'!$A$3:$H$10000,8,FALSE),"0")</f>
        <v>0</v>
      </c>
      <c r="K12782" s="4"/>
      <c r="L12782" s="33" t="str">
        <f>IFERROR(VLOOKUP($J12782,'Informations sur les produits'!$A$3:$H$10000,8,FALSE),"0")</f>
        <v>0</v>
      </c>
      <c r="N12782" s="8"/>
      <c r="O12782" s="33" t="str">
        <f>IFERROR(VLOOKUP($M12782,'Informations sur les produits'!$A$3:$H$10000,8,FALSE),"0")</f>
        <v>0</v>
      </c>
      <c r="P12782" s="33">
        <f t="shared" si="796"/>
        <v>0</v>
      </c>
      <c r="Q12782" s="31" t="str">
        <f t="shared" si="797"/>
        <v/>
      </c>
      <c r="R12782" s="32" t="str">
        <f>IFERROR(VLOOKUP($D12782,'Informations sur les produits'!$A$3:$B$15000,2,FALSE),"")</f>
        <v/>
      </c>
      <c r="V12782">
        <f t="shared" si="798"/>
        <v>0</v>
      </c>
      <c r="W12782">
        <f t="shared" si="799"/>
        <v>0</v>
      </c>
    </row>
    <row r="12783" spans="5:23" x14ac:dyDescent="0.25">
      <c r="E12783" s="4"/>
      <c r="F12783" s="4"/>
      <c r="G12783" s="33" t="str">
        <f>IFERROR(VLOOKUP($D12783,'Informations sur les produits'!$A$3:$H$10000,8,FALSE),"0")</f>
        <v>0</v>
      </c>
      <c r="K12783" s="4"/>
      <c r="L12783" s="33" t="str">
        <f>IFERROR(VLOOKUP($J12783,'Informations sur les produits'!$A$3:$H$10000,8,FALSE),"0")</f>
        <v>0</v>
      </c>
      <c r="N12783" s="8"/>
      <c r="O12783" s="33" t="str">
        <f>IFERROR(VLOOKUP($M12783,'Informations sur les produits'!$A$3:$H$10000,8,FALSE),"0")</f>
        <v>0</v>
      </c>
      <c r="P12783" s="33">
        <f t="shared" si="796"/>
        <v>0</v>
      </c>
      <c r="Q12783" s="31" t="str">
        <f t="shared" si="797"/>
        <v/>
      </c>
      <c r="R12783" s="32" t="str">
        <f>IFERROR(VLOOKUP($D12783,'Informations sur les produits'!$A$3:$B$15000,2,FALSE),"")</f>
        <v/>
      </c>
      <c r="V12783">
        <f t="shared" si="798"/>
        <v>0</v>
      </c>
      <c r="W12783">
        <f t="shared" si="799"/>
        <v>0</v>
      </c>
    </row>
    <row r="12784" spans="5:23" x14ac:dyDescent="0.25">
      <c r="E12784" s="4"/>
      <c r="F12784" s="4"/>
      <c r="G12784" s="33" t="str">
        <f>IFERROR(VLOOKUP($D12784,'Informations sur les produits'!$A$3:$H$10000,8,FALSE),"0")</f>
        <v>0</v>
      </c>
      <c r="K12784" s="4"/>
      <c r="L12784" s="33" t="str">
        <f>IFERROR(VLOOKUP($J12784,'Informations sur les produits'!$A$3:$H$10000,8,FALSE),"0")</f>
        <v>0</v>
      </c>
      <c r="N12784" s="8"/>
      <c r="O12784" s="33" t="str">
        <f>IFERROR(VLOOKUP($M12784,'Informations sur les produits'!$A$3:$H$10000,8,FALSE),"0")</f>
        <v>0</v>
      </c>
      <c r="P12784" s="33">
        <f t="shared" si="796"/>
        <v>0</v>
      </c>
      <c r="Q12784" s="31" t="str">
        <f t="shared" si="797"/>
        <v/>
      </c>
      <c r="R12784" s="32" t="str">
        <f>IFERROR(VLOOKUP($D12784,'Informations sur les produits'!$A$3:$B$15000,2,FALSE),"")</f>
        <v/>
      </c>
      <c r="V12784">
        <f t="shared" si="798"/>
        <v>0</v>
      </c>
      <c r="W12784">
        <f t="shared" si="799"/>
        <v>0</v>
      </c>
    </row>
    <row r="12785" spans="5:23" x14ac:dyDescent="0.25">
      <c r="E12785" s="4"/>
      <c r="F12785" s="4"/>
      <c r="G12785" s="33" t="str">
        <f>IFERROR(VLOOKUP($D12785,'Informations sur les produits'!$A$3:$H$10000,8,FALSE),"0")</f>
        <v>0</v>
      </c>
      <c r="K12785" s="4"/>
      <c r="L12785" s="33" t="str">
        <f>IFERROR(VLOOKUP($J12785,'Informations sur les produits'!$A$3:$H$10000,8,FALSE),"0")</f>
        <v>0</v>
      </c>
      <c r="N12785" s="8"/>
      <c r="O12785" s="33" t="str">
        <f>IFERROR(VLOOKUP($M12785,'Informations sur les produits'!$A$3:$H$10000,8,FALSE),"0")</f>
        <v>0</v>
      </c>
      <c r="P12785" s="33">
        <f t="shared" si="796"/>
        <v>0</v>
      </c>
      <c r="Q12785" s="31" t="str">
        <f t="shared" si="797"/>
        <v/>
      </c>
      <c r="R12785" s="32" t="str">
        <f>IFERROR(VLOOKUP($D12785,'Informations sur les produits'!$A$3:$B$15000,2,FALSE),"")</f>
        <v/>
      </c>
      <c r="V12785">
        <f t="shared" si="798"/>
        <v>0</v>
      </c>
      <c r="W12785">
        <f t="shared" si="799"/>
        <v>0</v>
      </c>
    </row>
    <row r="12786" spans="5:23" x14ac:dyDescent="0.25">
      <c r="E12786" s="4"/>
      <c r="F12786" s="4"/>
      <c r="G12786" s="33" t="str">
        <f>IFERROR(VLOOKUP($D12786,'Informations sur les produits'!$A$3:$H$10000,8,FALSE),"0")</f>
        <v>0</v>
      </c>
      <c r="K12786" s="4"/>
      <c r="L12786" s="33" t="str">
        <f>IFERROR(VLOOKUP($J12786,'Informations sur les produits'!$A$3:$H$10000,8,FALSE),"0")</f>
        <v>0</v>
      </c>
      <c r="N12786" s="8"/>
      <c r="O12786" s="33" t="str">
        <f>IFERROR(VLOOKUP($M12786,'Informations sur les produits'!$A$3:$H$10000,8,FALSE),"0")</f>
        <v>0</v>
      </c>
      <c r="P12786" s="33">
        <f t="shared" si="796"/>
        <v>0</v>
      </c>
      <c r="Q12786" s="31" t="str">
        <f t="shared" si="797"/>
        <v/>
      </c>
      <c r="R12786" s="32" t="str">
        <f>IFERROR(VLOOKUP($D12786,'Informations sur les produits'!$A$3:$B$15000,2,FALSE),"")</f>
        <v/>
      </c>
      <c r="V12786">
        <f t="shared" si="798"/>
        <v>0</v>
      </c>
      <c r="W12786">
        <f t="shared" si="799"/>
        <v>0</v>
      </c>
    </row>
    <row r="12787" spans="5:23" x14ac:dyDescent="0.25">
      <c r="E12787" s="4"/>
      <c r="F12787" s="4"/>
      <c r="G12787" s="33" t="str">
        <f>IFERROR(VLOOKUP($D12787,'Informations sur les produits'!$A$3:$H$10000,8,FALSE),"0")</f>
        <v>0</v>
      </c>
      <c r="K12787" s="4"/>
      <c r="L12787" s="33" t="str">
        <f>IFERROR(VLOOKUP($J12787,'Informations sur les produits'!$A$3:$H$10000,8,FALSE),"0")</f>
        <v>0</v>
      </c>
      <c r="N12787" s="8"/>
      <c r="O12787" s="33" t="str">
        <f>IFERROR(VLOOKUP($M12787,'Informations sur les produits'!$A$3:$H$10000,8,FALSE),"0")</f>
        <v>0</v>
      </c>
      <c r="P12787" s="33">
        <f t="shared" si="796"/>
        <v>0</v>
      </c>
      <c r="Q12787" s="31" t="str">
        <f t="shared" si="797"/>
        <v/>
      </c>
      <c r="R12787" s="32" t="str">
        <f>IFERROR(VLOOKUP($D12787,'Informations sur les produits'!$A$3:$B$15000,2,FALSE),"")</f>
        <v/>
      </c>
      <c r="V12787">
        <f t="shared" si="798"/>
        <v>0</v>
      </c>
      <c r="W12787">
        <f t="shared" si="799"/>
        <v>0</v>
      </c>
    </row>
    <row r="12788" spans="5:23" x14ac:dyDescent="0.25">
      <c r="E12788" s="4"/>
      <c r="F12788" s="4"/>
      <c r="G12788" s="33" t="str">
        <f>IFERROR(VLOOKUP($D12788,'Informations sur les produits'!$A$3:$H$10000,8,FALSE),"0")</f>
        <v>0</v>
      </c>
      <c r="K12788" s="4"/>
      <c r="L12788" s="33" t="str">
        <f>IFERROR(VLOOKUP($J12788,'Informations sur les produits'!$A$3:$H$10000,8,FALSE),"0")</f>
        <v>0</v>
      </c>
      <c r="N12788" s="8"/>
      <c r="O12788" s="33" t="str">
        <f>IFERROR(VLOOKUP($M12788,'Informations sur les produits'!$A$3:$H$10000,8,FALSE),"0")</f>
        <v>0</v>
      </c>
      <c r="P12788" s="33">
        <f t="shared" si="796"/>
        <v>0</v>
      </c>
      <c r="Q12788" s="31" t="str">
        <f t="shared" si="797"/>
        <v/>
      </c>
      <c r="R12788" s="32" t="str">
        <f>IFERROR(VLOOKUP($D12788,'Informations sur les produits'!$A$3:$B$15000,2,FALSE),"")</f>
        <v/>
      </c>
      <c r="V12788">
        <f t="shared" si="798"/>
        <v>0</v>
      </c>
      <c r="W12788">
        <f t="shared" si="799"/>
        <v>0</v>
      </c>
    </row>
    <row r="12789" spans="5:23" x14ac:dyDescent="0.25">
      <c r="E12789" s="4"/>
      <c r="F12789" s="4"/>
      <c r="G12789" s="33" t="str">
        <f>IFERROR(VLOOKUP($D12789,'Informations sur les produits'!$A$3:$H$10000,8,FALSE),"0")</f>
        <v>0</v>
      </c>
      <c r="K12789" s="4"/>
      <c r="L12789" s="33" t="str">
        <f>IFERROR(VLOOKUP($J12789,'Informations sur les produits'!$A$3:$H$10000,8,FALSE),"0")</f>
        <v>0</v>
      </c>
      <c r="N12789" s="8"/>
      <c r="O12789" s="33" t="str">
        <f>IFERROR(VLOOKUP($M12789,'Informations sur les produits'!$A$3:$H$10000,8,FALSE),"0")</f>
        <v>0</v>
      </c>
      <c r="P12789" s="33">
        <f t="shared" si="796"/>
        <v>0</v>
      </c>
      <c r="Q12789" s="31" t="str">
        <f t="shared" si="797"/>
        <v/>
      </c>
      <c r="R12789" s="32" t="str">
        <f>IFERROR(VLOOKUP($D12789,'Informations sur les produits'!$A$3:$B$15000,2,FALSE),"")</f>
        <v/>
      </c>
      <c r="V12789">
        <f t="shared" si="798"/>
        <v>0</v>
      </c>
      <c r="W12789">
        <f t="shared" si="799"/>
        <v>0</v>
      </c>
    </row>
    <row r="12790" spans="5:23" x14ac:dyDescent="0.25">
      <c r="E12790" s="4"/>
      <c r="F12790" s="4"/>
      <c r="G12790" s="33" t="str">
        <f>IFERROR(VLOOKUP($D12790,'Informations sur les produits'!$A$3:$H$10000,8,FALSE),"0")</f>
        <v>0</v>
      </c>
      <c r="K12790" s="4"/>
      <c r="L12790" s="33" t="str">
        <f>IFERROR(VLOOKUP($J12790,'Informations sur les produits'!$A$3:$H$10000,8,FALSE),"0")</f>
        <v>0</v>
      </c>
      <c r="N12790" s="8"/>
      <c r="O12790" s="33" t="str">
        <f>IFERROR(VLOOKUP($M12790,'Informations sur les produits'!$A$3:$H$10000,8,FALSE),"0")</f>
        <v>0</v>
      </c>
      <c r="P12790" s="33">
        <f t="shared" si="796"/>
        <v>0</v>
      </c>
      <c r="Q12790" s="31" t="str">
        <f t="shared" si="797"/>
        <v/>
      </c>
      <c r="R12790" s="32" t="str">
        <f>IFERROR(VLOOKUP($D12790,'Informations sur les produits'!$A$3:$B$15000,2,FALSE),"")</f>
        <v/>
      </c>
      <c r="V12790">
        <f t="shared" si="798"/>
        <v>0</v>
      </c>
      <c r="W12790">
        <f t="shared" si="799"/>
        <v>0</v>
      </c>
    </row>
    <row r="12791" spans="5:23" x14ac:dyDescent="0.25">
      <c r="E12791" s="4"/>
      <c r="F12791" s="4"/>
      <c r="G12791" s="33" t="str">
        <f>IFERROR(VLOOKUP($D12791,'Informations sur les produits'!$A$3:$H$10000,8,FALSE),"0")</f>
        <v>0</v>
      </c>
      <c r="K12791" s="4"/>
      <c r="L12791" s="33" t="str">
        <f>IFERROR(VLOOKUP($J12791,'Informations sur les produits'!$A$3:$H$10000,8,FALSE),"0")</f>
        <v>0</v>
      </c>
      <c r="N12791" s="8"/>
      <c r="O12791" s="33" t="str">
        <f>IFERROR(VLOOKUP($M12791,'Informations sur les produits'!$A$3:$H$10000,8,FALSE),"0")</f>
        <v>0</v>
      </c>
      <c r="P12791" s="33">
        <f t="shared" si="796"/>
        <v>0</v>
      </c>
      <c r="Q12791" s="31" t="str">
        <f t="shared" si="797"/>
        <v/>
      </c>
      <c r="R12791" s="32" t="str">
        <f>IFERROR(VLOOKUP($D12791,'Informations sur les produits'!$A$3:$B$15000,2,FALSE),"")</f>
        <v/>
      </c>
      <c r="V12791">
        <f t="shared" si="798"/>
        <v>0</v>
      </c>
      <c r="W12791">
        <f t="shared" si="799"/>
        <v>0</v>
      </c>
    </row>
    <row r="12792" spans="5:23" x14ac:dyDescent="0.25">
      <c r="E12792" s="4"/>
      <c r="F12792" s="4"/>
      <c r="G12792" s="33" t="str">
        <f>IFERROR(VLOOKUP($D12792,'Informations sur les produits'!$A$3:$H$10000,8,FALSE),"0")</f>
        <v>0</v>
      </c>
      <c r="K12792" s="4"/>
      <c r="L12792" s="33" t="str">
        <f>IFERROR(VLOOKUP($J12792,'Informations sur les produits'!$A$3:$H$10000,8,FALSE),"0")</f>
        <v>0</v>
      </c>
      <c r="N12792" s="8"/>
      <c r="O12792" s="33" t="str">
        <f>IFERROR(VLOOKUP($M12792,'Informations sur les produits'!$A$3:$H$10000,8,FALSE),"0")</f>
        <v>0</v>
      </c>
      <c r="P12792" s="33">
        <f t="shared" si="796"/>
        <v>0</v>
      </c>
      <c r="Q12792" s="31" t="str">
        <f t="shared" si="797"/>
        <v/>
      </c>
      <c r="R12792" s="32" t="str">
        <f>IFERROR(VLOOKUP($D12792,'Informations sur les produits'!$A$3:$B$15000,2,FALSE),"")</f>
        <v/>
      </c>
      <c r="V12792">
        <f t="shared" si="798"/>
        <v>0</v>
      </c>
      <c r="W12792">
        <f t="shared" si="799"/>
        <v>0</v>
      </c>
    </row>
    <row r="12793" spans="5:23" x14ac:dyDescent="0.25">
      <c r="E12793" s="4"/>
      <c r="F12793" s="4"/>
      <c r="G12793" s="33" t="str">
        <f>IFERROR(VLOOKUP($D12793,'Informations sur les produits'!$A$3:$H$10000,8,FALSE),"0")</f>
        <v>0</v>
      </c>
      <c r="K12793" s="4"/>
      <c r="L12793" s="33" t="str">
        <f>IFERROR(VLOOKUP($J12793,'Informations sur les produits'!$A$3:$H$10000,8,FALSE),"0")</f>
        <v>0</v>
      </c>
      <c r="N12793" s="8"/>
      <c r="O12793" s="33" t="str">
        <f>IFERROR(VLOOKUP($M12793,'Informations sur les produits'!$A$3:$H$10000,8,FALSE),"0")</f>
        <v>0</v>
      </c>
      <c r="P12793" s="33">
        <f t="shared" si="796"/>
        <v>0</v>
      </c>
      <c r="Q12793" s="31" t="str">
        <f t="shared" si="797"/>
        <v/>
      </c>
      <c r="R12793" s="32" t="str">
        <f>IFERROR(VLOOKUP($D12793,'Informations sur les produits'!$A$3:$B$15000,2,FALSE),"")</f>
        <v/>
      </c>
      <c r="V12793">
        <f t="shared" si="798"/>
        <v>0</v>
      </c>
      <c r="W12793">
        <f t="shared" si="799"/>
        <v>0</v>
      </c>
    </row>
    <row r="12794" spans="5:23" x14ac:dyDescent="0.25">
      <c r="E12794" s="4"/>
      <c r="F12794" s="4"/>
      <c r="G12794" s="33" t="str">
        <f>IFERROR(VLOOKUP($D12794,'Informations sur les produits'!$A$3:$H$10000,8,FALSE),"0")</f>
        <v>0</v>
      </c>
      <c r="K12794" s="4"/>
      <c r="L12794" s="33" t="str">
        <f>IFERROR(VLOOKUP($J12794,'Informations sur les produits'!$A$3:$H$10000,8,FALSE),"0")</f>
        <v>0</v>
      </c>
      <c r="N12794" s="8"/>
      <c r="O12794" s="33" t="str">
        <f>IFERROR(VLOOKUP($M12794,'Informations sur les produits'!$A$3:$H$10000,8,FALSE),"0")</f>
        <v>0</v>
      </c>
      <c r="P12794" s="33">
        <f t="shared" si="796"/>
        <v>0</v>
      </c>
      <c r="Q12794" s="31" t="str">
        <f t="shared" si="797"/>
        <v/>
      </c>
      <c r="R12794" s="32" t="str">
        <f>IFERROR(VLOOKUP($D12794,'Informations sur les produits'!$A$3:$B$15000,2,FALSE),"")</f>
        <v/>
      </c>
      <c r="V12794">
        <f t="shared" si="798"/>
        <v>0</v>
      </c>
      <c r="W12794">
        <f t="shared" si="799"/>
        <v>0</v>
      </c>
    </row>
    <row r="12795" spans="5:23" x14ac:dyDescent="0.25">
      <c r="E12795" s="4"/>
      <c r="F12795" s="4"/>
      <c r="G12795" s="33" t="str">
        <f>IFERROR(VLOOKUP($D12795,'Informations sur les produits'!$A$3:$H$10000,8,FALSE),"0")</f>
        <v>0</v>
      </c>
      <c r="K12795" s="4"/>
      <c r="L12795" s="33" t="str">
        <f>IFERROR(VLOOKUP($J12795,'Informations sur les produits'!$A$3:$H$10000,8,FALSE),"0")</f>
        <v>0</v>
      </c>
      <c r="N12795" s="8"/>
      <c r="O12795" s="33" t="str">
        <f>IFERROR(VLOOKUP($M12795,'Informations sur les produits'!$A$3:$H$10000,8,FALSE),"0")</f>
        <v>0</v>
      </c>
      <c r="P12795" s="33">
        <f t="shared" si="796"/>
        <v>0</v>
      </c>
      <c r="Q12795" s="31" t="str">
        <f t="shared" si="797"/>
        <v/>
      </c>
      <c r="R12795" s="32" t="str">
        <f>IFERROR(VLOOKUP($D12795,'Informations sur les produits'!$A$3:$B$15000,2,FALSE),"")</f>
        <v/>
      </c>
      <c r="V12795">
        <f t="shared" si="798"/>
        <v>0</v>
      </c>
      <c r="W12795">
        <f t="shared" si="799"/>
        <v>0</v>
      </c>
    </row>
    <row r="12796" spans="5:23" x14ac:dyDescent="0.25">
      <c r="E12796" s="4"/>
      <c r="F12796" s="4"/>
      <c r="G12796" s="33" t="str">
        <f>IFERROR(VLOOKUP($D12796,'Informations sur les produits'!$A$3:$H$10000,8,FALSE),"0")</f>
        <v>0</v>
      </c>
      <c r="K12796" s="4"/>
      <c r="L12796" s="33" t="str">
        <f>IFERROR(VLOOKUP($J12796,'Informations sur les produits'!$A$3:$H$10000,8,FALSE),"0")</f>
        <v>0</v>
      </c>
      <c r="N12796" s="8"/>
      <c r="O12796" s="33" t="str">
        <f>IFERROR(VLOOKUP($M12796,'Informations sur les produits'!$A$3:$H$10000,8,FALSE),"0")</f>
        <v>0</v>
      </c>
      <c r="P12796" s="33">
        <f t="shared" si="796"/>
        <v>0</v>
      </c>
      <c r="Q12796" s="31" t="str">
        <f t="shared" si="797"/>
        <v/>
      </c>
      <c r="R12796" s="32" t="str">
        <f>IFERROR(VLOOKUP($D12796,'Informations sur les produits'!$A$3:$B$15000,2,FALSE),"")</f>
        <v/>
      </c>
      <c r="V12796">
        <f t="shared" si="798"/>
        <v>0</v>
      </c>
      <c r="W12796">
        <f t="shared" si="799"/>
        <v>0</v>
      </c>
    </row>
    <row r="12797" spans="5:23" x14ac:dyDescent="0.25">
      <c r="E12797" s="4"/>
      <c r="F12797" s="4"/>
      <c r="G12797" s="33" t="str">
        <f>IFERROR(VLOOKUP($D12797,'Informations sur les produits'!$A$3:$H$10000,8,FALSE),"0")</f>
        <v>0</v>
      </c>
      <c r="K12797" s="4"/>
      <c r="L12797" s="33" t="str">
        <f>IFERROR(VLOOKUP($J12797,'Informations sur les produits'!$A$3:$H$10000,8,FALSE),"0")</f>
        <v>0</v>
      </c>
      <c r="N12797" s="8"/>
      <c r="O12797" s="33" t="str">
        <f>IFERROR(VLOOKUP($M12797,'Informations sur les produits'!$A$3:$H$10000,8,FALSE),"0")</f>
        <v>0</v>
      </c>
      <c r="P12797" s="33">
        <f t="shared" si="796"/>
        <v>0</v>
      </c>
      <c r="Q12797" s="31" t="str">
        <f t="shared" si="797"/>
        <v/>
      </c>
      <c r="R12797" s="32" t="str">
        <f>IFERROR(VLOOKUP($D12797,'Informations sur les produits'!$A$3:$B$15000,2,FALSE),"")</f>
        <v/>
      </c>
      <c r="V12797">
        <f t="shared" si="798"/>
        <v>0</v>
      </c>
      <c r="W12797">
        <f t="shared" si="799"/>
        <v>0</v>
      </c>
    </row>
    <row r="12798" spans="5:23" x14ac:dyDescent="0.25">
      <c r="E12798" s="4"/>
      <c r="F12798" s="4"/>
      <c r="G12798" s="33" t="str">
        <f>IFERROR(VLOOKUP($D12798,'Informations sur les produits'!$A$3:$H$10000,8,FALSE),"0")</f>
        <v>0</v>
      </c>
      <c r="K12798" s="4"/>
      <c r="L12798" s="33" t="str">
        <f>IFERROR(VLOOKUP($J12798,'Informations sur les produits'!$A$3:$H$10000,8,FALSE),"0")</f>
        <v>0</v>
      </c>
      <c r="N12798" s="8"/>
      <c r="O12798" s="33" t="str">
        <f>IFERROR(VLOOKUP($M12798,'Informations sur les produits'!$A$3:$H$10000,8,FALSE),"0")</f>
        <v>0</v>
      </c>
      <c r="P12798" s="33">
        <f t="shared" si="796"/>
        <v>0</v>
      </c>
      <c r="Q12798" s="31" t="str">
        <f t="shared" si="797"/>
        <v/>
      </c>
      <c r="R12798" s="32" t="str">
        <f>IFERROR(VLOOKUP($D12798,'Informations sur les produits'!$A$3:$B$15000,2,FALSE),"")</f>
        <v/>
      </c>
      <c r="V12798">
        <f t="shared" si="798"/>
        <v>0</v>
      </c>
      <c r="W12798">
        <f t="shared" si="799"/>
        <v>0</v>
      </c>
    </row>
    <row r="12799" spans="5:23" x14ac:dyDescent="0.25">
      <c r="E12799" s="4"/>
      <c r="F12799" s="4"/>
      <c r="G12799" s="33" t="str">
        <f>IFERROR(VLOOKUP($D12799,'Informations sur les produits'!$A$3:$H$10000,8,FALSE),"0")</f>
        <v>0</v>
      </c>
      <c r="K12799" s="4"/>
      <c r="L12799" s="33" t="str">
        <f>IFERROR(VLOOKUP($J12799,'Informations sur les produits'!$A$3:$H$10000,8,FALSE),"0")</f>
        <v>0</v>
      </c>
      <c r="N12799" s="8"/>
      <c r="O12799" s="33" t="str">
        <f>IFERROR(VLOOKUP($M12799,'Informations sur les produits'!$A$3:$H$10000,8,FALSE),"0")</f>
        <v>0</v>
      </c>
      <c r="P12799" s="33">
        <f t="shared" si="796"/>
        <v>0</v>
      </c>
      <c r="Q12799" s="31" t="str">
        <f t="shared" si="797"/>
        <v/>
      </c>
      <c r="R12799" s="32" t="str">
        <f>IFERROR(VLOOKUP($D12799,'Informations sur les produits'!$A$3:$B$15000,2,FALSE),"")</f>
        <v/>
      </c>
      <c r="V12799">
        <f t="shared" si="798"/>
        <v>0</v>
      </c>
      <c r="W12799">
        <f t="shared" si="799"/>
        <v>0</v>
      </c>
    </row>
    <row r="12800" spans="5:23" x14ac:dyDescent="0.25">
      <c r="E12800" s="4"/>
      <c r="F12800" s="4"/>
      <c r="G12800" s="33" t="str">
        <f>IFERROR(VLOOKUP($D12800,'Informations sur les produits'!$A$3:$H$10000,8,FALSE),"0")</f>
        <v>0</v>
      </c>
      <c r="K12800" s="4"/>
      <c r="L12800" s="33" t="str">
        <f>IFERROR(VLOOKUP($J12800,'Informations sur les produits'!$A$3:$H$10000,8,FALSE),"0")</f>
        <v>0</v>
      </c>
      <c r="N12800" s="8"/>
      <c r="O12800" s="33" t="str">
        <f>IFERROR(VLOOKUP($M12800,'Informations sur les produits'!$A$3:$H$10000,8,FALSE),"0")</f>
        <v>0</v>
      </c>
      <c r="P12800" s="33">
        <f t="shared" si="796"/>
        <v>0</v>
      </c>
      <c r="Q12800" s="31" t="str">
        <f t="shared" si="797"/>
        <v/>
      </c>
      <c r="R12800" s="32" t="str">
        <f>IFERROR(VLOOKUP($D12800,'Informations sur les produits'!$A$3:$B$15000,2,FALSE),"")</f>
        <v/>
      </c>
      <c r="V12800">
        <f t="shared" si="798"/>
        <v>0</v>
      </c>
      <c r="W12800">
        <f t="shared" si="799"/>
        <v>0</v>
      </c>
    </row>
    <row r="12801" spans="5:23" x14ac:dyDescent="0.25">
      <c r="E12801" s="4"/>
      <c r="F12801" s="4"/>
      <c r="G12801" s="33" t="str">
        <f>IFERROR(VLOOKUP($D12801,'Informations sur les produits'!$A$3:$H$10000,8,FALSE),"0")</f>
        <v>0</v>
      </c>
      <c r="K12801" s="4"/>
      <c r="L12801" s="33" t="str">
        <f>IFERROR(VLOOKUP($J12801,'Informations sur les produits'!$A$3:$H$10000,8,FALSE),"0")</f>
        <v>0</v>
      </c>
      <c r="N12801" s="8"/>
      <c r="O12801" s="33" t="str">
        <f>IFERROR(VLOOKUP($M12801,'Informations sur les produits'!$A$3:$H$10000,8,FALSE),"0")</f>
        <v>0</v>
      </c>
      <c r="P12801" s="33">
        <f t="shared" si="796"/>
        <v>0</v>
      </c>
      <c r="Q12801" s="31" t="str">
        <f t="shared" si="797"/>
        <v/>
      </c>
      <c r="R12801" s="32" t="str">
        <f>IFERROR(VLOOKUP($D12801,'Informations sur les produits'!$A$3:$B$15000,2,FALSE),"")</f>
        <v/>
      </c>
      <c r="V12801">
        <f t="shared" si="798"/>
        <v>0</v>
      </c>
      <c r="W12801">
        <f t="shared" si="799"/>
        <v>0</v>
      </c>
    </row>
    <row r="12802" spans="5:23" x14ac:dyDescent="0.25">
      <c r="E12802" s="4"/>
      <c r="F12802" s="4"/>
      <c r="G12802" s="33" t="str">
        <f>IFERROR(VLOOKUP($D12802,'Informations sur les produits'!$A$3:$H$10000,8,FALSE),"0")</f>
        <v>0</v>
      </c>
      <c r="K12802" s="4"/>
      <c r="L12802" s="33" t="str">
        <f>IFERROR(VLOOKUP($J12802,'Informations sur les produits'!$A$3:$H$10000,8,FALSE),"0")</f>
        <v>0</v>
      </c>
      <c r="N12802" s="8"/>
      <c r="O12802" s="33" t="str">
        <f>IFERROR(VLOOKUP($M12802,'Informations sur les produits'!$A$3:$H$10000,8,FALSE),"0")</f>
        <v>0</v>
      </c>
      <c r="P12802" s="33">
        <f t="shared" si="796"/>
        <v>0</v>
      </c>
      <c r="Q12802" s="31" t="str">
        <f t="shared" si="797"/>
        <v/>
      </c>
      <c r="R12802" s="32" t="str">
        <f>IFERROR(VLOOKUP($D12802,'Informations sur les produits'!$A$3:$B$15000,2,FALSE),"")</f>
        <v/>
      </c>
      <c r="V12802">
        <f t="shared" si="798"/>
        <v>0</v>
      </c>
      <c r="W12802">
        <f t="shared" si="799"/>
        <v>0</v>
      </c>
    </row>
    <row r="12803" spans="5:23" x14ac:dyDescent="0.25">
      <c r="E12803" s="4"/>
      <c r="F12803" s="4"/>
      <c r="G12803" s="33" t="str">
        <f>IFERROR(VLOOKUP($D12803,'Informations sur les produits'!$A$3:$H$10000,8,FALSE),"0")</f>
        <v>0</v>
      </c>
      <c r="K12803" s="4"/>
      <c r="L12803" s="33" t="str">
        <f>IFERROR(VLOOKUP($J12803,'Informations sur les produits'!$A$3:$H$10000,8,FALSE),"0")</f>
        <v>0</v>
      </c>
      <c r="N12803" s="8"/>
      <c r="O12803" s="33" t="str">
        <f>IFERROR(VLOOKUP($M12803,'Informations sur les produits'!$A$3:$H$10000,8,FALSE),"0")</f>
        <v>0</v>
      </c>
      <c r="P12803" s="33">
        <f t="shared" si="796"/>
        <v>0</v>
      </c>
      <c r="Q12803" s="31" t="str">
        <f t="shared" si="797"/>
        <v/>
      </c>
      <c r="R12803" s="32" t="str">
        <f>IFERROR(VLOOKUP($D12803,'Informations sur les produits'!$A$3:$B$15000,2,FALSE),"")</f>
        <v/>
      </c>
      <c r="V12803">
        <f t="shared" si="798"/>
        <v>0</v>
      </c>
      <c r="W12803">
        <f t="shared" si="799"/>
        <v>0</v>
      </c>
    </row>
    <row r="12804" spans="5:23" x14ac:dyDescent="0.25">
      <c r="E12804" s="4"/>
      <c r="F12804" s="4"/>
      <c r="G12804" s="33" t="str">
        <f>IFERROR(VLOOKUP($D12804,'Informations sur les produits'!$A$3:$H$10000,8,FALSE),"0")</f>
        <v>0</v>
      </c>
      <c r="K12804" s="4"/>
      <c r="L12804" s="33" t="str">
        <f>IFERROR(VLOOKUP($J12804,'Informations sur les produits'!$A$3:$H$10000,8,FALSE),"0")</f>
        <v>0</v>
      </c>
      <c r="N12804" s="8"/>
      <c r="O12804" s="33" t="str">
        <f>IFERROR(VLOOKUP($M12804,'Informations sur les produits'!$A$3:$H$10000,8,FALSE),"0")</f>
        <v>0</v>
      </c>
      <c r="P12804" s="33">
        <f t="shared" ref="P12804:P12867" si="800">IFERROR((($E12804-$F12804)*$G12804+$K12804*$L12804+$N12804*$O12804),"")</f>
        <v>0</v>
      </c>
      <c r="Q12804" s="31" t="str">
        <f t="shared" ref="Q12804:Q12867" si="801">IFERROR((((($E12804-$F12804)*$G12804+$K12804*$L12804+$N12804*$O12804)*1000)/(($E12804-$F12804)+$K12804+$N12804)),"")</f>
        <v/>
      </c>
      <c r="R12804" s="32" t="str">
        <f>IFERROR(VLOOKUP($D12804,'Informations sur les produits'!$A$3:$B$15000,2,FALSE),"")</f>
        <v/>
      </c>
      <c r="V12804">
        <f t="shared" ref="V12804:V12867" si="802">IFERROR(P12804*1000,"")</f>
        <v>0</v>
      </c>
      <c r="W12804">
        <f t="shared" ref="W12804:W12867" si="803">IFERROR(($E12804-$F12804)+$K12804+$N12804,"")</f>
        <v>0</v>
      </c>
    </row>
    <row r="12805" spans="5:23" x14ac:dyDescent="0.25">
      <c r="E12805" s="4"/>
      <c r="F12805" s="4"/>
      <c r="G12805" s="33" t="str">
        <f>IFERROR(VLOOKUP($D12805,'Informations sur les produits'!$A$3:$H$10000,8,FALSE),"0")</f>
        <v>0</v>
      </c>
      <c r="K12805" s="4"/>
      <c r="L12805" s="33" t="str">
        <f>IFERROR(VLOOKUP($J12805,'Informations sur les produits'!$A$3:$H$10000,8,FALSE),"0")</f>
        <v>0</v>
      </c>
      <c r="N12805" s="8"/>
      <c r="O12805" s="33" t="str">
        <f>IFERROR(VLOOKUP($M12805,'Informations sur les produits'!$A$3:$H$10000,8,FALSE),"0")</f>
        <v>0</v>
      </c>
      <c r="P12805" s="33">
        <f t="shared" si="800"/>
        <v>0</v>
      </c>
      <c r="Q12805" s="31" t="str">
        <f t="shared" si="801"/>
        <v/>
      </c>
      <c r="R12805" s="32" t="str">
        <f>IFERROR(VLOOKUP($D12805,'Informations sur les produits'!$A$3:$B$15000,2,FALSE),"")</f>
        <v/>
      </c>
      <c r="V12805">
        <f t="shared" si="802"/>
        <v>0</v>
      </c>
      <c r="W12805">
        <f t="shared" si="803"/>
        <v>0</v>
      </c>
    </row>
    <row r="12806" spans="5:23" x14ac:dyDescent="0.25">
      <c r="E12806" s="4"/>
      <c r="F12806" s="4"/>
      <c r="G12806" s="33" t="str">
        <f>IFERROR(VLOOKUP($D12806,'Informations sur les produits'!$A$3:$H$10000,8,FALSE),"0")</f>
        <v>0</v>
      </c>
      <c r="K12806" s="4"/>
      <c r="L12806" s="33" t="str">
        <f>IFERROR(VLOOKUP($J12806,'Informations sur les produits'!$A$3:$H$10000,8,FALSE),"0")</f>
        <v>0</v>
      </c>
      <c r="N12806" s="8"/>
      <c r="O12806" s="33" t="str">
        <f>IFERROR(VLOOKUP($M12806,'Informations sur les produits'!$A$3:$H$10000,8,FALSE),"0")</f>
        <v>0</v>
      </c>
      <c r="P12806" s="33">
        <f t="shared" si="800"/>
        <v>0</v>
      </c>
      <c r="Q12806" s="31" t="str">
        <f t="shared" si="801"/>
        <v/>
      </c>
      <c r="R12806" s="32" t="str">
        <f>IFERROR(VLOOKUP($D12806,'Informations sur les produits'!$A$3:$B$15000,2,FALSE),"")</f>
        <v/>
      </c>
      <c r="V12806">
        <f t="shared" si="802"/>
        <v>0</v>
      </c>
      <c r="W12806">
        <f t="shared" si="803"/>
        <v>0</v>
      </c>
    </row>
    <row r="12807" spans="5:23" x14ac:dyDescent="0.25">
      <c r="E12807" s="4"/>
      <c r="F12807" s="4"/>
      <c r="G12807" s="33" t="str">
        <f>IFERROR(VLOOKUP($D12807,'Informations sur les produits'!$A$3:$H$10000,8,FALSE),"0")</f>
        <v>0</v>
      </c>
      <c r="K12807" s="4"/>
      <c r="L12807" s="33" t="str">
        <f>IFERROR(VLOOKUP($J12807,'Informations sur les produits'!$A$3:$H$10000,8,FALSE),"0")</f>
        <v>0</v>
      </c>
      <c r="N12807" s="8"/>
      <c r="O12807" s="33" t="str">
        <f>IFERROR(VLOOKUP($M12807,'Informations sur les produits'!$A$3:$H$10000,8,FALSE),"0")</f>
        <v>0</v>
      </c>
      <c r="P12807" s="33">
        <f t="shared" si="800"/>
        <v>0</v>
      </c>
      <c r="Q12807" s="31" t="str">
        <f t="shared" si="801"/>
        <v/>
      </c>
      <c r="R12807" s="32" t="str">
        <f>IFERROR(VLOOKUP($D12807,'Informations sur les produits'!$A$3:$B$15000,2,FALSE),"")</f>
        <v/>
      </c>
      <c r="V12807">
        <f t="shared" si="802"/>
        <v>0</v>
      </c>
      <c r="W12807">
        <f t="shared" si="803"/>
        <v>0</v>
      </c>
    </row>
    <row r="12808" spans="5:23" x14ac:dyDescent="0.25">
      <c r="E12808" s="4"/>
      <c r="F12808" s="4"/>
      <c r="G12808" s="33" t="str">
        <f>IFERROR(VLOOKUP($D12808,'Informations sur les produits'!$A$3:$H$10000,8,FALSE),"0")</f>
        <v>0</v>
      </c>
      <c r="K12808" s="4"/>
      <c r="L12808" s="33" t="str">
        <f>IFERROR(VLOOKUP($J12808,'Informations sur les produits'!$A$3:$H$10000,8,FALSE),"0")</f>
        <v>0</v>
      </c>
      <c r="N12808" s="8"/>
      <c r="O12808" s="33" t="str">
        <f>IFERROR(VLOOKUP($M12808,'Informations sur les produits'!$A$3:$H$10000,8,FALSE),"0")</f>
        <v>0</v>
      </c>
      <c r="P12808" s="33">
        <f t="shared" si="800"/>
        <v>0</v>
      </c>
      <c r="Q12808" s="31" t="str">
        <f t="shared" si="801"/>
        <v/>
      </c>
      <c r="R12808" s="32" t="str">
        <f>IFERROR(VLOOKUP($D12808,'Informations sur les produits'!$A$3:$B$15000,2,FALSE),"")</f>
        <v/>
      </c>
      <c r="V12808">
        <f t="shared" si="802"/>
        <v>0</v>
      </c>
      <c r="W12808">
        <f t="shared" si="803"/>
        <v>0</v>
      </c>
    </row>
    <row r="12809" spans="5:23" x14ac:dyDescent="0.25">
      <c r="E12809" s="4"/>
      <c r="F12809" s="4"/>
      <c r="G12809" s="33" t="str">
        <f>IFERROR(VLOOKUP($D12809,'Informations sur les produits'!$A$3:$H$10000,8,FALSE),"0")</f>
        <v>0</v>
      </c>
      <c r="K12809" s="4"/>
      <c r="L12809" s="33" t="str">
        <f>IFERROR(VLOOKUP($J12809,'Informations sur les produits'!$A$3:$H$10000,8,FALSE),"0")</f>
        <v>0</v>
      </c>
      <c r="N12809" s="8"/>
      <c r="O12809" s="33" t="str">
        <f>IFERROR(VLOOKUP($M12809,'Informations sur les produits'!$A$3:$H$10000,8,FALSE),"0")</f>
        <v>0</v>
      </c>
      <c r="P12809" s="33">
        <f t="shared" si="800"/>
        <v>0</v>
      </c>
      <c r="Q12809" s="31" t="str">
        <f t="shared" si="801"/>
        <v/>
      </c>
      <c r="R12809" s="32" t="str">
        <f>IFERROR(VLOOKUP($D12809,'Informations sur les produits'!$A$3:$B$15000,2,FALSE),"")</f>
        <v/>
      </c>
      <c r="V12809">
        <f t="shared" si="802"/>
        <v>0</v>
      </c>
      <c r="W12809">
        <f t="shared" si="803"/>
        <v>0</v>
      </c>
    </row>
    <row r="12810" spans="5:23" x14ac:dyDescent="0.25">
      <c r="E12810" s="4"/>
      <c r="F12810" s="4"/>
      <c r="G12810" s="33" t="str">
        <f>IFERROR(VLOOKUP($D12810,'Informations sur les produits'!$A$3:$H$10000,8,FALSE),"0")</f>
        <v>0</v>
      </c>
      <c r="K12810" s="4"/>
      <c r="L12810" s="33" t="str">
        <f>IFERROR(VLOOKUP($J12810,'Informations sur les produits'!$A$3:$H$10000,8,FALSE),"0")</f>
        <v>0</v>
      </c>
      <c r="N12810" s="8"/>
      <c r="O12810" s="33" t="str">
        <f>IFERROR(VLOOKUP($M12810,'Informations sur les produits'!$A$3:$H$10000,8,FALSE),"0")</f>
        <v>0</v>
      </c>
      <c r="P12810" s="33">
        <f t="shared" si="800"/>
        <v>0</v>
      </c>
      <c r="Q12810" s="31" t="str">
        <f t="shared" si="801"/>
        <v/>
      </c>
      <c r="R12810" s="32" t="str">
        <f>IFERROR(VLOOKUP($D12810,'Informations sur les produits'!$A$3:$B$15000,2,FALSE),"")</f>
        <v/>
      </c>
      <c r="V12810">
        <f t="shared" si="802"/>
        <v>0</v>
      </c>
      <c r="W12810">
        <f t="shared" si="803"/>
        <v>0</v>
      </c>
    </row>
    <row r="12811" spans="5:23" x14ac:dyDescent="0.25">
      <c r="E12811" s="4"/>
      <c r="F12811" s="4"/>
      <c r="G12811" s="33" t="str">
        <f>IFERROR(VLOOKUP($D12811,'Informations sur les produits'!$A$3:$H$10000,8,FALSE),"0")</f>
        <v>0</v>
      </c>
      <c r="K12811" s="4"/>
      <c r="L12811" s="33" t="str">
        <f>IFERROR(VLOOKUP($J12811,'Informations sur les produits'!$A$3:$H$10000,8,FALSE),"0")</f>
        <v>0</v>
      </c>
      <c r="N12811" s="8"/>
      <c r="O12811" s="33" t="str">
        <f>IFERROR(VLOOKUP($M12811,'Informations sur les produits'!$A$3:$H$10000,8,FALSE),"0")</f>
        <v>0</v>
      </c>
      <c r="P12811" s="33">
        <f t="shared" si="800"/>
        <v>0</v>
      </c>
      <c r="Q12811" s="31" t="str">
        <f t="shared" si="801"/>
        <v/>
      </c>
      <c r="R12811" s="32" t="str">
        <f>IFERROR(VLOOKUP($D12811,'Informations sur les produits'!$A$3:$B$15000,2,FALSE),"")</f>
        <v/>
      </c>
      <c r="V12811">
        <f t="shared" si="802"/>
        <v>0</v>
      </c>
      <c r="W12811">
        <f t="shared" si="803"/>
        <v>0</v>
      </c>
    </row>
    <row r="12812" spans="5:23" x14ac:dyDescent="0.25">
      <c r="E12812" s="4"/>
      <c r="F12812" s="4"/>
      <c r="G12812" s="33" t="str">
        <f>IFERROR(VLOOKUP($D12812,'Informations sur les produits'!$A$3:$H$10000,8,FALSE),"0")</f>
        <v>0</v>
      </c>
      <c r="K12812" s="4"/>
      <c r="L12812" s="33" t="str">
        <f>IFERROR(VLOOKUP($J12812,'Informations sur les produits'!$A$3:$H$10000,8,FALSE),"0")</f>
        <v>0</v>
      </c>
      <c r="N12812" s="8"/>
      <c r="O12812" s="33" t="str">
        <f>IFERROR(VLOOKUP($M12812,'Informations sur les produits'!$A$3:$H$10000,8,FALSE),"0")</f>
        <v>0</v>
      </c>
      <c r="P12812" s="33">
        <f t="shared" si="800"/>
        <v>0</v>
      </c>
      <c r="Q12812" s="31" t="str">
        <f t="shared" si="801"/>
        <v/>
      </c>
      <c r="R12812" s="32" t="str">
        <f>IFERROR(VLOOKUP($D12812,'Informations sur les produits'!$A$3:$B$15000,2,FALSE),"")</f>
        <v/>
      </c>
      <c r="V12812">
        <f t="shared" si="802"/>
        <v>0</v>
      </c>
      <c r="W12812">
        <f t="shared" si="803"/>
        <v>0</v>
      </c>
    </row>
    <row r="12813" spans="5:23" x14ac:dyDescent="0.25">
      <c r="E12813" s="4"/>
      <c r="F12813" s="4"/>
      <c r="G12813" s="33" t="str">
        <f>IFERROR(VLOOKUP($D12813,'Informations sur les produits'!$A$3:$H$10000,8,FALSE),"0")</f>
        <v>0</v>
      </c>
      <c r="K12813" s="4"/>
      <c r="L12813" s="33" t="str">
        <f>IFERROR(VLOOKUP($J12813,'Informations sur les produits'!$A$3:$H$10000,8,FALSE),"0")</f>
        <v>0</v>
      </c>
      <c r="N12813" s="8"/>
      <c r="O12813" s="33" t="str">
        <f>IFERROR(VLOOKUP($M12813,'Informations sur les produits'!$A$3:$H$10000,8,FALSE),"0")</f>
        <v>0</v>
      </c>
      <c r="P12813" s="33">
        <f t="shared" si="800"/>
        <v>0</v>
      </c>
      <c r="Q12813" s="31" t="str">
        <f t="shared" si="801"/>
        <v/>
      </c>
      <c r="R12813" s="32" t="str">
        <f>IFERROR(VLOOKUP($D12813,'Informations sur les produits'!$A$3:$B$15000,2,FALSE),"")</f>
        <v/>
      </c>
      <c r="V12813">
        <f t="shared" si="802"/>
        <v>0</v>
      </c>
      <c r="W12813">
        <f t="shared" si="803"/>
        <v>0</v>
      </c>
    </row>
    <row r="12814" spans="5:23" x14ac:dyDescent="0.25">
      <c r="E12814" s="4"/>
      <c r="F12814" s="4"/>
      <c r="G12814" s="33" t="str">
        <f>IFERROR(VLOOKUP($D12814,'Informations sur les produits'!$A$3:$H$10000,8,FALSE),"0")</f>
        <v>0</v>
      </c>
      <c r="K12814" s="4"/>
      <c r="L12814" s="33" t="str">
        <f>IFERROR(VLOOKUP($J12814,'Informations sur les produits'!$A$3:$H$10000,8,FALSE),"0")</f>
        <v>0</v>
      </c>
      <c r="N12814" s="8"/>
      <c r="O12814" s="33" t="str">
        <f>IFERROR(VLOOKUP($M12814,'Informations sur les produits'!$A$3:$H$10000,8,FALSE),"0")</f>
        <v>0</v>
      </c>
      <c r="P12814" s="33">
        <f t="shared" si="800"/>
        <v>0</v>
      </c>
      <c r="Q12814" s="31" t="str">
        <f t="shared" si="801"/>
        <v/>
      </c>
      <c r="R12814" s="32" t="str">
        <f>IFERROR(VLOOKUP($D12814,'Informations sur les produits'!$A$3:$B$15000,2,FALSE),"")</f>
        <v/>
      </c>
      <c r="V12814">
        <f t="shared" si="802"/>
        <v>0</v>
      </c>
      <c r="W12814">
        <f t="shared" si="803"/>
        <v>0</v>
      </c>
    </row>
    <row r="12815" spans="5:23" x14ac:dyDescent="0.25">
      <c r="E12815" s="4"/>
      <c r="F12815" s="4"/>
      <c r="G12815" s="33" t="str">
        <f>IFERROR(VLOOKUP($D12815,'Informations sur les produits'!$A$3:$H$10000,8,FALSE),"0")</f>
        <v>0</v>
      </c>
      <c r="K12815" s="4"/>
      <c r="L12815" s="33" t="str">
        <f>IFERROR(VLOOKUP($J12815,'Informations sur les produits'!$A$3:$H$10000,8,FALSE),"0")</f>
        <v>0</v>
      </c>
      <c r="N12815" s="8"/>
      <c r="O12815" s="33" t="str">
        <f>IFERROR(VLOOKUP($M12815,'Informations sur les produits'!$A$3:$H$10000,8,FALSE),"0")</f>
        <v>0</v>
      </c>
      <c r="P12815" s="33">
        <f t="shared" si="800"/>
        <v>0</v>
      </c>
      <c r="Q12815" s="31" t="str">
        <f t="shared" si="801"/>
        <v/>
      </c>
      <c r="R12815" s="32" t="str">
        <f>IFERROR(VLOOKUP($D12815,'Informations sur les produits'!$A$3:$B$15000,2,FALSE),"")</f>
        <v/>
      </c>
      <c r="V12815">
        <f t="shared" si="802"/>
        <v>0</v>
      </c>
      <c r="W12815">
        <f t="shared" si="803"/>
        <v>0</v>
      </c>
    </row>
    <row r="12816" spans="5:23" x14ac:dyDescent="0.25">
      <c r="E12816" s="4"/>
      <c r="F12816" s="4"/>
      <c r="G12816" s="33" t="str">
        <f>IFERROR(VLOOKUP($D12816,'Informations sur les produits'!$A$3:$H$10000,8,FALSE),"0")</f>
        <v>0</v>
      </c>
      <c r="K12816" s="4"/>
      <c r="L12816" s="33" t="str">
        <f>IFERROR(VLOOKUP($J12816,'Informations sur les produits'!$A$3:$H$10000,8,FALSE),"0")</f>
        <v>0</v>
      </c>
      <c r="N12816" s="8"/>
      <c r="O12816" s="33" t="str">
        <f>IFERROR(VLOOKUP($M12816,'Informations sur les produits'!$A$3:$H$10000,8,FALSE),"0")</f>
        <v>0</v>
      </c>
      <c r="P12816" s="33">
        <f t="shared" si="800"/>
        <v>0</v>
      </c>
      <c r="Q12816" s="31" t="str">
        <f t="shared" si="801"/>
        <v/>
      </c>
      <c r="R12816" s="32" t="str">
        <f>IFERROR(VLOOKUP($D12816,'Informations sur les produits'!$A$3:$B$15000,2,FALSE),"")</f>
        <v/>
      </c>
      <c r="V12816">
        <f t="shared" si="802"/>
        <v>0</v>
      </c>
      <c r="W12816">
        <f t="shared" si="803"/>
        <v>0</v>
      </c>
    </row>
    <row r="12817" spans="5:23" x14ac:dyDescent="0.25">
      <c r="E12817" s="4"/>
      <c r="F12817" s="4"/>
      <c r="G12817" s="33" t="str">
        <f>IFERROR(VLOOKUP($D12817,'Informations sur les produits'!$A$3:$H$10000,8,FALSE),"0")</f>
        <v>0</v>
      </c>
      <c r="K12817" s="4"/>
      <c r="L12817" s="33" t="str">
        <f>IFERROR(VLOOKUP($J12817,'Informations sur les produits'!$A$3:$H$10000,8,FALSE),"0")</f>
        <v>0</v>
      </c>
      <c r="N12817" s="8"/>
      <c r="O12817" s="33" t="str">
        <f>IFERROR(VLOOKUP($M12817,'Informations sur les produits'!$A$3:$H$10000,8,FALSE),"0")</f>
        <v>0</v>
      </c>
      <c r="P12817" s="33">
        <f t="shared" si="800"/>
        <v>0</v>
      </c>
      <c r="Q12817" s="31" t="str">
        <f t="shared" si="801"/>
        <v/>
      </c>
      <c r="R12817" s="32" t="str">
        <f>IFERROR(VLOOKUP($D12817,'Informations sur les produits'!$A$3:$B$15000,2,FALSE),"")</f>
        <v/>
      </c>
      <c r="V12817">
        <f t="shared" si="802"/>
        <v>0</v>
      </c>
      <c r="W12817">
        <f t="shared" si="803"/>
        <v>0</v>
      </c>
    </row>
    <row r="12818" spans="5:23" x14ac:dyDescent="0.25">
      <c r="E12818" s="4"/>
      <c r="F12818" s="4"/>
      <c r="G12818" s="33" t="str">
        <f>IFERROR(VLOOKUP($D12818,'Informations sur les produits'!$A$3:$H$10000,8,FALSE),"0")</f>
        <v>0</v>
      </c>
      <c r="K12818" s="4"/>
      <c r="L12818" s="33" t="str">
        <f>IFERROR(VLOOKUP($J12818,'Informations sur les produits'!$A$3:$H$10000,8,FALSE),"0")</f>
        <v>0</v>
      </c>
      <c r="N12818" s="8"/>
      <c r="O12818" s="33" t="str">
        <f>IFERROR(VLOOKUP($M12818,'Informations sur les produits'!$A$3:$H$10000,8,FALSE),"0")</f>
        <v>0</v>
      </c>
      <c r="P12818" s="33">
        <f t="shared" si="800"/>
        <v>0</v>
      </c>
      <c r="Q12818" s="31" t="str">
        <f t="shared" si="801"/>
        <v/>
      </c>
      <c r="R12818" s="32" t="str">
        <f>IFERROR(VLOOKUP($D12818,'Informations sur les produits'!$A$3:$B$15000,2,FALSE),"")</f>
        <v/>
      </c>
      <c r="V12818">
        <f t="shared" si="802"/>
        <v>0</v>
      </c>
      <c r="W12818">
        <f t="shared" si="803"/>
        <v>0</v>
      </c>
    </row>
    <row r="12819" spans="5:23" x14ac:dyDescent="0.25">
      <c r="E12819" s="4"/>
      <c r="F12819" s="4"/>
      <c r="G12819" s="33" t="str">
        <f>IFERROR(VLOOKUP($D12819,'Informations sur les produits'!$A$3:$H$10000,8,FALSE),"0")</f>
        <v>0</v>
      </c>
      <c r="K12819" s="4"/>
      <c r="L12819" s="33" t="str">
        <f>IFERROR(VLOOKUP($J12819,'Informations sur les produits'!$A$3:$H$10000,8,FALSE),"0")</f>
        <v>0</v>
      </c>
      <c r="N12819" s="8"/>
      <c r="O12819" s="33" t="str">
        <f>IFERROR(VLOOKUP($M12819,'Informations sur les produits'!$A$3:$H$10000,8,FALSE),"0")</f>
        <v>0</v>
      </c>
      <c r="P12819" s="33">
        <f t="shared" si="800"/>
        <v>0</v>
      </c>
      <c r="Q12819" s="31" t="str">
        <f t="shared" si="801"/>
        <v/>
      </c>
      <c r="R12819" s="32" t="str">
        <f>IFERROR(VLOOKUP($D12819,'Informations sur les produits'!$A$3:$B$15000,2,FALSE),"")</f>
        <v/>
      </c>
      <c r="V12819">
        <f t="shared" si="802"/>
        <v>0</v>
      </c>
      <c r="W12819">
        <f t="shared" si="803"/>
        <v>0</v>
      </c>
    </row>
    <row r="12820" spans="5:23" x14ac:dyDescent="0.25">
      <c r="E12820" s="4"/>
      <c r="F12820" s="4"/>
      <c r="G12820" s="33" t="str">
        <f>IFERROR(VLOOKUP($D12820,'Informations sur les produits'!$A$3:$H$10000,8,FALSE),"0")</f>
        <v>0</v>
      </c>
      <c r="K12820" s="4"/>
      <c r="L12820" s="33" t="str">
        <f>IFERROR(VLOOKUP($J12820,'Informations sur les produits'!$A$3:$H$10000,8,FALSE),"0")</f>
        <v>0</v>
      </c>
      <c r="N12820" s="8"/>
      <c r="O12820" s="33" t="str">
        <f>IFERROR(VLOOKUP($M12820,'Informations sur les produits'!$A$3:$H$10000,8,FALSE),"0")</f>
        <v>0</v>
      </c>
      <c r="P12820" s="33">
        <f t="shared" si="800"/>
        <v>0</v>
      </c>
      <c r="Q12820" s="31" t="str">
        <f t="shared" si="801"/>
        <v/>
      </c>
      <c r="R12820" s="32" t="str">
        <f>IFERROR(VLOOKUP($D12820,'Informations sur les produits'!$A$3:$B$15000,2,FALSE),"")</f>
        <v/>
      </c>
      <c r="V12820">
        <f t="shared" si="802"/>
        <v>0</v>
      </c>
      <c r="W12820">
        <f t="shared" si="803"/>
        <v>0</v>
      </c>
    </row>
    <row r="12821" spans="5:23" x14ac:dyDescent="0.25">
      <c r="E12821" s="4"/>
      <c r="F12821" s="4"/>
      <c r="G12821" s="33" t="str">
        <f>IFERROR(VLOOKUP($D12821,'Informations sur les produits'!$A$3:$H$10000,8,FALSE),"0")</f>
        <v>0</v>
      </c>
      <c r="K12821" s="4"/>
      <c r="L12821" s="33" t="str">
        <f>IFERROR(VLOOKUP($J12821,'Informations sur les produits'!$A$3:$H$10000,8,FALSE),"0")</f>
        <v>0</v>
      </c>
      <c r="N12821" s="8"/>
      <c r="O12821" s="33" t="str">
        <f>IFERROR(VLOOKUP($M12821,'Informations sur les produits'!$A$3:$H$10000,8,FALSE),"0")</f>
        <v>0</v>
      </c>
      <c r="P12821" s="33">
        <f t="shared" si="800"/>
        <v>0</v>
      </c>
      <c r="Q12821" s="31" t="str">
        <f t="shared" si="801"/>
        <v/>
      </c>
      <c r="R12821" s="32" t="str">
        <f>IFERROR(VLOOKUP($D12821,'Informations sur les produits'!$A$3:$B$15000,2,FALSE),"")</f>
        <v/>
      </c>
      <c r="V12821">
        <f t="shared" si="802"/>
        <v>0</v>
      </c>
      <c r="W12821">
        <f t="shared" si="803"/>
        <v>0</v>
      </c>
    </row>
    <row r="12822" spans="5:23" x14ac:dyDescent="0.25">
      <c r="E12822" s="4"/>
      <c r="F12822" s="4"/>
      <c r="G12822" s="33" t="str">
        <f>IFERROR(VLOOKUP($D12822,'Informations sur les produits'!$A$3:$H$10000,8,FALSE),"0")</f>
        <v>0</v>
      </c>
      <c r="K12822" s="4"/>
      <c r="L12822" s="33" t="str">
        <f>IFERROR(VLOOKUP($J12822,'Informations sur les produits'!$A$3:$H$10000,8,FALSE),"0")</f>
        <v>0</v>
      </c>
      <c r="N12822" s="8"/>
      <c r="O12822" s="33" t="str">
        <f>IFERROR(VLOOKUP($M12822,'Informations sur les produits'!$A$3:$H$10000,8,FALSE),"0")</f>
        <v>0</v>
      </c>
      <c r="P12822" s="33">
        <f t="shared" si="800"/>
        <v>0</v>
      </c>
      <c r="Q12822" s="31" t="str">
        <f t="shared" si="801"/>
        <v/>
      </c>
      <c r="R12822" s="32" t="str">
        <f>IFERROR(VLOOKUP($D12822,'Informations sur les produits'!$A$3:$B$15000,2,FALSE),"")</f>
        <v/>
      </c>
      <c r="V12822">
        <f t="shared" si="802"/>
        <v>0</v>
      </c>
      <c r="W12822">
        <f t="shared" si="803"/>
        <v>0</v>
      </c>
    </row>
    <row r="12823" spans="5:23" x14ac:dyDescent="0.25">
      <c r="E12823" s="4"/>
      <c r="F12823" s="4"/>
      <c r="G12823" s="33" t="str">
        <f>IFERROR(VLOOKUP($D12823,'Informations sur les produits'!$A$3:$H$10000,8,FALSE),"0")</f>
        <v>0</v>
      </c>
      <c r="K12823" s="4"/>
      <c r="L12823" s="33" t="str">
        <f>IFERROR(VLOOKUP($J12823,'Informations sur les produits'!$A$3:$H$10000,8,FALSE),"0")</f>
        <v>0</v>
      </c>
      <c r="N12823" s="8"/>
      <c r="O12823" s="33" t="str">
        <f>IFERROR(VLOOKUP($M12823,'Informations sur les produits'!$A$3:$H$10000,8,FALSE),"0")</f>
        <v>0</v>
      </c>
      <c r="P12823" s="33">
        <f t="shared" si="800"/>
        <v>0</v>
      </c>
      <c r="Q12823" s="31" t="str">
        <f t="shared" si="801"/>
        <v/>
      </c>
      <c r="R12823" s="32" t="str">
        <f>IFERROR(VLOOKUP($D12823,'Informations sur les produits'!$A$3:$B$15000,2,FALSE),"")</f>
        <v/>
      </c>
      <c r="V12823">
        <f t="shared" si="802"/>
        <v>0</v>
      </c>
      <c r="W12823">
        <f t="shared" si="803"/>
        <v>0</v>
      </c>
    </row>
    <row r="12824" spans="5:23" x14ac:dyDescent="0.25">
      <c r="E12824" s="4"/>
      <c r="F12824" s="4"/>
      <c r="G12824" s="33" t="str">
        <f>IFERROR(VLOOKUP($D12824,'Informations sur les produits'!$A$3:$H$10000,8,FALSE),"0")</f>
        <v>0</v>
      </c>
      <c r="K12824" s="4"/>
      <c r="L12824" s="33" t="str">
        <f>IFERROR(VLOOKUP($J12824,'Informations sur les produits'!$A$3:$H$10000,8,FALSE),"0")</f>
        <v>0</v>
      </c>
      <c r="N12824" s="8"/>
      <c r="O12824" s="33" t="str">
        <f>IFERROR(VLOOKUP($M12824,'Informations sur les produits'!$A$3:$H$10000,8,FALSE),"0")</f>
        <v>0</v>
      </c>
      <c r="P12824" s="33">
        <f t="shared" si="800"/>
        <v>0</v>
      </c>
      <c r="Q12824" s="31" t="str">
        <f t="shared" si="801"/>
        <v/>
      </c>
      <c r="R12824" s="32" t="str">
        <f>IFERROR(VLOOKUP($D12824,'Informations sur les produits'!$A$3:$B$15000,2,FALSE),"")</f>
        <v/>
      </c>
      <c r="V12824">
        <f t="shared" si="802"/>
        <v>0</v>
      </c>
      <c r="W12824">
        <f t="shared" si="803"/>
        <v>0</v>
      </c>
    </row>
    <row r="12825" spans="5:23" x14ac:dyDescent="0.25">
      <c r="E12825" s="4"/>
      <c r="F12825" s="4"/>
      <c r="G12825" s="33" t="str">
        <f>IFERROR(VLOOKUP($D12825,'Informations sur les produits'!$A$3:$H$10000,8,FALSE),"0")</f>
        <v>0</v>
      </c>
      <c r="K12825" s="4"/>
      <c r="L12825" s="33" t="str">
        <f>IFERROR(VLOOKUP($J12825,'Informations sur les produits'!$A$3:$H$10000,8,FALSE),"0")</f>
        <v>0</v>
      </c>
      <c r="N12825" s="8"/>
      <c r="O12825" s="33" t="str">
        <f>IFERROR(VLOOKUP($M12825,'Informations sur les produits'!$A$3:$H$10000,8,FALSE),"0")</f>
        <v>0</v>
      </c>
      <c r="P12825" s="33">
        <f t="shared" si="800"/>
        <v>0</v>
      </c>
      <c r="Q12825" s="31" t="str">
        <f t="shared" si="801"/>
        <v/>
      </c>
      <c r="R12825" s="32" t="str">
        <f>IFERROR(VLOOKUP($D12825,'Informations sur les produits'!$A$3:$B$15000,2,FALSE),"")</f>
        <v/>
      </c>
      <c r="V12825">
        <f t="shared" si="802"/>
        <v>0</v>
      </c>
      <c r="W12825">
        <f t="shared" si="803"/>
        <v>0</v>
      </c>
    </row>
    <row r="12826" spans="5:23" x14ac:dyDescent="0.25">
      <c r="E12826" s="4"/>
      <c r="F12826" s="4"/>
      <c r="G12826" s="33" t="str">
        <f>IFERROR(VLOOKUP($D12826,'Informations sur les produits'!$A$3:$H$10000,8,FALSE),"0")</f>
        <v>0</v>
      </c>
      <c r="K12826" s="4"/>
      <c r="L12826" s="33" t="str">
        <f>IFERROR(VLOOKUP($J12826,'Informations sur les produits'!$A$3:$H$10000,8,FALSE),"0")</f>
        <v>0</v>
      </c>
      <c r="N12826" s="8"/>
      <c r="O12826" s="33" t="str">
        <f>IFERROR(VLOOKUP($M12826,'Informations sur les produits'!$A$3:$H$10000,8,FALSE),"0")</f>
        <v>0</v>
      </c>
      <c r="P12826" s="33">
        <f t="shared" si="800"/>
        <v>0</v>
      </c>
      <c r="Q12826" s="31" t="str">
        <f t="shared" si="801"/>
        <v/>
      </c>
      <c r="R12826" s="32" t="str">
        <f>IFERROR(VLOOKUP($D12826,'Informations sur les produits'!$A$3:$B$15000,2,FALSE),"")</f>
        <v/>
      </c>
      <c r="V12826">
        <f t="shared" si="802"/>
        <v>0</v>
      </c>
      <c r="W12826">
        <f t="shared" si="803"/>
        <v>0</v>
      </c>
    </row>
    <row r="12827" spans="5:23" x14ac:dyDescent="0.25">
      <c r="E12827" s="4"/>
      <c r="F12827" s="4"/>
      <c r="G12827" s="33" t="str">
        <f>IFERROR(VLOOKUP($D12827,'Informations sur les produits'!$A$3:$H$10000,8,FALSE),"0")</f>
        <v>0</v>
      </c>
      <c r="K12827" s="4"/>
      <c r="L12827" s="33" t="str">
        <f>IFERROR(VLOOKUP($J12827,'Informations sur les produits'!$A$3:$H$10000,8,FALSE),"0")</f>
        <v>0</v>
      </c>
      <c r="N12827" s="8"/>
      <c r="O12827" s="33" t="str">
        <f>IFERROR(VLOOKUP($M12827,'Informations sur les produits'!$A$3:$H$10000,8,FALSE),"0")</f>
        <v>0</v>
      </c>
      <c r="P12827" s="33">
        <f t="shared" si="800"/>
        <v>0</v>
      </c>
      <c r="Q12827" s="31" t="str">
        <f t="shared" si="801"/>
        <v/>
      </c>
      <c r="R12827" s="32" t="str">
        <f>IFERROR(VLOOKUP($D12827,'Informations sur les produits'!$A$3:$B$15000,2,FALSE),"")</f>
        <v/>
      </c>
      <c r="V12827">
        <f t="shared" si="802"/>
        <v>0</v>
      </c>
      <c r="W12827">
        <f t="shared" si="803"/>
        <v>0</v>
      </c>
    </row>
    <row r="12828" spans="5:23" x14ac:dyDescent="0.25">
      <c r="E12828" s="4"/>
      <c r="F12828" s="4"/>
      <c r="G12828" s="33" t="str">
        <f>IFERROR(VLOOKUP($D12828,'Informations sur les produits'!$A$3:$H$10000,8,FALSE),"0")</f>
        <v>0</v>
      </c>
      <c r="K12828" s="4"/>
      <c r="L12828" s="33" t="str">
        <f>IFERROR(VLOOKUP($J12828,'Informations sur les produits'!$A$3:$H$10000,8,FALSE),"0")</f>
        <v>0</v>
      </c>
      <c r="N12828" s="8"/>
      <c r="O12828" s="33" t="str">
        <f>IFERROR(VLOOKUP($M12828,'Informations sur les produits'!$A$3:$H$10000,8,FALSE),"0")</f>
        <v>0</v>
      </c>
      <c r="P12828" s="33">
        <f t="shared" si="800"/>
        <v>0</v>
      </c>
      <c r="Q12828" s="31" t="str">
        <f t="shared" si="801"/>
        <v/>
      </c>
      <c r="R12828" s="32" t="str">
        <f>IFERROR(VLOOKUP($D12828,'Informations sur les produits'!$A$3:$B$15000,2,FALSE),"")</f>
        <v/>
      </c>
      <c r="V12828">
        <f t="shared" si="802"/>
        <v>0</v>
      </c>
      <c r="W12828">
        <f t="shared" si="803"/>
        <v>0</v>
      </c>
    </row>
    <row r="12829" spans="5:23" x14ac:dyDescent="0.25">
      <c r="E12829" s="4"/>
      <c r="F12829" s="4"/>
      <c r="G12829" s="33" t="str">
        <f>IFERROR(VLOOKUP($D12829,'Informations sur les produits'!$A$3:$H$10000,8,FALSE),"0")</f>
        <v>0</v>
      </c>
      <c r="K12829" s="4"/>
      <c r="L12829" s="33" t="str">
        <f>IFERROR(VLOOKUP($J12829,'Informations sur les produits'!$A$3:$H$10000,8,FALSE),"0")</f>
        <v>0</v>
      </c>
      <c r="N12829" s="8"/>
      <c r="O12829" s="33" t="str">
        <f>IFERROR(VLOOKUP($M12829,'Informations sur les produits'!$A$3:$H$10000,8,FALSE),"0")</f>
        <v>0</v>
      </c>
      <c r="P12829" s="33">
        <f t="shared" si="800"/>
        <v>0</v>
      </c>
      <c r="Q12829" s="31" t="str">
        <f t="shared" si="801"/>
        <v/>
      </c>
      <c r="R12829" s="32" t="str">
        <f>IFERROR(VLOOKUP($D12829,'Informations sur les produits'!$A$3:$B$15000,2,FALSE),"")</f>
        <v/>
      </c>
      <c r="V12829">
        <f t="shared" si="802"/>
        <v>0</v>
      </c>
      <c r="W12829">
        <f t="shared" si="803"/>
        <v>0</v>
      </c>
    </row>
    <row r="12830" spans="5:23" x14ac:dyDescent="0.25">
      <c r="E12830" s="4"/>
      <c r="F12830" s="4"/>
      <c r="G12830" s="33" t="str">
        <f>IFERROR(VLOOKUP($D12830,'Informations sur les produits'!$A$3:$H$10000,8,FALSE),"0")</f>
        <v>0</v>
      </c>
      <c r="K12830" s="4"/>
      <c r="L12830" s="33" t="str">
        <f>IFERROR(VLOOKUP($J12830,'Informations sur les produits'!$A$3:$H$10000,8,FALSE),"0")</f>
        <v>0</v>
      </c>
      <c r="N12830" s="8"/>
      <c r="O12830" s="33" t="str">
        <f>IFERROR(VLOOKUP($M12830,'Informations sur les produits'!$A$3:$H$10000,8,FALSE),"0")</f>
        <v>0</v>
      </c>
      <c r="P12830" s="33">
        <f t="shared" si="800"/>
        <v>0</v>
      </c>
      <c r="Q12830" s="31" t="str">
        <f t="shared" si="801"/>
        <v/>
      </c>
      <c r="R12830" s="32" t="str">
        <f>IFERROR(VLOOKUP($D12830,'Informations sur les produits'!$A$3:$B$15000,2,FALSE),"")</f>
        <v/>
      </c>
      <c r="V12830">
        <f t="shared" si="802"/>
        <v>0</v>
      </c>
      <c r="W12830">
        <f t="shared" si="803"/>
        <v>0</v>
      </c>
    </row>
    <row r="12831" spans="5:23" x14ac:dyDescent="0.25">
      <c r="E12831" s="4"/>
      <c r="F12831" s="4"/>
      <c r="G12831" s="33" t="str">
        <f>IFERROR(VLOOKUP($D12831,'Informations sur les produits'!$A$3:$H$10000,8,FALSE),"0")</f>
        <v>0</v>
      </c>
      <c r="K12831" s="4"/>
      <c r="L12831" s="33" t="str">
        <f>IFERROR(VLOOKUP($J12831,'Informations sur les produits'!$A$3:$H$10000,8,FALSE),"0")</f>
        <v>0</v>
      </c>
      <c r="N12831" s="8"/>
      <c r="O12831" s="33" t="str">
        <f>IFERROR(VLOOKUP($M12831,'Informations sur les produits'!$A$3:$H$10000,8,FALSE),"0")</f>
        <v>0</v>
      </c>
      <c r="P12831" s="33">
        <f t="shared" si="800"/>
        <v>0</v>
      </c>
      <c r="Q12831" s="31" t="str">
        <f t="shared" si="801"/>
        <v/>
      </c>
      <c r="R12831" s="32" t="str">
        <f>IFERROR(VLOOKUP($D12831,'Informations sur les produits'!$A$3:$B$15000,2,FALSE),"")</f>
        <v/>
      </c>
      <c r="V12831">
        <f t="shared" si="802"/>
        <v>0</v>
      </c>
      <c r="W12831">
        <f t="shared" si="803"/>
        <v>0</v>
      </c>
    </row>
    <row r="12832" spans="5:23" x14ac:dyDescent="0.25">
      <c r="E12832" s="4"/>
      <c r="F12832" s="4"/>
      <c r="G12832" s="33" t="str">
        <f>IFERROR(VLOOKUP($D12832,'Informations sur les produits'!$A$3:$H$10000,8,FALSE),"0")</f>
        <v>0</v>
      </c>
      <c r="K12832" s="4"/>
      <c r="L12832" s="33" t="str">
        <f>IFERROR(VLOOKUP($J12832,'Informations sur les produits'!$A$3:$H$10000,8,FALSE),"0")</f>
        <v>0</v>
      </c>
      <c r="N12832" s="8"/>
      <c r="O12832" s="33" t="str">
        <f>IFERROR(VLOOKUP($M12832,'Informations sur les produits'!$A$3:$H$10000,8,FALSE),"0")</f>
        <v>0</v>
      </c>
      <c r="P12832" s="33">
        <f t="shared" si="800"/>
        <v>0</v>
      </c>
      <c r="Q12832" s="31" t="str">
        <f t="shared" si="801"/>
        <v/>
      </c>
      <c r="R12832" s="32" t="str">
        <f>IFERROR(VLOOKUP($D12832,'Informations sur les produits'!$A$3:$B$15000,2,FALSE),"")</f>
        <v/>
      </c>
      <c r="V12832">
        <f t="shared" si="802"/>
        <v>0</v>
      </c>
      <c r="W12832">
        <f t="shared" si="803"/>
        <v>0</v>
      </c>
    </row>
    <row r="12833" spans="5:23" x14ac:dyDescent="0.25">
      <c r="E12833" s="4"/>
      <c r="F12833" s="4"/>
      <c r="G12833" s="33" t="str">
        <f>IFERROR(VLOOKUP($D12833,'Informations sur les produits'!$A$3:$H$10000,8,FALSE),"0")</f>
        <v>0</v>
      </c>
      <c r="K12833" s="4"/>
      <c r="L12833" s="33" t="str">
        <f>IFERROR(VLOOKUP($J12833,'Informations sur les produits'!$A$3:$H$10000,8,FALSE),"0")</f>
        <v>0</v>
      </c>
      <c r="N12833" s="8"/>
      <c r="O12833" s="33" t="str">
        <f>IFERROR(VLOOKUP($M12833,'Informations sur les produits'!$A$3:$H$10000,8,FALSE),"0")</f>
        <v>0</v>
      </c>
      <c r="P12833" s="33">
        <f t="shared" si="800"/>
        <v>0</v>
      </c>
      <c r="Q12833" s="31" t="str">
        <f t="shared" si="801"/>
        <v/>
      </c>
      <c r="R12833" s="32" t="str">
        <f>IFERROR(VLOOKUP($D12833,'Informations sur les produits'!$A$3:$B$15000,2,FALSE),"")</f>
        <v/>
      </c>
      <c r="V12833">
        <f t="shared" si="802"/>
        <v>0</v>
      </c>
      <c r="W12833">
        <f t="shared" si="803"/>
        <v>0</v>
      </c>
    </row>
    <row r="12834" spans="5:23" x14ac:dyDescent="0.25">
      <c r="E12834" s="4"/>
      <c r="F12834" s="4"/>
      <c r="G12834" s="33" t="str">
        <f>IFERROR(VLOOKUP($D12834,'Informations sur les produits'!$A$3:$H$10000,8,FALSE),"0")</f>
        <v>0</v>
      </c>
      <c r="K12834" s="4"/>
      <c r="L12834" s="33" t="str">
        <f>IFERROR(VLOOKUP($J12834,'Informations sur les produits'!$A$3:$H$10000,8,FALSE),"0")</f>
        <v>0</v>
      </c>
      <c r="N12834" s="8"/>
      <c r="O12834" s="33" t="str">
        <f>IFERROR(VLOOKUP($M12834,'Informations sur les produits'!$A$3:$H$10000,8,FALSE),"0")</f>
        <v>0</v>
      </c>
      <c r="P12834" s="33">
        <f t="shared" si="800"/>
        <v>0</v>
      </c>
      <c r="Q12834" s="31" t="str">
        <f t="shared" si="801"/>
        <v/>
      </c>
      <c r="R12834" s="32" t="str">
        <f>IFERROR(VLOOKUP($D12834,'Informations sur les produits'!$A$3:$B$15000,2,FALSE),"")</f>
        <v/>
      </c>
      <c r="V12834">
        <f t="shared" si="802"/>
        <v>0</v>
      </c>
      <c r="W12834">
        <f t="shared" si="803"/>
        <v>0</v>
      </c>
    </row>
    <row r="12835" spans="5:23" x14ac:dyDescent="0.25">
      <c r="E12835" s="4"/>
      <c r="F12835" s="4"/>
      <c r="G12835" s="33" t="str">
        <f>IFERROR(VLOOKUP($D12835,'Informations sur les produits'!$A$3:$H$10000,8,FALSE),"0")</f>
        <v>0</v>
      </c>
      <c r="K12835" s="4"/>
      <c r="L12835" s="33" t="str">
        <f>IFERROR(VLOOKUP($J12835,'Informations sur les produits'!$A$3:$H$10000,8,FALSE),"0")</f>
        <v>0</v>
      </c>
      <c r="N12835" s="8"/>
      <c r="O12835" s="33" t="str">
        <f>IFERROR(VLOOKUP($M12835,'Informations sur les produits'!$A$3:$H$10000,8,FALSE),"0")</f>
        <v>0</v>
      </c>
      <c r="P12835" s="33">
        <f t="shared" si="800"/>
        <v>0</v>
      </c>
      <c r="Q12835" s="31" t="str">
        <f t="shared" si="801"/>
        <v/>
      </c>
      <c r="R12835" s="32" t="str">
        <f>IFERROR(VLOOKUP($D12835,'Informations sur les produits'!$A$3:$B$15000,2,FALSE),"")</f>
        <v/>
      </c>
      <c r="V12835">
        <f t="shared" si="802"/>
        <v>0</v>
      </c>
      <c r="W12835">
        <f t="shared" si="803"/>
        <v>0</v>
      </c>
    </row>
    <row r="12836" spans="5:23" x14ac:dyDescent="0.25">
      <c r="E12836" s="4"/>
      <c r="F12836" s="4"/>
      <c r="G12836" s="33" t="str">
        <f>IFERROR(VLOOKUP($D12836,'Informations sur les produits'!$A$3:$H$10000,8,FALSE),"0")</f>
        <v>0</v>
      </c>
      <c r="K12836" s="4"/>
      <c r="L12836" s="33" t="str">
        <f>IFERROR(VLOOKUP($J12836,'Informations sur les produits'!$A$3:$H$10000,8,FALSE),"0")</f>
        <v>0</v>
      </c>
      <c r="N12836" s="8"/>
      <c r="O12836" s="33" t="str">
        <f>IFERROR(VLOOKUP($M12836,'Informations sur les produits'!$A$3:$H$10000,8,FALSE),"0")</f>
        <v>0</v>
      </c>
      <c r="P12836" s="33">
        <f t="shared" si="800"/>
        <v>0</v>
      </c>
      <c r="Q12836" s="31" t="str">
        <f t="shared" si="801"/>
        <v/>
      </c>
      <c r="R12836" s="32" t="str">
        <f>IFERROR(VLOOKUP($D12836,'Informations sur les produits'!$A$3:$B$15000,2,FALSE),"")</f>
        <v/>
      </c>
      <c r="V12836">
        <f t="shared" si="802"/>
        <v>0</v>
      </c>
      <c r="W12836">
        <f t="shared" si="803"/>
        <v>0</v>
      </c>
    </row>
    <row r="12837" spans="5:23" x14ac:dyDescent="0.25">
      <c r="E12837" s="4"/>
      <c r="F12837" s="4"/>
      <c r="G12837" s="33" t="str">
        <f>IFERROR(VLOOKUP($D12837,'Informations sur les produits'!$A$3:$H$10000,8,FALSE),"0")</f>
        <v>0</v>
      </c>
      <c r="K12837" s="4"/>
      <c r="L12837" s="33" t="str">
        <f>IFERROR(VLOOKUP($J12837,'Informations sur les produits'!$A$3:$H$10000,8,FALSE),"0")</f>
        <v>0</v>
      </c>
      <c r="N12837" s="8"/>
      <c r="O12837" s="33" t="str">
        <f>IFERROR(VLOOKUP($M12837,'Informations sur les produits'!$A$3:$H$10000,8,FALSE),"0")</f>
        <v>0</v>
      </c>
      <c r="P12837" s="33">
        <f t="shared" si="800"/>
        <v>0</v>
      </c>
      <c r="Q12837" s="31" t="str">
        <f t="shared" si="801"/>
        <v/>
      </c>
      <c r="R12837" s="32" t="str">
        <f>IFERROR(VLOOKUP($D12837,'Informations sur les produits'!$A$3:$B$15000,2,FALSE),"")</f>
        <v/>
      </c>
      <c r="V12837">
        <f t="shared" si="802"/>
        <v>0</v>
      </c>
      <c r="W12837">
        <f t="shared" si="803"/>
        <v>0</v>
      </c>
    </row>
    <row r="12838" spans="5:23" x14ac:dyDescent="0.25">
      <c r="E12838" s="4"/>
      <c r="F12838" s="4"/>
      <c r="G12838" s="33" t="str">
        <f>IFERROR(VLOOKUP($D12838,'Informations sur les produits'!$A$3:$H$10000,8,FALSE),"0")</f>
        <v>0</v>
      </c>
      <c r="K12838" s="4"/>
      <c r="L12838" s="33" t="str">
        <f>IFERROR(VLOOKUP($J12838,'Informations sur les produits'!$A$3:$H$10000,8,FALSE),"0")</f>
        <v>0</v>
      </c>
      <c r="N12838" s="8"/>
      <c r="O12838" s="33" t="str">
        <f>IFERROR(VLOOKUP($M12838,'Informations sur les produits'!$A$3:$H$10000,8,FALSE),"0")</f>
        <v>0</v>
      </c>
      <c r="P12838" s="33">
        <f t="shared" si="800"/>
        <v>0</v>
      </c>
      <c r="Q12838" s="31" t="str">
        <f t="shared" si="801"/>
        <v/>
      </c>
      <c r="R12838" s="32" t="str">
        <f>IFERROR(VLOOKUP($D12838,'Informations sur les produits'!$A$3:$B$15000,2,FALSE),"")</f>
        <v/>
      </c>
      <c r="V12838">
        <f t="shared" si="802"/>
        <v>0</v>
      </c>
      <c r="W12838">
        <f t="shared" si="803"/>
        <v>0</v>
      </c>
    </row>
    <row r="12839" spans="5:23" x14ac:dyDescent="0.25">
      <c r="E12839" s="4"/>
      <c r="F12839" s="4"/>
      <c r="G12839" s="33" t="str">
        <f>IFERROR(VLOOKUP($D12839,'Informations sur les produits'!$A$3:$H$10000,8,FALSE),"0")</f>
        <v>0</v>
      </c>
      <c r="K12839" s="4"/>
      <c r="L12839" s="33" t="str">
        <f>IFERROR(VLOOKUP($J12839,'Informations sur les produits'!$A$3:$H$10000,8,FALSE),"0")</f>
        <v>0</v>
      </c>
      <c r="N12839" s="8"/>
      <c r="O12839" s="33" t="str">
        <f>IFERROR(VLOOKUP($M12839,'Informations sur les produits'!$A$3:$H$10000,8,FALSE),"0")</f>
        <v>0</v>
      </c>
      <c r="P12839" s="33">
        <f t="shared" si="800"/>
        <v>0</v>
      </c>
      <c r="Q12839" s="31" t="str">
        <f t="shared" si="801"/>
        <v/>
      </c>
      <c r="R12839" s="32" t="str">
        <f>IFERROR(VLOOKUP($D12839,'Informations sur les produits'!$A$3:$B$15000,2,FALSE),"")</f>
        <v/>
      </c>
      <c r="V12839">
        <f t="shared" si="802"/>
        <v>0</v>
      </c>
      <c r="W12839">
        <f t="shared" si="803"/>
        <v>0</v>
      </c>
    </row>
    <row r="12840" spans="5:23" x14ac:dyDescent="0.25">
      <c r="E12840" s="4"/>
      <c r="F12840" s="4"/>
      <c r="G12840" s="33" t="str">
        <f>IFERROR(VLOOKUP($D12840,'Informations sur les produits'!$A$3:$H$10000,8,FALSE),"0")</f>
        <v>0</v>
      </c>
      <c r="K12840" s="4"/>
      <c r="L12840" s="33" t="str">
        <f>IFERROR(VLOOKUP($J12840,'Informations sur les produits'!$A$3:$H$10000,8,FALSE),"0")</f>
        <v>0</v>
      </c>
      <c r="N12840" s="8"/>
      <c r="O12840" s="33" t="str">
        <f>IFERROR(VLOOKUP($M12840,'Informations sur les produits'!$A$3:$H$10000,8,FALSE),"0")</f>
        <v>0</v>
      </c>
      <c r="P12840" s="33">
        <f t="shared" si="800"/>
        <v>0</v>
      </c>
      <c r="Q12840" s="31" t="str">
        <f t="shared" si="801"/>
        <v/>
      </c>
      <c r="R12840" s="32" t="str">
        <f>IFERROR(VLOOKUP($D12840,'Informations sur les produits'!$A$3:$B$15000,2,FALSE),"")</f>
        <v/>
      </c>
      <c r="V12840">
        <f t="shared" si="802"/>
        <v>0</v>
      </c>
      <c r="W12840">
        <f t="shared" si="803"/>
        <v>0</v>
      </c>
    </row>
    <row r="12841" spans="5:23" x14ac:dyDescent="0.25">
      <c r="E12841" s="4"/>
      <c r="F12841" s="4"/>
      <c r="G12841" s="33" t="str">
        <f>IFERROR(VLOOKUP($D12841,'Informations sur les produits'!$A$3:$H$10000,8,FALSE),"0")</f>
        <v>0</v>
      </c>
      <c r="K12841" s="4"/>
      <c r="L12841" s="33" t="str">
        <f>IFERROR(VLOOKUP($J12841,'Informations sur les produits'!$A$3:$H$10000,8,FALSE),"0")</f>
        <v>0</v>
      </c>
      <c r="N12841" s="8"/>
      <c r="O12841" s="33" t="str">
        <f>IFERROR(VLOOKUP($M12841,'Informations sur les produits'!$A$3:$H$10000,8,FALSE),"0")</f>
        <v>0</v>
      </c>
      <c r="P12841" s="33">
        <f t="shared" si="800"/>
        <v>0</v>
      </c>
      <c r="Q12841" s="31" t="str">
        <f t="shared" si="801"/>
        <v/>
      </c>
      <c r="R12841" s="32" t="str">
        <f>IFERROR(VLOOKUP($D12841,'Informations sur les produits'!$A$3:$B$15000,2,FALSE),"")</f>
        <v/>
      </c>
      <c r="V12841">
        <f t="shared" si="802"/>
        <v>0</v>
      </c>
      <c r="W12841">
        <f t="shared" si="803"/>
        <v>0</v>
      </c>
    </row>
    <row r="12842" spans="5:23" x14ac:dyDescent="0.25">
      <c r="E12842" s="4"/>
      <c r="F12842" s="4"/>
      <c r="G12842" s="33" t="str">
        <f>IFERROR(VLOOKUP($D12842,'Informations sur les produits'!$A$3:$H$10000,8,FALSE),"0")</f>
        <v>0</v>
      </c>
      <c r="K12842" s="4"/>
      <c r="L12842" s="33" t="str">
        <f>IFERROR(VLOOKUP($J12842,'Informations sur les produits'!$A$3:$H$10000,8,FALSE),"0")</f>
        <v>0</v>
      </c>
      <c r="N12842" s="8"/>
      <c r="O12842" s="33" t="str">
        <f>IFERROR(VLOOKUP($M12842,'Informations sur les produits'!$A$3:$H$10000,8,FALSE),"0")</f>
        <v>0</v>
      </c>
      <c r="P12842" s="33">
        <f t="shared" si="800"/>
        <v>0</v>
      </c>
      <c r="Q12842" s="31" t="str">
        <f t="shared" si="801"/>
        <v/>
      </c>
      <c r="R12842" s="32" t="str">
        <f>IFERROR(VLOOKUP($D12842,'Informations sur les produits'!$A$3:$B$15000,2,FALSE),"")</f>
        <v/>
      </c>
      <c r="V12842">
        <f t="shared" si="802"/>
        <v>0</v>
      </c>
      <c r="W12842">
        <f t="shared" si="803"/>
        <v>0</v>
      </c>
    </row>
    <row r="12843" spans="5:23" x14ac:dyDescent="0.25">
      <c r="E12843" s="4"/>
      <c r="F12843" s="4"/>
      <c r="G12843" s="33" t="str">
        <f>IFERROR(VLOOKUP($D12843,'Informations sur les produits'!$A$3:$H$10000,8,FALSE),"0")</f>
        <v>0</v>
      </c>
      <c r="K12843" s="4"/>
      <c r="L12843" s="33" t="str">
        <f>IFERROR(VLOOKUP($J12843,'Informations sur les produits'!$A$3:$H$10000,8,FALSE),"0")</f>
        <v>0</v>
      </c>
      <c r="N12843" s="8"/>
      <c r="O12843" s="33" t="str">
        <f>IFERROR(VLOOKUP($M12843,'Informations sur les produits'!$A$3:$H$10000,8,FALSE),"0")</f>
        <v>0</v>
      </c>
      <c r="P12843" s="33">
        <f t="shared" si="800"/>
        <v>0</v>
      </c>
      <c r="Q12843" s="31" t="str">
        <f t="shared" si="801"/>
        <v/>
      </c>
      <c r="R12843" s="32" t="str">
        <f>IFERROR(VLOOKUP($D12843,'Informations sur les produits'!$A$3:$B$15000,2,FALSE),"")</f>
        <v/>
      </c>
      <c r="V12843">
        <f t="shared" si="802"/>
        <v>0</v>
      </c>
      <c r="W12843">
        <f t="shared" si="803"/>
        <v>0</v>
      </c>
    </row>
    <row r="12844" spans="5:23" x14ac:dyDescent="0.25">
      <c r="E12844" s="4"/>
      <c r="F12844" s="4"/>
      <c r="G12844" s="33" t="str">
        <f>IFERROR(VLOOKUP($D12844,'Informations sur les produits'!$A$3:$H$10000,8,FALSE),"0")</f>
        <v>0</v>
      </c>
      <c r="K12844" s="4"/>
      <c r="L12844" s="33" t="str">
        <f>IFERROR(VLOOKUP($J12844,'Informations sur les produits'!$A$3:$H$10000,8,FALSE),"0")</f>
        <v>0</v>
      </c>
      <c r="N12844" s="8"/>
      <c r="O12844" s="33" t="str">
        <f>IFERROR(VLOOKUP($M12844,'Informations sur les produits'!$A$3:$H$10000,8,FALSE),"0")</f>
        <v>0</v>
      </c>
      <c r="P12844" s="33">
        <f t="shared" si="800"/>
        <v>0</v>
      </c>
      <c r="Q12844" s="31" t="str">
        <f t="shared" si="801"/>
        <v/>
      </c>
      <c r="R12844" s="32" t="str">
        <f>IFERROR(VLOOKUP($D12844,'Informations sur les produits'!$A$3:$B$15000,2,FALSE),"")</f>
        <v/>
      </c>
      <c r="V12844">
        <f t="shared" si="802"/>
        <v>0</v>
      </c>
      <c r="W12844">
        <f t="shared" si="803"/>
        <v>0</v>
      </c>
    </row>
    <row r="12845" spans="5:23" x14ac:dyDescent="0.25">
      <c r="E12845" s="4"/>
      <c r="F12845" s="4"/>
      <c r="G12845" s="33" t="str">
        <f>IFERROR(VLOOKUP($D12845,'Informations sur les produits'!$A$3:$H$10000,8,FALSE),"0")</f>
        <v>0</v>
      </c>
      <c r="K12845" s="4"/>
      <c r="L12845" s="33" t="str">
        <f>IFERROR(VLOOKUP($J12845,'Informations sur les produits'!$A$3:$H$10000,8,FALSE),"0")</f>
        <v>0</v>
      </c>
      <c r="N12845" s="8"/>
      <c r="O12845" s="33" t="str">
        <f>IFERROR(VLOOKUP($M12845,'Informations sur les produits'!$A$3:$H$10000,8,FALSE),"0")</f>
        <v>0</v>
      </c>
      <c r="P12845" s="33">
        <f t="shared" si="800"/>
        <v>0</v>
      </c>
      <c r="Q12845" s="31" t="str">
        <f t="shared" si="801"/>
        <v/>
      </c>
      <c r="R12845" s="32" t="str">
        <f>IFERROR(VLOOKUP($D12845,'Informations sur les produits'!$A$3:$B$15000,2,FALSE),"")</f>
        <v/>
      </c>
      <c r="V12845">
        <f t="shared" si="802"/>
        <v>0</v>
      </c>
      <c r="W12845">
        <f t="shared" si="803"/>
        <v>0</v>
      </c>
    </row>
    <row r="12846" spans="5:23" x14ac:dyDescent="0.25">
      <c r="E12846" s="4"/>
      <c r="F12846" s="4"/>
      <c r="G12846" s="33" t="str">
        <f>IFERROR(VLOOKUP($D12846,'Informations sur les produits'!$A$3:$H$10000,8,FALSE),"0")</f>
        <v>0</v>
      </c>
      <c r="K12846" s="4"/>
      <c r="L12846" s="33" t="str">
        <f>IFERROR(VLOOKUP($J12846,'Informations sur les produits'!$A$3:$H$10000,8,FALSE),"0")</f>
        <v>0</v>
      </c>
      <c r="N12846" s="8"/>
      <c r="O12846" s="33" t="str">
        <f>IFERROR(VLOOKUP($M12846,'Informations sur les produits'!$A$3:$H$10000,8,FALSE),"0")</f>
        <v>0</v>
      </c>
      <c r="P12846" s="33">
        <f t="shared" si="800"/>
        <v>0</v>
      </c>
      <c r="Q12846" s="31" t="str">
        <f t="shared" si="801"/>
        <v/>
      </c>
      <c r="R12846" s="32" t="str">
        <f>IFERROR(VLOOKUP($D12846,'Informations sur les produits'!$A$3:$B$15000,2,FALSE),"")</f>
        <v/>
      </c>
      <c r="V12846">
        <f t="shared" si="802"/>
        <v>0</v>
      </c>
      <c r="W12846">
        <f t="shared" si="803"/>
        <v>0</v>
      </c>
    </row>
    <row r="12847" spans="5:23" x14ac:dyDescent="0.25">
      <c r="E12847" s="4"/>
      <c r="F12847" s="4"/>
      <c r="G12847" s="33" t="str">
        <f>IFERROR(VLOOKUP($D12847,'Informations sur les produits'!$A$3:$H$10000,8,FALSE),"0")</f>
        <v>0</v>
      </c>
      <c r="K12847" s="4"/>
      <c r="L12847" s="33" t="str">
        <f>IFERROR(VLOOKUP($J12847,'Informations sur les produits'!$A$3:$H$10000,8,FALSE),"0")</f>
        <v>0</v>
      </c>
      <c r="N12847" s="8"/>
      <c r="O12847" s="33" t="str">
        <f>IFERROR(VLOOKUP($M12847,'Informations sur les produits'!$A$3:$H$10000,8,FALSE),"0")</f>
        <v>0</v>
      </c>
      <c r="P12847" s="33">
        <f t="shared" si="800"/>
        <v>0</v>
      </c>
      <c r="Q12847" s="31" t="str">
        <f t="shared" si="801"/>
        <v/>
      </c>
      <c r="R12847" s="32" t="str">
        <f>IFERROR(VLOOKUP($D12847,'Informations sur les produits'!$A$3:$B$15000,2,FALSE),"")</f>
        <v/>
      </c>
      <c r="V12847">
        <f t="shared" si="802"/>
        <v>0</v>
      </c>
      <c r="W12847">
        <f t="shared" si="803"/>
        <v>0</v>
      </c>
    </row>
    <row r="12848" spans="5:23" x14ac:dyDescent="0.25">
      <c r="E12848" s="4"/>
      <c r="F12848" s="4"/>
      <c r="G12848" s="33" t="str">
        <f>IFERROR(VLOOKUP($D12848,'Informations sur les produits'!$A$3:$H$10000,8,FALSE),"0")</f>
        <v>0</v>
      </c>
      <c r="K12848" s="4"/>
      <c r="L12848" s="33" t="str">
        <f>IFERROR(VLOOKUP($J12848,'Informations sur les produits'!$A$3:$H$10000,8,FALSE),"0")</f>
        <v>0</v>
      </c>
      <c r="N12848" s="8"/>
      <c r="O12848" s="33" t="str">
        <f>IFERROR(VLOOKUP($M12848,'Informations sur les produits'!$A$3:$H$10000,8,FALSE),"0")</f>
        <v>0</v>
      </c>
      <c r="P12848" s="33">
        <f t="shared" si="800"/>
        <v>0</v>
      </c>
      <c r="Q12848" s="31" t="str">
        <f t="shared" si="801"/>
        <v/>
      </c>
      <c r="R12848" s="32" t="str">
        <f>IFERROR(VLOOKUP($D12848,'Informations sur les produits'!$A$3:$B$15000,2,FALSE),"")</f>
        <v/>
      </c>
      <c r="V12848">
        <f t="shared" si="802"/>
        <v>0</v>
      </c>
      <c r="W12848">
        <f t="shared" si="803"/>
        <v>0</v>
      </c>
    </row>
    <row r="12849" spans="5:23" x14ac:dyDescent="0.25">
      <c r="E12849" s="4"/>
      <c r="F12849" s="4"/>
      <c r="G12849" s="33" t="str">
        <f>IFERROR(VLOOKUP($D12849,'Informations sur les produits'!$A$3:$H$10000,8,FALSE),"0")</f>
        <v>0</v>
      </c>
      <c r="K12849" s="4"/>
      <c r="L12849" s="33" t="str">
        <f>IFERROR(VLOOKUP($J12849,'Informations sur les produits'!$A$3:$H$10000,8,FALSE),"0")</f>
        <v>0</v>
      </c>
      <c r="N12849" s="8"/>
      <c r="O12849" s="33" t="str">
        <f>IFERROR(VLOOKUP($M12849,'Informations sur les produits'!$A$3:$H$10000,8,FALSE),"0")</f>
        <v>0</v>
      </c>
      <c r="P12849" s="33">
        <f t="shared" si="800"/>
        <v>0</v>
      </c>
      <c r="Q12849" s="31" t="str">
        <f t="shared" si="801"/>
        <v/>
      </c>
      <c r="R12849" s="32" t="str">
        <f>IFERROR(VLOOKUP($D12849,'Informations sur les produits'!$A$3:$B$15000,2,FALSE),"")</f>
        <v/>
      </c>
      <c r="V12849">
        <f t="shared" si="802"/>
        <v>0</v>
      </c>
      <c r="W12849">
        <f t="shared" si="803"/>
        <v>0</v>
      </c>
    </row>
    <row r="12850" spans="5:23" x14ac:dyDescent="0.25">
      <c r="E12850" s="4"/>
      <c r="F12850" s="4"/>
      <c r="G12850" s="33" t="str">
        <f>IFERROR(VLOOKUP($D12850,'Informations sur les produits'!$A$3:$H$10000,8,FALSE),"0")</f>
        <v>0</v>
      </c>
      <c r="K12850" s="4"/>
      <c r="L12850" s="33" t="str">
        <f>IFERROR(VLOOKUP($J12850,'Informations sur les produits'!$A$3:$H$10000,8,FALSE),"0")</f>
        <v>0</v>
      </c>
      <c r="N12850" s="8"/>
      <c r="O12850" s="33" t="str">
        <f>IFERROR(VLOOKUP($M12850,'Informations sur les produits'!$A$3:$H$10000,8,FALSE),"0")</f>
        <v>0</v>
      </c>
      <c r="P12850" s="33">
        <f t="shared" si="800"/>
        <v>0</v>
      </c>
      <c r="Q12850" s="31" t="str">
        <f t="shared" si="801"/>
        <v/>
      </c>
      <c r="R12850" s="32" t="str">
        <f>IFERROR(VLOOKUP($D12850,'Informations sur les produits'!$A$3:$B$15000,2,FALSE),"")</f>
        <v/>
      </c>
      <c r="V12850">
        <f t="shared" si="802"/>
        <v>0</v>
      </c>
      <c r="W12850">
        <f t="shared" si="803"/>
        <v>0</v>
      </c>
    </row>
    <row r="12851" spans="5:23" x14ac:dyDescent="0.25">
      <c r="E12851" s="4"/>
      <c r="F12851" s="4"/>
      <c r="G12851" s="33" t="str">
        <f>IFERROR(VLOOKUP($D12851,'Informations sur les produits'!$A$3:$H$10000,8,FALSE),"0")</f>
        <v>0</v>
      </c>
      <c r="K12851" s="4"/>
      <c r="L12851" s="33" t="str">
        <f>IFERROR(VLOOKUP($J12851,'Informations sur les produits'!$A$3:$H$10000,8,FALSE),"0")</f>
        <v>0</v>
      </c>
      <c r="N12851" s="8"/>
      <c r="O12851" s="33" t="str">
        <f>IFERROR(VLOOKUP($M12851,'Informations sur les produits'!$A$3:$H$10000,8,FALSE),"0")</f>
        <v>0</v>
      </c>
      <c r="P12851" s="33">
        <f t="shared" si="800"/>
        <v>0</v>
      </c>
      <c r="Q12851" s="31" t="str">
        <f t="shared" si="801"/>
        <v/>
      </c>
      <c r="R12851" s="32" t="str">
        <f>IFERROR(VLOOKUP($D12851,'Informations sur les produits'!$A$3:$B$15000,2,FALSE),"")</f>
        <v/>
      </c>
      <c r="V12851">
        <f t="shared" si="802"/>
        <v>0</v>
      </c>
      <c r="W12851">
        <f t="shared" si="803"/>
        <v>0</v>
      </c>
    </row>
    <row r="12852" spans="5:23" x14ac:dyDescent="0.25">
      <c r="E12852" s="4"/>
      <c r="F12852" s="4"/>
      <c r="G12852" s="33" t="str">
        <f>IFERROR(VLOOKUP($D12852,'Informations sur les produits'!$A$3:$H$10000,8,FALSE),"0")</f>
        <v>0</v>
      </c>
      <c r="K12852" s="4"/>
      <c r="L12852" s="33" t="str">
        <f>IFERROR(VLOOKUP($J12852,'Informations sur les produits'!$A$3:$H$10000,8,FALSE),"0")</f>
        <v>0</v>
      </c>
      <c r="N12852" s="8"/>
      <c r="O12852" s="33" t="str">
        <f>IFERROR(VLOOKUP($M12852,'Informations sur les produits'!$A$3:$H$10000,8,FALSE),"0")</f>
        <v>0</v>
      </c>
      <c r="P12852" s="33">
        <f t="shared" si="800"/>
        <v>0</v>
      </c>
      <c r="Q12852" s="31" t="str">
        <f t="shared" si="801"/>
        <v/>
      </c>
      <c r="R12852" s="32" t="str">
        <f>IFERROR(VLOOKUP($D12852,'Informations sur les produits'!$A$3:$B$15000,2,FALSE),"")</f>
        <v/>
      </c>
      <c r="V12852">
        <f t="shared" si="802"/>
        <v>0</v>
      </c>
      <c r="W12852">
        <f t="shared" si="803"/>
        <v>0</v>
      </c>
    </row>
    <row r="12853" spans="5:23" x14ac:dyDescent="0.25">
      <c r="E12853" s="4"/>
      <c r="F12853" s="4"/>
      <c r="G12853" s="33" t="str">
        <f>IFERROR(VLOOKUP($D12853,'Informations sur les produits'!$A$3:$H$10000,8,FALSE),"0")</f>
        <v>0</v>
      </c>
      <c r="K12853" s="4"/>
      <c r="L12853" s="33" t="str">
        <f>IFERROR(VLOOKUP($J12853,'Informations sur les produits'!$A$3:$H$10000,8,FALSE),"0")</f>
        <v>0</v>
      </c>
      <c r="N12853" s="8"/>
      <c r="O12853" s="33" t="str">
        <f>IFERROR(VLOOKUP($M12853,'Informations sur les produits'!$A$3:$H$10000,8,FALSE),"0")</f>
        <v>0</v>
      </c>
      <c r="P12853" s="33">
        <f t="shared" si="800"/>
        <v>0</v>
      </c>
      <c r="Q12853" s="31" t="str">
        <f t="shared" si="801"/>
        <v/>
      </c>
      <c r="R12853" s="32" t="str">
        <f>IFERROR(VLOOKUP($D12853,'Informations sur les produits'!$A$3:$B$15000,2,FALSE),"")</f>
        <v/>
      </c>
      <c r="V12853">
        <f t="shared" si="802"/>
        <v>0</v>
      </c>
      <c r="W12853">
        <f t="shared" si="803"/>
        <v>0</v>
      </c>
    </row>
    <row r="12854" spans="5:23" x14ac:dyDescent="0.25">
      <c r="E12854" s="4"/>
      <c r="F12854" s="4"/>
      <c r="G12854" s="33" t="str">
        <f>IFERROR(VLOOKUP($D12854,'Informations sur les produits'!$A$3:$H$10000,8,FALSE),"0")</f>
        <v>0</v>
      </c>
      <c r="K12854" s="4"/>
      <c r="L12854" s="33" t="str">
        <f>IFERROR(VLOOKUP($J12854,'Informations sur les produits'!$A$3:$H$10000,8,FALSE),"0")</f>
        <v>0</v>
      </c>
      <c r="N12854" s="8"/>
      <c r="O12854" s="33" t="str">
        <f>IFERROR(VLOOKUP($M12854,'Informations sur les produits'!$A$3:$H$10000,8,FALSE),"0")</f>
        <v>0</v>
      </c>
      <c r="P12854" s="33">
        <f t="shared" si="800"/>
        <v>0</v>
      </c>
      <c r="Q12854" s="31" t="str">
        <f t="shared" si="801"/>
        <v/>
      </c>
      <c r="R12854" s="32" t="str">
        <f>IFERROR(VLOOKUP($D12854,'Informations sur les produits'!$A$3:$B$15000,2,FALSE),"")</f>
        <v/>
      </c>
      <c r="V12854">
        <f t="shared" si="802"/>
        <v>0</v>
      </c>
      <c r="W12854">
        <f t="shared" si="803"/>
        <v>0</v>
      </c>
    </row>
    <row r="12855" spans="5:23" x14ac:dyDescent="0.25">
      <c r="E12855" s="4"/>
      <c r="F12855" s="4"/>
      <c r="G12855" s="33" t="str">
        <f>IFERROR(VLOOKUP($D12855,'Informations sur les produits'!$A$3:$H$10000,8,FALSE),"0")</f>
        <v>0</v>
      </c>
      <c r="K12855" s="4"/>
      <c r="L12855" s="33" t="str">
        <f>IFERROR(VLOOKUP($J12855,'Informations sur les produits'!$A$3:$H$10000,8,FALSE),"0")</f>
        <v>0</v>
      </c>
      <c r="N12855" s="8"/>
      <c r="O12855" s="33" t="str">
        <f>IFERROR(VLOOKUP($M12855,'Informations sur les produits'!$A$3:$H$10000,8,FALSE),"0")</f>
        <v>0</v>
      </c>
      <c r="P12855" s="33">
        <f t="shared" si="800"/>
        <v>0</v>
      </c>
      <c r="Q12855" s="31" t="str">
        <f t="shared" si="801"/>
        <v/>
      </c>
      <c r="R12855" s="32" t="str">
        <f>IFERROR(VLOOKUP($D12855,'Informations sur les produits'!$A$3:$B$15000,2,FALSE),"")</f>
        <v/>
      </c>
      <c r="V12855">
        <f t="shared" si="802"/>
        <v>0</v>
      </c>
      <c r="W12855">
        <f t="shared" si="803"/>
        <v>0</v>
      </c>
    </row>
    <row r="12856" spans="5:23" x14ac:dyDescent="0.25">
      <c r="E12856" s="4"/>
      <c r="F12856" s="4"/>
      <c r="G12856" s="33" t="str">
        <f>IFERROR(VLOOKUP($D12856,'Informations sur les produits'!$A$3:$H$10000,8,FALSE),"0")</f>
        <v>0</v>
      </c>
      <c r="K12856" s="4"/>
      <c r="L12856" s="33" t="str">
        <f>IFERROR(VLOOKUP($J12856,'Informations sur les produits'!$A$3:$H$10000,8,FALSE),"0")</f>
        <v>0</v>
      </c>
      <c r="N12856" s="8"/>
      <c r="O12856" s="33" t="str">
        <f>IFERROR(VLOOKUP($M12856,'Informations sur les produits'!$A$3:$H$10000,8,FALSE),"0")</f>
        <v>0</v>
      </c>
      <c r="P12856" s="33">
        <f t="shared" si="800"/>
        <v>0</v>
      </c>
      <c r="Q12856" s="31" t="str">
        <f t="shared" si="801"/>
        <v/>
      </c>
      <c r="R12856" s="32" t="str">
        <f>IFERROR(VLOOKUP($D12856,'Informations sur les produits'!$A$3:$B$15000,2,FALSE),"")</f>
        <v/>
      </c>
      <c r="V12856">
        <f t="shared" si="802"/>
        <v>0</v>
      </c>
      <c r="W12856">
        <f t="shared" si="803"/>
        <v>0</v>
      </c>
    </row>
    <row r="12857" spans="5:23" x14ac:dyDescent="0.25">
      <c r="E12857" s="4"/>
      <c r="F12857" s="4"/>
      <c r="G12857" s="33" t="str">
        <f>IFERROR(VLOOKUP($D12857,'Informations sur les produits'!$A$3:$H$10000,8,FALSE),"0")</f>
        <v>0</v>
      </c>
      <c r="K12857" s="4"/>
      <c r="L12857" s="33" t="str">
        <f>IFERROR(VLOOKUP($J12857,'Informations sur les produits'!$A$3:$H$10000,8,FALSE),"0")</f>
        <v>0</v>
      </c>
      <c r="N12857" s="8"/>
      <c r="O12857" s="33" t="str">
        <f>IFERROR(VLOOKUP($M12857,'Informations sur les produits'!$A$3:$H$10000,8,FALSE),"0")</f>
        <v>0</v>
      </c>
      <c r="P12857" s="33">
        <f t="shared" si="800"/>
        <v>0</v>
      </c>
      <c r="Q12857" s="31" t="str">
        <f t="shared" si="801"/>
        <v/>
      </c>
      <c r="R12857" s="32" t="str">
        <f>IFERROR(VLOOKUP($D12857,'Informations sur les produits'!$A$3:$B$15000,2,FALSE),"")</f>
        <v/>
      </c>
      <c r="V12857">
        <f t="shared" si="802"/>
        <v>0</v>
      </c>
      <c r="W12857">
        <f t="shared" si="803"/>
        <v>0</v>
      </c>
    </row>
    <row r="12858" spans="5:23" x14ac:dyDescent="0.25">
      <c r="E12858" s="4"/>
      <c r="F12858" s="4"/>
      <c r="G12858" s="33" t="str">
        <f>IFERROR(VLOOKUP($D12858,'Informations sur les produits'!$A$3:$H$10000,8,FALSE),"0")</f>
        <v>0</v>
      </c>
      <c r="K12858" s="4"/>
      <c r="L12858" s="33" t="str">
        <f>IFERROR(VLOOKUP($J12858,'Informations sur les produits'!$A$3:$H$10000,8,FALSE),"0")</f>
        <v>0</v>
      </c>
      <c r="N12858" s="8"/>
      <c r="O12858" s="33" t="str">
        <f>IFERROR(VLOOKUP($M12858,'Informations sur les produits'!$A$3:$H$10000,8,FALSE),"0")</f>
        <v>0</v>
      </c>
      <c r="P12858" s="33">
        <f t="shared" si="800"/>
        <v>0</v>
      </c>
      <c r="Q12858" s="31" t="str">
        <f t="shared" si="801"/>
        <v/>
      </c>
      <c r="R12858" s="32" t="str">
        <f>IFERROR(VLOOKUP($D12858,'Informations sur les produits'!$A$3:$B$15000,2,FALSE),"")</f>
        <v/>
      </c>
      <c r="V12858">
        <f t="shared" si="802"/>
        <v>0</v>
      </c>
      <c r="W12858">
        <f t="shared" si="803"/>
        <v>0</v>
      </c>
    </row>
    <row r="12859" spans="5:23" x14ac:dyDescent="0.25">
      <c r="E12859" s="4"/>
      <c r="F12859" s="4"/>
      <c r="G12859" s="33" t="str">
        <f>IFERROR(VLOOKUP($D12859,'Informations sur les produits'!$A$3:$H$10000,8,FALSE),"0")</f>
        <v>0</v>
      </c>
      <c r="K12859" s="4"/>
      <c r="L12859" s="33" t="str">
        <f>IFERROR(VLOOKUP($J12859,'Informations sur les produits'!$A$3:$H$10000,8,FALSE),"0")</f>
        <v>0</v>
      </c>
      <c r="N12859" s="8"/>
      <c r="O12859" s="33" t="str">
        <f>IFERROR(VLOOKUP($M12859,'Informations sur les produits'!$A$3:$H$10000,8,FALSE),"0")</f>
        <v>0</v>
      </c>
      <c r="P12859" s="33">
        <f t="shared" si="800"/>
        <v>0</v>
      </c>
      <c r="Q12859" s="31" t="str">
        <f t="shared" si="801"/>
        <v/>
      </c>
      <c r="R12859" s="32" t="str">
        <f>IFERROR(VLOOKUP($D12859,'Informations sur les produits'!$A$3:$B$15000,2,FALSE),"")</f>
        <v/>
      </c>
      <c r="V12859">
        <f t="shared" si="802"/>
        <v>0</v>
      </c>
      <c r="W12859">
        <f t="shared" si="803"/>
        <v>0</v>
      </c>
    </row>
    <row r="12860" spans="5:23" x14ac:dyDescent="0.25">
      <c r="E12860" s="4"/>
      <c r="F12860" s="4"/>
      <c r="G12860" s="33" t="str">
        <f>IFERROR(VLOOKUP($D12860,'Informations sur les produits'!$A$3:$H$10000,8,FALSE),"0")</f>
        <v>0</v>
      </c>
      <c r="K12860" s="4"/>
      <c r="L12860" s="33" t="str">
        <f>IFERROR(VLOOKUP($J12860,'Informations sur les produits'!$A$3:$H$10000,8,FALSE),"0")</f>
        <v>0</v>
      </c>
      <c r="N12860" s="8"/>
      <c r="O12860" s="33" t="str">
        <f>IFERROR(VLOOKUP($M12860,'Informations sur les produits'!$A$3:$H$10000,8,FALSE),"0")</f>
        <v>0</v>
      </c>
      <c r="P12860" s="33">
        <f t="shared" si="800"/>
        <v>0</v>
      </c>
      <c r="Q12860" s="31" t="str">
        <f t="shared" si="801"/>
        <v/>
      </c>
      <c r="R12860" s="32" t="str">
        <f>IFERROR(VLOOKUP($D12860,'Informations sur les produits'!$A$3:$B$15000,2,FALSE),"")</f>
        <v/>
      </c>
      <c r="V12860">
        <f t="shared" si="802"/>
        <v>0</v>
      </c>
      <c r="W12860">
        <f t="shared" si="803"/>
        <v>0</v>
      </c>
    </row>
    <row r="12861" spans="5:23" x14ac:dyDescent="0.25">
      <c r="E12861" s="4"/>
      <c r="F12861" s="4"/>
      <c r="G12861" s="33" t="str">
        <f>IFERROR(VLOOKUP($D12861,'Informations sur les produits'!$A$3:$H$10000,8,FALSE),"0")</f>
        <v>0</v>
      </c>
      <c r="K12861" s="4"/>
      <c r="L12861" s="33" t="str">
        <f>IFERROR(VLOOKUP($J12861,'Informations sur les produits'!$A$3:$H$10000,8,FALSE),"0")</f>
        <v>0</v>
      </c>
      <c r="N12861" s="8"/>
      <c r="O12861" s="33" t="str">
        <f>IFERROR(VLOOKUP($M12861,'Informations sur les produits'!$A$3:$H$10000,8,FALSE),"0")</f>
        <v>0</v>
      </c>
      <c r="P12861" s="33">
        <f t="shared" si="800"/>
        <v>0</v>
      </c>
      <c r="Q12861" s="31" t="str">
        <f t="shared" si="801"/>
        <v/>
      </c>
      <c r="R12861" s="32" t="str">
        <f>IFERROR(VLOOKUP($D12861,'Informations sur les produits'!$A$3:$B$15000,2,FALSE),"")</f>
        <v/>
      </c>
      <c r="V12861">
        <f t="shared" si="802"/>
        <v>0</v>
      </c>
      <c r="W12861">
        <f t="shared" si="803"/>
        <v>0</v>
      </c>
    </row>
    <row r="12862" spans="5:23" x14ac:dyDescent="0.25">
      <c r="E12862" s="4"/>
      <c r="F12862" s="4"/>
      <c r="G12862" s="33" t="str">
        <f>IFERROR(VLOOKUP($D12862,'Informations sur les produits'!$A$3:$H$10000,8,FALSE),"0")</f>
        <v>0</v>
      </c>
      <c r="K12862" s="4"/>
      <c r="L12862" s="33" t="str">
        <f>IFERROR(VLOOKUP($J12862,'Informations sur les produits'!$A$3:$H$10000,8,FALSE),"0")</f>
        <v>0</v>
      </c>
      <c r="N12862" s="8"/>
      <c r="O12862" s="33" t="str">
        <f>IFERROR(VLOOKUP($M12862,'Informations sur les produits'!$A$3:$H$10000,8,FALSE),"0")</f>
        <v>0</v>
      </c>
      <c r="P12862" s="33">
        <f t="shared" si="800"/>
        <v>0</v>
      </c>
      <c r="Q12862" s="31" t="str">
        <f t="shared" si="801"/>
        <v/>
      </c>
      <c r="R12862" s="32" t="str">
        <f>IFERROR(VLOOKUP($D12862,'Informations sur les produits'!$A$3:$B$15000,2,FALSE),"")</f>
        <v/>
      </c>
      <c r="V12862">
        <f t="shared" si="802"/>
        <v>0</v>
      </c>
      <c r="W12862">
        <f t="shared" si="803"/>
        <v>0</v>
      </c>
    </row>
    <row r="12863" spans="5:23" x14ac:dyDescent="0.25">
      <c r="E12863" s="4"/>
      <c r="F12863" s="4"/>
      <c r="G12863" s="33" t="str">
        <f>IFERROR(VLOOKUP($D12863,'Informations sur les produits'!$A$3:$H$10000,8,FALSE),"0")</f>
        <v>0</v>
      </c>
      <c r="K12863" s="4"/>
      <c r="L12863" s="33" t="str">
        <f>IFERROR(VLOOKUP($J12863,'Informations sur les produits'!$A$3:$H$10000,8,FALSE),"0")</f>
        <v>0</v>
      </c>
      <c r="N12863" s="8"/>
      <c r="O12863" s="33" t="str">
        <f>IFERROR(VLOOKUP($M12863,'Informations sur les produits'!$A$3:$H$10000,8,FALSE),"0")</f>
        <v>0</v>
      </c>
      <c r="P12863" s="33">
        <f t="shared" si="800"/>
        <v>0</v>
      </c>
      <c r="Q12863" s="31" t="str">
        <f t="shared" si="801"/>
        <v/>
      </c>
      <c r="R12863" s="32" t="str">
        <f>IFERROR(VLOOKUP($D12863,'Informations sur les produits'!$A$3:$B$15000,2,FALSE),"")</f>
        <v/>
      </c>
      <c r="V12863">
        <f t="shared" si="802"/>
        <v>0</v>
      </c>
      <c r="W12863">
        <f t="shared" si="803"/>
        <v>0</v>
      </c>
    </row>
    <row r="12864" spans="5:23" x14ac:dyDescent="0.25">
      <c r="E12864" s="4"/>
      <c r="F12864" s="4"/>
      <c r="G12864" s="33" t="str">
        <f>IFERROR(VLOOKUP($D12864,'Informations sur les produits'!$A$3:$H$10000,8,FALSE),"0")</f>
        <v>0</v>
      </c>
      <c r="K12864" s="4"/>
      <c r="L12864" s="33" t="str">
        <f>IFERROR(VLOOKUP($J12864,'Informations sur les produits'!$A$3:$H$10000,8,FALSE),"0")</f>
        <v>0</v>
      </c>
      <c r="N12864" s="8"/>
      <c r="O12864" s="33" t="str">
        <f>IFERROR(VLOOKUP($M12864,'Informations sur les produits'!$A$3:$H$10000,8,FALSE),"0")</f>
        <v>0</v>
      </c>
      <c r="P12864" s="33">
        <f t="shared" si="800"/>
        <v>0</v>
      </c>
      <c r="Q12864" s="31" t="str">
        <f t="shared" si="801"/>
        <v/>
      </c>
      <c r="R12864" s="32" t="str">
        <f>IFERROR(VLOOKUP($D12864,'Informations sur les produits'!$A$3:$B$15000,2,FALSE),"")</f>
        <v/>
      </c>
      <c r="V12864">
        <f t="shared" si="802"/>
        <v>0</v>
      </c>
      <c r="W12864">
        <f t="shared" si="803"/>
        <v>0</v>
      </c>
    </row>
    <row r="12865" spans="5:23" x14ac:dyDescent="0.25">
      <c r="E12865" s="4"/>
      <c r="F12865" s="4"/>
      <c r="G12865" s="33" t="str">
        <f>IFERROR(VLOOKUP($D12865,'Informations sur les produits'!$A$3:$H$10000,8,FALSE),"0")</f>
        <v>0</v>
      </c>
      <c r="K12865" s="4"/>
      <c r="L12865" s="33" t="str">
        <f>IFERROR(VLOOKUP($J12865,'Informations sur les produits'!$A$3:$H$10000,8,FALSE),"0")</f>
        <v>0</v>
      </c>
      <c r="N12865" s="8"/>
      <c r="O12865" s="33" t="str">
        <f>IFERROR(VLOOKUP($M12865,'Informations sur les produits'!$A$3:$H$10000,8,FALSE),"0")</f>
        <v>0</v>
      </c>
      <c r="P12865" s="33">
        <f t="shared" si="800"/>
        <v>0</v>
      </c>
      <c r="Q12865" s="31" t="str">
        <f t="shared" si="801"/>
        <v/>
      </c>
      <c r="R12865" s="32" t="str">
        <f>IFERROR(VLOOKUP($D12865,'Informations sur les produits'!$A$3:$B$15000,2,FALSE),"")</f>
        <v/>
      </c>
      <c r="V12865">
        <f t="shared" si="802"/>
        <v>0</v>
      </c>
      <c r="W12865">
        <f t="shared" si="803"/>
        <v>0</v>
      </c>
    </row>
    <row r="12866" spans="5:23" x14ac:dyDescent="0.25">
      <c r="E12866" s="4"/>
      <c r="F12866" s="4"/>
      <c r="G12866" s="33" t="str">
        <f>IFERROR(VLOOKUP($D12866,'Informations sur les produits'!$A$3:$H$10000,8,FALSE),"0")</f>
        <v>0</v>
      </c>
      <c r="K12866" s="4"/>
      <c r="L12866" s="33" t="str">
        <f>IFERROR(VLOOKUP($J12866,'Informations sur les produits'!$A$3:$H$10000,8,FALSE),"0")</f>
        <v>0</v>
      </c>
      <c r="N12866" s="8"/>
      <c r="O12866" s="33" t="str">
        <f>IFERROR(VLOOKUP($M12866,'Informations sur les produits'!$A$3:$H$10000,8,FALSE),"0")</f>
        <v>0</v>
      </c>
      <c r="P12866" s="33">
        <f t="shared" si="800"/>
        <v>0</v>
      </c>
      <c r="Q12866" s="31" t="str">
        <f t="shared" si="801"/>
        <v/>
      </c>
      <c r="R12866" s="32" t="str">
        <f>IFERROR(VLOOKUP($D12866,'Informations sur les produits'!$A$3:$B$15000,2,FALSE),"")</f>
        <v/>
      </c>
      <c r="V12866">
        <f t="shared" si="802"/>
        <v>0</v>
      </c>
      <c r="W12866">
        <f t="shared" si="803"/>
        <v>0</v>
      </c>
    </row>
    <row r="12867" spans="5:23" x14ac:dyDescent="0.25">
      <c r="E12867" s="4"/>
      <c r="F12867" s="4"/>
      <c r="G12867" s="33" t="str">
        <f>IFERROR(VLOOKUP($D12867,'Informations sur les produits'!$A$3:$H$10000,8,FALSE),"0")</f>
        <v>0</v>
      </c>
      <c r="K12867" s="4"/>
      <c r="L12867" s="33" t="str">
        <f>IFERROR(VLOOKUP($J12867,'Informations sur les produits'!$A$3:$H$10000,8,FALSE),"0")</f>
        <v>0</v>
      </c>
      <c r="N12867" s="8"/>
      <c r="O12867" s="33" t="str">
        <f>IFERROR(VLOOKUP($M12867,'Informations sur les produits'!$A$3:$H$10000,8,FALSE),"0")</f>
        <v>0</v>
      </c>
      <c r="P12867" s="33">
        <f t="shared" si="800"/>
        <v>0</v>
      </c>
      <c r="Q12867" s="31" t="str">
        <f t="shared" si="801"/>
        <v/>
      </c>
      <c r="R12867" s="32" t="str">
        <f>IFERROR(VLOOKUP($D12867,'Informations sur les produits'!$A$3:$B$15000,2,FALSE),"")</f>
        <v/>
      </c>
      <c r="V12867">
        <f t="shared" si="802"/>
        <v>0</v>
      </c>
      <c r="W12867">
        <f t="shared" si="803"/>
        <v>0</v>
      </c>
    </row>
    <row r="12868" spans="5:23" x14ac:dyDescent="0.25">
      <c r="E12868" s="4"/>
      <c r="F12868" s="4"/>
      <c r="G12868" s="33" t="str">
        <f>IFERROR(VLOOKUP($D12868,'Informations sur les produits'!$A$3:$H$10000,8,FALSE),"0")</f>
        <v>0</v>
      </c>
      <c r="K12868" s="4"/>
      <c r="L12868" s="33" t="str">
        <f>IFERROR(VLOOKUP($J12868,'Informations sur les produits'!$A$3:$H$10000,8,FALSE),"0")</f>
        <v>0</v>
      </c>
      <c r="N12868" s="8"/>
      <c r="O12868" s="33" t="str">
        <f>IFERROR(VLOOKUP($M12868,'Informations sur les produits'!$A$3:$H$10000,8,FALSE),"0")</f>
        <v>0</v>
      </c>
      <c r="P12868" s="33">
        <f t="shared" ref="P12868:P12931" si="804">IFERROR((($E12868-$F12868)*$G12868+$K12868*$L12868+$N12868*$O12868),"")</f>
        <v>0</v>
      </c>
      <c r="Q12868" s="31" t="str">
        <f t="shared" ref="Q12868:Q12931" si="805">IFERROR((((($E12868-$F12868)*$G12868+$K12868*$L12868+$N12868*$O12868)*1000)/(($E12868-$F12868)+$K12868+$N12868)),"")</f>
        <v/>
      </c>
      <c r="R12868" s="32" t="str">
        <f>IFERROR(VLOOKUP($D12868,'Informations sur les produits'!$A$3:$B$15000,2,FALSE),"")</f>
        <v/>
      </c>
      <c r="V12868">
        <f t="shared" ref="V12868:V12931" si="806">IFERROR(P12868*1000,"")</f>
        <v>0</v>
      </c>
      <c r="W12868">
        <f t="shared" ref="W12868:W12931" si="807">IFERROR(($E12868-$F12868)+$K12868+$N12868,"")</f>
        <v>0</v>
      </c>
    </row>
    <row r="12869" spans="5:23" x14ac:dyDescent="0.25">
      <c r="E12869" s="4"/>
      <c r="F12869" s="4"/>
      <c r="G12869" s="33" t="str">
        <f>IFERROR(VLOOKUP($D12869,'Informations sur les produits'!$A$3:$H$10000,8,FALSE),"0")</f>
        <v>0</v>
      </c>
      <c r="K12869" s="4"/>
      <c r="L12869" s="33" t="str">
        <f>IFERROR(VLOOKUP($J12869,'Informations sur les produits'!$A$3:$H$10000,8,FALSE),"0")</f>
        <v>0</v>
      </c>
      <c r="N12869" s="8"/>
      <c r="O12869" s="33" t="str">
        <f>IFERROR(VLOOKUP($M12869,'Informations sur les produits'!$A$3:$H$10000,8,FALSE),"0")</f>
        <v>0</v>
      </c>
      <c r="P12869" s="33">
        <f t="shared" si="804"/>
        <v>0</v>
      </c>
      <c r="Q12869" s="31" t="str">
        <f t="shared" si="805"/>
        <v/>
      </c>
      <c r="R12869" s="32" t="str">
        <f>IFERROR(VLOOKUP($D12869,'Informations sur les produits'!$A$3:$B$15000,2,FALSE),"")</f>
        <v/>
      </c>
      <c r="V12869">
        <f t="shared" si="806"/>
        <v>0</v>
      </c>
      <c r="W12869">
        <f t="shared" si="807"/>
        <v>0</v>
      </c>
    </row>
    <row r="12870" spans="5:23" x14ac:dyDescent="0.25">
      <c r="E12870" s="4"/>
      <c r="F12870" s="4"/>
      <c r="G12870" s="33" t="str">
        <f>IFERROR(VLOOKUP($D12870,'Informations sur les produits'!$A$3:$H$10000,8,FALSE),"0")</f>
        <v>0</v>
      </c>
      <c r="K12870" s="4"/>
      <c r="L12870" s="33" t="str">
        <f>IFERROR(VLOOKUP($J12870,'Informations sur les produits'!$A$3:$H$10000,8,FALSE),"0")</f>
        <v>0</v>
      </c>
      <c r="N12870" s="8"/>
      <c r="O12870" s="33" t="str">
        <f>IFERROR(VLOOKUP($M12870,'Informations sur les produits'!$A$3:$H$10000,8,FALSE),"0")</f>
        <v>0</v>
      </c>
      <c r="P12870" s="33">
        <f t="shared" si="804"/>
        <v>0</v>
      </c>
      <c r="Q12870" s="31" t="str">
        <f t="shared" si="805"/>
        <v/>
      </c>
      <c r="R12870" s="32" t="str">
        <f>IFERROR(VLOOKUP($D12870,'Informations sur les produits'!$A$3:$B$15000,2,FALSE),"")</f>
        <v/>
      </c>
      <c r="V12870">
        <f t="shared" si="806"/>
        <v>0</v>
      </c>
      <c r="W12870">
        <f t="shared" si="807"/>
        <v>0</v>
      </c>
    </row>
    <row r="12871" spans="5:23" x14ac:dyDescent="0.25">
      <c r="E12871" s="4"/>
      <c r="F12871" s="4"/>
      <c r="G12871" s="33" t="str">
        <f>IFERROR(VLOOKUP($D12871,'Informations sur les produits'!$A$3:$H$10000,8,FALSE),"0")</f>
        <v>0</v>
      </c>
      <c r="K12871" s="4"/>
      <c r="L12871" s="33" t="str">
        <f>IFERROR(VLOOKUP($J12871,'Informations sur les produits'!$A$3:$H$10000,8,FALSE),"0")</f>
        <v>0</v>
      </c>
      <c r="N12871" s="8"/>
      <c r="O12871" s="33" t="str">
        <f>IFERROR(VLOOKUP($M12871,'Informations sur les produits'!$A$3:$H$10000,8,FALSE),"0")</f>
        <v>0</v>
      </c>
      <c r="P12871" s="33">
        <f t="shared" si="804"/>
        <v>0</v>
      </c>
      <c r="Q12871" s="31" t="str">
        <f t="shared" si="805"/>
        <v/>
      </c>
      <c r="R12871" s="32" t="str">
        <f>IFERROR(VLOOKUP($D12871,'Informations sur les produits'!$A$3:$B$15000,2,FALSE),"")</f>
        <v/>
      </c>
      <c r="V12871">
        <f t="shared" si="806"/>
        <v>0</v>
      </c>
      <c r="W12871">
        <f t="shared" si="807"/>
        <v>0</v>
      </c>
    </row>
    <row r="12872" spans="5:23" x14ac:dyDescent="0.25">
      <c r="E12872" s="4"/>
      <c r="F12872" s="4"/>
      <c r="G12872" s="33" t="str">
        <f>IFERROR(VLOOKUP($D12872,'Informations sur les produits'!$A$3:$H$10000,8,FALSE),"0")</f>
        <v>0</v>
      </c>
      <c r="K12872" s="4"/>
      <c r="L12872" s="33" t="str">
        <f>IFERROR(VLOOKUP($J12872,'Informations sur les produits'!$A$3:$H$10000,8,FALSE),"0")</f>
        <v>0</v>
      </c>
      <c r="N12872" s="8"/>
      <c r="O12872" s="33" t="str">
        <f>IFERROR(VLOOKUP($M12872,'Informations sur les produits'!$A$3:$H$10000,8,FALSE),"0")</f>
        <v>0</v>
      </c>
      <c r="P12872" s="33">
        <f t="shared" si="804"/>
        <v>0</v>
      </c>
      <c r="Q12872" s="31" t="str">
        <f t="shared" si="805"/>
        <v/>
      </c>
      <c r="R12872" s="32" t="str">
        <f>IFERROR(VLOOKUP($D12872,'Informations sur les produits'!$A$3:$B$15000,2,FALSE),"")</f>
        <v/>
      </c>
      <c r="V12872">
        <f t="shared" si="806"/>
        <v>0</v>
      </c>
      <c r="W12872">
        <f t="shared" si="807"/>
        <v>0</v>
      </c>
    </row>
    <row r="12873" spans="5:23" x14ac:dyDescent="0.25">
      <c r="E12873" s="4"/>
      <c r="F12873" s="4"/>
      <c r="G12873" s="33" t="str">
        <f>IFERROR(VLOOKUP($D12873,'Informations sur les produits'!$A$3:$H$10000,8,FALSE),"0")</f>
        <v>0</v>
      </c>
      <c r="K12873" s="4"/>
      <c r="L12873" s="33" t="str">
        <f>IFERROR(VLOOKUP($J12873,'Informations sur les produits'!$A$3:$H$10000,8,FALSE),"0")</f>
        <v>0</v>
      </c>
      <c r="N12873" s="8"/>
      <c r="O12873" s="33" t="str">
        <f>IFERROR(VLOOKUP($M12873,'Informations sur les produits'!$A$3:$H$10000,8,FALSE),"0")</f>
        <v>0</v>
      </c>
      <c r="P12873" s="33">
        <f t="shared" si="804"/>
        <v>0</v>
      </c>
      <c r="Q12873" s="31" t="str">
        <f t="shared" si="805"/>
        <v/>
      </c>
      <c r="R12873" s="32" t="str">
        <f>IFERROR(VLOOKUP($D12873,'Informations sur les produits'!$A$3:$B$15000,2,FALSE),"")</f>
        <v/>
      </c>
      <c r="V12873">
        <f t="shared" si="806"/>
        <v>0</v>
      </c>
      <c r="W12873">
        <f t="shared" si="807"/>
        <v>0</v>
      </c>
    </row>
    <row r="12874" spans="5:23" x14ac:dyDescent="0.25">
      <c r="E12874" s="4"/>
      <c r="F12874" s="4"/>
      <c r="G12874" s="33" t="str">
        <f>IFERROR(VLOOKUP($D12874,'Informations sur les produits'!$A$3:$H$10000,8,FALSE),"0")</f>
        <v>0</v>
      </c>
      <c r="K12874" s="4"/>
      <c r="L12874" s="33" t="str">
        <f>IFERROR(VLOOKUP($J12874,'Informations sur les produits'!$A$3:$H$10000,8,FALSE),"0")</f>
        <v>0</v>
      </c>
      <c r="N12874" s="8"/>
      <c r="O12874" s="33" t="str">
        <f>IFERROR(VLOOKUP($M12874,'Informations sur les produits'!$A$3:$H$10000,8,FALSE),"0")</f>
        <v>0</v>
      </c>
      <c r="P12874" s="33">
        <f t="shared" si="804"/>
        <v>0</v>
      </c>
      <c r="Q12874" s="31" t="str">
        <f t="shared" si="805"/>
        <v/>
      </c>
      <c r="R12874" s="32" t="str">
        <f>IFERROR(VLOOKUP($D12874,'Informations sur les produits'!$A$3:$B$15000,2,FALSE),"")</f>
        <v/>
      </c>
      <c r="V12874">
        <f t="shared" si="806"/>
        <v>0</v>
      </c>
      <c r="W12874">
        <f t="shared" si="807"/>
        <v>0</v>
      </c>
    </row>
    <row r="12875" spans="5:23" x14ac:dyDescent="0.25">
      <c r="E12875" s="4"/>
      <c r="F12875" s="4"/>
      <c r="G12875" s="33" t="str">
        <f>IFERROR(VLOOKUP($D12875,'Informations sur les produits'!$A$3:$H$10000,8,FALSE),"0")</f>
        <v>0</v>
      </c>
      <c r="K12875" s="4"/>
      <c r="L12875" s="33" t="str">
        <f>IFERROR(VLOOKUP($J12875,'Informations sur les produits'!$A$3:$H$10000,8,FALSE),"0")</f>
        <v>0</v>
      </c>
      <c r="N12875" s="8"/>
      <c r="O12875" s="33" t="str">
        <f>IFERROR(VLOOKUP($M12875,'Informations sur les produits'!$A$3:$H$10000,8,FALSE),"0")</f>
        <v>0</v>
      </c>
      <c r="P12875" s="33">
        <f t="shared" si="804"/>
        <v>0</v>
      </c>
      <c r="Q12875" s="31" t="str">
        <f t="shared" si="805"/>
        <v/>
      </c>
      <c r="R12875" s="32" t="str">
        <f>IFERROR(VLOOKUP($D12875,'Informations sur les produits'!$A$3:$B$15000,2,FALSE),"")</f>
        <v/>
      </c>
      <c r="V12875">
        <f t="shared" si="806"/>
        <v>0</v>
      </c>
      <c r="W12875">
        <f t="shared" si="807"/>
        <v>0</v>
      </c>
    </row>
    <row r="12876" spans="5:23" x14ac:dyDescent="0.25">
      <c r="E12876" s="4"/>
      <c r="F12876" s="4"/>
      <c r="G12876" s="33" t="str">
        <f>IFERROR(VLOOKUP($D12876,'Informations sur les produits'!$A$3:$H$10000,8,FALSE),"0")</f>
        <v>0</v>
      </c>
      <c r="K12876" s="4"/>
      <c r="L12876" s="33" t="str">
        <f>IFERROR(VLOOKUP($J12876,'Informations sur les produits'!$A$3:$H$10000,8,FALSE),"0")</f>
        <v>0</v>
      </c>
      <c r="N12876" s="8"/>
      <c r="O12876" s="33" t="str">
        <f>IFERROR(VLOOKUP($M12876,'Informations sur les produits'!$A$3:$H$10000,8,FALSE),"0")</f>
        <v>0</v>
      </c>
      <c r="P12876" s="33">
        <f t="shared" si="804"/>
        <v>0</v>
      </c>
      <c r="Q12876" s="31" t="str">
        <f t="shared" si="805"/>
        <v/>
      </c>
      <c r="R12876" s="32" t="str">
        <f>IFERROR(VLOOKUP($D12876,'Informations sur les produits'!$A$3:$B$15000,2,FALSE),"")</f>
        <v/>
      </c>
      <c r="V12876">
        <f t="shared" si="806"/>
        <v>0</v>
      </c>
      <c r="W12876">
        <f t="shared" si="807"/>
        <v>0</v>
      </c>
    </row>
    <row r="12877" spans="5:23" x14ac:dyDescent="0.25">
      <c r="E12877" s="4"/>
      <c r="F12877" s="4"/>
      <c r="G12877" s="33" t="str">
        <f>IFERROR(VLOOKUP($D12877,'Informations sur les produits'!$A$3:$H$10000,8,FALSE),"0")</f>
        <v>0</v>
      </c>
      <c r="K12877" s="4"/>
      <c r="L12877" s="33" t="str">
        <f>IFERROR(VLOOKUP($J12877,'Informations sur les produits'!$A$3:$H$10000,8,FALSE),"0")</f>
        <v>0</v>
      </c>
      <c r="N12877" s="8"/>
      <c r="O12877" s="33" t="str">
        <f>IFERROR(VLOOKUP($M12877,'Informations sur les produits'!$A$3:$H$10000,8,FALSE),"0")</f>
        <v>0</v>
      </c>
      <c r="P12877" s="33">
        <f t="shared" si="804"/>
        <v>0</v>
      </c>
      <c r="Q12877" s="31" t="str">
        <f t="shared" si="805"/>
        <v/>
      </c>
      <c r="R12877" s="32" t="str">
        <f>IFERROR(VLOOKUP($D12877,'Informations sur les produits'!$A$3:$B$15000,2,FALSE),"")</f>
        <v/>
      </c>
      <c r="V12877">
        <f t="shared" si="806"/>
        <v>0</v>
      </c>
      <c r="W12877">
        <f t="shared" si="807"/>
        <v>0</v>
      </c>
    </row>
    <row r="12878" spans="5:23" x14ac:dyDescent="0.25">
      <c r="E12878" s="4"/>
      <c r="F12878" s="4"/>
      <c r="G12878" s="33" t="str">
        <f>IFERROR(VLOOKUP($D12878,'Informations sur les produits'!$A$3:$H$10000,8,FALSE),"0")</f>
        <v>0</v>
      </c>
      <c r="K12878" s="4"/>
      <c r="L12878" s="33" t="str">
        <f>IFERROR(VLOOKUP($J12878,'Informations sur les produits'!$A$3:$H$10000,8,FALSE),"0")</f>
        <v>0</v>
      </c>
      <c r="N12878" s="8"/>
      <c r="O12878" s="33" t="str">
        <f>IFERROR(VLOOKUP($M12878,'Informations sur les produits'!$A$3:$H$10000,8,FALSE),"0")</f>
        <v>0</v>
      </c>
      <c r="P12878" s="33">
        <f t="shared" si="804"/>
        <v>0</v>
      </c>
      <c r="Q12878" s="31" t="str">
        <f t="shared" si="805"/>
        <v/>
      </c>
      <c r="R12878" s="32" t="str">
        <f>IFERROR(VLOOKUP($D12878,'Informations sur les produits'!$A$3:$B$15000,2,FALSE),"")</f>
        <v/>
      </c>
      <c r="V12878">
        <f t="shared" si="806"/>
        <v>0</v>
      </c>
      <c r="W12878">
        <f t="shared" si="807"/>
        <v>0</v>
      </c>
    </row>
    <row r="12879" spans="5:23" x14ac:dyDescent="0.25">
      <c r="E12879" s="4"/>
      <c r="F12879" s="4"/>
      <c r="G12879" s="33" t="str">
        <f>IFERROR(VLOOKUP($D12879,'Informations sur les produits'!$A$3:$H$10000,8,FALSE),"0")</f>
        <v>0</v>
      </c>
      <c r="K12879" s="4"/>
      <c r="L12879" s="33" t="str">
        <f>IFERROR(VLOOKUP($J12879,'Informations sur les produits'!$A$3:$H$10000,8,FALSE),"0")</f>
        <v>0</v>
      </c>
      <c r="N12879" s="8"/>
      <c r="O12879" s="33" t="str">
        <f>IFERROR(VLOOKUP($M12879,'Informations sur les produits'!$A$3:$H$10000,8,FALSE),"0")</f>
        <v>0</v>
      </c>
      <c r="P12879" s="33">
        <f t="shared" si="804"/>
        <v>0</v>
      </c>
      <c r="Q12879" s="31" t="str">
        <f t="shared" si="805"/>
        <v/>
      </c>
      <c r="R12879" s="32" t="str">
        <f>IFERROR(VLOOKUP($D12879,'Informations sur les produits'!$A$3:$B$15000,2,FALSE),"")</f>
        <v/>
      </c>
      <c r="V12879">
        <f t="shared" si="806"/>
        <v>0</v>
      </c>
      <c r="W12879">
        <f t="shared" si="807"/>
        <v>0</v>
      </c>
    </row>
    <row r="12880" spans="5:23" x14ac:dyDescent="0.25">
      <c r="E12880" s="4"/>
      <c r="F12880" s="4"/>
      <c r="G12880" s="33" t="str">
        <f>IFERROR(VLOOKUP($D12880,'Informations sur les produits'!$A$3:$H$10000,8,FALSE),"0")</f>
        <v>0</v>
      </c>
      <c r="K12880" s="4"/>
      <c r="L12880" s="33" t="str">
        <f>IFERROR(VLOOKUP($J12880,'Informations sur les produits'!$A$3:$H$10000,8,FALSE),"0")</f>
        <v>0</v>
      </c>
      <c r="N12880" s="8"/>
      <c r="O12880" s="33" t="str">
        <f>IFERROR(VLOOKUP($M12880,'Informations sur les produits'!$A$3:$H$10000,8,FALSE),"0")</f>
        <v>0</v>
      </c>
      <c r="P12880" s="33">
        <f t="shared" si="804"/>
        <v>0</v>
      </c>
      <c r="Q12880" s="31" t="str">
        <f t="shared" si="805"/>
        <v/>
      </c>
      <c r="R12880" s="32" t="str">
        <f>IFERROR(VLOOKUP($D12880,'Informations sur les produits'!$A$3:$B$15000,2,FALSE),"")</f>
        <v/>
      </c>
      <c r="V12880">
        <f t="shared" si="806"/>
        <v>0</v>
      </c>
      <c r="W12880">
        <f t="shared" si="807"/>
        <v>0</v>
      </c>
    </row>
    <row r="12881" spans="5:23" x14ac:dyDescent="0.25">
      <c r="E12881" s="4"/>
      <c r="F12881" s="4"/>
      <c r="G12881" s="33" t="str">
        <f>IFERROR(VLOOKUP($D12881,'Informations sur les produits'!$A$3:$H$10000,8,FALSE),"0")</f>
        <v>0</v>
      </c>
      <c r="K12881" s="4"/>
      <c r="L12881" s="33" t="str">
        <f>IFERROR(VLOOKUP($J12881,'Informations sur les produits'!$A$3:$H$10000,8,FALSE),"0")</f>
        <v>0</v>
      </c>
      <c r="N12881" s="8"/>
      <c r="O12881" s="33" t="str">
        <f>IFERROR(VLOOKUP($M12881,'Informations sur les produits'!$A$3:$H$10000,8,FALSE),"0")</f>
        <v>0</v>
      </c>
      <c r="P12881" s="33">
        <f t="shared" si="804"/>
        <v>0</v>
      </c>
      <c r="Q12881" s="31" t="str">
        <f t="shared" si="805"/>
        <v/>
      </c>
      <c r="R12881" s="32" t="str">
        <f>IFERROR(VLOOKUP($D12881,'Informations sur les produits'!$A$3:$B$15000,2,FALSE),"")</f>
        <v/>
      </c>
      <c r="V12881">
        <f t="shared" si="806"/>
        <v>0</v>
      </c>
      <c r="W12881">
        <f t="shared" si="807"/>
        <v>0</v>
      </c>
    </row>
    <row r="12882" spans="5:23" x14ac:dyDescent="0.25">
      <c r="E12882" s="4"/>
      <c r="F12882" s="4"/>
      <c r="G12882" s="33" t="str">
        <f>IFERROR(VLOOKUP($D12882,'Informations sur les produits'!$A$3:$H$10000,8,FALSE),"0")</f>
        <v>0</v>
      </c>
      <c r="K12882" s="4"/>
      <c r="L12882" s="33" t="str">
        <f>IFERROR(VLOOKUP($J12882,'Informations sur les produits'!$A$3:$H$10000,8,FALSE),"0")</f>
        <v>0</v>
      </c>
      <c r="N12882" s="8"/>
      <c r="O12882" s="33" t="str">
        <f>IFERROR(VLOOKUP($M12882,'Informations sur les produits'!$A$3:$H$10000,8,FALSE),"0")</f>
        <v>0</v>
      </c>
      <c r="P12882" s="33">
        <f t="shared" si="804"/>
        <v>0</v>
      </c>
      <c r="Q12882" s="31" t="str">
        <f t="shared" si="805"/>
        <v/>
      </c>
      <c r="R12882" s="32" t="str">
        <f>IFERROR(VLOOKUP($D12882,'Informations sur les produits'!$A$3:$B$15000,2,FALSE),"")</f>
        <v/>
      </c>
      <c r="V12882">
        <f t="shared" si="806"/>
        <v>0</v>
      </c>
      <c r="W12882">
        <f t="shared" si="807"/>
        <v>0</v>
      </c>
    </row>
    <row r="12883" spans="5:23" x14ac:dyDescent="0.25">
      <c r="E12883" s="4"/>
      <c r="F12883" s="4"/>
      <c r="G12883" s="33" t="str">
        <f>IFERROR(VLOOKUP($D12883,'Informations sur les produits'!$A$3:$H$10000,8,FALSE),"0")</f>
        <v>0</v>
      </c>
      <c r="K12883" s="4"/>
      <c r="L12883" s="33" t="str">
        <f>IFERROR(VLOOKUP($J12883,'Informations sur les produits'!$A$3:$H$10000,8,FALSE),"0")</f>
        <v>0</v>
      </c>
      <c r="N12883" s="8"/>
      <c r="O12883" s="33" t="str">
        <f>IFERROR(VLOOKUP($M12883,'Informations sur les produits'!$A$3:$H$10000,8,FALSE),"0")</f>
        <v>0</v>
      </c>
      <c r="P12883" s="33">
        <f t="shared" si="804"/>
        <v>0</v>
      </c>
      <c r="Q12883" s="31" t="str">
        <f t="shared" si="805"/>
        <v/>
      </c>
      <c r="R12883" s="32" t="str">
        <f>IFERROR(VLOOKUP($D12883,'Informations sur les produits'!$A$3:$B$15000,2,FALSE),"")</f>
        <v/>
      </c>
      <c r="V12883">
        <f t="shared" si="806"/>
        <v>0</v>
      </c>
      <c r="W12883">
        <f t="shared" si="807"/>
        <v>0</v>
      </c>
    </row>
    <row r="12884" spans="5:23" x14ac:dyDescent="0.25">
      <c r="E12884" s="4"/>
      <c r="F12884" s="4"/>
      <c r="G12884" s="33" t="str">
        <f>IFERROR(VLOOKUP($D12884,'Informations sur les produits'!$A$3:$H$10000,8,FALSE),"0")</f>
        <v>0</v>
      </c>
      <c r="K12884" s="4"/>
      <c r="L12884" s="33" t="str">
        <f>IFERROR(VLOOKUP($J12884,'Informations sur les produits'!$A$3:$H$10000,8,FALSE),"0")</f>
        <v>0</v>
      </c>
      <c r="N12884" s="8"/>
      <c r="O12884" s="33" t="str">
        <f>IFERROR(VLOOKUP($M12884,'Informations sur les produits'!$A$3:$H$10000,8,FALSE),"0")</f>
        <v>0</v>
      </c>
      <c r="P12884" s="33">
        <f t="shared" si="804"/>
        <v>0</v>
      </c>
      <c r="Q12884" s="31" t="str">
        <f t="shared" si="805"/>
        <v/>
      </c>
      <c r="R12884" s="32" t="str">
        <f>IFERROR(VLOOKUP($D12884,'Informations sur les produits'!$A$3:$B$15000,2,FALSE),"")</f>
        <v/>
      </c>
      <c r="V12884">
        <f t="shared" si="806"/>
        <v>0</v>
      </c>
      <c r="W12884">
        <f t="shared" si="807"/>
        <v>0</v>
      </c>
    </row>
    <row r="12885" spans="5:23" x14ac:dyDescent="0.25">
      <c r="E12885" s="4"/>
      <c r="F12885" s="4"/>
      <c r="G12885" s="33" t="str">
        <f>IFERROR(VLOOKUP($D12885,'Informations sur les produits'!$A$3:$H$10000,8,FALSE),"0")</f>
        <v>0</v>
      </c>
      <c r="K12885" s="4"/>
      <c r="L12885" s="33" t="str">
        <f>IFERROR(VLOOKUP($J12885,'Informations sur les produits'!$A$3:$H$10000,8,FALSE),"0")</f>
        <v>0</v>
      </c>
      <c r="N12885" s="8"/>
      <c r="O12885" s="33" t="str">
        <f>IFERROR(VLOOKUP($M12885,'Informations sur les produits'!$A$3:$H$10000,8,FALSE),"0")</f>
        <v>0</v>
      </c>
      <c r="P12885" s="33">
        <f t="shared" si="804"/>
        <v>0</v>
      </c>
      <c r="Q12885" s="31" t="str">
        <f t="shared" si="805"/>
        <v/>
      </c>
      <c r="R12885" s="32" t="str">
        <f>IFERROR(VLOOKUP($D12885,'Informations sur les produits'!$A$3:$B$15000,2,FALSE),"")</f>
        <v/>
      </c>
      <c r="V12885">
        <f t="shared" si="806"/>
        <v>0</v>
      </c>
      <c r="W12885">
        <f t="shared" si="807"/>
        <v>0</v>
      </c>
    </row>
    <row r="12886" spans="5:23" x14ac:dyDescent="0.25">
      <c r="E12886" s="4"/>
      <c r="F12886" s="4"/>
      <c r="G12886" s="33" t="str">
        <f>IFERROR(VLOOKUP($D12886,'Informations sur les produits'!$A$3:$H$10000,8,FALSE),"0")</f>
        <v>0</v>
      </c>
      <c r="K12886" s="4"/>
      <c r="L12886" s="33" t="str">
        <f>IFERROR(VLOOKUP($J12886,'Informations sur les produits'!$A$3:$H$10000,8,FALSE),"0")</f>
        <v>0</v>
      </c>
      <c r="N12886" s="8"/>
      <c r="O12886" s="33" t="str">
        <f>IFERROR(VLOOKUP($M12886,'Informations sur les produits'!$A$3:$H$10000,8,FALSE),"0")</f>
        <v>0</v>
      </c>
      <c r="P12886" s="33">
        <f t="shared" si="804"/>
        <v>0</v>
      </c>
      <c r="Q12886" s="31" t="str">
        <f t="shared" si="805"/>
        <v/>
      </c>
      <c r="R12886" s="32" t="str">
        <f>IFERROR(VLOOKUP($D12886,'Informations sur les produits'!$A$3:$B$15000,2,FALSE),"")</f>
        <v/>
      </c>
      <c r="V12886">
        <f t="shared" si="806"/>
        <v>0</v>
      </c>
      <c r="W12886">
        <f t="shared" si="807"/>
        <v>0</v>
      </c>
    </row>
    <row r="12887" spans="5:23" x14ac:dyDescent="0.25">
      <c r="E12887" s="4"/>
      <c r="F12887" s="4"/>
      <c r="G12887" s="33" t="str">
        <f>IFERROR(VLOOKUP($D12887,'Informations sur les produits'!$A$3:$H$10000,8,FALSE),"0")</f>
        <v>0</v>
      </c>
      <c r="K12887" s="4"/>
      <c r="L12887" s="33" t="str">
        <f>IFERROR(VLOOKUP($J12887,'Informations sur les produits'!$A$3:$H$10000,8,FALSE),"0")</f>
        <v>0</v>
      </c>
      <c r="N12887" s="8"/>
      <c r="O12887" s="33" t="str">
        <f>IFERROR(VLOOKUP($M12887,'Informations sur les produits'!$A$3:$H$10000,8,FALSE),"0")</f>
        <v>0</v>
      </c>
      <c r="P12887" s="33">
        <f t="shared" si="804"/>
        <v>0</v>
      </c>
      <c r="Q12887" s="31" t="str">
        <f t="shared" si="805"/>
        <v/>
      </c>
      <c r="R12887" s="32" t="str">
        <f>IFERROR(VLOOKUP($D12887,'Informations sur les produits'!$A$3:$B$15000,2,FALSE),"")</f>
        <v/>
      </c>
      <c r="V12887">
        <f t="shared" si="806"/>
        <v>0</v>
      </c>
      <c r="W12887">
        <f t="shared" si="807"/>
        <v>0</v>
      </c>
    </row>
    <row r="12888" spans="5:23" x14ac:dyDescent="0.25">
      <c r="E12888" s="4"/>
      <c r="F12888" s="4"/>
      <c r="G12888" s="33" t="str">
        <f>IFERROR(VLOOKUP($D12888,'Informations sur les produits'!$A$3:$H$10000,8,FALSE),"0")</f>
        <v>0</v>
      </c>
      <c r="K12888" s="4"/>
      <c r="L12888" s="33" t="str">
        <f>IFERROR(VLOOKUP($J12888,'Informations sur les produits'!$A$3:$H$10000,8,FALSE),"0")</f>
        <v>0</v>
      </c>
      <c r="N12888" s="8"/>
      <c r="O12888" s="33" t="str">
        <f>IFERROR(VLOOKUP($M12888,'Informations sur les produits'!$A$3:$H$10000,8,FALSE),"0")</f>
        <v>0</v>
      </c>
      <c r="P12888" s="33">
        <f t="shared" si="804"/>
        <v>0</v>
      </c>
      <c r="Q12888" s="31" t="str">
        <f t="shared" si="805"/>
        <v/>
      </c>
      <c r="R12888" s="32" t="str">
        <f>IFERROR(VLOOKUP($D12888,'Informations sur les produits'!$A$3:$B$15000,2,FALSE),"")</f>
        <v/>
      </c>
      <c r="V12888">
        <f t="shared" si="806"/>
        <v>0</v>
      </c>
      <c r="W12888">
        <f t="shared" si="807"/>
        <v>0</v>
      </c>
    </row>
    <row r="12889" spans="5:23" x14ac:dyDescent="0.25">
      <c r="E12889" s="4"/>
      <c r="F12889" s="4"/>
      <c r="G12889" s="33" t="str">
        <f>IFERROR(VLOOKUP($D12889,'Informations sur les produits'!$A$3:$H$10000,8,FALSE),"0")</f>
        <v>0</v>
      </c>
      <c r="K12889" s="4"/>
      <c r="L12889" s="33" t="str">
        <f>IFERROR(VLOOKUP($J12889,'Informations sur les produits'!$A$3:$H$10000,8,FALSE),"0")</f>
        <v>0</v>
      </c>
      <c r="N12889" s="8"/>
      <c r="O12889" s="33" t="str">
        <f>IFERROR(VLOOKUP($M12889,'Informations sur les produits'!$A$3:$H$10000,8,FALSE),"0")</f>
        <v>0</v>
      </c>
      <c r="P12889" s="33">
        <f t="shared" si="804"/>
        <v>0</v>
      </c>
      <c r="Q12889" s="31" t="str">
        <f t="shared" si="805"/>
        <v/>
      </c>
      <c r="R12889" s="32" t="str">
        <f>IFERROR(VLOOKUP($D12889,'Informations sur les produits'!$A$3:$B$15000,2,FALSE),"")</f>
        <v/>
      </c>
      <c r="V12889">
        <f t="shared" si="806"/>
        <v>0</v>
      </c>
      <c r="W12889">
        <f t="shared" si="807"/>
        <v>0</v>
      </c>
    </row>
    <row r="12890" spans="5:23" x14ac:dyDescent="0.25">
      <c r="E12890" s="4"/>
      <c r="F12890" s="4"/>
      <c r="G12890" s="33" t="str">
        <f>IFERROR(VLOOKUP($D12890,'Informations sur les produits'!$A$3:$H$10000,8,FALSE),"0")</f>
        <v>0</v>
      </c>
      <c r="K12890" s="4"/>
      <c r="L12890" s="33" t="str">
        <f>IFERROR(VLOOKUP($J12890,'Informations sur les produits'!$A$3:$H$10000,8,FALSE),"0")</f>
        <v>0</v>
      </c>
      <c r="N12890" s="8"/>
      <c r="O12890" s="33" t="str">
        <f>IFERROR(VLOOKUP($M12890,'Informations sur les produits'!$A$3:$H$10000,8,FALSE),"0")</f>
        <v>0</v>
      </c>
      <c r="P12890" s="33">
        <f t="shared" si="804"/>
        <v>0</v>
      </c>
      <c r="Q12890" s="31" t="str">
        <f t="shared" si="805"/>
        <v/>
      </c>
      <c r="R12890" s="32" t="str">
        <f>IFERROR(VLOOKUP($D12890,'Informations sur les produits'!$A$3:$B$15000,2,FALSE),"")</f>
        <v/>
      </c>
      <c r="V12890">
        <f t="shared" si="806"/>
        <v>0</v>
      </c>
      <c r="W12890">
        <f t="shared" si="807"/>
        <v>0</v>
      </c>
    </row>
    <row r="12891" spans="5:23" x14ac:dyDescent="0.25">
      <c r="E12891" s="4"/>
      <c r="F12891" s="4"/>
      <c r="G12891" s="33" t="str">
        <f>IFERROR(VLOOKUP($D12891,'Informations sur les produits'!$A$3:$H$10000,8,FALSE),"0")</f>
        <v>0</v>
      </c>
      <c r="K12891" s="4"/>
      <c r="L12891" s="33" t="str">
        <f>IFERROR(VLOOKUP($J12891,'Informations sur les produits'!$A$3:$H$10000,8,FALSE),"0")</f>
        <v>0</v>
      </c>
      <c r="N12891" s="8"/>
      <c r="O12891" s="33" t="str">
        <f>IFERROR(VLOOKUP($M12891,'Informations sur les produits'!$A$3:$H$10000,8,FALSE),"0")</f>
        <v>0</v>
      </c>
      <c r="P12891" s="33">
        <f t="shared" si="804"/>
        <v>0</v>
      </c>
      <c r="Q12891" s="31" t="str">
        <f t="shared" si="805"/>
        <v/>
      </c>
      <c r="R12891" s="32" t="str">
        <f>IFERROR(VLOOKUP($D12891,'Informations sur les produits'!$A$3:$B$15000,2,FALSE),"")</f>
        <v/>
      </c>
      <c r="V12891">
        <f t="shared" si="806"/>
        <v>0</v>
      </c>
      <c r="W12891">
        <f t="shared" si="807"/>
        <v>0</v>
      </c>
    </row>
    <row r="12892" spans="5:23" x14ac:dyDescent="0.25">
      <c r="E12892" s="4"/>
      <c r="F12892" s="4"/>
      <c r="G12892" s="33" t="str">
        <f>IFERROR(VLOOKUP($D12892,'Informations sur les produits'!$A$3:$H$10000,8,FALSE),"0")</f>
        <v>0</v>
      </c>
      <c r="K12892" s="4"/>
      <c r="L12892" s="33" t="str">
        <f>IFERROR(VLOOKUP($J12892,'Informations sur les produits'!$A$3:$H$10000,8,FALSE),"0")</f>
        <v>0</v>
      </c>
      <c r="N12892" s="8"/>
      <c r="O12892" s="33" t="str">
        <f>IFERROR(VLOOKUP($M12892,'Informations sur les produits'!$A$3:$H$10000,8,FALSE),"0")</f>
        <v>0</v>
      </c>
      <c r="P12892" s="33">
        <f t="shared" si="804"/>
        <v>0</v>
      </c>
      <c r="Q12892" s="31" t="str">
        <f t="shared" si="805"/>
        <v/>
      </c>
      <c r="R12892" s="32" t="str">
        <f>IFERROR(VLOOKUP($D12892,'Informations sur les produits'!$A$3:$B$15000,2,FALSE),"")</f>
        <v/>
      </c>
      <c r="V12892">
        <f t="shared" si="806"/>
        <v>0</v>
      </c>
      <c r="W12892">
        <f t="shared" si="807"/>
        <v>0</v>
      </c>
    </row>
    <row r="12893" spans="5:23" x14ac:dyDescent="0.25">
      <c r="E12893" s="4"/>
      <c r="F12893" s="4"/>
      <c r="G12893" s="33" t="str">
        <f>IFERROR(VLOOKUP($D12893,'Informations sur les produits'!$A$3:$H$10000,8,FALSE),"0")</f>
        <v>0</v>
      </c>
      <c r="K12893" s="4"/>
      <c r="L12893" s="33" t="str">
        <f>IFERROR(VLOOKUP($J12893,'Informations sur les produits'!$A$3:$H$10000,8,FALSE),"0")</f>
        <v>0</v>
      </c>
      <c r="N12893" s="8"/>
      <c r="O12893" s="33" t="str">
        <f>IFERROR(VLOOKUP($M12893,'Informations sur les produits'!$A$3:$H$10000,8,FALSE),"0")</f>
        <v>0</v>
      </c>
      <c r="P12893" s="33">
        <f t="shared" si="804"/>
        <v>0</v>
      </c>
      <c r="Q12893" s="31" t="str">
        <f t="shared" si="805"/>
        <v/>
      </c>
      <c r="R12893" s="32" t="str">
        <f>IFERROR(VLOOKUP($D12893,'Informations sur les produits'!$A$3:$B$15000,2,FALSE),"")</f>
        <v/>
      </c>
      <c r="V12893">
        <f t="shared" si="806"/>
        <v>0</v>
      </c>
      <c r="W12893">
        <f t="shared" si="807"/>
        <v>0</v>
      </c>
    </row>
    <row r="12894" spans="5:23" x14ac:dyDescent="0.25">
      <c r="E12894" s="4"/>
      <c r="F12894" s="4"/>
      <c r="G12894" s="33" t="str">
        <f>IFERROR(VLOOKUP($D12894,'Informations sur les produits'!$A$3:$H$10000,8,FALSE),"0")</f>
        <v>0</v>
      </c>
      <c r="K12894" s="4"/>
      <c r="L12894" s="33" t="str">
        <f>IFERROR(VLOOKUP($J12894,'Informations sur les produits'!$A$3:$H$10000,8,FALSE),"0")</f>
        <v>0</v>
      </c>
      <c r="N12894" s="8"/>
      <c r="O12894" s="33" t="str">
        <f>IFERROR(VLOOKUP($M12894,'Informations sur les produits'!$A$3:$H$10000,8,FALSE),"0")</f>
        <v>0</v>
      </c>
      <c r="P12894" s="33">
        <f t="shared" si="804"/>
        <v>0</v>
      </c>
      <c r="Q12894" s="31" t="str">
        <f t="shared" si="805"/>
        <v/>
      </c>
      <c r="R12894" s="32" t="str">
        <f>IFERROR(VLOOKUP($D12894,'Informations sur les produits'!$A$3:$B$15000,2,FALSE),"")</f>
        <v/>
      </c>
      <c r="V12894">
        <f t="shared" si="806"/>
        <v>0</v>
      </c>
      <c r="W12894">
        <f t="shared" si="807"/>
        <v>0</v>
      </c>
    </row>
    <row r="12895" spans="5:23" x14ac:dyDescent="0.25">
      <c r="E12895" s="4"/>
      <c r="F12895" s="4"/>
      <c r="G12895" s="33" t="str">
        <f>IFERROR(VLOOKUP($D12895,'Informations sur les produits'!$A$3:$H$10000,8,FALSE),"0")</f>
        <v>0</v>
      </c>
      <c r="K12895" s="4"/>
      <c r="L12895" s="33" t="str">
        <f>IFERROR(VLOOKUP($J12895,'Informations sur les produits'!$A$3:$H$10000,8,FALSE),"0")</f>
        <v>0</v>
      </c>
      <c r="N12895" s="8"/>
      <c r="O12895" s="33" t="str">
        <f>IFERROR(VLOOKUP($M12895,'Informations sur les produits'!$A$3:$H$10000,8,FALSE),"0")</f>
        <v>0</v>
      </c>
      <c r="P12895" s="33">
        <f t="shared" si="804"/>
        <v>0</v>
      </c>
      <c r="Q12895" s="31" t="str">
        <f t="shared" si="805"/>
        <v/>
      </c>
      <c r="R12895" s="32" t="str">
        <f>IFERROR(VLOOKUP($D12895,'Informations sur les produits'!$A$3:$B$15000,2,FALSE),"")</f>
        <v/>
      </c>
      <c r="V12895">
        <f t="shared" si="806"/>
        <v>0</v>
      </c>
      <c r="W12895">
        <f t="shared" si="807"/>
        <v>0</v>
      </c>
    </row>
    <row r="12896" spans="5:23" x14ac:dyDescent="0.25">
      <c r="E12896" s="4"/>
      <c r="F12896" s="4"/>
      <c r="G12896" s="33" t="str">
        <f>IFERROR(VLOOKUP($D12896,'Informations sur les produits'!$A$3:$H$10000,8,FALSE),"0")</f>
        <v>0</v>
      </c>
      <c r="K12896" s="4"/>
      <c r="L12896" s="33" t="str">
        <f>IFERROR(VLOOKUP($J12896,'Informations sur les produits'!$A$3:$H$10000,8,FALSE),"0")</f>
        <v>0</v>
      </c>
      <c r="N12896" s="8"/>
      <c r="O12896" s="33" t="str">
        <f>IFERROR(VLOOKUP($M12896,'Informations sur les produits'!$A$3:$H$10000,8,FALSE),"0")</f>
        <v>0</v>
      </c>
      <c r="P12896" s="33">
        <f t="shared" si="804"/>
        <v>0</v>
      </c>
      <c r="Q12896" s="31" t="str">
        <f t="shared" si="805"/>
        <v/>
      </c>
      <c r="R12896" s="32" t="str">
        <f>IFERROR(VLOOKUP($D12896,'Informations sur les produits'!$A$3:$B$15000,2,FALSE),"")</f>
        <v/>
      </c>
      <c r="V12896">
        <f t="shared" si="806"/>
        <v>0</v>
      </c>
      <c r="W12896">
        <f t="shared" si="807"/>
        <v>0</v>
      </c>
    </row>
    <row r="12897" spans="5:23" x14ac:dyDescent="0.25">
      <c r="E12897" s="4"/>
      <c r="F12897" s="4"/>
      <c r="G12897" s="33" t="str">
        <f>IFERROR(VLOOKUP($D12897,'Informations sur les produits'!$A$3:$H$10000,8,FALSE),"0")</f>
        <v>0</v>
      </c>
      <c r="K12897" s="4"/>
      <c r="L12897" s="33" t="str">
        <f>IFERROR(VLOOKUP($J12897,'Informations sur les produits'!$A$3:$H$10000,8,FALSE),"0")</f>
        <v>0</v>
      </c>
      <c r="N12897" s="8"/>
      <c r="O12897" s="33" t="str">
        <f>IFERROR(VLOOKUP($M12897,'Informations sur les produits'!$A$3:$H$10000,8,FALSE),"0")</f>
        <v>0</v>
      </c>
      <c r="P12897" s="33">
        <f t="shared" si="804"/>
        <v>0</v>
      </c>
      <c r="Q12897" s="31" t="str">
        <f t="shared" si="805"/>
        <v/>
      </c>
      <c r="R12897" s="32" t="str">
        <f>IFERROR(VLOOKUP($D12897,'Informations sur les produits'!$A$3:$B$15000,2,FALSE),"")</f>
        <v/>
      </c>
      <c r="V12897">
        <f t="shared" si="806"/>
        <v>0</v>
      </c>
      <c r="W12897">
        <f t="shared" si="807"/>
        <v>0</v>
      </c>
    </row>
    <row r="12898" spans="5:23" x14ac:dyDescent="0.25">
      <c r="E12898" s="4"/>
      <c r="F12898" s="4"/>
      <c r="G12898" s="33" t="str">
        <f>IFERROR(VLOOKUP($D12898,'Informations sur les produits'!$A$3:$H$10000,8,FALSE),"0")</f>
        <v>0</v>
      </c>
      <c r="K12898" s="4"/>
      <c r="L12898" s="33" t="str">
        <f>IFERROR(VLOOKUP($J12898,'Informations sur les produits'!$A$3:$H$10000,8,FALSE),"0")</f>
        <v>0</v>
      </c>
      <c r="N12898" s="8"/>
      <c r="O12898" s="33" t="str">
        <f>IFERROR(VLOOKUP($M12898,'Informations sur les produits'!$A$3:$H$10000,8,FALSE),"0")</f>
        <v>0</v>
      </c>
      <c r="P12898" s="33">
        <f t="shared" si="804"/>
        <v>0</v>
      </c>
      <c r="Q12898" s="31" t="str">
        <f t="shared" si="805"/>
        <v/>
      </c>
      <c r="R12898" s="32" t="str">
        <f>IFERROR(VLOOKUP($D12898,'Informations sur les produits'!$A$3:$B$15000,2,FALSE),"")</f>
        <v/>
      </c>
      <c r="V12898">
        <f t="shared" si="806"/>
        <v>0</v>
      </c>
      <c r="W12898">
        <f t="shared" si="807"/>
        <v>0</v>
      </c>
    </row>
    <row r="12899" spans="5:23" x14ac:dyDescent="0.25">
      <c r="E12899" s="4"/>
      <c r="F12899" s="4"/>
      <c r="G12899" s="33" t="str">
        <f>IFERROR(VLOOKUP($D12899,'Informations sur les produits'!$A$3:$H$10000,8,FALSE),"0")</f>
        <v>0</v>
      </c>
      <c r="K12899" s="4"/>
      <c r="L12899" s="33" t="str">
        <f>IFERROR(VLOOKUP($J12899,'Informations sur les produits'!$A$3:$H$10000,8,FALSE),"0")</f>
        <v>0</v>
      </c>
      <c r="N12899" s="8"/>
      <c r="O12899" s="33" t="str">
        <f>IFERROR(VLOOKUP($M12899,'Informations sur les produits'!$A$3:$H$10000,8,FALSE),"0")</f>
        <v>0</v>
      </c>
      <c r="P12899" s="33">
        <f t="shared" si="804"/>
        <v>0</v>
      </c>
      <c r="Q12899" s="31" t="str">
        <f t="shared" si="805"/>
        <v/>
      </c>
      <c r="R12899" s="32" t="str">
        <f>IFERROR(VLOOKUP($D12899,'Informations sur les produits'!$A$3:$B$15000,2,FALSE),"")</f>
        <v/>
      </c>
      <c r="V12899">
        <f t="shared" si="806"/>
        <v>0</v>
      </c>
      <c r="W12899">
        <f t="shared" si="807"/>
        <v>0</v>
      </c>
    </row>
    <row r="12900" spans="5:23" x14ac:dyDescent="0.25">
      <c r="E12900" s="4"/>
      <c r="F12900" s="4"/>
      <c r="G12900" s="33" t="str">
        <f>IFERROR(VLOOKUP($D12900,'Informations sur les produits'!$A$3:$H$10000,8,FALSE),"0")</f>
        <v>0</v>
      </c>
      <c r="K12900" s="4"/>
      <c r="L12900" s="33" t="str">
        <f>IFERROR(VLOOKUP($J12900,'Informations sur les produits'!$A$3:$H$10000,8,FALSE),"0")</f>
        <v>0</v>
      </c>
      <c r="N12900" s="8"/>
      <c r="O12900" s="33" t="str">
        <f>IFERROR(VLOOKUP($M12900,'Informations sur les produits'!$A$3:$H$10000,8,FALSE),"0")</f>
        <v>0</v>
      </c>
      <c r="P12900" s="33">
        <f t="shared" si="804"/>
        <v>0</v>
      </c>
      <c r="Q12900" s="31" t="str">
        <f t="shared" si="805"/>
        <v/>
      </c>
      <c r="R12900" s="32" t="str">
        <f>IFERROR(VLOOKUP($D12900,'Informations sur les produits'!$A$3:$B$15000,2,FALSE),"")</f>
        <v/>
      </c>
      <c r="V12900">
        <f t="shared" si="806"/>
        <v>0</v>
      </c>
      <c r="W12900">
        <f t="shared" si="807"/>
        <v>0</v>
      </c>
    </row>
    <row r="12901" spans="5:23" x14ac:dyDescent="0.25">
      <c r="E12901" s="4"/>
      <c r="F12901" s="4"/>
      <c r="G12901" s="33" t="str">
        <f>IFERROR(VLOOKUP($D12901,'Informations sur les produits'!$A$3:$H$10000,8,FALSE),"0")</f>
        <v>0</v>
      </c>
      <c r="K12901" s="4"/>
      <c r="L12901" s="33" t="str">
        <f>IFERROR(VLOOKUP($J12901,'Informations sur les produits'!$A$3:$H$10000,8,FALSE),"0")</f>
        <v>0</v>
      </c>
      <c r="N12901" s="8"/>
      <c r="O12901" s="33" t="str">
        <f>IFERROR(VLOOKUP($M12901,'Informations sur les produits'!$A$3:$H$10000,8,FALSE),"0")</f>
        <v>0</v>
      </c>
      <c r="P12901" s="33">
        <f t="shared" si="804"/>
        <v>0</v>
      </c>
      <c r="Q12901" s="31" t="str">
        <f t="shared" si="805"/>
        <v/>
      </c>
      <c r="R12901" s="32" t="str">
        <f>IFERROR(VLOOKUP($D12901,'Informations sur les produits'!$A$3:$B$15000,2,FALSE),"")</f>
        <v/>
      </c>
      <c r="V12901">
        <f t="shared" si="806"/>
        <v>0</v>
      </c>
      <c r="W12901">
        <f t="shared" si="807"/>
        <v>0</v>
      </c>
    </row>
    <row r="12902" spans="5:23" x14ac:dyDescent="0.25">
      <c r="E12902" s="4"/>
      <c r="F12902" s="4"/>
      <c r="G12902" s="33" t="str">
        <f>IFERROR(VLOOKUP($D12902,'Informations sur les produits'!$A$3:$H$10000,8,FALSE),"0")</f>
        <v>0</v>
      </c>
      <c r="K12902" s="4"/>
      <c r="L12902" s="33" t="str">
        <f>IFERROR(VLOOKUP($J12902,'Informations sur les produits'!$A$3:$H$10000,8,FALSE),"0")</f>
        <v>0</v>
      </c>
      <c r="N12902" s="8"/>
      <c r="O12902" s="33" t="str">
        <f>IFERROR(VLOOKUP($M12902,'Informations sur les produits'!$A$3:$H$10000,8,FALSE),"0")</f>
        <v>0</v>
      </c>
      <c r="P12902" s="33">
        <f t="shared" si="804"/>
        <v>0</v>
      </c>
      <c r="Q12902" s="31" t="str">
        <f t="shared" si="805"/>
        <v/>
      </c>
      <c r="R12902" s="32" t="str">
        <f>IFERROR(VLOOKUP($D12902,'Informations sur les produits'!$A$3:$B$15000,2,FALSE),"")</f>
        <v/>
      </c>
      <c r="V12902">
        <f t="shared" si="806"/>
        <v>0</v>
      </c>
      <c r="W12902">
        <f t="shared" si="807"/>
        <v>0</v>
      </c>
    </row>
    <row r="12903" spans="5:23" x14ac:dyDescent="0.25">
      <c r="E12903" s="4"/>
      <c r="F12903" s="4"/>
      <c r="G12903" s="33" t="str">
        <f>IFERROR(VLOOKUP($D12903,'Informations sur les produits'!$A$3:$H$10000,8,FALSE),"0")</f>
        <v>0</v>
      </c>
      <c r="K12903" s="4"/>
      <c r="L12903" s="33" t="str">
        <f>IFERROR(VLOOKUP($J12903,'Informations sur les produits'!$A$3:$H$10000,8,FALSE),"0")</f>
        <v>0</v>
      </c>
      <c r="N12903" s="8"/>
      <c r="O12903" s="33" t="str">
        <f>IFERROR(VLOOKUP($M12903,'Informations sur les produits'!$A$3:$H$10000,8,FALSE),"0")</f>
        <v>0</v>
      </c>
      <c r="P12903" s="33">
        <f t="shared" si="804"/>
        <v>0</v>
      </c>
      <c r="Q12903" s="31" t="str">
        <f t="shared" si="805"/>
        <v/>
      </c>
      <c r="R12903" s="32" t="str">
        <f>IFERROR(VLOOKUP($D12903,'Informations sur les produits'!$A$3:$B$15000,2,FALSE),"")</f>
        <v/>
      </c>
      <c r="V12903">
        <f t="shared" si="806"/>
        <v>0</v>
      </c>
      <c r="W12903">
        <f t="shared" si="807"/>
        <v>0</v>
      </c>
    </row>
    <row r="12904" spans="5:23" x14ac:dyDescent="0.25">
      <c r="E12904" s="4"/>
      <c r="F12904" s="4"/>
      <c r="G12904" s="33" t="str">
        <f>IFERROR(VLOOKUP($D12904,'Informations sur les produits'!$A$3:$H$10000,8,FALSE),"0")</f>
        <v>0</v>
      </c>
      <c r="K12904" s="4"/>
      <c r="L12904" s="33" t="str">
        <f>IFERROR(VLOOKUP($J12904,'Informations sur les produits'!$A$3:$H$10000,8,FALSE),"0")</f>
        <v>0</v>
      </c>
      <c r="N12904" s="8"/>
      <c r="O12904" s="33" t="str">
        <f>IFERROR(VLOOKUP($M12904,'Informations sur les produits'!$A$3:$H$10000,8,FALSE),"0")</f>
        <v>0</v>
      </c>
      <c r="P12904" s="33">
        <f t="shared" si="804"/>
        <v>0</v>
      </c>
      <c r="Q12904" s="31" t="str">
        <f t="shared" si="805"/>
        <v/>
      </c>
      <c r="R12904" s="32" t="str">
        <f>IFERROR(VLOOKUP($D12904,'Informations sur les produits'!$A$3:$B$15000,2,FALSE),"")</f>
        <v/>
      </c>
      <c r="V12904">
        <f t="shared" si="806"/>
        <v>0</v>
      </c>
      <c r="W12904">
        <f t="shared" si="807"/>
        <v>0</v>
      </c>
    </row>
    <row r="12905" spans="5:23" x14ac:dyDescent="0.25">
      <c r="E12905" s="4"/>
      <c r="F12905" s="4"/>
      <c r="G12905" s="33" t="str">
        <f>IFERROR(VLOOKUP($D12905,'Informations sur les produits'!$A$3:$H$10000,8,FALSE),"0")</f>
        <v>0</v>
      </c>
      <c r="K12905" s="4"/>
      <c r="L12905" s="33" t="str">
        <f>IFERROR(VLOOKUP($J12905,'Informations sur les produits'!$A$3:$H$10000,8,FALSE),"0")</f>
        <v>0</v>
      </c>
      <c r="N12905" s="8"/>
      <c r="O12905" s="33" t="str">
        <f>IFERROR(VLOOKUP($M12905,'Informations sur les produits'!$A$3:$H$10000,8,FALSE),"0")</f>
        <v>0</v>
      </c>
      <c r="P12905" s="33">
        <f t="shared" si="804"/>
        <v>0</v>
      </c>
      <c r="Q12905" s="31" t="str">
        <f t="shared" si="805"/>
        <v/>
      </c>
      <c r="R12905" s="32" t="str">
        <f>IFERROR(VLOOKUP($D12905,'Informations sur les produits'!$A$3:$B$15000,2,FALSE),"")</f>
        <v/>
      </c>
      <c r="V12905">
        <f t="shared" si="806"/>
        <v>0</v>
      </c>
      <c r="W12905">
        <f t="shared" si="807"/>
        <v>0</v>
      </c>
    </row>
    <row r="12906" spans="5:23" x14ac:dyDescent="0.25">
      <c r="E12906" s="4"/>
      <c r="F12906" s="4"/>
      <c r="G12906" s="33" t="str">
        <f>IFERROR(VLOOKUP($D12906,'Informations sur les produits'!$A$3:$H$10000,8,FALSE),"0")</f>
        <v>0</v>
      </c>
      <c r="K12906" s="4"/>
      <c r="L12906" s="33" t="str">
        <f>IFERROR(VLOOKUP($J12906,'Informations sur les produits'!$A$3:$H$10000,8,FALSE),"0")</f>
        <v>0</v>
      </c>
      <c r="N12906" s="8"/>
      <c r="O12906" s="33" t="str">
        <f>IFERROR(VLOOKUP($M12906,'Informations sur les produits'!$A$3:$H$10000,8,FALSE),"0")</f>
        <v>0</v>
      </c>
      <c r="P12906" s="33">
        <f t="shared" si="804"/>
        <v>0</v>
      </c>
      <c r="Q12906" s="31" t="str">
        <f t="shared" si="805"/>
        <v/>
      </c>
      <c r="R12906" s="32" t="str">
        <f>IFERROR(VLOOKUP($D12906,'Informations sur les produits'!$A$3:$B$15000,2,FALSE),"")</f>
        <v/>
      </c>
      <c r="V12906">
        <f t="shared" si="806"/>
        <v>0</v>
      </c>
      <c r="W12906">
        <f t="shared" si="807"/>
        <v>0</v>
      </c>
    </row>
    <row r="12907" spans="5:23" x14ac:dyDescent="0.25">
      <c r="E12907" s="4"/>
      <c r="F12907" s="4"/>
      <c r="G12907" s="33" t="str">
        <f>IFERROR(VLOOKUP($D12907,'Informations sur les produits'!$A$3:$H$10000,8,FALSE),"0")</f>
        <v>0</v>
      </c>
      <c r="K12907" s="4"/>
      <c r="L12907" s="33" t="str">
        <f>IFERROR(VLOOKUP($J12907,'Informations sur les produits'!$A$3:$H$10000,8,FALSE),"0")</f>
        <v>0</v>
      </c>
      <c r="N12907" s="8"/>
      <c r="O12907" s="33" t="str">
        <f>IFERROR(VLOOKUP($M12907,'Informations sur les produits'!$A$3:$H$10000,8,FALSE),"0")</f>
        <v>0</v>
      </c>
      <c r="P12907" s="33">
        <f t="shared" si="804"/>
        <v>0</v>
      </c>
      <c r="Q12907" s="31" t="str">
        <f t="shared" si="805"/>
        <v/>
      </c>
      <c r="R12907" s="32" t="str">
        <f>IFERROR(VLOOKUP($D12907,'Informations sur les produits'!$A$3:$B$15000,2,FALSE),"")</f>
        <v/>
      </c>
      <c r="V12907">
        <f t="shared" si="806"/>
        <v>0</v>
      </c>
      <c r="W12907">
        <f t="shared" si="807"/>
        <v>0</v>
      </c>
    </row>
    <row r="12908" spans="5:23" x14ac:dyDescent="0.25">
      <c r="E12908" s="4"/>
      <c r="F12908" s="4"/>
      <c r="G12908" s="33" t="str">
        <f>IFERROR(VLOOKUP($D12908,'Informations sur les produits'!$A$3:$H$10000,8,FALSE),"0")</f>
        <v>0</v>
      </c>
      <c r="K12908" s="4"/>
      <c r="L12908" s="33" t="str">
        <f>IFERROR(VLOOKUP($J12908,'Informations sur les produits'!$A$3:$H$10000,8,FALSE),"0")</f>
        <v>0</v>
      </c>
      <c r="N12908" s="8"/>
      <c r="O12908" s="33" t="str">
        <f>IFERROR(VLOOKUP($M12908,'Informations sur les produits'!$A$3:$H$10000,8,FALSE),"0")</f>
        <v>0</v>
      </c>
      <c r="P12908" s="33">
        <f t="shared" si="804"/>
        <v>0</v>
      </c>
      <c r="Q12908" s="31" t="str">
        <f t="shared" si="805"/>
        <v/>
      </c>
      <c r="R12908" s="32" t="str">
        <f>IFERROR(VLOOKUP($D12908,'Informations sur les produits'!$A$3:$B$15000,2,FALSE),"")</f>
        <v/>
      </c>
      <c r="V12908">
        <f t="shared" si="806"/>
        <v>0</v>
      </c>
      <c r="W12908">
        <f t="shared" si="807"/>
        <v>0</v>
      </c>
    </row>
    <row r="12909" spans="5:23" x14ac:dyDescent="0.25">
      <c r="E12909" s="4"/>
      <c r="F12909" s="4"/>
      <c r="G12909" s="33" t="str">
        <f>IFERROR(VLOOKUP($D12909,'Informations sur les produits'!$A$3:$H$10000,8,FALSE),"0")</f>
        <v>0</v>
      </c>
      <c r="K12909" s="4"/>
      <c r="L12909" s="33" t="str">
        <f>IFERROR(VLOOKUP($J12909,'Informations sur les produits'!$A$3:$H$10000,8,FALSE),"0")</f>
        <v>0</v>
      </c>
      <c r="N12909" s="8"/>
      <c r="O12909" s="33" t="str">
        <f>IFERROR(VLOOKUP($M12909,'Informations sur les produits'!$A$3:$H$10000,8,FALSE),"0")</f>
        <v>0</v>
      </c>
      <c r="P12909" s="33">
        <f t="shared" si="804"/>
        <v>0</v>
      </c>
      <c r="Q12909" s="31" t="str">
        <f t="shared" si="805"/>
        <v/>
      </c>
      <c r="R12909" s="32" t="str">
        <f>IFERROR(VLOOKUP($D12909,'Informations sur les produits'!$A$3:$B$15000,2,FALSE),"")</f>
        <v/>
      </c>
      <c r="V12909">
        <f t="shared" si="806"/>
        <v>0</v>
      </c>
      <c r="W12909">
        <f t="shared" si="807"/>
        <v>0</v>
      </c>
    </row>
    <row r="12910" spans="5:23" x14ac:dyDescent="0.25">
      <c r="E12910" s="4"/>
      <c r="F12910" s="4"/>
      <c r="G12910" s="33" t="str">
        <f>IFERROR(VLOOKUP($D12910,'Informations sur les produits'!$A$3:$H$10000,8,FALSE),"0")</f>
        <v>0</v>
      </c>
      <c r="K12910" s="4"/>
      <c r="L12910" s="33" t="str">
        <f>IFERROR(VLOOKUP($J12910,'Informations sur les produits'!$A$3:$H$10000,8,FALSE),"0")</f>
        <v>0</v>
      </c>
      <c r="N12910" s="8"/>
      <c r="O12910" s="33" t="str">
        <f>IFERROR(VLOOKUP($M12910,'Informations sur les produits'!$A$3:$H$10000,8,FALSE),"0")</f>
        <v>0</v>
      </c>
      <c r="P12910" s="33">
        <f t="shared" si="804"/>
        <v>0</v>
      </c>
      <c r="Q12910" s="31" t="str">
        <f t="shared" si="805"/>
        <v/>
      </c>
      <c r="R12910" s="32" t="str">
        <f>IFERROR(VLOOKUP($D12910,'Informations sur les produits'!$A$3:$B$15000,2,FALSE),"")</f>
        <v/>
      </c>
      <c r="V12910">
        <f t="shared" si="806"/>
        <v>0</v>
      </c>
      <c r="W12910">
        <f t="shared" si="807"/>
        <v>0</v>
      </c>
    </row>
    <row r="12911" spans="5:23" x14ac:dyDescent="0.25">
      <c r="E12911" s="4"/>
      <c r="F12911" s="4"/>
      <c r="G12911" s="33" t="str">
        <f>IFERROR(VLOOKUP($D12911,'Informations sur les produits'!$A$3:$H$10000,8,FALSE),"0")</f>
        <v>0</v>
      </c>
      <c r="K12911" s="4"/>
      <c r="L12911" s="33" t="str">
        <f>IFERROR(VLOOKUP($J12911,'Informations sur les produits'!$A$3:$H$10000,8,FALSE),"0")</f>
        <v>0</v>
      </c>
      <c r="N12911" s="8"/>
      <c r="O12911" s="33" t="str">
        <f>IFERROR(VLOOKUP($M12911,'Informations sur les produits'!$A$3:$H$10000,8,FALSE),"0")</f>
        <v>0</v>
      </c>
      <c r="P12911" s="33">
        <f t="shared" si="804"/>
        <v>0</v>
      </c>
      <c r="Q12911" s="31" t="str">
        <f t="shared" si="805"/>
        <v/>
      </c>
      <c r="R12911" s="32" t="str">
        <f>IFERROR(VLOOKUP($D12911,'Informations sur les produits'!$A$3:$B$15000,2,FALSE),"")</f>
        <v/>
      </c>
      <c r="V12911">
        <f t="shared" si="806"/>
        <v>0</v>
      </c>
      <c r="W12911">
        <f t="shared" si="807"/>
        <v>0</v>
      </c>
    </row>
    <row r="12912" spans="5:23" x14ac:dyDescent="0.25">
      <c r="E12912" s="4"/>
      <c r="F12912" s="4"/>
      <c r="G12912" s="33" t="str">
        <f>IFERROR(VLOOKUP($D12912,'Informations sur les produits'!$A$3:$H$10000,8,FALSE),"0")</f>
        <v>0</v>
      </c>
      <c r="K12912" s="4"/>
      <c r="L12912" s="33" t="str">
        <f>IFERROR(VLOOKUP($J12912,'Informations sur les produits'!$A$3:$H$10000,8,FALSE),"0")</f>
        <v>0</v>
      </c>
      <c r="N12912" s="8"/>
      <c r="O12912" s="33" t="str">
        <f>IFERROR(VLOOKUP($M12912,'Informations sur les produits'!$A$3:$H$10000,8,FALSE),"0")</f>
        <v>0</v>
      </c>
      <c r="P12912" s="33">
        <f t="shared" si="804"/>
        <v>0</v>
      </c>
      <c r="Q12912" s="31" t="str">
        <f t="shared" si="805"/>
        <v/>
      </c>
      <c r="R12912" s="32" t="str">
        <f>IFERROR(VLOOKUP($D12912,'Informations sur les produits'!$A$3:$B$15000,2,FALSE),"")</f>
        <v/>
      </c>
      <c r="V12912">
        <f t="shared" si="806"/>
        <v>0</v>
      </c>
      <c r="W12912">
        <f t="shared" si="807"/>
        <v>0</v>
      </c>
    </row>
    <row r="12913" spans="5:23" x14ac:dyDescent="0.25">
      <c r="E12913" s="4"/>
      <c r="F12913" s="4"/>
      <c r="G12913" s="33" t="str">
        <f>IFERROR(VLOOKUP($D12913,'Informations sur les produits'!$A$3:$H$10000,8,FALSE),"0")</f>
        <v>0</v>
      </c>
      <c r="K12913" s="4"/>
      <c r="L12913" s="33" t="str">
        <f>IFERROR(VLOOKUP($J12913,'Informations sur les produits'!$A$3:$H$10000,8,FALSE),"0")</f>
        <v>0</v>
      </c>
      <c r="N12913" s="8"/>
      <c r="O12913" s="33" t="str">
        <f>IFERROR(VLOOKUP($M12913,'Informations sur les produits'!$A$3:$H$10000,8,FALSE),"0")</f>
        <v>0</v>
      </c>
      <c r="P12913" s="33">
        <f t="shared" si="804"/>
        <v>0</v>
      </c>
      <c r="Q12913" s="31" t="str">
        <f t="shared" si="805"/>
        <v/>
      </c>
      <c r="R12913" s="32" t="str">
        <f>IFERROR(VLOOKUP($D12913,'Informations sur les produits'!$A$3:$B$15000,2,FALSE),"")</f>
        <v/>
      </c>
      <c r="V12913">
        <f t="shared" si="806"/>
        <v>0</v>
      </c>
      <c r="W12913">
        <f t="shared" si="807"/>
        <v>0</v>
      </c>
    </row>
    <row r="12914" spans="5:23" x14ac:dyDescent="0.25">
      <c r="E12914" s="4"/>
      <c r="F12914" s="4"/>
      <c r="G12914" s="33" t="str">
        <f>IFERROR(VLOOKUP($D12914,'Informations sur les produits'!$A$3:$H$10000,8,FALSE),"0")</f>
        <v>0</v>
      </c>
      <c r="K12914" s="4"/>
      <c r="L12914" s="33" t="str">
        <f>IFERROR(VLOOKUP($J12914,'Informations sur les produits'!$A$3:$H$10000,8,FALSE),"0")</f>
        <v>0</v>
      </c>
      <c r="N12914" s="8"/>
      <c r="O12914" s="33" t="str">
        <f>IFERROR(VLOOKUP($M12914,'Informations sur les produits'!$A$3:$H$10000,8,FALSE),"0")</f>
        <v>0</v>
      </c>
      <c r="P12914" s="33">
        <f t="shared" si="804"/>
        <v>0</v>
      </c>
      <c r="Q12914" s="31" t="str">
        <f t="shared" si="805"/>
        <v/>
      </c>
      <c r="R12914" s="32" t="str">
        <f>IFERROR(VLOOKUP($D12914,'Informations sur les produits'!$A$3:$B$15000,2,FALSE),"")</f>
        <v/>
      </c>
      <c r="V12914">
        <f t="shared" si="806"/>
        <v>0</v>
      </c>
      <c r="W12914">
        <f t="shared" si="807"/>
        <v>0</v>
      </c>
    </row>
    <row r="12915" spans="5:23" x14ac:dyDescent="0.25">
      <c r="E12915" s="4"/>
      <c r="F12915" s="4"/>
      <c r="G12915" s="33" t="str">
        <f>IFERROR(VLOOKUP($D12915,'Informations sur les produits'!$A$3:$H$10000,8,FALSE),"0")</f>
        <v>0</v>
      </c>
      <c r="K12915" s="4"/>
      <c r="L12915" s="33" t="str">
        <f>IFERROR(VLOOKUP($J12915,'Informations sur les produits'!$A$3:$H$10000,8,FALSE),"0")</f>
        <v>0</v>
      </c>
      <c r="N12915" s="8"/>
      <c r="O12915" s="33" t="str">
        <f>IFERROR(VLOOKUP($M12915,'Informations sur les produits'!$A$3:$H$10000,8,FALSE),"0")</f>
        <v>0</v>
      </c>
      <c r="P12915" s="33">
        <f t="shared" si="804"/>
        <v>0</v>
      </c>
      <c r="Q12915" s="31" t="str">
        <f t="shared" si="805"/>
        <v/>
      </c>
      <c r="R12915" s="32" t="str">
        <f>IFERROR(VLOOKUP($D12915,'Informations sur les produits'!$A$3:$B$15000,2,FALSE),"")</f>
        <v/>
      </c>
      <c r="V12915">
        <f t="shared" si="806"/>
        <v>0</v>
      </c>
      <c r="W12915">
        <f t="shared" si="807"/>
        <v>0</v>
      </c>
    </row>
    <row r="12916" spans="5:23" x14ac:dyDescent="0.25">
      <c r="E12916" s="4"/>
      <c r="F12916" s="4"/>
      <c r="G12916" s="33" t="str">
        <f>IFERROR(VLOOKUP($D12916,'Informations sur les produits'!$A$3:$H$10000,8,FALSE),"0")</f>
        <v>0</v>
      </c>
      <c r="K12916" s="4"/>
      <c r="L12916" s="33" t="str">
        <f>IFERROR(VLOOKUP($J12916,'Informations sur les produits'!$A$3:$H$10000,8,FALSE),"0")</f>
        <v>0</v>
      </c>
      <c r="N12916" s="8"/>
      <c r="O12916" s="33" t="str">
        <f>IFERROR(VLOOKUP($M12916,'Informations sur les produits'!$A$3:$H$10000,8,FALSE),"0")</f>
        <v>0</v>
      </c>
      <c r="P12916" s="33">
        <f t="shared" si="804"/>
        <v>0</v>
      </c>
      <c r="Q12916" s="31" t="str">
        <f t="shared" si="805"/>
        <v/>
      </c>
      <c r="R12916" s="32" t="str">
        <f>IFERROR(VLOOKUP($D12916,'Informations sur les produits'!$A$3:$B$15000,2,FALSE),"")</f>
        <v/>
      </c>
      <c r="V12916">
        <f t="shared" si="806"/>
        <v>0</v>
      </c>
      <c r="W12916">
        <f t="shared" si="807"/>
        <v>0</v>
      </c>
    </row>
    <row r="12917" spans="5:23" x14ac:dyDescent="0.25">
      <c r="E12917" s="4"/>
      <c r="F12917" s="4"/>
      <c r="G12917" s="33" t="str">
        <f>IFERROR(VLOOKUP($D12917,'Informations sur les produits'!$A$3:$H$10000,8,FALSE),"0")</f>
        <v>0</v>
      </c>
      <c r="K12917" s="4"/>
      <c r="L12917" s="33" t="str">
        <f>IFERROR(VLOOKUP($J12917,'Informations sur les produits'!$A$3:$H$10000,8,FALSE),"0")</f>
        <v>0</v>
      </c>
      <c r="N12917" s="8"/>
      <c r="O12917" s="33" t="str">
        <f>IFERROR(VLOOKUP($M12917,'Informations sur les produits'!$A$3:$H$10000,8,FALSE),"0")</f>
        <v>0</v>
      </c>
      <c r="P12917" s="33">
        <f t="shared" si="804"/>
        <v>0</v>
      </c>
      <c r="Q12917" s="31" t="str">
        <f t="shared" si="805"/>
        <v/>
      </c>
      <c r="R12917" s="32" t="str">
        <f>IFERROR(VLOOKUP($D12917,'Informations sur les produits'!$A$3:$B$15000,2,FALSE),"")</f>
        <v/>
      </c>
      <c r="V12917">
        <f t="shared" si="806"/>
        <v>0</v>
      </c>
      <c r="W12917">
        <f t="shared" si="807"/>
        <v>0</v>
      </c>
    </row>
    <row r="12918" spans="5:23" x14ac:dyDescent="0.25">
      <c r="E12918" s="4"/>
      <c r="F12918" s="4"/>
      <c r="G12918" s="33" t="str">
        <f>IFERROR(VLOOKUP($D12918,'Informations sur les produits'!$A$3:$H$10000,8,FALSE),"0")</f>
        <v>0</v>
      </c>
      <c r="K12918" s="4"/>
      <c r="L12918" s="33" t="str">
        <f>IFERROR(VLOOKUP($J12918,'Informations sur les produits'!$A$3:$H$10000,8,FALSE),"0")</f>
        <v>0</v>
      </c>
      <c r="N12918" s="8"/>
      <c r="O12918" s="33" t="str">
        <f>IFERROR(VLOOKUP($M12918,'Informations sur les produits'!$A$3:$H$10000,8,FALSE),"0")</f>
        <v>0</v>
      </c>
      <c r="P12918" s="33">
        <f t="shared" si="804"/>
        <v>0</v>
      </c>
      <c r="Q12918" s="31" t="str">
        <f t="shared" si="805"/>
        <v/>
      </c>
      <c r="R12918" s="32" t="str">
        <f>IFERROR(VLOOKUP($D12918,'Informations sur les produits'!$A$3:$B$15000,2,FALSE),"")</f>
        <v/>
      </c>
      <c r="V12918">
        <f t="shared" si="806"/>
        <v>0</v>
      </c>
      <c r="W12918">
        <f t="shared" si="807"/>
        <v>0</v>
      </c>
    </row>
    <row r="12919" spans="5:23" x14ac:dyDescent="0.25">
      <c r="E12919" s="4"/>
      <c r="F12919" s="4"/>
      <c r="G12919" s="33" t="str">
        <f>IFERROR(VLOOKUP($D12919,'Informations sur les produits'!$A$3:$H$10000,8,FALSE),"0")</f>
        <v>0</v>
      </c>
      <c r="K12919" s="4"/>
      <c r="L12919" s="33" t="str">
        <f>IFERROR(VLOOKUP($J12919,'Informations sur les produits'!$A$3:$H$10000,8,FALSE),"0")</f>
        <v>0</v>
      </c>
      <c r="N12919" s="8"/>
      <c r="O12919" s="33" t="str">
        <f>IFERROR(VLOOKUP($M12919,'Informations sur les produits'!$A$3:$H$10000,8,FALSE),"0")</f>
        <v>0</v>
      </c>
      <c r="P12919" s="33">
        <f t="shared" si="804"/>
        <v>0</v>
      </c>
      <c r="Q12919" s="31" t="str">
        <f t="shared" si="805"/>
        <v/>
      </c>
      <c r="R12919" s="32" t="str">
        <f>IFERROR(VLOOKUP($D12919,'Informations sur les produits'!$A$3:$B$15000,2,FALSE),"")</f>
        <v/>
      </c>
      <c r="V12919">
        <f t="shared" si="806"/>
        <v>0</v>
      </c>
      <c r="W12919">
        <f t="shared" si="807"/>
        <v>0</v>
      </c>
    </row>
    <row r="12920" spans="5:23" x14ac:dyDescent="0.25">
      <c r="E12920" s="4"/>
      <c r="F12920" s="4"/>
      <c r="G12920" s="33" t="str">
        <f>IFERROR(VLOOKUP($D12920,'Informations sur les produits'!$A$3:$H$10000,8,FALSE),"0")</f>
        <v>0</v>
      </c>
      <c r="K12920" s="4"/>
      <c r="L12920" s="33" t="str">
        <f>IFERROR(VLOOKUP($J12920,'Informations sur les produits'!$A$3:$H$10000,8,FALSE),"0")</f>
        <v>0</v>
      </c>
      <c r="N12920" s="8"/>
      <c r="O12920" s="33" t="str">
        <f>IFERROR(VLOOKUP($M12920,'Informations sur les produits'!$A$3:$H$10000,8,FALSE),"0")</f>
        <v>0</v>
      </c>
      <c r="P12920" s="33">
        <f t="shared" si="804"/>
        <v>0</v>
      </c>
      <c r="Q12920" s="31" t="str">
        <f t="shared" si="805"/>
        <v/>
      </c>
      <c r="R12920" s="32" t="str">
        <f>IFERROR(VLOOKUP($D12920,'Informations sur les produits'!$A$3:$B$15000,2,FALSE),"")</f>
        <v/>
      </c>
      <c r="V12920">
        <f t="shared" si="806"/>
        <v>0</v>
      </c>
      <c r="W12920">
        <f t="shared" si="807"/>
        <v>0</v>
      </c>
    </row>
    <row r="12921" spans="5:23" x14ac:dyDescent="0.25">
      <c r="E12921" s="4"/>
      <c r="F12921" s="4"/>
      <c r="G12921" s="33" t="str">
        <f>IFERROR(VLOOKUP($D12921,'Informations sur les produits'!$A$3:$H$10000,8,FALSE),"0")</f>
        <v>0</v>
      </c>
      <c r="K12921" s="4"/>
      <c r="L12921" s="33" t="str">
        <f>IFERROR(VLOOKUP($J12921,'Informations sur les produits'!$A$3:$H$10000,8,FALSE),"0")</f>
        <v>0</v>
      </c>
      <c r="N12921" s="8"/>
      <c r="O12921" s="33" t="str">
        <f>IFERROR(VLOOKUP($M12921,'Informations sur les produits'!$A$3:$H$10000,8,FALSE),"0")</f>
        <v>0</v>
      </c>
      <c r="P12921" s="33">
        <f t="shared" si="804"/>
        <v>0</v>
      </c>
      <c r="Q12921" s="31" t="str">
        <f t="shared" si="805"/>
        <v/>
      </c>
      <c r="R12921" s="32" t="str">
        <f>IFERROR(VLOOKUP($D12921,'Informations sur les produits'!$A$3:$B$15000,2,FALSE),"")</f>
        <v/>
      </c>
      <c r="V12921">
        <f t="shared" si="806"/>
        <v>0</v>
      </c>
      <c r="W12921">
        <f t="shared" si="807"/>
        <v>0</v>
      </c>
    </row>
    <row r="12922" spans="5:23" x14ac:dyDescent="0.25">
      <c r="E12922" s="4"/>
      <c r="F12922" s="4"/>
      <c r="G12922" s="33" t="str">
        <f>IFERROR(VLOOKUP($D12922,'Informations sur les produits'!$A$3:$H$10000,8,FALSE),"0")</f>
        <v>0</v>
      </c>
      <c r="K12922" s="4"/>
      <c r="L12922" s="33" t="str">
        <f>IFERROR(VLOOKUP($J12922,'Informations sur les produits'!$A$3:$H$10000,8,FALSE),"0")</f>
        <v>0</v>
      </c>
      <c r="N12922" s="8"/>
      <c r="O12922" s="33" t="str">
        <f>IFERROR(VLOOKUP($M12922,'Informations sur les produits'!$A$3:$H$10000,8,FALSE),"0")</f>
        <v>0</v>
      </c>
      <c r="P12922" s="33">
        <f t="shared" si="804"/>
        <v>0</v>
      </c>
      <c r="Q12922" s="31" t="str">
        <f t="shared" si="805"/>
        <v/>
      </c>
      <c r="R12922" s="32" t="str">
        <f>IFERROR(VLOOKUP($D12922,'Informations sur les produits'!$A$3:$B$15000,2,FALSE),"")</f>
        <v/>
      </c>
      <c r="V12922">
        <f t="shared" si="806"/>
        <v>0</v>
      </c>
      <c r="W12922">
        <f t="shared" si="807"/>
        <v>0</v>
      </c>
    </row>
    <row r="12923" spans="5:23" x14ac:dyDescent="0.25">
      <c r="E12923" s="4"/>
      <c r="F12923" s="4"/>
      <c r="G12923" s="33" t="str">
        <f>IFERROR(VLOOKUP($D12923,'Informations sur les produits'!$A$3:$H$10000,8,FALSE),"0")</f>
        <v>0</v>
      </c>
      <c r="K12923" s="4"/>
      <c r="L12923" s="33" t="str">
        <f>IFERROR(VLOOKUP($J12923,'Informations sur les produits'!$A$3:$H$10000,8,FALSE),"0")</f>
        <v>0</v>
      </c>
      <c r="N12923" s="8"/>
      <c r="O12923" s="33" t="str">
        <f>IFERROR(VLOOKUP($M12923,'Informations sur les produits'!$A$3:$H$10000,8,FALSE),"0")</f>
        <v>0</v>
      </c>
      <c r="P12923" s="33">
        <f t="shared" si="804"/>
        <v>0</v>
      </c>
      <c r="Q12923" s="31" t="str">
        <f t="shared" si="805"/>
        <v/>
      </c>
      <c r="R12923" s="32" t="str">
        <f>IFERROR(VLOOKUP($D12923,'Informations sur les produits'!$A$3:$B$15000,2,FALSE),"")</f>
        <v/>
      </c>
      <c r="V12923">
        <f t="shared" si="806"/>
        <v>0</v>
      </c>
      <c r="W12923">
        <f t="shared" si="807"/>
        <v>0</v>
      </c>
    </row>
    <row r="12924" spans="5:23" x14ac:dyDescent="0.25">
      <c r="E12924" s="4"/>
      <c r="F12924" s="4"/>
      <c r="G12924" s="33" t="str">
        <f>IFERROR(VLOOKUP($D12924,'Informations sur les produits'!$A$3:$H$10000,8,FALSE),"0")</f>
        <v>0</v>
      </c>
      <c r="K12924" s="4"/>
      <c r="L12924" s="33" t="str">
        <f>IFERROR(VLOOKUP($J12924,'Informations sur les produits'!$A$3:$H$10000,8,FALSE),"0")</f>
        <v>0</v>
      </c>
      <c r="N12924" s="8"/>
      <c r="O12924" s="33" t="str">
        <f>IFERROR(VLOOKUP($M12924,'Informations sur les produits'!$A$3:$H$10000,8,FALSE),"0")</f>
        <v>0</v>
      </c>
      <c r="P12924" s="33">
        <f t="shared" si="804"/>
        <v>0</v>
      </c>
      <c r="Q12924" s="31" t="str">
        <f t="shared" si="805"/>
        <v/>
      </c>
      <c r="R12924" s="32" t="str">
        <f>IFERROR(VLOOKUP($D12924,'Informations sur les produits'!$A$3:$B$15000,2,FALSE),"")</f>
        <v/>
      </c>
      <c r="V12924">
        <f t="shared" si="806"/>
        <v>0</v>
      </c>
      <c r="W12924">
        <f t="shared" si="807"/>
        <v>0</v>
      </c>
    </row>
    <row r="12925" spans="5:23" x14ac:dyDescent="0.25">
      <c r="E12925" s="4"/>
      <c r="F12925" s="4"/>
      <c r="G12925" s="33" t="str">
        <f>IFERROR(VLOOKUP($D12925,'Informations sur les produits'!$A$3:$H$10000,8,FALSE),"0")</f>
        <v>0</v>
      </c>
      <c r="K12925" s="4"/>
      <c r="L12925" s="33" t="str">
        <f>IFERROR(VLOOKUP($J12925,'Informations sur les produits'!$A$3:$H$10000,8,FALSE),"0")</f>
        <v>0</v>
      </c>
      <c r="N12925" s="8"/>
      <c r="O12925" s="33" t="str">
        <f>IFERROR(VLOOKUP($M12925,'Informations sur les produits'!$A$3:$H$10000,8,FALSE),"0")</f>
        <v>0</v>
      </c>
      <c r="P12925" s="33">
        <f t="shared" si="804"/>
        <v>0</v>
      </c>
      <c r="Q12925" s="31" t="str">
        <f t="shared" si="805"/>
        <v/>
      </c>
      <c r="R12925" s="32" t="str">
        <f>IFERROR(VLOOKUP($D12925,'Informations sur les produits'!$A$3:$B$15000,2,FALSE),"")</f>
        <v/>
      </c>
      <c r="V12925">
        <f t="shared" si="806"/>
        <v>0</v>
      </c>
      <c r="W12925">
        <f t="shared" si="807"/>
        <v>0</v>
      </c>
    </row>
    <row r="12926" spans="5:23" x14ac:dyDescent="0.25">
      <c r="E12926" s="4"/>
      <c r="F12926" s="4"/>
      <c r="G12926" s="33" t="str">
        <f>IFERROR(VLOOKUP($D12926,'Informations sur les produits'!$A$3:$H$10000,8,FALSE),"0")</f>
        <v>0</v>
      </c>
      <c r="K12926" s="4"/>
      <c r="L12926" s="33" t="str">
        <f>IFERROR(VLOOKUP($J12926,'Informations sur les produits'!$A$3:$H$10000,8,FALSE),"0")</f>
        <v>0</v>
      </c>
      <c r="N12926" s="8"/>
      <c r="O12926" s="33" t="str">
        <f>IFERROR(VLOOKUP($M12926,'Informations sur les produits'!$A$3:$H$10000,8,FALSE),"0")</f>
        <v>0</v>
      </c>
      <c r="P12926" s="33">
        <f t="shared" si="804"/>
        <v>0</v>
      </c>
      <c r="Q12926" s="31" t="str">
        <f t="shared" si="805"/>
        <v/>
      </c>
      <c r="R12926" s="32" t="str">
        <f>IFERROR(VLOOKUP($D12926,'Informations sur les produits'!$A$3:$B$15000,2,FALSE),"")</f>
        <v/>
      </c>
      <c r="V12926">
        <f t="shared" si="806"/>
        <v>0</v>
      </c>
      <c r="W12926">
        <f t="shared" si="807"/>
        <v>0</v>
      </c>
    </row>
    <row r="12927" spans="5:23" x14ac:dyDescent="0.25">
      <c r="E12927" s="4"/>
      <c r="F12927" s="4"/>
      <c r="G12927" s="33" t="str">
        <f>IFERROR(VLOOKUP($D12927,'Informations sur les produits'!$A$3:$H$10000,8,FALSE),"0")</f>
        <v>0</v>
      </c>
      <c r="K12927" s="4"/>
      <c r="L12927" s="33" t="str">
        <f>IFERROR(VLOOKUP($J12927,'Informations sur les produits'!$A$3:$H$10000,8,FALSE),"0")</f>
        <v>0</v>
      </c>
      <c r="N12927" s="8"/>
      <c r="O12927" s="33" t="str">
        <f>IFERROR(VLOOKUP($M12927,'Informations sur les produits'!$A$3:$H$10000,8,FALSE),"0")</f>
        <v>0</v>
      </c>
      <c r="P12927" s="33">
        <f t="shared" si="804"/>
        <v>0</v>
      </c>
      <c r="Q12927" s="31" t="str">
        <f t="shared" si="805"/>
        <v/>
      </c>
      <c r="R12927" s="32" t="str">
        <f>IFERROR(VLOOKUP($D12927,'Informations sur les produits'!$A$3:$B$15000,2,FALSE),"")</f>
        <v/>
      </c>
      <c r="V12927">
        <f t="shared" si="806"/>
        <v>0</v>
      </c>
      <c r="W12927">
        <f t="shared" si="807"/>
        <v>0</v>
      </c>
    </row>
    <row r="12928" spans="5:23" x14ac:dyDescent="0.25">
      <c r="E12928" s="4"/>
      <c r="F12928" s="4"/>
      <c r="G12928" s="33" t="str">
        <f>IFERROR(VLOOKUP($D12928,'Informations sur les produits'!$A$3:$H$10000,8,FALSE),"0")</f>
        <v>0</v>
      </c>
      <c r="K12928" s="4"/>
      <c r="L12928" s="33" t="str">
        <f>IFERROR(VLOOKUP($J12928,'Informations sur les produits'!$A$3:$H$10000,8,FALSE),"0")</f>
        <v>0</v>
      </c>
      <c r="N12928" s="8"/>
      <c r="O12928" s="33" t="str">
        <f>IFERROR(VLOOKUP($M12928,'Informations sur les produits'!$A$3:$H$10000,8,FALSE),"0")</f>
        <v>0</v>
      </c>
      <c r="P12928" s="33">
        <f t="shared" si="804"/>
        <v>0</v>
      </c>
      <c r="Q12928" s="31" t="str">
        <f t="shared" si="805"/>
        <v/>
      </c>
      <c r="R12928" s="32" t="str">
        <f>IFERROR(VLOOKUP($D12928,'Informations sur les produits'!$A$3:$B$15000,2,FALSE),"")</f>
        <v/>
      </c>
      <c r="V12928">
        <f t="shared" si="806"/>
        <v>0</v>
      </c>
      <c r="W12928">
        <f t="shared" si="807"/>
        <v>0</v>
      </c>
    </row>
    <row r="12929" spans="5:23" x14ac:dyDescent="0.25">
      <c r="E12929" s="4"/>
      <c r="F12929" s="4"/>
      <c r="G12929" s="33" t="str">
        <f>IFERROR(VLOOKUP($D12929,'Informations sur les produits'!$A$3:$H$10000,8,FALSE),"0")</f>
        <v>0</v>
      </c>
      <c r="K12929" s="4"/>
      <c r="L12929" s="33" t="str">
        <f>IFERROR(VLOOKUP($J12929,'Informations sur les produits'!$A$3:$H$10000,8,FALSE),"0")</f>
        <v>0</v>
      </c>
      <c r="N12929" s="8"/>
      <c r="O12929" s="33" t="str">
        <f>IFERROR(VLOOKUP($M12929,'Informations sur les produits'!$A$3:$H$10000,8,FALSE),"0")</f>
        <v>0</v>
      </c>
      <c r="P12929" s="33">
        <f t="shared" si="804"/>
        <v>0</v>
      </c>
      <c r="Q12929" s="31" t="str">
        <f t="shared" si="805"/>
        <v/>
      </c>
      <c r="R12929" s="32" t="str">
        <f>IFERROR(VLOOKUP($D12929,'Informations sur les produits'!$A$3:$B$15000,2,FALSE),"")</f>
        <v/>
      </c>
      <c r="V12929">
        <f t="shared" si="806"/>
        <v>0</v>
      </c>
      <c r="W12929">
        <f t="shared" si="807"/>
        <v>0</v>
      </c>
    </row>
    <row r="12930" spans="5:23" x14ac:dyDescent="0.25">
      <c r="E12930" s="4"/>
      <c r="F12930" s="4"/>
      <c r="G12930" s="33" t="str">
        <f>IFERROR(VLOOKUP($D12930,'Informations sur les produits'!$A$3:$H$10000,8,FALSE),"0")</f>
        <v>0</v>
      </c>
      <c r="K12930" s="4"/>
      <c r="L12930" s="33" t="str">
        <f>IFERROR(VLOOKUP($J12930,'Informations sur les produits'!$A$3:$H$10000,8,FALSE),"0")</f>
        <v>0</v>
      </c>
      <c r="N12930" s="8"/>
      <c r="O12930" s="33" t="str">
        <f>IFERROR(VLOOKUP($M12930,'Informations sur les produits'!$A$3:$H$10000,8,FALSE),"0")</f>
        <v>0</v>
      </c>
      <c r="P12930" s="33">
        <f t="shared" si="804"/>
        <v>0</v>
      </c>
      <c r="Q12930" s="31" t="str">
        <f t="shared" si="805"/>
        <v/>
      </c>
      <c r="R12930" s="32" t="str">
        <f>IFERROR(VLOOKUP($D12930,'Informations sur les produits'!$A$3:$B$15000,2,FALSE),"")</f>
        <v/>
      </c>
      <c r="V12930">
        <f t="shared" si="806"/>
        <v>0</v>
      </c>
      <c r="W12930">
        <f t="shared" si="807"/>
        <v>0</v>
      </c>
    </row>
    <row r="12931" spans="5:23" x14ac:dyDescent="0.25">
      <c r="E12931" s="4"/>
      <c r="F12931" s="4"/>
      <c r="G12931" s="33" t="str">
        <f>IFERROR(VLOOKUP($D12931,'Informations sur les produits'!$A$3:$H$10000,8,FALSE),"0")</f>
        <v>0</v>
      </c>
      <c r="K12931" s="4"/>
      <c r="L12931" s="33" t="str">
        <f>IFERROR(VLOOKUP($J12931,'Informations sur les produits'!$A$3:$H$10000,8,FALSE),"0")</f>
        <v>0</v>
      </c>
      <c r="N12931" s="8"/>
      <c r="O12931" s="33" t="str">
        <f>IFERROR(VLOOKUP($M12931,'Informations sur les produits'!$A$3:$H$10000,8,FALSE),"0")</f>
        <v>0</v>
      </c>
      <c r="P12931" s="33">
        <f t="shared" si="804"/>
        <v>0</v>
      </c>
      <c r="Q12931" s="31" t="str">
        <f t="shared" si="805"/>
        <v/>
      </c>
      <c r="R12931" s="32" t="str">
        <f>IFERROR(VLOOKUP($D12931,'Informations sur les produits'!$A$3:$B$15000,2,FALSE),"")</f>
        <v/>
      </c>
      <c r="V12931">
        <f t="shared" si="806"/>
        <v>0</v>
      </c>
      <c r="W12931">
        <f t="shared" si="807"/>
        <v>0</v>
      </c>
    </row>
    <row r="12932" spans="5:23" x14ac:dyDescent="0.25">
      <c r="E12932" s="4"/>
      <c r="F12932" s="4"/>
      <c r="G12932" s="33" t="str">
        <f>IFERROR(VLOOKUP($D12932,'Informations sur les produits'!$A$3:$H$10000,8,FALSE),"0")</f>
        <v>0</v>
      </c>
      <c r="K12932" s="4"/>
      <c r="L12932" s="33" t="str">
        <f>IFERROR(VLOOKUP($J12932,'Informations sur les produits'!$A$3:$H$10000,8,FALSE),"0")</f>
        <v>0</v>
      </c>
      <c r="N12932" s="8"/>
      <c r="O12932" s="33" t="str">
        <f>IFERROR(VLOOKUP($M12932,'Informations sur les produits'!$A$3:$H$10000,8,FALSE),"0")</f>
        <v>0</v>
      </c>
      <c r="P12932" s="33">
        <f t="shared" ref="P12932:P12995" si="808">IFERROR((($E12932-$F12932)*$G12932+$K12932*$L12932+$N12932*$O12932),"")</f>
        <v>0</v>
      </c>
      <c r="Q12932" s="31" t="str">
        <f t="shared" ref="Q12932:Q12995" si="809">IFERROR((((($E12932-$F12932)*$G12932+$K12932*$L12932+$N12932*$O12932)*1000)/(($E12932-$F12932)+$K12932+$N12932)),"")</f>
        <v/>
      </c>
      <c r="R12932" s="32" t="str">
        <f>IFERROR(VLOOKUP($D12932,'Informations sur les produits'!$A$3:$B$15000,2,FALSE),"")</f>
        <v/>
      </c>
      <c r="V12932">
        <f t="shared" ref="V12932:V12995" si="810">IFERROR(P12932*1000,"")</f>
        <v>0</v>
      </c>
      <c r="W12932">
        <f t="shared" ref="W12932:W12995" si="811">IFERROR(($E12932-$F12932)+$K12932+$N12932,"")</f>
        <v>0</v>
      </c>
    </row>
    <row r="12933" spans="5:23" x14ac:dyDescent="0.25">
      <c r="E12933" s="4"/>
      <c r="F12933" s="4"/>
      <c r="G12933" s="33" t="str">
        <f>IFERROR(VLOOKUP($D12933,'Informations sur les produits'!$A$3:$H$10000,8,FALSE),"0")</f>
        <v>0</v>
      </c>
      <c r="K12933" s="4"/>
      <c r="L12933" s="33" t="str">
        <f>IFERROR(VLOOKUP($J12933,'Informations sur les produits'!$A$3:$H$10000,8,FALSE),"0")</f>
        <v>0</v>
      </c>
      <c r="N12933" s="8"/>
      <c r="O12933" s="33" t="str">
        <f>IFERROR(VLOOKUP($M12933,'Informations sur les produits'!$A$3:$H$10000,8,FALSE),"0")</f>
        <v>0</v>
      </c>
      <c r="P12933" s="33">
        <f t="shared" si="808"/>
        <v>0</v>
      </c>
      <c r="Q12933" s="31" t="str">
        <f t="shared" si="809"/>
        <v/>
      </c>
      <c r="R12933" s="32" t="str">
        <f>IFERROR(VLOOKUP($D12933,'Informations sur les produits'!$A$3:$B$15000,2,FALSE),"")</f>
        <v/>
      </c>
      <c r="V12933">
        <f t="shared" si="810"/>
        <v>0</v>
      </c>
      <c r="W12933">
        <f t="shared" si="811"/>
        <v>0</v>
      </c>
    </row>
    <row r="12934" spans="5:23" x14ac:dyDescent="0.25">
      <c r="E12934" s="4"/>
      <c r="F12934" s="4"/>
      <c r="G12934" s="33" t="str">
        <f>IFERROR(VLOOKUP($D12934,'Informations sur les produits'!$A$3:$H$10000,8,FALSE),"0")</f>
        <v>0</v>
      </c>
      <c r="K12934" s="4"/>
      <c r="L12934" s="33" t="str">
        <f>IFERROR(VLOOKUP($J12934,'Informations sur les produits'!$A$3:$H$10000,8,FALSE),"0")</f>
        <v>0</v>
      </c>
      <c r="N12934" s="8"/>
      <c r="O12934" s="33" t="str">
        <f>IFERROR(VLOOKUP($M12934,'Informations sur les produits'!$A$3:$H$10000,8,FALSE),"0")</f>
        <v>0</v>
      </c>
      <c r="P12934" s="33">
        <f t="shared" si="808"/>
        <v>0</v>
      </c>
      <c r="Q12934" s="31" t="str">
        <f t="shared" si="809"/>
        <v/>
      </c>
      <c r="R12934" s="32" t="str">
        <f>IFERROR(VLOOKUP($D12934,'Informations sur les produits'!$A$3:$B$15000,2,FALSE),"")</f>
        <v/>
      </c>
      <c r="V12934">
        <f t="shared" si="810"/>
        <v>0</v>
      </c>
      <c r="W12934">
        <f t="shared" si="811"/>
        <v>0</v>
      </c>
    </row>
    <row r="12935" spans="5:23" x14ac:dyDescent="0.25">
      <c r="E12935" s="4"/>
      <c r="F12935" s="4"/>
      <c r="G12935" s="33" t="str">
        <f>IFERROR(VLOOKUP($D12935,'Informations sur les produits'!$A$3:$H$10000,8,FALSE),"0")</f>
        <v>0</v>
      </c>
      <c r="K12935" s="4"/>
      <c r="L12935" s="33" t="str">
        <f>IFERROR(VLOOKUP($J12935,'Informations sur les produits'!$A$3:$H$10000,8,FALSE),"0")</f>
        <v>0</v>
      </c>
      <c r="N12935" s="8"/>
      <c r="O12935" s="33" t="str">
        <f>IFERROR(VLOOKUP($M12935,'Informations sur les produits'!$A$3:$H$10000,8,FALSE),"0")</f>
        <v>0</v>
      </c>
      <c r="P12935" s="33">
        <f t="shared" si="808"/>
        <v>0</v>
      </c>
      <c r="Q12935" s="31" t="str">
        <f t="shared" si="809"/>
        <v/>
      </c>
      <c r="R12935" s="32" t="str">
        <f>IFERROR(VLOOKUP($D12935,'Informations sur les produits'!$A$3:$B$15000,2,FALSE),"")</f>
        <v/>
      </c>
      <c r="V12935">
        <f t="shared" si="810"/>
        <v>0</v>
      </c>
      <c r="W12935">
        <f t="shared" si="811"/>
        <v>0</v>
      </c>
    </row>
    <row r="12936" spans="5:23" x14ac:dyDescent="0.25">
      <c r="E12936" s="4"/>
      <c r="F12936" s="4"/>
      <c r="G12936" s="33" t="str">
        <f>IFERROR(VLOOKUP($D12936,'Informations sur les produits'!$A$3:$H$10000,8,FALSE),"0")</f>
        <v>0</v>
      </c>
      <c r="K12936" s="4"/>
      <c r="L12936" s="33" t="str">
        <f>IFERROR(VLOOKUP($J12936,'Informations sur les produits'!$A$3:$H$10000,8,FALSE),"0")</f>
        <v>0</v>
      </c>
      <c r="N12936" s="8"/>
      <c r="O12936" s="33" t="str">
        <f>IFERROR(VLOOKUP($M12936,'Informations sur les produits'!$A$3:$H$10000,8,FALSE),"0")</f>
        <v>0</v>
      </c>
      <c r="P12936" s="33">
        <f t="shared" si="808"/>
        <v>0</v>
      </c>
      <c r="Q12936" s="31" t="str">
        <f t="shared" si="809"/>
        <v/>
      </c>
      <c r="R12936" s="32" t="str">
        <f>IFERROR(VLOOKUP($D12936,'Informations sur les produits'!$A$3:$B$15000,2,FALSE),"")</f>
        <v/>
      </c>
      <c r="V12936">
        <f t="shared" si="810"/>
        <v>0</v>
      </c>
      <c r="W12936">
        <f t="shared" si="811"/>
        <v>0</v>
      </c>
    </row>
    <row r="12937" spans="5:23" x14ac:dyDescent="0.25">
      <c r="E12937" s="4"/>
      <c r="F12937" s="4"/>
      <c r="G12937" s="33" t="str">
        <f>IFERROR(VLOOKUP($D12937,'Informations sur les produits'!$A$3:$H$10000,8,FALSE),"0")</f>
        <v>0</v>
      </c>
      <c r="K12937" s="4"/>
      <c r="L12937" s="33" t="str">
        <f>IFERROR(VLOOKUP($J12937,'Informations sur les produits'!$A$3:$H$10000,8,FALSE),"0")</f>
        <v>0</v>
      </c>
      <c r="N12937" s="8"/>
      <c r="O12937" s="33" t="str">
        <f>IFERROR(VLOOKUP($M12937,'Informations sur les produits'!$A$3:$H$10000,8,FALSE),"0")</f>
        <v>0</v>
      </c>
      <c r="P12937" s="33">
        <f t="shared" si="808"/>
        <v>0</v>
      </c>
      <c r="Q12937" s="31" t="str">
        <f t="shared" si="809"/>
        <v/>
      </c>
      <c r="R12937" s="32" t="str">
        <f>IFERROR(VLOOKUP($D12937,'Informations sur les produits'!$A$3:$B$15000,2,FALSE),"")</f>
        <v/>
      </c>
      <c r="V12937">
        <f t="shared" si="810"/>
        <v>0</v>
      </c>
      <c r="W12937">
        <f t="shared" si="811"/>
        <v>0</v>
      </c>
    </row>
    <row r="12938" spans="5:23" x14ac:dyDescent="0.25">
      <c r="E12938" s="4"/>
      <c r="F12938" s="4"/>
      <c r="G12938" s="33" t="str">
        <f>IFERROR(VLOOKUP($D12938,'Informations sur les produits'!$A$3:$H$10000,8,FALSE),"0")</f>
        <v>0</v>
      </c>
      <c r="K12938" s="4"/>
      <c r="L12938" s="33" t="str">
        <f>IFERROR(VLOOKUP($J12938,'Informations sur les produits'!$A$3:$H$10000,8,FALSE),"0")</f>
        <v>0</v>
      </c>
      <c r="N12938" s="8"/>
      <c r="O12938" s="33" t="str">
        <f>IFERROR(VLOOKUP($M12938,'Informations sur les produits'!$A$3:$H$10000,8,FALSE),"0")</f>
        <v>0</v>
      </c>
      <c r="P12938" s="33">
        <f t="shared" si="808"/>
        <v>0</v>
      </c>
      <c r="Q12938" s="31" t="str">
        <f t="shared" si="809"/>
        <v/>
      </c>
      <c r="R12938" s="32" t="str">
        <f>IFERROR(VLOOKUP($D12938,'Informations sur les produits'!$A$3:$B$15000,2,FALSE),"")</f>
        <v/>
      </c>
      <c r="V12938">
        <f t="shared" si="810"/>
        <v>0</v>
      </c>
      <c r="W12938">
        <f t="shared" si="811"/>
        <v>0</v>
      </c>
    </row>
    <row r="12939" spans="5:23" x14ac:dyDescent="0.25">
      <c r="E12939" s="4"/>
      <c r="F12939" s="4"/>
      <c r="G12939" s="33" t="str">
        <f>IFERROR(VLOOKUP($D12939,'Informations sur les produits'!$A$3:$H$10000,8,FALSE),"0")</f>
        <v>0</v>
      </c>
      <c r="K12939" s="4"/>
      <c r="L12939" s="33" t="str">
        <f>IFERROR(VLOOKUP($J12939,'Informations sur les produits'!$A$3:$H$10000,8,FALSE),"0")</f>
        <v>0</v>
      </c>
      <c r="N12939" s="8"/>
      <c r="O12939" s="33" t="str">
        <f>IFERROR(VLOOKUP($M12939,'Informations sur les produits'!$A$3:$H$10000,8,FALSE),"0")</f>
        <v>0</v>
      </c>
      <c r="P12939" s="33">
        <f t="shared" si="808"/>
        <v>0</v>
      </c>
      <c r="Q12939" s="31" t="str">
        <f t="shared" si="809"/>
        <v/>
      </c>
      <c r="R12939" s="32" t="str">
        <f>IFERROR(VLOOKUP($D12939,'Informations sur les produits'!$A$3:$B$15000,2,FALSE),"")</f>
        <v/>
      </c>
      <c r="V12939">
        <f t="shared" si="810"/>
        <v>0</v>
      </c>
      <c r="W12939">
        <f t="shared" si="811"/>
        <v>0</v>
      </c>
    </row>
    <row r="12940" spans="5:23" x14ac:dyDescent="0.25">
      <c r="E12940" s="4"/>
      <c r="F12940" s="4"/>
      <c r="G12940" s="33" t="str">
        <f>IFERROR(VLOOKUP($D12940,'Informations sur les produits'!$A$3:$H$10000,8,FALSE),"0")</f>
        <v>0</v>
      </c>
      <c r="K12940" s="4"/>
      <c r="L12940" s="33" t="str">
        <f>IFERROR(VLOOKUP($J12940,'Informations sur les produits'!$A$3:$H$10000,8,FALSE),"0")</f>
        <v>0</v>
      </c>
      <c r="N12940" s="8"/>
      <c r="O12940" s="33" t="str">
        <f>IFERROR(VLOOKUP($M12940,'Informations sur les produits'!$A$3:$H$10000,8,FALSE),"0")</f>
        <v>0</v>
      </c>
      <c r="P12940" s="33">
        <f t="shared" si="808"/>
        <v>0</v>
      </c>
      <c r="Q12940" s="31" t="str">
        <f t="shared" si="809"/>
        <v/>
      </c>
      <c r="R12940" s="32" t="str">
        <f>IFERROR(VLOOKUP($D12940,'Informations sur les produits'!$A$3:$B$15000,2,FALSE),"")</f>
        <v/>
      </c>
      <c r="V12940">
        <f t="shared" si="810"/>
        <v>0</v>
      </c>
      <c r="W12940">
        <f t="shared" si="811"/>
        <v>0</v>
      </c>
    </row>
    <row r="12941" spans="5:23" x14ac:dyDescent="0.25">
      <c r="E12941" s="4"/>
      <c r="F12941" s="4"/>
      <c r="G12941" s="33" t="str">
        <f>IFERROR(VLOOKUP($D12941,'Informations sur les produits'!$A$3:$H$10000,8,FALSE),"0")</f>
        <v>0</v>
      </c>
      <c r="K12941" s="4"/>
      <c r="L12941" s="33" t="str">
        <f>IFERROR(VLOOKUP($J12941,'Informations sur les produits'!$A$3:$H$10000,8,FALSE),"0")</f>
        <v>0</v>
      </c>
      <c r="N12941" s="8"/>
      <c r="O12941" s="33" t="str">
        <f>IFERROR(VLOOKUP($M12941,'Informations sur les produits'!$A$3:$H$10000,8,FALSE),"0")</f>
        <v>0</v>
      </c>
      <c r="P12941" s="33">
        <f t="shared" si="808"/>
        <v>0</v>
      </c>
      <c r="Q12941" s="31" t="str">
        <f t="shared" si="809"/>
        <v/>
      </c>
      <c r="R12941" s="32" t="str">
        <f>IFERROR(VLOOKUP($D12941,'Informations sur les produits'!$A$3:$B$15000,2,FALSE),"")</f>
        <v/>
      </c>
      <c r="V12941">
        <f t="shared" si="810"/>
        <v>0</v>
      </c>
      <c r="W12941">
        <f t="shared" si="811"/>
        <v>0</v>
      </c>
    </row>
    <row r="12942" spans="5:23" x14ac:dyDescent="0.25">
      <c r="E12942" s="4"/>
      <c r="F12942" s="4"/>
      <c r="G12942" s="33" t="str">
        <f>IFERROR(VLOOKUP($D12942,'Informations sur les produits'!$A$3:$H$10000,8,FALSE),"0")</f>
        <v>0</v>
      </c>
      <c r="K12942" s="4"/>
      <c r="L12942" s="33" t="str">
        <f>IFERROR(VLOOKUP($J12942,'Informations sur les produits'!$A$3:$H$10000,8,FALSE),"0")</f>
        <v>0</v>
      </c>
      <c r="N12942" s="8"/>
      <c r="O12942" s="33" t="str">
        <f>IFERROR(VLOOKUP($M12942,'Informations sur les produits'!$A$3:$H$10000,8,FALSE),"0")</f>
        <v>0</v>
      </c>
      <c r="P12942" s="33">
        <f t="shared" si="808"/>
        <v>0</v>
      </c>
      <c r="Q12942" s="31" t="str">
        <f t="shared" si="809"/>
        <v/>
      </c>
      <c r="R12942" s="32" t="str">
        <f>IFERROR(VLOOKUP($D12942,'Informations sur les produits'!$A$3:$B$15000,2,FALSE),"")</f>
        <v/>
      </c>
      <c r="V12942">
        <f t="shared" si="810"/>
        <v>0</v>
      </c>
      <c r="W12942">
        <f t="shared" si="811"/>
        <v>0</v>
      </c>
    </row>
    <row r="12943" spans="5:23" x14ac:dyDescent="0.25">
      <c r="E12943" s="4"/>
      <c r="F12943" s="4"/>
      <c r="G12943" s="33" t="str">
        <f>IFERROR(VLOOKUP($D12943,'Informations sur les produits'!$A$3:$H$10000,8,FALSE),"0")</f>
        <v>0</v>
      </c>
      <c r="K12943" s="4"/>
      <c r="L12943" s="33" t="str">
        <f>IFERROR(VLOOKUP($J12943,'Informations sur les produits'!$A$3:$H$10000,8,FALSE),"0")</f>
        <v>0</v>
      </c>
      <c r="N12943" s="8"/>
      <c r="O12943" s="33" t="str">
        <f>IFERROR(VLOOKUP($M12943,'Informations sur les produits'!$A$3:$H$10000,8,FALSE),"0")</f>
        <v>0</v>
      </c>
      <c r="P12943" s="33">
        <f t="shared" si="808"/>
        <v>0</v>
      </c>
      <c r="Q12943" s="31" t="str">
        <f t="shared" si="809"/>
        <v/>
      </c>
      <c r="R12943" s="32" t="str">
        <f>IFERROR(VLOOKUP($D12943,'Informations sur les produits'!$A$3:$B$15000,2,FALSE),"")</f>
        <v/>
      </c>
      <c r="V12943">
        <f t="shared" si="810"/>
        <v>0</v>
      </c>
      <c r="W12943">
        <f t="shared" si="811"/>
        <v>0</v>
      </c>
    </row>
    <row r="12944" spans="5:23" x14ac:dyDescent="0.25">
      <c r="E12944" s="4"/>
      <c r="F12944" s="4"/>
      <c r="G12944" s="33" t="str">
        <f>IFERROR(VLOOKUP($D12944,'Informations sur les produits'!$A$3:$H$10000,8,FALSE),"0")</f>
        <v>0</v>
      </c>
      <c r="K12944" s="4"/>
      <c r="L12944" s="33" t="str">
        <f>IFERROR(VLOOKUP($J12944,'Informations sur les produits'!$A$3:$H$10000,8,FALSE),"0")</f>
        <v>0</v>
      </c>
      <c r="N12944" s="8"/>
      <c r="O12944" s="33" t="str">
        <f>IFERROR(VLOOKUP($M12944,'Informations sur les produits'!$A$3:$H$10000,8,FALSE),"0")</f>
        <v>0</v>
      </c>
      <c r="P12944" s="33">
        <f t="shared" si="808"/>
        <v>0</v>
      </c>
      <c r="Q12944" s="31" t="str">
        <f t="shared" si="809"/>
        <v/>
      </c>
      <c r="R12944" s="32" t="str">
        <f>IFERROR(VLOOKUP($D12944,'Informations sur les produits'!$A$3:$B$15000,2,FALSE),"")</f>
        <v/>
      </c>
      <c r="V12944">
        <f t="shared" si="810"/>
        <v>0</v>
      </c>
      <c r="W12944">
        <f t="shared" si="811"/>
        <v>0</v>
      </c>
    </row>
    <row r="12945" spans="5:23" x14ac:dyDescent="0.25">
      <c r="E12945" s="4"/>
      <c r="F12945" s="4"/>
      <c r="G12945" s="33" t="str">
        <f>IFERROR(VLOOKUP($D12945,'Informations sur les produits'!$A$3:$H$10000,8,FALSE),"0")</f>
        <v>0</v>
      </c>
      <c r="K12945" s="4"/>
      <c r="L12945" s="33" t="str">
        <f>IFERROR(VLOOKUP($J12945,'Informations sur les produits'!$A$3:$H$10000,8,FALSE),"0")</f>
        <v>0</v>
      </c>
      <c r="N12945" s="8"/>
      <c r="O12945" s="33" t="str">
        <f>IFERROR(VLOOKUP($M12945,'Informations sur les produits'!$A$3:$H$10000,8,FALSE),"0")</f>
        <v>0</v>
      </c>
      <c r="P12945" s="33">
        <f t="shared" si="808"/>
        <v>0</v>
      </c>
      <c r="Q12945" s="31" t="str">
        <f t="shared" si="809"/>
        <v/>
      </c>
      <c r="R12945" s="32" t="str">
        <f>IFERROR(VLOOKUP($D12945,'Informations sur les produits'!$A$3:$B$15000,2,FALSE),"")</f>
        <v/>
      </c>
      <c r="V12945">
        <f t="shared" si="810"/>
        <v>0</v>
      </c>
      <c r="W12945">
        <f t="shared" si="811"/>
        <v>0</v>
      </c>
    </row>
    <row r="12946" spans="5:23" x14ac:dyDescent="0.25">
      <c r="E12946" s="4"/>
      <c r="F12946" s="4"/>
      <c r="G12946" s="33" t="str">
        <f>IFERROR(VLOOKUP($D12946,'Informations sur les produits'!$A$3:$H$10000,8,FALSE),"0")</f>
        <v>0</v>
      </c>
      <c r="K12946" s="4"/>
      <c r="L12946" s="33" t="str">
        <f>IFERROR(VLOOKUP($J12946,'Informations sur les produits'!$A$3:$H$10000,8,FALSE),"0")</f>
        <v>0</v>
      </c>
      <c r="N12946" s="8"/>
      <c r="O12946" s="33" t="str">
        <f>IFERROR(VLOOKUP($M12946,'Informations sur les produits'!$A$3:$H$10000,8,FALSE),"0")</f>
        <v>0</v>
      </c>
      <c r="P12946" s="33">
        <f t="shared" si="808"/>
        <v>0</v>
      </c>
      <c r="Q12946" s="31" t="str">
        <f t="shared" si="809"/>
        <v/>
      </c>
      <c r="R12946" s="32" t="str">
        <f>IFERROR(VLOOKUP($D12946,'Informations sur les produits'!$A$3:$B$15000,2,FALSE),"")</f>
        <v/>
      </c>
      <c r="V12946">
        <f t="shared" si="810"/>
        <v>0</v>
      </c>
      <c r="W12946">
        <f t="shared" si="811"/>
        <v>0</v>
      </c>
    </row>
    <row r="12947" spans="5:23" x14ac:dyDescent="0.25">
      <c r="E12947" s="4"/>
      <c r="F12947" s="4"/>
      <c r="G12947" s="33" t="str">
        <f>IFERROR(VLOOKUP($D12947,'Informations sur les produits'!$A$3:$H$10000,8,FALSE),"0")</f>
        <v>0</v>
      </c>
      <c r="K12947" s="4"/>
      <c r="L12947" s="33" t="str">
        <f>IFERROR(VLOOKUP($J12947,'Informations sur les produits'!$A$3:$H$10000,8,FALSE),"0")</f>
        <v>0</v>
      </c>
      <c r="N12947" s="8"/>
      <c r="O12947" s="33" t="str">
        <f>IFERROR(VLOOKUP($M12947,'Informations sur les produits'!$A$3:$H$10000,8,FALSE),"0")</f>
        <v>0</v>
      </c>
      <c r="P12947" s="33">
        <f t="shared" si="808"/>
        <v>0</v>
      </c>
      <c r="Q12947" s="31" t="str">
        <f t="shared" si="809"/>
        <v/>
      </c>
      <c r="R12947" s="32" t="str">
        <f>IFERROR(VLOOKUP($D12947,'Informations sur les produits'!$A$3:$B$15000,2,FALSE),"")</f>
        <v/>
      </c>
      <c r="V12947">
        <f t="shared" si="810"/>
        <v>0</v>
      </c>
      <c r="W12947">
        <f t="shared" si="811"/>
        <v>0</v>
      </c>
    </row>
    <row r="12948" spans="5:23" x14ac:dyDescent="0.25">
      <c r="E12948" s="4"/>
      <c r="F12948" s="4"/>
      <c r="G12948" s="33" t="str">
        <f>IFERROR(VLOOKUP($D12948,'Informations sur les produits'!$A$3:$H$10000,8,FALSE),"0")</f>
        <v>0</v>
      </c>
      <c r="K12948" s="4"/>
      <c r="L12948" s="33" t="str">
        <f>IFERROR(VLOOKUP($J12948,'Informations sur les produits'!$A$3:$H$10000,8,FALSE),"0")</f>
        <v>0</v>
      </c>
      <c r="N12948" s="8"/>
      <c r="O12948" s="33" t="str">
        <f>IFERROR(VLOOKUP($M12948,'Informations sur les produits'!$A$3:$H$10000,8,FALSE),"0")</f>
        <v>0</v>
      </c>
      <c r="P12948" s="33">
        <f t="shared" si="808"/>
        <v>0</v>
      </c>
      <c r="Q12948" s="31" t="str">
        <f t="shared" si="809"/>
        <v/>
      </c>
      <c r="R12948" s="32" t="str">
        <f>IFERROR(VLOOKUP($D12948,'Informations sur les produits'!$A$3:$B$15000,2,FALSE),"")</f>
        <v/>
      </c>
      <c r="V12948">
        <f t="shared" si="810"/>
        <v>0</v>
      </c>
      <c r="W12948">
        <f t="shared" si="811"/>
        <v>0</v>
      </c>
    </row>
    <row r="12949" spans="5:23" x14ac:dyDescent="0.25">
      <c r="E12949" s="4"/>
      <c r="F12949" s="4"/>
      <c r="G12949" s="33" t="str">
        <f>IFERROR(VLOOKUP($D12949,'Informations sur les produits'!$A$3:$H$10000,8,FALSE),"0")</f>
        <v>0</v>
      </c>
      <c r="K12949" s="4"/>
      <c r="L12949" s="33" t="str">
        <f>IFERROR(VLOOKUP($J12949,'Informations sur les produits'!$A$3:$H$10000,8,FALSE),"0")</f>
        <v>0</v>
      </c>
      <c r="N12949" s="8"/>
      <c r="O12949" s="33" t="str">
        <f>IFERROR(VLOOKUP($M12949,'Informations sur les produits'!$A$3:$H$10000,8,FALSE),"0")</f>
        <v>0</v>
      </c>
      <c r="P12949" s="33">
        <f t="shared" si="808"/>
        <v>0</v>
      </c>
      <c r="Q12949" s="31" t="str">
        <f t="shared" si="809"/>
        <v/>
      </c>
      <c r="R12949" s="32" t="str">
        <f>IFERROR(VLOOKUP($D12949,'Informations sur les produits'!$A$3:$B$15000,2,FALSE),"")</f>
        <v/>
      </c>
      <c r="V12949">
        <f t="shared" si="810"/>
        <v>0</v>
      </c>
      <c r="W12949">
        <f t="shared" si="811"/>
        <v>0</v>
      </c>
    </row>
    <row r="12950" spans="5:23" x14ac:dyDescent="0.25">
      <c r="E12950" s="4"/>
      <c r="F12950" s="4"/>
      <c r="G12950" s="33" t="str">
        <f>IFERROR(VLOOKUP($D12950,'Informations sur les produits'!$A$3:$H$10000,8,FALSE),"0")</f>
        <v>0</v>
      </c>
      <c r="K12950" s="4"/>
      <c r="L12950" s="33" t="str">
        <f>IFERROR(VLOOKUP($J12950,'Informations sur les produits'!$A$3:$H$10000,8,FALSE),"0")</f>
        <v>0</v>
      </c>
      <c r="N12950" s="8"/>
      <c r="O12950" s="33" t="str">
        <f>IFERROR(VLOOKUP($M12950,'Informations sur les produits'!$A$3:$H$10000,8,FALSE),"0")</f>
        <v>0</v>
      </c>
      <c r="P12950" s="33">
        <f t="shared" si="808"/>
        <v>0</v>
      </c>
      <c r="Q12950" s="31" t="str">
        <f t="shared" si="809"/>
        <v/>
      </c>
      <c r="R12950" s="32" t="str">
        <f>IFERROR(VLOOKUP($D12950,'Informations sur les produits'!$A$3:$B$15000,2,FALSE),"")</f>
        <v/>
      </c>
      <c r="V12950">
        <f t="shared" si="810"/>
        <v>0</v>
      </c>
      <c r="W12950">
        <f t="shared" si="811"/>
        <v>0</v>
      </c>
    </row>
    <row r="12951" spans="5:23" x14ac:dyDescent="0.25">
      <c r="E12951" s="4"/>
      <c r="F12951" s="4"/>
      <c r="G12951" s="33" t="str">
        <f>IFERROR(VLOOKUP($D12951,'Informations sur les produits'!$A$3:$H$10000,8,FALSE),"0")</f>
        <v>0</v>
      </c>
      <c r="K12951" s="4"/>
      <c r="L12951" s="33" t="str">
        <f>IFERROR(VLOOKUP($J12951,'Informations sur les produits'!$A$3:$H$10000,8,FALSE),"0")</f>
        <v>0</v>
      </c>
      <c r="N12951" s="8"/>
      <c r="O12951" s="33" t="str">
        <f>IFERROR(VLOOKUP($M12951,'Informations sur les produits'!$A$3:$H$10000,8,FALSE),"0")</f>
        <v>0</v>
      </c>
      <c r="P12951" s="33">
        <f t="shared" si="808"/>
        <v>0</v>
      </c>
      <c r="Q12951" s="31" t="str">
        <f t="shared" si="809"/>
        <v/>
      </c>
      <c r="R12951" s="32" t="str">
        <f>IFERROR(VLOOKUP($D12951,'Informations sur les produits'!$A$3:$B$15000,2,FALSE),"")</f>
        <v/>
      </c>
      <c r="V12951">
        <f t="shared" si="810"/>
        <v>0</v>
      </c>
      <c r="W12951">
        <f t="shared" si="811"/>
        <v>0</v>
      </c>
    </row>
    <row r="12952" spans="5:23" x14ac:dyDescent="0.25">
      <c r="E12952" s="4"/>
      <c r="F12952" s="4"/>
      <c r="G12952" s="33" t="str">
        <f>IFERROR(VLOOKUP($D12952,'Informations sur les produits'!$A$3:$H$10000,8,FALSE),"0")</f>
        <v>0</v>
      </c>
      <c r="K12952" s="4"/>
      <c r="L12952" s="33" t="str">
        <f>IFERROR(VLOOKUP($J12952,'Informations sur les produits'!$A$3:$H$10000,8,FALSE),"0")</f>
        <v>0</v>
      </c>
      <c r="N12952" s="8"/>
      <c r="O12952" s="33" t="str">
        <f>IFERROR(VLOOKUP($M12952,'Informations sur les produits'!$A$3:$H$10000,8,FALSE),"0")</f>
        <v>0</v>
      </c>
      <c r="P12952" s="33">
        <f t="shared" si="808"/>
        <v>0</v>
      </c>
      <c r="Q12952" s="31" t="str">
        <f t="shared" si="809"/>
        <v/>
      </c>
      <c r="R12952" s="32" t="str">
        <f>IFERROR(VLOOKUP($D12952,'Informations sur les produits'!$A$3:$B$15000,2,FALSE),"")</f>
        <v/>
      </c>
      <c r="V12952">
        <f t="shared" si="810"/>
        <v>0</v>
      </c>
      <c r="W12952">
        <f t="shared" si="811"/>
        <v>0</v>
      </c>
    </row>
    <row r="12953" spans="5:23" x14ac:dyDescent="0.25">
      <c r="E12953" s="4"/>
      <c r="F12953" s="4"/>
      <c r="G12953" s="33" t="str">
        <f>IFERROR(VLOOKUP($D12953,'Informations sur les produits'!$A$3:$H$10000,8,FALSE),"0")</f>
        <v>0</v>
      </c>
      <c r="K12953" s="4"/>
      <c r="L12953" s="33" t="str">
        <f>IFERROR(VLOOKUP($J12953,'Informations sur les produits'!$A$3:$H$10000,8,FALSE),"0")</f>
        <v>0</v>
      </c>
      <c r="N12953" s="8"/>
      <c r="O12953" s="33" t="str">
        <f>IFERROR(VLOOKUP($M12953,'Informations sur les produits'!$A$3:$H$10000,8,FALSE),"0")</f>
        <v>0</v>
      </c>
      <c r="P12953" s="33">
        <f t="shared" si="808"/>
        <v>0</v>
      </c>
      <c r="Q12953" s="31" t="str">
        <f t="shared" si="809"/>
        <v/>
      </c>
      <c r="R12953" s="32" t="str">
        <f>IFERROR(VLOOKUP($D12953,'Informations sur les produits'!$A$3:$B$15000,2,FALSE),"")</f>
        <v/>
      </c>
      <c r="V12953">
        <f t="shared" si="810"/>
        <v>0</v>
      </c>
      <c r="W12953">
        <f t="shared" si="811"/>
        <v>0</v>
      </c>
    </row>
    <row r="12954" spans="5:23" x14ac:dyDescent="0.25">
      <c r="E12954" s="4"/>
      <c r="F12954" s="4"/>
      <c r="G12954" s="33" t="str">
        <f>IFERROR(VLOOKUP($D12954,'Informations sur les produits'!$A$3:$H$10000,8,FALSE),"0")</f>
        <v>0</v>
      </c>
      <c r="K12954" s="4"/>
      <c r="L12954" s="33" t="str">
        <f>IFERROR(VLOOKUP($J12954,'Informations sur les produits'!$A$3:$H$10000,8,FALSE),"0")</f>
        <v>0</v>
      </c>
      <c r="N12954" s="8"/>
      <c r="O12954" s="33" t="str">
        <f>IFERROR(VLOOKUP($M12954,'Informations sur les produits'!$A$3:$H$10000,8,FALSE),"0")</f>
        <v>0</v>
      </c>
      <c r="P12954" s="33">
        <f t="shared" si="808"/>
        <v>0</v>
      </c>
      <c r="Q12954" s="31" t="str">
        <f t="shared" si="809"/>
        <v/>
      </c>
      <c r="R12954" s="32" t="str">
        <f>IFERROR(VLOOKUP($D12954,'Informations sur les produits'!$A$3:$B$15000,2,FALSE),"")</f>
        <v/>
      </c>
      <c r="V12954">
        <f t="shared" si="810"/>
        <v>0</v>
      </c>
      <c r="W12954">
        <f t="shared" si="811"/>
        <v>0</v>
      </c>
    </row>
    <row r="12955" spans="5:23" x14ac:dyDescent="0.25">
      <c r="E12955" s="4"/>
      <c r="F12955" s="4"/>
      <c r="G12955" s="33" t="str">
        <f>IFERROR(VLOOKUP($D12955,'Informations sur les produits'!$A$3:$H$10000,8,FALSE),"0")</f>
        <v>0</v>
      </c>
      <c r="K12955" s="4"/>
      <c r="L12955" s="33" t="str">
        <f>IFERROR(VLOOKUP($J12955,'Informations sur les produits'!$A$3:$H$10000,8,FALSE),"0")</f>
        <v>0</v>
      </c>
      <c r="N12955" s="8"/>
      <c r="O12955" s="33" t="str">
        <f>IFERROR(VLOOKUP($M12955,'Informations sur les produits'!$A$3:$H$10000,8,FALSE),"0")</f>
        <v>0</v>
      </c>
      <c r="P12955" s="33">
        <f t="shared" si="808"/>
        <v>0</v>
      </c>
      <c r="Q12955" s="31" t="str">
        <f t="shared" si="809"/>
        <v/>
      </c>
      <c r="R12955" s="32" t="str">
        <f>IFERROR(VLOOKUP($D12955,'Informations sur les produits'!$A$3:$B$15000,2,FALSE),"")</f>
        <v/>
      </c>
      <c r="V12955">
        <f t="shared" si="810"/>
        <v>0</v>
      </c>
      <c r="W12955">
        <f t="shared" si="811"/>
        <v>0</v>
      </c>
    </row>
    <row r="12956" spans="5:23" x14ac:dyDescent="0.25">
      <c r="E12956" s="4"/>
      <c r="F12956" s="4"/>
      <c r="G12956" s="33" t="str">
        <f>IFERROR(VLOOKUP($D12956,'Informations sur les produits'!$A$3:$H$10000,8,FALSE),"0")</f>
        <v>0</v>
      </c>
      <c r="K12956" s="4"/>
      <c r="L12956" s="33" t="str">
        <f>IFERROR(VLOOKUP($J12956,'Informations sur les produits'!$A$3:$H$10000,8,FALSE),"0")</f>
        <v>0</v>
      </c>
      <c r="N12956" s="8"/>
      <c r="O12956" s="33" t="str">
        <f>IFERROR(VLOOKUP($M12956,'Informations sur les produits'!$A$3:$H$10000,8,FALSE),"0")</f>
        <v>0</v>
      </c>
      <c r="P12956" s="33">
        <f t="shared" si="808"/>
        <v>0</v>
      </c>
      <c r="Q12956" s="31" t="str">
        <f t="shared" si="809"/>
        <v/>
      </c>
      <c r="R12956" s="32" t="str">
        <f>IFERROR(VLOOKUP($D12956,'Informations sur les produits'!$A$3:$B$15000,2,FALSE),"")</f>
        <v/>
      </c>
      <c r="V12956">
        <f t="shared" si="810"/>
        <v>0</v>
      </c>
      <c r="W12956">
        <f t="shared" si="811"/>
        <v>0</v>
      </c>
    </row>
    <row r="12957" spans="5:23" x14ac:dyDescent="0.25">
      <c r="E12957" s="4"/>
      <c r="F12957" s="4"/>
      <c r="G12957" s="33" t="str">
        <f>IFERROR(VLOOKUP($D12957,'Informations sur les produits'!$A$3:$H$10000,8,FALSE),"0")</f>
        <v>0</v>
      </c>
      <c r="K12957" s="4"/>
      <c r="L12957" s="33" t="str">
        <f>IFERROR(VLOOKUP($J12957,'Informations sur les produits'!$A$3:$H$10000,8,FALSE),"0")</f>
        <v>0</v>
      </c>
      <c r="N12957" s="8"/>
      <c r="O12957" s="33" t="str">
        <f>IFERROR(VLOOKUP($M12957,'Informations sur les produits'!$A$3:$H$10000,8,FALSE),"0")</f>
        <v>0</v>
      </c>
      <c r="P12957" s="33">
        <f t="shared" si="808"/>
        <v>0</v>
      </c>
      <c r="Q12957" s="31" t="str">
        <f t="shared" si="809"/>
        <v/>
      </c>
      <c r="R12957" s="32" t="str">
        <f>IFERROR(VLOOKUP($D12957,'Informations sur les produits'!$A$3:$B$15000,2,FALSE),"")</f>
        <v/>
      </c>
      <c r="V12957">
        <f t="shared" si="810"/>
        <v>0</v>
      </c>
      <c r="W12957">
        <f t="shared" si="811"/>
        <v>0</v>
      </c>
    </row>
    <row r="12958" spans="5:23" x14ac:dyDescent="0.25">
      <c r="E12958" s="4"/>
      <c r="F12958" s="4"/>
      <c r="G12958" s="33" t="str">
        <f>IFERROR(VLOOKUP($D12958,'Informations sur les produits'!$A$3:$H$10000,8,FALSE),"0")</f>
        <v>0</v>
      </c>
      <c r="K12958" s="4"/>
      <c r="L12958" s="33" t="str">
        <f>IFERROR(VLOOKUP($J12958,'Informations sur les produits'!$A$3:$H$10000,8,FALSE),"0")</f>
        <v>0</v>
      </c>
      <c r="N12958" s="8"/>
      <c r="O12958" s="33" t="str">
        <f>IFERROR(VLOOKUP($M12958,'Informations sur les produits'!$A$3:$H$10000,8,FALSE),"0")</f>
        <v>0</v>
      </c>
      <c r="P12958" s="33">
        <f t="shared" si="808"/>
        <v>0</v>
      </c>
      <c r="Q12958" s="31" t="str">
        <f t="shared" si="809"/>
        <v/>
      </c>
      <c r="R12958" s="32" t="str">
        <f>IFERROR(VLOOKUP($D12958,'Informations sur les produits'!$A$3:$B$15000,2,FALSE),"")</f>
        <v/>
      </c>
      <c r="V12958">
        <f t="shared" si="810"/>
        <v>0</v>
      </c>
      <c r="W12958">
        <f t="shared" si="811"/>
        <v>0</v>
      </c>
    </row>
    <row r="12959" spans="5:23" x14ac:dyDescent="0.25">
      <c r="E12959" s="4"/>
      <c r="F12959" s="4"/>
      <c r="G12959" s="33" t="str">
        <f>IFERROR(VLOOKUP($D12959,'Informations sur les produits'!$A$3:$H$10000,8,FALSE),"0")</f>
        <v>0</v>
      </c>
      <c r="K12959" s="4"/>
      <c r="L12959" s="33" t="str">
        <f>IFERROR(VLOOKUP($J12959,'Informations sur les produits'!$A$3:$H$10000,8,FALSE),"0")</f>
        <v>0</v>
      </c>
      <c r="N12959" s="8"/>
      <c r="O12959" s="33" t="str">
        <f>IFERROR(VLOOKUP($M12959,'Informations sur les produits'!$A$3:$H$10000,8,FALSE),"0")</f>
        <v>0</v>
      </c>
      <c r="P12959" s="33">
        <f t="shared" si="808"/>
        <v>0</v>
      </c>
      <c r="Q12959" s="31" t="str">
        <f t="shared" si="809"/>
        <v/>
      </c>
      <c r="R12959" s="32" t="str">
        <f>IFERROR(VLOOKUP($D12959,'Informations sur les produits'!$A$3:$B$15000,2,FALSE),"")</f>
        <v/>
      </c>
      <c r="V12959">
        <f t="shared" si="810"/>
        <v>0</v>
      </c>
      <c r="W12959">
        <f t="shared" si="811"/>
        <v>0</v>
      </c>
    </row>
    <row r="12960" spans="5:23" x14ac:dyDescent="0.25">
      <c r="E12960" s="4"/>
      <c r="F12960" s="4"/>
      <c r="G12960" s="33" t="str">
        <f>IFERROR(VLOOKUP($D12960,'Informations sur les produits'!$A$3:$H$10000,8,FALSE),"0")</f>
        <v>0</v>
      </c>
      <c r="K12960" s="4"/>
      <c r="L12960" s="33" t="str">
        <f>IFERROR(VLOOKUP($J12960,'Informations sur les produits'!$A$3:$H$10000,8,FALSE),"0")</f>
        <v>0</v>
      </c>
      <c r="N12960" s="8"/>
      <c r="O12960" s="33" t="str">
        <f>IFERROR(VLOOKUP($M12960,'Informations sur les produits'!$A$3:$H$10000,8,FALSE),"0")</f>
        <v>0</v>
      </c>
      <c r="P12960" s="33">
        <f t="shared" si="808"/>
        <v>0</v>
      </c>
      <c r="Q12960" s="31" t="str">
        <f t="shared" si="809"/>
        <v/>
      </c>
      <c r="R12960" s="32" t="str">
        <f>IFERROR(VLOOKUP($D12960,'Informations sur les produits'!$A$3:$B$15000,2,FALSE),"")</f>
        <v/>
      </c>
      <c r="V12960">
        <f t="shared" si="810"/>
        <v>0</v>
      </c>
      <c r="W12960">
        <f t="shared" si="811"/>
        <v>0</v>
      </c>
    </row>
    <row r="12961" spans="5:23" x14ac:dyDescent="0.25">
      <c r="E12961" s="4"/>
      <c r="F12961" s="4"/>
      <c r="G12961" s="33" t="str">
        <f>IFERROR(VLOOKUP($D12961,'Informations sur les produits'!$A$3:$H$10000,8,FALSE),"0")</f>
        <v>0</v>
      </c>
      <c r="K12961" s="4"/>
      <c r="L12961" s="33" t="str">
        <f>IFERROR(VLOOKUP($J12961,'Informations sur les produits'!$A$3:$H$10000,8,FALSE),"0")</f>
        <v>0</v>
      </c>
      <c r="N12961" s="8"/>
      <c r="O12961" s="33" t="str">
        <f>IFERROR(VLOOKUP($M12961,'Informations sur les produits'!$A$3:$H$10000,8,FALSE),"0")</f>
        <v>0</v>
      </c>
      <c r="P12961" s="33">
        <f t="shared" si="808"/>
        <v>0</v>
      </c>
      <c r="Q12961" s="31" t="str">
        <f t="shared" si="809"/>
        <v/>
      </c>
      <c r="R12961" s="32" t="str">
        <f>IFERROR(VLOOKUP($D12961,'Informations sur les produits'!$A$3:$B$15000,2,FALSE),"")</f>
        <v/>
      </c>
      <c r="V12961">
        <f t="shared" si="810"/>
        <v>0</v>
      </c>
      <c r="W12961">
        <f t="shared" si="811"/>
        <v>0</v>
      </c>
    </row>
    <row r="12962" spans="5:23" x14ac:dyDescent="0.25">
      <c r="E12962" s="4"/>
      <c r="F12962" s="4"/>
      <c r="G12962" s="33" t="str">
        <f>IFERROR(VLOOKUP($D12962,'Informations sur les produits'!$A$3:$H$10000,8,FALSE),"0")</f>
        <v>0</v>
      </c>
      <c r="K12962" s="4"/>
      <c r="L12962" s="33" t="str">
        <f>IFERROR(VLOOKUP($J12962,'Informations sur les produits'!$A$3:$H$10000,8,FALSE),"0")</f>
        <v>0</v>
      </c>
      <c r="N12962" s="8"/>
      <c r="O12962" s="33" t="str">
        <f>IFERROR(VLOOKUP($M12962,'Informations sur les produits'!$A$3:$H$10000,8,FALSE),"0")</f>
        <v>0</v>
      </c>
      <c r="P12962" s="33">
        <f t="shared" si="808"/>
        <v>0</v>
      </c>
      <c r="Q12962" s="31" t="str">
        <f t="shared" si="809"/>
        <v/>
      </c>
      <c r="R12962" s="32" t="str">
        <f>IFERROR(VLOOKUP($D12962,'Informations sur les produits'!$A$3:$B$15000,2,FALSE),"")</f>
        <v/>
      </c>
      <c r="V12962">
        <f t="shared" si="810"/>
        <v>0</v>
      </c>
      <c r="W12962">
        <f t="shared" si="811"/>
        <v>0</v>
      </c>
    </row>
    <row r="12963" spans="5:23" x14ac:dyDescent="0.25">
      <c r="E12963" s="4"/>
      <c r="F12963" s="4"/>
      <c r="G12963" s="33" t="str">
        <f>IFERROR(VLOOKUP($D12963,'Informations sur les produits'!$A$3:$H$10000,8,FALSE),"0")</f>
        <v>0</v>
      </c>
      <c r="K12963" s="4"/>
      <c r="L12963" s="33" t="str">
        <f>IFERROR(VLOOKUP($J12963,'Informations sur les produits'!$A$3:$H$10000,8,FALSE),"0")</f>
        <v>0</v>
      </c>
      <c r="N12963" s="8"/>
      <c r="O12963" s="33" t="str">
        <f>IFERROR(VLOOKUP($M12963,'Informations sur les produits'!$A$3:$H$10000,8,FALSE),"0")</f>
        <v>0</v>
      </c>
      <c r="P12963" s="33">
        <f t="shared" si="808"/>
        <v>0</v>
      </c>
      <c r="Q12963" s="31" t="str">
        <f t="shared" si="809"/>
        <v/>
      </c>
      <c r="R12963" s="32" t="str">
        <f>IFERROR(VLOOKUP($D12963,'Informations sur les produits'!$A$3:$B$15000,2,FALSE),"")</f>
        <v/>
      </c>
      <c r="V12963">
        <f t="shared" si="810"/>
        <v>0</v>
      </c>
      <c r="W12963">
        <f t="shared" si="811"/>
        <v>0</v>
      </c>
    </row>
    <row r="12964" spans="5:23" x14ac:dyDescent="0.25">
      <c r="E12964" s="4"/>
      <c r="F12964" s="4"/>
      <c r="G12964" s="33" t="str">
        <f>IFERROR(VLOOKUP($D12964,'Informations sur les produits'!$A$3:$H$10000,8,FALSE),"0")</f>
        <v>0</v>
      </c>
      <c r="K12964" s="4"/>
      <c r="L12964" s="33" t="str">
        <f>IFERROR(VLOOKUP($J12964,'Informations sur les produits'!$A$3:$H$10000,8,FALSE),"0")</f>
        <v>0</v>
      </c>
      <c r="N12964" s="8"/>
      <c r="O12964" s="33" t="str">
        <f>IFERROR(VLOOKUP($M12964,'Informations sur les produits'!$A$3:$H$10000,8,FALSE),"0")</f>
        <v>0</v>
      </c>
      <c r="P12964" s="33">
        <f t="shared" si="808"/>
        <v>0</v>
      </c>
      <c r="Q12964" s="31" t="str">
        <f t="shared" si="809"/>
        <v/>
      </c>
      <c r="R12964" s="32" t="str">
        <f>IFERROR(VLOOKUP($D12964,'Informations sur les produits'!$A$3:$B$15000,2,FALSE),"")</f>
        <v/>
      </c>
      <c r="V12964">
        <f t="shared" si="810"/>
        <v>0</v>
      </c>
      <c r="W12964">
        <f t="shared" si="811"/>
        <v>0</v>
      </c>
    </row>
    <row r="12965" spans="5:23" x14ac:dyDescent="0.25">
      <c r="E12965" s="4"/>
      <c r="F12965" s="4"/>
      <c r="G12965" s="33" t="str">
        <f>IFERROR(VLOOKUP($D12965,'Informations sur les produits'!$A$3:$H$10000,8,FALSE),"0")</f>
        <v>0</v>
      </c>
      <c r="K12965" s="4"/>
      <c r="L12965" s="33" t="str">
        <f>IFERROR(VLOOKUP($J12965,'Informations sur les produits'!$A$3:$H$10000,8,FALSE),"0")</f>
        <v>0</v>
      </c>
      <c r="N12965" s="8"/>
      <c r="O12965" s="33" t="str">
        <f>IFERROR(VLOOKUP($M12965,'Informations sur les produits'!$A$3:$H$10000,8,FALSE),"0")</f>
        <v>0</v>
      </c>
      <c r="P12965" s="33">
        <f t="shared" si="808"/>
        <v>0</v>
      </c>
      <c r="Q12965" s="31" t="str">
        <f t="shared" si="809"/>
        <v/>
      </c>
      <c r="R12965" s="32" t="str">
        <f>IFERROR(VLOOKUP($D12965,'Informations sur les produits'!$A$3:$B$15000,2,FALSE),"")</f>
        <v/>
      </c>
      <c r="V12965">
        <f t="shared" si="810"/>
        <v>0</v>
      </c>
      <c r="W12965">
        <f t="shared" si="811"/>
        <v>0</v>
      </c>
    </row>
    <row r="12966" spans="5:23" x14ac:dyDescent="0.25">
      <c r="E12966" s="4"/>
      <c r="F12966" s="4"/>
      <c r="G12966" s="33" t="str">
        <f>IFERROR(VLOOKUP($D12966,'Informations sur les produits'!$A$3:$H$10000,8,FALSE),"0")</f>
        <v>0</v>
      </c>
      <c r="K12966" s="4"/>
      <c r="L12966" s="33" t="str">
        <f>IFERROR(VLOOKUP($J12966,'Informations sur les produits'!$A$3:$H$10000,8,FALSE),"0")</f>
        <v>0</v>
      </c>
      <c r="N12966" s="8"/>
      <c r="O12966" s="33" t="str">
        <f>IFERROR(VLOOKUP($M12966,'Informations sur les produits'!$A$3:$H$10000,8,FALSE),"0")</f>
        <v>0</v>
      </c>
      <c r="P12966" s="33">
        <f t="shared" si="808"/>
        <v>0</v>
      </c>
      <c r="Q12966" s="31" t="str">
        <f t="shared" si="809"/>
        <v/>
      </c>
      <c r="R12966" s="32" t="str">
        <f>IFERROR(VLOOKUP($D12966,'Informations sur les produits'!$A$3:$B$15000,2,FALSE),"")</f>
        <v/>
      </c>
      <c r="V12966">
        <f t="shared" si="810"/>
        <v>0</v>
      </c>
      <c r="W12966">
        <f t="shared" si="811"/>
        <v>0</v>
      </c>
    </row>
    <row r="12967" spans="5:23" x14ac:dyDescent="0.25">
      <c r="E12967" s="4"/>
      <c r="F12967" s="4"/>
      <c r="G12967" s="33" t="str">
        <f>IFERROR(VLOOKUP($D12967,'Informations sur les produits'!$A$3:$H$10000,8,FALSE),"0")</f>
        <v>0</v>
      </c>
      <c r="K12967" s="4"/>
      <c r="L12967" s="33" t="str">
        <f>IFERROR(VLOOKUP($J12967,'Informations sur les produits'!$A$3:$H$10000,8,FALSE),"0")</f>
        <v>0</v>
      </c>
      <c r="N12967" s="8"/>
      <c r="O12967" s="33" t="str">
        <f>IFERROR(VLOOKUP($M12967,'Informations sur les produits'!$A$3:$H$10000,8,FALSE),"0")</f>
        <v>0</v>
      </c>
      <c r="P12967" s="33">
        <f t="shared" si="808"/>
        <v>0</v>
      </c>
      <c r="Q12967" s="31" t="str">
        <f t="shared" si="809"/>
        <v/>
      </c>
      <c r="R12967" s="32" t="str">
        <f>IFERROR(VLOOKUP($D12967,'Informations sur les produits'!$A$3:$B$15000,2,FALSE),"")</f>
        <v/>
      </c>
      <c r="V12967">
        <f t="shared" si="810"/>
        <v>0</v>
      </c>
      <c r="W12967">
        <f t="shared" si="811"/>
        <v>0</v>
      </c>
    </row>
    <row r="12968" spans="5:23" x14ac:dyDescent="0.25">
      <c r="E12968" s="4"/>
      <c r="F12968" s="4"/>
      <c r="G12968" s="33" t="str">
        <f>IFERROR(VLOOKUP($D12968,'Informations sur les produits'!$A$3:$H$10000,8,FALSE),"0")</f>
        <v>0</v>
      </c>
      <c r="K12968" s="4"/>
      <c r="L12968" s="33" t="str">
        <f>IFERROR(VLOOKUP($J12968,'Informations sur les produits'!$A$3:$H$10000,8,FALSE),"0")</f>
        <v>0</v>
      </c>
      <c r="N12968" s="8"/>
      <c r="O12968" s="33" t="str">
        <f>IFERROR(VLOOKUP($M12968,'Informations sur les produits'!$A$3:$H$10000,8,FALSE),"0")</f>
        <v>0</v>
      </c>
      <c r="P12968" s="33">
        <f t="shared" si="808"/>
        <v>0</v>
      </c>
      <c r="Q12968" s="31" t="str">
        <f t="shared" si="809"/>
        <v/>
      </c>
      <c r="R12968" s="32" t="str">
        <f>IFERROR(VLOOKUP($D12968,'Informations sur les produits'!$A$3:$B$15000,2,FALSE),"")</f>
        <v/>
      </c>
      <c r="V12968">
        <f t="shared" si="810"/>
        <v>0</v>
      </c>
      <c r="W12968">
        <f t="shared" si="811"/>
        <v>0</v>
      </c>
    </row>
    <row r="12969" spans="5:23" x14ac:dyDescent="0.25">
      <c r="E12969" s="4"/>
      <c r="F12969" s="4"/>
      <c r="G12969" s="33" t="str">
        <f>IFERROR(VLOOKUP($D12969,'Informations sur les produits'!$A$3:$H$10000,8,FALSE),"0")</f>
        <v>0</v>
      </c>
      <c r="K12969" s="4"/>
      <c r="L12969" s="33" t="str">
        <f>IFERROR(VLOOKUP($J12969,'Informations sur les produits'!$A$3:$H$10000,8,FALSE),"0")</f>
        <v>0</v>
      </c>
      <c r="N12969" s="8"/>
      <c r="O12969" s="33" t="str">
        <f>IFERROR(VLOOKUP($M12969,'Informations sur les produits'!$A$3:$H$10000,8,FALSE),"0")</f>
        <v>0</v>
      </c>
      <c r="P12969" s="33">
        <f t="shared" si="808"/>
        <v>0</v>
      </c>
      <c r="Q12969" s="31" t="str">
        <f t="shared" si="809"/>
        <v/>
      </c>
      <c r="R12969" s="32" t="str">
        <f>IFERROR(VLOOKUP($D12969,'Informations sur les produits'!$A$3:$B$15000,2,FALSE),"")</f>
        <v/>
      </c>
      <c r="V12969">
        <f t="shared" si="810"/>
        <v>0</v>
      </c>
      <c r="W12969">
        <f t="shared" si="811"/>
        <v>0</v>
      </c>
    </row>
    <row r="12970" spans="5:23" x14ac:dyDescent="0.25">
      <c r="E12970" s="4"/>
      <c r="F12970" s="4"/>
      <c r="G12970" s="33" t="str">
        <f>IFERROR(VLOOKUP($D12970,'Informations sur les produits'!$A$3:$H$10000,8,FALSE),"0")</f>
        <v>0</v>
      </c>
      <c r="K12970" s="4"/>
      <c r="L12970" s="33" t="str">
        <f>IFERROR(VLOOKUP($J12970,'Informations sur les produits'!$A$3:$H$10000,8,FALSE),"0")</f>
        <v>0</v>
      </c>
      <c r="N12970" s="8"/>
      <c r="O12970" s="33" t="str">
        <f>IFERROR(VLOOKUP($M12970,'Informations sur les produits'!$A$3:$H$10000,8,FALSE),"0")</f>
        <v>0</v>
      </c>
      <c r="P12970" s="33">
        <f t="shared" si="808"/>
        <v>0</v>
      </c>
      <c r="Q12970" s="31" t="str">
        <f t="shared" si="809"/>
        <v/>
      </c>
      <c r="R12970" s="32" t="str">
        <f>IFERROR(VLOOKUP($D12970,'Informations sur les produits'!$A$3:$B$15000,2,FALSE),"")</f>
        <v/>
      </c>
      <c r="V12970">
        <f t="shared" si="810"/>
        <v>0</v>
      </c>
      <c r="W12970">
        <f t="shared" si="811"/>
        <v>0</v>
      </c>
    </row>
    <row r="12971" spans="5:23" x14ac:dyDescent="0.25">
      <c r="E12971" s="4"/>
      <c r="F12971" s="4"/>
      <c r="G12971" s="33" t="str">
        <f>IFERROR(VLOOKUP($D12971,'Informations sur les produits'!$A$3:$H$10000,8,FALSE),"0")</f>
        <v>0</v>
      </c>
      <c r="K12971" s="4"/>
      <c r="L12971" s="33" t="str">
        <f>IFERROR(VLOOKUP($J12971,'Informations sur les produits'!$A$3:$H$10000,8,FALSE),"0")</f>
        <v>0</v>
      </c>
      <c r="N12971" s="8"/>
      <c r="O12971" s="33" t="str">
        <f>IFERROR(VLOOKUP($M12971,'Informations sur les produits'!$A$3:$H$10000,8,FALSE),"0")</f>
        <v>0</v>
      </c>
      <c r="P12971" s="33">
        <f t="shared" si="808"/>
        <v>0</v>
      </c>
      <c r="Q12971" s="31" t="str">
        <f t="shared" si="809"/>
        <v/>
      </c>
      <c r="R12971" s="32" t="str">
        <f>IFERROR(VLOOKUP($D12971,'Informations sur les produits'!$A$3:$B$15000,2,FALSE),"")</f>
        <v/>
      </c>
      <c r="V12971">
        <f t="shared" si="810"/>
        <v>0</v>
      </c>
      <c r="W12971">
        <f t="shared" si="811"/>
        <v>0</v>
      </c>
    </row>
    <row r="12972" spans="5:23" x14ac:dyDescent="0.25">
      <c r="E12972" s="4"/>
      <c r="F12972" s="4"/>
      <c r="G12972" s="33" t="str">
        <f>IFERROR(VLOOKUP($D12972,'Informations sur les produits'!$A$3:$H$10000,8,FALSE),"0")</f>
        <v>0</v>
      </c>
      <c r="K12972" s="4"/>
      <c r="L12972" s="33" t="str">
        <f>IFERROR(VLOOKUP($J12972,'Informations sur les produits'!$A$3:$H$10000,8,FALSE),"0")</f>
        <v>0</v>
      </c>
      <c r="N12972" s="8"/>
      <c r="O12972" s="33" t="str">
        <f>IFERROR(VLOOKUP($M12972,'Informations sur les produits'!$A$3:$H$10000,8,FALSE),"0")</f>
        <v>0</v>
      </c>
      <c r="P12972" s="33">
        <f t="shared" si="808"/>
        <v>0</v>
      </c>
      <c r="Q12972" s="31" t="str">
        <f t="shared" si="809"/>
        <v/>
      </c>
      <c r="R12972" s="32" t="str">
        <f>IFERROR(VLOOKUP($D12972,'Informations sur les produits'!$A$3:$B$15000,2,FALSE),"")</f>
        <v/>
      </c>
      <c r="V12972">
        <f t="shared" si="810"/>
        <v>0</v>
      </c>
      <c r="W12972">
        <f t="shared" si="811"/>
        <v>0</v>
      </c>
    </row>
    <row r="12973" spans="5:23" x14ac:dyDescent="0.25">
      <c r="E12973" s="4"/>
      <c r="F12973" s="4"/>
      <c r="G12973" s="33" t="str">
        <f>IFERROR(VLOOKUP($D12973,'Informations sur les produits'!$A$3:$H$10000,8,FALSE),"0")</f>
        <v>0</v>
      </c>
      <c r="K12973" s="4"/>
      <c r="L12973" s="33" t="str">
        <f>IFERROR(VLOOKUP($J12973,'Informations sur les produits'!$A$3:$H$10000,8,FALSE),"0")</f>
        <v>0</v>
      </c>
      <c r="N12973" s="8"/>
      <c r="O12973" s="33" t="str">
        <f>IFERROR(VLOOKUP($M12973,'Informations sur les produits'!$A$3:$H$10000,8,FALSE),"0")</f>
        <v>0</v>
      </c>
      <c r="P12973" s="33">
        <f t="shared" si="808"/>
        <v>0</v>
      </c>
      <c r="Q12973" s="31" t="str">
        <f t="shared" si="809"/>
        <v/>
      </c>
      <c r="R12973" s="32" t="str">
        <f>IFERROR(VLOOKUP($D12973,'Informations sur les produits'!$A$3:$B$15000,2,FALSE),"")</f>
        <v/>
      </c>
      <c r="V12973">
        <f t="shared" si="810"/>
        <v>0</v>
      </c>
      <c r="W12973">
        <f t="shared" si="811"/>
        <v>0</v>
      </c>
    </row>
    <row r="12974" spans="5:23" x14ac:dyDescent="0.25">
      <c r="E12974" s="4"/>
      <c r="F12974" s="4"/>
      <c r="G12974" s="33" t="str">
        <f>IFERROR(VLOOKUP($D12974,'Informations sur les produits'!$A$3:$H$10000,8,FALSE),"0")</f>
        <v>0</v>
      </c>
      <c r="K12974" s="4"/>
      <c r="L12974" s="33" t="str">
        <f>IFERROR(VLOOKUP($J12974,'Informations sur les produits'!$A$3:$H$10000,8,FALSE),"0")</f>
        <v>0</v>
      </c>
      <c r="N12974" s="8"/>
      <c r="O12974" s="33" t="str">
        <f>IFERROR(VLOOKUP($M12974,'Informations sur les produits'!$A$3:$H$10000,8,FALSE),"0")</f>
        <v>0</v>
      </c>
      <c r="P12974" s="33">
        <f t="shared" si="808"/>
        <v>0</v>
      </c>
      <c r="Q12974" s="31" t="str">
        <f t="shared" si="809"/>
        <v/>
      </c>
      <c r="R12974" s="32" t="str">
        <f>IFERROR(VLOOKUP($D12974,'Informations sur les produits'!$A$3:$B$15000,2,FALSE),"")</f>
        <v/>
      </c>
      <c r="V12974">
        <f t="shared" si="810"/>
        <v>0</v>
      </c>
      <c r="W12974">
        <f t="shared" si="811"/>
        <v>0</v>
      </c>
    </row>
    <row r="12975" spans="5:23" x14ac:dyDescent="0.25">
      <c r="E12975" s="4"/>
      <c r="F12975" s="4"/>
      <c r="G12975" s="33" t="str">
        <f>IFERROR(VLOOKUP($D12975,'Informations sur les produits'!$A$3:$H$10000,8,FALSE),"0")</f>
        <v>0</v>
      </c>
      <c r="K12975" s="4"/>
      <c r="L12975" s="33" t="str">
        <f>IFERROR(VLOOKUP($J12975,'Informations sur les produits'!$A$3:$H$10000,8,FALSE),"0")</f>
        <v>0</v>
      </c>
      <c r="N12975" s="8"/>
      <c r="O12975" s="33" t="str">
        <f>IFERROR(VLOOKUP($M12975,'Informations sur les produits'!$A$3:$H$10000,8,FALSE),"0")</f>
        <v>0</v>
      </c>
      <c r="P12975" s="33">
        <f t="shared" si="808"/>
        <v>0</v>
      </c>
      <c r="Q12975" s="31" t="str">
        <f t="shared" si="809"/>
        <v/>
      </c>
      <c r="R12975" s="32" t="str">
        <f>IFERROR(VLOOKUP($D12975,'Informations sur les produits'!$A$3:$B$15000,2,FALSE),"")</f>
        <v/>
      </c>
      <c r="V12975">
        <f t="shared" si="810"/>
        <v>0</v>
      </c>
      <c r="W12975">
        <f t="shared" si="811"/>
        <v>0</v>
      </c>
    </row>
    <row r="12976" spans="5:23" x14ac:dyDescent="0.25">
      <c r="E12976" s="4"/>
      <c r="F12976" s="4"/>
      <c r="G12976" s="33" t="str">
        <f>IFERROR(VLOOKUP($D12976,'Informations sur les produits'!$A$3:$H$10000,8,FALSE),"0")</f>
        <v>0</v>
      </c>
      <c r="K12976" s="4"/>
      <c r="L12976" s="33" t="str">
        <f>IFERROR(VLOOKUP($J12976,'Informations sur les produits'!$A$3:$H$10000,8,FALSE),"0")</f>
        <v>0</v>
      </c>
      <c r="N12976" s="8"/>
      <c r="O12976" s="33" t="str">
        <f>IFERROR(VLOOKUP($M12976,'Informations sur les produits'!$A$3:$H$10000,8,FALSE),"0")</f>
        <v>0</v>
      </c>
      <c r="P12976" s="33">
        <f t="shared" si="808"/>
        <v>0</v>
      </c>
      <c r="Q12976" s="31" t="str">
        <f t="shared" si="809"/>
        <v/>
      </c>
      <c r="R12976" s="32" t="str">
        <f>IFERROR(VLOOKUP($D12976,'Informations sur les produits'!$A$3:$B$15000,2,FALSE),"")</f>
        <v/>
      </c>
      <c r="V12976">
        <f t="shared" si="810"/>
        <v>0</v>
      </c>
      <c r="W12976">
        <f t="shared" si="811"/>
        <v>0</v>
      </c>
    </row>
    <row r="12977" spans="5:23" x14ac:dyDescent="0.25">
      <c r="E12977" s="4"/>
      <c r="F12977" s="4"/>
      <c r="G12977" s="33" t="str">
        <f>IFERROR(VLOOKUP($D12977,'Informations sur les produits'!$A$3:$H$10000,8,FALSE),"0")</f>
        <v>0</v>
      </c>
      <c r="K12977" s="4"/>
      <c r="L12977" s="33" t="str">
        <f>IFERROR(VLOOKUP($J12977,'Informations sur les produits'!$A$3:$H$10000,8,FALSE),"0")</f>
        <v>0</v>
      </c>
      <c r="N12977" s="8"/>
      <c r="O12977" s="33" t="str">
        <f>IFERROR(VLOOKUP($M12977,'Informations sur les produits'!$A$3:$H$10000,8,FALSE),"0")</f>
        <v>0</v>
      </c>
      <c r="P12977" s="33">
        <f t="shared" si="808"/>
        <v>0</v>
      </c>
      <c r="Q12977" s="31" t="str">
        <f t="shared" si="809"/>
        <v/>
      </c>
      <c r="R12977" s="32" t="str">
        <f>IFERROR(VLOOKUP($D12977,'Informations sur les produits'!$A$3:$B$15000,2,FALSE),"")</f>
        <v/>
      </c>
      <c r="V12977">
        <f t="shared" si="810"/>
        <v>0</v>
      </c>
      <c r="W12977">
        <f t="shared" si="811"/>
        <v>0</v>
      </c>
    </row>
    <row r="12978" spans="5:23" x14ac:dyDescent="0.25">
      <c r="E12978" s="4"/>
      <c r="F12978" s="4"/>
      <c r="G12978" s="33" t="str">
        <f>IFERROR(VLOOKUP($D12978,'Informations sur les produits'!$A$3:$H$10000,8,FALSE),"0")</f>
        <v>0</v>
      </c>
      <c r="K12978" s="4"/>
      <c r="L12978" s="33" t="str">
        <f>IFERROR(VLOOKUP($J12978,'Informations sur les produits'!$A$3:$H$10000,8,FALSE),"0")</f>
        <v>0</v>
      </c>
      <c r="N12978" s="8"/>
      <c r="O12978" s="33" t="str">
        <f>IFERROR(VLOOKUP($M12978,'Informations sur les produits'!$A$3:$H$10000,8,FALSE),"0")</f>
        <v>0</v>
      </c>
      <c r="P12978" s="33">
        <f t="shared" si="808"/>
        <v>0</v>
      </c>
      <c r="Q12978" s="31" t="str">
        <f t="shared" si="809"/>
        <v/>
      </c>
      <c r="R12978" s="32" t="str">
        <f>IFERROR(VLOOKUP($D12978,'Informations sur les produits'!$A$3:$B$15000,2,FALSE),"")</f>
        <v/>
      </c>
      <c r="V12978">
        <f t="shared" si="810"/>
        <v>0</v>
      </c>
      <c r="W12978">
        <f t="shared" si="811"/>
        <v>0</v>
      </c>
    </row>
    <row r="12979" spans="5:23" x14ac:dyDescent="0.25">
      <c r="E12979" s="4"/>
      <c r="F12979" s="4"/>
      <c r="G12979" s="33" t="str">
        <f>IFERROR(VLOOKUP($D12979,'Informations sur les produits'!$A$3:$H$10000,8,FALSE),"0")</f>
        <v>0</v>
      </c>
      <c r="K12979" s="4"/>
      <c r="L12979" s="33" t="str">
        <f>IFERROR(VLOOKUP($J12979,'Informations sur les produits'!$A$3:$H$10000,8,FALSE),"0")</f>
        <v>0</v>
      </c>
      <c r="N12979" s="8"/>
      <c r="O12979" s="33" t="str">
        <f>IFERROR(VLOOKUP($M12979,'Informations sur les produits'!$A$3:$H$10000,8,FALSE),"0")</f>
        <v>0</v>
      </c>
      <c r="P12979" s="33">
        <f t="shared" si="808"/>
        <v>0</v>
      </c>
      <c r="Q12979" s="31" t="str">
        <f t="shared" si="809"/>
        <v/>
      </c>
      <c r="R12979" s="32" t="str">
        <f>IFERROR(VLOOKUP($D12979,'Informations sur les produits'!$A$3:$B$15000,2,FALSE),"")</f>
        <v/>
      </c>
      <c r="V12979">
        <f t="shared" si="810"/>
        <v>0</v>
      </c>
      <c r="W12979">
        <f t="shared" si="811"/>
        <v>0</v>
      </c>
    </row>
    <row r="12980" spans="5:23" x14ac:dyDescent="0.25">
      <c r="E12980" s="4"/>
      <c r="F12980" s="4"/>
      <c r="G12980" s="33" t="str">
        <f>IFERROR(VLOOKUP($D12980,'Informations sur les produits'!$A$3:$H$10000,8,FALSE),"0")</f>
        <v>0</v>
      </c>
      <c r="K12980" s="4"/>
      <c r="L12980" s="33" t="str">
        <f>IFERROR(VLOOKUP($J12980,'Informations sur les produits'!$A$3:$H$10000,8,FALSE),"0")</f>
        <v>0</v>
      </c>
      <c r="N12980" s="8"/>
      <c r="O12980" s="33" t="str">
        <f>IFERROR(VLOOKUP($M12980,'Informations sur les produits'!$A$3:$H$10000,8,FALSE),"0")</f>
        <v>0</v>
      </c>
      <c r="P12980" s="33">
        <f t="shared" si="808"/>
        <v>0</v>
      </c>
      <c r="Q12980" s="31" t="str">
        <f t="shared" si="809"/>
        <v/>
      </c>
      <c r="R12980" s="32" t="str">
        <f>IFERROR(VLOOKUP($D12980,'Informations sur les produits'!$A$3:$B$15000,2,FALSE),"")</f>
        <v/>
      </c>
      <c r="V12980">
        <f t="shared" si="810"/>
        <v>0</v>
      </c>
      <c r="W12980">
        <f t="shared" si="811"/>
        <v>0</v>
      </c>
    </row>
    <row r="12981" spans="5:23" x14ac:dyDescent="0.25">
      <c r="E12981" s="4"/>
      <c r="F12981" s="4"/>
      <c r="G12981" s="33" t="str">
        <f>IFERROR(VLOOKUP($D12981,'Informations sur les produits'!$A$3:$H$10000,8,FALSE),"0")</f>
        <v>0</v>
      </c>
      <c r="K12981" s="4"/>
      <c r="L12981" s="33" t="str">
        <f>IFERROR(VLOOKUP($J12981,'Informations sur les produits'!$A$3:$H$10000,8,FALSE),"0")</f>
        <v>0</v>
      </c>
      <c r="N12981" s="8"/>
      <c r="O12981" s="33" t="str">
        <f>IFERROR(VLOOKUP($M12981,'Informations sur les produits'!$A$3:$H$10000,8,FALSE),"0")</f>
        <v>0</v>
      </c>
      <c r="P12981" s="33">
        <f t="shared" si="808"/>
        <v>0</v>
      </c>
      <c r="Q12981" s="31" t="str">
        <f t="shared" si="809"/>
        <v/>
      </c>
      <c r="R12981" s="32" t="str">
        <f>IFERROR(VLOOKUP($D12981,'Informations sur les produits'!$A$3:$B$15000,2,FALSE),"")</f>
        <v/>
      </c>
      <c r="V12981">
        <f t="shared" si="810"/>
        <v>0</v>
      </c>
      <c r="W12981">
        <f t="shared" si="811"/>
        <v>0</v>
      </c>
    </row>
    <row r="12982" spans="5:23" x14ac:dyDescent="0.25">
      <c r="E12982" s="4"/>
      <c r="F12982" s="4"/>
      <c r="G12982" s="33" t="str">
        <f>IFERROR(VLOOKUP($D12982,'Informations sur les produits'!$A$3:$H$10000,8,FALSE),"0")</f>
        <v>0</v>
      </c>
      <c r="K12982" s="4"/>
      <c r="L12982" s="33" t="str">
        <f>IFERROR(VLOOKUP($J12982,'Informations sur les produits'!$A$3:$H$10000,8,FALSE),"0")</f>
        <v>0</v>
      </c>
      <c r="N12982" s="8"/>
      <c r="O12982" s="33" t="str">
        <f>IFERROR(VLOOKUP($M12982,'Informations sur les produits'!$A$3:$H$10000,8,FALSE),"0")</f>
        <v>0</v>
      </c>
      <c r="P12982" s="33">
        <f t="shared" si="808"/>
        <v>0</v>
      </c>
      <c r="Q12982" s="31" t="str">
        <f t="shared" si="809"/>
        <v/>
      </c>
      <c r="R12982" s="32" t="str">
        <f>IFERROR(VLOOKUP($D12982,'Informations sur les produits'!$A$3:$B$15000,2,FALSE),"")</f>
        <v/>
      </c>
      <c r="V12982">
        <f t="shared" si="810"/>
        <v>0</v>
      </c>
      <c r="W12982">
        <f t="shared" si="811"/>
        <v>0</v>
      </c>
    </row>
    <row r="12983" spans="5:23" x14ac:dyDescent="0.25">
      <c r="E12983" s="4"/>
      <c r="F12983" s="4"/>
      <c r="G12983" s="33" t="str">
        <f>IFERROR(VLOOKUP($D12983,'Informations sur les produits'!$A$3:$H$10000,8,FALSE),"0")</f>
        <v>0</v>
      </c>
      <c r="K12983" s="4"/>
      <c r="L12983" s="33" t="str">
        <f>IFERROR(VLOOKUP($J12983,'Informations sur les produits'!$A$3:$H$10000,8,FALSE),"0")</f>
        <v>0</v>
      </c>
      <c r="N12983" s="8"/>
      <c r="O12983" s="33" t="str">
        <f>IFERROR(VLOOKUP($M12983,'Informations sur les produits'!$A$3:$H$10000,8,FALSE),"0")</f>
        <v>0</v>
      </c>
      <c r="P12983" s="33">
        <f t="shared" si="808"/>
        <v>0</v>
      </c>
      <c r="Q12983" s="31" t="str">
        <f t="shared" si="809"/>
        <v/>
      </c>
      <c r="R12983" s="32" t="str">
        <f>IFERROR(VLOOKUP($D12983,'Informations sur les produits'!$A$3:$B$15000,2,FALSE),"")</f>
        <v/>
      </c>
      <c r="V12983">
        <f t="shared" si="810"/>
        <v>0</v>
      </c>
      <c r="W12983">
        <f t="shared" si="811"/>
        <v>0</v>
      </c>
    </row>
    <row r="12984" spans="5:23" x14ac:dyDescent="0.25">
      <c r="E12984" s="4"/>
      <c r="F12984" s="4"/>
      <c r="G12984" s="33" t="str">
        <f>IFERROR(VLOOKUP($D12984,'Informations sur les produits'!$A$3:$H$10000,8,FALSE),"0")</f>
        <v>0</v>
      </c>
      <c r="K12984" s="4"/>
      <c r="L12984" s="33" t="str">
        <f>IFERROR(VLOOKUP($J12984,'Informations sur les produits'!$A$3:$H$10000,8,FALSE),"0")</f>
        <v>0</v>
      </c>
      <c r="N12984" s="8"/>
      <c r="O12984" s="33" t="str">
        <f>IFERROR(VLOOKUP($M12984,'Informations sur les produits'!$A$3:$H$10000,8,FALSE),"0")</f>
        <v>0</v>
      </c>
      <c r="P12984" s="33">
        <f t="shared" si="808"/>
        <v>0</v>
      </c>
      <c r="Q12984" s="31" t="str">
        <f t="shared" si="809"/>
        <v/>
      </c>
      <c r="R12984" s="32" t="str">
        <f>IFERROR(VLOOKUP($D12984,'Informations sur les produits'!$A$3:$B$15000,2,FALSE),"")</f>
        <v/>
      </c>
      <c r="V12984">
        <f t="shared" si="810"/>
        <v>0</v>
      </c>
      <c r="W12984">
        <f t="shared" si="811"/>
        <v>0</v>
      </c>
    </row>
    <row r="12985" spans="5:23" x14ac:dyDescent="0.25">
      <c r="E12985" s="4"/>
      <c r="F12985" s="4"/>
      <c r="G12985" s="33" t="str">
        <f>IFERROR(VLOOKUP($D12985,'Informations sur les produits'!$A$3:$H$10000,8,FALSE),"0")</f>
        <v>0</v>
      </c>
      <c r="K12985" s="4"/>
      <c r="L12985" s="33" t="str">
        <f>IFERROR(VLOOKUP($J12985,'Informations sur les produits'!$A$3:$H$10000,8,FALSE),"0")</f>
        <v>0</v>
      </c>
      <c r="N12985" s="8"/>
      <c r="O12985" s="33" t="str">
        <f>IFERROR(VLOOKUP($M12985,'Informations sur les produits'!$A$3:$H$10000,8,FALSE),"0")</f>
        <v>0</v>
      </c>
      <c r="P12985" s="33">
        <f t="shared" si="808"/>
        <v>0</v>
      </c>
      <c r="Q12985" s="31" t="str">
        <f t="shared" si="809"/>
        <v/>
      </c>
      <c r="R12985" s="32" t="str">
        <f>IFERROR(VLOOKUP($D12985,'Informations sur les produits'!$A$3:$B$15000,2,FALSE),"")</f>
        <v/>
      </c>
      <c r="V12985">
        <f t="shared" si="810"/>
        <v>0</v>
      </c>
      <c r="W12985">
        <f t="shared" si="811"/>
        <v>0</v>
      </c>
    </row>
    <row r="12986" spans="5:23" x14ac:dyDescent="0.25">
      <c r="E12986" s="4"/>
      <c r="F12986" s="4"/>
      <c r="G12986" s="33" t="str">
        <f>IFERROR(VLOOKUP($D12986,'Informations sur les produits'!$A$3:$H$10000,8,FALSE),"0")</f>
        <v>0</v>
      </c>
      <c r="K12986" s="4"/>
      <c r="L12986" s="33" t="str">
        <f>IFERROR(VLOOKUP($J12986,'Informations sur les produits'!$A$3:$H$10000,8,FALSE),"0")</f>
        <v>0</v>
      </c>
      <c r="N12986" s="8"/>
      <c r="O12986" s="33" t="str">
        <f>IFERROR(VLOOKUP($M12986,'Informations sur les produits'!$A$3:$H$10000,8,FALSE),"0")</f>
        <v>0</v>
      </c>
      <c r="P12986" s="33">
        <f t="shared" si="808"/>
        <v>0</v>
      </c>
      <c r="Q12986" s="31" t="str">
        <f t="shared" si="809"/>
        <v/>
      </c>
      <c r="R12986" s="32" t="str">
        <f>IFERROR(VLOOKUP($D12986,'Informations sur les produits'!$A$3:$B$15000,2,FALSE),"")</f>
        <v/>
      </c>
      <c r="V12986">
        <f t="shared" si="810"/>
        <v>0</v>
      </c>
      <c r="W12986">
        <f t="shared" si="811"/>
        <v>0</v>
      </c>
    </row>
    <row r="12987" spans="5:23" x14ac:dyDescent="0.25">
      <c r="E12987" s="4"/>
      <c r="F12987" s="4"/>
      <c r="G12987" s="33" t="str">
        <f>IFERROR(VLOOKUP($D12987,'Informations sur les produits'!$A$3:$H$10000,8,FALSE),"0")</f>
        <v>0</v>
      </c>
      <c r="K12987" s="4"/>
      <c r="L12987" s="33" t="str">
        <f>IFERROR(VLOOKUP($J12987,'Informations sur les produits'!$A$3:$H$10000,8,FALSE),"0")</f>
        <v>0</v>
      </c>
      <c r="N12987" s="8"/>
      <c r="O12987" s="33" t="str">
        <f>IFERROR(VLOOKUP($M12987,'Informations sur les produits'!$A$3:$H$10000,8,FALSE),"0")</f>
        <v>0</v>
      </c>
      <c r="P12987" s="33">
        <f t="shared" si="808"/>
        <v>0</v>
      </c>
      <c r="Q12987" s="31" t="str">
        <f t="shared" si="809"/>
        <v/>
      </c>
      <c r="R12987" s="32" t="str">
        <f>IFERROR(VLOOKUP($D12987,'Informations sur les produits'!$A$3:$B$15000,2,FALSE),"")</f>
        <v/>
      </c>
      <c r="V12987">
        <f t="shared" si="810"/>
        <v>0</v>
      </c>
      <c r="W12987">
        <f t="shared" si="811"/>
        <v>0</v>
      </c>
    </row>
    <row r="12988" spans="5:23" x14ac:dyDescent="0.25">
      <c r="E12988" s="4"/>
      <c r="F12988" s="4"/>
      <c r="G12988" s="33" t="str">
        <f>IFERROR(VLOOKUP($D12988,'Informations sur les produits'!$A$3:$H$10000,8,FALSE),"0")</f>
        <v>0</v>
      </c>
      <c r="K12988" s="4"/>
      <c r="L12988" s="33" t="str">
        <f>IFERROR(VLOOKUP($J12988,'Informations sur les produits'!$A$3:$H$10000,8,FALSE),"0")</f>
        <v>0</v>
      </c>
      <c r="N12988" s="8"/>
      <c r="O12988" s="33" t="str">
        <f>IFERROR(VLOOKUP($M12988,'Informations sur les produits'!$A$3:$H$10000,8,FALSE),"0")</f>
        <v>0</v>
      </c>
      <c r="P12988" s="33">
        <f t="shared" si="808"/>
        <v>0</v>
      </c>
      <c r="Q12988" s="31" t="str">
        <f t="shared" si="809"/>
        <v/>
      </c>
      <c r="R12988" s="32" t="str">
        <f>IFERROR(VLOOKUP($D12988,'Informations sur les produits'!$A$3:$B$15000,2,FALSE),"")</f>
        <v/>
      </c>
      <c r="V12988">
        <f t="shared" si="810"/>
        <v>0</v>
      </c>
      <c r="W12988">
        <f t="shared" si="811"/>
        <v>0</v>
      </c>
    </row>
    <row r="12989" spans="5:23" x14ac:dyDescent="0.25">
      <c r="E12989" s="4"/>
      <c r="F12989" s="4"/>
      <c r="G12989" s="33" t="str">
        <f>IFERROR(VLOOKUP($D12989,'Informations sur les produits'!$A$3:$H$10000,8,FALSE),"0")</f>
        <v>0</v>
      </c>
      <c r="K12989" s="4"/>
      <c r="L12989" s="33" t="str">
        <f>IFERROR(VLOOKUP($J12989,'Informations sur les produits'!$A$3:$H$10000,8,FALSE),"0")</f>
        <v>0</v>
      </c>
      <c r="N12989" s="8"/>
      <c r="O12989" s="33" t="str">
        <f>IFERROR(VLOOKUP($M12989,'Informations sur les produits'!$A$3:$H$10000,8,FALSE),"0")</f>
        <v>0</v>
      </c>
      <c r="P12989" s="33">
        <f t="shared" si="808"/>
        <v>0</v>
      </c>
      <c r="Q12989" s="31" t="str">
        <f t="shared" si="809"/>
        <v/>
      </c>
      <c r="R12989" s="32" t="str">
        <f>IFERROR(VLOOKUP($D12989,'Informations sur les produits'!$A$3:$B$15000,2,FALSE),"")</f>
        <v/>
      </c>
      <c r="V12989">
        <f t="shared" si="810"/>
        <v>0</v>
      </c>
      <c r="W12989">
        <f t="shared" si="811"/>
        <v>0</v>
      </c>
    </row>
    <row r="12990" spans="5:23" x14ac:dyDescent="0.25">
      <c r="E12990" s="4"/>
      <c r="F12990" s="4"/>
      <c r="G12990" s="33" t="str">
        <f>IFERROR(VLOOKUP($D12990,'Informations sur les produits'!$A$3:$H$10000,8,FALSE),"0")</f>
        <v>0</v>
      </c>
      <c r="K12990" s="4"/>
      <c r="L12990" s="33" t="str">
        <f>IFERROR(VLOOKUP($J12990,'Informations sur les produits'!$A$3:$H$10000,8,FALSE),"0")</f>
        <v>0</v>
      </c>
      <c r="N12990" s="8"/>
      <c r="O12990" s="33" t="str">
        <f>IFERROR(VLOOKUP($M12990,'Informations sur les produits'!$A$3:$H$10000,8,FALSE),"0")</f>
        <v>0</v>
      </c>
      <c r="P12990" s="33">
        <f t="shared" si="808"/>
        <v>0</v>
      </c>
      <c r="Q12990" s="31" t="str">
        <f t="shared" si="809"/>
        <v/>
      </c>
      <c r="R12990" s="32" t="str">
        <f>IFERROR(VLOOKUP($D12990,'Informations sur les produits'!$A$3:$B$15000,2,FALSE),"")</f>
        <v/>
      </c>
      <c r="V12990">
        <f t="shared" si="810"/>
        <v>0</v>
      </c>
      <c r="W12990">
        <f t="shared" si="811"/>
        <v>0</v>
      </c>
    </row>
    <row r="12991" spans="5:23" x14ac:dyDescent="0.25">
      <c r="E12991" s="4"/>
      <c r="F12991" s="4"/>
      <c r="G12991" s="33" t="str">
        <f>IFERROR(VLOOKUP($D12991,'Informations sur les produits'!$A$3:$H$10000,8,FALSE),"0")</f>
        <v>0</v>
      </c>
      <c r="K12991" s="4"/>
      <c r="L12991" s="33" t="str">
        <f>IFERROR(VLOOKUP($J12991,'Informations sur les produits'!$A$3:$H$10000,8,FALSE),"0")</f>
        <v>0</v>
      </c>
      <c r="N12991" s="8"/>
      <c r="O12991" s="33" t="str">
        <f>IFERROR(VLOOKUP($M12991,'Informations sur les produits'!$A$3:$H$10000,8,FALSE),"0")</f>
        <v>0</v>
      </c>
      <c r="P12991" s="33">
        <f t="shared" si="808"/>
        <v>0</v>
      </c>
      <c r="Q12991" s="31" t="str">
        <f t="shared" si="809"/>
        <v/>
      </c>
      <c r="R12991" s="32" t="str">
        <f>IFERROR(VLOOKUP($D12991,'Informations sur les produits'!$A$3:$B$15000,2,FALSE),"")</f>
        <v/>
      </c>
      <c r="V12991">
        <f t="shared" si="810"/>
        <v>0</v>
      </c>
      <c r="W12991">
        <f t="shared" si="811"/>
        <v>0</v>
      </c>
    </row>
    <row r="12992" spans="5:23" x14ac:dyDescent="0.25">
      <c r="E12992" s="4"/>
      <c r="F12992" s="4"/>
      <c r="G12992" s="33" t="str">
        <f>IFERROR(VLOOKUP($D12992,'Informations sur les produits'!$A$3:$H$10000,8,FALSE),"0")</f>
        <v>0</v>
      </c>
      <c r="K12992" s="4"/>
      <c r="L12992" s="33" t="str">
        <f>IFERROR(VLOOKUP($J12992,'Informations sur les produits'!$A$3:$H$10000,8,FALSE),"0")</f>
        <v>0</v>
      </c>
      <c r="N12992" s="8"/>
      <c r="O12992" s="33" t="str">
        <f>IFERROR(VLOOKUP($M12992,'Informations sur les produits'!$A$3:$H$10000,8,FALSE),"0")</f>
        <v>0</v>
      </c>
      <c r="P12992" s="33">
        <f t="shared" si="808"/>
        <v>0</v>
      </c>
      <c r="Q12992" s="31" t="str">
        <f t="shared" si="809"/>
        <v/>
      </c>
      <c r="R12992" s="32" t="str">
        <f>IFERROR(VLOOKUP($D12992,'Informations sur les produits'!$A$3:$B$15000,2,FALSE),"")</f>
        <v/>
      </c>
      <c r="V12992">
        <f t="shared" si="810"/>
        <v>0</v>
      </c>
      <c r="W12992">
        <f t="shared" si="811"/>
        <v>0</v>
      </c>
    </row>
    <row r="12993" spans="5:23" x14ac:dyDescent="0.25">
      <c r="E12993" s="4"/>
      <c r="F12993" s="4"/>
      <c r="G12993" s="33" t="str">
        <f>IFERROR(VLOOKUP($D12993,'Informations sur les produits'!$A$3:$H$10000,8,FALSE),"0")</f>
        <v>0</v>
      </c>
      <c r="K12993" s="4"/>
      <c r="L12993" s="33" t="str">
        <f>IFERROR(VLOOKUP($J12993,'Informations sur les produits'!$A$3:$H$10000,8,FALSE),"0")</f>
        <v>0</v>
      </c>
      <c r="N12993" s="8"/>
      <c r="O12993" s="33" t="str">
        <f>IFERROR(VLOOKUP($M12993,'Informations sur les produits'!$A$3:$H$10000,8,FALSE),"0")</f>
        <v>0</v>
      </c>
      <c r="P12993" s="33">
        <f t="shared" si="808"/>
        <v>0</v>
      </c>
      <c r="Q12993" s="31" t="str">
        <f t="shared" si="809"/>
        <v/>
      </c>
      <c r="R12993" s="32" t="str">
        <f>IFERROR(VLOOKUP($D12993,'Informations sur les produits'!$A$3:$B$15000,2,FALSE),"")</f>
        <v/>
      </c>
      <c r="V12993">
        <f t="shared" si="810"/>
        <v>0</v>
      </c>
      <c r="W12993">
        <f t="shared" si="811"/>
        <v>0</v>
      </c>
    </row>
    <row r="12994" spans="5:23" x14ac:dyDescent="0.25">
      <c r="E12994" s="4"/>
      <c r="F12994" s="4"/>
      <c r="G12994" s="33" t="str">
        <f>IFERROR(VLOOKUP($D12994,'Informations sur les produits'!$A$3:$H$10000,8,FALSE),"0")</f>
        <v>0</v>
      </c>
      <c r="K12994" s="4"/>
      <c r="L12994" s="33" t="str">
        <f>IFERROR(VLOOKUP($J12994,'Informations sur les produits'!$A$3:$H$10000,8,FALSE),"0")</f>
        <v>0</v>
      </c>
      <c r="N12994" s="8"/>
      <c r="O12994" s="33" t="str">
        <f>IFERROR(VLOOKUP($M12994,'Informations sur les produits'!$A$3:$H$10000,8,FALSE),"0")</f>
        <v>0</v>
      </c>
      <c r="P12994" s="33">
        <f t="shared" si="808"/>
        <v>0</v>
      </c>
      <c r="Q12994" s="31" t="str">
        <f t="shared" si="809"/>
        <v/>
      </c>
      <c r="R12994" s="32" t="str">
        <f>IFERROR(VLOOKUP($D12994,'Informations sur les produits'!$A$3:$B$15000,2,FALSE),"")</f>
        <v/>
      </c>
      <c r="V12994">
        <f t="shared" si="810"/>
        <v>0</v>
      </c>
      <c r="W12994">
        <f t="shared" si="811"/>
        <v>0</v>
      </c>
    </row>
    <row r="12995" spans="5:23" x14ac:dyDescent="0.25">
      <c r="E12995" s="4"/>
      <c r="F12995" s="4"/>
      <c r="G12995" s="33" t="str">
        <f>IFERROR(VLOOKUP($D12995,'Informations sur les produits'!$A$3:$H$10000,8,FALSE),"0")</f>
        <v>0</v>
      </c>
      <c r="K12995" s="4"/>
      <c r="L12995" s="33" t="str">
        <f>IFERROR(VLOOKUP($J12995,'Informations sur les produits'!$A$3:$H$10000,8,FALSE),"0")</f>
        <v>0</v>
      </c>
      <c r="N12995" s="8"/>
      <c r="O12995" s="33" t="str">
        <f>IFERROR(VLOOKUP($M12995,'Informations sur les produits'!$A$3:$H$10000,8,FALSE),"0")</f>
        <v>0</v>
      </c>
      <c r="P12995" s="33">
        <f t="shared" si="808"/>
        <v>0</v>
      </c>
      <c r="Q12995" s="31" t="str">
        <f t="shared" si="809"/>
        <v/>
      </c>
      <c r="R12995" s="32" t="str">
        <f>IFERROR(VLOOKUP($D12995,'Informations sur les produits'!$A$3:$B$15000,2,FALSE),"")</f>
        <v/>
      </c>
      <c r="V12995">
        <f t="shared" si="810"/>
        <v>0</v>
      </c>
      <c r="W12995">
        <f t="shared" si="811"/>
        <v>0</v>
      </c>
    </row>
    <row r="12996" spans="5:23" x14ac:dyDescent="0.25">
      <c r="E12996" s="4"/>
      <c r="F12996" s="4"/>
      <c r="G12996" s="33" t="str">
        <f>IFERROR(VLOOKUP($D12996,'Informations sur les produits'!$A$3:$H$10000,8,FALSE),"0")</f>
        <v>0</v>
      </c>
      <c r="K12996" s="4"/>
      <c r="L12996" s="33" t="str">
        <f>IFERROR(VLOOKUP($J12996,'Informations sur les produits'!$A$3:$H$10000,8,FALSE),"0")</f>
        <v>0</v>
      </c>
      <c r="N12996" s="8"/>
      <c r="O12996" s="33" t="str">
        <f>IFERROR(VLOOKUP($M12996,'Informations sur les produits'!$A$3:$H$10000,8,FALSE),"0")</f>
        <v>0</v>
      </c>
      <c r="P12996" s="33">
        <f t="shared" ref="P12996:P13059" si="812">IFERROR((($E12996-$F12996)*$G12996+$K12996*$L12996+$N12996*$O12996),"")</f>
        <v>0</v>
      </c>
      <c r="Q12996" s="31" t="str">
        <f t="shared" ref="Q12996:Q13059" si="813">IFERROR((((($E12996-$F12996)*$G12996+$K12996*$L12996+$N12996*$O12996)*1000)/(($E12996-$F12996)+$K12996+$N12996)),"")</f>
        <v/>
      </c>
      <c r="R12996" s="32" t="str">
        <f>IFERROR(VLOOKUP($D12996,'Informations sur les produits'!$A$3:$B$15000,2,FALSE),"")</f>
        <v/>
      </c>
      <c r="V12996">
        <f t="shared" ref="V12996:V13059" si="814">IFERROR(P12996*1000,"")</f>
        <v>0</v>
      </c>
      <c r="W12996">
        <f t="shared" ref="W12996:W13059" si="815">IFERROR(($E12996-$F12996)+$K12996+$N12996,"")</f>
        <v>0</v>
      </c>
    </row>
    <row r="12997" spans="5:23" x14ac:dyDescent="0.25">
      <c r="E12997" s="4"/>
      <c r="F12997" s="4"/>
      <c r="G12997" s="33" t="str">
        <f>IFERROR(VLOOKUP($D12997,'Informations sur les produits'!$A$3:$H$10000,8,FALSE),"0")</f>
        <v>0</v>
      </c>
      <c r="K12997" s="4"/>
      <c r="L12997" s="33" t="str">
        <f>IFERROR(VLOOKUP($J12997,'Informations sur les produits'!$A$3:$H$10000,8,FALSE),"0")</f>
        <v>0</v>
      </c>
      <c r="N12997" s="8"/>
      <c r="O12997" s="33" t="str">
        <f>IFERROR(VLOOKUP($M12997,'Informations sur les produits'!$A$3:$H$10000,8,FALSE),"0")</f>
        <v>0</v>
      </c>
      <c r="P12997" s="33">
        <f t="shared" si="812"/>
        <v>0</v>
      </c>
      <c r="Q12997" s="31" t="str">
        <f t="shared" si="813"/>
        <v/>
      </c>
      <c r="R12997" s="32" t="str">
        <f>IFERROR(VLOOKUP($D12997,'Informations sur les produits'!$A$3:$B$15000,2,FALSE),"")</f>
        <v/>
      </c>
      <c r="V12997">
        <f t="shared" si="814"/>
        <v>0</v>
      </c>
      <c r="W12997">
        <f t="shared" si="815"/>
        <v>0</v>
      </c>
    </row>
    <row r="12998" spans="5:23" x14ac:dyDescent="0.25">
      <c r="E12998" s="4"/>
      <c r="F12998" s="4"/>
      <c r="G12998" s="33" t="str">
        <f>IFERROR(VLOOKUP($D12998,'Informations sur les produits'!$A$3:$H$10000,8,FALSE),"0")</f>
        <v>0</v>
      </c>
      <c r="K12998" s="4"/>
      <c r="L12998" s="33" t="str">
        <f>IFERROR(VLOOKUP($J12998,'Informations sur les produits'!$A$3:$H$10000,8,FALSE),"0")</f>
        <v>0</v>
      </c>
      <c r="N12998" s="8"/>
      <c r="O12998" s="33" t="str">
        <f>IFERROR(VLOOKUP($M12998,'Informations sur les produits'!$A$3:$H$10000,8,FALSE),"0")</f>
        <v>0</v>
      </c>
      <c r="P12998" s="33">
        <f t="shared" si="812"/>
        <v>0</v>
      </c>
      <c r="Q12998" s="31" t="str">
        <f t="shared" si="813"/>
        <v/>
      </c>
      <c r="R12998" s="32" t="str">
        <f>IFERROR(VLOOKUP($D12998,'Informations sur les produits'!$A$3:$B$15000,2,FALSE),"")</f>
        <v/>
      </c>
      <c r="V12998">
        <f t="shared" si="814"/>
        <v>0</v>
      </c>
      <c r="W12998">
        <f t="shared" si="815"/>
        <v>0</v>
      </c>
    </row>
    <row r="12999" spans="5:23" x14ac:dyDescent="0.25">
      <c r="E12999" s="4"/>
      <c r="F12999" s="4"/>
      <c r="G12999" s="33" t="str">
        <f>IFERROR(VLOOKUP($D12999,'Informations sur les produits'!$A$3:$H$10000,8,FALSE),"0")</f>
        <v>0</v>
      </c>
      <c r="K12999" s="4"/>
      <c r="L12999" s="33" t="str">
        <f>IFERROR(VLOOKUP($J12999,'Informations sur les produits'!$A$3:$H$10000,8,FALSE),"0")</f>
        <v>0</v>
      </c>
      <c r="N12999" s="8"/>
      <c r="O12999" s="33" t="str">
        <f>IFERROR(VLOOKUP($M12999,'Informations sur les produits'!$A$3:$H$10000,8,FALSE),"0")</f>
        <v>0</v>
      </c>
      <c r="P12999" s="33">
        <f t="shared" si="812"/>
        <v>0</v>
      </c>
      <c r="Q12999" s="31" t="str">
        <f t="shared" si="813"/>
        <v/>
      </c>
      <c r="R12999" s="32" t="str">
        <f>IFERROR(VLOOKUP($D12999,'Informations sur les produits'!$A$3:$B$15000,2,FALSE),"")</f>
        <v/>
      </c>
      <c r="V12999">
        <f t="shared" si="814"/>
        <v>0</v>
      </c>
      <c r="W12999">
        <f t="shared" si="815"/>
        <v>0</v>
      </c>
    </row>
    <row r="13000" spans="5:23" x14ac:dyDescent="0.25">
      <c r="E13000" s="4"/>
      <c r="F13000" s="4"/>
      <c r="G13000" s="33" t="str">
        <f>IFERROR(VLOOKUP($D13000,'Informations sur les produits'!$A$3:$H$10000,8,FALSE),"0")</f>
        <v>0</v>
      </c>
      <c r="K13000" s="4"/>
      <c r="L13000" s="33" t="str">
        <f>IFERROR(VLOOKUP($J13000,'Informations sur les produits'!$A$3:$H$10000,8,FALSE),"0")</f>
        <v>0</v>
      </c>
      <c r="N13000" s="8"/>
      <c r="O13000" s="33" t="str">
        <f>IFERROR(VLOOKUP($M13000,'Informations sur les produits'!$A$3:$H$10000,8,FALSE),"0")</f>
        <v>0</v>
      </c>
      <c r="P13000" s="33">
        <f t="shared" si="812"/>
        <v>0</v>
      </c>
      <c r="Q13000" s="31" t="str">
        <f t="shared" si="813"/>
        <v/>
      </c>
      <c r="R13000" s="32" t="str">
        <f>IFERROR(VLOOKUP($D13000,'Informations sur les produits'!$A$3:$B$15000,2,FALSE),"")</f>
        <v/>
      </c>
      <c r="V13000">
        <f t="shared" si="814"/>
        <v>0</v>
      </c>
      <c r="W13000">
        <f t="shared" si="815"/>
        <v>0</v>
      </c>
    </row>
    <row r="13001" spans="5:23" x14ac:dyDescent="0.25">
      <c r="E13001" s="4"/>
      <c r="F13001" s="4"/>
      <c r="G13001" s="33" t="str">
        <f>IFERROR(VLOOKUP($D13001,'Informations sur les produits'!$A$3:$H$10000,8,FALSE),"0")</f>
        <v>0</v>
      </c>
      <c r="K13001" s="4"/>
      <c r="L13001" s="33" t="str">
        <f>IFERROR(VLOOKUP($J13001,'Informations sur les produits'!$A$3:$H$10000,8,FALSE),"0")</f>
        <v>0</v>
      </c>
      <c r="N13001" s="8"/>
      <c r="O13001" s="33" t="str">
        <f>IFERROR(VLOOKUP($M13001,'Informations sur les produits'!$A$3:$H$10000,8,FALSE),"0")</f>
        <v>0</v>
      </c>
      <c r="P13001" s="33">
        <f t="shared" si="812"/>
        <v>0</v>
      </c>
      <c r="Q13001" s="31" t="str">
        <f t="shared" si="813"/>
        <v/>
      </c>
      <c r="R13001" s="32" t="str">
        <f>IFERROR(VLOOKUP($D13001,'Informations sur les produits'!$A$3:$B$15000,2,FALSE),"")</f>
        <v/>
      </c>
      <c r="V13001">
        <f t="shared" si="814"/>
        <v>0</v>
      </c>
      <c r="W13001">
        <f t="shared" si="815"/>
        <v>0</v>
      </c>
    </row>
    <row r="13002" spans="5:23" x14ac:dyDescent="0.25">
      <c r="E13002" s="4"/>
      <c r="F13002" s="4"/>
      <c r="G13002" s="33" t="str">
        <f>IFERROR(VLOOKUP($D13002,'Informations sur les produits'!$A$3:$H$10000,8,FALSE),"0")</f>
        <v>0</v>
      </c>
      <c r="K13002" s="4"/>
      <c r="L13002" s="33" t="str">
        <f>IFERROR(VLOOKUP($J13002,'Informations sur les produits'!$A$3:$H$10000,8,FALSE),"0")</f>
        <v>0</v>
      </c>
      <c r="N13002" s="8"/>
      <c r="O13002" s="33" t="str">
        <f>IFERROR(VLOOKUP($M13002,'Informations sur les produits'!$A$3:$H$10000,8,FALSE),"0")</f>
        <v>0</v>
      </c>
      <c r="P13002" s="33">
        <f t="shared" si="812"/>
        <v>0</v>
      </c>
      <c r="Q13002" s="31" t="str">
        <f t="shared" si="813"/>
        <v/>
      </c>
      <c r="R13002" s="32" t="str">
        <f>IFERROR(VLOOKUP($D13002,'Informations sur les produits'!$A$3:$B$15000,2,FALSE),"")</f>
        <v/>
      </c>
      <c r="V13002">
        <f t="shared" si="814"/>
        <v>0</v>
      </c>
      <c r="W13002">
        <f t="shared" si="815"/>
        <v>0</v>
      </c>
    </row>
    <row r="13003" spans="5:23" x14ac:dyDescent="0.25">
      <c r="E13003" s="4"/>
      <c r="F13003" s="4"/>
      <c r="G13003" s="33" t="str">
        <f>IFERROR(VLOOKUP($D13003,'Informations sur les produits'!$A$3:$H$10000,8,FALSE),"0")</f>
        <v>0</v>
      </c>
      <c r="K13003" s="4"/>
      <c r="L13003" s="33" t="str">
        <f>IFERROR(VLOOKUP($J13003,'Informations sur les produits'!$A$3:$H$10000,8,FALSE),"0")</f>
        <v>0</v>
      </c>
      <c r="N13003" s="8"/>
      <c r="O13003" s="33" t="str">
        <f>IFERROR(VLOOKUP($M13003,'Informations sur les produits'!$A$3:$H$10000,8,FALSE),"0")</f>
        <v>0</v>
      </c>
      <c r="P13003" s="33">
        <f t="shared" si="812"/>
        <v>0</v>
      </c>
      <c r="Q13003" s="31" t="str">
        <f t="shared" si="813"/>
        <v/>
      </c>
      <c r="R13003" s="32" t="str">
        <f>IFERROR(VLOOKUP($D13003,'Informations sur les produits'!$A$3:$B$15000,2,FALSE),"")</f>
        <v/>
      </c>
      <c r="V13003">
        <f t="shared" si="814"/>
        <v>0</v>
      </c>
      <c r="W13003">
        <f t="shared" si="815"/>
        <v>0</v>
      </c>
    </row>
    <row r="13004" spans="5:23" x14ac:dyDescent="0.25">
      <c r="E13004" s="4"/>
      <c r="F13004" s="4"/>
      <c r="G13004" s="33" t="str">
        <f>IFERROR(VLOOKUP($D13004,'Informations sur les produits'!$A$3:$H$10000,8,FALSE),"0")</f>
        <v>0</v>
      </c>
      <c r="K13004" s="4"/>
      <c r="L13004" s="33" t="str">
        <f>IFERROR(VLOOKUP($J13004,'Informations sur les produits'!$A$3:$H$10000,8,FALSE),"0")</f>
        <v>0</v>
      </c>
      <c r="N13004" s="8"/>
      <c r="O13004" s="33" t="str">
        <f>IFERROR(VLOOKUP($M13004,'Informations sur les produits'!$A$3:$H$10000,8,FALSE),"0")</f>
        <v>0</v>
      </c>
      <c r="P13004" s="33">
        <f t="shared" si="812"/>
        <v>0</v>
      </c>
      <c r="Q13004" s="31" t="str">
        <f t="shared" si="813"/>
        <v/>
      </c>
      <c r="R13004" s="32" t="str">
        <f>IFERROR(VLOOKUP($D13004,'Informations sur les produits'!$A$3:$B$15000,2,FALSE),"")</f>
        <v/>
      </c>
      <c r="V13004">
        <f t="shared" si="814"/>
        <v>0</v>
      </c>
      <c r="W13004">
        <f t="shared" si="815"/>
        <v>0</v>
      </c>
    </row>
    <row r="13005" spans="5:23" x14ac:dyDescent="0.25">
      <c r="E13005" s="4"/>
      <c r="F13005" s="4"/>
      <c r="G13005" s="33" t="str">
        <f>IFERROR(VLOOKUP($D13005,'Informations sur les produits'!$A$3:$H$10000,8,FALSE),"0")</f>
        <v>0</v>
      </c>
      <c r="K13005" s="4"/>
      <c r="L13005" s="33" t="str">
        <f>IFERROR(VLOOKUP($J13005,'Informations sur les produits'!$A$3:$H$10000,8,FALSE),"0")</f>
        <v>0</v>
      </c>
      <c r="N13005" s="8"/>
      <c r="O13005" s="33" t="str">
        <f>IFERROR(VLOOKUP($M13005,'Informations sur les produits'!$A$3:$H$10000,8,FALSE),"0")</f>
        <v>0</v>
      </c>
      <c r="P13005" s="33">
        <f t="shared" si="812"/>
        <v>0</v>
      </c>
      <c r="Q13005" s="31" t="str">
        <f t="shared" si="813"/>
        <v/>
      </c>
      <c r="R13005" s="32" t="str">
        <f>IFERROR(VLOOKUP($D13005,'Informations sur les produits'!$A$3:$B$15000,2,FALSE),"")</f>
        <v/>
      </c>
      <c r="V13005">
        <f t="shared" si="814"/>
        <v>0</v>
      </c>
      <c r="W13005">
        <f t="shared" si="815"/>
        <v>0</v>
      </c>
    </row>
    <row r="13006" spans="5:23" x14ac:dyDescent="0.25">
      <c r="E13006" s="4"/>
      <c r="F13006" s="4"/>
      <c r="G13006" s="33" t="str">
        <f>IFERROR(VLOOKUP($D13006,'Informations sur les produits'!$A$3:$H$10000,8,FALSE),"0")</f>
        <v>0</v>
      </c>
      <c r="K13006" s="4"/>
      <c r="L13006" s="33" t="str">
        <f>IFERROR(VLOOKUP($J13006,'Informations sur les produits'!$A$3:$H$10000,8,FALSE),"0")</f>
        <v>0</v>
      </c>
      <c r="N13006" s="8"/>
      <c r="O13006" s="33" t="str">
        <f>IFERROR(VLOOKUP($M13006,'Informations sur les produits'!$A$3:$H$10000,8,FALSE),"0")</f>
        <v>0</v>
      </c>
      <c r="P13006" s="33">
        <f t="shared" si="812"/>
        <v>0</v>
      </c>
      <c r="Q13006" s="31" t="str">
        <f t="shared" si="813"/>
        <v/>
      </c>
      <c r="R13006" s="32" t="str">
        <f>IFERROR(VLOOKUP($D13006,'Informations sur les produits'!$A$3:$B$15000,2,FALSE),"")</f>
        <v/>
      </c>
      <c r="V13006">
        <f t="shared" si="814"/>
        <v>0</v>
      </c>
      <c r="W13006">
        <f t="shared" si="815"/>
        <v>0</v>
      </c>
    </row>
    <row r="13007" spans="5:23" x14ac:dyDescent="0.25">
      <c r="E13007" s="4"/>
      <c r="F13007" s="4"/>
      <c r="G13007" s="33" t="str">
        <f>IFERROR(VLOOKUP($D13007,'Informations sur les produits'!$A$3:$H$10000,8,FALSE),"0")</f>
        <v>0</v>
      </c>
      <c r="K13007" s="4"/>
      <c r="L13007" s="33" t="str">
        <f>IFERROR(VLOOKUP($J13007,'Informations sur les produits'!$A$3:$H$10000,8,FALSE),"0")</f>
        <v>0</v>
      </c>
      <c r="N13007" s="8"/>
      <c r="O13007" s="33" t="str">
        <f>IFERROR(VLOOKUP($M13007,'Informations sur les produits'!$A$3:$H$10000,8,FALSE),"0")</f>
        <v>0</v>
      </c>
      <c r="P13007" s="33">
        <f t="shared" si="812"/>
        <v>0</v>
      </c>
      <c r="Q13007" s="31" t="str">
        <f t="shared" si="813"/>
        <v/>
      </c>
      <c r="R13007" s="32" t="str">
        <f>IFERROR(VLOOKUP($D13007,'Informations sur les produits'!$A$3:$B$15000,2,FALSE),"")</f>
        <v/>
      </c>
      <c r="V13007">
        <f t="shared" si="814"/>
        <v>0</v>
      </c>
      <c r="W13007">
        <f t="shared" si="815"/>
        <v>0</v>
      </c>
    </row>
    <row r="13008" spans="5:23" x14ac:dyDescent="0.25">
      <c r="E13008" s="4"/>
      <c r="F13008" s="4"/>
      <c r="G13008" s="33" t="str">
        <f>IFERROR(VLOOKUP($D13008,'Informations sur les produits'!$A$3:$H$10000,8,FALSE),"0")</f>
        <v>0</v>
      </c>
      <c r="K13008" s="4"/>
      <c r="L13008" s="33" t="str">
        <f>IFERROR(VLOOKUP($J13008,'Informations sur les produits'!$A$3:$H$10000,8,FALSE),"0")</f>
        <v>0</v>
      </c>
      <c r="N13008" s="8"/>
      <c r="O13008" s="33" t="str">
        <f>IFERROR(VLOOKUP($M13008,'Informations sur les produits'!$A$3:$H$10000,8,FALSE),"0")</f>
        <v>0</v>
      </c>
      <c r="P13008" s="33">
        <f t="shared" si="812"/>
        <v>0</v>
      </c>
      <c r="Q13008" s="31" t="str">
        <f t="shared" si="813"/>
        <v/>
      </c>
      <c r="R13008" s="32" t="str">
        <f>IFERROR(VLOOKUP($D13008,'Informations sur les produits'!$A$3:$B$15000,2,FALSE),"")</f>
        <v/>
      </c>
      <c r="V13008">
        <f t="shared" si="814"/>
        <v>0</v>
      </c>
      <c r="W13008">
        <f t="shared" si="815"/>
        <v>0</v>
      </c>
    </row>
    <row r="13009" spans="5:23" x14ac:dyDescent="0.25">
      <c r="E13009" s="4"/>
      <c r="F13009" s="4"/>
      <c r="G13009" s="33" t="str">
        <f>IFERROR(VLOOKUP($D13009,'Informations sur les produits'!$A$3:$H$10000,8,FALSE),"0")</f>
        <v>0</v>
      </c>
      <c r="K13009" s="4"/>
      <c r="L13009" s="33" t="str">
        <f>IFERROR(VLOOKUP($J13009,'Informations sur les produits'!$A$3:$H$10000,8,FALSE),"0")</f>
        <v>0</v>
      </c>
      <c r="N13009" s="8"/>
      <c r="O13009" s="33" t="str">
        <f>IFERROR(VLOOKUP($M13009,'Informations sur les produits'!$A$3:$H$10000,8,FALSE),"0")</f>
        <v>0</v>
      </c>
      <c r="P13009" s="33">
        <f t="shared" si="812"/>
        <v>0</v>
      </c>
      <c r="Q13009" s="31" t="str">
        <f t="shared" si="813"/>
        <v/>
      </c>
      <c r="R13009" s="32" t="str">
        <f>IFERROR(VLOOKUP($D13009,'Informations sur les produits'!$A$3:$B$15000,2,FALSE),"")</f>
        <v/>
      </c>
      <c r="V13009">
        <f t="shared" si="814"/>
        <v>0</v>
      </c>
      <c r="W13009">
        <f t="shared" si="815"/>
        <v>0</v>
      </c>
    </row>
    <row r="13010" spans="5:23" x14ac:dyDescent="0.25">
      <c r="E13010" s="4"/>
      <c r="F13010" s="4"/>
      <c r="G13010" s="33" t="str">
        <f>IFERROR(VLOOKUP($D13010,'Informations sur les produits'!$A$3:$H$10000,8,FALSE),"0")</f>
        <v>0</v>
      </c>
      <c r="K13010" s="4"/>
      <c r="L13010" s="33" t="str">
        <f>IFERROR(VLOOKUP($J13010,'Informations sur les produits'!$A$3:$H$10000,8,FALSE),"0")</f>
        <v>0</v>
      </c>
      <c r="N13010" s="8"/>
      <c r="O13010" s="33" t="str">
        <f>IFERROR(VLOOKUP($M13010,'Informations sur les produits'!$A$3:$H$10000,8,FALSE),"0")</f>
        <v>0</v>
      </c>
      <c r="P13010" s="33">
        <f t="shared" si="812"/>
        <v>0</v>
      </c>
      <c r="Q13010" s="31" t="str">
        <f t="shared" si="813"/>
        <v/>
      </c>
      <c r="R13010" s="32" t="str">
        <f>IFERROR(VLOOKUP($D13010,'Informations sur les produits'!$A$3:$B$15000,2,FALSE),"")</f>
        <v/>
      </c>
      <c r="V13010">
        <f t="shared" si="814"/>
        <v>0</v>
      </c>
      <c r="W13010">
        <f t="shared" si="815"/>
        <v>0</v>
      </c>
    </row>
    <row r="13011" spans="5:23" x14ac:dyDescent="0.25">
      <c r="E13011" s="4"/>
      <c r="F13011" s="4"/>
      <c r="G13011" s="33" t="str">
        <f>IFERROR(VLOOKUP($D13011,'Informations sur les produits'!$A$3:$H$10000,8,FALSE),"0")</f>
        <v>0</v>
      </c>
      <c r="K13011" s="4"/>
      <c r="L13011" s="33" t="str">
        <f>IFERROR(VLOOKUP($J13011,'Informations sur les produits'!$A$3:$H$10000,8,FALSE),"0")</f>
        <v>0</v>
      </c>
      <c r="N13011" s="8"/>
      <c r="O13011" s="33" t="str">
        <f>IFERROR(VLOOKUP($M13011,'Informations sur les produits'!$A$3:$H$10000,8,FALSE),"0")</f>
        <v>0</v>
      </c>
      <c r="P13011" s="33">
        <f t="shared" si="812"/>
        <v>0</v>
      </c>
      <c r="Q13011" s="31" t="str">
        <f t="shared" si="813"/>
        <v/>
      </c>
      <c r="R13011" s="32" t="str">
        <f>IFERROR(VLOOKUP($D13011,'Informations sur les produits'!$A$3:$B$15000,2,FALSE),"")</f>
        <v/>
      </c>
      <c r="V13011">
        <f t="shared" si="814"/>
        <v>0</v>
      </c>
      <c r="W13011">
        <f t="shared" si="815"/>
        <v>0</v>
      </c>
    </row>
    <row r="13012" spans="5:23" x14ac:dyDescent="0.25">
      <c r="E13012" s="4"/>
      <c r="F13012" s="4"/>
      <c r="G13012" s="33" t="str">
        <f>IFERROR(VLOOKUP($D13012,'Informations sur les produits'!$A$3:$H$10000,8,FALSE),"0")</f>
        <v>0</v>
      </c>
      <c r="K13012" s="4"/>
      <c r="L13012" s="33" t="str">
        <f>IFERROR(VLOOKUP($J13012,'Informations sur les produits'!$A$3:$H$10000,8,FALSE),"0")</f>
        <v>0</v>
      </c>
      <c r="N13012" s="8"/>
      <c r="O13012" s="33" t="str">
        <f>IFERROR(VLOOKUP($M13012,'Informations sur les produits'!$A$3:$H$10000,8,FALSE),"0")</f>
        <v>0</v>
      </c>
      <c r="P13012" s="33">
        <f t="shared" si="812"/>
        <v>0</v>
      </c>
      <c r="Q13012" s="31" t="str">
        <f t="shared" si="813"/>
        <v/>
      </c>
      <c r="R13012" s="32" t="str">
        <f>IFERROR(VLOOKUP($D13012,'Informations sur les produits'!$A$3:$B$15000,2,FALSE),"")</f>
        <v/>
      </c>
      <c r="V13012">
        <f t="shared" si="814"/>
        <v>0</v>
      </c>
      <c r="W13012">
        <f t="shared" si="815"/>
        <v>0</v>
      </c>
    </row>
    <row r="13013" spans="5:23" x14ac:dyDescent="0.25">
      <c r="E13013" s="4"/>
      <c r="F13013" s="4"/>
      <c r="G13013" s="33" t="str">
        <f>IFERROR(VLOOKUP($D13013,'Informations sur les produits'!$A$3:$H$10000,8,FALSE),"0")</f>
        <v>0</v>
      </c>
      <c r="K13013" s="4"/>
      <c r="L13013" s="33" t="str">
        <f>IFERROR(VLOOKUP($J13013,'Informations sur les produits'!$A$3:$H$10000,8,FALSE),"0")</f>
        <v>0</v>
      </c>
      <c r="N13013" s="8"/>
      <c r="O13013" s="33" t="str">
        <f>IFERROR(VLOOKUP($M13013,'Informations sur les produits'!$A$3:$H$10000,8,FALSE),"0")</f>
        <v>0</v>
      </c>
      <c r="P13013" s="33">
        <f t="shared" si="812"/>
        <v>0</v>
      </c>
      <c r="Q13013" s="31" t="str">
        <f t="shared" si="813"/>
        <v/>
      </c>
      <c r="R13013" s="32" t="str">
        <f>IFERROR(VLOOKUP($D13013,'Informations sur les produits'!$A$3:$B$15000,2,FALSE),"")</f>
        <v/>
      </c>
      <c r="V13013">
        <f t="shared" si="814"/>
        <v>0</v>
      </c>
      <c r="W13013">
        <f t="shared" si="815"/>
        <v>0</v>
      </c>
    </row>
    <row r="13014" spans="5:23" x14ac:dyDescent="0.25">
      <c r="E13014" s="4"/>
      <c r="F13014" s="4"/>
      <c r="G13014" s="33" t="str">
        <f>IFERROR(VLOOKUP($D13014,'Informations sur les produits'!$A$3:$H$10000,8,FALSE),"0")</f>
        <v>0</v>
      </c>
      <c r="K13014" s="4"/>
      <c r="L13014" s="33" t="str">
        <f>IFERROR(VLOOKUP($J13014,'Informations sur les produits'!$A$3:$H$10000,8,FALSE),"0")</f>
        <v>0</v>
      </c>
      <c r="N13014" s="8"/>
      <c r="O13014" s="33" t="str">
        <f>IFERROR(VLOOKUP($M13014,'Informations sur les produits'!$A$3:$H$10000,8,FALSE),"0")</f>
        <v>0</v>
      </c>
      <c r="P13014" s="33">
        <f t="shared" si="812"/>
        <v>0</v>
      </c>
      <c r="Q13014" s="31" t="str">
        <f t="shared" si="813"/>
        <v/>
      </c>
      <c r="R13014" s="32" t="str">
        <f>IFERROR(VLOOKUP($D13014,'Informations sur les produits'!$A$3:$B$15000,2,FALSE),"")</f>
        <v/>
      </c>
      <c r="V13014">
        <f t="shared" si="814"/>
        <v>0</v>
      </c>
      <c r="W13014">
        <f t="shared" si="815"/>
        <v>0</v>
      </c>
    </row>
    <row r="13015" spans="5:23" x14ac:dyDescent="0.25">
      <c r="E13015" s="4"/>
      <c r="F13015" s="4"/>
      <c r="G13015" s="33" t="str">
        <f>IFERROR(VLOOKUP($D13015,'Informations sur les produits'!$A$3:$H$10000,8,FALSE),"0")</f>
        <v>0</v>
      </c>
      <c r="K13015" s="4"/>
      <c r="L13015" s="33" t="str">
        <f>IFERROR(VLOOKUP($J13015,'Informations sur les produits'!$A$3:$H$10000,8,FALSE),"0")</f>
        <v>0</v>
      </c>
      <c r="N13015" s="8"/>
      <c r="O13015" s="33" t="str">
        <f>IFERROR(VLOOKUP($M13015,'Informations sur les produits'!$A$3:$H$10000,8,FALSE),"0")</f>
        <v>0</v>
      </c>
      <c r="P13015" s="33">
        <f t="shared" si="812"/>
        <v>0</v>
      </c>
      <c r="Q13015" s="31" t="str">
        <f t="shared" si="813"/>
        <v/>
      </c>
      <c r="R13015" s="32" t="str">
        <f>IFERROR(VLOOKUP($D13015,'Informations sur les produits'!$A$3:$B$15000,2,FALSE),"")</f>
        <v/>
      </c>
      <c r="V13015">
        <f t="shared" si="814"/>
        <v>0</v>
      </c>
      <c r="W13015">
        <f t="shared" si="815"/>
        <v>0</v>
      </c>
    </row>
    <row r="13016" spans="5:23" x14ac:dyDescent="0.25">
      <c r="E13016" s="4"/>
      <c r="F13016" s="4"/>
      <c r="G13016" s="33" t="str">
        <f>IFERROR(VLOOKUP($D13016,'Informations sur les produits'!$A$3:$H$10000,8,FALSE),"0")</f>
        <v>0</v>
      </c>
      <c r="K13016" s="4"/>
      <c r="L13016" s="33" t="str">
        <f>IFERROR(VLOOKUP($J13016,'Informations sur les produits'!$A$3:$H$10000,8,FALSE),"0")</f>
        <v>0</v>
      </c>
      <c r="N13016" s="8"/>
      <c r="O13016" s="33" t="str">
        <f>IFERROR(VLOOKUP($M13016,'Informations sur les produits'!$A$3:$H$10000,8,FALSE),"0")</f>
        <v>0</v>
      </c>
      <c r="P13016" s="33">
        <f t="shared" si="812"/>
        <v>0</v>
      </c>
      <c r="Q13016" s="31" t="str">
        <f t="shared" si="813"/>
        <v/>
      </c>
      <c r="R13016" s="32" t="str">
        <f>IFERROR(VLOOKUP($D13016,'Informations sur les produits'!$A$3:$B$15000,2,FALSE),"")</f>
        <v/>
      </c>
      <c r="V13016">
        <f t="shared" si="814"/>
        <v>0</v>
      </c>
      <c r="W13016">
        <f t="shared" si="815"/>
        <v>0</v>
      </c>
    </row>
    <row r="13017" spans="5:23" x14ac:dyDescent="0.25">
      <c r="E13017" s="4"/>
      <c r="F13017" s="4"/>
      <c r="G13017" s="33" t="str">
        <f>IFERROR(VLOOKUP($D13017,'Informations sur les produits'!$A$3:$H$10000,8,FALSE),"0")</f>
        <v>0</v>
      </c>
      <c r="K13017" s="4"/>
      <c r="L13017" s="33" t="str">
        <f>IFERROR(VLOOKUP($J13017,'Informations sur les produits'!$A$3:$H$10000,8,FALSE),"0")</f>
        <v>0</v>
      </c>
      <c r="N13017" s="8"/>
      <c r="O13017" s="33" t="str">
        <f>IFERROR(VLOOKUP($M13017,'Informations sur les produits'!$A$3:$H$10000,8,FALSE),"0")</f>
        <v>0</v>
      </c>
      <c r="P13017" s="33">
        <f t="shared" si="812"/>
        <v>0</v>
      </c>
      <c r="Q13017" s="31" t="str">
        <f t="shared" si="813"/>
        <v/>
      </c>
      <c r="R13017" s="32" t="str">
        <f>IFERROR(VLOOKUP($D13017,'Informations sur les produits'!$A$3:$B$15000,2,FALSE),"")</f>
        <v/>
      </c>
      <c r="V13017">
        <f t="shared" si="814"/>
        <v>0</v>
      </c>
      <c r="W13017">
        <f t="shared" si="815"/>
        <v>0</v>
      </c>
    </row>
    <row r="13018" spans="5:23" x14ac:dyDescent="0.25">
      <c r="E13018" s="4"/>
      <c r="F13018" s="4"/>
      <c r="G13018" s="33" t="str">
        <f>IFERROR(VLOOKUP($D13018,'Informations sur les produits'!$A$3:$H$10000,8,FALSE),"0")</f>
        <v>0</v>
      </c>
      <c r="K13018" s="4"/>
      <c r="L13018" s="33" t="str">
        <f>IFERROR(VLOOKUP($J13018,'Informations sur les produits'!$A$3:$H$10000,8,FALSE),"0")</f>
        <v>0</v>
      </c>
      <c r="N13018" s="8"/>
      <c r="O13018" s="33" t="str">
        <f>IFERROR(VLOOKUP($M13018,'Informations sur les produits'!$A$3:$H$10000,8,FALSE),"0")</f>
        <v>0</v>
      </c>
      <c r="P13018" s="33">
        <f t="shared" si="812"/>
        <v>0</v>
      </c>
      <c r="Q13018" s="31" t="str">
        <f t="shared" si="813"/>
        <v/>
      </c>
      <c r="R13018" s="32" t="str">
        <f>IFERROR(VLOOKUP($D13018,'Informations sur les produits'!$A$3:$B$15000,2,FALSE),"")</f>
        <v/>
      </c>
      <c r="V13018">
        <f t="shared" si="814"/>
        <v>0</v>
      </c>
      <c r="W13018">
        <f t="shared" si="815"/>
        <v>0</v>
      </c>
    </row>
    <row r="13019" spans="5:23" x14ac:dyDescent="0.25">
      <c r="E13019" s="4"/>
      <c r="F13019" s="4"/>
      <c r="G13019" s="33" t="str">
        <f>IFERROR(VLOOKUP($D13019,'Informations sur les produits'!$A$3:$H$10000,8,FALSE),"0")</f>
        <v>0</v>
      </c>
      <c r="K13019" s="4"/>
      <c r="L13019" s="33" t="str">
        <f>IFERROR(VLOOKUP($J13019,'Informations sur les produits'!$A$3:$H$10000,8,FALSE),"0")</f>
        <v>0</v>
      </c>
      <c r="N13019" s="8"/>
      <c r="O13019" s="33" t="str">
        <f>IFERROR(VLOOKUP($M13019,'Informations sur les produits'!$A$3:$H$10000,8,FALSE),"0")</f>
        <v>0</v>
      </c>
      <c r="P13019" s="33">
        <f t="shared" si="812"/>
        <v>0</v>
      </c>
      <c r="Q13019" s="31" t="str">
        <f t="shared" si="813"/>
        <v/>
      </c>
      <c r="R13019" s="32" t="str">
        <f>IFERROR(VLOOKUP($D13019,'Informations sur les produits'!$A$3:$B$15000,2,FALSE),"")</f>
        <v/>
      </c>
      <c r="V13019">
        <f t="shared" si="814"/>
        <v>0</v>
      </c>
      <c r="W13019">
        <f t="shared" si="815"/>
        <v>0</v>
      </c>
    </row>
    <row r="13020" spans="5:23" x14ac:dyDescent="0.25">
      <c r="E13020" s="4"/>
      <c r="F13020" s="4"/>
      <c r="G13020" s="33" t="str">
        <f>IFERROR(VLOOKUP($D13020,'Informations sur les produits'!$A$3:$H$10000,8,FALSE),"0")</f>
        <v>0</v>
      </c>
      <c r="K13020" s="4"/>
      <c r="L13020" s="33" t="str">
        <f>IFERROR(VLOOKUP($J13020,'Informations sur les produits'!$A$3:$H$10000,8,FALSE),"0")</f>
        <v>0</v>
      </c>
      <c r="N13020" s="8"/>
      <c r="O13020" s="33" t="str">
        <f>IFERROR(VLOOKUP($M13020,'Informations sur les produits'!$A$3:$H$10000,8,FALSE),"0")</f>
        <v>0</v>
      </c>
      <c r="P13020" s="33">
        <f t="shared" si="812"/>
        <v>0</v>
      </c>
      <c r="Q13020" s="31" t="str">
        <f t="shared" si="813"/>
        <v/>
      </c>
      <c r="R13020" s="32" t="str">
        <f>IFERROR(VLOOKUP($D13020,'Informations sur les produits'!$A$3:$B$15000,2,FALSE),"")</f>
        <v/>
      </c>
      <c r="V13020">
        <f t="shared" si="814"/>
        <v>0</v>
      </c>
      <c r="W13020">
        <f t="shared" si="815"/>
        <v>0</v>
      </c>
    </row>
    <row r="13021" spans="5:23" x14ac:dyDescent="0.25">
      <c r="E13021" s="4"/>
      <c r="F13021" s="4"/>
      <c r="G13021" s="33" t="str">
        <f>IFERROR(VLOOKUP($D13021,'Informations sur les produits'!$A$3:$H$10000,8,FALSE),"0")</f>
        <v>0</v>
      </c>
      <c r="K13021" s="4"/>
      <c r="L13021" s="33" t="str">
        <f>IFERROR(VLOOKUP($J13021,'Informations sur les produits'!$A$3:$H$10000,8,FALSE),"0")</f>
        <v>0</v>
      </c>
      <c r="N13021" s="8"/>
      <c r="O13021" s="33" t="str">
        <f>IFERROR(VLOOKUP($M13021,'Informations sur les produits'!$A$3:$H$10000,8,FALSE),"0")</f>
        <v>0</v>
      </c>
      <c r="P13021" s="33">
        <f t="shared" si="812"/>
        <v>0</v>
      </c>
      <c r="Q13021" s="31" t="str">
        <f t="shared" si="813"/>
        <v/>
      </c>
      <c r="R13021" s="32" t="str">
        <f>IFERROR(VLOOKUP($D13021,'Informations sur les produits'!$A$3:$B$15000,2,FALSE),"")</f>
        <v/>
      </c>
      <c r="V13021">
        <f t="shared" si="814"/>
        <v>0</v>
      </c>
      <c r="W13021">
        <f t="shared" si="815"/>
        <v>0</v>
      </c>
    </row>
    <row r="13022" spans="5:23" x14ac:dyDescent="0.25">
      <c r="E13022" s="4"/>
      <c r="F13022" s="4"/>
      <c r="G13022" s="33" t="str">
        <f>IFERROR(VLOOKUP($D13022,'Informations sur les produits'!$A$3:$H$10000,8,FALSE),"0")</f>
        <v>0</v>
      </c>
      <c r="K13022" s="4"/>
      <c r="L13022" s="33" t="str">
        <f>IFERROR(VLOOKUP($J13022,'Informations sur les produits'!$A$3:$H$10000,8,FALSE),"0")</f>
        <v>0</v>
      </c>
      <c r="N13022" s="8"/>
      <c r="O13022" s="33" t="str">
        <f>IFERROR(VLOOKUP($M13022,'Informations sur les produits'!$A$3:$H$10000,8,FALSE),"0")</f>
        <v>0</v>
      </c>
      <c r="P13022" s="33">
        <f t="shared" si="812"/>
        <v>0</v>
      </c>
      <c r="Q13022" s="31" t="str">
        <f t="shared" si="813"/>
        <v/>
      </c>
      <c r="R13022" s="32" t="str">
        <f>IFERROR(VLOOKUP($D13022,'Informations sur les produits'!$A$3:$B$15000,2,FALSE),"")</f>
        <v/>
      </c>
      <c r="V13022">
        <f t="shared" si="814"/>
        <v>0</v>
      </c>
      <c r="W13022">
        <f t="shared" si="815"/>
        <v>0</v>
      </c>
    </row>
    <row r="13023" spans="5:23" x14ac:dyDescent="0.25">
      <c r="E13023" s="4"/>
      <c r="F13023" s="4"/>
      <c r="G13023" s="33" t="str">
        <f>IFERROR(VLOOKUP($D13023,'Informations sur les produits'!$A$3:$H$10000,8,FALSE),"0")</f>
        <v>0</v>
      </c>
      <c r="K13023" s="4"/>
      <c r="L13023" s="33" t="str">
        <f>IFERROR(VLOOKUP($J13023,'Informations sur les produits'!$A$3:$H$10000,8,FALSE),"0")</f>
        <v>0</v>
      </c>
      <c r="N13023" s="8"/>
      <c r="O13023" s="33" t="str">
        <f>IFERROR(VLOOKUP($M13023,'Informations sur les produits'!$A$3:$H$10000,8,FALSE),"0")</f>
        <v>0</v>
      </c>
      <c r="P13023" s="33">
        <f t="shared" si="812"/>
        <v>0</v>
      </c>
      <c r="Q13023" s="31" t="str">
        <f t="shared" si="813"/>
        <v/>
      </c>
      <c r="R13023" s="32" t="str">
        <f>IFERROR(VLOOKUP($D13023,'Informations sur les produits'!$A$3:$B$15000,2,FALSE),"")</f>
        <v/>
      </c>
      <c r="V13023">
        <f t="shared" si="814"/>
        <v>0</v>
      </c>
      <c r="W13023">
        <f t="shared" si="815"/>
        <v>0</v>
      </c>
    </row>
    <row r="13024" spans="5:23" x14ac:dyDescent="0.25">
      <c r="E13024" s="4"/>
      <c r="F13024" s="4"/>
      <c r="G13024" s="33" t="str">
        <f>IFERROR(VLOOKUP($D13024,'Informations sur les produits'!$A$3:$H$10000,8,FALSE),"0")</f>
        <v>0</v>
      </c>
      <c r="K13024" s="4"/>
      <c r="L13024" s="33" t="str">
        <f>IFERROR(VLOOKUP($J13024,'Informations sur les produits'!$A$3:$H$10000,8,FALSE),"0")</f>
        <v>0</v>
      </c>
      <c r="N13024" s="8"/>
      <c r="O13024" s="33" t="str">
        <f>IFERROR(VLOOKUP($M13024,'Informations sur les produits'!$A$3:$H$10000,8,FALSE),"0")</f>
        <v>0</v>
      </c>
      <c r="P13024" s="33">
        <f t="shared" si="812"/>
        <v>0</v>
      </c>
      <c r="Q13024" s="31" t="str">
        <f t="shared" si="813"/>
        <v/>
      </c>
      <c r="R13024" s="32" t="str">
        <f>IFERROR(VLOOKUP($D13024,'Informations sur les produits'!$A$3:$B$15000,2,FALSE),"")</f>
        <v/>
      </c>
      <c r="V13024">
        <f t="shared" si="814"/>
        <v>0</v>
      </c>
      <c r="W13024">
        <f t="shared" si="815"/>
        <v>0</v>
      </c>
    </row>
    <row r="13025" spans="5:23" x14ac:dyDescent="0.25">
      <c r="E13025" s="4"/>
      <c r="F13025" s="4"/>
      <c r="G13025" s="33" t="str">
        <f>IFERROR(VLOOKUP($D13025,'Informations sur les produits'!$A$3:$H$10000,8,FALSE),"0")</f>
        <v>0</v>
      </c>
      <c r="K13025" s="4"/>
      <c r="L13025" s="33" t="str">
        <f>IFERROR(VLOOKUP($J13025,'Informations sur les produits'!$A$3:$H$10000,8,FALSE),"0")</f>
        <v>0</v>
      </c>
      <c r="N13025" s="8"/>
      <c r="O13025" s="33" t="str">
        <f>IFERROR(VLOOKUP($M13025,'Informations sur les produits'!$A$3:$H$10000,8,FALSE),"0")</f>
        <v>0</v>
      </c>
      <c r="P13025" s="33">
        <f t="shared" si="812"/>
        <v>0</v>
      </c>
      <c r="Q13025" s="31" t="str">
        <f t="shared" si="813"/>
        <v/>
      </c>
      <c r="R13025" s="32" t="str">
        <f>IFERROR(VLOOKUP($D13025,'Informations sur les produits'!$A$3:$B$15000,2,FALSE),"")</f>
        <v/>
      </c>
      <c r="V13025">
        <f t="shared" si="814"/>
        <v>0</v>
      </c>
      <c r="W13025">
        <f t="shared" si="815"/>
        <v>0</v>
      </c>
    </row>
    <row r="13026" spans="5:23" x14ac:dyDescent="0.25">
      <c r="E13026" s="4"/>
      <c r="F13026" s="4"/>
      <c r="G13026" s="33" t="str">
        <f>IFERROR(VLOOKUP($D13026,'Informations sur les produits'!$A$3:$H$10000,8,FALSE),"0")</f>
        <v>0</v>
      </c>
      <c r="K13026" s="4"/>
      <c r="L13026" s="33" t="str">
        <f>IFERROR(VLOOKUP($J13026,'Informations sur les produits'!$A$3:$H$10000,8,FALSE),"0")</f>
        <v>0</v>
      </c>
      <c r="N13026" s="8"/>
      <c r="O13026" s="33" t="str">
        <f>IFERROR(VLOOKUP($M13026,'Informations sur les produits'!$A$3:$H$10000,8,FALSE),"0")</f>
        <v>0</v>
      </c>
      <c r="P13026" s="33">
        <f t="shared" si="812"/>
        <v>0</v>
      </c>
      <c r="Q13026" s="31" t="str">
        <f t="shared" si="813"/>
        <v/>
      </c>
      <c r="R13026" s="32" t="str">
        <f>IFERROR(VLOOKUP($D13026,'Informations sur les produits'!$A$3:$B$15000,2,FALSE),"")</f>
        <v/>
      </c>
      <c r="V13026">
        <f t="shared" si="814"/>
        <v>0</v>
      </c>
      <c r="W13026">
        <f t="shared" si="815"/>
        <v>0</v>
      </c>
    </row>
    <row r="13027" spans="5:23" x14ac:dyDescent="0.25">
      <c r="E13027" s="4"/>
      <c r="F13027" s="4"/>
      <c r="G13027" s="33" t="str">
        <f>IFERROR(VLOOKUP($D13027,'Informations sur les produits'!$A$3:$H$10000,8,FALSE),"0")</f>
        <v>0</v>
      </c>
      <c r="K13027" s="4"/>
      <c r="L13027" s="33" t="str">
        <f>IFERROR(VLOOKUP($J13027,'Informations sur les produits'!$A$3:$H$10000,8,FALSE),"0")</f>
        <v>0</v>
      </c>
      <c r="N13027" s="8"/>
      <c r="O13027" s="33" t="str">
        <f>IFERROR(VLOOKUP($M13027,'Informations sur les produits'!$A$3:$H$10000,8,FALSE),"0")</f>
        <v>0</v>
      </c>
      <c r="P13027" s="33">
        <f t="shared" si="812"/>
        <v>0</v>
      </c>
      <c r="Q13027" s="31" t="str">
        <f t="shared" si="813"/>
        <v/>
      </c>
      <c r="R13027" s="32" t="str">
        <f>IFERROR(VLOOKUP($D13027,'Informations sur les produits'!$A$3:$B$15000,2,FALSE),"")</f>
        <v/>
      </c>
      <c r="V13027">
        <f t="shared" si="814"/>
        <v>0</v>
      </c>
      <c r="W13027">
        <f t="shared" si="815"/>
        <v>0</v>
      </c>
    </row>
    <row r="13028" spans="5:23" x14ac:dyDescent="0.25">
      <c r="E13028" s="4"/>
      <c r="F13028" s="4"/>
      <c r="G13028" s="33" t="str">
        <f>IFERROR(VLOOKUP($D13028,'Informations sur les produits'!$A$3:$H$10000,8,FALSE),"0")</f>
        <v>0</v>
      </c>
      <c r="K13028" s="4"/>
      <c r="L13028" s="33" t="str">
        <f>IFERROR(VLOOKUP($J13028,'Informations sur les produits'!$A$3:$H$10000,8,FALSE),"0")</f>
        <v>0</v>
      </c>
      <c r="N13028" s="8"/>
      <c r="O13028" s="33" t="str">
        <f>IFERROR(VLOOKUP($M13028,'Informations sur les produits'!$A$3:$H$10000,8,FALSE),"0")</f>
        <v>0</v>
      </c>
      <c r="P13028" s="33">
        <f t="shared" si="812"/>
        <v>0</v>
      </c>
      <c r="Q13028" s="31" t="str">
        <f t="shared" si="813"/>
        <v/>
      </c>
      <c r="R13028" s="32" t="str">
        <f>IFERROR(VLOOKUP($D13028,'Informations sur les produits'!$A$3:$B$15000,2,FALSE),"")</f>
        <v/>
      </c>
      <c r="V13028">
        <f t="shared" si="814"/>
        <v>0</v>
      </c>
      <c r="W13028">
        <f t="shared" si="815"/>
        <v>0</v>
      </c>
    </row>
    <row r="13029" spans="5:23" x14ac:dyDescent="0.25">
      <c r="E13029" s="4"/>
      <c r="F13029" s="4"/>
      <c r="G13029" s="33" t="str">
        <f>IFERROR(VLOOKUP($D13029,'Informations sur les produits'!$A$3:$H$10000,8,FALSE),"0")</f>
        <v>0</v>
      </c>
      <c r="K13029" s="4"/>
      <c r="L13029" s="33" t="str">
        <f>IFERROR(VLOOKUP($J13029,'Informations sur les produits'!$A$3:$H$10000,8,FALSE),"0")</f>
        <v>0</v>
      </c>
      <c r="N13029" s="8"/>
      <c r="O13029" s="33" t="str">
        <f>IFERROR(VLOOKUP($M13029,'Informations sur les produits'!$A$3:$H$10000,8,FALSE),"0")</f>
        <v>0</v>
      </c>
      <c r="P13029" s="33">
        <f t="shared" si="812"/>
        <v>0</v>
      </c>
      <c r="Q13029" s="31" t="str">
        <f t="shared" si="813"/>
        <v/>
      </c>
      <c r="R13029" s="32" t="str">
        <f>IFERROR(VLOOKUP($D13029,'Informations sur les produits'!$A$3:$B$15000,2,FALSE),"")</f>
        <v/>
      </c>
      <c r="V13029">
        <f t="shared" si="814"/>
        <v>0</v>
      </c>
      <c r="W13029">
        <f t="shared" si="815"/>
        <v>0</v>
      </c>
    </row>
    <row r="13030" spans="5:23" x14ac:dyDescent="0.25">
      <c r="E13030" s="4"/>
      <c r="F13030" s="4"/>
      <c r="G13030" s="33" t="str">
        <f>IFERROR(VLOOKUP($D13030,'Informations sur les produits'!$A$3:$H$10000,8,FALSE),"0")</f>
        <v>0</v>
      </c>
      <c r="K13030" s="4"/>
      <c r="L13030" s="33" t="str">
        <f>IFERROR(VLOOKUP($J13030,'Informations sur les produits'!$A$3:$H$10000,8,FALSE),"0")</f>
        <v>0</v>
      </c>
      <c r="N13030" s="8"/>
      <c r="O13030" s="33" t="str">
        <f>IFERROR(VLOOKUP($M13030,'Informations sur les produits'!$A$3:$H$10000,8,FALSE),"0")</f>
        <v>0</v>
      </c>
      <c r="P13030" s="33">
        <f t="shared" si="812"/>
        <v>0</v>
      </c>
      <c r="Q13030" s="31" t="str">
        <f t="shared" si="813"/>
        <v/>
      </c>
      <c r="R13030" s="32" t="str">
        <f>IFERROR(VLOOKUP($D13030,'Informations sur les produits'!$A$3:$B$15000,2,FALSE),"")</f>
        <v/>
      </c>
      <c r="V13030">
        <f t="shared" si="814"/>
        <v>0</v>
      </c>
      <c r="W13030">
        <f t="shared" si="815"/>
        <v>0</v>
      </c>
    </row>
    <row r="13031" spans="5:23" x14ac:dyDescent="0.25">
      <c r="E13031" s="4"/>
      <c r="F13031" s="4"/>
      <c r="G13031" s="33" t="str">
        <f>IFERROR(VLOOKUP($D13031,'Informations sur les produits'!$A$3:$H$10000,8,FALSE),"0")</f>
        <v>0</v>
      </c>
      <c r="K13031" s="4"/>
      <c r="L13031" s="33" t="str">
        <f>IFERROR(VLOOKUP($J13031,'Informations sur les produits'!$A$3:$H$10000,8,FALSE),"0")</f>
        <v>0</v>
      </c>
      <c r="N13031" s="8"/>
      <c r="O13031" s="33" t="str">
        <f>IFERROR(VLOOKUP($M13031,'Informations sur les produits'!$A$3:$H$10000,8,FALSE),"0")</f>
        <v>0</v>
      </c>
      <c r="P13031" s="33">
        <f t="shared" si="812"/>
        <v>0</v>
      </c>
      <c r="Q13031" s="31" t="str">
        <f t="shared" si="813"/>
        <v/>
      </c>
      <c r="R13031" s="32" t="str">
        <f>IFERROR(VLOOKUP($D13031,'Informations sur les produits'!$A$3:$B$15000,2,FALSE),"")</f>
        <v/>
      </c>
      <c r="V13031">
        <f t="shared" si="814"/>
        <v>0</v>
      </c>
      <c r="W13031">
        <f t="shared" si="815"/>
        <v>0</v>
      </c>
    </row>
    <row r="13032" spans="5:23" x14ac:dyDescent="0.25">
      <c r="E13032" s="4"/>
      <c r="F13032" s="4"/>
      <c r="G13032" s="33" t="str">
        <f>IFERROR(VLOOKUP($D13032,'Informations sur les produits'!$A$3:$H$10000,8,FALSE),"0")</f>
        <v>0</v>
      </c>
      <c r="K13032" s="4"/>
      <c r="L13032" s="33" t="str">
        <f>IFERROR(VLOOKUP($J13032,'Informations sur les produits'!$A$3:$H$10000,8,FALSE),"0")</f>
        <v>0</v>
      </c>
      <c r="N13032" s="8"/>
      <c r="O13032" s="33" t="str">
        <f>IFERROR(VLOOKUP($M13032,'Informations sur les produits'!$A$3:$H$10000,8,FALSE),"0")</f>
        <v>0</v>
      </c>
      <c r="P13032" s="33">
        <f t="shared" si="812"/>
        <v>0</v>
      </c>
      <c r="Q13032" s="31" t="str">
        <f t="shared" si="813"/>
        <v/>
      </c>
      <c r="R13032" s="32" t="str">
        <f>IFERROR(VLOOKUP($D13032,'Informations sur les produits'!$A$3:$B$15000,2,FALSE),"")</f>
        <v/>
      </c>
      <c r="V13032">
        <f t="shared" si="814"/>
        <v>0</v>
      </c>
      <c r="W13032">
        <f t="shared" si="815"/>
        <v>0</v>
      </c>
    </row>
    <row r="13033" spans="5:23" x14ac:dyDescent="0.25">
      <c r="E13033" s="4"/>
      <c r="F13033" s="4"/>
      <c r="G13033" s="33" t="str">
        <f>IFERROR(VLOOKUP($D13033,'Informations sur les produits'!$A$3:$H$10000,8,FALSE),"0")</f>
        <v>0</v>
      </c>
      <c r="K13033" s="4"/>
      <c r="L13033" s="33" t="str">
        <f>IFERROR(VLOOKUP($J13033,'Informations sur les produits'!$A$3:$H$10000,8,FALSE),"0")</f>
        <v>0</v>
      </c>
      <c r="N13033" s="8"/>
      <c r="O13033" s="33" t="str">
        <f>IFERROR(VLOOKUP($M13033,'Informations sur les produits'!$A$3:$H$10000,8,FALSE),"0")</f>
        <v>0</v>
      </c>
      <c r="P13033" s="33">
        <f t="shared" si="812"/>
        <v>0</v>
      </c>
      <c r="Q13033" s="31" t="str">
        <f t="shared" si="813"/>
        <v/>
      </c>
      <c r="R13033" s="32" t="str">
        <f>IFERROR(VLOOKUP($D13033,'Informations sur les produits'!$A$3:$B$15000,2,FALSE),"")</f>
        <v/>
      </c>
      <c r="V13033">
        <f t="shared" si="814"/>
        <v>0</v>
      </c>
      <c r="W13033">
        <f t="shared" si="815"/>
        <v>0</v>
      </c>
    </row>
    <row r="13034" spans="5:23" x14ac:dyDescent="0.25">
      <c r="E13034" s="4"/>
      <c r="F13034" s="4"/>
      <c r="G13034" s="33" t="str">
        <f>IFERROR(VLOOKUP($D13034,'Informations sur les produits'!$A$3:$H$10000,8,FALSE),"0")</f>
        <v>0</v>
      </c>
      <c r="K13034" s="4"/>
      <c r="L13034" s="33" t="str">
        <f>IFERROR(VLOOKUP($J13034,'Informations sur les produits'!$A$3:$H$10000,8,FALSE),"0")</f>
        <v>0</v>
      </c>
      <c r="N13034" s="8"/>
      <c r="O13034" s="33" t="str">
        <f>IFERROR(VLOOKUP($M13034,'Informations sur les produits'!$A$3:$H$10000,8,FALSE),"0")</f>
        <v>0</v>
      </c>
      <c r="P13034" s="33">
        <f t="shared" si="812"/>
        <v>0</v>
      </c>
      <c r="Q13034" s="31" t="str">
        <f t="shared" si="813"/>
        <v/>
      </c>
      <c r="R13034" s="32" t="str">
        <f>IFERROR(VLOOKUP($D13034,'Informations sur les produits'!$A$3:$B$15000,2,FALSE),"")</f>
        <v/>
      </c>
      <c r="V13034">
        <f t="shared" si="814"/>
        <v>0</v>
      </c>
      <c r="W13034">
        <f t="shared" si="815"/>
        <v>0</v>
      </c>
    </row>
    <row r="13035" spans="5:23" x14ac:dyDescent="0.25">
      <c r="E13035" s="4"/>
      <c r="F13035" s="4"/>
      <c r="G13035" s="33" t="str">
        <f>IFERROR(VLOOKUP($D13035,'Informations sur les produits'!$A$3:$H$10000,8,FALSE),"0")</f>
        <v>0</v>
      </c>
      <c r="K13035" s="4"/>
      <c r="L13035" s="33" t="str">
        <f>IFERROR(VLOOKUP($J13035,'Informations sur les produits'!$A$3:$H$10000,8,FALSE),"0")</f>
        <v>0</v>
      </c>
      <c r="N13035" s="8"/>
      <c r="O13035" s="33" t="str">
        <f>IFERROR(VLOOKUP($M13035,'Informations sur les produits'!$A$3:$H$10000,8,FALSE),"0")</f>
        <v>0</v>
      </c>
      <c r="P13035" s="33">
        <f t="shared" si="812"/>
        <v>0</v>
      </c>
      <c r="Q13035" s="31" t="str">
        <f t="shared" si="813"/>
        <v/>
      </c>
      <c r="R13035" s="32" t="str">
        <f>IFERROR(VLOOKUP($D13035,'Informations sur les produits'!$A$3:$B$15000,2,FALSE),"")</f>
        <v/>
      </c>
      <c r="V13035">
        <f t="shared" si="814"/>
        <v>0</v>
      </c>
      <c r="W13035">
        <f t="shared" si="815"/>
        <v>0</v>
      </c>
    </row>
    <row r="13036" spans="5:23" x14ac:dyDescent="0.25">
      <c r="E13036" s="4"/>
      <c r="F13036" s="4"/>
      <c r="G13036" s="33" t="str">
        <f>IFERROR(VLOOKUP($D13036,'Informations sur les produits'!$A$3:$H$10000,8,FALSE),"0")</f>
        <v>0</v>
      </c>
      <c r="K13036" s="4"/>
      <c r="L13036" s="33" t="str">
        <f>IFERROR(VLOOKUP($J13036,'Informations sur les produits'!$A$3:$H$10000,8,FALSE),"0")</f>
        <v>0</v>
      </c>
      <c r="N13036" s="8"/>
      <c r="O13036" s="33" t="str">
        <f>IFERROR(VLOOKUP($M13036,'Informations sur les produits'!$A$3:$H$10000,8,FALSE),"0")</f>
        <v>0</v>
      </c>
      <c r="P13036" s="33">
        <f t="shared" si="812"/>
        <v>0</v>
      </c>
      <c r="Q13036" s="31" t="str">
        <f t="shared" si="813"/>
        <v/>
      </c>
      <c r="R13036" s="32" t="str">
        <f>IFERROR(VLOOKUP($D13036,'Informations sur les produits'!$A$3:$B$15000,2,FALSE),"")</f>
        <v/>
      </c>
      <c r="V13036">
        <f t="shared" si="814"/>
        <v>0</v>
      </c>
      <c r="W13036">
        <f t="shared" si="815"/>
        <v>0</v>
      </c>
    </row>
    <row r="13037" spans="5:23" x14ac:dyDescent="0.25">
      <c r="E13037" s="4"/>
      <c r="F13037" s="4"/>
      <c r="G13037" s="33" t="str">
        <f>IFERROR(VLOOKUP($D13037,'Informations sur les produits'!$A$3:$H$10000,8,FALSE),"0")</f>
        <v>0</v>
      </c>
      <c r="K13037" s="4"/>
      <c r="L13037" s="33" t="str">
        <f>IFERROR(VLOOKUP($J13037,'Informations sur les produits'!$A$3:$H$10000,8,FALSE),"0")</f>
        <v>0</v>
      </c>
      <c r="N13037" s="8"/>
      <c r="O13037" s="33" t="str">
        <f>IFERROR(VLOOKUP($M13037,'Informations sur les produits'!$A$3:$H$10000,8,FALSE),"0")</f>
        <v>0</v>
      </c>
      <c r="P13037" s="33">
        <f t="shared" si="812"/>
        <v>0</v>
      </c>
      <c r="Q13037" s="31" t="str">
        <f t="shared" si="813"/>
        <v/>
      </c>
      <c r="R13037" s="32" t="str">
        <f>IFERROR(VLOOKUP($D13037,'Informations sur les produits'!$A$3:$B$15000,2,FALSE),"")</f>
        <v/>
      </c>
      <c r="V13037">
        <f t="shared" si="814"/>
        <v>0</v>
      </c>
      <c r="W13037">
        <f t="shared" si="815"/>
        <v>0</v>
      </c>
    </row>
    <row r="13038" spans="5:23" x14ac:dyDescent="0.25">
      <c r="E13038" s="4"/>
      <c r="F13038" s="4"/>
      <c r="G13038" s="33" t="str">
        <f>IFERROR(VLOOKUP($D13038,'Informations sur les produits'!$A$3:$H$10000,8,FALSE),"0")</f>
        <v>0</v>
      </c>
      <c r="K13038" s="4"/>
      <c r="L13038" s="33" t="str">
        <f>IFERROR(VLOOKUP($J13038,'Informations sur les produits'!$A$3:$H$10000,8,FALSE),"0")</f>
        <v>0</v>
      </c>
      <c r="N13038" s="8"/>
      <c r="O13038" s="33" t="str">
        <f>IFERROR(VLOOKUP($M13038,'Informations sur les produits'!$A$3:$H$10000,8,FALSE),"0")</f>
        <v>0</v>
      </c>
      <c r="P13038" s="33">
        <f t="shared" si="812"/>
        <v>0</v>
      </c>
      <c r="Q13038" s="31" t="str">
        <f t="shared" si="813"/>
        <v/>
      </c>
      <c r="R13038" s="32" t="str">
        <f>IFERROR(VLOOKUP($D13038,'Informations sur les produits'!$A$3:$B$15000,2,FALSE),"")</f>
        <v/>
      </c>
      <c r="V13038">
        <f t="shared" si="814"/>
        <v>0</v>
      </c>
      <c r="W13038">
        <f t="shared" si="815"/>
        <v>0</v>
      </c>
    </row>
    <row r="13039" spans="5:23" x14ac:dyDescent="0.25">
      <c r="E13039" s="4"/>
      <c r="F13039" s="4"/>
      <c r="G13039" s="33" t="str">
        <f>IFERROR(VLOOKUP($D13039,'Informations sur les produits'!$A$3:$H$10000,8,FALSE),"0")</f>
        <v>0</v>
      </c>
      <c r="K13039" s="4"/>
      <c r="L13039" s="33" t="str">
        <f>IFERROR(VLOOKUP($J13039,'Informations sur les produits'!$A$3:$H$10000,8,FALSE),"0")</f>
        <v>0</v>
      </c>
      <c r="N13039" s="8"/>
      <c r="O13039" s="33" t="str">
        <f>IFERROR(VLOOKUP($M13039,'Informations sur les produits'!$A$3:$H$10000,8,FALSE),"0")</f>
        <v>0</v>
      </c>
      <c r="P13039" s="33">
        <f t="shared" si="812"/>
        <v>0</v>
      </c>
      <c r="Q13039" s="31" t="str">
        <f t="shared" si="813"/>
        <v/>
      </c>
      <c r="R13039" s="32" t="str">
        <f>IFERROR(VLOOKUP($D13039,'Informations sur les produits'!$A$3:$B$15000,2,FALSE),"")</f>
        <v/>
      </c>
      <c r="V13039">
        <f t="shared" si="814"/>
        <v>0</v>
      </c>
      <c r="W13039">
        <f t="shared" si="815"/>
        <v>0</v>
      </c>
    </row>
    <row r="13040" spans="5:23" x14ac:dyDescent="0.25">
      <c r="E13040" s="4"/>
      <c r="F13040" s="4"/>
      <c r="G13040" s="33" t="str">
        <f>IFERROR(VLOOKUP($D13040,'Informations sur les produits'!$A$3:$H$10000,8,FALSE),"0")</f>
        <v>0</v>
      </c>
      <c r="K13040" s="4"/>
      <c r="L13040" s="33" t="str">
        <f>IFERROR(VLOOKUP($J13040,'Informations sur les produits'!$A$3:$H$10000,8,FALSE),"0")</f>
        <v>0</v>
      </c>
      <c r="N13040" s="8"/>
      <c r="O13040" s="33" t="str">
        <f>IFERROR(VLOOKUP($M13040,'Informations sur les produits'!$A$3:$H$10000,8,FALSE),"0")</f>
        <v>0</v>
      </c>
      <c r="P13040" s="33">
        <f t="shared" si="812"/>
        <v>0</v>
      </c>
      <c r="Q13040" s="31" t="str">
        <f t="shared" si="813"/>
        <v/>
      </c>
      <c r="R13040" s="32" t="str">
        <f>IFERROR(VLOOKUP($D13040,'Informations sur les produits'!$A$3:$B$15000,2,FALSE),"")</f>
        <v/>
      </c>
      <c r="V13040">
        <f t="shared" si="814"/>
        <v>0</v>
      </c>
      <c r="W13040">
        <f t="shared" si="815"/>
        <v>0</v>
      </c>
    </row>
    <row r="13041" spans="5:23" x14ac:dyDescent="0.25">
      <c r="E13041" s="4"/>
      <c r="F13041" s="4"/>
      <c r="G13041" s="33" t="str">
        <f>IFERROR(VLOOKUP($D13041,'Informations sur les produits'!$A$3:$H$10000,8,FALSE),"0")</f>
        <v>0</v>
      </c>
      <c r="K13041" s="4"/>
      <c r="L13041" s="33" t="str">
        <f>IFERROR(VLOOKUP($J13041,'Informations sur les produits'!$A$3:$H$10000,8,FALSE),"0")</f>
        <v>0</v>
      </c>
      <c r="N13041" s="8"/>
      <c r="O13041" s="33" t="str">
        <f>IFERROR(VLOOKUP($M13041,'Informations sur les produits'!$A$3:$H$10000,8,FALSE),"0")</f>
        <v>0</v>
      </c>
      <c r="P13041" s="33">
        <f t="shared" si="812"/>
        <v>0</v>
      </c>
      <c r="Q13041" s="31" t="str">
        <f t="shared" si="813"/>
        <v/>
      </c>
      <c r="R13041" s="32" t="str">
        <f>IFERROR(VLOOKUP($D13041,'Informations sur les produits'!$A$3:$B$15000,2,FALSE),"")</f>
        <v/>
      </c>
      <c r="V13041">
        <f t="shared" si="814"/>
        <v>0</v>
      </c>
      <c r="W13041">
        <f t="shared" si="815"/>
        <v>0</v>
      </c>
    </row>
    <row r="13042" spans="5:23" x14ac:dyDescent="0.25">
      <c r="E13042" s="4"/>
      <c r="F13042" s="4"/>
      <c r="G13042" s="33" t="str">
        <f>IFERROR(VLOOKUP($D13042,'Informations sur les produits'!$A$3:$H$10000,8,FALSE),"0")</f>
        <v>0</v>
      </c>
      <c r="K13042" s="4"/>
      <c r="L13042" s="33" t="str">
        <f>IFERROR(VLOOKUP($J13042,'Informations sur les produits'!$A$3:$H$10000,8,FALSE),"0")</f>
        <v>0</v>
      </c>
      <c r="N13042" s="8"/>
      <c r="O13042" s="33" t="str">
        <f>IFERROR(VLOOKUP($M13042,'Informations sur les produits'!$A$3:$H$10000,8,FALSE),"0")</f>
        <v>0</v>
      </c>
      <c r="P13042" s="33">
        <f t="shared" si="812"/>
        <v>0</v>
      </c>
      <c r="Q13042" s="31" t="str">
        <f t="shared" si="813"/>
        <v/>
      </c>
      <c r="R13042" s="32" t="str">
        <f>IFERROR(VLOOKUP($D13042,'Informations sur les produits'!$A$3:$B$15000,2,FALSE),"")</f>
        <v/>
      </c>
      <c r="V13042">
        <f t="shared" si="814"/>
        <v>0</v>
      </c>
      <c r="W13042">
        <f t="shared" si="815"/>
        <v>0</v>
      </c>
    </row>
    <row r="13043" spans="5:23" x14ac:dyDescent="0.25">
      <c r="E13043" s="4"/>
      <c r="F13043" s="4"/>
      <c r="G13043" s="33" t="str">
        <f>IFERROR(VLOOKUP($D13043,'Informations sur les produits'!$A$3:$H$10000,8,FALSE),"0")</f>
        <v>0</v>
      </c>
      <c r="K13043" s="4"/>
      <c r="L13043" s="33" t="str">
        <f>IFERROR(VLOOKUP($J13043,'Informations sur les produits'!$A$3:$H$10000,8,FALSE),"0")</f>
        <v>0</v>
      </c>
      <c r="N13043" s="8"/>
      <c r="O13043" s="33" t="str">
        <f>IFERROR(VLOOKUP($M13043,'Informations sur les produits'!$A$3:$H$10000,8,FALSE),"0")</f>
        <v>0</v>
      </c>
      <c r="P13043" s="33">
        <f t="shared" si="812"/>
        <v>0</v>
      </c>
      <c r="Q13043" s="31" t="str">
        <f t="shared" si="813"/>
        <v/>
      </c>
      <c r="R13043" s="32" t="str">
        <f>IFERROR(VLOOKUP($D13043,'Informations sur les produits'!$A$3:$B$15000,2,FALSE),"")</f>
        <v/>
      </c>
      <c r="V13043">
        <f t="shared" si="814"/>
        <v>0</v>
      </c>
      <c r="W13043">
        <f t="shared" si="815"/>
        <v>0</v>
      </c>
    </row>
    <row r="13044" spans="5:23" x14ac:dyDescent="0.25">
      <c r="E13044" s="4"/>
      <c r="F13044" s="4"/>
      <c r="G13044" s="33" t="str">
        <f>IFERROR(VLOOKUP($D13044,'Informations sur les produits'!$A$3:$H$10000,8,FALSE),"0")</f>
        <v>0</v>
      </c>
      <c r="K13044" s="4"/>
      <c r="L13044" s="33" t="str">
        <f>IFERROR(VLOOKUP($J13044,'Informations sur les produits'!$A$3:$H$10000,8,FALSE),"0")</f>
        <v>0</v>
      </c>
      <c r="N13044" s="8"/>
      <c r="O13044" s="33" t="str">
        <f>IFERROR(VLOOKUP($M13044,'Informations sur les produits'!$A$3:$H$10000,8,FALSE),"0")</f>
        <v>0</v>
      </c>
      <c r="P13044" s="33">
        <f t="shared" si="812"/>
        <v>0</v>
      </c>
      <c r="Q13044" s="31" t="str">
        <f t="shared" si="813"/>
        <v/>
      </c>
      <c r="R13044" s="32" t="str">
        <f>IFERROR(VLOOKUP($D13044,'Informations sur les produits'!$A$3:$B$15000,2,FALSE),"")</f>
        <v/>
      </c>
      <c r="V13044">
        <f t="shared" si="814"/>
        <v>0</v>
      </c>
      <c r="W13044">
        <f t="shared" si="815"/>
        <v>0</v>
      </c>
    </row>
    <row r="13045" spans="5:23" x14ac:dyDescent="0.25">
      <c r="E13045" s="4"/>
      <c r="F13045" s="4"/>
      <c r="G13045" s="33" t="str">
        <f>IFERROR(VLOOKUP($D13045,'Informations sur les produits'!$A$3:$H$10000,8,FALSE),"0")</f>
        <v>0</v>
      </c>
      <c r="K13045" s="4"/>
      <c r="L13045" s="33" t="str">
        <f>IFERROR(VLOOKUP($J13045,'Informations sur les produits'!$A$3:$H$10000,8,FALSE),"0")</f>
        <v>0</v>
      </c>
      <c r="N13045" s="8"/>
      <c r="O13045" s="33" t="str">
        <f>IFERROR(VLOOKUP($M13045,'Informations sur les produits'!$A$3:$H$10000,8,FALSE),"0")</f>
        <v>0</v>
      </c>
      <c r="P13045" s="33">
        <f t="shared" si="812"/>
        <v>0</v>
      </c>
      <c r="Q13045" s="31" t="str">
        <f t="shared" si="813"/>
        <v/>
      </c>
      <c r="R13045" s="32" t="str">
        <f>IFERROR(VLOOKUP($D13045,'Informations sur les produits'!$A$3:$B$15000,2,FALSE),"")</f>
        <v/>
      </c>
      <c r="V13045">
        <f t="shared" si="814"/>
        <v>0</v>
      </c>
      <c r="W13045">
        <f t="shared" si="815"/>
        <v>0</v>
      </c>
    </row>
    <row r="13046" spans="5:23" x14ac:dyDescent="0.25">
      <c r="E13046" s="4"/>
      <c r="F13046" s="4"/>
      <c r="G13046" s="33" t="str">
        <f>IFERROR(VLOOKUP($D13046,'Informations sur les produits'!$A$3:$H$10000,8,FALSE),"0")</f>
        <v>0</v>
      </c>
      <c r="K13046" s="4"/>
      <c r="L13046" s="33" t="str">
        <f>IFERROR(VLOOKUP($J13046,'Informations sur les produits'!$A$3:$H$10000,8,FALSE),"0")</f>
        <v>0</v>
      </c>
      <c r="N13046" s="8"/>
      <c r="O13046" s="33" t="str">
        <f>IFERROR(VLOOKUP($M13046,'Informations sur les produits'!$A$3:$H$10000,8,FALSE),"0")</f>
        <v>0</v>
      </c>
      <c r="P13046" s="33">
        <f t="shared" si="812"/>
        <v>0</v>
      </c>
      <c r="Q13046" s="31" t="str">
        <f t="shared" si="813"/>
        <v/>
      </c>
      <c r="R13046" s="32" t="str">
        <f>IFERROR(VLOOKUP($D13046,'Informations sur les produits'!$A$3:$B$15000,2,FALSE),"")</f>
        <v/>
      </c>
      <c r="V13046">
        <f t="shared" si="814"/>
        <v>0</v>
      </c>
      <c r="W13046">
        <f t="shared" si="815"/>
        <v>0</v>
      </c>
    </row>
    <row r="13047" spans="5:23" x14ac:dyDescent="0.25">
      <c r="E13047" s="4"/>
      <c r="F13047" s="4"/>
      <c r="G13047" s="33" t="str">
        <f>IFERROR(VLOOKUP($D13047,'Informations sur les produits'!$A$3:$H$10000,8,FALSE),"0")</f>
        <v>0</v>
      </c>
      <c r="K13047" s="4"/>
      <c r="L13047" s="33" t="str">
        <f>IFERROR(VLOOKUP($J13047,'Informations sur les produits'!$A$3:$H$10000,8,FALSE),"0")</f>
        <v>0</v>
      </c>
      <c r="N13047" s="8"/>
      <c r="O13047" s="33" t="str">
        <f>IFERROR(VLOOKUP($M13047,'Informations sur les produits'!$A$3:$H$10000,8,FALSE),"0")</f>
        <v>0</v>
      </c>
      <c r="P13047" s="33">
        <f t="shared" si="812"/>
        <v>0</v>
      </c>
      <c r="Q13047" s="31" t="str">
        <f t="shared" si="813"/>
        <v/>
      </c>
      <c r="R13047" s="32" t="str">
        <f>IFERROR(VLOOKUP($D13047,'Informations sur les produits'!$A$3:$B$15000,2,FALSE),"")</f>
        <v/>
      </c>
      <c r="V13047">
        <f t="shared" si="814"/>
        <v>0</v>
      </c>
      <c r="W13047">
        <f t="shared" si="815"/>
        <v>0</v>
      </c>
    </row>
    <row r="13048" spans="5:23" x14ac:dyDescent="0.25">
      <c r="E13048" s="4"/>
      <c r="F13048" s="4"/>
      <c r="G13048" s="33" t="str">
        <f>IFERROR(VLOOKUP($D13048,'Informations sur les produits'!$A$3:$H$10000,8,FALSE),"0")</f>
        <v>0</v>
      </c>
      <c r="K13048" s="4"/>
      <c r="L13048" s="33" t="str">
        <f>IFERROR(VLOOKUP($J13048,'Informations sur les produits'!$A$3:$H$10000,8,FALSE),"0")</f>
        <v>0</v>
      </c>
      <c r="N13048" s="8"/>
      <c r="O13048" s="33" t="str">
        <f>IFERROR(VLOOKUP($M13048,'Informations sur les produits'!$A$3:$H$10000,8,FALSE),"0")</f>
        <v>0</v>
      </c>
      <c r="P13048" s="33">
        <f t="shared" si="812"/>
        <v>0</v>
      </c>
      <c r="Q13048" s="31" t="str">
        <f t="shared" si="813"/>
        <v/>
      </c>
      <c r="R13048" s="32" t="str">
        <f>IFERROR(VLOOKUP($D13048,'Informations sur les produits'!$A$3:$B$15000,2,FALSE),"")</f>
        <v/>
      </c>
      <c r="V13048">
        <f t="shared" si="814"/>
        <v>0</v>
      </c>
      <c r="W13048">
        <f t="shared" si="815"/>
        <v>0</v>
      </c>
    </row>
    <row r="13049" spans="5:23" x14ac:dyDescent="0.25">
      <c r="E13049" s="4"/>
      <c r="F13049" s="4"/>
      <c r="G13049" s="33" t="str">
        <f>IFERROR(VLOOKUP($D13049,'Informations sur les produits'!$A$3:$H$10000,8,FALSE),"0")</f>
        <v>0</v>
      </c>
      <c r="K13049" s="4"/>
      <c r="L13049" s="33" t="str">
        <f>IFERROR(VLOOKUP($J13049,'Informations sur les produits'!$A$3:$H$10000,8,FALSE),"0")</f>
        <v>0</v>
      </c>
      <c r="N13049" s="8"/>
      <c r="O13049" s="33" t="str">
        <f>IFERROR(VLOOKUP($M13049,'Informations sur les produits'!$A$3:$H$10000,8,FALSE),"0")</f>
        <v>0</v>
      </c>
      <c r="P13049" s="33">
        <f t="shared" si="812"/>
        <v>0</v>
      </c>
      <c r="Q13049" s="31" t="str">
        <f t="shared" si="813"/>
        <v/>
      </c>
      <c r="R13049" s="32" t="str">
        <f>IFERROR(VLOOKUP($D13049,'Informations sur les produits'!$A$3:$B$15000,2,FALSE),"")</f>
        <v/>
      </c>
      <c r="V13049">
        <f t="shared" si="814"/>
        <v>0</v>
      </c>
      <c r="W13049">
        <f t="shared" si="815"/>
        <v>0</v>
      </c>
    </row>
    <row r="13050" spans="5:23" x14ac:dyDescent="0.25">
      <c r="E13050" s="4"/>
      <c r="F13050" s="4"/>
      <c r="G13050" s="33" t="str">
        <f>IFERROR(VLOOKUP($D13050,'Informations sur les produits'!$A$3:$H$10000,8,FALSE),"0")</f>
        <v>0</v>
      </c>
      <c r="K13050" s="4"/>
      <c r="L13050" s="33" t="str">
        <f>IFERROR(VLOOKUP($J13050,'Informations sur les produits'!$A$3:$H$10000,8,FALSE),"0")</f>
        <v>0</v>
      </c>
      <c r="N13050" s="8"/>
      <c r="O13050" s="33" t="str">
        <f>IFERROR(VLOOKUP($M13050,'Informations sur les produits'!$A$3:$H$10000,8,FALSE),"0")</f>
        <v>0</v>
      </c>
      <c r="P13050" s="33">
        <f t="shared" si="812"/>
        <v>0</v>
      </c>
      <c r="Q13050" s="31" t="str">
        <f t="shared" si="813"/>
        <v/>
      </c>
      <c r="R13050" s="32" t="str">
        <f>IFERROR(VLOOKUP($D13050,'Informations sur les produits'!$A$3:$B$15000,2,FALSE),"")</f>
        <v/>
      </c>
      <c r="V13050">
        <f t="shared" si="814"/>
        <v>0</v>
      </c>
      <c r="W13050">
        <f t="shared" si="815"/>
        <v>0</v>
      </c>
    </row>
    <row r="13051" spans="5:23" x14ac:dyDescent="0.25">
      <c r="E13051" s="4"/>
      <c r="F13051" s="4"/>
      <c r="G13051" s="33" t="str">
        <f>IFERROR(VLOOKUP($D13051,'Informations sur les produits'!$A$3:$H$10000,8,FALSE),"0")</f>
        <v>0</v>
      </c>
      <c r="K13051" s="4"/>
      <c r="L13051" s="33" t="str">
        <f>IFERROR(VLOOKUP($J13051,'Informations sur les produits'!$A$3:$H$10000,8,FALSE),"0")</f>
        <v>0</v>
      </c>
      <c r="N13051" s="8"/>
      <c r="O13051" s="33" t="str">
        <f>IFERROR(VLOOKUP($M13051,'Informations sur les produits'!$A$3:$H$10000,8,FALSE),"0")</f>
        <v>0</v>
      </c>
      <c r="P13051" s="33">
        <f t="shared" si="812"/>
        <v>0</v>
      </c>
      <c r="Q13051" s="31" t="str">
        <f t="shared" si="813"/>
        <v/>
      </c>
      <c r="R13051" s="32" t="str">
        <f>IFERROR(VLOOKUP($D13051,'Informations sur les produits'!$A$3:$B$15000,2,FALSE),"")</f>
        <v/>
      </c>
      <c r="V13051">
        <f t="shared" si="814"/>
        <v>0</v>
      </c>
      <c r="W13051">
        <f t="shared" si="815"/>
        <v>0</v>
      </c>
    </row>
    <row r="13052" spans="5:23" x14ac:dyDescent="0.25">
      <c r="E13052" s="4"/>
      <c r="F13052" s="4"/>
      <c r="G13052" s="33" t="str">
        <f>IFERROR(VLOOKUP($D13052,'Informations sur les produits'!$A$3:$H$10000,8,FALSE),"0")</f>
        <v>0</v>
      </c>
      <c r="K13052" s="4"/>
      <c r="L13052" s="33" t="str">
        <f>IFERROR(VLOOKUP($J13052,'Informations sur les produits'!$A$3:$H$10000,8,FALSE),"0")</f>
        <v>0</v>
      </c>
      <c r="N13052" s="8"/>
      <c r="O13052" s="33" t="str">
        <f>IFERROR(VLOOKUP($M13052,'Informations sur les produits'!$A$3:$H$10000,8,FALSE),"0")</f>
        <v>0</v>
      </c>
      <c r="P13052" s="33">
        <f t="shared" si="812"/>
        <v>0</v>
      </c>
      <c r="Q13052" s="31" t="str">
        <f t="shared" si="813"/>
        <v/>
      </c>
      <c r="R13052" s="32" t="str">
        <f>IFERROR(VLOOKUP($D13052,'Informations sur les produits'!$A$3:$B$15000,2,FALSE),"")</f>
        <v/>
      </c>
      <c r="V13052">
        <f t="shared" si="814"/>
        <v>0</v>
      </c>
      <c r="W13052">
        <f t="shared" si="815"/>
        <v>0</v>
      </c>
    </row>
    <row r="13053" spans="5:23" x14ac:dyDescent="0.25">
      <c r="E13053" s="4"/>
      <c r="F13053" s="4"/>
      <c r="G13053" s="33" t="str">
        <f>IFERROR(VLOOKUP($D13053,'Informations sur les produits'!$A$3:$H$10000,8,FALSE),"0")</f>
        <v>0</v>
      </c>
      <c r="K13053" s="4"/>
      <c r="L13053" s="33" t="str">
        <f>IFERROR(VLOOKUP($J13053,'Informations sur les produits'!$A$3:$H$10000,8,FALSE),"0")</f>
        <v>0</v>
      </c>
      <c r="N13053" s="8"/>
      <c r="O13053" s="33" t="str">
        <f>IFERROR(VLOOKUP($M13053,'Informations sur les produits'!$A$3:$H$10000,8,FALSE),"0")</f>
        <v>0</v>
      </c>
      <c r="P13053" s="33">
        <f t="shared" si="812"/>
        <v>0</v>
      </c>
      <c r="Q13053" s="31" t="str">
        <f t="shared" si="813"/>
        <v/>
      </c>
      <c r="R13053" s="32" t="str">
        <f>IFERROR(VLOOKUP($D13053,'Informations sur les produits'!$A$3:$B$15000,2,FALSE),"")</f>
        <v/>
      </c>
      <c r="V13053">
        <f t="shared" si="814"/>
        <v>0</v>
      </c>
      <c r="W13053">
        <f t="shared" si="815"/>
        <v>0</v>
      </c>
    </row>
    <row r="13054" spans="5:23" x14ac:dyDescent="0.25">
      <c r="E13054" s="4"/>
      <c r="F13054" s="4"/>
      <c r="G13054" s="33" t="str">
        <f>IFERROR(VLOOKUP($D13054,'Informations sur les produits'!$A$3:$H$10000,8,FALSE),"0")</f>
        <v>0</v>
      </c>
      <c r="K13054" s="4"/>
      <c r="L13054" s="33" t="str">
        <f>IFERROR(VLOOKUP($J13054,'Informations sur les produits'!$A$3:$H$10000,8,FALSE),"0")</f>
        <v>0</v>
      </c>
      <c r="N13054" s="8"/>
      <c r="O13054" s="33" t="str">
        <f>IFERROR(VLOOKUP($M13054,'Informations sur les produits'!$A$3:$H$10000,8,FALSE),"0")</f>
        <v>0</v>
      </c>
      <c r="P13054" s="33">
        <f t="shared" si="812"/>
        <v>0</v>
      </c>
      <c r="Q13054" s="31" t="str">
        <f t="shared" si="813"/>
        <v/>
      </c>
      <c r="R13054" s="32" t="str">
        <f>IFERROR(VLOOKUP($D13054,'Informations sur les produits'!$A$3:$B$15000,2,FALSE),"")</f>
        <v/>
      </c>
      <c r="V13054">
        <f t="shared" si="814"/>
        <v>0</v>
      </c>
      <c r="W13054">
        <f t="shared" si="815"/>
        <v>0</v>
      </c>
    </row>
    <row r="13055" spans="5:23" x14ac:dyDescent="0.25">
      <c r="E13055" s="4"/>
      <c r="F13055" s="4"/>
      <c r="G13055" s="33" t="str">
        <f>IFERROR(VLOOKUP($D13055,'Informations sur les produits'!$A$3:$H$10000,8,FALSE),"0")</f>
        <v>0</v>
      </c>
      <c r="K13055" s="4"/>
      <c r="L13055" s="33" t="str">
        <f>IFERROR(VLOOKUP($J13055,'Informations sur les produits'!$A$3:$H$10000,8,FALSE),"0")</f>
        <v>0</v>
      </c>
      <c r="N13055" s="8"/>
      <c r="O13055" s="33" t="str">
        <f>IFERROR(VLOOKUP($M13055,'Informations sur les produits'!$A$3:$H$10000,8,FALSE),"0")</f>
        <v>0</v>
      </c>
      <c r="P13055" s="33">
        <f t="shared" si="812"/>
        <v>0</v>
      </c>
      <c r="Q13055" s="31" t="str">
        <f t="shared" si="813"/>
        <v/>
      </c>
      <c r="R13055" s="32" t="str">
        <f>IFERROR(VLOOKUP($D13055,'Informations sur les produits'!$A$3:$B$15000,2,FALSE),"")</f>
        <v/>
      </c>
      <c r="V13055">
        <f t="shared" si="814"/>
        <v>0</v>
      </c>
      <c r="W13055">
        <f t="shared" si="815"/>
        <v>0</v>
      </c>
    </row>
    <row r="13056" spans="5:23" x14ac:dyDescent="0.25">
      <c r="E13056" s="4"/>
      <c r="F13056" s="4"/>
      <c r="G13056" s="33" t="str">
        <f>IFERROR(VLOOKUP($D13056,'Informations sur les produits'!$A$3:$H$10000,8,FALSE),"0")</f>
        <v>0</v>
      </c>
      <c r="K13056" s="4"/>
      <c r="L13056" s="33" t="str">
        <f>IFERROR(VLOOKUP($J13056,'Informations sur les produits'!$A$3:$H$10000,8,FALSE),"0")</f>
        <v>0</v>
      </c>
      <c r="N13056" s="8"/>
      <c r="O13056" s="33" t="str">
        <f>IFERROR(VLOOKUP($M13056,'Informations sur les produits'!$A$3:$H$10000,8,FALSE),"0")</f>
        <v>0</v>
      </c>
      <c r="P13056" s="33">
        <f t="shared" si="812"/>
        <v>0</v>
      </c>
      <c r="Q13056" s="31" t="str">
        <f t="shared" si="813"/>
        <v/>
      </c>
      <c r="R13056" s="32" t="str">
        <f>IFERROR(VLOOKUP($D13056,'Informations sur les produits'!$A$3:$B$15000,2,FALSE),"")</f>
        <v/>
      </c>
      <c r="V13056">
        <f t="shared" si="814"/>
        <v>0</v>
      </c>
      <c r="W13056">
        <f t="shared" si="815"/>
        <v>0</v>
      </c>
    </row>
    <row r="13057" spans="5:23" x14ac:dyDescent="0.25">
      <c r="E13057" s="4"/>
      <c r="F13057" s="4"/>
      <c r="G13057" s="33" t="str">
        <f>IFERROR(VLOOKUP($D13057,'Informations sur les produits'!$A$3:$H$10000,8,FALSE),"0")</f>
        <v>0</v>
      </c>
      <c r="K13057" s="4"/>
      <c r="L13057" s="33" t="str">
        <f>IFERROR(VLOOKUP($J13057,'Informations sur les produits'!$A$3:$H$10000,8,FALSE),"0")</f>
        <v>0</v>
      </c>
      <c r="N13057" s="8"/>
      <c r="O13057" s="33" t="str">
        <f>IFERROR(VLOOKUP($M13057,'Informations sur les produits'!$A$3:$H$10000,8,FALSE),"0")</f>
        <v>0</v>
      </c>
      <c r="P13057" s="33">
        <f t="shared" si="812"/>
        <v>0</v>
      </c>
      <c r="Q13057" s="31" t="str">
        <f t="shared" si="813"/>
        <v/>
      </c>
      <c r="R13057" s="32" t="str">
        <f>IFERROR(VLOOKUP($D13057,'Informations sur les produits'!$A$3:$B$15000,2,FALSE),"")</f>
        <v/>
      </c>
      <c r="V13057">
        <f t="shared" si="814"/>
        <v>0</v>
      </c>
      <c r="W13057">
        <f t="shared" si="815"/>
        <v>0</v>
      </c>
    </row>
    <row r="13058" spans="5:23" x14ac:dyDescent="0.25">
      <c r="E13058" s="4"/>
      <c r="F13058" s="4"/>
      <c r="G13058" s="33" t="str">
        <f>IFERROR(VLOOKUP($D13058,'Informations sur les produits'!$A$3:$H$10000,8,FALSE),"0")</f>
        <v>0</v>
      </c>
      <c r="K13058" s="4"/>
      <c r="L13058" s="33" t="str">
        <f>IFERROR(VLOOKUP($J13058,'Informations sur les produits'!$A$3:$H$10000,8,FALSE),"0")</f>
        <v>0</v>
      </c>
      <c r="N13058" s="8"/>
      <c r="O13058" s="33" t="str">
        <f>IFERROR(VLOOKUP($M13058,'Informations sur les produits'!$A$3:$H$10000,8,FALSE),"0")</f>
        <v>0</v>
      </c>
      <c r="P13058" s="33">
        <f t="shared" si="812"/>
        <v>0</v>
      </c>
      <c r="Q13058" s="31" t="str">
        <f t="shared" si="813"/>
        <v/>
      </c>
      <c r="R13058" s="32" t="str">
        <f>IFERROR(VLOOKUP($D13058,'Informations sur les produits'!$A$3:$B$15000,2,FALSE),"")</f>
        <v/>
      </c>
      <c r="V13058">
        <f t="shared" si="814"/>
        <v>0</v>
      </c>
      <c r="W13058">
        <f t="shared" si="815"/>
        <v>0</v>
      </c>
    </row>
    <row r="13059" spans="5:23" x14ac:dyDescent="0.25">
      <c r="E13059" s="4"/>
      <c r="F13059" s="4"/>
      <c r="G13059" s="33" t="str">
        <f>IFERROR(VLOOKUP($D13059,'Informations sur les produits'!$A$3:$H$10000,8,FALSE),"0")</f>
        <v>0</v>
      </c>
      <c r="K13059" s="4"/>
      <c r="L13059" s="33" t="str">
        <f>IFERROR(VLOOKUP($J13059,'Informations sur les produits'!$A$3:$H$10000,8,FALSE),"0")</f>
        <v>0</v>
      </c>
      <c r="N13059" s="8"/>
      <c r="O13059" s="33" t="str">
        <f>IFERROR(VLOOKUP($M13059,'Informations sur les produits'!$A$3:$H$10000,8,FALSE),"0")</f>
        <v>0</v>
      </c>
      <c r="P13059" s="33">
        <f t="shared" si="812"/>
        <v>0</v>
      </c>
      <c r="Q13059" s="31" t="str">
        <f t="shared" si="813"/>
        <v/>
      </c>
      <c r="R13059" s="32" t="str">
        <f>IFERROR(VLOOKUP($D13059,'Informations sur les produits'!$A$3:$B$15000,2,FALSE),"")</f>
        <v/>
      </c>
      <c r="V13059">
        <f t="shared" si="814"/>
        <v>0</v>
      </c>
      <c r="W13059">
        <f t="shared" si="815"/>
        <v>0</v>
      </c>
    </row>
    <row r="13060" spans="5:23" x14ac:dyDescent="0.25">
      <c r="E13060" s="4"/>
      <c r="F13060" s="4"/>
      <c r="G13060" s="33" t="str">
        <f>IFERROR(VLOOKUP($D13060,'Informations sur les produits'!$A$3:$H$10000,8,FALSE),"0")</f>
        <v>0</v>
      </c>
      <c r="K13060" s="4"/>
      <c r="L13060" s="33" t="str">
        <f>IFERROR(VLOOKUP($J13060,'Informations sur les produits'!$A$3:$H$10000,8,FALSE),"0")</f>
        <v>0</v>
      </c>
      <c r="N13060" s="8"/>
      <c r="O13060" s="33" t="str">
        <f>IFERROR(VLOOKUP($M13060,'Informations sur les produits'!$A$3:$H$10000,8,FALSE),"0")</f>
        <v>0</v>
      </c>
      <c r="P13060" s="33">
        <f t="shared" ref="P13060:P13123" si="816">IFERROR((($E13060-$F13060)*$G13060+$K13060*$L13060+$N13060*$O13060),"")</f>
        <v>0</v>
      </c>
      <c r="Q13060" s="31" t="str">
        <f t="shared" ref="Q13060:Q13123" si="817">IFERROR((((($E13060-$F13060)*$G13060+$K13060*$L13060+$N13060*$O13060)*1000)/(($E13060-$F13060)+$K13060+$N13060)),"")</f>
        <v/>
      </c>
      <c r="R13060" s="32" t="str">
        <f>IFERROR(VLOOKUP($D13060,'Informations sur les produits'!$A$3:$B$15000,2,FALSE),"")</f>
        <v/>
      </c>
      <c r="V13060">
        <f t="shared" ref="V13060:V13123" si="818">IFERROR(P13060*1000,"")</f>
        <v>0</v>
      </c>
      <c r="W13060">
        <f t="shared" ref="W13060:W13123" si="819">IFERROR(($E13060-$F13060)+$K13060+$N13060,"")</f>
        <v>0</v>
      </c>
    </row>
    <row r="13061" spans="5:23" x14ac:dyDescent="0.25">
      <c r="E13061" s="4"/>
      <c r="F13061" s="4"/>
      <c r="G13061" s="33" t="str">
        <f>IFERROR(VLOOKUP($D13061,'Informations sur les produits'!$A$3:$H$10000,8,FALSE),"0")</f>
        <v>0</v>
      </c>
      <c r="K13061" s="4"/>
      <c r="L13061" s="33" t="str">
        <f>IFERROR(VLOOKUP($J13061,'Informations sur les produits'!$A$3:$H$10000,8,FALSE),"0")</f>
        <v>0</v>
      </c>
      <c r="N13061" s="8"/>
      <c r="O13061" s="33" t="str">
        <f>IFERROR(VLOOKUP($M13061,'Informations sur les produits'!$A$3:$H$10000,8,FALSE),"0")</f>
        <v>0</v>
      </c>
      <c r="P13061" s="33">
        <f t="shared" si="816"/>
        <v>0</v>
      </c>
      <c r="Q13061" s="31" t="str">
        <f t="shared" si="817"/>
        <v/>
      </c>
      <c r="R13061" s="32" t="str">
        <f>IFERROR(VLOOKUP($D13061,'Informations sur les produits'!$A$3:$B$15000,2,FALSE),"")</f>
        <v/>
      </c>
      <c r="V13061">
        <f t="shared" si="818"/>
        <v>0</v>
      </c>
      <c r="W13061">
        <f t="shared" si="819"/>
        <v>0</v>
      </c>
    </row>
    <row r="13062" spans="5:23" x14ac:dyDescent="0.25">
      <c r="E13062" s="4"/>
      <c r="F13062" s="4"/>
      <c r="G13062" s="33" t="str">
        <f>IFERROR(VLOOKUP($D13062,'Informations sur les produits'!$A$3:$H$10000,8,FALSE),"0")</f>
        <v>0</v>
      </c>
      <c r="K13062" s="4"/>
      <c r="L13062" s="33" t="str">
        <f>IFERROR(VLOOKUP($J13062,'Informations sur les produits'!$A$3:$H$10000,8,FALSE),"0")</f>
        <v>0</v>
      </c>
      <c r="N13062" s="8"/>
      <c r="O13062" s="33" t="str">
        <f>IFERROR(VLOOKUP($M13062,'Informations sur les produits'!$A$3:$H$10000,8,FALSE),"0")</f>
        <v>0</v>
      </c>
      <c r="P13062" s="33">
        <f t="shared" si="816"/>
        <v>0</v>
      </c>
      <c r="Q13062" s="31" t="str">
        <f t="shared" si="817"/>
        <v/>
      </c>
      <c r="R13062" s="32" t="str">
        <f>IFERROR(VLOOKUP($D13062,'Informations sur les produits'!$A$3:$B$15000,2,FALSE),"")</f>
        <v/>
      </c>
      <c r="V13062">
        <f t="shared" si="818"/>
        <v>0</v>
      </c>
      <c r="W13062">
        <f t="shared" si="819"/>
        <v>0</v>
      </c>
    </row>
    <row r="13063" spans="5:23" x14ac:dyDescent="0.25">
      <c r="E13063" s="4"/>
      <c r="F13063" s="4"/>
      <c r="G13063" s="33" t="str">
        <f>IFERROR(VLOOKUP($D13063,'Informations sur les produits'!$A$3:$H$10000,8,FALSE),"0")</f>
        <v>0</v>
      </c>
      <c r="K13063" s="4"/>
      <c r="L13063" s="33" t="str">
        <f>IFERROR(VLOOKUP($J13063,'Informations sur les produits'!$A$3:$H$10000,8,FALSE),"0")</f>
        <v>0</v>
      </c>
      <c r="N13063" s="8"/>
      <c r="O13063" s="33" t="str">
        <f>IFERROR(VLOOKUP($M13063,'Informations sur les produits'!$A$3:$H$10000,8,FALSE),"0")</f>
        <v>0</v>
      </c>
      <c r="P13063" s="33">
        <f t="shared" si="816"/>
        <v>0</v>
      </c>
      <c r="Q13063" s="31" t="str">
        <f t="shared" si="817"/>
        <v/>
      </c>
      <c r="R13063" s="32" t="str">
        <f>IFERROR(VLOOKUP($D13063,'Informations sur les produits'!$A$3:$B$15000,2,FALSE),"")</f>
        <v/>
      </c>
      <c r="V13063">
        <f t="shared" si="818"/>
        <v>0</v>
      </c>
      <c r="W13063">
        <f t="shared" si="819"/>
        <v>0</v>
      </c>
    </row>
    <row r="13064" spans="5:23" x14ac:dyDescent="0.25">
      <c r="E13064" s="4"/>
      <c r="F13064" s="4"/>
      <c r="G13064" s="33" t="str">
        <f>IFERROR(VLOOKUP($D13064,'Informations sur les produits'!$A$3:$H$10000,8,FALSE),"0")</f>
        <v>0</v>
      </c>
      <c r="K13064" s="4"/>
      <c r="L13064" s="33" t="str">
        <f>IFERROR(VLOOKUP($J13064,'Informations sur les produits'!$A$3:$H$10000,8,FALSE),"0")</f>
        <v>0</v>
      </c>
      <c r="N13064" s="8"/>
      <c r="O13064" s="33" t="str">
        <f>IFERROR(VLOOKUP($M13064,'Informations sur les produits'!$A$3:$H$10000,8,FALSE),"0")</f>
        <v>0</v>
      </c>
      <c r="P13064" s="33">
        <f t="shared" si="816"/>
        <v>0</v>
      </c>
      <c r="Q13064" s="31" t="str">
        <f t="shared" si="817"/>
        <v/>
      </c>
      <c r="R13064" s="32" t="str">
        <f>IFERROR(VLOOKUP($D13064,'Informations sur les produits'!$A$3:$B$15000,2,FALSE),"")</f>
        <v/>
      </c>
      <c r="V13064">
        <f t="shared" si="818"/>
        <v>0</v>
      </c>
      <c r="W13064">
        <f t="shared" si="819"/>
        <v>0</v>
      </c>
    </row>
    <row r="13065" spans="5:23" x14ac:dyDescent="0.25">
      <c r="E13065" s="4"/>
      <c r="F13065" s="4"/>
      <c r="G13065" s="33" t="str">
        <f>IFERROR(VLOOKUP($D13065,'Informations sur les produits'!$A$3:$H$10000,8,FALSE),"0")</f>
        <v>0</v>
      </c>
      <c r="K13065" s="4"/>
      <c r="L13065" s="33" t="str">
        <f>IFERROR(VLOOKUP($J13065,'Informations sur les produits'!$A$3:$H$10000,8,FALSE),"0")</f>
        <v>0</v>
      </c>
      <c r="N13065" s="8"/>
      <c r="O13065" s="33" t="str">
        <f>IFERROR(VLOOKUP($M13065,'Informations sur les produits'!$A$3:$H$10000,8,FALSE),"0")</f>
        <v>0</v>
      </c>
      <c r="P13065" s="33">
        <f t="shared" si="816"/>
        <v>0</v>
      </c>
      <c r="Q13065" s="31" t="str">
        <f t="shared" si="817"/>
        <v/>
      </c>
      <c r="R13065" s="32" t="str">
        <f>IFERROR(VLOOKUP($D13065,'Informations sur les produits'!$A$3:$B$15000,2,FALSE),"")</f>
        <v/>
      </c>
      <c r="V13065">
        <f t="shared" si="818"/>
        <v>0</v>
      </c>
      <c r="W13065">
        <f t="shared" si="819"/>
        <v>0</v>
      </c>
    </row>
    <row r="13066" spans="5:23" x14ac:dyDescent="0.25">
      <c r="E13066" s="4"/>
      <c r="F13066" s="4"/>
      <c r="G13066" s="33" t="str">
        <f>IFERROR(VLOOKUP($D13066,'Informations sur les produits'!$A$3:$H$10000,8,FALSE),"0")</f>
        <v>0</v>
      </c>
      <c r="K13066" s="4"/>
      <c r="L13066" s="33" t="str">
        <f>IFERROR(VLOOKUP($J13066,'Informations sur les produits'!$A$3:$H$10000,8,FALSE),"0")</f>
        <v>0</v>
      </c>
      <c r="N13066" s="8"/>
      <c r="O13066" s="33" t="str">
        <f>IFERROR(VLOOKUP($M13066,'Informations sur les produits'!$A$3:$H$10000,8,FALSE),"0")</f>
        <v>0</v>
      </c>
      <c r="P13066" s="33">
        <f t="shared" si="816"/>
        <v>0</v>
      </c>
      <c r="Q13066" s="31" t="str">
        <f t="shared" si="817"/>
        <v/>
      </c>
      <c r="R13066" s="32" t="str">
        <f>IFERROR(VLOOKUP($D13066,'Informations sur les produits'!$A$3:$B$15000,2,FALSE),"")</f>
        <v/>
      </c>
      <c r="V13066">
        <f t="shared" si="818"/>
        <v>0</v>
      </c>
      <c r="W13066">
        <f t="shared" si="819"/>
        <v>0</v>
      </c>
    </row>
    <row r="13067" spans="5:23" x14ac:dyDescent="0.25">
      <c r="E13067" s="4"/>
      <c r="F13067" s="4"/>
      <c r="G13067" s="33" t="str">
        <f>IFERROR(VLOOKUP($D13067,'Informations sur les produits'!$A$3:$H$10000,8,FALSE),"0")</f>
        <v>0</v>
      </c>
      <c r="K13067" s="4"/>
      <c r="L13067" s="33" t="str">
        <f>IFERROR(VLOOKUP($J13067,'Informations sur les produits'!$A$3:$H$10000,8,FALSE),"0")</f>
        <v>0</v>
      </c>
      <c r="N13067" s="8"/>
      <c r="O13067" s="33" t="str">
        <f>IFERROR(VLOOKUP($M13067,'Informations sur les produits'!$A$3:$H$10000,8,FALSE),"0")</f>
        <v>0</v>
      </c>
      <c r="P13067" s="33">
        <f t="shared" si="816"/>
        <v>0</v>
      </c>
      <c r="Q13067" s="31" t="str">
        <f t="shared" si="817"/>
        <v/>
      </c>
      <c r="R13067" s="32" t="str">
        <f>IFERROR(VLOOKUP($D13067,'Informations sur les produits'!$A$3:$B$15000,2,FALSE),"")</f>
        <v/>
      </c>
      <c r="V13067">
        <f t="shared" si="818"/>
        <v>0</v>
      </c>
      <c r="W13067">
        <f t="shared" si="819"/>
        <v>0</v>
      </c>
    </row>
    <row r="13068" spans="5:23" x14ac:dyDescent="0.25">
      <c r="E13068" s="4"/>
      <c r="F13068" s="4"/>
      <c r="G13068" s="33" t="str">
        <f>IFERROR(VLOOKUP($D13068,'Informations sur les produits'!$A$3:$H$10000,8,FALSE),"0")</f>
        <v>0</v>
      </c>
      <c r="K13068" s="4"/>
      <c r="L13068" s="33" t="str">
        <f>IFERROR(VLOOKUP($J13068,'Informations sur les produits'!$A$3:$H$10000,8,FALSE),"0")</f>
        <v>0</v>
      </c>
      <c r="N13068" s="8"/>
      <c r="O13068" s="33" t="str">
        <f>IFERROR(VLOOKUP($M13068,'Informations sur les produits'!$A$3:$H$10000,8,FALSE),"0")</f>
        <v>0</v>
      </c>
      <c r="P13068" s="33">
        <f t="shared" si="816"/>
        <v>0</v>
      </c>
      <c r="Q13068" s="31" t="str">
        <f t="shared" si="817"/>
        <v/>
      </c>
      <c r="R13068" s="32" t="str">
        <f>IFERROR(VLOOKUP($D13068,'Informations sur les produits'!$A$3:$B$15000,2,FALSE),"")</f>
        <v/>
      </c>
      <c r="V13068">
        <f t="shared" si="818"/>
        <v>0</v>
      </c>
      <c r="W13068">
        <f t="shared" si="819"/>
        <v>0</v>
      </c>
    </row>
    <row r="13069" spans="5:23" x14ac:dyDescent="0.25">
      <c r="E13069" s="4"/>
      <c r="F13069" s="4"/>
      <c r="G13069" s="33" t="str">
        <f>IFERROR(VLOOKUP($D13069,'Informations sur les produits'!$A$3:$H$10000,8,FALSE),"0")</f>
        <v>0</v>
      </c>
      <c r="K13069" s="4"/>
      <c r="L13069" s="33" t="str">
        <f>IFERROR(VLOOKUP($J13069,'Informations sur les produits'!$A$3:$H$10000,8,FALSE),"0")</f>
        <v>0</v>
      </c>
      <c r="N13069" s="8"/>
      <c r="O13069" s="33" t="str">
        <f>IFERROR(VLOOKUP($M13069,'Informations sur les produits'!$A$3:$H$10000,8,FALSE),"0")</f>
        <v>0</v>
      </c>
      <c r="P13069" s="33">
        <f t="shared" si="816"/>
        <v>0</v>
      </c>
      <c r="Q13069" s="31" t="str">
        <f t="shared" si="817"/>
        <v/>
      </c>
      <c r="R13069" s="32" t="str">
        <f>IFERROR(VLOOKUP($D13069,'Informations sur les produits'!$A$3:$B$15000,2,FALSE),"")</f>
        <v/>
      </c>
      <c r="V13069">
        <f t="shared" si="818"/>
        <v>0</v>
      </c>
      <c r="W13069">
        <f t="shared" si="819"/>
        <v>0</v>
      </c>
    </row>
    <row r="13070" spans="5:23" x14ac:dyDescent="0.25">
      <c r="E13070" s="4"/>
      <c r="F13070" s="4"/>
      <c r="G13070" s="33" t="str">
        <f>IFERROR(VLOOKUP($D13070,'Informations sur les produits'!$A$3:$H$10000,8,FALSE),"0")</f>
        <v>0</v>
      </c>
      <c r="K13070" s="4"/>
      <c r="L13070" s="33" t="str">
        <f>IFERROR(VLOOKUP($J13070,'Informations sur les produits'!$A$3:$H$10000,8,FALSE),"0")</f>
        <v>0</v>
      </c>
      <c r="N13070" s="8"/>
      <c r="O13070" s="33" t="str">
        <f>IFERROR(VLOOKUP($M13070,'Informations sur les produits'!$A$3:$H$10000,8,FALSE),"0")</f>
        <v>0</v>
      </c>
      <c r="P13070" s="33">
        <f t="shared" si="816"/>
        <v>0</v>
      </c>
      <c r="Q13070" s="31" t="str">
        <f t="shared" si="817"/>
        <v/>
      </c>
      <c r="R13070" s="32" t="str">
        <f>IFERROR(VLOOKUP($D13070,'Informations sur les produits'!$A$3:$B$15000,2,FALSE),"")</f>
        <v/>
      </c>
      <c r="V13070">
        <f t="shared" si="818"/>
        <v>0</v>
      </c>
      <c r="W13070">
        <f t="shared" si="819"/>
        <v>0</v>
      </c>
    </row>
    <row r="13071" spans="5:23" x14ac:dyDescent="0.25">
      <c r="E13071" s="4"/>
      <c r="F13071" s="4"/>
      <c r="G13071" s="33" t="str">
        <f>IFERROR(VLOOKUP($D13071,'Informations sur les produits'!$A$3:$H$10000,8,FALSE),"0")</f>
        <v>0</v>
      </c>
      <c r="K13071" s="4"/>
      <c r="L13071" s="33" t="str">
        <f>IFERROR(VLOOKUP($J13071,'Informations sur les produits'!$A$3:$H$10000,8,FALSE),"0")</f>
        <v>0</v>
      </c>
      <c r="N13071" s="8"/>
      <c r="O13071" s="33" t="str">
        <f>IFERROR(VLOOKUP($M13071,'Informations sur les produits'!$A$3:$H$10000,8,FALSE),"0")</f>
        <v>0</v>
      </c>
      <c r="P13071" s="33">
        <f t="shared" si="816"/>
        <v>0</v>
      </c>
      <c r="Q13071" s="31" t="str">
        <f t="shared" si="817"/>
        <v/>
      </c>
      <c r="R13071" s="32" t="str">
        <f>IFERROR(VLOOKUP($D13071,'Informations sur les produits'!$A$3:$B$15000,2,FALSE),"")</f>
        <v/>
      </c>
      <c r="V13071">
        <f t="shared" si="818"/>
        <v>0</v>
      </c>
      <c r="W13071">
        <f t="shared" si="819"/>
        <v>0</v>
      </c>
    </row>
    <row r="13072" spans="5:23" x14ac:dyDescent="0.25">
      <c r="E13072" s="4"/>
      <c r="F13072" s="4"/>
      <c r="G13072" s="33" t="str">
        <f>IFERROR(VLOOKUP($D13072,'Informations sur les produits'!$A$3:$H$10000,8,FALSE),"0")</f>
        <v>0</v>
      </c>
      <c r="K13072" s="4"/>
      <c r="L13072" s="33" t="str">
        <f>IFERROR(VLOOKUP($J13072,'Informations sur les produits'!$A$3:$H$10000,8,FALSE),"0")</f>
        <v>0</v>
      </c>
      <c r="N13072" s="8"/>
      <c r="O13072" s="33" t="str">
        <f>IFERROR(VLOOKUP($M13072,'Informations sur les produits'!$A$3:$H$10000,8,FALSE),"0")</f>
        <v>0</v>
      </c>
      <c r="P13072" s="33">
        <f t="shared" si="816"/>
        <v>0</v>
      </c>
      <c r="Q13072" s="31" t="str">
        <f t="shared" si="817"/>
        <v/>
      </c>
      <c r="R13072" s="32" t="str">
        <f>IFERROR(VLOOKUP($D13072,'Informations sur les produits'!$A$3:$B$15000,2,FALSE),"")</f>
        <v/>
      </c>
      <c r="V13072">
        <f t="shared" si="818"/>
        <v>0</v>
      </c>
      <c r="W13072">
        <f t="shared" si="819"/>
        <v>0</v>
      </c>
    </row>
    <row r="13073" spans="5:23" x14ac:dyDescent="0.25">
      <c r="E13073" s="4"/>
      <c r="F13073" s="4"/>
      <c r="G13073" s="33" t="str">
        <f>IFERROR(VLOOKUP($D13073,'Informations sur les produits'!$A$3:$H$10000,8,FALSE),"0")</f>
        <v>0</v>
      </c>
      <c r="K13073" s="4"/>
      <c r="L13073" s="33" t="str">
        <f>IFERROR(VLOOKUP($J13073,'Informations sur les produits'!$A$3:$H$10000,8,FALSE),"0")</f>
        <v>0</v>
      </c>
      <c r="N13073" s="8"/>
      <c r="O13073" s="33" t="str">
        <f>IFERROR(VLOOKUP($M13073,'Informations sur les produits'!$A$3:$H$10000,8,FALSE),"0")</f>
        <v>0</v>
      </c>
      <c r="P13073" s="33">
        <f t="shared" si="816"/>
        <v>0</v>
      </c>
      <c r="Q13073" s="31" t="str">
        <f t="shared" si="817"/>
        <v/>
      </c>
      <c r="R13073" s="32" t="str">
        <f>IFERROR(VLOOKUP($D13073,'Informations sur les produits'!$A$3:$B$15000,2,FALSE),"")</f>
        <v/>
      </c>
      <c r="V13073">
        <f t="shared" si="818"/>
        <v>0</v>
      </c>
      <c r="W13073">
        <f t="shared" si="819"/>
        <v>0</v>
      </c>
    </row>
    <row r="13074" spans="5:23" x14ac:dyDescent="0.25">
      <c r="E13074" s="4"/>
      <c r="F13074" s="4"/>
      <c r="G13074" s="33" t="str">
        <f>IFERROR(VLOOKUP($D13074,'Informations sur les produits'!$A$3:$H$10000,8,FALSE),"0")</f>
        <v>0</v>
      </c>
      <c r="K13074" s="4"/>
      <c r="L13074" s="33" t="str">
        <f>IFERROR(VLOOKUP($J13074,'Informations sur les produits'!$A$3:$H$10000,8,FALSE),"0")</f>
        <v>0</v>
      </c>
      <c r="N13074" s="8"/>
      <c r="O13074" s="33" t="str">
        <f>IFERROR(VLOOKUP($M13074,'Informations sur les produits'!$A$3:$H$10000,8,FALSE),"0")</f>
        <v>0</v>
      </c>
      <c r="P13074" s="33">
        <f t="shared" si="816"/>
        <v>0</v>
      </c>
      <c r="Q13074" s="31" t="str">
        <f t="shared" si="817"/>
        <v/>
      </c>
      <c r="R13074" s="32" t="str">
        <f>IFERROR(VLOOKUP($D13074,'Informations sur les produits'!$A$3:$B$15000,2,FALSE),"")</f>
        <v/>
      </c>
      <c r="V13074">
        <f t="shared" si="818"/>
        <v>0</v>
      </c>
      <c r="W13074">
        <f t="shared" si="819"/>
        <v>0</v>
      </c>
    </row>
    <row r="13075" spans="5:23" x14ac:dyDescent="0.25">
      <c r="E13075" s="4"/>
      <c r="F13075" s="4"/>
      <c r="G13075" s="33" t="str">
        <f>IFERROR(VLOOKUP($D13075,'Informations sur les produits'!$A$3:$H$10000,8,FALSE),"0")</f>
        <v>0</v>
      </c>
      <c r="K13075" s="4"/>
      <c r="L13075" s="33" t="str">
        <f>IFERROR(VLOOKUP($J13075,'Informations sur les produits'!$A$3:$H$10000,8,FALSE),"0")</f>
        <v>0</v>
      </c>
      <c r="N13075" s="8"/>
      <c r="O13075" s="33" t="str">
        <f>IFERROR(VLOOKUP($M13075,'Informations sur les produits'!$A$3:$H$10000,8,FALSE),"0")</f>
        <v>0</v>
      </c>
      <c r="P13075" s="33">
        <f t="shared" si="816"/>
        <v>0</v>
      </c>
      <c r="Q13075" s="31" t="str">
        <f t="shared" si="817"/>
        <v/>
      </c>
      <c r="R13075" s="32" t="str">
        <f>IFERROR(VLOOKUP($D13075,'Informations sur les produits'!$A$3:$B$15000,2,FALSE),"")</f>
        <v/>
      </c>
      <c r="V13075">
        <f t="shared" si="818"/>
        <v>0</v>
      </c>
      <c r="W13075">
        <f t="shared" si="819"/>
        <v>0</v>
      </c>
    </row>
    <row r="13076" spans="5:23" x14ac:dyDescent="0.25">
      <c r="E13076" s="4"/>
      <c r="F13076" s="4"/>
      <c r="G13076" s="33" t="str">
        <f>IFERROR(VLOOKUP($D13076,'Informations sur les produits'!$A$3:$H$10000,8,FALSE),"0")</f>
        <v>0</v>
      </c>
      <c r="K13076" s="4"/>
      <c r="L13076" s="33" t="str">
        <f>IFERROR(VLOOKUP($J13076,'Informations sur les produits'!$A$3:$H$10000,8,FALSE),"0")</f>
        <v>0</v>
      </c>
      <c r="N13076" s="8"/>
      <c r="O13076" s="33" t="str">
        <f>IFERROR(VLOOKUP($M13076,'Informations sur les produits'!$A$3:$H$10000,8,FALSE),"0")</f>
        <v>0</v>
      </c>
      <c r="P13076" s="33">
        <f t="shared" si="816"/>
        <v>0</v>
      </c>
      <c r="Q13076" s="31" t="str">
        <f t="shared" si="817"/>
        <v/>
      </c>
      <c r="R13076" s="32" t="str">
        <f>IFERROR(VLOOKUP($D13076,'Informations sur les produits'!$A$3:$B$15000,2,FALSE),"")</f>
        <v/>
      </c>
      <c r="V13076">
        <f t="shared" si="818"/>
        <v>0</v>
      </c>
      <c r="W13076">
        <f t="shared" si="819"/>
        <v>0</v>
      </c>
    </row>
    <row r="13077" spans="5:23" x14ac:dyDescent="0.25">
      <c r="E13077" s="4"/>
      <c r="F13077" s="4"/>
      <c r="G13077" s="33" t="str">
        <f>IFERROR(VLOOKUP($D13077,'Informations sur les produits'!$A$3:$H$10000,8,FALSE),"0")</f>
        <v>0</v>
      </c>
      <c r="K13077" s="4"/>
      <c r="L13077" s="33" t="str">
        <f>IFERROR(VLOOKUP($J13077,'Informations sur les produits'!$A$3:$H$10000,8,FALSE),"0")</f>
        <v>0</v>
      </c>
      <c r="N13077" s="8"/>
      <c r="O13077" s="33" t="str">
        <f>IFERROR(VLOOKUP($M13077,'Informations sur les produits'!$A$3:$H$10000,8,FALSE),"0")</f>
        <v>0</v>
      </c>
      <c r="P13077" s="33">
        <f t="shared" si="816"/>
        <v>0</v>
      </c>
      <c r="Q13077" s="31" t="str">
        <f t="shared" si="817"/>
        <v/>
      </c>
      <c r="R13077" s="32" t="str">
        <f>IFERROR(VLOOKUP($D13077,'Informations sur les produits'!$A$3:$B$15000,2,FALSE),"")</f>
        <v/>
      </c>
      <c r="V13077">
        <f t="shared" si="818"/>
        <v>0</v>
      </c>
      <c r="W13077">
        <f t="shared" si="819"/>
        <v>0</v>
      </c>
    </row>
    <row r="13078" spans="5:23" x14ac:dyDescent="0.25">
      <c r="E13078" s="4"/>
      <c r="F13078" s="4"/>
      <c r="G13078" s="33" t="str">
        <f>IFERROR(VLOOKUP($D13078,'Informations sur les produits'!$A$3:$H$10000,8,FALSE),"0")</f>
        <v>0</v>
      </c>
      <c r="K13078" s="4"/>
      <c r="L13078" s="33" t="str">
        <f>IFERROR(VLOOKUP($J13078,'Informations sur les produits'!$A$3:$H$10000,8,FALSE),"0")</f>
        <v>0</v>
      </c>
      <c r="N13078" s="8"/>
      <c r="O13078" s="33" t="str">
        <f>IFERROR(VLOOKUP($M13078,'Informations sur les produits'!$A$3:$H$10000,8,FALSE),"0")</f>
        <v>0</v>
      </c>
      <c r="P13078" s="33">
        <f t="shared" si="816"/>
        <v>0</v>
      </c>
      <c r="Q13078" s="31" t="str">
        <f t="shared" si="817"/>
        <v/>
      </c>
      <c r="R13078" s="32" t="str">
        <f>IFERROR(VLOOKUP($D13078,'Informations sur les produits'!$A$3:$B$15000,2,FALSE),"")</f>
        <v/>
      </c>
      <c r="V13078">
        <f t="shared" si="818"/>
        <v>0</v>
      </c>
      <c r="W13078">
        <f t="shared" si="819"/>
        <v>0</v>
      </c>
    </row>
    <row r="13079" spans="5:23" x14ac:dyDescent="0.25">
      <c r="E13079" s="4"/>
      <c r="F13079" s="4"/>
      <c r="G13079" s="33" t="str">
        <f>IFERROR(VLOOKUP($D13079,'Informations sur les produits'!$A$3:$H$10000,8,FALSE),"0")</f>
        <v>0</v>
      </c>
      <c r="K13079" s="4"/>
      <c r="L13079" s="33" t="str">
        <f>IFERROR(VLOOKUP($J13079,'Informations sur les produits'!$A$3:$H$10000,8,FALSE),"0")</f>
        <v>0</v>
      </c>
      <c r="N13079" s="8"/>
      <c r="O13079" s="33" t="str">
        <f>IFERROR(VLOOKUP($M13079,'Informations sur les produits'!$A$3:$H$10000,8,FALSE),"0")</f>
        <v>0</v>
      </c>
      <c r="P13079" s="33">
        <f t="shared" si="816"/>
        <v>0</v>
      </c>
      <c r="Q13079" s="31" t="str">
        <f t="shared" si="817"/>
        <v/>
      </c>
      <c r="R13079" s="32" t="str">
        <f>IFERROR(VLOOKUP($D13079,'Informations sur les produits'!$A$3:$B$15000,2,FALSE),"")</f>
        <v/>
      </c>
      <c r="V13079">
        <f t="shared" si="818"/>
        <v>0</v>
      </c>
      <c r="W13079">
        <f t="shared" si="819"/>
        <v>0</v>
      </c>
    </row>
    <row r="13080" spans="5:23" x14ac:dyDescent="0.25">
      <c r="E13080" s="4"/>
      <c r="F13080" s="4"/>
      <c r="G13080" s="33" t="str">
        <f>IFERROR(VLOOKUP($D13080,'Informations sur les produits'!$A$3:$H$10000,8,FALSE),"0")</f>
        <v>0</v>
      </c>
      <c r="K13080" s="4"/>
      <c r="L13080" s="33" t="str">
        <f>IFERROR(VLOOKUP($J13080,'Informations sur les produits'!$A$3:$H$10000,8,FALSE),"0")</f>
        <v>0</v>
      </c>
      <c r="N13080" s="8"/>
      <c r="O13080" s="33" t="str">
        <f>IFERROR(VLOOKUP($M13080,'Informations sur les produits'!$A$3:$H$10000,8,FALSE),"0")</f>
        <v>0</v>
      </c>
      <c r="P13080" s="33">
        <f t="shared" si="816"/>
        <v>0</v>
      </c>
      <c r="Q13080" s="31" t="str">
        <f t="shared" si="817"/>
        <v/>
      </c>
      <c r="R13080" s="32" t="str">
        <f>IFERROR(VLOOKUP($D13080,'Informations sur les produits'!$A$3:$B$15000,2,FALSE),"")</f>
        <v/>
      </c>
      <c r="V13080">
        <f t="shared" si="818"/>
        <v>0</v>
      </c>
      <c r="W13080">
        <f t="shared" si="819"/>
        <v>0</v>
      </c>
    </row>
    <row r="13081" spans="5:23" x14ac:dyDescent="0.25">
      <c r="E13081" s="4"/>
      <c r="F13081" s="4"/>
      <c r="G13081" s="33" t="str">
        <f>IFERROR(VLOOKUP($D13081,'Informations sur les produits'!$A$3:$H$10000,8,FALSE),"0")</f>
        <v>0</v>
      </c>
      <c r="K13081" s="4"/>
      <c r="L13081" s="33" t="str">
        <f>IFERROR(VLOOKUP($J13081,'Informations sur les produits'!$A$3:$H$10000,8,FALSE),"0")</f>
        <v>0</v>
      </c>
      <c r="N13081" s="8"/>
      <c r="O13081" s="33" t="str">
        <f>IFERROR(VLOOKUP($M13081,'Informations sur les produits'!$A$3:$H$10000,8,FALSE),"0")</f>
        <v>0</v>
      </c>
      <c r="P13081" s="33">
        <f t="shared" si="816"/>
        <v>0</v>
      </c>
      <c r="Q13081" s="31" t="str">
        <f t="shared" si="817"/>
        <v/>
      </c>
      <c r="R13081" s="32" t="str">
        <f>IFERROR(VLOOKUP($D13081,'Informations sur les produits'!$A$3:$B$15000,2,FALSE),"")</f>
        <v/>
      </c>
      <c r="V13081">
        <f t="shared" si="818"/>
        <v>0</v>
      </c>
      <c r="W13081">
        <f t="shared" si="819"/>
        <v>0</v>
      </c>
    </row>
    <row r="13082" spans="5:23" x14ac:dyDescent="0.25">
      <c r="E13082" s="4"/>
      <c r="F13082" s="4"/>
      <c r="G13082" s="33" t="str">
        <f>IFERROR(VLOOKUP($D13082,'Informations sur les produits'!$A$3:$H$10000,8,FALSE),"0")</f>
        <v>0</v>
      </c>
      <c r="K13082" s="4"/>
      <c r="L13082" s="33" t="str">
        <f>IFERROR(VLOOKUP($J13082,'Informations sur les produits'!$A$3:$H$10000,8,FALSE),"0")</f>
        <v>0</v>
      </c>
      <c r="N13082" s="8"/>
      <c r="O13082" s="33" t="str">
        <f>IFERROR(VLOOKUP($M13082,'Informations sur les produits'!$A$3:$H$10000,8,FALSE),"0")</f>
        <v>0</v>
      </c>
      <c r="P13082" s="33">
        <f t="shared" si="816"/>
        <v>0</v>
      </c>
      <c r="Q13082" s="31" t="str">
        <f t="shared" si="817"/>
        <v/>
      </c>
      <c r="R13082" s="32" t="str">
        <f>IFERROR(VLOOKUP($D13082,'Informations sur les produits'!$A$3:$B$15000,2,FALSE),"")</f>
        <v/>
      </c>
      <c r="V13082">
        <f t="shared" si="818"/>
        <v>0</v>
      </c>
      <c r="W13082">
        <f t="shared" si="819"/>
        <v>0</v>
      </c>
    </row>
    <row r="13083" spans="5:23" x14ac:dyDescent="0.25">
      <c r="E13083" s="4"/>
      <c r="F13083" s="4"/>
      <c r="G13083" s="33" t="str">
        <f>IFERROR(VLOOKUP($D13083,'Informations sur les produits'!$A$3:$H$10000,8,FALSE),"0")</f>
        <v>0</v>
      </c>
      <c r="K13083" s="4"/>
      <c r="L13083" s="33" t="str">
        <f>IFERROR(VLOOKUP($J13083,'Informations sur les produits'!$A$3:$H$10000,8,FALSE),"0")</f>
        <v>0</v>
      </c>
      <c r="N13083" s="8"/>
      <c r="O13083" s="33" t="str">
        <f>IFERROR(VLOOKUP($M13083,'Informations sur les produits'!$A$3:$H$10000,8,FALSE),"0")</f>
        <v>0</v>
      </c>
      <c r="P13083" s="33">
        <f t="shared" si="816"/>
        <v>0</v>
      </c>
      <c r="Q13083" s="31" t="str">
        <f t="shared" si="817"/>
        <v/>
      </c>
      <c r="R13083" s="32" t="str">
        <f>IFERROR(VLOOKUP($D13083,'Informations sur les produits'!$A$3:$B$15000,2,FALSE),"")</f>
        <v/>
      </c>
      <c r="V13083">
        <f t="shared" si="818"/>
        <v>0</v>
      </c>
      <c r="W13083">
        <f t="shared" si="819"/>
        <v>0</v>
      </c>
    </row>
    <row r="13084" spans="5:23" x14ac:dyDescent="0.25">
      <c r="E13084" s="4"/>
      <c r="F13084" s="4"/>
      <c r="G13084" s="33" t="str">
        <f>IFERROR(VLOOKUP($D13084,'Informations sur les produits'!$A$3:$H$10000,8,FALSE),"0")</f>
        <v>0</v>
      </c>
      <c r="K13084" s="4"/>
      <c r="L13084" s="33" t="str">
        <f>IFERROR(VLOOKUP($J13084,'Informations sur les produits'!$A$3:$H$10000,8,FALSE),"0")</f>
        <v>0</v>
      </c>
      <c r="N13084" s="8"/>
      <c r="O13084" s="33" t="str">
        <f>IFERROR(VLOOKUP($M13084,'Informations sur les produits'!$A$3:$H$10000,8,FALSE),"0")</f>
        <v>0</v>
      </c>
      <c r="P13084" s="33">
        <f t="shared" si="816"/>
        <v>0</v>
      </c>
      <c r="Q13084" s="31" t="str">
        <f t="shared" si="817"/>
        <v/>
      </c>
      <c r="R13084" s="32" t="str">
        <f>IFERROR(VLOOKUP($D13084,'Informations sur les produits'!$A$3:$B$15000,2,FALSE),"")</f>
        <v/>
      </c>
      <c r="V13084">
        <f t="shared" si="818"/>
        <v>0</v>
      </c>
      <c r="W13084">
        <f t="shared" si="819"/>
        <v>0</v>
      </c>
    </row>
    <row r="13085" spans="5:23" x14ac:dyDescent="0.25">
      <c r="E13085" s="4"/>
      <c r="F13085" s="4"/>
      <c r="G13085" s="33" t="str">
        <f>IFERROR(VLOOKUP($D13085,'Informations sur les produits'!$A$3:$H$10000,8,FALSE),"0")</f>
        <v>0</v>
      </c>
      <c r="K13085" s="4"/>
      <c r="L13085" s="33" t="str">
        <f>IFERROR(VLOOKUP($J13085,'Informations sur les produits'!$A$3:$H$10000,8,FALSE),"0")</f>
        <v>0</v>
      </c>
      <c r="N13085" s="8"/>
      <c r="O13085" s="33" t="str">
        <f>IFERROR(VLOOKUP($M13085,'Informations sur les produits'!$A$3:$H$10000,8,FALSE),"0")</f>
        <v>0</v>
      </c>
      <c r="P13085" s="33">
        <f t="shared" si="816"/>
        <v>0</v>
      </c>
      <c r="Q13085" s="31" t="str">
        <f t="shared" si="817"/>
        <v/>
      </c>
      <c r="R13085" s="32" t="str">
        <f>IFERROR(VLOOKUP($D13085,'Informations sur les produits'!$A$3:$B$15000,2,FALSE),"")</f>
        <v/>
      </c>
      <c r="V13085">
        <f t="shared" si="818"/>
        <v>0</v>
      </c>
      <c r="W13085">
        <f t="shared" si="819"/>
        <v>0</v>
      </c>
    </row>
    <row r="13086" spans="5:23" x14ac:dyDescent="0.25">
      <c r="E13086" s="4"/>
      <c r="F13086" s="4"/>
      <c r="G13086" s="33" t="str">
        <f>IFERROR(VLOOKUP($D13086,'Informations sur les produits'!$A$3:$H$10000,8,FALSE),"0")</f>
        <v>0</v>
      </c>
      <c r="K13086" s="4"/>
      <c r="L13086" s="33" t="str">
        <f>IFERROR(VLOOKUP($J13086,'Informations sur les produits'!$A$3:$H$10000,8,FALSE),"0")</f>
        <v>0</v>
      </c>
      <c r="N13086" s="8"/>
      <c r="O13086" s="33" t="str">
        <f>IFERROR(VLOOKUP($M13086,'Informations sur les produits'!$A$3:$H$10000,8,FALSE),"0")</f>
        <v>0</v>
      </c>
      <c r="P13086" s="33">
        <f t="shared" si="816"/>
        <v>0</v>
      </c>
      <c r="Q13086" s="31" t="str">
        <f t="shared" si="817"/>
        <v/>
      </c>
      <c r="R13086" s="32" t="str">
        <f>IFERROR(VLOOKUP($D13086,'Informations sur les produits'!$A$3:$B$15000,2,FALSE),"")</f>
        <v/>
      </c>
      <c r="V13086">
        <f t="shared" si="818"/>
        <v>0</v>
      </c>
      <c r="W13086">
        <f t="shared" si="819"/>
        <v>0</v>
      </c>
    </row>
    <row r="13087" spans="5:23" x14ac:dyDescent="0.25">
      <c r="E13087" s="4"/>
      <c r="F13087" s="4"/>
      <c r="G13087" s="33" t="str">
        <f>IFERROR(VLOOKUP($D13087,'Informations sur les produits'!$A$3:$H$10000,8,FALSE),"0")</f>
        <v>0</v>
      </c>
      <c r="K13087" s="4"/>
      <c r="L13087" s="33" t="str">
        <f>IFERROR(VLOOKUP($J13087,'Informations sur les produits'!$A$3:$H$10000,8,FALSE),"0")</f>
        <v>0</v>
      </c>
      <c r="N13087" s="8"/>
      <c r="O13087" s="33" t="str">
        <f>IFERROR(VLOOKUP($M13087,'Informations sur les produits'!$A$3:$H$10000,8,FALSE),"0")</f>
        <v>0</v>
      </c>
      <c r="P13087" s="33">
        <f t="shared" si="816"/>
        <v>0</v>
      </c>
      <c r="Q13087" s="31" t="str">
        <f t="shared" si="817"/>
        <v/>
      </c>
      <c r="R13087" s="32" t="str">
        <f>IFERROR(VLOOKUP($D13087,'Informations sur les produits'!$A$3:$B$15000,2,FALSE),"")</f>
        <v/>
      </c>
      <c r="V13087">
        <f t="shared" si="818"/>
        <v>0</v>
      </c>
      <c r="W13087">
        <f t="shared" si="819"/>
        <v>0</v>
      </c>
    </row>
    <row r="13088" spans="5:23" x14ac:dyDescent="0.25">
      <c r="E13088" s="4"/>
      <c r="F13088" s="4"/>
      <c r="G13088" s="33" t="str">
        <f>IFERROR(VLOOKUP($D13088,'Informations sur les produits'!$A$3:$H$10000,8,FALSE),"0")</f>
        <v>0</v>
      </c>
      <c r="K13088" s="4"/>
      <c r="L13088" s="33" t="str">
        <f>IFERROR(VLOOKUP($J13088,'Informations sur les produits'!$A$3:$H$10000,8,FALSE),"0")</f>
        <v>0</v>
      </c>
      <c r="N13088" s="8"/>
      <c r="O13088" s="33" t="str">
        <f>IFERROR(VLOOKUP($M13088,'Informations sur les produits'!$A$3:$H$10000,8,FALSE),"0")</f>
        <v>0</v>
      </c>
      <c r="P13088" s="33">
        <f t="shared" si="816"/>
        <v>0</v>
      </c>
      <c r="Q13088" s="31" t="str">
        <f t="shared" si="817"/>
        <v/>
      </c>
      <c r="R13088" s="32" t="str">
        <f>IFERROR(VLOOKUP($D13088,'Informations sur les produits'!$A$3:$B$15000,2,FALSE),"")</f>
        <v/>
      </c>
      <c r="V13088">
        <f t="shared" si="818"/>
        <v>0</v>
      </c>
      <c r="W13088">
        <f t="shared" si="819"/>
        <v>0</v>
      </c>
    </row>
    <row r="13089" spans="5:23" x14ac:dyDescent="0.25">
      <c r="E13089" s="4"/>
      <c r="F13089" s="4"/>
      <c r="G13089" s="33" t="str">
        <f>IFERROR(VLOOKUP($D13089,'Informations sur les produits'!$A$3:$H$10000,8,FALSE),"0")</f>
        <v>0</v>
      </c>
      <c r="K13089" s="4"/>
      <c r="L13089" s="33" t="str">
        <f>IFERROR(VLOOKUP($J13089,'Informations sur les produits'!$A$3:$H$10000,8,FALSE),"0")</f>
        <v>0</v>
      </c>
      <c r="N13089" s="8"/>
      <c r="O13089" s="33" t="str">
        <f>IFERROR(VLOOKUP($M13089,'Informations sur les produits'!$A$3:$H$10000,8,FALSE),"0")</f>
        <v>0</v>
      </c>
      <c r="P13089" s="33">
        <f t="shared" si="816"/>
        <v>0</v>
      </c>
      <c r="Q13089" s="31" t="str">
        <f t="shared" si="817"/>
        <v/>
      </c>
      <c r="R13089" s="32" t="str">
        <f>IFERROR(VLOOKUP($D13089,'Informations sur les produits'!$A$3:$B$15000,2,FALSE),"")</f>
        <v/>
      </c>
      <c r="V13089">
        <f t="shared" si="818"/>
        <v>0</v>
      </c>
      <c r="W13089">
        <f t="shared" si="819"/>
        <v>0</v>
      </c>
    </row>
    <row r="13090" spans="5:23" x14ac:dyDescent="0.25">
      <c r="E13090" s="4"/>
      <c r="F13090" s="4"/>
      <c r="G13090" s="33" t="str">
        <f>IFERROR(VLOOKUP($D13090,'Informations sur les produits'!$A$3:$H$10000,8,FALSE),"0")</f>
        <v>0</v>
      </c>
      <c r="K13090" s="4"/>
      <c r="L13090" s="33" t="str">
        <f>IFERROR(VLOOKUP($J13090,'Informations sur les produits'!$A$3:$H$10000,8,FALSE),"0")</f>
        <v>0</v>
      </c>
      <c r="N13090" s="8"/>
      <c r="O13090" s="33" t="str">
        <f>IFERROR(VLOOKUP($M13090,'Informations sur les produits'!$A$3:$H$10000,8,FALSE),"0")</f>
        <v>0</v>
      </c>
      <c r="P13090" s="33">
        <f t="shared" si="816"/>
        <v>0</v>
      </c>
      <c r="Q13090" s="31" t="str">
        <f t="shared" si="817"/>
        <v/>
      </c>
      <c r="R13090" s="32" t="str">
        <f>IFERROR(VLOOKUP($D13090,'Informations sur les produits'!$A$3:$B$15000,2,FALSE),"")</f>
        <v/>
      </c>
      <c r="V13090">
        <f t="shared" si="818"/>
        <v>0</v>
      </c>
      <c r="W13090">
        <f t="shared" si="819"/>
        <v>0</v>
      </c>
    </row>
    <row r="13091" spans="5:23" x14ac:dyDescent="0.25">
      <c r="E13091" s="4"/>
      <c r="F13091" s="4"/>
      <c r="G13091" s="33" t="str">
        <f>IFERROR(VLOOKUP($D13091,'Informations sur les produits'!$A$3:$H$10000,8,FALSE),"0")</f>
        <v>0</v>
      </c>
      <c r="K13091" s="4"/>
      <c r="L13091" s="33" t="str">
        <f>IFERROR(VLOOKUP($J13091,'Informations sur les produits'!$A$3:$H$10000,8,FALSE),"0")</f>
        <v>0</v>
      </c>
      <c r="N13091" s="8"/>
      <c r="O13091" s="33" t="str">
        <f>IFERROR(VLOOKUP($M13091,'Informations sur les produits'!$A$3:$H$10000,8,FALSE),"0")</f>
        <v>0</v>
      </c>
      <c r="P13091" s="33">
        <f t="shared" si="816"/>
        <v>0</v>
      </c>
      <c r="Q13091" s="31" t="str">
        <f t="shared" si="817"/>
        <v/>
      </c>
      <c r="R13091" s="32" t="str">
        <f>IFERROR(VLOOKUP($D13091,'Informations sur les produits'!$A$3:$B$15000,2,FALSE),"")</f>
        <v/>
      </c>
      <c r="V13091">
        <f t="shared" si="818"/>
        <v>0</v>
      </c>
      <c r="W13091">
        <f t="shared" si="819"/>
        <v>0</v>
      </c>
    </row>
    <row r="13092" spans="5:23" x14ac:dyDescent="0.25">
      <c r="E13092" s="4"/>
      <c r="F13092" s="4"/>
      <c r="G13092" s="33" t="str">
        <f>IFERROR(VLOOKUP($D13092,'Informations sur les produits'!$A$3:$H$10000,8,FALSE),"0")</f>
        <v>0</v>
      </c>
      <c r="K13092" s="4"/>
      <c r="L13092" s="33" t="str">
        <f>IFERROR(VLOOKUP($J13092,'Informations sur les produits'!$A$3:$H$10000,8,FALSE),"0")</f>
        <v>0</v>
      </c>
      <c r="N13092" s="8"/>
      <c r="O13092" s="33" t="str">
        <f>IFERROR(VLOOKUP($M13092,'Informations sur les produits'!$A$3:$H$10000,8,FALSE),"0")</f>
        <v>0</v>
      </c>
      <c r="P13092" s="33">
        <f t="shared" si="816"/>
        <v>0</v>
      </c>
      <c r="Q13092" s="31" t="str">
        <f t="shared" si="817"/>
        <v/>
      </c>
      <c r="R13092" s="32" t="str">
        <f>IFERROR(VLOOKUP($D13092,'Informations sur les produits'!$A$3:$B$15000,2,FALSE),"")</f>
        <v/>
      </c>
      <c r="V13092">
        <f t="shared" si="818"/>
        <v>0</v>
      </c>
      <c r="W13092">
        <f t="shared" si="819"/>
        <v>0</v>
      </c>
    </row>
    <row r="13093" spans="5:23" x14ac:dyDescent="0.25">
      <c r="E13093" s="4"/>
      <c r="F13093" s="4"/>
      <c r="G13093" s="33" t="str">
        <f>IFERROR(VLOOKUP($D13093,'Informations sur les produits'!$A$3:$H$10000,8,FALSE),"0")</f>
        <v>0</v>
      </c>
      <c r="K13093" s="4"/>
      <c r="L13093" s="33" t="str">
        <f>IFERROR(VLOOKUP($J13093,'Informations sur les produits'!$A$3:$H$10000,8,FALSE),"0")</f>
        <v>0</v>
      </c>
      <c r="N13093" s="8"/>
      <c r="O13093" s="33" t="str">
        <f>IFERROR(VLOOKUP($M13093,'Informations sur les produits'!$A$3:$H$10000,8,FALSE),"0")</f>
        <v>0</v>
      </c>
      <c r="P13093" s="33">
        <f t="shared" si="816"/>
        <v>0</v>
      </c>
      <c r="Q13093" s="31" t="str">
        <f t="shared" si="817"/>
        <v/>
      </c>
      <c r="R13093" s="32" t="str">
        <f>IFERROR(VLOOKUP($D13093,'Informations sur les produits'!$A$3:$B$15000,2,FALSE),"")</f>
        <v/>
      </c>
      <c r="V13093">
        <f t="shared" si="818"/>
        <v>0</v>
      </c>
      <c r="W13093">
        <f t="shared" si="819"/>
        <v>0</v>
      </c>
    </row>
    <row r="13094" spans="5:23" x14ac:dyDescent="0.25">
      <c r="E13094" s="4"/>
      <c r="F13094" s="4"/>
      <c r="G13094" s="33" t="str">
        <f>IFERROR(VLOOKUP($D13094,'Informations sur les produits'!$A$3:$H$10000,8,FALSE),"0")</f>
        <v>0</v>
      </c>
      <c r="K13094" s="4"/>
      <c r="L13094" s="33" t="str">
        <f>IFERROR(VLOOKUP($J13094,'Informations sur les produits'!$A$3:$H$10000,8,FALSE),"0")</f>
        <v>0</v>
      </c>
      <c r="N13094" s="8"/>
      <c r="O13094" s="33" t="str">
        <f>IFERROR(VLOOKUP($M13094,'Informations sur les produits'!$A$3:$H$10000,8,FALSE),"0")</f>
        <v>0</v>
      </c>
      <c r="P13094" s="33">
        <f t="shared" si="816"/>
        <v>0</v>
      </c>
      <c r="Q13094" s="31" t="str">
        <f t="shared" si="817"/>
        <v/>
      </c>
      <c r="R13094" s="32" t="str">
        <f>IFERROR(VLOOKUP($D13094,'Informations sur les produits'!$A$3:$B$15000,2,FALSE),"")</f>
        <v/>
      </c>
      <c r="V13094">
        <f t="shared" si="818"/>
        <v>0</v>
      </c>
      <c r="W13094">
        <f t="shared" si="819"/>
        <v>0</v>
      </c>
    </row>
    <row r="13095" spans="5:23" x14ac:dyDescent="0.25">
      <c r="E13095" s="4"/>
      <c r="F13095" s="4"/>
      <c r="G13095" s="33" t="str">
        <f>IFERROR(VLOOKUP($D13095,'Informations sur les produits'!$A$3:$H$10000,8,FALSE),"0")</f>
        <v>0</v>
      </c>
      <c r="K13095" s="4"/>
      <c r="L13095" s="33" t="str">
        <f>IFERROR(VLOOKUP($J13095,'Informations sur les produits'!$A$3:$H$10000,8,FALSE),"0")</f>
        <v>0</v>
      </c>
      <c r="N13095" s="8"/>
      <c r="O13095" s="33" t="str">
        <f>IFERROR(VLOOKUP($M13095,'Informations sur les produits'!$A$3:$H$10000,8,FALSE),"0")</f>
        <v>0</v>
      </c>
      <c r="P13095" s="33">
        <f t="shared" si="816"/>
        <v>0</v>
      </c>
      <c r="Q13095" s="31" t="str">
        <f t="shared" si="817"/>
        <v/>
      </c>
      <c r="R13095" s="32" t="str">
        <f>IFERROR(VLOOKUP($D13095,'Informations sur les produits'!$A$3:$B$15000,2,FALSE),"")</f>
        <v/>
      </c>
      <c r="V13095">
        <f t="shared" si="818"/>
        <v>0</v>
      </c>
      <c r="W13095">
        <f t="shared" si="819"/>
        <v>0</v>
      </c>
    </row>
    <row r="13096" spans="5:23" x14ac:dyDescent="0.25">
      <c r="E13096" s="4"/>
      <c r="F13096" s="4"/>
      <c r="G13096" s="33" t="str">
        <f>IFERROR(VLOOKUP($D13096,'Informations sur les produits'!$A$3:$H$10000,8,FALSE),"0")</f>
        <v>0</v>
      </c>
      <c r="K13096" s="4"/>
      <c r="L13096" s="33" t="str">
        <f>IFERROR(VLOOKUP($J13096,'Informations sur les produits'!$A$3:$H$10000,8,FALSE),"0")</f>
        <v>0</v>
      </c>
      <c r="N13096" s="8"/>
      <c r="O13096" s="33" t="str">
        <f>IFERROR(VLOOKUP($M13096,'Informations sur les produits'!$A$3:$H$10000,8,FALSE),"0")</f>
        <v>0</v>
      </c>
      <c r="P13096" s="33">
        <f t="shared" si="816"/>
        <v>0</v>
      </c>
      <c r="Q13096" s="31" t="str">
        <f t="shared" si="817"/>
        <v/>
      </c>
      <c r="R13096" s="32" t="str">
        <f>IFERROR(VLOOKUP($D13096,'Informations sur les produits'!$A$3:$B$15000,2,FALSE),"")</f>
        <v/>
      </c>
      <c r="V13096">
        <f t="shared" si="818"/>
        <v>0</v>
      </c>
      <c r="W13096">
        <f t="shared" si="819"/>
        <v>0</v>
      </c>
    </row>
    <row r="13097" spans="5:23" x14ac:dyDescent="0.25">
      <c r="E13097" s="4"/>
      <c r="F13097" s="4"/>
      <c r="G13097" s="33" t="str">
        <f>IFERROR(VLOOKUP($D13097,'Informations sur les produits'!$A$3:$H$10000,8,FALSE),"0")</f>
        <v>0</v>
      </c>
      <c r="K13097" s="4"/>
      <c r="L13097" s="33" t="str">
        <f>IFERROR(VLOOKUP($J13097,'Informations sur les produits'!$A$3:$H$10000,8,FALSE),"0")</f>
        <v>0</v>
      </c>
      <c r="N13097" s="8"/>
      <c r="O13097" s="33" t="str">
        <f>IFERROR(VLOOKUP($M13097,'Informations sur les produits'!$A$3:$H$10000,8,FALSE),"0")</f>
        <v>0</v>
      </c>
      <c r="P13097" s="33">
        <f t="shared" si="816"/>
        <v>0</v>
      </c>
      <c r="Q13097" s="31" t="str">
        <f t="shared" si="817"/>
        <v/>
      </c>
      <c r="R13097" s="32" t="str">
        <f>IFERROR(VLOOKUP($D13097,'Informations sur les produits'!$A$3:$B$15000,2,FALSE),"")</f>
        <v/>
      </c>
      <c r="V13097">
        <f t="shared" si="818"/>
        <v>0</v>
      </c>
      <c r="W13097">
        <f t="shared" si="819"/>
        <v>0</v>
      </c>
    </row>
    <row r="13098" spans="5:23" x14ac:dyDescent="0.25">
      <c r="E13098" s="4"/>
      <c r="F13098" s="4"/>
      <c r="G13098" s="33" t="str">
        <f>IFERROR(VLOOKUP($D13098,'Informations sur les produits'!$A$3:$H$10000,8,FALSE),"0")</f>
        <v>0</v>
      </c>
      <c r="K13098" s="4"/>
      <c r="L13098" s="33" t="str">
        <f>IFERROR(VLOOKUP($J13098,'Informations sur les produits'!$A$3:$H$10000,8,FALSE),"0")</f>
        <v>0</v>
      </c>
      <c r="N13098" s="8"/>
      <c r="O13098" s="33" t="str">
        <f>IFERROR(VLOOKUP($M13098,'Informations sur les produits'!$A$3:$H$10000,8,FALSE),"0")</f>
        <v>0</v>
      </c>
      <c r="P13098" s="33">
        <f t="shared" si="816"/>
        <v>0</v>
      </c>
      <c r="Q13098" s="31" t="str">
        <f t="shared" si="817"/>
        <v/>
      </c>
      <c r="R13098" s="32" t="str">
        <f>IFERROR(VLOOKUP($D13098,'Informations sur les produits'!$A$3:$B$15000,2,FALSE),"")</f>
        <v/>
      </c>
      <c r="V13098">
        <f t="shared" si="818"/>
        <v>0</v>
      </c>
      <c r="W13098">
        <f t="shared" si="819"/>
        <v>0</v>
      </c>
    </row>
    <row r="13099" spans="5:23" x14ac:dyDescent="0.25">
      <c r="E13099" s="4"/>
      <c r="F13099" s="4"/>
      <c r="G13099" s="33" t="str">
        <f>IFERROR(VLOOKUP($D13099,'Informations sur les produits'!$A$3:$H$10000,8,FALSE),"0")</f>
        <v>0</v>
      </c>
      <c r="K13099" s="4"/>
      <c r="L13099" s="33" t="str">
        <f>IFERROR(VLOOKUP($J13099,'Informations sur les produits'!$A$3:$H$10000,8,FALSE),"0")</f>
        <v>0</v>
      </c>
      <c r="N13099" s="8"/>
      <c r="O13099" s="33" t="str">
        <f>IFERROR(VLOOKUP($M13099,'Informations sur les produits'!$A$3:$H$10000,8,FALSE),"0")</f>
        <v>0</v>
      </c>
      <c r="P13099" s="33">
        <f t="shared" si="816"/>
        <v>0</v>
      </c>
      <c r="Q13099" s="31" t="str">
        <f t="shared" si="817"/>
        <v/>
      </c>
      <c r="R13099" s="32" t="str">
        <f>IFERROR(VLOOKUP($D13099,'Informations sur les produits'!$A$3:$B$15000,2,FALSE),"")</f>
        <v/>
      </c>
      <c r="V13099">
        <f t="shared" si="818"/>
        <v>0</v>
      </c>
      <c r="W13099">
        <f t="shared" si="819"/>
        <v>0</v>
      </c>
    </row>
    <row r="13100" spans="5:23" x14ac:dyDescent="0.25">
      <c r="E13100" s="4"/>
      <c r="F13100" s="4"/>
      <c r="G13100" s="33" t="str">
        <f>IFERROR(VLOOKUP($D13100,'Informations sur les produits'!$A$3:$H$10000,8,FALSE),"0")</f>
        <v>0</v>
      </c>
      <c r="K13100" s="4"/>
      <c r="L13100" s="33" t="str">
        <f>IFERROR(VLOOKUP($J13100,'Informations sur les produits'!$A$3:$H$10000,8,FALSE),"0")</f>
        <v>0</v>
      </c>
      <c r="N13100" s="8"/>
      <c r="O13100" s="33" t="str">
        <f>IFERROR(VLOOKUP($M13100,'Informations sur les produits'!$A$3:$H$10000,8,FALSE),"0")</f>
        <v>0</v>
      </c>
      <c r="P13100" s="33">
        <f t="shared" si="816"/>
        <v>0</v>
      </c>
      <c r="Q13100" s="31" t="str">
        <f t="shared" si="817"/>
        <v/>
      </c>
      <c r="R13100" s="32" t="str">
        <f>IFERROR(VLOOKUP($D13100,'Informations sur les produits'!$A$3:$B$15000,2,FALSE),"")</f>
        <v/>
      </c>
      <c r="V13100">
        <f t="shared" si="818"/>
        <v>0</v>
      </c>
      <c r="W13100">
        <f t="shared" si="819"/>
        <v>0</v>
      </c>
    </row>
    <row r="13101" spans="5:23" x14ac:dyDescent="0.25">
      <c r="E13101" s="4"/>
      <c r="F13101" s="4"/>
      <c r="G13101" s="33" t="str">
        <f>IFERROR(VLOOKUP($D13101,'Informations sur les produits'!$A$3:$H$10000,8,FALSE),"0")</f>
        <v>0</v>
      </c>
      <c r="K13101" s="4"/>
      <c r="L13101" s="33" t="str">
        <f>IFERROR(VLOOKUP($J13101,'Informations sur les produits'!$A$3:$H$10000,8,FALSE),"0")</f>
        <v>0</v>
      </c>
      <c r="N13101" s="8"/>
      <c r="O13101" s="33" t="str">
        <f>IFERROR(VLOOKUP($M13101,'Informations sur les produits'!$A$3:$H$10000,8,FALSE),"0")</f>
        <v>0</v>
      </c>
      <c r="P13101" s="33">
        <f t="shared" si="816"/>
        <v>0</v>
      </c>
      <c r="Q13101" s="31" t="str">
        <f t="shared" si="817"/>
        <v/>
      </c>
      <c r="R13101" s="32" t="str">
        <f>IFERROR(VLOOKUP($D13101,'Informations sur les produits'!$A$3:$B$15000,2,FALSE),"")</f>
        <v/>
      </c>
      <c r="V13101">
        <f t="shared" si="818"/>
        <v>0</v>
      </c>
      <c r="W13101">
        <f t="shared" si="819"/>
        <v>0</v>
      </c>
    </row>
    <row r="13102" spans="5:23" x14ac:dyDescent="0.25">
      <c r="E13102" s="4"/>
      <c r="F13102" s="4"/>
      <c r="G13102" s="33" t="str">
        <f>IFERROR(VLOOKUP($D13102,'Informations sur les produits'!$A$3:$H$10000,8,FALSE),"0")</f>
        <v>0</v>
      </c>
      <c r="K13102" s="4"/>
      <c r="L13102" s="33" t="str">
        <f>IFERROR(VLOOKUP($J13102,'Informations sur les produits'!$A$3:$H$10000,8,FALSE),"0")</f>
        <v>0</v>
      </c>
      <c r="N13102" s="8"/>
      <c r="O13102" s="33" t="str">
        <f>IFERROR(VLOOKUP($M13102,'Informations sur les produits'!$A$3:$H$10000,8,FALSE),"0")</f>
        <v>0</v>
      </c>
      <c r="P13102" s="33">
        <f t="shared" si="816"/>
        <v>0</v>
      </c>
      <c r="Q13102" s="31" t="str">
        <f t="shared" si="817"/>
        <v/>
      </c>
      <c r="R13102" s="32" t="str">
        <f>IFERROR(VLOOKUP($D13102,'Informations sur les produits'!$A$3:$B$15000,2,FALSE),"")</f>
        <v/>
      </c>
      <c r="V13102">
        <f t="shared" si="818"/>
        <v>0</v>
      </c>
      <c r="W13102">
        <f t="shared" si="819"/>
        <v>0</v>
      </c>
    </row>
    <row r="13103" spans="5:23" x14ac:dyDescent="0.25">
      <c r="E13103" s="4"/>
      <c r="F13103" s="4"/>
      <c r="G13103" s="33" t="str">
        <f>IFERROR(VLOOKUP($D13103,'Informations sur les produits'!$A$3:$H$10000,8,FALSE),"0")</f>
        <v>0</v>
      </c>
      <c r="K13103" s="4"/>
      <c r="L13103" s="33" t="str">
        <f>IFERROR(VLOOKUP($J13103,'Informations sur les produits'!$A$3:$H$10000,8,FALSE),"0")</f>
        <v>0</v>
      </c>
      <c r="N13103" s="8"/>
      <c r="O13103" s="33" t="str">
        <f>IFERROR(VLOOKUP($M13103,'Informations sur les produits'!$A$3:$H$10000,8,FALSE),"0")</f>
        <v>0</v>
      </c>
      <c r="P13103" s="33">
        <f t="shared" si="816"/>
        <v>0</v>
      </c>
      <c r="Q13103" s="31" t="str">
        <f t="shared" si="817"/>
        <v/>
      </c>
      <c r="R13103" s="32" t="str">
        <f>IFERROR(VLOOKUP($D13103,'Informations sur les produits'!$A$3:$B$15000,2,FALSE),"")</f>
        <v/>
      </c>
      <c r="V13103">
        <f t="shared" si="818"/>
        <v>0</v>
      </c>
      <c r="W13103">
        <f t="shared" si="819"/>
        <v>0</v>
      </c>
    </row>
    <row r="13104" spans="5:23" x14ac:dyDescent="0.25">
      <c r="E13104" s="4"/>
      <c r="F13104" s="4"/>
      <c r="G13104" s="33" t="str">
        <f>IFERROR(VLOOKUP($D13104,'Informations sur les produits'!$A$3:$H$10000,8,FALSE),"0")</f>
        <v>0</v>
      </c>
      <c r="K13104" s="4"/>
      <c r="L13104" s="33" t="str">
        <f>IFERROR(VLOOKUP($J13104,'Informations sur les produits'!$A$3:$H$10000,8,FALSE),"0")</f>
        <v>0</v>
      </c>
      <c r="N13104" s="8"/>
      <c r="O13104" s="33" t="str">
        <f>IFERROR(VLOOKUP($M13104,'Informations sur les produits'!$A$3:$H$10000,8,FALSE),"0")</f>
        <v>0</v>
      </c>
      <c r="P13104" s="33">
        <f t="shared" si="816"/>
        <v>0</v>
      </c>
      <c r="Q13104" s="31" t="str">
        <f t="shared" si="817"/>
        <v/>
      </c>
      <c r="R13104" s="32" t="str">
        <f>IFERROR(VLOOKUP($D13104,'Informations sur les produits'!$A$3:$B$15000,2,FALSE),"")</f>
        <v/>
      </c>
      <c r="V13104">
        <f t="shared" si="818"/>
        <v>0</v>
      </c>
      <c r="W13104">
        <f t="shared" si="819"/>
        <v>0</v>
      </c>
    </row>
    <row r="13105" spans="5:23" x14ac:dyDescent="0.25">
      <c r="E13105" s="4"/>
      <c r="F13105" s="4"/>
      <c r="G13105" s="33" t="str">
        <f>IFERROR(VLOOKUP($D13105,'Informations sur les produits'!$A$3:$H$10000,8,FALSE),"0")</f>
        <v>0</v>
      </c>
      <c r="K13105" s="4"/>
      <c r="L13105" s="33" t="str">
        <f>IFERROR(VLOOKUP($J13105,'Informations sur les produits'!$A$3:$H$10000,8,FALSE),"0")</f>
        <v>0</v>
      </c>
      <c r="N13105" s="8"/>
      <c r="O13105" s="33" t="str">
        <f>IFERROR(VLOOKUP($M13105,'Informations sur les produits'!$A$3:$H$10000,8,FALSE),"0")</f>
        <v>0</v>
      </c>
      <c r="P13105" s="33">
        <f t="shared" si="816"/>
        <v>0</v>
      </c>
      <c r="Q13105" s="31" t="str">
        <f t="shared" si="817"/>
        <v/>
      </c>
      <c r="R13105" s="32" t="str">
        <f>IFERROR(VLOOKUP($D13105,'Informations sur les produits'!$A$3:$B$15000,2,FALSE),"")</f>
        <v/>
      </c>
      <c r="V13105">
        <f t="shared" si="818"/>
        <v>0</v>
      </c>
      <c r="W13105">
        <f t="shared" si="819"/>
        <v>0</v>
      </c>
    </row>
    <row r="13106" spans="5:23" x14ac:dyDescent="0.25">
      <c r="E13106" s="4"/>
      <c r="F13106" s="4"/>
      <c r="G13106" s="33" t="str">
        <f>IFERROR(VLOOKUP($D13106,'Informations sur les produits'!$A$3:$H$10000,8,FALSE),"0")</f>
        <v>0</v>
      </c>
      <c r="K13106" s="4"/>
      <c r="L13106" s="33" t="str">
        <f>IFERROR(VLOOKUP($J13106,'Informations sur les produits'!$A$3:$H$10000,8,FALSE),"0")</f>
        <v>0</v>
      </c>
      <c r="N13106" s="8"/>
      <c r="O13106" s="33" t="str">
        <f>IFERROR(VLOOKUP($M13106,'Informations sur les produits'!$A$3:$H$10000,8,FALSE),"0")</f>
        <v>0</v>
      </c>
      <c r="P13106" s="33">
        <f t="shared" si="816"/>
        <v>0</v>
      </c>
      <c r="Q13106" s="31" t="str">
        <f t="shared" si="817"/>
        <v/>
      </c>
      <c r="R13106" s="32" t="str">
        <f>IFERROR(VLOOKUP($D13106,'Informations sur les produits'!$A$3:$B$15000,2,FALSE),"")</f>
        <v/>
      </c>
      <c r="V13106">
        <f t="shared" si="818"/>
        <v>0</v>
      </c>
      <c r="W13106">
        <f t="shared" si="819"/>
        <v>0</v>
      </c>
    </row>
    <row r="13107" spans="5:23" x14ac:dyDescent="0.25">
      <c r="E13107" s="4"/>
      <c r="F13107" s="4"/>
      <c r="G13107" s="33" t="str">
        <f>IFERROR(VLOOKUP($D13107,'Informations sur les produits'!$A$3:$H$10000,8,FALSE),"0")</f>
        <v>0</v>
      </c>
      <c r="K13107" s="4"/>
      <c r="L13107" s="33" t="str">
        <f>IFERROR(VLOOKUP($J13107,'Informations sur les produits'!$A$3:$H$10000,8,FALSE),"0")</f>
        <v>0</v>
      </c>
      <c r="N13107" s="8"/>
      <c r="O13107" s="33" t="str">
        <f>IFERROR(VLOOKUP($M13107,'Informations sur les produits'!$A$3:$H$10000,8,FALSE),"0")</f>
        <v>0</v>
      </c>
      <c r="P13107" s="33">
        <f t="shared" si="816"/>
        <v>0</v>
      </c>
      <c r="Q13107" s="31" t="str">
        <f t="shared" si="817"/>
        <v/>
      </c>
      <c r="R13107" s="32" t="str">
        <f>IFERROR(VLOOKUP($D13107,'Informations sur les produits'!$A$3:$B$15000,2,FALSE),"")</f>
        <v/>
      </c>
      <c r="V13107">
        <f t="shared" si="818"/>
        <v>0</v>
      </c>
      <c r="W13107">
        <f t="shared" si="819"/>
        <v>0</v>
      </c>
    </row>
    <row r="13108" spans="5:23" x14ac:dyDescent="0.25">
      <c r="E13108" s="4"/>
      <c r="F13108" s="4"/>
      <c r="G13108" s="33" t="str">
        <f>IFERROR(VLOOKUP($D13108,'Informations sur les produits'!$A$3:$H$10000,8,FALSE),"0")</f>
        <v>0</v>
      </c>
      <c r="K13108" s="4"/>
      <c r="L13108" s="33" t="str">
        <f>IFERROR(VLOOKUP($J13108,'Informations sur les produits'!$A$3:$H$10000,8,FALSE),"0")</f>
        <v>0</v>
      </c>
      <c r="N13108" s="8"/>
      <c r="O13108" s="33" t="str">
        <f>IFERROR(VLOOKUP($M13108,'Informations sur les produits'!$A$3:$H$10000,8,FALSE),"0")</f>
        <v>0</v>
      </c>
      <c r="P13108" s="33">
        <f t="shared" si="816"/>
        <v>0</v>
      </c>
      <c r="Q13108" s="31" t="str">
        <f t="shared" si="817"/>
        <v/>
      </c>
      <c r="R13108" s="32" t="str">
        <f>IFERROR(VLOOKUP($D13108,'Informations sur les produits'!$A$3:$B$15000,2,FALSE),"")</f>
        <v/>
      </c>
      <c r="V13108">
        <f t="shared" si="818"/>
        <v>0</v>
      </c>
      <c r="W13108">
        <f t="shared" si="819"/>
        <v>0</v>
      </c>
    </row>
    <row r="13109" spans="5:23" x14ac:dyDescent="0.25">
      <c r="E13109" s="4"/>
      <c r="F13109" s="4"/>
      <c r="G13109" s="33" t="str">
        <f>IFERROR(VLOOKUP($D13109,'Informations sur les produits'!$A$3:$H$10000,8,FALSE),"0")</f>
        <v>0</v>
      </c>
      <c r="K13109" s="4"/>
      <c r="L13109" s="33" t="str">
        <f>IFERROR(VLOOKUP($J13109,'Informations sur les produits'!$A$3:$H$10000,8,FALSE),"0")</f>
        <v>0</v>
      </c>
      <c r="N13109" s="8"/>
      <c r="O13109" s="33" t="str">
        <f>IFERROR(VLOOKUP($M13109,'Informations sur les produits'!$A$3:$H$10000,8,FALSE),"0")</f>
        <v>0</v>
      </c>
      <c r="P13109" s="33">
        <f t="shared" si="816"/>
        <v>0</v>
      </c>
      <c r="Q13109" s="31" t="str">
        <f t="shared" si="817"/>
        <v/>
      </c>
      <c r="R13109" s="32" t="str">
        <f>IFERROR(VLOOKUP($D13109,'Informations sur les produits'!$A$3:$B$15000,2,FALSE),"")</f>
        <v/>
      </c>
      <c r="V13109">
        <f t="shared" si="818"/>
        <v>0</v>
      </c>
      <c r="W13109">
        <f t="shared" si="819"/>
        <v>0</v>
      </c>
    </row>
    <row r="13110" spans="5:23" x14ac:dyDescent="0.25">
      <c r="E13110" s="4"/>
      <c r="F13110" s="4"/>
      <c r="G13110" s="33" t="str">
        <f>IFERROR(VLOOKUP($D13110,'Informations sur les produits'!$A$3:$H$10000,8,FALSE),"0")</f>
        <v>0</v>
      </c>
      <c r="K13110" s="4"/>
      <c r="L13110" s="33" t="str">
        <f>IFERROR(VLOOKUP($J13110,'Informations sur les produits'!$A$3:$H$10000,8,FALSE),"0")</f>
        <v>0</v>
      </c>
      <c r="N13110" s="8"/>
      <c r="O13110" s="33" t="str">
        <f>IFERROR(VLOOKUP($M13110,'Informations sur les produits'!$A$3:$H$10000,8,FALSE),"0")</f>
        <v>0</v>
      </c>
      <c r="P13110" s="33">
        <f t="shared" si="816"/>
        <v>0</v>
      </c>
      <c r="Q13110" s="31" t="str">
        <f t="shared" si="817"/>
        <v/>
      </c>
      <c r="R13110" s="32" t="str">
        <f>IFERROR(VLOOKUP($D13110,'Informations sur les produits'!$A$3:$B$15000,2,FALSE),"")</f>
        <v/>
      </c>
      <c r="V13110">
        <f t="shared" si="818"/>
        <v>0</v>
      </c>
      <c r="W13110">
        <f t="shared" si="819"/>
        <v>0</v>
      </c>
    </row>
    <row r="13111" spans="5:23" x14ac:dyDescent="0.25">
      <c r="E13111" s="4"/>
      <c r="F13111" s="4"/>
      <c r="G13111" s="33" t="str">
        <f>IFERROR(VLOOKUP($D13111,'Informations sur les produits'!$A$3:$H$10000,8,FALSE),"0")</f>
        <v>0</v>
      </c>
      <c r="K13111" s="4"/>
      <c r="L13111" s="33" t="str">
        <f>IFERROR(VLOOKUP($J13111,'Informations sur les produits'!$A$3:$H$10000,8,FALSE),"0")</f>
        <v>0</v>
      </c>
      <c r="N13111" s="8"/>
      <c r="O13111" s="33" t="str">
        <f>IFERROR(VLOOKUP($M13111,'Informations sur les produits'!$A$3:$H$10000,8,FALSE),"0")</f>
        <v>0</v>
      </c>
      <c r="P13111" s="33">
        <f t="shared" si="816"/>
        <v>0</v>
      </c>
      <c r="Q13111" s="31" t="str">
        <f t="shared" si="817"/>
        <v/>
      </c>
      <c r="R13111" s="32" t="str">
        <f>IFERROR(VLOOKUP($D13111,'Informations sur les produits'!$A$3:$B$15000,2,FALSE),"")</f>
        <v/>
      </c>
      <c r="V13111">
        <f t="shared" si="818"/>
        <v>0</v>
      </c>
      <c r="W13111">
        <f t="shared" si="819"/>
        <v>0</v>
      </c>
    </row>
    <row r="13112" spans="5:23" x14ac:dyDescent="0.25">
      <c r="E13112" s="4"/>
      <c r="F13112" s="4"/>
      <c r="G13112" s="33" t="str">
        <f>IFERROR(VLOOKUP($D13112,'Informations sur les produits'!$A$3:$H$10000,8,FALSE),"0")</f>
        <v>0</v>
      </c>
      <c r="K13112" s="4"/>
      <c r="L13112" s="33" t="str">
        <f>IFERROR(VLOOKUP($J13112,'Informations sur les produits'!$A$3:$H$10000,8,FALSE),"0")</f>
        <v>0</v>
      </c>
      <c r="N13112" s="8"/>
      <c r="O13112" s="33" t="str">
        <f>IFERROR(VLOOKUP($M13112,'Informations sur les produits'!$A$3:$H$10000,8,FALSE),"0")</f>
        <v>0</v>
      </c>
      <c r="P13112" s="33">
        <f t="shared" si="816"/>
        <v>0</v>
      </c>
      <c r="Q13112" s="31" t="str">
        <f t="shared" si="817"/>
        <v/>
      </c>
      <c r="R13112" s="32" t="str">
        <f>IFERROR(VLOOKUP($D13112,'Informations sur les produits'!$A$3:$B$15000,2,FALSE),"")</f>
        <v/>
      </c>
      <c r="V13112">
        <f t="shared" si="818"/>
        <v>0</v>
      </c>
      <c r="W13112">
        <f t="shared" si="819"/>
        <v>0</v>
      </c>
    </row>
    <row r="13113" spans="5:23" x14ac:dyDescent="0.25">
      <c r="E13113" s="4"/>
      <c r="F13113" s="4"/>
      <c r="G13113" s="33" t="str">
        <f>IFERROR(VLOOKUP($D13113,'Informations sur les produits'!$A$3:$H$10000,8,FALSE),"0")</f>
        <v>0</v>
      </c>
      <c r="K13113" s="4"/>
      <c r="L13113" s="33" t="str">
        <f>IFERROR(VLOOKUP($J13113,'Informations sur les produits'!$A$3:$H$10000,8,FALSE),"0")</f>
        <v>0</v>
      </c>
      <c r="N13113" s="8"/>
      <c r="O13113" s="33" t="str">
        <f>IFERROR(VLOOKUP($M13113,'Informations sur les produits'!$A$3:$H$10000,8,FALSE),"0")</f>
        <v>0</v>
      </c>
      <c r="P13113" s="33">
        <f t="shared" si="816"/>
        <v>0</v>
      </c>
      <c r="Q13113" s="31" t="str">
        <f t="shared" si="817"/>
        <v/>
      </c>
      <c r="R13113" s="32" t="str">
        <f>IFERROR(VLOOKUP($D13113,'Informations sur les produits'!$A$3:$B$15000,2,FALSE),"")</f>
        <v/>
      </c>
      <c r="V13113">
        <f t="shared" si="818"/>
        <v>0</v>
      </c>
      <c r="W13113">
        <f t="shared" si="819"/>
        <v>0</v>
      </c>
    </row>
    <row r="13114" spans="5:23" x14ac:dyDescent="0.25">
      <c r="E13114" s="4"/>
      <c r="F13114" s="4"/>
      <c r="G13114" s="33" t="str">
        <f>IFERROR(VLOOKUP($D13114,'Informations sur les produits'!$A$3:$H$10000,8,FALSE),"0")</f>
        <v>0</v>
      </c>
      <c r="K13114" s="4"/>
      <c r="L13114" s="33" t="str">
        <f>IFERROR(VLOOKUP($J13114,'Informations sur les produits'!$A$3:$H$10000,8,FALSE),"0")</f>
        <v>0</v>
      </c>
      <c r="N13114" s="8"/>
      <c r="O13114" s="33" t="str">
        <f>IFERROR(VLOOKUP($M13114,'Informations sur les produits'!$A$3:$H$10000,8,FALSE),"0")</f>
        <v>0</v>
      </c>
      <c r="P13114" s="33">
        <f t="shared" si="816"/>
        <v>0</v>
      </c>
      <c r="Q13114" s="31" t="str">
        <f t="shared" si="817"/>
        <v/>
      </c>
      <c r="R13114" s="32" t="str">
        <f>IFERROR(VLOOKUP($D13114,'Informations sur les produits'!$A$3:$B$15000,2,FALSE),"")</f>
        <v/>
      </c>
      <c r="V13114">
        <f t="shared" si="818"/>
        <v>0</v>
      </c>
      <c r="W13114">
        <f t="shared" si="819"/>
        <v>0</v>
      </c>
    </row>
    <row r="13115" spans="5:23" x14ac:dyDescent="0.25">
      <c r="E13115" s="4"/>
      <c r="F13115" s="4"/>
      <c r="G13115" s="33" t="str">
        <f>IFERROR(VLOOKUP($D13115,'Informations sur les produits'!$A$3:$H$10000,8,FALSE),"0")</f>
        <v>0</v>
      </c>
      <c r="K13115" s="4"/>
      <c r="L13115" s="33" t="str">
        <f>IFERROR(VLOOKUP($J13115,'Informations sur les produits'!$A$3:$H$10000,8,FALSE),"0")</f>
        <v>0</v>
      </c>
      <c r="N13115" s="8"/>
      <c r="O13115" s="33" t="str">
        <f>IFERROR(VLOOKUP($M13115,'Informations sur les produits'!$A$3:$H$10000,8,FALSE),"0")</f>
        <v>0</v>
      </c>
      <c r="P13115" s="33">
        <f t="shared" si="816"/>
        <v>0</v>
      </c>
      <c r="Q13115" s="31" t="str">
        <f t="shared" si="817"/>
        <v/>
      </c>
      <c r="R13115" s="32" t="str">
        <f>IFERROR(VLOOKUP($D13115,'Informations sur les produits'!$A$3:$B$15000,2,FALSE),"")</f>
        <v/>
      </c>
      <c r="V13115">
        <f t="shared" si="818"/>
        <v>0</v>
      </c>
      <c r="W13115">
        <f t="shared" si="819"/>
        <v>0</v>
      </c>
    </row>
    <row r="13116" spans="5:23" x14ac:dyDescent="0.25">
      <c r="E13116" s="4"/>
      <c r="F13116" s="4"/>
      <c r="G13116" s="33" t="str">
        <f>IFERROR(VLOOKUP($D13116,'Informations sur les produits'!$A$3:$H$10000,8,FALSE),"0")</f>
        <v>0</v>
      </c>
      <c r="K13116" s="4"/>
      <c r="L13116" s="33" t="str">
        <f>IFERROR(VLOOKUP($J13116,'Informations sur les produits'!$A$3:$H$10000,8,FALSE),"0")</f>
        <v>0</v>
      </c>
      <c r="N13116" s="8"/>
      <c r="O13116" s="33" t="str">
        <f>IFERROR(VLOOKUP($M13116,'Informations sur les produits'!$A$3:$H$10000,8,FALSE),"0")</f>
        <v>0</v>
      </c>
      <c r="P13116" s="33">
        <f t="shared" si="816"/>
        <v>0</v>
      </c>
      <c r="Q13116" s="31" t="str">
        <f t="shared" si="817"/>
        <v/>
      </c>
      <c r="R13116" s="32" t="str">
        <f>IFERROR(VLOOKUP($D13116,'Informations sur les produits'!$A$3:$B$15000,2,FALSE),"")</f>
        <v/>
      </c>
      <c r="V13116">
        <f t="shared" si="818"/>
        <v>0</v>
      </c>
      <c r="W13116">
        <f t="shared" si="819"/>
        <v>0</v>
      </c>
    </row>
    <row r="13117" spans="5:23" x14ac:dyDescent="0.25">
      <c r="E13117" s="4"/>
      <c r="F13117" s="4"/>
      <c r="G13117" s="33" t="str">
        <f>IFERROR(VLOOKUP($D13117,'Informations sur les produits'!$A$3:$H$10000,8,FALSE),"0")</f>
        <v>0</v>
      </c>
      <c r="K13117" s="4"/>
      <c r="L13117" s="33" t="str">
        <f>IFERROR(VLOOKUP($J13117,'Informations sur les produits'!$A$3:$H$10000,8,FALSE),"0")</f>
        <v>0</v>
      </c>
      <c r="N13117" s="8"/>
      <c r="O13117" s="33" t="str">
        <f>IFERROR(VLOOKUP($M13117,'Informations sur les produits'!$A$3:$H$10000,8,FALSE),"0")</f>
        <v>0</v>
      </c>
      <c r="P13117" s="33">
        <f t="shared" si="816"/>
        <v>0</v>
      </c>
      <c r="Q13117" s="31" t="str">
        <f t="shared" si="817"/>
        <v/>
      </c>
      <c r="R13117" s="32" t="str">
        <f>IFERROR(VLOOKUP($D13117,'Informations sur les produits'!$A$3:$B$15000,2,FALSE),"")</f>
        <v/>
      </c>
      <c r="V13117">
        <f t="shared" si="818"/>
        <v>0</v>
      </c>
      <c r="W13117">
        <f t="shared" si="819"/>
        <v>0</v>
      </c>
    </row>
    <row r="13118" spans="5:23" x14ac:dyDescent="0.25">
      <c r="E13118" s="4"/>
      <c r="F13118" s="4"/>
      <c r="G13118" s="33" t="str">
        <f>IFERROR(VLOOKUP($D13118,'Informations sur les produits'!$A$3:$H$10000,8,FALSE),"0")</f>
        <v>0</v>
      </c>
      <c r="K13118" s="4"/>
      <c r="L13118" s="33" t="str">
        <f>IFERROR(VLOOKUP($J13118,'Informations sur les produits'!$A$3:$H$10000,8,FALSE),"0")</f>
        <v>0</v>
      </c>
      <c r="N13118" s="8"/>
      <c r="O13118" s="33" t="str">
        <f>IFERROR(VLOOKUP($M13118,'Informations sur les produits'!$A$3:$H$10000,8,FALSE),"0")</f>
        <v>0</v>
      </c>
      <c r="P13118" s="33">
        <f t="shared" si="816"/>
        <v>0</v>
      </c>
      <c r="Q13118" s="31" t="str">
        <f t="shared" si="817"/>
        <v/>
      </c>
      <c r="R13118" s="32" t="str">
        <f>IFERROR(VLOOKUP($D13118,'Informations sur les produits'!$A$3:$B$15000,2,FALSE),"")</f>
        <v/>
      </c>
      <c r="V13118">
        <f t="shared" si="818"/>
        <v>0</v>
      </c>
      <c r="W13118">
        <f t="shared" si="819"/>
        <v>0</v>
      </c>
    </row>
    <row r="13119" spans="5:23" x14ac:dyDescent="0.25">
      <c r="E13119" s="4"/>
      <c r="F13119" s="4"/>
      <c r="G13119" s="33" t="str">
        <f>IFERROR(VLOOKUP($D13119,'Informations sur les produits'!$A$3:$H$10000,8,FALSE),"0")</f>
        <v>0</v>
      </c>
      <c r="K13119" s="4"/>
      <c r="L13119" s="33" t="str">
        <f>IFERROR(VLOOKUP($J13119,'Informations sur les produits'!$A$3:$H$10000,8,FALSE),"0")</f>
        <v>0</v>
      </c>
      <c r="N13119" s="8"/>
      <c r="O13119" s="33" t="str">
        <f>IFERROR(VLOOKUP($M13119,'Informations sur les produits'!$A$3:$H$10000,8,FALSE),"0")</f>
        <v>0</v>
      </c>
      <c r="P13119" s="33">
        <f t="shared" si="816"/>
        <v>0</v>
      </c>
      <c r="Q13119" s="31" t="str">
        <f t="shared" si="817"/>
        <v/>
      </c>
      <c r="R13119" s="32" t="str">
        <f>IFERROR(VLOOKUP($D13119,'Informations sur les produits'!$A$3:$B$15000,2,FALSE),"")</f>
        <v/>
      </c>
      <c r="V13119">
        <f t="shared" si="818"/>
        <v>0</v>
      </c>
      <c r="W13119">
        <f t="shared" si="819"/>
        <v>0</v>
      </c>
    </row>
    <row r="13120" spans="5:23" x14ac:dyDescent="0.25">
      <c r="E13120" s="4"/>
      <c r="F13120" s="4"/>
      <c r="G13120" s="33" t="str">
        <f>IFERROR(VLOOKUP($D13120,'Informations sur les produits'!$A$3:$H$10000,8,FALSE),"0")</f>
        <v>0</v>
      </c>
      <c r="K13120" s="4"/>
      <c r="L13120" s="33" t="str">
        <f>IFERROR(VLOOKUP($J13120,'Informations sur les produits'!$A$3:$H$10000,8,FALSE),"0")</f>
        <v>0</v>
      </c>
      <c r="N13120" s="8"/>
      <c r="O13120" s="33" t="str">
        <f>IFERROR(VLOOKUP($M13120,'Informations sur les produits'!$A$3:$H$10000,8,FALSE),"0")</f>
        <v>0</v>
      </c>
      <c r="P13120" s="33">
        <f t="shared" si="816"/>
        <v>0</v>
      </c>
      <c r="Q13120" s="31" t="str">
        <f t="shared" si="817"/>
        <v/>
      </c>
      <c r="R13120" s="32" t="str">
        <f>IFERROR(VLOOKUP($D13120,'Informations sur les produits'!$A$3:$B$15000,2,FALSE),"")</f>
        <v/>
      </c>
      <c r="V13120">
        <f t="shared" si="818"/>
        <v>0</v>
      </c>
      <c r="W13120">
        <f t="shared" si="819"/>
        <v>0</v>
      </c>
    </row>
    <row r="13121" spans="5:23" x14ac:dyDescent="0.25">
      <c r="E13121" s="4"/>
      <c r="F13121" s="4"/>
      <c r="G13121" s="33" t="str">
        <f>IFERROR(VLOOKUP($D13121,'Informations sur les produits'!$A$3:$H$10000,8,FALSE),"0")</f>
        <v>0</v>
      </c>
      <c r="K13121" s="4"/>
      <c r="L13121" s="33" t="str">
        <f>IFERROR(VLOOKUP($J13121,'Informations sur les produits'!$A$3:$H$10000,8,FALSE),"0")</f>
        <v>0</v>
      </c>
      <c r="N13121" s="8"/>
      <c r="O13121" s="33" t="str">
        <f>IFERROR(VLOOKUP($M13121,'Informations sur les produits'!$A$3:$H$10000,8,FALSE),"0")</f>
        <v>0</v>
      </c>
      <c r="P13121" s="33">
        <f t="shared" si="816"/>
        <v>0</v>
      </c>
      <c r="Q13121" s="31" t="str">
        <f t="shared" si="817"/>
        <v/>
      </c>
      <c r="R13121" s="32" t="str">
        <f>IFERROR(VLOOKUP($D13121,'Informations sur les produits'!$A$3:$B$15000,2,FALSE),"")</f>
        <v/>
      </c>
      <c r="V13121">
        <f t="shared" si="818"/>
        <v>0</v>
      </c>
      <c r="W13121">
        <f t="shared" si="819"/>
        <v>0</v>
      </c>
    </row>
    <row r="13122" spans="5:23" x14ac:dyDescent="0.25">
      <c r="E13122" s="4"/>
      <c r="F13122" s="4"/>
      <c r="G13122" s="33" t="str">
        <f>IFERROR(VLOOKUP($D13122,'Informations sur les produits'!$A$3:$H$10000,8,FALSE),"0")</f>
        <v>0</v>
      </c>
      <c r="K13122" s="4"/>
      <c r="L13122" s="33" t="str">
        <f>IFERROR(VLOOKUP($J13122,'Informations sur les produits'!$A$3:$H$10000,8,FALSE),"0")</f>
        <v>0</v>
      </c>
      <c r="N13122" s="8"/>
      <c r="O13122" s="33" t="str">
        <f>IFERROR(VLOOKUP($M13122,'Informations sur les produits'!$A$3:$H$10000,8,FALSE),"0")</f>
        <v>0</v>
      </c>
      <c r="P13122" s="33">
        <f t="shared" si="816"/>
        <v>0</v>
      </c>
      <c r="Q13122" s="31" t="str">
        <f t="shared" si="817"/>
        <v/>
      </c>
      <c r="R13122" s="32" t="str">
        <f>IFERROR(VLOOKUP($D13122,'Informations sur les produits'!$A$3:$B$15000,2,FALSE),"")</f>
        <v/>
      </c>
      <c r="V13122">
        <f t="shared" si="818"/>
        <v>0</v>
      </c>
      <c r="W13122">
        <f t="shared" si="819"/>
        <v>0</v>
      </c>
    </row>
    <row r="13123" spans="5:23" x14ac:dyDescent="0.25">
      <c r="E13123" s="4"/>
      <c r="F13123" s="4"/>
      <c r="G13123" s="33" t="str">
        <f>IFERROR(VLOOKUP($D13123,'Informations sur les produits'!$A$3:$H$10000,8,FALSE),"0")</f>
        <v>0</v>
      </c>
      <c r="K13123" s="4"/>
      <c r="L13123" s="33" t="str">
        <f>IFERROR(VLOOKUP($J13123,'Informations sur les produits'!$A$3:$H$10000,8,FALSE),"0")</f>
        <v>0</v>
      </c>
      <c r="N13123" s="8"/>
      <c r="O13123" s="33" t="str">
        <f>IFERROR(VLOOKUP($M13123,'Informations sur les produits'!$A$3:$H$10000,8,FALSE),"0")</f>
        <v>0</v>
      </c>
      <c r="P13123" s="33">
        <f t="shared" si="816"/>
        <v>0</v>
      </c>
      <c r="Q13123" s="31" t="str">
        <f t="shared" si="817"/>
        <v/>
      </c>
      <c r="R13123" s="32" t="str">
        <f>IFERROR(VLOOKUP($D13123,'Informations sur les produits'!$A$3:$B$15000,2,FALSE),"")</f>
        <v/>
      </c>
      <c r="V13123">
        <f t="shared" si="818"/>
        <v>0</v>
      </c>
      <c r="W13123">
        <f t="shared" si="819"/>
        <v>0</v>
      </c>
    </row>
    <row r="13124" spans="5:23" x14ac:dyDescent="0.25">
      <c r="E13124" s="4"/>
      <c r="F13124" s="4"/>
      <c r="G13124" s="33" t="str">
        <f>IFERROR(VLOOKUP($D13124,'Informations sur les produits'!$A$3:$H$10000,8,FALSE),"0")</f>
        <v>0</v>
      </c>
      <c r="K13124" s="4"/>
      <c r="L13124" s="33" t="str">
        <f>IFERROR(VLOOKUP($J13124,'Informations sur les produits'!$A$3:$H$10000,8,FALSE),"0")</f>
        <v>0</v>
      </c>
      <c r="N13124" s="8"/>
      <c r="O13124" s="33" t="str">
        <f>IFERROR(VLOOKUP($M13124,'Informations sur les produits'!$A$3:$H$10000,8,FALSE),"0")</f>
        <v>0</v>
      </c>
      <c r="P13124" s="33">
        <f t="shared" ref="P13124:P13187" si="820">IFERROR((($E13124-$F13124)*$G13124+$K13124*$L13124+$N13124*$O13124),"")</f>
        <v>0</v>
      </c>
      <c r="Q13124" s="31" t="str">
        <f t="shared" ref="Q13124:Q13187" si="821">IFERROR((((($E13124-$F13124)*$G13124+$K13124*$L13124+$N13124*$O13124)*1000)/(($E13124-$F13124)+$K13124+$N13124)),"")</f>
        <v/>
      </c>
      <c r="R13124" s="32" t="str">
        <f>IFERROR(VLOOKUP($D13124,'Informations sur les produits'!$A$3:$B$15000,2,FALSE),"")</f>
        <v/>
      </c>
      <c r="V13124">
        <f t="shared" ref="V13124:V13187" si="822">IFERROR(P13124*1000,"")</f>
        <v>0</v>
      </c>
      <c r="W13124">
        <f t="shared" ref="W13124:W13187" si="823">IFERROR(($E13124-$F13124)+$K13124+$N13124,"")</f>
        <v>0</v>
      </c>
    </row>
    <row r="13125" spans="5:23" x14ac:dyDescent="0.25">
      <c r="E13125" s="4"/>
      <c r="F13125" s="4"/>
      <c r="G13125" s="33" t="str">
        <f>IFERROR(VLOOKUP($D13125,'Informations sur les produits'!$A$3:$H$10000,8,FALSE),"0")</f>
        <v>0</v>
      </c>
      <c r="K13125" s="4"/>
      <c r="L13125" s="33" t="str">
        <f>IFERROR(VLOOKUP($J13125,'Informations sur les produits'!$A$3:$H$10000,8,FALSE),"0")</f>
        <v>0</v>
      </c>
      <c r="N13125" s="8"/>
      <c r="O13125" s="33" t="str">
        <f>IFERROR(VLOOKUP($M13125,'Informations sur les produits'!$A$3:$H$10000,8,FALSE),"0")</f>
        <v>0</v>
      </c>
      <c r="P13125" s="33">
        <f t="shared" si="820"/>
        <v>0</v>
      </c>
      <c r="Q13125" s="31" t="str">
        <f t="shared" si="821"/>
        <v/>
      </c>
      <c r="R13125" s="32" t="str">
        <f>IFERROR(VLOOKUP($D13125,'Informations sur les produits'!$A$3:$B$15000,2,FALSE),"")</f>
        <v/>
      </c>
      <c r="V13125">
        <f t="shared" si="822"/>
        <v>0</v>
      </c>
      <c r="W13125">
        <f t="shared" si="823"/>
        <v>0</v>
      </c>
    </row>
    <row r="13126" spans="5:23" x14ac:dyDescent="0.25">
      <c r="E13126" s="4"/>
      <c r="F13126" s="4"/>
      <c r="G13126" s="33" t="str">
        <f>IFERROR(VLOOKUP($D13126,'Informations sur les produits'!$A$3:$H$10000,8,FALSE),"0")</f>
        <v>0</v>
      </c>
      <c r="K13126" s="4"/>
      <c r="L13126" s="33" t="str">
        <f>IFERROR(VLOOKUP($J13126,'Informations sur les produits'!$A$3:$H$10000,8,FALSE),"0")</f>
        <v>0</v>
      </c>
      <c r="N13126" s="8"/>
      <c r="O13126" s="33" t="str">
        <f>IFERROR(VLOOKUP($M13126,'Informations sur les produits'!$A$3:$H$10000,8,FALSE),"0")</f>
        <v>0</v>
      </c>
      <c r="P13126" s="33">
        <f t="shared" si="820"/>
        <v>0</v>
      </c>
      <c r="Q13126" s="31" t="str">
        <f t="shared" si="821"/>
        <v/>
      </c>
      <c r="R13126" s="32" t="str">
        <f>IFERROR(VLOOKUP($D13126,'Informations sur les produits'!$A$3:$B$15000,2,FALSE),"")</f>
        <v/>
      </c>
      <c r="V13126">
        <f t="shared" si="822"/>
        <v>0</v>
      </c>
      <c r="W13126">
        <f t="shared" si="823"/>
        <v>0</v>
      </c>
    </row>
    <row r="13127" spans="5:23" x14ac:dyDescent="0.25">
      <c r="E13127" s="4"/>
      <c r="F13127" s="4"/>
      <c r="G13127" s="33" t="str">
        <f>IFERROR(VLOOKUP($D13127,'Informations sur les produits'!$A$3:$H$10000,8,FALSE),"0")</f>
        <v>0</v>
      </c>
      <c r="K13127" s="4"/>
      <c r="L13127" s="33" t="str">
        <f>IFERROR(VLOOKUP($J13127,'Informations sur les produits'!$A$3:$H$10000,8,FALSE),"0")</f>
        <v>0</v>
      </c>
      <c r="N13127" s="8"/>
      <c r="O13127" s="33" t="str">
        <f>IFERROR(VLOOKUP($M13127,'Informations sur les produits'!$A$3:$H$10000,8,FALSE),"0")</f>
        <v>0</v>
      </c>
      <c r="P13127" s="33">
        <f t="shared" si="820"/>
        <v>0</v>
      </c>
      <c r="Q13127" s="31" t="str">
        <f t="shared" si="821"/>
        <v/>
      </c>
      <c r="R13127" s="32" t="str">
        <f>IFERROR(VLOOKUP($D13127,'Informations sur les produits'!$A$3:$B$15000,2,FALSE),"")</f>
        <v/>
      </c>
      <c r="V13127">
        <f t="shared" si="822"/>
        <v>0</v>
      </c>
      <c r="W13127">
        <f t="shared" si="823"/>
        <v>0</v>
      </c>
    </row>
    <row r="13128" spans="5:23" x14ac:dyDescent="0.25">
      <c r="E13128" s="4"/>
      <c r="F13128" s="4"/>
      <c r="G13128" s="33" t="str">
        <f>IFERROR(VLOOKUP($D13128,'Informations sur les produits'!$A$3:$H$10000,8,FALSE),"0")</f>
        <v>0</v>
      </c>
      <c r="K13128" s="4"/>
      <c r="L13128" s="33" t="str">
        <f>IFERROR(VLOOKUP($J13128,'Informations sur les produits'!$A$3:$H$10000,8,FALSE),"0")</f>
        <v>0</v>
      </c>
      <c r="N13128" s="8"/>
      <c r="O13128" s="33" t="str">
        <f>IFERROR(VLOOKUP($M13128,'Informations sur les produits'!$A$3:$H$10000,8,FALSE),"0")</f>
        <v>0</v>
      </c>
      <c r="P13128" s="33">
        <f t="shared" si="820"/>
        <v>0</v>
      </c>
      <c r="Q13128" s="31" t="str">
        <f t="shared" si="821"/>
        <v/>
      </c>
      <c r="R13128" s="32" t="str">
        <f>IFERROR(VLOOKUP($D13128,'Informations sur les produits'!$A$3:$B$15000,2,FALSE),"")</f>
        <v/>
      </c>
      <c r="V13128">
        <f t="shared" si="822"/>
        <v>0</v>
      </c>
      <c r="W13128">
        <f t="shared" si="823"/>
        <v>0</v>
      </c>
    </row>
    <row r="13129" spans="5:23" x14ac:dyDescent="0.25">
      <c r="E13129" s="4"/>
      <c r="F13129" s="4"/>
      <c r="G13129" s="33" t="str">
        <f>IFERROR(VLOOKUP($D13129,'Informations sur les produits'!$A$3:$H$10000,8,FALSE),"0")</f>
        <v>0</v>
      </c>
      <c r="K13129" s="4"/>
      <c r="L13129" s="33" t="str">
        <f>IFERROR(VLOOKUP($J13129,'Informations sur les produits'!$A$3:$H$10000,8,FALSE),"0")</f>
        <v>0</v>
      </c>
      <c r="N13129" s="8"/>
      <c r="O13129" s="33" t="str">
        <f>IFERROR(VLOOKUP($M13129,'Informations sur les produits'!$A$3:$H$10000,8,FALSE),"0")</f>
        <v>0</v>
      </c>
      <c r="P13129" s="33">
        <f t="shared" si="820"/>
        <v>0</v>
      </c>
      <c r="Q13129" s="31" t="str">
        <f t="shared" si="821"/>
        <v/>
      </c>
      <c r="R13129" s="32" t="str">
        <f>IFERROR(VLOOKUP($D13129,'Informations sur les produits'!$A$3:$B$15000,2,FALSE),"")</f>
        <v/>
      </c>
      <c r="V13129">
        <f t="shared" si="822"/>
        <v>0</v>
      </c>
      <c r="W13129">
        <f t="shared" si="823"/>
        <v>0</v>
      </c>
    </row>
    <row r="13130" spans="5:23" x14ac:dyDescent="0.25">
      <c r="E13130" s="4"/>
      <c r="F13130" s="4"/>
      <c r="G13130" s="33" t="str">
        <f>IFERROR(VLOOKUP($D13130,'Informations sur les produits'!$A$3:$H$10000,8,FALSE),"0")</f>
        <v>0</v>
      </c>
      <c r="K13130" s="4"/>
      <c r="L13130" s="33" t="str">
        <f>IFERROR(VLOOKUP($J13130,'Informations sur les produits'!$A$3:$H$10000,8,FALSE),"0")</f>
        <v>0</v>
      </c>
      <c r="N13130" s="8"/>
      <c r="O13130" s="33" t="str">
        <f>IFERROR(VLOOKUP($M13130,'Informations sur les produits'!$A$3:$H$10000,8,FALSE),"0")</f>
        <v>0</v>
      </c>
      <c r="P13130" s="33">
        <f t="shared" si="820"/>
        <v>0</v>
      </c>
      <c r="Q13130" s="31" t="str">
        <f t="shared" si="821"/>
        <v/>
      </c>
      <c r="R13130" s="32" t="str">
        <f>IFERROR(VLOOKUP($D13130,'Informations sur les produits'!$A$3:$B$15000,2,FALSE),"")</f>
        <v/>
      </c>
      <c r="V13130">
        <f t="shared" si="822"/>
        <v>0</v>
      </c>
      <c r="W13130">
        <f t="shared" si="823"/>
        <v>0</v>
      </c>
    </row>
    <row r="13131" spans="5:23" x14ac:dyDescent="0.25">
      <c r="E13131" s="4"/>
      <c r="F13131" s="4"/>
      <c r="G13131" s="33" t="str">
        <f>IFERROR(VLOOKUP($D13131,'Informations sur les produits'!$A$3:$H$10000,8,FALSE),"0")</f>
        <v>0</v>
      </c>
      <c r="K13131" s="4"/>
      <c r="L13131" s="33" t="str">
        <f>IFERROR(VLOOKUP($J13131,'Informations sur les produits'!$A$3:$H$10000,8,FALSE),"0")</f>
        <v>0</v>
      </c>
      <c r="N13131" s="8"/>
      <c r="O13131" s="33" t="str">
        <f>IFERROR(VLOOKUP($M13131,'Informations sur les produits'!$A$3:$H$10000,8,FALSE),"0")</f>
        <v>0</v>
      </c>
      <c r="P13131" s="33">
        <f t="shared" si="820"/>
        <v>0</v>
      </c>
      <c r="Q13131" s="31" t="str">
        <f t="shared" si="821"/>
        <v/>
      </c>
      <c r="R13131" s="32" t="str">
        <f>IFERROR(VLOOKUP($D13131,'Informations sur les produits'!$A$3:$B$15000,2,FALSE),"")</f>
        <v/>
      </c>
      <c r="V13131">
        <f t="shared" si="822"/>
        <v>0</v>
      </c>
      <c r="W13131">
        <f t="shared" si="823"/>
        <v>0</v>
      </c>
    </row>
    <row r="13132" spans="5:23" x14ac:dyDescent="0.25">
      <c r="E13132" s="4"/>
      <c r="F13132" s="4"/>
      <c r="G13132" s="33" t="str">
        <f>IFERROR(VLOOKUP($D13132,'Informations sur les produits'!$A$3:$H$10000,8,FALSE),"0")</f>
        <v>0</v>
      </c>
      <c r="K13132" s="4"/>
      <c r="L13132" s="33" t="str">
        <f>IFERROR(VLOOKUP($J13132,'Informations sur les produits'!$A$3:$H$10000,8,FALSE),"0")</f>
        <v>0</v>
      </c>
      <c r="N13132" s="8"/>
      <c r="O13132" s="33" t="str">
        <f>IFERROR(VLOOKUP($M13132,'Informations sur les produits'!$A$3:$H$10000,8,FALSE),"0")</f>
        <v>0</v>
      </c>
      <c r="P13132" s="33">
        <f t="shared" si="820"/>
        <v>0</v>
      </c>
      <c r="Q13132" s="31" t="str">
        <f t="shared" si="821"/>
        <v/>
      </c>
      <c r="R13132" s="32" t="str">
        <f>IFERROR(VLOOKUP($D13132,'Informations sur les produits'!$A$3:$B$15000,2,FALSE),"")</f>
        <v/>
      </c>
      <c r="V13132">
        <f t="shared" si="822"/>
        <v>0</v>
      </c>
      <c r="W13132">
        <f t="shared" si="823"/>
        <v>0</v>
      </c>
    </row>
    <row r="13133" spans="5:23" x14ac:dyDescent="0.25">
      <c r="E13133" s="4"/>
      <c r="F13133" s="4"/>
      <c r="G13133" s="33" t="str">
        <f>IFERROR(VLOOKUP($D13133,'Informations sur les produits'!$A$3:$H$10000,8,FALSE),"0")</f>
        <v>0</v>
      </c>
      <c r="K13133" s="4"/>
      <c r="L13133" s="33" t="str">
        <f>IFERROR(VLOOKUP($J13133,'Informations sur les produits'!$A$3:$H$10000,8,FALSE),"0")</f>
        <v>0</v>
      </c>
      <c r="N13133" s="8"/>
      <c r="O13133" s="33" t="str">
        <f>IFERROR(VLOOKUP($M13133,'Informations sur les produits'!$A$3:$H$10000,8,FALSE),"0")</f>
        <v>0</v>
      </c>
      <c r="P13133" s="33">
        <f t="shared" si="820"/>
        <v>0</v>
      </c>
      <c r="Q13133" s="31" t="str">
        <f t="shared" si="821"/>
        <v/>
      </c>
      <c r="R13133" s="32" t="str">
        <f>IFERROR(VLOOKUP($D13133,'Informations sur les produits'!$A$3:$B$15000,2,FALSE),"")</f>
        <v/>
      </c>
      <c r="V13133">
        <f t="shared" si="822"/>
        <v>0</v>
      </c>
      <c r="W13133">
        <f t="shared" si="823"/>
        <v>0</v>
      </c>
    </row>
    <row r="13134" spans="5:23" x14ac:dyDescent="0.25">
      <c r="E13134" s="4"/>
      <c r="F13134" s="4"/>
      <c r="G13134" s="33" t="str">
        <f>IFERROR(VLOOKUP($D13134,'Informations sur les produits'!$A$3:$H$10000,8,FALSE),"0")</f>
        <v>0</v>
      </c>
      <c r="K13134" s="4"/>
      <c r="L13134" s="33" t="str">
        <f>IFERROR(VLOOKUP($J13134,'Informations sur les produits'!$A$3:$H$10000,8,FALSE),"0")</f>
        <v>0</v>
      </c>
      <c r="N13134" s="8"/>
      <c r="O13134" s="33" t="str">
        <f>IFERROR(VLOOKUP($M13134,'Informations sur les produits'!$A$3:$H$10000,8,FALSE),"0")</f>
        <v>0</v>
      </c>
      <c r="P13134" s="33">
        <f t="shared" si="820"/>
        <v>0</v>
      </c>
      <c r="Q13134" s="31" t="str">
        <f t="shared" si="821"/>
        <v/>
      </c>
      <c r="R13134" s="32" t="str">
        <f>IFERROR(VLOOKUP($D13134,'Informations sur les produits'!$A$3:$B$15000,2,FALSE),"")</f>
        <v/>
      </c>
      <c r="V13134">
        <f t="shared" si="822"/>
        <v>0</v>
      </c>
      <c r="W13134">
        <f t="shared" si="823"/>
        <v>0</v>
      </c>
    </row>
    <row r="13135" spans="5:23" x14ac:dyDescent="0.25">
      <c r="E13135" s="4"/>
      <c r="F13135" s="4"/>
      <c r="G13135" s="33" t="str">
        <f>IFERROR(VLOOKUP($D13135,'Informations sur les produits'!$A$3:$H$10000,8,FALSE),"0")</f>
        <v>0</v>
      </c>
      <c r="K13135" s="4"/>
      <c r="L13135" s="33" t="str">
        <f>IFERROR(VLOOKUP($J13135,'Informations sur les produits'!$A$3:$H$10000,8,FALSE),"0")</f>
        <v>0</v>
      </c>
      <c r="N13135" s="8"/>
      <c r="O13135" s="33" t="str">
        <f>IFERROR(VLOOKUP($M13135,'Informations sur les produits'!$A$3:$H$10000,8,FALSE),"0")</f>
        <v>0</v>
      </c>
      <c r="P13135" s="33">
        <f t="shared" si="820"/>
        <v>0</v>
      </c>
      <c r="Q13135" s="31" t="str">
        <f t="shared" si="821"/>
        <v/>
      </c>
      <c r="R13135" s="32" t="str">
        <f>IFERROR(VLOOKUP($D13135,'Informations sur les produits'!$A$3:$B$15000,2,FALSE),"")</f>
        <v/>
      </c>
      <c r="V13135">
        <f t="shared" si="822"/>
        <v>0</v>
      </c>
      <c r="W13135">
        <f t="shared" si="823"/>
        <v>0</v>
      </c>
    </row>
    <row r="13136" spans="5:23" x14ac:dyDescent="0.25">
      <c r="E13136" s="4"/>
      <c r="F13136" s="4"/>
      <c r="G13136" s="33" t="str">
        <f>IFERROR(VLOOKUP($D13136,'Informations sur les produits'!$A$3:$H$10000,8,FALSE),"0")</f>
        <v>0</v>
      </c>
      <c r="K13136" s="4"/>
      <c r="L13136" s="33" t="str">
        <f>IFERROR(VLOOKUP($J13136,'Informations sur les produits'!$A$3:$H$10000,8,FALSE),"0")</f>
        <v>0</v>
      </c>
      <c r="N13136" s="8"/>
      <c r="O13136" s="33" t="str">
        <f>IFERROR(VLOOKUP($M13136,'Informations sur les produits'!$A$3:$H$10000,8,FALSE),"0")</f>
        <v>0</v>
      </c>
      <c r="P13136" s="33">
        <f t="shared" si="820"/>
        <v>0</v>
      </c>
      <c r="Q13136" s="31" t="str">
        <f t="shared" si="821"/>
        <v/>
      </c>
      <c r="R13136" s="32" t="str">
        <f>IFERROR(VLOOKUP($D13136,'Informations sur les produits'!$A$3:$B$15000,2,FALSE),"")</f>
        <v/>
      </c>
      <c r="V13136">
        <f t="shared" si="822"/>
        <v>0</v>
      </c>
      <c r="W13136">
        <f t="shared" si="823"/>
        <v>0</v>
      </c>
    </row>
    <row r="13137" spans="5:23" x14ac:dyDescent="0.25">
      <c r="E13137" s="4"/>
      <c r="F13137" s="4"/>
      <c r="G13137" s="33" t="str">
        <f>IFERROR(VLOOKUP($D13137,'Informations sur les produits'!$A$3:$H$10000,8,FALSE),"0")</f>
        <v>0</v>
      </c>
      <c r="K13137" s="4"/>
      <c r="L13137" s="33" t="str">
        <f>IFERROR(VLOOKUP($J13137,'Informations sur les produits'!$A$3:$H$10000,8,FALSE),"0")</f>
        <v>0</v>
      </c>
      <c r="N13137" s="8"/>
      <c r="O13137" s="33" t="str">
        <f>IFERROR(VLOOKUP($M13137,'Informations sur les produits'!$A$3:$H$10000,8,FALSE),"0")</f>
        <v>0</v>
      </c>
      <c r="P13137" s="33">
        <f t="shared" si="820"/>
        <v>0</v>
      </c>
      <c r="Q13137" s="31" t="str">
        <f t="shared" si="821"/>
        <v/>
      </c>
      <c r="R13137" s="32" t="str">
        <f>IFERROR(VLOOKUP($D13137,'Informations sur les produits'!$A$3:$B$15000,2,FALSE),"")</f>
        <v/>
      </c>
      <c r="V13137">
        <f t="shared" si="822"/>
        <v>0</v>
      </c>
      <c r="W13137">
        <f t="shared" si="823"/>
        <v>0</v>
      </c>
    </row>
    <row r="13138" spans="5:23" x14ac:dyDescent="0.25">
      <c r="E13138" s="4"/>
      <c r="F13138" s="4"/>
      <c r="G13138" s="33" t="str">
        <f>IFERROR(VLOOKUP($D13138,'Informations sur les produits'!$A$3:$H$10000,8,FALSE),"0")</f>
        <v>0</v>
      </c>
      <c r="K13138" s="4"/>
      <c r="L13138" s="33" t="str">
        <f>IFERROR(VLOOKUP($J13138,'Informations sur les produits'!$A$3:$H$10000,8,FALSE),"0")</f>
        <v>0</v>
      </c>
      <c r="N13138" s="8"/>
      <c r="O13138" s="33" t="str">
        <f>IFERROR(VLOOKUP($M13138,'Informations sur les produits'!$A$3:$H$10000,8,FALSE),"0")</f>
        <v>0</v>
      </c>
      <c r="P13138" s="33">
        <f t="shared" si="820"/>
        <v>0</v>
      </c>
      <c r="Q13138" s="31" t="str">
        <f t="shared" si="821"/>
        <v/>
      </c>
      <c r="R13138" s="32" t="str">
        <f>IFERROR(VLOOKUP($D13138,'Informations sur les produits'!$A$3:$B$15000,2,FALSE),"")</f>
        <v/>
      </c>
      <c r="V13138">
        <f t="shared" si="822"/>
        <v>0</v>
      </c>
      <c r="W13138">
        <f t="shared" si="823"/>
        <v>0</v>
      </c>
    </row>
    <row r="13139" spans="5:23" x14ac:dyDescent="0.25">
      <c r="E13139" s="4"/>
      <c r="F13139" s="4"/>
      <c r="G13139" s="33" t="str">
        <f>IFERROR(VLOOKUP($D13139,'Informations sur les produits'!$A$3:$H$10000,8,FALSE),"0")</f>
        <v>0</v>
      </c>
      <c r="K13139" s="4"/>
      <c r="L13139" s="33" t="str">
        <f>IFERROR(VLOOKUP($J13139,'Informations sur les produits'!$A$3:$H$10000,8,FALSE),"0")</f>
        <v>0</v>
      </c>
      <c r="N13139" s="8"/>
      <c r="O13139" s="33" t="str">
        <f>IFERROR(VLOOKUP($M13139,'Informations sur les produits'!$A$3:$H$10000,8,FALSE),"0")</f>
        <v>0</v>
      </c>
      <c r="P13139" s="33">
        <f t="shared" si="820"/>
        <v>0</v>
      </c>
      <c r="Q13139" s="31" t="str">
        <f t="shared" si="821"/>
        <v/>
      </c>
      <c r="R13139" s="32" t="str">
        <f>IFERROR(VLOOKUP($D13139,'Informations sur les produits'!$A$3:$B$15000,2,FALSE),"")</f>
        <v/>
      </c>
      <c r="V13139">
        <f t="shared" si="822"/>
        <v>0</v>
      </c>
      <c r="W13139">
        <f t="shared" si="823"/>
        <v>0</v>
      </c>
    </row>
    <row r="13140" spans="5:23" x14ac:dyDescent="0.25">
      <c r="E13140" s="4"/>
      <c r="F13140" s="4"/>
      <c r="G13140" s="33" t="str">
        <f>IFERROR(VLOOKUP($D13140,'Informations sur les produits'!$A$3:$H$10000,8,FALSE),"0")</f>
        <v>0</v>
      </c>
      <c r="K13140" s="4"/>
      <c r="L13140" s="33" t="str">
        <f>IFERROR(VLOOKUP($J13140,'Informations sur les produits'!$A$3:$H$10000,8,FALSE),"0")</f>
        <v>0</v>
      </c>
      <c r="N13140" s="8"/>
      <c r="O13140" s="33" t="str">
        <f>IFERROR(VLOOKUP($M13140,'Informations sur les produits'!$A$3:$H$10000,8,FALSE),"0")</f>
        <v>0</v>
      </c>
      <c r="P13140" s="33">
        <f t="shared" si="820"/>
        <v>0</v>
      </c>
      <c r="Q13140" s="31" t="str">
        <f t="shared" si="821"/>
        <v/>
      </c>
      <c r="R13140" s="32" t="str">
        <f>IFERROR(VLOOKUP($D13140,'Informations sur les produits'!$A$3:$B$15000,2,FALSE),"")</f>
        <v/>
      </c>
      <c r="V13140">
        <f t="shared" si="822"/>
        <v>0</v>
      </c>
      <c r="W13140">
        <f t="shared" si="823"/>
        <v>0</v>
      </c>
    </row>
    <row r="13141" spans="5:23" x14ac:dyDescent="0.25">
      <c r="E13141" s="4"/>
      <c r="F13141" s="4"/>
      <c r="G13141" s="33" t="str">
        <f>IFERROR(VLOOKUP($D13141,'Informations sur les produits'!$A$3:$H$10000,8,FALSE),"0")</f>
        <v>0</v>
      </c>
      <c r="K13141" s="4"/>
      <c r="L13141" s="33" t="str">
        <f>IFERROR(VLOOKUP($J13141,'Informations sur les produits'!$A$3:$H$10000,8,FALSE),"0")</f>
        <v>0</v>
      </c>
      <c r="N13141" s="8"/>
      <c r="O13141" s="33" t="str">
        <f>IFERROR(VLOOKUP($M13141,'Informations sur les produits'!$A$3:$H$10000,8,FALSE),"0")</f>
        <v>0</v>
      </c>
      <c r="P13141" s="33">
        <f t="shared" si="820"/>
        <v>0</v>
      </c>
      <c r="Q13141" s="31" t="str">
        <f t="shared" si="821"/>
        <v/>
      </c>
      <c r="R13141" s="32" t="str">
        <f>IFERROR(VLOOKUP($D13141,'Informations sur les produits'!$A$3:$B$15000,2,FALSE),"")</f>
        <v/>
      </c>
      <c r="V13141">
        <f t="shared" si="822"/>
        <v>0</v>
      </c>
      <c r="W13141">
        <f t="shared" si="823"/>
        <v>0</v>
      </c>
    </row>
    <row r="13142" spans="5:23" x14ac:dyDescent="0.25">
      <c r="E13142" s="4"/>
      <c r="F13142" s="4"/>
      <c r="G13142" s="33" t="str">
        <f>IFERROR(VLOOKUP($D13142,'Informations sur les produits'!$A$3:$H$10000,8,FALSE),"0")</f>
        <v>0</v>
      </c>
      <c r="K13142" s="4"/>
      <c r="L13142" s="33" t="str">
        <f>IFERROR(VLOOKUP($J13142,'Informations sur les produits'!$A$3:$H$10000,8,FALSE),"0")</f>
        <v>0</v>
      </c>
      <c r="N13142" s="8"/>
      <c r="O13142" s="33" t="str">
        <f>IFERROR(VLOOKUP($M13142,'Informations sur les produits'!$A$3:$H$10000,8,FALSE),"0")</f>
        <v>0</v>
      </c>
      <c r="P13142" s="33">
        <f t="shared" si="820"/>
        <v>0</v>
      </c>
      <c r="Q13142" s="31" t="str">
        <f t="shared" si="821"/>
        <v/>
      </c>
      <c r="R13142" s="32" t="str">
        <f>IFERROR(VLOOKUP($D13142,'Informations sur les produits'!$A$3:$B$15000,2,FALSE),"")</f>
        <v/>
      </c>
      <c r="V13142">
        <f t="shared" si="822"/>
        <v>0</v>
      </c>
      <c r="W13142">
        <f t="shared" si="823"/>
        <v>0</v>
      </c>
    </row>
    <row r="13143" spans="5:23" x14ac:dyDescent="0.25">
      <c r="E13143" s="4"/>
      <c r="F13143" s="4"/>
      <c r="G13143" s="33" t="str">
        <f>IFERROR(VLOOKUP($D13143,'Informations sur les produits'!$A$3:$H$10000,8,FALSE),"0")</f>
        <v>0</v>
      </c>
      <c r="K13143" s="4"/>
      <c r="L13143" s="33" t="str">
        <f>IFERROR(VLOOKUP($J13143,'Informations sur les produits'!$A$3:$H$10000,8,FALSE),"0")</f>
        <v>0</v>
      </c>
      <c r="N13143" s="8"/>
      <c r="O13143" s="33" t="str">
        <f>IFERROR(VLOOKUP($M13143,'Informations sur les produits'!$A$3:$H$10000,8,FALSE),"0")</f>
        <v>0</v>
      </c>
      <c r="P13143" s="33">
        <f t="shared" si="820"/>
        <v>0</v>
      </c>
      <c r="Q13143" s="31" t="str">
        <f t="shared" si="821"/>
        <v/>
      </c>
      <c r="R13143" s="32" t="str">
        <f>IFERROR(VLOOKUP($D13143,'Informations sur les produits'!$A$3:$B$15000,2,FALSE),"")</f>
        <v/>
      </c>
      <c r="V13143">
        <f t="shared" si="822"/>
        <v>0</v>
      </c>
      <c r="W13143">
        <f t="shared" si="823"/>
        <v>0</v>
      </c>
    </row>
    <row r="13144" spans="5:23" x14ac:dyDescent="0.25">
      <c r="E13144" s="4"/>
      <c r="F13144" s="4"/>
      <c r="G13144" s="33" t="str">
        <f>IFERROR(VLOOKUP($D13144,'Informations sur les produits'!$A$3:$H$10000,8,FALSE),"0")</f>
        <v>0</v>
      </c>
      <c r="K13144" s="4"/>
      <c r="L13144" s="33" t="str">
        <f>IFERROR(VLOOKUP($J13144,'Informations sur les produits'!$A$3:$H$10000,8,FALSE),"0")</f>
        <v>0</v>
      </c>
      <c r="N13144" s="8"/>
      <c r="O13144" s="33" t="str">
        <f>IFERROR(VLOOKUP($M13144,'Informations sur les produits'!$A$3:$H$10000,8,FALSE),"0")</f>
        <v>0</v>
      </c>
      <c r="P13144" s="33">
        <f t="shared" si="820"/>
        <v>0</v>
      </c>
      <c r="Q13144" s="31" t="str">
        <f t="shared" si="821"/>
        <v/>
      </c>
      <c r="R13144" s="32" t="str">
        <f>IFERROR(VLOOKUP($D13144,'Informations sur les produits'!$A$3:$B$15000,2,FALSE),"")</f>
        <v/>
      </c>
      <c r="V13144">
        <f t="shared" si="822"/>
        <v>0</v>
      </c>
      <c r="W13144">
        <f t="shared" si="823"/>
        <v>0</v>
      </c>
    </row>
    <row r="13145" spans="5:23" x14ac:dyDescent="0.25">
      <c r="E13145" s="4"/>
      <c r="F13145" s="4"/>
      <c r="G13145" s="33" t="str">
        <f>IFERROR(VLOOKUP($D13145,'Informations sur les produits'!$A$3:$H$10000,8,FALSE),"0")</f>
        <v>0</v>
      </c>
      <c r="K13145" s="4"/>
      <c r="L13145" s="33" t="str">
        <f>IFERROR(VLOOKUP($J13145,'Informations sur les produits'!$A$3:$H$10000,8,FALSE),"0")</f>
        <v>0</v>
      </c>
      <c r="N13145" s="8"/>
      <c r="O13145" s="33" t="str">
        <f>IFERROR(VLOOKUP($M13145,'Informations sur les produits'!$A$3:$H$10000,8,FALSE),"0")</f>
        <v>0</v>
      </c>
      <c r="P13145" s="33">
        <f t="shared" si="820"/>
        <v>0</v>
      </c>
      <c r="Q13145" s="31" t="str">
        <f t="shared" si="821"/>
        <v/>
      </c>
      <c r="R13145" s="32" t="str">
        <f>IFERROR(VLOOKUP($D13145,'Informations sur les produits'!$A$3:$B$15000,2,FALSE),"")</f>
        <v/>
      </c>
      <c r="V13145">
        <f t="shared" si="822"/>
        <v>0</v>
      </c>
      <c r="W13145">
        <f t="shared" si="823"/>
        <v>0</v>
      </c>
    </row>
    <row r="13146" spans="5:23" x14ac:dyDescent="0.25">
      <c r="E13146" s="4"/>
      <c r="F13146" s="4"/>
      <c r="G13146" s="33" t="str">
        <f>IFERROR(VLOOKUP($D13146,'Informations sur les produits'!$A$3:$H$10000,8,FALSE),"0")</f>
        <v>0</v>
      </c>
      <c r="K13146" s="4"/>
      <c r="L13146" s="33" t="str">
        <f>IFERROR(VLOOKUP($J13146,'Informations sur les produits'!$A$3:$H$10000,8,FALSE),"0")</f>
        <v>0</v>
      </c>
      <c r="N13146" s="8"/>
      <c r="O13146" s="33" t="str">
        <f>IFERROR(VLOOKUP($M13146,'Informations sur les produits'!$A$3:$H$10000,8,FALSE),"0")</f>
        <v>0</v>
      </c>
      <c r="P13146" s="33">
        <f t="shared" si="820"/>
        <v>0</v>
      </c>
      <c r="Q13146" s="31" t="str">
        <f t="shared" si="821"/>
        <v/>
      </c>
      <c r="R13146" s="32" t="str">
        <f>IFERROR(VLOOKUP($D13146,'Informations sur les produits'!$A$3:$B$15000,2,FALSE),"")</f>
        <v/>
      </c>
      <c r="V13146">
        <f t="shared" si="822"/>
        <v>0</v>
      </c>
      <c r="W13146">
        <f t="shared" si="823"/>
        <v>0</v>
      </c>
    </row>
    <row r="13147" spans="5:23" x14ac:dyDescent="0.25">
      <c r="E13147" s="4"/>
      <c r="F13147" s="4"/>
      <c r="G13147" s="33" t="str">
        <f>IFERROR(VLOOKUP($D13147,'Informations sur les produits'!$A$3:$H$10000,8,FALSE),"0")</f>
        <v>0</v>
      </c>
      <c r="K13147" s="4"/>
      <c r="L13147" s="33" t="str">
        <f>IFERROR(VLOOKUP($J13147,'Informations sur les produits'!$A$3:$H$10000,8,FALSE),"0")</f>
        <v>0</v>
      </c>
      <c r="N13147" s="8"/>
      <c r="O13147" s="33" t="str">
        <f>IFERROR(VLOOKUP($M13147,'Informations sur les produits'!$A$3:$H$10000,8,FALSE),"0")</f>
        <v>0</v>
      </c>
      <c r="P13147" s="33">
        <f t="shared" si="820"/>
        <v>0</v>
      </c>
      <c r="Q13147" s="31" t="str">
        <f t="shared" si="821"/>
        <v/>
      </c>
      <c r="R13147" s="32" t="str">
        <f>IFERROR(VLOOKUP($D13147,'Informations sur les produits'!$A$3:$B$15000,2,FALSE),"")</f>
        <v/>
      </c>
      <c r="V13147">
        <f t="shared" si="822"/>
        <v>0</v>
      </c>
      <c r="W13147">
        <f t="shared" si="823"/>
        <v>0</v>
      </c>
    </row>
    <row r="13148" spans="5:23" x14ac:dyDescent="0.25">
      <c r="E13148" s="4"/>
      <c r="F13148" s="4"/>
      <c r="G13148" s="33" t="str">
        <f>IFERROR(VLOOKUP($D13148,'Informations sur les produits'!$A$3:$H$10000,8,FALSE),"0")</f>
        <v>0</v>
      </c>
      <c r="K13148" s="4"/>
      <c r="L13148" s="33" t="str">
        <f>IFERROR(VLOOKUP($J13148,'Informations sur les produits'!$A$3:$H$10000,8,FALSE),"0")</f>
        <v>0</v>
      </c>
      <c r="N13148" s="8"/>
      <c r="O13148" s="33" t="str">
        <f>IFERROR(VLOOKUP($M13148,'Informations sur les produits'!$A$3:$H$10000,8,FALSE),"0")</f>
        <v>0</v>
      </c>
      <c r="P13148" s="33">
        <f t="shared" si="820"/>
        <v>0</v>
      </c>
      <c r="Q13148" s="31" t="str">
        <f t="shared" si="821"/>
        <v/>
      </c>
      <c r="R13148" s="32" t="str">
        <f>IFERROR(VLOOKUP($D13148,'Informations sur les produits'!$A$3:$B$15000,2,FALSE),"")</f>
        <v/>
      </c>
      <c r="V13148">
        <f t="shared" si="822"/>
        <v>0</v>
      </c>
      <c r="W13148">
        <f t="shared" si="823"/>
        <v>0</v>
      </c>
    </row>
    <row r="13149" spans="5:23" x14ac:dyDescent="0.25">
      <c r="E13149" s="4"/>
      <c r="F13149" s="4"/>
      <c r="G13149" s="33" t="str">
        <f>IFERROR(VLOOKUP($D13149,'Informations sur les produits'!$A$3:$H$10000,8,FALSE),"0")</f>
        <v>0</v>
      </c>
      <c r="K13149" s="4"/>
      <c r="L13149" s="33" t="str">
        <f>IFERROR(VLOOKUP($J13149,'Informations sur les produits'!$A$3:$H$10000,8,FALSE),"0")</f>
        <v>0</v>
      </c>
      <c r="N13149" s="8"/>
      <c r="O13149" s="33" t="str">
        <f>IFERROR(VLOOKUP($M13149,'Informations sur les produits'!$A$3:$H$10000,8,FALSE),"0")</f>
        <v>0</v>
      </c>
      <c r="P13149" s="33">
        <f t="shared" si="820"/>
        <v>0</v>
      </c>
      <c r="Q13149" s="31" t="str">
        <f t="shared" si="821"/>
        <v/>
      </c>
      <c r="R13149" s="32" t="str">
        <f>IFERROR(VLOOKUP($D13149,'Informations sur les produits'!$A$3:$B$15000,2,FALSE),"")</f>
        <v/>
      </c>
      <c r="V13149">
        <f t="shared" si="822"/>
        <v>0</v>
      </c>
      <c r="W13149">
        <f t="shared" si="823"/>
        <v>0</v>
      </c>
    </row>
    <row r="13150" spans="5:23" x14ac:dyDescent="0.25">
      <c r="E13150" s="4"/>
      <c r="F13150" s="4"/>
      <c r="G13150" s="33" t="str">
        <f>IFERROR(VLOOKUP($D13150,'Informations sur les produits'!$A$3:$H$10000,8,FALSE),"0")</f>
        <v>0</v>
      </c>
      <c r="K13150" s="4"/>
      <c r="L13150" s="33" t="str">
        <f>IFERROR(VLOOKUP($J13150,'Informations sur les produits'!$A$3:$H$10000,8,FALSE),"0")</f>
        <v>0</v>
      </c>
      <c r="N13150" s="8"/>
      <c r="O13150" s="33" t="str">
        <f>IFERROR(VLOOKUP($M13150,'Informations sur les produits'!$A$3:$H$10000,8,FALSE),"0")</f>
        <v>0</v>
      </c>
      <c r="P13150" s="33">
        <f t="shared" si="820"/>
        <v>0</v>
      </c>
      <c r="Q13150" s="31" t="str">
        <f t="shared" si="821"/>
        <v/>
      </c>
      <c r="R13150" s="32" t="str">
        <f>IFERROR(VLOOKUP($D13150,'Informations sur les produits'!$A$3:$B$15000,2,FALSE),"")</f>
        <v/>
      </c>
      <c r="V13150">
        <f t="shared" si="822"/>
        <v>0</v>
      </c>
      <c r="W13150">
        <f t="shared" si="823"/>
        <v>0</v>
      </c>
    </row>
    <row r="13151" spans="5:23" x14ac:dyDescent="0.25">
      <c r="E13151" s="4"/>
      <c r="F13151" s="4"/>
      <c r="G13151" s="33" t="str">
        <f>IFERROR(VLOOKUP($D13151,'Informations sur les produits'!$A$3:$H$10000,8,FALSE),"0")</f>
        <v>0</v>
      </c>
      <c r="K13151" s="4"/>
      <c r="L13151" s="33" t="str">
        <f>IFERROR(VLOOKUP($J13151,'Informations sur les produits'!$A$3:$H$10000,8,FALSE),"0")</f>
        <v>0</v>
      </c>
      <c r="N13151" s="8"/>
      <c r="O13151" s="33" t="str">
        <f>IFERROR(VLOOKUP($M13151,'Informations sur les produits'!$A$3:$H$10000,8,FALSE),"0")</f>
        <v>0</v>
      </c>
      <c r="P13151" s="33">
        <f t="shared" si="820"/>
        <v>0</v>
      </c>
      <c r="Q13151" s="31" t="str">
        <f t="shared" si="821"/>
        <v/>
      </c>
      <c r="R13151" s="32" t="str">
        <f>IFERROR(VLOOKUP($D13151,'Informations sur les produits'!$A$3:$B$15000,2,FALSE),"")</f>
        <v/>
      </c>
      <c r="V13151">
        <f t="shared" si="822"/>
        <v>0</v>
      </c>
      <c r="W13151">
        <f t="shared" si="823"/>
        <v>0</v>
      </c>
    </row>
    <row r="13152" spans="5:23" x14ac:dyDescent="0.25">
      <c r="E13152" s="4"/>
      <c r="F13152" s="4"/>
      <c r="G13152" s="33" t="str">
        <f>IFERROR(VLOOKUP($D13152,'Informations sur les produits'!$A$3:$H$10000,8,FALSE),"0")</f>
        <v>0</v>
      </c>
      <c r="K13152" s="4"/>
      <c r="L13152" s="33" t="str">
        <f>IFERROR(VLOOKUP($J13152,'Informations sur les produits'!$A$3:$H$10000,8,FALSE),"0")</f>
        <v>0</v>
      </c>
      <c r="N13152" s="8"/>
      <c r="O13152" s="33" t="str">
        <f>IFERROR(VLOOKUP($M13152,'Informations sur les produits'!$A$3:$H$10000,8,FALSE),"0")</f>
        <v>0</v>
      </c>
      <c r="P13152" s="33">
        <f t="shared" si="820"/>
        <v>0</v>
      </c>
      <c r="Q13152" s="31" t="str">
        <f t="shared" si="821"/>
        <v/>
      </c>
      <c r="R13152" s="32" t="str">
        <f>IFERROR(VLOOKUP($D13152,'Informations sur les produits'!$A$3:$B$15000,2,FALSE),"")</f>
        <v/>
      </c>
      <c r="V13152">
        <f t="shared" si="822"/>
        <v>0</v>
      </c>
      <c r="W13152">
        <f t="shared" si="823"/>
        <v>0</v>
      </c>
    </row>
    <row r="13153" spans="5:23" x14ac:dyDescent="0.25">
      <c r="E13153" s="4"/>
      <c r="F13153" s="4"/>
      <c r="G13153" s="33" t="str">
        <f>IFERROR(VLOOKUP($D13153,'Informations sur les produits'!$A$3:$H$10000,8,FALSE),"0")</f>
        <v>0</v>
      </c>
      <c r="K13153" s="4"/>
      <c r="L13153" s="33" t="str">
        <f>IFERROR(VLOOKUP($J13153,'Informations sur les produits'!$A$3:$H$10000,8,FALSE),"0")</f>
        <v>0</v>
      </c>
      <c r="N13153" s="8"/>
      <c r="O13153" s="33" t="str">
        <f>IFERROR(VLOOKUP($M13153,'Informations sur les produits'!$A$3:$H$10000,8,FALSE),"0")</f>
        <v>0</v>
      </c>
      <c r="P13153" s="33">
        <f t="shared" si="820"/>
        <v>0</v>
      </c>
      <c r="Q13153" s="31" t="str">
        <f t="shared" si="821"/>
        <v/>
      </c>
      <c r="R13153" s="32" t="str">
        <f>IFERROR(VLOOKUP($D13153,'Informations sur les produits'!$A$3:$B$15000,2,FALSE),"")</f>
        <v/>
      </c>
      <c r="V13153">
        <f t="shared" si="822"/>
        <v>0</v>
      </c>
      <c r="W13153">
        <f t="shared" si="823"/>
        <v>0</v>
      </c>
    </row>
    <row r="13154" spans="5:23" x14ac:dyDescent="0.25">
      <c r="E13154" s="4"/>
      <c r="F13154" s="4"/>
      <c r="G13154" s="33" t="str">
        <f>IFERROR(VLOOKUP($D13154,'Informations sur les produits'!$A$3:$H$10000,8,FALSE),"0")</f>
        <v>0</v>
      </c>
      <c r="K13154" s="4"/>
      <c r="L13154" s="33" t="str">
        <f>IFERROR(VLOOKUP($J13154,'Informations sur les produits'!$A$3:$H$10000,8,FALSE),"0")</f>
        <v>0</v>
      </c>
      <c r="N13154" s="8"/>
      <c r="O13154" s="33" t="str">
        <f>IFERROR(VLOOKUP($M13154,'Informations sur les produits'!$A$3:$H$10000,8,FALSE),"0")</f>
        <v>0</v>
      </c>
      <c r="P13154" s="33">
        <f t="shared" si="820"/>
        <v>0</v>
      </c>
      <c r="Q13154" s="31" t="str">
        <f t="shared" si="821"/>
        <v/>
      </c>
      <c r="R13154" s="32" t="str">
        <f>IFERROR(VLOOKUP($D13154,'Informations sur les produits'!$A$3:$B$15000,2,FALSE),"")</f>
        <v/>
      </c>
      <c r="V13154">
        <f t="shared" si="822"/>
        <v>0</v>
      </c>
      <c r="W13154">
        <f t="shared" si="823"/>
        <v>0</v>
      </c>
    </row>
    <row r="13155" spans="5:23" x14ac:dyDescent="0.25">
      <c r="E13155" s="4"/>
      <c r="F13155" s="4"/>
      <c r="G13155" s="33" t="str">
        <f>IFERROR(VLOOKUP($D13155,'Informations sur les produits'!$A$3:$H$10000,8,FALSE),"0")</f>
        <v>0</v>
      </c>
      <c r="K13155" s="4"/>
      <c r="L13155" s="33" t="str">
        <f>IFERROR(VLOOKUP($J13155,'Informations sur les produits'!$A$3:$H$10000,8,FALSE),"0")</f>
        <v>0</v>
      </c>
      <c r="N13155" s="8"/>
      <c r="O13155" s="33" t="str">
        <f>IFERROR(VLOOKUP($M13155,'Informations sur les produits'!$A$3:$H$10000,8,FALSE),"0")</f>
        <v>0</v>
      </c>
      <c r="P13155" s="33">
        <f t="shared" si="820"/>
        <v>0</v>
      </c>
      <c r="Q13155" s="31" t="str">
        <f t="shared" si="821"/>
        <v/>
      </c>
      <c r="R13155" s="32" t="str">
        <f>IFERROR(VLOOKUP($D13155,'Informations sur les produits'!$A$3:$B$15000,2,FALSE),"")</f>
        <v/>
      </c>
      <c r="V13155">
        <f t="shared" si="822"/>
        <v>0</v>
      </c>
      <c r="W13155">
        <f t="shared" si="823"/>
        <v>0</v>
      </c>
    </row>
    <row r="13156" spans="5:23" x14ac:dyDescent="0.25">
      <c r="E13156" s="4"/>
      <c r="F13156" s="4"/>
      <c r="G13156" s="33" t="str">
        <f>IFERROR(VLOOKUP($D13156,'Informations sur les produits'!$A$3:$H$10000,8,FALSE),"0")</f>
        <v>0</v>
      </c>
      <c r="K13156" s="4"/>
      <c r="L13156" s="33" t="str">
        <f>IFERROR(VLOOKUP($J13156,'Informations sur les produits'!$A$3:$H$10000,8,FALSE),"0")</f>
        <v>0</v>
      </c>
      <c r="N13156" s="8"/>
      <c r="O13156" s="33" t="str">
        <f>IFERROR(VLOOKUP($M13156,'Informations sur les produits'!$A$3:$H$10000,8,FALSE),"0")</f>
        <v>0</v>
      </c>
      <c r="P13156" s="33">
        <f t="shared" si="820"/>
        <v>0</v>
      </c>
      <c r="Q13156" s="31" t="str">
        <f t="shared" si="821"/>
        <v/>
      </c>
      <c r="R13156" s="32" t="str">
        <f>IFERROR(VLOOKUP($D13156,'Informations sur les produits'!$A$3:$B$15000,2,FALSE),"")</f>
        <v/>
      </c>
      <c r="V13156">
        <f t="shared" si="822"/>
        <v>0</v>
      </c>
      <c r="W13156">
        <f t="shared" si="823"/>
        <v>0</v>
      </c>
    </row>
    <row r="13157" spans="5:23" x14ac:dyDescent="0.25">
      <c r="E13157" s="4"/>
      <c r="F13157" s="4"/>
      <c r="G13157" s="33" t="str">
        <f>IFERROR(VLOOKUP($D13157,'Informations sur les produits'!$A$3:$H$10000,8,FALSE),"0")</f>
        <v>0</v>
      </c>
      <c r="K13157" s="4"/>
      <c r="L13157" s="33" t="str">
        <f>IFERROR(VLOOKUP($J13157,'Informations sur les produits'!$A$3:$H$10000,8,FALSE),"0")</f>
        <v>0</v>
      </c>
      <c r="N13157" s="8"/>
      <c r="O13157" s="33" t="str">
        <f>IFERROR(VLOOKUP($M13157,'Informations sur les produits'!$A$3:$H$10000,8,FALSE),"0")</f>
        <v>0</v>
      </c>
      <c r="P13157" s="33">
        <f t="shared" si="820"/>
        <v>0</v>
      </c>
      <c r="Q13157" s="31" t="str">
        <f t="shared" si="821"/>
        <v/>
      </c>
      <c r="R13157" s="32" t="str">
        <f>IFERROR(VLOOKUP($D13157,'Informations sur les produits'!$A$3:$B$15000,2,FALSE),"")</f>
        <v/>
      </c>
      <c r="V13157">
        <f t="shared" si="822"/>
        <v>0</v>
      </c>
      <c r="W13157">
        <f t="shared" si="823"/>
        <v>0</v>
      </c>
    </row>
    <row r="13158" spans="5:23" x14ac:dyDescent="0.25">
      <c r="E13158" s="4"/>
      <c r="F13158" s="4"/>
      <c r="G13158" s="33" t="str">
        <f>IFERROR(VLOOKUP($D13158,'Informations sur les produits'!$A$3:$H$10000,8,FALSE),"0")</f>
        <v>0</v>
      </c>
      <c r="K13158" s="4"/>
      <c r="L13158" s="33" t="str">
        <f>IFERROR(VLOOKUP($J13158,'Informations sur les produits'!$A$3:$H$10000,8,FALSE),"0")</f>
        <v>0</v>
      </c>
      <c r="N13158" s="8"/>
      <c r="O13158" s="33" t="str">
        <f>IFERROR(VLOOKUP($M13158,'Informations sur les produits'!$A$3:$H$10000,8,FALSE),"0")</f>
        <v>0</v>
      </c>
      <c r="P13158" s="33">
        <f t="shared" si="820"/>
        <v>0</v>
      </c>
      <c r="Q13158" s="31" t="str">
        <f t="shared" si="821"/>
        <v/>
      </c>
      <c r="R13158" s="32" t="str">
        <f>IFERROR(VLOOKUP($D13158,'Informations sur les produits'!$A$3:$B$15000,2,FALSE),"")</f>
        <v/>
      </c>
      <c r="V13158">
        <f t="shared" si="822"/>
        <v>0</v>
      </c>
      <c r="W13158">
        <f t="shared" si="823"/>
        <v>0</v>
      </c>
    </row>
    <row r="13159" spans="5:23" x14ac:dyDescent="0.25">
      <c r="E13159" s="4"/>
      <c r="F13159" s="4"/>
      <c r="G13159" s="33" t="str">
        <f>IFERROR(VLOOKUP($D13159,'Informations sur les produits'!$A$3:$H$10000,8,FALSE),"0")</f>
        <v>0</v>
      </c>
      <c r="K13159" s="4"/>
      <c r="L13159" s="33" t="str">
        <f>IFERROR(VLOOKUP($J13159,'Informations sur les produits'!$A$3:$H$10000,8,FALSE),"0")</f>
        <v>0</v>
      </c>
      <c r="N13159" s="8"/>
      <c r="O13159" s="33" t="str">
        <f>IFERROR(VLOOKUP($M13159,'Informations sur les produits'!$A$3:$H$10000,8,FALSE),"0")</f>
        <v>0</v>
      </c>
      <c r="P13159" s="33">
        <f t="shared" si="820"/>
        <v>0</v>
      </c>
      <c r="Q13159" s="31" t="str">
        <f t="shared" si="821"/>
        <v/>
      </c>
      <c r="R13159" s="32" t="str">
        <f>IFERROR(VLOOKUP($D13159,'Informations sur les produits'!$A$3:$B$15000,2,FALSE),"")</f>
        <v/>
      </c>
      <c r="V13159">
        <f t="shared" si="822"/>
        <v>0</v>
      </c>
      <c r="W13159">
        <f t="shared" si="823"/>
        <v>0</v>
      </c>
    </row>
    <row r="13160" spans="5:23" x14ac:dyDescent="0.25">
      <c r="E13160" s="4"/>
      <c r="F13160" s="4"/>
      <c r="G13160" s="33" t="str">
        <f>IFERROR(VLOOKUP($D13160,'Informations sur les produits'!$A$3:$H$10000,8,FALSE),"0")</f>
        <v>0</v>
      </c>
      <c r="K13160" s="4"/>
      <c r="L13160" s="33" t="str">
        <f>IFERROR(VLOOKUP($J13160,'Informations sur les produits'!$A$3:$H$10000,8,FALSE),"0")</f>
        <v>0</v>
      </c>
      <c r="N13160" s="8"/>
      <c r="O13160" s="33" t="str">
        <f>IFERROR(VLOOKUP($M13160,'Informations sur les produits'!$A$3:$H$10000,8,FALSE),"0")</f>
        <v>0</v>
      </c>
      <c r="P13160" s="33">
        <f t="shared" si="820"/>
        <v>0</v>
      </c>
      <c r="Q13160" s="31" t="str">
        <f t="shared" si="821"/>
        <v/>
      </c>
      <c r="R13160" s="32" t="str">
        <f>IFERROR(VLOOKUP($D13160,'Informations sur les produits'!$A$3:$B$15000,2,FALSE),"")</f>
        <v/>
      </c>
      <c r="V13160">
        <f t="shared" si="822"/>
        <v>0</v>
      </c>
      <c r="W13160">
        <f t="shared" si="823"/>
        <v>0</v>
      </c>
    </row>
    <row r="13161" spans="5:23" x14ac:dyDescent="0.25">
      <c r="E13161" s="4"/>
      <c r="F13161" s="4"/>
      <c r="G13161" s="33" t="str">
        <f>IFERROR(VLOOKUP($D13161,'Informations sur les produits'!$A$3:$H$10000,8,FALSE),"0")</f>
        <v>0</v>
      </c>
      <c r="K13161" s="4"/>
      <c r="L13161" s="33" t="str">
        <f>IFERROR(VLOOKUP($J13161,'Informations sur les produits'!$A$3:$H$10000,8,FALSE),"0")</f>
        <v>0</v>
      </c>
      <c r="N13161" s="8"/>
      <c r="O13161" s="33" t="str">
        <f>IFERROR(VLOOKUP($M13161,'Informations sur les produits'!$A$3:$H$10000,8,FALSE),"0")</f>
        <v>0</v>
      </c>
      <c r="P13161" s="33">
        <f t="shared" si="820"/>
        <v>0</v>
      </c>
      <c r="Q13161" s="31" t="str">
        <f t="shared" si="821"/>
        <v/>
      </c>
      <c r="R13161" s="32" t="str">
        <f>IFERROR(VLOOKUP($D13161,'Informations sur les produits'!$A$3:$B$15000,2,FALSE),"")</f>
        <v/>
      </c>
      <c r="V13161">
        <f t="shared" si="822"/>
        <v>0</v>
      </c>
      <c r="W13161">
        <f t="shared" si="823"/>
        <v>0</v>
      </c>
    </row>
    <row r="13162" spans="5:23" x14ac:dyDescent="0.25">
      <c r="E13162" s="4"/>
      <c r="F13162" s="4"/>
      <c r="G13162" s="33" t="str">
        <f>IFERROR(VLOOKUP($D13162,'Informations sur les produits'!$A$3:$H$10000,8,FALSE),"0")</f>
        <v>0</v>
      </c>
      <c r="K13162" s="4"/>
      <c r="L13162" s="33" t="str">
        <f>IFERROR(VLOOKUP($J13162,'Informations sur les produits'!$A$3:$H$10000,8,FALSE),"0")</f>
        <v>0</v>
      </c>
      <c r="N13162" s="8"/>
      <c r="O13162" s="33" t="str">
        <f>IFERROR(VLOOKUP($M13162,'Informations sur les produits'!$A$3:$H$10000,8,FALSE),"0")</f>
        <v>0</v>
      </c>
      <c r="P13162" s="33">
        <f t="shared" si="820"/>
        <v>0</v>
      </c>
      <c r="Q13162" s="31" t="str">
        <f t="shared" si="821"/>
        <v/>
      </c>
      <c r="R13162" s="32" t="str">
        <f>IFERROR(VLOOKUP($D13162,'Informations sur les produits'!$A$3:$B$15000,2,FALSE),"")</f>
        <v/>
      </c>
      <c r="V13162">
        <f t="shared" si="822"/>
        <v>0</v>
      </c>
      <c r="W13162">
        <f t="shared" si="823"/>
        <v>0</v>
      </c>
    </row>
    <row r="13163" spans="5:23" x14ac:dyDescent="0.25">
      <c r="E13163" s="4"/>
      <c r="F13163" s="4"/>
      <c r="G13163" s="33" t="str">
        <f>IFERROR(VLOOKUP($D13163,'Informations sur les produits'!$A$3:$H$10000,8,FALSE),"0")</f>
        <v>0</v>
      </c>
      <c r="K13163" s="4"/>
      <c r="L13163" s="33" t="str">
        <f>IFERROR(VLOOKUP($J13163,'Informations sur les produits'!$A$3:$H$10000,8,FALSE),"0")</f>
        <v>0</v>
      </c>
      <c r="N13163" s="8"/>
      <c r="O13163" s="33" t="str">
        <f>IFERROR(VLOOKUP($M13163,'Informations sur les produits'!$A$3:$H$10000,8,FALSE),"0")</f>
        <v>0</v>
      </c>
      <c r="P13163" s="33">
        <f t="shared" si="820"/>
        <v>0</v>
      </c>
      <c r="Q13163" s="31" t="str">
        <f t="shared" si="821"/>
        <v/>
      </c>
      <c r="R13163" s="32" t="str">
        <f>IFERROR(VLOOKUP($D13163,'Informations sur les produits'!$A$3:$B$15000,2,FALSE),"")</f>
        <v/>
      </c>
      <c r="V13163">
        <f t="shared" si="822"/>
        <v>0</v>
      </c>
      <c r="W13163">
        <f t="shared" si="823"/>
        <v>0</v>
      </c>
    </row>
    <row r="13164" spans="5:23" x14ac:dyDescent="0.25">
      <c r="E13164" s="4"/>
      <c r="F13164" s="4"/>
      <c r="G13164" s="33" t="str">
        <f>IFERROR(VLOOKUP($D13164,'Informations sur les produits'!$A$3:$H$10000,8,FALSE),"0")</f>
        <v>0</v>
      </c>
      <c r="K13164" s="4"/>
      <c r="L13164" s="33" t="str">
        <f>IFERROR(VLOOKUP($J13164,'Informations sur les produits'!$A$3:$H$10000,8,FALSE),"0")</f>
        <v>0</v>
      </c>
      <c r="N13164" s="8"/>
      <c r="O13164" s="33" t="str">
        <f>IFERROR(VLOOKUP($M13164,'Informations sur les produits'!$A$3:$H$10000,8,FALSE),"0")</f>
        <v>0</v>
      </c>
      <c r="P13164" s="33">
        <f t="shared" si="820"/>
        <v>0</v>
      </c>
      <c r="Q13164" s="31" t="str">
        <f t="shared" si="821"/>
        <v/>
      </c>
      <c r="R13164" s="32" t="str">
        <f>IFERROR(VLOOKUP($D13164,'Informations sur les produits'!$A$3:$B$15000,2,FALSE),"")</f>
        <v/>
      </c>
      <c r="V13164">
        <f t="shared" si="822"/>
        <v>0</v>
      </c>
      <c r="W13164">
        <f t="shared" si="823"/>
        <v>0</v>
      </c>
    </row>
    <row r="13165" spans="5:23" x14ac:dyDescent="0.25">
      <c r="E13165" s="4"/>
      <c r="F13165" s="4"/>
      <c r="G13165" s="33" t="str">
        <f>IFERROR(VLOOKUP($D13165,'Informations sur les produits'!$A$3:$H$10000,8,FALSE),"0")</f>
        <v>0</v>
      </c>
      <c r="K13165" s="4"/>
      <c r="L13165" s="33" t="str">
        <f>IFERROR(VLOOKUP($J13165,'Informations sur les produits'!$A$3:$H$10000,8,FALSE),"0")</f>
        <v>0</v>
      </c>
      <c r="N13165" s="8"/>
      <c r="O13165" s="33" t="str">
        <f>IFERROR(VLOOKUP($M13165,'Informations sur les produits'!$A$3:$H$10000,8,FALSE),"0")</f>
        <v>0</v>
      </c>
      <c r="P13165" s="33">
        <f t="shared" si="820"/>
        <v>0</v>
      </c>
      <c r="Q13165" s="31" t="str">
        <f t="shared" si="821"/>
        <v/>
      </c>
      <c r="R13165" s="32" t="str">
        <f>IFERROR(VLOOKUP($D13165,'Informations sur les produits'!$A$3:$B$15000,2,FALSE),"")</f>
        <v/>
      </c>
      <c r="V13165">
        <f t="shared" si="822"/>
        <v>0</v>
      </c>
      <c r="W13165">
        <f t="shared" si="823"/>
        <v>0</v>
      </c>
    </row>
    <row r="13166" spans="5:23" x14ac:dyDescent="0.25">
      <c r="E13166" s="4"/>
      <c r="F13166" s="4"/>
      <c r="G13166" s="33" t="str">
        <f>IFERROR(VLOOKUP($D13166,'Informations sur les produits'!$A$3:$H$10000,8,FALSE),"0")</f>
        <v>0</v>
      </c>
      <c r="K13166" s="4"/>
      <c r="L13166" s="33" t="str">
        <f>IFERROR(VLOOKUP($J13166,'Informations sur les produits'!$A$3:$H$10000,8,FALSE),"0")</f>
        <v>0</v>
      </c>
      <c r="N13166" s="8"/>
      <c r="O13166" s="33" t="str">
        <f>IFERROR(VLOOKUP($M13166,'Informations sur les produits'!$A$3:$H$10000,8,FALSE),"0")</f>
        <v>0</v>
      </c>
      <c r="P13166" s="33">
        <f t="shared" si="820"/>
        <v>0</v>
      </c>
      <c r="Q13166" s="31" t="str">
        <f t="shared" si="821"/>
        <v/>
      </c>
      <c r="R13166" s="32" t="str">
        <f>IFERROR(VLOOKUP($D13166,'Informations sur les produits'!$A$3:$B$15000,2,FALSE),"")</f>
        <v/>
      </c>
      <c r="V13166">
        <f t="shared" si="822"/>
        <v>0</v>
      </c>
      <c r="W13166">
        <f t="shared" si="823"/>
        <v>0</v>
      </c>
    </row>
    <row r="13167" spans="5:23" x14ac:dyDescent="0.25">
      <c r="E13167" s="4"/>
      <c r="F13167" s="4"/>
      <c r="G13167" s="33" t="str">
        <f>IFERROR(VLOOKUP($D13167,'Informations sur les produits'!$A$3:$H$10000,8,FALSE),"0")</f>
        <v>0</v>
      </c>
      <c r="K13167" s="4"/>
      <c r="L13167" s="33" t="str">
        <f>IFERROR(VLOOKUP($J13167,'Informations sur les produits'!$A$3:$H$10000,8,FALSE),"0")</f>
        <v>0</v>
      </c>
      <c r="N13167" s="8"/>
      <c r="O13167" s="33" t="str">
        <f>IFERROR(VLOOKUP($M13167,'Informations sur les produits'!$A$3:$H$10000,8,FALSE),"0")</f>
        <v>0</v>
      </c>
      <c r="P13167" s="33">
        <f t="shared" si="820"/>
        <v>0</v>
      </c>
      <c r="Q13167" s="31" t="str">
        <f t="shared" si="821"/>
        <v/>
      </c>
      <c r="R13167" s="32" t="str">
        <f>IFERROR(VLOOKUP($D13167,'Informations sur les produits'!$A$3:$B$15000,2,FALSE),"")</f>
        <v/>
      </c>
      <c r="V13167">
        <f t="shared" si="822"/>
        <v>0</v>
      </c>
      <c r="W13167">
        <f t="shared" si="823"/>
        <v>0</v>
      </c>
    </row>
    <row r="13168" spans="5:23" x14ac:dyDescent="0.25">
      <c r="E13168" s="4"/>
      <c r="F13168" s="4"/>
      <c r="G13168" s="33" t="str">
        <f>IFERROR(VLOOKUP($D13168,'Informations sur les produits'!$A$3:$H$10000,8,FALSE),"0")</f>
        <v>0</v>
      </c>
      <c r="K13168" s="4"/>
      <c r="L13168" s="33" t="str">
        <f>IFERROR(VLOOKUP($J13168,'Informations sur les produits'!$A$3:$H$10000,8,FALSE),"0")</f>
        <v>0</v>
      </c>
      <c r="N13168" s="8"/>
      <c r="O13168" s="33" t="str">
        <f>IFERROR(VLOOKUP($M13168,'Informations sur les produits'!$A$3:$H$10000,8,FALSE),"0")</f>
        <v>0</v>
      </c>
      <c r="P13168" s="33">
        <f t="shared" si="820"/>
        <v>0</v>
      </c>
      <c r="Q13168" s="31" t="str">
        <f t="shared" si="821"/>
        <v/>
      </c>
      <c r="R13168" s="32" t="str">
        <f>IFERROR(VLOOKUP($D13168,'Informations sur les produits'!$A$3:$B$15000,2,FALSE),"")</f>
        <v/>
      </c>
      <c r="V13168">
        <f t="shared" si="822"/>
        <v>0</v>
      </c>
      <c r="W13168">
        <f t="shared" si="823"/>
        <v>0</v>
      </c>
    </row>
    <row r="13169" spans="5:23" x14ac:dyDescent="0.25">
      <c r="E13169" s="4"/>
      <c r="F13169" s="4"/>
      <c r="G13169" s="33" t="str">
        <f>IFERROR(VLOOKUP($D13169,'Informations sur les produits'!$A$3:$H$10000,8,FALSE),"0")</f>
        <v>0</v>
      </c>
      <c r="K13169" s="4"/>
      <c r="L13169" s="33" t="str">
        <f>IFERROR(VLOOKUP($J13169,'Informations sur les produits'!$A$3:$H$10000,8,FALSE),"0")</f>
        <v>0</v>
      </c>
      <c r="N13169" s="8"/>
      <c r="O13169" s="33" t="str">
        <f>IFERROR(VLOOKUP($M13169,'Informations sur les produits'!$A$3:$H$10000,8,FALSE),"0")</f>
        <v>0</v>
      </c>
      <c r="P13169" s="33">
        <f t="shared" si="820"/>
        <v>0</v>
      </c>
      <c r="Q13169" s="31" t="str">
        <f t="shared" si="821"/>
        <v/>
      </c>
      <c r="R13169" s="32" t="str">
        <f>IFERROR(VLOOKUP($D13169,'Informations sur les produits'!$A$3:$B$15000,2,FALSE),"")</f>
        <v/>
      </c>
      <c r="V13169">
        <f t="shared" si="822"/>
        <v>0</v>
      </c>
      <c r="W13169">
        <f t="shared" si="823"/>
        <v>0</v>
      </c>
    </row>
    <row r="13170" spans="5:23" x14ac:dyDescent="0.25">
      <c r="E13170" s="4"/>
      <c r="F13170" s="4"/>
      <c r="G13170" s="33" t="str">
        <f>IFERROR(VLOOKUP($D13170,'Informations sur les produits'!$A$3:$H$10000,8,FALSE),"0")</f>
        <v>0</v>
      </c>
      <c r="K13170" s="4"/>
      <c r="L13170" s="33" t="str">
        <f>IFERROR(VLOOKUP($J13170,'Informations sur les produits'!$A$3:$H$10000,8,FALSE),"0")</f>
        <v>0</v>
      </c>
      <c r="N13170" s="8"/>
      <c r="O13170" s="33" t="str">
        <f>IFERROR(VLOOKUP($M13170,'Informations sur les produits'!$A$3:$H$10000,8,FALSE),"0")</f>
        <v>0</v>
      </c>
      <c r="P13170" s="33">
        <f t="shared" si="820"/>
        <v>0</v>
      </c>
      <c r="Q13170" s="31" t="str">
        <f t="shared" si="821"/>
        <v/>
      </c>
      <c r="R13170" s="32" t="str">
        <f>IFERROR(VLOOKUP($D13170,'Informations sur les produits'!$A$3:$B$15000,2,FALSE),"")</f>
        <v/>
      </c>
      <c r="V13170">
        <f t="shared" si="822"/>
        <v>0</v>
      </c>
      <c r="W13170">
        <f t="shared" si="823"/>
        <v>0</v>
      </c>
    </row>
    <row r="13171" spans="5:23" x14ac:dyDescent="0.25">
      <c r="E13171" s="4"/>
      <c r="F13171" s="4"/>
      <c r="G13171" s="33" t="str">
        <f>IFERROR(VLOOKUP($D13171,'Informations sur les produits'!$A$3:$H$10000,8,FALSE),"0")</f>
        <v>0</v>
      </c>
      <c r="K13171" s="4"/>
      <c r="L13171" s="33" t="str">
        <f>IFERROR(VLOOKUP($J13171,'Informations sur les produits'!$A$3:$H$10000,8,FALSE),"0")</f>
        <v>0</v>
      </c>
      <c r="N13171" s="8"/>
      <c r="O13171" s="33" t="str">
        <f>IFERROR(VLOOKUP($M13171,'Informations sur les produits'!$A$3:$H$10000,8,FALSE),"0")</f>
        <v>0</v>
      </c>
      <c r="P13171" s="33">
        <f t="shared" si="820"/>
        <v>0</v>
      </c>
      <c r="Q13171" s="31" t="str">
        <f t="shared" si="821"/>
        <v/>
      </c>
      <c r="R13171" s="32" t="str">
        <f>IFERROR(VLOOKUP($D13171,'Informations sur les produits'!$A$3:$B$15000,2,FALSE),"")</f>
        <v/>
      </c>
      <c r="V13171">
        <f t="shared" si="822"/>
        <v>0</v>
      </c>
      <c r="W13171">
        <f t="shared" si="823"/>
        <v>0</v>
      </c>
    </row>
    <row r="13172" spans="5:23" x14ac:dyDescent="0.25">
      <c r="E13172" s="4"/>
      <c r="F13172" s="4"/>
      <c r="G13172" s="33" t="str">
        <f>IFERROR(VLOOKUP($D13172,'Informations sur les produits'!$A$3:$H$10000,8,FALSE),"0")</f>
        <v>0</v>
      </c>
      <c r="K13172" s="4"/>
      <c r="L13172" s="33" t="str">
        <f>IFERROR(VLOOKUP($J13172,'Informations sur les produits'!$A$3:$H$10000,8,FALSE),"0")</f>
        <v>0</v>
      </c>
      <c r="N13172" s="8"/>
      <c r="O13172" s="33" t="str">
        <f>IFERROR(VLOOKUP($M13172,'Informations sur les produits'!$A$3:$H$10000,8,FALSE),"0")</f>
        <v>0</v>
      </c>
      <c r="P13172" s="33">
        <f t="shared" si="820"/>
        <v>0</v>
      </c>
      <c r="Q13172" s="31" t="str">
        <f t="shared" si="821"/>
        <v/>
      </c>
      <c r="R13172" s="32" t="str">
        <f>IFERROR(VLOOKUP($D13172,'Informations sur les produits'!$A$3:$B$15000,2,FALSE),"")</f>
        <v/>
      </c>
      <c r="V13172">
        <f t="shared" si="822"/>
        <v>0</v>
      </c>
      <c r="W13172">
        <f t="shared" si="823"/>
        <v>0</v>
      </c>
    </row>
    <row r="13173" spans="5:23" x14ac:dyDescent="0.25">
      <c r="E13173" s="4"/>
      <c r="F13173" s="4"/>
      <c r="G13173" s="33" t="str">
        <f>IFERROR(VLOOKUP($D13173,'Informations sur les produits'!$A$3:$H$10000,8,FALSE),"0")</f>
        <v>0</v>
      </c>
      <c r="K13173" s="4"/>
      <c r="L13173" s="33" t="str">
        <f>IFERROR(VLOOKUP($J13173,'Informations sur les produits'!$A$3:$H$10000,8,FALSE),"0")</f>
        <v>0</v>
      </c>
      <c r="N13173" s="8"/>
      <c r="O13173" s="33" t="str">
        <f>IFERROR(VLOOKUP($M13173,'Informations sur les produits'!$A$3:$H$10000,8,FALSE),"0")</f>
        <v>0</v>
      </c>
      <c r="P13173" s="33">
        <f t="shared" si="820"/>
        <v>0</v>
      </c>
      <c r="Q13173" s="31" t="str">
        <f t="shared" si="821"/>
        <v/>
      </c>
      <c r="R13173" s="32" t="str">
        <f>IFERROR(VLOOKUP($D13173,'Informations sur les produits'!$A$3:$B$15000,2,FALSE),"")</f>
        <v/>
      </c>
      <c r="V13173">
        <f t="shared" si="822"/>
        <v>0</v>
      </c>
      <c r="W13173">
        <f t="shared" si="823"/>
        <v>0</v>
      </c>
    </row>
    <row r="13174" spans="5:23" x14ac:dyDescent="0.25">
      <c r="E13174" s="4"/>
      <c r="F13174" s="4"/>
      <c r="G13174" s="33" t="str">
        <f>IFERROR(VLOOKUP($D13174,'Informations sur les produits'!$A$3:$H$10000,8,FALSE),"0")</f>
        <v>0</v>
      </c>
      <c r="K13174" s="4"/>
      <c r="L13174" s="33" t="str">
        <f>IFERROR(VLOOKUP($J13174,'Informations sur les produits'!$A$3:$H$10000,8,FALSE),"0")</f>
        <v>0</v>
      </c>
      <c r="N13174" s="8"/>
      <c r="O13174" s="33" t="str">
        <f>IFERROR(VLOOKUP($M13174,'Informations sur les produits'!$A$3:$H$10000,8,FALSE),"0")</f>
        <v>0</v>
      </c>
      <c r="P13174" s="33">
        <f t="shared" si="820"/>
        <v>0</v>
      </c>
      <c r="Q13174" s="31" t="str">
        <f t="shared" si="821"/>
        <v/>
      </c>
      <c r="R13174" s="32" t="str">
        <f>IFERROR(VLOOKUP($D13174,'Informations sur les produits'!$A$3:$B$15000,2,FALSE),"")</f>
        <v/>
      </c>
      <c r="V13174">
        <f t="shared" si="822"/>
        <v>0</v>
      </c>
      <c r="W13174">
        <f t="shared" si="823"/>
        <v>0</v>
      </c>
    </row>
    <row r="13175" spans="5:23" x14ac:dyDescent="0.25">
      <c r="E13175" s="4"/>
      <c r="F13175" s="4"/>
      <c r="G13175" s="33" t="str">
        <f>IFERROR(VLOOKUP($D13175,'Informations sur les produits'!$A$3:$H$10000,8,FALSE),"0")</f>
        <v>0</v>
      </c>
      <c r="K13175" s="4"/>
      <c r="L13175" s="33" t="str">
        <f>IFERROR(VLOOKUP($J13175,'Informations sur les produits'!$A$3:$H$10000,8,FALSE),"0")</f>
        <v>0</v>
      </c>
      <c r="N13175" s="8"/>
      <c r="O13175" s="33" t="str">
        <f>IFERROR(VLOOKUP($M13175,'Informations sur les produits'!$A$3:$H$10000,8,FALSE),"0")</f>
        <v>0</v>
      </c>
      <c r="P13175" s="33">
        <f t="shared" si="820"/>
        <v>0</v>
      </c>
      <c r="Q13175" s="31" t="str">
        <f t="shared" si="821"/>
        <v/>
      </c>
      <c r="R13175" s="32" t="str">
        <f>IFERROR(VLOOKUP($D13175,'Informations sur les produits'!$A$3:$B$15000,2,FALSE),"")</f>
        <v/>
      </c>
      <c r="V13175">
        <f t="shared" si="822"/>
        <v>0</v>
      </c>
      <c r="W13175">
        <f t="shared" si="823"/>
        <v>0</v>
      </c>
    </row>
    <row r="13176" spans="5:23" x14ac:dyDescent="0.25">
      <c r="E13176" s="4"/>
      <c r="F13176" s="4"/>
      <c r="G13176" s="33" t="str">
        <f>IFERROR(VLOOKUP($D13176,'Informations sur les produits'!$A$3:$H$10000,8,FALSE),"0")</f>
        <v>0</v>
      </c>
      <c r="K13176" s="4"/>
      <c r="L13176" s="33" t="str">
        <f>IFERROR(VLOOKUP($J13176,'Informations sur les produits'!$A$3:$H$10000,8,FALSE),"0")</f>
        <v>0</v>
      </c>
      <c r="N13176" s="8"/>
      <c r="O13176" s="33" t="str">
        <f>IFERROR(VLOOKUP($M13176,'Informations sur les produits'!$A$3:$H$10000,8,FALSE),"0")</f>
        <v>0</v>
      </c>
      <c r="P13176" s="33">
        <f t="shared" si="820"/>
        <v>0</v>
      </c>
      <c r="Q13176" s="31" t="str">
        <f t="shared" si="821"/>
        <v/>
      </c>
      <c r="R13176" s="32" t="str">
        <f>IFERROR(VLOOKUP($D13176,'Informations sur les produits'!$A$3:$B$15000,2,FALSE),"")</f>
        <v/>
      </c>
      <c r="V13176">
        <f t="shared" si="822"/>
        <v>0</v>
      </c>
      <c r="W13176">
        <f t="shared" si="823"/>
        <v>0</v>
      </c>
    </row>
    <row r="13177" spans="5:23" x14ac:dyDescent="0.25">
      <c r="E13177" s="4"/>
      <c r="F13177" s="4"/>
      <c r="G13177" s="33" t="str">
        <f>IFERROR(VLOOKUP($D13177,'Informations sur les produits'!$A$3:$H$10000,8,FALSE),"0")</f>
        <v>0</v>
      </c>
      <c r="K13177" s="4"/>
      <c r="L13177" s="33" t="str">
        <f>IFERROR(VLOOKUP($J13177,'Informations sur les produits'!$A$3:$H$10000,8,FALSE),"0")</f>
        <v>0</v>
      </c>
      <c r="N13177" s="8"/>
      <c r="O13177" s="33" t="str">
        <f>IFERROR(VLOOKUP($M13177,'Informations sur les produits'!$A$3:$H$10000,8,FALSE),"0")</f>
        <v>0</v>
      </c>
      <c r="P13177" s="33">
        <f t="shared" si="820"/>
        <v>0</v>
      </c>
      <c r="Q13177" s="31" t="str">
        <f t="shared" si="821"/>
        <v/>
      </c>
      <c r="R13177" s="32" t="str">
        <f>IFERROR(VLOOKUP($D13177,'Informations sur les produits'!$A$3:$B$15000,2,FALSE),"")</f>
        <v/>
      </c>
      <c r="V13177">
        <f t="shared" si="822"/>
        <v>0</v>
      </c>
      <c r="W13177">
        <f t="shared" si="823"/>
        <v>0</v>
      </c>
    </row>
    <row r="13178" spans="5:23" x14ac:dyDescent="0.25">
      <c r="E13178" s="4"/>
      <c r="F13178" s="4"/>
      <c r="G13178" s="33" t="str">
        <f>IFERROR(VLOOKUP($D13178,'Informations sur les produits'!$A$3:$H$10000,8,FALSE),"0")</f>
        <v>0</v>
      </c>
      <c r="K13178" s="4"/>
      <c r="L13178" s="33" t="str">
        <f>IFERROR(VLOOKUP($J13178,'Informations sur les produits'!$A$3:$H$10000,8,FALSE),"0")</f>
        <v>0</v>
      </c>
      <c r="N13178" s="8"/>
      <c r="O13178" s="33" t="str">
        <f>IFERROR(VLOOKUP($M13178,'Informations sur les produits'!$A$3:$H$10000,8,FALSE),"0")</f>
        <v>0</v>
      </c>
      <c r="P13178" s="33">
        <f t="shared" si="820"/>
        <v>0</v>
      </c>
      <c r="Q13178" s="31" t="str">
        <f t="shared" si="821"/>
        <v/>
      </c>
      <c r="R13178" s="32" t="str">
        <f>IFERROR(VLOOKUP($D13178,'Informations sur les produits'!$A$3:$B$15000,2,FALSE),"")</f>
        <v/>
      </c>
      <c r="V13178">
        <f t="shared" si="822"/>
        <v>0</v>
      </c>
      <c r="W13178">
        <f t="shared" si="823"/>
        <v>0</v>
      </c>
    </row>
    <row r="13179" spans="5:23" x14ac:dyDescent="0.25">
      <c r="E13179" s="4"/>
      <c r="F13179" s="4"/>
      <c r="G13179" s="33" t="str">
        <f>IFERROR(VLOOKUP($D13179,'Informations sur les produits'!$A$3:$H$10000,8,FALSE),"0")</f>
        <v>0</v>
      </c>
      <c r="K13179" s="4"/>
      <c r="L13179" s="33" t="str">
        <f>IFERROR(VLOOKUP($J13179,'Informations sur les produits'!$A$3:$H$10000,8,FALSE),"0")</f>
        <v>0</v>
      </c>
      <c r="N13179" s="8"/>
      <c r="O13179" s="33" t="str">
        <f>IFERROR(VLOOKUP($M13179,'Informations sur les produits'!$A$3:$H$10000,8,FALSE),"0")</f>
        <v>0</v>
      </c>
      <c r="P13179" s="33">
        <f t="shared" si="820"/>
        <v>0</v>
      </c>
      <c r="Q13179" s="31" t="str">
        <f t="shared" si="821"/>
        <v/>
      </c>
      <c r="R13179" s="32" t="str">
        <f>IFERROR(VLOOKUP($D13179,'Informations sur les produits'!$A$3:$B$15000,2,FALSE),"")</f>
        <v/>
      </c>
      <c r="V13179">
        <f t="shared" si="822"/>
        <v>0</v>
      </c>
      <c r="W13179">
        <f t="shared" si="823"/>
        <v>0</v>
      </c>
    </row>
    <row r="13180" spans="5:23" x14ac:dyDescent="0.25">
      <c r="E13180" s="4"/>
      <c r="F13180" s="4"/>
      <c r="G13180" s="33" t="str">
        <f>IFERROR(VLOOKUP($D13180,'Informations sur les produits'!$A$3:$H$10000,8,FALSE),"0")</f>
        <v>0</v>
      </c>
      <c r="K13180" s="4"/>
      <c r="L13180" s="33" t="str">
        <f>IFERROR(VLOOKUP($J13180,'Informations sur les produits'!$A$3:$H$10000,8,FALSE),"0")</f>
        <v>0</v>
      </c>
      <c r="N13180" s="8"/>
      <c r="O13180" s="33" t="str">
        <f>IFERROR(VLOOKUP($M13180,'Informations sur les produits'!$A$3:$H$10000,8,FALSE),"0")</f>
        <v>0</v>
      </c>
      <c r="P13180" s="33">
        <f t="shared" si="820"/>
        <v>0</v>
      </c>
      <c r="Q13180" s="31" t="str">
        <f t="shared" si="821"/>
        <v/>
      </c>
      <c r="R13180" s="32" t="str">
        <f>IFERROR(VLOOKUP($D13180,'Informations sur les produits'!$A$3:$B$15000,2,FALSE),"")</f>
        <v/>
      </c>
      <c r="V13180">
        <f t="shared" si="822"/>
        <v>0</v>
      </c>
      <c r="W13180">
        <f t="shared" si="823"/>
        <v>0</v>
      </c>
    </row>
    <row r="13181" spans="5:23" x14ac:dyDescent="0.25">
      <c r="E13181" s="4"/>
      <c r="F13181" s="4"/>
      <c r="G13181" s="33" t="str">
        <f>IFERROR(VLOOKUP($D13181,'Informations sur les produits'!$A$3:$H$10000,8,FALSE),"0")</f>
        <v>0</v>
      </c>
      <c r="K13181" s="4"/>
      <c r="L13181" s="33" t="str">
        <f>IFERROR(VLOOKUP($J13181,'Informations sur les produits'!$A$3:$H$10000,8,FALSE),"0")</f>
        <v>0</v>
      </c>
      <c r="N13181" s="8"/>
      <c r="O13181" s="33" t="str">
        <f>IFERROR(VLOOKUP($M13181,'Informations sur les produits'!$A$3:$H$10000,8,FALSE),"0")</f>
        <v>0</v>
      </c>
      <c r="P13181" s="33">
        <f t="shared" si="820"/>
        <v>0</v>
      </c>
      <c r="Q13181" s="31" t="str">
        <f t="shared" si="821"/>
        <v/>
      </c>
      <c r="R13181" s="32" t="str">
        <f>IFERROR(VLOOKUP($D13181,'Informations sur les produits'!$A$3:$B$15000,2,FALSE),"")</f>
        <v/>
      </c>
      <c r="V13181">
        <f t="shared" si="822"/>
        <v>0</v>
      </c>
      <c r="W13181">
        <f t="shared" si="823"/>
        <v>0</v>
      </c>
    </row>
    <row r="13182" spans="5:23" x14ac:dyDescent="0.25">
      <c r="E13182" s="4"/>
      <c r="F13182" s="4"/>
      <c r="G13182" s="33" t="str">
        <f>IFERROR(VLOOKUP($D13182,'Informations sur les produits'!$A$3:$H$10000,8,FALSE),"0")</f>
        <v>0</v>
      </c>
      <c r="K13182" s="4"/>
      <c r="L13182" s="33" t="str">
        <f>IFERROR(VLOOKUP($J13182,'Informations sur les produits'!$A$3:$H$10000,8,FALSE),"0")</f>
        <v>0</v>
      </c>
      <c r="N13182" s="8"/>
      <c r="O13182" s="33" t="str">
        <f>IFERROR(VLOOKUP($M13182,'Informations sur les produits'!$A$3:$H$10000,8,FALSE),"0")</f>
        <v>0</v>
      </c>
      <c r="P13182" s="33">
        <f t="shared" si="820"/>
        <v>0</v>
      </c>
      <c r="Q13182" s="31" t="str">
        <f t="shared" si="821"/>
        <v/>
      </c>
      <c r="R13182" s="32" t="str">
        <f>IFERROR(VLOOKUP($D13182,'Informations sur les produits'!$A$3:$B$15000,2,FALSE),"")</f>
        <v/>
      </c>
      <c r="V13182">
        <f t="shared" si="822"/>
        <v>0</v>
      </c>
      <c r="W13182">
        <f t="shared" si="823"/>
        <v>0</v>
      </c>
    </row>
    <row r="13183" spans="5:23" x14ac:dyDescent="0.25">
      <c r="E13183" s="4"/>
      <c r="F13183" s="4"/>
      <c r="G13183" s="33" t="str">
        <f>IFERROR(VLOOKUP($D13183,'Informations sur les produits'!$A$3:$H$10000,8,FALSE),"0")</f>
        <v>0</v>
      </c>
      <c r="K13183" s="4"/>
      <c r="L13183" s="33" t="str">
        <f>IFERROR(VLOOKUP($J13183,'Informations sur les produits'!$A$3:$H$10000,8,FALSE),"0")</f>
        <v>0</v>
      </c>
      <c r="N13183" s="8"/>
      <c r="O13183" s="33" t="str">
        <f>IFERROR(VLOOKUP($M13183,'Informations sur les produits'!$A$3:$H$10000,8,FALSE),"0")</f>
        <v>0</v>
      </c>
      <c r="P13183" s="33">
        <f t="shared" si="820"/>
        <v>0</v>
      </c>
      <c r="Q13183" s="31" t="str">
        <f t="shared" si="821"/>
        <v/>
      </c>
      <c r="R13183" s="32" t="str">
        <f>IFERROR(VLOOKUP($D13183,'Informations sur les produits'!$A$3:$B$15000,2,FALSE),"")</f>
        <v/>
      </c>
      <c r="V13183">
        <f t="shared" si="822"/>
        <v>0</v>
      </c>
      <c r="W13183">
        <f t="shared" si="823"/>
        <v>0</v>
      </c>
    </row>
    <row r="13184" spans="5:23" x14ac:dyDescent="0.25">
      <c r="E13184" s="4"/>
      <c r="F13184" s="4"/>
      <c r="G13184" s="33" t="str">
        <f>IFERROR(VLOOKUP($D13184,'Informations sur les produits'!$A$3:$H$10000,8,FALSE),"0")</f>
        <v>0</v>
      </c>
      <c r="K13184" s="4"/>
      <c r="L13184" s="33" t="str">
        <f>IFERROR(VLOOKUP($J13184,'Informations sur les produits'!$A$3:$H$10000,8,FALSE),"0")</f>
        <v>0</v>
      </c>
      <c r="N13184" s="8"/>
      <c r="O13184" s="33" t="str">
        <f>IFERROR(VLOOKUP($M13184,'Informations sur les produits'!$A$3:$H$10000,8,FALSE),"0")</f>
        <v>0</v>
      </c>
      <c r="P13184" s="33">
        <f t="shared" si="820"/>
        <v>0</v>
      </c>
      <c r="Q13184" s="31" t="str">
        <f t="shared" si="821"/>
        <v/>
      </c>
      <c r="R13184" s="32" t="str">
        <f>IFERROR(VLOOKUP($D13184,'Informations sur les produits'!$A$3:$B$15000,2,FALSE),"")</f>
        <v/>
      </c>
      <c r="V13184">
        <f t="shared" si="822"/>
        <v>0</v>
      </c>
      <c r="W13184">
        <f t="shared" si="823"/>
        <v>0</v>
      </c>
    </row>
    <row r="13185" spans="5:23" x14ac:dyDescent="0.25">
      <c r="E13185" s="4"/>
      <c r="F13185" s="4"/>
      <c r="G13185" s="33" t="str">
        <f>IFERROR(VLOOKUP($D13185,'Informations sur les produits'!$A$3:$H$10000,8,FALSE),"0")</f>
        <v>0</v>
      </c>
      <c r="K13185" s="4"/>
      <c r="L13185" s="33" t="str">
        <f>IFERROR(VLOOKUP($J13185,'Informations sur les produits'!$A$3:$H$10000,8,FALSE),"0")</f>
        <v>0</v>
      </c>
      <c r="N13185" s="8"/>
      <c r="O13185" s="33" t="str">
        <f>IFERROR(VLOOKUP($M13185,'Informations sur les produits'!$A$3:$H$10000,8,FALSE),"0")</f>
        <v>0</v>
      </c>
      <c r="P13185" s="33">
        <f t="shared" si="820"/>
        <v>0</v>
      </c>
      <c r="Q13185" s="31" t="str">
        <f t="shared" si="821"/>
        <v/>
      </c>
      <c r="R13185" s="32" t="str">
        <f>IFERROR(VLOOKUP($D13185,'Informations sur les produits'!$A$3:$B$15000,2,FALSE),"")</f>
        <v/>
      </c>
      <c r="V13185">
        <f t="shared" si="822"/>
        <v>0</v>
      </c>
      <c r="W13185">
        <f t="shared" si="823"/>
        <v>0</v>
      </c>
    </row>
    <row r="13186" spans="5:23" x14ac:dyDescent="0.25">
      <c r="E13186" s="4"/>
      <c r="F13186" s="4"/>
      <c r="G13186" s="33" t="str">
        <f>IFERROR(VLOOKUP($D13186,'Informations sur les produits'!$A$3:$H$10000,8,FALSE),"0")</f>
        <v>0</v>
      </c>
      <c r="K13186" s="4"/>
      <c r="L13186" s="33" t="str">
        <f>IFERROR(VLOOKUP($J13186,'Informations sur les produits'!$A$3:$H$10000,8,FALSE),"0")</f>
        <v>0</v>
      </c>
      <c r="N13186" s="8"/>
      <c r="O13186" s="33" t="str">
        <f>IFERROR(VLOOKUP($M13186,'Informations sur les produits'!$A$3:$H$10000,8,FALSE),"0")</f>
        <v>0</v>
      </c>
      <c r="P13186" s="33">
        <f t="shared" si="820"/>
        <v>0</v>
      </c>
      <c r="Q13186" s="31" t="str">
        <f t="shared" si="821"/>
        <v/>
      </c>
      <c r="R13186" s="32" t="str">
        <f>IFERROR(VLOOKUP($D13186,'Informations sur les produits'!$A$3:$B$15000,2,FALSE),"")</f>
        <v/>
      </c>
      <c r="V13186">
        <f t="shared" si="822"/>
        <v>0</v>
      </c>
      <c r="W13186">
        <f t="shared" si="823"/>
        <v>0</v>
      </c>
    </row>
    <row r="13187" spans="5:23" x14ac:dyDescent="0.25">
      <c r="E13187" s="4"/>
      <c r="F13187" s="4"/>
      <c r="G13187" s="33" t="str">
        <f>IFERROR(VLOOKUP($D13187,'Informations sur les produits'!$A$3:$H$10000,8,FALSE),"0")</f>
        <v>0</v>
      </c>
      <c r="K13187" s="4"/>
      <c r="L13187" s="33" t="str">
        <f>IFERROR(VLOOKUP($J13187,'Informations sur les produits'!$A$3:$H$10000,8,FALSE),"0")</f>
        <v>0</v>
      </c>
      <c r="N13187" s="8"/>
      <c r="O13187" s="33" t="str">
        <f>IFERROR(VLOOKUP($M13187,'Informations sur les produits'!$A$3:$H$10000,8,FALSE),"0")</f>
        <v>0</v>
      </c>
      <c r="P13187" s="33">
        <f t="shared" si="820"/>
        <v>0</v>
      </c>
      <c r="Q13187" s="31" t="str">
        <f t="shared" si="821"/>
        <v/>
      </c>
      <c r="R13187" s="32" t="str">
        <f>IFERROR(VLOOKUP($D13187,'Informations sur les produits'!$A$3:$B$15000,2,FALSE),"")</f>
        <v/>
      </c>
      <c r="V13187">
        <f t="shared" si="822"/>
        <v>0</v>
      </c>
      <c r="W13187">
        <f t="shared" si="823"/>
        <v>0</v>
      </c>
    </row>
    <row r="13188" spans="5:23" x14ac:dyDescent="0.25">
      <c r="E13188" s="4"/>
      <c r="F13188" s="4"/>
      <c r="G13188" s="33" t="str">
        <f>IFERROR(VLOOKUP($D13188,'Informations sur les produits'!$A$3:$H$10000,8,FALSE),"0")</f>
        <v>0</v>
      </c>
      <c r="K13188" s="4"/>
      <c r="L13188" s="33" t="str">
        <f>IFERROR(VLOOKUP($J13188,'Informations sur les produits'!$A$3:$H$10000,8,FALSE),"0")</f>
        <v>0</v>
      </c>
      <c r="N13188" s="8"/>
      <c r="O13188" s="33" t="str">
        <f>IFERROR(VLOOKUP($M13188,'Informations sur les produits'!$A$3:$H$10000,8,FALSE),"0")</f>
        <v>0</v>
      </c>
      <c r="P13188" s="33">
        <f t="shared" ref="P13188:P13251" si="824">IFERROR((($E13188-$F13188)*$G13188+$K13188*$L13188+$N13188*$O13188),"")</f>
        <v>0</v>
      </c>
      <c r="Q13188" s="31" t="str">
        <f t="shared" ref="Q13188:Q13251" si="825">IFERROR((((($E13188-$F13188)*$G13188+$K13188*$L13188+$N13188*$O13188)*1000)/(($E13188-$F13188)+$K13188+$N13188)),"")</f>
        <v/>
      </c>
      <c r="R13188" s="32" t="str">
        <f>IFERROR(VLOOKUP($D13188,'Informations sur les produits'!$A$3:$B$15000,2,FALSE),"")</f>
        <v/>
      </c>
      <c r="V13188">
        <f t="shared" ref="V13188:V13251" si="826">IFERROR(P13188*1000,"")</f>
        <v>0</v>
      </c>
      <c r="W13188">
        <f t="shared" ref="W13188:W13251" si="827">IFERROR(($E13188-$F13188)+$K13188+$N13188,"")</f>
        <v>0</v>
      </c>
    </row>
    <row r="13189" spans="5:23" x14ac:dyDescent="0.25">
      <c r="E13189" s="4"/>
      <c r="F13189" s="4"/>
      <c r="G13189" s="33" t="str">
        <f>IFERROR(VLOOKUP($D13189,'Informations sur les produits'!$A$3:$H$10000,8,FALSE),"0")</f>
        <v>0</v>
      </c>
      <c r="K13189" s="4"/>
      <c r="L13189" s="33" t="str">
        <f>IFERROR(VLOOKUP($J13189,'Informations sur les produits'!$A$3:$H$10000,8,FALSE),"0")</f>
        <v>0</v>
      </c>
      <c r="N13189" s="8"/>
      <c r="O13189" s="33" t="str">
        <f>IFERROR(VLOOKUP($M13189,'Informations sur les produits'!$A$3:$H$10000,8,FALSE),"0")</f>
        <v>0</v>
      </c>
      <c r="P13189" s="33">
        <f t="shared" si="824"/>
        <v>0</v>
      </c>
      <c r="Q13189" s="31" t="str">
        <f t="shared" si="825"/>
        <v/>
      </c>
      <c r="R13189" s="32" t="str">
        <f>IFERROR(VLOOKUP($D13189,'Informations sur les produits'!$A$3:$B$15000,2,FALSE),"")</f>
        <v/>
      </c>
      <c r="V13189">
        <f t="shared" si="826"/>
        <v>0</v>
      </c>
      <c r="W13189">
        <f t="shared" si="827"/>
        <v>0</v>
      </c>
    </row>
    <row r="13190" spans="5:23" x14ac:dyDescent="0.25">
      <c r="E13190" s="4"/>
      <c r="F13190" s="4"/>
      <c r="G13190" s="33" t="str">
        <f>IFERROR(VLOOKUP($D13190,'Informations sur les produits'!$A$3:$H$10000,8,FALSE),"0")</f>
        <v>0</v>
      </c>
      <c r="K13190" s="4"/>
      <c r="L13190" s="33" t="str">
        <f>IFERROR(VLOOKUP($J13190,'Informations sur les produits'!$A$3:$H$10000,8,FALSE),"0")</f>
        <v>0</v>
      </c>
      <c r="N13190" s="8"/>
      <c r="O13190" s="33" t="str">
        <f>IFERROR(VLOOKUP($M13190,'Informations sur les produits'!$A$3:$H$10000,8,FALSE),"0")</f>
        <v>0</v>
      </c>
      <c r="P13190" s="33">
        <f t="shared" si="824"/>
        <v>0</v>
      </c>
      <c r="Q13190" s="31" t="str">
        <f t="shared" si="825"/>
        <v/>
      </c>
      <c r="R13190" s="32" t="str">
        <f>IFERROR(VLOOKUP($D13190,'Informations sur les produits'!$A$3:$B$15000,2,FALSE),"")</f>
        <v/>
      </c>
      <c r="V13190">
        <f t="shared" si="826"/>
        <v>0</v>
      </c>
      <c r="W13190">
        <f t="shared" si="827"/>
        <v>0</v>
      </c>
    </row>
    <row r="13191" spans="5:23" x14ac:dyDescent="0.25">
      <c r="E13191" s="4"/>
      <c r="F13191" s="4"/>
      <c r="G13191" s="33" t="str">
        <f>IFERROR(VLOOKUP($D13191,'Informations sur les produits'!$A$3:$H$10000,8,FALSE),"0")</f>
        <v>0</v>
      </c>
      <c r="K13191" s="4"/>
      <c r="L13191" s="33" t="str">
        <f>IFERROR(VLOOKUP($J13191,'Informations sur les produits'!$A$3:$H$10000,8,FALSE),"0")</f>
        <v>0</v>
      </c>
      <c r="N13191" s="8"/>
      <c r="O13191" s="33" t="str">
        <f>IFERROR(VLOOKUP($M13191,'Informations sur les produits'!$A$3:$H$10000,8,FALSE),"0")</f>
        <v>0</v>
      </c>
      <c r="P13191" s="33">
        <f t="shared" si="824"/>
        <v>0</v>
      </c>
      <c r="Q13191" s="31" t="str">
        <f t="shared" si="825"/>
        <v/>
      </c>
      <c r="R13191" s="32" t="str">
        <f>IFERROR(VLOOKUP($D13191,'Informations sur les produits'!$A$3:$B$15000,2,FALSE),"")</f>
        <v/>
      </c>
      <c r="V13191">
        <f t="shared" si="826"/>
        <v>0</v>
      </c>
      <c r="W13191">
        <f t="shared" si="827"/>
        <v>0</v>
      </c>
    </row>
    <row r="13192" spans="5:23" x14ac:dyDescent="0.25">
      <c r="E13192" s="4"/>
      <c r="F13192" s="4"/>
      <c r="G13192" s="33" t="str">
        <f>IFERROR(VLOOKUP($D13192,'Informations sur les produits'!$A$3:$H$10000,8,FALSE),"0")</f>
        <v>0</v>
      </c>
      <c r="K13192" s="4"/>
      <c r="L13192" s="33" t="str">
        <f>IFERROR(VLOOKUP($J13192,'Informations sur les produits'!$A$3:$H$10000,8,FALSE),"0")</f>
        <v>0</v>
      </c>
      <c r="N13192" s="8"/>
      <c r="O13192" s="33" t="str">
        <f>IFERROR(VLOOKUP($M13192,'Informations sur les produits'!$A$3:$H$10000,8,FALSE),"0")</f>
        <v>0</v>
      </c>
      <c r="P13192" s="33">
        <f t="shared" si="824"/>
        <v>0</v>
      </c>
      <c r="Q13192" s="31" t="str">
        <f t="shared" si="825"/>
        <v/>
      </c>
      <c r="R13192" s="32" t="str">
        <f>IFERROR(VLOOKUP($D13192,'Informations sur les produits'!$A$3:$B$15000,2,FALSE),"")</f>
        <v/>
      </c>
      <c r="V13192">
        <f t="shared" si="826"/>
        <v>0</v>
      </c>
      <c r="W13192">
        <f t="shared" si="827"/>
        <v>0</v>
      </c>
    </row>
    <row r="13193" spans="5:23" x14ac:dyDescent="0.25">
      <c r="E13193" s="4"/>
      <c r="F13193" s="4"/>
      <c r="G13193" s="33" t="str">
        <f>IFERROR(VLOOKUP($D13193,'Informations sur les produits'!$A$3:$H$10000,8,FALSE),"0")</f>
        <v>0</v>
      </c>
      <c r="K13193" s="4"/>
      <c r="L13193" s="33" t="str">
        <f>IFERROR(VLOOKUP($J13193,'Informations sur les produits'!$A$3:$H$10000,8,FALSE),"0")</f>
        <v>0</v>
      </c>
      <c r="N13193" s="8"/>
      <c r="O13193" s="33" t="str">
        <f>IFERROR(VLOOKUP($M13193,'Informations sur les produits'!$A$3:$H$10000,8,FALSE),"0")</f>
        <v>0</v>
      </c>
      <c r="P13193" s="33">
        <f t="shared" si="824"/>
        <v>0</v>
      </c>
      <c r="Q13193" s="31" t="str">
        <f t="shared" si="825"/>
        <v/>
      </c>
      <c r="R13193" s="32" t="str">
        <f>IFERROR(VLOOKUP($D13193,'Informations sur les produits'!$A$3:$B$15000,2,FALSE),"")</f>
        <v/>
      </c>
      <c r="V13193">
        <f t="shared" si="826"/>
        <v>0</v>
      </c>
      <c r="W13193">
        <f t="shared" si="827"/>
        <v>0</v>
      </c>
    </row>
    <row r="13194" spans="5:23" x14ac:dyDescent="0.25">
      <c r="E13194" s="4"/>
      <c r="F13194" s="4"/>
      <c r="G13194" s="33" t="str">
        <f>IFERROR(VLOOKUP($D13194,'Informations sur les produits'!$A$3:$H$10000,8,FALSE),"0")</f>
        <v>0</v>
      </c>
      <c r="K13194" s="4"/>
      <c r="L13194" s="33" t="str">
        <f>IFERROR(VLOOKUP($J13194,'Informations sur les produits'!$A$3:$H$10000,8,FALSE),"0")</f>
        <v>0</v>
      </c>
      <c r="N13194" s="8"/>
      <c r="O13194" s="33" t="str">
        <f>IFERROR(VLOOKUP($M13194,'Informations sur les produits'!$A$3:$H$10000,8,FALSE),"0")</f>
        <v>0</v>
      </c>
      <c r="P13194" s="33">
        <f t="shared" si="824"/>
        <v>0</v>
      </c>
      <c r="Q13194" s="31" t="str">
        <f t="shared" si="825"/>
        <v/>
      </c>
      <c r="R13194" s="32" t="str">
        <f>IFERROR(VLOOKUP($D13194,'Informations sur les produits'!$A$3:$B$15000,2,FALSE),"")</f>
        <v/>
      </c>
      <c r="V13194">
        <f t="shared" si="826"/>
        <v>0</v>
      </c>
      <c r="W13194">
        <f t="shared" si="827"/>
        <v>0</v>
      </c>
    </row>
    <row r="13195" spans="5:23" x14ac:dyDescent="0.25">
      <c r="E13195" s="4"/>
      <c r="F13195" s="4"/>
      <c r="G13195" s="33" t="str">
        <f>IFERROR(VLOOKUP($D13195,'Informations sur les produits'!$A$3:$H$10000,8,FALSE),"0")</f>
        <v>0</v>
      </c>
      <c r="K13195" s="4"/>
      <c r="L13195" s="33" t="str">
        <f>IFERROR(VLOOKUP($J13195,'Informations sur les produits'!$A$3:$H$10000,8,FALSE),"0")</f>
        <v>0</v>
      </c>
      <c r="N13195" s="8"/>
      <c r="O13195" s="33" t="str">
        <f>IFERROR(VLOOKUP($M13195,'Informations sur les produits'!$A$3:$H$10000,8,FALSE),"0")</f>
        <v>0</v>
      </c>
      <c r="P13195" s="33">
        <f t="shared" si="824"/>
        <v>0</v>
      </c>
      <c r="Q13195" s="31" t="str">
        <f t="shared" si="825"/>
        <v/>
      </c>
      <c r="R13195" s="32" t="str">
        <f>IFERROR(VLOOKUP($D13195,'Informations sur les produits'!$A$3:$B$15000,2,FALSE),"")</f>
        <v/>
      </c>
      <c r="V13195">
        <f t="shared" si="826"/>
        <v>0</v>
      </c>
      <c r="W13195">
        <f t="shared" si="827"/>
        <v>0</v>
      </c>
    </row>
    <row r="13196" spans="5:23" x14ac:dyDescent="0.25">
      <c r="E13196" s="4"/>
      <c r="F13196" s="4"/>
      <c r="G13196" s="33" t="str">
        <f>IFERROR(VLOOKUP($D13196,'Informations sur les produits'!$A$3:$H$10000,8,FALSE),"0")</f>
        <v>0</v>
      </c>
      <c r="K13196" s="4"/>
      <c r="L13196" s="33" t="str">
        <f>IFERROR(VLOOKUP($J13196,'Informations sur les produits'!$A$3:$H$10000,8,FALSE),"0")</f>
        <v>0</v>
      </c>
      <c r="N13196" s="8"/>
      <c r="O13196" s="33" t="str">
        <f>IFERROR(VLOOKUP($M13196,'Informations sur les produits'!$A$3:$H$10000,8,FALSE),"0")</f>
        <v>0</v>
      </c>
      <c r="P13196" s="33">
        <f t="shared" si="824"/>
        <v>0</v>
      </c>
      <c r="Q13196" s="31" t="str">
        <f t="shared" si="825"/>
        <v/>
      </c>
      <c r="R13196" s="32" t="str">
        <f>IFERROR(VLOOKUP($D13196,'Informations sur les produits'!$A$3:$B$15000,2,FALSE),"")</f>
        <v/>
      </c>
      <c r="V13196">
        <f t="shared" si="826"/>
        <v>0</v>
      </c>
      <c r="W13196">
        <f t="shared" si="827"/>
        <v>0</v>
      </c>
    </row>
    <row r="13197" spans="5:23" x14ac:dyDescent="0.25">
      <c r="E13197" s="4"/>
      <c r="F13197" s="4"/>
      <c r="G13197" s="33" t="str">
        <f>IFERROR(VLOOKUP($D13197,'Informations sur les produits'!$A$3:$H$10000,8,FALSE),"0")</f>
        <v>0</v>
      </c>
      <c r="K13197" s="4"/>
      <c r="L13197" s="33" t="str">
        <f>IFERROR(VLOOKUP($J13197,'Informations sur les produits'!$A$3:$H$10000,8,FALSE),"0")</f>
        <v>0</v>
      </c>
      <c r="N13197" s="8"/>
      <c r="O13197" s="33" t="str">
        <f>IFERROR(VLOOKUP($M13197,'Informations sur les produits'!$A$3:$H$10000,8,FALSE),"0")</f>
        <v>0</v>
      </c>
      <c r="P13197" s="33">
        <f t="shared" si="824"/>
        <v>0</v>
      </c>
      <c r="Q13197" s="31" t="str">
        <f t="shared" si="825"/>
        <v/>
      </c>
      <c r="R13197" s="32" t="str">
        <f>IFERROR(VLOOKUP($D13197,'Informations sur les produits'!$A$3:$B$15000,2,FALSE),"")</f>
        <v/>
      </c>
      <c r="V13197">
        <f t="shared" si="826"/>
        <v>0</v>
      </c>
      <c r="W13197">
        <f t="shared" si="827"/>
        <v>0</v>
      </c>
    </row>
    <row r="13198" spans="5:23" x14ac:dyDescent="0.25">
      <c r="E13198" s="4"/>
      <c r="F13198" s="4"/>
      <c r="G13198" s="33" t="str">
        <f>IFERROR(VLOOKUP($D13198,'Informations sur les produits'!$A$3:$H$10000,8,FALSE),"0")</f>
        <v>0</v>
      </c>
      <c r="K13198" s="4"/>
      <c r="L13198" s="33" t="str">
        <f>IFERROR(VLOOKUP($J13198,'Informations sur les produits'!$A$3:$H$10000,8,FALSE),"0")</f>
        <v>0</v>
      </c>
      <c r="N13198" s="8"/>
      <c r="O13198" s="33" t="str">
        <f>IFERROR(VLOOKUP($M13198,'Informations sur les produits'!$A$3:$H$10000,8,FALSE),"0")</f>
        <v>0</v>
      </c>
      <c r="P13198" s="33">
        <f t="shared" si="824"/>
        <v>0</v>
      </c>
      <c r="Q13198" s="31" t="str">
        <f t="shared" si="825"/>
        <v/>
      </c>
      <c r="R13198" s="32" t="str">
        <f>IFERROR(VLOOKUP($D13198,'Informations sur les produits'!$A$3:$B$15000,2,FALSE),"")</f>
        <v/>
      </c>
      <c r="V13198">
        <f t="shared" si="826"/>
        <v>0</v>
      </c>
      <c r="W13198">
        <f t="shared" si="827"/>
        <v>0</v>
      </c>
    </row>
    <row r="13199" spans="5:23" x14ac:dyDescent="0.25">
      <c r="E13199" s="4"/>
      <c r="F13199" s="4"/>
      <c r="G13199" s="33" t="str">
        <f>IFERROR(VLOOKUP($D13199,'Informations sur les produits'!$A$3:$H$10000,8,FALSE),"0")</f>
        <v>0</v>
      </c>
      <c r="K13199" s="4"/>
      <c r="L13199" s="33" t="str">
        <f>IFERROR(VLOOKUP($J13199,'Informations sur les produits'!$A$3:$H$10000,8,FALSE),"0")</f>
        <v>0</v>
      </c>
      <c r="N13199" s="8"/>
      <c r="O13199" s="33" t="str">
        <f>IFERROR(VLOOKUP($M13199,'Informations sur les produits'!$A$3:$H$10000,8,FALSE),"0")</f>
        <v>0</v>
      </c>
      <c r="P13199" s="33">
        <f t="shared" si="824"/>
        <v>0</v>
      </c>
      <c r="Q13199" s="31" t="str">
        <f t="shared" si="825"/>
        <v/>
      </c>
      <c r="R13199" s="32" t="str">
        <f>IFERROR(VLOOKUP($D13199,'Informations sur les produits'!$A$3:$B$15000,2,FALSE),"")</f>
        <v/>
      </c>
      <c r="V13199">
        <f t="shared" si="826"/>
        <v>0</v>
      </c>
      <c r="W13199">
        <f t="shared" si="827"/>
        <v>0</v>
      </c>
    </row>
    <row r="13200" spans="5:23" x14ac:dyDescent="0.25">
      <c r="E13200" s="4"/>
      <c r="F13200" s="4"/>
      <c r="G13200" s="33" t="str">
        <f>IFERROR(VLOOKUP($D13200,'Informations sur les produits'!$A$3:$H$10000,8,FALSE),"0")</f>
        <v>0</v>
      </c>
      <c r="K13200" s="4"/>
      <c r="L13200" s="33" t="str">
        <f>IFERROR(VLOOKUP($J13200,'Informations sur les produits'!$A$3:$H$10000,8,FALSE),"0")</f>
        <v>0</v>
      </c>
      <c r="N13200" s="8"/>
      <c r="O13200" s="33" t="str">
        <f>IFERROR(VLOOKUP($M13200,'Informations sur les produits'!$A$3:$H$10000,8,FALSE),"0")</f>
        <v>0</v>
      </c>
      <c r="P13200" s="33">
        <f t="shared" si="824"/>
        <v>0</v>
      </c>
      <c r="Q13200" s="31" t="str">
        <f t="shared" si="825"/>
        <v/>
      </c>
      <c r="R13200" s="32" t="str">
        <f>IFERROR(VLOOKUP($D13200,'Informations sur les produits'!$A$3:$B$15000,2,FALSE),"")</f>
        <v/>
      </c>
      <c r="V13200">
        <f t="shared" si="826"/>
        <v>0</v>
      </c>
      <c r="W13200">
        <f t="shared" si="827"/>
        <v>0</v>
      </c>
    </row>
    <row r="13201" spans="5:23" x14ac:dyDescent="0.25">
      <c r="E13201" s="4"/>
      <c r="F13201" s="4"/>
      <c r="G13201" s="33" t="str">
        <f>IFERROR(VLOOKUP($D13201,'Informations sur les produits'!$A$3:$H$10000,8,FALSE),"0")</f>
        <v>0</v>
      </c>
      <c r="K13201" s="4"/>
      <c r="L13201" s="33" t="str">
        <f>IFERROR(VLOOKUP($J13201,'Informations sur les produits'!$A$3:$H$10000,8,FALSE),"0")</f>
        <v>0</v>
      </c>
      <c r="N13201" s="8"/>
      <c r="O13201" s="33" t="str">
        <f>IFERROR(VLOOKUP($M13201,'Informations sur les produits'!$A$3:$H$10000,8,FALSE),"0")</f>
        <v>0</v>
      </c>
      <c r="P13201" s="33">
        <f t="shared" si="824"/>
        <v>0</v>
      </c>
      <c r="Q13201" s="31" t="str">
        <f t="shared" si="825"/>
        <v/>
      </c>
      <c r="R13201" s="32" t="str">
        <f>IFERROR(VLOOKUP($D13201,'Informations sur les produits'!$A$3:$B$15000,2,FALSE),"")</f>
        <v/>
      </c>
      <c r="V13201">
        <f t="shared" si="826"/>
        <v>0</v>
      </c>
      <c r="W13201">
        <f t="shared" si="827"/>
        <v>0</v>
      </c>
    </row>
    <row r="13202" spans="5:23" x14ac:dyDescent="0.25">
      <c r="E13202" s="4"/>
      <c r="F13202" s="4"/>
      <c r="G13202" s="33" t="str">
        <f>IFERROR(VLOOKUP($D13202,'Informations sur les produits'!$A$3:$H$10000,8,FALSE),"0")</f>
        <v>0</v>
      </c>
      <c r="K13202" s="4"/>
      <c r="L13202" s="33" t="str">
        <f>IFERROR(VLOOKUP($J13202,'Informations sur les produits'!$A$3:$H$10000,8,FALSE),"0")</f>
        <v>0</v>
      </c>
      <c r="N13202" s="8"/>
      <c r="O13202" s="33" t="str">
        <f>IFERROR(VLOOKUP($M13202,'Informations sur les produits'!$A$3:$H$10000,8,FALSE),"0")</f>
        <v>0</v>
      </c>
      <c r="P13202" s="33">
        <f t="shared" si="824"/>
        <v>0</v>
      </c>
      <c r="Q13202" s="31" t="str">
        <f t="shared" si="825"/>
        <v/>
      </c>
      <c r="R13202" s="32" t="str">
        <f>IFERROR(VLOOKUP($D13202,'Informations sur les produits'!$A$3:$B$15000,2,FALSE),"")</f>
        <v/>
      </c>
      <c r="V13202">
        <f t="shared" si="826"/>
        <v>0</v>
      </c>
      <c r="W13202">
        <f t="shared" si="827"/>
        <v>0</v>
      </c>
    </row>
    <row r="13203" spans="5:23" x14ac:dyDescent="0.25">
      <c r="E13203" s="4"/>
      <c r="F13203" s="4"/>
      <c r="G13203" s="33" t="str">
        <f>IFERROR(VLOOKUP($D13203,'Informations sur les produits'!$A$3:$H$10000,8,FALSE),"0")</f>
        <v>0</v>
      </c>
      <c r="K13203" s="4"/>
      <c r="L13203" s="33" t="str">
        <f>IFERROR(VLOOKUP($J13203,'Informations sur les produits'!$A$3:$H$10000,8,FALSE),"0")</f>
        <v>0</v>
      </c>
      <c r="N13203" s="8"/>
      <c r="O13203" s="33" t="str">
        <f>IFERROR(VLOOKUP($M13203,'Informations sur les produits'!$A$3:$H$10000,8,FALSE),"0")</f>
        <v>0</v>
      </c>
      <c r="P13203" s="33">
        <f t="shared" si="824"/>
        <v>0</v>
      </c>
      <c r="Q13203" s="31" t="str">
        <f t="shared" si="825"/>
        <v/>
      </c>
      <c r="R13203" s="32" t="str">
        <f>IFERROR(VLOOKUP($D13203,'Informations sur les produits'!$A$3:$B$15000,2,FALSE),"")</f>
        <v/>
      </c>
      <c r="V13203">
        <f t="shared" si="826"/>
        <v>0</v>
      </c>
      <c r="W13203">
        <f t="shared" si="827"/>
        <v>0</v>
      </c>
    </row>
    <row r="13204" spans="5:23" x14ac:dyDescent="0.25">
      <c r="E13204" s="4"/>
      <c r="F13204" s="4"/>
      <c r="G13204" s="33" t="str">
        <f>IFERROR(VLOOKUP($D13204,'Informations sur les produits'!$A$3:$H$10000,8,FALSE),"0")</f>
        <v>0</v>
      </c>
      <c r="K13204" s="4"/>
      <c r="L13204" s="33" t="str">
        <f>IFERROR(VLOOKUP($J13204,'Informations sur les produits'!$A$3:$H$10000,8,FALSE),"0")</f>
        <v>0</v>
      </c>
      <c r="N13204" s="8"/>
      <c r="O13204" s="33" t="str">
        <f>IFERROR(VLOOKUP($M13204,'Informations sur les produits'!$A$3:$H$10000,8,FALSE),"0")</f>
        <v>0</v>
      </c>
      <c r="P13204" s="33">
        <f t="shared" si="824"/>
        <v>0</v>
      </c>
      <c r="Q13204" s="31" t="str">
        <f t="shared" si="825"/>
        <v/>
      </c>
      <c r="R13204" s="32" t="str">
        <f>IFERROR(VLOOKUP($D13204,'Informations sur les produits'!$A$3:$B$15000,2,FALSE),"")</f>
        <v/>
      </c>
      <c r="V13204">
        <f t="shared" si="826"/>
        <v>0</v>
      </c>
      <c r="W13204">
        <f t="shared" si="827"/>
        <v>0</v>
      </c>
    </row>
    <row r="13205" spans="5:23" x14ac:dyDescent="0.25">
      <c r="E13205" s="4"/>
      <c r="F13205" s="4"/>
      <c r="G13205" s="33" t="str">
        <f>IFERROR(VLOOKUP($D13205,'Informations sur les produits'!$A$3:$H$10000,8,FALSE),"0")</f>
        <v>0</v>
      </c>
      <c r="K13205" s="4"/>
      <c r="L13205" s="33" t="str">
        <f>IFERROR(VLOOKUP($J13205,'Informations sur les produits'!$A$3:$H$10000,8,FALSE),"0")</f>
        <v>0</v>
      </c>
      <c r="N13205" s="8"/>
      <c r="O13205" s="33" t="str">
        <f>IFERROR(VLOOKUP($M13205,'Informations sur les produits'!$A$3:$H$10000,8,FALSE),"0")</f>
        <v>0</v>
      </c>
      <c r="P13205" s="33">
        <f t="shared" si="824"/>
        <v>0</v>
      </c>
      <c r="Q13205" s="31" t="str">
        <f t="shared" si="825"/>
        <v/>
      </c>
      <c r="R13205" s="32" t="str">
        <f>IFERROR(VLOOKUP($D13205,'Informations sur les produits'!$A$3:$B$15000,2,FALSE),"")</f>
        <v/>
      </c>
      <c r="V13205">
        <f t="shared" si="826"/>
        <v>0</v>
      </c>
      <c r="W13205">
        <f t="shared" si="827"/>
        <v>0</v>
      </c>
    </row>
    <row r="13206" spans="5:23" x14ac:dyDescent="0.25">
      <c r="E13206" s="4"/>
      <c r="F13206" s="4"/>
      <c r="G13206" s="33" t="str">
        <f>IFERROR(VLOOKUP($D13206,'Informations sur les produits'!$A$3:$H$10000,8,FALSE),"0")</f>
        <v>0</v>
      </c>
      <c r="K13206" s="4"/>
      <c r="L13206" s="33" t="str">
        <f>IFERROR(VLOOKUP($J13206,'Informations sur les produits'!$A$3:$H$10000,8,FALSE),"0")</f>
        <v>0</v>
      </c>
      <c r="N13206" s="8"/>
      <c r="O13206" s="33" t="str">
        <f>IFERROR(VLOOKUP($M13206,'Informations sur les produits'!$A$3:$H$10000,8,FALSE),"0")</f>
        <v>0</v>
      </c>
      <c r="P13206" s="33">
        <f t="shared" si="824"/>
        <v>0</v>
      </c>
      <c r="Q13206" s="31" t="str">
        <f t="shared" si="825"/>
        <v/>
      </c>
      <c r="R13206" s="32" t="str">
        <f>IFERROR(VLOOKUP($D13206,'Informations sur les produits'!$A$3:$B$15000,2,FALSE),"")</f>
        <v/>
      </c>
      <c r="V13206">
        <f t="shared" si="826"/>
        <v>0</v>
      </c>
      <c r="W13206">
        <f t="shared" si="827"/>
        <v>0</v>
      </c>
    </row>
    <row r="13207" spans="5:23" x14ac:dyDescent="0.25">
      <c r="E13207" s="4"/>
      <c r="F13207" s="4"/>
      <c r="G13207" s="33" t="str">
        <f>IFERROR(VLOOKUP($D13207,'Informations sur les produits'!$A$3:$H$10000,8,FALSE),"0")</f>
        <v>0</v>
      </c>
      <c r="K13207" s="4"/>
      <c r="L13207" s="33" t="str">
        <f>IFERROR(VLOOKUP($J13207,'Informations sur les produits'!$A$3:$H$10000,8,FALSE),"0")</f>
        <v>0</v>
      </c>
      <c r="N13207" s="8"/>
      <c r="O13207" s="33" t="str">
        <f>IFERROR(VLOOKUP($M13207,'Informations sur les produits'!$A$3:$H$10000,8,FALSE),"0")</f>
        <v>0</v>
      </c>
      <c r="P13207" s="33">
        <f t="shared" si="824"/>
        <v>0</v>
      </c>
      <c r="Q13207" s="31" t="str">
        <f t="shared" si="825"/>
        <v/>
      </c>
      <c r="R13207" s="32" t="str">
        <f>IFERROR(VLOOKUP($D13207,'Informations sur les produits'!$A$3:$B$15000,2,FALSE),"")</f>
        <v/>
      </c>
      <c r="V13207">
        <f t="shared" si="826"/>
        <v>0</v>
      </c>
      <c r="W13207">
        <f t="shared" si="827"/>
        <v>0</v>
      </c>
    </row>
    <row r="13208" spans="5:23" x14ac:dyDescent="0.25">
      <c r="E13208" s="4"/>
      <c r="F13208" s="4"/>
      <c r="G13208" s="33" t="str">
        <f>IFERROR(VLOOKUP($D13208,'Informations sur les produits'!$A$3:$H$10000,8,FALSE),"0")</f>
        <v>0</v>
      </c>
      <c r="K13208" s="4"/>
      <c r="L13208" s="33" t="str">
        <f>IFERROR(VLOOKUP($J13208,'Informations sur les produits'!$A$3:$H$10000,8,FALSE),"0")</f>
        <v>0</v>
      </c>
      <c r="N13208" s="8"/>
      <c r="O13208" s="33" t="str">
        <f>IFERROR(VLOOKUP($M13208,'Informations sur les produits'!$A$3:$H$10000,8,FALSE),"0")</f>
        <v>0</v>
      </c>
      <c r="P13208" s="33">
        <f t="shared" si="824"/>
        <v>0</v>
      </c>
      <c r="Q13208" s="31" t="str">
        <f t="shared" si="825"/>
        <v/>
      </c>
      <c r="R13208" s="32" t="str">
        <f>IFERROR(VLOOKUP($D13208,'Informations sur les produits'!$A$3:$B$15000,2,FALSE),"")</f>
        <v/>
      </c>
      <c r="V13208">
        <f t="shared" si="826"/>
        <v>0</v>
      </c>
      <c r="W13208">
        <f t="shared" si="827"/>
        <v>0</v>
      </c>
    </row>
    <row r="13209" spans="5:23" x14ac:dyDescent="0.25">
      <c r="E13209" s="4"/>
      <c r="F13209" s="4"/>
      <c r="G13209" s="33" t="str">
        <f>IFERROR(VLOOKUP($D13209,'Informations sur les produits'!$A$3:$H$10000,8,FALSE),"0")</f>
        <v>0</v>
      </c>
      <c r="K13209" s="4"/>
      <c r="L13209" s="33" t="str">
        <f>IFERROR(VLOOKUP($J13209,'Informations sur les produits'!$A$3:$H$10000,8,FALSE),"0")</f>
        <v>0</v>
      </c>
      <c r="N13209" s="8"/>
      <c r="O13209" s="33" t="str">
        <f>IFERROR(VLOOKUP($M13209,'Informations sur les produits'!$A$3:$H$10000,8,FALSE),"0")</f>
        <v>0</v>
      </c>
      <c r="P13209" s="33">
        <f t="shared" si="824"/>
        <v>0</v>
      </c>
      <c r="Q13209" s="31" t="str">
        <f t="shared" si="825"/>
        <v/>
      </c>
      <c r="R13209" s="32" t="str">
        <f>IFERROR(VLOOKUP($D13209,'Informations sur les produits'!$A$3:$B$15000,2,FALSE),"")</f>
        <v/>
      </c>
      <c r="V13209">
        <f t="shared" si="826"/>
        <v>0</v>
      </c>
      <c r="W13209">
        <f t="shared" si="827"/>
        <v>0</v>
      </c>
    </row>
    <row r="13210" spans="5:23" x14ac:dyDescent="0.25">
      <c r="E13210" s="4"/>
      <c r="F13210" s="4"/>
      <c r="G13210" s="33" t="str">
        <f>IFERROR(VLOOKUP($D13210,'Informations sur les produits'!$A$3:$H$10000,8,FALSE),"0")</f>
        <v>0</v>
      </c>
      <c r="K13210" s="4"/>
      <c r="L13210" s="33" t="str">
        <f>IFERROR(VLOOKUP($J13210,'Informations sur les produits'!$A$3:$H$10000,8,FALSE),"0")</f>
        <v>0</v>
      </c>
      <c r="N13210" s="8"/>
      <c r="O13210" s="33" t="str">
        <f>IFERROR(VLOOKUP($M13210,'Informations sur les produits'!$A$3:$H$10000,8,FALSE),"0")</f>
        <v>0</v>
      </c>
      <c r="P13210" s="33">
        <f t="shared" si="824"/>
        <v>0</v>
      </c>
      <c r="Q13210" s="31" t="str">
        <f t="shared" si="825"/>
        <v/>
      </c>
      <c r="R13210" s="32" t="str">
        <f>IFERROR(VLOOKUP($D13210,'Informations sur les produits'!$A$3:$B$15000,2,FALSE),"")</f>
        <v/>
      </c>
      <c r="V13210">
        <f t="shared" si="826"/>
        <v>0</v>
      </c>
      <c r="W13210">
        <f t="shared" si="827"/>
        <v>0</v>
      </c>
    </row>
    <row r="13211" spans="5:23" x14ac:dyDescent="0.25">
      <c r="E13211" s="4"/>
      <c r="F13211" s="4"/>
      <c r="G13211" s="33" t="str">
        <f>IFERROR(VLOOKUP($D13211,'Informations sur les produits'!$A$3:$H$10000,8,FALSE),"0")</f>
        <v>0</v>
      </c>
      <c r="K13211" s="4"/>
      <c r="L13211" s="33" t="str">
        <f>IFERROR(VLOOKUP($J13211,'Informations sur les produits'!$A$3:$H$10000,8,FALSE),"0")</f>
        <v>0</v>
      </c>
      <c r="N13211" s="8"/>
      <c r="O13211" s="33" t="str">
        <f>IFERROR(VLOOKUP($M13211,'Informations sur les produits'!$A$3:$H$10000,8,FALSE),"0")</f>
        <v>0</v>
      </c>
      <c r="P13211" s="33">
        <f t="shared" si="824"/>
        <v>0</v>
      </c>
      <c r="Q13211" s="31" t="str">
        <f t="shared" si="825"/>
        <v/>
      </c>
      <c r="R13211" s="32" t="str">
        <f>IFERROR(VLOOKUP($D13211,'Informations sur les produits'!$A$3:$B$15000,2,FALSE),"")</f>
        <v/>
      </c>
      <c r="V13211">
        <f t="shared" si="826"/>
        <v>0</v>
      </c>
      <c r="W13211">
        <f t="shared" si="827"/>
        <v>0</v>
      </c>
    </row>
    <row r="13212" spans="5:23" x14ac:dyDescent="0.25">
      <c r="E13212" s="4"/>
      <c r="F13212" s="4"/>
      <c r="G13212" s="33" t="str">
        <f>IFERROR(VLOOKUP($D13212,'Informations sur les produits'!$A$3:$H$10000,8,FALSE),"0")</f>
        <v>0</v>
      </c>
      <c r="K13212" s="4"/>
      <c r="L13212" s="33" t="str">
        <f>IFERROR(VLOOKUP($J13212,'Informations sur les produits'!$A$3:$H$10000,8,FALSE),"0")</f>
        <v>0</v>
      </c>
      <c r="N13212" s="8"/>
      <c r="O13212" s="33" t="str">
        <f>IFERROR(VLOOKUP($M13212,'Informations sur les produits'!$A$3:$H$10000,8,FALSE),"0")</f>
        <v>0</v>
      </c>
      <c r="P13212" s="33">
        <f t="shared" si="824"/>
        <v>0</v>
      </c>
      <c r="Q13212" s="31" t="str">
        <f t="shared" si="825"/>
        <v/>
      </c>
      <c r="R13212" s="32" t="str">
        <f>IFERROR(VLOOKUP($D13212,'Informations sur les produits'!$A$3:$B$15000,2,FALSE),"")</f>
        <v/>
      </c>
      <c r="V13212">
        <f t="shared" si="826"/>
        <v>0</v>
      </c>
      <c r="W13212">
        <f t="shared" si="827"/>
        <v>0</v>
      </c>
    </row>
    <row r="13213" spans="5:23" x14ac:dyDescent="0.25">
      <c r="E13213" s="4"/>
      <c r="F13213" s="4"/>
      <c r="G13213" s="33" t="str">
        <f>IFERROR(VLOOKUP($D13213,'Informations sur les produits'!$A$3:$H$10000,8,FALSE),"0")</f>
        <v>0</v>
      </c>
      <c r="K13213" s="4"/>
      <c r="L13213" s="33" t="str">
        <f>IFERROR(VLOOKUP($J13213,'Informations sur les produits'!$A$3:$H$10000,8,FALSE),"0")</f>
        <v>0</v>
      </c>
      <c r="N13213" s="8"/>
      <c r="O13213" s="33" t="str">
        <f>IFERROR(VLOOKUP($M13213,'Informations sur les produits'!$A$3:$H$10000,8,FALSE),"0")</f>
        <v>0</v>
      </c>
      <c r="P13213" s="33">
        <f t="shared" si="824"/>
        <v>0</v>
      </c>
      <c r="Q13213" s="31" t="str">
        <f t="shared" si="825"/>
        <v/>
      </c>
      <c r="R13213" s="32" t="str">
        <f>IFERROR(VLOOKUP($D13213,'Informations sur les produits'!$A$3:$B$15000,2,FALSE),"")</f>
        <v/>
      </c>
      <c r="V13213">
        <f t="shared" si="826"/>
        <v>0</v>
      </c>
      <c r="W13213">
        <f t="shared" si="827"/>
        <v>0</v>
      </c>
    </row>
    <row r="13214" spans="5:23" x14ac:dyDescent="0.25">
      <c r="E13214" s="4"/>
      <c r="F13214" s="4"/>
      <c r="G13214" s="33" t="str">
        <f>IFERROR(VLOOKUP($D13214,'Informations sur les produits'!$A$3:$H$10000,8,FALSE),"0")</f>
        <v>0</v>
      </c>
      <c r="K13214" s="4"/>
      <c r="L13214" s="33" t="str">
        <f>IFERROR(VLOOKUP($J13214,'Informations sur les produits'!$A$3:$H$10000,8,FALSE),"0")</f>
        <v>0</v>
      </c>
      <c r="N13214" s="8"/>
      <c r="O13214" s="33" t="str">
        <f>IFERROR(VLOOKUP($M13214,'Informations sur les produits'!$A$3:$H$10000,8,FALSE),"0")</f>
        <v>0</v>
      </c>
      <c r="P13214" s="33">
        <f t="shared" si="824"/>
        <v>0</v>
      </c>
      <c r="Q13214" s="31" t="str">
        <f t="shared" si="825"/>
        <v/>
      </c>
      <c r="R13214" s="32" t="str">
        <f>IFERROR(VLOOKUP($D13214,'Informations sur les produits'!$A$3:$B$15000,2,FALSE),"")</f>
        <v/>
      </c>
      <c r="V13214">
        <f t="shared" si="826"/>
        <v>0</v>
      </c>
      <c r="W13214">
        <f t="shared" si="827"/>
        <v>0</v>
      </c>
    </row>
    <row r="13215" spans="5:23" x14ac:dyDescent="0.25">
      <c r="E13215" s="4"/>
      <c r="F13215" s="4"/>
      <c r="G13215" s="33" t="str">
        <f>IFERROR(VLOOKUP($D13215,'Informations sur les produits'!$A$3:$H$10000,8,FALSE),"0")</f>
        <v>0</v>
      </c>
      <c r="K13215" s="4"/>
      <c r="L13215" s="33" t="str">
        <f>IFERROR(VLOOKUP($J13215,'Informations sur les produits'!$A$3:$H$10000,8,FALSE),"0")</f>
        <v>0</v>
      </c>
      <c r="N13215" s="8"/>
      <c r="O13215" s="33" t="str">
        <f>IFERROR(VLOOKUP($M13215,'Informations sur les produits'!$A$3:$H$10000,8,FALSE),"0")</f>
        <v>0</v>
      </c>
      <c r="P13215" s="33">
        <f t="shared" si="824"/>
        <v>0</v>
      </c>
      <c r="Q13215" s="31" t="str">
        <f t="shared" si="825"/>
        <v/>
      </c>
      <c r="R13215" s="32" t="str">
        <f>IFERROR(VLOOKUP($D13215,'Informations sur les produits'!$A$3:$B$15000,2,FALSE),"")</f>
        <v/>
      </c>
      <c r="V13215">
        <f t="shared" si="826"/>
        <v>0</v>
      </c>
      <c r="W13215">
        <f t="shared" si="827"/>
        <v>0</v>
      </c>
    </row>
    <row r="13216" spans="5:23" x14ac:dyDescent="0.25">
      <c r="E13216" s="4"/>
      <c r="F13216" s="4"/>
      <c r="G13216" s="33" t="str">
        <f>IFERROR(VLOOKUP($D13216,'Informations sur les produits'!$A$3:$H$10000,8,FALSE),"0")</f>
        <v>0</v>
      </c>
      <c r="K13216" s="4"/>
      <c r="L13216" s="33" t="str">
        <f>IFERROR(VLOOKUP($J13216,'Informations sur les produits'!$A$3:$H$10000,8,FALSE),"0")</f>
        <v>0</v>
      </c>
      <c r="N13216" s="8"/>
      <c r="O13216" s="33" t="str">
        <f>IFERROR(VLOOKUP($M13216,'Informations sur les produits'!$A$3:$H$10000,8,FALSE),"0")</f>
        <v>0</v>
      </c>
      <c r="P13216" s="33">
        <f t="shared" si="824"/>
        <v>0</v>
      </c>
      <c r="Q13216" s="31" t="str">
        <f t="shared" si="825"/>
        <v/>
      </c>
      <c r="R13216" s="32" t="str">
        <f>IFERROR(VLOOKUP($D13216,'Informations sur les produits'!$A$3:$B$15000,2,FALSE),"")</f>
        <v/>
      </c>
      <c r="V13216">
        <f t="shared" si="826"/>
        <v>0</v>
      </c>
      <c r="W13216">
        <f t="shared" si="827"/>
        <v>0</v>
      </c>
    </row>
    <row r="13217" spans="5:23" x14ac:dyDescent="0.25">
      <c r="E13217" s="4"/>
      <c r="F13217" s="4"/>
      <c r="G13217" s="33" t="str">
        <f>IFERROR(VLOOKUP($D13217,'Informations sur les produits'!$A$3:$H$10000,8,FALSE),"0")</f>
        <v>0</v>
      </c>
      <c r="K13217" s="4"/>
      <c r="L13217" s="33" t="str">
        <f>IFERROR(VLOOKUP($J13217,'Informations sur les produits'!$A$3:$H$10000,8,FALSE),"0")</f>
        <v>0</v>
      </c>
      <c r="N13217" s="8"/>
      <c r="O13217" s="33" t="str">
        <f>IFERROR(VLOOKUP($M13217,'Informations sur les produits'!$A$3:$H$10000,8,FALSE),"0")</f>
        <v>0</v>
      </c>
      <c r="P13217" s="33">
        <f t="shared" si="824"/>
        <v>0</v>
      </c>
      <c r="Q13217" s="31" t="str">
        <f t="shared" si="825"/>
        <v/>
      </c>
      <c r="R13217" s="32" t="str">
        <f>IFERROR(VLOOKUP($D13217,'Informations sur les produits'!$A$3:$B$15000,2,FALSE),"")</f>
        <v/>
      </c>
      <c r="V13217">
        <f t="shared" si="826"/>
        <v>0</v>
      </c>
      <c r="W13217">
        <f t="shared" si="827"/>
        <v>0</v>
      </c>
    </row>
    <row r="13218" spans="5:23" x14ac:dyDescent="0.25">
      <c r="E13218" s="4"/>
      <c r="F13218" s="4"/>
      <c r="G13218" s="33" t="str">
        <f>IFERROR(VLOOKUP($D13218,'Informations sur les produits'!$A$3:$H$10000,8,FALSE),"0")</f>
        <v>0</v>
      </c>
      <c r="K13218" s="4"/>
      <c r="L13218" s="33" t="str">
        <f>IFERROR(VLOOKUP($J13218,'Informations sur les produits'!$A$3:$H$10000,8,FALSE),"0")</f>
        <v>0</v>
      </c>
      <c r="N13218" s="8"/>
      <c r="O13218" s="33" t="str">
        <f>IFERROR(VLOOKUP($M13218,'Informations sur les produits'!$A$3:$H$10000,8,FALSE),"0")</f>
        <v>0</v>
      </c>
      <c r="P13218" s="33">
        <f t="shared" si="824"/>
        <v>0</v>
      </c>
      <c r="Q13218" s="31" t="str">
        <f t="shared" si="825"/>
        <v/>
      </c>
      <c r="R13218" s="32" t="str">
        <f>IFERROR(VLOOKUP($D13218,'Informations sur les produits'!$A$3:$B$15000,2,FALSE),"")</f>
        <v/>
      </c>
      <c r="V13218">
        <f t="shared" si="826"/>
        <v>0</v>
      </c>
      <c r="W13218">
        <f t="shared" si="827"/>
        <v>0</v>
      </c>
    </row>
    <row r="13219" spans="5:23" x14ac:dyDescent="0.25">
      <c r="E13219" s="4"/>
      <c r="F13219" s="4"/>
      <c r="G13219" s="33" t="str">
        <f>IFERROR(VLOOKUP($D13219,'Informations sur les produits'!$A$3:$H$10000,8,FALSE),"0")</f>
        <v>0</v>
      </c>
      <c r="K13219" s="4"/>
      <c r="L13219" s="33" t="str">
        <f>IFERROR(VLOOKUP($J13219,'Informations sur les produits'!$A$3:$H$10000,8,FALSE),"0")</f>
        <v>0</v>
      </c>
      <c r="N13219" s="8"/>
      <c r="O13219" s="33" t="str">
        <f>IFERROR(VLOOKUP($M13219,'Informations sur les produits'!$A$3:$H$10000,8,FALSE),"0")</f>
        <v>0</v>
      </c>
      <c r="P13219" s="33">
        <f t="shared" si="824"/>
        <v>0</v>
      </c>
      <c r="Q13219" s="31" t="str">
        <f t="shared" si="825"/>
        <v/>
      </c>
      <c r="R13219" s="32" t="str">
        <f>IFERROR(VLOOKUP($D13219,'Informations sur les produits'!$A$3:$B$15000,2,FALSE),"")</f>
        <v/>
      </c>
      <c r="V13219">
        <f t="shared" si="826"/>
        <v>0</v>
      </c>
      <c r="W13219">
        <f t="shared" si="827"/>
        <v>0</v>
      </c>
    </row>
    <row r="13220" spans="5:23" x14ac:dyDescent="0.25">
      <c r="E13220" s="4"/>
      <c r="F13220" s="4"/>
      <c r="G13220" s="33" t="str">
        <f>IFERROR(VLOOKUP($D13220,'Informations sur les produits'!$A$3:$H$10000,8,FALSE),"0")</f>
        <v>0</v>
      </c>
      <c r="K13220" s="4"/>
      <c r="L13220" s="33" t="str">
        <f>IFERROR(VLOOKUP($J13220,'Informations sur les produits'!$A$3:$H$10000,8,FALSE),"0")</f>
        <v>0</v>
      </c>
      <c r="N13220" s="8"/>
      <c r="O13220" s="33" t="str">
        <f>IFERROR(VLOOKUP($M13220,'Informations sur les produits'!$A$3:$H$10000,8,FALSE),"0")</f>
        <v>0</v>
      </c>
      <c r="P13220" s="33">
        <f t="shared" si="824"/>
        <v>0</v>
      </c>
      <c r="Q13220" s="31" t="str">
        <f t="shared" si="825"/>
        <v/>
      </c>
      <c r="R13220" s="32" t="str">
        <f>IFERROR(VLOOKUP($D13220,'Informations sur les produits'!$A$3:$B$15000,2,FALSE),"")</f>
        <v/>
      </c>
      <c r="V13220">
        <f t="shared" si="826"/>
        <v>0</v>
      </c>
      <c r="W13220">
        <f t="shared" si="827"/>
        <v>0</v>
      </c>
    </row>
    <row r="13221" spans="5:23" x14ac:dyDescent="0.25">
      <c r="E13221" s="4"/>
      <c r="F13221" s="4"/>
      <c r="G13221" s="33" t="str">
        <f>IFERROR(VLOOKUP($D13221,'Informations sur les produits'!$A$3:$H$10000,8,FALSE),"0")</f>
        <v>0</v>
      </c>
      <c r="K13221" s="4"/>
      <c r="L13221" s="33" t="str">
        <f>IFERROR(VLOOKUP($J13221,'Informations sur les produits'!$A$3:$H$10000,8,FALSE),"0")</f>
        <v>0</v>
      </c>
      <c r="N13221" s="8"/>
      <c r="O13221" s="33" t="str">
        <f>IFERROR(VLOOKUP($M13221,'Informations sur les produits'!$A$3:$H$10000,8,FALSE),"0")</f>
        <v>0</v>
      </c>
      <c r="P13221" s="33">
        <f t="shared" si="824"/>
        <v>0</v>
      </c>
      <c r="Q13221" s="31" t="str">
        <f t="shared" si="825"/>
        <v/>
      </c>
      <c r="R13221" s="32" t="str">
        <f>IFERROR(VLOOKUP($D13221,'Informations sur les produits'!$A$3:$B$15000,2,FALSE),"")</f>
        <v/>
      </c>
      <c r="V13221">
        <f t="shared" si="826"/>
        <v>0</v>
      </c>
      <c r="W13221">
        <f t="shared" si="827"/>
        <v>0</v>
      </c>
    </row>
    <row r="13222" spans="5:23" x14ac:dyDescent="0.25">
      <c r="E13222" s="4"/>
      <c r="F13222" s="4"/>
      <c r="G13222" s="33" t="str">
        <f>IFERROR(VLOOKUP($D13222,'Informations sur les produits'!$A$3:$H$10000,8,FALSE),"0")</f>
        <v>0</v>
      </c>
      <c r="K13222" s="4"/>
      <c r="L13222" s="33" t="str">
        <f>IFERROR(VLOOKUP($J13222,'Informations sur les produits'!$A$3:$H$10000,8,FALSE),"0")</f>
        <v>0</v>
      </c>
      <c r="N13222" s="8"/>
      <c r="O13222" s="33" t="str">
        <f>IFERROR(VLOOKUP($M13222,'Informations sur les produits'!$A$3:$H$10000,8,FALSE),"0")</f>
        <v>0</v>
      </c>
      <c r="P13222" s="33">
        <f t="shared" si="824"/>
        <v>0</v>
      </c>
      <c r="Q13222" s="31" t="str">
        <f t="shared" si="825"/>
        <v/>
      </c>
      <c r="R13222" s="32" t="str">
        <f>IFERROR(VLOOKUP($D13222,'Informations sur les produits'!$A$3:$B$15000,2,FALSE),"")</f>
        <v/>
      </c>
      <c r="V13222">
        <f t="shared" si="826"/>
        <v>0</v>
      </c>
      <c r="W13222">
        <f t="shared" si="827"/>
        <v>0</v>
      </c>
    </row>
    <row r="13223" spans="5:23" x14ac:dyDescent="0.25">
      <c r="E13223" s="4"/>
      <c r="F13223" s="4"/>
      <c r="G13223" s="33" t="str">
        <f>IFERROR(VLOOKUP($D13223,'Informations sur les produits'!$A$3:$H$10000,8,FALSE),"0")</f>
        <v>0</v>
      </c>
      <c r="K13223" s="4"/>
      <c r="L13223" s="33" t="str">
        <f>IFERROR(VLOOKUP($J13223,'Informations sur les produits'!$A$3:$H$10000,8,FALSE),"0")</f>
        <v>0</v>
      </c>
      <c r="N13223" s="8"/>
      <c r="O13223" s="33" t="str">
        <f>IFERROR(VLOOKUP($M13223,'Informations sur les produits'!$A$3:$H$10000,8,FALSE),"0")</f>
        <v>0</v>
      </c>
      <c r="P13223" s="33">
        <f t="shared" si="824"/>
        <v>0</v>
      </c>
      <c r="Q13223" s="31" t="str">
        <f t="shared" si="825"/>
        <v/>
      </c>
      <c r="R13223" s="32" t="str">
        <f>IFERROR(VLOOKUP($D13223,'Informations sur les produits'!$A$3:$B$15000,2,FALSE),"")</f>
        <v/>
      </c>
      <c r="V13223">
        <f t="shared" si="826"/>
        <v>0</v>
      </c>
      <c r="W13223">
        <f t="shared" si="827"/>
        <v>0</v>
      </c>
    </row>
    <row r="13224" spans="5:23" x14ac:dyDescent="0.25">
      <c r="E13224" s="4"/>
      <c r="F13224" s="4"/>
      <c r="G13224" s="33" t="str">
        <f>IFERROR(VLOOKUP($D13224,'Informations sur les produits'!$A$3:$H$10000,8,FALSE),"0")</f>
        <v>0</v>
      </c>
      <c r="K13224" s="4"/>
      <c r="L13224" s="33" t="str">
        <f>IFERROR(VLOOKUP($J13224,'Informations sur les produits'!$A$3:$H$10000,8,FALSE),"0")</f>
        <v>0</v>
      </c>
      <c r="N13224" s="8"/>
      <c r="O13224" s="33" t="str">
        <f>IFERROR(VLOOKUP($M13224,'Informations sur les produits'!$A$3:$H$10000,8,FALSE),"0")</f>
        <v>0</v>
      </c>
      <c r="P13224" s="33">
        <f t="shared" si="824"/>
        <v>0</v>
      </c>
      <c r="Q13224" s="31" t="str">
        <f t="shared" si="825"/>
        <v/>
      </c>
      <c r="R13224" s="32" t="str">
        <f>IFERROR(VLOOKUP($D13224,'Informations sur les produits'!$A$3:$B$15000,2,FALSE),"")</f>
        <v/>
      </c>
      <c r="V13224">
        <f t="shared" si="826"/>
        <v>0</v>
      </c>
      <c r="W13224">
        <f t="shared" si="827"/>
        <v>0</v>
      </c>
    </row>
    <row r="13225" spans="5:23" x14ac:dyDescent="0.25">
      <c r="E13225" s="4"/>
      <c r="F13225" s="4"/>
      <c r="G13225" s="33" t="str">
        <f>IFERROR(VLOOKUP($D13225,'Informations sur les produits'!$A$3:$H$10000,8,FALSE),"0")</f>
        <v>0</v>
      </c>
      <c r="K13225" s="4"/>
      <c r="L13225" s="33" t="str">
        <f>IFERROR(VLOOKUP($J13225,'Informations sur les produits'!$A$3:$H$10000,8,FALSE),"0")</f>
        <v>0</v>
      </c>
      <c r="N13225" s="8"/>
      <c r="O13225" s="33" t="str">
        <f>IFERROR(VLOOKUP($M13225,'Informations sur les produits'!$A$3:$H$10000,8,FALSE),"0")</f>
        <v>0</v>
      </c>
      <c r="P13225" s="33">
        <f t="shared" si="824"/>
        <v>0</v>
      </c>
      <c r="Q13225" s="31" t="str">
        <f t="shared" si="825"/>
        <v/>
      </c>
      <c r="R13225" s="32" t="str">
        <f>IFERROR(VLOOKUP($D13225,'Informations sur les produits'!$A$3:$B$15000,2,FALSE),"")</f>
        <v/>
      </c>
      <c r="V13225">
        <f t="shared" si="826"/>
        <v>0</v>
      </c>
      <c r="W13225">
        <f t="shared" si="827"/>
        <v>0</v>
      </c>
    </row>
    <row r="13226" spans="5:23" x14ac:dyDescent="0.25">
      <c r="E13226" s="4"/>
      <c r="F13226" s="4"/>
      <c r="G13226" s="33" t="str">
        <f>IFERROR(VLOOKUP($D13226,'Informations sur les produits'!$A$3:$H$10000,8,FALSE),"0")</f>
        <v>0</v>
      </c>
      <c r="K13226" s="4"/>
      <c r="L13226" s="33" t="str">
        <f>IFERROR(VLOOKUP($J13226,'Informations sur les produits'!$A$3:$H$10000,8,FALSE),"0")</f>
        <v>0</v>
      </c>
      <c r="N13226" s="8"/>
      <c r="O13226" s="33" t="str">
        <f>IFERROR(VLOOKUP($M13226,'Informations sur les produits'!$A$3:$H$10000,8,FALSE),"0")</f>
        <v>0</v>
      </c>
      <c r="P13226" s="33">
        <f t="shared" si="824"/>
        <v>0</v>
      </c>
      <c r="Q13226" s="31" t="str">
        <f t="shared" si="825"/>
        <v/>
      </c>
      <c r="R13226" s="32" t="str">
        <f>IFERROR(VLOOKUP($D13226,'Informations sur les produits'!$A$3:$B$15000,2,FALSE),"")</f>
        <v/>
      </c>
      <c r="V13226">
        <f t="shared" si="826"/>
        <v>0</v>
      </c>
      <c r="W13226">
        <f t="shared" si="827"/>
        <v>0</v>
      </c>
    </row>
    <row r="13227" spans="5:23" x14ac:dyDescent="0.25">
      <c r="E13227" s="4"/>
      <c r="F13227" s="4"/>
      <c r="G13227" s="33" t="str">
        <f>IFERROR(VLOOKUP($D13227,'Informations sur les produits'!$A$3:$H$10000,8,FALSE),"0")</f>
        <v>0</v>
      </c>
      <c r="K13227" s="4"/>
      <c r="L13227" s="33" t="str">
        <f>IFERROR(VLOOKUP($J13227,'Informations sur les produits'!$A$3:$H$10000,8,FALSE),"0")</f>
        <v>0</v>
      </c>
      <c r="N13227" s="8"/>
      <c r="O13227" s="33" t="str">
        <f>IFERROR(VLOOKUP($M13227,'Informations sur les produits'!$A$3:$H$10000,8,FALSE),"0")</f>
        <v>0</v>
      </c>
      <c r="P13227" s="33">
        <f t="shared" si="824"/>
        <v>0</v>
      </c>
      <c r="Q13227" s="31" t="str">
        <f t="shared" si="825"/>
        <v/>
      </c>
      <c r="R13227" s="32" t="str">
        <f>IFERROR(VLOOKUP($D13227,'Informations sur les produits'!$A$3:$B$15000,2,FALSE),"")</f>
        <v/>
      </c>
      <c r="V13227">
        <f t="shared" si="826"/>
        <v>0</v>
      </c>
      <c r="W13227">
        <f t="shared" si="827"/>
        <v>0</v>
      </c>
    </row>
    <row r="13228" spans="5:23" x14ac:dyDescent="0.25">
      <c r="E13228" s="4"/>
      <c r="F13228" s="4"/>
      <c r="G13228" s="33" t="str">
        <f>IFERROR(VLOOKUP($D13228,'Informations sur les produits'!$A$3:$H$10000,8,FALSE),"0")</f>
        <v>0</v>
      </c>
      <c r="K13228" s="4"/>
      <c r="L13228" s="33" t="str">
        <f>IFERROR(VLOOKUP($J13228,'Informations sur les produits'!$A$3:$H$10000,8,FALSE),"0")</f>
        <v>0</v>
      </c>
      <c r="N13228" s="8"/>
      <c r="O13228" s="33" t="str">
        <f>IFERROR(VLOOKUP($M13228,'Informations sur les produits'!$A$3:$H$10000,8,FALSE),"0")</f>
        <v>0</v>
      </c>
      <c r="P13228" s="33">
        <f t="shared" si="824"/>
        <v>0</v>
      </c>
      <c r="Q13228" s="31" t="str">
        <f t="shared" si="825"/>
        <v/>
      </c>
      <c r="R13228" s="32" t="str">
        <f>IFERROR(VLOOKUP($D13228,'Informations sur les produits'!$A$3:$B$15000,2,FALSE),"")</f>
        <v/>
      </c>
      <c r="V13228">
        <f t="shared" si="826"/>
        <v>0</v>
      </c>
      <c r="W13228">
        <f t="shared" si="827"/>
        <v>0</v>
      </c>
    </row>
    <row r="13229" spans="5:23" x14ac:dyDescent="0.25">
      <c r="E13229" s="4"/>
      <c r="F13229" s="4"/>
      <c r="G13229" s="33" t="str">
        <f>IFERROR(VLOOKUP($D13229,'Informations sur les produits'!$A$3:$H$10000,8,FALSE),"0")</f>
        <v>0</v>
      </c>
      <c r="K13229" s="4"/>
      <c r="L13229" s="33" t="str">
        <f>IFERROR(VLOOKUP($J13229,'Informations sur les produits'!$A$3:$H$10000,8,FALSE),"0")</f>
        <v>0</v>
      </c>
      <c r="N13229" s="8"/>
      <c r="O13229" s="33" t="str">
        <f>IFERROR(VLOOKUP($M13229,'Informations sur les produits'!$A$3:$H$10000,8,FALSE),"0")</f>
        <v>0</v>
      </c>
      <c r="P13229" s="33">
        <f t="shared" si="824"/>
        <v>0</v>
      </c>
      <c r="Q13229" s="31" t="str">
        <f t="shared" si="825"/>
        <v/>
      </c>
      <c r="R13229" s="32" t="str">
        <f>IFERROR(VLOOKUP($D13229,'Informations sur les produits'!$A$3:$B$15000,2,FALSE),"")</f>
        <v/>
      </c>
      <c r="V13229">
        <f t="shared" si="826"/>
        <v>0</v>
      </c>
      <c r="W13229">
        <f t="shared" si="827"/>
        <v>0</v>
      </c>
    </row>
    <row r="13230" spans="5:23" x14ac:dyDescent="0.25">
      <c r="E13230" s="4"/>
      <c r="F13230" s="4"/>
      <c r="G13230" s="33" t="str">
        <f>IFERROR(VLOOKUP($D13230,'Informations sur les produits'!$A$3:$H$10000,8,FALSE),"0")</f>
        <v>0</v>
      </c>
      <c r="K13230" s="4"/>
      <c r="L13230" s="33" t="str">
        <f>IFERROR(VLOOKUP($J13230,'Informations sur les produits'!$A$3:$H$10000,8,FALSE),"0")</f>
        <v>0</v>
      </c>
      <c r="N13230" s="8"/>
      <c r="O13230" s="33" t="str">
        <f>IFERROR(VLOOKUP($M13230,'Informations sur les produits'!$A$3:$H$10000,8,FALSE),"0")</f>
        <v>0</v>
      </c>
      <c r="P13230" s="33">
        <f t="shared" si="824"/>
        <v>0</v>
      </c>
      <c r="Q13230" s="31" t="str">
        <f t="shared" si="825"/>
        <v/>
      </c>
      <c r="R13230" s="32" t="str">
        <f>IFERROR(VLOOKUP($D13230,'Informations sur les produits'!$A$3:$B$15000,2,FALSE),"")</f>
        <v/>
      </c>
      <c r="V13230">
        <f t="shared" si="826"/>
        <v>0</v>
      </c>
      <c r="W13230">
        <f t="shared" si="827"/>
        <v>0</v>
      </c>
    </row>
    <row r="13231" spans="5:23" x14ac:dyDescent="0.25">
      <c r="E13231" s="4"/>
      <c r="F13231" s="4"/>
      <c r="G13231" s="33" t="str">
        <f>IFERROR(VLOOKUP($D13231,'Informations sur les produits'!$A$3:$H$10000,8,FALSE),"0")</f>
        <v>0</v>
      </c>
      <c r="K13231" s="4"/>
      <c r="L13231" s="33" t="str">
        <f>IFERROR(VLOOKUP($J13231,'Informations sur les produits'!$A$3:$H$10000,8,FALSE),"0")</f>
        <v>0</v>
      </c>
      <c r="N13231" s="8"/>
      <c r="O13231" s="33" t="str">
        <f>IFERROR(VLOOKUP($M13231,'Informations sur les produits'!$A$3:$H$10000,8,FALSE),"0")</f>
        <v>0</v>
      </c>
      <c r="P13231" s="33">
        <f t="shared" si="824"/>
        <v>0</v>
      </c>
      <c r="Q13231" s="31" t="str">
        <f t="shared" si="825"/>
        <v/>
      </c>
      <c r="R13231" s="32" t="str">
        <f>IFERROR(VLOOKUP($D13231,'Informations sur les produits'!$A$3:$B$15000,2,FALSE),"")</f>
        <v/>
      </c>
      <c r="V13231">
        <f t="shared" si="826"/>
        <v>0</v>
      </c>
      <c r="W13231">
        <f t="shared" si="827"/>
        <v>0</v>
      </c>
    </row>
    <row r="13232" spans="5:23" x14ac:dyDescent="0.25">
      <c r="E13232" s="4"/>
      <c r="F13232" s="4"/>
      <c r="G13232" s="33" t="str">
        <f>IFERROR(VLOOKUP($D13232,'Informations sur les produits'!$A$3:$H$10000,8,FALSE),"0")</f>
        <v>0</v>
      </c>
      <c r="K13232" s="4"/>
      <c r="L13232" s="33" t="str">
        <f>IFERROR(VLOOKUP($J13232,'Informations sur les produits'!$A$3:$H$10000,8,FALSE),"0")</f>
        <v>0</v>
      </c>
      <c r="N13232" s="8"/>
      <c r="O13232" s="33" t="str">
        <f>IFERROR(VLOOKUP($M13232,'Informations sur les produits'!$A$3:$H$10000,8,FALSE),"0")</f>
        <v>0</v>
      </c>
      <c r="P13232" s="33">
        <f t="shared" si="824"/>
        <v>0</v>
      </c>
      <c r="Q13232" s="31" t="str">
        <f t="shared" si="825"/>
        <v/>
      </c>
      <c r="R13232" s="32" t="str">
        <f>IFERROR(VLOOKUP($D13232,'Informations sur les produits'!$A$3:$B$15000,2,FALSE),"")</f>
        <v/>
      </c>
      <c r="V13232">
        <f t="shared" si="826"/>
        <v>0</v>
      </c>
      <c r="W13232">
        <f t="shared" si="827"/>
        <v>0</v>
      </c>
    </row>
    <row r="13233" spans="5:23" x14ac:dyDescent="0.25">
      <c r="E13233" s="4"/>
      <c r="F13233" s="4"/>
      <c r="G13233" s="33" t="str">
        <f>IFERROR(VLOOKUP($D13233,'Informations sur les produits'!$A$3:$H$10000,8,FALSE),"0")</f>
        <v>0</v>
      </c>
      <c r="K13233" s="4"/>
      <c r="L13233" s="33" t="str">
        <f>IFERROR(VLOOKUP($J13233,'Informations sur les produits'!$A$3:$H$10000,8,FALSE),"0")</f>
        <v>0</v>
      </c>
      <c r="N13233" s="8"/>
      <c r="O13233" s="33" t="str">
        <f>IFERROR(VLOOKUP($M13233,'Informations sur les produits'!$A$3:$H$10000,8,FALSE),"0")</f>
        <v>0</v>
      </c>
      <c r="P13233" s="33">
        <f t="shared" si="824"/>
        <v>0</v>
      </c>
      <c r="Q13233" s="31" t="str">
        <f t="shared" si="825"/>
        <v/>
      </c>
      <c r="R13233" s="32" t="str">
        <f>IFERROR(VLOOKUP($D13233,'Informations sur les produits'!$A$3:$B$15000,2,FALSE),"")</f>
        <v/>
      </c>
      <c r="V13233">
        <f t="shared" si="826"/>
        <v>0</v>
      </c>
      <c r="W13233">
        <f t="shared" si="827"/>
        <v>0</v>
      </c>
    </row>
    <row r="13234" spans="5:23" x14ac:dyDescent="0.25">
      <c r="E13234" s="4"/>
      <c r="F13234" s="4"/>
      <c r="G13234" s="33" t="str">
        <f>IFERROR(VLOOKUP($D13234,'Informations sur les produits'!$A$3:$H$10000,8,FALSE),"0")</f>
        <v>0</v>
      </c>
      <c r="K13234" s="4"/>
      <c r="L13234" s="33" t="str">
        <f>IFERROR(VLOOKUP($J13234,'Informations sur les produits'!$A$3:$H$10000,8,FALSE),"0")</f>
        <v>0</v>
      </c>
      <c r="N13234" s="8"/>
      <c r="O13234" s="33" t="str">
        <f>IFERROR(VLOOKUP($M13234,'Informations sur les produits'!$A$3:$H$10000,8,FALSE),"0")</f>
        <v>0</v>
      </c>
      <c r="P13234" s="33">
        <f t="shared" si="824"/>
        <v>0</v>
      </c>
      <c r="Q13234" s="31" t="str">
        <f t="shared" si="825"/>
        <v/>
      </c>
      <c r="R13234" s="32" t="str">
        <f>IFERROR(VLOOKUP($D13234,'Informations sur les produits'!$A$3:$B$15000,2,FALSE),"")</f>
        <v/>
      </c>
      <c r="V13234">
        <f t="shared" si="826"/>
        <v>0</v>
      </c>
      <c r="W13234">
        <f t="shared" si="827"/>
        <v>0</v>
      </c>
    </row>
    <row r="13235" spans="5:23" x14ac:dyDescent="0.25">
      <c r="E13235" s="4"/>
      <c r="F13235" s="4"/>
      <c r="G13235" s="33" t="str">
        <f>IFERROR(VLOOKUP($D13235,'Informations sur les produits'!$A$3:$H$10000,8,FALSE),"0")</f>
        <v>0</v>
      </c>
      <c r="K13235" s="4"/>
      <c r="L13235" s="33" t="str">
        <f>IFERROR(VLOOKUP($J13235,'Informations sur les produits'!$A$3:$H$10000,8,FALSE),"0")</f>
        <v>0</v>
      </c>
      <c r="N13235" s="8"/>
      <c r="O13235" s="33" t="str">
        <f>IFERROR(VLOOKUP($M13235,'Informations sur les produits'!$A$3:$H$10000,8,FALSE),"0")</f>
        <v>0</v>
      </c>
      <c r="P13235" s="33">
        <f t="shared" si="824"/>
        <v>0</v>
      </c>
      <c r="Q13235" s="31" t="str">
        <f t="shared" si="825"/>
        <v/>
      </c>
      <c r="R13235" s="32" t="str">
        <f>IFERROR(VLOOKUP($D13235,'Informations sur les produits'!$A$3:$B$15000,2,FALSE),"")</f>
        <v/>
      </c>
      <c r="V13235">
        <f t="shared" si="826"/>
        <v>0</v>
      </c>
      <c r="W13235">
        <f t="shared" si="827"/>
        <v>0</v>
      </c>
    </row>
    <row r="13236" spans="5:23" x14ac:dyDescent="0.25">
      <c r="E13236" s="4"/>
      <c r="F13236" s="4"/>
      <c r="G13236" s="33" t="str">
        <f>IFERROR(VLOOKUP($D13236,'Informations sur les produits'!$A$3:$H$10000,8,FALSE),"0")</f>
        <v>0</v>
      </c>
      <c r="K13236" s="4"/>
      <c r="L13236" s="33" t="str">
        <f>IFERROR(VLOOKUP($J13236,'Informations sur les produits'!$A$3:$H$10000,8,FALSE),"0")</f>
        <v>0</v>
      </c>
      <c r="N13236" s="8"/>
      <c r="O13236" s="33" t="str">
        <f>IFERROR(VLOOKUP($M13236,'Informations sur les produits'!$A$3:$H$10000,8,FALSE),"0")</f>
        <v>0</v>
      </c>
      <c r="P13236" s="33">
        <f t="shared" si="824"/>
        <v>0</v>
      </c>
      <c r="Q13236" s="31" t="str">
        <f t="shared" si="825"/>
        <v/>
      </c>
      <c r="R13236" s="32" t="str">
        <f>IFERROR(VLOOKUP($D13236,'Informations sur les produits'!$A$3:$B$15000,2,FALSE),"")</f>
        <v/>
      </c>
      <c r="V13236">
        <f t="shared" si="826"/>
        <v>0</v>
      </c>
      <c r="W13236">
        <f t="shared" si="827"/>
        <v>0</v>
      </c>
    </row>
    <row r="13237" spans="5:23" x14ac:dyDescent="0.25">
      <c r="E13237" s="4"/>
      <c r="F13237" s="4"/>
      <c r="G13237" s="33" t="str">
        <f>IFERROR(VLOOKUP($D13237,'Informations sur les produits'!$A$3:$H$10000,8,FALSE),"0")</f>
        <v>0</v>
      </c>
      <c r="K13237" s="4"/>
      <c r="L13237" s="33" t="str">
        <f>IFERROR(VLOOKUP($J13237,'Informations sur les produits'!$A$3:$H$10000,8,FALSE),"0")</f>
        <v>0</v>
      </c>
      <c r="N13237" s="8"/>
      <c r="O13237" s="33" t="str">
        <f>IFERROR(VLOOKUP($M13237,'Informations sur les produits'!$A$3:$H$10000,8,FALSE),"0")</f>
        <v>0</v>
      </c>
      <c r="P13237" s="33">
        <f t="shared" si="824"/>
        <v>0</v>
      </c>
      <c r="Q13237" s="31" t="str">
        <f t="shared" si="825"/>
        <v/>
      </c>
      <c r="R13237" s="32" t="str">
        <f>IFERROR(VLOOKUP($D13237,'Informations sur les produits'!$A$3:$B$15000,2,FALSE),"")</f>
        <v/>
      </c>
      <c r="V13237">
        <f t="shared" si="826"/>
        <v>0</v>
      </c>
      <c r="W13237">
        <f t="shared" si="827"/>
        <v>0</v>
      </c>
    </row>
    <row r="13238" spans="5:23" x14ac:dyDescent="0.25">
      <c r="E13238" s="4"/>
      <c r="F13238" s="4"/>
      <c r="G13238" s="33" t="str">
        <f>IFERROR(VLOOKUP($D13238,'Informations sur les produits'!$A$3:$H$10000,8,FALSE),"0")</f>
        <v>0</v>
      </c>
      <c r="K13238" s="4"/>
      <c r="L13238" s="33" t="str">
        <f>IFERROR(VLOOKUP($J13238,'Informations sur les produits'!$A$3:$H$10000,8,FALSE),"0")</f>
        <v>0</v>
      </c>
      <c r="N13238" s="8"/>
      <c r="O13238" s="33" t="str">
        <f>IFERROR(VLOOKUP($M13238,'Informations sur les produits'!$A$3:$H$10000,8,FALSE),"0")</f>
        <v>0</v>
      </c>
      <c r="P13238" s="33">
        <f t="shared" si="824"/>
        <v>0</v>
      </c>
      <c r="Q13238" s="31" t="str">
        <f t="shared" si="825"/>
        <v/>
      </c>
      <c r="R13238" s="32" t="str">
        <f>IFERROR(VLOOKUP($D13238,'Informations sur les produits'!$A$3:$B$15000,2,FALSE),"")</f>
        <v/>
      </c>
      <c r="V13238">
        <f t="shared" si="826"/>
        <v>0</v>
      </c>
      <c r="W13238">
        <f t="shared" si="827"/>
        <v>0</v>
      </c>
    </row>
    <row r="13239" spans="5:23" x14ac:dyDescent="0.25">
      <c r="E13239" s="4"/>
      <c r="F13239" s="4"/>
      <c r="G13239" s="33" t="str">
        <f>IFERROR(VLOOKUP($D13239,'Informations sur les produits'!$A$3:$H$10000,8,FALSE),"0")</f>
        <v>0</v>
      </c>
      <c r="K13239" s="4"/>
      <c r="L13239" s="33" t="str">
        <f>IFERROR(VLOOKUP($J13239,'Informations sur les produits'!$A$3:$H$10000,8,FALSE),"0")</f>
        <v>0</v>
      </c>
      <c r="N13239" s="8"/>
      <c r="O13239" s="33" t="str">
        <f>IFERROR(VLOOKUP($M13239,'Informations sur les produits'!$A$3:$H$10000,8,FALSE),"0")</f>
        <v>0</v>
      </c>
      <c r="P13239" s="33">
        <f t="shared" si="824"/>
        <v>0</v>
      </c>
      <c r="Q13239" s="31" t="str">
        <f t="shared" si="825"/>
        <v/>
      </c>
      <c r="R13239" s="32" t="str">
        <f>IFERROR(VLOOKUP($D13239,'Informations sur les produits'!$A$3:$B$15000,2,FALSE),"")</f>
        <v/>
      </c>
      <c r="V13239">
        <f t="shared" si="826"/>
        <v>0</v>
      </c>
      <c r="W13239">
        <f t="shared" si="827"/>
        <v>0</v>
      </c>
    </row>
    <row r="13240" spans="5:23" x14ac:dyDescent="0.25">
      <c r="E13240" s="4"/>
      <c r="F13240" s="4"/>
      <c r="G13240" s="33" t="str">
        <f>IFERROR(VLOOKUP($D13240,'Informations sur les produits'!$A$3:$H$10000,8,FALSE),"0")</f>
        <v>0</v>
      </c>
      <c r="K13240" s="4"/>
      <c r="L13240" s="33" t="str">
        <f>IFERROR(VLOOKUP($J13240,'Informations sur les produits'!$A$3:$H$10000,8,FALSE),"0")</f>
        <v>0</v>
      </c>
      <c r="N13240" s="8"/>
      <c r="O13240" s="33" t="str">
        <f>IFERROR(VLOOKUP($M13240,'Informations sur les produits'!$A$3:$H$10000,8,FALSE),"0")</f>
        <v>0</v>
      </c>
      <c r="P13240" s="33">
        <f t="shared" si="824"/>
        <v>0</v>
      </c>
      <c r="Q13240" s="31" t="str">
        <f t="shared" si="825"/>
        <v/>
      </c>
      <c r="R13240" s="32" t="str">
        <f>IFERROR(VLOOKUP($D13240,'Informations sur les produits'!$A$3:$B$15000,2,FALSE),"")</f>
        <v/>
      </c>
      <c r="V13240">
        <f t="shared" si="826"/>
        <v>0</v>
      </c>
      <c r="W13240">
        <f t="shared" si="827"/>
        <v>0</v>
      </c>
    </row>
    <row r="13241" spans="5:23" x14ac:dyDescent="0.25">
      <c r="E13241" s="4"/>
      <c r="F13241" s="4"/>
      <c r="G13241" s="33" t="str">
        <f>IFERROR(VLOOKUP($D13241,'Informations sur les produits'!$A$3:$H$10000,8,FALSE),"0")</f>
        <v>0</v>
      </c>
      <c r="K13241" s="4"/>
      <c r="L13241" s="33" t="str">
        <f>IFERROR(VLOOKUP($J13241,'Informations sur les produits'!$A$3:$H$10000,8,FALSE),"0")</f>
        <v>0</v>
      </c>
      <c r="N13241" s="8"/>
      <c r="O13241" s="33" t="str">
        <f>IFERROR(VLOOKUP($M13241,'Informations sur les produits'!$A$3:$H$10000,8,FALSE),"0")</f>
        <v>0</v>
      </c>
      <c r="P13241" s="33">
        <f t="shared" si="824"/>
        <v>0</v>
      </c>
      <c r="Q13241" s="31" t="str">
        <f t="shared" si="825"/>
        <v/>
      </c>
      <c r="R13241" s="32" t="str">
        <f>IFERROR(VLOOKUP($D13241,'Informations sur les produits'!$A$3:$B$15000,2,FALSE),"")</f>
        <v/>
      </c>
      <c r="V13241">
        <f t="shared" si="826"/>
        <v>0</v>
      </c>
      <c r="W13241">
        <f t="shared" si="827"/>
        <v>0</v>
      </c>
    </row>
    <row r="13242" spans="5:23" x14ac:dyDescent="0.25">
      <c r="E13242" s="4"/>
      <c r="F13242" s="4"/>
      <c r="G13242" s="33" t="str">
        <f>IFERROR(VLOOKUP($D13242,'Informations sur les produits'!$A$3:$H$10000,8,FALSE),"0")</f>
        <v>0</v>
      </c>
      <c r="K13242" s="4"/>
      <c r="L13242" s="33" t="str">
        <f>IFERROR(VLOOKUP($J13242,'Informations sur les produits'!$A$3:$H$10000,8,FALSE),"0")</f>
        <v>0</v>
      </c>
      <c r="N13242" s="8"/>
      <c r="O13242" s="33" t="str">
        <f>IFERROR(VLOOKUP($M13242,'Informations sur les produits'!$A$3:$H$10000,8,FALSE),"0")</f>
        <v>0</v>
      </c>
      <c r="P13242" s="33">
        <f t="shared" si="824"/>
        <v>0</v>
      </c>
      <c r="Q13242" s="31" t="str">
        <f t="shared" si="825"/>
        <v/>
      </c>
      <c r="R13242" s="32" t="str">
        <f>IFERROR(VLOOKUP($D13242,'Informations sur les produits'!$A$3:$B$15000,2,FALSE),"")</f>
        <v/>
      </c>
      <c r="V13242">
        <f t="shared" si="826"/>
        <v>0</v>
      </c>
      <c r="W13242">
        <f t="shared" si="827"/>
        <v>0</v>
      </c>
    </row>
    <row r="13243" spans="5:23" x14ac:dyDescent="0.25">
      <c r="E13243" s="4"/>
      <c r="F13243" s="4"/>
      <c r="G13243" s="33" t="str">
        <f>IFERROR(VLOOKUP($D13243,'Informations sur les produits'!$A$3:$H$10000,8,FALSE),"0")</f>
        <v>0</v>
      </c>
      <c r="K13243" s="4"/>
      <c r="L13243" s="33" t="str">
        <f>IFERROR(VLOOKUP($J13243,'Informations sur les produits'!$A$3:$H$10000,8,FALSE),"0")</f>
        <v>0</v>
      </c>
      <c r="N13243" s="8"/>
      <c r="O13243" s="33" t="str">
        <f>IFERROR(VLOOKUP($M13243,'Informations sur les produits'!$A$3:$H$10000,8,FALSE),"0")</f>
        <v>0</v>
      </c>
      <c r="P13243" s="33">
        <f t="shared" si="824"/>
        <v>0</v>
      </c>
      <c r="Q13243" s="31" t="str">
        <f t="shared" si="825"/>
        <v/>
      </c>
      <c r="R13243" s="32" t="str">
        <f>IFERROR(VLOOKUP($D13243,'Informations sur les produits'!$A$3:$B$15000,2,FALSE),"")</f>
        <v/>
      </c>
      <c r="V13243">
        <f t="shared" si="826"/>
        <v>0</v>
      </c>
      <c r="W13243">
        <f t="shared" si="827"/>
        <v>0</v>
      </c>
    </row>
    <row r="13244" spans="5:23" x14ac:dyDescent="0.25">
      <c r="E13244" s="4"/>
      <c r="F13244" s="4"/>
      <c r="G13244" s="33" t="str">
        <f>IFERROR(VLOOKUP($D13244,'Informations sur les produits'!$A$3:$H$10000,8,FALSE),"0")</f>
        <v>0</v>
      </c>
      <c r="K13244" s="4"/>
      <c r="L13244" s="33" t="str">
        <f>IFERROR(VLOOKUP($J13244,'Informations sur les produits'!$A$3:$H$10000,8,FALSE),"0")</f>
        <v>0</v>
      </c>
      <c r="N13244" s="8"/>
      <c r="O13244" s="33" t="str">
        <f>IFERROR(VLOOKUP($M13244,'Informations sur les produits'!$A$3:$H$10000,8,FALSE),"0")</f>
        <v>0</v>
      </c>
      <c r="P13244" s="33">
        <f t="shared" si="824"/>
        <v>0</v>
      </c>
      <c r="Q13244" s="31" t="str">
        <f t="shared" si="825"/>
        <v/>
      </c>
      <c r="R13244" s="32" t="str">
        <f>IFERROR(VLOOKUP($D13244,'Informations sur les produits'!$A$3:$B$15000,2,FALSE),"")</f>
        <v/>
      </c>
      <c r="V13244">
        <f t="shared" si="826"/>
        <v>0</v>
      </c>
      <c r="W13244">
        <f t="shared" si="827"/>
        <v>0</v>
      </c>
    </row>
    <row r="13245" spans="5:23" x14ac:dyDescent="0.25">
      <c r="E13245" s="4"/>
      <c r="F13245" s="4"/>
      <c r="G13245" s="33" t="str">
        <f>IFERROR(VLOOKUP($D13245,'Informations sur les produits'!$A$3:$H$10000,8,FALSE),"0")</f>
        <v>0</v>
      </c>
      <c r="K13245" s="4"/>
      <c r="L13245" s="33" t="str">
        <f>IFERROR(VLOOKUP($J13245,'Informations sur les produits'!$A$3:$H$10000,8,FALSE),"0")</f>
        <v>0</v>
      </c>
      <c r="N13245" s="8"/>
      <c r="O13245" s="33" t="str">
        <f>IFERROR(VLOOKUP($M13245,'Informations sur les produits'!$A$3:$H$10000,8,FALSE),"0")</f>
        <v>0</v>
      </c>
      <c r="P13245" s="33">
        <f t="shared" si="824"/>
        <v>0</v>
      </c>
      <c r="Q13245" s="31" t="str">
        <f t="shared" si="825"/>
        <v/>
      </c>
      <c r="R13245" s="32" t="str">
        <f>IFERROR(VLOOKUP($D13245,'Informations sur les produits'!$A$3:$B$15000,2,FALSE),"")</f>
        <v/>
      </c>
      <c r="V13245">
        <f t="shared" si="826"/>
        <v>0</v>
      </c>
      <c r="W13245">
        <f t="shared" si="827"/>
        <v>0</v>
      </c>
    </row>
    <row r="13246" spans="5:23" x14ac:dyDescent="0.25">
      <c r="E13246" s="4"/>
      <c r="F13246" s="4"/>
      <c r="G13246" s="33" t="str">
        <f>IFERROR(VLOOKUP($D13246,'Informations sur les produits'!$A$3:$H$10000,8,FALSE),"0")</f>
        <v>0</v>
      </c>
      <c r="K13246" s="4"/>
      <c r="L13246" s="33" t="str">
        <f>IFERROR(VLOOKUP($J13246,'Informations sur les produits'!$A$3:$H$10000,8,FALSE),"0")</f>
        <v>0</v>
      </c>
      <c r="N13246" s="8"/>
      <c r="O13246" s="33" t="str">
        <f>IFERROR(VLOOKUP($M13246,'Informations sur les produits'!$A$3:$H$10000,8,FALSE),"0")</f>
        <v>0</v>
      </c>
      <c r="P13246" s="33">
        <f t="shared" si="824"/>
        <v>0</v>
      </c>
      <c r="Q13246" s="31" t="str">
        <f t="shared" si="825"/>
        <v/>
      </c>
      <c r="R13246" s="32" t="str">
        <f>IFERROR(VLOOKUP($D13246,'Informations sur les produits'!$A$3:$B$15000,2,FALSE),"")</f>
        <v/>
      </c>
      <c r="V13246">
        <f t="shared" si="826"/>
        <v>0</v>
      </c>
      <c r="W13246">
        <f t="shared" si="827"/>
        <v>0</v>
      </c>
    </row>
    <row r="13247" spans="5:23" x14ac:dyDescent="0.25">
      <c r="E13247" s="4"/>
      <c r="F13247" s="4"/>
      <c r="G13247" s="33" t="str">
        <f>IFERROR(VLOOKUP($D13247,'Informations sur les produits'!$A$3:$H$10000,8,FALSE),"0")</f>
        <v>0</v>
      </c>
      <c r="K13247" s="4"/>
      <c r="L13247" s="33" t="str">
        <f>IFERROR(VLOOKUP($J13247,'Informations sur les produits'!$A$3:$H$10000,8,FALSE),"0")</f>
        <v>0</v>
      </c>
      <c r="N13247" s="8"/>
      <c r="O13247" s="33" t="str">
        <f>IFERROR(VLOOKUP($M13247,'Informations sur les produits'!$A$3:$H$10000,8,FALSE),"0")</f>
        <v>0</v>
      </c>
      <c r="P13247" s="33">
        <f t="shared" si="824"/>
        <v>0</v>
      </c>
      <c r="Q13247" s="31" t="str">
        <f t="shared" si="825"/>
        <v/>
      </c>
      <c r="R13247" s="32" t="str">
        <f>IFERROR(VLOOKUP($D13247,'Informations sur les produits'!$A$3:$B$15000,2,FALSE),"")</f>
        <v/>
      </c>
      <c r="V13247">
        <f t="shared" si="826"/>
        <v>0</v>
      </c>
      <c r="W13247">
        <f t="shared" si="827"/>
        <v>0</v>
      </c>
    </row>
    <row r="13248" spans="5:23" x14ac:dyDescent="0.25">
      <c r="E13248" s="4"/>
      <c r="F13248" s="4"/>
      <c r="G13248" s="33" t="str">
        <f>IFERROR(VLOOKUP($D13248,'Informations sur les produits'!$A$3:$H$10000,8,FALSE),"0")</f>
        <v>0</v>
      </c>
      <c r="K13248" s="4"/>
      <c r="L13248" s="33" t="str">
        <f>IFERROR(VLOOKUP($J13248,'Informations sur les produits'!$A$3:$H$10000,8,FALSE),"0")</f>
        <v>0</v>
      </c>
      <c r="N13248" s="8"/>
      <c r="O13248" s="33" t="str">
        <f>IFERROR(VLOOKUP($M13248,'Informations sur les produits'!$A$3:$H$10000,8,FALSE),"0")</f>
        <v>0</v>
      </c>
      <c r="P13248" s="33">
        <f t="shared" si="824"/>
        <v>0</v>
      </c>
      <c r="Q13248" s="31" t="str">
        <f t="shared" si="825"/>
        <v/>
      </c>
      <c r="R13248" s="32" t="str">
        <f>IFERROR(VLOOKUP($D13248,'Informations sur les produits'!$A$3:$B$15000,2,FALSE),"")</f>
        <v/>
      </c>
      <c r="V13248">
        <f t="shared" si="826"/>
        <v>0</v>
      </c>
      <c r="W13248">
        <f t="shared" si="827"/>
        <v>0</v>
      </c>
    </row>
    <row r="13249" spans="5:23" x14ac:dyDescent="0.25">
      <c r="E13249" s="4"/>
      <c r="F13249" s="4"/>
      <c r="G13249" s="33" t="str">
        <f>IFERROR(VLOOKUP($D13249,'Informations sur les produits'!$A$3:$H$10000,8,FALSE),"0")</f>
        <v>0</v>
      </c>
      <c r="K13249" s="4"/>
      <c r="L13249" s="33" t="str">
        <f>IFERROR(VLOOKUP($J13249,'Informations sur les produits'!$A$3:$H$10000,8,FALSE),"0")</f>
        <v>0</v>
      </c>
      <c r="N13249" s="8"/>
      <c r="O13249" s="33" t="str">
        <f>IFERROR(VLOOKUP($M13249,'Informations sur les produits'!$A$3:$H$10000,8,FALSE),"0")</f>
        <v>0</v>
      </c>
      <c r="P13249" s="33">
        <f t="shared" si="824"/>
        <v>0</v>
      </c>
      <c r="Q13249" s="31" t="str">
        <f t="shared" si="825"/>
        <v/>
      </c>
      <c r="R13249" s="32" t="str">
        <f>IFERROR(VLOOKUP($D13249,'Informations sur les produits'!$A$3:$B$15000,2,FALSE),"")</f>
        <v/>
      </c>
      <c r="V13249">
        <f t="shared" si="826"/>
        <v>0</v>
      </c>
      <c r="W13249">
        <f t="shared" si="827"/>
        <v>0</v>
      </c>
    </row>
    <row r="13250" spans="5:23" x14ac:dyDescent="0.25">
      <c r="E13250" s="4"/>
      <c r="F13250" s="4"/>
      <c r="G13250" s="33" t="str">
        <f>IFERROR(VLOOKUP($D13250,'Informations sur les produits'!$A$3:$H$10000,8,FALSE),"0")</f>
        <v>0</v>
      </c>
      <c r="K13250" s="4"/>
      <c r="L13250" s="33" t="str">
        <f>IFERROR(VLOOKUP($J13250,'Informations sur les produits'!$A$3:$H$10000,8,FALSE),"0")</f>
        <v>0</v>
      </c>
      <c r="N13250" s="8"/>
      <c r="O13250" s="33" t="str">
        <f>IFERROR(VLOOKUP($M13250,'Informations sur les produits'!$A$3:$H$10000,8,FALSE),"0")</f>
        <v>0</v>
      </c>
      <c r="P13250" s="33">
        <f t="shared" si="824"/>
        <v>0</v>
      </c>
      <c r="Q13250" s="31" t="str">
        <f t="shared" si="825"/>
        <v/>
      </c>
      <c r="R13250" s="32" t="str">
        <f>IFERROR(VLOOKUP($D13250,'Informations sur les produits'!$A$3:$B$15000,2,FALSE),"")</f>
        <v/>
      </c>
      <c r="V13250">
        <f t="shared" si="826"/>
        <v>0</v>
      </c>
      <c r="W13250">
        <f t="shared" si="827"/>
        <v>0</v>
      </c>
    </row>
    <row r="13251" spans="5:23" x14ac:dyDescent="0.25">
      <c r="E13251" s="4"/>
      <c r="F13251" s="4"/>
      <c r="G13251" s="33" t="str">
        <f>IFERROR(VLOOKUP($D13251,'Informations sur les produits'!$A$3:$H$10000,8,FALSE),"0")</f>
        <v>0</v>
      </c>
      <c r="K13251" s="4"/>
      <c r="L13251" s="33" t="str">
        <f>IFERROR(VLOOKUP($J13251,'Informations sur les produits'!$A$3:$H$10000,8,FALSE),"0")</f>
        <v>0</v>
      </c>
      <c r="N13251" s="8"/>
      <c r="O13251" s="33" t="str">
        <f>IFERROR(VLOOKUP($M13251,'Informations sur les produits'!$A$3:$H$10000,8,FALSE),"0")</f>
        <v>0</v>
      </c>
      <c r="P13251" s="33">
        <f t="shared" si="824"/>
        <v>0</v>
      </c>
      <c r="Q13251" s="31" t="str">
        <f t="shared" si="825"/>
        <v/>
      </c>
      <c r="R13251" s="32" t="str">
        <f>IFERROR(VLOOKUP($D13251,'Informations sur les produits'!$A$3:$B$15000,2,FALSE),"")</f>
        <v/>
      </c>
      <c r="V13251">
        <f t="shared" si="826"/>
        <v>0</v>
      </c>
      <c r="W13251">
        <f t="shared" si="827"/>
        <v>0</v>
      </c>
    </row>
    <row r="13252" spans="5:23" x14ac:dyDescent="0.25">
      <c r="E13252" s="4"/>
      <c r="F13252" s="4"/>
      <c r="G13252" s="33" t="str">
        <f>IFERROR(VLOOKUP($D13252,'Informations sur les produits'!$A$3:$H$10000,8,FALSE),"0")</f>
        <v>0</v>
      </c>
      <c r="K13252" s="4"/>
      <c r="L13252" s="33" t="str">
        <f>IFERROR(VLOOKUP($J13252,'Informations sur les produits'!$A$3:$H$10000,8,FALSE),"0")</f>
        <v>0</v>
      </c>
      <c r="N13252" s="8"/>
      <c r="O13252" s="33" t="str">
        <f>IFERROR(VLOOKUP($M13252,'Informations sur les produits'!$A$3:$H$10000,8,FALSE),"0")</f>
        <v>0</v>
      </c>
      <c r="P13252" s="33">
        <f t="shared" ref="P13252:P13315" si="828">IFERROR((($E13252-$F13252)*$G13252+$K13252*$L13252+$N13252*$O13252),"")</f>
        <v>0</v>
      </c>
      <c r="Q13252" s="31" t="str">
        <f t="shared" ref="Q13252:Q13315" si="829">IFERROR((((($E13252-$F13252)*$G13252+$K13252*$L13252+$N13252*$O13252)*1000)/(($E13252-$F13252)+$K13252+$N13252)),"")</f>
        <v/>
      </c>
      <c r="R13252" s="32" t="str">
        <f>IFERROR(VLOOKUP($D13252,'Informations sur les produits'!$A$3:$B$15000,2,FALSE),"")</f>
        <v/>
      </c>
      <c r="V13252">
        <f t="shared" ref="V13252:V13315" si="830">IFERROR(P13252*1000,"")</f>
        <v>0</v>
      </c>
      <c r="W13252">
        <f t="shared" ref="W13252:W13315" si="831">IFERROR(($E13252-$F13252)+$K13252+$N13252,"")</f>
        <v>0</v>
      </c>
    </row>
    <row r="13253" spans="5:23" x14ac:dyDescent="0.25">
      <c r="E13253" s="4"/>
      <c r="F13253" s="4"/>
      <c r="G13253" s="33" t="str">
        <f>IFERROR(VLOOKUP($D13253,'Informations sur les produits'!$A$3:$H$10000,8,FALSE),"0")</f>
        <v>0</v>
      </c>
      <c r="K13253" s="4"/>
      <c r="L13253" s="33" t="str">
        <f>IFERROR(VLOOKUP($J13253,'Informations sur les produits'!$A$3:$H$10000,8,FALSE),"0")</f>
        <v>0</v>
      </c>
      <c r="N13253" s="8"/>
      <c r="O13253" s="33" t="str">
        <f>IFERROR(VLOOKUP($M13253,'Informations sur les produits'!$A$3:$H$10000,8,FALSE),"0")</f>
        <v>0</v>
      </c>
      <c r="P13253" s="33">
        <f t="shared" si="828"/>
        <v>0</v>
      </c>
      <c r="Q13253" s="31" t="str">
        <f t="shared" si="829"/>
        <v/>
      </c>
      <c r="R13253" s="32" t="str">
        <f>IFERROR(VLOOKUP($D13253,'Informations sur les produits'!$A$3:$B$15000,2,FALSE),"")</f>
        <v/>
      </c>
      <c r="V13253">
        <f t="shared" si="830"/>
        <v>0</v>
      </c>
      <c r="W13253">
        <f t="shared" si="831"/>
        <v>0</v>
      </c>
    </row>
    <row r="13254" spans="5:23" x14ac:dyDescent="0.25">
      <c r="E13254" s="4"/>
      <c r="F13254" s="4"/>
      <c r="G13254" s="33" t="str">
        <f>IFERROR(VLOOKUP($D13254,'Informations sur les produits'!$A$3:$H$10000,8,FALSE),"0")</f>
        <v>0</v>
      </c>
      <c r="K13254" s="4"/>
      <c r="L13254" s="33" t="str">
        <f>IFERROR(VLOOKUP($J13254,'Informations sur les produits'!$A$3:$H$10000,8,FALSE),"0")</f>
        <v>0</v>
      </c>
      <c r="N13254" s="8"/>
      <c r="O13254" s="33" t="str">
        <f>IFERROR(VLOOKUP($M13254,'Informations sur les produits'!$A$3:$H$10000,8,FALSE),"0")</f>
        <v>0</v>
      </c>
      <c r="P13254" s="33">
        <f t="shared" si="828"/>
        <v>0</v>
      </c>
      <c r="Q13254" s="31" t="str">
        <f t="shared" si="829"/>
        <v/>
      </c>
      <c r="R13254" s="32" t="str">
        <f>IFERROR(VLOOKUP($D13254,'Informations sur les produits'!$A$3:$B$15000,2,FALSE),"")</f>
        <v/>
      </c>
      <c r="V13254">
        <f t="shared" si="830"/>
        <v>0</v>
      </c>
      <c r="W13254">
        <f t="shared" si="831"/>
        <v>0</v>
      </c>
    </row>
    <row r="13255" spans="5:23" x14ac:dyDescent="0.25">
      <c r="E13255" s="4"/>
      <c r="F13255" s="4"/>
      <c r="G13255" s="33" t="str">
        <f>IFERROR(VLOOKUP($D13255,'Informations sur les produits'!$A$3:$H$10000,8,FALSE),"0")</f>
        <v>0</v>
      </c>
      <c r="K13255" s="4"/>
      <c r="L13255" s="33" t="str">
        <f>IFERROR(VLOOKUP($J13255,'Informations sur les produits'!$A$3:$H$10000,8,FALSE),"0")</f>
        <v>0</v>
      </c>
      <c r="N13255" s="8"/>
      <c r="O13255" s="33" t="str">
        <f>IFERROR(VLOOKUP($M13255,'Informations sur les produits'!$A$3:$H$10000,8,FALSE),"0")</f>
        <v>0</v>
      </c>
      <c r="P13255" s="33">
        <f t="shared" si="828"/>
        <v>0</v>
      </c>
      <c r="Q13255" s="31" t="str">
        <f t="shared" si="829"/>
        <v/>
      </c>
      <c r="R13255" s="32" t="str">
        <f>IFERROR(VLOOKUP($D13255,'Informations sur les produits'!$A$3:$B$15000,2,FALSE),"")</f>
        <v/>
      </c>
      <c r="V13255">
        <f t="shared" si="830"/>
        <v>0</v>
      </c>
      <c r="W13255">
        <f t="shared" si="831"/>
        <v>0</v>
      </c>
    </row>
    <row r="13256" spans="5:23" x14ac:dyDescent="0.25">
      <c r="E13256" s="4"/>
      <c r="F13256" s="4"/>
      <c r="G13256" s="33" t="str">
        <f>IFERROR(VLOOKUP($D13256,'Informations sur les produits'!$A$3:$H$10000,8,FALSE),"0")</f>
        <v>0</v>
      </c>
      <c r="K13256" s="4"/>
      <c r="L13256" s="33" t="str">
        <f>IFERROR(VLOOKUP($J13256,'Informations sur les produits'!$A$3:$H$10000,8,FALSE),"0")</f>
        <v>0</v>
      </c>
      <c r="N13256" s="8"/>
      <c r="O13256" s="33" t="str">
        <f>IFERROR(VLOOKUP($M13256,'Informations sur les produits'!$A$3:$H$10000,8,FALSE),"0")</f>
        <v>0</v>
      </c>
      <c r="P13256" s="33">
        <f t="shared" si="828"/>
        <v>0</v>
      </c>
      <c r="Q13256" s="31" t="str">
        <f t="shared" si="829"/>
        <v/>
      </c>
      <c r="R13256" s="32" t="str">
        <f>IFERROR(VLOOKUP($D13256,'Informations sur les produits'!$A$3:$B$15000,2,FALSE),"")</f>
        <v/>
      </c>
      <c r="V13256">
        <f t="shared" si="830"/>
        <v>0</v>
      </c>
      <c r="W13256">
        <f t="shared" si="831"/>
        <v>0</v>
      </c>
    </row>
    <row r="13257" spans="5:23" x14ac:dyDescent="0.25">
      <c r="E13257" s="4"/>
      <c r="F13257" s="4"/>
      <c r="G13257" s="33" t="str">
        <f>IFERROR(VLOOKUP($D13257,'Informations sur les produits'!$A$3:$H$10000,8,FALSE),"0")</f>
        <v>0</v>
      </c>
      <c r="K13257" s="4"/>
      <c r="L13257" s="33" t="str">
        <f>IFERROR(VLOOKUP($J13257,'Informations sur les produits'!$A$3:$H$10000,8,FALSE),"0")</f>
        <v>0</v>
      </c>
      <c r="N13257" s="8"/>
      <c r="O13257" s="33" t="str">
        <f>IFERROR(VLOOKUP($M13257,'Informations sur les produits'!$A$3:$H$10000,8,FALSE),"0")</f>
        <v>0</v>
      </c>
      <c r="P13257" s="33">
        <f t="shared" si="828"/>
        <v>0</v>
      </c>
      <c r="Q13257" s="31" t="str">
        <f t="shared" si="829"/>
        <v/>
      </c>
      <c r="R13257" s="32" t="str">
        <f>IFERROR(VLOOKUP($D13257,'Informations sur les produits'!$A$3:$B$15000,2,FALSE),"")</f>
        <v/>
      </c>
      <c r="V13257">
        <f t="shared" si="830"/>
        <v>0</v>
      </c>
      <c r="W13257">
        <f t="shared" si="831"/>
        <v>0</v>
      </c>
    </row>
    <row r="13258" spans="5:23" x14ac:dyDescent="0.25">
      <c r="E13258" s="4"/>
      <c r="F13258" s="4"/>
      <c r="G13258" s="33" t="str">
        <f>IFERROR(VLOOKUP($D13258,'Informations sur les produits'!$A$3:$H$10000,8,FALSE),"0")</f>
        <v>0</v>
      </c>
      <c r="K13258" s="4"/>
      <c r="L13258" s="33" t="str">
        <f>IFERROR(VLOOKUP($J13258,'Informations sur les produits'!$A$3:$H$10000,8,FALSE),"0")</f>
        <v>0</v>
      </c>
      <c r="N13258" s="8"/>
      <c r="O13258" s="33" t="str">
        <f>IFERROR(VLOOKUP($M13258,'Informations sur les produits'!$A$3:$H$10000,8,FALSE),"0")</f>
        <v>0</v>
      </c>
      <c r="P13258" s="33">
        <f t="shared" si="828"/>
        <v>0</v>
      </c>
      <c r="Q13258" s="31" t="str">
        <f t="shared" si="829"/>
        <v/>
      </c>
      <c r="R13258" s="32" t="str">
        <f>IFERROR(VLOOKUP($D13258,'Informations sur les produits'!$A$3:$B$15000,2,FALSE),"")</f>
        <v/>
      </c>
      <c r="V13258">
        <f t="shared" si="830"/>
        <v>0</v>
      </c>
      <c r="W13258">
        <f t="shared" si="831"/>
        <v>0</v>
      </c>
    </row>
    <row r="13259" spans="5:23" x14ac:dyDescent="0.25">
      <c r="E13259" s="4"/>
      <c r="F13259" s="4"/>
      <c r="G13259" s="33" t="str">
        <f>IFERROR(VLOOKUP($D13259,'Informations sur les produits'!$A$3:$H$10000,8,FALSE),"0")</f>
        <v>0</v>
      </c>
      <c r="K13259" s="4"/>
      <c r="L13259" s="33" t="str">
        <f>IFERROR(VLOOKUP($J13259,'Informations sur les produits'!$A$3:$H$10000,8,FALSE),"0")</f>
        <v>0</v>
      </c>
      <c r="N13259" s="8"/>
      <c r="O13259" s="33" t="str">
        <f>IFERROR(VLOOKUP($M13259,'Informations sur les produits'!$A$3:$H$10000,8,FALSE),"0")</f>
        <v>0</v>
      </c>
      <c r="P13259" s="33">
        <f t="shared" si="828"/>
        <v>0</v>
      </c>
      <c r="Q13259" s="31" t="str">
        <f t="shared" si="829"/>
        <v/>
      </c>
      <c r="R13259" s="32" t="str">
        <f>IFERROR(VLOOKUP($D13259,'Informations sur les produits'!$A$3:$B$15000,2,FALSE),"")</f>
        <v/>
      </c>
      <c r="V13259">
        <f t="shared" si="830"/>
        <v>0</v>
      </c>
      <c r="W13259">
        <f t="shared" si="831"/>
        <v>0</v>
      </c>
    </row>
    <row r="13260" spans="5:23" x14ac:dyDescent="0.25">
      <c r="E13260" s="4"/>
      <c r="F13260" s="4"/>
      <c r="G13260" s="33" t="str">
        <f>IFERROR(VLOOKUP($D13260,'Informations sur les produits'!$A$3:$H$10000,8,FALSE),"0")</f>
        <v>0</v>
      </c>
      <c r="K13260" s="4"/>
      <c r="L13260" s="33" t="str">
        <f>IFERROR(VLOOKUP($J13260,'Informations sur les produits'!$A$3:$H$10000,8,FALSE),"0")</f>
        <v>0</v>
      </c>
      <c r="N13260" s="8"/>
      <c r="O13260" s="33" t="str">
        <f>IFERROR(VLOOKUP($M13260,'Informations sur les produits'!$A$3:$H$10000,8,FALSE),"0")</f>
        <v>0</v>
      </c>
      <c r="P13260" s="33">
        <f t="shared" si="828"/>
        <v>0</v>
      </c>
      <c r="Q13260" s="31" t="str">
        <f t="shared" si="829"/>
        <v/>
      </c>
      <c r="R13260" s="32" t="str">
        <f>IFERROR(VLOOKUP($D13260,'Informations sur les produits'!$A$3:$B$15000,2,FALSE),"")</f>
        <v/>
      </c>
      <c r="V13260">
        <f t="shared" si="830"/>
        <v>0</v>
      </c>
      <c r="W13260">
        <f t="shared" si="831"/>
        <v>0</v>
      </c>
    </row>
    <row r="13261" spans="5:23" x14ac:dyDescent="0.25">
      <c r="E13261" s="4"/>
      <c r="F13261" s="4"/>
      <c r="G13261" s="33" t="str">
        <f>IFERROR(VLOOKUP($D13261,'Informations sur les produits'!$A$3:$H$10000,8,FALSE),"0")</f>
        <v>0</v>
      </c>
      <c r="K13261" s="4"/>
      <c r="L13261" s="33" t="str">
        <f>IFERROR(VLOOKUP($J13261,'Informations sur les produits'!$A$3:$H$10000,8,FALSE),"0")</f>
        <v>0</v>
      </c>
      <c r="N13261" s="8"/>
      <c r="O13261" s="33" t="str">
        <f>IFERROR(VLOOKUP($M13261,'Informations sur les produits'!$A$3:$H$10000,8,FALSE),"0")</f>
        <v>0</v>
      </c>
      <c r="P13261" s="33">
        <f t="shared" si="828"/>
        <v>0</v>
      </c>
      <c r="Q13261" s="31" t="str">
        <f t="shared" si="829"/>
        <v/>
      </c>
      <c r="R13261" s="32" t="str">
        <f>IFERROR(VLOOKUP($D13261,'Informations sur les produits'!$A$3:$B$15000,2,FALSE),"")</f>
        <v/>
      </c>
      <c r="V13261">
        <f t="shared" si="830"/>
        <v>0</v>
      </c>
      <c r="W13261">
        <f t="shared" si="831"/>
        <v>0</v>
      </c>
    </row>
    <row r="13262" spans="5:23" x14ac:dyDescent="0.25">
      <c r="E13262" s="4"/>
      <c r="F13262" s="4"/>
      <c r="G13262" s="33" t="str">
        <f>IFERROR(VLOOKUP($D13262,'Informations sur les produits'!$A$3:$H$10000,8,FALSE),"0")</f>
        <v>0</v>
      </c>
      <c r="K13262" s="4"/>
      <c r="L13262" s="33" t="str">
        <f>IFERROR(VLOOKUP($J13262,'Informations sur les produits'!$A$3:$H$10000,8,FALSE),"0")</f>
        <v>0</v>
      </c>
      <c r="N13262" s="8"/>
      <c r="O13262" s="33" t="str">
        <f>IFERROR(VLOOKUP($M13262,'Informations sur les produits'!$A$3:$H$10000,8,FALSE),"0")</f>
        <v>0</v>
      </c>
      <c r="P13262" s="33">
        <f t="shared" si="828"/>
        <v>0</v>
      </c>
      <c r="Q13262" s="31" t="str">
        <f t="shared" si="829"/>
        <v/>
      </c>
      <c r="R13262" s="32" t="str">
        <f>IFERROR(VLOOKUP($D13262,'Informations sur les produits'!$A$3:$B$15000,2,FALSE),"")</f>
        <v/>
      </c>
      <c r="V13262">
        <f t="shared" si="830"/>
        <v>0</v>
      </c>
      <c r="W13262">
        <f t="shared" si="831"/>
        <v>0</v>
      </c>
    </row>
    <row r="13263" spans="5:23" x14ac:dyDescent="0.25">
      <c r="E13263" s="4"/>
      <c r="F13263" s="4"/>
      <c r="G13263" s="33" t="str">
        <f>IFERROR(VLOOKUP($D13263,'Informations sur les produits'!$A$3:$H$10000,8,FALSE),"0")</f>
        <v>0</v>
      </c>
      <c r="K13263" s="4"/>
      <c r="L13263" s="33" t="str">
        <f>IFERROR(VLOOKUP($J13263,'Informations sur les produits'!$A$3:$H$10000,8,FALSE),"0")</f>
        <v>0</v>
      </c>
      <c r="N13263" s="8"/>
      <c r="O13263" s="33" t="str">
        <f>IFERROR(VLOOKUP($M13263,'Informations sur les produits'!$A$3:$H$10000,8,FALSE),"0")</f>
        <v>0</v>
      </c>
      <c r="P13263" s="33">
        <f t="shared" si="828"/>
        <v>0</v>
      </c>
      <c r="Q13263" s="31" t="str">
        <f t="shared" si="829"/>
        <v/>
      </c>
      <c r="R13263" s="32" t="str">
        <f>IFERROR(VLOOKUP($D13263,'Informations sur les produits'!$A$3:$B$15000,2,FALSE),"")</f>
        <v/>
      </c>
      <c r="V13263">
        <f t="shared" si="830"/>
        <v>0</v>
      </c>
      <c r="W13263">
        <f t="shared" si="831"/>
        <v>0</v>
      </c>
    </row>
    <row r="13264" spans="5:23" x14ac:dyDescent="0.25">
      <c r="E13264" s="4"/>
      <c r="F13264" s="4"/>
      <c r="G13264" s="33" t="str">
        <f>IFERROR(VLOOKUP($D13264,'Informations sur les produits'!$A$3:$H$10000,8,FALSE),"0")</f>
        <v>0</v>
      </c>
      <c r="K13264" s="4"/>
      <c r="L13264" s="33" t="str">
        <f>IFERROR(VLOOKUP($J13264,'Informations sur les produits'!$A$3:$H$10000,8,FALSE),"0")</f>
        <v>0</v>
      </c>
      <c r="N13264" s="8"/>
      <c r="O13264" s="33" t="str">
        <f>IFERROR(VLOOKUP($M13264,'Informations sur les produits'!$A$3:$H$10000,8,FALSE),"0")</f>
        <v>0</v>
      </c>
      <c r="P13264" s="33">
        <f t="shared" si="828"/>
        <v>0</v>
      </c>
      <c r="Q13264" s="31" t="str">
        <f t="shared" si="829"/>
        <v/>
      </c>
      <c r="R13264" s="32" t="str">
        <f>IFERROR(VLOOKUP($D13264,'Informations sur les produits'!$A$3:$B$15000,2,FALSE),"")</f>
        <v/>
      </c>
      <c r="V13264">
        <f t="shared" si="830"/>
        <v>0</v>
      </c>
      <c r="W13264">
        <f t="shared" si="831"/>
        <v>0</v>
      </c>
    </row>
    <row r="13265" spans="5:23" x14ac:dyDescent="0.25">
      <c r="E13265" s="4"/>
      <c r="F13265" s="4"/>
      <c r="G13265" s="33" t="str">
        <f>IFERROR(VLOOKUP($D13265,'Informations sur les produits'!$A$3:$H$10000,8,FALSE),"0")</f>
        <v>0</v>
      </c>
      <c r="K13265" s="4"/>
      <c r="L13265" s="33" t="str">
        <f>IFERROR(VLOOKUP($J13265,'Informations sur les produits'!$A$3:$H$10000,8,FALSE),"0")</f>
        <v>0</v>
      </c>
      <c r="N13265" s="8"/>
      <c r="O13265" s="33" t="str">
        <f>IFERROR(VLOOKUP($M13265,'Informations sur les produits'!$A$3:$H$10000,8,FALSE),"0")</f>
        <v>0</v>
      </c>
      <c r="P13265" s="33">
        <f t="shared" si="828"/>
        <v>0</v>
      </c>
      <c r="Q13265" s="31" t="str">
        <f t="shared" si="829"/>
        <v/>
      </c>
      <c r="R13265" s="32" t="str">
        <f>IFERROR(VLOOKUP($D13265,'Informations sur les produits'!$A$3:$B$15000,2,FALSE),"")</f>
        <v/>
      </c>
      <c r="V13265">
        <f t="shared" si="830"/>
        <v>0</v>
      </c>
      <c r="W13265">
        <f t="shared" si="831"/>
        <v>0</v>
      </c>
    </row>
    <row r="13266" spans="5:23" x14ac:dyDescent="0.25">
      <c r="E13266" s="4"/>
      <c r="F13266" s="4"/>
      <c r="G13266" s="33" t="str">
        <f>IFERROR(VLOOKUP($D13266,'Informations sur les produits'!$A$3:$H$10000,8,FALSE),"0")</f>
        <v>0</v>
      </c>
      <c r="K13266" s="4"/>
      <c r="L13266" s="33" t="str">
        <f>IFERROR(VLOOKUP($J13266,'Informations sur les produits'!$A$3:$H$10000,8,FALSE),"0")</f>
        <v>0</v>
      </c>
      <c r="N13266" s="8"/>
      <c r="O13266" s="33" t="str">
        <f>IFERROR(VLOOKUP($M13266,'Informations sur les produits'!$A$3:$H$10000,8,FALSE),"0")</f>
        <v>0</v>
      </c>
      <c r="P13266" s="33">
        <f t="shared" si="828"/>
        <v>0</v>
      </c>
      <c r="Q13266" s="31" t="str">
        <f t="shared" si="829"/>
        <v/>
      </c>
      <c r="R13266" s="32" t="str">
        <f>IFERROR(VLOOKUP($D13266,'Informations sur les produits'!$A$3:$B$15000,2,FALSE),"")</f>
        <v/>
      </c>
      <c r="V13266">
        <f t="shared" si="830"/>
        <v>0</v>
      </c>
      <c r="W13266">
        <f t="shared" si="831"/>
        <v>0</v>
      </c>
    </row>
    <row r="13267" spans="5:23" x14ac:dyDescent="0.25">
      <c r="E13267" s="4"/>
      <c r="F13267" s="4"/>
      <c r="G13267" s="33" t="str">
        <f>IFERROR(VLOOKUP($D13267,'Informations sur les produits'!$A$3:$H$10000,8,FALSE),"0")</f>
        <v>0</v>
      </c>
      <c r="K13267" s="4"/>
      <c r="L13267" s="33" t="str">
        <f>IFERROR(VLOOKUP($J13267,'Informations sur les produits'!$A$3:$H$10000,8,FALSE),"0")</f>
        <v>0</v>
      </c>
      <c r="N13267" s="8"/>
      <c r="O13267" s="33" t="str">
        <f>IFERROR(VLOOKUP($M13267,'Informations sur les produits'!$A$3:$H$10000,8,FALSE),"0")</f>
        <v>0</v>
      </c>
      <c r="P13267" s="33">
        <f t="shared" si="828"/>
        <v>0</v>
      </c>
      <c r="Q13267" s="31" t="str">
        <f t="shared" si="829"/>
        <v/>
      </c>
      <c r="R13267" s="32" t="str">
        <f>IFERROR(VLOOKUP($D13267,'Informations sur les produits'!$A$3:$B$15000,2,FALSE),"")</f>
        <v/>
      </c>
      <c r="V13267">
        <f t="shared" si="830"/>
        <v>0</v>
      </c>
      <c r="W13267">
        <f t="shared" si="831"/>
        <v>0</v>
      </c>
    </row>
    <row r="13268" spans="5:23" x14ac:dyDescent="0.25">
      <c r="E13268" s="4"/>
      <c r="F13268" s="4"/>
      <c r="G13268" s="33" t="str">
        <f>IFERROR(VLOOKUP($D13268,'Informations sur les produits'!$A$3:$H$10000,8,FALSE),"0")</f>
        <v>0</v>
      </c>
      <c r="K13268" s="4"/>
      <c r="L13268" s="33" t="str">
        <f>IFERROR(VLOOKUP($J13268,'Informations sur les produits'!$A$3:$H$10000,8,FALSE),"0")</f>
        <v>0</v>
      </c>
      <c r="N13268" s="8"/>
      <c r="O13268" s="33" t="str">
        <f>IFERROR(VLOOKUP($M13268,'Informations sur les produits'!$A$3:$H$10000,8,FALSE),"0")</f>
        <v>0</v>
      </c>
      <c r="P13268" s="33">
        <f t="shared" si="828"/>
        <v>0</v>
      </c>
      <c r="Q13268" s="31" t="str">
        <f t="shared" si="829"/>
        <v/>
      </c>
      <c r="R13268" s="32" t="str">
        <f>IFERROR(VLOOKUP($D13268,'Informations sur les produits'!$A$3:$B$15000,2,FALSE),"")</f>
        <v/>
      </c>
      <c r="V13268">
        <f t="shared" si="830"/>
        <v>0</v>
      </c>
      <c r="W13268">
        <f t="shared" si="831"/>
        <v>0</v>
      </c>
    </row>
    <row r="13269" spans="5:23" x14ac:dyDescent="0.25">
      <c r="E13269" s="4"/>
      <c r="F13269" s="4"/>
      <c r="G13269" s="33" t="str">
        <f>IFERROR(VLOOKUP($D13269,'Informations sur les produits'!$A$3:$H$10000,8,FALSE),"0")</f>
        <v>0</v>
      </c>
      <c r="K13269" s="4"/>
      <c r="L13269" s="33" t="str">
        <f>IFERROR(VLOOKUP($J13269,'Informations sur les produits'!$A$3:$H$10000,8,FALSE),"0")</f>
        <v>0</v>
      </c>
      <c r="N13269" s="8"/>
      <c r="O13269" s="33" t="str">
        <f>IFERROR(VLOOKUP($M13269,'Informations sur les produits'!$A$3:$H$10000,8,FALSE),"0")</f>
        <v>0</v>
      </c>
      <c r="P13269" s="33">
        <f t="shared" si="828"/>
        <v>0</v>
      </c>
      <c r="Q13269" s="31" t="str">
        <f t="shared" si="829"/>
        <v/>
      </c>
      <c r="R13269" s="32" t="str">
        <f>IFERROR(VLOOKUP($D13269,'Informations sur les produits'!$A$3:$B$15000,2,FALSE),"")</f>
        <v/>
      </c>
      <c r="V13269">
        <f t="shared" si="830"/>
        <v>0</v>
      </c>
      <c r="W13269">
        <f t="shared" si="831"/>
        <v>0</v>
      </c>
    </row>
    <row r="13270" spans="5:23" x14ac:dyDescent="0.25">
      <c r="E13270" s="4"/>
      <c r="F13270" s="4"/>
      <c r="G13270" s="33" t="str">
        <f>IFERROR(VLOOKUP($D13270,'Informations sur les produits'!$A$3:$H$10000,8,FALSE),"0")</f>
        <v>0</v>
      </c>
      <c r="K13270" s="4"/>
      <c r="L13270" s="33" t="str">
        <f>IFERROR(VLOOKUP($J13270,'Informations sur les produits'!$A$3:$H$10000,8,FALSE),"0")</f>
        <v>0</v>
      </c>
      <c r="N13270" s="8"/>
      <c r="O13270" s="33" t="str">
        <f>IFERROR(VLOOKUP($M13270,'Informations sur les produits'!$A$3:$H$10000,8,FALSE),"0")</f>
        <v>0</v>
      </c>
      <c r="P13270" s="33">
        <f t="shared" si="828"/>
        <v>0</v>
      </c>
      <c r="Q13270" s="31" t="str">
        <f t="shared" si="829"/>
        <v/>
      </c>
      <c r="R13270" s="32" t="str">
        <f>IFERROR(VLOOKUP($D13270,'Informations sur les produits'!$A$3:$B$15000,2,FALSE),"")</f>
        <v/>
      </c>
      <c r="V13270">
        <f t="shared" si="830"/>
        <v>0</v>
      </c>
      <c r="W13270">
        <f t="shared" si="831"/>
        <v>0</v>
      </c>
    </row>
    <row r="13271" spans="5:23" x14ac:dyDescent="0.25">
      <c r="E13271" s="4"/>
      <c r="F13271" s="4"/>
      <c r="G13271" s="33" t="str">
        <f>IFERROR(VLOOKUP($D13271,'Informations sur les produits'!$A$3:$H$10000,8,FALSE),"0")</f>
        <v>0</v>
      </c>
      <c r="K13271" s="4"/>
      <c r="L13271" s="33" t="str">
        <f>IFERROR(VLOOKUP($J13271,'Informations sur les produits'!$A$3:$H$10000,8,FALSE),"0")</f>
        <v>0</v>
      </c>
      <c r="N13271" s="8"/>
      <c r="O13271" s="33" t="str">
        <f>IFERROR(VLOOKUP($M13271,'Informations sur les produits'!$A$3:$H$10000,8,FALSE),"0")</f>
        <v>0</v>
      </c>
      <c r="P13271" s="33">
        <f t="shared" si="828"/>
        <v>0</v>
      </c>
      <c r="Q13271" s="31" t="str">
        <f t="shared" si="829"/>
        <v/>
      </c>
      <c r="R13271" s="32" t="str">
        <f>IFERROR(VLOOKUP($D13271,'Informations sur les produits'!$A$3:$B$15000,2,FALSE),"")</f>
        <v/>
      </c>
      <c r="V13271">
        <f t="shared" si="830"/>
        <v>0</v>
      </c>
      <c r="W13271">
        <f t="shared" si="831"/>
        <v>0</v>
      </c>
    </row>
    <row r="13272" spans="5:23" x14ac:dyDescent="0.25">
      <c r="E13272" s="4"/>
      <c r="F13272" s="4"/>
      <c r="G13272" s="33" t="str">
        <f>IFERROR(VLOOKUP($D13272,'Informations sur les produits'!$A$3:$H$10000,8,FALSE),"0")</f>
        <v>0</v>
      </c>
      <c r="K13272" s="4"/>
      <c r="L13272" s="33" t="str">
        <f>IFERROR(VLOOKUP($J13272,'Informations sur les produits'!$A$3:$H$10000,8,FALSE),"0")</f>
        <v>0</v>
      </c>
      <c r="N13272" s="8"/>
      <c r="O13272" s="33" t="str">
        <f>IFERROR(VLOOKUP($M13272,'Informations sur les produits'!$A$3:$H$10000,8,FALSE),"0")</f>
        <v>0</v>
      </c>
      <c r="P13272" s="33">
        <f t="shared" si="828"/>
        <v>0</v>
      </c>
      <c r="Q13272" s="31" t="str">
        <f t="shared" si="829"/>
        <v/>
      </c>
      <c r="R13272" s="32" t="str">
        <f>IFERROR(VLOOKUP($D13272,'Informations sur les produits'!$A$3:$B$15000,2,FALSE),"")</f>
        <v/>
      </c>
      <c r="V13272">
        <f t="shared" si="830"/>
        <v>0</v>
      </c>
      <c r="W13272">
        <f t="shared" si="831"/>
        <v>0</v>
      </c>
    </row>
    <row r="13273" spans="5:23" x14ac:dyDescent="0.25">
      <c r="E13273" s="4"/>
      <c r="F13273" s="4"/>
      <c r="G13273" s="33" t="str">
        <f>IFERROR(VLOOKUP($D13273,'Informations sur les produits'!$A$3:$H$10000,8,FALSE),"0")</f>
        <v>0</v>
      </c>
      <c r="K13273" s="4"/>
      <c r="L13273" s="33" t="str">
        <f>IFERROR(VLOOKUP($J13273,'Informations sur les produits'!$A$3:$H$10000,8,FALSE),"0")</f>
        <v>0</v>
      </c>
      <c r="N13273" s="8"/>
      <c r="O13273" s="33" t="str">
        <f>IFERROR(VLOOKUP($M13273,'Informations sur les produits'!$A$3:$H$10000,8,FALSE),"0")</f>
        <v>0</v>
      </c>
      <c r="P13273" s="33">
        <f t="shared" si="828"/>
        <v>0</v>
      </c>
      <c r="Q13273" s="31" t="str">
        <f t="shared" si="829"/>
        <v/>
      </c>
      <c r="R13273" s="32" t="str">
        <f>IFERROR(VLOOKUP($D13273,'Informations sur les produits'!$A$3:$B$15000,2,FALSE),"")</f>
        <v/>
      </c>
      <c r="V13273">
        <f t="shared" si="830"/>
        <v>0</v>
      </c>
      <c r="W13273">
        <f t="shared" si="831"/>
        <v>0</v>
      </c>
    </row>
    <row r="13274" spans="5:23" x14ac:dyDescent="0.25">
      <c r="E13274" s="4"/>
      <c r="F13274" s="4"/>
      <c r="G13274" s="33" t="str">
        <f>IFERROR(VLOOKUP($D13274,'Informations sur les produits'!$A$3:$H$10000,8,FALSE),"0")</f>
        <v>0</v>
      </c>
      <c r="K13274" s="4"/>
      <c r="L13274" s="33" t="str">
        <f>IFERROR(VLOOKUP($J13274,'Informations sur les produits'!$A$3:$H$10000,8,FALSE),"0")</f>
        <v>0</v>
      </c>
      <c r="N13274" s="8"/>
      <c r="O13274" s="33" t="str">
        <f>IFERROR(VLOOKUP($M13274,'Informations sur les produits'!$A$3:$H$10000,8,FALSE),"0")</f>
        <v>0</v>
      </c>
      <c r="P13274" s="33">
        <f t="shared" si="828"/>
        <v>0</v>
      </c>
      <c r="Q13274" s="31" t="str">
        <f t="shared" si="829"/>
        <v/>
      </c>
      <c r="R13274" s="32" t="str">
        <f>IFERROR(VLOOKUP($D13274,'Informations sur les produits'!$A$3:$B$15000,2,FALSE),"")</f>
        <v/>
      </c>
      <c r="V13274">
        <f t="shared" si="830"/>
        <v>0</v>
      </c>
      <c r="W13274">
        <f t="shared" si="831"/>
        <v>0</v>
      </c>
    </row>
    <row r="13275" spans="5:23" x14ac:dyDescent="0.25">
      <c r="E13275" s="4"/>
      <c r="F13275" s="4"/>
      <c r="G13275" s="33" t="str">
        <f>IFERROR(VLOOKUP($D13275,'Informations sur les produits'!$A$3:$H$10000,8,FALSE),"0")</f>
        <v>0</v>
      </c>
      <c r="K13275" s="4"/>
      <c r="L13275" s="33" t="str">
        <f>IFERROR(VLOOKUP($J13275,'Informations sur les produits'!$A$3:$H$10000,8,FALSE),"0")</f>
        <v>0</v>
      </c>
      <c r="N13275" s="8"/>
      <c r="O13275" s="33" t="str">
        <f>IFERROR(VLOOKUP($M13275,'Informations sur les produits'!$A$3:$H$10000,8,FALSE),"0")</f>
        <v>0</v>
      </c>
      <c r="P13275" s="33">
        <f t="shared" si="828"/>
        <v>0</v>
      </c>
      <c r="Q13275" s="31" t="str">
        <f t="shared" si="829"/>
        <v/>
      </c>
      <c r="R13275" s="32" t="str">
        <f>IFERROR(VLOOKUP($D13275,'Informations sur les produits'!$A$3:$B$15000,2,FALSE),"")</f>
        <v/>
      </c>
      <c r="V13275">
        <f t="shared" si="830"/>
        <v>0</v>
      </c>
      <c r="W13275">
        <f t="shared" si="831"/>
        <v>0</v>
      </c>
    </row>
    <row r="13276" spans="5:23" x14ac:dyDescent="0.25">
      <c r="E13276" s="4"/>
      <c r="F13276" s="4"/>
      <c r="G13276" s="33" t="str">
        <f>IFERROR(VLOOKUP($D13276,'Informations sur les produits'!$A$3:$H$10000,8,FALSE),"0")</f>
        <v>0</v>
      </c>
      <c r="K13276" s="4"/>
      <c r="L13276" s="33" t="str">
        <f>IFERROR(VLOOKUP($J13276,'Informations sur les produits'!$A$3:$H$10000,8,FALSE),"0")</f>
        <v>0</v>
      </c>
      <c r="N13276" s="8"/>
      <c r="O13276" s="33" t="str">
        <f>IFERROR(VLOOKUP($M13276,'Informations sur les produits'!$A$3:$H$10000,8,FALSE),"0")</f>
        <v>0</v>
      </c>
      <c r="P13276" s="33">
        <f t="shared" si="828"/>
        <v>0</v>
      </c>
      <c r="Q13276" s="31" t="str">
        <f t="shared" si="829"/>
        <v/>
      </c>
      <c r="R13276" s="32" t="str">
        <f>IFERROR(VLOOKUP($D13276,'Informations sur les produits'!$A$3:$B$15000,2,FALSE),"")</f>
        <v/>
      </c>
      <c r="V13276">
        <f t="shared" si="830"/>
        <v>0</v>
      </c>
      <c r="W13276">
        <f t="shared" si="831"/>
        <v>0</v>
      </c>
    </row>
    <row r="13277" spans="5:23" x14ac:dyDescent="0.25">
      <c r="E13277" s="4"/>
      <c r="F13277" s="4"/>
      <c r="G13277" s="33" t="str">
        <f>IFERROR(VLOOKUP($D13277,'Informations sur les produits'!$A$3:$H$10000,8,FALSE),"0")</f>
        <v>0</v>
      </c>
      <c r="K13277" s="4"/>
      <c r="L13277" s="33" t="str">
        <f>IFERROR(VLOOKUP($J13277,'Informations sur les produits'!$A$3:$H$10000,8,FALSE),"0")</f>
        <v>0</v>
      </c>
      <c r="N13277" s="8"/>
      <c r="O13277" s="33" t="str">
        <f>IFERROR(VLOOKUP($M13277,'Informations sur les produits'!$A$3:$H$10000,8,FALSE),"0")</f>
        <v>0</v>
      </c>
      <c r="P13277" s="33">
        <f t="shared" si="828"/>
        <v>0</v>
      </c>
      <c r="Q13277" s="31" t="str">
        <f t="shared" si="829"/>
        <v/>
      </c>
      <c r="R13277" s="32" t="str">
        <f>IFERROR(VLOOKUP($D13277,'Informations sur les produits'!$A$3:$B$15000,2,FALSE),"")</f>
        <v/>
      </c>
      <c r="V13277">
        <f t="shared" si="830"/>
        <v>0</v>
      </c>
      <c r="W13277">
        <f t="shared" si="831"/>
        <v>0</v>
      </c>
    </row>
    <row r="13278" spans="5:23" x14ac:dyDescent="0.25">
      <c r="E13278" s="4"/>
      <c r="F13278" s="4"/>
      <c r="G13278" s="33" t="str">
        <f>IFERROR(VLOOKUP($D13278,'Informations sur les produits'!$A$3:$H$10000,8,FALSE),"0")</f>
        <v>0</v>
      </c>
      <c r="K13278" s="4"/>
      <c r="L13278" s="33" t="str">
        <f>IFERROR(VLOOKUP($J13278,'Informations sur les produits'!$A$3:$H$10000,8,FALSE),"0")</f>
        <v>0</v>
      </c>
      <c r="N13278" s="8"/>
      <c r="O13278" s="33" t="str">
        <f>IFERROR(VLOOKUP($M13278,'Informations sur les produits'!$A$3:$H$10000,8,FALSE),"0")</f>
        <v>0</v>
      </c>
      <c r="P13278" s="33">
        <f t="shared" si="828"/>
        <v>0</v>
      </c>
      <c r="Q13278" s="31" t="str">
        <f t="shared" si="829"/>
        <v/>
      </c>
      <c r="R13278" s="32" t="str">
        <f>IFERROR(VLOOKUP($D13278,'Informations sur les produits'!$A$3:$B$15000,2,FALSE),"")</f>
        <v/>
      </c>
      <c r="V13278">
        <f t="shared" si="830"/>
        <v>0</v>
      </c>
      <c r="W13278">
        <f t="shared" si="831"/>
        <v>0</v>
      </c>
    </row>
    <row r="13279" spans="5:23" x14ac:dyDescent="0.25">
      <c r="E13279" s="4"/>
      <c r="F13279" s="4"/>
      <c r="G13279" s="33" t="str">
        <f>IFERROR(VLOOKUP($D13279,'Informations sur les produits'!$A$3:$H$10000,8,FALSE),"0")</f>
        <v>0</v>
      </c>
      <c r="K13279" s="4"/>
      <c r="L13279" s="33" t="str">
        <f>IFERROR(VLOOKUP($J13279,'Informations sur les produits'!$A$3:$H$10000,8,FALSE),"0")</f>
        <v>0</v>
      </c>
      <c r="N13279" s="8"/>
      <c r="O13279" s="33" t="str">
        <f>IFERROR(VLOOKUP($M13279,'Informations sur les produits'!$A$3:$H$10000,8,FALSE),"0")</f>
        <v>0</v>
      </c>
      <c r="P13279" s="33">
        <f t="shared" si="828"/>
        <v>0</v>
      </c>
      <c r="Q13279" s="31" t="str">
        <f t="shared" si="829"/>
        <v/>
      </c>
      <c r="R13279" s="32" t="str">
        <f>IFERROR(VLOOKUP($D13279,'Informations sur les produits'!$A$3:$B$15000,2,FALSE),"")</f>
        <v/>
      </c>
      <c r="V13279">
        <f t="shared" si="830"/>
        <v>0</v>
      </c>
      <c r="W13279">
        <f t="shared" si="831"/>
        <v>0</v>
      </c>
    </row>
    <row r="13280" spans="5:23" x14ac:dyDescent="0.25">
      <c r="E13280" s="4"/>
      <c r="F13280" s="4"/>
      <c r="G13280" s="33" t="str">
        <f>IFERROR(VLOOKUP($D13280,'Informations sur les produits'!$A$3:$H$10000,8,FALSE),"0")</f>
        <v>0</v>
      </c>
      <c r="K13280" s="4"/>
      <c r="L13280" s="33" t="str">
        <f>IFERROR(VLOOKUP($J13280,'Informations sur les produits'!$A$3:$H$10000,8,FALSE),"0")</f>
        <v>0</v>
      </c>
      <c r="N13280" s="8"/>
      <c r="O13280" s="33" t="str">
        <f>IFERROR(VLOOKUP($M13280,'Informations sur les produits'!$A$3:$H$10000,8,FALSE),"0")</f>
        <v>0</v>
      </c>
      <c r="P13280" s="33">
        <f t="shared" si="828"/>
        <v>0</v>
      </c>
      <c r="Q13280" s="31" t="str">
        <f t="shared" si="829"/>
        <v/>
      </c>
      <c r="R13280" s="32" t="str">
        <f>IFERROR(VLOOKUP($D13280,'Informations sur les produits'!$A$3:$B$15000,2,FALSE),"")</f>
        <v/>
      </c>
      <c r="V13280">
        <f t="shared" si="830"/>
        <v>0</v>
      </c>
      <c r="W13280">
        <f t="shared" si="831"/>
        <v>0</v>
      </c>
    </row>
    <row r="13281" spans="5:23" x14ac:dyDescent="0.25">
      <c r="E13281" s="4"/>
      <c r="F13281" s="4"/>
      <c r="G13281" s="33" t="str">
        <f>IFERROR(VLOOKUP($D13281,'Informations sur les produits'!$A$3:$H$10000,8,FALSE),"0")</f>
        <v>0</v>
      </c>
      <c r="K13281" s="4"/>
      <c r="L13281" s="33" t="str">
        <f>IFERROR(VLOOKUP($J13281,'Informations sur les produits'!$A$3:$H$10000,8,FALSE),"0")</f>
        <v>0</v>
      </c>
      <c r="N13281" s="8"/>
      <c r="O13281" s="33" t="str">
        <f>IFERROR(VLOOKUP($M13281,'Informations sur les produits'!$A$3:$H$10000,8,FALSE),"0")</f>
        <v>0</v>
      </c>
      <c r="P13281" s="33">
        <f t="shared" si="828"/>
        <v>0</v>
      </c>
      <c r="Q13281" s="31" t="str">
        <f t="shared" si="829"/>
        <v/>
      </c>
      <c r="R13281" s="32" t="str">
        <f>IFERROR(VLOOKUP($D13281,'Informations sur les produits'!$A$3:$B$15000,2,FALSE),"")</f>
        <v/>
      </c>
      <c r="V13281">
        <f t="shared" si="830"/>
        <v>0</v>
      </c>
      <c r="W13281">
        <f t="shared" si="831"/>
        <v>0</v>
      </c>
    </row>
    <row r="13282" spans="5:23" x14ac:dyDescent="0.25">
      <c r="E13282" s="4"/>
      <c r="F13282" s="4"/>
      <c r="G13282" s="33" t="str">
        <f>IFERROR(VLOOKUP($D13282,'Informations sur les produits'!$A$3:$H$10000,8,FALSE),"0")</f>
        <v>0</v>
      </c>
      <c r="K13282" s="4"/>
      <c r="L13282" s="33" t="str">
        <f>IFERROR(VLOOKUP($J13282,'Informations sur les produits'!$A$3:$H$10000,8,FALSE),"0")</f>
        <v>0</v>
      </c>
      <c r="N13282" s="8"/>
      <c r="O13282" s="33" t="str">
        <f>IFERROR(VLOOKUP($M13282,'Informations sur les produits'!$A$3:$H$10000,8,FALSE),"0")</f>
        <v>0</v>
      </c>
      <c r="P13282" s="33">
        <f t="shared" si="828"/>
        <v>0</v>
      </c>
      <c r="Q13282" s="31" t="str">
        <f t="shared" si="829"/>
        <v/>
      </c>
      <c r="R13282" s="32" t="str">
        <f>IFERROR(VLOOKUP($D13282,'Informations sur les produits'!$A$3:$B$15000,2,FALSE),"")</f>
        <v/>
      </c>
      <c r="V13282">
        <f t="shared" si="830"/>
        <v>0</v>
      </c>
      <c r="W13282">
        <f t="shared" si="831"/>
        <v>0</v>
      </c>
    </row>
    <row r="13283" spans="5:23" x14ac:dyDescent="0.25">
      <c r="E13283" s="4"/>
      <c r="F13283" s="4"/>
      <c r="G13283" s="33" t="str">
        <f>IFERROR(VLOOKUP($D13283,'Informations sur les produits'!$A$3:$H$10000,8,FALSE),"0")</f>
        <v>0</v>
      </c>
      <c r="K13283" s="4"/>
      <c r="L13283" s="33" t="str">
        <f>IFERROR(VLOOKUP($J13283,'Informations sur les produits'!$A$3:$H$10000,8,FALSE),"0")</f>
        <v>0</v>
      </c>
      <c r="N13283" s="8"/>
      <c r="O13283" s="33" t="str">
        <f>IFERROR(VLOOKUP($M13283,'Informations sur les produits'!$A$3:$H$10000,8,FALSE),"0")</f>
        <v>0</v>
      </c>
      <c r="P13283" s="33">
        <f t="shared" si="828"/>
        <v>0</v>
      </c>
      <c r="Q13283" s="31" t="str">
        <f t="shared" si="829"/>
        <v/>
      </c>
      <c r="R13283" s="32" t="str">
        <f>IFERROR(VLOOKUP($D13283,'Informations sur les produits'!$A$3:$B$15000,2,FALSE),"")</f>
        <v/>
      </c>
      <c r="V13283">
        <f t="shared" si="830"/>
        <v>0</v>
      </c>
      <c r="W13283">
        <f t="shared" si="831"/>
        <v>0</v>
      </c>
    </row>
    <row r="13284" spans="5:23" x14ac:dyDescent="0.25">
      <c r="E13284" s="4"/>
      <c r="F13284" s="4"/>
      <c r="G13284" s="33" t="str">
        <f>IFERROR(VLOOKUP($D13284,'Informations sur les produits'!$A$3:$H$10000,8,FALSE),"0")</f>
        <v>0</v>
      </c>
      <c r="K13284" s="4"/>
      <c r="L13284" s="33" t="str">
        <f>IFERROR(VLOOKUP($J13284,'Informations sur les produits'!$A$3:$H$10000,8,FALSE),"0")</f>
        <v>0</v>
      </c>
      <c r="N13284" s="8"/>
      <c r="O13284" s="33" t="str">
        <f>IFERROR(VLOOKUP($M13284,'Informations sur les produits'!$A$3:$H$10000,8,FALSE),"0")</f>
        <v>0</v>
      </c>
      <c r="P13284" s="33">
        <f t="shared" si="828"/>
        <v>0</v>
      </c>
      <c r="Q13284" s="31" t="str">
        <f t="shared" si="829"/>
        <v/>
      </c>
      <c r="R13284" s="32" t="str">
        <f>IFERROR(VLOOKUP($D13284,'Informations sur les produits'!$A$3:$B$15000,2,FALSE),"")</f>
        <v/>
      </c>
      <c r="V13284">
        <f t="shared" si="830"/>
        <v>0</v>
      </c>
      <c r="W13284">
        <f t="shared" si="831"/>
        <v>0</v>
      </c>
    </row>
    <row r="13285" spans="5:23" x14ac:dyDescent="0.25">
      <c r="E13285" s="4"/>
      <c r="F13285" s="4"/>
      <c r="G13285" s="33" t="str">
        <f>IFERROR(VLOOKUP($D13285,'Informations sur les produits'!$A$3:$H$10000,8,FALSE),"0")</f>
        <v>0</v>
      </c>
      <c r="K13285" s="4"/>
      <c r="L13285" s="33" t="str">
        <f>IFERROR(VLOOKUP($J13285,'Informations sur les produits'!$A$3:$H$10000,8,FALSE),"0")</f>
        <v>0</v>
      </c>
      <c r="N13285" s="8"/>
      <c r="O13285" s="33" t="str">
        <f>IFERROR(VLOOKUP($M13285,'Informations sur les produits'!$A$3:$H$10000,8,FALSE),"0")</f>
        <v>0</v>
      </c>
      <c r="P13285" s="33">
        <f t="shared" si="828"/>
        <v>0</v>
      </c>
      <c r="Q13285" s="31" t="str">
        <f t="shared" si="829"/>
        <v/>
      </c>
      <c r="R13285" s="32" t="str">
        <f>IFERROR(VLOOKUP($D13285,'Informations sur les produits'!$A$3:$B$15000,2,FALSE),"")</f>
        <v/>
      </c>
      <c r="V13285">
        <f t="shared" si="830"/>
        <v>0</v>
      </c>
      <c r="W13285">
        <f t="shared" si="831"/>
        <v>0</v>
      </c>
    </row>
    <row r="13286" spans="5:23" x14ac:dyDescent="0.25">
      <c r="E13286" s="4"/>
      <c r="F13286" s="4"/>
      <c r="G13286" s="33" t="str">
        <f>IFERROR(VLOOKUP($D13286,'Informations sur les produits'!$A$3:$H$10000,8,FALSE),"0")</f>
        <v>0</v>
      </c>
      <c r="K13286" s="4"/>
      <c r="L13286" s="33" t="str">
        <f>IFERROR(VLOOKUP($J13286,'Informations sur les produits'!$A$3:$H$10000,8,FALSE),"0")</f>
        <v>0</v>
      </c>
      <c r="N13286" s="8"/>
      <c r="O13286" s="33" t="str">
        <f>IFERROR(VLOOKUP($M13286,'Informations sur les produits'!$A$3:$H$10000,8,FALSE),"0")</f>
        <v>0</v>
      </c>
      <c r="P13286" s="33">
        <f t="shared" si="828"/>
        <v>0</v>
      </c>
      <c r="Q13286" s="31" t="str">
        <f t="shared" si="829"/>
        <v/>
      </c>
      <c r="R13286" s="32" t="str">
        <f>IFERROR(VLOOKUP($D13286,'Informations sur les produits'!$A$3:$B$15000,2,FALSE),"")</f>
        <v/>
      </c>
      <c r="V13286">
        <f t="shared" si="830"/>
        <v>0</v>
      </c>
      <c r="W13286">
        <f t="shared" si="831"/>
        <v>0</v>
      </c>
    </row>
    <row r="13287" spans="5:23" x14ac:dyDescent="0.25">
      <c r="E13287" s="4"/>
      <c r="F13287" s="4"/>
      <c r="G13287" s="33" t="str">
        <f>IFERROR(VLOOKUP($D13287,'Informations sur les produits'!$A$3:$H$10000,8,FALSE),"0")</f>
        <v>0</v>
      </c>
      <c r="K13287" s="4"/>
      <c r="L13287" s="33" t="str">
        <f>IFERROR(VLOOKUP($J13287,'Informations sur les produits'!$A$3:$H$10000,8,FALSE),"0")</f>
        <v>0</v>
      </c>
      <c r="N13287" s="8"/>
      <c r="O13287" s="33" t="str">
        <f>IFERROR(VLOOKUP($M13287,'Informations sur les produits'!$A$3:$H$10000,8,FALSE),"0")</f>
        <v>0</v>
      </c>
      <c r="P13287" s="33">
        <f t="shared" si="828"/>
        <v>0</v>
      </c>
      <c r="Q13287" s="31" t="str">
        <f t="shared" si="829"/>
        <v/>
      </c>
      <c r="R13287" s="32" t="str">
        <f>IFERROR(VLOOKUP($D13287,'Informations sur les produits'!$A$3:$B$15000,2,FALSE),"")</f>
        <v/>
      </c>
      <c r="V13287">
        <f t="shared" si="830"/>
        <v>0</v>
      </c>
      <c r="W13287">
        <f t="shared" si="831"/>
        <v>0</v>
      </c>
    </row>
    <row r="13288" spans="5:23" x14ac:dyDescent="0.25">
      <c r="E13288" s="4"/>
      <c r="F13288" s="4"/>
      <c r="G13288" s="33" t="str">
        <f>IFERROR(VLOOKUP($D13288,'Informations sur les produits'!$A$3:$H$10000,8,FALSE),"0")</f>
        <v>0</v>
      </c>
      <c r="K13288" s="4"/>
      <c r="L13288" s="33" t="str">
        <f>IFERROR(VLOOKUP($J13288,'Informations sur les produits'!$A$3:$H$10000,8,FALSE),"0")</f>
        <v>0</v>
      </c>
      <c r="N13288" s="8"/>
      <c r="O13288" s="33" t="str">
        <f>IFERROR(VLOOKUP($M13288,'Informations sur les produits'!$A$3:$H$10000,8,FALSE),"0")</f>
        <v>0</v>
      </c>
      <c r="P13288" s="33">
        <f t="shared" si="828"/>
        <v>0</v>
      </c>
      <c r="Q13288" s="31" t="str">
        <f t="shared" si="829"/>
        <v/>
      </c>
      <c r="R13288" s="32" t="str">
        <f>IFERROR(VLOOKUP($D13288,'Informations sur les produits'!$A$3:$B$15000,2,FALSE),"")</f>
        <v/>
      </c>
      <c r="V13288">
        <f t="shared" si="830"/>
        <v>0</v>
      </c>
      <c r="W13288">
        <f t="shared" si="831"/>
        <v>0</v>
      </c>
    </row>
    <row r="13289" spans="5:23" x14ac:dyDescent="0.25">
      <c r="E13289" s="4"/>
      <c r="F13289" s="4"/>
      <c r="G13289" s="33" t="str">
        <f>IFERROR(VLOOKUP($D13289,'Informations sur les produits'!$A$3:$H$10000,8,FALSE),"0")</f>
        <v>0</v>
      </c>
      <c r="K13289" s="4"/>
      <c r="L13289" s="33" t="str">
        <f>IFERROR(VLOOKUP($J13289,'Informations sur les produits'!$A$3:$H$10000,8,FALSE),"0")</f>
        <v>0</v>
      </c>
      <c r="N13289" s="8"/>
      <c r="O13289" s="33" t="str">
        <f>IFERROR(VLOOKUP($M13289,'Informations sur les produits'!$A$3:$H$10000,8,FALSE),"0")</f>
        <v>0</v>
      </c>
      <c r="P13289" s="33">
        <f t="shared" si="828"/>
        <v>0</v>
      </c>
      <c r="Q13289" s="31" t="str">
        <f t="shared" si="829"/>
        <v/>
      </c>
      <c r="R13289" s="32" t="str">
        <f>IFERROR(VLOOKUP($D13289,'Informations sur les produits'!$A$3:$B$15000,2,FALSE),"")</f>
        <v/>
      </c>
      <c r="V13289">
        <f t="shared" si="830"/>
        <v>0</v>
      </c>
      <c r="W13289">
        <f t="shared" si="831"/>
        <v>0</v>
      </c>
    </row>
    <row r="13290" spans="5:23" x14ac:dyDescent="0.25">
      <c r="E13290" s="4"/>
      <c r="F13290" s="4"/>
      <c r="G13290" s="33" t="str">
        <f>IFERROR(VLOOKUP($D13290,'Informations sur les produits'!$A$3:$H$10000,8,FALSE),"0")</f>
        <v>0</v>
      </c>
      <c r="K13290" s="4"/>
      <c r="L13290" s="33" t="str">
        <f>IFERROR(VLOOKUP($J13290,'Informations sur les produits'!$A$3:$H$10000,8,FALSE),"0")</f>
        <v>0</v>
      </c>
      <c r="N13290" s="8"/>
      <c r="O13290" s="33" t="str">
        <f>IFERROR(VLOOKUP($M13290,'Informations sur les produits'!$A$3:$H$10000,8,FALSE),"0")</f>
        <v>0</v>
      </c>
      <c r="P13290" s="33">
        <f t="shared" si="828"/>
        <v>0</v>
      </c>
      <c r="Q13290" s="31" t="str">
        <f t="shared" si="829"/>
        <v/>
      </c>
      <c r="R13290" s="32" t="str">
        <f>IFERROR(VLOOKUP($D13290,'Informations sur les produits'!$A$3:$B$15000,2,FALSE),"")</f>
        <v/>
      </c>
      <c r="V13290">
        <f t="shared" si="830"/>
        <v>0</v>
      </c>
      <c r="W13290">
        <f t="shared" si="831"/>
        <v>0</v>
      </c>
    </row>
    <row r="13291" spans="5:23" x14ac:dyDescent="0.25">
      <c r="E13291" s="4"/>
      <c r="F13291" s="4"/>
      <c r="G13291" s="33" t="str">
        <f>IFERROR(VLOOKUP($D13291,'Informations sur les produits'!$A$3:$H$10000,8,FALSE),"0")</f>
        <v>0</v>
      </c>
      <c r="K13291" s="4"/>
      <c r="L13291" s="33" t="str">
        <f>IFERROR(VLOOKUP($J13291,'Informations sur les produits'!$A$3:$H$10000,8,FALSE),"0")</f>
        <v>0</v>
      </c>
      <c r="N13291" s="8"/>
      <c r="O13291" s="33" t="str">
        <f>IFERROR(VLOOKUP($M13291,'Informations sur les produits'!$A$3:$H$10000,8,FALSE),"0")</f>
        <v>0</v>
      </c>
      <c r="P13291" s="33">
        <f t="shared" si="828"/>
        <v>0</v>
      </c>
      <c r="Q13291" s="31" t="str">
        <f t="shared" si="829"/>
        <v/>
      </c>
      <c r="R13291" s="32" t="str">
        <f>IFERROR(VLOOKUP($D13291,'Informations sur les produits'!$A$3:$B$15000,2,FALSE),"")</f>
        <v/>
      </c>
      <c r="V13291">
        <f t="shared" si="830"/>
        <v>0</v>
      </c>
      <c r="W13291">
        <f t="shared" si="831"/>
        <v>0</v>
      </c>
    </row>
    <row r="13292" spans="5:23" x14ac:dyDescent="0.25">
      <c r="E13292" s="4"/>
      <c r="F13292" s="4"/>
      <c r="G13292" s="33" t="str">
        <f>IFERROR(VLOOKUP($D13292,'Informations sur les produits'!$A$3:$H$10000,8,FALSE),"0")</f>
        <v>0</v>
      </c>
      <c r="K13292" s="4"/>
      <c r="L13292" s="33" t="str">
        <f>IFERROR(VLOOKUP($J13292,'Informations sur les produits'!$A$3:$H$10000,8,FALSE),"0")</f>
        <v>0</v>
      </c>
      <c r="N13292" s="8"/>
      <c r="O13292" s="33" t="str">
        <f>IFERROR(VLOOKUP($M13292,'Informations sur les produits'!$A$3:$H$10000,8,FALSE),"0")</f>
        <v>0</v>
      </c>
      <c r="P13292" s="33">
        <f t="shared" si="828"/>
        <v>0</v>
      </c>
      <c r="Q13292" s="31" t="str">
        <f t="shared" si="829"/>
        <v/>
      </c>
      <c r="R13292" s="32" t="str">
        <f>IFERROR(VLOOKUP($D13292,'Informations sur les produits'!$A$3:$B$15000,2,FALSE),"")</f>
        <v/>
      </c>
      <c r="V13292">
        <f t="shared" si="830"/>
        <v>0</v>
      </c>
      <c r="W13292">
        <f t="shared" si="831"/>
        <v>0</v>
      </c>
    </row>
    <row r="13293" spans="5:23" x14ac:dyDescent="0.25">
      <c r="E13293" s="4"/>
      <c r="F13293" s="4"/>
      <c r="G13293" s="33" t="str">
        <f>IFERROR(VLOOKUP($D13293,'Informations sur les produits'!$A$3:$H$10000,8,FALSE),"0")</f>
        <v>0</v>
      </c>
      <c r="K13293" s="4"/>
      <c r="L13293" s="33" t="str">
        <f>IFERROR(VLOOKUP($J13293,'Informations sur les produits'!$A$3:$H$10000,8,FALSE),"0")</f>
        <v>0</v>
      </c>
      <c r="N13293" s="8"/>
      <c r="O13293" s="33" t="str">
        <f>IFERROR(VLOOKUP($M13293,'Informations sur les produits'!$A$3:$H$10000,8,FALSE),"0")</f>
        <v>0</v>
      </c>
      <c r="P13293" s="33">
        <f t="shared" si="828"/>
        <v>0</v>
      </c>
      <c r="Q13293" s="31" t="str">
        <f t="shared" si="829"/>
        <v/>
      </c>
      <c r="R13293" s="32" t="str">
        <f>IFERROR(VLOOKUP($D13293,'Informations sur les produits'!$A$3:$B$15000,2,FALSE),"")</f>
        <v/>
      </c>
      <c r="V13293">
        <f t="shared" si="830"/>
        <v>0</v>
      </c>
      <c r="W13293">
        <f t="shared" si="831"/>
        <v>0</v>
      </c>
    </row>
    <row r="13294" spans="5:23" x14ac:dyDescent="0.25">
      <c r="E13294" s="4"/>
      <c r="F13294" s="4"/>
      <c r="G13294" s="33" t="str">
        <f>IFERROR(VLOOKUP($D13294,'Informations sur les produits'!$A$3:$H$10000,8,FALSE),"0")</f>
        <v>0</v>
      </c>
      <c r="K13294" s="4"/>
      <c r="L13294" s="33" t="str">
        <f>IFERROR(VLOOKUP($J13294,'Informations sur les produits'!$A$3:$H$10000,8,FALSE),"0")</f>
        <v>0</v>
      </c>
      <c r="N13294" s="8"/>
      <c r="O13294" s="33" t="str">
        <f>IFERROR(VLOOKUP($M13294,'Informations sur les produits'!$A$3:$H$10000,8,FALSE),"0")</f>
        <v>0</v>
      </c>
      <c r="P13294" s="33">
        <f t="shared" si="828"/>
        <v>0</v>
      </c>
      <c r="Q13294" s="31" t="str">
        <f t="shared" si="829"/>
        <v/>
      </c>
      <c r="R13294" s="32" t="str">
        <f>IFERROR(VLOOKUP($D13294,'Informations sur les produits'!$A$3:$B$15000,2,FALSE),"")</f>
        <v/>
      </c>
      <c r="V13294">
        <f t="shared" si="830"/>
        <v>0</v>
      </c>
      <c r="W13294">
        <f t="shared" si="831"/>
        <v>0</v>
      </c>
    </row>
    <row r="13295" spans="5:23" x14ac:dyDescent="0.25">
      <c r="E13295" s="4"/>
      <c r="F13295" s="4"/>
      <c r="G13295" s="33" t="str">
        <f>IFERROR(VLOOKUP($D13295,'Informations sur les produits'!$A$3:$H$10000,8,FALSE),"0")</f>
        <v>0</v>
      </c>
      <c r="K13295" s="4"/>
      <c r="L13295" s="33" t="str">
        <f>IFERROR(VLOOKUP($J13295,'Informations sur les produits'!$A$3:$H$10000,8,FALSE),"0")</f>
        <v>0</v>
      </c>
      <c r="N13295" s="8"/>
      <c r="O13295" s="33" t="str">
        <f>IFERROR(VLOOKUP($M13295,'Informations sur les produits'!$A$3:$H$10000,8,FALSE),"0")</f>
        <v>0</v>
      </c>
      <c r="P13295" s="33">
        <f t="shared" si="828"/>
        <v>0</v>
      </c>
      <c r="Q13295" s="31" t="str">
        <f t="shared" si="829"/>
        <v/>
      </c>
      <c r="R13295" s="32" t="str">
        <f>IFERROR(VLOOKUP($D13295,'Informations sur les produits'!$A$3:$B$15000,2,FALSE),"")</f>
        <v/>
      </c>
      <c r="V13295">
        <f t="shared" si="830"/>
        <v>0</v>
      </c>
      <c r="W13295">
        <f t="shared" si="831"/>
        <v>0</v>
      </c>
    </row>
    <row r="13296" spans="5:23" x14ac:dyDescent="0.25">
      <c r="E13296" s="4"/>
      <c r="F13296" s="4"/>
      <c r="G13296" s="33" t="str">
        <f>IFERROR(VLOOKUP($D13296,'Informations sur les produits'!$A$3:$H$10000,8,FALSE),"0")</f>
        <v>0</v>
      </c>
      <c r="K13296" s="4"/>
      <c r="L13296" s="33" t="str">
        <f>IFERROR(VLOOKUP($J13296,'Informations sur les produits'!$A$3:$H$10000,8,FALSE),"0")</f>
        <v>0</v>
      </c>
      <c r="N13296" s="8"/>
      <c r="O13296" s="33" t="str">
        <f>IFERROR(VLOOKUP($M13296,'Informations sur les produits'!$A$3:$H$10000,8,FALSE),"0")</f>
        <v>0</v>
      </c>
      <c r="P13296" s="33">
        <f t="shared" si="828"/>
        <v>0</v>
      </c>
      <c r="Q13296" s="31" t="str">
        <f t="shared" si="829"/>
        <v/>
      </c>
      <c r="R13296" s="32" t="str">
        <f>IFERROR(VLOOKUP($D13296,'Informations sur les produits'!$A$3:$B$15000,2,FALSE),"")</f>
        <v/>
      </c>
      <c r="V13296">
        <f t="shared" si="830"/>
        <v>0</v>
      </c>
      <c r="W13296">
        <f t="shared" si="831"/>
        <v>0</v>
      </c>
    </row>
    <row r="13297" spans="5:23" x14ac:dyDescent="0.25">
      <c r="E13297" s="4"/>
      <c r="F13297" s="4"/>
      <c r="G13297" s="33" t="str">
        <f>IFERROR(VLOOKUP($D13297,'Informations sur les produits'!$A$3:$H$10000,8,FALSE),"0")</f>
        <v>0</v>
      </c>
      <c r="K13297" s="4"/>
      <c r="L13297" s="33" t="str">
        <f>IFERROR(VLOOKUP($J13297,'Informations sur les produits'!$A$3:$H$10000,8,FALSE),"0")</f>
        <v>0</v>
      </c>
      <c r="N13297" s="8"/>
      <c r="O13297" s="33" t="str">
        <f>IFERROR(VLOOKUP($M13297,'Informations sur les produits'!$A$3:$H$10000,8,FALSE),"0")</f>
        <v>0</v>
      </c>
      <c r="P13297" s="33">
        <f t="shared" si="828"/>
        <v>0</v>
      </c>
      <c r="Q13297" s="31" t="str">
        <f t="shared" si="829"/>
        <v/>
      </c>
      <c r="R13297" s="32" t="str">
        <f>IFERROR(VLOOKUP($D13297,'Informations sur les produits'!$A$3:$B$15000,2,FALSE),"")</f>
        <v/>
      </c>
      <c r="V13297">
        <f t="shared" si="830"/>
        <v>0</v>
      </c>
      <c r="W13297">
        <f t="shared" si="831"/>
        <v>0</v>
      </c>
    </row>
    <row r="13298" spans="5:23" x14ac:dyDescent="0.25">
      <c r="E13298" s="4"/>
      <c r="F13298" s="4"/>
      <c r="G13298" s="33" t="str">
        <f>IFERROR(VLOOKUP($D13298,'Informations sur les produits'!$A$3:$H$10000,8,FALSE),"0")</f>
        <v>0</v>
      </c>
      <c r="K13298" s="4"/>
      <c r="L13298" s="33" t="str">
        <f>IFERROR(VLOOKUP($J13298,'Informations sur les produits'!$A$3:$H$10000,8,FALSE),"0")</f>
        <v>0</v>
      </c>
      <c r="N13298" s="8"/>
      <c r="O13298" s="33" t="str">
        <f>IFERROR(VLOOKUP($M13298,'Informations sur les produits'!$A$3:$H$10000,8,FALSE),"0")</f>
        <v>0</v>
      </c>
      <c r="P13298" s="33">
        <f t="shared" si="828"/>
        <v>0</v>
      </c>
      <c r="Q13298" s="31" t="str">
        <f t="shared" si="829"/>
        <v/>
      </c>
      <c r="R13298" s="32" t="str">
        <f>IFERROR(VLOOKUP($D13298,'Informations sur les produits'!$A$3:$B$15000,2,FALSE),"")</f>
        <v/>
      </c>
      <c r="V13298">
        <f t="shared" si="830"/>
        <v>0</v>
      </c>
      <c r="W13298">
        <f t="shared" si="831"/>
        <v>0</v>
      </c>
    </row>
    <row r="13299" spans="5:23" x14ac:dyDescent="0.25">
      <c r="E13299" s="4"/>
      <c r="F13299" s="4"/>
      <c r="G13299" s="33" t="str">
        <f>IFERROR(VLOOKUP($D13299,'Informations sur les produits'!$A$3:$H$10000,8,FALSE),"0")</f>
        <v>0</v>
      </c>
      <c r="K13299" s="4"/>
      <c r="L13299" s="33" t="str">
        <f>IFERROR(VLOOKUP($J13299,'Informations sur les produits'!$A$3:$H$10000,8,FALSE),"0")</f>
        <v>0</v>
      </c>
      <c r="N13299" s="8"/>
      <c r="O13299" s="33" t="str">
        <f>IFERROR(VLOOKUP($M13299,'Informations sur les produits'!$A$3:$H$10000,8,FALSE),"0")</f>
        <v>0</v>
      </c>
      <c r="P13299" s="33">
        <f t="shared" si="828"/>
        <v>0</v>
      </c>
      <c r="Q13299" s="31" t="str">
        <f t="shared" si="829"/>
        <v/>
      </c>
      <c r="R13299" s="32" t="str">
        <f>IFERROR(VLOOKUP($D13299,'Informations sur les produits'!$A$3:$B$15000,2,FALSE),"")</f>
        <v/>
      </c>
      <c r="V13299">
        <f t="shared" si="830"/>
        <v>0</v>
      </c>
      <c r="W13299">
        <f t="shared" si="831"/>
        <v>0</v>
      </c>
    </row>
    <row r="13300" spans="5:23" x14ac:dyDescent="0.25">
      <c r="E13300" s="4"/>
      <c r="F13300" s="4"/>
      <c r="G13300" s="33" t="str">
        <f>IFERROR(VLOOKUP($D13300,'Informations sur les produits'!$A$3:$H$10000,8,FALSE),"0")</f>
        <v>0</v>
      </c>
      <c r="K13300" s="4"/>
      <c r="L13300" s="33" t="str">
        <f>IFERROR(VLOOKUP($J13300,'Informations sur les produits'!$A$3:$H$10000,8,FALSE),"0")</f>
        <v>0</v>
      </c>
      <c r="N13300" s="8"/>
      <c r="O13300" s="33" t="str">
        <f>IFERROR(VLOOKUP($M13300,'Informations sur les produits'!$A$3:$H$10000,8,FALSE),"0")</f>
        <v>0</v>
      </c>
      <c r="P13300" s="33">
        <f t="shared" si="828"/>
        <v>0</v>
      </c>
      <c r="Q13300" s="31" t="str">
        <f t="shared" si="829"/>
        <v/>
      </c>
      <c r="R13300" s="32" t="str">
        <f>IFERROR(VLOOKUP($D13300,'Informations sur les produits'!$A$3:$B$15000,2,FALSE),"")</f>
        <v/>
      </c>
      <c r="V13300">
        <f t="shared" si="830"/>
        <v>0</v>
      </c>
      <c r="W13300">
        <f t="shared" si="831"/>
        <v>0</v>
      </c>
    </row>
    <row r="13301" spans="5:23" x14ac:dyDescent="0.25">
      <c r="E13301" s="4"/>
      <c r="F13301" s="4"/>
      <c r="G13301" s="33" t="str">
        <f>IFERROR(VLOOKUP($D13301,'Informations sur les produits'!$A$3:$H$10000,8,FALSE),"0")</f>
        <v>0</v>
      </c>
      <c r="K13301" s="4"/>
      <c r="L13301" s="33" t="str">
        <f>IFERROR(VLOOKUP($J13301,'Informations sur les produits'!$A$3:$H$10000,8,FALSE),"0")</f>
        <v>0</v>
      </c>
      <c r="N13301" s="8"/>
      <c r="O13301" s="33" t="str">
        <f>IFERROR(VLOOKUP($M13301,'Informations sur les produits'!$A$3:$H$10000,8,FALSE),"0")</f>
        <v>0</v>
      </c>
      <c r="P13301" s="33">
        <f t="shared" si="828"/>
        <v>0</v>
      </c>
      <c r="Q13301" s="31" t="str">
        <f t="shared" si="829"/>
        <v/>
      </c>
      <c r="R13301" s="32" t="str">
        <f>IFERROR(VLOOKUP($D13301,'Informations sur les produits'!$A$3:$B$15000,2,FALSE),"")</f>
        <v/>
      </c>
      <c r="V13301">
        <f t="shared" si="830"/>
        <v>0</v>
      </c>
      <c r="W13301">
        <f t="shared" si="831"/>
        <v>0</v>
      </c>
    </row>
    <row r="13302" spans="5:23" x14ac:dyDescent="0.25">
      <c r="E13302" s="4"/>
      <c r="F13302" s="4"/>
      <c r="G13302" s="33" t="str">
        <f>IFERROR(VLOOKUP($D13302,'Informations sur les produits'!$A$3:$H$10000,8,FALSE),"0")</f>
        <v>0</v>
      </c>
      <c r="K13302" s="4"/>
      <c r="L13302" s="33" t="str">
        <f>IFERROR(VLOOKUP($J13302,'Informations sur les produits'!$A$3:$H$10000,8,FALSE),"0")</f>
        <v>0</v>
      </c>
      <c r="N13302" s="8"/>
      <c r="O13302" s="33" t="str">
        <f>IFERROR(VLOOKUP($M13302,'Informations sur les produits'!$A$3:$H$10000,8,FALSE),"0")</f>
        <v>0</v>
      </c>
      <c r="P13302" s="33">
        <f t="shared" si="828"/>
        <v>0</v>
      </c>
      <c r="Q13302" s="31" t="str">
        <f t="shared" si="829"/>
        <v/>
      </c>
      <c r="R13302" s="32" t="str">
        <f>IFERROR(VLOOKUP($D13302,'Informations sur les produits'!$A$3:$B$15000,2,FALSE),"")</f>
        <v/>
      </c>
      <c r="V13302">
        <f t="shared" si="830"/>
        <v>0</v>
      </c>
      <c r="W13302">
        <f t="shared" si="831"/>
        <v>0</v>
      </c>
    </row>
    <row r="13303" spans="5:23" x14ac:dyDescent="0.25">
      <c r="E13303" s="4"/>
      <c r="F13303" s="4"/>
      <c r="G13303" s="33" t="str">
        <f>IFERROR(VLOOKUP($D13303,'Informations sur les produits'!$A$3:$H$10000,8,FALSE),"0")</f>
        <v>0</v>
      </c>
      <c r="K13303" s="4"/>
      <c r="L13303" s="33" t="str">
        <f>IFERROR(VLOOKUP($J13303,'Informations sur les produits'!$A$3:$H$10000,8,FALSE),"0")</f>
        <v>0</v>
      </c>
      <c r="N13303" s="8"/>
      <c r="O13303" s="33" t="str">
        <f>IFERROR(VLOOKUP($M13303,'Informations sur les produits'!$A$3:$H$10000,8,FALSE),"0")</f>
        <v>0</v>
      </c>
      <c r="P13303" s="33">
        <f t="shared" si="828"/>
        <v>0</v>
      </c>
      <c r="Q13303" s="31" t="str">
        <f t="shared" si="829"/>
        <v/>
      </c>
      <c r="R13303" s="32" t="str">
        <f>IFERROR(VLOOKUP($D13303,'Informations sur les produits'!$A$3:$B$15000,2,FALSE),"")</f>
        <v/>
      </c>
      <c r="V13303">
        <f t="shared" si="830"/>
        <v>0</v>
      </c>
      <c r="W13303">
        <f t="shared" si="831"/>
        <v>0</v>
      </c>
    </row>
    <row r="13304" spans="5:23" x14ac:dyDescent="0.25">
      <c r="E13304" s="4"/>
      <c r="F13304" s="4"/>
      <c r="G13304" s="33" t="str">
        <f>IFERROR(VLOOKUP($D13304,'Informations sur les produits'!$A$3:$H$10000,8,FALSE),"0")</f>
        <v>0</v>
      </c>
      <c r="K13304" s="4"/>
      <c r="L13304" s="33" t="str">
        <f>IFERROR(VLOOKUP($J13304,'Informations sur les produits'!$A$3:$H$10000,8,FALSE),"0")</f>
        <v>0</v>
      </c>
      <c r="N13304" s="8"/>
      <c r="O13304" s="33" t="str">
        <f>IFERROR(VLOOKUP($M13304,'Informations sur les produits'!$A$3:$H$10000,8,FALSE),"0")</f>
        <v>0</v>
      </c>
      <c r="P13304" s="33">
        <f t="shared" si="828"/>
        <v>0</v>
      </c>
      <c r="Q13304" s="31" t="str">
        <f t="shared" si="829"/>
        <v/>
      </c>
      <c r="R13304" s="32" t="str">
        <f>IFERROR(VLOOKUP($D13304,'Informations sur les produits'!$A$3:$B$15000,2,FALSE),"")</f>
        <v/>
      </c>
      <c r="V13304">
        <f t="shared" si="830"/>
        <v>0</v>
      </c>
      <c r="W13304">
        <f t="shared" si="831"/>
        <v>0</v>
      </c>
    </row>
    <row r="13305" spans="5:23" x14ac:dyDescent="0.25">
      <c r="E13305" s="4"/>
      <c r="F13305" s="4"/>
      <c r="G13305" s="33" t="str">
        <f>IFERROR(VLOOKUP($D13305,'Informations sur les produits'!$A$3:$H$10000,8,FALSE),"0")</f>
        <v>0</v>
      </c>
      <c r="K13305" s="4"/>
      <c r="L13305" s="33" t="str">
        <f>IFERROR(VLOOKUP($J13305,'Informations sur les produits'!$A$3:$H$10000,8,FALSE),"0")</f>
        <v>0</v>
      </c>
      <c r="N13305" s="8"/>
      <c r="O13305" s="33" t="str">
        <f>IFERROR(VLOOKUP($M13305,'Informations sur les produits'!$A$3:$H$10000,8,FALSE),"0")</f>
        <v>0</v>
      </c>
      <c r="P13305" s="33">
        <f t="shared" si="828"/>
        <v>0</v>
      </c>
      <c r="Q13305" s="31" t="str">
        <f t="shared" si="829"/>
        <v/>
      </c>
      <c r="R13305" s="32" t="str">
        <f>IFERROR(VLOOKUP($D13305,'Informations sur les produits'!$A$3:$B$15000,2,FALSE),"")</f>
        <v/>
      </c>
      <c r="V13305">
        <f t="shared" si="830"/>
        <v>0</v>
      </c>
      <c r="W13305">
        <f t="shared" si="831"/>
        <v>0</v>
      </c>
    </row>
    <row r="13306" spans="5:23" x14ac:dyDescent="0.25">
      <c r="E13306" s="4"/>
      <c r="F13306" s="4"/>
      <c r="G13306" s="33" t="str">
        <f>IFERROR(VLOOKUP($D13306,'Informations sur les produits'!$A$3:$H$10000,8,FALSE),"0")</f>
        <v>0</v>
      </c>
      <c r="K13306" s="4"/>
      <c r="L13306" s="33" t="str">
        <f>IFERROR(VLOOKUP($J13306,'Informations sur les produits'!$A$3:$H$10000,8,FALSE),"0")</f>
        <v>0</v>
      </c>
      <c r="N13306" s="8"/>
      <c r="O13306" s="33" t="str">
        <f>IFERROR(VLOOKUP($M13306,'Informations sur les produits'!$A$3:$H$10000,8,FALSE),"0")</f>
        <v>0</v>
      </c>
      <c r="P13306" s="33">
        <f t="shared" si="828"/>
        <v>0</v>
      </c>
      <c r="Q13306" s="31" t="str">
        <f t="shared" si="829"/>
        <v/>
      </c>
      <c r="R13306" s="32" t="str">
        <f>IFERROR(VLOOKUP($D13306,'Informations sur les produits'!$A$3:$B$15000,2,FALSE),"")</f>
        <v/>
      </c>
      <c r="V13306">
        <f t="shared" si="830"/>
        <v>0</v>
      </c>
      <c r="W13306">
        <f t="shared" si="831"/>
        <v>0</v>
      </c>
    </row>
    <row r="13307" spans="5:23" x14ac:dyDescent="0.25">
      <c r="E13307" s="4"/>
      <c r="F13307" s="4"/>
      <c r="G13307" s="33" t="str">
        <f>IFERROR(VLOOKUP($D13307,'Informations sur les produits'!$A$3:$H$10000,8,FALSE),"0")</f>
        <v>0</v>
      </c>
      <c r="K13307" s="4"/>
      <c r="L13307" s="33" t="str">
        <f>IFERROR(VLOOKUP($J13307,'Informations sur les produits'!$A$3:$H$10000,8,FALSE),"0")</f>
        <v>0</v>
      </c>
      <c r="N13307" s="8"/>
      <c r="O13307" s="33" t="str">
        <f>IFERROR(VLOOKUP($M13307,'Informations sur les produits'!$A$3:$H$10000,8,FALSE),"0")</f>
        <v>0</v>
      </c>
      <c r="P13307" s="33">
        <f t="shared" si="828"/>
        <v>0</v>
      </c>
      <c r="Q13307" s="31" t="str">
        <f t="shared" si="829"/>
        <v/>
      </c>
      <c r="R13307" s="32" t="str">
        <f>IFERROR(VLOOKUP($D13307,'Informations sur les produits'!$A$3:$B$15000,2,FALSE),"")</f>
        <v/>
      </c>
      <c r="V13307">
        <f t="shared" si="830"/>
        <v>0</v>
      </c>
      <c r="W13307">
        <f t="shared" si="831"/>
        <v>0</v>
      </c>
    </row>
    <row r="13308" spans="5:23" x14ac:dyDescent="0.25">
      <c r="E13308" s="4"/>
      <c r="F13308" s="4"/>
      <c r="G13308" s="33" t="str">
        <f>IFERROR(VLOOKUP($D13308,'Informations sur les produits'!$A$3:$H$10000,8,FALSE),"0")</f>
        <v>0</v>
      </c>
      <c r="K13308" s="4"/>
      <c r="L13308" s="33" t="str">
        <f>IFERROR(VLOOKUP($J13308,'Informations sur les produits'!$A$3:$H$10000,8,FALSE),"0")</f>
        <v>0</v>
      </c>
      <c r="N13308" s="8"/>
      <c r="O13308" s="33" t="str">
        <f>IFERROR(VLOOKUP($M13308,'Informations sur les produits'!$A$3:$H$10000,8,FALSE),"0")</f>
        <v>0</v>
      </c>
      <c r="P13308" s="33">
        <f t="shared" si="828"/>
        <v>0</v>
      </c>
      <c r="Q13308" s="31" t="str">
        <f t="shared" si="829"/>
        <v/>
      </c>
      <c r="R13308" s="32" t="str">
        <f>IFERROR(VLOOKUP($D13308,'Informations sur les produits'!$A$3:$B$15000,2,FALSE),"")</f>
        <v/>
      </c>
      <c r="V13308">
        <f t="shared" si="830"/>
        <v>0</v>
      </c>
      <c r="W13308">
        <f t="shared" si="831"/>
        <v>0</v>
      </c>
    </row>
    <row r="13309" spans="5:23" x14ac:dyDescent="0.25">
      <c r="E13309" s="4"/>
      <c r="F13309" s="4"/>
      <c r="G13309" s="33" t="str">
        <f>IFERROR(VLOOKUP($D13309,'Informations sur les produits'!$A$3:$H$10000,8,FALSE),"0")</f>
        <v>0</v>
      </c>
      <c r="K13309" s="4"/>
      <c r="L13309" s="33" t="str">
        <f>IFERROR(VLOOKUP($J13309,'Informations sur les produits'!$A$3:$H$10000,8,FALSE),"0")</f>
        <v>0</v>
      </c>
      <c r="N13309" s="8"/>
      <c r="O13309" s="33" t="str">
        <f>IFERROR(VLOOKUP($M13309,'Informations sur les produits'!$A$3:$H$10000,8,FALSE),"0")</f>
        <v>0</v>
      </c>
      <c r="P13309" s="33">
        <f t="shared" si="828"/>
        <v>0</v>
      </c>
      <c r="Q13309" s="31" t="str">
        <f t="shared" si="829"/>
        <v/>
      </c>
      <c r="R13309" s="32" t="str">
        <f>IFERROR(VLOOKUP($D13309,'Informations sur les produits'!$A$3:$B$15000,2,FALSE),"")</f>
        <v/>
      </c>
      <c r="V13309">
        <f t="shared" si="830"/>
        <v>0</v>
      </c>
      <c r="W13309">
        <f t="shared" si="831"/>
        <v>0</v>
      </c>
    </row>
    <row r="13310" spans="5:23" x14ac:dyDescent="0.25">
      <c r="E13310" s="4"/>
      <c r="F13310" s="4"/>
      <c r="G13310" s="33" t="str">
        <f>IFERROR(VLOOKUP($D13310,'Informations sur les produits'!$A$3:$H$10000,8,FALSE),"0")</f>
        <v>0</v>
      </c>
      <c r="K13310" s="4"/>
      <c r="L13310" s="33" t="str">
        <f>IFERROR(VLOOKUP($J13310,'Informations sur les produits'!$A$3:$H$10000,8,FALSE),"0")</f>
        <v>0</v>
      </c>
      <c r="N13310" s="8"/>
      <c r="O13310" s="33" t="str">
        <f>IFERROR(VLOOKUP($M13310,'Informations sur les produits'!$A$3:$H$10000,8,FALSE),"0")</f>
        <v>0</v>
      </c>
      <c r="P13310" s="33">
        <f t="shared" si="828"/>
        <v>0</v>
      </c>
      <c r="Q13310" s="31" t="str">
        <f t="shared" si="829"/>
        <v/>
      </c>
      <c r="R13310" s="32" t="str">
        <f>IFERROR(VLOOKUP($D13310,'Informations sur les produits'!$A$3:$B$15000,2,FALSE),"")</f>
        <v/>
      </c>
      <c r="V13310">
        <f t="shared" si="830"/>
        <v>0</v>
      </c>
      <c r="W13310">
        <f t="shared" si="831"/>
        <v>0</v>
      </c>
    </row>
    <row r="13311" spans="5:23" x14ac:dyDescent="0.25">
      <c r="E13311" s="4"/>
      <c r="F13311" s="4"/>
      <c r="G13311" s="33" t="str">
        <f>IFERROR(VLOOKUP($D13311,'Informations sur les produits'!$A$3:$H$10000,8,FALSE),"0")</f>
        <v>0</v>
      </c>
      <c r="K13311" s="4"/>
      <c r="L13311" s="33" t="str">
        <f>IFERROR(VLOOKUP($J13311,'Informations sur les produits'!$A$3:$H$10000,8,FALSE),"0")</f>
        <v>0</v>
      </c>
      <c r="N13311" s="8"/>
      <c r="O13311" s="33" t="str">
        <f>IFERROR(VLOOKUP($M13311,'Informations sur les produits'!$A$3:$H$10000,8,FALSE),"0")</f>
        <v>0</v>
      </c>
      <c r="P13311" s="33">
        <f t="shared" si="828"/>
        <v>0</v>
      </c>
      <c r="Q13311" s="31" t="str">
        <f t="shared" si="829"/>
        <v/>
      </c>
      <c r="R13311" s="32" t="str">
        <f>IFERROR(VLOOKUP($D13311,'Informations sur les produits'!$A$3:$B$15000,2,FALSE),"")</f>
        <v/>
      </c>
      <c r="V13311">
        <f t="shared" si="830"/>
        <v>0</v>
      </c>
      <c r="W13311">
        <f t="shared" si="831"/>
        <v>0</v>
      </c>
    </row>
    <row r="13312" spans="5:23" x14ac:dyDescent="0.25">
      <c r="E13312" s="4"/>
      <c r="F13312" s="4"/>
      <c r="G13312" s="33" t="str">
        <f>IFERROR(VLOOKUP($D13312,'Informations sur les produits'!$A$3:$H$10000,8,FALSE),"0")</f>
        <v>0</v>
      </c>
      <c r="K13312" s="4"/>
      <c r="L13312" s="33" t="str">
        <f>IFERROR(VLOOKUP($J13312,'Informations sur les produits'!$A$3:$H$10000,8,FALSE),"0")</f>
        <v>0</v>
      </c>
      <c r="N13312" s="8"/>
      <c r="O13312" s="33" t="str">
        <f>IFERROR(VLOOKUP($M13312,'Informations sur les produits'!$A$3:$H$10000,8,FALSE),"0")</f>
        <v>0</v>
      </c>
      <c r="P13312" s="33">
        <f t="shared" si="828"/>
        <v>0</v>
      </c>
      <c r="Q13312" s="31" t="str">
        <f t="shared" si="829"/>
        <v/>
      </c>
      <c r="R13312" s="32" t="str">
        <f>IFERROR(VLOOKUP($D13312,'Informations sur les produits'!$A$3:$B$15000,2,FALSE),"")</f>
        <v/>
      </c>
      <c r="V13312">
        <f t="shared" si="830"/>
        <v>0</v>
      </c>
      <c r="W13312">
        <f t="shared" si="831"/>
        <v>0</v>
      </c>
    </row>
    <row r="13313" spans="5:23" x14ac:dyDescent="0.25">
      <c r="E13313" s="4"/>
      <c r="F13313" s="4"/>
      <c r="G13313" s="33" t="str">
        <f>IFERROR(VLOOKUP($D13313,'Informations sur les produits'!$A$3:$H$10000,8,FALSE),"0")</f>
        <v>0</v>
      </c>
      <c r="K13313" s="4"/>
      <c r="L13313" s="33" t="str">
        <f>IFERROR(VLOOKUP($J13313,'Informations sur les produits'!$A$3:$H$10000,8,FALSE),"0")</f>
        <v>0</v>
      </c>
      <c r="N13313" s="8"/>
      <c r="O13313" s="33" t="str">
        <f>IFERROR(VLOOKUP($M13313,'Informations sur les produits'!$A$3:$H$10000,8,FALSE),"0")</f>
        <v>0</v>
      </c>
      <c r="P13313" s="33">
        <f t="shared" si="828"/>
        <v>0</v>
      </c>
      <c r="Q13313" s="31" t="str">
        <f t="shared" si="829"/>
        <v/>
      </c>
      <c r="R13313" s="32" t="str">
        <f>IFERROR(VLOOKUP($D13313,'Informations sur les produits'!$A$3:$B$15000,2,FALSE),"")</f>
        <v/>
      </c>
      <c r="V13313">
        <f t="shared" si="830"/>
        <v>0</v>
      </c>
      <c r="W13313">
        <f t="shared" si="831"/>
        <v>0</v>
      </c>
    </row>
    <row r="13314" spans="5:23" x14ac:dyDescent="0.25">
      <c r="E13314" s="4"/>
      <c r="F13314" s="4"/>
      <c r="G13314" s="33" t="str">
        <f>IFERROR(VLOOKUP($D13314,'Informations sur les produits'!$A$3:$H$10000,8,FALSE),"0")</f>
        <v>0</v>
      </c>
      <c r="K13314" s="4"/>
      <c r="L13314" s="33" t="str">
        <f>IFERROR(VLOOKUP($J13314,'Informations sur les produits'!$A$3:$H$10000,8,FALSE),"0")</f>
        <v>0</v>
      </c>
      <c r="N13314" s="8"/>
      <c r="O13314" s="33" t="str">
        <f>IFERROR(VLOOKUP($M13314,'Informations sur les produits'!$A$3:$H$10000,8,FALSE),"0")</f>
        <v>0</v>
      </c>
      <c r="P13314" s="33">
        <f t="shared" si="828"/>
        <v>0</v>
      </c>
      <c r="Q13314" s="31" t="str">
        <f t="shared" si="829"/>
        <v/>
      </c>
      <c r="R13314" s="32" t="str">
        <f>IFERROR(VLOOKUP($D13314,'Informations sur les produits'!$A$3:$B$15000,2,FALSE),"")</f>
        <v/>
      </c>
      <c r="V13314">
        <f t="shared" si="830"/>
        <v>0</v>
      </c>
      <c r="W13314">
        <f t="shared" si="831"/>
        <v>0</v>
      </c>
    </row>
    <row r="13315" spans="5:23" x14ac:dyDescent="0.25">
      <c r="E13315" s="4"/>
      <c r="F13315" s="4"/>
      <c r="G13315" s="33" t="str">
        <f>IFERROR(VLOOKUP($D13315,'Informations sur les produits'!$A$3:$H$10000,8,FALSE),"0")</f>
        <v>0</v>
      </c>
      <c r="K13315" s="4"/>
      <c r="L13315" s="33" t="str">
        <f>IFERROR(VLOOKUP($J13315,'Informations sur les produits'!$A$3:$H$10000,8,FALSE),"0")</f>
        <v>0</v>
      </c>
      <c r="N13315" s="8"/>
      <c r="O13315" s="33" t="str">
        <f>IFERROR(VLOOKUP($M13315,'Informations sur les produits'!$A$3:$H$10000,8,FALSE),"0")</f>
        <v>0</v>
      </c>
      <c r="P13315" s="33">
        <f t="shared" si="828"/>
        <v>0</v>
      </c>
      <c r="Q13315" s="31" t="str">
        <f t="shared" si="829"/>
        <v/>
      </c>
      <c r="R13315" s="32" t="str">
        <f>IFERROR(VLOOKUP($D13315,'Informations sur les produits'!$A$3:$B$15000,2,FALSE),"")</f>
        <v/>
      </c>
      <c r="V13315">
        <f t="shared" si="830"/>
        <v>0</v>
      </c>
      <c r="W13315">
        <f t="shared" si="831"/>
        <v>0</v>
      </c>
    </row>
    <row r="13316" spans="5:23" x14ac:dyDescent="0.25">
      <c r="E13316" s="4"/>
      <c r="F13316" s="4"/>
      <c r="G13316" s="33" t="str">
        <f>IFERROR(VLOOKUP($D13316,'Informations sur les produits'!$A$3:$H$10000,8,FALSE),"0")</f>
        <v>0</v>
      </c>
      <c r="K13316" s="4"/>
      <c r="L13316" s="33" t="str">
        <f>IFERROR(VLOOKUP($J13316,'Informations sur les produits'!$A$3:$H$10000,8,FALSE),"0")</f>
        <v>0</v>
      </c>
      <c r="N13316" s="8"/>
      <c r="O13316" s="33" t="str">
        <f>IFERROR(VLOOKUP($M13316,'Informations sur les produits'!$A$3:$H$10000,8,FALSE),"0")</f>
        <v>0</v>
      </c>
      <c r="P13316" s="33">
        <f t="shared" ref="P13316:P13379" si="832">IFERROR((($E13316-$F13316)*$G13316+$K13316*$L13316+$N13316*$O13316),"")</f>
        <v>0</v>
      </c>
      <c r="Q13316" s="31" t="str">
        <f t="shared" ref="Q13316:Q13379" si="833">IFERROR((((($E13316-$F13316)*$G13316+$K13316*$L13316+$N13316*$O13316)*1000)/(($E13316-$F13316)+$K13316+$N13316)),"")</f>
        <v/>
      </c>
      <c r="R13316" s="32" t="str">
        <f>IFERROR(VLOOKUP($D13316,'Informations sur les produits'!$A$3:$B$15000,2,FALSE),"")</f>
        <v/>
      </c>
      <c r="V13316">
        <f t="shared" ref="V13316:V13379" si="834">IFERROR(P13316*1000,"")</f>
        <v>0</v>
      </c>
      <c r="W13316">
        <f t="shared" ref="W13316:W13379" si="835">IFERROR(($E13316-$F13316)+$K13316+$N13316,"")</f>
        <v>0</v>
      </c>
    </row>
    <row r="13317" spans="5:23" x14ac:dyDescent="0.25">
      <c r="E13317" s="4"/>
      <c r="F13317" s="4"/>
      <c r="G13317" s="33" t="str">
        <f>IFERROR(VLOOKUP($D13317,'Informations sur les produits'!$A$3:$H$10000,8,FALSE),"0")</f>
        <v>0</v>
      </c>
      <c r="K13317" s="4"/>
      <c r="L13317" s="33" t="str">
        <f>IFERROR(VLOOKUP($J13317,'Informations sur les produits'!$A$3:$H$10000,8,FALSE),"0")</f>
        <v>0</v>
      </c>
      <c r="N13317" s="8"/>
      <c r="O13317" s="33" t="str">
        <f>IFERROR(VLOOKUP($M13317,'Informations sur les produits'!$A$3:$H$10000,8,FALSE),"0")</f>
        <v>0</v>
      </c>
      <c r="P13317" s="33">
        <f t="shared" si="832"/>
        <v>0</v>
      </c>
      <c r="Q13317" s="31" t="str">
        <f t="shared" si="833"/>
        <v/>
      </c>
      <c r="R13317" s="32" t="str">
        <f>IFERROR(VLOOKUP($D13317,'Informations sur les produits'!$A$3:$B$15000,2,FALSE),"")</f>
        <v/>
      </c>
      <c r="V13317">
        <f t="shared" si="834"/>
        <v>0</v>
      </c>
      <c r="W13317">
        <f t="shared" si="835"/>
        <v>0</v>
      </c>
    </row>
    <row r="13318" spans="5:23" x14ac:dyDescent="0.25">
      <c r="E13318" s="4"/>
      <c r="F13318" s="4"/>
      <c r="G13318" s="33" t="str">
        <f>IFERROR(VLOOKUP($D13318,'Informations sur les produits'!$A$3:$H$10000,8,FALSE),"0")</f>
        <v>0</v>
      </c>
      <c r="K13318" s="4"/>
      <c r="L13318" s="33" t="str">
        <f>IFERROR(VLOOKUP($J13318,'Informations sur les produits'!$A$3:$H$10000,8,FALSE),"0")</f>
        <v>0</v>
      </c>
      <c r="N13318" s="8"/>
      <c r="O13318" s="33" t="str">
        <f>IFERROR(VLOOKUP($M13318,'Informations sur les produits'!$A$3:$H$10000,8,FALSE),"0")</f>
        <v>0</v>
      </c>
      <c r="P13318" s="33">
        <f t="shared" si="832"/>
        <v>0</v>
      </c>
      <c r="Q13318" s="31" t="str">
        <f t="shared" si="833"/>
        <v/>
      </c>
      <c r="R13318" s="32" t="str">
        <f>IFERROR(VLOOKUP($D13318,'Informations sur les produits'!$A$3:$B$15000,2,FALSE),"")</f>
        <v/>
      </c>
      <c r="V13318">
        <f t="shared" si="834"/>
        <v>0</v>
      </c>
      <c r="W13318">
        <f t="shared" si="835"/>
        <v>0</v>
      </c>
    </row>
    <row r="13319" spans="5:23" x14ac:dyDescent="0.25">
      <c r="E13319" s="4"/>
      <c r="F13319" s="4"/>
      <c r="G13319" s="33" t="str">
        <f>IFERROR(VLOOKUP($D13319,'Informations sur les produits'!$A$3:$H$10000,8,FALSE),"0")</f>
        <v>0</v>
      </c>
      <c r="K13319" s="4"/>
      <c r="L13319" s="33" t="str">
        <f>IFERROR(VLOOKUP($J13319,'Informations sur les produits'!$A$3:$H$10000,8,FALSE),"0")</f>
        <v>0</v>
      </c>
      <c r="N13319" s="8"/>
      <c r="O13319" s="33" t="str">
        <f>IFERROR(VLOOKUP($M13319,'Informations sur les produits'!$A$3:$H$10000,8,FALSE),"0")</f>
        <v>0</v>
      </c>
      <c r="P13319" s="33">
        <f t="shared" si="832"/>
        <v>0</v>
      </c>
      <c r="Q13319" s="31" t="str">
        <f t="shared" si="833"/>
        <v/>
      </c>
      <c r="R13319" s="32" t="str">
        <f>IFERROR(VLOOKUP($D13319,'Informations sur les produits'!$A$3:$B$15000,2,FALSE),"")</f>
        <v/>
      </c>
      <c r="V13319">
        <f t="shared" si="834"/>
        <v>0</v>
      </c>
      <c r="W13319">
        <f t="shared" si="835"/>
        <v>0</v>
      </c>
    </row>
    <row r="13320" spans="5:23" x14ac:dyDescent="0.25">
      <c r="E13320" s="4"/>
      <c r="F13320" s="4"/>
      <c r="G13320" s="33" t="str">
        <f>IFERROR(VLOOKUP($D13320,'Informations sur les produits'!$A$3:$H$10000,8,FALSE),"0")</f>
        <v>0</v>
      </c>
      <c r="K13320" s="4"/>
      <c r="L13320" s="33" t="str">
        <f>IFERROR(VLOOKUP($J13320,'Informations sur les produits'!$A$3:$H$10000,8,FALSE),"0")</f>
        <v>0</v>
      </c>
      <c r="N13320" s="8"/>
      <c r="O13320" s="33" t="str">
        <f>IFERROR(VLOOKUP($M13320,'Informations sur les produits'!$A$3:$H$10000,8,FALSE),"0")</f>
        <v>0</v>
      </c>
      <c r="P13320" s="33">
        <f t="shared" si="832"/>
        <v>0</v>
      </c>
      <c r="Q13320" s="31" t="str">
        <f t="shared" si="833"/>
        <v/>
      </c>
      <c r="R13320" s="32" t="str">
        <f>IFERROR(VLOOKUP($D13320,'Informations sur les produits'!$A$3:$B$15000,2,FALSE),"")</f>
        <v/>
      </c>
      <c r="V13320">
        <f t="shared" si="834"/>
        <v>0</v>
      </c>
      <c r="W13320">
        <f t="shared" si="835"/>
        <v>0</v>
      </c>
    </row>
    <row r="13321" spans="5:23" x14ac:dyDescent="0.25">
      <c r="E13321" s="4"/>
      <c r="F13321" s="4"/>
      <c r="G13321" s="33" t="str">
        <f>IFERROR(VLOOKUP($D13321,'Informations sur les produits'!$A$3:$H$10000,8,FALSE),"0")</f>
        <v>0</v>
      </c>
      <c r="K13321" s="4"/>
      <c r="L13321" s="33" t="str">
        <f>IFERROR(VLOOKUP($J13321,'Informations sur les produits'!$A$3:$H$10000,8,FALSE),"0")</f>
        <v>0</v>
      </c>
      <c r="N13321" s="8"/>
      <c r="O13321" s="33" t="str">
        <f>IFERROR(VLOOKUP($M13321,'Informations sur les produits'!$A$3:$H$10000,8,FALSE),"0")</f>
        <v>0</v>
      </c>
      <c r="P13321" s="33">
        <f t="shared" si="832"/>
        <v>0</v>
      </c>
      <c r="Q13321" s="31" t="str">
        <f t="shared" si="833"/>
        <v/>
      </c>
      <c r="R13321" s="32" t="str">
        <f>IFERROR(VLOOKUP($D13321,'Informations sur les produits'!$A$3:$B$15000,2,FALSE),"")</f>
        <v/>
      </c>
      <c r="V13321">
        <f t="shared" si="834"/>
        <v>0</v>
      </c>
      <c r="W13321">
        <f t="shared" si="835"/>
        <v>0</v>
      </c>
    </row>
    <row r="13322" spans="5:23" x14ac:dyDescent="0.25">
      <c r="E13322" s="4"/>
      <c r="F13322" s="4"/>
      <c r="G13322" s="33" t="str">
        <f>IFERROR(VLOOKUP($D13322,'Informations sur les produits'!$A$3:$H$10000,8,FALSE),"0")</f>
        <v>0</v>
      </c>
      <c r="K13322" s="4"/>
      <c r="L13322" s="33" t="str">
        <f>IFERROR(VLOOKUP($J13322,'Informations sur les produits'!$A$3:$H$10000,8,FALSE),"0")</f>
        <v>0</v>
      </c>
      <c r="N13322" s="8"/>
      <c r="O13322" s="33" t="str">
        <f>IFERROR(VLOOKUP($M13322,'Informations sur les produits'!$A$3:$H$10000,8,FALSE),"0")</f>
        <v>0</v>
      </c>
      <c r="P13322" s="33">
        <f t="shared" si="832"/>
        <v>0</v>
      </c>
      <c r="Q13322" s="31" t="str">
        <f t="shared" si="833"/>
        <v/>
      </c>
      <c r="R13322" s="32" t="str">
        <f>IFERROR(VLOOKUP($D13322,'Informations sur les produits'!$A$3:$B$15000,2,FALSE),"")</f>
        <v/>
      </c>
      <c r="V13322">
        <f t="shared" si="834"/>
        <v>0</v>
      </c>
      <c r="W13322">
        <f t="shared" si="835"/>
        <v>0</v>
      </c>
    </row>
    <row r="13323" spans="5:23" x14ac:dyDescent="0.25">
      <c r="E13323" s="4"/>
      <c r="F13323" s="4"/>
      <c r="G13323" s="33" t="str">
        <f>IFERROR(VLOOKUP($D13323,'Informations sur les produits'!$A$3:$H$10000,8,FALSE),"0")</f>
        <v>0</v>
      </c>
      <c r="K13323" s="4"/>
      <c r="L13323" s="33" t="str">
        <f>IFERROR(VLOOKUP($J13323,'Informations sur les produits'!$A$3:$H$10000,8,FALSE),"0")</f>
        <v>0</v>
      </c>
      <c r="N13323" s="8"/>
      <c r="O13323" s="33" t="str">
        <f>IFERROR(VLOOKUP($M13323,'Informations sur les produits'!$A$3:$H$10000,8,FALSE),"0")</f>
        <v>0</v>
      </c>
      <c r="P13323" s="33">
        <f t="shared" si="832"/>
        <v>0</v>
      </c>
      <c r="Q13323" s="31" t="str">
        <f t="shared" si="833"/>
        <v/>
      </c>
      <c r="R13323" s="32" t="str">
        <f>IFERROR(VLOOKUP($D13323,'Informations sur les produits'!$A$3:$B$15000,2,FALSE),"")</f>
        <v/>
      </c>
      <c r="V13323">
        <f t="shared" si="834"/>
        <v>0</v>
      </c>
      <c r="W13323">
        <f t="shared" si="835"/>
        <v>0</v>
      </c>
    </row>
    <row r="13324" spans="5:23" x14ac:dyDescent="0.25">
      <c r="E13324" s="4"/>
      <c r="F13324" s="4"/>
      <c r="G13324" s="33" t="str">
        <f>IFERROR(VLOOKUP($D13324,'Informations sur les produits'!$A$3:$H$10000,8,FALSE),"0")</f>
        <v>0</v>
      </c>
      <c r="K13324" s="4"/>
      <c r="L13324" s="33" t="str">
        <f>IFERROR(VLOOKUP($J13324,'Informations sur les produits'!$A$3:$H$10000,8,FALSE),"0")</f>
        <v>0</v>
      </c>
      <c r="N13324" s="8"/>
      <c r="O13324" s="33" t="str">
        <f>IFERROR(VLOOKUP($M13324,'Informations sur les produits'!$A$3:$H$10000,8,FALSE),"0")</f>
        <v>0</v>
      </c>
      <c r="P13324" s="33">
        <f t="shared" si="832"/>
        <v>0</v>
      </c>
      <c r="Q13324" s="31" t="str">
        <f t="shared" si="833"/>
        <v/>
      </c>
      <c r="R13324" s="32" t="str">
        <f>IFERROR(VLOOKUP($D13324,'Informations sur les produits'!$A$3:$B$15000,2,FALSE),"")</f>
        <v/>
      </c>
      <c r="V13324">
        <f t="shared" si="834"/>
        <v>0</v>
      </c>
      <c r="W13324">
        <f t="shared" si="835"/>
        <v>0</v>
      </c>
    </row>
    <row r="13325" spans="5:23" x14ac:dyDescent="0.25">
      <c r="E13325" s="4"/>
      <c r="F13325" s="4"/>
      <c r="G13325" s="33" t="str">
        <f>IFERROR(VLOOKUP($D13325,'Informations sur les produits'!$A$3:$H$10000,8,FALSE),"0")</f>
        <v>0</v>
      </c>
      <c r="K13325" s="4"/>
      <c r="L13325" s="33" t="str">
        <f>IFERROR(VLOOKUP($J13325,'Informations sur les produits'!$A$3:$H$10000,8,FALSE),"0")</f>
        <v>0</v>
      </c>
      <c r="N13325" s="8"/>
      <c r="O13325" s="33" t="str">
        <f>IFERROR(VLOOKUP($M13325,'Informations sur les produits'!$A$3:$H$10000,8,FALSE),"0")</f>
        <v>0</v>
      </c>
      <c r="P13325" s="33">
        <f t="shared" si="832"/>
        <v>0</v>
      </c>
      <c r="Q13325" s="31" t="str">
        <f t="shared" si="833"/>
        <v/>
      </c>
      <c r="R13325" s="32" t="str">
        <f>IFERROR(VLOOKUP($D13325,'Informations sur les produits'!$A$3:$B$15000,2,FALSE),"")</f>
        <v/>
      </c>
      <c r="V13325">
        <f t="shared" si="834"/>
        <v>0</v>
      </c>
      <c r="W13325">
        <f t="shared" si="835"/>
        <v>0</v>
      </c>
    </row>
    <row r="13326" spans="5:23" x14ac:dyDescent="0.25">
      <c r="E13326" s="4"/>
      <c r="F13326" s="4"/>
      <c r="G13326" s="33" t="str">
        <f>IFERROR(VLOOKUP($D13326,'Informations sur les produits'!$A$3:$H$10000,8,FALSE),"0")</f>
        <v>0</v>
      </c>
      <c r="K13326" s="4"/>
      <c r="L13326" s="33" t="str">
        <f>IFERROR(VLOOKUP($J13326,'Informations sur les produits'!$A$3:$H$10000,8,FALSE),"0")</f>
        <v>0</v>
      </c>
      <c r="N13326" s="8"/>
      <c r="O13326" s="33" t="str">
        <f>IFERROR(VLOOKUP($M13326,'Informations sur les produits'!$A$3:$H$10000,8,FALSE),"0")</f>
        <v>0</v>
      </c>
      <c r="P13326" s="33">
        <f t="shared" si="832"/>
        <v>0</v>
      </c>
      <c r="Q13326" s="31" t="str">
        <f t="shared" si="833"/>
        <v/>
      </c>
      <c r="R13326" s="32" t="str">
        <f>IFERROR(VLOOKUP($D13326,'Informations sur les produits'!$A$3:$B$15000,2,FALSE),"")</f>
        <v/>
      </c>
      <c r="V13326">
        <f t="shared" si="834"/>
        <v>0</v>
      </c>
      <c r="W13326">
        <f t="shared" si="835"/>
        <v>0</v>
      </c>
    </row>
    <row r="13327" spans="5:23" x14ac:dyDescent="0.25">
      <c r="E13327" s="4"/>
      <c r="F13327" s="4"/>
      <c r="G13327" s="33" t="str">
        <f>IFERROR(VLOOKUP($D13327,'Informations sur les produits'!$A$3:$H$10000,8,FALSE),"0")</f>
        <v>0</v>
      </c>
      <c r="K13327" s="4"/>
      <c r="L13327" s="33" t="str">
        <f>IFERROR(VLOOKUP($J13327,'Informations sur les produits'!$A$3:$H$10000,8,FALSE),"0")</f>
        <v>0</v>
      </c>
      <c r="N13327" s="8"/>
      <c r="O13327" s="33" t="str">
        <f>IFERROR(VLOOKUP($M13327,'Informations sur les produits'!$A$3:$H$10000,8,FALSE),"0")</f>
        <v>0</v>
      </c>
      <c r="P13327" s="33">
        <f t="shared" si="832"/>
        <v>0</v>
      </c>
      <c r="Q13327" s="31" t="str">
        <f t="shared" si="833"/>
        <v/>
      </c>
      <c r="R13327" s="32" t="str">
        <f>IFERROR(VLOOKUP($D13327,'Informations sur les produits'!$A$3:$B$15000,2,FALSE),"")</f>
        <v/>
      </c>
      <c r="V13327">
        <f t="shared" si="834"/>
        <v>0</v>
      </c>
      <c r="W13327">
        <f t="shared" si="835"/>
        <v>0</v>
      </c>
    </row>
    <row r="13328" spans="5:23" x14ac:dyDescent="0.25">
      <c r="E13328" s="4"/>
      <c r="F13328" s="4"/>
      <c r="G13328" s="33" t="str">
        <f>IFERROR(VLOOKUP($D13328,'Informations sur les produits'!$A$3:$H$10000,8,FALSE),"0")</f>
        <v>0</v>
      </c>
      <c r="K13328" s="4"/>
      <c r="L13328" s="33" t="str">
        <f>IFERROR(VLOOKUP($J13328,'Informations sur les produits'!$A$3:$H$10000,8,FALSE),"0")</f>
        <v>0</v>
      </c>
      <c r="N13328" s="8"/>
      <c r="O13328" s="33" t="str">
        <f>IFERROR(VLOOKUP($M13328,'Informations sur les produits'!$A$3:$H$10000,8,FALSE),"0")</f>
        <v>0</v>
      </c>
      <c r="P13328" s="33">
        <f t="shared" si="832"/>
        <v>0</v>
      </c>
      <c r="Q13328" s="31" t="str">
        <f t="shared" si="833"/>
        <v/>
      </c>
      <c r="R13328" s="32" t="str">
        <f>IFERROR(VLOOKUP($D13328,'Informations sur les produits'!$A$3:$B$15000,2,FALSE),"")</f>
        <v/>
      </c>
      <c r="V13328">
        <f t="shared" si="834"/>
        <v>0</v>
      </c>
      <c r="W13328">
        <f t="shared" si="835"/>
        <v>0</v>
      </c>
    </row>
    <row r="13329" spans="5:23" x14ac:dyDescent="0.25">
      <c r="E13329" s="4"/>
      <c r="F13329" s="4"/>
      <c r="G13329" s="33" t="str">
        <f>IFERROR(VLOOKUP($D13329,'Informations sur les produits'!$A$3:$H$10000,8,FALSE),"0")</f>
        <v>0</v>
      </c>
      <c r="K13329" s="4"/>
      <c r="L13329" s="33" t="str">
        <f>IFERROR(VLOOKUP($J13329,'Informations sur les produits'!$A$3:$H$10000,8,FALSE),"0")</f>
        <v>0</v>
      </c>
      <c r="N13329" s="8"/>
      <c r="O13329" s="33" t="str">
        <f>IFERROR(VLOOKUP($M13329,'Informations sur les produits'!$A$3:$H$10000,8,FALSE),"0")</f>
        <v>0</v>
      </c>
      <c r="P13329" s="33">
        <f t="shared" si="832"/>
        <v>0</v>
      </c>
      <c r="Q13329" s="31" t="str">
        <f t="shared" si="833"/>
        <v/>
      </c>
      <c r="R13329" s="32" t="str">
        <f>IFERROR(VLOOKUP($D13329,'Informations sur les produits'!$A$3:$B$15000,2,FALSE),"")</f>
        <v/>
      </c>
      <c r="V13329">
        <f t="shared" si="834"/>
        <v>0</v>
      </c>
      <c r="W13329">
        <f t="shared" si="835"/>
        <v>0</v>
      </c>
    </row>
    <row r="13330" spans="5:23" x14ac:dyDescent="0.25">
      <c r="E13330" s="4"/>
      <c r="F13330" s="4"/>
      <c r="G13330" s="33" t="str">
        <f>IFERROR(VLOOKUP($D13330,'Informations sur les produits'!$A$3:$H$10000,8,FALSE),"0")</f>
        <v>0</v>
      </c>
      <c r="K13330" s="4"/>
      <c r="L13330" s="33" t="str">
        <f>IFERROR(VLOOKUP($J13330,'Informations sur les produits'!$A$3:$H$10000,8,FALSE),"0")</f>
        <v>0</v>
      </c>
      <c r="N13330" s="8"/>
      <c r="O13330" s="33" t="str">
        <f>IFERROR(VLOOKUP($M13330,'Informations sur les produits'!$A$3:$H$10000,8,FALSE),"0")</f>
        <v>0</v>
      </c>
      <c r="P13330" s="33">
        <f t="shared" si="832"/>
        <v>0</v>
      </c>
      <c r="Q13330" s="31" t="str">
        <f t="shared" si="833"/>
        <v/>
      </c>
      <c r="R13330" s="32" t="str">
        <f>IFERROR(VLOOKUP($D13330,'Informations sur les produits'!$A$3:$B$15000,2,FALSE),"")</f>
        <v/>
      </c>
      <c r="V13330">
        <f t="shared" si="834"/>
        <v>0</v>
      </c>
      <c r="W13330">
        <f t="shared" si="835"/>
        <v>0</v>
      </c>
    </row>
    <row r="13331" spans="5:23" x14ac:dyDescent="0.25">
      <c r="E13331" s="4"/>
      <c r="F13331" s="4"/>
      <c r="G13331" s="33" t="str">
        <f>IFERROR(VLOOKUP($D13331,'Informations sur les produits'!$A$3:$H$10000,8,FALSE),"0")</f>
        <v>0</v>
      </c>
      <c r="K13331" s="4"/>
      <c r="L13331" s="33" t="str">
        <f>IFERROR(VLOOKUP($J13331,'Informations sur les produits'!$A$3:$H$10000,8,FALSE),"0")</f>
        <v>0</v>
      </c>
      <c r="N13331" s="8"/>
      <c r="O13331" s="33" t="str">
        <f>IFERROR(VLOOKUP($M13331,'Informations sur les produits'!$A$3:$H$10000,8,FALSE),"0")</f>
        <v>0</v>
      </c>
      <c r="P13331" s="33">
        <f t="shared" si="832"/>
        <v>0</v>
      </c>
      <c r="Q13331" s="31" t="str">
        <f t="shared" si="833"/>
        <v/>
      </c>
      <c r="R13331" s="32" t="str">
        <f>IFERROR(VLOOKUP($D13331,'Informations sur les produits'!$A$3:$B$15000,2,FALSE),"")</f>
        <v/>
      </c>
      <c r="V13331">
        <f t="shared" si="834"/>
        <v>0</v>
      </c>
      <c r="W13331">
        <f t="shared" si="835"/>
        <v>0</v>
      </c>
    </row>
    <row r="13332" spans="5:23" x14ac:dyDescent="0.25">
      <c r="E13332" s="4"/>
      <c r="F13332" s="4"/>
      <c r="G13332" s="33" t="str">
        <f>IFERROR(VLOOKUP($D13332,'Informations sur les produits'!$A$3:$H$10000,8,FALSE),"0")</f>
        <v>0</v>
      </c>
      <c r="K13332" s="4"/>
      <c r="L13332" s="33" t="str">
        <f>IFERROR(VLOOKUP($J13332,'Informations sur les produits'!$A$3:$H$10000,8,FALSE),"0")</f>
        <v>0</v>
      </c>
      <c r="N13332" s="8"/>
      <c r="O13332" s="33" t="str">
        <f>IFERROR(VLOOKUP($M13332,'Informations sur les produits'!$A$3:$H$10000,8,FALSE),"0")</f>
        <v>0</v>
      </c>
      <c r="P13332" s="33">
        <f t="shared" si="832"/>
        <v>0</v>
      </c>
      <c r="Q13332" s="31" t="str">
        <f t="shared" si="833"/>
        <v/>
      </c>
      <c r="R13332" s="32" t="str">
        <f>IFERROR(VLOOKUP($D13332,'Informations sur les produits'!$A$3:$B$15000,2,FALSE),"")</f>
        <v/>
      </c>
      <c r="V13332">
        <f t="shared" si="834"/>
        <v>0</v>
      </c>
      <c r="W13332">
        <f t="shared" si="835"/>
        <v>0</v>
      </c>
    </row>
    <row r="13333" spans="5:23" x14ac:dyDescent="0.25">
      <c r="E13333" s="4"/>
      <c r="F13333" s="4"/>
      <c r="G13333" s="33" t="str">
        <f>IFERROR(VLOOKUP($D13333,'Informations sur les produits'!$A$3:$H$10000,8,FALSE),"0")</f>
        <v>0</v>
      </c>
      <c r="K13333" s="4"/>
      <c r="L13333" s="33" t="str">
        <f>IFERROR(VLOOKUP($J13333,'Informations sur les produits'!$A$3:$H$10000,8,FALSE),"0")</f>
        <v>0</v>
      </c>
      <c r="N13333" s="8"/>
      <c r="O13333" s="33" t="str">
        <f>IFERROR(VLOOKUP($M13333,'Informations sur les produits'!$A$3:$H$10000,8,FALSE),"0")</f>
        <v>0</v>
      </c>
      <c r="P13333" s="33">
        <f t="shared" si="832"/>
        <v>0</v>
      </c>
      <c r="Q13333" s="31" t="str">
        <f t="shared" si="833"/>
        <v/>
      </c>
      <c r="R13333" s="32" t="str">
        <f>IFERROR(VLOOKUP($D13333,'Informations sur les produits'!$A$3:$B$15000,2,FALSE),"")</f>
        <v/>
      </c>
      <c r="V13333">
        <f t="shared" si="834"/>
        <v>0</v>
      </c>
      <c r="W13333">
        <f t="shared" si="835"/>
        <v>0</v>
      </c>
    </row>
    <row r="13334" spans="5:23" x14ac:dyDescent="0.25">
      <c r="E13334" s="4"/>
      <c r="F13334" s="4"/>
      <c r="G13334" s="33" t="str">
        <f>IFERROR(VLOOKUP($D13334,'Informations sur les produits'!$A$3:$H$10000,8,FALSE),"0")</f>
        <v>0</v>
      </c>
      <c r="K13334" s="4"/>
      <c r="L13334" s="33" t="str">
        <f>IFERROR(VLOOKUP($J13334,'Informations sur les produits'!$A$3:$H$10000,8,FALSE),"0")</f>
        <v>0</v>
      </c>
      <c r="N13334" s="8"/>
      <c r="O13334" s="33" t="str">
        <f>IFERROR(VLOOKUP($M13334,'Informations sur les produits'!$A$3:$H$10000,8,FALSE),"0")</f>
        <v>0</v>
      </c>
      <c r="P13334" s="33">
        <f t="shared" si="832"/>
        <v>0</v>
      </c>
      <c r="Q13334" s="31" t="str">
        <f t="shared" si="833"/>
        <v/>
      </c>
      <c r="R13334" s="32" t="str">
        <f>IFERROR(VLOOKUP($D13334,'Informations sur les produits'!$A$3:$B$15000,2,FALSE),"")</f>
        <v/>
      </c>
      <c r="V13334">
        <f t="shared" si="834"/>
        <v>0</v>
      </c>
      <c r="W13334">
        <f t="shared" si="835"/>
        <v>0</v>
      </c>
    </row>
    <row r="13335" spans="5:23" x14ac:dyDescent="0.25">
      <c r="E13335" s="4"/>
      <c r="F13335" s="4"/>
      <c r="G13335" s="33" t="str">
        <f>IFERROR(VLOOKUP($D13335,'Informations sur les produits'!$A$3:$H$10000,8,FALSE),"0")</f>
        <v>0</v>
      </c>
      <c r="K13335" s="4"/>
      <c r="L13335" s="33" t="str">
        <f>IFERROR(VLOOKUP($J13335,'Informations sur les produits'!$A$3:$H$10000,8,FALSE),"0")</f>
        <v>0</v>
      </c>
      <c r="N13335" s="8"/>
      <c r="O13335" s="33" t="str">
        <f>IFERROR(VLOOKUP($M13335,'Informations sur les produits'!$A$3:$H$10000,8,FALSE),"0")</f>
        <v>0</v>
      </c>
      <c r="P13335" s="33">
        <f t="shared" si="832"/>
        <v>0</v>
      </c>
      <c r="Q13335" s="31" t="str">
        <f t="shared" si="833"/>
        <v/>
      </c>
      <c r="R13335" s="32" t="str">
        <f>IFERROR(VLOOKUP($D13335,'Informations sur les produits'!$A$3:$B$15000,2,FALSE),"")</f>
        <v/>
      </c>
      <c r="V13335">
        <f t="shared" si="834"/>
        <v>0</v>
      </c>
      <c r="W13335">
        <f t="shared" si="835"/>
        <v>0</v>
      </c>
    </row>
    <row r="13336" spans="5:23" x14ac:dyDescent="0.25">
      <c r="E13336" s="4"/>
      <c r="F13336" s="4"/>
      <c r="G13336" s="33" t="str">
        <f>IFERROR(VLOOKUP($D13336,'Informations sur les produits'!$A$3:$H$10000,8,FALSE),"0")</f>
        <v>0</v>
      </c>
      <c r="K13336" s="4"/>
      <c r="L13336" s="33" t="str">
        <f>IFERROR(VLOOKUP($J13336,'Informations sur les produits'!$A$3:$H$10000,8,FALSE),"0")</f>
        <v>0</v>
      </c>
      <c r="N13336" s="8"/>
      <c r="O13336" s="33" t="str">
        <f>IFERROR(VLOOKUP($M13336,'Informations sur les produits'!$A$3:$H$10000,8,FALSE),"0")</f>
        <v>0</v>
      </c>
      <c r="P13336" s="33">
        <f t="shared" si="832"/>
        <v>0</v>
      </c>
      <c r="Q13336" s="31" t="str">
        <f t="shared" si="833"/>
        <v/>
      </c>
      <c r="R13336" s="32" t="str">
        <f>IFERROR(VLOOKUP($D13336,'Informations sur les produits'!$A$3:$B$15000,2,FALSE),"")</f>
        <v/>
      </c>
      <c r="V13336">
        <f t="shared" si="834"/>
        <v>0</v>
      </c>
      <c r="W13336">
        <f t="shared" si="835"/>
        <v>0</v>
      </c>
    </row>
    <row r="13337" spans="5:23" x14ac:dyDescent="0.25">
      <c r="E13337" s="4"/>
      <c r="F13337" s="4"/>
      <c r="G13337" s="33" t="str">
        <f>IFERROR(VLOOKUP($D13337,'Informations sur les produits'!$A$3:$H$10000,8,FALSE),"0")</f>
        <v>0</v>
      </c>
      <c r="K13337" s="4"/>
      <c r="L13337" s="33" t="str">
        <f>IFERROR(VLOOKUP($J13337,'Informations sur les produits'!$A$3:$H$10000,8,FALSE),"0")</f>
        <v>0</v>
      </c>
      <c r="N13337" s="8"/>
      <c r="O13337" s="33" t="str">
        <f>IFERROR(VLOOKUP($M13337,'Informations sur les produits'!$A$3:$H$10000,8,FALSE),"0")</f>
        <v>0</v>
      </c>
      <c r="P13337" s="33">
        <f t="shared" si="832"/>
        <v>0</v>
      </c>
      <c r="Q13337" s="31" t="str">
        <f t="shared" si="833"/>
        <v/>
      </c>
      <c r="R13337" s="32" t="str">
        <f>IFERROR(VLOOKUP($D13337,'Informations sur les produits'!$A$3:$B$15000,2,FALSE),"")</f>
        <v/>
      </c>
      <c r="V13337">
        <f t="shared" si="834"/>
        <v>0</v>
      </c>
      <c r="W13337">
        <f t="shared" si="835"/>
        <v>0</v>
      </c>
    </row>
    <row r="13338" spans="5:23" x14ac:dyDescent="0.25">
      <c r="E13338" s="4"/>
      <c r="F13338" s="4"/>
      <c r="G13338" s="33" t="str">
        <f>IFERROR(VLOOKUP($D13338,'Informations sur les produits'!$A$3:$H$10000,8,FALSE),"0")</f>
        <v>0</v>
      </c>
      <c r="K13338" s="4"/>
      <c r="L13338" s="33" t="str">
        <f>IFERROR(VLOOKUP($J13338,'Informations sur les produits'!$A$3:$H$10000,8,FALSE),"0")</f>
        <v>0</v>
      </c>
      <c r="N13338" s="8"/>
      <c r="O13338" s="33" t="str">
        <f>IFERROR(VLOOKUP($M13338,'Informations sur les produits'!$A$3:$H$10000,8,FALSE),"0")</f>
        <v>0</v>
      </c>
      <c r="P13338" s="33">
        <f t="shared" si="832"/>
        <v>0</v>
      </c>
      <c r="Q13338" s="31" t="str">
        <f t="shared" si="833"/>
        <v/>
      </c>
      <c r="R13338" s="32" t="str">
        <f>IFERROR(VLOOKUP($D13338,'Informations sur les produits'!$A$3:$B$15000,2,FALSE),"")</f>
        <v/>
      </c>
      <c r="V13338">
        <f t="shared" si="834"/>
        <v>0</v>
      </c>
      <c r="W13338">
        <f t="shared" si="835"/>
        <v>0</v>
      </c>
    </row>
    <row r="13339" spans="5:23" x14ac:dyDescent="0.25">
      <c r="E13339" s="4"/>
      <c r="F13339" s="4"/>
      <c r="G13339" s="33" t="str">
        <f>IFERROR(VLOOKUP($D13339,'Informations sur les produits'!$A$3:$H$10000,8,FALSE),"0")</f>
        <v>0</v>
      </c>
      <c r="K13339" s="4"/>
      <c r="L13339" s="33" t="str">
        <f>IFERROR(VLOOKUP($J13339,'Informations sur les produits'!$A$3:$H$10000,8,FALSE),"0")</f>
        <v>0</v>
      </c>
      <c r="N13339" s="8"/>
      <c r="O13339" s="33" t="str">
        <f>IFERROR(VLOOKUP($M13339,'Informations sur les produits'!$A$3:$H$10000,8,FALSE),"0")</f>
        <v>0</v>
      </c>
      <c r="P13339" s="33">
        <f t="shared" si="832"/>
        <v>0</v>
      </c>
      <c r="Q13339" s="31" t="str">
        <f t="shared" si="833"/>
        <v/>
      </c>
      <c r="R13339" s="32" t="str">
        <f>IFERROR(VLOOKUP($D13339,'Informations sur les produits'!$A$3:$B$15000,2,FALSE),"")</f>
        <v/>
      </c>
      <c r="V13339">
        <f t="shared" si="834"/>
        <v>0</v>
      </c>
      <c r="W13339">
        <f t="shared" si="835"/>
        <v>0</v>
      </c>
    </row>
    <row r="13340" spans="5:23" x14ac:dyDescent="0.25">
      <c r="E13340" s="4"/>
      <c r="F13340" s="4"/>
      <c r="G13340" s="33" t="str">
        <f>IFERROR(VLOOKUP($D13340,'Informations sur les produits'!$A$3:$H$10000,8,FALSE),"0")</f>
        <v>0</v>
      </c>
      <c r="K13340" s="4"/>
      <c r="L13340" s="33" t="str">
        <f>IFERROR(VLOOKUP($J13340,'Informations sur les produits'!$A$3:$H$10000,8,FALSE),"0")</f>
        <v>0</v>
      </c>
      <c r="N13340" s="8"/>
      <c r="O13340" s="33" t="str">
        <f>IFERROR(VLOOKUP($M13340,'Informations sur les produits'!$A$3:$H$10000,8,FALSE),"0")</f>
        <v>0</v>
      </c>
      <c r="P13340" s="33">
        <f t="shared" si="832"/>
        <v>0</v>
      </c>
      <c r="Q13340" s="31" t="str">
        <f t="shared" si="833"/>
        <v/>
      </c>
      <c r="R13340" s="32" t="str">
        <f>IFERROR(VLOOKUP($D13340,'Informations sur les produits'!$A$3:$B$15000,2,FALSE),"")</f>
        <v/>
      </c>
      <c r="V13340">
        <f t="shared" si="834"/>
        <v>0</v>
      </c>
      <c r="W13340">
        <f t="shared" si="835"/>
        <v>0</v>
      </c>
    </row>
    <row r="13341" spans="5:23" x14ac:dyDescent="0.25">
      <c r="E13341" s="4"/>
      <c r="F13341" s="4"/>
      <c r="G13341" s="33" t="str">
        <f>IFERROR(VLOOKUP($D13341,'Informations sur les produits'!$A$3:$H$10000,8,FALSE),"0")</f>
        <v>0</v>
      </c>
      <c r="K13341" s="4"/>
      <c r="L13341" s="33" t="str">
        <f>IFERROR(VLOOKUP($J13341,'Informations sur les produits'!$A$3:$H$10000,8,FALSE),"0")</f>
        <v>0</v>
      </c>
      <c r="N13341" s="8"/>
      <c r="O13341" s="33" t="str">
        <f>IFERROR(VLOOKUP($M13341,'Informations sur les produits'!$A$3:$H$10000,8,FALSE),"0")</f>
        <v>0</v>
      </c>
      <c r="P13341" s="33">
        <f t="shared" si="832"/>
        <v>0</v>
      </c>
      <c r="Q13341" s="31" t="str">
        <f t="shared" si="833"/>
        <v/>
      </c>
      <c r="R13341" s="32" t="str">
        <f>IFERROR(VLOOKUP($D13341,'Informations sur les produits'!$A$3:$B$15000,2,FALSE),"")</f>
        <v/>
      </c>
      <c r="V13341">
        <f t="shared" si="834"/>
        <v>0</v>
      </c>
      <c r="W13341">
        <f t="shared" si="835"/>
        <v>0</v>
      </c>
    </row>
    <row r="13342" spans="5:23" x14ac:dyDescent="0.25">
      <c r="E13342" s="4"/>
      <c r="F13342" s="4"/>
      <c r="G13342" s="33" t="str">
        <f>IFERROR(VLOOKUP($D13342,'Informations sur les produits'!$A$3:$H$10000,8,FALSE),"0")</f>
        <v>0</v>
      </c>
      <c r="K13342" s="4"/>
      <c r="L13342" s="33" t="str">
        <f>IFERROR(VLOOKUP($J13342,'Informations sur les produits'!$A$3:$H$10000,8,FALSE),"0")</f>
        <v>0</v>
      </c>
      <c r="N13342" s="8"/>
      <c r="O13342" s="33" t="str">
        <f>IFERROR(VLOOKUP($M13342,'Informations sur les produits'!$A$3:$H$10000,8,FALSE),"0")</f>
        <v>0</v>
      </c>
      <c r="P13342" s="33">
        <f t="shared" si="832"/>
        <v>0</v>
      </c>
      <c r="Q13342" s="31" t="str">
        <f t="shared" si="833"/>
        <v/>
      </c>
      <c r="R13342" s="32" t="str">
        <f>IFERROR(VLOOKUP($D13342,'Informations sur les produits'!$A$3:$B$15000,2,FALSE),"")</f>
        <v/>
      </c>
      <c r="V13342">
        <f t="shared" si="834"/>
        <v>0</v>
      </c>
      <c r="W13342">
        <f t="shared" si="835"/>
        <v>0</v>
      </c>
    </row>
    <row r="13343" spans="5:23" x14ac:dyDescent="0.25">
      <c r="E13343" s="4"/>
      <c r="F13343" s="4"/>
      <c r="G13343" s="33" t="str">
        <f>IFERROR(VLOOKUP($D13343,'Informations sur les produits'!$A$3:$H$10000,8,FALSE),"0")</f>
        <v>0</v>
      </c>
      <c r="K13343" s="4"/>
      <c r="L13343" s="33" t="str">
        <f>IFERROR(VLOOKUP($J13343,'Informations sur les produits'!$A$3:$H$10000,8,FALSE),"0")</f>
        <v>0</v>
      </c>
      <c r="N13343" s="8"/>
      <c r="O13343" s="33" t="str">
        <f>IFERROR(VLOOKUP($M13343,'Informations sur les produits'!$A$3:$H$10000,8,FALSE),"0")</f>
        <v>0</v>
      </c>
      <c r="P13343" s="33">
        <f t="shared" si="832"/>
        <v>0</v>
      </c>
      <c r="Q13343" s="31" t="str">
        <f t="shared" si="833"/>
        <v/>
      </c>
      <c r="R13343" s="32" t="str">
        <f>IFERROR(VLOOKUP($D13343,'Informations sur les produits'!$A$3:$B$15000,2,FALSE),"")</f>
        <v/>
      </c>
      <c r="V13343">
        <f t="shared" si="834"/>
        <v>0</v>
      </c>
      <c r="W13343">
        <f t="shared" si="835"/>
        <v>0</v>
      </c>
    </row>
    <row r="13344" spans="5:23" x14ac:dyDescent="0.25">
      <c r="E13344" s="4"/>
      <c r="F13344" s="4"/>
      <c r="G13344" s="33" t="str">
        <f>IFERROR(VLOOKUP($D13344,'Informations sur les produits'!$A$3:$H$10000,8,FALSE),"0")</f>
        <v>0</v>
      </c>
      <c r="K13344" s="4"/>
      <c r="L13344" s="33" t="str">
        <f>IFERROR(VLOOKUP($J13344,'Informations sur les produits'!$A$3:$H$10000,8,FALSE),"0")</f>
        <v>0</v>
      </c>
      <c r="N13344" s="8"/>
      <c r="O13344" s="33" t="str">
        <f>IFERROR(VLOOKUP($M13344,'Informations sur les produits'!$A$3:$H$10000,8,FALSE),"0")</f>
        <v>0</v>
      </c>
      <c r="P13344" s="33">
        <f t="shared" si="832"/>
        <v>0</v>
      </c>
      <c r="Q13344" s="31" t="str">
        <f t="shared" si="833"/>
        <v/>
      </c>
      <c r="R13344" s="32" t="str">
        <f>IFERROR(VLOOKUP($D13344,'Informations sur les produits'!$A$3:$B$15000,2,FALSE),"")</f>
        <v/>
      </c>
      <c r="V13344">
        <f t="shared" si="834"/>
        <v>0</v>
      </c>
      <c r="W13344">
        <f t="shared" si="835"/>
        <v>0</v>
      </c>
    </row>
    <row r="13345" spans="5:23" x14ac:dyDescent="0.25">
      <c r="E13345" s="4"/>
      <c r="F13345" s="4"/>
      <c r="G13345" s="33" t="str">
        <f>IFERROR(VLOOKUP($D13345,'Informations sur les produits'!$A$3:$H$10000,8,FALSE),"0")</f>
        <v>0</v>
      </c>
      <c r="K13345" s="4"/>
      <c r="L13345" s="33" t="str">
        <f>IFERROR(VLOOKUP($J13345,'Informations sur les produits'!$A$3:$H$10000,8,FALSE),"0")</f>
        <v>0</v>
      </c>
      <c r="N13345" s="8"/>
      <c r="O13345" s="33" t="str">
        <f>IFERROR(VLOOKUP($M13345,'Informations sur les produits'!$A$3:$H$10000,8,FALSE),"0")</f>
        <v>0</v>
      </c>
      <c r="P13345" s="33">
        <f t="shared" si="832"/>
        <v>0</v>
      </c>
      <c r="Q13345" s="31" t="str">
        <f t="shared" si="833"/>
        <v/>
      </c>
      <c r="R13345" s="32" t="str">
        <f>IFERROR(VLOOKUP($D13345,'Informations sur les produits'!$A$3:$B$15000,2,FALSE),"")</f>
        <v/>
      </c>
      <c r="V13345">
        <f t="shared" si="834"/>
        <v>0</v>
      </c>
      <c r="W13345">
        <f t="shared" si="835"/>
        <v>0</v>
      </c>
    </row>
    <row r="13346" spans="5:23" x14ac:dyDescent="0.25">
      <c r="E13346" s="4"/>
      <c r="F13346" s="4"/>
      <c r="G13346" s="33" t="str">
        <f>IFERROR(VLOOKUP($D13346,'Informations sur les produits'!$A$3:$H$10000,8,FALSE),"0")</f>
        <v>0</v>
      </c>
      <c r="K13346" s="4"/>
      <c r="L13346" s="33" t="str">
        <f>IFERROR(VLOOKUP($J13346,'Informations sur les produits'!$A$3:$H$10000,8,FALSE),"0")</f>
        <v>0</v>
      </c>
      <c r="N13346" s="8"/>
      <c r="O13346" s="33" t="str">
        <f>IFERROR(VLOOKUP($M13346,'Informations sur les produits'!$A$3:$H$10000,8,FALSE),"0")</f>
        <v>0</v>
      </c>
      <c r="P13346" s="33">
        <f t="shared" si="832"/>
        <v>0</v>
      </c>
      <c r="Q13346" s="31" t="str">
        <f t="shared" si="833"/>
        <v/>
      </c>
      <c r="R13346" s="32" t="str">
        <f>IFERROR(VLOOKUP($D13346,'Informations sur les produits'!$A$3:$B$15000,2,FALSE),"")</f>
        <v/>
      </c>
      <c r="V13346">
        <f t="shared" si="834"/>
        <v>0</v>
      </c>
      <c r="W13346">
        <f t="shared" si="835"/>
        <v>0</v>
      </c>
    </row>
    <row r="13347" spans="5:23" x14ac:dyDescent="0.25">
      <c r="E13347" s="4"/>
      <c r="F13347" s="4"/>
      <c r="G13347" s="33" t="str">
        <f>IFERROR(VLOOKUP($D13347,'Informations sur les produits'!$A$3:$H$10000,8,FALSE),"0")</f>
        <v>0</v>
      </c>
      <c r="K13347" s="4"/>
      <c r="L13347" s="33" t="str">
        <f>IFERROR(VLOOKUP($J13347,'Informations sur les produits'!$A$3:$H$10000,8,FALSE),"0")</f>
        <v>0</v>
      </c>
      <c r="N13347" s="8"/>
      <c r="O13347" s="33" t="str">
        <f>IFERROR(VLOOKUP($M13347,'Informations sur les produits'!$A$3:$H$10000,8,FALSE),"0")</f>
        <v>0</v>
      </c>
      <c r="P13347" s="33">
        <f t="shared" si="832"/>
        <v>0</v>
      </c>
      <c r="Q13347" s="31" t="str">
        <f t="shared" si="833"/>
        <v/>
      </c>
      <c r="R13347" s="32" t="str">
        <f>IFERROR(VLOOKUP($D13347,'Informations sur les produits'!$A$3:$B$15000,2,FALSE),"")</f>
        <v/>
      </c>
      <c r="V13347">
        <f t="shared" si="834"/>
        <v>0</v>
      </c>
      <c r="W13347">
        <f t="shared" si="835"/>
        <v>0</v>
      </c>
    </row>
    <row r="13348" spans="5:23" x14ac:dyDescent="0.25">
      <c r="E13348" s="4"/>
      <c r="F13348" s="4"/>
      <c r="G13348" s="33" t="str">
        <f>IFERROR(VLOOKUP($D13348,'Informations sur les produits'!$A$3:$H$10000,8,FALSE),"0")</f>
        <v>0</v>
      </c>
      <c r="K13348" s="4"/>
      <c r="L13348" s="33" t="str">
        <f>IFERROR(VLOOKUP($J13348,'Informations sur les produits'!$A$3:$H$10000,8,FALSE),"0")</f>
        <v>0</v>
      </c>
      <c r="N13348" s="8"/>
      <c r="O13348" s="33" t="str">
        <f>IFERROR(VLOOKUP($M13348,'Informations sur les produits'!$A$3:$H$10000,8,FALSE),"0")</f>
        <v>0</v>
      </c>
      <c r="P13348" s="33">
        <f t="shared" si="832"/>
        <v>0</v>
      </c>
      <c r="Q13348" s="31" t="str">
        <f t="shared" si="833"/>
        <v/>
      </c>
      <c r="R13348" s="32" t="str">
        <f>IFERROR(VLOOKUP($D13348,'Informations sur les produits'!$A$3:$B$15000,2,FALSE),"")</f>
        <v/>
      </c>
      <c r="V13348">
        <f t="shared" si="834"/>
        <v>0</v>
      </c>
      <c r="W13348">
        <f t="shared" si="835"/>
        <v>0</v>
      </c>
    </row>
    <row r="13349" spans="5:23" x14ac:dyDescent="0.25">
      <c r="E13349" s="4"/>
      <c r="F13349" s="4"/>
      <c r="G13349" s="33" t="str">
        <f>IFERROR(VLOOKUP($D13349,'Informations sur les produits'!$A$3:$H$10000,8,FALSE),"0")</f>
        <v>0</v>
      </c>
      <c r="K13349" s="4"/>
      <c r="L13349" s="33" t="str">
        <f>IFERROR(VLOOKUP($J13349,'Informations sur les produits'!$A$3:$H$10000,8,FALSE),"0")</f>
        <v>0</v>
      </c>
      <c r="N13349" s="8"/>
      <c r="O13349" s="33" t="str">
        <f>IFERROR(VLOOKUP($M13349,'Informations sur les produits'!$A$3:$H$10000,8,FALSE),"0")</f>
        <v>0</v>
      </c>
      <c r="P13349" s="33">
        <f t="shared" si="832"/>
        <v>0</v>
      </c>
      <c r="Q13349" s="31" t="str">
        <f t="shared" si="833"/>
        <v/>
      </c>
      <c r="R13349" s="32" t="str">
        <f>IFERROR(VLOOKUP($D13349,'Informations sur les produits'!$A$3:$B$15000,2,FALSE),"")</f>
        <v/>
      </c>
      <c r="V13349">
        <f t="shared" si="834"/>
        <v>0</v>
      </c>
      <c r="W13349">
        <f t="shared" si="835"/>
        <v>0</v>
      </c>
    </row>
    <row r="13350" spans="5:23" x14ac:dyDescent="0.25">
      <c r="E13350" s="4"/>
      <c r="F13350" s="4"/>
      <c r="G13350" s="33" t="str">
        <f>IFERROR(VLOOKUP($D13350,'Informations sur les produits'!$A$3:$H$10000,8,FALSE),"0")</f>
        <v>0</v>
      </c>
      <c r="K13350" s="4"/>
      <c r="L13350" s="33" t="str">
        <f>IFERROR(VLOOKUP($J13350,'Informations sur les produits'!$A$3:$H$10000,8,FALSE),"0")</f>
        <v>0</v>
      </c>
      <c r="N13350" s="8"/>
      <c r="O13350" s="33" t="str">
        <f>IFERROR(VLOOKUP($M13350,'Informations sur les produits'!$A$3:$H$10000,8,FALSE),"0")</f>
        <v>0</v>
      </c>
      <c r="P13350" s="33">
        <f t="shared" si="832"/>
        <v>0</v>
      </c>
      <c r="Q13350" s="31" t="str">
        <f t="shared" si="833"/>
        <v/>
      </c>
      <c r="R13350" s="32" t="str">
        <f>IFERROR(VLOOKUP($D13350,'Informations sur les produits'!$A$3:$B$15000,2,FALSE),"")</f>
        <v/>
      </c>
      <c r="V13350">
        <f t="shared" si="834"/>
        <v>0</v>
      </c>
      <c r="W13350">
        <f t="shared" si="835"/>
        <v>0</v>
      </c>
    </row>
    <row r="13351" spans="5:23" x14ac:dyDescent="0.25">
      <c r="E13351" s="4"/>
      <c r="F13351" s="4"/>
      <c r="G13351" s="33" t="str">
        <f>IFERROR(VLOOKUP($D13351,'Informations sur les produits'!$A$3:$H$10000,8,FALSE),"0")</f>
        <v>0</v>
      </c>
      <c r="K13351" s="4"/>
      <c r="L13351" s="33" t="str">
        <f>IFERROR(VLOOKUP($J13351,'Informations sur les produits'!$A$3:$H$10000,8,FALSE),"0")</f>
        <v>0</v>
      </c>
      <c r="N13351" s="8"/>
      <c r="O13351" s="33" t="str">
        <f>IFERROR(VLOOKUP($M13351,'Informations sur les produits'!$A$3:$H$10000,8,FALSE),"0")</f>
        <v>0</v>
      </c>
      <c r="P13351" s="33">
        <f t="shared" si="832"/>
        <v>0</v>
      </c>
      <c r="Q13351" s="31" t="str">
        <f t="shared" si="833"/>
        <v/>
      </c>
      <c r="R13351" s="32" t="str">
        <f>IFERROR(VLOOKUP($D13351,'Informations sur les produits'!$A$3:$B$15000,2,FALSE),"")</f>
        <v/>
      </c>
      <c r="V13351">
        <f t="shared" si="834"/>
        <v>0</v>
      </c>
      <c r="W13351">
        <f t="shared" si="835"/>
        <v>0</v>
      </c>
    </row>
    <row r="13352" spans="5:23" x14ac:dyDescent="0.25">
      <c r="E13352" s="4"/>
      <c r="F13352" s="4"/>
      <c r="G13352" s="33" t="str">
        <f>IFERROR(VLOOKUP($D13352,'Informations sur les produits'!$A$3:$H$10000,8,FALSE),"0")</f>
        <v>0</v>
      </c>
      <c r="K13352" s="4"/>
      <c r="L13352" s="33" t="str">
        <f>IFERROR(VLOOKUP($J13352,'Informations sur les produits'!$A$3:$H$10000,8,FALSE),"0")</f>
        <v>0</v>
      </c>
      <c r="N13352" s="8"/>
      <c r="O13352" s="33" t="str">
        <f>IFERROR(VLOOKUP($M13352,'Informations sur les produits'!$A$3:$H$10000,8,FALSE),"0")</f>
        <v>0</v>
      </c>
      <c r="P13352" s="33">
        <f t="shared" si="832"/>
        <v>0</v>
      </c>
      <c r="Q13352" s="31" t="str">
        <f t="shared" si="833"/>
        <v/>
      </c>
      <c r="R13352" s="32" t="str">
        <f>IFERROR(VLOOKUP($D13352,'Informations sur les produits'!$A$3:$B$15000,2,FALSE),"")</f>
        <v/>
      </c>
      <c r="V13352">
        <f t="shared" si="834"/>
        <v>0</v>
      </c>
      <c r="W13352">
        <f t="shared" si="835"/>
        <v>0</v>
      </c>
    </row>
    <row r="13353" spans="5:23" x14ac:dyDescent="0.25">
      <c r="E13353" s="4"/>
      <c r="F13353" s="4"/>
      <c r="G13353" s="33" t="str">
        <f>IFERROR(VLOOKUP($D13353,'Informations sur les produits'!$A$3:$H$10000,8,FALSE),"0")</f>
        <v>0</v>
      </c>
      <c r="K13353" s="4"/>
      <c r="L13353" s="33" t="str">
        <f>IFERROR(VLOOKUP($J13353,'Informations sur les produits'!$A$3:$H$10000,8,FALSE),"0")</f>
        <v>0</v>
      </c>
      <c r="N13353" s="8"/>
      <c r="O13353" s="33" t="str">
        <f>IFERROR(VLOOKUP($M13353,'Informations sur les produits'!$A$3:$H$10000,8,FALSE),"0")</f>
        <v>0</v>
      </c>
      <c r="P13353" s="33">
        <f t="shared" si="832"/>
        <v>0</v>
      </c>
      <c r="Q13353" s="31" t="str">
        <f t="shared" si="833"/>
        <v/>
      </c>
      <c r="R13353" s="32" t="str">
        <f>IFERROR(VLOOKUP($D13353,'Informations sur les produits'!$A$3:$B$15000,2,FALSE),"")</f>
        <v/>
      </c>
      <c r="V13353">
        <f t="shared" si="834"/>
        <v>0</v>
      </c>
      <c r="W13353">
        <f t="shared" si="835"/>
        <v>0</v>
      </c>
    </row>
    <row r="13354" spans="5:23" x14ac:dyDescent="0.25">
      <c r="E13354" s="4"/>
      <c r="F13354" s="4"/>
      <c r="G13354" s="33" t="str">
        <f>IFERROR(VLOOKUP($D13354,'Informations sur les produits'!$A$3:$H$10000,8,FALSE),"0")</f>
        <v>0</v>
      </c>
      <c r="K13354" s="4"/>
      <c r="L13354" s="33" t="str">
        <f>IFERROR(VLOOKUP($J13354,'Informations sur les produits'!$A$3:$H$10000,8,FALSE),"0")</f>
        <v>0</v>
      </c>
      <c r="N13354" s="8"/>
      <c r="O13354" s="33" t="str">
        <f>IFERROR(VLOOKUP($M13354,'Informations sur les produits'!$A$3:$H$10000,8,FALSE),"0")</f>
        <v>0</v>
      </c>
      <c r="P13354" s="33">
        <f t="shared" si="832"/>
        <v>0</v>
      </c>
      <c r="Q13354" s="31" t="str">
        <f t="shared" si="833"/>
        <v/>
      </c>
      <c r="R13354" s="32" t="str">
        <f>IFERROR(VLOOKUP($D13354,'Informations sur les produits'!$A$3:$B$15000,2,FALSE),"")</f>
        <v/>
      </c>
      <c r="V13354">
        <f t="shared" si="834"/>
        <v>0</v>
      </c>
      <c r="W13354">
        <f t="shared" si="835"/>
        <v>0</v>
      </c>
    </row>
    <row r="13355" spans="5:23" x14ac:dyDescent="0.25">
      <c r="E13355" s="4"/>
      <c r="F13355" s="4"/>
      <c r="G13355" s="33" t="str">
        <f>IFERROR(VLOOKUP($D13355,'Informations sur les produits'!$A$3:$H$10000,8,FALSE),"0")</f>
        <v>0</v>
      </c>
      <c r="K13355" s="4"/>
      <c r="L13355" s="33" t="str">
        <f>IFERROR(VLOOKUP($J13355,'Informations sur les produits'!$A$3:$H$10000,8,FALSE),"0")</f>
        <v>0</v>
      </c>
      <c r="N13355" s="8"/>
      <c r="O13355" s="33" t="str">
        <f>IFERROR(VLOOKUP($M13355,'Informations sur les produits'!$A$3:$H$10000,8,FALSE),"0")</f>
        <v>0</v>
      </c>
      <c r="P13355" s="33">
        <f t="shared" si="832"/>
        <v>0</v>
      </c>
      <c r="Q13355" s="31" t="str">
        <f t="shared" si="833"/>
        <v/>
      </c>
      <c r="R13355" s="32" t="str">
        <f>IFERROR(VLOOKUP($D13355,'Informations sur les produits'!$A$3:$B$15000,2,FALSE),"")</f>
        <v/>
      </c>
      <c r="V13355">
        <f t="shared" si="834"/>
        <v>0</v>
      </c>
      <c r="W13355">
        <f t="shared" si="835"/>
        <v>0</v>
      </c>
    </row>
    <row r="13356" spans="5:23" x14ac:dyDescent="0.25">
      <c r="E13356" s="4"/>
      <c r="F13356" s="4"/>
      <c r="G13356" s="33" t="str">
        <f>IFERROR(VLOOKUP($D13356,'Informations sur les produits'!$A$3:$H$10000,8,FALSE),"0")</f>
        <v>0</v>
      </c>
      <c r="K13356" s="4"/>
      <c r="L13356" s="33" t="str">
        <f>IFERROR(VLOOKUP($J13356,'Informations sur les produits'!$A$3:$H$10000,8,FALSE),"0")</f>
        <v>0</v>
      </c>
      <c r="N13356" s="8"/>
      <c r="O13356" s="33" t="str">
        <f>IFERROR(VLOOKUP($M13356,'Informations sur les produits'!$A$3:$H$10000,8,FALSE),"0")</f>
        <v>0</v>
      </c>
      <c r="P13356" s="33">
        <f t="shared" si="832"/>
        <v>0</v>
      </c>
      <c r="Q13356" s="31" t="str">
        <f t="shared" si="833"/>
        <v/>
      </c>
      <c r="R13356" s="32" t="str">
        <f>IFERROR(VLOOKUP($D13356,'Informations sur les produits'!$A$3:$B$15000,2,FALSE),"")</f>
        <v/>
      </c>
      <c r="V13356">
        <f t="shared" si="834"/>
        <v>0</v>
      </c>
      <c r="W13356">
        <f t="shared" si="835"/>
        <v>0</v>
      </c>
    </row>
    <row r="13357" spans="5:23" x14ac:dyDescent="0.25">
      <c r="E13357" s="4"/>
      <c r="F13357" s="4"/>
      <c r="G13357" s="33" t="str">
        <f>IFERROR(VLOOKUP($D13357,'Informations sur les produits'!$A$3:$H$10000,8,FALSE),"0")</f>
        <v>0</v>
      </c>
      <c r="K13357" s="4"/>
      <c r="L13357" s="33" t="str">
        <f>IFERROR(VLOOKUP($J13357,'Informations sur les produits'!$A$3:$H$10000,8,FALSE),"0")</f>
        <v>0</v>
      </c>
      <c r="N13357" s="8"/>
      <c r="O13357" s="33" t="str">
        <f>IFERROR(VLOOKUP($M13357,'Informations sur les produits'!$A$3:$H$10000,8,FALSE),"0")</f>
        <v>0</v>
      </c>
      <c r="P13357" s="33">
        <f t="shared" si="832"/>
        <v>0</v>
      </c>
      <c r="Q13357" s="31" t="str">
        <f t="shared" si="833"/>
        <v/>
      </c>
      <c r="R13357" s="32" t="str">
        <f>IFERROR(VLOOKUP($D13357,'Informations sur les produits'!$A$3:$B$15000,2,FALSE),"")</f>
        <v/>
      </c>
      <c r="V13357">
        <f t="shared" si="834"/>
        <v>0</v>
      </c>
      <c r="W13357">
        <f t="shared" si="835"/>
        <v>0</v>
      </c>
    </row>
    <row r="13358" spans="5:23" x14ac:dyDescent="0.25">
      <c r="E13358" s="4"/>
      <c r="F13358" s="4"/>
      <c r="G13358" s="33" t="str">
        <f>IFERROR(VLOOKUP($D13358,'Informations sur les produits'!$A$3:$H$10000,8,FALSE),"0")</f>
        <v>0</v>
      </c>
      <c r="K13358" s="4"/>
      <c r="L13358" s="33" t="str">
        <f>IFERROR(VLOOKUP($J13358,'Informations sur les produits'!$A$3:$H$10000,8,FALSE),"0")</f>
        <v>0</v>
      </c>
      <c r="N13358" s="8"/>
      <c r="O13358" s="33" t="str">
        <f>IFERROR(VLOOKUP($M13358,'Informations sur les produits'!$A$3:$H$10000,8,FALSE),"0")</f>
        <v>0</v>
      </c>
      <c r="P13358" s="33">
        <f t="shared" si="832"/>
        <v>0</v>
      </c>
      <c r="Q13358" s="31" t="str">
        <f t="shared" si="833"/>
        <v/>
      </c>
      <c r="R13358" s="32" t="str">
        <f>IFERROR(VLOOKUP($D13358,'Informations sur les produits'!$A$3:$B$15000,2,FALSE),"")</f>
        <v/>
      </c>
      <c r="V13358">
        <f t="shared" si="834"/>
        <v>0</v>
      </c>
      <c r="W13358">
        <f t="shared" si="835"/>
        <v>0</v>
      </c>
    </row>
    <row r="13359" spans="5:23" x14ac:dyDescent="0.25">
      <c r="E13359" s="4"/>
      <c r="F13359" s="4"/>
      <c r="G13359" s="33" t="str">
        <f>IFERROR(VLOOKUP($D13359,'Informations sur les produits'!$A$3:$H$10000,8,FALSE),"0")</f>
        <v>0</v>
      </c>
      <c r="K13359" s="4"/>
      <c r="L13359" s="33" t="str">
        <f>IFERROR(VLOOKUP($J13359,'Informations sur les produits'!$A$3:$H$10000,8,FALSE),"0")</f>
        <v>0</v>
      </c>
      <c r="N13359" s="8"/>
      <c r="O13359" s="33" t="str">
        <f>IFERROR(VLOOKUP($M13359,'Informations sur les produits'!$A$3:$H$10000,8,FALSE),"0")</f>
        <v>0</v>
      </c>
      <c r="P13359" s="33">
        <f t="shared" si="832"/>
        <v>0</v>
      </c>
      <c r="Q13359" s="31" t="str">
        <f t="shared" si="833"/>
        <v/>
      </c>
      <c r="R13359" s="32" t="str">
        <f>IFERROR(VLOOKUP($D13359,'Informations sur les produits'!$A$3:$B$15000,2,FALSE),"")</f>
        <v/>
      </c>
      <c r="V13359">
        <f t="shared" si="834"/>
        <v>0</v>
      </c>
      <c r="W13359">
        <f t="shared" si="835"/>
        <v>0</v>
      </c>
    </row>
    <row r="13360" spans="5:23" x14ac:dyDescent="0.25">
      <c r="E13360" s="4"/>
      <c r="F13360" s="4"/>
      <c r="G13360" s="33" t="str">
        <f>IFERROR(VLOOKUP($D13360,'Informations sur les produits'!$A$3:$H$10000,8,FALSE),"0")</f>
        <v>0</v>
      </c>
      <c r="K13360" s="4"/>
      <c r="L13360" s="33" t="str">
        <f>IFERROR(VLOOKUP($J13360,'Informations sur les produits'!$A$3:$H$10000,8,FALSE),"0")</f>
        <v>0</v>
      </c>
      <c r="N13360" s="8"/>
      <c r="O13360" s="33" t="str">
        <f>IFERROR(VLOOKUP($M13360,'Informations sur les produits'!$A$3:$H$10000,8,FALSE),"0")</f>
        <v>0</v>
      </c>
      <c r="P13360" s="33">
        <f t="shared" si="832"/>
        <v>0</v>
      </c>
      <c r="Q13360" s="31" t="str">
        <f t="shared" si="833"/>
        <v/>
      </c>
      <c r="R13360" s="32" t="str">
        <f>IFERROR(VLOOKUP($D13360,'Informations sur les produits'!$A$3:$B$15000,2,FALSE),"")</f>
        <v/>
      </c>
      <c r="V13360">
        <f t="shared" si="834"/>
        <v>0</v>
      </c>
      <c r="W13360">
        <f t="shared" si="835"/>
        <v>0</v>
      </c>
    </row>
    <row r="13361" spans="5:23" x14ac:dyDescent="0.25">
      <c r="E13361" s="4"/>
      <c r="F13361" s="4"/>
      <c r="G13361" s="33" t="str">
        <f>IFERROR(VLOOKUP($D13361,'Informations sur les produits'!$A$3:$H$10000,8,FALSE),"0")</f>
        <v>0</v>
      </c>
      <c r="K13361" s="4"/>
      <c r="L13361" s="33" t="str">
        <f>IFERROR(VLOOKUP($J13361,'Informations sur les produits'!$A$3:$H$10000,8,FALSE),"0")</f>
        <v>0</v>
      </c>
      <c r="N13361" s="8"/>
      <c r="O13361" s="33" t="str">
        <f>IFERROR(VLOOKUP($M13361,'Informations sur les produits'!$A$3:$H$10000,8,FALSE),"0")</f>
        <v>0</v>
      </c>
      <c r="P13361" s="33">
        <f t="shared" si="832"/>
        <v>0</v>
      </c>
      <c r="Q13361" s="31" t="str">
        <f t="shared" si="833"/>
        <v/>
      </c>
      <c r="R13361" s="32" t="str">
        <f>IFERROR(VLOOKUP($D13361,'Informations sur les produits'!$A$3:$B$15000,2,FALSE),"")</f>
        <v/>
      </c>
      <c r="V13361">
        <f t="shared" si="834"/>
        <v>0</v>
      </c>
      <c r="W13361">
        <f t="shared" si="835"/>
        <v>0</v>
      </c>
    </row>
    <row r="13362" spans="5:23" x14ac:dyDescent="0.25">
      <c r="E13362" s="4"/>
      <c r="F13362" s="4"/>
      <c r="G13362" s="33" t="str">
        <f>IFERROR(VLOOKUP($D13362,'Informations sur les produits'!$A$3:$H$10000,8,FALSE),"0")</f>
        <v>0</v>
      </c>
      <c r="K13362" s="4"/>
      <c r="L13362" s="33" t="str">
        <f>IFERROR(VLOOKUP($J13362,'Informations sur les produits'!$A$3:$H$10000,8,FALSE),"0")</f>
        <v>0</v>
      </c>
      <c r="N13362" s="8"/>
      <c r="O13362" s="33" t="str">
        <f>IFERROR(VLOOKUP($M13362,'Informations sur les produits'!$A$3:$H$10000,8,FALSE),"0")</f>
        <v>0</v>
      </c>
      <c r="P13362" s="33">
        <f t="shared" si="832"/>
        <v>0</v>
      </c>
      <c r="Q13362" s="31" t="str">
        <f t="shared" si="833"/>
        <v/>
      </c>
      <c r="R13362" s="32" t="str">
        <f>IFERROR(VLOOKUP($D13362,'Informations sur les produits'!$A$3:$B$15000,2,FALSE),"")</f>
        <v/>
      </c>
      <c r="V13362">
        <f t="shared" si="834"/>
        <v>0</v>
      </c>
      <c r="W13362">
        <f t="shared" si="835"/>
        <v>0</v>
      </c>
    </row>
    <row r="13363" spans="5:23" x14ac:dyDescent="0.25">
      <c r="E13363" s="4"/>
      <c r="F13363" s="4"/>
      <c r="G13363" s="33" t="str">
        <f>IFERROR(VLOOKUP($D13363,'Informations sur les produits'!$A$3:$H$10000,8,FALSE),"0")</f>
        <v>0</v>
      </c>
      <c r="K13363" s="4"/>
      <c r="L13363" s="33" t="str">
        <f>IFERROR(VLOOKUP($J13363,'Informations sur les produits'!$A$3:$H$10000,8,FALSE),"0")</f>
        <v>0</v>
      </c>
      <c r="N13363" s="8"/>
      <c r="O13363" s="33" t="str">
        <f>IFERROR(VLOOKUP($M13363,'Informations sur les produits'!$A$3:$H$10000,8,FALSE),"0")</f>
        <v>0</v>
      </c>
      <c r="P13363" s="33">
        <f t="shared" si="832"/>
        <v>0</v>
      </c>
      <c r="Q13363" s="31" t="str">
        <f t="shared" si="833"/>
        <v/>
      </c>
      <c r="R13363" s="32" t="str">
        <f>IFERROR(VLOOKUP($D13363,'Informations sur les produits'!$A$3:$B$15000,2,FALSE),"")</f>
        <v/>
      </c>
      <c r="V13363">
        <f t="shared" si="834"/>
        <v>0</v>
      </c>
      <c r="W13363">
        <f t="shared" si="835"/>
        <v>0</v>
      </c>
    </row>
    <row r="13364" spans="5:23" x14ac:dyDescent="0.25">
      <c r="E13364" s="4"/>
      <c r="F13364" s="4"/>
      <c r="G13364" s="33" t="str">
        <f>IFERROR(VLOOKUP($D13364,'Informations sur les produits'!$A$3:$H$10000,8,FALSE),"0")</f>
        <v>0</v>
      </c>
      <c r="K13364" s="4"/>
      <c r="L13364" s="33" t="str">
        <f>IFERROR(VLOOKUP($J13364,'Informations sur les produits'!$A$3:$H$10000,8,FALSE),"0")</f>
        <v>0</v>
      </c>
      <c r="N13364" s="8"/>
      <c r="O13364" s="33" t="str">
        <f>IFERROR(VLOOKUP($M13364,'Informations sur les produits'!$A$3:$H$10000,8,FALSE),"0")</f>
        <v>0</v>
      </c>
      <c r="P13364" s="33">
        <f t="shared" si="832"/>
        <v>0</v>
      </c>
      <c r="Q13364" s="31" t="str">
        <f t="shared" si="833"/>
        <v/>
      </c>
      <c r="R13364" s="32" t="str">
        <f>IFERROR(VLOOKUP($D13364,'Informations sur les produits'!$A$3:$B$15000,2,FALSE),"")</f>
        <v/>
      </c>
      <c r="V13364">
        <f t="shared" si="834"/>
        <v>0</v>
      </c>
      <c r="W13364">
        <f t="shared" si="835"/>
        <v>0</v>
      </c>
    </row>
    <row r="13365" spans="5:23" x14ac:dyDescent="0.25">
      <c r="E13365" s="4"/>
      <c r="F13365" s="4"/>
      <c r="G13365" s="33" t="str">
        <f>IFERROR(VLOOKUP($D13365,'Informations sur les produits'!$A$3:$H$10000,8,FALSE),"0")</f>
        <v>0</v>
      </c>
      <c r="K13365" s="4"/>
      <c r="L13365" s="33" t="str">
        <f>IFERROR(VLOOKUP($J13365,'Informations sur les produits'!$A$3:$H$10000,8,FALSE),"0")</f>
        <v>0</v>
      </c>
      <c r="N13365" s="8"/>
      <c r="O13365" s="33" t="str">
        <f>IFERROR(VLOOKUP($M13365,'Informations sur les produits'!$A$3:$H$10000,8,FALSE),"0")</f>
        <v>0</v>
      </c>
      <c r="P13365" s="33">
        <f t="shared" si="832"/>
        <v>0</v>
      </c>
      <c r="Q13365" s="31" t="str">
        <f t="shared" si="833"/>
        <v/>
      </c>
      <c r="R13365" s="32" t="str">
        <f>IFERROR(VLOOKUP($D13365,'Informations sur les produits'!$A$3:$B$15000,2,FALSE),"")</f>
        <v/>
      </c>
      <c r="V13365">
        <f t="shared" si="834"/>
        <v>0</v>
      </c>
      <c r="W13365">
        <f t="shared" si="835"/>
        <v>0</v>
      </c>
    </row>
    <row r="13366" spans="5:23" x14ac:dyDescent="0.25">
      <c r="E13366" s="4"/>
      <c r="F13366" s="4"/>
      <c r="G13366" s="33" t="str">
        <f>IFERROR(VLOOKUP($D13366,'Informations sur les produits'!$A$3:$H$10000,8,FALSE),"0")</f>
        <v>0</v>
      </c>
      <c r="K13366" s="4"/>
      <c r="L13366" s="33" t="str">
        <f>IFERROR(VLOOKUP($J13366,'Informations sur les produits'!$A$3:$H$10000,8,FALSE),"0")</f>
        <v>0</v>
      </c>
      <c r="N13366" s="8"/>
      <c r="O13366" s="33" t="str">
        <f>IFERROR(VLOOKUP($M13366,'Informations sur les produits'!$A$3:$H$10000,8,FALSE),"0")</f>
        <v>0</v>
      </c>
      <c r="P13366" s="33">
        <f t="shared" si="832"/>
        <v>0</v>
      </c>
      <c r="Q13366" s="31" t="str">
        <f t="shared" si="833"/>
        <v/>
      </c>
      <c r="R13366" s="32" t="str">
        <f>IFERROR(VLOOKUP($D13366,'Informations sur les produits'!$A$3:$B$15000,2,FALSE),"")</f>
        <v/>
      </c>
      <c r="V13366">
        <f t="shared" si="834"/>
        <v>0</v>
      </c>
      <c r="W13366">
        <f t="shared" si="835"/>
        <v>0</v>
      </c>
    </row>
    <row r="13367" spans="5:23" x14ac:dyDescent="0.25">
      <c r="E13367" s="4"/>
      <c r="F13367" s="4"/>
      <c r="G13367" s="33" t="str">
        <f>IFERROR(VLOOKUP($D13367,'Informations sur les produits'!$A$3:$H$10000,8,FALSE),"0")</f>
        <v>0</v>
      </c>
      <c r="K13367" s="4"/>
      <c r="L13367" s="33" t="str">
        <f>IFERROR(VLOOKUP($J13367,'Informations sur les produits'!$A$3:$H$10000,8,FALSE),"0")</f>
        <v>0</v>
      </c>
      <c r="N13367" s="8"/>
      <c r="O13367" s="33" t="str">
        <f>IFERROR(VLOOKUP($M13367,'Informations sur les produits'!$A$3:$H$10000,8,FALSE),"0")</f>
        <v>0</v>
      </c>
      <c r="P13367" s="33">
        <f t="shared" si="832"/>
        <v>0</v>
      </c>
      <c r="Q13367" s="31" t="str">
        <f t="shared" si="833"/>
        <v/>
      </c>
      <c r="R13367" s="32" t="str">
        <f>IFERROR(VLOOKUP($D13367,'Informations sur les produits'!$A$3:$B$15000,2,FALSE),"")</f>
        <v/>
      </c>
      <c r="V13367">
        <f t="shared" si="834"/>
        <v>0</v>
      </c>
      <c r="W13367">
        <f t="shared" si="835"/>
        <v>0</v>
      </c>
    </row>
    <row r="13368" spans="5:23" x14ac:dyDescent="0.25">
      <c r="E13368" s="4"/>
      <c r="F13368" s="4"/>
      <c r="G13368" s="33" t="str">
        <f>IFERROR(VLOOKUP($D13368,'Informations sur les produits'!$A$3:$H$10000,8,FALSE),"0")</f>
        <v>0</v>
      </c>
      <c r="K13368" s="4"/>
      <c r="L13368" s="33" t="str">
        <f>IFERROR(VLOOKUP($J13368,'Informations sur les produits'!$A$3:$H$10000,8,FALSE),"0")</f>
        <v>0</v>
      </c>
      <c r="N13368" s="8"/>
      <c r="O13368" s="33" t="str">
        <f>IFERROR(VLOOKUP($M13368,'Informations sur les produits'!$A$3:$H$10000,8,FALSE),"0")</f>
        <v>0</v>
      </c>
      <c r="P13368" s="33">
        <f t="shared" si="832"/>
        <v>0</v>
      </c>
      <c r="Q13368" s="31" t="str">
        <f t="shared" si="833"/>
        <v/>
      </c>
      <c r="R13368" s="32" t="str">
        <f>IFERROR(VLOOKUP($D13368,'Informations sur les produits'!$A$3:$B$15000,2,FALSE),"")</f>
        <v/>
      </c>
      <c r="V13368">
        <f t="shared" si="834"/>
        <v>0</v>
      </c>
      <c r="W13368">
        <f t="shared" si="835"/>
        <v>0</v>
      </c>
    </row>
    <row r="13369" spans="5:23" x14ac:dyDescent="0.25">
      <c r="E13369" s="4"/>
      <c r="F13369" s="4"/>
      <c r="G13369" s="33" t="str">
        <f>IFERROR(VLOOKUP($D13369,'Informations sur les produits'!$A$3:$H$10000,8,FALSE),"0")</f>
        <v>0</v>
      </c>
      <c r="K13369" s="4"/>
      <c r="L13369" s="33" t="str">
        <f>IFERROR(VLOOKUP($J13369,'Informations sur les produits'!$A$3:$H$10000,8,FALSE),"0")</f>
        <v>0</v>
      </c>
      <c r="N13369" s="8"/>
      <c r="O13369" s="33" t="str">
        <f>IFERROR(VLOOKUP($M13369,'Informations sur les produits'!$A$3:$H$10000,8,FALSE),"0")</f>
        <v>0</v>
      </c>
      <c r="P13369" s="33">
        <f t="shared" si="832"/>
        <v>0</v>
      </c>
      <c r="Q13369" s="31" t="str">
        <f t="shared" si="833"/>
        <v/>
      </c>
      <c r="R13369" s="32" t="str">
        <f>IFERROR(VLOOKUP($D13369,'Informations sur les produits'!$A$3:$B$15000,2,FALSE),"")</f>
        <v/>
      </c>
      <c r="V13369">
        <f t="shared" si="834"/>
        <v>0</v>
      </c>
      <c r="W13369">
        <f t="shared" si="835"/>
        <v>0</v>
      </c>
    </row>
    <row r="13370" spans="5:23" x14ac:dyDescent="0.25">
      <c r="E13370" s="4"/>
      <c r="F13370" s="4"/>
      <c r="G13370" s="33" t="str">
        <f>IFERROR(VLOOKUP($D13370,'Informations sur les produits'!$A$3:$H$10000,8,FALSE),"0")</f>
        <v>0</v>
      </c>
      <c r="K13370" s="4"/>
      <c r="L13370" s="33" t="str">
        <f>IFERROR(VLOOKUP($J13370,'Informations sur les produits'!$A$3:$H$10000,8,FALSE),"0")</f>
        <v>0</v>
      </c>
      <c r="N13370" s="8"/>
      <c r="O13370" s="33" t="str">
        <f>IFERROR(VLOOKUP($M13370,'Informations sur les produits'!$A$3:$H$10000,8,FALSE),"0")</f>
        <v>0</v>
      </c>
      <c r="P13370" s="33">
        <f t="shared" si="832"/>
        <v>0</v>
      </c>
      <c r="Q13370" s="31" t="str">
        <f t="shared" si="833"/>
        <v/>
      </c>
      <c r="R13370" s="32" t="str">
        <f>IFERROR(VLOOKUP($D13370,'Informations sur les produits'!$A$3:$B$15000,2,FALSE),"")</f>
        <v/>
      </c>
      <c r="V13370">
        <f t="shared" si="834"/>
        <v>0</v>
      </c>
      <c r="W13370">
        <f t="shared" si="835"/>
        <v>0</v>
      </c>
    </row>
    <row r="13371" spans="5:23" x14ac:dyDescent="0.25">
      <c r="E13371" s="4"/>
      <c r="F13371" s="4"/>
      <c r="G13371" s="33" t="str">
        <f>IFERROR(VLOOKUP($D13371,'Informations sur les produits'!$A$3:$H$10000,8,FALSE),"0")</f>
        <v>0</v>
      </c>
      <c r="K13371" s="4"/>
      <c r="L13371" s="33" t="str">
        <f>IFERROR(VLOOKUP($J13371,'Informations sur les produits'!$A$3:$H$10000,8,FALSE),"0")</f>
        <v>0</v>
      </c>
      <c r="N13371" s="8"/>
      <c r="O13371" s="33" t="str">
        <f>IFERROR(VLOOKUP($M13371,'Informations sur les produits'!$A$3:$H$10000,8,FALSE),"0")</f>
        <v>0</v>
      </c>
      <c r="P13371" s="33">
        <f t="shared" si="832"/>
        <v>0</v>
      </c>
      <c r="Q13371" s="31" t="str">
        <f t="shared" si="833"/>
        <v/>
      </c>
      <c r="R13371" s="32" t="str">
        <f>IFERROR(VLOOKUP($D13371,'Informations sur les produits'!$A$3:$B$15000,2,FALSE),"")</f>
        <v/>
      </c>
      <c r="V13371">
        <f t="shared" si="834"/>
        <v>0</v>
      </c>
      <c r="W13371">
        <f t="shared" si="835"/>
        <v>0</v>
      </c>
    </row>
    <row r="13372" spans="5:23" x14ac:dyDescent="0.25">
      <c r="E13372" s="4"/>
      <c r="F13372" s="4"/>
      <c r="G13372" s="33" t="str">
        <f>IFERROR(VLOOKUP($D13372,'Informations sur les produits'!$A$3:$H$10000,8,FALSE),"0")</f>
        <v>0</v>
      </c>
      <c r="K13372" s="4"/>
      <c r="L13372" s="33" t="str">
        <f>IFERROR(VLOOKUP($J13372,'Informations sur les produits'!$A$3:$H$10000,8,FALSE),"0")</f>
        <v>0</v>
      </c>
      <c r="N13372" s="8"/>
      <c r="O13372" s="33" t="str">
        <f>IFERROR(VLOOKUP($M13372,'Informations sur les produits'!$A$3:$H$10000,8,FALSE),"0")</f>
        <v>0</v>
      </c>
      <c r="P13372" s="33">
        <f t="shared" si="832"/>
        <v>0</v>
      </c>
      <c r="Q13372" s="31" t="str">
        <f t="shared" si="833"/>
        <v/>
      </c>
      <c r="R13372" s="32" t="str">
        <f>IFERROR(VLOOKUP($D13372,'Informations sur les produits'!$A$3:$B$15000,2,FALSE),"")</f>
        <v/>
      </c>
      <c r="V13372">
        <f t="shared" si="834"/>
        <v>0</v>
      </c>
      <c r="W13372">
        <f t="shared" si="835"/>
        <v>0</v>
      </c>
    </row>
    <row r="13373" spans="5:23" x14ac:dyDescent="0.25">
      <c r="E13373" s="4"/>
      <c r="F13373" s="4"/>
      <c r="G13373" s="33" t="str">
        <f>IFERROR(VLOOKUP($D13373,'Informations sur les produits'!$A$3:$H$10000,8,FALSE),"0")</f>
        <v>0</v>
      </c>
      <c r="K13373" s="4"/>
      <c r="L13373" s="33" t="str">
        <f>IFERROR(VLOOKUP($J13373,'Informations sur les produits'!$A$3:$H$10000,8,FALSE),"0")</f>
        <v>0</v>
      </c>
      <c r="N13373" s="8"/>
      <c r="O13373" s="33" t="str">
        <f>IFERROR(VLOOKUP($M13373,'Informations sur les produits'!$A$3:$H$10000,8,FALSE),"0")</f>
        <v>0</v>
      </c>
      <c r="P13373" s="33">
        <f t="shared" si="832"/>
        <v>0</v>
      </c>
      <c r="Q13373" s="31" t="str">
        <f t="shared" si="833"/>
        <v/>
      </c>
      <c r="R13373" s="32" t="str">
        <f>IFERROR(VLOOKUP($D13373,'Informations sur les produits'!$A$3:$B$15000,2,FALSE),"")</f>
        <v/>
      </c>
      <c r="V13373">
        <f t="shared" si="834"/>
        <v>0</v>
      </c>
      <c r="W13373">
        <f t="shared" si="835"/>
        <v>0</v>
      </c>
    </row>
    <row r="13374" spans="5:23" x14ac:dyDescent="0.25">
      <c r="E13374" s="4"/>
      <c r="F13374" s="4"/>
      <c r="G13374" s="33" t="str">
        <f>IFERROR(VLOOKUP($D13374,'Informations sur les produits'!$A$3:$H$10000,8,FALSE),"0")</f>
        <v>0</v>
      </c>
      <c r="K13374" s="4"/>
      <c r="L13374" s="33" t="str">
        <f>IFERROR(VLOOKUP($J13374,'Informations sur les produits'!$A$3:$H$10000,8,FALSE),"0")</f>
        <v>0</v>
      </c>
      <c r="N13374" s="8"/>
      <c r="O13374" s="33" t="str">
        <f>IFERROR(VLOOKUP($M13374,'Informations sur les produits'!$A$3:$H$10000,8,FALSE),"0")</f>
        <v>0</v>
      </c>
      <c r="P13374" s="33">
        <f t="shared" si="832"/>
        <v>0</v>
      </c>
      <c r="Q13374" s="31" t="str">
        <f t="shared" si="833"/>
        <v/>
      </c>
      <c r="R13374" s="32" t="str">
        <f>IFERROR(VLOOKUP($D13374,'Informations sur les produits'!$A$3:$B$15000,2,FALSE),"")</f>
        <v/>
      </c>
      <c r="V13374">
        <f t="shared" si="834"/>
        <v>0</v>
      </c>
      <c r="W13374">
        <f t="shared" si="835"/>
        <v>0</v>
      </c>
    </row>
    <row r="13375" spans="5:23" x14ac:dyDescent="0.25">
      <c r="E13375" s="4"/>
      <c r="F13375" s="4"/>
      <c r="G13375" s="33" t="str">
        <f>IFERROR(VLOOKUP($D13375,'Informations sur les produits'!$A$3:$H$10000,8,FALSE),"0")</f>
        <v>0</v>
      </c>
      <c r="K13375" s="4"/>
      <c r="L13375" s="33" t="str">
        <f>IFERROR(VLOOKUP($J13375,'Informations sur les produits'!$A$3:$H$10000,8,FALSE),"0")</f>
        <v>0</v>
      </c>
      <c r="N13375" s="8"/>
      <c r="O13375" s="33" t="str">
        <f>IFERROR(VLOOKUP($M13375,'Informations sur les produits'!$A$3:$H$10000,8,FALSE),"0")</f>
        <v>0</v>
      </c>
      <c r="P13375" s="33">
        <f t="shared" si="832"/>
        <v>0</v>
      </c>
      <c r="Q13375" s="31" t="str">
        <f t="shared" si="833"/>
        <v/>
      </c>
      <c r="R13375" s="32" t="str">
        <f>IFERROR(VLOOKUP($D13375,'Informations sur les produits'!$A$3:$B$15000,2,FALSE),"")</f>
        <v/>
      </c>
      <c r="V13375">
        <f t="shared" si="834"/>
        <v>0</v>
      </c>
      <c r="W13375">
        <f t="shared" si="835"/>
        <v>0</v>
      </c>
    </row>
    <row r="13376" spans="5:23" x14ac:dyDescent="0.25">
      <c r="E13376" s="4"/>
      <c r="F13376" s="4"/>
      <c r="G13376" s="33" t="str">
        <f>IFERROR(VLOOKUP($D13376,'Informations sur les produits'!$A$3:$H$10000,8,FALSE),"0")</f>
        <v>0</v>
      </c>
      <c r="K13376" s="4"/>
      <c r="L13376" s="33" t="str">
        <f>IFERROR(VLOOKUP($J13376,'Informations sur les produits'!$A$3:$H$10000,8,FALSE),"0")</f>
        <v>0</v>
      </c>
      <c r="N13376" s="8"/>
      <c r="O13376" s="33" t="str">
        <f>IFERROR(VLOOKUP($M13376,'Informations sur les produits'!$A$3:$H$10000,8,FALSE),"0")</f>
        <v>0</v>
      </c>
      <c r="P13376" s="33">
        <f t="shared" si="832"/>
        <v>0</v>
      </c>
      <c r="Q13376" s="31" t="str">
        <f t="shared" si="833"/>
        <v/>
      </c>
      <c r="R13376" s="32" t="str">
        <f>IFERROR(VLOOKUP($D13376,'Informations sur les produits'!$A$3:$B$15000,2,FALSE),"")</f>
        <v/>
      </c>
      <c r="V13376">
        <f t="shared" si="834"/>
        <v>0</v>
      </c>
      <c r="W13376">
        <f t="shared" si="835"/>
        <v>0</v>
      </c>
    </row>
    <row r="13377" spans="5:23" x14ac:dyDescent="0.25">
      <c r="E13377" s="4"/>
      <c r="F13377" s="4"/>
      <c r="G13377" s="33" t="str">
        <f>IFERROR(VLOOKUP($D13377,'Informations sur les produits'!$A$3:$H$10000,8,FALSE),"0")</f>
        <v>0</v>
      </c>
      <c r="K13377" s="4"/>
      <c r="L13377" s="33" t="str">
        <f>IFERROR(VLOOKUP($J13377,'Informations sur les produits'!$A$3:$H$10000,8,FALSE),"0")</f>
        <v>0</v>
      </c>
      <c r="N13377" s="8"/>
      <c r="O13377" s="33" t="str">
        <f>IFERROR(VLOOKUP($M13377,'Informations sur les produits'!$A$3:$H$10000,8,FALSE),"0")</f>
        <v>0</v>
      </c>
      <c r="P13377" s="33">
        <f t="shared" si="832"/>
        <v>0</v>
      </c>
      <c r="Q13377" s="31" t="str">
        <f t="shared" si="833"/>
        <v/>
      </c>
      <c r="R13377" s="32" t="str">
        <f>IFERROR(VLOOKUP($D13377,'Informations sur les produits'!$A$3:$B$15000,2,FALSE),"")</f>
        <v/>
      </c>
      <c r="V13377">
        <f t="shared" si="834"/>
        <v>0</v>
      </c>
      <c r="W13377">
        <f t="shared" si="835"/>
        <v>0</v>
      </c>
    </row>
    <row r="13378" spans="5:23" x14ac:dyDescent="0.25">
      <c r="E13378" s="4"/>
      <c r="F13378" s="4"/>
      <c r="G13378" s="33" t="str">
        <f>IFERROR(VLOOKUP($D13378,'Informations sur les produits'!$A$3:$H$10000,8,FALSE),"0")</f>
        <v>0</v>
      </c>
      <c r="K13378" s="4"/>
      <c r="L13378" s="33" t="str">
        <f>IFERROR(VLOOKUP($J13378,'Informations sur les produits'!$A$3:$H$10000,8,FALSE),"0")</f>
        <v>0</v>
      </c>
      <c r="N13378" s="8"/>
      <c r="O13378" s="33" t="str">
        <f>IFERROR(VLOOKUP($M13378,'Informations sur les produits'!$A$3:$H$10000,8,FALSE),"0")</f>
        <v>0</v>
      </c>
      <c r="P13378" s="33">
        <f t="shared" si="832"/>
        <v>0</v>
      </c>
      <c r="Q13378" s="31" t="str">
        <f t="shared" si="833"/>
        <v/>
      </c>
      <c r="R13378" s="32" t="str">
        <f>IFERROR(VLOOKUP($D13378,'Informations sur les produits'!$A$3:$B$15000,2,FALSE),"")</f>
        <v/>
      </c>
      <c r="V13378">
        <f t="shared" si="834"/>
        <v>0</v>
      </c>
      <c r="W13378">
        <f t="shared" si="835"/>
        <v>0</v>
      </c>
    </row>
    <row r="13379" spans="5:23" x14ac:dyDescent="0.25">
      <c r="E13379" s="4"/>
      <c r="F13379" s="4"/>
      <c r="G13379" s="33" t="str">
        <f>IFERROR(VLOOKUP($D13379,'Informations sur les produits'!$A$3:$H$10000,8,FALSE),"0")</f>
        <v>0</v>
      </c>
      <c r="K13379" s="4"/>
      <c r="L13379" s="33" t="str">
        <f>IFERROR(VLOOKUP($J13379,'Informations sur les produits'!$A$3:$H$10000,8,FALSE),"0")</f>
        <v>0</v>
      </c>
      <c r="N13379" s="8"/>
      <c r="O13379" s="33" t="str">
        <f>IFERROR(VLOOKUP($M13379,'Informations sur les produits'!$A$3:$H$10000,8,FALSE),"0")</f>
        <v>0</v>
      </c>
      <c r="P13379" s="33">
        <f t="shared" si="832"/>
        <v>0</v>
      </c>
      <c r="Q13379" s="31" t="str">
        <f t="shared" si="833"/>
        <v/>
      </c>
      <c r="R13379" s="32" t="str">
        <f>IFERROR(VLOOKUP($D13379,'Informations sur les produits'!$A$3:$B$15000,2,FALSE),"")</f>
        <v/>
      </c>
      <c r="V13379">
        <f t="shared" si="834"/>
        <v>0</v>
      </c>
      <c r="W13379">
        <f t="shared" si="835"/>
        <v>0</v>
      </c>
    </row>
    <row r="13380" spans="5:23" x14ac:dyDescent="0.25">
      <c r="E13380" s="4"/>
      <c r="F13380" s="4"/>
      <c r="G13380" s="33" t="str">
        <f>IFERROR(VLOOKUP($D13380,'Informations sur les produits'!$A$3:$H$10000,8,FALSE),"0")</f>
        <v>0</v>
      </c>
      <c r="K13380" s="4"/>
      <c r="L13380" s="33" t="str">
        <f>IFERROR(VLOOKUP($J13380,'Informations sur les produits'!$A$3:$H$10000,8,FALSE),"0")</f>
        <v>0</v>
      </c>
      <c r="N13380" s="8"/>
      <c r="O13380" s="33" t="str">
        <f>IFERROR(VLOOKUP($M13380,'Informations sur les produits'!$A$3:$H$10000,8,FALSE),"0")</f>
        <v>0</v>
      </c>
      <c r="P13380" s="33">
        <f t="shared" ref="P13380:P13443" si="836">IFERROR((($E13380-$F13380)*$G13380+$K13380*$L13380+$N13380*$O13380),"")</f>
        <v>0</v>
      </c>
      <c r="Q13380" s="31" t="str">
        <f t="shared" ref="Q13380:Q13443" si="837">IFERROR((((($E13380-$F13380)*$G13380+$K13380*$L13380+$N13380*$O13380)*1000)/(($E13380-$F13380)+$K13380+$N13380)),"")</f>
        <v/>
      </c>
      <c r="R13380" s="32" t="str">
        <f>IFERROR(VLOOKUP($D13380,'Informations sur les produits'!$A$3:$B$15000,2,FALSE),"")</f>
        <v/>
      </c>
      <c r="V13380">
        <f t="shared" ref="V13380:V13443" si="838">IFERROR(P13380*1000,"")</f>
        <v>0</v>
      </c>
      <c r="W13380">
        <f t="shared" ref="W13380:W13443" si="839">IFERROR(($E13380-$F13380)+$K13380+$N13380,"")</f>
        <v>0</v>
      </c>
    </row>
    <row r="13381" spans="5:23" x14ac:dyDescent="0.25">
      <c r="E13381" s="4"/>
      <c r="F13381" s="4"/>
      <c r="G13381" s="33" t="str">
        <f>IFERROR(VLOOKUP($D13381,'Informations sur les produits'!$A$3:$H$10000,8,FALSE),"0")</f>
        <v>0</v>
      </c>
      <c r="K13381" s="4"/>
      <c r="L13381" s="33" t="str">
        <f>IFERROR(VLOOKUP($J13381,'Informations sur les produits'!$A$3:$H$10000,8,FALSE),"0")</f>
        <v>0</v>
      </c>
      <c r="N13381" s="8"/>
      <c r="O13381" s="33" t="str">
        <f>IFERROR(VLOOKUP($M13381,'Informations sur les produits'!$A$3:$H$10000,8,FALSE),"0")</f>
        <v>0</v>
      </c>
      <c r="P13381" s="33">
        <f t="shared" si="836"/>
        <v>0</v>
      </c>
      <c r="Q13381" s="31" t="str">
        <f t="shared" si="837"/>
        <v/>
      </c>
      <c r="R13381" s="32" t="str">
        <f>IFERROR(VLOOKUP($D13381,'Informations sur les produits'!$A$3:$B$15000,2,FALSE),"")</f>
        <v/>
      </c>
      <c r="V13381">
        <f t="shared" si="838"/>
        <v>0</v>
      </c>
      <c r="W13381">
        <f t="shared" si="839"/>
        <v>0</v>
      </c>
    </row>
    <row r="13382" spans="5:23" x14ac:dyDescent="0.25">
      <c r="E13382" s="4"/>
      <c r="F13382" s="4"/>
      <c r="G13382" s="33" t="str">
        <f>IFERROR(VLOOKUP($D13382,'Informations sur les produits'!$A$3:$H$10000,8,FALSE),"0")</f>
        <v>0</v>
      </c>
      <c r="K13382" s="4"/>
      <c r="L13382" s="33" t="str">
        <f>IFERROR(VLOOKUP($J13382,'Informations sur les produits'!$A$3:$H$10000,8,FALSE),"0")</f>
        <v>0</v>
      </c>
      <c r="N13382" s="8"/>
      <c r="O13382" s="33" t="str">
        <f>IFERROR(VLOOKUP($M13382,'Informations sur les produits'!$A$3:$H$10000,8,FALSE),"0")</f>
        <v>0</v>
      </c>
      <c r="P13382" s="33">
        <f t="shared" si="836"/>
        <v>0</v>
      </c>
      <c r="Q13382" s="31" t="str">
        <f t="shared" si="837"/>
        <v/>
      </c>
      <c r="R13382" s="32" t="str">
        <f>IFERROR(VLOOKUP($D13382,'Informations sur les produits'!$A$3:$B$15000,2,FALSE),"")</f>
        <v/>
      </c>
      <c r="V13382">
        <f t="shared" si="838"/>
        <v>0</v>
      </c>
      <c r="W13382">
        <f t="shared" si="839"/>
        <v>0</v>
      </c>
    </row>
    <row r="13383" spans="5:23" x14ac:dyDescent="0.25">
      <c r="E13383" s="4"/>
      <c r="F13383" s="4"/>
      <c r="G13383" s="33" t="str">
        <f>IFERROR(VLOOKUP($D13383,'Informations sur les produits'!$A$3:$H$10000,8,FALSE),"0")</f>
        <v>0</v>
      </c>
      <c r="K13383" s="4"/>
      <c r="L13383" s="33" t="str">
        <f>IFERROR(VLOOKUP($J13383,'Informations sur les produits'!$A$3:$H$10000,8,FALSE),"0")</f>
        <v>0</v>
      </c>
      <c r="N13383" s="8"/>
      <c r="O13383" s="33" t="str">
        <f>IFERROR(VLOOKUP($M13383,'Informations sur les produits'!$A$3:$H$10000,8,FALSE),"0")</f>
        <v>0</v>
      </c>
      <c r="P13383" s="33">
        <f t="shared" si="836"/>
        <v>0</v>
      </c>
      <c r="Q13383" s="31" t="str">
        <f t="shared" si="837"/>
        <v/>
      </c>
      <c r="R13383" s="32" t="str">
        <f>IFERROR(VLOOKUP($D13383,'Informations sur les produits'!$A$3:$B$15000,2,FALSE),"")</f>
        <v/>
      </c>
      <c r="V13383">
        <f t="shared" si="838"/>
        <v>0</v>
      </c>
      <c r="W13383">
        <f t="shared" si="839"/>
        <v>0</v>
      </c>
    </row>
    <row r="13384" spans="5:23" x14ac:dyDescent="0.25">
      <c r="E13384" s="4"/>
      <c r="F13384" s="4"/>
      <c r="G13384" s="33" t="str">
        <f>IFERROR(VLOOKUP($D13384,'Informations sur les produits'!$A$3:$H$10000,8,FALSE),"0")</f>
        <v>0</v>
      </c>
      <c r="K13384" s="4"/>
      <c r="L13384" s="33" t="str">
        <f>IFERROR(VLOOKUP($J13384,'Informations sur les produits'!$A$3:$H$10000,8,FALSE),"0")</f>
        <v>0</v>
      </c>
      <c r="N13384" s="8"/>
      <c r="O13384" s="33" t="str">
        <f>IFERROR(VLOOKUP($M13384,'Informations sur les produits'!$A$3:$H$10000,8,FALSE),"0")</f>
        <v>0</v>
      </c>
      <c r="P13384" s="33">
        <f t="shared" si="836"/>
        <v>0</v>
      </c>
      <c r="Q13384" s="31" t="str">
        <f t="shared" si="837"/>
        <v/>
      </c>
      <c r="R13384" s="32" t="str">
        <f>IFERROR(VLOOKUP($D13384,'Informations sur les produits'!$A$3:$B$15000,2,FALSE),"")</f>
        <v/>
      </c>
      <c r="V13384">
        <f t="shared" si="838"/>
        <v>0</v>
      </c>
      <c r="W13384">
        <f t="shared" si="839"/>
        <v>0</v>
      </c>
    </row>
    <row r="13385" spans="5:23" x14ac:dyDescent="0.25">
      <c r="E13385" s="4"/>
      <c r="F13385" s="4"/>
      <c r="G13385" s="33" t="str">
        <f>IFERROR(VLOOKUP($D13385,'Informations sur les produits'!$A$3:$H$10000,8,FALSE),"0")</f>
        <v>0</v>
      </c>
      <c r="K13385" s="4"/>
      <c r="L13385" s="33" t="str">
        <f>IFERROR(VLOOKUP($J13385,'Informations sur les produits'!$A$3:$H$10000,8,FALSE),"0")</f>
        <v>0</v>
      </c>
      <c r="N13385" s="8"/>
      <c r="O13385" s="33" t="str">
        <f>IFERROR(VLOOKUP($M13385,'Informations sur les produits'!$A$3:$H$10000,8,FALSE),"0")</f>
        <v>0</v>
      </c>
      <c r="P13385" s="33">
        <f t="shared" si="836"/>
        <v>0</v>
      </c>
      <c r="Q13385" s="31" t="str">
        <f t="shared" si="837"/>
        <v/>
      </c>
      <c r="R13385" s="32" t="str">
        <f>IFERROR(VLOOKUP($D13385,'Informations sur les produits'!$A$3:$B$15000,2,FALSE),"")</f>
        <v/>
      </c>
      <c r="V13385">
        <f t="shared" si="838"/>
        <v>0</v>
      </c>
      <c r="W13385">
        <f t="shared" si="839"/>
        <v>0</v>
      </c>
    </row>
    <row r="13386" spans="5:23" x14ac:dyDescent="0.25">
      <c r="E13386" s="4"/>
      <c r="F13386" s="4"/>
      <c r="G13386" s="33" t="str">
        <f>IFERROR(VLOOKUP($D13386,'Informations sur les produits'!$A$3:$H$10000,8,FALSE),"0")</f>
        <v>0</v>
      </c>
      <c r="K13386" s="4"/>
      <c r="L13386" s="33" t="str">
        <f>IFERROR(VLOOKUP($J13386,'Informations sur les produits'!$A$3:$H$10000,8,FALSE),"0")</f>
        <v>0</v>
      </c>
      <c r="N13386" s="8"/>
      <c r="O13386" s="33" t="str">
        <f>IFERROR(VLOOKUP($M13386,'Informations sur les produits'!$A$3:$H$10000,8,FALSE),"0")</f>
        <v>0</v>
      </c>
      <c r="P13386" s="33">
        <f t="shared" si="836"/>
        <v>0</v>
      </c>
      <c r="Q13386" s="31" t="str">
        <f t="shared" si="837"/>
        <v/>
      </c>
      <c r="R13386" s="32" t="str">
        <f>IFERROR(VLOOKUP($D13386,'Informations sur les produits'!$A$3:$B$15000,2,FALSE),"")</f>
        <v/>
      </c>
      <c r="V13386">
        <f t="shared" si="838"/>
        <v>0</v>
      </c>
      <c r="W13386">
        <f t="shared" si="839"/>
        <v>0</v>
      </c>
    </row>
    <row r="13387" spans="5:23" x14ac:dyDescent="0.25">
      <c r="E13387" s="4"/>
      <c r="F13387" s="4"/>
      <c r="G13387" s="33" t="str">
        <f>IFERROR(VLOOKUP($D13387,'Informations sur les produits'!$A$3:$H$10000,8,FALSE),"0")</f>
        <v>0</v>
      </c>
      <c r="K13387" s="4"/>
      <c r="L13387" s="33" t="str">
        <f>IFERROR(VLOOKUP($J13387,'Informations sur les produits'!$A$3:$H$10000,8,FALSE),"0")</f>
        <v>0</v>
      </c>
      <c r="N13387" s="8"/>
      <c r="O13387" s="33" t="str">
        <f>IFERROR(VLOOKUP($M13387,'Informations sur les produits'!$A$3:$H$10000,8,FALSE),"0")</f>
        <v>0</v>
      </c>
      <c r="P13387" s="33">
        <f t="shared" si="836"/>
        <v>0</v>
      </c>
      <c r="Q13387" s="31" t="str">
        <f t="shared" si="837"/>
        <v/>
      </c>
      <c r="R13387" s="32" t="str">
        <f>IFERROR(VLOOKUP($D13387,'Informations sur les produits'!$A$3:$B$15000,2,FALSE),"")</f>
        <v/>
      </c>
      <c r="V13387">
        <f t="shared" si="838"/>
        <v>0</v>
      </c>
      <c r="W13387">
        <f t="shared" si="839"/>
        <v>0</v>
      </c>
    </row>
    <row r="13388" spans="5:23" x14ac:dyDescent="0.25">
      <c r="E13388" s="4"/>
      <c r="F13388" s="4"/>
      <c r="G13388" s="33" t="str">
        <f>IFERROR(VLOOKUP($D13388,'Informations sur les produits'!$A$3:$H$10000,8,FALSE),"0")</f>
        <v>0</v>
      </c>
      <c r="K13388" s="4"/>
      <c r="L13388" s="33" t="str">
        <f>IFERROR(VLOOKUP($J13388,'Informations sur les produits'!$A$3:$H$10000,8,FALSE),"0")</f>
        <v>0</v>
      </c>
      <c r="N13388" s="8"/>
      <c r="O13388" s="33" t="str">
        <f>IFERROR(VLOOKUP($M13388,'Informations sur les produits'!$A$3:$H$10000,8,FALSE),"0")</f>
        <v>0</v>
      </c>
      <c r="P13388" s="33">
        <f t="shared" si="836"/>
        <v>0</v>
      </c>
      <c r="Q13388" s="31" t="str">
        <f t="shared" si="837"/>
        <v/>
      </c>
      <c r="R13388" s="32" t="str">
        <f>IFERROR(VLOOKUP($D13388,'Informations sur les produits'!$A$3:$B$15000,2,FALSE),"")</f>
        <v/>
      </c>
      <c r="V13388">
        <f t="shared" si="838"/>
        <v>0</v>
      </c>
      <c r="W13388">
        <f t="shared" si="839"/>
        <v>0</v>
      </c>
    </row>
    <row r="13389" spans="5:23" x14ac:dyDescent="0.25">
      <c r="E13389" s="4"/>
      <c r="F13389" s="4"/>
      <c r="G13389" s="33" t="str">
        <f>IFERROR(VLOOKUP($D13389,'Informations sur les produits'!$A$3:$H$10000,8,FALSE),"0")</f>
        <v>0</v>
      </c>
      <c r="K13389" s="4"/>
      <c r="L13389" s="33" t="str">
        <f>IFERROR(VLOOKUP($J13389,'Informations sur les produits'!$A$3:$H$10000,8,FALSE),"0")</f>
        <v>0</v>
      </c>
      <c r="N13389" s="8"/>
      <c r="O13389" s="33" t="str">
        <f>IFERROR(VLOOKUP($M13389,'Informations sur les produits'!$A$3:$H$10000,8,FALSE),"0")</f>
        <v>0</v>
      </c>
      <c r="P13389" s="33">
        <f t="shared" si="836"/>
        <v>0</v>
      </c>
      <c r="Q13389" s="31" t="str">
        <f t="shared" si="837"/>
        <v/>
      </c>
      <c r="R13389" s="32" t="str">
        <f>IFERROR(VLOOKUP($D13389,'Informations sur les produits'!$A$3:$B$15000,2,FALSE),"")</f>
        <v/>
      </c>
      <c r="V13389">
        <f t="shared" si="838"/>
        <v>0</v>
      </c>
      <c r="W13389">
        <f t="shared" si="839"/>
        <v>0</v>
      </c>
    </row>
    <row r="13390" spans="5:23" x14ac:dyDescent="0.25">
      <c r="E13390" s="4"/>
      <c r="F13390" s="4"/>
      <c r="G13390" s="33" t="str">
        <f>IFERROR(VLOOKUP($D13390,'Informations sur les produits'!$A$3:$H$10000,8,FALSE),"0")</f>
        <v>0</v>
      </c>
      <c r="K13390" s="4"/>
      <c r="L13390" s="33" t="str">
        <f>IFERROR(VLOOKUP($J13390,'Informations sur les produits'!$A$3:$H$10000,8,FALSE),"0")</f>
        <v>0</v>
      </c>
      <c r="N13390" s="8"/>
      <c r="O13390" s="33" t="str">
        <f>IFERROR(VLOOKUP($M13390,'Informations sur les produits'!$A$3:$H$10000,8,FALSE),"0")</f>
        <v>0</v>
      </c>
      <c r="P13390" s="33">
        <f t="shared" si="836"/>
        <v>0</v>
      </c>
      <c r="Q13390" s="31" t="str">
        <f t="shared" si="837"/>
        <v/>
      </c>
      <c r="R13390" s="32" t="str">
        <f>IFERROR(VLOOKUP($D13390,'Informations sur les produits'!$A$3:$B$15000,2,FALSE),"")</f>
        <v/>
      </c>
      <c r="V13390">
        <f t="shared" si="838"/>
        <v>0</v>
      </c>
      <c r="W13390">
        <f t="shared" si="839"/>
        <v>0</v>
      </c>
    </row>
    <row r="13391" spans="5:23" x14ac:dyDescent="0.25">
      <c r="E13391" s="4"/>
      <c r="F13391" s="4"/>
      <c r="G13391" s="33" t="str">
        <f>IFERROR(VLOOKUP($D13391,'Informations sur les produits'!$A$3:$H$10000,8,FALSE),"0")</f>
        <v>0</v>
      </c>
      <c r="K13391" s="4"/>
      <c r="L13391" s="33" t="str">
        <f>IFERROR(VLOOKUP($J13391,'Informations sur les produits'!$A$3:$H$10000,8,FALSE),"0")</f>
        <v>0</v>
      </c>
      <c r="N13391" s="8"/>
      <c r="O13391" s="33" t="str">
        <f>IFERROR(VLOOKUP($M13391,'Informations sur les produits'!$A$3:$H$10000,8,FALSE),"0")</f>
        <v>0</v>
      </c>
      <c r="P13391" s="33">
        <f t="shared" si="836"/>
        <v>0</v>
      </c>
      <c r="Q13391" s="31" t="str">
        <f t="shared" si="837"/>
        <v/>
      </c>
      <c r="R13391" s="32" t="str">
        <f>IFERROR(VLOOKUP($D13391,'Informations sur les produits'!$A$3:$B$15000,2,FALSE),"")</f>
        <v/>
      </c>
      <c r="V13391">
        <f t="shared" si="838"/>
        <v>0</v>
      </c>
      <c r="W13391">
        <f t="shared" si="839"/>
        <v>0</v>
      </c>
    </row>
    <row r="13392" spans="5:23" x14ac:dyDescent="0.25">
      <c r="E13392" s="4"/>
      <c r="F13392" s="4"/>
      <c r="G13392" s="33" t="str">
        <f>IFERROR(VLOOKUP($D13392,'Informations sur les produits'!$A$3:$H$10000,8,FALSE),"0")</f>
        <v>0</v>
      </c>
      <c r="K13392" s="4"/>
      <c r="L13392" s="33" t="str">
        <f>IFERROR(VLOOKUP($J13392,'Informations sur les produits'!$A$3:$H$10000,8,FALSE),"0")</f>
        <v>0</v>
      </c>
      <c r="N13392" s="8"/>
      <c r="O13392" s="33" t="str">
        <f>IFERROR(VLOOKUP($M13392,'Informations sur les produits'!$A$3:$H$10000,8,FALSE),"0")</f>
        <v>0</v>
      </c>
      <c r="P13392" s="33">
        <f t="shared" si="836"/>
        <v>0</v>
      </c>
      <c r="Q13392" s="31" t="str">
        <f t="shared" si="837"/>
        <v/>
      </c>
      <c r="R13392" s="32" t="str">
        <f>IFERROR(VLOOKUP($D13392,'Informations sur les produits'!$A$3:$B$15000,2,FALSE),"")</f>
        <v/>
      </c>
      <c r="V13392">
        <f t="shared" si="838"/>
        <v>0</v>
      </c>
      <c r="W13392">
        <f t="shared" si="839"/>
        <v>0</v>
      </c>
    </row>
    <row r="13393" spans="5:23" x14ac:dyDescent="0.25">
      <c r="E13393" s="4"/>
      <c r="F13393" s="4"/>
      <c r="G13393" s="33" t="str">
        <f>IFERROR(VLOOKUP($D13393,'Informations sur les produits'!$A$3:$H$10000,8,FALSE),"0")</f>
        <v>0</v>
      </c>
      <c r="K13393" s="4"/>
      <c r="L13393" s="33" t="str">
        <f>IFERROR(VLOOKUP($J13393,'Informations sur les produits'!$A$3:$H$10000,8,FALSE),"0")</f>
        <v>0</v>
      </c>
      <c r="N13393" s="8"/>
      <c r="O13393" s="33" t="str">
        <f>IFERROR(VLOOKUP($M13393,'Informations sur les produits'!$A$3:$H$10000,8,FALSE),"0")</f>
        <v>0</v>
      </c>
      <c r="P13393" s="33">
        <f t="shared" si="836"/>
        <v>0</v>
      </c>
      <c r="Q13393" s="31" t="str">
        <f t="shared" si="837"/>
        <v/>
      </c>
      <c r="R13393" s="32" t="str">
        <f>IFERROR(VLOOKUP($D13393,'Informations sur les produits'!$A$3:$B$15000,2,FALSE),"")</f>
        <v/>
      </c>
      <c r="V13393">
        <f t="shared" si="838"/>
        <v>0</v>
      </c>
      <c r="W13393">
        <f t="shared" si="839"/>
        <v>0</v>
      </c>
    </row>
    <row r="13394" spans="5:23" x14ac:dyDescent="0.25">
      <c r="E13394" s="4"/>
      <c r="F13394" s="4"/>
      <c r="G13394" s="33" t="str">
        <f>IFERROR(VLOOKUP($D13394,'Informations sur les produits'!$A$3:$H$10000,8,FALSE),"0")</f>
        <v>0</v>
      </c>
      <c r="K13394" s="4"/>
      <c r="L13394" s="33" t="str">
        <f>IFERROR(VLOOKUP($J13394,'Informations sur les produits'!$A$3:$H$10000,8,FALSE),"0")</f>
        <v>0</v>
      </c>
      <c r="N13394" s="8"/>
      <c r="O13394" s="33" t="str">
        <f>IFERROR(VLOOKUP($M13394,'Informations sur les produits'!$A$3:$H$10000,8,FALSE),"0")</f>
        <v>0</v>
      </c>
      <c r="P13394" s="33">
        <f t="shared" si="836"/>
        <v>0</v>
      </c>
      <c r="Q13394" s="31" t="str">
        <f t="shared" si="837"/>
        <v/>
      </c>
      <c r="R13394" s="32" t="str">
        <f>IFERROR(VLOOKUP($D13394,'Informations sur les produits'!$A$3:$B$15000,2,FALSE),"")</f>
        <v/>
      </c>
      <c r="V13394">
        <f t="shared" si="838"/>
        <v>0</v>
      </c>
      <c r="W13394">
        <f t="shared" si="839"/>
        <v>0</v>
      </c>
    </row>
    <row r="13395" spans="5:23" x14ac:dyDescent="0.25">
      <c r="E13395" s="4"/>
      <c r="F13395" s="4"/>
      <c r="G13395" s="33" t="str">
        <f>IFERROR(VLOOKUP($D13395,'Informations sur les produits'!$A$3:$H$10000,8,FALSE),"0")</f>
        <v>0</v>
      </c>
      <c r="K13395" s="4"/>
      <c r="L13395" s="33" t="str">
        <f>IFERROR(VLOOKUP($J13395,'Informations sur les produits'!$A$3:$H$10000,8,FALSE),"0")</f>
        <v>0</v>
      </c>
      <c r="N13395" s="8"/>
      <c r="O13395" s="33" t="str">
        <f>IFERROR(VLOOKUP($M13395,'Informations sur les produits'!$A$3:$H$10000,8,FALSE),"0")</f>
        <v>0</v>
      </c>
      <c r="P13395" s="33">
        <f t="shared" si="836"/>
        <v>0</v>
      </c>
      <c r="Q13395" s="31" t="str">
        <f t="shared" si="837"/>
        <v/>
      </c>
      <c r="R13395" s="32" t="str">
        <f>IFERROR(VLOOKUP($D13395,'Informations sur les produits'!$A$3:$B$15000,2,FALSE),"")</f>
        <v/>
      </c>
      <c r="V13395">
        <f t="shared" si="838"/>
        <v>0</v>
      </c>
      <c r="W13395">
        <f t="shared" si="839"/>
        <v>0</v>
      </c>
    </row>
    <row r="13396" spans="5:23" x14ac:dyDescent="0.25">
      <c r="E13396" s="4"/>
      <c r="F13396" s="4"/>
      <c r="G13396" s="33" t="str">
        <f>IFERROR(VLOOKUP($D13396,'Informations sur les produits'!$A$3:$H$10000,8,FALSE),"0")</f>
        <v>0</v>
      </c>
      <c r="K13396" s="4"/>
      <c r="L13396" s="33" t="str">
        <f>IFERROR(VLOOKUP($J13396,'Informations sur les produits'!$A$3:$H$10000,8,FALSE),"0")</f>
        <v>0</v>
      </c>
      <c r="N13396" s="8"/>
      <c r="O13396" s="33" t="str">
        <f>IFERROR(VLOOKUP($M13396,'Informations sur les produits'!$A$3:$H$10000,8,FALSE),"0")</f>
        <v>0</v>
      </c>
      <c r="P13396" s="33">
        <f t="shared" si="836"/>
        <v>0</v>
      </c>
      <c r="Q13396" s="31" t="str">
        <f t="shared" si="837"/>
        <v/>
      </c>
      <c r="R13396" s="32" t="str">
        <f>IFERROR(VLOOKUP($D13396,'Informations sur les produits'!$A$3:$B$15000,2,FALSE),"")</f>
        <v/>
      </c>
      <c r="V13396">
        <f t="shared" si="838"/>
        <v>0</v>
      </c>
      <c r="W13396">
        <f t="shared" si="839"/>
        <v>0</v>
      </c>
    </row>
    <row r="13397" spans="5:23" x14ac:dyDescent="0.25">
      <c r="E13397" s="4"/>
      <c r="F13397" s="4"/>
      <c r="G13397" s="33" t="str">
        <f>IFERROR(VLOOKUP($D13397,'Informations sur les produits'!$A$3:$H$10000,8,FALSE),"0")</f>
        <v>0</v>
      </c>
      <c r="K13397" s="4"/>
      <c r="L13397" s="33" t="str">
        <f>IFERROR(VLOOKUP($J13397,'Informations sur les produits'!$A$3:$H$10000,8,FALSE),"0")</f>
        <v>0</v>
      </c>
      <c r="N13397" s="8"/>
      <c r="O13397" s="33" t="str">
        <f>IFERROR(VLOOKUP($M13397,'Informations sur les produits'!$A$3:$H$10000,8,FALSE),"0")</f>
        <v>0</v>
      </c>
      <c r="P13397" s="33">
        <f t="shared" si="836"/>
        <v>0</v>
      </c>
      <c r="Q13397" s="31" t="str">
        <f t="shared" si="837"/>
        <v/>
      </c>
      <c r="R13397" s="32" t="str">
        <f>IFERROR(VLOOKUP($D13397,'Informations sur les produits'!$A$3:$B$15000,2,FALSE),"")</f>
        <v/>
      </c>
      <c r="V13397">
        <f t="shared" si="838"/>
        <v>0</v>
      </c>
      <c r="W13397">
        <f t="shared" si="839"/>
        <v>0</v>
      </c>
    </row>
    <row r="13398" spans="5:23" x14ac:dyDescent="0.25">
      <c r="E13398" s="4"/>
      <c r="F13398" s="4"/>
      <c r="G13398" s="33" t="str">
        <f>IFERROR(VLOOKUP($D13398,'Informations sur les produits'!$A$3:$H$10000,8,FALSE),"0")</f>
        <v>0</v>
      </c>
      <c r="K13398" s="4"/>
      <c r="L13398" s="33" t="str">
        <f>IFERROR(VLOOKUP($J13398,'Informations sur les produits'!$A$3:$H$10000,8,FALSE),"0")</f>
        <v>0</v>
      </c>
      <c r="N13398" s="8"/>
      <c r="O13398" s="33" t="str">
        <f>IFERROR(VLOOKUP($M13398,'Informations sur les produits'!$A$3:$H$10000,8,FALSE),"0")</f>
        <v>0</v>
      </c>
      <c r="P13398" s="33">
        <f t="shared" si="836"/>
        <v>0</v>
      </c>
      <c r="Q13398" s="31" t="str">
        <f t="shared" si="837"/>
        <v/>
      </c>
      <c r="R13398" s="32" t="str">
        <f>IFERROR(VLOOKUP($D13398,'Informations sur les produits'!$A$3:$B$15000,2,FALSE),"")</f>
        <v/>
      </c>
      <c r="V13398">
        <f t="shared" si="838"/>
        <v>0</v>
      </c>
      <c r="W13398">
        <f t="shared" si="839"/>
        <v>0</v>
      </c>
    </row>
    <row r="13399" spans="5:23" x14ac:dyDescent="0.25">
      <c r="E13399" s="4"/>
      <c r="F13399" s="4"/>
      <c r="G13399" s="33" t="str">
        <f>IFERROR(VLOOKUP($D13399,'Informations sur les produits'!$A$3:$H$10000,8,FALSE),"0")</f>
        <v>0</v>
      </c>
      <c r="K13399" s="4"/>
      <c r="L13399" s="33" t="str">
        <f>IFERROR(VLOOKUP($J13399,'Informations sur les produits'!$A$3:$H$10000,8,FALSE),"0")</f>
        <v>0</v>
      </c>
      <c r="N13399" s="8"/>
      <c r="O13399" s="33" t="str">
        <f>IFERROR(VLOOKUP($M13399,'Informations sur les produits'!$A$3:$H$10000,8,FALSE),"0")</f>
        <v>0</v>
      </c>
      <c r="P13399" s="33">
        <f t="shared" si="836"/>
        <v>0</v>
      </c>
      <c r="Q13399" s="31" t="str">
        <f t="shared" si="837"/>
        <v/>
      </c>
      <c r="R13399" s="32" t="str">
        <f>IFERROR(VLOOKUP($D13399,'Informations sur les produits'!$A$3:$B$15000,2,FALSE),"")</f>
        <v/>
      </c>
      <c r="V13399">
        <f t="shared" si="838"/>
        <v>0</v>
      </c>
      <c r="W13399">
        <f t="shared" si="839"/>
        <v>0</v>
      </c>
    </row>
    <row r="13400" spans="5:23" x14ac:dyDescent="0.25">
      <c r="E13400" s="4"/>
      <c r="F13400" s="4"/>
      <c r="G13400" s="33" t="str">
        <f>IFERROR(VLOOKUP($D13400,'Informations sur les produits'!$A$3:$H$10000,8,FALSE),"0")</f>
        <v>0</v>
      </c>
      <c r="K13400" s="4"/>
      <c r="L13400" s="33" t="str">
        <f>IFERROR(VLOOKUP($J13400,'Informations sur les produits'!$A$3:$H$10000,8,FALSE),"0")</f>
        <v>0</v>
      </c>
      <c r="N13400" s="8"/>
      <c r="O13400" s="33" t="str">
        <f>IFERROR(VLOOKUP($M13400,'Informations sur les produits'!$A$3:$H$10000,8,FALSE),"0")</f>
        <v>0</v>
      </c>
      <c r="P13400" s="33">
        <f t="shared" si="836"/>
        <v>0</v>
      </c>
      <c r="Q13400" s="31" t="str">
        <f t="shared" si="837"/>
        <v/>
      </c>
      <c r="R13400" s="32" t="str">
        <f>IFERROR(VLOOKUP($D13400,'Informations sur les produits'!$A$3:$B$15000,2,FALSE),"")</f>
        <v/>
      </c>
      <c r="V13400">
        <f t="shared" si="838"/>
        <v>0</v>
      </c>
      <c r="W13400">
        <f t="shared" si="839"/>
        <v>0</v>
      </c>
    </row>
    <row r="13401" spans="5:23" x14ac:dyDescent="0.25">
      <c r="E13401" s="4"/>
      <c r="F13401" s="4"/>
      <c r="G13401" s="33" t="str">
        <f>IFERROR(VLOOKUP($D13401,'Informations sur les produits'!$A$3:$H$10000,8,FALSE),"0")</f>
        <v>0</v>
      </c>
      <c r="K13401" s="4"/>
      <c r="L13401" s="33" t="str">
        <f>IFERROR(VLOOKUP($J13401,'Informations sur les produits'!$A$3:$H$10000,8,FALSE),"0")</f>
        <v>0</v>
      </c>
      <c r="N13401" s="8"/>
      <c r="O13401" s="33" t="str">
        <f>IFERROR(VLOOKUP($M13401,'Informations sur les produits'!$A$3:$H$10000,8,FALSE),"0")</f>
        <v>0</v>
      </c>
      <c r="P13401" s="33">
        <f t="shared" si="836"/>
        <v>0</v>
      </c>
      <c r="Q13401" s="31" t="str">
        <f t="shared" si="837"/>
        <v/>
      </c>
      <c r="R13401" s="32" t="str">
        <f>IFERROR(VLOOKUP($D13401,'Informations sur les produits'!$A$3:$B$15000,2,FALSE),"")</f>
        <v/>
      </c>
      <c r="V13401">
        <f t="shared" si="838"/>
        <v>0</v>
      </c>
      <c r="W13401">
        <f t="shared" si="839"/>
        <v>0</v>
      </c>
    </row>
    <row r="13402" spans="5:23" x14ac:dyDescent="0.25">
      <c r="E13402" s="4"/>
      <c r="F13402" s="4"/>
      <c r="G13402" s="33" t="str">
        <f>IFERROR(VLOOKUP($D13402,'Informations sur les produits'!$A$3:$H$10000,8,FALSE),"0")</f>
        <v>0</v>
      </c>
      <c r="K13402" s="4"/>
      <c r="L13402" s="33" t="str">
        <f>IFERROR(VLOOKUP($J13402,'Informations sur les produits'!$A$3:$H$10000,8,FALSE),"0")</f>
        <v>0</v>
      </c>
      <c r="N13402" s="8"/>
      <c r="O13402" s="33" t="str">
        <f>IFERROR(VLOOKUP($M13402,'Informations sur les produits'!$A$3:$H$10000,8,FALSE),"0")</f>
        <v>0</v>
      </c>
      <c r="P13402" s="33">
        <f t="shared" si="836"/>
        <v>0</v>
      </c>
      <c r="Q13402" s="31" t="str">
        <f t="shared" si="837"/>
        <v/>
      </c>
      <c r="R13402" s="32" t="str">
        <f>IFERROR(VLOOKUP($D13402,'Informations sur les produits'!$A$3:$B$15000,2,FALSE),"")</f>
        <v/>
      </c>
      <c r="V13402">
        <f t="shared" si="838"/>
        <v>0</v>
      </c>
      <c r="W13402">
        <f t="shared" si="839"/>
        <v>0</v>
      </c>
    </row>
    <row r="13403" spans="5:23" x14ac:dyDescent="0.25">
      <c r="E13403" s="4"/>
      <c r="F13403" s="4"/>
      <c r="G13403" s="33" t="str">
        <f>IFERROR(VLOOKUP($D13403,'Informations sur les produits'!$A$3:$H$10000,8,FALSE),"0")</f>
        <v>0</v>
      </c>
      <c r="K13403" s="4"/>
      <c r="L13403" s="33" t="str">
        <f>IFERROR(VLOOKUP($J13403,'Informations sur les produits'!$A$3:$H$10000,8,FALSE),"0")</f>
        <v>0</v>
      </c>
      <c r="N13403" s="8"/>
      <c r="O13403" s="33" t="str">
        <f>IFERROR(VLOOKUP($M13403,'Informations sur les produits'!$A$3:$H$10000,8,FALSE),"0")</f>
        <v>0</v>
      </c>
      <c r="P13403" s="33">
        <f t="shared" si="836"/>
        <v>0</v>
      </c>
      <c r="Q13403" s="31" t="str">
        <f t="shared" si="837"/>
        <v/>
      </c>
      <c r="R13403" s="32" t="str">
        <f>IFERROR(VLOOKUP($D13403,'Informations sur les produits'!$A$3:$B$15000,2,FALSE),"")</f>
        <v/>
      </c>
      <c r="V13403">
        <f t="shared" si="838"/>
        <v>0</v>
      </c>
      <c r="W13403">
        <f t="shared" si="839"/>
        <v>0</v>
      </c>
    </row>
    <row r="13404" spans="5:23" x14ac:dyDescent="0.25">
      <c r="E13404" s="4"/>
      <c r="F13404" s="4"/>
      <c r="G13404" s="33" t="str">
        <f>IFERROR(VLOOKUP($D13404,'Informations sur les produits'!$A$3:$H$10000,8,FALSE),"0")</f>
        <v>0</v>
      </c>
      <c r="K13404" s="4"/>
      <c r="L13404" s="33" t="str">
        <f>IFERROR(VLOOKUP($J13404,'Informations sur les produits'!$A$3:$H$10000,8,FALSE),"0")</f>
        <v>0</v>
      </c>
      <c r="N13404" s="8"/>
      <c r="O13404" s="33" t="str">
        <f>IFERROR(VLOOKUP($M13404,'Informations sur les produits'!$A$3:$H$10000,8,FALSE),"0")</f>
        <v>0</v>
      </c>
      <c r="P13404" s="33">
        <f t="shared" si="836"/>
        <v>0</v>
      </c>
      <c r="Q13404" s="31" t="str">
        <f t="shared" si="837"/>
        <v/>
      </c>
      <c r="R13404" s="32" t="str">
        <f>IFERROR(VLOOKUP($D13404,'Informations sur les produits'!$A$3:$B$15000,2,FALSE),"")</f>
        <v/>
      </c>
      <c r="V13404">
        <f t="shared" si="838"/>
        <v>0</v>
      </c>
      <c r="W13404">
        <f t="shared" si="839"/>
        <v>0</v>
      </c>
    </row>
    <row r="13405" spans="5:23" x14ac:dyDescent="0.25">
      <c r="E13405" s="4"/>
      <c r="F13405" s="4"/>
      <c r="G13405" s="33" t="str">
        <f>IFERROR(VLOOKUP($D13405,'Informations sur les produits'!$A$3:$H$10000,8,FALSE),"0")</f>
        <v>0</v>
      </c>
      <c r="K13405" s="4"/>
      <c r="L13405" s="33" t="str">
        <f>IFERROR(VLOOKUP($J13405,'Informations sur les produits'!$A$3:$H$10000,8,FALSE),"0")</f>
        <v>0</v>
      </c>
      <c r="N13405" s="8"/>
      <c r="O13405" s="33" t="str">
        <f>IFERROR(VLOOKUP($M13405,'Informations sur les produits'!$A$3:$H$10000,8,FALSE),"0")</f>
        <v>0</v>
      </c>
      <c r="P13405" s="33">
        <f t="shared" si="836"/>
        <v>0</v>
      </c>
      <c r="Q13405" s="31" t="str">
        <f t="shared" si="837"/>
        <v/>
      </c>
      <c r="R13405" s="32" t="str">
        <f>IFERROR(VLOOKUP($D13405,'Informations sur les produits'!$A$3:$B$15000,2,FALSE),"")</f>
        <v/>
      </c>
      <c r="V13405">
        <f t="shared" si="838"/>
        <v>0</v>
      </c>
      <c r="W13405">
        <f t="shared" si="839"/>
        <v>0</v>
      </c>
    </row>
    <row r="13406" spans="5:23" x14ac:dyDescent="0.25">
      <c r="E13406" s="4"/>
      <c r="F13406" s="4"/>
      <c r="G13406" s="33" t="str">
        <f>IFERROR(VLOOKUP($D13406,'Informations sur les produits'!$A$3:$H$10000,8,FALSE),"0")</f>
        <v>0</v>
      </c>
      <c r="K13406" s="4"/>
      <c r="L13406" s="33" t="str">
        <f>IFERROR(VLOOKUP($J13406,'Informations sur les produits'!$A$3:$H$10000,8,FALSE),"0")</f>
        <v>0</v>
      </c>
      <c r="N13406" s="8"/>
      <c r="O13406" s="33" t="str">
        <f>IFERROR(VLOOKUP($M13406,'Informations sur les produits'!$A$3:$H$10000,8,FALSE),"0")</f>
        <v>0</v>
      </c>
      <c r="P13406" s="33">
        <f t="shared" si="836"/>
        <v>0</v>
      </c>
      <c r="Q13406" s="31" t="str">
        <f t="shared" si="837"/>
        <v/>
      </c>
      <c r="R13406" s="32" t="str">
        <f>IFERROR(VLOOKUP($D13406,'Informations sur les produits'!$A$3:$B$15000,2,FALSE),"")</f>
        <v/>
      </c>
      <c r="V13406">
        <f t="shared" si="838"/>
        <v>0</v>
      </c>
      <c r="W13406">
        <f t="shared" si="839"/>
        <v>0</v>
      </c>
    </row>
    <row r="13407" spans="5:23" x14ac:dyDescent="0.25">
      <c r="E13407" s="4"/>
      <c r="F13407" s="4"/>
      <c r="G13407" s="33" t="str">
        <f>IFERROR(VLOOKUP($D13407,'Informations sur les produits'!$A$3:$H$10000,8,FALSE),"0")</f>
        <v>0</v>
      </c>
      <c r="K13407" s="4"/>
      <c r="L13407" s="33" t="str">
        <f>IFERROR(VLOOKUP($J13407,'Informations sur les produits'!$A$3:$H$10000,8,FALSE),"0")</f>
        <v>0</v>
      </c>
      <c r="N13407" s="8"/>
      <c r="O13407" s="33" t="str">
        <f>IFERROR(VLOOKUP($M13407,'Informations sur les produits'!$A$3:$H$10000,8,FALSE),"0")</f>
        <v>0</v>
      </c>
      <c r="P13407" s="33">
        <f t="shared" si="836"/>
        <v>0</v>
      </c>
      <c r="Q13407" s="31" t="str">
        <f t="shared" si="837"/>
        <v/>
      </c>
      <c r="R13407" s="32" t="str">
        <f>IFERROR(VLOOKUP($D13407,'Informations sur les produits'!$A$3:$B$15000,2,FALSE),"")</f>
        <v/>
      </c>
      <c r="V13407">
        <f t="shared" si="838"/>
        <v>0</v>
      </c>
      <c r="W13407">
        <f t="shared" si="839"/>
        <v>0</v>
      </c>
    </row>
    <row r="13408" spans="5:23" x14ac:dyDescent="0.25">
      <c r="E13408" s="4"/>
      <c r="F13408" s="4"/>
      <c r="G13408" s="33" t="str">
        <f>IFERROR(VLOOKUP($D13408,'Informations sur les produits'!$A$3:$H$10000,8,FALSE),"0")</f>
        <v>0</v>
      </c>
      <c r="K13408" s="4"/>
      <c r="L13408" s="33" t="str">
        <f>IFERROR(VLOOKUP($J13408,'Informations sur les produits'!$A$3:$H$10000,8,FALSE),"0")</f>
        <v>0</v>
      </c>
      <c r="N13408" s="8"/>
      <c r="O13408" s="33" t="str">
        <f>IFERROR(VLOOKUP($M13408,'Informations sur les produits'!$A$3:$H$10000,8,FALSE),"0")</f>
        <v>0</v>
      </c>
      <c r="P13408" s="33">
        <f t="shared" si="836"/>
        <v>0</v>
      </c>
      <c r="Q13408" s="31" t="str">
        <f t="shared" si="837"/>
        <v/>
      </c>
      <c r="R13408" s="32" t="str">
        <f>IFERROR(VLOOKUP($D13408,'Informations sur les produits'!$A$3:$B$15000,2,FALSE),"")</f>
        <v/>
      </c>
      <c r="V13408">
        <f t="shared" si="838"/>
        <v>0</v>
      </c>
      <c r="W13408">
        <f t="shared" si="839"/>
        <v>0</v>
      </c>
    </row>
    <row r="13409" spans="5:23" x14ac:dyDescent="0.25">
      <c r="E13409" s="4"/>
      <c r="F13409" s="4"/>
      <c r="G13409" s="33" t="str">
        <f>IFERROR(VLOOKUP($D13409,'Informations sur les produits'!$A$3:$H$10000,8,FALSE),"0")</f>
        <v>0</v>
      </c>
      <c r="K13409" s="4"/>
      <c r="L13409" s="33" t="str">
        <f>IFERROR(VLOOKUP($J13409,'Informations sur les produits'!$A$3:$H$10000,8,FALSE),"0")</f>
        <v>0</v>
      </c>
      <c r="N13409" s="8"/>
      <c r="O13409" s="33" t="str">
        <f>IFERROR(VLOOKUP($M13409,'Informations sur les produits'!$A$3:$H$10000,8,FALSE),"0")</f>
        <v>0</v>
      </c>
      <c r="P13409" s="33">
        <f t="shared" si="836"/>
        <v>0</v>
      </c>
      <c r="Q13409" s="31" t="str">
        <f t="shared" si="837"/>
        <v/>
      </c>
      <c r="R13409" s="32" t="str">
        <f>IFERROR(VLOOKUP($D13409,'Informations sur les produits'!$A$3:$B$15000,2,FALSE),"")</f>
        <v/>
      </c>
      <c r="V13409">
        <f t="shared" si="838"/>
        <v>0</v>
      </c>
      <c r="W13409">
        <f t="shared" si="839"/>
        <v>0</v>
      </c>
    </row>
    <row r="13410" spans="5:23" x14ac:dyDescent="0.25">
      <c r="E13410" s="4"/>
      <c r="F13410" s="4"/>
      <c r="G13410" s="33" t="str">
        <f>IFERROR(VLOOKUP($D13410,'Informations sur les produits'!$A$3:$H$10000,8,FALSE),"0")</f>
        <v>0</v>
      </c>
      <c r="K13410" s="4"/>
      <c r="L13410" s="33" t="str">
        <f>IFERROR(VLOOKUP($J13410,'Informations sur les produits'!$A$3:$H$10000,8,FALSE),"0")</f>
        <v>0</v>
      </c>
      <c r="N13410" s="8"/>
      <c r="O13410" s="33" t="str">
        <f>IFERROR(VLOOKUP($M13410,'Informations sur les produits'!$A$3:$H$10000,8,FALSE),"0")</f>
        <v>0</v>
      </c>
      <c r="P13410" s="33">
        <f t="shared" si="836"/>
        <v>0</v>
      </c>
      <c r="Q13410" s="31" t="str">
        <f t="shared" si="837"/>
        <v/>
      </c>
      <c r="R13410" s="32" t="str">
        <f>IFERROR(VLOOKUP($D13410,'Informations sur les produits'!$A$3:$B$15000,2,FALSE),"")</f>
        <v/>
      </c>
      <c r="V13410">
        <f t="shared" si="838"/>
        <v>0</v>
      </c>
      <c r="W13410">
        <f t="shared" si="839"/>
        <v>0</v>
      </c>
    </row>
    <row r="13411" spans="5:23" x14ac:dyDescent="0.25">
      <c r="E13411" s="4"/>
      <c r="F13411" s="4"/>
      <c r="G13411" s="33" t="str">
        <f>IFERROR(VLOOKUP($D13411,'Informations sur les produits'!$A$3:$H$10000,8,FALSE),"0")</f>
        <v>0</v>
      </c>
      <c r="K13411" s="4"/>
      <c r="L13411" s="33" t="str">
        <f>IFERROR(VLOOKUP($J13411,'Informations sur les produits'!$A$3:$H$10000,8,FALSE),"0")</f>
        <v>0</v>
      </c>
      <c r="N13411" s="8"/>
      <c r="O13411" s="33" t="str">
        <f>IFERROR(VLOOKUP($M13411,'Informations sur les produits'!$A$3:$H$10000,8,FALSE),"0")</f>
        <v>0</v>
      </c>
      <c r="P13411" s="33">
        <f t="shared" si="836"/>
        <v>0</v>
      </c>
      <c r="Q13411" s="31" t="str">
        <f t="shared" si="837"/>
        <v/>
      </c>
      <c r="R13411" s="32" t="str">
        <f>IFERROR(VLOOKUP($D13411,'Informations sur les produits'!$A$3:$B$15000,2,FALSE),"")</f>
        <v/>
      </c>
      <c r="V13411">
        <f t="shared" si="838"/>
        <v>0</v>
      </c>
      <c r="W13411">
        <f t="shared" si="839"/>
        <v>0</v>
      </c>
    </row>
    <row r="13412" spans="5:23" x14ac:dyDescent="0.25">
      <c r="E13412" s="4"/>
      <c r="F13412" s="4"/>
      <c r="G13412" s="33" t="str">
        <f>IFERROR(VLOOKUP($D13412,'Informations sur les produits'!$A$3:$H$10000,8,FALSE),"0")</f>
        <v>0</v>
      </c>
      <c r="K13412" s="4"/>
      <c r="L13412" s="33" t="str">
        <f>IFERROR(VLOOKUP($J13412,'Informations sur les produits'!$A$3:$H$10000,8,FALSE),"0")</f>
        <v>0</v>
      </c>
      <c r="N13412" s="8"/>
      <c r="O13412" s="33" t="str">
        <f>IFERROR(VLOOKUP($M13412,'Informations sur les produits'!$A$3:$H$10000,8,FALSE),"0")</f>
        <v>0</v>
      </c>
      <c r="P13412" s="33">
        <f t="shared" si="836"/>
        <v>0</v>
      </c>
      <c r="Q13412" s="31" t="str">
        <f t="shared" si="837"/>
        <v/>
      </c>
      <c r="R13412" s="32" t="str">
        <f>IFERROR(VLOOKUP($D13412,'Informations sur les produits'!$A$3:$B$15000,2,FALSE),"")</f>
        <v/>
      </c>
      <c r="V13412">
        <f t="shared" si="838"/>
        <v>0</v>
      </c>
      <c r="W13412">
        <f t="shared" si="839"/>
        <v>0</v>
      </c>
    </row>
    <row r="13413" spans="5:23" x14ac:dyDescent="0.25">
      <c r="E13413" s="4"/>
      <c r="F13413" s="4"/>
      <c r="G13413" s="33" t="str">
        <f>IFERROR(VLOOKUP($D13413,'Informations sur les produits'!$A$3:$H$10000,8,FALSE),"0")</f>
        <v>0</v>
      </c>
      <c r="K13413" s="4"/>
      <c r="L13413" s="33" t="str">
        <f>IFERROR(VLOOKUP($J13413,'Informations sur les produits'!$A$3:$H$10000,8,FALSE),"0")</f>
        <v>0</v>
      </c>
      <c r="N13413" s="8"/>
      <c r="O13413" s="33" t="str">
        <f>IFERROR(VLOOKUP($M13413,'Informations sur les produits'!$A$3:$H$10000,8,FALSE),"0")</f>
        <v>0</v>
      </c>
      <c r="P13413" s="33">
        <f t="shared" si="836"/>
        <v>0</v>
      </c>
      <c r="Q13413" s="31" t="str">
        <f t="shared" si="837"/>
        <v/>
      </c>
      <c r="R13413" s="32" t="str">
        <f>IFERROR(VLOOKUP($D13413,'Informations sur les produits'!$A$3:$B$15000,2,FALSE),"")</f>
        <v/>
      </c>
      <c r="V13413">
        <f t="shared" si="838"/>
        <v>0</v>
      </c>
      <c r="W13413">
        <f t="shared" si="839"/>
        <v>0</v>
      </c>
    </row>
    <row r="13414" spans="5:23" x14ac:dyDescent="0.25">
      <c r="E13414" s="4"/>
      <c r="F13414" s="4"/>
      <c r="G13414" s="33" t="str">
        <f>IFERROR(VLOOKUP($D13414,'Informations sur les produits'!$A$3:$H$10000,8,FALSE),"0")</f>
        <v>0</v>
      </c>
      <c r="K13414" s="4"/>
      <c r="L13414" s="33" t="str">
        <f>IFERROR(VLOOKUP($J13414,'Informations sur les produits'!$A$3:$H$10000,8,FALSE),"0")</f>
        <v>0</v>
      </c>
      <c r="N13414" s="8"/>
      <c r="O13414" s="33" t="str">
        <f>IFERROR(VLOOKUP($M13414,'Informations sur les produits'!$A$3:$H$10000,8,FALSE),"0")</f>
        <v>0</v>
      </c>
      <c r="P13414" s="33">
        <f t="shared" si="836"/>
        <v>0</v>
      </c>
      <c r="Q13414" s="31" t="str">
        <f t="shared" si="837"/>
        <v/>
      </c>
      <c r="R13414" s="32" t="str">
        <f>IFERROR(VLOOKUP($D13414,'Informations sur les produits'!$A$3:$B$15000,2,FALSE),"")</f>
        <v/>
      </c>
      <c r="V13414">
        <f t="shared" si="838"/>
        <v>0</v>
      </c>
      <c r="W13414">
        <f t="shared" si="839"/>
        <v>0</v>
      </c>
    </row>
    <row r="13415" spans="5:23" x14ac:dyDescent="0.25">
      <c r="E13415" s="4"/>
      <c r="F13415" s="4"/>
      <c r="G13415" s="33" t="str">
        <f>IFERROR(VLOOKUP($D13415,'Informations sur les produits'!$A$3:$H$10000,8,FALSE),"0")</f>
        <v>0</v>
      </c>
      <c r="K13415" s="4"/>
      <c r="L13415" s="33" t="str">
        <f>IFERROR(VLOOKUP($J13415,'Informations sur les produits'!$A$3:$H$10000,8,FALSE),"0")</f>
        <v>0</v>
      </c>
      <c r="N13415" s="8"/>
      <c r="O13415" s="33" t="str">
        <f>IFERROR(VLOOKUP($M13415,'Informations sur les produits'!$A$3:$H$10000,8,FALSE),"0")</f>
        <v>0</v>
      </c>
      <c r="P13415" s="33">
        <f t="shared" si="836"/>
        <v>0</v>
      </c>
      <c r="Q13415" s="31" t="str">
        <f t="shared" si="837"/>
        <v/>
      </c>
      <c r="R13415" s="32" t="str">
        <f>IFERROR(VLOOKUP($D13415,'Informations sur les produits'!$A$3:$B$15000,2,FALSE),"")</f>
        <v/>
      </c>
      <c r="V13415">
        <f t="shared" si="838"/>
        <v>0</v>
      </c>
      <c r="W13415">
        <f t="shared" si="839"/>
        <v>0</v>
      </c>
    </row>
    <row r="13416" spans="5:23" x14ac:dyDescent="0.25">
      <c r="E13416" s="4"/>
      <c r="F13416" s="4"/>
      <c r="G13416" s="33" t="str">
        <f>IFERROR(VLOOKUP($D13416,'Informations sur les produits'!$A$3:$H$10000,8,FALSE),"0")</f>
        <v>0</v>
      </c>
      <c r="K13416" s="4"/>
      <c r="L13416" s="33" t="str">
        <f>IFERROR(VLOOKUP($J13416,'Informations sur les produits'!$A$3:$H$10000,8,FALSE),"0")</f>
        <v>0</v>
      </c>
      <c r="N13416" s="8"/>
      <c r="O13416" s="33" t="str">
        <f>IFERROR(VLOOKUP($M13416,'Informations sur les produits'!$A$3:$H$10000,8,FALSE),"0")</f>
        <v>0</v>
      </c>
      <c r="P13416" s="33">
        <f t="shared" si="836"/>
        <v>0</v>
      </c>
      <c r="Q13416" s="31" t="str">
        <f t="shared" si="837"/>
        <v/>
      </c>
      <c r="R13416" s="32" t="str">
        <f>IFERROR(VLOOKUP($D13416,'Informations sur les produits'!$A$3:$B$15000,2,FALSE),"")</f>
        <v/>
      </c>
      <c r="V13416">
        <f t="shared" si="838"/>
        <v>0</v>
      </c>
      <c r="W13416">
        <f t="shared" si="839"/>
        <v>0</v>
      </c>
    </row>
    <row r="13417" spans="5:23" x14ac:dyDescent="0.25">
      <c r="E13417" s="4"/>
      <c r="F13417" s="4"/>
      <c r="G13417" s="33" t="str">
        <f>IFERROR(VLOOKUP($D13417,'Informations sur les produits'!$A$3:$H$10000,8,FALSE),"0")</f>
        <v>0</v>
      </c>
      <c r="K13417" s="4"/>
      <c r="L13417" s="33" t="str">
        <f>IFERROR(VLOOKUP($J13417,'Informations sur les produits'!$A$3:$H$10000,8,FALSE),"0")</f>
        <v>0</v>
      </c>
      <c r="N13417" s="8"/>
      <c r="O13417" s="33" t="str">
        <f>IFERROR(VLOOKUP($M13417,'Informations sur les produits'!$A$3:$H$10000,8,FALSE),"0")</f>
        <v>0</v>
      </c>
      <c r="P13417" s="33">
        <f t="shared" si="836"/>
        <v>0</v>
      </c>
      <c r="Q13417" s="31" t="str">
        <f t="shared" si="837"/>
        <v/>
      </c>
      <c r="R13417" s="32" t="str">
        <f>IFERROR(VLOOKUP($D13417,'Informations sur les produits'!$A$3:$B$15000,2,FALSE),"")</f>
        <v/>
      </c>
      <c r="V13417">
        <f t="shared" si="838"/>
        <v>0</v>
      </c>
      <c r="W13417">
        <f t="shared" si="839"/>
        <v>0</v>
      </c>
    </row>
    <row r="13418" spans="5:23" x14ac:dyDescent="0.25">
      <c r="E13418" s="4"/>
      <c r="F13418" s="4"/>
      <c r="G13418" s="33" t="str">
        <f>IFERROR(VLOOKUP($D13418,'Informations sur les produits'!$A$3:$H$10000,8,FALSE),"0")</f>
        <v>0</v>
      </c>
      <c r="K13418" s="4"/>
      <c r="L13418" s="33" t="str">
        <f>IFERROR(VLOOKUP($J13418,'Informations sur les produits'!$A$3:$H$10000,8,FALSE),"0")</f>
        <v>0</v>
      </c>
      <c r="N13418" s="8"/>
      <c r="O13418" s="33" t="str">
        <f>IFERROR(VLOOKUP($M13418,'Informations sur les produits'!$A$3:$H$10000,8,FALSE),"0")</f>
        <v>0</v>
      </c>
      <c r="P13418" s="33">
        <f t="shared" si="836"/>
        <v>0</v>
      </c>
      <c r="Q13418" s="31" t="str">
        <f t="shared" si="837"/>
        <v/>
      </c>
      <c r="R13418" s="32" t="str">
        <f>IFERROR(VLOOKUP($D13418,'Informations sur les produits'!$A$3:$B$15000,2,FALSE),"")</f>
        <v/>
      </c>
      <c r="V13418">
        <f t="shared" si="838"/>
        <v>0</v>
      </c>
      <c r="W13418">
        <f t="shared" si="839"/>
        <v>0</v>
      </c>
    </row>
    <row r="13419" spans="5:23" x14ac:dyDescent="0.25">
      <c r="E13419" s="4"/>
      <c r="F13419" s="4"/>
      <c r="G13419" s="33" t="str">
        <f>IFERROR(VLOOKUP($D13419,'Informations sur les produits'!$A$3:$H$10000,8,FALSE),"0")</f>
        <v>0</v>
      </c>
      <c r="K13419" s="4"/>
      <c r="L13419" s="33" t="str">
        <f>IFERROR(VLOOKUP($J13419,'Informations sur les produits'!$A$3:$H$10000,8,FALSE),"0")</f>
        <v>0</v>
      </c>
      <c r="N13419" s="8"/>
      <c r="O13419" s="33" t="str">
        <f>IFERROR(VLOOKUP($M13419,'Informations sur les produits'!$A$3:$H$10000,8,FALSE),"0")</f>
        <v>0</v>
      </c>
      <c r="P13419" s="33">
        <f t="shared" si="836"/>
        <v>0</v>
      </c>
      <c r="Q13419" s="31" t="str">
        <f t="shared" si="837"/>
        <v/>
      </c>
      <c r="R13419" s="32" t="str">
        <f>IFERROR(VLOOKUP($D13419,'Informations sur les produits'!$A$3:$B$15000,2,FALSE),"")</f>
        <v/>
      </c>
      <c r="V13419">
        <f t="shared" si="838"/>
        <v>0</v>
      </c>
      <c r="W13419">
        <f t="shared" si="839"/>
        <v>0</v>
      </c>
    </row>
    <row r="13420" spans="5:23" x14ac:dyDescent="0.25">
      <c r="E13420" s="4"/>
      <c r="F13420" s="4"/>
      <c r="G13420" s="33" t="str">
        <f>IFERROR(VLOOKUP($D13420,'Informations sur les produits'!$A$3:$H$10000,8,FALSE),"0")</f>
        <v>0</v>
      </c>
      <c r="K13420" s="4"/>
      <c r="L13420" s="33" t="str">
        <f>IFERROR(VLOOKUP($J13420,'Informations sur les produits'!$A$3:$H$10000,8,FALSE),"0")</f>
        <v>0</v>
      </c>
      <c r="N13420" s="8"/>
      <c r="O13420" s="33" t="str">
        <f>IFERROR(VLOOKUP($M13420,'Informations sur les produits'!$A$3:$H$10000,8,FALSE),"0")</f>
        <v>0</v>
      </c>
      <c r="P13420" s="33">
        <f t="shared" si="836"/>
        <v>0</v>
      </c>
      <c r="Q13420" s="31" t="str">
        <f t="shared" si="837"/>
        <v/>
      </c>
      <c r="R13420" s="32" t="str">
        <f>IFERROR(VLOOKUP($D13420,'Informations sur les produits'!$A$3:$B$15000,2,FALSE),"")</f>
        <v/>
      </c>
      <c r="V13420">
        <f t="shared" si="838"/>
        <v>0</v>
      </c>
      <c r="W13420">
        <f t="shared" si="839"/>
        <v>0</v>
      </c>
    </row>
    <row r="13421" spans="5:23" x14ac:dyDescent="0.25">
      <c r="E13421" s="4"/>
      <c r="F13421" s="4"/>
      <c r="G13421" s="33" t="str">
        <f>IFERROR(VLOOKUP($D13421,'Informations sur les produits'!$A$3:$H$10000,8,FALSE),"0")</f>
        <v>0</v>
      </c>
      <c r="K13421" s="4"/>
      <c r="L13421" s="33" t="str">
        <f>IFERROR(VLOOKUP($J13421,'Informations sur les produits'!$A$3:$H$10000,8,FALSE),"0")</f>
        <v>0</v>
      </c>
      <c r="N13421" s="8"/>
      <c r="O13421" s="33" t="str">
        <f>IFERROR(VLOOKUP($M13421,'Informations sur les produits'!$A$3:$H$10000,8,FALSE),"0")</f>
        <v>0</v>
      </c>
      <c r="P13421" s="33">
        <f t="shared" si="836"/>
        <v>0</v>
      </c>
      <c r="Q13421" s="31" t="str">
        <f t="shared" si="837"/>
        <v/>
      </c>
      <c r="R13421" s="32" t="str">
        <f>IFERROR(VLOOKUP($D13421,'Informations sur les produits'!$A$3:$B$15000,2,FALSE),"")</f>
        <v/>
      </c>
      <c r="V13421">
        <f t="shared" si="838"/>
        <v>0</v>
      </c>
      <c r="W13421">
        <f t="shared" si="839"/>
        <v>0</v>
      </c>
    </row>
    <row r="13422" spans="5:23" x14ac:dyDescent="0.25">
      <c r="E13422" s="4"/>
      <c r="F13422" s="4"/>
      <c r="G13422" s="33" t="str">
        <f>IFERROR(VLOOKUP($D13422,'Informations sur les produits'!$A$3:$H$10000,8,FALSE),"0")</f>
        <v>0</v>
      </c>
      <c r="K13422" s="4"/>
      <c r="L13422" s="33" t="str">
        <f>IFERROR(VLOOKUP($J13422,'Informations sur les produits'!$A$3:$H$10000,8,FALSE),"0")</f>
        <v>0</v>
      </c>
      <c r="N13422" s="8"/>
      <c r="O13422" s="33" t="str">
        <f>IFERROR(VLOOKUP($M13422,'Informations sur les produits'!$A$3:$H$10000,8,FALSE),"0")</f>
        <v>0</v>
      </c>
      <c r="P13422" s="33">
        <f t="shared" si="836"/>
        <v>0</v>
      </c>
      <c r="Q13422" s="31" t="str">
        <f t="shared" si="837"/>
        <v/>
      </c>
      <c r="R13422" s="32" t="str">
        <f>IFERROR(VLOOKUP($D13422,'Informations sur les produits'!$A$3:$B$15000,2,FALSE),"")</f>
        <v/>
      </c>
      <c r="V13422">
        <f t="shared" si="838"/>
        <v>0</v>
      </c>
      <c r="W13422">
        <f t="shared" si="839"/>
        <v>0</v>
      </c>
    </row>
    <row r="13423" spans="5:23" x14ac:dyDescent="0.25">
      <c r="E13423" s="4"/>
      <c r="F13423" s="4"/>
      <c r="G13423" s="33" t="str">
        <f>IFERROR(VLOOKUP($D13423,'Informations sur les produits'!$A$3:$H$10000,8,FALSE),"0")</f>
        <v>0</v>
      </c>
      <c r="K13423" s="4"/>
      <c r="L13423" s="33" t="str">
        <f>IFERROR(VLOOKUP($J13423,'Informations sur les produits'!$A$3:$H$10000,8,FALSE),"0")</f>
        <v>0</v>
      </c>
      <c r="N13423" s="8"/>
      <c r="O13423" s="33" t="str">
        <f>IFERROR(VLOOKUP($M13423,'Informations sur les produits'!$A$3:$H$10000,8,FALSE),"0")</f>
        <v>0</v>
      </c>
      <c r="P13423" s="33">
        <f t="shared" si="836"/>
        <v>0</v>
      </c>
      <c r="Q13423" s="31" t="str">
        <f t="shared" si="837"/>
        <v/>
      </c>
      <c r="R13423" s="32" t="str">
        <f>IFERROR(VLOOKUP($D13423,'Informations sur les produits'!$A$3:$B$15000,2,FALSE),"")</f>
        <v/>
      </c>
      <c r="V13423">
        <f t="shared" si="838"/>
        <v>0</v>
      </c>
      <c r="W13423">
        <f t="shared" si="839"/>
        <v>0</v>
      </c>
    </row>
    <row r="13424" spans="5:23" x14ac:dyDescent="0.25">
      <c r="E13424" s="4"/>
      <c r="F13424" s="4"/>
      <c r="G13424" s="33" t="str">
        <f>IFERROR(VLOOKUP($D13424,'Informations sur les produits'!$A$3:$H$10000,8,FALSE),"0")</f>
        <v>0</v>
      </c>
      <c r="K13424" s="4"/>
      <c r="L13424" s="33" t="str">
        <f>IFERROR(VLOOKUP($J13424,'Informations sur les produits'!$A$3:$H$10000,8,FALSE),"0")</f>
        <v>0</v>
      </c>
      <c r="N13424" s="8"/>
      <c r="O13424" s="33" t="str">
        <f>IFERROR(VLOOKUP($M13424,'Informations sur les produits'!$A$3:$H$10000,8,FALSE),"0")</f>
        <v>0</v>
      </c>
      <c r="P13424" s="33">
        <f t="shared" si="836"/>
        <v>0</v>
      </c>
      <c r="Q13424" s="31" t="str">
        <f t="shared" si="837"/>
        <v/>
      </c>
      <c r="R13424" s="32" t="str">
        <f>IFERROR(VLOOKUP($D13424,'Informations sur les produits'!$A$3:$B$15000,2,FALSE),"")</f>
        <v/>
      </c>
      <c r="V13424">
        <f t="shared" si="838"/>
        <v>0</v>
      </c>
      <c r="W13424">
        <f t="shared" si="839"/>
        <v>0</v>
      </c>
    </row>
    <row r="13425" spans="5:23" x14ac:dyDescent="0.25">
      <c r="E13425" s="4"/>
      <c r="F13425" s="4"/>
      <c r="G13425" s="33" t="str">
        <f>IFERROR(VLOOKUP($D13425,'Informations sur les produits'!$A$3:$H$10000,8,FALSE),"0")</f>
        <v>0</v>
      </c>
      <c r="K13425" s="4"/>
      <c r="L13425" s="33" t="str">
        <f>IFERROR(VLOOKUP($J13425,'Informations sur les produits'!$A$3:$H$10000,8,FALSE),"0")</f>
        <v>0</v>
      </c>
      <c r="N13425" s="8"/>
      <c r="O13425" s="33" t="str">
        <f>IFERROR(VLOOKUP($M13425,'Informations sur les produits'!$A$3:$H$10000,8,FALSE),"0")</f>
        <v>0</v>
      </c>
      <c r="P13425" s="33">
        <f t="shared" si="836"/>
        <v>0</v>
      </c>
      <c r="Q13425" s="31" t="str">
        <f t="shared" si="837"/>
        <v/>
      </c>
      <c r="R13425" s="32" t="str">
        <f>IFERROR(VLOOKUP($D13425,'Informations sur les produits'!$A$3:$B$15000,2,FALSE),"")</f>
        <v/>
      </c>
      <c r="V13425">
        <f t="shared" si="838"/>
        <v>0</v>
      </c>
      <c r="W13425">
        <f t="shared" si="839"/>
        <v>0</v>
      </c>
    </row>
    <row r="13426" spans="5:23" x14ac:dyDescent="0.25">
      <c r="E13426" s="4"/>
      <c r="F13426" s="4"/>
      <c r="G13426" s="33" t="str">
        <f>IFERROR(VLOOKUP($D13426,'Informations sur les produits'!$A$3:$H$10000,8,FALSE),"0")</f>
        <v>0</v>
      </c>
      <c r="K13426" s="4"/>
      <c r="L13426" s="33" t="str">
        <f>IFERROR(VLOOKUP($J13426,'Informations sur les produits'!$A$3:$H$10000,8,FALSE),"0")</f>
        <v>0</v>
      </c>
      <c r="N13426" s="8"/>
      <c r="O13426" s="33" t="str">
        <f>IFERROR(VLOOKUP($M13426,'Informations sur les produits'!$A$3:$H$10000,8,FALSE),"0")</f>
        <v>0</v>
      </c>
      <c r="P13426" s="33">
        <f t="shared" si="836"/>
        <v>0</v>
      </c>
      <c r="Q13426" s="31" t="str">
        <f t="shared" si="837"/>
        <v/>
      </c>
      <c r="R13426" s="32" t="str">
        <f>IFERROR(VLOOKUP($D13426,'Informations sur les produits'!$A$3:$B$15000,2,FALSE),"")</f>
        <v/>
      </c>
      <c r="V13426">
        <f t="shared" si="838"/>
        <v>0</v>
      </c>
      <c r="W13426">
        <f t="shared" si="839"/>
        <v>0</v>
      </c>
    </row>
    <row r="13427" spans="5:23" x14ac:dyDescent="0.25">
      <c r="E13427" s="4"/>
      <c r="F13427" s="4"/>
      <c r="G13427" s="33" t="str">
        <f>IFERROR(VLOOKUP($D13427,'Informations sur les produits'!$A$3:$H$10000,8,FALSE),"0")</f>
        <v>0</v>
      </c>
      <c r="K13427" s="4"/>
      <c r="L13427" s="33" t="str">
        <f>IFERROR(VLOOKUP($J13427,'Informations sur les produits'!$A$3:$H$10000,8,FALSE),"0")</f>
        <v>0</v>
      </c>
      <c r="N13427" s="8"/>
      <c r="O13427" s="33" t="str">
        <f>IFERROR(VLOOKUP($M13427,'Informations sur les produits'!$A$3:$H$10000,8,FALSE),"0")</f>
        <v>0</v>
      </c>
      <c r="P13427" s="33">
        <f t="shared" si="836"/>
        <v>0</v>
      </c>
      <c r="Q13427" s="31" t="str">
        <f t="shared" si="837"/>
        <v/>
      </c>
      <c r="R13427" s="32" t="str">
        <f>IFERROR(VLOOKUP($D13427,'Informations sur les produits'!$A$3:$B$15000,2,FALSE),"")</f>
        <v/>
      </c>
      <c r="V13427">
        <f t="shared" si="838"/>
        <v>0</v>
      </c>
      <c r="W13427">
        <f t="shared" si="839"/>
        <v>0</v>
      </c>
    </row>
    <row r="13428" spans="5:23" x14ac:dyDescent="0.25">
      <c r="E13428" s="4"/>
      <c r="F13428" s="4"/>
      <c r="G13428" s="33" t="str">
        <f>IFERROR(VLOOKUP($D13428,'Informations sur les produits'!$A$3:$H$10000,8,FALSE),"0")</f>
        <v>0</v>
      </c>
      <c r="K13428" s="4"/>
      <c r="L13428" s="33" t="str">
        <f>IFERROR(VLOOKUP($J13428,'Informations sur les produits'!$A$3:$H$10000,8,FALSE),"0")</f>
        <v>0</v>
      </c>
      <c r="N13428" s="8"/>
      <c r="O13428" s="33" t="str">
        <f>IFERROR(VLOOKUP($M13428,'Informations sur les produits'!$A$3:$H$10000,8,FALSE),"0")</f>
        <v>0</v>
      </c>
      <c r="P13428" s="33">
        <f t="shared" si="836"/>
        <v>0</v>
      </c>
      <c r="Q13428" s="31" t="str">
        <f t="shared" si="837"/>
        <v/>
      </c>
      <c r="R13428" s="32" t="str">
        <f>IFERROR(VLOOKUP($D13428,'Informations sur les produits'!$A$3:$B$15000,2,FALSE),"")</f>
        <v/>
      </c>
      <c r="V13428">
        <f t="shared" si="838"/>
        <v>0</v>
      </c>
      <c r="W13428">
        <f t="shared" si="839"/>
        <v>0</v>
      </c>
    </row>
    <row r="13429" spans="5:23" x14ac:dyDescent="0.25">
      <c r="E13429" s="4"/>
      <c r="F13429" s="4"/>
      <c r="G13429" s="33" t="str">
        <f>IFERROR(VLOOKUP($D13429,'Informations sur les produits'!$A$3:$H$10000,8,FALSE),"0")</f>
        <v>0</v>
      </c>
      <c r="K13429" s="4"/>
      <c r="L13429" s="33" t="str">
        <f>IFERROR(VLOOKUP($J13429,'Informations sur les produits'!$A$3:$H$10000,8,FALSE),"0")</f>
        <v>0</v>
      </c>
      <c r="N13429" s="8"/>
      <c r="O13429" s="33" t="str">
        <f>IFERROR(VLOOKUP($M13429,'Informations sur les produits'!$A$3:$H$10000,8,FALSE),"0")</f>
        <v>0</v>
      </c>
      <c r="P13429" s="33">
        <f t="shared" si="836"/>
        <v>0</v>
      </c>
      <c r="Q13429" s="31" t="str">
        <f t="shared" si="837"/>
        <v/>
      </c>
      <c r="R13429" s="32" t="str">
        <f>IFERROR(VLOOKUP($D13429,'Informations sur les produits'!$A$3:$B$15000,2,FALSE),"")</f>
        <v/>
      </c>
      <c r="V13429">
        <f t="shared" si="838"/>
        <v>0</v>
      </c>
      <c r="W13429">
        <f t="shared" si="839"/>
        <v>0</v>
      </c>
    </row>
    <row r="13430" spans="5:23" x14ac:dyDescent="0.25">
      <c r="E13430" s="4"/>
      <c r="F13430" s="4"/>
      <c r="G13430" s="33" t="str">
        <f>IFERROR(VLOOKUP($D13430,'Informations sur les produits'!$A$3:$H$10000,8,FALSE),"0")</f>
        <v>0</v>
      </c>
      <c r="K13430" s="4"/>
      <c r="L13430" s="33" t="str">
        <f>IFERROR(VLOOKUP($J13430,'Informations sur les produits'!$A$3:$H$10000,8,FALSE),"0")</f>
        <v>0</v>
      </c>
      <c r="N13430" s="8"/>
      <c r="O13430" s="33" t="str">
        <f>IFERROR(VLOOKUP($M13430,'Informations sur les produits'!$A$3:$H$10000,8,FALSE),"0")</f>
        <v>0</v>
      </c>
      <c r="P13430" s="33">
        <f t="shared" si="836"/>
        <v>0</v>
      </c>
      <c r="Q13430" s="31" t="str">
        <f t="shared" si="837"/>
        <v/>
      </c>
      <c r="R13430" s="32" t="str">
        <f>IFERROR(VLOOKUP($D13430,'Informations sur les produits'!$A$3:$B$15000,2,FALSE),"")</f>
        <v/>
      </c>
      <c r="V13430">
        <f t="shared" si="838"/>
        <v>0</v>
      </c>
      <c r="W13430">
        <f t="shared" si="839"/>
        <v>0</v>
      </c>
    </row>
    <row r="13431" spans="5:23" x14ac:dyDescent="0.25">
      <c r="E13431" s="4"/>
      <c r="F13431" s="4"/>
      <c r="G13431" s="33" t="str">
        <f>IFERROR(VLOOKUP($D13431,'Informations sur les produits'!$A$3:$H$10000,8,FALSE),"0")</f>
        <v>0</v>
      </c>
      <c r="K13431" s="4"/>
      <c r="L13431" s="33" t="str">
        <f>IFERROR(VLOOKUP($J13431,'Informations sur les produits'!$A$3:$H$10000,8,FALSE),"0")</f>
        <v>0</v>
      </c>
      <c r="N13431" s="8"/>
      <c r="O13431" s="33" t="str">
        <f>IFERROR(VLOOKUP($M13431,'Informations sur les produits'!$A$3:$H$10000,8,FALSE),"0")</f>
        <v>0</v>
      </c>
      <c r="P13431" s="33">
        <f t="shared" si="836"/>
        <v>0</v>
      </c>
      <c r="Q13431" s="31" t="str">
        <f t="shared" si="837"/>
        <v/>
      </c>
      <c r="R13431" s="32" t="str">
        <f>IFERROR(VLOOKUP($D13431,'Informations sur les produits'!$A$3:$B$15000,2,FALSE),"")</f>
        <v/>
      </c>
      <c r="V13431">
        <f t="shared" si="838"/>
        <v>0</v>
      </c>
      <c r="W13431">
        <f t="shared" si="839"/>
        <v>0</v>
      </c>
    </row>
    <row r="13432" spans="5:23" x14ac:dyDescent="0.25">
      <c r="E13432" s="4"/>
      <c r="F13432" s="4"/>
      <c r="G13432" s="33" t="str">
        <f>IFERROR(VLOOKUP($D13432,'Informations sur les produits'!$A$3:$H$10000,8,FALSE),"0")</f>
        <v>0</v>
      </c>
      <c r="K13432" s="4"/>
      <c r="L13432" s="33" t="str">
        <f>IFERROR(VLOOKUP($J13432,'Informations sur les produits'!$A$3:$H$10000,8,FALSE),"0")</f>
        <v>0</v>
      </c>
      <c r="N13432" s="8"/>
      <c r="O13432" s="33" t="str">
        <f>IFERROR(VLOOKUP($M13432,'Informations sur les produits'!$A$3:$H$10000,8,FALSE),"0")</f>
        <v>0</v>
      </c>
      <c r="P13432" s="33">
        <f t="shared" si="836"/>
        <v>0</v>
      </c>
      <c r="Q13432" s="31" t="str">
        <f t="shared" si="837"/>
        <v/>
      </c>
      <c r="R13432" s="32" t="str">
        <f>IFERROR(VLOOKUP($D13432,'Informations sur les produits'!$A$3:$B$15000,2,FALSE),"")</f>
        <v/>
      </c>
      <c r="V13432">
        <f t="shared" si="838"/>
        <v>0</v>
      </c>
      <c r="W13432">
        <f t="shared" si="839"/>
        <v>0</v>
      </c>
    </row>
    <row r="13433" spans="5:23" x14ac:dyDescent="0.25">
      <c r="E13433" s="4"/>
      <c r="F13433" s="4"/>
      <c r="G13433" s="33" t="str">
        <f>IFERROR(VLOOKUP($D13433,'Informations sur les produits'!$A$3:$H$10000,8,FALSE),"0")</f>
        <v>0</v>
      </c>
      <c r="K13433" s="4"/>
      <c r="L13433" s="33" t="str">
        <f>IFERROR(VLOOKUP($J13433,'Informations sur les produits'!$A$3:$H$10000,8,FALSE),"0")</f>
        <v>0</v>
      </c>
      <c r="N13433" s="8"/>
      <c r="O13433" s="33" t="str">
        <f>IFERROR(VLOOKUP($M13433,'Informations sur les produits'!$A$3:$H$10000,8,FALSE),"0")</f>
        <v>0</v>
      </c>
      <c r="P13433" s="33">
        <f t="shared" si="836"/>
        <v>0</v>
      </c>
      <c r="Q13433" s="31" t="str">
        <f t="shared" si="837"/>
        <v/>
      </c>
      <c r="R13433" s="32" t="str">
        <f>IFERROR(VLOOKUP($D13433,'Informations sur les produits'!$A$3:$B$15000,2,FALSE),"")</f>
        <v/>
      </c>
      <c r="V13433">
        <f t="shared" si="838"/>
        <v>0</v>
      </c>
      <c r="W13433">
        <f t="shared" si="839"/>
        <v>0</v>
      </c>
    </row>
    <row r="13434" spans="5:23" x14ac:dyDescent="0.25">
      <c r="E13434" s="4"/>
      <c r="F13434" s="4"/>
      <c r="G13434" s="33" t="str">
        <f>IFERROR(VLOOKUP($D13434,'Informations sur les produits'!$A$3:$H$10000,8,FALSE),"0")</f>
        <v>0</v>
      </c>
      <c r="K13434" s="4"/>
      <c r="L13434" s="33" t="str">
        <f>IFERROR(VLOOKUP($J13434,'Informations sur les produits'!$A$3:$H$10000,8,FALSE),"0")</f>
        <v>0</v>
      </c>
      <c r="N13434" s="8"/>
      <c r="O13434" s="33" t="str">
        <f>IFERROR(VLOOKUP($M13434,'Informations sur les produits'!$A$3:$H$10000,8,FALSE),"0")</f>
        <v>0</v>
      </c>
      <c r="P13434" s="33">
        <f t="shared" si="836"/>
        <v>0</v>
      </c>
      <c r="Q13434" s="31" t="str">
        <f t="shared" si="837"/>
        <v/>
      </c>
      <c r="R13434" s="32" t="str">
        <f>IFERROR(VLOOKUP($D13434,'Informations sur les produits'!$A$3:$B$15000,2,FALSE),"")</f>
        <v/>
      </c>
      <c r="V13434">
        <f t="shared" si="838"/>
        <v>0</v>
      </c>
      <c r="W13434">
        <f t="shared" si="839"/>
        <v>0</v>
      </c>
    </row>
    <row r="13435" spans="5:23" x14ac:dyDescent="0.25">
      <c r="E13435" s="4"/>
      <c r="F13435" s="4"/>
      <c r="G13435" s="33" t="str">
        <f>IFERROR(VLOOKUP($D13435,'Informations sur les produits'!$A$3:$H$10000,8,FALSE),"0")</f>
        <v>0</v>
      </c>
      <c r="K13435" s="4"/>
      <c r="L13435" s="33" t="str">
        <f>IFERROR(VLOOKUP($J13435,'Informations sur les produits'!$A$3:$H$10000,8,FALSE),"0")</f>
        <v>0</v>
      </c>
      <c r="N13435" s="8"/>
      <c r="O13435" s="33" t="str">
        <f>IFERROR(VLOOKUP($M13435,'Informations sur les produits'!$A$3:$H$10000,8,FALSE),"0")</f>
        <v>0</v>
      </c>
      <c r="P13435" s="33">
        <f t="shared" si="836"/>
        <v>0</v>
      </c>
      <c r="Q13435" s="31" t="str">
        <f t="shared" si="837"/>
        <v/>
      </c>
      <c r="R13435" s="32" t="str">
        <f>IFERROR(VLOOKUP($D13435,'Informations sur les produits'!$A$3:$B$15000,2,FALSE),"")</f>
        <v/>
      </c>
      <c r="V13435">
        <f t="shared" si="838"/>
        <v>0</v>
      </c>
      <c r="W13435">
        <f t="shared" si="839"/>
        <v>0</v>
      </c>
    </row>
    <row r="13436" spans="5:23" x14ac:dyDescent="0.25">
      <c r="E13436" s="4"/>
      <c r="F13436" s="4"/>
      <c r="G13436" s="33" t="str">
        <f>IFERROR(VLOOKUP($D13436,'Informations sur les produits'!$A$3:$H$10000,8,FALSE),"0")</f>
        <v>0</v>
      </c>
      <c r="K13436" s="4"/>
      <c r="L13436" s="33" t="str">
        <f>IFERROR(VLOOKUP($J13436,'Informations sur les produits'!$A$3:$H$10000,8,FALSE),"0")</f>
        <v>0</v>
      </c>
      <c r="N13436" s="8"/>
      <c r="O13436" s="33" t="str">
        <f>IFERROR(VLOOKUP($M13436,'Informations sur les produits'!$A$3:$H$10000,8,FALSE),"0")</f>
        <v>0</v>
      </c>
      <c r="P13436" s="33">
        <f t="shared" si="836"/>
        <v>0</v>
      </c>
      <c r="Q13436" s="31" t="str">
        <f t="shared" si="837"/>
        <v/>
      </c>
      <c r="R13436" s="32" t="str">
        <f>IFERROR(VLOOKUP($D13436,'Informations sur les produits'!$A$3:$B$15000,2,FALSE),"")</f>
        <v/>
      </c>
      <c r="V13436">
        <f t="shared" si="838"/>
        <v>0</v>
      </c>
      <c r="W13436">
        <f t="shared" si="839"/>
        <v>0</v>
      </c>
    </row>
    <row r="13437" spans="5:23" x14ac:dyDescent="0.25">
      <c r="E13437" s="4"/>
      <c r="F13437" s="4"/>
      <c r="G13437" s="33" t="str">
        <f>IFERROR(VLOOKUP($D13437,'Informations sur les produits'!$A$3:$H$10000,8,FALSE),"0")</f>
        <v>0</v>
      </c>
      <c r="K13437" s="4"/>
      <c r="L13437" s="33" t="str">
        <f>IFERROR(VLOOKUP($J13437,'Informations sur les produits'!$A$3:$H$10000,8,FALSE),"0")</f>
        <v>0</v>
      </c>
      <c r="N13437" s="8"/>
      <c r="O13437" s="33" t="str">
        <f>IFERROR(VLOOKUP($M13437,'Informations sur les produits'!$A$3:$H$10000,8,FALSE),"0")</f>
        <v>0</v>
      </c>
      <c r="P13437" s="33">
        <f t="shared" si="836"/>
        <v>0</v>
      </c>
      <c r="Q13437" s="31" t="str">
        <f t="shared" si="837"/>
        <v/>
      </c>
      <c r="R13437" s="32" t="str">
        <f>IFERROR(VLOOKUP($D13437,'Informations sur les produits'!$A$3:$B$15000,2,FALSE),"")</f>
        <v/>
      </c>
      <c r="V13437">
        <f t="shared" si="838"/>
        <v>0</v>
      </c>
      <c r="W13437">
        <f t="shared" si="839"/>
        <v>0</v>
      </c>
    </row>
    <row r="13438" spans="5:23" x14ac:dyDescent="0.25">
      <c r="E13438" s="4"/>
      <c r="F13438" s="4"/>
      <c r="G13438" s="33" t="str">
        <f>IFERROR(VLOOKUP($D13438,'Informations sur les produits'!$A$3:$H$10000,8,FALSE),"0")</f>
        <v>0</v>
      </c>
      <c r="K13438" s="4"/>
      <c r="L13438" s="33" t="str">
        <f>IFERROR(VLOOKUP($J13438,'Informations sur les produits'!$A$3:$H$10000,8,FALSE),"0")</f>
        <v>0</v>
      </c>
      <c r="N13438" s="8"/>
      <c r="O13438" s="33" t="str">
        <f>IFERROR(VLOOKUP($M13438,'Informations sur les produits'!$A$3:$H$10000,8,FALSE),"0")</f>
        <v>0</v>
      </c>
      <c r="P13438" s="33">
        <f t="shared" si="836"/>
        <v>0</v>
      </c>
      <c r="Q13438" s="31" t="str">
        <f t="shared" si="837"/>
        <v/>
      </c>
      <c r="R13438" s="32" t="str">
        <f>IFERROR(VLOOKUP($D13438,'Informations sur les produits'!$A$3:$B$15000,2,FALSE),"")</f>
        <v/>
      </c>
      <c r="V13438">
        <f t="shared" si="838"/>
        <v>0</v>
      </c>
      <c r="W13438">
        <f t="shared" si="839"/>
        <v>0</v>
      </c>
    </row>
    <row r="13439" spans="5:23" x14ac:dyDescent="0.25">
      <c r="E13439" s="4"/>
      <c r="F13439" s="4"/>
      <c r="G13439" s="33" t="str">
        <f>IFERROR(VLOOKUP($D13439,'Informations sur les produits'!$A$3:$H$10000,8,FALSE),"0")</f>
        <v>0</v>
      </c>
      <c r="K13439" s="4"/>
      <c r="L13439" s="33" t="str">
        <f>IFERROR(VLOOKUP($J13439,'Informations sur les produits'!$A$3:$H$10000,8,FALSE),"0")</f>
        <v>0</v>
      </c>
      <c r="N13439" s="8"/>
      <c r="O13439" s="33" t="str">
        <f>IFERROR(VLOOKUP($M13439,'Informations sur les produits'!$A$3:$H$10000,8,FALSE),"0")</f>
        <v>0</v>
      </c>
      <c r="P13439" s="33">
        <f t="shared" si="836"/>
        <v>0</v>
      </c>
      <c r="Q13439" s="31" t="str">
        <f t="shared" si="837"/>
        <v/>
      </c>
      <c r="R13439" s="32" t="str">
        <f>IFERROR(VLOOKUP($D13439,'Informations sur les produits'!$A$3:$B$15000,2,FALSE),"")</f>
        <v/>
      </c>
      <c r="V13439">
        <f t="shared" si="838"/>
        <v>0</v>
      </c>
      <c r="W13439">
        <f t="shared" si="839"/>
        <v>0</v>
      </c>
    </row>
    <row r="13440" spans="5:23" x14ac:dyDescent="0.25">
      <c r="E13440" s="4"/>
      <c r="F13440" s="4"/>
      <c r="G13440" s="33" t="str">
        <f>IFERROR(VLOOKUP($D13440,'Informations sur les produits'!$A$3:$H$10000,8,FALSE),"0")</f>
        <v>0</v>
      </c>
      <c r="K13440" s="4"/>
      <c r="L13440" s="33" t="str">
        <f>IFERROR(VLOOKUP($J13440,'Informations sur les produits'!$A$3:$H$10000,8,FALSE),"0")</f>
        <v>0</v>
      </c>
      <c r="N13440" s="8"/>
      <c r="O13440" s="33" t="str">
        <f>IFERROR(VLOOKUP($M13440,'Informations sur les produits'!$A$3:$H$10000,8,FALSE),"0")</f>
        <v>0</v>
      </c>
      <c r="P13440" s="33">
        <f t="shared" si="836"/>
        <v>0</v>
      </c>
      <c r="Q13440" s="31" t="str">
        <f t="shared" si="837"/>
        <v/>
      </c>
      <c r="R13440" s="32" t="str">
        <f>IFERROR(VLOOKUP($D13440,'Informations sur les produits'!$A$3:$B$15000,2,FALSE),"")</f>
        <v/>
      </c>
      <c r="V13440">
        <f t="shared" si="838"/>
        <v>0</v>
      </c>
      <c r="W13440">
        <f t="shared" si="839"/>
        <v>0</v>
      </c>
    </row>
    <row r="13441" spans="5:23" x14ac:dyDescent="0.25">
      <c r="E13441" s="4"/>
      <c r="F13441" s="4"/>
      <c r="G13441" s="33" t="str">
        <f>IFERROR(VLOOKUP($D13441,'Informations sur les produits'!$A$3:$H$10000,8,FALSE),"0")</f>
        <v>0</v>
      </c>
      <c r="K13441" s="4"/>
      <c r="L13441" s="33" t="str">
        <f>IFERROR(VLOOKUP($J13441,'Informations sur les produits'!$A$3:$H$10000,8,FALSE),"0")</f>
        <v>0</v>
      </c>
      <c r="N13441" s="8"/>
      <c r="O13441" s="33" t="str">
        <f>IFERROR(VLOOKUP($M13441,'Informations sur les produits'!$A$3:$H$10000,8,FALSE),"0")</f>
        <v>0</v>
      </c>
      <c r="P13441" s="33">
        <f t="shared" si="836"/>
        <v>0</v>
      </c>
      <c r="Q13441" s="31" t="str">
        <f t="shared" si="837"/>
        <v/>
      </c>
      <c r="R13441" s="32" t="str">
        <f>IFERROR(VLOOKUP($D13441,'Informations sur les produits'!$A$3:$B$15000,2,FALSE),"")</f>
        <v/>
      </c>
      <c r="V13441">
        <f t="shared" si="838"/>
        <v>0</v>
      </c>
      <c r="W13441">
        <f t="shared" si="839"/>
        <v>0</v>
      </c>
    </row>
    <row r="13442" spans="5:23" x14ac:dyDescent="0.25">
      <c r="E13442" s="4"/>
      <c r="F13442" s="4"/>
      <c r="G13442" s="33" t="str">
        <f>IFERROR(VLOOKUP($D13442,'Informations sur les produits'!$A$3:$H$10000,8,FALSE),"0")</f>
        <v>0</v>
      </c>
      <c r="K13442" s="4"/>
      <c r="L13442" s="33" t="str">
        <f>IFERROR(VLOOKUP($J13442,'Informations sur les produits'!$A$3:$H$10000,8,FALSE),"0")</f>
        <v>0</v>
      </c>
      <c r="N13442" s="8"/>
      <c r="O13442" s="33" t="str">
        <f>IFERROR(VLOOKUP($M13442,'Informations sur les produits'!$A$3:$H$10000,8,FALSE),"0")</f>
        <v>0</v>
      </c>
      <c r="P13442" s="33">
        <f t="shared" si="836"/>
        <v>0</v>
      </c>
      <c r="Q13442" s="31" t="str">
        <f t="shared" si="837"/>
        <v/>
      </c>
      <c r="R13442" s="32" t="str">
        <f>IFERROR(VLOOKUP($D13442,'Informations sur les produits'!$A$3:$B$15000,2,FALSE),"")</f>
        <v/>
      </c>
      <c r="V13442">
        <f t="shared" si="838"/>
        <v>0</v>
      </c>
      <c r="W13442">
        <f t="shared" si="839"/>
        <v>0</v>
      </c>
    </row>
    <row r="13443" spans="5:23" x14ac:dyDescent="0.25">
      <c r="E13443" s="4"/>
      <c r="F13443" s="4"/>
      <c r="G13443" s="33" t="str">
        <f>IFERROR(VLOOKUP($D13443,'Informations sur les produits'!$A$3:$H$10000,8,FALSE),"0")</f>
        <v>0</v>
      </c>
      <c r="K13443" s="4"/>
      <c r="L13443" s="33" t="str">
        <f>IFERROR(VLOOKUP($J13443,'Informations sur les produits'!$A$3:$H$10000,8,FALSE),"0")</f>
        <v>0</v>
      </c>
      <c r="N13443" s="8"/>
      <c r="O13443" s="33" t="str">
        <f>IFERROR(VLOOKUP($M13443,'Informations sur les produits'!$A$3:$H$10000,8,FALSE),"0")</f>
        <v>0</v>
      </c>
      <c r="P13443" s="33">
        <f t="shared" si="836"/>
        <v>0</v>
      </c>
      <c r="Q13443" s="31" t="str">
        <f t="shared" si="837"/>
        <v/>
      </c>
      <c r="R13443" s="32" t="str">
        <f>IFERROR(VLOOKUP($D13443,'Informations sur les produits'!$A$3:$B$15000,2,FALSE),"")</f>
        <v/>
      </c>
      <c r="V13443">
        <f t="shared" si="838"/>
        <v>0</v>
      </c>
      <c r="W13443">
        <f t="shared" si="839"/>
        <v>0</v>
      </c>
    </row>
    <row r="13444" spans="5:23" x14ac:dyDescent="0.25">
      <c r="E13444" s="4"/>
      <c r="F13444" s="4"/>
      <c r="G13444" s="33" t="str">
        <f>IFERROR(VLOOKUP($D13444,'Informations sur les produits'!$A$3:$H$10000,8,FALSE),"0")</f>
        <v>0</v>
      </c>
      <c r="K13444" s="4"/>
      <c r="L13444" s="33" t="str">
        <f>IFERROR(VLOOKUP($J13444,'Informations sur les produits'!$A$3:$H$10000,8,FALSE),"0")</f>
        <v>0</v>
      </c>
      <c r="N13444" s="8"/>
      <c r="O13444" s="33" t="str">
        <f>IFERROR(VLOOKUP($M13444,'Informations sur les produits'!$A$3:$H$10000,8,FALSE),"0")</f>
        <v>0</v>
      </c>
      <c r="P13444" s="33">
        <f t="shared" ref="P13444:P13507" si="840">IFERROR((($E13444-$F13444)*$G13444+$K13444*$L13444+$N13444*$O13444),"")</f>
        <v>0</v>
      </c>
      <c r="Q13444" s="31" t="str">
        <f t="shared" ref="Q13444:Q13507" si="841">IFERROR((((($E13444-$F13444)*$G13444+$K13444*$L13444+$N13444*$O13444)*1000)/(($E13444-$F13444)+$K13444+$N13444)),"")</f>
        <v/>
      </c>
      <c r="R13444" s="32" t="str">
        <f>IFERROR(VLOOKUP($D13444,'Informations sur les produits'!$A$3:$B$15000,2,FALSE),"")</f>
        <v/>
      </c>
      <c r="V13444">
        <f t="shared" ref="V13444:V13507" si="842">IFERROR(P13444*1000,"")</f>
        <v>0</v>
      </c>
      <c r="W13444">
        <f t="shared" ref="W13444:W13507" si="843">IFERROR(($E13444-$F13444)+$K13444+$N13444,"")</f>
        <v>0</v>
      </c>
    </row>
    <row r="13445" spans="5:23" x14ac:dyDescent="0.25">
      <c r="E13445" s="4"/>
      <c r="F13445" s="4"/>
      <c r="G13445" s="33" t="str">
        <f>IFERROR(VLOOKUP($D13445,'Informations sur les produits'!$A$3:$H$10000,8,FALSE),"0")</f>
        <v>0</v>
      </c>
      <c r="K13445" s="4"/>
      <c r="L13445" s="33" t="str">
        <f>IFERROR(VLOOKUP($J13445,'Informations sur les produits'!$A$3:$H$10000,8,FALSE),"0")</f>
        <v>0</v>
      </c>
      <c r="N13445" s="8"/>
      <c r="O13445" s="33" t="str">
        <f>IFERROR(VLOOKUP($M13445,'Informations sur les produits'!$A$3:$H$10000,8,FALSE),"0")</f>
        <v>0</v>
      </c>
      <c r="P13445" s="33">
        <f t="shared" si="840"/>
        <v>0</v>
      </c>
      <c r="Q13445" s="31" t="str">
        <f t="shared" si="841"/>
        <v/>
      </c>
      <c r="R13445" s="32" t="str">
        <f>IFERROR(VLOOKUP($D13445,'Informations sur les produits'!$A$3:$B$15000,2,FALSE),"")</f>
        <v/>
      </c>
      <c r="V13445">
        <f t="shared" si="842"/>
        <v>0</v>
      </c>
      <c r="W13445">
        <f t="shared" si="843"/>
        <v>0</v>
      </c>
    </row>
    <row r="13446" spans="5:23" x14ac:dyDescent="0.25">
      <c r="E13446" s="4"/>
      <c r="F13446" s="4"/>
      <c r="G13446" s="33" t="str">
        <f>IFERROR(VLOOKUP($D13446,'Informations sur les produits'!$A$3:$H$10000,8,FALSE),"0")</f>
        <v>0</v>
      </c>
      <c r="K13446" s="4"/>
      <c r="L13446" s="33" t="str">
        <f>IFERROR(VLOOKUP($J13446,'Informations sur les produits'!$A$3:$H$10000,8,FALSE),"0")</f>
        <v>0</v>
      </c>
      <c r="N13446" s="8"/>
      <c r="O13446" s="33" t="str">
        <f>IFERROR(VLOOKUP($M13446,'Informations sur les produits'!$A$3:$H$10000,8,FALSE),"0")</f>
        <v>0</v>
      </c>
      <c r="P13446" s="33">
        <f t="shared" si="840"/>
        <v>0</v>
      </c>
      <c r="Q13446" s="31" t="str">
        <f t="shared" si="841"/>
        <v/>
      </c>
      <c r="R13446" s="32" t="str">
        <f>IFERROR(VLOOKUP($D13446,'Informations sur les produits'!$A$3:$B$15000,2,FALSE),"")</f>
        <v/>
      </c>
      <c r="V13446">
        <f t="shared" si="842"/>
        <v>0</v>
      </c>
      <c r="W13446">
        <f t="shared" si="843"/>
        <v>0</v>
      </c>
    </row>
    <row r="13447" spans="5:23" x14ac:dyDescent="0.25">
      <c r="E13447" s="4"/>
      <c r="F13447" s="4"/>
      <c r="G13447" s="33" t="str">
        <f>IFERROR(VLOOKUP($D13447,'Informations sur les produits'!$A$3:$H$10000,8,FALSE),"0")</f>
        <v>0</v>
      </c>
      <c r="K13447" s="4"/>
      <c r="L13447" s="33" t="str">
        <f>IFERROR(VLOOKUP($J13447,'Informations sur les produits'!$A$3:$H$10000,8,FALSE),"0")</f>
        <v>0</v>
      </c>
      <c r="N13447" s="8"/>
      <c r="O13447" s="33" t="str">
        <f>IFERROR(VLOOKUP($M13447,'Informations sur les produits'!$A$3:$H$10000,8,FALSE),"0")</f>
        <v>0</v>
      </c>
      <c r="P13447" s="33">
        <f t="shared" si="840"/>
        <v>0</v>
      </c>
      <c r="Q13447" s="31" t="str">
        <f t="shared" si="841"/>
        <v/>
      </c>
      <c r="R13447" s="32" t="str">
        <f>IFERROR(VLOOKUP($D13447,'Informations sur les produits'!$A$3:$B$15000,2,FALSE),"")</f>
        <v/>
      </c>
      <c r="V13447">
        <f t="shared" si="842"/>
        <v>0</v>
      </c>
      <c r="W13447">
        <f t="shared" si="843"/>
        <v>0</v>
      </c>
    </row>
    <row r="13448" spans="5:23" x14ac:dyDescent="0.25">
      <c r="E13448" s="4"/>
      <c r="F13448" s="4"/>
      <c r="G13448" s="33" t="str">
        <f>IFERROR(VLOOKUP($D13448,'Informations sur les produits'!$A$3:$H$10000,8,FALSE),"0")</f>
        <v>0</v>
      </c>
      <c r="K13448" s="4"/>
      <c r="L13448" s="33" t="str">
        <f>IFERROR(VLOOKUP($J13448,'Informations sur les produits'!$A$3:$H$10000,8,FALSE),"0")</f>
        <v>0</v>
      </c>
      <c r="N13448" s="8"/>
      <c r="O13448" s="33" t="str">
        <f>IFERROR(VLOOKUP($M13448,'Informations sur les produits'!$A$3:$H$10000,8,FALSE),"0")</f>
        <v>0</v>
      </c>
      <c r="P13448" s="33">
        <f t="shared" si="840"/>
        <v>0</v>
      </c>
      <c r="Q13448" s="31" t="str">
        <f t="shared" si="841"/>
        <v/>
      </c>
      <c r="R13448" s="32" t="str">
        <f>IFERROR(VLOOKUP($D13448,'Informations sur les produits'!$A$3:$B$15000,2,FALSE),"")</f>
        <v/>
      </c>
      <c r="V13448">
        <f t="shared" si="842"/>
        <v>0</v>
      </c>
      <c r="W13448">
        <f t="shared" si="843"/>
        <v>0</v>
      </c>
    </row>
    <row r="13449" spans="5:23" x14ac:dyDescent="0.25">
      <c r="E13449" s="4"/>
      <c r="F13449" s="4"/>
      <c r="G13449" s="33" t="str">
        <f>IFERROR(VLOOKUP($D13449,'Informations sur les produits'!$A$3:$H$10000,8,FALSE),"0")</f>
        <v>0</v>
      </c>
      <c r="K13449" s="4"/>
      <c r="L13449" s="33" t="str">
        <f>IFERROR(VLOOKUP($J13449,'Informations sur les produits'!$A$3:$H$10000,8,FALSE),"0")</f>
        <v>0</v>
      </c>
      <c r="N13449" s="8"/>
      <c r="O13449" s="33" t="str">
        <f>IFERROR(VLOOKUP($M13449,'Informations sur les produits'!$A$3:$H$10000,8,FALSE),"0")</f>
        <v>0</v>
      </c>
      <c r="P13449" s="33">
        <f t="shared" si="840"/>
        <v>0</v>
      </c>
      <c r="Q13449" s="31" t="str">
        <f t="shared" si="841"/>
        <v/>
      </c>
      <c r="R13449" s="32" t="str">
        <f>IFERROR(VLOOKUP($D13449,'Informations sur les produits'!$A$3:$B$15000,2,FALSE),"")</f>
        <v/>
      </c>
      <c r="V13449">
        <f t="shared" si="842"/>
        <v>0</v>
      </c>
      <c r="W13449">
        <f t="shared" si="843"/>
        <v>0</v>
      </c>
    </row>
    <row r="13450" spans="5:23" x14ac:dyDescent="0.25">
      <c r="E13450" s="4"/>
      <c r="F13450" s="4"/>
      <c r="G13450" s="33" t="str">
        <f>IFERROR(VLOOKUP($D13450,'Informations sur les produits'!$A$3:$H$10000,8,FALSE),"0")</f>
        <v>0</v>
      </c>
      <c r="K13450" s="4"/>
      <c r="L13450" s="33" t="str">
        <f>IFERROR(VLOOKUP($J13450,'Informations sur les produits'!$A$3:$H$10000,8,FALSE),"0")</f>
        <v>0</v>
      </c>
      <c r="N13450" s="8"/>
      <c r="O13450" s="33" t="str">
        <f>IFERROR(VLOOKUP($M13450,'Informations sur les produits'!$A$3:$H$10000,8,FALSE),"0")</f>
        <v>0</v>
      </c>
      <c r="P13450" s="33">
        <f t="shared" si="840"/>
        <v>0</v>
      </c>
      <c r="Q13450" s="31" t="str">
        <f t="shared" si="841"/>
        <v/>
      </c>
      <c r="R13450" s="32" t="str">
        <f>IFERROR(VLOOKUP($D13450,'Informations sur les produits'!$A$3:$B$15000,2,FALSE),"")</f>
        <v/>
      </c>
      <c r="V13450">
        <f t="shared" si="842"/>
        <v>0</v>
      </c>
      <c r="W13450">
        <f t="shared" si="843"/>
        <v>0</v>
      </c>
    </row>
    <row r="13451" spans="5:23" x14ac:dyDescent="0.25">
      <c r="E13451" s="4"/>
      <c r="F13451" s="4"/>
      <c r="G13451" s="33" t="str">
        <f>IFERROR(VLOOKUP($D13451,'Informations sur les produits'!$A$3:$H$10000,8,FALSE),"0")</f>
        <v>0</v>
      </c>
      <c r="K13451" s="4"/>
      <c r="L13451" s="33" t="str">
        <f>IFERROR(VLOOKUP($J13451,'Informations sur les produits'!$A$3:$H$10000,8,FALSE),"0")</f>
        <v>0</v>
      </c>
      <c r="N13451" s="8"/>
      <c r="O13451" s="33" t="str">
        <f>IFERROR(VLOOKUP($M13451,'Informations sur les produits'!$A$3:$H$10000,8,FALSE),"0")</f>
        <v>0</v>
      </c>
      <c r="P13451" s="33">
        <f t="shared" si="840"/>
        <v>0</v>
      </c>
      <c r="Q13451" s="31" t="str">
        <f t="shared" si="841"/>
        <v/>
      </c>
      <c r="R13451" s="32" t="str">
        <f>IFERROR(VLOOKUP($D13451,'Informations sur les produits'!$A$3:$B$15000,2,FALSE),"")</f>
        <v/>
      </c>
      <c r="V13451">
        <f t="shared" si="842"/>
        <v>0</v>
      </c>
      <c r="W13451">
        <f t="shared" si="843"/>
        <v>0</v>
      </c>
    </row>
    <row r="13452" spans="5:23" x14ac:dyDescent="0.25">
      <c r="E13452" s="4"/>
      <c r="F13452" s="4"/>
      <c r="G13452" s="33" t="str">
        <f>IFERROR(VLOOKUP($D13452,'Informations sur les produits'!$A$3:$H$10000,8,FALSE),"0")</f>
        <v>0</v>
      </c>
      <c r="K13452" s="4"/>
      <c r="L13452" s="33" t="str">
        <f>IFERROR(VLOOKUP($J13452,'Informations sur les produits'!$A$3:$H$10000,8,FALSE),"0")</f>
        <v>0</v>
      </c>
      <c r="N13452" s="8"/>
      <c r="O13452" s="33" t="str">
        <f>IFERROR(VLOOKUP($M13452,'Informations sur les produits'!$A$3:$H$10000,8,FALSE),"0")</f>
        <v>0</v>
      </c>
      <c r="P13452" s="33">
        <f t="shared" si="840"/>
        <v>0</v>
      </c>
      <c r="Q13452" s="31" t="str">
        <f t="shared" si="841"/>
        <v/>
      </c>
      <c r="R13452" s="32" t="str">
        <f>IFERROR(VLOOKUP($D13452,'Informations sur les produits'!$A$3:$B$15000,2,FALSE),"")</f>
        <v/>
      </c>
      <c r="V13452">
        <f t="shared" si="842"/>
        <v>0</v>
      </c>
      <c r="W13452">
        <f t="shared" si="843"/>
        <v>0</v>
      </c>
    </row>
    <row r="13453" spans="5:23" x14ac:dyDescent="0.25">
      <c r="E13453" s="4"/>
      <c r="F13453" s="4"/>
      <c r="G13453" s="33" t="str">
        <f>IFERROR(VLOOKUP($D13453,'Informations sur les produits'!$A$3:$H$10000,8,FALSE),"0")</f>
        <v>0</v>
      </c>
      <c r="K13453" s="4"/>
      <c r="L13453" s="33" t="str">
        <f>IFERROR(VLOOKUP($J13453,'Informations sur les produits'!$A$3:$H$10000,8,FALSE),"0")</f>
        <v>0</v>
      </c>
      <c r="N13453" s="8"/>
      <c r="O13453" s="33" t="str">
        <f>IFERROR(VLOOKUP($M13453,'Informations sur les produits'!$A$3:$H$10000,8,FALSE),"0")</f>
        <v>0</v>
      </c>
      <c r="P13453" s="33">
        <f t="shared" si="840"/>
        <v>0</v>
      </c>
      <c r="Q13453" s="31" t="str">
        <f t="shared" si="841"/>
        <v/>
      </c>
      <c r="R13453" s="32" t="str">
        <f>IFERROR(VLOOKUP($D13453,'Informations sur les produits'!$A$3:$B$15000,2,FALSE),"")</f>
        <v/>
      </c>
      <c r="V13453">
        <f t="shared" si="842"/>
        <v>0</v>
      </c>
      <c r="W13453">
        <f t="shared" si="843"/>
        <v>0</v>
      </c>
    </row>
    <row r="13454" spans="5:23" x14ac:dyDescent="0.25">
      <c r="E13454" s="4"/>
      <c r="F13454" s="4"/>
      <c r="G13454" s="33" t="str">
        <f>IFERROR(VLOOKUP($D13454,'Informations sur les produits'!$A$3:$H$10000,8,FALSE),"0")</f>
        <v>0</v>
      </c>
      <c r="K13454" s="4"/>
      <c r="L13454" s="33" t="str">
        <f>IFERROR(VLOOKUP($J13454,'Informations sur les produits'!$A$3:$H$10000,8,FALSE),"0")</f>
        <v>0</v>
      </c>
      <c r="N13454" s="8"/>
      <c r="O13454" s="33" t="str">
        <f>IFERROR(VLOOKUP($M13454,'Informations sur les produits'!$A$3:$H$10000,8,FALSE),"0")</f>
        <v>0</v>
      </c>
      <c r="P13454" s="33">
        <f t="shared" si="840"/>
        <v>0</v>
      </c>
      <c r="Q13454" s="31" t="str">
        <f t="shared" si="841"/>
        <v/>
      </c>
      <c r="R13454" s="32" t="str">
        <f>IFERROR(VLOOKUP($D13454,'Informations sur les produits'!$A$3:$B$15000,2,FALSE),"")</f>
        <v/>
      </c>
      <c r="V13454">
        <f t="shared" si="842"/>
        <v>0</v>
      </c>
      <c r="W13454">
        <f t="shared" si="843"/>
        <v>0</v>
      </c>
    </row>
    <row r="13455" spans="5:23" x14ac:dyDescent="0.25">
      <c r="E13455" s="4"/>
      <c r="F13455" s="4"/>
      <c r="G13455" s="33" t="str">
        <f>IFERROR(VLOOKUP($D13455,'Informations sur les produits'!$A$3:$H$10000,8,FALSE),"0")</f>
        <v>0</v>
      </c>
      <c r="K13455" s="4"/>
      <c r="L13455" s="33" t="str">
        <f>IFERROR(VLOOKUP($J13455,'Informations sur les produits'!$A$3:$H$10000,8,FALSE),"0")</f>
        <v>0</v>
      </c>
      <c r="N13455" s="8"/>
      <c r="O13455" s="33" t="str">
        <f>IFERROR(VLOOKUP($M13455,'Informations sur les produits'!$A$3:$H$10000,8,FALSE),"0")</f>
        <v>0</v>
      </c>
      <c r="P13455" s="33">
        <f t="shared" si="840"/>
        <v>0</v>
      </c>
      <c r="Q13455" s="31" t="str">
        <f t="shared" si="841"/>
        <v/>
      </c>
      <c r="R13455" s="32" t="str">
        <f>IFERROR(VLOOKUP($D13455,'Informations sur les produits'!$A$3:$B$15000,2,FALSE),"")</f>
        <v/>
      </c>
      <c r="V13455">
        <f t="shared" si="842"/>
        <v>0</v>
      </c>
      <c r="W13455">
        <f t="shared" si="843"/>
        <v>0</v>
      </c>
    </row>
    <row r="13456" spans="5:23" x14ac:dyDescent="0.25">
      <c r="E13456" s="4"/>
      <c r="F13456" s="4"/>
      <c r="G13456" s="33" t="str">
        <f>IFERROR(VLOOKUP($D13456,'Informations sur les produits'!$A$3:$H$10000,8,FALSE),"0")</f>
        <v>0</v>
      </c>
      <c r="K13456" s="4"/>
      <c r="L13456" s="33" t="str">
        <f>IFERROR(VLOOKUP($J13456,'Informations sur les produits'!$A$3:$H$10000,8,FALSE),"0")</f>
        <v>0</v>
      </c>
      <c r="N13456" s="8"/>
      <c r="O13456" s="33" t="str">
        <f>IFERROR(VLOOKUP($M13456,'Informations sur les produits'!$A$3:$H$10000,8,FALSE),"0")</f>
        <v>0</v>
      </c>
      <c r="P13456" s="33">
        <f t="shared" si="840"/>
        <v>0</v>
      </c>
      <c r="Q13456" s="31" t="str">
        <f t="shared" si="841"/>
        <v/>
      </c>
      <c r="R13456" s="32" t="str">
        <f>IFERROR(VLOOKUP($D13456,'Informations sur les produits'!$A$3:$B$15000,2,FALSE),"")</f>
        <v/>
      </c>
      <c r="V13456">
        <f t="shared" si="842"/>
        <v>0</v>
      </c>
      <c r="W13456">
        <f t="shared" si="843"/>
        <v>0</v>
      </c>
    </row>
    <row r="13457" spans="5:23" x14ac:dyDescent="0.25">
      <c r="E13457" s="4"/>
      <c r="F13457" s="4"/>
      <c r="G13457" s="33" t="str">
        <f>IFERROR(VLOOKUP($D13457,'Informations sur les produits'!$A$3:$H$10000,8,FALSE),"0")</f>
        <v>0</v>
      </c>
      <c r="K13457" s="4"/>
      <c r="L13457" s="33" t="str">
        <f>IFERROR(VLOOKUP($J13457,'Informations sur les produits'!$A$3:$H$10000,8,FALSE),"0")</f>
        <v>0</v>
      </c>
      <c r="N13457" s="8"/>
      <c r="O13457" s="33" t="str">
        <f>IFERROR(VLOOKUP($M13457,'Informations sur les produits'!$A$3:$H$10000,8,FALSE),"0")</f>
        <v>0</v>
      </c>
      <c r="P13457" s="33">
        <f t="shared" si="840"/>
        <v>0</v>
      </c>
      <c r="Q13457" s="31" t="str">
        <f t="shared" si="841"/>
        <v/>
      </c>
      <c r="R13457" s="32" t="str">
        <f>IFERROR(VLOOKUP($D13457,'Informations sur les produits'!$A$3:$B$15000,2,FALSE),"")</f>
        <v/>
      </c>
      <c r="V13457">
        <f t="shared" si="842"/>
        <v>0</v>
      </c>
      <c r="W13457">
        <f t="shared" si="843"/>
        <v>0</v>
      </c>
    </row>
    <row r="13458" spans="5:23" x14ac:dyDescent="0.25">
      <c r="E13458" s="4"/>
      <c r="F13458" s="4"/>
      <c r="G13458" s="33" t="str">
        <f>IFERROR(VLOOKUP($D13458,'Informations sur les produits'!$A$3:$H$10000,8,FALSE),"0")</f>
        <v>0</v>
      </c>
      <c r="K13458" s="4"/>
      <c r="L13458" s="33" t="str">
        <f>IFERROR(VLOOKUP($J13458,'Informations sur les produits'!$A$3:$H$10000,8,FALSE),"0")</f>
        <v>0</v>
      </c>
      <c r="N13458" s="8"/>
      <c r="O13458" s="33" t="str">
        <f>IFERROR(VLOOKUP($M13458,'Informations sur les produits'!$A$3:$H$10000,8,FALSE),"0")</f>
        <v>0</v>
      </c>
      <c r="P13458" s="33">
        <f t="shared" si="840"/>
        <v>0</v>
      </c>
      <c r="Q13458" s="31" t="str">
        <f t="shared" si="841"/>
        <v/>
      </c>
      <c r="R13458" s="32" t="str">
        <f>IFERROR(VLOOKUP($D13458,'Informations sur les produits'!$A$3:$B$15000,2,FALSE),"")</f>
        <v/>
      </c>
      <c r="V13458">
        <f t="shared" si="842"/>
        <v>0</v>
      </c>
      <c r="W13458">
        <f t="shared" si="843"/>
        <v>0</v>
      </c>
    </row>
    <row r="13459" spans="5:23" x14ac:dyDescent="0.25">
      <c r="E13459" s="4"/>
      <c r="F13459" s="4"/>
      <c r="G13459" s="33" t="str">
        <f>IFERROR(VLOOKUP($D13459,'Informations sur les produits'!$A$3:$H$10000,8,FALSE),"0")</f>
        <v>0</v>
      </c>
      <c r="K13459" s="4"/>
      <c r="L13459" s="33" t="str">
        <f>IFERROR(VLOOKUP($J13459,'Informations sur les produits'!$A$3:$H$10000,8,FALSE),"0")</f>
        <v>0</v>
      </c>
      <c r="N13459" s="8"/>
      <c r="O13459" s="33" t="str">
        <f>IFERROR(VLOOKUP($M13459,'Informations sur les produits'!$A$3:$H$10000,8,FALSE),"0")</f>
        <v>0</v>
      </c>
      <c r="P13459" s="33">
        <f t="shared" si="840"/>
        <v>0</v>
      </c>
      <c r="Q13459" s="31" t="str">
        <f t="shared" si="841"/>
        <v/>
      </c>
      <c r="R13459" s="32" t="str">
        <f>IFERROR(VLOOKUP($D13459,'Informations sur les produits'!$A$3:$B$15000,2,FALSE),"")</f>
        <v/>
      </c>
      <c r="V13459">
        <f t="shared" si="842"/>
        <v>0</v>
      </c>
      <c r="W13459">
        <f t="shared" si="843"/>
        <v>0</v>
      </c>
    </row>
    <row r="13460" spans="5:23" x14ac:dyDescent="0.25">
      <c r="E13460" s="4"/>
      <c r="F13460" s="4"/>
      <c r="G13460" s="33" t="str">
        <f>IFERROR(VLOOKUP($D13460,'Informations sur les produits'!$A$3:$H$10000,8,FALSE),"0")</f>
        <v>0</v>
      </c>
      <c r="K13460" s="4"/>
      <c r="L13460" s="33" t="str">
        <f>IFERROR(VLOOKUP($J13460,'Informations sur les produits'!$A$3:$H$10000,8,FALSE),"0")</f>
        <v>0</v>
      </c>
      <c r="N13460" s="8"/>
      <c r="O13460" s="33" t="str">
        <f>IFERROR(VLOOKUP($M13460,'Informations sur les produits'!$A$3:$H$10000,8,FALSE),"0")</f>
        <v>0</v>
      </c>
      <c r="P13460" s="33">
        <f t="shared" si="840"/>
        <v>0</v>
      </c>
      <c r="Q13460" s="31" t="str">
        <f t="shared" si="841"/>
        <v/>
      </c>
      <c r="R13460" s="32" t="str">
        <f>IFERROR(VLOOKUP($D13460,'Informations sur les produits'!$A$3:$B$15000,2,FALSE),"")</f>
        <v/>
      </c>
      <c r="V13460">
        <f t="shared" si="842"/>
        <v>0</v>
      </c>
      <c r="W13460">
        <f t="shared" si="843"/>
        <v>0</v>
      </c>
    </row>
    <row r="13461" spans="5:23" x14ac:dyDescent="0.25">
      <c r="E13461" s="4"/>
      <c r="F13461" s="4"/>
      <c r="G13461" s="33" t="str">
        <f>IFERROR(VLOOKUP($D13461,'Informations sur les produits'!$A$3:$H$10000,8,FALSE),"0")</f>
        <v>0</v>
      </c>
      <c r="K13461" s="4"/>
      <c r="L13461" s="33" t="str">
        <f>IFERROR(VLOOKUP($J13461,'Informations sur les produits'!$A$3:$H$10000,8,FALSE),"0")</f>
        <v>0</v>
      </c>
      <c r="N13461" s="8"/>
      <c r="O13461" s="33" t="str">
        <f>IFERROR(VLOOKUP($M13461,'Informations sur les produits'!$A$3:$H$10000,8,FALSE),"0")</f>
        <v>0</v>
      </c>
      <c r="P13461" s="33">
        <f t="shared" si="840"/>
        <v>0</v>
      </c>
      <c r="Q13461" s="31" t="str">
        <f t="shared" si="841"/>
        <v/>
      </c>
      <c r="R13461" s="32" t="str">
        <f>IFERROR(VLOOKUP($D13461,'Informations sur les produits'!$A$3:$B$15000,2,FALSE),"")</f>
        <v/>
      </c>
      <c r="V13461">
        <f t="shared" si="842"/>
        <v>0</v>
      </c>
      <c r="W13461">
        <f t="shared" si="843"/>
        <v>0</v>
      </c>
    </row>
    <row r="13462" spans="5:23" x14ac:dyDescent="0.25">
      <c r="E13462" s="4"/>
      <c r="F13462" s="4"/>
      <c r="G13462" s="33" t="str">
        <f>IFERROR(VLOOKUP($D13462,'Informations sur les produits'!$A$3:$H$10000,8,FALSE),"0")</f>
        <v>0</v>
      </c>
      <c r="K13462" s="4"/>
      <c r="L13462" s="33" t="str">
        <f>IFERROR(VLOOKUP($J13462,'Informations sur les produits'!$A$3:$H$10000,8,FALSE),"0")</f>
        <v>0</v>
      </c>
      <c r="N13462" s="8"/>
      <c r="O13462" s="33" t="str">
        <f>IFERROR(VLOOKUP($M13462,'Informations sur les produits'!$A$3:$H$10000,8,FALSE),"0")</f>
        <v>0</v>
      </c>
      <c r="P13462" s="33">
        <f t="shared" si="840"/>
        <v>0</v>
      </c>
      <c r="Q13462" s="31" t="str">
        <f t="shared" si="841"/>
        <v/>
      </c>
      <c r="R13462" s="32" t="str">
        <f>IFERROR(VLOOKUP($D13462,'Informations sur les produits'!$A$3:$B$15000,2,FALSE),"")</f>
        <v/>
      </c>
      <c r="V13462">
        <f t="shared" si="842"/>
        <v>0</v>
      </c>
      <c r="W13462">
        <f t="shared" si="843"/>
        <v>0</v>
      </c>
    </row>
    <row r="13463" spans="5:23" x14ac:dyDescent="0.25">
      <c r="E13463" s="4"/>
      <c r="F13463" s="4"/>
      <c r="G13463" s="33" t="str">
        <f>IFERROR(VLOOKUP($D13463,'Informations sur les produits'!$A$3:$H$10000,8,FALSE),"0")</f>
        <v>0</v>
      </c>
      <c r="K13463" s="4"/>
      <c r="L13463" s="33" t="str">
        <f>IFERROR(VLOOKUP($J13463,'Informations sur les produits'!$A$3:$H$10000,8,FALSE),"0")</f>
        <v>0</v>
      </c>
      <c r="N13463" s="8"/>
      <c r="O13463" s="33" t="str">
        <f>IFERROR(VLOOKUP($M13463,'Informations sur les produits'!$A$3:$H$10000,8,FALSE),"0")</f>
        <v>0</v>
      </c>
      <c r="P13463" s="33">
        <f t="shared" si="840"/>
        <v>0</v>
      </c>
      <c r="Q13463" s="31" t="str">
        <f t="shared" si="841"/>
        <v/>
      </c>
      <c r="R13463" s="32" t="str">
        <f>IFERROR(VLOOKUP($D13463,'Informations sur les produits'!$A$3:$B$15000,2,FALSE),"")</f>
        <v/>
      </c>
      <c r="V13463">
        <f t="shared" si="842"/>
        <v>0</v>
      </c>
      <c r="W13463">
        <f t="shared" si="843"/>
        <v>0</v>
      </c>
    </row>
    <row r="13464" spans="5:23" x14ac:dyDescent="0.25">
      <c r="E13464" s="4"/>
      <c r="F13464" s="4"/>
      <c r="G13464" s="33" t="str">
        <f>IFERROR(VLOOKUP($D13464,'Informations sur les produits'!$A$3:$H$10000,8,FALSE),"0")</f>
        <v>0</v>
      </c>
      <c r="K13464" s="4"/>
      <c r="L13464" s="33" t="str">
        <f>IFERROR(VLOOKUP($J13464,'Informations sur les produits'!$A$3:$H$10000,8,FALSE),"0")</f>
        <v>0</v>
      </c>
      <c r="N13464" s="8"/>
      <c r="O13464" s="33" t="str">
        <f>IFERROR(VLOOKUP($M13464,'Informations sur les produits'!$A$3:$H$10000,8,FALSE),"0")</f>
        <v>0</v>
      </c>
      <c r="P13464" s="33">
        <f t="shared" si="840"/>
        <v>0</v>
      </c>
      <c r="Q13464" s="31" t="str">
        <f t="shared" si="841"/>
        <v/>
      </c>
      <c r="R13464" s="32" t="str">
        <f>IFERROR(VLOOKUP($D13464,'Informations sur les produits'!$A$3:$B$15000,2,FALSE),"")</f>
        <v/>
      </c>
      <c r="V13464">
        <f t="shared" si="842"/>
        <v>0</v>
      </c>
      <c r="W13464">
        <f t="shared" si="843"/>
        <v>0</v>
      </c>
    </row>
    <row r="13465" spans="5:23" x14ac:dyDescent="0.25">
      <c r="E13465" s="4"/>
      <c r="F13465" s="4"/>
      <c r="G13465" s="33" t="str">
        <f>IFERROR(VLOOKUP($D13465,'Informations sur les produits'!$A$3:$H$10000,8,FALSE),"0")</f>
        <v>0</v>
      </c>
      <c r="K13465" s="4"/>
      <c r="L13465" s="33" t="str">
        <f>IFERROR(VLOOKUP($J13465,'Informations sur les produits'!$A$3:$H$10000,8,FALSE),"0")</f>
        <v>0</v>
      </c>
      <c r="N13465" s="8"/>
      <c r="O13465" s="33" t="str">
        <f>IFERROR(VLOOKUP($M13465,'Informations sur les produits'!$A$3:$H$10000,8,FALSE),"0")</f>
        <v>0</v>
      </c>
      <c r="P13465" s="33">
        <f t="shared" si="840"/>
        <v>0</v>
      </c>
      <c r="Q13465" s="31" t="str">
        <f t="shared" si="841"/>
        <v/>
      </c>
      <c r="R13465" s="32" t="str">
        <f>IFERROR(VLOOKUP($D13465,'Informations sur les produits'!$A$3:$B$15000,2,FALSE),"")</f>
        <v/>
      </c>
      <c r="V13465">
        <f t="shared" si="842"/>
        <v>0</v>
      </c>
      <c r="W13465">
        <f t="shared" si="843"/>
        <v>0</v>
      </c>
    </row>
    <row r="13466" spans="5:23" x14ac:dyDescent="0.25">
      <c r="E13466" s="4"/>
      <c r="F13466" s="4"/>
      <c r="G13466" s="33" t="str">
        <f>IFERROR(VLOOKUP($D13466,'Informations sur les produits'!$A$3:$H$10000,8,FALSE),"0")</f>
        <v>0</v>
      </c>
      <c r="K13466" s="4"/>
      <c r="L13466" s="33" t="str">
        <f>IFERROR(VLOOKUP($J13466,'Informations sur les produits'!$A$3:$H$10000,8,FALSE),"0")</f>
        <v>0</v>
      </c>
      <c r="N13466" s="8"/>
      <c r="O13466" s="33" t="str">
        <f>IFERROR(VLOOKUP($M13466,'Informations sur les produits'!$A$3:$H$10000,8,FALSE),"0")</f>
        <v>0</v>
      </c>
      <c r="P13466" s="33">
        <f t="shared" si="840"/>
        <v>0</v>
      </c>
      <c r="Q13466" s="31" t="str">
        <f t="shared" si="841"/>
        <v/>
      </c>
      <c r="R13466" s="32" t="str">
        <f>IFERROR(VLOOKUP($D13466,'Informations sur les produits'!$A$3:$B$15000,2,FALSE),"")</f>
        <v/>
      </c>
      <c r="V13466">
        <f t="shared" si="842"/>
        <v>0</v>
      </c>
      <c r="W13466">
        <f t="shared" si="843"/>
        <v>0</v>
      </c>
    </row>
    <row r="13467" spans="5:23" x14ac:dyDescent="0.25">
      <c r="E13467" s="4"/>
      <c r="F13467" s="4"/>
      <c r="G13467" s="33" t="str">
        <f>IFERROR(VLOOKUP($D13467,'Informations sur les produits'!$A$3:$H$10000,8,FALSE),"0")</f>
        <v>0</v>
      </c>
      <c r="K13467" s="4"/>
      <c r="L13467" s="33" t="str">
        <f>IFERROR(VLOOKUP($J13467,'Informations sur les produits'!$A$3:$H$10000,8,FALSE),"0")</f>
        <v>0</v>
      </c>
      <c r="N13467" s="8"/>
      <c r="O13467" s="33" t="str">
        <f>IFERROR(VLOOKUP($M13467,'Informations sur les produits'!$A$3:$H$10000,8,FALSE),"0")</f>
        <v>0</v>
      </c>
      <c r="P13467" s="33">
        <f t="shared" si="840"/>
        <v>0</v>
      </c>
      <c r="Q13467" s="31" t="str">
        <f t="shared" si="841"/>
        <v/>
      </c>
      <c r="R13467" s="32" t="str">
        <f>IFERROR(VLOOKUP($D13467,'Informations sur les produits'!$A$3:$B$15000,2,FALSE),"")</f>
        <v/>
      </c>
      <c r="V13467">
        <f t="shared" si="842"/>
        <v>0</v>
      </c>
      <c r="W13467">
        <f t="shared" si="843"/>
        <v>0</v>
      </c>
    </row>
    <row r="13468" spans="5:23" x14ac:dyDescent="0.25">
      <c r="E13468" s="4"/>
      <c r="F13468" s="4"/>
      <c r="G13468" s="33" t="str">
        <f>IFERROR(VLOOKUP($D13468,'Informations sur les produits'!$A$3:$H$10000,8,FALSE),"0")</f>
        <v>0</v>
      </c>
      <c r="K13468" s="4"/>
      <c r="L13468" s="33" t="str">
        <f>IFERROR(VLOOKUP($J13468,'Informations sur les produits'!$A$3:$H$10000,8,FALSE),"0")</f>
        <v>0</v>
      </c>
      <c r="N13468" s="8"/>
      <c r="O13468" s="33" t="str">
        <f>IFERROR(VLOOKUP($M13468,'Informations sur les produits'!$A$3:$H$10000,8,FALSE),"0")</f>
        <v>0</v>
      </c>
      <c r="P13468" s="33">
        <f t="shared" si="840"/>
        <v>0</v>
      </c>
      <c r="Q13468" s="31" t="str">
        <f t="shared" si="841"/>
        <v/>
      </c>
      <c r="R13468" s="32" t="str">
        <f>IFERROR(VLOOKUP($D13468,'Informations sur les produits'!$A$3:$B$15000,2,FALSE),"")</f>
        <v/>
      </c>
      <c r="V13468">
        <f t="shared" si="842"/>
        <v>0</v>
      </c>
      <c r="W13468">
        <f t="shared" si="843"/>
        <v>0</v>
      </c>
    </row>
    <row r="13469" spans="5:23" x14ac:dyDescent="0.25">
      <c r="E13469" s="4"/>
      <c r="F13469" s="4"/>
      <c r="G13469" s="33" t="str">
        <f>IFERROR(VLOOKUP($D13469,'Informations sur les produits'!$A$3:$H$10000,8,FALSE),"0")</f>
        <v>0</v>
      </c>
      <c r="K13469" s="4"/>
      <c r="L13469" s="33" t="str">
        <f>IFERROR(VLOOKUP($J13469,'Informations sur les produits'!$A$3:$H$10000,8,FALSE),"0")</f>
        <v>0</v>
      </c>
      <c r="N13469" s="8"/>
      <c r="O13469" s="33" t="str">
        <f>IFERROR(VLOOKUP($M13469,'Informations sur les produits'!$A$3:$H$10000,8,FALSE),"0")</f>
        <v>0</v>
      </c>
      <c r="P13469" s="33">
        <f t="shared" si="840"/>
        <v>0</v>
      </c>
      <c r="Q13469" s="31" t="str">
        <f t="shared" si="841"/>
        <v/>
      </c>
      <c r="R13469" s="32" t="str">
        <f>IFERROR(VLOOKUP($D13469,'Informations sur les produits'!$A$3:$B$15000,2,FALSE),"")</f>
        <v/>
      </c>
      <c r="V13469">
        <f t="shared" si="842"/>
        <v>0</v>
      </c>
      <c r="W13469">
        <f t="shared" si="843"/>
        <v>0</v>
      </c>
    </row>
    <row r="13470" spans="5:23" x14ac:dyDescent="0.25">
      <c r="E13470" s="4"/>
      <c r="F13470" s="4"/>
      <c r="G13470" s="33" t="str">
        <f>IFERROR(VLOOKUP($D13470,'Informations sur les produits'!$A$3:$H$10000,8,FALSE),"0")</f>
        <v>0</v>
      </c>
      <c r="K13470" s="4"/>
      <c r="L13470" s="33" t="str">
        <f>IFERROR(VLOOKUP($J13470,'Informations sur les produits'!$A$3:$H$10000,8,FALSE),"0")</f>
        <v>0</v>
      </c>
      <c r="N13470" s="8"/>
      <c r="O13470" s="33" t="str">
        <f>IFERROR(VLOOKUP($M13470,'Informations sur les produits'!$A$3:$H$10000,8,FALSE),"0")</f>
        <v>0</v>
      </c>
      <c r="P13470" s="33">
        <f t="shared" si="840"/>
        <v>0</v>
      </c>
      <c r="Q13470" s="31" t="str">
        <f t="shared" si="841"/>
        <v/>
      </c>
      <c r="R13470" s="32" t="str">
        <f>IFERROR(VLOOKUP($D13470,'Informations sur les produits'!$A$3:$B$15000,2,FALSE),"")</f>
        <v/>
      </c>
      <c r="V13470">
        <f t="shared" si="842"/>
        <v>0</v>
      </c>
      <c r="W13470">
        <f t="shared" si="843"/>
        <v>0</v>
      </c>
    </row>
    <row r="13471" spans="5:23" x14ac:dyDescent="0.25">
      <c r="E13471" s="4"/>
      <c r="F13471" s="4"/>
      <c r="G13471" s="33" t="str">
        <f>IFERROR(VLOOKUP($D13471,'Informations sur les produits'!$A$3:$H$10000,8,FALSE),"0")</f>
        <v>0</v>
      </c>
      <c r="K13471" s="4"/>
      <c r="L13471" s="33" t="str">
        <f>IFERROR(VLOOKUP($J13471,'Informations sur les produits'!$A$3:$H$10000,8,FALSE),"0")</f>
        <v>0</v>
      </c>
      <c r="N13471" s="8"/>
      <c r="O13471" s="33" t="str">
        <f>IFERROR(VLOOKUP($M13471,'Informations sur les produits'!$A$3:$H$10000,8,FALSE),"0")</f>
        <v>0</v>
      </c>
      <c r="P13471" s="33">
        <f t="shared" si="840"/>
        <v>0</v>
      </c>
      <c r="Q13471" s="31" t="str">
        <f t="shared" si="841"/>
        <v/>
      </c>
      <c r="R13471" s="32" t="str">
        <f>IFERROR(VLOOKUP($D13471,'Informations sur les produits'!$A$3:$B$15000,2,FALSE),"")</f>
        <v/>
      </c>
      <c r="V13471">
        <f t="shared" si="842"/>
        <v>0</v>
      </c>
      <c r="W13471">
        <f t="shared" si="843"/>
        <v>0</v>
      </c>
    </row>
    <row r="13472" spans="5:23" x14ac:dyDescent="0.25">
      <c r="E13472" s="4"/>
      <c r="F13472" s="4"/>
      <c r="G13472" s="33" t="str">
        <f>IFERROR(VLOOKUP($D13472,'Informations sur les produits'!$A$3:$H$10000,8,FALSE),"0")</f>
        <v>0</v>
      </c>
      <c r="K13472" s="4"/>
      <c r="L13472" s="33" t="str">
        <f>IFERROR(VLOOKUP($J13472,'Informations sur les produits'!$A$3:$H$10000,8,FALSE),"0")</f>
        <v>0</v>
      </c>
      <c r="N13472" s="8"/>
      <c r="O13472" s="33" t="str">
        <f>IFERROR(VLOOKUP($M13472,'Informations sur les produits'!$A$3:$H$10000,8,FALSE),"0")</f>
        <v>0</v>
      </c>
      <c r="P13472" s="33">
        <f t="shared" si="840"/>
        <v>0</v>
      </c>
      <c r="Q13472" s="31" t="str">
        <f t="shared" si="841"/>
        <v/>
      </c>
      <c r="R13472" s="32" t="str">
        <f>IFERROR(VLOOKUP($D13472,'Informations sur les produits'!$A$3:$B$15000,2,FALSE),"")</f>
        <v/>
      </c>
      <c r="V13472">
        <f t="shared" si="842"/>
        <v>0</v>
      </c>
      <c r="W13472">
        <f t="shared" si="843"/>
        <v>0</v>
      </c>
    </row>
    <row r="13473" spans="5:23" x14ac:dyDescent="0.25">
      <c r="E13473" s="4"/>
      <c r="F13473" s="4"/>
      <c r="G13473" s="33" t="str">
        <f>IFERROR(VLOOKUP($D13473,'Informations sur les produits'!$A$3:$H$10000,8,FALSE),"0")</f>
        <v>0</v>
      </c>
      <c r="K13473" s="4"/>
      <c r="L13473" s="33" t="str">
        <f>IFERROR(VLOOKUP($J13473,'Informations sur les produits'!$A$3:$H$10000,8,FALSE),"0")</f>
        <v>0</v>
      </c>
      <c r="N13473" s="8"/>
      <c r="O13473" s="33" t="str">
        <f>IFERROR(VLOOKUP($M13473,'Informations sur les produits'!$A$3:$H$10000,8,FALSE),"0")</f>
        <v>0</v>
      </c>
      <c r="P13473" s="33">
        <f t="shared" si="840"/>
        <v>0</v>
      </c>
      <c r="Q13473" s="31" t="str">
        <f t="shared" si="841"/>
        <v/>
      </c>
      <c r="R13473" s="32" t="str">
        <f>IFERROR(VLOOKUP($D13473,'Informations sur les produits'!$A$3:$B$15000,2,FALSE),"")</f>
        <v/>
      </c>
      <c r="V13473">
        <f t="shared" si="842"/>
        <v>0</v>
      </c>
      <c r="W13473">
        <f t="shared" si="843"/>
        <v>0</v>
      </c>
    </row>
    <row r="13474" spans="5:23" x14ac:dyDescent="0.25">
      <c r="E13474" s="4"/>
      <c r="F13474" s="4"/>
      <c r="G13474" s="33" t="str">
        <f>IFERROR(VLOOKUP($D13474,'Informations sur les produits'!$A$3:$H$10000,8,FALSE),"0")</f>
        <v>0</v>
      </c>
      <c r="K13474" s="4"/>
      <c r="L13474" s="33" t="str">
        <f>IFERROR(VLOOKUP($J13474,'Informations sur les produits'!$A$3:$H$10000,8,FALSE),"0")</f>
        <v>0</v>
      </c>
      <c r="N13474" s="8"/>
      <c r="O13474" s="33" t="str">
        <f>IFERROR(VLOOKUP($M13474,'Informations sur les produits'!$A$3:$H$10000,8,FALSE),"0")</f>
        <v>0</v>
      </c>
      <c r="P13474" s="33">
        <f t="shared" si="840"/>
        <v>0</v>
      </c>
      <c r="Q13474" s="31" t="str">
        <f t="shared" si="841"/>
        <v/>
      </c>
      <c r="R13474" s="32" t="str">
        <f>IFERROR(VLOOKUP($D13474,'Informations sur les produits'!$A$3:$B$15000,2,FALSE),"")</f>
        <v/>
      </c>
      <c r="V13474">
        <f t="shared" si="842"/>
        <v>0</v>
      </c>
      <c r="W13474">
        <f t="shared" si="843"/>
        <v>0</v>
      </c>
    </row>
    <row r="13475" spans="5:23" x14ac:dyDescent="0.25">
      <c r="E13475" s="4"/>
      <c r="F13475" s="4"/>
      <c r="G13475" s="33" t="str">
        <f>IFERROR(VLOOKUP($D13475,'Informations sur les produits'!$A$3:$H$10000,8,FALSE),"0")</f>
        <v>0</v>
      </c>
      <c r="K13475" s="4"/>
      <c r="L13475" s="33" t="str">
        <f>IFERROR(VLOOKUP($J13475,'Informations sur les produits'!$A$3:$H$10000,8,FALSE),"0")</f>
        <v>0</v>
      </c>
      <c r="N13475" s="8"/>
      <c r="O13475" s="33" t="str">
        <f>IFERROR(VLOOKUP($M13475,'Informations sur les produits'!$A$3:$H$10000,8,FALSE),"0")</f>
        <v>0</v>
      </c>
      <c r="P13475" s="33">
        <f t="shared" si="840"/>
        <v>0</v>
      </c>
      <c r="Q13475" s="31" t="str">
        <f t="shared" si="841"/>
        <v/>
      </c>
      <c r="R13475" s="32" t="str">
        <f>IFERROR(VLOOKUP($D13475,'Informations sur les produits'!$A$3:$B$15000,2,FALSE),"")</f>
        <v/>
      </c>
      <c r="V13475">
        <f t="shared" si="842"/>
        <v>0</v>
      </c>
      <c r="W13475">
        <f t="shared" si="843"/>
        <v>0</v>
      </c>
    </row>
    <row r="13476" spans="5:23" x14ac:dyDescent="0.25">
      <c r="E13476" s="4"/>
      <c r="F13476" s="4"/>
      <c r="G13476" s="33" t="str">
        <f>IFERROR(VLOOKUP($D13476,'Informations sur les produits'!$A$3:$H$10000,8,FALSE),"0")</f>
        <v>0</v>
      </c>
      <c r="K13476" s="4"/>
      <c r="L13476" s="33" t="str">
        <f>IFERROR(VLOOKUP($J13476,'Informations sur les produits'!$A$3:$H$10000,8,FALSE),"0")</f>
        <v>0</v>
      </c>
      <c r="N13476" s="8"/>
      <c r="O13476" s="33" t="str">
        <f>IFERROR(VLOOKUP($M13476,'Informations sur les produits'!$A$3:$H$10000,8,FALSE),"0")</f>
        <v>0</v>
      </c>
      <c r="P13476" s="33">
        <f t="shared" si="840"/>
        <v>0</v>
      </c>
      <c r="Q13476" s="31" t="str">
        <f t="shared" si="841"/>
        <v/>
      </c>
      <c r="R13476" s="32" t="str">
        <f>IFERROR(VLOOKUP($D13476,'Informations sur les produits'!$A$3:$B$15000,2,FALSE),"")</f>
        <v/>
      </c>
      <c r="V13476">
        <f t="shared" si="842"/>
        <v>0</v>
      </c>
      <c r="W13476">
        <f t="shared" si="843"/>
        <v>0</v>
      </c>
    </row>
    <row r="13477" spans="5:23" x14ac:dyDescent="0.25">
      <c r="E13477" s="4"/>
      <c r="F13477" s="4"/>
      <c r="G13477" s="33" t="str">
        <f>IFERROR(VLOOKUP($D13477,'Informations sur les produits'!$A$3:$H$10000,8,FALSE),"0")</f>
        <v>0</v>
      </c>
      <c r="K13477" s="4"/>
      <c r="L13477" s="33" t="str">
        <f>IFERROR(VLOOKUP($J13477,'Informations sur les produits'!$A$3:$H$10000,8,FALSE),"0")</f>
        <v>0</v>
      </c>
      <c r="N13477" s="8"/>
      <c r="O13477" s="33" t="str">
        <f>IFERROR(VLOOKUP($M13477,'Informations sur les produits'!$A$3:$H$10000,8,FALSE),"0")</f>
        <v>0</v>
      </c>
      <c r="P13477" s="33">
        <f t="shared" si="840"/>
        <v>0</v>
      </c>
      <c r="Q13477" s="31" t="str">
        <f t="shared" si="841"/>
        <v/>
      </c>
      <c r="R13477" s="32" t="str">
        <f>IFERROR(VLOOKUP($D13477,'Informations sur les produits'!$A$3:$B$15000,2,FALSE),"")</f>
        <v/>
      </c>
      <c r="V13477">
        <f t="shared" si="842"/>
        <v>0</v>
      </c>
      <c r="W13477">
        <f t="shared" si="843"/>
        <v>0</v>
      </c>
    </row>
    <row r="13478" spans="5:23" x14ac:dyDescent="0.25">
      <c r="E13478" s="4"/>
      <c r="F13478" s="4"/>
      <c r="G13478" s="33" t="str">
        <f>IFERROR(VLOOKUP($D13478,'Informations sur les produits'!$A$3:$H$10000,8,FALSE),"0")</f>
        <v>0</v>
      </c>
      <c r="K13478" s="4"/>
      <c r="L13478" s="33" t="str">
        <f>IFERROR(VLOOKUP($J13478,'Informations sur les produits'!$A$3:$H$10000,8,FALSE),"0")</f>
        <v>0</v>
      </c>
      <c r="N13478" s="8"/>
      <c r="O13478" s="33" t="str">
        <f>IFERROR(VLOOKUP($M13478,'Informations sur les produits'!$A$3:$H$10000,8,FALSE),"0")</f>
        <v>0</v>
      </c>
      <c r="P13478" s="33">
        <f t="shared" si="840"/>
        <v>0</v>
      </c>
      <c r="Q13478" s="31" t="str">
        <f t="shared" si="841"/>
        <v/>
      </c>
      <c r="R13478" s="32" t="str">
        <f>IFERROR(VLOOKUP($D13478,'Informations sur les produits'!$A$3:$B$15000,2,FALSE),"")</f>
        <v/>
      </c>
      <c r="V13478">
        <f t="shared" si="842"/>
        <v>0</v>
      </c>
      <c r="W13478">
        <f t="shared" si="843"/>
        <v>0</v>
      </c>
    </row>
    <row r="13479" spans="5:23" x14ac:dyDescent="0.25">
      <c r="E13479" s="4"/>
      <c r="F13479" s="4"/>
      <c r="G13479" s="33" t="str">
        <f>IFERROR(VLOOKUP($D13479,'Informations sur les produits'!$A$3:$H$10000,8,FALSE),"0")</f>
        <v>0</v>
      </c>
      <c r="K13479" s="4"/>
      <c r="L13479" s="33" t="str">
        <f>IFERROR(VLOOKUP($J13479,'Informations sur les produits'!$A$3:$H$10000,8,FALSE),"0")</f>
        <v>0</v>
      </c>
      <c r="N13479" s="8"/>
      <c r="O13479" s="33" t="str">
        <f>IFERROR(VLOOKUP($M13479,'Informations sur les produits'!$A$3:$H$10000,8,FALSE),"0")</f>
        <v>0</v>
      </c>
      <c r="P13479" s="33">
        <f t="shared" si="840"/>
        <v>0</v>
      </c>
      <c r="Q13479" s="31" t="str">
        <f t="shared" si="841"/>
        <v/>
      </c>
      <c r="R13479" s="32" t="str">
        <f>IFERROR(VLOOKUP($D13479,'Informations sur les produits'!$A$3:$B$15000,2,FALSE),"")</f>
        <v/>
      </c>
      <c r="V13479">
        <f t="shared" si="842"/>
        <v>0</v>
      </c>
      <c r="W13479">
        <f t="shared" si="843"/>
        <v>0</v>
      </c>
    </row>
    <row r="13480" spans="5:23" x14ac:dyDescent="0.25">
      <c r="E13480" s="4"/>
      <c r="F13480" s="4"/>
      <c r="G13480" s="33" t="str">
        <f>IFERROR(VLOOKUP($D13480,'Informations sur les produits'!$A$3:$H$10000,8,FALSE),"0")</f>
        <v>0</v>
      </c>
      <c r="K13480" s="4"/>
      <c r="L13480" s="33" t="str">
        <f>IFERROR(VLOOKUP($J13480,'Informations sur les produits'!$A$3:$H$10000,8,FALSE),"0")</f>
        <v>0</v>
      </c>
      <c r="N13480" s="8"/>
      <c r="O13480" s="33" t="str">
        <f>IFERROR(VLOOKUP($M13480,'Informations sur les produits'!$A$3:$H$10000,8,FALSE),"0")</f>
        <v>0</v>
      </c>
      <c r="P13480" s="33">
        <f t="shared" si="840"/>
        <v>0</v>
      </c>
      <c r="Q13480" s="31" t="str">
        <f t="shared" si="841"/>
        <v/>
      </c>
      <c r="R13480" s="32" t="str">
        <f>IFERROR(VLOOKUP($D13480,'Informations sur les produits'!$A$3:$B$15000,2,FALSE),"")</f>
        <v/>
      </c>
      <c r="V13480">
        <f t="shared" si="842"/>
        <v>0</v>
      </c>
      <c r="W13480">
        <f t="shared" si="843"/>
        <v>0</v>
      </c>
    </row>
    <row r="13481" spans="5:23" x14ac:dyDescent="0.25">
      <c r="E13481" s="4"/>
      <c r="F13481" s="4"/>
      <c r="G13481" s="33" t="str">
        <f>IFERROR(VLOOKUP($D13481,'Informations sur les produits'!$A$3:$H$10000,8,FALSE),"0")</f>
        <v>0</v>
      </c>
      <c r="K13481" s="4"/>
      <c r="L13481" s="33" t="str">
        <f>IFERROR(VLOOKUP($J13481,'Informations sur les produits'!$A$3:$H$10000,8,FALSE),"0")</f>
        <v>0</v>
      </c>
      <c r="N13481" s="8"/>
      <c r="O13481" s="33" t="str">
        <f>IFERROR(VLOOKUP($M13481,'Informations sur les produits'!$A$3:$H$10000,8,FALSE),"0")</f>
        <v>0</v>
      </c>
      <c r="P13481" s="33">
        <f t="shared" si="840"/>
        <v>0</v>
      </c>
      <c r="Q13481" s="31" t="str">
        <f t="shared" si="841"/>
        <v/>
      </c>
      <c r="R13481" s="32" t="str">
        <f>IFERROR(VLOOKUP($D13481,'Informations sur les produits'!$A$3:$B$15000,2,FALSE),"")</f>
        <v/>
      </c>
      <c r="V13481">
        <f t="shared" si="842"/>
        <v>0</v>
      </c>
      <c r="W13481">
        <f t="shared" si="843"/>
        <v>0</v>
      </c>
    </row>
    <row r="13482" spans="5:23" x14ac:dyDescent="0.25">
      <c r="E13482" s="4"/>
      <c r="F13482" s="4"/>
      <c r="G13482" s="33" t="str">
        <f>IFERROR(VLOOKUP($D13482,'Informations sur les produits'!$A$3:$H$10000,8,FALSE),"0")</f>
        <v>0</v>
      </c>
      <c r="K13482" s="4"/>
      <c r="L13482" s="33" t="str">
        <f>IFERROR(VLOOKUP($J13482,'Informations sur les produits'!$A$3:$H$10000,8,FALSE),"0")</f>
        <v>0</v>
      </c>
      <c r="N13482" s="8"/>
      <c r="O13482" s="33" t="str">
        <f>IFERROR(VLOOKUP($M13482,'Informations sur les produits'!$A$3:$H$10000,8,FALSE),"0")</f>
        <v>0</v>
      </c>
      <c r="P13482" s="33">
        <f t="shared" si="840"/>
        <v>0</v>
      </c>
      <c r="Q13482" s="31" t="str">
        <f t="shared" si="841"/>
        <v/>
      </c>
      <c r="R13482" s="32" t="str">
        <f>IFERROR(VLOOKUP($D13482,'Informations sur les produits'!$A$3:$B$15000,2,FALSE),"")</f>
        <v/>
      </c>
      <c r="V13482">
        <f t="shared" si="842"/>
        <v>0</v>
      </c>
      <c r="W13482">
        <f t="shared" si="843"/>
        <v>0</v>
      </c>
    </row>
    <row r="13483" spans="5:23" x14ac:dyDescent="0.25">
      <c r="E13483" s="4"/>
      <c r="F13483" s="4"/>
      <c r="G13483" s="33" t="str">
        <f>IFERROR(VLOOKUP($D13483,'Informations sur les produits'!$A$3:$H$10000,8,FALSE),"0")</f>
        <v>0</v>
      </c>
      <c r="K13483" s="4"/>
      <c r="L13483" s="33" t="str">
        <f>IFERROR(VLOOKUP($J13483,'Informations sur les produits'!$A$3:$H$10000,8,FALSE),"0")</f>
        <v>0</v>
      </c>
      <c r="N13483" s="8"/>
      <c r="O13483" s="33" t="str">
        <f>IFERROR(VLOOKUP($M13483,'Informations sur les produits'!$A$3:$H$10000,8,FALSE),"0")</f>
        <v>0</v>
      </c>
      <c r="P13483" s="33">
        <f t="shared" si="840"/>
        <v>0</v>
      </c>
      <c r="Q13483" s="31" t="str">
        <f t="shared" si="841"/>
        <v/>
      </c>
      <c r="R13483" s="32" t="str">
        <f>IFERROR(VLOOKUP($D13483,'Informations sur les produits'!$A$3:$B$15000,2,FALSE),"")</f>
        <v/>
      </c>
      <c r="V13483">
        <f t="shared" si="842"/>
        <v>0</v>
      </c>
      <c r="W13483">
        <f t="shared" si="843"/>
        <v>0</v>
      </c>
    </row>
    <row r="13484" spans="5:23" x14ac:dyDescent="0.25">
      <c r="E13484" s="4"/>
      <c r="F13484" s="4"/>
      <c r="G13484" s="33" t="str">
        <f>IFERROR(VLOOKUP($D13484,'Informations sur les produits'!$A$3:$H$10000,8,FALSE),"0")</f>
        <v>0</v>
      </c>
      <c r="K13484" s="4"/>
      <c r="L13484" s="33" t="str">
        <f>IFERROR(VLOOKUP($J13484,'Informations sur les produits'!$A$3:$H$10000,8,FALSE),"0")</f>
        <v>0</v>
      </c>
      <c r="N13484" s="8"/>
      <c r="O13484" s="33" t="str">
        <f>IFERROR(VLOOKUP($M13484,'Informations sur les produits'!$A$3:$H$10000,8,FALSE),"0")</f>
        <v>0</v>
      </c>
      <c r="P13484" s="33">
        <f t="shared" si="840"/>
        <v>0</v>
      </c>
      <c r="Q13484" s="31" t="str">
        <f t="shared" si="841"/>
        <v/>
      </c>
      <c r="R13484" s="32" t="str">
        <f>IFERROR(VLOOKUP($D13484,'Informations sur les produits'!$A$3:$B$15000,2,FALSE),"")</f>
        <v/>
      </c>
      <c r="V13484">
        <f t="shared" si="842"/>
        <v>0</v>
      </c>
      <c r="W13484">
        <f t="shared" si="843"/>
        <v>0</v>
      </c>
    </row>
    <row r="13485" spans="5:23" x14ac:dyDescent="0.25">
      <c r="E13485" s="4"/>
      <c r="F13485" s="4"/>
      <c r="G13485" s="33" t="str">
        <f>IFERROR(VLOOKUP($D13485,'Informations sur les produits'!$A$3:$H$10000,8,FALSE),"0")</f>
        <v>0</v>
      </c>
      <c r="K13485" s="4"/>
      <c r="L13485" s="33" t="str">
        <f>IFERROR(VLOOKUP($J13485,'Informations sur les produits'!$A$3:$H$10000,8,FALSE),"0")</f>
        <v>0</v>
      </c>
      <c r="N13485" s="8"/>
      <c r="O13485" s="33" t="str">
        <f>IFERROR(VLOOKUP($M13485,'Informations sur les produits'!$A$3:$H$10000,8,FALSE),"0")</f>
        <v>0</v>
      </c>
      <c r="P13485" s="33">
        <f t="shared" si="840"/>
        <v>0</v>
      </c>
      <c r="Q13485" s="31" t="str">
        <f t="shared" si="841"/>
        <v/>
      </c>
      <c r="R13485" s="32" t="str">
        <f>IFERROR(VLOOKUP($D13485,'Informations sur les produits'!$A$3:$B$15000,2,FALSE),"")</f>
        <v/>
      </c>
      <c r="V13485">
        <f t="shared" si="842"/>
        <v>0</v>
      </c>
      <c r="W13485">
        <f t="shared" si="843"/>
        <v>0</v>
      </c>
    </row>
    <row r="13486" spans="5:23" x14ac:dyDescent="0.25">
      <c r="E13486" s="4"/>
      <c r="F13486" s="4"/>
      <c r="G13486" s="33" t="str">
        <f>IFERROR(VLOOKUP($D13486,'Informations sur les produits'!$A$3:$H$10000,8,FALSE),"0")</f>
        <v>0</v>
      </c>
      <c r="K13486" s="4"/>
      <c r="L13486" s="33" t="str">
        <f>IFERROR(VLOOKUP($J13486,'Informations sur les produits'!$A$3:$H$10000,8,FALSE),"0")</f>
        <v>0</v>
      </c>
      <c r="N13486" s="8"/>
      <c r="O13486" s="33" t="str">
        <f>IFERROR(VLOOKUP($M13486,'Informations sur les produits'!$A$3:$H$10000,8,FALSE),"0")</f>
        <v>0</v>
      </c>
      <c r="P13486" s="33">
        <f t="shared" si="840"/>
        <v>0</v>
      </c>
      <c r="Q13486" s="31" t="str">
        <f t="shared" si="841"/>
        <v/>
      </c>
      <c r="R13486" s="32" t="str">
        <f>IFERROR(VLOOKUP($D13486,'Informations sur les produits'!$A$3:$B$15000,2,FALSE),"")</f>
        <v/>
      </c>
      <c r="V13486">
        <f t="shared" si="842"/>
        <v>0</v>
      </c>
      <c r="W13486">
        <f t="shared" si="843"/>
        <v>0</v>
      </c>
    </row>
    <row r="13487" spans="5:23" x14ac:dyDescent="0.25">
      <c r="E13487" s="4"/>
      <c r="F13487" s="4"/>
      <c r="G13487" s="33" t="str">
        <f>IFERROR(VLOOKUP($D13487,'Informations sur les produits'!$A$3:$H$10000,8,FALSE),"0")</f>
        <v>0</v>
      </c>
      <c r="K13487" s="4"/>
      <c r="L13487" s="33" t="str">
        <f>IFERROR(VLOOKUP($J13487,'Informations sur les produits'!$A$3:$H$10000,8,FALSE),"0")</f>
        <v>0</v>
      </c>
      <c r="N13487" s="8"/>
      <c r="O13487" s="33" t="str">
        <f>IFERROR(VLOOKUP($M13487,'Informations sur les produits'!$A$3:$H$10000,8,FALSE),"0")</f>
        <v>0</v>
      </c>
      <c r="P13487" s="33">
        <f t="shared" si="840"/>
        <v>0</v>
      </c>
      <c r="Q13487" s="31" t="str">
        <f t="shared" si="841"/>
        <v/>
      </c>
      <c r="R13487" s="32" t="str">
        <f>IFERROR(VLOOKUP($D13487,'Informations sur les produits'!$A$3:$B$15000,2,FALSE),"")</f>
        <v/>
      </c>
      <c r="V13487">
        <f t="shared" si="842"/>
        <v>0</v>
      </c>
      <c r="W13487">
        <f t="shared" si="843"/>
        <v>0</v>
      </c>
    </row>
    <row r="13488" spans="5:23" x14ac:dyDescent="0.25">
      <c r="E13488" s="4"/>
      <c r="F13488" s="4"/>
      <c r="G13488" s="33" t="str">
        <f>IFERROR(VLOOKUP($D13488,'Informations sur les produits'!$A$3:$H$10000,8,FALSE),"0")</f>
        <v>0</v>
      </c>
      <c r="K13488" s="4"/>
      <c r="L13488" s="33" t="str">
        <f>IFERROR(VLOOKUP($J13488,'Informations sur les produits'!$A$3:$H$10000,8,FALSE),"0")</f>
        <v>0</v>
      </c>
      <c r="N13488" s="8"/>
      <c r="O13488" s="33" t="str">
        <f>IFERROR(VLOOKUP($M13488,'Informations sur les produits'!$A$3:$H$10000,8,FALSE),"0")</f>
        <v>0</v>
      </c>
      <c r="P13488" s="33">
        <f t="shared" si="840"/>
        <v>0</v>
      </c>
      <c r="Q13488" s="31" t="str">
        <f t="shared" si="841"/>
        <v/>
      </c>
      <c r="R13488" s="32" t="str">
        <f>IFERROR(VLOOKUP($D13488,'Informations sur les produits'!$A$3:$B$15000,2,FALSE),"")</f>
        <v/>
      </c>
      <c r="V13488">
        <f t="shared" si="842"/>
        <v>0</v>
      </c>
      <c r="W13488">
        <f t="shared" si="843"/>
        <v>0</v>
      </c>
    </row>
    <row r="13489" spans="5:23" x14ac:dyDescent="0.25">
      <c r="E13489" s="4"/>
      <c r="F13489" s="4"/>
      <c r="G13489" s="33" t="str">
        <f>IFERROR(VLOOKUP($D13489,'Informations sur les produits'!$A$3:$H$10000,8,FALSE),"0")</f>
        <v>0</v>
      </c>
      <c r="K13489" s="4"/>
      <c r="L13489" s="33" t="str">
        <f>IFERROR(VLOOKUP($J13489,'Informations sur les produits'!$A$3:$H$10000,8,FALSE),"0")</f>
        <v>0</v>
      </c>
      <c r="N13489" s="8"/>
      <c r="O13489" s="33" t="str">
        <f>IFERROR(VLOOKUP($M13489,'Informations sur les produits'!$A$3:$H$10000,8,FALSE),"0")</f>
        <v>0</v>
      </c>
      <c r="P13489" s="33">
        <f t="shared" si="840"/>
        <v>0</v>
      </c>
      <c r="Q13489" s="31" t="str">
        <f t="shared" si="841"/>
        <v/>
      </c>
      <c r="R13489" s="32" t="str">
        <f>IFERROR(VLOOKUP($D13489,'Informations sur les produits'!$A$3:$B$15000,2,FALSE),"")</f>
        <v/>
      </c>
      <c r="V13489">
        <f t="shared" si="842"/>
        <v>0</v>
      </c>
      <c r="W13489">
        <f t="shared" si="843"/>
        <v>0</v>
      </c>
    </row>
    <row r="13490" spans="5:23" x14ac:dyDescent="0.25">
      <c r="E13490" s="4"/>
      <c r="F13490" s="4"/>
      <c r="G13490" s="33" t="str">
        <f>IFERROR(VLOOKUP($D13490,'Informations sur les produits'!$A$3:$H$10000,8,FALSE),"0")</f>
        <v>0</v>
      </c>
      <c r="K13490" s="4"/>
      <c r="L13490" s="33" t="str">
        <f>IFERROR(VLOOKUP($J13490,'Informations sur les produits'!$A$3:$H$10000,8,FALSE),"0")</f>
        <v>0</v>
      </c>
      <c r="N13490" s="8"/>
      <c r="O13490" s="33" t="str">
        <f>IFERROR(VLOOKUP($M13490,'Informations sur les produits'!$A$3:$H$10000,8,FALSE),"0")</f>
        <v>0</v>
      </c>
      <c r="P13490" s="33">
        <f t="shared" si="840"/>
        <v>0</v>
      </c>
      <c r="Q13490" s="31" t="str">
        <f t="shared" si="841"/>
        <v/>
      </c>
      <c r="R13490" s="32" t="str">
        <f>IFERROR(VLOOKUP($D13490,'Informations sur les produits'!$A$3:$B$15000,2,FALSE),"")</f>
        <v/>
      </c>
      <c r="V13490">
        <f t="shared" si="842"/>
        <v>0</v>
      </c>
      <c r="W13490">
        <f t="shared" si="843"/>
        <v>0</v>
      </c>
    </row>
    <row r="13491" spans="5:23" x14ac:dyDescent="0.25">
      <c r="E13491" s="4"/>
      <c r="F13491" s="4"/>
      <c r="G13491" s="33" t="str">
        <f>IFERROR(VLOOKUP($D13491,'Informations sur les produits'!$A$3:$H$10000,8,FALSE),"0")</f>
        <v>0</v>
      </c>
      <c r="K13491" s="4"/>
      <c r="L13491" s="33" t="str">
        <f>IFERROR(VLOOKUP($J13491,'Informations sur les produits'!$A$3:$H$10000,8,FALSE),"0")</f>
        <v>0</v>
      </c>
      <c r="N13491" s="8"/>
      <c r="O13491" s="33" t="str">
        <f>IFERROR(VLOOKUP($M13491,'Informations sur les produits'!$A$3:$H$10000,8,FALSE),"0")</f>
        <v>0</v>
      </c>
      <c r="P13491" s="33">
        <f t="shared" si="840"/>
        <v>0</v>
      </c>
      <c r="Q13491" s="31" t="str">
        <f t="shared" si="841"/>
        <v/>
      </c>
      <c r="R13491" s="32" t="str">
        <f>IFERROR(VLOOKUP($D13491,'Informations sur les produits'!$A$3:$B$15000,2,FALSE),"")</f>
        <v/>
      </c>
      <c r="V13491">
        <f t="shared" si="842"/>
        <v>0</v>
      </c>
      <c r="W13491">
        <f t="shared" si="843"/>
        <v>0</v>
      </c>
    </row>
    <row r="13492" spans="5:23" x14ac:dyDescent="0.25">
      <c r="E13492" s="4"/>
      <c r="F13492" s="4"/>
      <c r="G13492" s="33" t="str">
        <f>IFERROR(VLOOKUP($D13492,'Informations sur les produits'!$A$3:$H$10000,8,FALSE),"0")</f>
        <v>0</v>
      </c>
      <c r="K13492" s="4"/>
      <c r="L13492" s="33" t="str">
        <f>IFERROR(VLOOKUP($J13492,'Informations sur les produits'!$A$3:$H$10000,8,FALSE),"0")</f>
        <v>0</v>
      </c>
      <c r="N13492" s="8"/>
      <c r="O13492" s="33" t="str">
        <f>IFERROR(VLOOKUP($M13492,'Informations sur les produits'!$A$3:$H$10000,8,FALSE),"0")</f>
        <v>0</v>
      </c>
      <c r="P13492" s="33">
        <f t="shared" si="840"/>
        <v>0</v>
      </c>
      <c r="Q13492" s="31" t="str">
        <f t="shared" si="841"/>
        <v/>
      </c>
      <c r="R13492" s="32" t="str">
        <f>IFERROR(VLOOKUP($D13492,'Informations sur les produits'!$A$3:$B$15000,2,FALSE),"")</f>
        <v/>
      </c>
      <c r="V13492">
        <f t="shared" si="842"/>
        <v>0</v>
      </c>
      <c r="W13492">
        <f t="shared" si="843"/>
        <v>0</v>
      </c>
    </row>
    <row r="13493" spans="5:23" x14ac:dyDescent="0.25">
      <c r="E13493" s="4"/>
      <c r="F13493" s="4"/>
      <c r="G13493" s="33" t="str">
        <f>IFERROR(VLOOKUP($D13493,'Informations sur les produits'!$A$3:$H$10000,8,FALSE),"0")</f>
        <v>0</v>
      </c>
      <c r="K13493" s="4"/>
      <c r="L13493" s="33" t="str">
        <f>IFERROR(VLOOKUP($J13493,'Informations sur les produits'!$A$3:$H$10000,8,FALSE),"0")</f>
        <v>0</v>
      </c>
      <c r="N13493" s="8"/>
      <c r="O13493" s="33" t="str">
        <f>IFERROR(VLOOKUP($M13493,'Informations sur les produits'!$A$3:$H$10000,8,FALSE),"0")</f>
        <v>0</v>
      </c>
      <c r="P13493" s="33">
        <f t="shared" si="840"/>
        <v>0</v>
      </c>
      <c r="Q13493" s="31" t="str">
        <f t="shared" si="841"/>
        <v/>
      </c>
      <c r="R13493" s="32" t="str">
        <f>IFERROR(VLOOKUP($D13493,'Informations sur les produits'!$A$3:$B$15000,2,FALSE),"")</f>
        <v/>
      </c>
      <c r="V13493">
        <f t="shared" si="842"/>
        <v>0</v>
      </c>
      <c r="W13493">
        <f t="shared" si="843"/>
        <v>0</v>
      </c>
    </row>
    <row r="13494" spans="5:23" x14ac:dyDescent="0.25">
      <c r="E13494" s="4"/>
      <c r="F13494" s="4"/>
      <c r="G13494" s="33" t="str">
        <f>IFERROR(VLOOKUP($D13494,'Informations sur les produits'!$A$3:$H$10000,8,FALSE),"0")</f>
        <v>0</v>
      </c>
      <c r="K13494" s="4"/>
      <c r="L13494" s="33" t="str">
        <f>IFERROR(VLOOKUP($J13494,'Informations sur les produits'!$A$3:$H$10000,8,FALSE),"0")</f>
        <v>0</v>
      </c>
      <c r="N13494" s="8"/>
      <c r="O13494" s="33" t="str">
        <f>IFERROR(VLOOKUP($M13494,'Informations sur les produits'!$A$3:$H$10000,8,FALSE),"0")</f>
        <v>0</v>
      </c>
      <c r="P13494" s="33">
        <f t="shared" si="840"/>
        <v>0</v>
      </c>
      <c r="Q13494" s="31" t="str">
        <f t="shared" si="841"/>
        <v/>
      </c>
      <c r="R13494" s="32" t="str">
        <f>IFERROR(VLOOKUP($D13494,'Informations sur les produits'!$A$3:$B$15000,2,FALSE),"")</f>
        <v/>
      </c>
      <c r="V13494">
        <f t="shared" si="842"/>
        <v>0</v>
      </c>
      <c r="W13494">
        <f t="shared" si="843"/>
        <v>0</v>
      </c>
    </row>
    <row r="13495" spans="5:23" x14ac:dyDescent="0.25">
      <c r="E13495" s="4"/>
      <c r="F13495" s="4"/>
      <c r="G13495" s="33" t="str">
        <f>IFERROR(VLOOKUP($D13495,'Informations sur les produits'!$A$3:$H$10000,8,FALSE),"0")</f>
        <v>0</v>
      </c>
      <c r="K13495" s="4"/>
      <c r="L13495" s="33" t="str">
        <f>IFERROR(VLOOKUP($J13495,'Informations sur les produits'!$A$3:$H$10000,8,FALSE),"0")</f>
        <v>0</v>
      </c>
      <c r="N13495" s="8"/>
      <c r="O13495" s="33" t="str">
        <f>IFERROR(VLOOKUP($M13495,'Informations sur les produits'!$A$3:$H$10000,8,FALSE),"0")</f>
        <v>0</v>
      </c>
      <c r="P13495" s="33">
        <f t="shared" si="840"/>
        <v>0</v>
      </c>
      <c r="Q13495" s="31" t="str">
        <f t="shared" si="841"/>
        <v/>
      </c>
      <c r="R13495" s="32" t="str">
        <f>IFERROR(VLOOKUP($D13495,'Informations sur les produits'!$A$3:$B$15000,2,FALSE),"")</f>
        <v/>
      </c>
      <c r="V13495">
        <f t="shared" si="842"/>
        <v>0</v>
      </c>
      <c r="W13495">
        <f t="shared" si="843"/>
        <v>0</v>
      </c>
    </row>
    <row r="13496" spans="5:23" x14ac:dyDescent="0.25">
      <c r="E13496" s="4"/>
      <c r="F13496" s="4"/>
      <c r="G13496" s="33" t="str">
        <f>IFERROR(VLOOKUP($D13496,'Informations sur les produits'!$A$3:$H$10000,8,FALSE),"0")</f>
        <v>0</v>
      </c>
      <c r="K13496" s="4"/>
      <c r="L13496" s="33" t="str">
        <f>IFERROR(VLOOKUP($J13496,'Informations sur les produits'!$A$3:$H$10000,8,FALSE),"0")</f>
        <v>0</v>
      </c>
      <c r="N13496" s="8"/>
      <c r="O13496" s="33" t="str">
        <f>IFERROR(VLOOKUP($M13496,'Informations sur les produits'!$A$3:$H$10000,8,FALSE),"0")</f>
        <v>0</v>
      </c>
      <c r="P13496" s="33">
        <f t="shared" si="840"/>
        <v>0</v>
      </c>
      <c r="Q13496" s="31" t="str">
        <f t="shared" si="841"/>
        <v/>
      </c>
      <c r="R13496" s="32" t="str">
        <f>IFERROR(VLOOKUP($D13496,'Informations sur les produits'!$A$3:$B$15000,2,FALSE),"")</f>
        <v/>
      </c>
      <c r="V13496">
        <f t="shared" si="842"/>
        <v>0</v>
      </c>
      <c r="W13496">
        <f t="shared" si="843"/>
        <v>0</v>
      </c>
    </row>
    <row r="13497" spans="5:23" x14ac:dyDescent="0.25">
      <c r="E13497" s="4"/>
      <c r="F13497" s="4"/>
      <c r="G13497" s="33" t="str">
        <f>IFERROR(VLOOKUP($D13497,'Informations sur les produits'!$A$3:$H$10000,8,FALSE),"0")</f>
        <v>0</v>
      </c>
      <c r="K13497" s="4"/>
      <c r="L13497" s="33" t="str">
        <f>IFERROR(VLOOKUP($J13497,'Informations sur les produits'!$A$3:$H$10000,8,FALSE),"0")</f>
        <v>0</v>
      </c>
      <c r="N13497" s="8"/>
      <c r="O13497" s="33" t="str">
        <f>IFERROR(VLOOKUP($M13497,'Informations sur les produits'!$A$3:$H$10000,8,FALSE),"0")</f>
        <v>0</v>
      </c>
      <c r="P13497" s="33">
        <f t="shared" si="840"/>
        <v>0</v>
      </c>
      <c r="Q13497" s="31" t="str">
        <f t="shared" si="841"/>
        <v/>
      </c>
      <c r="R13497" s="32" t="str">
        <f>IFERROR(VLOOKUP($D13497,'Informations sur les produits'!$A$3:$B$15000,2,FALSE),"")</f>
        <v/>
      </c>
      <c r="V13497">
        <f t="shared" si="842"/>
        <v>0</v>
      </c>
      <c r="W13497">
        <f t="shared" si="843"/>
        <v>0</v>
      </c>
    </row>
    <row r="13498" spans="5:23" x14ac:dyDescent="0.25">
      <c r="E13498" s="4"/>
      <c r="F13498" s="4"/>
      <c r="G13498" s="33" t="str">
        <f>IFERROR(VLOOKUP($D13498,'Informations sur les produits'!$A$3:$H$10000,8,FALSE),"0")</f>
        <v>0</v>
      </c>
      <c r="K13498" s="4"/>
      <c r="L13498" s="33" t="str">
        <f>IFERROR(VLOOKUP($J13498,'Informations sur les produits'!$A$3:$H$10000,8,FALSE),"0")</f>
        <v>0</v>
      </c>
      <c r="N13498" s="8"/>
      <c r="O13498" s="33" t="str">
        <f>IFERROR(VLOOKUP($M13498,'Informations sur les produits'!$A$3:$H$10000,8,FALSE),"0")</f>
        <v>0</v>
      </c>
      <c r="P13498" s="33">
        <f t="shared" si="840"/>
        <v>0</v>
      </c>
      <c r="Q13498" s="31" t="str">
        <f t="shared" si="841"/>
        <v/>
      </c>
      <c r="R13498" s="32" t="str">
        <f>IFERROR(VLOOKUP($D13498,'Informations sur les produits'!$A$3:$B$15000,2,FALSE),"")</f>
        <v/>
      </c>
      <c r="V13498">
        <f t="shared" si="842"/>
        <v>0</v>
      </c>
      <c r="W13498">
        <f t="shared" si="843"/>
        <v>0</v>
      </c>
    </row>
    <row r="13499" spans="5:23" x14ac:dyDescent="0.25">
      <c r="E13499" s="4"/>
      <c r="F13499" s="4"/>
      <c r="G13499" s="33" t="str">
        <f>IFERROR(VLOOKUP($D13499,'Informations sur les produits'!$A$3:$H$10000,8,FALSE),"0")</f>
        <v>0</v>
      </c>
      <c r="K13499" s="4"/>
      <c r="L13499" s="33" t="str">
        <f>IFERROR(VLOOKUP($J13499,'Informations sur les produits'!$A$3:$H$10000,8,FALSE),"0")</f>
        <v>0</v>
      </c>
      <c r="N13499" s="8"/>
      <c r="O13499" s="33" t="str">
        <f>IFERROR(VLOOKUP($M13499,'Informations sur les produits'!$A$3:$H$10000,8,FALSE),"0")</f>
        <v>0</v>
      </c>
      <c r="P13499" s="33">
        <f t="shared" si="840"/>
        <v>0</v>
      </c>
      <c r="Q13499" s="31" t="str">
        <f t="shared" si="841"/>
        <v/>
      </c>
      <c r="R13499" s="32" t="str">
        <f>IFERROR(VLOOKUP($D13499,'Informations sur les produits'!$A$3:$B$15000,2,FALSE),"")</f>
        <v/>
      </c>
      <c r="V13499">
        <f t="shared" si="842"/>
        <v>0</v>
      </c>
      <c r="W13499">
        <f t="shared" si="843"/>
        <v>0</v>
      </c>
    </row>
    <row r="13500" spans="5:23" x14ac:dyDescent="0.25">
      <c r="E13500" s="4"/>
      <c r="F13500" s="4"/>
      <c r="G13500" s="33" t="str">
        <f>IFERROR(VLOOKUP($D13500,'Informations sur les produits'!$A$3:$H$10000,8,FALSE),"0")</f>
        <v>0</v>
      </c>
      <c r="K13500" s="4"/>
      <c r="L13500" s="33" t="str">
        <f>IFERROR(VLOOKUP($J13500,'Informations sur les produits'!$A$3:$H$10000,8,FALSE),"0")</f>
        <v>0</v>
      </c>
      <c r="N13500" s="8"/>
      <c r="O13500" s="33" t="str">
        <f>IFERROR(VLOOKUP($M13500,'Informations sur les produits'!$A$3:$H$10000,8,FALSE),"0")</f>
        <v>0</v>
      </c>
      <c r="P13500" s="33">
        <f t="shared" si="840"/>
        <v>0</v>
      </c>
      <c r="Q13500" s="31" t="str">
        <f t="shared" si="841"/>
        <v/>
      </c>
      <c r="R13500" s="32" t="str">
        <f>IFERROR(VLOOKUP($D13500,'Informations sur les produits'!$A$3:$B$15000,2,FALSE),"")</f>
        <v/>
      </c>
      <c r="V13500">
        <f t="shared" si="842"/>
        <v>0</v>
      </c>
      <c r="W13500">
        <f t="shared" si="843"/>
        <v>0</v>
      </c>
    </row>
    <row r="13501" spans="5:23" x14ac:dyDescent="0.25">
      <c r="E13501" s="4"/>
      <c r="F13501" s="4"/>
      <c r="G13501" s="33" t="str">
        <f>IFERROR(VLOOKUP($D13501,'Informations sur les produits'!$A$3:$H$10000,8,FALSE),"0")</f>
        <v>0</v>
      </c>
      <c r="K13501" s="4"/>
      <c r="L13501" s="33" t="str">
        <f>IFERROR(VLOOKUP($J13501,'Informations sur les produits'!$A$3:$H$10000,8,FALSE),"0")</f>
        <v>0</v>
      </c>
      <c r="N13501" s="8"/>
      <c r="O13501" s="33" t="str">
        <f>IFERROR(VLOOKUP($M13501,'Informations sur les produits'!$A$3:$H$10000,8,FALSE),"0")</f>
        <v>0</v>
      </c>
      <c r="P13501" s="33">
        <f t="shared" si="840"/>
        <v>0</v>
      </c>
      <c r="Q13501" s="31" t="str">
        <f t="shared" si="841"/>
        <v/>
      </c>
      <c r="R13501" s="32" t="str">
        <f>IFERROR(VLOOKUP($D13501,'Informations sur les produits'!$A$3:$B$15000,2,FALSE),"")</f>
        <v/>
      </c>
      <c r="V13501">
        <f t="shared" si="842"/>
        <v>0</v>
      </c>
      <c r="W13501">
        <f t="shared" si="843"/>
        <v>0</v>
      </c>
    </row>
    <row r="13502" spans="5:23" x14ac:dyDescent="0.25">
      <c r="E13502" s="4"/>
      <c r="F13502" s="4"/>
      <c r="G13502" s="33" t="str">
        <f>IFERROR(VLOOKUP($D13502,'Informations sur les produits'!$A$3:$H$10000,8,FALSE),"0")</f>
        <v>0</v>
      </c>
      <c r="K13502" s="4"/>
      <c r="L13502" s="33" t="str">
        <f>IFERROR(VLOOKUP($J13502,'Informations sur les produits'!$A$3:$H$10000,8,FALSE),"0")</f>
        <v>0</v>
      </c>
      <c r="N13502" s="8"/>
      <c r="O13502" s="33" t="str">
        <f>IFERROR(VLOOKUP($M13502,'Informations sur les produits'!$A$3:$H$10000,8,FALSE),"0")</f>
        <v>0</v>
      </c>
      <c r="P13502" s="33">
        <f t="shared" si="840"/>
        <v>0</v>
      </c>
      <c r="Q13502" s="31" t="str">
        <f t="shared" si="841"/>
        <v/>
      </c>
      <c r="R13502" s="32" t="str">
        <f>IFERROR(VLOOKUP($D13502,'Informations sur les produits'!$A$3:$B$15000,2,FALSE),"")</f>
        <v/>
      </c>
      <c r="V13502">
        <f t="shared" si="842"/>
        <v>0</v>
      </c>
      <c r="W13502">
        <f t="shared" si="843"/>
        <v>0</v>
      </c>
    </row>
    <row r="13503" spans="5:23" x14ac:dyDescent="0.25">
      <c r="E13503" s="4"/>
      <c r="F13503" s="4"/>
      <c r="G13503" s="33" t="str">
        <f>IFERROR(VLOOKUP($D13503,'Informations sur les produits'!$A$3:$H$10000,8,FALSE),"0")</f>
        <v>0</v>
      </c>
      <c r="K13503" s="4"/>
      <c r="L13503" s="33" t="str">
        <f>IFERROR(VLOOKUP($J13503,'Informations sur les produits'!$A$3:$H$10000,8,FALSE),"0")</f>
        <v>0</v>
      </c>
      <c r="N13503" s="8"/>
      <c r="O13503" s="33" t="str">
        <f>IFERROR(VLOOKUP($M13503,'Informations sur les produits'!$A$3:$H$10000,8,FALSE),"0")</f>
        <v>0</v>
      </c>
      <c r="P13503" s="33">
        <f t="shared" si="840"/>
        <v>0</v>
      </c>
      <c r="Q13503" s="31" t="str">
        <f t="shared" si="841"/>
        <v/>
      </c>
      <c r="R13503" s="32" t="str">
        <f>IFERROR(VLOOKUP($D13503,'Informations sur les produits'!$A$3:$B$15000,2,FALSE),"")</f>
        <v/>
      </c>
      <c r="V13503">
        <f t="shared" si="842"/>
        <v>0</v>
      </c>
      <c r="W13503">
        <f t="shared" si="843"/>
        <v>0</v>
      </c>
    </row>
    <row r="13504" spans="5:23" x14ac:dyDescent="0.25">
      <c r="E13504" s="4"/>
      <c r="F13504" s="4"/>
      <c r="G13504" s="33" t="str">
        <f>IFERROR(VLOOKUP($D13504,'Informations sur les produits'!$A$3:$H$10000,8,FALSE),"0")</f>
        <v>0</v>
      </c>
      <c r="K13504" s="4"/>
      <c r="L13504" s="33" t="str">
        <f>IFERROR(VLOOKUP($J13504,'Informations sur les produits'!$A$3:$H$10000,8,FALSE),"0")</f>
        <v>0</v>
      </c>
      <c r="N13504" s="8"/>
      <c r="O13504" s="33" t="str">
        <f>IFERROR(VLOOKUP($M13504,'Informations sur les produits'!$A$3:$H$10000,8,FALSE),"0")</f>
        <v>0</v>
      </c>
      <c r="P13504" s="33">
        <f t="shared" si="840"/>
        <v>0</v>
      </c>
      <c r="Q13504" s="31" t="str">
        <f t="shared" si="841"/>
        <v/>
      </c>
      <c r="R13504" s="32" t="str">
        <f>IFERROR(VLOOKUP($D13504,'Informations sur les produits'!$A$3:$B$15000,2,FALSE),"")</f>
        <v/>
      </c>
      <c r="V13504">
        <f t="shared" si="842"/>
        <v>0</v>
      </c>
      <c r="W13504">
        <f t="shared" si="843"/>
        <v>0</v>
      </c>
    </row>
    <row r="13505" spans="5:23" x14ac:dyDescent="0.25">
      <c r="E13505" s="4"/>
      <c r="F13505" s="4"/>
      <c r="G13505" s="33" t="str">
        <f>IFERROR(VLOOKUP($D13505,'Informations sur les produits'!$A$3:$H$10000,8,FALSE),"0")</f>
        <v>0</v>
      </c>
      <c r="K13505" s="4"/>
      <c r="L13505" s="33" t="str">
        <f>IFERROR(VLOOKUP($J13505,'Informations sur les produits'!$A$3:$H$10000,8,FALSE),"0")</f>
        <v>0</v>
      </c>
      <c r="N13505" s="8"/>
      <c r="O13505" s="33" t="str">
        <f>IFERROR(VLOOKUP($M13505,'Informations sur les produits'!$A$3:$H$10000,8,FALSE),"0")</f>
        <v>0</v>
      </c>
      <c r="P13505" s="33">
        <f t="shared" si="840"/>
        <v>0</v>
      </c>
      <c r="Q13505" s="31" t="str">
        <f t="shared" si="841"/>
        <v/>
      </c>
      <c r="R13505" s="32" t="str">
        <f>IFERROR(VLOOKUP($D13505,'Informations sur les produits'!$A$3:$B$15000,2,FALSE),"")</f>
        <v/>
      </c>
      <c r="V13505">
        <f t="shared" si="842"/>
        <v>0</v>
      </c>
      <c r="W13505">
        <f t="shared" si="843"/>
        <v>0</v>
      </c>
    </row>
    <row r="13506" spans="5:23" x14ac:dyDescent="0.25">
      <c r="E13506" s="4"/>
      <c r="F13506" s="4"/>
      <c r="G13506" s="33" t="str">
        <f>IFERROR(VLOOKUP($D13506,'Informations sur les produits'!$A$3:$H$10000,8,FALSE),"0")</f>
        <v>0</v>
      </c>
      <c r="K13506" s="4"/>
      <c r="L13506" s="33" t="str">
        <f>IFERROR(VLOOKUP($J13506,'Informations sur les produits'!$A$3:$H$10000,8,FALSE),"0")</f>
        <v>0</v>
      </c>
      <c r="N13506" s="8"/>
      <c r="O13506" s="33" t="str">
        <f>IFERROR(VLOOKUP($M13506,'Informations sur les produits'!$A$3:$H$10000,8,FALSE),"0")</f>
        <v>0</v>
      </c>
      <c r="P13506" s="33">
        <f t="shared" si="840"/>
        <v>0</v>
      </c>
      <c r="Q13506" s="31" t="str">
        <f t="shared" si="841"/>
        <v/>
      </c>
      <c r="R13506" s="32" t="str">
        <f>IFERROR(VLOOKUP($D13506,'Informations sur les produits'!$A$3:$B$15000,2,FALSE),"")</f>
        <v/>
      </c>
      <c r="V13506">
        <f t="shared" si="842"/>
        <v>0</v>
      </c>
      <c r="W13506">
        <f t="shared" si="843"/>
        <v>0</v>
      </c>
    </row>
    <row r="13507" spans="5:23" x14ac:dyDescent="0.25">
      <c r="E13507" s="4"/>
      <c r="F13507" s="4"/>
      <c r="G13507" s="33" t="str">
        <f>IFERROR(VLOOKUP($D13507,'Informations sur les produits'!$A$3:$H$10000,8,FALSE),"0")</f>
        <v>0</v>
      </c>
      <c r="K13507" s="4"/>
      <c r="L13507" s="33" t="str">
        <f>IFERROR(VLOOKUP($J13507,'Informations sur les produits'!$A$3:$H$10000,8,FALSE),"0")</f>
        <v>0</v>
      </c>
      <c r="N13507" s="8"/>
      <c r="O13507" s="33" t="str">
        <f>IFERROR(VLOOKUP($M13507,'Informations sur les produits'!$A$3:$H$10000,8,FALSE),"0")</f>
        <v>0</v>
      </c>
      <c r="P13507" s="33">
        <f t="shared" si="840"/>
        <v>0</v>
      </c>
      <c r="Q13507" s="31" t="str">
        <f t="shared" si="841"/>
        <v/>
      </c>
      <c r="R13507" s="32" t="str">
        <f>IFERROR(VLOOKUP($D13507,'Informations sur les produits'!$A$3:$B$15000,2,FALSE),"")</f>
        <v/>
      </c>
      <c r="V13507">
        <f t="shared" si="842"/>
        <v>0</v>
      </c>
      <c r="W13507">
        <f t="shared" si="843"/>
        <v>0</v>
      </c>
    </row>
    <row r="13508" spans="5:23" x14ac:dyDescent="0.25">
      <c r="E13508" s="4"/>
      <c r="F13508" s="4"/>
      <c r="G13508" s="33" t="str">
        <f>IFERROR(VLOOKUP($D13508,'Informations sur les produits'!$A$3:$H$10000,8,FALSE),"0")</f>
        <v>0</v>
      </c>
      <c r="K13508" s="4"/>
      <c r="L13508" s="33" t="str">
        <f>IFERROR(VLOOKUP($J13508,'Informations sur les produits'!$A$3:$H$10000,8,FALSE),"0")</f>
        <v>0</v>
      </c>
      <c r="N13508" s="8"/>
      <c r="O13508" s="33" t="str">
        <f>IFERROR(VLOOKUP($M13508,'Informations sur les produits'!$A$3:$H$10000,8,FALSE),"0")</f>
        <v>0</v>
      </c>
      <c r="P13508" s="33">
        <f t="shared" ref="P13508:P13571" si="844">IFERROR((($E13508-$F13508)*$G13508+$K13508*$L13508+$N13508*$O13508),"")</f>
        <v>0</v>
      </c>
      <c r="Q13508" s="31" t="str">
        <f t="shared" ref="Q13508:Q13571" si="845">IFERROR((((($E13508-$F13508)*$G13508+$K13508*$L13508+$N13508*$O13508)*1000)/(($E13508-$F13508)+$K13508+$N13508)),"")</f>
        <v/>
      </c>
      <c r="R13508" s="32" t="str">
        <f>IFERROR(VLOOKUP($D13508,'Informations sur les produits'!$A$3:$B$15000,2,FALSE),"")</f>
        <v/>
      </c>
      <c r="V13508">
        <f t="shared" ref="V13508:V13571" si="846">IFERROR(P13508*1000,"")</f>
        <v>0</v>
      </c>
      <c r="W13508">
        <f t="shared" ref="W13508:W13571" si="847">IFERROR(($E13508-$F13508)+$K13508+$N13508,"")</f>
        <v>0</v>
      </c>
    </row>
    <row r="13509" spans="5:23" x14ac:dyDescent="0.25">
      <c r="E13509" s="4"/>
      <c r="F13509" s="4"/>
      <c r="G13509" s="33" t="str">
        <f>IFERROR(VLOOKUP($D13509,'Informations sur les produits'!$A$3:$H$10000,8,FALSE),"0")</f>
        <v>0</v>
      </c>
      <c r="K13509" s="4"/>
      <c r="L13509" s="33" t="str">
        <f>IFERROR(VLOOKUP($J13509,'Informations sur les produits'!$A$3:$H$10000,8,FALSE),"0")</f>
        <v>0</v>
      </c>
      <c r="N13509" s="8"/>
      <c r="O13509" s="33" t="str">
        <f>IFERROR(VLOOKUP($M13509,'Informations sur les produits'!$A$3:$H$10000,8,FALSE),"0")</f>
        <v>0</v>
      </c>
      <c r="P13509" s="33">
        <f t="shared" si="844"/>
        <v>0</v>
      </c>
      <c r="Q13509" s="31" t="str">
        <f t="shared" si="845"/>
        <v/>
      </c>
      <c r="R13509" s="32" t="str">
        <f>IFERROR(VLOOKUP($D13509,'Informations sur les produits'!$A$3:$B$15000,2,FALSE),"")</f>
        <v/>
      </c>
      <c r="V13509">
        <f t="shared" si="846"/>
        <v>0</v>
      </c>
      <c r="W13509">
        <f t="shared" si="847"/>
        <v>0</v>
      </c>
    </row>
    <row r="13510" spans="5:23" x14ac:dyDescent="0.25">
      <c r="E13510" s="4"/>
      <c r="F13510" s="4"/>
      <c r="G13510" s="33" t="str">
        <f>IFERROR(VLOOKUP($D13510,'Informations sur les produits'!$A$3:$H$10000,8,FALSE),"0")</f>
        <v>0</v>
      </c>
      <c r="K13510" s="4"/>
      <c r="L13510" s="33" t="str">
        <f>IFERROR(VLOOKUP($J13510,'Informations sur les produits'!$A$3:$H$10000,8,FALSE),"0")</f>
        <v>0</v>
      </c>
      <c r="N13510" s="8"/>
      <c r="O13510" s="33" t="str">
        <f>IFERROR(VLOOKUP($M13510,'Informations sur les produits'!$A$3:$H$10000,8,FALSE),"0")</f>
        <v>0</v>
      </c>
      <c r="P13510" s="33">
        <f t="shared" si="844"/>
        <v>0</v>
      </c>
      <c r="Q13510" s="31" t="str">
        <f t="shared" si="845"/>
        <v/>
      </c>
      <c r="R13510" s="32" t="str">
        <f>IFERROR(VLOOKUP($D13510,'Informations sur les produits'!$A$3:$B$15000,2,FALSE),"")</f>
        <v/>
      </c>
      <c r="V13510">
        <f t="shared" si="846"/>
        <v>0</v>
      </c>
      <c r="W13510">
        <f t="shared" si="847"/>
        <v>0</v>
      </c>
    </row>
    <row r="13511" spans="5:23" x14ac:dyDescent="0.25">
      <c r="E13511" s="4"/>
      <c r="F13511" s="4"/>
      <c r="G13511" s="33" t="str">
        <f>IFERROR(VLOOKUP($D13511,'Informations sur les produits'!$A$3:$H$10000,8,FALSE),"0")</f>
        <v>0</v>
      </c>
      <c r="K13511" s="4"/>
      <c r="L13511" s="33" t="str">
        <f>IFERROR(VLOOKUP($J13511,'Informations sur les produits'!$A$3:$H$10000,8,FALSE),"0")</f>
        <v>0</v>
      </c>
      <c r="N13511" s="8"/>
      <c r="O13511" s="33" t="str">
        <f>IFERROR(VLOOKUP($M13511,'Informations sur les produits'!$A$3:$H$10000,8,FALSE),"0")</f>
        <v>0</v>
      </c>
      <c r="P13511" s="33">
        <f t="shared" si="844"/>
        <v>0</v>
      </c>
      <c r="Q13511" s="31" t="str">
        <f t="shared" si="845"/>
        <v/>
      </c>
      <c r="R13511" s="32" t="str">
        <f>IFERROR(VLOOKUP($D13511,'Informations sur les produits'!$A$3:$B$15000,2,FALSE),"")</f>
        <v/>
      </c>
      <c r="V13511">
        <f t="shared" si="846"/>
        <v>0</v>
      </c>
      <c r="W13511">
        <f t="shared" si="847"/>
        <v>0</v>
      </c>
    </row>
    <row r="13512" spans="5:23" x14ac:dyDescent="0.25">
      <c r="E13512" s="4"/>
      <c r="F13512" s="4"/>
      <c r="G13512" s="33" t="str">
        <f>IFERROR(VLOOKUP($D13512,'Informations sur les produits'!$A$3:$H$10000,8,FALSE),"0")</f>
        <v>0</v>
      </c>
      <c r="K13512" s="4"/>
      <c r="L13512" s="33" t="str">
        <f>IFERROR(VLOOKUP($J13512,'Informations sur les produits'!$A$3:$H$10000,8,FALSE),"0")</f>
        <v>0</v>
      </c>
      <c r="N13512" s="8"/>
      <c r="O13512" s="33" t="str">
        <f>IFERROR(VLOOKUP($M13512,'Informations sur les produits'!$A$3:$H$10000,8,FALSE),"0")</f>
        <v>0</v>
      </c>
      <c r="P13512" s="33">
        <f t="shared" si="844"/>
        <v>0</v>
      </c>
      <c r="Q13512" s="31" t="str">
        <f t="shared" si="845"/>
        <v/>
      </c>
      <c r="R13512" s="32" t="str">
        <f>IFERROR(VLOOKUP($D13512,'Informations sur les produits'!$A$3:$B$15000,2,FALSE),"")</f>
        <v/>
      </c>
      <c r="V13512">
        <f t="shared" si="846"/>
        <v>0</v>
      </c>
      <c r="W13512">
        <f t="shared" si="847"/>
        <v>0</v>
      </c>
    </row>
    <row r="13513" spans="5:23" x14ac:dyDescent="0.25">
      <c r="E13513" s="4"/>
      <c r="F13513" s="4"/>
      <c r="G13513" s="33" t="str">
        <f>IFERROR(VLOOKUP($D13513,'Informations sur les produits'!$A$3:$H$10000,8,FALSE),"0")</f>
        <v>0</v>
      </c>
      <c r="K13513" s="4"/>
      <c r="L13513" s="33" t="str">
        <f>IFERROR(VLOOKUP($J13513,'Informations sur les produits'!$A$3:$H$10000,8,FALSE),"0")</f>
        <v>0</v>
      </c>
      <c r="N13513" s="8"/>
      <c r="O13513" s="33" t="str">
        <f>IFERROR(VLOOKUP($M13513,'Informations sur les produits'!$A$3:$H$10000,8,FALSE),"0")</f>
        <v>0</v>
      </c>
      <c r="P13513" s="33">
        <f t="shared" si="844"/>
        <v>0</v>
      </c>
      <c r="Q13513" s="31" t="str">
        <f t="shared" si="845"/>
        <v/>
      </c>
      <c r="R13513" s="32" t="str">
        <f>IFERROR(VLOOKUP($D13513,'Informations sur les produits'!$A$3:$B$15000,2,FALSE),"")</f>
        <v/>
      </c>
      <c r="V13513">
        <f t="shared" si="846"/>
        <v>0</v>
      </c>
      <c r="W13513">
        <f t="shared" si="847"/>
        <v>0</v>
      </c>
    </row>
    <row r="13514" spans="5:23" x14ac:dyDescent="0.25">
      <c r="E13514" s="4"/>
      <c r="F13514" s="4"/>
      <c r="G13514" s="33" t="str">
        <f>IFERROR(VLOOKUP($D13514,'Informations sur les produits'!$A$3:$H$10000,8,FALSE),"0")</f>
        <v>0</v>
      </c>
      <c r="K13514" s="4"/>
      <c r="L13514" s="33" t="str">
        <f>IFERROR(VLOOKUP($J13514,'Informations sur les produits'!$A$3:$H$10000,8,FALSE),"0")</f>
        <v>0</v>
      </c>
      <c r="N13514" s="8"/>
      <c r="O13514" s="33" t="str">
        <f>IFERROR(VLOOKUP($M13514,'Informations sur les produits'!$A$3:$H$10000,8,FALSE),"0")</f>
        <v>0</v>
      </c>
      <c r="P13514" s="33">
        <f t="shared" si="844"/>
        <v>0</v>
      </c>
      <c r="Q13514" s="31" t="str">
        <f t="shared" si="845"/>
        <v/>
      </c>
      <c r="R13514" s="32" t="str">
        <f>IFERROR(VLOOKUP($D13514,'Informations sur les produits'!$A$3:$B$15000,2,FALSE),"")</f>
        <v/>
      </c>
      <c r="V13514">
        <f t="shared" si="846"/>
        <v>0</v>
      </c>
      <c r="W13514">
        <f t="shared" si="847"/>
        <v>0</v>
      </c>
    </row>
    <row r="13515" spans="5:23" x14ac:dyDescent="0.25">
      <c r="E13515" s="4"/>
      <c r="F13515" s="4"/>
      <c r="G13515" s="33" t="str">
        <f>IFERROR(VLOOKUP($D13515,'Informations sur les produits'!$A$3:$H$10000,8,FALSE),"0")</f>
        <v>0</v>
      </c>
      <c r="K13515" s="4"/>
      <c r="L13515" s="33" t="str">
        <f>IFERROR(VLOOKUP($J13515,'Informations sur les produits'!$A$3:$H$10000,8,FALSE),"0")</f>
        <v>0</v>
      </c>
      <c r="N13515" s="8"/>
      <c r="O13515" s="33" t="str">
        <f>IFERROR(VLOOKUP($M13515,'Informations sur les produits'!$A$3:$H$10000,8,FALSE),"0")</f>
        <v>0</v>
      </c>
      <c r="P13515" s="33">
        <f t="shared" si="844"/>
        <v>0</v>
      </c>
      <c r="Q13515" s="31" t="str">
        <f t="shared" si="845"/>
        <v/>
      </c>
      <c r="R13515" s="32" t="str">
        <f>IFERROR(VLOOKUP($D13515,'Informations sur les produits'!$A$3:$B$15000,2,FALSE),"")</f>
        <v/>
      </c>
      <c r="V13515">
        <f t="shared" si="846"/>
        <v>0</v>
      </c>
      <c r="W13515">
        <f t="shared" si="847"/>
        <v>0</v>
      </c>
    </row>
    <row r="13516" spans="5:23" x14ac:dyDescent="0.25">
      <c r="E13516" s="4"/>
      <c r="F13516" s="4"/>
      <c r="G13516" s="33" t="str">
        <f>IFERROR(VLOOKUP($D13516,'Informations sur les produits'!$A$3:$H$10000,8,FALSE),"0")</f>
        <v>0</v>
      </c>
      <c r="K13516" s="4"/>
      <c r="L13516" s="33" t="str">
        <f>IFERROR(VLOOKUP($J13516,'Informations sur les produits'!$A$3:$H$10000,8,FALSE),"0")</f>
        <v>0</v>
      </c>
      <c r="N13516" s="8"/>
      <c r="O13516" s="33" t="str">
        <f>IFERROR(VLOOKUP($M13516,'Informations sur les produits'!$A$3:$H$10000,8,FALSE),"0")</f>
        <v>0</v>
      </c>
      <c r="P13516" s="33">
        <f t="shared" si="844"/>
        <v>0</v>
      </c>
      <c r="Q13516" s="31" t="str">
        <f t="shared" si="845"/>
        <v/>
      </c>
      <c r="R13516" s="32" t="str">
        <f>IFERROR(VLOOKUP($D13516,'Informations sur les produits'!$A$3:$B$15000,2,FALSE),"")</f>
        <v/>
      </c>
      <c r="V13516">
        <f t="shared" si="846"/>
        <v>0</v>
      </c>
      <c r="W13516">
        <f t="shared" si="847"/>
        <v>0</v>
      </c>
    </row>
    <row r="13517" spans="5:23" x14ac:dyDescent="0.25">
      <c r="E13517" s="4"/>
      <c r="F13517" s="4"/>
      <c r="G13517" s="33" t="str">
        <f>IFERROR(VLOOKUP($D13517,'Informations sur les produits'!$A$3:$H$10000,8,FALSE),"0")</f>
        <v>0</v>
      </c>
      <c r="K13517" s="4"/>
      <c r="L13517" s="33" t="str">
        <f>IFERROR(VLOOKUP($J13517,'Informations sur les produits'!$A$3:$H$10000,8,FALSE),"0")</f>
        <v>0</v>
      </c>
      <c r="N13517" s="8"/>
      <c r="O13517" s="33" t="str">
        <f>IFERROR(VLOOKUP($M13517,'Informations sur les produits'!$A$3:$H$10000,8,FALSE),"0")</f>
        <v>0</v>
      </c>
      <c r="P13517" s="33">
        <f t="shared" si="844"/>
        <v>0</v>
      </c>
      <c r="Q13517" s="31" t="str">
        <f t="shared" si="845"/>
        <v/>
      </c>
      <c r="R13517" s="32" t="str">
        <f>IFERROR(VLOOKUP($D13517,'Informations sur les produits'!$A$3:$B$15000,2,FALSE),"")</f>
        <v/>
      </c>
      <c r="V13517">
        <f t="shared" si="846"/>
        <v>0</v>
      </c>
      <c r="W13517">
        <f t="shared" si="847"/>
        <v>0</v>
      </c>
    </row>
    <row r="13518" spans="5:23" x14ac:dyDescent="0.25">
      <c r="E13518" s="4"/>
      <c r="F13518" s="4"/>
      <c r="G13518" s="33" t="str">
        <f>IFERROR(VLOOKUP($D13518,'Informations sur les produits'!$A$3:$H$10000,8,FALSE),"0")</f>
        <v>0</v>
      </c>
      <c r="K13518" s="4"/>
      <c r="L13518" s="33" t="str">
        <f>IFERROR(VLOOKUP($J13518,'Informations sur les produits'!$A$3:$H$10000,8,FALSE),"0")</f>
        <v>0</v>
      </c>
      <c r="N13518" s="8"/>
      <c r="O13518" s="33" t="str">
        <f>IFERROR(VLOOKUP($M13518,'Informations sur les produits'!$A$3:$H$10000,8,FALSE),"0")</f>
        <v>0</v>
      </c>
      <c r="P13518" s="33">
        <f t="shared" si="844"/>
        <v>0</v>
      </c>
      <c r="Q13518" s="31" t="str">
        <f t="shared" si="845"/>
        <v/>
      </c>
      <c r="R13518" s="32" t="str">
        <f>IFERROR(VLOOKUP($D13518,'Informations sur les produits'!$A$3:$B$15000,2,FALSE),"")</f>
        <v/>
      </c>
      <c r="V13518">
        <f t="shared" si="846"/>
        <v>0</v>
      </c>
      <c r="W13518">
        <f t="shared" si="847"/>
        <v>0</v>
      </c>
    </row>
    <row r="13519" spans="5:23" x14ac:dyDescent="0.25">
      <c r="E13519" s="4"/>
      <c r="F13519" s="4"/>
      <c r="G13519" s="33" t="str">
        <f>IFERROR(VLOOKUP($D13519,'Informations sur les produits'!$A$3:$H$10000,8,FALSE),"0")</f>
        <v>0</v>
      </c>
      <c r="K13519" s="4"/>
      <c r="L13519" s="33" t="str">
        <f>IFERROR(VLOOKUP($J13519,'Informations sur les produits'!$A$3:$H$10000,8,FALSE),"0")</f>
        <v>0</v>
      </c>
      <c r="N13519" s="8"/>
      <c r="O13519" s="33" t="str">
        <f>IFERROR(VLOOKUP($M13519,'Informations sur les produits'!$A$3:$H$10000,8,FALSE),"0")</f>
        <v>0</v>
      </c>
      <c r="P13519" s="33">
        <f t="shared" si="844"/>
        <v>0</v>
      </c>
      <c r="Q13519" s="31" t="str">
        <f t="shared" si="845"/>
        <v/>
      </c>
      <c r="R13519" s="32" t="str">
        <f>IFERROR(VLOOKUP($D13519,'Informations sur les produits'!$A$3:$B$15000,2,FALSE),"")</f>
        <v/>
      </c>
      <c r="V13519">
        <f t="shared" si="846"/>
        <v>0</v>
      </c>
      <c r="W13519">
        <f t="shared" si="847"/>
        <v>0</v>
      </c>
    </row>
    <row r="13520" spans="5:23" x14ac:dyDescent="0.25">
      <c r="E13520" s="4"/>
      <c r="F13520" s="4"/>
      <c r="G13520" s="33" t="str">
        <f>IFERROR(VLOOKUP($D13520,'Informations sur les produits'!$A$3:$H$10000,8,FALSE),"0")</f>
        <v>0</v>
      </c>
      <c r="K13520" s="4"/>
      <c r="L13520" s="33" t="str">
        <f>IFERROR(VLOOKUP($J13520,'Informations sur les produits'!$A$3:$H$10000,8,FALSE),"0")</f>
        <v>0</v>
      </c>
      <c r="N13520" s="8"/>
      <c r="O13520" s="33" t="str">
        <f>IFERROR(VLOOKUP($M13520,'Informations sur les produits'!$A$3:$H$10000,8,FALSE),"0")</f>
        <v>0</v>
      </c>
      <c r="P13520" s="33">
        <f t="shared" si="844"/>
        <v>0</v>
      </c>
      <c r="Q13520" s="31" t="str">
        <f t="shared" si="845"/>
        <v/>
      </c>
      <c r="R13520" s="32" t="str">
        <f>IFERROR(VLOOKUP($D13520,'Informations sur les produits'!$A$3:$B$15000,2,FALSE),"")</f>
        <v/>
      </c>
      <c r="V13520">
        <f t="shared" si="846"/>
        <v>0</v>
      </c>
      <c r="W13520">
        <f t="shared" si="847"/>
        <v>0</v>
      </c>
    </row>
    <row r="13521" spans="5:23" x14ac:dyDescent="0.25">
      <c r="E13521" s="4"/>
      <c r="F13521" s="4"/>
      <c r="G13521" s="33" t="str">
        <f>IFERROR(VLOOKUP($D13521,'Informations sur les produits'!$A$3:$H$10000,8,FALSE),"0")</f>
        <v>0</v>
      </c>
      <c r="K13521" s="4"/>
      <c r="L13521" s="33" t="str">
        <f>IFERROR(VLOOKUP($J13521,'Informations sur les produits'!$A$3:$H$10000,8,FALSE),"0")</f>
        <v>0</v>
      </c>
      <c r="N13521" s="8"/>
      <c r="O13521" s="33" t="str">
        <f>IFERROR(VLOOKUP($M13521,'Informations sur les produits'!$A$3:$H$10000,8,FALSE),"0")</f>
        <v>0</v>
      </c>
      <c r="P13521" s="33">
        <f t="shared" si="844"/>
        <v>0</v>
      </c>
      <c r="Q13521" s="31" t="str">
        <f t="shared" si="845"/>
        <v/>
      </c>
      <c r="R13521" s="32" t="str">
        <f>IFERROR(VLOOKUP($D13521,'Informations sur les produits'!$A$3:$B$15000,2,FALSE),"")</f>
        <v/>
      </c>
      <c r="V13521">
        <f t="shared" si="846"/>
        <v>0</v>
      </c>
      <c r="W13521">
        <f t="shared" si="847"/>
        <v>0</v>
      </c>
    </row>
    <row r="13522" spans="5:23" x14ac:dyDescent="0.25">
      <c r="E13522" s="4"/>
      <c r="F13522" s="4"/>
      <c r="G13522" s="33" t="str">
        <f>IFERROR(VLOOKUP($D13522,'Informations sur les produits'!$A$3:$H$10000,8,FALSE),"0")</f>
        <v>0</v>
      </c>
      <c r="K13522" s="4"/>
      <c r="L13522" s="33" t="str">
        <f>IFERROR(VLOOKUP($J13522,'Informations sur les produits'!$A$3:$H$10000,8,FALSE),"0")</f>
        <v>0</v>
      </c>
      <c r="N13522" s="8"/>
      <c r="O13522" s="33" t="str">
        <f>IFERROR(VLOOKUP($M13522,'Informations sur les produits'!$A$3:$H$10000,8,FALSE),"0")</f>
        <v>0</v>
      </c>
      <c r="P13522" s="33">
        <f t="shared" si="844"/>
        <v>0</v>
      </c>
      <c r="Q13522" s="31" t="str">
        <f t="shared" si="845"/>
        <v/>
      </c>
      <c r="R13522" s="32" t="str">
        <f>IFERROR(VLOOKUP($D13522,'Informations sur les produits'!$A$3:$B$15000,2,FALSE),"")</f>
        <v/>
      </c>
      <c r="V13522">
        <f t="shared" si="846"/>
        <v>0</v>
      </c>
      <c r="W13522">
        <f t="shared" si="847"/>
        <v>0</v>
      </c>
    </row>
    <row r="13523" spans="5:23" x14ac:dyDescent="0.25">
      <c r="E13523" s="4"/>
      <c r="F13523" s="4"/>
      <c r="G13523" s="33" t="str">
        <f>IFERROR(VLOOKUP($D13523,'Informations sur les produits'!$A$3:$H$10000,8,FALSE),"0")</f>
        <v>0</v>
      </c>
      <c r="K13523" s="4"/>
      <c r="L13523" s="33" t="str">
        <f>IFERROR(VLOOKUP($J13523,'Informations sur les produits'!$A$3:$H$10000,8,FALSE),"0")</f>
        <v>0</v>
      </c>
      <c r="N13523" s="8"/>
      <c r="O13523" s="33" t="str">
        <f>IFERROR(VLOOKUP($M13523,'Informations sur les produits'!$A$3:$H$10000,8,FALSE),"0")</f>
        <v>0</v>
      </c>
      <c r="P13523" s="33">
        <f t="shared" si="844"/>
        <v>0</v>
      </c>
      <c r="Q13523" s="31" t="str">
        <f t="shared" si="845"/>
        <v/>
      </c>
      <c r="R13523" s="32" t="str">
        <f>IFERROR(VLOOKUP($D13523,'Informations sur les produits'!$A$3:$B$15000,2,FALSE),"")</f>
        <v/>
      </c>
      <c r="V13523">
        <f t="shared" si="846"/>
        <v>0</v>
      </c>
      <c r="W13523">
        <f t="shared" si="847"/>
        <v>0</v>
      </c>
    </row>
    <row r="13524" spans="5:23" x14ac:dyDescent="0.25">
      <c r="E13524" s="4"/>
      <c r="F13524" s="4"/>
      <c r="G13524" s="33" t="str">
        <f>IFERROR(VLOOKUP($D13524,'Informations sur les produits'!$A$3:$H$10000,8,FALSE),"0")</f>
        <v>0</v>
      </c>
      <c r="K13524" s="4"/>
      <c r="L13524" s="33" t="str">
        <f>IFERROR(VLOOKUP($J13524,'Informations sur les produits'!$A$3:$H$10000,8,FALSE),"0")</f>
        <v>0</v>
      </c>
      <c r="N13524" s="8"/>
      <c r="O13524" s="33" t="str">
        <f>IFERROR(VLOOKUP($M13524,'Informations sur les produits'!$A$3:$H$10000,8,FALSE),"0")</f>
        <v>0</v>
      </c>
      <c r="P13524" s="33">
        <f t="shared" si="844"/>
        <v>0</v>
      </c>
      <c r="Q13524" s="31" t="str">
        <f t="shared" si="845"/>
        <v/>
      </c>
      <c r="R13524" s="32" t="str">
        <f>IFERROR(VLOOKUP($D13524,'Informations sur les produits'!$A$3:$B$15000,2,FALSE),"")</f>
        <v/>
      </c>
      <c r="V13524">
        <f t="shared" si="846"/>
        <v>0</v>
      </c>
      <c r="W13524">
        <f t="shared" si="847"/>
        <v>0</v>
      </c>
    </row>
    <row r="13525" spans="5:23" x14ac:dyDescent="0.25">
      <c r="E13525" s="4"/>
      <c r="F13525" s="4"/>
      <c r="G13525" s="33" t="str">
        <f>IFERROR(VLOOKUP($D13525,'Informations sur les produits'!$A$3:$H$10000,8,FALSE),"0")</f>
        <v>0</v>
      </c>
      <c r="K13525" s="4"/>
      <c r="L13525" s="33" t="str">
        <f>IFERROR(VLOOKUP($J13525,'Informations sur les produits'!$A$3:$H$10000,8,FALSE),"0")</f>
        <v>0</v>
      </c>
      <c r="N13525" s="8"/>
      <c r="O13525" s="33" t="str">
        <f>IFERROR(VLOOKUP($M13525,'Informations sur les produits'!$A$3:$H$10000,8,FALSE),"0")</f>
        <v>0</v>
      </c>
      <c r="P13525" s="33">
        <f t="shared" si="844"/>
        <v>0</v>
      </c>
      <c r="Q13525" s="31" t="str">
        <f t="shared" si="845"/>
        <v/>
      </c>
      <c r="R13525" s="32" t="str">
        <f>IFERROR(VLOOKUP($D13525,'Informations sur les produits'!$A$3:$B$15000,2,FALSE),"")</f>
        <v/>
      </c>
      <c r="V13525">
        <f t="shared" si="846"/>
        <v>0</v>
      </c>
      <c r="W13525">
        <f t="shared" si="847"/>
        <v>0</v>
      </c>
    </row>
    <row r="13526" spans="5:23" x14ac:dyDescent="0.25">
      <c r="E13526" s="4"/>
      <c r="F13526" s="4"/>
      <c r="G13526" s="33" t="str">
        <f>IFERROR(VLOOKUP($D13526,'Informations sur les produits'!$A$3:$H$10000,8,FALSE),"0")</f>
        <v>0</v>
      </c>
      <c r="K13526" s="4"/>
      <c r="L13526" s="33" t="str">
        <f>IFERROR(VLOOKUP($J13526,'Informations sur les produits'!$A$3:$H$10000,8,FALSE),"0")</f>
        <v>0</v>
      </c>
      <c r="N13526" s="8"/>
      <c r="O13526" s="33" t="str">
        <f>IFERROR(VLOOKUP($M13526,'Informations sur les produits'!$A$3:$H$10000,8,FALSE),"0")</f>
        <v>0</v>
      </c>
      <c r="P13526" s="33">
        <f t="shared" si="844"/>
        <v>0</v>
      </c>
      <c r="Q13526" s="31" t="str">
        <f t="shared" si="845"/>
        <v/>
      </c>
      <c r="R13526" s="32" t="str">
        <f>IFERROR(VLOOKUP($D13526,'Informations sur les produits'!$A$3:$B$15000,2,FALSE),"")</f>
        <v/>
      </c>
      <c r="V13526">
        <f t="shared" si="846"/>
        <v>0</v>
      </c>
      <c r="W13526">
        <f t="shared" si="847"/>
        <v>0</v>
      </c>
    </row>
    <row r="13527" spans="5:23" x14ac:dyDescent="0.25">
      <c r="E13527" s="4"/>
      <c r="F13527" s="4"/>
      <c r="G13527" s="33" t="str">
        <f>IFERROR(VLOOKUP($D13527,'Informations sur les produits'!$A$3:$H$10000,8,FALSE),"0")</f>
        <v>0</v>
      </c>
      <c r="K13527" s="4"/>
      <c r="L13527" s="33" t="str">
        <f>IFERROR(VLOOKUP($J13527,'Informations sur les produits'!$A$3:$H$10000,8,FALSE),"0")</f>
        <v>0</v>
      </c>
      <c r="N13527" s="8"/>
      <c r="O13527" s="33" t="str">
        <f>IFERROR(VLOOKUP($M13527,'Informations sur les produits'!$A$3:$H$10000,8,FALSE),"0")</f>
        <v>0</v>
      </c>
      <c r="P13527" s="33">
        <f t="shared" si="844"/>
        <v>0</v>
      </c>
      <c r="Q13527" s="31" t="str">
        <f t="shared" si="845"/>
        <v/>
      </c>
      <c r="R13527" s="32" t="str">
        <f>IFERROR(VLOOKUP($D13527,'Informations sur les produits'!$A$3:$B$15000,2,FALSE),"")</f>
        <v/>
      </c>
      <c r="V13527">
        <f t="shared" si="846"/>
        <v>0</v>
      </c>
      <c r="W13527">
        <f t="shared" si="847"/>
        <v>0</v>
      </c>
    </row>
    <row r="13528" spans="5:23" x14ac:dyDescent="0.25">
      <c r="E13528" s="4"/>
      <c r="F13528" s="4"/>
      <c r="G13528" s="33" t="str">
        <f>IFERROR(VLOOKUP($D13528,'Informations sur les produits'!$A$3:$H$10000,8,FALSE),"0")</f>
        <v>0</v>
      </c>
      <c r="K13528" s="4"/>
      <c r="L13528" s="33" t="str">
        <f>IFERROR(VLOOKUP($J13528,'Informations sur les produits'!$A$3:$H$10000,8,FALSE),"0")</f>
        <v>0</v>
      </c>
      <c r="N13528" s="8"/>
      <c r="O13528" s="33" t="str">
        <f>IFERROR(VLOOKUP($M13528,'Informations sur les produits'!$A$3:$H$10000,8,FALSE),"0")</f>
        <v>0</v>
      </c>
      <c r="P13528" s="33">
        <f t="shared" si="844"/>
        <v>0</v>
      </c>
      <c r="Q13528" s="31" t="str">
        <f t="shared" si="845"/>
        <v/>
      </c>
      <c r="R13528" s="32" t="str">
        <f>IFERROR(VLOOKUP($D13528,'Informations sur les produits'!$A$3:$B$15000,2,FALSE),"")</f>
        <v/>
      </c>
      <c r="V13528">
        <f t="shared" si="846"/>
        <v>0</v>
      </c>
      <c r="W13528">
        <f t="shared" si="847"/>
        <v>0</v>
      </c>
    </row>
    <row r="13529" spans="5:23" x14ac:dyDescent="0.25">
      <c r="E13529" s="4"/>
      <c r="F13529" s="4"/>
      <c r="G13529" s="33" t="str">
        <f>IFERROR(VLOOKUP($D13529,'Informations sur les produits'!$A$3:$H$10000,8,FALSE),"0")</f>
        <v>0</v>
      </c>
      <c r="K13529" s="4"/>
      <c r="L13529" s="33" t="str">
        <f>IFERROR(VLOOKUP($J13529,'Informations sur les produits'!$A$3:$H$10000,8,FALSE),"0")</f>
        <v>0</v>
      </c>
      <c r="N13529" s="8"/>
      <c r="O13529" s="33" t="str">
        <f>IFERROR(VLOOKUP($M13529,'Informations sur les produits'!$A$3:$H$10000,8,FALSE),"0")</f>
        <v>0</v>
      </c>
      <c r="P13529" s="33">
        <f t="shared" si="844"/>
        <v>0</v>
      </c>
      <c r="Q13529" s="31" t="str">
        <f t="shared" si="845"/>
        <v/>
      </c>
      <c r="R13529" s="32" t="str">
        <f>IFERROR(VLOOKUP($D13529,'Informations sur les produits'!$A$3:$B$15000,2,FALSE),"")</f>
        <v/>
      </c>
      <c r="V13529">
        <f t="shared" si="846"/>
        <v>0</v>
      </c>
      <c r="W13529">
        <f t="shared" si="847"/>
        <v>0</v>
      </c>
    </row>
    <row r="13530" spans="5:23" x14ac:dyDescent="0.25">
      <c r="E13530" s="4"/>
      <c r="F13530" s="4"/>
      <c r="G13530" s="33" t="str">
        <f>IFERROR(VLOOKUP($D13530,'Informations sur les produits'!$A$3:$H$10000,8,FALSE),"0")</f>
        <v>0</v>
      </c>
      <c r="K13530" s="4"/>
      <c r="L13530" s="33" t="str">
        <f>IFERROR(VLOOKUP($J13530,'Informations sur les produits'!$A$3:$H$10000,8,FALSE),"0")</f>
        <v>0</v>
      </c>
      <c r="N13530" s="8"/>
      <c r="O13530" s="33" t="str">
        <f>IFERROR(VLOOKUP($M13530,'Informations sur les produits'!$A$3:$H$10000,8,FALSE),"0")</f>
        <v>0</v>
      </c>
      <c r="P13530" s="33">
        <f t="shared" si="844"/>
        <v>0</v>
      </c>
      <c r="Q13530" s="31" t="str">
        <f t="shared" si="845"/>
        <v/>
      </c>
      <c r="R13530" s="32" t="str">
        <f>IFERROR(VLOOKUP($D13530,'Informations sur les produits'!$A$3:$B$15000,2,FALSE),"")</f>
        <v/>
      </c>
      <c r="V13530">
        <f t="shared" si="846"/>
        <v>0</v>
      </c>
      <c r="W13530">
        <f t="shared" si="847"/>
        <v>0</v>
      </c>
    </row>
    <row r="13531" spans="5:23" x14ac:dyDescent="0.25">
      <c r="E13531" s="4"/>
      <c r="F13531" s="4"/>
      <c r="G13531" s="33" t="str">
        <f>IFERROR(VLOOKUP($D13531,'Informations sur les produits'!$A$3:$H$10000,8,FALSE),"0")</f>
        <v>0</v>
      </c>
      <c r="K13531" s="4"/>
      <c r="L13531" s="33" t="str">
        <f>IFERROR(VLOOKUP($J13531,'Informations sur les produits'!$A$3:$H$10000,8,FALSE),"0")</f>
        <v>0</v>
      </c>
      <c r="N13531" s="8"/>
      <c r="O13531" s="33" t="str">
        <f>IFERROR(VLOOKUP($M13531,'Informations sur les produits'!$A$3:$H$10000,8,FALSE),"0")</f>
        <v>0</v>
      </c>
      <c r="P13531" s="33">
        <f t="shared" si="844"/>
        <v>0</v>
      </c>
      <c r="Q13531" s="31" t="str">
        <f t="shared" si="845"/>
        <v/>
      </c>
      <c r="R13531" s="32" t="str">
        <f>IFERROR(VLOOKUP($D13531,'Informations sur les produits'!$A$3:$B$15000,2,FALSE),"")</f>
        <v/>
      </c>
      <c r="V13531">
        <f t="shared" si="846"/>
        <v>0</v>
      </c>
      <c r="W13531">
        <f t="shared" si="847"/>
        <v>0</v>
      </c>
    </row>
    <row r="13532" spans="5:23" x14ac:dyDescent="0.25">
      <c r="E13532" s="4"/>
      <c r="F13532" s="4"/>
      <c r="G13532" s="33" t="str">
        <f>IFERROR(VLOOKUP($D13532,'Informations sur les produits'!$A$3:$H$10000,8,FALSE),"0")</f>
        <v>0</v>
      </c>
      <c r="K13532" s="4"/>
      <c r="L13532" s="33" t="str">
        <f>IFERROR(VLOOKUP($J13532,'Informations sur les produits'!$A$3:$H$10000,8,FALSE),"0")</f>
        <v>0</v>
      </c>
      <c r="N13532" s="8"/>
      <c r="O13532" s="33" t="str">
        <f>IFERROR(VLOOKUP($M13532,'Informations sur les produits'!$A$3:$H$10000,8,FALSE),"0")</f>
        <v>0</v>
      </c>
      <c r="P13532" s="33">
        <f t="shared" si="844"/>
        <v>0</v>
      </c>
      <c r="Q13532" s="31" t="str">
        <f t="shared" si="845"/>
        <v/>
      </c>
      <c r="R13532" s="32" t="str">
        <f>IFERROR(VLOOKUP($D13532,'Informations sur les produits'!$A$3:$B$15000,2,FALSE),"")</f>
        <v/>
      </c>
      <c r="V13532">
        <f t="shared" si="846"/>
        <v>0</v>
      </c>
      <c r="W13532">
        <f t="shared" si="847"/>
        <v>0</v>
      </c>
    </row>
    <row r="13533" spans="5:23" x14ac:dyDescent="0.25">
      <c r="E13533" s="4"/>
      <c r="F13533" s="4"/>
      <c r="G13533" s="33" t="str">
        <f>IFERROR(VLOOKUP($D13533,'Informations sur les produits'!$A$3:$H$10000,8,FALSE),"0")</f>
        <v>0</v>
      </c>
      <c r="K13533" s="4"/>
      <c r="L13533" s="33" t="str">
        <f>IFERROR(VLOOKUP($J13533,'Informations sur les produits'!$A$3:$H$10000,8,FALSE),"0")</f>
        <v>0</v>
      </c>
      <c r="N13533" s="8"/>
      <c r="O13533" s="33" t="str">
        <f>IFERROR(VLOOKUP($M13533,'Informations sur les produits'!$A$3:$H$10000,8,FALSE),"0")</f>
        <v>0</v>
      </c>
      <c r="P13533" s="33">
        <f t="shared" si="844"/>
        <v>0</v>
      </c>
      <c r="Q13533" s="31" t="str">
        <f t="shared" si="845"/>
        <v/>
      </c>
      <c r="R13533" s="32" t="str">
        <f>IFERROR(VLOOKUP($D13533,'Informations sur les produits'!$A$3:$B$15000,2,FALSE),"")</f>
        <v/>
      </c>
      <c r="V13533">
        <f t="shared" si="846"/>
        <v>0</v>
      </c>
      <c r="W13533">
        <f t="shared" si="847"/>
        <v>0</v>
      </c>
    </row>
    <row r="13534" spans="5:23" x14ac:dyDescent="0.25">
      <c r="E13534" s="4"/>
      <c r="F13534" s="4"/>
      <c r="G13534" s="33" t="str">
        <f>IFERROR(VLOOKUP($D13534,'Informations sur les produits'!$A$3:$H$10000,8,FALSE),"0")</f>
        <v>0</v>
      </c>
      <c r="K13534" s="4"/>
      <c r="L13534" s="33" t="str">
        <f>IFERROR(VLOOKUP($J13534,'Informations sur les produits'!$A$3:$H$10000,8,FALSE),"0")</f>
        <v>0</v>
      </c>
      <c r="N13534" s="8"/>
      <c r="O13534" s="33" t="str">
        <f>IFERROR(VLOOKUP($M13534,'Informations sur les produits'!$A$3:$H$10000,8,FALSE),"0")</f>
        <v>0</v>
      </c>
      <c r="P13534" s="33">
        <f t="shared" si="844"/>
        <v>0</v>
      </c>
      <c r="Q13534" s="31" t="str">
        <f t="shared" si="845"/>
        <v/>
      </c>
      <c r="R13534" s="32" t="str">
        <f>IFERROR(VLOOKUP($D13534,'Informations sur les produits'!$A$3:$B$15000,2,FALSE),"")</f>
        <v/>
      </c>
      <c r="V13534">
        <f t="shared" si="846"/>
        <v>0</v>
      </c>
      <c r="W13534">
        <f t="shared" si="847"/>
        <v>0</v>
      </c>
    </row>
    <row r="13535" spans="5:23" x14ac:dyDescent="0.25">
      <c r="E13535" s="4"/>
      <c r="F13535" s="4"/>
      <c r="G13535" s="33" t="str">
        <f>IFERROR(VLOOKUP($D13535,'Informations sur les produits'!$A$3:$H$10000,8,FALSE),"0")</f>
        <v>0</v>
      </c>
      <c r="K13535" s="4"/>
      <c r="L13535" s="33" t="str">
        <f>IFERROR(VLOOKUP($J13535,'Informations sur les produits'!$A$3:$H$10000,8,FALSE),"0")</f>
        <v>0</v>
      </c>
      <c r="N13535" s="8"/>
      <c r="O13535" s="33" t="str">
        <f>IFERROR(VLOOKUP($M13535,'Informations sur les produits'!$A$3:$H$10000,8,FALSE),"0")</f>
        <v>0</v>
      </c>
      <c r="P13535" s="33">
        <f t="shared" si="844"/>
        <v>0</v>
      </c>
      <c r="Q13535" s="31" t="str">
        <f t="shared" si="845"/>
        <v/>
      </c>
      <c r="R13535" s="32" t="str">
        <f>IFERROR(VLOOKUP($D13535,'Informations sur les produits'!$A$3:$B$15000,2,FALSE),"")</f>
        <v/>
      </c>
      <c r="V13535">
        <f t="shared" si="846"/>
        <v>0</v>
      </c>
      <c r="W13535">
        <f t="shared" si="847"/>
        <v>0</v>
      </c>
    </row>
    <row r="13536" spans="5:23" x14ac:dyDescent="0.25">
      <c r="E13536" s="4"/>
      <c r="F13536" s="4"/>
      <c r="G13536" s="33" t="str">
        <f>IFERROR(VLOOKUP($D13536,'Informations sur les produits'!$A$3:$H$10000,8,FALSE),"0")</f>
        <v>0</v>
      </c>
      <c r="K13536" s="4"/>
      <c r="L13536" s="33" t="str">
        <f>IFERROR(VLOOKUP($J13536,'Informations sur les produits'!$A$3:$H$10000,8,FALSE),"0")</f>
        <v>0</v>
      </c>
      <c r="N13536" s="8"/>
      <c r="O13536" s="33" t="str">
        <f>IFERROR(VLOOKUP($M13536,'Informations sur les produits'!$A$3:$H$10000,8,FALSE),"0")</f>
        <v>0</v>
      </c>
      <c r="P13536" s="33">
        <f t="shared" si="844"/>
        <v>0</v>
      </c>
      <c r="Q13536" s="31" t="str">
        <f t="shared" si="845"/>
        <v/>
      </c>
      <c r="R13536" s="32" t="str">
        <f>IFERROR(VLOOKUP($D13536,'Informations sur les produits'!$A$3:$B$15000,2,FALSE),"")</f>
        <v/>
      </c>
      <c r="V13536">
        <f t="shared" si="846"/>
        <v>0</v>
      </c>
      <c r="W13536">
        <f t="shared" si="847"/>
        <v>0</v>
      </c>
    </row>
    <row r="13537" spans="5:23" x14ac:dyDescent="0.25">
      <c r="E13537" s="4"/>
      <c r="F13537" s="4"/>
      <c r="G13537" s="33" t="str">
        <f>IFERROR(VLOOKUP($D13537,'Informations sur les produits'!$A$3:$H$10000,8,FALSE),"0")</f>
        <v>0</v>
      </c>
      <c r="K13537" s="4"/>
      <c r="L13537" s="33" t="str">
        <f>IFERROR(VLOOKUP($J13537,'Informations sur les produits'!$A$3:$H$10000,8,FALSE),"0")</f>
        <v>0</v>
      </c>
      <c r="N13537" s="8"/>
      <c r="O13537" s="33" t="str">
        <f>IFERROR(VLOOKUP($M13537,'Informations sur les produits'!$A$3:$H$10000,8,FALSE),"0")</f>
        <v>0</v>
      </c>
      <c r="P13537" s="33">
        <f t="shared" si="844"/>
        <v>0</v>
      </c>
      <c r="Q13537" s="31" t="str">
        <f t="shared" si="845"/>
        <v/>
      </c>
      <c r="R13537" s="32" t="str">
        <f>IFERROR(VLOOKUP($D13537,'Informations sur les produits'!$A$3:$B$15000,2,FALSE),"")</f>
        <v/>
      </c>
      <c r="V13537">
        <f t="shared" si="846"/>
        <v>0</v>
      </c>
      <c r="W13537">
        <f t="shared" si="847"/>
        <v>0</v>
      </c>
    </row>
    <row r="13538" spans="5:23" x14ac:dyDescent="0.25">
      <c r="E13538" s="4"/>
      <c r="F13538" s="4"/>
      <c r="G13538" s="33" t="str">
        <f>IFERROR(VLOOKUP($D13538,'Informations sur les produits'!$A$3:$H$10000,8,FALSE),"0")</f>
        <v>0</v>
      </c>
      <c r="K13538" s="4"/>
      <c r="L13538" s="33" t="str">
        <f>IFERROR(VLOOKUP($J13538,'Informations sur les produits'!$A$3:$H$10000,8,FALSE),"0")</f>
        <v>0</v>
      </c>
      <c r="N13538" s="8"/>
      <c r="O13538" s="33" t="str">
        <f>IFERROR(VLOOKUP($M13538,'Informations sur les produits'!$A$3:$H$10000,8,FALSE),"0")</f>
        <v>0</v>
      </c>
      <c r="P13538" s="33">
        <f t="shared" si="844"/>
        <v>0</v>
      </c>
      <c r="Q13538" s="31" t="str">
        <f t="shared" si="845"/>
        <v/>
      </c>
      <c r="R13538" s="32" t="str">
        <f>IFERROR(VLOOKUP($D13538,'Informations sur les produits'!$A$3:$B$15000,2,FALSE),"")</f>
        <v/>
      </c>
      <c r="V13538">
        <f t="shared" si="846"/>
        <v>0</v>
      </c>
      <c r="W13538">
        <f t="shared" si="847"/>
        <v>0</v>
      </c>
    </row>
    <row r="13539" spans="5:23" x14ac:dyDescent="0.25">
      <c r="E13539" s="4"/>
      <c r="F13539" s="4"/>
      <c r="G13539" s="33" t="str">
        <f>IFERROR(VLOOKUP($D13539,'Informations sur les produits'!$A$3:$H$10000,8,FALSE),"0")</f>
        <v>0</v>
      </c>
      <c r="K13539" s="4"/>
      <c r="L13539" s="33" t="str">
        <f>IFERROR(VLOOKUP($J13539,'Informations sur les produits'!$A$3:$H$10000,8,FALSE),"0")</f>
        <v>0</v>
      </c>
      <c r="N13539" s="8"/>
      <c r="O13539" s="33" t="str">
        <f>IFERROR(VLOOKUP($M13539,'Informations sur les produits'!$A$3:$H$10000,8,FALSE),"0")</f>
        <v>0</v>
      </c>
      <c r="P13539" s="33">
        <f t="shared" si="844"/>
        <v>0</v>
      </c>
      <c r="Q13539" s="31" t="str">
        <f t="shared" si="845"/>
        <v/>
      </c>
      <c r="R13539" s="32" t="str">
        <f>IFERROR(VLOOKUP($D13539,'Informations sur les produits'!$A$3:$B$15000,2,FALSE),"")</f>
        <v/>
      </c>
      <c r="V13539">
        <f t="shared" si="846"/>
        <v>0</v>
      </c>
      <c r="W13539">
        <f t="shared" si="847"/>
        <v>0</v>
      </c>
    </row>
    <row r="13540" spans="5:23" x14ac:dyDescent="0.25">
      <c r="E13540" s="4"/>
      <c r="F13540" s="4"/>
      <c r="G13540" s="33" t="str">
        <f>IFERROR(VLOOKUP($D13540,'Informations sur les produits'!$A$3:$H$10000,8,FALSE),"0")</f>
        <v>0</v>
      </c>
      <c r="K13540" s="4"/>
      <c r="L13540" s="33" t="str">
        <f>IFERROR(VLOOKUP($J13540,'Informations sur les produits'!$A$3:$H$10000,8,FALSE),"0")</f>
        <v>0</v>
      </c>
      <c r="N13540" s="8"/>
      <c r="O13540" s="33" t="str">
        <f>IFERROR(VLOOKUP($M13540,'Informations sur les produits'!$A$3:$H$10000,8,FALSE),"0")</f>
        <v>0</v>
      </c>
      <c r="P13540" s="33">
        <f t="shared" si="844"/>
        <v>0</v>
      </c>
      <c r="Q13540" s="31" t="str">
        <f t="shared" si="845"/>
        <v/>
      </c>
      <c r="R13540" s="32" t="str">
        <f>IFERROR(VLOOKUP($D13540,'Informations sur les produits'!$A$3:$B$15000,2,FALSE),"")</f>
        <v/>
      </c>
      <c r="V13540">
        <f t="shared" si="846"/>
        <v>0</v>
      </c>
      <c r="W13540">
        <f t="shared" si="847"/>
        <v>0</v>
      </c>
    </row>
    <row r="13541" spans="5:23" x14ac:dyDescent="0.25">
      <c r="E13541" s="4"/>
      <c r="F13541" s="4"/>
      <c r="G13541" s="33" t="str">
        <f>IFERROR(VLOOKUP($D13541,'Informations sur les produits'!$A$3:$H$10000,8,FALSE),"0")</f>
        <v>0</v>
      </c>
      <c r="K13541" s="4"/>
      <c r="L13541" s="33" t="str">
        <f>IFERROR(VLOOKUP($J13541,'Informations sur les produits'!$A$3:$H$10000,8,FALSE),"0")</f>
        <v>0</v>
      </c>
      <c r="N13541" s="8"/>
      <c r="O13541" s="33" t="str">
        <f>IFERROR(VLOOKUP($M13541,'Informations sur les produits'!$A$3:$H$10000,8,FALSE),"0")</f>
        <v>0</v>
      </c>
      <c r="P13541" s="33">
        <f t="shared" si="844"/>
        <v>0</v>
      </c>
      <c r="Q13541" s="31" t="str">
        <f t="shared" si="845"/>
        <v/>
      </c>
      <c r="R13541" s="32" t="str">
        <f>IFERROR(VLOOKUP($D13541,'Informations sur les produits'!$A$3:$B$15000,2,FALSE),"")</f>
        <v/>
      </c>
      <c r="V13541">
        <f t="shared" si="846"/>
        <v>0</v>
      </c>
      <c r="W13541">
        <f t="shared" si="847"/>
        <v>0</v>
      </c>
    </row>
    <row r="13542" spans="5:23" x14ac:dyDescent="0.25">
      <c r="E13542" s="4"/>
      <c r="F13542" s="4"/>
      <c r="G13542" s="33" t="str">
        <f>IFERROR(VLOOKUP($D13542,'Informations sur les produits'!$A$3:$H$10000,8,FALSE),"0")</f>
        <v>0</v>
      </c>
      <c r="K13542" s="4"/>
      <c r="L13542" s="33" t="str">
        <f>IFERROR(VLOOKUP($J13542,'Informations sur les produits'!$A$3:$H$10000,8,FALSE),"0")</f>
        <v>0</v>
      </c>
      <c r="N13542" s="8"/>
      <c r="O13542" s="33" t="str">
        <f>IFERROR(VLOOKUP($M13542,'Informations sur les produits'!$A$3:$H$10000,8,FALSE),"0")</f>
        <v>0</v>
      </c>
      <c r="P13542" s="33">
        <f t="shared" si="844"/>
        <v>0</v>
      </c>
      <c r="Q13542" s="31" t="str">
        <f t="shared" si="845"/>
        <v/>
      </c>
      <c r="R13542" s="32" t="str">
        <f>IFERROR(VLOOKUP($D13542,'Informations sur les produits'!$A$3:$B$15000,2,FALSE),"")</f>
        <v/>
      </c>
      <c r="V13542">
        <f t="shared" si="846"/>
        <v>0</v>
      </c>
      <c r="W13542">
        <f t="shared" si="847"/>
        <v>0</v>
      </c>
    </row>
    <row r="13543" spans="5:23" x14ac:dyDescent="0.25">
      <c r="E13543" s="4"/>
      <c r="F13543" s="4"/>
      <c r="G13543" s="33" t="str">
        <f>IFERROR(VLOOKUP($D13543,'Informations sur les produits'!$A$3:$H$10000,8,FALSE),"0")</f>
        <v>0</v>
      </c>
      <c r="K13543" s="4"/>
      <c r="L13543" s="33" t="str">
        <f>IFERROR(VLOOKUP($J13543,'Informations sur les produits'!$A$3:$H$10000,8,FALSE),"0")</f>
        <v>0</v>
      </c>
      <c r="N13543" s="8"/>
      <c r="O13543" s="33" t="str">
        <f>IFERROR(VLOOKUP($M13543,'Informations sur les produits'!$A$3:$H$10000,8,FALSE),"0")</f>
        <v>0</v>
      </c>
      <c r="P13543" s="33">
        <f t="shared" si="844"/>
        <v>0</v>
      </c>
      <c r="Q13543" s="31" t="str">
        <f t="shared" si="845"/>
        <v/>
      </c>
      <c r="R13543" s="32" t="str">
        <f>IFERROR(VLOOKUP($D13543,'Informations sur les produits'!$A$3:$B$15000,2,FALSE),"")</f>
        <v/>
      </c>
      <c r="V13543">
        <f t="shared" si="846"/>
        <v>0</v>
      </c>
      <c r="W13543">
        <f t="shared" si="847"/>
        <v>0</v>
      </c>
    </row>
    <row r="13544" spans="5:23" x14ac:dyDescent="0.25">
      <c r="E13544" s="4"/>
      <c r="F13544" s="4"/>
      <c r="G13544" s="33" t="str">
        <f>IFERROR(VLOOKUP($D13544,'Informations sur les produits'!$A$3:$H$10000,8,FALSE),"0")</f>
        <v>0</v>
      </c>
      <c r="K13544" s="4"/>
      <c r="L13544" s="33" t="str">
        <f>IFERROR(VLOOKUP($J13544,'Informations sur les produits'!$A$3:$H$10000,8,FALSE),"0")</f>
        <v>0</v>
      </c>
      <c r="N13544" s="8"/>
      <c r="O13544" s="33" t="str">
        <f>IFERROR(VLOOKUP($M13544,'Informations sur les produits'!$A$3:$H$10000,8,FALSE),"0")</f>
        <v>0</v>
      </c>
      <c r="P13544" s="33">
        <f t="shared" si="844"/>
        <v>0</v>
      </c>
      <c r="Q13544" s="31" t="str">
        <f t="shared" si="845"/>
        <v/>
      </c>
      <c r="R13544" s="32" t="str">
        <f>IFERROR(VLOOKUP($D13544,'Informations sur les produits'!$A$3:$B$15000,2,FALSE),"")</f>
        <v/>
      </c>
      <c r="V13544">
        <f t="shared" si="846"/>
        <v>0</v>
      </c>
      <c r="W13544">
        <f t="shared" si="847"/>
        <v>0</v>
      </c>
    </row>
    <row r="13545" spans="5:23" x14ac:dyDescent="0.25">
      <c r="E13545" s="4"/>
      <c r="F13545" s="4"/>
      <c r="G13545" s="33" t="str">
        <f>IFERROR(VLOOKUP($D13545,'Informations sur les produits'!$A$3:$H$10000,8,FALSE),"0")</f>
        <v>0</v>
      </c>
      <c r="K13545" s="4"/>
      <c r="L13545" s="33" t="str">
        <f>IFERROR(VLOOKUP($J13545,'Informations sur les produits'!$A$3:$H$10000,8,FALSE),"0")</f>
        <v>0</v>
      </c>
      <c r="N13545" s="8"/>
      <c r="O13545" s="33" t="str">
        <f>IFERROR(VLOOKUP($M13545,'Informations sur les produits'!$A$3:$H$10000,8,FALSE),"0")</f>
        <v>0</v>
      </c>
      <c r="P13545" s="33">
        <f t="shared" si="844"/>
        <v>0</v>
      </c>
      <c r="Q13545" s="31" t="str">
        <f t="shared" si="845"/>
        <v/>
      </c>
      <c r="R13545" s="32" t="str">
        <f>IFERROR(VLOOKUP($D13545,'Informations sur les produits'!$A$3:$B$15000,2,FALSE),"")</f>
        <v/>
      </c>
      <c r="V13545">
        <f t="shared" si="846"/>
        <v>0</v>
      </c>
      <c r="W13545">
        <f t="shared" si="847"/>
        <v>0</v>
      </c>
    </row>
    <row r="13546" spans="5:23" x14ac:dyDescent="0.25">
      <c r="E13546" s="4"/>
      <c r="F13546" s="4"/>
      <c r="G13546" s="33" t="str">
        <f>IFERROR(VLOOKUP($D13546,'Informations sur les produits'!$A$3:$H$10000,8,FALSE),"0")</f>
        <v>0</v>
      </c>
      <c r="K13546" s="4"/>
      <c r="L13546" s="33" t="str">
        <f>IFERROR(VLOOKUP($J13546,'Informations sur les produits'!$A$3:$H$10000,8,FALSE),"0")</f>
        <v>0</v>
      </c>
      <c r="N13546" s="8"/>
      <c r="O13546" s="33" t="str">
        <f>IFERROR(VLOOKUP($M13546,'Informations sur les produits'!$A$3:$H$10000,8,FALSE),"0")</f>
        <v>0</v>
      </c>
      <c r="P13546" s="33">
        <f t="shared" si="844"/>
        <v>0</v>
      </c>
      <c r="Q13546" s="31" t="str">
        <f t="shared" si="845"/>
        <v/>
      </c>
      <c r="R13546" s="32" t="str">
        <f>IFERROR(VLOOKUP($D13546,'Informations sur les produits'!$A$3:$B$15000,2,FALSE),"")</f>
        <v/>
      </c>
      <c r="V13546">
        <f t="shared" si="846"/>
        <v>0</v>
      </c>
      <c r="W13546">
        <f t="shared" si="847"/>
        <v>0</v>
      </c>
    </row>
    <row r="13547" spans="5:23" x14ac:dyDescent="0.25">
      <c r="E13547" s="4"/>
      <c r="F13547" s="4"/>
      <c r="G13547" s="33" t="str">
        <f>IFERROR(VLOOKUP($D13547,'Informations sur les produits'!$A$3:$H$10000,8,FALSE),"0")</f>
        <v>0</v>
      </c>
      <c r="K13547" s="4"/>
      <c r="L13547" s="33" t="str">
        <f>IFERROR(VLOOKUP($J13547,'Informations sur les produits'!$A$3:$H$10000,8,FALSE),"0")</f>
        <v>0</v>
      </c>
      <c r="N13547" s="8"/>
      <c r="O13547" s="33" t="str">
        <f>IFERROR(VLOOKUP($M13547,'Informations sur les produits'!$A$3:$H$10000,8,FALSE),"0")</f>
        <v>0</v>
      </c>
      <c r="P13547" s="33">
        <f t="shared" si="844"/>
        <v>0</v>
      </c>
      <c r="Q13547" s="31" t="str">
        <f t="shared" si="845"/>
        <v/>
      </c>
      <c r="R13547" s="32" t="str">
        <f>IFERROR(VLOOKUP($D13547,'Informations sur les produits'!$A$3:$B$15000,2,FALSE),"")</f>
        <v/>
      </c>
      <c r="V13547">
        <f t="shared" si="846"/>
        <v>0</v>
      </c>
      <c r="W13547">
        <f t="shared" si="847"/>
        <v>0</v>
      </c>
    </row>
    <row r="13548" spans="5:23" x14ac:dyDescent="0.25">
      <c r="E13548" s="4"/>
      <c r="F13548" s="4"/>
      <c r="G13548" s="33" t="str">
        <f>IFERROR(VLOOKUP($D13548,'Informations sur les produits'!$A$3:$H$10000,8,FALSE),"0")</f>
        <v>0</v>
      </c>
      <c r="K13548" s="4"/>
      <c r="L13548" s="33" t="str">
        <f>IFERROR(VLOOKUP($J13548,'Informations sur les produits'!$A$3:$H$10000,8,FALSE),"0")</f>
        <v>0</v>
      </c>
      <c r="N13548" s="8"/>
      <c r="O13548" s="33" t="str">
        <f>IFERROR(VLOOKUP($M13548,'Informations sur les produits'!$A$3:$H$10000,8,FALSE),"0")</f>
        <v>0</v>
      </c>
      <c r="P13548" s="33">
        <f t="shared" si="844"/>
        <v>0</v>
      </c>
      <c r="Q13548" s="31" t="str">
        <f t="shared" si="845"/>
        <v/>
      </c>
      <c r="R13548" s="32" t="str">
        <f>IFERROR(VLOOKUP($D13548,'Informations sur les produits'!$A$3:$B$15000,2,FALSE),"")</f>
        <v/>
      </c>
      <c r="V13548">
        <f t="shared" si="846"/>
        <v>0</v>
      </c>
      <c r="W13548">
        <f t="shared" si="847"/>
        <v>0</v>
      </c>
    </row>
    <row r="13549" spans="5:23" x14ac:dyDescent="0.25">
      <c r="E13549" s="4"/>
      <c r="F13549" s="4"/>
      <c r="G13549" s="33" t="str">
        <f>IFERROR(VLOOKUP($D13549,'Informations sur les produits'!$A$3:$H$10000,8,FALSE),"0")</f>
        <v>0</v>
      </c>
      <c r="K13549" s="4"/>
      <c r="L13549" s="33" t="str">
        <f>IFERROR(VLOOKUP($J13549,'Informations sur les produits'!$A$3:$H$10000,8,FALSE),"0")</f>
        <v>0</v>
      </c>
      <c r="N13549" s="8"/>
      <c r="O13549" s="33" t="str">
        <f>IFERROR(VLOOKUP($M13549,'Informations sur les produits'!$A$3:$H$10000,8,FALSE),"0")</f>
        <v>0</v>
      </c>
      <c r="P13549" s="33">
        <f t="shared" si="844"/>
        <v>0</v>
      </c>
      <c r="Q13549" s="31" t="str">
        <f t="shared" si="845"/>
        <v/>
      </c>
      <c r="R13549" s="32" t="str">
        <f>IFERROR(VLOOKUP($D13549,'Informations sur les produits'!$A$3:$B$15000,2,FALSE),"")</f>
        <v/>
      </c>
      <c r="V13549">
        <f t="shared" si="846"/>
        <v>0</v>
      </c>
      <c r="W13549">
        <f t="shared" si="847"/>
        <v>0</v>
      </c>
    </row>
    <row r="13550" spans="5:23" x14ac:dyDescent="0.25">
      <c r="E13550" s="4"/>
      <c r="F13550" s="4"/>
      <c r="G13550" s="33" t="str">
        <f>IFERROR(VLOOKUP($D13550,'Informations sur les produits'!$A$3:$H$10000,8,FALSE),"0")</f>
        <v>0</v>
      </c>
      <c r="K13550" s="4"/>
      <c r="L13550" s="33" t="str">
        <f>IFERROR(VLOOKUP($J13550,'Informations sur les produits'!$A$3:$H$10000,8,FALSE),"0")</f>
        <v>0</v>
      </c>
      <c r="N13550" s="8"/>
      <c r="O13550" s="33" t="str">
        <f>IFERROR(VLOOKUP($M13550,'Informations sur les produits'!$A$3:$H$10000,8,FALSE),"0")</f>
        <v>0</v>
      </c>
      <c r="P13550" s="33">
        <f t="shared" si="844"/>
        <v>0</v>
      </c>
      <c r="Q13550" s="31" t="str">
        <f t="shared" si="845"/>
        <v/>
      </c>
      <c r="R13550" s="32" t="str">
        <f>IFERROR(VLOOKUP($D13550,'Informations sur les produits'!$A$3:$B$15000,2,FALSE),"")</f>
        <v/>
      </c>
      <c r="V13550">
        <f t="shared" si="846"/>
        <v>0</v>
      </c>
      <c r="W13550">
        <f t="shared" si="847"/>
        <v>0</v>
      </c>
    </row>
    <row r="13551" spans="5:23" x14ac:dyDescent="0.25">
      <c r="E13551" s="4"/>
      <c r="F13551" s="4"/>
      <c r="G13551" s="33" t="str">
        <f>IFERROR(VLOOKUP($D13551,'Informations sur les produits'!$A$3:$H$10000,8,FALSE),"0")</f>
        <v>0</v>
      </c>
      <c r="K13551" s="4"/>
      <c r="L13551" s="33" t="str">
        <f>IFERROR(VLOOKUP($J13551,'Informations sur les produits'!$A$3:$H$10000,8,FALSE),"0")</f>
        <v>0</v>
      </c>
      <c r="N13551" s="8"/>
      <c r="O13551" s="33" t="str">
        <f>IFERROR(VLOOKUP($M13551,'Informations sur les produits'!$A$3:$H$10000,8,FALSE),"0")</f>
        <v>0</v>
      </c>
      <c r="P13551" s="33">
        <f t="shared" si="844"/>
        <v>0</v>
      </c>
      <c r="Q13551" s="31" t="str">
        <f t="shared" si="845"/>
        <v/>
      </c>
      <c r="R13551" s="32" t="str">
        <f>IFERROR(VLOOKUP($D13551,'Informations sur les produits'!$A$3:$B$15000,2,FALSE),"")</f>
        <v/>
      </c>
      <c r="V13551">
        <f t="shared" si="846"/>
        <v>0</v>
      </c>
      <c r="W13551">
        <f t="shared" si="847"/>
        <v>0</v>
      </c>
    </row>
    <row r="13552" spans="5:23" x14ac:dyDescent="0.25">
      <c r="E13552" s="4"/>
      <c r="F13552" s="4"/>
      <c r="G13552" s="33" t="str">
        <f>IFERROR(VLOOKUP($D13552,'Informations sur les produits'!$A$3:$H$10000,8,FALSE),"0")</f>
        <v>0</v>
      </c>
      <c r="K13552" s="4"/>
      <c r="L13552" s="33" t="str">
        <f>IFERROR(VLOOKUP($J13552,'Informations sur les produits'!$A$3:$H$10000,8,FALSE),"0")</f>
        <v>0</v>
      </c>
      <c r="N13552" s="8"/>
      <c r="O13552" s="33" t="str">
        <f>IFERROR(VLOOKUP($M13552,'Informations sur les produits'!$A$3:$H$10000,8,FALSE),"0")</f>
        <v>0</v>
      </c>
      <c r="P13552" s="33">
        <f t="shared" si="844"/>
        <v>0</v>
      </c>
      <c r="Q13552" s="31" t="str">
        <f t="shared" si="845"/>
        <v/>
      </c>
      <c r="R13552" s="32" t="str">
        <f>IFERROR(VLOOKUP($D13552,'Informations sur les produits'!$A$3:$B$15000,2,FALSE),"")</f>
        <v/>
      </c>
      <c r="V13552">
        <f t="shared" si="846"/>
        <v>0</v>
      </c>
      <c r="W13552">
        <f t="shared" si="847"/>
        <v>0</v>
      </c>
    </row>
    <row r="13553" spans="5:23" x14ac:dyDescent="0.25">
      <c r="E13553" s="4"/>
      <c r="F13553" s="4"/>
      <c r="G13553" s="33" t="str">
        <f>IFERROR(VLOOKUP($D13553,'Informations sur les produits'!$A$3:$H$10000,8,FALSE),"0")</f>
        <v>0</v>
      </c>
      <c r="K13553" s="4"/>
      <c r="L13553" s="33" t="str">
        <f>IFERROR(VLOOKUP($J13553,'Informations sur les produits'!$A$3:$H$10000,8,FALSE),"0")</f>
        <v>0</v>
      </c>
      <c r="N13553" s="8"/>
      <c r="O13553" s="33" t="str">
        <f>IFERROR(VLOOKUP($M13553,'Informations sur les produits'!$A$3:$H$10000,8,FALSE),"0")</f>
        <v>0</v>
      </c>
      <c r="P13553" s="33">
        <f t="shared" si="844"/>
        <v>0</v>
      </c>
      <c r="Q13553" s="31" t="str">
        <f t="shared" si="845"/>
        <v/>
      </c>
      <c r="R13553" s="32" t="str">
        <f>IFERROR(VLOOKUP($D13553,'Informations sur les produits'!$A$3:$B$15000,2,FALSE),"")</f>
        <v/>
      </c>
      <c r="V13553">
        <f t="shared" si="846"/>
        <v>0</v>
      </c>
      <c r="W13553">
        <f t="shared" si="847"/>
        <v>0</v>
      </c>
    </row>
    <row r="13554" spans="5:23" x14ac:dyDescent="0.25">
      <c r="E13554" s="4"/>
      <c r="F13554" s="4"/>
      <c r="G13554" s="33" t="str">
        <f>IFERROR(VLOOKUP($D13554,'Informations sur les produits'!$A$3:$H$10000,8,FALSE),"0")</f>
        <v>0</v>
      </c>
      <c r="K13554" s="4"/>
      <c r="L13554" s="33" t="str">
        <f>IFERROR(VLOOKUP($J13554,'Informations sur les produits'!$A$3:$H$10000,8,FALSE),"0")</f>
        <v>0</v>
      </c>
      <c r="N13554" s="8"/>
      <c r="O13554" s="33" t="str">
        <f>IFERROR(VLOOKUP($M13554,'Informations sur les produits'!$A$3:$H$10000,8,FALSE),"0")</f>
        <v>0</v>
      </c>
      <c r="P13554" s="33">
        <f t="shared" si="844"/>
        <v>0</v>
      </c>
      <c r="Q13554" s="31" t="str">
        <f t="shared" si="845"/>
        <v/>
      </c>
      <c r="R13554" s="32" t="str">
        <f>IFERROR(VLOOKUP($D13554,'Informations sur les produits'!$A$3:$B$15000,2,FALSE),"")</f>
        <v/>
      </c>
      <c r="V13554">
        <f t="shared" si="846"/>
        <v>0</v>
      </c>
      <c r="W13554">
        <f t="shared" si="847"/>
        <v>0</v>
      </c>
    </row>
    <row r="13555" spans="5:23" x14ac:dyDescent="0.25">
      <c r="E13555" s="4"/>
      <c r="F13555" s="4"/>
      <c r="G13555" s="33" t="str">
        <f>IFERROR(VLOOKUP($D13555,'Informations sur les produits'!$A$3:$H$10000,8,FALSE),"0")</f>
        <v>0</v>
      </c>
      <c r="K13555" s="4"/>
      <c r="L13555" s="33" t="str">
        <f>IFERROR(VLOOKUP($J13555,'Informations sur les produits'!$A$3:$H$10000,8,FALSE),"0")</f>
        <v>0</v>
      </c>
      <c r="N13555" s="8"/>
      <c r="O13555" s="33" t="str">
        <f>IFERROR(VLOOKUP($M13555,'Informations sur les produits'!$A$3:$H$10000,8,FALSE),"0")</f>
        <v>0</v>
      </c>
      <c r="P13555" s="33">
        <f t="shared" si="844"/>
        <v>0</v>
      </c>
      <c r="Q13555" s="31" t="str">
        <f t="shared" si="845"/>
        <v/>
      </c>
      <c r="R13555" s="32" t="str">
        <f>IFERROR(VLOOKUP($D13555,'Informations sur les produits'!$A$3:$B$15000,2,FALSE),"")</f>
        <v/>
      </c>
      <c r="V13555">
        <f t="shared" si="846"/>
        <v>0</v>
      </c>
      <c r="W13555">
        <f t="shared" si="847"/>
        <v>0</v>
      </c>
    </row>
    <row r="13556" spans="5:23" x14ac:dyDescent="0.25">
      <c r="E13556" s="4"/>
      <c r="F13556" s="4"/>
      <c r="G13556" s="33" t="str">
        <f>IFERROR(VLOOKUP($D13556,'Informations sur les produits'!$A$3:$H$10000,8,FALSE),"0")</f>
        <v>0</v>
      </c>
      <c r="K13556" s="4"/>
      <c r="L13556" s="33" t="str">
        <f>IFERROR(VLOOKUP($J13556,'Informations sur les produits'!$A$3:$H$10000,8,FALSE),"0")</f>
        <v>0</v>
      </c>
      <c r="N13556" s="8"/>
      <c r="O13556" s="33" t="str">
        <f>IFERROR(VLOOKUP($M13556,'Informations sur les produits'!$A$3:$H$10000,8,FALSE),"0")</f>
        <v>0</v>
      </c>
      <c r="P13556" s="33">
        <f t="shared" si="844"/>
        <v>0</v>
      </c>
      <c r="Q13556" s="31" t="str">
        <f t="shared" si="845"/>
        <v/>
      </c>
      <c r="R13556" s="32" t="str">
        <f>IFERROR(VLOOKUP($D13556,'Informations sur les produits'!$A$3:$B$15000,2,FALSE),"")</f>
        <v/>
      </c>
      <c r="V13556">
        <f t="shared" si="846"/>
        <v>0</v>
      </c>
      <c r="W13556">
        <f t="shared" si="847"/>
        <v>0</v>
      </c>
    </row>
    <row r="13557" spans="5:23" x14ac:dyDescent="0.25">
      <c r="E13557" s="4"/>
      <c r="F13557" s="4"/>
      <c r="G13557" s="33" t="str">
        <f>IFERROR(VLOOKUP($D13557,'Informations sur les produits'!$A$3:$H$10000,8,FALSE),"0")</f>
        <v>0</v>
      </c>
      <c r="K13557" s="4"/>
      <c r="L13557" s="33" t="str">
        <f>IFERROR(VLOOKUP($J13557,'Informations sur les produits'!$A$3:$H$10000,8,FALSE),"0")</f>
        <v>0</v>
      </c>
      <c r="N13557" s="8"/>
      <c r="O13557" s="33" t="str">
        <f>IFERROR(VLOOKUP($M13557,'Informations sur les produits'!$A$3:$H$10000,8,FALSE),"0")</f>
        <v>0</v>
      </c>
      <c r="P13557" s="33">
        <f t="shared" si="844"/>
        <v>0</v>
      </c>
      <c r="Q13557" s="31" t="str">
        <f t="shared" si="845"/>
        <v/>
      </c>
      <c r="R13557" s="32" t="str">
        <f>IFERROR(VLOOKUP($D13557,'Informations sur les produits'!$A$3:$B$15000,2,FALSE),"")</f>
        <v/>
      </c>
      <c r="V13557">
        <f t="shared" si="846"/>
        <v>0</v>
      </c>
      <c r="W13557">
        <f t="shared" si="847"/>
        <v>0</v>
      </c>
    </row>
    <row r="13558" spans="5:23" x14ac:dyDescent="0.25">
      <c r="E13558" s="4"/>
      <c r="F13558" s="4"/>
      <c r="G13558" s="33" t="str">
        <f>IFERROR(VLOOKUP($D13558,'Informations sur les produits'!$A$3:$H$10000,8,FALSE),"0")</f>
        <v>0</v>
      </c>
      <c r="K13558" s="4"/>
      <c r="L13558" s="33" t="str">
        <f>IFERROR(VLOOKUP($J13558,'Informations sur les produits'!$A$3:$H$10000,8,FALSE),"0")</f>
        <v>0</v>
      </c>
      <c r="N13558" s="8"/>
      <c r="O13558" s="33" t="str">
        <f>IFERROR(VLOOKUP($M13558,'Informations sur les produits'!$A$3:$H$10000,8,FALSE),"0")</f>
        <v>0</v>
      </c>
      <c r="P13558" s="33">
        <f t="shared" si="844"/>
        <v>0</v>
      </c>
      <c r="Q13558" s="31" t="str">
        <f t="shared" si="845"/>
        <v/>
      </c>
      <c r="R13558" s="32" t="str">
        <f>IFERROR(VLOOKUP($D13558,'Informations sur les produits'!$A$3:$B$15000,2,FALSE),"")</f>
        <v/>
      </c>
      <c r="V13558">
        <f t="shared" si="846"/>
        <v>0</v>
      </c>
      <c r="W13558">
        <f t="shared" si="847"/>
        <v>0</v>
      </c>
    </row>
    <row r="13559" spans="5:23" x14ac:dyDescent="0.25">
      <c r="E13559" s="4"/>
      <c r="F13559" s="4"/>
      <c r="G13559" s="33" t="str">
        <f>IFERROR(VLOOKUP($D13559,'Informations sur les produits'!$A$3:$H$10000,8,FALSE),"0")</f>
        <v>0</v>
      </c>
      <c r="K13559" s="4"/>
      <c r="L13559" s="33" t="str">
        <f>IFERROR(VLOOKUP($J13559,'Informations sur les produits'!$A$3:$H$10000,8,FALSE),"0")</f>
        <v>0</v>
      </c>
      <c r="N13559" s="8"/>
      <c r="O13559" s="33" t="str">
        <f>IFERROR(VLOOKUP($M13559,'Informations sur les produits'!$A$3:$H$10000,8,FALSE),"0")</f>
        <v>0</v>
      </c>
      <c r="P13559" s="33">
        <f t="shared" si="844"/>
        <v>0</v>
      </c>
      <c r="Q13559" s="31" t="str">
        <f t="shared" si="845"/>
        <v/>
      </c>
      <c r="R13559" s="32" t="str">
        <f>IFERROR(VLOOKUP($D13559,'Informations sur les produits'!$A$3:$B$15000,2,FALSE),"")</f>
        <v/>
      </c>
      <c r="V13559">
        <f t="shared" si="846"/>
        <v>0</v>
      </c>
      <c r="W13559">
        <f t="shared" si="847"/>
        <v>0</v>
      </c>
    </row>
    <row r="13560" spans="5:23" x14ac:dyDescent="0.25">
      <c r="E13560" s="4"/>
      <c r="F13560" s="4"/>
      <c r="G13560" s="33" t="str">
        <f>IFERROR(VLOOKUP($D13560,'Informations sur les produits'!$A$3:$H$10000,8,FALSE),"0")</f>
        <v>0</v>
      </c>
      <c r="K13560" s="4"/>
      <c r="L13560" s="33" t="str">
        <f>IFERROR(VLOOKUP($J13560,'Informations sur les produits'!$A$3:$H$10000,8,FALSE),"0")</f>
        <v>0</v>
      </c>
      <c r="N13560" s="8"/>
      <c r="O13560" s="33" t="str">
        <f>IFERROR(VLOOKUP($M13560,'Informations sur les produits'!$A$3:$H$10000,8,FALSE),"0")</f>
        <v>0</v>
      </c>
      <c r="P13560" s="33">
        <f t="shared" si="844"/>
        <v>0</v>
      </c>
      <c r="Q13560" s="31" t="str">
        <f t="shared" si="845"/>
        <v/>
      </c>
      <c r="R13560" s="32" t="str">
        <f>IFERROR(VLOOKUP($D13560,'Informations sur les produits'!$A$3:$B$15000,2,FALSE),"")</f>
        <v/>
      </c>
      <c r="V13560">
        <f t="shared" si="846"/>
        <v>0</v>
      </c>
      <c r="W13560">
        <f t="shared" si="847"/>
        <v>0</v>
      </c>
    </row>
    <row r="13561" spans="5:23" x14ac:dyDescent="0.25">
      <c r="E13561" s="4"/>
      <c r="F13561" s="4"/>
      <c r="G13561" s="33" t="str">
        <f>IFERROR(VLOOKUP($D13561,'Informations sur les produits'!$A$3:$H$10000,8,FALSE),"0")</f>
        <v>0</v>
      </c>
      <c r="K13561" s="4"/>
      <c r="L13561" s="33" t="str">
        <f>IFERROR(VLOOKUP($J13561,'Informations sur les produits'!$A$3:$H$10000,8,FALSE),"0")</f>
        <v>0</v>
      </c>
      <c r="N13561" s="8"/>
      <c r="O13561" s="33" t="str">
        <f>IFERROR(VLOOKUP($M13561,'Informations sur les produits'!$A$3:$H$10000,8,FALSE),"0")</f>
        <v>0</v>
      </c>
      <c r="P13561" s="33">
        <f t="shared" si="844"/>
        <v>0</v>
      </c>
      <c r="Q13561" s="31" t="str">
        <f t="shared" si="845"/>
        <v/>
      </c>
      <c r="R13561" s="32" t="str">
        <f>IFERROR(VLOOKUP($D13561,'Informations sur les produits'!$A$3:$B$15000,2,FALSE),"")</f>
        <v/>
      </c>
      <c r="V13561">
        <f t="shared" si="846"/>
        <v>0</v>
      </c>
      <c r="W13561">
        <f t="shared" si="847"/>
        <v>0</v>
      </c>
    </row>
    <row r="13562" spans="5:23" x14ac:dyDescent="0.25">
      <c r="E13562" s="4"/>
      <c r="F13562" s="4"/>
      <c r="G13562" s="33" t="str">
        <f>IFERROR(VLOOKUP($D13562,'Informations sur les produits'!$A$3:$H$10000,8,FALSE),"0")</f>
        <v>0</v>
      </c>
      <c r="K13562" s="4"/>
      <c r="L13562" s="33" t="str">
        <f>IFERROR(VLOOKUP($J13562,'Informations sur les produits'!$A$3:$H$10000,8,FALSE),"0")</f>
        <v>0</v>
      </c>
      <c r="N13562" s="8"/>
      <c r="O13562" s="33" t="str">
        <f>IFERROR(VLOOKUP($M13562,'Informations sur les produits'!$A$3:$H$10000,8,FALSE),"0")</f>
        <v>0</v>
      </c>
      <c r="P13562" s="33">
        <f t="shared" si="844"/>
        <v>0</v>
      </c>
      <c r="Q13562" s="31" t="str">
        <f t="shared" si="845"/>
        <v/>
      </c>
      <c r="R13562" s="32" t="str">
        <f>IFERROR(VLOOKUP($D13562,'Informations sur les produits'!$A$3:$B$15000,2,FALSE),"")</f>
        <v/>
      </c>
      <c r="V13562">
        <f t="shared" si="846"/>
        <v>0</v>
      </c>
      <c r="W13562">
        <f t="shared" si="847"/>
        <v>0</v>
      </c>
    </row>
    <row r="13563" spans="5:23" x14ac:dyDescent="0.25">
      <c r="E13563" s="4"/>
      <c r="F13563" s="4"/>
      <c r="G13563" s="33" t="str">
        <f>IFERROR(VLOOKUP($D13563,'Informations sur les produits'!$A$3:$H$10000,8,FALSE),"0")</f>
        <v>0</v>
      </c>
      <c r="K13563" s="4"/>
      <c r="L13563" s="33" t="str">
        <f>IFERROR(VLOOKUP($J13563,'Informations sur les produits'!$A$3:$H$10000,8,FALSE),"0")</f>
        <v>0</v>
      </c>
      <c r="N13563" s="8"/>
      <c r="O13563" s="33" t="str">
        <f>IFERROR(VLOOKUP($M13563,'Informations sur les produits'!$A$3:$H$10000,8,FALSE),"0")</f>
        <v>0</v>
      </c>
      <c r="P13563" s="33">
        <f t="shared" si="844"/>
        <v>0</v>
      </c>
      <c r="Q13563" s="31" t="str">
        <f t="shared" si="845"/>
        <v/>
      </c>
      <c r="R13563" s="32" t="str">
        <f>IFERROR(VLOOKUP($D13563,'Informations sur les produits'!$A$3:$B$15000,2,FALSE),"")</f>
        <v/>
      </c>
      <c r="V13563">
        <f t="shared" si="846"/>
        <v>0</v>
      </c>
      <c r="W13563">
        <f t="shared" si="847"/>
        <v>0</v>
      </c>
    </row>
    <row r="13564" spans="5:23" x14ac:dyDescent="0.25">
      <c r="E13564" s="4"/>
      <c r="F13564" s="4"/>
      <c r="G13564" s="33" t="str">
        <f>IFERROR(VLOOKUP($D13564,'Informations sur les produits'!$A$3:$H$10000,8,FALSE),"0")</f>
        <v>0</v>
      </c>
      <c r="K13564" s="4"/>
      <c r="L13564" s="33" t="str">
        <f>IFERROR(VLOOKUP($J13564,'Informations sur les produits'!$A$3:$H$10000,8,FALSE),"0")</f>
        <v>0</v>
      </c>
      <c r="N13564" s="8"/>
      <c r="O13564" s="33" t="str">
        <f>IFERROR(VLOOKUP($M13564,'Informations sur les produits'!$A$3:$H$10000,8,FALSE),"0")</f>
        <v>0</v>
      </c>
      <c r="P13564" s="33">
        <f t="shared" si="844"/>
        <v>0</v>
      </c>
      <c r="Q13564" s="31" t="str">
        <f t="shared" si="845"/>
        <v/>
      </c>
      <c r="R13564" s="32" t="str">
        <f>IFERROR(VLOOKUP($D13564,'Informations sur les produits'!$A$3:$B$15000,2,FALSE),"")</f>
        <v/>
      </c>
      <c r="V13564">
        <f t="shared" si="846"/>
        <v>0</v>
      </c>
      <c r="W13564">
        <f t="shared" si="847"/>
        <v>0</v>
      </c>
    </row>
    <row r="13565" spans="5:23" x14ac:dyDescent="0.25">
      <c r="E13565" s="4"/>
      <c r="F13565" s="4"/>
      <c r="G13565" s="33" t="str">
        <f>IFERROR(VLOOKUP($D13565,'Informations sur les produits'!$A$3:$H$10000,8,FALSE),"0")</f>
        <v>0</v>
      </c>
      <c r="K13565" s="4"/>
      <c r="L13565" s="33" t="str">
        <f>IFERROR(VLOOKUP($J13565,'Informations sur les produits'!$A$3:$H$10000,8,FALSE),"0")</f>
        <v>0</v>
      </c>
      <c r="N13565" s="8"/>
      <c r="O13565" s="33" t="str">
        <f>IFERROR(VLOOKUP($M13565,'Informations sur les produits'!$A$3:$H$10000,8,FALSE),"0")</f>
        <v>0</v>
      </c>
      <c r="P13565" s="33">
        <f t="shared" si="844"/>
        <v>0</v>
      </c>
      <c r="Q13565" s="31" t="str">
        <f t="shared" si="845"/>
        <v/>
      </c>
      <c r="R13565" s="32" t="str">
        <f>IFERROR(VLOOKUP($D13565,'Informations sur les produits'!$A$3:$B$15000,2,FALSE),"")</f>
        <v/>
      </c>
      <c r="V13565">
        <f t="shared" si="846"/>
        <v>0</v>
      </c>
      <c r="W13565">
        <f t="shared" si="847"/>
        <v>0</v>
      </c>
    </row>
    <row r="13566" spans="5:23" x14ac:dyDescent="0.25">
      <c r="E13566" s="4"/>
      <c r="F13566" s="4"/>
      <c r="G13566" s="33" t="str">
        <f>IFERROR(VLOOKUP($D13566,'Informations sur les produits'!$A$3:$H$10000,8,FALSE),"0")</f>
        <v>0</v>
      </c>
      <c r="K13566" s="4"/>
      <c r="L13566" s="33" t="str">
        <f>IFERROR(VLOOKUP($J13566,'Informations sur les produits'!$A$3:$H$10000,8,FALSE),"0")</f>
        <v>0</v>
      </c>
      <c r="N13566" s="8"/>
      <c r="O13566" s="33" t="str">
        <f>IFERROR(VLOOKUP($M13566,'Informations sur les produits'!$A$3:$H$10000,8,FALSE),"0")</f>
        <v>0</v>
      </c>
      <c r="P13566" s="33">
        <f t="shared" si="844"/>
        <v>0</v>
      </c>
      <c r="Q13566" s="31" t="str">
        <f t="shared" si="845"/>
        <v/>
      </c>
      <c r="R13566" s="32" t="str">
        <f>IFERROR(VLOOKUP($D13566,'Informations sur les produits'!$A$3:$B$15000,2,FALSE),"")</f>
        <v/>
      </c>
      <c r="V13566">
        <f t="shared" si="846"/>
        <v>0</v>
      </c>
      <c r="W13566">
        <f t="shared" si="847"/>
        <v>0</v>
      </c>
    </row>
    <row r="13567" spans="5:23" x14ac:dyDescent="0.25">
      <c r="E13567" s="4"/>
      <c r="F13567" s="4"/>
      <c r="G13567" s="33" t="str">
        <f>IFERROR(VLOOKUP($D13567,'Informations sur les produits'!$A$3:$H$10000,8,FALSE),"0")</f>
        <v>0</v>
      </c>
      <c r="K13567" s="4"/>
      <c r="L13567" s="33" t="str">
        <f>IFERROR(VLOOKUP($J13567,'Informations sur les produits'!$A$3:$H$10000,8,FALSE),"0")</f>
        <v>0</v>
      </c>
      <c r="N13567" s="8"/>
      <c r="O13567" s="33" t="str">
        <f>IFERROR(VLOOKUP($M13567,'Informations sur les produits'!$A$3:$H$10000,8,FALSE),"0")</f>
        <v>0</v>
      </c>
      <c r="P13567" s="33">
        <f t="shared" si="844"/>
        <v>0</v>
      </c>
      <c r="Q13567" s="31" t="str">
        <f t="shared" si="845"/>
        <v/>
      </c>
      <c r="R13567" s="32" t="str">
        <f>IFERROR(VLOOKUP($D13567,'Informations sur les produits'!$A$3:$B$15000,2,FALSE),"")</f>
        <v/>
      </c>
      <c r="V13567">
        <f t="shared" si="846"/>
        <v>0</v>
      </c>
      <c r="W13567">
        <f t="shared" si="847"/>
        <v>0</v>
      </c>
    </row>
    <row r="13568" spans="5:23" x14ac:dyDescent="0.25">
      <c r="E13568" s="4"/>
      <c r="F13568" s="4"/>
      <c r="G13568" s="33" t="str">
        <f>IFERROR(VLOOKUP($D13568,'Informations sur les produits'!$A$3:$H$10000,8,FALSE),"0")</f>
        <v>0</v>
      </c>
      <c r="K13568" s="4"/>
      <c r="L13568" s="33" t="str">
        <f>IFERROR(VLOOKUP($J13568,'Informations sur les produits'!$A$3:$H$10000,8,FALSE),"0")</f>
        <v>0</v>
      </c>
      <c r="N13568" s="8"/>
      <c r="O13568" s="33" t="str">
        <f>IFERROR(VLOOKUP($M13568,'Informations sur les produits'!$A$3:$H$10000,8,FALSE),"0")</f>
        <v>0</v>
      </c>
      <c r="P13568" s="33">
        <f t="shared" si="844"/>
        <v>0</v>
      </c>
      <c r="Q13568" s="31" t="str">
        <f t="shared" si="845"/>
        <v/>
      </c>
      <c r="R13568" s="32" t="str">
        <f>IFERROR(VLOOKUP($D13568,'Informations sur les produits'!$A$3:$B$15000,2,FALSE),"")</f>
        <v/>
      </c>
      <c r="V13568">
        <f t="shared" si="846"/>
        <v>0</v>
      </c>
      <c r="W13568">
        <f t="shared" si="847"/>
        <v>0</v>
      </c>
    </row>
    <row r="13569" spans="5:23" x14ac:dyDescent="0.25">
      <c r="E13569" s="4"/>
      <c r="F13569" s="4"/>
      <c r="G13569" s="33" t="str">
        <f>IFERROR(VLOOKUP($D13569,'Informations sur les produits'!$A$3:$H$10000,8,FALSE),"0")</f>
        <v>0</v>
      </c>
      <c r="K13569" s="4"/>
      <c r="L13569" s="33" t="str">
        <f>IFERROR(VLOOKUP($J13569,'Informations sur les produits'!$A$3:$H$10000,8,FALSE),"0")</f>
        <v>0</v>
      </c>
      <c r="N13569" s="8"/>
      <c r="O13569" s="33" t="str">
        <f>IFERROR(VLOOKUP($M13569,'Informations sur les produits'!$A$3:$H$10000,8,FALSE),"0")</f>
        <v>0</v>
      </c>
      <c r="P13569" s="33">
        <f t="shared" si="844"/>
        <v>0</v>
      </c>
      <c r="Q13569" s="31" t="str">
        <f t="shared" si="845"/>
        <v/>
      </c>
      <c r="R13569" s="32" t="str">
        <f>IFERROR(VLOOKUP($D13569,'Informations sur les produits'!$A$3:$B$15000,2,FALSE),"")</f>
        <v/>
      </c>
      <c r="V13569">
        <f t="shared" si="846"/>
        <v>0</v>
      </c>
      <c r="W13569">
        <f t="shared" si="847"/>
        <v>0</v>
      </c>
    </row>
    <row r="13570" spans="5:23" x14ac:dyDescent="0.25">
      <c r="E13570" s="4"/>
      <c r="F13570" s="4"/>
      <c r="G13570" s="33" t="str">
        <f>IFERROR(VLOOKUP($D13570,'Informations sur les produits'!$A$3:$H$10000,8,FALSE),"0")</f>
        <v>0</v>
      </c>
      <c r="K13570" s="4"/>
      <c r="L13570" s="33" t="str">
        <f>IFERROR(VLOOKUP($J13570,'Informations sur les produits'!$A$3:$H$10000,8,FALSE),"0")</f>
        <v>0</v>
      </c>
      <c r="N13570" s="8"/>
      <c r="O13570" s="33" t="str">
        <f>IFERROR(VLOOKUP($M13570,'Informations sur les produits'!$A$3:$H$10000,8,FALSE),"0")</f>
        <v>0</v>
      </c>
      <c r="P13570" s="33">
        <f t="shared" si="844"/>
        <v>0</v>
      </c>
      <c r="Q13570" s="31" t="str">
        <f t="shared" si="845"/>
        <v/>
      </c>
      <c r="R13570" s="32" t="str">
        <f>IFERROR(VLOOKUP($D13570,'Informations sur les produits'!$A$3:$B$15000,2,FALSE),"")</f>
        <v/>
      </c>
      <c r="V13570">
        <f t="shared" si="846"/>
        <v>0</v>
      </c>
      <c r="W13570">
        <f t="shared" si="847"/>
        <v>0</v>
      </c>
    </row>
    <row r="13571" spans="5:23" x14ac:dyDescent="0.25">
      <c r="E13571" s="4"/>
      <c r="F13571" s="4"/>
      <c r="G13571" s="33" t="str">
        <f>IFERROR(VLOOKUP($D13571,'Informations sur les produits'!$A$3:$H$10000,8,FALSE),"0")</f>
        <v>0</v>
      </c>
      <c r="K13571" s="4"/>
      <c r="L13571" s="33" t="str">
        <f>IFERROR(VLOOKUP($J13571,'Informations sur les produits'!$A$3:$H$10000,8,FALSE),"0")</f>
        <v>0</v>
      </c>
      <c r="N13571" s="8"/>
      <c r="O13571" s="33" t="str">
        <f>IFERROR(VLOOKUP($M13571,'Informations sur les produits'!$A$3:$H$10000,8,FALSE),"0")</f>
        <v>0</v>
      </c>
      <c r="P13571" s="33">
        <f t="shared" si="844"/>
        <v>0</v>
      </c>
      <c r="Q13571" s="31" t="str">
        <f t="shared" si="845"/>
        <v/>
      </c>
      <c r="R13571" s="32" t="str">
        <f>IFERROR(VLOOKUP($D13571,'Informations sur les produits'!$A$3:$B$15000,2,FALSE),"")</f>
        <v/>
      </c>
      <c r="V13571">
        <f t="shared" si="846"/>
        <v>0</v>
      </c>
      <c r="W13571">
        <f t="shared" si="847"/>
        <v>0</v>
      </c>
    </row>
    <row r="13572" spans="5:23" x14ac:dyDescent="0.25">
      <c r="E13572" s="4"/>
      <c r="F13572" s="4"/>
      <c r="G13572" s="33" t="str">
        <f>IFERROR(VLOOKUP($D13572,'Informations sur les produits'!$A$3:$H$10000,8,FALSE),"0")</f>
        <v>0</v>
      </c>
      <c r="K13572" s="4"/>
      <c r="L13572" s="33" t="str">
        <f>IFERROR(VLOOKUP($J13572,'Informations sur les produits'!$A$3:$H$10000,8,FALSE),"0")</f>
        <v>0</v>
      </c>
      <c r="N13572" s="8"/>
      <c r="O13572" s="33" t="str">
        <f>IFERROR(VLOOKUP($M13572,'Informations sur les produits'!$A$3:$H$10000,8,FALSE),"0")</f>
        <v>0</v>
      </c>
      <c r="P13572" s="33">
        <f t="shared" ref="P13572:P13635" si="848">IFERROR((($E13572-$F13572)*$G13572+$K13572*$L13572+$N13572*$O13572),"")</f>
        <v>0</v>
      </c>
      <c r="Q13572" s="31" t="str">
        <f t="shared" ref="Q13572:Q13635" si="849">IFERROR((((($E13572-$F13572)*$G13572+$K13572*$L13572+$N13572*$O13572)*1000)/(($E13572-$F13572)+$K13572+$N13572)),"")</f>
        <v/>
      </c>
      <c r="R13572" s="32" t="str">
        <f>IFERROR(VLOOKUP($D13572,'Informations sur les produits'!$A$3:$B$15000,2,FALSE),"")</f>
        <v/>
      </c>
      <c r="V13572">
        <f t="shared" ref="V13572:V13635" si="850">IFERROR(P13572*1000,"")</f>
        <v>0</v>
      </c>
      <c r="W13572">
        <f t="shared" ref="W13572:W13635" si="851">IFERROR(($E13572-$F13572)+$K13572+$N13572,"")</f>
        <v>0</v>
      </c>
    </row>
    <row r="13573" spans="5:23" x14ac:dyDescent="0.25">
      <c r="E13573" s="4"/>
      <c r="F13573" s="4"/>
      <c r="G13573" s="33" t="str">
        <f>IFERROR(VLOOKUP($D13573,'Informations sur les produits'!$A$3:$H$10000,8,FALSE),"0")</f>
        <v>0</v>
      </c>
      <c r="K13573" s="4"/>
      <c r="L13573" s="33" t="str">
        <f>IFERROR(VLOOKUP($J13573,'Informations sur les produits'!$A$3:$H$10000,8,FALSE),"0")</f>
        <v>0</v>
      </c>
      <c r="N13573" s="8"/>
      <c r="O13573" s="33" t="str">
        <f>IFERROR(VLOOKUP($M13573,'Informations sur les produits'!$A$3:$H$10000,8,FALSE),"0")</f>
        <v>0</v>
      </c>
      <c r="P13573" s="33">
        <f t="shared" si="848"/>
        <v>0</v>
      </c>
      <c r="Q13573" s="31" t="str">
        <f t="shared" si="849"/>
        <v/>
      </c>
      <c r="R13573" s="32" t="str">
        <f>IFERROR(VLOOKUP($D13573,'Informations sur les produits'!$A$3:$B$15000,2,FALSE),"")</f>
        <v/>
      </c>
      <c r="V13573">
        <f t="shared" si="850"/>
        <v>0</v>
      </c>
      <c r="W13573">
        <f t="shared" si="851"/>
        <v>0</v>
      </c>
    </row>
    <row r="13574" spans="5:23" x14ac:dyDescent="0.25">
      <c r="E13574" s="4"/>
      <c r="F13574" s="4"/>
      <c r="G13574" s="33" t="str">
        <f>IFERROR(VLOOKUP($D13574,'Informations sur les produits'!$A$3:$H$10000,8,FALSE),"0")</f>
        <v>0</v>
      </c>
      <c r="K13574" s="4"/>
      <c r="L13574" s="33" t="str">
        <f>IFERROR(VLOOKUP($J13574,'Informations sur les produits'!$A$3:$H$10000,8,FALSE),"0")</f>
        <v>0</v>
      </c>
      <c r="N13574" s="8"/>
      <c r="O13574" s="33" t="str">
        <f>IFERROR(VLOOKUP($M13574,'Informations sur les produits'!$A$3:$H$10000,8,FALSE),"0")</f>
        <v>0</v>
      </c>
      <c r="P13574" s="33">
        <f t="shared" si="848"/>
        <v>0</v>
      </c>
      <c r="Q13574" s="31" t="str">
        <f t="shared" si="849"/>
        <v/>
      </c>
      <c r="R13574" s="32" t="str">
        <f>IFERROR(VLOOKUP($D13574,'Informations sur les produits'!$A$3:$B$15000,2,FALSE),"")</f>
        <v/>
      </c>
      <c r="V13574">
        <f t="shared" si="850"/>
        <v>0</v>
      </c>
      <c r="W13574">
        <f t="shared" si="851"/>
        <v>0</v>
      </c>
    </row>
    <row r="13575" spans="5:23" x14ac:dyDescent="0.25">
      <c r="E13575" s="4"/>
      <c r="F13575" s="4"/>
      <c r="G13575" s="33" t="str">
        <f>IFERROR(VLOOKUP($D13575,'Informations sur les produits'!$A$3:$H$10000,8,FALSE),"0")</f>
        <v>0</v>
      </c>
      <c r="K13575" s="4"/>
      <c r="L13575" s="33" t="str">
        <f>IFERROR(VLOOKUP($J13575,'Informations sur les produits'!$A$3:$H$10000,8,FALSE),"0")</f>
        <v>0</v>
      </c>
      <c r="N13575" s="8"/>
      <c r="O13575" s="33" t="str">
        <f>IFERROR(VLOOKUP($M13575,'Informations sur les produits'!$A$3:$H$10000,8,FALSE),"0")</f>
        <v>0</v>
      </c>
      <c r="P13575" s="33">
        <f t="shared" si="848"/>
        <v>0</v>
      </c>
      <c r="Q13575" s="31" t="str">
        <f t="shared" si="849"/>
        <v/>
      </c>
      <c r="R13575" s="32" t="str">
        <f>IFERROR(VLOOKUP($D13575,'Informations sur les produits'!$A$3:$B$15000,2,FALSE),"")</f>
        <v/>
      </c>
      <c r="V13575">
        <f t="shared" si="850"/>
        <v>0</v>
      </c>
      <c r="W13575">
        <f t="shared" si="851"/>
        <v>0</v>
      </c>
    </row>
    <row r="13576" spans="5:23" x14ac:dyDescent="0.25">
      <c r="E13576" s="4"/>
      <c r="F13576" s="4"/>
      <c r="G13576" s="33" t="str">
        <f>IFERROR(VLOOKUP($D13576,'Informations sur les produits'!$A$3:$H$10000,8,FALSE),"0")</f>
        <v>0</v>
      </c>
      <c r="K13576" s="4"/>
      <c r="L13576" s="33" t="str">
        <f>IFERROR(VLOOKUP($J13576,'Informations sur les produits'!$A$3:$H$10000,8,FALSE),"0")</f>
        <v>0</v>
      </c>
      <c r="N13576" s="8"/>
      <c r="O13576" s="33" t="str">
        <f>IFERROR(VLOOKUP($M13576,'Informations sur les produits'!$A$3:$H$10000,8,FALSE),"0")</f>
        <v>0</v>
      </c>
      <c r="P13576" s="33">
        <f t="shared" si="848"/>
        <v>0</v>
      </c>
      <c r="Q13576" s="31" t="str">
        <f t="shared" si="849"/>
        <v/>
      </c>
      <c r="R13576" s="32" t="str">
        <f>IFERROR(VLOOKUP($D13576,'Informations sur les produits'!$A$3:$B$15000,2,FALSE),"")</f>
        <v/>
      </c>
      <c r="V13576">
        <f t="shared" si="850"/>
        <v>0</v>
      </c>
      <c r="W13576">
        <f t="shared" si="851"/>
        <v>0</v>
      </c>
    </row>
    <row r="13577" spans="5:23" x14ac:dyDescent="0.25">
      <c r="E13577" s="4"/>
      <c r="F13577" s="4"/>
      <c r="G13577" s="33" t="str">
        <f>IFERROR(VLOOKUP($D13577,'Informations sur les produits'!$A$3:$H$10000,8,FALSE),"0")</f>
        <v>0</v>
      </c>
      <c r="K13577" s="4"/>
      <c r="L13577" s="33" t="str">
        <f>IFERROR(VLOOKUP($J13577,'Informations sur les produits'!$A$3:$H$10000,8,FALSE),"0")</f>
        <v>0</v>
      </c>
      <c r="N13577" s="8"/>
      <c r="O13577" s="33" t="str">
        <f>IFERROR(VLOOKUP($M13577,'Informations sur les produits'!$A$3:$H$10000,8,FALSE),"0")</f>
        <v>0</v>
      </c>
      <c r="P13577" s="33">
        <f t="shared" si="848"/>
        <v>0</v>
      </c>
      <c r="Q13577" s="31" t="str">
        <f t="shared" si="849"/>
        <v/>
      </c>
      <c r="R13577" s="32" t="str">
        <f>IFERROR(VLOOKUP($D13577,'Informations sur les produits'!$A$3:$B$15000,2,FALSE),"")</f>
        <v/>
      </c>
      <c r="V13577">
        <f t="shared" si="850"/>
        <v>0</v>
      </c>
      <c r="W13577">
        <f t="shared" si="851"/>
        <v>0</v>
      </c>
    </row>
    <row r="13578" spans="5:23" x14ac:dyDescent="0.25">
      <c r="E13578" s="4"/>
      <c r="F13578" s="4"/>
      <c r="G13578" s="33" t="str">
        <f>IFERROR(VLOOKUP($D13578,'Informations sur les produits'!$A$3:$H$10000,8,FALSE),"0")</f>
        <v>0</v>
      </c>
      <c r="K13578" s="4"/>
      <c r="L13578" s="33" t="str">
        <f>IFERROR(VLOOKUP($J13578,'Informations sur les produits'!$A$3:$H$10000,8,FALSE),"0")</f>
        <v>0</v>
      </c>
      <c r="N13578" s="8"/>
      <c r="O13578" s="33" t="str">
        <f>IFERROR(VLOOKUP($M13578,'Informations sur les produits'!$A$3:$H$10000,8,FALSE),"0")</f>
        <v>0</v>
      </c>
      <c r="P13578" s="33">
        <f t="shared" si="848"/>
        <v>0</v>
      </c>
      <c r="Q13578" s="31" t="str">
        <f t="shared" si="849"/>
        <v/>
      </c>
      <c r="R13578" s="32" t="str">
        <f>IFERROR(VLOOKUP($D13578,'Informations sur les produits'!$A$3:$B$15000,2,FALSE),"")</f>
        <v/>
      </c>
      <c r="V13578">
        <f t="shared" si="850"/>
        <v>0</v>
      </c>
      <c r="W13578">
        <f t="shared" si="851"/>
        <v>0</v>
      </c>
    </row>
    <row r="13579" spans="5:23" x14ac:dyDescent="0.25">
      <c r="E13579" s="4"/>
      <c r="F13579" s="4"/>
      <c r="G13579" s="33" t="str">
        <f>IFERROR(VLOOKUP($D13579,'Informations sur les produits'!$A$3:$H$10000,8,FALSE),"0")</f>
        <v>0</v>
      </c>
      <c r="K13579" s="4"/>
      <c r="L13579" s="33" t="str">
        <f>IFERROR(VLOOKUP($J13579,'Informations sur les produits'!$A$3:$H$10000,8,FALSE),"0")</f>
        <v>0</v>
      </c>
      <c r="N13579" s="8"/>
      <c r="O13579" s="33" t="str">
        <f>IFERROR(VLOOKUP($M13579,'Informations sur les produits'!$A$3:$H$10000,8,FALSE),"0")</f>
        <v>0</v>
      </c>
      <c r="P13579" s="33">
        <f t="shared" si="848"/>
        <v>0</v>
      </c>
      <c r="Q13579" s="31" t="str">
        <f t="shared" si="849"/>
        <v/>
      </c>
      <c r="R13579" s="32" t="str">
        <f>IFERROR(VLOOKUP($D13579,'Informations sur les produits'!$A$3:$B$15000,2,FALSE),"")</f>
        <v/>
      </c>
      <c r="V13579">
        <f t="shared" si="850"/>
        <v>0</v>
      </c>
      <c r="W13579">
        <f t="shared" si="851"/>
        <v>0</v>
      </c>
    </row>
    <row r="13580" spans="5:23" x14ac:dyDescent="0.25">
      <c r="E13580" s="4"/>
      <c r="F13580" s="4"/>
      <c r="G13580" s="33" t="str">
        <f>IFERROR(VLOOKUP($D13580,'Informations sur les produits'!$A$3:$H$10000,8,FALSE),"0")</f>
        <v>0</v>
      </c>
      <c r="K13580" s="4"/>
      <c r="L13580" s="33" t="str">
        <f>IFERROR(VLOOKUP($J13580,'Informations sur les produits'!$A$3:$H$10000,8,FALSE),"0")</f>
        <v>0</v>
      </c>
      <c r="N13580" s="8"/>
      <c r="O13580" s="33" t="str">
        <f>IFERROR(VLOOKUP($M13580,'Informations sur les produits'!$A$3:$H$10000,8,FALSE),"0")</f>
        <v>0</v>
      </c>
      <c r="P13580" s="33">
        <f t="shared" si="848"/>
        <v>0</v>
      </c>
      <c r="Q13580" s="31" t="str">
        <f t="shared" si="849"/>
        <v/>
      </c>
      <c r="R13580" s="32" t="str">
        <f>IFERROR(VLOOKUP($D13580,'Informations sur les produits'!$A$3:$B$15000,2,FALSE),"")</f>
        <v/>
      </c>
      <c r="V13580">
        <f t="shared" si="850"/>
        <v>0</v>
      </c>
      <c r="W13580">
        <f t="shared" si="851"/>
        <v>0</v>
      </c>
    </row>
    <row r="13581" spans="5:23" x14ac:dyDescent="0.25">
      <c r="E13581" s="4"/>
      <c r="F13581" s="4"/>
      <c r="G13581" s="33" t="str">
        <f>IFERROR(VLOOKUP($D13581,'Informations sur les produits'!$A$3:$H$10000,8,FALSE),"0")</f>
        <v>0</v>
      </c>
      <c r="K13581" s="4"/>
      <c r="L13581" s="33" t="str">
        <f>IFERROR(VLOOKUP($J13581,'Informations sur les produits'!$A$3:$H$10000,8,FALSE),"0")</f>
        <v>0</v>
      </c>
      <c r="N13581" s="8"/>
      <c r="O13581" s="33" t="str">
        <f>IFERROR(VLOOKUP($M13581,'Informations sur les produits'!$A$3:$H$10000,8,FALSE),"0")</f>
        <v>0</v>
      </c>
      <c r="P13581" s="33">
        <f t="shared" si="848"/>
        <v>0</v>
      </c>
      <c r="Q13581" s="31" t="str">
        <f t="shared" si="849"/>
        <v/>
      </c>
      <c r="R13581" s="32" t="str">
        <f>IFERROR(VLOOKUP($D13581,'Informations sur les produits'!$A$3:$B$15000,2,FALSE),"")</f>
        <v/>
      </c>
      <c r="V13581">
        <f t="shared" si="850"/>
        <v>0</v>
      </c>
      <c r="W13581">
        <f t="shared" si="851"/>
        <v>0</v>
      </c>
    </row>
    <row r="13582" spans="5:23" x14ac:dyDescent="0.25">
      <c r="E13582" s="4"/>
      <c r="F13582" s="4"/>
      <c r="G13582" s="33" t="str">
        <f>IFERROR(VLOOKUP($D13582,'Informations sur les produits'!$A$3:$H$10000,8,FALSE),"0")</f>
        <v>0</v>
      </c>
      <c r="K13582" s="4"/>
      <c r="L13582" s="33" t="str">
        <f>IFERROR(VLOOKUP($J13582,'Informations sur les produits'!$A$3:$H$10000,8,FALSE),"0")</f>
        <v>0</v>
      </c>
      <c r="N13582" s="8"/>
      <c r="O13582" s="33" t="str">
        <f>IFERROR(VLOOKUP($M13582,'Informations sur les produits'!$A$3:$H$10000,8,FALSE),"0")</f>
        <v>0</v>
      </c>
      <c r="P13582" s="33">
        <f t="shared" si="848"/>
        <v>0</v>
      </c>
      <c r="Q13582" s="31" t="str">
        <f t="shared" si="849"/>
        <v/>
      </c>
      <c r="R13582" s="32" t="str">
        <f>IFERROR(VLOOKUP($D13582,'Informations sur les produits'!$A$3:$B$15000,2,FALSE),"")</f>
        <v/>
      </c>
      <c r="V13582">
        <f t="shared" si="850"/>
        <v>0</v>
      </c>
      <c r="W13582">
        <f t="shared" si="851"/>
        <v>0</v>
      </c>
    </row>
    <row r="13583" spans="5:23" x14ac:dyDescent="0.25">
      <c r="E13583" s="4"/>
      <c r="F13583" s="4"/>
      <c r="G13583" s="33" t="str">
        <f>IFERROR(VLOOKUP($D13583,'Informations sur les produits'!$A$3:$H$10000,8,FALSE),"0")</f>
        <v>0</v>
      </c>
      <c r="K13583" s="4"/>
      <c r="L13583" s="33" t="str">
        <f>IFERROR(VLOOKUP($J13583,'Informations sur les produits'!$A$3:$H$10000,8,FALSE),"0")</f>
        <v>0</v>
      </c>
      <c r="N13583" s="8"/>
      <c r="O13583" s="33" t="str">
        <f>IFERROR(VLOOKUP($M13583,'Informations sur les produits'!$A$3:$H$10000,8,FALSE),"0")</f>
        <v>0</v>
      </c>
      <c r="P13583" s="33">
        <f t="shared" si="848"/>
        <v>0</v>
      </c>
      <c r="Q13583" s="31" t="str">
        <f t="shared" si="849"/>
        <v/>
      </c>
      <c r="R13583" s="32" t="str">
        <f>IFERROR(VLOOKUP($D13583,'Informations sur les produits'!$A$3:$B$15000,2,FALSE),"")</f>
        <v/>
      </c>
      <c r="V13583">
        <f t="shared" si="850"/>
        <v>0</v>
      </c>
      <c r="W13583">
        <f t="shared" si="851"/>
        <v>0</v>
      </c>
    </row>
    <row r="13584" spans="5:23" x14ac:dyDescent="0.25">
      <c r="E13584" s="4"/>
      <c r="F13584" s="4"/>
      <c r="G13584" s="33" t="str">
        <f>IFERROR(VLOOKUP($D13584,'Informations sur les produits'!$A$3:$H$10000,8,FALSE),"0")</f>
        <v>0</v>
      </c>
      <c r="K13584" s="4"/>
      <c r="L13584" s="33" t="str">
        <f>IFERROR(VLOOKUP($J13584,'Informations sur les produits'!$A$3:$H$10000,8,FALSE),"0")</f>
        <v>0</v>
      </c>
      <c r="N13584" s="8"/>
      <c r="O13584" s="33" t="str">
        <f>IFERROR(VLOOKUP($M13584,'Informations sur les produits'!$A$3:$H$10000,8,FALSE),"0")</f>
        <v>0</v>
      </c>
      <c r="P13584" s="33">
        <f t="shared" si="848"/>
        <v>0</v>
      </c>
      <c r="Q13584" s="31" t="str">
        <f t="shared" si="849"/>
        <v/>
      </c>
      <c r="R13584" s="32" t="str">
        <f>IFERROR(VLOOKUP($D13584,'Informations sur les produits'!$A$3:$B$15000,2,FALSE),"")</f>
        <v/>
      </c>
      <c r="V13584">
        <f t="shared" si="850"/>
        <v>0</v>
      </c>
      <c r="W13584">
        <f t="shared" si="851"/>
        <v>0</v>
      </c>
    </row>
    <row r="13585" spans="5:23" x14ac:dyDescent="0.25">
      <c r="E13585" s="4"/>
      <c r="F13585" s="4"/>
      <c r="G13585" s="33" t="str">
        <f>IFERROR(VLOOKUP($D13585,'Informations sur les produits'!$A$3:$H$10000,8,FALSE),"0")</f>
        <v>0</v>
      </c>
      <c r="K13585" s="4"/>
      <c r="L13585" s="33" t="str">
        <f>IFERROR(VLOOKUP($J13585,'Informations sur les produits'!$A$3:$H$10000,8,FALSE),"0")</f>
        <v>0</v>
      </c>
      <c r="N13585" s="8"/>
      <c r="O13585" s="33" t="str">
        <f>IFERROR(VLOOKUP($M13585,'Informations sur les produits'!$A$3:$H$10000,8,FALSE),"0")</f>
        <v>0</v>
      </c>
      <c r="P13585" s="33">
        <f t="shared" si="848"/>
        <v>0</v>
      </c>
      <c r="Q13585" s="31" t="str">
        <f t="shared" si="849"/>
        <v/>
      </c>
      <c r="R13585" s="32" t="str">
        <f>IFERROR(VLOOKUP($D13585,'Informations sur les produits'!$A$3:$B$15000,2,FALSE),"")</f>
        <v/>
      </c>
      <c r="V13585">
        <f t="shared" si="850"/>
        <v>0</v>
      </c>
      <c r="W13585">
        <f t="shared" si="851"/>
        <v>0</v>
      </c>
    </row>
    <row r="13586" spans="5:23" x14ac:dyDescent="0.25">
      <c r="E13586" s="4"/>
      <c r="F13586" s="4"/>
      <c r="G13586" s="33" t="str">
        <f>IFERROR(VLOOKUP($D13586,'Informations sur les produits'!$A$3:$H$10000,8,FALSE),"0")</f>
        <v>0</v>
      </c>
      <c r="K13586" s="4"/>
      <c r="L13586" s="33" t="str">
        <f>IFERROR(VLOOKUP($J13586,'Informations sur les produits'!$A$3:$H$10000,8,FALSE),"0")</f>
        <v>0</v>
      </c>
      <c r="N13586" s="8"/>
      <c r="O13586" s="33" t="str">
        <f>IFERROR(VLOOKUP($M13586,'Informations sur les produits'!$A$3:$H$10000,8,FALSE),"0")</f>
        <v>0</v>
      </c>
      <c r="P13586" s="33">
        <f t="shared" si="848"/>
        <v>0</v>
      </c>
      <c r="Q13586" s="31" t="str">
        <f t="shared" si="849"/>
        <v/>
      </c>
      <c r="R13586" s="32" t="str">
        <f>IFERROR(VLOOKUP($D13586,'Informations sur les produits'!$A$3:$B$15000,2,FALSE),"")</f>
        <v/>
      </c>
      <c r="V13586">
        <f t="shared" si="850"/>
        <v>0</v>
      </c>
      <c r="W13586">
        <f t="shared" si="851"/>
        <v>0</v>
      </c>
    </row>
    <row r="13587" spans="5:23" x14ac:dyDescent="0.25">
      <c r="E13587" s="4"/>
      <c r="F13587" s="4"/>
      <c r="G13587" s="33" t="str">
        <f>IFERROR(VLOOKUP($D13587,'Informations sur les produits'!$A$3:$H$10000,8,FALSE),"0")</f>
        <v>0</v>
      </c>
      <c r="K13587" s="4"/>
      <c r="L13587" s="33" t="str">
        <f>IFERROR(VLOOKUP($J13587,'Informations sur les produits'!$A$3:$H$10000,8,FALSE),"0")</f>
        <v>0</v>
      </c>
      <c r="N13587" s="8"/>
      <c r="O13587" s="33" t="str">
        <f>IFERROR(VLOOKUP($M13587,'Informations sur les produits'!$A$3:$H$10000,8,FALSE),"0")</f>
        <v>0</v>
      </c>
      <c r="P13587" s="33">
        <f t="shared" si="848"/>
        <v>0</v>
      </c>
      <c r="Q13587" s="31" t="str">
        <f t="shared" si="849"/>
        <v/>
      </c>
      <c r="R13587" s="32" t="str">
        <f>IFERROR(VLOOKUP($D13587,'Informations sur les produits'!$A$3:$B$15000,2,FALSE),"")</f>
        <v/>
      </c>
      <c r="V13587">
        <f t="shared" si="850"/>
        <v>0</v>
      </c>
      <c r="W13587">
        <f t="shared" si="851"/>
        <v>0</v>
      </c>
    </row>
    <row r="13588" spans="5:23" x14ac:dyDescent="0.25">
      <c r="E13588" s="4"/>
      <c r="F13588" s="4"/>
      <c r="G13588" s="33" t="str">
        <f>IFERROR(VLOOKUP($D13588,'Informations sur les produits'!$A$3:$H$10000,8,FALSE),"0")</f>
        <v>0</v>
      </c>
      <c r="K13588" s="4"/>
      <c r="L13588" s="33" t="str">
        <f>IFERROR(VLOOKUP($J13588,'Informations sur les produits'!$A$3:$H$10000,8,FALSE),"0")</f>
        <v>0</v>
      </c>
      <c r="N13588" s="8"/>
      <c r="O13588" s="33" t="str">
        <f>IFERROR(VLOOKUP($M13588,'Informations sur les produits'!$A$3:$H$10000,8,FALSE),"0")</f>
        <v>0</v>
      </c>
      <c r="P13588" s="33">
        <f t="shared" si="848"/>
        <v>0</v>
      </c>
      <c r="Q13588" s="31" t="str">
        <f t="shared" si="849"/>
        <v/>
      </c>
      <c r="R13588" s="32" t="str">
        <f>IFERROR(VLOOKUP($D13588,'Informations sur les produits'!$A$3:$B$15000,2,FALSE),"")</f>
        <v/>
      </c>
      <c r="V13588">
        <f t="shared" si="850"/>
        <v>0</v>
      </c>
      <c r="W13588">
        <f t="shared" si="851"/>
        <v>0</v>
      </c>
    </row>
    <row r="13589" spans="5:23" x14ac:dyDescent="0.25">
      <c r="E13589" s="4"/>
      <c r="F13589" s="4"/>
      <c r="G13589" s="33" t="str">
        <f>IFERROR(VLOOKUP($D13589,'Informations sur les produits'!$A$3:$H$10000,8,FALSE),"0")</f>
        <v>0</v>
      </c>
      <c r="K13589" s="4"/>
      <c r="L13589" s="33" t="str">
        <f>IFERROR(VLOOKUP($J13589,'Informations sur les produits'!$A$3:$H$10000,8,FALSE),"0")</f>
        <v>0</v>
      </c>
      <c r="N13589" s="8"/>
      <c r="O13589" s="33" t="str">
        <f>IFERROR(VLOOKUP($M13589,'Informations sur les produits'!$A$3:$H$10000,8,FALSE),"0")</f>
        <v>0</v>
      </c>
      <c r="P13589" s="33">
        <f t="shared" si="848"/>
        <v>0</v>
      </c>
      <c r="Q13589" s="31" t="str">
        <f t="shared" si="849"/>
        <v/>
      </c>
      <c r="R13589" s="32" t="str">
        <f>IFERROR(VLOOKUP($D13589,'Informations sur les produits'!$A$3:$B$15000,2,FALSE),"")</f>
        <v/>
      </c>
      <c r="V13589">
        <f t="shared" si="850"/>
        <v>0</v>
      </c>
      <c r="W13589">
        <f t="shared" si="851"/>
        <v>0</v>
      </c>
    </row>
    <row r="13590" spans="5:23" x14ac:dyDescent="0.25">
      <c r="E13590" s="4"/>
      <c r="F13590" s="4"/>
      <c r="G13590" s="33" t="str">
        <f>IFERROR(VLOOKUP($D13590,'Informations sur les produits'!$A$3:$H$10000,8,FALSE),"0")</f>
        <v>0</v>
      </c>
      <c r="K13590" s="4"/>
      <c r="L13590" s="33" t="str">
        <f>IFERROR(VLOOKUP($J13590,'Informations sur les produits'!$A$3:$H$10000,8,FALSE),"0")</f>
        <v>0</v>
      </c>
      <c r="N13590" s="8"/>
      <c r="O13590" s="33" t="str">
        <f>IFERROR(VLOOKUP($M13590,'Informations sur les produits'!$A$3:$H$10000,8,FALSE),"0")</f>
        <v>0</v>
      </c>
      <c r="P13590" s="33">
        <f t="shared" si="848"/>
        <v>0</v>
      </c>
      <c r="Q13590" s="31" t="str">
        <f t="shared" si="849"/>
        <v/>
      </c>
      <c r="R13590" s="32" t="str">
        <f>IFERROR(VLOOKUP($D13590,'Informations sur les produits'!$A$3:$B$15000,2,FALSE),"")</f>
        <v/>
      </c>
      <c r="V13590">
        <f t="shared" si="850"/>
        <v>0</v>
      </c>
      <c r="W13590">
        <f t="shared" si="851"/>
        <v>0</v>
      </c>
    </row>
    <row r="13591" spans="5:23" x14ac:dyDescent="0.25">
      <c r="E13591" s="4"/>
      <c r="F13591" s="4"/>
      <c r="G13591" s="33" t="str">
        <f>IFERROR(VLOOKUP($D13591,'Informations sur les produits'!$A$3:$H$10000,8,FALSE),"0")</f>
        <v>0</v>
      </c>
      <c r="K13591" s="4"/>
      <c r="L13591" s="33" t="str">
        <f>IFERROR(VLOOKUP($J13591,'Informations sur les produits'!$A$3:$H$10000,8,FALSE),"0")</f>
        <v>0</v>
      </c>
      <c r="N13591" s="8"/>
      <c r="O13591" s="33" t="str">
        <f>IFERROR(VLOOKUP($M13591,'Informations sur les produits'!$A$3:$H$10000,8,FALSE),"0")</f>
        <v>0</v>
      </c>
      <c r="P13591" s="33">
        <f t="shared" si="848"/>
        <v>0</v>
      </c>
      <c r="Q13591" s="31" t="str">
        <f t="shared" si="849"/>
        <v/>
      </c>
      <c r="R13591" s="32" t="str">
        <f>IFERROR(VLOOKUP($D13591,'Informations sur les produits'!$A$3:$B$15000,2,FALSE),"")</f>
        <v/>
      </c>
      <c r="V13591">
        <f t="shared" si="850"/>
        <v>0</v>
      </c>
      <c r="W13591">
        <f t="shared" si="851"/>
        <v>0</v>
      </c>
    </row>
    <row r="13592" spans="5:23" x14ac:dyDescent="0.25">
      <c r="E13592" s="4"/>
      <c r="F13592" s="4"/>
      <c r="G13592" s="33" t="str">
        <f>IFERROR(VLOOKUP($D13592,'Informations sur les produits'!$A$3:$H$10000,8,FALSE),"0")</f>
        <v>0</v>
      </c>
      <c r="K13592" s="4"/>
      <c r="L13592" s="33" t="str">
        <f>IFERROR(VLOOKUP($J13592,'Informations sur les produits'!$A$3:$H$10000,8,FALSE),"0")</f>
        <v>0</v>
      </c>
      <c r="N13592" s="8"/>
      <c r="O13592" s="33" t="str">
        <f>IFERROR(VLOOKUP($M13592,'Informations sur les produits'!$A$3:$H$10000,8,FALSE),"0")</f>
        <v>0</v>
      </c>
      <c r="P13592" s="33">
        <f t="shared" si="848"/>
        <v>0</v>
      </c>
      <c r="Q13592" s="31" t="str">
        <f t="shared" si="849"/>
        <v/>
      </c>
      <c r="R13592" s="32" t="str">
        <f>IFERROR(VLOOKUP($D13592,'Informations sur les produits'!$A$3:$B$15000,2,FALSE),"")</f>
        <v/>
      </c>
      <c r="V13592">
        <f t="shared" si="850"/>
        <v>0</v>
      </c>
      <c r="W13592">
        <f t="shared" si="851"/>
        <v>0</v>
      </c>
    </row>
    <row r="13593" spans="5:23" x14ac:dyDescent="0.25">
      <c r="E13593" s="4"/>
      <c r="F13593" s="4"/>
      <c r="G13593" s="33" t="str">
        <f>IFERROR(VLOOKUP($D13593,'Informations sur les produits'!$A$3:$H$10000,8,FALSE),"0")</f>
        <v>0</v>
      </c>
      <c r="K13593" s="4"/>
      <c r="L13593" s="33" t="str">
        <f>IFERROR(VLOOKUP($J13593,'Informations sur les produits'!$A$3:$H$10000,8,FALSE),"0")</f>
        <v>0</v>
      </c>
      <c r="N13593" s="8"/>
      <c r="O13593" s="33" t="str">
        <f>IFERROR(VLOOKUP($M13593,'Informations sur les produits'!$A$3:$H$10000,8,FALSE),"0")</f>
        <v>0</v>
      </c>
      <c r="P13593" s="33">
        <f t="shared" si="848"/>
        <v>0</v>
      </c>
      <c r="Q13593" s="31" t="str">
        <f t="shared" si="849"/>
        <v/>
      </c>
      <c r="R13593" s="32" t="str">
        <f>IFERROR(VLOOKUP($D13593,'Informations sur les produits'!$A$3:$B$15000,2,FALSE),"")</f>
        <v/>
      </c>
      <c r="V13593">
        <f t="shared" si="850"/>
        <v>0</v>
      </c>
      <c r="W13593">
        <f t="shared" si="851"/>
        <v>0</v>
      </c>
    </row>
    <row r="13594" spans="5:23" x14ac:dyDescent="0.25">
      <c r="E13594" s="4"/>
      <c r="F13594" s="4"/>
      <c r="G13594" s="33" t="str">
        <f>IFERROR(VLOOKUP($D13594,'Informations sur les produits'!$A$3:$H$10000,8,FALSE),"0")</f>
        <v>0</v>
      </c>
      <c r="K13594" s="4"/>
      <c r="L13594" s="33" t="str">
        <f>IFERROR(VLOOKUP($J13594,'Informations sur les produits'!$A$3:$H$10000,8,FALSE),"0")</f>
        <v>0</v>
      </c>
      <c r="N13594" s="8"/>
      <c r="O13594" s="33" t="str">
        <f>IFERROR(VLOOKUP($M13594,'Informations sur les produits'!$A$3:$H$10000,8,FALSE),"0")</f>
        <v>0</v>
      </c>
      <c r="P13594" s="33">
        <f t="shared" si="848"/>
        <v>0</v>
      </c>
      <c r="Q13594" s="31" t="str">
        <f t="shared" si="849"/>
        <v/>
      </c>
      <c r="R13594" s="32" t="str">
        <f>IFERROR(VLOOKUP($D13594,'Informations sur les produits'!$A$3:$B$15000,2,FALSE),"")</f>
        <v/>
      </c>
      <c r="V13594">
        <f t="shared" si="850"/>
        <v>0</v>
      </c>
      <c r="W13594">
        <f t="shared" si="851"/>
        <v>0</v>
      </c>
    </row>
    <row r="13595" spans="5:23" x14ac:dyDescent="0.25">
      <c r="E13595" s="4"/>
      <c r="F13595" s="4"/>
      <c r="G13595" s="33" t="str">
        <f>IFERROR(VLOOKUP($D13595,'Informations sur les produits'!$A$3:$H$10000,8,FALSE),"0")</f>
        <v>0</v>
      </c>
      <c r="K13595" s="4"/>
      <c r="L13595" s="33" t="str">
        <f>IFERROR(VLOOKUP($J13595,'Informations sur les produits'!$A$3:$H$10000,8,FALSE),"0")</f>
        <v>0</v>
      </c>
      <c r="N13595" s="8"/>
      <c r="O13595" s="33" t="str">
        <f>IFERROR(VLOOKUP($M13595,'Informations sur les produits'!$A$3:$H$10000,8,FALSE),"0")</f>
        <v>0</v>
      </c>
      <c r="P13595" s="33">
        <f t="shared" si="848"/>
        <v>0</v>
      </c>
      <c r="Q13595" s="31" t="str">
        <f t="shared" si="849"/>
        <v/>
      </c>
      <c r="R13595" s="32" t="str">
        <f>IFERROR(VLOOKUP($D13595,'Informations sur les produits'!$A$3:$B$15000,2,FALSE),"")</f>
        <v/>
      </c>
      <c r="V13595">
        <f t="shared" si="850"/>
        <v>0</v>
      </c>
      <c r="W13595">
        <f t="shared" si="851"/>
        <v>0</v>
      </c>
    </row>
    <row r="13596" spans="5:23" x14ac:dyDescent="0.25">
      <c r="E13596" s="4"/>
      <c r="F13596" s="4"/>
      <c r="G13596" s="33" t="str">
        <f>IFERROR(VLOOKUP($D13596,'Informations sur les produits'!$A$3:$H$10000,8,FALSE),"0")</f>
        <v>0</v>
      </c>
      <c r="K13596" s="4"/>
      <c r="L13596" s="33" t="str">
        <f>IFERROR(VLOOKUP($J13596,'Informations sur les produits'!$A$3:$H$10000,8,FALSE),"0")</f>
        <v>0</v>
      </c>
      <c r="N13596" s="8"/>
      <c r="O13596" s="33" t="str">
        <f>IFERROR(VLOOKUP($M13596,'Informations sur les produits'!$A$3:$H$10000,8,FALSE),"0")</f>
        <v>0</v>
      </c>
      <c r="P13596" s="33">
        <f t="shared" si="848"/>
        <v>0</v>
      </c>
      <c r="Q13596" s="31" t="str">
        <f t="shared" si="849"/>
        <v/>
      </c>
      <c r="R13596" s="32" t="str">
        <f>IFERROR(VLOOKUP($D13596,'Informations sur les produits'!$A$3:$B$15000,2,FALSE),"")</f>
        <v/>
      </c>
      <c r="V13596">
        <f t="shared" si="850"/>
        <v>0</v>
      </c>
      <c r="W13596">
        <f t="shared" si="851"/>
        <v>0</v>
      </c>
    </row>
    <row r="13597" spans="5:23" x14ac:dyDescent="0.25">
      <c r="E13597" s="4"/>
      <c r="F13597" s="4"/>
      <c r="G13597" s="33" t="str">
        <f>IFERROR(VLOOKUP($D13597,'Informations sur les produits'!$A$3:$H$10000,8,FALSE),"0")</f>
        <v>0</v>
      </c>
      <c r="K13597" s="4"/>
      <c r="L13597" s="33" t="str">
        <f>IFERROR(VLOOKUP($J13597,'Informations sur les produits'!$A$3:$H$10000,8,FALSE),"0")</f>
        <v>0</v>
      </c>
      <c r="N13597" s="8"/>
      <c r="O13597" s="33" t="str">
        <f>IFERROR(VLOOKUP($M13597,'Informations sur les produits'!$A$3:$H$10000,8,FALSE),"0")</f>
        <v>0</v>
      </c>
      <c r="P13597" s="33">
        <f t="shared" si="848"/>
        <v>0</v>
      </c>
      <c r="Q13597" s="31" t="str">
        <f t="shared" si="849"/>
        <v/>
      </c>
      <c r="R13597" s="32" t="str">
        <f>IFERROR(VLOOKUP($D13597,'Informations sur les produits'!$A$3:$B$15000,2,FALSE),"")</f>
        <v/>
      </c>
      <c r="V13597">
        <f t="shared" si="850"/>
        <v>0</v>
      </c>
      <c r="W13597">
        <f t="shared" si="851"/>
        <v>0</v>
      </c>
    </row>
    <row r="13598" spans="5:23" x14ac:dyDescent="0.25">
      <c r="E13598" s="4"/>
      <c r="F13598" s="4"/>
      <c r="G13598" s="33" t="str">
        <f>IFERROR(VLOOKUP($D13598,'Informations sur les produits'!$A$3:$H$10000,8,FALSE),"0")</f>
        <v>0</v>
      </c>
      <c r="K13598" s="4"/>
      <c r="L13598" s="33" t="str">
        <f>IFERROR(VLOOKUP($J13598,'Informations sur les produits'!$A$3:$H$10000,8,FALSE),"0")</f>
        <v>0</v>
      </c>
      <c r="N13598" s="8"/>
      <c r="O13598" s="33" t="str">
        <f>IFERROR(VLOOKUP($M13598,'Informations sur les produits'!$A$3:$H$10000,8,FALSE),"0")</f>
        <v>0</v>
      </c>
      <c r="P13598" s="33">
        <f t="shared" si="848"/>
        <v>0</v>
      </c>
      <c r="Q13598" s="31" t="str">
        <f t="shared" si="849"/>
        <v/>
      </c>
      <c r="R13598" s="32" t="str">
        <f>IFERROR(VLOOKUP($D13598,'Informations sur les produits'!$A$3:$B$15000,2,FALSE),"")</f>
        <v/>
      </c>
      <c r="V13598">
        <f t="shared" si="850"/>
        <v>0</v>
      </c>
      <c r="W13598">
        <f t="shared" si="851"/>
        <v>0</v>
      </c>
    </row>
    <row r="13599" spans="5:23" x14ac:dyDescent="0.25">
      <c r="E13599" s="4"/>
      <c r="F13599" s="4"/>
      <c r="G13599" s="33" t="str">
        <f>IFERROR(VLOOKUP($D13599,'Informations sur les produits'!$A$3:$H$10000,8,FALSE),"0")</f>
        <v>0</v>
      </c>
      <c r="K13599" s="4"/>
      <c r="L13599" s="33" t="str">
        <f>IFERROR(VLOOKUP($J13599,'Informations sur les produits'!$A$3:$H$10000,8,FALSE),"0")</f>
        <v>0</v>
      </c>
      <c r="N13599" s="8"/>
      <c r="O13599" s="33" t="str">
        <f>IFERROR(VLOOKUP($M13599,'Informations sur les produits'!$A$3:$H$10000,8,FALSE),"0")</f>
        <v>0</v>
      </c>
      <c r="P13599" s="33">
        <f t="shared" si="848"/>
        <v>0</v>
      </c>
      <c r="Q13599" s="31" t="str">
        <f t="shared" si="849"/>
        <v/>
      </c>
      <c r="R13599" s="32" t="str">
        <f>IFERROR(VLOOKUP($D13599,'Informations sur les produits'!$A$3:$B$15000,2,FALSE),"")</f>
        <v/>
      </c>
      <c r="V13599">
        <f t="shared" si="850"/>
        <v>0</v>
      </c>
      <c r="W13599">
        <f t="shared" si="851"/>
        <v>0</v>
      </c>
    </row>
    <row r="13600" spans="5:23" x14ac:dyDescent="0.25">
      <c r="E13600" s="4"/>
      <c r="F13600" s="4"/>
      <c r="G13600" s="33" t="str">
        <f>IFERROR(VLOOKUP($D13600,'Informations sur les produits'!$A$3:$H$10000,8,FALSE),"0")</f>
        <v>0</v>
      </c>
      <c r="K13600" s="4"/>
      <c r="L13600" s="33" t="str">
        <f>IFERROR(VLOOKUP($J13600,'Informations sur les produits'!$A$3:$H$10000,8,FALSE),"0")</f>
        <v>0</v>
      </c>
      <c r="N13600" s="8"/>
      <c r="O13600" s="33" t="str">
        <f>IFERROR(VLOOKUP($M13600,'Informations sur les produits'!$A$3:$H$10000,8,FALSE),"0")</f>
        <v>0</v>
      </c>
      <c r="P13600" s="33">
        <f t="shared" si="848"/>
        <v>0</v>
      </c>
      <c r="Q13600" s="31" t="str">
        <f t="shared" si="849"/>
        <v/>
      </c>
      <c r="R13600" s="32" t="str">
        <f>IFERROR(VLOOKUP($D13600,'Informations sur les produits'!$A$3:$B$15000,2,FALSE),"")</f>
        <v/>
      </c>
      <c r="V13600">
        <f t="shared" si="850"/>
        <v>0</v>
      </c>
      <c r="W13600">
        <f t="shared" si="851"/>
        <v>0</v>
      </c>
    </row>
    <row r="13601" spans="5:23" x14ac:dyDescent="0.25">
      <c r="E13601" s="4"/>
      <c r="F13601" s="4"/>
      <c r="G13601" s="33" t="str">
        <f>IFERROR(VLOOKUP($D13601,'Informations sur les produits'!$A$3:$H$10000,8,FALSE),"0")</f>
        <v>0</v>
      </c>
      <c r="K13601" s="4"/>
      <c r="L13601" s="33" t="str">
        <f>IFERROR(VLOOKUP($J13601,'Informations sur les produits'!$A$3:$H$10000,8,FALSE),"0")</f>
        <v>0</v>
      </c>
      <c r="N13601" s="8"/>
      <c r="O13601" s="33" t="str">
        <f>IFERROR(VLOOKUP($M13601,'Informations sur les produits'!$A$3:$H$10000,8,FALSE),"0")</f>
        <v>0</v>
      </c>
      <c r="P13601" s="33">
        <f t="shared" si="848"/>
        <v>0</v>
      </c>
      <c r="Q13601" s="31" t="str">
        <f t="shared" si="849"/>
        <v/>
      </c>
      <c r="R13601" s="32" t="str">
        <f>IFERROR(VLOOKUP($D13601,'Informations sur les produits'!$A$3:$B$15000,2,FALSE),"")</f>
        <v/>
      </c>
      <c r="V13601">
        <f t="shared" si="850"/>
        <v>0</v>
      </c>
      <c r="W13601">
        <f t="shared" si="851"/>
        <v>0</v>
      </c>
    </row>
    <row r="13602" spans="5:23" x14ac:dyDescent="0.25">
      <c r="E13602" s="4"/>
      <c r="F13602" s="4"/>
      <c r="G13602" s="33" t="str">
        <f>IFERROR(VLOOKUP($D13602,'Informations sur les produits'!$A$3:$H$10000,8,FALSE),"0")</f>
        <v>0</v>
      </c>
      <c r="K13602" s="4"/>
      <c r="L13602" s="33" t="str">
        <f>IFERROR(VLOOKUP($J13602,'Informations sur les produits'!$A$3:$H$10000,8,FALSE),"0")</f>
        <v>0</v>
      </c>
      <c r="N13602" s="8"/>
      <c r="O13602" s="33" t="str">
        <f>IFERROR(VLOOKUP($M13602,'Informations sur les produits'!$A$3:$H$10000,8,FALSE),"0")</f>
        <v>0</v>
      </c>
      <c r="P13602" s="33">
        <f t="shared" si="848"/>
        <v>0</v>
      </c>
      <c r="Q13602" s="31" t="str">
        <f t="shared" si="849"/>
        <v/>
      </c>
      <c r="R13602" s="32" t="str">
        <f>IFERROR(VLOOKUP($D13602,'Informations sur les produits'!$A$3:$B$15000,2,FALSE),"")</f>
        <v/>
      </c>
      <c r="V13602">
        <f t="shared" si="850"/>
        <v>0</v>
      </c>
      <c r="W13602">
        <f t="shared" si="851"/>
        <v>0</v>
      </c>
    </row>
    <row r="13603" spans="5:23" x14ac:dyDescent="0.25">
      <c r="E13603" s="4"/>
      <c r="F13603" s="4"/>
      <c r="G13603" s="33" t="str">
        <f>IFERROR(VLOOKUP($D13603,'Informations sur les produits'!$A$3:$H$10000,8,FALSE),"0")</f>
        <v>0</v>
      </c>
      <c r="K13603" s="4"/>
      <c r="L13603" s="33" t="str">
        <f>IFERROR(VLOOKUP($J13603,'Informations sur les produits'!$A$3:$H$10000,8,FALSE),"0")</f>
        <v>0</v>
      </c>
      <c r="N13603" s="8"/>
      <c r="O13603" s="33" t="str">
        <f>IFERROR(VLOOKUP($M13603,'Informations sur les produits'!$A$3:$H$10000,8,FALSE),"0")</f>
        <v>0</v>
      </c>
      <c r="P13603" s="33">
        <f t="shared" si="848"/>
        <v>0</v>
      </c>
      <c r="Q13603" s="31" t="str">
        <f t="shared" si="849"/>
        <v/>
      </c>
      <c r="R13603" s="32" t="str">
        <f>IFERROR(VLOOKUP($D13603,'Informations sur les produits'!$A$3:$B$15000,2,FALSE),"")</f>
        <v/>
      </c>
      <c r="V13603">
        <f t="shared" si="850"/>
        <v>0</v>
      </c>
      <c r="W13603">
        <f t="shared" si="851"/>
        <v>0</v>
      </c>
    </row>
    <row r="13604" spans="5:23" x14ac:dyDescent="0.25">
      <c r="E13604" s="4"/>
      <c r="F13604" s="4"/>
      <c r="G13604" s="33" t="str">
        <f>IFERROR(VLOOKUP($D13604,'Informations sur les produits'!$A$3:$H$10000,8,FALSE),"0")</f>
        <v>0</v>
      </c>
      <c r="K13604" s="4"/>
      <c r="L13604" s="33" t="str">
        <f>IFERROR(VLOOKUP($J13604,'Informations sur les produits'!$A$3:$H$10000,8,FALSE),"0")</f>
        <v>0</v>
      </c>
      <c r="N13604" s="8"/>
      <c r="O13604" s="33" t="str">
        <f>IFERROR(VLOOKUP($M13604,'Informations sur les produits'!$A$3:$H$10000,8,FALSE),"0")</f>
        <v>0</v>
      </c>
      <c r="P13604" s="33">
        <f t="shared" si="848"/>
        <v>0</v>
      </c>
      <c r="Q13604" s="31" t="str">
        <f t="shared" si="849"/>
        <v/>
      </c>
      <c r="R13604" s="32" t="str">
        <f>IFERROR(VLOOKUP($D13604,'Informations sur les produits'!$A$3:$B$15000,2,FALSE),"")</f>
        <v/>
      </c>
      <c r="V13604">
        <f t="shared" si="850"/>
        <v>0</v>
      </c>
      <c r="W13604">
        <f t="shared" si="851"/>
        <v>0</v>
      </c>
    </row>
    <row r="13605" spans="5:23" x14ac:dyDescent="0.25">
      <c r="E13605" s="4"/>
      <c r="F13605" s="4"/>
      <c r="G13605" s="33" t="str">
        <f>IFERROR(VLOOKUP($D13605,'Informations sur les produits'!$A$3:$H$10000,8,FALSE),"0")</f>
        <v>0</v>
      </c>
      <c r="K13605" s="4"/>
      <c r="L13605" s="33" t="str">
        <f>IFERROR(VLOOKUP($J13605,'Informations sur les produits'!$A$3:$H$10000,8,FALSE),"0")</f>
        <v>0</v>
      </c>
      <c r="N13605" s="8"/>
      <c r="O13605" s="33" t="str">
        <f>IFERROR(VLOOKUP($M13605,'Informations sur les produits'!$A$3:$H$10000,8,FALSE),"0")</f>
        <v>0</v>
      </c>
      <c r="P13605" s="33">
        <f t="shared" si="848"/>
        <v>0</v>
      </c>
      <c r="Q13605" s="31" t="str">
        <f t="shared" si="849"/>
        <v/>
      </c>
      <c r="R13605" s="32" t="str">
        <f>IFERROR(VLOOKUP($D13605,'Informations sur les produits'!$A$3:$B$15000,2,FALSE),"")</f>
        <v/>
      </c>
      <c r="V13605">
        <f t="shared" si="850"/>
        <v>0</v>
      </c>
      <c r="W13605">
        <f t="shared" si="851"/>
        <v>0</v>
      </c>
    </row>
    <row r="13606" spans="5:23" x14ac:dyDescent="0.25">
      <c r="E13606" s="4"/>
      <c r="F13606" s="4"/>
      <c r="G13606" s="33" t="str">
        <f>IFERROR(VLOOKUP($D13606,'Informations sur les produits'!$A$3:$H$10000,8,FALSE),"0")</f>
        <v>0</v>
      </c>
      <c r="K13606" s="4"/>
      <c r="L13606" s="33" t="str">
        <f>IFERROR(VLOOKUP($J13606,'Informations sur les produits'!$A$3:$H$10000,8,FALSE),"0")</f>
        <v>0</v>
      </c>
      <c r="N13606" s="8"/>
      <c r="O13606" s="33" t="str">
        <f>IFERROR(VLOOKUP($M13606,'Informations sur les produits'!$A$3:$H$10000,8,FALSE),"0")</f>
        <v>0</v>
      </c>
      <c r="P13606" s="33">
        <f t="shared" si="848"/>
        <v>0</v>
      </c>
      <c r="Q13606" s="31" t="str">
        <f t="shared" si="849"/>
        <v/>
      </c>
      <c r="R13606" s="32" t="str">
        <f>IFERROR(VLOOKUP($D13606,'Informations sur les produits'!$A$3:$B$15000,2,FALSE),"")</f>
        <v/>
      </c>
      <c r="V13606">
        <f t="shared" si="850"/>
        <v>0</v>
      </c>
      <c r="W13606">
        <f t="shared" si="851"/>
        <v>0</v>
      </c>
    </row>
    <row r="13607" spans="5:23" x14ac:dyDescent="0.25">
      <c r="E13607" s="4"/>
      <c r="F13607" s="4"/>
      <c r="G13607" s="33" t="str">
        <f>IFERROR(VLOOKUP($D13607,'Informations sur les produits'!$A$3:$H$10000,8,FALSE),"0")</f>
        <v>0</v>
      </c>
      <c r="K13607" s="4"/>
      <c r="L13607" s="33" t="str">
        <f>IFERROR(VLOOKUP($J13607,'Informations sur les produits'!$A$3:$H$10000,8,FALSE),"0")</f>
        <v>0</v>
      </c>
      <c r="N13607" s="8"/>
      <c r="O13607" s="33" t="str">
        <f>IFERROR(VLOOKUP($M13607,'Informations sur les produits'!$A$3:$H$10000,8,FALSE),"0")</f>
        <v>0</v>
      </c>
      <c r="P13607" s="33">
        <f t="shared" si="848"/>
        <v>0</v>
      </c>
      <c r="Q13607" s="31" t="str">
        <f t="shared" si="849"/>
        <v/>
      </c>
      <c r="R13607" s="32" t="str">
        <f>IFERROR(VLOOKUP($D13607,'Informations sur les produits'!$A$3:$B$15000,2,FALSE),"")</f>
        <v/>
      </c>
      <c r="V13607">
        <f t="shared" si="850"/>
        <v>0</v>
      </c>
      <c r="W13607">
        <f t="shared" si="851"/>
        <v>0</v>
      </c>
    </row>
    <row r="13608" spans="5:23" x14ac:dyDescent="0.25">
      <c r="E13608" s="4"/>
      <c r="F13608" s="4"/>
      <c r="G13608" s="33" t="str">
        <f>IFERROR(VLOOKUP($D13608,'Informations sur les produits'!$A$3:$H$10000,8,FALSE),"0")</f>
        <v>0</v>
      </c>
      <c r="K13608" s="4"/>
      <c r="L13608" s="33" t="str">
        <f>IFERROR(VLOOKUP($J13608,'Informations sur les produits'!$A$3:$H$10000,8,FALSE),"0")</f>
        <v>0</v>
      </c>
      <c r="N13608" s="8"/>
      <c r="O13608" s="33" t="str">
        <f>IFERROR(VLOOKUP($M13608,'Informations sur les produits'!$A$3:$H$10000,8,FALSE),"0")</f>
        <v>0</v>
      </c>
      <c r="P13608" s="33">
        <f t="shared" si="848"/>
        <v>0</v>
      </c>
      <c r="Q13608" s="31" t="str">
        <f t="shared" si="849"/>
        <v/>
      </c>
      <c r="R13608" s="32" t="str">
        <f>IFERROR(VLOOKUP($D13608,'Informations sur les produits'!$A$3:$B$15000,2,FALSE),"")</f>
        <v/>
      </c>
      <c r="V13608">
        <f t="shared" si="850"/>
        <v>0</v>
      </c>
      <c r="W13608">
        <f t="shared" si="851"/>
        <v>0</v>
      </c>
    </row>
    <row r="13609" spans="5:23" x14ac:dyDescent="0.25">
      <c r="E13609" s="4"/>
      <c r="F13609" s="4"/>
      <c r="G13609" s="33" t="str">
        <f>IFERROR(VLOOKUP($D13609,'Informations sur les produits'!$A$3:$H$10000,8,FALSE),"0")</f>
        <v>0</v>
      </c>
      <c r="K13609" s="4"/>
      <c r="L13609" s="33" t="str">
        <f>IFERROR(VLOOKUP($J13609,'Informations sur les produits'!$A$3:$H$10000,8,FALSE),"0")</f>
        <v>0</v>
      </c>
      <c r="N13609" s="8"/>
      <c r="O13609" s="33" t="str">
        <f>IFERROR(VLOOKUP($M13609,'Informations sur les produits'!$A$3:$H$10000,8,FALSE),"0")</f>
        <v>0</v>
      </c>
      <c r="P13609" s="33">
        <f t="shared" si="848"/>
        <v>0</v>
      </c>
      <c r="Q13609" s="31" t="str">
        <f t="shared" si="849"/>
        <v/>
      </c>
      <c r="R13609" s="32" t="str">
        <f>IFERROR(VLOOKUP($D13609,'Informations sur les produits'!$A$3:$B$15000,2,FALSE),"")</f>
        <v/>
      </c>
      <c r="V13609">
        <f t="shared" si="850"/>
        <v>0</v>
      </c>
      <c r="W13609">
        <f t="shared" si="851"/>
        <v>0</v>
      </c>
    </row>
    <row r="13610" spans="5:23" x14ac:dyDescent="0.25">
      <c r="E13610" s="4"/>
      <c r="F13610" s="4"/>
      <c r="G13610" s="33" t="str">
        <f>IFERROR(VLOOKUP($D13610,'Informations sur les produits'!$A$3:$H$10000,8,FALSE),"0")</f>
        <v>0</v>
      </c>
      <c r="K13610" s="4"/>
      <c r="L13610" s="33" t="str">
        <f>IFERROR(VLOOKUP($J13610,'Informations sur les produits'!$A$3:$H$10000,8,FALSE),"0")</f>
        <v>0</v>
      </c>
      <c r="N13610" s="8"/>
      <c r="O13610" s="33" t="str">
        <f>IFERROR(VLOOKUP($M13610,'Informations sur les produits'!$A$3:$H$10000,8,FALSE),"0")</f>
        <v>0</v>
      </c>
      <c r="P13610" s="33">
        <f t="shared" si="848"/>
        <v>0</v>
      </c>
      <c r="Q13610" s="31" t="str">
        <f t="shared" si="849"/>
        <v/>
      </c>
      <c r="R13610" s="32" t="str">
        <f>IFERROR(VLOOKUP($D13610,'Informations sur les produits'!$A$3:$B$15000,2,FALSE),"")</f>
        <v/>
      </c>
      <c r="V13610">
        <f t="shared" si="850"/>
        <v>0</v>
      </c>
      <c r="W13610">
        <f t="shared" si="851"/>
        <v>0</v>
      </c>
    </row>
    <row r="13611" spans="5:23" x14ac:dyDescent="0.25">
      <c r="E13611" s="4"/>
      <c r="F13611" s="4"/>
      <c r="G13611" s="33" t="str">
        <f>IFERROR(VLOOKUP($D13611,'Informations sur les produits'!$A$3:$H$10000,8,FALSE),"0")</f>
        <v>0</v>
      </c>
      <c r="K13611" s="4"/>
      <c r="L13611" s="33" t="str">
        <f>IFERROR(VLOOKUP($J13611,'Informations sur les produits'!$A$3:$H$10000,8,FALSE),"0")</f>
        <v>0</v>
      </c>
      <c r="N13611" s="8"/>
      <c r="O13611" s="33" t="str">
        <f>IFERROR(VLOOKUP($M13611,'Informations sur les produits'!$A$3:$H$10000,8,FALSE),"0")</f>
        <v>0</v>
      </c>
      <c r="P13611" s="33">
        <f t="shared" si="848"/>
        <v>0</v>
      </c>
      <c r="Q13611" s="31" t="str">
        <f t="shared" si="849"/>
        <v/>
      </c>
      <c r="R13611" s="32" t="str">
        <f>IFERROR(VLOOKUP($D13611,'Informations sur les produits'!$A$3:$B$15000,2,FALSE),"")</f>
        <v/>
      </c>
      <c r="V13611">
        <f t="shared" si="850"/>
        <v>0</v>
      </c>
      <c r="W13611">
        <f t="shared" si="851"/>
        <v>0</v>
      </c>
    </row>
    <row r="13612" spans="5:23" x14ac:dyDescent="0.25">
      <c r="E13612" s="4"/>
      <c r="F13612" s="4"/>
      <c r="G13612" s="33" t="str">
        <f>IFERROR(VLOOKUP($D13612,'Informations sur les produits'!$A$3:$H$10000,8,FALSE),"0")</f>
        <v>0</v>
      </c>
      <c r="K13612" s="4"/>
      <c r="L13612" s="33" t="str">
        <f>IFERROR(VLOOKUP($J13612,'Informations sur les produits'!$A$3:$H$10000,8,FALSE),"0")</f>
        <v>0</v>
      </c>
      <c r="N13612" s="8"/>
      <c r="O13612" s="33" t="str">
        <f>IFERROR(VLOOKUP($M13612,'Informations sur les produits'!$A$3:$H$10000,8,FALSE),"0")</f>
        <v>0</v>
      </c>
      <c r="P13612" s="33">
        <f t="shared" si="848"/>
        <v>0</v>
      </c>
      <c r="Q13612" s="31" t="str">
        <f t="shared" si="849"/>
        <v/>
      </c>
      <c r="R13612" s="32" t="str">
        <f>IFERROR(VLOOKUP($D13612,'Informations sur les produits'!$A$3:$B$15000,2,FALSE),"")</f>
        <v/>
      </c>
      <c r="V13612">
        <f t="shared" si="850"/>
        <v>0</v>
      </c>
      <c r="W13612">
        <f t="shared" si="851"/>
        <v>0</v>
      </c>
    </row>
    <row r="13613" spans="5:23" x14ac:dyDescent="0.25">
      <c r="E13613" s="4"/>
      <c r="F13613" s="4"/>
      <c r="G13613" s="33" t="str">
        <f>IFERROR(VLOOKUP($D13613,'Informations sur les produits'!$A$3:$H$10000,8,FALSE),"0")</f>
        <v>0</v>
      </c>
      <c r="K13613" s="4"/>
      <c r="L13613" s="33" t="str">
        <f>IFERROR(VLOOKUP($J13613,'Informations sur les produits'!$A$3:$H$10000,8,FALSE),"0")</f>
        <v>0</v>
      </c>
      <c r="N13613" s="8"/>
      <c r="O13613" s="33" t="str">
        <f>IFERROR(VLOOKUP($M13613,'Informations sur les produits'!$A$3:$H$10000,8,FALSE),"0")</f>
        <v>0</v>
      </c>
      <c r="P13613" s="33">
        <f t="shared" si="848"/>
        <v>0</v>
      </c>
      <c r="Q13613" s="31" t="str">
        <f t="shared" si="849"/>
        <v/>
      </c>
      <c r="R13613" s="32" t="str">
        <f>IFERROR(VLOOKUP($D13613,'Informations sur les produits'!$A$3:$B$15000,2,FALSE),"")</f>
        <v/>
      </c>
      <c r="V13613">
        <f t="shared" si="850"/>
        <v>0</v>
      </c>
      <c r="W13613">
        <f t="shared" si="851"/>
        <v>0</v>
      </c>
    </row>
    <row r="13614" spans="5:23" x14ac:dyDescent="0.25">
      <c r="E13614" s="4"/>
      <c r="F13614" s="4"/>
      <c r="G13614" s="33" t="str">
        <f>IFERROR(VLOOKUP($D13614,'Informations sur les produits'!$A$3:$H$10000,8,FALSE),"0")</f>
        <v>0</v>
      </c>
      <c r="K13614" s="4"/>
      <c r="L13614" s="33" t="str">
        <f>IFERROR(VLOOKUP($J13614,'Informations sur les produits'!$A$3:$H$10000,8,FALSE),"0")</f>
        <v>0</v>
      </c>
      <c r="N13614" s="8"/>
      <c r="O13614" s="33" t="str">
        <f>IFERROR(VLOOKUP($M13614,'Informations sur les produits'!$A$3:$H$10000,8,FALSE),"0")</f>
        <v>0</v>
      </c>
      <c r="P13614" s="33">
        <f t="shared" si="848"/>
        <v>0</v>
      </c>
      <c r="Q13614" s="31" t="str">
        <f t="shared" si="849"/>
        <v/>
      </c>
      <c r="R13614" s="32" t="str">
        <f>IFERROR(VLOOKUP($D13614,'Informations sur les produits'!$A$3:$B$15000,2,FALSE),"")</f>
        <v/>
      </c>
      <c r="V13614">
        <f t="shared" si="850"/>
        <v>0</v>
      </c>
      <c r="W13614">
        <f t="shared" si="851"/>
        <v>0</v>
      </c>
    </row>
    <row r="13615" spans="5:23" x14ac:dyDescent="0.25">
      <c r="E13615" s="4"/>
      <c r="F13615" s="4"/>
      <c r="G13615" s="33" t="str">
        <f>IFERROR(VLOOKUP($D13615,'Informations sur les produits'!$A$3:$H$10000,8,FALSE),"0")</f>
        <v>0</v>
      </c>
      <c r="K13615" s="4"/>
      <c r="L13615" s="33" t="str">
        <f>IFERROR(VLOOKUP($J13615,'Informations sur les produits'!$A$3:$H$10000,8,FALSE),"0")</f>
        <v>0</v>
      </c>
      <c r="N13615" s="8"/>
      <c r="O13615" s="33" t="str">
        <f>IFERROR(VLOOKUP($M13615,'Informations sur les produits'!$A$3:$H$10000,8,FALSE),"0")</f>
        <v>0</v>
      </c>
      <c r="P13615" s="33">
        <f t="shared" si="848"/>
        <v>0</v>
      </c>
      <c r="Q13615" s="31" t="str">
        <f t="shared" si="849"/>
        <v/>
      </c>
      <c r="R13615" s="32" t="str">
        <f>IFERROR(VLOOKUP($D13615,'Informations sur les produits'!$A$3:$B$15000,2,FALSE),"")</f>
        <v/>
      </c>
      <c r="V13615">
        <f t="shared" si="850"/>
        <v>0</v>
      </c>
      <c r="W13615">
        <f t="shared" si="851"/>
        <v>0</v>
      </c>
    </row>
    <row r="13616" spans="5:23" x14ac:dyDescent="0.25">
      <c r="E13616" s="4"/>
      <c r="F13616" s="4"/>
      <c r="G13616" s="33" t="str">
        <f>IFERROR(VLOOKUP($D13616,'Informations sur les produits'!$A$3:$H$10000,8,FALSE),"0")</f>
        <v>0</v>
      </c>
      <c r="K13616" s="4"/>
      <c r="L13616" s="33" t="str">
        <f>IFERROR(VLOOKUP($J13616,'Informations sur les produits'!$A$3:$H$10000,8,FALSE),"0")</f>
        <v>0</v>
      </c>
      <c r="N13616" s="8"/>
      <c r="O13616" s="33" t="str">
        <f>IFERROR(VLOOKUP($M13616,'Informations sur les produits'!$A$3:$H$10000,8,FALSE),"0")</f>
        <v>0</v>
      </c>
      <c r="P13616" s="33">
        <f t="shared" si="848"/>
        <v>0</v>
      </c>
      <c r="Q13616" s="31" t="str">
        <f t="shared" si="849"/>
        <v/>
      </c>
      <c r="R13616" s="32" t="str">
        <f>IFERROR(VLOOKUP($D13616,'Informations sur les produits'!$A$3:$B$15000,2,FALSE),"")</f>
        <v/>
      </c>
      <c r="V13616">
        <f t="shared" si="850"/>
        <v>0</v>
      </c>
      <c r="W13616">
        <f t="shared" si="851"/>
        <v>0</v>
      </c>
    </row>
    <row r="13617" spans="5:23" x14ac:dyDescent="0.25">
      <c r="E13617" s="4"/>
      <c r="F13617" s="4"/>
      <c r="G13617" s="33" t="str">
        <f>IFERROR(VLOOKUP($D13617,'Informations sur les produits'!$A$3:$H$10000,8,FALSE),"0")</f>
        <v>0</v>
      </c>
      <c r="K13617" s="4"/>
      <c r="L13617" s="33" t="str">
        <f>IFERROR(VLOOKUP($J13617,'Informations sur les produits'!$A$3:$H$10000,8,FALSE),"0")</f>
        <v>0</v>
      </c>
      <c r="N13617" s="8"/>
      <c r="O13617" s="33" t="str">
        <f>IFERROR(VLOOKUP($M13617,'Informations sur les produits'!$A$3:$H$10000,8,FALSE),"0")</f>
        <v>0</v>
      </c>
      <c r="P13617" s="33">
        <f t="shared" si="848"/>
        <v>0</v>
      </c>
      <c r="Q13617" s="31" t="str">
        <f t="shared" si="849"/>
        <v/>
      </c>
      <c r="R13617" s="32" t="str">
        <f>IFERROR(VLOOKUP($D13617,'Informations sur les produits'!$A$3:$B$15000,2,FALSE),"")</f>
        <v/>
      </c>
      <c r="V13617">
        <f t="shared" si="850"/>
        <v>0</v>
      </c>
      <c r="W13617">
        <f t="shared" si="851"/>
        <v>0</v>
      </c>
    </row>
    <row r="13618" spans="5:23" x14ac:dyDescent="0.25">
      <c r="E13618" s="4"/>
      <c r="F13618" s="4"/>
      <c r="G13618" s="33" t="str">
        <f>IFERROR(VLOOKUP($D13618,'Informations sur les produits'!$A$3:$H$10000,8,FALSE),"0")</f>
        <v>0</v>
      </c>
      <c r="K13618" s="4"/>
      <c r="L13618" s="33" t="str">
        <f>IFERROR(VLOOKUP($J13618,'Informations sur les produits'!$A$3:$H$10000,8,FALSE),"0")</f>
        <v>0</v>
      </c>
      <c r="N13618" s="8"/>
      <c r="O13618" s="33" t="str">
        <f>IFERROR(VLOOKUP($M13618,'Informations sur les produits'!$A$3:$H$10000,8,FALSE),"0")</f>
        <v>0</v>
      </c>
      <c r="P13618" s="33">
        <f t="shared" si="848"/>
        <v>0</v>
      </c>
      <c r="Q13618" s="31" t="str">
        <f t="shared" si="849"/>
        <v/>
      </c>
      <c r="R13618" s="32" t="str">
        <f>IFERROR(VLOOKUP($D13618,'Informations sur les produits'!$A$3:$B$15000,2,FALSE),"")</f>
        <v/>
      </c>
      <c r="V13618">
        <f t="shared" si="850"/>
        <v>0</v>
      </c>
      <c r="W13618">
        <f t="shared" si="851"/>
        <v>0</v>
      </c>
    </row>
    <row r="13619" spans="5:23" x14ac:dyDescent="0.25">
      <c r="E13619" s="4"/>
      <c r="F13619" s="4"/>
      <c r="G13619" s="33" t="str">
        <f>IFERROR(VLOOKUP($D13619,'Informations sur les produits'!$A$3:$H$10000,8,FALSE),"0")</f>
        <v>0</v>
      </c>
      <c r="K13619" s="4"/>
      <c r="L13619" s="33" t="str">
        <f>IFERROR(VLOOKUP($J13619,'Informations sur les produits'!$A$3:$H$10000,8,FALSE),"0")</f>
        <v>0</v>
      </c>
      <c r="N13619" s="8"/>
      <c r="O13619" s="33" t="str">
        <f>IFERROR(VLOOKUP($M13619,'Informations sur les produits'!$A$3:$H$10000,8,FALSE),"0")</f>
        <v>0</v>
      </c>
      <c r="P13619" s="33">
        <f t="shared" si="848"/>
        <v>0</v>
      </c>
      <c r="Q13619" s="31" t="str">
        <f t="shared" si="849"/>
        <v/>
      </c>
      <c r="R13619" s="32" t="str">
        <f>IFERROR(VLOOKUP($D13619,'Informations sur les produits'!$A$3:$B$15000,2,FALSE),"")</f>
        <v/>
      </c>
      <c r="V13619">
        <f t="shared" si="850"/>
        <v>0</v>
      </c>
      <c r="W13619">
        <f t="shared" si="851"/>
        <v>0</v>
      </c>
    </row>
    <row r="13620" spans="5:23" x14ac:dyDescent="0.25">
      <c r="E13620" s="4"/>
      <c r="F13620" s="4"/>
      <c r="G13620" s="33" t="str">
        <f>IFERROR(VLOOKUP($D13620,'Informations sur les produits'!$A$3:$H$10000,8,FALSE),"0")</f>
        <v>0</v>
      </c>
      <c r="K13620" s="4"/>
      <c r="L13620" s="33" t="str">
        <f>IFERROR(VLOOKUP($J13620,'Informations sur les produits'!$A$3:$H$10000,8,FALSE),"0")</f>
        <v>0</v>
      </c>
      <c r="N13620" s="8"/>
      <c r="O13620" s="33" t="str">
        <f>IFERROR(VLOOKUP($M13620,'Informations sur les produits'!$A$3:$H$10000,8,FALSE),"0")</f>
        <v>0</v>
      </c>
      <c r="P13620" s="33">
        <f t="shared" si="848"/>
        <v>0</v>
      </c>
      <c r="Q13620" s="31" t="str">
        <f t="shared" si="849"/>
        <v/>
      </c>
      <c r="R13620" s="32" t="str">
        <f>IFERROR(VLOOKUP($D13620,'Informations sur les produits'!$A$3:$B$15000,2,FALSE),"")</f>
        <v/>
      </c>
      <c r="V13620">
        <f t="shared" si="850"/>
        <v>0</v>
      </c>
      <c r="W13620">
        <f t="shared" si="851"/>
        <v>0</v>
      </c>
    </row>
    <row r="13621" spans="5:23" x14ac:dyDescent="0.25">
      <c r="E13621" s="4"/>
      <c r="F13621" s="4"/>
      <c r="G13621" s="33" t="str">
        <f>IFERROR(VLOOKUP($D13621,'Informations sur les produits'!$A$3:$H$10000,8,FALSE),"0")</f>
        <v>0</v>
      </c>
      <c r="K13621" s="4"/>
      <c r="L13621" s="33" t="str">
        <f>IFERROR(VLOOKUP($J13621,'Informations sur les produits'!$A$3:$H$10000,8,FALSE),"0")</f>
        <v>0</v>
      </c>
      <c r="N13621" s="8"/>
      <c r="O13621" s="33" t="str">
        <f>IFERROR(VLOOKUP($M13621,'Informations sur les produits'!$A$3:$H$10000,8,FALSE),"0")</f>
        <v>0</v>
      </c>
      <c r="P13621" s="33">
        <f t="shared" si="848"/>
        <v>0</v>
      </c>
      <c r="Q13621" s="31" t="str">
        <f t="shared" si="849"/>
        <v/>
      </c>
      <c r="R13621" s="32" t="str">
        <f>IFERROR(VLOOKUP($D13621,'Informations sur les produits'!$A$3:$B$15000,2,FALSE),"")</f>
        <v/>
      </c>
      <c r="V13621">
        <f t="shared" si="850"/>
        <v>0</v>
      </c>
      <c r="W13621">
        <f t="shared" si="851"/>
        <v>0</v>
      </c>
    </row>
    <row r="13622" spans="5:23" x14ac:dyDescent="0.25">
      <c r="E13622" s="4"/>
      <c r="F13622" s="4"/>
      <c r="G13622" s="33" t="str">
        <f>IFERROR(VLOOKUP($D13622,'Informations sur les produits'!$A$3:$H$10000,8,FALSE),"0")</f>
        <v>0</v>
      </c>
      <c r="K13622" s="4"/>
      <c r="L13622" s="33" t="str">
        <f>IFERROR(VLOOKUP($J13622,'Informations sur les produits'!$A$3:$H$10000,8,FALSE),"0")</f>
        <v>0</v>
      </c>
      <c r="N13622" s="8"/>
      <c r="O13622" s="33" t="str">
        <f>IFERROR(VLOOKUP($M13622,'Informations sur les produits'!$A$3:$H$10000,8,FALSE),"0")</f>
        <v>0</v>
      </c>
      <c r="P13622" s="33">
        <f t="shared" si="848"/>
        <v>0</v>
      </c>
      <c r="Q13622" s="31" t="str">
        <f t="shared" si="849"/>
        <v/>
      </c>
      <c r="R13622" s="32" t="str">
        <f>IFERROR(VLOOKUP($D13622,'Informations sur les produits'!$A$3:$B$15000,2,FALSE),"")</f>
        <v/>
      </c>
      <c r="V13622">
        <f t="shared" si="850"/>
        <v>0</v>
      </c>
      <c r="W13622">
        <f t="shared" si="851"/>
        <v>0</v>
      </c>
    </row>
    <row r="13623" spans="5:23" x14ac:dyDescent="0.25">
      <c r="E13623" s="4"/>
      <c r="F13623" s="4"/>
      <c r="G13623" s="33" t="str">
        <f>IFERROR(VLOOKUP($D13623,'Informations sur les produits'!$A$3:$H$10000,8,FALSE),"0")</f>
        <v>0</v>
      </c>
      <c r="K13623" s="4"/>
      <c r="L13623" s="33" t="str">
        <f>IFERROR(VLOOKUP($J13623,'Informations sur les produits'!$A$3:$H$10000,8,FALSE),"0")</f>
        <v>0</v>
      </c>
      <c r="N13623" s="8"/>
      <c r="O13623" s="33" t="str">
        <f>IFERROR(VLOOKUP($M13623,'Informations sur les produits'!$A$3:$H$10000,8,FALSE),"0")</f>
        <v>0</v>
      </c>
      <c r="P13623" s="33">
        <f t="shared" si="848"/>
        <v>0</v>
      </c>
      <c r="Q13623" s="31" t="str">
        <f t="shared" si="849"/>
        <v/>
      </c>
      <c r="R13623" s="32" t="str">
        <f>IFERROR(VLOOKUP($D13623,'Informations sur les produits'!$A$3:$B$15000,2,FALSE),"")</f>
        <v/>
      </c>
      <c r="V13623">
        <f t="shared" si="850"/>
        <v>0</v>
      </c>
      <c r="W13623">
        <f t="shared" si="851"/>
        <v>0</v>
      </c>
    </row>
    <row r="13624" spans="5:23" x14ac:dyDescent="0.25">
      <c r="E13624" s="4"/>
      <c r="F13624" s="4"/>
      <c r="G13624" s="33" t="str">
        <f>IFERROR(VLOOKUP($D13624,'Informations sur les produits'!$A$3:$H$10000,8,FALSE),"0")</f>
        <v>0</v>
      </c>
      <c r="K13624" s="4"/>
      <c r="L13624" s="33" t="str">
        <f>IFERROR(VLOOKUP($J13624,'Informations sur les produits'!$A$3:$H$10000,8,FALSE),"0")</f>
        <v>0</v>
      </c>
      <c r="N13624" s="8"/>
      <c r="O13624" s="33" t="str">
        <f>IFERROR(VLOOKUP($M13624,'Informations sur les produits'!$A$3:$H$10000,8,FALSE),"0")</f>
        <v>0</v>
      </c>
      <c r="P13624" s="33">
        <f t="shared" si="848"/>
        <v>0</v>
      </c>
      <c r="Q13624" s="31" t="str">
        <f t="shared" si="849"/>
        <v/>
      </c>
      <c r="R13624" s="32" t="str">
        <f>IFERROR(VLOOKUP($D13624,'Informations sur les produits'!$A$3:$B$15000,2,FALSE),"")</f>
        <v/>
      </c>
      <c r="V13624">
        <f t="shared" si="850"/>
        <v>0</v>
      </c>
      <c r="W13624">
        <f t="shared" si="851"/>
        <v>0</v>
      </c>
    </row>
    <row r="13625" spans="5:23" x14ac:dyDescent="0.25">
      <c r="E13625" s="4"/>
      <c r="F13625" s="4"/>
      <c r="G13625" s="33" t="str">
        <f>IFERROR(VLOOKUP($D13625,'Informations sur les produits'!$A$3:$H$10000,8,FALSE),"0")</f>
        <v>0</v>
      </c>
      <c r="K13625" s="4"/>
      <c r="L13625" s="33" t="str">
        <f>IFERROR(VLOOKUP($J13625,'Informations sur les produits'!$A$3:$H$10000,8,FALSE),"0")</f>
        <v>0</v>
      </c>
      <c r="N13625" s="8"/>
      <c r="O13625" s="33" t="str">
        <f>IFERROR(VLOOKUP($M13625,'Informations sur les produits'!$A$3:$H$10000,8,FALSE),"0")</f>
        <v>0</v>
      </c>
      <c r="P13625" s="33">
        <f t="shared" si="848"/>
        <v>0</v>
      </c>
      <c r="Q13625" s="31" t="str">
        <f t="shared" si="849"/>
        <v/>
      </c>
      <c r="R13625" s="32" t="str">
        <f>IFERROR(VLOOKUP($D13625,'Informations sur les produits'!$A$3:$B$15000,2,FALSE),"")</f>
        <v/>
      </c>
      <c r="V13625">
        <f t="shared" si="850"/>
        <v>0</v>
      </c>
      <c r="W13625">
        <f t="shared" si="851"/>
        <v>0</v>
      </c>
    </row>
    <row r="13626" spans="5:23" x14ac:dyDescent="0.25">
      <c r="E13626" s="4"/>
      <c r="F13626" s="4"/>
      <c r="G13626" s="33" t="str">
        <f>IFERROR(VLOOKUP($D13626,'Informations sur les produits'!$A$3:$H$10000,8,FALSE),"0")</f>
        <v>0</v>
      </c>
      <c r="K13626" s="4"/>
      <c r="L13626" s="33" t="str">
        <f>IFERROR(VLOOKUP($J13626,'Informations sur les produits'!$A$3:$H$10000,8,FALSE),"0")</f>
        <v>0</v>
      </c>
      <c r="N13626" s="8"/>
      <c r="O13626" s="33" t="str">
        <f>IFERROR(VLOOKUP($M13626,'Informations sur les produits'!$A$3:$H$10000,8,FALSE),"0")</f>
        <v>0</v>
      </c>
      <c r="P13626" s="33">
        <f t="shared" si="848"/>
        <v>0</v>
      </c>
      <c r="Q13626" s="31" t="str">
        <f t="shared" si="849"/>
        <v/>
      </c>
      <c r="R13626" s="32" t="str">
        <f>IFERROR(VLOOKUP($D13626,'Informations sur les produits'!$A$3:$B$15000,2,FALSE),"")</f>
        <v/>
      </c>
      <c r="V13626">
        <f t="shared" si="850"/>
        <v>0</v>
      </c>
      <c r="W13626">
        <f t="shared" si="851"/>
        <v>0</v>
      </c>
    </row>
    <row r="13627" spans="5:23" x14ac:dyDescent="0.25">
      <c r="E13627" s="4"/>
      <c r="F13627" s="4"/>
      <c r="G13627" s="33" t="str">
        <f>IFERROR(VLOOKUP($D13627,'Informations sur les produits'!$A$3:$H$10000,8,FALSE),"0")</f>
        <v>0</v>
      </c>
      <c r="K13627" s="4"/>
      <c r="L13627" s="33" t="str">
        <f>IFERROR(VLOOKUP($J13627,'Informations sur les produits'!$A$3:$H$10000,8,FALSE),"0")</f>
        <v>0</v>
      </c>
      <c r="N13627" s="8"/>
      <c r="O13627" s="33" t="str">
        <f>IFERROR(VLOOKUP($M13627,'Informations sur les produits'!$A$3:$H$10000,8,FALSE),"0")</f>
        <v>0</v>
      </c>
      <c r="P13627" s="33">
        <f t="shared" si="848"/>
        <v>0</v>
      </c>
      <c r="Q13627" s="31" t="str">
        <f t="shared" si="849"/>
        <v/>
      </c>
      <c r="R13627" s="32" t="str">
        <f>IFERROR(VLOOKUP($D13627,'Informations sur les produits'!$A$3:$B$15000,2,FALSE),"")</f>
        <v/>
      </c>
      <c r="V13627">
        <f t="shared" si="850"/>
        <v>0</v>
      </c>
      <c r="W13627">
        <f t="shared" si="851"/>
        <v>0</v>
      </c>
    </row>
    <row r="13628" spans="5:23" x14ac:dyDescent="0.25">
      <c r="E13628" s="4"/>
      <c r="F13628" s="4"/>
      <c r="G13628" s="33" t="str">
        <f>IFERROR(VLOOKUP($D13628,'Informations sur les produits'!$A$3:$H$10000,8,FALSE),"0")</f>
        <v>0</v>
      </c>
      <c r="K13628" s="4"/>
      <c r="L13628" s="33" t="str">
        <f>IFERROR(VLOOKUP($J13628,'Informations sur les produits'!$A$3:$H$10000,8,FALSE),"0")</f>
        <v>0</v>
      </c>
      <c r="N13628" s="8"/>
      <c r="O13628" s="33" t="str">
        <f>IFERROR(VLOOKUP($M13628,'Informations sur les produits'!$A$3:$H$10000,8,FALSE),"0")</f>
        <v>0</v>
      </c>
      <c r="P13628" s="33">
        <f t="shared" si="848"/>
        <v>0</v>
      </c>
      <c r="Q13628" s="31" t="str">
        <f t="shared" si="849"/>
        <v/>
      </c>
      <c r="R13628" s="32" t="str">
        <f>IFERROR(VLOOKUP($D13628,'Informations sur les produits'!$A$3:$B$15000,2,FALSE),"")</f>
        <v/>
      </c>
      <c r="V13628">
        <f t="shared" si="850"/>
        <v>0</v>
      </c>
      <c r="W13628">
        <f t="shared" si="851"/>
        <v>0</v>
      </c>
    </row>
    <row r="13629" spans="5:23" x14ac:dyDescent="0.25">
      <c r="E13629" s="4"/>
      <c r="F13629" s="4"/>
      <c r="G13629" s="33" t="str">
        <f>IFERROR(VLOOKUP($D13629,'Informations sur les produits'!$A$3:$H$10000,8,FALSE),"0")</f>
        <v>0</v>
      </c>
      <c r="K13629" s="4"/>
      <c r="L13629" s="33" t="str">
        <f>IFERROR(VLOOKUP($J13629,'Informations sur les produits'!$A$3:$H$10000,8,FALSE),"0")</f>
        <v>0</v>
      </c>
      <c r="N13629" s="8"/>
      <c r="O13629" s="33" t="str">
        <f>IFERROR(VLOOKUP($M13629,'Informations sur les produits'!$A$3:$H$10000,8,FALSE),"0")</f>
        <v>0</v>
      </c>
      <c r="P13629" s="33">
        <f t="shared" si="848"/>
        <v>0</v>
      </c>
      <c r="Q13629" s="31" t="str">
        <f t="shared" si="849"/>
        <v/>
      </c>
      <c r="R13629" s="32" t="str">
        <f>IFERROR(VLOOKUP($D13629,'Informations sur les produits'!$A$3:$B$15000,2,FALSE),"")</f>
        <v/>
      </c>
      <c r="V13629">
        <f t="shared" si="850"/>
        <v>0</v>
      </c>
      <c r="W13629">
        <f t="shared" si="851"/>
        <v>0</v>
      </c>
    </row>
    <row r="13630" spans="5:23" x14ac:dyDescent="0.25">
      <c r="E13630" s="4"/>
      <c r="F13630" s="4"/>
      <c r="G13630" s="33" t="str">
        <f>IFERROR(VLOOKUP($D13630,'Informations sur les produits'!$A$3:$H$10000,8,FALSE),"0")</f>
        <v>0</v>
      </c>
      <c r="K13630" s="4"/>
      <c r="L13630" s="33" t="str">
        <f>IFERROR(VLOOKUP($J13630,'Informations sur les produits'!$A$3:$H$10000,8,FALSE),"0")</f>
        <v>0</v>
      </c>
      <c r="N13630" s="8"/>
      <c r="O13630" s="33" t="str">
        <f>IFERROR(VLOOKUP($M13630,'Informations sur les produits'!$A$3:$H$10000,8,FALSE),"0")</f>
        <v>0</v>
      </c>
      <c r="P13630" s="33">
        <f t="shared" si="848"/>
        <v>0</v>
      </c>
      <c r="Q13630" s="31" t="str">
        <f t="shared" si="849"/>
        <v/>
      </c>
      <c r="R13630" s="32" t="str">
        <f>IFERROR(VLOOKUP($D13630,'Informations sur les produits'!$A$3:$B$15000,2,FALSE),"")</f>
        <v/>
      </c>
      <c r="V13630">
        <f t="shared" si="850"/>
        <v>0</v>
      </c>
      <c r="W13630">
        <f t="shared" si="851"/>
        <v>0</v>
      </c>
    </row>
    <row r="13631" spans="5:23" x14ac:dyDescent="0.25">
      <c r="E13631" s="4"/>
      <c r="F13631" s="4"/>
      <c r="G13631" s="33" t="str">
        <f>IFERROR(VLOOKUP($D13631,'Informations sur les produits'!$A$3:$H$10000,8,FALSE),"0")</f>
        <v>0</v>
      </c>
      <c r="K13631" s="4"/>
      <c r="L13631" s="33" t="str">
        <f>IFERROR(VLOOKUP($J13631,'Informations sur les produits'!$A$3:$H$10000,8,FALSE),"0")</f>
        <v>0</v>
      </c>
      <c r="N13631" s="8"/>
      <c r="O13631" s="33" t="str">
        <f>IFERROR(VLOOKUP($M13631,'Informations sur les produits'!$A$3:$H$10000,8,FALSE),"0")</f>
        <v>0</v>
      </c>
      <c r="P13631" s="33">
        <f t="shared" si="848"/>
        <v>0</v>
      </c>
      <c r="Q13631" s="31" t="str">
        <f t="shared" si="849"/>
        <v/>
      </c>
      <c r="R13631" s="32" t="str">
        <f>IFERROR(VLOOKUP($D13631,'Informations sur les produits'!$A$3:$B$15000,2,FALSE),"")</f>
        <v/>
      </c>
      <c r="V13631">
        <f t="shared" si="850"/>
        <v>0</v>
      </c>
      <c r="W13631">
        <f t="shared" si="851"/>
        <v>0</v>
      </c>
    </row>
    <row r="13632" spans="5:23" x14ac:dyDescent="0.25">
      <c r="E13632" s="4"/>
      <c r="F13632" s="4"/>
      <c r="G13632" s="33" t="str">
        <f>IFERROR(VLOOKUP($D13632,'Informations sur les produits'!$A$3:$H$10000,8,FALSE),"0")</f>
        <v>0</v>
      </c>
      <c r="K13632" s="4"/>
      <c r="L13632" s="33" t="str">
        <f>IFERROR(VLOOKUP($J13632,'Informations sur les produits'!$A$3:$H$10000,8,FALSE),"0")</f>
        <v>0</v>
      </c>
      <c r="N13632" s="8"/>
      <c r="O13632" s="33" t="str">
        <f>IFERROR(VLOOKUP($M13632,'Informations sur les produits'!$A$3:$H$10000,8,FALSE),"0")</f>
        <v>0</v>
      </c>
      <c r="P13632" s="33">
        <f t="shared" si="848"/>
        <v>0</v>
      </c>
      <c r="Q13632" s="31" t="str">
        <f t="shared" si="849"/>
        <v/>
      </c>
      <c r="R13632" s="32" t="str">
        <f>IFERROR(VLOOKUP($D13632,'Informations sur les produits'!$A$3:$B$15000,2,FALSE),"")</f>
        <v/>
      </c>
      <c r="V13632">
        <f t="shared" si="850"/>
        <v>0</v>
      </c>
      <c r="W13632">
        <f t="shared" si="851"/>
        <v>0</v>
      </c>
    </row>
    <row r="13633" spans="5:23" x14ac:dyDescent="0.25">
      <c r="E13633" s="4"/>
      <c r="F13633" s="4"/>
      <c r="G13633" s="33" t="str">
        <f>IFERROR(VLOOKUP($D13633,'Informations sur les produits'!$A$3:$H$10000,8,FALSE),"0")</f>
        <v>0</v>
      </c>
      <c r="K13633" s="4"/>
      <c r="L13633" s="33" t="str">
        <f>IFERROR(VLOOKUP($J13633,'Informations sur les produits'!$A$3:$H$10000,8,FALSE),"0")</f>
        <v>0</v>
      </c>
      <c r="N13633" s="8"/>
      <c r="O13633" s="33" t="str">
        <f>IFERROR(VLOOKUP($M13633,'Informations sur les produits'!$A$3:$H$10000,8,FALSE),"0")</f>
        <v>0</v>
      </c>
      <c r="P13633" s="33">
        <f t="shared" si="848"/>
        <v>0</v>
      </c>
      <c r="Q13633" s="31" t="str">
        <f t="shared" si="849"/>
        <v/>
      </c>
      <c r="R13633" s="32" t="str">
        <f>IFERROR(VLOOKUP($D13633,'Informations sur les produits'!$A$3:$B$15000,2,FALSE),"")</f>
        <v/>
      </c>
      <c r="V13633">
        <f t="shared" si="850"/>
        <v>0</v>
      </c>
      <c r="W13633">
        <f t="shared" si="851"/>
        <v>0</v>
      </c>
    </row>
    <row r="13634" spans="5:23" x14ac:dyDescent="0.25">
      <c r="E13634" s="4"/>
      <c r="F13634" s="4"/>
      <c r="G13634" s="33" t="str">
        <f>IFERROR(VLOOKUP($D13634,'Informations sur les produits'!$A$3:$H$10000,8,FALSE),"0")</f>
        <v>0</v>
      </c>
      <c r="K13634" s="4"/>
      <c r="L13634" s="33" t="str">
        <f>IFERROR(VLOOKUP($J13634,'Informations sur les produits'!$A$3:$H$10000,8,FALSE),"0")</f>
        <v>0</v>
      </c>
      <c r="N13634" s="8"/>
      <c r="O13634" s="33" t="str">
        <f>IFERROR(VLOOKUP($M13634,'Informations sur les produits'!$A$3:$H$10000,8,FALSE),"0")</f>
        <v>0</v>
      </c>
      <c r="P13634" s="33">
        <f t="shared" si="848"/>
        <v>0</v>
      </c>
      <c r="Q13634" s="31" t="str">
        <f t="shared" si="849"/>
        <v/>
      </c>
      <c r="R13634" s="32" t="str">
        <f>IFERROR(VLOOKUP($D13634,'Informations sur les produits'!$A$3:$B$15000,2,FALSE),"")</f>
        <v/>
      </c>
      <c r="V13634">
        <f t="shared" si="850"/>
        <v>0</v>
      </c>
      <c r="W13634">
        <f t="shared" si="851"/>
        <v>0</v>
      </c>
    </row>
    <row r="13635" spans="5:23" x14ac:dyDescent="0.25">
      <c r="E13635" s="4"/>
      <c r="F13635" s="4"/>
      <c r="G13635" s="33" t="str">
        <f>IFERROR(VLOOKUP($D13635,'Informations sur les produits'!$A$3:$H$10000,8,FALSE),"0")</f>
        <v>0</v>
      </c>
      <c r="K13635" s="4"/>
      <c r="L13635" s="33" t="str">
        <f>IFERROR(VLOOKUP($J13635,'Informations sur les produits'!$A$3:$H$10000,8,FALSE),"0")</f>
        <v>0</v>
      </c>
      <c r="N13635" s="8"/>
      <c r="O13635" s="33" t="str">
        <f>IFERROR(VLOOKUP($M13635,'Informations sur les produits'!$A$3:$H$10000,8,FALSE),"0")</f>
        <v>0</v>
      </c>
      <c r="P13635" s="33">
        <f t="shared" si="848"/>
        <v>0</v>
      </c>
      <c r="Q13635" s="31" t="str">
        <f t="shared" si="849"/>
        <v/>
      </c>
      <c r="R13635" s="32" t="str">
        <f>IFERROR(VLOOKUP($D13635,'Informations sur les produits'!$A$3:$B$15000,2,FALSE),"")</f>
        <v/>
      </c>
      <c r="V13635">
        <f t="shared" si="850"/>
        <v>0</v>
      </c>
      <c r="W13635">
        <f t="shared" si="851"/>
        <v>0</v>
      </c>
    </row>
    <row r="13636" spans="5:23" x14ac:dyDescent="0.25">
      <c r="E13636" s="4"/>
      <c r="F13636" s="4"/>
      <c r="G13636" s="33" t="str">
        <f>IFERROR(VLOOKUP($D13636,'Informations sur les produits'!$A$3:$H$10000,8,FALSE),"0")</f>
        <v>0</v>
      </c>
      <c r="K13636" s="4"/>
      <c r="L13636" s="33" t="str">
        <f>IFERROR(VLOOKUP($J13636,'Informations sur les produits'!$A$3:$H$10000,8,FALSE),"0")</f>
        <v>0</v>
      </c>
      <c r="N13636" s="8"/>
      <c r="O13636" s="33" t="str">
        <f>IFERROR(VLOOKUP($M13636,'Informations sur les produits'!$A$3:$H$10000,8,FALSE),"0")</f>
        <v>0</v>
      </c>
      <c r="P13636" s="33">
        <f t="shared" ref="P13636:P13699" si="852">IFERROR((($E13636-$F13636)*$G13636+$K13636*$L13636+$N13636*$O13636),"")</f>
        <v>0</v>
      </c>
      <c r="Q13636" s="31" t="str">
        <f t="shared" ref="Q13636:Q13699" si="853">IFERROR((((($E13636-$F13636)*$G13636+$K13636*$L13636+$N13636*$O13636)*1000)/(($E13636-$F13636)+$K13636+$N13636)),"")</f>
        <v/>
      </c>
      <c r="R13636" s="32" t="str">
        <f>IFERROR(VLOOKUP($D13636,'Informations sur les produits'!$A$3:$B$15000,2,FALSE),"")</f>
        <v/>
      </c>
      <c r="V13636">
        <f t="shared" ref="V13636:V13699" si="854">IFERROR(P13636*1000,"")</f>
        <v>0</v>
      </c>
      <c r="W13636">
        <f t="shared" ref="W13636:W13699" si="855">IFERROR(($E13636-$F13636)+$K13636+$N13636,"")</f>
        <v>0</v>
      </c>
    </row>
    <row r="13637" spans="5:23" x14ac:dyDescent="0.25">
      <c r="E13637" s="4"/>
      <c r="F13637" s="4"/>
      <c r="G13637" s="33" t="str">
        <f>IFERROR(VLOOKUP($D13637,'Informations sur les produits'!$A$3:$H$10000,8,FALSE),"0")</f>
        <v>0</v>
      </c>
      <c r="K13637" s="4"/>
      <c r="L13637" s="33" t="str">
        <f>IFERROR(VLOOKUP($J13637,'Informations sur les produits'!$A$3:$H$10000,8,FALSE),"0")</f>
        <v>0</v>
      </c>
      <c r="N13637" s="8"/>
      <c r="O13637" s="33" t="str">
        <f>IFERROR(VLOOKUP($M13637,'Informations sur les produits'!$A$3:$H$10000,8,FALSE),"0")</f>
        <v>0</v>
      </c>
      <c r="P13637" s="33">
        <f t="shared" si="852"/>
        <v>0</v>
      </c>
      <c r="Q13637" s="31" t="str">
        <f t="shared" si="853"/>
        <v/>
      </c>
      <c r="R13637" s="32" t="str">
        <f>IFERROR(VLOOKUP($D13637,'Informations sur les produits'!$A$3:$B$15000,2,FALSE),"")</f>
        <v/>
      </c>
      <c r="V13637">
        <f t="shared" si="854"/>
        <v>0</v>
      </c>
      <c r="W13637">
        <f t="shared" si="855"/>
        <v>0</v>
      </c>
    </row>
    <row r="13638" spans="5:23" x14ac:dyDescent="0.25">
      <c r="E13638" s="4"/>
      <c r="F13638" s="4"/>
      <c r="G13638" s="33" t="str">
        <f>IFERROR(VLOOKUP($D13638,'Informations sur les produits'!$A$3:$H$10000,8,FALSE),"0")</f>
        <v>0</v>
      </c>
      <c r="K13638" s="4"/>
      <c r="L13638" s="33" t="str">
        <f>IFERROR(VLOOKUP($J13638,'Informations sur les produits'!$A$3:$H$10000,8,FALSE),"0")</f>
        <v>0</v>
      </c>
      <c r="N13638" s="8"/>
      <c r="O13638" s="33" t="str">
        <f>IFERROR(VLOOKUP($M13638,'Informations sur les produits'!$A$3:$H$10000,8,FALSE),"0")</f>
        <v>0</v>
      </c>
      <c r="P13638" s="33">
        <f t="shared" si="852"/>
        <v>0</v>
      </c>
      <c r="Q13638" s="31" t="str">
        <f t="shared" si="853"/>
        <v/>
      </c>
      <c r="R13638" s="32" t="str">
        <f>IFERROR(VLOOKUP($D13638,'Informations sur les produits'!$A$3:$B$15000,2,FALSE),"")</f>
        <v/>
      </c>
      <c r="V13638">
        <f t="shared" si="854"/>
        <v>0</v>
      </c>
      <c r="W13638">
        <f t="shared" si="855"/>
        <v>0</v>
      </c>
    </row>
    <row r="13639" spans="5:23" x14ac:dyDescent="0.25">
      <c r="E13639" s="4"/>
      <c r="F13639" s="4"/>
      <c r="G13639" s="33" t="str">
        <f>IFERROR(VLOOKUP($D13639,'Informations sur les produits'!$A$3:$H$10000,8,FALSE),"0")</f>
        <v>0</v>
      </c>
      <c r="K13639" s="4"/>
      <c r="L13639" s="33" t="str">
        <f>IFERROR(VLOOKUP($J13639,'Informations sur les produits'!$A$3:$H$10000,8,FALSE),"0")</f>
        <v>0</v>
      </c>
      <c r="N13639" s="8"/>
      <c r="O13639" s="33" t="str">
        <f>IFERROR(VLOOKUP($M13639,'Informations sur les produits'!$A$3:$H$10000,8,FALSE),"0")</f>
        <v>0</v>
      </c>
      <c r="P13639" s="33">
        <f t="shared" si="852"/>
        <v>0</v>
      </c>
      <c r="Q13639" s="31" t="str">
        <f t="shared" si="853"/>
        <v/>
      </c>
      <c r="R13639" s="32" t="str">
        <f>IFERROR(VLOOKUP($D13639,'Informations sur les produits'!$A$3:$B$15000,2,FALSE),"")</f>
        <v/>
      </c>
      <c r="V13639">
        <f t="shared" si="854"/>
        <v>0</v>
      </c>
      <c r="W13639">
        <f t="shared" si="855"/>
        <v>0</v>
      </c>
    </row>
    <row r="13640" spans="5:23" x14ac:dyDescent="0.25">
      <c r="E13640" s="4"/>
      <c r="F13640" s="4"/>
      <c r="G13640" s="33" t="str">
        <f>IFERROR(VLOOKUP($D13640,'Informations sur les produits'!$A$3:$H$10000,8,FALSE),"0")</f>
        <v>0</v>
      </c>
      <c r="K13640" s="4"/>
      <c r="L13640" s="33" t="str">
        <f>IFERROR(VLOOKUP($J13640,'Informations sur les produits'!$A$3:$H$10000,8,FALSE),"0")</f>
        <v>0</v>
      </c>
      <c r="N13640" s="8"/>
      <c r="O13640" s="33" t="str">
        <f>IFERROR(VLOOKUP($M13640,'Informations sur les produits'!$A$3:$H$10000,8,FALSE),"0")</f>
        <v>0</v>
      </c>
      <c r="P13640" s="33">
        <f t="shared" si="852"/>
        <v>0</v>
      </c>
      <c r="Q13640" s="31" t="str">
        <f t="shared" si="853"/>
        <v/>
      </c>
      <c r="R13640" s="32" t="str">
        <f>IFERROR(VLOOKUP($D13640,'Informations sur les produits'!$A$3:$B$15000,2,FALSE),"")</f>
        <v/>
      </c>
      <c r="V13640">
        <f t="shared" si="854"/>
        <v>0</v>
      </c>
      <c r="W13640">
        <f t="shared" si="855"/>
        <v>0</v>
      </c>
    </row>
    <row r="13641" spans="5:23" x14ac:dyDescent="0.25">
      <c r="E13641" s="4"/>
      <c r="F13641" s="4"/>
      <c r="G13641" s="33" t="str">
        <f>IFERROR(VLOOKUP($D13641,'Informations sur les produits'!$A$3:$H$10000,8,FALSE),"0")</f>
        <v>0</v>
      </c>
      <c r="K13641" s="4"/>
      <c r="L13641" s="33" t="str">
        <f>IFERROR(VLOOKUP($J13641,'Informations sur les produits'!$A$3:$H$10000,8,FALSE),"0")</f>
        <v>0</v>
      </c>
      <c r="N13641" s="8"/>
      <c r="O13641" s="33" t="str">
        <f>IFERROR(VLOOKUP($M13641,'Informations sur les produits'!$A$3:$H$10000,8,FALSE),"0")</f>
        <v>0</v>
      </c>
      <c r="P13641" s="33">
        <f t="shared" si="852"/>
        <v>0</v>
      </c>
      <c r="Q13641" s="31" t="str">
        <f t="shared" si="853"/>
        <v/>
      </c>
      <c r="R13641" s="32" t="str">
        <f>IFERROR(VLOOKUP($D13641,'Informations sur les produits'!$A$3:$B$15000,2,FALSE),"")</f>
        <v/>
      </c>
      <c r="V13641">
        <f t="shared" si="854"/>
        <v>0</v>
      </c>
      <c r="W13641">
        <f t="shared" si="855"/>
        <v>0</v>
      </c>
    </row>
    <row r="13642" spans="5:23" x14ac:dyDescent="0.25">
      <c r="E13642" s="4"/>
      <c r="F13642" s="4"/>
      <c r="G13642" s="33" t="str">
        <f>IFERROR(VLOOKUP($D13642,'Informations sur les produits'!$A$3:$H$10000,8,FALSE),"0")</f>
        <v>0</v>
      </c>
      <c r="K13642" s="4"/>
      <c r="L13642" s="33" t="str">
        <f>IFERROR(VLOOKUP($J13642,'Informations sur les produits'!$A$3:$H$10000,8,FALSE),"0")</f>
        <v>0</v>
      </c>
      <c r="N13642" s="8"/>
      <c r="O13642" s="33" t="str">
        <f>IFERROR(VLOOKUP($M13642,'Informations sur les produits'!$A$3:$H$10000,8,FALSE),"0")</f>
        <v>0</v>
      </c>
      <c r="P13642" s="33">
        <f t="shared" si="852"/>
        <v>0</v>
      </c>
      <c r="Q13642" s="31" t="str">
        <f t="shared" si="853"/>
        <v/>
      </c>
      <c r="R13642" s="32" t="str">
        <f>IFERROR(VLOOKUP($D13642,'Informations sur les produits'!$A$3:$B$15000,2,FALSE),"")</f>
        <v/>
      </c>
      <c r="V13642">
        <f t="shared" si="854"/>
        <v>0</v>
      </c>
      <c r="W13642">
        <f t="shared" si="855"/>
        <v>0</v>
      </c>
    </row>
    <row r="13643" spans="5:23" x14ac:dyDescent="0.25">
      <c r="E13643" s="4"/>
      <c r="F13643" s="4"/>
      <c r="G13643" s="33" t="str">
        <f>IFERROR(VLOOKUP($D13643,'Informations sur les produits'!$A$3:$H$10000,8,FALSE),"0")</f>
        <v>0</v>
      </c>
      <c r="K13643" s="4"/>
      <c r="L13643" s="33" t="str">
        <f>IFERROR(VLOOKUP($J13643,'Informations sur les produits'!$A$3:$H$10000,8,FALSE),"0")</f>
        <v>0</v>
      </c>
      <c r="N13643" s="8"/>
      <c r="O13643" s="33" t="str">
        <f>IFERROR(VLOOKUP($M13643,'Informations sur les produits'!$A$3:$H$10000,8,FALSE),"0")</f>
        <v>0</v>
      </c>
      <c r="P13643" s="33">
        <f t="shared" si="852"/>
        <v>0</v>
      </c>
      <c r="Q13643" s="31" t="str">
        <f t="shared" si="853"/>
        <v/>
      </c>
      <c r="R13643" s="32" t="str">
        <f>IFERROR(VLOOKUP($D13643,'Informations sur les produits'!$A$3:$B$15000,2,FALSE),"")</f>
        <v/>
      </c>
      <c r="V13643">
        <f t="shared" si="854"/>
        <v>0</v>
      </c>
      <c r="W13643">
        <f t="shared" si="855"/>
        <v>0</v>
      </c>
    </row>
    <row r="13644" spans="5:23" x14ac:dyDescent="0.25">
      <c r="E13644" s="4"/>
      <c r="F13644" s="4"/>
      <c r="G13644" s="33" t="str">
        <f>IFERROR(VLOOKUP($D13644,'Informations sur les produits'!$A$3:$H$10000,8,FALSE),"0")</f>
        <v>0</v>
      </c>
      <c r="K13644" s="4"/>
      <c r="L13644" s="33" t="str">
        <f>IFERROR(VLOOKUP($J13644,'Informations sur les produits'!$A$3:$H$10000,8,FALSE),"0")</f>
        <v>0</v>
      </c>
      <c r="N13644" s="8"/>
      <c r="O13644" s="33" t="str">
        <f>IFERROR(VLOOKUP($M13644,'Informations sur les produits'!$A$3:$H$10000,8,FALSE),"0")</f>
        <v>0</v>
      </c>
      <c r="P13644" s="33">
        <f t="shared" si="852"/>
        <v>0</v>
      </c>
      <c r="Q13644" s="31" t="str">
        <f t="shared" si="853"/>
        <v/>
      </c>
      <c r="R13644" s="32" t="str">
        <f>IFERROR(VLOOKUP($D13644,'Informations sur les produits'!$A$3:$B$15000,2,FALSE),"")</f>
        <v/>
      </c>
      <c r="V13644">
        <f t="shared" si="854"/>
        <v>0</v>
      </c>
      <c r="W13644">
        <f t="shared" si="855"/>
        <v>0</v>
      </c>
    </row>
    <row r="13645" spans="5:23" x14ac:dyDescent="0.25">
      <c r="E13645" s="4"/>
      <c r="F13645" s="4"/>
      <c r="G13645" s="33" t="str">
        <f>IFERROR(VLOOKUP($D13645,'Informations sur les produits'!$A$3:$H$10000,8,FALSE),"0")</f>
        <v>0</v>
      </c>
      <c r="K13645" s="4"/>
      <c r="L13645" s="33" t="str">
        <f>IFERROR(VLOOKUP($J13645,'Informations sur les produits'!$A$3:$H$10000,8,FALSE),"0")</f>
        <v>0</v>
      </c>
      <c r="N13645" s="8"/>
      <c r="O13645" s="33" t="str">
        <f>IFERROR(VLOOKUP($M13645,'Informations sur les produits'!$A$3:$H$10000,8,FALSE),"0")</f>
        <v>0</v>
      </c>
      <c r="P13645" s="33">
        <f t="shared" si="852"/>
        <v>0</v>
      </c>
      <c r="Q13645" s="31" t="str">
        <f t="shared" si="853"/>
        <v/>
      </c>
      <c r="R13645" s="32" t="str">
        <f>IFERROR(VLOOKUP($D13645,'Informations sur les produits'!$A$3:$B$15000,2,FALSE),"")</f>
        <v/>
      </c>
      <c r="V13645">
        <f t="shared" si="854"/>
        <v>0</v>
      </c>
      <c r="W13645">
        <f t="shared" si="855"/>
        <v>0</v>
      </c>
    </row>
    <row r="13646" spans="5:23" x14ac:dyDescent="0.25">
      <c r="E13646" s="4"/>
      <c r="F13646" s="4"/>
      <c r="G13646" s="33" t="str">
        <f>IFERROR(VLOOKUP($D13646,'Informations sur les produits'!$A$3:$H$10000,8,FALSE),"0")</f>
        <v>0</v>
      </c>
      <c r="K13646" s="4"/>
      <c r="L13646" s="33" t="str">
        <f>IFERROR(VLOOKUP($J13646,'Informations sur les produits'!$A$3:$H$10000,8,FALSE),"0")</f>
        <v>0</v>
      </c>
      <c r="N13646" s="8"/>
      <c r="O13646" s="33" t="str">
        <f>IFERROR(VLOOKUP($M13646,'Informations sur les produits'!$A$3:$H$10000,8,FALSE),"0")</f>
        <v>0</v>
      </c>
      <c r="P13646" s="33">
        <f t="shared" si="852"/>
        <v>0</v>
      </c>
      <c r="Q13646" s="31" t="str">
        <f t="shared" si="853"/>
        <v/>
      </c>
      <c r="R13646" s="32" t="str">
        <f>IFERROR(VLOOKUP($D13646,'Informations sur les produits'!$A$3:$B$15000,2,FALSE),"")</f>
        <v/>
      </c>
      <c r="V13646">
        <f t="shared" si="854"/>
        <v>0</v>
      </c>
      <c r="W13646">
        <f t="shared" si="855"/>
        <v>0</v>
      </c>
    </row>
    <row r="13647" spans="5:23" x14ac:dyDescent="0.25">
      <c r="E13647" s="4"/>
      <c r="F13647" s="4"/>
      <c r="G13647" s="33" t="str">
        <f>IFERROR(VLOOKUP($D13647,'Informations sur les produits'!$A$3:$H$10000,8,FALSE),"0")</f>
        <v>0</v>
      </c>
      <c r="K13647" s="4"/>
      <c r="L13647" s="33" t="str">
        <f>IFERROR(VLOOKUP($J13647,'Informations sur les produits'!$A$3:$H$10000,8,FALSE),"0")</f>
        <v>0</v>
      </c>
      <c r="N13647" s="8"/>
      <c r="O13647" s="33" t="str">
        <f>IFERROR(VLOOKUP($M13647,'Informations sur les produits'!$A$3:$H$10000,8,FALSE),"0")</f>
        <v>0</v>
      </c>
      <c r="P13647" s="33">
        <f t="shared" si="852"/>
        <v>0</v>
      </c>
      <c r="Q13647" s="31" t="str">
        <f t="shared" si="853"/>
        <v/>
      </c>
      <c r="R13647" s="32" t="str">
        <f>IFERROR(VLOOKUP($D13647,'Informations sur les produits'!$A$3:$B$15000,2,FALSE),"")</f>
        <v/>
      </c>
      <c r="V13647">
        <f t="shared" si="854"/>
        <v>0</v>
      </c>
      <c r="W13647">
        <f t="shared" si="855"/>
        <v>0</v>
      </c>
    </row>
    <row r="13648" spans="5:23" x14ac:dyDescent="0.25">
      <c r="E13648" s="4"/>
      <c r="F13648" s="4"/>
      <c r="G13648" s="33" t="str">
        <f>IFERROR(VLOOKUP($D13648,'Informations sur les produits'!$A$3:$H$10000,8,FALSE),"0")</f>
        <v>0</v>
      </c>
      <c r="K13648" s="4"/>
      <c r="L13648" s="33" t="str">
        <f>IFERROR(VLOOKUP($J13648,'Informations sur les produits'!$A$3:$H$10000,8,FALSE),"0")</f>
        <v>0</v>
      </c>
      <c r="N13648" s="8"/>
      <c r="O13648" s="33" t="str">
        <f>IFERROR(VLOOKUP($M13648,'Informations sur les produits'!$A$3:$H$10000,8,FALSE),"0")</f>
        <v>0</v>
      </c>
      <c r="P13648" s="33">
        <f t="shared" si="852"/>
        <v>0</v>
      </c>
      <c r="Q13648" s="31" t="str">
        <f t="shared" si="853"/>
        <v/>
      </c>
      <c r="R13648" s="32" t="str">
        <f>IFERROR(VLOOKUP($D13648,'Informations sur les produits'!$A$3:$B$15000,2,FALSE),"")</f>
        <v/>
      </c>
      <c r="V13648">
        <f t="shared" si="854"/>
        <v>0</v>
      </c>
      <c r="W13648">
        <f t="shared" si="855"/>
        <v>0</v>
      </c>
    </row>
    <row r="13649" spans="5:23" x14ac:dyDescent="0.25">
      <c r="E13649" s="4"/>
      <c r="F13649" s="4"/>
      <c r="G13649" s="33" t="str">
        <f>IFERROR(VLOOKUP($D13649,'Informations sur les produits'!$A$3:$H$10000,8,FALSE),"0")</f>
        <v>0</v>
      </c>
      <c r="K13649" s="4"/>
      <c r="L13649" s="33" t="str">
        <f>IFERROR(VLOOKUP($J13649,'Informations sur les produits'!$A$3:$H$10000,8,FALSE),"0")</f>
        <v>0</v>
      </c>
      <c r="N13649" s="8"/>
      <c r="O13649" s="33" t="str">
        <f>IFERROR(VLOOKUP($M13649,'Informations sur les produits'!$A$3:$H$10000,8,FALSE),"0")</f>
        <v>0</v>
      </c>
      <c r="P13649" s="33">
        <f t="shared" si="852"/>
        <v>0</v>
      </c>
      <c r="Q13649" s="31" t="str">
        <f t="shared" si="853"/>
        <v/>
      </c>
      <c r="R13649" s="32" t="str">
        <f>IFERROR(VLOOKUP($D13649,'Informations sur les produits'!$A$3:$B$15000,2,FALSE),"")</f>
        <v/>
      </c>
      <c r="V13649">
        <f t="shared" si="854"/>
        <v>0</v>
      </c>
      <c r="W13649">
        <f t="shared" si="855"/>
        <v>0</v>
      </c>
    </row>
    <row r="13650" spans="5:23" x14ac:dyDescent="0.25">
      <c r="E13650" s="4"/>
      <c r="F13650" s="4"/>
      <c r="G13650" s="33" t="str">
        <f>IFERROR(VLOOKUP($D13650,'Informations sur les produits'!$A$3:$H$10000,8,FALSE),"0")</f>
        <v>0</v>
      </c>
      <c r="K13650" s="4"/>
      <c r="L13650" s="33" t="str">
        <f>IFERROR(VLOOKUP($J13650,'Informations sur les produits'!$A$3:$H$10000,8,FALSE),"0")</f>
        <v>0</v>
      </c>
      <c r="N13650" s="8"/>
      <c r="O13650" s="33" t="str">
        <f>IFERROR(VLOOKUP($M13650,'Informations sur les produits'!$A$3:$H$10000,8,FALSE),"0")</f>
        <v>0</v>
      </c>
      <c r="P13650" s="33">
        <f t="shared" si="852"/>
        <v>0</v>
      </c>
      <c r="Q13650" s="31" t="str">
        <f t="shared" si="853"/>
        <v/>
      </c>
      <c r="R13650" s="32" t="str">
        <f>IFERROR(VLOOKUP($D13650,'Informations sur les produits'!$A$3:$B$15000,2,FALSE),"")</f>
        <v/>
      </c>
      <c r="V13650">
        <f t="shared" si="854"/>
        <v>0</v>
      </c>
      <c r="W13650">
        <f t="shared" si="855"/>
        <v>0</v>
      </c>
    </row>
    <row r="13651" spans="5:23" x14ac:dyDescent="0.25">
      <c r="E13651" s="4"/>
      <c r="F13651" s="4"/>
      <c r="G13651" s="33" t="str">
        <f>IFERROR(VLOOKUP($D13651,'Informations sur les produits'!$A$3:$H$10000,8,FALSE),"0")</f>
        <v>0</v>
      </c>
      <c r="K13651" s="4"/>
      <c r="L13651" s="33" t="str">
        <f>IFERROR(VLOOKUP($J13651,'Informations sur les produits'!$A$3:$H$10000,8,FALSE),"0")</f>
        <v>0</v>
      </c>
      <c r="N13651" s="8"/>
      <c r="O13651" s="33" t="str">
        <f>IFERROR(VLOOKUP($M13651,'Informations sur les produits'!$A$3:$H$10000,8,FALSE),"0")</f>
        <v>0</v>
      </c>
      <c r="P13651" s="33">
        <f t="shared" si="852"/>
        <v>0</v>
      </c>
      <c r="Q13651" s="31" t="str">
        <f t="shared" si="853"/>
        <v/>
      </c>
      <c r="R13651" s="32" t="str">
        <f>IFERROR(VLOOKUP($D13651,'Informations sur les produits'!$A$3:$B$15000,2,FALSE),"")</f>
        <v/>
      </c>
      <c r="V13651">
        <f t="shared" si="854"/>
        <v>0</v>
      </c>
      <c r="W13651">
        <f t="shared" si="855"/>
        <v>0</v>
      </c>
    </row>
    <row r="13652" spans="5:23" x14ac:dyDescent="0.25">
      <c r="E13652" s="4"/>
      <c r="F13652" s="4"/>
      <c r="G13652" s="33" t="str">
        <f>IFERROR(VLOOKUP($D13652,'Informations sur les produits'!$A$3:$H$10000,8,FALSE),"0")</f>
        <v>0</v>
      </c>
      <c r="K13652" s="4"/>
      <c r="L13652" s="33" t="str">
        <f>IFERROR(VLOOKUP($J13652,'Informations sur les produits'!$A$3:$H$10000,8,FALSE),"0")</f>
        <v>0</v>
      </c>
      <c r="N13652" s="8"/>
      <c r="O13652" s="33" t="str">
        <f>IFERROR(VLOOKUP($M13652,'Informations sur les produits'!$A$3:$H$10000,8,FALSE),"0")</f>
        <v>0</v>
      </c>
      <c r="P13652" s="33">
        <f t="shared" si="852"/>
        <v>0</v>
      </c>
      <c r="Q13652" s="31" t="str">
        <f t="shared" si="853"/>
        <v/>
      </c>
      <c r="R13652" s="32" t="str">
        <f>IFERROR(VLOOKUP($D13652,'Informations sur les produits'!$A$3:$B$15000,2,FALSE),"")</f>
        <v/>
      </c>
      <c r="V13652">
        <f t="shared" si="854"/>
        <v>0</v>
      </c>
      <c r="W13652">
        <f t="shared" si="855"/>
        <v>0</v>
      </c>
    </row>
    <row r="13653" spans="5:23" x14ac:dyDescent="0.25">
      <c r="E13653" s="4"/>
      <c r="F13653" s="4"/>
      <c r="G13653" s="33" t="str">
        <f>IFERROR(VLOOKUP($D13653,'Informations sur les produits'!$A$3:$H$10000,8,FALSE),"0")</f>
        <v>0</v>
      </c>
      <c r="K13653" s="4"/>
      <c r="L13653" s="33" t="str">
        <f>IFERROR(VLOOKUP($J13653,'Informations sur les produits'!$A$3:$H$10000,8,FALSE),"0")</f>
        <v>0</v>
      </c>
      <c r="N13653" s="8"/>
      <c r="O13653" s="33" t="str">
        <f>IFERROR(VLOOKUP($M13653,'Informations sur les produits'!$A$3:$H$10000,8,FALSE),"0")</f>
        <v>0</v>
      </c>
      <c r="P13653" s="33">
        <f t="shared" si="852"/>
        <v>0</v>
      </c>
      <c r="Q13653" s="31" t="str">
        <f t="shared" si="853"/>
        <v/>
      </c>
      <c r="R13653" s="32" t="str">
        <f>IFERROR(VLOOKUP($D13653,'Informations sur les produits'!$A$3:$B$15000,2,FALSE),"")</f>
        <v/>
      </c>
      <c r="V13653">
        <f t="shared" si="854"/>
        <v>0</v>
      </c>
      <c r="W13653">
        <f t="shared" si="855"/>
        <v>0</v>
      </c>
    </row>
    <row r="13654" spans="5:23" x14ac:dyDescent="0.25">
      <c r="E13654" s="4"/>
      <c r="F13654" s="4"/>
      <c r="G13654" s="33" t="str">
        <f>IFERROR(VLOOKUP($D13654,'Informations sur les produits'!$A$3:$H$10000,8,FALSE),"0")</f>
        <v>0</v>
      </c>
      <c r="K13654" s="4"/>
      <c r="L13654" s="33" t="str">
        <f>IFERROR(VLOOKUP($J13654,'Informations sur les produits'!$A$3:$H$10000,8,FALSE),"0")</f>
        <v>0</v>
      </c>
      <c r="N13654" s="8"/>
      <c r="O13654" s="33" t="str">
        <f>IFERROR(VLOOKUP($M13654,'Informations sur les produits'!$A$3:$H$10000,8,FALSE),"0")</f>
        <v>0</v>
      </c>
      <c r="P13654" s="33">
        <f t="shared" si="852"/>
        <v>0</v>
      </c>
      <c r="Q13654" s="31" t="str">
        <f t="shared" si="853"/>
        <v/>
      </c>
      <c r="R13654" s="32" t="str">
        <f>IFERROR(VLOOKUP($D13654,'Informations sur les produits'!$A$3:$B$15000,2,FALSE),"")</f>
        <v/>
      </c>
      <c r="V13654">
        <f t="shared" si="854"/>
        <v>0</v>
      </c>
      <c r="W13654">
        <f t="shared" si="855"/>
        <v>0</v>
      </c>
    </row>
    <row r="13655" spans="5:23" x14ac:dyDescent="0.25">
      <c r="E13655" s="4"/>
      <c r="F13655" s="4"/>
      <c r="G13655" s="33" t="str">
        <f>IFERROR(VLOOKUP($D13655,'Informations sur les produits'!$A$3:$H$10000,8,FALSE),"0")</f>
        <v>0</v>
      </c>
      <c r="K13655" s="4"/>
      <c r="L13655" s="33" t="str">
        <f>IFERROR(VLOOKUP($J13655,'Informations sur les produits'!$A$3:$H$10000,8,FALSE),"0")</f>
        <v>0</v>
      </c>
      <c r="N13655" s="8"/>
      <c r="O13655" s="33" t="str">
        <f>IFERROR(VLOOKUP($M13655,'Informations sur les produits'!$A$3:$H$10000,8,FALSE),"0")</f>
        <v>0</v>
      </c>
      <c r="P13655" s="33">
        <f t="shared" si="852"/>
        <v>0</v>
      </c>
      <c r="Q13655" s="31" t="str">
        <f t="shared" si="853"/>
        <v/>
      </c>
      <c r="R13655" s="32" t="str">
        <f>IFERROR(VLOOKUP($D13655,'Informations sur les produits'!$A$3:$B$15000,2,FALSE),"")</f>
        <v/>
      </c>
      <c r="V13655">
        <f t="shared" si="854"/>
        <v>0</v>
      </c>
      <c r="W13655">
        <f t="shared" si="855"/>
        <v>0</v>
      </c>
    </row>
    <row r="13656" spans="5:23" x14ac:dyDescent="0.25">
      <c r="E13656" s="4"/>
      <c r="F13656" s="4"/>
      <c r="G13656" s="33" t="str">
        <f>IFERROR(VLOOKUP($D13656,'Informations sur les produits'!$A$3:$H$10000,8,FALSE),"0")</f>
        <v>0</v>
      </c>
      <c r="K13656" s="4"/>
      <c r="L13656" s="33" t="str">
        <f>IFERROR(VLOOKUP($J13656,'Informations sur les produits'!$A$3:$H$10000,8,FALSE),"0")</f>
        <v>0</v>
      </c>
      <c r="N13656" s="8"/>
      <c r="O13656" s="33" t="str">
        <f>IFERROR(VLOOKUP($M13656,'Informations sur les produits'!$A$3:$H$10000,8,FALSE),"0")</f>
        <v>0</v>
      </c>
      <c r="P13656" s="33">
        <f t="shared" si="852"/>
        <v>0</v>
      </c>
      <c r="Q13656" s="31" t="str">
        <f t="shared" si="853"/>
        <v/>
      </c>
      <c r="R13656" s="32" t="str">
        <f>IFERROR(VLOOKUP($D13656,'Informations sur les produits'!$A$3:$B$15000,2,FALSE),"")</f>
        <v/>
      </c>
      <c r="V13656">
        <f t="shared" si="854"/>
        <v>0</v>
      </c>
      <c r="W13656">
        <f t="shared" si="855"/>
        <v>0</v>
      </c>
    </row>
    <row r="13657" spans="5:23" x14ac:dyDescent="0.25">
      <c r="E13657" s="4"/>
      <c r="F13657" s="4"/>
      <c r="G13657" s="33" t="str">
        <f>IFERROR(VLOOKUP($D13657,'Informations sur les produits'!$A$3:$H$10000,8,FALSE),"0")</f>
        <v>0</v>
      </c>
      <c r="K13657" s="4"/>
      <c r="L13657" s="33" t="str">
        <f>IFERROR(VLOOKUP($J13657,'Informations sur les produits'!$A$3:$H$10000,8,FALSE),"0")</f>
        <v>0</v>
      </c>
      <c r="N13657" s="8"/>
      <c r="O13657" s="33" t="str">
        <f>IFERROR(VLOOKUP($M13657,'Informations sur les produits'!$A$3:$H$10000,8,FALSE),"0")</f>
        <v>0</v>
      </c>
      <c r="P13657" s="33">
        <f t="shared" si="852"/>
        <v>0</v>
      </c>
      <c r="Q13657" s="31" t="str">
        <f t="shared" si="853"/>
        <v/>
      </c>
      <c r="R13657" s="32" t="str">
        <f>IFERROR(VLOOKUP($D13657,'Informations sur les produits'!$A$3:$B$15000,2,FALSE),"")</f>
        <v/>
      </c>
      <c r="V13657">
        <f t="shared" si="854"/>
        <v>0</v>
      </c>
      <c r="W13657">
        <f t="shared" si="855"/>
        <v>0</v>
      </c>
    </row>
    <row r="13658" spans="5:23" x14ac:dyDescent="0.25">
      <c r="E13658" s="4"/>
      <c r="F13658" s="4"/>
      <c r="G13658" s="33" t="str">
        <f>IFERROR(VLOOKUP($D13658,'Informations sur les produits'!$A$3:$H$10000,8,FALSE),"0")</f>
        <v>0</v>
      </c>
      <c r="K13658" s="4"/>
      <c r="L13658" s="33" t="str">
        <f>IFERROR(VLOOKUP($J13658,'Informations sur les produits'!$A$3:$H$10000,8,FALSE),"0")</f>
        <v>0</v>
      </c>
      <c r="N13658" s="8"/>
      <c r="O13658" s="33" t="str">
        <f>IFERROR(VLOOKUP($M13658,'Informations sur les produits'!$A$3:$H$10000,8,FALSE),"0")</f>
        <v>0</v>
      </c>
      <c r="P13658" s="33">
        <f t="shared" si="852"/>
        <v>0</v>
      </c>
      <c r="Q13658" s="31" t="str">
        <f t="shared" si="853"/>
        <v/>
      </c>
      <c r="R13658" s="32" t="str">
        <f>IFERROR(VLOOKUP($D13658,'Informations sur les produits'!$A$3:$B$15000,2,FALSE),"")</f>
        <v/>
      </c>
      <c r="V13658">
        <f t="shared" si="854"/>
        <v>0</v>
      </c>
      <c r="W13658">
        <f t="shared" si="855"/>
        <v>0</v>
      </c>
    </row>
    <row r="13659" spans="5:23" x14ac:dyDescent="0.25">
      <c r="E13659" s="4"/>
      <c r="F13659" s="4"/>
      <c r="G13659" s="33" t="str">
        <f>IFERROR(VLOOKUP($D13659,'Informations sur les produits'!$A$3:$H$10000,8,FALSE),"0")</f>
        <v>0</v>
      </c>
      <c r="K13659" s="4"/>
      <c r="L13659" s="33" t="str">
        <f>IFERROR(VLOOKUP($J13659,'Informations sur les produits'!$A$3:$H$10000,8,FALSE),"0")</f>
        <v>0</v>
      </c>
      <c r="N13659" s="8"/>
      <c r="O13659" s="33" t="str">
        <f>IFERROR(VLOOKUP($M13659,'Informations sur les produits'!$A$3:$H$10000,8,FALSE),"0")</f>
        <v>0</v>
      </c>
      <c r="P13659" s="33">
        <f t="shared" si="852"/>
        <v>0</v>
      </c>
      <c r="Q13659" s="31" t="str">
        <f t="shared" si="853"/>
        <v/>
      </c>
      <c r="R13659" s="32" t="str">
        <f>IFERROR(VLOOKUP($D13659,'Informations sur les produits'!$A$3:$B$15000,2,FALSE),"")</f>
        <v/>
      </c>
      <c r="V13659">
        <f t="shared" si="854"/>
        <v>0</v>
      </c>
      <c r="W13659">
        <f t="shared" si="855"/>
        <v>0</v>
      </c>
    </row>
    <row r="13660" spans="5:23" x14ac:dyDescent="0.25">
      <c r="E13660" s="4"/>
      <c r="F13660" s="4"/>
      <c r="G13660" s="33" t="str">
        <f>IFERROR(VLOOKUP($D13660,'Informations sur les produits'!$A$3:$H$10000,8,FALSE),"0")</f>
        <v>0</v>
      </c>
      <c r="K13660" s="4"/>
      <c r="L13660" s="33" t="str">
        <f>IFERROR(VLOOKUP($J13660,'Informations sur les produits'!$A$3:$H$10000,8,FALSE),"0")</f>
        <v>0</v>
      </c>
      <c r="N13660" s="8"/>
      <c r="O13660" s="33" t="str">
        <f>IFERROR(VLOOKUP($M13660,'Informations sur les produits'!$A$3:$H$10000,8,FALSE),"0")</f>
        <v>0</v>
      </c>
      <c r="P13660" s="33">
        <f t="shared" si="852"/>
        <v>0</v>
      </c>
      <c r="Q13660" s="31" t="str">
        <f t="shared" si="853"/>
        <v/>
      </c>
      <c r="R13660" s="32" t="str">
        <f>IFERROR(VLOOKUP($D13660,'Informations sur les produits'!$A$3:$B$15000,2,FALSE),"")</f>
        <v/>
      </c>
      <c r="V13660">
        <f t="shared" si="854"/>
        <v>0</v>
      </c>
      <c r="W13660">
        <f t="shared" si="855"/>
        <v>0</v>
      </c>
    </row>
    <row r="13661" spans="5:23" x14ac:dyDescent="0.25">
      <c r="E13661" s="4"/>
      <c r="F13661" s="4"/>
      <c r="G13661" s="33" t="str">
        <f>IFERROR(VLOOKUP($D13661,'Informations sur les produits'!$A$3:$H$10000,8,FALSE),"0")</f>
        <v>0</v>
      </c>
      <c r="K13661" s="4"/>
      <c r="L13661" s="33" t="str">
        <f>IFERROR(VLOOKUP($J13661,'Informations sur les produits'!$A$3:$H$10000,8,FALSE),"0")</f>
        <v>0</v>
      </c>
      <c r="N13661" s="8"/>
      <c r="O13661" s="33" t="str">
        <f>IFERROR(VLOOKUP($M13661,'Informations sur les produits'!$A$3:$H$10000,8,FALSE),"0")</f>
        <v>0</v>
      </c>
      <c r="P13661" s="33">
        <f t="shared" si="852"/>
        <v>0</v>
      </c>
      <c r="Q13661" s="31" t="str">
        <f t="shared" si="853"/>
        <v/>
      </c>
      <c r="R13661" s="32" t="str">
        <f>IFERROR(VLOOKUP($D13661,'Informations sur les produits'!$A$3:$B$15000,2,FALSE),"")</f>
        <v/>
      </c>
      <c r="V13661">
        <f t="shared" si="854"/>
        <v>0</v>
      </c>
      <c r="W13661">
        <f t="shared" si="855"/>
        <v>0</v>
      </c>
    </row>
    <row r="13662" spans="5:23" x14ac:dyDescent="0.25">
      <c r="E13662" s="4"/>
      <c r="F13662" s="4"/>
      <c r="G13662" s="33" t="str">
        <f>IFERROR(VLOOKUP($D13662,'Informations sur les produits'!$A$3:$H$10000,8,FALSE),"0")</f>
        <v>0</v>
      </c>
      <c r="K13662" s="4"/>
      <c r="L13662" s="33" t="str">
        <f>IFERROR(VLOOKUP($J13662,'Informations sur les produits'!$A$3:$H$10000,8,FALSE),"0")</f>
        <v>0</v>
      </c>
      <c r="N13662" s="8"/>
      <c r="O13662" s="33" t="str">
        <f>IFERROR(VLOOKUP($M13662,'Informations sur les produits'!$A$3:$H$10000,8,FALSE),"0")</f>
        <v>0</v>
      </c>
      <c r="P13662" s="33">
        <f t="shared" si="852"/>
        <v>0</v>
      </c>
      <c r="Q13662" s="31" t="str">
        <f t="shared" si="853"/>
        <v/>
      </c>
      <c r="R13662" s="32" t="str">
        <f>IFERROR(VLOOKUP($D13662,'Informations sur les produits'!$A$3:$B$15000,2,FALSE),"")</f>
        <v/>
      </c>
      <c r="V13662">
        <f t="shared" si="854"/>
        <v>0</v>
      </c>
      <c r="W13662">
        <f t="shared" si="855"/>
        <v>0</v>
      </c>
    </row>
    <row r="13663" spans="5:23" x14ac:dyDescent="0.25">
      <c r="E13663" s="4"/>
      <c r="F13663" s="4"/>
      <c r="G13663" s="33" t="str">
        <f>IFERROR(VLOOKUP($D13663,'Informations sur les produits'!$A$3:$H$10000,8,FALSE),"0")</f>
        <v>0</v>
      </c>
      <c r="K13663" s="4"/>
      <c r="L13663" s="33" t="str">
        <f>IFERROR(VLOOKUP($J13663,'Informations sur les produits'!$A$3:$H$10000,8,FALSE),"0")</f>
        <v>0</v>
      </c>
      <c r="N13663" s="8"/>
      <c r="O13663" s="33" t="str">
        <f>IFERROR(VLOOKUP($M13663,'Informations sur les produits'!$A$3:$H$10000,8,FALSE),"0")</f>
        <v>0</v>
      </c>
      <c r="P13663" s="33">
        <f t="shared" si="852"/>
        <v>0</v>
      </c>
      <c r="Q13663" s="31" t="str">
        <f t="shared" si="853"/>
        <v/>
      </c>
      <c r="R13663" s="32" t="str">
        <f>IFERROR(VLOOKUP($D13663,'Informations sur les produits'!$A$3:$B$15000,2,FALSE),"")</f>
        <v/>
      </c>
      <c r="V13663">
        <f t="shared" si="854"/>
        <v>0</v>
      </c>
      <c r="W13663">
        <f t="shared" si="855"/>
        <v>0</v>
      </c>
    </row>
    <row r="13664" spans="5:23" x14ac:dyDescent="0.25">
      <c r="E13664" s="4"/>
      <c r="F13664" s="4"/>
      <c r="G13664" s="33" t="str">
        <f>IFERROR(VLOOKUP($D13664,'Informations sur les produits'!$A$3:$H$10000,8,FALSE),"0")</f>
        <v>0</v>
      </c>
      <c r="K13664" s="4"/>
      <c r="L13664" s="33" t="str">
        <f>IFERROR(VLOOKUP($J13664,'Informations sur les produits'!$A$3:$H$10000,8,FALSE),"0")</f>
        <v>0</v>
      </c>
      <c r="N13664" s="8"/>
      <c r="O13664" s="33" t="str">
        <f>IFERROR(VLOOKUP($M13664,'Informations sur les produits'!$A$3:$H$10000,8,FALSE),"0")</f>
        <v>0</v>
      </c>
      <c r="P13664" s="33">
        <f t="shared" si="852"/>
        <v>0</v>
      </c>
      <c r="Q13664" s="31" t="str">
        <f t="shared" si="853"/>
        <v/>
      </c>
      <c r="R13664" s="32" t="str">
        <f>IFERROR(VLOOKUP($D13664,'Informations sur les produits'!$A$3:$B$15000,2,FALSE),"")</f>
        <v/>
      </c>
      <c r="V13664">
        <f t="shared" si="854"/>
        <v>0</v>
      </c>
      <c r="W13664">
        <f t="shared" si="855"/>
        <v>0</v>
      </c>
    </row>
    <row r="13665" spans="5:23" x14ac:dyDescent="0.25">
      <c r="E13665" s="4"/>
      <c r="F13665" s="4"/>
      <c r="G13665" s="33" t="str">
        <f>IFERROR(VLOOKUP($D13665,'Informations sur les produits'!$A$3:$H$10000,8,FALSE),"0")</f>
        <v>0</v>
      </c>
      <c r="K13665" s="4"/>
      <c r="L13665" s="33" t="str">
        <f>IFERROR(VLOOKUP($J13665,'Informations sur les produits'!$A$3:$H$10000,8,FALSE),"0")</f>
        <v>0</v>
      </c>
      <c r="N13665" s="8"/>
      <c r="O13665" s="33" t="str">
        <f>IFERROR(VLOOKUP($M13665,'Informations sur les produits'!$A$3:$H$10000,8,FALSE),"0")</f>
        <v>0</v>
      </c>
      <c r="P13665" s="33">
        <f t="shared" si="852"/>
        <v>0</v>
      </c>
      <c r="Q13665" s="31" t="str">
        <f t="shared" si="853"/>
        <v/>
      </c>
      <c r="R13665" s="32" t="str">
        <f>IFERROR(VLOOKUP($D13665,'Informations sur les produits'!$A$3:$B$15000,2,FALSE),"")</f>
        <v/>
      </c>
      <c r="V13665">
        <f t="shared" si="854"/>
        <v>0</v>
      </c>
      <c r="W13665">
        <f t="shared" si="855"/>
        <v>0</v>
      </c>
    </row>
    <row r="13666" spans="5:23" x14ac:dyDescent="0.25">
      <c r="E13666" s="4"/>
      <c r="F13666" s="4"/>
      <c r="G13666" s="33" t="str">
        <f>IFERROR(VLOOKUP($D13666,'Informations sur les produits'!$A$3:$H$10000,8,FALSE),"0")</f>
        <v>0</v>
      </c>
      <c r="K13666" s="4"/>
      <c r="L13666" s="33" t="str">
        <f>IFERROR(VLOOKUP($J13666,'Informations sur les produits'!$A$3:$H$10000,8,FALSE),"0")</f>
        <v>0</v>
      </c>
      <c r="N13666" s="8"/>
      <c r="O13666" s="33" t="str">
        <f>IFERROR(VLOOKUP($M13666,'Informations sur les produits'!$A$3:$H$10000,8,FALSE),"0")</f>
        <v>0</v>
      </c>
      <c r="P13666" s="33">
        <f t="shared" si="852"/>
        <v>0</v>
      </c>
      <c r="Q13666" s="31" t="str">
        <f t="shared" si="853"/>
        <v/>
      </c>
      <c r="R13666" s="32" t="str">
        <f>IFERROR(VLOOKUP($D13666,'Informations sur les produits'!$A$3:$B$15000,2,FALSE),"")</f>
        <v/>
      </c>
      <c r="V13666">
        <f t="shared" si="854"/>
        <v>0</v>
      </c>
      <c r="W13666">
        <f t="shared" si="855"/>
        <v>0</v>
      </c>
    </row>
    <row r="13667" spans="5:23" x14ac:dyDescent="0.25">
      <c r="E13667" s="4"/>
      <c r="F13667" s="4"/>
      <c r="G13667" s="33" t="str">
        <f>IFERROR(VLOOKUP($D13667,'Informations sur les produits'!$A$3:$H$10000,8,FALSE),"0")</f>
        <v>0</v>
      </c>
      <c r="K13667" s="4"/>
      <c r="L13667" s="33" t="str">
        <f>IFERROR(VLOOKUP($J13667,'Informations sur les produits'!$A$3:$H$10000,8,FALSE),"0")</f>
        <v>0</v>
      </c>
      <c r="N13667" s="8"/>
      <c r="O13667" s="33" t="str">
        <f>IFERROR(VLOOKUP($M13667,'Informations sur les produits'!$A$3:$H$10000,8,FALSE),"0")</f>
        <v>0</v>
      </c>
      <c r="P13667" s="33">
        <f t="shared" si="852"/>
        <v>0</v>
      </c>
      <c r="Q13667" s="31" t="str">
        <f t="shared" si="853"/>
        <v/>
      </c>
      <c r="R13667" s="32" t="str">
        <f>IFERROR(VLOOKUP($D13667,'Informations sur les produits'!$A$3:$B$15000,2,FALSE),"")</f>
        <v/>
      </c>
      <c r="V13667">
        <f t="shared" si="854"/>
        <v>0</v>
      </c>
      <c r="W13667">
        <f t="shared" si="855"/>
        <v>0</v>
      </c>
    </row>
    <row r="13668" spans="5:23" x14ac:dyDescent="0.25">
      <c r="E13668" s="4"/>
      <c r="F13668" s="4"/>
      <c r="G13668" s="33" t="str">
        <f>IFERROR(VLOOKUP($D13668,'Informations sur les produits'!$A$3:$H$10000,8,FALSE),"0")</f>
        <v>0</v>
      </c>
      <c r="K13668" s="4"/>
      <c r="L13668" s="33" t="str">
        <f>IFERROR(VLOOKUP($J13668,'Informations sur les produits'!$A$3:$H$10000,8,FALSE),"0")</f>
        <v>0</v>
      </c>
      <c r="N13668" s="8"/>
      <c r="O13668" s="33" t="str">
        <f>IFERROR(VLOOKUP($M13668,'Informations sur les produits'!$A$3:$H$10000,8,FALSE),"0")</f>
        <v>0</v>
      </c>
      <c r="P13668" s="33">
        <f t="shared" si="852"/>
        <v>0</v>
      </c>
      <c r="Q13668" s="31" t="str">
        <f t="shared" si="853"/>
        <v/>
      </c>
      <c r="R13668" s="32" t="str">
        <f>IFERROR(VLOOKUP($D13668,'Informations sur les produits'!$A$3:$B$15000,2,FALSE),"")</f>
        <v/>
      </c>
      <c r="V13668">
        <f t="shared" si="854"/>
        <v>0</v>
      </c>
      <c r="W13668">
        <f t="shared" si="855"/>
        <v>0</v>
      </c>
    </row>
    <row r="13669" spans="5:23" x14ac:dyDescent="0.25">
      <c r="E13669" s="4"/>
      <c r="F13669" s="4"/>
      <c r="G13669" s="33" t="str">
        <f>IFERROR(VLOOKUP($D13669,'Informations sur les produits'!$A$3:$H$10000,8,FALSE),"0")</f>
        <v>0</v>
      </c>
      <c r="K13669" s="4"/>
      <c r="L13669" s="33" t="str">
        <f>IFERROR(VLOOKUP($J13669,'Informations sur les produits'!$A$3:$H$10000,8,FALSE),"0")</f>
        <v>0</v>
      </c>
      <c r="N13669" s="8"/>
      <c r="O13669" s="33" t="str">
        <f>IFERROR(VLOOKUP($M13669,'Informations sur les produits'!$A$3:$H$10000,8,FALSE),"0")</f>
        <v>0</v>
      </c>
      <c r="P13669" s="33">
        <f t="shared" si="852"/>
        <v>0</v>
      </c>
      <c r="Q13669" s="31" t="str">
        <f t="shared" si="853"/>
        <v/>
      </c>
      <c r="R13669" s="32" t="str">
        <f>IFERROR(VLOOKUP($D13669,'Informations sur les produits'!$A$3:$B$15000,2,FALSE),"")</f>
        <v/>
      </c>
      <c r="V13669">
        <f t="shared" si="854"/>
        <v>0</v>
      </c>
      <c r="W13669">
        <f t="shared" si="855"/>
        <v>0</v>
      </c>
    </row>
    <row r="13670" spans="5:23" x14ac:dyDescent="0.25">
      <c r="E13670" s="4"/>
      <c r="F13670" s="4"/>
      <c r="G13670" s="33" t="str">
        <f>IFERROR(VLOOKUP($D13670,'Informations sur les produits'!$A$3:$H$10000,8,FALSE),"0")</f>
        <v>0</v>
      </c>
      <c r="K13670" s="4"/>
      <c r="L13670" s="33" t="str">
        <f>IFERROR(VLOOKUP($J13670,'Informations sur les produits'!$A$3:$H$10000,8,FALSE),"0")</f>
        <v>0</v>
      </c>
      <c r="N13670" s="8"/>
      <c r="O13670" s="33" t="str">
        <f>IFERROR(VLOOKUP($M13670,'Informations sur les produits'!$A$3:$H$10000,8,FALSE),"0")</f>
        <v>0</v>
      </c>
      <c r="P13670" s="33">
        <f t="shared" si="852"/>
        <v>0</v>
      </c>
      <c r="Q13670" s="31" t="str">
        <f t="shared" si="853"/>
        <v/>
      </c>
      <c r="R13670" s="32" t="str">
        <f>IFERROR(VLOOKUP($D13670,'Informations sur les produits'!$A$3:$B$15000,2,FALSE),"")</f>
        <v/>
      </c>
      <c r="V13670">
        <f t="shared" si="854"/>
        <v>0</v>
      </c>
      <c r="W13670">
        <f t="shared" si="855"/>
        <v>0</v>
      </c>
    </row>
    <row r="13671" spans="5:23" x14ac:dyDescent="0.25">
      <c r="E13671" s="4"/>
      <c r="F13671" s="4"/>
      <c r="G13671" s="33" t="str">
        <f>IFERROR(VLOOKUP($D13671,'Informations sur les produits'!$A$3:$H$10000,8,FALSE),"0")</f>
        <v>0</v>
      </c>
      <c r="K13671" s="4"/>
      <c r="L13671" s="33" t="str">
        <f>IFERROR(VLOOKUP($J13671,'Informations sur les produits'!$A$3:$H$10000,8,FALSE),"0")</f>
        <v>0</v>
      </c>
      <c r="N13671" s="8"/>
      <c r="O13671" s="33" t="str">
        <f>IFERROR(VLOOKUP($M13671,'Informations sur les produits'!$A$3:$H$10000,8,FALSE),"0")</f>
        <v>0</v>
      </c>
      <c r="P13671" s="33">
        <f t="shared" si="852"/>
        <v>0</v>
      </c>
      <c r="Q13671" s="31" t="str">
        <f t="shared" si="853"/>
        <v/>
      </c>
      <c r="R13671" s="32" t="str">
        <f>IFERROR(VLOOKUP($D13671,'Informations sur les produits'!$A$3:$B$15000,2,FALSE),"")</f>
        <v/>
      </c>
      <c r="V13671">
        <f t="shared" si="854"/>
        <v>0</v>
      </c>
      <c r="W13671">
        <f t="shared" si="855"/>
        <v>0</v>
      </c>
    </row>
    <row r="13672" spans="5:23" x14ac:dyDescent="0.25">
      <c r="E13672" s="4"/>
      <c r="F13672" s="4"/>
      <c r="G13672" s="33" t="str">
        <f>IFERROR(VLOOKUP($D13672,'Informations sur les produits'!$A$3:$H$10000,8,FALSE),"0")</f>
        <v>0</v>
      </c>
      <c r="K13672" s="4"/>
      <c r="L13672" s="33" t="str">
        <f>IFERROR(VLOOKUP($J13672,'Informations sur les produits'!$A$3:$H$10000,8,FALSE),"0")</f>
        <v>0</v>
      </c>
      <c r="N13672" s="8"/>
      <c r="O13672" s="33" t="str">
        <f>IFERROR(VLOOKUP($M13672,'Informations sur les produits'!$A$3:$H$10000,8,FALSE),"0")</f>
        <v>0</v>
      </c>
      <c r="P13672" s="33">
        <f t="shared" si="852"/>
        <v>0</v>
      </c>
      <c r="Q13672" s="31" t="str">
        <f t="shared" si="853"/>
        <v/>
      </c>
      <c r="R13672" s="32" t="str">
        <f>IFERROR(VLOOKUP($D13672,'Informations sur les produits'!$A$3:$B$15000,2,FALSE),"")</f>
        <v/>
      </c>
      <c r="V13672">
        <f t="shared" si="854"/>
        <v>0</v>
      </c>
      <c r="W13672">
        <f t="shared" si="855"/>
        <v>0</v>
      </c>
    </row>
    <row r="13673" spans="5:23" x14ac:dyDescent="0.25">
      <c r="E13673" s="4"/>
      <c r="F13673" s="4"/>
      <c r="G13673" s="33" t="str">
        <f>IFERROR(VLOOKUP($D13673,'Informations sur les produits'!$A$3:$H$10000,8,FALSE),"0")</f>
        <v>0</v>
      </c>
      <c r="K13673" s="4"/>
      <c r="L13673" s="33" t="str">
        <f>IFERROR(VLOOKUP($J13673,'Informations sur les produits'!$A$3:$H$10000,8,FALSE),"0")</f>
        <v>0</v>
      </c>
      <c r="N13673" s="8"/>
      <c r="O13673" s="33" t="str">
        <f>IFERROR(VLOOKUP($M13673,'Informations sur les produits'!$A$3:$H$10000,8,FALSE),"0")</f>
        <v>0</v>
      </c>
      <c r="P13673" s="33">
        <f t="shared" si="852"/>
        <v>0</v>
      </c>
      <c r="Q13673" s="31" t="str">
        <f t="shared" si="853"/>
        <v/>
      </c>
      <c r="R13673" s="32" t="str">
        <f>IFERROR(VLOOKUP($D13673,'Informations sur les produits'!$A$3:$B$15000,2,FALSE),"")</f>
        <v/>
      </c>
      <c r="V13673">
        <f t="shared" si="854"/>
        <v>0</v>
      </c>
      <c r="W13673">
        <f t="shared" si="855"/>
        <v>0</v>
      </c>
    </row>
    <row r="13674" spans="5:23" x14ac:dyDescent="0.25">
      <c r="E13674" s="4"/>
      <c r="F13674" s="4"/>
      <c r="G13674" s="33" t="str">
        <f>IFERROR(VLOOKUP($D13674,'Informations sur les produits'!$A$3:$H$10000,8,FALSE),"0")</f>
        <v>0</v>
      </c>
      <c r="K13674" s="4"/>
      <c r="L13674" s="33" t="str">
        <f>IFERROR(VLOOKUP($J13674,'Informations sur les produits'!$A$3:$H$10000,8,FALSE),"0")</f>
        <v>0</v>
      </c>
      <c r="N13674" s="8"/>
      <c r="O13674" s="33" t="str">
        <f>IFERROR(VLOOKUP($M13674,'Informations sur les produits'!$A$3:$H$10000,8,FALSE),"0")</f>
        <v>0</v>
      </c>
      <c r="P13674" s="33">
        <f t="shared" si="852"/>
        <v>0</v>
      </c>
      <c r="Q13674" s="31" t="str">
        <f t="shared" si="853"/>
        <v/>
      </c>
      <c r="R13674" s="32" t="str">
        <f>IFERROR(VLOOKUP($D13674,'Informations sur les produits'!$A$3:$B$15000,2,FALSE),"")</f>
        <v/>
      </c>
      <c r="V13674">
        <f t="shared" si="854"/>
        <v>0</v>
      </c>
      <c r="W13674">
        <f t="shared" si="855"/>
        <v>0</v>
      </c>
    </row>
    <row r="13675" spans="5:23" x14ac:dyDescent="0.25">
      <c r="E13675" s="4"/>
      <c r="F13675" s="4"/>
      <c r="G13675" s="33" t="str">
        <f>IFERROR(VLOOKUP($D13675,'Informations sur les produits'!$A$3:$H$10000,8,FALSE),"0")</f>
        <v>0</v>
      </c>
      <c r="K13675" s="4"/>
      <c r="L13675" s="33" t="str">
        <f>IFERROR(VLOOKUP($J13675,'Informations sur les produits'!$A$3:$H$10000,8,FALSE),"0")</f>
        <v>0</v>
      </c>
      <c r="N13675" s="8"/>
      <c r="O13675" s="33" t="str">
        <f>IFERROR(VLOOKUP($M13675,'Informations sur les produits'!$A$3:$H$10000,8,FALSE),"0")</f>
        <v>0</v>
      </c>
      <c r="P13675" s="33">
        <f t="shared" si="852"/>
        <v>0</v>
      </c>
      <c r="Q13675" s="31" t="str">
        <f t="shared" si="853"/>
        <v/>
      </c>
      <c r="R13675" s="32" t="str">
        <f>IFERROR(VLOOKUP($D13675,'Informations sur les produits'!$A$3:$B$15000,2,FALSE),"")</f>
        <v/>
      </c>
      <c r="V13675">
        <f t="shared" si="854"/>
        <v>0</v>
      </c>
      <c r="W13675">
        <f t="shared" si="855"/>
        <v>0</v>
      </c>
    </row>
    <row r="13676" spans="5:23" x14ac:dyDescent="0.25">
      <c r="E13676" s="4"/>
      <c r="F13676" s="4"/>
      <c r="G13676" s="33" t="str">
        <f>IFERROR(VLOOKUP($D13676,'Informations sur les produits'!$A$3:$H$10000,8,FALSE),"0")</f>
        <v>0</v>
      </c>
      <c r="K13676" s="4"/>
      <c r="L13676" s="33" t="str">
        <f>IFERROR(VLOOKUP($J13676,'Informations sur les produits'!$A$3:$H$10000,8,FALSE),"0")</f>
        <v>0</v>
      </c>
      <c r="N13676" s="8"/>
      <c r="O13676" s="33" t="str">
        <f>IFERROR(VLOOKUP($M13676,'Informations sur les produits'!$A$3:$H$10000,8,FALSE),"0")</f>
        <v>0</v>
      </c>
      <c r="P13676" s="33">
        <f t="shared" si="852"/>
        <v>0</v>
      </c>
      <c r="Q13676" s="31" t="str">
        <f t="shared" si="853"/>
        <v/>
      </c>
      <c r="R13676" s="32" t="str">
        <f>IFERROR(VLOOKUP($D13676,'Informations sur les produits'!$A$3:$B$15000,2,FALSE),"")</f>
        <v/>
      </c>
      <c r="V13676">
        <f t="shared" si="854"/>
        <v>0</v>
      </c>
      <c r="W13676">
        <f t="shared" si="855"/>
        <v>0</v>
      </c>
    </row>
    <row r="13677" spans="5:23" x14ac:dyDescent="0.25">
      <c r="E13677" s="4"/>
      <c r="F13677" s="4"/>
      <c r="G13677" s="33" t="str">
        <f>IFERROR(VLOOKUP($D13677,'Informations sur les produits'!$A$3:$H$10000,8,FALSE),"0")</f>
        <v>0</v>
      </c>
      <c r="K13677" s="4"/>
      <c r="L13677" s="33" t="str">
        <f>IFERROR(VLOOKUP($J13677,'Informations sur les produits'!$A$3:$H$10000,8,FALSE),"0")</f>
        <v>0</v>
      </c>
      <c r="N13677" s="8"/>
      <c r="O13677" s="33" t="str">
        <f>IFERROR(VLOOKUP($M13677,'Informations sur les produits'!$A$3:$H$10000,8,FALSE),"0")</f>
        <v>0</v>
      </c>
      <c r="P13677" s="33">
        <f t="shared" si="852"/>
        <v>0</v>
      </c>
      <c r="Q13677" s="31" t="str">
        <f t="shared" si="853"/>
        <v/>
      </c>
      <c r="R13677" s="32" t="str">
        <f>IFERROR(VLOOKUP($D13677,'Informations sur les produits'!$A$3:$B$15000,2,FALSE),"")</f>
        <v/>
      </c>
      <c r="V13677">
        <f t="shared" si="854"/>
        <v>0</v>
      </c>
      <c r="W13677">
        <f t="shared" si="855"/>
        <v>0</v>
      </c>
    </row>
    <row r="13678" spans="5:23" x14ac:dyDescent="0.25">
      <c r="E13678" s="4"/>
      <c r="F13678" s="4"/>
      <c r="G13678" s="33" t="str">
        <f>IFERROR(VLOOKUP($D13678,'Informations sur les produits'!$A$3:$H$10000,8,FALSE),"0")</f>
        <v>0</v>
      </c>
      <c r="K13678" s="4"/>
      <c r="L13678" s="33" t="str">
        <f>IFERROR(VLOOKUP($J13678,'Informations sur les produits'!$A$3:$H$10000,8,FALSE),"0")</f>
        <v>0</v>
      </c>
      <c r="N13678" s="8"/>
      <c r="O13678" s="33" t="str">
        <f>IFERROR(VLOOKUP($M13678,'Informations sur les produits'!$A$3:$H$10000,8,FALSE),"0")</f>
        <v>0</v>
      </c>
      <c r="P13678" s="33">
        <f t="shared" si="852"/>
        <v>0</v>
      </c>
      <c r="Q13678" s="31" t="str">
        <f t="shared" si="853"/>
        <v/>
      </c>
      <c r="R13678" s="32" t="str">
        <f>IFERROR(VLOOKUP($D13678,'Informations sur les produits'!$A$3:$B$15000,2,FALSE),"")</f>
        <v/>
      </c>
      <c r="V13678">
        <f t="shared" si="854"/>
        <v>0</v>
      </c>
      <c r="W13678">
        <f t="shared" si="855"/>
        <v>0</v>
      </c>
    </row>
    <row r="13679" spans="5:23" x14ac:dyDescent="0.25">
      <c r="E13679" s="4"/>
      <c r="F13679" s="4"/>
      <c r="G13679" s="33" t="str">
        <f>IFERROR(VLOOKUP($D13679,'Informations sur les produits'!$A$3:$H$10000,8,FALSE),"0")</f>
        <v>0</v>
      </c>
      <c r="K13679" s="4"/>
      <c r="L13679" s="33" t="str">
        <f>IFERROR(VLOOKUP($J13679,'Informations sur les produits'!$A$3:$H$10000,8,FALSE),"0")</f>
        <v>0</v>
      </c>
      <c r="N13679" s="8"/>
      <c r="O13679" s="33" t="str">
        <f>IFERROR(VLOOKUP($M13679,'Informations sur les produits'!$A$3:$H$10000,8,FALSE),"0")</f>
        <v>0</v>
      </c>
      <c r="P13679" s="33">
        <f t="shared" si="852"/>
        <v>0</v>
      </c>
      <c r="Q13679" s="31" t="str">
        <f t="shared" si="853"/>
        <v/>
      </c>
      <c r="R13679" s="32" t="str">
        <f>IFERROR(VLOOKUP($D13679,'Informations sur les produits'!$A$3:$B$15000,2,FALSE),"")</f>
        <v/>
      </c>
      <c r="V13679">
        <f t="shared" si="854"/>
        <v>0</v>
      </c>
      <c r="W13679">
        <f t="shared" si="855"/>
        <v>0</v>
      </c>
    </row>
    <row r="13680" spans="5:23" x14ac:dyDescent="0.25">
      <c r="E13680" s="4"/>
      <c r="F13680" s="4"/>
      <c r="G13680" s="33" t="str">
        <f>IFERROR(VLOOKUP($D13680,'Informations sur les produits'!$A$3:$H$10000,8,FALSE),"0")</f>
        <v>0</v>
      </c>
      <c r="K13680" s="4"/>
      <c r="L13680" s="33" t="str">
        <f>IFERROR(VLOOKUP($J13680,'Informations sur les produits'!$A$3:$H$10000,8,FALSE),"0")</f>
        <v>0</v>
      </c>
      <c r="N13680" s="8"/>
      <c r="O13680" s="33" t="str">
        <f>IFERROR(VLOOKUP($M13680,'Informations sur les produits'!$A$3:$H$10000,8,FALSE),"0")</f>
        <v>0</v>
      </c>
      <c r="P13680" s="33">
        <f t="shared" si="852"/>
        <v>0</v>
      </c>
      <c r="Q13680" s="31" t="str">
        <f t="shared" si="853"/>
        <v/>
      </c>
      <c r="R13680" s="32" t="str">
        <f>IFERROR(VLOOKUP($D13680,'Informations sur les produits'!$A$3:$B$15000,2,FALSE),"")</f>
        <v/>
      </c>
      <c r="V13680">
        <f t="shared" si="854"/>
        <v>0</v>
      </c>
      <c r="W13680">
        <f t="shared" si="855"/>
        <v>0</v>
      </c>
    </row>
    <row r="13681" spans="5:23" x14ac:dyDescent="0.25">
      <c r="E13681" s="4"/>
      <c r="F13681" s="4"/>
      <c r="G13681" s="33" t="str">
        <f>IFERROR(VLOOKUP($D13681,'Informations sur les produits'!$A$3:$H$10000,8,FALSE),"0")</f>
        <v>0</v>
      </c>
      <c r="K13681" s="4"/>
      <c r="L13681" s="33" t="str">
        <f>IFERROR(VLOOKUP($J13681,'Informations sur les produits'!$A$3:$H$10000,8,FALSE),"0")</f>
        <v>0</v>
      </c>
      <c r="N13681" s="8"/>
      <c r="O13681" s="33" t="str">
        <f>IFERROR(VLOOKUP($M13681,'Informations sur les produits'!$A$3:$H$10000,8,FALSE),"0")</f>
        <v>0</v>
      </c>
      <c r="P13681" s="33">
        <f t="shared" si="852"/>
        <v>0</v>
      </c>
      <c r="Q13681" s="31" t="str">
        <f t="shared" si="853"/>
        <v/>
      </c>
      <c r="R13681" s="32" t="str">
        <f>IFERROR(VLOOKUP($D13681,'Informations sur les produits'!$A$3:$B$15000,2,FALSE),"")</f>
        <v/>
      </c>
      <c r="V13681">
        <f t="shared" si="854"/>
        <v>0</v>
      </c>
      <c r="W13681">
        <f t="shared" si="855"/>
        <v>0</v>
      </c>
    </row>
    <row r="13682" spans="5:23" x14ac:dyDescent="0.25">
      <c r="E13682" s="4"/>
      <c r="F13682" s="4"/>
      <c r="G13682" s="33" t="str">
        <f>IFERROR(VLOOKUP($D13682,'Informations sur les produits'!$A$3:$H$10000,8,FALSE),"0")</f>
        <v>0</v>
      </c>
      <c r="K13682" s="4"/>
      <c r="L13682" s="33" t="str">
        <f>IFERROR(VLOOKUP($J13682,'Informations sur les produits'!$A$3:$H$10000,8,FALSE),"0")</f>
        <v>0</v>
      </c>
      <c r="N13682" s="8"/>
      <c r="O13682" s="33" t="str">
        <f>IFERROR(VLOOKUP($M13682,'Informations sur les produits'!$A$3:$H$10000,8,FALSE),"0")</f>
        <v>0</v>
      </c>
      <c r="P13682" s="33">
        <f t="shared" si="852"/>
        <v>0</v>
      </c>
      <c r="Q13682" s="31" t="str">
        <f t="shared" si="853"/>
        <v/>
      </c>
      <c r="R13682" s="32" t="str">
        <f>IFERROR(VLOOKUP($D13682,'Informations sur les produits'!$A$3:$B$15000,2,FALSE),"")</f>
        <v/>
      </c>
      <c r="V13682">
        <f t="shared" si="854"/>
        <v>0</v>
      </c>
      <c r="W13682">
        <f t="shared" si="855"/>
        <v>0</v>
      </c>
    </row>
    <row r="13683" spans="5:23" x14ac:dyDescent="0.25">
      <c r="E13683" s="4"/>
      <c r="F13683" s="4"/>
      <c r="G13683" s="33" t="str">
        <f>IFERROR(VLOOKUP($D13683,'Informations sur les produits'!$A$3:$H$10000,8,FALSE),"0")</f>
        <v>0</v>
      </c>
      <c r="K13683" s="4"/>
      <c r="L13683" s="33" t="str">
        <f>IFERROR(VLOOKUP($J13683,'Informations sur les produits'!$A$3:$H$10000,8,FALSE),"0")</f>
        <v>0</v>
      </c>
      <c r="N13683" s="8"/>
      <c r="O13683" s="33" t="str">
        <f>IFERROR(VLOOKUP($M13683,'Informations sur les produits'!$A$3:$H$10000,8,FALSE),"0")</f>
        <v>0</v>
      </c>
      <c r="P13683" s="33">
        <f t="shared" si="852"/>
        <v>0</v>
      </c>
      <c r="Q13683" s="31" t="str">
        <f t="shared" si="853"/>
        <v/>
      </c>
      <c r="R13683" s="32" t="str">
        <f>IFERROR(VLOOKUP($D13683,'Informations sur les produits'!$A$3:$B$15000,2,FALSE),"")</f>
        <v/>
      </c>
      <c r="V13683">
        <f t="shared" si="854"/>
        <v>0</v>
      </c>
      <c r="W13683">
        <f t="shared" si="855"/>
        <v>0</v>
      </c>
    </row>
    <row r="13684" spans="5:23" x14ac:dyDescent="0.25">
      <c r="E13684" s="4"/>
      <c r="F13684" s="4"/>
      <c r="G13684" s="33" t="str">
        <f>IFERROR(VLOOKUP($D13684,'Informations sur les produits'!$A$3:$H$10000,8,FALSE),"0")</f>
        <v>0</v>
      </c>
      <c r="K13684" s="4"/>
      <c r="L13684" s="33" t="str">
        <f>IFERROR(VLOOKUP($J13684,'Informations sur les produits'!$A$3:$H$10000,8,FALSE),"0")</f>
        <v>0</v>
      </c>
      <c r="N13684" s="8"/>
      <c r="O13684" s="33" t="str">
        <f>IFERROR(VLOOKUP($M13684,'Informations sur les produits'!$A$3:$H$10000,8,FALSE),"0")</f>
        <v>0</v>
      </c>
      <c r="P13684" s="33">
        <f t="shared" si="852"/>
        <v>0</v>
      </c>
      <c r="Q13684" s="31" t="str">
        <f t="shared" si="853"/>
        <v/>
      </c>
      <c r="R13684" s="32" t="str">
        <f>IFERROR(VLOOKUP($D13684,'Informations sur les produits'!$A$3:$B$15000,2,FALSE),"")</f>
        <v/>
      </c>
      <c r="V13684">
        <f t="shared" si="854"/>
        <v>0</v>
      </c>
      <c r="W13684">
        <f t="shared" si="855"/>
        <v>0</v>
      </c>
    </row>
    <row r="13685" spans="5:23" x14ac:dyDescent="0.25">
      <c r="E13685" s="4"/>
      <c r="F13685" s="4"/>
      <c r="G13685" s="33" t="str">
        <f>IFERROR(VLOOKUP($D13685,'Informations sur les produits'!$A$3:$H$10000,8,FALSE),"0")</f>
        <v>0</v>
      </c>
      <c r="K13685" s="4"/>
      <c r="L13685" s="33" t="str">
        <f>IFERROR(VLOOKUP($J13685,'Informations sur les produits'!$A$3:$H$10000,8,FALSE),"0")</f>
        <v>0</v>
      </c>
      <c r="N13685" s="8"/>
      <c r="O13685" s="33" t="str">
        <f>IFERROR(VLOOKUP($M13685,'Informations sur les produits'!$A$3:$H$10000,8,FALSE),"0")</f>
        <v>0</v>
      </c>
      <c r="P13685" s="33">
        <f t="shared" si="852"/>
        <v>0</v>
      </c>
      <c r="Q13685" s="31" t="str">
        <f t="shared" si="853"/>
        <v/>
      </c>
      <c r="R13685" s="32" t="str">
        <f>IFERROR(VLOOKUP($D13685,'Informations sur les produits'!$A$3:$B$15000,2,FALSE),"")</f>
        <v/>
      </c>
      <c r="V13685">
        <f t="shared" si="854"/>
        <v>0</v>
      </c>
      <c r="W13685">
        <f t="shared" si="855"/>
        <v>0</v>
      </c>
    </row>
    <row r="13686" spans="5:23" x14ac:dyDescent="0.25">
      <c r="E13686" s="4"/>
      <c r="F13686" s="4"/>
      <c r="G13686" s="33" t="str">
        <f>IFERROR(VLOOKUP($D13686,'Informations sur les produits'!$A$3:$H$10000,8,FALSE),"0")</f>
        <v>0</v>
      </c>
      <c r="K13686" s="4"/>
      <c r="L13686" s="33" t="str">
        <f>IFERROR(VLOOKUP($J13686,'Informations sur les produits'!$A$3:$H$10000,8,FALSE),"0")</f>
        <v>0</v>
      </c>
      <c r="N13686" s="8"/>
      <c r="O13686" s="33" t="str">
        <f>IFERROR(VLOOKUP($M13686,'Informations sur les produits'!$A$3:$H$10000,8,FALSE),"0")</f>
        <v>0</v>
      </c>
      <c r="P13686" s="33">
        <f t="shared" si="852"/>
        <v>0</v>
      </c>
      <c r="Q13686" s="31" t="str">
        <f t="shared" si="853"/>
        <v/>
      </c>
      <c r="R13686" s="32" t="str">
        <f>IFERROR(VLOOKUP($D13686,'Informations sur les produits'!$A$3:$B$15000,2,FALSE),"")</f>
        <v/>
      </c>
      <c r="V13686">
        <f t="shared" si="854"/>
        <v>0</v>
      </c>
      <c r="W13686">
        <f t="shared" si="855"/>
        <v>0</v>
      </c>
    </row>
    <row r="13687" spans="5:23" x14ac:dyDescent="0.25">
      <c r="E13687" s="4"/>
      <c r="F13687" s="4"/>
      <c r="G13687" s="33" t="str">
        <f>IFERROR(VLOOKUP($D13687,'Informations sur les produits'!$A$3:$H$10000,8,FALSE),"0")</f>
        <v>0</v>
      </c>
      <c r="K13687" s="4"/>
      <c r="L13687" s="33" t="str">
        <f>IFERROR(VLOOKUP($J13687,'Informations sur les produits'!$A$3:$H$10000,8,FALSE),"0")</f>
        <v>0</v>
      </c>
      <c r="N13687" s="8"/>
      <c r="O13687" s="33" t="str">
        <f>IFERROR(VLOOKUP($M13687,'Informations sur les produits'!$A$3:$H$10000,8,FALSE),"0")</f>
        <v>0</v>
      </c>
      <c r="P13687" s="33">
        <f t="shared" si="852"/>
        <v>0</v>
      </c>
      <c r="Q13687" s="31" t="str">
        <f t="shared" si="853"/>
        <v/>
      </c>
      <c r="R13687" s="32" t="str">
        <f>IFERROR(VLOOKUP($D13687,'Informations sur les produits'!$A$3:$B$15000,2,FALSE),"")</f>
        <v/>
      </c>
      <c r="V13687">
        <f t="shared" si="854"/>
        <v>0</v>
      </c>
      <c r="W13687">
        <f t="shared" si="855"/>
        <v>0</v>
      </c>
    </row>
    <row r="13688" spans="5:23" x14ac:dyDescent="0.25">
      <c r="E13688" s="4"/>
      <c r="F13688" s="4"/>
      <c r="G13688" s="33" t="str">
        <f>IFERROR(VLOOKUP($D13688,'Informations sur les produits'!$A$3:$H$10000,8,FALSE),"0")</f>
        <v>0</v>
      </c>
      <c r="K13688" s="4"/>
      <c r="L13688" s="33" t="str">
        <f>IFERROR(VLOOKUP($J13688,'Informations sur les produits'!$A$3:$H$10000,8,FALSE),"0")</f>
        <v>0</v>
      </c>
      <c r="N13688" s="8"/>
      <c r="O13688" s="33" t="str">
        <f>IFERROR(VLOOKUP($M13688,'Informations sur les produits'!$A$3:$H$10000,8,FALSE),"0")</f>
        <v>0</v>
      </c>
      <c r="P13688" s="33">
        <f t="shared" si="852"/>
        <v>0</v>
      </c>
      <c r="Q13688" s="31" t="str">
        <f t="shared" si="853"/>
        <v/>
      </c>
      <c r="R13688" s="32" t="str">
        <f>IFERROR(VLOOKUP($D13688,'Informations sur les produits'!$A$3:$B$15000,2,FALSE),"")</f>
        <v/>
      </c>
      <c r="V13688">
        <f t="shared" si="854"/>
        <v>0</v>
      </c>
      <c r="W13688">
        <f t="shared" si="855"/>
        <v>0</v>
      </c>
    </row>
    <row r="13689" spans="5:23" x14ac:dyDescent="0.25">
      <c r="E13689" s="4"/>
      <c r="F13689" s="4"/>
      <c r="G13689" s="33" t="str">
        <f>IFERROR(VLOOKUP($D13689,'Informations sur les produits'!$A$3:$H$10000,8,FALSE),"0")</f>
        <v>0</v>
      </c>
      <c r="K13689" s="4"/>
      <c r="L13689" s="33" t="str">
        <f>IFERROR(VLOOKUP($J13689,'Informations sur les produits'!$A$3:$H$10000,8,FALSE),"0")</f>
        <v>0</v>
      </c>
      <c r="N13689" s="8"/>
      <c r="O13689" s="33" t="str">
        <f>IFERROR(VLOOKUP($M13689,'Informations sur les produits'!$A$3:$H$10000,8,FALSE),"0")</f>
        <v>0</v>
      </c>
      <c r="P13689" s="33">
        <f t="shared" si="852"/>
        <v>0</v>
      </c>
      <c r="Q13689" s="31" t="str">
        <f t="shared" si="853"/>
        <v/>
      </c>
      <c r="R13689" s="32" t="str">
        <f>IFERROR(VLOOKUP($D13689,'Informations sur les produits'!$A$3:$B$15000,2,FALSE),"")</f>
        <v/>
      </c>
      <c r="V13689">
        <f t="shared" si="854"/>
        <v>0</v>
      </c>
      <c r="W13689">
        <f t="shared" si="855"/>
        <v>0</v>
      </c>
    </row>
    <row r="13690" spans="5:23" x14ac:dyDescent="0.25">
      <c r="E13690" s="4"/>
      <c r="F13690" s="4"/>
      <c r="G13690" s="33" t="str">
        <f>IFERROR(VLOOKUP($D13690,'Informations sur les produits'!$A$3:$H$10000,8,FALSE),"0")</f>
        <v>0</v>
      </c>
      <c r="K13690" s="4"/>
      <c r="L13690" s="33" t="str">
        <f>IFERROR(VLOOKUP($J13690,'Informations sur les produits'!$A$3:$H$10000,8,FALSE),"0")</f>
        <v>0</v>
      </c>
      <c r="N13690" s="8"/>
      <c r="O13690" s="33" t="str">
        <f>IFERROR(VLOOKUP($M13690,'Informations sur les produits'!$A$3:$H$10000,8,FALSE),"0")</f>
        <v>0</v>
      </c>
      <c r="P13690" s="33">
        <f t="shared" si="852"/>
        <v>0</v>
      </c>
      <c r="Q13690" s="31" t="str">
        <f t="shared" si="853"/>
        <v/>
      </c>
      <c r="R13690" s="32" t="str">
        <f>IFERROR(VLOOKUP($D13690,'Informations sur les produits'!$A$3:$B$15000,2,FALSE),"")</f>
        <v/>
      </c>
      <c r="V13690">
        <f t="shared" si="854"/>
        <v>0</v>
      </c>
      <c r="W13690">
        <f t="shared" si="855"/>
        <v>0</v>
      </c>
    </row>
    <row r="13691" spans="5:23" x14ac:dyDescent="0.25">
      <c r="E13691" s="4"/>
      <c r="F13691" s="4"/>
      <c r="G13691" s="33" t="str">
        <f>IFERROR(VLOOKUP($D13691,'Informations sur les produits'!$A$3:$H$10000,8,FALSE),"0")</f>
        <v>0</v>
      </c>
      <c r="K13691" s="4"/>
      <c r="L13691" s="33" t="str">
        <f>IFERROR(VLOOKUP($J13691,'Informations sur les produits'!$A$3:$H$10000,8,FALSE),"0")</f>
        <v>0</v>
      </c>
      <c r="N13691" s="8"/>
      <c r="O13691" s="33" t="str">
        <f>IFERROR(VLOOKUP($M13691,'Informations sur les produits'!$A$3:$H$10000,8,FALSE),"0")</f>
        <v>0</v>
      </c>
      <c r="P13691" s="33">
        <f t="shared" si="852"/>
        <v>0</v>
      </c>
      <c r="Q13691" s="31" t="str">
        <f t="shared" si="853"/>
        <v/>
      </c>
      <c r="R13691" s="32" t="str">
        <f>IFERROR(VLOOKUP($D13691,'Informations sur les produits'!$A$3:$B$15000,2,FALSE),"")</f>
        <v/>
      </c>
      <c r="V13691">
        <f t="shared" si="854"/>
        <v>0</v>
      </c>
      <c r="W13691">
        <f t="shared" si="855"/>
        <v>0</v>
      </c>
    </row>
    <row r="13692" spans="5:23" x14ac:dyDescent="0.25">
      <c r="E13692" s="4"/>
      <c r="F13692" s="4"/>
      <c r="G13692" s="33" t="str">
        <f>IFERROR(VLOOKUP($D13692,'Informations sur les produits'!$A$3:$H$10000,8,FALSE),"0")</f>
        <v>0</v>
      </c>
      <c r="K13692" s="4"/>
      <c r="L13692" s="33" t="str">
        <f>IFERROR(VLOOKUP($J13692,'Informations sur les produits'!$A$3:$H$10000,8,FALSE),"0")</f>
        <v>0</v>
      </c>
      <c r="N13692" s="8"/>
      <c r="O13692" s="33" t="str">
        <f>IFERROR(VLOOKUP($M13692,'Informations sur les produits'!$A$3:$H$10000,8,FALSE),"0")</f>
        <v>0</v>
      </c>
      <c r="P13692" s="33">
        <f t="shared" si="852"/>
        <v>0</v>
      </c>
      <c r="Q13692" s="31" t="str">
        <f t="shared" si="853"/>
        <v/>
      </c>
      <c r="R13692" s="32" t="str">
        <f>IFERROR(VLOOKUP($D13692,'Informations sur les produits'!$A$3:$B$15000,2,FALSE),"")</f>
        <v/>
      </c>
      <c r="V13692">
        <f t="shared" si="854"/>
        <v>0</v>
      </c>
      <c r="W13692">
        <f t="shared" si="855"/>
        <v>0</v>
      </c>
    </row>
    <row r="13693" spans="5:23" x14ac:dyDescent="0.25">
      <c r="E13693" s="4"/>
      <c r="F13693" s="4"/>
      <c r="G13693" s="33" t="str">
        <f>IFERROR(VLOOKUP($D13693,'Informations sur les produits'!$A$3:$H$10000,8,FALSE),"0")</f>
        <v>0</v>
      </c>
      <c r="K13693" s="4"/>
      <c r="L13693" s="33" t="str">
        <f>IFERROR(VLOOKUP($J13693,'Informations sur les produits'!$A$3:$H$10000,8,FALSE),"0")</f>
        <v>0</v>
      </c>
      <c r="N13693" s="8"/>
      <c r="O13693" s="33" t="str">
        <f>IFERROR(VLOOKUP($M13693,'Informations sur les produits'!$A$3:$H$10000,8,FALSE),"0")</f>
        <v>0</v>
      </c>
      <c r="P13693" s="33">
        <f t="shared" si="852"/>
        <v>0</v>
      </c>
      <c r="Q13693" s="31" t="str">
        <f t="shared" si="853"/>
        <v/>
      </c>
      <c r="R13693" s="32" t="str">
        <f>IFERROR(VLOOKUP($D13693,'Informations sur les produits'!$A$3:$B$15000,2,FALSE),"")</f>
        <v/>
      </c>
      <c r="V13693">
        <f t="shared" si="854"/>
        <v>0</v>
      </c>
      <c r="W13693">
        <f t="shared" si="855"/>
        <v>0</v>
      </c>
    </row>
    <row r="13694" spans="5:23" x14ac:dyDescent="0.25">
      <c r="E13694" s="4"/>
      <c r="F13694" s="4"/>
      <c r="G13694" s="33" t="str">
        <f>IFERROR(VLOOKUP($D13694,'Informations sur les produits'!$A$3:$H$10000,8,FALSE),"0")</f>
        <v>0</v>
      </c>
      <c r="K13694" s="4"/>
      <c r="L13694" s="33" t="str">
        <f>IFERROR(VLOOKUP($J13694,'Informations sur les produits'!$A$3:$H$10000,8,FALSE),"0")</f>
        <v>0</v>
      </c>
      <c r="N13694" s="8"/>
      <c r="O13694" s="33" t="str">
        <f>IFERROR(VLOOKUP($M13694,'Informations sur les produits'!$A$3:$H$10000,8,FALSE),"0")</f>
        <v>0</v>
      </c>
      <c r="P13694" s="33">
        <f t="shared" si="852"/>
        <v>0</v>
      </c>
      <c r="Q13694" s="31" t="str">
        <f t="shared" si="853"/>
        <v/>
      </c>
      <c r="R13694" s="32" t="str">
        <f>IFERROR(VLOOKUP($D13694,'Informations sur les produits'!$A$3:$B$15000,2,FALSE),"")</f>
        <v/>
      </c>
      <c r="V13694">
        <f t="shared" si="854"/>
        <v>0</v>
      </c>
      <c r="W13694">
        <f t="shared" si="855"/>
        <v>0</v>
      </c>
    </row>
    <row r="13695" spans="5:23" x14ac:dyDescent="0.25">
      <c r="E13695" s="4"/>
      <c r="F13695" s="4"/>
      <c r="G13695" s="33" t="str">
        <f>IFERROR(VLOOKUP($D13695,'Informations sur les produits'!$A$3:$H$10000,8,FALSE),"0")</f>
        <v>0</v>
      </c>
      <c r="K13695" s="4"/>
      <c r="L13695" s="33" t="str">
        <f>IFERROR(VLOOKUP($J13695,'Informations sur les produits'!$A$3:$H$10000,8,FALSE),"0")</f>
        <v>0</v>
      </c>
      <c r="N13695" s="8"/>
      <c r="O13695" s="33" t="str">
        <f>IFERROR(VLOOKUP($M13695,'Informations sur les produits'!$A$3:$H$10000,8,FALSE),"0")</f>
        <v>0</v>
      </c>
      <c r="P13695" s="33">
        <f t="shared" si="852"/>
        <v>0</v>
      </c>
      <c r="Q13695" s="31" t="str">
        <f t="shared" si="853"/>
        <v/>
      </c>
      <c r="R13695" s="32" t="str">
        <f>IFERROR(VLOOKUP($D13695,'Informations sur les produits'!$A$3:$B$15000,2,FALSE),"")</f>
        <v/>
      </c>
      <c r="V13695">
        <f t="shared" si="854"/>
        <v>0</v>
      </c>
      <c r="W13695">
        <f t="shared" si="855"/>
        <v>0</v>
      </c>
    </row>
    <row r="13696" spans="5:23" x14ac:dyDescent="0.25">
      <c r="E13696" s="4"/>
      <c r="F13696" s="4"/>
      <c r="G13696" s="33" t="str">
        <f>IFERROR(VLOOKUP($D13696,'Informations sur les produits'!$A$3:$H$10000,8,FALSE),"0")</f>
        <v>0</v>
      </c>
      <c r="K13696" s="4"/>
      <c r="L13696" s="33" t="str">
        <f>IFERROR(VLOOKUP($J13696,'Informations sur les produits'!$A$3:$H$10000,8,FALSE),"0")</f>
        <v>0</v>
      </c>
      <c r="N13696" s="8"/>
      <c r="O13696" s="33" t="str">
        <f>IFERROR(VLOOKUP($M13696,'Informations sur les produits'!$A$3:$H$10000,8,FALSE),"0")</f>
        <v>0</v>
      </c>
      <c r="P13696" s="33">
        <f t="shared" si="852"/>
        <v>0</v>
      </c>
      <c r="Q13696" s="31" t="str">
        <f t="shared" si="853"/>
        <v/>
      </c>
      <c r="R13696" s="32" t="str">
        <f>IFERROR(VLOOKUP($D13696,'Informations sur les produits'!$A$3:$B$15000,2,FALSE),"")</f>
        <v/>
      </c>
      <c r="V13696">
        <f t="shared" si="854"/>
        <v>0</v>
      </c>
      <c r="W13696">
        <f t="shared" si="855"/>
        <v>0</v>
      </c>
    </row>
    <row r="13697" spans="5:23" x14ac:dyDescent="0.25">
      <c r="E13697" s="4"/>
      <c r="F13697" s="4"/>
      <c r="G13697" s="33" t="str">
        <f>IFERROR(VLOOKUP($D13697,'Informations sur les produits'!$A$3:$H$10000,8,FALSE),"0")</f>
        <v>0</v>
      </c>
      <c r="K13697" s="4"/>
      <c r="L13697" s="33" t="str">
        <f>IFERROR(VLOOKUP($J13697,'Informations sur les produits'!$A$3:$H$10000,8,FALSE),"0")</f>
        <v>0</v>
      </c>
      <c r="N13697" s="8"/>
      <c r="O13697" s="33" t="str">
        <f>IFERROR(VLOOKUP($M13697,'Informations sur les produits'!$A$3:$H$10000,8,FALSE),"0")</f>
        <v>0</v>
      </c>
      <c r="P13697" s="33">
        <f t="shared" si="852"/>
        <v>0</v>
      </c>
      <c r="Q13697" s="31" t="str">
        <f t="shared" si="853"/>
        <v/>
      </c>
      <c r="R13697" s="32" t="str">
        <f>IFERROR(VLOOKUP($D13697,'Informations sur les produits'!$A$3:$B$15000,2,FALSE),"")</f>
        <v/>
      </c>
      <c r="V13697">
        <f t="shared" si="854"/>
        <v>0</v>
      </c>
      <c r="W13697">
        <f t="shared" si="855"/>
        <v>0</v>
      </c>
    </row>
    <row r="13698" spans="5:23" x14ac:dyDescent="0.25">
      <c r="E13698" s="4"/>
      <c r="F13698" s="4"/>
      <c r="G13698" s="33" t="str">
        <f>IFERROR(VLOOKUP($D13698,'Informations sur les produits'!$A$3:$H$10000,8,FALSE),"0")</f>
        <v>0</v>
      </c>
      <c r="K13698" s="4"/>
      <c r="L13698" s="33" t="str">
        <f>IFERROR(VLOOKUP($J13698,'Informations sur les produits'!$A$3:$H$10000,8,FALSE),"0")</f>
        <v>0</v>
      </c>
      <c r="N13698" s="8"/>
      <c r="O13698" s="33" t="str">
        <f>IFERROR(VLOOKUP($M13698,'Informations sur les produits'!$A$3:$H$10000,8,FALSE),"0")</f>
        <v>0</v>
      </c>
      <c r="P13698" s="33">
        <f t="shared" si="852"/>
        <v>0</v>
      </c>
      <c r="Q13698" s="31" t="str">
        <f t="shared" si="853"/>
        <v/>
      </c>
      <c r="R13698" s="32" t="str">
        <f>IFERROR(VLOOKUP($D13698,'Informations sur les produits'!$A$3:$B$15000,2,FALSE),"")</f>
        <v/>
      </c>
      <c r="V13698">
        <f t="shared" si="854"/>
        <v>0</v>
      </c>
      <c r="W13698">
        <f t="shared" si="855"/>
        <v>0</v>
      </c>
    </row>
    <row r="13699" spans="5:23" x14ac:dyDescent="0.25">
      <c r="E13699" s="4"/>
      <c r="F13699" s="4"/>
      <c r="G13699" s="33" t="str">
        <f>IFERROR(VLOOKUP($D13699,'Informations sur les produits'!$A$3:$H$10000,8,FALSE),"0")</f>
        <v>0</v>
      </c>
      <c r="K13699" s="4"/>
      <c r="L13699" s="33" t="str">
        <f>IFERROR(VLOOKUP($J13699,'Informations sur les produits'!$A$3:$H$10000,8,FALSE),"0")</f>
        <v>0</v>
      </c>
      <c r="N13699" s="8"/>
      <c r="O13699" s="33" t="str">
        <f>IFERROR(VLOOKUP($M13699,'Informations sur les produits'!$A$3:$H$10000,8,FALSE),"0")</f>
        <v>0</v>
      </c>
      <c r="P13699" s="33">
        <f t="shared" si="852"/>
        <v>0</v>
      </c>
      <c r="Q13699" s="31" t="str">
        <f t="shared" si="853"/>
        <v/>
      </c>
      <c r="R13699" s="32" t="str">
        <f>IFERROR(VLOOKUP($D13699,'Informations sur les produits'!$A$3:$B$15000,2,FALSE),"")</f>
        <v/>
      </c>
      <c r="V13699">
        <f t="shared" si="854"/>
        <v>0</v>
      </c>
      <c r="W13699">
        <f t="shared" si="855"/>
        <v>0</v>
      </c>
    </row>
    <row r="13700" spans="5:23" x14ac:dyDescent="0.25">
      <c r="E13700" s="4"/>
      <c r="F13700" s="4"/>
      <c r="G13700" s="33" t="str">
        <f>IFERROR(VLOOKUP($D13700,'Informations sur les produits'!$A$3:$H$10000,8,FALSE),"0")</f>
        <v>0</v>
      </c>
      <c r="K13700" s="4"/>
      <c r="L13700" s="33" t="str">
        <f>IFERROR(VLOOKUP($J13700,'Informations sur les produits'!$A$3:$H$10000,8,FALSE),"0")</f>
        <v>0</v>
      </c>
      <c r="N13700" s="8"/>
      <c r="O13700" s="33" t="str">
        <f>IFERROR(VLOOKUP($M13700,'Informations sur les produits'!$A$3:$H$10000,8,FALSE),"0")</f>
        <v>0</v>
      </c>
      <c r="P13700" s="33">
        <f t="shared" ref="P13700:P13763" si="856">IFERROR((($E13700-$F13700)*$G13700+$K13700*$L13700+$N13700*$O13700),"")</f>
        <v>0</v>
      </c>
      <c r="Q13700" s="31" t="str">
        <f t="shared" ref="Q13700:Q13763" si="857">IFERROR((((($E13700-$F13700)*$G13700+$K13700*$L13700+$N13700*$O13700)*1000)/(($E13700-$F13700)+$K13700+$N13700)),"")</f>
        <v/>
      </c>
      <c r="R13700" s="32" t="str">
        <f>IFERROR(VLOOKUP($D13700,'Informations sur les produits'!$A$3:$B$15000,2,FALSE),"")</f>
        <v/>
      </c>
      <c r="V13700">
        <f t="shared" ref="V13700:V13763" si="858">IFERROR(P13700*1000,"")</f>
        <v>0</v>
      </c>
      <c r="W13700">
        <f t="shared" ref="W13700:W13763" si="859">IFERROR(($E13700-$F13700)+$K13700+$N13700,"")</f>
        <v>0</v>
      </c>
    </row>
    <row r="13701" spans="5:23" x14ac:dyDescent="0.25">
      <c r="E13701" s="4"/>
      <c r="F13701" s="4"/>
      <c r="G13701" s="33" t="str">
        <f>IFERROR(VLOOKUP($D13701,'Informations sur les produits'!$A$3:$H$10000,8,FALSE),"0")</f>
        <v>0</v>
      </c>
      <c r="K13701" s="4"/>
      <c r="L13701" s="33" t="str">
        <f>IFERROR(VLOOKUP($J13701,'Informations sur les produits'!$A$3:$H$10000,8,FALSE),"0")</f>
        <v>0</v>
      </c>
      <c r="N13701" s="8"/>
      <c r="O13701" s="33" t="str">
        <f>IFERROR(VLOOKUP($M13701,'Informations sur les produits'!$A$3:$H$10000,8,FALSE),"0")</f>
        <v>0</v>
      </c>
      <c r="P13701" s="33">
        <f t="shared" si="856"/>
        <v>0</v>
      </c>
      <c r="Q13701" s="31" t="str">
        <f t="shared" si="857"/>
        <v/>
      </c>
      <c r="R13701" s="32" t="str">
        <f>IFERROR(VLOOKUP($D13701,'Informations sur les produits'!$A$3:$B$15000,2,FALSE),"")</f>
        <v/>
      </c>
      <c r="V13701">
        <f t="shared" si="858"/>
        <v>0</v>
      </c>
      <c r="W13701">
        <f t="shared" si="859"/>
        <v>0</v>
      </c>
    </row>
    <row r="13702" spans="5:23" x14ac:dyDescent="0.25">
      <c r="E13702" s="4"/>
      <c r="F13702" s="4"/>
      <c r="G13702" s="33" t="str">
        <f>IFERROR(VLOOKUP($D13702,'Informations sur les produits'!$A$3:$H$10000,8,FALSE),"0")</f>
        <v>0</v>
      </c>
      <c r="K13702" s="4"/>
      <c r="L13702" s="33" t="str">
        <f>IFERROR(VLOOKUP($J13702,'Informations sur les produits'!$A$3:$H$10000,8,FALSE),"0")</f>
        <v>0</v>
      </c>
      <c r="N13702" s="8"/>
      <c r="O13702" s="33" t="str">
        <f>IFERROR(VLOOKUP($M13702,'Informations sur les produits'!$A$3:$H$10000,8,FALSE),"0")</f>
        <v>0</v>
      </c>
      <c r="P13702" s="33">
        <f t="shared" si="856"/>
        <v>0</v>
      </c>
      <c r="Q13702" s="31" t="str">
        <f t="shared" si="857"/>
        <v/>
      </c>
      <c r="R13702" s="32" t="str">
        <f>IFERROR(VLOOKUP($D13702,'Informations sur les produits'!$A$3:$B$15000,2,FALSE),"")</f>
        <v/>
      </c>
      <c r="V13702">
        <f t="shared" si="858"/>
        <v>0</v>
      </c>
      <c r="W13702">
        <f t="shared" si="859"/>
        <v>0</v>
      </c>
    </row>
    <row r="13703" spans="5:23" x14ac:dyDescent="0.25">
      <c r="E13703" s="4"/>
      <c r="F13703" s="4"/>
      <c r="G13703" s="33" t="str">
        <f>IFERROR(VLOOKUP($D13703,'Informations sur les produits'!$A$3:$H$10000,8,FALSE),"0")</f>
        <v>0</v>
      </c>
      <c r="K13703" s="4"/>
      <c r="L13703" s="33" t="str">
        <f>IFERROR(VLOOKUP($J13703,'Informations sur les produits'!$A$3:$H$10000,8,FALSE),"0")</f>
        <v>0</v>
      </c>
      <c r="N13703" s="8"/>
      <c r="O13703" s="33" t="str">
        <f>IFERROR(VLOOKUP($M13703,'Informations sur les produits'!$A$3:$H$10000,8,FALSE),"0")</f>
        <v>0</v>
      </c>
      <c r="P13703" s="33">
        <f t="shared" si="856"/>
        <v>0</v>
      </c>
      <c r="Q13703" s="31" t="str">
        <f t="shared" si="857"/>
        <v/>
      </c>
      <c r="R13703" s="32" t="str">
        <f>IFERROR(VLOOKUP($D13703,'Informations sur les produits'!$A$3:$B$15000,2,FALSE),"")</f>
        <v/>
      </c>
      <c r="V13703">
        <f t="shared" si="858"/>
        <v>0</v>
      </c>
      <c r="W13703">
        <f t="shared" si="859"/>
        <v>0</v>
      </c>
    </row>
    <row r="13704" spans="5:23" x14ac:dyDescent="0.25">
      <c r="E13704" s="4"/>
      <c r="F13704" s="4"/>
      <c r="G13704" s="33" t="str">
        <f>IFERROR(VLOOKUP($D13704,'Informations sur les produits'!$A$3:$H$10000,8,FALSE),"0")</f>
        <v>0</v>
      </c>
      <c r="K13704" s="4"/>
      <c r="L13704" s="33" t="str">
        <f>IFERROR(VLOOKUP($J13704,'Informations sur les produits'!$A$3:$H$10000,8,FALSE),"0")</f>
        <v>0</v>
      </c>
      <c r="N13704" s="8"/>
      <c r="O13704" s="33" t="str">
        <f>IFERROR(VLOOKUP($M13704,'Informations sur les produits'!$A$3:$H$10000,8,FALSE),"0")</f>
        <v>0</v>
      </c>
      <c r="P13704" s="33">
        <f t="shared" si="856"/>
        <v>0</v>
      </c>
      <c r="Q13704" s="31" t="str">
        <f t="shared" si="857"/>
        <v/>
      </c>
      <c r="R13704" s="32" t="str">
        <f>IFERROR(VLOOKUP($D13704,'Informations sur les produits'!$A$3:$B$15000,2,FALSE),"")</f>
        <v/>
      </c>
      <c r="V13704">
        <f t="shared" si="858"/>
        <v>0</v>
      </c>
      <c r="W13704">
        <f t="shared" si="859"/>
        <v>0</v>
      </c>
    </row>
    <row r="13705" spans="5:23" x14ac:dyDescent="0.25">
      <c r="E13705" s="4"/>
      <c r="F13705" s="4"/>
      <c r="G13705" s="33" t="str">
        <f>IFERROR(VLOOKUP($D13705,'Informations sur les produits'!$A$3:$H$10000,8,FALSE),"0")</f>
        <v>0</v>
      </c>
      <c r="K13705" s="4"/>
      <c r="L13705" s="33" t="str">
        <f>IFERROR(VLOOKUP($J13705,'Informations sur les produits'!$A$3:$H$10000,8,FALSE),"0")</f>
        <v>0</v>
      </c>
      <c r="N13705" s="8"/>
      <c r="O13705" s="33" t="str">
        <f>IFERROR(VLOOKUP($M13705,'Informations sur les produits'!$A$3:$H$10000,8,FALSE),"0")</f>
        <v>0</v>
      </c>
      <c r="P13705" s="33">
        <f t="shared" si="856"/>
        <v>0</v>
      </c>
      <c r="Q13705" s="31" t="str">
        <f t="shared" si="857"/>
        <v/>
      </c>
      <c r="R13705" s="32" t="str">
        <f>IFERROR(VLOOKUP($D13705,'Informations sur les produits'!$A$3:$B$15000,2,FALSE),"")</f>
        <v/>
      </c>
      <c r="V13705">
        <f t="shared" si="858"/>
        <v>0</v>
      </c>
      <c r="W13705">
        <f t="shared" si="859"/>
        <v>0</v>
      </c>
    </row>
    <row r="13706" spans="5:23" x14ac:dyDescent="0.25">
      <c r="E13706" s="4"/>
      <c r="F13706" s="4"/>
      <c r="G13706" s="33" t="str">
        <f>IFERROR(VLOOKUP($D13706,'Informations sur les produits'!$A$3:$H$10000,8,FALSE),"0")</f>
        <v>0</v>
      </c>
      <c r="K13706" s="4"/>
      <c r="L13706" s="33" t="str">
        <f>IFERROR(VLOOKUP($J13706,'Informations sur les produits'!$A$3:$H$10000,8,FALSE),"0")</f>
        <v>0</v>
      </c>
      <c r="N13706" s="8"/>
      <c r="O13706" s="33" t="str">
        <f>IFERROR(VLOOKUP($M13706,'Informations sur les produits'!$A$3:$H$10000,8,FALSE),"0")</f>
        <v>0</v>
      </c>
      <c r="P13706" s="33">
        <f t="shared" si="856"/>
        <v>0</v>
      </c>
      <c r="Q13706" s="31" t="str">
        <f t="shared" si="857"/>
        <v/>
      </c>
      <c r="R13706" s="32" t="str">
        <f>IFERROR(VLOOKUP($D13706,'Informations sur les produits'!$A$3:$B$15000,2,FALSE),"")</f>
        <v/>
      </c>
      <c r="V13706">
        <f t="shared" si="858"/>
        <v>0</v>
      </c>
      <c r="W13706">
        <f t="shared" si="859"/>
        <v>0</v>
      </c>
    </row>
    <row r="13707" spans="5:23" x14ac:dyDescent="0.25">
      <c r="E13707" s="4"/>
      <c r="F13707" s="4"/>
      <c r="G13707" s="33" t="str">
        <f>IFERROR(VLOOKUP($D13707,'Informations sur les produits'!$A$3:$H$10000,8,FALSE),"0")</f>
        <v>0</v>
      </c>
      <c r="K13707" s="4"/>
      <c r="L13707" s="33" t="str">
        <f>IFERROR(VLOOKUP($J13707,'Informations sur les produits'!$A$3:$H$10000,8,FALSE),"0")</f>
        <v>0</v>
      </c>
      <c r="N13707" s="8"/>
      <c r="O13707" s="33" t="str">
        <f>IFERROR(VLOOKUP($M13707,'Informations sur les produits'!$A$3:$H$10000,8,FALSE),"0")</f>
        <v>0</v>
      </c>
      <c r="P13707" s="33">
        <f t="shared" si="856"/>
        <v>0</v>
      </c>
      <c r="Q13707" s="31" t="str">
        <f t="shared" si="857"/>
        <v/>
      </c>
      <c r="R13707" s="32" t="str">
        <f>IFERROR(VLOOKUP($D13707,'Informations sur les produits'!$A$3:$B$15000,2,FALSE),"")</f>
        <v/>
      </c>
      <c r="V13707">
        <f t="shared" si="858"/>
        <v>0</v>
      </c>
      <c r="W13707">
        <f t="shared" si="859"/>
        <v>0</v>
      </c>
    </row>
    <row r="13708" spans="5:23" x14ac:dyDescent="0.25">
      <c r="E13708" s="4"/>
      <c r="F13708" s="4"/>
      <c r="G13708" s="33" t="str">
        <f>IFERROR(VLOOKUP($D13708,'Informations sur les produits'!$A$3:$H$10000,8,FALSE),"0")</f>
        <v>0</v>
      </c>
      <c r="K13708" s="4"/>
      <c r="L13708" s="33" t="str">
        <f>IFERROR(VLOOKUP($J13708,'Informations sur les produits'!$A$3:$H$10000,8,FALSE),"0")</f>
        <v>0</v>
      </c>
      <c r="N13708" s="8"/>
      <c r="O13708" s="33" t="str">
        <f>IFERROR(VLOOKUP($M13708,'Informations sur les produits'!$A$3:$H$10000,8,FALSE),"0")</f>
        <v>0</v>
      </c>
      <c r="P13708" s="33">
        <f t="shared" si="856"/>
        <v>0</v>
      </c>
      <c r="Q13708" s="31" t="str">
        <f t="shared" si="857"/>
        <v/>
      </c>
      <c r="R13708" s="32" t="str">
        <f>IFERROR(VLOOKUP($D13708,'Informations sur les produits'!$A$3:$B$15000,2,FALSE),"")</f>
        <v/>
      </c>
      <c r="V13708">
        <f t="shared" si="858"/>
        <v>0</v>
      </c>
      <c r="W13708">
        <f t="shared" si="859"/>
        <v>0</v>
      </c>
    </row>
    <row r="13709" spans="5:23" x14ac:dyDescent="0.25">
      <c r="E13709" s="4"/>
      <c r="F13709" s="4"/>
      <c r="G13709" s="33" t="str">
        <f>IFERROR(VLOOKUP($D13709,'Informations sur les produits'!$A$3:$H$10000,8,FALSE),"0")</f>
        <v>0</v>
      </c>
      <c r="K13709" s="4"/>
      <c r="L13709" s="33" t="str">
        <f>IFERROR(VLOOKUP($J13709,'Informations sur les produits'!$A$3:$H$10000,8,FALSE),"0")</f>
        <v>0</v>
      </c>
      <c r="N13709" s="8"/>
      <c r="O13709" s="33" t="str">
        <f>IFERROR(VLOOKUP($M13709,'Informations sur les produits'!$A$3:$H$10000,8,FALSE),"0")</f>
        <v>0</v>
      </c>
      <c r="P13709" s="33">
        <f t="shared" si="856"/>
        <v>0</v>
      </c>
      <c r="Q13709" s="31" t="str">
        <f t="shared" si="857"/>
        <v/>
      </c>
      <c r="R13709" s="32" t="str">
        <f>IFERROR(VLOOKUP($D13709,'Informations sur les produits'!$A$3:$B$15000,2,FALSE),"")</f>
        <v/>
      </c>
      <c r="V13709">
        <f t="shared" si="858"/>
        <v>0</v>
      </c>
      <c r="W13709">
        <f t="shared" si="859"/>
        <v>0</v>
      </c>
    </row>
    <row r="13710" spans="5:23" x14ac:dyDescent="0.25">
      <c r="E13710" s="4"/>
      <c r="F13710" s="4"/>
      <c r="G13710" s="33" t="str">
        <f>IFERROR(VLOOKUP($D13710,'Informations sur les produits'!$A$3:$H$10000,8,FALSE),"0")</f>
        <v>0</v>
      </c>
      <c r="K13710" s="4"/>
      <c r="L13710" s="33" t="str">
        <f>IFERROR(VLOOKUP($J13710,'Informations sur les produits'!$A$3:$H$10000,8,FALSE),"0")</f>
        <v>0</v>
      </c>
      <c r="N13710" s="8"/>
      <c r="O13710" s="33" t="str">
        <f>IFERROR(VLOOKUP($M13710,'Informations sur les produits'!$A$3:$H$10000,8,FALSE),"0")</f>
        <v>0</v>
      </c>
      <c r="P13710" s="33">
        <f t="shared" si="856"/>
        <v>0</v>
      </c>
      <c r="Q13710" s="31" t="str">
        <f t="shared" si="857"/>
        <v/>
      </c>
      <c r="R13710" s="32" t="str">
        <f>IFERROR(VLOOKUP($D13710,'Informations sur les produits'!$A$3:$B$15000,2,FALSE),"")</f>
        <v/>
      </c>
      <c r="V13710">
        <f t="shared" si="858"/>
        <v>0</v>
      </c>
      <c r="W13710">
        <f t="shared" si="859"/>
        <v>0</v>
      </c>
    </row>
    <row r="13711" spans="5:23" x14ac:dyDescent="0.25">
      <c r="E13711" s="4"/>
      <c r="F13711" s="4"/>
      <c r="G13711" s="33" t="str">
        <f>IFERROR(VLOOKUP($D13711,'Informations sur les produits'!$A$3:$H$10000,8,FALSE),"0")</f>
        <v>0</v>
      </c>
      <c r="K13711" s="4"/>
      <c r="L13711" s="33" t="str">
        <f>IFERROR(VLOOKUP($J13711,'Informations sur les produits'!$A$3:$H$10000,8,FALSE),"0")</f>
        <v>0</v>
      </c>
      <c r="N13711" s="8"/>
      <c r="O13711" s="33" t="str">
        <f>IFERROR(VLOOKUP($M13711,'Informations sur les produits'!$A$3:$H$10000,8,FALSE),"0")</f>
        <v>0</v>
      </c>
      <c r="P13711" s="33">
        <f t="shared" si="856"/>
        <v>0</v>
      </c>
      <c r="Q13711" s="31" t="str">
        <f t="shared" si="857"/>
        <v/>
      </c>
      <c r="R13711" s="32" t="str">
        <f>IFERROR(VLOOKUP($D13711,'Informations sur les produits'!$A$3:$B$15000,2,FALSE),"")</f>
        <v/>
      </c>
      <c r="V13711">
        <f t="shared" si="858"/>
        <v>0</v>
      </c>
      <c r="W13711">
        <f t="shared" si="859"/>
        <v>0</v>
      </c>
    </row>
    <row r="13712" spans="5:23" x14ac:dyDescent="0.25">
      <c r="E13712" s="4"/>
      <c r="F13712" s="4"/>
      <c r="G13712" s="33" t="str">
        <f>IFERROR(VLOOKUP($D13712,'Informations sur les produits'!$A$3:$H$10000,8,FALSE),"0")</f>
        <v>0</v>
      </c>
      <c r="K13712" s="4"/>
      <c r="L13712" s="33" t="str">
        <f>IFERROR(VLOOKUP($J13712,'Informations sur les produits'!$A$3:$H$10000,8,FALSE),"0")</f>
        <v>0</v>
      </c>
      <c r="N13712" s="8"/>
      <c r="O13712" s="33" t="str">
        <f>IFERROR(VLOOKUP($M13712,'Informations sur les produits'!$A$3:$H$10000,8,FALSE),"0")</f>
        <v>0</v>
      </c>
      <c r="P13712" s="33">
        <f t="shared" si="856"/>
        <v>0</v>
      </c>
      <c r="Q13712" s="31" t="str">
        <f t="shared" si="857"/>
        <v/>
      </c>
      <c r="R13712" s="32" t="str">
        <f>IFERROR(VLOOKUP($D13712,'Informations sur les produits'!$A$3:$B$15000,2,FALSE),"")</f>
        <v/>
      </c>
      <c r="V13712">
        <f t="shared" si="858"/>
        <v>0</v>
      </c>
      <c r="W13712">
        <f t="shared" si="859"/>
        <v>0</v>
      </c>
    </row>
    <row r="13713" spans="5:23" x14ac:dyDescent="0.25">
      <c r="E13713" s="4"/>
      <c r="F13713" s="4"/>
      <c r="G13713" s="33" t="str">
        <f>IFERROR(VLOOKUP($D13713,'Informations sur les produits'!$A$3:$H$10000,8,FALSE),"0")</f>
        <v>0</v>
      </c>
      <c r="K13713" s="4"/>
      <c r="L13713" s="33" t="str">
        <f>IFERROR(VLOOKUP($J13713,'Informations sur les produits'!$A$3:$H$10000,8,FALSE),"0")</f>
        <v>0</v>
      </c>
      <c r="N13713" s="8"/>
      <c r="O13713" s="33" t="str">
        <f>IFERROR(VLOOKUP($M13713,'Informations sur les produits'!$A$3:$H$10000,8,FALSE),"0")</f>
        <v>0</v>
      </c>
      <c r="P13713" s="33">
        <f t="shared" si="856"/>
        <v>0</v>
      </c>
      <c r="Q13713" s="31" t="str">
        <f t="shared" si="857"/>
        <v/>
      </c>
      <c r="R13713" s="32" t="str">
        <f>IFERROR(VLOOKUP($D13713,'Informations sur les produits'!$A$3:$B$15000,2,FALSE),"")</f>
        <v/>
      </c>
      <c r="V13713">
        <f t="shared" si="858"/>
        <v>0</v>
      </c>
      <c r="W13713">
        <f t="shared" si="859"/>
        <v>0</v>
      </c>
    </row>
    <row r="13714" spans="5:23" x14ac:dyDescent="0.25">
      <c r="E13714" s="4"/>
      <c r="F13714" s="4"/>
      <c r="G13714" s="33" t="str">
        <f>IFERROR(VLOOKUP($D13714,'Informations sur les produits'!$A$3:$H$10000,8,FALSE),"0")</f>
        <v>0</v>
      </c>
      <c r="K13714" s="4"/>
      <c r="L13714" s="33" t="str">
        <f>IFERROR(VLOOKUP($J13714,'Informations sur les produits'!$A$3:$H$10000,8,FALSE),"0")</f>
        <v>0</v>
      </c>
      <c r="N13714" s="8"/>
      <c r="O13714" s="33" t="str">
        <f>IFERROR(VLOOKUP($M13714,'Informations sur les produits'!$A$3:$H$10000,8,FALSE),"0")</f>
        <v>0</v>
      </c>
      <c r="P13714" s="33">
        <f t="shared" si="856"/>
        <v>0</v>
      </c>
      <c r="Q13714" s="31" t="str">
        <f t="shared" si="857"/>
        <v/>
      </c>
      <c r="R13714" s="32" t="str">
        <f>IFERROR(VLOOKUP($D13714,'Informations sur les produits'!$A$3:$B$15000,2,FALSE),"")</f>
        <v/>
      </c>
      <c r="V13714">
        <f t="shared" si="858"/>
        <v>0</v>
      </c>
      <c r="W13714">
        <f t="shared" si="859"/>
        <v>0</v>
      </c>
    </row>
    <row r="13715" spans="5:23" x14ac:dyDescent="0.25">
      <c r="E13715" s="4"/>
      <c r="F13715" s="4"/>
      <c r="G13715" s="33" t="str">
        <f>IFERROR(VLOOKUP($D13715,'Informations sur les produits'!$A$3:$H$10000,8,FALSE),"0")</f>
        <v>0</v>
      </c>
      <c r="K13715" s="4"/>
      <c r="L13715" s="33" t="str">
        <f>IFERROR(VLOOKUP($J13715,'Informations sur les produits'!$A$3:$H$10000,8,FALSE),"0")</f>
        <v>0</v>
      </c>
      <c r="N13715" s="8"/>
      <c r="O13715" s="33" t="str">
        <f>IFERROR(VLOOKUP($M13715,'Informations sur les produits'!$A$3:$H$10000,8,FALSE),"0")</f>
        <v>0</v>
      </c>
      <c r="P13715" s="33">
        <f t="shared" si="856"/>
        <v>0</v>
      </c>
      <c r="Q13715" s="31" t="str">
        <f t="shared" si="857"/>
        <v/>
      </c>
      <c r="R13715" s="32" t="str">
        <f>IFERROR(VLOOKUP($D13715,'Informations sur les produits'!$A$3:$B$15000,2,FALSE),"")</f>
        <v/>
      </c>
      <c r="V13715">
        <f t="shared" si="858"/>
        <v>0</v>
      </c>
      <c r="W13715">
        <f t="shared" si="859"/>
        <v>0</v>
      </c>
    </row>
    <row r="13716" spans="5:23" x14ac:dyDescent="0.25">
      <c r="E13716" s="4"/>
      <c r="F13716" s="4"/>
      <c r="G13716" s="33" t="str">
        <f>IFERROR(VLOOKUP($D13716,'Informations sur les produits'!$A$3:$H$10000,8,FALSE),"0")</f>
        <v>0</v>
      </c>
      <c r="K13716" s="4"/>
      <c r="L13716" s="33" t="str">
        <f>IFERROR(VLOOKUP($J13716,'Informations sur les produits'!$A$3:$H$10000,8,FALSE),"0")</f>
        <v>0</v>
      </c>
      <c r="N13716" s="8"/>
      <c r="O13716" s="33" t="str">
        <f>IFERROR(VLOOKUP($M13716,'Informations sur les produits'!$A$3:$H$10000,8,FALSE),"0")</f>
        <v>0</v>
      </c>
      <c r="P13716" s="33">
        <f t="shared" si="856"/>
        <v>0</v>
      </c>
      <c r="Q13716" s="31" t="str">
        <f t="shared" si="857"/>
        <v/>
      </c>
      <c r="R13716" s="32" t="str">
        <f>IFERROR(VLOOKUP($D13716,'Informations sur les produits'!$A$3:$B$15000,2,FALSE),"")</f>
        <v/>
      </c>
      <c r="V13716">
        <f t="shared" si="858"/>
        <v>0</v>
      </c>
      <c r="W13716">
        <f t="shared" si="859"/>
        <v>0</v>
      </c>
    </row>
    <row r="13717" spans="5:23" x14ac:dyDescent="0.25">
      <c r="E13717" s="4"/>
      <c r="F13717" s="4"/>
      <c r="G13717" s="33" t="str">
        <f>IFERROR(VLOOKUP($D13717,'Informations sur les produits'!$A$3:$H$10000,8,FALSE),"0")</f>
        <v>0</v>
      </c>
      <c r="K13717" s="4"/>
      <c r="L13717" s="33" t="str">
        <f>IFERROR(VLOOKUP($J13717,'Informations sur les produits'!$A$3:$H$10000,8,FALSE),"0")</f>
        <v>0</v>
      </c>
      <c r="N13717" s="8"/>
      <c r="O13717" s="33" t="str">
        <f>IFERROR(VLOOKUP($M13717,'Informations sur les produits'!$A$3:$H$10000,8,FALSE),"0")</f>
        <v>0</v>
      </c>
      <c r="P13717" s="33">
        <f t="shared" si="856"/>
        <v>0</v>
      </c>
      <c r="Q13717" s="31" t="str">
        <f t="shared" si="857"/>
        <v/>
      </c>
      <c r="R13717" s="32" t="str">
        <f>IFERROR(VLOOKUP($D13717,'Informations sur les produits'!$A$3:$B$15000,2,FALSE),"")</f>
        <v/>
      </c>
      <c r="V13717">
        <f t="shared" si="858"/>
        <v>0</v>
      </c>
      <c r="W13717">
        <f t="shared" si="859"/>
        <v>0</v>
      </c>
    </row>
    <row r="13718" spans="5:23" x14ac:dyDescent="0.25">
      <c r="E13718" s="4"/>
      <c r="F13718" s="4"/>
      <c r="G13718" s="33" t="str">
        <f>IFERROR(VLOOKUP($D13718,'Informations sur les produits'!$A$3:$H$10000,8,FALSE),"0")</f>
        <v>0</v>
      </c>
      <c r="K13718" s="4"/>
      <c r="L13718" s="33" t="str">
        <f>IFERROR(VLOOKUP($J13718,'Informations sur les produits'!$A$3:$H$10000,8,FALSE),"0")</f>
        <v>0</v>
      </c>
      <c r="N13718" s="8"/>
      <c r="O13718" s="33" t="str">
        <f>IFERROR(VLOOKUP($M13718,'Informations sur les produits'!$A$3:$H$10000,8,FALSE),"0")</f>
        <v>0</v>
      </c>
      <c r="P13718" s="33">
        <f t="shared" si="856"/>
        <v>0</v>
      </c>
      <c r="Q13718" s="31" t="str">
        <f t="shared" si="857"/>
        <v/>
      </c>
      <c r="R13718" s="32" t="str">
        <f>IFERROR(VLOOKUP($D13718,'Informations sur les produits'!$A$3:$B$15000,2,FALSE),"")</f>
        <v/>
      </c>
      <c r="V13718">
        <f t="shared" si="858"/>
        <v>0</v>
      </c>
      <c r="W13718">
        <f t="shared" si="859"/>
        <v>0</v>
      </c>
    </row>
    <row r="13719" spans="5:23" x14ac:dyDescent="0.25">
      <c r="E13719" s="4"/>
      <c r="F13719" s="4"/>
      <c r="G13719" s="33" t="str">
        <f>IFERROR(VLOOKUP($D13719,'Informations sur les produits'!$A$3:$H$10000,8,FALSE),"0")</f>
        <v>0</v>
      </c>
      <c r="K13719" s="4"/>
      <c r="L13719" s="33" t="str">
        <f>IFERROR(VLOOKUP($J13719,'Informations sur les produits'!$A$3:$H$10000,8,FALSE),"0")</f>
        <v>0</v>
      </c>
      <c r="N13719" s="8"/>
      <c r="O13719" s="33" t="str">
        <f>IFERROR(VLOOKUP($M13719,'Informations sur les produits'!$A$3:$H$10000,8,FALSE),"0")</f>
        <v>0</v>
      </c>
      <c r="P13719" s="33">
        <f t="shared" si="856"/>
        <v>0</v>
      </c>
      <c r="Q13719" s="31" t="str">
        <f t="shared" si="857"/>
        <v/>
      </c>
      <c r="R13719" s="32" t="str">
        <f>IFERROR(VLOOKUP($D13719,'Informations sur les produits'!$A$3:$B$15000,2,FALSE),"")</f>
        <v/>
      </c>
      <c r="V13719">
        <f t="shared" si="858"/>
        <v>0</v>
      </c>
      <c r="W13719">
        <f t="shared" si="859"/>
        <v>0</v>
      </c>
    </row>
    <row r="13720" spans="5:23" x14ac:dyDescent="0.25">
      <c r="E13720" s="4"/>
      <c r="F13720" s="4"/>
      <c r="G13720" s="33" t="str">
        <f>IFERROR(VLOOKUP($D13720,'Informations sur les produits'!$A$3:$H$10000,8,FALSE),"0")</f>
        <v>0</v>
      </c>
      <c r="K13720" s="4"/>
      <c r="L13720" s="33" t="str">
        <f>IFERROR(VLOOKUP($J13720,'Informations sur les produits'!$A$3:$H$10000,8,FALSE),"0")</f>
        <v>0</v>
      </c>
      <c r="N13720" s="8"/>
      <c r="O13720" s="33" t="str">
        <f>IFERROR(VLOOKUP($M13720,'Informations sur les produits'!$A$3:$H$10000,8,FALSE),"0")</f>
        <v>0</v>
      </c>
      <c r="P13720" s="33">
        <f t="shared" si="856"/>
        <v>0</v>
      </c>
      <c r="Q13720" s="31" t="str">
        <f t="shared" si="857"/>
        <v/>
      </c>
      <c r="R13720" s="32" t="str">
        <f>IFERROR(VLOOKUP($D13720,'Informations sur les produits'!$A$3:$B$15000,2,FALSE),"")</f>
        <v/>
      </c>
      <c r="V13720">
        <f t="shared" si="858"/>
        <v>0</v>
      </c>
      <c r="W13720">
        <f t="shared" si="859"/>
        <v>0</v>
      </c>
    </row>
    <row r="13721" spans="5:23" x14ac:dyDescent="0.25">
      <c r="E13721" s="4"/>
      <c r="F13721" s="4"/>
      <c r="G13721" s="33" t="str">
        <f>IFERROR(VLOOKUP($D13721,'Informations sur les produits'!$A$3:$H$10000,8,FALSE),"0")</f>
        <v>0</v>
      </c>
      <c r="K13721" s="4"/>
      <c r="L13721" s="33" t="str">
        <f>IFERROR(VLOOKUP($J13721,'Informations sur les produits'!$A$3:$H$10000,8,FALSE),"0")</f>
        <v>0</v>
      </c>
      <c r="N13721" s="8"/>
      <c r="O13721" s="33" t="str">
        <f>IFERROR(VLOOKUP($M13721,'Informations sur les produits'!$A$3:$H$10000,8,FALSE),"0")</f>
        <v>0</v>
      </c>
      <c r="P13721" s="33">
        <f t="shared" si="856"/>
        <v>0</v>
      </c>
      <c r="Q13721" s="31" t="str">
        <f t="shared" si="857"/>
        <v/>
      </c>
      <c r="R13721" s="32" t="str">
        <f>IFERROR(VLOOKUP($D13721,'Informations sur les produits'!$A$3:$B$15000,2,FALSE),"")</f>
        <v/>
      </c>
      <c r="V13721">
        <f t="shared" si="858"/>
        <v>0</v>
      </c>
      <c r="W13721">
        <f t="shared" si="859"/>
        <v>0</v>
      </c>
    </row>
    <row r="13722" spans="5:23" x14ac:dyDescent="0.25">
      <c r="E13722" s="4"/>
      <c r="F13722" s="4"/>
      <c r="G13722" s="33" t="str">
        <f>IFERROR(VLOOKUP($D13722,'Informations sur les produits'!$A$3:$H$10000,8,FALSE),"0")</f>
        <v>0</v>
      </c>
      <c r="K13722" s="4"/>
      <c r="L13722" s="33" t="str">
        <f>IFERROR(VLOOKUP($J13722,'Informations sur les produits'!$A$3:$H$10000,8,FALSE),"0")</f>
        <v>0</v>
      </c>
      <c r="N13722" s="8"/>
      <c r="O13722" s="33" t="str">
        <f>IFERROR(VLOOKUP($M13722,'Informations sur les produits'!$A$3:$H$10000,8,FALSE),"0")</f>
        <v>0</v>
      </c>
      <c r="P13722" s="33">
        <f t="shared" si="856"/>
        <v>0</v>
      </c>
      <c r="Q13722" s="31" t="str">
        <f t="shared" si="857"/>
        <v/>
      </c>
      <c r="R13722" s="32" t="str">
        <f>IFERROR(VLOOKUP($D13722,'Informations sur les produits'!$A$3:$B$15000,2,FALSE),"")</f>
        <v/>
      </c>
      <c r="V13722">
        <f t="shared" si="858"/>
        <v>0</v>
      </c>
      <c r="W13722">
        <f t="shared" si="859"/>
        <v>0</v>
      </c>
    </row>
    <row r="13723" spans="5:23" x14ac:dyDescent="0.25">
      <c r="E13723" s="4"/>
      <c r="F13723" s="4"/>
      <c r="G13723" s="33" t="str">
        <f>IFERROR(VLOOKUP($D13723,'Informations sur les produits'!$A$3:$H$10000,8,FALSE),"0")</f>
        <v>0</v>
      </c>
      <c r="K13723" s="4"/>
      <c r="L13723" s="33" t="str">
        <f>IFERROR(VLOOKUP($J13723,'Informations sur les produits'!$A$3:$H$10000,8,FALSE),"0")</f>
        <v>0</v>
      </c>
      <c r="N13723" s="8"/>
      <c r="O13723" s="33" t="str">
        <f>IFERROR(VLOOKUP($M13723,'Informations sur les produits'!$A$3:$H$10000,8,FALSE),"0")</f>
        <v>0</v>
      </c>
      <c r="P13723" s="33">
        <f t="shared" si="856"/>
        <v>0</v>
      </c>
      <c r="Q13723" s="31" t="str">
        <f t="shared" si="857"/>
        <v/>
      </c>
      <c r="R13723" s="32" t="str">
        <f>IFERROR(VLOOKUP($D13723,'Informations sur les produits'!$A$3:$B$15000,2,FALSE),"")</f>
        <v/>
      </c>
      <c r="V13723">
        <f t="shared" si="858"/>
        <v>0</v>
      </c>
      <c r="W13723">
        <f t="shared" si="859"/>
        <v>0</v>
      </c>
    </row>
    <row r="13724" spans="5:23" x14ac:dyDescent="0.25">
      <c r="E13724" s="4"/>
      <c r="F13724" s="4"/>
      <c r="G13724" s="33" t="str">
        <f>IFERROR(VLOOKUP($D13724,'Informations sur les produits'!$A$3:$H$10000,8,FALSE),"0")</f>
        <v>0</v>
      </c>
      <c r="K13724" s="4"/>
      <c r="L13724" s="33" t="str">
        <f>IFERROR(VLOOKUP($J13724,'Informations sur les produits'!$A$3:$H$10000,8,FALSE),"0")</f>
        <v>0</v>
      </c>
      <c r="N13724" s="8"/>
      <c r="O13724" s="33" t="str">
        <f>IFERROR(VLOOKUP($M13724,'Informations sur les produits'!$A$3:$H$10000,8,FALSE),"0")</f>
        <v>0</v>
      </c>
      <c r="P13724" s="33">
        <f t="shared" si="856"/>
        <v>0</v>
      </c>
      <c r="Q13724" s="31" t="str">
        <f t="shared" si="857"/>
        <v/>
      </c>
      <c r="R13724" s="32" t="str">
        <f>IFERROR(VLOOKUP($D13724,'Informations sur les produits'!$A$3:$B$15000,2,FALSE),"")</f>
        <v/>
      </c>
      <c r="V13724">
        <f t="shared" si="858"/>
        <v>0</v>
      </c>
      <c r="W13724">
        <f t="shared" si="859"/>
        <v>0</v>
      </c>
    </row>
    <row r="13725" spans="5:23" x14ac:dyDescent="0.25">
      <c r="E13725" s="4"/>
      <c r="F13725" s="4"/>
      <c r="G13725" s="33" t="str">
        <f>IFERROR(VLOOKUP($D13725,'Informations sur les produits'!$A$3:$H$10000,8,FALSE),"0")</f>
        <v>0</v>
      </c>
      <c r="K13725" s="4"/>
      <c r="L13725" s="33" t="str">
        <f>IFERROR(VLOOKUP($J13725,'Informations sur les produits'!$A$3:$H$10000,8,FALSE),"0")</f>
        <v>0</v>
      </c>
      <c r="N13725" s="8"/>
      <c r="O13725" s="33" t="str">
        <f>IFERROR(VLOOKUP($M13725,'Informations sur les produits'!$A$3:$H$10000,8,FALSE),"0")</f>
        <v>0</v>
      </c>
      <c r="P13725" s="33">
        <f t="shared" si="856"/>
        <v>0</v>
      </c>
      <c r="Q13725" s="31" t="str">
        <f t="shared" si="857"/>
        <v/>
      </c>
      <c r="R13725" s="32" t="str">
        <f>IFERROR(VLOOKUP($D13725,'Informations sur les produits'!$A$3:$B$15000,2,FALSE),"")</f>
        <v/>
      </c>
      <c r="V13725">
        <f t="shared" si="858"/>
        <v>0</v>
      </c>
      <c r="W13725">
        <f t="shared" si="859"/>
        <v>0</v>
      </c>
    </row>
    <row r="13726" spans="5:23" x14ac:dyDescent="0.25">
      <c r="E13726" s="4"/>
      <c r="F13726" s="4"/>
      <c r="G13726" s="33" t="str">
        <f>IFERROR(VLOOKUP($D13726,'Informations sur les produits'!$A$3:$H$10000,8,FALSE),"0")</f>
        <v>0</v>
      </c>
      <c r="K13726" s="4"/>
      <c r="L13726" s="33" t="str">
        <f>IFERROR(VLOOKUP($J13726,'Informations sur les produits'!$A$3:$H$10000,8,FALSE),"0")</f>
        <v>0</v>
      </c>
      <c r="N13726" s="8"/>
      <c r="O13726" s="33" t="str">
        <f>IFERROR(VLOOKUP($M13726,'Informations sur les produits'!$A$3:$H$10000,8,FALSE),"0")</f>
        <v>0</v>
      </c>
      <c r="P13726" s="33">
        <f t="shared" si="856"/>
        <v>0</v>
      </c>
      <c r="Q13726" s="31" t="str">
        <f t="shared" si="857"/>
        <v/>
      </c>
      <c r="R13726" s="32" t="str">
        <f>IFERROR(VLOOKUP($D13726,'Informations sur les produits'!$A$3:$B$15000,2,FALSE),"")</f>
        <v/>
      </c>
      <c r="V13726">
        <f t="shared" si="858"/>
        <v>0</v>
      </c>
      <c r="W13726">
        <f t="shared" si="859"/>
        <v>0</v>
      </c>
    </row>
    <row r="13727" spans="5:23" x14ac:dyDescent="0.25">
      <c r="E13727" s="4"/>
      <c r="F13727" s="4"/>
      <c r="G13727" s="33" t="str">
        <f>IFERROR(VLOOKUP($D13727,'Informations sur les produits'!$A$3:$H$10000,8,FALSE),"0")</f>
        <v>0</v>
      </c>
      <c r="K13727" s="4"/>
      <c r="L13727" s="33" t="str">
        <f>IFERROR(VLOOKUP($J13727,'Informations sur les produits'!$A$3:$H$10000,8,FALSE),"0")</f>
        <v>0</v>
      </c>
      <c r="N13727" s="8"/>
      <c r="O13727" s="33" t="str">
        <f>IFERROR(VLOOKUP($M13727,'Informations sur les produits'!$A$3:$H$10000,8,FALSE),"0")</f>
        <v>0</v>
      </c>
      <c r="P13727" s="33">
        <f t="shared" si="856"/>
        <v>0</v>
      </c>
      <c r="Q13727" s="31" t="str">
        <f t="shared" si="857"/>
        <v/>
      </c>
      <c r="R13727" s="32" t="str">
        <f>IFERROR(VLOOKUP($D13727,'Informations sur les produits'!$A$3:$B$15000,2,FALSE),"")</f>
        <v/>
      </c>
      <c r="V13727">
        <f t="shared" si="858"/>
        <v>0</v>
      </c>
      <c r="W13727">
        <f t="shared" si="859"/>
        <v>0</v>
      </c>
    </row>
    <row r="13728" spans="5:23" x14ac:dyDescent="0.25">
      <c r="E13728" s="4"/>
      <c r="F13728" s="4"/>
      <c r="G13728" s="33" t="str">
        <f>IFERROR(VLOOKUP($D13728,'Informations sur les produits'!$A$3:$H$10000,8,FALSE),"0")</f>
        <v>0</v>
      </c>
      <c r="K13728" s="4"/>
      <c r="L13728" s="33" t="str">
        <f>IFERROR(VLOOKUP($J13728,'Informations sur les produits'!$A$3:$H$10000,8,FALSE),"0")</f>
        <v>0</v>
      </c>
      <c r="N13728" s="8"/>
      <c r="O13728" s="33" t="str">
        <f>IFERROR(VLOOKUP($M13728,'Informations sur les produits'!$A$3:$H$10000,8,FALSE),"0")</f>
        <v>0</v>
      </c>
      <c r="P13728" s="33">
        <f t="shared" si="856"/>
        <v>0</v>
      </c>
      <c r="Q13728" s="31" t="str">
        <f t="shared" si="857"/>
        <v/>
      </c>
      <c r="R13728" s="32" t="str">
        <f>IFERROR(VLOOKUP($D13728,'Informations sur les produits'!$A$3:$B$15000,2,FALSE),"")</f>
        <v/>
      </c>
      <c r="V13728">
        <f t="shared" si="858"/>
        <v>0</v>
      </c>
      <c r="W13728">
        <f t="shared" si="859"/>
        <v>0</v>
      </c>
    </row>
    <row r="13729" spans="5:23" x14ac:dyDescent="0.25">
      <c r="E13729" s="4"/>
      <c r="F13729" s="4"/>
      <c r="G13729" s="33" t="str">
        <f>IFERROR(VLOOKUP($D13729,'Informations sur les produits'!$A$3:$H$10000,8,FALSE),"0")</f>
        <v>0</v>
      </c>
      <c r="K13729" s="4"/>
      <c r="L13729" s="33" t="str">
        <f>IFERROR(VLOOKUP($J13729,'Informations sur les produits'!$A$3:$H$10000,8,FALSE),"0")</f>
        <v>0</v>
      </c>
      <c r="N13729" s="8"/>
      <c r="O13729" s="33" t="str">
        <f>IFERROR(VLOOKUP($M13729,'Informations sur les produits'!$A$3:$H$10000,8,FALSE),"0")</f>
        <v>0</v>
      </c>
      <c r="P13729" s="33">
        <f t="shared" si="856"/>
        <v>0</v>
      </c>
      <c r="Q13729" s="31" t="str">
        <f t="shared" si="857"/>
        <v/>
      </c>
      <c r="R13729" s="32" t="str">
        <f>IFERROR(VLOOKUP($D13729,'Informations sur les produits'!$A$3:$B$15000,2,FALSE),"")</f>
        <v/>
      </c>
      <c r="V13729">
        <f t="shared" si="858"/>
        <v>0</v>
      </c>
      <c r="W13729">
        <f t="shared" si="859"/>
        <v>0</v>
      </c>
    </row>
    <row r="13730" spans="5:23" x14ac:dyDescent="0.25">
      <c r="E13730" s="4"/>
      <c r="F13730" s="4"/>
      <c r="G13730" s="33" t="str">
        <f>IFERROR(VLOOKUP($D13730,'Informations sur les produits'!$A$3:$H$10000,8,FALSE),"0")</f>
        <v>0</v>
      </c>
      <c r="K13730" s="4"/>
      <c r="L13730" s="33" t="str">
        <f>IFERROR(VLOOKUP($J13730,'Informations sur les produits'!$A$3:$H$10000,8,FALSE),"0")</f>
        <v>0</v>
      </c>
      <c r="N13730" s="8"/>
      <c r="O13730" s="33" t="str">
        <f>IFERROR(VLOOKUP($M13730,'Informations sur les produits'!$A$3:$H$10000,8,FALSE),"0")</f>
        <v>0</v>
      </c>
      <c r="P13730" s="33">
        <f t="shared" si="856"/>
        <v>0</v>
      </c>
      <c r="Q13730" s="31" t="str">
        <f t="shared" si="857"/>
        <v/>
      </c>
      <c r="R13730" s="32" t="str">
        <f>IFERROR(VLOOKUP($D13730,'Informations sur les produits'!$A$3:$B$15000,2,FALSE),"")</f>
        <v/>
      </c>
      <c r="V13730">
        <f t="shared" si="858"/>
        <v>0</v>
      </c>
      <c r="W13730">
        <f t="shared" si="859"/>
        <v>0</v>
      </c>
    </row>
    <row r="13731" spans="5:23" x14ac:dyDescent="0.25">
      <c r="E13731" s="4"/>
      <c r="F13731" s="4"/>
      <c r="G13731" s="33" t="str">
        <f>IFERROR(VLOOKUP($D13731,'Informations sur les produits'!$A$3:$H$10000,8,FALSE),"0")</f>
        <v>0</v>
      </c>
      <c r="K13731" s="4"/>
      <c r="L13731" s="33" t="str">
        <f>IFERROR(VLOOKUP($J13731,'Informations sur les produits'!$A$3:$H$10000,8,FALSE),"0")</f>
        <v>0</v>
      </c>
      <c r="N13731" s="8"/>
      <c r="O13731" s="33" t="str">
        <f>IFERROR(VLOOKUP($M13731,'Informations sur les produits'!$A$3:$H$10000,8,FALSE),"0")</f>
        <v>0</v>
      </c>
      <c r="P13731" s="33">
        <f t="shared" si="856"/>
        <v>0</v>
      </c>
      <c r="Q13731" s="31" t="str">
        <f t="shared" si="857"/>
        <v/>
      </c>
      <c r="R13731" s="32" t="str">
        <f>IFERROR(VLOOKUP($D13731,'Informations sur les produits'!$A$3:$B$15000,2,FALSE),"")</f>
        <v/>
      </c>
      <c r="V13731">
        <f t="shared" si="858"/>
        <v>0</v>
      </c>
      <c r="W13731">
        <f t="shared" si="859"/>
        <v>0</v>
      </c>
    </row>
    <row r="13732" spans="5:23" x14ac:dyDescent="0.25">
      <c r="E13732" s="4"/>
      <c r="F13732" s="4"/>
      <c r="G13732" s="33" t="str">
        <f>IFERROR(VLOOKUP($D13732,'Informations sur les produits'!$A$3:$H$10000,8,FALSE),"0")</f>
        <v>0</v>
      </c>
      <c r="K13732" s="4"/>
      <c r="L13732" s="33" t="str">
        <f>IFERROR(VLOOKUP($J13732,'Informations sur les produits'!$A$3:$H$10000,8,FALSE),"0")</f>
        <v>0</v>
      </c>
      <c r="N13732" s="8"/>
      <c r="O13732" s="33" t="str">
        <f>IFERROR(VLOOKUP($M13732,'Informations sur les produits'!$A$3:$H$10000,8,FALSE),"0")</f>
        <v>0</v>
      </c>
      <c r="P13732" s="33">
        <f t="shared" si="856"/>
        <v>0</v>
      </c>
      <c r="Q13732" s="31" t="str">
        <f t="shared" si="857"/>
        <v/>
      </c>
      <c r="R13732" s="32" t="str">
        <f>IFERROR(VLOOKUP($D13732,'Informations sur les produits'!$A$3:$B$15000,2,FALSE),"")</f>
        <v/>
      </c>
      <c r="V13732">
        <f t="shared" si="858"/>
        <v>0</v>
      </c>
      <c r="W13732">
        <f t="shared" si="859"/>
        <v>0</v>
      </c>
    </row>
    <row r="13733" spans="5:23" x14ac:dyDescent="0.25">
      <c r="E13733" s="4"/>
      <c r="F13733" s="4"/>
      <c r="G13733" s="33" t="str">
        <f>IFERROR(VLOOKUP($D13733,'Informations sur les produits'!$A$3:$H$10000,8,FALSE),"0")</f>
        <v>0</v>
      </c>
      <c r="K13733" s="4"/>
      <c r="L13733" s="33" t="str">
        <f>IFERROR(VLOOKUP($J13733,'Informations sur les produits'!$A$3:$H$10000,8,FALSE),"0")</f>
        <v>0</v>
      </c>
      <c r="N13733" s="8"/>
      <c r="O13733" s="33" t="str">
        <f>IFERROR(VLOOKUP($M13733,'Informations sur les produits'!$A$3:$H$10000,8,FALSE),"0")</f>
        <v>0</v>
      </c>
      <c r="P13733" s="33">
        <f t="shared" si="856"/>
        <v>0</v>
      </c>
      <c r="Q13733" s="31" t="str">
        <f t="shared" si="857"/>
        <v/>
      </c>
      <c r="R13733" s="32" t="str">
        <f>IFERROR(VLOOKUP($D13733,'Informations sur les produits'!$A$3:$B$15000,2,FALSE),"")</f>
        <v/>
      </c>
      <c r="V13733">
        <f t="shared" si="858"/>
        <v>0</v>
      </c>
      <c r="W13733">
        <f t="shared" si="859"/>
        <v>0</v>
      </c>
    </row>
    <row r="13734" spans="5:23" x14ac:dyDescent="0.25">
      <c r="E13734" s="4"/>
      <c r="F13734" s="4"/>
      <c r="G13734" s="33" t="str">
        <f>IFERROR(VLOOKUP($D13734,'Informations sur les produits'!$A$3:$H$10000,8,FALSE),"0")</f>
        <v>0</v>
      </c>
      <c r="K13734" s="4"/>
      <c r="L13734" s="33" t="str">
        <f>IFERROR(VLOOKUP($J13734,'Informations sur les produits'!$A$3:$H$10000,8,FALSE),"0")</f>
        <v>0</v>
      </c>
      <c r="N13734" s="8"/>
      <c r="O13734" s="33" t="str">
        <f>IFERROR(VLOOKUP($M13734,'Informations sur les produits'!$A$3:$H$10000,8,FALSE),"0")</f>
        <v>0</v>
      </c>
      <c r="P13734" s="33">
        <f t="shared" si="856"/>
        <v>0</v>
      </c>
      <c r="Q13734" s="31" t="str">
        <f t="shared" si="857"/>
        <v/>
      </c>
      <c r="R13734" s="32" t="str">
        <f>IFERROR(VLOOKUP($D13734,'Informations sur les produits'!$A$3:$B$15000,2,FALSE),"")</f>
        <v/>
      </c>
      <c r="V13734">
        <f t="shared" si="858"/>
        <v>0</v>
      </c>
      <c r="W13734">
        <f t="shared" si="859"/>
        <v>0</v>
      </c>
    </row>
    <row r="13735" spans="5:23" x14ac:dyDescent="0.25">
      <c r="E13735" s="4"/>
      <c r="F13735" s="4"/>
      <c r="G13735" s="33" t="str">
        <f>IFERROR(VLOOKUP($D13735,'Informations sur les produits'!$A$3:$H$10000,8,FALSE),"0")</f>
        <v>0</v>
      </c>
      <c r="K13735" s="4"/>
      <c r="L13735" s="33" t="str">
        <f>IFERROR(VLOOKUP($J13735,'Informations sur les produits'!$A$3:$H$10000,8,FALSE),"0")</f>
        <v>0</v>
      </c>
      <c r="N13735" s="8"/>
      <c r="O13735" s="33" t="str">
        <f>IFERROR(VLOOKUP($M13735,'Informations sur les produits'!$A$3:$H$10000,8,FALSE),"0")</f>
        <v>0</v>
      </c>
      <c r="P13735" s="33">
        <f t="shared" si="856"/>
        <v>0</v>
      </c>
      <c r="Q13735" s="31" t="str">
        <f t="shared" si="857"/>
        <v/>
      </c>
      <c r="R13735" s="32" t="str">
        <f>IFERROR(VLOOKUP($D13735,'Informations sur les produits'!$A$3:$B$15000,2,FALSE),"")</f>
        <v/>
      </c>
      <c r="V13735">
        <f t="shared" si="858"/>
        <v>0</v>
      </c>
      <c r="W13735">
        <f t="shared" si="859"/>
        <v>0</v>
      </c>
    </row>
    <row r="13736" spans="5:23" x14ac:dyDescent="0.25">
      <c r="E13736" s="4"/>
      <c r="F13736" s="4"/>
      <c r="G13736" s="33" t="str">
        <f>IFERROR(VLOOKUP($D13736,'Informations sur les produits'!$A$3:$H$10000,8,FALSE),"0")</f>
        <v>0</v>
      </c>
      <c r="K13736" s="4"/>
      <c r="L13736" s="33" t="str">
        <f>IFERROR(VLOOKUP($J13736,'Informations sur les produits'!$A$3:$H$10000,8,FALSE),"0")</f>
        <v>0</v>
      </c>
      <c r="N13736" s="8"/>
      <c r="O13736" s="33" t="str">
        <f>IFERROR(VLOOKUP($M13736,'Informations sur les produits'!$A$3:$H$10000,8,FALSE),"0")</f>
        <v>0</v>
      </c>
      <c r="P13736" s="33">
        <f t="shared" si="856"/>
        <v>0</v>
      </c>
      <c r="Q13736" s="31" t="str">
        <f t="shared" si="857"/>
        <v/>
      </c>
      <c r="R13736" s="32" t="str">
        <f>IFERROR(VLOOKUP($D13736,'Informations sur les produits'!$A$3:$B$15000,2,FALSE),"")</f>
        <v/>
      </c>
      <c r="V13736">
        <f t="shared" si="858"/>
        <v>0</v>
      </c>
      <c r="W13736">
        <f t="shared" si="859"/>
        <v>0</v>
      </c>
    </row>
    <row r="13737" spans="5:23" x14ac:dyDescent="0.25">
      <c r="E13737" s="4"/>
      <c r="F13737" s="4"/>
      <c r="G13737" s="33" t="str">
        <f>IFERROR(VLOOKUP($D13737,'Informations sur les produits'!$A$3:$H$10000,8,FALSE),"0")</f>
        <v>0</v>
      </c>
      <c r="K13737" s="4"/>
      <c r="L13737" s="33" t="str">
        <f>IFERROR(VLOOKUP($J13737,'Informations sur les produits'!$A$3:$H$10000,8,FALSE),"0")</f>
        <v>0</v>
      </c>
      <c r="N13737" s="8"/>
      <c r="O13737" s="33" t="str">
        <f>IFERROR(VLOOKUP($M13737,'Informations sur les produits'!$A$3:$H$10000,8,FALSE),"0")</f>
        <v>0</v>
      </c>
      <c r="P13737" s="33">
        <f t="shared" si="856"/>
        <v>0</v>
      </c>
      <c r="Q13737" s="31" t="str">
        <f t="shared" si="857"/>
        <v/>
      </c>
      <c r="R13737" s="32" t="str">
        <f>IFERROR(VLOOKUP($D13737,'Informations sur les produits'!$A$3:$B$15000,2,FALSE),"")</f>
        <v/>
      </c>
      <c r="V13737">
        <f t="shared" si="858"/>
        <v>0</v>
      </c>
      <c r="W13737">
        <f t="shared" si="859"/>
        <v>0</v>
      </c>
    </row>
    <row r="13738" spans="5:23" x14ac:dyDescent="0.25">
      <c r="E13738" s="4"/>
      <c r="F13738" s="4"/>
      <c r="G13738" s="33" t="str">
        <f>IFERROR(VLOOKUP($D13738,'Informations sur les produits'!$A$3:$H$10000,8,FALSE),"0")</f>
        <v>0</v>
      </c>
      <c r="K13738" s="4"/>
      <c r="L13738" s="33" t="str">
        <f>IFERROR(VLOOKUP($J13738,'Informations sur les produits'!$A$3:$H$10000,8,FALSE),"0")</f>
        <v>0</v>
      </c>
      <c r="N13738" s="8"/>
      <c r="O13738" s="33" t="str">
        <f>IFERROR(VLOOKUP($M13738,'Informations sur les produits'!$A$3:$H$10000,8,FALSE),"0")</f>
        <v>0</v>
      </c>
      <c r="P13738" s="33">
        <f t="shared" si="856"/>
        <v>0</v>
      </c>
      <c r="Q13738" s="31" t="str">
        <f t="shared" si="857"/>
        <v/>
      </c>
      <c r="R13738" s="32" t="str">
        <f>IFERROR(VLOOKUP($D13738,'Informations sur les produits'!$A$3:$B$15000,2,FALSE),"")</f>
        <v/>
      </c>
      <c r="V13738">
        <f t="shared" si="858"/>
        <v>0</v>
      </c>
      <c r="W13738">
        <f t="shared" si="859"/>
        <v>0</v>
      </c>
    </row>
    <row r="13739" spans="5:23" x14ac:dyDescent="0.25">
      <c r="E13739" s="4"/>
      <c r="F13739" s="4"/>
      <c r="G13739" s="33" t="str">
        <f>IFERROR(VLOOKUP($D13739,'Informations sur les produits'!$A$3:$H$10000,8,FALSE),"0")</f>
        <v>0</v>
      </c>
      <c r="K13739" s="4"/>
      <c r="L13739" s="33" t="str">
        <f>IFERROR(VLOOKUP($J13739,'Informations sur les produits'!$A$3:$H$10000,8,FALSE),"0")</f>
        <v>0</v>
      </c>
      <c r="N13739" s="8"/>
      <c r="O13739" s="33" t="str">
        <f>IFERROR(VLOOKUP($M13739,'Informations sur les produits'!$A$3:$H$10000,8,FALSE),"0")</f>
        <v>0</v>
      </c>
      <c r="P13739" s="33">
        <f t="shared" si="856"/>
        <v>0</v>
      </c>
      <c r="Q13739" s="31" t="str">
        <f t="shared" si="857"/>
        <v/>
      </c>
      <c r="R13739" s="32" t="str">
        <f>IFERROR(VLOOKUP($D13739,'Informations sur les produits'!$A$3:$B$15000,2,FALSE),"")</f>
        <v/>
      </c>
      <c r="V13739">
        <f t="shared" si="858"/>
        <v>0</v>
      </c>
      <c r="W13739">
        <f t="shared" si="859"/>
        <v>0</v>
      </c>
    </row>
    <row r="13740" spans="5:23" x14ac:dyDescent="0.25">
      <c r="E13740" s="4"/>
      <c r="F13740" s="4"/>
      <c r="G13740" s="33" t="str">
        <f>IFERROR(VLOOKUP($D13740,'Informations sur les produits'!$A$3:$H$10000,8,FALSE),"0")</f>
        <v>0</v>
      </c>
      <c r="K13740" s="4"/>
      <c r="L13740" s="33" t="str">
        <f>IFERROR(VLOOKUP($J13740,'Informations sur les produits'!$A$3:$H$10000,8,FALSE),"0")</f>
        <v>0</v>
      </c>
      <c r="N13740" s="8"/>
      <c r="O13740" s="33" t="str">
        <f>IFERROR(VLOOKUP($M13740,'Informations sur les produits'!$A$3:$H$10000,8,FALSE),"0")</f>
        <v>0</v>
      </c>
      <c r="P13740" s="33">
        <f t="shared" si="856"/>
        <v>0</v>
      </c>
      <c r="Q13740" s="31" t="str">
        <f t="shared" si="857"/>
        <v/>
      </c>
      <c r="R13740" s="32" t="str">
        <f>IFERROR(VLOOKUP($D13740,'Informations sur les produits'!$A$3:$B$15000,2,FALSE),"")</f>
        <v/>
      </c>
      <c r="V13740">
        <f t="shared" si="858"/>
        <v>0</v>
      </c>
      <c r="W13740">
        <f t="shared" si="859"/>
        <v>0</v>
      </c>
    </row>
    <row r="13741" spans="5:23" x14ac:dyDescent="0.25">
      <c r="E13741" s="4"/>
      <c r="F13741" s="4"/>
      <c r="G13741" s="33" t="str">
        <f>IFERROR(VLOOKUP($D13741,'Informations sur les produits'!$A$3:$H$10000,8,FALSE),"0")</f>
        <v>0</v>
      </c>
      <c r="K13741" s="4"/>
      <c r="L13741" s="33" t="str">
        <f>IFERROR(VLOOKUP($J13741,'Informations sur les produits'!$A$3:$H$10000,8,FALSE),"0")</f>
        <v>0</v>
      </c>
      <c r="N13741" s="8"/>
      <c r="O13741" s="33" t="str">
        <f>IFERROR(VLOOKUP($M13741,'Informations sur les produits'!$A$3:$H$10000,8,FALSE),"0")</f>
        <v>0</v>
      </c>
      <c r="P13741" s="33">
        <f t="shared" si="856"/>
        <v>0</v>
      </c>
      <c r="Q13741" s="31" t="str">
        <f t="shared" si="857"/>
        <v/>
      </c>
      <c r="R13741" s="32" t="str">
        <f>IFERROR(VLOOKUP($D13741,'Informations sur les produits'!$A$3:$B$15000,2,FALSE),"")</f>
        <v/>
      </c>
      <c r="V13741">
        <f t="shared" si="858"/>
        <v>0</v>
      </c>
      <c r="W13741">
        <f t="shared" si="859"/>
        <v>0</v>
      </c>
    </row>
    <row r="13742" spans="5:23" x14ac:dyDescent="0.25">
      <c r="E13742" s="4"/>
      <c r="F13742" s="4"/>
      <c r="G13742" s="33" t="str">
        <f>IFERROR(VLOOKUP($D13742,'Informations sur les produits'!$A$3:$H$10000,8,FALSE),"0")</f>
        <v>0</v>
      </c>
      <c r="K13742" s="4"/>
      <c r="L13742" s="33" t="str">
        <f>IFERROR(VLOOKUP($J13742,'Informations sur les produits'!$A$3:$H$10000,8,FALSE),"0")</f>
        <v>0</v>
      </c>
      <c r="N13742" s="8"/>
      <c r="O13742" s="33" t="str">
        <f>IFERROR(VLOOKUP($M13742,'Informations sur les produits'!$A$3:$H$10000,8,FALSE),"0")</f>
        <v>0</v>
      </c>
      <c r="P13742" s="33">
        <f t="shared" si="856"/>
        <v>0</v>
      </c>
      <c r="Q13742" s="31" t="str">
        <f t="shared" si="857"/>
        <v/>
      </c>
      <c r="R13742" s="32" t="str">
        <f>IFERROR(VLOOKUP($D13742,'Informations sur les produits'!$A$3:$B$15000,2,FALSE),"")</f>
        <v/>
      </c>
      <c r="V13742">
        <f t="shared" si="858"/>
        <v>0</v>
      </c>
      <c r="W13742">
        <f t="shared" si="859"/>
        <v>0</v>
      </c>
    </row>
    <row r="13743" spans="5:23" x14ac:dyDescent="0.25">
      <c r="E13743" s="4"/>
      <c r="F13743" s="4"/>
      <c r="G13743" s="33" t="str">
        <f>IFERROR(VLOOKUP($D13743,'Informations sur les produits'!$A$3:$H$10000,8,FALSE),"0")</f>
        <v>0</v>
      </c>
      <c r="K13743" s="4"/>
      <c r="L13743" s="33" t="str">
        <f>IFERROR(VLOOKUP($J13743,'Informations sur les produits'!$A$3:$H$10000,8,FALSE),"0")</f>
        <v>0</v>
      </c>
      <c r="N13743" s="8"/>
      <c r="O13743" s="33" t="str">
        <f>IFERROR(VLOOKUP($M13743,'Informations sur les produits'!$A$3:$H$10000,8,FALSE),"0")</f>
        <v>0</v>
      </c>
      <c r="P13743" s="33">
        <f t="shared" si="856"/>
        <v>0</v>
      </c>
      <c r="Q13743" s="31" t="str">
        <f t="shared" si="857"/>
        <v/>
      </c>
      <c r="R13743" s="32" t="str">
        <f>IFERROR(VLOOKUP($D13743,'Informations sur les produits'!$A$3:$B$15000,2,FALSE),"")</f>
        <v/>
      </c>
      <c r="V13743">
        <f t="shared" si="858"/>
        <v>0</v>
      </c>
      <c r="W13743">
        <f t="shared" si="859"/>
        <v>0</v>
      </c>
    </row>
    <row r="13744" spans="5:23" x14ac:dyDescent="0.25">
      <c r="E13744" s="4"/>
      <c r="F13744" s="4"/>
      <c r="G13744" s="33" t="str">
        <f>IFERROR(VLOOKUP($D13744,'Informations sur les produits'!$A$3:$H$10000,8,FALSE),"0")</f>
        <v>0</v>
      </c>
      <c r="K13744" s="4"/>
      <c r="L13744" s="33" t="str">
        <f>IFERROR(VLOOKUP($J13744,'Informations sur les produits'!$A$3:$H$10000,8,FALSE),"0")</f>
        <v>0</v>
      </c>
      <c r="N13744" s="8"/>
      <c r="O13744" s="33" t="str">
        <f>IFERROR(VLOOKUP($M13744,'Informations sur les produits'!$A$3:$H$10000,8,FALSE),"0")</f>
        <v>0</v>
      </c>
      <c r="P13744" s="33">
        <f t="shared" si="856"/>
        <v>0</v>
      </c>
      <c r="Q13744" s="31" t="str">
        <f t="shared" si="857"/>
        <v/>
      </c>
      <c r="R13744" s="32" t="str">
        <f>IFERROR(VLOOKUP($D13744,'Informations sur les produits'!$A$3:$B$15000,2,FALSE),"")</f>
        <v/>
      </c>
      <c r="V13744">
        <f t="shared" si="858"/>
        <v>0</v>
      </c>
      <c r="W13744">
        <f t="shared" si="859"/>
        <v>0</v>
      </c>
    </row>
    <row r="13745" spans="5:23" x14ac:dyDescent="0.25">
      <c r="E13745" s="4"/>
      <c r="F13745" s="4"/>
      <c r="G13745" s="33" t="str">
        <f>IFERROR(VLOOKUP($D13745,'Informations sur les produits'!$A$3:$H$10000,8,FALSE),"0")</f>
        <v>0</v>
      </c>
      <c r="K13745" s="4"/>
      <c r="L13745" s="33" t="str">
        <f>IFERROR(VLOOKUP($J13745,'Informations sur les produits'!$A$3:$H$10000,8,FALSE),"0")</f>
        <v>0</v>
      </c>
      <c r="N13745" s="8"/>
      <c r="O13745" s="33" t="str">
        <f>IFERROR(VLOOKUP($M13745,'Informations sur les produits'!$A$3:$H$10000,8,FALSE),"0")</f>
        <v>0</v>
      </c>
      <c r="P13745" s="33">
        <f t="shared" si="856"/>
        <v>0</v>
      </c>
      <c r="Q13745" s="31" t="str">
        <f t="shared" si="857"/>
        <v/>
      </c>
      <c r="R13745" s="32" t="str">
        <f>IFERROR(VLOOKUP($D13745,'Informations sur les produits'!$A$3:$B$15000,2,FALSE),"")</f>
        <v/>
      </c>
      <c r="V13745">
        <f t="shared" si="858"/>
        <v>0</v>
      </c>
      <c r="W13745">
        <f t="shared" si="859"/>
        <v>0</v>
      </c>
    </row>
    <row r="13746" spans="5:23" x14ac:dyDescent="0.25">
      <c r="E13746" s="4"/>
      <c r="F13746" s="4"/>
      <c r="G13746" s="33" t="str">
        <f>IFERROR(VLOOKUP($D13746,'Informations sur les produits'!$A$3:$H$10000,8,FALSE),"0")</f>
        <v>0</v>
      </c>
      <c r="K13746" s="4"/>
      <c r="L13746" s="33" t="str">
        <f>IFERROR(VLOOKUP($J13746,'Informations sur les produits'!$A$3:$H$10000,8,FALSE),"0")</f>
        <v>0</v>
      </c>
      <c r="N13746" s="8"/>
      <c r="O13746" s="33" t="str">
        <f>IFERROR(VLOOKUP($M13746,'Informations sur les produits'!$A$3:$H$10000,8,FALSE),"0")</f>
        <v>0</v>
      </c>
      <c r="P13746" s="33">
        <f t="shared" si="856"/>
        <v>0</v>
      </c>
      <c r="Q13746" s="31" t="str">
        <f t="shared" si="857"/>
        <v/>
      </c>
      <c r="R13746" s="32" t="str">
        <f>IFERROR(VLOOKUP($D13746,'Informations sur les produits'!$A$3:$B$15000,2,FALSE),"")</f>
        <v/>
      </c>
      <c r="V13746">
        <f t="shared" si="858"/>
        <v>0</v>
      </c>
      <c r="W13746">
        <f t="shared" si="859"/>
        <v>0</v>
      </c>
    </row>
    <row r="13747" spans="5:23" x14ac:dyDescent="0.25">
      <c r="E13747" s="4"/>
      <c r="F13747" s="4"/>
      <c r="G13747" s="33" t="str">
        <f>IFERROR(VLOOKUP($D13747,'Informations sur les produits'!$A$3:$H$10000,8,FALSE),"0")</f>
        <v>0</v>
      </c>
      <c r="K13747" s="4"/>
      <c r="L13747" s="33" t="str">
        <f>IFERROR(VLOOKUP($J13747,'Informations sur les produits'!$A$3:$H$10000,8,FALSE),"0")</f>
        <v>0</v>
      </c>
      <c r="N13747" s="8"/>
      <c r="O13747" s="33" t="str">
        <f>IFERROR(VLOOKUP($M13747,'Informations sur les produits'!$A$3:$H$10000,8,FALSE),"0")</f>
        <v>0</v>
      </c>
      <c r="P13747" s="33">
        <f t="shared" si="856"/>
        <v>0</v>
      </c>
      <c r="Q13747" s="31" t="str">
        <f t="shared" si="857"/>
        <v/>
      </c>
      <c r="R13747" s="32" t="str">
        <f>IFERROR(VLOOKUP($D13747,'Informations sur les produits'!$A$3:$B$15000,2,FALSE),"")</f>
        <v/>
      </c>
      <c r="V13747">
        <f t="shared" si="858"/>
        <v>0</v>
      </c>
      <c r="W13747">
        <f t="shared" si="859"/>
        <v>0</v>
      </c>
    </row>
    <row r="13748" spans="5:23" x14ac:dyDescent="0.25">
      <c r="E13748" s="4"/>
      <c r="F13748" s="4"/>
      <c r="G13748" s="33" t="str">
        <f>IFERROR(VLOOKUP($D13748,'Informations sur les produits'!$A$3:$H$10000,8,FALSE),"0")</f>
        <v>0</v>
      </c>
      <c r="K13748" s="4"/>
      <c r="L13748" s="33" t="str">
        <f>IFERROR(VLOOKUP($J13748,'Informations sur les produits'!$A$3:$H$10000,8,FALSE),"0")</f>
        <v>0</v>
      </c>
      <c r="N13748" s="8"/>
      <c r="O13748" s="33" t="str">
        <f>IFERROR(VLOOKUP($M13748,'Informations sur les produits'!$A$3:$H$10000,8,FALSE),"0")</f>
        <v>0</v>
      </c>
      <c r="P13748" s="33">
        <f t="shared" si="856"/>
        <v>0</v>
      </c>
      <c r="Q13748" s="31" t="str">
        <f t="shared" si="857"/>
        <v/>
      </c>
      <c r="R13748" s="32" t="str">
        <f>IFERROR(VLOOKUP($D13748,'Informations sur les produits'!$A$3:$B$15000,2,FALSE),"")</f>
        <v/>
      </c>
      <c r="V13748">
        <f t="shared" si="858"/>
        <v>0</v>
      </c>
      <c r="W13748">
        <f t="shared" si="859"/>
        <v>0</v>
      </c>
    </row>
    <row r="13749" spans="5:23" x14ac:dyDescent="0.25">
      <c r="E13749" s="4"/>
      <c r="F13749" s="4"/>
      <c r="G13749" s="33" t="str">
        <f>IFERROR(VLOOKUP($D13749,'Informations sur les produits'!$A$3:$H$10000,8,FALSE),"0")</f>
        <v>0</v>
      </c>
      <c r="K13749" s="4"/>
      <c r="L13749" s="33" t="str">
        <f>IFERROR(VLOOKUP($J13749,'Informations sur les produits'!$A$3:$H$10000,8,FALSE),"0")</f>
        <v>0</v>
      </c>
      <c r="N13749" s="8"/>
      <c r="O13749" s="33" t="str">
        <f>IFERROR(VLOOKUP($M13749,'Informations sur les produits'!$A$3:$H$10000,8,FALSE),"0")</f>
        <v>0</v>
      </c>
      <c r="P13749" s="33">
        <f t="shared" si="856"/>
        <v>0</v>
      </c>
      <c r="Q13749" s="31" t="str">
        <f t="shared" si="857"/>
        <v/>
      </c>
      <c r="R13749" s="32" t="str">
        <f>IFERROR(VLOOKUP($D13749,'Informations sur les produits'!$A$3:$B$15000,2,FALSE),"")</f>
        <v/>
      </c>
      <c r="V13749">
        <f t="shared" si="858"/>
        <v>0</v>
      </c>
      <c r="W13749">
        <f t="shared" si="859"/>
        <v>0</v>
      </c>
    </row>
    <row r="13750" spans="5:23" x14ac:dyDescent="0.25">
      <c r="E13750" s="4"/>
      <c r="F13750" s="4"/>
      <c r="G13750" s="33" t="str">
        <f>IFERROR(VLOOKUP($D13750,'Informations sur les produits'!$A$3:$H$10000,8,FALSE),"0")</f>
        <v>0</v>
      </c>
      <c r="K13750" s="4"/>
      <c r="L13750" s="33" t="str">
        <f>IFERROR(VLOOKUP($J13750,'Informations sur les produits'!$A$3:$H$10000,8,FALSE),"0")</f>
        <v>0</v>
      </c>
      <c r="N13750" s="8"/>
      <c r="O13750" s="33" t="str">
        <f>IFERROR(VLOOKUP($M13750,'Informations sur les produits'!$A$3:$H$10000,8,FALSE),"0")</f>
        <v>0</v>
      </c>
      <c r="P13750" s="33">
        <f t="shared" si="856"/>
        <v>0</v>
      </c>
      <c r="Q13750" s="31" t="str">
        <f t="shared" si="857"/>
        <v/>
      </c>
      <c r="R13750" s="32" t="str">
        <f>IFERROR(VLOOKUP($D13750,'Informations sur les produits'!$A$3:$B$15000,2,FALSE),"")</f>
        <v/>
      </c>
      <c r="V13750">
        <f t="shared" si="858"/>
        <v>0</v>
      </c>
      <c r="W13750">
        <f t="shared" si="859"/>
        <v>0</v>
      </c>
    </row>
    <row r="13751" spans="5:23" x14ac:dyDescent="0.25">
      <c r="E13751" s="4"/>
      <c r="F13751" s="4"/>
      <c r="G13751" s="33" t="str">
        <f>IFERROR(VLOOKUP($D13751,'Informations sur les produits'!$A$3:$H$10000,8,FALSE),"0")</f>
        <v>0</v>
      </c>
      <c r="K13751" s="4"/>
      <c r="L13751" s="33" t="str">
        <f>IFERROR(VLOOKUP($J13751,'Informations sur les produits'!$A$3:$H$10000,8,FALSE),"0")</f>
        <v>0</v>
      </c>
      <c r="N13751" s="8"/>
      <c r="O13751" s="33" t="str">
        <f>IFERROR(VLOOKUP($M13751,'Informations sur les produits'!$A$3:$H$10000,8,FALSE),"0")</f>
        <v>0</v>
      </c>
      <c r="P13751" s="33">
        <f t="shared" si="856"/>
        <v>0</v>
      </c>
      <c r="Q13751" s="31" t="str">
        <f t="shared" si="857"/>
        <v/>
      </c>
      <c r="R13751" s="32" t="str">
        <f>IFERROR(VLOOKUP($D13751,'Informations sur les produits'!$A$3:$B$15000,2,FALSE),"")</f>
        <v/>
      </c>
      <c r="V13751">
        <f t="shared" si="858"/>
        <v>0</v>
      </c>
      <c r="W13751">
        <f t="shared" si="859"/>
        <v>0</v>
      </c>
    </row>
    <row r="13752" spans="5:23" x14ac:dyDescent="0.25">
      <c r="E13752" s="4"/>
      <c r="F13752" s="4"/>
      <c r="G13752" s="33" t="str">
        <f>IFERROR(VLOOKUP($D13752,'Informations sur les produits'!$A$3:$H$10000,8,FALSE),"0")</f>
        <v>0</v>
      </c>
      <c r="K13752" s="4"/>
      <c r="L13752" s="33" t="str">
        <f>IFERROR(VLOOKUP($J13752,'Informations sur les produits'!$A$3:$H$10000,8,FALSE),"0")</f>
        <v>0</v>
      </c>
      <c r="N13752" s="8"/>
      <c r="O13752" s="33" t="str">
        <f>IFERROR(VLOOKUP($M13752,'Informations sur les produits'!$A$3:$H$10000,8,FALSE),"0")</f>
        <v>0</v>
      </c>
      <c r="P13752" s="33">
        <f t="shared" si="856"/>
        <v>0</v>
      </c>
      <c r="Q13752" s="31" t="str">
        <f t="shared" si="857"/>
        <v/>
      </c>
      <c r="R13752" s="32" t="str">
        <f>IFERROR(VLOOKUP($D13752,'Informations sur les produits'!$A$3:$B$15000,2,FALSE),"")</f>
        <v/>
      </c>
      <c r="V13752">
        <f t="shared" si="858"/>
        <v>0</v>
      </c>
      <c r="W13752">
        <f t="shared" si="859"/>
        <v>0</v>
      </c>
    </row>
    <row r="13753" spans="5:23" x14ac:dyDescent="0.25">
      <c r="E13753" s="4"/>
      <c r="F13753" s="4"/>
      <c r="G13753" s="33" t="str">
        <f>IFERROR(VLOOKUP($D13753,'Informations sur les produits'!$A$3:$H$10000,8,FALSE),"0")</f>
        <v>0</v>
      </c>
      <c r="K13753" s="4"/>
      <c r="L13753" s="33" t="str">
        <f>IFERROR(VLOOKUP($J13753,'Informations sur les produits'!$A$3:$H$10000,8,FALSE),"0")</f>
        <v>0</v>
      </c>
      <c r="N13753" s="8"/>
      <c r="O13753" s="33" t="str">
        <f>IFERROR(VLOOKUP($M13753,'Informations sur les produits'!$A$3:$H$10000,8,FALSE),"0")</f>
        <v>0</v>
      </c>
      <c r="P13753" s="33">
        <f t="shared" si="856"/>
        <v>0</v>
      </c>
      <c r="Q13753" s="31" t="str">
        <f t="shared" si="857"/>
        <v/>
      </c>
      <c r="R13753" s="32" t="str">
        <f>IFERROR(VLOOKUP($D13753,'Informations sur les produits'!$A$3:$B$15000,2,FALSE),"")</f>
        <v/>
      </c>
      <c r="V13753">
        <f t="shared" si="858"/>
        <v>0</v>
      </c>
      <c r="W13753">
        <f t="shared" si="859"/>
        <v>0</v>
      </c>
    </row>
    <row r="13754" spans="5:23" x14ac:dyDescent="0.25">
      <c r="E13754" s="4"/>
      <c r="F13754" s="4"/>
      <c r="G13754" s="33" t="str">
        <f>IFERROR(VLOOKUP($D13754,'Informations sur les produits'!$A$3:$H$10000,8,FALSE),"0")</f>
        <v>0</v>
      </c>
      <c r="K13754" s="4"/>
      <c r="L13754" s="33" t="str">
        <f>IFERROR(VLOOKUP($J13754,'Informations sur les produits'!$A$3:$H$10000,8,FALSE),"0")</f>
        <v>0</v>
      </c>
      <c r="N13754" s="8"/>
      <c r="O13754" s="33" t="str">
        <f>IFERROR(VLOOKUP($M13754,'Informations sur les produits'!$A$3:$H$10000,8,FALSE),"0")</f>
        <v>0</v>
      </c>
      <c r="P13754" s="33">
        <f t="shared" si="856"/>
        <v>0</v>
      </c>
      <c r="Q13754" s="31" t="str">
        <f t="shared" si="857"/>
        <v/>
      </c>
      <c r="R13754" s="32" t="str">
        <f>IFERROR(VLOOKUP($D13754,'Informations sur les produits'!$A$3:$B$15000,2,FALSE),"")</f>
        <v/>
      </c>
      <c r="V13754">
        <f t="shared" si="858"/>
        <v>0</v>
      </c>
      <c r="W13754">
        <f t="shared" si="859"/>
        <v>0</v>
      </c>
    </row>
    <row r="13755" spans="5:23" x14ac:dyDescent="0.25">
      <c r="E13755" s="4"/>
      <c r="F13755" s="4"/>
      <c r="G13755" s="33" t="str">
        <f>IFERROR(VLOOKUP($D13755,'Informations sur les produits'!$A$3:$H$10000,8,FALSE),"0")</f>
        <v>0</v>
      </c>
      <c r="K13755" s="4"/>
      <c r="L13755" s="33" t="str">
        <f>IFERROR(VLOOKUP($J13755,'Informations sur les produits'!$A$3:$H$10000,8,FALSE),"0")</f>
        <v>0</v>
      </c>
      <c r="N13755" s="8"/>
      <c r="O13755" s="33" t="str">
        <f>IFERROR(VLOOKUP($M13755,'Informations sur les produits'!$A$3:$H$10000,8,FALSE),"0")</f>
        <v>0</v>
      </c>
      <c r="P13755" s="33">
        <f t="shared" si="856"/>
        <v>0</v>
      </c>
      <c r="Q13755" s="31" t="str">
        <f t="shared" si="857"/>
        <v/>
      </c>
      <c r="R13755" s="32" t="str">
        <f>IFERROR(VLOOKUP($D13755,'Informations sur les produits'!$A$3:$B$15000,2,FALSE),"")</f>
        <v/>
      </c>
      <c r="V13755">
        <f t="shared" si="858"/>
        <v>0</v>
      </c>
      <c r="W13755">
        <f t="shared" si="859"/>
        <v>0</v>
      </c>
    </row>
    <row r="13756" spans="5:23" x14ac:dyDescent="0.25">
      <c r="E13756" s="4"/>
      <c r="F13756" s="4"/>
      <c r="G13756" s="33" t="str">
        <f>IFERROR(VLOOKUP($D13756,'Informations sur les produits'!$A$3:$H$10000,8,FALSE),"0")</f>
        <v>0</v>
      </c>
      <c r="K13756" s="4"/>
      <c r="L13756" s="33" t="str">
        <f>IFERROR(VLOOKUP($J13756,'Informations sur les produits'!$A$3:$H$10000,8,FALSE),"0")</f>
        <v>0</v>
      </c>
      <c r="N13756" s="8"/>
      <c r="O13756" s="33" t="str">
        <f>IFERROR(VLOOKUP($M13756,'Informations sur les produits'!$A$3:$H$10000,8,FALSE),"0")</f>
        <v>0</v>
      </c>
      <c r="P13756" s="33">
        <f t="shared" si="856"/>
        <v>0</v>
      </c>
      <c r="Q13756" s="31" t="str">
        <f t="shared" si="857"/>
        <v/>
      </c>
      <c r="R13756" s="32" t="str">
        <f>IFERROR(VLOOKUP($D13756,'Informations sur les produits'!$A$3:$B$15000,2,FALSE),"")</f>
        <v/>
      </c>
      <c r="V13756">
        <f t="shared" si="858"/>
        <v>0</v>
      </c>
      <c r="W13756">
        <f t="shared" si="859"/>
        <v>0</v>
      </c>
    </row>
    <row r="13757" spans="5:23" x14ac:dyDescent="0.25">
      <c r="E13757" s="4"/>
      <c r="F13757" s="4"/>
      <c r="G13757" s="33" t="str">
        <f>IFERROR(VLOOKUP($D13757,'Informations sur les produits'!$A$3:$H$10000,8,FALSE),"0")</f>
        <v>0</v>
      </c>
      <c r="K13757" s="4"/>
      <c r="L13757" s="33" t="str">
        <f>IFERROR(VLOOKUP($J13757,'Informations sur les produits'!$A$3:$H$10000,8,FALSE),"0")</f>
        <v>0</v>
      </c>
      <c r="N13757" s="8"/>
      <c r="O13757" s="33" t="str">
        <f>IFERROR(VLOOKUP($M13757,'Informations sur les produits'!$A$3:$H$10000,8,FALSE),"0")</f>
        <v>0</v>
      </c>
      <c r="P13757" s="33">
        <f t="shared" si="856"/>
        <v>0</v>
      </c>
      <c r="Q13757" s="31" t="str">
        <f t="shared" si="857"/>
        <v/>
      </c>
      <c r="R13757" s="32" t="str">
        <f>IFERROR(VLOOKUP($D13757,'Informations sur les produits'!$A$3:$B$15000,2,FALSE),"")</f>
        <v/>
      </c>
      <c r="V13757">
        <f t="shared" si="858"/>
        <v>0</v>
      </c>
      <c r="W13757">
        <f t="shared" si="859"/>
        <v>0</v>
      </c>
    </row>
    <row r="13758" spans="5:23" x14ac:dyDescent="0.25">
      <c r="E13758" s="4"/>
      <c r="F13758" s="4"/>
      <c r="G13758" s="33" t="str">
        <f>IFERROR(VLOOKUP($D13758,'Informations sur les produits'!$A$3:$H$10000,8,FALSE),"0")</f>
        <v>0</v>
      </c>
      <c r="K13758" s="4"/>
      <c r="L13758" s="33" t="str">
        <f>IFERROR(VLOOKUP($J13758,'Informations sur les produits'!$A$3:$H$10000,8,FALSE),"0")</f>
        <v>0</v>
      </c>
      <c r="N13758" s="8"/>
      <c r="O13758" s="33" t="str">
        <f>IFERROR(VLOOKUP($M13758,'Informations sur les produits'!$A$3:$H$10000,8,FALSE),"0")</f>
        <v>0</v>
      </c>
      <c r="P13758" s="33">
        <f t="shared" si="856"/>
        <v>0</v>
      </c>
      <c r="Q13758" s="31" t="str">
        <f t="shared" si="857"/>
        <v/>
      </c>
      <c r="R13758" s="32" t="str">
        <f>IFERROR(VLOOKUP($D13758,'Informations sur les produits'!$A$3:$B$15000,2,FALSE),"")</f>
        <v/>
      </c>
      <c r="V13758">
        <f t="shared" si="858"/>
        <v>0</v>
      </c>
      <c r="W13758">
        <f t="shared" si="859"/>
        <v>0</v>
      </c>
    </row>
    <row r="13759" spans="5:23" x14ac:dyDescent="0.25">
      <c r="E13759" s="4"/>
      <c r="F13759" s="4"/>
      <c r="G13759" s="33" t="str">
        <f>IFERROR(VLOOKUP($D13759,'Informations sur les produits'!$A$3:$H$10000,8,FALSE),"0")</f>
        <v>0</v>
      </c>
      <c r="K13759" s="4"/>
      <c r="L13759" s="33" t="str">
        <f>IFERROR(VLOOKUP($J13759,'Informations sur les produits'!$A$3:$H$10000,8,FALSE),"0")</f>
        <v>0</v>
      </c>
      <c r="N13759" s="8"/>
      <c r="O13759" s="33" t="str">
        <f>IFERROR(VLOOKUP($M13759,'Informations sur les produits'!$A$3:$H$10000,8,FALSE),"0")</f>
        <v>0</v>
      </c>
      <c r="P13759" s="33">
        <f t="shared" si="856"/>
        <v>0</v>
      </c>
      <c r="Q13759" s="31" t="str">
        <f t="shared" si="857"/>
        <v/>
      </c>
      <c r="R13759" s="32" t="str">
        <f>IFERROR(VLOOKUP($D13759,'Informations sur les produits'!$A$3:$B$15000,2,FALSE),"")</f>
        <v/>
      </c>
      <c r="V13759">
        <f t="shared" si="858"/>
        <v>0</v>
      </c>
      <c r="W13759">
        <f t="shared" si="859"/>
        <v>0</v>
      </c>
    </row>
    <row r="13760" spans="5:23" x14ac:dyDescent="0.25">
      <c r="E13760" s="4"/>
      <c r="F13760" s="4"/>
      <c r="G13760" s="33" t="str">
        <f>IFERROR(VLOOKUP($D13760,'Informations sur les produits'!$A$3:$H$10000,8,FALSE),"0")</f>
        <v>0</v>
      </c>
      <c r="K13760" s="4"/>
      <c r="L13760" s="33" t="str">
        <f>IFERROR(VLOOKUP($J13760,'Informations sur les produits'!$A$3:$H$10000,8,FALSE),"0")</f>
        <v>0</v>
      </c>
      <c r="N13760" s="8"/>
      <c r="O13760" s="33" t="str">
        <f>IFERROR(VLOOKUP($M13760,'Informations sur les produits'!$A$3:$H$10000,8,FALSE),"0")</f>
        <v>0</v>
      </c>
      <c r="P13760" s="33">
        <f t="shared" si="856"/>
        <v>0</v>
      </c>
      <c r="Q13760" s="31" t="str">
        <f t="shared" si="857"/>
        <v/>
      </c>
      <c r="R13760" s="32" t="str">
        <f>IFERROR(VLOOKUP($D13760,'Informations sur les produits'!$A$3:$B$15000,2,FALSE),"")</f>
        <v/>
      </c>
      <c r="V13760">
        <f t="shared" si="858"/>
        <v>0</v>
      </c>
      <c r="W13760">
        <f t="shared" si="859"/>
        <v>0</v>
      </c>
    </row>
    <row r="13761" spans="5:23" x14ac:dyDescent="0.25">
      <c r="E13761" s="4"/>
      <c r="F13761" s="4"/>
      <c r="G13761" s="33" t="str">
        <f>IFERROR(VLOOKUP($D13761,'Informations sur les produits'!$A$3:$H$10000,8,FALSE),"0")</f>
        <v>0</v>
      </c>
      <c r="K13761" s="4"/>
      <c r="L13761" s="33" t="str">
        <f>IFERROR(VLOOKUP($J13761,'Informations sur les produits'!$A$3:$H$10000,8,FALSE),"0")</f>
        <v>0</v>
      </c>
      <c r="N13761" s="8"/>
      <c r="O13761" s="33" t="str">
        <f>IFERROR(VLOOKUP($M13761,'Informations sur les produits'!$A$3:$H$10000,8,FALSE),"0")</f>
        <v>0</v>
      </c>
      <c r="P13761" s="33">
        <f t="shared" si="856"/>
        <v>0</v>
      </c>
      <c r="Q13761" s="31" t="str">
        <f t="shared" si="857"/>
        <v/>
      </c>
      <c r="R13761" s="32" t="str">
        <f>IFERROR(VLOOKUP($D13761,'Informations sur les produits'!$A$3:$B$15000,2,FALSE),"")</f>
        <v/>
      </c>
      <c r="V13761">
        <f t="shared" si="858"/>
        <v>0</v>
      </c>
      <c r="W13761">
        <f t="shared" si="859"/>
        <v>0</v>
      </c>
    </row>
    <row r="13762" spans="5:23" x14ac:dyDescent="0.25">
      <c r="E13762" s="4"/>
      <c r="F13762" s="4"/>
      <c r="G13762" s="33" t="str">
        <f>IFERROR(VLOOKUP($D13762,'Informations sur les produits'!$A$3:$H$10000,8,FALSE),"0")</f>
        <v>0</v>
      </c>
      <c r="K13762" s="4"/>
      <c r="L13762" s="33" t="str">
        <f>IFERROR(VLOOKUP($J13762,'Informations sur les produits'!$A$3:$H$10000,8,FALSE),"0")</f>
        <v>0</v>
      </c>
      <c r="N13762" s="8"/>
      <c r="O13762" s="33" t="str">
        <f>IFERROR(VLOOKUP($M13762,'Informations sur les produits'!$A$3:$H$10000,8,FALSE),"0")</f>
        <v>0</v>
      </c>
      <c r="P13762" s="33">
        <f t="shared" si="856"/>
        <v>0</v>
      </c>
      <c r="Q13762" s="31" t="str">
        <f t="shared" si="857"/>
        <v/>
      </c>
      <c r="R13762" s="32" t="str">
        <f>IFERROR(VLOOKUP($D13762,'Informations sur les produits'!$A$3:$B$15000,2,FALSE),"")</f>
        <v/>
      </c>
      <c r="V13762">
        <f t="shared" si="858"/>
        <v>0</v>
      </c>
      <c r="W13762">
        <f t="shared" si="859"/>
        <v>0</v>
      </c>
    </row>
    <row r="13763" spans="5:23" x14ac:dyDescent="0.25">
      <c r="E13763" s="4"/>
      <c r="F13763" s="4"/>
      <c r="G13763" s="33" t="str">
        <f>IFERROR(VLOOKUP($D13763,'Informations sur les produits'!$A$3:$H$10000,8,FALSE),"0")</f>
        <v>0</v>
      </c>
      <c r="K13763" s="4"/>
      <c r="L13763" s="33" t="str">
        <f>IFERROR(VLOOKUP($J13763,'Informations sur les produits'!$A$3:$H$10000,8,FALSE),"0")</f>
        <v>0</v>
      </c>
      <c r="N13763" s="8"/>
      <c r="O13763" s="33" t="str">
        <f>IFERROR(VLOOKUP($M13763,'Informations sur les produits'!$A$3:$H$10000,8,FALSE),"0")</f>
        <v>0</v>
      </c>
      <c r="P13763" s="33">
        <f t="shared" si="856"/>
        <v>0</v>
      </c>
      <c r="Q13763" s="31" t="str">
        <f t="shared" si="857"/>
        <v/>
      </c>
      <c r="R13763" s="32" t="str">
        <f>IFERROR(VLOOKUP($D13763,'Informations sur les produits'!$A$3:$B$15000,2,FALSE),"")</f>
        <v/>
      </c>
      <c r="V13763">
        <f t="shared" si="858"/>
        <v>0</v>
      </c>
      <c r="W13763">
        <f t="shared" si="859"/>
        <v>0</v>
      </c>
    </row>
    <row r="13764" spans="5:23" x14ac:dyDescent="0.25">
      <c r="E13764" s="4"/>
      <c r="F13764" s="4"/>
      <c r="G13764" s="33" t="str">
        <f>IFERROR(VLOOKUP($D13764,'Informations sur les produits'!$A$3:$H$10000,8,FALSE),"0")</f>
        <v>0</v>
      </c>
      <c r="K13764" s="4"/>
      <c r="L13764" s="33" t="str">
        <f>IFERROR(VLOOKUP($J13764,'Informations sur les produits'!$A$3:$H$10000,8,FALSE),"0")</f>
        <v>0</v>
      </c>
      <c r="N13764" s="8"/>
      <c r="O13764" s="33" t="str">
        <f>IFERROR(VLOOKUP($M13764,'Informations sur les produits'!$A$3:$H$10000,8,FALSE),"0")</f>
        <v>0</v>
      </c>
      <c r="P13764" s="33">
        <f t="shared" ref="P13764:P13827" si="860">IFERROR((($E13764-$F13764)*$G13764+$K13764*$L13764+$N13764*$O13764),"")</f>
        <v>0</v>
      </c>
      <c r="Q13764" s="31" t="str">
        <f t="shared" ref="Q13764:Q13827" si="861">IFERROR((((($E13764-$F13764)*$G13764+$K13764*$L13764+$N13764*$O13764)*1000)/(($E13764-$F13764)+$K13764+$N13764)),"")</f>
        <v/>
      </c>
      <c r="R13764" s="32" t="str">
        <f>IFERROR(VLOOKUP($D13764,'Informations sur les produits'!$A$3:$B$15000,2,FALSE),"")</f>
        <v/>
      </c>
      <c r="V13764">
        <f t="shared" ref="V13764:V13827" si="862">IFERROR(P13764*1000,"")</f>
        <v>0</v>
      </c>
      <c r="W13764">
        <f t="shared" ref="W13764:W13827" si="863">IFERROR(($E13764-$F13764)+$K13764+$N13764,"")</f>
        <v>0</v>
      </c>
    </row>
    <row r="13765" spans="5:23" x14ac:dyDescent="0.25">
      <c r="E13765" s="4"/>
      <c r="F13765" s="4"/>
      <c r="G13765" s="33" t="str">
        <f>IFERROR(VLOOKUP($D13765,'Informations sur les produits'!$A$3:$H$10000,8,FALSE),"0")</f>
        <v>0</v>
      </c>
      <c r="K13765" s="4"/>
      <c r="L13765" s="33" t="str">
        <f>IFERROR(VLOOKUP($J13765,'Informations sur les produits'!$A$3:$H$10000,8,FALSE),"0")</f>
        <v>0</v>
      </c>
      <c r="N13765" s="8"/>
      <c r="O13765" s="33" t="str">
        <f>IFERROR(VLOOKUP($M13765,'Informations sur les produits'!$A$3:$H$10000,8,FALSE),"0")</f>
        <v>0</v>
      </c>
      <c r="P13765" s="33">
        <f t="shared" si="860"/>
        <v>0</v>
      </c>
      <c r="Q13765" s="31" t="str">
        <f t="shared" si="861"/>
        <v/>
      </c>
      <c r="R13765" s="32" t="str">
        <f>IFERROR(VLOOKUP($D13765,'Informations sur les produits'!$A$3:$B$15000,2,FALSE),"")</f>
        <v/>
      </c>
      <c r="V13765">
        <f t="shared" si="862"/>
        <v>0</v>
      </c>
      <c r="W13765">
        <f t="shared" si="863"/>
        <v>0</v>
      </c>
    </row>
    <row r="13766" spans="5:23" x14ac:dyDescent="0.25">
      <c r="E13766" s="4"/>
      <c r="F13766" s="4"/>
      <c r="G13766" s="33" t="str">
        <f>IFERROR(VLOOKUP($D13766,'Informations sur les produits'!$A$3:$H$10000,8,FALSE),"0")</f>
        <v>0</v>
      </c>
      <c r="K13766" s="4"/>
      <c r="L13766" s="33" t="str">
        <f>IFERROR(VLOOKUP($J13766,'Informations sur les produits'!$A$3:$H$10000,8,FALSE),"0")</f>
        <v>0</v>
      </c>
      <c r="N13766" s="8"/>
      <c r="O13766" s="33" t="str">
        <f>IFERROR(VLOOKUP($M13766,'Informations sur les produits'!$A$3:$H$10000,8,FALSE),"0")</f>
        <v>0</v>
      </c>
      <c r="P13766" s="33">
        <f t="shared" si="860"/>
        <v>0</v>
      </c>
      <c r="Q13766" s="31" t="str">
        <f t="shared" si="861"/>
        <v/>
      </c>
      <c r="R13766" s="32" t="str">
        <f>IFERROR(VLOOKUP($D13766,'Informations sur les produits'!$A$3:$B$15000,2,FALSE),"")</f>
        <v/>
      </c>
      <c r="V13766">
        <f t="shared" si="862"/>
        <v>0</v>
      </c>
      <c r="W13766">
        <f t="shared" si="863"/>
        <v>0</v>
      </c>
    </row>
    <row r="13767" spans="5:23" x14ac:dyDescent="0.25">
      <c r="E13767" s="4"/>
      <c r="F13767" s="4"/>
      <c r="G13767" s="33" t="str">
        <f>IFERROR(VLOOKUP($D13767,'Informations sur les produits'!$A$3:$H$10000,8,FALSE),"0")</f>
        <v>0</v>
      </c>
      <c r="K13767" s="4"/>
      <c r="L13767" s="33" t="str">
        <f>IFERROR(VLOOKUP($J13767,'Informations sur les produits'!$A$3:$H$10000,8,FALSE),"0")</f>
        <v>0</v>
      </c>
      <c r="N13767" s="8"/>
      <c r="O13767" s="33" t="str">
        <f>IFERROR(VLOOKUP($M13767,'Informations sur les produits'!$A$3:$H$10000,8,FALSE),"0")</f>
        <v>0</v>
      </c>
      <c r="P13767" s="33">
        <f t="shared" si="860"/>
        <v>0</v>
      </c>
      <c r="Q13767" s="31" t="str">
        <f t="shared" si="861"/>
        <v/>
      </c>
      <c r="R13767" s="32" t="str">
        <f>IFERROR(VLOOKUP($D13767,'Informations sur les produits'!$A$3:$B$15000,2,FALSE),"")</f>
        <v/>
      </c>
      <c r="V13767">
        <f t="shared" si="862"/>
        <v>0</v>
      </c>
      <c r="W13767">
        <f t="shared" si="863"/>
        <v>0</v>
      </c>
    </row>
    <row r="13768" spans="5:23" x14ac:dyDescent="0.25">
      <c r="E13768" s="4"/>
      <c r="F13768" s="4"/>
      <c r="G13768" s="33" t="str">
        <f>IFERROR(VLOOKUP($D13768,'Informations sur les produits'!$A$3:$H$10000,8,FALSE),"0")</f>
        <v>0</v>
      </c>
      <c r="K13768" s="4"/>
      <c r="L13768" s="33" t="str">
        <f>IFERROR(VLOOKUP($J13768,'Informations sur les produits'!$A$3:$H$10000,8,FALSE),"0")</f>
        <v>0</v>
      </c>
      <c r="N13768" s="8"/>
      <c r="O13768" s="33" t="str">
        <f>IFERROR(VLOOKUP($M13768,'Informations sur les produits'!$A$3:$H$10000,8,FALSE),"0")</f>
        <v>0</v>
      </c>
      <c r="P13768" s="33">
        <f t="shared" si="860"/>
        <v>0</v>
      </c>
      <c r="Q13768" s="31" t="str">
        <f t="shared" si="861"/>
        <v/>
      </c>
      <c r="R13768" s="32" t="str">
        <f>IFERROR(VLOOKUP($D13768,'Informations sur les produits'!$A$3:$B$15000,2,FALSE),"")</f>
        <v/>
      </c>
      <c r="V13768">
        <f t="shared" si="862"/>
        <v>0</v>
      </c>
      <c r="W13768">
        <f t="shared" si="863"/>
        <v>0</v>
      </c>
    </row>
    <row r="13769" spans="5:23" x14ac:dyDescent="0.25">
      <c r="E13769" s="4"/>
      <c r="F13769" s="4"/>
      <c r="G13769" s="33" t="str">
        <f>IFERROR(VLOOKUP($D13769,'Informations sur les produits'!$A$3:$H$10000,8,FALSE),"0")</f>
        <v>0</v>
      </c>
      <c r="K13769" s="4"/>
      <c r="L13769" s="33" t="str">
        <f>IFERROR(VLOOKUP($J13769,'Informations sur les produits'!$A$3:$H$10000,8,FALSE),"0")</f>
        <v>0</v>
      </c>
      <c r="N13769" s="8"/>
      <c r="O13769" s="33" t="str">
        <f>IFERROR(VLOOKUP($M13769,'Informations sur les produits'!$A$3:$H$10000,8,FALSE),"0")</f>
        <v>0</v>
      </c>
      <c r="P13769" s="33">
        <f t="shared" si="860"/>
        <v>0</v>
      </c>
      <c r="Q13769" s="31" t="str">
        <f t="shared" si="861"/>
        <v/>
      </c>
      <c r="R13769" s="32" t="str">
        <f>IFERROR(VLOOKUP($D13769,'Informations sur les produits'!$A$3:$B$15000,2,FALSE),"")</f>
        <v/>
      </c>
      <c r="V13769">
        <f t="shared" si="862"/>
        <v>0</v>
      </c>
      <c r="W13769">
        <f t="shared" si="863"/>
        <v>0</v>
      </c>
    </row>
    <row r="13770" spans="5:23" x14ac:dyDescent="0.25">
      <c r="E13770" s="4"/>
      <c r="F13770" s="4"/>
      <c r="G13770" s="33" t="str">
        <f>IFERROR(VLOOKUP($D13770,'Informations sur les produits'!$A$3:$H$10000,8,FALSE),"0")</f>
        <v>0</v>
      </c>
      <c r="K13770" s="4"/>
      <c r="L13770" s="33" t="str">
        <f>IFERROR(VLOOKUP($J13770,'Informations sur les produits'!$A$3:$H$10000,8,FALSE),"0")</f>
        <v>0</v>
      </c>
      <c r="N13770" s="8"/>
      <c r="O13770" s="33" t="str">
        <f>IFERROR(VLOOKUP($M13770,'Informations sur les produits'!$A$3:$H$10000,8,FALSE),"0")</f>
        <v>0</v>
      </c>
      <c r="P13770" s="33">
        <f t="shared" si="860"/>
        <v>0</v>
      </c>
      <c r="Q13770" s="31" t="str">
        <f t="shared" si="861"/>
        <v/>
      </c>
      <c r="R13770" s="32" t="str">
        <f>IFERROR(VLOOKUP($D13770,'Informations sur les produits'!$A$3:$B$15000,2,FALSE),"")</f>
        <v/>
      </c>
      <c r="V13770">
        <f t="shared" si="862"/>
        <v>0</v>
      </c>
      <c r="W13770">
        <f t="shared" si="863"/>
        <v>0</v>
      </c>
    </row>
    <row r="13771" spans="5:23" x14ac:dyDescent="0.25">
      <c r="E13771" s="4"/>
      <c r="F13771" s="4"/>
      <c r="G13771" s="33" t="str">
        <f>IFERROR(VLOOKUP($D13771,'Informations sur les produits'!$A$3:$H$10000,8,FALSE),"0")</f>
        <v>0</v>
      </c>
      <c r="K13771" s="4"/>
      <c r="L13771" s="33" t="str">
        <f>IFERROR(VLOOKUP($J13771,'Informations sur les produits'!$A$3:$H$10000,8,FALSE),"0")</f>
        <v>0</v>
      </c>
      <c r="N13771" s="8"/>
      <c r="O13771" s="33" t="str">
        <f>IFERROR(VLOOKUP($M13771,'Informations sur les produits'!$A$3:$H$10000,8,FALSE),"0")</f>
        <v>0</v>
      </c>
      <c r="P13771" s="33">
        <f t="shared" si="860"/>
        <v>0</v>
      </c>
      <c r="Q13771" s="31" t="str">
        <f t="shared" si="861"/>
        <v/>
      </c>
      <c r="R13771" s="32" t="str">
        <f>IFERROR(VLOOKUP($D13771,'Informations sur les produits'!$A$3:$B$15000,2,FALSE),"")</f>
        <v/>
      </c>
      <c r="V13771">
        <f t="shared" si="862"/>
        <v>0</v>
      </c>
      <c r="W13771">
        <f t="shared" si="863"/>
        <v>0</v>
      </c>
    </row>
    <row r="13772" spans="5:23" x14ac:dyDescent="0.25">
      <c r="E13772" s="4"/>
      <c r="F13772" s="4"/>
      <c r="G13772" s="33" t="str">
        <f>IFERROR(VLOOKUP($D13772,'Informations sur les produits'!$A$3:$H$10000,8,FALSE),"0")</f>
        <v>0</v>
      </c>
      <c r="K13772" s="4"/>
      <c r="L13772" s="33" t="str">
        <f>IFERROR(VLOOKUP($J13772,'Informations sur les produits'!$A$3:$H$10000,8,FALSE),"0")</f>
        <v>0</v>
      </c>
      <c r="N13772" s="8"/>
      <c r="O13772" s="33" t="str">
        <f>IFERROR(VLOOKUP($M13772,'Informations sur les produits'!$A$3:$H$10000,8,FALSE),"0")</f>
        <v>0</v>
      </c>
      <c r="P13772" s="33">
        <f t="shared" si="860"/>
        <v>0</v>
      </c>
      <c r="Q13772" s="31" t="str">
        <f t="shared" si="861"/>
        <v/>
      </c>
      <c r="R13772" s="32" t="str">
        <f>IFERROR(VLOOKUP($D13772,'Informations sur les produits'!$A$3:$B$15000,2,FALSE),"")</f>
        <v/>
      </c>
      <c r="V13772">
        <f t="shared" si="862"/>
        <v>0</v>
      </c>
      <c r="W13772">
        <f t="shared" si="863"/>
        <v>0</v>
      </c>
    </row>
    <row r="13773" spans="5:23" x14ac:dyDescent="0.25">
      <c r="E13773" s="4"/>
      <c r="F13773" s="4"/>
      <c r="G13773" s="33" t="str">
        <f>IFERROR(VLOOKUP($D13773,'Informations sur les produits'!$A$3:$H$10000,8,FALSE),"0")</f>
        <v>0</v>
      </c>
      <c r="K13773" s="4"/>
      <c r="L13773" s="33" t="str">
        <f>IFERROR(VLOOKUP($J13773,'Informations sur les produits'!$A$3:$H$10000,8,FALSE),"0")</f>
        <v>0</v>
      </c>
      <c r="N13773" s="8"/>
      <c r="O13773" s="33" t="str">
        <f>IFERROR(VLOOKUP($M13773,'Informations sur les produits'!$A$3:$H$10000,8,FALSE),"0")</f>
        <v>0</v>
      </c>
      <c r="P13773" s="33">
        <f t="shared" si="860"/>
        <v>0</v>
      </c>
      <c r="Q13773" s="31" t="str">
        <f t="shared" si="861"/>
        <v/>
      </c>
      <c r="R13773" s="32" t="str">
        <f>IFERROR(VLOOKUP($D13773,'Informations sur les produits'!$A$3:$B$15000,2,FALSE),"")</f>
        <v/>
      </c>
      <c r="V13773">
        <f t="shared" si="862"/>
        <v>0</v>
      </c>
      <c r="W13773">
        <f t="shared" si="863"/>
        <v>0</v>
      </c>
    </row>
    <row r="13774" spans="5:23" x14ac:dyDescent="0.25">
      <c r="E13774" s="4"/>
      <c r="F13774" s="4"/>
      <c r="G13774" s="33" t="str">
        <f>IFERROR(VLOOKUP($D13774,'Informations sur les produits'!$A$3:$H$10000,8,FALSE),"0")</f>
        <v>0</v>
      </c>
      <c r="K13774" s="4"/>
      <c r="L13774" s="33" t="str">
        <f>IFERROR(VLOOKUP($J13774,'Informations sur les produits'!$A$3:$H$10000,8,FALSE),"0")</f>
        <v>0</v>
      </c>
      <c r="N13774" s="8"/>
      <c r="O13774" s="33" t="str">
        <f>IFERROR(VLOOKUP($M13774,'Informations sur les produits'!$A$3:$H$10000,8,FALSE),"0")</f>
        <v>0</v>
      </c>
      <c r="P13774" s="33">
        <f t="shared" si="860"/>
        <v>0</v>
      </c>
      <c r="Q13774" s="31" t="str">
        <f t="shared" si="861"/>
        <v/>
      </c>
      <c r="R13774" s="32" t="str">
        <f>IFERROR(VLOOKUP($D13774,'Informations sur les produits'!$A$3:$B$15000,2,FALSE),"")</f>
        <v/>
      </c>
      <c r="V13774">
        <f t="shared" si="862"/>
        <v>0</v>
      </c>
      <c r="W13774">
        <f t="shared" si="863"/>
        <v>0</v>
      </c>
    </row>
    <row r="13775" spans="5:23" x14ac:dyDescent="0.25">
      <c r="E13775" s="4"/>
      <c r="F13775" s="4"/>
      <c r="G13775" s="33" t="str">
        <f>IFERROR(VLOOKUP($D13775,'Informations sur les produits'!$A$3:$H$10000,8,FALSE),"0")</f>
        <v>0</v>
      </c>
      <c r="K13775" s="4"/>
      <c r="L13775" s="33" t="str">
        <f>IFERROR(VLOOKUP($J13775,'Informations sur les produits'!$A$3:$H$10000,8,FALSE),"0")</f>
        <v>0</v>
      </c>
      <c r="N13775" s="8"/>
      <c r="O13775" s="33" t="str">
        <f>IFERROR(VLOOKUP($M13775,'Informations sur les produits'!$A$3:$H$10000,8,FALSE),"0")</f>
        <v>0</v>
      </c>
      <c r="P13775" s="33">
        <f t="shared" si="860"/>
        <v>0</v>
      </c>
      <c r="Q13775" s="31" t="str">
        <f t="shared" si="861"/>
        <v/>
      </c>
      <c r="R13775" s="32" t="str">
        <f>IFERROR(VLOOKUP($D13775,'Informations sur les produits'!$A$3:$B$15000,2,FALSE),"")</f>
        <v/>
      </c>
      <c r="V13775">
        <f t="shared" si="862"/>
        <v>0</v>
      </c>
      <c r="W13775">
        <f t="shared" si="863"/>
        <v>0</v>
      </c>
    </row>
    <row r="13776" spans="5:23" x14ac:dyDescent="0.25">
      <c r="E13776" s="4"/>
      <c r="F13776" s="4"/>
      <c r="G13776" s="33" t="str">
        <f>IFERROR(VLOOKUP($D13776,'Informations sur les produits'!$A$3:$H$10000,8,FALSE),"0")</f>
        <v>0</v>
      </c>
      <c r="K13776" s="4"/>
      <c r="L13776" s="33" t="str">
        <f>IFERROR(VLOOKUP($J13776,'Informations sur les produits'!$A$3:$H$10000,8,FALSE),"0")</f>
        <v>0</v>
      </c>
      <c r="N13776" s="8"/>
      <c r="O13776" s="33" t="str">
        <f>IFERROR(VLOOKUP($M13776,'Informations sur les produits'!$A$3:$H$10000,8,FALSE),"0")</f>
        <v>0</v>
      </c>
      <c r="P13776" s="33">
        <f t="shared" si="860"/>
        <v>0</v>
      </c>
      <c r="Q13776" s="31" t="str">
        <f t="shared" si="861"/>
        <v/>
      </c>
      <c r="R13776" s="32" t="str">
        <f>IFERROR(VLOOKUP($D13776,'Informations sur les produits'!$A$3:$B$15000,2,FALSE),"")</f>
        <v/>
      </c>
      <c r="V13776">
        <f t="shared" si="862"/>
        <v>0</v>
      </c>
      <c r="W13776">
        <f t="shared" si="863"/>
        <v>0</v>
      </c>
    </row>
    <row r="13777" spans="5:23" x14ac:dyDescent="0.25">
      <c r="E13777" s="4"/>
      <c r="F13777" s="4"/>
      <c r="G13777" s="33" t="str">
        <f>IFERROR(VLOOKUP($D13777,'Informations sur les produits'!$A$3:$H$10000,8,FALSE),"0")</f>
        <v>0</v>
      </c>
      <c r="K13777" s="4"/>
      <c r="L13777" s="33" t="str">
        <f>IFERROR(VLOOKUP($J13777,'Informations sur les produits'!$A$3:$H$10000,8,FALSE),"0")</f>
        <v>0</v>
      </c>
      <c r="N13777" s="8"/>
      <c r="O13777" s="33" t="str">
        <f>IFERROR(VLOOKUP($M13777,'Informations sur les produits'!$A$3:$H$10000,8,FALSE),"0")</f>
        <v>0</v>
      </c>
      <c r="P13777" s="33">
        <f t="shared" si="860"/>
        <v>0</v>
      </c>
      <c r="Q13777" s="31" t="str">
        <f t="shared" si="861"/>
        <v/>
      </c>
      <c r="R13777" s="32" t="str">
        <f>IFERROR(VLOOKUP($D13777,'Informations sur les produits'!$A$3:$B$15000,2,FALSE),"")</f>
        <v/>
      </c>
      <c r="V13777">
        <f t="shared" si="862"/>
        <v>0</v>
      </c>
      <c r="W13777">
        <f t="shared" si="863"/>
        <v>0</v>
      </c>
    </row>
    <row r="13778" spans="5:23" x14ac:dyDescent="0.25">
      <c r="E13778" s="4"/>
      <c r="F13778" s="4"/>
      <c r="G13778" s="33" t="str">
        <f>IFERROR(VLOOKUP($D13778,'Informations sur les produits'!$A$3:$H$10000,8,FALSE),"0")</f>
        <v>0</v>
      </c>
      <c r="K13778" s="4"/>
      <c r="L13778" s="33" t="str">
        <f>IFERROR(VLOOKUP($J13778,'Informations sur les produits'!$A$3:$H$10000,8,FALSE),"0")</f>
        <v>0</v>
      </c>
      <c r="N13778" s="8"/>
      <c r="O13778" s="33" t="str">
        <f>IFERROR(VLOOKUP($M13778,'Informations sur les produits'!$A$3:$H$10000,8,FALSE),"0")</f>
        <v>0</v>
      </c>
      <c r="P13778" s="33">
        <f t="shared" si="860"/>
        <v>0</v>
      </c>
      <c r="Q13778" s="31" t="str">
        <f t="shared" si="861"/>
        <v/>
      </c>
      <c r="R13778" s="32" t="str">
        <f>IFERROR(VLOOKUP($D13778,'Informations sur les produits'!$A$3:$B$15000,2,FALSE),"")</f>
        <v/>
      </c>
      <c r="V13778">
        <f t="shared" si="862"/>
        <v>0</v>
      </c>
      <c r="W13778">
        <f t="shared" si="863"/>
        <v>0</v>
      </c>
    </row>
    <row r="13779" spans="5:23" x14ac:dyDescent="0.25">
      <c r="E13779" s="4"/>
      <c r="F13779" s="4"/>
      <c r="G13779" s="33" t="str">
        <f>IFERROR(VLOOKUP($D13779,'Informations sur les produits'!$A$3:$H$10000,8,FALSE),"0")</f>
        <v>0</v>
      </c>
      <c r="K13779" s="4"/>
      <c r="L13779" s="33" t="str">
        <f>IFERROR(VLOOKUP($J13779,'Informations sur les produits'!$A$3:$H$10000,8,FALSE),"0")</f>
        <v>0</v>
      </c>
      <c r="N13779" s="8"/>
      <c r="O13779" s="33" t="str">
        <f>IFERROR(VLOOKUP($M13779,'Informations sur les produits'!$A$3:$H$10000,8,FALSE),"0")</f>
        <v>0</v>
      </c>
      <c r="P13779" s="33">
        <f t="shared" si="860"/>
        <v>0</v>
      </c>
      <c r="Q13779" s="31" t="str">
        <f t="shared" si="861"/>
        <v/>
      </c>
      <c r="R13779" s="32" t="str">
        <f>IFERROR(VLOOKUP($D13779,'Informations sur les produits'!$A$3:$B$15000,2,FALSE),"")</f>
        <v/>
      </c>
      <c r="V13779">
        <f t="shared" si="862"/>
        <v>0</v>
      </c>
      <c r="W13779">
        <f t="shared" si="863"/>
        <v>0</v>
      </c>
    </row>
    <row r="13780" spans="5:23" x14ac:dyDescent="0.25">
      <c r="E13780" s="4"/>
      <c r="F13780" s="4"/>
      <c r="G13780" s="33" t="str">
        <f>IFERROR(VLOOKUP($D13780,'Informations sur les produits'!$A$3:$H$10000,8,FALSE),"0")</f>
        <v>0</v>
      </c>
      <c r="K13780" s="4"/>
      <c r="L13780" s="33" t="str">
        <f>IFERROR(VLOOKUP($J13780,'Informations sur les produits'!$A$3:$H$10000,8,FALSE),"0")</f>
        <v>0</v>
      </c>
      <c r="N13780" s="8"/>
      <c r="O13780" s="33" t="str">
        <f>IFERROR(VLOOKUP($M13780,'Informations sur les produits'!$A$3:$H$10000,8,FALSE),"0")</f>
        <v>0</v>
      </c>
      <c r="P13780" s="33">
        <f t="shared" si="860"/>
        <v>0</v>
      </c>
      <c r="Q13780" s="31" t="str">
        <f t="shared" si="861"/>
        <v/>
      </c>
      <c r="R13780" s="32" t="str">
        <f>IFERROR(VLOOKUP($D13780,'Informations sur les produits'!$A$3:$B$15000,2,FALSE),"")</f>
        <v/>
      </c>
      <c r="V13780">
        <f t="shared" si="862"/>
        <v>0</v>
      </c>
      <c r="W13780">
        <f t="shared" si="863"/>
        <v>0</v>
      </c>
    </row>
    <row r="13781" spans="5:23" x14ac:dyDescent="0.25">
      <c r="E13781" s="4"/>
      <c r="F13781" s="4"/>
      <c r="G13781" s="33" t="str">
        <f>IFERROR(VLOOKUP($D13781,'Informations sur les produits'!$A$3:$H$10000,8,FALSE),"0")</f>
        <v>0</v>
      </c>
      <c r="K13781" s="4"/>
      <c r="L13781" s="33" t="str">
        <f>IFERROR(VLOOKUP($J13781,'Informations sur les produits'!$A$3:$H$10000,8,FALSE),"0")</f>
        <v>0</v>
      </c>
      <c r="N13781" s="8"/>
      <c r="O13781" s="33" t="str">
        <f>IFERROR(VLOOKUP($M13781,'Informations sur les produits'!$A$3:$H$10000,8,FALSE),"0")</f>
        <v>0</v>
      </c>
      <c r="P13781" s="33">
        <f t="shared" si="860"/>
        <v>0</v>
      </c>
      <c r="Q13781" s="31" t="str">
        <f t="shared" si="861"/>
        <v/>
      </c>
      <c r="R13781" s="32" t="str">
        <f>IFERROR(VLOOKUP($D13781,'Informations sur les produits'!$A$3:$B$15000,2,FALSE),"")</f>
        <v/>
      </c>
      <c r="V13781">
        <f t="shared" si="862"/>
        <v>0</v>
      </c>
      <c r="W13781">
        <f t="shared" si="863"/>
        <v>0</v>
      </c>
    </row>
    <row r="13782" spans="5:23" x14ac:dyDescent="0.25">
      <c r="E13782" s="4"/>
      <c r="F13782" s="4"/>
      <c r="G13782" s="33" t="str">
        <f>IFERROR(VLOOKUP($D13782,'Informations sur les produits'!$A$3:$H$10000,8,FALSE),"0")</f>
        <v>0</v>
      </c>
      <c r="K13782" s="4"/>
      <c r="L13782" s="33" t="str">
        <f>IFERROR(VLOOKUP($J13782,'Informations sur les produits'!$A$3:$H$10000,8,FALSE),"0")</f>
        <v>0</v>
      </c>
      <c r="N13782" s="8"/>
      <c r="O13782" s="33" t="str">
        <f>IFERROR(VLOOKUP($M13782,'Informations sur les produits'!$A$3:$H$10000,8,FALSE),"0")</f>
        <v>0</v>
      </c>
      <c r="P13782" s="33">
        <f t="shared" si="860"/>
        <v>0</v>
      </c>
      <c r="Q13782" s="31" t="str">
        <f t="shared" si="861"/>
        <v/>
      </c>
      <c r="R13782" s="32" t="str">
        <f>IFERROR(VLOOKUP($D13782,'Informations sur les produits'!$A$3:$B$15000,2,FALSE),"")</f>
        <v/>
      </c>
      <c r="V13782">
        <f t="shared" si="862"/>
        <v>0</v>
      </c>
      <c r="W13782">
        <f t="shared" si="863"/>
        <v>0</v>
      </c>
    </row>
    <row r="13783" spans="5:23" x14ac:dyDescent="0.25">
      <c r="E13783" s="4"/>
      <c r="F13783" s="4"/>
      <c r="G13783" s="33" t="str">
        <f>IFERROR(VLOOKUP($D13783,'Informations sur les produits'!$A$3:$H$10000,8,FALSE),"0")</f>
        <v>0</v>
      </c>
      <c r="K13783" s="4"/>
      <c r="L13783" s="33" t="str">
        <f>IFERROR(VLOOKUP($J13783,'Informations sur les produits'!$A$3:$H$10000,8,FALSE),"0")</f>
        <v>0</v>
      </c>
      <c r="N13783" s="8"/>
      <c r="O13783" s="33" t="str">
        <f>IFERROR(VLOOKUP($M13783,'Informations sur les produits'!$A$3:$H$10000,8,FALSE),"0")</f>
        <v>0</v>
      </c>
      <c r="P13783" s="33">
        <f t="shared" si="860"/>
        <v>0</v>
      </c>
      <c r="Q13783" s="31" t="str">
        <f t="shared" si="861"/>
        <v/>
      </c>
      <c r="R13783" s="32" t="str">
        <f>IFERROR(VLOOKUP($D13783,'Informations sur les produits'!$A$3:$B$15000,2,FALSE),"")</f>
        <v/>
      </c>
      <c r="V13783">
        <f t="shared" si="862"/>
        <v>0</v>
      </c>
      <c r="W13783">
        <f t="shared" si="863"/>
        <v>0</v>
      </c>
    </row>
    <row r="13784" spans="5:23" x14ac:dyDescent="0.25">
      <c r="E13784" s="4"/>
      <c r="F13784" s="4"/>
      <c r="G13784" s="33" t="str">
        <f>IFERROR(VLOOKUP($D13784,'Informations sur les produits'!$A$3:$H$10000,8,FALSE),"0")</f>
        <v>0</v>
      </c>
      <c r="K13784" s="4"/>
      <c r="L13784" s="33" t="str">
        <f>IFERROR(VLOOKUP($J13784,'Informations sur les produits'!$A$3:$H$10000,8,FALSE),"0")</f>
        <v>0</v>
      </c>
      <c r="N13784" s="8"/>
      <c r="O13784" s="33" t="str">
        <f>IFERROR(VLOOKUP($M13784,'Informations sur les produits'!$A$3:$H$10000,8,FALSE),"0")</f>
        <v>0</v>
      </c>
      <c r="P13784" s="33">
        <f t="shared" si="860"/>
        <v>0</v>
      </c>
      <c r="Q13784" s="31" t="str">
        <f t="shared" si="861"/>
        <v/>
      </c>
      <c r="R13784" s="32" t="str">
        <f>IFERROR(VLOOKUP($D13784,'Informations sur les produits'!$A$3:$B$15000,2,FALSE),"")</f>
        <v/>
      </c>
      <c r="V13784">
        <f t="shared" si="862"/>
        <v>0</v>
      </c>
      <c r="W13784">
        <f t="shared" si="863"/>
        <v>0</v>
      </c>
    </row>
    <row r="13785" spans="5:23" x14ac:dyDescent="0.25">
      <c r="E13785" s="4"/>
      <c r="F13785" s="4"/>
      <c r="G13785" s="33" t="str">
        <f>IFERROR(VLOOKUP($D13785,'Informations sur les produits'!$A$3:$H$10000,8,FALSE),"0")</f>
        <v>0</v>
      </c>
      <c r="K13785" s="4"/>
      <c r="L13785" s="33" t="str">
        <f>IFERROR(VLOOKUP($J13785,'Informations sur les produits'!$A$3:$H$10000,8,FALSE),"0")</f>
        <v>0</v>
      </c>
      <c r="N13785" s="8"/>
      <c r="O13785" s="33" t="str">
        <f>IFERROR(VLOOKUP($M13785,'Informations sur les produits'!$A$3:$H$10000,8,FALSE),"0")</f>
        <v>0</v>
      </c>
      <c r="P13785" s="33">
        <f t="shared" si="860"/>
        <v>0</v>
      </c>
      <c r="Q13785" s="31" t="str">
        <f t="shared" si="861"/>
        <v/>
      </c>
      <c r="R13785" s="32" t="str">
        <f>IFERROR(VLOOKUP($D13785,'Informations sur les produits'!$A$3:$B$15000,2,FALSE),"")</f>
        <v/>
      </c>
      <c r="V13785">
        <f t="shared" si="862"/>
        <v>0</v>
      </c>
      <c r="W13785">
        <f t="shared" si="863"/>
        <v>0</v>
      </c>
    </row>
    <row r="13786" spans="5:23" x14ac:dyDescent="0.25">
      <c r="E13786" s="4"/>
      <c r="F13786" s="4"/>
      <c r="G13786" s="33" t="str">
        <f>IFERROR(VLOOKUP($D13786,'Informations sur les produits'!$A$3:$H$10000,8,FALSE),"0")</f>
        <v>0</v>
      </c>
      <c r="K13786" s="4"/>
      <c r="L13786" s="33" t="str">
        <f>IFERROR(VLOOKUP($J13786,'Informations sur les produits'!$A$3:$H$10000,8,FALSE),"0")</f>
        <v>0</v>
      </c>
      <c r="N13786" s="8"/>
      <c r="O13786" s="33" t="str">
        <f>IFERROR(VLOOKUP($M13786,'Informations sur les produits'!$A$3:$H$10000,8,FALSE),"0")</f>
        <v>0</v>
      </c>
      <c r="P13786" s="33">
        <f t="shared" si="860"/>
        <v>0</v>
      </c>
      <c r="Q13786" s="31" t="str">
        <f t="shared" si="861"/>
        <v/>
      </c>
      <c r="R13786" s="32" t="str">
        <f>IFERROR(VLOOKUP($D13786,'Informations sur les produits'!$A$3:$B$15000,2,FALSE),"")</f>
        <v/>
      </c>
      <c r="V13786">
        <f t="shared" si="862"/>
        <v>0</v>
      </c>
      <c r="W13786">
        <f t="shared" si="863"/>
        <v>0</v>
      </c>
    </row>
    <row r="13787" spans="5:23" x14ac:dyDescent="0.25">
      <c r="E13787" s="4"/>
      <c r="F13787" s="4"/>
      <c r="G13787" s="33" t="str">
        <f>IFERROR(VLOOKUP($D13787,'Informations sur les produits'!$A$3:$H$10000,8,FALSE),"0")</f>
        <v>0</v>
      </c>
      <c r="K13787" s="4"/>
      <c r="L13787" s="33" t="str">
        <f>IFERROR(VLOOKUP($J13787,'Informations sur les produits'!$A$3:$H$10000,8,FALSE),"0")</f>
        <v>0</v>
      </c>
      <c r="N13787" s="8"/>
      <c r="O13787" s="33" t="str">
        <f>IFERROR(VLOOKUP($M13787,'Informations sur les produits'!$A$3:$H$10000,8,FALSE),"0")</f>
        <v>0</v>
      </c>
      <c r="P13787" s="33">
        <f t="shared" si="860"/>
        <v>0</v>
      </c>
      <c r="Q13787" s="31" t="str">
        <f t="shared" si="861"/>
        <v/>
      </c>
      <c r="R13787" s="32" t="str">
        <f>IFERROR(VLOOKUP($D13787,'Informations sur les produits'!$A$3:$B$15000,2,FALSE),"")</f>
        <v/>
      </c>
      <c r="V13787">
        <f t="shared" si="862"/>
        <v>0</v>
      </c>
      <c r="W13787">
        <f t="shared" si="863"/>
        <v>0</v>
      </c>
    </row>
    <row r="13788" spans="5:23" x14ac:dyDescent="0.25">
      <c r="E13788" s="4"/>
      <c r="F13788" s="4"/>
      <c r="G13788" s="33" t="str">
        <f>IFERROR(VLOOKUP($D13788,'Informations sur les produits'!$A$3:$H$10000,8,FALSE),"0")</f>
        <v>0</v>
      </c>
      <c r="K13788" s="4"/>
      <c r="L13788" s="33" t="str">
        <f>IFERROR(VLOOKUP($J13788,'Informations sur les produits'!$A$3:$H$10000,8,FALSE),"0")</f>
        <v>0</v>
      </c>
      <c r="N13788" s="8"/>
      <c r="O13788" s="33" t="str">
        <f>IFERROR(VLOOKUP($M13788,'Informations sur les produits'!$A$3:$H$10000,8,FALSE),"0")</f>
        <v>0</v>
      </c>
      <c r="P13788" s="33">
        <f t="shared" si="860"/>
        <v>0</v>
      </c>
      <c r="Q13788" s="31" t="str">
        <f t="shared" si="861"/>
        <v/>
      </c>
      <c r="R13788" s="32" t="str">
        <f>IFERROR(VLOOKUP($D13788,'Informations sur les produits'!$A$3:$B$15000,2,FALSE),"")</f>
        <v/>
      </c>
      <c r="V13788">
        <f t="shared" si="862"/>
        <v>0</v>
      </c>
      <c r="W13788">
        <f t="shared" si="863"/>
        <v>0</v>
      </c>
    </row>
    <row r="13789" spans="5:23" x14ac:dyDescent="0.25">
      <c r="E13789" s="4"/>
      <c r="F13789" s="4"/>
      <c r="G13789" s="33" t="str">
        <f>IFERROR(VLOOKUP($D13789,'Informations sur les produits'!$A$3:$H$10000,8,FALSE),"0")</f>
        <v>0</v>
      </c>
      <c r="K13789" s="4"/>
      <c r="L13789" s="33" t="str">
        <f>IFERROR(VLOOKUP($J13789,'Informations sur les produits'!$A$3:$H$10000,8,FALSE),"0")</f>
        <v>0</v>
      </c>
      <c r="N13789" s="8"/>
      <c r="O13789" s="33" t="str">
        <f>IFERROR(VLOOKUP($M13789,'Informations sur les produits'!$A$3:$H$10000,8,FALSE),"0")</f>
        <v>0</v>
      </c>
      <c r="P13789" s="33">
        <f t="shared" si="860"/>
        <v>0</v>
      </c>
      <c r="Q13789" s="31" t="str">
        <f t="shared" si="861"/>
        <v/>
      </c>
      <c r="R13789" s="32" t="str">
        <f>IFERROR(VLOOKUP($D13789,'Informations sur les produits'!$A$3:$B$15000,2,FALSE),"")</f>
        <v/>
      </c>
      <c r="V13789">
        <f t="shared" si="862"/>
        <v>0</v>
      </c>
      <c r="W13789">
        <f t="shared" si="863"/>
        <v>0</v>
      </c>
    </row>
    <row r="13790" spans="5:23" x14ac:dyDescent="0.25">
      <c r="E13790" s="4"/>
      <c r="F13790" s="4"/>
      <c r="G13790" s="33" t="str">
        <f>IFERROR(VLOOKUP($D13790,'Informations sur les produits'!$A$3:$H$10000,8,FALSE),"0")</f>
        <v>0</v>
      </c>
      <c r="K13790" s="4"/>
      <c r="L13790" s="33" t="str">
        <f>IFERROR(VLOOKUP($J13790,'Informations sur les produits'!$A$3:$H$10000,8,FALSE),"0")</f>
        <v>0</v>
      </c>
      <c r="N13790" s="8"/>
      <c r="O13790" s="33" t="str">
        <f>IFERROR(VLOOKUP($M13790,'Informations sur les produits'!$A$3:$H$10000,8,FALSE),"0")</f>
        <v>0</v>
      </c>
      <c r="P13790" s="33">
        <f t="shared" si="860"/>
        <v>0</v>
      </c>
      <c r="Q13790" s="31" t="str">
        <f t="shared" si="861"/>
        <v/>
      </c>
      <c r="R13790" s="32" t="str">
        <f>IFERROR(VLOOKUP($D13790,'Informations sur les produits'!$A$3:$B$15000,2,FALSE),"")</f>
        <v/>
      </c>
      <c r="V13790">
        <f t="shared" si="862"/>
        <v>0</v>
      </c>
      <c r="W13790">
        <f t="shared" si="863"/>
        <v>0</v>
      </c>
    </row>
    <row r="13791" spans="5:23" x14ac:dyDescent="0.25">
      <c r="E13791" s="4"/>
      <c r="F13791" s="4"/>
      <c r="G13791" s="33" t="str">
        <f>IFERROR(VLOOKUP($D13791,'Informations sur les produits'!$A$3:$H$10000,8,FALSE),"0")</f>
        <v>0</v>
      </c>
      <c r="K13791" s="4"/>
      <c r="L13791" s="33" t="str">
        <f>IFERROR(VLOOKUP($J13791,'Informations sur les produits'!$A$3:$H$10000,8,FALSE),"0")</f>
        <v>0</v>
      </c>
      <c r="N13791" s="8"/>
      <c r="O13791" s="33" t="str">
        <f>IFERROR(VLOOKUP($M13791,'Informations sur les produits'!$A$3:$H$10000,8,FALSE),"0")</f>
        <v>0</v>
      </c>
      <c r="P13791" s="33">
        <f t="shared" si="860"/>
        <v>0</v>
      </c>
      <c r="Q13791" s="31" t="str">
        <f t="shared" si="861"/>
        <v/>
      </c>
      <c r="R13791" s="32" t="str">
        <f>IFERROR(VLOOKUP($D13791,'Informations sur les produits'!$A$3:$B$15000,2,FALSE),"")</f>
        <v/>
      </c>
      <c r="V13791">
        <f t="shared" si="862"/>
        <v>0</v>
      </c>
      <c r="W13791">
        <f t="shared" si="863"/>
        <v>0</v>
      </c>
    </row>
    <row r="13792" spans="5:23" x14ac:dyDescent="0.25">
      <c r="E13792" s="4"/>
      <c r="F13792" s="4"/>
      <c r="G13792" s="33" t="str">
        <f>IFERROR(VLOOKUP($D13792,'Informations sur les produits'!$A$3:$H$10000,8,FALSE),"0")</f>
        <v>0</v>
      </c>
      <c r="K13792" s="4"/>
      <c r="L13792" s="33" t="str">
        <f>IFERROR(VLOOKUP($J13792,'Informations sur les produits'!$A$3:$H$10000,8,FALSE),"0")</f>
        <v>0</v>
      </c>
      <c r="N13792" s="8"/>
      <c r="O13792" s="33" t="str">
        <f>IFERROR(VLOOKUP($M13792,'Informations sur les produits'!$A$3:$H$10000,8,FALSE),"0")</f>
        <v>0</v>
      </c>
      <c r="P13792" s="33">
        <f t="shared" si="860"/>
        <v>0</v>
      </c>
      <c r="Q13792" s="31" t="str">
        <f t="shared" si="861"/>
        <v/>
      </c>
      <c r="R13792" s="32" t="str">
        <f>IFERROR(VLOOKUP($D13792,'Informations sur les produits'!$A$3:$B$15000,2,FALSE),"")</f>
        <v/>
      </c>
      <c r="V13792">
        <f t="shared" si="862"/>
        <v>0</v>
      </c>
      <c r="W13792">
        <f t="shared" si="863"/>
        <v>0</v>
      </c>
    </row>
    <row r="13793" spans="5:23" x14ac:dyDescent="0.25">
      <c r="E13793" s="4"/>
      <c r="F13793" s="4"/>
      <c r="G13793" s="33" t="str">
        <f>IFERROR(VLOOKUP($D13793,'Informations sur les produits'!$A$3:$H$10000,8,FALSE),"0")</f>
        <v>0</v>
      </c>
      <c r="K13793" s="4"/>
      <c r="L13793" s="33" t="str">
        <f>IFERROR(VLOOKUP($J13793,'Informations sur les produits'!$A$3:$H$10000,8,FALSE),"0")</f>
        <v>0</v>
      </c>
      <c r="N13793" s="8"/>
      <c r="O13793" s="33" t="str">
        <f>IFERROR(VLOOKUP($M13793,'Informations sur les produits'!$A$3:$H$10000,8,FALSE),"0")</f>
        <v>0</v>
      </c>
      <c r="P13793" s="33">
        <f t="shared" si="860"/>
        <v>0</v>
      </c>
      <c r="Q13793" s="31" t="str">
        <f t="shared" si="861"/>
        <v/>
      </c>
      <c r="R13793" s="32" t="str">
        <f>IFERROR(VLOOKUP($D13793,'Informations sur les produits'!$A$3:$B$15000,2,FALSE),"")</f>
        <v/>
      </c>
      <c r="V13793">
        <f t="shared" si="862"/>
        <v>0</v>
      </c>
      <c r="W13793">
        <f t="shared" si="863"/>
        <v>0</v>
      </c>
    </row>
    <row r="13794" spans="5:23" x14ac:dyDescent="0.25">
      <c r="E13794" s="4"/>
      <c r="F13794" s="4"/>
      <c r="G13794" s="33" t="str">
        <f>IFERROR(VLOOKUP($D13794,'Informations sur les produits'!$A$3:$H$10000,8,FALSE),"0")</f>
        <v>0</v>
      </c>
      <c r="K13794" s="4"/>
      <c r="L13794" s="33" t="str">
        <f>IFERROR(VLOOKUP($J13794,'Informations sur les produits'!$A$3:$H$10000,8,FALSE),"0")</f>
        <v>0</v>
      </c>
      <c r="N13794" s="8"/>
      <c r="O13794" s="33" t="str">
        <f>IFERROR(VLOOKUP($M13794,'Informations sur les produits'!$A$3:$H$10000,8,FALSE),"0")</f>
        <v>0</v>
      </c>
      <c r="P13794" s="33">
        <f t="shared" si="860"/>
        <v>0</v>
      </c>
      <c r="Q13794" s="31" t="str">
        <f t="shared" si="861"/>
        <v/>
      </c>
      <c r="R13794" s="32" t="str">
        <f>IFERROR(VLOOKUP($D13794,'Informations sur les produits'!$A$3:$B$15000,2,FALSE),"")</f>
        <v/>
      </c>
      <c r="V13794">
        <f t="shared" si="862"/>
        <v>0</v>
      </c>
      <c r="W13794">
        <f t="shared" si="863"/>
        <v>0</v>
      </c>
    </row>
    <row r="13795" spans="5:23" x14ac:dyDescent="0.25">
      <c r="E13795" s="4"/>
      <c r="F13795" s="4"/>
      <c r="G13795" s="33" t="str">
        <f>IFERROR(VLOOKUP($D13795,'Informations sur les produits'!$A$3:$H$10000,8,FALSE),"0")</f>
        <v>0</v>
      </c>
      <c r="K13795" s="4"/>
      <c r="L13795" s="33" t="str">
        <f>IFERROR(VLOOKUP($J13795,'Informations sur les produits'!$A$3:$H$10000,8,FALSE),"0")</f>
        <v>0</v>
      </c>
      <c r="N13795" s="8"/>
      <c r="O13795" s="33" t="str">
        <f>IFERROR(VLOOKUP($M13795,'Informations sur les produits'!$A$3:$H$10000,8,FALSE),"0")</f>
        <v>0</v>
      </c>
      <c r="P13795" s="33">
        <f t="shared" si="860"/>
        <v>0</v>
      </c>
      <c r="Q13795" s="31" t="str">
        <f t="shared" si="861"/>
        <v/>
      </c>
      <c r="R13795" s="32" t="str">
        <f>IFERROR(VLOOKUP($D13795,'Informations sur les produits'!$A$3:$B$15000,2,FALSE),"")</f>
        <v/>
      </c>
      <c r="V13795">
        <f t="shared" si="862"/>
        <v>0</v>
      </c>
      <c r="W13795">
        <f t="shared" si="863"/>
        <v>0</v>
      </c>
    </row>
    <row r="13796" spans="5:23" x14ac:dyDescent="0.25">
      <c r="E13796" s="4"/>
      <c r="F13796" s="4"/>
      <c r="G13796" s="33" t="str">
        <f>IFERROR(VLOOKUP($D13796,'Informations sur les produits'!$A$3:$H$10000,8,FALSE),"0")</f>
        <v>0</v>
      </c>
      <c r="K13796" s="4"/>
      <c r="L13796" s="33" t="str">
        <f>IFERROR(VLOOKUP($J13796,'Informations sur les produits'!$A$3:$H$10000,8,FALSE),"0")</f>
        <v>0</v>
      </c>
      <c r="N13796" s="8"/>
      <c r="O13796" s="33" t="str">
        <f>IFERROR(VLOOKUP($M13796,'Informations sur les produits'!$A$3:$H$10000,8,FALSE),"0")</f>
        <v>0</v>
      </c>
      <c r="P13796" s="33">
        <f t="shared" si="860"/>
        <v>0</v>
      </c>
      <c r="Q13796" s="31" t="str">
        <f t="shared" si="861"/>
        <v/>
      </c>
      <c r="R13796" s="32" t="str">
        <f>IFERROR(VLOOKUP($D13796,'Informations sur les produits'!$A$3:$B$15000,2,FALSE),"")</f>
        <v/>
      </c>
      <c r="V13796">
        <f t="shared" si="862"/>
        <v>0</v>
      </c>
      <c r="W13796">
        <f t="shared" si="863"/>
        <v>0</v>
      </c>
    </row>
    <row r="13797" spans="5:23" x14ac:dyDescent="0.25">
      <c r="E13797" s="4"/>
      <c r="F13797" s="4"/>
      <c r="G13797" s="33" t="str">
        <f>IFERROR(VLOOKUP($D13797,'Informations sur les produits'!$A$3:$H$10000,8,FALSE),"0")</f>
        <v>0</v>
      </c>
      <c r="K13797" s="4"/>
      <c r="L13797" s="33" t="str">
        <f>IFERROR(VLOOKUP($J13797,'Informations sur les produits'!$A$3:$H$10000,8,FALSE),"0")</f>
        <v>0</v>
      </c>
      <c r="N13797" s="8"/>
      <c r="O13797" s="33" t="str">
        <f>IFERROR(VLOOKUP($M13797,'Informations sur les produits'!$A$3:$H$10000,8,FALSE),"0")</f>
        <v>0</v>
      </c>
      <c r="P13797" s="33">
        <f t="shared" si="860"/>
        <v>0</v>
      </c>
      <c r="Q13797" s="31" t="str">
        <f t="shared" si="861"/>
        <v/>
      </c>
      <c r="R13797" s="32" t="str">
        <f>IFERROR(VLOOKUP($D13797,'Informations sur les produits'!$A$3:$B$15000,2,FALSE),"")</f>
        <v/>
      </c>
      <c r="V13797">
        <f t="shared" si="862"/>
        <v>0</v>
      </c>
      <c r="W13797">
        <f t="shared" si="863"/>
        <v>0</v>
      </c>
    </row>
    <row r="13798" spans="5:23" x14ac:dyDescent="0.25">
      <c r="E13798" s="4"/>
      <c r="F13798" s="4"/>
      <c r="G13798" s="33" t="str">
        <f>IFERROR(VLOOKUP($D13798,'Informations sur les produits'!$A$3:$H$10000,8,FALSE),"0")</f>
        <v>0</v>
      </c>
      <c r="K13798" s="4"/>
      <c r="L13798" s="33" t="str">
        <f>IFERROR(VLOOKUP($J13798,'Informations sur les produits'!$A$3:$H$10000,8,FALSE),"0")</f>
        <v>0</v>
      </c>
      <c r="N13798" s="8"/>
      <c r="O13798" s="33" t="str">
        <f>IFERROR(VLOOKUP($M13798,'Informations sur les produits'!$A$3:$H$10000,8,FALSE),"0")</f>
        <v>0</v>
      </c>
      <c r="P13798" s="33">
        <f t="shared" si="860"/>
        <v>0</v>
      </c>
      <c r="Q13798" s="31" t="str">
        <f t="shared" si="861"/>
        <v/>
      </c>
      <c r="R13798" s="32" t="str">
        <f>IFERROR(VLOOKUP($D13798,'Informations sur les produits'!$A$3:$B$15000,2,FALSE),"")</f>
        <v/>
      </c>
      <c r="V13798">
        <f t="shared" si="862"/>
        <v>0</v>
      </c>
      <c r="W13798">
        <f t="shared" si="863"/>
        <v>0</v>
      </c>
    </row>
    <row r="13799" spans="5:23" x14ac:dyDescent="0.25">
      <c r="E13799" s="4"/>
      <c r="F13799" s="4"/>
      <c r="G13799" s="33" t="str">
        <f>IFERROR(VLOOKUP($D13799,'Informations sur les produits'!$A$3:$H$10000,8,FALSE),"0")</f>
        <v>0</v>
      </c>
      <c r="K13799" s="4"/>
      <c r="L13799" s="33" t="str">
        <f>IFERROR(VLOOKUP($J13799,'Informations sur les produits'!$A$3:$H$10000,8,FALSE),"0")</f>
        <v>0</v>
      </c>
      <c r="N13799" s="8"/>
      <c r="O13799" s="33" t="str">
        <f>IFERROR(VLOOKUP($M13799,'Informations sur les produits'!$A$3:$H$10000,8,FALSE),"0")</f>
        <v>0</v>
      </c>
      <c r="P13799" s="33">
        <f t="shared" si="860"/>
        <v>0</v>
      </c>
      <c r="Q13799" s="31" t="str">
        <f t="shared" si="861"/>
        <v/>
      </c>
      <c r="R13799" s="32" t="str">
        <f>IFERROR(VLOOKUP($D13799,'Informations sur les produits'!$A$3:$B$15000,2,FALSE),"")</f>
        <v/>
      </c>
      <c r="V13799">
        <f t="shared" si="862"/>
        <v>0</v>
      </c>
      <c r="W13799">
        <f t="shared" si="863"/>
        <v>0</v>
      </c>
    </row>
    <row r="13800" spans="5:23" x14ac:dyDescent="0.25">
      <c r="E13800" s="4"/>
      <c r="F13800" s="4"/>
      <c r="G13800" s="33" t="str">
        <f>IFERROR(VLOOKUP($D13800,'Informations sur les produits'!$A$3:$H$10000,8,FALSE),"0")</f>
        <v>0</v>
      </c>
      <c r="K13800" s="4"/>
      <c r="L13800" s="33" t="str">
        <f>IFERROR(VLOOKUP($J13800,'Informations sur les produits'!$A$3:$H$10000,8,FALSE),"0")</f>
        <v>0</v>
      </c>
      <c r="N13800" s="8"/>
      <c r="O13800" s="33" t="str">
        <f>IFERROR(VLOOKUP($M13800,'Informations sur les produits'!$A$3:$H$10000,8,FALSE),"0")</f>
        <v>0</v>
      </c>
      <c r="P13800" s="33">
        <f t="shared" si="860"/>
        <v>0</v>
      </c>
      <c r="Q13800" s="31" t="str">
        <f t="shared" si="861"/>
        <v/>
      </c>
      <c r="R13800" s="32" t="str">
        <f>IFERROR(VLOOKUP($D13800,'Informations sur les produits'!$A$3:$B$15000,2,FALSE),"")</f>
        <v/>
      </c>
      <c r="V13800">
        <f t="shared" si="862"/>
        <v>0</v>
      </c>
      <c r="W13800">
        <f t="shared" si="863"/>
        <v>0</v>
      </c>
    </row>
    <row r="13801" spans="5:23" x14ac:dyDescent="0.25">
      <c r="E13801" s="4"/>
      <c r="F13801" s="4"/>
      <c r="G13801" s="33" t="str">
        <f>IFERROR(VLOOKUP($D13801,'Informations sur les produits'!$A$3:$H$10000,8,FALSE),"0")</f>
        <v>0</v>
      </c>
      <c r="K13801" s="4"/>
      <c r="L13801" s="33" t="str">
        <f>IFERROR(VLOOKUP($J13801,'Informations sur les produits'!$A$3:$H$10000,8,FALSE),"0")</f>
        <v>0</v>
      </c>
      <c r="N13801" s="8"/>
      <c r="O13801" s="33" t="str">
        <f>IFERROR(VLOOKUP($M13801,'Informations sur les produits'!$A$3:$H$10000,8,FALSE),"0")</f>
        <v>0</v>
      </c>
      <c r="P13801" s="33">
        <f t="shared" si="860"/>
        <v>0</v>
      </c>
      <c r="Q13801" s="31" t="str">
        <f t="shared" si="861"/>
        <v/>
      </c>
      <c r="R13801" s="32" t="str">
        <f>IFERROR(VLOOKUP($D13801,'Informations sur les produits'!$A$3:$B$15000,2,FALSE),"")</f>
        <v/>
      </c>
      <c r="V13801">
        <f t="shared" si="862"/>
        <v>0</v>
      </c>
      <c r="W13801">
        <f t="shared" si="863"/>
        <v>0</v>
      </c>
    </row>
    <row r="13802" spans="5:23" x14ac:dyDescent="0.25">
      <c r="E13802" s="4"/>
      <c r="F13802" s="4"/>
      <c r="G13802" s="33" t="str">
        <f>IFERROR(VLOOKUP($D13802,'Informations sur les produits'!$A$3:$H$10000,8,FALSE),"0")</f>
        <v>0</v>
      </c>
      <c r="K13802" s="4"/>
      <c r="L13802" s="33" t="str">
        <f>IFERROR(VLOOKUP($J13802,'Informations sur les produits'!$A$3:$H$10000,8,FALSE),"0")</f>
        <v>0</v>
      </c>
      <c r="N13802" s="8"/>
      <c r="O13802" s="33" t="str">
        <f>IFERROR(VLOOKUP($M13802,'Informations sur les produits'!$A$3:$H$10000,8,FALSE),"0")</f>
        <v>0</v>
      </c>
      <c r="P13802" s="33">
        <f t="shared" si="860"/>
        <v>0</v>
      </c>
      <c r="Q13802" s="31" t="str">
        <f t="shared" si="861"/>
        <v/>
      </c>
      <c r="R13802" s="32" t="str">
        <f>IFERROR(VLOOKUP($D13802,'Informations sur les produits'!$A$3:$B$15000,2,FALSE),"")</f>
        <v/>
      </c>
      <c r="V13802">
        <f t="shared" si="862"/>
        <v>0</v>
      </c>
      <c r="W13802">
        <f t="shared" si="863"/>
        <v>0</v>
      </c>
    </row>
    <row r="13803" spans="5:23" x14ac:dyDescent="0.25">
      <c r="E13803" s="4"/>
      <c r="F13803" s="4"/>
      <c r="G13803" s="33" t="str">
        <f>IFERROR(VLOOKUP($D13803,'Informations sur les produits'!$A$3:$H$10000,8,FALSE),"0")</f>
        <v>0</v>
      </c>
      <c r="K13803" s="4"/>
      <c r="L13803" s="33" t="str">
        <f>IFERROR(VLOOKUP($J13803,'Informations sur les produits'!$A$3:$H$10000,8,FALSE),"0")</f>
        <v>0</v>
      </c>
      <c r="N13803" s="8"/>
      <c r="O13803" s="33" t="str">
        <f>IFERROR(VLOOKUP($M13803,'Informations sur les produits'!$A$3:$H$10000,8,FALSE),"0")</f>
        <v>0</v>
      </c>
      <c r="P13803" s="33">
        <f t="shared" si="860"/>
        <v>0</v>
      </c>
      <c r="Q13803" s="31" t="str">
        <f t="shared" si="861"/>
        <v/>
      </c>
      <c r="R13803" s="32" t="str">
        <f>IFERROR(VLOOKUP($D13803,'Informations sur les produits'!$A$3:$B$15000,2,FALSE),"")</f>
        <v/>
      </c>
      <c r="V13803">
        <f t="shared" si="862"/>
        <v>0</v>
      </c>
      <c r="W13803">
        <f t="shared" si="863"/>
        <v>0</v>
      </c>
    </row>
    <row r="13804" spans="5:23" x14ac:dyDescent="0.25">
      <c r="E13804" s="4"/>
      <c r="F13804" s="4"/>
      <c r="G13804" s="33" t="str">
        <f>IFERROR(VLOOKUP($D13804,'Informations sur les produits'!$A$3:$H$10000,8,FALSE),"0")</f>
        <v>0</v>
      </c>
      <c r="K13804" s="4"/>
      <c r="L13804" s="33" t="str">
        <f>IFERROR(VLOOKUP($J13804,'Informations sur les produits'!$A$3:$H$10000,8,FALSE),"0")</f>
        <v>0</v>
      </c>
      <c r="N13804" s="8"/>
      <c r="O13804" s="33" t="str">
        <f>IFERROR(VLOOKUP($M13804,'Informations sur les produits'!$A$3:$H$10000,8,FALSE),"0")</f>
        <v>0</v>
      </c>
      <c r="P13804" s="33">
        <f t="shared" si="860"/>
        <v>0</v>
      </c>
      <c r="Q13804" s="31" t="str">
        <f t="shared" si="861"/>
        <v/>
      </c>
      <c r="R13804" s="32" t="str">
        <f>IFERROR(VLOOKUP($D13804,'Informations sur les produits'!$A$3:$B$15000,2,FALSE),"")</f>
        <v/>
      </c>
      <c r="V13804">
        <f t="shared" si="862"/>
        <v>0</v>
      </c>
      <c r="W13804">
        <f t="shared" si="863"/>
        <v>0</v>
      </c>
    </row>
    <row r="13805" spans="5:23" x14ac:dyDescent="0.25">
      <c r="E13805" s="4"/>
      <c r="F13805" s="4"/>
      <c r="G13805" s="33" t="str">
        <f>IFERROR(VLOOKUP($D13805,'Informations sur les produits'!$A$3:$H$10000,8,FALSE),"0")</f>
        <v>0</v>
      </c>
      <c r="K13805" s="4"/>
      <c r="L13805" s="33" t="str">
        <f>IFERROR(VLOOKUP($J13805,'Informations sur les produits'!$A$3:$H$10000,8,FALSE),"0")</f>
        <v>0</v>
      </c>
      <c r="N13805" s="8"/>
      <c r="O13805" s="33" t="str">
        <f>IFERROR(VLOOKUP($M13805,'Informations sur les produits'!$A$3:$H$10000,8,FALSE),"0")</f>
        <v>0</v>
      </c>
      <c r="P13805" s="33">
        <f t="shared" si="860"/>
        <v>0</v>
      </c>
      <c r="Q13805" s="31" t="str">
        <f t="shared" si="861"/>
        <v/>
      </c>
      <c r="R13805" s="32" t="str">
        <f>IFERROR(VLOOKUP($D13805,'Informations sur les produits'!$A$3:$B$15000,2,FALSE),"")</f>
        <v/>
      </c>
      <c r="V13805">
        <f t="shared" si="862"/>
        <v>0</v>
      </c>
      <c r="W13805">
        <f t="shared" si="863"/>
        <v>0</v>
      </c>
    </row>
    <row r="13806" spans="5:23" x14ac:dyDescent="0.25">
      <c r="E13806" s="4"/>
      <c r="F13806" s="4"/>
      <c r="G13806" s="33" t="str">
        <f>IFERROR(VLOOKUP($D13806,'Informations sur les produits'!$A$3:$H$10000,8,FALSE),"0")</f>
        <v>0</v>
      </c>
      <c r="K13806" s="4"/>
      <c r="L13806" s="33" t="str">
        <f>IFERROR(VLOOKUP($J13806,'Informations sur les produits'!$A$3:$H$10000,8,FALSE),"0")</f>
        <v>0</v>
      </c>
      <c r="N13806" s="8"/>
      <c r="O13806" s="33" t="str">
        <f>IFERROR(VLOOKUP($M13806,'Informations sur les produits'!$A$3:$H$10000,8,FALSE),"0")</f>
        <v>0</v>
      </c>
      <c r="P13806" s="33">
        <f t="shared" si="860"/>
        <v>0</v>
      </c>
      <c r="Q13806" s="31" t="str">
        <f t="shared" si="861"/>
        <v/>
      </c>
      <c r="R13806" s="32" t="str">
        <f>IFERROR(VLOOKUP($D13806,'Informations sur les produits'!$A$3:$B$15000,2,FALSE),"")</f>
        <v/>
      </c>
      <c r="V13806">
        <f t="shared" si="862"/>
        <v>0</v>
      </c>
      <c r="W13806">
        <f t="shared" si="863"/>
        <v>0</v>
      </c>
    </row>
    <row r="13807" spans="5:23" x14ac:dyDescent="0.25">
      <c r="E13807" s="4"/>
      <c r="F13807" s="4"/>
      <c r="G13807" s="33" t="str">
        <f>IFERROR(VLOOKUP($D13807,'Informations sur les produits'!$A$3:$H$10000,8,FALSE),"0")</f>
        <v>0</v>
      </c>
      <c r="K13807" s="4"/>
      <c r="L13807" s="33" t="str">
        <f>IFERROR(VLOOKUP($J13807,'Informations sur les produits'!$A$3:$H$10000,8,FALSE),"0")</f>
        <v>0</v>
      </c>
      <c r="N13807" s="8"/>
      <c r="O13807" s="33" t="str">
        <f>IFERROR(VLOOKUP($M13807,'Informations sur les produits'!$A$3:$H$10000,8,FALSE),"0")</f>
        <v>0</v>
      </c>
      <c r="P13807" s="33">
        <f t="shared" si="860"/>
        <v>0</v>
      </c>
      <c r="Q13807" s="31" t="str">
        <f t="shared" si="861"/>
        <v/>
      </c>
      <c r="R13807" s="32" t="str">
        <f>IFERROR(VLOOKUP($D13807,'Informations sur les produits'!$A$3:$B$15000,2,FALSE),"")</f>
        <v/>
      </c>
      <c r="V13807">
        <f t="shared" si="862"/>
        <v>0</v>
      </c>
      <c r="W13807">
        <f t="shared" si="863"/>
        <v>0</v>
      </c>
    </row>
    <row r="13808" spans="5:23" x14ac:dyDescent="0.25">
      <c r="E13808" s="4"/>
      <c r="F13808" s="4"/>
      <c r="G13808" s="33" t="str">
        <f>IFERROR(VLOOKUP($D13808,'Informations sur les produits'!$A$3:$H$10000,8,FALSE),"0")</f>
        <v>0</v>
      </c>
      <c r="K13808" s="4"/>
      <c r="L13808" s="33" t="str">
        <f>IFERROR(VLOOKUP($J13808,'Informations sur les produits'!$A$3:$H$10000,8,FALSE),"0")</f>
        <v>0</v>
      </c>
      <c r="N13808" s="8"/>
      <c r="O13808" s="33" t="str">
        <f>IFERROR(VLOOKUP($M13808,'Informations sur les produits'!$A$3:$H$10000,8,FALSE),"0")</f>
        <v>0</v>
      </c>
      <c r="P13808" s="33">
        <f t="shared" si="860"/>
        <v>0</v>
      </c>
      <c r="Q13808" s="31" t="str">
        <f t="shared" si="861"/>
        <v/>
      </c>
      <c r="R13808" s="32" t="str">
        <f>IFERROR(VLOOKUP($D13808,'Informations sur les produits'!$A$3:$B$15000,2,FALSE),"")</f>
        <v/>
      </c>
      <c r="V13808">
        <f t="shared" si="862"/>
        <v>0</v>
      </c>
      <c r="W13808">
        <f t="shared" si="863"/>
        <v>0</v>
      </c>
    </row>
    <row r="13809" spans="5:23" x14ac:dyDescent="0.25">
      <c r="E13809" s="4"/>
      <c r="F13809" s="4"/>
      <c r="G13809" s="33" t="str">
        <f>IFERROR(VLOOKUP($D13809,'Informations sur les produits'!$A$3:$H$10000,8,FALSE),"0")</f>
        <v>0</v>
      </c>
      <c r="K13809" s="4"/>
      <c r="L13809" s="33" t="str">
        <f>IFERROR(VLOOKUP($J13809,'Informations sur les produits'!$A$3:$H$10000,8,FALSE),"0")</f>
        <v>0</v>
      </c>
      <c r="N13809" s="8"/>
      <c r="O13809" s="33" t="str">
        <f>IFERROR(VLOOKUP($M13809,'Informations sur les produits'!$A$3:$H$10000,8,FALSE),"0")</f>
        <v>0</v>
      </c>
      <c r="P13809" s="33">
        <f t="shared" si="860"/>
        <v>0</v>
      </c>
      <c r="Q13809" s="31" t="str">
        <f t="shared" si="861"/>
        <v/>
      </c>
      <c r="R13809" s="32" t="str">
        <f>IFERROR(VLOOKUP($D13809,'Informations sur les produits'!$A$3:$B$15000,2,FALSE),"")</f>
        <v/>
      </c>
      <c r="V13809">
        <f t="shared" si="862"/>
        <v>0</v>
      </c>
      <c r="W13809">
        <f t="shared" si="863"/>
        <v>0</v>
      </c>
    </row>
    <row r="13810" spans="5:23" x14ac:dyDescent="0.25">
      <c r="E13810" s="4"/>
      <c r="F13810" s="4"/>
      <c r="G13810" s="33" t="str">
        <f>IFERROR(VLOOKUP($D13810,'Informations sur les produits'!$A$3:$H$10000,8,FALSE),"0")</f>
        <v>0</v>
      </c>
      <c r="K13810" s="4"/>
      <c r="L13810" s="33" t="str">
        <f>IFERROR(VLOOKUP($J13810,'Informations sur les produits'!$A$3:$H$10000,8,FALSE),"0")</f>
        <v>0</v>
      </c>
      <c r="N13810" s="8"/>
      <c r="O13810" s="33" t="str">
        <f>IFERROR(VLOOKUP($M13810,'Informations sur les produits'!$A$3:$H$10000,8,FALSE),"0")</f>
        <v>0</v>
      </c>
      <c r="P13810" s="33">
        <f t="shared" si="860"/>
        <v>0</v>
      </c>
      <c r="Q13810" s="31" t="str">
        <f t="shared" si="861"/>
        <v/>
      </c>
      <c r="R13810" s="32" t="str">
        <f>IFERROR(VLOOKUP($D13810,'Informations sur les produits'!$A$3:$B$15000,2,FALSE),"")</f>
        <v/>
      </c>
      <c r="V13810">
        <f t="shared" si="862"/>
        <v>0</v>
      </c>
      <c r="W13810">
        <f t="shared" si="863"/>
        <v>0</v>
      </c>
    </row>
    <row r="13811" spans="5:23" x14ac:dyDescent="0.25">
      <c r="E13811" s="4"/>
      <c r="F13811" s="4"/>
      <c r="G13811" s="33" t="str">
        <f>IFERROR(VLOOKUP($D13811,'Informations sur les produits'!$A$3:$H$10000,8,FALSE),"0")</f>
        <v>0</v>
      </c>
      <c r="K13811" s="4"/>
      <c r="L13811" s="33" t="str">
        <f>IFERROR(VLOOKUP($J13811,'Informations sur les produits'!$A$3:$H$10000,8,FALSE),"0")</f>
        <v>0</v>
      </c>
      <c r="N13811" s="8"/>
      <c r="O13811" s="33" t="str">
        <f>IFERROR(VLOOKUP($M13811,'Informations sur les produits'!$A$3:$H$10000,8,FALSE),"0")</f>
        <v>0</v>
      </c>
      <c r="P13811" s="33">
        <f t="shared" si="860"/>
        <v>0</v>
      </c>
      <c r="Q13811" s="31" t="str">
        <f t="shared" si="861"/>
        <v/>
      </c>
      <c r="R13811" s="32" t="str">
        <f>IFERROR(VLOOKUP($D13811,'Informations sur les produits'!$A$3:$B$15000,2,FALSE),"")</f>
        <v/>
      </c>
      <c r="V13811">
        <f t="shared" si="862"/>
        <v>0</v>
      </c>
      <c r="W13811">
        <f t="shared" si="863"/>
        <v>0</v>
      </c>
    </row>
    <row r="13812" spans="5:23" x14ac:dyDescent="0.25">
      <c r="E13812" s="4"/>
      <c r="F13812" s="4"/>
      <c r="G13812" s="33" t="str">
        <f>IFERROR(VLOOKUP($D13812,'Informations sur les produits'!$A$3:$H$10000,8,FALSE),"0")</f>
        <v>0</v>
      </c>
      <c r="K13812" s="4"/>
      <c r="L13812" s="33" t="str">
        <f>IFERROR(VLOOKUP($J13812,'Informations sur les produits'!$A$3:$H$10000,8,FALSE),"0")</f>
        <v>0</v>
      </c>
      <c r="N13812" s="8"/>
      <c r="O13812" s="33" t="str">
        <f>IFERROR(VLOOKUP($M13812,'Informations sur les produits'!$A$3:$H$10000,8,FALSE),"0")</f>
        <v>0</v>
      </c>
      <c r="P13812" s="33">
        <f t="shared" si="860"/>
        <v>0</v>
      </c>
      <c r="Q13812" s="31" t="str">
        <f t="shared" si="861"/>
        <v/>
      </c>
      <c r="R13812" s="32" t="str">
        <f>IFERROR(VLOOKUP($D13812,'Informations sur les produits'!$A$3:$B$15000,2,FALSE),"")</f>
        <v/>
      </c>
      <c r="V13812">
        <f t="shared" si="862"/>
        <v>0</v>
      </c>
      <c r="W13812">
        <f t="shared" si="863"/>
        <v>0</v>
      </c>
    </row>
    <row r="13813" spans="5:23" x14ac:dyDescent="0.25">
      <c r="E13813" s="4"/>
      <c r="F13813" s="4"/>
      <c r="G13813" s="33" t="str">
        <f>IFERROR(VLOOKUP($D13813,'Informations sur les produits'!$A$3:$H$10000,8,FALSE),"0")</f>
        <v>0</v>
      </c>
      <c r="K13813" s="4"/>
      <c r="L13813" s="33" t="str">
        <f>IFERROR(VLOOKUP($J13813,'Informations sur les produits'!$A$3:$H$10000,8,FALSE),"0")</f>
        <v>0</v>
      </c>
      <c r="N13813" s="8"/>
      <c r="O13813" s="33" t="str">
        <f>IFERROR(VLOOKUP($M13813,'Informations sur les produits'!$A$3:$H$10000,8,FALSE),"0")</f>
        <v>0</v>
      </c>
      <c r="P13813" s="33">
        <f t="shared" si="860"/>
        <v>0</v>
      </c>
      <c r="Q13813" s="31" t="str">
        <f t="shared" si="861"/>
        <v/>
      </c>
      <c r="R13813" s="32" t="str">
        <f>IFERROR(VLOOKUP($D13813,'Informations sur les produits'!$A$3:$B$15000,2,FALSE),"")</f>
        <v/>
      </c>
      <c r="V13813">
        <f t="shared" si="862"/>
        <v>0</v>
      </c>
      <c r="W13813">
        <f t="shared" si="863"/>
        <v>0</v>
      </c>
    </row>
    <row r="13814" spans="5:23" x14ac:dyDescent="0.25">
      <c r="E13814" s="4"/>
      <c r="F13814" s="4"/>
      <c r="G13814" s="33" t="str">
        <f>IFERROR(VLOOKUP($D13814,'Informations sur les produits'!$A$3:$H$10000,8,FALSE),"0")</f>
        <v>0</v>
      </c>
      <c r="K13814" s="4"/>
      <c r="L13814" s="33" t="str">
        <f>IFERROR(VLOOKUP($J13814,'Informations sur les produits'!$A$3:$H$10000,8,FALSE),"0")</f>
        <v>0</v>
      </c>
      <c r="N13814" s="8"/>
      <c r="O13814" s="33" t="str">
        <f>IFERROR(VLOOKUP($M13814,'Informations sur les produits'!$A$3:$H$10000,8,FALSE),"0")</f>
        <v>0</v>
      </c>
      <c r="P13814" s="33">
        <f t="shared" si="860"/>
        <v>0</v>
      </c>
      <c r="Q13814" s="31" t="str">
        <f t="shared" si="861"/>
        <v/>
      </c>
      <c r="R13814" s="32" t="str">
        <f>IFERROR(VLOOKUP($D13814,'Informations sur les produits'!$A$3:$B$15000,2,FALSE),"")</f>
        <v/>
      </c>
      <c r="V13814">
        <f t="shared" si="862"/>
        <v>0</v>
      </c>
      <c r="W13814">
        <f t="shared" si="863"/>
        <v>0</v>
      </c>
    </row>
    <row r="13815" spans="5:23" x14ac:dyDescent="0.25">
      <c r="E13815" s="4"/>
      <c r="F13815" s="4"/>
      <c r="G13815" s="33" t="str">
        <f>IFERROR(VLOOKUP($D13815,'Informations sur les produits'!$A$3:$H$10000,8,FALSE),"0")</f>
        <v>0</v>
      </c>
      <c r="K13815" s="4"/>
      <c r="L13815" s="33" t="str">
        <f>IFERROR(VLOOKUP($J13815,'Informations sur les produits'!$A$3:$H$10000,8,FALSE),"0")</f>
        <v>0</v>
      </c>
      <c r="N13815" s="8"/>
      <c r="O13815" s="33" t="str">
        <f>IFERROR(VLOOKUP($M13815,'Informations sur les produits'!$A$3:$H$10000,8,FALSE),"0")</f>
        <v>0</v>
      </c>
      <c r="P13815" s="33">
        <f t="shared" si="860"/>
        <v>0</v>
      </c>
      <c r="Q13815" s="31" t="str">
        <f t="shared" si="861"/>
        <v/>
      </c>
      <c r="R13815" s="32" t="str">
        <f>IFERROR(VLOOKUP($D13815,'Informations sur les produits'!$A$3:$B$15000,2,FALSE),"")</f>
        <v/>
      </c>
      <c r="V13815">
        <f t="shared" si="862"/>
        <v>0</v>
      </c>
      <c r="W13815">
        <f t="shared" si="863"/>
        <v>0</v>
      </c>
    </row>
    <row r="13816" spans="5:23" x14ac:dyDescent="0.25">
      <c r="E13816" s="4"/>
      <c r="F13816" s="4"/>
      <c r="G13816" s="33" t="str">
        <f>IFERROR(VLOOKUP($D13816,'Informations sur les produits'!$A$3:$H$10000,8,FALSE),"0")</f>
        <v>0</v>
      </c>
      <c r="K13816" s="4"/>
      <c r="L13816" s="33" t="str">
        <f>IFERROR(VLOOKUP($J13816,'Informations sur les produits'!$A$3:$H$10000,8,FALSE),"0")</f>
        <v>0</v>
      </c>
      <c r="N13816" s="8"/>
      <c r="O13816" s="33" t="str">
        <f>IFERROR(VLOOKUP($M13816,'Informations sur les produits'!$A$3:$H$10000,8,FALSE),"0")</f>
        <v>0</v>
      </c>
      <c r="P13816" s="33">
        <f t="shared" si="860"/>
        <v>0</v>
      </c>
      <c r="Q13816" s="31" t="str">
        <f t="shared" si="861"/>
        <v/>
      </c>
      <c r="R13816" s="32" t="str">
        <f>IFERROR(VLOOKUP($D13816,'Informations sur les produits'!$A$3:$B$15000,2,FALSE),"")</f>
        <v/>
      </c>
      <c r="V13816">
        <f t="shared" si="862"/>
        <v>0</v>
      </c>
      <c r="W13816">
        <f t="shared" si="863"/>
        <v>0</v>
      </c>
    </row>
    <row r="13817" spans="5:23" x14ac:dyDescent="0.25">
      <c r="E13817" s="4"/>
      <c r="F13817" s="4"/>
      <c r="G13817" s="33" t="str">
        <f>IFERROR(VLOOKUP($D13817,'Informations sur les produits'!$A$3:$H$10000,8,FALSE),"0")</f>
        <v>0</v>
      </c>
      <c r="K13817" s="4"/>
      <c r="L13817" s="33" t="str">
        <f>IFERROR(VLOOKUP($J13817,'Informations sur les produits'!$A$3:$H$10000,8,FALSE),"0")</f>
        <v>0</v>
      </c>
      <c r="N13817" s="8"/>
      <c r="O13817" s="33" t="str">
        <f>IFERROR(VLOOKUP($M13817,'Informations sur les produits'!$A$3:$H$10000,8,FALSE),"0")</f>
        <v>0</v>
      </c>
      <c r="P13817" s="33">
        <f t="shared" si="860"/>
        <v>0</v>
      </c>
      <c r="Q13817" s="31" t="str">
        <f t="shared" si="861"/>
        <v/>
      </c>
      <c r="R13817" s="32" t="str">
        <f>IFERROR(VLOOKUP($D13817,'Informations sur les produits'!$A$3:$B$15000,2,FALSE),"")</f>
        <v/>
      </c>
      <c r="V13817">
        <f t="shared" si="862"/>
        <v>0</v>
      </c>
      <c r="W13817">
        <f t="shared" si="863"/>
        <v>0</v>
      </c>
    </row>
    <row r="13818" spans="5:23" x14ac:dyDescent="0.25">
      <c r="E13818" s="4"/>
      <c r="F13818" s="4"/>
      <c r="G13818" s="33" t="str">
        <f>IFERROR(VLOOKUP($D13818,'Informations sur les produits'!$A$3:$H$10000,8,FALSE),"0")</f>
        <v>0</v>
      </c>
      <c r="K13818" s="4"/>
      <c r="L13818" s="33" t="str">
        <f>IFERROR(VLOOKUP($J13818,'Informations sur les produits'!$A$3:$H$10000,8,FALSE),"0")</f>
        <v>0</v>
      </c>
      <c r="N13818" s="8"/>
      <c r="O13818" s="33" t="str">
        <f>IFERROR(VLOOKUP($M13818,'Informations sur les produits'!$A$3:$H$10000,8,FALSE),"0")</f>
        <v>0</v>
      </c>
      <c r="P13818" s="33">
        <f t="shared" si="860"/>
        <v>0</v>
      </c>
      <c r="Q13818" s="31" t="str">
        <f t="shared" si="861"/>
        <v/>
      </c>
      <c r="R13818" s="32" t="str">
        <f>IFERROR(VLOOKUP($D13818,'Informations sur les produits'!$A$3:$B$15000,2,FALSE),"")</f>
        <v/>
      </c>
      <c r="V13818">
        <f t="shared" si="862"/>
        <v>0</v>
      </c>
      <c r="W13818">
        <f t="shared" si="863"/>
        <v>0</v>
      </c>
    </row>
    <row r="13819" spans="5:23" x14ac:dyDescent="0.25">
      <c r="E13819" s="4"/>
      <c r="F13819" s="4"/>
      <c r="G13819" s="33" t="str">
        <f>IFERROR(VLOOKUP($D13819,'Informations sur les produits'!$A$3:$H$10000,8,FALSE),"0")</f>
        <v>0</v>
      </c>
      <c r="K13819" s="4"/>
      <c r="L13819" s="33" t="str">
        <f>IFERROR(VLOOKUP($J13819,'Informations sur les produits'!$A$3:$H$10000,8,FALSE),"0")</f>
        <v>0</v>
      </c>
      <c r="N13819" s="8"/>
      <c r="O13819" s="33" t="str">
        <f>IFERROR(VLOOKUP($M13819,'Informations sur les produits'!$A$3:$H$10000,8,FALSE),"0")</f>
        <v>0</v>
      </c>
      <c r="P13819" s="33">
        <f t="shared" si="860"/>
        <v>0</v>
      </c>
      <c r="Q13819" s="31" t="str">
        <f t="shared" si="861"/>
        <v/>
      </c>
      <c r="R13819" s="32" t="str">
        <f>IFERROR(VLOOKUP($D13819,'Informations sur les produits'!$A$3:$B$15000,2,FALSE),"")</f>
        <v/>
      </c>
      <c r="V13819">
        <f t="shared" si="862"/>
        <v>0</v>
      </c>
      <c r="W13819">
        <f t="shared" si="863"/>
        <v>0</v>
      </c>
    </row>
    <row r="13820" spans="5:23" x14ac:dyDescent="0.25">
      <c r="E13820" s="4"/>
      <c r="F13820" s="4"/>
      <c r="G13820" s="33" t="str">
        <f>IFERROR(VLOOKUP($D13820,'Informations sur les produits'!$A$3:$H$10000,8,FALSE),"0")</f>
        <v>0</v>
      </c>
      <c r="K13820" s="4"/>
      <c r="L13820" s="33" t="str">
        <f>IFERROR(VLOOKUP($J13820,'Informations sur les produits'!$A$3:$H$10000,8,FALSE),"0")</f>
        <v>0</v>
      </c>
      <c r="N13820" s="8"/>
      <c r="O13820" s="33" t="str">
        <f>IFERROR(VLOOKUP($M13820,'Informations sur les produits'!$A$3:$H$10000,8,FALSE),"0")</f>
        <v>0</v>
      </c>
      <c r="P13820" s="33">
        <f t="shared" si="860"/>
        <v>0</v>
      </c>
      <c r="Q13820" s="31" t="str">
        <f t="shared" si="861"/>
        <v/>
      </c>
      <c r="R13820" s="32" t="str">
        <f>IFERROR(VLOOKUP($D13820,'Informations sur les produits'!$A$3:$B$15000,2,FALSE),"")</f>
        <v/>
      </c>
      <c r="V13820">
        <f t="shared" si="862"/>
        <v>0</v>
      </c>
      <c r="W13820">
        <f t="shared" si="863"/>
        <v>0</v>
      </c>
    </row>
    <row r="13821" spans="5:23" x14ac:dyDescent="0.25">
      <c r="E13821" s="4"/>
      <c r="F13821" s="4"/>
      <c r="G13821" s="33" t="str">
        <f>IFERROR(VLOOKUP($D13821,'Informations sur les produits'!$A$3:$H$10000,8,FALSE),"0")</f>
        <v>0</v>
      </c>
      <c r="K13821" s="4"/>
      <c r="L13821" s="33" t="str">
        <f>IFERROR(VLOOKUP($J13821,'Informations sur les produits'!$A$3:$H$10000,8,FALSE),"0")</f>
        <v>0</v>
      </c>
      <c r="N13821" s="8"/>
      <c r="O13821" s="33" t="str">
        <f>IFERROR(VLOOKUP($M13821,'Informations sur les produits'!$A$3:$H$10000,8,FALSE),"0")</f>
        <v>0</v>
      </c>
      <c r="P13821" s="33">
        <f t="shared" si="860"/>
        <v>0</v>
      </c>
      <c r="Q13821" s="31" t="str">
        <f t="shared" si="861"/>
        <v/>
      </c>
      <c r="R13821" s="32" t="str">
        <f>IFERROR(VLOOKUP($D13821,'Informations sur les produits'!$A$3:$B$15000,2,FALSE),"")</f>
        <v/>
      </c>
      <c r="V13821">
        <f t="shared" si="862"/>
        <v>0</v>
      </c>
      <c r="W13821">
        <f t="shared" si="863"/>
        <v>0</v>
      </c>
    </row>
    <row r="13822" spans="5:23" x14ac:dyDescent="0.25">
      <c r="E13822" s="4"/>
      <c r="F13822" s="4"/>
      <c r="G13822" s="33" t="str">
        <f>IFERROR(VLOOKUP($D13822,'Informations sur les produits'!$A$3:$H$10000,8,FALSE),"0")</f>
        <v>0</v>
      </c>
      <c r="K13822" s="4"/>
      <c r="L13822" s="33" t="str">
        <f>IFERROR(VLOOKUP($J13822,'Informations sur les produits'!$A$3:$H$10000,8,FALSE),"0")</f>
        <v>0</v>
      </c>
      <c r="N13822" s="8"/>
      <c r="O13822" s="33" t="str">
        <f>IFERROR(VLOOKUP($M13822,'Informations sur les produits'!$A$3:$H$10000,8,FALSE),"0")</f>
        <v>0</v>
      </c>
      <c r="P13822" s="33">
        <f t="shared" si="860"/>
        <v>0</v>
      </c>
      <c r="Q13822" s="31" t="str">
        <f t="shared" si="861"/>
        <v/>
      </c>
      <c r="R13822" s="32" t="str">
        <f>IFERROR(VLOOKUP($D13822,'Informations sur les produits'!$A$3:$B$15000,2,FALSE),"")</f>
        <v/>
      </c>
      <c r="V13822">
        <f t="shared" si="862"/>
        <v>0</v>
      </c>
      <c r="W13822">
        <f t="shared" si="863"/>
        <v>0</v>
      </c>
    </row>
    <row r="13823" spans="5:23" x14ac:dyDescent="0.25">
      <c r="E13823" s="4"/>
      <c r="F13823" s="4"/>
      <c r="G13823" s="33" t="str">
        <f>IFERROR(VLOOKUP($D13823,'Informations sur les produits'!$A$3:$H$10000,8,FALSE),"0")</f>
        <v>0</v>
      </c>
      <c r="K13823" s="4"/>
      <c r="L13823" s="33" t="str">
        <f>IFERROR(VLOOKUP($J13823,'Informations sur les produits'!$A$3:$H$10000,8,FALSE),"0")</f>
        <v>0</v>
      </c>
      <c r="N13823" s="8"/>
      <c r="O13823" s="33" t="str">
        <f>IFERROR(VLOOKUP($M13823,'Informations sur les produits'!$A$3:$H$10000,8,FALSE),"0")</f>
        <v>0</v>
      </c>
      <c r="P13823" s="33">
        <f t="shared" si="860"/>
        <v>0</v>
      </c>
      <c r="Q13823" s="31" t="str">
        <f t="shared" si="861"/>
        <v/>
      </c>
      <c r="R13823" s="32" t="str">
        <f>IFERROR(VLOOKUP($D13823,'Informations sur les produits'!$A$3:$B$15000,2,FALSE),"")</f>
        <v/>
      </c>
      <c r="V13823">
        <f t="shared" si="862"/>
        <v>0</v>
      </c>
      <c r="W13823">
        <f t="shared" si="863"/>
        <v>0</v>
      </c>
    </row>
    <row r="13824" spans="5:23" x14ac:dyDescent="0.25">
      <c r="E13824" s="4"/>
      <c r="F13824" s="4"/>
      <c r="G13824" s="33" t="str">
        <f>IFERROR(VLOOKUP($D13824,'Informations sur les produits'!$A$3:$H$10000,8,FALSE),"0")</f>
        <v>0</v>
      </c>
      <c r="K13824" s="4"/>
      <c r="L13824" s="33" t="str">
        <f>IFERROR(VLOOKUP($J13824,'Informations sur les produits'!$A$3:$H$10000,8,FALSE),"0")</f>
        <v>0</v>
      </c>
      <c r="N13824" s="8"/>
      <c r="O13824" s="33" t="str">
        <f>IFERROR(VLOOKUP($M13824,'Informations sur les produits'!$A$3:$H$10000,8,FALSE),"0")</f>
        <v>0</v>
      </c>
      <c r="P13824" s="33">
        <f t="shared" si="860"/>
        <v>0</v>
      </c>
      <c r="Q13824" s="31" t="str">
        <f t="shared" si="861"/>
        <v/>
      </c>
      <c r="R13824" s="32" t="str">
        <f>IFERROR(VLOOKUP($D13824,'Informations sur les produits'!$A$3:$B$15000,2,FALSE),"")</f>
        <v/>
      </c>
      <c r="V13824">
        <f t="shared" si="862"/>
        <v>0</v>
      </c>
      <c r="W13824">
        <f t="shared" si="863"/>
        <v>0</v>
      </c>
    </row>
    <row r="13825" spans="5:23" x14ac:dyDescent="0.25">
      <c r="E13825" s="4"/>
      <c r="F13825" s="4"/>
      <c r="G13825" s="33" t="str">
        <f>IFERROR(VLOOKUP($D13825,'Informations sur les produits'!$A$3:$H$10000,8,FALSE),"0")</f>
        <v>0</v>
      </c>
      <c r="K13825" s="4"/>
      <c r="L13825" s="33" t="str">
        <f>IFERROR(VLOOKUP($J13825,'Informations sur les produits'!$A$3:$H$10000,8,FALSE),"0")</f>
        <v>0</v>
      </c>
      <c r="N13825" s="8"/>
      <c r="O13825" s="33" t="str">
        <f>IFERROR(VLOOKUP($M13825,'Informations sur les produits'!$A$3:$H$10000,8,FALSE),"0")</f>
        <v>0</v>
      </c>
      <c r="P13825" s="33">
        <f t="shared" si="860"/>
        <v>0</v>
      </c>
      <c r="Q13825" s="31" t="str">
        <f t="shared" si="861"/>
        <v/>
      </c>
      <c r="R13825" s="32" t="str">
        <f>IFERROR(VLOOKUP($D13825,'Informations sur les produits'!$A$3:$B$15000,2,FALSE),"")</f>
        <v/>
      </c>
      <c r="V13825">
        <f t="shared" si="862"/>
        <v>0</v>
      </c>
      <c r="W13825">
        <f t="shared" si="863"/>
        <v>0</v>
      </c>
    </row>
    <row r="13826" spans="5:23" x14ac:dyDescent="0.25">
      <c r="E13826" s="4"/>
      <c r="F13826" s="4"/>
      <c r="G13826" s="33" t="str">
        <f>IFERROR(VLOOKUP($D13826,'Informations sur les produits'!$A$3:$H$10000,8,FALSE),"0")</f>
        <v>0</v>
      </c>
      <c r="K13826" s="4"/>
      <c r="L13826" s="33" t="str">
        <f>IFERROR(VLOOKUP($J13826,'Informations sur les produits'!$A$3:$H$10000,8,FALSE),"0")</f>
        <v>0</v>
      </c>
      <c r="N13826" s="8"/>
      <c r="O13826" s="33" t="str">
        <f>IFERROR(VLOOKUP($M13826,'Informations sur les produits'!$A$3:$H$10000,8,FALSE),"0")</f>
        <v>0</v>
      </c>
      <c r="P13826" s="33">
        <f t="shared" si="860"/>
        <v>0</v>
      </c>
      <c r="Q13826" s="31" t="str">
        <f t="shared" si="861"/>
        <v/>
      </c>
      <c r="R13826" s="32" t="str">
        <f>IFERROR(VLOOKUP($D13826,'Informations sur les produits'!$A$3:$B$15000,2,FALSE),"")</f>
        <v/>
      </c>
      <c r="V13826">
        <f t="shared" si="862"/>
        <v>0</v>
      </c>
      <c r="W13826">
        <f t="shared" si="863"/>
        <v>0</v>
      </c>
    </row>
    <row r="13827" spans="5:23" x14ac:dyDescent="0.25">
      <c r="E13827" s="4"/>
      <c r="F13827" s="4"/>
      <c r="G13827" s="33" t="str">
        <f>IFERROR(VLOOKUP($D13827,'Informations sur les produits'!$A$3:$H$10000,8,FALSE),"0")</f>
        <v>0</v>
      </c>
      <c r="K13827" s="4"/>
      <c r="L13827" s="33" t="str">
        <f>IFERROR(VLOOKUP($J13827,'Informations sur les produits'!$A$3:$H$10000,8,FALSE),"0")</f>
        <v>0</v>
      </c>
      <c r="N13827" s="8"/>
      <c r="O13827" s="33" t="str">
        <f>IFERROR(VLOOKUP($M13827,'Informations sur les produits'!$A$3:$H$10000,8,FALSE),"0")</f>
        <v>0</v>
      </c>
      <c r="P13827" s="33">
        <f t="shared" si="860"/>
        <v>0</v>
      </c>
      <c r="Q13827" s="31" t="str">
        <f t="shared" si="861"/>
        <v/>
      </c>
      <c r="R13827" s="32" t="str">
        <f>IFERROR(VLOOKUP($D13827,'Informations sur les produits'!$A$3:$B$15000,2,FALSE),"")</f>
        <v/>
      </c>
      <c r="V13827">
        <f t="shared" si="862"/>
        <v>0</v>
      </c>
      <c r="W13827">
        <f t="shared" si="863"/>
        <v>0</v>
      </c>
    </row>
    <row r="13828" spans="5:23" x14ac:dyDescent="0.25">
      <c r="E13828" s="4"/>
      <c r="F13828" s="4"/>
      <c r="G13828" s="33" t="str">
        <f>IFERROR(VLOOKUP($D13828,'Informations sur les produits'!$A$3:$H$10000,8,FALSE),"0")</f>
        <v>0</v>
      </c>
      <c r="K13828" s="4"/>
      <c r="L13828" s="33" t="str">
        <f>IFERROR(VLOOKUP($J13828,'Informations sur les produits'!$A$3:$H$10000,8,FALSE),"0")</f>
        <v>0</v>
      </c>
      <c r="N13828" s="8"/>
      <c r="O13828" s="33" t="str">
        <f>IFERROR(VLOOKUP($M13828,'Informations sur les produits'!$A$3:$H$10000,8,FALSE),"0")</f>
        <v>0</v>
      </c>
      <c r="P13828" s="33">
        <f t="shared" ref="P13828:P13891" si="864">IFERROR((($E13828-$F13828)*$G13828+$K13828*$L13828+$N13828*$O13828),"")</f>
        <v>0</v>
      </c>
      <c r="Q13828" s="31" t="str">
        <f t="shared" ref="Q13828:Q13891" si="865">IFERROR((((($E13828-$F13828)*$G13828+$K13828*$L13828+$N13828*$O13828)*1000)/(($E13828-$F13828)+$K13828+$N13828)),"")</f>
        <v/>
      </c>
      <c r="R13828" s="32" t="str">
        <f>IFERROR(VLOOKUP($D13828,'Informations sur les produits'!$A$3:$B$15000,2,FALSE),"")</f>
        <v/>
      </c>
      <c r="V13828">
        <f t="shared" ref="V13828:V13891" si="866">IFERROR(P13828*1000,"")</f>
        <v>0</v>
      </c>
      <c r="W13828">
        <f t="shared" ref="W13828:W13891" si="867">IFERROR(($E13828-$F13828)+$K13828+$N13828,"")</f>
        <v>0</v>
      </c>
    </row>
    <row r="13829" spans="5:23" x14ac:dyDescent="0.25">
      <c r="E13829" s="4"/>
      <c r="F13829" s="4"/>
      <c r="G13829" s="33" t="str">
        <f>IFERROR(VLOOKUP($D13829,'Informations sur les produits'!$A$3:$H$10000,8,FALSE),"0")</f>
        <v>0</v>
      </c>
      <c r="K13829" s="4"/>
      <c r="L13829" s="33" t="str">
        <f>IFERROR(VLOOKUP($J13829,'Informations sur les produits'!$A$3:$H$10000,8,FALSE),"0")</f>
        <v>0</v>
      </c>
      <c r="N13829" s="8"/>
      <c r="O13829" s="33" t="str">
        <f>IFERROR(VLOOKUP($M13829,'Informations sur les produits'!$A$3:$H$10000,8,FALSE),"0")</f>
        <v>0</v>
      </c>
      <c r="P13829" s="33">
        <f t="shared" si="864"/>
        <v>0</v>
      </c>
      <c r="Q13829" s="31" t="str">
        <f t="shared" si="865"/>
        <v/>
      </c>
      <c r="R13829" s="32" t="str">
        <f>IFERROR(VLOOKUP($D13829,'Informations sur les produits'!$A$3:$B$15000,2,FALSE),"")</f>
        <v/>
      </c>
      <c r="V13829">
        <f t="shared" si="866"/>
        <v>0</v>
      </c>
      <c r="W13829">
        <f t="shared" si="867"/>
        <v>0</v>
      </c>
    </row>
    <row r="13830" spans="5:23" x14ac:dyDescent="0.25">
      <c r="E13830" s="4"/>
      <c r="F13830" s="4"/>
      <c r="G13830" s="33" t="str">
        <f>IFERROR(VLOOKUP($D13830,'Informations sur les produits'!$A$3:$H$10000,8,FALSE),"0")</f>
        <v>0</v>
      </c>
      <c r="K13830" s="4"/>
      <c r="L13830" s="33" t="str">
        <f>IFERROR(VLOOKUP($J13830,'Informations sur les produits'!$A$3:$H$10000,8,FALSE),"0")</f>
        <v>0</v>
      </c>
      <c r="N13830" s="8"/>
      <c r="O13830" s="33" t="str">
        <f>IFERROR(VLOOKUP($M13830,'Informations sur les produits'!$A$3:$H$10000,8,FALSE),"0")</f>
        <v>0</v>
      </c>
      <c r="P13830" s="33">
        <f t="shared" si="864"/>
        <v>0</v>
      </c>
      <c r="Q13830" s="31" t="str">
        <f t="shared" si="865"/>
        <v/>
      </c>
      <c r="R13830" s="32" t="str">
        <f>IFERROR(VLOOKUP($D13830,'Informations sur les produits'!$A$3:$B$15000,2,FALSE),"")</f>
        <v/>
      </c>
      <c r="V13830">
        <f t="shared" si="866"/>
        <v>0</v>
      </c>
      <c r="W13830">
        <f t="shared" si="867"/>
        <v>0</v>
      </c>
    </row>
    <row r="13831" spans="5:23" x14ac:dyDescent="0.25">
      <c r="E13831" s="4"/>
      <c r="F13831" s="4"/>
      <c r="G13831" s="33" t="str">
        <f>IFERROR(VLOOKUP($D13831,'Informations sur les produits'!$A$3:$H$10000,8,FALSE),"0")</f>
        <v>0</v>
      </c>
      <c r="K13831" s="4"/>
      <c r="L13831" s="33" t="str">
        <f>IFERROR(VLOOKUP($J13831,'Informations sur les produits'!$A$3:$H$10000,8,FALSE),"0")</f>
        <v>0</v>
      </c>
      <c r="N13831" s="8"/>
      <c r="O13831" s="33" t="str">
        <f>IFERROR(VLOOKUP($M13831,'Informations sur les produits'!$A$3:$H$10000,8,FALSE),"0")</f>
        <v>0</v>
      </c>
      <c r="P13831" s="33">
        <f t="shared" si="864"/>
        <v>0</v>
      </c>
      <c r="Q13831" s="31" t="str">
        <f t="shared" si="865"/>
        <v/>
      </c>
      <c r="R13831" s="32" t="str">
        <f>IFERROR(VLOOKUP($D13831,'Informations sur les produits'!$A$3:$B$15000,2,FALSE),"")</f>
        <v/>
      </c>
      <c r="V13831">
        <f t="shared" si="866"/>
        <v>0</v>
      </c>
      <c r="W13831">
        <f t="shared" si="867"/>
        <v>0</v>
      </c>
    </row>
    <row r="13832" spans="5:23" x14ac:dyDescent="0.25">
      <c r="E13832" s="4"/>
      <c r="F13832" s="4"/>
      <c r="G13832" s="33" t="str">
        <f>IFERROR(VLOOKUP($D13832,'Informations sur les produits'!$A$3:$H$10000,8,FALSE),"0")</f>
        <v>0</v>
      </c>
      <c r="K13832" s="4"/>
      <c r="L13832" s="33" t="str">
        <f>IFERROR(VLOOKUP($J13832,'Informations sur les produits'!$A$3:$H$10000,8,FALSE),"0")</f>
        <v>0</v>
      </c>
      <c r="N13832" s="8"/>
      <c r="O13832" s="33" t="str">
        <f>IFERROR(VLOOKUP($M13832,'Informations sur les produits'!$A$3:$H$10000,8,FALSE),"0")</f>
        <v>0</v>
      </c>
      <c r="P13832" s="33">
        <f t="shared" si="864"/>
        <v>0</v>
      </c>
      <c r="Q13832" s="31" t="str">
        <f t="shared" si="865"/>
        <v/>
      </c>
      <c r="R13832" s="32" t="str">
        <f>IFERROR(VLOOKUP($D13832,'Informations sur les produits'!$A$3:$B$15000,2,FALSE),"")</f>
        <v/>
      </c>
      <c r="V13832">
        <f t="shared" si="866"/>
        <v>0</v>
      </c>
      <c r="W13832">
        <f t="shared" si="867"/>
        <v>0</v>
      </c>
    </row>
    <row r="13833" spans="5:23" x14ac:dyDescent="0.25">
      <c r="E13833" s="4"/>
      <c r="F13833" s="4"/>
      <c r="G13833" s="33" t="str">
        <f>IFERROR(VLOOKUP($D13833,'Informations sur les produits'!$A$3:$H$10000,8,FALSE),"0")</f>
        <v>0</v>
      </c>
      <c r="K13833" s="4"/>
      <c r="L13833" s="33" t="str">
        <f>IFERROR(VLOOKUP($J13833,'Informations sur les produits'!$A$3:$H$10000,8,FALSE),"0")</f>
        <v>0</v>
      </c>
      <c r="N13833" s="8"/>
      <c r="O13833" s="33" t="str">
        <f>IFERROR(VLOOKUP($M13833,'Informations sur les produits'!$A$3:$H$10000,8,FALSE),"0")</f>
        <v>0</v>
      </c>
      <c r="P13833" s="33">
        <f t="shared" si="864"/>
        <v>0</v>
      </c>
      <c r="Q13833" s="31" t="str">
        <f t="shared" si="865"/>
        <v/>
      </c>
      <c r="R13833" s="32" t="str">
        <f>IFERROR(VLOOKUP($D13833,'Informations sur les produits'!$A$3:$B$15000,2,FALSE),"")</f>
        <v/>
      </c>
      <c r="V13833">
        <f t="shared" si="866"/>
        <v>0</v>
      </c>
      <c r="W13833">
        <f t="shared" si="867"/>
        <v>0</v>
      </c>
    </row>
    <row r="13834" spans="5:23" x14ac:dyDescent="0.25">
      <c r="E13834" s="4"/>
      <c r="F13834" s="4"/>
      <c r="G13834" s="33" t="str">
        <f>IFERROR(VLOOKUP($D13834,'Informations sur les produits'!$A$3:$H$10000,8,FALSE),"0")</f>
        <v>0</v>
      </c>
      <c r="K13834" s="4"/>
      <c r="L13834" s="33" t="str">
        <f>IFERROR(VLOOKUP($J13834,'Informations sur les produits'!$A$3:$H$10000,8,FALSE),"0")</f>
        <v>0</v>
      </c>
      <c r="N13834" s="8"/>
      <c r="O13834" s="33" t="str">
        <f>IFERROR(VLOOKUP($M13834,'Informations sur les produits'!$A$3:$H$10000,8,FALSE),"0")</f>
        <v>0</v>
      </c>
      <c r="P13834" s="33">
        <f t="shared" si="864"/>
        <v>0</v>
      </c>
      <c r="Q13834" s="31" t="str">
        <f t="shared" si="865"/>
        <v/>
      </c>
      <c r="R13834" s="32" t="str">
        <f>IFERROR(VLOOKUP($D13834,'Informations sur les produits'!$A$3:$B$15000,2,FALSE),"")</f>
        <v/>
      </c>
      <c r="V13834">
        <f t="shared" si="866"/>
        <v>0</v>
      </c>
      <c r="W13834">
        <f t="shared" si="867"/>
        <v>0</v>
      </c>
    </row>
    <row r="13835" spans="5:23" x14ac:dyDescent="0.25">
      <c r="E13835" s="4"/>
      <c r="F13835" s="4"/>
      <c r="G13835" s="33" t="str">
        <f>IFERROR(VLOOKUP($D13835,'Informations sur les produits'!$A$3:$H$10000,8,FALSE),"0")</f>
        <v>0</v>
      </c>
      <c r="K13835" s="4"/>
      <c r="L13835" s="33" t="str">
        <f>IFERROR(VLOOKUP($J13835,'Informations sur les produits'!$A$3:$H$10000,8,FALSE),"0")</f>
        <v>0</v>
      </c>
      <c r="N13835" s="8"/>
      <c r="O13835" s="33" t="str">
        <f>IFERROR(VLOOKUP($M13835,'Informations sur les produits'!$A$3:$H$10000,8,FALSE),"0")</f>
        <v>0</v>
      </c>
      <c r="P13835" s="33">
        <f t="shared" si="864"/>
        <v>0</v>
      </c>
      <c r="Q13835" s="31" t="str">
        <f t="shared" si="865"/>
        <v/>
      </c>
      <c r="R13835" s="32" t="str">
        <f>IFERROR(VLOOKUP($D13835,'Informations sur les produits'!$A$3:$B$15000,2,FALSE),"")</f>
        <v/>
      </c>
      <c r="V13835">
        <f t="shared" si="866"/>
        <v>0</v>
      </c>
      <c r="W13835">
        <f t="shared" si="867"/>
        <v>0</v>
      </c>
    </row>
    <row r="13836" spans="5:23" x14ac:dyDescent="0.25">
      <c r="E13836" s="4"/>
      <c r="F13836" s="4"/>
      <c r="G13836" s="33" t="str">
        <f>IFERROR(VLOOKUP($D13836,'Informations sur les produits'!$A$3:$H$10000,8,FALSE),"0")</f>
        <v>0</v>
      </c>
      <c r="K13836" s="4"/>
      <c r="L13836" s="33" t="str">
        <f>IFERROR(VLOOKUP($J13836,'Informations sur les produits'!$A$3:$H$10000,8,FALSE),"0")</f>
        <v>0</v>
      </c>
      <c r="N13836" s="8"/>
      <c r="O13836" s="33" t="str">
        <f>IFERROR(VLOOKUP($M13836,'Informations sur les produits'!$A$3:$H$10000,8,FALSE),"0")</f>
        <v>0</v>
      </c>
      <c r="P13836" s="33">
        <f t="shared" si="864"/>
        <v>0</v>
      </c>
      <c r="Q13836" s="31" t="str">
        <f t="shared" si="865"/>
        <v/>
      </c>
      <c r="R13836" s="32" t="str">
        <f>IFERROR(VLOOKUP($D13836,'Informations sur les produits'!$A$3:$B$15000,2,FALSE),"")</f>
        <v/>
      </c>
      <c r="V13836">
        <f t="shared" si="866"/>
        <v>0</v>
      </c>
      <c r="W13836">
        <f t="shared" si="867"/>
        <v>0</v>
      </c>
    </row>
    <row r="13837" spans="5:23" x14ac:dyDescent="0.25">
      <c r="E13837" s="4"/>
      <c r="F13837" s="4"/>
      <c r="G13837" s="33" t="str">
        <f>IFERROR(VLOOKUP($D13837,'Informations sur les produits'!$A$3:$H$10000,8,FALSE),"0")</f>
        <v>0</v>
      </c>
      <c r="K13837" s="4"/>
      <c r="L13837" s="33" t="str">
        <f>IFERROR(VLOOKUP($J13837,'Informations sur les produits'!$A$3:$H$10000,8,FALSE),"0")</f>
        <v>0</v>
      </c>
      <c r="N13837" s="8"/>
      <c r="O13837" s="33" t="str">
        <f>IFERROR(VLOOKUP($M13837,'Informations sur les produits'!$A$3:$H$10000,8,FALSE),"0")</f>
        <v>0</v>
      </c>
      <c r="P13837" s="33">
        <f t="shared" si="864"/>
        <v>0</v>
      </c>
      <c r="Q13837" s="31" t="str">
        <f t="shared" si="865"/>
        <v/>
      </c>
      <c r="R13837" s="32" t="str">
        <f>IFERROR(VLOOKUP($D13837,'Informations sur les produits'!$A$3:$B$15000,2,FALSE),"")</f>
        <v/>
      </c>
      <c r="V13837">
        <f t="shared" si="866"/>
        <v>0</v>
      </c>
      <c r="W13837">
        <f t="shared" si="867"/>
        <v>0</v>
      </c>
    </row>
    <row r="13838" spans="5:23" x14ac:dyDescent="0.25">
      <c r="E13838" s="4"/>
      <c r="F13838" s="4"/>
      <c r="G13838" s="33" t="str">
        <f>IFERROR(VLOOKUP($D13838,'Informations sur les produits'!$A$3:$H$10000,8,FALSE),"0")</f>
        <v>0</v>
      </c>
      <c r="K13838" s="4"/>
      <c r="L13838" s="33" t="str">
        <f>IFERROR(VLOOKUP($J13838,'Informations sur les produits'!$A$3:$H$10000,8,FALSE),"0")</f>
        <v>0</v>
      </c>
      <c r="N13838" s="8"/>
      <c r="O13838" s="33" t="str">
        <f>IFERROR(VLOOKUP($M13838,'Informations sur les produits'!$A$3:$H$10000,8,FALSE),"0")</f>
        <v>0</v>
      </c>
      <c r="P13838" s="33">
        <f t="shared" si="864"/>
        <v>0</v>
      </c>
      <c r="Q13838" s="31" t="str">
        <f t="shared" si="865"/>
        <v/>
      </c>
      <c r="R13838" s="32" t="str">
        <f>IFERROR(VLOOKUP($D13838,'Informations sur les produits'!$A$3:$B$15000,2,FALSE),"")</f>
        <v/>
      </c>
      <c r="V13838">
        <f t="shared" si="866"/>
        <v>0</v>
      </c>
      <c r="W13838">
        <f t="shared" si="867"/>
        <v>0</v>
      </c>
    </row>
    <row r="13839" spans="5:23" x14ac:dyDescent="0.25">
      <c r="E13839" s="4"/>
      <c r="F13839" s="4"/>
      <c r="G13839" s="33" t="str">
        <f>IFERROR(VLOOKUP($D13839,'Informations sur les produits'!$A$3:$H$10000,8,FALSE),"0")</f>
        <v>0</v>
      </c>
      <c r="K13839" s="4"/>
      <c r="L13839" s="33" t="str">
        <f>IFERROR(VLOOKUP($J13839,'Informations sur les produits'!$A$3:$H$10000,8,FALSE),"0")</f>
        <v>0</v>
      </c>
      <c r="N13839" s="8"/>
      <c r="O13839" s="33" t="str">
        <f>IFERROR(VLOOKUP($M13839,'Informations sur les produits'!$A$3:$H$10000,8,FALSE),"0")</f>
        <v>0</v>
      </c>
      <c r="P13839" s="33">
        <f t="shared" si="864"/>
        <v>0</v>
      </c>
      <c r="Q13839" s="31" t="str">
        <f t="shared" si="865"/>
        <v/>
      </c>
      <c r="R13839" s="32" t="str">
        <f>IFERROR(VLOOKUP($D13839,'Informations sur les produits'!$A$3:$B$15000,2,FALSE),"")</f>
        <v/>
      </c>
      <c r="V13839">
        <f t="shared" si="866"/>
        <v>0</v>
      </c>
      <c r="W13839">
        <f t="shared" si="867"/>
        <v>0</v>
      </c>
    </row>
    <row r="13840" spans="5:23" x14ac:dyDescent="0.25">
      <c r="E13840" s="4"/>
      <c r="F13840" s="4"/>
      <c r="G13840" s="33" t="str">
        <f>IFERROR(VLOOKUP($D13840,'Informations sur les produits'!$A$3:$H$10000,8,FALSE),"0")</f>
        <v>0</v>
      </c>
      <c r="K13840" s="4"/>
      <c r="L13840" s="33" t="str">
        <f>IFERROR(VLOOKUP($J13840,'Informations sur les produits'!$A$3:$H$10000,8,FALSE),"0")</f>
        <v>0</v>
      </c>
      <c r="N13840" s="8"/>
      <c r="O13840" s="33" t="str">
        <f>IFERROR(VLOOKUP($M13840,'Informations sur les produits'!$A$3:$H$10000,8,FALSE),"0")</f>
        <v>0</v>
      </c>
      <c r="P13840" s="33">
        <f t="shared" si="864"/>
        <v>0</v>
      </c>
      <c r="Q13840" s="31" t="str">
        <f t="shared" si="865"/>
        <v/>
      </c>
      <c r="R13840" s="32" t="str">
        <f>IFERROR(VLOOKUP($D13840,'Informations sur les produits'!$A$3:$B$15000,2,FALSE),"")</f>
        <v/>
      </c>
      <c r="V13840">
        <f t="shared" si="866"/>
        <v>0</v>
      </c>
      <c r="W13840">
        <f t="shared" si="867"/>
        <v>0</v>
      </c>
    </row>
    <row r="13841" spans="5:23" x14ac:dyDescent="0.25">
      <c r="E13841" s="4"/>
      <c r="F13841" s="4"/>
      <c r="G13841" s="33" t="str">
        <f>IFERROR(VLOOKUP($D13841,'Informations sur les produits'!$A$3:$H$10000,8,FALSE),"0")</f>
        <v>0</v>
      </c>
      <c r="K13841" s="4"/>
      <c r="L13841" s="33" t="str">
        <f>IFERROR(VLOOKUP($J13841,'Informations sur les produits'!$A$3:$H$10000,8,FALSE),"0")</f>
        <v>0</v>
      </c>
      <c r="N13841" s="8"/>
      <c r="O13841" s="33" t="str">
        <f>IFERROR(VLOOKUP($M13841,'Informations sur les produits'!$A$3:$H$10000,8,FALSE),"0")</f>
        <v>0</v>
      </c>
      <c r="P13841" s="33">
        <f t="shared" si="864"/>
        <v>0</v>
      </c>
      <c r="Q13841" s="31" t="str">
        <f t="shared" si="865"/>
        <v/>
      </c>
      <c r="R13841" s="32" t="str">
        <f>IFERROR(VLOOKUP($D13841,'Informations sur les produits'!$A$3:$B$15000,2,FALSE),"")</f>
        <v/>
      </c>
      <c r="V13841">
        <f t="shared" si="866"/>
        <v>0</v>
      </c>
      <c r="W13841">
        <f t="shared" si="867"/>
        <v>0</v>
      </c>
    </row>
    <row r="13842" spans="5:23" x14ac:dyDescent="0.25">
      <c r="E13842" s="4"/>
      <c r="F13842" s="4"/>
      <c r="G13842" s="33" t="str">
        <f>IFERROR(VLOOKUP($D13842,'Informations sur les produits'!$A$3:$H$10000,8,FALSE),"0")</f>
        <v>0</v>
      </c>
      <c r="K13842" s="4"/>
      <c r="L13842" s="33" t="str">
        <f>IFERROR(VLOOKUP($J13842,'Informations sur les produits'!$A$3:$H$10000,8,FALSE),"0")</f>
        <v>0</v>
      </c>
      <c r="N13842" s="8"/>
      <c r="O13842" s="33" t="str">
        <f>IFERROR(VLOOKUP($M13842,'Informations sur les produits'!$A$3:$H$10000,8,FALSE),"0")</f>
        <v>0</v>
      </c>
      <c r="P13842" s="33">
        <f t="shared" si="864"/>
        <v>0</v>
      </c>
      <c r="Q13842" s="31" t="str">
        <f t="shared" si="865"/>
        <v/>
      </c>
      <c r="R13842" s="32" t="str">
        <f>IFERROR(VLOOKUP($D13842,'Informations sur les produits'!$A$3:$B$15000,2,FALSE),"")</f>
        <v/>
      </c>
      <c r="V13842">
        <f t="shared" si="866"/>
        <v>0</v>
      </c>
      <c r="W13842">
        <f t="shared" si="867"/>
        <v>0</v>
      </c>
    </row>
    <row r="13843" spans="5:23" x14ac:dyDescent="0.25">
      <c r="E13843" s="4"/>
      <c r="F13843" s="4"/>
      <c r="G13843" s="33" t="str">
        <f>IFERROR(VLOOKUP($D13843,'Informations sur les produits'!$A$3:$H$10000,8,FALSE),"0")</f>
        <v>0</v>
      </c>
      <c r="K13843" s="4"/>
      <c r="L13843" s="33" t="str">
        <f>IFERROR(VLOOKUP($J13843,'Informations sur les produits'!$A$3:$H$10000,8,FALSE),"0")</f>
        <v>0</v>
      </c>
      <c r="N13843" s="8"/>
      <c r="O13843" s="33" t="str">
        <f>IFERROR(VLOOKUP($M13843,'Informations sur les produits'!$A$3:$H$10000,8,FALSE),"0")</f>
        <v>0</v>
      </c>
      <c r="P13843" s="33">
        <f t="shared" si="864"/>
        <v>0</v>
      </c>
      <c r="Q13843" s="31" t="str">
        <f t="shared" si="865"/>
        <v/>
      </c>
      <c r="R13843" s="32" t="str">
        <f>IFERROR(VLOOKUP($D13843,'Informations sur les produits'!$A$3:$B$15000,2,FALSE),"")</f>
        <v/>
      </c>
      <c r="V13843">
        <f t="shared" si="866"/>
        <v>0</v>
      </c>
      <c r="W13843">
        <f t="shared" si="867"/>
        <v>0</v>
      </c>
    </row>
    <row r="13844" spans="5:23" x14ac:dyDescent="0.25">
      <c r="E13844" s="4"/>
      <c r="F13844" s="4"/>
      <c r="G13844" s="33" t="str">
        <f>IFERROR(VLOOKUP($D13844,'Informations sur les produits'!$A$3:$H$10000,8,FALSE),"0")</f>
        <v>0</v>
      </c>
      <c r="K13844" s="4"/>
      <c r="L13844" s="33" t="str">
        <f>IFERROR(VLOOKUP($J13844,'Informations sur les produits'!$A$3:$H$10000,8,FALSE),"0")</f>
        <v>0</v>
      </c>
      <c r="N13844" s="8"/>
      <c r="O13844" s="33" t="str">
        <f>IFERROR(VLOOKUP($M13844,'Informations sur les produits'!$A$3:$H$10000,8,FALSE),"0")</f>
        <v>0</v>
      </c>
      <c r="P13844" s="33">
        <f t="shared" si="864"/>
        <v>0</v>
      </c>
      <c r="Q13844" s="31" t="str">
        <f t="shared" si="865"/>
        <v/>
      </c>
      <c r="R13844" s="32" t="str">
        <f>IFERROR(VLOOKUP($D13844,'Informations sur les produits'!$A$3:$B$15000,2,FALSE),"")</f>
        <v/>
      </c>
      <c r="V13844">
        <f t="shared" si="866"/>
        <v>0</v>
      </c>
      <c r="W13844">
        <f t="shared" si="867"/>
        <v>0</v>
      </c>
    </row>
    <row r="13845" spans="5:23" x14ac:dyDescent="0.25">
      <c r="E13845" s="4"/>
      <c r="F13845" s="4"/>
      <c r="G13845" s="33" t="str">
        <f>IFERROR(VLOOKUP($D13845,'Informations sur les produits'!$A$3:$H$10000,8,FALSE),"0")</f>
        <v>0</v>
      </c>
      <c r="K13845" s="4"/>
      <c r="L13845" s="33" t="str">
        <f>IFERROR(VLOOKUP($J13845,'Informations sur les produits'!$A$3:$H$10000,8,FALSE),"0")</f>
        <v>0</v>
      </c>
      <c r="N13845" s="8"/>
      <c r="O13845" s="33" t="str">
        <f>IFERROR(VLOOKUP($M13845,'Informations sur les produits'!$A$3:$H$10000,8,FALSE),"0")</f>
        <v>0</v>
      </c>
      <c r="P13845" s="33">
        <f t="shared" si="864"/>
        <v>0</v>
      </c>
      <c r="Q13845" s="31" t="str">
        <f t="shared" si="865"/>
        <v/>
      </c>
      <c r="R13845" s="32" t="str">
        <f>IFERROR(VLOOKUP($D13845,'Informations sur les produits'!$A$3:$B$15000,2,FALSE),"")</f>
        <v/>
      </c>
      <c r="V13845">
        <f t="shared" si="866"/>
        <v>0</v>
      </c>
      <c r="W13845">
        <f t="shared" si="867"/>
        <v>0</v>
      </c>
    </row>
    <row r="13846" spans="5:23" x14ac:dyDescent="0.25">
      <c r="E13846" s="4"/>
      <c r="F13846" s="4"/>
      <c r="G13846" s="33" t="str">
        <f>IFERROR(VLOOKUP($D13846,'Informations sur les produits'!$A$3:$H$10000,8,FALSE),"0")</f>
        <v>0</v>
      </c>
      <c r="K13846" s="4"/>
      <c r="L13846" s="33" t="str">
        <f>IFERROR(VLOOKUP($J13846,'Informations sur les produits'!$A$3:$H$10000,8,FALSE),"0")</f>
        <v>0</v>
      </c>
      <c r="N13846" s="8"/>
      <c r="O13846" s="33" t="str">
        <f>IFERROR(VLOOKUP($M13846,'Informations sur les produits'!$A$3:$H$10000,8,FALSE),"0")</f>
        <v>0</v>
      </c>
      <c r="P13846" s="33">
        <f t="shared" si="864"/>
        <v>0</v>
      </c>
      <c r="Q13846" s="31" t="str">
        <f t="shared" si="865"/>
        <v/>
      </c>
      <c r="R13846" s="32" t="str">
        <f>IFERROR(VLOOKUP($D13846,'Informations sur les produits'!$A$3:$B$15000,2,FALSE),"")</f>
        <v/>
      </c>
      <c r="V13846">
        <f t="shared" si="866"/>
        <v>0</v>
      </c>
      <c r="W13846">
        <f t="shared" si="867"/>
        <v>0</v>
      </c>
    </row>
    <row r="13847" spans="5:23" x14ac:dyDescent="0.25">
      <c r="E13847" s="4"/>
      <c r="F13847" s="4"/>
      <c r="G13847" s="33" t="str">
        <f>IFERROR(VLOOKUP($D13847,'Informations sur les produits'!$A$3:$H$10000,8,FALSE),"0")</f>
        <v>0</v>
      </c>
      <c r="K13847" s="4"/>
      <c r="L13847" s="33" t="str">
        <f>IFERROR(VLOOKUP($J13847,'Informations sur les produits'!$A$3:$H$10000,8,FALSE),"0")</f>
        <v>0</v>
      </c>
      <c r="N13847" s="8"/>
      <c r="O13847" s="33" t="str">
        <f>IFERROR(VLOOKUP($M13847,'Informations sur les produits'!$A$3:$H$10000,8,FALSE),"0")</f>
        <v>0</v>
      </c>
      <c r="P13847" s="33">
        <f t="shared" si="864"/>
        <v>0</v>
      </c>
      <c r="Q13847" s="31" t="str">
        <f t="shared" si="865"/>
        <v/>
      </c>
      <c r="R13847" s="32" t="str">
        <f>IFERROR(VLOOKUP($D13847,'Informations sur les produits'!$A$3:$B$15000,2,FALSE),"")</f>
        <v/>
      </c>
      <c r="V13847">
        <f t="shared" si="866"/>
        <v>0</v>
      </c>
      <c r="W13847">
        <f t="shared" si="867"/>
        <v>0</v>
      </c>
    </row>
    <row r="13848" spans="5:23" x14ac:dyDescent="0.25">
      <c r="E13848" s="4"/>
      <c r="F13848" s="4"/>
      <c r="G13848" s="33" t="str">
        <f>IFERROR(VLOOKUP($D13848,'Informations sur les produits'!$A$3:$H$10000,8,FALSE),"0")</f>
        <v>0</v>
      </c>
      <c r="K13848" s="4"/>
      <c r="L13848" s="33" t="str">
        <f>IFERROR(VLOOKUP($J13848,'Informations sur les produits'!$A$3:$H$10000,8,FALSE),"0")</f>
        <v>0</v>
      </c>
      <c r="N13848" s="8"/>
      <c r="O13848" s="33" t="str">
        <f>IFERROR(VLOOKUP($M13848,'Informations sur les produits'!$A$3:$H$10000,8,FALSE),"0")</f>
        <v>0</v>
      </c>
      <c r="P13848" s="33">
        <f t="shared" si="864"/>
        <v>0</v>
      </c>
      <c r="Q13848" s="31" t="str">
        <f t="shared" si="865"/>
        <v/>
      </c>
      <c r="R13848" s="32" t="str">
        <f>IFERROR(VLOOKUP($D13848,'Informations sur les produits'!$A$3:$B$15000,2,FALSE),"")</f>
        <v/>
      </c>
      <c r="V13848">
        <f t="shared" si="866"/>
        <v>0</v>
      </c>
      <c r="W13848">
        <f t="shared" si="867"/>
        <v>0</v>
      </c>
    </row>
    <row r="13849" spans="5:23" x14ac:dyDescent="0.25">
      <c r="E13849" s="4"/>
      <c r="F13849" s="4"/>
      <c r="G13849" s="33" t="str">
        <f>IFERROR(VLOOKUP($D13849,'Informations sur les produits'!$A$3:$H$10000,8,FALSE),"0")</f>
        <v>0</v>
      </c>
      <c r="K13849" s="4"/>
      <c r="L13849" s="33" t="str">
        <f>IFERROR(VLOOKUP($J13849,'Informations sur les produits'!$A$3:$H$10000,8,FALSE),"0")</f>
        <v>0</v>
      </c>
      <c r="N13849" s="8"/>
      <c r="O13849" s="33" t="str">
        <f>IFERROR(VLOOKUP($M13849,'Informations sur les produits'!$A$3:$H$10000,8,FALSE),"0")</f>
        <v>0</v>
      </c>
      <c r="P13849" s="33">
        <f t="shared" si="864"/>
        <v>0</v>
      </c>
      <c r="Q13849" s="31" t="str">
        <f t="shared" si="865"/>
        <v/>
      </c>
      <c r="R13849" s="32" t="str">
        <f>IFERROR(VLOOKUP($D13849,'Informations sur les produits'!$A$3:$B$15000,2,FALSE),"")</f>
        <v/>
      </c>
      <c r="V13849">
        <f t="shared" si="866"/>
        <v>0</v>
      </c>
      <c r="W13849">
        <f t="shared" si="867"/>
        <v>0</v>
      </c>
    </row>
    <row r="13850" spans="5:23" x14ac:dyDescent="0.25">
      <c r="E13850" s="4"/>
      <c r="F13850" s="4"/>
      <c r="G13850" s="33" t="str">
        <f>IFERROR(VLOOKUP($D13850,'Informations sur les produits'!$A$3:$H$10000,8,FALSE),"0")</f>
        <v>0</v>
      </c>
      <c r="K13850" s="4"/>
      <c r="L13850" s="33" t="str">
        <f>IFERROR(VLOOKUP($J13850,'Informations sur les produits'!$A$3:$H$10000,8,FALSE),"0")</f>
        <v>0</v>
      </c>
      <c r="N13850" s="8"/>
      <c r="O13850" s="33" t="str">
        <f>IFERROR(VLOOKUP($M13850,'Informations sur les produits'!$A$3:$H$10000,8,FALSE),"0")</f>
        <v>0</v>
      </c>
      <c r="P13850" s="33">
        <f t="shared" si="864"/>
        <v>0</v>
      </c>
      <c r="Q13850" s="31" t="str">
        <f t="shared" si="865"/>
        <v/>
      </c>
      <c r="R13850" s="32" t="str">
        <f>IFERROR(VLOOKUP($D13850,'Informations sur les produits'!$A$3:$B$15000,2,FALSE),"")</f>
        <v/>
      </c>
      <c r="V13850">
        <f t="shared" si="866"/>
        <v>0</v>
      </c>
      <c r="W13850">
        <f t="shared" si="867"/>
        <v>0</v>
      </c>
    </row>
    <row r="13851" spans="5:23" x14ac:dyDescent="0.25">
      <c r="E13851" s="4"/>
      <c r="F13851" s="4"/>
      <c r="G13851" s="33" t="str">
        <f>IFERROR(VLOOKUP($D13851,'Informations sur les produits'!$A$3:$H$10000,8,FALSE),"0")</f>
        <v>0</v>
      </c>
      <c r="K13851" s="4"/>
      <c r="L13851" s="33" t="str">
        <f>IFERROR(VLOOKUP($J13851,'Informations sur les produits'!$A$3:$H$10000,8,FALSE),"0")</f>
        <v>0</v>
      </c>
      <c r="N13851" s="8"/>
      <c r="O13851" s="33" t="str">
        <f>IFERROR(VLOOKUP($M13851,'Informations sur les produits'!$A$3:$H$10000,8,FALSE),"0")</f>
        <v>0</v>
      </c>
      <c r="P13851" s="33">
        <f t="shared" si="864"/>
        <v>0</v>
      </c>
      <c r="Q13851" s="31" t="str">
        <f t="shared" si="865"/>
        <v/>
      </c>
      <c r="R13851" s="32" t="str">
        <f>IFERROR(VLOOKUP($D13851,'Informations sur les produits'!$A$3:$B$15000,2,FALSE),"")</f>
        <v/>
      </c>
      <c r="V13851">
        <f t="shared" si="866"/>
        <v>0</v>
      </c>
      <c r="W13851">
        <f t="shared" si="867"/>
        <v>0</v>
      </c>
    </row>
    <row r="13852" spans="5:23" x14ac:dyDescent="0.25">
      <c r="E13852" s="4"/>
      <c r="F13852" s="4"/>
      <c r="G13852" s="33" t="str">
        <f>IFERROR(VLOOKUP($D13852,'Informations sur les produits'!$A$3:$H$10000,8,FALSE),"0")</f>
        <v>0</v>
      </c>
      <c r="K13852" s="4"/>
      <c r="L13852" s="33" t="str">
        <f>IFERROR(VLOOKUP($J13852,'Informations sur les produits'!$A$3:$H$10000,8,FALSE),"0")</f>
        <v>0</v>
      </c>
      <c r="N13852" s="8"/>
      <c r="O13852" s="33" t="str">
        <f>IFERROR(VLOOKUP($M13852,'Informations sur les produits'!$A$3:$H$10000,8,FALSE),"0")</f>
        <v>0</v>
      </c>
      <c r="P13852" s="33">
        <f t="shared" si="864"/>
        <v>0</v>
      </c>
      <c r="Q13852" s="31" t="str">
        <f t="shared" si="865"/>
        <v/>
      </c>
      <c r="R13852" s="32" t="str">
        <f>IFERROR(VLOOKUP($D13852,'Informations sur les produits'!$A$3:$B$15000,2,FALSE),"")</f>
        <v/>
      </c>
      <c r="V13852">
        <f t="shared" si="866"/>
        <v>0</v>
      </c>
      <c r="W13852">
        <f t="shared" si="867"/>
        <v>0</v>
      </c>
    </row>
    <row r="13853" spans="5:23" x14ac:dyDescent="0.25">
      <c r="E13853" s="4"/>
      <c r="F13853" s="4"/>
      <c r="G13853" s="33" t="str">
        <f>IFERROR(VLOOKUP($D13853,'Informations sur les produits'!$A$3:$H$10000,8,FALSE),"0")</f>
        <v>0</v>
      </c>
      <c r="K13853" s="4"/>
      <c r="L13853" s="33" t="str">
        <f>IFERROR(VLOOKUP($J13853,'Informations sur les produits'!$A$3:$H$10000,8,FALSE),"0")</f>
        <v>0</v>
      </c>
      <c r="N13853" s="8"/>
      <c r="O13853" s="33" t="str">
        <f>IFERROR(VLOOKUP($M13853,'Informations sur les produits'!$A$3:$H$10000,8,FALSE),"0")</f>
        <v>0</v>
      </c>
      <c r="P13853" s="33">
        <f t="shared" si="864"/>
        <v>0</v>
      </c>
      <c r="Q13853" s="31" t="str">
        <f t="shared" si="865"/>
        <v/>
      </c>
      <c r="R13853" s="32" t="str">
        <f>IFERROR(VLOOKUP($D13853,'Informations sur les produits'!$A$3:$B$15000,2,FALSE),"")</f>
        <v/>
      </c>
      <c r="V13853">
        <f t="shared" si="866"/>
        <v>0</v>
      </c>
      <c r="W13853">
        <f t="shared" si="867"/>
        <v>0</v>
      </c>
    </row>
    <row r="13854" spans="5:23" x14ac:dyDescent="0.25">
      <c r="E13854" s="4"/>
      <c r="F13854" s="4"/>
      <c r="G13854" s="33" t="str">
        <f>IFERROR(VLOOKUP($D13854,'Informations sur les produits'!$A$3:$H$10000,8,FALSE),"0")</f>
        <v>0</v>
      </c>
      <c r="K13854" s="4"/>
      <c r="L13854" s="33" t="str">
        <f>IFERROR(VLOOKUP($J13854,'Informations sur les produits'!$A$3:$H$10000,8,FALSE),"0")</f>
        <v>0</v>
      </c>
      <c r="N13854" s="8"/>
      <c r="O13854" s="33" t="str">
        <f>IFERROR(VLOOKUP($M13854,'Informations sur les produits'!$A$3:$H$10000,8,FALSE),"0")</f>
        <v>0</v>
      </c>
      <c r="P13854" s="33">
        <f t="shared" si="864"/>
        <v>0</v>
      </c>
      <c r="Q13854" s="31" t="str">
        <f t="shared" si="865"/>
        <v/>
      </c>
      <c r="R13854" s="32" t="str">
        <f>IFERROR(VLOOKUP($D13854,'Informations sur les produits'!$A$3:$B$15000,2,FALSE),"")</f>
        <v/>
      </c>
      <c r="V13854">
        <f t="shared" si="866"/>
        <v>0</v>
      </c>
      <c r="W13854">
        <f t="shared" si="867"/>
        <v>0</v>
      </c>
    </row>
    <row r="13855" spans="5:23" x14ac:dyDescent="0.25">
      <c r="E13855" s="4"/>
      <c r="F13855" s="4"/>
      <c r="G13855" s="33" t="str">
        <f>IFERROR(VLOOKUP($D13855,'Informations sur les produits'!$A$3:$H$10000,8,FALSE),"0")</f>
        <v>0</v>
      </c>
      <c r="K13855" s="4"/>
      <c r="L13855" s="33" t="str">
        <f>IFERROR(VLOOKUP($J13855,'Informations sur les produits'!$A$3:$H$10000,8,FALSE),"0")</f>
        <v>0</v>
      </c>
      <c r="N13855" s="8"/>
      <c r="O13855" s="33" t="str">
        <f>IFERROR(VLOOKUP($M13855,'Informations sur les produits'!$A$3:$H$10000,8,FALSE),"0")</f>
        <v>0</v>
      </c>
      <c r="P13855" s="33">
        <f t="shared" si="864"/>
        <v>0</v>
      </c>
      <c r="Q13855" s="31" t="str">
        <f t="shared" si="865"/>
        <v/>
      </c>
      <c r="R13855" s="32" t="str">
        <f>IFERROR(VLOOKUP($D13855,'Informations sur les produits'!$A$3:$B$15000,2,FALSE),"")</f>
        <v/>
      </c>
      <c r="V13855">
        <f t="shared" si="866"/>
        <v>0</v>
      </c>
      <c r="W13855">
        <f t="shared" si="867"/>
        <v>0</v>
      </c>
    </row>
    <row r="13856" spans="5:23" x14ac:dyDescent="0.25">
      <c r="E13856" s="4"/>
      <c r="F13856" s="4"/>
      <c r="G13856" s="33" t="str">
        <f>IFERROR(VLOOKUP($D13856,'Informations sur les produits'!$A$3:$H$10000,8,FALSE),"0")</f>
        <v>0</v>
      </c>
      <c r="K13856" s="4"/>
      <c r="L13856" s="33" t="str">
        <f>IFERROR(VLOOKUP($J13856,'Informations sur les produits'!$A$3:$H$10000,8,FALSE),"0")</f>
        <v>0</v>
      </c>
      <c r="N13856" s="8"/>
      <c r="O13856" s="33" t="str">
        <f>IFERROR(VLOOKUP($M13856,'Informations sur les produits'!$A$3:$H$10000,8,FALSE),"0")</f>
        <v>0</v>
      </c>
      <c r="P13856" s="33">
        <f t="shared" si="864"/>
        <v>0</v>
      </c>
      <c r="Q13856" s="31" t="str">
        <f t="shared" si="865"/>
        <v/>
      </c>
      <c r="R13856" s="32" t="str">
        <f>IFERROR(VLOOKUP($D13856,'Informations sur les produits'!$A$3:$B$15000,2,FALSE),"")</f>
        <v/>
      </c>
      <c r="V13856">
        <f t="shared" si="866"/>
        <v>0</v>
      </c>
      <c r="W13856">
        <f t="shared" si="867"/>
        <v>0</v>
      </c>
    </row>
    <row r="13857" spans="5:23" x14ac:dyDescent="0.25">
      <c r="E13857" s="4"/>
      <c r="F13857" s="4"/>
      <c r="G13857" s="33" t="str">
        <f>IFERROR(VLOOKUP($D13857,'Informations sur les produits'!$A$3:$H$10000,8,FALSE),"0")</f>
        <v>0</v>
      </c>
      <c r="K13857" s="4"/>
      <c r="L13857" s="33" t="str">
        <f>IFERROR(VLOOKUP($J13857,'Informations sur les produits'!$A$3:$H$10000,8,FALSE),"0")</f>
        <v>0</v>
      </c>
      <c r="N13857" s="8"/>
      <c r="O13857" s="33" t="str">
        <f>IFERROR(VLOOKUP($M13857,'Informations sur les produits'!$A$3:$H$10000,8,FALSE),"0")</f>
        <v>0</v>
      </c>
      <c r="P13857" s="33">
        <f t="shared" si="864"/>
        <v>0</v>
      </c>
      <c r="Q13857" s="31" t="str">
        <f t="shared" si="865"/>
        <v/>
      </c>
      <c r="R13857" s="32" t="str">
        <f>IFERROR(VLOOKUP($D13857,'Informations sur les produits'!$A$3:$B$15000,2,FALSE),"")</f>
        <v/>
      </c>
      <c r="V13857">
        <f t="shared" si="866"/>
        <v>0</v>
      </c>
      <c r="W13857">
        <f t="shared" si="867"/>
        <v>0</v>
      </c>
    </row>
    <row r="13858" spans="5:23" x14ac:dyDescent="0.25">
      <c r="E13858" s="4"/>
      <c r="F13858" s="4"/>
      <c r="G13858" s="33" t="str">
        <f>IFERROR(VLOOKUP($D13858,'Informations sur les produits'!$A$3:$H$10000,8,FALSE),"0")</f>
        <v>0</v>
      </c>
      <c r="K13858" s="4"/>
      <c r="L13858" s="33" t="str">
        <f>IFERROR(VLOOKUP($J13858,'Informations sur les produits'!$A$3:$H$10000,8,FALSE),"0")</f>
        <v>0</v>
      </c>
      <c r="N13858" s="8"/>
      <c r="O13858" s="33" t="str">
        <f>IFERROR(VLOOKUP($M13858,'Informations sur les produits'!$A$3:$H$10000,8,FALSE),"0")</f>
        <v>0</v>
      </c>
      <c r="P13858" s="33">
        <f t="shared" si="864"/>
        <v>0</v>
      </c>
      <c r="Q13858" s="31" t="str">
        <f t="shared" si="865"/>
        <v/>
      </c>
      <c r="R13858" s="32" t="str">
        <f>IFERROR(VLOOKUP($D13858,'Informations sur les produits'!$A$3:$B$15000,2,FALSE),"")</f>
        <v/>
      </c>
      <c r="V13858">
        <f t="shared" si="866"/>
        <v>0</v>
      </c>
      <c r="W13858">
        <f t="shared" si="867"/>
        <v>0</v>
      </c>
    </row>
    <row r="13859" spans="5:23" x14ac:dyDescent="0.25">
      <c r="E13859" s="4"/>
      <c r="F13859" s="4"/>
      <c r="G13859" s="33" t="str">
        <f>IFERROR(VLOOKUP($D13859,'Informations sur les produits'!$A$3:$H$10000,8,FALSE),"0")</f>
        <v>0</v>
      </c>
      <c r="K13859" s="4"/>
      <c r="L13859" s="33" t="str">
        <f>IFERROR(VLOOKUP($J13859,'Informations sur les produits'!$A$3:$H$10000,8,FALSE),"0")</f>
        <v>0</v>
      </c>
      <c r="N13859" s="8"/>
      <c r="O13859" s="33" t="str">
        <f>IFERROR(VLOOKUP($M13859,'Informations sur les produits'!$A$3:$H$10000,8,FALSE),"0")</f>
        <v>0</v>
      </c>
      <c r="P13859" s="33">
        <f t="shared" si="864"/>
        <v>0</v>
      </c>
      <c r="Q13859" s="31" t="str">
        <f t="shared" si="865"/>
        <v/>
      </c>
      <c r="R13859" s="32" t="str">
        <f>IFERROR(VLOOKUP($D13859,'Informations sur les produits'!$A$3:$B$15000,2,FALSE),"")</f>
        <v/>
      </c>
      <c r="V13859">
        <f t="shared" si="866"/>
        <v>0</v>
      </c>
      <c r="W13859">
        <f t="shared" si="867"/>
        <v>0</v>
      </c>
    </row>
    <row r="13860" spans="5:23" x14ac:dyDescent="0.25">
      <c r="E13860" s="4"/>
      <c r="F13860" s="4"/>
      <c r="G13860" s="33" t="str">
        <f>IFERROR(VLOOKUP($D13860,'Informations sur les produits'!$A$3:$H$10000,8,FALSE),"0")</f>
        <v>0</v>
      </c>
      <c r="K13860" s="4"/>
      <c r="L13860" s="33" t="str">
        <f>IFERROR(VLOOKUP($J13860,'Informations sur les produits'!$A$3:$H$10000,8,FALSE),"0")</f>
        <v>0</v>
      </c>
      <c r="N13860" s="8"/>
      <c r="O13860" s="33" t="str">
        <f>IFERROR(VLOOKUP($M13860,'Informations sur les produits'!$A$3:$H$10000,8,FALSE),"0")</f>
        <v>0</v>
      </c>
      <c r="P13860" s="33">
        <f t="shared" si="864"/>
        <v>0</v>
      </c>
      <c r="Q13860" s="31" t="str">
        <f t="shared" si="865"/>
        <v/>
      </c>
      <c r="R13860" s="32" t="str">
        <f>IFERROR(VLOOKUP($D13860,'Informations sur les produits'!$A$3:$B$15000,2,FALSE),"")</f>
        <v/>
      </c>
      <c r="V13860">
        <f t="shared" si="866"/>
        <v>0</v>
      </c>
      <c r="W13860">
        <f t="shared" si="867"/>
        <v>0</v>
      </c>
    </row>
    <row r="13861" spans="5:23" x14ac:dyDescent="0.25">
      <c r="E13861" s="4"/>
      <c r="F13861" s="4"/>
      <c r="G13861" s="33" t="str">
        <f>IFERROR(VLOOKUP($D13861,'Informations sur les produits'!$A$3:$H$10000,8,FALSE),"0")</f>
        <v>0</v>
      </c>
      <c r="K13861" s="4"/>
      <c r="L13861" s="33" t="str">
        <f>IFERROR(VLOOKUP($J13861,'Informations sur les produits'!$A$3:$H$10000,8,FALSE),"0")</f>
        <v>0</v>
      </c>
      <c r="N13861" s="8"/>
      <c r="O13861" s="33" t="str">
        <f>IFERROR(VLOOKUP($M13861,'Informations sur les produits'!$A$3:$H$10000,8,FALSE),"0")</f>
        <v>0</v>
      </c>
      <c r="P13861" s="33">
        <f t="shared" si="864"/>
        <v>0</v>
      </c>
      <c r="Q13861" s="31" t="str">
        <f t="shared" si="865"/>
        <v/>
      </c>
      <c r="R13861" s="32" t="str">
        <f>IFERROR(VLOOKUP($D13861,'Informations sur les produits'!$A$3:$B$15000,2,FALSE),"")</f>
        <v/>
      </c>
      <c r="V13861">
        <f t="shared" si="866"/>
        <v>0</v>
      </c>
      <c r="W13861">
        <f t="shared" si="867"/>
        <v>0</v>
      </c>
    </row>
    <row r="13862" spans="5:23" x14ac:dyDescent="0.25">
      <c r="E13862" s="4"/>
      <c r="F13862" s="4"/>
      <c r="G13862" s="33" t="str">
        <f>IFERROR(VLOOKUP($D13862,'Informations sur les produits'!$A$3:$H$10000,8,FALSE),"0")</f>
        <v>0</v>
      </c>
      <c r="K13862" s="4"/>
      <c r="L13862" s="33" t="str">
        <f>IFERROR(VLOOKUP($J13862,'Informations sur les produits'!$A$3:$H$10000,8,FALSE),"0")</f>
        <v>0</v>
      </c>
      <c r="N13862" s="8"/>
      <c r="O13862" s="33" t="str">
        <f>IFERROR(VLOOKUP($M13862,'Informations sur les produits'!$A$3:$H$10000,8,FALSE),"0")</f>
        <v>0</v>
      </c>
      <c r="P13862" s="33">
        <f t="shared" si="864"/>
        <v>0</v>
      </c>
      <c r="Q13862" s="31" t="str">
        <f t="shared" si="865"/>
        <v/>
      </c>
      <c r="R13862" s="32" t="str">
        <f>IFERROR(VLOOKUP($D13862,'Informations sur les produits'!$A$3:$B$15000,2,FALSE),"")</f>
        <v/>
      </c>
      <c r="V13862">
        <f t="shared" si="866"/>
        <v>0</v>
      </c>
      <c r="W13862">
        <f t="shared" si="867"/>
        <v>0</v>
      </c>
    </row>
    <row r="13863" spans="5:23" x14ac:dyDescent="0.25">
      <c r="E13863" s="4"/>
      <c r="F13863" s="4"/>
      <c r="G13863" s="33" t="str">
        <f>IFERROR(VLOOKUP($D13863,'Informations sur les produits'!$A$3:$H$10000,8,FALSE),"0")</f>
        <v>0</v>
      </c>
      <c r="K13863" s="4"/>
      <c r="L13863" s="33" t="str">
        <f>IFERROR(VLOOKUP($J13863,'Informations sur les produits'!$A$3:$H$10000,8,FALSE),"0")</f>
        <v>0</v>
      </c>
      <c r="N13863" s="8"/>
      <c r="O13863" s="33" t="str">
        <f>IFERROR(VLOOKUP($M13863,'Informations sur les produits'!$A$3:$H$10000,8,FALSE),"0")</f>
        <v>0</v>
      </c>
      <c r="P13863" s="33">
        <f t="shared" si="864"/>
        <v>0</v>
      </c>
      <c r="Q13863" s="31" t="str">
        <f t="shared" si="865"/>
        <v/>
      </c>
      <c r="R13863" s="32" t="str">
        <f>IFERROR(VLOOKUP($D13863,'Informations sur les produits'!$A$3:$B$15000,2,FALSE),"")</f>
        <v/>
      </c>
      <c r="V13863">
        <f t="shared" si="866"/>
        <v>0</v>
      </c>
      <c r="W13863">
        <f t="shared" si="867"/>
        <v>0</v>
      </c>
    </row>
    <row r="13864" spans="5:23" x14ac:dyDescent="0.25">
      <c r="E13864" s="4"/>
      <c r="F13864" s="4"/>
      <c r="G13864" s="33" t="str">
        <f>IFERROR(VLOOKUP($D13864,'Informations sur les produits'!$A$3:$H$10000,8,FALSE),"0")</f>
        <v>0</v>
      </c>
      <c r="K13864" s="4"/>
      <c r="L13864" s="33" t="str">
        <f>IFERROR(VLOOKUP($J13864,'Informations sur les produits'!$A$3:$H$10000,8,FALSE),"0")</f>
        <v>0</v>
      </c>
      <c r="N13864" s="8"/>
      <c r="O13864" s="33" t="str">
        <f>IFERROR(VLOOKUP($M13864,'Informations sur les produits'!$A$3:$H$10000,8,FALSE),"0")</f>
        <v>0</v>
      </c>
      <c r="P13864" s="33">
        <f t="shared" si="864"/>
        <v>0</v>
      </c>
      <c r="Q13864" s="31" t="str">
        <f t="shared" si="865"/>
        <v/>
      </c>
      <c r="R13864" s="32" t="str">
        <f>IFERROR(VLOOKUP($D13864,'Informations sur les produits'!$A$3:$B$15000,2,FALSE),"")</f>
        <v/>
      </c>
      <c r="V13864">
        <f t="shared" si="866"/>
        <v>0</v>
      </c>
      <c r="W13864">
        <f t="shared" si="867"/>
        <v>0</v>
      </c>
    </row>
    <row r="13865" spans="5:23" x14ac:dyDescent="0.25">
      <c r="E13865" s="4"/>
      <c r="F13865" s="4"/>
      <c r="G13865" s="33" t="str">
        <f>IFERROR(VLOOKUP($D13865,'Informations sur les produits'!$A$3:$H$10000,8,FALSE),"0")</f>
        <v>0</v>
      </c>
      <c r="K13865" s="4"/>
      <c r="L13865" s="33" t="str">
        <f>IFERROR(VLOOKUP($J13865,'Informations sur les produits'!$A$3:$H$10000,8,FALSE),"0")</f>
        <v>0</v>
      </c>
      <c r="N13865" s="8"/>
      <c r="O13865" s="33" t="str">
        <f>IFERROR(VLOOKUP($M13865,'Informations sur les produits'!$A$3:$H$10000,8,FALSE),"0")</f>
        <v>0</v>
      </c>
      <c r="P13865" s="33">
        <f t="shared" si="864"/>
        <v>0</v>
      </c>
      <c r="Q13865" s="31" t="str">
        <f t="shared" si="865"/>
        <v/>
      </c>
      <c r="R13865" s="32" t="str">
        <f>IFERROR(VLOOKUP($D13865,'Informations sur les produits'!$A$3:$B$15000,2,FALSE),"")</f>
        <v/>
      </c>
      <c r="V13865">
        <f t="shared" si="866"/>
        <v>0</v>
      </c>
      <c r="W13865">
        <f t="shared" si="867"/>
        <v>0</v>
      </c>
    </row>
    <row r="13866" spans="5:23" x14ac:dyDescent="0.25">
      <c r="E13866" s="4"/>
      <c r="F13866" s="4"/>
      <c r="G13866" s="33" t="str">
        <f>IFERROR(VLOOKUP($D13866,'Informations sur les produits'!$A$3:$H$10000,8,FALSE),"0")</f>
        <v>0</v>
      </c>
      <c r="K13866" s="4"/>
      <c r="L13866" s="33" t="str">
        <f>IFERROR(VLOOKUP($J13866,'Informations sur les produits'!$A$3:$H$10000,8,FALSE),"0")</f>
        <v>0</v>
      </c>
      <c r="N13866" s="8"/>
      <c r="O13866" s="33" t="str">
        <f>IFERROR(VLOOKUP($M13866,'Informations sur les produits'!$A$3:$H$10000,8,FALSE),"0")</f>
        <v>0</v>
      </c>
      <c r="P13866" s="33">
        <f t="shared" si="864"/>
        <v>0</v>
      </c>
      <c r="Q13866" s="31" t="str">
        <f t="shared" si="865"/>
        <v/>
      </c>
      <c r="R13866" s="32" t="str">
        <f>IFERROR(VLOOKUP($D13866,'Informations sur les produits'!$A$3:$B$15000,2,FALSE),"")</f>
        <v/>
      </c>
      <c r="V13866">
        <f t="shared" si="866"/>
        <v>0</v>
      </c>
      <c r="W13866">
        <f t="shared" si="867"/>
        <v>0</v>
      </c>
    </row>
    <row r="13867" spans="5:23" x14ac:dyDescent="0.25">
      <c r="E13867" s="4"/>
      <c r="F13867" s="4"/>
      <c r="G13867" s="33" t="str">
        <f>IFERROR(VLOOKUP($D13867,'Informations sur les produits'!$A$3:$H$10000,8,FALSE),"0")</f>
        <v>0</v>
      </c>
      <c r="K13867" s="4"/>
      <c r="L13867" s="33" t="str">
        <f>IFERROR(VLOOKUP($J13867,'Informations sur les produits'!$A$3:$H$10000,8,FALSE),"0")</f>
        <v>0</v>
      </c>
      <c r="N13867" s="8"/>
      <c r="O13867" s="33" t="str">
        <f>IFERROR(VLOOKUP($M13867,'Informations sur les produits'!$A$3:$H$10000,8,FALSE),"0")</f>
        <v>0</v>
      </c>
      <c r="P13867" s="33">
        <f t="shared" si="864"/>
        <v>0</v>
      </c>
      <c r="Q13867" s="31" t="str">
        <f t="shared" si="865"/>
        <v/>
      </c>
      <c r="R13867" s="32" t="str">
        <f>IFERROR(VLOOKUP($D13867,'Informations sur les produits'!$A$3:$B$15000,2,FALSE),"")</f>
        <v/>
      </c>
      <c r="V13867">
        <f t="shared" si="866"/>
        <v>0</v>
      </c>
      <c r="W13867">
        <f t="shared" si="867"/>
        <v>0</v>
      </c>
    </row>
    <row r="13868" spans="5:23" x14ac:dyDescent="0.25">
      <c r="E13868" s="4"/>
      <c r="F13868" s="4"/>
      <c r="G13868" s="33" t="str">
        <f>IFERROR(VLOOKUP($D13868,'Informations sur les produits'!$A$3:$H$10000,8,FALSE),"0")</f>
        <v>0</v>
      </c>
      <c r="K13868" s="4"/>
      <c r="L13868" s="33" t="str">
        <f>IFERROR(VLOOKUP($J13868,'Informations sur les produits'!$A$3:$H$10000,8,FALSE),"0")</f>
        <v>0</v>
      </c>
      <c r="N13868" s="8"/>
      <c r="O13868" s="33" t="str">
        <f>IFERROR(VLOOKUP($M13868,'Informations sur les produits'!$A$3:$H$10000,8,FALSE),"0")</f>
        <v>0</v>
      </c>
      <c r="P13868" s="33">
        <f t="shared" si="864"/>
        <v>0</v>
      </c>
      <c r="Q13868" s="31" t="str">
        <f t="shared" si="865"/>
        <v/>
      </c>
      <c r="R13868" s="32" t="str">
        <f>IFERROR(VLOOKUP($D13868,'Informations sur les produits'!$A$3:$B$15000,2,FALSE),"")</f>
        <v/>
      </c>
      <c r="V13868">
        <f t="shared" si="866"/>
        <v>0</v>
      </c>
      <c r="W13868">
        <f t="shared" si="867"/>
        <v>0</v>
      </c>
    </row>
    <row r="13869" spans="5:23" x14ac:dyDescent="0.25">
      <c r="E13869" s="4"/>
      <c r="F13869" s="4"/>
      <c r="G13869" s="33" t="str">
        <f>IFERROR(VLOOKUP($D13869,'Informations sur les produits'!$A$3:$H$10000,8,FALSE),"0")</f>
        <v>0</v>
      </c>
      <c r="K13869" s="4"/>
      <c r="L13869" s="33" t="str">
        <f>IFERROR(VLOOKUP($J13869,'Informations sur les produits'!$A$3:$H$10000,8,FALSE),"0")</f>
        <v>0</v>
      </c>
      <c r="N13869" s="8"/>
      <c r="O13869" s="33" t="str">
        <f>IFERROR(VLOOKUP($M13869,'Informations sur les produits'!$A$3:$H$10000,8,FALSE),"0")</f>
        <v>0</v>
      </c>
      <c r="P13869" s="33">
        <f t="shared" si="864"/>
        <v>0</v>
      </c>
      <c r="Q13869" s="31" t="str">
        <f t="shared" si="865"/>
        <v/>
      </c>
      <c r="R13869" s="32" t="str">
        <f>IFERROR(VLOOKUP($D13869,'Informations sur les produits'!$A$3:$B$15000,2,FALSE),"")</f>
        <v/>
      </c>
      <c r="V13869">
        <f t="shared" si="866"/>
        <v>0</v>
      </c>
      <c r="W13869">
        <f t="shared" si="867"/>
        <v>0</v>
      </c>
    </row>
    <row r="13870" spans="5:23" x14ac:dyDescent="0.25">
      <c r="E13870" s="4"/>
      <c r="F13870" s="4"/>
      <c r="G13870" s="33" t="str">
        <f>IFERROR(VLOOKUP($D13870,'Informations sur les produits'!$A$3:$H$10000,8,FALSE),"0")</f>
        <v>0</v>
      </c>
      <c r="K13870" s="4"/>
      <c r="L13870" s="33" t="str">
        <f>IFERROR(VLOOKUP($J13870,'Informations sur les produits'!$A$3:$H$10000,8,FALSE),"0")</f>
        <v>0</v>
      </c>
      <c r="N13870" s="8"/>
      <c r="O13870" s="33" t="str">
        <f>IFERROR(VLOOKUP($M13870,'Informations sur les produits'!$A$3:$H$10000,8,FALSE),"0")</f>
        <v>0</v>
      </c>
      <c r="P13870" s="33">
        <f t="shared" si="864"/>
        <v>0</v>
      </c>
      <c r="Q13870" s="31" t="str">
        <f t="shared" si="865"/>
        <v/>
      </c>
      <c r="R13870" s="32" t="str">
        <f>IFERROR(VLOOKUP($D13870,'Informations sur les produits'!$A$3:$B$15000,2,FALSE),"")</f>
        <v/>
      </c>
      <c r="V13870">
        <f t="shared" si="866"/>
        <v>0</v>
      </c>
      <c r="W13870">
        <f t="shared" si="867"/>
        <v>0</v>
      </c>
    </row>
    <row r="13871" spans="5:23" x14ac:dyDescent="0.25">
      <c r="E13871" s="4"/>
      <c r="F13871" s="4"/>
      <c r="G13871" s="33" t="str">
        <f>IFERROR(VLOOKUP($D13871,'Informations sur les produits'!$A$3:$H$10000,8,FALSE),"0")</f>
        <v>0</v>
      </c>
      <c r="K13871" s="4"/>
      <c r="L13871" s="33" t="str">
        <f>IFERROR(VLOOKUP($J13871,'Informations sur les produits'!$A$3:$H$10000,8,FALSE),"0")</f>
        <v>0</v>
      </c>
      <c r="N13871" s="8"/>
      <c r="O13871" s="33" t="str">
        <f>IFERROR(VLOOKUP($M13871,'Informations sur les produits'!$A$3:$H$10000,8,FALSE),"0")</f>
        <v>0</v>
      </c>
      <c r="P13871" s="33">
        <f t="shared" si="864"/>
        <v>0</v>
      </c>
      <c r="Q13871" s="31" t="str">
        <f t="shared" si="865"/>
        <v/>
      </c>
      <c r="R13871" s="32" t="str">
        <f>IFERROR(VLOOKUP($D13871,'Informations sur les produits'!$A$3:$B$15000,2,FALSE),"")</f>
        <v/>
      </c>
      <c r="V13871">
        <f t="shared" si="866"/>
        <v>0</v>
      </c>
      <c r="W13871">
        <f t="shared" si="867"/>
        <v>0</v>
      </c>
    </row>
    <row r="13872" spans="5:23" x14ac:dyDescent="0.25">
      <c r="E13872" s="4"/>
      <c r="F13872" s="4"/>
      <c r="G13872" s="33" t="str">
        <f>IFERROR(VLOOKUP($D13872,'Informations sur les produits'!$A$3:$H$10000,8,FALSE),"0")</f>
        <v>0</v>
      </c>
      <c r="K13872" s="4"/>
      <c r="L13872" s="33" t="str">
        <f>IFERROR(VLOOKUP($J13872,'Informations sur les produits'!$A$3:$H$10000,8,FALSE),"0")</f>
        <v>0</v>
      </c>
      <c r="N13872" s="8"/>
      <c r="O13872" s="33" t="str">
        <f>IFERROR(VLOOKUP($M13872,'Informations sur les produits'!$A$3:$H$10000,8,FALSE),"0")</f>
        <v>0</v>
      </c>
      <c r="P13872" s="33">
        <f t="shared" si="864"/>
        <v>0</v>
      </c>
      <c r="Q13872" s="31" t="str">
        <f t="shared" si="865"/>
        <v/>
      </c>
      <c r="R13872" s="32" t="str">
        <f>IFERROR(VLOOKUP($D13872,'Informations sur les produits'!$A$3:$B$15000,2,FALSE),"")</f>
        <v/>
      </c>
      <c r="V13872">
        <f t="shared" si="866"/>
        <v>0</v>
      </c>
      <c r="W13872">
        <f t="shared" si="867"/>
        <v>0</v>
      </c>
    </row>
    <row r="13873" spans="5:23" x14ac:dyDescent="0.25">
      <c r="E13873" s="4"/>
      <c r="F13873" s="4"/>
      <c r="G13873" s="33" t="str">
        <f>IFERROR(VLOOKUP($D13873,'Informations sur les produits'!$A$3:$H$10000,8,FALSE),"0")</f>
        <v>0</v>
      </c>
      <c r="K13873" s="4"/>
      <c r="L13873" s="33" t="str">
        <f>IFERROR(VLOOKUP($J13873,'Informations sur les produits'!$A$3:$H$10000,8,FALSE),"0")</f>
        <v>0</v>
      </c>
      <c r="N13873" s="8"/>
      <c r="O13873" s="33" t="str">
        <f>IFERROR(VLOOKUP($M13873,'Informations sur les produits'!$A$3:$H$10000,8,FALSE),"0")</f>
        <v>0</v>
      </c>
      <c r="P13873" s="33">
        <f t="shared" si="864"/>
        <v>0</v>
      </c>
      <c r="Q13873" s="31" t="str">
        <f t="shared" si="865"/>
        <v/>
      </c>
      <c r="R13873" s="32" t="str">
        <f>IFERROR(VLOOKUP($D13873,'Informations sur les produits'!$A$3:$B$15000,2,FALSE),"")</f>
        <v/>
      </c>
      <c r="V13873">
        <f t="shared" si="866"/>
        <v>0</v>
      </c>
      <c r="W13873">
        <f t="shared" si="867"/>
        <v>0</v>
      </c>
    </row>
    <row r="13874" spans="5:23" x14ac:dyDescent="0.25">
      <c r="E13874" s="4"/>
      <c r="F13874" s="4"/>
      <c r="G13874" s="33" t="str">
        <f>IFERROR(VLOOKUP($D13874,'Informations sur les produits'!$A$3:$H$10000,8,FALSE),"0")</f>
        <v>0</v>
      </c>
      <c r="K13874" s="4"/>
      <c r="L13874" s="33" t="str">
        <f>IFERROR(VLOOKUP($J13874,'Informations sur les produits'!$A$3:$H$10000,8,FALSE),"0")</f>
        <v>0</v>
      </c>
      <c r="N13874" s="8"/>
      <c r="O13874" s="33" t="str">
        <f>IFERROR(VLOOKUP($M13874,'Informations sur les produits'!$A$3:$H$10000,8,FALSE),"0")</f>
        <v>0</v>
      </c>
      <c r="P13874" s="33">
        <f t="shared" si="864"/>
        <v>0</v>
      </c>
      <c r="Q13874" s="31" t="str">
        <f t="shared" si="865"/>
        <v/>
      </c>
      <c r="R13874" s="32" t="str">
        <f>IFERROR(VLOOKUP($D13874,'Informations sur les produits'!$A$3:$B$15000,2,FALSE),"")</f>
        <v/>
      </c>
      <c r="V13874">
        <f t="shared" si="866"/>
        <v>0</v>
      </c>
      <c r="W13874">
        <f t="shared" si="867"/>
        <v>0</v>
      </c>
    </row>
    <row r="13875" spans="5:23" x14ac:dyDescent="0.25">
      <c r="E13875" s="4"/>
      <c r="F13875" s="4"/>
      <c r="G13875" s="33" t="str">
        <f>IFERROR(VLOOKUP($D13875,'Informations sur les produits'!$A$3:$H$10000,8,FALSE),"0")</f>
        <v>0</v>
      </c>
      <c r="K13875" s="4"/>
      <c r="L13875" s="33" t="str">
        <f>IFERROR(VLOOKUP($J13875,'Informations sur les produits'!$A$3:$H$10000,8,FALSE),"0")</f>
        <v>0</v>
      </c>
      <c r="N13875" s="8"/>
      <c r="O13875" s="33" t="str">
        <f>IFERROR(VLOOKUP($M13875,'Informations sur les produits'!$A$3:$H$10000,8,FALSE),"0")</f>
        <v>0</v>
      </c>
      <c r="P13875" s="33">
        <f t="shared" si="864"/>
        <v>0</v>
      </c>
      <c r="Q13875" s="31" t="str">
        <f t="shared" si="865"/>
        <v/>
      </c>
      <c r="R13875" s="32" t="str">
        <f>IFERROR(VLOOKUP($D13875,'Informations sur les produits'!$A$3:$B$15000,2,FALSE),"")</f>
        <v/>
      </c>
      <c r="V13875">
        <f t="shared" si="866"/>
        <v>0</v>
      </c>
      <c r="W13875">
        <f t="shared" si="867"/>
        <v>0</v>
      </c>
    </row>
    <row r="13876" spans="5:23" x14ac:dyDescent="0.25">
      <c r="E13876" s="4"/>
      <c r="F13876" s="4"/>
      <c r="G13876" s="33" t="str">
        <f>IFERROR(VLOOKUP($D13876,'Informations sur les produits'!$A$3:$H$10000,8,FALSE),"0")</f>
        <v>0</v>
      </c>
      <c r="K13876" s="4"/>
      <c r="L13876" s="33" t="str">
        <f>IFERROR(VLOOKUP($J13876,'Informations sur les produits'!$A$3:$H$10000,8,FALSE),"0")</f>
        <v>0</v>
      </c>
      <c r="N13876" s="8"/>
      <c r="O13876" s="33" t="str">
        <f>IFERROR(VLOOKUP($M13876,'Informations sur les produits'!$A$3:$H$10000,8,FALSE),"0")</f>
        <v>0</v>
      </c>
      <c r="P13876" s="33">
        <f t="shared" si="864"/>
        <v>0</v>
      </c>
      <c r="Q13876" s="31" t="str">
        <f t="shared" si="865"/>
        <v/>
      </c>
      <c r="R13876" s="32" t="str">
        <f>IFERROR(VLOOKUP($D13876,'Informations sur les produits'!$A$3:$B$15000,2,FALSE),"")</f>
        <v/>
      </c>
      <c r="V13876">
        <f t="shared" si="866"/>
        <v>0</v>
      </c>
      <c r="W13876">
        <f t="shared" si="867"/>
        <v>0</v>
      </c>
    </row>
    <row r="13877" spans="5:23" x14ac:dyDescent="0.25">
      <c r="E13877" s="4"/>
      <c r="F13877" s="4"/>
      <c r="G13877" s="33" t="str">
        <f>IFERROR(VLOOKUP($D13877,'Informations sur les produits'!$A$3:$H$10000,8,FALSE),"0")</f>
        <v>0</v>
      </c>
      <c r="K13877" s="4"/>
      <c r="L13877" s="33" t="str">
        <f>IFERROR(VLOOKUP($J13877,'Informations sur les produits'!$A$3:$H$10000,8,FALSE),"0")</f>
        <v>0</v>
      </c>
      <c r="N13877" s="8"/>
      <c r="O13877" s="33" t="str">
        <f>IFERROR(VLOOKUP($M13877,'Informations sur les produits'!$A$3:$H$10000,8,FALSE),"0")</f>
        <v>0</v>
      </c>
      <c r="P13877" s="33">
        <f t="shared" si="864"/>
        <v>0</v>
      </c>
      <c r="Q13877" s="31" t="str">
        <f t="shared" si="865"/>
        <v/>
      </c>
      <c r="R13877" s="32" t="str">
        <f>IFERROR(VLOOKUP($D13877,'Informations sur les produits'!$A$3:$B$15000,2,FALSE),"")</f>
        <v/>
      </c>
      <c r="V13877">
        <f t="shared" si="866"/>
        <v>0</v>
      </c>
      <c r="W13877">
        <f t="shared" si="867"/>
        <v>0</v>
      </c>
    </row>
    <row r="13878" spans="5:23" x14ac:dyDescent="0.25">
      <c r="E13878" s="4"/>
      <c r="F13878" s="4"/>
      <c r="G13878" s="33" t="str">
        <f>IFERROR(VLOOKUP($D13878,'Informations sur les produits'!$A$3:$H$10000,8,FALSE),"0")</f>
        <v>0</v>
      </c>
      <c r="K13878" s="4"/>
      <c r="L13878" s="33" t="str">
        <f>IFERROR(VLOOKUP($J13878,'Informations sur les produits'!$A$3:$H$10000,8,FALSE),"0")</f>
        <v>0</v>
      </c>
      <c r="N13878" s="8"/>
      <c r="O13878" s="33" t="str">
        <f>IFERROR(VLOOKUP($M13878,'Informations sur les produits'!$A$3:$H$10000,8,FALSE),"0")</f>
        <v>0</v>
      </c>
      <c r="P13878" s="33">
        <f t="shared" si="864"/>
        <v>0</v>
      </c>
      <c r="Q13878" s="31" t="str">
        <f t="shared" si="865"/>
        <v/>
      </c>
      <c r="R13878" s="32" t="str">
        <f>IFERROR(VLOOKUP($D13878,'Informations sur les produits'!$A$3:$B$15000,2,FALSE),"")</f>
        <v/>
      </c>
      <c r="V13878">
        <f t="shared" si="866"/>
        <v>0</v>
      </c>
      <c r="W13878">
        <f t="shared" si="867"/>
        <v>0</v>
      </c>
    </row>
    <row r="13879" spans="5:23" x14ac:dyDescent="0.25">
      <c r="E13879" s="4"/>
      <c r="F13879" s="4"/>
      <c r="G13879" s="33" t="str">
        <f>IFERROR(VLOOKUP($D13879,'Informations sur les produits'!$A$3:$H$10000,8,FALSE),"0")</f>
        <v>0</v>
      </c>
      <c r="K13879" s="4"/>
      <c r="L13879" s="33" t="str">
        <f>IFERROR(VLOOKUP($J13879,'Informations sur les produits'!$A$3:$H$10000,8,FALSE),"0")</f>
        <v>0</v>
      </c>
      <c r="N13879" s="8"/>
      <c r="O13879" s="33" t="str">
        <f>IFERROR(VLOOKUP($M13879,'Informations sur les produits'!$A$3:$H$10000,8,FALSE),"0")</f>
        <v>0</v>
      </c>
      <c r="P13879" s="33">
        <f t="shared" si="864"/>
        <v>0</v>
      </c>
      <c r="Q13879" s="31" t="str">
        <f t="shared" si="865"/>
        <v/>
      </c>
      <c r="R13879" s="32" t="str">
        <f>IFERROR(VLOOKUP($D13879,'Informations sur les produits'!$A$3:$B$15000,2,FALSE),"")</f>
        <v/>
      </c>
      <c r="V13879">
        <f t="shared" si="866"/>
        <v>0</v>
      </c>
      <c r="W13879">
        <f t="shared" si="867"/>
        <v>0</v>
      </c>
    </row>
    <row r="13880" spans="5:23" x14ac:dyDescent="0.25">
      <c r="E13880" s="4"/>
      <c r="F13880" s="4"/>
      <c r="G13880" s="33" t="str">
        <f>IFERROR(VLOOKUP($D13880,'Informations sur les produits'!$A$3:$H$10000,8,FALSE),"0")</f>
        <v>0</v>
      </c>
      <c r="K13880" s="4"/>
      <c r="L13880" s="33" t="str">
        <f>IFERROR(VLOOKUP($J13880,'Informations sur les produits'!$A$3:$H$10000,8,FALSE),"0")</f>
        <v>0</v>
      </c>
      <c r="N13880" s="8"/>
      <c r="O13880" s="33" t="str">
        <f>IFERROR(VLOOKUP($M13880,'Informations sur les produits'!$A$3:$H$10000,8,FALSE),"0")</f>
        <v>0</v>
      </c>
      <c r="P13880" s="33">
        <f t="shared" si="864"/>
        <v>0</v>
      </c>
      <c r="Q13880" s="31" t="str">
        <f t="shared" si="865"/>
        <v/>
      </c>
      <c r="R13880" s="32" t="str">
        <f>IFERROR(VLOOKUP($D13880,'Informations sur les produits'!$A$3:$B$15000,2,FALSE),"")</f>
        <v/>
      </c>
      <c r="V13880">
        <f t="shared" si="866"/>
        <v>0</v>
      </c>
      <c r="W13880">
        <f t="shared" si="867"/>
        <v>0</v>
      </c>
    </row>
    <row r="13881" spans="5:23" x14ac:dyDescent="0.25">
      <c r="E13881" s="4"/>
      <c r="F13881" s="4"/>
      <c r="G13881" s="33" t="str">
        <f>IFERROR(VLOOKUP($D13881,'Informations sur les produits'!$A$3:$H$10000,8,FALSE),"0")</f>
        <v>0</v>
      </c>
      <c r="K13881" s="4"/>
      <c r="L13881" s="33" t="str">
        <f>IFERROR(VLOOKUP($J13881,'Informations sur les produits'!$A$3:$H$10000,8,FALSE),"0")</f>
        <v>0</v>
      </c>
      <c r="N13881" s="8"/>
      <c r="O13881" s="33" t="str">
        <f>IFERROR(VLOOKUP($M13881,'Informations sur les produits'!$A$3:$H$10000,8,FALSE),"0")</f>
        <v>0</v>
      </c>
      <c r="P13881" s="33">
        <f t="shared" si="864"/>
        <v>0</v>
      </c>
      <c r="Q13881" s="31" t="str">
        <f t="shared" si="865"/>
        <v/>
      </c>
      <c r="R13881" s="32" t="str">
        <f>IFERROR(VLOOKUP($D13881,'Informations sur les produits'!$A$3:$B$15000,2,FALSE),"")</f>
        <v/>
      </c>
      <c r="V13881">
        <f t="shared" si="866"/>
        <v>0</v>
      </c>
      <c r="W13881">
        <f t="shared" si="867"/>
        <v>0</v>
      </c>
    </row>
    <row r="13882" spans="5:23" x14ac:dyDescent="0.25">
      <c r="E13882" s="4"/>
      <c r="F13882" s="4"/>
      <c r="G13882" s="33" t="str">
        <f>IFERROR(VLOOKUP($D13882,'Informations sur les produits'!$A$3:$H$10000,8,FALSE),"0")</f>
        <v>0</v>
      </c>
      <c r="K13882" s="4"/>
      <c r="L13882" s="33" t="str">
        <f>IFERROR(VLOOKUP($J13882,'Informations sur les produits'!$A$3:$H$10000,8,FALSE),"0")</f>
        <v>0</v>
      </c>
      <c r="N13882" s="8"/>
      <c r="O13882" s="33" t="str">
        <f>IFERROR(VLOOKUP($M13882,'Informations sur les produits'!$A$3:$H$10000,8,FALSE),"0")</f>
        <v>0</v>
      </c>
      <c r="P13882" s="33">
        <f t="shared" si="864"/>
        <v>0</v>
      </c>
      <c r="Q13882" s="31" t="str">
        <f t="shared" si="865"/>
        <v/>
      </c>
      <c r="R13882" s="32" t="str">
        <f>IFERROR(VLOOKUP($D13882,'Informations sur les produits'!$A$3:$B$15000,2,FALSE),"")</f>
        <v/>
      </c>
      <c r="V13882">
        <f t="shared" si="866"/>
        <v>0</v>
      </c>
      <c r="W13882">
        <f t="shared" si="867"/>
        <v>0</v>
      </c>
    </row>
    <row r="13883" spans="5:23" x14ac:dyDescent="0.25">
      <c r="E13883" s="4"/>
      <c r="F13883" s="4"/>
      <c r="G13883" s="33" t="str">
        <f>IFERROR(VLOOKUP($D13883,'Informations sur les produits'!$A$3:$H$10000,8,FALSE),"0")</f>
        <v>0</v>
      </c>
      <c r="K13883" s="4"/>
      <c r="L13883" s="33" t="str">
        <f>IFERROR(VLOOKUP($J13883,'Informations sur les produits'!$A$3:$H$10000,8,FALSE),"0")</f>
        <v>0</v>
      </c>
      <c r="N13883" s="8"/>
      <c r="O13883" s="33" t="str">
        <f>IFERROR(VLOOKUP($M13883,'Informations sur les produits'!$A$3:$H$10000,8,FALSE),"0")</f>
        <v>0</v>
      </c>
      <c r="P13883" s="33">
        <f t="shared" si="864"/>
        <v>0</v>
      </c>
      <c r="Q13883" s="31" t="str">
        <f t="shared" si="865"/>
        <v/>
      </c>
      <c r="R13883" s="32" t="str">
        <f>IFERROR(VLOOKUP($D13883,'Informations sur les produits'!$A$3:$B$15000,2,FALSE),"")</f>
        <v/>
      </c>
      <c r="V13883">
        <f t="shared" si="866"/>
        <v>0</v>
      </c>
      <c r="W13883">
        <f t="shared" si="867"/>
        <v>0</v>
      </c>
    </row>
    <row r="13884" spans="5:23" x14ac:dyDescent="0.25">
      <c r="E13884" s="4"/>
      <c r="F13884" s="4"/>
      <c r="G13884" s="33" t="str">
        <f>IFERROR(VLOOKUP($D13884,'Informations sur les produits'!$A$3:$H$10000,8,FALSE),"0")</f>
        <v>0</v>
      </c>
      <c r="K13884" s="4"/>
      <c r="L13884" s="33" t="str">
        <f>IFERROR(VLOOKUP($J13884,'Informations sur les produits'!$A$3:$H$10000,8,FALSE),"0")</f>
        <v>0</v>
      </c>
      <c r="N13884" s="8"/>
      <c r="O13884" s="33" t="str">
        <f>IFERROR(VLOOKUP($M13884,'Informations sur les produits'!$A$3:$H$10000,8,FALSE),"0")</f>
        <v>0</v>
      </c>
      <c r="P13884" s="33">
        <f t="shared" si="864"/>
        <v>0</v>
      </c>
      <c r="Q13884" s="31" t="str">
        <f t="shared" si="865"/>
        <v/>
      </c>
      <c r="R13884" s="32" t="str">
        <f>IFERROR(VLOOKUP($D13884,'Informations sur les produits'!$A$3:$B$15000,2,FALSE),"")</f>
        <v/>
      </c>
      <c r="V13884">
        <f t="shared" si="866"/>
        <v>0</v>
      </c>
      <c r="W13884">
        <f t="shared" si="867"/>
        <v>0</v>
      </c>
    </row>
    <row r="13885" spans="5:23" x14ac:dyDescent="0.25">
      <c r="E13885" s="4"/>
      <c r="F13885" s="4"/>
      <c r="G13885" s="33" t="str">
        <f>IFERROR(VLOOKUP($D13885,'Informations sur les produits'!$A$3:$H$10000,8,FALSE),"0")</f>
        <v>0</v>
      </c>
      <c r="K13885" s="4"/>
      <c r="L13885" s="33" t="str">
        <f>IFERROR(VLOOKUP($J13885,'Informations sur les produits'!$A$3:$H$10000,8,FALSE),"0")</f>
        <v>0</v>
      </c>
      <c r="N13885" s="8"/>
      <c r="O13885" s="33" t="str">
        <f>IFERROR(VLOOKUP($M13885,'Informations sur les produits'!$A$3:$H$10000,8,FALSE),"0")</f>
        <v>0</v>
      </c>
      <c r="P13885" s="33">
        <f t="shared" si="864"/>
        <v>0</v>
      </c>
      <c r="Q13885" s="31" t="str">
        <f t="shared" si="865"/>
        <v/>
      </c>
      <c r="R13885" s="32" t="str">
        <f>IFERROR(VLOOKUP($D13885,'Informations sur les produits'!$A$3:$B$15000,2,FALSE),"")</f>
        <v/>
      </c>
      <c r="V13885">
        <f t="shared" si="866"/>
        <v>0</v>
      </c>
      <c r="W13885">
        <f t="shared" si="867"/>
        <v>0</v>
      </c>
    </row>
    <row r="13886" spans="5:23" x14ac:dyDescent="0.25">
      <c r="E13886" s="4"/>
      <c r="F13886" s="4"/>
      <c r="G13886" s="33" t="str">
        <f>IFERROR(VLOOKUP($D13886,'Informations sur les produits'!$A$3:$H$10000,8,FALSE),"0")</f>
        <v>0</v>
      </c>
      <c r="K13886" s="4"/>
      <c r="L13886" s="33" t="str">
        <f>IFERROR(VLOOKUP($J13886,'Informations sur les produits'!$A$3:$H$10000,8,FALSE),"0")</f>
        <v>0</v>
      </c>
      <c r="N13886" s="8"/>
      <c r="O13886" s="33" t="str">
        <f>IFERROR(VLOOKUP($M13886,'Informations sur les produits'!$A$3:$H$10000,8,FALSE),"0")</f>
        <v>0</v>
      </c>
      <c r="P13886" s="33">
        <f t="shared" si="864"/>
        <v>0</v>
      </c>
      <c r="Q13886" s="31" t="str">
        <f t="shared" si="865"/>
        <v/>
      </c>
      <c r="R13886" s="32" t="str">
        <f>IFERROR(VLOOKUP($D13886,'Informations sur les produits'!$A$3:$B$15000,2,FALSE),"")</f>
        <v/>
      </c>
      <c r="V13886">
        <f t="shared" si="866"/>
        <v>0</v>
      </c>
      <c r="W13886">
        <f t="shared" si="867"/>
        <v>0</v>
      </c>
    </row>
    <row r="13887" spans="5:23" x14ac:dyDescent="0.25">
      <c r="E13887" s="4"/>
      <c r="F13887" s="4"/>
      <c r="G13887" s="33" t="str">
        <f>IFERROR(VLOOKUP($D13887,'Informations sur les produits'!$A$3:$H$10000,8,FALSE),"0")</f>
        <v>0</v>
      </c>
      <c r="K13887" s="4"/>
      <c r="L13887" s="33" t="str">
        <f>IFERROR(VLOOKUP($J13887,'Informations sur les produits'!$A$3:$H$10000,8,FALSE),"0")</f>
        <v>0</v>
      </c>
      <c r="N13887" s="8"/>
      <c r="O13887" s="33" t="str">
        <f>IFERROR(VLOOKUP($M13887,'Informations sur les produits'!$A$3:$H$10000,8,FALSE),"0")</f>
        <v>0</v>
      </c>
      <c r="P13887" s="33">
        <f t="shared" si="864"/>
        <v>0</v>
      </c>
      <c r="Q13887" s="31" t="str">
        <f t="shared" si="865"/>
        <v/>
      </c>
      <c r="R13887" s="32" t="str">
        <f>IFERROR(VLOOKUP($D13887,'Informations sur les produits'!$A$3:$B$15000,2,FALSE),"")</f>
        <v/>
      </c>
      <c r="V13887">
        <f t="shared" si="866"/>
        <v>0</v>
      </c>
      <c r="W13887">
        <f t="shared" si="867"/>
        <v>0</v>
      </c>
    </row>
    <row r="13888" spans="5:23" x14ac:dyDescent="0.25">
      <c r="E13888" s="4"/>
      <c r="F13888" s="4"/>
      <c r="G13888" s="33" t="str">
        <f>IFERROR(VLOOKUP($D13888,'Informations sur les produits'!$A$3:$H$10000,8,FALSE),"0")</f>
        <v>0</v>
      </c>
      <c r="K13888" s="4"/>
      <c r="L13888" s="33" t="str">
        <f>IFERROR(VLOOKUP($J13888,'Informations sur les produits'!$A$3:$H$10000,8,FALSE),"0")</f>
        <v>0</v>
      </c>
      <c r="N13888" s="8"/>
      <c r="O13888" s="33" t="str">
        <f>IFERROR(VLOOKUP($M13888,'Informations sur les produits'!$A$3:$H$10000,8,FALSE),"0")</f>
        <v>0</v>
      </c>
      <c r="P13888" s="33">
        <f t="shared" si="864"/>
        <v>0</v>
      </c>
      <c r="Q13888" s="31" t="str">
        <f t="shared" si="865"/>
        <v/>
      </c>
      <c r="R13888" s="32" t="str">
        <f>IFERROR(VLOOKUP($D13888,'Informations sur les produits'!$A$3:$B$15000,2,FALSE),"")</f>
        <v/>
      </c>
      <c r="V13888">
        <f t="shared" si="866"/>
        <v>0</v>
      </c>
      <c r="W13888">
        <f t="shared" si="867"/>
        <v>0</v>
      </c>
    </row>
    <row r="13889" spans="5:23" x14ac:dyDescent="0.25">
      <c r="E13889" s="4"/>
      <c r="F13889" s="4"/>
      <c r="G13889" s="33" t="str">
        <f>IFERROR(VLOOKUP($D13889,'Informations sur les produits'!$A$3:$H$10000,8,FALSE),"0")</f>
        <v>0</v>
      </c>
      <c r="K13889" s="4"/>
      <c r="L13889" s="33" t="str">
        <f>IFERROR(VLOOKUP($J13889,'Informations sur les produits'!$A$3:$H$10000,8,FALSE),"0")</f>
        <v>0</v>
      </c>
      <c r="N13889" s="8"/>
      <c r="O13889" s="33" t="str">
        <f>IFERROR(VLOOKUP($M13889,'Informations sur les produits'!$A$3:$H$10000,8,FALSE),"0")</f>
        <v>0</v>
      </c>
      <c r="P13889" s="33">
        <f t="shared" si="864"/>
        <v>0</v>
      </c>
      <c r="Q13889" s="31" t="str">
        <f t="shared" si="865"/>
        <v/>
      </c>
      <c r="R13889" s="32" t="str">
        <f>IFERROR(VLOOKUP($D13889,'Informations sur les produits'!$A$3:$B$15000,2,FALSE),"")</f>
        <v/>
      </c>
      <c r="V13889">
        <f t="shared" si="866"/>
        <v>0</v>
      </c>
      <c r="W13889">
        <f t="shared" si="867"/>
        <v>0</v>
      </c>
    </row>
    <row r="13890" spans="5:23" x14ac:dyDescent="0.25">
      <c r="E13890" s="4"/>
      <c r="F13890" s="4"/>
      <c r="G13890" s="33" t="str">
        <f>IFERROR(VLOOKUP($D13890,'Informations sur les produits'!$A$3:$H$10000,8,FALSE),"0")</f>
        <v>0</v>
      </c>
      <c r="K13890" s="4"/>
      <c r="L13890" s="33" t="str">
        <f>IFERROR(VLOOKUP($J13890,'Informations sur les produits'!$A$3:$H$10000,8,FALSE),"0")</f>
        <v>0</v>
      </c>
      <c r="N13890" s="8"/>
      <c r="O13890" s="33" t="str">
        <f>IFERROR(VLOOKUP($M13890,'Informations sur les produits'!$A$3:$H$10000,8,FALSE),"0")</f>
        <v>0</v>
      </c>
      <c r="P13890" s="33">
        <f t="shared" si="864"/>
        <v>0</v>
      </c>
      <c r="Q13890" s="31" t="str">
        <f t="shared" si="865"/>
        <v/>
      </c>
      <c r="R13890" s="32" t="str">
        <f>IFERROR(VLOOKUP($D13890,'Informations sur les produits'!$A$3:$B$15000,2,FALSE),"")</f>
        <v/>
      </c>
      <c r="V13890">
        <f t="shared" si="866"/>
        <v>0</v>
      </c>
      <c r="W13890">
        <f t="shared" si="867"/>
        <v>0</v>
      </c>
    </row>
    <row r="13891" spans="5:23" x14ac:dyDescent="0.25">
      <c r="E13891" s="4"/>
      <c r="F13891" s="4"/>
      <c r="G13891" s="33" t="str">
        <f>IFERROR(VLOOKUP($D13891,'Informations sur les produits'!$A$3:$H$10000,8,FALSE),"0")</f>
        <v>0</v>
      </c>
      <c r="K13891" s="4"/>
      <c r="L13891" s="33" t="str">
        <f>IFERROR(VLOOKUP($J13891,'Informations sur les produits'!$A$3:$H$10000,8,FALSE),"0")</f>
        <v>0</v>
      </c>
      <c r="N13891" s="8"/>
      <c r="O13891" s="33" t="str">
        <f>IFERROR(VLOOKUP($M13891,'Informations sur les produits'!$A$3:$H$10000,8,FALSE),"0")</f>
        <v>0</v>
      </c>
      <c r="P13891" s="33">
        <f t="shared" si="864"/>
        <v>0</v>
      </c>
      <c r="Q13891" s="31" t="str">
        <f t="shared" si="865"/>
        <v/>
      </c>
      <c r="R13891" s="32" t="str">
        <f>IFERROR(VLOOKUP($D13891,'Informations sur les produits'!$A$3:$B$15000,2,FALSE),"")</f>
        <v/>
      </c>
      <c r="V13891">
        <f t="shared" si="866"/>
        <v>0</v>
      </c>
      <c r="W13891">
        <f t="shared" si="867"/>
        <v>0</v>
      </c>
    </row>
    <row r="13892" spans="5:23" x14ac:dyDescent="0.25">
      <c r="E13892" s="4"/>
      <c r="F13892" s="4"/>
      <c r="G13892" s="33" t="str">
        <f>IFERROR(VLOOKUP($D13892,'Informations sur les produits'!$A$3:$H$10000,8,FALSE),"0")</f>
        <v>0</v>
      </c>
      <c r="K13892" s="4"/>
      <c r="L13892" s="33" t="str">
        <f>IFERROR(VLOOKUP($J13892,'Informations sur les produits'!$A$3:$H$10000,8,FALSE),"0")</f>
        <v>0</v>
      </c>
      <c r="N13892" s="8"/>
      <c r="O13892" s="33" t="str">
        <f>IFERROR(VLOOKUP($M13892,'Informations sur les produits'!$A$3:$H$10000,8,FALSE),"0")</f>
        <v>0</v>
      </c>
      <c r="P13892" s="33">
        <f t="shared" ref="P13892:P13955" si="868">IFERROR((($E13892-$F13892)*$G13892+$K13892*$L13892+$N13892*$O13892),"")</f>
        <v>0</v>
      </c>
      <c r="Q13892" s="31" t="str">
        <f t="shared" ref="Q13892:Q13955" si="869">IFERROR((((($E13892-$F13892)*$G13892+$K13892*$L13892+$N13892*$O13892)*1000)/(($E13892-$F13892)+$K13892+$N13892)),"")</f>
        <v/>
      </c>
      <c r="R13892" s="32" t="str">
        <f>IFERROR(VLOOKUP($D13892,'Informations sur les produits'!$A$3:$B$15000,2,FALSE),"")</f>
        <v/>
      </c>
      <c r="V13892">
        <f t="shared" ref="V13892:V13955" si="870">IFERROR(P13892*1000,"")</f>
        <v>0</v>
      </c>
      <c r="W13892">
        <f t="shared" ref="W13892:W13955" si="871">IFERROR(($E13892-$F13892)+$K13892+$N13892,"")</f>
        <v>0</v>
      </c>
    </row>
    <row r="13893" spans="5:23" x14ac:dyDescent="0.25">
      <c r="E13893" s="4"/>
      <c r="F13893" s="4"/>
      <c r="G13893" s="33" t="str">
        <f>IFERROR(VLOOKUP($D13893,'Informations sur les produits'!$A$3:$H$10000,8,FALSE),"0")</f>
        <v>0</v>
      </c>
      <c r="K13893" s="4"/>
      <c r="L13893" s="33" t="str">
        <f>IFERROR(VLOOKUP($J13893,'Informations sur les produits'!$A$3:$H$10000,8,FALSE),"0")</f>
        <v>0</v>
      </c>
      <c r="N13893" s="8"/>
      <c r="O13893" s="33" t="str">
        <f>IFERROR(VLOOKUP($M13893,'Informations sur les produits'!$A$3:$H$10000,8,FALSE),"0")</f>
        <v>0</v>
      </c>
      <c r="P13893" s="33">
        <f t="shared" si="868"/>
        <v>0</v>
      </c>
      <c r="Q13893" s="31" t="str">
        <f t="shared" si="869"/>
        <v/>
      </c>
      <c r="R13893" s="32" t="str">
        <f>IFERROR(VLOOKUP($D13893,'Informations sur les produits'!$A$3:$B$15000,2,FALSE),"")</f>
        <v/>
      </c>
      <c r="V13893">
        <f t="shared" si="870"/>
        <v>0</v>
      </c>
      <c r="W13893">
        <f t="shared" si="871"/>
        <v>0</v>
      </c>
    </row>
    <row r="13894" spans="5:23" x14ac:dyDescent="0.25">
      <c r="E13894" s="4"/>
      <c r="F13894" s="4"/>
      <c r="G13894" s="33" t="str">
        <f>IFERROR(VLOOKUP($D13894,'Informations sur les produits'!$A$3:$H$10000,8,FALSE),"0")</f>
        <v>0</v>
      </c>
      <c r="K13894" s="4"/>
      <c r="L13894" s="33" t="str">
        <f>IFERROR(VLOOKUP($J13894,'Informations sur les produits'!$A$3:$H$10000,8,FALSE),"0")</f>
        <v>0</v>
      </c>
      <c r="N13894" s="8"/>
      <c r="O13894" s="33" t="str">
        <f>IFERROR(VLOOKUP($M13894,'Informations sur les produits'!$A$3:$H$10000,8,FALSE),"0")</f>
        <v>0</v>
      </c>
      <c r="P13894" s="33">
        <f t="shared" si="868"/>
        <v>0</v>
      </c>
      <c r="Q13894" s="31" t="str">
        <f t="shared" si="869"/>
        <v/>
      </c>
      <c r="R13894" s="32" t="str">
        <f>IFERROR(VLOOKUP($D13894,'Informations sur les produits'!$A$3:$B$15000,2,FALSE),"")</f>
        <v/>
      </c>
      <c r="V13894">
        <f t="shared" si="870"/>
        <v>0</v>
      </c>
      <c r="W13894">
        <f t="shared" si="871"/>
        <v>0</v>
      </c>
    </row>
    <row r="13895" spans="5:23" x14ac:dyDescent="0.25">
      <c r="E13895" s="4"/>
      <c r="F13895" s="4"/>
      <c r="G13895" s="33" t="str">
        <f>IFERROR(VLOOKUP($D13895,'Informations sur les produits'!$A$3:$H$10000,8,FALSE),"0")</f>
        <v>0</v>
      </c>
      <c r="K13895" s="4"/>
      <c r="L13895" s="33" t="str">
        <f>IFERROR(VLOOKUP($J13895,'Informations sur les produits'!$A$3:$H$10000,8,FALSE),"0")</f>
        <v>0</v>
      </c>
      <c r="N13895" s="8"/>
      <c r="O13895" s="33" t="str">
        <f>IFERROR(VLOOKUP($M13895,'Informations sur les produits'!$A$3:$H$10000,8,FALSE),"0")</f>
        <v>0</v>
      </c>
      <c r="P13895" s="33">
        <f t="shared" si="868"/>
        <v>0</v>
      </c>
      <c r="Q13895" s="31" t="str">
        <f t="shared" si="869"/>
        <v/>
      </c>
      <c r="R13895" s="32" t="str">
        <f>IFERROR(VLOOKUP($D13895,'Informations sur les produits'!$A$3:$B$15000,2,FALSE),"")</f>
        <v/>
      </c>
      <c r="V13895">
        <f t="shared" si="870"/>
        <v>0</v>
      </c>
      <c r="W13895">
        <f t="shared" si="871"/>
        <v>0</v>
      </c>
    </row>
    <row r="13896" spans="5:23" x14ac:dyDescent="0.25">
      <c r="E13896" s="4"/>
      <c r="F13896" s="4"/>
      <c r="G13896" s="33" t="str">
        <f>IFERROR(VLOOKUP($D13896,'Informations sur les produits'!$A$3:$H$10000,8,FALSE),"0")</f>
        <v>0</v>
      </c>
      <c r="K13896" s="4"/>
      <c r="L13896" s="33" t="str">
        <f>IFERROR(VLOOKUP($J13896,'Informations sur les produits'!$A$3:$H$10000,8,FALSE),"0")</f>
        <v>0</v>
      </c>
      <c r="N13896" s="8"/>
      <c r="O13896" s="33" t="str">
        <f>IFERROR(VLOOKUP($M13896,'Informations sur les produits'!$A$3:$H$10000,8,FALSE),"0")</f>
        <v>0</v>
      </c>
      <c r="P13896" s="33">
        <f t="shared" si="868"/>
        <v>0</v>
      </c>
      <c r="Q13896" s="31" t="str">
        <f t="shared" si="869"/>
        <v/>
      </c>
      <c r="R13896" s="32" t="str">
        <f>IFERROR(VLOOKUP($D13896,'Informations sur les produits'!$A$3:$B$15000,2,FALSE),"")</f>
        <v/>
      </c>
      <c r="V13896">
        <f t="shared" si="870"/>
        <v>0</v>
      </c>
      <c r="W13896">
        <f t="shared" si="871"/>
        <v>0</v>
      </c>
    </row>
    <row r="13897" spans="5:23" x14ac:dyDescent="0.25">
      <c r="E13897" s="4"/>
      <c r="F13897" s="4"/>
      <c r="G13897" s="33" t="str">
        <f>IFERROR(VLOOKUP($D13897,'Informations sur les produits'!$A$3:$H$10000,8,FALSE),"0")</f>
        <v>0</v>
      </c>
      <c r="K13897" s="4"/>
      <c r="L13897" s="33" t="str">
        <f>IFERROR(VLOOKUP($J13897,'Informations sur les produits'!$A$3:$H$10000,8,FALSE),"0")</f>
        <v>0</v>
      </c>
      <c r="N13897" s="8"/>
      <c r="O13897" s="33" t="str">
        <f>IFERROR(VLOOKUP($M13897,'Informations sur les produits'!$A$3:$H$10000,8,FALSE),"0")</f>
        <v>0</v>
      </c>
      <c r="P13897" s="33">
        <f t="shared" si="868"/>
        <v>0</v>
      </c>
      <c r="Q13897" s="31" t="str">
        <f t="shared" si="869"/>
        <v/>
      </c>
      <c r="R13897" s="32" t="str">
        <f>IFERROR(VLOOKUP($D13897,'Informations sur les produits'!$A$3:$B$15000,2,FALSE),"")</f>
        <v/>
      </c>
      <c r="V13897">
        <f t="shared" si="870"/>
        <v>0</v>
      </c>
      <c r="W13897">
        <f t="shared" si="871"/>
        <v>0</v>
      </c>
    </row>
    <row r="13898" spans="5:23" x14ac:dyDescent="0.25">
      <c r="E13898" s="4"/>
      <c r="F13898" s="4"/>
      <c r="G13898" s="33" t="str">
        <f>IFERROR(VLOOKUP($D13898,'Informations sur les produits'!$A$3:$H$10000,8,FALSE),"0")</f>
        <v>0</v>
      </c>
      <c r="K13898" s="4"/>
      <c r="L13898" s="33" t="str">
        <f>IFERROR(VLOOKUP($J13898,'Informations sur les produits'!$A$3:$H$10000,8,FALSE),"0")</f>
        <v>0</v>
      </c>
      <c r="N13898" s="8"/>
      <c r="O13898" s="33" t="str">
        <f>IFERROR(VLOOKUP($M13898,'Informations sur les produits'!$A$3:$H$10000,8,FALSE),"0")</f>
        <v>0</v>
      </c>
      <c r="P13898" s="33">
        <f t="shared" si="868"/>
        <v>0</v>
      </c>
      <c r="Q13898" s="31" t="str">
        <f t="shared" si="869"/>
        <v/>
      </c>
      <c r="R13898" s="32" t="str">
        <f>IFERROR(VLOOKUP($D13898,'Informations sur les produits'!$A$3:$B$15000,2,FALSE),"")</f>
        <v/>
      </c>
      <c r="V13898">
        <f t="shared" si="870"/>
        <v>0</v>
      </c>
      <c r="W13898">
        <f t="shared" si="871"/>
        <v>0</v>
      </c>
    </row>
    <row r="13899" spans="5:23" x14ac:dyDescent="0.25">
      <c r="E13899" s="4"/>
      <c r="F13899" s="4"/>
      <c r="G13899" s="33" t="str">
        <f>IFERROR(VLOOKUP($D13899,'Informations sur les produits'!$A$3:$H$10000,8,FALSE),"0")</f>
        <v>0</v>
      </c>
      <c r="K13899" s="4"/>
      <c r="L13899" s="33" t="str">
        <f>IFERROR(VLOOKUP($J13899,'Informations sur les produits'!$A$3:$H$10000,8,FALSE),"0")</f>
        <v>0</v>
      </c>
      <c r="N13899" s="8"/>
      <c r="O13899" s="33" t="str">
        <f>IFERROR(VLOOKUP($M13899,'Informations sur les produits'!$A$3:$H$10000,8,FALSE),"0")</f>
        <v>0</v>
      </c>
      <c r="P13899" s="33">
        <f t="shared" si="868"/>
        <v>0</v>
      </c>
      <c r="Q13899" s="31" t="str">
        <f t="shared" si="869"/>
        <v/>
      </c>
      <c r="R13899" s="32" t="str">
        <f>IFERROR(VLOOKUP($D13899,'Informations sur les produits'!$A$3:$B$15000,2,FALSE),"")</f>
        <v/>
      </c>
      <c r="V13899">
        <f t="shared" si="870"/>
        <v>0</v>
      </c>
      <c r="W13899">
        <f t="shared" si="871"/>
        <v>0</v>
      </c>
    </row>
    <row r="13900" spans="5:23" x14ac:dyDescent="0.25">
      <c r="E13900" s="4"/>
      <c r="F13900" s="4"/>
      <c r="G13900" s="33" t="str">
        <f>IFERROR(VLOOKUP($D13900,'Informations sur les produits'!$A$3:$H$10000,8,FALSE),"0")</f>
        <v>0</v>
      </c>
      <c r="K13900" s="4"/>
      <c r="L13900" s="33" t="str">
        <f>IFERROR(VLOOKUP($J13900,'Informations sur les produits'!$A$3:$H$10000,8,FALSE),"0")</f>
        <v>0</v>
      </c>
      <c r="N13900" s="8"/>
      <c r="O13900" s="33" t="str">
        <f>IFERROR(VLOOKUP($M13900,'Informations sur les produits'!$A$3:$H$10000,8,FALSE),"0")</f>
        <v>0</v>
      </c>
      <c r="P13900" s="33">
        <f t="shared" si="868"/>
        <v>0</v>
      </c>
      <c r="Q13900" s="31" t="str">
        <f t="shared" si="869"/>
        <v/>
      </c>
      <c r="R13900" s="32" t="str">
        <f>IFERROR(VLOOKUP($D13900,'Informations sur les produits'!$A$3:$B$15000,2,FALSE),"")</f>
        <v/>
      </c>
      <c r="V13900">
        <f t="shared" si="870"/>
        <v>0</v>
      </c>
      <c r="W13900">
        <f t="shared" si="871"/>
        <v>0</v>
      </c>
    </row>
    <row r="13901" spans="5:23" x14ac:dyDescent="0.25">
      <c r="E13901" s="4"/>
      <c r="F13901" s="4"/>
      <c r="G13901" s="33" t="str">
        <f>IFERROR(VLOOKUP($D13901,'Informations sur les produits'!$A$3:$H$10000,8,FALSE),"0")</f>
        <v>0</v>
      </c>
      <c r="K13901" s="4"/>
      <c r="L13901" s="33" t="str">
        <f>IFERROR(VLOOKUP($J13901,'Informations sur les produits'!$A$3:$H$10000,8,FALSE),"0")</f>
        <v>0</v>
      </c>
      <c r="N13901" s="8"/>
      <c r="O13901" s="33" t="str">
        <f>IFERROR(VLOOKUP($M13901,'Informations sur les produits'!$A$3:$H$10000,8,FALSE),"0")</f>
        <v>0</v>
      </c>
      <c r="P13901" s="33">
        <f t="shared" si="868"/>
        <v>0</v>
      </c>
      <c r="Q13901" s="31" t="str">
        <f t="shared" si="869"/>
        <v/>
      </c>
      <c r="R13901" s="32" t="str">
        <f>IFERROR(VLOOKUP($D13901,'Informations sur les produits'!$A$3:$B$15000,2,FALSE),"")</f>
        <v/>
      </c>
      <c r="V13901">
        <f t="shared" si="870"/>
        <v>0</v>
      </c>
      <c r="W13901">
        <f t="shared" si="871"/>
        <v>0</v>
      </c>
    </row>
    <row r="13902" spans="5:23" x14ac:dyDescent="0.25">
      <c r="E13902" s="4"/>
      <c r="F13902" s="4"/>
      <c r="G13902" s="33" t="str">
        <f>IFERROR(VLOOKUP($D13902,'Informations sur les produits'!$A$3:$H$10000,8,FALSE),"0")</f>
        <v>0</v>
      </c>
      <c r="K13902" s="4"/>
      <c r="L13902" s="33" t="str">
        <f>IFERROR(VLOOKUP($J13902,'Informations sur les produits'!$A$3:$H$10000,8,FALSE),"0")</f>
        <v>0</v>
      </c>
      <c r="N13902" s="8"/>
      <c r="O13902" s="33" t="str">
        <f>IFERROR(VLOOKUP($M13902,'Informations sur les produits'!$A$3:$H$10000,8,FALSE),"0")</f>
        <v>0</v>
      </c>
      <c r="P13902" s="33">
        <f t="shared" si="868"/>
        <v>0</v>
      </c>
      <c r="Q13902" s="31" t="str">
        <f t="shared" si="869"/>
        <v/>
      </c>
      <c r="R13902" s="32" t="str">
        <f>IFERROR(VLOOKUP($D13902,'Informations sur les produits'!$A$3:$B$15000,2,FALSE),"")</f>
        <v/>
      </c>
      <c r="V13902">
        <f t="shared" si="870"/>
        <v>0</v>
      </c>
      <c r="W13902">
        <f t="shared" si="871"/>
        <v>0</v>
      </c>
    </row>
    <row r="13903" spans="5:23" x14ac:dyDescent="0.25">
      <c r="E13903" s="4"/>
      <c r="F13903" s="4"/>
      <c r="G13903" s="33" t="str">
        <f>IFERROR(VLOOKUP($D13903,'Informations sur les produits'!$A$3:$H$10000,8,FALSE),"0")</f>
        <v>0</v>
      </c>
      <c r="K13903" s="4"/>
      <c r="L13903" s="33" t="str">
        <f>IFERROR(VLOOKUP($J13903,'Informations sur les produits'!$A$3:$H$10000,8,FALSE),"0")</f>
        <v>0</v>
      </c>
      <c r="N13903" s="8"/>
      <c r="O13903" s="33" t="str">
        <f>IFERROR(VLOOKUP($M13903,'Informations sur les produits'!$A$3:$H$10000,8,FALSE),"0")</f>
        <v>0</v>
      </c>
      <c r="P13903" s="33">
        <f t="shared" si="868"/>
        <v>0</v>
      </c>
      <c r="Q13903" s="31" t="str">
        <f t="shared" si="869"/>
        <v/>
      </c>
      <c r="R13903" s="32" t="str">
        <f>IFERROR(VLOOKUP($D13903,'Informations sur les produits'!$A$3:$B$15000,2,FALSE),"")</f>
        <v/>
      </c>
      <c r="V13903">
        <f t="shared" si="870"/>
        <v>0</v>
      </c>
      <c r="W13903">
        <f t="shared" si="871"/>
        <v>0</v>
      </c>
    </row>
    <row r="13904" spans="5:23" x14ac:dyDescent="0.25">
      <c r="E13904" s="4"/>
      <c r="F13904" s="4"/>
      <c r="G13904" s="33" t="str">
        <f>IFERROR(VLOOKUP($D13904,'Informations sur les produits'!$A$3:$H$10000,8,FALSE),"0")</f>
        <v>0</v>
      </c>
      <c r="K13904" s="4"/>
      <c r="L13904" s="33" t="str">
        <f>IFERROR(VLOOKUP($J13904,'Informations sur les produits'!$A$3:$H$10000,8,FALSE),"0")</f>
        <v>0</v>
      </c>
      <c r="N13904" s="8"/>
      <c r="O13904" s="33" t="str">
        <f>IFERROR(VLOOKUP($M13904,'Informations sur les produits'!$A$3:$H$10000,8,FALSE),"0")</f>
        <v>0</v>
      </c>
      <c r="P13904" s="33">
        <f t="shared" si="868"/>
        <v>0</v>
      </c>
      <c r="Q13904" s="31" t="str">
        <f t="shared" si="869"/>
        <v/>
      </c>
      <c r="R13904" s="32" t="str">
        <f>IFERROR(VLOOKUP($D13904,'Informations sur les produits'!$A$3:$B$15000,2,FALSE),"")</f>
        <v/>
      </c>
      <c r="V13904">
        <f t="shared" si="870"/>
        <v>0</v>
      </c>
      <c r="W13904">
        <f t="shared" si="871"/>
        <v>0</v>
      </c>
    </row>
    <row r="13905" spans="5:23" x14ac:dyDescent="0.25">
      <c r="E13905" s="4"/>
      <c r="F13905" s="4"/>
      <c r="G13905" s="33" t="str">
        <f>IFERROR(VLOOKUP($D13905,'Informations sur les produits'!$A$3:$H$10000,8,FALSE),"0")</f>
        <v>0</v>
      </c>
      <c r="K13905" s="4"/>
      <c r="L13905" s="33" t="str">
        <f>IFERROR(VLOOKUP($J13905,'Informations sur les produits'!$A$3:$H$10000,8,FALSE),"0")</f>
        <v>0</v>
      </c>
      <c r="N13905" s="8"/>
      <c r="O13905" s="33" t="str">
        <f>IFERROR(VLOOKUP($M13905,'Informations sur les produits'!$A$3:$H$10000,8,FALSE),"0")</f>
        <v>0</v>
      </c>
      <c r="P13905" s="33">
        <f t="shared" si="868"/>
        <v>0</v>
      </c>
      <c r="Q13905" s="31" t="str">
        <f t="shared" si="869"/>
        <v/>
      </c>
      <c r="R13905" s="32" t="str">
        <f>IFERROR(VLOOKUP($D13905,'Informations sur les produits'!$A$3:$B$15000,2,FALSE),"")</f>
        <v/>
      </c>
      <c r="V13905">
        <f t="shared" si="870"/>
        <v>0</v>
      </c>
      <c r="W13905">
        <f t="shared" si="871"/>
        <v>0</v>
      </c>
    </row>
    <row r="13906" spans="5:23" x14ac:dyDescent="0.25">
      <c r="E13906" s="4"/>
      <c r="F13906" s="4"/>
      <c r="G13906" s="33" t="str">
        <f>IFERROR(VLOOKUP($D13906,'Informations sur les produits'!$A$3:$H$10000,8,FALSE),"0")</f>
        <v>0</v>
      </c>
      <c r="K13906" s="4"/>
      <c r="L13906" s="33" t="str">
        <f>IFERROR(VLOOKUP($J13906,'Informations sur les produits'!$A$3:$H$10000,8,FALSE),"0")</f>
        <v>0</v>
      </c>
      <c r="N13906" s="8"/>
      <c r="O13906" s="33" t="str">
        <f>IFERROR(VLOOKUP($M13906,'Informations sur les produits'!$A$3:$H$10000,8,FALSE),"0")</f>
        <v>0</v>
      </c>
      <c r="P13906" s="33">
        <f t="shared" si="868"/>
        <v>0</v>
      </c>
      <c r="Q13906" s="31" t="str">
        <f t="shared" si="869"/>
        <v/>
      </c>
      <c r="R13906" s="32" t="str">
        <f>IFERROR(VLOOKUP($D13906,'Informations sur les produits'!$A$3:$B$15000,2,FALSE),"")</f>
        <v/>
      </c>
      <c r="V13906">
        <f t="shared" si="870"/>
        <v>0</v>
      </c>
      <c r="W13906">
        <f t="shared" si="871"/>
        <v>0</v>
      </c>
    </row>
    <row r="13907" spans="5:23" x14ac:dyDescent="0.25">
      <c r="E13907" s="4"/>
      <c r="F13907" s="4"/>
      <c r="G13907" s="33" t="str">
        <f>IFERROR(VLOOKUP($D13907,'Informations sur les produits'!$A$3:$H$10000,8,FALSE),"0")</f>
        <v>0</v>
      </c>
      <c r="K13907" s="4"/>
      <c r="L13907" s="33" t="str">
        <f>IFERROR(VLOOKUP($J13907,'Informations sur les produits'!$A$3:$H$10000,8,FALSE),"0")</f>
        <v>0</v>
      </c>
      <c r="N13907" s="8"/>
      <c r="O13907" s="33" t="str">
        <f>IFERROR(VLOOKUP($M13907,'Informations sur les produits'!$A$3:$H$10000,8,FALSE),"0")</f>
        <v>0</v>
      </c>
      <c r="P13907" s="33">
        <f t="shared" si="868"/>
        <v>0</v>
      </c>
      <c r="Q13907" s="31" t="str">
        <f t="shared" si="869"/>
        <v/>
      </c>
      <c r="R13907" s="32" t="str">
        <f>IFERROR(VLOOKUP($D13907,'Informations sur les produits'!$A$3:$B$15000,2,FALSE),"")</f>
        <v/>
      </c>
      <c r="V13907">
        <f t="shared" si="870"/>
        <v>0</v>
      </c>
      <c r="W13907">
        <f t="shared" si="871"/>
        <v>0</v>
      </c>
    </row>
    <row r="13908" spans="5:23" x14ac:dyDescent="0.25">
      <c r="E13908" s="4"/>
      <c r="F13908" s="4"/>
      <c r="G13908" s="33" t="str">
        <f>IFERROR(VLOOKUP($D13908,'Informations sur les produits'!$A$3:$H$10000,8,FALSE),"0")</f>
        <v>0</v>
      </c>
      <c r="K13908" s="4"/>
      <c r="L13908" s="33" t="str">
        <f>IFERROR(VLOOKUP($J13908,'Informations sur les produits'!$A$3:$H$10000,8,FALSE),"0")</f>
        <v>0</v>
      </c>
      <c r="N13908" s="8"/>
      <c r="O13908" s="33" t="str">
        <f>IFERROR(VLOOKUP($M13908,'Informations sur les produits'!$A$3:$H$10000,8,FALSE),"0")</f>
        <v>0</v>
      </c>
      <c r="P13908" s="33">
        <f t="shared" si="868"/>
        <v>0</v>
      </c>
      <c r="Q13908" s="31" t="str">
        <f t="shared" si="869"/>
        <v/>
      </c>
      <c r="R13908" s="32" t="str">
        <f>IFERROR(VLOOKUP($D13908,'Informations sur les produits'!$A$3:$B$15000,2,FALSE),"")</f>
        <v/>
      </c>
      <c r="V13908">
        <f t="shared" si="870"/>
        <v>0</v>
      </c>
      <c r="W13908">
        <f t="shared" si="871"/>
        <v>0</v>
      </c>
    </row>
    <row r="13909" spans="5:23" x14ac:dyDescent="0.25">
      <c r="E13909" s="4"/>
      <c r="F13909" s="4"/>
      <c r="G13909" s="33" t="str">
        <f>IFERROR(VLOOKUP($D13909,'Informations sur les produits'!$A$3:$H$10000,8,FALSE),"0")</f>
        <v>0</v>
      </c>
      <c r="K13909" s="4"/>
      <c r="L13909" s="33" t="str">
        <f>IFERROR(VLOOKUP($J13909,'Informations sur les produits'!$A$3:$H$10000,8,FALSE),"0")</f>
        <v>0</v>
      </c>
      <c r="N13909" s="8"/>
      <c r="O13909" s="33" t="str">
        <f>IFERROR(VLOOKUP($M13909,'Informations sur les produits'!$A$3:$H$10000,8,FALSE),"0")</f>
        <v>0</v>
      </c>
      <c r="P13909" s="33">
        <f t="shared" si="868"/>
        <v>0</v>
      </c>
      <c r="Q13909" s="31" t="str">
        <f t="shared" si="869"/>
        <v/>
      </c>
      <c r="R13909" s="32" t="str">
        <f>IFERROR(VLOOKUP($D13909,'Informations sur les produits'!$A$3:$B$15000,2,FALSE),"")</f>
        <v/>
      </c>
      <c r="V13909">
        <f t="shared" si="870"/>
        <v>0</v>
      </c>
      <c r="W13909">
        <f t="shared" si="871"/>
        <v>0</v>
      </c>
    </row>
    <row r="13910" spans="5:23" x14ac:dyDescent="0.25">
      <c r="E13910" s="4"/>
      <c r="F13910" s="4"/>
      <c r="G13910" s="33" t="str">
        <f>IFERROR(VLOOKUP($D13910,'Informations sur les produits'!$A$3:$H$10000,8,FALSE),"0")</f>
        <v>0</v>
      </c>
      <c r="K13910" s="4"/>
      <c r="L13910" s="33" t="str">
        <f>IFERROR(VLOOKUP($J13910,'Informations sur les produits'!$A$3:$H$10000,8,FALSE),"0")</f>
        <v>0</v>
      </c>
      <c r="N13910" s="8"/>
      <c r="O13910" s="33" t="str">
        <f>IFERROR(VLOOKUP($M13910,'Informations sur les produits'!$A$3:$H$10000,8,FALSE),"0")</f>
        <v>0</v>
      </c>
      <c r="P13910" s="33">
        <f t="shared" si="868"/>
        <v>0</v>
      </c>
      <c r="Q13910" s="31" t="str">
        <f t="shared" si="869"/>
        <v/>
      </c>
      <c r="R13910" s="32" t="str">
        <f>IFERROR(VLOOKUP($D13910,'Informations sur les produits'!$A$3:$B$15000,2,FALSE),"")</f>
        <v/>
      </c>
      <c r="V13910">
        <f t="shared" si="870"/>
        <v>0</v>
      </c>
      <c r="W13910">
        <f t="shared" si="871"/>
        <v>0</v>
      </c>
    </row>
    <row r="13911" spans="5:23" x14ac:dyDescent="0.25">
      <c r="E13911" s="4"/>
      <c r="F13911" s="4"/>
      <c r="G13911" s="33" t="str">
        <f>IFERROR(VLOOKUP($D13911,'Informations sur les produits'!$A$3:$H$10000,8,FALSE),"0")</f>
        <v>0</v>
      </c>
      <c r="K13911" s="4"/>
      <c r="L13911" s="33" t="str">
        <f>IFERROR(VLOOKUP($J13911,'Informations sur les produits'!$A$3:$H$10000,8,FALSE),"0")</f>
        <v>0</v>
      </c>
      <c r="N13911" s="8"/>
      <c r="O13911" s="33" t="str">
        <f>IFERROR(VLOOKUP($M13911,'Informations sur les produits'!$A$3:$H$10000,8,FALSE),"0")</f>
        <v>0</v>
      </c>
      <c r="P13911" s="33">
        <f t="shared" si="868"/>
        <v>0</v>
      </c>
      <c r="Q13911" s="31" t="str">
        <f t="shared" si="869"/>
        <v/>
      </c>
      <c r="R13911" s="32" t="str">
        <f>IFERROR(VLOOKUP($D13911,'Informations sur les produits'!$A$3:$B$15000,2,FALSE),"")</f>
        <v/>
      </c>
      <c r="V13911">
        <f t="shared" si="870"/>
        <v>0</v>
      </c>
      <c r="W13911">
        <f t="shared" si="871"/>
        <v>0</v>
      </c>
    </row>
    <row r="13912" spans="5:23" x14ac:dyDescent="0.25">
      <c r="E13912" s="4"/>
      <c r="F13912" s="4"/>
      <c r="G13912" s="33" t="str">
        <f>IFERROR(VLOOKUP($D13912,'Informations sur les produits'!$A$3:$H$10000,8,FALSE),"0")</f>
        <v>0</v>
      </c>
      <c r="K13912" s="4"/>
      <c r="L13912" s="33" t="str">
        <f>IFERROR(VLOOKUP($J13912,'Informations sur les produits'!$A$3:$H$10000,8,FALSE),"0")</f>
        <v>0</v>
      </c>
      <c r="N13912" s="8"/>
      <c r="O13912" s="33" t="str">
        <f>IFERROR(VLOOKUP($M13912,'Informations sur les produits'!$A$3:$H$10000,8,FALSE),"0")</f>
        <v>0</v>
      </c>
      <c r="P13912" s="33">
        <f t="shared" si="868"/>
        <v>0</v>
      </c>
      <c r="Q13912" s="31" t="str">
        <f t="shared" si="869"/>
        <v/>
      </c>
      <c r="R13912" s="32" t="str">
        <f>IFERROR(VLOOKUP($D13912,'Informations sur les produits'!$A$3:$B$15000,2,FALSE),"")</f>
        <v/>
      </c>
      <c r="V13912">
        <f t="shared" si="870"/>
        <v>0</v>
      </c>
      <c r="W13912">
        <f t="shared" si="871"/>
        <v>0</v>
      </c>
    </row>
    <row r="13913" spans="5:23" x14ac:dyDescent="0.25">
      <c r="E13913" s="4"/>
      <c r="F13913" s="4"/>
      <c r="G13913" s="33" t="str">
        <f>IFERROR(VLOOKUP($D13913,'Informations sur les produits'!$A$3:$H$10000,8,FALSE),"0")</f>
        <v>0</v>
      </c>
      <c r="K13913" s="4"/>
      <c r="L13913" s="33" t="str">
        <f>IFERROR(VLOOKUP($J13913,'Informations sur les produits'!$A$3:$H$10000,8,FALSE),"0")</f>
        <v>0</v>
      </c>
      <c r="N13913" s="8"/>
      <c r="O13913" s="33" t="str">
        <f>IFERROR(VLOOKUP($M13913,'Informations sur les produits'!$A$3:$H$10000,8,FALSE),"0")</f>
        <v>0</v>
      </c>
      <c r="P13913" s="33">
        <f t="shared" si="868"/>
        <v>0</v>
      </c>
      <c r="Q13913" s="31" t="str">
        <f t="shared" si="869"/>
        <v/>
      </c>
      <c r="R13913" s="32" t="str">
        <f>IFERROR(VLOOKUP($D13913,'Informations sur les produits'!$A$3:$B$15000,2,FALSE),"")</f>
        <v/>
      </c>
      <c r="V13913">
        <f t="shared" si="870"/>
        <v>0</v>
      </c>
      <c r="W13913">
        <f t="shared" si="871"/>
        <v>0</v>
      </c>
    </row>
    <row r="13914" spans="5:23" x14ac:dyDescent="0.25">
      <c r="E13914" s="4"/>
      <c r="F13914" s="4"/>
      <c r="G13914" s="33" t="str">
        <f>IFERROR(VLOOKUP($D13914,'Informations sur les produits'!$A$3:$H$10000,8,FALSE),"0")</f>
        <v>0</v>
      </c>
      <c r="K13914" s="4"/>
      <c r="L13914" s="33" t="str">
        <f>IFERROR(VLOOKUP($J13914,'Informations sur les produits'!$A$3:$H$10000,8,FALSE),"0")</f>
        <v>0</v>
      </c>
      <c r="N13914" s="8"/>
      <c r="O13914" s="33" t="str">
        <f>IFERROR(VLOOKUP($M13914,'Informations sur les produits'!$A$3:$H$10000,8,FALSE),"0")</f>
        <v>0</v>
      </c>
      <c r="P13914" s="33">
        <f t="shared" si="868"/>
        <v>0</v>
      </c>
      <c r="Q13914" s="31" t="str">
        <f t="shared" si="869"/>
        <v/>
      </c>
      <c r="R13914" s="32" t="str">
        <f>IFERROR(VLOOKUP($D13914,'Informations sur les produits'!$A$3:$B$15000,2,FALSE),"")</f>
        <v/>
      </c>
      <c r="V13914">
        <f t="shared" si="870"/>
        <v>0</v>
      </c>
      <c r="W13914">
        <f t="shared" si="871"/>
        <v>0</v>
      </c>
    </row>
    <row r="13915" spans="5:23" x14ac:dyDescent="0.25">
      <c r="E13915" s="4"/>
      <c r="F13915" s="4"/>
      <c r="G13915" s="33" t="str">
        <f>IFERROR(VLOOKUP($D13915,'Informations sur les produits'!$A$3:$H$10000,8,FALSE),"0")</f>
        <v>0</v>
      </c>
      <c r="K13915" s="4"/>
      <c r="L13915" s="33" t="str">
        <f>IFERROR(VLOOKUP($J13915,'Informations sur les produits'!$A$3:$H$10000,8,FALSE),"0")</f>
        <v>0</v>
      </c>
      <c r="N13915" s="8"/>
      <c r="O13915" s="33" t="str">
        <f>IFERROR(VLOOKUP($M13915,'Informations sur les produits'!$A$3:$H$10000,8,FALSE),"0")</f>
        <v>0</v>
      </c>
      <c r="P13915" s="33">
        <f t="shared" si="868"/>
        <v>0</v>
      </c>
      <c r="Q13915" s="31" t="str">
        <f t="shared" si="869"/>
        <v/>
      </c>
      <c r="R13915" s="32" t="str">
        <f>IFERROR(VLOOKUP($D13915,'Informations sur les produits'!$A$3:$B$15000,2,FALSE),"")</f>
        <v/>
      </c>
      <c r="V13915">
        <f t="shared" si="870"/>
        <v>0</v>
      </c>
      <c r="W13915">
        <f t="shared" si="871"/>
        <v>0</v>
      </c>
    </row>
    <row r="13916" spans="5:23" x14ac:dyDescent="0.25">
      <c r="E13916" s="4"/>
      <c r="F13916" s="4"/>
      <c r="G13916" s="33" t="str">
        <f>IFERROR(VLOOKUP($D13916,'Informations sur les produits'!$A$3:$H$10000,8,FALSE),"0")</f>
        <v>0</v>
      </c>
      <c r="K13916" s="4"/>
      <c r="L13916" s="33" t="str">
        <f>IFERROR(VLOOKUP($J13916,'Informations sur les produits'!$A$3:$H$10000,8,FALSE),"0")</f>
        <v>0</v>
      </c>
      <c r="N13916" s="8"/>
      <c r="O13916" s="33" t="str">
        <f>IFERROR(VLOOKUP($M13916,'Informations sur les produits'!$A$3:$H$10000,8,FALSE),"0")</f>
        <v>0</v>
      </c>
      <c r="P13916" s="33">
        <f t="shared" si="868"/>
        <v>0</v>
      </c>
      <c r="Q13916" s="31" t="str">
        <f t="shared" si="869"/>
        <v/>
      </c>
      <c r="R13916" s="32" t="str">
        <f>IFERROR(VLOOKUP($D13916,'Informations sur les produits'!$A$3:$B$15000,2,FALSE),"")</f>
        <v/>
      </c>
      <c r="V13916">
        <f t="shared" si="870"/>
        <v>0</v>
      </c>
      <c r="W13916">
        <f t="shared" si="871"/>
        <v>0</v>
      </c>
    </row>
    <row r="13917" spans="5:23" x14ac:dyDescent="0.25">
      <c r="E13917" s="4"/>
      <c r="F13917" s="4"/>
      <c r="G13917" s="33" t="str">
        <f>IFERROR(VLOOKUP($D13917,'Informations sur les produits'!$A$3:$H$10000,8,FALSE),"0")</f>
        <v>0</v>
      </c>
      <c r="K13917" s="4"/>
      <c r="L13917" s="33" t="str">
        <f>IFERROR(VLOOKUP($J13917,'Informations sur les produits'!$A$3:$H$10000,8,FALSE),"0")</f>
        <v>0</v>
      </c>
      <c r="N13917" s="8"/>
      <c r="O13917" s="33" t="str">
        <f>IFERROR(VLOOKUP($M13917,'Informations sur les produits'!$A$3:$H$10000,8,FALSE),"0")</f>
        <v>0</v>
      </c>
      <c r="P13917" s="33">
        <f t="shared" si="868"/>
        <v>0</v>
      </c>
      <c r="Q13917" s="31" t="str">
        <f t="shared" si="869"/>
        <v/>
      </c>
      <c r="R13917" s="32" t="str">
        <f>IFERROR(VLOOKUP($D13917,'Informations sur les produits'!$A$3:$B$15000,2,FALSE),"")</f>
        <v/>
      </c>
      <c r="V13917">
        <f t="shared" si="870"/>
        <v>0</v>
      </c>
      <c r="W13917">
        <f t="shared" si="871"/>
        <v>0</v>
      </c>
    </row>
    <row r="13918" spans="5:23" x14ac:dyDescent="0.25">
      <c r="E13918" s="4"/>
      <c r="F13918" s="4"/>
      <c r="G13918" s="33" t="str">
        <f>IFERROR(VLOOKUP($D13918,'Informations sur les produits'!$A$3:$H$10000,8,FALSE),"0")</f>
        <v>0</v>
      </c>
      <c r="K13918" s="4"/>
      <c r="L13918" s="33" t="str">
        <f>IFERROR(VLOOKUP($J13918,'Informations sur les produits'!$A$3:$H$10000,8,FALSE),"0")</f>
        <v>0</v>
      </c>
      <c r="N13918" s="8"/>
      <c r="O13918" s="33" t="str">
        <f>IFERROR(VLOOKUP($M13918,'Informations sur les produits'!$A$3:$H$10000,8,FALSE),"0")</f>
        <v>0</v>
      </c>
      <c r="P13918" s="33">
        <f t="shared" si="868"/>
        <v>0</v>
      </c>
      <c r="Q13918" s="31" t="str">
        <f t="shared" si="869"/>
        <v/>
      </c>
      <c r="R13918" s="32" t="str">
        <f>IFERROR(VLOOKUP($D13918,'Informations sur les produits'!$A$3:$B$15000,2,FALSE),"")</f>
        <v/>
      </c>
      <c r="V13918">
        <f t="shared" si="870"/>
        <v>0</v>
      </c>
      <c r="W13918">
        <f t="shared" si="871"/>
        <v>0</v>
      </c>
    </row>
    <row r="13919" spans="5:23" x14ac:dyDescent="0.25">
      <c r="E13919" s="4"/>
      <c r="F13919" s="4"/>
      <c r="G13919" s="33" t="str">
        <f>IFERROR(VLOOKUP($D13919,'Informations sur les produits'!$A$3:$H$10000,8,FALSE),"0")</f>
        <v>0</v>
      </c>
      <c r="K13919" s="4"/>
      <c r="L13919" s="33" t="str">
        <f>IFERROR(VLOOKUP($J13919,'Informations sur les produits'!$A$3:$H$10000,8,FALSE),"0")</f>
        <v>0</v>
      </c>
      <c r="N13919" s="8"/>
      <c r="O13919" s="33" t="str">
        <f>IFERROR(VLOOKUP($M13919,'Informations sur les produits'!$A$3:$H$10000,8,FALSE),"0")</f>
        <v>0</v>
      </c>
      <c r="P13919" s="33">
        <f t="shared" si="868"/>
        <v>0</v>
      </c>
      <c r="Q13919" s="31" t="str">
        <f t="shared" si="869"/>
        <v/>
      </c>
      <c r="R13919" s="32" t="str">
        <f>IFERROR(VLOOKUP($D13919,'Informations sur les produits'!$A$3:$B$15000,2,FALSE),"")</f>
        <v/>
      </c>
      <c r="V13919">
        <f t="shared" si="870"/>
        <v>0</v>
      </c>
      <c r="W13919">
        <f t="shared" si="871"/>
        <v>0</v>
      </c>
    </row>
    <row r="13920" spans="5:23" x14ac:dyDescent="0.25">
      <c r="E13920" s="4"/>
      <c r="F13920" s="4"/>
      <c r="G13920" s="33" t="str">
        <f>IFERROR(VLOOKUP($D13920,'Informations sur les produits'!$A$3:$H$10000,8,FALSE),"0")</f>
        <v>0</v>
      </c>
      <c r="K13920" s="4"/>
      <c r="L13920" s="33" t="str">
        <f>IFERROR(VLOOKUP($J13920,'Informations sur les produits'!$A$3:$H$10000,8,FALSE),"0")</f>
        <v>0</v>
      </c>
      <c r="N13920" s="8"/>
      <c r="O13920" s="33" t="str">
        <f>IFERROR(VLOOKUP($M13920,'Informations sur les produits'!$A$3:$H$10000,8,FALSE),"0")</f>
        <v>0</v>
      </c>
      <c r="P13920" s="33">
        <f t="shared" si="868"/>
        <v>0</v>
      </c>
      <c r="Q13920" s="31" t="str">
        <f t="shared" si="869"/>
        <v/>
      </c>
      <c r="R13920" s="32" t="str">
        <f>IFERROR(VLOOKUP($D13920,'Informations sur les produits'!$A$3:$B$15000,2,FALSE),"")</f>
        <v/>
      </c>
      <c r="V13920">
        <f t="shared" si="870"/>
        <v>0</v>
      </c>
      <c r="W13920">
        <f t="shared" si="871"/>
        <v>0</v>
      </c>
    </row>
    <row r="13921" spans="5:23" x14ac:dyDescent="0.25">
      <c r="E13921" s="4"/>
      <c r="F13921" s="4"/>
      <c r="G13921" s="33" t="str">
        <f>IFERROR(VLOOKUP($D13921,'Informations sur les produits'!$A$3:$H$10000,8,FALSE),"0")</f>
        <v>0</v>
      </c>
      <c r="K13921" s="4"/>
      <c r="L13921" s="33" t="str">
        <f>IFERROR(VLOOKUP($J13921,'Informations sur les produits'!$A$3:$H$10000,8,FALSE),"0")</f>
        <v>0</v>
      </c>
      <c r="N13921" s="8"/>
      <c r="O13921" s="33" t="str">
        <f>IFERROR(VLOOKUP($M13921,'Informations sur les produits'!$A$3:$H$10000,8,FALSE),"0")</f>
        <v>0</v>
      </c>
      <c r="P13921" s="33">
        <f t="shared" si="868"/>
        <v>0</v>
      </c>
      <c r="Q13921" s="31" t="str">
        <f t="shared" si="869"/>
        <v/>
      </c>
      <c r="R13921" s="32" t="str">
        <f>IFERROR(VLOOKUP($D13921,'Informations sur les produits'!$A$3:$B$15000,2,FALSE),"")</f>
        <v/>
      </c>
      <c r="V13921">
        <f t="shared" si="870"/>
        <v>0</v>
      </c>
      <c r="W13921">
        <f t="shared" si="871"/>
        <v>0</v>
      </c>
    </row>
    <row r="13922" spans="5:23" x14ac:dyDescent="0.25">
      <c r="E13922" s="4"/>
      <c r="F13922" s="4"/>
      <c r="G13922" s="33" t="str">
        <f>IFERROR(VLOOKUP($D13922,'Informations sur les produits'!$A$3:$H$10000,8,FALSE),"0")</f>
        <v>0</v>
      </c>
      <c r="K13922" s="4"/>
      <c r="L13922" s="33" t="str">
        <f>IFERROR(VLOOKUP($J13922,'Informations sur les produits'!$A$3:$H$10000,8,FALSE),"0")</f>
        <v>0</v>
      </c>
      <c r="N13922" s="8"/>
      <c r="O13922" s="33" t="str">
        <f>IFERROR(VLOOKUP($M13922,'Informations sur les produits'!$A$3:$H$10000,8,FALSE),"0")</f>
        <v>0</v>
      </c>
      <c r="P13922" s="33">
        <f t="shared" si="868"/>
        <v>0</v>
      </c>
      <c r="Q13922" s="31" t="str">
        <f t="shared" si="869"/>
        <v/>
      </c>
      <c r="R13922" s="32" t="str">
        <f>IFERROR(VLOOKUP($D13922,'Informations sur les produits'!$A$3:$B$15000,2,FALSE),"")</f>
        <v/>
      </c>
      <c r="V13922">
        <f t="shared" si="870"/>
        <v>0</v>
      </c>
      <c r="W13922">
        <f t="shared" si="871"/>
        <v>0</v>
      </c>
    </row>
    <row r="13923" spans="5:23" x14ac:dyDescent="0.25">
      <c r="E13923" s="4"/>
      <c r="F13923" s="4"/>
      <c r="G13923" s="33" t="str">
        <f>IFERROR(VLOOKUP($D13923,'Informations sur les produits'!$A$3:$H$10000,8,FALSE),"0")</f>
        <v>0</v>
      </c>
      <c r="K13923" s="4"/>
      <c r="L13923" s="33" t="str">
        <f>IFERROR(VLOOKUP($J13923,'Informations sur les produits'!$A$3:$H$10000,8,FALSE),"0")</f>
        <v>0</v>
      </c>
      <c r="N13923" s="8"/>
      <c r="O13923" s="33" t="str">
        <f>IFERROR(VLOOKUP($M13923,'Informations sur les produits'!$A$3:$H$10000,8,FALSE),"0")</f>
        <v>0</v>
      </c>
      <c r="P13923" s="33">
        <f t="shared" si="868"/>
        <v>0</v>
      </c>
      <c r="Q13923" s="31" t="str">
        <f t="shared" si="869"/>
        <v/>
      </c>
      <c r="R13923" s="32" t="str">
        <f>IFERROR(VLOOKUP($D13923,'Informations sur les produits'!$A$3:$B$15000,2,FALSE),"")</f>
        <v/>
      </c>
      <c r="V13923">
        <f t="shared" si="870"/>
        <v>0</v>
      </c>
      <c r="W13923">
        <f t="shared" si="871"/>
        <v>0</v>
      </c>
    </row>
    <row r="13924" spans="5:23" x14ac:dyDescent="0.25">
      <c r="E13924" s="4"/>
      <c r="F13924" s="4"/>
      <c r="G13924" s="33" t="str">
        <f>IFERROR(VLOOKUP($D13924,'Informations sur les produits'!$A$3:$H$10000,8,FALSE),"0")</f>
        <v>0</v>
      </c>
      <c r="K13924" s="4"/>
      <c r="L13924" s="33" t="str">
        <f>IFERROR(VLOOKUP($J13924,'Informations sur les produits'!$A$3:$H$10000,8,FALSE),"0")</f>
        <v>0</v>
      </c>
      <c r="N13924" s="8"/>
      <c r="O13924" s="33" t="str">
        <f>IFERROR(VLOOKUP($M13924,'Informations sur les produits'!$A$3:$H$10000,8,FALSE),"0")</f>
        <v>0</v>
      </c>
      <c r="P13924" s="33">
        <f t="shared" si="868"/>
        <v>0</v>
      </c>
      <c r="Q13924" s="31" t="str">
        <f t="shared" si="869"/>
        <v/>
      </c>
      <c r="R13924" s="32" t="str">
        <f>IFERROR(VLOOKUP($D13924,'Informations sur les produits'!$A$3:$B$15000,2,FALSE),"")</f>
        <v/>
      </c>
      <c r="V13924">
        <f t="shared" si="870"/>
        <v>0</v>
      </c>
      <c r="W13924">
        <f t="shared" si="871"/>
        <v>0</v>
      </c>
    </row>
    <row r="13925" spans="5:23" x14ac:dyDescent="0.25">
      <c r="E13925" s="4"/>
      <c r="F13925" s="4"/>
      <c r="G13925" s="33" t="str">
        <f>IFERROR(VLOOKUP($D13925,'Informations sur les produits'!$A$3:$H$10000,8,FALSE),"0")</f>
        <v>0</v>
      </c>
      <c r="K13925" s="4"/>
      <c r="L13925" s="33" t="str">
        <f>IFERROR(VLOOKUP($J13925,'Informations sur les produits'!$A$3:$H$10000,8,FALSE),"0")</f>
        <v>0</v>
      </c>
      <c r="N13925" s="8"/>
      <c r="O13925" s="33" t="str">
        <f>IFERROR(VLOOKUP($M13925,'Informations sur les produits'!$A$3:$H$10000,8,FALSE),"0")</f>
        <v>0</v>
      </c>
      <c r="P13925" s="33">
        <f t="shared" si="868"/>
        <v>0</v>
      </c>
      <c r="Q13925" s="31" t="str">
        <f t="shared" si="869"/>
        <v/>
      </c>
      <c r="R13925" s="32" t="str">
        <f>IFERROR(VLOOKUP($D13925,'Informations sur les produits'!$A$3:$B$15000,2,FALSE),"")</f>
        <v/>
      </c>
      <c r="V13925">
        <f t="shared" si="870"/>
        <v>0</v>
      </c>
      <c r="W13925">
        <f t="shared" si="871"/>
        <v>0</v>
      </c>
    </row>
    <row r="13926" spans="5:23" x14ac:dyDescent="0.25">
      <c r="E13926" s="4"/>
      <c r="F13926" s="4"/>
      <c r="G13926" s="33" t="str">
        <f>IFERROR(VLOOKUP($D13926,'Informations sur les produits'!$A$3:$H$10000,8,FALSE),"0")</f>
        <v>0</v>
      </c>
      <c r="K13926" s="4"/>
      <c r="L13926" s="33" t="str">
        <f>IFERROR(VLOOKUP($J13926,'Informations sur les produits'!$A$3:$H$10000,8,FALSE),"0")</f>
        <v>0</v>
      </c>
      <c r="N13926" s="8"/>
      <c r="O13926" s="33" t="str">
        <f>IFERROR(VLOOKUP($M13926,'Informations sur les produits'!$A$3:$H$10000,8,FALSE),"0")</f>
        <v>0</v>
      </c>
      <c r="P13926" s="33">
        <f t="shared" si="868"/>
        <v>0</v>
      </c>
      <c r="Q13926" s="31" t="str">
        <f t="shared" si="869"/>
        <v/>
      </c>
      <c r="R13926" s="32" t="str">
        <f>IFERROR(VLOOKUP($D13926,'Informations sur les produits'!$A$3:$B$15000,2,FALSE),"")</f>
        <v/>
      </c>
      <c r="V13926">
        <f t="shared" si="870"/>
        <v>0</v>
      </c>
      <c r="W13926">
        <f t="shared" si="871"/>
        <v>0</v>
      </c>
    </row>
    <row r="13927" spans="5:23" x14ac:dyDescent="0.25">
      <c r="E13927" s="4"/>
      <c r="F13927" s="4"/>
      <c r="G13927" s="33" t="str">
        <f>IFERROR(VLOOKUP($D13927,'Informations sur les produits'!$A$3:$H$10000,8,FALSE),"0")</f>
        <v>0</v>
      </c>
      <c r="K13927" s="4"/>
      <c r="L13927" s="33" t="str">
        <f>IFERROR(VLOOKUP($J13927,'Informations sur les produits'!$A$3:$H$10000,8,FALSE),"0")</f>
        <v>0</v>
      </c>
      <c r="N13927" s="8"/>
      <c r="O13927" s="33" t="str">
        <f>IFERROR(VLOOKUP($M13927,'Informations sur les produits'!$A$3:$H$10000,8,FALSE),"0")</f>
        <v>0</v>
      </c>
      <c r="P13927" s="33">
        <f t="shared" si="868"/>
        <v>0</v>
      </c>
      <c r="Q13927" s="31" t="str">
        <f t="shared" si="869"/>
        <v/>
      </c>
      <c r="R13927" s="32" t="str">
        <f>IFERROR(VLOOKUP($D13927,'Informations sur les produits'!$A$3:$B$15000,2,FALSE),"")</f>
        <v/>
      </c>
      <c r="V13927">
        <f t="shared" si="870"/>
        <v>0</v>
      </c>
      <c r="W13927">
        <f t="shared" si="871"/>
        <v>0</v>
      </c>
    </row>
    <row r="13928" spans="5:23" x14ac:dyDescent="0.25">
      <c r="E13928" s="4"/>
      <c r="F13928" s="4"/>
      <c r="G13928" s="33" t="str">
        <f>IFERROR(VLOOKUP($D13928,'Informations sur les produits'!$A$3:$H$10000,8,FALSE),"0")</f>
        <v>0</v>
      </c>
      <c r="K13928" s="4"/>
      <c r="L13928" s="33" t="str">
        <f>IFERROR(VLOOKUP($J13928,'Informations sur les produits'!$A$3:$H$10000,8,FALSE),"0")</f>
        <v>0</v>
      </c>
      <c r="N13928" s="8"/>
      <c r="O13928" s="33" t="str">
        <f>IFERROR(VLOOKUP($M13928,'Informations sur les produits'!$A$3:$H$10000,8,FALSE),"0")</f>
        <v>0</v>
      </c>
      <c r="P13928" s="33">
        <f t="shared" si="868"/>
        <v>0</v>
      </c>
      <c r="Q13928" s="31" t="str">
        <f t="shared" si="869"/>
        <v/>
      </c>
      <c r="R13928" s="32" t="str">
        <f>IFERROR(VLOOKUP($D13928,'Informations sur les produits'!$A$3:$B$15000,2,FALSE),"")</f>
        <v/>
      </c>
      <c r="V13928">
        <f t="shared" si="870"/>
        <v>0</v>
      </c>
      <c r="W13928">
        <f t="shared" si="871"/>
        <v>0</v>
      </c>
    </row>
    <row r="13929" spans="5:23" x14ac:dyDescent="0.25">
      <c r="E13929" s="4"/>
      <c r="F13929" s="4"/>
      <c r="G13929" s="33" t="str">
        <f>IFERROR(VLOOKUP($D13929,'Informations sur les produits'!$A$3:$H$10000,8,FALSE),"0")</f>
        <v>0</v>
      </c>
      <c r="K13929" s="4"/>
      <c r="L13929" s="33" t="str">
        <f>IFERROR(VLOOKUP($J13929,'Informations sur les produits'!$A$3:$H$10000,8,FALSE),"0")</f>
        <v>0</v>
      </c>
      <c r="N13929" s="8"/>
      <c r="O13929" s="33" t="str">
        <f>IFERROR(VLOOKUP($M13929,'Informations sur les produits'!$A$3:$H$10000,8,FALSE),"0")</f>
        <v>0</v>
      </c>
      <c r="P13929" s="33">
        <f t="shared" si="868"/>
        <v>0</v>
      </c>
      <c r="Q13929" s="31" t="str">
        <f t="shared" si="869"/>
        <v/>
      </c>
      <c r="R13929" s="32" t="str">
        <f>IFERROR(VLOOKUP($D13929,'Informations sur les produits'!$A$3:$B$15000,2,FALSE),"")</f>
        <v/>
      </c>
      <c r="V13929">
        <f t="shared" si="870"/>
        <v>0</v>
      </c>
      <c r="W13929">
        <f t="shared" si="871"/>
        <v>0</v>
      </c>
    </row>
    <row r="13930" spans="5:23" x14ac:dyDescent="0.25">
      <c r="E13930" s="4"/>
      <c r="F13930" s="4"/>
      <c r="G13930" s="33" t="str">
        <f>IFERROR(VLOOKUP($D13930,'Informations sur les produits'!$A$3:$H$10000,8,FALSE),"0")</f>
        <v>0</v>
      </c>
      <c r="K13930" s="4"/>
      <c r="L13930" s="33" t="str">
        <f>IFERROR(VLOOKUP($J13930,'Informations sur les produits'!$A$3:$H$10000,8,FALSE),"0")</f>
        <v>0</v>
      </c>
      <c r="N13930" s="8"/>
      <c r="O13930" s="33" t="str">
        <f>IFERROR(VLOOKUP($M13930,'Informations sur les produits'!$A$3:$H$10000,8,FALSE),"0")</f>
        <v>0</v>
      </c>
      <c r="P13930" s="33">
        <f t="shared" si="868"/>
        <v>0</v>
      </c>
      <c r="Q13930" s="31" t="str">
        <f t="shared" si="869"/>
        <v/>
      </c>
      <c r="R13930" s="32" t="str">
        <f>IFERROR(VLOOKUP($D13930,'Informations sur les produits'!$A$3:$B$15000,2,FALSE),"")</f>
        <v/>
      </c>
      <c r="V13930">
        <f t="shared" si="870"/>
        <v>0</v>
      </c>
      <c r="W13930">
        <f t="shared" si="871"/>
        <v>0</v>
      </c>
    </row>
    <row r="13931" spans="5:23" x14ac:dyDescent="0.25">
      <c r="E13931" s="4"/>
      <c r="F13931" s="4"/>
      <c r="G13931" s="33" t="str">
        <f>IFERROR(VLOOKUP($D13931,'Informations sur les produits'!$A$3:$H$10000,8,FALSE),"0")</f>
        <v>0</v>
      </c>
      <c r="K13931" s="4"/>
      <c r="L13931" s="33" t="str">
        <f>IFERROR(VLOOKUP($J13931,'Informations sur les produits'!$A$3:$H$10000,8,FALSE),"0")</f>
        <v>0</v>
      </c>
      <c r="N13931" s="8"/>
      <c r="O13931" s="33" t="str">
        <f>IFERROR(VLOOKUP($M13931,'Informations sur les produits'!$A$3:$H$10000,8,FALSE),"0")</f>
        <v>0</v>
      </c>
      <c r="P13931" s="33">
        <f t="shared" si="868"/>
        <v>0</v>
      </c>
      <c r="Q13931" s="31" t="str">
        <f t="shared" si="869"/>
        <v/>
      </c>
      <c r="R13931" s="32" t="str">
        <f>IFERROR(VLOOKUP($D13931,'Informations sur les produits'!$A$3:$B$15000,2,FALSE),"")</f>
        <v/>
      </c>
      <c r="V13931">
        <f t="shared" si="870"/>
        <v>0</v>
      </c>
      <c r="W13931">
        <f t="shared" si="871"/>
        <v>0</v>
      </c>
    </row>
    <row r="13932" spans="5:23" x14ac:dyDescent="0.25">
      <c r="E13932" s="4"/>
      <c r="F13932" s="4"/>
      <c r="G13932" s="33" t="str">
        <f>IFERROR(VLOOKUP($D13932,'Informations sur les produits'!$A$3:$H$10000,8,FALSE),"0")</f>
        <v>0</v>
      </c>
      <c r="K13932" s="4"/>
      <c r="L13932" s="33" t="str">
        <f>IFERROR(VLOOKUP($J13932,'Informations sur les produits'!$A$3:$H$10000,8,FALSE),"0")</f>
        <v>0</v>
      </c>
      <c r="N13932" s="8"/>
      <c r="O13932" s="33" t="str">
        <f>IFERROR(VLOOKUP($M13932,'Informations sur les produits'!$A$3:$H$10000,8,FALSE),"0")</f>
        <v>0</v>
      </c>
      <c r="P13932" s="33">
        <f t="shared" si="868"/>
        <v>0</v>
      </c>
      <c r="Q13932" s="31" t="str">
        <f t="shared" si="869"/>
        <v/>
      </c>
      <c r="R13932" s="32" t="str">
        <f>IFERROR(VLOOKUP($D13932,'Informations sur les produits'!$A$3:$B$15000,2,FALSE),"")</f>
        <v/>
      </c>
      <c r="V13932">
        <f t="shared" si="870"/>
        <v>0</v>
      </c>
      <c r="W13932">
        <f t="shared" si="871"/>
        <v>0</v>
      </c>
    </row>
    <row r="13933" spans="5:23" x14ac:dyDescent="0.25">
      <c r="E13933" s="4"/>
      <c r="F13933" s="4"/>
      <c r="G13933" s="33" t="str">
        <f>IFERROR(VLOOKUP($D13933,'Informations sur les produits'!$A$3:$H$10000,8,FALSE),"0")</f>
        <v>0</v>
      </c>
      <c r="K13933" s="4"/>
      <c r="L13933" s="33" t="str">
        <f>IFERROR(VLOOKUP($J13933,'Informations sur les produits'!$A$3:$H$10000,8,FALSE),"0")</f>
        <v>0</v>
      </c>
      <c r="N13933" s="8"/>
      <c r="O13933" s="33" t="str">
        <f>IFERROR(VLOOKUP($M13933,'Informations sur les produits'!$A$3:$H$10000,8,FALSE),"0")</f>
        <v>0</v>
      </c>
      <c r="P13933" s="33">
        <f t="shared" si="868"/>
        <v>0</v>
      </c>
      <c r="Q13933" s="31" t="str">
        <f t="shared" si="869"/>
        <v/>
      </c>
      <c r="R13933" s="32" t="str">
        <f>IFERROR(VLOOKUP($D13933,'Informations sur les produits'!$A$3:$B$15000,2,FALSE),"")</f>
        <v/>
      </c>
      <c r="V13933">
        <f t="shared" si="870"/>
        <v>0</v>
      </c>
      <c r="W13933">
        <f t="shared" si="871"/>
        <v>0</v>
      </c>
    </row>
    <row r="13934" spans="5:23" x14ac:dyDescent="0.25">
      <c r="E13934" s="4"/>
      <c r="F13934" s="4"/>
      <c r="G13934" s="33" t="str">
        <f>IFERROR(VLOOKUP($D13934,'Informations sur les produits'!$A$3:$H$10000,8,FALSE),"0")</f>
        <v>0</v>
      </c>
      <c r="K13934" s="4"/>
      <c r="L13934" s="33" t="str">
        <f>IFERROR(VLOOKUP($J13934,'Informations sur les produits'!$A$3:$H$10000,8,FALSE),"0")</f>
        <v>0</v>
      </c>
      <c r="N13934" s="8"/>
      <c r="O13934" s="33" t="str">
        <f>IFERROR(VLOOKUP($M13934,'Informations sur les produits'!$A$3:$H$10000,8,FALSE),"0")</f>
        <v>0</v>
      </c>
      <c r="P13934" s="33">
        <f t="shared" si="868"/>
        <v>0</v>
      </c>
      <c r="Q13934" s="31" t="str">
        <f t="shared" si="869"/>
        <v/>
      </c>
      <c r="R13934" s="32" t="str">
        <f>IFERROR(VLOOKUP($D13934,'Informations sur les produits'!$A$3:$B$15000,2,FALSE),"")</f>
        <v/>
      </c>
      <c r="V13934">
        <f t="shared" si="870"/>
        <v>0</v>
      </c>
      <c r="W13934">
        <f t="shared" si="871"/>
        <v>0</v>
      </c>
    </row>
    <row r="13935" spans="5:23" x14ac:dyDescent="0.25">
      <c r="E13935" s="4"/>
      <c r="F13935" s="4"/>
      <c r="G13935" s="33" t="str">
        <f>IFERROR(VLOOKUP($D13935,'Informations sur les produits'!$A$3:$H$10000,8,FALSE),"0")</f>
        <v>0</v>
      </c>
      <c r="K13935" s="4"/>
      <c r="L13935" s="33" t="str">
        <f>IFERROR(VLOOKUP($J13935,'Informations sur les produits'!$A$3:$H$10000,8,FALSE),"0")</f>
        <v>0</v>
      </c>
      <c r="N13935" s="8"/>
      <c r="O13935" s="33" t="str">
        <f>IFERROR(VLOOKUP($M13935,'Informations sur les produits'!$A$3:$H$10000,8,FALSE),"0")</f>
        <v>0</v>
      </c>
      <c r="P13935" s="33">
        <f t="shared" si="868"/>
        <v>0</v>
      </c>
      <c r="Q13935" s="31" t="str">
        <f t="shared" si="869"/>
        <v/>
      </c>
      <c r="R13935" s="32" t="str">
        <f>IFERROR(VLOOKUP($D13935,'Informations sur les produits'!$A$3:$B$15000,2,FALSE),"")</f>
        <v/>
      </c>
      <c r="V13935">
        <f t="shared" si="870"/>
        <v>0</v>
      </c>
      <c r="W13935">
        <f t="shared" si="871"/>
        <v>0</v>
      </c>
    </row>
    <row r="13936" spans="5:23" x14ac:dyDescent="0.25">
      <c r="E13936" s="4"/>
      <c r="F13936" s="4"/>
      <c r="G13936" s="33" t="str">
        <f>IFERROR(VLOOKUP($D13936,'Informations sur les produits'!$A$3:$H$10000,8,FALSE),"0")</f>
        <v>0</v>
      </c>
      <c r="K13936" s="4"/>
      <c r="L13936" s="33" t="str">
        <f>IFERROR(VLOOKUP($J13936,'Informations sur les produits'!$A$3:$H$10000,8,FALSE),"0")</f>
        <v>0</v>
      </c>
      <c r="N13936" s="8"/>
      <c r="O13936" s="33" t="str">
        <f>IFERROR(VLOOKUP($M13936,'Informations sur les produits'!$A$3:$H$10000,8,FALSE),"0")</f>
        <v>0</v>
      </c>
      <c r="P13936" s="33">
        <f t="shared" si="868"/>
        <v>0</v>
      </c>
      <c r="Q13936" s="31" t="str">
        <f t="shared" si="869"/>
        <v/>
      </c>
      <c r="R13936" s="32" t="str">
        <f>IFERROR(VLOOKUP($D13936,'Informations sur les produits'!$A$3:$B$15000,2,FALSE),"")</f>
        <v/>
      </c>
      <c r="V13936">
        <f t="shared" si="870"/>
        <v>0</v>
      </c>
      <c r="W13936">
        <f t="shared" si="871"/>
        <v>0</v>
      </c>
    </row>
    <row r="13937" spans="5:23" x14ac:dyDescent="0.25">
      <c r="E13937" s="4"/>
      <c r="F13937" s="4"/>
      <c r="G13937" s="33" t="str">
        <f>IFERROR(VLOOKUP($D13937,'Informations sur les produits'!$A$3:$H$10000,8,FALSE),"0")</f>
        <v>0</v>
      </c>
      <c r="K13937" s="4"/>
      <c r="L13937" s="33" t="str">
        <f>IFERROR(VLOOKUP($J13937,'Informations sur les produits'!$A$3:$H$10000,8,FALSE),"0")</f>
        <v>0</v>
      </c>
      <c r="N13937" s="8"/>
      <c r="O13937" s="33" t="str">
        <f>IFERROR(VLOOKUP($M13937,'Informations sur les produits'!$A$3:$H$10000,8,FALSE),"0")</f>
        <v>0</v>
      </c>
      <c r="P13937" s="33">
        <f t="shared" si="868"/>
        <v>0</v>
      </c>
      <c r="Q13937" s="31" t="str">
        <f t="shared" si="869"/>
        <v/>
      </c>
      <c r="R13937" s="32" t="str">
        <f>IFERROR(VLOOKUP($D13937,'Informations sur les produits'!$A$3:$B$15000,2,FALSE),"")</f>
        <v/>
      </c>
      <c r="V13937">
        <f t="shared" si="870"/>
        <v>0</v>
      </c>
      <c r="W13937">
        <f t="shared" si="871"/>
        <v>0</v>
      </c>
    </row>
    <row r="13938" spans="5:23" x14ac:dyDescent="0.25">
      <c r="E13938" s="4"/>
      <c r="F13938" s="4"/>
      <c r="G13938" s="33" t="str">
        <f>IFERROR(VLOOKUP($D13938,'Informations sur les produits'!$A$3:$H$10000,8,FALSE),"0")</f>
        <v>0</v>
      </c>
      <c r="K13938" s="4"/>
      <c r="L13938" s="33" t="str">
        <f>IFERROR(VLOOKUP($J13938,'Informations sur les produits'!$A$3:$H$10000,8,FALSE),"0")</f>
        <v>0</v>
      </c>
      <c r="N13938" s="8"/>
      <c r="O13938" s="33" t="str">
        <f>IFERROR(VLOOKUP($M13938,'Informations sur les produits'!$A$3:$H$10000,8,FALSE),"0")</f>
        <v>0</v>
      </c>
      <c r="P13938" s="33">
        <f t="shared" si="868"/>
        <v>0</v>
      </c>
      <c r="Q13938" s="31" t="str">
        <f t="shared" si="869"/>
        <v/>
      </c>
      <c r="R13938" s="32" t="str">
        <f>IFERROR(VLOOKUP($D13938,'Informations sur les produits'!$A$3:$B$15000,2,FALSE),"")</f>
        <v/>
      </c>
      <c r="V13938">
        <f t="shared" si="870"/>
        <v>0</v>
      </c>
      <c r="W13938">
        <f t="shared" si="871"/>
        <v>0</v>
      </c>
    </row>
    <row r="13939" spans="5:23" x14ac:dyDescent="0.25">
      <c r="E13939" s="4"/>
      <c r="F13939" s="4"/>
      <c r="G13939" s="33" t="str">
        <f>IFERROR(VLOOKUP($D13939,'Informations sur les produits'!$A$3:$H$10000,8,FALSE),"0")</f>
        <v>0</v>
      </c>
      <c r="K13939" s="4"/>
      <c r="L13939" s="33" t="str">
        <f>IFERROR(VLOOKUP($J13939,'Informations sur les produits'!$A$3:$H$10000,8,FALSE),"0")</f>
        <v>0</v>
      </c>
      <c r="N13939" s="8"/>
      <c r="O13939" s="33" t="str">
        <f>IFERROR(VLOOKUP($M13939,'Informations sur les produits'!$A$3:$H$10000,8,FALSE),"0")</f>
        <v>0</v>
      </c>
      <c r="P13939" s="33">
        <f t="shared" si="868"/>
        <v>0</v>
      </c>
      <c r="Q13939" s="31" t="str">
        <f t="shared" si="869"/>
        <v/>
      </c>
      <c r="R13939" s="32" t="str">
        <f>IFERROR(VLOOKUP($D13939,'Informations sur les produits'!$A$3:$B$15000,2,FALSE),"")</f>
        <v/>
      </c>
      <c r="V13939">
        <f t="shared" si="870"/>
        <v>0</v>
      </c>
      <c r="W13939">
        <f t="shared" si="871"/>
        <v>0</v>
      </c>
    </row>
    <row r="13940" spans="5:23" x14ac:dyDescent="0.25">
      <c r="E13940" s="4"/>
      <c r="F13940" s="4"/>
      <c r="G13940" s="33" t="str">
        <f>IFERROR(VLOOKUP($D13940,'Informations sur les produits'!$A$3:$H$10000,8,FALSE),"0")</f>
        <v>0</v>
      </c>
      <c r="K13940" s="4"/>
      <c r="L13940" s="33" t="str">
        <f>IFERROR(VLOOKUP($J13940,'Informations sur les produits'!$A$3:$H$10000,8,FALSE),"0")</f>
        <v>0</v>
      </c>
      <c r="N13940" s="8"/>
      <c r="O13940" s="33" t="str">
        <f>IFERROR(VLOOKUP($M13940,'Informations sur les produits'!$A$3:$H$10000,8,FALSE),"0")</f>
        <v>0</v>
      </c>
      <c r="P13940" s="33">
        <f t="shared" si="868"/>
        <v>0</v>
      </c>
      <c r="Q13940" s="31" t="str">
        <f t="shared" si="869"/>
        <v/>
      </c>
      <c r="R13940" s="32" t="str">
        <f>IFERROR(VLOOKUP($D13940,'Informations sur les produits'!$A$3:$B$15000,2,FALSE),"")</f>
        <v/>
      </c>
      <c r="V13940">
        <f t="shared" si="870"/>
        <v>0</v>
      </c>
      <c r="W13940">
        <f t="shared" si="871"/>
        <v>0</v>
      </c>
    </row>
    <row r="13941" spans="5:23" x14ac:dyDescent="0.25">
      <c r="E13941" s="4"/>
      <c r="F13941" s="4"/>
      <c r="G13941" s="33" t="str">
        <f>IFERROR(VLOOKUP($D13941,'Informations sur les produits'!$A$3:$H$10000,8,FALSE),"0")</f>
        <v>0</v>
      </c>
      <c r="K13941" s="4"/>
      <c r="L13941" s="33" t="str">
        <f>IFERROR(VLOOKUP($J13941,'Informations sur les produits'!$A$3:$H$10000,8,FALSE),"0")</f>
        <v>0</v>
      </c>
      <c r="N13941" s="8"/>
      <c r="O13941" s="33" t="str">
        <f>IFERROR(VLOOKUP($M13941,'Informations sur les produits'!$A$3:$H$10000,8,FALSE),"0")</f>
        <v>0</v>
      </c>
      <c r="P13941" s="33">
        <f t="shared" si="868"/>
        <v>0</v>
      </c>
      <c r="Q13941" s="31" t="str">
        <f t="shared" si="869"/>
        <v/>
      </c>
      <c r="R13941" s="32" t="str">
        <f>IFERROR(VLOOKUP($D13941,'Informations sur les produits'!$A$3:$B$15000,2,FALSE),"")</f>
        <v/>
      </c>
      <c r="V13941">
        <f t="shared" si="870"/>
        <v>0</v>
      </c>
      <c r="W13941">
        <f t="shared" si="871"/>
        <v>0</v>
      </c>
    </row>
    <row r="13942" spans="5:23" x14ac:dyDescent="0.25">
      <c r="E13942" s="4"/>
      <c r="F13942" s="4"/>
      <c r="G13942" s="33" t="str">
        <f>IFERROR(VLOOKUP($D13942,'Informations sur les produits'!$A$3:$H$10000,8,FALSE),"0")</f>
        <v>0</v>
      </c>
      <c r="K13942" s="4"/>
      <c r="L13942" s="33" t="str">
        <f>IFERROR(VLOOKUP($J13942,'Informations sur les produits'!$A$3:$H$10000,8,FALSE),"0")</f>
        <v>0</v>
      </c>
      <c r="N13942" s="8"/>
      <c r="O13942" s="33" t="str">
        <f>IFERROR(VLOOKUP($M13942,'Informations sur les produits'!$A$3:$H$10000,8,FALSE),"0")</f>
        <v>0</v>
      </c>
      <c r="P13942" s="33">
        <f t="shared" si="868"/>
        <v>0</v>
      </c>
      <c r="Q13942" s="31" t="str">
        <f t="shared" si="869"/>
        <v/>
      </c>
      <c r="R13942" s="32" t="str">
        <f>IFERROR(VLOOKUP($D13942,'Informations sur les produits'!$A$3:$B$15000,2,FALSE),"")</f>
        <v/>
      </c>
      <c r="V13942">
        <f t="shared" si="870"/>
        <v>0</v>
      </c>
      <c r="W13942">
        <f t="shared" si="871"/>
        <v>0</v>
      </c>
    </row>
    <row r="13943" spans="5:23" x14ac:dyDescent="0.25">
      <c r="E13943" s="4"/>
      <c r="F13943" s="4"/>
      <c r="G13943" s="33" t="str">
        <f>IFERROR(VLOOKUP($D13943,'Informations sur les produits'!$A$3:$H$10000,8,FALSE),"0")</f>
        <v>0</v>
      </c>
      <c r="K13943" s="4"/>
      <c r="L13943" s="33" t="str">
        <f>IFERROR(VLOOKUP($J13943,'Informations sur les produits'!$A$3:$H$10000,8,FALSE),"0")</f>
        <v>0</v>
      </c>
      <c r="N13943" s="8"/>
      <c r="O13943" s="33" t="str">
        <f>IFERROR(VLOOKUP($M13943,'Informations sur les produits'!$A$3:$H$10000,8,FALSE),"0")</f>
        <v>0</v>
      </c>
      <c r="P13943" s="33">
        <f t="shared" si="868"/>
        <v>0</v>
      </c>
      <c r="Q13943" s="31" t="str">
        <f t="shared" si="869"/>
        <v/>
      </c>
      <c r="R13943" s="32" t="str">
        <f>IFERROR(VLOOKUP($D13943,'Informations sur les produits'!$A$3:$B$15000,2,FALSE),"")</f>
        <v/>
      </c>
      <c r="V13943">
        <f t="shared" si="870"/>
        <v>0</v>
      </c>
      <c r="W13943">
        <f t="shared" si="871"/>
        <v>0</v>
      </c>
    </row>
    <row r="13944" spans="5:23" x14ac:dyDescent="0.25">
      <c r="E13944" s="4"/>
      <c r="F13944" s="4"/>
      <c r="G13944" s="33" t="str">
        <f>IFERROR(VLOOKUP($D13944,'Informations sur les produits'!$A$3:$H$10000,8,FALSE),"0")</f>
        <v>0</v>
      </c>
      <c r="K13944" s="4"/>
      <c r="L13944" s="33" t="str">
        <f>IFERROR(VLOOKUP($J13944,'Informations sur les produits'!$A$3:$H$10000,8,FALSE),"0")</f>
        <v>0</v>
      </c>
      <c r="N13944" s="8"/>
      <c r="O13944" s="33" t="str">
        <f>IFERROR(VLOOKUP($M13944,'Informations sur les produits'!$A$3:$H$10000,8,FALSE),"0")</f>
        <v>0</v>
      </c>
      <c r="P13944" s="33">
        <f t="shared" si="868"/>
        <v>0</v>
      </c>
      <c r="Q13944" s="31" t="str">
        <f t="shared" si="869"/>
        <v/>
      </c>
      <c r="R13944" s="32" t="str">
        <f>IFERROR(VLOOKUP($D13944,'Informations sur les produits'!$A$3:$B$15000,2,FALSE),"")</f>
        <v/>
      </c>
      <c r="V13944">
        <f t="shared" si="870"/>
        <v>0</v>
      </c>
      <c r="W13944">
        <f t="shared" si="871"/>
        <v>0</v>
      </c>
    </row>
    <row r="13945" spans="5:23" x14ac:dyDescent="0.25">
      <c r="E13945" s="4"/>
      <c r="F13945" s="4"/>
      <c r="G13945" s="33" t="str">
        <f>IFERROR(VLOOKUP($D13945,'Informations sur les produits'!$A$3:$H$10000,8,FALSE),"0")</f>
        <v>0</v>
      </c>
      <c r="K13945" s="4"/>
      <c r="L13945" s="33" t="str">
        <f>IFERROR(VLOOKUP($J13945,'Informations sur les produits'!$A$3:$H$10000,8,FALSE),"0")</f>
        <v>0</v>
      </c>
      <c r="N13945" s="8"/>
      <c r="O13945" s="33" t="str">
        <f>IFERROR(VLOOKUP($M13945,'Informations sur les produits'!$A$3:$H$10000,8,FALSE),"0")</f>
        <v>0</v>
      </c>
      <c r="P13945" s="33">
        <f t="shared" si="868"/>
        <v>0</v>
      </c>
      <c r="Q13945" s="31" t="str">
        <f t="shared" si="869"/>
        <v/>
      </c>
      <c r="R13945" s="32" t="str">
        <f>IFERROR(VLOOKUP($D13945,'Informations sur les produits'!$A$3:$B$15000,2,FALSE),"")</f>
        <v/>
      </c>
      <c r="V13945">
        <f t="shared" si="870"/>
        <v>0</v>
      </c>
      <c r="W13945">
        <f t="shared" si="871"/>
        <v>0</v>
      </c>
    </row>
    <row r="13946" spans="5:23" x14ac:dyDescent="0.25">
      <c r="E13946" s="4"/>
      <c r="F13946" s="4"/>
      <c r="G13946" s="33" t="str">
        <f>IFERROR(VLOOKUP($D13946,'Informations sur les produits'!$A$3:$H$10000,8,FALSE),"0")</f>
        <v>0</v>
      </c>
      <c r="K13946" s="4"/>
      <c r="L13946" s="33" t="str">
        <f>IFERROR(VLOOKUP($J13946,'Informations sur les produits'!$A$3:$H$10000,8,FALSE),"0")</f>
        <v>0</v>
      </c>
      <c r="N13946" s="8"/>
      <c r="O13946" s="33" t="str">
        <f>IFERROR(VLOOKUP($M13946,'Informations sur les produits'!$A$3:$H$10000,8,FALSE),"0")</f>
        <v>0</v>
      </c>
      <c r="P13946" s="33">
        <f t="shared" si="868"/>
        <v>0</v>
      </c>
      <c r="Q13946" s="31" t="str">
        <f t="shared" si="869"/>
        <v/>
      </c>
      <c r="R13946" s="32" t="str">
        <f>IFERROR(VLOOKUP($D13946,'Informations sur les produits'!$A$3:$B$15000,2,FALSE),"")</f>
        <v/>
      </c>
      <c r="V13946">
        <f t="shared" si="870"/>
        <v>0</v>
      </c>
      <c r="W13946">
        <f t="shared" si="871"/>
        <v>0</v>
      </c>
    </row>
    <row r="13947" spans="5:23" x14ac:dyDescent="0.25">
      <c r="E13947" s="4"/>
      <c r="F13947" s="4"/>
      <c r="G13947" s="33" t="str">
        <f>IFERROR(VLOOKUP($D13947,'Informations sur les produits'!$A$3:$H$10000,8,FALSE),"0")</f>
        <v>0</v>
      </c>
      <c r="K13947" s="4"/>
      <c r="L13947" s="33" t="str">
        <f>IFERROR(VLOOKUP($J13947,'Informations sur les produits'!$A$3:$H$10000,8,FALSE),"0")</f>
        <v>0</v>
      </c>
      <c r="N13947" s="8"/>
      <c r="O13947" s="33" t="str">
        <f>IFERROR(VLOOKUP($M13947,'Informations sur les produits'!$A$3:$H$10000,8,FALSE),"0")</f>
        <v>0</v>
      </c>
      <c r="P13947" s="33">
        <f t="shared" si="868"/>
        <v>0</v>
      </c>
      <c r="Q13947" s="31" t="str">
        <f t="shared" si="869"/>
        <v/>
      </c>
      <c r="R13947" s="32" t="str">
        <f>IFERROR(VLOOKUP($D13947,'Informations sur les produits'!$A$3:$B$15000,2,FALSE),"")</f>
        <v/>
      </c>
      <c r="V13947">
        <f t="shared" si="870"/>
        <v>0</v>
      </c>
      <c r="W13947">
        <f t="shared" si="871"/>
        <v>0</v>
      </c>
    </row>
    <row r="13948" spans="5:23" x14ac:dyDescent="0.25">
      <c r="E13948" s="4"/>
      <c r="F13948" s="4"/>
      <c r="G13948" s="33" t="str">
        <f>IFERROR(VLOOKUP($D13948,'Informations sur les produits'!$A$3:$H$10000,8,FALSE),"0")</f>
        <v>0</v>
      </c>
      <c r="K13948" s="4"/>
      <c r="L13948" s="33" t="str">
        <f>IFERROR(VLOOKUP($J13948,'Informations sur les produits'!$A$3:$H$10000,8,FALSE),"0")</f>
        <v>0</v>
      </c>
      <c r="N13948" s="8"/>
      <c r="O13948" s="33" t="str">
        <f>IFERROR(VLOOKUP($M13948,'Informations sur les produits'!$A$3:$H$10000,8,FALSE),"0")</f>
        <v>0</v>
      </c>
      <c r="P13948" s="33">
        <f t="shared" si="868"/>
        <v>0</v>
      </c>
      <c r="Q13948" s="31" t="str">
        <f t="shared" si="869"/>
        <v/>
      </c>
      <c r="R13948" s="32" t="str">
        <f>IFERROR(VLOOKUP($D13948,'Informations sur les produits'!$A$3:$B$15000,2,FALSE),"")</f>
        <v/>
      </c>
      <c r="V13948">
        <f t="shared" si="870"/>
        <v>0</v>
      </c>
      <c r="W13948">
        <f t="shared" si="871"/>
        <v>0</v>
      </c>
    </row>
    <row r="13949" spans="5:23" x14ac:dyDescent="0.25">
      <c r="E13949" s="4"/>
      <c r="F13949" s="4"/>
      <c r="G13949" s="33" t="str">
        <f>IFERROR(VLOOKUP($D13949,'Informations sur les produits'!$A$3:$H$10000,8,FALSE),"0")</f>
        <v>0</v>
      </c>
      <c r="K13949" s="4"/>
      <c r="L13949" s="33" t="str">
        <f>IFERROR(VLOOKUP($J13949,'Informations sur les produits'!$A$3:$H$10000,8,FALSE),"0")</f>
        <v>0</v>
      </c>
      <c r="N13949" s="8"/>
      <c r="O13949" s="33" t="str">
        <f>IFERROR(VLOOKUP($M13949,'Informations sur les produits'!$A$3:$H$10000,8,FALSE),"0")</f>
        <v>0</v>
      </c>
      <c r="P13949" s="33">
        <f t="shared" si="868"/>
        <v>0</v>
      </c>
      <c r="Q13949" s="31" t="str">
        <f t="shared" si="869"/>
        <v/>
      </c>
      <c r="R13949" s="32" t="str">
        <f>IFERROR(VLOOKUP($D13949,'Informations sur les produits'!$A$3:$B$15000,2,FALSE),"")</f>
        <v/>
      </c>
      <c r="V13949">
        <f t="shared" si="870"/>
        <v>0</v>
      </c>
      <c r="W13949">
        <f t="shared" si="871"/>
        <v>0</v>
      </c>
    </row>
    <row r="13950" spans="5:23" x14ac:dyDescent="0.25">
      <c r="E13950" s="4"/>
      <c r="F13950" s="4"/>
      <c r="G13950" s="33" t="str">
        <f>IFERROR(VLOOKUP($D13950,'Informations sur les produits'!$A$3:$H$10000,8,FALSE),"0")</f>
        <v>0</v>
      </c>
      <c r="K13950" s="4"/>
      <c r="L13950" s="33" t="str">
        <f>IFERROR(VLOOKUP($J13950,'Informations sur les produits'!$A$3:$H$10000,8,FALSE),"0")</f>
        <v>0</v>
      </c>
      <c r="N13950" s="8"/>
      <c r="O13950" s="33" t="str">
        <f>IFERROR(VLOOKUP($M13950,'Informations sur les produits'!$A$3:$H$10000,8,FALSE),"0")</f>
        <v>0</v>
      </c>
      <c r="P13950" s="33">
        <f t="shared" si="868"/>
        <v>0</v>
      </c>
      <c r="Q13950" s="31" t="str">
        <f t="shared" si="869"/>
        <v/>
      </c>
      <c r="R13950" s="32" t="str">
        <f>IFERROR(VLOOKUP($D13950,'Informations sur les produits'!$A$3:$B$15000,2,FALSE),"")</f>
        <v/>
      </c>
      <c r="V13950">
        <f t="shared" si="870"/>
        <v>0</v>
      </c>
      <c r="W13950">
        <f t="shared" si="871"/>
        <v>0</v>
      </c>
    </row>
    <row r="13951" spans="5:23" x14ac:dyDescent="0.25">
      <c r="E13951" s="4"/>
      <c r="F13951" s="4"/>
      <c r="G13951" s="33" t="str">
        <f>IFERROR(VLOOKUP($D13951,'Informations sur les produits'!$A$3:$H$10000,8,FALSE),"0")</f>
        <v>0</v>
      </c>
      <c r="K13951" s="4"/>
      <c r="L13951" s="33" t="str">
        <f>IFERROR(VLOOKUP($J13951,'Informations sur les produits'!$A$3:$H$10000,8,FALSE),"0")</f>
        <v>0</v>
      </c>
      <c r="N13951" s="8"/>
      <c r="O13951" s="33" t="str">
        <f>IFERROR(VLOOKUP($M13951,'Informations sur les produits'!$A$3:$H$10000,8,FALSE),"0")</f>
        <v>0</v>
      </c>
      <c r="P13951" s="33">
        <f t="shared" si="868"/>
        <v>0</v>
      </c>
      <c r="Q13951" s="31" t="str">
        <f t="shared" si="869"/>
        <v/>
      </c>
      <c r="R13951" s="32" t="str">
        <f>IFERROR(VLOOKUP($D13951,'Informations sur les produits'!$A$3:$B$15000,2,FALSE),"")</f>
        <v/>
      </c>
      <c r="V13951">
        <f t="shared" si="870"/>
        <v>0</v>
      </c>
      <c r="W13951">
        <f t="shared" si="871"/>
        <v>0</v>
      </c>
    </row>
    <row r="13952" spans="5:23" x14ac:dyDescent="0.25">
      <c r="E13952" s="4"/>
      <c r="F13952" s="4"/>
      <c r="G13952" s="33" t="str">
        <f>IFERROR(VLOOKUP($D13952,'Informations sur les produits'!$A$3:$H$10000,8,FALSE),"0")</f>
        <v>0</v>
      </c>
      <c r="K13952" s="4"/>
      <c r="L13952" s="33" t="str">
        <f>IFERROR(VLOOKUP($J13952,'Informations sur les produits'!$A$3:$H$10000,8,FALSE),"0")</f>
        <v>0</v>
      </c>
      <c r="N13952" s="8"/>
      <c r="O13952" s="33" t="str">
        <f>IFERROR(VLOOKUP($M13952,'Informations sur les produits'!$A$3:$H$10000,8,FALSE),"0")</f>
        <v>0</v>
      </c>
      <c r="P13952" s="33">
        <f t="shared" si="868"/>
        <v>0</v>
      </c>
      <c r="Q13952" s="31" t="str">
        <f t="shared" si="869"/>
        <v/>
      </c>
      <c r="R13952" s="32" t="str">
        <f>IFERROR(VLOOKUP($D13952,'Informations sur les produits'!$A$3:$B$15000,2,FALSE),"")</f>
        <v/>
      </c>
      <c r="V13952">
        <f t="shared" si="870"/>
        <v>0</v>
      </c>
      <c r="W13952">
        <f t="shared" si="871"/>
        <v>0</v>
      </c>
    </row>
    <row r="13953" spans="5:23" x14ac:dyDescent="0.25">
      <c r="E13953" s="4"/>
      <c r="F13953" s="4"/>
      <c r="G13953" s="33" t="str">
        <f>IFERROR(VLOOKUP($D13953,'Informations sur les produits'!$A$3:$H$10000,8,FALSE),"0")</f>
        <v>0</v>
      </c>
      <c r="K13953" s="4"/>
      <c r="L13953" s="33" t="str">
        <f>IFERROR(VLOOKUP($J13953,'Informations sur les produits'!$A$3:$H$10000,8,FALSE),"0")</f>
        <v>0</v>
      </c>
      <c r="N13953" s="8"/>
      <c r="O13953" s="33" t="str">
        <f>IFERROR(VLOOKUP($M13953,'Informations sur les produits'!$A$3:$H$10000,8,FALSE),"0")</f>
        <v>0</v>
      </c>
      <c r="P13953" s="33">
        <f t="shared" si="868"/>
        <v>0</v>
      </c>
      <c r="Q13953" s="31" t="str">
        <f t="shared" si="869"/>
        <v/>
      </c>
      <c r="R13953" s="32" t="str">
        <f>IFERROR(VLOOKUP($D13953,'Informations sur les produits'!$A$3:$B$15000,2,FALSE),"")</f>
        <v/>
      </c>
      <c r="V13953">
        <f t="shared" si="870"/>
        <v>0</v>
      </c>
      <c r="W13953">
        <f t="shared" si="871"/>
        <v>0</v>
      </c>
    </row>
    <row r="13954" spans="5:23" x14ac:dyDescent="0.25">
      <c r="E13954" s="4"/>
      <c r="F13954" s="4"/>
      <c r="G13954" s="33" t="str">
        <f>IFERROR(VLOOKUP($D13954,'Informations sur les produits'!$A$3:$H$10000,8,FALSE),"0")</f>
        <v>0</v>
      </c>
      <c r="K13954" s="4"/>
      <c r="L13954" s="33" t="str">
        <f>IFERROR(VLOOKUP($J13954,'Informations sur les produits'!$A$3:$H$10000,8,FALSE),"0")</f>
        <v>0</v>
      </c>
      <c r="N13954" s="8"/>
      <c r="O13954" s="33" t="str">
        <f>IFERROR(VLOOKUP($M13954,'Informations sur les produits'!$A$3:$H$10000,8,FALSE),"0")</f>
        <v>0</v>
      </c>
      <c r="P13954" s="33">
        <f t="shared" si="868"/>
        <v>0</v>
      </c>
      <c r="Q13954" s="31" t="str">
        <f t="shared" si="869"/>
        <v/>
      </c>
      <c r="R13954" s="32" t="str">
        <f>IFERROR(VLOOKUP($D13954,'Informations sur les produits'!$A$3:$B$15000,2,FALSE),"")</f>
        <v/>
      </c>
      <c r="V13954">
        <f t="shared" si="870"/>
        <v>0</v>
      </c>
      <c r="W13954">
        <f t="shared" si="871"/>
        <v>0</v>
      </c>
    </row>
    <row r="13955" spans="5:23" x14ac:dyDescent="0.25">
      <c r="E13955" s="4"/>
      <c r="F13955" s="4"/>
      <c r="G13955" s="33" t="str">
        <f>IFERROR(VLOOKUP($D13955,'Informations sur les produits'!$A$3:$H$10000,8,FALSE),"0")</f>
        <v>0</v>
      </c>
      <c r="K13955" s="4"/>
      <c r="L13955" s="33" t="str">
        <f>IFERROR(VLOOKUP($J13955,'Informations sur les produits'!$A$3:$H$10000,8,FALSE),"0")</f>
        <v>0</v>
      </c>
      <c r="N13955" s="8"/>
      <c r="O13955" s="33" t="str">
        <f>IFERROR(VLOOKUP($M13955,'Informations sur les produits'!$A$3:$H$10000,8,FALSE),"0")</f>
        <v>0</v>
      </c>
      <c r="P13955" s="33">
        <f t="shared" si="868"/>
        <v>0</v>
      </c>
      <c r="Q13955" s="31" t="str">
        <f t="shared" si="869"/>
        <v/>
      </c>
      <c r="R13955" s="32" t="str">
        <f>IFERROR(VLOOKUP($D13955,'Informations sur les produits'!$A$3:$B$15000,2,FALSE),"")</f>
        <v/>
      </c>
      <c r="V13955">
        <f t="shared" si="870"/>
        <v>0</v>
      </c>
      <c r="W13955">
        <f t="shared" si="871"/>
        <v>0</v>
      </c>
    </row>
    <row r="13956" spans="5:23" x14ac:dyDescent="0.25">
      <c r="E13956" s="4"/>
      <c r="F13956" s="4"/>
      <c r="G13956" s="33" t="str">
        <f>IFERROR(VLOOKUP($D13956,'Informations sur les produits'!$A$3:$H$10000,8,FALSE),"0")</f>
        <v>0</v>
      </c>
      <c r="K13956" s="4"/>
      <c r="L13956" s="33" t="str">
        <f>IFERROR(VLOOKUP($J13956,'Informations sur les produits'!$A$3:$H$10000,8,FALSE),"0")</f>
        <v>0</v>
      </c>
      <c r="N13956" s="8"/>
      <c r="O13956" s="33" t="str">
        <f>IFERROR(VLOOKUP($M13956,'Informations sur les produits'!$A$3:$H$10000,8,FALSE),"0")</f>
        <v>0</v>
      </c>
      <c r="P13956" s="33">
        <f t="shared" ref="P13956:P14019" si="872">IFERROR((($E13956-$F13956)*$G13956+$K13956*$L13956+$N13956*$O13956),"")</f>
        <v>0</v>
      </c>
      <c r="Q13956" s="31" t="str">
        <f t="shared" ref="Q13956:Q14019" si="873">IFERROR((((($E13956-$F13956)*$G13956+$K13956*$L13956+$N13956*$O13956)*1000)/(($E13956-$F13956)+$K13956+$N13956)),"")</f>
        <v/>
      </c>
      <c r="R13956" s="32" t="str">
        <f>IFERROR(VLOOKUP($D13956,'Informations sur les produits'!$A$3:$B$15000,2,FALSE),"")</f>
        <v/>
      </c>
      <c r="V13956">
        <f t="shared" ref="V13956:V14019" si="874">IFERROR(P13956*1000,"")</f>
        <v>0</v>
      </c>
      <c r="W13956">
        <f t="shared" ref="W13956:W14019" si="875">IFERROR(($E13956-$F13956)+$K13956+$N13956,"")</f>
        <v>0</v>
      </c>
    </row>
    <row r="13957" spans="5:23" x14ac:dyDescent="0.25">
      <c r="E13957" s="4"/>
      <c r="F13957" s="4"/>
      <c r="G13957" s="33" t="str">
        <f>IFERROR(VLOOKUP($D13957,'Informations sur les produits'!$A$3:$H$10000,8,FALSE),"0")</f>
        <v>0</v>
      </c>
      <c r="K13957" s="4"/>
      <c r="L13957" s="33" t="str">
        <f>IFERROR(VLOOKUP($J13957,'Informations sur les produits'!$A$3:$H$10000,8,FALSE),"0")</f>
        <v>0</v>
      </c>
      <c r="N13957" s="8"/>
      <c r="O13957" s="33" t="str">
        <f>IFERROR(VLOOKUP($M13957,'Informations sur les produits'!$A$3:$H$10000,8,FALSE),"0")</f>
        <v>0</v>
      </c>
      <c r="P13957" s="33">
        <f t="shared" si="872"/>
        <v>0</v>
      </c>
      <c r="Q13957" s="31" t="str">
        <f t="shared" si="873"/>
        <v/>
      </c>
      <c r="R13957" s="32" t="str">
        <f>IFERROR(VLOOKUP($D13957,'Informations sur les produits'!$A$3:$B$15000,2,FALSE),"")</f>
        <v/>
      </c>
      <c r="V13957">
        <f t="shared" si="874"/>
        <v>0</v>
      </c>
      <c r="W13957">
        <f t="shared" si="875"/>
        <v>0</v>
      </c>
    </row>
    <row r="13958" spans="5:23" x14ac:dyDescent="0.25">
      <c r="E13958" s="4"/>
      <c r="F13958" s="4"/>
      <c r="G13958" s="33" t="str">
        <f>IFERROR(VLOOKUP($D13958,'Informations sur les produits'!$A$3:$H$10000,8,FALSE),"0")</f>
        <v>0</v>
      </c>
      <c r="K13958" s="4"/>
      <c r="L13958" s="33" t="str">
        <f>IFERROR(VLOOKUP($J13958,'Informations sur les produits'!$A$3:$H$10000,8,FALSE),"0")</f>
        <v>0</v>
      </c>
      <c r="N13958" s="8"/>
      <c r="O13958" s="33" t="str">
        <f>IFERROR(VLOOKUP($M13958,'Informations sur les produits'!$A$3:$H$10000,8,FALSE),"0")</f>
        <v>0</v>
      </c>
      <c r="P13958" s="33">
        <f t="shared" si="872"/>
        <v>0</v>
      </c>
      <c r="Q13958" s="31" t="str">
        <f t="shared" si="873"/>
        <v/>
      </c>
      <c r="R13958" s="32" t="str">
        <f>IFERROR(VLOOKUP($D13958,'Informations sur les produits'!$A$3:$B$15000,2,FALSE),"")</f>
        <v/>
      </c>
      <c r="V13958">
        <f t="shared" si="874"/>
        <v>0</v>
      </c>
      <c r="W13958">
        <f t="shared" si="875"/>
        <v>0</v>
      </c>
    </row>
    <row r="13959" spans="5:23" x14ac:dyDescent="0.25">
      <c r="E13959" s="4"/>
      <c r="F13959" s="4"/>
      <c r="G13959" s="33" t="str">
        <f>IFERROR(VLOOKUP($D13959,'Informations sur les produits'!$A$3:$H$10000,8,FALSE),"0")</f>
        <v>0</v>
      </c>
      <c r="K13959" s="4"/>
      <c r="L13959" s="33" t="str">
        <f>IFERROR(VLOOKUP($J13959,'Informations sur les produits'!$A$3:$H$10000,8,FALSE),"0")</f>
        <v>0</v>
      </c>
      <c r="N13959" s="8"/>
      <c r="O13959" s="33" t="str">
        <f>IFERROR(VLOOKUP($M13959,'Informations sur les produits'!$A$3:$H$10000,8,FALSE),"0")</f>
        <v>0</v>
      </c>
      <c r="P13959" s="33">
        <f t="shared" si="872"/>
        <v>0</v>
      </c>
      <c r="Q13959" s="31" t="str">
        <f t="shared" si="873"/>
        <v/>
      </c>
      <c r="R13959" s="32" t="str">
        <f>IFERROR(VLOOKUP($D13959,'Informations sur les produits'!$A$3:$B$15000,2,FALSE),"")</f>
        <v/>
      </c>
      <c r="V13959">
        <f t="shared" si="874"/>
        <v>0</v>
      </c>
      <c r="W13959">
        <f t="shared" si="875"/>
        <v>0</v>
      </c>
    </row>
    <row r="13960" spans="5:23" x14ac:dyDescent="0.25">
      <c r="E13960" s="4"/>
      <c r="F13960" s="4"/>
      <c r="G13960" s="33" t="str">
        <f>IFERROR(VLOOKUP($D13960,'Informations sur les produits'!$A$3:$H$10000,8,FALSE),"0")</f>
        <v>0</v>
      </c>
      <c r="K13960" s="4"/>
      <c r="L13960" s="33" t="str">
        <f>IFERROR(VLOOKUP($J13960,'Informations sur les produits'!$A$3:$H$10000,8,FALSE),"0")</f>
        <v>0</v>
      </c>
      <c r="N13960" s="8"/>
      <c r="O13960" s="33" t="str">
        <f>IFERROR(VLOOKUP($M13960,'Informations sur les produits'!$A$3:$H$10000,8,FALSE),"0")</f>
        <v>0</v>
      </c>
      <c r="P13960" s="33">
        <f t="shared" si="872"/>
        <v>0</v>
      </c>
      <c r="Q13960" s="31" t="str">
        <f t="shared" si="873"/>
        <v/>
      </c>
      <c r="R13960" s="32" t="str">
        <f>IFERROR(VLOOKUP($D13960,'Informations sur les produits'!$A$3:$B$15000,2,FALSE),"")</f>
        <v/>
      </c>
      <c r="V13960">
        <f t="shared" si="874"/>
        <v>0</v>
      </c>
      <c r="W13960">
        <f t="shared" si="875"/>
        <v>0</v>
      </c>
    </row>
    <row r="13961" spans="5:23" x14ac:dyDescent="0.25">
      <c r="E13961" s="4"/>
      <c r="F13961" s="4"/>
      <c r="G13961" s="33" t="str">
        <f>IFERROR(VLOOKUP($D13961,'Informations sur les produits'!$A$3:$H$10000,8,FALSE),"0")</f>
        <v>0</v>
      </c>
      <c r="K13961" s="4"/>
      <c r="L13961" s="33" t="str">
        <f>IFERROR(VLOOKUP($J13961,'Informations sur les produits'!$A$3:$H$10000,8,FALSE),"0")</f>
        <v>0</v>
      </c>
      <c r="N13961" s="8"/>
      <c r="O13961" s="33" t="str">
        <f>IFERROR(VLOOKUP($M13961,'Informations sur les produits'!$A$3:$H$10000,8,FALSE),"0")</f>
        <v>0</v>
      </c>
      <c r="P13961" s="33">
        <f t="shared" si="872"/>
        <v>0</v>
      </c>
      <c r="Q13961" s="31" t="str">
        <f t="shared" si="873"/>
        <v/>
      </c>
      <c r="R13961" s="32" t="str">
        <f>IFERROR(VLOOKUP($D13961,'Informations sur les produits'!$A$3:$B$15000,2,FALSE),"")</f>
        <v/>
      </c>
      <c r="V13961">
        <f t="shared" si="874"/>
        <v>0</v>
      </c>
      <c r="W13961">
        <f t="shared" si="875"/>
        <v>0</v>
      </c>
    </row>
    <row r="13962" spans="5:23" x14ac:dyDescent="0.25">
      <c r="E13962" s="4"/>
      <c r="F13962" s="4"/>
      <c r="G13962" s="33" t="str">
        <f>IFERROR(VLOOKUP($D13962,'Informations sur les produits'!$A$3:$H$10000,8,FALSE),"0")</f>
        <v>0</v>
      </c>
      <c r="K13962" s="4"/>
      <c r="L13962" s="33" t="str">
        <f>IFERROR(VLOOKUP($J13962,'Informations sur les produits'!$A$3:$H$10000,8,FALSE),"0")</f>
        <v>0</v>
      </c>
      <c r="N13962" s="8"/>
      <c r="O13962" s="33" t="str">
        <f>IFERROR(VLOOKUP($M13962,'Informations sur les produits'!$A$3:$H$10000,8,FALSE),"0")</f>
        <v>0</v>
      </c>
      <c r="P13962" s="33">
        <f t="shared" si="872"/>
        <v>0</v>
      </c>
      <c r="Q13962" s="31" t="str">
        <f t="shared" si="873"/>
        <v/>
      </c>
      <c r="R13962" s="32" t="str">
        <f>IFERROR(VLOOKUP($D13962,'Informations sur les produits'!$A$3:$B$15000,2,FALSE),"")</f>
        <v/>
      </c>
      <c r="V13962">
        <f t="shared" si="874"/>
        <v>0</v>
      </c>
      <c r="W13962">
        <f t="shared" si="875"/>
        <v>0</v>
      </c>
    </row>
    <row r="13963" spans="5:23" x14ac:dyDescent="0.25">
      <c r="E13963" s="4"/>
      <c r="F13963" s="4"/>
      <c r="G13963" s="33" t="str">
        <f>IFERROR(VLOOKUP($D13963,'Informations sur les produits'!$A$3:$H$10000,8,FALSE),"0")</f>
        <v>0</v>
      </c>
      <c r="K13963" s="4"/>
      <c r="L13963" s="33" t="str">
        <f>IFERROR(VLOOKUP($J13963,'Informations sur les produits'!$A$3:$H$10000,8,FALSE),"0")</f>
        <v>0</v>
      </c>
      <c r="N13963" s="8"/>
      <c r="O13963" s="33" t="str">
        <f>IFERROR(VLOOKUP($M13963,'Informations sur les produits'!$A$3:$H$10000,8,FALSE),"0")</f>
        <v>0</v>
      </c>
      <c r="P13963" s="33">
        <f t="shared" si="872"/>
        <v>0</v>
      </c>
      <c r="Q13963" s="31" t="str">
        <f t="shared" si="873"/>
        <v/>
      </c>
      <c r="R13963" s="32" t="str">
        <f>IFERROR(VLOOKUP($D13963,'Informations sur les produits'!$A$3:$B$15000,2,FALSE),"")</f>
        <v/>
      </c>
      <c r="V13963">
        <f t="shared" si="874"/>
        <v>0</v>
      </c>
      <c r="W13963">
        <f t="shared" si="875"/>
        <v>0</v>
      </c>
    </row>
    <row r="13964" spans="5:23" x14ac:dyDescent="0.25">
      <c r="E13964" s="4"/>
      <c r="F13964" s="4"/>
      <c r="G13964" s="33" t="str">
        <f>IFERROR(VLOOKUP($D13964,'Informations sur les produits'!$A$3:$H$10000,8,FALSE),"0")</f>
        <v>0</v>
      </c>
      <c r="K13964" s="4"/>
      <c r="L13964" s="33" t="str">
        <f>IFERROR(VLOOKUP($J13964,'Informations sur les produits'!$A$3:$H$10000,8,FALSE),"0")</f>
        <v>0</v>
      </c>
      <c r="N13964" s="8"/>
      <c r="O13964" s="33" t="str">
        <f>IFERROR(VLOOKUP($M13964,'Informations sur les produits'!$A$3:$H$10000,8,FALSE),"0")</f>
        <v>0</v>
      </c>
      <c r="P13964" s="33">
        <f t="shared" si="872"/>
        <v>0</v>
      </c>
      <c r="Q13964" s="31" t="str">
        <f t="shared" si="873"/>
        <v/>
      </c>
      <c r="R13964" s="32" t="str">
        <f>IFERROR(VLOOKUP($D13964,'Informations sur les produits'!$A$3:$B$15000,2,FALSE),"")</f>
        <v/>
      </c>
      <c r="V13964">
        <f t="shared" si="874"/>
        <v>0</v>
      </c>
      <c r="W13964">
        <f t="shared" si="875"/>
        <v>0</v>
      </c>
    </row>
    <row r="13965" spans="5:23" x14ac:dyDescent="0.25">
      <c r="E13965" s="4"/>
      <c r="F13965" s="4"/>
      <c r="G13965" s="33" t="str">
        <f>IFERROR(VLOOKUP($D13965,'Informations sur les produits'!$A$3:$H$10000,8,FALSE),"0")</f>
        <v>0</v>
      </c>
      <c r="K13965" s="4"/>
      <c r="L13965" s="33" t="str">
        <f>IFERROR(VLOOKUP($J13965,'Informations sur les produits'!$A$3:$H$10000,8,FALSE),"0")</f>
        <v>0</v>
      </c>
      <c r="N13965" s="8"/>
      <c r="O13965" s="33" t="str">
        <f>IFERROR(VLOOKUP($M13965,'Informations sur les produits'!$A$3:$H$10000,8,FALSE),"0")</f>
        <v>0</v>
      </c>
      <c r="P13965" s="33">
        <f t="shared" si="872"/>
        <v>0</v>
      </c>
      <c r="Q13965" s="31" t="str">
        <f t="shared" si="873"/>
        <v/>
      </c>
      <c r="R13965" s="32" t="str">
        <f>IFERROR(VLOOKUP($D13965,'Informations sur les produits'!$A$3:$B$15000,2,FALSE),"")</f>
        <v/>
      </c>
      <c r="V13965">
        <f t="shared" si="874"/>
        <v>0</v>
      </c>
      <c r="W13965">
        <f t="shared" si="875"/>
        <v>0</v>
      </c>
    </row>
    <row r="13966" spans="5:23" x14ac:dyDescent="0.25">
      <c r="E13966" s="4"/>
      <c r="F13966" s="4"/>
      <c r="G13966" s="33" t="str">
        <f>IFERROR(VLOOKUP($D13966,'Informations sur les produits'!$A$3:$H$10000,8,FALSE),"0")</f>
        <v>0</v>
      </c>
      <c r="K13966" s="4"/>
      <c r="L13966" s="33" t="str">
        <f>IFERROR(VLOOKUP($J13966,'Informations sur les produits'!$A$3:$H$10000,8,FALSE),"0")</f>
        <v>0</v>
      </c>
      <c r="N13966" s="8"/>
      <c r="O13966" s="33" t="str">
        <f>IFERROR(VLOOKUP($M13966,'Informations sur les produits'!$A$3:$H$10000,8,FALSE),"0")</f>
        <v>0</v>
      </c>
      <c r="P13966" s="33">
        <f t="shared" si="872"/>
        <v>0</v>
      </c>
      <c r="Q13966" s="31" t="str">
        <f t="shared" si="873"/>
        <v/>
      </c>
      <c r="R13966" s="32" t="str">
        <f>IFERROR(VLOOKUP($D13966,'Informations sur les produits'!$A$3:$B$15000,2,FALSE),"")</f>
        <v/>
      </c>
      <c r="V13966">
        <f t="shared" si="874"/>
        <v>0</v>
      </c>
      <c r="W13966">
        <f t="shared" si="875"/>
        <v>0</v>
      </c>
    </row>
    <row r="13967" spans="5:23" x14ac:dyDescent="0.25">
      <c r="E13967" s="4"/>
      <c r="F13967" s="4"/>
      <c r="G13967" s="33" t="str">
        <f>IFERROR(VLOOKUP($D13967,'Informations sur les produits'!$A$3:$H$10000,8,FALSE),"0")</f>
        <v>0</v>
      </c>
      <c r="K13967" s="4"/>
      <c r="L13967" s="33" t="str">
        <f>IFERROR(VLOOKUP($J13967,'Informations sur les produits'!$A$3:$H$10000,8,FALSE),"0")</f>
        <v>0</v>
      </c>
      <c r="N13967" s="8"/>
      <c r="O13967" s="33" t="str">
        <f>IFERROR(VLOOKUP($M13967,'Informations sur les produits'!$A$3:$H$10000,8,FALSE),"0")</f>
        <v>0</v>
      </c>
      <c r="P13967" s="33">
        <f t="shared" si="872"/>
        <v>0</v>
      </c>
      <c r="Q13967" s="31" t="str">
        <f t="shared" si="873"/>
        <v/>
      </c>
      <c r="R13967" s="32" t="str">
        <f>IFERROR(VLOOKUP($D13967,'Informations sur les produits'!$A$3:$B$15000,2,FALSE),"")</f>
        <v/>
      </c>
      <c r="V13967">
        <f t="shared" si="874"/>
        <v>0</v>
      </c>
      <c r="W13967">
        <f t="shared" si="875"/>
        <v>0</v>
      </c>
    </row>
    <row r="13968" spans="5:23" x14ac:dyDescent="0.25">
      <c r="E13968" s="4"/>
      <c r="F13968" s="4"/>
      <c r="G13968" s="33" t="str">
        <f>IFERROR(VLOOKUP($D13968,'Informations sur les produits'!$A$3:$H$10000,8,FALSE),"0")</f>
        <v>0</v>
      </c>
      <c r="K13968" s="4"/>
      <c r="L13968" s="33" t="str">
        <f>IFERROR(VLOOKUP($J13968,'Informations sur les produits'!$A$3:$H$10000,8,FALSE),"0")</f>
        <v>0</v>
      </c>
      <c r="N13968" s="8"/>
      <c r="O13968" s="33" t="str">
        <f>IFERROR(VLOOKUP($M13968,'Informations sur les produits'!$A$3:$H$10000,8,FALSE),"0")</f>
        <v>0</v>
      </c>
      <c r="P13968" s="33">
        <f t="shared" si="872"/>
        <v>0</v>
      </c>
      <c r="Q13968" s="31" t="str">
        <f t="shared" si="873"/>
        <v/>
      </c>
      <c r="R13968" s="32" t="str">
        <f>IFERROR(VLOOKUP($D13968,'Informations sur les produits'!$A$3:$B$15000,2,FALSE),"")</f>
        <v/>
      </c>
      <c r="V13968">
        <f t="shared" si="874"/>
        <v>0</v>
      </c>
      <c r="W13968">
        <f t="shared" si="875"/>
        <v>0</v>
      </c>
    </row>
    <row r="13969" spans="5:23" x14ac:dyDescent="0.25">
      <c r="E13969" s="4"/>
      <c r="F13969" s="4"/>
      <c r="G13969" s="33" t="str">
        <f>IFERROR(VLOOKUP($D13969,'Informations sur les produits'!$A$3:$H$10000,8,FALSE),"0")</f>
        <v>0</v>
      </c>
      <c r="K13969" s="4"/>
      <c r="L13969" s="33" t="str">
        <f>IFERROR(VLOOKUP($J13969,'Informations sur les produits'!$A$3:$H$10000,8,FALSE),"0")</f>
        <v>0</v>
      </c>
      <c r="N13969" s="8"/>
      <c r="O13969" s="33" t="str">
        <f>IFERROR(VLOOKUP($M13969,'Informations sur les produits'!$A$3:$H$10000,8,FALSE),"0")</f>
        <v>0</v>
      </c>
      <c r="P13969" s="33">
        <f t="shared" si="872"/>
        <v>0</v>
      </c>
      <c r="Q13969" s="31" t="str">
        <f t="shared" si="873"/>
        <v/>
      </c>
      <c r="R13969" s="32" t="str">
        <f>IFERROR(VLOOKUP($D13969,'Informations sur les produits'!$A$3:$B$15000,2,FALSE),"")</f>
        <v/>
      </c>
      <c r="V13969">
        <f t="shared" si="874"/>
        <v>0</v>
      </c>
      <c r="W13969">
        <f t="shared" si="875"/>
        <v>0</v>
      </c>
    </row>
    <row r="13970" spans="5:23" x14ac:dyDescent="0.25">
      <c r="E13970" s="4"/>
      <c r="F13970" s="4"/>
      <c r="G13970" s="33" t="str">
        <f>IFERROR(VLOOKUP($D13970,'Informations sur les produits'!$A$3:$H$10000,8,FALSE),"0")</f>
        <v>0</v>
      </c>
      <c r="K13970" s="4"/>
      <c r="L13970" s="33" t="str">
        <f>IFERROR(VLOOKUP($J13970,'Informations sur les produits'!$A$3:$H$10000,8,FALSE),"0")</f>
        <v>0</v>
      </c>
      <c r="N13970" s="8"/>
      <c r="O13970" s="33" t="str">
        <f>IFERROR(VLOOKUP($M13970,'Informations sur les produits'!$A$3:$H$10000,8,FALSE),"0")</f>
        <v>0</v>
      </c>
      <c r="P13970" s="33">
        <f t="shared" si="872"/>
        <v>0</v>
      </c>
      <c r="Q13970" s="31" t="str">
        <f t="shared" si="873"/>
        <v/>
      </c>
      <c r="R13970" s="32" t="str">
        <f>IFERROR(VLOOKUP($D13970,'Informations sur les produits'!$A$3:$B$15000,2,FALSE),"")</f>
        <v/>
      </c>
      <c r="V13970">
        <f t="shared" si="874"/>
        <v>0</v>
      </c>
      <c r="W13970">
        <f t="shared" si="875"/>
        <v>0</v>
      </c>
    </row>
    <row r="13971" spans="5:23" x14ac:dyDescent="0.25">
      <c r="E13971" s="4"/>
      <c r="F13971" s="4"/>
      <c r="G13971" s="33" t="str">
        <f>IFERROR(VLOOKUP($D13971,'Informations sur les produits'!$A$3:$H$10000,8,FALSE),"0")</f>
        <v>0</v>
      </c>
      <c r="K13971" s="4"/>
      <c r="L13971" s="33" t="str">
        <f>IFERROR(VLOOKUP($J13971,'Informations sur les produits'!$A$3:$H$10000,8,FALSE),"0")</f>
        <v>0</v>
      </c>
      <c r="N13971" s="8"/>
      <c r="O13971" s="33" t="str">
        <f>IFERROR(VLOOKUP($M13971,'Informations sur les produits'!$A$3:$H$10000,8,FALSE),"0")</f>
        <v>0</v>
      </c>
      <c r="P13971" s="33">
        <f t="shared" si="872"/>
        <v>0</v>
      </c>
      <c r="Q13971" s="31" t="str">
        <f t="shared" si="873"/>
        <v/>
      </c>
      <c r="R13971" s="32" t="str">
        <f>IFERROR(VLOOKUP($D13971,'Informations sur les produits'!$A$3:$B$15000,2,FALSE),"")</f>
        <v/>
      </c>
      <c r="V13971">
        <f t="shared" si="874"/>
        <v>0</v>
      </c>
      <c r="W13971">
        <f t="shared" si="875"/>
        <v>0</v>
      </c>
    </row>
    <row r="13972" spans="5:23" x14ac:dyDescent="0.25">
      <c r="E13972" s="4"/>
      <c r="F13972" s="4"/>
      <c r="G13972" s="33" t="str">
        <f>IFERROR(VLOOKUP($D13972,'Informations sur les produits'!$A$3:$H$10000,8,FALSE),"0")</f>
        <v>0</v>
      </c>
      <c r="K13972" s="4"/>
      <c r="L13972" s="33" t="str">
        <f>IFERROR(VLOOKUP($J13972,'Informations sur les produits'!$A$3:$H$10000,8,FALSE),"0")</f>
        <v>0</v>
      </c>
      <c r="N13972" s="8"/>
      <c r="O13972" s="33" t="str">
        <f>IFERROR(VLOOKUP($M13972,'Informations sur les produits'!$A$3:$H$10000,8,FALSE),"0")</f>
        <v>0</v>
      </c>
      <c r="P13972" s="33">
        <f t="shared" si="872"/>
        <v>0</v>
      </c>
      <c r="Q13972" s="31" t="str">
        <f t="shared" si="873"/>
        <v/>
      </c>
      <c r="R13972" s="32" t="str">
        <f>IFERROR(VLOOKUP($D13972,'Informations sur les produits'!$A$3:$B$15000,2,FALSE),"")</f>
        <v/>
      </c>
      <c r="V13972">
        <f t="shared" si="874"/>
        <v>0</v>
      </c>
      <c r="W13972">
        <f t="shared" si="875"/>
        <v>0</v>
      </c>
    </row>
    <row r="13973" spans="5:23" x14ac:dyDescent="0.25">
      <c r="E13973" s="4"/>
      <c r="F13973" s="4"/>
      <c r="G13973" s="33" t="str">
        <f>IFERROR(VLOOKUP($D13973,'Informations sur les produits'!$A$3:$H$10000,8,FALSE),"0")</f>
        <v>0</v>
      </c>
      <c r="K13973" s="4"/>
      <c r="L13973" s="33" t="str">
        <f>IFERROR(VLOOKUP($J13973,'Informations sur les produits'!$A$3:$H$10000,8,FALSE),"0")</f>
        <v>0</v>
      </c>
      <c r="N13973" s="8"/>
      <c r="O13973" s="33" t="str">
        <f>IFERROR(VLOOKUP($M13973,'Informations sur les produits'!$A$3:$H$10000,8,FALSE),"0")</f>
        <v>0</v>
      </c>
      <c r="P13973" s="33">
        <f t="shared" si="872"/>
        <v>0</v>
      </c>
      <c r="Q13973" s="31" t="str">
        <f t="shared" si="873"/>
        <v/>
      </c>
      <c r="R13973" s="32" t="str">
        <f>IFERROR(VLOOKUP($D13973,'Informations sur les produits'!$A$3:$B$15000,2,FALSE),"")</f>
        <v/>
      </c>
      <c r="V13973">
        <f t="shared" si="874"/>
        <v>0</v>
      </c>
      <c r="W13973">
        <f t="shared" si="875"/>
        <v>0</v>
      </c>
    </row>
    <row r="13974" spans="5:23" x14ac:dyDescent="0.25">
      <c r="E13974" s="4"/>
      <c r="F13974" s="4"/>
      <c r="G13974" s="33" t="str">
        <f>IFERROR(VLOOKUP($D13974,'Informations sur les produits'!$A$3:$H$10000,8,FALSE),"0")</f>
        <v>0</v>
      </c>
      <c r="K13974" s="4"/>
      <c r="L13974" s="33" t="str">
        <f>IFERROR(VLOOKUP($J13974,'Informations sur les produits'!$A$3:$H$10000,8,FALSE),"0")</f>
        <v>0</v>
      </c>
      <c r="N13974" s="8"/>
      <c r="O13974" s="33" t="str">
        <f>IFERROR(VLOOKUP($M13974,'Informations sur les produits'!$A$3:$H$10000,8,FALSE),"0")</f>
        <v>0</v>
      </c>
      <c r="P13974" s="33">
        <f t="shared" si="872"/>
        <v>0</v>
      </c>
      <c r="Q13974" s="31" t="str">
        <f t="shared" si="873"/>
        <v/>
      </c>
      <c r="R13974" s="32" t="str">
        <f>IFERROR(VLOOKUP($D13974,'Informations sur les produits'!$A$3:$B$15000,2,FALSE),"")</f>
        <v/>
      </c>
      <c r="V13974">
        <f t="shared" si="874"/>
        <v>0</v>
      </c>
      <c r="W13974">
        <f t="shared" si="875"/>
        <v>0</v>
      </c>
    </row>
    <row r="13975" spans="5:23" x14ac:dyDescent="0.25">
      <c r="E13975" s="4"/>
      <c r="F13975" s="4"/>
      <c r="G13975" s="33" t="str">
        <f>IFERROR(VLOOKUP($D13975,'Informations sur les produits'!$A$3:$H$10000,8,FALSE),"0")</f>
        <v>0</v>
      </c>
      <c r="K13975" s="4"/>
      <c r="L13975" s="33" t="str">
        <f>IFERROR(VLOOKUP($J13975,'Informations sur les produits'!$A$3:$H$10000,8,FALSE),"0")</f>
        <v>0</v>
      </c>
      <c r="N13975" s="8"/>
      <c r="O13975" s="33" t="str">
        <f>IFERROR(VLOOKUP($M13975,'Informations sur les produits'!$A$3:$H$10000,8,FALSE),"0")</f>
        <v>0</v>
      </c>
      <c r="P13975" s="33">
        <f t="shared" si="872"/>
        <v>0</v>
      </c>
      <c r="Q13975" s="31" t="str">
        <f t="shared" si="873"/>
        <v/>
      </c>
      <c r="R13975" s="32" t="str">
        <f>IFERROR(VLOOKUP($D13975,'Informations sur les produits'!$A$3:$B$15000,2,FALSE),"")</f>
        <v/>
      </c>
      <c r="V13975">
        <f t="shared" si="874"/>
        <v>0</v>
      </c>
      <c r="W13975">
        <f t="shared" si="875"/>
        <v>0</v>
      </c>
    </row>
    <row r="13976" spans="5:23" x14ac:dyDescent="0.25">
      <c r="E13976" s="4"/>
      <c r="F13976" s="4"/>
      <c r="G13976" s="33" t="str">
        <f>IFERROR(VLOOKUP($D13976,'Informations sur les produits'!$A$3:$H$10000,8,FALSE),"0")</f>
        <v>0</v>
      </c>
      <c r="K13976" s="4"/>
      <c r="L13976" s="33" t="str">
        <f>IFERROR(VLOOKUP($J13976,'Informations sur les produits'!$A$3:$H$10000,8,FALSE),"0")</f>
        <v>0</v>
      </c>
      <c r="N13976" s="8"/>
      <c r="O13976" s="33" t="str">
        <f>IFERROR(VLOOKUP($M13976,'Informations sur les produits'!$A$3:$H$10000,8,FALSE),"0")</f>
        <v>0</v>
      </c>
      <c r="P13976" s="33">
        <f t="shared" si="872"/>
        <v>0</v>
      </c>
      <c r="Q13976" s="31" t="str">
        <f t="shared" si="873"/>
        <v/>
      </c>
      <c r="R13976" s="32" t="str">
        <f>IFERROR(VLOOKUP($D13976,'Informations sur les produits'!$A$3:$B$15000,2,FALSE),"")</f>
        <v/>
      </c>
      <c r="V13976">
        <f t="shared" si="874"/>
        <v>0</v>
      </c>
      <c r="W13976">
        <f t="shared" si="875"/>
        <v>0</v>
      </c>
    </row>
    <row r="13977" spans="5:23" x14ac:dyDescent="0.25">
      <c r="E13977" s="4"/>
      <c r="F13977" s="4"/>
      <c r="G13977" s="33" t="str">
        <f>IFERROR(VLOOKUP($D13977,'Informations sur les produits'!$A$3:$H$10000,8,FALSE),"0")</f>
        <v>0</v>
      </c>
      <c r="K13977" s="4"/>
      <c r="L13977" s="33" t="str">
        <f>IFERROR(VLOOKUP($J13977,'Informations sur les produits'!$A$3:$H$10000,8,FALSE),"0")</f>
        <v>0</v>
      </c>
      <c r="N13977" s="8"/>
      <c r="O13977" s="33" t="str">
        <f>IFERROR(VLOOKUP($M13977,'Informations sur les produits'!$A$3:$H$10000,8,FALSE),"0")</f>
        <v>0</v>
      </c>
      <c r="P13977" s="33">
        <f t="shared" si="872"/>
        <v>0</v>
      </c>
      <c r="Q13977" s="31" t="str">
        <f t="shared" si="873"/>
        <v/>
      </c>
      <c r="R13977" s="32" t="str">
        <f>IFERROR(VLOOKUP($D13977,'Informations sur les produits'!$A$3:$B$15000,2,FALSE),"")</f>
        <v/>
      </c>
      <c r="V13977">
        <f t="shared" si="874"/>
        <v>0</v>
      </c>
      <c r="W13977">
        <f t="shared" si="875"/>
        <v>0</v>
      </c>
    </row>
    <row r="13978" spans="5:23" x14ac:dyDescent="0.25">
      <c r="E13978" s="4"/>
      <c r="F13978" s="4"/>
      <c r="G13978" s="33" t="str">
        <f>IFERROR(VLOOKUP($D13978,'Informations sur les produits'!$A$3:$H$10000,8,FALSE),"0")</f>
        <v>0</v>
      </c>
      <c r="K13978" s="4"/>
      <c r="L13978" s="33" t="str">
        <f>IFERROR(VLOOKUP($J13978,'Informations sur les produits'!$A$3:$H$10000,8,FALSE),"0")</f>
        <v>0</v>
      </c>
      <c r="N13978" s="8"/>
      <c r="O13978" s="33" t="str">
        <f>IFERROR(VLOOKUP($M13978,'Informations sur les produits'!$A$3:$H$10000,8,FALSE),"0")</f>
        <v>0</v>
      </c>
      <c r="P13978" s="33">
        <f t="shared" si="872"/>
        <v>0</v>
      </c>
      <c r="Q13978" s="31" t="str">
        <f t="shared" si="873"/>
        <v/>
      </c>
      <c r="R13978" s="32" t="str">
        <f>IFERROR(VLOOKUP($D13978,'Informations sur les produits'!$A$3:$B$15000,2,FALSE),"")</f>
        <v/>
      </c>
      <c r="V13978">
        <f t="shared" si="874"/>
        <v>0</v>
      </c>
      <c r="W13978">
        <f t="shared" si="875"/>
        <v>0</v>
      </c>
    </row>
    <row r="13979" spans="5:23" x14ac:dyDescent="0.25">
      <c r="E13979" s="4"/>
      <c r="F13979" s="4"/>
      <c r="G13979" s="33" t="str">
        <f>IFERROR(VLOOKUP($D13979,'Informations sur les produits'!$A$3:$H$10000,8,FALSE),"0")</f>
        <v>0</v>
      </c>
      <c r="K13979" s="4"/>
      <c r="L13979" s="33" t="str">
        <f>IFERROR(VLOOKUP($J13979,'Informations sur les produits'!$A$3:$H$10000,8,FALSE),"0")</f>
        <v>0</v>
      </c>
      <c r="N13979" s="8"/>
      <c r="O13979" s="33" t="str">
        <f>IFERROR(VLOOKUP($M13979,'Informations sur les produits'!$A$3:$H$10000,8,FALSE),"0")</f>
        <v>0</v>
      </c>
      <c r="P13979" s="33">
        <f t="shared" si="872"/>
        <v>0</v>
      </c>
      <c r="Q13979" s="31" t="str">
        <f t="shared" si="873"/>
        <v/>
      </c>
      <c r="R13979" s="32" t="str">
        <f>IFERROR(VLOOKUP($D13979,'Informations sur les produits'!$A$3:$B$15000,2,FALSE),"")</f>
        <v/>
      </c>
      <c r="V13979">
        <f t="shared" si="874"/>
        <v>0</v>
      </c>
      <c r="W13979">
        <f t="shared" si="875"/>
        <v>0</v>
      </c>
    </row>
    <row r="13980" spans="5:23" x14ac:dyDescent="0.25">
      <c r="E13980" s="4"/>
      <c r="F13980" s="4"/>
      <c r="G13980" s="33" t="str">
        <f>IFERROR(VLOOKUP($D13980,'Informations sur les produits'!$A$3:$H$10000,8,FALSE),"0")</f>
        <v>0</v>
      </c>
      <c r="K13980" s="4"/>
      <c r="L13980" s="33" t="str">
        <f>IFERROR(VLOOKUP($J13980,'Informations sur les produits'!$A$3:$H$10000,8,FALSE),"0")</f>
        <v>0</v>
      </c>
      <c r="N13980" s="8"/>
      <c r="O13980" s="33" t="str">
        <f>IFERROR(VLOOKUP($M13980,'Informations sur les produits'!$A$3:$H$10000,8,FALSE),"0")</f>
        <v>0</v>
      </c>
      <c r="P13980" s="33">
        <f t="shared" si="872"/>
        <v>0</v>
      </c>
      <c r="Q13980" s="31" t="str">
        <f t="shared" si="873"/>
        <v/>
      </c>
      <c r="R13980" s="32" t="str">
        <f>IFERROR(VLOOKUP($D13980,'Informations sur les produits'!$A$3:$B$15000,2,FALSE),"")</f>
        <v/>
      </c>
      <c r="V13980">
        <f t="shared" si="874"/>
        <v>0</v>
      </c>
      <c r="W13980">
        <f t="shared" si="875"/>
        <v>0</v>
      </c>
    </row>
    <row r="13981" spans="5:23" x14ac:dyDescent="0.25">
      <c r="E13981" s="4"/>
      <c r="F13981" s="4"/>
      <c r="G13981" s="33" t="str">
        <f>IFERROR(VLOOKUP($D13981,'Informations sur les produits'!$A$3:$H$10000,8,FALSE),"0")</f>
        <v>0</v>
      </c>
      <c r="K13981" s="4"/>
      <c r="L13981" s="33" t="str">
        <f>IFERROR(VLOOKUP($J13981,'Informations sur les produits'!$A$3:$H$10000,8,FALSE),"0")</f>
        <v>0</v>
      </c>
      <c r="N13981" s="8"/>
      <c r="O13981" s="33" t="str">
        <f>IFERROR(VLOOKUP($M13981,'Informations sur les produits'!$A$3:$H$10000,8,FALSE),"0")</f>
        <v>0</v>
      </c>
      <c r="P13981" s="33">
        <f t="shared" si="872"/>
        <v>0</v>
      </c>
      <c r="Q13981" s="31" t="str">
        <f t="shared" si="873"/>
        <v/>
      </c>
      <c r="R13981" s="32" t="str">
        <f>IFERROR(VLOOKUP($D13981,'Informations sur les produits'!$A$3:$B$15000,2,FALSE),"")</f>
        <v/>
      </c>
      <c r="V13981">
        <f t="shared" si="874"/>
        <v>0</v>
      </c>
      <c r="W13981">
        <f t="shared" si="875"/>
        <v>0</v>
      </c>
    </row>
    <row r="13982" spans="5:23" x14ac:dyDescent="0.25">
      <c r="E13982" s="4"/>
      <c r="F13982" s="4"/>
      <c r="G13982" s="33" t="str">
        <f>IFERROR(VLOOKUP($D13982,'Informations sur les produits'!$A$3:$H$10000,8,FALSE),"0")</f>
        <v>0</v>
      </c>
      <c r="K13982" s="4"/>
      <c r="L13982" s="33" t="str">
        <f>IFERROR(VLOOKUP($J13982,'Informations sur les produits'!$A$3:$H$10000,8,FALSE),"0")</f>
        <v>0</v>
      </c>
      <c r="N13982" s="8"/>
      <c r="O13982" s="33" t="str">
        <f>IFERROR(VLOOKUP($M13982,'Informations sur les produits'!$A$3:$H$10000,8,FALSE),"0")</f>
        <v>0</v>
      </c>
      <c r="P13982" s="33">
        <f t="shared" si="872"/>
        <v>0</v>
      </c>
      <c r="Q13982" s="31" t="str">
        <f t="shared" si="873"/>
        <v/>
      </c>
      <c r="R13982" s="32" t="str">
        <f>IFERROR(VLOOKUP($D13982,'Informations sur les produits'!$A$3:$B$15000,2,FALSE),"")</f>
        <v/>
      </c>
      <c r="V13982">
        <f t="shared" si="874"/>
        <v>0</v>
      </c>
      <c r="W13982">
        <f t="shared" si="875"/>
        <v>0</v>
      </c>
    </row>
    <row r="13983" spans="5:23" x14ac:dyDescent="0.25">
      <c r="E13983" s="4"/>
      <c r="F13983" s="4"/>
      <c r="G13983" s="33" t="str">
        <f>IFERROR(VLOOKUP($D13983,'Informations sur les produits'!$A$3:$H$10000,8,FALSE),"0")</f>
        <v>0</v>
      </c>
      <c r="K13983" s="4"/>
      <c r="L13983" s="33" t="str">
        <f>IFERROR(VLOOKUP($J13983,'Informations sur les produits'!$A$3:$H$10000,8,FALSE),"0")</f>
        <v>0</v>
      </c>
      <c r="N13983" s="8"/>
      <c r="O13983" s="33" t="str">
        <f>IFERROR(VLOOKUP($M13983,'Informations sur les produits'!$A$3:$H$10000,8,FALSE),"0")</f>
        <v>0</v>
      </c>
      <c r="P13983" s="33">
        <f t="shared" si="872"/>
        <v>0</v>
      </c>
      <c r="Q13983" s="31" t="str">
        <f t="shared" si="873"/>
        <v/>
      </c>
      <c r="R13983" s="32" t="str">
        <f>IFERROR(VLOOKUP($D13983,'Informations sur les produits'!$A$3:$B$15000,2,FALSE),"")</f>
        <v/>
      </c>
      <c r="V13983">
        <f t="shared" si="874"/>
        <v>0</v>
      </c>
      <c r="W13983">
        <f t="shared" si="875"/>
        <v>0</v>
      </c>
    </row>
    <row r="13984" spans="5:23" x14ac:dyDescent="0.25">
      <c r="E13984" s="4"/>
      <c r="F13984" s="4"/>
      <c r="G13984" s="33" t="str">
        <f>IFERROR(VLOOKUP($D13984,'Informations sur les produits'!$A$3:$H$10000,8,FALSE),"0")</f>
        <v>0</v>
      </c>
      <c r="K13984" s="4"/>
      <c r="L13984" s="33" t="str">
        <f>IFERROR(VLOOKUP($J13984,'Informations sur les produits'!$A$3:$H$10000,8,FALSE),"0")</f>
        <v>0</v>
      </c>
      <c r="N13984" s="8"/>
      <c r="O13984" s="33" t="str">
        <f>IFERROR(VLOOKUP($M13984,'Informations sur les produits'!$A$3:$H$10000,8,FALSE),"0")</f>
        <v>0</v>
      </c>
      <c r="P13984" s="33">
        <f t="shared" si="872"/>
        <v>0</v>
      </c>
      <c r="Q13984" s="31" t="str">
        <f t="shared" si="873"/>
        <v/>
      </c>
      <c r="R13984" s="32" t="str">
        <f>IFERROR(VLOOKUP($D13984,'Informations sur les produits'!$A$3:$B$15000,2,FALSE),"")</f>
        <v/>
      </c>
      <c r="V13984">
        <f t="shared" si="874"/>
        <v>0</v>
      </c>
      <c r="W13984">
        <f t="shared" si="875"/>
        <v>0</v>
      </c>
    </row>
    <row r="13985" spans="5:23" x14ac:dyDescent="0.25">
      <c r="E13985" s="4"/>
      <c r="F13985" s="4"/>
      <c r="G13985" s="33" t="str">
        <f>IFERROR(VLOOKUP($D13985,'Informations sur les produits'!$A$3:$H$10000,8,FALSE),"0")</f>
        <v>0</v>
      </c>
      <c r="K13985" s="4"/>
      <c r="L13985" s="33" t="str">
        <f>IFERROR(VLOOKUP($J13985,'Informations sur les produits'!$A$3:$H$10000,8,FALSE),"0")</f>
        <v>0</v>
      </c>
      <c r="N13985" s="8"/>
      <c r="O13985" s="33" t="str">
        <f>IFERROR(VLOOKUP($M13985,'Informations sur les produits'!$A$3:$H$10000,8,FALSE),"0")</f>
        <v>0</v>
      </c>
      <c r="P13985" s="33">
        <f t="shared" si="872"/>
        <v>0</v>
      </c>
      <c r="Q13985" s="31" t="str">
        <f t="shared" si="873"/>
        <v/>
      </c>
      <c r="R13985" s="32" t="str">
        <f>IFERROR(VLOOKUP($D13985,'Informations sur les produits'!$A$3:$B$15000,2,FALSE),"")</f>
        <v/>
      </c>
      <c r="V13985">
        <f t="shared" si="874"/>
        <v>0</v>
      </c>
      <c r="W13985">
        <f t="shared" si="875"/>
        <v>0</v>
      </c>
    </row>
    <row r="13986" spans="5:23" x14ac:dyDescent="0.25">
      <c r="E13986" s="4"/>
      <c r="F13986" s="4"/>
      <c r="G13986" s="33" t="str">
        <f>IFERROR(VLOOKUP($D13986,'Informations sur les produits'!$A$3:$H$10000,8,FALSE),"0")</f>
        <v>0</v>
      </c>
      <c r="K13986" s="4"/>
      <c r="L13986" s="33" t="str">
        <f>IFERROR(VLOOKUP($J13986,'Informations sur les produits'!$A$3:$H$10000,8,FALSE),"0")</f>
        <v>0</v>
      </c>
      <c r="N13986" s="8"/>
      <c r="O13986" s="33" t="str">
        <f>IFERROR(VLOOKUP($M13986,'Informations sur les produits'!$A$3:$H$10000,8,FALSE),"0")</f>
        <v>0</v>
      </c>
      <c r="P13986" s="33">
        <f t="shared" si="872"/>
        <v>0</v>
      </c>
      <c r="Q13986" s="31" t="str">
        <f t="shared" si="873"/>
        <v/>
      </c>
      <c r="R13986" s="32" t="str">
        <f>IFERROR(VLOOKUP($D13986,'Informations sur les produits'!$A$3:$B$15000,2,FALSE),"")</f>
        <v/>
      </c>
      <c r="V13986">
        <f t="shared" si="874"/>
        <v>0</v>
      </c>
      <c r="W13986">
        <f t="shared" si="875"/>
        <v>0</v>
      </c>
    </row>
    <row r="13987" spans="5:23" x14ac:dyDescent="0.25">
      <c r="E13987" s="4"/>
      <c r="F13987" s="4"/>
      <c r="G13987" s="33" t="str">
        <f>IFERROR(VLOOKUP($D13987,'Informations sur les produits'!$A$3:$H$10000,8,FALSE),"0")</f>
        <v>0</v>
      </c>
      <c r="K13987" s="4"/>
      <c r="L13987" s="33" t="str">
        <f>IFERROR(VLOOKUP($J13987,'Informations sur les produits'!$A$3:$H$10000,8,FALSE),"0")</f>
        <v>0</v>
      </c>
      <c r="N13987" s="8"/>
      <c r="O13987" s="33" t="str">
        <f>IFERROR(VLOOKUP($M13987,'Informations sur les produits'!$A$3:$H$10000,8,FALSE),"0")</f>
        <v>0</v>
      </c>
      <c r="P13987" s="33">
        <f t="shared" si="872"/>
        <v>0</v>
      </c>
      <c r="Q13987" s="31" t="str">
        <f t="shared" si="873"/>
        <v/>
      </c>
      <c r="R13987" s="32" t="str">
        <f>IFERROR(VLOOKUP($D13987,'Informations sur les produits'!$A$3:$B$15000,2,FALSE),"")</f>
        <v/>
      </c>
      <c r="V13987">
        <f t="shared" si="874"/>
        <v>0</v>
      </c>
      <c r="W13987">
        <f t="shared" si="875"/>
        <v>0</v>
      </c>
    </row>
    <row r="13988" spans="5:23" x14ac:dyDescent="0.25">
      <c r="E13988" s="4"/>
      <c r="F13988" s="4"/>
      <c r="G13988" s="33" t="str">
        <f>IFERROR(VLOOKUP($D13988,'Informations sur les produits'!$A$3:$H$10000,8,FALSE),"0")</f>
        <v>0</v>
      </c>
      <c r="K13988" s="4"/>
      <c r="L13988" s="33" t="str">
        <f>IFERROR(VLOOKUP($J13988,'Informations sur les produits'!$A$3:$H$10000,8,FALSE),"0")</f>
        <v>0</v>
      </c>
      <c r="N13988" s="8"/>
      <c r="O13988" s="33" t="str">
        <f>IFERROR(VLOOKUP($M13988,'Informations sur les produits'!$A$3:$H$10000,8,FALSE),"0")</f>
        <v>0</v>
      </c>
      <c r="P13988" s="33">
        <f t="shared" si="872"/>
        <v>0</v>
      </c>
      <c r="Q13988" s="31" t="str">
        <f t="shared" si="873"/>
        <v/>
      </c>
      <c r="R13988" s="32" t="str">
        <f>IFERROR(VLOOKUP($D13988,'Informations sur les produits'!$A$3:$B$15000,2,FALSE),"")</f>
        <v/>
      </c>
      <c r="V13988">
        <f t="shared" si="874"/>
        <v>0</v>
      </c>
      <c r="W13988">
        <f t="shared" si="875"/>
        <v>0</v>
      </c>
    </row>
    <row r="13989" spans="5:23" x14ac:dyDescent="0.25">
      <c r="E13989" s="4"/>
      <c r="F13989" s="4"/>
      <c r="G13989" s="33" t="str">
        <f>IFERROR(VLOOKUP($D13989,'Informations sur les produits'!$A$3:$H$10000,8,FALSE),"0")</f>
        <v>0</v>
      </c>
      <c r="K13989" s="4"/>
      <c r="L13989" s="33" t="str">
        <f>IFERROR(VLOOKUP($J13989,'Informations sur les produits'!$A$3:$H$10000,8,FALSE),"0")</f>
        <v>0</v>
      </c>
      <c r="N13989" s="8"/>
      <c r="O13989" s="33" t="str">
        <f>IFERROR(VLOOKUP($M13989,'Informations sur les produits'!$A$3:$H$10000,8,FALSE),"0")</f>
        <v>0</v>
      </c>
      <c r="P13989" s="33">
        <f t="shared" si="872"/>
        <v>0</v>
      </c>
      <c r="Q13989" s="31" t="str">
        <f t="shared" si="873"/>
        <v/>
      </c>
      <c r="R13989" s="32" t="str">
        <f>IFERROR(VLOOKUP($D13989,'Informations sur les produits'!$A$3:$B$15000,2,FALSE),"")</f>
        <v/>
      </c>
      <c r="V13989">
        <f t="shared" si="874"/>
        <v>0</v>
      </c>
      <c r="W13989">
        <f t="shared" si="875"/>
        <v>0</v>
      </c>
    </row>
    <row r="13990" spans="5:23" x14ac:dyDescent="0.25">
      <c r="E13990" s="4"/>
      <c r="F13990" s="4"/>
      <c r="G13990" s="33" t="str">
        <f>IFERROR(VLOOKUP($D13990,'Informations sur les produits'!$A$3:$H$10000,8,FALSE),"0")</f>
        <v>0</v>
      </c>
      <c r="K13990" s="4"/>
      <c r="L13990" s="33" t="str">
        <f>IFERROR(VLOOKUP($J13990,'Informations sur les produits'!$A$3:$H$10000,8,FALSE),"0")</f>
        <v>0</v>
      </c>
      <c r="N13990" s="8"/>
      <c r="O13990" s="33" t="str">
        <f>IFERROR(VLOOKUP($M13990,'Informations sur les produits'!$A$3:$H$10000,8,FALSE),"0")</f>
        <v>0</v>
      </c>
      <c r="P13990" s="33">
        <f t="shared" si="872"/>
        <v>0</v>
      </c>
      <c r="Q13990" s="31" t="str">
        <f t="shared" si="873"/>
        <v/>
      </c>
      <c r="R13990" s="32" t="str">
        <f>IFERROR(VLOOKUP($D13990,'Informations sur les produits'!$A$3:$B$15000,2,FALSE),"")</f>
        <v/>
      </c>
      <c r="V13990">
        <f t="shared" si="874"/>
        <v>0</v>
      </c>
      <c r="W13990">
        <f t="shared" si="875"/>
        <v>0</v>
      </c>
    </row>
    <row r="13991" spans="5:23" x14ac:dyDescent="0.25">
      <c r="E13991" s="4"/>
      <c r="F13991" s="4"/>
      <c r="G13991" s="33" t="str">
        <f>IFERROR(VLOOKUP($D13991,'Informations sur les produits'!$A$3:$H$10000,8,FALSE),"0")</f>
        <v>0</v>
      </c>
      <c r="K13991" s="4"/>
      <c r="L13991" s="33" t="str">
        <f>IFERROR(VLOOKUP($J13991,'Informations sur les produits'!$A$3:$H$10000,8,FALSE),"0")</f>
        <v>0</v>
      </c>
      <c r="N13991" s="8"/>
      <c r="O13991" s="33" t="str">
        <f>IFERROR(VLOOKUP($M13991,'Informations sur les produits'!$A$3:$H$10000,8,FALSE),"0")</f>
        <v>0</v>
      </c>
      <c r="P13991" s="33">
        <f t="shared" si="872"/>
        <v>0</v>
      </c>
      <c r="Q13991" s="31" t="str">
        <f t="shared" si="873"/>
        <v/>
      </c>
      <c r="R13991" s="32" t="str">
        <f>IFERROR(VLOOKUP($D13991,'Informations sur les produits'!$A$3:$B$15000,2,FALSE),"")</f>
        <v/>
      </c>
      <c r="V13991">
        <f t="shared" si="874"/>
        <v>0</v>
      </c>
      <c r="W13991">
        <f t="shared" si="875"/>
        <v>0</v>
      </c>
    </row>
    <row r="13992" spans="5:23" x14ac:dyDescent="0.25">
      <c r="E13992" s="4"/>
      <c r="F13992" s="4"/>
      <c r="G13992" s="33" t="str">
        <f>IFERROR(VLOOKUP($D13992,'Informations sur les produits'!$A$3:$H$10000,8,FALSE),"0")</f>
        <v>0</v>
      </c>
      <c r="K13992" s="4"/>
      <c r="L13992" s="33" t="str">
        <f>IFERROR(VLOOKUP($J13992,'Informations sur les produits'!$A$3:$H$10000,8,FALSE),"0")</f>
        <v>0</v>
      </c>
      <c r="N13992" s="8"/>
      <c r="O13992" s="33" t="str">
        <f>IFERROR(VLOOKUP($M13992,'Informations sur les produits'!$A$3:$H$10000,8,FALSE),"0")</f>
        <v>0</v>
      </c>
      <c r="P13992" s="33">
        <f t="shared" si="872"/>
        <v>0</v>
      </c>
      <c r="Q13992" s="31" t="str">
        <f t="shared" si="873"/>
        <v/>
      </c>
      <c r="R13992" s="32" t="str">
        <f>IFERROR(VLOOKUP($D13992,'Informations sur les produits'!$A$3:$B$15000,2,FALSE),"")</f>
        <v/>
      </c>
      <c r="V13992">
        <f t="shared" si="874"/>
        <v>0</v>
      </c>
      <c r="W13992">
        <f t="shared" si="875"/>
        <v>0</v>
      </c>
    </row>
    <row r="13993" spans="5:23" x14ac:dyDescent="0.25">
      <c r="E13993" s="4"/>
      <c r="F13993" s="4"/>
      <c r="G13993" s="33" t="str">
        <f>IFERROR(VLOOKUP($D13993,'Informations sur les produits'!$A$3:$H$10000,8,FALSE),"0")</f>
        <v>0</v>
      </c>
      <c r="K13993" s="4"/>
      <c r="L13993" s="33" t="str">
        <f>IFERROR(VLOOKUP($J13993,'Informations sur les produits'!$A$3:$H$10000,8,FALSE),"0")</f>
        <v>0</v>
      </c>
      <c r="N13993" s="8"/>
      <c r="O13993" s="33" t="str">
        <f>IFERROR(VLOOKUP($M13993,'Informations sur les produits'!$A$3:$H$10000,8,FALSE),"0")</f>
        <v>0</v>
      </c>
      <c r="P13993" s="33">
        <f t="shared" si="872"/>
        <v>0</v>
      </c>
      <c r="Q13993" s="31" t="str">
        <f t="shared" si="873"/>
        <v/>
      </c>
      <c r="R13993" s="32" t="str">
        <f>IFERROR(VLOOKUP($D13993,'Informations sur les produits'!$A$3:$B$15000,2,FALSE),"")</f>
        <v/>
      </c>
      <c r="V13993">
        <f t="shared" si="874"/>
        <v>0</v>
      </c>
      <c r="W13993">
        <f t="shared" si="875"/>
        <v>0</v>
      </c>
    </row>
    <row r="13994" spans="5:23" x14ac:dyDescent="0.25">
      <c r="E13994" s="4"/>
      <c r="F13994" s="4"/>
      <c r="G13994" s="33" t="str">
        <f>IFERROR(VLOOKUP($D13994,'Informations sur les produits'!$A$3:$H$10000,8,FALSE),"0")</f>
        <v>0</v>
      </c>
      <c r="K13994" s="4"/>
      <c r="L13994" s="33" t="str">
        <f>IFERROR(VLOOKUP($J13994,'Informations sur les produits'!$A$3:$H$10000,8,FALSE),"0")</f>
        <v>0</v>
      </c>
      <c r="N13994" s="8"/>
      <c r="O13994" s="33" t="str">
        <f>IFERROR(VLOOKUP($M13994,'Informations sur les produits'!$A$3:$H$10000,8,FALSE),"0")</f>
        <v>0</v>
      </c>
      <c r="P13994" s="33">
        <f t="shared" si="872"/>
        <v>0</v>
      </c>
      <c r="Q13994" s="31" t="str">
        <f t="shared" si="873"/>
        <v/>
      </c>
      <c r="R13994" s="32" t="str">
        <f>IFERROR(VLOOKUP($D13994,'Informations sur les produits'!$A$3:$B$15000,2,FALSE),"")</f>
        <v/>
      </c>
      <c r="V13994">
        <f t="shared" si="874"/>
        <v>0</v>
      </c>
      <c r="W13994">
        <f t="shared" si="875"/>
        <v>0</v>
      </c>
    </row>
    <row r="13995" spans="5:23" x14ac:dyDescent="0.25">
      <c r="E13995" s="4"/>
      <c r="F13995" s="4"/>
      <c r="G13995" s="33" t="str">
        <f>IFERROR(VLOOKUP($D13995,'Informations sur les produits'!$A$3:$H$10000,8,FALSE),"0")</f>
        <v>0</v>
      </c>
      <c r="K13995" s="4"/>
      <c r="L13995" s="33" t="str">
        <f>IFERROR(VLOOKUP($J13995,'Informations sur les produits'!$A$3:$H$10000,8,FALSE),"0")</f>
        <v>0</v>
      </c>
      <c r="N13995" s="8"/>
      <c r="O13995" s="33" t="str">
        <f>IFERROR(VLOOKUP($M13995,'Informations sur les produits'!$A$3:$H$10000,8,FALSE),"0")</f>
        <v>0</v>
      </c>
      <c r="P13995" s="33">
        <f t="shared" si="872"/>
        <v>0</v>
      </c>
      <c r="Q13995" s="31" t="str">
        <f t="shared" si="873"/>
        <v/>
      </c>
      <c r="R13995" s="32" t="str">
        <f>IFERROR(VLOOKUP($D13995,'Informations sur les produits'!$A$3:$B$15000,2,FALSE),"")</f>
        <v/>
      </c>
      <c r="V13995">
        <f t="shared" si="874"/>
        <v>0</v>
      </c>
      <c r="W13995">
        <f t="shared" si="875"/>
        <v>0</v>
      </c>
    </row>
    <row r="13996" spans="5:23" x14ac:dyDescent="0.25">
      <c r="E13996" s="4"/>
      <c r="F13996" s="4"/>
      <c r="G13996" s="33" t="str">
        <f>IFERROR(VLOOKUP($D13996,'Informations sur les produits'!$A$3:$H$10000,8,FALSE),"0")</f>
        <v>0</v>
      </c>
      <c r="K13996" s="4"/>
      <c r="L13996" s="33" t="str">
        <f>IFERROR(VLOOKUP($J13996,'Informations sur les produits'!$A$3:$H$10000,8,FALSE),"0")</f>
        <v>0</v>
      </c>
      <c r="N13996" s="8"/>
      <c r="O13996" s="33" t="str">
        <f>IFERROR(VLOOKUP($M13996,'Informations sur les produits'!$A$3:$H$10000,8,FALSE),"0")</f>
        <v>0</v>
      </c>
      <c r="P13996" s="33">
        <f t="shared" si="872"/>
        <v>0</v>
      </c>
      <c r="Q13996" s="31" t="str">
        <f t="shared" si="873"/>
        <v/>
      </c>
      <c r="R13996" s="32" t="str">
        <f>IFERROR(VLOOKUP($D13996,'Informations sur les produits'!$A$3:$B$15000,2,FALSE),"")</f>
        <v/>
      </c>
      <c r="V13996">
        <f t="shared" si="874"/>
        <v>0</v>
      </c>
      <c r="W13996">
        <f t="shared" si="875"/>
        <v>0</v>
      </c>
    </row>
    <row r="13997" spans="5:23" x14ac:dyDescent="0.25">
      <c r="E13997" s="4"/>
      <c r="F13997" s="4"/>
      <c r="G13997" s="33" t="str">
        <f>IFERROR(VLOOKUP($D13997,'Informations sur les produits'!$A$3:$H$10000,8,FALSE),"0")</f>
        <v>0</v>
      </c>
      <c r="K13997" s="4"/>
      <c r="L13997" s="33" t="str">
        <f>IFERROR(VLOOKUP($J13997,'Informations sur les produits'!$A$3:$H$10000,8,FALSE),"0")</f>
        <v>0</v>
      </c>
      <c r="N13997" s="8"/>
      <c r="O13997" s="33" t="str">
        <f>IFERROR(VLOOKUP($M13997,'Informations sur les produits'!$A$3:$H$10000,8,FALSE),"0")</f>
        <v>0</v>
      </c>
      <c r="P13997" s="33">
        <f t="shared" si="872"/>
        <v>0</v>
      </c>
      <c r="Q13997" s="31" t="str">
        <f t="shared" si="873"/>
        <v/>
      </c>
      <c r="R13997" s="32" t="str">
        <f>IFERROR(VLOOKUP($D13997,'Informations sur les produits'!$A$3:$B$15000,2,FALSE),"")</f>
        <v/>
      </c>
      <c r="V13997">
        <f t="shared" si="874"/>
        <v>0</v>
      </c>
      <c r="W13997">
        <f t="shared" si="875"/>
        <v>0</v>
      </c>
    </row>
    <row r="13998" spans="5:23" x14ac:dyDescent="0.25">
      <c r="E13998" s="4"/>
      <c r="F13998" s="4"/>
      <c r="G13998" s="33" t="str">
        <f>IFERROR(VLOOKUP($D13998,'Informations sur les produits'!$A$3:$H$10000,8,FALSE),"0")</f>
        <v>0</v>
      </c>
      <c r="K13998" s="4"/>
      <c r="L13998" s="33" t="str">
        <f>IFERROR(VLOOKUP($J13998,'Informations sur les produits'!$A$3:$H$10000,8,FALSE),"0")</f>
        <v>0</v>
      </c>
      <c r="N13998" s="8"/>
      <c r="O13998" s="33" t="str">
        <f>IFERROR(VLOOKUP($M13998,'Informations sur les produits'!$A$3:$H$10000,8,FALSE),"0")</f>
        <v>0</v>
      </c>
      <c r="P13998" s="33">
        <f t="shared" si="872"/>
        <v>0</v>
      </c>
      <c r="Q13998" s="31" t="str">
        <f t="shared" si="873"/>
        <v/>
      </c>
      <c r="R13998" s="32" t="str">
        <f>IFERROR(VLOOKUP($D13998,'Informations sur les produits'!$A$3:$B$15000,2,FALSE),"")</f>
        <v/>
      </c>
      <c r="V13998">
        <f t="shared" si="874"/>
        <v>0</v>
      </c>
      <c r="W13998">
        <f t="shared" si="875"/>
        <v>0</v>
      </c>
    </row>
    <row r="13999" spans="5:23" x14ac:dyDescent="0.25">
      <c r="E13999" s="4"/>
      <c r="F13999" s="4"/>
      <c r="G13999" s="33" t="str">
        <f>IFERROR(VLOOKUP($D13999,'Informations sur les produits'!$A$3:$H$10000,8,FALSE),"0")</f>
        <v>0</v>
      </c>
      <c r="K13999" s="4"/>
      <c r="L13999" s="33" t="str">
        <f>IFERROR(VLOOKUP($J13999,'Informations sur les produits'!$A$3:$H$10000,8,FALSE),"0")</f>
        <v>0</v>
      </c>
      <c r="N13999" s="8"/>
      <c r="O13999" s="33" t="str">
        <f>IFERROR(VLOOKUP($M13999,'Informations sur les produits'!$A$3:$H$10000,8,FALSE),"0")</f>
        <v>0</v>
      </c>
      <c r="P13999" s="33">
        <f t="shared" si="872"/>
        <v>0</v>
      </c>
      <c r="Q13999" s="31" t="str">
        <f t="shared" si="873"/>
        <v/>
      </c>
      <c r="R13999" s="32" t="str">
        <f>IFERROR(VLOOKUP($D13999,'Informations sur les produits'!$A$3:$B$15000,2,FALSE),"")</f>
        <v/>
      </c>
      <c r="V13999">
        <f t="shared" si="874"/>
        <v>0</v>
      </c>
      <c r="W13999">
        <f t="shared" si="875"/>
        <v>0</v>
      </c>
    </row>
    <row r="14000" spans="5:23" x14ac:dyDescent="0.25">
      <c r="E14000" s="4"/>
      <c r="F14000" s="4"/>
      <c r="G14000" s="33" t="str">
        <f>IFERROR(VLOOKUP($D14000,'Informations sur les produits'!$A$3:$H$10000,8,FALSE),"0")</f>
        <v>0</v>
      </c>
      <c r="K14000" s="4"/>
      <c r="L14000" s="33" t="str">
        <f>IFERROR(VLOOKUP($J14000,'Informations sur les produits'!$A$3:$H$10000,8,FALSE),"0")</f>
        <v>0</v>
      </c>
      <c r="N14000" s="8"/>
      <c r="O14000" s="33" t="str">
        <f>IFERROR(VLOOKUP($M14000,'Informations sur les produits'!$A$3:$H$10000,8,FALSE),"0")</f>
        <v>0</v>
      </c>
      <c r="P14000" s="33">
        <f t="shared" si="872"/>
        <v>0</v>
      </c>
      <c r="Q14000" s="31" t="str">
        <f t="shared" si="873"/>
        <v/>
      </c>
      <c r="R14000" s="32" t="str">
        <f>IFERROR(VLOOKUP($D14000,'Informations sur les produits'!$A$3:$B$15000,2,FALSE),"")</f>
        <v/>
      </c>
      <c r="V14000">
        <f t="shared" si="874"/>
        <v>0</v>
      </c>
      <c r="W14000">
        <f t="shared" si="875"/>
        <v>0</v>
      </c>
    </row>
    <row r="14001" spans="5:23" x14ac:dyDescent="0.25">
      <c r="E14001" s="4"/>
      <c r="F14001" s="4"/>
      <c r="G14001" s="33" t="str">
        <f>IFERROR(VLOOKUP($D14001,'Informations sur les produits'!$A$3:$H$10000,8,FALSE),"0")</f>
        <v>0</v>
      </c>
      <c r="K14001" s="4"/>
      <c r="L14001" s="33" t="str">
        <f>IFERROR(VLOOKUP($J14001,'Informations sur les produits'!$A$3:$H$10000,8,FALSE),"0")</f>
        <v>0</v>
      </c>
      <c r="N14001" s="8"/>
      <c r="O14001" s="33" t="str">
        <f>IFERROR(VLOOKUP($M14001,'Informations sur les produits'!$A$3:$H$10000,8,FALSE),"0")</f>
        <v>0</v>
      </c>
      <c r="P14001" s="33">
        <f t="shared" si="872"/>
        <v>0</v>
      </c>
      <c r="Q14001" s="31" t="str">
        <f t="shared" si="873"/>
        <v/>
      </c>
      <c r="R14001" s="32" t="str">
        <f>IFERROR(VLOOKUP($D14001,'Informations sur les produits'!$A$3:$B$15000,2,FALSE),"")</f>
        <v/>
      </c>
      <c r="V14001">
        <f t="shared" si="874"/>
        <v>0</v>
      </c>
      <c r="W14001">
        <f t="shared" si="875"/>
        <v>0</v>
      </c>
    </row>
    <row r="14002" spans="5:23" x14ac:dyDescent="0.25">
      <c r="E14002" s="4"/>
      <c r="F14002" s="4"/>
      <c r="G14002" s="33" t="str">
        <f>IFERROR(VLOOKUP($D14002,'Informations sur les produits'!$A$3:$H$10000,8,FALSE),"0")</f>
        <v>0</v>
      </c>
      <c r="K14002" s="4"/>
      <c r="L14002" s="33" t="str">
        <f>IFERROR(VLOOKUP($J14002,'Informations sur les produits'!$A$3:$H$10000,8,FALSE),"0")</f>
        <v>0</v>
      </c>
      <c r="N14002" s="8"/>
      <c r="O14002" s="33" t="str">
        <f>IFERROR(VLOOKUP($M14002,'Informations sur les produits'!$A$3:$H$10000,8,FALSE),"0")</f>
        <v>0</v>
      </c>
      <c r="P14002" s="33">
        <f t="shared" si="872"/>
        <v>0</v>
      </c>
      <c r="Q14002" s="31" t="str">
        <f t="shared" si="873"/>
        <v/>
      </c>
      <c r="R14002" s="32" t="str">
        <f>IFERROR(VLOOKUP($D14002,'Informations sur les produits'!$A$3:$B$15000,2,FALSE),"")</f>
        <v/>
      </c>
      <c r="V14002">
        <f t="shared" si="874"/>
        <v>0</v>
      </c>
      <c r="W14002">
        <f t="shared" si="875"/>
        <v>0</v>
      </c>
    </row>
    <row r="14003" spans="5:23" x14ac:dyDescent="0.25">
      <c r="E14003" s="4"/>
      <c r="F14003" s="4"/>
      <c r="G14003" s="33" t="str">
        <f>IFERROR(VLOOKUP($D14003,'Informations sur les produits'!$A$3:$H$10000,8,FALSE),"0")</f>
        <v>0</v>
      </c>
      <c r="K14003" s="4"/>
      <c r="L14003" s="33" t="str">
        <f>IFERROR(VLOOKUP($J14003,'Informations sur les produits'!$A$3:$H$10000,8,FALSE),"0")</f>
        <v>0</v>
      </c>
      <c r="N14003" s="8"/>
      <c r="O14003" s="33" t="str">
        <f>IFERROR(VLOOKUP($M14003,'Informations sur les produits'!$A$3:$H$10000,8,FALSE),"0")</f>
        <v>0</v>
      </c>
      <c r="P14003" s="33">
        <f t="shared" si="872"/>
        <v>0</v>
      </c>
      <c r="Q14003" s="31" t="str">
        <f t="shared" si="873"/>
        <v/>
      </c>
      <c r="R14003" s="32" t="str">
        <f>IFERROR(VLOOKUP($D14003,'Informations sur les produits'!$A$3:$B$15000,2,FALSE),"")</f>
        <v/>
      </c>
      <c r="V14003">
        <f t="shared" si="874"/>
        <v>0</v>
      </c>
      <c r="W14003">
        <f t="shared" si="875"/>
        <v>0</v>
      </c>
    </row>
    <row r="14004" spans="5:23" x14ac:dyDescent="0.25">
      <c r="E14004" s="4"/>
      <c r="F14004" s="4"/>
      <c r="G14004" s="33" t="str">
        <f>IFERROR(VLOOKUP($D14004,'Informations sur les produits'!$A$3:$H$10000,8,FALSE),"0")</f>
        <v>0</v>
      </c>
      <c r="K14004" s="4"/>
      <c r="L14004" s="33" t="str">
        <f>IFERROR(VLOOKUP($J14004,'Informations sur les produits'!$A$3:$H$10000,8,FALSE),"0")</f>
        <v>0</v>
      </c>
      <c r="N14004" s="8"/>
      <c r="O14004" s="33" t="str">
        <f>IFERROR(VLOOKUP($M14004,'Informations sur les produits'!$A$3:$H$10000,8,FALSE),"0")</f>
        <v>0</v>
      </c>
      <c r="P14004" s="33">
        <f t="shared" si="872"/>
        <v>0</v>
      </c>
      <c r="Q14004" s="31" t="str">
        <f t="shared" si="873"/>
        <v/>
      </c>
      <c r="R14004" s="32" t="str">
        <f>IFERROR(VLOOKUP($D14004,'Informations sur les produits'!$A$3:$B$15000,2,FALSE),"")</f>
        <v/>
      </c>
      <c r="V14004">
        <f t="shared" si="874"/>
        <v>0</v>
      </c>
      <c r="W14004">
        <f t="shared" si="875"/>
        <v>0</v>
      </c>
    </row>
    <row r="14005" spans="5:23" x14ac:dyDescent="0.25">
      <c r="E14005" s="4"/>
      <c r="F14005" s="4"/>
      <c r="G14005" s="33" t="str">
        <f>IFERROR(VLOOKUP($D14005,'Informations sur les produits'!$A$3:$H$10000,8,FALSE),"0")</f>
        <v>0</v>
      </c>
      <c r="K14005" s="4"/>
      <c r="L14005" s="33" t="str">
        <f>IFERROR(VLOOKUP($J14005,'Informations sur les produits'!$A$3:$H$10000,8,FALSE),"0")</f>
        <v>0</v>
      </c>
      <c r="N14005" s="8"/>
      <c r="O14005" s="33" t="str">
        <f>IFERROR(VLOOKUP($M14005,'Informations sur les produits'!$A$3:$H$10000,8,FALSE),"0")</f>
        <v>0</v>
      </c>
      <c r="P14005" s="33">
        <f t="shared" si="872"/>
        <v>0</v>
      </c>
      <c r="Q14005" s="31" t="str">
        <f t="shared" si="873"/>
        <v/>
      </c>
      <c r="R14005" s="32" t="str">
        <f>IFERROR(VLOOKUP($D14005,'Informations sur les produits'!$A$3:$B$15000,2,FALSE),"")</f>
        <v/>
      </c>
      <c r="V14005">
        <f t="shared" si="874"/>
        <v>0</v>
      </c>
      <c r="W14005">
        <f t="shared" si="875"/>
        <v>0</v>
      </c>
    </row>
    <row r="14006" spans="5:23" x14ac:dyDescent="0.25">
      <c r="E14006" s="4"/>
      <c r="F14006" s="4"/>
      <c r="G14006" s="33" t="str">
        <f>IFERROR(VLOOKUP($D14006,'Informations sur les produits'!$A$3:$H$10000,8,FALSE),"0")</f>
        <v>0</v>
      </c>
      <c r="K14006" s="4"/>
      <c r="L14006" s="33" t="str">
        <f>IFERROR(VLOOKUP($J14006,'Informations sur les produits'!$A$3:$H$10000,8,FALSE),"0")</f>
        <v>0</v>
      </c>
      <c r="N14006" s="8"/>
      <c r="O14006" s="33" t="str">
        <f>IFERROR(VLOOKUP($M14006,'Informations sur les produits'!$A$3:$H$10000,8,FALSE),"0")</f>
        <v>0</v>
      </c>
      <c r="P14006" s="33">
        <f t="shared" si="872"/>
        <v>0</v>
      </c>
      <c r="Q14006" s="31" t="str">
        <f t="shared" si="873"/>
        <v/>
      </c>
      <c r="R14006" s="32" t="str">
        <f>IFERROR(VLOOKUP($D14006,'Informations sur les produits'!$A$3:$B$15000,2,FALSE),"")</f>
        <v/>
      </c>
      <c r="V14006">
        <f t="shared" si="874"/>
        <v>0</v>
      </c>
      <c r="W14006">
        <f t="shared" si="875"/>
        <v>0</v>
      </c>
    </row>
    <row r="14007" spans="5:23" x14ac:dyDescent="0.25">
      <c r="E14007" s="4"/>
      <c r="F14007" s="4"/>
      <c r="G14007" s="33" t="str">
        <f>IFERROR(VLOOKUP($D14007,'Informations sur les produits'!$A$3:$H$10000,8,FALSE),"0")</f>
        <v>0</v>
      </c>
      <c r="K14007" s="4"/>
      <c r="L14007" s="33" t="str">
        <f>IFERROR(VLOOKUP($J14007,'Informations sur les produits'!$A$3:$H$10000,8,FALSE),"0")</f>
        <v>0</v>
      </c>
      <c r="N14007" s="8"/>
      <c r="O14007" s="33" t="str">
        <f>IFERROR(VLOOKUP($M14007,'Informations sur les produits'!$A$3:$H$10000,8,FALSE),"0")</f>
        <v>0</v>
      </c>
      <c r="P14007" s="33">
        <f t="shared" si="872"/>
        <v>0</v>
      </c>
      <c r="Q14007" s="31" t="str">
        <f t="shared" si="873"/>
        <v/>
      </c>
      <c r="R14007" s="32" t="str">
        <f>IFERROR(VLOOKUP($D14007,'Informations sur les produits'!$A$3:$B$15000,2,FALSE),"")</f>
        <v/>
      </c>
      <c r="V14007">
        <f t="shared" si="874"/>
        <v>0</v>
      </c>
      <c r="W14007">
        <f t="shared" si="875"/>
        <v>0</v>
      </c>
    </row>
    <row r="14008" spans="5:23" x14ac:dyDescent="0.25">
      <c r="E14008" s="4"/>
      <c r="F14008" s="4"/>
      <c r="G14008" s="33" t="str">
        <f>IFERROR(VLOOKUP($D14008,'Informations sur les produits'!$A$3:$H$10000,8,FALSE),"0")</f>
        <v>0</v>
      </c>
      <c r="K14008" s="4"/>
      <c r="L14008" s="33" t="str">
        <f>IFERROR(VLOOKUP($J14008,'Informations sur les produits'!$A$3:$H$10000,8,FALSE),"0")</f>
        <v>0</v>
      </c>
      <c r="N14008" s="8"/>
      <c r="O14008" s="33" t="str">
        <f>IFERROR(VLOOKUP($M14008,'Informations sur les produits'!$A$3:$H$10000,8,FALSE),"0")</f>
        <v>0</v>
      </c>
      <c r="P14008" s="33">
        <f t="shared" si="872"/>
        <v>0</v>
      </c>
      <c r="Q14008" s="31" t="str">
        <f t="shared" si="873"/>
        <v/>
      </c>
      <c r="R14008" s="32" t="str">
        <f>IFERROR(VLOOKUP($D14008,'Informations sur les produits'!$A$3:$B$15000,2,FALSE),"")</f>
        <v/>
      </c>
      <c r="V14008">
        <f t="shared" si="874"/>
        <v>0</v>
      </c>
      <c r="W14008">
        <f t="shared" si="875"/>
        <v>0</v>
      </c>
    </row>
    <row r="14009" spans="5:23" x14ac:dyDescent="0.25">
      <c r="E14009" s="4"/>
      <c r="F14009" s="4"/>
      <c r="G14009" s="33" t="str">
        <f>IFERROR(VLOOKUP($D14009,'Informations sur les produits'!$A$3:$H$10000,8,FALSE),"0")</f>
        <v>0</v>
      </c>
      <c r="K14009" s="4"/>
      <c r="L14009" s="33" t="str">
        <f>IFERROR(VLOOKUP($J14009,'Informations sur les produits'!$A$3:$H$10000,8,FALSE),"0")</f>
        <v>0</v>
      </c>
      <c r="N14009" s="8"/>
      <c r="O14009" s="33" t="str">
        <f>IFERROR(VLOOKUP($M14009,'Informations sur les produits'!$A$3:$H$10000,8,FALSE),"0")</f>
        <v>0</v>
      </c>
      <c r="P14009" s="33">
        <f t="shared" si="872"/>
        <v>0</v>
      </c>
      <c r="Q14009" s="31" t="str">
        <f t="shared" si="873"/>
        <v/>
      </c>
      <c r="R14009" s="32" t="str">
        <f>IFERROR(VLOOKUP($D14009,'Informations sur les produits'!$A$3:$B$15000,2,FALSE),"")</f>
        <v/>
      </c>
      <c r="V14009">
        <f t="shared" si="874"/>
        <v>0</v>
      </c>
      <c r="W14009">
        <f t="shared" si="875"/>
        <v>0</v>
      </c>
    </row>
    <row r="14010" spans="5:23" x14ac:dyDescent="0.25">
      <c r="E14010" s="4"/>
      <c r="F14010" s="4"/>
      <c r="G14010" s="33" t="str">
        <f>IFERROR(VLOOKUP($D14010,'Informations sur les produits'!$A$3:$H$10000,8,FALSE),"0")</f>
        <v>0</v>
      </c>
      <c r="K14010" s="4"/>
      <c r="L14010" s="33" t="str">
        <f>IFERROR(VLOOKUP($J14010,'Informations sur les produits'!$A$3:$H$10000,8,FALSE),"0")</f>
        <v>0</v>
      </c>
      <c r="N14010" s="8"/>
      <c r="O14010" s="33" t="str">
        <f>IFERROR(VLOOKUP($M14010,'Informations sur les produits'!$A$3:$H$10000,8,FALSE),"0")</f>
        <v>0</v>
      </c>
      <c r="P14010" s="33">
        <f t="shared" si="872"/>
        <v>0</v>
      </c>
      <c r="Q14010" s="31" t="str">
        <f t="shared" si="873"/>
        <v/>
      </c>
      <c r="R14010" s="32" t="str">
        <f>IFERROR(VLOOKUP($D14010,'Informations sur les produits'!$A$3:$B$15000,2,FALSE),"")</f>
        <v/>
      </c>
      <c r="V14010">
        <f t="shared" si="874"/>
        <v>0</v>
      </c>
      <c r="W14010">
        <f t="shared" si="875"/>
        <v>0</v>
      </c>
    </row>
    <row r="14011" spans="5:23" x14ac:dyDescent="0.25">
      <c r="E14011" s="4"/>
      <c r="F14011" s="4"/>
      <c r="G14011" s="33" t="str">
        <f>IFERROR(VLOOKUP($D14011,'Informations sur les produits'!$A$3:$H$10000,8,FALSE),"0")</f>
        <v>0</v>
      </c>
      <c r="K14011" s="4"/>
      <c r="L14011" s="33" t="str">
        <f>IFERROR(VLOOKUP($J14011,'Informations sur les produits'!$A$3:$H$10000,8,FALSE),"0")</f>
        <v>0</v>
      </c>
      <c r="N14011" s="8"/>
      <c r="O14011" s="33" t="str">
        <f>IFERROR(VLOOKUP($M14011,'Informations sur les produits'!$A$3:$H$10000,8,FALSE),"0")</f>
        <v>0</v>
      </c>
      <c r="P14011" s="33">
        <f t="shared" si="872"/>
        <v>0</v>
      </c>
      <c r="Q14011" s="31" t="str">
        <f t="shared" si="873"/>
        <v/>
      </c>
      <c r="R14011" s="32" t="str">
        <f>IFERROR(VLOOKUP($D14011,'Informations sur les produits'!$A$3:$B$15000,2,FALSE),"")</f>
        <v/>
      </c>
      <c r="V14011">
        <f t="shared" si="874"/>
        <v>0</v>
      </c>
      <c r="W14011">
        <f t="shared" si="875"/>
        <v>0</v>
      </c>
    </row>
    <row r="14012" spans="5:23" x14ac:dyDescent="0.25">
      <c r="E14012" s="4"/>
      <c r="F14012" s="4"/>
      <c r="G14012" s="33" t="str">
        <f>IFERROR(VLOOKUP($D14012,'Informations sur les produits'!$A$3:$H$10000,8,FALSE),"0")</f>
        <v>0</v>
      </c>
      <c r="K14012" s="4"/>
      <c r="L14012" s="33" t="str">
        <f>IFERROR(VLOOKUP($J14012,'Informations sur les produits'!$A$3:$H$10000,8,FALSE),"0")</f>
        <v>0</v>
      </c>
      <c r="N14012" s="8"/>
      <c r="O14012" s="33" t="str">
        <f>IFERROR(VLOOKUP($M14012,'Informations sur les produits'!$A$3:$H$10000,8,FALSE),"0")</f>
        <v>0</v>
      </c>
      <c r="P14012" s="33">
        <f t="shared" si="872"/>
        <v>0</v>
      </c>
      <c r="Q14012" s="31" t="str">
        <f t="shared" si="873"/>
        <v/>
      </c>
      <c r="R14012" s="32" t="str">
        <f>IFERROR(VLOOKUP($D14012,'Informations sur les produits'!$A$3:$B$15000,2,FALSE),"")</f>
        <v/>
      </c>
      <c r="V14012">
        <f t="shared" si="874"/>
        <v>0</v>
      </c>
      <c r="W14012">
        <f t="shared" si="875"/>
        <v>0</v>
      </c>
    </row>
    <row r="14013" spans="5:23" x14ac:dyDescent="0.25">
      <c r="E14013" s="4"/>
      <c r="F14013" s="4"/>
      <c r="G14013" s="33" t="str">
        <f>IFERROR(VLOOKUP($D14013,'Informations sur les produits'!$A$3:$H$10000,8,FALSE),"0")</f>
        <v>0</v>
      </c>
      <c r="K14013" s="4"/>
      <c r="L14013" s="33" t="str">
        <f>IFERROR(VLOOKUP($J14013,'Informations sur les produits'!$A$3:$H$10000,8,FALSE),"0")</f>
        <v>0</v>
      </c>
      <c r="N14013" s="8"/>
      <c r="O14013" s="33" t="str">
        <f>IFERROR(VLOOKUP($M14013,'Informations sur les produits'!$A$3:$H$10000,8,FALSE),"0")</f>
        <v>0</v>
      </c>
      <c r="P14013" s="33">
        <f t="shared" si="872"/>
        <v>0</v>
      </c>
      <c r="Q14013" s="31" t="str">
        <f t="shared" si="873"/>
        <v/>
      </c>
      <c r="R14013" s="32" t="str">
        <f>IFERROR(VLOOKUP($D14013,'Informations sur les produits'!$A$3:$B$15000,2,FALSE),"")</f>
        <v/>
      </c>
      <c r="V14013">
        <f t="shared" si="874"/>
        <v>0</v>
      </c>
      <c r="W14013">
        <f t="shared" si="875"/>
        <v>0</v>
      </c>
    </row>
    <row r="14014" spans="5:23" x14ac:dyDescent="0.25">
      <c r="E14014" s="4"/>
      <c r="F14014" s="4"/>
      <c r="G14014" s="33" t="str">
        <f>IFERROR(VLOOKUP($D14014,'Informations sur les produits'!$A$3:$H$10000,8,FALSE),"0")</f>
        <v>0</v>
      </c>
      <c r="K14014" s="4"/>
      <c r="L14014" s="33" t="str">
        <f>IFERROR(VLOOKUP($J14014,'Informations sur les produits'!$A$3:$H$10000,8,FALSE),"0")</f>
        <v>0</v>
      </c>
      <c r="N14014" s="8"/>
      <c r="O14014" s="33" t="str">
        <f>IFERROR(VLOOKUP($M14014,'Informations sur les produits'!$A$3:$H$10000,8,FALSE),"0")</f>
        <v>0</v>
      </c>
      <c r="P14014" s="33">
        <f t="shared" si="872"/>
        <v>0</v>
      </c>
      <c r="Q14014" s="31" t="str">
        <f t="shared" si="873"/>
        <v/>
      </c>
      <c r="R14014" s="32" t="str">
        <f>IFERROR(VLOOKUP($D14014,'Informations sur les produits'!$A$3:$B$15000,2,FALSE),"")</f>
        <v/>
      </c>
      <c r="V14014">
        <f t="shared" si="874"/>
        <v>0</v>
      </c>
      <c r="W14014">
        <f t="shared" si="875"/>
        <v>0</v>
      </c>
    </row>
    <row r="14015" spans="5:23" x14ac:dyDescent="0.25">
      <c r="E14015" s="4"/>
      <c r="F14015" s="4"/>
      <c r="G14015" s="33" t="str">
        <f>IFERROR(VLOOKUP($D14015,'Informations sur les produits'!$A$3:$H$10000,8,FALSE),"0")</f>
        <v>0</v>
      </c>
      <c r="K14015" s="4"/>
      <c r="L14015" s="33" t="str">
        <f>IFERROR(VLOOKUP($J14015,'Informations sur les produits'!$A$3:$H$10000,8,FALSE),"0")</f>
        <v>0</v>
      </c>
      <c r="N14015" s="8"/>
      <c r="O14015" s="33" t="str">
        <f>IFERROR(VLOOKUP($M14015,'Informations sur les produits'!$A$3:$H$10000,8,FALSE),"0")</f>
        <v>0</v>
      </c>
      <c r="P14015" s="33">
        <f t="shared" si="872"/>
        <v>0</v>
      </c>
      <c r="Q14015" s="31" t="str">
        <f t="shared" si="873"/>
        <v/>
      </c>
      <c r="R14015" s="32" t="str">
        <f>IFERROR(VLOOKUP($D14015,'Informations sur les produits'!$A$3:$B$15000,2,FALSE),"")</f>
        <v/>
      </c>
      <c r="V14015">
        <f t="shared" si="874"/>
        <v>0</v>
      </c>
      <c r="W14015">
        <f t="shared" si="875"/>
        <v>0</v>
      </c>
    </row>
    <row r="14016" spans="5:23" x14ac:dyDescent="0.25">
      <c r="E14016" s="4"/>
      <c r="F14016" s="4"/>
      <c r="G14016" s="33" t="str">
        <f>IFERROR(VLOOKUP($D14016,'Informations sur les produits'!$A$3:$H$10000,8,FALSE),"0")</f>
        <v>0</v>
      </c>
      <c r="K14016" s="4"/>
      <c r="L14016" s="33" t="str">
        <f>IFERROR(VLOOKUP($J14016,'Informations sur les produits'!$A$3:$H$10000,8,FALSE),"0")</f>
        <v>0</v>
      </c>
      <c r="N14016" s="8"/>
      <c r="O14016" s="33" t="str">
        <f>IFERROR(VLOOKUP($M14016,'Informations sur les produits'!$A$3:$H$10000,8,FALSE),"0")</f>
        <v>0</v>
      </c>
      <c r="P14016" s="33">
        <f t="shared" si="872"/>
        <v>0</v>
      </c>
      <c r="Q14016" s="31" t="str">
        <f t="shared" si="873"/>
        <v/>
      </c>
      <c r="R14016" s="32" t="str">
        <f>IFERROR(VLOOKUP($D14016,'Informations sur les produits'!$A$3:$B$15000,2,FALSE),"")</f>
        <v/>
      </c>
      <c r="V14016">
        <f t="shared" si="874"/>
        <v>0</v>
      </c>
      <c r="W14016">
        <f t="shared" si="875"/>
        <v>0</v>
      </c>
    </row>
    <row r="14017" spans="5:23" x14ac:dyDescent="0.25">
      <c r="E14017" s="4"/>
      <c r="F14017" s="4"/>
      <c r="G14017" s="33" t="str">
        <f>IFERROR(VLOOKUP($D14017,'Informations sur les produits'!$A$3:$H$10000,8,FALSE),"0")</f>
        <v>0</v>
      </c>
      <c r="K14017" s="4"/>
      <c r="L14017" s="33" t="str">
        <f>IFERROR(VLOOKUP($J14017,'Informations sur les produits'!$A$3:$H$10000,8,FALSE),"0")</f>
        <v>0</v>
      </c>
      <c r="N14017" s="8"/>
      <c r="O14017" s="33" t="str">
        <f>IFERROR(VLOOKUP($M14017,'Informations sur les produits'!$A$3:$H$10000,8,FALSE),"0")</f>
        <v>0</v>
      </c>
      <c r="P14017" s="33">
        <f t="shared" si="872"/>
        <v>0</v>
      </c>
      <c r="Q14017" s="31" t="str">
        <f t="shared" si="873"/>
        <v/>
      </c>
      <c r="R14017" s="32" t="str">
        <f>IFERROR(VLOOKUP($D14017,'Informations sur les produits'!$A$3:$B$15000,2,FALSE),"")</f>
        <v/>
      </c>
      <c r="V14017">
        <f t="shared" si="874"/>
        <v>0</v>
      </c>
      <c r="W14017">
        <f t="shared" si="875"/>
        <v>0</v>
      </c>
    </row>
    <row r="14018" spans="5:23" x14ac:dyDescent="0.25">
      <c r="E14018" s="4"/>
      <c r="F14018" s="4"/>
      <c r="G14018" s="33" t="str">
        <f>IFERROR(VLOOKUP($D14018,'Informations sur les produits'!$A$3:$H$10000,8,FALSE),"0")</f>
        <v>0</v>
      </c>
      <c r="K14018" s="4"/>
      <c r="L14018" s="33" t="str">
        <f>IFERROR(VLOOKUP($J14018,'Informations sur les produits'!$A$3:$H$10000,8,FALSE),"0")</f>
        <v>0</v>
      </c>
      <c r="N14018" s="8"/>
      <c r="O14018" s="33" t="str">
        <f>IFERROR(VLOOKUP($M14018,'Informations sur les produits'!$A$3:$H$10000,8,FALSE),"0")</f>
        <v>0</v>
      </c>
      <c r="P14018" s="33">
        <f t="shared" si="872"/>
        <v>0</v>
      </c>
      <c r="Q14018" s="31" t="str">
        <f t="shared" si="873"/>
        <v/>
      </c>
      <c r="R14018" s="32" t="str">
        <f>IFERROR(VLOOKUP($D14018,'Informations sur les produits'!$A$3:$B$15000,2,FALSE),"")</f>
        <v/>
      </c>
      <c r="V14018">
        <f t="shared" si="874"/>
        <v>0</v>
      </c>
      <c r="W14018">
        <f t="shared" si="875"/>
        <v>0</v>
      </c>
    </row>
    <row r="14019" spans="5:23" x14ac:dyDescent="0.25">
      <c r="E14019" s="4"/>
      <c r="F14019" s="4"/>
      <c r="G14019" s="33" t="str">
        <f>IFERROR(VLOOKUP($D14019,'Informations sur les produits'!$A$3:$H$10000,8,FALSE),"0")</f>
        <v>0</v>
      </c>
      <c r="K14019" s="4"/>
      <c r="L14019" s="33" t="str">
        <f>IFERROR(VLOOKUP($J14019,'Informations sur les produits'!$A$3:$H$10000,8,FALSE),"0")</f>
        <v>0</v>
      </c>
      <c r="N14019" s="8"/>
      <c r="O14019" s="33" t="str">
        <f>IFERROR(VLOOKUP($M14019,'Informations sur les produits'!$A$3:$H$10000,8,FALSE),"0")</f>
        <v>0</v>
      </c>
      <c r="P14019" s="33">
        <f t="shared" si="872"/>
        <v>0</v>
      </c>
      <c r="Q14019" s="31" t="str">
        <f t="shared" si="873"/>
        <v/>
      </c>
      <c r="R14019" s="32" t="str">
        <f>IFERROR(VLOOKUP($D14019,'Informations sur les produits'!$A$3:$B$15000,2,FALSE),"")</f>
        <v/>
      </c>
      <c r="V14019">
        <f t="shared" si="874"/>
        <v>0</v>
      </c>
      <c r="W14019">
        <f t="shared" si="875"/>
        <v>0</v>
      </c>
    </row>
    <row r="14020" spans="5:23" x14ac:dyDescent="0.25">
      <c r="E14020" s="4"/>
      <c r="F14020" s="4"/>
      <c r="G14020" s="33" t="str">
        <f>IFERROR(VLOOKUP($D14020,'Informations sur les produits'!$A$3:$H$10000,8,FALSE),"0")</f>
        <v>0</v>
      </c>
      <c r="K14020" s="4"/>
      <c r="L14020" s="33" t="str">
        <f>IFERROR(VLOOKUP($J14020,'Informations sur les produits'!$A$3:$H$10000,8,FALSE),"0")</f>
        <v>0</v>
      </c>
      <c r="N14020" s="8"/>
      <c r="O14020" s="33" t="str">
        <f>IFERROR(VLOOKUP($M14020,'Informations sur les produits'!$A$3:$H$10000,8,FALSE),"0")</f>
        <v>0</v>
      </c>
      <c r="P14020" s="33">
        <f t="shared" ref="P14020:P14083" si="876">IFERROR((($E14020-$F14020)*$G14020+$K14020*$L14020+$N14020*$O14020),"")</f>
        <v>0</v>
      </c>
      <c r="Q14020" s="31" t="str">
        <f t="shared" ref="Q14020:Q14083" si="877">IFERROR((((($E14020-$F14020)*$G14020+$K14020*$L14020+$N14020*$O14020)*1000)/(($E14020-$F14020)+$K14020+$N14020)),"")</f>
        <v/>
      </c>
      <c r="R14020" s="32" t="str">
        <f>IFERROR(VLOOKUP($D14020,'Informations sur les produits'!$A$3:$B$15000,2,FALSE),"")</f>
        <v/>
      </c>
      <c r="V14020">
        <f t="shared" ref="V14020:V14083" si="878">IFERROR(P14020*1000,"")</f>
        <v>0</v>
      </c>
      <c r="W14020">
        <f t="shared" ref="W14020:W14083" si="879">IFERROR(($E14020-$F14020)+$K14020+$N14020,"")</f>
        <v>0</v>
      </c>
    </row>
    <row r="14021" spans="5:23" x14ac:dyDescent="0.25">
      <c r="E14021" s="4"/>
      <c r="F14021" s="4"/>
      <c r="G14021" s="33" t="str">
        <f>IFERROR(VLOOKUP($D14021,'Informations sur les produits'!$A$3:$H$10000,8,FALSE),"0")</f>
        <v>0</v>
      </c>
      <c r="K14021" s="4"/>
      <c r="L14021" s="33" t="str">
        <f>IFERROR(VLOOKUP($J14021,'Informations sur les produits'!$A$3:$H$10000,8,FALSE),"0")</f>
        <v>0</v>
      </c>
      <c r="N14021" s="8"/>
      <c r="O14021" s="33" t="str">
        <f>IFERROR(VLOOKUP($M14021,'Informations sur les produits'!$A$3:$H$10000,8,FALSE),"0")</f>
        <v>0</v>
      </c>
      <c r="P14021" s="33">
        <f t="shared" si="876"/>
        <v>0</v>
      </c>
      <c r="Q14021" s="31" t="str">
        <f t="shared" si="877"/>
        <v/>
      </c>
      <c r="R14021" s="32" t="str">
        <f>IFERROR(VLOOKUP($D14021,'Informations sur les produits'!$A$3:$B$15000,2,FALSE),"")</f>
        <v/>
      </c>
      <c r="V14021">
        <f t="shared" si="878"/>
        <v>0</v>
      </c>
      <c r="W14021">
        <f t="shared" si="879"/>
        <v>0</v>
      </c>
    </row>
    <row r="14022" spans="5:23" x14ac:dyDescent="0.25">
      <c r="E14022" s="4"/>
      <c r="F14022" s="4"/>
      <c r="G14022" s="33" t="str">
        <f>IFERROR(VLOOKUP($D14022,'Informations sur les produits'!$A$3:$H$10000,8,FALSE),"0")</f>
        <v>0</v>
      </c>
      <c r="K14022" s="4"/>
      <c r="L14022" s="33" t="str">
        <f>IFERROR(VLOOKUP($J14022,'Informations sur les produits'!$A$3:$H$10000,8,FALSE),"0")</f>
        <v>0</v>
      </c>
      <c r="N14022" s="8"/>
      <c r="O14022" s="33" t="str">
        <f>IFERROR(VLOOKUP($M14022,'Informations sur les produits'!$A$3:$H$10000,8,FALSE),"0")</f>
        <v>0</v>
      </c>
      <c r="P14022" s="33">
        <f t="shared" si="876"/>
        <v>0</v>
      </c>
      <c r="Q14022" s="31" t="str">
        <f t="shared" si="877"/>
        <v/>
      </c>
      <c r="R14022" s="32" t="str">
        <f>IFERROR(VLOOKUP($D14022,'Informations sur les produits'!$A$3:$B$15000,2,FALSE),"")</f>
        <v/>
      </c>
      <c r="V14022">
        <f t="shared" si="878"/>
        <v>0</v>
      </c>
      <c r="W14022">
        <f t="shared" si="879"/>
        <v>0</v>
      </c>
    </row>
    <row r="14023" spans="5:23" x14ac:dyDescent="0.25">
      <c r="E14023" s="4"/>
      <c r="F14023" s="4"/>
      <c r="G14023" s="33" t="str">
        <f>IFERROR(VLOOKUP($D14023,'Informations sur les produits'!$A$3:$H$10000,8,FALSE),"0")</f>
        <v>0</v>
      </c>
      <c r="K14023" s="4"/>
      <c r="L14023" s="33" t="str">
        <f>IFERROR(VLOOKUP($J14023,'Informations sur les produits'!$A$3:$H$10000,8,FALSE),"0")</f>
        <v>0</v>
      </c>
      <c r="N14023" s="8"/>
      <c r="O14023" s="33" t="str">
        <f>IFERROR(VLOOKUP($M14023,'Informations sur les produits'!$A$3:$H$10000,8,FALSE),"0")</f>
        <v>0</v>
      </c>
      <c r="P14023" s="33">
        <f t="shared" si="876"/>
        <v>0</v>
      </c>
      <c r="Q14023" s="31" t="str">
        <f t="shared" si="877"/>
        <v/>
      </c>
      <c r="R14023" s="32" t="str">
        <f>IFERROR(VLOOKUP($D14023,'Informations sur les produits'!$A$3:$B$15000,2,FALSE),"")</f>
        <v/>
      </c>
      <c r="V14023">
        <f t="shared" si="878"/>
        <v>0</v>
      </c>
      <c r="W14023">
        <f t="shared" si="879"/>
        <v>0</v>
      </c>
    </row>
    <row r="14024" spans="5:23" x14ac:dyDescent="0.25">
      <c r="E14024" s="4"/>
      <c r="F14024" s="4"/>
      <c r="G14024" s="33" t="str">
        <f>IFERROR(VLOOKUP($D14024,'Informations sur les produits'!$A$3:$H$10000,8,FALSE),"0")</f>
        <v>0</v>
      </c>
      <c r="K14024" s="4"/>
      <c r="L14024" s="33" t="str">
        <f>IFERROR(VLOOKUP($J14024,'Informations sur les produits'!$A$3:$H$10000,8,FALSE),"0")</f>
        <v>0</v>
      </c>
      <c r="N14024" s="8"/>
      <c r="O14024" s="33" t="str">
        <f>IFERROR(VLOOKUP($M14024,'Informations sur les produits'!$A$3:$H$10000,8,FALSE),"0")</f>
        <v>0</v>
      </c>
      <c r="P14024" s="33">
        <f t="shared" si="876"/>
        <v>0</v>
      </c>
      <c r="Q14024" s="31" t="str">
        <f t="shared" si="877"/>
        <v/>
      </c>
      <c r="R14024" s="32" t="str">
        <f>IFERROR(VLOOKUP($D14024,'Informations sur les produits'!$A$3:$B$15000,2,FALSE),"")</f>
        <v/>
      </c>
      <c r="V14024">
        <f t="shared" si="878"/>
        <v>0</v>
      </c>
      <c r="W14024">
        <f t="shared" si="879"/>
        <v>0</v>
      </c>
    </row>
    <row r="14025" spans="5:23" x14ac:dyDescent="0.25">
      <c r="E14025" s="4"/>
      <c r="F14025" s="4"/>
      <c r="G14025" s="33" t="str">
        <f>IFERROR(VLOOKUP($D14025,'Informations sur les produits'!$A$3:$H$10000,8,FALSE),"0")</f>
        <v>0</v>
      </c>
      <c r="K14025" s="4"/>
      <c r="L14025" s="33" t="str">
        <f>IFERROR(VLOOKUP($J14025,'Informations sur les produits'!$A$3:$H$10000,8,FALSE),"0")</f>
        <v>0</v>
      </c>
      <c r="N14025" s="8"/>
      <c r="O14025" s="33" t="str">
        <f>IFERROR(VLOOKUP($M14025,'Informations sur les produits'!$A$3:$H$10000,8,FALSE),"0")</f>
        <v>0</v>
      </c>
      <c r="P14025" s="33">
        <f t="shared" si="876"/>
        <v>0</v>
      </c>
      <c r="Q14025" s="31" t="str">
        <f t="shared" si="877"/>
        <v/>
      </c>
      <c r="R14025" s="32" t="str">
        <f>IFERROR(VLOOKUP($D14025,'Informations sur les produits'!$A$3:$B$15000,2,FALSE),"")</f>
        <v/>
      </c>
      <c r="V14025">
        <f t="shared" si="878"/>
        <v>0</v>
      </c>
      <c r="W14025">
        <f t="shared" si="879"/>
        <v>0</v>
      </c>
    </row>
    <row r="14026" spans="5:23" x14ac:dyDescent="0.25">
      <c r="E14026" s="4"/>
      <c r="F14026" s="4"/>
      <c r="G14026" s="33" t="str">
        <f>IFERROR(VLOOKUP($D14026,'Informations sur les produits'!$A$3:$H$10000,8,FALSE),"0")</f>
        <v>0</v>
      </c>
      <c r="K14026" s="4"/>
      <c r="L14026" s="33" t="str">
        <f>IFERROR(VLOOKUP($J14026,'Informations sur les produits'!$A$3:$H$10000,8,FALSE),"0")</f>
        <v>0</v>
      </c>
      <c r="N14026" s="8"/>
      <c r="O14026" s="33" t="str">
        <f>IFERROR(VLOOKUP($M14026,'Informations sur les produits'!$A$3:$H$10000,8,FALSE),"0")</f>
        <v>0</v>
      </c>
      <c r="P14026" s="33">
        <f t="shared" si="876"/>
        <v>0</v>
      </c>
      <c r="Q14026" s="31" t="str">
        <f t="shared" si="877"/>
        <v/>
      </c>
      <c r="R14026" s="32" t="str">
        <f>IFERROR(VLOOKUP($D14026,'Informations sur les produits'!$A$3:$B$15000,2,FALSE),"")</f>
        <v/>
      </c>
      <c r="V14026">
        <f t="shared" si="878"/>
        <v>0</v>
      </c>
      <c r="W14026">
        <f t="shared" si="879"/>
        <v>0</v>
      </c>
    </row>
    <row r="14027" spans="5:23" x14ac:dyDescent="0.25">
      <c r="E14027" s="4"/>
      <c r="F14027" s="4"/>
      <c r="G14027" s="33" t="str">
        <f>IFERROR(VLOOKUP($D14027,'Informations sur les produits'!$A$3:$H$10000,8,FALSE),"0")</f>
        <v>0</v>
      </c>
      <c r="K14027" s="4"/>
      <c r="L14027" s="33" t="str">
        <f>IFERROR(VLOOKUP($J14027,'Informations sur les produits'!$A$3:$H$10000,8,FALSE),"0")</f>
        <v>0</v>
      </c>
      <c r="N14027" s="8"/>
      <c r="O14027" s="33" t="str">
        <f>IFERROR(VLOOKUP($M14027,'Informations sur les produits'!$A$3:$H$10000,8,FALSE),"0")</f>
        <v>0</v>
      </c>
      <c r="P14027" s="33">
        <f t="shared" si="876"/>
        <v>0</v>
      </c>
      <c r="Q14027" s="31" t="str">
        <f t="shared" si="877"/>
        <v/>
      </c>
      <c r="R14027" s="32" t="str">
        <f>IFERROR(VLOOKUP($D14027,'Informations sur les produits'!$A$3:$B$15000,2,FALSE),"")</f>
        <v/>
      </c>
      <c r="V14027">
        <f t="shared" si="878"/>
        <v>0</v>
      </c>
      <c r="W14027">
        <f t="shared" si="879"/>
        <v>0</v>
      </c>
    </row>
    <row r="14028" spans="5:23" x14ac:dyDescent="0.25">
      <c r="E14028" s="4"/>
      <c r="F14028" s="4"/>
      <c r="G14028" s="33" t="str">
        <f>IFERROR(VLOOKUP($D14028,'Informations sur les produits'!$A$3:$H$10000,8,FALSE),"0")</f>
        <v>0</v>
      </c>
      <c r="K14028" s="4"/>
      <c r="L14028" s="33" t="str">
        <f>IFERROR(VLOOKUP($J14028,'Informations sur les produits'!$A$3:$H$10000,8,FALSE),"0")</f>
        <v>0</v>
      </c>
      <c r="N14028" s="8"/>
      <c r="O14028" s="33" t="str">
        <f>IFERROR(VLOOKUP($M14028,'Informations sur les produits'!$A$3:$H$10000,8,FALSE),"0")</f>
        <v>0</v>
      </c>
      <c r="P14028" s="33">
        <f t="shared" si="876"/>
        <v>0</v>
      </c>
      <c r="Q14028" s="31" t="str">
        <f t="shared" si="877"/>
        <v/>
      </c>
      <c r="R14028" s="32" t="str">
        <f>IFERROR(VLOOKUP($D14028,'Informations sur les produits'!$A$3:$B$15000,2,FALSE),"")</f>
        <v/>
      </c>
      <c r="V14028">
        <f t="shared" si="878"/>
        <v>0</v>
      </c>
      <c r="W14028">
        <f t="shared" si="879"/>
        <v>0</v>
      </c>
    </row>
    <row r="14029" spans="5:23" x14ac:dyDescent="0.25">
      <c r="E14029" s="4"/>
      <c r="F14029" s="4"/>
      <c r="G14029" s="33" t="str">
        <f>IFERROR(VLOOKUP($D14029,'Informations sur les produits'!$A$3:$H$10000,8,FALSE),"0")</f>
        <v>0</v>
      </c>
      <c r="K14029" s="4"/>
      <c r="L14029" s="33" t="str">
        <f>IFERROR(VLOOKUP($J14029,'Informations sur les produits'!$A$3:$H$10000,8,FALSE),"0")</f>
        <v>0</v>
      </c>
      <c r="N14029" s="8"/>
      <c r="O14029" s="33" t="str">
        <f>IFERROR(VLOOKUP($M14029,'Informations sur les produits'!$A$3:$H$10000,8,FALSE),"0")</f>
        <v>0</v>
      </c>
      <c r="P14029" s="33">
        <f t="shared" si="876"/>
        <v>0</v>
      </c>
      <c r="Q14029" s="31" t="str">
        <f t="shared" si="877"/>
        <v/>
      </c>
      <c r="R14029" s="32" t="str">
        <f>IFERROR(VLOOKUP($D14029,'Informations sur les produits'!$A$3:$B$15000,2,FALSE),"")</f>
        <v/>
      </c>
      <c r="V14029">
        <f t="shared" si="878"/>
        <v>0</v>
      </c>
      <c r="W14029">
        <f t="shared" si="879"/>
        <v>0</v>
      </c>
    </row>
    <row r="14030" spans="5:23" x14ac:dyDescent="0.25">
      <c r="E14030" s="4"/>
      <c r="F14030" s="4"/>
      <c r="G14030" s="33" t="str">
        <f>IFERROR(VLOOKUP($D14030,'Informations sur les produits'!$A$3:$H$10000,8,FALSE),"0")</f>
        <v>0</v>
      </c>
      <c r="K14030" s="4"/>
      <c r="L14030" s="33" t="str">
        <f>IFERROR(VLOOKUP($J14030,'Informations sur les produits'!$A$3:$H$10000,8,FALSE),"0")</f>
        <v>0</v>
      </c>
      <c r="N14030" s="8"/>
      <c r="O14030" s="33" t="str">
        <f>IFERROR(VLOOKUP($M14030,'Informations sur les produits'!$A$3:$H$10000,8,FALSE),"0")</f>
        <v>0</v>
      </c>
      <c r="P14030" s="33">
        <f t="shared" si="876"/>
        <v>0</v>
      </c>
      <c r="Q14030" s="31" t="str">
        <f t="shared" si="877"/>
        <v/>
      </c>
      <c r="R14030" s="32" t="str">
        <f>IFERROR(VLOOKUP($D14030,'Informations sur les produits'!$A$3:$B$15000,2,FALSE),"")</f>
        <v/>
      </c>
      <c r="V14030">
        <f t="shared" si="878"/>
        <v>0</v>
      </c>
      <c r="W14030">
        <f t="shared" si="879"/>
        <v>0</v>
      </c>
    </row>
    <row r="14031" spans="5:23" x14ac:dyDescent="0.25">
      <c r="E14031" s="4"/>
      <c r="F14031" s="4"/>
      <c r="G14031" s="33" t="str">
        <f>IFERROR(VLOOKUP($D14031,'Informations sur les produits'!$A$3:$H$10000,8,FALSE),"0")</f>
        <v>0</v>
      </c>
      <c r="K14031" s="4"/>
      <c r="L14031" s="33" t="str">
        <f>IFERROR(VLOOKUP($J14031,'Informations sur les produits'!$A$3:$H$10000,8,FALSE),"0")</f>
        <v>0</v>
      </c>
      <c r="N14031" s="8"/>
      <c r="O14031" s="33" t="str">
        <f>IFERROR(VLOOKUP($M14031,'Informations sur les produits'!$A$3:$H$10000,8,FALSE),"0")</f>
        <v>0</v>
      </c>
      <c r="P14031" s="33">
        <f t="shared" si="876"/>
        <v>0</v>
      </c>
      <c r="Q14031" s="31" t="str">
        <f t="shared" si="877"/>
        <v/>
      </c>
      <c r="R14031" s="32" t="str">
        <f>IFERROR(VLOOKUP($D14031,'Informations sur les produits'!$A$3:$B$15000,2,FALSE),"")</f>
        <v/>
      </c>
      <c r="V14031">
        <f t="shared" si="878"/>
        <v>0</v>
      </c>
      <c r="W14031">
        <f t="shared" si="879"/>
        <v>0</v>
      </c>
    </row>
    <row r="14032" spans="5:23" x14ac:dyDescent="0.25">
      <c r="E14032" s="4"/>
      <c r="F14032" s="4"/>
      <c r="G14032" s="33" t="str">
        <f>IFERROR(VLOOKUP($D14032,'Informations sur les produits'!$A$3:$H$10000,8,FALSE),"0")</f>
        <v>0</v>
      </c>
      <c r="K14032" s="4"/>
      <c r="L14032" s="33" t="str">
        <f>IFERROR(VLOOKUP($J14032,'Informations sur les produits'!$A$3:$H$10000,8,FALSE),"0")</f>
        <v>0</v>
      </c>
      <c r="N14032" s="8"/>
      <c r="O14032" s="33" t="str">
        <f>IFERROR(VLOOKUP($M14032,'Informations sur les produits'!$A$3:$H$10000,8,FALSE),"0")</f>
        <v>0</v>
      </c>
      <c r="P14032" s="33">
        <f t="shared" si="876"/>
        <v>0</v>
      </c>
      <c r="Q14032" s="31" t="str">
        <f t="shared" si="877"/>
        <v/>
      </c>
      <c r="R14032" s="32" t="str">
        <f>IFERROR(VLOOKUP($D14032,'Informations sur les produits'!$A$3:$B$15000,2,FALSE),"")</f>
        <v/>
      </c>
      <c r="V14032">
        <f t="shared" si="878"/>
        <v>0</v>
      </c>
      <c r="W14032">
        <f t="shared" si="879"/>
        <v>0</v>
      </c>
    </row>
    <row r="14033" spans="5:23" x14ac:dyDescent="0.25">
      <c r="E14033" s="4"/>
      <c r="F14033" s="4"/>
      <c r="G14033" s="33" t="str">
        <f>IFERROR(VLOOKUP($D14033,'Informations sur les produits'!$A$3:$H$10000,8,FALSE),"0")</f>
        <v>0</v>
      </c>
      <c r="K14033" s="4"/>
      <c r="L14033" s="33" t="str">
        <f>IFERROR(VLOOKUP($J14033,'Informations sur les produits'!$A$3:$H$10000,8,FALSE),"0")</f>
        <v>0</v>
      </c>
      <c r="N14033" s="8"/>
      <c r="O14033" s="33" t="str">
        <f>IFERROR(VLOOKUP($M14033,'Informations sur les produits'!$A$3:$H$10000,8,FALSE),"0")</f>
        <v>0</v>
      </c>
      <c r="P14033" s="33">
        <f t="shared" si="876"/>
        <v>0</v>
      </c>
      <c r="Q14033" s="31" t="str">
        <f t="shared" si="877"/>
        <v/>
      </c>
      <c r="R14033" s="32" t="str">
        <f>IFERROR(VLOOKUP($D14033,'Informations sur les produits'!$A$3:$B$15000,2,FALSE),"")</f>
        <v/>
      </c>
      <c r="V14033">
        <f t="shared" si="878"/>
        <v>0</v>
      </c>
      <c r="W14033">
        <f t="shared" si="879"/>
        <v>0</v>
      </c>
    </row>
    <row r="14034" spans="5:23" x14ac:dyDescent="0.25">
      <c r="E14034" s="4"/>
      <c r="F14034" s="4"/>
      <c r="G14034" s="33" t="str">
        <f>IFERROR(VLOOKUP($D14034,'Informations sur les produits'!$A$3:$H$10000,8,FALSE),"0")</f>
        <v>0</v>
      </c>
      <c r="K14034" s="4"/>
      <c r="L14034" s="33" t="str">
        <f>IFERROR(VLOOKUP($J14034,'Informations sur les produits'!$A$3:$H$10000,8,FALSE),"0")</f>
        <v>0</v>
      </c>
      <c r="N14034" s="8"/>
      <c r="O14034" s="33" t="str">
        <f>IFERROR(VLOOKUP($M14034,'Informations sur les produits'!$A$3:$H$10000,8,FALSE),"0")</f>
        <v>0</v>
      </c>
      <c r="P14034" s="33">
        <f t="shared" si="876"/>
        <v>0</v>
      </c>
      <c r="Q14034" s="31" t="str">
        <f t="shared" si="877"/>
        <v/>
      </c>
      <c r="R14034" s="32" t="str">
        <f>IFERROR(VLOOKUP($D14034,'Informations sur les produits'!$A$3:$B$15000,2,FALSE),"")</f>
        <v/>
      </c>
      <c r="V14034">
        <f t="shared" si="878"/>
        <v>0</v>
      </c>
      <c r="W14034">
        <f t="shared" si="879"/>
        <v>0</v>
      </c>
    </row>
    <row r="14035" spans="5:23" x14ac:dyDescent="0.25">
      <c r="E14035" s="4"/>
      <c r="F14035" s="4"/>
      <c r="G14035" s="33" t="str">
        <f>IFERROR(VLOOKUP($D14035,'Informations sur les produits'!$A$3:$H$10000,8,FALSE),"0")</f>
        <v>0</v>
      </c>
      <c r="K14035" s="4"/>
      <c r="L14035" s="33" t="str">
        <f>IFERROR(VLOOKUP($J14035,'Informations sur les produits'!$A$3:$H$10000,8,FALSE),"0")</f>
        <v>0</v>
      </c>
      <c r="N14035" s="8"/>
      <c r="O14035" s="33" t="str">
        <f>IFERROR(VLOOKUP($M14035,'Informations sur les produits'!$A$3:$H$10000,8,FALSE),"0")</f>
        <v>0</v>
      </c>
      <c r="P14035" s="33">
        <f t="shared" si="876"/>
        <v>0</v>
      </c>
      <c r="Q14035" s="31" t="str">
        <f t="shared" si="877"/>
        <v/>
      </c>
      <c r="R14035" s="32" t="str">
        <f>IFERROR(VLOOKUP($D14035,'Informations sur les produits'!$A$3:$B$15000,2,FALSE),"")</f>
        <v/>
      </c>
      <c r="V14035">
        <f t="shared" si="878"/>
        <v>0</v>
      </c>
      <c r="W14035">
        <f t="shared" si="879"/>
        <v>0</v>
      </c>
    </row>
    <row r="14036" spans="5:23" x14ac:dyDescent="0.25">
      <c r="E14036" s="4"/>
      <c r="F14036" s="4"/>
      <c r="G14036" s="33" t="str">
        <f>IFERROR(VLOOKUP($D14036,'Informations sur les produits'!$A$3:$H$10000,8,FALSE),"0")</f>
        <v>0</v>
      </c>
      <c r="K14036" s="4"/>
      <c r="L14036" s="33" t="str">
        <f>IFERROR(VLOOKUP($J14036,'Informations sur les produits'!$A$3:$H$10000,8,FALSE),"0")</f>
        <v>0</v>
      </c>
      <c r="N14036" s="8"/>
      <c r="O14036" s="33" t="str">
        <f>IFERROR(VLOOKUP($M14036,'Informations sur les produits'!$A$3:$H$10000,8,FALSE),"0")</f>
        <v>0</v>
      </c>
      <c r="P14036" s="33">
        <f t="shared" si="876"/>
        <v>0</v>
      </c>
      <c r="Q14036" s="31" t="str">
        <f t="shared" si="877"/>
        <v/>
      </c>
      <c r="R14036" s="32" t="str">
        <f>IFERROR(VLOOKUP($D14036,'Informations sur les produits'!$A$3:$B$15000,2,FALSE),"")</f>
        <v/>
      </c>
      <c r="V14036">
        <f t="shared" si="878"/>
        <v>0</v>
      </c>
      <c r="W14036">
        <f t="shared" si="879"/>
        <v>0</v>
      </c>
    </row>
    <row r="14037" spans="5:23" x14ac:dyDescent="0.25">
      <c r="E14037" s="4"/>
      <c r="F14037" s="4"/>
      <c r="G14037" s="33" t="str">
        <f>IFERROR(VLOOKUP($D14037,'Informations sur les produits'!$A$3:$H$10000,8,FALSE),"0")</f>
        <v>0</v>
      </c>
      <c r="K14037" s="4"/>
      <c r="L14037" s="33" t="str">
        <f>IFERROR(VLOOKUP($J14037,'Informations sur les produits'!$A$3:$H$10000,8,FALSE),"0")</f>
        <v>0</v>
      </c>
      <c r="N14037" s="8"/>
      <c r="O14037" s="33" t="str">
        <f>IFERROR(VLOOKUP($M14037,'Informations sur les produits'!$A$3:$H$10000,8,FALSE),"0")</f>
        <v>0</v>
      </c>
      <c r="P14037" s="33">
        <f t="shared" si="876"/>
        <v>0</v>
      </c>
      <c r="Q14037" s="31" t="str">
        <f t="shared" si="877"/>
        <v/>
      </c>
      <c r="R14037" s="32" t="str">
        <f>IFERROR(VLOOKUP($D14037,'Informations sur les produits'!$A$3:$B$15000,2,FALSE),"")</f>
        <v/>
      </c>
      <c r="V14037">
        <f t="shared" si="878"/>
        <v>0</v>
      </c>
      <c r="W14037">
        <f t="shared" si="879"/>
        <v>0</v>
      </c>
    </row>
    <row r="14038" spans="5:23" x14ac:dyDescent="0.25">
      <c r="E14038" s="4"/>
      <c r="F14038" s="4"/>
      <c r="G14038" s="33" t="str">
        <f>IFERROR(VLOOKUP($D14038,'Informations sur les produits'!$A$3:$H$10000,8,FALSE),"0")</f>
        <v>0</v>
      </c>
      <c r="K14038" s="4"/>
      <c r="L14038" s="33" t="str">
        <f>IFERROR(VLOOKUP($J14038,'Informations sur les produits'!$A$3:$H$10000,8,FALSE),"0")</f>
        <v>0</v>
      </c>
      <c r="N14038" s="8"/>
      <c r="O14038" s="33" t="str">
        <f>IFERROR(VLOOKUP($M14038,'Informations sur les produits'!$A$3:$H$10000,8,FALSE),"0")</f>
        <v>0</v>
      </c>
      <c r="P14038" s="33">
        <f t="shared" si="876"/>
        <v>0</v>
      </c>
      <c r="Q14038" s="31" t="str">
        <f t="shared" si="877"/>
        <v/>
      </c>
      <c r="R14038" s="32" t="str">
        <f>IFERROR(VLOOKUP($D14038,'Informations sur les produits'!$A$3:$B$15000,2,FALSE),"")</f>
        <v/>
      </c>
      <c r="V14038">
        <f t="shared" si="878"/>
        <v>0</v>
      </c>
      <c r="W14038">
        <f t="shared" si="879"/>
        <v>0</v>
      </c>
    </row>
    <row r="14039" spans="5:23" x14ac:dyDescent="0.25">
      <c r="E14039" s="4"/>
      <c r="F14039" s="4"/>
      <c r="G14039" s="33" t="str">
        <f>IFERROR(VLOOKUP($D14039,'Informations sur les produits'!$A$3:$H$10000,8,FALSE),"0")</f>
        <v>0</v>
      </c>
      <c r="K14039" s="4"/>
      <c r="L14039" s="33" t="str">
        <f>IFERROR(VLOOKUP($J14039,'Informations sur les produits'!$A$3:$H$10000,8,FALSE),"0")</f>
        <v>0</v>
      </c>
      <c r="N14039" s="8"/>
      <c r="O14039" s="33" t="str">
        <f>IFERROR(VLOOKUP($M14039,'Informations sur les produits'!$A$3:$H$10000,8,FALSE),"0")</f>
        <v>0</v>
      </c>
      <c r="P14039" s="33">
        <f t="shared" si="876"/>
        <v>0</v>
      </c>
      <c r="Q14039" s="31" t="str">
        <f t="shared" si="877"/>
        <v/>
      </c>
      <c r="R14039" s="32" t="str">
        <f>IFERROR(VLOOKUP($D14039,'Informations sur les produits'!$A$3:$B$15000,2,FALSE),"")</f>
        <v/>
      </c>
      <c r="V14039">
        <f t="shared" si="878"/>
        <v>0</v>
      </c>
      <c r="W14039">
        <f t="shared" si="879"/>
        <v>0</v>
      </c>
    </row>
    <row r="14040" spans="5:23" x14ac:dyDescent="0.25">
      <c r="E14040" s="4"/>
      <c r="F14040" s="4"/>
      <c r="G14040" s="33" t="str">
        <f>IFERROR(VLOOKUP($D14040,'Informations sur les produits'!$A$3:$H$10000,8,FALSE),"0")</f>
        <v>0</v>
      </c>
      <c r="K14040" s="4"/>
      <c r="L14040" s="33" t="str">
        <f>IFERROR(VLOOKUP($J14040,'Informations sur les produits'!$A$3:$H$10000,8,FALSE),"0")</f>
        <v>0</v>
      </c>
      <c r="N14040" s="8"/>
      <c r="O14040" s="33" t="str">
        <f>IFERROR(VLOOKUP($M14040,'Informations sur les produits'!$A$3:$H$10000,8,FALSE),"0")</f>
        <v>0</v>
      </c>
      <c r="P14040" s="33">
        <f t="shared" si="876"/>
        <v>0</v>
      </c>
      <c r="Q14040" s="31" t="str">
        <f t="shared" si="877"/>
        <v/>
      </c>
      <c r="R14040" s="32" t="str">
        <f>IFERROR(VLOOKUP($D14040,'Informations sur les produits'!$A$3:$B$15000,2,FALSE),"")</f>
        <v/>
      </c>
      <c r="V14040">
        <f t="shared" si="878"/>
        <v>0</v>
      </c>
      <c r="W14040">
        <f t="shared" si="879"/>
        <v>0</v>
      </c>
    </row>
    <row r="14041" spans="5:23" x14ac:dyDescent="0.25">
      <c r="E14041" s="4"/>
      <c r="F14041" s="4"/>
      <c r="G14041" s="33" t="str">
        <f>IFERROR(VLOOKUP($D14041,'Informations sur les produits'!$A$3:$H$10000,8,FALSE),"0")</f>
        <v>0</v>
      </c>
      <c r="K14041" s="4"/>
      <c r="L14041" s="33" t="str">
        <f>IFERROR(VLOOKUP($J14041,'Informations sur les produits'!$A$3:$H$10000,8,FALSE),"0")</f>
        <v>0</v>
      </c>
      <c r="N14041" s="8"/>
      <c r="O14041" s="33" t="str">
        <f>IFERROR(VLOOKUP($M14041,'Informations sur les produits'!$A$3:$H$10000,8,FALSE),"0")</f>
        <v>0</v>
      </c>
      <c r="P14041" s="33">
        <f t="shared" si="876"/>
        <v>0</v>
      </c>
      <c r="Q14041" s="31" t="str">
        <f t="shared" si="877"/>
        <v/>
      </c>
      <c r="R14041" s="32" t="str">
        <f>IFERROR(VLOOKUP($D14041,'Informations sur les produits'!$A$3:$B$15000,2,FALSE),"")</f>
        <v/>
      </c>
      <c r="V14041">
        <f t="shared" si="878"/>
        <v>0</v>
      </c>
      <c r="W14041">
        <f t="shared" si="879"/>
        <v>0</v>
      </c>
    </row>
    <row r="14042" spans="5:23" x14ac:dyDescent="0.25">
      <c r="E14042" s="4"/>
      <c r="F14042" s="4"/>
      <c r="G14042" s="33" t="str">
        <f>IFERROR(VLOOKUP($D14042,'Informations sur les produits'!$A$3:$H$10000,8,FALSE),"0")</f>
        <v>0</v>
      </c>
      <c r="K14042" s="4"/>
      <c r="L14042" s="33" t="str">
        <f>IFERROR(VLOOKUP($J14042,'Informations sur les produits'!$A$3:$H$10000,8,FALSE),"0")</f>
        <v>0</v>
      </c>
      <c r="N14042" s="8"/>
      <c r="O14042" s="33" t="str">
        <f>IFERROR(VLOOKUP($M14042,'Informations sur les produits'!$A$3:$H$10000,8,FALSE),"0")</f>
        <v>0</v>
      </c>
      <c r="P14042" s="33">
        <f t="shared" si="876"/>
        <v>0</v>
      </c>
      <c r="Q14042" s="31" t="str">
        <f t="shared" si="877"/>
        <v/>
      </c>
      <c r="R14042" s="32" t="str">
        <f>IFERROR(VLOOKUP($D14042,'Informations sur les produits'!$A$3:$B$15000,2,FALSE),"")</f>
        <v/>
      </c>
      <c r="V14042">
        <f t="shared" si="878"/>
        <v>0</v>
      </c>
      <c r="W14042">
        <f t="shared" si="879"/>
        <v>0</v>
      </c>
    </row>
    <row r="14043" spans="5:23" x14ac:dyDescent="0.25">
      <c r="E14043" s="4"/>
      <c r="F14043" s="4"/>
      <c r="G14043" s="33" t="str">
        <f>IFERROR(VLOOKUP($D14043,'Informations sur les produits'!$A$3:$H$10000,8,FALSE),"0")</f>
        <v>0</v>
      </c>
      <c r="K14043" s="4"/>
      <c r="L14043" s="33" t="str">
        <f>IFERROR(VLOOKUP($J14043,'Informations sur les produits'!$A$3:$H$10000,8,FALSE),"0")</f>
        <v>0</v>
      </c>
      <c r="N14043" s="8"/>
      <c r="O14043" s="33" t="str">
        <f>IFERROR(VLOOKUP($M14043,'Informations sur les produits'!$A$3:$H$10000,8,FALSE),"0")</f>
        <v>0</v>
      </c>
      <c r="P14043" s="33">
        <f t="shared" si="876"/>
        <v>0</v>
      </c>
      <c r="Q14043" s="31" t="str">
        <f t="shared" si="877"/>
        <v/>
      </c>
      <c r="R14043" s="32" t="str">
        <f>IFERROR(VLOOKUP($D14043,'Informations sur les produits'!$A$3:$B$15000,2,FALSE),"")</f>
        <v/>
      </c>
      <c r="V14043">
        <f t="shared" si="878"/>
        <v>0</v>
      </c>
      <c r="W14043">
        <f t="shared" si="879"/>
        <v>0</v>
      </c>
    </row>
    <row r="14044" spans="5:23" x14ac:dyDescent="0.25">
      <c r="E14044" s="4"/>
      <c r="F14044" s="4"/>
      <c r="G14044" s="33" t="str">
        <f>IFERROR(VLOOKUP($D14044,'Informations sur les produits'!$A$3:$H$10000,8,FALSE),"0")</f>
        <v>0</v>
      </c>
      <c r="K14044" s="4"/>
      <c r="L14044" s="33" t="str">
        <f>IFERROR(VLOOKUP($J14044,'Informations sur les produits'!$A$3:$H$10000,8,FALSE),"0")</f>
        <v>0</v>
      </c>
      <c r="N14044" s="8"/>
      <c r="O14044" s="33" t="str">
        <f>IFERROR(VLOOKUP($M14044,'Informations sur les produits'!$A$3:$H$10000,8,FALSE),"0")</f>
        <v>0</v>
      </c>
      <c r="P14044" s="33">
        <f t="shared" si="876"/>
        <v>0</v>
      </c>
      <c r="Q14044" s="31" t="str">
        <f t="shared" si="877"/>
        <v/>
      </c>
      <c r="R14044" s="32" t="str">
        <f>IFERROR(VLOOKUP($D14044,'Informations sur les produits'!$A$3:$B$15000,2,FALSE),"")</f>
        <v/>
      </c>
      <c r="V14044">
        <f t="shared" si="878"/>
        <v>0</v>
      </c>
      <c r="W14044">
        <f t="shared" si="879"/>
        <v>0</v>
      </c>
    </row>
    <row r="14045" spans="5:23" x14ac:dyDescent="0.25">
      <c r="E14045" s="4"/>
      <c r="F14045" s="4"/>
      <c r="G14045" s="33" t="str">
        <f>IFERROR(VLOOKUP($D14045,'Informations sur les produits'!$A$3:$H$10000,8,FALSE),"0")</f>
        <v>0</v>
      </c>
      <c r="K14045" s="4"/>
      <c r="L14045" s="33" t="str">
        <f>IFERROR(VLOOKUP($J14045,'Informations sur les produits'!$A$3:$H$10000,8,FALSE),"0")</f>
        <v>0</v>
      </c>
      <c r="N14045" s="8"/>
      <c r="O14045" s="33" t="str">
        <f>IFERROR(VLOOKUP($M14045,'Informations sur les produits'!$A$3:$H$10000,8,FALSE),"0")</f>
        <v>0</v>
      </c>
      <c r="P14045" s="33">
        <f t="shared" si="876"/>
        <v>0</v>
      </c>
      <c r="Q14045" s="31" t="str">
        <f t="shared" si="877"/>
        <v/>
      </c>
      <c r="R14045" s="32" t="str">
        <f>IFERROR(VLOOKUP($D14045,'Informations sur les produits'!$A$3:$B$15000,2,FALSE),"")</f>
        <v/>
      </c>
      <c r="V14045">
        <f t="shared" si="878"/>
        <v>0</v>
      </c>
      <c r="W14045">
        <f t="shared" si="879"/>
        <v>0</v>
      </c>
    </row>
    <row r="14046" spans="5:23" x14ac:dyDescent="0.25">
      <c r="E14046" s="4"/>
      <c r="F14046" s="4"/>
      <c r="G14046" s="33" t="str">
        <f>IFERROR(VLOOKUP($D14046,'Informations sur les produits'!$A$3:$H$10000,8,FALSE),"0")</f>
        <v>0</v>
      </c>
      <c r="K14046" s="4"/>
      <c r="L14046" s="33" t="str">
        <f>IFERROR(VLOOKUP($J14046,'Informations sur les produits'!$A$3:$H$10000,8,FALSE),"0")</f>
        <v>0</v>
      </c>
      <c r="N14046" s="8"/>
      <c r="O14046" s="33" t="str">
        <f>IFERROR(VLOOKUP($M14046,'Informations sur les produits'!$A$3:$H$10000,8,FALSE),"0")</f>
        <v>0</v>
      </c>
      <c r="P14046" s="33">
        <f t="shared" si="876"/>
        <v>0</v>
      </c>
      <c r="Q14046" s="31" t="str">
        <f t="shared" si="877"/>
        <v/>
      </c>
      <c r="R14046" s="32" t="str">
        <f>IFERROR(VLOOKUP($D14046,'Informations sur les produits'!$A$3:$B$15000,2,FALSE),"")</f>
        <v/>
      </c>
      <c r="V14046">
        <f t="shared" si="878"/>
        <v>0</v>
      </c>
      <c r="W14046">
        <f t="shared" si="879"/>
        <v>0</v>
      </c>
    </row>
    <row r="14047" spans="5:23" x14ac:dyDescent="0.25">
      <c r="E14047" s="4"/>
      <c r="F14047" s="4"/>
      <c r="G14047" s="33" t="str">
        <f>IFERROR(VLOOKUP($D14047,'Informations sur les produits'!$A$3:$H$10000,8,FALSE),"0")</f>
        <v>0</v>
      </c>
      <c r="K14047" s="4"/>
      <c r="L14047" s="33" t="str">
        <f>IFERROR(VLOOKUP($J14047,'Informations sur les produits'!$A$3:$H$10000,8,FALSE),"0")</f>
        <v>0</v>
      </c>
      <c r="N14047" s="8"/>
      <c r="O14047" s="33" t="str">
        <f>IFERROR(VLOOKUP($M14047,'Informations sur les produits'!$A$3:$H$10000,8,FALSE),"0")</f>
        <v>0</v>
      </c>
      <c r="P14047" s="33">
        <f t="shared" si="876"/>
        <v>0</v>
      </c>
      <c r="Q14047" s="31" t="str">
        <f t="shared" si="877"/>
        <v/>
      </c>
      <c r="R14047" s="32" t="str">
        <f>IFERROR(VLOOKUP($D14047,'Informations sur les produits'!$A$3:$B$15000,2,FALSE),"")</f>
        <v/>
      </c>
      <c r="V14047">
        <f t="shared" si="878"/>
        <v>0</v>
      </c>
      <c r="W14047">
        <f t="shared" si="879"/>
        <v>0</v>
      </c>
    </row>
    <row r="14048" spans="5:23" x14ac:dyDescent="0.25">
      <c r="E14048" s="4"/>
      <c r="F14048" s="4"/>
      <c r="G14048" s="33" t="str">
        <f>IFERROR(VLOOKUP($D14048,'Informations sur les produits'!$A$3:$H$10000,8,FALSE),"0")</f>
        <v>0</v>
      </c>
      <c r="K14048" s="4"/>
      <c r="L14048" s="33" t="str">
        <f>IFERROR(VLOOKUP($J14048,'Informations sur les produits'!$A$3:$H$10000,8,FALSE),"0")</f>
        <v>0</v>
      </c>
      <c r="N14048" s="8"/>
      <c r="O14048" s="33" t="str">
        <f>IFERROR(VLOOKUP($M14048,'Informations sur les produits'!$A$3:$H$10000,8,FALSE),"0")</f>
        <v>0</v>
      </c>
      <c r="P14048" s="33">
        <f t="shared" si="876"/>
        <v>0</v>
      </c>
      <c r="Q14048" s="31" t="str">
        <f t="shared" si="877"/>
        <v/>
      </c>
      <c r="R14048" s="32" t="str">
        <f>IFERROR(VLOOKUP($D14048,'Informations sur les produits'!$A$3:$B$15000,2,FALSE),"")</f>
        <v/>
      </c>
      <c r="V14048">
        <f t="shared" si="878"/>
        <v>0</v>
      </c>
      <c r="W14048">
        <f t="shared" si="879"/>
        <v>0</v>
      </c>
    </row>
    <row r="14049" spans="5:23" x14ac:dyDescent="0.25">
      <c r="E14049" s="4"/>
      <c r="F14049" s="4"/>
      <c r="G14049" s="33" t="str">
        <f>IFERROR(VLOOKUP($D14049,'Informations sur les produits'!$A$3:$H$10000,8,FALSE),"0")</f>
        <v>0</v>
      </c>
      <c r="K14049" s="4"/>
      <c r="L14049" s="33" t="str">
        <f>IFERROR(VLOOKUP($J14049,'Informations sur les produits'!$A$3:$H$10000,8,FALSE),"0")</f>
        <v>0</v>
      </c>
      <c r="N14049" s="8"/>
      <c r="O14049" s="33" t="str">
        <f>IFERROR(VLOOKUP($M14049,'Informations sur les produits'!$A$3:$H$10000,8,FALSE),"0")</f>
        <v>0</v>
      </c>
      <c r="P14049" s="33">
        <f t="shared" si="876"/>
        <v>0</v>
      </c>
      <c r="Q14049" s="31" t="str">
        <f t="shared" si="877"/>
        <v/>
      </c>
      <c r="R14049" s="32" t="str">
        <f>IFERROR(VLOOKUP($D14049,'Informations sur les produits'!$A$3:$B$15000,2,FALSE),"")</f>
        <v/>
      </c>
      <c r="V14049">
        <f t="shared" si="878"/>
        <v>0</v>
      </c>
      <c r="W14049">
        <f t="shared" si="879"/>
        <v>0</v>
      </c>
    </row>
    <row r="14050" spans="5:23" x14ac:dyDescent="0.25">
      <c r="E14050" s="4"/>
      <c r="F14050" s="4"/>
      <c r="G14050" s="33" t="str">
        <f>IFERROR(VLOOKUP($D14050,'Informations sur les produits'!$A$3:$H$10000,8,FALSE),"0")</f>
        <v>0</v>
      </c>
      <c r="K14050" s="4"/>
      <c r="L14050" s="33" t="str">
        <f>IFERROR(VLOOKUP($J14050,'Informations sur les produits'!$A$3:$H$10000,8,FALSE),"0")</f>
        <v>0</v>
      </c>
      <c r="N14050" s="8"/>
      <c r="O14050" s="33" t="str">
        <f>IFERROR(VLOOKUP($M14050,'Informations sur les produits'!$A$3:$H$10000,8,FALSE),"0")</f>
        <v>0</v>
      </c>
      <c r="P14050" s="33">
        <f t="shared" si="876"/>
        <v>0</v>
      </c>
      <c r="Q14050" s="31" t="str">
        <f t="shared" si="877"/>
        <v/>
      </c>
      <c r="R14050" s="32" t="str">
        <f>IFERROR(VLOOKUP($D14050,'Informations sur les produits'!$A$3:$B$15000,2,FALSE),"")</f>
        <v/>
      </c>
      <c r="V14050">
        <f t="shared" si="878"/>
        <v>0</v>
      </c>
      <c r="W14050">
        <f t="shared" si="879"/>
        <v>0</v>
      </c>
    </row>
    <row r="14051" spans="5:23" x14ac:dyDescent="0.25">
      <c r="E14051" s="4"/>
      <c r="F14051" s="4"/>
      <c r="G14051" s="33" t="str">
        <f>IFERROR(VLOOKUP($D14051,'Informations sur les produits'!$A$3:$H$10000,8,FALSE),"0")</f>
        <v>0</v>
      </c>
      <c r="K14051" s="4"/>
      <c r="L14051" s="33" t="str">
        <f>IFERROR(VLOOKUP($J14051,'Informations sur les produits'!$A$3:$H$10000,8,FALSE),"0")</f>
        <v>0</v>
      </c>
      <c r="N14051" s="8"/>
      <c r="O14051" s="33" t="str">
        <f>IFERROR(VLOOKUP($M14051,'Informations sur les produits'!$A$3:$H$10000,8,FALSE),"0")</f>
        <v>0</v>
      </c>
      <c r="P14051" s="33">
        <f t="shared" si="876"/>
        <v>0</v>
      </c>
      <c r="Q14051" s="31" t="str">
        <f t="shared" si="877"/>
        <v/>
      </c>
      <c r="R14051" s="32" t="str">
        <f>IFERROR(VLOOKUP($D14051,'Informations sur les produits'!$A$3:$B$15000,2,FALSE),"")</f>
        <v/>
      </c>
      <c r="V14051">
        <f t="shared" si="878"/>
        <v>0</v>
      </c>
      <c r="W14051">
        <f t="shared" si="879"/>
        <v>0</v>
      </c>
    </row>
    <row r="14052" spans="5:23" x14ac:dyDescent="0.25">
      <c r="E14052" s="4"/>
      <c r="F14052" s="4"/>
      <c r="G14052" s="33" t="str">
        <f>IFERROR(VLOOKUP($D14052,'Informations sur les produits'!$A$3:$H$10000,8,FALSE),"0")</f>
        <v>0</v>
      </c>
      <c r="K14052" s="4"/>
      <c r="L14052" s="33" t="str">
        <f>IFERROR(VLOOKUP($J14052,'Informations sur les produits'!$A$3:$H$10000,8,FALSE),"0")</f>
        <v>0</v>
      </c>
      <c r="N14052" s="8"/>
      <c r="O14052" s="33" t="str">
        <f>IFERROR(VLOOKUP($M14052,'Informations sur les produits'!$A$3:$H$10000,8,FALSE),"0")</f>
        <v>0</v>
      </c>
      <c r="P14052" s="33">
        <f t="shared" si="876"/>
        <v>0</v>
      </c>
      <c r="Q14052" s="31" t="str">
        <f t="shared" si="877"/>
        <v/>
      </c>
      <c r="R14052" s="32" t="str">
        <f>IFERROR(VLOOKUP($D14052,'Informations sur les produits'!$A$3:$B$15000,2,FALSE),"")</f>
        <v/>
      </c>
      <c r="V14052">
        <f t="shared" si="878"/>
        <v>0</v>
      </c>
      <c r="W14052">
        <f t="shared" si="879"/>
        <v>0</v>
      </c>
    </row>
    <row r="14053" spans="5:23" x14ac:dyDescent="0.25">
      <c r="E14053" s="4"/>
      <c r="F14053" s="4"/>
      <c r="G14053" s="33" t="str">
        <f>IFERROR(VLOOKUP($D14053,'Informations sur les produits'!$A$3:$H$10000,8,FALSE),"0")</f>
        <v>0</v>
      </c>
      <c r="K14053" s="4"/>
      <c r="L14053" s="33" t="str">
        <f>IFERROR(VLOOKUP($J14053,'Informations sur les produits'!$A$3:$H$10000,8,FALSE),"0")</f>
        <v>0</v>
      </c>
      <c r="N14053" s="8"/>
      <c r="O14053" s="33" t="str">
        <f>IFERROR(VLOOKUP($M14053,'Informations sur les produits'!$A$3:$H$10000,8,FALSE),"0")</f>
        <v>0</v>
      </c>
      <c r="P14053" s="33">
        <f t="shared" si="876"/>
        <v>0</v>
      </c>
      <c r="Q14053" s="31" t="str">
        <f t="shared" si="877"/>
        <v/>
      </c>
      <c r="R14053" s="32" t="str">
        <f>IFERROR(VLOOKUP($D14053,'Informations sur les produits'!$A$3:$B$15000,2,FALSE),"")</f>
        <v/>
      </c>
      <c r="V14053">
        <f t="shared" si="878"/>
        <v>0</v>
      </c>
      <c r="W14053">
        <f t="shared" si="879"/>
        <v>0</v>
      </c>
    </row>
    <row r="14054" spans="5:23" x14ac:dyDescent="0.25">
      <c r="E14054" s="4"/>
      <c r="F14054" s="4"/>
      <c r="G14054" s="33" t="str">
        <f>IFERROR(VLOOKUP($D14054,'Informations sur les produits'!$A$3:$H$10000,8,FALSE),"0")</f>
        <v>0</v>
      </c>
      <c r="K14054" s="4"/>
      <c r="L14054" s="33" t="str">
        <f>IFERROR(VLOOKUP($J14054,'Informations sur les produits'!$A$3:$H$10000,8,FALSE),"0")</f>
        <v>0</v>
      </c>
      <c r="N14054" s="8"/>
      <c r="O14054" s="33" t="str">
        <f>IFERROR(VLOOKUP($M14054,'Informations sur les produits'!$A$3:$H$10000,8,FALSE),"0")</f>
        <v>0</v>
      </c>
      <c r="P14054" s="33">
        <f t="shared" si="876"/>
        <v>0</v>
      </c>
      <c r="Q14054" s="31" t="str">
        <f t="shared" si="877"/>
        <v/>
      </c>
      <c r="R14054" s="32" t="str">
        <f>IFERROR(VLOOKUP($D14054,'Informations sur les produits'!$A$3:$B$15000,2,FALSE),"")</f>
        <v/>
      </c>
      <c r="V14054">
        <f t="shared" si="878"/>
        <v>0</v>
      </c>
      <c r="W14054">
        <f t="shared" si="879"/>
        <v>0</v>
      </c>
    </row>
    <row r="14055" spans="5:23" x14ac:dyDescent="0.25">
      <c r="E14055" s="4"/>
      <c r="F14055" s="4"/>
      <c r="G14055" s="33" t="str">
        <f>IFERROR(VLOOKUP($D14055,'Informations sur les produits'!$A$3:$H$10000,8,FALSE),"0")</f>
        <v>0</v>
      </c>
      <c r="K14055" s="4"/>
      <c r="L14055" s="33" t="str">
        <f>IFERROR(VLOOKUP($J14055,'Informations sur les produits'!$A$3:$H$10000,8,FALSE),"0")</f>
        <v>0</v>
      </c>
      <c r="N14055" s="8"/>
      <c r="O14055" s="33" t="str">
        <f>IFERROR(VLOOKUP($M14055,'Informations sur les produits'!$A$3:$H$10000,8,FALSE),"0")</f>
        <v>0</v>
      </c>
      <c r="P14055" s="33">
        <f t="shared" si="876"/>
        <v>0</v>
      </c>
      <c r="Q14055" s="31" t="str">
        <f t="shared" si="877"/>
        <v/>
      </c>
      <c r="R14055" s="32" t="str">
        <f>IFERROR(VLOOKUP($D14055,'Informations sur les produits'!$A$3:$B$15000,2,FALSE),"")</f>
        <v/>
      </c>
      <c r="V14055">
        <f t="shared" si="878"/>
        <v>0</v>
      </c>
      <c r="W14055">
        <f t="shared" si="879"/>
        <v>0</v>
      </c>
    </row>
    <row r="14056" spans="5:23" x14ac:dyDescent="0.25">
      <c r="E14056" s="4"/>
      <c r="F14056" s="4"/>
      <c r="G14056" s="33" t="str">
        <f>IFERROR(VLOOKUP($D14056,'Informations sur les produits'!$A$3:$H$10000,8,FALSE),"0")</f>
        <v>0</v>
      </c>
      <c r="K14056" s="4"/>
      <c r="L14056" s="33" t="str">
        <f>IFERROR(VLOOKUP($J14056,'Informations sur les produits'!$A$3:$H$10000,8,FALSE),"0")</f>
        <v>0</v>
      </c>
      <c r="N14056" s="8"/>
      <c r="O14056" s="33" t="str">
        <f>IFERROR(VLOOKUP($M14056,'Informations sur les produits'!$A$3:$H$10000,8,FALSE),"0")</f>
        <v>0</v>
      </c>
      <c r="P14056" s="33">
        <f t="shared" si="876"/>
        <v>0</v>
      </c>
      <c r="Q14056" s="31" t="str">
        <f t="shared" si="877"/>
        <v/>
      </c>
      <c r="R14056" s="32" t="str">
        <f>IFERROR(VLOOKUP($D14056,'Informations sur les produits'!$A$3:$B$15000,2,FALSE),"")</f>
        <v/>
      </c>
      <c r="V14056">
        <f t="shared" si="878"/>
        <v>0</v>
      </c>
      <c r="W14056">
        <f t="shared" si="879"/>
        <v>0</v>
      </c>
    </row>
    <row r="14057" spans="5:23" x14ac:dyDescent="0.25">
      <c r="E14057" s="4"/>
      <c r="F14057" s="4"/>
      <c r="G14057" s="33" t="str">
        <f>IFERROR(VLOOKUP($D14057,'Informations sur les produits'!$A$3:$H$10000,8,FALSE),"0")</f>
        <v>0</v>
      </c>
      <c r="K14057" s="4"/>
      <c r="L14057" s="33" t="str">
        <f>IFERROR(VLOOKUP($J14057,'Informations sur les produits'!$A$3:$H$10000,8,FALSE),"0")</f>
        <v>0</v>
      </c>
      <c r="N14057" s="8"/>
      <c r="O14057" s="33" t="str">
        <f>IFERROR(VLOOKUP($M14057,'Informations sur les produits'!$A$3:$H$10000,8,FALSE),"0")</f>
        <v>0</v>
      </c>
      <c r="P14057" s="33">
        <f t="shared" si="876"/>
        <v>0</v>
      </c>
      <c r="Q14057" s="31" t="str">
        <f t="shared" si="877"/>
        <v/>
      </c>
      <c r="R14057" s="32" t="str">
        <f>IFERROR(VLOOKUP($D14057,'Informations sur les produits'!$A$3:$B$15000,2,FALSE),"")</f>
        <v/>
      </c>
      <c r="V14057">
        <f t="shared" si="878"/>
        <v>0</v>
      </c>
      <c r="W14057">
        <f t="shared" si="879"/>
        <v>0</v>
      </c>
    </row>
    <row r="14058" spans="5:23" x14ac:dyDescent="0.25">
      <c r="E14058" s="4"/>
      <c r="F14058" s="4"/>
      <c r="G14058" s="33" t="str">
        <f>IFERROR(VLOOKUP($D14058,'Informations sur les produits'!$A$3:$H$10000,8,FALSE),"0")</f>
        <v>0</v>
      </c>
      <c r="K14058" s="4"/>
      <c r="L14058" s="33" t="str">
        <f>IFERROR(VLOOKUP($J14058,'Informations sur les produits'!$A$3:$H$10000,8,FALSE),"0")</f>
        <v>0</v>
      </c>
      <c r="N14058" s="8"/>
      <c r="O14058" s="33" t="str">
        <f>IFERROR(VLOOKUP($M14058,'Informations sur les produits'!$A$3:$H$10000,8,FALSE),"0")</f>
        <v>0</v>
      </c>
      <c r="P14058" s="33">
        <f t="shared" si="876"/>
        <v>0</v>
      </c>
      <c r="Q14058" s="31" t="str">
        <f t="shared" si="877"/>
        <v/>
      </c>
      <c r="R14058" s="32" t="str">
        <f>IFERROR(VLOOKUP($D14058,'Informations sur les produits'!$A$3:$B$15000,2,FALSE),"")</f>
        <v/>
      </c>
      <c r="V14058">
        <f t="shared" si="878"/>
        <v>0</v>
      </c>
      <c r="W14058">
        <f t="shared" si="879"/>
        <v>0</v>
      </c>
    </row>
    <row r="14059" spans="5:23" x14ac:dyDescent="0.25">
      <c r="E14059" s="4"/>
      <c r="F14059" s="4"/>
      <c r="G14059" s="33" t="str">
        <f>IFERROR(VLOOKUP($D14059,'Informations sur les produits'!$A$3:$H$10000,8,FALSE),"0")</f>
        <v>0</v>
      </c>
      <c r="K14059" s="4"/>
      <c r="L14059" s="33" t="str">
        <f>IFERROR(VLOOKUP($J14059,'Informations sur les produits'!$A$3:$H$10000,8,FALSE),"0")</f>
        <v>0</v>
      </c>
      <c r="N14059" s="8"/>
      <c r="O14059" s="33" t="str">
        <f>IFERROR(VLOOKUP($M14059,'Informations sur les produits'!$A$3:$H$10000,8,FALSE),"0")</f>
        <v>0</v>
      </c>
      <c r="P14059" s="33">
        <f t="shared" si="876"/>
        <v>0</v>
      </c>
      <c r="Q14059" s="31" t="str">
        <f t="shared" si="877"/>
        <v/>
      </c>
      <c r="R14059" s="32" t="str">
        <f>IFERROR(VLOOKUP($D14059,'Informations sur les produits'!$A$3:$B$15000,2,FALSE),"")</f>
        <v/>
      </c>
      <c r="V14059">
        <f t="shared" si="878"/>
        <v>0</v>
      </c>
      <c r="W14059">
        <f t="shared" si="879"/>
        <v>0</v>
      </c>
    </row>
    <row r="14060" spans="5:23" x14ac:dyDescent="0.25">
      <c r="E14060" s="4"/>
      <c r="F14060" s="4"/>
      <c r="G14060" s="33" t="str">
        <f>IFERROR(VLOOKUP($D14060,'Informations sur les produits'!$A$3:$H$10000,8,FALSE),"0")</f>
        <v>0</v>
      </c>
      <c r="K14060" s="4"/>
      <c r="L14060" s="33" t="str">
        <f>IFERROR(VLOOKUP($J14060,'Informations sur les produits'!$A$3:$H$10000,8,FALSE),"0")</f>
        <v>0</v>
      </c>
      <c r="N14060" s="8"/>
      <c r="O14060" s="33" t="str">
        <f>IFERROR(VLOOKUP($M14060,'Informations sur les produits'!$A$3:$H$10000,8,FALSE),"0")</f>
        <v>0</v>
      </c>
      <c r="P14060" s="33">
        <f t="shared" si="876"/>
        <v>0</v>
      </c>
      <c r="Q14060" s="31" t="str">
        <f t="shared" si="877"/>
        <v/>
      </c>
      <c r="R14060" s="32" t="str">
        <f>IFERROR(VLOOKUP($D14060,'Informations sur les produits'!$A$3:$B$15000,2,FALSE),"")</f>
        <v/>
      </c>
      <c r="V14060">
        <f t="shared" si="878"/>
        <v>0</v>
      </c>
      <c r="W14060">
        <f t="shared" si="879"/>
        <v>0</v>
      </c>
    </row>
    <row r="14061" spans="5:23" x14ac:dyDescent="0.25">
      <c r="E14061" s="4"/>
      <c r="F14061" s="4"/>
      <c r="G14061" s="33" t="str">
        <f>IFERROR(VLOOKUP($D14061,'Informations sur les produits'!$A$3:$H$10000,8,FALSE),"0")</f>
        <v>0</v>
      </c>
      <c r="K14061" s="4"/>
      <c r="L14061" s="33" t="str">
        <f>IFERROR(VLOOKUP($J14061,'Informations sur les produits'!$A$3:$H$10000,8,FALSE),"0")</f>
        <v>0</v>
      </c>
      <c r="N14061" s="8"/>
      <c r="O14061" s="33" t="str">
        <f>IFERROR(VLOOKUP($M14061,'Informations sur les produits'!$A$3:$H$10000,8,FALSE),"0")</f>
        <v>0</v>
      </c>
      <c r="P14061" s="33">
        <f t="shared" si="876"/>
        <v>0</v>
      </c>
      <c r="Q14061" s="31" t="str">
        <f t="shared" si="877"/>
        <v/>
      </c>
      <c r="R14061" s="32" t="str">
        <f>IFERROR(VLOOKUP($D14061,'Informations sur les produits'!$A$3:$B$15000,2,FALSE),"")</f>
        <v/>
      </c>
      <c r="V14061">
        <f t="shared" si="878"/>
        <v>0</v>
      </c>
      <c r="W14061">
        <f t="shared" si="879"/>
        <v>0</v>
      </c>
    </row>
    <row r="14062" spans="5:23" x14ac:dyDescent="0.25">
      <c r="E14062" s="4"/>
      <c r="F14062" s="4"/>
      <c r="G14062" s="33" t="str">
        <f>IFERROR(VLOOKUP($D14062,'Informations sur les produits'!$A$3:$H$10000,8,FALSE),"0")</f>
        <v>0</v>
      </c>
      <c r="K14062" s="4"/>
      <c r="L14062" s="33" t="str">
        <f>IFERROR(VLOOKUP($J14062,'Informations sur les produits'!$A$3:$H$10000,8,FALSE),"0")</f>
        <v>0</v>
      </c>
      <c r="N14062" s="8"/>
      <c r="O14062" s="33" t="str">
        <f>IFERROR(VLOOKUP($M14062,'Informations sur les produits'!$A$3:$H$10000,8,FALSE),"0")</f>
        <v>0</v>
      </c>
      <c r="P14062" s="33">
        <f t="shared" si="876"/>
        <v>0</v>
      </c>
      <c r="Q14062" s="31" t="str">
        <f t="shared" si="877"/>
        <v/>
      </c>
      <c r="R14062" s="32" t="str">
        <f>IFERROR(VLOOKUP($D14062,'Informations sur les produits'!$A$3:$B$15000,2,FALSE),"")</f>
        <v/>
      </c>
      <c r="V14062">
        <f t="shared" si="878"/>
        <v>0</v>
      </c>
      <c r="W14062">
        <f t="shared" si="879"/>
        <v>0</v>
      </c>
    </row>
    <row r="14063" spans="5:23" x14ac:dyDescent="0.25">
      <c r="E14063" s="4"/>
      <c r="F14063" s="4"/>
      <c r="G14063" s="33" t="str">
        <f>IFERROR(VLOOKUP($D14063,'Informations sur les produits'!$A$3:$H$10000,8,FALSE),"0")</f>
        <v>0</v>
      </c>
      <c r="K14063" s="4"/>
      <c r="L14063" s="33" t="str">
        <f>IFERROR(VLOOKUP($J14063,'Informations sur les produits'!$A$3:$H$10000,8,FALSE),"0")</f>
        <v>0</v>
      </c>
      <c r="N14063" s="8"/>
      <c r="O14063" s="33" t="str">
        <f>IFERROR(VLOOKUP($M14063,'Informations sur les produits'!$A$3:$H$10000,8,FALSE),"0")</f>
        <v>0</v>
      </c>
      <c r="P14063" s="33">
        <f t="shared" si="876"/>
        <v>0</v>
      </c>
      <c r="Q14063" s="31" t="str">
        <f t="shared" si="877"/>
        <v/>
      </c>
      <c r="R14063" s="32" t="str">
        <f>IFERROR(VLOOKUP($D14063,'Informations sur les produits'!$A$3:$B$15000,2,FALSE),"")</f>
        <v/>
      </c>
      <c r="V14063">
        <f t="shared" si="878"/>
        <v>0</v>
      </c>
      <c r="W14063">
        <f t="shared" si="879"/>
        <v>0</v>
      </c>
    </row>
    <row r="14064" spans="5:23" x14ac:dyDescent="0.25">
      <c r="E14064" s="4"/>
      <c r="F14064" s="4"/>
      <c r="G14064" s="33" t="str">
        <f>IFERROR(VLOOKUP($D14064,'Informations sur les produits'!$A$3:$H$10000,8,FALSE),"0")</f>
        <v>0</v>
      </c>
      <c r="K14064" s="4"/>
      <c r="L14064" s="33" t="str">
        <f>IFERROR(VLOOKUP($J14064,'Informations sur les produits'!$A$3:$H$10000,8,FALSE),"0")</f>
        <v>0</v>
      </c>
      <c r="N14064" s="8"/>
      <c r="O14064" s="33" t="str">
        <f>IFERROR(VLOOKUP($M14064,'Informations sur les produits'!$A$3:$H$10000,8,FALSE),"0")</f>
        <v>0</v>
      </c>
      <c r="P14064" s="33">
        <f t="shared" si="876"/>
        <v>0</v>
      </c>
      <c r="Q14064" s="31" t="str">
        <f t="shared" si="877"/>
        <v/>
      </c>
      <c r="R14064" s="32" t="str">
        <f>IFERROR(VLOOKUP($D14064,'Informations sur les produits'!$A$3:$B$15000,2,FALSE),"")</f>
        <v/>
      </c>
      <c r="V14064">
        <f t="shared" si="878"/>
        <v>0</v>
      </c>
      <c r="W14064">
        <f t="shared" si="879"/>
        <v>0</v>
      </c>
    </row>
    <row r="14065" spans="5:23" x14ac:dyDescent="0.25">
      <c r="E14065" s="4"/>
      <c r="F14065" s="4"/>
      <c r="G14065" s="33" t="str">
        <f>IFERROR(VLOOKUP($D14065,'Informations sur les produits'!$A$3:$H$10000,8,FALSE),"0")</f>
        <v>0</v>
      </c>
      <c r="K14065" s="4"/>
      <c r="L14065" s="33" t="str">
        <f>IFERROR(VLOOKUP($J14065,'Informations sur les produits'!$A$3:$H$10000,8,FALSE),"0")</f>
        <v>0</v>
      </c>
      <c r="N14065" s="8"/>
      <c r="O14065" s="33" t="str">
        <f>IFERROR(VLOOKUP($M14065,'Informations sur les produits'!$A$3:$H$10000,8,FALSE),"0")</f>
        <v>0</v>
      </c>
      <c r="P14065" s="33">
        <f t="shared" si="876"/>
        <v>0</v>
      </c>
      <c r="Q14065" s="31" t="str">
        <f t="shared" si="877"/>
        <v/>
      </c>
      <c r="R14065" s="32" t="str">
        <f>IFERROR(VLOOKUP($D14065,'Informations sur les produits'!$A$3:$B$15000,2,FALSE),"")</f>
        <v/>
      </c>
      <c r="V14065">
        <f t="shared" si="878"/>
        <v>0</v>
      </c>
      <c r="W14065">
        <f t="shared" si="879"/>
        <v>0</v>
      </c>
    </row>
    <row r="14066" spans="5:23" x14ac:dyDescent="0.25">
      <c r="E14066" s="4"/>
      <c r="F14066" s="4"/>
      <c r="G14066" s="33" t="str">
        <f>IFERROR(VLOOKUP($D14066,'Informations sur les produits'!$A$3:$H$10000,8,FALSE),"0")</f>
        <v>0</v>
      </c>
      <c r="K14066" s="4"/>
      <c r="L14066" s="33" t="str">
        <f>IFERROR(VLOOKUP($J14066,'Informations sur les produits'!$A$3:$H$10000,8,FALSE),"0")</f>
        <v>0</v>
      </c>
      <c r="N14066" s="8"/>
      <c r="O14066" s="33" t="str">
        <f>IFERROR(VLOOKUP($M14066,'Informations sur les produits'!$A$3:$H$10000,8,FALSE),"0")</f>
        <v>0</v>
      </c>
      <c r="P14066" s="33">
        <f t="shared" si="876"/>
        <v>0</v>
      </c>
      <c r="Q14066" s="31" t="str">
        <f t="shared" si="877"/>
        <v/>
      </c>
      <c r="R14066" s="32" t="str">
        <f>IFERROR(VLOOKUP($D14066,'Informations sur les produits'!$A$3:$B$15000,2,FALSE),"")</f>
        <v/>
      </c>
      <c r="V14066">
        <f t="shared" si="878"/>
        <v>0</v>
      </c>
      <c r="W14066">
        <f t="shared" si="879"/>
        <v>0</v>
      </c>
    </row>
    <row r="14067" spans="5:23" x14ac:dyDescent="0.25">
      <c r="E14067" s="4"/>
      <c r="F14067" s="4"/>
      <c r="G14067" s="33" t="str">
        <f>IFERROR(VLOOKUP($D14067,'Informations sur les produits'!$A$3:$H$10000,8,FALSE),"0")</f>
        <v>0</v>
      </c>
      <c r="K14067" s="4"/>
      <c r="L14067" s="33" t="str">
        <f>IFERROR(VLOOKUP($J14067,'Informations sur les produits'!$A$3:$H$10000,8,FALSE),"0")</f>
        <v>0</v>
      </c>
      <c r="N14067" s="8"/>
      <c r="O14067" s="33" t="str">
        <f>IFERROR(VLOOKUP($M14067,'Informations sur les produits'!$A$3:$H$10000,8,FALSE),"0")</f>
        <v>0</v>
      </c>
      <c r="P14067" s="33">
        <f t="shared" si="876"/>
        <v>0</v>
      </c>
      <c r="Q14067" s="31" t="str">
        <f t="shared" si="877"/>
        <v/>
      </c>
      <c r="R14067" s="32" t="str">
        <f>IFERROR(VLOOKUP($D14067,'Informations sur les produits'!$A$3:$B$15000,2,FALSE),"")</f>
        <v/>
      </c>
      <c r="V14067">
        <f t="shared" si="878"/>
        <v>0</v>
      </c>
      <c r="W14067">
        <f t="shared" si="879"/>
        <v>0</v>
      </c>
    </row>
    <row r="14068" spans="5:23" x14ac:dyDescent="0.25">
      <c r="E14068" s="4"/>
      <c r="F14068" s="4"/>
      <c r="G14068" s="33" t="str">
        <f>IFERROR(VLOOKUP($D14068,'Informations sur les produits'!$A$3:$H$10000,8,FALSE),"0")</f>
        <v>0</v>
      </c>
      <c r="K14068" s="4"/>
      <c r="L14068" s="33" t="str">
        <f>IFERROR(VLOOKUP($J14068,'Informations sur les produits'!$A$3:$H$10000,8,FALSE),"0")</f>
        <v>0</v>
      </c>
      <c r="N14068" s="8"/>
      <c r="O14068" s="33" t="str">
        <f>IFERROR(VLOOKUP($M14068,'Informations sur les produits'!$A$3:$H$10000,8,FALSE),"0")</f>
        <v>0</v>
      </c>
      <c r="P14068" s="33">
        <f t="shared" si="876"/>
        <v>0</v>
      </c>
      <c r="Q14068" s="31" t="str">
        <f t="shared" si="877"/>
        <v/>
      </c>
      <c r="R14068" s="32" t="str">
        <f>IFERROR(VLOOKUP($D14068,'Informations sur les produits'!$A$3:$B$15000,2,FALSE),"")</f>
        <v/>
      </c>
      <c r="V14068">
        <f t="shared" si="878"/>
        <v>0</v>
      </c>
      <c r="W14068">
        <f t="shared" si="879"/>
        <v>0</v>
      </c>
    </row>
    <row r="14069" spans="5:23" x14ac:dyDescent="0.25">
      <c r="E14069" s="4"/>
      <c r="F14069" s="4"/>
      <c r="G14069" s="33" t="str">
        <f>IFERROR(VLOOKUP($D14069,'Informations sur les produits'!$A$3:$H$10000,8,FALSE),"0")</f>
        <v>0</v>
      </c>
      <c r="K14069" s="4"/>
      <c r="L14069" s="33" t="str">
        <f>IFERROR(VLOOKUP($J14069,'Informations sur les produits'!$A$3:$H$10000,8,FALSE),"0")</f>
        <v>0</v>
      </c>
      <c r="N14069" s="8"/>
      <c r="O14069" s="33" t="str">
        <f>IFERROR(VLOOKUP($M14069,'Informations sur les produits'!$A$3:$H$10000,8,FALSE),"0")</f>
        <v>0</v>
      </c>
      <c r="P14069" s="33">
        <f t="shared" si="876"/>
        <v>0</v>
      </c>
      <c r="Q14069" s="31" t="str">
        <f t="shared" si="877"/>
        <v/>
      </c>
      <c r="R14069" s="32" t="str">
        <f>IFERROR(VLOOKUP($D14069,'Informations sur les produits'!$A$3:$B$15000,2,FALSE),"")</f>
        <v/>
      </c>
      <c r="V14069">
        <f t="shared" si="878"/>
        <v>0</v>
      </c>
      <c r="W14069">
        <f t="shared" si="879"/>
        <v>0</v>
      </c>
    </row>
    <row r="14070" spans="5:23" x14ac:dyDescent="0.25">
      <c r="E14070" s="4"/>
      <c r="F14070" s="4"/>
      <c r="G14070" s="33" t="str">
        <f>IFERROR(VLOOKUP($D14070,'Informations sur les produits'!$A$3:$H$10000,8,FALSE),"0")</f>
        <v>0</v>
      </c>
      <c r="K14070" s="4"/>
      <c r="L14070" s="33" t="str">
        <f>IFERROR(VLOOKUP($J14070,'Informations sur les produits'!$A$3:$H$10000,8,FALSE),"0")</f>
        <v>0</v>
      </c>
      <c r="N14070" s="8"/>
      <c r="O14070" s="33" t="str">
        <f>IFERROR(VLOOKUP($M14070,'Informations sur les produits'!$A$3:$H$10000,8,FALSE),"0")</f>
        <v>0</v>
      </c>
      <c r="P14070" s="33">
        <f t="shared" si="876"/>
        <v>0</v>
      </c>
      <c r="Q14070" s="31" t="str">
        <f t="shared" si="877"/>
        <v/>
      </c>
      <c r="R14070" s="32" t="str">
        <f>IFERROR(VLOOKUP($D14070,'Informations sur les produits'!$A$3:$B$15000,2,FALSE),"")</f>
        <v/>
      </c>
      <c r="V14070">
        <f t="shared" si="878"/>
        <v>0</v>
      </c>
      <c r="W14070">
        <f t="shared" si="879"/>
        <v>0</v>
      </c>
    </row>
    <row r="14071" spans="5:23" x14ac:dyDescent="0.25">
      <c r="E14071" s="4"/>
      <c r="F14071" s="4"/>
      <c r="G14071" s="33" t="str">
        <f>IFERROR(VLOOKUP($D14071,'Informations sur les produits'!$A$3:$H$10000,8,FALSE),"0")</f>
        <v>0</v>
      </c>
      <c r="K14071" s="4"/>
      <c r="L14071" s="33" t="str">
        <f>IFERROR(VLOOKUP($J14071,'Informations sur les produits'!$A$3:$H$10000,8,FALSE),"0")</f>
        <v>0</v>
      </c>
      <c r="N14071" s="8"/>
      <c r="O14071" s="33" t="str">
        <f>IFERROR(VLOOKUP($M14071,'Informations sur les produits'!$A$3:$H$10000,8,FALSE),"0")</f>
        <v>0</v>
      </c>
      <c r="P14071" s="33">
        <f t="shared" si="876"/>
        <v>0</v>
      </c>
      <c r="Q14071" s="31" t="str">
        <f t="shared" si="877"/>
        <v/>
      </c>
      <c r="R14071" s="32" t="str">
        <f>IFERROR(VLOOKUP($D14071,'Informations sur les produits'!$A$3:$B$15000,2,FALSE),"")</f>
        <v/>
      </c>
      <c r="V14071">
        <f t="shared" si="878"/>
        <v>0</v>
      </c>
      <c r="W14071">
        <f t="shared" si="879"/>
        <v>0</v>
      </c>
    </row>
    <row r="14072" spans="5:23" x14ac:dyDescent="0.25">
      <c r="E14072" s="4"/>
      <c r="F14072" s="4"/>
      <c r="G14072" s="33" t="str">
        <f>IFERROR(VLOOKUP($D14072,'Informations sur les produits'!$A$3:$H$10000,8,FALSE),"0")</f>
        <v>0</v>
      </c>
      <c r="K14072" s="4"/>
      <c r="L14072" s="33" t="str">
        <f>IFERROR(VLOOKUP($J14072,'Informations sur les produits'!$A$3:$H$10000,8,FALSE),"0")</f>
        <v>0</v>
      </c>
      <c r="N14072" s="8"/>
      <c r="O14072" s="33" t="str">
        <f>IFERROR(VLOOKUP($M14072,'Informations sur les produits'!$A$3:$H$10000,8,FALSE),"0")</f>
        <v>0</v>
      </c>
      <c r="P14072" s="33">
        <f t="shared" si="876"/>
        <v>0</v>
      </c>
      <c r="Q14072" s="31" t="str">
        <f t="shared" si="877"/>
        <v/>
      </c>
      <c r="R14072" s="32" t="str">
        <f>IFERROR(VLOOKUP($D14072,'Informations sur les produits'!$A$3:$B$15000,2,FALSE),"")</f>
        <v/>
      </c>
      <c r="V14072">
        <f t="shared" si="878"/>
        <v>0</v>
      </c>
      <c r="W14072">
        <f t="shared" si="879"/>
        <v>0</v>
      </c>
    </row>
    <row r="14073" spans="5:23" x14ac:dyDescent="0.25">
      <c r="E14073" s="4"/>
      <c r="F14073" s="4"/>
      <c r="G14073" s="33" t="str">
        <f>IFERROR(VLOOKUP($D14073,'Informations sur les produits'!$A$3:$H$10000,8,FALSE),"0")</f>
        <v>0</v>
      </c>
      <c r="K14073" s="4"/>
      <c r="L14073" s="33" t="str">
        <f>IFERROR(VLOOKUP($J14073,'Informations sur les produits'!$A$3:$H$10000,8,FALSE),"0")</f>
        <v>0</v>
      </c>
      <c r="N14073" s="8"/>
      <c r="O14073" s="33" t="str">
        <f>IFERROR(VLOOKUP($M14073,'Informations sur les produits'!$A$3:$H$10000,8,FALSE),"0")</f>
        <v>0</v>
      </c>
      <c r="P14073" s="33">
        <f t="shared" si="876"/>
        <v>0</v>
      </c>
      <c r="Q14073" s="31" t="str">
        <f t="shared" si="877"/>
        <v/>
      </c>
      <c r="R14073" s="32" t="str">
        <f>IFERROR(VLOOKUP($D14073,'Informations sur les produits'!$A$3:$B$15000,2,FALSE),"")</f>
        <v/>
      </c>
      <c r="V14073">
        <f t="shared" si="878"/>
        <v>0</v>
      </c>
      <c r="W14073">
        <f t="shared" si="879"/>
        <v>0</v>
      </c>
    </row>
    <row r="14074" spans="5:23" x14ac:dyDescent="0.25">
      <c r="E14074" s="4"/>
      <c r="F14074" s="4"/>
      <c r="G14074" s="33" t="str">
        <f>IFERROR(VLOOKUP($D14074,'Informations sur les produits'!$A$3:$H$10000,8,FALSE),"0")</f>
        <v>0</v>
      </c>
      <c r="K14074" s="4"/>
      <c r="L14074" s="33" t="str">
        <f>IFERROR(VLOOKUP($J14074,'Informations sur les produits'!$A$3:$H$10000,8,FALSE),"0")</f>
        <v>0</v>
      </c>
      <c r="N14074" s="8"/>
      <c r="O14074" s="33" t="str">
        <f>IFERROR(VLOOKUP($M14074,'Informations sur les produits'!$A$3:$H$10000,8,FALSE),"0")</f>
        <v>0</v>
      </c>
      <c r="P14074" s="33">
        <f t="shared" si="876"/>
        <v>0</v>
      </c>
      <c r="Q14074" s="31" t="str">
        <f t="shared" si="877"/>
        <v/>
      </c>
      <c r="R14074" s="32" t="str">
        <f>IFERROR(VLOOKUP($D14074,'Informations sur les produits'!$A$3:$B$15000,2,FALSE),"")</f>
        <v/>
      </c>
      <c r="V14074">
        <f t="shared" si="878"/>
        <v>0</v>
      </c>
      <c r="W14074">
        <f t="shared" si="879"/>
        <v>0</v>
      </c>
    </row>
    <row r="14075" spans="5:23" x14ac:dyDescent="0.25">
      <c r="E14075" s="4"/>
      <c r="F14075" s="4"/>
      <c r="G14075" s="33" t="str">
        <f>IFERROR(VLOOKUP($D14075,'Informations sur les produits'!$A$3:$H$10000,8,FALSE),"0")</f>
        <v>0</v>
      </c>
      <c r="K14075" s="4"/>
      <c r="L14075" s="33" t="str">
        <f>IFERROR(VLOOKUP($J14075,'Informations sur les produits'!$A$3:$H$10000,8,FALSE),"0")</f>
        <v>0</v>
      </c>
      <c r="N14075" s="8"/>
      <c r="O14075" s="33" t="str">
        <f>IFERROR(VLOOKUP($M14075,'Informations sur les produits'!$A$3:$H$10000,8,FALSE),"0")</f>
        <v>0</v>
      </c>
      <c r="P14075" s="33">
        <f t="shared" si="876"/>
        <v>0</v>
      </c>
      <c r="Q14075" s="31" t="str">
        <f t="shared" si="877"/>
        <v/>
      </c>
      <c r="R14075" s="32" t="str">
        <f>IFERROR(VLOOKUP($D14075,'Informations sur les produits'!$A$3:$B$15000,2,FALSE),"")</f>
        <v/>
      </c>
      <c r="V14075">
        <f t="shared" si="878"/>
        <v>0</v>
      </c>
      <c r="W14075">
        <f t="shared" si="879"/>
        <v>0</v>
      </c>
    </row>
    <row r="14076" spans="5:23" x14ac:dyDescent="0.25">
      <c r="E14076" s="4"/>
      <c r="F14076" s="4"/>
      <c r="G14076" s="33" t="str">
        <f>IFERROR(VLOOKUP($D14076,'Informations sur les produits'!$A$3:$H$10000,8,FALSE),"0")</f>
        <v>0</v>
      </c>
      <c r="K14076" s="4"/>
      <c r="L14076" s="33" t="str">
        <f>IFERROR(VLOOKUP($J14076,'Informations sur les produits'!$A$3:$H$10000,8,FALSE),"0")</f>
        <v>0</v>
      </c>
      <c r="N14076" s="8"/>
      <c r="O14076" s="33" t="str">
        <f>IFERROR(VLOOKUP($M14076,'Informations sur les produits'!$A$3:$H$10000,8,FALSE),"0")</f>
        <v>0</v>
      </c>
      <c r="P14076" s="33">
        <f t="shared" si="876"/>
        <v>0</v>
      </c>
      <c r="Q14076" s="31" t="str">
        <f t="shared" si="877"/>
        <v/>
      </c>
      <c r="R14076" s="32" t="str">
        <f>IFERROR(VLOOKUP($D14076,'Informations sur les produits'!$A$3:$B$15000,2,FALSE),"")</f>
        <v/>
      </c>
      <c r="V14076">
        <f t="shared" si="878"/>
        <v>0</v>
      </c>
      <c r="W14076">
        <f t="shared" si="879"/>
        <v>0</v>
      </c>
    </row>
    <row r="14077" spans="5:23" x14ac:dyDescent="0.25">
      <c r="E14077" s="4"/>
      <c r="F14077" s="4"/>
      <c r="G14077" s="33" t="str">
        <f>IFERROR(VLOOKUP($D14077,'Informations sur les produits'!$A$3:$H$10000,8,FALSE),"0")</f>
        <v>0</v>
      </c>
      <c r="K14077" s="4"/>
      <c r="L14077" s="33" t="str">
        <f>IFERROR(VLOOKUP($J14077,'Informations sur les produits'!$A$3:$H$10000,8,FALSE),"0")</f>
        <v>0</v>
      </c>
      <c r="N14077" s="8"/>
      <c r="O14077" s="33" t="str">
        <f>IFERROR(VLOOKUP($M14077,'Informations sur les produits'!$A$3:$H$10000,8,FALSE),"0")</f>
        <v>0</v>
      </c>
      <c r="P14077" s="33">
        <f t="shared" si="876"/>
        <v>0</v>
      </c>
      <c r="Q14077" s="31" t="str">
        <f t="shared" si="877"/>
        <v/>
      </c>
      <c r="R14077" s="32" t="str">
        <f>IFERROR(VLOOKUP($D14077,'Informations sur les produits'!$A$3:$B$15000,2,FALSE),"")</f>
        <v/>
      </c>
      <c r="V14077">
        <f t="shared" si="878"/>
        <v>0</v>
      </c>
      <c r="W14077">
        <f t="shared" si="879"/>
        <v>0</v>
      </c>
    </row>
    <row r="14078" spans="5:23" x14ac:dyDescent="0.25">
      <c r="E14078" s="4"/>
      <c r="F14078" s="4"/>
      <c r="G14078" s="33" t="str">
        <f>IFERROR(VLOOKUP($D14078,'Informations sur les produits'!$A$3:$H$10000,8,FALSE),"0")</f>
        <v>0</v>
      </c>
      <c r="K14078" s="4"/>
      <c r="L14078" s="33" t="str">
        <f>IFERROR(VLOOKUP($J14078,'Informations sur les produits'!$A$3:$H$10000,8,FALSE),"0")</f>
        <v>0</v>
      </c>
      <c r="N14078" s="8"/>
      <c r="O14078" s="33" t="str">
        <f>IFERROR(VLOOKUP($M14078,'Informations sur les produits'!$A$3:$H$10000,8,FALSE),"0")</f>
        <v>0</v>
      </c>
      <c r="P14078" s="33">
        <f t="shared" si="876"/>
        <v>0</v>
      </c>
      <c r="Q14078" s="31" t="str">
        <f t="shared" si="877"/>
        <v/>
      </c>
      <c r="R14078" s="32" t="str">
        <f>IFERROR(VLOOKUP($D14078,'Informations sur les produits'!$A$3:$B$15000,2,FALSE),"")</f>
        <v/>
      </c>
      <c r="V14078">
        <f t="shared" si="878"/>
        <v>0</v>
      </c>
      <c r="W14078">
        <f t="shared" si="879"/>
        <v>0</v>
      </c>
    </row>
    <row r="14079" spans="5:23" x14ac:dyDescent="0.25">
      <c r="E14079" s="4"/>
      <c r="F14079" s="4"/>
      <c r="G14079" s="33" t="str">
        <f>IFERROR(VLOOKUP($D14079,'Informations sur les produits'!$A$3:$H$10000,8,FALSE),"0")</f>
        <v>0</v>
      </c>
      <c r="K14079" s="4"/>
      <c r="L14079" s="33" t="str">
        <f>IFERROR(VLOOKUP($J14079,'Informations sur les produits'!$A$3:$H$10000,8,FALSE),"0")</f>
        <v>0</v>
      </c>
      <c r="N14079" s="8"/>
      <c r="O14079" s="33" t="str">
        <f>IFERROR(VLOOKUP($M14079,'Informations sur les produits'!$A$3:$H$10000,8,FALSE),"0")</f>
        <v>0</v>
      </c>
      <c r="P14079" s="33">
        <f t="shared" si="876"/>
        <v>0</v>
      </c>
      <c r="Q14079" s="31" t="str">
        <f t="shared" si="877"/>
        <v/>
      </c>
      <c r="R14079" s="32" t="str">
        <f>IFERROR(VLOOKUP($D14079,'Informations sur les produits'!$A$3:$B$15000,2,FALSE),"")</f>
        <v/>
      </c>
      <c r="V14079">
        <f t="shared" si="878"/>
        <v>0</v>
      </c>
      <c r="W14079">
        <f t="shared" si="879"/>
        <v>0</v>
      </c>
    </row>
    <row r="14080" spans="5:23" x14ac:dyDescent="0.25">
      <c r="E14080" s="4"/>
      <c r="F14080" s="4"/>
      <c r="G14080" s="33" t="str">
        <f>IFERROR(VLOOKUP($D14080,'Informations sur les produits'!$A$3:$H$10000,8,FALSE),"0")</f>
        <v>0</v>
      </c>
      <c r="K14080" s="4"/>
      <c r="L14080" s="33" t="str">
        <f>IFERROR(VLOOKUP($J14080,'Informations sur les produits'!$A$3:$H$10000,8,FALSE),"0")</f>
        <v>0</v>
      </c>
      <c r="N14080" s="8"/>
      <c r="O14080" s="33" t="str">
        <f>IFERROR(VLOOKUP($M14080,'Informations sur les produits'!$A$3:$H$10000,8,FALSE),"0")</f>
        <v>0</v>
      </c>
      <c r="P14080" s="33">
        <f t="shared" si="876"/>
        <v>0</v>
      </c>
      <c r="Q14080" s="31" t="str">
        <f t="shared" si="877"/>
        <v/>
      </c>
      <c r="R14080" s="32" t="str">
        <f>IFERROR(VLOOKUP($D14080,'Informations sur les produits'!$A$3:$B$15000,2,FALSE),"")</f>
        <v/>
      </c>
      <c r="V14080">
        <f t="shared" si="878"/>
        <v>0</v>
      </c>
      <c r="W14080">
        <f t="shared" si="879"/>
        <v>0</v>
      </c>
    </row>
    <row r="14081" spans="5:23" x14ac:dyDescent="0.25">
      <c r="E14081" s="4"/>
      <c r="F14081" s="4"/>
      <c r="G14081" s="33" t="str">
        <f>IFERROR(VLOOKUP($D14081,'Informations sur les produits'!$A$3:$H$10000,8,FALSE),"0")</f>
        <v>0</v>
      </c>
      <c r="K14081" s="4"/>
      <c r="L14081" s="33" t="str">
        <f>IFERROR(VLOOKUP($J14081,'Informations sur les produits'!$A$3:$H$10000,8,FALSE),"0")</f>
        <v>0</v>
      </c>
      <c r="N14081" s="8"/>
      <c r="O14081" s="33" t="str">
        <f>IFERROR(VLOOKUP($M14081,'Informations sur les produits'!$A$3:$H$10000,8,FALSE),"0")</f>
        <v>0</v>
      </c>
      <c r="P14081" s="33">
        <f t="shared" si="876"/>
        <v>0</v>
      </c>
      <c r="Q14081" s="31" t="str">
        <f t="shared" si="877"/>
        <v/>
      </c>
      <c r="R14081" s="32" t="str">
        <f>IFERROR(VLOOKUP($D14081,'Informations sur les produits'!$A$3:$B$15000,2,FALSE),"")</f>
        <v/>
      </c>
      <c r="V14081">
        <f t="shared" si="878"/>
        <v>0</v>
      </c>
      <c r="W14081">
        <f t="shared" si="879"/>
        <v>0</v>
      </c>
    </row>
    <row r="14082" spans="5:23" x14ac:dyDescent="0.25">
      <c r="E14082" s="4"/>
      <c r="F14082" s="4"/>
      <c r="G14082" s="33" t="str">
        <f>IFERROR(VLOOKUP($D14082,'Informations sur les produits'!$A$3:$H$10000,8,FALSE),"0")</f>
        <v>0</v>
      </c>
      <c r="K14082" s="4"/>
      <c r="L14082" s="33" t="str">
        <f>IFERROR(VLOOKUP($J14082,'Informations sur les produits'!$A$3:$H$10000,8,FALSE),"0")</f>
        <v>0</v>
      </c>
      <c r="N14082" s="8"/>
      <c r="O14082" s="33" t="str">
        <f>IFERROR(VLOOKUP($M14082,'Informations sur les produits'!$A$3:$H$10000,8,FALSE),"0")</f>
        <v>0</v>
      </c>
      <c r="P14082" s="33">
        <f t="shared" si="876"/>
        <v>0</v>
      </c>
      <c r="Q14082" s="31" t="str">
        <f t="shared" si="877"/>
        <v/>
      </c>
      <c r="R14082" s="32" t="str">
        <f>IFERROR(VLOOKUP($D14082,'Informations sur les produits'!$A$3:$B$15000,2,FALSE),"")</f>
        <v/>
      </c>
      <c r="V14082">
        <f t="shared" si="878"/>
        <v>0</v>
      </c>
      <c r="W14082">
        <f t="shared" si="879"/>
        <v>0</v>
      </c>
    </row>
    <row r="14083" spans="5:23" x14ac:dyDescent="0.25">
      <c r="E14083" s="4"/>
      <c r="F14083" s="4"/>
      <c r="G14083" s="33" t="str">
        <f>IFERROR(VLOOKUP($D14083,'Informations sur les produits'!$A$3:$H$10000,8,FALSE),"0")</f>
        <v>0</v>
      </c>
      <c r="K14083" s="4"/>
      <c r="L14083" s="33" t="str">
        <f>IFERROR(VLOOKUP($J14083,'Informations sur les produits'!$A$3:$H$10000,8,FALSE),"0")</f>
        <v>0</v>
      </c>
      <c r="N14083" s="8"/>
      <c r="O14083" s="33" t="str">
        <f>IFERROR(VLOOKUP($M14083,'Informations sur les produits'!$A$3:$H$10000,8,FALSE),"0")</f>
        <v>0</v>
      </c>
      <c r="P14083" s="33">
        <f t="shared" si="876"/>
        <v>0</v>
      </c>
      <c r="Q14083" s="31" t="str">
        <f t="shared" si="877"/>
        <v/>
      </c>
      <c r="R14083" s="32" t="str">
        <f>IFERROR(VLOOKUP($D14083,'Informations sur les produits'!$A$3:$B$15000,2,FALSE),"")</f>
        <v/>
      </c>
      <c r="V14083">
        <f t="shared" si="878"/>
        <v>0</v>
      </c>
      <c r="W14083">
        <f t="shared" si="879"/>
        <v>0</v>
      </c>
    </row>
    <row r="14084" spans="5:23" x14ac:dyDescent="0.25">
      <c r="E14084" s="4"/>
      <c r="F14084" s="4"/>
      <c r="G14084" s="33" t="str">
        <f>IFERROR(VLOOKUP($D14084,'Informations sur les produits'!$A$3:$H$10000,8,FALSE),"0")</f>
        <v>0</v>
      </c>
      <c r="K14084" s="4"/>
      <c r="L14084" s="33" t="str">
        <f>IFERROR(VLOOKUP($J14084,'Informations sur les produits'!$A$3:$H$10000,8,FALSE),"0")</f>
        <v>0</v>
      </c>
      <c r="N14084" s="8"/>
      <c r="O14084" s="33" t="str">
        <f>IFERROR(VLOOKUP($M14084,'Informations sur les produits'!$A$3:$H$10000,8,FALSE),"0")</f>
        <v>0</v>
      </c>
      <c r="P14084" s="33">
        <f t="shared" ref="P14084:P14147" si="880">IFERROR((($E14084-$F14084)*$G14084+$K14084*$L14084+$N14084*$O14084),"")</f>
        <v>0</v>
      </c>
      <c r="Q14084" s="31" t="str">
        <f t="shared" ref="Q14084:Q14147" si="881">IFERROR((((($E14084-$F14084)*$G14084+$K14084*$L14084+$N14084*$O14084)*1000)/(($E14084-$F14084)+$K14084+$N14084)),"")</f>
        <v/>
      </c>
      <c r="R14084" s="32" t="str">
        <f>IFERROR(VLOOKUP($D14084,'Informations sur les produits'!$A$3:$B$15000,2,FALSE),"")</f>
        <v/>
      </c>
      <c r="V14084">
        <f t="shared" ref="V14084:V14147" si="882">IFERROR(P14084*1000,"")</f>
        <v>0</v>
      </c>
      <c r="W14084">
        <f t="shared" ref="W14084:W14147" si="883">IFERROR(($E14084-$F14084)+$K14084+$N14084,"")</f>
        <v>0</v>
      </c>
    </row>
    <row r="14085" spans="5:23" x14ac:dyDescent="0.25">
      <c r="E14085" s="4"/>
      <c r="F14085" s="4"/>
      <c r="G14085" s="33" t="str">
        <f>IFERROR(VLOOKUP($D14085,'Informations sur les produits'!$A$3:$H$10000,8,FALSE),"0")</f>
        <v>0</v>
      </c>
      <c r="K14085" s="4"/>
      <c r="L14085" s="33" t="str">
        <f>IFERROR(VLOOKUP($J14085,'Informations sur les produits'!$A$3:$H$10000,8,FALSE),"0")</f>
        <v>0</v>
      </c>
      <c r="N14085" s="8"/>
      <c r="O14085" s="33" t="str">
        <f>IFERROR(VLOOKUP($M14085,'Informations sur les produits'!$A$3:$H$10000,8,FALSE),"0")</f>
        <v>0</v>
      </c>
      <c r="P14085" s="33">
        <f t="shared" si="880"/>
        <v>0</v>
      </c>
      <c r="Q14085" s="31" t="str">
        <f t="shared" si="881"/>
        <v/>
      </c>
      <c r="R14085" s="32" t="str">
        <f>IFERROR(VLOOKUP($D14085,'Informations sur les produits'!$A$3:$B$15000,2,FALSE),"")</f>
        <v/>
      </c>
      <c r="V14085">
        <f t="shared" si="882"/>
        <v>0</v>
      </c>
      <c r="W14085">
        <f t="shared" si="883"/>
        <v>0</v>
      </c>
    </row>
    <row r="14086" spans="5:23" x14ac:dyDescent="0.25">
      <c r="E14086" s="4"/>
      <c r="F14086" s="4"/>
      <c r="G14086" s="33" t="str">
        <f>IFERROR(VLOOKUP($D14086,'Informations sur les produits'!$A$3:$H$10000,8,FALSE),"0")</f>
        <v>0</v>
      </c>
      <c r="K14086" s="4"/>
      <c r="L14086" s="33" t="str">
        <f>IFERROR(VLOOKUP($J14086,'Informations sur les produits'!$A$3:$H$10000,8,FALSE),"0")</f>
        <v>0</v>
      </c>
      <c r="N14086" s="8"/>
      <c r="O14086" s="33" t="str">
        <f>IFERROR(VLOOKUP($M14086,'Informations sur les produits'!$A$3:$H$10000,8,FALSE),"0")</f>
        <v>0</v>
      </c>
      <c r="P14086" s="33">
        <f t="shared" si="880"/>
        <v>0</v>
      </c>
      <c r="Q14086" s="31" t="str">
        <f t="shared" si="881"/>
        <v/>
      </c>
      <c r="R14086" s="32" t="str">
        <f>IFERROR(VLOOKUP($D14086,'Informations sur les produits'!$A$3:$B$15000,2,FALSE),"")</f>
        <v/>
      </c>
      <c r="V14086">
        <f t="shared" si="882"/>
        <v>0</v>
      </c>
      <c r="W14086">
        <f t="shared" si="883"/>
        <v>0</v>
      </c>
    </row>
    <row r="14087" spans="5:23" x14ac:dyDescent="0.25">
      <c r="E14087" s="4"/>
      <c r="F14087" s="4"/>
      <c r="G14087" s="33" t="str">
        <f>IFERROR(VLOOKUP($D14087,'Informations sur les produits'!$A$3:$H$10000,8,FALSE),"0")</f>
        <v>0</v>
      </c>
      <c r="K14087" s="4"/>
      <c r="L14087" s="33" t="str">
        <f>IFERROR(VLOOKUP($J14087,'Informations sur les produits'!$A$3:$H$10000,8,FALSE),"0")</f>
        <v>0</v>
      </c>
      <c r="N14087" s="8"/>
      <c r="O14087" s="33" t="str">
        <f>IFERROR(VLOOKUP($M14087,'Informations sur les produits'!$A$3:$H$10000,8,FALSE),"0")</f>
        <v>0</v>
      </c>
      <c r="P14087" s="33">
        <f t="shared" si="880"/>
        <v>0</v>
      </c>
      <c r="Q14087" s="31" t="str">
        <f t="shared" si="881"/>
        <v/>
      </c>
      <c r="R14087" s="32" t="str">
        <f>IFERROR(VLOOKUP($D14087,'Informations sur les produits'!$A$3:$B$15000,2,FALSE),"")</f>
        <v/>
      </c>
      <c r="V14087">
        <f t="shared" si="882"/>
        <v>0</v>
      </c>
      <c r="W14087">
        <f t="shared" si="883"/>
        <v>0</v>
      </c>
    </row>
    <row r="14088" spans="5:23" x14ac:dyDescent="0.25">
      <c r="E14088" s="4"/>
      <c r="F14088" s="4"/>
      <c r="G14088" s="33" t="str">
        <f>IFERROR(VLOOKUP($D14088,'Informations sur les produits'!$A$3:$H$10000,8,FALSE),"0")</f>
        <v>0</v>
      </c>
      <c r="K14088" s="4"/>
      <c r="L14088" s="33" t="str">
        <f>IFERROR(VLOOKUP($J14088,'Informations sur les produits'!$A$3:$H$10000,8,FALSE),"0")</f>
        <v>0</v>
      </c>
      <c r="N14088" s="8"/>
      <c r="O14088" s="33" t="str">
        <f>IFERROR(VLOOKUP($M14088,'Informations sur les produits'!$A$3:$H$10000,8,FALSE),"0")</f>
        <v>0</v>
      </c>
      <c r="P14088" s="33">
        <f t="shared" si="880"/>
        <v>0</v>
      </c>
      <c r="Q14088" s="31" t="str">
        <f t="shared" si="881"/>
        <v/>
      </c>
      <c r="R14088" s="32" t="str">
        <f>IFERROR(VLOOKUP($D14088,'Informations sur les produits'!$A$3:$B$15000,2,FALSE),"")</f>
        <v/>
      </c>
      <c r="V14088">
        <f t="shared" si="882"/>
        <v>0</v>
      </c>
      <c r="W14088">
        <f t="shared" si="883"/>
        <v>0</v>
      </c>
    </row>
    <row r="14089" spans="5:23" x14ac:dyDescent="0.25">
      <c r="E14089" s="4"/>
      <c r="F14089" s="4"/>
      <c r="G14089" s="33" t="str">
        <f>IFERROR(VLOOKUP($D14089,'Informations sur les produits'!$A$3:$H$10000,8,FALSE),"0")</f>
        <v>0</v>
      </c>
      <c r="K14089" s="4"/>
      <c r="L14089" s="33" t="str">
        <f>IFERROR(VLOOKUP($J14089,'Informations sur les produits'!$A$3:$H$10000,8,FALSE),"0")</f>
        <v>0</v>
      </c>
      <c r="N14089" s="8"/>
      <c r="O14089" s="33" t="str">
        <f>IFERROR(VLOOKUP($M14089,'Informations sur les produits'!$A$3:$H$10000,8,FALSE),"0")</f>
        <v>0</v>
      </c>
      <c r="P14089" s="33">
        <f t="shared" si="880"/>
        <v>0</v>
      </c>
      <c r="Q14089" s="31" t="str">
        <f t="shared" si="881"/>
        <v/>
      </c>
      <c r="R14089" s="32" t="str">
        <f>IFERROR(VLOOKUP($D14089,'Informations sur les produits'!$A$3:$B$15000,2,FALSE),"")</f>
        <v/>
      </c>
      <c r="V14089">
        <f t="shared" si="882"/>
        <v>0</v>
      </c>
      <c r="W14089">
        <f t="shared" si="883"/>
        <v>0</v>
      </c>
    </row>
    <row r="14090" spans="5:23" x14ac:dyDescent="0.25">
      <c r="E14090" s="4"/>
      <c r="F14090" s="4"/>
      <c r="G14090" s="33" t="str">
        <f>IFERROR(VLOOKUP($D14090,'Informations sur les produits'!$A$3:$H$10000,8,FALSE),"0")</f>
        <v>0</v>
      </c>
      <c r="K14090" s="4"/>
      <c r="L14090" s="33" t="str">
        <f>IFERROR(VLOOKUP($J14090,'Informations sur les produits'!$A$3:$H$10000,8,FALSE),"0")</f>
        <v>0</v>
      </c>
      <c r="N14090" s="8"/>
      <c r="O14090" s="33" t="str">
        <f>IFERROR(VLOOKUP($M14090,'Informations sur les produits'!$A$3:$H$10000,8,FALSE),"0")</f>
        <v>0</v>
      </c>
      <c r="P14090" s="33">
        <f t="shared" si="880"/>
        <v>0</v>
      </c>
      <c r="Q14090" s="31" t="str">
        <f t="shared" si="881"/>
        <v/>
      </c>
      <c r="R14090" s="32" t="str">
        <f>IFERROR(VLOOKUP($D14090,'Informations sur les produits'!$A$3:$B$15000,2,FALSE),"")</f>
        <v/>
      </c>
      <c r="V14090">
        <f t="shared" si="882"/>
        <v>0</v>
      </c>
      <c r="W14090">
        <f t="shared" si="883"/>
        <v>0</v>
      </c>
    </row>
    <row r="14091" spans="5:23" x14ac:dyDescent="0.25">
      <c r="E14091" s="4"/>
      <c r="F14091" s="4"/>
      <c r="G14091" s="33" t="str">
        <f>IFERROR(VLOOKUP($D14091,'Informations sur les produits'!$A$3:$H$10000,8,FALSE),"0")</f>
        <v>0</v>
      </c>
      <c r="K14091" s="4"/>
      <c r="L14091" s="33" t="str">
        <f>IFERROR(VLOOKUP($J14091,'Informations sur les produits'!$A$3:$H$10000,8,FALSE),"0")</f>
        <v>0</v>
      </c>
      <c r="N14091" s="8"/>
      <c r="O14091" s="33" t="str">
        <f>IFERROR(VLOOKUP($M14091,'Informations sur les produits'!$A$3:$H$10000,8,FALSE),"0")</f>
        <v>0</v>
      </c>
      <c r="P14091" s="33">
        <f t="shared" si="880"/>
        <v>0</v>
      </c>
      <c r="Q14091" s="31" t="str">
        <f t="shared" si="881"/>
        <v/>
      </c>
      <c r="R14091" s="32" t="str">
        <f>IFERROR(VLOOKUP($D14091,'Informations sur les produits'!$A$3:$B$15000,2,FALSE),"")</f>
        <v/>
      </c>
      <c r="V14091">
        <f t="shared" si="882"/>
        <v>0</v>
      </c>
      <c r="W14091">
        <f t="shared" si="883"/>
        <v>0</v>
      </c>
    </row>
    <row r="14092" spans="5:23" x14ac:dyDescent="0.25">
      <c r="E14092" s="4"/>
      <c r="F14092" s="4"/>
      <c r="G14092" s="33" t="str">
        <f>IFERROR(VLOOKUP($D14092,'Informations sur les produits'!$A$3:$H$10000,8,FALSE),"0")</f>
        <v>0</v>
      </c>
      <c r="K14092" s="4"/>
      <c r="L14092" s="33" t="str">
        <f>IFERROR(VLOOKUP($J14092,'Informations sur les produits'!$A$3:$H$10000,8,FALSE),"0")</f>
        <v>0</v>
      </c>
      <c r="N14092" s="8"/>
      <c r="O14092" s="33" t="str">
        <f>IFERROR(VLOOKUP($M14092,'Informations sur les produits'!$A$3:$H$10000,8,FALSE),"0")</f>
        <v>0</v>
      </c>
      <c r="P14092" s="33">
        <f t="shared" si="880"/>
        <v>0</v>
      </c>
      <c r="Q14092" s="31" t="str">
        <f t="shared" si="881"/>
        <v/>
      </c>
      <c r="R14092" s="32" t="str">
        <f>IFERROR(VLOOKUP($D14092,'Informations sur les produits'!$A$3:$B$15000,2,FALSE),"")</f>
        <v/>
      </c>
      <c r="V14092">
        <f t="shared" si="882"/>
        <v>0</v>
      </c>
      <c r="W14092">
        <f t="shared" si="883"/>
        <v>0</v>
      </c>
    </row>
    <row r="14093" spans="5:23" x14ac:dyDescent="0.25">
      <c r="E14093" s="4"/>
      <c r="F14093" s="4"/>
      <c r="G14093" s="33" t="str">
        <f>IFERROR(VLOOKUP($D14093,'Informations sur les produits'!$A$3:$H$10000,8,FALSE),"0")</f>
        <v>0</v>
      </c>
      <c r="K14093" s="4"/>
      <c r="L14093" s="33" t="str">
        <f>IFERROR(VLOOKUP($J14093,'Informations sur les produits'!$A$3:$H$10000,8,FALSE),"0")</f>
        <v>0</v>
      </c>
      <c r="N14093" s="8"/>
      <c r="O14093" s="33" t="str">
        <f>IFERROR(VLOOKUP($M14093,'Informations sur les produits'!$A$3:$H$10000,8,FALSE),"0")</f>
        <v>0</v>
      </c>
      <c r="P14093" s="33">
        <f t="shared" si="880"/>
        <v>0</v>
      </c>
      <c r="Q14093" s="31" t="str">
        <f t="shared" si="881"/>
        <v/>
      </c>
      <c r="R14093" s="32" t="str">
        <f>IFERROR(VLOOKUP($D14093,'Informations sur les produits'!$A$3:$B$15000,2,FALSE),"")</f>
        <v/>
      </c>
      <c r="V14093">
        <f t="shared" si="882"/>
        <v>0</v>
      </c>
      <c r="W14093">
        <f t="shared" si="883"/>
        <v>0</v>
      </c>
    </row>
    <row r="14094" spans="5:23" x14ac:dyDescent="0.25">
      <c r="E14094" s="4"/>
      <c r="F14094" s="4"/>
      <c r="G14094" s="33" t="str">
        <f>IFERROR(VLOOKUP($D14094,'Informations sur les produits'!$A$3:$H$10000,8,FALSE),"0")</f>
        <v>0</v>
      </c>
      <c r="K14094" s="4"/>
      <c r="L14094" s="33" t="str">
        <f>IFERROR(VLOOKUP($J14094,'Informations sur les produits'!$A$3:$H$10000,8,FALSE),"0")</f>
        <v>0</v>
      </c>
      <c r="N14094" s="8"/>
      <c r="O14094" s="33" t="str">
        <f>IFERROR(VLOOKUP($M14094,'Informations sur les produits'!$A$3:$H$10000,8,FALSE),"0")</f>
        <v>0</v>
      </c>
      <c r="P14094" s="33">
        <f t="shared" si="880"/>
        <v>0</v>
      </c>
      <c r="Q14094" s="31" t="str">
        <f t="shared" si="881"/>
        <v/>
      </c>
      <c r="R14094" s="32" t="str">
        <f>IFERROR(VLOOKUP($D14094,'Informations sur les produits'!$A$3:$B$15000,2,FALSE),"")</f>
        <v/>
      </c>
      <c r="V14094">
        <f t="shared" si="882"/>
        <v>0</v>
      </c>
      <c r="W14094">
        <f t="shared" si="883"/>
        <v>0</v>
      </c>
    </row>
    <row r="14095" spans="5:23" x14ac:dyDescent="0.25">
      <c r="E14095" s="4"/>
      <c r="F14095" s="4"/>
      <c r="G14095" s="33" t="str">
        <f>IFERROR(VLOOKUP($D14095,'Informations sur les produits'!$A$3:$H$10000,8,FALSE),"0")</f>
        <v>0</v>
      </c>
      <c r="K14095" s="4"/>
      <c r="L14095" s="33" t="str">
        <f>IFERROR(VLOOKUP($J14095,'Informations sur les produits'!$A$3:$H$10000,8,FALSE),"0")</f>
        <v>0</v>
      </c>
      <c r="N14095" s="8"/>
      <c r="O14095" s="33" t="str">
        <f>IFERROR(VLOOKUP($M14095,'Informations sur les produits'!$A$3:$H$10000,8,FALSE),"0")</f>
        <v>0</v>
      </c>
      <c r="P14095" s="33">
        <f t="shared" si="880"/>
        <v>0</v>
      </c>
      <c r="Q14095" s="31" t="str">
        <f t="shared" si="881"/>
        <v/>
      </c>
      <c r="R14095" s="32" t="str">
        <f>IFERROR(VLOOKUP($D14095,'Informations sur les produits'!$A$3:$B$15000,2,FALSE),"")</f>
        <v/>
      </c>
      <c r="V14095">
        <f t="shared" si="882"/>
        <v>0</v>
      </c>
      <c r="W14095">
        <f t="shared" si="883"/>
        <v>0</v>
      </c>
    </row>
    <row r="14096" spans="5:23" x14ac:dyDescent="0.25">
      <c r="E14096" s="4"/>
      <c r="F14096" s="4"/>
      <c r="G14096" s="33" t="str">
        <f>IFERROR(VLOOKUP($D14096,'Informations sur les produits'!$A$3:$H$10000,8,FALSE),"0")</f>
        <v>0</v>
      </c>
      <c r="K14096" s="4"/>
      <c r="L14096" s="33" t="str">
        <f>IFERROR(VLOOKUP($J14096,'Informations sur les produits'!$A$3:$H$10000,8,FALSE),"0")</f>
        <v>0</v>
      </c>
      <c r="N14096" s="8"/>
      <c r="O14096" s="33" t="str">
        <f>IFERROR(VLOOKUP($M14096,'Informations sur les produits'!$A$3:$H$10000,8,FALSE),"0")</f>
        <v>0</v>
      </c>
      <c r="P14096" s="33">
        <f t="shared" si="880"/>
        <v>0</v>
      </c>
      <c r="Q14096" s="31" t="str">
        <f t="shared" si="881"/>
        <v/>
      </c>
      <c r="R14096" s="32" t="str">
        <f>IFERROR(VLOOKUP($D14096,'Informations sur les produits'!$A$3:$B$15000,2,FALSE),"")</f>
        <v/>
      </c>
      <c r="V14096">
        <f t="shared" si="882"/>
        <v>0</v>
      </c>
      <c r="W14096">
        <f t="shared" si="883"/>
        <v>0</v>
      </c>
    </row>
    <row r="14097" spans="5:23" x14ac:dyDescent="0.25">
      <c r="E14097" s="4"/>
      <c r="F14097" s="4"/>
      <c r="G14097" s="33" t="str">
        <f>IFERROR(VLOOKUP($D14097,'Informations sur les produits'!$A$3:$H$10000,8,FALSE),"0")</f>
        <v>0</v>
      </c>
      <c r="K14097" s="4"/>
      <c r="L14097" s="33" t="str">
        <f>IFERROR(VLOOKUP($J14097,'Informations sur les produits'!$A$3:$H$10000,8,FALSE),"0")</f>
        <v>0</v>
      </c>
      <c r="N14097" s="8"/>
      <c r="O14097" s="33" t="str">
        <f>IFERROR(VLOOKUP($M14097,'Informations sur les produits'!$A$3:$H$10000,8,FALSE),"0")</f>
        <v>0</v>
      </c>
      <c r="P14097" s="33">
        <f t="shared" si="880"/>
        <v>0</v>
      </c>
      <c r="Q14097" s="31" t="str">
        <f t="shared" si="881"/>
        <v/>
      </c>
      <c r="R14097" s="32" t="str">
        <f>IFERROR(VLOOKUP($D14097,'Informations sur les produits'!$A$3:$B$15000,2,FALSE),"")</f>
        <v/>
      </c>
      <c r="V14097">
        <f t="shared" si="882"/>
        <v>0</v>
      </c>
      <c r="W14097">
        <f t="shared" si="883"/>
        <v>0</v>
      </c>
    </row>
    <row r="14098" spans="5:23" x14ac:dyDescent="0.25">
      <c r="E14098" s="4"/>
      <c r="F14098" s="4"/>
      <c r="G14098" s="33" t="str">
        <f>IFERROR(VLOOKUP($D14098,'Informations sur les produits'!$A$3:$H$10000,8,FALSE),"0")</f>
        <v>0</v>
      </c>
      <c r="K14098" s="4"/>
      <c r="L14098" s="33" t="str">
        <f>IFERROR(VLOOKUP($J14098,'Informations sur les produits'!$A$3:$H$10000,8,FALSE),"0")</f>
        <v>0</v>
      </c>
      <c r="N14098" s="8"/>
      <c r="O14098" s="33" t="str">
        <f>IFERROR(VLOOKUP($M14098,'Informations sur les produits'!$A$3:$H$10000,8,FALSE),"0")</f>
        <v>0</v>
      </c>
      <c r="P14098" s="33">
        <f t="shared" si="880"/>
        <v>0</v>
      </c>
      <c r="Q14098" s="31" t="str">
        <f t="shared" si="881"/>
        <v/>
      </c>
      <c r="R14098" s="32" t="str">
        <f>IFERROR(VLOOKUP($D14098,'Informations sur les produits'!$A$3:$B$15000,2,FALSE),"")</f>
        <v/>
      </c>
      <c r="V14098">
        <f t="shared" si="882"/>
        <v>0</v>
      </c>
      <c r="W14098">
        <f t="shared" si="883"/>
        <v>0</v>
      </c>
    </row>
    <row r="14099" spans="5:23" x14ac:dyDescent="0.25">
      <c r="E14099" s="4"/>
      <c r="F14099" s="4"/>
      <c r="G14099" s="33" t="str">
        <f>IFERROR(VLOOKUP($D14099,'Informations sur les produits'!$A$3:$H$10000,8,FALSE),"0")</f>
        <v>0</v>
      </c>
      <c r="K14099" s="4"/>
      <c r="L14099" s="33" t="str">
        <f>IFERROR(VLOOKUP($J14099,'Informations sur les produits'!$A$3:$H$10000,8,FALSE),"0")</f>
        <v>0</v>
      </c>
      <c r="N14099" s="8"/>
      <c r="O14099" s="33" t="str">
        <f>IFERROR(VLOOKUP($M14099,'Informations sur les produits'!$A$3:$H$10000,8,FALSE),"0")</f>
        <v>0</v>
      </c>
      <c r="P14099" s="33">
        <f t="shared" si="880"/>
        <v>0</v>
      </c>
      <c r="Q14099" s="31" t="str">
        <f t="shared" si="881"/>
        <v/>
      </c>
      <c r="R14099" s="32" t="str">
        <f>IFERROR(VLOOKUP($D14099,'Informations sur les produits'!$A$3:$B$15000,2,FALSE),"")</f>
        <v/>
      </c>
      <c r="V14099">
        <f t="shared" si="882"/>
        <v>0</v>
      </c>
      <c r="W14099">
        <f t="shared" si="883"/>
        <v>0</v>
      </c>
    </row>
    <row r="14100" spans="5:23" x14ac:dyDescent="0.25">
      <c r="E14100" s="4"/>
      <c r="F14100" s="4"/>
      <c r="G14100" s="33" t="str">
        <f>IFERROR(VLOOKUP($D14100,'Informations sur les produits'!$A$3:$H$10000,8,FALSE),"0")</f>
        <v>0</v>
      </c>
      <c r="K14100" s="4"/>
      <c r="L14100" s="33" t="str">
        <f>IFERROR(VLOOKUP($J14100,'Informations sur les produits'!$A$3:$H$10000,8,FALSE),"0")</f>
        <v>0</v>
      </c>
      <c r="N14100" s="8"/>
      <c r="O14100" s="33" t="str">
        <f>IFERROR(VLOOKUP($M14100,'Informations sur les produits'!$A$3:$H$10000,8,FALSE),"0")</f>
        <v>0</v>
      </c>
      <c r="P14100" s="33">
        <f t="shared" si="880"/>
        <v>0</v>
      </c>
      <c r="Q14100" s="31" t="str">
        <f t="shared" si="881"/>
        <v/>
      </c>
      <c r="R14100" s="32" t="str">
        <f>IFERROR(VLOOKUP($D14100,'Informations sur les produits'!$A$3:$B$15000,2,FALSE),"")</f>
        <v/>
      </c>
      <c r="V14100">
        <f t="shared" si="882"/>
        <v>0</v>
      </c>
      <c r="W14100">
        <f t="shared" si="883"/>
        <v>0</v>
      </c>
    </row>
    <row r="14101" spans="5:23" x14ac:dyDescent="0.25">
      <c r="E14101" s="4"/>
      <c r="F14101" s="4"/>
      <c r="G14101" s="33" t="str">
        <f>IFERROR(VLOOKUP($D14101,'Informations sur les produits'!$A$3:$H$10000,8,FALSE),"0")</f>
        <v>0</v>
      </c>
      <c r="K14101" s="4"/>
      <c r="L14101" s="33" t="str">
        <f>IFERROR(VLOOKUP($J14101,'Informations sur les produits'!$A$3:$H$10000,8,FALSE),"0")</f>
        <v>0</v>
      </c>
      <c r="N14101" s="8"/>
      <c r="O14101" s="33" t="str">
        <f>IFERROR(VLOOKUP($M14101,'Informations sur les produits'!$A$3:$H$10000,8,FALSE),"0")</f>
        <v>0</v>
      </c>
      <c r="P14101" s="33">
        <f t="shared" si="880"/>
        <v>0</v>
      </c>
      <c r="Q14101" s="31" t="str">
        <f t="shared" si="881"/>
        <v/>
      </c>
      <c r="R14101" s="32" t="str">
        <f>IFERROR(VLOOKUP($D14101,'Informations sur les produits'!$A$3:$B$15000,2,FALSE),"")</f>
        <v/>
      </c>
      <c r="V14101">
        <f t="shared" si="882"/>
        <v>0</v>
      </c>
      <c r="W14101">
        <f t="shared" si="883"/>
        <v>0</v>
      </c>
    </row>
    <row r="14102" spans="5:23" x14ac:dyDescent="0.25">
      <c r="E14102" s="4"/>
      <c r="F14102" s="4"/>
      <c r="G14102" s="33" t="str">
        <f>IFERROR(VLOOKUP($D14102,'Informations sur les produits'!$A$3:$H$10000,8,FALSE),"0")</f>
        <v>0</v>
      </c>
      <c r="K14102" s="4"/>
      <c r="L14102" s="33" t="str">
        <f>IFERROR(VLOOKUP($J14102,'Informations sur les produits'!$A$3:$H$10000,8,FALSE),"0")</f>
        <v>0</v>
      </c>
      <c r="N14102" s="8"/>
      <c r="O14102" s="33" t="str">
        <f>IFERROR(VLOOKUP($M14102,'Informations sur les produits'!$A$3:$H$10000,8,FALSE),"0")</f>
        <v>0</v>
      </c>
      <c r="P14102" s="33">
        <f t="shared" si="880"/>
        <v>0</v>
      </c>
      <c r="Q14102" s="31" t="str">
        <f t="shared" si="881"/>
        <v/>
      </c>
      <c r="R14102" s="32" t="str">
        <f>IFERROR(VLOOKUP($D14102,'Informations sur les produits'!$A$3:$B$15000,2,FALSE),"")</f>
        <v/>
      </c>
      <c r="V14102">
        <f t="shared" si="882"/>
        <v>0</v>
      </c>
      <c r="W14102">
        <f t="shared" si="883"/>
        <v>0</v>
      </c>
    </row>
    <row r="14103" spans="5:23" x14ac:dyDescent="0.25">
      <c r="E14103" s="4"/>
      <c r="F14103" s="4"/>
      <c r="G14103" s="33" t="str">
        <f>IFERROR(VLOOKUP($D14103,'Informations sur les produits'!$A$3:$H$10000,8,FALSE),"0")</f>
        <v>0</v>
      </c>
      <c r="K14103" s="4"/>
      <c r="L14103" s="33" t="str">
        <f>IFERROR(VLOOKUP($J14103,'Informations sur les produits'!$A$3:$H$10000,8,FALSE),"0")</f>
        <v>0</v>
      </c>
      <c r="N14103" s="8"/>
      <c r="O14103" s="33" t="str">
        <f>IFERROR(VLOOKUP($M14103,'Informations sur les produits'!$A$3:$H$10000,8,FALSE),"0")</f>
        <v>0</v>
      </c>
      <c r="P14103" s="33">
        <f t="shared" si="880"/>
        <v>0</v>
      </c>
      <c r="Q14103" s="31" t="str">
        <f t="shared" si="881"/>
        <v/>
      </c>
      <c r="R14103" s="32" t="str">
        <f>IFERROR(VLOOKUP($D14103,'Informations sur les produits'!$A$3:$B$15000,2,FALSE),"")</f>
        <v/>
      </c>
      <c r="V14103">
        <f t="shared" si="882"/>
        <v>0</v>
      </c>
      <c r="W14103">
        <f t="shared" si="883"/>
        <v>0</v>
      </c>
    </row>
    <row r="14104" spans="5:23" x14ac:dyDescent="0.25">
      <c r="E14104" s="4"/>
      <c r="F14104" s="4"/>
      <c r="G14104" s="33" t="str">
        <f>IFERROR(VLOOKUP($D14104,'Informations sur les produits'!$A$3:$H$10000,8,FALSE),"0")</f>
        <v>0</v>
      </c>
      <c r="K14104" s="4"/>
      <c r="L14104" s="33" t="str">
        <f>IFERROR(VLOOKUP($J14104,'Informations sur les produits'!$A$3:$H$10000,8,FALSE),"0")</f>
        <v>0</v>
      </c>
      <c r="N14104" s="8"/>
      <c r="O14104" s="33" t="str">
        <f>IFERROR(VLOOKUP($M14104,'Informations sur les produits'!$A$3:$H$10000,8,FALSE),"0")</f>
        <v>0</v>
      </c>
      <c r="P14104" s="33">
        <f t="shared" si="880"/>
        <v>0</v>
      </c>
      <c r="Q14104" s="31" t="str">
        <f t="shared" si="881"/>
        <v/>
      </c>
      <c r="R14104" s="32" t="str">
        <f>IFERROR(VLOOKUP($D14104,'Informations sur les produits'!$A$3:$B$15000,2,FALSE),"")</f>
        <v/>
      </c>
      <c r="V14104">
        <f t="shared" si="882"/>
        <v>0</v>
      </c>
      <c r="W14104">
        <f t="shared" si="883"/>
        <v>0</v>
      </c>
    </row>
    <row r="14105" spans="5:23" x14ac:dyDescent="0.25">
      <c r="E14105" s="4"/>
      <c r="F14105" s="4"/>
      <c r="G14105" s="33" t="str">
        <f>IFERROR(VLOOKUP($D14105,'Informations sur les produits'!$A$3:$H$10000,8,FALSE),"0")</f>
        <v>0</v>
      </c>
      <c r="K14105" s="4"/>
      <c r="L14105" s="33" t="str">
        <f>IFERROR(VLOOKUP($J14105,'Informations sur les produits'!$A$3:$H$10000,8,FALSE),"0")</f>
        <v>0</v>
      </c>
      <c r="N14105" s="8"/>
      <c r="O14105" s="33" t="str">
        <f>IFERROR(VLOOKUP($M14105,'Informations sur les produits'!$A$3:$H$10000,8,FALSE),"0")</f>
        <v>0</v>
      </c>
      <c r="P14105" s="33">
        <f t="shared" si="880"/>
        <v>0</v>
      </c>
      <c r="Q14105" s="31" t="str">
        <f t="shared" si="881"/>
        <v/>
      </c>
      <c r="R14105" s="32" t="str">
        <f>IFERROR(VLOOKUP($D14105,'Informations sur les produits'!$A$3:$B$15000,2,FALSE),"")</f>
        <v/>
      </c>
      <c r="V14105">
        <f t="shared" si="882"/>
        <v>0</v>
      </c>
      <c r="W14105">
        <f t="shared" si="883"/>
        <v>0</v>
      </c>
    </row>
    <row r="14106" spans="5:23" x14ac:dyDescent="0.25">
      <c r="E14106" s="4"/>
      <c r="F14106" s="4"/>
      <c r="G14106" s="33" t="str">
        <f>IFERROR(VLOOKUP($D14106,'Informations sur les produits'!$A$3:$H$10000,8,FALSE),"0")</f>
        <v>0</v>
      </c>
      <c r="K14106" s="4"/>
      <c r="L14106" s="33" t="str">
        <f>IFERROR(VLOOKUP($J14106,'Informations sur les produits'!$A$3:$H$10000,8,FALSE),"0")</f>
        <v>0</v>
      </c>
      <c r="N14106" s="8"/>
      <c r="O14106" s="33" t="str">
        <f>IFERROR(VLOOKUP($M14106,'Informations sur les produits'!$A$3:$H$10000,8,FALSE),"0")</f>
        <v>0</v>
      </c>
      <c r="P14106" s="33">
        <f t="shared" si="880"/>
        <v>0</v>
      </c>
      <c r="Q14106" s="31" t="str">
        <f t="shared" si="881"/>
        <v/>
      </c>
      <c r="R14106" s="32" t="str">
        <f>IFERROR(VLOOKUP($D14106,'Informations sur les produits'!$A$3:$B$15000,2,FALSE),"")</f>
        <v/>
      </c>
      <c r="V14106">
        <f t="shared" si="882"/>
        <v>0</v>
      </c>
      <c r="W14106">
        <f t="shared" si="883"/>
        <v>0</v>
      </c>
    </row>
    <row r="14107" spans="5:23" x14ac:dyDescent="0.25">
      <c r="E14107" s="4"/>
      <c r="F14107" s="4"/>
      <c r="G14107" s="33" t="str">
        <f>IFERROR(VLOOKUP($D14107,'Informations sur les produits'!$A$3:$H$10000,8,FALSE),"0")</f>
        <v>0</v>
      </c>
      <c r="K14107" s="4"/>
      <c r="L14107" s="33" t="str">
        <f>IFERROR(VLOOKUP($J14107,'Informations sur les produits'!$A$3:$H$10000,8,FALSE),"0")</f>
        <v>0</v>
      </c>
      <c r="N14107" s="8"/>
      <c r="O14107" s="33" t="str">
        <f>IFERROR(VLOOKUP($M14107,'Informations sur les produits'!$A$3:$H$10000,8,FALSE),"0")</f>
        <v>0</v>
      </c>
      <c r="P14107" s="33">
        <f t="shared" si="880"/>
        <v>0</v>
      </c>
      <c r="Q14107" s="31" t="str">
        <f t="shared" si="881"/>
        <v/>
      </c>
      <c r="R14107" s="32" t="str">
        <f>IFERROR(VLOOKUP($D14107,'Informations sur les produits'!$A$3:$B$15000,2,FALSE),"")</f>
        <v/>
      </c>
      <c r="V14107">
        <f t="shared" si="882"/>
        <v>0</v>
      </c>
      <c r="W14107">
        <f t="shared" si="883"/>
        <v>0</v>
      </c>
    </row>
    <row r="14108" spans="5:23" x14ac:dyDescent="0.25">
      <c r="E14108" s="4"/>
      <c r="F14108" s="4"/>
      <c r="G14108" s="33" t="str">
        <f>IFERROR(VLOOKUP($D14108,'Informations sur les produits'!$A$3:$H$10000,8,FALSE),"0")</f>
        <v>0</v>
      </c>
      <c r="K14108" s="4"/>
      <c r="L14108" s="33" t="str">
        <f>IFERROR(VLOOKUP($J14108,'Informations sur les produits'!$A$3:$H$10000,8,FALSE),"0")</f>
        <v>0</v>
      </c>
      <c r="N14108" s="8"/>
      <c r="O14108" s="33" t="str">
        <f>IFERROR(VLOOKUP($M14108,'Informations sur les produits'!$A$3:$H$10000,8,FALSE),"0")</f>
        <v>0</v>
      </c>
      <c r="P14108" s="33">
        <f t="shared" si="880"/>
        <v>0</v>
      </c>
      <c r="Q14108" s="31" t="str">
        <f t="shared" si="881"/>
        <v/>
      </c>
      <c r="R14108" s="32" t="str">
        <f>IFERROR(VLOOKUP($D14108,'Informations sur les produits'!$A$3:$B$15000,2,FALSE),"")</f>
        <v/>
      </c>
      <c r="V14108">
        <f t="shared" si="882"/>
        <v>0</v>
      </c>
      <c r="W14108">
        <f t="shared" si="883"/>
        <v>0</v>
      </c>
    </row>
    <row r="14109" spans="5:23" x14ac:dyDescent="0.25">
      <c r="E14109" s="4"/>
      <c r="F14109" s="4"/>
      <c r="G14109" s="33" t="str">
        <f>IFERROR(VLOOKUP($D14109,'Informations sur les produits'!$A$3:$H$10000,8,FALSE),"0")</f>
        <v>0</v>
      </c>
      <c r="K14109" s="4"/>
      <c r="L14109" s="33" t="str">
        <f>IFERROR(VLOOKUP($J14109,'Informations sur les produits'!$A$3:$H$10000,8,FALSE),"0")</f>
        <v>0</v>
      </c>
      <c r="N14109" s="8"/>
      <c r="O14109" s="33" t="str">
        <f>IFERROR(VLOOKUP($M14109,'Informations sur les produits'!$A$3:$H$10000,8,FALSE),"0")</f>
        <v>0</v>
      </c>
      <c r="P14109" s="33">
        <f t="shared" si="880"/>
        <v>0</v>
      </c>
      <c r="Q14109" s="31" t="str">
        <f t="shared" si="881"/>
        <v/>
      </c>
      <c r="R14109" s="32" t="str">
        <f>IFERROR(VLOOKUP($D14109,'Informations sur les produits'!$A$3:$B$15000,2,FALSE),"")</f>
        <v/>
      </c>
      <c r="V14109">
        <f t="shared" si="882"/>
        <v>0</v>
      </c>
      <c r="W14109">
        <f t="shared" si="883"/>
        <v>0</v>
      </c>
    </row>
    <row r="14110" spans="5:23" x14ac:dyDescent="0.25">
      <c r="E14110" s="4"/>
      <c r="F14110" s="4"/>
      <c r="G14110" s="33" t="str">
        <f>IFERROR(VLOOKUP($D14110,'Informations sur les produits'!$A$3:$H$10000,8,FALSE),"0")</f>
        <v>0</v>
      </c>
      <c r="K14110" s="4"/>
      <c r="L14110" s="33" t="str">
        <f>IFERROR(VLOOKUP($J14110,'Informations sur les produits'!$A$3:$H$10000,8,FALSE),"0")</f>
        <v>0</v>
      </c>
      <c r="N14110" s="8"/>
      <c r="O14110" s="33" t="str">
        <f>IFERROR(VLOOKUP($M14110,'Informations sur les produits'!$A$3:$H$10000,8,FALSE),"0")</f>
        <v>0</v>
      </c>
      <c r="P14110" s="33">
        <f t="shared" si="880"/>
        <v>0</v>
      </c>
      <c r="Q14110" s="31" t="str">
        <f t="shared" si="881"/>
        <v/>
      </c>
      <c r="R14110" s="32" t="str">
        <f>IFERROR(VLOOKUP($D14110,'Informations sur les produits'!$A$3:$B$15000,2,FALSE),"")</f>
        <v/>
      </c>
      <c r="V14110">
        <f t="shared" si="882"/>
        <v>0</v>
      </c>
      <c r="W14110">
        <f t="shared" si="883"/>
        <v>0</v>
      </c>
    </row>
    <row r="14111" spans="5:23" x14ac:dyDescent="0.25">
      <c r="E14111" s="4"/>
      <c r="F14111" s="4"/>
      <c r="G14111" s="33" t="str">
        <f>IFERROR(VLOOKUP($D14111,'Informations sur les produits'!$A$3:$H$10000,8,FALSE),"0")</f>
        <v>0</v>
      </c>
      <c r="K14111" s="4"/>
      <c r="L14111" s="33" t="str">
        <f>IFERROR(VLOOKUP($J14111,'Informations sur les produits'!$A$3:$H$10000,8,FALSE),"0")</f>
        <v>0</v>
      </c>
      <c r="N14111" s="8"/>
      <c r="O14111" s="33" t="str">
        <f>IFERROR(VLOOKUP($M14111,'Informations sur les produits'!$A$3:$H$10000,8,FALSE),"0")</f>
        <v>0</v>
      </c>
      <c r="P14111" s="33">
        <f t="shared" si="880"/>
        <v>0</v>
      </c>
      <c r="Q14111" s="31" t="str">
        <f t="shared" si="881"/>
        <v/>
      </c>
      <c r="R14111" s="32" t="str">
        <f>IFERROR(VLOOKUP($D14111,'Informations sur les produits'!$A$3:$B$15000,2,FALSE),"")</f>
        <v/>
      </c>
      <c r="V14111">
        <f t="shared" si="882"/>
        <v>0</v>
      </c>
      <c r="W14111">
        <f t="shared" si="883"/>
        <v>0</v>
      </c>
    </row>
    <row r="14112" spans="5:23" x14ac:dyDescent="0.25">
      <c r="E14112" s="4"/>
      <c r="F14112" s="4"/>
      <c r="G14112" s="33" t="str">
        <f>IFERROR(VLOOKUP($D14112,'Informations sur les produits'!$A$3:$H$10000,8,FALSE),"0")</f>
        <v>0</v>
      </c>
      <c r="K14112" s="4"/>
      <c r="L14112" s="33" t="str">
        <f>IFERROR(VLOOKUP($J14112,'Informations sur les produits'!$A$3:$H$10000,8,FALSE),"0")</f>
        <v>0</v>
      </c>
      <c r="N14112" s="8"/>
      <c r="O14112" s="33" t="str">
        <f>IFERROR(VLOOKUP($M14112,'Informations sur les produits'!$A$3:$H$10000,8,FALSE),"0")</f>
        <v>0</v>
      </c>
      <c r="P14112" s="33">
        <f t="shared" si="880"/>
        <v>0</v>
      </c>
      <c r="Q14112" s="31" t="str">
        <f t="shared" si="881"/>
        <v/>
      </c>
      <c r="R14112" s="32" t="str">
        <f>IFERROR(VLOOKUP($D14112,'Informations sur les produits'!$A$3:$B$15000,2,FALSE),"")</f>
        <v/>
      </c>
      <c r="V14112">
        <f t="shared" si="882"/>
        <v>0</v>
      </c>
      <c r="W14112">
        <f t="shared" si="883"/>
        <v>0</v>
      </c>
    </row>
    <row r="14113" spans="5:23" x14ac:dyDescent="0.25">
      <c r="E14113" s="4"/>
      <c r="F14113" s="4"/>
      <c r="G14113" s="33" t="str">
        <f>IFERROR(VLOOKUP($D14113,'Informations sur les produits'!$A$3:$H$10000,8,FALSE),"0")</f>
        <v>0</v>
      </c>
      <c r="K14113" s="4"/>
      <c r="L14113" s="33" t="str">
        <f>IFERROR(VLOOKUP($J14113,'Informations sur les produits'!$A$3:$H$10000,8,FALSE),"0")</f>
        <v>0</v>
      </c>
      <c r="N14113" s="8"/>
      <c r="O14113" s="33" t="str">
        <f>IFERROR(VLOOKUP($M14113,'Informations sur les produits'!$A$3:$H$10000,8,FALSE),"0")</f>
        <v>0</v>
      </c>
      <c r="P14113" s="33">
        <f t="shared" si="880"/>
        <v>0</v>
      </c>
      <c r="Q14113" s="31" t="str">
        <f t="shared" si="881"/>
        <v/>
      </c>
      <c r="R14113" s="32" t="str">
        <f>IFERROR(VLOOKUP($D14113,'Informations sur les produits'!$A$3:$B$15000,2,FALSE),"")</f>
        <v/>
      </c>
      <c r="V14113">
        <f t="shared" si="882"/>
        <v>0</v>
      </c>
      <c r="W14113">
        <f t="shared" si="883"/>
        <v>0</v>
      </c>
    </row>
    <row r="14114" spans="5:23" x14ac:dyDescent="0.25">
      <c r="E14114" s="4"/>
      <c r="F14114" s="4"/>
      <c r="G14114" s="33" t="str">
        <f>IFERROR(VLOOKUP($D14114,'Informations sur les produits'!$A$3:$H$10000,8,FALSE),"0")</f>
        <v>0</v>
      </c>
      <c r="K14114" s="4"/>
      <c r="L14114" s="33" t="str">
        <f>IFERROR(VLOOKUP($J14114,'Informations sur les produits'!$A$3:$H$10000,8,FALSE),"0")</f>
        <v>0</v>
      </c>
      <c r="N14114" s="8"/>
      <c r="O14114" s="33" t="str">
        <f>IFERROR(VLOOKUP($M14114,'Informations sur les produits'!$A$3:$H$10000,8,FALSE),"0")</f>
        <v>0</v>
      </c>
      <c r="P14114" s="33">
        <f t="shared" si="880"/>
        <v>0</v>
      </c>
      <c r="Q14114" s="31" t="str">
        <f t="shared" si="881"/>
        <v/>
      </c>
      <c r="R14114" s="32" t="str">
        <f>IFERROR(VLOOKUP($D14114,'Informations sur les produits'!$A$3:$B$15000,2,FALSE),"")</f>
        <v/>
      </c>
      <c r="V14114">
        <f t="shared" si="882"/>
        <v>0</v>
      </c>
      <c r="W14114">
        <f t="shared" si="883"/>
        <v>0</v>
      </c>
    </row>
    <row r="14115" spans="5:23" x14ac:dyDescent="0.25">
      <c r="E14115" s="4"/>
      <c r="F14115" s="4"/>
      <c r="G14115" s="33" t="str">
        <f>IFERROR(VLOOKUP($D14115,'Informations sur les produits'!$A$3:$H$10000,8,FALSE),"0")</f>
        <v>0</v>
      </c>
      <c r="K14115" s="4"/>
      <c r="L14115" s="33" t="str">
        <f>IFERROR(VLOOKUP($J14115,'Informations sur les produits'!$A$3:$H$10000,8,FALSE),"0")</f>
        <v>0</v>
      </c>
      <c r="N14115" s="8"/>
      <c r="O14115" s="33" t="str">
        <f>IFERROR(VLOOKUP($M14115,'Informations sur les produits'!$A$3:$H$10000,8,FALSE),"0")</f>
        <v>0</v>
      </c>
      <c r="P14115" s="33">
        <f t="shared" si="880"/>
        <v>0</v>
      </c>
      <c r="Q14115" s="31" t="str">
        <f t="shared" si="881"/>
        <v/>
      </c>
      <c r="R14115" s="32" t="str">
        <f>IFERROR(VLOOKUP($D14115,'Informations sur les produits'!$A$3:$B$15000,2,FALSE),"")</f>
        <v/>
      </c>
      <c r="V14115">
        <f t="shared" si="882"/>
        <v>0</v>
      </c>
      <c r="W14115">
        <f t="shared" si="883"/>
        <v>0</v>
      </c>
    </row>
    <row r="14116" spans="5:23" x14ac:dyDescent="0.25">
      <c r="E14116" s="4"/>
      <c r="F14116" s="4"/>
      <c r="G14116" s="33" t="str">
        <f>IFERROR(VLOOKUP($D14116,'Informations sur les produits'!$A$3:$H$10000,8,FALSE),"0")</f>
        <v>0</v>
      </c>
      <c r="K14116" s="4"/>
      <c r="L14116" s="33" t="str">
        <f>IFERROR(VLOOKUP($J14116,'Informations sur les produits'!$A$3:$H$10000,8,FALSE),"0")</f>
        <v>0</v>
      </c>
      <c r="N14116" s="8"/>
      <c r="O14116" s="33" t="str">
        <f>IFERROR(VLOOKUP($M14116,'Informations sur les produits'!$A$3:$H$10000,8,FALSE),"0")</f>
        <v>0</v>
      </c>
      <c r="P14116" s="33">
        <f t="shared" si="880"/>
        <v>0</v>
      </c>
      <c r="Q14116" s="31" t="str">
        <f t="shared" si="881"/>
        <v/>
      </c>
      <c r="R14116" s="32" t="str">
        <f>IFERROR(VLOOKUP($D14116,'Informations sur les produits'!$A$3:$B$15000,2,FALSE),"")</f>
        <v/>
      </c>
      <c r="V14116">
        <f t="shared" si="882"/>
        <v>0</v>
      </c>
      <c r="W14116">
        <f t="shared" si="883"/>
        <v>0</v>
      </c>
    </row>
    <row r="14117" spans="5:23" x14ac:dyDescent="0.25">
      <c r="E14117" s="4"/>
      <c r="F14117" s="4"/>
      <c r="G14117" s="33" t="str">
        <f>IFERROR(VLOOKUP($D14117,'Informations sur les produits'!$A$3:$H$10000,8,FALSE),"0")</f>
        <v>0</v>
      </c>
      <c r="K14117" s="4"/>
      <c r="L14117" s="33" t="str">
        <f>IFERROR(VLOOKUP($J14117,'Informations sur les produits'!$A$3:$H$10000,8,FALSE),"0")</f>
        <v>0</v>
      </c>
      <c r="N14117" s="8"/>
      <c r="O14117" s="33" t="str">
        <f>IFERROR(VLOOKUP($M14117,'Informations sur les produits'!$A$3:$H$10000,8,FALSE),"0")</f>
        <v>0</v>
      </c>
      <c r="P14117" s="33">
        <f t="shared" si="880"/>
        <v>0</v>
      </c>
      <c r="Q14117" s="31" t="str">
        <f t="shared" si="881"/>
        <v/>
      </c>
      <c r="R14117" s="32" t="str">
        <f>IFERROR(VLOOKUP($D14117,'Informations sur les produits'!$A$3:$B$15000,2,FALSE),"")</f>
        <v/>
      </c>
      <c r="V14117">
        <f t="shared" si="882"/>
        <v>0</v>
      </c>
      <c r="W14117">
        <f t="shared" si="883"/>
        <v>0</v>
      </c>
    </row>
    <row r="14118" spans="5:23" x14ac:dyDescent="0.25">
      <c r="E14118" s="4"/>
      <c r="F14118" s="4"/>
      <c r="G14118" s="33" t="str">
        <f>IFERROR(VLOOKUP($D14118,'Informations sur les produits'!$A$3:$H$10000,8,FALSE),"0")</f>
        <v>0</v>
      </c>
      <c r="K14118" s="4"/>
      <c r="L14118" s="33" t="str">
        <f>IFERROR(VLOOKUP($J14118,'Informations sur les produits'!$A$3:$H$10000,8,FALSE),"0")</f>
        <v>0</v>
      </c>
      <c r="N14118" s="8"/>
      <c r="O14118" s="33" t="str">
        <f>IFERROR(VLOOKUP($M14118,'Informations sur les produits'!$A$3:$H$10000,8,FALSE),"0")</f>
        <v>0</v>
      </c>
      <c r="P14118" s="33">
        <f t="shared" si="880"/>
        <v>0</v>
      </c>
      <c r="Q14118" s="31" t="str">
        <f t="shared" si="881"/>
        <v/>
      </c>
      <c r="R14118" s="32" t="str">
        <f>IFERROR(VLOOKUP($D14118,'Informations sur les produits'!$A$3:$B$15000,2,FALSE),"")</f>
        <v/>
      </c>
      <c r="V14118">
        <f t="shared" si="882"/>
        <v>0</v>
      </c>
      <c r="W14118">
        <f t="shared" si="883"/>
        <v>0</v>
      </c>
    </row>
    <row r="14119" spans="5:23" x14ac:dyDescent="0.25">
      <c r="E14119" s="4"/>
      <c r="F14119" s="4"/>
      <c r="G14119" s="33" t="str">
        <f>IFERROR(VLOOKUP($D14119,'Informations sur les produits'!$A$3:$H$10000,8,FALSE),"0")</f>
        <v>0</v>
      </c>
      <c r="K14119" s="4"/>
      <c r="L14119" s="33" t="str">
        <f>IFERROR(VLOOKUP($J14119,'Informations sur les produits'!$A$3:$H$10000,8,FALSE),"0")</f>
        <v>0</v>
      </c>
      <c r="N14119" s="8"/>
      <c r="O14119" s="33" t="str">
        <f>IFERROR(VLOOKUP($M14119,'Informations sur les produits'!$A$3:$H$10000,8,FALSE),"0")</f>
        <v>0</v>
      </c>
      <c r="P14119" s="33">
        <f t="shared" si="880"/>
        <v>0</v>
      </c>
      <c r="Q14119" s="31" t="str">
        <f t="shared" si="881"/>
        <v/>
      </c>
      <c r="R14119" s="32" t="str">
        <f>IFERROR(VLOOKUP($D14119,'Informations sur les produits'!$A$3:$B$15000,2,FALSE),"")</f>
        <v/>
      </c>
      <c r="V14119">
        <f t="shared" si="882"/>
        <v>0</v>
      </c>
      <c r="W14119">
        <f t="shared" si="883"/>
        <v>0</v>
      </c>
    </row>
    <row r="14120" spans="5:23" x14ac:dyDescent="0.25">
      <c r="E14120" s="4"/>
      <c r="F14120" s="4"/>
      <c r="G14120" s="33" t="str">
        <f>IFERROR(VLOOKUP($D14120,'Informations sur les produits'!$A$3:$H$10000,8,FALSE),"0")</f>
        <v>0</v>
      </c>
      <c r="K14120" s="4"/>
      <c r="L14120" s="33" t="str">
        <f>IFERROR(VLOOKUP($J14120,'Informations sur les produits'!$A$3:$H$10000,8,FALSE),"0")</f>
        <v>0</v>
      </c>
      <c r="N14120" s="8"/>
      <c r="O14120" s="33" t="str">
        <f>IFERROR(VLOOKUP($M14120,'Informations sur les produits'!$A$3:$H$10000,8,FALSE),"0")</f>
        <v>0</v>
      </c>
      <c r="P14120" s="33">
        <f t="shared" si="880"/>
        <v>0</v>
      </c>
      <c r="Q14120" s="31" t="str">
        <f t="shared" si="881"/>
        <v/>
      </c>
      <c r="R14120" s="32" t="str">
        <f>IFERROR(VLOOKUP($D14120,'Informations sur les produits'!$A$3:$B$15000,2,FALSE),"")</f>
        <v/>
      </c>
      <c r="V14120">
        <f t="shared" si="882"/>
        <v>0</v>
      </c>
      <c r="W14120">
        <f t="shared" si="883"/>
        <v>0</v>
      </c>
    </row>
    <row r="14121" spans="5:23" x14ac:dyDescent="0.25">
      <c r="E14121" s="4"/>
      <c r="F14121" s="4"/>
      <c r="G14121" s="33" t="str">
        <f>IFERROR(VLOOKUP($D14121,'Informations sur les produits'!$A$3:$H$10000,8,FALSE),"0")</f>
        <v>0</v>
      </c>
      <c r="K14121" s="4"/>
      <c r="L14121" s="33" t="str">
        <f>IFERROR(VLOOKUP($J14121,'Informations sur les produits'!$A$3:$H$10000,8,FALSE),"0")</f>
        <v>0</v>
      </c>
      <c r="N14121" s="8"/>
      <c r="O14121" s="33" t="str">
        <f>IFERROR(VLOOKUP($M14121,'Informations sur les produits'!$A$3:$H$10000,8,FALSE),"0")</f>
        <v>0</v>
      </c>
      <c r="P14121" s="33">
        <f t="shared" si="880"/>
        <v>0</v>
      </c>
      <c r="Q14121" s="31" t="str">
        <f t="shared" si="881"/>
        <v/>
      </c>
      <c r="R14121" s="32" t="str">
        <f>IFERROR(VLOOKUP($D14121,'Informations sur les produits'!$A$3:$B$15000,2,FALSE),"")</f>
        <v/>
      </c>
      <c r="V14121">
        <f t="shared" si="882"/>
        <v>0</v>
      </c>
      <c r="W14121">
        <f t="shared" si="883"/>
        <v>0</v>
      </c>
    </row>
    <row r="14122" spans="5:23" x14ac:dyDescent="0.25">
      <c r="E14122" s="4"/>
      <c r="F14122" s="4"/>
      <c r="G14122" s="33" t="str">
        <f>IFERROR(VLOOKUP($D14122,'Informations sur les produits'!$A$3:$H$10000,8,FALSE),"0")</f>
        <v>0</v>
      </c>
      <c r="K14122" s="4"/>
      <c r="L14122" s="33" t="str">
        <f>IFERROR(VLOOKUP($J14122,'Informations sur les produits'!$A$3:$H$10000,8,FALSE),"0")</f>
        <v>0</v>
      </c>
      <c r="N14122" s="8"/>
      <c r="O14122" s="33" t="str">
        <f>IFERROR(VLOOKUP($M14122,'Informations sur les produits'!$A$3:$H$10000,8,FALSE),"0")</f>
        <v>0</v>
      </c>
      <c r="P14122" s="33">
        <f t="shared" si="880"/>
        <v>0</v>
      </c>
      <c r="Q14122" s="31" t="str">
        <f t="shared" si="881"/>
        <v/>
      </c>
      <c r="R14122" s="32" t="str">
        <f>IFERROR(VLOOKUP($D14122,'Informations sur les produits'!$A$3:$B$15000,2,FALSE),"")</f>
        <v/>
      </c>
      <c r="V14122">
        <f t="shared" si="882"/>
        <v>0</v>
      </c>
      <c r="W14122">
        <f t="shared" si="883"/>
        <v>0</v>
      </c>
    </row>
    <row r="14123" spans="5:23" x14ac:dyDescent="0.25">
      <c r="E14123" s="4"/>
      <c r="F14123" s="4"/>
      <c r="G14123" s="33" t="str">
        <f>IFERROR(VLOOKUP($D14123,'Informations sur les produits'!$A$3:$H$10000,8,FALSE),"0")</f>
        <v>0</v>
      </c>
      <c r="K14123" s="4"/>
      <c r="L14123" s="33" t="str">
        <f>IFERROR(VLOOKUP($J14123,'Informations sur les produits'!$A$3:$H$10000,8,FALSE),"0")</f>
        <v>0</v>
      </c>
      <c r="N14123" s="8"/>
      <c r="O14123" s="33" t="str">
        <f>IFERROR(VLOOKUP($M14123,'Informations sur les produits'!$A$3:$H$10000,8,FALSE),"0")</f>
        <v>0</v>
      </c>
      <c r="P14123" s="33">
        <f t="shared" si="880"/>
        <v>0</v>
      </c>
      <c r="Q14123" s="31" t="str">
        <f t="shared" si="881"/>
        <v/>
      </c>
      <c r="R14123" s="32" t="str">
        <f>IFERROR(VLOOKUP($D14123,'Informations sur les produits'!$A$3:$B$15000,2,FALSE),"")</f>
        <v/>
      </c>
      <c r="V14123">
        <f t="shared" si="882"/>
        <v>0</v>
      </c>
      <c r="W14123">
        <f t="shared" si="883"/>
        <v>0</v>
      </c>
    </row>
    <row r="14124" spans="5:23" x14ac:dyDescent="0.25">
      <c r="E14124" s="4"/>
      <c r="F14124" s="4"/>
      <c r="G14124" s="33" t="str">
        <f>IFERROR(VLOOKUP($D14124,'Informations sur les produits'!$A$3:$H$10000,8,FALSE),"0")</f>
        <v>0</v>
      </c>
      <c r="K14124" s="4"/>
      <c r="L14124" s="33" t="str">
        <f>IFERROR(VLOOKUP($J14124,'Informations sur les produits'!$A$3:$H$10000,8,FALSE),"0")</f>
        <v>0</v>
      </c>
      <c r="N14124" s="8"/>
      <c r="O14124" s="33" t="str">
        <f>IFERROR(VLOOKUP($M14124,'Informations sur les produits'!$A$3:$H$10000,8,FALSE),"0")</f>
        <v>0</v>
      </c>
      <c r="P14124" s="33">
        <f t="shared" si="880"/>
        <v>0</v>
      </c>
      <c r="Q14124" s="31" t="str">
        <f t="shared" si="881"/>
        <v/>
      </c>
      <c r="R14124" s="32" t="str">
        <f>IFERROR(VLOOKUP($D14124,'Informations sur les produits'!$A$3:$B$15000,2,FALSE),"")</f>
        <v/>
      </c>
      <c r="V14124">
        <f t="shared" si="882"/>
        <v>0</v>
      </c>
      <c r="W14124">
        <f t="shared" si="883"/>
        <v>0</v>
      </c>
    </row>
    <row r="14125" spans="5:23" x14ac:dyDescent="0.25">
      <c r="E14125" s="4"/>
      <c r="F14125" s="4"/>
      <c r="G14125" s="33" t="str">
        <f>IFERROR(VLOOKUP($D14125,'Informations sur les produits'!$A$3:$H$10000,8,FALSE),"0")</f>
        <v>0</v>
      </c>
      <c r="K14125" s="4"/>
      <c r="L14125" s="33" t="str">
        <f>IFERROR(VLOOKUP($J14125,'Informations sur les produits'!$A$3:$H$10000,8,FALSE),"0")</f>
        <v>0</v>
      </c>
      <c r="N14125" s="8"/>
      <c r="O14125" s="33" t="str">
        <f>IFERROR(VLOOKUP($M14125,'Informations sur les produits'!$A$3:$H$10000,8,FALSE),"0")</f>
        <v>0</v>
      </c>
      <c r="P14125" s="33">
        <f t="shared" si="880"/>
        <v>0</v>
      </c>
      <c r="Q14125" s="31" t="str">
        <f t="shared" si="881"/>
        <v/>
      </c>
      <c r="R14125" s="32" t="str">
        <f>IFERROR(VLOOKUP($D14125,'Informations sur les produits'!$A$3:$B$15000,2,FALSE),"")</f>
        <v/>
      </c>
      <c r="V14125">
        <f t="shared" si="882"/>
        <v>0</v>
      </c>
      <c r="W14125">
        <f t="shared" si="883"/>
        <v>0</v>
      </c>
    </row>
    <row r="14126" spans="5:23" x14ac:dyDescent="0.25">
      <c r="E14126" s="4"/>
      <c r="F14126" s="4"/>
      <c r="G14126" s="33" t="str">
        <f>IFERROR(VLOOKUP($D14126,'Informations sur les produits'!$A$3:$H$10000,8,FALSE),"0")</f>
        <v>0</v>
      </c>
      <c r="K14126" s="4"/>
      <c r="L14126" s="33" t="str">
        <f>IFERROR(VLOOKUP($J14126,'Informations sur les produits'!$A$3:$H$10000,8,FALSE),"0")</f>
        <v>0</v>
      </c>
      <c r="N14126" s="8"/>
      <c r="O14126" s="33" t="str">
        <f>IFERROR(VLOOKUP($M14126,'Informations sur les produits'!$A$3:$H$10000,8,FALSE),"0")</f>
        <v>0</v>
      </c>
      <c r="P14126" s="33">
        <f t="shared" si="880"/>
        <v>0</v>
      </c>
      <c r="Q14126" s="31" t="str">
        <f t="shared" si="881"/>
        <v/>
      </c>
      <c r="R14126" s="32" t="str">
        <f>IFERROR(VLOOKUP($D14126,'Informations sur les produits'!$A$3:$B$15000,2,FALSE),"")</f>
        <v/>
      </c>
      <c r="V14126">
        <f t="shared" si="882"/>
        <v>0</v>
      </c>
      <c r="W14126">
        <f t="shared" si="883"/>
        <v>0</v>
      </c>
    </row>
    <row r="14127" spans="5:23" x14ac:dyDescent="0.25">
      <c r="E14127" s="4"/>
      <c r="F14127" s="4"/>
      <c r="G14127" s="33" t="str">
        <f>IFERROR(VLOOKUP($D14127,'Informations sur les produits'!$A$3:$H$10000,8,FALSE),"0")</f>
        <v>0</v>
      </c>
      <c r="K14127" s="4"/>
      <c r="L14127" s="33" t="str">
        <f>IFERROR(VLOOKUP($J14127,'Informations sur les produits'!$A$3:$H$10000,8,FALSE),"0")</f>
        <v>0</v>
      </c>
      <c r="N14127" s="8"/>
      <c r="O14127" s="33" t="str">
        <f>IFERROR(VLOOKUP($M14127,'Informations sur les produits'!$A$3:$H$10000,8,FALSE),"0")</f>
        <v>0</v>
      </c>
      <c r="P14127" s="33">
        <f t="shared" si="880"/>
        <v>0</v>
      </c>
      <c r="Q14127" s="31" t="str">
        <f t="shared" si="881"/>
        <v/>
      </c>
      <c r="R14127" s="32" t="str">
        <f>IFERROR(VLOOKUP($D14127,'Informations sur les produits'!$A$3:$B$15000,2,FALSE),"")</f>
        <v/>
      </c>
      <c r="V14127">
        <f t="shared" si="882"/>
        <v>0</v>
      </c>
      <c r="W14127">
        <f t="shared" si="883"/>
        <v>0</v>
      </c>
    </row>
    <row r="14128" spans="5:23" x14ac:dyDescent="0.25">
      <c r="E14128" s="4"/>
      <c r="F14128" s="4"/>
      <c r="G14128" s="33" t="str">
        <f>IFERROR(VLOOKUP($D14128,'Informations sur les produits'!$A$3:$H$10000,8,FALSE),"0")</f>
        <v>0</v>
      </c>
      <c r="K14128" s="4"/>
      <c r="L14128" s="33" t="str">
        <f>IFERROR(VLOOKUP($J14128,'Informations sur les produits'!$A$3:$H$10000,8,FALSE),"0")</f>
        <v>0</v>
      </c>
      <c r="N14128" s="8"/>
      <c r="O14128" s="33" t="str">
        <f>IFERROR(VLOOKUP($M14128,'Informations sur les produits'!$A$3:$H$10000,8,FALSE),"0")</f>
        <v>0</v>
      </c>
      <c r="P14128" s="33">
        <f t="shared" si="880"/>
        <v>0</v>
      </c>
      <c r="Q14128" s="31" t="str">
        <f t="shared" si="881"/>
        <v/>
      </c>
      <c r="R14128" s="32" t="str">
        <f>IFERROR(VLOOKUP($D14128,'Informations sur les produits'!$A$3:$B$15000,2,FALSE),"")</f>
        <v/>
      </c>
      <c r="V14128">
        <f t="shared" si="882"/>
        <v>0</v>
      </c>
      <c r="W14128">
        <f t="shared" si="883"/>
        <v>0</v>
      </c>
    </row>
    <row r="14129" spans="5:23" x14ac:dyDescent="0.25">
      <c r="E14129" s="4"/>
      <c r="F14129" s="4"/>
      <c r="G14129" s="33" t="str">
        <f>IFERROR(VLOOKUP($D14129,'Informations sur les produits'!$A$3:$H$10000,8,FALSE),"0")</f>
        <v>0</v>
      </c>
      <c r="K14129" s="4"/>
      <c r="L14129" s="33" t="str">
        <f>IFERROR(VLOOKUP($J14129,'Informations sur les produits'!$A$3:$H$10000,8,FALSE),"0")</f>
        <v>0</v>
      </c>
      <c r="N14129" s="8"/>
      <c r="O14129" s="33" t="str">
        <f>IFERROR(VLOOKUP($M14129,'Informations sur les produits'!$A$3:$H$10000,8,FALSE),"0")</f>
        <v>0</v>
      </c>
      <c r="P14129" s="33">
        <f t="shared" si="880"/>
        <v>0</v>
      </c>
      <c r="Q14129" s="31" t="str">
        <f t="shared" si="881"/>
        <v/>
      </c>
      <c r="R14129" s="32" t="str">
        <f>IFERROR(VLOOKUP($D14129,'Informations sur les produits'!$A$3:$B$15000,2,FALSE),"")</f>
        <v/>
      </c>
      <c r="V14129">
        <f t="shared" si="882"/>
        <v>0</v>
      </c>
      <c r="W14129">
        <f t="shared" si="883"/>
        <v>0</v>
      </c>
    </row>
    <row r="14130" spans="5:23" x14ac:dyDescent="0.25">
      <c r="E14130" s="4"/>
      <c r="F14130" s="4"/>
      <c r="G14130" s="33" t="str">
        <f>IFERROR(VLOOKUP($D14130,'Informations sur les produits'!$A$3:$H$10000,8,FALSE),"0")</f>
        <v>0</v>
      </c>
      <c r="K14130" s="4"/>
      <c r="L14130" s="33" t="str">
        <f>IFERROR(VLOOKUP($J14130,'Informations sur les produits'!$A$3:$H$10000,8,FALSE),"0")</f>
        <v>0</v>
      </c>
      <c r="N14130" s="8"/>
      <c r="O14130" s="33" t="str">
        <f>IFERROR(VLOOKUP($M14130,'Informations sur les produits'!$A$3:$H$10000,8,FALSE),"0")</f>
        <v>0</v>
      </c>
      <c r="P14130" s="33">
        <f t="shared" si="880"/>
        <v>0</v>
      </c>
      <c r="Q14130" s="31" t="str">
        <f t="shared" si="881"/>
        <v/>
      </c>
      <c r="R14130" s="32" t="str">
        <f>IFERROR(VLOOKUP($D14130,'Informations sur les produits'!$A$3:$B$15000,2,FALSE),"")</f>
        <v/>
      </c>
      <c r="V14130">
        <f t="shared" si="882"/>
        <v>0</v>
      </c>
      <c r="W14130">
        <f t="shared" si="883"/>
        <v>0</v>
      </c>
    </row>
    <row r="14131" spans="5:23" x14ac:dyDescent="0.25">
      <c r="E14131" s="4"/>
      <c r="F14131" s="4"/>
      <c r="G14131" s="33" t="str">
        <f>IFERROR(VLOOKUP($D14131,'Informations sur les produits'!$A$3:$H$10000,8,FALSE),"0")</f>
        <v>0</v>
      </c>
      <c r="K14131" s="4"/>
      <c r="L14131" s="33" t="str">
        <f>IFERROR(VLOOKUP($J14131,'Informations sur les produits'!$A$3:$H$10000,8,FALSE),"0")</f>
        <v>0</v>
      </c>
      <c r="N14131" s="8"/>
      <c r="O14131" s="33" t="str">
        <f>IFERROR(VLOOKUP($M14131,'Informations sur les produits'!$A$3:$H$10000,8,FALSE),"0")</f>
        <v>0</v>
      </c>
      <c r="P14131" s="33">
        <f t="shared" si="880"/>
        <v>0</v>
      </c>
      <c r="Q14131" s="31" t="str">
        <f t="shared" si="881"/>
        <v/>
      </c>
      <c r="R14131" s="32" t="str">
        <f>IFERROR(VLOOKUP($D14131,'Informations sur les produits'!$A$3:$B$15000,2,FALSE),"")</f>
        <v/>
      </c>
      <c r="V14131">
        <f t="shared" si="882"/>
        <v>0</v>
      </c>
      <c r="W14131">
        <f t="shared" si="883"/>
        <v>0</v>
      </c>
    </row>
    <row r="14132" spans="5:23" x14ac:dyDescent="0.25">
      <c r="E14132" s="4"/>
      <c r="F14132" s="4"/>
      <c r="G14132" s="33" t="str">
        <f>IFERROR(VLOOKUP($D14132,'Informations sur les produits'!$A$3:$H$10000,8,FALSE),"0")</f>
        <v>0</v>
      </c>
      <c r="K14132" s="4"/>
      <c r="L14132" s="33" t="str">
        <f>IFERROR(VLOOKUP($J14132,'Informations sur les produits'!$A$3:$H$10000,8,FALSE),"0")</f>
        <v>0</v>
      </c>
      <c r="N14132" s="8"/>
      <c r="O14132" s="33" t="str">
        <f>IFERROR(VLOOKUP($M14132,'Informations sur les produits'!$A$3:$H$10000,8,FALSE),"0")</f>
        <v>0</v>
      </c>
      <c r="P14132" s="33">
        <f t="shared" si="880"/>
        <v>0</v>
      </c>
      <c r="Q14132" s="31" t="str">
        <f t="shared" si="881"/>
        <v/>
      </c>
      <c r="R14132" s="32" t="str">
        <f>IFERROR(VLOOKUP($D14132,'Informations sur les produits'!$A$3:$B$15000,2,FALSE),"")</f>
        <v/>
      </c>
      <c r="V14132">
        <f t="shared" si="882"/>
        <v>0</v>
      </c>
      <c r="W14132">
        <f t="shared" si="883"/>
        <v>0</v>
      </c>
    </row>
    <row r="14133" spans="5:23" x14ac:dyDescent="0.25">
      <c r="E14133" s="4"/>
      <c r="F14133" s="4"/>
      <c r="G14133" s="33" t="str">
        <f>IFERROR(VLOOKUP($D14133,'Informations sur les produits'!$A$3:$H$10000,8,FALSE),"0")</f>
        <v>0</v>
      </c>
      <c r="K14133" s="4"/>
      <c r="L14133" s="33" t="str">
        <f>IFERROR(VLOOKUP($J14133,'Informations sur les produits'!$A$3:$H$10000,8,FALSE),"0")</f>
        <v>0</v>
      </c>
      <c r="N14133" s="8"/>
      <c r="O14133" s="33" t="str">
        <f>IFERROR(VLOOKUP($M14133,'Informations sur les produits'!$A$3:$H$10000,8,FALSE),"0")</f>
        <v>0</v>
      </c>
      <c r="P14133" s="33">
        <f t="shared" si="880"/>
        <v>0</v>
      </c>
      <c r="Q14133" s="31" t="str">
        <f t="shared" si="881"/>
        <v/>
      </c>
      <c r="R14133" s="32" t="str">
        <f>IFERROR(VLOOKUP($D14133,'Informations sur les produits'!$A$3:$B$15000,2,FALSE),"")</f>
        <v/>
      </c>
      <c r="V14133">
        <f t="shared" si="882"/>
        <v>0</v>
      </c>
      <c r="W14133">
        <f t="shared" si="883"/>
        <v>0</v>
      </c>
    </row>
    <row r="14134" spans="5:23" x14ac:dyDescent="0.25">
      <c r="E14134" s="4"/>
      <c r="F14134" s="4"/>
      <c r="G14134" s="33" t="str">
        <f>IFERROR(VLOOKUP($D14134,'Informations sur les produits'!$A$3:$H$10000,8,FALSE),"0")</f>
        <v>0</v>
      </c>
      <c r="K14134" s="4"/>
      <c r="L14134" s="33" t="str">
        <f>IFERROR(VLOOKUP($J14134,'Informations sur les produits'!$A$3:$H$10000,8,FALSE),"0")</f>
        <v>0</v>
      </c>
      <c r="N14134" s="8"/>
      <c r="O14134" s="33" t="str">
        <f>IFERROR(VLOOKUP($M14134,'Informations sur les produits'!$A$3:$H$10000,8,FALSE),"0")</f>
        <v>0</v>
      </c>
      <c r="P14134" s="33">
        <f t="shared" si="880"/>
        <v>0</v>
      </c>
      <c r="Q14134" s="31" t="str">
        <f t="shared" si="881"/>
        <v/>
      </c>
      <c r="R14134" s="32" t="str">
        <f>IFERROR(VLOOKUP($D14134,'Informations sur les produits'!$A$3:$B$15000,2,FALSE),"")</f>
        <v/>
      </c>
      <c r="V14134">
        <f t="shared" si="882"/>
        <v>0</v>
      </c>
      <c r="W14134">
        <f t="shared" si="883"/>
        <v>0</v>
      </c>
    </row>
    <row r="14135" spans="5:23" x14ac:dyDescent="0.25">
      <c r="E14135" s="4"/>
      <c r="F14135" s="4"/>
      <c r="G14135" s="33" t="str">
        <f>IFERROR(VLOOKUP($D14135,'Informations sur les produits'!$A$3:$H$10000,8,FALSE),"0")</f>
        <v>0</v>
      </c>
      <c r="K14135" s="4"/>
      <c r="L14135" s="33" t="str">
        <f>IFERROR(VLOOKUP($J14135,'Informations sur les produits'!$A$3:$H$10000,8,FALSE),"0")</f>
        <v>0</v>
      </c>
      <c r="N14135" s="8"/>
      <c r="O14135" s="33" t="str">
        <f>IFERROR(VLOOKUP($M14135,'Informations sur les produits'!$A$3:$H$10000,8,FALSE),"0")</f>
        <v>0</v>
      </c>
      <c r="P14135" s="33">
        <f t="shared" si="880"/>
        <v>0</v>
      </c>
      <c r="Q14135" s="31" t="str">
        <f t="shared" si="881"/>
        <v/>
      </c>
      <c r="R14135" s="32" t="str">
        <f>IFERROR(VLOOKUP($D14135,'Informations sur les produits'!$A$3:$B$15000,2,FALSE),"")</f>
        <v/>
      </c>
      <c r="V14135">
        <f t="shared" si="882"/>
        <v>0</v>
      </c>
      <c r="W14135">
        <f t="shared" si="883"/>
        <v>0</v>
      </c>
    </row>
    <row r="14136" spans="5:23" x14ac:dyDescent="0.25">
      <c r="E14136" s="4"/>
      <c r="F14136" s="4"/>
      <c r="G14136" s="33" t="str">
        <f>IFERROR(VLOOKUP($D14136,'Informations sur les produits'!$A$3:$H$10000,8,FALSE),"0")</f>
        <v>0</v>
      </c>
      <c r="K14136" s="4"/>
      <c r="L14136" s="33" t="str">
        <f>IFERROR(VLOOKUP($J14136,'Informations sur les produits'!$A$3:$H$10000,8,FALSE),"0")</f>
        <v>0</v>
      </c>
      <c r="N14136" s="8"/>
      <c r="O14136" s="33" t="str">
        <f>IFERROR(VLOOKUP($M14136,'Informations sur les produits'!$A$3:$H$10000,8,FALSE),"0")</f>
        <v>0</v>
      </c>
      <c r="P14136" s="33">
        <f t="shared" si="880"/>
        <v>0</v>
      </c>
      <c r="Q14136" s="31" t="str">
        <f t="shared" si="881"/>
        <v/>
      </c>
      <c r="R14136" s="32" t="str">
        <f>IFERROR(VLOOKUP($D14136,'Informations sur les produits'!$A$3:$B$15000,2,FALSE),"")</f>
        <v/>
      </c>
      <c r="V14136">
        <f t="shared" si="882"/>
        <v>0</v>
      </c>
      <c r="W14136">
        <f t="shared" si="883"/>
        <v>0</v>
      </c>
    </row>
    <row r="14137" spans="5:23" x14ac:dyDescent="0.25">
      <c r="E14137" s="4"/>
      <c r="F14137" s="4"/>
      <c r="G14137" s="33" t="str">
        <f>IFERROR(VLOOKUP($D14137,'Informations sur les produits'!$A$3:$H$10000,8,FALSE),"0")</f>
        <v>0</v>
      </c>
      <c r="K14137" s="4"/>
      <c r="L14137" s="33" t="str">
        <f>IFERROR(VLOOKUP($J14137,'Informations sur les produits'!$A$3:$H$10000,8,FALSE),"0")</f>
        <v>0</v>
      </c>
      <c r="N14137" s="8"/>
      <c r="O14137" s="33" t="str">
        <f>IFERROR(VLOOKUP($M14137,'Informations sur les produits'!$A$3:$H$10000,8,FALSE),"0")</f>
        <v>0</v>
      </c>
      <c r="P14137" s="33">
        <f t="shared" si="880"/>
        <v>0</v>
      </c>
      <c r="Q14137" s="31" t="str">
        <f t="shared" si="881"/>
        <v/>
      </c>
      <c r="R14137" s="32" t="str">
        <f>IFERROR(VLOOKUP($D14137,'Informations sur les produits'!$A$3:$B$15000,2,FALSE),"")</f>
        <v/>
      </c>
      <c r="V14137">
        <f t="shared" si="882"/>
        <v>0</v>
      </c>
      <c r="W14137">
        <f t="shared" si="883"/>
        <v>0</v>
      </c>
    </row>
    <row r="14138" spans="5:23" x14ac:dyDescent="0.25">
      <c r="E14138" s="4"/>
      <c r="F14138" s="4"/>
      <c r="G14138" s="33" t="str">
        <f>IFERROR(VLOOKUP($D14138,'Informations sur les produits'!$A$3:$H$10000,8,FALSE),"0")</f>
        <v>0</v>
      </c>
      <c r="K14138" s="4"/>
      <c r="L14138" s="33" t="str">
        <f>IFERROR(VLOOKUP($J14138,'Informations sur les produits'!$A$3:$H$10000,8,FALSE),"0")</f>
        <v>0</v>
      </c>
      <c r="N14138" s="8"/>
      <c r="O14138" s="33" t="str">
        <f>IFERROR(VLOOKUP($M14138,'Informations sur les produits'!$A$3:$H$10000,8,FALSE),"0")</f>
        <v>0</v>
      </c>
      <c r="P14138" s="33">
        <f t="shared" si="880"/>
        <v>0</v>
      </c>
      <c r="Q14138" s="31" t="str">
        <f t="shared" si="881"/>
        <v/>
      </c>
      <c r="R14138" s="32" t="str">
        <f>IFERROR(VLOOKUP($D14138,'Informations sur les produits'!$A$3:$B$15000,2,FALSE),"")</f>
        <v/>
      </c>
      <c r="V14138">
        <f t="shared" si="882"/>
        <v>0</v>
      </c>
      <c r="W14138">
        <f t="shared" si="883"/>
        <v>0</v>
      </c>
    </row>
    <row r="14139" spans="5:23" x14ac:dyDescent="0.25">
      <c r="E14139" s="4"/>
      <c r="F14139" s="4"/>
      <c r="G14139" s="33" t="str">
        <f>IFERROR(VLOOKUP($D14139,'Informations sur les produits'!$A$3:$H$10000,8,FALSE),"0")</f>
        <v>0</v>
      </c>
      <c r="K14139" s="4"/>
      <c r="L14139" s="33" t="str">
        <f>IFERROR(VLOOKUP($J14139,'Informations sur les produits'!$A$3:$H$10000,8,FALSE),"0")</f>
        <v>0</v>
      </c>
      <c r="N14139" s="8"/>
      <c r="O14139" s="33" t="str">
        <f>IFERROR(VLOOKUP($M14139,'Informations sur les produits'!$A$3:$H$10000,8,FALSE),"0")</f>
        <v>0</v>
      </c>
      <c r="P14139" s="33">
        <f t="shared" si="880"/>
        <v>0</v>
      </c>
      <c r="Q14139" s="31" t="str">
        <f t="shared" si="881"/>
        <v/>
      </c>
      <c r="R14139" s="32" t="str">
        <f>IFERROR(VLOOKUP($D14139,'Informations sur les produits'!$A$3:$B$15000,2,FALSE),"")</f>
        <v/>
      </c>
      <c r="V14139">
        <f t="shared" si="882"/>
        <v>0</v>
      </c>
      <c r="W14139">
        <f t="shared" si="883"/>
        <v>0</v>
      </c>
    </row>
    <row r="14140" spans="5:23" x14ac:dyDescent="0.25">
      <c r="E14140" s="4"/>
      <c r="F14140" s="4"/>
      <c r="G14140" s="33" t="str">
        <f>IFERROR(VLOOKUP($D14140,'Informations sur les produits'!$A$3:$H$10000,8,FALSE),"0")</f>
        <v>0</v>
      </c>
      <c r="K14140" s="4"/>
      <c r="L14140" s="33" t="str">
        <f>IFERROR(VLOOKUP($J14140,'Informations sur les produits'!$A$3:$H$10000,8,FALSE),"0")</f>
        <v>0</v>
      </c>
      <c r="N14140" s="8"/>
      <c r="O14140" s="33" t="str">
        <f>IFERROR(VLOOKUP($M14140,'Informations sur les produits'!$A$3:$H$10000,8,FALSE),"0")</f>
        <v>0</v>
      </c>
      <c r="P14140" s="33">
        <f t="shared" si="880"/>
        <v>0</v>
      </c>
      <c r="Q14140" s="31" t="str">
        <f t="shared" si="881"/>
        <v/>
      </c>
      <c r="R14140" s="32" t="str">
        <f>IFERROR(VLOOKUP($D14140,'Informations sur les produits'!$A$3:$B$15000,2,FALSE),"")</f>
        <v/>
      </c>
      <c r="V14140">
        <f t="shared" si="882"/>
        <v>0</v>
      </c>
      <c r="W14140">
        <f t="shared" si="883"/>
        <v>0</v>
      </c>
    </row>
    <row r="14141" spans="5:23" x14ac:dyDescent="0.25">
      <c r="E14141" s="4"/>
      <c r="F14141" s="4"/>
      <c r="G14141" s="33" t="str">
        <f>IFERROR(VLOOKUP($D14141,'Informations sur les produits'!$A$3:$H$10000,8,FALSE),"0")</f>
        <v>0</v>
      </c>
      <c r="K14141" s="4"/>
      <c r="L14141" s="33" t="str">
        <f>IFERROR(VLOOKUP($J14141,'Informations sur les produits'!$A$3:$H$10000,8,FALSE),"0")</f>
        <v>0</v>
      </c>
      <c r="N14141" s="8"/>
      <c r="O14141" s="33" t="str">
        <f>IFERROR(VLOOKUP($M14141,'Informations sur les produits'!$A$3:$H$10000,8,FALSE),"0")</f>
        <v>0</v>
      </c>
      <c r="P14141" s="33">
        <f t="shared" si="880"/>
        <v>0</v>
      </c>
      <c r="Q14141" s="31" t="str">
        <f t="shared" si="881"/>
        <v/>
      </c>
      <c r="R14141" s="32" t="str">
        <f>IFERROR(VLOOKUP($D14141,'Informations sur les produits'!$A$3:$B$15000,2,FALSE),"")</f>
        <v/>
      </c>
      <c r="V14141">
        <f t="shared" si="882"/>
        <v>0</v>
      </c>
      <c r="W14141">
        <f t="shared" si="883"/>
        <v>0</v>
      </c>
    </row>
    <row r="14142" spans="5:23" x14ac:dyDescent="0.25">
      <c r="E14142" s="4"/>
      <c r="F14142" s="4"/>
      <c r="G14142" s="33" t="str">
        <f>IFERROR(VLOOKUP($D14142,'Informations sur les produits'!$A$3:$H$10000,8,FALSE),"0")</f>
        <v>0</v>
      </c>
      <c r="K14142" s="4"/>
      <c r="L14142" s="33" t="str">
        <f>IFERROR(VLOOKUP($J14142,'Informations sur les produits'!$A$3:$H$10000,8,FALSE),"0")</f>
        <v>0</v>
      </c>
      <c r="N14142" s="8"/>
      <c r="O14142" s="33" t="str">
        <f>IFERROR(VLOOKUP($M14142,'Informations sur les produits'!$A$3:$H$10000,8,FALSE),"0")</f>
        <v>0</v>
      </c>
      <c r="P14142" s="33">
        <f t="shared" si="880"/>
        <v>0</v>
      </c>
      <c r="Q14142" s="31" t="str">
        <f t="shared" si="881"/>
        <v/>
      </c>
      <c r="R14142" s="32" t="str">
        <f>IFERROR(VLOOKUP($D14142,'Informations sur les produits'!$A$3:$B$15000,2,FALSE),"")</f>
        <v/>
      </c>
      <c r="V14142">
        <f t="shared" si="882"/>
        <v>0</v>
      </c>
      <c r="W14142">
        <f t="shared" si="883"/>
        <v>0</v>
      </c>
    </row>
    <row r="14143" spans="5:23" x14ac:dyDescent="0.25">
      <c r="E14143" s="4"/>
      <c r="F14143" s="4"/>
      <c r="G14143" s="33" t="str">
        <f>IFERROR(VLOOKUP($D14143,'Informations sur les produits'!$A$3:$H$10000,8,FALSE),"0")</f>
        <v>0</v>
      </c>
      <c r="K14143" s="4"/>
      <c r="L14143" s="33" t="str">
        <f>IFERROR(VLOOKUP($J14143,'Informations sur les produits'!$A$3:$H$10000,8,FALSE),"0")</f>
        <v>0</v>
      </c>
      <c r="N14143" s="8"/>
      <c r="O14143" s="33" t="str">
        <f>IFERROR(VLOOKUP($M14143,'Informations sur les produits'!$A$3:$H$10000,8,FALSE),"0")</f>
        <v>0</v>
      </c>
      <c r="P14143" s="33">
        <f t="shared" si="880"/>
        <v>0</v>
      </c>
      <c r="Q14143" s="31" t="str">
        <f t="shared" si="881"/>
        <v/>
      </c>
      <c r="R14143" s="32" t="str">
        <f>IFERROR(VLOOKUP($D14143,'Informations sur les produits'!$A$3:$B$15000,2,FALSE),"")</f>
        <v/>
      </c>
      <c r="V14143">
        <f t="shared" si="882"/>
        <v>0</v>
      </c>
      <c r="W14143">
        <f t="shared" si="883"/>
        <v>0</v>
      </c>
    </row>
    <row r="14144" spans="5:23" x14ac:dyDescent="0.25">
      <c r="E14144" s="4"/>
      <c r="F14144" s="4"/>
      <c r="G14144" s="33" t="str">
        <f>IFERROR(VLOOKUP($D14144,'Informations sur les produits'!$A$3:$H$10000,8,FALSE),"0")</f>
        <v>0</v>
      </c>
      <c r="K14144" s="4"/>
      <c r="L14144" s="33" t="str">
        <f>IFERROR(VLOOKUP($J14144,'Informations sur les produits'!$A$3:$H$10000,8,FALSE),"0")</f>
        <v>0</v>
      </c>
      <c r="N14144" s="8"/>
      <c r="O14144" s="33" t="str">
        <f>IFERROR(VLOOKUP($M14144,'Informations sur les produits'!$A$3:$H$10000,8,FALSE),"0")</f>
        <v>0</v>
      </c>
      <c r="P14144" s="33">
        <f t="shared" si="880"/>
        <v>0</v>
      </c>
      <c r="Q14144" s="31" t="str">
        <f t="shared" si="881"/>
        <v/>
      </c>
      <c r="R14144" s="32" t="str">
        <f>IFERROR(VLOOKUP($D14144,'Informations sur les produits'!$A$3:$B$15000,2,FALSE),"")</f>
        <v/>
      </c>
      <c r="V14144">
        <f t="shared" si="882"/>
        <v>0</v>
      </c>
      <c r="W14144">
        <f t="shared" si="883"/>
        <v>0</v>
      </c>
    </row>
    <row r="14145" spans="5:23" x14ac:dyDescent="0.25">
      <c r="E14145" s="4"/>
      <c r="F14145" s="4"/>
      <c r="G14145" s="33" t="str">
        <f>IFERROR(VLOOKUP($D14145,'Informations sur les produits'!$A$3:$H$10000,8,FALSE),"0")</f>
        <v>0</v>
      </c>
      <c r="K14145" s="4"/>
      <c r="L14145" s="33" t="str">
        <f>IFERROR(VLOOKUP($J14145,'Informations sur les produits'!$A$3:$H$10000,8,FALSE),"0")</f>
        <v>0</v>
      </c>
      <c r="N14145" s="8"/>
      <c r="O14145" s="33" t="str">
        <f>IFERROR(VLOOKUP($M14145,'Informations sur les produits'!$A$3:$H$10000,8,FALSE),"0")</f>
        <v>0</v>
      </c>
      <c r="P14145" s="33">
        <f t="shared" si="880"/>
        <v>0</v>
      </c>
      <c r="Q14145" s="31" t="str">
        <f t="shared" si="881"/>
        <v/>
      </c>
      <c r="R14145" s="32" t="str">
        <f>IFERROR(VLOOKUP($D14145,'Informations sur les produits'!$A$3:$B$15000,2,FALSE),"")</f>
        <v/>
      </c>
      <c r="V14145">
        <f t="shared" si="882"/>
        <v>0</v>
      </c>
      <c r="W14145">
        <f t="shared" si="883"/>
        <v>0</v>
      </c>
    </row>
    <row r="14146" spans="5:23" x14ac:dyDescent="0.25">
      <c r="E14146" s="4"/>
      <c r="F14146" s="4"/>
      <c r="G14146" s="33" t="str">
        <f>IFERROR(VLOOKUP($D14146,'Informations sur les produits'!$A$3:$H$10000,8,FALSE),"0")</f>
        <v>0</v>
      </c>
      <c r="K14146" s="4"/>
      <c r="L14146" s="33" t="str">
        <f>IFERROR(VLOOKUP($J14146,'Informations sur les produits'!$A$3:$H$10000,8,FALSE),"0")</f>
        <v>0</v>
      </c>
      <c r="N14146" s="8"/>
      <c r="O14146" s="33" t="str">
        <f>IFERROR(VLOOKUP($M14146,'Informations sur les produits'!$A$3:$H$10000,8,FALSE),"0")</f>
        <v>0</v>
      </c>
      <c r="P14146" s="33">
        <f t="shared" si="880"/>
        <v>0</v>
      </c>
      <c r="Q14146" s="31" t="str">
        <f t="shared" si="881"/>
        <v/>
      </c>
      <c r="R14146" s="32" t="str">
        <f>IFERROR(VLOOKUP($D14146,'Informations sur les produits'!$A$3:$B$15000,2,FALSE),"")</f>
        <v/>
      </c>
      <c r="V14146">
        <f t="shared" si="882"/>
        <v>0</v>
      </c>
      <c r="W14146">
        <f t="shared" si="883"/>
        <v>0</v>
      </c>
    </row>
    <row r="14147" spans="5:23" x14ac:dyDescent="0.25">
      <c r="E14147" s="4"/>
      <c r="F14147" s="4"/>
      <c r="G14147" s="33" t="str">
        <f>IFERROR(VLOOKUP($D14147,'Informations sur les produits'!$A$3:$H$10000,8,FALSE),"0")</f>
        <v>0</v>
      </c>
      <c r="K14147" s="4"/>
      <c r="L14147" s="33" t="str">
        <f>IFERROR(VLOOKUP($J14147,'Informations sur les produits'!$A$3:$H$10000,8,FALSE),"0")</f>
        <v>0</v>
      </c>
      <c r="N14147" s="8"/>
      <c r="O14147" s="33" t="str">
        <f>IFERROR(VLOOKUP($M14147,'Informations sur les produits'!$A$3:$H$10000,8,FALSE),"0")</f>
        <v>0</v>
      </c>
      <c r="P14147" s="33">
        <f t="shared" si="880"/>
        <v>0</v>
      </c>
      <c r="Q14147" s="31" t="str">
        <f t="shared" si="881"/>
        <v/>
      </c>
      <c r="R14147" s="32" t="str">
        <f>IFERROR(VLOOKUP($D14147,'Informations sur les produits'!$A$3:$B$15000,2,FALSE),"")</f>
        <v/>
      </c>
      <c r="V14147">
        <f t="shared" si="882"/>
        <v>0</v>
      </c>
      <c r="W14147">
        <f t="shared" si="883"/>
        <v>0</v>
      </c>
    </row>
    <row r="14148" spans="5:23" x14ac:dyDescent="0.25">
      <c r="E14148" s="4"/>
      <c r="F14148" s="4"/>
      <c r="G14148" s="33" t="str">
        <f>IFERROR(VLOOKUP($D14148,'Informations sur les produits'!$A$3:$H$10000,8,FALSE),"0")</f>
        <v>0</v>
      </c>
      <c r="K14148" s="4"/>
      <c r="L14148" s="33" t="str">
        <f>IFERROR(VLOOKUP($J14148,'Informations sur les produits'!$A$3:$H$10000,8,FALSE),"0")</f>
        <v>0</v>
      </c>
      <c r="N14148" s="8"/>
      <c r="O14148" s="33" t="str">
        <f>IFERROR(VLOOKUP($M14148,'Informations sur les produits'!$A$3:$H$10000,8,FALSE),"0")</f>
        <v>0</v>
      </c>
      <c r="P14148" s="33">
        <f t="shared" ref="P14148:P14211" si="884">IFERROR((($E14148-$F14148)*$G14148+$K14148*$L14148+$N14148*$O14148),"")</f>
        <v>0</v>
      </c>
      <c r="Q14148" s="31" t="str">
        <f t="shared" ref="Q14148:Q14211" si="885">IFERROR((((($E14148-$F14148)*$G14148+$K14148*$L14148+$N14148*$O14148)*1000)/(($E14148-$F14148)+$K14148+$N14148)),"")</f>
        <v/>
      </c>
      <c r="R14148" s="32" t="str">
        <f>IFERROR(VLOOKUP($D14148,'Informations sur les produits'!$A$3:$B$15000,2,FALSE),"")</f>
        <v/>
      </c>
      <c r="V14148">
        <f t="shared" ref="V14148:V14211" si="886">IFERROR(P14148*1000,"")</f>
        <v>0</v>
      </c>
      <c r="W14148">
        <f t="shared" ref="W14148:W14211" si="887">IFERROR(($E14148-$F14148)+$K14148+$N14148,"")</f>
        <v>0</v>
      </c>
    </row>
    <row r="14149" spans="5:23" x14ac:dyDescent="0.25">
      <c r="E14149" s="4"/>
      <c r="F14149" s="4"/>
      <c r="G14149" s="33" t="str">
        <f>IFERROR(VLOOKUP($D14149,'Informations sur les produits'!$A$3:$H$10000,8,FALSE),"0")</f>
        <v>0</v>
      </c>
      <c r="K14149" s="4"/>
      <c r="L14149" s="33" t="str">
        <f>IFERROR(VLOOKUP($J14149,'Informations sur les produits'!$A$3:$H$10000,8,FALSE),"0")</f>
        <v>0</v>
      </c>
      <c r="N14149" s="8"/>
      <c r="O14149" s="33" t="str">
        <f>IFERROR(VLOOKUP($M14149,'Informations sur les produits'!$A$3:$H$10000,8,FALSE),"0")</f>
        <v>0</v>
      </c>
      <c r="P14149" s="33">
        <f t="shared" si="884"/>
        <v>0</v>
      </c>
      <c r="Q14149" s="31" t="str">
        <f t="shared" si="885"/>
        <v/>
      </c>
      <c r="R14149" s="32" t="str">
        <f>IFERROR(VLOOKUP($D14149,'Informations sur les produits'!$A$3:$B$15000,2,FALSE),"")</f>
        <v/>
      </c>
      <c r="V14149">
        <f t="shared" si="886"/>
        <v>0</v>
      </c>
      <c r="W14149">
        <f t="shared" si="887"/>
        <v>0</v>
      </c>
    </row>
    <row r="14150" spans="5:23" x14ac:dyDescent="0.25">
      <c r="E14150" s="4"/>
      <c r="F14150" s="4"/>
      <c r="G14150" s="33" t="str">
        <f>IFERROR(VLOOKUP($D14150,'Informations sur les produits'!$A$3:$H$10000,8,FALSE),"0")</f>
        <v>0</v>
      </c>
      <c r="K14150" s="4"/>
      <c r="L14150" s="33" t="str">
        <f>IFERROR(VLOOKUP($J14150,'Informations sur les produits'!$A$3:$H$10000,8,FALSE),"0")</f>
        <v>0</v>
      </c>
      <c r="N14150" s="8"/>
      <c r="O14150" s="33" t="str">
        <f>IFERROR(VLOOKUP($M14150,'Informations sur les produits'!$A$3:$H$10000,8,FALSE),"0")</f>
        <v>0</v>
      </c>
      <c r="P14150" s="33">
        <f t="shared" si="884"/>
        <v>0</v>
      </c>
      <c r="Q14150" s="31" t="str">
        <f t="shared" si="885"/>
        <v/>
      </c>
      <c r="R14150" s="32" t="str">
        <f>IFERROR(VLOOKUP($D14150,'Informations sur les produits'!$A$3:$B$15000,2,FALSE),"")</f>
        <v/>
      </c>
      <c r="V14150">
        <f t="shared" si="886"/>
        <v>0</v>
      </c>
      <c r="W14150">
        <f t="shared" si="887"/>
        <v>0</v>
      </c>
    </row>
    <row r="14151" spans="5:23" x14ac:dyDescent="0.25">
      <c r="E14151" s="4"/>
      <c r="F14151" s="4"/>
      <c r="G14151" s="33" t="str">
        <f>IFERROR(VLOOKUP($D14151,'Informations sur les produits'!$A$3:$H$10000,8,FALSE),"0")</f>
        <v>0</v>
      </c>
      <c r="K14151" s="4"/>
      <c r="L14151" s="33" t="str">
        <f>IFERROR(VLOOKUP($J14151,'Informations sur les produits'!$A$3:$H$10000,8,FALSE),"0")</f>
        <v>0</v>
      </c>
      <c r="N14151" s="8"/>
      <c r="O14151" s="33" t="str">
        <f>IFERROR(VLOOKUP($M14151,'Informations sur les produits'!$A$3:$H$10000,8,FALSE),"0")</f>
        <v>0</v>
      </c>
      <c r="P14151" s="33">
        <f t="shared" si="884"/>
        <v>0</v>
      </c>
      <c r="Q14151" s="31" t="str">
        <f t="shared" si="885"/>
        <v/>
      </c>
      <c r="R14151" s="32" t="str">
        <f>IFERROR(VLOOKUP($D14151,'Informations sur les produits'!$A$3:$B$15000,2,FALSE),"")</f>
        <v/>
      </c>
      <c r="V14151">
        <f t="shared" si="886"/>
        <v>0</v>
      </c>
      <c r="W14151">
        <f t="shared" si="887"/>
        <v>0</v>
      </c>
    </row>
    <row r="14152" spans="5:23" x14ac:dyDescent="0.25">
      <c r="E14152" s="4"/>
      <c r="F14152" s="4"/>
      <c r="G14152" s="33" t="str">
        <f>IFERROR(VLOOKUP($D14152,'Informations sur les produits'!$A$3:$H$10000,8,FALSE),"0")</f>
        <v>0</v>
      </c>
      <c r="K14152" s="4"/>
      <c r="L14152" s="33" t="str">
        <f>IFERROR(VLOOKUP($J14152,'Informations sur les produits'!$A$3:$H$10000,8,FALSE),"0")</f>
        <v>0</v>
      </c>
      <c r="N14152" s="8"/>
      <c r="O14152" s="33" t="str">
        <f>IFERROR(VLOOKUP($M14152,'Informations sur les produits'!$A$3:$H$10000,8,FALSE),"0")</f>
        <v>0</v>
      </c>
      <c r="P14152" s="33">
        <f t="shared" si="884"/>
        <v>0</v>
      </c>
      <c r="Q14152" s="31" t="str">
        <f t="shared" si="885"/>
        <v/>
      </c>
      <c r="R14152" s="32" t="str">
        <f>IFERROR(VLOOKUP($D14152,'Informations sur les produits'!$A$3:$B$15000,2,FALSE),"")</f>
        <v/>
      </c>
      <c r="V14152">
        <f t="shared" si="886"/>
        <v>0</v>
      </c>
      <c r="W14152">
        <f t="shared" si="887"/>
        <v>0</v>
      </c>
    </row>
    <row r="14153" spans="5:23" x14ac:dyDescent="0.25">
      <c r="E14153" s="4"/>
      <c r="F14153" s="4"/>
      <c r="G14153" s="33" t="str">
        <f>IFERROR(VLOOKUP($D14153,'Informations sur les produits'!$A$3:$H$10000,8,FALSE),"0")</f>
        <v>0</v>
      </c>
      <c r="K14153" s="4"/>
      <c r="L14153" s="33" t="str">
        <f>IFERROR(VLOOKUP($J14153,'Informations sur les produits'!$A$3:$H$10000,8,FALSE),"0")</f>
        <v>0</v>
      </c>
      <c r="N14153" s="8"/>
      <c r="O14153" s="33" t="str">
        <f>IFERROR(VLOOKUP($M14153,'Informations sur les produits'!$A$3:$H$10000,8,FALSE),"0")</f>
        <v>0</v>
      </c>
      <c r="P14153" s="33">
        <f t="shared" si="884"/>
        <v>0</v>
      </c>
      <c r="Q14153" s="31" t="str">
        <f t="shared" si="885"/>
        <v/>
      </c>
      <c r="R14153" s="32" t="str">
        <f>IFERROR(VLOOKUP($D14153,'Informations sur les produits'!$A$3:$B$15000,2,FALSE),"")</f>
        <v/>
      </c>
      <c r="V14153">
        <f t="shared" si="886"/>
        <v>0</v>
      </c>
      <c r="W14153">
        <f t="shared" si="887"/>
        <v>0</v>
      </c>
    </row>
    <row r="14154" spans="5:23" x14ac:dyDescent="0.25">
      <c r="E14154" s="4"/>
      <c r="F14154" s="4"/>
      <c r="G14154" s="33" t="str">
        <f>IFERROR(VLOOKUP($D14154,'Informations sur les produits'!$A$3:$H$10000,8,FALSE),"0")</f>
        <v>0</v>
      </c>
      <c r="K14154" s="4"/>
      <c r="L14154" s="33" t="str">
        <f>IFERROR(VLOOKUP($J14154,'Informations sur les produits'!$A$3:$H$10000,8,FALSE),"0")</f>
        <v>0</v>
      </c>
      <c r="N14154" s="8"/>
      <c r="O14154" s="33" t="str">
        <f>IFERROR(VLOOKUP($M14154,'Informations sur les produits'!$A$3:$H$10000,8,FALSE),"0")</f>
        <v>0</v>
      </c>
      <c r="P14154" s="33">
        <f t="shared" si="884"/>
        <v>0</v>
      </c>
      <c r="Q14154" s="31" t="str">
        <f t="shared" si="885"/>
        <v/>
      </c>
      <c r="R14154" s="32" t="str">
        <f>IFERROR(VLOOKUP($D14154,'Informations sur les produits'!$A$3:$B$15000,2,FALSE),"")</f>
        <v/>
      </c>
      <c r="V14154">
        <f t="shared" si="886"/>
        <v>0</v>
      </c>
      <c r="W14154">
        <f t="shared" si="887"/>
        <v>0</v>
      </c>
    </row>
    <row r="14155" spans="5:23" x14ac:dyDescent="0.25">
      <c r="E14155" s="4"/>
      <c r="F14155" s="4"/>
      <c r="G14155" s="33" t="str">
        <f>IFERROR(VLOOKUP($D14155,'Informations sur les produits'!$A$3:$H$10000,8,FALSE),"0")</f>
        <v>0</v>
      </c>
      <c r="K14155" s="4"/>
      <c r="L14155" s="33" t="str">
        <f>IFERROR(VLOOKUP($J14155,'Informations sur les produits'!$A$3:$H$10000,8,FALSE),"0")</f>
        <v>0</v>
      </c>
      <c r="N14155" s="8"/>
      <c r="O14155" s="33" t="str">
        <f>IFERROR(VLOOKUP($M14155,'Informations sur les produits'!$A$3:$H$10000,8,FALSE),"0")</f>
        <v>0</v>
      </c>
      <c r="P14155" s="33">
        <f t="shared" si="884"/>
        <v>0</v>
      </c>
      <c r="Q14155" s="31" t="str">
        <f t="shared" si="885"/>
        <v/>
      </c>
      <c r="R14155" s="32" t="str">
        <f>IFERROR(VLOOKUP($D14155,'Informations sur les produits'!$A$3:$B$15000,2,FALSE),"")</f>
        <v/>
      </c>
      <c r="V14155">
        <f t="shared" si="886"/>
        <v>0</v>
      </c>
      <c r="W14155">
        <f t="shared" si="887"/>
        <v>0</v>
      </c>
    </row>
    <row r="14156" spans="5:23" x14ac:dyDescent="0.25">
      <c r="E14156" s="4"/>
      <c r="F14156" s="4"/>
      <c r="G14156" s="33" t="str">
        <f>IFERROR(VLOOKUP($D14156,'Informations sur les produits'!$A$3:$H$10000,8,FALSE),"0")</f>
        <v>0</v>
      </c>
      <c r="K14156" s="4"/>
      <c r="L14156" s="33" t="str">
        <f>IFERROR(VLOOKUP($J14156,'Informations sur les produits'!$A$3:$H$10000,8,FALSE),"0")</f>
        <v>0</v>
      </c>
      <c r="N14156" s="8"/>
      <c r="O14156" s="33" t="str">
        <f>IFERROR(VLOOKUP($M14156,'Informations sur les produits'!$A$3:$H$10000,8,FALSE),"0")</f>
        <v>0</v>
      </c>
      <c r="P14156" s="33">
        <f t="shared" si="884"/>
        <v>0</v>
      </c>
      <c r="Q14156" s="31" t="str">
        <f t="shared" si="885"/>
        <v/>
      </c>
      <c r="R14156" s="32" t="str">
        <f>IFERROR(VLOOKUP($D14156,'Informations sur les produits'!$A$3:$B$15000,2,FALSE),"")</f>
        <v/>
      </c>
      <c r="V14156">
        <f t="shared" si="886"/>
        <v>0</v>
      </c>
      <c r="W14156">
        <f t="shared" si="887"/>
        <v>0</v>
      </c>
    </row>
    <row r="14157" spans="5:23" x14ac:dyDescent="0.25">
      <c r="E14157" s="4"/>
      <c r="F14157" s="4"/>
      <c r="G14157" s="33" t="str">
        <f>IFERROR(VLOOKUP($D14157,'Informations sur les produits'!$A$3:$H$10000,8,FALSE),"0")</f>
        <v>0</v>
      </c>
      <c r="K14157" s="4"/>
      <c r="L14157" s="33" t="str">
        <f>IFERROR(VLOOKUP($J14157,'Informations sur les produits'!$A$3:$H$10000,8,FALSE),"0")</f>
        <v>0</v>
      </c>
      <c r="N14157" s="8"/>
      <c r="O14157" s="33" t="str">
        <f>IFERROR(VLOOKUP($M14157,'Informations sur les produits'!$A$3:$H$10000,8,FALSE),"0")</f>
        <v>0</v>
      </c>
      <c r="P14157" s="33">
        <f t="shared" si="884"/>
        <v>0</v>
      </c>
      <c r="Q14157" s="31" t="str">
        <f t="shared" si="885"/>
        <v/>
      </c>
      <c r="R14157" s="32" t="str">
        <f>IFERROR(VLOOKUP($D14157,'Informations sur les produits'!$A$3:$B$15000,2,FALSE),"")</f>
        <v/>
      </c>
      <c r="V14157">
        <f t="shared" si="886"/>
        <v>0</v>
      </c>
      <c r="W14157">
        <f t="shared" si="887"/>
        <v>0</v>
      </c>
    </row>
    <row r="14158" spans="5:23" x14ac:dyDescent="0.25">
      <c r="E14158" s="4"/>
      <c r="F14158" s="4"/>
      <c r="G14158" s="33" t="str">
        <f>IFERROR(VLOOKUP($D14158,'Informations sur les produits'!$A$3:$H$10000,8,FALSE),"0")</f>
        <v>0</v>
      </c>
      <c r="K14158" s="4"/>
      <c r="L14158" s="33" t="str">
        <f>IFERROR(VLOOKUP($J14158,'Informations sur les produits'!$A$3:$H$10000,8,FALSE),"0")</f>
        <v>0</v>
      </c>
      <c r="N14158" s="8"/>
      <c r="O14158" s="33" t="str">
        <f>IFERROR(VLOOKUP($M14158,'Informations sur les produits'!$A$3:$H$10000,8,FALSE),"0")</f>
        <v>0</v>
      </c>
      <c r="P14158" s="33">
        <f t="shared" si="884"/>
        <v>0</v>
      </c>
      <c r="Q14158" s="31" t="str">
        <f t="shared" si="885"/>
        <v/>
      </c>
      <c r="R14158" s="32" t="str">
        <f>IFERROR(VLOOKUP($D14158,'Informations sur les produits'!$A$3:$B$15000,2,FALSE),"")</f>
        <v/>
      </c>
      <c r="V14158">
        <f t="shared" si="886"/>
        <v>0</v>
      </c>
      <c r="W14158">
        <f t="shared" si="887"/>
        <v>0</v>
      </c>
    </row>
    <row r="14159" spans="5:23" x14ac:dyDescent="0.25">
      <c r="E14159" s="4"/>
      <c r="F14159" s="4"/>
      <c r="G14159" s="33" t="str">
        <f>IFERROR(VLOOKUP($D14159,'Informations sur les produits'!$A$3:$H$10000,8,FALSE),"0")</f>
        <v>0</v>
      </c>
      <c r="K14159" s="4"/>
      <c r="L14159" s="33" t="str">
        <f>IFERROR(VLOOKUP($J14159,'Informations sur les produits'!$A$3:$H$10000,8,FALSE),"0")</f>
        <v>0</v>
      </c>
      <c r="N14159" s="8"/>
      <c r="O14159" s="33" t="str">
        <f>IFERROR(VLOOKUP($M14159,'Informations sur les produits'!$A$3:$H$10000,8,FALSE),"0")</f>
        <v>0</v>
      </c>
      <c r="P14159" s="33">
        <f t="shared" si="884"/>
        <v>0</v>
      </c>
      <c r="Q14159" s="31" t="str">
        <f t="shared" si="885"/>
        <v/>
      </c>
      <c r="R14159" s="32" t="str">
        <f>IFERROR(VLOOKUP($D14159,'Informations sur les produits'!$A$3:$B$15000,2,FALSE),"")</f>
        <v/>
      </c>
      <c r="V14159">
        <f t="shared" si="886"/>
        <v>0</v>
      </c>
      <c r="W14159">
        <f t="shared" si="887"/>
        <v>0</v>
      </c>
    </row>
    <row r="14160" spans="5:23" x14ac:dyDescent="0.25">
      <c r="E14160" s="4"/>
      <c r="F14160" s="4"/>
      <c r="G14160" s="33" t="str">
        <f>IFERROR(VLOOKUP($D14160,'Informations sur les produits'!$A$3:$H$10000,8,FALSE),"0")</f>
        <v>0</v>
      </c>
      <c r="K14160" s="4"/>
      <c r="L14160" s="33" t="str">
        <f>IFERROR(VLOOKUP($J14160,'Informations sur les produits'!$A$3:$H$10000,8,FALSE),"0")</f>
        <v>0</v>
      </c>
      <c r="N14160" s="8"/>
      <c r="O14160" s="33" t="str">
        <f>IFERROR(VLOOKUP($M14160,'Informations sur les produits'!$A$3:$H$10000,8,FALSE),"0")</f>
        <v>0</v>
      </c>
      <c r="P14160" s="33">
        <f t="shared" si="884"/>
        <v>0</v>
      </c>
      <c r="Q14160" s="31" t="str">
        <f t="shared" si="885"/>
        <v/>
      </c>
      <c r="R14160" s="32" t="str">
        <f>IFERROR(VLOOKUP($D14160,'Informations sur les produits'!$A$3:$B$15000,2,FALSE),"")</f>
        <v/>
      </c>
      <c r="V14160">
        <f t="shared" si="886"/>
        <v>0</v>
      </c>
      <c r="W14160">
        <f t="shared" si="887"/>
        <v>0</v>
      </c>
    </row>
    <row r="14161" spans="5:23" x14ac:dyDescent="0.25">
      <c r="E14161" s="4"/>
      <c r="F14161" s="4"/>
      <c r="G14161" s="33" t="str">
        <f>IFERROR(VLOOKUP($D14161,'Informations sur les produits'!$A$3:$H$10000,8,FALSE),"0")</f>
        <v>0</v>
      </c>
      <c r="K14161" s="4"/>
      <c r="L14161" s="33" t="str">
        <f>IFERROR(VLOOKUP($J14161,'Informations sur les produits'!$A$3:$H$10000,8,FALSE),"0")</f>
        <v>0</v>
      </c>
      <c r="N14161" s="8"/>
      <c r="O14161" s="33" t="str">
        <f>IFERROR(VLOOKUP($M14161,'Informations sur les produits'!$A$3:$H$10000,8,FALSE),"0")</f>
        <v>0</v>
      </c>
      <c r="P14161" s="33">
        <f t="shared" si="884"/>
        <v>0</v>
      </c>
      <c r="Q14161" s="31" t="str">
        <f t="shared" si="885"/>
        <v/>
      </c>
      <c r="R14161" s="32" t="str">
        <f>IFERROR(VLOOKUP($D14161,'Informations sur les produits'!$A$3:$B$15000,2,FALSE),"")</f>
        <v/>
      </c>
      <c r="V14161">
        <f t="shared" si="886"/>
        <v>0</v>
      </c>
      <c r="W14161">
        <f t="shared" si="887"/>
        <v>0</v>
      </c>
    </row>
    <row r="14162" spans="5:23" x14ac:dyDescent="0.25">
      <c r="E14162" s="4"/>
      <c r="F14162" s="4"/>
      <c r="G14162" s="33" t="str">
        <f>IFERROR(VLOOKUP($D14162,'Informations sur les produits'!$A$3:$H$10000,8,FALSE),"0")</f>
        <v>0</v>
      </c>
      <c r="K14162" s="4"/>
      <c r="L14162" s="33" t="str">
        <f>IFERROR(VLOOKUP($J14162,'Informations sur les produits'!$A$3:$H$10000,8,FALSE),"0")</f>
        <v>0</v>
      </c>
      <c r="N14162" s="8"/>
      <c r="O14162" s="33" t="str">
        <f>IFERROR(VLOOKUP($M14162,'Informations sur les produits'!$A$3:$H$10000,8,FALSE),"0")</f>
        <v>0</v>
      </c>
      <c r="P14162" s="33">
        <f t="shared" si="884"/>
        <v>0</v>
      </c>
      <c r="Q14162" s="31" t="str">
        <f t="shared" si="885"/>
        <v/>
      </c>
      <c r="R14162" s="32" t="str">
        <f>IFERROR(VLOOKUP($D14162,'Informations sur les produits'!$A$3:$B$15000,2,FALSE),"")</f>
        <v/>
      </c>
      <c r="V14162">
        <f t="shared" si="886"/>
        <v>0</v>
      </c>
      <c r="W14162">
        <f t="shared" si="887"/>
        <v>0</v>
      </c>
    </row>
    <row r="14163" spans="5:23" x14ac:dyDescent="0.25">
      <c r="E14163" s="4"/>
      <c r="F14163" s="4"/>
      <c r="G14163" s="33" t="str">
        <f>IFERROR(VLOOKUP($D14163,'Informations sur les produits'!$A$3:$H$10000,8,FALSE),"0")</f>
        <v>0</v>
      </c>
      <c r="K14163" s="4"/>
      <c r="L14163" s="33" t="str">
        <f>IFERROR(VLOOKUP($J14163,'Informations sur les produits'!$A$3:$H$10000,8,FALSE),"0")</f>
        <v>0</v>
      </c>
      <c r="N14163" s="8"/>
      <c r="O14163" s="33" t="str">
        <f>IFERROR(VLOOKUP($M14163,'Informations sur les produits'!$A$3:$H$10000,8,FALSE),"0")</f>
        <v>0</v>
      </c>
      <c r="P14163" s="33">
        <f t="shared" si="884"/>
        <v>0</v>
      </c>
      <c r="Q14163" s="31" t="str">
        <f t="shared" si="885"/>
        <v/>
      </c>
      <c r="R14163" s="32" t="str">
        <f>IFERROR(VLOOKUP($D14163,'Informations sur les produits'!$A$3:$B$15000,2,FALSE),"")</f>
        <v/>
      </c>
      <c r="V14163">
        <f t="shared" si="886"/>
        <v>0</v>
      </c>
      <c r="W14163">
        <f t="shared" si="887"/>
        <v>0</v>
      </c>
    </row>
    <row r="14164" spans="5:23" x14ac:dyDescent="0.25">
      <c r="E14164" s="4"/>
      <c r="F14164" s="4"/>
      <c r="G14164" s="33" t="str">
        <f>IFERROR(VLOOKUP($D14164,'Informations sur les produits'!$A$3:$H$10000,8,FALSE),"0")</f>
        <v>0</v>
      </c>
      <c r="K14164" s="4"/>
      <c r="L14164" s="33" t="str">
        <f>IFERROR(VLOOKUP($J14164,'Informations sur les produits'!$A$3:$H$10000,8,FALSE),"0")</f>
        <v>0</v>
      </c>
      <c r="N14164" s="8"/>
      <c r="O14164" s="33" t="str">
        <f>IFERROR(VLOOKUP($M14164,'Informations sur les produits'!$A$3:$H$10000,8,FALSE),"0")</f>
        <v>0</v>
      </c>
      <c r="P14164" s="33">
        <f t="shared" si="884"/>
        <v>0</v>
      </c>
      <c r="Q14164" s="31" t="str">
        <f t="shared" si="885"/>
        <v/>
      </c>
      <c r="R14164" s="32" t="str">
        <f>IFERROR(VLOOKUP($D14164,'Informations sur les produits'!$A$3:$B$15000,2,FALSE),"")</f>
        <v/>
      </c>
      <c r="V14164">
        <f t="shared" si="886"/>
        <v>0</v>
      </c>
      <c r="W14164">
        <f t="shared" si="887"/>
        <v>0</v>
      </c>
    </row>
    <row r="14165" spans="5:23" x14ac:dyDescent="0.25">
      <c r="E14165" s="4"/>
      <c r="F14165" s="4"/>
      <c r="G14165" s="33" t="str">
        <f>IFERROR(VLOOKUP($D14165,'Informations sur les produits'!$A$3:$H$10000,8,FALSE),"0")</f>
        <v>0</v>
      </c>
      <c r="K14165" s="4"/>
      <c r="L14165" s="33" t="str">
        <f>IFERROR(VLOOKUP($J14165,'Informations sur les produits'!$A$3:$H$10000,8,FALSE),"0")</f>
        <v>0</v>
      </c>
      <c r="N14165" s="8"/>
      <c r="O14165" s="33" t="str">
        <f>IFERROR(VLOOKUP($M14165,'Informations sur les produits'!$A$3:$H$10000,8,FALSE),"0")</f>
        <v>0</v>
      </c>
      <c r="P14165" s="33">
        <f t="shared" si="884"/>
        <v>0</v>
      </c>
      <c r="Q14165" s="31" t="str">
        <f t="shared" si="885"/>
        <v/>
      </c>
      <c r="R14165" s="32" t="str">
        <f>IFERROR(VLOOKUP($D14165,'Informations sur les produits'!$A$3:$B$15000,2,FALSE),"")</f>
        <v/>
      </c>
      <c r="V14165">
        <f t="shared" si="886"/>
        <v>0</v>
      </c>
      <c r="W14165">
        <f t="shared" si="887"/>
        <v>0</v>
      </c>
    </row>
    <row r="14166" spans="5:23" x14ac:dyDescent="0.25">
      <c r="E14166" s="4"/>
      <c r="F14166" s="4"/>
      <c r="G14166" s="33" t="str">
        <f>IFERROR(VLOOKUP($D14166,'Informations sur les produits'!$A$3:$H$10000,8,FALSE),"0")</f>
        <v>0</v>
      </c>
      <c r="K14166" s="4"/>
      <c r="L14166" s="33" t="str">
        <f>IFERROR(VLOOKUP($J14166,'Informations sur les produits'!$A$3:$H$10000,8,FALSE),"0")</f>
        <v>0</v>
      </c>
      <c r="N14166" s="8"/>
      <c r="O14166" s="33" t="str">
        <f>IFERROR(VLOOKUP($M14166,'Informations sur les produits'!$A$3:$H$10000,8,FALSE),"0")</f>
        <v>0</v>
      </c>
      <c r="P14166" s="33">
        <f t="shared" si="884"/>
        <v>0</v>
      </c>
      <c r="Q14166" s="31" t="str">
        <f t="shared" si="885"/>
        <v/>
      </c>
      <c r="R14166" s="32" t="str">
        <f>IFERROR(VLOOKUP($D14166,'Informations sur les produits'!$A$3:$B$15000,2,FALSE),"")</f>
        <v/>
      </c>
      <c r="V14166">
        <f t="shared" si="886"/>
        <v>0</v>
      </c>
      <c r="W14166">
        <f t="shared" si="887"/>
        <v>0</v>
      </c>
    </row>
    <row r="14167" spans="5:23" x14ac:dyDescent="0.25">
      <c r="E14167" s="4"/>
      <c r="F14167" s="4"/>
      <c r="G14167" s="33" t="str">
        <f>IFERROR(VLOOKUP($D14167,'Informations sur les produits'!$A$3:$H$10000,8,FALSE),"0")</f>
        <v>0</v>
      </c>
      <c r="K14167" s="4"/>
      <c r="L14167" s="33" t="str">
        <f>IFERROR(VLOOKUP($J14167,'Informations sur les produits'!$A$3:$H$10000,8,FALSE),"0")</f>
        <v>0</v>
      </c>
      <c r="N14167" s="8"/>
      <c r="O14167" s="33" t="str">
        <f>IFERROR(VLOOKUP($M14167,'Informations sur les produits'!$A$3:$H$10000,8,FALSE),"0")</f>
        <v>0</v>
      </c>
      <c r="P14167" s="33">
        <f t="shared" si="884"/>
        <v>0</v>
      </c>
      <c r="Q14167" s="31" t="str">
        <f t="shared" si="885"/>
        <v/>
      </c>
      <c r="R14167" s="32" t="str">
        <f>IFERROR(VLOOKUP($D14167,'Informations sur les produits'!$A$3:$B$15000,2,FALSE),"")</f>
        <v/>
      </c>
      <c r="V14167">
        <f t="shared" si="886"/>
        <v>0</v>
      </c>
      <c r="W14167">
        <f t="shared" si="887"/>
        <v>0</v>
      </c>
    </row>
    <row r="14168" spans="5:23" x14ac:dyDescent="0.25">
      <c r="E14168" s="4"/>
      <c r="F14168" s="4"/>
      <c r="G14168" s="33" t="str">
        <f>IFERROR(VLOOKUP($D14168,'Informations sur les produits'!$A$3:$H$10000,8,FALSE),"0")</f>
        <v>0</v>
      </c>
      <c r="K14168" s="4"/>
      <c r="L14168" s="33" t="str">
        <f>IFERROR(VLOOKUP($J14168,'Informations sur les produits'!$A$3:$H$10000,8,FALSE),"0")</f>
        <v>0</v>
      </c>
      <c r="N14168" s="8"/>
      <c r="O14168" s="33" t="str">
        <f>IFERROR(VLOOKUP($M14168,'Informations sur les produits'!$A$3:$H$10000,8,FALSE),"0")</f>
        <v>0</v>
      </c>
      <c r="P14168" s="33">
        <f t="shared" si="884"/>
        <v>0</v>
      </c>
      <c r="Q14168" s="31" t="str">
        <f t="shared" si="885"/>
        <v/>
      </c>
      <c r="R14168" s="32" t="str">
        <f>IFERROR(VLOOKUP($D14168,'Informations sur les produits'!$A$3:$B$15000,2,FALSE),"")</f>
        <v/>
      </c>
      <c r="V14168">
        <f t="shared" si="886"/>
        <v>0</v>
      </c>
      <c r="W14168">
        <f t="shared" si="887"/>
        <v>0</v>
      </c>
    </row>
    <row r="14169" spans="5:23" x14ac:dyDescent="0.25">
      <c r="E14169" s="4"/>
      <c r="F14169" s="4"/>
      <c r="G14169" s="33" t="str">
        <f>IFERROR(VLOOKUP($D14169,'Informations sur les produits'!$A$3:$H$10000,8,FALSE),"0")</f>
        <v>0</v>
      </c>
      <c r="K14169" s="4"/>
      <c r="L14169" s="33" t="str">
        <f>IFERROR(VLOOKUP($J14169,'Informations sur les produits'!$A$3:$H$10000,8,FALSE),"0")</f>
        <v>0</v>
      </c>
      <c r="N14169" s="8"/>
      <c r="O14169" s="33" t="str">
        <f>IFERROR(VLOOKUP($M14169,'Informations sur les produits'!$A$3:$H$10000,8,FALSE),"0")</f>
        <v>0</v>
      </c>
      <c r="P14169" s="33">
        <f t="shared" si="884"/>
        <v>0</v>
      </c>
      <c r="Q14169" s="31" t="str">
        <f t="shared" si="885"/>
        <v/>
      </c>
      <c r="R14169" s="32" t="str">
        <f>IFERROR(VLOOKUP($D14169,'Informations sur les produits'!$A$3:$B$15000,2,FALSE),"")</f>
        <v/>
      </c>
      <c r="V14169">
        <f t="shared" si="886"/>
        <v>0</v>
      </c>
      <c r="W14169">
        <f t="shared" si="887"/>
        <v>0</v>
      </c>
    </row>
    <row r="14170" spans="5:23" x14ac:dyDescent="0.25">
      <c r="E14170" s="4"/>
      <c r="F14170" s="4"/>
      <c r="G14170" s="33" t="str">
        <f>IFERROR(VLOOKUP($D14170,'Informations sur les produits'!$A$3:$H$10000,8,FALSE),"0")</f>
        <v>0</v>
      </c>
      <c r="K14170" s="4"/>
      <c r="L14170" s="33" t="str">
        <f>IFERROR(VLOOKUP($J14170,'Informations sur les produits'!$A$3:$H$10000,8,FALSE),"0")</f>
        <v>0</v>
      </c>
      <c r="N14170" s="8"/>
      <c r="O14170" s="33" t="str">
        <f>IFERROR(VLOOKUP($M14170,'Informations sur les produits'!$A$3:$H$10000,8,FALSE),"0")</f>
        <v>0</v>
      </c>
      <c r="P14170" s="33">
        <f t="shared" si="884"/>
        <v>0</v>
      </c>
      <c r="Q14170" s="31" t="str">
        <f t="shared" si="885"/>
        <v/>
      </c>
      <c r="R14170" s="32" t="str">
        <f>IFERROR(VLOOKUP($D14170,'Informations sur les produits'!$A$3:$B$15000,2,FALSE),"")</f>
        <v/>
      </c>
      <c r="V14170">
        <f t="shared" si="886"/>
        <v>0</v>
      </c>
      <c r="W14170">
        <f t="shared" si="887"/>
        <v>0</v>
      </c>
    </row>
    <row r="14171" spans="5:23" x14ac:dyDescent="0.25">
      <c r="E14171" s="4"/>
      <c r="F14171" s="4"/>
      <c r="G14171" s="33" t="str">
        <f>IFERROR(VLOOKUP($D14171,'Informations sur les produits'!$A$3:$H$10000,8,FALSE),"0")</f>
        <v>0</v>
      </c>
      <c r="K14171" s="4"/>
      <c r="L14171" s="33" t="str">
        <f>IFERROR(VLOOKUP($J14171,'Informations sur les produits'!$A$3:$H$10000,8,FALSE),"0")</f>
        <v>0</v>
      </c>
      <c r="N14171" s="8"/>
      <c r="O14171" s="33" t="str">
        <f>IFERROR(VLOOKUP($M14171,'Informations sur les produits'!$A$3:$H$10000,8,FALSE),"0")</f>
        <v>0</v>
      </c>
      <c r="P14171" s="33">
        <f t="shared" si="884"/>
        <v>0</v>
      </c>
      <c r="Q14171" s="31" t="str">
        <f t="shared" si="885"/>
        <v/>
      </c>
      <c r="R14171" s="32" t="str">
        <f>IFERROR(VLOOKUP($D14171,'Informations sur les produits'!$A$3:$B$15000,2,FALSE),"")</f>
        <v/>
      </c>
      <c r="V14171">
        <f t="shared" si="886"/>
        <v>0</v>
      </c>
      <c r="W14171">
        <f t="shared" si="887"/>
        <v>0</v>
      </c>
    </row>
    <row r="14172" spans="5:23" x14ac:dyDescent="0.25">
      <c r="E14172" s="4"/>
      <c r="F14172" s="4"/>
      <c r="G14172" s="33" t="str">
        <f>IFERROR(VLOOKUP($D14172,'Informations sur les produits'!$A$3:$H$10000,8,FALSE),"0")</f>
        <v>0</v>
      </c>
      <c r="K14172" s="4"/>
      <c r="L14172" s="33" t="str">
        <f>IFERROR(VLOOKUP($J14172,'Informations sur les produits'!$A$3:$H$10000,8,FALSE),"0")</f>
        <v>0</v>
      </c>
      <c r="N14172" s="8"/>
      <c r="O14172" s="33" t="str">
        <f>IFERROR(VLOOKUP($M14172,'Informations sur les produits'!$A$3:$H$10000,8,FALSE),"0")</f>
        <v>0</v>
      </c>
      <c r="P14172" s="33">
        <f t="shared" si="884"/>
        <v>0</v>
      </c>
      <c r="Q14172" s="31" t="str">
        <f t="shared" si="885"/>
        <v/>
      </c>
      <c r="R14172" s="32" t="str">
        <f>IFERROR(VLOOKUP($D14172,'Informations sur les produits'!$A$3:$B$15000,2,FALSE),"")</f>
        <v/>
      </c>
      <c r="V14172">
        <f t="shared" si="886"/>
        <v>0</v>
      </c>
      <c r="W14172">
        <f t="shared" si="887"/>
        <v>0</v>
      </c>
    </row>
    <row r="14173" spans="5:23" x14ac:dyDescent="0.25">
      <c r="E14173" s="4"/>
      <c r="F14173" s="4"/>
      <c r="G14173" s="33" t="str">
        <f>IFERROR(VLOOKUP($D14173,'Informations sur les produits'!$A$3:$H$10000,8,FALSE),"0")</f>
        <v>0</v>
      </c>
      <c r="K14173" s="4"/>
      <c r="L14173" s="33" t="str">
        <f>IFERROR(VLOOKUP($J14173,'Informations sur les produits'!$A$3:$H$10000,8,FALSE),"0")</f>
        <v>0</v>
      </c>
      <c r="N14173" s="8"/>
      <c r="O14173" s="33" t="str">
        <f>IFERROR(VLOOKUP($M14173,'Informations sur les produits'!$A$3:$H$10000,8,FALSE),"0")</f>
        <v>0</v>
      </c>
      <c r="P14173" s="33">
        <f t="shared" si="884"/>
        <v>0</v>
      </c>
      <c r="Q14173" s="31" t="str">
        <f t="shared" si="885"/>
        <v/>
      </c>
      <c r="R14173" s="32" t="str">
        <f>IFERROR(VLOOKUP($D14173,'Informations sur les produits'!$A$3:$B$15000,2,FALSE),"")</f>
        <v/>
      </c>
      <c r="V14173">
        <f t="shared" si="886"/>
        <v>0</v>
      </c>
      <c r="W14173">
        <f t="shared" si="887"/>
        <v>0</v>
      </c>
    </row>
    <row r="14174" spans="5:23" x14ac:dyDescent="0.25">
      <c r="E14174" s="4"/>
      <c r="F14174" s="4"/>
      <c r="G14174" s="33" t="str">
        <f>IFERROR(VLOOKUP($D14174,'Informations sur les produits'!$A$3:$H$10000,8,FALSE),"0")</f>
        <v>0</v>
      </c>
      <c r="K14174" s="4"/>
      <c r="L14174" s="33" t="str">
        <f>IFERROR(VLOOKUP($J14174,'Informations sur les produits'!$A$3:$H$10000,8,FALSE),"0")</f>
        <v>0</v>
      </c>
      <c r="N14174" s="8"/>
      <c r="O14174" s="33" t="str">
        <f>IFERROR(VLOOKUP($M14174,'Informations sur les produits'!$A$3:$H$10000,8,FALSE),"0")</f>
        <v>0</v>
      </c>
      <c r="P14174" s="33">
        <f t="shared" si="884"/>
        <v>0</v>
      </c>
      <c r="Q14174" s="31" t="str">
        <f t="shared" si="885"/>
        <v/>
      </c>
      <c r="R14174" s="32" t="str">
        <f>IFERROR(VLOOKUP($D14174,'Informations sur les produits'!$A$3:$B$15000,2,FALSE),"")</f>
        <v/>
      </c>
      <c r="V14174">
        <f t="shared" si="886"/>
        <v>0</v>
      </c>
      <c r="W14174">
        <f t="shared" si="887"/>
        <v>0</v>
      </c>
    </row>
    <row r="14175" spans="5:23" x14ac:dyDescent="0.25">
      <c r="E14175" s="4"/>
      <c r="F14175" s="4"/>
      <c r="G14175" s="33" t="str">
        <f>IFERROR(VLOOKUP($D14175,'Informations sur les produits'!$A$3:$H$10000,8,FALSE),"0")</f>
        <v>0</v>
      </c>
      <c r="K14175" s="4"/>
      <c r="L14175" s="33" t="str">
        <f>IFERROR(VLOOKUP($J14175,'Informations sur les produits'!$A$3:$H$10000,8,FALSE),"0")</f>
        <v>0</v>
      </c>
      <c r="N14175" s="8"/>
      <c r="O14175" s="33" t="str">
        <f>IFERROR(VLOOKUP($M14175,'Informations sur les produits'!$A$3:$H$10000,8,FALSE),"0")</f>
        <v>0</v>
      </c>
      <c r="P14175" s="33">
        <f t="shared" si="884"/>
        <v>0</v>
      </c>
      <c r="Q14175" s="31" t="str">
        <f t="shared" si="885"/>
        <v/>
      </c>
      <c r="R14175" s="32" t="str">
        <f>IFERROR(VLOOKUP($D14175,'Informations sur les produits'!$A$3:$B$15000,2,FALSE),"")</f>
        <v/>
      </c>
      <c r="V14175">
        <f t="shared" si="886"/>
        <v>0</v>
      </c>
      <c r="W14175">
        <f t="shared" si="887"/>
        <v>0</v>
      </c>
    </row>
    <row r="14176" spans="5:23" x14ac:dyDescent="0.25">
      <c r="E14176" s="4"/>
      <c r="F14176" s="4"/>
      <c r="G14176" s="33" t="str">
        <f>IFERROR(VLOOKUP($D14176,'Informations sur les produits'!$A$3:$H$10000,8,FALSE),"0")</f>
        <v>0</v>
      </c>
      <c r="K14176" s="4"/>
      <c r="L14176" s="33" t="str">
        <f>IFERROR(VLOOKUP($J14176,'Informations sur les produits'!$A$3:$H$10000,8,FALSE),"0")</f>
        <v>0</v>
      </c>
      <c r="N14176" s="8"/>
      <c r="O14176" s="33" t="str">
        <f>IFERROR(VLOOKUP($M14176,'Informations sur les produits'!$A$3:$H$10000,8,FALSE),"0")</f>
        <v>0</v>
      </c>
      <c r="P14176" s="33">
        <f t="shared" si="884"/>
        <v>0</v>
      </c>
      <c r="Q14176" s="31" t="str">
        <f t="shared" si="885"/>
        <v/>
      </c>
      <c r="R14176" s="32" t="str">
        <f>IFERROR(VLOOKUP($D14176,'Informations sur les produits'!$A$3:$B$15000,2,FALSE),"")</f>
        <v/>
      </c>
      <c r="V14176">
        <f t="shared" si="886"/>
        <v>0</v>
      </c>
      <c r="W14176">
        <f t="shared" si="887"/>
        <v>0</v>
      </c>
    </row>
    <row r="14177" spans="5:23" x14ac:dyDescent="0.25">
      <c r="E14177" s="4"/>
      <c r="F14177" s="4"/>
      <c r="G14177" s="33" t="str">
        <f>IFERROR(VLOOKUP($D14177,'Informations sur les produits'!$A$3:$H$10000,8,FALSE),"0")</f>
        <v>0</v>
      </c>
      <c r="K14177" s="4"/>
      <c r="L14177" s="33" t="str">
        <f>IFERROR(VLOOKUP($J14177,'Informations sur les produits'!$A$3:$H$10000,8,FALSE),"0")</f>
        <v>0</v>
      </c>
      <c r="N14177" s="8"/>
      <c r="O14177" s="33" t="str">
        <f>IFERROR(VLOOKUP($M14177,'Informations sur les produits'!$A$3:$H$10000,8,FALSE),"0")</f>
        <v>0</v>
      </c>
      <c r="P14177" s="33">
        <f t="shared" si="884"/>
        <v>0</v>
      </c>
      <c r="Q14177" s="31" t="str">
        <f t="shared" si="885"/>
        <v/>
      </c>
      <c r="R14177" s="32" t="str">
        <f>IFERROR(VLOOKUP($D14177,'Informations sur les produits'!$A$3:$B$15000,2,FALSE),"")</f>
        <v/>
      </c>
      <c r="V14177">
        <f t="shared" si="886"/>
        <v>0</v>
      </c>
      <c r="W14177">
        <f t="shared" si="887"/>
        <v>0</v>
      </c>
    </row>
    <row r="14178" spans="5:23" x14ac:dyDescent="0.25">
      <c r="E14178" s="4"/>
      <c r="F14178" s="4"/>
      <c r="G14178" s="33" t="str">
        <f>IFERROR(VLOOKUP($D14178,'Informations sur les produits'!$A$3:$H$10000,8,FALSE),"0")</f>
        <v>0</v>
      </c>
      <c r="K14178" s="4"/>
      <c r="L14178" s="33" t="str">
        <f>IFERROR(VLOOKUP($J14178,'Informations sur les produits'!$A$3:$H$10000,8,FALSE),"0")</f>
        <v>0</v>
      </c>
      <c r="N14178" s="8"/>
      <c r="O14178" s="33" t="str">
        <f>IFERROR(VLOOKUP($M14178,'Informations sur les produits'!$A$3:$H$10000,8,FALSE),"0")</f>
        <v>0</v>
      </c>
      <c r="P14178" s="33">
        <f t="shared" si="884"/>
        <v>0</v>
      </c>
      <c r="Q14178" s="31" t="str">
        <f t="shared" si="885"/>
        <v/>
      </c>
      <c r="R14178" s="32" t="str">
        <f>IFERROR(VLOOKUP($D14178,'Informations sur les produits'!$A$3:$B$15000,2,FALSE),"")</f>
        <v/>
      </c>
      <c r="V14178">
        <f t="shared" si="886"/>
        <v>0</v>
      </c>
      <c r="W14178">
        <f t="shared" si="887"/>
        <v>0</v>
      </c>
    </row>
    <row r="14179" spans="5:23" x14ac:dyDescent="0.25">
      <c r="E14179" s="4"/>
      <c r="F14179" s="4"/>
      <c r="G14179" s="33" t="str">
        <f>IFERROR(VLOOKUP($D14179,'Informations sur les produits'!$A$3:$H$10000,8,FALSE),"0")</f>
        <v>0</v>
      </c>
      <c r="K14179" s="4"/>
      <c r="L14179" s="33" t="str">
        <f>IFERROR(VLOOKUP($J14179,'Informations sur les produits'!$A$3:$H$10000,8,FALSE),"0")</f>
        <v>0</v>
      </c>
      <c r="N14179" s="8"/>
      <c r="O14179" s="33" t="str">
        <f>IFERROR(VLOOKUP($M14179,'Informations sur les produits'!$A$3:$H$10000,8,FALSE),"0")</f>
        <v>0</v>
      </c>
      <c r="P14179" s="33">
        <f t="shared" si="884"/>
        <v>0</v>
      </c>
      <c r="Q14179" s="31" t="str">
        <f t="shared" si="885"/>
        <v/>
      </c>
      <c r="R14179" s="32" t="str">
        <f>IFERROR(VLOOKUP($D14179,'Informations sur les produits'!$A$3:$B$15000,2,FALSE),"")</f>
        <v/>
      </c>
      <c r="V14179">
        <f t="shared" si="886"/>
        <v>0</v>
      </c>
      <c r="W14179">
        <f t="shared" si="887"/>
        <v>0</v>
      </c>
    </row>
    <row r="14180" spans="5:23" x14ac:dyDescent="0.25">
      <c r="E14180" s="4"/>
      <c r="F14180" s="4"/>
      <c r="G14180" s="33" t="str">
        <f>IFERROR(VLOOKUP($D14180,'Informations sur les produits'!$A$3:$H$10000,8,FALSE),"0")</f>
        <v>0</v>
      </c>
      <c r="K14180" s="4"/>
      <c r="L14180" s="33" t="str">
        <f>IFERROR(VLOOKUP($J14180,'Informations sur les produits'!$A$3:$H$10000,8,FALSE),"0")</f>
        <v>0</v>
      </c>
      <c r="N14180" s="8"/>
      <c r="O14180" s="33" t="str">
        <f>IFERROR(VLOOKUP($M14180,'Informations sur les produits'!$A$3:$H$10000,8,FALSE),"0")</f>
        <v>0</v>
      </c>
      <c r="P14180" s="33">
        <f t="shared" si="884"/>
        <v>0</v>
      </c>
      <c r="Q14180" s="31" t="str">
        <f t="shared" si="885"/>
        <v/>
      </c>
      <c r="R14180" s="32" t="str">
        <f>IFERROR(VLOOKUP($D14180,'Informations sur les produits'!$A$3:$B$15000,2,FALSE),"")</f>
        <v/>
      </c>
      <c r="V14180">
        <f t="shared" si="886"/>
        <v>0</v>
      </c>
      <c r="W14180">
        <f t="shared" si="887"/>
        <v>0</v>
      </c>
    </row>
    <row r="14181" spans="5:23" x14ac:dyDescent="0.25">
      <c r="E14181" s="4"/>
      <c r="F14181" s="4"/>
      <c r="G14181" s="33" t="str">
        <f>IFERROR(VLOOKUP($D14181,'Informations sur les produits'!$A$3:$H$10000,8,FALSE),"0")</f>
        <v>0</v>
      </c>
      <c r="K14181" s="4"/>
      <c r="L14181" s="33" t="str">
        <f>IFERROR(VLOOKUP($J14181,'Informations sur les produits'!$A$3:$H$10000,8,FALSE),"0")</f>
        <v>0</v>
      </c>
      <c r="N14181" s="8"/>
      <c r="O14181" s="33" t="str">
        <f>IFERROR(VLOOKUP($M14181,'Informations sur les produits'!$A$3:$H$10000,8,FALSE),"0")</f>
        <v>0</v>
      </c>
      <c r="P14181" s="33">
        <f t="shared" si="884"/>
        <v>0</v>
      </c>
      <c r="Q14181" s="31" t="str">
        <f t="shared" si="885"/>
        <v/>
      </c>
      <c r="R14181" s="32" t="str">
        <f>IFERROR(VLOOKUP($D14181,'Informations sur les produits'!$A$3:$B$15000,2,FALSE),"")</f>
        <v/>
      </c>
      <c r="V14181">
        <f t="shared" si="886"/>
        <v>0</v>
      </c>
      <c r="W14181">
        <f t="shared" si="887"/>
        <v>0</v>
      </c>
    </row>
    <row r="14182" spans="5:23" x14ac:dyDescent="0.25">
      <c r="E14182" s="4"/>
      <c r="F14182" s="4"/>
      <c r="G14182" s="33" t="str">
        <f>IFERROR(VLOOKUP($D14182,'Informations sur les produits'!$A$3:$H$10000,8,FALSE),"0")</f>
        <v>0</v>
      </c>
      <c r="K14182" s="4"/>
      <c r="L14182" s="33" t="str">
        <f>IFERROR(VLOOKUP($J14182,'Informations sur les produits'!$A$3:$H$10000,8,FALSE),"0")</f>
        <v>0</v>
      </c>
      <c r="N14182" s="8"/>
      <c r="O14182" s="33" t="str">
        <f>IFERROR(VLOOKUP($M14182,'Informations sur les produits'!$A$3:$H$10000,8,FALSE),"0")</f>
        <v>0</v>
      </c>
      <c r="P14182" s="33">
        <f t="shared" si="884"/>
        <v>0</v>
      </c>
      <c r="Q14182" s="31" t="str">
        <f t="shared" si="885"/>
        <v/>
      </c>
      <c r="R14182" s="32" t="str">
        <f>IFERROR(VLOOKUP($D14182,'Informations sur les produits'!$A$3:$B$15000,2,FALSE),"")</f>
        <v/>
      </c>
      <c r="V14182">
        <f t="shared" si="886"/>
        <v>0</v>
      </c>
      <c r="W14182">
        <f t="shared" si="887"/>
        <v>0</v>
      </c>
    </row>
    <row r="14183" spans="5:23" x14ac:dyDescent="0.25">
      <c r="E14183" s="4"/>
      <c r="F14183" s="4"/>
      <c r="G14183" s="33" t="str">
        <f>IFERROR(VLOOKUP($D14183,'Informations sur les produits'!$A$3:$H$10000,8,FALSE),"0")</f>
        <v>0</v>
      </c>
      <c r="K14183" s="4"/>
      <c r="L14183" s="33" t="str">
        <f>IFERROR(VLOOKUP($J14183,'Informations sur les produits'!$A$3:$H$10000,8,FALSE),"0")</f>
        <v>0</v>
      </c>
      <c r="N14183" s="8"/>
      <c r="O14183" s="33" t="str">
        <f>IFERROR(VLOOKUP($M14183,'Informations sur les produits'!$A$3:$H$10000,8,FALSE),"0")</f>
        <v>0</v>
      </c>
      <c r="P14183" s="33">
        <f t="shared" si="884"/>
        <v>0</v>
      </c>
      <c r="Q14183" s="31" t="str">
        <f t="shared" si="885"/>
        <v/>
      </c>
      <c r="R14183" s="32" t="str">
        <f>IFERROR(VLOOKUP($D14183,'Informations sur les produits'!$A$3:$B$15000,2,FALSE),"")</f>
        <v/>
      </c>
      <c r="V14183">
        <f t="shared" si="886"/>
        <v>0</v>
      </c>
      <c r="W14183">
        <f t="shared" si="887"/>
        <v>0</v>
      </c>
    </row>
    <row r="14184" spans="5:23" x14ac:dyDescent="0.25">
      <c r="E14184" s="4"/>
      <c r="F14184" s="4"/>
      <c r="G14184" s="33" t="str">
        <f>IFERROR(VLOOKUP($D14184,'Informations sur les produits'!$A$3:$H$10000,8,FALSE),"0")</f>
        <v>0</v>
      </c>
      <c r="K14184" s="4"/>
      <c r="L14184" s="33" t="str">
        <f>IFERROR(VLOOKUP($J14184,'Informations sur les produits'!$A$3:$H$10000,8,FALSE),"0")</f>
        <v>0</v>
      </c>
      <c r="N14184" s="8"/>
      <c r="O14184" s="33" t="str">
        <f>IFERROR(VLOOKUP($M14184,'Informations sur les produits'!$A$3:$H$10000,8,FALSE),"0")</f>
        <v>0</v>
      </c>
      <c r="P14184" s="33">
        <f t="shared" si="884"/>
        <v>0</v>
      </c>
      <c r="Q14184" s="31" t="str">
        <f t="shared" si="885"/>
        <v/>
      </c>
      <c r="R14184" s="32" t="str">
        <f>IFERROR(VLOOKUP($D14184,'Informations sur les produits'!$A$3:$B$15000,2,FALSE),"")</f>
        <v/>
      </c>
      <c r="V14184">
        <f t="shared" si="886"/>
        <v>0</v>
      </c>
      <c r="W14184">
        <f t="shared" si="887"/>
        <v>0</v>
      </c>
    </row>
    <row r="14185" spans="5:23" x14ac:dyDescent="0.25">
      <c r="E14185" s="4"/>
      <c r="F14185" s="4"/>
      <c r="G14185" s="33" t="str">
        <f>IFERROR(VLOOKUP($D14185,'Informations sur les produits'!$A$3:$H$10000,8,FALSE),"0")</f>
        <v>0</v>
      </c>
      <c r="K14185" s="4"/>
      <c r="L14185" s="33" t="str">
        <f>IFERROR(VLOOKUP($J14185,'Informations sur les produits'!$A$3:$H$10000,8,FALSE),"0")</f>
        <v>0</v>
      </c>
      <c r="N14185" s="8"/>
      <c r="O14185" s="33" t="str">
        <f>IFERROR(VLOOKUP($M14185,'Informations sur les produits'!$A$3:$H$10000,8,FALSE),"0")</f>
        <v>0</v>
      </c>
      <c r="P14185" s="33">
        <f t="shared" si="884"/>
        <v>0</v>
      </c>
      <c r="Q14185" s="31" t="str">
        <f t="shared" si="885"/>
        <v/>
      </c>
      <c r="R14185" s="32" t="str">
        <f>IFERROR(VLOOKUP($D14185,'Informations sur les produits'!$A$3:$B$15000,2,FALSE),"")</f>
        <v/>
      </c>
      <c r="V14185">
        <f t="shared" si="886"/>
        <v>0</v>
      </c>
      <c r="W14185">
        <f t="shared" si="887"/>
        <v>0</v>
      </c>
    </row>
    <row r="14186" spans="5:23" x14ac:dyDescent="0.25">
      <c r="E14186" s="4"/>
      <c r="F14186" s="4"/>
      <c r="G14186" s="33" t="str">
        <f>IFERROR(VLOOKUP($D14186,'Informations sur les produits'!$A$3:$H$10000,8,FALSE),"0")</f>
        <v>0</v>
      </c>
      <c r="K14186" s="4"/>
      <c r="L14186" s="33" t="str">
        <f>IFERROR(VLOOKUP($J14186,'Informations sur les produits'!$A$3:$H$10000,8,FALSE),"0")</f>
        <v>0</v>
      </c>
      <c r="N14186" s="8"/>
      <c r="O14186" s="33" t="str">
        <f>IFERROR(VLOOKUP($M14186,'Informations sur les produits'!$A$3:$H$10000,8,FALSE),"0")</f>
        <v>0</v>
      </c>
      <c r="P14186" s="33">
        <f t="shared" si="884"/>
        <v>0</v>
      </c>
      <c r="Q14186" s="31" t="str">
        <f t="shared" si="885"/>
        <v/>
      </c>
      <c r="R14186" s="32" t="str">
        <f>IFERROR(VLOOKUP($D14186,'Informations sur les produits'!$A$3:$B$15000,2,FALSE),"")</f>
        <v/>
      </c>
      <c r="V14186">
        <f t="shared" si="886"/>
        <v>0</v>
      </c>
      <c r="W14186">
        <f t="shared" si="887"/>
        <v>0</v>
      </c>
    </row>
    <row r="14187" spans="5:23" x14ac:dyDescent="0.25">
      <c r="E14187" s="4"/>
      <c r="F14187" s="4"/>
      <c r="G14187" s="33" t="str">
        <f>IFERROR(VLOOKUP($D14187,'Informations sur les produits'!$A$3:$H$10000,8,FALSE),"0")</f>
        <v>0</v>
      </c>
      <c r="K14187" s="4"/>
      <c r="L14187" s="33" t="str">
        <f>IFERROR(VLOOKUP($J14187,'Informations sur les produits'!$A$3:$H$10000,8,FALSE),"0")</f>
        <v>0</v>
      </c>
      <c r="N14187" s="8"/>
      <c r="O14187" s="33" t="str">
        <f>IFERROR(VLOOKUP($M14187,'Informations sur les produits'!$A$3:$H$10000,8,FALSE),"0")</f>
        <v>0</v>
      </c>
      <c r="P14187" s="33">
        <f t="shared" si="884"/>
        <v>0</v>
      </c>
      <c r="Q14187" s="31" t="str">
        <f t="shared" si="885"/>
        <v/>
      </c>
      <c r="R14187" s="32" t="str">
        <f>IFERROR(VLOOKUP($D14187,'Informations sur les produits'!$A$3:$B$15000,2,FALSE),"")</f>
        <v/>
      </c>
      <c r="V14187">
        <f t="shared" si="886"/>
        <v>0</v>
      </c>
      <c r="W14187">
        <f t="shared" si="887"/>
        <v>0</v>
      </c>
    </row>
    <row r="14188" spans="5:23" x14ac:dyDescent="0.25">
      <c r="E14188" s="4"/>
      <c r="F14188" s="4"/>
      <c r="G14188" s="33" t="str">
        <f>IFERROR(VLOOKUP($D14188,'Informations sur les produits'!$A$3:$H$10000,8,FALSE),"0")</f>
        <v>0</v>
      </c>
      <c r="K14188" s="4"/>
      <c r="L14188" s="33" t="str">
        <f>IFERROR(VLOOKUP($J14188,'Informations sur les produits'!$A$3:$H$10000,8,FALSE),"0")</f>
        <v>0</v>
      </c>
      <c r="N14188" s="8"/>
      <c r="O14188" s="33" t="str">
        <f>IFERROR(VLOOKUP($M14188,'Informations sur les produits'!$A$3:$H$10000,8,FALSE),"0")</f>
        <v>0</v>
      </c>
      <c r="P14188" s="33">
        <f t="shared" si="884"/>
        <v>0</v>
      </c>
      <c r="Q14188" s="31" t="str">
        <f t="shared" si="885"/>
        <v/>
      </c>
      <c r="R14188" s="32" t="str">
        <f>IFERROR(VLOOKUP($D14188,'Informations sur les produits'!$A$3:$B$15000,2,FALSE),"")</f>
        <v/>
      </c>
      <c r="V14188">
        <f t="shared" si="886"/>
        <v>0</v>
      </c>
      <c r="W14188">
        <f t="shared" si="887"/>
        <v>0</v>
      </c>
    </row>
    <row r="14189" spans="5:23" x14ac:dyDescent="0.25">
      <c r="E14189" s="4"/>
      <c r="F14189" s="4"/>
      <c r="G14189" s="33" t="str">
        <f>IFERROR(VLOOKUP($D14189,'Informations sur les produits'!$A$3:$H$10000,8,FALSE),"0")</f>
        <v>0</v>
      </c>
      <c r="K14189" s="4"/>
      <c r="L14189" s="33" t="str">
        <f>IFERROR(VLOOKUP($J14189,'Informations sur les produits'!$A$3:$H$10000,8,FALSE),"0")</f>
        <v>0</v>
      </c>
      <c r="N14189" s="8"/>
      <c r="O14189" s="33" t="str">
        <f>IFERROR(VLOOKUP($M14189,'Informations sur les produits'!$A$3:$H$10000,8,FALSE),"0")</f>
        <v>0</v>
      </c>
      <c r="P14189" s="33">
        <f t="shared" si="884"/>
        <v>0</v>
      </c>
      <c r="Q14189" s="31" t="str">
        <f t="shared" si="885"/>
        <v/>
      </c>
      <c r="R14189" s="32" t="str">
        <f>IFERROR(VLOOKUP($D14189,'Informations sur les produits'!$A$3:$B$15000,2,FALSE),"")</f>
        <v/>
      </c>
      <c r="V14189">
        <f t="shared" si="886"/>
        <v>0</v>
      </c>
      <c r="W14189">
        <f t="shared" si="887"/>
        <v>0</v>
      </c>
    </row>
    <row r="14190" spans="5:23" x14ac:dyDescent="0.25">
      <c r="E14190" s="4"/>
      <c r="F14190" s="4"/>
      <c r="G14190" s="33" t="str">
        <f>IFERROR(VLOOKUP($D14190,'Informations sur les produits'!$A$3:$H$10000,8,FALSE),"0")</f>
        <v>0</v>
      </c>
      <c r="K14190" s="4"/>
      <c r="L14190" s="33" t="str">
        <f>IFERROR(VLOOKUP($J14190,'Informations sur les produits'!$A$3:$H$10000,8,FALSE),"0")</f>
        <v>0</v>
      </c>
      <c r="N14190" s="8"/>
      <c r="O14190" s="33" t="str">
        <f>IFERROR(VLOOKUP($M14190,'Informations sur les produits'!$A$3:$H$10000,8,FALSE),"0")</f>
        <v>0</v>
      </c>
      <c r="P14190" s="33">
        <f t="shared" si="884"/>
        <v>0</v>
      </c>
      <c r="Q14190" s="31" t="str">
        <f t="shared" si="885"/>
        <v/>
      </c>
      <c r="R14190" s="32" t="str">
        <f>IFERROR(VLOOKUP($D14190,'Informations sur les produits'!$A$3:$B$15000,2,FALSE),"")</f>
        <v/>
      </c>
      <c r="V14190">
        <f t="shared" si="886"/>
        <v>0</v>
      </c>
      <c r="W14190">
        <f t="shared" si="887"/>
        <v>0</v>
      </c>
    </row>
    <row r="14191" spans="5:23" x14ac:dyDescent="0.25">
      <c r="E14191" s="4"/>
      <c r="F14191" s="4"/>
      <c r="G14191" s="33" t="str">
        <f>IFERROR(VLOOKUP($D14191,'Informations sur les produits'!$A$3:$H$10000,8,FALSE),"0")</f>
        <v>0</v>
      </c>
      <c r="K14191" s="4"/>
      <c r="L14191" s="33" t="str">
        <f>IFERROR(VLOOKUP($J14191,'Informations sur les produits'!$A$3:$H$10000,8,FALSE),"0")</f>
        <v>0</v>
      </c>
      <c r="N14191" s="8"/>
      <c r="O14191" s="33" t="str">
        <f>IFERROR(VLOOKUP($M14191,'Informations sur les produits'!$A$3:$H$10000,8,FALSE),"0")</f>
        <v>0</v>
      </c>
      <c r="P14191" s="33">
        <f t="shared" si="884"/>
        <v>0</v>
      </c>
      <c r="Q14191" s="31" t="str">
        <f t="shared" si="885"/>
        <v/>
      </c>
      <c r="R14191" s="32" t="str">
        <f>IFERROR(VLOOKUP($D14191,'Informations sur les produits'!$A$3:$B$15000,2,FALSE),"")</f>
        <v/>
      </c>
      <c r="V14191">
        <f t="shared" si="886"/>
        <v>0</v>
      </c>
      <c r="W14191">
        <f t="shared" si="887"/>
        <v>0</v>
      </c>
    </row>
    <row r="14192" spans="5:23" x14ac:dyDescent="0.25">
      <c r="E14192" s="4"/>
      <c r="F14192" s="4"/>
      <c r="G14192" s="33" t="str">
        <f>IFERROR(VLOOKUP($D14192,'Informations sur les produits'!$A$3:$H$10000,8,FALSE),"0")</f>
        <v>0</v>
      </c>
      <c r="K14192" s="4"/>
      <c r="L14192" s="33" t="str">
        <f>IFERROR(VLOOKUP($J14192,'Informations sur les produits'!$A$3:$H$10000,8,FALSE),"0")</f>
        <v>0</v>
      </c>
      <c r="N14192" s="8"/>
      <c r="O14192" s="33" t="str">
        <f>IFERROR(VLOOKUP($M14192,'Informations sur les produits'!$A$3:$H$10000,8,FALSE),"0")</f>
        <v>0</v>
      </c>
      <c r="P14192" s="33">
        <f t="shared" si="884"/>
        <v>0</v>
      </c>
      <c r="Q14192" s="31" t="str">
        <f t="shared" si="885"/>
        <v/>
      </c>
      <c r="R14192" s="32" t="str">
        <f>IFERROR(VLOOKUP($D14192,'Informations sur les produits'!$A$3:$B$15000,2,FALSE),"")</f>
        <v/>
      </c>
      <c r="V14192">
        <f t="shared" si="886"/>
        <v>0</v>
      </c>
      <c r="W14192">
        <f t="shared" si="887"/>
        <v>0</v>
      </c>
    </row>
    <row r="14193" spans="5:23" x14ac:dyDescent="0.25">
      <c r="E14193" s="4"/>
      <c r="F14193" s="4"/>
      <c r="G14193" s="33" t="str">
        <f>IFERROR(VLOOKUP($D14193,'Informations sur les produits'!$A$3:$H$10000,8,FALSE),"0")</f>
        <v>0</v>
      </c>
      <c r="K14193" s="4"/>
      <c r="L14193" s="33" t="str">
        <f>IFERROR(VLOOKUP($J14193,'Informations sur les produits'!$A$3:$H$10000,8,FALSE),"0")</f>
        <v>0</v>
      </c>
      <c r="N14193" s="8"/>
      <c r="O14193" s="33" t="str">
        <f>IFERROR(VLOOKUP($M14193,'Informations sur les produits'!$A$3:$H$10000,8,FALSE),"0")</f>
        <v>0</v>
      </c>
      <c r="P14193" s="33">
        <f t="shared" si="884"/>
        <v>0</v>
      </c>
      <c r="Q14193" s="31" t="str">
        <f t="shared" si="885"/>
        <v/>
      </c>
      <c r="R14193" s="32" t="str">
        <f>IFERROR(VLOOKUP($D14193,'Informations sur les produits'!$A$3:$B$15000,2,FALSE),"")</f>
        <v/>
      </c>
      <c r="V14193">
        <f t="shared" si="886"/>
        <v>0</v>
      </c>
      <c r="W14193">
        <f t="shared" si="887"/>
        <v>0</v>
      </c>
    </row>
    <row r="14194" spans="5:23" x14ac:dyDescent="0.25">
      <c r="E14194" s="4"/>
      <c r="F14194" s="4"/>
      <c r="G14194" s="33" t="str">
        <f>IFERROR(VLOOKUP($D14194,'Informations sur les produits'!$A$3:$H$10000,8,FALSE),"0")</f>
        <v>0</v>
      </c>
      <c r="K14194" s="4"/>
      <c r="L14194" s="33" t="str">
        <f>IFERROR(VLOOKUP($J14194,'Informations sur les produits'!$A$3:$H$10000,8,FALSE),"0")</f>
        <v>0</v>
      </c>
      <c r="N14194" s="8"/>
      <c r="O14194" s="33" t="str">
        <f>IFERROR(VLOOKUP($M14194,'Informations sur les produits'!$A$3:$H$10000,8,FALSE),"0")</f>
        <v>0</v>
      </c>
      <c r="P14194" s="33">
        <f t="shared" si="884"/>
        <v>0</v>
      </c>
      <c r="Q14194" s="31" t="str">
        <f t="shared" si="885"/>
        <v/>
      </c>
      <c r="R14194" s="32" t="str">
        <f>IFERROR(VLOOKUP($D14194,'Informations sur les produits'!$A$3:$B$15000,2,FALSE),"")</f>
        <v/>
      </c>
      <c r="V14194">
        <f t="shared" si="886"/>
        <v>0</v>
      </c>
      <c r="W14194">
        <f t="shared" si="887"/>
        <v>0</v>
      </c>
    </row>
    <row r="14195" spans="5:23" x14ac:dyDescent="0.25">
      <c r="E14195" s="4"/>
      <c r="F14195" s="4"/>
      <c r="G14195" s="33" t="str">
        <f>IFERROR(VLOOKUP($D14195,'Informations sur les produits'!$A$3:$H$10000,8,FALSE),"0")</f>
        <v>0</v>
      </c>
      <c r="K14195" s="4"/>
      <c r="L14195" s="33" t="str">
        <f>IFERROR(VLOOKUP($J14195,'Informations sur les produits'!$A$3:$H$10000,8,FALSE),"0")</f>
        <v>0</v>
      </c>
      <c r="N14195" s="8"/>
      <c r="O14195" s="33" t="str">
        <f>IFERROR(VLOOKUP($M14195,'Informations sur les produits'!$A$3:$H$10000,8,FALSE),"0")</f>
        <v>0</v>
      </c>
      <c r="P14195" s="33">
        <f t="shared" si="884"/>
        <v>0</v>
      </c>
      <c r="Q14195" s="31" t="str">
        <f t="shared" si="885"/>
        <v/>
      </c>
      <c r="R14195" s="32" t="str">
        <f>IFERROR(VLOOKUP($D14195,'Informations sur les produits'!$A$3:$B$15000,2,FALSE),"")</f>
        <v/>
      </c>
      <c r="V14195">
        <f t="shared" si="886"/>
        <v>0</v>
      </c>
      <c r="W14195">
        <f t="shared" si="887"/>
        <v>0</v>
      </c>
    </row>
    <row r="14196" spans="5:23" x14ac:dyDescent="0.25">
      <c r="E14196" s="4"/>
      <c r="F14196" s="4"/>
      <c r="G14196" s="33" t="str">
        <f>IFERROR(VLOOKUP($D14196,'Informations sur les produits'!$A$3:$H$10000,8,FALSE),"0")</f>
        <v>0</v>
      </c>
      <c r="K14196" s="4"/>
      <c r="L14196" s="33" t="str">
        <f>IFERROR(VLOOKUP($J14196,'Informations sur les produits'!$A$3:$H$10000,8,FALSE),"0")</f>
        <v>0</v>
      </c>
      <c r="N14196" s="8"/>
      <c r="O14196" s="33" t="str">
        <f>IFERROR(VLOOKUP($M14196,'Informations sur les produits'!$A$3:$H$10000,8,FALSE),"0")</f>
        <v>0</v>
      </c>
      <c r="P14196" s="33">
        <f t="shared" si="884"/>
        <v>0</v>
      </c>
      <c r="Q14196" s="31" t="str">
        <f t="shared" si="885"/>
        <v/>
      </c>
      <c r="R14196" s="32" t="str">
        <f>IFERROR(VLOOKUP($D14196,'Informations sur les produits'!$A$3:$B$15000,2,FALSE),"")</f>
        <v/>
      </c>
      <c r="V14196">
        <f t="shared" si="886"/>
        <v>0</v>
      </c>
      <c r="W14196">
        <f t="shared" si="887"/>
        <v>0</v>
      </c>
    </row>
    <row r="14197" spans="5:23" x14ac:dyDescent="0.25">
      <c r="E14197" s="4"/>
      <c r="F14197" s="4"/>
      <c r="G14197" s="33" t="str">
        <f>IFERROR(VLOOKUP($D14197,'Informations sur les produits'!$A$3:$H$10000,8,FALSE),"0")</f>
        <v>0</v>
      </c>
      <c r="K14197" s="4"/>
      <c r="L14197" s="33" t="str">
        <f>IFERROR(VLOOKUP($J14197,'Informations sur les produits'!$A$3:$H$10000,8,FALSE),"0")</f>
        <v>0</v>
      </c>
      <c r="N14197" s="8"/>
      <c r="O14197" s="33" t="str">
        <f>IFERROR(VLOOKUP($M14197,'Informations sur les produits'!$A$3:$H$10000,8,FALSE),"0")</f>
        <v>0</v>
      </c>
      <c r="P14197" s="33">
        <f t="shared" si="884"/>
        <v>0</v>
      </c>
      <c r="Q14197" s="31" t="str">
        <f t="shared" si="885"/>
        <v/>
      </c>
      <c r="R14197" s="32" t="str">
        <f>IFERROR(VLOOKUP($D14197,'Informations sur les produits'!$A$3:$B$15000,2,FALSE),"")</f>
        <v/>
      </c>
      <c r="V14197">
        <f t="shared" si="886"/>
        <v>0</v>
      </c>
      <c r="W14197">
        <f t="shared" si="887"/>
        <v>0</v>
      </c>
    </row>
    <row r="14198" spans="5:23" x14ac:dyDescent="0.25">
      <c r="E14198" s="4"/>
      <c r="F14198" s="4"/>
      <c r="G14198" s="33" t="str">
        <f>IFERROR(VLOOKUP($D14198,'Informations sur les produits'!$A$3:$H$10000,8,FALSE),"0")</f>
        <v>0</v>
      </c>
      <c r="K14198" s="4"/>
      <c r="L14198" s="33" t="str">
        <f>IFERROR(VLOOKUP($J14198,'Informations sur les produits'!$A$3:$H$10000,8,FALSE),"0")</f>
        <v>0</v>
      </c>
      <c r="N14198" s="8"/>
      <c r="O14198" s="33" t="str">
        <f>IFERROR(VLOOKUP($M14198,'Informations sur les produits'!$A$3:$H$10000,8,FALSE),"0")</f>
        <v>0</v>
      </c>
      <c r="P14198" s="33">
        <f t="shared" si="884"/>
        <v>0</v>
      </c>
      <c r="Q14198" s="31" t="str">
        <f t="shared" si="885"/>
        <v/>
      </c>
      <c r="R14198" s="32" t="str">
        <f>IFERROR(VLOOKUP($D14198,'Informations sur les produits'!$A$3:$B$15000,2,FALSE),"")</f>
        <v/>
      </c>
      <c r="V14198">
        <f t="shared" si="886"/>
        <v>0</v>
      </c>
      <c r="W14198">
        <f t="shared" si="887"/>
        <v>0</v>
      </c>
    </row>
    <row r="14199" spans="5:23" x14ac:dyDescent="0.25">
      <c r="E14199" s="4"/>
      <c r="F14199" s="4"/>
      <c r="G14199" s="33" t="str">
        <f>IFERROR(VLOOKUP($D14199,'Informations sur les produits'!$A$3:$H$10000,8,FALSE),"0")</f>
        <v>0</v>
      </c>
      <c r="K14199" s="4"/>
      <c r="L14199" s="33" t="str">
        <f>IFERROR(VLOOKUP($J14199,'Informations sur les produits'!$A$3:$H$10000,8,FALSE),"0")</f>
        <v>0</v>
      </c>
      <c r="N14199" s="8"/>
      <c r="O14199" s="33" t="str">
        <f>IFERROR(VLOOKUP($M14199,'Informations sur les produits'!$A$3:$H$10000,8,FALSE),"0")</f>
        <v>0</v>
      </c>
      <c r="P14199" s="33">
        <f t="shared" si="884"/>
        <v>0</v>
      </c>
      <c r="Q14199" s="31" t="str">
        <f t="shared" si="885"/>
        <v/>
      </c>
      <c r="R14199" s="32" t="str">
        <f>IFERROR(VLOOKUP($D14199,'Informations sur les produits'!$A$3:$B$15000,2,FALSE),"")</f>
        <v/>
      </c>
      <c r="V14199">
        <f t="shared" si="886"/>
        <v>0</v>
      </c>
      <c r="W14199">
        <f t="shared" si="887"/>
        <v>0</v>
      </c>
    </row>
    <row r="14200" spans="5:23" x14ac:dyDescent="0.25">
      <c r="E14200" s="4"/>
      <c r="F14200" s="4"/>
      <c r="G14200" s="33" t="str">
        <f>IFERROR(VLOOKUP($D14200,'Informations sur les produits'!$A$3:$H$10000,8,FALSE),"0")</f>
        <v>0</v>
      </c>
      <c r="K14200" s="4"/>
      <c r="L14200" s="33" t="str">
        <f>IFERROR(VLOOKUP($J14200,'Informations sur les produits'!$A$3:$H$10000,8,FALSE),"0")</f>
        <v>0</v>
      </c>
      <c r="N14200" s="8"/>
      <c r="O14200" s="33" t="str">
        <f>IFERROR(VLOOKUP($M14200,'Informations sur les produits'!$A$3:$H$10000,8,FALSE),"0")</f>
        <v>0</v>
      </c>
      <c r="P14200" s="33">
        <f t="shared" si="884"/>
        <v>0</v>
      </c>
      <c r="Q14200" s="31" t="str">
        <f t="shared" si="885"/>
        <v/>
      </c>
      <c r="R14200" s="32" t="str">
        <f>IFERROR(VLOOKUP($D14200,'Informations sur les produits'!$A$3:$B$15000,2,FALSE),"")</f>
        <v/>
      </c>
      <c r="V14200">
        <f t="shared" si="886"/>
        <v>0</v>
      </c>
      <c r="W14200">
        <f t="shared" si="887"/>
        <v>0</v>
      </c>
    </row>
    <row r="14201" spans="5:23" x14ac:dyDescent="0.25">
      <c r="E14201" s="4"/>
      <c r="F14201" s="4"/>
      <c r="G14201" s="33" t="str">
        <f>IFERROR(VLOOKUP($D14201,'Informations sur les produits'!$A$3:$H$10000,8,FALSE),"0")</f>
        <v>0</v>
      </c>
      <c r="K14201" s="4"/>
      <c r="L14201" s="33" t="str">
        <f>IFERROR(VLOOKUP($J14201,'Informations sur les produits'!$A$3:$H$10000,8,FALSE),"0")</f>
        <v>0</v>
      </c>
      <c r="N14201" s="8"/>
      <c r="O14201" s="33" t="str">
        <f>IFERROR(VLOOKUP($M14201,'Informations sur les produits'!$A$3:$H$10000,8,FALSE),"0")</f>
        <v>0</v>
      </c>
      <c r="P14201" s="33">
        <f t="shared" si="884"/>
        <v>0</v>
      </c>
      <c r="Q14201" s="31" t="str">
        <f t="shared" si="885"/>
        <v/>
      </c>
      <c r="R14201" s="32" t="str">
        <f>IFERROR(VLOOKUP($D14201,'Informations sur les produits'!$A$3:$B$15000,2,FALSE),"")</f>
        <v/>
      </c>
      <c r="V14201">
        <f t="shared" si="886"/>
        <v>0</v>
      </c>
      <c r="W14201">
        <f t="shared" si="887"/>
        <v>0</v>
      </c>
    </row>
    <row r="14202" spans="5:23" x14ac:dyDescent="0.25">
      <c r="E14202" s="4"/>
      <c r="F14202" s="4"/>
      <c r="G14202" s="33" t="str">
        <f>IFERROR(VLOOKUP($D14202,'Informations sur les produits'!$A$3:$H$10000,8,FALSE),"0")</f>
        <v>0</v>
      </c>
      <c r="K14202" s="4"/>
      <c r="L14202" s="33" t="str">
        <f>IFERROR(VLOOKUP($J14202,'Informations sur les produits'!$A$3:$H$10000,8,FALSE),"0")</f>
        <v>0</v>
      </c>
      <c r="N14202" s="8"/>
      <c r="O14202" s="33" t="str">
        <f>IFERROR(VLOOKUP($M14202,'Informations sur les produits'!$A$3:$H$10000,8,FALSE),"0")</f>
        <v>0</v>
      </c>
      <c r="P14202" s="33">
        <f t="shared" si="884"/>
        <v>0</v>
      </c>
      <c r="Q14202" s="31" t="str">
        <f t="shared" si="885"/>
        <v/>
      </c>
      <c r="R14202" s="32" t="str">
        <f>IFERROR(VLOOKUP($D14202,'Informations sur les produits'!$A$3:$B$15000,2,FALSE),"")</f>
        <v/>
      </c>
      <c r="V14202">
        <f t="shared" si="886"/>
        <v>0</v>
      </c>
      <c r="W14202">
        <f t="shared" si="887"/>
        <v>0</v>
      </c>
    </row>
    <row r="14203" spans="5:23" x14ac:dyDescent="0.25">
      <c r="E14203" s="4"/>
      <c r="F14203" s="4"/>
      <c r="G14203" s="33" t="str">
        <f>IFERROR(VLOOKUP($D14203,'Informations sur les produits'!$A$3:$H$10000,8,FALSE),"0")</f>
        <v>0</v>
      </c>
      <c r="K14203" s="4"/>
      <c r="L14203" s="33" t="str">
        <f>IFERROR(VLOOKUP($J14203,'Informations sur les produits'!$A$3:$H$10000,8,FALSE),"0")</f>
        <v>0</v>
      </c>
      <c r="N14203" s="8"/>
      <c r="O14203" s="33" t="str">
        <f>IFERROR(VLOOKUP($M14203,'Informations sur les produits'!$A$3:$H$10000,8,FALSE),"0")</f>
        <v>0</v>
      </c>
      <c r="P14203" s="33">
        <f t="shared" si="884"/>
        <v>0</v>
      </c>
      <c r="Q14203" s="31" t="str">
        <f t="shared" si="885"/>
        <v/>
      </c>
      <c r="R14203" s="32" t="str">
        <f>IFERROR(VLOOKUP($D14203,'Informations sur les produits'!$A$3:$B$15000,2,FALSE),"")</f>
        <v/>
      </c>
      <c r="V14203">
        <f t="shared" si="886"/>
        <v>0</v>
      </c>
      <c r="W14203">
        <f t="shared" si="887"/>
        <v>0</v>
      </c>
    </row>
    <row r="14204" spans="5:23" x14ac:dyDescent="0.25">
      <c r="E14204" s="4"/>
      <c r="F14204" s="4"/>
      <c r="G14204" s="33" t="str">
        <f>IFERROR(VLOOKUP($D14204,'Informations sur les produits'!$A$3:$H$10000,8,FALSE),"0")</f>
        <v>0</v>
      </c>
      <c r="K14204" s="4"/>
      <c r="L14204" s="33" t="str">
        <f>IFERROR(VLOOKUP($J14204,'Informations sur les produits'!$A$3:$H$10000,8,FALSE),"0")</f>
        <v>0</v>
      </c>
      <c r="N14204" s="8"/>
      <c r="O14204" s="33" t="str">
        <f>IFERROR(VLOOKUP($M14204,'Informations sur les produits'!$A$3:$H$10000,8,FALSE),"0")</f>
        <v>0</v>
      </c>
      <c r="P14204" s="33">
        <f t="shared" si="884"/>
        <v>0</v>
      </c>
      <c r="Q14204" s="31" t="str">
        <f t="shared" si="885"/>
        <v/>
      </c>
      <c r="R14204" s="32" t="str">
        <f>IFERROR(VLOOKUP($D14204,'Informations sur les produits'!$A$3:$B$15000,2,FALSE),"")</f>
        <v/>
      </c>
      <c r="V14204">
        <f t="shared" si="886"/>
        <v>0</v>
      </c>
      <c r="W14204">
        <f t="shared" si="887"/>
        <v>0</v>
      </c>
    </row>
    <row r="14205" spans="5:23" x14ac:dyDescent="0.25">
      <c r="E14205" s="4"/>
      <c r="F14205" s="4"/>
      <c r="G14205" s="33" t="str">
        <f>IFERROR(VLOOKUP($D14205,'Informations sur les produits'!$A$3:$H$10000,8,FALSE),"0")</f>
        <v>0</v>
      </c>
      <c r="K14205" s="4"/>
      <c r="L14205" s="33" t="str">
        <f>IFERROR(VLOOKUP($J14205,'Informations sur les produits'!$A$3:$H$10000,8,FALSE),"0")</f>
        <v>0</v>
      </c>
      <c r="N14205" s="8"/>
      <c r="O14205" s="33" t="str">
        <f>IFERROR(VLOOKUP($M14205,'Informations sur les produits'!$A$3:$H$10000,8,FALSE),"0")</f>
        <v>0</v>
      </c>
      <c r="P14205" s="33">
        <f t="shared" si="884"/>
        <v>0</v>
      </c>
      <c r="Q14205" s="31" t="str">
        <f t="shared" si="885"/>
        <v/>
      </c>
      <c r="R14205" s="32" t="str">
        <f>IFERROR(VLOOKUP($D14205,'Informations sur les produits'!$A$3:$B$15000,2,FALSE),"")</f>
        <v/>
      </c>
      <c r="V14205">
        <f t="shared" si="886"/>
        <v>0</v>
      </c>
      <c r="W14205">
        <f t="shared" si="887"/>
        <v>0</v>
      </c>
    </row>
    <row r="14206" spans="5:23" x14ac:dyDescent="0.25">
      <c r="E14206" s="4"/>
      <c r="F14206" s="4"/>
      <c r="G14206" s="33" t="str">
        <f>IFERROR(VLOOKUP($D14206,'Informations sur les produits'!$A$3:$H$10000,8,FALSE),"0")</f>
        <v>0</v>
      </c>
      <c r="K14206" s="4"/>
      <c r="L14206" s="33" t="str">
        <f>IFERROR(VLOOKUP($J14206,'Informations sur les produits'!$A$3:$H$10000,8,FALSE),"0")</f>
        <v>0</v>
      </c>
      <c r="N14206" s="8"/>
      <c r="O14206" s="33" t="str">
        <f>IFERROR(VLOOKUP($M14206,'Informations sur les produits'!$A$3:$H$10000,8,FALSE),"0")</f>
        <v>0</v>
      </c>
      <c r="P14206" s="33">
        <f t="shared" si="884"/>
        <v>0</v>
      </c>
      <c r="Q14206" s="31" t="str">
        <f t="shared" si="885"/>
        <v/>
      </c>
      <c r="R14206" s="32" t="str">
        <f>IFERROR(VLOOKUP($D14206,'Informations sur les produits'!$A$3:$B$15000,2,FALSE),"")</f>
        <v/>
      </c>
      <c r="V14206">
        <f t="shared" si="886"/>
        <v>0</v>
      </c>
      <c r="W14206">
        <f t="shared" si="887"/>
        <v>0</v>
      </c>
    </row>
    <row r="14207" spans="5:23" x14ac:dyDescent="0.25">
      <c r="E14207" s="4"/>
      <c r="F14207" s="4"/>
      <c r="G14207" s="33" t="str">
        <f>IFERROR(VLOOKUP($D14207,'Informations sur les produits'!$A$3:$H$10000,8,FALSE),"0")</f>
        <v>0</v>
      </c>
      <c r="K14207" s="4"/>
      <c r="L14207" s="33" t="str">
        <f>IFERROR(VLOOKUP($J14207,'Informations sur les produits'!$A$3:$H$10000,8,FALSE),"0")</f>
        <v>0</v>
      </c>
      <c r="N14207" s="8"/>
      <c r="O14207" s="33" t="str">
        <f>IFERROR(VLOOKUP($M14207,'Informations sur les produits'!$A$3:$H$10000,8,FALSE),"0")</f>
        <v>0</v>
      </c>
      <c r="P14207" s="33">
        <f t="shared" si="884"/>
        <v>0</v>
      </c>
      <c r="Q14207" s="31" t="str">
        <f t="shared" si="885"/>
        <v/>
      </c>
      <c r="R14207" s="32" t="str">
        <f>IFERROR(VLOOKUP($D14207,'Informations sur les produits'!$A$3:$B$15000,2,FALSE),"")</f>
        <v/>
      </c>
      <c r="V14207">
        <f t="shared" si="886"/>
        <v>0</v>
      </c>
      <c r="W14207">
        <f t="shared" si="887"/>
        <v>0</v>
      </c>
    </row>
    <row r="14208" spans="5:23" x14ac:dyDescent="0.25">
      <c r="E14208" s="4"/>
      <c r="F14208" s="4"/>
      <c r="G14208" s="33" t="str">
        <f>IFERROR(VLOOKUP($D14208,'Informations sur les produits'!$A$3:$H$10000,8,FALSE),"0")</f>
        <v>0</v>
      </c>
      <c r="K14208" s="4"/>
      <c r="L14208" s="33" t="str">
        <f>IFERROR(VLOOKUP($J14208,'Informations sur les produits'!$A$3:$H$10000,8,FALSE),"0")</f>
        <v>0</v>
      </c>
      <c r="N14208" s="8"/>
      <c r="O14208" s="33" t="str">
        <f>IFERROR(VLOOKUP($M14208,'Informations sur les produits'!$A$3:$H$10000,8,FALSE),"0")</f>
        <v>0</v>
      </c>
      <c r="P14208" s="33">
        <f t="shared" si="884"/>
        <v>0</v>
      </c>
      <c r="Q14208" s="31" t="str">
        <f t="shared" si="885"/>
        <v/>
      </c>
      <c r="R14208" s="32" t="str">
        <f>IFERROR(VLOOKUP($D14208,'Informations sur les produits'!$A$3:$B$15000,2,FALSE),"")</f>
        <v/>
      </c>
      <c r="V14208">
        <f t="shared" si="886"/>
        <v>0</v>
      </c>
      <c r="W14208">
        <f t="shared" si="887"/>
        <v>0</v>
      </c>
    </row>
    <row r="14209" spans="5:23" x14ac:dyDescent="0.25">
      <c r="E14209" s="4"/>
      <c r="F14209" s="4"/>
      <c r="G14209" s="33" t="str">
        <f>IFERROR(VLOOKUP($D14209,'Informations sur les produits'!$A$3:$H$10000,8,FALSE),"0")</f>
        <v>0</v>
      </c>
      <c r="K14209" s="4"/>
      <c r="L14209" s="33" t="str">
        <f>IFERROR(VLOOKUP($J14209,'Informations sur les produits'!$A$3:$H$10000,8,FALSE),"0")</f>
        <v>0</v>
      </c>
      <c r="N14209" s="8"/>
      <c r="O14209" s="33" t="str">
        <f>IFERROR(VLOOKUP($M14209,'Informations sur les produits'!$A$3:$H$10000,8,FALSE),"0")</f>
        <v>0</v>
      </c>
      <c r="P14209" s="33">
        <f t="shared" si="884"/>
        <v>0</v>
      </c>
      <c r="Q14209" s="31" t="str">
        <f t="shared" si="885"/>
        <v/>
      </c>
      <c r="R14209" s="32" t="str">
        <f>IFERROR(VLOOKUP($D14209,'Informations sur les produits'!$A$3:$B$15000,2,FALSE),"")</f>
        <v/>
      </c>
      <c r="V14209">
        <f t="shared" si="886"/>
        <v>0</v>
      </c>
      <c r="W14209">
        <f t="shared" si="887"/>
        <v>0</v>
      </c>
    </row>
    <row r="14210" spans="5:23" x14ac:dyDescent="0.25">
      <c r="E14210" s="4"/>
      <c r="F14210" s="4"/>
      <c r="G14210" s="33" t="str">
        <f>IFERROR(VLOOKUP($D14210,'Informations sur les produits'!$A$3:$H$10000,8,FALSE),"0")</f>
        <v>0</v>
      </c>
      <c r="K14210" s="4"/>
      <c r="L14210" s="33" t="str">
        <f>IFERROR(VLOOKUP($J14210,'Informations sur les produits'!$A$3:$H$10000,8,FALSE),"0")</f>
        <v>0</v>
      </c>
      <c r="N14210" s="8"/>
      <c r="O14210" s="33" t="str">
        <f>IFERROR(VLOOKUP($M14210,'Informations sur les produits'!$A$3:$H$10000,8,FALSE),"0")</f>
        <v>0</v>
      </c>
      <c r="P14210" s="33">
        <f t="shared" si="884"/>
        <v>0</v>
      </c>
      <c r="Q14210" s="31" t="str">
        <f t="shared" si="885"/>
        <v/>
      </c>
      <c r="R14210" s="32" t="str">
        <f>IFERROR(VLOOKUP($D14210,'Informations sur les produits'!$A$3:$B$15000,2,FALSE),"")</f>
        <v/>
      </c>
      <c r="V14210">
        <f t="shared" si="886"/>
        <v>0</v>
      </c>
      <c r="W14210">
        <f t="shared" si="887"/>
        <v>0</v>
      </c>
    </row>
    <row r="14211" spans="5:23" x14ac:dyDescent="0.25">
      <c r="E14211" s="4"/>
      <c r="F14211" s="4"/>
      <c r="G14211" s="33" t="str">
        <f>IFERROR(VLOOKUP($D14211,'Informations sur les produits'!$A$3:$H$10000,8,FALSE),"0")</f>
        <v>0</v>
      </c>
      <c r="K14211" s="4"/>
      <c r="L14211" s="33" t="str">
        <f>IFERROR(VLOOKUP($J14211,'Informations sur les produits'!$A$3:$H$10000,8,FALSE),"0")</f>
        <v>0</v>
      </c>
      <c r="N14211" s="8"/>
      <c r="O14211" s="33" t="str">
        <f>IFERROR(VLOOKUP($M14211,'Informations sur les produits'!$A$3:$H$10000,8,FALSE),"0")</f>
        <v>0</v>
      </c>
      <c r="P14211" s="33">
        <f t="shared" si="884"/>
        <v>0</v>
      </c>
      <c r="Q14211" s="31" t="str">
        <f t="shared" si="885"/>
        <v/>
      </c>
      <c r="R14211" s="32" t="str">
        <f>IFERROR(VLOOKUP($D14211,'Informations sur les produits'!$A$3:$B$15000,2,FALSE),"")</f>
        <v/>
      </c>
      <c r="V14211">
        <f t="shared" si="886"/>
        <v>0</v>
      </c>
      <c r="W14211">
        <f t="shared" si="887"/>
        <v>0</v>
      </c>
    </row>
    <row r="14212" spans="5:23" x14ac:dyDescent="0.25">
      <c r="E14212" s="4"/>
      <c r="F14212" s="4"/>
      <c r="G14212" s="33" t="str">
        <f>IFERROR(VLOOKUP($D14212,'Informations sur les produits'!$A$3:$H$10000,8,FALSE),"0")</f>
        <v>0</v>
      </c>
      <c r="K14212" s="4"/>
      <c r="L14212" s="33" t="str">
        <f>IFERROR(VLOOKUP($J14212,'Informations sur les produits'!$A$3:$H$10000,8,FALSE),"0")</f>
        <v>0</v>
      </c>
      <c r="N14212" s="8"/>
      <c r="O14212" s="33" t="str">
        <f>IFERROR(VLOOKUP($M14212,'Informations sur les produits'!$A$3:$H$10000,8,FALSE),"0")</f>
        <v>0</v>
      </c>
      <c r="P14212" s="33">
        <f t="shared" ref="P14212:P14275" si="888">IFERROR((($E14212-$F14212)*$G14212+$K14212*$L14212+$N14212*$O14212),"")</f>
        <v>0</v>
      </c>
      <c r="Q14212" s="31" t="str">
        <f t="shared" ref="Q14212:Q14275" si="889">IFERROR((((($E14212-$F14212)*$G14212+$K14212*$L14212+$N14212*$O14212)*1000)/(($E14212-$F14212)+$K14212+$N14212)),"")</f>
        <v/>
      </c>
      <c r="R14212" s="32" t="str">
        <f>IFERROR(VLOOKUP($D14212,'Informations sur les produits'!$A$3:$B$15000,2,FALSE),"")</f>
        <v/>
      </c>
      <c r="V14212">
        <f t="shared" ref="V14212:V14275" si="890">IFERROR(P14212*1000,"")</f>
        <v>0</v>
      </c>
      <c r="W14212">
        <f t="shared" ref="W14212:W14275" si="891">IFERROR(($E14212-$F14212)+$K14212+$N14212,"")</f>
        <v>0</v>
      </c>
    </row>
    <row r="14213" spans="5:23" x14ac:dyDescent="0.25">
      <c r="E14213" s="4"/>
      <c r="F14213" s="4"/>
      <c r="G14213" s="33" t="str">
        <f>IFERROR(VLOOKUP($D14213,'Informations sur les produits'!$A$3:$H$10000,8,FALSE),"0")</f>
        <v>0</v>
      </c>
      <c r="K14213" s="4"/>
      <c r="L14213" s="33" t="str">
        <f>IFERROR(VLOOKUP($J14213,'Informations sur les produits'!$A$3:$H$10000,8,FALSE),"0")</f>
        <v>0</v>
      </c>
      <c r="N14213" s="8"/>
      <c r="O14213" s="33" t="str">
        <f>IFERROR(VLOOKUP($M14213,'Informations sur les produits'!$A$3:$H$10000,8,FALSE),"0")</f>
        <v>0</v>
      </c>
      <c r="P14213" s="33">
        <f t="shared" si="888"/>
        <v>0</v>
      </c>
      <c r="Q14213" s="31" t="str">
        <f t="shared" si="889"/>
        <v/>
      </c>
      <c r="R14213" s="32" t="str">
        <f>IFERROR(VLOOKUP($D14213,'Informations sur les produits'!$A$3:$B$15000,2,FALSE),"")</f>
        <v/>
      </c>
      <c r="V14213">
        <f t="shared" si="890"/>
        <v>0</v>
      </c>
      <c r="W14213">
        <f t="shared" si="891"/>
        <v>0</v>
      </c>
    </row>
    <row r="14214" spans="5:23" x14ac:dyDescent="0.25">
      <c r="E14214" s="4"/>
      <c r="F14214" s="4"/>
      <c r="G14214" s="33" t="str">
        <f>IFERROR(VLOOKUP($D14214,'Informations sur les produits'!$A$3:$H$10000,8,FALSE),"0")</f>
        <v>0</v>
      </c>
      <c r="K14214" s="4"/>
      <c r="L14214" s="33" t="str">
        <f>IFERROR(VLOOKUP($J14214,'Informations sur les produits'!$A$3:$H$10000,8,FALSE),"0")</f>
        <v>0</v>
      </c>
      <c r="N14214" s="8"/>
      <c r="O14214" s="33" t="str">
        <f>IFERROR(VLOOKUP($M14214,'Informations sur les produits'!$A$3:$H$10000,8,FALSE),"0")</f>
        <v>0</v>
      </c>
      <c r="P14214" s="33">
        <f t="shared" si="888"/>
        <v>0</v>
      </c>
      <c r="Q14214" s="31" t="str">
        <f t="shared" si="889"/>
        <v/>
      </c>
      <c r="R14214" s="32" t="str">
        <f>IFERROR(VLOOKUP($D14214,'Informations sur les produits'!$A$3:$B$15000,2,FALSE),"")</f>
        <v/>
      </c>
      <c r="V14214">
        <f t="shared" si="890"/>
        <v>0</v>
      </c>
      <c r="W14214">
        <f t="shared" si="891"/>
        <v>0</v>
      </c>
    </row>
    <row r="14215" spans="5:23" x14ac:dyDescent="0.25">
      <c r="E14215" s="4"/>
      <c r="F14215" s="4"/>
      <c r="G14215" s="33" t="str">
        <f>IFERROR(VLOOKUP($D14215,'Informations sur les produits'!$A$3:$H$10000,8,FALSE),"0")</f>
        <v>0</v>
      </c>
      <c r="K14215" s="4"/>
      <c r="L14215" s="33" t="str">
        <f>IFERROR(VLOOKUP($J14215,'Informations sur les produits'!$A$3:$H$10000,8,FALSE),"0")</f>
        <v>0</v>
      </c>
      <c r="N14215" s="8"/>
      <c r="O14215" s="33" t="str">
        <f>IFERROR(VLOOKUP($M14215,'Informations sur les produits'!$A$3:$H$10000,8,FALSE),"0")</f>
        <v>0</v>
      </c>
      <c r="P14215" s="33">
        <f t="shared" si="888"/>
        <v>0</v>
      </c>
      <c r="Q14215" s="31" t="str">
        <f t="shared" si="889"/>
        <v/>
      </c>
      <c r="R14215" s="32" t="str">
        <f>IFERROR(VLOOKUP($D14215,'Informations sur les produits'!$A$3:$B$15000,2,FALSE),"")</f>
        <v/>
      </c>
      <c r="V14215">
        <f t="shared" si="890"/>
        <v>0</v>
      </c>
      <c r="W14215">
        <f t="shared" si="891"/>
        <v>0</v>
      </c>
    </row>
    <row r="14216" spans="5:23" x14ac:dyDescent="0.25">
      <c r="E14216" s="4"/>
      <c r="F14216" s="4"/>
      <c r="G14216" s="33" t="str">
        <f>IFERROR(VLOOKUP($D14216,'Informations sur les produits'!$A$3:$H$10000,8,FALSE),"0")</f>
        <v>0</v>
      </c>
      <c r="K14216" s="4"/>
      <c r="L14216" s="33" t="str">
        <f>IFERROR(VLOOKUP($J14216,'Informations sur les produits'!$A$3:$H$10000,8,FALSE),"0")</f>
        <v>0</v>
      </c>
      <c r="N14216" s="8"/>
      <c r="O14216" s="33" t="str">
        <f>IFERROR(VLOOKUP($M14216,'Informations sur les produits'!$A$3:$H$10000,8,FALSE),"0")</f>
        <v>0</v>
      </c>
      <c r="P14216" s="33">
        <f t="shared" si="888"/>
        <v>0</v>
      </c>
      <c r="Q14216" s="31" t="str">
        <f t="shared" si="889"/>
        <v/>
      </c>
      <c r="R14216" s="32" t="str">
        <f>IFERROR(VLOOKUP($D14216,'Informations sur les produits'!$A$3:$B$15000,2,FALSE),"")</f>
        <v/>
      </c>
      <c r="V14216">
        <f t="shared" si="890"/>
        <v>0</v>
      </c>
      <c r="W14216">
        <f t="shared" si="891"/>
        <v>0</v>
      </c>
    </row>
    <row r="14217" spans="5:23" x14ac:dyDescent="0.25">
      <c r="E14217" s="4"/>
      <c r="F14217" s="4"/>
      <c r="G14217" s="33" t="str">
        <f>IFERROR(VLOOKUP($D14217,'Informations sur les produits'!$A$3:$H$10000,8,FALSE),"0")</f>
        <v>0</v>
      </c>
      <c r="K14217" s="4"/>
      <c r="L14217" s="33" t="str">
        <f>IFERROR(VLOOKUP($J14217,'Informations sur les produits'!$A$3:$H$10000,8,FALSE),"0")</f>
        <v>0</v>
      </c>
      <c r="N14217" s="8"/>
      <c r="O14217" s="33" t="str">
        <f>IFERROR(VLOOKUP($M14217,'Informations sur les produits'!$A$3:$H$10000,8,FALSE),"0")</f>
        <v>0</v>
      </c>
      <c r="P14217" s="33">
        <f t="shared" si="888"/>
        <v>0</v>
      </c>
      <c r="Q14217" s="31" t="str">
        <f t="shared" si="889"/>
        <v/>
      </c>
      <c r="R14217" s="32" t="str">
        <f>IFERROR(VLOOKUP($D14217,'Informations sur les produits'!$A$3:$B$15000,2,FALSE),"")</f>
        <v/>
      </c>
      <c r="V14217">
        <f t="shared" si="890"/>
        <v>0</v>
      </c>
      <c r="W14217">
        <f t="shared" si="891"/>
        <v>0</v>
      </c>
    </row>
    <row r="14218" spans="5:23" x14ac:dyDescent="0.25">
      <c r="E14218" s="4"/>
      <c r="F14218" s="4"/>
      <c r="G14218" s="33" t="str">
        <f>IFERROR(VLOOKUP($D14218,'Informations sur les produits'!$A$3:$H$10000,8,FALSE),"0")</f>
        <v>0</v>
      </c>
      <c r="K14218" s="4"/>
      <c r="L14218" s="33" t="str">
        <f>IFERROR(VLOOKUP($J14218,'Informations sur les produits'!$A$3:$H$10000,8,FALSE),"0")</f>
        <v>0</v>
      </c>
      <c r="N14218" s="8"/>
      <c r="O14218" s="33" t="str">
        <f>IFERROR(VLOOKUP($M14218,'Informations sur les produits'!$A$3:$H$10000,8,FALSE),"0")</f>
        <v>0</v>
      </c>
      <c r="P14218" s="33">
        <f t="shared" si="888"/>
        <v>0</v>
      </c>
      <c r="Q14218" s="31" t="str">
        <f t="shared" si="889"/>
        <v/>
      </c>
      <c r="R14218" s="32" t="str">
        <f>IFERROR(VLOOKUP($D14218,'Informations sur les produits'!$A$3:$B$15000,2,FALSE),"")</f>
        <v/>
      </c>
      <c r="V14218">
        <f t="shared" si="890"/>
        <v>0</v>
      </c>
      <c r="W14218">
        <f t="shared" si="891"/>
        <v>0</v>
      </c>
    </row>
    <row r="14219" spans="5:23" x14ac:dyDescent="0.25">
      <c r="E14219" s="4"/>
      <c r="F14219" s="4"/>
      <c r="G14219" s="33" t="str">
        <f>IFERROR(VLOOKUP($D14219,'Informations sur les produits'!$A$3:$H$10000,8,FALSE),"0")</f>
        <v>0</v>
      </c>
      <c r="K14219" s="4"/>
      <c r="L14219" s="33" t="str">
        <f>IFERROR(VLOOKUP($J14219,'Informations sur les produits'!$A$3:$H$10000,8,FALSE),"0")</f>
        <v>0</v>
      </c>
      <c r="N14219" s="8"/>
      <c r="O14219" s="33" t="str">
        <f>IFERROR(VLOOKUP($M14219,'Informations sur les produits'!$A$3:$H$10000,8,FALSE),"0")</f>
        <v>0</v>
      </c>
      <c r="P14219" s="33">
        <f t="shared" si="888"/>
        <v>0</v>
      </c>
      <c r="Q14219" s="31" t="str">
        <f t="shared" si="889"/>
        <v/>
      </c>
      <c r="R14219" s="32" t="str">
        <f>IFERROR(VLOOKUP($D14219,'Informations sur les produits'!$A$3:$B$15000,2,FALSE),"")</f>
        <v/>
      </c>
      <c r="V14219">
        <f t="shared" si="890"/>
        <v>0</v>
      </c>
      <c r="W14219">
        <f t="shared" si="891"/>
        <v>0</v>
      </c>
    </row>
    <row r="14220" spans="5:23" x14ac:dyDescent="0.25">
      <c r="E14220" s="4"/>
      <c r="F14220" s="4"/>
      <c r="G14220" s="33" t="str">
        <f>IFERROR(VLOOKUP($D14220,'Informations sur les produits'!$A$3:$H$10000,8,FALSE),"0")</f>
        <v>0</v>
      </c>
      <c r="K14220" s="4"/>
      <c r="L14220" s="33" t="str">
        <f>IFERROR(VLOOKUP($J14220,'Informations sur les produits'!$A$3:$H$10000,8,FALSE),"0")</f>
        <v>0</v>
      </c>
      <c r="N14220" s="8"/>
      <c r="O14220" s="33" t="str">
        <f>IFERROR(VLOOKUP($M14220,'Informations sur les produits'!$A$3:$H$10000,8,FALSE),"0")</f>
        <v>0</v>
      </c>
      <c r="P14220" s="33">
        <f t="shared" si="888"/>
        <v>0</v>
      </c>
      <c r="Q14220" s="31" t="str">
        <f t="shared" si="889"/>
        <v/>
      </c>
      <c r="R14220" s="32" t="str">
        <f>IFERROR(VLOOKUP($D14220,'Informations sur les produits'!$A$3:$B$15000,2,FALSE),"")</f>
        <v/>
      </c>
      <c r="V14220">
        <f t="shared" si="890"/>
        <v>0</v>
      </c>
      <c r="W14220">
        <f t="shared" si="891"/>
        <v>0</v>
      </c>
    </row>
    <row r="14221" spans="5:23" x14ac:dyDescent="0.25">
      <c r="E14221" s="4"/>
      <c r="F14221" s="4"/>
      <c r="G14221" s="33" t="str">
        <f>IFERROR(VLOOKUP($D14221,'Informations sur les produits'!$A$3:$H$10000,8,FALSE),"0")</f>
        <v>0</v>
      </c>
      <c r="K14221" s="4"/>
      <c r="L14221" s="33" t="str">
        <f>IFERROR(VLOOKUP($J14221,'Informations sur les produits'!$A$3:$H$10000,8,FALSE),"0")</f>
        <v>0</v>
      </c>
      <c r="N14221" s="8"/>
      <c r="O14221" s="33" t="str">
        <f>IFERROR(VLOOKUP($M14221,'Informations sur les produits'!$A$3:$H$10000,8,FALSE),"0")</f>
        <v>0</v>
      </c>
      <c r="P14221" s="33">
        <f t="shared" si="888"/>
        <v>0</v>
      </c>
      <c r="Q14221" s="31" t="str">
        <f t="shared" si="889"/>
        <v/>
      </c>
      <c r="R14221" s="32" t="str">
        <f>IFERROR(VLOOKUP($D14221,'Informations sur les produits'!$A$3:$B$15000,2,FALSE),"")</f>
        <v/>
      </c>
      <c r="V14221">
        <f t="shared" si="890"/>
        <v>0</v>
      </c>
      <c r="W14221">
        <f t="shared" si="891"/>
        <v>0</v>
      </c>
    </row>
    <row r="14222" spans="5:23" x14ac:dyDescent="0.25">
      <c r="E14222" s="4"/>
      <c r="F14222" s="4"/>
      <c r="G14222" s="33" t="str">
        <f>IFERROR(VLOOKUP($D14222,'Informations sur les produits'!$A$3:$H$10000,8,FALSE),"0")</f>
        <v>0</v>
      </c>
      <c r="K14222" s="4"/>
      <c r="L14222" s="33" t="str">
        <f>IFERROR(VLOOKUP($J14222,'Informations sur les produits'!$A$3:$H$10000,8,FALSE),"0")</f>
        <v>0</v>
      </c>
      <c r="N14222" s="8"/>
      <c r="O14222" s="33" t="str">
        <f>IFERROR(VLOOKUP($M14222,'Informations sur les produits'!$A$3:$H$10000,8,FALSE),"0")</f>
        <v>0</v>
      </c>
      <c r="P14222" s="33">
        <f t="shared" si="888"/>
        <v>0</v>
      </c>
      <c r="Q14222" s="31" t="str">
        <f t="shared" si="889"/>
        <v/>
      </c>
      <c r="R14222" s="32" t="str">
        <f>IFERROR(VLOOKUP($D14222,'Informations sur les produits'!$A$3:$B$15000,2,FALSE),"")</f>
        <v/>
      </c>
      <c r="V14222">
        <f t="shared" si="890"/>
        <v>0</v>
      </c>
      <c r="W14222">
        <f t="shared" si="891"/>
        <v>0</v>
      </c>
    </row>
    <row r="14223" spans="5:23" x14ac:dyDescent="0.25">
      <c r="E14223" s="4"/>
      <c r="F14223" s="4"/>
      <c r="G14223" s="33" t="str">
        <f>IFERROR(VLOOKUP($D14223,'Informations sur les produits'!$A$3:$H$10000,8,FALSE),"0")</f>
        <v>0</v>
      </c>
      <c r="K14223" s="4"/>
      <c r="L14223" s="33" t="str">
        <f>IFERROR(VLOOKUP($J14223,'Informations sur les produits'!$A$3:$H$10000,8,FALSE),"0")</f>
        <v>0</v>
      </c>
      <c r="N14223" s="8"/>
      <c r="O14223" s="33" t="str">
        <f>IFERROR(VLOOKUP($M14223,'Informations sur les produits'!$A$3:$H$10000,8,FALSE),"0")</f>
        <v>0</v>
      </c>
      <c r="P14223" s="33">
        <f t="shared" si="888"/>
        <v>0</v>
      </c>
      <c r="Q14223" s="31" t="str">
        <f t="shared" si="889"/>
        <v/>
      </c>
      <c r="R14223" s="32" t="str">
        <f>IFERROR(VLOOKUP($D14223,'Informations sur les produits'!$A$3:$B$15000,2,FALSE),"")</f>
        <v/>
      </c>
      <c r="V14223">
        <f t="shared" si="890"/>
        <v>0</v>
      </c>
      <c r="W14223">
        <f t="shared" si="891"/>
        <v>0</v>
      </c>
    </row>
    <row r="14224" spans="5:23" x14ac:dyDescent="0.25">
      <c r="E14224" s="4"/>
      <c r="F14224" s="4"/>
      <c r="G14224" s="33" t="str">
        <f>IFERROR(VLOOKUP($D14224,'Informations sur les produits'!$A$3:$H$10000,8,FALSE),"0")</f>
        <v>0</v>
      </c>
      <c r="K14224" s="4"/>
      <c r="L14224" s="33" t="str">
        <f>IFERROR(VLOOKUP($J14224,'Informations sur les produits'!$A$3:$H$10000,8,FALSE),"0")</f>
        <v>0</v>
      </c>
      <c r="N14224" s="8"/>
      <c r="O14224" s="33" t="str">
        <f>IFERROR(VLOOKUP($M14224,'Informations sur les produits'!$A$3:$H$10000,8,FALSE),"0")</f>
        <v>0</v>
      </c>
      <c r="P14224" s="33">
        <f t="shared" si="888"/>
        <v>0</v>
      </c>
      <c r="Q14224" s="31" t="str">
        <f t="shared" si="889"/>
        <v/>
      </c>
      <c r="R14224" s="32" t="str">
        <f>IFERROR(VLOOKUP($D14224,'Informations sur les produits'!$A$3:$B$15000,2,FALSE),"")</f>
        <v/>
      </c>
      <c r="V14224">
        <f t="shared" si="890"/>
        <v>0</v>
      </c>
      <c r="W14224">
        <f t="shared" si="891"/>
        <v>0</v>
      </c>
    </row>
    <row r="14225" spans="5:23" x14ac:dyDescent="0.25">
      <c r="E14225" s="4"/>
      <c r="F14225" s="4"/>
      <c r="G14225" s="33" t="str">
        <f>IFERROR(VLOOKUP($D14225,'Informations sur les produits'!$A$3:$H$10000,8,FALSE),"0")</f>
        <v>0</v>
      </c>
      <c r="K14225" s="4"/>
      <c r="L14225" s="33" t="str">
        <f>IFERROR(VLOOKUP($J14225,'Informations sur les produits'!$A$3:$H$10000,8,FALSE),"0")</f>
        <v>0</v>
      </c>
      <c r="N14225" s="8"/>
      <c r="O14225" s="33" t="str">
        <f>IFERROR(VLOOKUP($M14225,'Informations sur les produits'!$A$3:$H$10000,8,FALSE),"0")</f>
        <v>0</v>
      </c>
      <c r="P14225" s="33">
        <f t="shared" si="888"/>
        <v>0</v>
      </c>
      <c r="Q14225" s="31" t="str">
        <f t="shared" si="889"/>
        <v/>
      </c>
      <c r="R14225" s="32" t="str">
        <f>IFERROR(VLOOKUP($D14225,'Informations sur les produits'!$A$3:$B$15000,2,FALSE),"")</f>
        <v/>
      </c>
      <c r="V14225">
        <f t="shared" si="890"/>
        <v>0</v>
      </c>
      <c r="W14225">
        <f t="shared" si="891"/>
        <v>0</v>
      </c>
    </row>
    <row r="14226" spans="5:23" x14ac:dyDescent="0.25">
      <c r="E14226" s="4"/>
      <c r="F14226" s="4"/>
      <c r="G14226" s="33" t="str">
        <f>IFERROR(VLOOKUP($D14226,'Informations sur les produits'!$A$3:$H$10000,8,FALSE),"0")</f>
        <v>0</v>
      </c>
      <c r="K14226" s="4"/>
      <c r="L14226" s="33" t="str">
        <f>IFERROR(VLOOKUP($J14226,'Informations sur les produits'!$A$3:$H$10000,8,FALSE),"0")</f>
        <v>0</v>
      </c>
      <c r="N14226" s="8"/>
      <c r="O14226" s="33" t="str">
        <f>IFERROR(VLOOKUP($M14226,'Informations sur les produits'!$A$3:$H$10000,8,FALSE),"0")</f>
        <v>0</v>
      </c>
      <c r="P14226" s="33">
        <f t="shared" si="888"/>
        <v>0</v>
      </c>
      <c r="Q14226" s="31" t="str">
        <f t="shared" si="889"/>
        <v/>
      </c>
      <c r="R14226" s="32" t="str">
        <f>IFERROR(VLOOKUP($D14226,'Informations sur les produits'!$A$3:$B$15000,2,FALSE),"")</f>
        <v/>
      </c>
      <c r="V14226">
        <f t="shared" si="890"/>
        <v>0</v>
      </c>
      <c r="W14226">
        <f t="shared" si="891"/>
        <v>0</v>
      </c>
    </row>
    <row r="14227" spans="5:23" x14ac:dyDescent="0.25">
      <c r="E14227" s="4"/>
      <c r="F14227" s="4"/>
      <c r="G14227" s="33" t="str">
        <f>IFERROR(VLOOKUP($D14227,'Informations sur les produits'!$A$3:$H$10000,8,FALSE),"0")</f>
        <v>0</v>
      </c>
      <c r="K14227" s="4"/>
      <c r="L14227" s="33" t="str">
        <f>IFERROR(VLOOKUP($J14227,'Informations sur les produits'!$A$3:$H$10000,8,FALSE),"0")</f>
        <v>0</v>
      </c>
      <c r="N14227" s="8"/>
      <c r="O14227" s="33" t="str">
        <f>IFERROR(VLOOKUP($M14227,'Informations sur les produits'!$A$3:$H$10000,8,FALSE),"0")</f>
        <v>0</v>
      </c>
      <c r="P14227" s="33">
        <f t="shared" si="888"/>
        <v>0</v>
      </c>
      <c r="Q14227" s="31" t="str">
        <f t="shared" si="889"/>
        <v/>
      </c>
      <c r="R14227" s="32" t="str">
        <f>IFERROR(VLOOKUP($D14227,'Informations sur les produits'!$A$3:$B$15000,2,FALSE),"")</f>
        <v/>
      </c>
      <c r="V14227">
        <f t="shared" si="890"/>
        <v>0</v>
      </c>
      <c r="W14227">
        <f t="shared" si="891"/>
        <v>0</v>
      </c>
    </row>
    <row r="14228" spans="5:23" x14ac:dyDescent="0.25">
      <c r="E14228" s="4"/>
      <c r="F14228" s="4"/>
      <c r="G14228" s="33" t="str">
        <f>IFERROR(VLOOKUP($D14228,'Informations sur les produits'!$A$3:$H$10000,8,FALSE),"0")</f>
        <v>0</v>
      </c>
      <c r="K14228" s="4"/>
      <c r="L14228" s="33" t="str">
        <f>IFERROR(VLOOKUP($J14228,'Informations sur les produits'!$A$3:$H$10000,8,FALSE),"0")</f>
        <v>0</v>
      </c>
      <c r="N14228" s="8"/>
      <c r="O14228" s="33" t="str">
        <f>IFERROR(VLOOKUP($M14228,'Informations sur les produits'!$A$3:$H$10000,8,FALSE),"0")</f>
        <v>0</v>
      </c>
      <c r="P14228" s="33">
        <f t="shared" si="888"/>
        <v>0</v>
      </c>
      <c r="Q14228" s="31" t="str">
        <f t="shared" si="889"/>
        <v/>
      </c>
      <c r="R14228" s="32" t="str">
        <f>IFERROR(VLOOKUP($D14228,'Informations sur les produits'!$A$3:$B$15000,2,FALSE),"")</f>
        <v/>
      </c>
      <c r="V14228">
        <f t="shared" si="890"/>
        <v>0</v>
      </c>
      <c r="W14228">
        <f t="shared" si="891"/>
        <v>0</v>
      </c>
    </row>
    <row r="14229" spans="5:23" x14ac:dyDescent="0.25">
      <c r="E14229" s="4"/>
      <c r="F14229" s="4"/>
      <c r="G14229" s="33" t="str">
        <f>IFERROR(VLOOKUP($D14229,'Informations sur les produits'!$A$3:$H$10000,8,FALSE),"0")</f>
        <v>0</v>
      </c>
      <c r="K14229" s="4"/>
      <c r="L14229" s="33" t="str">
        <f>IFERROR(VLOOKUP($J14229,'Informations sur les produits'!$A$3:$H$10000,8,FALSE),"0")</f>
        <v>0</v>
      </c>
      <c r="N14229" s="8"/>
      <c r="O14229" s="33" t="str">
        <f>IFERROR(VLOOKUP($M14229,'Informations sur les produits'!$A$3:$H$10000,8,FALSE),"0")</f>
        <v>0</v>
      </c>
      <c r="P14229" s="33">
        <f t="shared" si="888"/>
        <v>0</v>
      </c>
      <c r="Q14229" s="31" t="str">
        <f t="shared" si="889"/>
        <v/>
      </c>
      <c r="R14229" s="32" t="str">
        <f>IFERROR(VLOOKUP($D14229,'Informations sur les produits'!$A$3:$B$15000,2,FALSE),"")</f>
        <v/>
      </c>
      <c r="V14229">
        <f t="shared" si="890"/>
        <v>0</v>
      </c>
      <c r="W14229">
        <f t="shared" si="891"/>
        <v>0</v>
      </c>
    </row>
    <row r="14230" spans="5:23" x14ac:dyDescent="0.25">
      <c r="E14230" s="4"/>
      <c r="F14230" s="4"/>
      <c r="G14230" s="33" t="str">
        <f>IFERROR(VLOOKUP($D14230,'Informations sur les produits'!$A$3:$H$10000,8,FALSE),"0")</f>
        <v>0</v>
      </c>
      <c r="K14230" s="4"/>
      <c r="L14230" s="33" t="str">
        <f>IFERROR(VLOOKUP($J14230,'Informations sur les produits'!$A$3:$H$10000,8,FALSE),"0")</f>
        <v>0</v>
      </c>
      <c r="N14230" s="8"/>
      <c r="O14230" s="33" t="str">
        <f>IFERROR(VLOOKUP($M14230,'Informations sur les produits'!$A$3:$H$10000,8,FALSE),"0")</f>
        <v>0</v>
      </c>
      <c r="P14230" s="33">
        <f t="shared" si="888"/>
        <v>0</v>
      </c>
      <c r="Q14230" s="31" t="str">
        <f t="shared" si="889"/>
        <v/>
      </c>
      <c r="R14230" s="32" t="str">
        <f>IFERROR(VLOOKUP($D14230,'Informations sur les produits'!$A$3:$B$15000,2,FALSE),"")</f>
        <v/>
      </c>
      <c r="V14230">
        <f t="shared" si="890"/>
        <v>0</v>
      </c>
      <c r="W14230">
        <f t="shared" si="891"/>
        <v>0</v>
      </c>
    </row>
    <row r="14231" spans="5:23" x14ac:dyDescent="0.25">
      <c r="E14231" s="4"/>
      <c r="F14231" s="4"/>
      <c r="G14231" s="33" t="str">
        <f>IFERROR(VLOOKUP($D14231,'Informations sur les produits'!$A$3:$H$10000,8,FALSE),"0")</f>
        <v>0</v>
      </c>
      <c r="K14231" s="4"/>
      <c r="L14231" s="33" t="str">
        <f>IFERROR(VLOOKUP($J14231,'Informations sur les produits'!$A$3:$H$10000,8,FALSE),"0")</f>
        <v>0</v>
      </c>
      <c r="N14231" s="8"/>
      <c r="O14231" s="33" t="str">
        <f>IFERROR(VLOOKUP($M14231,'Informations sur les produits'!$A$3:$H$10000,8,FALSE),"0")</f>
        <v>0</v>
      </c>
      <c r="P14231" s="33">
        <f t="shared" si="888"/>
        <v>0</v>
      </c>
      <c r="Q14231" s="31" t="str">
        <f t="shared" si="889"/>
        <v/>
      </c>
      <c r="R14231" s="32" t="str">
        <f>IFERROR(VLOOKUP($D14231,'Informations sur les produits'!$A$3:$B$15000,2,FALSE),"")</f>
        <v/>
      </c>
      <c r="V14231">
        <f t="shared" si="890"/>
        <v>0</v>
      </c>
      <c r="W14231">
        <f t="shared" si="891"/>
        <v>0</v>
      </c>
    </row>
    <row r="14232" spans="5:23" x14ac:dyDescent="0.25">
      <c r="E14232" s="4"/>
      <c r="F14232" s="4"/>
      <c r="G14232" s="33" t="str">
        <f>IFERROR(VLOOKUP($D14232,'Informations sur les produits'!$A$3:$H$10000,8,FALSE),"0")</f>
        <v>0</v>
      </c>
      <c r="K14232" s="4"/>
      <c r="L14232" s="33" t="str">
        <f>IFERROR(VLOOKUP($J14232,'Informations sur les produits'!$A$3:$H$10000,8,FALSE),"0")</f>
        <v>0</v>
      </c>
      <c r="N14232" s="8"/>
      <c r="O14232" s="33" t="str">
        <f>IFERROR(VLOOKUP($M14232,'Informations sur les produits'!$A$3:$H$10000,8,FALSE),"0")</f>
        <v>0</v>
      </c>
      <c r="P14232" s="33">
        <f t="shared" si="888"/>
        <v>0</v>
      </c>
      <c r="Q14232" s="31" t="str">
        <f t="shared" si="889"/>
        <v/>
      </c>
      <c r="R14232" s="32" t="str">
        <f>IFERROR(VLOOKUP($D14232,'Informations sur les produits'!$A$3:$B$15000,2,FALSE),"")</f>
        <v/>
      </c>
      <c r="V14232">
        <f t="shared" si="890"/>
        <v>0</v>
      </c>
      <c r="W14232">
        <f t="shared" si="891"/>
        <v>0</v>
      </c>
    </row>
    <row r="14233" spans="5:23" x14ac:dyDescent="0.25">
      <c r="E14233" s="4"/>
      <c r="F14233" s="4"/>
      <c r="G14233" s="33" t="str">
        <f>IFERROR(VLOOKUP($D14233,'Informations sur les produits'!$A$3:$H$10000,8,FALSE),"0")</f>
        <v>0</v>
      </c>
      <c r="K14233" s="4"/>
      <c r="L14233" s="33" t="str">
        <f>IFERROR(VLOOKUP($J14233,'Informations sur les produits'!$A$3:$H$10000,8,FALSE),"0")</f>
        <v>0</v>
      </c>
      <c r="N14233" s="8"/>
      <c r="O14233" s="33" t="str">
        <f>IFERROR(VLOOKUP($M14233,'Informations sur les produits'!$A$3:$H$10000,8,FALSE),"0")</f>
        <v>0</v>
      </c>
      <c r="P14233" s="33">
        <f t="shared" si="888"/>
        <v>0</v>
      </c>
      <c r="Q14233" s="31" t="str">
        <f t="shared" si="889"/>
        <v/>
      </c>
      <c r="R14233" s="32" t="str">
        <f>IFERROR(VLOOKUP($D14233,'Informations sur les produits'!$A$3:$B$15000,2,FALSE),"")</f>
        <v/>
      </c>
      <c r="V14233">
        <f t="shared" si="890"/>
        <v>0</v>
      </c>
      <c r="W14233">
        <f t="shared" si="891"/>
        <v>0</v>
      </c>
    </row>
    <row r="14234" spans="5:23" x14ac:dyDescent="0.25">
      <c r="E14234" s="4"/>
      <c r="F14234" s="4"/>
      <c r="G14234" s="33" t="str">
        <f>IFERROR(VLOOKUP($D14234,'Informations sur les produits'!$A$3:$H$10000,8,FALSE),"0")</f>
        <v>0</v>
      </c>
      <c r="K14234" s="4"/>
      <c r="L14234" s="33" t="str">
        <f>IFERROR(VLOOKUP($J14234,'Informations sur les produits'!$A$3:$H$10000,8,FALSE),"0")</f>
        <v>0</v>
      </c>
      <c r="N14234" s="8"/>
      <c r="O14234" s="33" t="str">
        <f>IFERROR(VLOOKUP($M14234,'Informations sur les produits'!$A$3:$H$10000,8,FALSE),"0")</f>
        <v>0</v>
      </c>
      <c r="P14234" s="33">
        <f t="shared" si="888"/>
        <v>0</v>
      </c>
      <c r="Q14234" s="31" t="str">
        <f t="shared" si="889"/>
        <v/>
      </c>
      <c r="R14234" s="32" t="str">
        <f>IFERROR(VLOOKUP($D14234,'Informations sur les produits'!$A$3:$B$15000,2,FALSE),"")</f>
        <v/>
      </c>
      <c r="V14234">
        <f t="shared" si="890"/>
        <v>0</v>
      </c>
      <c r="W14234">
        <f t="shared" si="891"/>
        <v>0</v>
      </c>
    </row>
    <row r="14235" spans="5:23" x14ac:dyDescent="0.25">
      <c r="E14235" s="4"/>
      <c r="F14235" s="4"/>
      <c r="G14235" s="33" t="str">
        <f>IFERROR(VLOOKUP($D14235,'Informations sur les produits'!$A$3:$H$10000,8,FALSE),"0")</f>
        <v>0</v>
      </c>
      <c r="K14235" s="4"/>
      <c r="L14235" s="33" t="str">
        <f>IFERROR(VLOOKUP($J14235,'Informations sur les produits'!$A$3:$H$10000,8,FALSE),"0")</f>
        <v>0</v>
      </c>
      <c r="N14235" s="8"/>
      <c r="O14235" s="33" t="str">
        <f>IFERROR(VLOOKUP($M14235,'Informations sur les produits'!$A$3:$H$10000,8,FALSE),"0")</f>
        <v>0</v>
      </c>
      <c r="P14235" s="33">
        <f t="shared" si="888"/>
        <v>0</v>
      </c>
      <c r="Q14235" s="31" t="str">
        <f t="shared" si="889"/>
        <v/>
      </c>
      <c r="R14235" s="32" t="str">
        <f>IFERROR(VLOOKUP($D14235,'Informations sur les produits'!$A$3:$B$15000,2,FALSE),"")</f>
        <v/>
      </c>
      <c r="V14235">
        <f t="shared" si="890"/>
        <v>0</v>
      </c>
      <c r="W14235">
        <f t="shared" si="891"/>
        <v>0</v>
      </c>
    </row>
    <row r="14236" spans="5:23" x14ac:dyDescent="0.25">
      <c r="E14236" s="4"/>
      <c r="F14236" s="4"/>
      <c r="G14236" s="33" t="str">
        <f>IFERROR(VLOOKUP($D14236,'Informations sur les produits'!$A$3:$H$10000,8,FALSE),"0")</f>
        <v>0</v>
      </c>
      <c r="K14236" s="4"/>
      <c r="L14236" s="33" t="str">
        <f>IFERROR(VLOOKUP($J14236,'Informations sur les produits'!$A$3:$H$10000,8,FALSE),"0")</f>
        <v>0</v>
      </c>
      <c r="N14236" s="8"/>
      <c r="O14236" s="33" t="str">
        <f>IFERROR(VLOOKUP($M14236,'Informations sur les produits'!$A$3:$H$10000,8,FALSE),"0")</f>
        <v>0</v>
      </c>
      <c r="P14236" s="33">
        <f t="shared" si="888"/>
        <v>0</v>
      </c>
      <c r="Q14236" s="31" t="str">
        <f t="shared" si="889"/>
        <v/>
      </c>
      <c r="R14236" s="32" t="str">
        <f>IFERROR(VLOOKUP($D14236,'Informations sur les produits'!$A$3:$B$15000,2,FALSE),"")</f>
        <v/>
      </c>
      <c r="V14236">
        <f t="shared" si="890"/>
        <v>0</v>
      </c>
      <c r="W14236">
        <f t="shared" si="891"/>
        <v>0</v>
      </c>
    </row>
    <row r="14237" spans="5:23" x14ac:dyDescent="0.25">
      <c r="E14237" s="4"/>
      <c r="F14237" s="4"/>
      <c r="G14237" s="33" t="str">
        <f>IFERROR(VLOOKUP($D14237,'Informations sur les produits'!$A$3:$H$10000,8,FALSE),"0")</f>
        <v>0</v>
      </c>
      <c r="K14237" s="4"/>
      <c r="L14237" s="33" t="str">
        <f>IFERROR(VLOOKUP($J14237,'Informations sur les produits'!$A$3:$H$10000,8,FALSE),"0")</f>
        <v>0</v>
      </c>
      <c r="N14237" s="8"/>
      <c r="O14237" s="33" t="str">
        <f>IFERROR(VLOOKUP($M14237,'Informations sur les produits'!$A$3:$H$10000,8,FALSE),"0")</f>
        <v>0</v>
      </c>
      <c r="P14237" s="33">
        <f t="shared" si="888"/>
        <v>0</v>
      </c>
      <c r="Q14237" s="31" t="str">
        <f t="shared" si="889"/>
        <v/>
      </c>
      <c r="R14237" s="32" t="str">
        <f>IFERROR(VLOOKUP($D14237,'Informations sur les produits'!$A$3:$B$15000,2,FALSE),"")</f>
        <v/>
      </c>
      <c r="V14237">
        <f t="shared" si="890"/>
        <v>0</v>
      </c>
      <c r="W14237">
        <f t="shared" si="891"/>
        <v>0</v>
      </c>
    </row>
    <row r="14238" spans="5:23" x14ac:dyDescent="0.25">
      <c r="E14238" s="4"/>
      <c r="F14238" s="4"/>
      <c r="G14238" s="33" t="str">
        <f>IFERROR(VLOOKUP($D14238,'Informations sur les produits'!$A$3:$H$10000,8,FALSE),"0")</f>
        <v>0</v>
      </c>
      <c r="K14238" s="4"/>
      <c r="L14238" s="33" t="str">
        <f>IFERROR(VLOOKUP($J14238,'Informations sur les produits'!$A$3:$H$10000,8,FALSE),"0")</f>
        <v>0</v>
      </c>
      <c r="N14238" s="8"/>
      <c r="O14238" s="33" t="str">
        <f>IFERROR(VLOOKUP($M14238,'Informations sur les produits'!$A$3:$H$10000,8,FALSE),"0")</f>
        <v>0</v>
      </c>
      <c r="P14238" s="33">
        <f t="shared" si="888"/>
        <v>0</v>
      </c>
      <c r="Q14238" s="31" t="str">
        <f t="shared" si="889"/>
        <v/>
      </c>
      <c r="R14238" s="32" t="str">
        <f>IFERROR(VLOOKUP($D14238,'Informations sur les produits'!$A$3:$B$15000,2,FALSE),"")</f>
        <v/>
      </c>
      <c r="V14238">
        <f t="shared" si="890"/>
        <v>0</v>
      </c>
      <c r="W14238">
        <f t="shared" si="891"/>
        <v>0</v>
      </c>
    </row>
    <row r="14239" spans="5:23" x14ac:dyDescent="0.25">
      <c r="E14239" s="4"/>
      <c r="F14239" s="4"/>
      <c r="G14239" s="33" t="str">
        <f>IFERROR(VLOOKUP($D14239,'Informations sur les produits'!$A$3:$H$10000,8,FALSE),"0")</f>
        <v>0</v>
      </c>
      <c r="K14239" s="4"/>
      <c r="L14239" s="33" t="str">
        <f>IFERROR(VLOOKUP($J14239,'Informations sur les produits'!$A$3:$H$10000,8,FALSE),"0")</f>
        <v>0</v>
      </c>
      <c r="N14239" s="8"/>
      <c r="O14239" s="33" t="str">
        <f>IFERROR(VLOOKUP($M14239,'Informations sur les produits'!$A$3:$H$10000,8,FALSE),"0")</f>
        <v>0</v>
      </c>
      <c r="P14239" s="33">
        <f t="shared" si="888"/>
        <v>0</v>
      </c>
      <c r="Q14239" s="31" t="str">
        <f t="shared" si="889"/>
        <v/>
      </c>
      <c r="R14239" s="32" t="str">
        <f>IFERROR(VLOOKUP($D14239,'Informations sur les produits'!$A$3:$B$15000,2,FALSE),"")</f>
        <v/>
      </c>
      <c r="V14239">
        <f t="shared" si="890"/>
        <v>0</v>
      </c>
      <c r="W14239">
        <f t="shared" si="891"/>
        <v>0</v>
      </c>
    </row>
    <row r="14240" spans="5:23" x14ac:dyDescent="0.25">
      <c r="E14240" s="4"/>
      <c r="F14240" s="4"/>
      <c r="G14240" s="33" t="str">
        <f>IFERROR(VLOOKUP($D14240,'Informations sur les produits'!$A$3:$H$10000,8,FALSE),"0")</f>
        <v>0</v>
      </c>
      <c r="K14240" s="4"/>
      <c r="L14240" s="33" t="str">
        <f>IFERROR(VLOOKUP($J14240,'Informations sur les produits'!$A$3:$H$10000,8,FALSE),"0")</f>
        <v>0</v>
      </c>
      <c r="N14240" s="8"/>
      <c r="O14240" s="33" t="str">
        <f>IFERROR(VLOOKUP($M14240,'Informations sur les produits'!$A$3:$H$10000,8,FALSE),"0")</f>
        <v>0</v>
      </c>
      <c r="P14240" s="33">
        <f t="shared" si="888"/>
        <v>0</v>
      </c>
      <c r="Q14240" s="31" t="str">
        <f t="shared" si="889"/>
        <v/>
      </c>
      <c r="R14240" s="32" t="str">
        <f>IFERROR(VLOOKUP($D14240,'Informations sur les produits'!$A$3:$B$15000,2,FALSE),"")</f>
        <v/>
      </c>
      <c r="V14240">
        <f t="shared" si="890"/>
        <v>0</v>
      </c>
      <c r="W14240">
        <f t="shared" si="891"/>
        <v>0</v>
      </c>
    </row>
    <row r="14241" spans="5:23" x14ac:dyDescent="0.25">
      <c r="E14241" s="4"/>
      <c r="F14241" s="4"/>
      <c r="G14241" s="33" t="str">
        <f>IFERROR(VLOOKUP($D14241,'Informations sur les produits'!$A$3:$H$10000,8,FALSE),"0")</f>
        <v>0</v>
      </c>
      <c r="K14241" s="4"/>
      <c r="L14241" s="33" t="str">
        <f>IFERROR(VLOOKUP($J14241,'Informations sur les produits'!$A$3:$H$10000,8,FALSE),"0")</f>
        <v>0</v>
      </c>
      <c r="N14241" s="8"/>
      <c r="O14241" s="33" t="str">
        <f>IFERROR(VLOOKUP($M14241,'Informations sur les produits'!$A$3:$H$10000,8,FALSE),"0")</f>
        <v>0</v>
      </c>
      <c r="P14241" s="33">
        <f t="shared" si="888"/>
        <v>0</v>
      </c>
      <c r="Q14241" s="31" t="str">
        <f t="shared" si="889"/>
        <v/>
      </c>
      <c r="R14241" s="32" t="str">
        <f>IFERROR(VLOOKUP($D14241,'Informations sur les produits'!$A$3:$B$15000,2,FALSE),"")</f>
        <v/>
      </c>
      <c r="V14241">
        <f t="shared" si="890"/>
        <v>0</v>
      </c>
      <c r="W14241">
        <f t="shared" si="891"/>
        <v>0</v>
      </c>
    </row>
    <row r="14242" spans="5:23" x14ac:dyDescent="0.25">
      <c r="E14242" s="4"/>
      <c r="F14242" s="4"/>
      <c r="G14242" s="33" t="str">
        <f>IFERROR(VLOOKUP($D14242,'Informations sur les produits'!$A$3:$H$10000,8,FALSE),"0")</f>
        <v>0</v>
      </c>
      <c r="K14242" s="4"/>
      <c r="L14242" s="33" t="str">
        <f>IFERROR(VLOOKUP($J14242,'Informations sur les produits'!$A$3:$H$10000,8,FALSE),"0")</f>
        <v>0</v>
      </c>
      <c r="N14242" s="8"/>
      <c r="O14242" s="33" t="str">
        <f>IFERROR(VLOOKUP($M14242,'Informations sur les produits'!$A$3:$H$10000,8,FALSE),"0")</f>
        <v>0</v>
      </c>
      <c r="P14242" s="33">
        <f t="shared" si="888"/>
        <v>0</v>
      </c>
      <c r="Q14242" s="31" t="str">
        <f t="shared" si="889"/>
        <v/>
      </c>
      <c r="R14242" s="32" t="str">
        <f>IFERROR(VLOOKUP($D14242,'Informations sur les produits'!$A$3:$B$15000,2,FALSE),"")</f>
        <v/>
      </c>
      <c r="V14242">
        <f t="shared" si="890"/>
        <v>0</v>
      </c>
      <c r="W14242">
        <f t="shared" si="891"/>
        <v>0</v>
      </c>
    </row>
    <row r="14243" spans="5:23" x14ac:dyDescent="0.25">
      <c r="E14243" s="4"/>
      <c r="F14243" s="4"/>
      <c r="G14243" s="33" t="str">
        <f>IFERROR(VLOOKUP($D14243,'Informations sur les produits'!$A$3:$H$10000,8,FALSE),"0")</f>
        <v>0</v>
      </c>
      <c r="K14243" s="4"/>
      <c r="L14243" s="33" t="str">
        <f>IFERROR(VLOOKUP($J14243,'Informations sur les produits'!$A$3:$H$10000,8,FALSE),"0")</f>
        <v>0</v>
      </c>
      <c r="N14243" s="8"/>
      <c r="O14243" s="33" t="str">
        <f>IFERROR(VLOOKUP($M14243,'Informations sur les produits'!$A$3:$H$10000,8,FALSE),"0")</f>
        <v>0</v>
      </c>
      <c r="P14243" s="33">
        <f t="shared" si="888"/>
        <v>0</v>
      </c>
      <c r="Q14243" s="31" t="str">
        <f t="shared" si="889"/>
        <v/>
      </c>
      <c r="R14243" s="32" t="str">
        <f>IFERROR(VLOOKUP($D14243,'Informations sur les produits'!$A$3:$B$15000,2,FALSE),"")</f>
        <v/>
      </c>
      <c r="V14243">
        <f t="shared" si="890"/>
        <v>0</v>
      </c>
      <c r="W14243">
        <f t="shared" si="891"/>
        <v>0</v>
      </c>
    </row>
    <row r="14244" spans="5:23" x14ac:dyDescent="0.25">
      <c r="E14244" s="4"/>
      <c r="F14244" s="4"/>
      <c r="G14244" s="33" t="str">
        <f>IFERROR(VLOOKUP($D14244,'Informations sur les produits'!$A$3:$H$10000,8,FALSE),"0")</f>
        <v>0</v>
      </c>
      <c r="K14244" s="4"/>
      <c r="L14244" s="33" t="str">
        <f>IFERROR(VLOOKUP($J14244,'Informations sur les produits'!$A$3:$H$10000,8,FALSE),"0")</f>
        <v>0</v>
      </c>
      <c r="N14244" s="8"/>
      <c r="O14244" s="33" t="str">
        <f>IFERROR(VLOOKUP($M14244,'Informations sur les produits'!$A$3:$H$10000,8,FALSE),"0")</f>
        <v>0</v>
      </c>
      <c r="P14244" s="33">
        <f t="shared" si="888"/>
        <v>0</v>
      </c>
      <c r="Q14244" s="31" t="str">
        <f t="shared" si="889"/>
        <v/>
      </c>
      <c r="R14244" s="32" t="str">
        <f>IFERROR(VLOOKUP($D14244,'Informations sur les produits'!$A$3:$B$15000,2,FALSE),"")</f>
        <v/>
      </c>
      <c r="V14244">
        <f t="shared" si="890"/>
        <v>0</v>
      </c>
      <c r="W14244">
        <f t="shared" si="891"/>
        <v>0</v>
      </c>
    </row>
    <row r="14245" spans="5:23" x14ac:dyDescent="0.25">
      <c r="E14245" s="4"/>
      <c r="F14245" s="4"/>
      <c r="G14245" s="33" t="str">
        <f>IFERROR(VLOOKUP($D14245,'Informations sur les produits'!$A$3:$H$10000,8,FALSE),"0")</f>
        <v>0</v>
      </c>
      <c r="K14245" s="4"/>
      <c r="L14245" s="33" t="str">
        <f>IFERROR(VLOOKUP($J14245,'Informations sur les produits'!$A$3:$H$10000,8,FALSE),"0")</f>
        <v>0</v>
      </c>
      <c r="N14245" s="8"/>
      <c r="O14245" s="33" t="str">
        <f>IFERROR(VLOOKUP($M14245,'Informations sur les produits'!$A$3:$H$10000,8,FALSE),"0")</f>
        <v>0</v>
      </c>
      <c r="P14245" s="33">
        <f t="shared" si="888"/>
        <v>0</v>
      </c>
      <c r="Q14245" s="31" t="str">
        <f t="shared" si="889"/>
        <v/>
      </c>
      <c r="R14245" s="32" t="str">
        <f>IFERROR(VLOOKUP($D14245,'Informations sur les produits'!$A$3:$B$15000,2,FALSE),"")</f>
        <v/>
      </c>
      <c r="V14245">
        <f t="shared" si="890"/>
        <v>0</v>
      </c>
      <c r="W14245">
        <f t="shared" si="891"/>
        <v>0</v>
      </c>
    </row>
    <row r="14246" spans="5:23" x14ac:dyDescent="0.25">
      <c r="E14246" s="4"/>
      <c r="F14246" s="4"/>
      <c r="G14246" s="33" t="str">
        <f>IFERROR(VLOOKUP($D14246,'Informations sur les produits'!$A$3:$H$10000,8,FALSE),"0")</f>
        <v>0</v>
      </c>
      <c r="K14246" s="4"/>
      <c r="L14246" s="33" t="str">
        <f>IFERROR(VLOOKUP($J14246,'Informations sur les produits'!$A$3:$H$10000,8,FALSE),"0")</f>
        <v>0</v>
      </c>
      <c r="N14246" s="8"/>
      <c r="O14246" s="33" t="str">
        <f>IFERROR(VLOOKUP($M14246,'Informations sur les produits'!$A$3:$H$10000,8,FALSE),"0")</f>
        <v>0</v>
      </c>
      <c r="P14246" s="33">
        <f t="shared" si="888"/>
        <v>0</v>
      </c>
      <c r="Q14246" s="31" t="str">
        <f t="shared" si="889"/>
        <v/>
      </c>
      <c r="R14246" s="32" t="str">
        <f>IFERROR(VLOOKUP($D14246,'Informations sur les produits'!$A$3:$B$15000,2,FALSE),"")</f>
        <v/>
      </c>
      <c r="V14246">
        <f t="shared" si="890"/>
        <v>0</v>
      </c>
      <c r="W14246">
        <f t="shared" si="891"/>
        <v>0</v>
      </c>
    </row>
    <row r="14247" spans="5:23" x14ac:dyDescent="0.25">
      <c r="E14247" s="4"/>
      <c r="F14247" s="4"/>
      <c r="G14247" s="33" t="str">
        <f>IFERROR(VLOOKUP($D14247,'Informations sur les produits'!$A$3:$H$10000,8,FALSE),"0")</f>
        <v>0</v>
      </c>
      <c r="K14247" s="4"/>
      <c r="L14247" s="33" t="str">
        <f>IFERROR(VLOOKUP($J14247,'Informations sur les produits'!$A$3:$H$10000,8,FALSE),"0")</f>
        <v>0</v>
      </c>
      <c r="N14247" s="8"/>
      <c r="O14247" s="33" t="str">
        <f>IFERROR(VLOOKUP($M14247,'Informations sur les produits'!$A$3:$H$10000,8,FALSE),"0")</f>
        <v>0</v>
      </c>
      <c r="P14247" s="33">
        <f t="shared" si="888"/>
        <v>0</v>
      </c>
      <c r="Q14247" s="31" t="str">
        <f t="shared" si="889"/>
        <v/>
      </c>
      <c r="R14247" s="32" t="str">
        <f>IFERROR(VLOOKUP($D14247,'Informations sur les produits'!$A$3:$B$15000,2,FALSE),"")</f>
        <v/>
      </c>
      <c r="V14247">
        <f t="shared" si="890"/>
        <v>0</v>
      </c>
      <c r="W14247">
        <f t="shared" si="891"/>
        <v>0</v>
      </c>
    </row>
    <row r="14248" spans="5:23" x14ac:dyDescent="0.25">
      <c r="E14248" s="4"/>
      <c r="F14248" s="4"/>
      <c r="G14248" s="33" t="str">
        <f>IFERROR(VLOOKUP($D14248,'Informations sur les produits'!$A$3:$H$10000,8,FALSE),"0")</f>
        <v>0</v>
      </c>
      <c r="K14248" s="4"/>
      <c r="L14248" s="33" t="str">
        <f>IFERROR(VLOOKUP($J14248,'Informations sur les produits'!$A$3:$H$10000,8,FALSE),"0")</f>
        <v>0</v>
      </c>
      <c r="N14248" s="8"/>
      <c r="O14248" s="33" t="str">
        <f>IFERROR(VLOOKUP($M14248,'Informations sur les produits'!$A$3:$H$10000,8,FALSE),"0")</f>
        <v>0</v>
      </c>
      <c r="P14248" s="33">
        <f t="shared" si="888"/>
        <v>0</v>
      </c>
      <c r="Q14248" s="31" t="str">
        <f t="shared" si="889"/>
        <v/>
      </c>
      <c r="R14248" s="32" t="str">
        <f>IFERROR(VLOOKUP($D14248,'Informations sur les produits'!$A$3:$B$15000,2,FALSE),"")</f>
        <v/>
      </c>
      <c r="V14248">
        <f t="shared" si="890"/>
        <v>0</v>
      </c>
      <c r="W14248">
        <f t="shared" si="891"/>
        <v>0</v>
      </c>
    </row>
    <row r="14249" spans="5:23" x14ac:dyDescent="0.25">
      <c r="E14249" s="4"/>
      <c r="F14249" s="4"/>
      <c r="G14249" s="33" t="str">
        <f>IFERROR(VLOOKUP($D14249,'Informations sur les produits'!$A$3:$H$10000,8,FALSE),"0")</f>
        <v>0</v>
      </c>
      <c r="K14249" s="4"/>
      <c r="L14249" s="33" t="str">
        <f>IFERROR(VLOOKUP($J14249,'Informations sur les produits'!$A$3:$H$10000,8,FALSE),"0")</f>
        <v>0</v>
      </c>
      <c r="N14249" s="8"/>
      <c r="O14249" s="33" t="str">
        <f>IFERROR(VLOOKUP($M14249,'Informations sur les produits'!$A$3:$H$10000,8,FALSE),"0")</f>
        <v>0</v>
      </c>
      <c r="P14249" s="33">
        <f t="shared" si="888"/>
        <v>0</v>
      </c>
      <c r="Q14249" s="31" t="str">
        <f t="shared" si="889"/>
        <v/>
      </c>
      <c r="R14249" s="32" t="str">
        <f>IFERROR(VLOOKUP($D14249,'Informations sur les produits'!$A$3:$B$15000,2,FALSE),"")</f>
        <v/>
      </c>
      <c r="V14249">
        <f t="shared" si="890"/>
        <v>0</v>
      </c>
      <c r="W14249">
        <f t="shared" si="891"/>
        <v>0</v>
      </c>
    </row>
    <row r="14250" spans="5:23" x14ac:dyDescent="0.25">
      <c r="E14250" s="4"/>
      <c r="F14250" s="4"/>
      <c r="G14250" s="33" t="str">
        <f>IFERROR(VLOOKUP($D14250,'Informations sur les produits'!$A$3:$H$10000,8,FALSE),"0")</f>
        <v>0</v>
      </c>
      <c r="K14250" s="4"/>
      <c r="L14250" s="33" t="str">
        <f>IFERROR(VLOOKUP($J14250,'Informations sur les produits'!$A$3:$H$10000,8,FALSE),"0")</f>
        <v>0</v>
      </c>
      <c r="N14250" s="8"/>
      <c r="O14250" s="33" t="str">
        <f>IFERROR(VLOOKUP($M14250,'Informations sur les produits'!$A$3:$H$10000,8,FALSE),"0")</f>
        <v>0</v>
      </c>
      <c r="P14250" s="33">
        <f t="shared" si="888"/>
        <v>0</v>
      </c>
      <c r="Q14250" s="31" t="str">
        <f t="shared" si="889"/>
        <v/>
      </c>
      <c r="R14250" s="32" t="str">
        <f>IFERROR(VLOOKUP($D14250,'Informations sur les produits'!$A$3:$B$15000,2,FALSE),"")</f>
        <v/>
      </c>
      <c r="V14250">
        <f t="shared" si="890"/>
        <v>0</v>
      </c>
      <c r="W14250">
        <f t="shared" si="891"/>
        <v>0</v>
      </c>
    </row>
    <row r="14251" spans="5:23" x14ac:dyDescent="0.25">
      <c r="E14251" s="4"/>
      <c r="F14251" s="4"/>
      <c r="G14251" s="33" t="str">
        <f>IFERROR(VLOOKUP($D14251,'Informations sur les produits'!$A$3:$H$10000,8,FALSE),"0")</f>
        <v>0</v>
      </c>
      <c r="K14251" s="4"/>
      <c r="L14251" s="33" t="str">
        <f>IFERROR(VLOOKUP($J14251,'Informations sur les produits'!$A$3:$H$10000,8,FALSE),"0")</f>
        <v>0</v>
      </c>
      <c r="N14251" s="8"/>
      <c r="O14251" s="33" t="str">
        <f>IFERROR(VLOOKUP($M14251,'Informations sur les produits'!$A$3:$H$10000,8,FALSE),"0")</f>
        <v>0</v>
      </c>
      <c r="P14251" s="33">
        <f t="shared" si="888"/>
        <v>0</v>
      </c>
      <c r="Q14251" s="31" t="str">
        <f t="shared" si="889"/>
        <v/>
      </c>
      <c r="R14251" s="32" t="str">
        <f>IFERROR(VLOOKUP($D14251,'Informations sur les produits'!$A$3:$B$15000,2,FALSE),"")</f>
        <v/>
      </c>
      <c r="V14251">
        <f t="shared" si="890"/>
        <v>0</v>
      </c>
      <c r="W14251">
        <f t="shared" si="891"/>
        <v>0</v>
      </c>
    </row>
    <row r="14252" spans="5:23" x14ac:dyDescent="0.25">
      <c r="E14252" s="4"/>
      <c r="F14252" s="4"/>
      <c r="G14252" s="33" t="str">
        <f>IFERROR(VLOOKUP($D14252,'Informations sur les produits'!$A$3:$H$10000,8,FALSE),"0")</f>
        <v>0</v>
      </c>
      <c r="K14252" s="4"/>
      <c r="L14252" s="33" t="str">
        <f>IFERROR(VLOOKUP($J14252,'Informations sur les produits'!$A$3:$H$10000,8,FALSE),"0")</f>
        <v>0</v>
      </c>
      <c r="N14252" s="8"/>
      <c r="O14252" s="33" t="str">
        <f>IFERROR(VLOOKUP($M14252,'Informations sur les produits'!$A$3:$H$10000,8,FALSE),"0")</f>
        <v>0</v>
      </c>
      <c r="P14252" s="33">
        <f t="shared" si="888"/>
        <v>0</v>
      </c>
      <c r="Q14252" s="31" t="str">
        <f t="shared" si="889"/>
        <v/>
      </c>
      <c r="R14252" s="32" t="str">
        <f>IFERROR(VLOOKUP($D14252,'Informations sur les produits'!$A$3:$B$15000,2,FALSE),"")</f>
        <v/>
      </c>
      <c r="V14252">
        <f t="shared" si="890"/>
        <v>0</v>
      </c>
      <c r="W14252">
        <f t="shared" si="891"/>
        <v>0</v>
      </c>
    </row>
    <row r="14253" spans="5:23" x14ac:dyDescent="0.25">
      <c r="E14253" s="4"/>
      <c r="F14253" s="4"/>
      <c r="G14253" s="33" t="str">
        <f>IFERROR(VLOOKUP($D14253,'Informations sur les produits'!$A$3:$H$10000,8,FALSE),"0")</f>
        <v>0</v>
      </c>
      <c r="K14253" s="4"/>
      <c r="L14253" s="33" t="str">
        <f>IFERROR(VLOOKUP($J14253,'Informations sur les produits'!$A$3:$H$10000,8,FALSE),"0")</f>
        <v>0</v>
      </c>
      <c r="N14253" s="8"/>
      <c r="O14253" s="33" t="str">
        <f>IFERROR(VLOOKUP($M14253,'Informations sur les produits'!$A$3:$H$10000,8,FALSE),"0")</f>
        <v>0</v>
      </c>
      <c r="P14253" s="33">
        <f t="shared" si="888"/>
        <v>0</v>
      </c>
      <c r="Q14253" s="31" t="str">
        <f t="shared" si="889"/>
        <v/>
      </c>
      <c r="R14253" s="32" t="str">
        <f>IFERROR(VLOOKUP($D14253,'Informations sur les produits'!$A$3:$B$15000,2,FALSE),"")</f>
        <v/>
      </c>
      <c r="V14253">
        <f t="shared" si="890"/>
        <v>0</v>
      </c>
      <c r="W14253">
        <f t="shared" si="891"/>
        <v>0</v>
      </c>
    </row>
    <row r="14254" spans="5:23" x14ac:dyDescent="0.25">
      <c r="E14254" s="4"/>
      <c r="F14254" s="4"/>
      <c r="G14254" s="33" t="str">
        <f>IFERROR(VLOOKUP($D14254,'Informations sur les produits'!$A$3:$H$10000,8,FALSE),"0")</f>
        <v>0</v>
      </c>
      <c r="K14254" s="4"/>
      <c r="L14254" s="33" t="str">
        <f>IFERROR(VLOOKUP($J14254,'Informations sur les produits'!$A$3:$H$10000,8,FALSE),"0")</f>
        <v>0</v>
      </c>
      <c r="N14254" s="8"/>
      <c r="O14254" s="33" t="str">
        <f>IFERROR(VLOOKUP($M14254,'Informations sur les produits'!$A$3:$H$10000,8,FALSE),"0")</f>
        <v>0</v>
      </c>
      <c r="P14254" s="33">
        <f t="shared" si="888"/>
        <v>0</v>
      </c>
      <c r="Q14254" s="31" t="str">
        <f t="shared" si="889"/>
        <v/>
      </c>
      <c r="R14254" s="32" t="str">
        <f>IFERROR(VLOOKUP($D14254,'Informations sur les produits'!$A$3:$B$15000,2,FALSE),"")</f>
        <v/>
      </c>
      <c r="V14254">
        <f t="shared" si="890"/>
        <v>0</v>
      </c>
      <c r="W14254">
        <f t="shared" si="891"/>
        <v>0</v>
      </c>
    </row>
    <row r="14255" spans="5:23" x14ac:dyDescent="0.25">
      <c r="E14255" s="4"/>
      <c r="F14255" s="4"/>
      <c r="G14255" s="33" t="str">
        <f>IFERROR(VLOOKUP($D14255,'Informations sur les produits'!$A$3:$H$10000,8,FALSE),"0")</f>
        <v>0</v>
      </c>
      <c r="K14255" s="4"/>
      <c r="L14255" s="33" t="str">
        <f>IFERROR(VLOOKUP($J14255,'Informations sur les produits'!$A$3:$H$10000,8,FALSE),"0")</f>
        <v>0</v>
      </c>
      <c r="N14255" s="8"/>
      <c r="O14255" s="33" t="str">
        <f>IFERROR(VLOOKUP($M14255,'Informations sur les produits'!$A$3:$H$10000,8,FALSE),"0")</f>
        <v>0</v>
      </c>
      <c r="P14255" s="33">
        <f t="shared" si="888"/>
        <v>0</v>
      </c>
      <c r="Q14255" s="31" t="str">
        <f t="shared" si="889"/>
        <v/>
      </c>
      <c r="R14255" s="32" t="str">
        <f>IFERROR(VLOOKUP($D14255,'Informations sur les produits'!$A$3:$B$15000,2,FALSE),"")</f>
        <v/>
      </c>
      <c r="V14255">
        <f t="shared" si="890"/>
        <v>0</v>
      </c>
      <c r="W14255">
        <f t="shared" si="891"/>
        <v>0</v>
      </c>
    </row>
    <row r="14256" spans="5:23" x14ac:dyDescent="0.25">
      <c r="E14256" s="4"/>
      <c r="F14256" s="4"/>
      <c r="G14256" s="33" t="str">
        <f>IFERROR(VLOOKUP($D14256,'Informations sur les produits'!$A$3:$H$10000,8,FALSE),"0")</f>
        <v>0</v>
      </c>
      <c r="K14256" s="4"/>
      <c r="L14256" s="33" t="str">
        <f>IFERROR(VLOOKUP($J14256,'Informations sur les produits'!$A$3:$H$10000,8,FALSE),"0")</f>
        <v>0</v>
      </c>
      <c r="N14256" s="8"/>
      <c r="O14256" s="33" t="str">
        <f>IFERROR(VLOOKUP($M14256,'Informations sur les produits'!$A$3:$H$10000,8,FALSE),"0")</f>
        <v>0</v>
      </c>
      <c r="P14256" s="33">
        <f t="shared" si="888"/>
        <v>0</v>
      </c>
      <c r="Q14256" s="31" t="str">
        <f t="shared" si="889"/>
        <v/>
      </c>
      <c r="R14256" s="32" t="str">
        <f>IFERROR(VLOOKUP($D14256,'Informations sur les produits'!$A$3:$B$15000,2,FALSE),"")</f>
        <v/>
      </c>
      <c r="V14256">
        <f t="shared" si="890"/>
        <v>0</v>
      </c>
      <c r="W14256">
        <f t="shared" si="891"/>
        <v>0</v>
      </c>
    </row>
    <row r="14257" spans="5:23" x14ac:dyDescent="0.25">
      <c r="E14257" s="4"/>
      <c r="F14257" s="4"/>
      <c r="G14257" s="33" t="str">
        <f>IFERROR(VLOOKUP($D14257,'Informations sur les produits'!$A$3:$H$10000,8,FALSE),"0")</f>
        <v>0</v>
      </c>
      <c r="K14257" s="4"/>
      <c r="L14257" s="33" t="str">
        <f>IFERROR(VLOOKUP($J14257,'Informations sur les produits'!$A$3:$H$10000,8,FALSE),"0")</f>
        <v>0</v>
      </c>
      <c r="N14257" s="8"/>
      <c r="O14257" s="33" t="str">
        <f>IFERROR(VLOOKUP($M14257,'Informations sur les produits'!$A$3:$H$10000,8,FALSE),"0")</f>
        <v>0</v>
      </c>
      <c r="P14257" s="33">
        <f t="shared" si="888"/>
        <v>0</v>
      </c>
      <c r="Q14257" s="31" t="str">
        <f t="shared" si="889"/>
        <v/>
      </c>
      <c r="R14257" s="32" t="str">
        <f>IFERROR(VLOOKUP($D14257,'Informations sur les produits'!$A$3:$B$15000,2,FALSE),"")</f>
        <v/>
      </c>
      <c r="V14257">
        <f t="shared" si="890"/>
        <v>0</v>
      </c>
      <c r="W14257">
        <f t="shared" si="891"/>
        <v>0</v>
      </c>
    </row>
    <row r="14258" spans="5:23" x14ac:dyDescent="0.25">
      <c r="E14258" s="4"/>
      <c r="F14258" s="4"/>
      <c r="G14258" s="33" t="str">
        <f>IFERROR(VLOOKUP($D14258,'Informations sur les produits'!$A$3:$H$10000,8,FALSE),"0")</f>
        <v>0</v>
      </c>
      <c r="K14258" s="4"/>
      <c r="L14258" s="33" t="str">
        <f>IFERROR(VLOOKUP($J14258,'Informations sur les produits'!$A$3:$H$10000,8,FALSE),"0")</f>
        <v>0</v>
      </c>
      <c r="N14258" s="8"/>
      <c r="O14258" s="33" t="str">
        <f>IFERROR(VLOOKUP($M14258,'Informations sur les produits'!$A$3:$H$10000,8,FALSE),"0")</f>
        <v>0</v>
      </c>
      <c r="P14258" s="33">
        <f t="shared" si="888"/>
        <v>0</v>
      </c>
      <c r="Q14258" s="31" t="str">
        <f t="shared" si="889"/>
        <v/>
      </c>
      <c r="R14258" s="32" t="str">
        <f>IFERROR(VLOOKUP($D14258,'Informations sur les produits'!$A$3:$B$15000,2,FALSE),"")</f>
        <v/>
      </c>
      <c r="V14258">
        <f t="shared" si="890"/>
        <v>0</v>
      </c>
      <c r="W14258">
        <f t="shared" si="891"/>
        <v>0</v>
      </c>
    </row>
    <row r="14259" spans="5:23" x14ac:dyDescent="0.25">
      <c r="E14259" s="4"/>
      <c r="F14259" s="4"/>
      <c r="G14259" s="33" t="str">
        <f>IFERROR(VLOOKUP($D14259,'Informations sur les produits'!$A$3:$H$10000,8,FALSE),"0")</f>
        <v>0</v>
      </c>
      <c r="K14259" s="4"/>
      <c r="L14259" s="33" t="str">
        <f>IFERROR(VLOOKUP($J14259,'Informations sur les produits'!$A$3:$H$10000,8,FALSE),"0")</f>
        <v>0</v>
      </c>
      <c r="N14259" s="8"/>
      <c r="O14259" s="33" t="str">
        <f>IFERROR(VLOOKUP($M14259,'Informations sur les produits'!$A$3:$H$10000,8,FALSE),"0")</f>
        <v>0</v>
      </c>
      <c r="P14259" s="33">
        <f t="shared" si="888"/>
        <v>0</v>
      </c>
      <c r="Q14259" s="31" t="str">
        <f t="shared" si="889"/>
        <v/>
      </c>
      <c r="R14259" s="32" t="str">
        <f>IFERROR(VLOOKUP($D14259,'Informations sur les produits'!$A$3:$B$15000,2,FALSE),"")</f>
        <v/>
      </c>
      <c r="V14259">
        <f t="shared" si="890"/>
        <v>0</v>
      </c>
      <c r="W14259">
        <f t="shared" si="891"/>
        <v>0</v>
      </c>
    </row>
    <row r="14260" spans="5:23" x14ac:dyDescent="0.25">
      <c r="E14260" s="4"/>
      <c r="F14260" s="4"/>
      <c r="G14260" s="33" t="str">
        <f>IFERROR(VLOOKUP($D14260,'Informations sur les produits'!$A$3:$H$10000,8,FALSE),"0")</f>
        <v>0</v>
      </c>
      <c r="K14260" s="4"/>
      <c r="L14260" s="33" t="str">
        <f>IFERROR(VLOOKUP($J14260,'Informations sur les produits'!$A$3:$H$10000,8,FALSE),"0")</f>
        <v>0</v>
      </c>
      <c r="N14260" s="8"/>
      <c r="O14260" s="33" t="str">
        <f>IFERROR(VLOOKUP($M14260,'Informations sur les produits'!$A$3:$H$10000,8,FALSE),"0")</f>
        <v>0</v>
      </c>
      <c r="P14260" s="33">
        <f t="shared" si="888"/>
        <v>0</v>
      </c>
      <c r="Q14260" s="31" t="str">
        <f t="shared" si="889"/>
        <v/>
      </c>
      <c r="R14260" s="32" t="str">
        <f>IFERROR(VLOOKUP($D14260,'Informations sur les produits'!$A$3:$B$15000,2,FALSE),"")</f>
        <v/>
      </c>
      <c r="V14260">
        <f t="shared" si="890"/>
        <v>0</v>
      </c>
      <c r="W14260">
        <f t="shared" si="891"/>
        <v>0</v>
      </c>
    </row>
    <row r="14261" spans="5:23" x14ac:dyDescent="0.25">
      <c r="E14261" s="4"/>
      <c r="F14261" s="4"/>
      <c r="G14261" s="33" t="str">
        <f>IFERROR(VLOOKUP($D14261,'Informations sur les produits'!$A$3:$H$10000,8,FALSE),"0")</f>
        <v>0</v>
      </c>
      <c r="K14261" s="4"/>
      <c r="L14261" s="33" t="str">
        <f>IFERROR(VLOOKUP($J14261,'Informations sur les produits'!$A$3:$H$10000,8,FALSE),"0")</f>
        <v>0</v>
      </c>
      <c r="N14261" s="8"/>
      <c r="O14261" s="33" t="str">
        <f>IFERROR(VLOOKUP($M14261,'Informations sur les produits'!$A$3:$H$10000,8,FALSE),"0")</f>
        <v>0</v>
      </c>
      <c r="P14261" s="33">
        <f t="shared" si="888"/>
        <v>0</v>
      </c>
      <c r="Q14261" s="31" t="str">
        <f t="shared" si="889"/>
        <v/>
      </c>
      <c r="R14261" s="32" t="str">
        <f>IFERROR(VLOOKUP($D14261,'Informations sur les produits'!$A$3:$B$15000,2,FALSE),"")</f>
        <v/>
      </c>
      <c r="V14261">
        <f t="shared" si="890"/>
        <v>0</v>
      </c>
      <c r="W14261">
        <f t="shared" si="891"/>
        <v>0</v>
      </c>
    </row>
    <row r="14262" spans="5:23" x14ac:dyDescent="0.25">
      <c r="E14262" s="4"/>
      <c r="F14262" s="4"/>
      <c r="G14262" s="33" t="str">
        <f>IFERROR(VLOOKUP($D14262,'Informations sur les produits'!$A$3:$H$10000,8,FALSE),"0")</f>
        <v>0</v>
      </c>
      <c r="K14262" s="4"/>
      <c r="L14262" s="33" t="str">
        <f>IFERROR(VLOOKUP($J14262,'Informations sur les produits'!$A$3:$H$10000,8,FALSE),"0")</f>
        <v>0</v>
      </c>
      <c r="N14262" s="8"/>
      <c r="O14262" s="33" t="str">
        <f>IFERROR(VLOOKUP($M14262,'Informations sur les produits'!$A$3:$H$10000,8,FALSE),"0")</f>
        <v>0</v>
      </c>
      <c r="P14262" s="33">
        <f t="shared" si="888"/>
        <v>0</v>
      </c>
      <c r="Q14262" s="31" t="str">
        <f t="shared" si="889"/>
        <v/>
      </c>
      <c r="R14262" s="32" t="str">
        <f>IFERROR(VLOOKUP($D14262,'Informations sur les produits'!$A$3:$B$15000,2,FALSE),"")</f>
        <v/>
      </c>
      <c r="V14262">
        <f t="shared" si="890"/>
        <v>0</v>
      </c>
      <c r="W14262">
        <f t="shared" si="891"/>
        <v>0</v>
      </c>
    </row>
    <row r="14263" spans="5:23" x14ac:dyDescent="0.25">
      <c r="E14263" s="4"/>
      <c r="F14263" s="4"/>
      <c r="G14263" s="33" t="str">
        <f>IFERROR(VLOOKUP($D14263,'Informations sur les produits'!$A$3:$H$10000,8,FALSE),"0")</f>
        <v>0</v>
      </c>
      <c r="K14263" s="4"/>
      <c r="L14263" s="33" t="str">
        <f>IFERROR(VLOOKUP($J14263,'Informations sur les produits'!$A$3:$H$10000,8,FALSE),"0")</f>
        <v>0</v>
      </c>
      <c r="N14263" s="8"/>
      <c r="O14263" s="33" t="str">
        <f>IFERROR(VLOOKUP($M14263,'Informations sur les produits'!$A$3:$H$10000,8,FALSE),"0")</f>
        <v>0</v>
      </c>
      <c r="P14263" s="33">
        <f t="shared" si="888"/>
        <v>0</v>
      </c>
      <c r="Q14263" s="31" t="str">
        <f t="shared" si="889"/>
        <v/>
      </c>
      <c r="R14263" s="32" t="str">
        <f>IFERROR(VLOOKUP($D14263,'Informations sur les produits'!$A$3:$B$15000,2,FALSE),"")</f>
        <v/>
      </c>
      <c r="V14263">
        <f t="shared" si="890"/>
        <v>0</v>
      </c>
      <c r="W14263">
        <f t="shared" si="891"/>
        <v>0</v>
      </c>
    </row>
    <row r="14264" spans="5:23" x14ac:dyDescent="0.25">
      <c r="E14264" s="4"/>
      <c r="F14264" s="4"/>
      <c r="G14264" s="33" t="str">
        <f>IFERROR(VLOOKUP($D14264,'Informations sur les produits'!$A$3:$H$10000,8,FALSE),"0")</f>
        <v>0</v>
      </c>
      <c r="K14264" s="4"/>
      <c r="L14264" s="33" t="str">
        <f>IFERROR(VLOOKUP($J14264,'Informations sur les produits'!$A$3:$H$10000,8,FALSE),"0")</f>
        <v>0</v>
      </c>
      <c r="N14264" s="8"/>
      <c r="O14264" s="33" t="str">
        <f>IFERROR(VLOOKUP($M14264,'Informations sur les produits'!$A$3:$H$10000,8,FALSE),"0")</f>
        <v>0</v>
      </c>
      <c r="P14264" s="33">
        <f t="shared" si="888"/>
        <v>0</v>
      </c>
      <c r="Q14264" s="31" t="str">
        <f t="shared" si="889"/>
        <v/>
      </c>
      <c r="R14264" s="32" t="str">
        <f>IFERROR(VLOOKUP($D14264,'Informations sur les produits'!$A$3:$B$15000,2,FALSE),"")</f>
        <v/>
      </c>
      <c r="V14264">
        <f t="shared" si="890"/>
        <v>0</v>
      </c>
      <c r="W14264">
        <f t="shared" si="891"/>
        <v>0</v>
      </c>
    </row>
    <row r="14265" spans="5:23" x14ac:dyDescent="0.25">
      <c r="E14265" s="4"/>
      <c r="F14265" s="4"/>
      <c r="G14265" s="33" t="str">
        <f>IFERROR(VLOOKUP($D14265,'Informations sur les produits'!$A$3:$H$10000,8,FALSE),"0")</f>
        <v>0</v>
      </c>
      <c r="K14265" s="4"/>
      <c r="L14265" s="33" t="str">
        <f>IFERROR(VLOOKUP($J14265,'Informations sur les produits'!$A$3:$H$10000,8,FALSE),"0")</f>
        <v>0</v>
      </c>
      <c r="N14265" s="8"/>
      <c r="O14265" s="33" t="str">
        <f>IFERROR(VLOOKUP($M14265,'Informations sur les produits'!$A$3:$H$10000,8,FALSE),"0")</f>
        <v>0</v>
      </c>
      <c r="P14265" s="33">
        <f t="shared" si="888"/>
        <v>0</v>
      </c>
      <c r="Q14265" s="31" t="str">
        <f t="shared" si="889"/>
        <v/>
      </c>
      <c r="R14265" s="32" t="str">
        <f>IFERROR(VLOOKUP($D14265,'Informations sur les produits'!$A$3:$B$15000,2,FALSE),"")</f>
        <v/>
      </c>
      <c r="V14265">
        <f t="shared" si="890"/>
        <v>0</v>
      </c>
      <c r="W14265">
        <f t="shared" si="891"/>
        <v>0</v>
      </c>
    </row>
    <row r="14266" spans="5:23" x14ac:dyDescent="0.25">
      <c r="E14266" s="4"/>
      <c r="F14266" s="4"/>
      <c r="G14266" s="33" t="str">
        <f>IFERROR(VLOOKUP($D14266,'Informations sur les produits'!$A$3:$H$10000,8,FALSE),"0")</f>
        <v>0</v>
      </c>
      <c r="K14266" s="4"/>
      <c r="L14266" s="33" t="str">
        <f>IFERROR(VLOOKUP($J14266,'Informations sur les produits'!$A$3:$H$10000,8,FALSE),"0")</f>
        <v>0</v>
      </c>
      <c r="N14266" s="8"/>
      <c r="O14266" s="33" t="str">
        <f>IFERROR(VLOOKUP($M14266,'Informations sur les produits'!$A$3:$H$10000,8,FALSE),"0")</f>
        <v>0</v>
      </c>
      <c r="P14266" s="33">
        <f t="shared" si="888"/>
        <v>0</v>
      </c>
      <c r="Q14266" s="31" t="str">
        <f t="shared" si="889"/>
        <v/>
      </c>
      <c r="R14266" s="32" t="str">
        <f>IFERROR(VLOOKUP($D14266,'Informations sur les produits'!$A$3:$B$15000,2,FALSE),"")</f>
        <v/>
      </c>
      <c r="V14266">
        <f t="shared" si="890"/>
        <v>0</v>
      </c>
      <c r="W14266">
        <f t="shared" si="891"/>
        <v>0</v>
      </c>
    </row>
    <row r="14267" spans="5:23" x14ac:dyDescent="0.25">
      <c r="E14267" s="4"/>
      <c r="F14267" s="4"/>
      <c r="G14267" s="33" t="str">
        <f>IFERROR(VLOOKUP($D14267,'Informations sur les produits'!$A$3:$H$10000,8,FALSE),"0")</f>
        <v>0</v>
      </c>
      <c r="K14267" s="4"/>
      <c r="L14267" s="33" t="str">
        <f>IFERROR(VLOOKUP($J14267,'Informations sur les produits'!$A$3:$H$10000,8,FALSE),"0")</f>
        <v>0</v>
      </c>
      <c r="N14267" s="8"/>
      <c r="O14267" s="33" t="str">
        <f>IFERROR(VLOOKUP($M14267,'Informations sur les produits'!$A$3:$H$10000,8,FALSE),"0")</f>
        <v>0</v>
      </c>
      <c r="P14267" s="33">
        <f t="shared" si="888"/>
        <v>0</v>
      </c>
      <c r="Q14267" s="31" t="str">
        <f t="shared" si="889"/>
        <v/>
      </c>
      <c r="R14267" s="32" t="str">
        <f>IFERROR(VLOOKUP($D14267,'Informations sur les produits'!$A$3:$B$15000,2,FALSE),"")</f>
        <v/>
      </c>
      <c r="V14267">
        <f t="shared" si="890"/>
        <v>0</v>
      </c>
      <c r="W14267">
        <f t="shared" si="891"/>
        <v>0</v>
      </c>
    </row>
    <row r="14268" spans="5:23" x14ac:dyDescent="0.25">
      <c r="E14268" s="4"/>
      <c r="F14268" s="4"/>
      <c r="G14268" s="33" t="str">
        <f>IFERROR(VLOOKUP($D14268,'Informations sur les produits'!$A$3:$H$10000,8,FALSE),"0")</f>
        <v>0</v>
      </c>
      <c r="K14268" s="4"/>
      <c r="L14268" s="33" t="str">
        <f>IFERROR(VLOOKUP($J14268,'Informations sur les produits'!$A$3:$H$10000,8,FALSE),"0")</f>
        <v>0</v>
      </c>
      <c r="N14268" s="8"/>
      <c r="O14268" s="33" t="str">
        <f>IFERROR(VLOOKUP($M14268,'Informations sur les produits'!$A$3:$H$10000,8,FALSE),"0")</f>
        <v>0</v>
      </c>
      <c r="P14268" s="33">
        <f t="shared" si="888"/>
        <v>0</v>
      </c>
      <c r="Q14268" s="31" t="str">
        <f t="shared" si="889"/>
        <v/>
      </c>
      <c r="R14268" s="32" t="str">
        <f>IFERROR(VLOOKUP($D14268,'Informations sur les produits'!$A$3:$B$15000,2,FALSE),"")</f>
        <v/>
      </c>
      <c r="V14268">
        <f t="shared" si="890"/>
        <v>0</v>
      </c>
      <c r="W14268">
        <f t="shared" si="891"/>
        <v>0</v>
      </c>
    </row>
    <row r="14269" spans="5:23" x14ac:dyDescent="0.25">
      <c r="E14269" s="4"/>
      <c r="F14269" s="4"/>
      <c r="G14269" s="33" t="str">
        <f>IFERROR(VLOOKUP($D14269,'Informations sur les produits'!$A$3:$H$10000,8,FALSE),"0")</f>
        <v>0</v>
      </c>
      <c r="K14269" s="4"/>
      <c r="L14269" s="33" t="str">
        <f>IFERROR(VLOOKUP($J14269,'Informations sur les produits'!$A$3:$H$10000,8,FALSE),"0")</f>
        <v>0</v>
      </c>
      <c r="N14269" s="8"/>
      <c r="O14269" s="33" t="str">
        <f>IFERROR(VLOOKUP($M14269,'Informations sur les produits'!$A$3:$H$10000,8,FALSE),"0")</f>
        <v>0</v>
      </c>
      <c r="P14269" s="33">
        <f t="shared" si="888"/>
        <v>0</v>
      </c>
      <c r="Q14269" s="31" t="str">
        <f t="shared" si="889"/>
        <v/>
      </c>
      <c r="R14269" s="32" t="str">
        <f>IFERROR(VLOOKUP($D14269,'Informations sur les produits'!$A$3:$B$15000,2,FALSE),"")</f>
        <v/>
      </c>
      <c r="V14269">
        <f t="shared" si="890"/>
        <v>0</v>
      </c>
      <c r="W14269">
        <f t="shared" si="891"/>
        <v>0</v>
      </c>
    </row>
    <row r="14270" spans="5:23" x14ac:dyDescent="0.25">
      <c r="E14270" s="4"/>
      <c r="F14270" s="4"/>
      <c r="G14270" s="33" t="str">
        <f>IFERROR(VLOOKUP($D14270,'Informations sur les produits'!$A$3:$H$10000,8,FALSE),"0")</f>
        <v>0</v>
      </c>
      <c r="K14270" s="4"/>
      <c r="L14270" s="33" t="str">
        <f>IFERROR(VLOOKUP($J14270,'Informations sur les produits'!$A$3:$H$10000,8,FALSE),"0")</f>
        <v>0</v>
      </c>
      <c r="N14270" s="8"/>
      <c r="O14270" s="33" t="str">
        <f>IFERROR(VLOOKUP($M14270,'Informations sur les produits'!$A$3:$H$10000,8,FALSE),"0")</f>
        <v>0</v>
      </c>
      <c r="P14270" s="33">
        <f t="shared" si="888"/>
        <v>0</v>
      </c>
      <c r="Q14270" s="31" t="str">
        <f t="shared" si="889"/>
        <v/>
      </c>
      <c r="R14270" s="32" t="str">
        <f>IFERROR(VLOOKUP($D14270,'Informations sur les produits'!$A$3:$B$15000,2,FALSE),"")</f>
        <v/>
      </c>
      <c r="V14270">
        <f t="shared" si="890"/>
        <v>0</v>
      </c>
      <c r="W14270">
        <f t="shared" si="891"/>
        <v>0</v>
      </c>
    </row>
    <row r="14271" spans="5:23" x14ac:dyDescent="0.25">
      <c r="E14271" s="4"/>
      <c r="F14271" s="4"/>
      <c r="G14271" s="33" t="str">
        <f>IFERROR(VLOOKUP($D14271,'Informations sur les produits'!$A$3:$H$10000,8,FALSE),"0")</f>
        <v>0</v>
      </c>
      <c r="K14271" s="4"/>
      <c r="L14271" s="33" t="str">
        <f>IFERROR(VLOOKUP($J14271,'Informations sur les produits'!$A$3:$H$10000,8,FALSE),"0")</f>
        <v>0</v>
      </c>
      <c r="N14271" s="8"/>
      <c r="O14271" s="33" t="str">
        <f>IFERROR(VLOOKUP($M14271,'Informations sur les produits'!$A$3:$H$10000,8,FALSE),"0")</f>
        <v>0</v>
      </c>
      <c r="P14271" s="33">
        <f t="shared" si="888"/>
        <v>0</v>
      </c>
      <c r="Q14271" s="31" t="str">
        <f t="shared" si="889"/>
        <v/>
      </c>
      <c r="R14271" s="32" t="str">
        <f>IFERROR(VLOOKUP($D14271,'Informations sur les produits'!$A$3:$B$15000,2,FALSE),"")</f>
        <v/>
      </c>
      <c r="V14271">
        <f t="shared" si="890"/>
        <v>0</v>
      </c>
      <c r="W14271">
        <f t="shared" si="891"/>
        <v>0</v>
      </c>
    </row>
    <row r="14272" spans="5:23" x14ac:dyDescent="0.25">
      <c r="E14272" s="4"/>
      <c r="F14272" s="4"/>
      <c r="G14272" s="33" t="str">
        <f>IFERROR(VLOOKUP($D14272,'Informations sur les produits'!$A$3:$H$10000,8,FALSE),"0")</f>
        <v>0</v>
      </c>
      <c r="K14272" s="4"/>
      <c r="L14272" s="33" t="str">
        <f>IFERROR(VLOOKUP($J14272,'Informations sur les produits'!$A$3:$H$10000,8,FALSE),"0")</f>
        <v>0</v>
      </c>
      <c r="N14272" s="8"/>
      <c r="O14272" s="33" t="str">
        <f>IFERROR(VLOOKUP($M14272,'Informations sur les produits'!$A$3:$H$10000,8,FALSE),"0")</f>
        <v>0</v>
      </c>
      <c r="P14272" s="33">
        <f t="shared" si="888"/>
        <v>0</v>
      </c>
      <c r="Q14272" s="31" t="str">
        <f t="shared" si="889"/>
        <v/>
      </c>
      <c r="R14272" s="32" t="str">
        <f>IFERROR(VLOOKUP($D14272,'Informations sur les produits'!$A$3:$B$15000,2,FALSE),"")</f>
        <v/>
      </c>
      <c r="V14272">
        <f t="shared" si="890"/>
        <v>0</v>
      </c>
      <c r="W14272">
        <f t="shared" si="891"/>
        <v>0</v>
      </c>
    </row>
    <row r="14273" spans="5:23" x14ac:dyDescent="0.25">
      <c r="E14273" s="4"/>
      <c r="F14273" s="4"/>
      <c r="G14273" s="33" t="str">
        <f>IFERROR(VLOOKUP($D14273,'Informations sur les produits'!$A$3:$H$10000,8,FALSE),"0")</f>
        <v>0</v>
      </c>
      <c r="K14273" s="4"/>
      <c r="L14273" s="33" t="str">
        <f>IFERROR(VLOOKUP($J14273,'Informations sur les produits'!$A$3:$H$10000,8,FALSE),"0")</f>
        <v>0</v>
      </c>
      <c r="N14273" s="8"/>
      <c r="O14273" s="33" t="str">
        <f>IFERROR(VLOOKUP($M14273,'Informations sur les produits'!$A$3:$H$10000,8,FALSE),"0")</f>
        <v>0</v>
      </c>
      <c r="P14273" s="33">
        <f t="shared" si="888"/>
        <v>0</v>
      </c>
      <c r="Q14273" s="31" t="str">
        <f t="shared" si="889"/>
        <v/>
      </c>
      <c r="R14273" s="32" t="str">
        <f>IFERROR(VLOOKUP($D14273,'Informations sur les produits'!$A$3:$B$15000,2,FALSE),"")</f>
        <v/>
      </c>
      <c r="V14273">
        <f t="shared" si="890"/>
        <v>0</v>
      </c>
      <c r="W14273">
        <f t="shared" si="891"/>
        <v>0</v>
      </c>
    </row>
    <row r="14274" spans="5:23" x14ac:dyDescent="0.25">
      <c r="E14274" s="4"/>
      <c r="F14274" s="4"/>
      <c r="G14274" s="33" t="str">
        <f>IFERROR(VLOOKUP($D14274,'Informations sur les produits'!$A$3:$H$10000,8,FALSE),"0")</f>
        <v>0</v>
      </c>
      <c r="K14274" s="4"/>
      <c r="L14274" s="33" t="str">
        <f>IFERROR(VLOOKUP($J14274,'Informations sur les produits'!$A$3:$H$10000,8,FALSE),"0")</f>
        <v>0</v>
      </c>
      <c r="N14274" s="8"/>
      <c r="O14274" s="33" t="str">
        <f>IFERROR(VLOOKUP($M14274,'Informations sur les produits'!$A$3:$H$10000,8,FALSE),"0")</f>
        <v>0</v>
      </c>
      <c r="P14274" s="33">
        <f t="shared" si="888"/>
        <v>0</v>
      </c>
      <c r="Q14274" s="31" t="str">
        <f t="shared" si="889"/>
        <v/>
      </c>
      <c r="R14274" s="32" t="str">
        <f>IFERROR(VLOOKUP($D14274,'Informations sur les produits'!$A$3:$B$15000,2,FALSE),"")</f>
        <v/>
      </c>
      <c r="V14274">
        <f t="shared" si="890"/>
        <v>0</v>
      </c>
      <c r="W14274">
        <f t="shared" si="891"/>
        <v>0</v>
      </c>
    </row>
    <row r="14275" spans="5:23" x14ac:dyDescent="0.25">
      <c r="E14275" s="4"/>
      <c r="F14275" s="4"/>
      <c r="G14275" s="33" t="str">
        <f>IFERROR(VLOOKUP($D14275,'Informations sur les produits'!$A$3:$H$10000,8,FALSE),"0")</f>
        <v>0</v>
      </c>
      <c r="K14275" s="4"/>
      <c r="L14275" s="33" t="str">
        <f>IFERROR(VLOOKUP($J14275,'Informations sur les produits'!$A$3:$H$10000,8,FALSE),"0")</f>
        <v>0</v>
      </c>
      <c r="N14275" s="8"/>
      <c r="O14275" s="33" t="str">
        <f>IFERROR(VLOOKUP($M14275,'Informations sur les produits'!$A$3:$H$10000,8,FALSE),"0")</f>
        <v>0</v>
      </c>
      <c r="P14275" s="33">
        <f t="shared" si="888"/>
        <v>0</v>
      </c>
      <c r="Q14275" s="31" t="str">
        <f t="shared" si="889"/>
        <v/>
      </c>
      <c r="R14275" s="32" t="str">
        <f>IFERROR(VLOOKUP($D14275,'Informations sur les produits'!$A$3:$B$15000,2,FALSE),"")</f>
        <v/>
      </c>
      <c r="V14275">
        <f t="shared" si="890"/>
        <v>0</v>
      </c>
      <c r="W14275">
        <f t="shared" si="891"/>
        <v>0</v>
      </c>
    </row>
    <row r="14276" spans="5:23" x14ac:dyDescent="0.25">
      <c r="E14276" s="4"/>
      <c r="F14276" s="4"/>
      <c r="G14276" s="33" t="str">
        <f>IFERROR(VLOOKUP($D14276,'Informations sur les produits'!$A$3:$H$10000,8,FALSE),"0")</f>
        <v>0</v>
      </c>
      <c r="K14276" s="4"/>
      <c r="L14276" s="33" t="str">
        <f>IFERROR(VLOOKUP($J14276,'Informations sur les produits'!$A$3:$H$10000,8,FALSE),"0")</f>
        <v>0</v>
      </c>
      <c r="N14276" s="8"/>
      <c r="O14276" s="33" t="str">
        <f>IFERROR(VLOOKUP($M14276,'Informations sur les produits'!$A$3:$H$10000,8,FALSE),"0")</f>
        <v>0</v>
      </c>
      <c r="P14276" s="33">
        <f t="shared" ref="P14276:P14339" si="892">IFERROR((($E14276-$F14276)*$G14276+$K14276*$L14276+$N14276*$O14276),"")</f>
        <v>0</v>
      </c>
      <c r="Q14276" s="31" t="str">
        <f t="shared" ref="Q14276:Q14339" si="893">IFERROR((((($E14276-$F14276)*$G14276+$K14276*$L14276+$N14276*$O14276)*1000)/(($E14276-$F14276)+$K14276+$N14276)),"")</f>
        <v/>
      </c>
      <c r="R14276" s="32" t="str">
        <f>IFERROR(VLOOKUP($D14276,'Informations sur les produits'!$A$3:$B$15000,2,FALSE),"")</f>
        <v/>
      </c>
      <c r="V14276">
        <f t="shared" ref="V14276:V14339" si="894">IFERROR(P14276*1000,"")</f>
        <v>0</v>
      </c>
      <c r="W14276">
        <f t="shared" ref="W14276:W14339" si="895">IFERROR(($E14276-$F14276)+$K14276+$N14276,"")</f>
        <v>0</v>
      </c>
    </row>
    <row r="14277" spans="5:23" x14ac:dyDescent="0.25">
      <c r="E14277" s="4"/>
      <c r="F14277" s="4"/>
      <c r="G14277" s="33" t="str">
        <f>IFERROR(VLOOKUP($D14277,'Informations sur les produits'!$A$3:$H$10000,8,FALSE),"0")</f>
        <v>0</v>
      </c>
      <c r="K14277" s="4"/>
      <c r="L14277" s="33" t="str">
        <f>IFERROR(VLOOKUP($J14277,'Informations sur les produits'!$A$3:$H$10000,8,FALSE),"0")</f>
        <v>0</v>
      </c>
      <c r="N14277" s="8"/>
      <c r="O14277" s="33" t="str">
        <f>IFERROR(VLOOKUP($M14277,'Informations sur les produits'!$A$3:$H$10000,8,FALSE),"0")</f>
        <v>0</v>
      </c>
      <c r="P14277" s="33">
        <f t="shared" si="892"/>
        <v>0</v>
      </c>
      <c r="Q14277" s="31" t="str">
        <f t="shared" si="893"/>
        <v/>
      </c>
      <c r="R14277" s="32" t="str">
        <f>IFERROR(VLOOKUP($D14277,'Informations sur les produits'!$A$3:$B$15000,2,FALSE),"")</f>
        <v/>
      </c>
      <c r="V14277">
        <f t="shared" si="894"/>
        <v>0</v>
      </c>
      <c r="W14277">
        <f t="shared" si="895"/>
        <v>0</v>
      </c>
    </row>
    <row r="14278" spans="5:23" x14ac:dyDescent="0.25">
      <c r="E14278" s="4"/>
      <c r="F14278" s="4"/>
      <c r="G14278" s="33" t="str">
        <f>IFERROR(VLOOKUP($D14278,'Informations sur les produits'!$A$3:$H$10000,8,FALSE),"0")</f>
        <v>0</v>
      </c>
      <c r="K14278" s="4"/>
      <c r="L14278" s="33" t="str">
        <f>IFERROR(VLOOKUP($J14278,'Informations sur les produits'!$A$3:$H$10000,8,FALSE),"0")</f>
        <v>0</v>
      </c>
      <c r="N14278" s="8"/>
      <c r="O14278" s="33" t="str">
        <f>IFERROR(VLOOKUP($M14278,'Informations sur les produits'!$A$3:$H$10000,8,FALSE),"0")</f>
        <v>0</v>
      </c>
      <c r="P14278" s="33">
        <f t="shared" si="892"/>
        <v>0</v>
      </c>
      <c r="Q14278" s="31" t="str">
        <f t="shared" si="893"/>
        <v/>
      </c>
      <c r="R14278" s="32" t="str">
        <f>IFERROR(VLOOKUP($D14278,'Informations sur les produits'!$A$3:$B$15000,2,FALSE),"")</f>
        <v/>
      </c>
      <c r="V14278">
        <f t="shared" si="894"/>
        <v>0</v>
      </c>
      <c r="W14278">
        <f t="shared" si="895"/>
        <v>0</v>
      </c>
    </row>
    <row r="14279" spans="5:23" x14ac:dyDescent="0.25">
      <c r="E14279" s="4"/>
      <c r="F14279" s="4"/>
      <c r="G14279" s="33" t="str">
        <f>IFERROR(VLOOKUP($D14279,'Informations sur les produits'!$A$3:$H$10000,8,FALSE),"0")</f>
        <v>0</v>
      </c>
      <c r="K14279" s="4"/>
      <c r="L14279" s="33" t="str">
        <f>IFERROR(VLOOKUP($J14279,'Informations sur les produits'!$A$3:$H$10000,8,FALSE),"0")</f>
        <v>0</v>
      </c>
      <c r="N14279" s="8"/>
      <c r="O14279" s="33" t="str">
        <f>IFERROR(VLOOKUP($M14279,'Informations sur les produits'!$A$3:$H$10000,8,FALSE),"0")</f>
        <v>0</v>
      </c>
      <c r="P14279" s="33">
        <f t="shared" si="892"/>
        <v>0</v>
      </c>
      <c r="Q14279" s="31" t="str">
        <f t="shared" si="893"/>
        <v/>
      </c>
      <c r="R14279" s="32" t="str">
        <f>IFERROR(VLOOKUP($D14279,'Informations sur les produits'!$A$3:$B$15000,2,FALSE),"")</f>
        <v/>
      </c>
      <c r="V14279">
        <f t="shared" si="894"/>
        <v>0</v>
      </c>
      <c r="W14279">
        <f t="shared" si="895"/>
        <v>0</v>
      </c>
    </row>
    <row r="14280" spans="5:23" x14ac:dyDescent="0.25">
      <c r="E14280" s="4"/>
      <c r="F14280" s="4"/>
      <c r="G14280" s="33" t="str">
        <f>IFERROR(VLOOKUP($D14280,'Informations sur les produits'!$A$3:$H$10000,8,FALSE),"0")</f>
        <v>0</v>
      </c>
      <c r="K14280" s="4"/>
      <c r="L14280" s="33" t="str">
        <f>IFERROR(VLOOKUP($J14280,'Informations sur les produits'!$A$3:$H$10000,8,FALSE),"0")</f>
        <v>0</v>
      </c>
      <c r="N14280" s="8"/>
      <c r="O14280" s="33" t="str">
        <f>IFERROR(VLOOKUP($M14280,'Informations sur les produits'!$A$3:$H$10000,8,FALSE),"0")</f>
        <v>0</v>
      </c>
      <c r="P14280" s="33">
        <f t="shared" si="892"/>
        <v>0</v>
      </c>
      <c r="Q14280" s="31" t="str">
        <f t="shared" si="893"/>
        <v/>
      </c>
      <c r="R14280" s="32" t="str">
        <f>IFERROR(VLOOKUP($D14280,'Informations sur les produits'!$A$3:$B$15000,2,FALSE),"")</f>
        <v/>
      </c>
      <c r="V14280">
        <f t="shared" si="894"/>
        <v>0</v>
      </c>
      <c r="W14280">
        <f t="shared" si="895"/>
        <v>0</v>
      </c>
    </row>
    <row r="14281" spans="5:23" x14ac:dyDescent="0.25">
      <c r="E14281" s="4"/>
      <c r="F14281" s="4"/>
      <c r="G14281" s="33" t="str">
        <f>IFERROR(VLOOKUP($D14281,'Informations sur les produits'!$A$3:$H$10000,8,FALSE),"0")</f>
        <v>0</v>
      </c>
      <c r="K14281" s="4"/>
      <c r="L14281" s="33" t="str">
        <f>IFERROR(VLOOKUP($J14281,'Informations sur les produits'!$A$3:$H$10000,8,FALSE),"0")</f>
        <v>0</v>
      </c>
      <c r="N14281" s="8"/>
      <c r="O14281" s="33" t="str">
        <f>IFERROR(VLOOKUP($M14281,'Informations sur les produits'!$A$3:$H$10000,8,FALSE),"0")</f>
        <v>0</v>
      </c>
      <c r="P14281" s="33">
        <f t="shared" si="892"/>
        <v>0</v>
      </c>
      <c r="Q14281" s="31" t="str">
        <f t="shared" si="893"/>
        <v/>
      </c>
      <c r="R14281" s="32" t="str">
        <f>IFERROR(VLOOKUP($D14281,'Informations sur les produits'!$A$3:$B$15000,2,FALSE),"")</f>
        <v/>
      </c>
      <c r="V14281">
        <f t="shared" si="894"/>
        <v>0</v>
      </c>
      <c r="W14281">
        <f t="shared" si="895"/>
        <v>0</v>
      </c>
    </row>
    <row r="14282" spans="5:23" x14ac:dyDescent="0.25">
      <c r="E14282" s="4"/>
      <c r="F14282" s="4"/>
      <c r="G14282" s="33" t="str">
        <f>IFERROR(VLOOKUP($D14282,'Informations sur les produits'!$A$3:$H$10000,8,FALSE),"0")</f>
        <v>0</v>
      </c>
      <c r="K14282" s="4"/>
      <c r="L14282" s="33" t="str">
        <f>IFERROR(VLOOKUP($J14282,'Informations sur les produits'!$A$3:$H$10000,8,FALSE),"0")</f>
        <v>0</v>
      </c>
      <c r="N14282" s="8"/>
      <c r="O14282" s="33" t="str">
        <f>IFERROR(VLOOKUP($M14282,'Informations sur les produits'!$A$3:$H$10000,8,FALSE),"0")</f>
        <v>0</v>
      </c>
      <c r="P14282" s="33">
        <f t="shared" si="892"/>
        <v>0</v>
      </c>
      <c r="Q14282" s="31" t="str">
        <f t="shared" si="893"/>
        <v/>
      </c>
      <c r="R14282" s="32" t="str">
        <f>IFERROR(VLOOKUP($D14282,'Informations sur les produits'!$A$3:$B$15000,2,FALSE),"")</f>
        <v/>
      </c>
      <c r="V14282">
        <f t="shared" si="894"/>
        <v>0</v>
      </c>
      <c r="W14282">
        <f t="shared" si="895"/>
        <v>0</v>
      </c>
    </row>
    <row r="14283" spans="5:23" x14ac:dyDescent="0.25">
      <c r="E14283" s="4"/>
      <c r="F14283" s="4"/>
      <c r="G14283" s="33" t="str">
        <f>IFERROR(VLOOKUP($D14283,'Informations sur les produits'!$A$3:$H$10000,8,FALSE),"0")</f>
        <v>0</v>
      </c>
      <c r="K14283" s="4"/>
      <c r="L14283" s="33" t="str">
        <f>IFERROR(VLOOKUP($J14283,'Informations sur les produits'!$A$3:$H$10000,8,FALSE),"0")</f>
        <v>0</v>
      </c>
      <c r="N14283" s="8"/>
      <c r="O14283" s="33" t="str">
        <f>IFERROR(VLOOKUP($M14283,'Informations sur les produits'!$A$3:$H$10000,8,FALSE),"0")</f>
        <v>0</v>
      </c>
      <c r="P14283" s="33">
        <f t="shared" si="892"/>
        <v>0</v>
      </c>
      <c r="Q14283" s="31" t="str">
        <f t="shared" si="893"/>
        <v/>
      </c>
      <c r="R14283" s="32" t="str">
        <f>IFERROR(VLOOKUP($D14283,'Informations sur les produits'!$A$3:$B$15000,2,FALSE),"")</f>
        <v/>
      </c>
      <c r="V14283">
        <f t="shared" si="894"/>
        <v>0</v>
      </c>
      <c r="W14283">
        <f t="shared" si="895"/>
        <v>0</v>
      </c>
    </row>
    <row r="14284" spans="5:23" x14ac:dyDescent="0.25">
      <c r="E14284" s="4"/>
      <c r="F14284" s="4"/>
      <c r="G14284" s="33" t="str">
        <f>IFERROR(VLOOKUP($D14284,'Informations sur les produits'!$A$3:$H$10000,8,FALSE),"0")</f>
        <v>0</v>
      </c>
      <c r="K14284" s="4"/>
      <c r="L14284" s="33" t="str">
        <f>IFERROR(VLOOKUP($J14284,'Informations sur les produits'!$A$3:$H$10000,8,FALSE),"0")</f>
        <v>0</v>
      </c>
      <c r="N14284" s="8"/>
      <c r="O14284" s="33" t="str">
        <f>IFERROR(VLOOKUP($M14284,'Informations sur les produits'!$A$3:$H$10000,8,FALSE),"0")</f>
        <v>0</v>
      </c>
      <c r="P14284" s="33">
        <f t="shared" si="892"/>
        <v>0</v>
      </c>
      <c r="Q14284" s="31" t="str">
        <f t="shared" si="893"/>
        <v/>
      </c>
      <c r="R14284" s="32" t="str">
        <f>IFERROR(VLOOKUP($D14284,'Informations sur les produits'!$A$3:$B$15000,2,FALSE),"")</f>
        <v/>
      </c>
      <c r="V14284">
        <f t="shared" si="894"/>
        <v>0</v>
      </c>
      <c r="W14284">
        <f t="shared" si="895"/>
        <v>0</v>
      </c>
    </row>
    <row r="14285" spans="5:23" x14ac:dyDescent="0.25">
      <c r="E14285" s="4"/>
      <c r="F14285" s="4"/>
      <c r="G14285" s="33" t="str">
        <f>IFERROR(VLOOKUP($D14285,'Informations sur les produits'!$A$3:$H$10000,8,FALSE),"0")</f>
        <v>0</v>
      </c>
      <c r="K14285" s="4"/>
      <c r="L14285" s="33" t="str">
        <f>IFERROR(VLOOKUP($J14285,'Informations sur les produits'!$A$3:$H$10000,8,FALSE),"0")</f>
        <v>0</v>
      </c>
      <c r="N14285" s="8"/>
      <c r="O14285" s="33" t="str">
        <f>IFERROR(VLOOKUP($M14285,'Informations sur les produits'!$A$3:$H$10000,8,FALSE),"0")</f>
        <v>0</v>
      </c>
      <c r="P14285" s="33">
        <f t="shared" si="892"/>
        <v>0</v>
      </c>
      <c r="Q14285" s="31" t="str">
        <f t="shared" si="893"/>
        <v/>
      </c>
      <c r="R14285" s="32" t="str">
        <f>IFERROR(VLOOKUP($D14285,'Informations sur les produits'!$A$3:$B$15000,2,FALSE),"")</f>
        <v/>
      </c>
      <c r="V14285">
        <f t="shared" si="894"/>
        <v>0</v>
      </c>
      <c r="W14285">
        <f t="shared" si="895"/>
        <v>0</v>
      </c>
    </row>
    <row r="14286" spans="5:23" x14ac:dyDescent="0.25">
      <c r="E14286" s="4"/>
      <c r="F14286" s="4"/>
      <c r="G14286" s="33" t="str">
        <f>IFERROR(VLOOKUP($D14286,'Informations sur les produits'!$A$3:$H$10000,8,FALSE),"0")</f>
        <v>0</v>
      </c>
      <c r="K14286" s="4"/>
      <c r="L14286" s="33" t="str">
        <f>IFERROR(VLOOKUP($J14286,'Informations sur les produits'!$A$3:$H$10000,8,FALSE),"0")</f>
        <v>0</v>
      </c>
      <c r="N14286" s="8"/>
      <c r="O14286" s="33" t="str">
        <f>IFERROR(VLOOKUP($M14286,'Informations sur les produits'!$A$3:$H$10000,8,FALSE),"0")</f>
        <v>0</v>
      </c>
      <c r="P14286" s="33">
        <f t="shared" si="892"/>
        <v>0</v>
      </c>
      <c r="Q14286" s="31" t="str">
        <f t="shared" si="893"/>
        <v/>
      </c>
      <c r="R14286" s="32" t="str">
        <f>IFERROR(VLOOKUP($D14286,'Informations sur les produits'!$A$3:$B$15000,2,FALSE),"")</f>
        <v/>
      </c>
      <c r="V14286">
        <f t="shared" si="894"/>
        <v>0</v>
      </c>
      <c r="W14286">
        <f t="shared" si="895"/>
        <v>0</v>
      </c>
    </row>
    <row r="14287" spans="5:23" x14ac:dyDescent="0.25">
      <c r="E14287" s="4"/>
      <c r="F14287" s="4"/>
      <c r="G14287" s="33" t="str">
        <f>IFERROR(VLOOKUP($D14287,'Informations sur les produits'!$A$3:$H$10000,8,FALSE),"0")</f>
        <v>0</v>
      </c>
      <c r="K14287" s="4"/>
      <c r="L14287" s="33" t="str">
        <f>IFERROR(VLOOKUP($J14287,'Informations sur les produits'!$A$3:$H$10000,8,FALSE),"0")</f>
        <v>0</v>
      </c>
      <c r="N14287" s="8"/>
      <c r="O14287" s="33" t="str">
        <f>IFERROR(VLOOKUP($M14287,'Informations sur les produits'!$A$3:$H$10000,8,FALSE),"0")</f>
        <v>0</v>
      </c>
      <c r="P14287" s="33">
        <f t="shared" si="892"/>
        <v>0</v>
      </c>
      <c r="Q14287" s="31" t="str">
        <f t="shared" si="893"/>
        <v/>
      </c>
      <c r="R14287" s="32" t="str">
        <f>IFERROR(VLOOKUP($D14287,'Informations sur les produits'!$A$3:$B$15000,2,FALSE),"")</f>
        <v/>
      </c>
      <c r="V14287">
        <f t="shared" si="894"/>
        <v>0</v>
      </c>
      <c r="W14287">
        <f t="shared" si="895"/>
        <v>0</v>
      </c>
    </row>
    <row r="14288" spans="5:23" x14ac:dyDescent="0.25">
      <c r="E14288" s="4"/>
      <c r="F14288" s="4"/>
      <c r="G14288" s="33" t="str">
        <f>IFERROR(VLOOKUP($D14288,'Informations sur les produits'!$A$3:$H$10000,8,FALSE),"0")</f>
        <v>0</v>
      </c>
      <c r="K14288" s="4"/>
      <c r="L14288" s="33" t="str">
        <f>IFERROR(VLOOKUP($J14288,'Informations sur les produits'!$A$3:$H$10000,8,FALSE),"0")</f>
        <v>0</v>
      </c>
      <c r="N14288" s="8"/>
      <c r="O14288" s="33" t="str">
        <f>IFERROR(VLOOKUP($M14288,'Informations sur les produits'!$A$3:$H$10000,8,FALSE),"0")</f>
        <v>0</v>
      </c>
      <c r="P14288" s="33">
        <f t="shared" si="892"/>
        <v>0</v>
      </c>
      <c r="Q14288" s="31" t="str">
        <f t="shared" si="893"/>
        <v/>
      </c>
      <c r="R14288" s="32" t="str">
        <f>IFERROR(VLOOKUP($D14288,'Informations sur les produits'!$A$3:$B$15000,2,FALSE),"")</f>
        <v/>
      </c>
      <c r="V14288">
        <f t="shared" si="894"/>
        <v>0</v>
      </c>
      <c r="W14288">
        <f t="shared" si="895"/>
        <v>0</v>
      </c>
    </row>
    <row r="14289" spans="5:23" x14ac:dyDescent="0.25">
      <c r="E14289" s="4"/>
      <c r="F14289" s="4"/>
      <c r="G14289" s="33" t="str">
        <f>IFERROR(VLOOKUP($D14289,'Informations sur les produits'!$A$3:$H$10000,8,FALSE),"0")</f>
        <v>0</v>
      </c>
      <c r="K14289" s="4"/>
      <c r="L14289" s="33" t="str">
        <f>IFERROR(VLOOKUP($J14289,'Informations sur les produits'!$A$3:$H$10000,8,FALSE),"0")</f>
        <v>0</v>
      </c>
      <c r="N14289" s="8"/>
      <c r="O14289" s="33" t="str">
        <f>IFERROR(VLOOKUP($M14289,'Informations sur les produits'!$A$3:$H$10000,8,FALSE),"0")</f>
        <v>0</v>
      </c>
      <c r="P14289" s="33">
        <f t="shared" si="892"/>
        <v>0</v>
      </c>
      <c r="Q14289" s="31" t="str">
        <f t="shared" si="893"/>
        <v/>
      </c>
      <c r="R14289" s="32" t="str">
        <f>IFERROR(VLOOKUP($D14289,'Informations sur les produits'!$A$3:$B$15000,2,FALSE),"")</f>
        <v/>
      </c>
      <c r="V14289">
        <f t="shared" si="894"/>
        <v>0</v>
      </c>
      <c r="W14289">
        <f t="shared" si="895"/>
        <v>0</v>
      </c>
    </row>
    <row r="14290" spans="5:23" x14ac:dyDescent="0.25">
      <c r="E14290" s="4"/>
      <c r="F14290" s="4"/>
      <c r="G14290" s="33" t="str">
        <f>IFERROR(VLOOKUP($D14290,'Informations sur les produits'!$A$3:$H$10000,8,FALSE),"0")</f>
        <v>0</v>
      </c>
      <c r="K14290" s="4"/>
      <c r="L14290" s="33" t="str">
        <f>IFERROR(VLOOKUP($J14290,'Informations sur les produits'!$A$3:$H$10000,8,FALSE),"0")</f>
        <v>0</v>
      </c>
      <c r="N14290" s="8"/>
      <c r="O14290" s="33" t="str">
        <f>IFERROR(VLOOKUP($M14290,'Informations sur les produits'!$A$3:$H$10000,8,FALSE),"0")</f>
        <v>0</v>
      </c>
      <c r="P14290" s="33">
        <f t="shared" si="892"/>
        <v>0</v>
      </c>
      <c r="Q14290" s="31" t="str">
        <f t="shared" si="893"/>
        <v/>
      </c>
      <c r="R14290" s="32" t="str">
        <f>IFERROR(VLOOKUP($D14290,'Informations sur les produits'!$A$3:$B$15000,2,FALSE),"")</f>
        <v/>
      </c>
      <c r="V14290">
        <f t="shared" si="894"/>
        <v>0</v>
      </c>
      <c r="W14290">
        <f t="shared" si="895"/>
        <v>0</v>
      </c>
    </row>
    <row r="14291" spans="5:23" x14ac:dyDescent="0.25">
      <c r="E14291" s="4"/>
      <c r="F14291" s="4"/>
      <c r="G14291" s="33" t="str">
        <f>IFERROR(VLOOKUP($D14291,'Informations sur les produits'!$A$3:$H$10000,8,FALSE),"0")</f>
        <v>0</v>
      </c>
      <c r="K14291" s="4"/>
      <c r="L14291" s="33" t="str">
        <f>IFERROR(VLOOKUP($J14291,'Informations sur les produits'!$A$3:$H$10000,8,FALSE),"0")</f>
        <v>0</v>
      </c>
      <c r="N14291" s="8"/>
      <c r="O14291" s="33" t="str">
        <f>IFERROR(VLOOKUP($M14291,'Informations sur les produits'!$A$3:$H$10000,8,FALSE),"0")</f>
        <v>0</v>
      </c>
      <c r="P14291" s="33">
        <f t="shared" si="892"/>
        <v>0</v>
      </c>
      <c r="Q14291" s="31" t="str">
        <f t="shared" si="893"/>
        <v/>
      </c>
      <c r="R14291" s="32" t="str">
        <f>IFERROR(VLOOKUP($D14291,'Informations sur les produits'!$A$3:$B$15000,2,FALSE),"")</f>
        <v/>
      </c>
      <c r="V14291">
        <f t="shared" si="894"/>
        <v>0</v>
      </c>
      <c r="W14291">
        <f t="shared" si="895"/>
        <v>0</v>
      </c>
    </row>
    <row r="14292" spans="5:23" x14ac:dyDescent="0.25">
      <c r="E14292" s="4"/>
      <c r="F14292" s="4"/>
      <c r="G14292" s="33" t="str">
        <f>IFERROR(VLOOKUP($D14292,'Informations sur les produits'!$A$3:$H$10000,8,FALSE),"0")</f>
        <v>0</v>
      </c>
      <c r="K14292" s="4"/>
      <c r="L14292" s="33" t="str">
        <f>IFERROR(VLOOKUP($J14292,'Informations sur les produits'!$A$3:$H$10000,8,FALSE),"0")</f>
        <v>0</v>
      </c>
      <c r="N14292" s="8"/>
      <c r="O14292" s="33" t="str">
        <f>IFERROR(VLOOKUP($M14292,'Informations sur les produits'!$A$3:$H$10000,8,FALSE),"0")</f>
        <v>0</v>
      </c>
      <c r="P14292" s="33">
        <f t="shared" si="892"/>
        <v>0</v>
      </c>
      <c r="Q14292" s="31" t="str">
        <f t="shared" si="893"/>
        <v/>
      </c>
      <c r="R14292" s="32" t="str">
        <f>IFERROR(VLOOKUP($D14292,'Informations sur les produits'!$A$3:$B$15000,2,FALSE),"")</f>
        <v/>
      </c>
      <c r="V14292">
        <f t="shared" si="894"/>
        <v>0</v>
      </c>
      <c r="W14292">
        <f t="shared" si="895"/>
        <v>0</v>
      </c>
    </row>
    <row r="14293" spans="5:23" x14ac:dyDescent="0.25">
      <c r="E14293" s="4"/>
      <c r="F14293" s="4"/>
      <c r="G14293" s="33" t="str">
        <f>IFERROR(VLOOKUP($D14293,'Informations sur les produits'!$A$3:$H$10000,8,FALSE),"0")</f>
        <v>0</v>
      </c>
      <c r="K14293" s="4"/>
      <c r="L14293" s="33" t="str">
        <f>IFERROR(VLOOKUP($J14293,'Informations sur les produits'!$A$3:$H$10000,8,FALSE),"0")</f>
        <v>0</v>
      </c>
      <c r="N14293" s="8"/>
      <c r="O14293" s="33" t="str">
        <f>IFERROR(VLOOKUP($M14293,'Informations sur les produits'!$A$3:$H$10000,8,FALSE),"0")</f>
        <v>0</v>
      </c>
      <c r="P14293" s="33">
        <f t="shared" si="892"/>
        <v>0</v>
      </c>
      <c r="Q14293" s="31" t="str">
        <f t="shared" si="893"/>
        <v/>
      </c>
      <c r="R14293" s="32" t="str">
        <f>IFERROR(VLOOKUP($D14293,'Informations sur les produits'!$A$3:$B$15000,2,FALSE),"")</f>
        <v/>
      </c>
      <c r="V14293">
        <f t="shared" si="894"/>
        <v>0</v>
      </c>
      <c r="W14293">
        <f t="shared" si="895"/>
        <v>0</v>
      </c>
    </row>
    <row r="14294" spans="5:23" x14ac:dyDescent="0.25">
      <c r="E14294" s="4"/>
      <c r="F14294" s="4"/>
      <c r="G14294" s="33" t="str">
        <f>IFERROR(VLOOKUP($D14294,'Informations sur les produits'!$A$3:$H$10000,8,FALSE),"0")</f>
        <v>0</v>
      </c>
      <c r="K14294" s="4"/>
      <c r="L14294" s="33" t="str">
        <f>IFERROR(VLOOKUP($J14294,'Informations sur les produits'!$A$3:$H$10000,8,FALSE),"0")</f>
        <v>0</v>
      </c>
      <c r="N14294" s="8"/>
      <c r="O14294" s="33" t="str">
        <f>IFERROR(VLOOKUP($M14294,'Informations sur les produits'!$A$3:$H$10000,8,FALSE),"0")</f>
        <v>0</v>
      </c>
      <c r="P14294" s="33">
        <f t="shared" si="892"/>
        <v>0</v>
      </c>
      <c r="Q14294" s="31" t="str">
        <f t="shared" si="893"/>
        <v/>
      </c>
      <c r="R14294" s="32" t="str">
        <f>IFERROR(VLOOKUP($D14294,'Informations sur les produits'!$A$3:$B$15000,2,FALSE),"")</f>
        <v/>
      </c>
      <c r="V14294">
        <f t="shared" si="894"/>
        <v>0</v>
      </c>
      <c r="W14294">
        <f t="shared" si="895"/>
        <v>0</v>
      </c>
    </row>
    <row r="14295" spans="5:23" x14ac:dyDescent="0.25">
      <c r="E14295" s="4"/>
      <c r="F14295" s="4"/>
      <c r="G14295" s="33" t="str">
        <f>IFERROR(VLOOKUP($D14295,'Informations sur les produits'!$A$3:$H$10000,8,FALSE),"0")</f>
        <v>0</v>
      </c>
      <c r="K14295" s="4"/>
      <c r="L14295" s="33" t="str">
        <f>IFERROR(VLOOKUP($J14295,'Informations sur les produits'!$A$3:$H$10000,8,FALSE),"0")</f>
        <v>0</v>
      </c>
      <c r="N14295" s="8"/>
      <c r="O14295" s="33" t="str">
        <f>IFERROR(VLOOKUP($M14295,'Informations sur les produits'!$A$3:$H$10000,8,FALSE),"0")</f>
        <v>0</v>
      </c>
      <c r="P14295" s="33">
        <f t="shared" si="892"/>
        <v>0</v>
      </c>
      <c r="Q14295" s="31" t="str">
        <f t="shared" si="893"/>
        <v/>
      </c>
      <c r="R14295" s="32" t="str">
        <f>IFERROR(VLOOKUP($D14295,'Informations sur les produits'!$A$3:$B$15000,2,FALSE),"")</f>
        <v/>
      </c>
      <c r="V14295">
        <f t="shared" si="894"/>
        <v>0</v>
      </c>
      <c r="W14295">
        <f t="shared" si="895"/>
        <v>0</v>
      </c>
    </row>
    <row r="14296" spans="5:23" x14ac:dyDescent="0.25">
      <c r="E14296" s="4"/>
      <c r="F14296" s="4"/>
      <c r="G14296" s="33" t="str">
        <f>IFERROR(VLOOKUP($D14296,'Informations sur les produits'!$A$3:$H$10000,8,FALSE),"0")</f>
        <v>0</v>
      </c>
      <c r="K14296" s="4"/>
      <c r="L14296" s="33" t="str">
        <f>IFERROR(VLOOKUP($J14296,'Informations sur les produits'!$A$3:$H$10000,8,FALSE),"0")</f>
        <v>0</v>
      </c>
      <c r="N14296" s="8"/>
      <c r="O14296" s="33" t="str">
        <f>IFERROR(VLOOKUP($M14296,'Informations sur les produits'!$A$3:$H$10000,8,FALSE),"0")</f>
        <v>0</v>
      </c>
      <c r="P14296" s="33">
        <f t="shared" si="892"/>
        <v>0</v>
      </c>
      <c r="Q14296" s="31" t="str">
        <f t="shared" si="893"/>
        <v/>
      </c>
      <c r="R14296" s="32" t="str">
        <f>IFERROR(VLOOKUP($D14296,'Informations sur les produits'!$A$3:$B$15000,2,FALSE),"")</f>
        <v/>
      </c>
      <c r="V14296">
        <f t="shared" si="894"/>
        <v>0</v>
      </c>
      <c r="W14296">
        <f t="shared" si="895"/>
        <v>0</v>
      </c>
    </row>
    <row r="14297" spans="5:23" x14ac:dyDescent="0.25">
      <c r="E14297" s="4"/>
      <c r="F14297" s="4"/>
      <c r="G14297" s="33" t="str">
        <f>IFERROR(VLOOKUP($D14297,'Informations sur les produits'!$A$3:$H$10000,8,FALSE),"0")</f>
        <v>0</v>
      </c>
      <c r="K14297" s="4"/>
      <c r="L14297" s="33" t="str">
        <f>IFERROR(VLOOKUP($J14297,'Informations sur les produits'!$A$3:$H$10000,8,FALSE),"0")</f>
        <v>0</v>
      </c>
      <c r="N14297" s="8"/>
      <c r="O14297" s="33" t="str">
        <f>IFERROR(VLOOKUP($M14297,'Informations sur les produits'!$A$3:$H$10000,8,FALSE),"0")</f>
        <v>0</v>
      </c>
      <c r="P14297" s="33">
        <f t="shared" si="892"/>
        <v>0</v>
      </c>
      <c r="Q14297" s="31" t="str">
        <f t="shared" si="893"/>
        <v/>
      </c>
      <c r="R14297" s="32" t="str">
        <f>IFERROR(VLOOKUP($D14297,'Informations sur les produits'!$A$3:$B$15000,2,FALSE),"")</f>
        <v/>
      </c>
      <c r="V14297">
        <f t="shared" si="894"/>
        <v>0</v>
      </c>
      <c r="W14297">
        <f t="shared" si="895"/>
        <v>0</v>
      </c>
    </row>
    <row r="14298" spans="5:23" x14ac:dyDescent="0.25">
      <c r="E14298" s="4"/>
      <c r="F14298" s="4"/>
      <c r="G14298" s="33" t="str">
        <f>IFERROR(VLOOKUP($D14298,'Informations sur les produits'!$A$3:$H$10000,8,FALSE),"0")</f>
        <v>0</v>
      </c>
      <c r="K14298" s="4"/>
      <c r="L14298" s="33" t="str">
        <f>IFERROR(VLOOKUP($J14298,'Informations sur les produits'!$A$3:$H$10000,8,FALSE),"0")</f>
        <v>0</v>
      </c>
      <c r="N14298" s="8"/>
      <c r="O14298" s="33" t="str">
        <f>IFERROR(VLOOKUP($M14298,'Informations sur les produits'!$A$3:$H$10000,8,FALSE),"0")</f>
        <v>0</v>
      </c>
      <c r="P14298" s="33">
        <f t="shared" si="892"/>
        <v>0</v>
      </c>
      <c r="Q14298" s="31" t="str">
        <f t="shared" si="893"/>
        <v/>
      </c>
      <c r="R14298" s="32" t="str">
        <f>IFERROR(VLOOKUP($D14298,'Informations sur les produits'!$A$3:$B$15000,2,FALSE),"")</f>
        <v/>
      </c>
      <c r="V14298">
        <f t="shared" si="894"/>
        <v>0</v>
      </c>
      <c r="W14298">
        <f t="shared" si="895"/>
        <v>0</v>
      </c>
    </row>
    <row r="14299" spans="5:23" x14ac:dyDescent="0.25">
      <c r="E14299" s="4"/>
      <c r="F14299" s="4"/>
      <c r="G14299" s="33" t="str">
        <f>IFERROR(VLOOKUP($D14299,'Informations sur les produits'!$A$3:$H$10000,8,FALSE),"0")</f>
        <v>0</v>
      </c>
      <c r="K14299" s="4"/>
      <c r="L14299" s="33" t="str">
        <f>IFERROR(VLOOKUP($J14299,'Informations sur les produits'!$A$3:$H$10000,8,FALSE),"0")</f>
        <v>0</v>
      </c>
      <c r="N14299" s="8"/>
      <c r="O14299" s="33" t="str">
        <f>IFERROR(VLOOKUP($M14299,'Informations sur les produits'!$A$3:$H$10000,8,FALSE),"0")</f>
        <v>0</v>
      </c>
      <c r="P14299" s="33">
        <f t="shared" si="892"/>
        <v>0</v>
      </c>
      <c r="Q14299" s="31" t="str">
        <f t="shared" si="893"/>
        <v/>
      </c>
      <c r="R14299" s="32" t="str">
        <f>IFERROR(VLOOKUP($D14299,'Informations sur les produits'!$A$3:$B$15000,2,FALSE),"")</f>
        <v/>
      </c>
      <c r="V14299">
        <f t="shared" si="894"/>
        <v>0</v>
      </c>
      <c r="W14299">
        <f t="shared" si="895"/>
        <v>0</v>
      </c>
    </row>
    <row r="14300" spans="5:23" x14ac:dyDescent="0.25">
      <c r="E14300" s="4"/>
      <c r="F14300" s="4"/>
      <c r="G14300" s="33" t="str">
        <f>IFERROR(VLOOKUP($D14300,'Informations sur les produits'!$A$3:$H$10000,8,FALSE),"0")</f>
        <v>0</v>
      </c>
      <c r="K14300" s="4"/>
      <c r="L14300" s="33" t="str">
        <f>IFERROR(VLOOKUP($J14300,'Informations sur les produits'!$A$3:$H$10000,8,FALSE),"0")</f>
        <v>0</v>
      </c>
      <c r="N14300" s="8"/>
      <c r="O14300" s="33" t="str">
        <f>IFERROR(VLOOKUP($M14300,'Informations sur les produits'!$A$3:$H$10000,8,FALSE),"0")</f>
        <v>0</v>
      </c>
      <c r="P14300" s="33">
        <f t="shared" si="892"/>
        <v>0</v>
      </c>
      <c r="Q14300" s="31" t="str">
        <f t="shared" si="893"/>
        <v/>
      </c>
      <c r="R14300" s="32" t="str">
        <f>IFERROR(VLOOKUP($D14300,'Informations sur les produits'!$A$3:$B$15000,2,FALSE),"")</f>
        <v/>
      </c>
      <c r="V14300">
        <f t="shared" si="894"/>
        <v>0</v>
      </c>
      <c r="W14300">
        <f t="shared" si="895"/>
        <v>0</v>
      </c>
    </row>
    <row r="14301" spans="5:23" x14ac:dyDescent="0.25">
      <c r="E14301" s="4"/>
      <c r="F14301" s="4"/>
      <c r="G14301" s="33" t="str">
        <f>IFERROR(VLOOKUP($D14301,'Informations sur les produits'!$A$3:$H$10000,8,FALSE),"0")</f>
        <v>0</v>
      </c>
      <c r="K14301" s="4"/>
      <c r="L14301" s="33" t="str">
        <f>IFERROR(VLOOKUP($J14301,'Informations sur les produits'!$A$3:$H$10000,8,FALSE),"0")</f>
        <v>0</v>
      </c>
      <c r="N14301" s="8"/>
      <c r="O14301" s="33" t="str">
        <f>IFERROR(VLOOKUP($M14301,'Informations sur les produits'!$A$3:$H$10000,8,FALSE),"0")</f>
        <v>0</v>
      </c>
      <c r="P14301" s="33">
        <f t="shared" si="892"/>
        <v>0</v>
      </c>
      <c r="Q14301" s="31" t="str">
        <f t="shared" si="893"/>
        <v/>
      </c>
      <c r="R14301" s="32" t="str">
        <f>IFERROR(VLOOKUP($D14301,'Informations sur les produits'!$A$3:$B$15000,2,FALSE),"")</f>
        <v/>
      </c>
      <c r="V14301">
        <f t="shared" si="894"/>
        <v>0</v>
      </c>
      <c r="W14301">
        <f t="shared" si="895"/>
        <v>0</v>
      </c>
    </row>
    <row r="14302" spans="5:23" x14ac:dyDescent="0.25">
      <c r="E14302" s="4"/>
      <c r="F14302" s="4"/>
      <c r="G14302" s="33" t="str">
        <f>IFERROR(VLOOKUP($D14302,'Informations sur les produits'!$A$3:$H$10000,8,FALSE),"0")</f>
        <v>0</v>
      </c>
      <c r="K14302" s="4"/>
      <c r="L14302" s="33" t="str">
        <f>IFERROR(VLOOKUP($J14302,'Informations sur les produits'!$A$3:$H$10000,8,FALSE),"0")</f>
        <v>0</v>
      </c>
      <c r="N14302" s="8"/>
      <c r="O14302" s="33" t="str">
        <f>IFERROR(VLOOKUP($M14302,'Informations sur les produits'!$A$3:$H$10000,8,FALSE),"0")</f>
        <v>0</v>
      </c>
      <c r="P14302" s="33">
        <f t="shared" si="892"/>
        <v>0</v>
      </c>
      <c r="Q14302" s="31" t="str">
        <f t="shared" si="893"/>
        <v/>
      </c>
      <c r="R14302" s="32" t="str">
        <f>IFERROR(VLOOKUP($D14302,'Informations sur les produits'!$A$3:$B$15000,2,FALSE),"")</f>
        <v/>
      </c>
      <c r="V14302">
        <f t="shared" si="894"/>
        <v>0</v>
      </c>
      <c r="W14302">
        <f t="shared" si="895"/>
        <v>0</v>
      </c>
    </row>
    <row r="14303" spans="5:23" x14ac:dyDescent="0.25">
      <c r="E14303" s="4"/>
      <c r="F14303" s="4"/>
      <c r="G14303" s="33" t="str">
        <f>IFERROR(VLOOKUP($D14303,'Informations sur les produits'!$A$3:$H$10000,8,FALSE),"0")</f>
        <v>0</v>
      </c>
      <c r="K14303" s="4"/>
      <c r="L14303" s="33" t="str">
        <f>IFERROR(VLOOKUP($J14303,'Informations sur les produits'!$A$3:$H$10000,8,FALSE),"0")</f>
        <v>0</v>
      </c>
      <c r="N14303" s="8"/>
      <c r="O14303" s="33" t="str">
        <f>IFERROR(VLOOKUP($M14303,'Informations sur les produits'!$A$3:$H$10000,8,FALSE),"0")</f>
        <v>0</v>
      </c>
      <c r="P14303" s="33">
        <f t="shared" si="892"/>
        <v>0</v>
      </c>
      <c r="Q14303" s="31" t="str">
        <f t="shared" si="893"/>
        <v/>
      </c>
      <c r="R14303" s="32" t="str">
        <f>IFERROR(VLOOKUP($D14303,'Informations sur les produits'!$A$3:$B$15000,2,FALSE),"")</f>
        <v/>
      </c>
      <c r="V14303">
        <f t="shared" si="894"/>
        <v>0</v>
      </c>
      <c r="W14303">
        <f t="shared" si="895"/>
        <v>0</v>
      </c>
    </row>
    <row r="14304" spans="5:23" x14ac:dyDescent="0.25">
      <c r="E14304" s="4"/>
      <c r="F14304" s="4"/>
      <c r="G14304" s="33" t="str">
        <f>IFERROR(VLOOKUP($D14304,'Informations sur les produits'!$A$3:$H$10000,8,FALSE),"0")</f>
        <v>0</v>
      </c>
      <c r="K14304" s="4"/>
      <c r="L14304" s="33" t="str">
        <f>IFERROR(VLOOKUP($J14304,'Informations sur les produits'!$A$3:$H$10000,8,FALSE),"0")</f>
        <v>0</v>
      </c>
      <c r="N14304" s="8"/>
      <c r="O14304" s="33" t="str">
        <f>IFERROR(VLOOKUP($M14304,'Informations sur les produits'!$A$3:$H$10000,8,FALSE),"0")</f>
        <v>0</v>
      </c>
      <c r="P14304" s="33">
        <f t="shared" si="892"/>
        <v>0</v>
      </c>
      <c r="Q14304" s="31" t="str">
        <f t="shared" si="893"/>
        <v/>
      </c>
      <c r="R14304" s="32" t="str">
        <f>IFERROR(VLOOKUP($D14304,'Informations sur les produits'!$A$3:$B$15000,2,FALSE),"")</f>
        <v/>
      </c>
      <c r="V14304">
        <f t="shared" si="894"/>
        <v>0</v>
      </c>
      <c r="W14304">
        <f t="shared" si="895"/>
        <v>0</v>
      </c>
    </row>
    <row r="14305" spans="5:23" x14ac:dyDescent="0.25">
      <c r="E14305" s="4"/>
      <c r="F14305" s="4"/>
      <c r="G14305" s="33" t="str">
        <f>IFERROR(VLOOKUP($D14305,'Informations sur les produits'!$A$3:$H$10000,8,FALSE),"0")</f>
        <v>0</v>
      </c>
      <c r="K14305" s="4"/>
      <c r="L14305" s="33" t="str">
        <f>IFERROR(VLOOKUP($J14305,'Informations sur les produits'!$A$3:$H$10000,8,FALSE),"0")</f>
        <v>0</v>
      </c>
      <c r="N14305" s="8"/>
      <c r="O14305" s="33" t="str">
        <f>IFERROR(VLOOKUP($M14305,'Informations sur les produits'!$A$3:$H$10000,8,FALSE),"0")</f>
        <v>0</v>
      </c>
      <c r="P14305" s="33">
        <f t="shared" si="892"/>
        <v>0</v>
      </c>
      <c r="Q14305" s="31" t="str">
        <f t="shared" si="893"/>
        <v/>
      </c>
      <c r="R14305" s="32" t="str">
        <f>IFERROR(VLOOKUP($D14305,'Informations sur les produits'!$A$3:$B$15000,2,FALSE),"")</f>
        <v/>
      </c>
      <c r="V14305">
        <f t="shared" si="894"/>
        <v>0</v>
      </c>
      <c r="W14305">
        <f t="shared" si="895"/>
        <v>0</v>
      </c>
    </row>
    <row r="14306" spans="5:23" x14ac:dyDescent="0.25">
      <c r="E14306" s="4"/>
      <c r="F14306" s="4"/>
      <c r="G14306" s="33" t="str">
        <f>IFERROR(VLOOKUP($D14306,'Informations sur les produits'!$A$3:$H$10000,8,FALSE),"0")</f>
        <v>0</v>
      </c>
      <c r="K14306" s="4"/>
      <c r="L14306" s="33" t="str">
        <f>IFERROR(VLOOKUP($J14306,'Informations sur les produits'!$A$3:$H$10000,8,FALSE),"0")</f>
        <v>0</v>
      </c>
      <c r="N14306" s="8"/>
      <c r="O14306" s="33" t="str">
        <f>IFERROR(VLOOKUP($M14306,'Informations sur les produits'!$A$3:$H$10000,8,FALSE),"0")</f>
        <v>0</v>
      </c>
      <c r="P14306" s="33">
        <f t="shared" si="892"/>
        <v>0</v>
      </c>
      <c r="Q14306" s="31" t="str">
        <f t="shared" si="893"/>
        <v/>
      </c>
      <c r="R14306" s="32" t="str">
        <f>IFERROR(VLOOKUP($D14306,'Informations sur les produits'!$A$3:$B$15000,2,FALSE),"")</f>
        <v/>
      </c>
      <c r="V14306">
        <f t="shared" si="894"/>
        <v>0</v>
      </c>
      <c r="W14306">
        <f t="shared" si="895"/>
        <v>0</v>
      </c>
    </row>
    <row r="14307" spans="5:23" x14ac:dyDescent="0.25">
      <c r="E14307" s="4"/>
      <c r="F14307" s="4"/>
      <c r="G14307" s="33" t="str">
        <f>IFERROR(VLOOKUP($D14307,'Informations sur les produits'!$A$3:$H$10000,8,FALSE),"0")</f>
        <v>0</v>
      </c>
      <c r="K14307" s="4"/>
      <c r="L14307" s="33" t="str">
        <f>IFERROR(VLOOKUP($J14307,'Informations sur les produits'!$A$3:$H$10000,8,FALSE),"0")</f>
        <v>0</v>
      </c>
      <c r="N14307" s="8"/>
      <c r="O14307" s="33" t="str">
        <f>IFERROR(VLOOKUP($M14307,'Informations sur les produits'!$A$3:$H$10000,8,FALSE),"0")</f>
        <v>0</v>
      </c>
      <c r="P14307" s="33">
        <f t="shared" si="892"/>
        <v>0</v>
      </c>
      <c r="Q14307" s="31" t="str">
        <f t="shared" si="893"/>
        <v/>
      </c>
      <c r="R14307" s="32" t="str">
        <f>IFERROR(VLOOKUP($D14307,'Informations sur les produits'!$A$3:$B$15000,2,FALSE),"")</f>
        <v/>
      </c>
      <c r="V14307">
        <f t="shared" si="894"/>
        <v>0</v>
      </c>
      <c r="W14307">
        <f t="shared" si="895"/>
        <v>0</v>
      </c>
    </row>
    <row r="14308" spans="5:23" x14ac:dyDescent="0.25">
      <c r="E14308" s="4"/>
      <c r="F14308" s="4"/>
      <c r="G14308" s="33" t="str">
        <f>IFERROR(VLOOKUP($D14308,'Informations sur les produits'!$A$3:$H$10000,8,FALSE),"0")</f>
        <v>0</v>
      </c>
      <c r="K14308" s="4"/>
      <c r="L14308" s="33" t="str">
        <f>IFERROR(VLOOKUP($J14308,'Informations sur les produits'!$A$3:$H$10000,8,FALSE),"0")</f>
        <v>0</v>
      </c>
      <c r="N14308" s="8"/>
      <c r="O14308" s="33" t="str">
        <f>IFERROR(VLOOKUP($M14308,'Informations sur les produits'!$A$3:$H$10000,8,FALSE),"0")</f>
        <v>0</v>
      </c>
      <c r="P14308" s="33">
        <f t="shared" si="892"/>
        <v>0</v>
      </c>
      <c r="Q14308" s="31" t="str">
        <f t="shared" si="893"/>
        <v/>
      </c>
      <c r="R14308" s="32" t="str">
        <f>IFERROR(VLOOKUP($D14308,'Informations sur les produits'!$A$3:$B$15000,2,FALSE),"")</f>
        <v/>
      </c>
      <c r="V14308">
        <f t="shared" si="894"/>
        <v>0</v>
      </c>
      <c r="W14308">
        <f t="shared" si="895"/>
        <v>0</v>
      </c>
    </row>
    <row r="14309" spans="5:23" x14ac:dyDescent="0.25">
      <c r="E14309" s="4"/>
      <c r="F14309" s="4"/>
      <c r="G14309" s="33" t="str">
        <f>IFERROR(VLOOKUP($D14309,'Informations sur les produits'!$A$3:$H$10000,8,FALSE),"0")</f>
        <v>0</v>
      </c>
      <c r="K14309" s="4"/>
      <c r="L14309" s="33" t="str">
        <f>IFERROR(VLOOKUP($J14309,'Informations sur les produits'!$A$3:$H$10000,8,FALSE),"0")</f>
        <v>0</v>
      </c>
      <c r="N14309" s="8"/>
      <c r="O14309" s="33" t="str">
        <f>IFERROR(VLOOKUP($M14309,'Informations sur les produits'!$A$3:$H$10000,8,FALSE),"0")</f>
        <v>0</v>
      </c>
      <c r="P14309" s="33">
        <f t="shared" si="892"/>
        <v>0</v>
      </c>
      <c r="Q14309" s="31" t="str">
        <f t="shared" si="893"/>
        <v/>
      </c>
      <c r="R14309" s="32" t="str">
        <f>IFERROR(VLOOKUP($D14309,'Informations sur les produits'!$A$3:$B$15000,2,FALSE),"")</f>
        <v/>
      </c>
      <c r="V14309">
        <f t="shared" si="894"/>
        <v>0</v>
      </c>
      <c r="W14309">
        <f t="shared" si="895"/>
        <v>0</v>
      </c>
    </row>
    <row r="14310" spans="5:23" x14ac:dyDescent="0.25">
      <c r="E14310" s="4"/>
      <c r="F14310" s="4"/>
      <c r="G14310" s="33" t="str">
        <f>IFERROR(VLOOKUP($D14310,'Informations sur les produits'!$A$3:$H$10000,8,FALSE),"0")</f>
        <v>0</v>
      </c>
      <c r="K14310" s="4"/>
      <c r="L14310" s="33" t="str">
        <f>IFERROR(VLOOKUP($J14310,'Informations sur les produits'!$A$3:$H$10000,8,FALSE),"0")</f>
        <v>0</v>
      </c>
      <c r="N14310" s="8"/>
      <c r="O14310" s="33" t="str">
        <f>IFERROR(VLOOKUP($M14310,'Informations sur les produits'!$A$3:$H$10000,8,FALSE),"0")</f>
        <v>0</v>
      </c>
      <c r="P14310" s="33">
        <f t="shared" si="892"/>
        <v>0</v>
      </c>
      <c r="Q14310" s="31" t="str">
        <f t="shared" si="893"/>
        <v/>
      </c>
      <c r="R14310" s="32" t="str">
        <f>IFERROR(VLOOKUP($D14310,'Informations sur les produits'!$A$3:$B$15000,2,FALSE),"")</f>
        <v/>
      </c>
      <c r="V14310">
        <f t="shared" si="894"/>
        <v>0</v>
      </c>
      <c r="W14310">
        <f t="shared" si="895"/>
        <v>0</v>
      </c>
    </row>
    <row r="14311" spans="5:23" x14ac:dyDescent="0.25">
      <c r="E14311" s="4"/>
      <c r="F14311" s="4"/>
      <c r="G14311" s="33" t="str">
        <f>IFERROR(VLOOKUP($D14311,'Informations sur les produits'!$A$3:$H$10000,8,FALSE),"0")</f>
        <v>0</v>
      </c>
      <c r="K14311" s="4"/>
      <c r="L14311" s="33" t="str">
        <f>IFERROR(VLOOKUP($J14311,'Informations sur les produits'!$A$3:$H$10000,8,FALSE),"0")</f>
        <v>0</v>
      </c>
      <c r="N14311" s="8"/>
      <c r="O14311" s="33" t="str">
        <f>IFERROR(VLOOKUP($M14311,'Informations sur les produits'!$A$3:$H$10000,8,FALSE),"0")</f>
        <v>0</v>
      </c>
      <c r="P14311" s="33">
        <f t="shared" si="892"/>
        <v>0</v>
      </c>
      <c r="Q14311" s="31" t="str">
        <f t="shared" si="893"/>
        <v/>
      </c>
      <c r="R14311" s="32" t="str">
        <f>IFERROR(VLOOKUP($D14311,'Informations sur les produits'!$A$3:$B$15000,2,FALSE),"")</f>
        <v/>
      </c>
      <c r="V14311">
        <f t="shared" si="894"/>
        <v>0</v>
      </c>
      <c r="W14311">
        <f t="shared" si="895"/>
        <v>0</v>
      </c>
    </row>
    <row r="14312" spans="5:23" x14ac:dyDescent="0.25">
      <c r="E14312" s="4"/>
      <c r="F14312" s="4"/>
      <c r="G14312" s="33" t="str">
        <f>IFERROR(VLOOKUP($D14312,'Informations sur les produits'!$A$3:$H$10000,8,FALSE),"0")</f>
        <v>0</v>
      </c>
      <c r="K14312" s="4"/>
      <c r="L14312" s="33" t="str">
        <f>IFERROR(VLOOKUP($J14312,'Informations sur les produits'!$A$3:$H$10000,8,FALSE),"0")</f>
        <v>0</v>
      </c>
      <c r="N14312" s="8"/>
      <c r="O14312" s="33" t="str">
        <f>IFERROR(VLOOKUP($M14312,'Informations sur les produits'!$A$3:$H$10000,8,FALSE),"0")</f>
        <v>0</v>
      </c>
      <c r="P14312" s="33">
        <f t="shared" si="892"/>
        <v>0</v>
      </c>
      <c r="Q14312" s="31" t="str">
        <f t="shared" si="893"/>
        <v/>
      </c>
      <c r="R14312" s="32" t="str">
        <f>IFERROR(VLOOKUP($D14312,'Informations sur les produits'!$A$3:$B$15000,2,FALSE),"")</f>
        <v/>
      </c>
      <c r="V14312">
        <f t="shared" si="894"/>
        <v>0</v>
      </c>
      <c r="W14312">
        <f t="shared" si="895"/>
        <v>0</v>
      </c>
    </row>
    <row r="14313" spans="5:23" x14ac:dyDescent="0.25">
      <c r="E14313" s="4"/>
      <c r="F14313" s="4"/>
      <c r="G14313" s="33" t="str">
        <f>IFERROR(VLOOKUP($D14313,'Informations sur les produits'!$A$3:$H$10000,8,FALSE),"0")</f>
        <v>0</v>
      </c>
      <c r="K14313" s="4"/>
      <c r="L14313" s="33" t="str">
        <f>IFERROR(VLOOKUP($J14313,'Informations sur les produits'!$A$3:$H$10000,8,FALSE),"0")</f>
        <v>0</v>
      </c>
      <c r="N14313" s="8"/>
      <c r="O14313" s="33" t="str">
        <f>IFERROR(VLOOKUP($M14313,'Informations sur les produits'!$A$3:$H$10000,8,FALSE),"0")</f>
        <v>0</v>
      </c>
      <c r="P14313" s="33">
        <f t="shared" si="892"/>
        <v>0</v>
      </c>
      <c r="Q14313" s="31" t="str">
        <f t="shared" si="893"/>
        <v/>
      </c>
      <c r="R14313" s="32" t="str">
        <f>IFERROR(VLOOKUP($D14313,'Informations sur les produits'!$A$3:$B$15000,2,FALSE),"")</f>
        <v/>
      </c>
      <c r="V14313">
        <f t="shared" si="894"/>
        <v>0</v>
      </c>
      <c r="W14313">
        <f t="shared" si="895"/>
        <v>0</v>
      </c>
    </row>
    <row r="14314" spans="5:23" x14ac:dyDescent="0.25">
      <c r="E14314" s="4"/>
      <c r="F14314" s="4"/>
      <c r="G14314" s="33" t="str">
        <f>IFERROR(VLOOKUP($D14314,'Informations sur les produits'!$A$3:$H$10000,8,FALSE),"0")</f>
        <v>0</v>
      </c>
      <c r="K14314" s="4"/>
      <c r="L14314" s="33" t="str">
        <f>IFERROR(VLOOKUP($J14314,'Informations sur les produits'!$A$3:$H$10000,8,FALSE),"0")</f>
        <v>0</v>
      </c>
      <c r="N14314" s="8"/>
      <c r="O14314" s="33" t="str">
        <f>IFERROR(VLOOKUP($M14314,'Informations sur les produits'!$A$3:$H$10000,8,FALSE),"0")</f>
        <v>0</v>
      </c>
      <c r="P14314" s="33">
        <f t="shared" si="892"/>
        <v>0</v>
      </c>
      <c r="Q14314" s="31" t="str">
        <f t="shared" si="893"/>
        <v/>
      </c>
      <c r="R14314" s="32" t="str">
        <f>IFERROR(VLOOKUP($D14314,'Informations sur les produits'!$A$3:$B$15000,2,FALSE),"")</f>
        <v/>
      </c>
      <c r="V14314">
        <f t="shared" si="894"/>
        <v>0</v>
      </c>
      <c r="W14314">
        <f t="shared" si="895"/>
        <v>0</v>
      </c>
    </row>
    <row r="14315" spans="5:23" x14ac:dyDescent="0.25">
      <c r="E14315" s="4"/>
      <c r="F14315" s="4"/>
      <c r="G14315" s="33" t="str">
        <f>IFERROR(VLOOKUP($D14315,'Informations sur les produits'!$A$3:$H$10000,8,FALSE),"0")</f>
        <v>0</v>
      </c>
      <c r="K14315" s="4"/>
      <c r="L14315" s="33" t="str">
        <f>IFERROR(VLOOKUP($J14315,'Informations sur les produits'!$A$3:$H$10000,8,FALSE),"0")</f>
        <v>0</v>
      </c>
      <c r="N14315" s="8"/>
      <c r="O14315" s="33" t="str">
        <f>IFERROR(VLOOKUP($M14315,'Informations sur les produits'!$A$3:$H$10000,8,FALSE),"0")</f>
        <v>0</v>
      </c>
      <c r="P14315" s="33">
        <f t="shared" si="892"/>
        <v>0</v>
      </c>
      <c r="Q14315" s="31" t="str">
        <f t="shared" si="893"/>
        <v/>
      </c>
      <c r="R14315" s="32" t="str">
        <f>IFERROR(VLOOKUP($D14315,'Informations sur les produits'!$A$3:$B$15000,2,FALSE),"")</f>
        <v/>
      </c>
      <c r="V14315">
        <f t="shared" si="894"/>
        <v>0</v>
      </c>
      <c r="W14315">
        <f t="shared" si="895"/>
        <v>0</v>
      </c>
    </row>
    <row r="14316" spans="5:23" x14ac:dyDescent="0.25">
      <c r="E14316" s="4"/>
      <c r="F14316" s="4"/>
      <c r="G14316" s="33" t="str">
        <f>IFERROR(VLOOKUP($D14316,'Informations sur les produits'!$A$3:$H$10000,8,FALSE),"0")</f>
        <v>0</v>
      </c>
      <c r="K14316" s="4"/>
      <c r="L14316" s="33" t="str">
        <f>IFERROR(VLOOKUP($J14316,'Informations sur les produits'!$A$3:$H$10000,8,FALSE),"0")</f>
        <v>0</v>
      </c>
      <c r="N14316" s="8"/>
      <c r="O14316" s="33" t="str">
        <f>IFERROR(VLOOKUP($M14316,'Informations sur les produits'!$A$3:$H$10000,8,FALSE),"0")</f>
        <v>0</v>
      </c>
      <c r="P14316" s="33">
        <f t="shared" si="892"/>
        <v>0</v>
      </c>
      <c r="Q14316" s="31" t="str">
        <f t="shared" si="893"/>
        <v/>
      </c>
      <c r="R14316" s="32" t="str">
        <f>IFERROR(VLOOKUP($D14316,'Informations sur les produits'!$A$3:$B$15000,2,FALSE),"")</f>
        <v/>
      </c>
      <c r="V14316">
        <f t="shared" si="894"/>
        <v>0</v>
      </c>
      <c r="W14316">
        <f t="shared" si="895"/>
        <v>0</v>
      </c>
    </row>
    <row r="14317" spans="5:23" x14ac:dyDescent="0.25">
      <c r="E14317" s="4"/>
      <c r="F14317" s="4"/>
      <c r="G14317" s="33" t="str">
        <f>IFERROR(VLOOKUP($D14317,'Informations sur les produits'!$A$3:$H$10000,8,FALSE),"0")</f>
        <v>0</v>
      </c>
      <c r="K14317" s="4"/>
      <c r="L14317" s="33" t="str">
        <f>IFERROR(VLOOKUP($J14317,'Informations sur les produits'!$A$3:$H$10000,8,FALSE),"0")</f>
        <v>0</v>
      </c>
      <c r="N14317" s="8"/>
      <c r="O14317" s="33" t="str">
        <f>IFERROR(VLOOKUP($M14317,'Informations sur les produits'!$A$3:$H$10000,8,FALSE),"0")</f>
        <v>0</v>
      </c>
      <c r="P14317" s="33">
        <f t="shared" si="892"/>
        <v>0</v>
      </c>
      <c r="Q14317" s="31" t="str">
        <f t="shared" si="893"/>
        <v/>
      </c>
      <c r="R14317" s="32" t="str">
        <f>IFERROR(VLOOKUP($D14317,'Informations sur les produits'!$A$3:$B$15000,2,FALSE),"")</f>
        <v/>
      </c>
      <c r="V14317">
        <f t="shared" si="894"/>
        <v>0</v>
      </c>
      <c r="W14317">
        <f t="shared" si="895"/>
        <v>0</v>
      </c>
    </row>
    <row r="14318" spans="5:23" x14ac:dyDescent="0.25">
      <c r="E14318" s="4"/>
      <c r="F14318" s="4"/>
      <c r="G14318" s="33" t="str">
        <f>IFERROR(VLOOKUP($D14318,'Informations sur les produits'!$A$3:$H$10000,8,FALSE),"0")</f>
        <v>0</v>
      </c>
      <c r="K14318" s="4"/>
      <c r="L14318" s="33" t="str">
        <f>IFERROR(VLOOKUP($J14318,'Informations sur les produits'!$A$3:$H$10000,8,FALSE),"0")</f>
        <v>0</v>
      </c>
      <c r="N14318" s="8"/>
      <c r="O14318" s="33" t="str">
        <f>IFERROR(VLOOKUP($M14318,'Informations sur les produits'!$A$3:$H$10000,8,FALSE),"0")</f>
        <v>0</v>
      </c>
      <c r="P14318" s="33">
        <f t="shared" si="892"/>
        <v>0</v>
      </c>
      <c r="Q14318" s="31" t="str">
        <f t="shared" si="893"/>
        <v/>
      </c>
      <c r="R14318" s="32" t="str">
        <f>IFERROR(VLOOKUP($D14318,'Informations sur les produits'!$A$3:$B$15000,2,FALSE),"")</f>
        <v/>
      </c>
      <c r="V14318">
        <f t="shared" si="894"/>
        <v>0</v>
      </c>
      <c r="W14318">
        <f t="shared" si="895"/>
        <v>0</v>
      </c>
    </row>
    <row r="14319" spans="5:23" x14ac:dyDescent="0.25">
      <c r="E14319" s="4"/>
      <c r="F14319" s="4"/>
      <c r="G14319" s="33" t="str">
        <f>IFERROR(VLOOKUP($D14319,'Informations sur les produits'!$A$3:$H$10000,8,FALSE),"0")</f>
        <v>0</v>
      </c>
      <c r="K14319" s="4"/>
      <c r="L14319" s="33" t="str">
        <f>IFERROR(VLOOKUP($J14319,'Informations sur les produits'!$A$3:$H$10000,8,FALSE),"0")</f>
        <v>0</v>
      </c>
      <c r="N14319" s="8"/>
      <c r="O14319" s="33" t="str">
        <f>IFERROR(VLOOKUP($M14319,'Informations sur les produits'!$A$3:$H$10000,8,FALSE),"0")</f>
        <v>0</v>
      </c>
      <c r="P14319" s="33">
        <f t="shared" si="892"/>
        <v>0</v>
      </c>
      <c r="Q14319" s="31" t="str">
        <f t="shared" si="893"/>
        <v/>
      </c>
      <c r="R14319" s="32" t="str">
        <f>IFERROR(VLOOKUP($D14319,'Informations sur les produits'!$A$3:$B$15000,2,FALSE),"")</f>
        <v/>
      </c>
      <c r="V14319">
        <f t="shared" si="894"/>
        <v>0</v>
      </c>
      <c r="W14319">
        <f t="shared" si="895"/>
        <v>0</v>
      </c>
    </row>
    <row r="14320" spans="5:23" x14ac:dyDescent="0.25">
      <c r="E14320" s="4"/>
      <c r="F14320" s="4"/>
      <c r="G14320" s="33" t="str">
        <f>IFERROR(VLOOKUP($D14320,'Informations sur les produits'!$A$3:$H$10000,8,FALSE),"0")</f>
        <v>0</v>
      </c>
      <c r="K14320" s="4"/>
      <c r="L14320" s="33" t="str">
        <f>IFERROR(VLOOKUP($J14320,'Informations sur les produits'!$A$3:$H$10000,8,FALSE),"0")</f>
        <v>0</v>
      </c>
      <c r="N14320" s="8"/>
      <c r="O14320" s="33" t="str">
        <f>IFERROR(VLOOKUP($M14320,'Informations sur les produits'!$A$3:$H$10000,8,FALSE),"0")</f>
        <v>0</v>
      </c>
      <c r="P14320" s="33">
        <f t="shared" si="892"/>
        <v>0</v>
      </c>
      <c r="Q14320" s="31" t="str">
        <f t="shared" si="893"/>
        <v/>
      </c>
      <c r="R14320" s="32" t="str">
        <f>IFERROR(VLOOKUP($D14320,'Informations sur les produits'!$A$3:$B$15000,2,FALSE),"")</f>
        <v/>
      </c>
      <c r="V14320">
        <f t="shared" si="894"/>
        <v>0</v>
      </c>
      <c r="W14320">
        <f t="shared" si="895"/>
        <v>0</v>
      </c>
    </row>
    <row r="14321" spans="5:23" x14ac:dyDescent="0.25">
      <c r="E14321" s="4"/>
      <c r="F14321" s="4"/>
      <c r="G14321" s="33" t="str">
        <f>IFERROR(VLOOKUP($D14321,'Informations sur les produits'!$A$3:$H$10000,8,FALSE),"0")</f>
        <v>0</v>
      </c>
      <c r="K14321" s="4"/>
      <c r="L14321" s="33" t="str">
        <f>IFERROR(VLOOKUP($J14321,'Informations sur les produits'!$A$3:$H$10000,8,FALSE),"0")</f>
        <v>0</v>
      </c>
      <c r="N14321" s="8"/>
      <c r="O14321" s="33" t="str">
        <f>IFERROR(VLOOKUP($M14321,'Informations sur les produits'!$A$3:$H$10000,8,FALSE),"0")</f>
        <v>0</v>
      </c>
      <c r="P14321" s="33">
        <f t="shared" si="892"/>
        <v>0</v>
      </c>
      <c r="Q14321" s="31" t="str">
        <f t="shared" si="893"/>
        <v/>
      </c>
      <c r="R14321" s="32" t="str">
        <f>IFERROR(VLOOKUP($D14321,'Informations sur les produits'!$A$3:$B$15000,2,FALSE),"")</f>
        <v/>
      </c>
      <c r="V14321">
        <f t="shared" si="894"/>
        <v>0</v>
      </c>
      <c r="W14321">
        <f t="shared" si="895"/>
        <v>0</v>
      </c>
    </row>
    <row r="14322" spans="5:23" x14ac:dyDescent="0.25">
      <c r="E14322" s="4"/>
      <c r="F14322" s="4"/>
      <c r="G14322" s="33" t="str">
        <f>IFERROR(VLOOKUP($D14322,'Informations sur les produits'!$A$3:$H$10000,8,FALSE),"0")</f>
        <v>0</v>
      </c>
      <c r="K14322" s="4"/>
      <c r="L14322" s="33" t="str">
        <f>IFERROR(VLOOKUP($J14322,'Informations sur les produits'!$A$3:$H$10000,8,FALSE),"0")</f>
        <v>0</v>
      </c>
      <c r="N14322" s="8"/>
      <c r="O14322" s="33" t="str">
        <f>IFERROR(VLOOKUP($M14322,'Informations sur les produits'!$A$3:$H$10000,8,FALSE),"0")</f>
        <v>0</v>
      </c>
      <c r="P14322" s="33">
        <f t="shared" si="892"/>
        <v>0</v>
      </c>
      <c r="Q14322" s="31" t="str">
        <f t="shared" si="893"/>
        <v/>
      </c>
      <c r="R14322" s="32" t="str">
        <f>IFERROR(VLOOKUP($D14322,'Informations sur les produits'!$A$3:$B$15000,2,FALSE),"")</f>
        <v/>
      </c>
      <c r="V14322">
        <f t="shared" si="894"/>
        <v>0</v>
      </c>
      <c r="W14322">
        <f t="shared" si="895"/>
        <v>0</v>
      </c>
    </row>
    <row r="14323" spans="5:23" x14ac:dyDescent="0.25">
      <c r="E14323" s="4"/>
      <c r="F14323" s="4"/>
      <c r="G14323" s="33" t="str">
        <f>IFERROR(VLOOKUP($D14323,'Informations sur les produits'!$A$3:$H$10000,8,FALSE),"0")</f>
        <v>0</v>
      </c>
      <c r="K14323" s="4"/>
      <c r="L14323" s="33" t="str">
        <f>IFERROR(VLOOKUP($J14323,'Informations sur les produits'!$A$3:$H$10000,8,FALSE),"0")</f>
        <v>0</v>
      </c>
      <c r="N14323" s="8"/>
      <c r="O14323" s="33" t="str">
        <f>IFERROR(VLOOKUP($M14323,'Informations sur les produits'!$A$3:$H$10000,8,FALSE),"0")</f>
        <v>0</v>
      </c>
      <c r="P14323" s="33">
        <f t="shared" si="892"/>
        <v>0</v>
      </c>
      <c r="Q14323" s="31" t="str">
        <f t="shared" si="893"/>
        <v/>
      </c>
      <c r="R14323" s="32" t="str">
        <f>IFERROR(VLOOKUP($D14323,'Informations sur les produits'!$A$3:$B$15000,2,FALSE),"")</f>
        <v/>
      </c>
      <c r="V14323">
        <f t="shared" si="894"/>
        <v>0</v>
      </c>
      <c r="W14323">
        <f t="shared" si="895"/>
        <v>0</v>
      </c>
    </row>
    <row r="14324" spans="5:23" x14ac:dyDescent="0.25">
      <c r="E14324" s="4"/>
      <c r="F14324" s="4"/>
      <c r="G14324" s="33" t="str">
        <f>IFERROR(VLOOKUP($D14324,'Informations sur les produits'!$A$3:$H$10000,8,FALSE),"0")</f>
        <v>0</v>
      </c>
      <c r="K14324" s="4"/>
      <c r="L14324" s="33" t="str">
        <f>IFERROR(VLOOKUP($J14324,'Informations sur les produits'!$A$3:$H$10000,8,FALSE),"0")</f>
        <v>0</v>
      </c>
      <c r="N14324" s="8"/>
      <c r="O14324" s="33" t="str">
        <f>IFERROR(VLOOKUP($M14324,'Informations sur les produits'!$A$3:$H$10000,8,FALSE),"0")</f>
        <v>0</v>
      </c>
      <c r="P14324" s="33">
        <f t="shared" si="892"/>
        <v>0</v>
      </c>
      <c r="Q14324" s="31" t="str">
        <f t="shared" si="893"/>
        <v/>
      </c>
      <c r="R14324" s="32" t="str">
        <f>IFERROR(VLOOKUP($D14324,'Informations sur les produits'!$A$3:$B$15000,2,FALSE),"")</f>
        <v/>
      </c>
      <c r="V14324">
        <f t="shared" si="894"/>
        <v>0</v>
      </c>
      <c r="W14324">
        <f t="shared" si="895"/>
        <v>0</v>
      </c>
    </row>
    <row r="14325" spans="5:23" x14ac:dyDescent="0.25">
      <c r="E14325" s="4"/>
      <c r="F14325" s="4"/>
      <c r="G14325" s="33" t="str">
        <f>IFERROR(VLOOKUP($D14325,'Informations sur les produits'!$A$3:$H$10000,8,FALSE),"0")</f>
        <v>0</v>
      </c>
      <c r="K14325" s="4"/>
      <c r="L14325" s="33" t="str">
        <f>IFERROR(VLOOKUP($J14325,'Informations sur les produits'!$A$3:$H$10000,8,FALSE),"0")</f>
        <v>0</v>
      </c>
      <c r="N14325" s="8"/>
      <c r="O14325" s="33" t="str">
        <f>IFERROR(VLOOKUP($M14325,'Informations sur les produits'!$A$3:$H$10000,8,FALSE),"0")</f>
        <v>0</v>
      </c>
      <c r="P14325" s="33">
        <f t="shared" si="892"/>
        <v>0</v>
      </c>
      <c r="Q14325" s="31" t="str">
        <f t="shared" si="893"/>
        <v/>
      </c>
      <c r="R14325" s="32" t="str">
        <f>IFERROR(VLOOKUP($D14325,'Informations sur les produits'!$A$3:$B$15000,2,FALSE),"")</f>
        <v/>
      </c>
      <c r="V14325">
        <f t="shared" si="894"/>
        <v>0</v>
      </c>
      <c r="W14325">
        <f t="shared" si="895"/>
        <v>0</v>
      </c>
    </row>
    <row r="14326" spans="5:23" x14ac:dyDescent="0.25">
      <c r="E14326" s="4"/>
      <c r="F14326" s="4"/>
      <c r="G14326" s="33" t="str">
        <f>IFERROR(VLOOKUP($D14326,'Informations sur les produits'!$A$3:$H$10000,8,FALSE),"0")</f>
        <v>0</v>
      </c>
      <c r="K14326" s="4"/>
      <c r="L14326" s="33" t="str">
        <f>IFERROR(VLOOKUP($J14326,'Informations sur les produits'!$A$3:$H$10000,8,FALSE),"0")</f>
        <v>0</v>
      </c>
      <c r="N14326" s="8"/>
      <c r="O14326" s="33" t="str">
        <f>IFERROR(VLOOKUP($M14326,'Informations sur les produits'!$A$3:$H$10000,8,FALSE),"0")</f>
        <v>0</v>
      </c>
      <c r="P14326" s="33">
        <f t="shared" si="892"/>
        <v>0</v>
      </c>
      <c r="Q14326" s="31" t="str">
        <f t="shared" si="893"/>
        <v/>
      </c>
      <c r="R14326" s="32" t="str">
        <f>IFERROR(VLOOKUP($D14326,'Informations sur les produits'!$A$3:$B$15000,2,FALSE),"")</f>
        <v/>
      </c>
      <c r="V14326">
        <f t="shared" si="894"/>
        <v>0</v>
      </c>
      <c r="W14326">
        <f t="shared" si="895"/>
        <v>0</v>
      </c>
    </row>
    <row r="14327" spans="5:23" x14ac:dyDescent="0.25">
      <c r="E14327" s="4"/>
      <c r="F14327" s="4"/>
      <c r="G14327" s="33" t="str">
        <f>IFERROR(VLOOKUP($D14327,'Informations sur les produits'!$A$3:$H$10000,8,FALSE),"0")</f>
        <v>0</v>
      </c>
      <c r="K14327" s="4"/>
      <c r="L14327" s="33" t="str">
        <f>IFERROR(VLOOKUP($J14327,'Informations sur les produits'!$A$3:$H$10000,8,FALSE),"0")</f>
        <v>0</v>
      </c>
      <c r="N14327" s="8"/>
      <c r="O14327" s="33" t="str">
        <f>IFERROR(VLOOKUP($M14327,'Informations sur les produits'!$A$3:$H$10000,8,FALSE),"0")</f>
        <v>0</v>
      </c>
      <c r="P14327" s="33">
        <f t="shared" si="892"/>
        <v>0</v>
      </c>
      <c r="Q14327" s="31" t="str">
        <f t="shared" si="893"/>
        <v/>
      </c>
      <c r="R14327" s="32" t="str">
        <f>IFERROR(VLOOKUP($D14327,'Informations sur les produits'!$A$3:$B$15000,2,FALSE),"")</f>
        <v/>
      </c>
      <c r="V14327">
        <f t="shared" si="894"/>
        <v>0</v>
      </c>
      <c r="W14327">
        <f t="shared" si="895"/>
        <v>0</v>
      </c>
    </row>
    <row r="14328" spans="5:23" x14ac:dyDescent="0.25">
      <c r="E14328" s="4"/>
      <c r="F14328" s="4"/>
      <c r="G14328" s="33" t="str">
        <f>IFERROR(VLOOKUP($D14328,'Informations sur les produits'!$A$3:$H$10000,8,FALSE),"0")</f>
        <v>0</v>
      </c>
      <c r="K14328" s="4"/>
      <c r="L14328" s="33" t="str">
        <f>IFERROR(VLOOKUP($J14328,'Informations sur les produits'!$A$3:$H$10000,8,FALSE),"0")</f>
        <v>0</v>
      </c>
      <c r="N14328" s="8"/>
      <c r="O14328" s="33" t="str">
        <f>IFERROR(VLOOKUP($M14328,'Informations sur les produits'!$A$3:$H$10000,8,FALSE),"0")</f>
        <v>0</v>
      </c>
      <c r="P14328" s="33">
        <f t="shared" si="892"/>
        <v>0</v>
      </c>
      <c r="Q14328" s="31" t="str">
        <f t="shared" si="893"/>
        <v/>
      </c>
      <c r="R14328" s="32" t="str">
        <f>IFERROR(VLOOKUP($D14328,'Informations sur les produits'!$A$3:$B$15000,2,FALSE),"")</f>
        <v/>
      </c>
      <c r="V14328">
        <f t="shared" si="894"/>
        <v>0</v>
      </c>
      <c r="W14328">
        <f t="shared" si="895"/>
        <v>0</v>
      </c>
    </row>
    <row r="14329" spans="5:23" x14ac:dyDescent="0.25">
      <c r="E14329" s="4"/>
      <c r="F14329" s="4"/>
      <c r="G14329" s="33" t="str">
        <f>IFERROR(VLOOKUP($D14329,'Informations sur les produits'!$A$3:$H$10000,8,FALSE),"0")</f>
        <v>0</v>
      </c>
      <c r="K14329" s="4"/>
      <c r="L14329" s="33" t="str">
        <f>IFERROR(VLOOKUP($J14329,'Informations sur les produits'!$A$3:$H$10000,8,FALSE),"0")</f>
        <v>0</v>
      </c>
      <c r="N14329" s="8"/>
      <c r="O14329" s="33" t="str">
        <f>IFERROR(VLOOKUP($M14329,'Informations sur les produits'!$A$3:$H$10000,8,FALSE),"0")</f>
        <v>0</v>
      </c>
      <c r="P14329" s="33">
        <f t="shared" si="892"/>
        <v>0</v>
      </c>
      <c r="Q14329" s="31" t="str">
        <f t="shared" si="893"/>
        <v/>
      </c>
      <c r="R14329" s="32" t="str">
        <f>IFERROR(VLOOKUP($D14329,'Informations sur les produits'!$A$3:$B$15000,2,FALSE),"")</f>
        <v/>
      </c>
      <c r="V14329">
        <f t="shared" si="894"/>
        <v>0</v>
      </c>
      <c r="W14329">
        <f t="shared" si="895"/>
        <v>0</v>
      </c>
    </row>
    <row r="14330" spans="5:23" x14ac:dyDescent="0.25">
      <c r="E14330" s="4"/>
      <c r="F14330" s="4"/>
      <c r="G14330" s="33" t="str">
        <f>IFERROR(VLOOKUP($D14330,'Informations sur les produits'!$A$3:$H$10000,8,FALSE),"0")</f>
        <v>0</v>
      </c>
      <c r="K14330" s="4"/>
      <c r="L14330" s="33" t="str">
        <f>IFERROR(VLOOKUP($J14330,'Informations sur les produits'!$A$3:$H$10000,8,FALSE),"0")</f>
        <v>0</v>
      </c>
      <c r="N14330" s="8"/>
      <c r="O14330" s="33" t="str">
        <f>IFERROR(VLOOKUP($M14330,'Informations sur les produits'!$A$3:$H$10000,8,FALSE),"0")</f>
        <v>0</v>
      </c>
      <c r="P14330" s="33">
        <f t="shared" si="892"/>
        <v>0</v>
      </c>
      <c r="Q14330" s="31" t="str">
        <f t="shared" si="893"/>
        <v/>
      </c>
      <c r="R14330" s="32" t="str">
        <f>IFERROR(VLOOKUP($D14330,'Informations sur les produits'!$A$3:$B$15000,2,FALSE),"")</f>
        <v/>
      </c>
      <c r="V14330">
        <f t="shared" si="894"/>
        <v>0</v>
      </c>
      <c r="W14330">
        <f t="shared" si="895"/>
        <v>0</v>
      </c>
    </row>
    <row r="14331" spans="5:23" x14ac:dyDescent="0.25">
      <c r="E14331" s="4"/>
      <c r="F14331" s="4"/>
      <c r="G14331" s="33" t="str">
        <f>IFERROR(VLOOKUP($D14331,'Informations sur les produits'!$A$3:$H$10000,8,FALSE),"0")</f>
        <v>0</v>
      </c>
      <c r="K14331" s="4"/>
      <c r="L14331" s="33" t="str">
        <f>IFERROR(VLOOKUP($J14331,'Informations sur les produits'!$A$3:$H$10000,8,FALSE),"0")</f>
        <v>0</v>
      </c>
      <c r="N14331" s="8"/>
      <c r="O14331" s="33" t="str">
        <f>IFERROR(VLOOKUP($M14331,'Informations sur les produits'!$A$3:$H$10000,8,FALSE),"0")</f>
        <v>0</v>
      </c>
      <c r="P14331" s="33">
        <f t="shared" si="892"/>
        <v>0</v>
      </c>
      <c r="Q14331" s="31" t="str">
        <f t="shared" si="893"/>
        <v/>
      </c>
      <c r="R14331" s="32" t="str">
        <f>IFERROR(VLOOKUP($D14331,'Informations sur les produits'!$A$3:$B$15000,2,FALSE),"")</f>
        <v/>
      </c>
      <c r="V14331">
        <f t="shared" si="894"/>
        <v>0</v>
      </c>
      <c r="W14331">
        <f t="shared" si="895"/>
        <v>0</v>
      </c>
    </row>
    <row r="14332" spans="5:23" x14ac:dyDescent="0.25">
      <c r="E14332" s="4"/>
      <c r="F14332" s="4"/>
      <c r="G14332" s="33" t="str">
        <f>IFERROR(VLOOKUP($D14332,'Informations sur les produits'!$A$3:$H$10000,8,FALSE),"0")</f>
        <v>0</v>
      </c>
      <c r="K14332" s="4"/>
      <c r="L14332" s="33" t="str">
        <f>IFERROR(VLOOKUP($J14332,'Informations sur les produits'!$A$3:$H$10000,8,FALSE),"0")</f>
        <v>0</v>
      </c>
      <c r="N14332" s="8"/>
      <c r="O14332" s="33" t="str">
        <f>IFERROR(VLOOKUP($M14332,'Informations sur les produits'!$A$3:$H$10000,8,FALSE),"0")</f>
        <v>0</v>
      </c>
      <c r="P14332" s="33">
        <f t="shared" si="892"/>
        <v>0</v>
      </c>
      <c r="Q14332" s="31" t="str">
        <f t="shared" si="893"/>
        <v/>
      </c>
      <c r="R14332" s="32" t="str">
        <f>IFERROR(VLOOKUP($D14332,'Informations sur les produits'!$A$3:$B$15000,2,FALSE),"")</f>
        <v/>
      </c>
      <c r="V14332">
        <f t="shared" si="894"/>
        <v>0</v>
      </c>
      <c r="W14332">
        <f t="shared" si="895"/>
        <v>0</v>
      </c>
    </row>
    <row r="14333" spans="5:23" x14ac:dyDescent="0.25">
      <c r="E14333" s="4"/>
      <c r="F14333" s="4"/>
      <c r="G14333" s="33" t="str">
        <f>IFERROR(VLOOKUP($D14333,'Informations sur les produits'!$A$3:$H$10000,8,FALSE),"0")</f>
        <v>0</v>
      </c>
      <c r="K14333" s="4"/>
      <c r="L14333" s="33" t="str">
        <f>IFERROR(VLOOKUP($J14333,'Informations sur les produits'!$A$3:$H$10000,8,FALSE),"0")</f>
        <v>0</v>
      </c>
      <c r="N14333" s="8"/>
      <c r="O14333" s="33" t="str">
        <f>IFERROR(VLOOKUP($M14333,'Informations sur les produits'!$A$3:$H$10000,8,FALSE),"0")</f>
        <v>0</v>
      </c>
      <c r="P14333" s="33">
        <f t="shared" si="892"/>
        <v>0</v>
      </c>
      <c r="Q14333" s="31" t="str">
        <f t="shared" si="893"/>
        <v/>
      </c>
      <c r="R14333" s="32" t="str">
        <f>IFERROR(VLOOKUP($D14333,'Informations sur les produits'!$A$3:$B$15000,2,FALSE),"")</f>
        <v/>
      </c>
      <c r="V14333">
        <f t="shared" si="894"/>
        <v>0</v>
      </c>
      <c r="W14333">
        <f t="shared" si="895"/>
        <v>0</v>
      </c>
    </row>
    <row r="14334" spans="5:23" x14ac:dyDescent="0.25">
      <c r="E14334" s="4"/>
      <c r="F14334" s="4"/>
      <c r="G14334" s="33" t="str">
        <f>IFERROR(VLOOKUP($D14334,'Informations sur les produits'!$A$3:$H$10000,8,FALSE),"0")</f>
        <v>0</v>
      </c>
      <c r="K14334" s="4"/>
      <c r="L14334" s="33" t="str">
        <f>IFERROR(VLOOKUP($J14334,'Informations sur les produits'!$A$3:$H$10000,8,FALSE),"0")</f>
        <v>0</v>
      </c>
      <c r="N14334" s="8"/>
      <c r="O14334" s="33" t="str">
        <f>IFERROR(VLOOKUP($M14334,'Informations sur les produits'!$A$3:$H$10000,8,FALSE),"0")</f>
        <v>0</v>
      </c>
      <c r="P14334" s="33">
        <f t="shared" si="892"/>
        <v>0</v>
      </c>
      <c r="Q14334" s="31" t="str">
        <f t="shared" si="893"/>
        <v/>
      </c>
      <c r="R14334" s="32" t="str">
        <f>IFERROR(VLOOKUP($D14334,'Informations sur les produits'!$A$3:$B$15000,2,FALSE),"")</f>
        <v/>
      </c>
      <c r="V14334">
        <f t="shared" si="894"/>
        <v>0</v>
      </c>
      <c r="W14334">
        <f t="shared" si="895"/>
        <v>0</v>
      </c>
    </row>
    <row r="14335" spans="5:23" x14ac:dyDescent="0.25">
      <c r="E14335" s="4"/>
      <c r="F14335" s="4"/>
      <c r="G14335" s="33" t="str">
        <f>IFERROR(VLOOKUP($D14335,'Informations sur les produits'!$A$3:$H$10000,8,FALSE),"0")</f>
        <v>0</v>
      </c>
      <c r="K14335" s="4"/>
      <c r="L14335" s="33" t="str">
        <f>IFERROR(VLOOKUP($J14335,'Informations sur les produits'!$A$3:$H$10000,8,FALSE),"0")</f>
        <v>0</v>
      </c>
      <c r="N14335" s="8"/>
      <c r="O14335" s="33" t="str">
        <f>IFERROR(VLOOKUP($M14335,'Informations sur les produits'!$A$3:$H$10000,8,FALSE),"0")</f>
        <v>0</v>
      </c>
      <c r="P14335" s="33">
        <f t="shared" si="892"/>
        <v>0</v>
      </c>
      <c r="Q14335" s="31" t="str">
        <f t="shared" si="893"/>
        <v/>
      </c>
      <c r="R14335" s="32" t="str">
        <f>IFERROR(VLOOKUP($D14335,'Informations sur les produits'!$A$3:$B$15000,2,FALSE),"")</f>
        <v/>
      </c>
      <c r="V14335">
        <f t="shared" si="894"/>
        <v>0</v>
      </c>
      <c r="W14335">
        <f t="shared" si="895"/>
        <v>0</v>
      </c>
    </row>
    <row r="14336" spans="5:23" x14ac:dyDescent="0.25">
      <c r="E14336" s="4"/>
      <c r="F14336" s="4"/>
      <c r="G14336" s="33" t="str">
        <f>IFERROR(VLOOKUP($D14336,'Informations sur les produits'!$A$3:$H$10000,8,FALSE),"0")</f>
        <v>0</v>
      </c>
      <c r="K14336" s="4"/>
      <c r="L14336" s="33" t="str">
        <f>IFERROR(VLOOKUP($J14336,'Informations sur les produits'!$A$3:$H$10000,8,FALSE),"0")</f>
        <v>0</v>
      </c>
      <c r="N14336" s="8"/>
      <c r="O14336" s="33" t="str">
        <f>IFERROR(VLOOKUP($M14336,'Informations sur les produits'!$A$3:$H$10000,8,FALSE),"0")</f>
        <v>0</v>
      </c>
      <c r="P14336" s="33">
        <f t="shared" si="892"/>
        <v>0</v>
      </c>
      <c r="Q14336" s="31" t="str">
        <f t="shared" si="893"/>
        <v/>
      </c>
      <c r="R14336" s="32" t="str">
        <f>IFERROR(VLOOKUP($D14336,'Informations sur les produits'!$A$3:$B$15000,2,FALSE),"")</f>
        <v/>
      </c>
      <c r="V14336">
        <f t="shared" si="894"/>
        <v>0</v>
      </c>
      <c r="W14336">
        <f t="shared" si="895"/>
        <v>0</v>
      </c>
    </row>
    <row r="14337" spans="5:23" x14ac:dyDescent="0.25">
      <c r="E14337" s="4"/>
      <c r="F14337" s="4"/>
      <c r="G14337" s="33" t="str">
        <f>IFERROR(VLOOKUP($D14337,'Informations sur les produits'!$A$3:$H$10000,8,FALSE),"0")</f>
        <v>0</v>
      </c>
      <c r="K14337" s="4"/>
      <c r="L14337" s="33" t="str">
        <f>IFERROR(VLOOKUP($J14337,'Informations sur les produits'!$A$3:$H$10000,8,FALSE),"0")</f>
        <v>0</v>
      </c>
      <c r="N14337" s="8"/>
      <c r="O14337" s="33" t="str">
        <f>IFERROR(VLOOKUP($M14337,'Informations sur les produits'!$A$3:$H$10000,8,FALSE),"0")</f>
        <v>0</v>
      </c>
      <c r="P14337" s="33">
        <f t="shared" si="892"/>
        <v>0</v>
      </c>
      <c r="Q14337" s="31" t="str">
        <f t="shared" si="893"/>
        <v/>
      </c>
      <c r="R14337" s="32" t="str">
        <f>IFERROR(VLOOKUP($D14337,'Informations sur les produits'!$A$3:$B$15000,2,FALSE),"")</f>
        <v/>
      </c>
      <c r="V14337">
        <f t="shared" si="894"/>
        <v>0</v>
      </c>
      <c r="W14337">
        <f t="shared" si="895"/>
        <v>0</v>
      </c>
    </row>
    <row r="14338" spans="5:23" x14ac:dyDescent="0.25">
      <c r="E14338" s="4"/>
      <c r="F14338" s="4"/>
      <c r="G14338" s="33" t="str">
        <f>IFERROR(VLOOKUP($D14338,'Informations sur les produits'!$A$3:$H$10000,8,FALSE),"0")</f>
        <v>0</v>
      </c>
      <c r="K14338" s="4"/>
      <c r="L14338" s="33" t="str">
        <f>IFERROR(VLOOKUP($J14338,'Informations sur les produits'!$A$3:$H$10000,8,FALSE),"0")</f>
        <v>0</v>
      </c>
      <c r="N14338" s="8"/>
      <c r="O14338" s="33" t="str">
        <f>IFERROR(VLOOKUP($M14338,'Informations sur les produits'!$A$3:$H$10000,8,FALSE),"0")</f>
        <v>0</v>
      </c>
      <c r="P14338" s="33">
        <f t="shared" si="892"/>
        <v>0</v>
      </c>
      <c r="Q14338" s="31" t="str">
        <f t="shared" si="893"/>
        <v/>
      </c>
      <c r="R14338" s="32" t="str">
        <f>IFERROR(VLOOKUP($D14338,'Informations sur les produits'!$A$3:$B$15000,2,FALSE),"")</f>
        <v/>
      </c>
      <c r="V14338">
        <f t="shared" si="894"/>
        <v>0</v>
      </c>
      <c r="W14338">
        <f t="shared" si="895"/>
        <v>0</v>
      </c>
    </row>
    <row r="14339" spans="5:23" x14ac:dyDescent="0.25">
      <c r="E14339" s="4"/>
      <c r="F14339" s="4"/>
      <c r="G14339" s="33" t="str">
        <f>IFERROR(VLOOKUP($D14339,'Informations sur les produits'!$A$3:$H$10000,8,FALSE),"0")</f>
        <v>0</v>
      </c>
      <c r="K14339" s="4"/>
      <c r="L14339" s="33" t="str">
        <f>IFERROR(VLOOKUP($J14339,'Informations sur les produits'!$A$3:$H$10000,8,FALSE),"0")</f>
        <v>0</v>
      </c>
      <c r="N14339" s="8"/>
      <c r="O14339" s="33" t="str">
        <f>IFERROR(VLOOKUP($M14339,'Informations sur les produits'!$A$3:$H$10000,8,FALSE),"0")</f>
        <v>0</v>
      </c>
      <c r="P14339" s="33">
        <f t="shared" si="892"/>
        <v>0</v>
      </c>
      <c r="Q14339" s="31" t="str">
        <f t="shared" si="893"/>
        <v/>
      </c>
      <c r="R14339" s="32" t="str">
        <f>IFERROR(VLOOKUP($D14339,'Informations sur les produits'!$A$3:$B$15000,2,FALSE),"")</f>
        <v/>
      </c>
      <c r="V14339">
        <f t="shared" si="894"/>
        <v>0</v>
      </c>
      <c r="W14339">
        <f t="shared" si="895"/>
        <v>0</v>
      </c>
    </row>
    <row r="14340" spans="5:23" x14ac:dyDescent="0.25">
      <c r="E14340" s="4"/>
      <c r="F14340" s="4"/>
      <c r="G14340" s="33" t="str">
        <f>IFERROR(VLOOKUP($D14340,'Informations sur les produits'!$A$3:$H$10000,8,FALSE),"0")</f>
        <v>0</v>
      </c>
      <c r="K14340" s="4"/>
      <c r="L14340" s="33" t="str">
        <f>IFERROR(VLOOKUP($J14340,'Informations sur les produits'!$A$3:$H$10000,8,FALSE),"0")</f>
        <v>0</v>
      </c>
      <c r="N14340" s="8"/>
      <c r="O14340" s="33" t="str">
        <f>IFERROR(VLOOKUP($M14340,'Informations sur les produits'!$A$3:$H$10000,8,FALSE),"0")</f>
        <v>0</v>
      </c>
      <c r="P14340" s="33">
        <f t="shared" ref="P14340:P14403" si="896">IFERROR((($E14340-$F14340)*$G14340+$K14340*$L14340+$N14340*$O14340),"")</f>
        <v>0</v>
      </c>
      <c r="Q14340" s="31" t="str">
        <f t="shared" ref="Q14340:Q14403" si="897">IFERROR((((($E14340-$F14340)*$G14340+$K14340*$L14340+$N14340*$O14340)*1000)/(($E14340-$F14340)+$K14340+$N14340)),"")</f>
        <v/>
      </c>
      <c r="R14340" s="32" t="str">
        <f>IFERROR(VLOOKUP($D14340,'Informations sur les produits'!$A$3:$B$15000,2,FALSE),"")</f>
        <v/>
      </c>
      <c r="V14340">
        <f t="shared" ref="V14340:V14403" si="898">IFERROR(P14340*1000,"")</f>
        <v>0</v>
      </c>
      <c r="W14340">
        <f t="shared" ref="W14340:W14403" si="899">IFERROR(($E14340-$F14340)+$K14340+$N14340,"")</f>
        <v>0</v>
      </c>
    </row>
    <row r="14341" spans="5:23" x14ac:dyDescent="0.25">
      <c r="E14341" s="4"/>
      <c r="F14341" s="4"/>
      <c r="G14341" s="33" t="str">
        <f>IFERROR(VLOOKUP($D14341,'Informations sur les produits'!$A$3:$H$10000,8,FALSE),"0")</f>
        <v>0</v>
      </c>
      <c r="K14341" s="4"/>
      <c r="L14341" s="33" t="str">
        <f>IFERROR(VLOOKUP($J14341,'Informations sur les produits'!$A$3:$H$10000,8,FALSE),"0")</f>
        <v>0</v>
      </c>
      <c r="N14341" s="8"/>
      <c r="O14341" s="33" t="str">
        <f>IFERROR(VLOOKUP($M14341,'Informations sur les produits'!$A$3:$H$10000,8,FALSE),"0")</f>
        <v>0</v>
      </c>
      <c r="P14341" s="33">
        <f t="shared" si="896"/>
        <v>0</v>
      </c>
      <c r="Q14341" s="31" t="str">
        <f t="shared" si="897"/>
        <v/>
      </c>
      <c r="R14341" s="32" t="str">
        <f>IFERROR(VLOOKUP($D14341,'Informations sur les produits'!$A$3:$B$15000,2,FALSE),"")</f>
        <v/>
      </c>
      <c r="V14341">
        <f t="shared" si="898"/>
        <v>0</v>
      </c>
      <c r="W14341">
        <f t="shared" si="899"/>
        <v>0</v>
      </c>
    </row>
    <row r="14342" spans="5:23" x14ac:dyDescent="0.25">
      <c r="E14342" s="4"/>
      <c r="F14342" s="4"/>
      <c r="G14342" s="33" t="str">
        <f>IFERROR(VLOOKUP($D14342,'Informations sur les produits'!$A$3:$H$10000,8,FALSE),"0")</f>
        <v>0</v>
      </c>
      <c r="K14342" s="4"/>
      <c r="L14342" s="33" t="str">
        <f>IFERROR(VLOOKUP($J14342,'Informations sur les produits'!$A$3:$H$10000,8,FALSE),"0")</f>
        <v>0</v>
      </c>
      <c r="N14342" s="8"/>
      <c r="O14342" s="33" t="str">
        <f>IFERROR(VLOOKUP($M14342,'Informations sur les produits'!$A$3:$H$10000,8,FALSE),"0")</f>
        <v>0</v>
      </c>
      <c r="P14342" s="33">
        <f t="shared" si="896"/>
        <v>0</v>
      </c>
      <c r="Q14342" s="31" t="str">
        <f t="shared" si="897"/>
        <v/>
      </c>
      <c r="R14342" s="32" t="str">
        <f>IFERROR(VLOOKUP($D14342,'Informations sur les produits'!$A$3:$B$15000,2,FALSE),"")</f>
        <v/>
      </c>
      <c r="V14342">
        <f t="shared" si="898"/>
        <v>0</v>
      </c>
      <c r="W14342">
        <f t="shared" si="899"/>
        <v>0</v>
      </c>
    </row>
    <row r="14343" spans="5:23" x14ac:dyDescent="0.25">
      <c r="E14343" s="4"/>
      <c r="F14343" s="4"/>
      <c r="G14343" s="33" t="str">
        <f>IFERROR(VLOOKUP($D14343,'Informations sur les produits'!$A$3:$H$10000,8,FALSE),"0")</f>
        <v>0</v>
      </c>
      <c r="K14343" s="4"/>
      <c r="L14343" s="33" t="str">
        <f>IFERROR(VLOOKUP($J14343,'Informations sur les produits'!$A$3:$H$10000,8,FALSE),"0")</f>
        <v>0</v>
      </c>
      <c r="N14343" s="8"/>
      <c r="O14343" s="33" t="str">
        <f>IFERROR(VLOOKUP($M14343,'Informations sur les produits'!$A$3:$H$10000,8,FALSE),"0")</f>
        <v>0</v>
      </c>
      <c r="P14343" s="33">
        <f t="shared" si="896"/>
        <v>0</v>
      </c>
      <c r="Q14343" s="31" t="str">
        <f t="shared" si="897"/>
        <v/>
      </c>
      <c r="R14343" s="32" t="str">
        <f>IFERROR(VLOOKUP($D14343,'Informations sur les produits'!$A$3:$B$15000,2,FALSE),"")</f>
        <v/>
      </c>
      <c r="V14343">
        <f t="shared" si="898"/>
        <v>0</v>
      </c>
      <c r="W14343">
        <f t="shared" si="899"/>
        <v>0</v>
      </c>
    </row>
    <row r="14344" spans="5:23" x14ac:dyDescent="0.25">
      <c r="E14344" s="4"/>
      <c r="F14344" s="4"/>
      <c r="G14344" s="33" t="str">
        <f>IFERROR(VLOOKUP($D14344,'Informations sur les produits'!$A$3:$H$10000,8,FALSE),"0")</f>
        <v>0</v>
      </c>
      <c r="K14344" s="4"/>
      <c r="L14344" s="33" t="str">
        <f>IFERROR(VLOOKUP($J14344,'Informations sur les produits'!$A$3:$H$10000,8,FALSE),"0")</f>
        <v>0</v>
      </c>
      <c r="N14344" s="8"/>
      <c r="O14344" s="33" t="str">
        <f>IFERROR(VLOOKUP($M14344,'Informations sur les produits'!$A$3:$H$10000,8,FALSE),"0")</f>
        <v>0</v>
      </c>
      <c r="P14344" s="33">
        <f t="shared" si="896"/>
        <v>0</v>
      </c>
      <c r="Q14344" s="31" t="str">
        <f t="shared" si="897"/>
        <v/>
      </c>
      <c r="R14344" s="32" t="str">
        <f>IFERROR(VLOOKUP($D14344,'Informations sur les produits'!$A$3:$B$15000,2,FALSE),"")</f>
        <v/>
      </c>
      <c r="V14344">
        <f t="shared" si="898"/>
        <v>0</v>
      </c>
      <c r="W14344">
        <f t="shared" si="899"/>
        <v>0</v>
      </c>
    </row>
    <row r="14345" spans="5:23" x14ac:dyDescent="0.25">
      <c r="E14345" s="4"/>
      <c r="F14345" s="4"/>
      <c r="G14345" s="33" t="str">
        <f>IFERROR(VLOOKUP($D14345,'Informations sur les produits'!$A$3:$H$10000,8,FALSE),"0")</f>
        <v>0</v>
      </c>
      <c r="K14345" s="4"/>
      <c r="L14345" s="33" t="str">
        <f>IFERROR(VLOOKUP($J14345,'Informations sur les produits'!$A$3:$H$10000,8,FALSE),"0")</f>
        <v>0</v>
      </c>
      <c r="N14345" s="8"/>
      <c r="O14345" s="33" t="str">
        <f>IFERROR(VLOOKUP($M14345,'Informations sur les produits'!$A$3:$H$10000,8,FALSE),"0")</f>
        <v>0</v>
      </c>
      <c r="P14345" s="33">
        <f t="shared" si="896"/>
        <v>0</v>
      </c>
      <c r="Q14345" s="31" t="str">
        <f t="shared" si="897"/>
        <v/>
      </c>
      <c r="R14345" s="32" t="str">
        <f>IFERROR(VLOOKUP($D14345,'Informations sur les produits'!$A$3:$B$15000,2,FALSE),"")</f>
        <v/>
      </c>
      <c r="V14345">
        <f t="shared" si="898"/>
        <v>0</v>
      </c>
      <c r="W14345">
        <f t="shared" si="899"/>
        <v>0</v>
      </c>
    </row>
    <row r="14346" spans="5:23" x14ac:dyDescent="0.25">
      <c r="E14346" s="4"/>
      <c r="F14346" s="4"/>
      <c r="G14346" s="33" t="str">
        <f>IFERROR(VLOOKUP($D14346,'Informations sur les produits'!$A$3:$H$10000,8,FALSE),"0")</f>
        <v>0</v>
      </c>
      <c r="K14346" s="4"/>
      <c r="L14346" s="33" t="str">
        <f>IFERROR(VLOOKUP($J14346,'Informations sur les produits'!$A$3:$H$10000,8,FALSE),"0")</f>
        <v>0</v>
      </c>
      <c r="N14346" s="8"/>
      <c r="O14346" s="33" t="str">
        <f>IFERROR(VLOOKUP($M14346,'Informations sur les produits'!$A$3:$H$10000,8,FALSE),"0")</f>
        <v>0</v>
      </c>
      <c r="P14346" s="33">
        <f t="shared" si="896"/>
        <v>0</v>
      </c>
      <c r="Q14346" s="31" t="str">
        <f t="shared" si="897"/>
        <v/>
      </c>
      <c r="R14346" s="32" t="str">
        <f>IFERROR(VLOOKUP($D14346,'Informations sur les produits'!$A$3:$B$15000,2,FALSE),"")</f>
        <v/>
      </c>
      <c r="V14346">
        <f t="shared" si="898"/>
        <v>0</v>
      </c>
      <c r="W14346">
        <f t="shared" si="899"/>
        <v>0</v>
      </c>
    </row>
    <row r="14347" spans="5:23" x14ac:dyDescent="0.25">
      <c r="E14347" s="4"/>
      <c r="F14347" s="4"/>
      <c r="G14347" s="33" t="str">
        <f>IFERROR(VLOOKUP($D14347,'Informations sur les produits'!$A$3:$H$10000,8,FALSE),"0")</f>
        <v>0</v>
      </c>
      <c r="K14347" s="4"/>
      <c r="L14347" s="33" t="str">
        <f>IFERROR(VLOOKUP($J14347,'Informations sur les produits'!$A$3:$H$10000,8,FALSE),"0")</f>
        <v>0</v>
      </c>
      <c r="N14347" s="8"/>
      <c r="O14347" s="33" t="str">
        <f>IFERROR(VLOOKUP($M14347,'Informations sur les produits'!$A$3:$H$10000,8,FALSE),"0")</f>
        <v>0</v>
      </c>
      <c r="P14347" s="33">
        <f t="shared" si="896"/>
        <v>0</v>
      </c>
      <c r="Q14347" s="31" t="str">
        <f t="shared" si="897"/>
        <v/>
      </c>
      <c r="R14347" s="32" t="str">
        <f>IFERROR(VLOOKUP($D14347,'Informations sur les produits'!$A$3:$B$15000,2,FALSE),"")</f>
        <v/>
      </c>
      <c r="V14347">
        <f t="shared" si="898"/>
        <v>0</v>
      </c>
      <c r="W14347">
        <f t="shared" si="899"/>
        <v>0</v>
      </c>
    </row>
    <row r="14348" spans="5:23" x14ac:dyDescent="0.25">
      <c r="E14348" s="4"/>
      <c r="F14348" s="4"/>
      <c r="G14348" s="33" t="str">
        <f>IFERROR(VLOOKUP($D14348,'Informations sur les produits'!$A$3:$H$10000,8,FALSE),"0")</f>
        <v>0</v>
      </c>
      <c r="K14348" s="4"/>
      <c r="L14348" s="33" t="str">
        <f>IFERROR(VLOOKUP($J14348,'Informations sur les produits'!$A$3:$H$10000,8,FALSE),"0")</f>
        <v>0</v>
      </c>
      <c r="N14348" s="8"/>
      <c r="O14348" s="33" t="str">
        <f>IFERROR(VLOOKUP($M14348,'Informations sur les produits'!$A$3:$H$10000,8,FALSE),"0")</f>
        <v>0</v>
      </c>
      <c r="P14348" s="33">
        <f t="shared" si="896"/>
        <v>0</v>
      </c>
      <c r="Q14348" s="31" t="str">
        <f t="shared" si="897"/>
        <v/>
      </c>
      <c r="R14348" s="32" t="str">
        <f>IFERROR(VLOOKUP($D14348,'Informations sur les produits'!$A$3:$B$15000,2,FALSE),"")</f>
        <v/>
      </c>
      <c r="V14348">
        <f t="shared" si="898"/>
        <v>0</v>
      </c>
      <c r="W14348">
        <f t="shared" si="899"/>
        <v>0</v>
      </c>
    </row>
    <row r="14349" spans="5:23" x14ac:dyDescent="0.25">
      <c r="E14349" s="4"/>
      <c r="F14349" s="4"/>
      <c r="G14349" s="33" t="str">
        <f>IFERROR(VLOOKUP($D14349,'Informations sur les produits'!$A$3:$H$10000,8,FALSE),"0")</f>
        <v>0</v>
      </c>
      <c r="K14349" s="4"/>
      <c r="L14349" s="33" t="str">
        <f>IFERROR(VLOOKUP($J14349,'Informations sur les produits'!$A$3:$H$10000,8,FALSE),"0")</f>
        <v>0</v>
      </c>
      <c r="N14349" s="8"/>
      <c r="O14349" s="33" t="str">
        <f>IFERROR(VLOOKUP($M14349,'Informations sur les produits'!$A$3:$H$10000,8,FALSE),"0")</f>
        <v>0</v>
      </c>
      <c r="P14349" s="33">
        <f t="shared" si="896"/>
        <v>0</v>
      </c>
      <c r="Q14349" s="31" t="str">
        <f t="shared" si="897"/>
        <v/>
      </c>
      <c r="R14349" s="32" t="str">
        <f>IFERROR(VLOOKUP($D14349,'Informations sur les produits'!$A$3:$B$15000,2,FALSE),"")</f>
        <v/>
      </c>
      <c r="V14349">
        <f t="shared" si="898"/>
        <v>0</v>
      </c>
      <c r="W14349">
        <f t="shared" si="899"/>
        <v>0</v>
      </c>
    </row>
    <row r="14350" spans="5:23" x14ac:dyDescent="0.25">
      <c r="E14350" s="4"/>
      <c r="F14350" s="4"/>
      <c r="G14350" s="33" t="str">
        <f>IFERROR(VLOOKUP($D14350,'Informations sur les produits'!$A$3:$H$10000,8,FALSE),"0")</f>
        <v>0</v>
      </c>
      <c r="K14350" s="4"/>
      <c r="L14350" s="33" t="str">
        <f>IFERROR(VLOOKUP($J14350,'Informations sur les produits'!$A$3:$H$10000,8,FALSE),"0")</f>
        <v>0</v>
      </c>
      <c r="N14350" s="8"/>
      <c r="O14350" s="33" t="str">
        <f>IFERROR(VLOOKUP($M14350,'Informations sur les produits'!$A$3:$H$10000,8,FALSE),"0")</f>
        <v>0</v>
      </c>
      <c r="P14350" s="33">
        <f t="shared" si="896"/>
        <v>0</v>
      </c>
      <c r="Q14350" s="31" t="str">
        <f t="shared" si="897"/>
        <v/>
      </c>
      <c r="R14350" s="32" t="str">
        <f>IFERROR(VLOOKUP($D14350,'Informations sur les produits'!$A$3:$B$15000,2,FALSE),"")</f>
        <v/>
      </c>
      <c r="V14350">
        <f t="shared" si="898"/>
        <v>0</v>
      </c>
      <c r="W14350">
        <f t="shared" si="899"/>
        <v>0</v>
      </c>
    </row>
    <row r="14351" spans="5:23" x14ac:dyDescent="0.25">
      <c r="E14351" s="4"/>
      <c r="F14351" s="4"/>
      <c r="G14351" s="33" t="str">
        <f>IFERROR(VLOOKUP($D14351,'Informations sur les produits'!$A$3:$H$10000,8,FALSE),"0")</f>
        <v>0</v>
      </c>
      <c r="K14351" s="4"/>
      <c r="L14351" s="33" t="str">
        <f>IFERROR(VLOOKUP($J14351,'Informations sur les produits'!$A$3:$H$10000,8,FALSE),"0")</f>
        <v>0</v>
      </c>
      <c r="N14351" s="8"/>
      <c r="O14351" s="33" t="str">
        <f>IFERROR(VLOOKUP($M14351,'Informations sur les produits'!$A$3:$H$10000,8,FALSE),"0")</f>
        <v>0</v>
      </c>
      <c r="P14351" s="33">
        <f t="shared" si="896"/>
        <v>0</v>
      </c>
      <c r="Q14351" s="31" t="str">
        <f t="shared" si="897"/>
        <v/>
      </c>
      <c r="R14351" s="32" t="str">
        <f>IFERROR(VLOOKUP($D14351,'Informations sur les produits'!$A$3:$B$15000,2,FALSE),"")</f>
        <v/>
      </c>
      <c r="V14351">
        <f t="shared" si="898"/>
        <v>0</v>
      </c>
      <c r="W14351">
        <f t="shared" si="899"/>
        <v>0</v>
      </c>
    </row>
    <row r="14352" spans="5:23" x14ac:dyDescent="0.25">
      <c r="E14352" s="4"/>
      <c r="F14352" s="4"/>
      <c r="G14352" s="33" t="str">
        <f>IFERROR(VLOOKUP($D14352,'Informations sur les produits'!$A$3:$H$10000,8,FALSE),"0")</f>
        <v>0</v>
      </c>
      <c r="K14352" s="4"/>
      <c r="L14352" s="33" t="str">
        <f>IFERROR(VLOOKUP($J14352,'Informations sur les produits'!$A$3:$H$10000,8,FALSE),"0")</f>
        <v>0</v>
      </c>
      <c r="N14352" s="8"/>
      <c r="O14352" s="33" t="str">
        <f>IFERROR(VLOOKUP($M14352,'Informations sur les produits'!$A$3:$H$10000,8,FALSE),"0")</f>
        <v>0</v>
      </c>
      <c r="P14352" s="33">
        <f t="shared" si="896"/>
        <v>0</v>
      </c>
      <c r="Q14352" s="31" t="str">
        <f t="shared" si="897"/>
        <v/>
      </c>
      <c r="R14352" s="32" t="str">
        <f>IFERROR(VLOOKUP($D14352,'Informations sur les produits'!$A$3:$B$15000,2,FALSE),"")</f>
        <v/>
      </c>
      <c r="V14352">
        <f t="shared" si="898"/>
        <v>0</v>
      </c>
      <c r="W14352">
        <f t="shared" si="899"/>
        <v>0</v>
      </c>
    </row>
    <row r="14353" spans="5:23" x14ac:dyDescent="0.25">
      <c r="E14353" s="4"/>
      <c r="F14353" s="4"/>
      <c r="G14353" s="33" t="str">
        <f>IFERROR(VLOOKUP($D14353,'Informations sur les produits'!$A$3:$H$10000,8,FALSE),"0")</f>
        <v>0</v>
      </c>
      <c r="K14353" s="4"/>
      <c r="L14353" s="33" t="str">
        <f>IFERROR(VLOOKUP($J14353,'Informations sur les produits'!$A$3:$H$10000,8,FALSE),"0")</f>
        <v>0</v>
      </c>
      <c r="N14353" s="8"/>
      <c r="O14353" s="33" t="str">
        <f>IFERROR(VLOOKUP($M14353,'Informations sur les produits'!$A$3:$H$10000,8,FALSE),"0")</f>
        <v>0</v>
      </c>
      <c r="P14353" s="33">
        <f t="shared" si="896"/>
        <v>0</v>
      </c>
      <c r="Q14353" s="31" t="str">
        <f t="shared" si="897"/>
        <v/>
      </c>
      <c r="R14353" s="32" t="str">
        <f>IFERROR(VLOOKUP($D14353,'Informations sur les produits'!$A$3:$B$15000,2,FALSE),"")</f>
        <v/>
      </c>
      <c r="V14353">
        <f t="shared" si="898"/>
        <v>0</v>
      </c>
      <c r="W14353">
        <f t="shared" si="899"/>
        <v>0</v>
      </c>
    </row>
    <row r="14354" spans="5:23" x14ac:dyDescent="0.25">
      <c r="E14354" s="4"/>
      <c r="F14354" s="4"/>
      <c r="G14354" s="33" t="str">
        <f>IFERROR(VLOOKUP($D14354,'Informations sur les produits'!$A$3:$H$10000,8,FALSE),"0")</f>
        <v>0</v>
      </c>
      <c r="K14354" s="4"/>
      <c r="L14354" s="33" t="str">
        <f>IFERROR(VLOOKUP($J14354,'Informations sur les produits'!$A$3:$H$10000,8,FALSE),"0")</f>
        <v>0</v>
      </c>
      <c r="N14354" s="8"/>
      <c r="O14354" s="33" t="str">
        <f>IFERROR(VLOOKUP($M14354,'Informations sur les produits'!$A$3:$H$10000,8,FALSE),"0")</f>
        <v>0</v>
      </c>
      <c r="P14354" s="33">
        <f t="shared" si="896"/>
        <v>0</v>
      </c>
      <c r="Q14354" s="31" t="str">
        <f t="shared" si="897"/>
        <v/>
      </c>
      <c r="R14354" s="32" t="str">
        <f>IFERROR(VLOOKUP($D14354,'Informations sur les produits'!$A$3:$B$15000,2,FALSE),"")</f>
        <v/>
      </c>
      <c r="V14354">
        <f t="shared" si="898"/>
        <v>0</v>
      </c>
      <c r="W14354">
        <f t="shared" si="899"/>
        <v>0</v>
      </c>
    </row>
    <row r="14355" spans="5:23" x14ac:dyDescent="0.25">
      <c r="E14355" s="4"/>
      <c r="F14355" s="4"/>
      <c r="G14355" s="33" t="str">
        <f>IFERROR(VLOOKUP($D14355,'Informations sur les produits'!$A$3:$H$10000,8,FALSE),"0")</f>
        <v>0</v>
      </c>
      <c r="K14355" s="4"/>
      <c r="L14355" s="33" t="str">
        <f>IFERROR(VLOOKUP($J14355,'Informations sur les produits'!$A$3:$H$10000,8,FALSE),"0")</f>
        <v>0</v>
      </c>
      <c r="N14355" s="8"/>
      <c r="O14355" s="33" t="str">
        <f>IFERROR(VLOOKUP($M14355,'Informations sur les produits'!$A$3:$H$10000,8,FALSE),"0")</f>
        <v>0</v>
      </c>
      <c r="P14355" s="33">
        <f t="shared" si="896"/>
        <v>0</v>
      </c>
      <c r="Q14355" s="31" t="str">
        <f t="shared" si="897"/>
        <v/>
      </c>
      <c r="R14355" s="32" t="str">
        <f>IFERROR(VLOOKUP($D14355,'Informations sur les produits'!$A$3:$B$15000,2,FALSE),"")</f>
        <v/>
      </c>
      <c r="V14355">
        <f t="shared" si="898"/>
        <v>0</v>
      </c>
      <c r="W14355">
        <f t="shared" si="899"/>
        <v>0</v>
      </c>
    </row>
    <row r="14356" spans="5:23" x14ac:dyDescent="0.25">
      <c r="E14356" s="4"/>
      <c r="F14356" s="4"/>
      <c r="G14356" s="33" t="str">
        <f>IFERROR(VLOOKUP($D14356,'Informations sur les produits'!$A$3:$H$10000,8,FALSE),"0")</f>
        <v>0</v>
      </c>
      <c r="K14356" s="4"/>
      <c r="L14356" s="33" t="str">
        <f>IFERROR(VLOOKUP($J14356,'Informations sur les produits'!$A$3:$H$10000,8,FALSE),"0")</f>
        <v>0</v>
      </c>
      <c r="N14356" s="8"/>
      <c r="O14356" s="33" t="str">
        <f>IFERROR(VLOOKUP($M14356,'Informations sur les produits'!$A$3:$H$10000,8,FALSE),"0")</f>
        <v>0</v>
      </c>
      <c r="P14356" s="33">
        <f t="shared" si="896"/>
        <v>0</v>
      </c>
      <c r="Q14356" s="31" t="str">
        <f t="shared" si="897"/>
        <v/>
      </c>
      <c r="R14356" s="32" t="str">
        <f>IFERROR(VLOOKUP($D14356,'Informations sur les produits'!$A$3:$B$15000,2,FALSE),"")</f>
        <v/>
      </c>
      <c r="V14356">
        <f t="shared" si="898"/>
        <v>0</v>
      </c>
      <c r="W14356">
        <f t="shared" si="899"/>
        <v>0</v>
      </c>
    </row>
    <row r="14357" spans="5:23" x14ac:dyDescent="0.25">
      <c r="E14357" s="4"/>
      <c r="F14357" s="4"/>
      <c r="G14357" s="33" t="str">
        <f>IFERROR(VLOOKUP($D14357,'Informations sur les produits'!$A$3:$H$10000,8,FALSE),"0")</f>
        <v>0</v>
      </c>
      <c r="K14357" s="4"/>
      <c r="L14357" s="33" t="str">
        <f>IFERROR(VLOOKUP($J14357,'Informations sur les produits'!$A$3:$H$10000,8,FALSE),"0")</f>
        <v>0</v>
      </c>
      <c r="N14357" s="8"/>
      <c r="O14357" s="33" t="str">
        <f>IFERROR(VLOOKUP($M14357,'Informations sur les produits'!$A$3:$H$10000,8,FALSE),"0")</f>
        <v>0</v>
      </c>
      <c r="P14357" s="33">
        <f t="shared" si="896"/>
        <v>0</v>
      </c>
      <c r="Q14357" s="31" t="str">
        <f t="shared" si="897"/>
        <v/>
      </c>
      <c r="R14357" s="32" t="str">
        <f>IFERROR(VLOOKUP($D14357,'Informations sur les produits'!$A$3:$B$15000,2,FALSE),"")</f>
        <v/>
      </c>
      <c r="V14357">
        <f t="shared" si="898"/>
        <v>0</v>
      </c>
      <c r="W14357">
        <f t="shared" si="899"/>
        <v>0</v>
      </c>
    </row>
    <row r="14358" spans="5:23" x14ac:dyDescent="0.25">
      <c r="E14358" s="4"/>
      <c r="F14358" s="4"/>
      <c r="G14358" s="33" t="str">
        <f>IFERROR(VLOOKUP($D14358,'Informations sur les produits'!$A$3:$H$10000,8,FALSE),"0")</f>
        <v>0</v>
      </c>
      <c r="K14358" s="4"/>
      <c r="L14358" s="33" t="str">
        <f>IFERROR(VLOOKUP($J14358,'Informations sur les produits'!$A$3:$H$10000,8,FALSE),"0")</f>
        <v>0</v>
      </c>
      <c r="N14358" s="8"/>
      <c r="O14358" s="33" t="str">
        <f>IFERROR(VLOOKUP($M14358,'Informations sur les produits'!$A$3:$H$10000,8,FALSE),"0")</f>
        <v>0</v>
      </c>
      <c r="P14358" s="33">
        <f t="shared" si="896"/>
        <v>0</v>
      </c>
      <c r="Q14358" s="31" t="str">
        <f t="shared" si="897"/>
        <v/>
      </c>
      <c r="R14358" s="32" t="str">
        <f>IFERROR(VLOOKUP($D14358,'Informations sur les produits'!$A$3:$B$15000,2,FALSE),"")</f>
        <v/>
      </c>
      <c r="V14358">
        <f t="shared" si="898"/>
        <v>0</v>
      </c>
      <c r="W14358">
        <f t="shared" si="899"/>
        <v>0</v>
      </c>
    </row>
    <row r="14359" spans="5:23" x14ac:dyDescent="0.25">
      <c r="E14359" s="4"/>
      <c r="F14359" s="4"/>
      <c r="G14359" s="33" t="str">
        <f>IFERROR(VLOOKUP($D14359,'Informations sur les produits'!$A$3:$H$10000,8,FALSE),"0")</f>
        <v>0</v>
      </c>
      <c r="K14359" s="4"/>
      <c r="L14359" s="33" t="str">
        <f>IFERROR(VLOOKUP($J14359,'Informations sur les produits'!$A$3:$H$10000,8,FALSE),"0")</f>
        <v>0</v>
      </c>
      <c r="N14359" s="8"/>
      <c r="O14359" s="33" t="str">
        <f>IFERROR(VLOOKUP($M14359,'Informations sur les produits'!$A$3:$H$10000,8,FALSE),"0")</f>
        <v>0</v>
      </c>
      <c r="P14359" s="33">
        <f t="shared" si="896"/>
        <v>0</v>
      </c>
      <c r="Q14359" s="31" t="str">
        <f t="shared" si="897"/>
        <v/>
      </c>
      <c r="R14359" s="32" t="str">
        <f>IFERROR(VLOOKUP($D14359,'Informations sur les produits'!$A$3:$B$15000,2,FALSE),"")</f>
        <v/>
      </c>
      <c r="V14359">
        <f t="shared" si="898"/>
        <v>0</v>
      </c>
      <c r="W14359">
        <f t="shared" si="899"/>
        <v>0</v>
      </c>
    </row>
    <row r="14360" spans="5:23" x14ac:dyDescent="0.25">
      <c r="E14360" s="4"/>
      <c r="F14360" s="4"/>
      <c r="G14360" s="33" t="str">
        <f>IFERROR(VLOOKUP($D14360,'Informations sur les produits'!$A$3:$H$10000,8,FALSE),"0")</f>
        <v>0</v>
      </c>
      <c r="K14360" s="4"/>
      <c r="L14360" s="33" t="str">
        <f>IFERROR(VLOOKUP($J14360,'Informations sur les produits'!$A$3:$H$10000,8,FALSE),"0")</f>
        <v>0</v>
      </c>
      <c r="N14360" s="8"/>
      <c r="O14360" s="33" t="str">
        <f>IFERROR(VLOOKUP($M14360,'Informations sur les produits'!$A$3:$H$10000,8,FALSE),"0")</f>
        <v>0</v>
      </c>
      <c r="P14360" s="33">
        <f t="shared" si="896"/>
        <v>0</v>
      </c>
      <c r="Q14360" s="31" t="str">
        <f t="shared" si="897"/>
        <v/>
      </c>
      <c r="R14360" s="32" t="str">
        <f>IFERROR(VLOOKUP($D14360,'Informations sur les produits'!$A$3:$B$15000,2,FALSE),"")</f>
        <v/>
      </c>
      <c r="V14360">
        <f t="shared" si="898"/>
        <v>0</v>
      </c>
      <c r="W14360">
        <f t="shared" si="899"/>
        <v>0</v>
      </c>
    </row>
    <row r="14361" spans="5:23" x14ac:dyDescent="0.25">
      <c r="E14361" s="4"/>
      <c r="F14361" s="4"/>
      <c r="G14361" s="33" t="str">
        <f>IFERROR(VLOOKUP($D14361,'Informations sur les produits'!$A$3:$H$10000,8,FALSE),"0")</f>
        <v>0</v>
      </c>
      <c r="K14361" s="4"/>
      <c r="L14361" s="33" t="str">
        <f>IFERROR(VLOOKUP($J14361,'Informations sur les produits'!$A$3:$H$10000,8,FALSE),"0")</f>
        <v>0</v>
      </c>
      <c r="N14361" s="8"/>
      <c r="O14361" s="33" t="str">
        <f>IFERROR(VLOOKUP($M14361,'Informations sur les produits'!$A$3:$H$10000,8,FALSE),"0")</f>
        <v>0</v>
      </c>
      <c r="P14361" s="33">
        <f t="shared" si="896"/>
        <v>0</v>
      </c>
      <c r="Q14361" s="31" t="str">
        <f t="shared" si="897"/>
        <v/>
      </c>
      <c r="R14361" s="32" t="str">
        <f>IFERROR(VLOOKUP($D14361,'Informations sur les produits'!$A$3:$B$15000,2,FALSE),"")</f>
        <v/>
      </c>
      <c r="V14361">
        <f t="shared" si="898"/>
        <v>0</v>
      </c>
      <c r="W14361">
        <f t="shared" si="899"/>
        <v>0</v>
      </c>
    </row>
    <row r="14362" spans="5:23" x14ac:dyDescent="0.25">
      <c r="E14362" s="4"/>
      <c r="F14362" s="4"/>
      <c r="G14362" s="33" t="str">
        <f>IFERROR(VLOOKUP($D14362,'Informations sur les produits'!$A$3:$H$10000,8,FALSE),"0")</f>
        <v>0</v>
      </c>
      <c r="K14362" s="4"/>
      <c r="L14362" s="33" t="str">
        <f>IFERROR(VLOOKUP($J14362,'Informations sur les produits'!$A$3:$H$10000,8,FALSE),"0")</f>
        <v>0</v>
      </c>
      <c r="N14362" s="8"/>
      <c r="O14362" s="33" t="str">
        <f>IFERROR(VLOOKUP($M14362,'Informations sur les produits'!$A$3:$H$10000,8,FALSE),"0")</f>
        <v>0</v>
      </c>
      <c r="P14362" s="33">
        <f t="shared" si="896"/>
        <v>0</v>
      </c>
      <c r="Q14362" s="31" t="str">
        <f t="shared" si="897"/>
        <v/>
      </c>
      <c r="R14362" s="32" t="str">
        <f>IFERROR(VLOOKUP($D14362,'Informations sur les produits'!$A$3:$B$15000,2,FALSE),"")</f>
        <v/>
      </c>
      <c r="V14362">
        <f t="shared" si="898"/>
        <v>0</v>
      </c>
      <c r="W14362">
        <f t="shared" si="899"/>
        <v>0</v>
      </c>
    </row>
    <row r="14363" spans="5:23" x14ac:dyDescent="0.25">
      <c r="E14363" s="4"/>
      <c r="F14363" s="4"/>
      <c r="G14363" s="33" t="str">
        <f>IFERROR(VLOOKUP($D14363,'Informations sur les produits'!$A$3:$H$10000,8,FALSE),"0")</f>
        <v>0</v>
      </c>
      <c r="K14363" s="4"/>
      <c r="L14363" s="33" t="str">
        <f>IFERROR(VLOOKUP($J14363,'Informations sur les produits'!$A$3:$H$10000,8,FALSE),"0")</f>
        <v>0</v>
      </c>
      <c r="N14363" s="8"/>
      <c r="O14363" s="33" t="str">
        <f>IFERROR(VLOOKUP($M14363,'Informations sur les produits'!$A$3:$H$10000,8,FALSE),"0")</f>
        <v>0</v>
      </c>
      <c r="P14363" s="33">
        <f t="shared" si="896"/>
        <v>0</v>
      </c>
      <c r="Q14363" s="31" t="str">
        <f t="shared" si="897"/>
        <v/>
      </c>
      <c r="R14363" s="32" t="str">
        <f>IFERROR(VLOOKUP($D14363,'Informations sur les produits'!$A$3:$B$15000,2,FALSE),"")</f>
        <v/>
      </c>
      <c r="V14363">
        <f t="shared" si="898"/>
        <v>0</v>
      </c>
      <c r="W14363">
        <f t="shared" si="899"/>
        <v>0</v>
      </c>
    </row>
    <row r="14364" spans="5:23" x14ac:dyDescent="0.25">
      <c r="E14364" s="4"/>
      <c r="F14364" s="4"/>
      <c r="G14364" s="33" t="str">
        <f>IFERROR(VLOOKUP($D14364,'Informations sur les produits'!$A$3:$H$10000,8,FALSE),"0")</f>
        <v>0</v>
      </c>
      <c r="K14364" s="4"/>
      <c r="L14364" s="33" t="str">
        <f>IFERROR(VLOOKUP($J14364,'Informations sur les produits'!$A$3:$H$10000,8,FALSE),"0")</f>
        <v>0</v>
      </c>
      <c r="N14364" s="8"/>
      <c r="O14364" s="33" t="str">
        <f>IFERROR(VLOOKUP($M14364,'Informations sur les produits'!$A$3:$H$10000,8,FALSE),"0")</f>
        <v>0</v>
      </c>
      <c r="P14364" s="33">
        <f t="shared" si="896"/>
        <v>0</v>
      </c>
      <c r="Q14364" s="31" t="str">
        <f t="shared" si="897"/>
        <v/>
      </c>
      <c r="R14364" s="32" t="str">
        <f>IFERROR(VLOOKUP($D14364,'Informations sur les produits'!$A$3:$B$15000,2,FALSE),"")</f>
        <v/>
      </c>
      <c r="V14364">
        <f t="shared" si="898"/>
        <v>0</v>
      </c>
      <c r="W14364">
        <f t="shared" si="899"/>
        <v>0</v>
      </c>
    </row>
    <row r="14365" spans="5:23" x14ac:dyDescent="0.25">
      <c r="E14365" s="4"/>
      <c r="F14365" s="4"/>
      <c r="G14365" s="33" t="str">
        <f>IFERROR(VLOOKUP($D14365,'Informations sur les produits'!$A$3:$H$10000,8,FALSE),"0")</f>
        <v>0</v>
      </c>
      <c r="K14365" s="4"/>
      <c r="L14365" s="33" t="str">
        <f>IFERROR(VLOOKUP($J14365,'Informations sur les produits'!$A$3:$H$10000,8,FALSE),"0")</f>
        <v>0</v>
      </c>
      <c r="N14365" s="8"/>
      <c r="O14365" s="33" t="str">
        <f>IFERROR(VLOOKUP($M14365,'Informations sur les produits'!$A$3:$H$10000,8,FALSE),"0")</f>
        <v>0</v>
      </c>
      <c r="P14365" s="33">
        <f t="shared" si="896"/>
        <v>0</v>
      </c>
      <c r="Q14365" s="31" t="str">
        <f t="shared" si="897"/>
        <v/>
      </c>
      <c r="R14365" s="32" t="str">
        <f>IFERROR(VLOOKUP($D14365,'Informations sur les produits'!$A$3:$B$15000,2,FALSE),"")</f>
        <v/>
      </c>
      <c r="V14365">
        <f t="shared" si="898"/>
        <v>0</v>
      </c>
      <c r="W14365">
        <f t="shared" si="899"/>
        <v>0</v>
      </c>
    </row>
    <row r="14366" spans="5:23" x14ac:dyDescent="0.25">
      <c r="E14366" s="4"/>
      <c r="F14366" s="4"/>
      <c r="G14366" s="33" t="str">
        <f>IFERROR(VLOOKUP($D14366,'Informations sur les produits'!$A$3:$H$10000,8,FALSE),"0")</f>
        <v>0</v>
      </c>
      <c r="K14366" s="4"/>
      <c r="L14366" s="33" t="str">
        <f>IFERROR(VLOOKUP($J14366,'Informations sur les produits'!$A$3:$H$10000,8,FALSE),"0")</f>
        <v>0</v>
      </c>
      <c r="N14366" s="8"/>
      <c r="O14366" s="33" t="str">
        <f>IFERROR(VLOOKUP($M14366,'Informations sur les produits'!$A$3:$H$10000,8,FALSE),"0")</f>
        <v>0</v>
      </c>
      <c r="P14366" s="33">
        <f t="shared" si="896"/>
        <v>0</v>
      </c>
      <c r="Q14366" s="31" t="str">
        <f t="shared" si="897"/>
        <v/>
      </c>
      <c r="R14366" s="32" t="str">
        <f>IFERROR(VLOOKUP($D14366,'Informations sur les produits'!$A$3:$B$15000,2,FALSE),"")</f>
        <v/>
      </c>
      <c r="V14366">
        <f t="shared" si="898"/>
        <v>0</v>
      </c>
      <c r="W14366">
        <f t="shared" si="899"/>
        <v>0</v>
      </c>
    </row>
    <row r="14367" spans="5:23" x14ac:dyDescent="0.25">
      <c r="E14367" s="4"/>
      <c r="F14367" s="4"/>
      <c r="G14367" s="33" t="str">
        <f>IFERROR(VLOOKUP($D14367,'Informations sur les produits'!$A$3:$H$10000,8,FALSE),"0")</f>
        <v>0</v>
      </c>
      <c r="K14367" s="4"/>
      <c r="L14367" s="33" t="str">
        <f>IFERROR(VLOOKUP($J14367,'Informations sur les produits'!$A$3:$H$10000,8,FALSE),"0")</f>
        <v>0</v>
      </c>
      <c r="N14367" s="8"/>
      <c r="O14367" s="33" t="str">
        <f>IFERROR(VLOOKUP($M14367,'Informations sur les produits'!$A$3:$H$10000,8,FALSE),"0")</f>
        <v>0</v>
      </c>
      <c r="P14367" s="33">
        <f t="shared" si="896"/>
        <v>0</v>
      </c>
      <c r="Q14367" s="31" t="str">
        <f t="shared" si="897"/>
        <v/>
      </c>
      <c r="R14367" s="32" t="str">
        <f>IFERROR(VLOOKUP($D14367,'Informations sur les produits'!$A$3:$B$15000,2,FALSE),"")</f>
        <v/>
      </c>
      <c r="V14367">
        <f t="shared" si="898"/>
        <v>0</v>
      </c>
      <c r="W14367">
        <f t="shared" si="899"/>
        <v>0</v>
      </c>
    </row>
    <row r="14368" spans="5:23" x14ac:dyDescent="0.25">
      <c r="E14368" s="4"/>
      <c r="F14368" s="4"/>
      <c r="G14368" s="33" t="str">
        <f>IFERROR(VLOOKUP($D14368,'Informations sur les produits'!$A$3:$H$10000,8,FALSE),"0")</f>
        <v>0</v>
      </c>
      <c r="K14368" s="4"/>
      <c r="L14368" s="33" t="str">
        <f>IFERROR(VLOOKUP($J14368,'Informations sur les produits'!$A$3:$H$10000,8,FALSE),"0")</f>
        <v>0</v>
      </c>
      <c r="N14368" s="8"/>
      <c r="O14368" s="33" t="str">
        <f>IFERROR(VLOOKUP($M14368,'Informations sur les produits'!$A$3:$H$10000,8,FALSE),"0")</f>
        <v>0</v>
      </c>
      <c r="P14368" s="33">
        <f t="shared" si="896"/>
        <v>0</v>
      </c>
      <c r="Q14368" s="31" t="str">
        <f t="shared" si="897"/>
        <v/>
      </c>
      <c r="R14368" s="32" t="str">
        <f>IFERROR(VLOOKUP($D14368,'Informations sur les produits'!$A$3:$B$15000,2,FALSE),"")</f>
        <v/>
      </c>
      <c r="V14368">
        <f t="shared" si="898"/>
        <v>0</v>
      </c>
      <c r="W14368">
        <f t="shared" si="899"/>
        <v>0</v>
      </c>
    </row>
    <row r="14369" spans="5:23" x14ac:dyDescent="0.25">
      <c r="E14369" s="4"/>
      <c r="F14369" s="4"/>
      <c r="G14369" s="33" t="str">
        <f>IFERROR(VLOOKUP($D14369,'Informations sur les produits'!$A$3:$H$10000,8,FALSE),"0")</f>
        <v>0</v>
      </c>
      <c r="K14369" s="4"/>
      <c r="L14369" s="33" t="str">
        <f>IFERROR(VLOOKUP($J14369,'Informations sur les produits'!$A$3:$H$10000,8,FALSE),"0")</f>
        <v>0</v>
      </c>
      <c r="N14369" s="8"/>
      <c r="O14369" s="33" t="str">
        <f>IFERROR(VLOOKUP($M14369,'Informations sur les produits'!$A$3:$H$10000,8,FALSE),"0")</f>
        <v>0</v>
      </c>
      <c r="P14369" s="33">
        <f t="shared" si="896"/>
        <v>0</v>
      </c>
      <c r="Q14369" s="31" t="str">
        <f t="shared" si="897"/>
        <v/>
      </c>
      <c r="R14369" s="32" t="str">
        <f>IFERROR(VLOOKUP($D14369,'Informations sur les produits'!$A$3:$B$15000,2,FALSE),"")</f>
        <v/>
      </c>
      <c r="V14369">
        <f t="shared" si="898"/>
        <v>0</v>
      </c>
      <c r="W14369">
        <f t="shared" si="899"/>
        <v>0</v>
      </c>
    </row>
    <row r="14370" spans="5:23" x14ac:dyDescent="0.25">
      <c r="E14370" s="4"/>
      <c r="F14370" s="4"/>
      <c r="G14370" s="33" t="str">
        <f>IFERROR(VLOOKUP($D14370,'Informations sur les produits'!$A$3:$H$10000,8,FALSE),"0")</f>
        <v>0</v>
      </c>
      <c r="K14370" s="4"/>
      <c r="L14370" s="33" t="str">
        <f>IFERROR(VLOOKUP($J14370,'Informations sur les produits'!$A$3:$H$10000,8,FALSE),"0")</f>
        <v>0</v>
      </c>
      <c r="N14370" s="8"/>
      <c r="O14370" s="33" t="str">
        <f>IFERROR(VLOOKUP($M14370,'Informations sur les produits'!$A$3:$H$10000,8,FALSE),"0")</f>
        <v>0</v>
      </c>
      <c r="P14370" s="33">
        <f t="shared" si="896"/>
        <v>0</v>
      </c>
      <c r="Q14370" s="31" t="str">
        <f t="shared" si="897"/>
        <v/>
      </c>
      <c r="R14370" s="32" t="str">
        <f>IFERROR(VLOOKUP($D14370,'Informations sur les produits'!$A$3:$B$15000,2,FALSE),"")</f>
        <v/>
      </c>
      <c r="V14370">
        <f t="shared" si="898"/>
        <v>0</v>
      </c>
      <c r="W14370">
        <f t="shared" si="899"/>
        <v>0</v>
      </c>
    </row>
    <row r="14371" spans="5:23" x14ac:dyDescent="0.25">
      <c r="E14371" s="4"/>
      <c r="F14371" s="4"/>
      <c r="G14371" s="33" t="str">
        <f>IFERROR(VLOOKUP($D14371,'Informations sur les produits'!$A$3:$H$10000,8,FALSE),"0")</f>
        <v>0</v>
      </c>
      <c r="K14371" s="4"/>
      <c r="L14371" s="33" t="str">
        <f>IFERROR(VLOOKUP($J14371,'Informations sur les produits'!$A$3:$H$10000,8,FALSE),"0")</f>
        <v>0</v>
      </c>
      <c r="N14371" s="8"/>
      <c r="O14371" s="33" t="str">
        <f>IFERROR(VLOOKUP($M14371,'Informations sur les produits'!$A$3:$H$10000,8,FALSE),"0")</f>
        <v>0</v>
      </c>
      <c r="P14371" s="33">
        <f t="shared" si="896"/>
        <v>0</v>
      </c>
      <c r="Q14371" s="31" t="str">
        <f t="shared" si="897"/>
        <v/>
      </c>
      <c r="R14371" s="32" t="str">
        <f>IFERROR(VLOOKUP($D14371,'Informations sur les produits'!$A$3:$B$15000,2,FALSE),"")</f>
        <v/>
      </c>
      <c r="V14371">
        <f t="shared" si="898"/>
        <v>0</v>
      </c>
      <c r="W14371">
        <f t="shared" si="899"/>
        <v>0</v>
      </c>
    </row>
    <row r="14372" spans="5:23" x14ac:dyDescent="0.25">
      <c r="E14372" s="4"/>
      <c r="F14372" s="4"/>
      <c r="G14372" s="33" t="str">
        <f>IFERROR(VLOOKUP($D14372,'Informations sur les produits'!$A$3:$H$10000,8,FALSE),"0")</f>
        <v>0</v>
      </c>
      <c r="K14372" s="4"/>
      <c r="L14372" s="33" t="str">
        <f>IFERROR(VLOOKUP($J14372,'Informations sur les produits'!$A$3:$H$10000,8,FALSE),"0")</f>
        <v>0</v>
      </c>
      <c r="N14372" s="8"/>
      <c r="O14372" s="33" t="str">
        <f>IFERROR(VLOOKUP($M14372,'Informations sur les produits'!$A$3:$H$10000,8,FALSE),"0")</f>
        <v>0</v>
      </c>
      <c r="P14372" s="33">
        <f t="shared" si="896"/>
        <v>0</v>
      </c>
      <c r="Q14372" s="31" t="str">
        <f t="shared" si="897"/>
        <v/>
      </c>
      <c r="R14372" s="32" t="str">
        <f>IFERROR(VLOOKUP($D14372,'Informations sur les produits'!$A$3:$B$15000,2,FALSE),"")</f>
        <v/>
      </c>
      <c r="V14372">
        <f t="shared" si="898"/>
        <v>0</v>
      </c>
      <c r="W14372">
        <f t="shared" si="899"/>
        <v>0</v>
      </c>
    </row>
    <row r="14373" spans="5:23" x14ac:dyDescent="0.25">
      <c r="E14373" s="4"/>
      <c r="F14373" s="4"/>
      <c r="G14373" s="33" t="str">
        <f>IFERROR(VLOOKUP($D14373,'Informations sur les produits'!$A$3:$H$10000,8,FALSE),"0")</f>
        <v>0</v>
      </c>
      <c r="K14373" s="4"/>
      <c r="L14373" s="33" t="str">
        <f>IFERROR(VLOOKUP($J14373,'Informations sur les produits'!$A$3:$H$10000,8,FALSE),"0")</f>
        <v>0</v>
      </c>
      <c r="N14373" s="8"/>
      <c r="O14373" s="33" t="str">
        <f>IFERROR(VLOOKUP($M14373,'Informations sur les produits'!$A$3:$H$10000,8,FALSE),"0")</f>
        <v>0</v>
      </c>
      <c r="P14373" s="33">
        <f t="shared" si="896"/>
        <v>0</v>
      </c>
      <c r="Q14373" s="31" t="str">
        <f t="shared" si="897"/>
        <v/>
      </c>
      <c r="R14373" s="32" t="str">
        <f>IFERROR(VLOOKUP($D14373,'Informations sur les produits'!$A$3:$B$15000,2,FALSE),"")</f>
        <v/>
      </c>
      <c r="V14373">
        <f t="shared" si="898"/>
        <v>0</v>
      </c>
      <c r="W14373">
        <f t="shared" si="899"/>
        <v>0</v>
      </c>
    </row>
    <row r="14374" spans="5:23" x14ac:dyDescent="0.25">
      <c r="E14374" s="4"/>
      <c r="F14374" s="4"/>
      <c r="G14374" s="33" t="str">
        <f>IFERROR(VLOOKUP($D14374,'Informations sur les produits'!$A$3:$H$10000,8,FALSE),"0")</f>
        <v>0</v>
      </c>
      <c r="K14374" s="4"/>
      <c r="L14374" s="33" t="str">
        <f>IFERROR(VLOOKUP($J14374,'Informations sur les produits'!$A$3:$H$10000,8,FALSE),"0")</f>
        <v>0</v>
      </c>
      <c r="N14374" s="8"/>
      <c r="O14374" s="33" t="str">
        <f>IFERROR(VLOOKUP($M14374,'Informations sur les produits'!$A$3:$H$10000,8,FALSE),"0")</f>
        <v>0</v>
      </c>
      <c r="P14374" s="33">
        <f t="shared" si="896"/>
        <v>0</v>
      </c>
      <c r="Q14374" s="31" t="str">
        <f t="shared" si="897"/>
        <v/>
      </c>
      <c r="R14374" s="32" t="str">
        <f>IFERROR(VLOOKUP($D14374,'Informations sur les produits'!$A$3:$B$15000,2,FALSE),"")</f>
        <v/>
      </c>
      <c r="V14374">
        <f t="shared" si="898"/>
        <v>0</v>
      </c>
      <c r="W14374">
        <f t="shared" si="899"/>
        <v>0</v>
      </c>
    </row>
    <row r="14375" spans="5:23" x14ac:dyDescent="0.25">
      <c r="E14375" s="4"/>
      <c r="F14375" s="4"/>
      <c r="G14375" s="33" t="str">
        <f>IFERROR(VLOOKUP($D14375,'Informations sur les produits'!$A$3:$H$10000,8,FALSE),"0")</f>
        <v>0</v>
      </c>
      <c r="K14375" s="4"/>
      <c r="L14375" s="33" t="str">
        <f>IFERROR(VLOOKUP($J14375,'Informations sur les produits'!$A$3:$H$10000,8,FALSE),"0")</f>
        <v>0</v>
      </c>
      <c r="N14375" s="8"/>
      <c r="O14375" s="33" t="str">
        <f>IFERROR(VLOOKUP($M14375,'Informations sur les produits'!$A$3:$H$10000,8,FALSE),"0")</f>
        <v>0</v>
      </c>
      <c r="P14375" s="33">
        <f t="shared" si="896"/>
        <v>0</v>
      </c>
      <c r="Q14375" s="31" t="str">
        <f t="shared" si="897"/>
        <v/>
      </c>
      <c r="R14375" s="32" t="str">
        <f>IFERROR(VLOOKUP($D14375,'Informations sur les produits'!$A$3:$B$15000,2,FALSE),"")</f>
        <v/>
      </c>
      <c r="V14375">
        <f t="shared" si="898"/>
        <v>0</v>
      </c>
      <c r="W14375">
        <f t="shared" si="899"/>
        <v>0</v>
      </c>
    </row>
    <row r="14376" spans="5:23" x14ac:dyDescent="0.25">
      <c r="E14376" s="4"/>
      <c r="F14376" s="4"/>
      <c r="G14376" s="33" t="str">
        <f>IFERROR(VLOOKUP($D14376,'Informations sur les produits'!$A$3:$H$10000,8,FALSE),"0")</f>
        <v>0</v>
      </c>
      <c r="K14376" s="4"/>
      <c r="L14376" s="33" t="str">
        <f>IFERROR(VLOOKUP($J14376,'Informations sur les produits'!$A$3:$H$10000,8,FALSE),"0")</f>
        <v>0</v>
      </c>
      <c r="N14376" s="8"/>
      <c r="O14376" s="33" t="str">
        <f>IFERROR(VLOOKUP($M14376,'Informations sur les produits'!$A$3:$H$10000,8,FALSE),"0")</f>
        <v>0</v>
      </c>
      <c r="P14376" s="33">
        <f t="shared" si="896"/>
        <v>0</v>
      </c>
      <c r="Q14376" s="31" t="str">
        <f t="shared" si="897"/>
        <v/>
      </c>
      <c r="R14376" s="32" t="str">
        <f>IFERROR(VLOOKUP($D14376,'Informations sur les produits'!$A$3:$B$15000,2,FALSE),"")</f>
        <v/>
      </c>
      <c r="V14376">
        <f t="shared" si="898"/>
        <v>0</v>
      </c>
      <c r="W14376">
        <f t="shared" si="899"/>
        <v>0</v>
      </c>
    </row>
    <row r="14377" spans="5:23" x14ac:dyDescent="0.25">
      <c r="E14377" s="4"/>
      <c r="F14377" s="4"/>
      <c r="G14377" s="33" t="str">
        <f>IFERROR(VLOOKUP($D14377,'Informations sur les produits'!$A$3:$H$10000,8,FALSE),"0")</f>
        <v>0</v>
      </c>
      <c r="K14377" s="4"/>
      <c r="L14377" s="33" t="str">
        <f>IFERROR(VLOOKUP($J14377,'Informations sur les produits'!$A$3:$H$10000,8,FALSE),"0")</f>
        <v>0</v>
      </c>
      <c r="N14377" s="8"/>
      <c r="O14377" s="33" t="str">
        <f>IFERROR(VLOOKUP($M14377,'Informations sur les produits'!$A$3:$H$10000,8,FALSE),"0")</f>
        <v>0</v>
      </c>
      <c r="P14377" s="33">
        <f t="shared" si="896"/>
        <v>0</v>
      </c>
      <c r="Q14377" s="31" t="str">
        <f t="shared" si="897"/>
        <v/>
      </c>
      <c r="R14377" s="32" t="str">
        <f>IFERROR(VLOOKUP($D14377,'Informations sur les produits'!$A$3:$B$15000,2,FALSE),"")</f>
        <v/>
      </c>
      <c r="V14377">
        <f t="shared" si="898"/>
        <v>0</v>
      </c>
      <c r="W14377">
        <f t="shared" si="899"/>
        <v>0</v>
      </c>
    </row>
    <row r="14378" spans="5:23" x14ac:dyDescent="0.25">
      <c r="E14378" s="4"/>
      <c r="F14378" s="4"/>
      <c r="G14378" s="33" t="str">
        <f>IFERROR(VLOOKUP($D14378,'Informations sur les produits'!$A$3:$H$10000,8,FALSE),"0")</f>
        <v>0</v>
      </c>
      <c r="K14378" s="4"/>
      <c r="L14378" s="33" t="str">
        <f>IFERROR(VLOOKUP($J14378,'Informations sur les produits'!$A$3:$H$10000,8,FALSE),"0")</f>
        <v>0</v>
      </c>
      <c r="N14378" s="8"/>
      <c r="O14378" s="33" t="str">
        <f>IFERROR(VLOOKUP($M14378,'Informations sur les produits'!$A$3:$H$10000,8,FALSE),"0")</f>
        <v>0</v>
      </c>
      <c r="P14378" s="33">
        <f t="shared" si="896"/>
        <v>0</v>
      </c>
      <c r="Q14378" s="31" t="str">
        <f t="shared" si="897"/>
        <v/>
      </c>
      <c r="R14378" s="32" t="str">
        <f>IFERROR(VLOOKUP($D14378,'Informations sur les produits'!$A$3:$B$15000,2,FALSE),"")</f>
        <v/>
      </c>
      <c r="V14378">
        <f t="shared" si="898"/>
        <v>0</v>
      </c>
      <c r="W14378">
        <f t="shared" si="899"/>
        <v>0</v>
      </c>
    </row>
    <row r="14379" spans="5:23" x14ac:dyDescent="0.25">
      <c r="E14379" s="4"/>
      <c r="F14379" s="4"/>
      <c r="G14379" s="33" t="str">
        <f>IFERROR(VLOOKUP($D14379,'Informations sur les produits'!$A$3:$H$10000,8,FALSE),"0")</f>
        <v>0</v>
      </c>
      <c r="K14379" s="4"/>
      <c r="L14379" s="33" t="str">
        <f>IFERROR(VLOOKUP($J14379,'Informations sur les produits'!$A$3:$H$10000,8,FALSE),"0")</f>
        <v>0</v>
      </c>
      <c r="N14379" s="8"/>
      <c r="O14379" s="33" t="str">
        <f>IFERROR(VLOOKUP($M14379,'Informations sur les produits'!$A$3:$H$10000,8,FALSE),"0")</f>
        <v>0</v>
      </c>
      <c r="P14379" s="33">
        <f t="shared" si="896"/>
        <v>0</v>
      </c>
      <c r="Q14379" s="31" t="str">
        <f t="shared" si="897"/>
        <v/>
      </c>
      <c r="R14379" s="32" t="str">
        <f>IFERROR(VLOOKUP($D14379,'Informations sur les produits'!$A$3:$B$15000,2,FALSE),"")</f>
        <v/>
      </c>
      <c r="V14379">
        <f t="shared" si="898"/>
        <v>0</v>
      </c>
      <c r="W14379">
        <f t="shared" si="899"/>
        <v>0</v>
      </c>
    </row>
    <row r="14380" spans="5:23" x14ac:dyDescent="0.25">
      <c r="E14380" s="4"/>
      <c r="F14380" s="4"/>
      <c r="G14380" s="33" t="str">
        <f>IFERROR(VLOOKUP($D14380,'Informations sur les produits'!$A$3:$H$10000,8,FALSE),"0")</f>
        <v>0</v>
      </c>
      <c r="K14380" s="4"/>
      <c r="L14380" s="33" t="str">
        <f>IFERROR(VLOOKUP($J14380,'Informations sur les produits'!$A$3:$H$10000,8,FALSE),"0")</f>
        <v>0</v>
      </c>
      <c r="N14380" s="8"/>
      <c r="O14380" s="33" t="str">
        <f>IFERROR(VLOOKUP($M14380,'Informations sur les produits'!$A$3:$H$10000,8,FALSE),"0")</f>
        <v>0</v>
      </c>
      <c r="P14380" s="33">
        <f t="shared" si="896"/>
        <v>0</v>
      </c>
      <c r="Q14380" s="31" t="str">
        <f t="shared" si="897"/>
        <v/>
      </c>
      <c r="R14380" s="32" t="str">
        <f>IFERROR(VLOOKUP($D14380,'Informations sur les produits'!$A$3:$B$15000,2,FALSE),"")</f>
        <v/>
      </c>
      <c r="V14380">
        <f t="shared" si="898"/>
        <v>0</v>
      </c>
      <c r="W14380">
        <f t="shared" si="899"/>
        <v>0</v>
      </c>
    </row>
    <row r="14381" spans="5:23" x14ac:dyDescent="0.25">
      <c r="E14381" s="4"/>
      <c r="F14381" s="4"/>
      <c r="G14381" s="33" t="str">
        <f>IFERROR(VLOOKUP($D14381,'Informations sur les produits'!$A$3:$H$10000,8,FALSE),"0")</f>
        <v>0</v>
      </c>
      <c r="K14381" s="4"/>
      <c r="L14381" s="33" t="str">
        <f>IFERROR(VLOOKUP($J14381,'Informations sur les produits'!$A$3:$H$10000,8,FALSE),"0")</f>
        <v>0</v>
      </c>
      <c r="N14381" s="8"/>
      <c r="O14381" s="33" t="str">
        <f>IFERROR(VLOOKUP($M14381,'Informations sur les produits'!$A$3:$H$10000,8,FALSE),"0")</f>
        <v>0</v>
      </c>
      <c r="P14381" s="33">
        <f t="shared" si="896"/>
        <v>0</v>
      </c>
      <c r="Q14381" s="31" t="str">
        <f t="shared" si="897"/>
        <v/>
      </c>
      <c r="R14381" s="32" t="str">
        <f>IFERROR(VLOOKUP($D14381,'Informations sur les produits'!$A$3:$B$15000,2,FALSE),"")</f>
        <v/>
      </c>
      <c r="V14381">
        <f t="shared" si="898"/>
        <v>0</v>
      </c>
      <c r="W14381">
        <f t="shared" si="899"/>
        <v>0</v>
      </c>
    </row>
    <row r="14382" spans="5:23" x14ac:dyDescent="0.25">
      <c r="E14382" s="4"/>
      <c r="F14382" s="4"/>
      <c r="G14382" s="33" t="str">
        <f>IFERROR(VLOOKUP($D14382,'Informations sur les produits'!$A$3:$H$10000,8,FALSE),"0")</f>
        <v>0</v>
      </c>
      <c r="K14382" s="4"/>
      <c r="L14382" s="33" t="str">
        <f>IFERROR(VLOOKUP($J14382,'Informations sur les produits'!$A$3:$H$10000,8,FALSE),"0")</f>
        <v>0</v>
      </c>
      <c r="N14382" s="8"/>
      <c r="O14382" s="33" t="str">
        <f>IFERROR(VLOOKUP($M14382,'Informations sur les produits'!$A$3:$H$10000,8,FALSE),"0")</f>
        <v>0</v>
      </c>
      <c r="P14382" s="33">
        <f t="shared" si="896"/>
        <v>0</v>
      </c>
      <c r="Q14382" s="31" t="str">
        <f t="shared" si="897"/>
        <v/>
      </c>
      <c r="R14382" s="32" t="str">
        <f>IFERROR(VLOOKUP($D14382,'Informations sur les produits'!$A$3:$B$15000,2,FALSE),"")</f>
        <v/>
      </c>
      <c r="V14382">
        <f t="shared" si="898"/>
        <v>0</v>
      </c>
      <c r="W14382">
        <f t="shared" si="899"/>
        <v>0</v>
      </c>
    </row>
    <row r="14383" spans="5:23" x14ac:dyDescent="0.25">
      <c r="E14383" s="4"/>
      <c r="F14383" s="4"/>
      <c r="G14383" s="33" t="str">
        <f>IFERROR(VLOOKUP($D14383,'Informations sur les produits'!$A$3:$H$10000,8,FALSE),"0")</f>
        <v>0</v>
      </c>
      <c r="K14383" s="4"/>
      <c r="L14383" s="33" t="str">
        <f>IFERROR(VLOOKUP($J14383,'Informations sur les produits'!$A$3:$H$10000,8,FALSE),"0")</f>
        <v>0</v>
      </c>
      <c r="N14383" s="8"/>
      <c r="O14383" s="33" t="str">
        <f>IFERROR(VLOOKUP($M14383,'Informations sur les produits'!$A$3:$H$10000,8,FALSE),"0")</f>
        <v>0</v>
      </c>
      <c r="P14383" s="33">
        <f t="shared" si="896"/>
        <v>0</v>
      </c>
      <c r="Q14383" s="31" t="str">
        <f t="shared" si="897"/>
        <v/>
      </c>
      <c r="R14383" s="32" t="str">
        <f>IFERROR(VLOOKUP($D14383,'Informations sur les produits'!$A$3:$B$15000,2,FALSE),"")</f>
        <v/>
      </c>
      <c r="V14383">
        <f t="shared" si="898"/>
        <v>0</v>
      </c>
      <c r="W14383">
        <f t="shared" si="899"/>
        <v>0</v>
      </c>
    </row>
    <row r="14384" spans="5:23" x14ac:dyDescent="0.25">
      <c r="E14384" s="4"/>
      <c r="F14384" s="4"/>
      <c r="G14384" s="33" t="str">
        <f>IFERROR(VLOOKUP($D14384,'Informations sur les produits'!$A$3:$H$10000,8,FALSE),"0")</f>
        <v>0</v>
      </c>
      <c r="K14384" s="4"/>
      <c r="L14384" s="33" t="str">
        <f>IFERROR(VLOOKUP($J14384,'Informations sur les produits'!$A$3:$H$10000,8,FALSE),"0")</f>
        <v>0</v>
      </c>
      <c r="N14384" s="8"/>
      <c r="O14384" s="33" t="str">
        <f>IFERROR(VLOOKUP($M14384,'Informations sur les produits'!$A$3:$H$10000,8,FALSE),"0")</f>
        <v>0</v>
      </c>
      <c r="P14384" s="33">
        <f t="shared" si="896"/>
        <v>0</v>
      </c>
      <c r="Q14384" s="31" t="str">
        <f t="shared" si="897"/>
        <v/>
      </c>
      <c r="R14384" s="32" t="str">
        <f>IFERROR(VLOOKUP($D14384,'Informations sur les produits'!$A$3:$B$15000,2,FALSE),"")</f>
        <v/>
      </c>
      <c r="V14384">
        <f t="shared" si="898"/>
        <v>0</v>
      </c>
      <c r="W14384">
        <f t="shared" si="899"/>
        <v>0</v>
      </c>
    </row>
    <row r="14385" spans="5:23" x14ac:dyDescent="0.25">
      <c r="E14385" s="4"/>
      <c r="F14385" s="4"/>
      <c r="G14385" s="33" t="str">
        <f>IFERROR(VLOOKUP($D14385,'Informations sur les produits'!$A$3:$H$10000,8,FALSE),"0")</f>
        <v>0</v>
      </c>
      <c r="K14385" s="4"/>
      <c r="L14385" s="33" t="str">
        <f>IFERROR(VLOOKUP($J14385,'Informations sur les produits'!$A$3:$H$10000,8,FALSE),"0")</f>
        <v>0</v>
      </c>
      <c r="N14385" s="8"/>
      <c r="O14385" s="33" t="str">
        <f>IFERROR(VLOOKUP($M14385,'Informations sur les produits'!$A$3:$H$10000,8,FALSE),"0")</f>
        <v>0</v>
      </c>
      <c r="P14385" s="33">
        <f t="shared" si="896"/>
        <v>0</v>
      </c>
      <c r="Q14385" s="31" t="str">
        <f t="shared" si="897"/>
        <v/>
      </c>
      <c r="R14385" s="32" t="str">
        <f>IFERROR(VLOOKUP($D14385,'Informations sur les produits'!$A$3:$B$15000,2,FALSE),"")</f>
        <v/>
      </c>
      <c r="V14385">
        <f t="shared" si="898"/>
        <v>0</v>
      </c>
      <c r="W14385">
        <f t="shared" si="899"/>
        <v>0</v>
      </c>
    </row>
    <row r="14386" spans="5:23" x14ac:dyDescent="0.25">
      <c r="E14386" s="4"/>
      <c r="F14386" s="4"/>
      <c r="G14386" s="33" t="str">
        <f>IFERROR(VLOOKUP($D14386,'Informations sur les produits'!$A$3:$H$10000,8,FALSE),"0")</f>
        <v>0</v>
      </c>
      <c r="K14386" s="4"/>
      <c r="L14386" s="33" t="str">
        <f>IFERROR(VLOOKUP($J14386,'Informations sur les produits'!$A$3:$H$10000,8,FALSE),"0")</f>
        <v>0</v>
      </c>
      <c r="N14386" s="8"/>
      <c r="O14386" s="33" t="str">
        <f>IFERROR(VLOOKUP($M14386,'Informations sur les produits'!$A$3:$H$10000,8,FALSE),"0")</f>
        <v>0</v>
      </c>
      <c r="P14386" s="33">
        <f t="shared" si="896"/>
        <v>0</v>
      </c>
      <c r="Q14386" s="31" t="str">
        <f t="shared" si="897"/>
        <v/>
      </c>
      <c r="R14386" s="32" t="str">
        <f>IFERROR(VLOOKUP($D14386,'Informations sur les produits'!$A$3:$B$15000,2,FALSE),"")</f>
        <v/>
      </c>
      <c r="V14386">
        <f t="shared" si="898"/>
        <v>0</v>
      </c>
      <c r="W14386">
        <f t="shared" si="899"/>
        <v>0</v>
      </c>
    </row>
    <row r="14387" spans="5:23" x14ac:dyDescent="0.25">
      <c r="E14387" s="4"/>
      <c r="F14387" s="4"/>
      <c r="G14387" s="33" t="str">
        <f>IFERROR(VLOOKUP($D14387,'Informations sur les produits'!$A$3:$H$10000,8,FALSE),"0")</f>
        <v>0</v>
      </c>
      <c r="K14387" s="4"/>
      <c r="L14387" s="33" t="str">
        <f>IFERROR(VLOOKUP($J14387,'Informations sur les produits'!$A$3:$H$10000,8,FALSE),"0")</f>
        <v>0</v>
      </c>
      <c r="N14387" s="8"/>
      <c r="O14387" s="33" t="str">
        <f>IFERROR(VLOOKUP($M14387,'Informations sur les produits'!$A$3:$H$10000,8,FALSE),"0")</f>
        <v>0</v>
      </c>
      <c r="P14387" s="33">
        <f t="shared" si="896"/>
        <v>0</v>
      </c>
      <c r="Q14387" s="31" t="str">
        <f t="shared" si="897"/>
        <v/>
      </c>
      <c r="R14387" s="32" t="str">
        <f>IFERROR(VLOOKUP($D14387,'Informations sur les produits'!$A$3:$B$15000,2,FALSE),"")</f>
        <v/>
      </c>
      <c r="V14387">
        <f t="shared" si="898"/>
        <v>0</v>
      </c>
      <c r="W14387">
        <f t="shared" si="899"/>
        <v>0</v>
      </c>
    </row>
    <row r="14388" spans="5:23" x14ac:dyDescent="0.25">
      <c r="E14388" s="4"/>
      <c r="F14388" s="4"/>
      <c r="G14388" s="33" t="str">
        <f>IFERROR(VLOOKUP($D14388,'Informations sur les produits'!$A$3:$H$10000,8,FALSE),"0")</f>
        <v>0</v>
      </c>
      <c r="K14388" s="4"/>
      <c r="L14388" s="33" t="str">
        <f>IFERROR(VLOOKUP($J14388,'Informations sur les produits'!$A$3:$H$10000,8,FALSE),"0")</f>
        <v>0</v>
      </c>
      <c r="N14388" s="8"/>
      <c r="O14388" s="33" t="str">
        <f>IFERROR(VLOOKUP($M14388,'Informations sur les produits'!$A$3:$H$10000,8,FALSE),"0")</f>
        <v>0</v>
      </c>
      <c r="P14388" s="33">
        <f t="shared" si="896"/>
        <v>0</v>
      </c>
      <c r="Q14388" s="31" t="str">
        <f t="shared" si="897"/>
        <v/>
      </c>
      <c r="R14388" s="32" t="str">
        <f>IFERROR(VLOOKUP($D14388,'Informations sur les produits'!$A$3:$B$15000,2,FALSE),"")</f>
        <v/>
      </c>
      <c r="V14388">
        <f t="shared" si="898"/>
        <v>0</v>
      </c>
      <c r="W14388">
        <f t="shared" si="899"/>
        <v>0</v>
      </c>
    </row>
    <row r="14389" spans="5:23" x14ac:dyDescent="0.25">
      <c r="E14389" s="4"/>
      <c r="F14389" s="4"/>
      <c r="G14389" s="33" t="str">
        <f>IFERROR(VLOOKUP($D14389,'Informations sur les produits'!$A$3:$H$10000,8,FALSE),"0")</f>
        <v>0</v>
      </c>
      <c r="K14389" s="4"/>
      <c r="L14389" s="33" t="str">
        <f>IFERROR(VLOOKUP($J14389,'Informations sur les produits'!$A$3:$H$10000,8,FALSE),"0")</f>
        <v>0</v>
      </c>
      <c r="N14389" s="8"/>
      <c r="O14389" s="33" t="str">
        <f>IFERROR(VLOOKUP($M14389,'Informations sur les produits'!$A$3:$H$10000,8,FALSE),"0")</f>
        <v>0</v>
      </c>
      <c r="P14389" s="33">
        <f t="shared" si="896"/>
        <v>0</v>
      </c>
      <c r="Q14389" s="31" t="str">
        <f t="shared" si="897"/>
        <v/>
      </c>
      <c r="R14389" s="32" t="str">
        <f>IFERROR(VLOOKUP($D14389,'Informations sur les produits'!$A$3:$B$15000,2,FALSE),"")</f>
        <v/>
      </c>
      <c r="V14389">
        <f t="shared" si="898"/>
        <v>0</v>
      </c>
      <c r="W14389">
        <f t="shared" si="899"/>
        <v>0</v>
      </c>
    </row>
    <row r="14390" spans="5:23" x14ac:dyDescent="0.25">
      <c r="E14390" s="4"/>
      <c r="F14390" s="4"/>
      <c r="G14390" s="33" t="str">
        <f>IFERROR(VLOOKUP($D14390,'Informations sur les produits'!$A$3:$H$10000,8,FALSE),"0")</f>
        <v>0</v>
      </c>
      <c r="K14390" s="4"/>
      <c r="L14390" s="33" t="str">
        <f>IFERROR(VLOOKUP($J14390,'Informations sur les produits'!$A$3:$H$10000,8,FALSE),"0")</f>
        <v>0</v>
      </c>
      <c r="N14390" s="8"/>
      <c r="O14390" s="33" t="str">
        <f>IFERROR(VLOOKUP($M14390,'Informations sur les produits'!$A$3:$H$10000,8,FALSE),"0")</f>
        <v>0</v>
      </c>
      <c r="P14390" s="33">
        <f t="shared" si="896"/>
        <v>0</v>
      </c>
      <c r="Q14390" s="31" t="str">
        <f t="shared" si="897"/>
        <v/>
      </c>
      <c r="R14390" s="32" t="str">
        <f>IFERROR(VLOOKUP($D14390,'Informations sur les produits'!$A$3:$B$15000,2,FALSE),"")</f>
        <v/>
      </c>
      <c r="V14390">
        <f t="shared" si="898"/>
        <v>0</v>
      </c>
      <c r="W14390">
        <f t="shared" si="899"/>
        <v>0</v>
      </c>
    </row>
    <row r="14391" spans="5:23" x14ac:dyDescent="0.25">
      <c r="E14391" s="4"/>
      <c r="F14391" s="4"/>
      <c r="G14391" s="33" t="str">
        <f>IFERROR(VLOOKUP($D14391,'Informations sur les produits'!$A$3:$H$10000,8,FALSE),"0")</f>
        <v>0</v>
      </c>
      <c r="K14391" s="4"/>
      <c r="L14391" s="33" t="str">
        <f>IFERROR(VLOOKUP($J14391,'Informations sur les produits'!$A$3:$H$10000,8,FALSE),"0")</f>
        <v>0</v>
      </c>
      <c r="N14391" s="8"/>
      <c r="O14391" s="33" t="str">
        <f>IFERROR(VLOOKUP($M14391,'Informations sur les produits'!$A$3:$H$10000,8,FALSE),"0")</f>
        <v>0</v>
      </c>
      <c r="P14391" s="33">
        <f t="shared" si="896"/>
        <v>0</v>
      </c>
      <c r="Q14391" s="31" t="str">
        <f t="shared" si="897"/>
        <v/>
      </c>
      <c r="R14391" s="32" t="str">
        <f>IFERROR(VLOOKUP($D14391,'Informations sur les produits'!$A$3:$B$15000,2,FALSE),"")</f>
        <v/>
      </c>
      <c r="V14391">
        <f t="shared" si="898"/>
        <v>0</v>
      </c>
      <c r="W14391">
        <f t="shared" si="899"/>
        <v>0</v>
      </c>
    </row>
    <row r="14392" spans="5:23" x14ac:dyDescent="0.25">
      <c r="E14392" s="4"/>
      <c r="F14392" s="4"/>
      <c r="G14392" s="33" t="str">
        <f>IFERROR(VLOOKUP($D14392,'Informations sur les produits'!$A$3:$H$10000,8,FALSE),"0")</f>
        <v>0</v>
      </c>
      <c r="K14392" s="4"/>
      <c r="L14392" s="33" t="str">
        <f>IFERROR(VLOOKUP($J14392,'Informations sur les produits'!$A$3:$H$10000,8,FALSE),"0")</f>
        <v>0</v>
      </c>
      <c r="N14392" s="8"/>
      <c r="O14392" s="33" t="str">
        <f>IFERROR(VLOOKUP($M14392,'Informations sur les produits'!$A$3:$H$10000,8,FALSE),"0")</f>
        <v>0</v>
      </c>
      <c r="P14392" s="33">
        <f t="shared" si="896"/>
        <v>0</v>
      </c>
      <c r="Q14392" s="31" t="str">
        <f t="shared" si="897"/>
        <v/>
      </c>
      <c r="R14392" s="32" t="str">
        <f>IFERROR(VLOOKUP($D14392,'Informations sur les produits'!$A$3:$B$15000,2,FALSE),"")</f>
        <v/>
      </c>
      <c r="V14392">
        <f t="shared" si="898"/>
        <v>0</v>
      </c>
      <c r="W14392">
        <f t="shared" si="899"/>
        <v>0</v>
      </c>
    </row>
    <row r="14393" spans="5:23" x14ac:dyDescent="0.25">
      <c r="E14393" s="4"/>
      <c r="F14393" s="4"/>
      <c r="G14393" s="33" t="str">
        <f>IFERROR(VLOOKUP($D14393,'Informations sur les produits'!$A$3:$H$10000,8,FALSE),"0")</f>
        <v>0</v>
      </c>
      <c r="K14393" s="4"/>
      <c r="L14393" s="33" t="str">
        <f>IFERROR(VLOOKUP($J14393,'Informations sur les produits'!$A$3:$H$10000,8,FALSE),"0")</f>
        <v>0</v>
      </c>
      <c r="N14393" s="8"/>
      <c r="O14393" s="33" t="str">
        <f>IFERROR(VLOOKUP($M14393,'Informations sur les produits'!$A$3:$H$10000,8,FALSE),"0")</f>
        <v>0</v>
      </c>
      <c r="P14393" s="33">
        <f t="shared" si="896"/>
        <v>0</v>
      </c>
      <c r="Q14393" s="31" t="str">
        <f t="shared" si="897"/>
        <v/>
      </c>
      <c r="R14393" s="32" t="str">
        <f>IFERROR(VLOOKUP($D14393,'Informations sur les produits'!$A$3:$B$15000,2,FALSE),"")</f>
        <v/>
      </c>
      <c r="V14393">
        <f t="shared" si="898"/>
        <v>0</v>
      </c>
      <c r="W14393">
        <f t="shared" si="899"/>
        <v>0</v>
      </c>
    </row>
    <row r="14394" spans="5:23" x14ac:dyDescent="0.25">
      <c r="E14394" s="4"/>
      <c r="F14394" s="4"/>
      <c r="G14394" s="33" t="str">
        <f>IFERROR(VLOOKUP($D14394,'Informations sur les produits'!$A$3:$H$10000,8,FALSE),"0")</f>
        <v>0</v>
      </c>
      <c r="K14394" s="4"/>
      <c r="L14394" s="33" t="str">
        <f>IFERROR(VLOOKUP($J14394,'Informations sur les produits'!$A$3:$H$10000,8,FALSE),"0")</f>
        <v>0</v>
      </c>
      <c r="N14394" s="8"/>
      <c r="O14394" s="33" t="str">
        <f>IFERROR(VLOOKUP($M14394,'Informations sur les produits'!$A$3:$H$10000,8,FALSE),"0")</f>
        <v>0</v>
      </c>
      <c r="P14394" s="33">
        <f t="shared" si="896"/>
        <v>0</v>
      </c>
      <c r="Q14394" s="31" t="str">
        <f t="shared" si="897"/>
        <v/>
      </c>
      <c r="R14394" s="32" t="str">
        <f>IFERROR(VLOOKUP($D14394,'Informations sur les produits'!$A$3:$B$15000,2,FALSE),"")</f>
        <v/>
      </c>
      <c r="V14394">
        <f t="shared" si="898"/>
        <v>0</v>
      </c>
      <c r="W14394">
        <f t="shared" si="899"/>
        <v>0</v>
      </c>
    </row>
    <row r="14395" spans="5:23" x14ac:dyDescent="0.25">
      <c r="E14395" s="4"/>
      <c r="F14395" s="4"/>
      <c r="G14395" s="33" t="str">
        <f>IFERROR(VLOOKUP($D14395,'Informations sur les produits'!$A$3:$H$10000,8,FALSE),"0")</f>
        <v>0</v>
      </c>
      <c r="K14395" s="4"/>
      <c r="L14395" s="33" t="str">
        <f>IFERROR(VLOOKUP($J14395,'Informations sur les produits'!$A$3:$H$10000,8,FALSE),"0")</f>
        <v>0</v>
      </c>
      <c r="N14395" s="8"/>
      <c r="O14395" s="33" t="str">
        <f>IFERROR(VLOOKUP($M14395,'Informations sur les produits'!$A$3:$H$10000,8,FALSE),"0")</f>
        <v>0</v>
      </c>
      <c r="P14395" s="33">
        <f t="shared" si="896"/>
        <v>0</v>
      </c>
      <c r="Q14395" s="31" t="str">
        <f t="shared" si="897"/>
        <v/>
      </c>
      <c r="R14395" s="32" t="str">
        <f>IFERROR(VLOOKUP($D14395,'Informations sur les produits'!$A$3:$B$15000,2,FALSE),"")</f>
        <v/>
      </c>
      <c r="V14395">
        <f t="shared" si="898"/>
        <v>0</v>
      </c>
      <c r="W14395">
        <f t="shared" si="899"/>
        <v>0</v>
      </c>
    </row>
    <row r="14396" spans="5:23" x14ac:dyDescent="0.25">
      <c r="E14396" s="4"/>
      <c r="F14396" s="4"/>
      <c r="G14396" s="33" t="str">
        <f>IFERROR(VLOOKUP($D14396,'Informations sur les produits'!$A$3:$H$10000,8,FALSE),"0")</f>
        <v>0</v>
      </c>
      <c r="K14396" s="4"/>
      <c r="L14396" s="33" t="str">
        <f>IFERROR(VLOOKUP($J14396,'Informations sur les produits'!$A$3:$H$10000,8,FALSE),"0")</f>
        <v>0</v>
      </c>
      <c r="N14396" s="8"/>
      <c r="O14396" s="33" t="str">
        <f>IFERROR(VLOOKUP($M14396,'Informations sur les produits'!$A$3:$H$10000,8,FALSE),"0")</f>
        <v>0</v>
      </c>
      <c r="P14396" s="33">
        <f t="shared" si="896"/>
        <v>0</v>
      </c>
      <c r="Q14396" s="31" t="str">
        <f t="shared" si="897"/>
        <v/>
      </c>
      <c r="R14396" s="32" t="str">
        <f>IFERROR(VLOOKUP($D14396,'Informations sur les produits'!$A$3:$B$15000,2,FALSE),"")</f>
        <v/>
      </c>
      <c r="V14396">
        <f t="shared" si="898"/>
        <v>0</v>
      </c>
      <c r="W14396">
        <f t="shared" si="899"/>
        <v>0</v>
      </c>
    </row>
    <row r="14397" spans="5:23" x14ac:dyDescent="0.25">
      <c r="E14397" s="4"/>
      <c r="F14397" s="4"/>
      <c r="G14397" s="33" t="str">
        <f>IFERROR(VLOOKUP($D14397,'Informations sur les produits'!$A$3:$H$10000,8,FALSE),"0")</f>
        <v>0</v>
      </c>
      <c r="K14397" s="4"/>
      <c r="L14397" s="33" t="str">
        <f>IFERROR(VLOOKUP($J14397,'Informations sur les produits'!$A$3:$H$10000,8,FALSE),"0")</f>
        <v>0</v>
      </c>
      <c r="N14397" s="8"/>
      <c r="O14397" s="33" t="str">
        <f>IFERROR(VLOOKUP($M14397,'Informations sur les produits'!$A$3:$H$10000,8,FALSE),"0")</f>
        <v>0</v>
      </c>
      <c r="P14397" s="33">
        <f t="shared" si="896"/>
        <v>0</v>
      </c>
      <c r="Q14397" s="31" t="str">
        <f t="shared" si="897"/>
        <v/>
      </c>
      <c r="R14397" s="32" t="str">
        <f>IFERROR(VLOOKUP($D14397,'Informations sur les produits'!$A$3:$B$15000,2,FALSE),"")</f>
        <v/>
      </c>
      <c r="V14397">
        <f t="shared" si="898"/>
        <v>0</v>
      </c>
      <c r="W14397">
        <f t="shared" si="899"/>
        <v>0</v>
      </c>
    </row>
    <row r="14398" spans="5:23" x14ac:dyDescent="0.25">
      <c r="E14398" s="4"/>
      <c r="F14398" s="4"/>
      <c r="G14398" s="33" t="str">
        <f>IFERROR(VLOOKUP($D14398,'Informations sur les produits'!$A$3:$H$10000,8,FALSE),"0")</f>
        <v>0</v>
      </c>
      <c r="K14398" s="4"/>
      <c r="L14398" s="33" t="str">
        <f>IFERROR(VLOOKUP($J14398,'Informations sur les produits'!$A$3:$H$10000,8,FALSE),"0")</f>
        <v>0</v>
      </c>
      <c r="N14398" s="8"/>
      <c r="O14398" s="33" t="str">
        <f>IFERROR(VLOOKUP($M14398,'Informations sur les produits'!$A$3:$H$10000,8,FALSE),"0")</f>
        <v>0</v>
      </c>
      <c r="P14398" s="33">
        <f t="shared" si="896"/>
        <v>0</v>
      </c>
      <c r="Q14398" s="31" t="str">
        <f t="shared" si="897"/>
        <v/>
      </c>
      <c r="R14398" s="32" t="str">
        <f>IFERROR(VLOOKUP($D14398,'Informations sur les produits'!$A$3:$B$15000,2,FALSE),"")</f>
        <v/>
      </c>
      <c r="V14398">
        <f t="shared" si="898"/>
        <v>0</v>
      </c>
      <c r="W14398">
        <f t="shared" si="899"/>
        <v>0</v>
      </c>
    </row>
    <row r="14399" spans="5:23" x14ac:dyDescent="0.25">
      <c r="E14399" s="4"/>
      <c r="F14399" s="4"/>
      <c r="G14399" s="33" t="str">
        <f>IFERROR(VLOOKUP($D14399,'Informations sur les produits'!$A$3:$H$10000,8,FALSE),"0")</f>
        <v>0</v>
      </c>
      <c r="K14399" s="4"/>
      <c r="L14399" s="33" t="str">
        <f>IFERROR(VLOOKUP($J14399,'Informations sur les produits'!$A$3:$H$10000,8,FALSE),"0")</f>
        <v>0</v>
      </c>
      <c r="N14399" s="8"/>
      <c r="O14399" s="33" t="str">
        <f>IFERROR(VLOOKUP($M14399,'Informations sur les produits'!$A$3:$H$10000,8,FALSE),"0")</f>
        <v>0</v>
      </c>
      <c r="P14399" s="33">
        <f t="shared" si="896"/>
        <v>0</v>
      </c>
      <c r="Q14399" s="31" t="str">
        <f t="shared" si="897"/>
        <v/>
      </c>
      <c r="R14399" s="32" t="str">
        <f>IFERROR(VLOOKUP($D14399,'Informations sur les produits'!$A$3:$B$15000,2,FALSE),"")</f>
        <v/>
      </c>
      <c r="V14399">
        <f t="shared" si="898"/>
        <v>0</v>
      </c>
      <c r="W14399">
        <f t="shared" si="899"/>
        <v>0</v>
      </c>
    </row>
    <row r="14400" spans="5:23" x14ac:dyDescent="0.25">
      <c r="E14400" s="4"/>
      <c r="F14400" s="4"/>
      <c r="G14400" s="33" t="str">
        <f>IFERROR(VLOOKUP($D14400,'Informations sur les produits'!$A$3:$H$10000,8,FALSE),"0")</f>
        <v>0</v>
      </c>
      <c r="K14400" s="4"/>
      <c r="L14400" s="33" t="str">
        <f>IFERROR(VLOOKUP($J14400,'Informations sur les produits'!$A$3:$H$10000,8,FALSE),"0")</f>
        <v>0</v>
      </c>
      <c r="N14400" s="8"/>
      <c r="O14400" s="33" t="str">
        <f>IFERROR(VLOOKUP($M14400,'Informations sur les produits'!$A$3:$H$10000,8,FALSE),"0")</f>
        <v>0</v>
      </c>
      <c r="P14400" s="33">
        <f t="shared" si="896"/>
        <v>0</v>
      </c>
      <c r="Q14400" s="31" t="str">
        <f t="shared" si="897"/>
        <v/>
      </c>
      <c r="R14400" s="32" t="str">
        <f>IFERROR(VLOOKUP($D14400,'Informations sur les produits'!$A$3:$B$15000,2,FALSE),"")</f>
        <v/>
      </c>
      <c r="V14400">
        <f t="shared" si="898"/>
        <v>0</v>
      </c>
      <c r="W14400">
        <f t="shared" si="899"/>
        <v>0</v>
      </c>
    </row>
    <row r="14401" spans="5:23" x14ac:dyDescent="0.25">
      <c r="E14401" s="4"/>
      <c r="F14401" s="4"/>
      <c r="G14401" s="33" t="str">
        <f>IFERROR(VLOOKUP($D14401,'Informations sur les produits'!$A$3:$H$10000,8,FALSE),"0")</f>
        <v>0</v>
      </c>
      <c r="K14401" s="4"/>
      <c r="L14401" s="33" t="str">
        <f>IFERROR(VLOOKUP($J14401,'Informations sur les produits'!$A$3:$H$10000,8,FALSE),"0")</f>
        <v>0</v>
      </c>
      <c r="N14401" s="8"/>
      <c r="O14401" s="33" t="str">
        <f>IFERROR(VLOOKUP($M14401,'Informations sur les produits'!$A$3:$H$10000,8,FALSE),"0")</f>
        <v>0</v>
      </c>
      <c r="P14401" s="33">
        <f t="shared" si="896"/>
        <v>0</v>
      </c>
      <c r="Q14401" s="31" t="str">
        <f t="shared" si="897"/>
        <v/>
      </c>
      <c r="R14401" s="32" t="str">
        <f>IFERROR(VLOOKUP($D14401,'Informations sur les produits'!$A$3:$B$15000,2,FALSE),"")</f>
        <v/>
      </c>
      <c r="V14401">
        <f t="shared" si="898"/>
        <v>0</v>
      </c>
      <c r="W14401">
        <f t="shared" si="899"/>
        <v>0</v>
      </c>
    </row>
    <row r="14402" spans="5:23" x14ac:dyDescent="0.25">
      <c r="E14402" s="4"/>
      <c r="F14402" s="4"/>
      <c r="G14402" s="33" t="str">
        <f>IFERROR(VLOOKUP($D14402,'Informations sur les produits'!$A$3:$H$10000,8,FALSE),"0")</f>
        <v>0</v>
      </c>
      <c r="K14402" s="4"/>
      <c r="L14402" s="33" t="str">
        <f>IFERROR(VLOOKUP($J14402,'Informations sur les produits'!$A$3:$H$10000,8,FALSE),"0")</f>
        <v>0</v>
      </c>
      <c r="N14402" s="8"/>
      <c r="O14402" s="33" t="str">
        <f>IFERROR(VLOOKUP($M14402,'Informations sur les produits'!$A$3:$H$10000,8,FALSE),"0")</f>
        <v>0</v>
      </c>
      <c r="P14402" s="33">
        <f t="shared" si="896"/>
        <v>0</v>
      </c>
      <c r="Q14402" s="31" t="str">
        <f t="shared" si="897"/>
        <v/>
      </c>
      <c r="R14402" s="32" t="str">
        <f>IFERROR(VLOOKUP($D14402,'Informations sur les produits'!$A$3:$B$15000,2,FALSE),"")</f>
        <v/>
      </c>
      <c r="V14402">
        <f t="shared" si="898"/>
        <v>0</v>
      </c>
      <c r="W14402">
        <f t="shared" si="899"/>
        <v>0</v>
      </c>
    </row>
    <row r="14403" spans="5:23" x14ac:dyDescent="0.25">
      <c r="E14403" s="4"/>
      <c r="F14403" s="4"/>
      <c r="G14403" s="33" t="str">
        <f>IFERROR(VLOOKUP($D14403,'Informations sur les produits'!$A$3:$H$10000,8,FALSE),"0")</f>
        <v>0</v>
      </c>
      <c r="K14403" s="4"/>
      <c r="L14403" s="33" t="str">
        <f>IFERROR(VLOOKUP($J14403,'Informations sur les produits'!$A$3:$H$10000,8,FALSE),"0")</f>
        <v>0</v>
      </c>
      <c r="N14403" s="8"/>
      <c r="O14403" s="33" t="str">
        <f>IFERROR(VLOOKUP($M14403,'Informations sur les produits'!$A$3:$H$10000,8,FALSE),"0")</f>
        <v>0</v>
      </c>
      <c r="P14403" s="33">
        <f t="shared" si="896"/>
        <v>0</v>
      </c>
      <c r="Q14403" s="31" t="str">
        <f t="shared" si="897"/>
        <v/>
      </c>
      <c r="R14403" s="32" t="str">
        <f>IFERROR(VLOOKUP($D14403,'Informations sur les produits'!$A$3:$B$15000,2,FALSE),"")</f>
        <v/>
      </c>
      <c r="V14403">
        <f t="shared" si="898"/>
        <v>0</v>
      </c>
      <c r="W14403">
        <f t="shared" si="899"/>
        <v>0</v>
      </c>
    </row>
    <row r="14404" spans="5:23" x14ac:dyDescent="0.25">
      <c r="E14404" s="4"/>
      <c r="F14404" s="4"/>
      <c r="G14404" s="33" t="str">
        <f>IFERROR(VLOOKUP($D14404,'Informations sur les produits'!$A$3:$H$10000,8,FALSE),"0")</f>
        <v>0</v>
      </c>
      <c r="K14404" s="4"/>
      <c r="L14404" s="33" t="str">
        <f>IFERROR(VLOOKUP($J14404,'Informations sur les produits'!$A$3:$H$10000,8,FALSE),"0")</f>
        <v>0</v>
      </c>
      <c r="N14404" s="8"/>
      <c r="O14404" s="33" t="str">
        <f>IFERROR(VLOOKUP($M14404,'Informations sur les produits'!$A$3:$H$10000,8,FALSE),"0")</f>
        <v>0</v>
      </c>
      <c r="P14404" s="33">
        <f t="shared" ref="P14404:P14467" si="900">IFERROR((($E14404-$F14404)*$G14404+$K14404*$L14404+$N14404*$O14404),"")</f>
        <v>0</v>
      </c>
      <c r="Q14404" s="31" t="str">
        <f t="shared" ref="Q14404:Q14467" si="901">IFERROR((((($E14404-$F14404)*$G14404+$K14404*$L14404+$N14404*$O14404)*1000)/(($E14404-$F14404)+$K14404+$N14404)),"")</f>
        <v/>
      </c>
      <c r="R14404" s="32" t="str">
        <f>IFERROR(VLOOKUP($D14404,'Informations sur les produits'!$A$3:$B$15000,2,FALSE),"")</f>
        <v/>
      </c>
      <c r="V14404">
        <f t="shared" ref="V14404:V14467" si="902">IFERROR(P14404*1000,"")</f>
        <v>0</v>
      </c>
      <c r="W14404">
        <f t="shared" ref="W14404:W14467" si="903">IFERROR(($E14404-$F14404)+$K14404+$N14404,"")</f>
        <v>0</v>
      </c>
    </row>
    <row r="14405" spans="5:23" x14ac:dyDescent="0.25">
      <c r="E14405" s="4"/>
      <c r="F14405" s="4"/>
      <c r="G14405" s="33" t="str">
        <f>IFERROR(VLOOKUP($D14405,'Informations sur les produits'!$A$3:$H$10000,8,FALSE),"0")</f>
        <v>0</v>
      </c>
      <c r="K14405" s="4"/>
      <c r="L14405" s="33" t="str">
        <f>IFERROR(VLOOKUP($J14405,'Informations sur les produits'!$A$3:$H$10000,8,FALSE),"0")</f>
        <v>0</v>
      </c>
      <c r="N14405" s="8"/>
      <c r="O14405" s="33" t="str">
        <f>IFERROR(VLOOKUP($M14405,'Informations sur les produits'!$A$3:$H$10000,8,FALSE),"0")</f>
        <v>0</v>
      </c>
      <c r="P14405" s="33">
        <f t="shared" si="900"/>
        <v>0</v>
      </c>
      <c r="Q14405" s="31" t="str">
        <f t="shared" si="901"/>
        <v/>
      </c>
      <c r="R14405" s="32" t="str">
        <f>IFERROR(VLOOKUP($D14405,'Informations sur les produits'!$A$3:$B$15000,2,FALSE),"")</f>
        <v/>
      </c>
      <c r="V14405">
        <f t="shared" si="902"/>
        <v>0</v>
      </c>
      <c r="W14405">
        <f t="shared" si="903"/>
        <v>0</v>
      </c>
    </row>
    <row r="14406" spans="5:23" x14ac:dyDescent="0.25">
      <c r="E14406" s="4"/>
      <c r="F14406" s="4"/>
      <c r="G14406" s="33" t="str">
        <f>IFERROR(VLOOKUP($D14406,'Informations sur les produits'!$A$3:$H$10000,8,FALSE),"0")</f>
        <v>0</v>
      </c>
      <c r="K14406" s="4"/>
      <c r="L14406" s="33" t="str">
        <f>IFERROR(VLOOKUP($J14406,'Informations sur les produits'!$A$3:$H$10000,8,FALSE),"0")</f>
        <v>0</v>
      </c>
      <c r="N14406" s="8"/>
      <c r="O14406" s="33" t="str">
        <f>IFERROR(VLOOKUP($M14406,'Informations sur les produits'!$A$3:$H$10000,8,FALSE),"0")</f>
        <v>0</v>
      </c>
      <c r="P14406" s="33">
        <f t="shared" si="900"/>
        <v>0</v>
      </c>
      <c r="Q14406" s="31" t="str">
        <f t="shared" si="901"/>
        <v/>
      </c>
      <c r="R14406" s="32" t="str">
        <f>IFERROR(VLOOKUP($D14406,'Informations sur les produits'!$A$3:$B$15000,2,FALSE),"")</f>
        <v/>
      </c>
      <c r="V14406">
        <f t="shared" si="902"/>
        <v>0</v>
      </c>
      <c r="W14406">
        <f t="shared" si="903"/>
        <v>0</v>
      </c>
    </row>
    <row r="14407" spans="5:23" x14ac:dyDescent="0.25">
      <c r="E14407" s="4"/>
      <c r="F14407" s="4"/>
      <c r="G14407" s="33" t="str">
        <f>IFERROR(VLOOKUP($D14407,'Informations sur les produits'!$A$3:$H$10000,8,FALSE),"0")</f>
        <v>0</v>
      </c>
      <c r="K14407" s="4"/>
      <c r="L14407" s="33" t="str">
        <f>IFERROR(VLOOKUP($J14407,'Informations sur les produits'!$A$3:$H$10000,8,FALSE),"0")</f>
        <v>0</v>
      </c>
      <c r="N14407" s="8"/>
      <c r="O14407" s="33" t="str">
        <f>IFERROR(VLOOKUP($M14407,'Informations sur les produits'!$A$3:$H$10000,8,FALSE),"0")</f>
        <v>0</v>
      </c>
      <c r="P14407" s="33">
        <f t="shared" si="900"/>
        <v>0</v>
      </c>
      <c r="Q14407" s="31" t="str">
        <f t="shared" si="901"/>
        <v/>
      </c>
      <c r="R14407" s="32" t="str">
        <f>IFERROR(VLOOKUP($D14407,'Informations sur les produits'!$A$3:$B$15000,2,FALSE),"")</f>
        <v/>
      </c>
      <c r="V14407">
        <f t="shared" si="902"/>
        <v>0</v>
      </c>
      <c r="W14407">
        <f t="shared" si="903"/>
        <v>0</v>
      </c>
    </row>
    <row r="14408" spans="5:23" x14ac:dyDescent="0.25">
      <c r="E14408" s="4"/>
      <c r="F14408" s="4"/>
      <c r="G14408" s="33" t="str">
        <f>IFERROR(VLOOKUP($D14408,'Informations sur les produits'!$A$3:$H$10000,8,FALSE),"0")</f>
        <v>0</v>
      </c>
      <c r="K14408" s="4"/>
      <c r="L14408" s="33" t="str">
        <f>IFERROR(VLOOKUP($J14408,'Informations sur les produits'!$A$3:$H$10000,8,FALSE),"0")</f>
        <v>0</v>
      </c>
      <c r="N14408" s="8"/>
      <c r="O14408" s="33" t="str">
        <f>IFERROR(VLOOKUP($M14408,'Informations sur les produits'!$A$3:$H$10000,8,FALSE),"0")</f>
        <v>0</v>
      </c>
      <c r="P14408" s="33">
        <f t="shared" si="900"/>
        <v>0</v>
      </c>
      <c r="Q14408" s="31" t="str">
        <f t="shared" si="901"/>
        <v/>
      </c>
      <c r="R14408" s="32" t="str">
        <f>IFERROR(VLOOKUP($D14408,'Informations sur les produits'!$A$3:$B$15000,2,FALSE),"")</f>
        <v/>
      </c>
      <c r="V14408">
        <f t="shared" si="902"/>
        <v>0</v>
      </c>
      <c r="W14408">
        <f t="shared" si="903"/>
        <v>0</v>
      </c>
    </row>
    <row r="14409" spans="5:23" x14ac:dyDescent="0.25">
      <c r="E14409" s="4"/>
      <c r="F14409" s="4"/>
      <c r="G14409" s="33" t="str">
        <f>IFERROR(VLOOKUP($D14409,'Informations sur les produits'!$A$3:$H$10000,8,FALSE),"0")</f>
        <v>0</v>
      </c>
      <c r="K14409" s="4"/>
      <c r="L14409" s="33" t="str">
        <f>IFERROR(VLOOKUP($J14409,'Informations sur les produits'!$A$3:$H$10000,8,FALSE),"0")</f>
        <v>0</v>
      </c>
      <c r="N14409" s="8"/>
      <c r="O14409" s="33" t="str">
        <f>IFERROR(VLOOKUP($M14409,'Informations sur les produits'!$A$3:$H$10000,8,FALSE),"0")</f>
        <v>0</v>
      </c>
      <c r="P14409" s="33">
        <f t="shared" si="900"/>
        <v>0</v>
      </c>
      <c r="Q14409" s="31" t="str">
        <f t="shared" si="901"/>
        <v/>
      </c>
      <c r="R14409" s="32" t="str">
        <f>IFERROR(VLOOKUP($D14409,'Informations sur les produits'!$A$3:$B$15000,2,FALSE),"")</f>
        <v/>
      </c>
      <c r="V14409">
        <f t="shared" si="902"/>
        <v>0</v>
      </c>
      <c r="W14409">
        <f t="shared" si="903"/>
        <v>0</v>
      </c>
    </row>
    <row r="14410" spans="5:23" x14ac:dyDescent="0.25">
      <c r="E14410" s="4"/>
      <c r="F14410" s="4"/>
      <c r="G14410" s="33" t="str">
        <f>IFERROR(VLOOKUP($D14410,'Informations sur les produits'!$A$3:$H$10000,8,FALSE),"0")</f>
        <v>0</v>
      </c>
      <c r="K14410" s="4"/>
      <c r="L14410" s="33" t="str">
        <f>IFERROR(VLOOKUP($J14410,'Informations sur les produits'!$A$3:$H$10000,8,FALSE),"0")</f>
        <v>0</v>
      </c>
      <c r="N14410" s="8"/>
      <c r="O14410" s="33" t="str">
        <f>IFERROR(VLOOKUP($M14410,'Informations sur les produits'!$A$3:$H$10000,8,FALSE),"0")</f>
        <v>0</v>
      </c>
      <c r="P14410" s="33">
        <f t="shared" si="900"/>
        <v>0</v>
      </c>
      <c r="Q14410" s="31" t="str">
        <f t="shared" si="901"/>
        <v/>
      </c>
      <c r="R14410" s="32" t="str">
        <f>IFERROR(VLOOKUP($D14410,'Informations sur les produits'!$A$3:$B$15000,2,FALSE),"")</f>
        <v/>
      </c>
      <c r="V14410">
        <f t="shared" si="902"/>
        <v>0</v>
      </c>
      <c r="W14410">
        <f t="shared" si="903"/>
        <v>0</v>
      </c>
    </row>
    <row r="14411" spans="5:23" x14ac:dyDescent="0.25">
      <c r="E14411" s="4"/>
      <c r="F14411" s="4"/>
      <c r="G14411" s="33" t="str">
        <f>IFERROR(VLOOKUP($D14411,'Informations sur les produits'!$A$3:$H$10000,8,FALSE),"0")</f>
        <v>0</v>
      </c>
      <c r="K14411" s="4"/>
      <c r="L14411" s="33" t="str">
        <f>IFERROR(VLOOKUP($J14411,'Informations sur les produits'!$A$3:$H$10000,8,FALSE),"0")</f>
        <v>0</v>
      </c>
      <c r="N14411" s="8"/>
      <c r="O14411" s="33" t="str">
        <f>IFERROR(VLOOKUP($M14411,'Informations sur les produits'!$A$3:$H$10000,8,FALSE),"0")</f>
        <v>0</v>
      </c>
      <c r="P14411" s="33">
        <f t="shared" si="900"/>
        <v>0</v>
      </c>
      <c r="Q14411" s="31" t="str">
        <f t="shared" si="901"/>
        <v/>
      </c>
      <c r="R14411" s="32" t="str">
        <f>IFERROR(VLOOKUP($D14411,'Informations sur les produits'!$A$3:$B$15000,2,FALSE),"")</f>
        <v/>
      </c>
      <c r="V14411">
        <f t="shared" si="902"/>
        <v>0</v>
      </c>
      <c r="W14411">
        <f t="shared" si="903"/>
        <v>0</v>
      </c>
    </row>
    <row r="14412" spans="5:23" x14ac:dyDescent="0.25">
      <c r="E14412" s="4"/>
      <c r="F14412" s="4"/>
      <c r="G14412" s="33" t="str">
        <f>IFERROR(VLOOKUP($D14412,'Informations sur les produits'!$A$3:$H$10000,8,FALSE),"0")</f>
        <v>0</v>
      </c>
      <c r="K14412" s="4"/>
      <c r="L14412" s="33" t="str">
        <f>IFERROR(VLOOKUP($J14412,'Informations sur les produits'!$A$3:$H$10000,8,FALSE),"0")</f>
        <v>0</v>
      </c>
      <c r="N14412" s="8"/>
      <c r="O14412" s="33" t="str">
        <f>IFERROR(VLOOKUP($M14412,'Informations sur les produits'!$A$3:$H$10000,8,FALSE),"0")</f>
        <v>0</v>
      </c>
      <c r="P14412" s="33">
        <f t="shared" si="900"/>
        <v>0</v>
      </c>
      <c r="Q14412" s="31" t="str">
        <f t="shared" si="901"/>
        <v/>
      </c>
      <c r="R14412" s="32" t="str">
        <f>IFERROR(VLOOKUP($D14412,'Informations sur les produits'!$A$3:$B$15000,2,FALSE),"")</f>
        <v/>
      </c>
      <c r="V14412">
        <f t="shared" si="902"/>
        <v>0</v>
      </c>
      <c r="W14412">
        <f t="shared" si="903"/>
        <v>0</v>
      </c>
    </row>
    <row r="14413" spans="5:23" x14ac:dyDescent="0.25">
      <c r="E14413" s="4"/>
      <c r="F14413" s="4"/>
      <c r="G14413" s="33" t="str">
        <f>IFERROR(VLOOKUP($D14413,'Informations sur les produits'!$A$3:$H$10000,8,FALSE),"0")</f>
        <v>0</v>
      </c>
      <c r="K14413" s="4"/>
      <c r="L14413" s="33" t="str">
        <f>IFERROR(VLOOKUP($J14413,'Informations sur les produits'!$A$3:$H$10000,8,FALSE),"0")</f>
        <v>0</v>
      </c>
      <c r="N14413" s="8"/>
      <c r="O14413" s="33" t="str">
        <f>IFERROR(VLOOKUP($M14413,'Informations sur les produits'!$A$3:$H$10000,8,FALSE),"0")</f>
        <v>0</v>
      </c>
      <c r="P14413" s="33">
        <f t="shared" si="900"/>
        <v>0</v>
      </c>
      <c r="Q14413" s="31" t="str">
        <f t="shared" si="901"/>
        <v/>
      </c>
      <c r="R14413" s="32" t="str">
        <f>IFERROR(VLOOKUP($D14413,'Informations sur les produits'!$A$3:$B$15000,2,FALSE),"")</f>
        <v/>
      </c>
      <c r="V14413">
        <f t="shared" si="902"/>
        <v>0</v>
      </c>
      <c r="W14413">
        <f t="shared" si="903"/>
        <v>0</v>
      </c>
    </row>
    <row r="14414" spans="5:23" x14ac:dyDescent="0.25">
      <c r="E14414" s="4"/>
      <c r="F14414" s="4"/>
      <c r="G14414" s="33" t="str">
        <f>IFERROR(VLOOKUP($D14414,'Informations sur les produits'!$A$3:$H$10000,8,FALSE),"0")</f>
        <v>0</v>
      </c>
      <c r="K14414" s="4"/>
      <c r="L14414" s="33" t="str">
        <f>IFERROR(VLOOKUP($J14414,'Informations sur les produits'!$A$3:$H$10000,8,FALSE),"0")</f>
        <v>0</v>
      </c>
      <c r="N14414" s="8"/>
      <c r="O14414" s="33" t="str">
        <f>IFERROR(VLOOKUP($M14414,'Informations sur les produits'!$A$3:$H$10000,8,FALSE),"0")</f>
        <v>0</v>
      </c>
      <c r="P14414" s="33">
        <f t="shared" si="900"/>
        <v>0</v>
      </c>
      <c r="Q14414" s="31" t="str">
        <f t="shared" si="901"/>
        <v/>
      </c>
      <c r="R14414" s="32" t="str">
        <f>IFERROR(VLOOKUP($D14414,'Informations sur les produits'!$A$3:$B$15000,2,FALSE),"")</f>
        <v/>
      </c>
      <c r="V14414">
        <f t="shared" si="902"/>
        <v>0</v>
      </c>
      <c r="W14414">
        <f t="shared" si="903"/>
        <v>0</v>
      </c>
    </row>
    <row r="14415" spans="5:23" x14ac:dyDescent="0.25">
      <c r="E14415" s="4"/>
      <c r="F14415" s="4"/>
      <c r="G14415" s="33" t="str">
        <f>IFERROR(VLOOKUP($D14415,'Informations sur les produits'!$A$3:$H$10000,8,FALSE),"0")</f>
        <v>0</v>
      </c>
      <c r="K14415" s="4"/>
      <c r="L14415" s="33" t="str">
        <f>IFERROR(VLOOKUP($J14415,'Informations sur les produits'!$A$3:$H$10000,8,FALSE),"0")</f>
        <v>0</v>
      </c>
      <c r="N14415" s="8"/>
      <c r="O14415" s="33" t="str">
        <f>IFERROR(VLOOKUP($M14415,'Informations sur les produits'!$A$3:$H$10000,8,FALSE),"0")</f>
        <v>0</v>
      </c>
      <c r="P14415" s="33">
        <f t="shared" si="900"/>
        <v>0</v>
      </c>
      <c r="Q14415" s="31" t="str">
        <f t="shared" si="901"/>
        <v/>
      </c>
      <c r="R14415" s="32" t="str">
        <f>IFERROR(VLOOKUP($D14415,'Informations sur les produits'!$A$3:$B$15000,2,FALSE),"")</f>
        <v/>
      </c>
      <c r="V14415">
        <f t="shared" si="902"/>
        <v>0</v>
      </c>
      <c r="W14415">
        <f t="shared" si="903"/>
        <v>0</v>
      </c>
    </row>
    <row r="14416" spans="5:23" x14ac:dyDescent="0.25">
      <c r="E14416" s="4"/>
      <c r="F14416" s="4"/>
      <c r="G14416" s="33" t="str">
        <f>IFERROR(VLOOKUP($D14416,'Informations sur les produits'!$A$3:$H$10000,8,FALSE),"0")</f>
        <v>0</v>
      </c>
      <c r="K14416" s="4"/>
      <c r="L14416" s="33" t="str">
        <f>IFERROR(VLOOKUP($J14416,'Informations sur les produits'!$A$3:$H$10000,8,FALSE),"0")</f>
        <v>0</v>
      </c>
      <c r="N14416" s="8"/>
      <c r="O14416" s="33" t="str">
        <f>IFERROR(VLOOKUP($M14416,'Informations sur les produits'!$A$3:$H$10000,8,FALSE),"0")</f>
        <v>0</v>
      </c>
      <c r="P14416" s="33">
        <f t="shared" si="900"/>
        <v>0</v>
      </c>
      <c r="Q14416" s="31" t="str">
        <f t="shared" si="901"/>
        <v/>
      </c>
      <c r="R14416" s="32" t="str">
        <f>IFERROR(VLOOKUP($D14416,'Informations sur les produits'!$A$3:$B$15000,2,FALSE),"")</f>
        <v/>
      </c>
      <c r="V14416">
        <f t="shared" si="902"/>
        <v>0</v>
      </c>
      <c r="W14416">
        <f t="shared" si="903"/>
        <v>0</v>
      </c>
    </row>
    <row r="14417" spans="5:23" x14ac:dyDescent="0.25">
      <c r="E14417" s="4"/>
      <c r="F14417" s="4"/>
      <c r="G14417" s="33" t="str">
        <f>IFERROR(VLOOKUP($D14417,'Informations sur les produits'!$A$3:$H$10000,8,FALSE),"0")</f>
        <v>0</v>
      </c>
      <c r="K14417" s="4"/>
      <c r="L14417" s="33" t="str">
        <f>IFERROR(VLOOKUP($J14417,'Informations sur les produits'!$A$3:$H$10000,8,FALSE),"0")</f>
        <v>0</v>
      </c>
      <c r="N14417" s="8"/>
      <c r="O14417" s="33" t="str">
        <f>IFERROR(VLOOKUP($M14417,'Informations sur les produits'!$A$3:$H$10000,8,FALSE),"0")</f>
        <v>0</v>
      </c>
      <c r="P14417" s="33">
        <f t="shared" si="900"/>
        <v>0</v>
      </c>
      <c r="Q14417" s="31" t="str">
        <f t="shared" si="901"/>
        <v/>
      </c>
      <c r="R14417" s="32" t="str">
        <f>IFERROR(VLOOKUP($D14417,'Informations sur les produits'!$A$3:$B$15000,2,FALSE),"")</f>
        <v/>
      </c>
      <c r="V14417">
        <f t="shared" si="902"/>
        <v>0</v>
      </c>
      <c r="W14417">
        <f t="shared" si="903"/>
        <v>0</v>
      </c>
    </row>
    <row r="14418" spans="5:23" x14ac:dyDescent="0.25">
      <c r="E14418" s="4"/>
      <c r="F14418" s="4"/>
      <c r="G14418" s="33" t="str">
        <f>IFERROR(VLOOKUP($D14418,'Informations sur les produits'!$A$3:$H$10000,8,FALSE),"0")</f>
        <v>0</v>
      </c>
      <c r="K14418" s="4"/>
      <c r="L14418" s="33" t="str">
        <f>IFERROR(VLOOKUP($J14418,'Informations sur les produits'!$A$3:$H$10000,8,FALSE),"0")</f>
        <v>0</v>
      </c>
      <c r="N14418" s="8"/>
      <c r="O14418" s="33" t="str">
        <f>IFERROR(VLOOKUP($M14418,'Informations sur les produits'!$A$3:$H$10000,8,FALSE),"0")</f>
        <v>0</v>
      </c>
      <c r="P14418" s="33">
        <f t="shared" si="900"/>
        <v>0</v>
      </c>
      <c r="Q14418" s="31" t="str">
        <f t="shared" si="901"/>
        <v/>
      </c>
      <c r="R14418" s="32" t="str">
        <f>IFERROR(VLOOKUP($D14418,'Informations sur les produits'!$A$3:$B$15000,2,FALSE),"")</f>
        <v/>
      </c>
      <c r="V14418">
        <f t="shared" si="902"/>
        <v>0</v>
      </c>
      <c r="W14418">
        <f t="shared" si="903"/>
        <v>0</v>
      </c>
    </row>
    <row r="14419" spans="5:23" x14ac:dyDescent="0.25">
      <c r="E14419" s="4"/>
      <c r="F14419" s="4"/>
      <c r="G14419" s="33" t="str">
        <f>IFERROR(VLOOKUP($D14419,'Informations sur les produits'!$A$3:$H$10000,8,FALSE),"0")</f>
        <v>0</v>
      </c>
      <c r="K14419" s="4"/>
      <c r="L14419" s="33" t="str">
        <f>IFERROR(VLOOKUP($J14419,'Informations sur les produits'!$A$3:$H$10000,8,FALSE),"0")</f>
        <v>0</v>
      </c>
      <c r="N14419" s="8"/>
      <c r="O14419" s="33" t="str">
        <f>IFERROR(VLOOKUP($M14419,'Informations sur les produits'!$A$3:$H$10000,8,FALSE),"0")</f>
        <v>0</v>
      </c>
      <c r="P14419" s="33">
        <f t="shared" si="900"/>
        <v>0</v>
      </c>
      <c r="Q14419" s="31" t="str">
        <f t="shared" si="901"/>
        <v/>
      </c>
      <c r="R14419" s="32" t="str">
        <f>IFERROR(VLOOKUP($D14419,'Informations sur les produits'!$A$3:$B$15000,2,FALSE),"")</f>
        <v/>
      </c>
      <c r="V14419">
        <f t="shared" si="902"/>
        <v>0</v>
      </c>
      <c r="W14419">
        <f t="shared" si="903"/>
        <v>0</v>
      </c>
    </row>
    <row r="14420" spans="5:23" x14ac:dyDescent="0.25">
      <c r="E14420" s="4"/>
      <c r="F14420" s="4"/>
      <c r="G14420" s="33" t="str">
        <f>IFERROR(VLOOKUP($D14420,'Informations sur les produits'!$A$3:$H$10000,8,FALSE),"0")</f>
        <v>0</v>
      </c>
      <c r="K14420" s="4"/>
      <c r="L14420" s="33" t="str">
        <f>IFERROR(VLOOKUP($J14420,'Informations sur les produits'!$A$3:$H$10000,8,FALSE),"0")</f>
        <v>0</v>
      </c>
      <c r="N14420" s="8"/>
      <c r="O14420" s="33" t="str">
        <f>IFERROR(VLOOKUP($M14420,'Informations sur les produits'!$A$3:$H$10000,8,FALSE),"0")</f>
        <v>0</v>
      </c>
      <c r="P14420" s="33">
        <f t="shared" si="900"/>
        <v>0</v>
      </c>
      <c r="Q14420" s="31" t="str">
        <f t="shared" si="901"/>
        <v/>
      </c>
      <c r="R14420" s="32" t="str">
        <f>IFERROR(VLOOKUP($D14420,'Informations sur les produits'!$A$3:$B$15000,2,FALSE),"")</f>
        <v/>
      </c>
      <c r="V14420">
        <f t="shared" si="902"/>
        <v>0</v>
      </c>
      <c r="W14420">
        <f t="shared" si="903"/>
        <v>0</v>
      </c>
    </row>
    <row r="14421" spans="5:23" x14ac:dyDescent="0.25">
      <c r="E14421" s="4"/>
      <c r="F14421" s="4"/>
      <c r="G14421" s="33" t="str">
        <f>IFERROR(VLOOKUP($D14421,'Informations sur les produits'!$A$3:$H$10000,8,FALSE),"0")</f>
        <v>0</v>
      </c>
      <c r="K14421" s="4"/>
      <c r="L14421" s="33" t="str">
        <f>IFERROR(VLOOKUP($J14421,'Informations sur les produits'!$A$3:$H$10000,8,FALSE),"0")</f>
        <v>0</v>
      </c>
      <c r="N14421" s="8"/>
      <c r="O14421" s="33" t="str">
        <f>IFERROR(VLOOKUP($M14421,'Informations sur les produits'!$A$3:$H$10000,8,FALSE),"0")</f>
        <v>0</v>
      </c>
      <c r="P14421" s="33">
        <f t="shared" si="900"/>
        <v>0</v>
      </c>
      <c r="Q14421" s="31" t="str">
        <f t="shared" si="901"/>
        <v/>
      </c>
      <c r="R14421" s="32" t="str">
        <f>IFERROR(VLOOKUP($D14421,'Informations sur les produits'!$A$3:$B$15000,2,FALSE),"")</f>
        <v/>
      </c>
      <c r="V14421">
        <f t="shared" si="902"/>
        <v>0</v>
      </c>
      <c r="W14421">
        <f t="shared" si="903"/>
        <v>0</v>
      </c>
    </row>
    <row r="14422" spans="5:23" x14ac:dyDescent="0.25">
      <c r="E14422" s="4"/>
      <c r="F14422" s="4"/>
      <c r="G14422" s="33" t="str">
        <f>IFERROR(VLOOKUP($D14422,'Informations sur les produits'!$A$3:$H$10000,8,FALSE),"0")</f>
        <v>0</v>
      </c>
      <c r="K14422" s="4"/>
      <c r="L14422" s="33" t="str">
        <f>IFERROR(VLOOKUP($J14422,'Informations sur les produits'!$A$3:$H$10000,8,FALSE),"0")</f>
        <v>0</v>
      </c>
      <c r="N14422" s="8"/>
      <c r="O14422" s="33" t="str">
        <f>IFERROR(VLOOKUP($M14422,'Informations sur les produits'!$A$3:$H$10000,8,FALSE),"0")</f>
        <v>0</v>
      </c>
      <c r="P14422" s="33">
        <f t="shared" si="900"/>
        <v>0</v>
      </c>
      <c r="Q14422" s="31" t="str">
        <f t="shared" si="901"/>
        <v/>
      </c>
      <c r="R14422" s="32" t="str">
        <f>IFERROR(VLOOKUP($D14422,'Informations sur les produits'!$A$3:$B$15000,2,FALSE),"")</f>
        <v/>
      </c>
      <c r="V14422">
        <f t="shared" si="902"/>
        <v>0</v>
      </c>
      <c r="W14422">
        <f t="shared" si="903"/>
        <v>0</v>
      </c>
    </row>
    <row r="14423" spans="5:23" x14ac:dyDescent="0.25">
      <c r="E14423" s="4"/>
      <c r="F14423" s="4"/>
      <c r="G14423" s="33" t="str">
        <f>IFERROR(VLOOKUP($D14423,'Informations sur les produits'!$A$3:$H$10000,8,FALSE),"0")</f>
        <v>0</v>
      </c>
      <c r="K14423" s="4"/>
      <c r="L14423" s="33" t="str">
        <f>IFERROR(VLOOKUP($J14423,'Informations sur les produits'!$A$3:$H$10000,8,FALSE),"0")</f>
        <v>0</v>
      </c>
      <c r="N14423" s="8"/>
      <c r="O14423" s="33" t="str">
        <f>IFERROR(VLOOKUP($M14423,'Informations sur les produits'!$A$3:$H$10000,8,FALSE),"0")</f>
        <v>0</v>
      </c>
      <c r="P14423" s="33">
        <f t="shared" si="900"/>
        <v>0</v>
      </c>
      <c r="Q14423" s="31" t="str">
        <f t="shared" si="901"/>
        <v/>
      </c>
      <c r="R14423" s="32" t="str">
        <f>IFERROR(VLOOKUP($D14423,'Informations sur les produits'!$A$3:$B$15000,2,FALSE),"")</f>
        <v/>
      </c>
      <c r="V14423">
        <f t="shared" si="902"/>
        <v>0</v>
      </c>
      <c r="W14423">
        <f t="shared" si="903"/>
        <v>0</v>
      </c>
    </row>
    <row r="14424" spans="5:23" x14ac:dyDescent="0.25">
      <c r="E14424" s="4"/>
      <c r="F14424" s="4"/>
      <c r="G14424" s="33" t="str">
        <f>IFERROR(VLOOKUP($D14424,'Informations sur les produits'!$A$3:$H$10000,8,FALSE),"0")</f>
        <v>0</v>
      </c>
      <c r="K14424" s="4"/>
      <c r="L14424" s="33" t="str">
        <f>IFERROR(VLOOKUP($J14424,'Informations sur les produits'!$A$3:$H$10000,8,FALSE),"0")</f>
        <v>0</v>
      </c>
      <c r="N14424" s="8"/>
      <c r="O14424" s="33" t="str">
        <f>IFERROR(VLOOKUP($M14424,'Informations sur les produits'!$A$3:$H$10000,8,FALSE),"0")</f>
        <v>0</v>
      </c>
      <c r="P14424" s="33">
        <f t="shared" si="900"/>
        <v>0</v>
      </c>
      <c r="Q14424" s="31" t="str">
        <f t="shared" si="901"/>
        <v/>
      </c>
      <c r="R14424" s="32" t="str">
        <f>IFERROR(VLOOKUP($D14424,'Informations sur les produits'!$A$3:$B$15000,2,FALSE),"")</f>
        <v/>
      </c>
      <c r="V14424">
        <f t="shared" si="902"/>
        <v>0</v>
      </c>
      <c r="W14424">
        <f t="shared" si="903"/>
        <v>0</v>
      </c>
    </row>
    <row r="14425" spans="5:23" x14ac:dyDescent="0.25">
      <c r="E14425" s="4"/>
      <c r="F14425" s="4"/>
      <c r="G14425" s="33" t="str">
        <f>IFERROR(VLOOKUP($D14425,'Informations sur les produits'!$A$3:$H$10000,8,FALSE),"0")</f>
        <v>0</v>
      </c>
      <c r="K14425" s="4"/>
      <c r="L14425" s="33" t="str">
        <f>IFERROR(VLOOKUP($J14425,'Informations sur les produits'!$A$3:$H$10000,8,FALSE),"0")</f>
        <v>0</v>
      </c>
      <c r="N14425" s="8"/>
      <c r="O14425" s="33" t="str">
        <f>IFERROR(VLOOKUP($M14425,'Informations sur les produits'!$A$3:$H$10000,8,FALSE),"0")</f>
        <v>0</v>
      </c>
      <c r="P14425" s="33">
        <f t="shared" si="900"/>
        <v>0</v>
      </c>
      <c r="Q14425" s="31" t="str">
        <f t="shared" si="901"/>
        <v/>
      </c>
      <c r="R14425" s="32" t="str">
        <f>IFERROR(VLOOKUP($D14425,'Informations sur les produits'!$A$3:$B$15000,2,FALSE),"")</f>
        <v/>
      </c>
      <c r="V14425">
        <f t="shared" si="902"/>
        <v>0</v>
      </c>
      <c r="W14425">
        <f t="shared" si="903"/>
        <v>0</v>
      </c>
    </row>
    <row r="14426" spans="5:23" x14ac:dyDescent="0.25">
      <c r="E14426" s="4"/>
      <c r="F14426" s="4"/>
      <c r="G14426" s="33" t="str">
        <f>IFERROR(VLOOKUP($D14426,'Informations sur les produits'!$A$3:$H$10000,8,FALSE),"0")</f>
        <v>0</v>
      </c>
      <c r="K14426" s="4"/>
      <c r="L14426" s="33" t="str">
        <f>IFERROR(VLOOKUP($J14426,'Informations sur les produits'!$A$3:$H$10000,8,FALSE),"0")</f>
        <v>0</v>
      </c>
      <c r="N14426" s="8"/>
      <c r="O14426" s="33" t="str">
        <f>IFERROR(VLOOKUP($M14426,'Informations sur les produits'!$A$3:$H$10000,8,FALSE),"0")</f>
        <v>0</v>
      </c>
      <c r="P14426" s="33">
        <f t="shared" si="900"/>
        <v>0</v>
      </c>
      <c r="Q14426" s="31" t="str">
        <f t="shared" si="901"/>
        <v/>
      </c>
      <c r="R14426" s="32" t="str">
        <f>IFERROR(VLOOKUP($D14426,'Informations sur les produits'!$A$3:$B$15000,2,FALSE),"")</f>
        <v/>
      </c>
      <c r="V14426">
        <f t="shared" si="902"/>
        <v>0</v>
      </c>
      <c r="W14426">
        <f t="shared" si="903"/>
        <v>0</v>
      </c>
    </row>
    <row r="14427" spans="5:23" x14ac:dyDescent="0.25">
      <c r="E14427" s="4"/>
      <c r="F14427" s="4"/>
      <c r="G14427" s="33" t="str">
        <f>IFERROR(VLOOKUP($D14427,'Informations sur les produits'!$A$3:$H$10000,8,FALSE),"0")</f>
        <v>0</v>
      </c>
      <c r="K14427" s="4"/>
      <c r="L14427" s="33" t="str">
        <f>IFERROR(VLOOKUP($J14427,'Informations sur les produits'!$A$3:$H$10000,8,FALSE),"0")</f>
        <v>0</v>
      </c>
      <c r="N14427" s="8"/>
      <c r="O14427" s="33" t="str">
        <f>IFERROR(VLOOKUP($M14427,'Informations sur les produits'!$A$3:$H$10000,8,FALSE),"0")</f>
        <v>0</v>
      </c>
      <c r="P14427" s="33">
        <f t="shared" si="900"/>
        <v>0</v>
      </c>
      <c r="Q14427" s="31" t="str">
        <f t="shared" si="901"/>
        <v/>
      </c>
      <c r="R14427" s="32" t="str">
        <f>IFERROR(VLOOKUP($D14427,'Informations sur les produits'!$A$3:$B$15000,2,FALSE),"")</f>
        <v/>
      </c>
      <c r="V14427">
        <f t="shared" si="902"/>
        <v>0</v>
      </c>
      <c r="W14427">
        <f t="shared" si="903"/>
        <v>0</v>
      </c>
    </row>
    <row r="14428" spans="5:23" x14ac:dyDescent="0.25">
      <c r="E14428" s="4"/>
      <c r="F14428" s="4"/>
      <c r="G14428" s="33" t="str">
        <f>IFERROR(VLOOKUP($D14428,'Informations sur les produits'!$A$3:$H$10000,8,FALSE),"0")</f>
        <v>0</v>
      </c>
      <c r="K14428" s="4"/>
      <c r="L14428" s="33" t="str">
        <f>IFERROR(VLOOKUP($J14428,'Informations sur les produits'!$A$3:$H$10000,8,FALSE),"0")</f>
        <v>0</v>
      </c>
      <c r="N14428" s="8"/>
      <c r="O14428" s="33" t="str">
        <f>IFERROR(VLOOKUP($M14428,'Informations sur les produits'!$A$3:$H$10000,8,FALSE),"0")</f>
        <v>0</v>
      </c>
      <c r="P14428" s="33">
        <f t="shared" si="900"/>
        <v>0</v>
      </c>
      <c r="Q14428" s="31" t="str">
        <f t="shared" si="901"/>
        <v/>
      </c>
      <c r="R14428" s="32" t="str">
        <f>IFERROR(VLOOKUP($D14428,'Informations sur les produits'!$A$3:$B$15000,2,FALSE),"")</f>
        <v/>
      </c>
      <c r="V14428">
        <f t="shared" si="902"/>
        <v>0</v>
      </c>
      <c r="W14428">
        <f t="shared" si="903"/>
        <v>0</v>
      </c>
    </row>
    <row r="14429" spans="5:23" x14ac:dyDescent="0.25">
      <c r="E14429" s="4"/>
      <c r="F14429" s="4"/>
      <c r="G14429" s="33" t="str">
        <f>IFERROR(VLOOKUP($D14429,'Informations sur les produits'!$A$3:$H$10000,8,FALSE),"0")</f>
        <v>0</v>
      </c>
      <c r="K14429" s="4"/>
      <c r="L14429" s="33" t="str">
        <f>IFERROR(VLOOKUP($J14429,'Informations sur les produits'!$A$3:$H$10000,8,FALSE),"0")</f>
        <v>0</v>
      </c>
      <c r="N14429" s="8"/>
      <c r="O14429" s="33" t="str">
        <f>IFERROR(VLOOKUP($M14429,'Informations sur les produits'!$A$3:$H$10000,8,FALSE),"0")</f>
        <v>0</v>
      </c>
      <c r="P14429" s="33">
        <f t="shared" si="900"/>
        <v>0</v>
      </c>
      <c r="Q14429" s="31" t="str">
        <f t="shared" si="901"/>
        <v/>
      </c>
      <c r="R14429" s="32" t="str">
        <f>IFERROR(VLOOKUP($D14429,'Informations sur les produits'!$A$3:$B$15000,2,FALSE),"")</f>
        <v/>
      </c>
      <c r="V14429">
        <f t="shared" si="902"/>
        <v>0</v>
      </c>
      <c r="W14429">
        <f t="shared" si="903"/>
        <v>0</v>
      </c>
    </row>
    <row r="14430" spans="5:23" x14ac:dyDescent="0.25">
      <c r="E14430" s="4"/>
      <c r="F14430" s="4"/>
      <c r="G14430" s="33" t="str">
        <f>IFERROR(VLOOKUP($D14430,'Informations sur les produits'!$A$3:$H$10000,8,FALSE),"0")</f>
        <v>0</v>
      </c>
      <c r="K14430" s="4"/>
      <c r="L14430" s="33" t="str">
        <f>IFERROR(VLOOKUP($J14430,'Informations sur les produits'!$A$3:$H$10000,8,FALSE),"0")</f>
        <v>0</v>
      </c>
      <c r="N14430" s="8"/>
      <c r="O14430" s="33" t="str">
        <f>IFERROR(VLOOKUP($M14430,'Informations sur les produits'!$A$3:$H$10000,8,FALSE),"0")</f>
        <v>0</v>
      </c>
      <c r="P14430" s="33">
        <f t="shared" si="900"/>
        <v>0</v>
      </c>
      <c r="Q14430" s="31" t="str">
        <f t="shared" si="901"/>
        <v/>
      </c>
      <c r="R14430" s="32" t="str">
        <f>IFERROR(VLOOKUP($D14430,'Informations sur les produits'!$A$3:$B$15000,2,FALSE),"")</f>
        <v/>
      </c>
      <c r="V14430">
        <f t="shared" si="902"/>
        <v>0</v>
      </c>
      <c r="W14430">
        <f t="shared" si="903"/>
        <v>0</v>
      </c>
    </row>
    <row r="14431" spans="5:23" x14ac:dyDescent="0.25">
      <c r="E14431" s="4"/>
      <c r="F14431" s="4"/>
      <c r="G14431" s="33" t="str">
        <f>IFERROR(VLOOKUP($D14431,'Informations sur les produits'!$A$3:$H$10000,8,FALSE),"0")</f>
        <v>0</v>
      </c>
      <c r="K14431" s="4"/>
      <c r="L14431" s="33" t="str">
        <f>IFERROR(VLOOKUP($J14431,'Informations sur les produits'!$A$3:$H$10000,8,FALSE),"0")</f>
        <v>0</v>
      </c>
      <c r="N14431" s="8"/>
      <c r="O14431" s="33" t="str">
        <f>IFERROR(VLOOKUP($M14431,'Informations sur les produits'!$A$3:$H$10000,8,FALSE),"0")</f>
        <v>0</v>
      </c>
      <c r="P14431" s="33">
        <f t="shared" si="900"/>
        <v>0</v>
      </c>
      <c r="Q14431" s="31" t="str">
        <f t="shared" si="901"/>
        <v/>
      </c>
      <c r="R14431" s="32" t="str">
        <f>IFERROR(VLOOKUP($D14431,'Informations sur les produits'!$A$3:$B$15000,2,FALSE),"")</f>
        <v/>
      </c>
      <c r="V14431">
        <f t="shared" si="902"/>
        <v>0</v>
      </c>
      <c r="W14431">
        <f t="shared" si="903"/>
        <v>0</v>
      </c>
    </row>
    <row r="14432" spans="5:23" x14ac:dyDescent="0.25">
      <c r="E14432" s="4"/>
      <c r="F14432" s="4"/>
      <c r="G14432" s="33" t="str">
        <f>IFERROR(VLOOKUP($D14432,'Informations sur les produits'!$A$3:$H$10000,8,FALSE),"0")</f>
        <v>0</v>
      </c>
      <c r="K14432" s="4"/>
      <c r="L14432" s="33" t="str">
        <f>IFERROR(VLOOKUP($J14432,'Informations sur les produits'!$A$3:$H$10000,8,FALSE),"0")</f>
        <v>0</v>
      </c>
      <c r="N14432" s="8"/>
      <c r="O14432" s="33" t="str">
        <f>IFERROR(VLOOKUP($M14432,'Informations sur les produits'!$A$3:$H$10000,8,FALSE),"0")</f>
        <v>0</v>
      </c>
      <c r="P14432" s="33">
        <f t="shared" si="900"/>
        <v>0</v>
      </c>
      <c r="Q14432" s="31" t="str">
        <f t="shared" si="901"/>
        <v/>
      </c>
      <c r="R14432" s="32" t="str">
        <f>IFERROR(VLOOKUP($D14432,'Informations sur les produits'!$A$3:$B$15000,2,FALSE),"")</f>
        <v/>
      </c>
      <c r="V14432">
        <f t="shared" si="902"/>
        <v>0</v>
      </c>
      <c r="W14432">
        <f t="shared" si="903"/>
        <v>0</v>
      </c>
    </row>
    <row r="14433" spans="5:23" x14ac:dyDescent="0.25">
      <c r="E14433" s="4"/>
      <c r="F14433" s="4"/>
      <c r="G14433" s="33" t="str">
        <f>IFERROR(VLOOKUP($D14433,'Informations sur les produits'!$A$3:$H$10000,8,FALSE),"0")</f>
        <v>0</v>
      </c>
      <c r="K14433" s="4"/>
      <c r="L14433" s="33" t="str">
        <f>IFERROR(VLOOKUP($J14433,'Informations sur les produits'!$A$3:$H$10000,8,FALSE),"0")</f>
        <v>0</v>
      </c>
      <c r="N14433" s="8"/>
      <c r="O14433" s="33" t="str">
        <f>IFERROR(VLOOKUP($M14433,'Informations sur les produits'!$A$3:$H$10000,8,FALSE),"0")</f>
        <v>0</v>
      </c>
      <c r="P14433" s="33">
        <f t="shared" si="900"/>
        <v>0</v>
      </c>
      <c r="Q14433" s="31" t="str">
        <f t="shared" si="901"/>
        <v/>
      </c>
      <c r="R14433" s="32" t="str">
        <f>IFERROR(VLOOKUP($D14433,'Informations sur les produits'!$A$3:$B$15000,2,FALSE),"")</f>
        <v/>
      </c>
      <c r="V14433">
        <f t="shared" si="902"/>
        <v>0</v>
      </c>
      <c r="W14433">
        <f t="shared" si="903"/>
        <v>0</v>
      </c>
    </row>
    <row r="14434" spans="5:23" x14ac:dyDescent="0.25">
      <c r="E14434" s="4"/>
      <c r="F14434" s="4"/>
      <c r="G14434" s="33" t="str">
        <f>IFERROR(VLOOKUP($D14434,'Informations sur les produits'!$A$3:$H$10000,8,FALSE),"0")</f>
        <v>0</v>
      </c>
      <c r="K14434" s="4"/>
      <c r="L14434" s="33" t="str">
        <f>IFERROR(VLOOKUP($J14434,'Informations sur les produits'!$A$3:$H$10000,8,FALSE),"0")</f>
        <v>0</v>
      </c>
      <c r="N14434" s="8"/>
      <c r="O14434" s="33" t="str">
        <f>IFERROR(VLOOKUP($M14434,'Informations sur les produits'!$A$3:$H$10000,8,FALSE),"0")</f>
        <v>0</v>
      </c>
      <c r="P14434" s="33">
        <f t="shared" si="900"/>
        <v>0</v>
      </c>
      <c r="Q14434" s="31" t="str">
        <f t="shared" si="901"/>
        <v/>
      </c>
      <c r="R14434" s="32" t="str">
        <f>IFERROR(VLOOKUP($D14434,'Informations sur les produits'!$A$3:$B$15000,2,FALSE),"")</f>
        <v/>
      </c>
      <c r="V14434">
        <f t="shared" si="902"/>
        <v>0</v>
      </c>
      <c r="W14434">
        <f t="shared" si="903"/>
        <v>0</v>
      </c>
    </row>
    <row r="14435" spans="5:23" x14ac:dyDescent="0.25">
      <c r="E14435" s="4"/>
      <c r="F14435" s="4"/>
      <c r="G14435" s="33" t="str">
        <f>IFERROR(VLOOKUP($D14435,'Informations sur les produits'!$A$3:$H$10000,8,FALSE),"0")</f>
        <v>0</v>
      </c>
      <c r="K14435" s="4"/>
      <c r="L14435" s="33" t="str">
        <f>IFERROR(VLOOKUP($J14435,'Informations sur les produits'!$A$3:$H$10000,8,FALSE),"0")</f>
        <v>0</v>
      </c>
      <c r="N14435" s="8"/>
      <c r="O14435" s="33" t="str">
        <f>IFERROR(VLOOKUP($M14435,'Informations sur les produits'!$A$3:$H$10000,8,FALSE),"0")</f>
        <v>0</v>
      </c>
      <c r="P14435" s="33">
        <f t="shared" si="900"/>
        <v>0</v>
      </c>
      <c r="Q14435" s="31" t="str">
        <f t="shared" si="901"/>
        <v/>
      </c>
      <c r="R14435" s="32" t="str">
        <f>IFERROR(VLOOKUP($D14435,'Informations sur les produits'!$A$3:$B$15000,2,FALSE),"")</f>
        <v/>
      </c>
      <c r="V14435">
        <f t="shared" si="902"/>
        <v>0</v>
      </c>
      <c r="W14435">
        <f t="shared" si="903"/>
        <v>0</v>
      </c>
    </row>
    <row r="14436" spans="5:23" x14ac:dyDescent="0.25">
      <c r="E14436" s="4"/>
      <c r="F14436" s="4"/>
      <c r="G14436" s="33" t="str">
        <f>IFERROR(VLOOKUP($D14436,'Informations sur les produits'!$A$3:$H$10000,8,FALSE),"0")</f>
        <v>0</v>
      </c>
      <c r="K14436" s="4"/>
      <c r="L14436" s="33" t="str">
        <f>IFERROR(VLOOKUP($J14436,'Informations sur les produits'!$A$3:$H$10000,8,FALSE),"0")</f>
        <v>0</v>
      </c>
      <c r="N14436" s="8"/>
      <c r="O14436" s="33" t="str">
        <f>IFERROR(VLOOKUP($M14436,'Informations sur les produits'!$A$3:$H$10000,8,FALSE),"0")</f>
        <v>0</v>
      </c>
      <c r="P14436" s="33">
        <f t="shared" si="900"/>
        <v>0</v>
      </c>
      <c r="Q14436" s="31" t="str">
        <f t="shared" si="901"/>
        <v/>
      </c>
      <c r="R14436" s="32" t="str">
        <f>IFERROR(VLOOKUP($D14436,'Informations sur les produits'!$A$3:$B$15000,2,FALSE),"")</f>
        <v/>
      </c>
      <c r="V14436">
        <f t="shared" si="902"/>
        <v>0</v>
      </c>
      <c r="W14436">
        <f t="shared" si="903"/>
        <v>0</v>
      </c>
    </row>
    <row r="14437" spans="5:23" x14ac:dyDescent="0.25">
      <c r="E14437" s="4"/>
      <c r="F14437" s="4"/>
      <c r="G14437" s="33" t="str">
        <f>IFERROR(VLOOKUP($D14437,'Informations sur les produits'!$A$3:$H$10000,8,FALSE),"0")</f>
        <v>0</v>
      </c>
      <c r="K14437" s="4"/>
      <c r="L14437" s="33" t="str">
        <f>IFERROR(VLOOKUP($J14437,'Informations sur les produits'!$A$3:$H$10000,8,FALSE),"0")</f>
        <v>0</v>
      </c>
      <c r="N14437" s="8"/>
      <c r="O14437" s="33" t="str">
        <f>IFERROR(VLOOKUP($M14437,'Informations sur les produits'!$A$3:$H$10000,8,FALSE),"0")</f>
        <v>0</v>
      </c>
      <c r="P14437" s="33">
        <f t="shared" si="900"/>
        <v>0</v>
      </c>
      <c r="Q14437" s="31" t="str">
        <f t="shared" si="901"/>
        <v/>
      </c>
      <c r="R14437" s="32" t="str">
        <f>IFERROR(VLOOKUP($D14437,'Informations sur les produits'!$A$3:$B$15000,2,FALSE),"")</f>
        <v/>
      </c>
      <c r="V14437">
        <f t="shared" si="902"/>
        <v>0</v>
      </c>
      <c r="W14437">
        <f t="shared" si="903"/>
        <v>0</v>
      </c>
    </row>
    <row r="14438" spans="5:23" x14ac:dyDescent="0.25">
      <c r="E14438" s="4"/>
      <c r="F14438" s="4"/>
      <c r="G14438" s="33" t="str">
        <f>IFERROR(VLOOKUP($D14438,'Informations sur les produits'!$A$3:$H$10000,8,FALSE),"0")</f>
        <v>0</v>
      </c>
      <c r="K14438" s="4"/>
      <c r="L14438" s="33" t="str">
        <f>IFERROR(VLOOKUP($J14438,'Informations sur les produits'!$A$3:$H$10000,8,FALSE),"0")</f>
        <v>0</v>
      </c>
      <c r="N14438" s="8"/>
      <c r="O14438" s="33" t="str">
        <f>IFERROR(VLOOKUP($M14438,'Informations sur les produits'!$A$3:$H$10000,8,FALSE),"0")</f>
        <v>0</v>
      </c>
      <c r="P14438" s="33">
        <f t="shared" si="900"/>
        <v>0</v>
      </c>
      <c r="Q14438" s="31" t="str">
        <f t="shared" si="901"/>
        <v/>
      </c>
      <c r="R14438" s="32" t="str">
        <f>IFERROR(VLOOKUP($D14438,'Informations sur les produits'!$A$3:$B$15000,2,FALSE),"")</f>
        <v/>
      </c>
      <c r="V14438">
        <f t="shared" si="902"/>
        <v>0</v>
      </c>
      <c r="W14438">
        <f t="shared" si="903"/>
        <v>0</v>
      </c>
    </row>
    <row r="14439" spans="5:23" x14ac:dyDescent="0.25">
      <c r="E14439" s="4"/>
      <c r="F14439" s="4"/>
      <c r="G14439" s="33" t="str">
        <f>IFERROR(VLOOKUP($D14439,'Informations sur les produits'!$A$3:$H$10000,8,FALSE),"0")</f>
        <v>0</v>
      </c>
      <c r="K14439" s="4"/>
      <c r="L14439" s="33" t="str">
        <f>IFERROR(VLOOKUP($J14439,'Informations sur les produits'!$A$3:$H$10000,8,FALSE),"0")</f>
        <v>0</v>
      </c>
      <c r="N14439" s="8"/>
      <c r="O14439" s="33" t="str">
        <f>IFERROR(VLOOKUP($M14439,'Informations sur les produits'!$A$3:$H$10000,8,FALSE),"0")</f>
        <v>0</v>
      </c>
      <c r="P14439" s="33">
        <f t="shared" si="900"/>
        <v>0</v>
      </c>
      <c r="Q14439" s="31" t="str">
        <f t="shared" si="901"/>
        <v/>
      </c>
      <c r="R14439" s="32" t="str">
        <f>IFERROR(VLOOKUP($D14439,'Informations sur les produits'!$A$3:$B$15000,2,FALSE),"")</f>
        <v/>
      </c>
      <c r="V14439">
        <f t="shared" si="902"/>
        <v>0</v>
      </c>
      <c r="W14439">
        <f t="shared" si="903"/>
        <v>0</v>
      </c>
    </row>
    <row r="14440" spans="5:23" x14ac:dyDescent="0.25">
      <c r="E14440" s="4"/>
      <c r="F14440" s="4"/>
      <c r="G14440" s="33" t="str">
        <f>IFERROR(VLOOKUP($D14440,'Informations sur les produits'!$A$3:$H$10000,8,FALSE),"0")</f>
        <v>0</v>
      </c>
      <c r="K14440" s="4"/>
      <c r="L14440" s="33" t="str">
        <f>IFERROR(VLOOKUP($J14440,'Informations sur les produits'!$A$3:$H$10000,8,FALSE),"0")</f>
        <v>0</v>
      </c>
      <c r="N14440" s="8"/>
      <c r="O14440" s="33" t="str">
        <f>IFERROR(VLOOKUP($M14440,'Informations sur les produits'!$A$3:$H$10000,8,FALSE),"0")</f>
        <v>0</v>
      </c>
      <c r="P14440" s="33">
        <f t="shared" si="900"/>
        <v>0</v>
      </c>
      <c r="Q14440" s="31" t="str">
        <f t="shared" si="901"/>
        <v/>
      </c>
      <c r="R14440" s="32" t="str">
        <f>IFERROR(VLOOKUP($D14440,'Informations sur les produits'!$A$3:$B$15000,2,FALSE),"")</f>
        <v/>
      </c>
      <c r="V14440">
        <f t="shared" si="902"/>
        <v>0</v>
      </c>
      <c r="W14440">
        <f t="shared" si="903"/>
        <v>0</v>
      </c>
    </row>
    <row r="14441" spans="5:23" x14ac:dyDescent="0.25">
      <c r="E14441" s="4"/>
      <c r="F14441" s="4"/>
      <c r="G14441" s="33" t="str">
        <f>IFERROR(VLOOKUP($D14441,'Informations sur les produits'!$A$3:$H$10000,8,FALSE),"0")</f>
        <v>0</v>
      </c>
      <c r="K14441" s="4"/>
      <c r="L14441" s="33" t="str">
        <f>IFERROR(VLOOKUP($J14441,'Informations sur les produits'!$A$3:$H$10000,8,FALSE),"0")</f>
        <v>0</v>
      </c>
      <c r="N14441" s="8"/>
      <c r="O14441" s="33" t="str">
        <f>IFERROR(VLOOKUP($M14441,'Informations sur les produits'!$A$3:$H$10000,8,FALSE),"0")</f>
        <v>0</v>
      </c>
      <c r="P14441" s="33">
        <f t="shared" si="900"/>
        <v>0</v>
      </c>
      <c r="Q14441" s="31" t="str">
        <f t="shared" si="901"/>
        <v/>
      </c>
      <c r="R14441" s="32" t="str">
        <f>IFERROR(VLOOKUP($D14441,'Informations sur les produits'!$A$3:$B$15000,2,FALSE),"")</f>
        <v/>
      </c>
      <c r="V14441">
        <f t="shared" si="902"/>
        <v>0</v>
      </c>
      <c r="W14441">
        <f t="shared" si="903"/>
        <v>0</v>
      </c>
    </row>
    <row r="14442" spans="5:23" x14ac:dyDescent="0.25">
      <c r="E14442" s="4"/>
      <c r="F14442" s="4"/>
      <c r="G14442" s="33" t="str">
        <f>IFERROR(VLOOKUP($D14442,'Informations sur les produits'!$A$3:$H$10000,8,FALSE),"0")</f>
        <v>0</v>
      </c>
      <c r="K14442" s="4"/>
      <c r="L14442" s="33" t="str">
        <f>IFERROR(VLOOKUP($J14442,'Informations sur les produits'!$A$3:$H$10000,8,FALSE),"0")</f>
        <v>0</v>
      </c>
      <c r="N14442" s="8"/>
      <c r="O14442" s="33" t="str">
        <f>IFERROR(VLOOKUP($M14442,'Informations sur les produits'!$A$3:$H$10000,8,FALSE),"0")</f>
        <v>0</v>
      </c>
      <c r="P14442" s="33">
        <f t="shared" si="900"/>
        <v>0</v>
      </c>
      <c r="Q14442" s="31" t="str">
        <f t="shared" si="901"/>
        <v/>
      </c>
      <c r="R14442" s="32" t="str">
        <f>IFERROR(VLOOKUP($D14442,'Informations sur les produits'!$A$3:$B$15000,2,FALSE),"")</f>
        <v/>
      </c>
      <c r="V14442">
        <f t="shared" si="902"/>
        <v>0</v>
      </c>
      <c r="W14442">
        <f t="shared" si="903"/>
        <v>0</v>
      </c>
    </row>
    <row r="14443" spans="5:23" x14ac:dyDescent="0.25">
      <c r="E14443" s="4"/>
      <c r="F14443" s="4"/>
      <c r="G14443" s="33" t="str">
        <f>IFERROR(VLOOKUP($D14443,'Informations sur les produits'!$A$3:$H$10000,8,FALSE),"0")</f>
        <v>0</v>
      </c>
      <c r="K14443" s="4"/>
      <c r="L14443" s="33" t="str">
        <f>IFERROR(VLOOKUP($J14443,'Informations sur les produits'!$A$3:$H$10000,8,FALSE),"0")</f>
        <v>0</v>
      </c>
      <c r="N14443" s="8"/>
      <c r="O14443" s="33" t="str">
        <f>IFERROR(VLOOKUP($M14443,'Informations sur les produits'!$A$3:$H$10000,8,FALSE),"0")</f>
        <v>0</v>
      </c>
      <c r="P14443" s="33">
        <f t="shared" si="900"/>
        <v>0</v>
      </c>
      <c r="Q14443" s="31" t="str">
        <f t="shared" si="901"/>
        <v/>
      </c>
      <c r="R14443" s="32" t="str">
        <f>IFERROR(VLOOKUP($D14443,'Informations sur les produits'!$A$3:$B$15000,2,FALSE),"")</f>
        <v/>
      </c>
      <c r="V14443">
        <f t="shared" si="902"/>
        <v>0</v>
      </c>
      <c r="W14443">
        <f t="shared" si="903"/>
        <v>0</v>
      </c>
    </row>
    <row r="14444" spans="5:23" x14ac:dyDescent="0.25">
      <c r="E14444" s="4"/>
      <c r="F14444" s="4"/>
      <c r="G14444" s="33" t="str">
        <f>IFERROR(VLOOKUP($D14444,'Informations sur les produits'!$A$3:$H$10000,8,FALSE),"0")</f>
        <v>0</v>
      </c>
      <c r="K14444" s="4"/>
      <c r="L14444" s="33" t="str">
        <f>IFERROR(VLOOKUP($J14444,'Informations sur les produits'!$A$3:$H$10000,8,FALSE),"0")</f>
        <v>0</v>
      </c>
      <c r="N14444" s="8"/>
      <c r="O14444" s="33" t="str">
        <f>IFERROR(VLOOKUP($M14444,'Informations sur les produits'!$A$3:$H$10000,8,FALSE),"0")</f>
        <v>0</v>
      </c>
      <c r="P14444" s="33">
        <f t="shared" si="900"/>
        <v>0</v>
      </c>
      <c r="Q14444" s="31" t="str">
        <f t="shared" si="901"/>
        <v/>
      </c>
      <c r="R14444" s="32" t="str">
        <f>IFERROR(VLOOKUP($D14444,'Informations sur les produits'!$A$3:$B$15000,2,FALSE),"")</f>
        <v/>
      </c>
      <c r="V14444">
        <f t="shared" si="902"/>
        <v>0</v>
      </c>
      <c r="W14444">
        <f t="shared" si="903"/>
        <v>0</v>
      </c>
    </row>
    <row r="14445" spans="5:23" x14ac:dyDescent="0.25">
      <c r="E14445" s="4"/>
      <c r="F14445" s="4"/>
      <c r="G14445" s="33" t="str">
        <f>IFERROR(VLOOKUP($D14445,'Informations sur les produits'!$A$3:$H$10000,8,FALSE),"0")</f>
        <v>0</v>
      </c>
      <c r="K14445" s="4"/>
      <c r="L14445" s="33" t="str">
        <f>IFERROR(VLOOKUP($J14445,'Informations sur les produits'!$A$3:$H$10000,8,FALSE),"0")</f>
        <v>0</v>
      </c>
      <c r="N14445" s="8"/>
      <c r="O14445" s="33" t="str">
        <f>IFERROR(VLOOKUP($M14445,'Informations sur les produits'!$A$3:$H$10000,8,FALSE),"0")</f>
        <v>0</v>
      </c>
      <c r="P14445" s="33">
        <f t="shared" si="900"/>
        <v>0</v>
      </c>
      <c r="Q14445" s="31" t="str">
        <f t="shared" si="901"/>
        <v/>
      </c>
      <c r="R14445" s="32" t="str">
        <f>IFERROR(VLOOKUP($D14445,'Informations sur les produits'!$A$3:$B$15000,2,FALSE),"")</f>
        <v/>
      </c>
      <c r="V14445">
        <f t="shared" si="902"/>
        <v>0</v>
      </c>
      <c r="W14445">
        <f t="shared" si="903"/>
        <v>0</v>
      </c>
    </row>
    <row r="14446" spans="5:23" x14ac:dyDescent="0.25">
      <c r="E14446" s="4"/>
      <c r="F14446" s="4"/>
      <c r="G14446" s="33" t="str">
        <f>IFERROR(VLOOKUP($D14446,'Informations sur les produits'!$A$3:$H$10000,8,FALSE),"0")</f>
        <v>0</v>
      </c>
      <c r="K14446" s="4"/>
      <c r="L14446" s="33" t="str">
        <f>IFERROR(VLOOKUP($J14446,'Informations sur les produits'!$A$3:$H$10000,8,FALSE),"0")</f>
        <v>0</v>
      </c>
      <c r="N14446" s="8"/>
      <c r="O14446" s="33" t="str">
        <f>IFERROR(VLOOKUP($M14446,'Informations sur les produits'!$A$3:$H$10000,8,FALSE),"0")</f>
        <v>0</v>
      </c>
      <c r="P14446" s="33">
        <f t="shared" si="900"/>
        <v>0</v>
      </c>
      <c r="Q14446" s="31" t="str">
        <f t="shared" si="901"/>
        <v/>
      </c>
      <c r="R14446" s="32" t="str">
        <f>IFERROR(VLOOKUP($D14446,'Informations sur les produits'!$A$3:$B$15000,2,FALSE),"")</f>
        <v/>
      </c>
      <c r="V14446">
        <f t="shared" si="902"/>
        <v>0</v>
      </c>
      <c r="W14446">
        <f t="shared" si="903"/>
        <v>0</v>
      </c>
    </row>
    <row r="14447" spans="5:23" x14ac:dyDescent="0.25">
      <c r="E14447" s="4"/>
      <c r="F14447" s="4"/>
      <c r="G14447" s="33" t="str">
        <f>IFERROR(VLOOKUP($D14447,'Informations sur les produits'!$A$3:$H$10000,8,FALSE),"0")</f>
        <v>0</v>
      </c>
      <c r="K14447" s="4"/>
      <c r="L14447" s="33" t="str">
        <f>IFERROR(VLOOKUP($J14447,'Informations sur les produits'!$A$3:$H$10000,8,FALSE),"0")</f>
        <v>0</v>
      </c>
      <c r="N14447" s="8"/>
      <c r="O14447" s="33" t="str">
        <f>IFERROR(VLOOKUP($M14447,'Informations sur les produits'!$A$3:$H$10000,8,FALSE),"0")</f>
        <v>0</v>
      </c>
      <c r="P14447" s="33">
        <f t="shared" si="900"/>
        <v>0</v>
      </c>
      <c r="Q14447" s="31" t="str">
        <f t="shared" si="901"/>
        <v/>
      </c>
      <c r="R14447" s="32" t="str">
        <f>IFERROR(VLOOKUP($D14447,'Informations sur les produits'!$A$3:$B$15000,2,FALSE),"")</f>
        <v/>
      </c>
      <c r="V14447">
        <f t="shared" si="902"/>
        <v>0</v>
      </c>
      <c r="W14447">
        <f t="shared" si="903"/>
        <v>0</v>
      </c>
    </row>
    <row r="14448" spans="5:23" x14ac:dyDescent="0.25">
      <c r="E14448" s="4"/>
      <c r="F14448" s="4"/>
      <c r="G14448" s="33" t="str">
        <f>IFERROR(VLOOKUP($D14448,'Informations sur les produits'!$A$3:$H$10000,8,FALSE),"0")</f>
        <v>0</v>
      </c>
      <c r="K14448" s="4"/>
      <c r="L14448" s="33" t="str">
        <f>IFERROR(VLOOKUP($J14448,'Informations sur les produits'!$A$3:$H$10000,8,FALSE),"0")</f>
        <v>0</v>
      </c>
      <c r="N14448" s="8"/>
      <c r="O14448" s="33" t="str">
        <f>IFERROR(VLOOKUP($M14448,'Informations sur les produits'!$A$3:$H$10000,8,FALSE),"0")</f>
        <v>0</v>
      </c>
      <c r="P14448" s="33">
        <f t="shared" si="900"/>
        <v>0</v>
      </c>
      <c r="Q14448" s="31" t="str">
        <f t="shared" si="901"/>
        <v/>
      </c>
      <c r="R14448" s="32" t="str">
        <f>IFERROR(VLOOKUP($D14448,'Informations sur les produits'!$A$3:$B$15000,2,FALSE),"")</f>
        <v/>
      </c>
      <c r="V14448">
        <f t="shared" si="902"/>
        <v>0</v>
      </c>
      <c r="W14448">
        <f t="shared" si="903"/>
        <v>0</v>
      </c>
    </row>
    <row r="14449" spans="5:23" x14ac:dyDescent="0.25">
      <c r="E14449" s="4"/>
      <c r="F14449" s="4"/>
      <c r="G14449" s="33" t="str">
        <f>IFERROR(VLOOKUP($D14449,'Informations sur les produits'!$A$3:$H$10000,8,FALSE),"0")</f>
        <v>0</v>
      </c>
      <c r="K14449" s="4"/>
      <c r="L14449" s="33" t="str">
        <f>IFERROR(VLOOKUP($J14449,'Informations sur les produits'!$A$3:$H$10000,8,FALSE),"0")</f>
        <v>0</v>
      </c>
      <c r="N14449" s="8"/>
      <c r="O14449" s="33" t="str">
        <f>IFERROR(VLOOKUP($M14449,'Informations sur les produits'!$A$3:$H$10000,8,FALSE),"0")</f>
        <v>0</v>
      </c>
      <c r="P14449" s="33">
        <f t="shared" si="900"/>
        <v>0</v>
      </c>
      <c r="Q14449" s="31" t="str">
        <f t="shared" si="901"/>
        <v/>
      </c>
      <c r="R14449" s="32" t="str">
        <f>IFERROR(VLOOKUP($D14449,'Informations sur les produits'!$A$3:$B$15000,2,FALSE),"")</f>
        <v/>
      </c>
      <c r="V14449">
        <f t="shared" si="902"/>
        <v>0</v>
      </c>
      <c r="W14449">
        <f t="shared" si="903"/>
        <v>0</v>
      </c>
    </row>
    <row r="14450" spans="5:23" x14ac:dyDescent="0.25">
      <c r="E14450" s="4"/>
      <c r="F14450" s="4"/>
      <c r="G14450" s="33" t="str">
        <f>IFERROR(VLOOKUP($D14450,'Informations sur les produits'!$A$3:$H$10000,8,FALSE),"0")</f>
        <v>0</v>
      </c>
      <c r="K14450" s="4"/>
      <c r="L14450" s="33" t="str">
        <f>IFERROR(VLOOKUP($J14450,'Informations sur les produits'!$A$3:$H$10000,8,FALSE),"0")</f>
        <v>0</v>
      </c>
      <c r="N14450" s="8"/>
      <c r="O14450" s="33" t="str">
        <f>IFERROR(VLOOKUP($M14450,'Informations sur les produits'!$A$3:$H$10000,8,FALSE),"0")</f>
        <v>0</v>
      </c>
      <c r="P14450" s="33">
        <f t="shared" si="900"/>
        <v>0</v>
      </c>
      <c r="Q14450" s="31" t="str">
        <f t="shared" si="901"/>
        <v/>
      </c>
      <c r="R14450" s="32" t="str">
        <f>IFERROR(VLOOKUP($D14450,'Informations sur les produits'!$A$3:$B$15000,2,FALSE),"")</f>
        <v/>
      </c>
      <c r="V14450">
        <f t="shared" si="902"/>
        <v>0</v>
      </c>
      <c r="W14450">
        <f t="shared" si="903"/>
        <v>0</v>
      </c>
    </row>
    <row r="14451" spans="5:23" x14ac:dyDescent="0.25">
      <c r="E14451" s="4"/>
      <c r="F14451" s="4"/>
      <c r="G14451" s="33" t="str">
        <f>IFERROR(VLOOKUP($D14451,'Informations sur les produits'!$A$3:$H$10000,8,FALSE),"0")</f>
        <v>0</v>
      </c>
      <c r="K14451" s="4"/>
      <c r="L14451" s="33" t="str">
        <f>IFERROR(VLOOKUP($J14451,'Informations sur les produits'!$A$3:$H$10000,8,FALSE),"0")</f>
        <v>0</v>
      </c>
      <c r="N14451" s="8"/>
      <c r="O14451" s="33" t="str">
        <f>IFERROR(VLOOKUP($M14451,'Informations sur les produits'!$A$3:$H$10000,8,FALSE),"0")</f>
        <v>0</v>
      </c>
      <c r="P14451" s="33">
        <f t="shared" si="900"/>
        <v>0</v>
      </c>
      <c r="Q14451" s="31" t="str">
        <f t="shared" si="901"/>
        <v/>
      </c>
      <c r="R14451" s="32" t="str">
        <f>IFERROR(VLOOKUP($D14451,'Informations sur les produits'!$A$3:$B$15000,2,FALSE),"")</f>
        <v/>
      </c>
      <c r="V14451">
        <f t="shared" si="902"/>
        <v>0</v>
      </c>
      <c r="W14451">
        <f t="shared" si="903"/>
        <v>0</v>
      </c>
    </row>
    <row r="14452" spans="5:23" x14ac:dyDescent="0.25">
      <c r="E14452" s="4"/>
      <c r="F14452" s="4"/>
      <c r="G14452" s="33" t="str">
        <f>IFERROR(VLOOKUP($D14452,'Informations sur les produits'!$A$3:$H$10000,8,FALSE),"0")</f>
        <v>0</v>
      </c>
      <c r="K14452" s="4"/>
      <c r="L14452" s="33" t="str">
        <f>IFERROR(VLOOKUP($J14452,'Informations sur les produits'!$A$3:$H$10000,8,FALSE),"0")</f>
        <v>0</v>
      </c>
      <c r="N14452" s="8"/>
      <c r="O14452" s="33" t="str">
        <f>IFERROR(VLOOKUP($M14452,'Informations sur les produits'!$A$3:$H$10000,8,FALSE),"0")</f>
        <v>0</v>
      </c>
      <c r="P14452" s="33">
        <f t="shared" si="900"/>
        <v>0</v>
      </c>
      <c r="Q14452" s="31" t="str">
        <f t="shared" si="901"/>
        <v/>
      </c>
      <c r="R14452" s="32" t="str">
        <f>IFERROR(VLOOKUP($D14452,'Informations sur les produits'!$A$3:$B$15000,2,FALSE),"")</f>
        <v/>
      </c>
      <c r="V14452">
        <f t="shared" si="902"/>
        <v>0</v>
      </c>
      <c r="W14452">
        <f t="shared" si="903"/>
        <v>0</v>
      </c>
    </row>
    <row r="14453" spans="5:23" x14ac:dyDescent="0.25">
      <c r="E14453" s="4"/>
      <c r="F14453" s="4"/>
      <c r="G14453" s="33" t="str">
        <f>IFERROR(VLOOKUP($D14453,'Informations sur les produits'!$A$3:$H$10000,8,FALSE),"0")</f>
        <v>0</v>
      </c>
      <c r="K14453" s="4"/>
      <c r="L14453" s="33" t="str">
        <f>IFERROR(VLOOKUP($J14453,'Informations sur les produits'!$A$3:$H$10000,8,FALSE),"0")</f>
        <v>0</v>
      </c>
      <c r="N14453" s="8"/>
      <c r="O14453" s="33" t="str">
        <f>IFERROR(VLOOKUP($M14453,'Informations sur les produits'!$A$3:$H$10000,8,FALSE),"0")</f>
        <v>0</v>
      </c>
      <c r="P14453" s="33">
        <f t="shared" si="900"/>
        <v>0</v>
      </c>
      <c r="Q14453" s="31" t="str">
        <f t="shared" si="901"/>
        <v/>
      </c>
      <c r="R14453" s="32" t="str">
        <f>IFERROR(VLOOKUP($D14453,'Informations sur les produits'!$A$3:$B$15000,2,FALSE),"")</f>
        <v/>
      </c>
      <c r="V14453">
        <f t="shared" si="902"/>
        <v>0</v>
      </c>
      <c r="W14453">
        <f t="shared" si="903"/>
        <v>0</v>
      </c>
    </row>
    <row r="14454" spans="5:23" x14ac:dyDescent="0.25">
      <c r="E14454" s="4"/>
      <c r="F14454" s="4"/>
      <c r="G14454" s="33" t="str">
        <f>IFERROR(VLOOKUP($D14454,'Informations sur les produits'!$A$3:$H$10000,8,FALSE),"0")</f>
        <v>0</v>
      </c>
      <c r="K14454" s="4"/>
      <c r="L14454" s="33" t="str">
        <f>IFERROR(VLOOKUP($J14454,'Informations sur les produits'!$A$3:$H$10000,8,FALSE),"0")</f>
        <v>0</v>
      </c>
      <c r="N14454" s="8"/>
      <c r="O14454" s="33" t="str">
        <f>IFERROR(VLOOKUP($M14454,'Informations sur les produits'!$A$3:$H$10000,8,FALSE),"0")</f>
        <v>0</v>
      </c>
      <c r="P14454" s="33">
        <f t="shared" si="900"/>
        <v>0</v>
      </c>
      <c r="Q14454" s="31" t="str">
        <f t="shared" si="901"/>
        <v/>
      </c>
      <c r="R14454" s="32" t="str">
        <f>IFERROR(VLOOKUP($D14454,'Informations sur les produits'!$A$3:$B$15000,2,FALSE),"")</f>
        <v/>
      </c>
      <c r="V14454">
        <f t="shared" si="902"/>
        <v>0</v>
      </c>
      <c r="W14454">
        <f t="shared" si="903"/>
        <v>0</v>
      </c>
    </row>
    <row r="14455" spans="5:23" x14ac:dyDescent="0.25">
      <c r="E14455" s="4"/>
      <c r="F14455" s="4"/>
      <c r="G14455" s="33" t="str">
        <f>IFERROR(VLOOKUP($D14455,'Informations sur les produits'!$A$3:$H$10000,8,FALSE),"0")</f>
        <v>0</v>
      </c>
      <c r="K14455" s="4"/>
      <c r="L14455" s="33" t="str">
        <f>IFERROR(VLOOKUP($J14455,'Informations sur les produits'!$A$3:$H$10000,8,FALSE),"0")</f>
        <v>0</v>
      </c>
      <c r="N14455" s="8"/>
      <c r="O14455" s="33" t="str">
        <f>IFERROR(VLOOKUP($M14455,'Informations sur les produits'!$A$3:$H$10000,8,FALSE),"0")</f>
        <v>0</v>
      </c>
      <c r="P14455" s="33">
        <f t="shared" si="900"/>
        <v>0</v>
      </c>
      <c r="Q14455" s="31" t="str">
        <f t="shared" si="901"/>
        <v/>
      </c>
      <c r="R14455" s="32" t="str">
        <f>IFERROR(VLOOKUP($D14455,'Informations sur les produits'!$A$3:$B$15000,2,FALSE),"")</f>
        <v/>
      </c>
      <c r="V14455">
        <f t="shared" si="902"/>
        <v>0</v>
      </c>
      <c r="W14455">
        <f t="shared" si="903"/>
        <v>0</v>
      </c>
    </row>
    <row r="14456" spans="5:23" x14ac:dyDescent="0.25">
      <c r="E14456" s="4"/>
      <c r="F14456" s="4"/>
      <c r="G14456" s="33" t="str">
        <f>IFERROR(VLOOKUP($D14456,'Informations sur les produits'!$A$3:$H$10000,8,FALSE),"0")</f>
        <v>0</v>
      </c>
      <c r="K14456" s="4"/>
      <c r="L14456" s="33" t="str">
        <f>IFERROR(VLOOKUP($J14456,'Informations sur les produits'!$A$3:$H$10000,8,FALSE),"0")</f>
        <v>0</v>
      </c>
      <c r="N14456" s="8"/>
      <c r="O14456" s="33" t="str">
        <f>IFERROR(VLOOKUP($M14456,'Informations sur les produits'!$A$3:$H$10000,8,FALSE),"0")</f>
        <v>0</v>
      </c>
      <c r="P14456" s="33">
        <f t="shared" si="900"/>
        <v>0</v>
      </c>
      <c r="Q14456" s="31" t="str">
        <f t="shared" si="901"/>
        <v/>
      </c>
      <c r="R14456" s="32" t="str">
        <f>IFERROR(VLOOKUP($D14456,'Informations sur les produits'!$A$3:$B$15000,2,FALSE),"")</f>
        <v/>
      </c>
      <c r="V14456">
        <f t="shared" si="902"/>
        <v>0</v>
      </c>
      <c r="W14456">
        <f t="shared" si="903"/>
        <v>0</v>
      </c>
    </row>
    <row r="14457" spans="5:23" x14ac:dyDescent="0.25">
      <c r="E14457" s="4"/>
      <c r="F14457" s="4"/>
      <c r="G14457" s="33" t="str">
        <f>IFERROR(VLOOKUP($D14457,'Informations sur les produits'!$A$3:$H$10000,8,FALSE),"0")</f>
        <v>0</v>
      </c>
      <c r="K14457" s="4"/>
      <c r="L14457" s="33" t="str">
        <f>IFERROR(VLOOKUP($J14457,'Informations sur les produits'!$A$3:$H$10000,8,FALSE),"0")</f>
        <v>0</v>
      </c>
      <c r="N14457" s="8"/>
      <c r="O14457" s="33" t="str">
        <f>IFERROR(VLOOKUP($M14457,'Informations sur les produits'!$A$3:$H$10000,8,FALSE),"0")</f>
        <v>0</v>
      </c>
      <c r="P14457" s="33">
        <f t="shared" si="900"/>
        <v>0</v>
      </c>
      <c r="Q14457" s="31" t="str">
        <f t="shared" si="901"/>
        <v/>
      </c>
      <c r="R14457" s="32" t="str">
        <f>IFERROR(VLOOKUP($D14457,'Informations sur les produits'!$A$3:$B$15000,2,FALSE),"")</f>
        <v/>
      </c>
      <c r="V14457">
        <f t="shared" si="902"/>
        <v>0</v>
      </c>
      <c r="W14457">
        <f t="shared" si="903"/>
        <v>0</v>
      </c>
    </row>
    <row r="14458" spans="5:23" x14ac:dyDescent="0.25">
      <c r="E14458" s="4"/>
      <c r="F14458" s="4"/>
      <c r="G14458" s="33" t="str">
        <f>IFERROR(VLOOKUP($D14458,'Informations sur les produits'!$A$3:$H$10000,8,FALSE),"0")</f>
        <v>0</v>
      </c>
      <c r="K14458" s="4"/>
      <c r="L14458" s="33" t="str">
        <f>IFERROR(VLOOKUP($J14458,'Informations sur les produits'!$A$3:$H$10000,8,FALSE),"0")</f>
        <v>0</v>
      </c>
      <c r="N14458" s="8"/>
      <c r="O14458" s="33" t="str">
        <f>IFERROR(VLOOKUP($M14458,'Informations sur les produits'!$A$3:$H$10000,8,FALSE),"0")</f>
        <v>0</v>
      </c>
      <c r="P14458" s="33">
        <f t="shared" si="900"/>
        <v>0</v>
      </c>
      <c r="Q14458" s="31" t="str">
        <f t="shared" si="901"/>
        <v/>
      </c>
      <c r="R14458" s="32" t="str">
        <f>IFERROR(VLOOKUP($D14458,'Informations sur les produits'!$A$3:$B$15000,2,FALSE),"")</f>
        <v/>
      </c>
      <c r="V14458">
        <f t="shared" si="902"/>
        <v>0</v>
      </c>
      <c r="W14458">
        <f t="shared" si="903"/>
        <v>0</v>
      </c>
    </row>
    <row r="14459" spans="5:23" x14ac:dyDescent="0.25">
      <c r="E14459" s="4"/>
      <c r="F14459" s="4"/>
      <c r="G14459" s="33" t="str">
        <f>IFERROR(VLOOKUP($D14459,'Informations sur les produits'!$A$3:$H$10000,8,FALSE),"0")</f>
        <v>0</v>
      </c>
      <c r="K14459" s="4"/>
      <c r="L14459" s="33" t="str">
        <f>IFERROR(VLOOKUP($J14459,'Informations sur les produits'!$A$3:$H$10000,8,FALSE),"0")</f>
        <v>0</v>
      </c>
      <c r="N14459" s="8"/>
      <c r="O14459" s="33" t="str">
        <f>IFERROR(VLOOKUP($M14459,'Informations sur les produits'!$A$3:$H$10000,8,FALSE),"0")</f>
        <v>0</v>
      </c>
      <c r="P14459" s="33">
        <f t="shared" si="900"/>
        <v>0</v>
      </c>
      <c r="Q14459" s="31" t="str">
        <f t="shared" si="901"/>
        <v/>
      </c>
      <c r="R14459" s="32" t="str">
        <f>IFERROR(VLOOKUP($D14459,'Informations sur les produits'!$A$3:$B$15000,2,FALSE),"")</f>
        <v/>
      </c>
      <c r="V14459">
        <f t="shared" si="902"/>
        <v>0</v>
      </c>
      <c r="W14459">
        <f t="shared" si="903"/>
        <v>0</v>
      </c>
    </row>
    <row r="14460" spans="5:23" x14ac:dyDescent="0.25">
      <c r="E14460" s="4"/>
      <c r="F14460" s="4"/>
      <c r="G14460" s="33" t="str">
        <f>IFERROR(VLOOKUP($D14460,'Informations sur les produits'!$A$3:$H$10000,8,FALSE),"0")</f>
        <v>0</v>
      </c>
      <c r="K14460" s="4"/>
      <c r="L14460" s="33" t="str">
        <f>IFERROR(VLOOKUP($J14460,'Informations sur les produits'!$A$3:$H$10000,8,FALSE),"0")</f>
        <v>0</v>
      </c>
      <c r="N14460" s="8"/>
      <c r="O14460" s="33" t="str">
        <f>IFERROR(VLOOKUP($M14460,'Informations sur les produits'!$A$3:$H$10000,8,FALSE),"0")</f>
        <v>0</v>
      </c>
      <c r="P14460" s="33">
        <f t="shared" si="900"/>
        <v>0</v>
      </c>
      <c r="Q14460" s="31" t="str">
        <f t="shared" si="901"/>
        <v/>
      </c>
      <c r="R14460" s="32" t="str">
        <f>IFERROR(VLOOKUP($D14460,'Informations sur les produits'!$A$3:$B$15000,2,FALSE),"")</f>
        <v/>
      </c>
      <c r="V14460">
        <f t="shared" si="902"/>
        <v>0</v>
      </c>
      <c r="W14460">
        <f t="shared" si="903"/>
        <v>0</v>
      </c>
    </row>
    <row r="14461" spans="5:23" x14ac:dyDescent="0.25">
      <c r="E14461" s="4"/>
      <c r="F14461" s="4"/>
      <c r="G14461" s="33" t="str">
        <f>IFERROR(VLOOKUP($D14461,'Informations sur les produits'!$A$3:$H$10000,8,FALSE),"0")</f>
        <v>0</v>
      </c>
      <c r="K14461" s="4"/>
      <c r="L14461" s="33" t="str">
        <f>IFERROR(VLOOKUP($J14461,'Informations sur les produits'!$A$3:$H$10000,8,FALSE),"0")</f>
        <v>0</v>
      </c>
      <c r="N14461" s="8"/>
      <c r="O14461" s="33" t="str">
        <f>IFERROR(VLOOKUP($M14461,'Informations sur les produits'!$A$3:$H$10000,8,FALSE),"0")</f>
        <v>0</v>
      </c>
      <c r="P14461" s="33">
        <f t="shared" si="900"/>
        <v>0</v>
      </c>
      <c r="Q14461" s="31" t="str">
        <f t="shared" si="901"/>
        <v/>
      </c>
      <c r="R14461" s="32" t="str">
        <f>IFERROR(VLOOKUP($D14461,'Informations sur les produits'!$A$3:$B$15000,2,FALSE),"")</f>
        <v/>
      </c>
      <c r="V14461">
        <f t="shared" si="902"/>
        <v>0</v>
      </c>
      <c r="W14461">
        <f t="shared" si="903"/>
        <v>0</v>
      </c>
    </row>
    <row r="14462" spans="5:23" x14ac:dyDescent="0.25">
      <c r="E14462" s="4"/>
      <c r="F14462" s="4"/>
      <c r="G14462" s="33" t="str">
        <f>IFERROR(VLOOKUP($D14462,'Informations sur les produits'!$A$3:$H$10000,8,FALSE),"0")</f>
        <v>0</v>
      </c>
      <c r="K14462" s="4"/>
      <c r="L14462" s="33" t="str">
        <f>IFERROR(VLOOKUP($J14462,'Informations sur les produits'!$A$3:$H$10000,8,FALSE),"0")</f>
        <v>0</v>
      </c>
      <c r="N14462" s="8"/>
      <c r="O14462" s="33" t="str">
        <f>IFERROR(VLOOKUP($M14462,'Informations sur les produits'!$A$3:$H$10000,8,FALSE),"0")</f>
        <v>0</v>
      </c>
      <c r="P14462" s="33">
        <f t="shared" si="900"/>
        <v>0</v>
      </c>
      <c r="Q14462" s="31" t="str">
        <f t="shared" si="901"/>
        <v/>
      </c>
      <c r="R14462" s="32" t="str">
        <f>IFERROR(VLOOKUP($D14462,'Informations sur les produits'!$A$3:$B$15000,2,FALSE),"")</f>
        <v/>
      </c>
      <c r="V14462">
        <f t="shared" si="902"/>
        <v>0</v>
      </c>
      <c r="W14462">
        <f t="shared" si="903"/>
        <v>0</v>
      </c>
    </row>
    <row r="14463" spans="5:23" x14ac:dyDescent="0.25">
      <c r="E14463" s="4"/>
      <c r="F14463" s="4"/>
      <c r="G14463" s="33" t="str">
        <f>IFERROR(VLOOKUP($D14463,'Informations sur les produits'!$A$3:$H$10000,8,FALSE),"0")</f>
        <v>0</v>
      </c>
      <c r="K14463" s="4"/>
      <c r="L14463" s="33" t="str">
        <f>IFERROR(VLOOKUP($J14463,'Informations sur les produits'!$A$3:$H$10000,8,FALSE),"0")</f>
        <v>0</v>
      </c>
      <c r="N14463" s="8"/>
      <c r="O14463" s="33" t="str">
        <f>IFERROR(VLOOKUP($M14463,'Informations sur les produits'!$A$3:$H$10000,8,FALSE),"0")</f>
        <v>0</v>
      </c>
      <c r="P14463" s="33">
        <f t="shared" si="900"/>
        <v>0</v>
      </c>
      <c r="Q14463" s="31" t="str">
        <f t="shared" si="901"/>
        <v/>
      </c>
      <c r="R14463" s="32" t="str">
        <f>IFERROR(VLOOKUP($D14463,'Informations sur les produits'!$A$3:$B$15000,2,FALSE),"")</f>
        <v/>
      </c>
      <c r="V14463">
        <f t="shared" si="902"/>
        <v>0</v>
      </c>
      <c r="W14463">
        <f t="shared" si="903"/>
        <v>0</v>
      </c>
    </row>
    <row r="14464" spans="5:23" x14ac:dyDescent="0.25">
      <c r="E14464" s="4"/>
      <c r="F14464" s="4"/>
      <c r="G14464" s="33" t="str">
        <f>IFERROR(VLOOKUP($D14464,'Informations sur les produits'!$A$3:$H$10000,8,FALSE),"0")</f>
        <v>0</v>
      </c>
      <c r="K14464" s="4"/>
      <c r="L14464" s="33" t="str">
        <f>IFERROR(VLOOKUP($J14464,'Informations sur les produits'!$A$3:$H$10000,8,FALSE),"0")</f>
        <v>0</v>
      </c>
      <c r="N14464" s="8"/>
      <c r="O14464" s="33" t="str">
        <f>IFERROR(VLOOKUP($M14464,'Informations sur les produits'!$A$3:$H$10000,8,FALSE),"0")</f>
        <v>0</v>
      </c>
      <c r="P14464" s="33">
        <f t="shared" si="900"/>
        <v>0</v>
      </c>
      <c r="Q14464" s="31" t="str">
        <f t="shared" si="901"/>
        <v/>
      </c>
      <c r="R14464" s="32" t="str">
        <f>IFERROR(VLOOKUP($D14464,'Informations sur les produits'!$A$3:$B$15000,2,FALSE),"")</f>
        <v/>
      </c>
      <c r="V14464">
        <f t="shared" si="902"/>
        <v>0</v>
      </c>
      <c r="W14464">
        <f t="shared" si="903"/>
        <v>0</v>
      </c>
    </row>
    <row r="14465" spans="5:23" x14ac:dyDescent="0.25">
      <c r="E14465" s="4"/>
      <c r="F14465" s="4"/>
      <c r="G14465" s="33" t="str">
        <f>IFERROR(VLOOKUP($D14465,'Informations sur les produits'!$A$3:$H$10000,8,FALSE),"0")</f>
        <v>0</v>
      </c>
      <c r="K14465" s="4"/>
      <c r="L14465" s="33" t="str">
        <f>IFERROR(VLOOKUP($J14465,'Informations sur les produits'!$A$3:$H$10000,8,FALSE),"0")</f>
        <v>0</v>
      </c>
      <c r="N14465" s="8"/>
      <c r="O14465" s="33" t="str">
        <f>IFERROR(VLOOKUP($M14465,'Informations sur les produits'!$A$3:$H$10000,8,FALSE),"0")</f>
        <v>0</v>
      </c>
      <c r="P14465" s="33">
        <f t="shared" si="900"/>
        <v>0</v>
      </c>
      <c r="Q14465" s="31" t="str">
        <f t="shared" si="901"/>
        <v/>
      </c>
      <c r="R14465" s="32" t="str">
        <f>IFERROR(VLOOKUP($D14465,'Informations sur les produits'!$A$3:$B$15000,2,FALSE),"")</f>
        <v/>
      </c>
      <c r="V14465">
        <f t="shared" si="902"/>
        <v>0</v>
      </c>
      <c r="W14465">
        <f t="shared" si="903"/>
        <v>0</v>
      </c>
    </row>
    <row r="14466" spans="5:23" x14ac:dyDescent="0.25">
      <c r="E14466" s="4"/>
      <c r="F14466" s="4"/>
      <c r="G14466" s="33" t="str">
        <f>IFERROR(VLOOKUP($D14466,'Informations sur les produits'!$A$3:$H$10000,8,FALSE),"0")</f>
        <v>0</v>
      </c>
      <c r="K14466" s="4"/>
      <c r="L14466" s="33" t="str">
        <f>IFERROR(VLOOKUP($J14466,'Informations sur les produits'!$A$3:$H$10000,8,FALSE),"0")</f>
        <v>0</v>
      </c>
      <c r="N14466" s="8"/>
      <c r="O14466" s="33" t="str">
        <f>IFERROR(VLOOKUP($M14466,'Informations sur les produits'!$A$3:$H$10000,8,FALSE),"0")</f>
        <v>0</v>
      </c>
      <c r="P14466" s="33">
        <f t="shared" si="900"/>
        <v>0</v>
      </c>
      <c r="Q14466" s="31" t="str">
        <f t="shared" si="901"/>
        <v/>
      </c>
      <c r="R14466" s="32" t="str">
        <f>IFERROR(VLOOKUP($D14466,'Informations sur les produits'!$A$3:$B$15000,2,FALSE),"")</f>
        <v/>
      </c>
      <c r="V14466">
        <f t="shared" si="902"/>
        <v>0</v>
      </c>
      <c r="W14466">
        <f t="shared" si="903"/>
        <v>0</v>
      </c>
    </row>
    <row r="14467" spans="5:23" x14ac:dyDescent="0.25">
      <c r="E14467" s="4"/>
      <c r="F14467" s="4"/>
      <c r="G14467" s="33" t="str">
        <f>IFERROR(VLOOKUP($D14467,'Informations sur les produits'!$A$3:$H$10000,8,FALSE),"0")</f>
        <v>0</v>
      </c>
      <c r="K14467" s="4"/>
      <c r="L14467" s="33" t="str">
        <f>IFERROR(VLOOKUP($J14467,'Informations sur les produits'!$A$3:$H$10000,8,FALSE),"0")</f>
        <v>0</v>
      </c>
      <c r="N14467" s="8"/>
      <c r="O14467" s="33" t="str">
        <f>IFERROR(VLOOKUP($M14467,'Informations sur les produits'!$A$3:$H$10000,8,FALSE),"0")</f>
        <v>0</v>
      </c>
      <c r="P14467" s="33">
        <f t="shared" si="900"/>
        <v>0</v>
      </c>
      <c r="Q14467" s="31" t="str">
        <f t="shared" si="901"/>
        <v/>
      </c>
      <c r="R14467" s="32" t="str">
        <f>IFERROR(VLOOKUP($D14467,'Informations sur les produits'!$A$3:$B$15000,2,FALSE),"")</f>
        <v/>
      </c>
      <c r="V14467">
        <f t="shared" si="902"/>
        <v>0</v>
      </c>
      <c r="W14467">
        <f t="shared" si="903"/>
        <v>0</v>
      </c>
    </row>
    <row r="14468" spans="5:23" x14ac:dyDescent="0.25">
      <c r="E14468" s="4"/>
      <c r="F14468" s="4"/>
      <c r="G14468" s="33" t="str">
        <f>IFERROR(VLOOKUP($D14468,'Informations sur les produits'!$A$3:$H$10000,8,FALSE),"0")</f>
        <v>0</v>
      </c>
      <c r="K14468" s="4"/>
      <c r="L14468" s="33" t="str">
        <f>IFERROR(VLOOKUP($J14468,'Informations sur les produits'!$A$3:$H$10000,8,FALSE),"0")</f>
        <v>0</v>
      </c>
      <c r="N14468" s="8"/>
      <c r="O14468" s="33" t="str">
        <f>IFERROR(VLOOKUP($M14468,'Informations sur les produits'!$A$3:$H$10000,8,FALSE),"0")</f>
        <v>0</v>
      </c>
      <c r="P14468" s="33">
        <f t="shared" ref="P14468:P14531" si="904">IFERROR((($E14468-$F14468)*$G14468+$K14468*$L14468+$N14468*$O14468),"")</f>
        <v>0</v>
      </c>
      <c r="Q14468" s="31" t="str">
        <f t="shared" ref="Q14468:Q14531" si="905">IFERROR((((($E14468-$F14468)*$G14468+$K14468*$L14468+$N14468*$O14468)*1000)/(($E14468-$F14468)+$K14468+$N14468)),"")</f>
        <v/>
      </c>
      <c r="R14468" s="32" t="str">
        <f>IFERROR(VLOOKUP($D14468,'Informations sur les produits'!$A$3:$B$15000,2,FALSE),"")</f>
        <v/>
      </c>
      <c r="V14468">
        <f t="shared" ref="V14468:V14531" si="906">IFERROR(P14468*1000,"")</f>
        <v>0</v>
      </c>
      <c r="W14468">
        <f t="shared" ref="W14468:W14531" si="907">IFERROR(($E14468-$F14468)+$K14468+$N14468,"")</f>
        <v>0</v>
      </c>
    </row>
    <row r="14469" spans="5:23" x14ac:dyDescent="0.25">
      <c r="E14469" s="4"/>
      <c r="F14469" s="4"/>
      <c r="G14469" s="33" t="str">
        <f>IFERROR(VLOOKUP($D14469,'Informations sur les produits'!$A$3:$H$10000,8,FALSE),"0")</f>
        <v>0</v>
      </c>
      <c r="K14469" s="4"/>
      <c r="L14469" s="33" t="str">
        <f>IFERROR(VLOOKUP($J14469,'Informations sur les produits'!$A$3:$H$10000,8,FALSE),"0")</f>
        <v>0</v>
      </c>
      <c r="N14469" s="8"/>
      <c r="O14469" s="33" t="str">
        <f>IFERROR(VLOOKUP($M14469,'Informations sur les produits'!$A$3:$H$10000,8,FALSE),"0")</f>
        <v>0</v>
      </c>
      <c r="P14469" s="33">
        <f t="shared" si="904"/>
        <v>0</v>
      </c>
      <c r="Q14469" s="31" t="str">
        <f t="shared" si="905"/>
        <v/>
      </c>
      <c r="R14469" s="32" t="str">
        <f>IFERROR(VLOOKUP($D14469,'Informations sur les produits'!$A$3:$B$15000,2,FALSE),"")</f>
        <v/>
      </c>
      <c r="V14469">
        <f t="shared" si="906"/>
        <v>0</v>
      </c>
      <c r="W14469">
        <f t="shared" si="907"/>
        <v>0</v>
      </c>
    </row>
    <row r="14470" spans="5:23" x14ac:dyDescent="0.25">
      <c r="E14470" s="4"/>
      <c r="F14470" s="4"/>
      <c r="G14470" s="33" t="str">
        <f>IFERROR(VLOOKUP($D14470,'Informations sur les produits'!$A$3:$H$10000,8,FALSE),"0")</f>
        <v>0</v>
      </c>
      <c r="K14470" s="4"/>
      <c r="L14470" s="33" t="str">
        <f>IFERROR(VLOOKUP($J14470,'Informations sur les produits'!$A$3:$H$10000,8,FALSE),"0")</f>
        <v>0</v>
      </c>
      <c r="N14470" s="8"/>
      <c r="O14470" s="33" t="str">
        <f>IFERROR(VLOOKUP($M14470,'Informations sur les produits'!$A$3:$H$10000,8,FALSE),"0")</f>
        <v>0</v>
      </c>
      <c r="P14470" s="33">
        <f t="shared" si="904"/>
        <v>0</v>
      </c>
      <c r="Q14470" s="31" t="str">
        <f t="shared" si="905"/>
        <v/>
      </c>
      <c r="R14470" s="32" t="str">
        <f>IFERROR(VLOOKUP($D14470,'Informations sur les produits'!$A$3:$B$15000,2,FALSE),"")</f>
        <v/>
      </c>
      <c r="V14470">
        <f t="shared" si="906"/>
        <v>0</v>
      </c>
      <c r="W14470">
        <f t="shared" si="907"/>
        <v>0</v>
      </c>
    </row>
    <row r="14471" spans="5:23" x14ac:dyDescent="0.25">
      <c r="E14471" s="4"/>
      <c r="F14471" s="4"/>
      <c r="G14471" s="33" t="str">
        <f>IFERROR(VLOOKUP($D14471,'Informations sur les produits'!$A$3:$H$10000,8,FALSE),"0")</f>
        <v>0</v>
      </c>
      <c r="K14471" s="4"/>
      <c r="L14471" s="33" t="str">
        <f>IFERROR(VLOOKUP($J14471,'Informations sur les produits'!$A$3:$H$10000,8,FALSE),"0")</f>
        <v>0</v>
      </c>
      <c r="N14471" s="8"/>
      <c r="O14471" s="33" t="str">
        <f>IFERROR(VLOOKUP($M14471,'Informations sur les produits'!$A$3:$H$10000,8,FALSE),"0")</f>
        <v>0</v>
      </c>
      <c r="P14471" s="33">
        <f t="shared" si="904"/>
        <v>0</v>
      </c>
      <c r="Q14471" s="31" t="str">
        <f t="shared" si="905"/>
        <v/>
      </c>
      <c r="R14471" s="32" t="str">
        <f>IFERROR(VLOOKUP($D14471,'Informations sur les produits'!$A$3:$B$15000,2,FALSE),"")</f>
        <v/>
      </c>
      <c r="V14471">
        <f t="shared" si="906"/>
        <v>0</v>
      </c>
      <c r="W14471">
        <f t="shared" si="907"/>
        <v>0</v>
      </c>
    </row>
    <row r="14472" spans="5:23" x14ac:dyDescent="0.25">
      <c r="E14472" s="4"/>
      <c r="F14472" s="4"/>
      <c r="G14472" s="33" t="str">
        <f>IFERROR(VLOOKUP($D14472,'Informations sur les produits'!$A$3:$H$10000,8,FALSE),"0")</f>
        <v>0</v>
      </c>
      <c r="K14472" s="4"/>
      <c r="L14472" s="33" t="str">
        <f>IFERROR(VLOOKUP($J14472,'Informations sur les produits'!$A$3:$H$10000,8,FALSE),"0")</f>
        <v>0</v>
      </c>
      <c r="N14472" s="8"/>
      <c r="O14472" s="33" t="str">
        <f>IFERROR(VLOOKUP($M14472,'Informations sur les produits'!$A$3:$H$10000,8,FALSE),"0")</f>
        <v>0</v>
      </c>
      <c r="P14472" s="33">
        <f t="shared" si="904"/>
        <v>0</v>
      </c>
      <c r="Q14472" s="31" t="str">
        <f t="shared" si="905"/>
        <v/>
      </c>
      <c r="R14472" s="32" t="str">
        <f>IFERROR(VLOOKUP($D14472,'Informations sur les produits'!$A$3:$B$15000,2,FALSE),"")</f>
        <v/>
      </c>
      <c r="V14472">
        <f t="shared" si="906"/>
        <v>0</v>
      </c>
      <c r="W14472">
        <f t="shared" si="907"/>
        <v>0</v>
      </c>
    </row>
    <row r="14473" spans="5:23" x14ac:dyDescent="0.25">
      <c r="E14473" s="4"/>
      <c r="F14473" s="4"/>
      <c r="G14473" s="33" t="str">
        <f>IFERROR(VLOOKUP($D14473,'Informations sur les produits'!$A$3:$H$10000,8,FALSE),"0")</f>
        <v>0</v>
      </c>
      <c r="K14473" s="4"/>
      <c r="L14473" s="33" t="str">
        <f>IFERROR(VLOOKUP($J14473,'Informations sur les produits'!$A$3:$H$10000,8,FALSE),"0")</f>
        <v>0</v>
      </c>
      <c r="N14473" s="8"/>
      <c r="O14473" s="33" t="str">
        <f>IFERROR(VLOOKUP($M14473,'Informations sur les produits'!$A$3:$H$10000,8,FALSE),"0")</f>
        <v>0</v>
      </c>
      <c r="P14473" s="33">
        <f t="shared" si="904"/>
        <v>0</v>
      </c>
      <c r="Q14473" s="31" t="str">
        <f t="shared" si="905"/>
        <v/>
      </c>
      <c r="R14473" s="32" t="str">
        <f>IFERROR(VLOOKUP($D14473,'Informations sur les produits'!$A$3:$B$15000,2,FALSE),"")</f>
        <v/>
      </c>
      <c r="V14473">
        <f t="shared" si="906"/>
        <v>0</v>
      </c>
      <c r="W14473">
        <f t="shared" si="907"/>
        <v>0</v>
      </c>
    </row>
    <row r="14474" spans="5:23" x14ac:dyDescent="0.25">
      <c r="E14474" s="4"/>
      <c r="F14474" s="4"/>
      <c r="G14474" s="33" t="str">
        <f>IFERROR(VLOOKUP($D14474,'Informations sur les produits'!$A$3:$H$10000,8,FALSE),"0")</f>
        <v>0</v>
      </c>
      <c r="K14474" s="4"/>
      <c r="L14474" s="33" t="str">
        <f>IFERROR(VLOOKUP($J14474,'Informations sur les produits'!$A$3:$H$10000,8,FALSE),"0")</f>
        <v>0</v>
      </c>
      <c r="N14474" s="8"/>
      <c r="O14474" s="33" t="str">
        <f>IFERROR(VLOOKUP($M14474,'Informations sur les produits'!$A$3:$H$10000,8,FALSE),"0")</f>
        <v>0</v>
      </c>
      <c r="P14474" s="33">
        <f t="shared" si="904"/>
        <v>0</v>
      </c>
      <c r="Q14474" s="31" t="str">
        <f t="shared" si="905"/>
        <v/>
      </c>
      <c r="R14474" s="32" t="str">
        <f>IFERROR(VLOOKUP($D14474,'Informations sur les produits'!$A$3:$B$15000,2,FALSE),"")</f>
        <v/>
      </c>
      <c r="V14474">
        <f t="shared" si="906"/>
        <v>0</v>
      </c>
      <c r="W14474">
        <f t="shared" si="907"/>
        <v>0</v>
      </c>
    </row>
    <row r="14475" spans="5:23" x14ac:dyDescent="0.25">
      <c r="E14475" s="4"/>
      <c r="F14475" s="4"/>
      <c r="G14475" s="33" t="str">
        <f>IFERROR(VLOOKUP($D14475,'Informations sur les produits'!$A$3:$H$10000,8,FALSE),"0")</f>
        <v>0</v>
      </c>
      <c r="K14475" s="4"/>
      <c r="L14475" s="33" t="str">
        <f>IFERROR(VLOOKUP($J14475,'Informations sur les produits'!$A$3:$H$10000,8,FALSE),"0")</f>
        <v>0</v>
      </c>
      <c r="N14475" s="8"/>
      <c r="O14475" s="33" t="str">
        <f>IFERROR(VLOOKUP($M14475,'Informations sur les produits'!$A$3:$H$10000,8,FALSE),"0")</f>
        <v>0</v>
      </c>
      <c r="P14475" s="33">
        <f t="shared" si="904"/>
        <v>0</v>
      </c>
      <c r="Q14475" s="31" t="str">
        <f t="shared" si="905"/>
        <v/>
      </c>
      <c r="R14475" s="32" t="str">
        <f>IFERROR(VLOOKUP($D14475,'Informations sur les produits'!$A$3:$B$15000,2,FALSE),"")</f>
        <v/>
      </c>
      <c r="V14475">
        <f t="shared" si="906"/>
        <v>0</v>
      </c>
      <c r="W14475">
        <f t="shared" si="907"/>
        <v>0</v>
      </c>
    </row>
    <row r="14476" spans="5:23" x14ac:dyDescent="0.25">
      <c r="E14476" s="4"/>
      <c r="F14476" s="4"/>
      <c r="G14476" s="33" t="str">
        <f>IFERROR(VLOOKUP($D14476,'Informations sur les produits'!$A$3:$H$10000,8,FALSE),"0")</f>
        <v>0</v>
      </c>
      <c r="K14476" s="4"/>
      <c r="L14476" s="33" t="str">
        <f>IFERROR(VLOOKUP($J14476,'Informations sur les produits'!$A$3:$H$10000,8,FALSE),"0")</f>
        <v>0</v>
      </c>
      <c r="N14476" s="8"/>
      <c r="O14476" s="33" t="str">
        <f>IFERROR(VLOOKUP($M14476,'Informations sur les produits'!$A$3:$H$10000,8,FALSE),"0")</f>
        <v>0</v>
      </c>
      <c r="P14476" s="33">
        <f t="shared" si="904"/>
        <v>0</v>
      </c>
      <c r="Q14476" s="31" t="str">
        <f t="shared" si="905"/>
        <v/>
      </c>
      <c r="R14476" s="32" t="str">
        <f>IFERROR(VLOOKUP($D14476,'Informations sur les produits'!$A$3:$B$15000,2,FALSE),"")</f>
        <v/>
      </c>
      <c r="V14476">
        <f t="shared" si="906"/>
        <v>0</v>
      </c>
      <c r="W14476">
        <f t="shared" si="907"/>
        <v>0</v>
      </c>
    </row>
    <row r="14477" spans="5:23" x14ac:dyDescent="0.25">
      <c r="E14477" s="4"/>
      <c r="F14477" s="4"/>
      <c r="G14477" s="33" t="str">
        <f>IFERROR(VLOOKUP($D14477,'Informations sur les produits'!$A$3:$H$10000,8,FALSE),"0")</f>
        <v>0</v>
      </c>
      <c r="K14477" s="4"/>
      <c r="L14477" s="33" t="str">
        <f>IFERROR(VLOOKUP($J14477,'Informations sur les produits'!$A$3:$H$10000,8,FALSE),"0")</f>
        <v>0</v>
      </c>
      <c r="N14477" s="8"/>
      <c r="O14477" s="33" t="str">
        <f>IFERROR(VLOOKUP($M14477,'Informations sur les produits'!$A$3:$H$10000,8,FALSE),"0")</f>
        <v>0</v>
      </c>
      <c r="P14477" s="33">
        <f t="shared" si="904"/>
        <v>0</v>
      </c>
      <c r="Q14477" s="31" t="str">
        <f t="shared" si="905"/>
        <v/>
      </c>
      <c r="R14477" s="32" t="str">
        <f>IFERROR(VLOOKUP($D14477,'Informations sur les produits'!$A$3:$B$15000,2,FALSE),"")</f>
        <v/>
      </c>
      <c r="V14477">
        <f t="shared" si="906"/>
        <v>0</v>
      </c>
      <c r="W14477">
        <f t="shared" si="907"/>
        <v>0</v>
      </c>
    </row>
    <row r="14478" spans="5:23" x14ac:dyDescent="0.25">
      <c r="E14478" s="4"/>
      <c r="F14478" s="4"/>
      <c r="G14478" s="33" t="str">
        <f>IFERROR(VLOOKUP($D14478,'Informations sur les produits'!$A$3:$H$10000,8,FALSE),"0")</f>
        <v>0</v>
      </c>
      <c r="K14478" s="4"/>
      <c r="L14478" s="33" t="str">
        <f>IFERROR(VLOOKUP($J14478,'Informations sur les produits'!$A$3:$H$10000,8,FALSE),"0")</f>
        <v>0</v>
      </c>
      <c r="N14478" s="8"/>
      <c r="O14478" s="33" t="str">
        <f>IFERROR(VLOOKUP($M14478,'Informations sur les produits'!$A$3:$H$10000,8,FALSE),"0")</f>
        <v>0</v>
      </c>
      <c r="P14478" s="33">
        <f t="shared" si="904"/>
        <v>0</v>
      </c>
      <c r="Q14478" s="31" t="str">
        <f t="shared" si="905"/>
        <v/>
      </c>
      <c r="R14478" s="32" t="str">
        <f>IFERROR(VLOOKUP($D14478,'Informations sur les produits'!$A$3:$B$15000,2,FALSE),"")</f>
        <v/>
      </c>
      <c r="V14478">
        <f t="shared" si="906"/>
        <v>0</v>
      </c>
      <c r="W14478">
        <f t="shared" si="907"/>
        <v>0</v>
      </c>
    </row>
    <row r="14479" spans="5:23" x14ac:dyDescent="0.25">
      <c r="E14479" s="4"/>
      <c r="F14479" s="4"/>
      <c r="G14479" s="33" t="str">
        <f>IFERROR(VLOOKUP($D14479,'Informations sur les produits'!$A$3:$H$10000,8,FALSE),"0")</f>
        <v>0</v>
      </c>
      <c r="K14479" s="4"/>
      <c r="L14479" s="33" t="str">
        <f>IFERROR(VLOOKUP($J14479,'Informations sur les produits'!$A$3:$H$10000,8,FALSE),"0")</f>
        <v>0</v>
      </c>
      <c r="N14479" s="8"/>
      <c r="O14479" s="33" t="str">
        <f>IFERROR(VLOOKUP($M14479,'Informations sur les produits'!$A$3:$H$10000,8,FALSE),"0")</f>
        <v>0</v>
      </c>
      <c r="P14479" s="33">
        <f t="shared" si="904"/>
        <v>0</v>
      </c>
      <c r="Q14479" s="31" t="str">
        <f t="shared" si="905"/>
        <v/>
      </c>
      <c r="R14479" s="32" t="str">
        <f>IFERROR(VLOOKUP($D14479,'Informations sur les produits'!$A$3:$B$15000,2,FALSE),"")</f>
        <v/>
      </c>
      <c r="V14479">
        <f t="shared" si="906"/>
        <v>0</v>
      </c>
      <c r="W14479">
        <f t="shared" si="907"/>
        <v>0</v>
      </c>
    </row>
    <row r="14480" spans="5:23" x14ac:dyDescent="0.25">
      <c r="E14480" s="4"/>
      <c r="F14480" s="4"/>
      <c r="G14480" s="33" t="str">
        <f>IFERROR(VLOOKUP($D14480,'Informations sur les produits'!$A$3:$H$10000,8,FALSE),"0")</f>
        <v>0</v>
      </c>
      <c r="K14480" s="4"/>
      <c r="L14480" s="33" t="str">
        <f>IFERROR(VLOOKUP($J14480,'Informations sur les produits'!$A$3:$H$10000,8,FALSE),"0")</f>
        <v>0</v>
      </c>
      <c r="N14480" s="8"/>
      <c r="O14480" s="33" t="str">
        <f>IFERROR(VLOOKUP($M14480,'Informations sur les produits'!$A$3:$H$10000,8,FALSE),"0")</f>
        <v>0</v>
      </c>
      <c r="P14480" s="33">
        <f t="shared" si="904"/>
        <v>0</v>
      </c>
      <c r="Q14480" s="31" t="str">
        <f t="shared" si="905"/>
        <v/>
      </c>
      <c r="R14480" s="32" t="str">
        <f>IFERROR(VLOOKUP($D14480,'Informations sur les produits'!$A$3:$B$15000,2,FALSE),"")</f>
        <v/>
      </c>
      <c r="V14480">
        <f t="shared" si="906"/>
        <v>0</v>
      </c>
      <c r="W14480">
        <f t="shared" si="907"/>
        <v>0</v>
      </c>
    </row>
    <row r="14481" spans="5:23" x14ac:dyDescent="0.25">
      <c r="E14481" s="4"/>
      <c r="F14481" s="4"/>
      <c r="G14481" s="33" t="str">
        <f>IFERROR(VLOOKUP($D14481,'Informations sur les produits'!$A$3:$H$10000,8,FALSE),"0")</f>
        <v>0</v>
      </c>
      <c r="K14481" s="4"/>
      <c r="L14481" s="33" t="str">
        <f>IFERROR(VLOOKUP($J14481,'Informations sur les produits'!$A$3:$H$10000,8,FALSE),"0")</f>
        <v>0</v>
      </c>
      <c r="N14481" s="8"/>
      <c r="O14481" s="33" t="str">
        <f>IFERROR(VLOOKUP($M14481,'Informations sur les produits'!$A$3:$H$10000,8,FALSE),"0")</f>
        <v>0</v>
      </c>
      <c r="P14481" s="33">
        <f t="shared" si="904"/>
        <v>0</v>
      </c>
      <c r="Q14481" s="31" t="str">
        <f t="shared" si="905"/>
        <v/>
      </c>
      <c r="R14481" s="32" t="str">
        <f>IFERROR(VLOOKUP($D14481,'Informations sur les produits'!$A$3:$B$15000,2,FALSE),"")</f>
        <v/>
      </c>
      <c r="V14481">
        <f t="shared" si="906"/>
        <v>0</v>
      </c>
      <c r="W14481">
        <f t="shared" si="907"/>
        <v>0</v>
      </c>
    </row>
    <row r="14482" spans="5:23" x14ac:dyDescent="0.25">
      <c r="E14482" s="4"/>
      <c r="F14482" s="4"/>
      <c r="G14482" s="33" t="str">
        <f>IFERROR(VLOOKUP($D14482,'Informations sur les produits'!$A$3:$H$10000,8,FALSE),"0")</f>
        <v>0</v>
      </c>
      <c r="K14482" s="4"/>
      <c r="L14482" s="33" t="str">
        <f>IFERROR(VLOOKUP($J14482,'Informations sur les produits'!$A$3:$H$10000,8,FALSE),"0")</f>
        <v>0</v>
      </c>
      <c r="N14482" s="8"/>
      <c r="O14482" s="33" t="str">
        <f>IFERROR(VLOOKUP($M14482,'Informations sur les produits'!$A$3:$H$10000,8,FALSE),"0")</f>
        <v>0</v>
      </c>
      <c r="P14482" s="33">
        <f t="shared" si="904"/>
        <v>0</v>
      </c>
      <c r="Q14482" s="31" t="str">
        <f t="shared" si="905"/>
        <v/>
      </c>
      <c r="R14482" s="32" t="str">
        <f>IFERROR(VLOOKUP($D14482,'Informations sur les produits'!$A$3:$B$15000,2,FALSE),"")</f>
        <v/>
      </c>
      <c r="V14482">
        <f t="shared" si="906"/>
        <v>0</v>
      </c>
      <c r="W14482">
        <f t="shared" si="907"/>
        <v>0</v>
      </c>
    </row>
    <row r="14483" spans="5:23" x14ac:dyDescent="0.25">
      <c r="E14483" s="4"/>
      <c r="F14483" s="4"/>
      <c r="G14483" s="33" t="str">
        <f>IFERROR(VLOOKUP($D14483,'Informations sur les produits'!$A$3:$H$10000,8,FALSE),"0")</f>
        <v>0</v>
      </c>
      <c r="K14483" s="4"/>
      <c r="L14483" s="33" t="str">
        <f>IFERROR(VLOOKUP($J14483,'Informations sur les produits'!$A$3:$H$10000,8,FALSE),"0")</f>
        <v>0</v>
      </c>
      <c r="N14483" s="8"/>
      <c r="O14483" s="33" t="str">
        <f>IFERROR(VLOOKUP($M14483,'Informations sur les produits'!$A$3:$H$10000,8,FALSE),"0")</f>
        <v>0</v>
      </c>
      <c r="P14483" s="33">
        <f t="shared" si="904"/>
        <v>0</v>
      </c>
      <c r="Q14483" s="31" t="str">
        <f t="shared" si="905"/>
        <v/>
      </c>
      <c r="R14483" s="32" t="str">
        <f>IFERROR(VLOOKUP($D14483,'Informations sur les produits'!$A$3:$B$15000,2,FALSE),"")</f>
        <v/>
      </c>
      <c r="V14483">
        <f t="shared" si="906"/>
        <v>0</v>
      </c>
      <c r="W14483">
        <f t="shared" si="907"/>
        <v>0</v>
      </c>
    </row>
    <row r="14484" spans="5:23" x14ac:dyDescent="0.25">
      <c r="E14484" s="4"/>
      <c r="F14484" s="4"/>
      <c r="G14484" s="33" t="str">
        <f>IFERROR(VLOOKUP($D14484,'Informations sur les produits'!$A$3:$H$10000,8,FALSE),"0")</f>
        <v>0</v>
      </c>
      <c r="K14484" s="4"/>
      <c r="L14484" s="33" t="str">
        <f>IFERROR(VLOOKUP($J14484,'Informations sur les produits'!$A$3:$H$10000,8,FALSE),"0")</f>
        <v>0</v>
      </c>
      <c r="N14484" s="8"/>
      <c r="O14484" s="33" t="str">
        <f>IFERROR(VLOOKUP($M14484,'Informations sur les produits'!$A$3:$H$10000,8,FALSE),"0")</f>
        <v>0</v>
      </c>
      <c r="P14484" s="33">
        <f t="shared" si="904"/>
        <v>0</v>
      </c>
      <c r="Q14484" s="31" t="str">
        <f t="shared" si="905"/>
        <v/>
      </c>
      <c r="R14484" s="32" t="str">
        <f>IFERROR(VLOOKUP($D14484,'Informations sur les produits'!$A$3:$B$15000,2,FALSE),"")</f>
        <v/>
      </c>
      <c r="V14484">
        <f t="shared" si="906"/>
        <v>0</v>
      </c>
      <c r="W14484">
        <f t="shared" si="907"/>
        <v>0</v>
      </c>
    </row>
    <row r="14485" spans="5:23" x14ac:dyDescent="0.25">
      <c r="E14485" s="4"/>
      <c r="F14485" s="4"/>
      <c r="G14485" s="33" t="str">
        <f>IFERROR(VLOOKUP($D14485,'Informations sur les produits'!$A$3:$H$10000,8,FALSE),"0")</f>
        <v>0</v>
      </c>
      <c r="K14485" s="4"/>
      <c r="L14485" s="33" t="str">
        <f>IFERROR(VLOOKUP($J14485,'Informations sur les produits'!$A$3:$H$10000,8,FALSE),"0")</f>
        <v>0</v>
      </c>
      <c r="N14485" s="8"/>
      <c r="O14485" s="33" t="str">
        <f>IFERROR(VLOOKUP($M14485,'Informations sur les produits'!$A$3:$H$10000,8,FALSE),"0")</f>
        <v>0</v>
      </c>
      <c r="P14485" s="33">
        <f t="shared" si="904"/>
        <v>0</v>
      </c>
      <c r="Q14485" s="31" t="str">
        <f t="shared" si="905"/>
        <v/>
      </c>
      <c r="R14485" s="32" t="str">
        <f>IFERROR(VLOOKUP($D14485,'Informations sur les produits'!$A$3:$B$15000,2,FALSE),"")</f>
        <v/>
      </c>
      <c r="V14485">
        <f t="shared" si="906"/>
        <v>0</v>
      </c>
      <c r="W14485">
        <f t="shared" si="907"/>
        <v>0</v>
      </c>
    </row>
    <row r="14486" spans="5:23" x14ac:dyDescent="0.25">
      <c r="E14486" s="4"/>
      <c r="F14486" s="4"/>
      <c r="G14486" s="33" t="str">
        <f>IFERROR(VLOOKUP($D14486,'Informations sur les produits'!$A$3:$H$10000,8,FALSE),"0")</f>
        <v>0</v>
      </c>
      <c r="K14486" s="4"/>
      <c r="L14486" s="33" t="str">
        <f>IFERROR(VLOOKUP($J14486,'Informations sur les produits'!$A$3:$H$10000,8,FALSE),"0")</f>
        <v>0</v>
      </c>
      <c r="N14486" s="8"/>
      <c r="O14486" s="33" t="str">
        <f>IFERROR(VLOOKUP($M14486,'Informations sur les produits'!$A$3:$H$10000,8,FALSE),"0")</f>
        <v>0</v>
      </c>
      <c r="P14486" s="33">
        <f t="shared" si="904"/>
        <v>0</v>
      </c>
      <c r="Q14486" s="31" t="str">
        <f t="shared" si="905"/>
        <v/>
      </c>
      <c r="R14486" s="32" t="str">
        <f>IFERROR(VLOOKUP($D14486,'Informations sur les produits'!$A$3:$B$15000,2,FALSE),"")</f>
        <v/>
      </c>
      <c r="V14486">
        <f t="shared" si="906"/>
        <v>0</v>
      </c>
      <c r="W14486">
        <f t="shared" si="907"/>
        <v>0</v>
      </c>
    </row>
    <row r="14487" spans="5:23" x14ac:dyDescent="0.25">
      <c r="E14487" s="4"/>
      <c r="F14487" s="4"/>
      <c r="G14487" s="33" t="str">
        <f>IFERROR(VLOOKUP($D14487,'Informations sur les produits'!$A$3:$H$10000,8,FALSE),"0")</f>
        <v>0</v>
      </c>
      <c r="K14487" s="4"/>
      <c r="L14487" s="33" t="str">
        <f>IFERROR(VLOOKUP($J14487,'Informations sur les produits'!$A$3:$H$10000,8,FALSE),"0")</f>
        <v>0</v>
      </c>
      <c r="N14487" s="8"/>
      <c r="O14487" s="33" t="str">
        <f>IFERROR(VLOOKUP($M14487,'Informations sur les produits'!$A$3:$H$10000,8,FALSE),"0")</f>
        <v>0</v>
      </c>
      <c r="P14487" s="33">
        <f t="shared" si="904"/>
        <v>0</v>
      </c>
      <c r="Q14487" s="31" t="str">
        <f t="shared" si="905"/>
        <v/>
      </c>
      <c r="R14487" s="32" t="str">
        <f>IFERROR(VLOOKUP($D14487,'Informations sur les produits'!$A$3:$B$15000,2,FALSE),"")</f>
        <v/>
      </c>
      <c r="V14487">
        <f t="shared" si="906"/>
        <v>0</v>
      </c>
      <c r="W14487">
        <f t="shared" si="907"/>
        <v>0</v>
      </c>
    </row>
    <row r="14488" spans="5:23" x14ac:dyDescent="0.25">
      <c r="E14488" s="4"/>
      <c r="F14488" s="4"/>
      <c r="G14488" s="33" t="str">
        <f>IFERROR(VLOOKUP($D14488,'Informations sur les produits'!$A$3:$H$10000,8,FALSE),"0")</f>
        <v>0</v>
      </c>
      <c r="K14488" s="4"/>
      <c r="L14488" s="33" t="str">
        <f>IFERROR(VLOOKUP($J14488,'Informations sur les produits'!$A$3:$H$10000,8,FALSE),"0")</f>
        <v>0</v>
      </c>
      <c r="N14488" s="8"/>
      <c r="O14488" s="33" t="str">
        <f>IFERROR(VLOOKUP($M14488,'Informations sur les produits'!$A$3:$H$10000,8,FALSE),"0")</f>
        <v>0</v>
      </c>
      <c r="P14488" s="33">
        <f t="shared" si="904"/>
        <v>0</v>
      </c>
      <c r="Q14488" s="31" t="str">
        <f t="shared" si="905"/>
        <v/>
      </c>
      <c r="R14488" s="32" t="str">
        <f>IFERROR(VLOOKUP($D14488,'Informations sur les produits'!$A$3:$B$15000,2,FALSE),"")</f>
        <v/>
      </c>
      <c r="V14488">
        <f t="shared" si="906"/>
        <v>0</v>
      </c>
      <c r="W14488">
        <f t="shared" si="907"/>
        <v>0</v>
      </c>
    </row>
    <row r="14489" spans="5:23" x14ac:dyDescent="0.25">
      <c r="E14489" s="4"/>
      <c r="F14489" s="4"/>
      <c r="G14489" s="33" t="str">
        <f>IFERROR(VLOOKUP($D14489,'Informations sur les produits'!$A$3:$H$10000,8,FALSE),"0")</f>
        <v>0</v>
      </c>
      <c r="K14489" s="4"/>
      <c r="L14489" s="33" t="str">
        <f>IFERROR(VLOOKUP($J14489,'Informations sur les produits'!$A$3:$H$10000,8,FALSE),"0")</f>
        <v>0</v>
      </c>
      <c r="N14489" s="8"/>
      <c r="O14489" s="33" t="str">
        <f>IFERROR(VLOOKUP($M14489,'Informations sur les produits'!$A$3:$H$10000,8,FALSE),"0")</f>
        <v>0</v>
      </c>
      <c r="P14489" s="33">
        <f t="shared" si="904"/>
        <v>0</v>
      </c>
      <c r="Q14489" s="31" t="str">
        <f t="shared" si="905"/>
        <v/>
      </c>
      <c r="R14489" s="32" t="str">
        <f>IFERROR(VLOOKUP($D14489,'Informations sur les produits'!$A$3:$B$15000,2,FALSE),"")</f>
        <v/>
      </c>
      <c r="V14489">
        <f t="shared" si="906"/>
        <v>0</v>
      </c>
      <c r="W14489">
        <f t="shared" si="907"/>
        <v>0</v>
      </c>
    </row>
    <row r="14490" spans="5:23" x14ac:dyDescent="0.25">
      <c r="E14490" s="4"/>
      <c r="F14490" s="4"/>
      <c r="G14490" s="33" t="str">
        <f>IFERROR(VLOOKUP($D14490,'Informations sur les produits'!$A$3:$H$10000,8,FALSE),"0")</f>
        <v>0</v>
      </c>
      <c r="K14490" s="4"/>
      <c r="L14490" s="33" t="str">
        <f>IFERROR(VLOOKUP($J14490,'Informations sur les produits'!$A$3:$H$10000,8,FALSE),"0")</f>
        <v>0</v>
      </c>
      <c r="N14490" s="8"/>
      <c r="O14490" s="33" t="str">
        <f>IFERROR(VLOOKUP($M14490,'Informations sur les produits'!$A$3:$H$10000,8,FALSE),"0")</f>
        <v>0</v>
      </c>
      <c r="P14490" s="33">
        <f t="shared" si="904"/>
        <v>0</v>
      </c>
      <c r="Q14490" s="31" t="str">
        <f t="shared" si="905"/>
        <v/>
      </c>
      <c r="R14490" s="32" t="str">
        <f>IFERROR(VLOOKUP($D14490,'Informations sur les produits'!$A$3:$B$15000,2,FALSE),"")</f>
        <v/>
      </c>
      <c r="V14490">
        <f t="shared" si="906"/>
        <v>0</v>
      </c>
      <c r="W14490">
        <f t="shared" si="907"/>
        <v>0</v>
      </c>
    </row>
    <row r="14491" spans="5:23" x14ac:dyDescent="0.25">
      <c r="E14491" s="4"/>
      <c r="F14491" s="4"/>
      <c r="G14491" s="33" t="str">
        <f>IFERROR(VLOOKUP($D14491,'Informations sur les produits'!$A$3:$H$10000,8,FALSE),"0")</f>
        <v>0</v>
      </c>
      <c r="K14491" s="4"/>
      <c r="L14491" s="33" t="str">
        <f>IFERROR(VLOOKUP($J14491,'Informations sur les produits'!$A$3:$H$10000,8,FALSE),"0")</f>
        <v>0</v>
      </c>
      <c r="N14491" s="8"/>
      <c r="O14491" s="33" t="str">
        <f>IFERROR(VLOOKUP($M14491,'Informations sur les produits'!$A$3:$H$10000,8,FALSE),"0")</f>
        <v>0</v>
      </c>
      <c r="P14491" s="33">
        <f t="shared" si="904"/>
        <v>0</v>
      </c>
      <c r="Q14491" s="31" t="str">
        <f t="shared" si="905"/>
        <v/>
      </c>
      <c r="R14491" s="32" t="str">
        <f>IFERROR(VLOOKUP($D14491,'Informations sur les produits'!$A$3:$B$15000,2,FALSE),"")</f>
        <v/>
      </c>
      <c r="V14491">
        <f t="shared" si="906"/>
        <v>0</v>
      </c>
      <c r="W14491">
        <f t="shared" si="907"/>
        <v>0</v>
      </c>
    </row>
    <row r="14492" spans="5:23" x14ac:dyDescent="0.25">
      <c r="E14492" s="4"/>
      <c r="F14492" s="4"/>
      <c r="G14492" s="33" t="str">
        <f>IFERROR(VLOOKUP($D14492,'Informations sur les produits'!$A$3:$H$10000,8,FALSE),"0")</f>
        <v>0</v>
      </c>
      <c r="K14492" s="4"/>
      <c r="L14492" s="33" t="str">
        <f>IFERROR(VLOOKUP($J14492,'Informations sur les produits'!$A$3:$H$10000,8,FALSE),"0")</f>
        <v>0</v>
      </c>
      <c r="N14492" s="8"/>
      <c r="O14492" s="33" t="str">
        <f>IFERROR(VLOOKUP($M14492,'Informations sur les produits'!$A$3:$H$10000,8,FALSE),"0")</f>
        <v>0</v>
      </c>
      <c r="P14492" s="33">
        <f t="shared" si="904"/>
        <v>0</v>
      </c>
      <c r="Q14492" s="31" t="str">
        <f t="shared" si="905"/>
        <v/>
      </c>
      <c r="R14492" s="32" t="str">
        <f>IFERROR(VLOOKUP($D14492,'Informations sur les produits'!$A$3:$B$15000,2,FALSE),"")</f>
        <v/>
      </c>
      <c r="V14492">
        <f t="shared" si="906"/>
        <v>0</v>
      </c>
      <c r="W14492">
        <f t="shared" si="907"/>
        <v>0</v>
      </c>
    </row>
    <row r="14493" spans="5:23" x14ac:dyDescent="0.25">
      <c r="E14493" s="4"/>
      <c r="F14493" s="4"/>
      <c r="G14493" s="33" t="str">
        <f>IFERROR(VLOOKUP($D14493,'Informations sur les produits'!$A$3:$H$10000,8,FALSE),"0")</f>
        <v>0</v>
      </c>
      <c r="K14493" s="4"/>
      <c r="L14493" s="33" t="str">
        <f>IFERROR(VLOOKUP($J14493,'Informations sur les produits'!$A$3:$H$10000,8,FALSE),"0")</f>
        <v>0</v>
      </c>
      <c r="N14493" s="8"/>
      <c r="O14493" s="33" t="str">
        <f>IFERROR(VLOOKUP($M14493,'Informations sur les produits'!$A$3:$H$10000,8,FALSE),"0")</f>
        <v>0</v>
      </c>
      <c r="P14493" s="33">
        <f t="shared" si="904"/>
        <v>0</v>
      </c>
      <c r="Q14493" s="31" t="str">
        <f t="shared" si="905"/>
        <v/>
      </c>
      <c r="R14493" s="32" t="str">
        <f>IFERROR(VLOOKUP($D14493,'Informations sur les produits'!$A$3:$B$15000,2,FALSE),"")</f>
        <v/>
      </c>
      <c r="V14493">
        <f t="shared" si="906"/>
        <v>0</v>
      </c>
      <c r="W14493">
        <f t="shared" si="907"/>
        <v>0</v>
      </c>
    </row>
    <row r="14494" spans="5:23" x14ac:dyDescent="0.25">
      <c r="E14494" s="4"/>
      <c r="F14494" s="4"/>
      <c r="G14494" s="33" t="str">
        <f>IFERROR(VLOOKUP($D14494,'Informations sur les produits'!$A$3:$H$10000,8,FALSE),"0")</f>
        <v>0</v>
      </c>
      <c r="K14494" s="4"/>
      <c r="L14494" s="33" t="str">
        <f>IFERROR(VLOOKUP($J14494,'Informations sur les produits'!$A$3:$H$10000,8,FALSE),"0")</f>
        <v>0</v>
      </c>
      <c r="N14494" s="8"/>
      <c r="O14494" s="33" t="str">
        <f>IFERROR(VLOOKUP($M14494,'Informations sur les produits'!$A$3:$H$10000,8,FALSE),"0")</f>
        <v>0</v>
      </c>
      <c r="P14494" s="33">
        <f t="shared" si="904"/>
        <v>0</v>
      </c>
      <c r="Q14494" s="31" t="str">
        <f t="shared" si="905"/>
        <v/>
      </c>
      <c r="R14494" s="32" t="str">
        <f>IFERROR(VLOOKUP($D14494,'Informations sur les produits'!$A$3:$B$15000,2,FALSE),"")</f>
        <v/>
      </c>
      <c r="V14494">
        <f t="shared" si="906"/>
        <v>0</v>
      </c>
      <c r="W14494">
        <f t="shared" si="907"/>
        <v>0</v>
      </c>
    </row>
    <row r="14495" spans="5:23" x14ac:dyDescent="0.25">
      <c r="E14495" s="4"/>
      <c r="F14495" s="4"/>
      <c r="G14495" s="33" t="str">
        <f>IFERROR(VLOOKUP($D14495,'Informations sur les produits'!$A$3:$H$10000,8,FALSE),"0")</f>
        <v>0</v>
      </c>
      <c r="K14495" s="4"/>
      <c r="L14495" s="33" t="str">
        <f>IFERROR(VLOOKUP($J14495,'Informations sur les produits'!$A$3:$H$10000,8,FALSE),"0")</f>
        <v>0</v>
      </c>
      <c r="N14495" s="8"/>
      <c r="O14495" s="33" t="str">
        <f>IFERROR(VLOOKUP($M14495,'Informations sur les produits'!$A$3:$H$10000,8,FALSE),"0")</f>
        <v>0</v>
      </c>
      <c r="P14495" s="33">
        <f t="shared" si="904"/>
        <v>0</v>
      </c>
      <c r="Q14495" s="31" t="str">
        <f t="shared" si="905"/>
        <v/>
      </c>
      <c r="R14495" s="32" t="str">
        <f>IFERROR(VLOOKUP($D14495,'Informations sur les produits'!$A$3:$B$15000,2,FALSE),"")</f>
        <v/>
      </c>
      <c r="V14495">
        <f t="shared" si="906"/>
        <v>0</v>
      </c>
      <c r="W14495">
        <f t="shared" si="907"/>
        <v>0</v>
      </c>
    </row>
    <row r="14496" spans="5:23" x14ac:dyDescent="0.25">
      <c r="E14496" s="4"/>
      <c r="F14496" s="4"/>
      <c r="G14496" s="33" t="str">
        <f>IFERROR(VLOOKUP($D14496,'Informations sur les produits'!$A$3:$H$10000,8,FALSE),"0")</f>
        <v>0</v>
      </c>
      <c r="K14496" s="4"/>
      <c r="L14496" s="33" t="str">
        <f>IFERROR(VLOOKUP($J14496,'Informations sur les produits'!$A$3:$H$10000,8,FALSE),"0")</f>
        <v>0</v>
      </c>
      <c r="N14496" s="8"/>
      <c r="O14496" s="33" t="str">
        <f>IFERROR(VLOOKUP($M14496,'Informations sur les produits'!$A$3:$H$10000,8,FALSE),"0")</f>
        <v>0</v>
      </c>
      <c r="P14496" s="33">
        <f t="shared" si="904"/>
        <v>0</v>
      </c>
      <c r="Q14496" s="31" t="str">
        <f t="shared" si="905"/>
        <v/>
      </c>
      <c r="R14496" s="32" t="str">
        <f>IFERROR(VLOOKUP($D14496,'Informations sur les produits'!$A$3:$B$15000,2,FALSE),"")</f>
        <v/>
      </c>
      <c r="V14496">
        <f t="shared" si="906"/>
        <v>0</v>
      </c>
      <c r="W14496">
        <f t="shared" si="907"/>
        <v>0</v>
      </c>
    </row>
    <row r="14497" spans="5:23" x14ac:dyDescent="0.25">
      <c r="E14497" s="4"/>
      <c r="F14497" s="4"/>
      <c r="G14497" s="33" t="str">
        <f>IFERROR(VLOOKUP($D14497,'Informations sur les produits'!$A$3:$H$10000,8,FALSE),"0")</f>
        <v>0</v>
      </c>
      <c r="K14497" s="4"/>
      <c r="L14497" s="33" t="str">
        <f>IFERROR(VLOOKUP($J14497,'Informations sur les produits'!$A$3:$H$10000,8,FALSE),"0")</f>
        <v>0</v>
      </c>
      <c r="N14497" s="8"/>
      <c r="O14497" s="33" t="str">
        <f>IFERROR(VLOOKUP($M14497,'Informations sur les produits'!$A$3:$H$10000,8,FALSE),"0")</f>
        <v>0</v>
      </c>
      <c r="P14497" s="33">
        <f t="shared" si="904"/>
        <v>0</v>
      </c>
      <c r="Q14497" s="31" t="str">
        <f t="shared" si="905"/>
        <v/>
      </c>
      <c r="R14497" s="32" t="str">
        <f>IFERROR(VLOOKUP($D14497,'Informations sur les produits'!$A$3:$B$15000,2,FALSE),"")</f>
        <v/>
      </c>
      <c r="V14497">
        <f t="shared" si="906"/>
        <v>0</v>
      </c>
      <c r="W14497">
        <f t="shared" si="907"/>
        <v>0</v>
      </c>
    </row>
    <row r="14498" spans="5:23" x14ac:dyDescent="0.25">
      <c r="E14498" s="4"/>
      <c r="F14498" s="4"/>
      <c r="G14498" s="33" t="str">
        <f>IFERROR(VLOOKUP($D14498,'Informations sur les produits'!$A$3:$H$10000,8,FALSE),"0")</f>
        <v>0</v>
      </c>
      <c r="K14498" s="4"/>
      <c r="L14498" s="33" t="str">
        <f>IFERROR(VLOOKUP($J14498,'Informations sur les produits'!$A$3:$H$10000,8,FALSE),"0")</f>
        <v>0</v>
      </c>
      <c r="N14498" s="8"/>
      <c r="O14498" s="33" t="str">
        <f>IFERROR(VLOOKUP($M14498,'Informations sur les produits'!$A$3:$H$10000,8,FALSE),"0")</f>
        <v>0</v>
      </c>
      <c r="P14498" s="33">
        <f t="shared" si="904"/>
        <v>0</v>
      </c>
      <c r="Q14498" s="31" t="str">
        <f t="shared" si="905"/>
        <v/>
      </c>
      <c r="R14498" s="32" t="str">
        <f>IFERROR(VLOOKUP($D14498,'Informations sur les produits'!$A$3:$B$15000,2,FALSE),"")</f>
        <v/>
      </c>
      <c r="V14498">
        <f t="shared" si="906"/>
        <v>0</v>
      </c>
      <c r="W14498">
        <f t="shared" si="907"/>
        <v>0</v>
      </c>
    </row>
    <row r="14499" spans="5:23" x14ac:dyDescent="0.25">
      <c r="E14499" s="4"/>
      <c r="F14499" s="4"/>
      <c r="G14499" s="33" t="str">
        <f>IFERROR(VLOOKUP($D14499,'Informations sur les produits'!$A$3:$H$10000,8,FALSE),"0")</f>
        <v>0</v>
      </c>
      <c r="K14499" s="4"/>
      <c r="L14499" s="33" t="str">
        <f>IFERROR(VLOOKUP($J14499,'Informations sur les produits'!$A$3:$H$10000,8,FALSE),"0")</f>
        <v>0</v>
      </c>
      <c r="N14499" s="8"/>
      <c r="O14499" s="33" t="str">
        <f>IFERROR(VLOOKUP($M14499,'Informations sur les produits'!$A$3:$H$10000,8,FALSE),"0")</f>
        <v>0</v>
      </c>
      <c r="P14499" s="33">
        <f t="shared" si="904"/>
        <v>0</v>
      </c>
      <c r="Q14499" s="31" t="str">
        <f t="shared" si="905"/>
        <v/>
      </c>
      <c r="R14499" s="32" t="str">
        <f>IFERROR(VLOOKUP($D14499,'Informations sur les produits'!$A$3:$B$15000,2,FALSE),"")</f>
        <v/>
      </c>
      <c r="V14499">
        <f t="shared" si="906"/>
        <v>0</v>
      </c>
      <c r="W14499">
        <f t="shared" si="907"/>
        <v>0</v>
      </c>
    </row>
    <row r="14500" spans="5:23" x14ac:dyDescent="0.25">
      <c r="E14500" s="4"/>
      <c r="F14500" s="4"/>
      <c r="G14500" s="33" t="str">
        <f>IFERROR(VLOOKUP($D14500,'Informations sur les produits'!$A$3:$H$10000,8,FALSE),"0")</f>
        <v>0</v>
      </c>
      <c r="K14500" s="4"/>
      <c r="L14500" s="33" t="str">
        <f>IFERROR(VLOOKUP($J14500,'Informations sur les produits'!$A$3:$H$10000,8,FALSE),"0")</f>
        <v>0</v>
      </c>
      <c r="N14500" s="8"/>
      <c r="O14500" s="33" t="str">
        <f>IFERROR(VLOOKUP($M14500,'Informations sur les produits'!$A$3:$H$10000,8,FALSE),"0")</f>
        <v>0</v>
      </c>
      <c r="P14500" s="33">
        <f t="shared" si="904"/>
        <v>0</v>
      </c>
      <c r="Q14500" s="31" t="str">
        <f t="shared" si="905"/>
        <v/>
      </c>
      <c r="R14500" s="32" t="str">
        <f>IFERROR(VLOOKUP($D14500,'Informations sur les produits'!$A$3:$B$15000,2,FALSE),"")</f>
        <v/>
      </c>
      <c r="V14500">
        <f t="shared" si="906"/>
        <v>0</v>
      </c>
      <c r="W14500">
        <f t="shared" si="907"/>
        <v>0</v>
      </c>
    </row>
    <row r="14501" spans="5:23" x14ac:dyDescent="0.25">
      <c r="E14501" s="4"/>
      <c r="F14501" s="4"/>
      <c r="G14501" s="33" t="str">
        <f>IFERROR(VLOOKUP($D14501,'Informations sur les produits'!$A$3:$H$10000,8,FALSE),"0")</f>
        <v>0</v>
      </c>
      <c r="K14501" s="4"/>
      <c r="L14501" s="33" t="str">
        <f>IFERROR(VLOOKUP($J14501,'Informations sur les produits'!$A$3:$H$10000,8,FALSE),"0")</f>
        <v>0</v>
      </c>
      <c r="N14501" s="8"/>
      <c r="O14501" s="33" t="str">
        <f>IFERROR(VLOOKUP($M14501,'Informations sur les produits'!$A$3:$H$10000,8,FALSE),"0")</f>
        <v>0</v>
      </c>
      <c r="P14501" s="33">
        <f t="shared" si="904"/>
        <v>0</v>
      </c>
      <c r="Q14501" s="31" t="str">
        <f t="shared" si="905"/>
        <v/>
      </c>
      <c r="R14501" s="32" t="str">
        <f>IFERROR(VLOOKUP($D14501,'Informations sur les produits'!$A$3:$B$15000,2,FALSE),"")</f>
        <v/>
      </c>
      <c r="V14501">
        <f t="shared" si="906"/>
        <v>0</v>
      </c>
      <c r="W14501">
        <f t="shared" si="907"/>
        <v>0</v>
      </c>
    </row>
    <row r="14502" spans="5:23" x14ac:dyDescent="0.25">
      <c r="E14502" s="4"/>
      <c r="F14502" s="4"/>
      <c r="G14502" s="33" t="str">
        <f>IFERROR(VLOOKUP($D14502,'Informations sur les produits'!$A$3:$H$10000,8,FALSE),"0")</f>
        <v>0</v>
      </c>
      <c r="K14502" s="4"/>
      <c r="L14502" s="33" t="str">
        <f>IFERROR(VLOOKUP($J14502,'Informations sur les produits'!$A$3:$H$10000,8,FALSE),"0")</f>
        <v>0</v>
      </c>
      <c r="N14502" s="8"/>
      <c r="O14502" s="33" t="str">
        <f>IFERROR(VLOOKUP($M14502,'Informations sur les produits'!$A$3:$H$10000,8,FALSE),"0")</f>
        <v>0</v>
      </c>
      <c r="P14502" s="33">
        <f t="shared" si="904"/>
        <v>0</v>
      </c>
      <c r="Q14502" s="31" t="str">
        <f t="shared" si="905"/>
        <v/>
      </c>
      <c r="R14502" s="32" t="str">
        <f>IFERROR(VLOOKUP($D14502,'Informations sur les produits'!$A$3:$B$15000,2,FALSE),"")</f>
        <v/>
      </c>
      <c r="V14502">
        <f t="shared" si="906"/>
        <v>0</v>
      </c>
      <c r="W14502">
        <f t="shared" si="907"/>
        <v>0</v>
      </c>
    </row>
    <row r="14503" spans="5:23" x14ac:dyDescent="0.25">
      <c r="E14503" s="4"/>
      <c r="F14503" s="4"/>
      <c r="G14503" s="33" t="str">
        <f>IFERROR(VLOOKUP($D14503,'Informations sur les produits'!$A$3:$H$10000,8,FALSE),"0")</f>
        <v>0</v>
      </c>
      <c r="K14503" s="4"/>
      <c r="L14503" s="33" t="str">
        <f>IFERROR(VLOOKUP($J14503,'Informations sur les produits'!$A$3:$H$10000,8,FALSE),"0")</f>
        <v>0</v>
      </c>
      <c r="N14503" s="8"/>
      <c r="O14503" s="33" t="str">
        <f>IFERROR(VLOOKUP($M14503,'Informations sur les produits'!$A$3:$H$10000,8,FALSE),"0")</f>
        <v>0</v>
      </c>
      <c r="P14503" s="33">
        <f t="shared" si="904"/>
        <v>0</v>
      </c>
      <c r="Q14503" s="31" t="str">
        <f t="shared" si="905"/>
        <v/>
      </c>
      <c r="R14503" s="32" t="str">
        <f>IFERROR(VLOOKUP($D14503,'Informations sur les produits'!$A$3:$B$15000,2,FALSE),"")</f>
        <v/>
      </c>
      <c r="V14503">
        <f t="shared" si="906"/>
        <v>0</v>
      </c>
      <c r="W14503">
        <f t="shared" si="907"/>
        <v>0</v>
      </c>
    </row>
    <row r="14504" spans="5:23" x14ac:dyDescent="0.25">
      <c r="E14504" s="4"/>
      <c r="F14504" s="4"/>
      <c r="G14504" s="33" t="str">
        <f>IFERROR(VLOOKUP($D14504,'Informations sur les produits'!$A$3:$H$10000,8,FALSE),"0")</f>
        <v>0</v>
      </c>
      <c r="K14504" s="4"/>
      <c r="L14504" s="33" t="str">
        <f>IFERROR(VLOOKUP($J14504,'Informations sur les produits'!$A$3:$H$10000,8,FALSE),"0")</f>
        <v>0</v>
      </c>
      <c r="N14504" s="8"/>
      <c r="O14504" s="33" t="str">
        <f>IFERROR(VLOOKUP($M14504,'Informations sur les produits'!$A$3:$H$10000,8,FALSE),"0")</f>
        <v>0</v>
      </c>
      <c r="P14504" s="33">
        <f t="shared" si="904"/>
        <v>0</v>
      </c>
      <c r="Q14504" s="31" t="str">
        <f t="shared" si="905"/>
        <v/>
      </c>
      <c r="R14504" s="32" t="str">
        <f>IFERROR(VLOOKUP($D14504,'Informations sur les produits'!$A$3:$B$15000,2,FALSE),"")</f>
        <v/>
      </c>
      <c r="V14504">
        <f t="shared" si="906"/>
        <v>0</v>
      </c>
      <c r="W14504">
        <f t="shared" si="907"/>
        <v>0</v>
      </c>
    </row>
    <row r="14505" spans="5:23" x14ac:dyDescent="0.25">
      <c r="E14505" s="4"/>
      <c r="F14505" s="4"/>
      <c r="G14505" s="33" t="str">
        <f>IFERROR(VLOOKUP($D14505,'Informations sur les produits'!$A$3:$H$10000,8,FALSE),"0")</f>
        <v>0</v>
      </c>
      <c r="K14505" s="4"/>
      <c r="L14505" s="33" t="str">
        <f>IFERROR(VLOOKUP($J14505,'Informations sur les produits'!$A$3:$H$10000,8,FALSE),"0")</f>
        <v>0</v>
      </c>
      <c r="N14505" s="8"/>
      <c r="O14505" s="33" t="str">
        <f>IFERROR(VLOOKUP($M14505,'Informations sur les produits'!$A$3:$H$10000,8,FALSE),"0")</f>
        <v>0</v>
      </c>
      <c r="P14505" s="33">
        <f t="shared" si="904"/>
        <v>0</v>
      </c>
      <c r="Q14505" s="31" t="str">
        <f t="shared" si="905"/>
        <v/>
      </c>
      <c r="R14505" s="32" t="str">
        <f>IFERROR(VLOOKUP($D14505,'Informations sur les produits'!$A$3:$B$15000,2,FALSE),"")</f>
        <v/>
      </c>
      <c r="V14505">
        <f t="shared" si="906"/>
        <v>0</v>
      </c>
      <c r="W14505">
        <f t="shared" si="907"/>
        <v>0</v>
      </c>
    </row>
    <row r="14506" spans="5:23" x14ac:dyDescent="0.25">
      <c r="E14506" s="4"/>
      <c r="F14506" s="4"/>
      <c r="G14506" s="33" t="str">
        <f>IFERROR(VLOOKUP($D14506,'Informations sur les produits'!$A$3:$H$10000,8,FALSE),"0")</f>
        <v>0</v>
      </c>
      <c r="K14506" s="4"/>
      <c r="L14506" s="33" t="str">
        <f>IFERROR(VLOOKUP($J14506,'Informations sur les produits'!$A$3:$H$10000,8,FALSE),"0")</f>
        <v>0</v>
      </c>
      <c r="N14506" s="8"/>
      <c r="O14506" s="33" t="str">
        <f>IFERROR(VLOOKUP($M14506,'Informations sur les produits'!$A$3:$H$10000,8,FALSE),"0")</f>
        <v>0</v>
      </c>
      <c r="P14506" s="33">
        <f t="shared" si="904"/>
        <v>0</v>
      </c>
      <c r="Q14506" s="31" t="str">
        <f t="shared" si="905"/>
        <v/>
      </c>
      <c r="R14506" s="32" t="str">
        <f>IFERROR(VLOOKUP($D14506,'Informations sur les produits'!$A$3:$B$15000,2,FALSE),"")</f>
        <v/>
      </c>
      <c r="V14506">
        <f t="shared" si="906"/>
        <v>0</v>
      </c>
      <c r="W14506">
        <f t="shared" si="907"/>
        <v>0</v>
      </c>
    </row>
    <row r="14507" spans="5:23" x14ac:dyDescent="0.25">
      <c r="E14507" s="4"/>
      <c r="F14507" s="4"/>
      <c r="G14507" s="33" t="str">
        <f>IFERROR(VLOOKUP($D14507,'Informations sur les produits'!$A$3:$H$10000,8,FALSE),"0")</f>
        <v>0</v>
      </c>
      <c r="K14507" s="4"/>
      <c r="L14507" s="33" t="str">
        <f>IFERROR(VLOOKUP($J14507,'Informations sur les produits'!$A$3:$H$10000,8,FALSE),"0")</f>
        <v>0</v>
      </c>
      <c r="N14507" s="8"/>
      <c r="O14507" s="33" t="str">
        <f>IFERROR(VLOOKUP($M14507,'Informations sur les produits'!$A$3:$H$10000,8,FALSE),"0")</f>
        <v>0</v>
      </c>
      <c r="P14507" s="33">
        <f t="shared" si="904"/>
        <v>0</v>
      </c>
      <c r="Q14507" s="31" t="str">
        <f t="shared" si="905"/>
        <v/>
      </c>
      <c r="R14507" s="32" t="str">
        <f>IFERROR(VLOOKUP($D14507,'Informations sur les produits'!$A$3:$B$15000,2,FALSE),"")</f>
        <v/>
      </c>
      <c r="V14507">
        <f t="shared" si="906"/>
        <v>0</v>
      </c>
      <c r="W14507">
        <f t="shared" si="907"/>
        <v>0</v>
      </c>
    </row>
    <row r="14508" spans="5:23" x14ac:dyDescent="0.25">
      <c r="E14508" s="4"/>
      <c r="F14508" s="4"/>
      <c r="G14508" s="33" t="str">
        <f>IFERROR(VLOOKUP($D14508,'Informations sur les produits'!$A$3:$H$10000,8,FALSE),"0")</f>
        <v>0</v>
      </c>
      <c r="K14508" s="4"/>
      <c r="L14508" s="33" t="str">
        <f>IFERROR(VLOOKUP($J14508,'Informations sur les produits'!$A$3:$H$10000,8,FALSE),"0")</f>
        <v>0</v>
      </c>
      <c r="N14508" s="8"/>
      <c r="O14508" s="33" t="str">
        <f>IFERROR(VLOOKUP($M14508,'Informations sur les produits'!$A$3:$H$10000,8,FALSE),"0")</f>
        <v>0</v>
      </c>
      <c r="P14508" s="33">
        <f t="shared" si="904"/>
        <v>0</v>
      </c>
      <c r="Q14508" s="31" t="str">
        <f t="shared" si="905"/>
        <v/>
      </c>
      <c r="R14508" s="32" t="str">
        <f>IFERROR(VLOOKUP($D14508,'Informations sur les produits'!$A$3:$B$15000,2,FALSE),"")</f>
        <v/>
      </c>
      <c r="V14508">
        <f t="shared" si="906"/>
        <v>0</v>
      </c>
      <c r="W14508">
        <f t="shared" si="907"/>
        <v>0</v>
      </c>
    </row>
    <row r="14509" spans="5:23" x14ac:dyDescent="0.25">
      <c r="E14509" s="4"/>
      <c r="F14509" s="4"/>
      <c r="G14509" s="33" t="str">
        <f>IFERROR(VLOOKUP($D14509,'Informations sur les produits'!$A$3:$H$10000,8,FALSE),"0")</f>
        <v>0</v>
      </c>
      <c r="K14509" s="4"/>
      <c r="L14509" s="33" t="str">
        <f>IFERROR(VLOOKUP($J14509,'Informations sur les produits'!$A$3:$H$10000,8,FALSE),"0")</f>
        <v>0</v>
      </c>
      <c r="N14509" s="8"/>
      <c r="O14509" s="33" t="str">
        <f>IFERROR(VLOOKUP($M14509,'Informations sur les produits'!$A$3:$H$10000,8,FALSE),"0")</f>
        <v>0</v>
      </c>
      <c r="P14509" s="33">
        <f t="shared" si="904"/>
        <v>0</v>
      </c>
      <c r="Q14509" s="31" t="str">
        <f t="shared" si="905"/>
        <v/>
      </c>
      <c r="R14509" s="32" t="str">
        <f>IFERROR(VLOOKUP($D14509,'Informations sur les produits'!$A$3:$B$15000,2,FALSE),"")</f>
        <v/>
      </c>
      <c r="V14509">
        <f t="shared" si="906"/>
        <v>0</v>
      </c>
      <c r="W14509">
        <f t="shared" si="907"/>
        <v>0</v>
      </c>
    </row>
    <row r="14510" spans="5:23" x14ac:dyDescent="0.25">
      <c r="E14510" s="4"/>
      <c r="F14510" s="4"/>
      <c r="G14510" s="33" t="str">
        <f>IFERROR(VLOOKUP($D14510,'Informations sur les produits'!$A$3:$H$10000,8,FALSE),"0")</f>
        <v>0</v>
      </c>
      <c r="K14510" s="4"/>
      <c r="L14510" s="33" t="str">
        <f>IFERROR(VLOOKUP($J14510,'Informations sur les produits'!$A$3:$H$10000,8,FALSE),"0")</f>
        <v>0</v>
      </c>
      <c r="N14510" s="8"/>
      <c r="O14510" s="33" t="str">
        <f>IFERROR(VLOOKUP($M14510,'Informations sur les produits'!$A$3:$H$10000,8,FALSE),"0")</f>
        <v>0</v>
      </c>
      <c r="P14510" s="33">
        <f t="shared" si="904"/>
        <v>0</v>
      </c>
      <c r="Q14510" s="31" t="str">
        <f t="shared" si="905"/>
        <v/>
      </c>
      <c r="R14510" s="32" t="str">
        <f>IFERROR(VLOOKUP($D14510,'Informations sur les produits'!$A$3:$B$15000,2,FALSE),"")</f>
        <v/>
      </c>
      <c r="V14510">
        <f t="shared" si="906"/>
        <v>0</v>
      </c>
      <c r="W14510">
        <f t="shared" si="907"/>
        <v>0</v>
      </c>
    </row>
    <row r="14511" spans="5:23" x14ac:dyDescent="0.25">
      <c r="E14511" s="4"/>
      <c r="F14511" s="4"/>
      <c r="G14511" s="33" t="str">
        <f>IFERROR(VLOOKUP($D14511,'Informations sur les produits'!$A$3:$H$10000,8,FALSE),"0")</f>
        <v>0</v>
      </c>
      <c r="K14511" s="4"/>
      <c r="L14511" s="33" t="str">
        <f>IFERROR(VLOOKUP($J14511,'Informations sur les produits'!$A$3:$H$10000,8,FALSE),"0")</f>
        <v>0</v>
      </c>
      <c r="N14511" s="8"/>
      <c r="O14511" s="33" t="str">
        <f>IFERROR(VLOOKUP($M14511,'Informations sur les produits'!$A$3:$H$10000,8,FALSE),"0")</f>
        <v>0</v>
      </c>
      <c r="P14511" s="33">
        <f t="shared" si="904"/>
        <v>0</v>
      </c>
      <c r="Q14511" s="31" t="str">
        <f t="shared" si="905"/>
        <v/>
      </c>
      <c r="R14511" s="32" t="str">
        <f>IFERROR(VLOOKUP($D14511,'Informations sur les produits'!$A$3:$B$15000,2,FALSE),"")</f>
        <v/>
      </c>
      <c r="V14511">
        <f t="shared" si="906"/>
        <v>0</v>
      </c>
      <c r="W14511">
        <f t="shared" si="907"/>
        <v>0</v>
      </c>
    </row>
    <row r="14512" spans="5:23" x14ac:dyDescent="0.25">
      <c r="E14512" s="4"/>
      <c r="F14512" s="4"/>
      <c r="G14512" s="33" t="str">
        <f>IFERROR(VLOOKUP($D14512,'Informations sur les produits'!$A$3:$H$10000,8,FALSE),"0")</f>
        <v>0</v>
      </c>
      <c r="K14512" s="4"/>
      <c r="L14512" s="33" t="str">
        <f>IFERROR(VLOOKUP($J14512,'Informations sur les produits'!$A$3:$H$10000,8,FALSE),"0")</f>
        <v>0</v>
      </c>
      <c r="N14512" s="8"/>
      <c r="O14512" s="33" t="str">
        <f>IFERROR(VLOOKUP($M14512,'Informations sur les produits'!$A$3:$H$10000,8,FALSE),"0")</f>
        <v>0</v>
      </c>
      <c r="P14512" s="33">
        <f t="shared" si="904"/>
        <v>0</v>
      </c>
      <c r="Q14512" s="31" t="str">
        <f t="shared" si="905"/>
        <v/>
      </c>
      <c r="R14512" s="32" t="str">
        <f>IFERROR(VLOOKUP($D14512,'Informations sur les produits'!$A$3:$B$15000,2,FALSE),"")</f>
        <v/>
      </c>
      <c r="V14512">
        <f t="shared" si="906"/>
        <v>0</v>
      </c>
      <c r="W14512">
        <f t="shared" si="907"/>
        <v>0</v>
      </c>
    </row>
    <row r="14513" spans="5:23" x14ac:dyDescent="0.25">
      <c r="E14513" s="4"/>
      <c r="F14513" s="4"/>
      <c r="G14513" s="33" t="str">
        <f>IFERROR(VLOOKUP($D14513,'Informations sur les produits'!$A$3:$H$10000,8,FALSE),"0")</f>
        <v>0</v>
      </c>
      <c r="K14513" s="4"/>
      <c r="L14513" s="33" t="str">
        <f>IFERROR(VLOOKUP($J14513,'Informations sur les produits'!$A$3:$H$10000,8,FALSE),"0")</f>
        <v>0</v>
      </c>
      <c r="N14513" s="8"/>
      <c r="O14513" s="33" t="str">
        <f>IFERROR(VLOOKUP($M14513,'Informations sur les produits'!$A$3:$H$10000,8,FALSE),"0")</f>
        <v>0</v>
      </c>
      <c r="P14513" s="33">
        <f t="shared" si="904"/>
        <v>0</v>
      </c>
      <c r="Q14513" s="31" t="str">
        <f t="shared" si="905"/>
        <v/>
      </c>
      <c r="R14513" s="32" t="str">
        <f>IFERROR(VLOOKUP($D14513,'Informations sur les produits'!$A$3:$B$15000,2,FALSE),"")</f>
        <v/>
      </c>
      <c r="V14513">
        <f t="shared" si="906"/>
        <v>0</v>
      </c>
      <c r="W14513">
        <f t="shared" si="907"/>
        <v>0</v>
      </c>
    </row>
    <row r="14514" spans="5:23" x14ac:dyDescent="0.25">
      <c r="E14514" s="4"/>
      <c r="F14514" s="4"/>
      <c r="G14514" s="33" t="str">
        <f>IFERROR(VLOOKUP($D14514,'Informations sur les produits'!$A$3:$H$10000,8,FALSE),"0")</f>
        <v>0</v>
      </c>
      <c r="K14514" s="4"/>
      <c r="L14514" s="33" t="str">
        <f>IFERROR(VLOOKUP($J14514,'Informations sur les produits'!$A$3:$H$10000,8,FALSE),"0")</f>
        <v>0</v>
      </c>
      <c r="N14514" s="8"/>
      <c r="O14514" s="33" t="str">
        <f>IFERROR(VLOOKUP($M14514,'Informations sur les produits'!$A$3:$H$10000,8,FALSE),"0")</f>
        <v>0</v>
      </c>
      <c r="P14514" s="33">
        <f t="shared" si="904"/>
        <v>0</v>
      </c>
      <c r="Q14514" s="31" t="str">
        <f t="shared" si="905"/>
        <v/>
      </c>
      <c r="R14514" s="32" t="str">
        <f>IFERROR(VLOOKUP($D14514,'Informations sur les produits'!$A$3:$B$15000,2,FALSE),"")</f>
        <v/>
      </c>
      <c r="V14514">
        <f t="shared" si="906"/>
        <v>0</v>
      </c>
      <c r="W14514">
        <f t="shared" si="907"/>
        <v>0</v>
      </c>
    </row>
    <row r="14515" spans="5:23" x14ac:dyDescent="0.25">
      <c r="E14515" s="4"/>
      <c r="F14515" s="4"/>
      <c r="G14515" s="33" t="str">
        <f>IFERROR(VLOOKUP($D14515,'Informations sur les produits'!$A$3:$H$10000,8,FALSE),"0")</f>
        <v>0</v>
      </c>
      <c r="K14515" s="4"/>
      <c r="L14515" s="33" t="str">
        <f>IFERROR(VLOOKUP($J14515,'Informations sur les produits'!$A$3:$H$10000,8,FALSE),"0")</f>
        <v>0</v>
      </c>
      <c r="N14515" s="8"/>
      <c r="O14515" s="33" t="str">
        <f>IFERROR(VLOOKUP($M14515,'Informations sur les produits'!$A$3:$H$10000,8,FALSE),"0")</f>
        <v>0</v>
      </c>
      <c r="P14515" s="33">
        <f t="shared" si="904"/>
        <v>0</v>
      </c>
      <c r="Q14515" s="31" t="str">
        <f t="shared" si="905"/>
        <v/>
      </c>
      <c r="R14515" s="32" t="str">
        <f>IFERROR(VLOOKUP($D14515,'Informations sur les produits'!$A$3:$B$15000,2,FALSE),"")</f>
        <v/>
      </c>
      <c r="V14515">
        <f t="shared" si="906"/>
        <v>0</v>
      </c>
      <c r="W14515">
        <f t="shared" si="907"/>
        <v>0</v>
      </c>
    </row>
    <row r="14516" spans="5:23" x14ac:dyDescent="0.25">
      <c r="E14516" s="4"/>
      <c r="F14516" s="4"/>
      <c r="G14516" s="33" t="str">
        <f>IFERROR(VLOOKUP($D14516,'Informations sur les produits'!$A$3:$H$10000,8,FALSE),"0")</f>
        <v>0</v>
      </c>
      <c r="K14516" s="4"/>
      <c r="L14516" s="33" t="str">
        <f>IFERROR(VLOOKUP($J14516,'Informations sur les produits'!$A$3:$H$10000,8,FALSE),"0")</f>
        <v>0</v>
      </c>
      <c r="N14516" s="8"/>
      <c r="O14516" s="33" t="str">
        <f>IFERROR(VLOOKUP($M14516,'Informations sur les produits'!$A$3:$H$10000,8,FALSE),"0")</f>
        <v>0</v>
      </c>
      <c r="P14516" s="33">
        <f t="shared" si="904"/>
        <v>0</v>
      </c>
      <c r="Q14516" s="31" t="str">
        <f t="shared" si="905"/>
        <v/>
      </c>
      <c r="R14516" s="32" t="str">
        <f>IFERROR(VLOOKUP($D14516,'Informations sur les produits'!$A$3:$B$15000,2,FALSE),"")</f>
        <v/>
      </c>
      <c r="V14516">
        <f t="shared" si="906"/>
        <v>0</v>
      </c>
      <c r="W14516">
        <f t="shared" si="907"/>
        <v>0</v>
      </c>
    </row>
    <row r="14517" spans="5:23" x14ac:dyDescent="0.25">
      <c r="E14517" s="4"/>
      <c r="F14517" s="4"/>
      <c r="G14517" s="33" t="str">
        <f>IFERROR(VLOOKUP($D14517,'Informations sur les produits'!$A$3:$H$10000,8,FALSE),"0")</f>
        <v>0</v>
      </c>
      <c r="K14517" s="4"/>
      <c r="L14517" s="33" t="str">
        <f>IFERROR(VLOOKUP($J14517,'Informations sur les produits'!$A$3:$H$10000,8,FALSE),"0")</f>
        <v>0</v>
      </c>
      <c r="N14517" s="8"/>
      <c r="O14517" s="33" t="str">
        <f>IFERROR(VLOOKUP($M14517,'Informations sur les produits'!$A$3:$H$10000,8,FALSE),"0")</f>
        <v>0</v>
      </c>
      <c r="P14517" s="33">
        <f t="shared" si="904"/>
        <v>0</v>
      </c>
      <c r="Q14517" s="31" t="str">
        <f t="shared" si="905"/>
        <v/>
      </c>
      <c r="R14517" s="32" t="str">
        <f>IFERROR(VLOOKUP($D14517,'Informations sur les produits'!$A$3:$B$15000,2,FALSE),"")</f>
        <v/>
      </c>
      <c r="V14517">
        <f t="shared" si="906"/>
        <v>0</v>
      </c>
      <c r="W14517">
        <f t="shared" si="907"/>
        <v>0</v>
      </c>
    </row>
    <row r="14518" spans="5:23" x14ac:dyDescent="0.25">
      <c r="E14518" s="4"/>
      <c r="F14518" s="4"/>
      <c r="G14518" s="33" t="str">
        <f>IFERROR(VLOOKUP($D14518,'Informations sur les produits'!$A$3:$H$10000,8,FALSE),"0")</f>
        <v>0</v>
      </c>
      <c r="K14518" s="4"/>
      <c r="L14518" s="33" t="str">
        <f>IFERROR(VLOOKUP($J14518,'Informations sur les produits'!$A$3:$H$10000,8,FALSE),"0")</f>
        <v>0</v>
      </c>
      <c r="N14518" s="8"/>
      <c r="O14518" s="33" t="str">
        <f>IFERROR(VLOOKUP($M14518,'Informations sur les produits'!$A$3:$H$10000,8,FALSE),"0")</f>
        <v>0</v>
      </c>
      <c r="P14518" s="33">
        <f t="shared" si="904"/>
        <v>0</v>
      </c>
      <c r="Q14518" s="31" t="str">
        <f t="shared" si="905"/>
        <v/>
      </c>
      <c r="R14518" s="32" t="str">
        <f>IFERROR(VLOOKUP($D14518,'Informations sur les produits'!$A$3:$B$15000,2,FALSE),"")</f>
        <v/>
      </c>
      <c r="V14518">
        <f t="shared" si="906"/>
        <v>0</v>
      </c>
      <c r="W14518">
        <f t="shared" si="907"/>
        <v>0</v>
      </c>
    </row>
    <row r="14519" spans="5:23" x14ac:dyDescent="0.25">
      <c r="E14519" s="4"/>
      <c r="F14519" s="4"/>
      <c r="G14519" s="33" t="str">
        <f>IFERROR(VLOOKUP($D14519,'Informations sur les produits'!$A$3:$H$10000,8,FALSE),"0")</f>
        <v>0</v>
      </c>
      <c r="K14519" s="4"/>
      <c r="L14519" s="33" t="str">
        <f>IFERROR(VLOOKUP($J14519,'Informations sur les produits'!$A$3:$H$10000,8,FALSE),"0")</f>
        <v>0</v>
      </c>
      <c r="N14519" s="8"/>
      <c r="O14519" s="33" t="str">
        <f>IFERROR(VLOOKUP($M14519,'Informations sur les produits'!$A$3:$H$10000,8,FALSE),"0")</f>
        <v>0</v>
      </c>
      <c r="P14519" s="33">
        <f t="shared" si="904"/>
        <v>0</v>
      </c>
      <c r="Q14519" s="31" t="str">
        <f t="shared" si="905"/>
        <v/>
      </c>
      <c r="R14519" s="32" t="str">
        <f>IFERROR(VLOOKUP($D14519,'Informations sur les produits'!$A$3:$B$15000,2,FALSE),"")</f>
        <v/>
      </c>
      <c r="V14519">
        <f t="shared" si="906"/>
        <v>0</v>
      </c>
      <c r="W14519">
        <f t="shared" si="907"/>
        <v>0</v>
      </c>
    </row>
    <row r="14520" spans="5:23" x14ac:dyDescent="0.25">
      <c r="E14520" s="4"/>
      <c r="F14520" s="4"/>
      <c r="G14520" s="33" t="str">
        <f>IFERROR(VLOOKUP($D14520,'Informations sur les produits'!$A$3:$H$10000,8,FALSE),"0")</f>
        <v>0</v>
      </c>
      <c r="K14520" s="4"/>
      <c r="L14520" s="33" t="str">
        <f>IFERROR(VLOOKUP($J14520,'Informations sur les produits'!$A$3:$H$10000,8,FALSE),"0")</f>
        <v>0</v>
      </c>
      <c r="N14520" s="8"/>
      <c r="O14520" s="33" t="str">
        <f>IFERROR(VLOOKUP($M14520,'Informations sur les produits'!$A$3:$H$10000,8,FALSE),"0")</f>
        <v>0</v>
      </c>
      <c r="P14520" s="33">
        <f t="shared" si="904"/>
        <v>0</v>
      </c>
      <c r="Q14520" s="31" t="str">
        <f t="shared" si="905"/>
        <v/>
      </c>
      <c r="R14520" s="32" t="str">
        <f>IFERROR(VLOOKUP($D14520,'Informations sur les produits'!$A$3:$B$15000,2,FALSE),"")</f>
        <v/>
      </c>
      <c r="V14520">
        <f t="shared" si="906"/>
        <v>0</v>
      </c>
      <c r="W14520">
        <f t="shared" si="907"/>
        <v>0</v>
      </c>
    </row>
    <row r="14521" spans="5:23" x14ac:dyDescent="0.25">
      <c r="E14521" s="4"/>
      <c r="F14521" s="4"/>
      <c r="G14521" s="33" t="str">
        <f>IFERROR(VLOOKUP($D14521,'Informations sur les produits'!$A$3:$H$10000,8,FALSE),"0")</f>
        <v>0</v>
      </c>
      <c r="K14521" s="4"/>
      <c r="L14521" s="33" t="str">
        <f>IFERROR(VLOOKUP($J14521,'Informations sur les produits'!$A$3:$H$10000,8,FALSE),"0")</f>
        <v>0</v>
      </c>
      <c r="N14521" s="8"/>
      <c r="O14521" s="33" t="str">
        <f>IFERROR(VLOOKUP($M14521,'Informations sur les produits'!$A$3:$H$10000,8,FALSE),"0")</f>
        <v>0</v>
      </c>
      <c r="P14521" s="33">
        <f t="shared" si="904"/>
        <v>0</v>
      </c>
      <c r="Q14521" s="31" t="str">
        <f t="shared" si="905"/>
        <v/>
      </c>
      <c r="R14521" s="32" t="str">
        <f>IFERROR(VLOOKUP($D14521,'Informations sur les produits'!$A$3:$B$15000,2,FALSE),"")</f>
        <v/>
      </c>
      <c r="V14521">
        <f t="shared" si="906"/>
        <v>0</v>
      </c>
      <c r="W14521">
        <f t="shared" si="907"/>
        <v>0</v>
      </c>
    </row>
    <row r="14522" spans="5:23" x14ac:dyDescent="0.25">
      <c r="E14522" s="4"/>
      <c r="F14522" s="4"/>
      <c r="G14522" s="33" t="str">
        <f>IFERROR(VLOOKUP($D14522,'Informations sur les produits'!$A$3:$H$10000,8,FALSE),"0")</f>
        <v>0</v>
      </c>
      <c r="K14522" s="4"/>
      <c r="L14522" s="33" t="str">
        <f>IFERROR(VLOOKUP($J14522,'Informations sur les produits'!$A$3:$H$10000,8,FALSE),"0")</f>
        <v>0</v>
      </c>
      <c r="N14522" s="8"/>
      <c r="O14522" s="33" t="str">
        <f>IFERROR(VLOOKUP($M14522,'Informations sur les produits'!$A$3:$H$10000,8,FALSE),"0")</f>
        <v>0</v>
      </c>
      <c r="P14522" s="33">
        <f t="shared" si="904"/>
        <v>0</v>
      </c>
      <c r="Q14522" s="31" t="str">
        <f t="shared" si="905"/>
        <v/>
      </c>
      <c r="R14522" s="32" t="str">
        <f>IFERROR(VLOOKUP($D14522,'Informations sur les produits'!$A$3:$B$15000,2,FALSE),"")</f>
        <v/>
      </c>
      <c r="V14522">
        <f t="shared" si="906"/>
        <v>0</v>
      </c>
      <c r="W14522">
        <f t="shared" si="907"/>
        <v>0</v>
      </c>
    </row>
    <row r="14523" spans="5:23" x14ac:dyDescent="0.25">
      <c r="E14523" s="4"/>
      <c r="F14523" s="4"/>
      <c r="G14523" s="33" t="str">
        <f>IFERROR(VLOOKUP($D14523,'Informations sur les produits'!$A$3:$H$10000,8,FALSE),"0")</f>
        <v>0</v>
      </c>
      <c r="K14523" s="4"/>
      <c r="L14523" s="33" t="str">
        <f>IFERROR(VLOOKUP($J14523,'Informations sur les produits'!$A$3:$H$10000,8,FALSE),"0")</f>
        <v>0</v>
      </c>
      <c r="N14523" s="8"/>
      <c r="O14523" s="33" t="str">
        <f>IFERROR(VLOOKUP($M14523,'Informations sur les produits'!$A$3:$H$10000,8,FALSE),"0")</f>
        <v>0</v>
      </c>
      <c r="P14523" s="33">
        <f t="shared" si="904"/>
        <v>0</v>
      </c>
      <c r="Q14523" s="31" t="str">
        <f t="shared" si="905"/>
        <v/>
      </c>
      <c r="R14523" s="32" t="str">
        <f>IFERROR(VLOOKUP($D14523,'Informations sur les produits'!$A$3:$B$15000,2,FALSE),"")</f>
        <v/>
      </c>
      <c r="V14523">
        <f t="shared" si="906"/>
        <v>0</v>
      </c>
      <c r="W14523">
        <f t="shared" si="907"/>
        <v>0</v>
      </c>
    </row>
    <row r="14524" spans="5:23" x14ac:dyDescent="0.25">
      <c r="E14524" s="4"/>
      <c r="F14524" s="4"/>
      <c r="G14524" s="33" t="str">
        <f>IFERROR(VLOOKUP($D14524,'Informations sur les produits'!$A$3:$H$10000,8,FALSE),"0")</f>
        <v>0</v>
      </c>
      <c r="K14524" s="4"/>
      <c r="L14524" s="33" t="str">
        <f>IFERROR(VLOOKUP($J14524,'Informations sur les produits'!$A$3:$H$10000,8,FALSE),"0")</f>
        <v>0</v>
      </c>
      <c r="N14524" s="8"/>
      <c r="O14524" s="33" t="str">
        <f>IFERROR(VLOOKUP($M14524,'Informations sur les produits'!$A$3:$H$10000,8,FALSE),"0")</f>
        <v>0</v>
      </c>
      <c r="P14524" s="33">
        <f t="shared" si="904"/>
        <v>0</v>
      </c>
      <c r="Q14524" s="31" t="str">
        <f t="shared" si="905"/>
        <v/>
      </c>
      <c r="R14524" s="32" t="str">
        <f>IFERROR(VLOOKUP($D14524,'Informations sur les produits'!$A$3:$B$15000,2,FALSE),"")</f>
        <v/>
      </c>
      <c r="V14524">
        <f t="shared" si="906"/>
        <v>0</v>
      </c>
      <c r="W14524">
        <f t="shared" si="907"/>
        <v>0</v>
      </c>
    </row>
    <row r="14525" spans="5:23" x14ac:dyDescent="0.25">
      <c r="E14525" s="4"/>
      <c r="F14525" s="4"/>
      <c r="G14525" s="33" t="str">
        <f>IFERROR(VLOOKUP($D14525,'Informations sur les produits'!$A$3:$H$10000,8,FALSE),"0")</f>
        <v>0</v>
      </c>
      <c r="K14525" s="4"/>
      <c r="L14525" s="33" t="str">
        <f>IFERROR(VLOOKUP($J14525,'Informations sur les produits'!$A$3:$H$10000,8,FALSE),"0")</f>
        <v>0</v>
      </c>
      <c r="N14525" s="8"/>
      <c r="O14525" s="33" t="str">
        <f>IFERROR(VLOOKUP($M14525,'Informations sur les produits'!$A$3:$H$10000,8,FALSE),"0")</f>
        <v>0</v>
      </c>
      <c r="P14525" s="33">
        <f t="shared" si="904"/>
        <v>0</v>
      </c>
      <c r="Q14525" s="31" t="str">
        <f t="shared" si="905"/>
        <v/>
      </c>
      <c r="R14525" s="32" t="str">
        <f>IFERROR(VLOOKUP($D14525,'Informations sur les produits'!$A$3:$B$15000,2,FALSE),"")</f>
        <v/>
      </c>
      <c r="V14525">
        <f t="shared" si="906"/>
        <v>0</v>
      </c>
      <c r="W14525">
        <f t="shared" si="907"/>
        <v>0</v>
      </c>
    </row>
    <row r="14526" spans="5:23" x14ac:dyDescent="0.25">
      <c r="E14526" s="4"/>
      <c r="F14526" s="4"/>
      <c r="G14526" s="33" t="str">
        <f>IFERROR(VLOOKUP($D14526,'Informations sur les produits'!$A$3:$H$10000,8,FALSE),"0")</f>
        <v>0</v>
      </c>
      <c r="K14526" s="4"/>
      <c r="L14526" s="33" t="str">
        <f>IFERROR(VLOOKUP($J14526,'Informations sur les produits'!$A$3:$H$10000,8,FALSE),"0")</f>
        <v>0</v>
      </c>
      <c r="N14526" s="8"/>
      <c r="O14526" s="33" t="str">
        <f>IFERROR(VLOOKUP($M14526,'Informations sur les produits'!$A$3:$H$10000,8,FALSE),"0")</f>
        <v>0</v>
      </c>
      <c r="P14526" s="33">
        <f t="shared" si="904"/>
        <v>0</v>
      </c>
      <c r="Q14526" s="31" t="str">
        <f t="shared" si="905"/>
        <v/>
      </c>
      <c r="R14526" s="32" t="str">
        <f>IFERROR(VLOOKUP($D14526,'Informations sur les produits'!$A$3:$B$15000,2,FALSE),"")</f>
        <v/>
      </c>
      <c r="V14526">
        <f t="shared" si="906"/>
        <v>0</v>
      </c>
      <c r="W14526">
        <f t="shared" si="907"/>
        <v>0</v>
      </c>
    </row>
    <row r="14527" spans="5:23" x14ac:dyDescent="0.25">
      <c r="E14527" s="4"/>
      <c r="F14527" s="4"/>
      <c r="G14527" s="33" t="str">
        <f>IFERROR(VLOOKUP($D14527,'Informations sur les produits'!$A$3:$H$10000,8,FALSE),"0")</f>
        <v>0</v>
      </c>
      <c r="K14527" s="4"/>
      <c r="L14527" s="33" t="str">
        <f>IFERROR(VLOOKUP($J14527,'Informations sur les produits'!$A$3:$H$10000,8,FALSE),"0")</f>
        <v>0</v>
      </c>
      <c r="N14527" s="8"/>
      <c r="O14527" s="33" t="str">
        <f>IFERROR(VLOOKUP($M14527,'Informations sur les produits'!$A$3:$H$10000,8,FALSE),"0")</f>
        <v>0</v>
      </c>
      <c r="P14527" s="33">
        <f t="shared" si="904"/>
        <v>0</v>
      </c>
      <c r="Q14527" s="31" t="str">
        <f t="shared" si="905"/>
        <v/>
      </c>
      <c r="R14527" s="32" t="str">
        <f>IFERROR(VLOOKUP($D14527,'Informations sur les produits'!$A$3:$B$15000,2,FALSE),"")</f>
        <v/>
      </c>
      <c r="V14527">
        <f t="shared" si="906"/>
        <v>0</v>
      </c>
      <c r="W14527">
        <f t="shared" si="907"/>
        <v>0</v>
      </c>
    </row>
    <row r="14528" spans="5:23" x14ac:dyDescent="0.25">
      <c r="E14528" s="4"/>
      <c r="F14528" s="4"/>
      <c r="G14528" s="33" t="str">
        <f>IFERROR(VLOOKUP($D14528,'Informations sur les produits'!$A$3:$H$10000,8,FALSE),"0")</f>
        <v>0</v>
      </c>
      <c r="K14528" s="4"/>
      <c r="L14528" s="33" t="str">
        <f>IFERROR(VLOOKUP($J14528,'Informations sur les produits'!$A$3:$H$10000,8,FALSE),"0")</f>
        <v>0</v>
      </c>
      <c r="N14528" s="8"/>
      <c r="O14528" s="33" t="str">
        <f>IFERROR(VLOOKUP($M14528,'Informations sur les produits'!$A$3:$H$10000,8,FALSE),"0")</f>
        <v>0</v>
      </c>
      <c r="P14528" s="33">
        <f t="shared" si="904"/>
        <v>0</v>
      </c>
      <c r="Q14528" s="31" t="str">
        <f t="shared" si="905"/>
        <v/>
      </c>
      <c r="R14528" s="32" t="str">
        <f>IFERROR(VLOOKUP($D14528,'Informations sur les produits'!$A$3:$B$15000,2,FALSE),"")</f>
        <v/>
      </c>
      <c r="V14528">
        <f t="shared" si="906"/>
        <v>0</v>
      </c>
      <c r="W14528">
        <f t="shared" si="907"/>
        <v>0</v>
      </c>
    </row>
    <row r="14529" spans="5:23" x14ac:dyDescent="0.25">
      <c r="E14529" s="4"/>
      <c r="F14529" s="4"/>
      <c r="G14529" s="33" t="str">
        <f>IFERROR(VLOOKUP($D14529,'Informations sur les produits'!$A$3:$H$10000,8,FALSE),"0")</f>
        <v>0</v>
      </c>
      <c r="K14529" s="4"/>
      <c r="L14529" s="33" t="str">
        <f>IFERROR(VLOOKUP($J14529,'Informations sur les produits'!$A$3:$H$10000,8,FALSE),"0")</f>
        <v>0</v>
      </c>
      <c r="N14529" s="8"/>
      <c r="O14529" s="33" t="str">
        <f>IFERROR(VLOOKUP($M14529,'Informations sur les produits'!$A$3:$H$10000,8,FALSE),"0")</f>
        <v>0</v>
      </c>
      <c r="P14529" s="33">
        <f t="shared" si="904"/>
        <v>0</v>
      </c>
      <c r="Q14529" s="31" t="str">
        <f t="shared" si="905"/>
        <v/>
      </c>
      <c r="R14529" s="32" t="str">
        <f>IFERROR(VLOOKUP($D14529,'Informations sur les produits'!$A$3:$B$15000,2,FALSE),"")</f>
        <v/>
      </c>
      <c r="V14529">
        <f t="shared" si="906"/>
        <v>0</v>
      </c>
      <c r="W14529">
        <f t="shared" si="907"/>
        <v>0</v>
      </c>
    </row>
    <row r="14530" spans="5:23" x14ac:dyDescent="0.25">
      <c r="E14530" s="4"/>
      <c r="F14530" s="4"/>
      <c r="G14530" s="33" t="str">
        <f>IFERROR(VLOOKUP($D14530,'Informations sur les produits'!$A$3:$H$10000,8,FALSE),"0")</f>
        <v>0</v>
      </c>
      <c r="K14530" s="4"/>
      <c r="L14530" s="33" t="str">
        <f>IFERROR(VLOOKUP($J14530,'Informations sur les produits'!$A$3:$H$10000,8,FALSE),"0")</f>
        <v>0</v>
      </c>
      <c r="N14530" s="8"/>
      <c r="O14530" s="33" t="str">
        <f>IFERROR(VLOOKUP($M14530,'Informations sur les produits'!$A$3:$H$10000,8,FALSE),"0")</f>
        <v>0</v>
      </c>
      <c r="P14530" s="33">
        <f t="shared" si="904"/>
        <v>0</v>
      </c>
      <c r="Q14530" s="31" t="str">
        <f t="shared" si="905"/>
        <v/>
      </c>
      <c r="R14530" s="32" t="str">
        <f>IFERROR(VLOOKUP($D14530,'Informations sur les produits'!$A$3:$B$15000,2,FALSE),"")</f>
        <v/>
      </c>
      <c r="V14530">
        <f t="shared" si="906"/>
        <v>0</v>
      </c>
      <c r="W14530">
        <f t="shared" si="907"/>
        <v>0</v>
      </c>
    </row>
    <row r="14531" spans="5:23" x14ac:dyDescent="0.25">
      <c r="E14531" s="4"/>
      <c r="F14531" s="4"/>
      <c r="G14531" s="33" t="str">
        <f>IFERROR(VLOOKUP($D14531,'Informations sur les produits'!$A$3:$H$10000,8,FALSE),"0")</f>
        <v>0</v>
      </c>
      <c r="K14531" s="4"/>
      <c r="L14531" s="33" t="str">
        <f>IFERROR(VLOOKUP($J14531,'Informations sur les produits'!$A$3:$H$10000,8,FALSE),"0")</f>
        <v>0</v>
      </c>
      <c r="N14531" s="8"/>
      <c r="O14531" s="33" t="str">
        <f>IFERROR(VLOOKUP($M14531,'Informations sur les produits'!$A$3:$H$10000,8,FALSE),"0")</f>
        <v>0</v>
      </c>
      <c r="P14531" s="33">
        <f t="shared" si="904"/>
        <v>0</v>
      </c>
      <c r="Q14531" s="31" t="str">
        <f t="shared" si="905"/>
        <v/>
      </c>
      <c r="R14531" s="32" t="str">
        <f>IFERROR(VLOOKUP($D14531,'Informations sur les produits'!$A$3:$B$15000,2,FALSE),"")</f>
        <v/>
      </c>
      <c r="V14531">
        <f t="shared" si="906"/>
        <v>0</v>
      </c>
      <c r="W14531">
        <f t="shared" si="907"/>
        <v>0</v>
      </c>
    </row>
    <row r="14532" spans="5:23" x14ac:dyDescent="0.25">
      <c r="E14532" s="4"/>
      <c r="F14532" s="4"/>
      <c r="G14532" s="33" t="str">
        <f>IFERROR(VLOOKUP($D14532,'Informations sur les produits'!$A$3:$H$10000,8,FALSE),"0")</f>
        <v>0</v>
      </c>
      <c r="K14532" s="4"/>
      <c r="L14532" s="33" t="str">
        <f>IFERROR(VLOOKUP($J14532,'Informations sur les produits'!$A$3:$H$10000,8,FALSE),"0")</f>
        <v>0</v>
      </c>
      <c r="N14532" s="8"/>
      <c r="O14532" s="33" t="str">
        <f>IFERROR(VLOOKUP($M14532,'Informations sur les produits'!$A$3:$H$10000,8,FALSE),"0")</f>
        <v>0</v>
      </c>
      <c r="P14532" s="33">
        <f t="shared" ref="P14532:P14595" si="908">IFERROR((($E14532-$F14532)*$G14532+$K14532*$L14532+$N14532*$O14532),"")</f>
        <v>0</v>
      </c>
      <c r="Q14532" s="31" t="str">
        <f t="shared" ref="Q14532:Q14595" si="909">IFERROR((((($E14532-$F14532)*$G14532+$K14532*$L14532+$N14532*$O14532)*1000)/(($E14532-$F14532)+$K14532+$N14532)),"")</f>
        <v/>
      </c>
      <c r="R14532" s="32" t="str">
        <f>IFERROR(VLOOKUP($D14532,'Informations sur les produits'!$A$3:$B$15000,2,FALSE),"")</f>
        <v/>
      </c>
      <c r="V14532">
        <f t="shared" ref="V14532:V14595" si="910">IFERROR(P14532*1000,"")</f>
        <v>0</v>
      </c>
      <c r="W14532">
        <f t="shared" ref="W14532:W14595" si="911">IFERROR(($E14532-$F14532)+$K14532+$N14532,"")</f>
        <v>0</v>
      </c>
    </row>
    <row r="14533" spans="5:23" x14ac:dyDescent="0.25">
      <c r="E14533" s="4"/>
      <c r="F14533" s="4"/>
      <c r="G14533" s="33" t="str">
        <f>IFERROR(VLOOKUP($D14533,'Informations sur les produits'!$A$3:$H$10000,8,FALSE),"0")</f>
        <v>0</v>
      </c>
      <c r="K14533" s="4"/>
      <c r="L14533" s="33" t="str">
        <f>IFERROR(VLOOKUP($J14533,'Informations sur les produits'!$A$3:$H$10000,8,FALSE),"0")</f>
        <v>0</v>
      </c>
      <c r="N14533" s="8"/>
      <c r="O14533" s="33" t="str">
        <f>IFERROR(VLOOKUP($M14533,'Informations sur les produits'!$A$3:$H$10000,8,FALSE),"0")</f>
        <v>0</v>
      </c>
      <c r="P14533" s="33">
        <f t="shared" si="908"/>
        <v>0</v>
      </c>
      <c r="Q14533" s="31" t="str">
        <f t="shared" si="909"/>
        <v/>
      </c>
      <c r="R14533" s="32" t="str">
        <f>IFERROR(VLOOKUP($D14533,'Informations sur les produits'!$A$3:$B$15000,2,FALSE),"")</f>
        <v/>
      </c>
      <c r="V14533">
        <f t="shared" si="910"/>
        <v>0</v>
      </c>
      <c r="W14533">
        <f t="shared" si="911"/>
        <v>0</v>
      </c>
    </row>
    <row r="14534" spans="5:23" x14ac:dyDescent="0.25">
      <c r="E14534" s="4"/>
      <c r="F14534" s="4"/>
      <c r="G14534" s="33" t="str">
        <f>IFERROR(VLOOKUP($D14534,'Informations sur les produits'!$A$3:$H$10000,8,FALSE),"0")</f>
        <v>0</v>
      </c>
      <c r="K14534" s="4"/>
      <c r="L14534" s="33" t="str">
        <f>IFERROR(VLOOKUP($J14534,'Informations sur les produits'!$A$3:$H$10000,8,FALSE),"0")</f>
        <v>0</v>
      </c>
      <c r="N14534" s="8"/>
      <c r="O14534" s="33" t="str">
        <f>IFERROR(VLOOKUP($M14534,'Informations sur les produits'!$A$3:$H$10000,8,FALSE),"0")</f>
        <v>0</v>
      </c>
      <c r="P14534" s="33">
        <f t="shared" si="908"/>
        <v>0</v>
      </c>
      <c r="Q14534" s="31" t="str">
        <f t="shared" si="909"/>
        <v/>
      </c>
      <c r="R14534" s="32" t="str">
        <f>IFERROR(VLOOKUP($D14534,'Informations sur les produits'!$A$3:$B$15000,2,FALSE),"")</f>
        <v/>
      </c>
      <c r="V14534">
        <f t="shared" si="910"/>
        <v>0</v>
      </c>
      <c r="W14534">
        <f t="shared" si="911"/>
        <v>0</v>
      </c>
    </row>
    <row r="14535" spans="5:23" x14ac:dyDescent="0.25">
      <c r="E14535" s="4"/>
      <c r="F14535" s="4"/>
      <c r="G14535" s="33" t="str">
        <f>IFERROR(VLOOKUP($D14535,'Informations sur les produits'!$A$3:$H$10000,8,FALSE),"0")</f>
        <v>0</v>
      </c>
      <c r="K14535" s="4"/>
      <c r="L14535" s="33" t="str">
        <f>IFERROR(VLOOKUP($J14535,'Informations sur les produits'!$A$3:$H$10000,8,FALSE),"0")</f>
        <v>0</v>
      </c>
      <c r="N14535" s="8"/>
      <c r="O14535" s="33" t="str">
        <f>IFERROR(VLOOKUP($M14535,'Informations sur les produits'!$A$3:$H$10000,8,FALSE),"0")</f>
        <v>0</v>
      </c>
      <c r="P14535" s="33">
        <f t="shared" si="908"/>
        <v>0</v>
      </c>
      <c r="Q14535" s="31" t="str">
        <f t="shared" si="909"/>
        <v/>
      </c>
      <c r="R14535" s="32" t="str">
        <f>IFERROR(VLOOKUP($D14535,'Informations sur les produits'!$A$3:$B$15000,2,FALSE),"")</f>
        <v/>
      </c>
      <c r="V14535">
        <f t="shared" si="910"/>
        <v>0</v>
      </c>
      <c r="W14535">
        <f t="shared" si="911"/>
        <v>0</v>
      </c>
    </row>
    <row r="14536" spans="5:23" x14ac:dyDescent="0.25">
      <c r="E14536" s="4"/>
      <c r="F14536" s="4"/>
      <c r="G14536" s="33" t="str">
        <f>IFERROR(VLOOKUP($D14536,'Informations sur les produits'!$A$3:$H$10000,8,FALSE),"0")</f>
        <v>0</v>
      </c>
      <c r="K14536" s="4"/>
      <c r="L14536" s="33" t="str">
        <f>IFERROR(VLOOKUP($J14536,'Informations sur les produits'!$A$3:$H$10000,8,FALSE),"0")</f>
        <v>0</v>
      </c>
      <c r="N14536" s="8"/>
      <c r="O14536" s="33" t="str">
        <f>IFERROR(VLOOKUP($M14536,'Informations sur les produits'!$A$3:$H$10000,8,FALSE),"0")</f>
        <v>0</v>
      </c>
      <c r="P14536" s="33">
        <f t="shared" si="908"/>
        <v>0</v>
      </c>
      <c r="Q14536" s="31" t="str">
        <f t="shared" si="909"/>
        <v/>
      </c>
      <c r="R14536" s="32" t="str">
        <f>IFERROR(VLOOKUP($D14536,'Informations sur les produits'!$A$3:$B$15000,2,FALSE),"")</f>
        <v/>
      </c>
      <c r="V14536">
        <f t="shared" si="910"/>
        <v>0</v>
      </c>
      <c r="W14536">
        <f t="shared" si="911"/>
        <v>0</v>
      </c>
    </row>
    <row r="14537" spans="5:23" x14ac:dyDescent="0.25">
      <c r="E14537" s="4"/>
      <c r="F14537" s="4"/>
      <c r="G14537" s="33" t="str">
        <f>IFERROR(VLOOKUP($D14537,'Informations sur les produits'!$A$3:$H$10000,8,FALSE),"0")</f>
        <v>0</v>
      </c>
      <c r="K14537" s="4"/>
      <c r="L14537" s="33" t="str">
        <f>IFERROR(VLOOKUP($J14537,'Informations sur les produits'!$A$3:$H$10000,8,FALSE),"0")</f>
        <v>0</v>
      </c>
      <c r="N14537" s="8"/>
      <c r="O14537" s="33" t="str">
        <f>IFERROR(VLOOKUP($M14537,'Informations sur les produits'!$A$3:$H$10000,8,FALSE),"0")</f>
        <v>0</v>
      </c>
      <c r="P14537" s="33">
        <f t="shared" si="908"/>
        <v>0</v>
      </c>
      <c r="Q14537" s="31" t="str">
        <f t="shared" si="909"/>
        <v/>
      </c>
      <c r="R14537" s="32" t="str">
        <f>IFERROR(VLOOKUP($D14537,'Informations sur les produits'!$A$3:$B$15000,2,FALSE),"")</f>
        <v/>
      </c>
      <c r="V14537">
        <f t="shared" si="910"/>
        <v>0</v>
      </c>
      <c r="W14537">
        <f t="shared" si="911"/>
        <v>0</v>
      </c>
    </row>
    <row r="14538" spans="5:23" x14ac:dyDescent="0.25">
      <c r="E14538" s="4"/>
      <c r="F14538" s="4"/>
      <c r="G14538" s="33" t="str">
        <f>IFERROR(VLOOKUP($D14538,'Informations sur les produits'!$A$3:$H$10000,8,FALSE),"0")</f>
        <v>0</v>
      </c>
      <c r="K14538" s="4"/>
      <c r="L14538" s="33" t="str">
        <f>IFERROR(VLOOKUP($J14538,'Informations sur les produits'!$A$3:$H$10000,8,FALSE),"0")</f>
        <v>0</v>
      </c>
      <c r="N14538" s="8"/>
      <c r="O14538" s="33" t="str">
        <f>IFERROR(VLOOKUP($M14538,'Informations sur les produits'!$A$3:$H$10000,8,FALSE),"0")</f>
        <v>0</v>
      </c>
      <c r="P14538" s="33">
        <f t="shared" si="908"/>
        <v>0</v>
      </c>
      <c r="Q14538" s="31" t="str">
        <f t="shared" si="909"/>
        <v/>
      </c>
      <c r="R14538" s="32" t="str">
        <f>IFERROR(VLOOKUP($D14538,'Informations sur les produits'!$A$3:$B$15000,2,FALSE),"")</f>
        <v/>
      </c>
      <c r="V14538">
        <f t="shared" si="910"/>
        <v>0</v>
      </c>
      <c r="W14538">
        <f t="shared" si="911"/>
        <v>0</v>
      </c>
    </row>
    <row r="14539" spans="5:23" x14ac:dyDescent="0.25">
      <c r="E14539" s="4"/>
      <c r="F14539" s="4"/>
      <c r="G14539" s="33" t="str">
        <f>IFERROR(VLOOKUP($D14539,'Informations sur les produits'!$A$3:$H$10000,8,FALSE),"0")</f>
        <v>0</v>
      </c>
      <c r="K14539" s="4"/>
      <c r="L14539" s="33" t="str">
        <f>IFERROR(VLOOKUP($J14539,'Informations sur les produits'!$A$3:$H$10000,8,FALSE),"0")</f>
        <v>0</v>
      </c>
      <c r="N14539" s="8"/>
      <c r="O14539" s="33" t="str">
        <f>IFERROR(VLOOKUP($M14539,'Informations sur les produits'!$A$3:$H$10000,8,FALSE),"0")</f>
        <v>0</v>
      </c>
      <c r="P14539" s="33">
        <f t="shared" si="908"/>
        <v>0</v>
      </c>
      <c r="Q14539" s="31" t="str">
        <f t="shared" si="909"/>
        <v/>
      </c>
      <c r="R14539" s="32" t="str">
        <f>IFERROR(VLOOKUP($D14539,'Informations sur les produits'!$A$3:$B$15000,2,FALSE),"")</f>
        <v/>
      </c>
      <c r="V14539">
        <f t="shared" si="910"/>
        <v>0</v>
      </c>
      <c r="W14539">
        <f t="shared" si="911"/>
        <v>0</v>
      </c>
    </row>
    <row r="14540" spans="5:23" x14ac:dyDescent="0.25">
      <c r="E14540" s="4"/>
      <c r="F14540" s="4"/>
      <c r="G14540" s="33" t="str">
        <f>IFERROR(VLOOKUP($D14540,'Informations sur les produits'!$A$3:$H$10000,8,FALSE),"0")</f>
        <v>0</v>
      </c>
      <c r="K14540" s="4"/>
      <c r="L14540" s="33" t="str">
        <f>IFERROR(VLOOKUP($J14540,'Informations sur les produits'!$A$3:$H$10000,8,FALSE),"0")</f>
        <v>0</v>
      </c>
      <c r="N14540" s="8"/>
      <c r="O14540" s="33" t="str">
        <f>IFERROR(VLOOKUP($M14540,'Informations sur les produits'!$A$3:$H$10000,8,FALSE),"0")</f>
        <v>0</v>
      </c>
      <c r="P14540" s="33">
        <f t="shared" si="908"/>
        <v>0</v>
      </c>
      <c r="Q14540" s="31" t="str">
        <f t="shared" si="909"/>
        <v/>
      </c>
      <c r="R14540" s="32" t="str">
        <f>IFERROR(VLOOKUP($D14540,'Informations sur les produits'!$A$3:$B$15000,2,FALSE),"")</f>
        <v/>
      </c>
      <c r="V14540">
        <f t="shared" si="910"/>
        <v>0</v>
      </c>
      <c r="W14540">
        <f t="shared" si="911"/>
        <v>0</v>
      </c>
    </row>
    <row r="14541" spans="5:23" x14ac:dyDescent="0.25">
      <c r="E14541" s="4"/>
      <c r="F14541" s="4"/>
      <c r="G14541" s="33" t="str">
        <f>IFERROR(VLOOKUP($D14541,'Informations sur les produits'!$A$3:$H$10000,8,FALSE),"0")</f>
        <v>0</v>
      </c>
      <c r="K14541" s="4"/>
      <c r="L14541" s="33" t="str">
        <f>IFERROR(VLOOKUP($J14541,'Informations sur les produits'!$A$3:$H$10000,8,FALSE),"0")</f>
        <v>0</v>
      </c>
      <c r="N14541" s="8"/>
      <c r="O14541" s="33" t="str">
        <f>IFERROR(VLOOKUP($M14541,'Informations sur les produits'!$A$3:$H$10000,8,FALSE),"0")</f>
        <v>0</v>
      </c>
      <c r="P14541" s="33">
        <f t="shared" si="908"/>
        <v>0</v>
      </c>
      <c r="Q14541" s="31" t="str">
        <f t="shared" si="909"/>
        <v/>
      </c>
      <c r="R14541" s="32" t="str">
        <f>IFERROR(VLOOKUP($D14541,'Informations sur les produits'!$A$3:$B$15000,2,FALSE),"")</f>
        <v/>
      </c>
      <c r="V14541">
        <f t="shared" si="910"/>
        <v>0</v>
      </c>
      <c r="W14541">
        <f t="shared" si="911"/>
        <v>0</v>
      </c>
    </row>
    <row r="14542" spans="5:23" x14ac:dyDescent="0.25">
      <c r="E14542" s="4"/>
      <c r="F14542" s="4"/>
      <c r="G14542" s="33" t="str">
        <f>IFERROR(VLOOKUP($D14542,'Informations sur les produits'!$A$3:$H$10000,8,FALSE),"0")</f>
        <v>0</v>
      </c>
      <c r="K14542" s="4"/>
      <c r="L14542" s="33" t="str">
        <f>IFERROR(VLOOKUP($J14542,'Informations sur les produits'!$A$3:$H$10000,8,FALSE),"0")</f>
        <v>0</v>
      </c>
      <c r="N14542" s="8"/>
      <c r="O14542" s="33" t="str">
        <f>IFERROR(VLOOKUP($M14542,'Informations sur les produits'!$A$3:$H$10000,8,FALSE),"0")</f>
        <v>0</v>
      </c>
      <c r="P14542" s="33">
        <f t="shared" si="908"/>
        <v>0</v>
      </c>
      <c r="Q14542" s="31" t="str">
        <f t="shared" si="909"/>
        <v/>
      </c>
      <c r="R14542" s="32" t="str">
        <f>IFERROR(VLOOKUP($D14542,'Informations sur les produits'!$A$3:$B$15000,2,FALSE),"")</f>
        <v/>
      </c>
      <c r="V14542">
        <f t="shared" si="910"/>
        <v>0</v>
      </c>
      <c r="W14542">
        <f t="shared" si="911"/>
        <v>0</v>
      </c>
    </row>
    <row r="14543" spans="5:23" x14ac:dyDescent="0.25">
      <c r="E14543" s="4"/>
      <c r="F14543" s="4"/>
      <c r="G14543" s="33" t="str">
        <f>IFERROR(VLOOKUP($D14543,'Informations sur les produits'!$A$3:$H$10000,8,FALSE),"0")</f>
        <v>0</v>
      </c>
      <c r="K14543" s="4"/>
      <c r="L14543" s="33" t="str">
        <f>IFERROR(VLOOKUP($J14543,'Informations sur les produits'!$A$3:$H$10000,8,FALSE),"0")</f>
        <v>0</v>
      </c>
      <c r="N14543" s="8"/>
      <c r="O14543" s="33" t="str">
        <f>IFERROR(VLOOKUP($M14543,'Informations sur les produits'!$A$3:$H$10000,8,FALSE),"0")</f>
        <v>0</v>
      </c>
      <c r="P14543" s="33">
        <f t="shared" si="908"/>
        <v>0</v>
      </c>
      <c r="Q14543" s="31" t="str">
        <f t="shared" si="909"/>
        <v/>
      </c>
      <c r="R14543" s="32" t="str">
        <f>IFERROR(VLOOKUP($D14543,'Informations sur les produits'!$A$3:$B$15000,2,FALSE),"")</f>
        <v/>
      </c>
      <c r="V14543">
        <f t="shared" si="910"/>
        <v>0</v>
      </c>
      <c r="W14543">
        <f t="shared" si="911"/>
        <v>0</v>
      </c>
    </row>
    <row r="14544" spans="5:23" x14ac:dyDescent="0.25">
      <c r="E14544" s="4"/>
      <c r="F14544" s="4"/>
      <c r="G14544" s="33" t="str">
        <f>IFERROR(VLOOKUP($D14544,'Informations sur les produits'!$A$3:$H$10000,8,FALSE),"0")</f>
        <v>0</v>
      </c>
      <c r="K14544" s="4"/>
      <c r="L14544" s="33" t="str">
        <f>IFERROR(VLOOKUP($J14544,'Informations sur les produits'!$A$3:$H$10000,8,FALSE),"0")</f>
        <v>0</v>
      </c>
      <c r="N14544" s="8"/>
      <c r="O14544" s="33" t="str">
        <f>IFERROR(VLOOKUP($M14544,'Informations sur les produits'!$A$3:$H$10000,8,FALSE),"0")</f>
        <v>0</v>
      </c>
      <c r="P14544" s="33">
        <f t="shared" si="908"/>
        <v>0</v>
      </c>
      <c r="Q14544" s="31" t="str">
        <f t="shared" si="909"/>
        <v/>
      </c>
      <c r="R14544" s="32" t="str">
        <f>IFERROR(VLOOKUP($D14544,'Informations sur les produits'!$A$3:$B$15000,2,FALSE),"")</f>
        <v/>
      </c>
      <c r="V14544">
        <f t="shared" si="910"/>
        <v>0</v>
      </c>
      <c r="W14544">
        <f t="shared" si="911"/>
        <v>0</v>
      </c>
    </row>
    <row r="14545" spans="5:23" x14ac:dyDescent="0.25">
      <c r="E14545" s="4"/>
      <c r="F14545" s="4"/>
      <c r="G14545" s="33" t="str">
        <f>IFERROR(VLOOKUP($D14545,'Informations sur les produits'!$A$3:$H$10000,8,FALSE),"0")</f>
        <v>0</v>
      </c>
      <c r="K14545" s="4"/>
      <c r="L14545" s="33" t="str">
        <f>IFERROR(VLOOKUP($J14545,'Informations sur les produits'!$A$3:$H$10000,8,FALSE),"0")</f>
        <v>0</v>
      </c>
      <c r="N14545" s="8"/>
      <c r="O14545" s="33" t="str">
        <f>IFERROR(VLOOKUP($M14545,'Informations sur les produits'!$A$3:$H$10000,8,FALSE),"0")</f>
        <v>0</v>
      </c>
      <c r="P14545" s="33">
        <f t="shared" si="908"/>
        <v>0</v>
      </c>
      <c r="Q14545" s="31" t="str">
        <f t="shared" si="909"/>
        <v/>
      </c>
      <c r="R14545" s="32" t="str">
        <f>IFERROR(VLOOKUP($D14545,'Informations sur les produits'!$A$3:$B$15000,2,FALSE),"")</f>
        <v/>
      </c>
      <c r="V14545">
        <f t="shared" si="910"/>
        <v>0</v>
      </c>
      <c r="W14545">
        <f t="shared" si="911"/>
        <v>0</v>
      </c>
    </row>
    <row r="14546" spans="5:23" x14ac:dyDescent="0.25">
      <c r="E14546" s="4"/>
      <c r="F14546" s="4"/>
      <c r="G14546" s="33" t="str">
        <f>IFERROR(VLOOKUP($D14546,'Informations sur les produits'!$A$3:$H$10000,8,FALSE),"0")</f>
        <v>0</v>
      </c>
      <c r="K14546" s="4"/>
      <c r="L14546" s="33" t="str">
        <f>IFERROR(VLOOKUP($J14546,'Informations sur les produits'!$A$3:$H$10000,8,FALSE),"0")</f>
        <v>0</v>
      </c>
      <c r="N14546" s="8"/>
      <c r="O14546" s="33" t="str">
        <f>IFERROR(VLOOKUP($M14546,'Informations sur les produits'!$A$3:$H$10000,8,FALSE),"0")</f>
        <v>0</v>
      </c>
      <c r="P14546" s="33">
        <f t="shared" si="908"/>
        <v>0</v>
      </c>
      <c r="Q14546" s="31" t="str">
        <f t="shared" si="909"/>
        <v/>
      </c>
      <c r="R14546" s="32" t="str">
        <f>IFERROR(VLOOKUP($D14546,'Informations sur les produits'!$A$3:$B$15000,2,FALSE),"")</f>
        <v/>
      </c>
      <c r="V14546">
        <f t="shared" si="910"/>
        <v>0</v>
      </c>
      <c r="W14546">
        <f t="shared" si="911"/>
        <v>0</v>
      </c>
    </row>
    <row r="14547" spans="5:23" x14ac:dyDescent="0.25">
      <c r="E14547" s="4"/>
      <c r="F14547" s="4"/>
      <c r="G14547" s="33" t="str">
        <f>IFERROR(VLOOKUP($D14547,'Informations sur les produits'!$A$3:$H$10000,8,FALSE),"0")</f>
        <v>0</v>
      </c>
      <c r="K14547" s="4"/>
      <c r="L14547" s="33" t="str">
        <f>IFERROR(VLOOKUP($J14547,'Informations sur les produits'!$A$3:$H$10000,8,FALSE),"0")</f>
        <v>0</v>
      </c>
      <c r="N14547" s="8"/>
      <c r="O14547" s="33" t="str">
        <f>IFERROR(VLOOKUP($M14547,'Informations sur les produits'!$A$3:$H$10000,8,FALSE),"0")</f>
        <v>0</v>
      </c>
      <c r="P14547" s="33">
        <f t="shared" si="908"/>
        <v>0</v>
      </c>
      <c r="Q14547" s="31" t="str">
        <f t="shared" si="909"/>
        <v/>
      </c>
      <c r="R14547" s="32" t="str">
        <f>IFERROR(VLOOKUP($D14547,'Informations sur les produits'!$A$3:$B$15000,2,FALSE),"")</f>
        <v/>
      </c>
      <c r="V14547">
        <f t="shared" si="910"/>
        <v>0</v>
      </c>
      <c r="W14547">
        <f t="shared" si="911"/>
        <v>0</v>
      </c>
    </row>
    <row r="14548" spans="5:23" x14ac:dyDescent="0.25">
      <c r="E14548" s="4"/>
      <c r="F14548" s="4"/>
      <c r="G14548" s="33" t="str">
        <f>IFERROR(VLOOKUP($D14548,'Informations sur les produits'!$A$3:$H$10000,8,FALSE),"0")</f>
        <v>0</v>
      </c>
      <c r="K14548" s="4"/>
      <c r="L14548" s="33" t="str">
        <f>IFERROR(VLOOKUP($J14548,'Informations sur les produits'!$A$3:$H$10000,8,FALSE),"0")</f>
        <v>0</v>
      </c>
      <c r="N14548" s="8"/>
      <c r="O14548" s="33" t="str">
        <f>IFERROR(VLOOKUP($M14548,'Informations sur les produits'!$A$3:$H$10000,8,FALSE),"0")</f>
        <v>0</v>
      </c>
      <c r="P14548" s="33">
        <f t="shared" si="908"/>
        <v>0</v>
      </c>
      <c r="Q14548" s="31" t="str">
        <f t="shared" si="909"/>
        <v/>
      </c>
      <c r="R14548" s="32" t="str">
        <f>IFERROR(VLOOKUP($D14548,'Informations sur les produits'!$A$3:$B$15000,2,FALSE),"")</f>
        <v/>
      </c>
      <c r="V14548">
        <f t="shared" si="910"/>
        <v>0</v>
      </c>
      <c r="W14548">
        <f t="shared" si="911"/>
        <v>0</v>
      </c>
    </row>
    <row r="14549" spans="5:23" x14ac:dyDescent="0.25">
      <c r="E14549" s="4"/>
      <c r="F14549" s="4"/>
      <c r="G14549" s="33" t="str">
        <f>IFERROR(VLOOKUP($D14549,'Informations sur les produits'!$A$3:$H$10000,8,FALSE),"0")</f>
        <v>0</v>
      </c>
      <c r="K14549" s="4"/>
      <c r="L14549" s="33" t="str">
        <f>IFERROR(VLOOKUP($J14549,'Informations sur les produits'!$A$3:$H$10000,8,FALSE),"0")</f>
        <v>0</v>
      </c>
      <c r="N14549" s="8"/>
      <c r="O14549" s="33" t="str">
        <f>IFERROR(VLOOKUP($M14549,'Informations sur les produits'!$A$3:$H$10000,8,FALSE),"0")</f>
        <v>0</v>
      </c>
      <c r="P14549" s="33">
        <f t="shared" si="908"/>
        <v>0</v>
      </c>
      <c r="Q14549" s="31" t="str">
        <f t="shared" si="909"/>
        <v/>
      </c>
      <c r="R14549" s="32" t="str">
        <f>IFERROR(VLOOKUP($D14549,'Informations sur les produits'!$A$3:$B$15000,2,FALSE),"")</f>
        <v/>
      </c>
      <c r="V14549">
        <f t="shared" si="910"/>
        <v>0</v>
      </c>
      <c r="W14549">
        <f t="shared" si="911"/>
        <v>0</v>
      </c>
    </row>
    <row r="14550" spans="5:23" x14ac:dyDescent="0.25">
      <c r="E14550" s="4"/>
      <c r="F14550" s="4"/>
      <c r="G14550" s="33" t="str">
        <f>IFERROR(VLOOKUP($D14550,'Informations sur les produits'!$A$3:$H$10000,8,FALSE),"0")</f>
        <v>0</v>
      </c>
      <c r="K14550" s="4"/>
      <c r="L14550" s="33" t="str">
        <f>IFERROR(VLOOKUP($J14550,'Informations sur les produits'!$A$3:$H$10000,8,FALSE),"0")</f>
        <v>0</v>
      </c>
      <c r="N14550" s="8"/>
      <c r="O14550" s="33" t="str">
        <f>IFERROR(VLOOKUP($M14550,'Informations sur les produits'!$A$3:$H$10000,8,FALSE),"0")</f>
        <v>0</v>
      </c>
      <c r="P14550" s="33">
        <f t="shared" si="908"/>
        <v>0</v>
      </c>
      <c r="Q14550" s="31" t="str">
        <f t="shared" si="909"/>
        <v/>
      </c>
      <c r="R14550" s="32" t="str">
        <f>IFERROR(VLOOKUP($D14550,'Informations sur les produits'!$A$3:$B$15000,2,FALSE),"")</f>
        <v/>
      </c>
      <c r="V14550">
        <f t="shared" si="910"/>
        <v>0</v>
      </c>
      <c r="W14550">
        <f t="shared" si="911"/>
        <v>0</v>
      </c>
    </row>
    <row r="14551" spans="5:23" x14ac:dyDescent="0.25">
      <c r="E14551" s="4"/>
      <c r="F14551" s="4"/>
      <c r="G14551" s="33" t="str">
        <f>IFERROR(VLOOKUP($D14551,'Informations sur les produits'!$A$3:$H$10000,8,FALSE),"0")</f>
        <v>0</v>
      </c>
      <c r="K14551" s="4"/>
      <c r="L14551" s="33" t="str">
        <f>IFERROR(VLOOKUP($J14551,'Informations sur les produits'!$A$3:$H$10000,8,FALSE),"0")</f>
        <v>0</v>
      </c>
      <c r="N14551" s="8"/>
      <c r="O14551" s="33" t="str">
        <f>IFERROR(VLOOKUP($M14551,'Informations sur les produits'!$A$3:$H$10000,8,FALSE),"0")</f>
        <v>0</v>
      </c>
      <c r="P14551" s="33">
        <f t="shared" si="908"/>
        <v>0</v>
      </c>
      <c r="Q14551" s="31" t="str">
        <f t="shared" si="909"/>
        <v/>
      </c>
      <c r="R14551" s="32" t="str">
        <f>IFERROR(VLOOKUP($D14551,'Informations sur les produits'!$A$3:$B$15000,2,FALSE),"")</f>
        <v/>
      </c>
      <c r="V14551">
        <f t="shared" si="910"/>
        <v>0</v>
      </c>
      <c r="W14551">
        <f t="shared" si="911"/>
        <v>0</v>
      </c>
    </row>
    <row r="14552" spans="5:23" x14ac:dyDescent="0.25">
      <c r="E14552" s="4"/>
      <c r="F14552" s="4"/>
      <c r="G14552" s="33" t="str">
        <f>IFERROR(VLOOKUP($D14552,'Informations sur les produits'!$A$3:$H$10000,8,FALSE),"0")</f>
        <v>0</v>
      </c>
      <c r="K14552" s="4"/>
      <c r="L14552" s="33" t="str">
        <f>IFERROR(VLOOKUP($J14552,'Informations sur les produits'!$A$3:$H$10000,8,FALSE),"0")</f>
        <v>0</v>
      </c>
      <c r="N14552" s="8"/>
      <c r="O14552" s="33" t="str">
        <f>IFERROR(VLOOKUP($M14552,'Informations sur les produits'!$A$3:$H$10000,8,FALSE),"0")</f>
        <v>0</v>
      </c>
      <c r="P14552" s="33">
        <f t="shared" si="908"/>
        <v>0</v>
      </c>
      <c r="Q14552" s="31" t="str">
        <f t="shared" si="909"/>
        <v/>
      </c>
      <c r="R14552" s="32" t="str">
        <f>IFERROR(VLOOKUP($D14552,'Informations sur les produits'!$A$3:$B$15000,2,FALSE),"")</f>
        <v/>
      </c>
      <c r="V14552">
        <f t="shared" si="910"/>
        <v>0</v>
      </c>
      <c r="W14552">
        <f t="shared" si="911"/>
        <v>0</v>
      </c>
    </row>
    <row r="14553" spans="5:23" x14ac:dyDescent="0.25">
      <c r="E14553" s="4"/>
      <c r="F14553" s="4"/>
      <c r="G14553" s="33" t="str">
        <f>IFERROR(VLOOKUP($D14553,'Informations sur les produits'!$A$3:$H$10000,8,FALSE),"0")</f>
        <v>0</v>
      </c>
      <c r="K14553" s="4"/>
      <c r="L14553" s="33" t="str">
        <f>IFERROR(VLOOKUP($J14553,'Informations sur les produits'!$A$3:$H$10000,8,FALSE),"0")</f>
        <v>0</v>
      </c>
      <c r="N14553" s="8"/>
      <c r="O14553" s="33" t="str">
        <f>IFERROR(VLOOKUP($M14553,'Informations sur les produits'!$A$3:$H$10000,8,FALSE),"0")</f>
        <v>0</v>
      </c>
      <c r="P14553" s="33">
        <f t="shared" si="908"/>
        <v>0</v>
      </c>
      <c r="Q14553" s="31" t="str">
        <f t="shared" si="909"/>
        <v/>
      </c>
      <c r="R14553" s="32" t="str">
        <f>IFERROR(VLOOKUP($D14553,'Informations sur les produits'!$A$3:$B$15000,2,FALSE),"")</f>
        <v/>
      </c>
      <c r="V14553">
        <f t="shared" si="910"/>
        <v>0</v>
      </c>
      <c r="W14553">
        <f t="shared" si="911"/>
        <v>0</v>
      </c>
    </row>
    <row r="14554" spans="5:23" x14ac:dyDescent="0.25">
      <c r="E14554" s="4"/>
      <c r="F14554" s="4"/>
      <c r="G14554" s="33" t="str">
        <f>IFERROR(VLOOKUP($D14554,'Informations sur les produits'!$A$3:$H$10000,8,FALSE),"0")</f>
        <v>0</v>
      </c>
      <c r="K14554" s="4"/>
      <c r="L14554" s="33" t="str">
        <f>IFERROR(VLOOKUP($J14554,'Informations sur les produits'!$A$3:$H$10000,8,FALSE),"0")</f>
        <v>0</v>
      </c>
      <c r="N14554" s="8"/>
      <c r="O14554" s="33" t="str">
        <f>IFERROR(VLOOKUP($M14554,'Informations sur les produits'!$A$3:$H$10000,8,FALSE),"0")</f>
        <v>0</v>
      </c>
      <c r="P14554" s="33">
        <f t="shared" si="908"/>
        <v>0</v>
      </c>
      <c r="Q14554" s="31" t="str">
        <f t="shared" si="909"/>
        <v/>
      </c>
      <c r="R14554" s="32" t="str">
        <f>IFERROR(VLOOKUP($D14554,'Informations sur les produits'!$A$3:$B$15000,2,FALSE),"")</f>
        <v/>
      </c>
      <c r="V14554">
        <f t="shared" si="910"/>
        <v>0</v>
      </c>
      <c r="W14554">
        <f t="shared" si="911"/>
        <v>0</v>
      </c>
    </row>
    <row r="14555" spans="5:23" x14ac:dyDescent="0.25">
      <c r="E14555" s="4"/>
      <c r="F14555" s="4"/>
      <c r="G14555" s="33" t="str">
        <f>IFERROR(VLOOKUP($D14555,'Informations sur les produits'!$A$3:$H$10000,8,FALSE),"0")</f>
        <v>0</v>
      </c>
      <c r="K14555" s="4"/>
      <c r="L14555" s="33" t="str">
        <f>IFERROR(VLOOKUP($J14555,'Informations sur les produits'!$A$3:$H$10000,8,FALSE),"0")</f>
        <v>0</v>
      </c>
      <c r="N14555" s="8"/>
      <c r="O14555" s="33" t="str">
        <f>IFERROR(VLOOKUP($M14555,'Informations sur les produits'!$A$3:$H$10000,8,FALSE),"0")</f>
        <v>0</v>
      </c>
      <c r="P14555" s="33">
        <f t="shared" si="908"/>
        <v>0</v>
      </c>
      <c r="Q14555" s="31" t="str">
        <f t="shared" si="909"/>
        <v/>
      </c>
      <c r="R14555" s="32" t="str">
        <f>IFERROR(VLOOKUP($D14555,'Informations sur les produits'!$A$3:$B$15000,2,FALSE),"")</f>
        <v/>
      </c>
      <c r="V14555">
        <f t="shared" si="910"/>
        <v>0</v>
      </c>
      <c r="W14555">
        <f t="shared" si="911"/>
        <v>0</v>
      </c>
    </row>
    <row r="14556" spans="5:23" x14ac:dyDescent="0.25">
      <c r="E14556" s="4"/>
      <c r="F14556" s="4"/>
      <c r="G14556" s="33" t="str">
        <f>IFERROR(VLOOKUP($D14556,'Informations sur les produits'!$A$3:$H$10000,8,FALSE),"0")</f>
        <v>0</v>
      </c>
      <c r="K14556" s="4"/>
      <c r="L14556" s="33" t="str">
        <f>IFERROR(VLOOKUP($J14556,'Informations sur les produits'!$A$3:$H$10000,8,FALSE),"0")</f>
        <v>0</v>
      </c>
      <c r="N14556" s="8"/>
      <c r="O14556" s="33" t="str">
        <f>IFERROR(VLOOKUP($M14556,'Informations sur les produits'!$A$3:$H$10000,8,FALSE),"0")</f>
        <v>0</v>
      </c>
      <c r="P14556" s="33">
        <f t="shared" si="908"/>
        <v>0</v>
      </c>
      <c r="Q14556" s="31" t="str">
        <f t="shared" si="909"/>
        <v/>
      </c>
      <c r="R14556" s="32" t="str">
        <f>IFERROR(VLOOKUP($D14556,'Informations sur les produits'!$A$3:$B$15000,2,FALSE),"")</f>
        <v/>
      </c>
      <c r="V14556">
        <f t="shared" si="910"/>
        <v>0</v>
      </c>
      <c r="W14556">
        <f t="shared" si="911"/>
        <v>0</v>
      </c>
    </row>
    <row r="14557" spans="5:23" x14ac:dyDescent="0.25">
      <c r="E14557" s="4"/>
      <c r="F14557" s="4"/>
      <c r="G14557" s="33" t="str">
        <f>IFERROR(VLOOKUP($D14557,'Informations sur les produits'!$A$3:$H$10000,8,FALSE),"0")</f>
        <v>0</v>
      </c>
      <c r="K14557" s="4"/>
      <c r="L14557" s="33" t="str">
        <f>IFERROR(VLOOKUP($J14557,'Informations sur les produits'!$A$3:$H$10000,8,FALSE),"0")</f>
        <v>0</v>
      </c>
      <c r="N14557" s="8"/>
      <c r="O14557" s="33" t="str">
        <f>IFERROR(VLOOKUP($M14557,'Informations sur les produits'!$A$3:$H$10000,8,FALSE),"0")</f>
        <v>0</v>
      </c>
      <c r="P14557" s="33">
        <f t="shared" si="908"/>
        <v>0</v>
      </c>
      <c r="Q14557" s="31" t="str">
        <f t="shared" si="909"/>
        <v/>
      </c>
      <c r="R14557" s="32" t="str">
        <f>IFERROR(VLOOKUP($D14557,'Informations sur les produits'!$A$3:$B$15000,2,FALSE),"")</f>
        <v/>
      </c>
      <c r="V14557">
        <f t="shared" si="910"/>
        <v>0</v>
      </c>
      <c r="W14557">
        <f t="shared" si="911"/>
        <v>0</v>
      </c>
    </row>
    <row r="14558" spans="5:23" x14ac:dyDescent="0.25">
      <c r="E14558" s="4"/>
      <c r="F14558" s="4"/>
      <c r="G14558" s="33" t="str">
        <f>IFERROR(VLOOKUP($D14558,'Informations sur les produits'!$A$3:$H$10000,8,FALSE),"0")</f>
        <v>0</v>
      </c>
      <c r="K14558" s="4"/>
      <c r="L14558" s="33" t="str">
        <f>IFERROR(VLOOKUP($J14558,'Informations sur les produits'!$A$3:$H$10000,8,FALSE),"0")</f>
        <v>0</v>
      </c>
      <c r="N14558" s="8"/>
      <c r="O14558" s="33" t="str">
        <f>IFERROR(VLOOKUP($M14558,'Informations sur les produits'!$A$3:$H$10000,8,FALSE),"0")</f>
        <v>0</v>
      </c>
      <c r="P14558" s="33">
        <f t="shared" si="908"/>
        <v>0</v>
      </c>
      <c r="Q14558" s="31" t="str">
        <f t="shared" si="909"/>
        <v/>
      </c>
      <c r="R14558" s="32" t="str">
        <f>IFERROR(VLOOKUP($D14558,'Informations sur les produits'!$A$3:$B$15000,2,FALSE),"")</f>
        <v/>
      </c>
      <c r="V14558">
        <f t="shared" si="910"/>
        <v>0</v>
      </c>
      <c r="W14558">
        <f t="shared" si="911"/>
        <v>0</v>
      </c>
    </row>
    <row r="14559" spans="5:23" x14ac:dyDescent="0.25">
      <c r="E14559" s="4"/>
      <c r="F14559" s="4"/>
      <c r="G14559" s="33" t="str">
        <f>IFERROR(VLOOKUP($D14559,'Informations sur les produits'!$A$3:$H$10000,8,FALSE),"0")</f>
        <v>0</v>
      </c>
      <c r="K14559" s="4"/>
      <c r="L14559" s="33" t="str">
        <f>IFERROR(VLOOKUP($J14559,'Informations sur les produits'!$A$3:$H$10000,8,FALSE),"0")</f>
        <v>0</v>
      </c>
      <c r="N14559" s="8"/>
      <c r="O14559" s="33" t="str">
        <f>IFERROR(VLOOKUP($M14559,'Informations sur les produits'!$A$3:$H$10000,8,FALSE),"0")</f>
        <v>0</v>
      </c>
      <c r="P14559" s="33">
        <f t="shared" si="908"/>
        <v>0</v>
      </c>
      <c r="Q14559" s="31" t="str">
        <f t="shared" si="909"/>
        <v/>
      </c>
      <c r="R14559" s="32" t="str">
        <f>IFERROR(VLOOKUP($D14559,'Informations sur les produits'!$A$3:$B$15000,2,FALSE),"")</f>
        <v/>
      </c>
      <c r="V14559">
        <f t="shared" si="910"/>
        <v>0</v>
      </c>
      <c r="W14559">
        <f t="shared" si="911"/>
        <v>0</v>
      </c>
    </row>
    <row r="14560" spans="5:23" x14ac:dyDescent="0.25">
      <c r="E14560" s="4"/>
      <c r="F14560" s="4"/>
      <c r="G14560" s="33" t="str">
        <f>IFERROR(VLOOKUP($D14560,'Informations sur les produits'!$A$3:$H$10000,8,FALSE),"0")</f>
        <v>0</v>
      </c>
      <c r="K14560" s="4"/>
      <c r="L14560" s="33" t="str">
        <f>IFERROR(VLOOKUP($J14560,'Informations sur les produits'!$A$3:$H$10000,8,FALSE),"0")</f>
        <v>0</v>
      </c>
      <c r="N14560" s="8"/>
      <c r="O14560" s="33" t="str">
        <f>IFERROR(VLOOKUP($M14560,'Informations sur les produits'!$A$3:$H$10000,8,FALSE),"0")</f>
        <v>0</v>
      </c>
      <c r="P14560" s="33">
        <f t="shared" si="908"/>
        <v>0</v>
      </c>
      <c r="Q14560" s="31" t="str">
        <f t="shared" si="909"/>
        <v/>
      </c>
      <c r="R14560" s="32" t="str">
        <f>IFERROR(VLOOKUP($D14560,'Informations sur les produits'!$A$3:$B$15000,2,FALSE),"")</f>
        <v/>
      </c>
      <c r="V14560">
        <f t="shared" si="910"/>
        <v>0</v>
      </c>
      <c r="W14560">
        <f t="shared" si="911"/>
        <v>0</v>
      </c>
    </row>
    <row r="14561" spans="5:23" x14ac:dyDescent="0.25">
      <c r="E14561" s="4"/>
      <c r="F14561" s="4"/>
      <c r="G14561" s="33" t="str">
        <f>IFERROR(VLOOKUP($D14561,'Informations sur les produits'!$A$3:$H$10000,8,FALSE),"0")</f>
        <v>0</v>
      </c>
      <c r="K14561" s="4"/>
      <c r="L14561" s="33" t="str">
        <f>IFERROR(VLOOKUP($J14561,'Informations sur les produits'!$A$3:$H$10000,8,FALSE),"0")</f>
        <v>0</v>
      </c>
      <c r="N14561" s="8"/>
      <c r="O14561" s="33" t="str">
        <f>IFERROR(VLOOKUP($M14561,'Informations sur les produits'!$A$3:$H$10000,8,FALSE),"0")</f>
        <v>0</v>
      </c>
      <c r="P14561" s="33">
        <f t="shared" si="908"/>
        <v>0</v>
      </c>
      <c r="Q14561" s="31" t="str">
        <f t="shared" si="909"/>
        <v/>
      </c>
      <c r="R14561" s="32" t="str">
        <f>IFERROR(VLOOKUP($D14561,'Informations sur les produits'!$A$3:$B$15000,2,FALSE),"")</f>
        <v/>
      </c>
      <c r="V14561">
        <f t="shared" si="910"/>
        <v>0</v>
      </c>
      <c r="W14561">
        <f t="shared" si="911"/>
        <v>0</v>
      </c>
    </row>
    <row r="14562" spans="5:23" x14ac:dyDescent="0.25">
      <c r="E14562" s="4"/>
      <c r="F14562" s="4"/>
      <c r="G14562" s="33" t="str">
        <f>IFERROR(VLOOKUP($D14562,'Informations sur les produits'!$A$3:$H$10000,8,FALSE),"0")</f>
        <v>0</v>
      </c>
      <c r="K14562" s="4"/>
      <c r="L14562" s="33" t="str">
        <f>IFERROR(VLOOKUP($J14562,'Informations sur les produits'!$A$3:$H$10000,8,FALSE),"0")</f>
        <v>0</v>
      </c>
      <c r="N14562" s="8"/>
      <c r="O14562" s="33" t="str">
        <f>IFERROR(VLOOKUP($M14562,'Informations sur les produits'!$A$3:$H$10000,8,FALSE),"0")</f>
        <v>0</v>
      </c>
      <c r="P14562" s="33">
        <f t="shared" si="908"/>
        <v>0</v>
      </c>
      <c r="Q14562" s="31" t="str">
        <f t="shared" si="909"/>
        <v/>
      </c>
      <c r="R14562" s="32" t="str">
        <f>IFERROR(VLOOKUP($D14562,'Informations sur les produits'!$A$3:$B$15000,2,FALSE),"")</f>
        <v/>
      </c>
      <c r="V14562">
        <f t="shared" si="910"/>
        <v>0</v>
      </c>
      <c r="W14562">
        <f t="shared" si="911"/>
        <v>0</v>
      </c>
    </row>
    <row r="14563" spans="5:23" x14ac:dyDescent="0.25">
      <c r="E14563" s="4"/>
      <c r="F14563" s="4"/>
      <c r="G14563" s="33" t="str">
        <f>IFERROR(VLOOKUP($D14563,'Informations sur les produits'!$A$3:$H$10000,8,FALSE),"0")</f>
        <v>0</v>
      </c>
      <c r="K14563" s="4"/>
      <c r="L14563" s="33" t="str">
        <f>IFERROR(VLOOKUP($J14563,'Informations sur les produits'!$A$3:$H$10000,8,FALSE),"0")</f>
        <v>0</v>
      </c>
      <c r="N14563" s="8"/>
      <c r="O14563" s="33" t="str">
        <f>IFERROR(VLOOKUP($M14563,'Informations sur les produits'!$A$3:$H$10000,8,FALSE),"0")</f>
        <v>0</v>
      </c>
      <c r="P14563" s="33">
        <f t="shared" si="908"/>
        <v>0</v>
      </c>
      <c r="Q14563" s="31" t="str">
        <f t="shared" si="909"/>
        <v/>
      </c>
      <c r="R14563" s="32" t="str">
        <f>IFERROR(VLOOKUP($D14563,'Informations sur les produits'!$A$3:$B$15000,2,FALSE),"")</f>
        <v/>
      </c>
      <c r="V14563">
        <f t="shared" si="910"/>
        <v>0</v>
      </c>
      <c r="W14563">
        <f t="shared" si="911"/>
        <v>0</v>
      </c>
    </row>
    <row r="14564" spans="5:23" x14ac:dyDescent="0.25">
      <c r="E14564" s="4"/>
      <c r="F14564" s="4"/>
      <c r="G14564" s="33" t="str">
        <f>IFERROR(VLOOKUP($D14564,'Informations sur les produits'!$A$3:$H$10000,8,FALSE),"0")</f>
        <v>0</v>
      </c>
      <c r="K14564" s="4"/>
      <c r="L14564" s="33" t="str">
        <f>IFERROR(VLOOKUP($J14564,'Informations sur les produits'!$A$3:$H$10000,8,FALSE),"0")</f>
        <v>0</v>
      </c>
      <c r="N14564" s="8"/>
      <c r="O14564" s="33" t="str">
        <f>IFERROR(VLOOKUP($M14564,'Informations sur les produits'!$A$3:$H$10000,8,FALSE),"0")</f>
        <v>0</v>
      </c>
      <c r="P14564" s="33">
        <f t="shared" si="908"/>
        <v>0</v>
      </c>
      <c r="Q14564" s="31" t="str">
        <f t="shared" si="909"/>
        <v/>
      </c>
      <c r="R14564" s="32" t="str">
        <f>IFERROR(VLOOKUP($D14564,'Informations sur les produits'!$A$3:$B$15000,2,FALSE),"")</f>
        <v/>
      </c>
      <c r="V14564">
        <f t="shared" si="910"/>
        <v>0</v>
      </c>
      <c r="W14564">
        <f t="shared" si="911"/>
        <v>0</v>
      </c>
    </row>
    <row r="14565" spans="5:23" x14ac:dyDescent="0.25">
      <c r="E14565" s="4"/>
      <c r="F14565" s="4"/>
      <c r="G14565" s="33" t="str">
        <f>IFERROR(VLOOKUP($D14565,'Informations sur les produits'!$A$3:$H$10000,8,FALSE),"0")</f>
        <v>0</v>
      </c>
      <c r="K14565" s="4"/>
      <c r="L14565" s="33" t="str">
        <f>IFERROR(VLOOKUP($J14565,'Informations sur les produits'!$A$3:$H$10000,8,FALSE),"0")</f>
        <v>0</v>
      </c>
      <c r="N14565" s="8"/>
      <c r="O14565" s="33" t="str">
        <f>IFERROR(VLOOKUP($M14565,'Informations sur les produits'!$A$3:$H$10000,8,FALSE),"0")</f>
        <v>0</v>
      </c>
      <c r="P14565" s="33">
        <f t="shared" si="908"/>
        <v>0</v>
      </c>
      <c r="Q14565" s="31" t="str">
        <f t="shared" si="909"/>
        <v/>
      </c>
      <c r="R14565" s="32" t="str">
        <f>IFERROR(VLOOKUP($D14565,'Informations sur les produits'!$A$3:$B$15000,2,FALSE),"")</f>
        <v/>
      </c>
      <c r="V14565">
        <f t="shared" si="910"/>
        <v>0</v>
      </c>
      <c r="W14565">
        <f t="shared" si="911"/>
        <v>0</v>
      </c>
    </row>
    <row r="14566" spans="5:23" x14ac:dyDescent="0.25">
      <c r="E14566" s="4"/>
      <c r="F14566" s="4"/>
      <c r="G14566" s="33" t="str">
        <f>IFERROR(VLOOKUP($D14566,'Informations sur les produits'!$A$3:$H$10000,8,FALSE),"0")</f>
        <v>0</v>
      </c>
      <c r="K14566" s="4"/>
      <c r="L14566" s="33" t="str">
        <f>IFERROR(VLOOKUP($J14566,'Informations sur les produits'!$A$3:$H$10000,8,FALSE),"0")</f>
        <v>0</v>
      </c>
      <c r="N14566" s="8"/>
      <c r="O14566" s="33" t="str">
        <f>IFERROR(VLOOKUP($M14566,'Informations sur les produits'!$A$3:$H$10000,8,FALSE),"0")</f>
        <v>0</v>
      </c>
      <c r="P14566" s="33">
        <f t="shared" si="908"/>
        <v>0</v>
      </c>
      <c r="Q14566" s="31" t="str">
        <f t="shared" si="909"/>
        <v/>
      </c>
      <c r="R14566" s="32" t="str">
        <f>IFERROR(VLOOKUP($D14566,'Informations sur les produits'!$A$3:$B$15000,2,FALSE),"")</f>
        <v/>
      </c>
      <c r="V14566">
        <f t="shared" si="910"/>
        <v>0</v>
      </c>
      <c r="W14566">
        <f t="shared" si="911"/>
        <v>0</v>
      </c>
    </row>
    <row r="14567" spans="5:23" x14ac:dyDescent="0.25">
      <c r="E14567" s="4"/>
      <c r="F14567" s="4"/>
      <c r="G14567" s="33" t="str">
        <f>IFERROR(VLOOKUP($D14567,'Informations sur les produits'!$A$3:$H$10000,8,FALSE),"0")</f>
        <v>0</v>
      </c>
      <c r="K14567" s="4"/>
      <c r="L14567" s="33" t="str">
        <f>IFERROR(VLOOKUP($J14567,'Informations sur les produits'!$A$3:$H$10000,8,FALSE),"0")</f>
        <v>0</v>
      </c>
      <c r="N14567" s="8"/>
      <c r="O14567" s="33" t="str">
        <f>IFERROR(VLOOKUP($M14567,'Informations sur les produits'!$A$3:$H$10000,8,FALSE),"0")</f>
        <v>0</v>
      </c>
      <c r="P14567" s="33">
        <f t="shared" si="908"/>
        <v>0</v>
      </c>
      <c r="Q14567" s="31" t="str">
        <f t="shared" si="909"/>
        <v/>
      </c>
      <c r="R14567" s="32" t="str">
        <f>IFERROR(VLOOKUP($D14567,'Informations sur les produits'!$A$3:$B$15000,2,FALSE),"")</f>
        <v/>
      </c>
      <c r="V14567">
        <f t="shared" si="910"/>
        <v>0</v>
      </c>
      <c r="W14567">
        <f t="shared" si="911"/>
        <v>0</v>
      </c>
    </row>
    <row r="14568" spans="5:23" x14ac:dyDescent="0.25">
      <c r="E14568" s="4"/>
      <c r="F14568" s="4"/>
      <c r="G14568" s="33" t="str">
        <f>IFERROR(VLOOKUP($D14568,'Informations sur les produits'!$A$3:$H$10000,8,FALSE),"0")</f>
        <v>0</v>
      </c>
      <c r="K14568" s="4"/>
      <c r="L14568" s="33" t="str">
        <f>IFERROR(VLOOKUP($J14568,'Informations sur les produits'!$A$3:$H$10000,8,FALSE),"0")</f>
        <v>0</v>
      </c>
      <c r="N14568" s="8"/>
      <c r="O14568" s="33" t="str">
        <f>IFERROR(VLOOKUP($M14568,'Informations sur les produits'!$A$3:$H$10000,8,FALSE),"0")</f>
        <v>0</v>
      </c>
      <c r="P14568" s="33">
        <f t="shared" si="908"/>
        <v>0</v>
      </c>
      <c r="Q14568" s="31" t="str">
        <f t="shared" si="909"/>
        <v/>
      </c>
      <c r="R14568" s="32" t="str">
        <f>IFERROR(VLOOKUP($D14568,'Informations sur les produits'!$A$3:$B$15000,2,FALSE),"")</f>
        <v/>
      </c>
      <c r="V14568">
        <f t="shared" si="910"/>
        <v>0</v>
      </c>
      <c r="W14568">
        <f t="shared" si="911"/>
        <v>0</v>
      </c>
    </row>
    <row r="14569" spans="5:23" x14ac:dyDescent="0.25">
      <c r="E14569" s="4"/>
      <c r="F14569" s="4"/>
      <c r="G14569" s="33" t="str">
        <f>IFERROR(VLOOKUP($D14569,'Informations sur les produits'!$A$3:$H$10000,8,FALSE),"0")</f>
        <v>0</v>
      </c>
      <c r="K14569" s="4"/>
      <c r="L14569" s="33" t="str">
        <f>IFERROR(VLOOKUP($J14569,'Informations sur les produits'!$A$3:$H$10000,8,FALSE),"0")</f>
        <v>0</v>
      </c>
      <c r="N14569" s="8"/>
      <c r="O14569" s="33" t="str">
        <f>IFERROR(VLOOKUP($M14569,'Informations sur les produits'!$A$3:$H$10000,8,FALSE),"0")</f>
        <v>0</v>
      </c>
      <c r="P14569" s="33">
        <f t="shared" si="908"/>
        <v>0</v>
      </c>
      <c r="Q14569" s="31" t="str">
        <f t="shared" si="909"/>
        <v/>
      </c>
      <c r="R14569" s="32" t="str">
        <f>IFERROR(VLOOKUP($D14569,'Informations sur les produits'!$A$3:$B$15000,2,FALSE),"")</f>
        <v/>
      </c>
      <c r="V14569">
        <f t="shared" si="910"/>
        <v>0</v>
      </c>
      <c r="W14569">
        <f t="shared" si="911"/>
        <v>0</v>
      </c>
    </row>
    <row r="14570" spans="5:23" x14ac:dyDescent="0.25">
      <c r="E14570" s="4"/>
      <c r="F14570" s="4"/>
      <c r="G14570" s="33" t="str">
        <f>IFERROR(VLOOKUP($D14570,'Informations sur les produits'!$A$3:$H$10000,8,FALSE),"0")</f>
        <v>0</v>
      </c>
      <c r="K14570" s="4"/>
      <c r="L14570" s="33" t="str">
        <f>IFERROR(VLOOKUP($J14570,'Informations sur les produits'!$A$3:$H$10000,8,FALSE),"0")</f>
        <v>0</v>
      </c>
      <c r="N14570" s="8"/>
      <c r="O14570" s="33" t="str">
        <f>IFERROR(VLOOKUP($M14570,'Informations sur les produits'!$A$3:$H$10000,8,FALSE),"0")</f>
        <v>0</v>
      </c>
      <c r="P14570" s="33">
        <f t="shared" si="908"/>
        <v>0</v>
      </c>
      <c r="Q14570" s="31" t="str">
        <f t="shared" si="909"/>
        <v/>
      </c>
      <c r="R14570" s="32" t="str">
        <f>IFERROR(VLOOKUP($D14570,'Informations sur les produits'!$A$3:$B$15000,2,FALSE),"")</f>
        <v/>
      </c>
      <c r="V14570">
        <f t="shared" si="910"/>
        <v>0</v>
      </c>
      <c r="W14570">
        <f t="shared" si="911"/>
        <v>0</v>
      </c>
    </row>
    <row r="14571" spans="5:23" x14ac:dyDescent="0.25">
      <c r="E14571" s="4"/>
      <c r="F14571" s="4"/>
      <c r="G14571" s="33" t="str">
        <f>IFERROR(VLOOKUP($D14571,'Informations sur les produits'!$A$3:$H$10000,8,FALSE),"0")</f>
        <v>0</v>
      </c>
      <c r="K14571" s="4"/>
      <c r="L14571" s="33" t="str">
        <f>IFERROR(VLOOKUP($J14571,'Informations sur les produits'!$A$3:$H$10000,8,FALSE),"0")</f>
        <v>0</v>
      </c>
      <c r="N14571" s="8"/>
      <c r="O14571" s="33" t="str">
        <f>IFERROR(VLOOKUP($M14571,'Informations sur les produits'!$A$3:$H$10000,8,FALSE),"0")</f>
        <v>0</v>
      </c>
      <c r="P14571" s="33">
        <f t="shared" si="908"/>
        <v>0</v>
      </c>
      <c r="Q14571" s="31" t="str">
        <f t="shared" si="909"/>
        <v/>
      </c>
      <c r="R14571" s="32" t="str">
        <f>IFERROR(VLOOKUP($D14571,'Informations sur les produits'!$A$3:$B$15000,2,FALSE),"")</f>
        <v/>
      </c>
      <c r="V14571">
        <f t="shared" si="910"/>
        <v>0</v>
      </c>
      <c r="W14571">
        <f t="shared" si="911"/>
        <v>0</v>
      </c>
    </row>
    <row r="14572" spans="5:23" x14ac:dyDescent="0.25">
      <c r="E14572" s="4"/>
      <c r="F14572" s="4"/>
      <c r="G14572" s="33" t="str">
        <f>IFERROR(VLOOKUP($D14572,'Informations sur les produits'!$A$3:$H$10000,8,FALSE),"0")</f>
        <v>0</v>
      </c>
      <c r="K14572" s="4"/>
      <c r="L14572" s="33" t="str">
        <f>IFERROR(VLOOKUP($J14572,'Informations sur les produits'!$A$3:$H$10000,8,FALSE),"0")</f>
        <v>0</v>
      </c>
      <c r="N14572" s="8"/>
      <c r="O14572" s="33" t="str">
        <f>IFERROR(VLOOKUP($M14572,'Informations sur les produits'!$A$3:$H$10000,8,FALSE),"0")</f>
        <v>0</v>
      </c>
      <c r="P14572" s="33">
        <f t="shared" si="908"/>
        <v>0</v>
      </c>
      <c r="Q14572" s="31" t="str">
        <f t="shared" si="909"/>
        <v/>
      </c>
      <c r="R14572" s="32" t="str">
        <f>IFERROR(VLOOKUP($D14572,'Informations sur les produits'!$A$3:$B$15000,2,FALSE),"")</f>
        <v/>
      </c>
      <c r="V14572">
        <f t="shared" si="910"/>
        <v>0</v>
      </c>
      <c r="W14572">
        <f t="shared" si="911"/>
        <v>0</v>
      </c>
    </row>
    <row r="14573" spans="5:23" x14ac:dyDescent="0.25">
      <c r="E14573" s="4"/>
      <c r="F14573" s="4"/>
      <c r="G14573" s="33" t="str">
        <f>IFERROR(VLOOKUP($D14573,'Informations sur les produits'!$A$3:$H$10000,8,FALSE),"0")</f>
        <v>0</v>
      </c>
      <c r="K14573" s="4"/>
      <c r="L14573" s="33" t="str">
        <f>IFERROR(VLOOKUP($J14573,'Informations sur les produits'!$A$3:$H$10000,8,FALSE),"0")</f>
        <v>0</v>
      </c>
      <c r="N14573" s="8"/>
      <c r="O14573" s="33" t="str">
        <f>IFERROR(VLOOKUP($M14573,'Informations sur les produits'!$A$3:$H$10000,8,FALSE),"0")</f>
        <v>0</v>
      </c>
      <c r="P14573" s="33">
        <f t="shared" si="908"/>
        <v>0</v>
      </c>
      <c r="Q14573" s="31" t="str">
        <f t="shared" si="909"/>
        <v/>
      </c>
      <c r="R14573" s="32" t="str">
        <f>IFERROR(VLOOKUP($D14573,'Informations sur les produits'!$A$3:$B$15000,2,FALSE),"")</f>
        <v/>
      </c>
      <c r="V14573">
        <f t="shared" si="910"/>
        <v>0</v>
      </c>
      <c r="W14573">
        <f t="shared" si="911"/>
        <v>0</v>
      </c>
    </row>
    <row r="14574" spans="5:23" x14ac:dyDescent="0.25">
      <c r="E14574" s="4"/>
      <c r="F14574" s="4"/>
      <c r="G14574" s="33" t="str">
        <f>IFERROR(VLOOKUP($D14574,'Informations sur les produits'!$A$3:$H$10000,8,FALSE),"0")</f>
        <v>0</v>
      </c>
      <c r="K14574" s="4"/>
      <c r="L14574" s="33" t="str">
        <f>IFERROR(VLOOKUP($J14574,'Informations sur les produits'!$A$3:$H$10000,8,FALSE),"0")</f>
        <v>0</v>
      </c>
      <c r="N14574" s="8"/>
      <c r="O14574" s="33" t="str">
        <f>IFERROR(VLOOKUP($M14574,'Informations sur les produits'!$A$3:$H$10000,8,FALSE),"0")</f>
        <v>0</v>
      </c>
      <c r="P14574" s="33">
        <f t="shared" si="908"/>
        <v>0</v>
      </c>
      <c r="Q14574" s="31" t="str">
        <f t="shared" si="909"/>
        <v/>
      </c>
      <c r="R14574" s="32" t="str">
        <f>IFERROR(VLOOKUP($D14574,'Informations sur les produits'!$A$3:$B$15000,2,FALSE),"")</f>
        <v/>
      </c>
      <c r="V14574">
        <f t="shared" si="910"/>
        <v>0</v>
      </c>
      <c r="W14574">
        <f t="shared" si="911"/>
        <v>0</v>
      </c>
    </row>
    <row r="14575" spans="5:23" x14ac:dyDescent="0.25">
      <c r="E14575" s="4"/>
      <c r="F14575" s="4"/>
      <c r="G14575" s="33" t="str">
        <f>IFERROR(VLOOKUP($D14575,'Informations sur les produits'!$A$3:$H$10000,8,FALSE),"0")</f>
        <v>0</v>
      </c>
      <c r="K14575" s="4"/>
      <c r="L14575" s="33" t="str">
        <f>IFERROR(VLOOKUP($J14575,'Informations sur les produits'!$A$3:$H$10000,8,FALSE),"0")</f>
        <v>0</v>
      </c>
      <c r="N14575" s="8"/>
      <c r="O14575" s="33" t="str">
        <f>IFERROR(VLOOKUP($M14575,'Informations sur les produits'!$A$3:$H$10000,8,FALSE),"0")</f>
        <v>0</v>
      </c>
      <c r="P14575" s="33">
        <f t="shared" si="908"/>
        <v>0</v>
      </c>
      <c r="Q14575" s="31" t="str">
        <f t="shared" si="909"/>
        <v/>
      </c>
      <c r="R14575" s="32" t="str">
        <f>IFERROR(VLOOKUP($D14575,'Informations sur les produits'!$A$3:$B$15000,2,FALSE),"")</f>
        <v/>
      </c>
      <c r="V14575">
        <f t="shared" si="910"/>
        <v>0</v>
      </c>
      <c r="W14575">
        <f t="shared" si="911"/>
        <v>0</v>
      </c>
    </row>
    <row r="14576" spans="5:23" x14ac:dyDescent="0.25">
      <c r="E14576" s="4"/>
      <c r="F14576" s="4"/>
      <c r="G14576" s="33" t="str">
        <f>IFERROR(VLOOKUP($D14576,'Informations sur les produits'!$A$3:$H$10000,8,FALSE),"0")</f>
        <v>0</v>
      </c>
      <c r="K14576" s="4"/>
      <c r="L14576" s="33" t="str">
        <f>IFERROR(VLOOKUP($J14576,'Informations sur les produits'!$A$3:$H$10000,8,FALSE),"0")</f>
        <v>0</v>
      </c>
      <c r="N14576" s="8"/>
      <c r="O14576" s="33" t="str">
        <f>IFERROR(VLOOKUP($M14576,'Informations sur les produits'!$A$3:$H$10000,8,FALSE),"0")</f>
        <v>0</v>
      </c>
      <c r="P14576" s="33">
        <f t="shared" si="908"/>
        <v>0</v>
      </c>
      <c r="Q14576" s="31" t="str">
        <f t="shared" si="909"/>
        <v/>
      </c>
      <c r="R14576" s="32" t="str">
        <f>IFERROR(VLOOKUP($D14576,'Informations sur les produits'!$A$3:$B$15000,2,FALSE),"")</f>
        <v/>
      </c>
      <c r="V14576">
        <f t="shared" si="910"/>
        <v>0</v>
      </c>
      <c r="W14576">
        <f t="shared" si="911"/>
        <v>0</v>
      </c>
    </row>
    <row r="14577" spans="5:23" x14ac:dyDescent="0.25">
      <c r="E14577" s="4"/>
      <c r="F14577" s="4"/>
      <c r="G14577" s="33" t="str">
        <f>IFERROR(VLOOKUP($D14577,'Informations sur les produits'!$A$3:$H$10000,8,FALSE),"0")</f>
        <v>0</v>
      </c>
      <c r="K14577" s="4"/>
      <c r="L14577" s="33" t="str">
        <f>IFERROR(VLOOKUP($J14577,'Informations sur les produits'!$A$3:$H$10000,8,FALSE),"0")</f>
        <v>0</v>
      </c>
      <c r="N14577" s="8"/>
      <c r="O14577" s="33" t="str">
        <f>IFERROR(VLOOKUP($M14577,'Informations sur les produits'!$A$3:$H$10000,8,FALSE),"0")</f>
        <v>0</v>
      </c>
      <c r="P14577" s="33">
        <f t="shared" si="908"/>
        <v>0</v>
      </c>
      <c r="Q14577" s="31" t="str">
        <f t="shared" si="909"/>
        <v/>
      </c>
      <c r="R14577" s="32" t="str">
        <f>IFERROR(VLOOKUP($D14577,'Informations sur les produits'!$A$3:$B$15000,2,FALSE),"")</f>
        <v/>
      </c>
      <c r="V14577">
        <f t="shared" si="910"/>
        <v>0</v>
      </c>
      <c r="W14577">
        <f t="shared" si="911"/>
        <v>0</v>
      </c>
    </row>
    <row r="14578" spans="5:23" x14ac:dyDescent="0.25">
      <c r="E14578" s="4"/>
      <c r="F14578" s="4"/>
      <c r="G14578" s="33" t="str">
        <f>IFERROR(VLOOKUP($D14578,'Informations sur les produits'!$A$3:$H$10000,8,FALSE),"0")</f>
        <v>0</v>
      </c>
      <c r="K14578" s="4"/>
      <c r="L14578" s="33" t="str">
        <f>IFERROR(VLOOKUP($J14578,'Informations sur les produits'!$A$3:$H$10000,8,FALSE),"0")</f>
        <v>0</v>
      </c>
      <c r="N14578" s="8"/>
      <c r="O14578" s="33" t="str">
        <f>IFERROR(VLOOKUP($M14578,'Informations sur les produits'!$A$3:$H$10000,8,FALSE),"0")</f>
        <v>0</v>
      </c>
      <c r="P14578" s="33">
        <f t="shared" si="908"/>
        <v>0</v>
      </c>
      <c r="Q14578" s="31" t="str">
        <f t="shared" si="909"/>
        <v/>
      </c>
      <c r="R14578" s="32" t="str">
        <f>IFERROR(VLOOKUP($D14578,'Informations sur les produits'!$A$3:$B$15000,2,FALSE),"")</f>
        <v/>
      </c>
      <c r="V14578">
        <f t="shared" si="910"/>
        <v>0</v>
      </c>
      <c r="W14578">
        <f t="shared" si="911"/>
        <v>0</v>
      </c>
    </row>
    <row r="14579" spans="5:23" x14ac:dyDescent="0.25">
      <c r="E14579" s="4"/>
      <c r="F14579" s="4"/>
      <c r="G14579" s="33" t="str">
        <f>IFERROR(VLOOKUP($D14579,'Informations sur les produits'!$A$3:$H$10000,8,FALSE),"0")</f>
        <v>0</v>
      </c>
      <c r="K14579" s="4"/>
      <c r="L14579" s="33" t="str">
        <f>IFERROR(VLOOKUP($J14579,'Informations sur les produits'!$A$3:$H$10000,8,FALSE),"0")</f>
        <v>0</v>
      </c>
      <c r="N14579" s="8"/>
      <c r="O14579" s="33" t="str">
        <f>IFERROR(VLOOKUP($M14579,'Informations sur les produits'!$A$3:$H$10000,8,FALSE),"0")</f>
        <v>0</v>
      </c>
      <c r="P14579" s="33">
        <f t="shared" si="908"/>
        <v>0</v>
      </c>
      <c r="Q14579" s="31" t="str">
        <f t="shared" si="909"/>
        <v/>
      </c>
      <c r="R14579" s="32" t="str">
        <f>IFERROR(VLOOKUP($D14579,'Informations sur les produits'!$A$3:$B$15000,2,FALSE),"")</f>
        <v/>
      </c>
      <c r="V14579">
        <f t="shared" si="910"/>
        <v>0</v>
      </c>
      <c r="W14579">
        <f t="shared" si="911"/>
        <v>0</v>
      </c>
    </row>
    <row r="14580" spans="5:23" x14ac:dyDescent="0.25">
      <c r="E14580" s="4"/>
      <c r="F14580" s="4"/>
      <c r="G14580" s="33" t="str">
        <f>IFERROR(VLOOKUP($D14580,'Informations sur les produits'!$A$3:$H$10000,8,FALSE),"0")</f>
        <v>0</v>
      </c>
      <c r="K14580" s="4"/>
      <c r="L14580" s="33" t="str">
        <f>IFERROR(VLOOKUP($J14580,'Informations sur les produits'!$A$3:$H$10000,8,FALSE),"0")</f>
        <v>0</v>
      </c>
      <c r="N14580" s="8"/>
      <c r="O14580" s="33" t="str">
        <f>IFERROR(VLOOKUP($M14580,'Informations sur les produits'!$A$3:$H$10000,8,FALSE),"0")</f>
        <v>0</v>
      </c>
      <c r="P14580" s="33">
        <f t="shared" si="908"/>
        <v>0</v>
      </c>
      <c r="Q14580" s="31" t="str">
        <f t="shared" si="909"/>
        <v/>
      </c>
      <c r="R14580" s="32" t="str">
        <f>IFERROR(VLOOKUP($D14580,'Informations sur les produits'!$A$3:$B$15000,2,FALSE),"")</f>
        <v/>
      </c>
      <c r="V14580">
        <f t="shared" si="910"/>
        <v>0</v>
      </c>
      <c r="W14580">
        <f t="shared" si="911"/>
        <v>0</v>
      </c>
    </row>
    <row r="14581" spans="5:23" x14ac:dyDescent="0.25">
      <c r="E14581" s="4"/>
      <c r="F14581" s="4"/>
      <c r="G14581" s="33" t="str">
        <f>IFERROR(VLOOKUP($D14581,'Informations sur les produits'!$A$3:$H$10000,8,FALSE),"0")</f>
        <v>0</v>
      </c>
      <c r="K14581" s="4"/>
      <c r="L14581" s="33" t="str">
        <f>IFERROR(VLOOKUP($J14581,'Informations sur les produits'!$A$3:$H$10000,8,FALSE),"0")</f>
        <v>0</v>
      </c>
      <c r="N14581" s="8"/>
      <c r="O14581" s="33" t="str">
        <f>IFERROR(VLOOKUP($M14581,'Informations sur les produits'!$A$3:$H$10000,8,FALSE),"0")</f>
        <v>0</v>
      </c>
      <c r="P14581" s="33">
        <f t="shared" si="908"/>
        <v>0</v>
      </c>
      <c r="Q14581" s="31" t="str">
        <f t="shared" si="909"/>
        <v/>
      </c>
      <c r="R14581" s="32" t="str">
        <f>IFERROR(VLOOKUP($D14581,'Informations sur les produits'!$A$3:$B$15000,2,FALSE),"")</f>
        <v/>
      </c>
      <c r="V14581">
        <f t="shared" si="910"/>
        <v>0</v>
      </c>
      <c r="W14581">
        <f t="shared" si="911"/>
        <v>0</v>
      </c>
    </row>
    <row r="14582" spans="5:23" x14ac:dyDescent="0.25">
      <c r="E14582" s="4"/>
      <c r="F14582" s="4"/>
      <c r="G14582" s="33" t="str">
        <f>IFERROR(VLOOKUP($D14582,'Informations sur les produits'!$A$3:$H$10000,8,FALSE),"0")</f>
        <v>0</v>
      </c>
      <c r="K14582" s="4"/>
      <c r="L14582" s="33" t="str">
        <f>IFERROR(VLOOKUP($J14582,'Informations sur les produits'!$A$3:$H$10000,8,FALSE),"0")</f>
        <v>0</v>
      </c>
      <c r="N14582" s="8"/>
      <c r="O14582" s="33" t="str">
        <f>IFERROR(VLOOKUP($M14582,'Informations sur les produits'!$A$3:$H$10000,8,FALSE),"0")</f>
        <v>0</v>
      </c>
      <c r="P14582" s="33">
        <f t="shared" si="908"/>
        <v>0</v>
      </c>
      <c r="Q14582" s="31" t="str">
        <f t="shared" si="909"/>
        <v/>
      </c>
      <c r="R14582" s="32" t="str">
        <f>IFERROR(VLOOKUP($D14582,'Informations sur les produits'!$A$3:$B$15000,2,FALSE),"")</f>
        <v/>
      </c>
      <c r="V14582">
        <f t="shared" si="910"/>
        <v>0</v>
      </c>
      <c r="W14582">
        <f t="shared" si="911"/>
        <v>0</v>
      </c>
    </row>
    <row r="14583" spans="5:23" x14ac:dyDescent="0.25">
      <c r="E14583" s="4"/>
      <c r="F14583" s="4"/>
      <c r="G14583" s="33" t="str">
        <f>IFERROR(VLOOKUP($D14583,'Informations sur les produits'!$A$3:$H$10000,8,FALSE),"0")</f>
        <v>0</v>
      </c>
      <c r="K14583" s="4"/>
      <c r="L14583" s="33" t="str">
        <f>IFERROR(VLOOKUP($J14583,'Informations sur les produits'!$A$3:$H$10000,8,FALSE),"0")</f>
        <v>0</v>
      </c>
      <c r="N14583" s="8"/>
      <c r="O14583" s="33" t="str">
        <f>IFERROR(VLOOKUP($M14583,'Informations sur les produits'!$A$3:$H$10000,8,FALSE),"0")</f>
        <v>0</v>
      </c>
      <c r="P14583" s="33">
        <f t="shared" si="908"/>
        <v>0</v>
      </c>
      <c r="Q14583" s="31" t="str">
        <f t="shared" si="909"/>
        <v/>
      </c>
      <c r="R14583" s="32" t="str">
        <f>IFERROR(VLOOKUP($D14583,'Informations sur les produits'!$A$3:$B$15000,2,FALSE),"")</f>
        <v/>
      </c>
      <c r="V14583">
        <f t="shared" si="910"/>
        <v>0</v>
      </c>
      <c r="W14583">
        <f t="shared" si="911"/>
        <v>0</v>
      </c>
    </row>
    <row r="14584" spans="5:23" x14ac:dyDescent="0.25">
      <c r="E14584" s="4"/>
      <c r="F14584" s="4"/>
      <c r="G14584" s="33" t="str">
        <f>IFERROR(VLOOKUP($D14584,'Informations sur les produits'!$A$3:$H$10000,8,FALSE),"0")</f>
        <v>0</v>
      </c>
      <c r="K14584" s="4"/>
      <c r="L14584" s="33" t="str">
        <f>IFERROR(VLOOKUP($J14584,'Informations sur les produits'!$A$3:$H$10000,8,FALSE),"0")</f>
        <v>0</v>
      </c>
      <c r="N14584" s="8"/>
      <c r="O14584" s="33" t="str">
        <f>IFERROR(VLOOKUP($M14584,'Informations sur les produits'!$A$3:$H$10000,8,FALSE),"0")</f>
        <v>0</v>
      </c>
      <c r="P14584" s="33">
        <f t="shared" si="908"/>
        <v>0</v>
      </c>
      <c r="Q14584" s="31" t="str">
        <f t="shared" si="909"/>
        <v/>
      </c>
      <c r="R14584" s="32" t="str">
        <f>IFERROR(VLOOKUP($D14584,'Informations sur les produits'!$A$3:$B$15000,2,FALSE),"")</f>
        <v/>
      </c>
      <c r="V14584">
        <f t="shared" si="910"/>
        <v>0</v>
      </c>
      <c r="W14584">
        <f t="shared" si="911"/>
        <v>0</v>
      </c>
    </row>
    <row r="14585" spans="5:23" x14ac:dyDescent="0.25">
      <c r="E14585" s="4"/>
      <c r="F14585" s="4"/>
      <c r="G14585" s="33" t="str">
        <f>IFERROR(VLOOKUP($D14585,'Informations sur les produits'!$A$3:$H$10000,8,FALSE),"0")</f>
        <v>0</v>
      </c>
      <c r="K14585" s="4"/>
      <c r="L14585" s="33" t="str">
        <f>IFERROR(VLOOKUP($J14585,'Informations sur les produits'!$A$3:$H$10000,8,FALSE),"0")</f>
        <v>0</v>
      </c>
      <c r="N14585" s="8"/>
      <c r="O14585" s="33" t="str">
        <f>IFERROR(VLOOKUP($M14585,'Informations sur les produits'!$A$3:$H$10000,8,FALSE),"0")</f>
        <v>0</v>
      </c>
      <c r="P14585" s="33">
        <f t="shared" si="908"/>
        <v>0</v>
      </c>
      <c r="Q14585" s="31" t="str">
        <f t="shared" si="909"/>
        <v/>
      </c>
      <c r="R14585" s="32" t="str">
        <f>IFERROR(VLOOKUP($D14585,'Informations sur les produits'!$A$3:$B$15000,2,FALSE),"")</f>
        <v/>
      </c>
      <c r="V14585">
        <f t="shared" si="910"/>
        <v>0</v>
      </c>
      <c r="W14585">
        <f t="shared" si="911"/>
        <v>0</v>
      </c>
    </row>
    <row r="14586" spans="5:23" x14ac:dyDescent="0.25">
      <c r="E14586" s="4"/>
      <c r="F14586" s="4"/>
      <c r="G14586" s="33" t="str">
        <f>IFERROR(VLOOKUP($D14586,'Informations sur les produits'!$A$3:$H$10000,8,FALSE),"0")</f>
        <v>0</v>
      </c>
      <c r="K14586" s="4"/>
      <c r="L14586" s="33" t="str">
        <f>IFERROR(VLOOKUP($J14586,'Informations sur les produits'!$A$3:$H$10000,8,FALSE),"0")</f>
        <v>0</v>
      </c>
      <c r="N14586" s="8"/>
      <c r="O14586" s="33" t="str">
        <f>IFERROR(VLOOKUP($M14586,'Informations sur les produits'!$A$3:$H$10000,8,FALSE),"0")</f>
        <v>0</v>
      </c>
      <c r="P14586" s="33">
        <f t="shared" si="908"/>
        <v>0</v>
      </c>
      <c r="Q14586" s="31" t="str">
        <f t="shared" si="909"/>
        <v/>
      </c>
      <c r="R14586" s="32" t="str">
        <f>IFERROR(VLOOKUP($D14586,'Informations sur les produits'!$A$3:$B$15000,2,FALSE),"")</f>
        <v/>
      </c>
      <c r="V14586">
        <f t="shared" si="910"/>
        <v>0</v>
      </c>
      <c r="W14586">
        <f t="shared" si="911"/>
        <v>0</v>
      </c>
    </row>
    <row r="14587" spans="5:23" x14ac:dyDescent="0.25">
      <c r="E14587" s="4"/>
      <c r="F14587" s="4"/>
      <c r="G14587" s="33" t="str">
        <f>IFERROR(VLOOKUP($D14587,'Informations sur les produits'!$A$3:$H$10000,8,FALSE),"0")</f>
        <v>0</v>
      </c>
      <c r="K14587" s="4"/>
      <c r="L14587" s="33" t="str">
        <f>IFERROR(VLOOKUP($J14587,'Informations sur les produits'!$A$3:$H$10000,8,FALSE),"0")</f>
        <v>0</v>
      </c>
      <c r="N14587" s="8"/>
      <c r="O14587" s="33" t="str">
        <f>IFERROR(VLOOKUP($M14587,'Informations sur les produits'!$A$3:$H$10000,8,FALSE),"0")</f>
        <v>0</v>
      </c>
      <c r="P14587" s="33">
        <f t="shared" si="908"/>
        <v>0</v>
      </c>
      <c r="Q14587" s="31" t="str">
        <f t="shared" si="909"/>
        <v/>
      </c>
      <c r="R14587" s="32" t="str">
        <f>IFERROR(VLOOKUP($D14587,'Informations sur les produits'!$A$3:$B$15000,2,FALSE),"")</f>
        <v/>
      </c>
      <c r="V14587">
        <f t="shared" si="910"/>
        <v>0</v>
      </c>
      <c r="W14587">
        <f t="shared" si="911"/>
        <v>0</v>
      </c>
    </row>
    <row r="14588" spans="5:23" x14ac:dyDescent="0.25">
      <c r="E14588" s="4"/>
      <c r="F14588" s="4"/>
      <c r="G14588" s="33" t="str">
        <f>IFERROR(VLOOKUP($D14588,'Informations sur les produits'!$A$3:$H$10000,8,FALSE),"0")</f>
        <v>0</v>
      </c>
      <c r="K14588" s="4"/>
      <c r="L14588" s="33" t="str">
        <f>IFERROR(VLOOKUP($J14588,'Informations sur les produits'!$A$3:$H$10000,8,FALSE),"0")</f>
        <v>0</v>
      </c>
      <c r="N14588" s="8"/>
      <c r="O14588" s="33" t="str">
        <f>IFERROR(VLOOKUP($M14588,'Informations sur les produits'!$A$3:$H$10000,8,FALSE),"0")</f>
        <v>0</v>
      </c>
      <c r="P14588" s="33">
        <f t="shared" si="908"/>
        <v>0</v>
      </c>
      <c r="Q14588" s="31" t="str">
        <f t="shared" si="909"/>
        <v/>
      </c>
      <c r="R14588" s="32" t="str">
        <f>IFERROR(VLOOKUP($D14588,'Informations sur les produits'!$A$3:$B$15000,2,FALSE),"")</f>
        <v/>
      </c>
      <c r="V14588">
        <f t="shared" si="910"/>
        <v>0</v>
      </c>
      <c r="W14588">
        <f t="shared" si="911"/>
        <v>0</v>
      </c>
    </row>
    <row r="14589" spans="5:23" x14ac:dyDescent="0.25">
      <c r="E14589" s="4"/>
      <c r="F14589" s="4"/>
      <c r="G14589" s="33" t="str">
        <f>IFERROR(VLOOKUP($D14589,'Informations sur les produits'!$A$3:$H$10000,8,FALSE),"0")</f>
        <v>0</v>
      </c>
      <c r="K14589" s="4"/>
      <c r="L14589" s="33" t="str">
        <f>IFERROR(VLOOKUP($J14589,'Informations sur les produits'!$A$3:$H$10000,8,FALSE),"0")</f>
        <v>0</v>
      </c>
      <c r="N14589" s="8"/>
      <c r="O14589" s="33" t="str">
        <f>IFERROR(VLOOKUP($M14589,'Informations sur les produits'!$A$3:$H$10000,8,FALSE),"0")</f>
        <v>0</v>
      </c>
      <c r="P14589" s="33">
        <f t="shared" si="908"/>
        <v>0</v>
      </c>
      <c r="Q14589" s="31" t="str">
        <f t="shared" si="909"/>
        <v/>
      </c>
      <c r="R14589" s="32" t="str">
        <f>IFERROR(VLOOKUP($D14589,'Informations sur les produits'!$A$3:$B$15000,2,FALSE),"")</f>
        <v/>
      </c>
      <c r="V14589">
        <f t="shared" si="910"/>
        <v>0</v>
      </c>
      <c r="W14589">
        <f t="shared" si="911"/>
        <v>0</v>
      </c>
    </row>
    <row r="14590" spans="5:23" x14ac:dyDescent="0.25">
      <c r="E14590" s="4"/>
      <c r="F14590" s="4"/>
      <c r="G14590" s="33" t="str">
        <f>IFERROR(VLOOKUP($D14590,'Informations sur les produits'!$A$3:$H$10000,8,FALSE),"0")</f>
        <v>0</v>
      </c>
      <c r="K14590" s="4"/>
      <c r="L14590" s="33" t="str">
        <f>IFERROR(VLOOKUP($J14590,'Informations sur les produits'!$A$3:$H$10000,8,FALSE),"0")</f>
        <v>0</v>
      </c>
      <c r="N14590" s="8"/>
      <c r="O14590" s="33" t="str">
        <f>IFERROR(VLOOKUP($M14590,'Informations sur les produits'!$A$3:$H$10000,8,FALSE),"0")</f>
        <v>0</v>
      </c>
      <c r="P14590" s="33">
        <f t="shared" si="908"/>
        <v>0</v>
      </c>
      <c r="Q14590" s="31" t="str">
        <f t="shared" si="909"/>
        <v/>
      </c>
      <c r="R14590" s="32" t="str">
        <f>IFERROR(VLOOKUP($D14590,'Informations sur les produits'!$A$3:$B$15000,2,FALSE),"")</f>
        <v/>
      </c>
      <c r="V14590">
        <f t="shared" si="910"/>
        <v>0</v>
      </c>
      <c r="W14590">
        <f t="shared" si="911"/>
        <v>0</v>
      </c>
    </row>
    <row r="14591" spans="5:23" x14ac:dyDescent="0.25">
      <c r="E14591" s="4"/>
      <c r="F14591" s="4"/>
      <c r="G14591" s="33" t="str">
        <f>IFERROR(VLOOKUP($D14591,'Informations sur les produits'!$A$3:$H$10000,8,FALSE),"0")</f>
        <v>0</v>
      </c>
      <c r="K14591" s="4"/>
      <c r="L14591" s="33" t="str">
        <f>IFERROR(VLOOKUP($J14591,'Informations sur les produits'!$A$3:$H$10000,8,FALSE),"0")</f>
        <v>0</v>
      </c>
      <c r="N14591" s="8"/>
      <c r="O14591" s="33" t="str">
        <f>IFERROR(VLOOKUP($M14591,'Informations sur les produits'!$A$3:$H$10000,8,FALSE),"0")</f>
        <v>0</v>
      </c>
      <c r="P14591" s="33">
        <f t="shared" si="908"/>
        <v>0</v>
      </c>
      <c r="Q14591" s="31" t="str">
        <f t="shared" si="909"/>
        <v/>
      </c>
      <c r="R14591" s="32" t="str">
        <f>IFERROR(VLOOKUP($D14591,'Informations sur les produits'!$A$3:$B$15000,2,FALSE),"")</f>
        <v/>
      </c>
      <c r="V14591">
        <f t="shared" si="910"/>
        <v>0</v>
      </c>
      <c r="W14591">
        <f t="shared" si="911"/>
        <v>0</v>
      </c>
    </row>
    <row r="14592" spans="5:23" x14ac:dyDescent="0.25">
      <c r="E14592" s="4"/>
      <c r="F14592" s="4"/>
      <c r="G14592" s="33" t="str">
        <f>IFERROR(VLOOKUP($D14592,'Informations sur les produits'!$A$3:$H$10000,8,FALSE),"0")</f>
        <v>0</v>
      </c>
      <c r="K14592" s="4"/>
      <c r="L14592" s="33" t="str">
        <f>IFERROR(VLOOKUP($J14592,'Informations sur les produits'!$A$3:$H$10000,8,FALSE),"0")</f>
        <v>0</v>
      </c>
      <c r="N14592" s="8"/>
      <c r="O14592" s="33" t="str">
        <f>IFERROR(VLOOKUP($M14592,'Informations sur les produits'!$A$3:$H$10000,8,FALSE),"0")</f>
        <v>0</v>
      </c>
      <c r="P14592" s="33">
        <f t="shared" si="908"/>
        <v>0</v>
      </c>
      <c r="Q14592" s="31" t="str">
        <f t="shared" si="909"/>
        <v/>
      </c>
      <c r="R14592" s="32" t="str">
        <f>IFERROR(VLOOKUP($D14592,'Informations sur les produits'!$A$3:$B$15000,2,FALSE),"")</f>
        <v/>
      </c>
      <c r="V14592">
        <f t="shared" si="910"/>
        <v>0</v>
      </c>
      <c r="W14592">
        <f t="shared" si="911"/>
        <v>0</v>
      </c>
    </row>
    <row r="14593" spans="5:23" x14ac:dyDescent="0.25">
      <c r="E14593" s="4"/>
      <c r="F14593" s="4"/>
      <c r="G14593" s="33" t="str">
        <f>IFERROR(VLOOKUP($D14593,'Informations sur les produits'!$A$3:$H$10000,8,FALSE),"0")</f>
        <v>0</v>
      </c>
      <c r="K14593" s="4"/>
      <c r="L14593" s="33" t="str">
        <f>IFERROR(VLOOKUP($J14593,'Informations sur les produits'!$A$3:$H$10000,8,FALSE),"0")</f>
        <v>0</v>
      </c>
      <c r="N14593" s="8"/>
      <c r="O14593" s="33" t="str">
        <f>IFERROR(VLOOKUP($M14593,'Informations sur les produits'!$A$3:$H$10000,8,FALSE),"0")</f>
        <v>0</v>
      </c>
      <c r="P14593" s="33">
        <f t="shared" si="908"/>
        <v>0</v>
      </c>
      <c r="Q14593" s="31" t="str">
        <f t="shared" si="909"/>
        <v/>
      </c>
      <c r="R14593" s="32" t="str">
        <f>IFERROR(VLOOKUP($D14593,'Informations sur les produits'!$A$3:$B$15000,2,FALSE),"")</f>
        <v/>
      </c>
      <c r="V14593">
        <f t="shared" si="910"/>
        <v>0</v>
      </c>
      <c r="W14593">
        <f t="shared" si="911"/>
        <v>0</v>
      </c>
    </row>
    <row r="14594" spans="5:23" x14ac:dyDescent="0.25">
      <c r="E14594" s="4"/>
      <c r="F14594" s="4"/>
      <c r="G14594" s="33" t="str">
        <f>IFERROR(VLOOKUP($D14594,'Informations sur les produits'!$A$3:$H$10000,8,FALSE),"0")</f>
        <v>0</v>
      </c>
      <c r="K14594" s="4"/>
      <c r="L14594" s="33" t="str">
        <f>IFERROR(VLOOKUP($J14594,'Informations sur les produits'!$A$3:$H$10000,8,FALSE),"0")</f>
        <v>0</v>
      </c>
      <c r="N14594" s="8"/>
      <c r="O14594" s="33" t="str">
        <f>IFERROR(VLOOKUP($M14594,'Informations sur les produits'!$A$3:$H$10000,8,FALSE),"0")</f>
        <v>0</v>
      </c>
      <c r="P14594" s="33">
        <f t="shared" si="908"/>
        <v>0</v>
      </c>
      <c r="Q14594" s="31" t="str">
        <f t="shared" si="909"/>
        <v/>
      </c>
      <c r="R14594" s="32" t="str">
        <f>IFERROR(VLOOKUP($D14594,'Informations sur les produits'!$A$3:$B$15000,2,FALSE),"")</f>
        <v/>
      </c>
      <c r="V14594">
        <f t="shared" si="910"/>
        <v>0</v>
      </c>
      <c r="W14594">
        <f t="shared" si="911"/>
        <v>0</v>
      </c>
    </row>
    <row r="14595" spans="5:23" x14ac:dyDescent="0.25">
      <c r="E14595" s="4"/>
      <c r="F14595" s="4"/>
      <c r="G14595" s="33" t="str">
        <f>IFERROR(VLOOKUP($D14595,'Informations sur les produits'!$A$3:$H$10000,8,FALSE),"0")</f>
        <v>0</v>
      </c>
      <c r="K14595" s="4"/>
      <c r="L14595" s="33" t="str">
        <f>IFERROR(VLOOKUP($J14595,'Informations sur les produits'!$A$3:$H$10000,8,FALSE),"0")</f>
        <v>0</v>
      </c>
      <c r="N14595" s="8"/>
      <c r="O14595" s="33" t="str">
        <f>IFERROR(VLOOKUP($M14595,'Informations sur les produits'!$A$3:$H$10000,8,FALSE),"0")</f>
        <v>0</v>
      </c>
      <c r="P14595" s="33">
        <f t="shared" si="908"/>
        <v>0</v>
      </c>
      <c r="Q14595" s="31" t="str">
        <f t="shared" si="909"/>
        <v/>
      </c>
      <c r="R14595" s="32" t="str">
        <f>IFERROR(VLOOKUP($D14595,'Informations sur les produits'!$A$3:$B$15000,2,FALSE),"")</f>
        <v/>
      </c>
      <c r="V14595">
        <f t="shared" si="910"/>
        <v>0</v>
      </c>
      <c r="W14595">
        <f t="shared" si="911"/>
        <v>0</v>
      </c>
    </row>
    <row r="14596" spans="5:23" x14ac:dyDescent="0.25">
      <c r="E14596" s="4"/>
      <c r="F14596" s="4"/>
      <c r="G14596" s="33" t="str">
        <f>IFERROR(VLOOKUP($D14596,'Informations sur les produits'!$A$3:$H$10000,8,FALSE),"0")</f>
        <v>0</v>
      </c>
      <c r="K14596" s="4"/>
      <c r="L14596" s="33" t="str">
        <f>IFERROR(VLOOKUP($J14596,'Informations sur les produits'!$A$3:$H$10000,8,FALSE),"0")</f>
        <v>0</v>
      </c>
      <c r="N14596" s="8"/>
      <c r="O14596" s="33" t="str">
        <f>IFERROR(VLOOKUP($M14596,'Informations sur les produits'!$A$3:$H$10000,8,FALSE),"0")</f>
        <v>0</v>
      </c>
      <c r="P14596" s="33">
        <f t="shared" ref="P14596:P14659" si="912">IFERROR((($E14596-$F14596)*$G14596+$K14596*$L14596+$N14596*$O14596),"")</f>
        <v>0</v>
      </c>
      <c r="Q14596" s="31" t="str">
        <f t="shared" ref="Q14596:Q14659" si="913">IFERROR((((($E14596-$F14596)*$G14596+$K14596*$L14596+$N14596*$O14596)*1000)/(($E14596-$F14596)+$K14596+$N14596)),"")</f>
        <v/>
      </c>
      <c r="R14596" s="32" t="str">
        <f>IFERROR(VLOOKUP($D14596,'Informations sur les produits'!$A$3:$B$15000,2,FALSE),"")</f>
        <v/>
      </c>
      <c r="V14596">
        <f t="shared" ref="V14596:V14659" si="914">IFERROR(P14596*1000,"")</f>
        <v>0</v>
      </c>
      <c r="W14596">
        <f t="shared" ref="W14596:W14659" si="915">IFERROR(($E14596-$F14596)+$K14596+$N14596,"")</f>
        <v>0</v>
      </c>
    </row>
    <row r="14597" spans="5:23" x14ac:dyDescent="0.25">
      <c r="E14597" s="4"/>
      <c r="F14597" s="4"/>
      <c r="G14597" s="33" t="str">
        <f>IFERROR(VLOOKUP($D14597,'Informations sur les produits'!$A$3:$H$10000,8,FALSE),"0")</f>
        <v>0</v>
      </c>
      <c r="K14597" s="4"/>
      <c r="L14597" s="33" t="str">
        <f>IFERROR(VLOOKUP($J14597,'Informations sur les produits'!$A$3:$H$10000,8,FALSE),"0")</f>
        <v>0</v>
      </c>
      <c r="N14597" s="8"/>
      <c r="O14597" s="33" t="str">
        <f>IFERROR(VLOOKUP($M14597,'Informations sur les produits'!$A$3:$H$10000,8,FALSE),"0")</f>
        <v>0</v>
      </c>
      <c r="P14597" s="33">
        <f t="shared" si="912"/>
        <v>0</v>
      </c>
      <c r="Q14597" s="31" t="str">
        <f t="shared" si="913"/>
        <v/>
      </c>
      <c r="R14597" s="32" t="str">
        <f>IFERROR(VLOOKUP($D14597,'Informations sur les produits'!$A$3:$B$15000,2,FALSE),"")</f>
        <v/>
      </c>
      <c r="V14597">
        <f t="shared" si="914"/>
        <v>0</v>
      </c>
      <c r="W14597">
        <f t="shared" si="915"/>
        <v>0</v>
      </c>
    </row>
    <row r="14598" spans="5:23" x14ac:dyDescent="0.25">
      <c r="E14598" s="4"/>
      <c r="F14598" s="4"/>
      <c r="G14598" s="33" t="str">
        <f>IFERROR(VLOOKUP($D14598,'Informations sur les produits'!$A$3:$H$10000,8,FALSE),"0")</f>
        <v>0</v>
      </c>
      <c r="K14598" s="4"/>
      <c r="L14598" s="33" t="str">
        <f>IFERROR(VLOOKUP($J14598,'Informations sur les produits'!$A$3:$H$10000,8,FALSE),"0")</f>
        <v>0</v>
      </c>
      <c r="N14598" s="8"/>
      <c r="O14598" s="33" t="str">
        <f>IFERROR(VLOOKUP($M14598,'Informations sur les produits'!$A$3:$H$10000,8,FALSE),"0")</f>
        <v>0</v>
      </c>
      <c r="P14598" s="33">
        <f t="shared" si="912"/>
        <v>0</v>
      </c>
      <c r="Q14598" s="31" t="str">
        <f t="shared" si="913"/>
        <v/>
      </c>
      <c r="R14598" s="32" t="str">
        <f>IFERROR(VLOOKUP($D14598,'Informations sur les produits'!$A$3:$B$15000,2,FALSE),"")</f>
        <v/>
      </c>
      <c r="V14598">
        <f t="shared" si="914"/>
        <v>0</v>
      </c>
      <c r="W14598">
        <f t="shared" si="915"/>
        <v>0</v>
      </c>
    </row>
    <row r="14599" spans="5:23" x14ac:dyDescent="0.25">
      <c r="E14599" s="4"/>
      <c r="F14599" s="4"/>
      <c r="G14599" s="33" t="str">
        <f>IFERROR(VLOOKUP($D14599,'Informations sur les produits'!$A$3:$H$10000,8,FALSE),"0")</f>
        <v>0</v>
      </c>
      <c r="K14599" s="4"/>
      <c r="L14599" s="33" t="str">
        <f>IFERROR(VLOOKUP($J14599,'Informations sur les produits'!$A$3:$H$10000,8,FALSE),"0")</f>
        <v>0</v>
      </c>
      <c r="N14599" s="8"/>
      <c r="O14599" s="33" t="str">
        <f>IFERROR(VLOOKUP($M14599,'Informations sur les produits'!$A$3:$H$10000,8,FALSE),"0")</f>
        <v>0</v>
      </c>
      <c r="P14599" s="33">
        <f t="shared" si="912"/>
        <v>0</v>
      </c>
      <c r="Q14599" s="31" t="str">
        <f t="shared" si="913"/>
        <v/>
      </c>
      <c r="R14599" s="32" t="str">
        <f>IFERROR(VLOOKUP($D14599,'Informations sur les produits'!$A$3:$B$15000,2,FALSE),"")</f>
        <v/>
      </c>
      <c r="V14599">
        <f t="shared" si="914"/>
        <v>0</v>
      </c>
      <c r="W14599">
        <f t="shared" si="915"/>
        <v>0</v>
      </c>
    </row>
    <row r="14600" spans="5:23" x14ac:dyDescent="0.25">
      <c r="E14600" s="4"/>
      <c r="F14600" s="4"/>
      <c r="G14600" s="33" t="str">
        <f>IFERROR(VLOOKUP($D14600,'Informations sur les produits'!$A$3:$H$10000,8,FALSE),"0")</f>
        <v>0</v>
      </c>
      <c r="K14600" s="4"/>
      <c r="L14600" s="33" t="str">
        <f>IFERROR(VLOOKUP($J14600,'Informations sur les produits'!$A$3:$H$10000,8,FALSE),"0")</f>
        <v>0</v>
      </c>
      <c r="N14600" s="8"/>
      <c r="O14600" s="33" t="str">
        <f>IFERROR(VLOOKUP($M14600,'Informations sur les produits'!$A$3:$H$10000,8,FALSE),"0")</f>
        <v>0</v>
      </c>
      <c r="P14600" s="33">
        <f t="shared" si="912"/>
        <v>0</v>
      </c>
      <c r="Q14600" s="31" t="str">
        <f t="shared" si="913"/>
        <v/>
      </c>
      <c r="R14600" s="32" t="str">
        <f>IFERROR(VLOOKUP($D14600,'Informations sur les produits'!$A$3:$B$15000,2,FALSE),"")</f>
        <v/>
      </c>
      <c r="V14600">
        <f t="shared" si="914"/>
        <v>0</v>
      </c>
      <c r="W14600">
        <f t="shared" si="915"/>
        <v>0</v>
      </c>
    </row>
    <row r="14601" spans="5:23" x14ac:dyDescent="0.25">
      <c r="E14601" s="4"/>
      <c r="F14601" s="4"/>
      <c r="G14601" s="33" t="str">
        <f>IFERROR(VLOOKUP($D14601,'Informations sur les produits'!$A$3:$H$10000,8,FALSE),"0")</f>
        <v>0</v>
      </c>
      <c r="K14601" s="4"/>
      <c r="L14601" s="33" t="str">
        <f>IFERROR(VLOOKUP($J14601,'Informations sur les produits'!$A$3:$H$10000,8,FALSE),"0")</f>
        <v>0</v>
      </c>
      <c r="N14601" s="8"/>
      <c r="O14601" s="33" t="str">
        <f>IFERROR(VLOOKUP($M14601,'Informations sur les produits'!$A$3:$H$10000,8,FALSE),"0")</f>
        <v>0</v>
      </c>
      <c r="P14601" s="33">
        <f t="shared" si="912"/>
        <v>0</v>
      </c>
      <c r="Q14601" s="31" t="str">
        <f t="shared" si="913"/>
        <v/>
      </c>
      <c r="R14601" s="32" t="str">
        <f>IFERROR(VLOOKUP($D14601,'Informations sur les produits'!$A$3:$B$15000,2,FALSE),"")</f>
        <v/>
      </c>
      <c r="V14601">
        <f t="shared" si="914"/>
        <v>0</v>
      </c>
      <c r="W14601">
        <f t="shared" si="915"/>
        <v>0</v>
      </c>
    </row>
    <row r="14602" spans="5:23" x14ac:dyDescent="0.25">
      <c r="E14602" s="4"/>
      <c r="F14602" s="4"/>
      <c r="G14602" s="33" t="str">
        <f>IFERROR(VLOOKUP($D14602,'Informations sur les produits'!$A$3:$H$10000,8,FALSE),"0")</f>
        <v>0</v>
      </c>
      <c r="K14602" s="4"/>
      <c r="L14602" s="33" t="str">
        <f>IFERROR(VLOOKUP($J14602,'Informations sur les produits'!$A$3:$H$10000,8,FALSE),"0")</f>
        <v>0</v>
      </c>
      <c r="N14602" s="8"/>
      <c r="O14602" s="33" t="str">
        <f>IFERROR(VLOOKUP($M14602,'Informations sur les produits'!$A$3:$H$10000,8,FALSE),"0")</f>
        <v>0</v>
      </c>
      <c r="P14602" s="33">
        <f t="shared" si="912"/>
        <v>0</v>
      </c>
      <c r="Q14602" s="31" t="str">
        <f t="shared" si="913"/>
        <v/>
      </c>
      <c r="R14602" s="32" t="str">
        <f>IFERROR(VLOOKUP($D14602,'Informations sur les produits'!$A$3:$B$15000,2,FALSE),"")</f>
        <v/>
      </c>
      <c r="V14602">
        <f t="shared" si="914"/>
        <v>0</v>
      </c>
      <c r="W14602">
        <f t="shared" si="915"/>
        <v>0</v>
      </c>
    </row>
    <row r="14603" spans="5:23" x14ac:dyDescent="0.25">
      <c r="E14603" s="4"/>
      <c r="F14603" s="4"/>
      <c r="G14603" s="33" t="str">
        <f>IFERROR(VLOOKUP($D14603,'Informations sur les produits'!$A$3:$H$10000,8,FALSE),"0")</f>
        <v>0</v>
      </c>
      <c r="K14603" s="4"/>
      <c r="L14603" s="33" t="str">
        <f>IFERROR(VLOOKUP($J14603,'Informations sur les produits'!$A$3:$H$10000,8,FALSE),"0")</f>
        <v>0</v>
      </c>
      <c r="N14603" s="8"/>
      <c r="O14603" s="33" t="str">
        <f>IFERROR(VLOOKUP($M14603,'Informations sur les produits'!$A$3:$H$10000,8,FALSE),"0")</f>
        <v>0</v>
      </c>
      <c r="P14603" s="33">
        <f t="shared" si="912"/>
        <v>0</v>
      </c>
      <c r="Q14603" s="31" t="str">
        <f t="shared" si="913"/>
        <v/>
      </c>
      <c r="R14603" s="32" t="str">
        <f>IFERROR(VLOOKUP($D14603,'Informations sur les produits'!$A$3:$B$15000,2,FALSE),"")</f>
        <v/>
      </c>
      <c r="V14603">
        <f t="shared" si="914"/>
        <v>0</v>
      </c>
      <c r="W14603">
        <f t="shared" si="915"/>
        <v>0</v>
      </c>
    </row>
    <row r="14604" spans="5:23" x14ac:dyDescent="0.25">
      <c r="E14604" s="4"/>
      <c r="F14604" s="4"/>
      <c r="G14604" s="33" t="str">
        <f>IFERROR(VLOOKUP($D14604,'Informations sur les produits'!$A$3:$H$10000,8,FALSE),"0")</f>
        <v>0</v>
      </c>
      <c r="K14604" s="4"/>
      <c r="L14604" s="33" t="str">
        <f>IFERROR(VLOOKUP($J14604,'Informations sur les produits'!$A$3:$H$10000,8,FALSE),"0")</f>
        <v>0</v>
      </c>
      <c r="N14604" s="8"/>
      <c r="O14604" s="33" t="str">
        <f>IFERROR(VLOOKUP($M14604,'Informations sur les produits'!$A$3:$H$10000,8,FALSE),"0")</f>
        <v>0</v>
      </c>
      <c r="P14604" s="33">
        <f t="shared" si="912"/>
        <v>0</v>
      </c>
      <c r="Q14604" s="31" t="str">
        <f t="shared" si="913"/>
        <v/>
      </c>
      <c r="R14604" s="32" t="str">
        <f>IFERROR(VLOOKUP($D14604,'Informations sur les produits'!$A$3:$B$15000,2,FALSE),"")</f>
        <v/>
      </c>
      <c r="V14604">
        <f t="shared" si="914"/>
        <v>0</v>
      </c>
      <c r="W14604">
        <f t="shared" si="915"/>
        <v>0</v>
      </c>
    </row>
    <row r="14605" spans="5:23" x14ac:dyDescent="0.25">
      <c r="E14605" s="4"/>
      <c r="F14605" s="4"/>
      <c r="G14605" s="33" t="str">
        <f>IFERROR(VLOOKUP($D14605,'Informations sur les produits'!$A$3:$H$10000,8,FALSE),"0")</f>
        <v>0</v>
      </c>
      <c r="K14605" s="4"/>
      <c r="L14605" s="33" t="str">
        <f>IFERROR(VLOOKUP($J14605,'Informations sur les produits'!$A$3:$H$10000,8,FALSE),"0")</f>
        <v>0</v>
      </c>
      <c r="N14605" s="8"/>
      <c r="O14605" s="33" t="str">
        <f>IFERROR(VLOOKUP($M14605,'Informations sur les produits'!$A$3:$H$10000,8,FALSE),"0")</f>
        <v>0</v>
      </c>
      <c r="P14605" s="33">
        <f t="shared" si="912"/>
        <v>0</v>
      </c>
      <c r="Q14605" s="31" t="str">
        <f t="shared" si="913"/>
        <v/>
      </c>
      <c r="R14605" s="32" t="str">
        <f>IFERROR(VLOOKUP($D14605,'Informations sur les produits'!$A$3:$B$15000,2,FALSE),"")</f>
        <v/>
      </c>
      <c r="V14605">
        <f t="shared" si="914"/>
        <v>0</v>
      </c>
      <c r="W14605">
        <f t="shared" si="915"/>
        <v>0</v>
      </c>
    </row>
    <row r="14606" spans="5:23" x14ac:dyDescent="0.25">
      <c r="E14606" s="4"/>
      <c r="F14606" s="4"/>
      <c r="G14606" s="33" t="str">
        <f>IFERROR(VLOOKUP($D14606,'Informations sur les produits'!$A$3:$H$10000,8,FALSE),"0")</f>
        <v>0</v>
      </c>
      <c r="K14606" s="4"/>
      <c r="L14606" s="33" t="str">
        <f>IFERROR(VLOOKUP($J14606,'Informations sur les produits'!$A$3:$H$10000,8,FALSE),"0")</f>
        <v>0</v>
      </c>
      <c r="N14606" s="8"/>
      <c r="O14606" s="33" t="str">
        <f>IFERROR(VLOOKUP($M14606,'Informations sur les produits'!$A$3:$H$10000,8,FALSE),"0")</f>
        <v>0</v>
      </c>
      <c r="P14606" s="33">
        <f t="shared" si="912"/>
        <v>0</v>
      </c>
      <c r="Q14606" s="31" t="str">
        <f t="shared" si="913"/>
        <v/>
      </c>
      <c r="R14606" s="32" t="str">
        <f>IFERROR(VLOOKUP($D14606,'Informations sur les produits'!$A$3:$B$15000,2,FALSE),"")</f>
        <v/>
      </c>
      <c r="V14606">
        <f t="shared" si="914"/>
        <v>0</v>
      </c>
      <c r="W14606">
        <f t="shared" si="915"/>
        <v>0</v>
      </c>
    </row>
    <row r="14607" spans="5:23" x14ac:dyDescent="0.25">
      <c r="E14607" s="4"/>
      <c r="F14607" s="4"/>
      <c r="G14607" s="33" t="str">
        <f>IFERROR(VLOOKUP($D14607,'Informations sur les produits'!$A$3:$H$10000,8,FALSE),"0")</f>
        <v>0</v>
      </c>
      <c r="K14607" s="4"/>
      <c r="L14607" s="33" t="str">
        <f>IFERROR(VLOOKUP($J14607,'Informations sur les produits'!$A$3:$H$10000,8,FALSE),"0")</f>
        <v>0</v>
      </c>
      <c r="N14607" s="8"/>
      <c r="O14607" s="33" t="str">
        <f>IFERROR(VLOOKUP($M14607,'Informations sur les produits'!$A$3:$H$10000,8,FALSE),"0")</f>
        <v>0</v>
      </c>
      <c r="P14607" s="33">
        <f t="shared" si="912"/>
        <v>0</v>
      </c>
      <c r="Q14607" s="31" t="str">
        <f t="shared" si="913"/>
        <v/>
      </c>
      <c r="R14607" s="32" t="str">
        <f>IFERROR(VLOOKUP($D14607,'Informations sur les produits'!$A$3:$B$15000,2,FALSE),"")</f>
        <v/>
      </c>
      <c r="V14607">
        <f t="shared" si="914"/>
        <v>0</v>
      </c>
      <c r="W14607">
        <f t="shared" si="915"/>
        <v>0</v>
      </c>
    </row>
    <row r="14608" spans="5:23" x14ac:dyDescent="0.25">
      <c r="E14608" s="4"/>
      <c r="F14608" s="4"/>
      <c r="G14608" s="33" t="str">
        <f>IFERROR(VLOOKUP($D14608,'Informations sur les produits'!$A$3:$H$10000,8,FALSE),"0")</f>
        <v>0</v>
      </c>
      <c r="K14608" s="4"/>
      <c r="L14608" s="33" t="str">
        <f>IFERROR(VLOOKUP($J14608,'Informations sur les produits'!$A$3:$H$10000,8,FALSE),"0")</f>
        <v>0</v>
      </c>
      <c r="N14608" s="8"/>
      <c r="O14608" s="33" t="str">
        <f>IFERROR(VLOOKUP($M14608,'Informations sur les produits'!$A$3:$H$10000,8,FALSE),"0")</f>
        <v>0</v>
      </c>
      <c r="P14608" s="33">
        <f t="shared" si="912"/>
        <v>0</v>
      </c>
      <c r="Q14608" s="31" t="str">
        <f t="shared" si="913"/>
        <v/>
      </c>
      <c r="R14608" s="32" t="str">
        <f>IFERROR(VLOOKUP($D14608,'Informations sur les produits'!$A$3:$B$15000,2,FALSE),"")</f>
        <v/>
      </c>
      <c r="V14608">
        <f t="shared" si="914"/>
        <v>0</v>
      </c>
      <c r="W14608">
        <f t="shared" si="915"/>
        <v>0</v>
      </c>
    </row>
    <row r="14609" spans="5:23" x14ac:dyDescent="0.25">
      <c r="E14609" s="4"/>
      <c r="F14609" s="4"/>
      <c r="G14609" s="33" t="str">
        <f>IFERROR(VLOOKUP($D14609,'Informations sur les produits'!$A$3:$H$10000,8,FALSE),"0")</f>
        <v>0</v>
      </c>
      <c r="K14609" s="4"/>
      <c r="L14609" s="33" t="str">
        <f>IFERROR(VLOOKUP($J14609,'Informations sur les produits'!$A$3:$H$10000,8,FALSE),"0")</f>
        <v>0</v>
      </c>
      <c r="N14609" s="8"/>
      <c r="O14609" s="33" t="str">
        <f>IFERROR(VLOOKUP($M14609,'Informations sur les produits'!$A$3:$H$10000,8,FALSE),"0")</f>
        <v>0</v>
      </c>
      <c r="P14609" s="33">
        <f t="shared" si="912"/>
        <v>0</v>
      </c>
      <c r="Q14609" s="31" t="str">
        <f t="shared" si="913"/>
        <v/>
      </c>
      <c r="R14609" s="32" t="str">
        <f>IFERROR(VLOOKUP($D14609,'Informations sur les produits'!$A$3:$B$15000,2,FALSE),"")</f>
        <v/>
      </c>
      <c r="V14609">
        <f t="shared" si="914"/>
        <v>0</v>
      </c>
      <c r="W14609">
        <f t="shared" si="915"/>
        <v>0</v>
      </c>
    </row>
    <row r="14610" spans="5:23" x14ac:dyDescent="0.25">
      <c r="E14610" s="4"/>
      <c r="F14610" s="4"/>
      <c r="G14610" s="33" t="str">
        <f>IFERROR(VLOOKUP($D14610,'Informations sur les produits'!$A$3:$H$10000,8,FALSE),"0")</f>
        <v>0</v>
      </c>
      <c r="K14610" s="4"/>
      <c r="L14610" s="33" t="str">
        <f>IFERROR(VLOOKUP($J14610,'Informations sur les produits'!$A$3:$H$10000,8,FALSE),"0")</f>
        <v>0</v>
      </c>
      <c r="N14610" s="8"/>
      <c r="O14610" s="33" t="str">
        <f>IFERROR(VLOOKUP($M14610,'Informations sur les produits'!$A$3:$H$10000,8,FALSE),"0")</f>
        <v>0</v>
      </c>
      <c r="P14610" s="33">
        <f t="shared" si="912"/>
        <v>0</v>
      </c>
      <c r="Q14610" s="31" t="str">
        <f t="shared" si="913"/>
        <v/>
      </c>
      <c r="R14610" s="32" t="str">
        <f>IFERROR(VLOOKUP($D14610,'Informations sur les produits'!$A$3:$B$15000,2,FALSE),"")</f>
        <v/>
      </c>
      <c r="V14610">
        <f t="shared" si="914"/>
        <v>0</v>
      </c>
      <c r="W14610">
        <f t="shared" si="915"/>
        <v>0</v>
      </c>
    </row>
    <row r="14611" spans="5:23" x14ac:dyDescent="0.25">
      <c r="E14611" s="4"/>
      <c r="F14611" s="4"/>
      <c r="G14611" s="33" t="str">
        <f>IFERROR(VLOOKUP($D14611,'Informations sur les produits'!$A$3:$H$10000,8,FALSE),"0")</f>
        <v>0</v>
      </c>
      <c r="K14611" s="4"/>
      <c r="L14611" s="33" t="str">
        <f>IFERROR(VLOOKUP($J14611,'Informations sur les produits'!$A$3:$H$10000,8,FALSE),"0")</f>
        <v>0</v>
      </c>
      <c r="N14611" s="8"/>
      <c r="O14611" s="33" t="str">
        <f>IFERROR(VLOOKUP($M14611,'Informations sur les produits'!$A$3:$H$10000,8,FALSE),"0")</f>
        <v>0</v>
      </c>
      <c r="P14611" s="33">
        <f t="shared" si="912"/>
        <v>0</v>
      </c>
      <c r="Q14611" s="31" t="str">
        <f t="shared" si="913"/>
        <v/>
      </c>
      <c r="R14611" s="32" t="str">
        <f>IFERROR(VLOOKUP($D14611,'Informations sur les produits'!$A$3:$B$15000,2,FALSE),"")</f>
        <v/>
      </c>
      <c r="V14611">
        <f t="shared" si="914"/>
        <v>0</v>
      </c>
      <c r="W14611">
        <f t="shared" si="915"/>
        <v>0</v>
      </c>
    </row>
    <row r="14612" spans="5:23" x14ac:dyDescent="0.25">
      <c r="E14612" s="4"/>
      <c r="F14612" s="4"/>
      <c r="G14612" s="33" t="str">
        <f>IFERROR(VLOOKUP($D14612,'Informations sur les produits'!$A$3:$H$10000,8,FALSE),"0")</f>
        <v>0</v>
      </c>
      <c r="K14612" s="4"/>
      <c r="L14612" s="33" t="str">
        <f>IFERROR(VLOOKUP($J14612,'Informations sur les produits'!$A$3:$H$10000,8,FALSE),"0")</f>
        <v>0</v>
      </c>
      <c r="N14612" s="8"/>
      <c r="O14612" s="33" t="str">
        <f>IFERROR(VLOOKUP($M14612,'Informations sur les produits'!$A$3:$H$10000,8,FALSE),"0")</f>
        <v>0</v>
      </c>
      <c r="P14612" s="33">
        <f t="shared" si="912"/>
        <v>0</v>
      </c>
      <c r="Q14612" s="31" t="str">
        <f t="shared" si="913"/>
        <v/>
      </c>
      <c r="R14612" s="32" t="str">
        <f>IFERROR(VLOOKUP($D14612,'Informations sur les produits'!$A$3:$B$15000,2,FALSE),"")</f>
        <v/>
      </c>
      <c r="V14612">
        <f t="shared" si="914"/>
        <v>0</v>
      </c>
      <c r="W14612">
        <f t="shared" si="915"/>
        <v>0</v>
      </c>
    </row>
    <row r="14613" spans="5:23" x14ac:dyDescent="0.25">
      <c r="E14613" s="4"/>
      <c r="F14613" s="4"/>
      <c r="G14613" s="33" t="str">
        <f>IFERROR(VLOOKUP($D14613,'Informations sur les produits'!$A$3:$H$10000,8,FALSE),"0")</f>
        <v>0</v>
      </c>
      <c r="K14613" s="4"/>
      <c r="L14613" s="33" t="str">
        <f>IFERROR(VLOOKUP($J14613,'Informations sur les produits'!$A$3:$H$10000,8,FALSE),"0")</f>
        <v>0</v>
      </c>
      <c r="N14613" s="8"/>
      <c r="O14613" s="33" t="str">
        <f>IFERROR(VLOOKUP($M14613,'Informations sur les produits'!$A$3:$H$10000,8,FALSE),"0")</f>
        <v>0</v>
      </c>
      <c r="P14613" s="33">
        <f t="shared" si="912"/>
        <v>0</v>
      </c>
      <c r="Q14613" s="31" t="str">
        <f t="shared" si="913"/>
        <v/>
      </c>
      <c r="R14613" s="32" t="str">
        <f>IFERROR(VLOOKUP($D14613,'Informations sur les produits'!$A$3:$B$15000,2,FALSE),"")</f>
        <v/>
      </c>
      <c r="V14613">
        <f t="shared" si="914"/>
        <v>0</v>
      </c>
      <c r="W14613">
        <f t="shared" si="915"/>
        <v>0</v>
      </c>
    </row>
    <row r="14614" spans="5:23" x14ac:dyDescent="0.25">
      <c r="E14614" s="4"/>
      <c r="F14614" s="4"/>
      <c r="G14614" s="33" t="str">
        <f>IFERROR(VLOOKUP($D14614,'Informations sur les produits'!$A$3:$H$10000,8,FALSE),"0")</f>
        <v>0</v>
      </c>
      <c r="K14614" s="4"/>
      <c r="L14614" s="33" t="str">
        <f>IFERROR(VLOOKUP($J14614,'Informations sur les produits'!$A$3:$H$10000,8,FALSE),"0")</f>
        <v>0</v>
      </c>
      <c r="N14614" s="8"/>
      <c r="O14614" s="33" t="str">
        <f>IFERROR(VLOOKUP($M14614,'Informations sur les produits'!$A$3:$H$10000,8,FALSE),"0")</f>
        <v>0</v>
      </c>
      <c r="P14614" s="33">
        <f t="shared" si="912"/>
        <v>0</v>
      </c>
      <c r="Q14614" s="31" t="str">
        <f t="shared" si="913"/>
        <v/>
      </c>
      <c r="R14614" s="32" t="str">
        <f>IFERROR(VLOOKUP($D14614,'Informations sur les produits'!$A$3:$B$15000,2,FALSE),"")</f>
        <v/>
      </c>
      <c r="V14614">
        <f t="shared" si="914"/>
        <v>0</v>
      </c>
      <c r="W14614">
        <f t="shared" si="915"/>
        <v>0</v>
      </c>
    </row>
    <row r="14615" spans="5:23" x14ac:dyDescent="0.25">
      <c r="E14615" s="4"/>
      <c r="F14615" s="4"/>
      <c r="G14615" s="33" t="str">
        <f>IFERROR(VLOOKUP($D14615,'Informations sur les produits'!$A$3:$H$10000,8,FALSE),"0")</f>
        <v>0</v>
      </c>
      <c r="K14615" s="4"/>
      <c r="L14615" s="33" t="str">
        <f>IFERROR(VLOOKUP($J14615,'Informations sur les produits'!$A$3:$H$10000,8,FALSE),"0")</f>
        <v>0</v>
      </c>
      <c r="N14615" s="8"/>
      <c r="O14615" s="33" t="str">
        <f>IFERROR(VLOOKUP($M14615,'Informations sur les produits'!$A$3:$H$10000,8,FALSE),"0")</f>
        <v>0</v>
      </c>
      <c r="P14615" s="33">
        <f t="shared" si="912"/>
        <v>0</v>
      </c>
      <c r="Q14615" s="31" t="str">
        <f t="shared" si="913"/>
        <v/>
      </c>
      <c r="R14615" s="32" t="str">
        <f>IFERROR(VLOOKUP($D14615,'Informations sur les produits'!$A$3:$B$15000,2,FALSE),"")</f>
        <v/>
      </c>
      <c r="V14615">
        <f t="shared" si="914"/>
        <v>0</v>
      </c>
      <c r="W14615">
        <f t="shared" si="915"/>
        <v>0</v>
      </c>
    </row>
    <row r="14616" spans="5:23" x14ac:dyDescent="0.25">
      <c r="E14616" s="4"/>
      <c r="F14616" s="4"/>
      <c r="G14616" s="33" t="str">
        <f>IFERROR(VLOOKUP($D14616,'Informations sur les produits'!$A$3:$H$10000,8,FALSE),"0")</f>
        <v>0</v>
      </c>
      <c r="K14616" s="4"/>
      <c r="L14616" s="33" t="str">
        <f>IFERROR(VLOOKUP($J14616,'Informations sur les produits'!$A$3:$H$10000,8,FALSE),"0")</f>
        <v>0</v>
      </c>
      <c r="N14616" s="8"/>
      <c r="O14616" s="33" t="str">
        <f>IFERROR(VLOOKUP($M14616,'Informations sur les produits'!$A$3:$H$10000,8,FALSE),"0")</f>
        <v>0</v>
      </c>
      <c r="P14616" s="33">
        <f t="shared" si="912"/>
        <v>0</v>
      </c>
      <c r="Q14616" s="31" t="str">
        <f t="shared" si="913"/>
        <v/>
      </c>
      <c r="R14616" s="32" t="str">
        <f>IFERROR(VLOOKUP($D14616,'Informations sur les produits'!$A$3:$B$15000,2,FALSE),"")</f>
        <v/>
      </c>
      <c r="V14616">
        <f t="shared" si="914"/>
        <v>0</v>
      </c>
      <c r="W14616">
        <f t="shared" si="915"/>
        <v>0</v>
      </c>
    </row>
    <row r="14617" spans="5:23" x14ac:dyDescent="0.25">
      <c r="E14617" s="4"/>
      <c r="F14617" s="4"/>
      <c r="G14617" s="33" t="str">
        <f>IFERROR(VLOOKUP($D14617,'Informations sur les produits'!$A$3:$H$10000,8,FALSE),"0")</f>
        <v>0</v>
      </c>
      <c r="K14617" s="4"/>
      <c r="L14617" s="33" t="str">
        <f>IFERROR(VLOOKUP($J14617,'Informations sur les produits'!$A$3:$H$10000,8,FALSE),"0")</f>
        <v>0</v>
      </c>
      <c r="N14617" s="8"/>
      <c r="O14617" s="33" t="str">
        <f>IFERROR(VLOOKUP($M14617,'Informations sur les produits'!$A$3:$H$10000,8,FALSE),"0")</f>
        <v>0</v>
      </c>
      <c r="P14617" s="33">
        <f t="shared" si="912"/>
        <v>0</v>
      </c>
      <c r="Q14617" s="31" t="str">
        <f t="shared" si="913"/>
        <v/>
      </c>
      <c r="R14617" s="32" t="str">
        <f>IFERROR(VLOOKUP($D14617,'Informations sur les produits'!$A$3:$B$15000,2,FALSE),"")</f>
        <v/>
      </c>
      <c r="V14617">
        <f t="shared" si="914"/>
        <v>0</v>
      </c>
      <c r="W14617">
        <f t="shared" si="915"/>
        <v>0</v>
      </c>
    </row>
    <row r="14618" spans="5:23" x14ac:dyDescent="0.25">
      <c r="E14618" s="4"/>
      <c r="F14618" s="4"/>
      <c r="G14618" s="33" t="str">
        <f>IFERROR(VLOOKUP($D14618,'Informations sur les produits'!$A$3:$H$10000,8,FALSE),"0")</f>
        <v>0</v>
      </c>
      <c r="K14618" s="4"/>
      <c r="L14618" s="33" t="str">
        <f>IFERROR(VLOOKUP($J14618,'Informations sur les produits'!$A$3:$H$10000,8,FALSE),"0")</f>
        <v>0</v>
      </c>
      <c r="N14618" s="8"/>
      <c r="O14618" s="33" t="str">
        <f>IFERROR(VLOOKUP($M14618,'Informations sur les produits'!$A$3:$H$10000,8,FALSE),"0")</f>
        <v>0</v>
      </c>
      <c r="P14618" s="33">
        <f t="shared" si="912"/>
        <v>0</v>
      </c>
      <c r="Q14618" s="31" t="str">
        <f t="shared" si="913"/>
        <v/>
      </c>
      <c r="R14618" s="32" t="str">
        <f>IFERROR(VLOOKUP($D14618,'Informations sur les produits'!$A$3:$B$15000,2,FALSE),"")</f>
        <v/>
      </c>
      <c r="V14618">
        <f t="shared" si="914"/>
        <v>0</v>
      </c>
      <c r="W14618">
        <f t="shared" si="915"/>
        <v>0</v>
      </c>
    </row>
    <row r="14619" spans="5:23" x14ac:dyDescent="0.25">
      <c r="E14619" s="4"/>
      <c r="F14619" s="4"/>
      <c r="G14619" s="33" t="str">
        <f>IFERROR(VLOOKUP($D14619,'Informations sur les produits'!$A$3:$H$10000,8,FALSE),"0")</f>
        <v>0</v>
      </c>
      <c r="K14619" s="4"/>
      <c r="L14619" s="33" t="str">
        <f>IFERROR(VLOOKUP($J14619,'Informations sur les produits'!$A$3:$H$10000,8,FALSE),"0")</f>
        <v>0</v>
      </c>
      <c r="N14619" s="8"/>
      <c r="O14619" s="33" t="str">
        <f>IFERROR(VLOOKUP($M14619,'Informations sur les produits'!$A$3:$H$10000,8,FALSE),"0")</f>
        <v>0</v>
      </c>
      <c r="P14619" s="33">
        <f t="shared" si="912"/>
        <v>0</v>
      </c>
      <c r="Q14619" s="31" t="str">
        <f t="shared" si="913"/>
        <v/>
      </c>
      <c r="R14619" s="32" t="str">
        <f>IFERROR(VLOOKUP($D14619,'Informations sur les produits'!$A$3:$B$15000,2,FALSE),"")</f>
        <v/>
      </c>
      <c r="V14619">
        <f t="shared" si="914"/>
        <v>0</v>
      </c>
      <c r="W14619">
        <f t="shared" si="915"/>
        <v>0</v>
      </c>
    </row>
    <row r="14620" spans="5:23" x14ac:dyDescent="0.25">
      <c r="E14620" s="4"/>
      <c r="F14620" s="4"/>
      <c r="G14620" s="33" t="str">
        <f>IFERROR(VLOOKUP($D14620,'Informations sur les produits'!$A$3:$H$10000,8,FALSE),"0")</f>
        <v>0</v>
      </c>
      <c r="K14620" s="4"/>
      <c r="L14620" s="33" t="str">
        <f>IFERROR(VLOOKUP($J14620,'Informations sur les produits'!$A$3:$H$10000,8,FALSE),"0")</f>
        <v>0</v>
      </c>
      <c r="N14620" s="8"/>
      <c r="O14620" s="33" t="str">
        <f>IFERROR(VLOOKUP($M14620,'Informations sur les produits'!$A$3:$H$10000,8,FALSE),"0")</f>
        <v>0</v>
      </c>
      <c r="P14620" s="33">
        <f t="shared" si="912"/>
        <v>0</v>
      </c>
      <c r="Q14620" s="31" t="str">
        <f t="shared" si="913"/>
        <v/>
      </c>
      <c r="R14620" s="32" t="str">
        <f>IFERROR(VLOOKUP($D14620,'Informations sur les produits'!$A$3:$B$15000,2,FALSE),"")</f>
        <v/>
      </c>
      <c r="V14620">
        <f t="shared" si="914"/>
        <v>0</v>
      </c>
      <c r="W14620">
        <f t="shared" si="915"/>
        <v>0</v>
      </c>
    </row>
    <row r="14621" spans="5:23" x14ac:dyDescent="0.25">
      <c r="E14621" s="4"/>
      <c r="F14621" s="4"/>
      <c r="G14621" s="33" t="str">
        <f>IFERROR(VLOOKUP($D14621,'Informations sur les produits'!$A$3:$H$10000,8,FALSE),"0")</f>
        <v>0</v>
      </c>
      <c r="K14621" s="4"/>
      <c r="L14621" s="33" t="str">
        <f>IFERROR(VLOOKUP($J14621,'Informations sur les produits'!$A$3:$H$10000,8,FALSE),"0")</f>
        <v>0</v>
      </c>
      <c r="N14621" s="8"/>
      <c r="O14621" s="33" t="str">
        <f>IFERROR(VLOOKUP($M14621,'Informations sur les produits'!$A$3:$H$10000,8,FALSE),"0")</f>
        <v>0</v>
      </c>
      <c r="P14621" s="33">
        <f t="shared" si="912"/>
        <v>0</v>
      </c>
      <c r="Q14621" s="31" t="str">
        <f t="shared" si="913"/>
        <v/>
      </c>
      <c r="R14621" s="32" t="str">
        <f>IFERROR(VLOOKUP($D14621,'Informations sur les produits'!$A$3:$B$15000,2,FALSE),"")</f>
        <v/>
      </c>
      <c r="V14621">
        <f t="shared" si="914"/>
        <v>0</v>
      </c>
      <c r="W14621">
        <f t="shared" si="915"/>
        <v>0</v>
      </c>
    </row>
    <row r="14622" spans="5:23" x14ac:dyDescent="0.25">
      <c r="E14622" s="4"/>
      <c r="F14622" s="4"/>
      <c r="G14622" s="33" t="str">
        <f>IFERROR(VLOOKUP($D14622,'Informations sur les produits'!$A$3:$H$10000,8,FALSE),"0")</f>
        <v>0</v>
      </c>
      <c r="K14622" s="4"/>
      <c r="L14622" s="33" t="str">
        <f>IFERROR(VLOOKUP($J14622,'Informations sur les produits'!$A$3:$H$10000,8,FALSE),"0")</f>
        <v>0</v>
      </c>
      <c r="N14622" s="8"/>
      <c r="O14622" s="33" t="str">
        <f>IFERROR(VLOOKUP($M14622,'Informations sur les produits'!$A$3:$H$10000,8,FALSE),"0")</f>
        <v>0</v>
      </c>
      <c r="P14622" s="33">
        <f t="shared" si="912"/>
        <v>0</v>
      </c>
      <c r="Q14622" s="31" t="str">
        <f t="shared" si="913"/>
        <v/>
      </c>
      <c r="R14622" s="32" t="str">
        <f>IFERROR(VLOOKUP($D14622,'Informations sur les produits'!$A$3:$B$15000,2,FALSE),"")</f>
        <v/>
      </c>
      <c r="V14622">
        <f t="shared" si="914"/>
        <v>0</v>
      </c>
      <c r="W14622">
        <f t="shared" si="915"/>
        <v>0</v>
      </c>
    </row>
    <row r="14623" spans="5:23" x14ac:dyDescent="0.25">
      <c r="E14623" s="4"/>
      <c r="F14623" s="4"/>
      <c r="G14623" s="33" t="str">
        <f>IFERROR(VLOOKUP($D14623,'Informations sur les produits'!$A$3:$H$10000,8,FALSE),"0")</f>
        <v>0</v>
      </c>
      <c r="K14623" s="4"/>
      <c r="L14623" s="33" t="str">
        <f>IFERROR(VLOOKUP($J14623,'Informations sur les produits'!$A$3:$H$10000,8,FALSE),"0")</f>
        <v>0</v>
      </c>
      <c r="N14623" s="8"/>
      <c r="O14623" s="33" t="str">
        <f>IFERROR(VLOOKUP($M14623,'Informations sur les produits'!$A$3:$H$10000,8,FALSE),"0")</f>
        <v>0</v>
      </c>
      <c r="P14623" s="33">
        <f t="shared" si="912"/>
        <v>0</v>
      </c>
      <c r="Q14623" s="31" t="str">
        <f t="shared" si="913"/>
        <v/>
      </c>
      <c r="R14623" s="32" t="str">
        <f>IFERROR(VLOOKUP($D14623,'Informations sur les produits'!$A$3:$B$15000,2,FALSE),"")</f>
        <v/>
      </c>
      <c r="V14623">
        <f t="shared" si="914"/>
        <v>0</v>
      </c>
      <c r="W14623">
        <f t="shared" si="915"/>
        <v>0</v>
      </c>
    </row>
    <row r="14624" spans="5:23" x14ac:dyDescent="0.25">
      <c r="E14624" s="4"/>
      <c r="F14624" s="4"/>
      <c r="G14624" s="33" t="str">
        <f>IFERROR(VLOOKUP($D14624,'Informations sur les produits'!$A$3:$H$10000,8,FALSE),"0")</f>
        <v>0</v>
      </c>
      <c r="K14624" s="4"/>
      <c r="L14624" s="33" t="str">
        <f>IFERROR(VLOOKUP($J14624,'Informations sur les produits'!$A$3:$H$10000,8,FALSE),"0")</f>
        <v>0</v>
      </c>
      <c r="N14624" s="8"/>
      <c r="O14624" s="33" t="str">
        <f>IFERROR(VLOOKUP($M14624,'Informations sur les produits'!$A$3:$H$10000,8,FALSE),"0")</f>
        <v>0</v>
      </c>
      <c r="P14624" s="33">
        <f t="shared" si="912"/>
        <v>0</v>
      </c>
      <c r="Q14624" s="31" t="str">
        <f t="shared" si="913"/>
        <v/>
      </c>
      <c r="R14624" s="32" t="str">
        <f>IFERROR(VLOOKUP($D14624,'Informations sur les produits'!$A$3:$B$15000,2,FALSE),"")</f>
        <v/>
      </c>
      <c r="V14624">
        <f t="shared" si="914"/>
        <v>0</v>
      </c>
      <c r="W14624">
        <f t="shared" si="915"/>
        <v>0</v>
      </c>
    </row>
    <row r="14625" spans="5:23" x14ac:dyDescent="0.25">
      <c r="E14625" s="4"/>
      <c r="F14625" s="4"/>
      <c r="G14625" s="33" t="str">
        <f>IFERROR(VLOOKUP($D14625,'Informations sur les produits'!$A$3:$H$10000,8,FALSE),"0")</f>
        <v>0</v>
      </c>
      <c r="K14625" s="4"/>
      <c r="L14625" s="33" t="str">
        <f>IFERROR(VLOOKUP($J14625,'Informations sur les produits'!$A$3:$H$10000,8,FALSE),"0")</f>
        <v>0</v>
      </c>
      <c r="N14625" s="8"/>
      <c r="O14625" s="33" t="str">
        <f>IFERROR(VLOOKUP($M14625,'Informations sur les produits'!$A$3:$H$10000,8,FALSE),"0")</f>
        <v>0</v>
      </c>
      <c r="P14625" s="33">
        <f t="shared" si="912"/>
        <v>0</v>
      </c>
      <c r="Q14625" s="31" t="str">
        <f t="shared" si="913"/>
        <v/>
      </c>
      <c r="R14625" s="32" t="str">
        <f>IFERROR(VLOOKUP($D14625,'Informations sur les produits'!$A$3:$B$15000,2,FALSE),"")</f>
        <v/>
      </c>
      <c r="V14625">
        <f t="shared" si="914"/>
        <v>0</v>
      </c>
      <c r="W14625">
        <f t="shared" si="915"/>
        <v>0</v>
      </c>
    </row>
    <row r="14626" spans="5:23" x14ac:dyDescent="0.25">
      <c r="E14626" s="4"/>
      <c r="F14626" s="4"/>
      <c r="G14626" s="33" t="str">
        <f>IFERROR(VLOOKUP($D14626,'Informations sur les produits'!$A$3:$H$10000,8,FALSE),"0")</f>
        <v>0</v>
      </c>
      <c r="K14626" s="4"/>
      <c r="L14626" s="33" t="str">
        <f>IFERROR(VLOOKUP($J14626,'Informations sur les produits'!$A$3:$H$10000,8,FALSE),"0")</f>
        <v>0</v>
      </c>
      <c r="N14626" s="8"/>
      <c r="O14626" s="33" t="str">
        <f>IFERROR(VLOOKUP($M14626,'Informations sur les produits'!$A$3:$H$10000,8,FALSE),"0")</f>
        <v>0</v>
      </c>
      <c r="P14626" s="33">
        <f t="shared" si="912"/>
        <v>0</v>
      </c>
      <c r="Q14626" s="31" t="str">
        <f t="shared" si="913"/>
        <v/>
      </c>
      <c r="R14626" s="32" t="str">
        <f>IFERROR(VLOOKUP($D14626,'Informations sur les produits'!$A$3:$B$15000,2,FALSE),"")</f>
        <v/>
      </c>
      <c r="V14626">
        <f t="shared" si="914"/>
        <v>0</v>
      </c>
      <c r="W14626">
        <f t="shared" si="915"/>
        <v>0</v>
      </c>
    </row>
    <row r="14627" spans="5:23" x14ac:dyDescent="0.25">
      <c r="E14627" s="4"/>
      <c r="F14627" s="4"/>
      <c r="G14627" s="33" t="str">
        <f>IFERROR(VLOOKUP($D14627,'Informations sur les produits'!$A$3:$H$10000,8,FALSE),"0")</f>
        <v>0</v>
      </c>
      <c r="K14627" s="4"/>
      <c r="L14627" s="33" t="str">
        <f>IFERROR(VLOOKUP($J14627,'Informations sur les produits'!$A$3:$H$10000,8,FALSE),"0")</f>
        <v>0</v>
      </c>
      <c r="N14627" s="8"/>
      <c r="O14627" s="33" t="str">
        <f>IFERROR(VLOOKUP($M14627,'Informations sur les produits'!$A$3:$H$10000,8,FALSE),"0")</f>
        <v>0</v>
      </c>
      <c r="P14627" s="33">
        <f t="shared" si="912"/>
        <v>0</v>
      </c>
      <c r="Q14627" s="31" t="str">
        <f t="shared" si="913"/>
        <v/>
      </c>
      <c r="R14627" s="32" t="str">
        <f>IFERROR(VLOOKUP($D14627,'Informations sur les produits'!$A$3:$B$15000,2,FALSE),"")</f>
        <v/>
      </c>
      <c r="V14627">
        <f t="shared" si="914"/>
        <v>0</v>
      </c>
      <c r="W14627">
        <f t="shared" si="915"/>
        <v>0</v>
      </c>
    </row>
    <row r="14628" spans="5:23" x14ac:dyDescent="0.25">
      <c r="E14628" s="4"/>
      <c r="F14628" s="4"/>
      <c r="G14628" s="33" t="str">
        <f>IFERROR(VLOOKUP($D14628,'Informations sur les produits'!$A$3:$H$10000,8,FALSE),"0")</f>
        <v>0</v>
      </c>
      <c r="K14628" s="4"/>
      <c r="L14628" s="33" t="str">
        <f>IFERROR(VLOOKUP($J14628,'Informations sur les produits'!$A$3:$H$10000,8,FALSE),"0")</f>
        <v>0</v>
      </c>
      <c r="N14628" s="8"/>
      <c r="O14628" s="33" t="str">
        <f>IFERROR(VLOOKUP($M14628,'Informations sur les produits'!$A$3:$H$10000,8,FALSE),"0")</f>
        <v>0</v>
      </c>
      <c r="P14628" s="33">
        <f t="shared" si="912"/>
        <v>0</v>
      </c>
      <c r="Q14628" s="31" t="str">
        <f t="shared" si="913"/>
        <v/>
      </c>
      <c r="R14628" s="32" t="str">
        <f>IFERROR(VLOOKUP($D14628,'Informations sur les produits'!$A$3:$B$15000,2,FALSE),"")</f>
        <v/>
      </c>
      <c r="V14628">
        <f t="shared" si="914"/>
        <v>0</v>
      </c>
      <c r="W14628">
        <f t="shared" si="915"/>
        <v>0</v>
      </c>
    </row>
    <row r="14629" spans="5:23" x14ac:dyDescent="0.25">
      <c r="E14629" s="4"/>
      <c r="F14629" s="4"/>
      <c r="G14629" s="33" t="str">
        <f>IFERROR(VLOOKUP($D14629,'Informations sur les produits'!$A$3:$H$10000,8,FALSE),"0")</f>
        <v>0</v>
      </c>
      <c r="K14629" s="4"/>
      <c r="L14629" s="33" t="str">
        <f>IFERROR(VLOOKUP($J14629,'Informations sur les produits'!$A$3:$H$10000,8,FALSE),"0")</f>
        <v>0</v>
      </c>
      <c r="N14629" s="8"/>
      <c r="O14629" s="33" t="str">
        <f>IFERROR(VLOOKUP($M14629,'Informations sur les produits'!$A$3:$H$10000,8,FALSE),"0")</f>
        <v>0</v>
      </c>
      <c r="P14629" s="33">
        <f t="shared" si="912"/>
        <v>0</v>
      </c>
      <c r="Q14629" s="31" t="str">
        <f t="shared" si="913"/>
        <v/>
      </c>
      <c r="R14629" s="32" t="str">
        <f>IFERROR(VLOOKUP($D14629,'Informations sur les produits'!$A$3:$B$15000,2,FALSE),"")</f>
        <v/>
      </c>
      <c r="V14629">
        <f t="shared" si="914"/>
        <v>0</v>
      </c>
      <c r="W14629">
        <f t="shared" si="915"/>
        <v>0</v>
      </c>
    </row>
    <row r="14630" spans="5:23" x14ac:dyDescent="0.25">
      <c r="E14630" s="4"/>
      <c r="F14630" s="4"/>
      <c r="G14630" s="33" t="str">
        <f>IFERROR(VLOOKUP($D14630,'Informations sur les produits'!$A$3:$H$10000,8,FALSE),"0")</f>
        <v>0</v>
      </c>
      <c r="K14630" s="4"/>
      <c r="L14630" s="33" t="str">
        <f>IFERROR(VLOOKUP($J14630,'Informations sur les produits'!$A$3:$H$10000,8,FALSE),"0")</f>
        <v>0</v>
      </c>
      <c r="N14630" s="8"/>
      <c r="O14630" s="33" t="str">
        <f>IFERROR(VLOOKUP($M14630,'Informations sur les produits'!$A$3:$H$10000,8,FALSE),"0")</f>
        <v>0</v>
      </c>
      <c r="P14630" s="33">
        <f t="shared" si="912"/>
        <v>0</v>
      </c>
      <c r="Q14630" s="31" t="str">
        <f t="shared" si="913"/>
        <v/>
      </c>
      <c r="R14630" s="32" t="str">
        <f>IFERROR(VLOOKUP($D14630,'Informations sur les produits'!$A$3:$B$15000,2,FALSE),"")</f>
        <v/>
      </c>
      <c r="V14630">
        <f t="shared" si="914"/>
        <v>0</v>
      </c>
      <c r="W14630">
        <f t="shared" si="915"/>
        <v>0</v>
      </c>
    </row>
    <row r="14631" spans="5:23" x14ac:dyDescent="0.25">
      <c r="E14631" s="4"/>
      <c r="F14631" s="4"/>
      <c r="G14631" s="33" t="str">
        <f>IFERROR(VLOOKUP($D14631,'Informations sur les produits'!$A$3:$H$10000,8,FALSE),"0")</f>
        <v>0</v>
      </c>
      <c r="K14631" s="4"/>
      <c r="L14631" s="33" t="str">
        <f>IFERROR(VLOOKUP($J14631,'Informations sur les produits'!$A$3:$H$10000,8,FALSE),"0")</f>
        <v>0</v>
      </c>
      <c r="N14631" s="8"/>
      <c r="O14631" s="33" t="str">
        <f>IFERROR(VLOOKUP($M14631,'Informations sur les produits'!$A$3:$H$10000,8,FALSE),"0")</f>
        <v>0</v>
      </c>
      <c r="P14631" s="33">
        <f t="shared" si="912"/>
        <v>0</v>
      </c>
      <c r="Q14631" s="31" t="str">
        <f t="shared" si="913"/>
        <v/>
      </c>
      <c r="R14631" s="32" t="str">
        <f>IFERROR(VLOOKUP($D14631,'Informations sur les produits'!$A$3:$B$15000,2,FALSE),"")</f>
        <v/>
      </c>
      <c r="V14631">
        <f t="shared" si="914"/>
        <v>0</v>
      </c>
      <c r="W14631">
        <f t="shared" si="915"/>
        <v>0</v>
      </c>
    </row>
    <row r="14632" spans="5:23" x14ac:dyDescent="0.25">
      <c r="E14632" s="4"/>
      <c r="F14632" s="4"/>
      <c r="G14632" s="33" t="str">
        <f>IFERROR(VLOOKUP($D14632,'Informations sur les produits'!$A$3:$H$10000,8,FALSE),"0")</f>
        <v>0</v>
      </c>
      <c r="K14632" s="4"/>
      <c r="L14632" s="33" t="str">
        <f>IFERROR(VLOOKUP($J14632,'Informations sur les produits'!$A$3:$H$10000,8,FALSE),"0")</f>
        <v>0</v>
      </c>
      <c r="N14632" s="8"/>
      <c r="O14632" s="33" t="str">
        <f>IFERROR(VLOOKUP($M14632,'Informations sur les produits'!$A$3:$H$10000,8,FALSE),"0")</f>
        <v>0</v>
      </c>
      <c r="P14632" s="33">
        <f t="shared" si="912"/>
        <v>0</v>
      </c>
      <c r="Q14632" s="31" t="str">
        <f t="shared" si="913"/>
        <v/>
      </c>
      <c r="R14632" s="32" t="str">
        <f>IFERROR(VLOOKUP($D14632,'Informations sur les produits'!$A$3:$B$15000,2,FALSE),"")</f>
        <v/>
      </c>
      <c r="V14632">
        <f t="shared" si="914"/>
        <v>0</v>
      </c>
      <c r="W14632">
        <f t="shared" si="915"/>
        <v>0</v>
      </c>
    </row>
    <row r="14633" spans="5:23" x14ac:dyDescent="0.25">
      <c r="E14633" s="4"/>
      <c r="F14633" s="4"/>
      <c r="G14633" s="33" t="str">
        <f>IFERROR(VLOOKUP($D14633,'Informations sur les produits'!$A$3:$H$10000,8,FALSE),"0")</f>
        <v>0</v>
      </c>
      <c r="K14633" s="4"/>
      <c r="L14633" s="33" t="str">
        <f>IFERROR(VLOOKUP($J14633,'Informations sur les produits'!$A$3:$H$10000,8,FALSE),"0")</f>
        <v>0</v>
      </c>
      <c r="N14633" s="8"/>
      <c r="O14633" s="33" t="str">
        <f>IFERROR(VLOOKUP($M14633,'Informations sur les produits'!$A$3:$H$10000,8,FALSE),"0")</f>
        <v>0</v>
      </c>
      <c r="P14633" s="33">
        <f t="shared" si="912"/>
        <v>0</v>
      </c>
      <c r="Q14633" s="31" t="str">
        <f t="shared" si="913"/>
        <v/>
      </c>
      <c r="R14633" s="32" t="str">
        <f>IFERROR(VLOOKUP($D14633,'Informations sur les produits'!$A$3:$B$15000,2,FALSE),"")</f>
        <v/>
      </c>
      <c r="V14633">
        <f t="shared" si="914"/>
        <v>0</v>
      </c>
      <c r="W14633">
        <f t="shared" si="915"/>
        <v>0</v>
      </c>
    </row>
    <row r="14634" spans="5:23" x14ac:dyDescent="0.25">
      <c r="E14634" s="4"/>
      <c r="F14634" s="4"/>
      <c r="G14634" s="33" t="str">
        <f>IFERROR(VLOOKUP($D14634,'Informations sur les produits'!$A$3:$H$10000,8,FALSE),"0")</f>
        <v>0</v>
      </c>
      <c r="K14634" s="4"/>
      <c r="L14634" s="33" t="str">
        <f>IFERROR(VLOOKUP($J14634,'Informations sur les produits'!$A$3:$H$10000,8,FALSE),"0")</f>
        <v>0</v>
      </c>
      <c r="N14634" s="8"/>
      <c r="O14634" s="33" t="str">
        <f>IFERROR(VLOOKUP($M14634,'Informations sur les produits'!$A$3:$H$10000,8,FALSE),"0")</f>
        <v>0</v>
      </c>
      <c r="P14634" s="33">
        <f t="shared" si="912"/>
        <v>0</v>
      </c>
      <c r="Q14634" s="31" t="str">
        <f t="shared" si="913"/>
        <v/>
      </c>
      <c r="R14634" s="32" t="str">
        <f>IFERROR(VLOOKUP($D14634,'Informations sur les produits'!$A$3:$B$15000,2,FALSE),"")</f>
        <v/>
      </c>
      <c r="V14634">
        <f t="shared" si="914"/>
        <v>0</v>
      </c>
      <c r="W14634">
        <f t="shared" si="915"/>
        <v>0</v>
      </c>
    </row>
    <row r="14635" spans="5:23" x14ac:dyDescent="0.25">
      <c r="E14635" s="4"/>
      <c r="F14635" s="4"/>
      <c r="G14635" s="33" t="str">
        <f>IFERROR(VLOOKUP($D14635,'Informations sur les produits'!$A$3:$H$10000,8,FALSE),"0")</f>
        <v>0</v>
      </c>
      <c r="K14635" s="4"/>
      <c r="L14635" s="33" t="str">
        <f>IFERROR(VLOOKUP($J14635,'Informations sur les produits'!$A$3:$H$10000,8,FALSE),"0")</f>
        <v>0</v>
      </c>
      <c r="N14635" s="8"/>
      <c r="O14635" s="33" t="str">
        <f>IFERROR(VLOOKUP($M14635,'Informations sur les produits'!$A$3:$H$10000,8,FALSE),"0")</f>
        <v>0</v>
      </c>
      <c r="P14635" s="33">
        <f t="shared" si="912"/>
        <v>0</v>
      </c>
      <c r="Q14635" s="31" t="str">
        <f t="shared" si="913"/>
        <v/>
      </c>
      <c r="R14635" s="32" t="str">
        <f>IFERROR(VLOOKUP($D14635,'Informations sur les produits'!$A$3:$B$15000,2,FALSE),"")</f>
        <v/>
      </c>
      <c r="V14635">
        <f t="shared" si="914"/>
        <v>0</v>
      </c>
      <c r="W14635">
        <f t="shared" si="915"/>
        <v>0</v>
      </c>
    </row>
    <row r="14636" spans="5:23" x14ac:dyDescent="0.25">
      <c r="E14636" s="4"/>
      <c r="F14636" s="4"/>
      <c r="G14636" s="33" t="str">
        <f>IFERROR(VLOOKUP($D14636,'Informations sur les produits'!$A$3:$H$10000,8,FALSE),"0")</f>
        <v>0</v>
      </c>
      <c r="K14636" s="4"/>
      <c r="L14636" s="33" t="str">
        <f>IFERROR(VLOOKUP($J14636,'Informations sur les produits'!$A$3:$H$10000,8,FALSE),"0")</f>
        <v>0</v>
      </c>
      <c r="N14636" s="8"/>
      <c r="O14636" s="33" t="str">
        <f>IFERROR(VLOOKUP($M14636,'Informations sur les produits'!$A$3:$H$10000,8,FALSE),"0")</f>
        <v>0</v>
      </c>
      <c r="P14636" s="33">
        <f t="shared" si="912"/>
        <v>0</v>
      </c>
      <c r="Q14636" s="31" t="str">
        <f t="shared" si="913"/>
        <v/>
      </c>
      <c r="R14636" s="32" t="str">
        <f>IFERROR(VLOOKUP($D14636,'Informations sur les produits'!$A$3:$B$15000,2,FALSE),"")</f>
        <v/>
      </c>
      <c r="V14636">
        <f t="shared" si="914"/>
        <v>0</v>
      </c>
      <c r="W14636">
        <f t="shared" si="915"/>
        <v>0</v>
      </c>
    </row>
    <row r="14637" spans="5:23" x14ac:dyDescent="0.25">
      <c r="E14637" s="4"/>
      <c r="F14637" s="4"/>
      <c r="G14637" s="33" t="str">
        <f>IFERROR(VLOOKUP($D14637,'Informations sur les produits'!$A$3:$H$10000,8,FALSE),"0")</f>
        <v>0</v>
      </c>
      <c r="K14637" s="4"/>
      <c r="L14637" s="33" t="str">
        <f>IFERROR(VLOOKUP($J14637,'Informations sur les produits'!$A$3:$H$10000,8,FALSE),"0")</f>
        <v>0</v>
      </c>
      <c r="N14637" s="8"/>
      <c r="O14637" s="33" t="str">
        <f>IFERROR(VLOOKUP($M14637,'Informations sur les produits'!$A$3:$H$10000,8,FALSE),"0")</f>
        <v>0</v>
      </c>
      <c r="P14637" s="33">
        <f t="shared" si="912"/>
        <v>0</v>
      </c>
      <c r="Q14637" s="31" t="str">
        <f t="shared" si="913"/>
        <v/>
      </c>
      <c r="R14637" s="32" t="str">
        <f>IFERROR(VLOOKUP($D14637,'Informations sur les produits'!$A$3:$B$15000,2,FALSE),"")</f>
        <v/>
      </c>
      <c r="V14637">
        <f t="shared" si="914"/>
        <v>0</v>
      </c>
      <c r="W14637">
        <f t="shared" si="915"/>
        <v>0</v>
      </c>
    </row>
    <row r="14638" spans="5:23" x14ac:dyDescent="0.25">
      <c r="E14638" s="4"/>
      <c r="F14638" s="4"/>
      <c r="G14638" s="33" t="str">
        <f>IFERROR(VLOOKUP($D14638,'Informations sur les produits'!$A$3:$H$10000,8,FALSE),"0")</f>
        <v>0</v>
      </c>
      <c r="K14638" s="4"/>
      <c r="L14638" s="33" t="str">
        <f>IFERROR(VLOOKUP($J14638,'Informations sur les produits'!$A$3:$H$10000,8,FALSE),"0")</f>
        <v>0</v>
      </c>
      <c r="N14638" s="8"/>
      <c r="O14638" s="33" t="str">
        <f>IFERROR(VLOOKUP($M14638,'Informations sur les produits'!$A$3:$H$10000,8,FALSE),"0")</f>
        <v>0</v>
      </c>
      <c r="P14638" s="33">
        <f t="shared" si="912"/>
        <v>0</v>
      </c>
      <c r="Q14638" s="31" t="str">
        <f t="shared" si="913"/>
        <v/>
      </c>
      <c r="R14638" s="32" t="str">
        <f>IFERROR(VLOOKUP($D14638,'Informations sur les produits'!$A$3:$B$15000,2,FALSE),"")</f>
        <v/>
      </c>
      <c r="V14638">
        <f t="shared" si="914"/>
        <v>0</v>
      </c>
      <c r="W14638">
        <f t="shared" si="915"/>
        <v>0</v>
      </c>
    </row>
    <row r="14639" spans="5:23" x14ac:dyDescent="0.25">
      <c r="E14639" s="4"/>
      <c r="F14639" s="4"/>
      <c r="G14639" s="33" t="str">
        <f>IFERROR(VLOOKUP($D14639,'Informations sur les produits'!$A$3:$H$10000,8,FALSE),"0")</f>
        <v>0</v>
      </c>
      <c r="K14639" s="4"/>
      <c r="L14639" s="33" t="str">
        <f>IFERROR(VLOOKUP($J14639,'Informations sur les produits'!$A$3:$H$10000,8,FALSE),"0")</f>
        <v>0</v>
      </c>
      <c r="N14639" s="8"/>
      <c r="O14639" s="33" t="str">
        <f>IFERROR(VLOOKUP($M14639,'Informations sur les produits'!$A$3:$H$10000,8,FALSE),"0")</f>
        <v>0</v>
      </c>
      <c r="P14639" s="33">
        <f t="shared" si="912"/>
        <v>0</v>
      </c>
      <c r="Q14639" s="31" t="str">
        <f t="shared" si="913"/>
        <v/>
      </c>
      <c r="R14639" s="32" t="str">
        <f>IFERROR(VLOOKUP($D14639,'Informations sur les produits'!$A$3:$B$15000,2,FALSE),"")</f>
        <v/>
      </c>
      <c r="V14639">
        <f t="shared" si="914"/>
        <v>0</v>
      </c>
      <c r="W14639">
        <f t="shared" si="915"/>
        <v>0</v>
      </c>
    </row>
    <row r="14640" spans="5:23" x14ac:dyDescent="0.25">
      <c r="E14640" s="4"/>
      <c r="F14640" s="4"/>
      <c r="G14640" s="33" t="str">
        <f>IFERROR(VLOOKUP($D14640,'Informations sur les produits'!$A$3:$H$10000,8,FALSE),"0")</f>
        <v>0</v>
      </c>
      <c r="K14640" s="4"/>
      <c r="L14640" s="33" t="str">
        <f>IFERROR(VLOOKUP($J14640,'Informations sur les produits'!$A$3:$H$10000,8,FALSE),"0")</f>
        <v>0</v>
      </c>
      <c r="N14640" s="8"/>
      <c r="O14640" s="33" t="str">
        <f>IFERROR(VLOOKUP($M14640,'Informations sur les produits'!$A$3:$H$10000,8,FALSE),"0")</f>
        <v>0</v>
      </c>
      <c r="P14640" s="33">
        <f t="shared" si="912"/>
        <v>0</v>
      </c>
      <c r="Q14640" s="31" t="str">
        <f t="shared" si="913"/>
        <v/>
      </c>
      <c r="R14640" s="32" t="str">
        <f>IFERROR(VLOOKUP($D14640,'Informations sur les produits'!$A$3:$B$15000,2,FALSE),"")</f>
        <v/>
      </c>
      <c r="V14640">
        <f t="shared" si="914"/>
        <v>0</v>
      </c>
      <c r="W14640">
        <f t="shared" si="915"/>
        <v>0</v>
      </c>
    </row>
    <row r="14641" spans="5:23" x14ac:dyDescent="0.25">
      <c r="E14641" s="4"/>
      <c r="F14641" s="4"/>
      <c r="G14641" s="33" t="str">
        <f>IFERROR(VLOOKUP($D14641,'Informations sur les produits'!$A$3:$H$10000,8,FALSE),"0")</f>
        <v>0</v>
      </c>
      <c r="K14641" s="4"/>
      <c r="L14641" s="33" t="str">
        <f>IFERROR(VLOOKUP($J14641,'Informations sur les produits'!$A$3:$H$10000,8,FALSE),"0")</f>
        <v>0</v>
      </c>
      <c r="N14641" s="8"/>
      <c r="O14641" s="33" t="str">
        <f>IFERROR(VLOOKUP($M14641,'Informations sur les produits'!$A$3:$H$10000,8,FALSE),"0")</f>
        <v>0</v>
      </c>
      <c r="P14641" s="33">
        <f t="shared" si="912"/>
        <v>0</v>
      </c>
      <c r="Q14641" s="31" t="str">
        <f t="shared" si="913"/>
        <v/>
      </c>
      <c r="R14641" s="32" t="str">
        <f>IFERROR(VLOOKUP($D14641,'Informations sur les produits'!$A$3:$B$15000,2,FALSE),"")</f>
        <v/>
      </c>
      <c r="V14641">
        <f t="shared" si="914"/>
        <v>0</v>
      </c>
      <c r="W14641">
        <f t="shared" si="915"/>
        <v>0</v>
      </c>
    </row>
    <row r="14642" spans="5:23" x14ac:dyDescent="0.25">
      <c r="E14642" s="4"/>
      <c r="F14642" s="4"/>
      <c r="G14642" s="33" t="str">
        <f>IFERROR(VLOOKUP($D14642,'Informations sur les produits'!$A$3:$H$10000,8,FALSE),"0")</f>
        <v>0</v>
      </c>
      <c r="K14642" s="4"/>
      <c r="L14642" s="33" t="str">
        <f>IFERROR(VLOOKUP($J14642,'Informations sur les produits'!$A$3:$H$10000,8,FALSE),"0")</f>
        <v>0</v>
      </c>
      <c r="N14642" s="8"/>
      <c r="O14642" s="33" t="str">
        <f>IFERROR(VLOOKUP($M14642,'Informations sur les produits'!$A$3:$H$10000,8,FALSE),"0")</f>
        <v>0</v>
      </c>
      <c r="P14642" s="33">
        <f t="shared" si="912"/>
        <v>0</v>
      </c>
      <c r="Q14642" s="31" t="str">
        <f t="shared" si="913"/>
        <v/>
      </c>
      <c r="R14642" s="32" t="str">
        <f>IFERROR(VLOOKUP($D14642,'Informations sur les produits'!$A$3:$B$15000,2,FALSE),"")</f>
        <v/>
      </c>
      <c r="V14642">
        <f t="shared" si="914"/>
        <v>0</v>
      </c>
      <c r="W14642">
        <f t="shared" si="915"/>
        <v>0</v>
      </c>
    </row>
    <row r="14643" spans="5:23" x14ac:dyDescent="0.25">
      <c r="E14643" s="4"/>
      <c r="F14643" s="4"/>
      <c r="G14643" s="33" t="str">
        <f>IFERROR(VLOOKUP($D14643,'Informations sur les produits'!$A$3:$H$10000,8,FALSE),"0")</f>
        <v>0</v>
      </c>
      <c r="K14643" s="4"/>
      <c r="L14643" s="33" t="str">
        <f>IFERROR(VLOOKUP($J14643,'Informations sur les produits'!$A$3:$H$10000,8,FALSE),"0")</f>
        <v>0</v>
      </c>
      <c r="N14643" s="8"/>
      <c r="O14643" s="33" t="str">
        <f>IFERROR(VLOOKUP($M14643,'Informations sur les produits'!$A$3:$H$10000,8,FALSE),"0")</f>
        <v>0</v>
      </c>
      <c r="P14643" s="33">
        <f t="shared" si="912"/>
        <v>0</v>
      </c>
      <c r="Q14643" s="31" t="str">
        <f t="shared" si="913"/>
        <v/>
      </c>
      <c r="R14643" s="32" t="str">
        <f>IFERROR(VLOOKUP($D14643,'Informations sur les produits'!$A$3:$B$15000,2,FALSE),"")</f>
        <v/>
      </c>
      <c r="V14643">
        <f t="shared" si="914"/>
        <v>0</v>
      </c>
      <c r="W14643">
        <f t="shared" si="915"/>
        <v>0</v>
      </c>
    </row>
    <row r="14644" spans="5:23" x14ac:dyDescent="0.25">
      <c r="E14644" s="4"/>
      <c r="F14644" s="4"/>
      <c r="G14644" s="33" t="str">
        <f>IFERROR(VLOOKUP($D14644,'Informations sur les produits'!$A$3:$H$10000,8,FALSE),"0")</f>
        <v>0</v>
      </c>
      <c r="K14644" s="4"/>
      <c r="L14644" s="33" t="str">
        <f>IFERROR(VLOOKUP($J14644,'Informations sur les produits'!$A$3:$H$10000,8,FALSE),"0")</f>
        <v>0</v>
      </c>
      <c r="N14644" s="8"/>
      <c r="O14644" s="33" t="str">
        <f>IFERROR(VLOOKUP($M14644,'Informations sur les produits'!$A$3:$H$10000,8,FALSE),"0")</f>
        <v>0</v>
      </c>
      <c r="P14644" s="33">
        <f t="shared" si="912"/>
        <v>0</v>
      </c>
      <c r="Q14644" s="31" t="str">
        <f t="shared" si="913"/>
        <v/>
      </c>
      <c r="R14644" s="32" t="str">
        <f>IFERROR(VLOOKUP($D14644,'Informations sur les produits'!$A$3:$B$15000,2,FALSE),"")</f>
        <v/>
      </c>
      <c r="V14644">
        <f t="shared" si="914"/>
        <v>0</v>
      </c>
      <c r="W14644">
        <f t="shared" si="915"/>
        <v>0</v>
      </c>
    </row>
    <row r="14645" spans="5:23" x14ac:dyDescent="0.25">
      <c r="E14645" s="4"/>
      <c r="F14645" s="4"/>
      <c r="G14645" s="33" t="str">
        <f>IFERROR(VLOOKUP($D14645,'Informations sur les produits'!$A$3:$H$10000,8,FALSE),"0")</f>
        <v>0</v>
      </c>
      <c r="K14645" s="4"/>
      <c r="L14645" s="33" t="str">
        <f>IFERROR(VLOOKUP($J14645,'Informations sur les produits'!$A$3:$H$10000,8,FALSE),"0")</f>
        <v>0</v>
      </c>
      <c r="N14645" s="8"/>
      <c r="O14645" s="33" t="str">
        <f>IFERROR(VLOOKUP($M14645,'Informations sur les produits'!$A$3:$H$10000,8,FALSE),"0")</f>
        <v>0</v>
      </c>
      <c r="P14645" s="33">
        <f t="shared" si="912"/>
        <v>0</v>
      </c>
      <c r="Q14645" s="31" t="str">
        <f t="shared" si="913"/>
        <v/>
      </c>
      <c r="R14645" s="32" t="str">
        <f>IFERROR(VLOOKUP($D14645,'Informations sur les produits'!$A$3:$B$15000,2,FALSE),"")</f>
        <v/>
      </c>
      <c r="V14645">
        <f t="shared" si="914"/>
        <v>0</v>
      </c>
      <c r="W14645">
        <f t="shared" si="915"/>
        <v>0</v>
      </c>
    </row>
    <row r="14646" spans="5:23" x14ac:dyDescent="0.25">
      <c r="E14646" s="4"/>
      <c r="F14646" s="4"/>
      <c r="G14646" s="33" t="str">
        <f>IFERROR(VLOOKUP($D14646,'Informations sur les produits'!$A$3:$H$10000,8,FALSE),"0")</f>
        <v>0</v>
      </c>
      <c r="K14646" s="4"/>
      <c r="L14646" s="33" t="str">
        <f>IFERROR(VLOOKUP($J14646,'Informations sur les produits'!$A$3:$H$10000,8,FALSE),"0")</f>
        <v>0</v>
      </c>
      <c r="N14646" s="8"/>
      <c r="O14646" s="33" t="str">
        <f>IFERROR(VLOOKUP($M14646,'Informations sur les produits'!$A$3:$H$10000,8,FALSE),"0")</f>
        <v>0</v>
      </c>
      <c r="P14646" s="33">
        <f t="shared" si="912"/>
        <v>0</v>
      </c>
      <c r="Q14646" s="31" t="str">
        <f t="shared" si="913"/>
        <v/>
      </c>
      <c r="R14646" s="32" t="str">
        <f>IFERROR(VLOOKUP($D14646,'Informations sur les produits'!$A$3:$B$15000,2,FALSE),"")</f>
        <v/>
      </c>
      <c r="V14646">
        <f t="shared" si="914"/>
        <v>0</v>
      </c>
      <c r="W14646">
        <f t="shared" si="915"/>
        <v>0</v>
      </c>
    </row>
    <row r="14647" spans="5:23" x14ac:dyDescent="0.25">
      <c r="E14647" s="4"/>
      <c r="F14647" s="4"/>
      <c r="G14647" s="33" t="str">
        <f>IFERROR(VLOOKUP($D14647,'Informations sur les produits'!$A$3:$H$10000,8,FALSE),"0")</f>
        <v>0</v>
      </c>
      <c r="K14647" s="4"/>
      <c r="L14647" s="33" t="str">
        <f>IFERROR(VLOOKUP($J14647,'Informations sur les produits'!$A$3:$H$10000,8,FALSE),"0")</f>
        <v>0</v>
      </c>
      <c r="N14647" s="8"/>
      <c r="O14647" s="33" t="str">
        <f>IFERROR(VLOOKUP($M14647,'Informations sur les produits'!$A$3:$H$10000,8,FALSE),"0")</f>
        <v>0</v>
      </c>
      <c r="P14647" s="33">
        <f t="shared" si="912"/>
        <v>0</v>
      </c>
      <c r="Q14647" s="31" t="str">
        <f t="shared" si="913"/>
        <v/>
      </c>
      <c r="R14647" s="32" t="str">
        <f>IFERROR(VLOOKUP($D14647,'Informations sur les produits'!$A$3:$B$15000,2,FALSE),"")</f>
        <v/>
      </c>
      <c r="V14647">
        <f t="shared" si="914"/>
        <v>0</v>
      </c>
      <c r="W14647">
        <f t="shared" si="915"/>
        <v>0</v>
      </c>
    </row>
    <row r="14648" spans="5:23" x14ac:dyDescent="0.25">
      <c r="E14648" s="4"/>
      <c r="F14648" s="4"/>
      <c r="G14648" s="33" t="str">
        <f>IFERROR(VLOOKUP($D14648,'Informations sur les produits'!$A$3:$H$10000,8,FALSE),"0")</f>
        <v>0</v>
      </c>
      <c r="K14648" s="4"/>
      <c r="L14648" s="33" t="str">
        <f>IFERROR(VLOOKUP($J14648,'Informations sur les produits'!$A$3:$H$10000,8,FALSE),"0")</f>
        <v>0</v>
      </c>
      <c r="N14648" s="8"/>
      <c r="O14648" s="33" t="str">
        <f>IFERROR(VLOOKUP($M14648,'Informations sur les produits'!$A$3:$H$10000,8,FALSE),"0")</f>
        <v>0</v>
      </c>
      <c r="P14648" s="33">
        <f t="shared" si="912"/>
        <v>0</v>
      </c>
      <c r="Q14648" s="31" t="str">
        <f t="shared" si="913"/>
        <v/>
      </c>
      <c r="R14648" s="32" t="str">
        <f>IFERROR(VLOOKUP($D14648,'Informations sur les produits'!$A$3:$B$15000,2,FALSE),"")</f>
        <v/>
      </c>
      <c r="V14648">
        <f t="shared" si="914"/>
        <v>0</v>
      </c>
      <c r="W14648">
        <f t="shared" si="915"/>
        <v>0</v>
      </c>
    </row>
    <row r="14649" spans="5:23" x14ac:dyDescent="0.25">
      <c r="E14649" s="4"/>
      <c r="F14649" s="4"/>
      <c r="G14649" s="33" t="str">
        <f>IFERROR(VLOOKUP($D14649,'Informations sur les produits'!$A$3:$H$10000,8,FALSE),"0")</f>
        <v>0</v>
      </c>
      <c r="K14649" s="4"/>
      <c r="L14649" s="33" t="str">
        <f>IFERROR(VLOOKUP($J14649,'Informations sur les produits'!$A$3:$H$10000,8,FALSE),"0")</f>
        <v>0</v>
      </c>
      <c r="N14649" s="8"/>
      <c r="O14649" s="33" t="str">
        <f>IFERROR(VLOOKUP($M14649,'Informations sur les produits'!$A$3:$H$10000,8,FALSE),"0")</f>
        <v>0</v>
      </c>
      <c r="P14649" s="33">
        <f t="shared" si="912"/>
        <v>0</v>
      </c>
      <c r="Q14649" s="31" t="str">
        <f t="shared" si="913"/>
        <v/>
      </c>
      <c r="R14649" s="32" t="str">
        <f>IFERROR(VLOOKUP($D14649,'Informations sur les produits'!$A$3:$B$15000,2,FALSE),"")</f>
        <v/>
      </c>
      <c r="V14649">
        <f t="shared" si="914"/>
        <v>0</v>
      </c>
      <c r="W14649">
        <f t="shared" si="915"/>
        <v>0</v>
      </c>
    </row>
    <row r="14650" spans="5:23" x14ac:dyDescent="0.25">
      <c r="E14650" s="4"/>
      <c r="F14650" s="4"/>
      <c r="G14650" s="33" t="str">
        <f>IFERROR(VLOOKUP($D14650,'Informations sur les produits'!$A$3:$H$10000,8,FALSE),"0")</f>
        <v>0</v>
      </c>
      <c r="K14650" s="4"/>
      <c r="L14650" s="33" t="str">
        <f>IFERROR(VLOOKUP($J14650,'Informations sur les produits'!$A$3:$H$10000,8,FALSE),"0")</f>
        <v>0</v>
      </c>
      <c r="N14650" s="8"/>
      <c r="O14650" s="33" t="str">
        <f>IFERROR(VLOOKUP($M14650,'Informations sur les produits'!$A$3:$H$10000,8,FALSE),"0")</f>
        <v>0</v>
      </c>
      <c r="P14650" s="33">
        <f t="shared" si="912"/>
        <v>0</v>
      </c>
      <c r="Q14650" s="31" t="str">
        <f t="shared" si="913"/>
        <v/>
      </c>
      <c r="R14650" s="32" t="str">
        <f>IFERROR(VLOOKUP($D14650,'Informations sur les produits'!$A$3:$B$15000,2,FALSE),"")</f>
        <v/>
      </c>
      <c r="V14650">
        <f t="shared" si="914"/>
        <v>0</v>
      </c>
      <c r="W14650">
        <f t="shared" si="915"/>
        <v>0</v>
      </c>
    </row>
    <row r="14651" spans="5:23" x14ac:dyDescent="0.25">
      <c r="E14651" s="4"/>
      <c r="F14651" s="4"/>
      <c r="G14651" s="33" t="str">
        <f>IFERROR(VLOOKUP($D14651,'Informations sur les produits'!$A$3:$H$10000,8,FALSE),"0")</f>
        <v>0</v>
      </c>
      <c r="K14651" s="4"/>
      <c r="L14651" s="33" t="str">
        <f>IFERROR(VLOOKUP($J14651,'Informations sur les produits'!$A$3:$H$10000,8,FALSE),"0")</f>
        <v>0</v>
      </c>
      <c r="N14651" s="8"/>
      <c r="O14651" s="33" t="str">
        <f>IFERROR(VLOOKUP($M14651,'Informations sur les produits'!$A$3:$H$10000,8,FALSE),"0")</f>
        <v>0</v>
      </c>
      <c r="P14651" s="33">
        <f t="shared" si="912"/>
        <v>0</v>
      </c>
      <c r="Q14651" s="31" t="str">
        <f t="shared" si="913"/>
        <v/>
      </c>
      <c r="R14651" s="32" t="str">
        <f>IFERROR(VLOOKUP($D14651,'Informations sur les produits'!$A$3:$B$15000,2,FALSE),"")</f>
        <v/>
      </c>
      <c r="V14651">
        <f t="shared" si="914"/>
        <v>0</v>
      </c>
      <c r="W14651">
        <f t="shared" si="915"/>
        <v>0</v>
      </c>
    </row>
    <row r="14652" spans="5:23" x14ac:dyDescent="0.25">
      <c r="E14652" s="4"/>
      <c r="F14652" s="4"/>
      <c r="G14652" s="33" t="str">
        <f>IFERROR(VLOOKUP($D14652,'Informations sur les produits'!$A$3:$H$10000,8,FALSE),"0")</f>
        <v>0</v>
      </c>
      <c r="K14652" s="4"/>
      <c r="L14652" s="33" t="str">
        <f>IFERROR(VLOOKUP($J14652,'Informations sur les produits'!$A$3:$H$10000,8,FALSE),"0")</f>
        <v>0</v>
      </c>
      <c r="N14652" s="8"/>
      <c r="O14652" s="33" t="str">
        <f>IFERROR(VLOOKUP($M14652,'Informations sur les produits'!$A$3:$H$10000,8,FALSE),"0")</f>
        <v>0</v>
      </c>
      <c r="P14652" s="33">
        <f t="shared" si="912"/>
        <v>0</v>
      </c>
      <c r="Q14652" s="31" t="str">
        <f t="shared" si="913"/>
        <v/>
      </c>
      <c r="R14652" s="32" t="str">
        <f>IFERROR(VLOOKUP($D14652,'Informations sur les produits'!$A$3:$B$15000,2,FALSE),"")</f>
        <v/>
      </c>
      <c r="V14652">
        <f t="shared" si="914"/>
        <v>0</v>
      </c>
      <c r="W14652">
        <f t="shared" si="915"/>
        <v>0</v>
      </c>
    </row>
    <row r="14653" spans="5:23" x14ac:dyDescent="0.25">
      <c r="E14653" s="4"/>
      <c r="F14653" s="4"/>
      <c r="G14653" s="33" t="str">
        <f>IFERROR(VLOOKUP($D14653,'Informations sur les produits'!$A$3:$H$10000,8,FALSE),"0")</f>
        <v>0</v>
      </c>
      <c r="K14653" s="4"/>
      <c r="L14653" s="33" t="str">
        <f>IFERROR(VLOOKUP($J14653,'Informations sur les produits'!$A$3:$H$10000,8,FALSE),"0")</f>
        <v>0</v>
      </c>
      <c r="N14653" s="8"/>
      <c r="O14653" s="33" t="str">
        <f>IFERROR(VLOOKUP($M14653,'Informations sur les produits'!$A$3:$H$10000,8,FALSE),"0")</f>
        <v>0</v>
      </c>
      <c r="P14653" s="33">
        <f t="shared" si="912"/>
        <v>0</v>
      </c>
      <c r="Q14653" s="31" t="str">
        <f t="shared" si="913"/>
        <v/>
      </c>
      <c r="R14653" s="32" t="str">
        <f>IFERROR(VLOOKUP($D14653,'Informations sur les produits'!$A$3:$B$15000,2,FALSE),"")</f>
        <v/>
      </c>
      <c r="V14653">
        <f t="shared" si="914"/>
        <v>0</v>
      </c>
      <c r="W14653">
        <f t="shared" si="915"/>
        <v>0</v>
      </c>
    </row>
    <row r="14654" spans="5:23" x14ac:dyDescent="0.25">
      <c r="E14654" s="4"/>
      <c r="F14654" s="4"/>
      <c r="G14654" s="33" t="str">
        <f>IFERROR(VLOOKUP($D14654,'Informations sur les produits'!$A$3:$H$10000,8,FALSE),"0")</f>
        <v>0</v>
      </c>
      <c r="K14654" s="4"/>
      <c r="L14654" s="33" t="str">
        <f>IFERROR(VLOOKUP($J14654,'Informations sur les produits'!$A$3:$H$10000,8,FALSE),"0")</f>
        <v>0</v>
      </c>
      <c r="N14654" s="8"/>
      <c r="O14654" s="33" t="str">
        <f>IFERROR(VLOOKUP($M14654,'Informations sur les produits'!$A$3:$H$10000,8,FALSE),"0")</f>
        <v>0</v>
      </c>
      <c r="P14654" s="33">
        <f t="shared" si="912"/>
        <v>0</v>
      </c>
      <c r="Q14654" s="31" t="str">
        <f t="shared" si="913"/>
        <v/>
      </c>
      <c r="R14654" s="32" t="str">
        <f>IFERROR(VLOOKUP($D14654,'Informations sur les produits'!$A$3:$B$15000,2,FALSE),"")</f>
        <v/>
      </c>
      <c r="V14654">
        <f t="shared" si="914"/>
        <v>0</v>
      </c>
      <c r="W14654">
        <f t="shared" si="915"/>
        <v>0</v>
      </c>
    </row>
    <row r="14655" spans="5:23" x14ac:dyDescent="0.25">
      <c r="E14655" s="4"/>
      <c r="F14655" s="4"/>
      <c r="G14655" s="33" t="str">
        <f>IFERROR(VLOOKUP($D14655,'Informations sur les produits'!$A$3:$H$10000,8,FALSE),"0")</f>
        <v>0</v>
      </c>
      <c r="K14655" s="4"/>
      <c r="L14655" s="33" t="str">
        <f>IFERROR(VLOOKUP($J14655,'Informations sur les produits'!$A$3:$H$10000,8,FALSE),"0")</f>
        <v>0</v>
      </c>
      <c r="N14655" s="8"/>
      <c r="O14655" s="33" t="str">
        <f>IFERROR(VLOOKUP($M14655,'Informations sur les produits'!$A$3:$H$10000,8,FALSE),"0")</f>
        <v>0</v>
      </c>
      <c r="P14655" s="33">
        <f t="shared" si="912"/>
        <v>0</v>
      </c>
      <c r="Q14655" s="31" t="str">
        <f t="shared" si="913"/>
        <v/>
      </c>
      <c r="R14655" s="32" t="str">
        <f>IFERROR(VLOOKUP($D14655,'Informations sur les produits'!$A$3:$B$15000,2,FALSE),"")</f>
        <v/>
      </c>
      <c r="V14655">
        <f t="shared" si="914"/>
        <v>0</v>
      </c>
      <c r="W14655">
        <f t="shared" si="915"/>
        <v>0</v>
      </c>
    </row>
    <row r="14656" spans="5:23" x14ac:dyDescent="0.25">
      <c r="E14656" s="4"/>
      <c r="F14656" s="4"/>
      <c r="G14656" s="33" t="str">
        <f>IFERROR(VLOOKUP($D14656,'Informations sur les produits'!$A$3:$H$10000,8,FALSE),"0")</f>
        <v>0</v>
      </c>
      <c r="K14656" s="4"/>
      <c r="L14656" s="33" t="str">
        <f>IFERROR(VLOOKUP($J14656,'Informations sur les produits'!$A$3:$H$10000,8,FALSE),"0")</f>
        <v>0</v>
      </c>
      <c r="N14656" s="8"/>
      <c r="O14656" s="33" t="str">
        <f>IFERROR(VLOOKUP($M14656,'Informations sur les produits'!$A$3:$H$10000,8,FALSE),"0")</f>
        <v>0</v>
      </c>
      <c r="P14656" s="33">
        <f t="shared" si="912"/>
        <v>0</v>
      </c>
      <c r="Q14656" s="31" t="str">
        <f t="shared" si="913"/>
        <v/>
      </c>
      <c r="R14656" s="32" t="str">
        <f>IFERROR(VLOOKUP($D14656,'Informations sur les produits'!$A$3:$B$15000,2,FALSE),"")</f>
        <v/>
      </c>
      <c r="V14656">
        <f t="shared" si="914"/>
        <v>0</v>
      </c>
      <c r="W14656">
        <f t="shared" si="915"/>
        <v>0</v>
      </c>
    </row>
    <row r="14657" spans="5:23" x14ac:dyDescent="0.25">
      <c r="E14657" s="4"/>
      <c r="F14657" s="4"/>
      <c r="G14657" s="33" t="str">
        <f>IFERROR(VLOOKUP($D14657,'Informations sur les produits'!$A$3:$H$10000,8,FALSE),"0")</f>
        <v>0</v>
      </c>
      <c r="K14657" s="4"/>
      <c r="L14657" s="33" t="str">
        <f>IFERROR(VLOOKUP($J14657,'Informations sur les produits'!$A$3:$H$10000,8,FALSE),"0")</f>
        <v>0</v>
      </c>
      <c r="N14657" s="8"/>
      <c r="O14657" s="33" t="str">
        <f>IFERROR(VLOOKUP($M14657,'Informations sur les produits'!$A$3:$H$10000,8,FALSE),"0")</f>
        <v>0</v>
      </c>
      <c r="P14657" s="33">
        <f t="shared" si="912"/>
        <v>0</v>
      </c>
      <c r="Q14657" s="31" t="str">
        <f t="shared" si="913"/>
        <v/>
      </c>
      <c r="R14657" s="32" t="str">
        <f>IFERROR(VLOOKUP($D14657,'Informations sur les produits'!$A$3:$B$15000,2,FALSE),"")</f>
        <v/>
      </c>
      <c r="V14657">
        <f t="shared" si="914"/>
        <v>0</v>
      </c>
      <c r="W14657">
        <f t="shared" si="915"/>
        <v>0</v>
      </c>
    </row>
    <row r="14658" spans="5:23" x14ac:dyDescent="0.25">
      <c r="E14658" s="4"/>
      <c r="F14658" s="4"/>
      <c r="G14658" s="33" t="str">
        <f>IFERROR(VLOOKUP($D14658,'Informations sur les produits'!$A$3:$H$10000,8,FALSE),"0")</f>
        <v>0</v>
      </c>
      <c r="K14658" s="4"/>
      <c r="L14658" s="33" t="str">
        <f>IFERROR(VLOOKUP($J14658,'Informations sur les produits'!$A$3:$H$10000,8,FALSE),"0")</f>
        <v>0</v>
      </c>
      <c r="N14658" s="8"/>
      <c r="O14658" s="33" t="str">
        <f>IFERROR(VLOOKUP($M14658,'Informations sur les produits'!$A$3:$H$10000,8,FALSE),"0")</f>
        <v>0</v>
      </c>
      <c r="P14658" s="33">
        <f t="shared" si="912"/>
        <v>0</v>
      </c>
      <c r="Q14658" s="31" t="str">
        <f t="shared" si="913"/>
        <v/>
      </c>
      <c r="R14658" s="32" t="str">
        <f>IFERROR(VLOOKUP($D14658,'Informations sur les produits'!$A$3:$B$15000,2,FALSE),"")</f>
        <v/>
      </c>
      <c r="V14658">
        <f t="shared" si="914"/>
        <v>0</v>
      </c>
      <c r="W14658">
        <f t="shared" si="915"/>
        <v>0</v>
      </c>
    </row>
    <row r="14659" spans="5:23" x14ac:dyDescent="0.25">
      <c r="E14659" s="4"/>
      <c r="F14659" s="4"/>
      <c r="G14659" s="33" t="str">
        <f>IFERROR(VLOOKUP($D14659,'Informations sur les produits'!$A$3:$H$10000,8,FALSE),"0")</f>
        <v>0</v>
      </c>
      <c r="K14659" s="4"/>
      <c r="L14659" s="33" t="str">
        <f>IFERROR(VLOOKUP($J14659,'Informations sur les produits'!$A$3:$H$10000,8,FALSE),"0")</f>
        <v>0</v>
      </c>
      <c r="N14659" s="8"/>
      <c r="O14659" s="33" t="str">
        <f>IFERROR(VLOOKUP($M14659,'Informations sur les produits'!$A$3:$H$10000,8,FALSE),"0")</f>
        <v>0</v>
      </c>
      <c r="P14659" s="33">
        <f t="shared" si="912"/>
        <v>0</v>
      </c>
      <c r="Q14659" s="31" t="str">
        <f t="shared" si="913"/>
        <v/>
      </c>
      <c r="R14659" s="32" t="str">
        <f>IFERROR(VLOOKUP($D14659,'Informations sur les produits'!$A$3:$B$15000,2,FALSE),"")</f>
        <v/>
      </c>
      <c r="V14659">
        <f t="shared" si="914"/>
        <v>0</v>
      </c>
      <c r="W14659">
        <f t="shared" si="915"/>
        <v>0</v>
      </c>
    </row>
    <row r="14660" spans="5:23" x14ac:dyDescent="0.25">
      <c r="E14660" s="4"/>
      <c r="F14660" s="4"/>
      <c r="G14660" s="33" t="str">
        <f>IFERROR(VLOOKUP($D14660,'Informations sur les produits'!$A$3:$H$10000,8,FALSE),"0")</f>
        <v>0</v>
      </c>
      <c r="K14660" s="4"/>
      <c r="L14660" s="33" t="str">
        <f>IFERROR(VLOOKUP($J14660,'Informations sur les produits'!$A$3:$H$10000,8,FALSE),"0")</f>
        <v>0</v>
      </c>
      <c r="N14660" s="8"/>
      <c r="O14660" s="33" t="str">
        <f>IFERROR(VLOOKUP($M14660,'Informations sur les produits'!$A$3:$H$10000,8,FALSE),"0")</f>
        <v>0</v>
      </c>
      <c r="P14660" s="33">
        <f t="shared" ref="P14660:P14723" si="916">IFERROR((($E14660-$F14660)*$G14660+$K14660*$L14660+$N14660*$O14660),"")</f>
        <v>0</v>
      </c>
      <c r="Q14660" s="31" t="str">
        <f t="shared" ref="Q14660:Q14723" si="917">IFERROR((((($E14660-$F14660)*$G14660+$K14660*$L14660+$N14660*$O14660)*1000)/(($E14660-$F14660)+$K14660+$N14660)),"")</f>
        <v/>
      </c>
      <c r="R14660" s="32" t="str">
        <f>IFERROR(VLOOKUP($D14660,'Informations sur les produits'!$A$3:$B$15000,2,FALSE),"")</f>
        <v/>
      </c>
      <c r="V14660">
        <f t="shared" ref="V14660:V14723" si="918">IFERROR(P14660*1000,"")</f>
        <v>0</v>
      </c>
      <c r="W14660">
        <f t="shared" ref="W14660:W14723" si="919">IFERROR(($E14660-$F14660)+$K14660+$N14660,"")</f>
        <v>0</v>
      </c>
    </row>
    <row r="14661" spans="5:23" x14ac:dyDescent="0.25">
      <c r="E14661" s="4"/>
      <c r="F14661" s="4"/>
      <c r="G14661" s="33" t="str">
        <f>IFERROR(VLOOKUP($D14661,'Informations sur les produits'!$A$3:$H$10000,8,FALSE),"0")</f>
        <v>0</v>
      </c>
      <c r="K14661" s="4"/>
      <c r="L14661" s="33" t="str">
        <f>IFERROR(VLOOKUP($J14661,'Informations sur les produits'!$A$3:$H$10000,8,FALSE),"0")</f>
        <v>0</v>
      </c>
      <c r="N14661" s="8"/>
      <c r="O14661" s="33" t="str">
        <f>IFERROR(VLOOKUP($M14661,'Informations sur les produits'!$A$3:$H$10000,8,FALSE),"0")</f>
        <v>0</v>
      </c>
      <c r="P14661" s="33">
        <f t="shared" si="916"/>
        <v>0</v>
      </c>
      <c r="Q14661" s="31" t="str">
        <f t="shared" si="917"/>
        <v/>
      </c>
      <c r="R14661" s="32" t="str">
        <f>IFERROR(VLOOKUP($D14661,'Informations sur les produits'!$A$3:$B$15000,2,FALSE),"")</f>
        <v/>
      </c>
      <c r="V14661">
        <f t="shared" si="918"/>
        <v>0</v>
      </c>
      <c r="W14661">
        <f t="shared" si="919"/>
        <v>0</v>
      </c>
    </row>
    <row r="14662" spans="5:23" x14ac:dyDescent="0.25">
      <c r="E14662" s="4"/>
      <c r="F14662" s="4"/>
      <c r="G14662" s="33" t="str">
        <f>IFERROR(VLOOKUP($D14662,'Informations sur les produits'!$A$3:$H$10000,8,FALSE),"0")</f>
        <v>0</v>
      </c>
      <c r="K14662" s="4"/>
      <c r="L14662" s="33" t="str">
        <f>IFERROR(VLOOKUP($J14662,'Informations sur les produits'!$A$3:$H$10000,8,FALSE),"0")</f>
        <v>0</v>
      </c>
      <c r="N14662" s="8"/>
      <c r="O14662" s="33" t="str">
        <f>IFERROR(VLOOKUP($M14662,'Informations sur les produits'!$A$3:$H$10000,8,FALSE),"0")</f>
        <v>0</v>
      </c>
      <c r="P14662" s="33">
        <f t="shared" si="916"/>
        <v>0</v>
      </c>
      <c r="Q14662" s="31" t="str">
        <f t="shared" si="917"/>
        <v/>
      </c>
      <c r="R14662" s="32" t="str">
        <f>IFERROR(VLOOKUP($D14662,'Informations sur les produits'!$A$3:$B$15000,2,FALSE),"")</f>
        <v/>
      </c>
      <c r="V14662">
        <f t="shared" si="918"/>
        <v>0</v>
      </c>
      <c r="W14662">
        <f t="shared" si="919"/>
        <v>0</v>
      </c>
    </row>
    <row r="14663" spans="5:23" x14ac:dyDescent="0.25">
      <c r="E14663" s="4"/>
      <c r="F14663" s="4"/>
      <c r="G14663" s="33" t="str">
        <f>IFERROR(VLOOKUP($D14663,'Informations sur les produits'!$A$3:$H$10000,8,FALSE),"0")</f>
        <v>0</v>
      </c>
      <c r="K14663" s="4"/>
      <c r="L14663" s="33" t="str">
        <f>IFERROR(VLOOKUP($J14663,'Informations sur les produits'!$A$3:$H$10000,8,FALSE),"0")</f>
        <v>0</v>
      </c>
      <c r="N14663" s="8"/>
      <c r="O14663" s="33" t="str">
        <f>IFERROR(VLOOKUP($M14663,'Informations sur les produits'!$A$3:$H$10000,8,FALSE),"0")</f>
        <v>0</v>
      </c>
      <c r="P14663" s="33">
        <f t="shared" si="916"/>
        <v>0</v>
      </c>
      <c r="Q14663" s="31" t="str">
        <f t="shared" si="917"/>
        <v/>
      </c>
      <c r="R14663" s="32" t="str">
        <f>IFERROR(VLOOKUP($D14663,'Informations sur les produits'!$A$3:$B$15000,2,FALSE),"")</f>
        <v/>
      </c>
      <c r="V14663">
        <f t="shared" si="918"/>
        <v>0</v>
      </c>
      <c r="W14663">
        <f t="shared" si="919"/>
        <v>0</v>
      </c>
    </row>
    <row r="14664" spans="5:23" x14ac:dyDescent="0.25">
      <c r="E14664" s="4"/>
      <c r="F14664" s="4"/>
      <c r="G14664" s="33" t="str">
        <f>IFERROR(VLOOKUP($D14664,'Informations sur les produits'!$A$3:$H$10000,8,FALSE),"0")</f>
        <v>0</v>
      </c>
      <c r="K14664" s="4"/>
      <c r="L14664" s="33" t="str">
        <f>IFERROR(VLOOKUP($J14664,'Informations sur les produits'!$A$3:$H$10000,8,FALSE),"0")</f>
        <v>0</v>
      </c>
      <c r="N14664" s="8"/>
      <c r="O14664" s="33" t="str">
        <f>IFERROR(VLOOKUP($M14664,'Informations sur les produits'!$A$3:$H$10000,8,FALSE),"0")</f>
        <v>0</v>
      </c>
      <c r="P14664" s="33">
        <f t="shared" si="916"/>
        <v>0</v>
      </c>
      <c r="Q14664" s="31" t="str">
        <f t="shared" si="917"/>
        <v/>
      </c>
      <c r="R14664" s="32" t="str">
        <f>IFERROR(VLOOKUP($D14664,'Informations sur les produits'!$A$3:$B$15000,2,FALSE),"")</f>
        <v/>
      </c>
      <c r="V14664">
        <f t="shared" si="918"/>
        <v>0</v>
      </c>
      <c r="W14664">
        <f t="shared" si="919"/>
        <v>0</v>
      </c>
    </row>
    <row r="14665" spans="5:23" x14ac:dyDescent="0.25">
      <c r="E14665" s="4"/>
      <c r="F14665" s="4"/>
      <c r="G14665" s="33" t="str">
        <f>IFERROR(VLOOKUP($D14665,'Informations sur les produits'!$A$3:$H$10000,8,FALSE),"0")</f>
        <v>0</v>
      </c>
      <c r="K14665" s="4"/>
      <c r="L14665" s="33" t="str">
        <f>IFERROR(VLOOKUP($J14665,'Informations sur les produits'!$A$3:$H$10000,8,FALSE),"0")</f>
        <v>0</v>
      </c>
      <c r="N14665" s="8"/>
      <c r="O14665" s="33" t="str">
        <f>IFERROR(VLOOKUP($M14665,'Informations sur les produits'!$A$3:$H$10000,8,FALSE),"0")</f>
        <v>0</v>
      </c>
      <c r="P14665" s="33">
        <f t="shared" si="916"/>
        <v>0</v>
      </c>
      <c r="Q14665" s="31" t="str">
        <f t="shared" si="917"/>
        <v/>
      </c>
      <c r="R14665" s="32" t="str">
        <f>IFERROR(VLOOKUP($D14665,'Informations sur les produits'!$A$3:$B$15000,2,FALSE),"")</f>
        <v/>
      </c>
      <c r="V14665">
        <f t="shared" si="918"/>
        <v>0</v>
      </c>
      <c r="W14665">
        <f t="shared" si="919"/>
        <v>0</v>
      </c>
    </row>
    <row r="14666" spans="5:23" x14ac:dyDescent="0.25">
      <c r="E14666" s="4"/>
      <c r="F14666" s="4"/>
      <c r="G14666" s="33" t="str">
        <f>IFERROR(VLOOKUP($D14666,'Informations sur les produits'!$A$3:$H$10000,8,FALSE),"0")</f>
        <v>0</v>
      </c>
      <c r="K14666" s="4"/>
      <c r="L14666" s="33" t="str">
        <f>IFERROR(VLOOKUP($J14666,'Informations sur les produits'!$A$3:$H$10000,8,FALSE),"0")</f>
        <v>0</v>
      </c>
      <c r="N14666" s="8"/>
      <c r="O14666" s="33" t="str">
        <f>IFERROR(VLOOKUP($M14666,'Informations sur les produits'!$A$3:$H$10000,8,FALSE),"0")</f>
        <v>0</v>
      </c>
      <c r="P14666" s="33">
        <f t="shared" si="916"/>
        <v>0</v>
      </c>
      <c r="Q14666" s="31" t="str">
        <f t="shared" si="917"/>
        <v/>
      </c>
      <c r="R14666" s="32" t="str">
        <f>IFERROR(VLOOKUP($D14666,'Informations sur les produits'!$A$3:$B$15000,2,FALSE),"")</f>
        <v/>
      </c>
      <c r="V14666">
        <f t="shared" si="918"/>
        <v>0</v>
      </c>
      <c r="W14666">
        <f t="shared" si="919"/>
        <v>0</v>
      </c>
    </row>
    <row r="14667" spans="5:23" x14ac:dyDescent="0.25">
      <c r="E14667" s="4"/>
      <c r="F14667" s="4"/>
      <c r="G14667" s="33" t="str">
        <f>IFERROR(VLOOKUP($D14667,'Informations sur les produits'!$A$3:$H$10000,8,FALSE),"0")</f>
        <v>0</v>
      </c>
      <c r="K14667" s="4"/>
      <c r="L14667" s="33" t="str">
        <f>IFERROR(VLOOKUP($J14667,'Informations sur les produits'!$A$3:$H$10000,8,FALSE),"0")</f>
        <v>0</v>
      </c>
      <c r="N14667" s="8"/>
      <c r="O14667" s="33" t="str">
        <f>IFERROR(VLOOKUP($M14667,'Informations sur les produits'!$A$3:$H$10000,8,FALSE),"0")</f>
        <v>0</v>
      </c>
      <c r="P14667" s="33">
        <f t="shared" si="916"/>
        <v>0</v>
      </c>
      <c r="Q14667" s="31" t="str">
        <f t="shared" si="917"/>
        <v/>
      </c>
      <c r="R14667" s="32" t="str">
        <f>IFERROR(VLOOKUP($D14667,'Informations sur les produits'!$A$3:$B$15000,2,FALSE),"")</f>
        <v/>
      </c>
      <c r="V14667">
        <f t="shared" si="918"/>
        <v>0</v>
      </c>
      <c r="W14667">
        <f t="shared" si="919"/>
        <v>0</v>
      </c>
    </row>
    <row r="14668" spans="5:23" x14ac:dyDescent="0.25">
      <c r="E14668" s="4"/>
      <c r="F14668" s="4"/>
      <c r="G14668" s="33" t="str">
        <f>IFERROR(VLOOKUP($D14668,'Informations sur les produits'!$A$3:$H$10000,8,FALSE),"0")</f>
        <v>0</v>
      </c>
      <c r="K14668" s="4"/>
      <c r="L14668" s="33" t="str">
        <f>IFERROR(VLOOKUP($J14668,'Informations sur les produits'!$A$3:$H$10000,8,FALSE),"0")</f>
        <v>0</v>
      </c>
      <c r="N14668" s="8"/>
      <c r="O14668" s="33" t="str">
        <f>IFERROR(VLOOKUP($M14668,'Informations sur les produits'!$A$3:$H$10000,8,FALSE),"0")</f>
        <v>0</v>
      </c>
      <c r="P14668" s="33">
        <f t="shared" si="916"/>
        <v>0</v>
      </c>
      <c r="Q14668" s="31" t="str">
        <f t="shared" si="917"/>
        <v/>
      </c>
      <c r="R14668" s="32" t="str">
        <f>IFERROR(VLOOKUP($D14668,'Informations sur les produits'!$A$3:$B$15000,2,FALSE),"")</f>
        <v/>
      </c>
      <c r="V14668">
        <f t="shared" si="918"/>
        <v>0</v>
      </c>
      <c r="W14668">
        <f t="shared" si="919"/>
        <v>0</v>
      </c>
    </row>
    <row r="14669" spans="5:23" x14ac:dyDescent="0.25">
      <c r="E14669" s="4"/>
      <c r="F14669" s="4"/>
      <c r="G14669" s="33" t="str">
        <f>IFERROR(VLOOKUP($D14669,'Informations sur les produits'!$A$3:$H$10000,8,FALSE),"0")</f>
        <v>0</v>
      </c>
      <c r="K14669" s="4"/>
      <c r="L14669" s="33" t="str">
        <f>IFERROR(VLOOKUP($J14669,'Informations sur les produits'!$A$3:$H$10000,8,FALSE),"0")</f>
        <v>0</v>
      </c>
      <c r="N14669" s="8"/>
      <c r="O14669" s="33" t="str">
        <f>IFERROR(VLOOKUP($M14669,'Informations sur les produits'!$A$3:$H$10000,8,FALSE),"0")</f>
        <v>0</v>
      </c>
      <c r="P14669" s="33">
        <f t="shared" si="916"/>
        <v>0</v>
      </c>
      <c r="Q14669" s="31" t="str">
        <f t="shared" si="917"/>
        <v/>
      </c>
      <c r="R14669" s="32" t="str">
        <f>IFERROR(VLOOKUP($D14669,'Informations sur les produits'!$A$3:$B$15000,2,FALSE),"")</f>
        <v/>
      </c>
      <c r="V14669">
        <f t="shared" si="918"/>
        <v>0</v>
      </c>
      <c r="W14669">
        <f t="shared" si="919"/>
        <v>0</v>
      </c>
    </row>
    <row r="14670" spans="5:23" x14ac:dyDescent="0.25">
      <c r="E14670" s="4"/>
      <c r="F14670" s="4"/>
      <c r="G14670" s="33" t="str">
        <f>IFERROR(VLOOKUP($D14670,'Informations sur les produits'!$A$3:$H$10000,8,FALSE),"0")</f>
        <v>0</v>
      </c>
      <c r="K14670" s="4"/>
      <c r="L14670" s="33" t="str">
        <f>IFERROR(VLOOKUP($J14670,'Informations sur les produits'!$A$3:$H$10000,8,FALSE),"0")</f>
        <v>0</v>
      </c>
      <c r="N14670" s="8"/>
      <c r="O14670" s="33" t="str">
        <f>IFERROR(VLOOKUP($M14670,'Informations sur les produits'!$A$3:$H$10000,8,FALSE),"0")</f>
        <v>0</v>
      </c>
      <c r="P14670" s="33">
        <f t="shared" si="916"/>
        <v>0</v>
      </c>
      <c r="Q14670" s="31" t="str">
        <f t="shared" si="917"/>
        <v/>
      </c>
      <c r="R14670" s="32" t="str">
        <f>IFERROR(VLOOKUP($D14670,'Informations sur les produits'!$A$3:$B$15000,2,FALSE),"")</f>
        <v/>
      </c>
      <c r="V14670">
        <f t="shared" si="918"/>
        <v>0</v>
      </c>
      <c r="W14670">
        <f t="shared" si="919"/>
        <v>0</v>
      </c>
    </row>
    <row r="14671" spans="5:23" x14ac:dyDescent="0.25">
      <c r="E14671" s="4"/>
      <c r="F14671" s="4"/>
      <c r="G14671" s="33" t="str">
        <f>IFERROR(VLOOKUP($D14671,'Informations sur les produits'!$A$3:$H$10000,8,FALSE),"0")</f>
        <v>0</v>
      </c>
      <c r="K14671" s="4"/>
      <c r="L14671" s="33" t="str">
        <f>IFERROR(VLOOKUP($J14671,'Informations sur les produits'!$A$3:$H$10000,8,FALSE),"0")</f>
        <v>0</v>
      </c>
      <c r="N14671" s="8"/>
      <c r="O14671" s="33" t="str">
        <f>IFERROR(VLOOKUP($M14671,'Informations sur les produits'!$A$3:$H$10000,8,FALSE),"0")</f>
        <v>0</v>
      </c>
      <c r="P14671" s="33">
        <f t="shared" si="916"/>
        <v>0</v>
      </c>
      <c r="Q14671" s="31" t="str">
        <f t="shared" si="917"/>
        <v/>
      </c>
      <c r="R14671" s="32" t="str">
        <f>IFERROR(VLOOKUP($D14671,'Informations sur les produits'!$A$3:$B$15000,2,FALSE),"")</f>
        <v/>
      </c>
      <c r="V14671">
        <f t="shared" si="918"/>
        <v>0</v>
      </c>
      <c r="W14671">
        <f t="shared" si="919"/>
        <v>0</v>
      </c>
    </row>
    <row r="14672" spans="5:23" x14ac:dyDescent="0.25">
      <c r="E14672" s="4"/>
      <c r="F14672" s="4"/>
      <c r="G14672" s="33" t="str">
        <f>IFERROR(VLOOKUP($D14672,'Informations sur les produits'!$A$3:$H$10000,8,FALSE),"0")</f>
        <v>0</v>
      </c>
      <c r="K14672" s="4"/>
      <c r="L14672" s="33" t="str">
        <f>IFERROR(VLOOKUP($J14672,'Informations sur les produits'!$A$3:$H$10000,8,FALSE),"0")</f>
        <v>0</v>
      </c>
      <c r="N14672" s="8"/>
      <c r="O14672" s="33" t="str">
        <f>IFERROR(VLOOKUP($M14672,'Informations sur les produits'!$A$3:$H$10000,8,FALSE),"0")</f>
        <v>0</v>
      </c>
      <c r="P14672" s="33">
        <f t="shared" si="916"/>
        <v>0</v>
      </c>
      <c r="Q14672" s="31" t="str">
        <f t="shared" si="917"/>
        <v/>
      </c>
      <c r="R14672" s="32" t="str">
        <f>IFERROR(VLOOKUP($D14672,'Informations sur les produits'!$A$3:$B$15000,2,FALSE),"")</f>
        <v/>
      </c>
      <c r="V14672">
        <f t="shared" si="918"/>
        <v>0</v>
      </c>
      <c r="W14672">
        <f t="shared" si="919"/>
        <v>0</v>
      </c>
    </row>
    <row r="14673" spans="5:23" x14ac:dyDescent="0.25">
      <c r="E14673" s="4"/>
      <c r="F14673" s="4"/>
      <c r="G14673" s="33" t="str">
        <f>IFERROR(VLOOKUP($D14673,'Informations sur les produits'!$A$3:$H$10000,8,FALSE),"0")</f>
        <v>0</v>
      </c>
      <c r="K14673" s="4"/>
      <c r="L14673" s="33" t="str">
        <f>IFERROR(VLOOKUP($J14673,'Informations sur les produits'!$A$3:$H$10000,8,FALSE),"0")</f>
        <v>0</v>
      </c>
      <c r="N14673" s="8"/>
      <c r="O14673" s="33" t="str">
        <f>IFERROR(VLOOKUP($M14673,'Informations sur les produits'!$A$3:$H$10000,8,FALSE),"0")</f>
        <v>0</v>
      </c>
      <c r="P14673" s="33">
        <f t="shared" si="916"/>
        <v>0</v>
      </c>
      <c r="Q14673" s="31" t="str">
        <f t="shared" si="917"/>
        <v/>
      </c>
      <c r="R14673" s="32" t="str">
        <f>IFERROR(VLOOKUP($D14673,'Informations sur les produits'!$A$3:$B$15000,2,FALSE),"")</f>
        <v/>
      </c>
      <c r="V14673">
        <f t="shared" si="918"/>
        <v>0</v>
      </c>
      <c r="W14673">
        <f t="shared" si="919"/>
        <v>0</v>
      </c>
    </row>
    <row r="14674" spans="5:23" x14ac:dyDescent="0.25">
      <c r="E14674" s="4"/>
      <c r="F14674" s="4"/>
      <c r="G14674" s="33" t="str">
        <f>IFERROR(VLOOKUP($D14674,'Informations sur les produits'!$A$3:$H$10000,8,FALSE),"0")</f>
        <v>0</v>
      </c>
      <c r="K14674" s="4"/>
      <c r="L14674" s="33" t="str">
        <f>IFERROR(VLOOKUP($J14674,'Informations sur les produits'!$A$3:$H$10000,8,FALSE),"0")</f>
        <v>0</v>
      </c>
      <c r="N14674" s="8"/>
      <c r="O14674" s="33" t="str">
        <f>IFERROR(VLOOKUP($M14674,'Informations sur les produits'!$A$3:$H$10000,8,FALSE),"0")</f>
        <v>0</v>
      </c>
      <c r="P14674" s="33">
        <f t="shared" si="916"/>
        <v>0</v>
      </c>
      <c r="Q14674" s="31" t="str">
        <f t="shared" si="917"/>
        <v/>
      </c>
      <c r="R14674" s="32" t="str">
        <f>IFERROR(VLOOKUP($D14674,'Informations sur les produits'!$A$3:$B$15000,2,FALSE),"")</f>
        <v/>
      </c>
      <c r="V14674">
        <f t="shared" si="918"/>
        <v>0</v>
      </c>
      <c r="W14674">
        <f t="shared" si="919"/>
        <v>0</v>
      </c>
    </row>
    <row r="14675" spans="5:23" x14ac:dyDescent="0.25">
      <c r="E14675" s="4"/>
      <c r="F14675" s="4"/>
      <c r="G14675" s="33" t="str">
        <f>IFERROR(VLOOKUP($D14675,'Informations sur les produits'!$A$3:$H$10000,8,FALSE),"0")</f>
        <v>0</v>
      </c>
      <c r="K14675" s="4"/>
      <c r="L14675" s="33" t="str">
        <f>IFERROR(VLOOKUP($J14675,'Informations sur les produits'!$A$3:$H$10000,8,FALSE),"0")</f>
        <v>0</v>
      </c>
      <c r="N14675" s="8"/>
      <c r="O14675" s="33" t="str">
        <f>IFERROR(VLOOKUP($M14675,'Informations sur les produits'!$A$3:$H$10000,8,FALSE),"0")</f>
        <v>0</v>
      </c>
      <c r="P14675" s="33">
        <f t="shared" si="916"/>
        <v>0</v>
      </c>
      <c r="Q14675" s="31" t="str">
        <f t="shared" si="917"/>
        <v/>
      </c>
      <c r="R14675" s="32" t="str">
        <f>IFERROR(VLOOKUP($D14675,'Informations sur les produits'!$A$3:$B$15000,2,FALSE),"")</f>
        <v/>
      </c>
      <c r="V14675">
        <f t="shared" si="918"/>
        <v>0</v>
      </c>
      <c r="W14675">
        <f t="shared" si="919"/>
        <v>0</v>
      </c>
    </row>
    <row r="14676" spans="5:23" x14ac:dyDescent="0.25">
      <c r="E14676" s="4"/>
      <c r="F14676" s="4"/>
      <c r="G14676" s="33" t="str">
        <f>IFERROR(VLOOKUP($D14676,'Informations sur les produits'!$A$3:$H$10000,8,FALSE),"0")</f>
        <v>0</v>
      </c>
      <c r="K14676" s="4"/>
      <c r="L14676" s="33" t="str">
        <f>IFERROR(VLOOKUP($J14676,'Informations sur les produits'!$A$3:$H$10000,8,FALSE),"0")</f>
        <v>0</v>
      </c>
      <c r="N14676" s="8"/>
      <c r="O14676" s="33" t="str">
        <f>IFERROR(VLOOKUP($M14676,'Informations sur les produits'!$A$3:$H$10000,8,FALSE),"0")</f>
        <v>0</v>
      </c>
      <c r="P14676" s="33">
        <f t="shared" si="916"/>
        <v>0</v>
      </c>
      <c r="Q14676" s="31" t="str">
        <f t="shared" si="917"/>
        <v/>
      </c>
      <c r="R14676" s="32" t="str">
        <f>IFERROR(VLOOKUP($D14676,'Informations sur les produits'!$A$3:$B$15000,2,FALSE),"")</f>
        <v/>
      </c>
      <c r="V14676">
        <f t="shared" si="918"/>
        <v>0</v>
      </c>
      <c r="W14676">
        <f t="shared" si="919"/>
        <v>0</v>
      </c>
    </row>
    <row r="14677" spans="5:23" x14ac:dyDescent="0.25">
      <c r="E14677" s="4"/>
      <c r="F14677" s="4"/>
      <c r="G14677" s="33" t="str">
        <f>IFERROR(VLOOKUP($D14677,'Informations sur les produits'!$A$3:$H$10000,8,FALSE),"0")</f>
        <v>0</v>
      </c>
      <c r="K14677" s="4"/>
      <c r="L14677" s="33" t="str">
        <f>IFERROR(VLOOKUP($J14677,'Informations sur les produits'!$A$3:$H$10000,8,FALSE),"0")</f>
        <v>0</v>
      </c>
      <c r="N14677" s="8"/>
      <c r="O14677" s="33" t="str">
        <f>IFERROR(VLOOKUP($M14677,'Informations sur les produits'!$A$3:$H$10000,8,FALSE),"0")</f>
        <v>0</v>
      </c>
      <c r="P14677" s="33">
        <f t="shared" si="916"/>
        <v>0</v>
      </c>
      <c r="Q14677" s="31" t="str">
        <f t="shared" si="917"/>
        <v/>
      </c>
      <c r="R14677" s="32" t="str">
        <f>IFERROR(VLOOKUP($D14677,'Informations sur les produits'!$A$3:$B$15000,2,FALSE),"")</f>
        <v/>
      </c>
      <c r="V14677">
        <f t="shared" si="918"/>
        <v>0</v>
      </c>
      <c r="W14677">
        <f t="shared" si="919"/>
        <v>0</v>
      </c>
    </row>
    <row r="14678" spans="5:23" x14ac:dyDescent="0.25">
      <c r="E14678" s="4"/>
      <c r="F14678" s="4"/>
      <c r="G14678" s="33" t="str">
        <f>IFERROR(VLOOKUP($D14678,'Informations sur les produits'!$A$3:$H$10000,8,FALSE),"0")</f>
        <v>0</v>
      </c>
      <c r="K14678" s="4"/>
      <c r="L14678" s="33" t="str">
        <f>IFERROR(VLOOKUP($J14678,'Informations sur les produits'!$A$3:$H$10000,8,FALSE),"0")</f>
        <v>0</v>
      </c>
      <c r="N14678" s="8"/>
      <c r="O14678" s="33" t="str">
        <f>IFERROR(VLOOKUP($M14678,'Informations sur les produits'!$A$3:$H$10000,8,FALSE),"0")</f>
        <v>0</v>
      </c>
      <c r="P14678" s="33">
        <f t="shared" si="916"/>
        <v>0</v>
      </c>
      <c r="Q14678" s="31" t="str">
        <f t="shared" si="917"/>
        <v/>
      </c>
      <c r="R14678" s="32" t="str">
        <f>IFERROR(VLOOKUP($D14678,'Informations sur les produits'!$A$3:$B$15000,2,FALSE),"")</f>
        <v/>
      </c>
      <c r="V14678">
        <f t="shared" si="918"/>
        <v>0</v>
      </c>
      <c r="W14678">
        <f t="shared" si="919"/>
        <v>0</v>
      </c>
    </row>
    <row r="14679" spans="5:23" x14ac:dyDescent="0.25">
      <c r="E14679" s="4"/>
      <c r="F14679" s="4"/>
      <c r="G14679" s="33" t="str">
        <f>IFERROR(VLOOKUP($D14679,'Informations sur les produits'!$A$3:$H$10000,8,FALSE),"0")</f>
        <v>0</v>
      </c>
      <c r="K14679" s="4"/>
      <c r="L14679" s="33" t="str">
        <f>IFERROR(VLOOKUP($J14679,'Informations sur les produits'!$A$3:$H$10000,8,FALSE),"0")</f>
        <v>0</v>
      </c>
      <c r="N14679" s="8"/>
      <c r="O14679" s="33" t="str">
        <f>IFERROR(VLOOKUP($M14679,'Informations sur les produits'!$A$3:$H$10000,8,FALSE),"0")</f>
        <v>0</v>
      </c>
      <c r="P14679" s="33">
        <f t="shared" si="916"/>
        <v>0</v>
      </c>
      <c r="Q14679" s="31" t="str">
        <f t="shared" si="917"/>
        <v/>
      </c>
      <c r="R14679" s="32" t="str">
        <f>IFERROR(VLOOKUP($D14679,'Informations sur les produits'!$A$3:$B$15000,2,FALSE),"")</f>
        <v/>
      </c>
      <c r="V14679">
        <f t="shared" si="918"/>
        <v>0</v>
      </c>
      <c r="W14679">
        <f t="shared" si="919"/>
        <v>0</v>
      </c>
    </row>
    <row r="14680" spans="5:23" x14ac:dyDescent="0.25">
      <c r="E14680" s="4"/>
      <c r="F14680" s="4"/>
      <c r="G14680" s="33" t="str">
        <f>IFERROR(VLOOKUP($D14680,'Informations sur les produits'!$A$3:$H$10000,8,FALSE),"0")</f>
        <v>0</v>
      </c>
      <c r="K14680" s="4"/>
      <c r="L14680" s="33" t="str">
        <f>IFERROR(VLOOKUP($J14680,'Informations sur les produits'!$A$3:$H$10000,8,FALSE),"0")</f>
        <v>0</v>
      </c>
      <c r="N14680" s="8"/>
      <c r="O14680" s="33" t="str">
        <f>IFERROR(VLOOKUP($M14680,'Informations sur les produits'!$A$3:$H$10000,8,FALSE),"0")</f>
        <v>0</v>
      </c>
      <c r="P14680" s="33">
        <f t="shared" si="916"/>
        <v>0</v>
      </c>
      <c r="Q14680" s="31" t="str">
        <f t="shared" si="917"/>
        <v/>
      </c>
      <c r="R14680" s="32" t="str">
        <f>IFERROR(VLOOKUP($D14680,'Informations sur les produits'!$A$3:$B$15000,2,FALSE),"")</f>
        <v/>
      </c>
      <c r="V14680">
        <f t="shared" si="918"/>
        <v>0</v>
      </c>
      <c r="W14680">
        <f t="shared" si="919"/>
        <v>0</v>
      </c>
    </row>
    <row r="14681" spans="5:23" x14ac:dyDescent="0.25">
      <c r="E14681" s="4"/>
      <c r="F14681" s="4"/>
      <c r="G14681" s="33" t="str">
        <f>IFERROR(VLOOKUP($D14681,'Informations sur les produits'!$A$3:$H$10000,8,FALSE),"0")</f>
        <v>0</v>
      </c>
      <c r="K14681" s="4"/>
      <c r="L14681" s="33" t="str">
        <f>IFERROR(VLOOKUP($J14681,'Informations sur les produits'!$A$3:$H$10000,8,FALSE),"0")</f>
        <v>0</v>
      </c>
      <c r="N14681" s="8"/>
      <c r="O14681" s="33" t="str">
        <f>IFERROR(VLOOKUP($M14681,'Informations sur les produits'!$A$3:$H$10000,8,FALSE),"0")</f>
        <v>0</v>
      </c>
      <c r="P14681" s="33">
        <f t="shared" si="916"/>
        <v>0</v>
      </c>
      <c r="Q14681" s="31" t="str">
        <f t="shared" si="917"/>
        <v/>
      </c>
      <c r="R14681" s="32" t="str">
        <f>IFERROR(VLOOKUP($D14681,'Informations sur les produits'!$A$3:$B$15000,2,FALSE),"")</f>
        <v/>
      </c>
      <c r="V14681">
        <f t="shared" si="918"/>
        <v>0</v>
      </c>
      <c r="W14681">
        <f t="shared" si="919"/>
        <v>0</v>
      </c>
    </row>
    <row r="14682" spans="5:23" x14ac:dyDescent="0.25">
      <c r="E14682" s="4"/>
      <c r="F14682" s="4"/>
      <c r="G14682" s="33" t="str">
        <f>IFERROR(VLOOKUP($D14682,'Informations sur les produits'!$A$3:$H$10000,8,FALSE),"0")</f>
        <v>0</v>
      </c>
      <c r="K14682" s="4"/>
      <c r="L14682" s="33" t="str">
        <f>IFERROR(VLOOKUP($J14682,'Informations sur les produits'!$A$3:$H$10000,8,FALSE),"0")</f>
        <v>0</v>
      </c>
      <c r="N14682" s="8"/>
      <c r="O14682" s="33" t="str">
        <f>IFERROR(VLOOKUP($M14682,'Informations sur les produits'!$A$3:$H$10000,8,FALSE),"0")</f>
        <v>0</v>
      </c>
      <c r="P14682" s="33">
        <f t="shared" si="916"/>
        <v>0</v>
      </c>
      <c r="Q14682" s="31" t="str">
        <f t="shared" si="917"/>
        <v/>
      </c>
      <c r="R14682" s="32" t="str">
        <f>IFERROR(VLOOKUP($D14682,'Informations sur les produits'!$A$3:$B$15000,2,FALSE),"")</f>
        <v/>
      </c>
      <c r="V14682">
        <f t="shared" si="918"/>
        <v>0</v>
      </c>
      <c r="W14682">
        <f t="shared" si="919"/>
        <v>0</v>
      </c>
    </row>
    <row r="14683" spans="5:23" x14ac:dyDescent="0.25">
      <c r="E14683" s="4"/>
      <c r="F14683" s="4"/>
      <c r="G14683" s="33" t="str">
        <f>IFERROR(VLOOKUP($D14683,'Informations sur les produits'!$A$3:$H$10000,8,FALSE),"0")</f>
        <v>0</v>
      </c>
      <c r="K14683" s="4"/>
      <c r="L14683" s="33" t="str">
        <f>IFERROR(VLOOKUP($J14683,'Informations sur les produits'!$A$3:$H$10000,8,FALSE),"0")</f>
        <v>0</v>
      </c>
      <c r="N14683" s="8"/>
      <c r="O14683" s="33" t="str">
        <f>IFERROR(VLOOKUP($M14683,'Informations sur les produits'!$A$3:$H$10000,8,FALSE),"0")</f>
        <v>0</v>
      </c>
      <c r="P14683" s="33">
        <f t="shared" si="916"/>
        <v>0</v>
      </c>
      <c r="Q14683" s="31" t="str">
        <f t="shared" si="917"/>
        <v/>
      </c>
      <c r="R14683" s="32" t="str">
        <f>IFERROR(VLOOKUP($D14683,'Informations sur les produits'!$A$3:$B$15000,2,FALSE),"")</f>
        <v/>
      </c>
      <c r="V14683">
        <f t="shared" si="918"/>
        <v>0</v>
      </c>
      <c r="W14683">
        <f t="shared" si="919"/>
        <v>0</v>
      </c>
    </row>
    <row r="14684" spans="5:23" x14ac:dyDescent="0.25">
      <c r="E14684" s="4"/>
      <c r="F14684" s="4"/>
      <c r="G14684" s="33" t="str">
        <f>IFERROR(VLOOKUP($D14684,'Informations sur les produits'!$A$3:$H$10000,8,FALSE),"0")</f>
        <v>0</v>
      </c>
      <c r="K14684" s="4"/>
      <c r="L14684" s="33" t="str">
        <f>IFERROR(VLOOKUP($J14684,'Informations sur les produits'!$A$3:$H$10000,8,FALSE),"0")</f>
        <v>0</v>
      </c>
      <c r="N14684" s="8"/>
      <c r="O14684" s="33" t="str">
        <f>IFERROR(VLOOKUP($M14684,'Informations sur les produits'!$A$3:$H$10000,8,FALSE),"0")</f>
        <v>0</v>
      </c>
      <c r="P14684" s="33">
        <f t="shared" si="916"/>
        <v>0</v>
      </c>
      <c r="Q14684" s="31" t="str">
        <f t="shared" si="917"/>
        <v/>
      </c>
      <c r="R14684" s="32" t="str">
        <f>IFERROR(VLOOKUP($D14684,'Informations sur les produits'!$A$3:$B$15000,2,FALSE),"")</f>
        <v/>
      </c>
      <c r="V14684">
        <f t="shared" si="918"/>
        <v>0</v>
      </c>
      <c r="W14684">
        <f t="shared" si="919"/>
        <v>0</v>
      </c>
    </row>
    <row r="14685" spans="5:23" x14ac:dyDescent="0.25">
      <c r="E14685" s="4"/>
      <c r="F14685" s="4"/>
      <c r="G14685" s="33" t="str">
        <f>IFERROR(VLOOKUP($D14685,'Informations sur les produits'!$A$3:$H$10000,8,FALSE),"0")</f>
        <v>0</v>
      </c>
      <c r="K14685" s="4"/>
      <c r="L14685" s="33" t="str">
        <f>IFERROR(VLOOKUP($J14685,'Informations sur les produits'!$A$3:$H$10000,8,FALSE),"0")</f>
        <v>0</v>
      </c>
      <c r="N14685" s="8"/>
      <c r="O14685" s="33" t="str">
        <f>IFERROR(VLOOKUP($M14685,'Informations sur les produits'!$A$3:$H$10000,8,FALSE),"0")</f>
        <v>0</v>
      </c>
      <c r="P14685" s="33">
        <f t="shared" si="916"/>
        <v>0</v>
      </c>
      <c r="Q14685" s="31" t="str">
        <f t="shared" si="917"/>
        <v/>
      </c>
      <c r="R14685" s="32" t="str">
        <f>IFERROR(VLOOKUP($D14685,'Informations sur les produits'!$A$3:$B$15000,2,FALSE),"")</f>
        <v/>
      </c>
      <c r="V14685">
        <f t="shared" si="918"/>
        <v>0</v>
      </c>
      <c r="W14685">
        <f t="shared" si="919"/>
        <v>0</v>
      </c>
    </row>
    <row r="14686" spans="5:23" x14ac:dyDescent="0.25">
      <c r="E14686" s="4"/>
      <c r="F14686" s="4"/>
      <c r="G14686" s="33" t="str">
        <f>IFERROR(VLOOKUP($D14686,'Informations sur les produits'!$A$3:$H$10000,8,FALSE),"0")</f>
        <v>0</v>
      </c>
      <c r="K14686" s="4"/>
      <c r="L14686" s="33" t="str">
        <f>IFERROR(VLOOKUP($J14686,'Informations sur les produits'!$A$3:$H$10000,8,FALSE),"0")</f>
        <v>0</v>
      </c>
      <c r="N14686" s="8"/>
      <c r="O14686" s="33" t="str">
        <f>IFERROR(VLOOKUP($M14686,'Informations sur les produits'!$A$3:$H$10000,8,FALSE),"0")</f>
        <v>0</v>
      </c>
      <c r="P14686" s="33">
        <f t="shared" si="916"/>
        <v>0</v>
      </c>
      <c r="Q14686" s="31" t="str">
        <f t="shared" si="917"/>
        <v/>
      </c>
      <c r="R14686" s="32" t="str">
        <f>IFERROR(VLOOKUP($D14686,'Informations sur les produits'!$A$3:$B$15000,2,FALSE),"")</f>
        <v/>
      </c>
      <c r="V14686">
        <f t="shared" si="918"/>
        <v>0</v>
      </c>
      <c r="W14686">
        <f t="shared" si="919"/>
        <v>0</v>
      </c>
    </row>
    <row r="14687" spans="5:23" x14ac:dyDescent="0.25">
      <c r="E14687" s="4"/>
      <c r="F14687" s="4"/>
      <c r="G14687" s="33" t="str">
        <f>IFERROR(VLOOKUP($D14687,'Informations sur les produits'!$A$3:$H$10000,8,FALSE),"0")</f>
        <v>0</v>
      </c>
      <c r="K14687" s="4"/>
      <c r="L14687" s="33" t="str">
        <f>IFERROR(VLOOKUP($J14687,'Informations sur les produits'!$A$3:$H$10000,8,FALSE),"0")</f>
        <v>0</v>
      </c>
      <c r="N14687" s="8"/>
      <c r="O14687" s="33" t="str">
        <f>IFERROR(VLOOKUP($M14687,'Informations sur les produits'!$A$3:$H$10000,8,FALSE),"0")</f>
        <v>0</v>
      </c>
      <c r="P14687" s="33">
        <f t="shared" si="916"/>
        <v>0</v>
      </c>
      <c r="Q14687" s="31" t="str">
        <f t="shared" si="917"/>
        <v/>
      </c>
      <c r="R14687" s="32" t="str">
        <f>IFERROR(VLOOKUP($D14687,'Informations sur les produits'!$A$3:$B$15000,2,FALSE),"")</f>
        <v/>
      </c>
      <c r="V14687">
        <f t="shared" si="918"/>
        <v>0</v>
      </c>
      <c r="W14687">
        <f t="shared" si="919"/>
        <v>0</v>
      </c>
    </row>
    <row r="14688" spans="5:23" x14ac:dyDescent="0.25">
      <c r="E14688" s="4"/>
      <c r="F14688" s="4"/>
      <c r="G14688" s="33" t="str">
        <f>IFERROR(VLOOKUP($D14688,'Informations sur les produits'!$A$3:$H$10000,8,FALSE),"0")</f>
        <v>0</v>
      </c>
      <c r="K14688" s="4"/>
      <c r="L14688" s="33" t="str">
        <f>IFERROR(VLOOKUP($J14688,'Informations sur les produits'!$A$3:$H$10000,8,FALSE),"0")</f>
        <v>0</v>
      </c>
      <c r="N14688" s="8"/>
      <c r="O14688" s="33" t="str">
        <f>IFERROR(VLOOKUP($M14688,'Informations sur les produits'!$A$3:$H$10000,8,FALSE),"0")</f>
        <v>0</v>
      </c>
      <c r="P14688" s="33">
        <f t="shared" si="916"/>
        <v>0</v>
      </c>
      <c r="Q14688" s="31" t="str">
        <f t="shared" si="917"/>
        <v/>
      </c>
      <c r="R14688" s="32" t="str">
        <f>IFERROR(VLOOKUP($D14688,'Informations sur les produits'!$A$3:$B$15000,2,FALSE),"")</f>
        <v/>
      </c>
      <c r="V14688">
        <f t="shared" si="918"/>
        <v>0</v>
      </c>
      <c r="W14688">
        <f t="shared" si="919"/>
        <v>0</v>
      </c>
    </row>
    <row r="14689" spans="5:23" x14ac:dyDescent="0.25">
      <c r="E14689" s="4"/>
      <c r="F14689" s="4"/>
      <c r="G14689" s="33" t="str">
        <f>IFERROR(VLOOKUP($D14689,'Informations sur les produits'!$A$3:$H$10000,8,FALSE),"0")</f>
        <v>0</v>
      </c>
      <c r="K14689" s="4"/>
      <c r="L14689" s="33" t="str">
        <f>IFERROR(VLOOKUP($J14689,'Informations sur les produits'!$A$3:$H$10000,8,FALSE),"0")</f>
        <v>0</v>
      </c>
      <c r="N14689" s="8"/>
      <c r="O14689" s="33" t="str">
        <f>IFERROR(VLOOKUP($M14689,'Informations sur les produits'!$A$3:$H$10000,8,FALSE),"0")</f>
        <v>0</v>
      </c>
      <c r="P14689" s="33">
        <f t="shared" si="916"/>
        <v>0</v>
      </c>
      <c r="Q14689" s="31" t="str">
        <f t="shared" si="917"/>
        <v/>
      </c>
      <c r="R14689" s="32" t="str">
        <f>IFERROR(VLOOKUP($D14689,'Informations sur les produits'!$A$3:$B$15000,2,FALSE),"")</f>
        <v/>
      </c>
      <c r="V14689">
        <f t="shared" si="918"/>
        <v>0</v>
      </c>
      <c r="W14689">
        <f t="shared" si="919"/>
        <v>0</v>
      </c>
    </row>
    <row r="14690" spans="5:23" x14ac:dyDescent="0.25">
      <c r="E14690" s="4"/>
      <c r="F14690" s="4"/>
      <c r="G14690" s="33" t="str">
        <f>IFERROR(VLOOKUP($D14690,'Informations sur les produits'!$A$3:$H$10000,8,FALSE),"0")</f>
        <v>0</v>
      </c>
      <c r="K14690" s="4"/>
      <c r="L14690" s="33" t="str">
        <f>IFERROR(VLOOKUP($J14690,'Informations sur les produits'!$A$3:$H$10000,8,FALSE),"0")</f>
        <v>0</v>
      </c>
      <c r="N14690" s="8"/>
      <c r="O14690" s="33" t="str">
        <f>IFERROR(VLOOKUP($M14690,'Informations sur les produits'!$A$3:$H$10000,8,FALSE),"0")</f>
        <v>0</v>
      </c>
      <c r="P14690" s="33">
        <f t="shared" si="916"/>
        <v>0</v>
      </c>
      <c r="Q14690" s="31" t="str">
        <f t="shared" si="917"/>
        <v/>
      </c>
      <c r="R14690" s="32" t="str">
        <f>IFERROR(VLOOKUP($D14690,'Informations sur les produits'!$A$3:$B$15000,2,FALSE),"")</f>
        <v/>
      </c>
      <c r="V14690">
        <f t="shared" si="918"/>
        <v>0</v>
      </c>
      <c r="W14690">
        <f t="shared" si="919"/>
        <v>0</v>
      </c>
    </row>
    <row r="14691" spans="5:23" x14ac:dyDescent="0.25">
      <c r="E14691" s="4"/>
      <c r="F14691" s="4"/>
      <c r="G14691" s="33" t="str">
        <f>IFERROR(VLOOKUP($D14691,'Informations sur les produits'!$A$3:$H$10000,8,FALSE),"0")</f>
        <v>0</v>
      </c>
      <c r="K14691" s="4"/>
      <c r="L14691" s="33" t="str">
        <f>IFERROR(VLOOKUP($J14691,'Informations sur les produits'!$A$3:$H$10000,8,FALSE),"0")</f>
        <v>0</v>
      </c>
      <c r="N14691" s="8"/>
      <c r="O14691" s="33" t="str">
        <f>IFERROR(VLOOKUP($M14691,'Informations sur les produits'!$A$3:$H$10000,8,FALSE),"0")</f>
        <v>0</v>
      </c>
      <c r="P14691" s="33">
        <f t="shared" si="916"/>
        <v>0</v>
      </c>
      <c r="Q14691" s="31" t="str">
        <f t="shared" si="917"/>
        <v/>
      </c>
      <c r="R14691" s="32" t="str">
        <f>IFERROR(VLOOKUP($D14691,'Informations sur les produits'!$A$3:$B$15000,2,FALSE),"")</f>
        <v/>
      </c>
      <c r="V14691">
        <f t="shared" si="918"/>
        <v>0</v>
      </c>
      <c r="W14691">
        <f t="shared" si="919"/>
        <v>0</v>
      </c>
    </row>
    <row r="14692" spans="5:23" x14ac:dyDescent="0.25">
      <c r="E14692" s="4"/>
      <c r="F14692" s="4"/>
      <c r="G14692" s="33" t="str">
        <f>IFERROR(VLOOKUP($D14692,'Informations sur les produits'!$A$3:$H$10000,8,FALSE),"0")</f>
        <v>0</v>
      </c>
      <c r="K14692" s="4"/>
      <c r="L14692" s="33" t="str">
        <f>IFERROR(VLOOKUP($J14692,'Informations sur les produits'!$A$3:$H$10000,8,FALSE),"0")</f>
        <v>0</v>
      </c>
      <c r="N14692" s="8"/>
      <c r="O14692" s="33" t="str">
        <f>IFERROR(VLOOKUP($M14692,'Informations sur les produits'!$A$3:$H$10000,8,FALSE),"0")</f>
        <v>0</v>
      </c>
      <c r="P14692" s="33">
        <f t="shared" si="916"/>
        <v>0</v>
      </c>
      <c r="Q14692" s="31" t="str">
        <f t="shared" si="917"/>
        <v/>
      </c>
      <c r="R14692" s="32" t="str">
        <f>IFERROR(VLOOKUP($D14692,'Informations sur les produits'!$A$3:$B$15000,2,FALSE),"")</f>
        <v/>
      </c>
      <c r="V14692">
        <f t="shared" si="918"/>
        <v>0</v>
      </c>
      <c r="W14692">
        <f t="shared" si="919"/>
        <v>0</v>
      </c>
    </row>
    <row r="14693" spans="5:23" x14ac:dyDescent="0.25">
      <c r="E14693" s="4"/>
      <c r="F14693" s="4"/>
      <c r="G14693" s="33" t="str">
        <f>IFERROR(VLOOKUP($D14693,'Informations sur les produits'!$A$3:$H$10000,8,FALSE),"0")</f>
        <v>0</v>
      </c>
      <c r="K14693" s="4"/>
      <c r="L14693" s="33" t="str">
        <f>IFERROR(VLOOKUP($J14693,'Informations sur les produits'!$A$3:$H$10000,8,FALSE),"0")</f>
        <v>0</v>
      </c>
      <c r="N14693" s="8"/>
      <c r="O14693" s="33" t="str">
        <f>IFERROR(VLOOKUP($M14693,'Informations sur les produits'!$A$3:$H$10000,8,FALSE),"0")</f>
        <v>0</v>
      </c>
      <c r="P14693" s="33">
        <f t="shared" si="916"/>
        <v>0</v>
      </c>
      <c r="Q14693" s="31" t="str">
        <f t="shared" si="917"/>
        <v/>
      </c>
      <c r="R14693" s="32" t="str">
        <f>IFERROR(VLOOKUP($D14693,'Informations sur les produits'!$A$3:$B$15000,2,FALSE),"")</f>
        <v/>
      </c>
      <c r="V14693">
        <f t="shared" si="918"/>
        <v>0</v>
      </c>
      <c r="W14693">
        <f t="shared" si="919"/>
        <v>0</v>
      </c>
    </row>
    <row r="14694" spans="5:23" x14ac:dyDescent="0.25">
      <c r="E14694" s="4"/>
      <c r="F14694" s="4"/>
      <c r="G14694" s="33" t="str">
        <f>IFERROR(VLOOKUP($D14694,'Informations sur les produits'!$A$3:$H$10000,8,FALSE),"0")</f>
        <v>0</v>
      </c>
      <c r="K14694" s="4"/>
      <c r="L14694" s="33" t="str">
        <f>IFERROR(VLOOKUP($J14694,'Informations sur les produits'!$A$3:$H$10000,8,FALSE),"0")</f>
        <v>0</v>
      </c>
      <c r="N14694" s="8"/>
      <c r="O14694" s="33" t="str">
        <f>IFERROR(VLOOKUP($M14694,'Informations sur les produits'!$A$3:$H$10000,8,FALSE),"0")</f>
        <v>0</v>
      </c>
      <c r="P14694" s="33">
        <f t="shared" si="916"/>
        <v>0</v>
      </c>
      <c r="Q14694" s="31" t="str">
        <f t="shared" si="917"/>
        <v/>
      </c>
      <c r="R14694" s="32" t="str">
        <f>IFERROR(VLOOKUP($D14694,'Informations sur les produits'!$A$3:$B$15000,2,FALSE),"")</f>
        <v/>
      </c>
      <c r="V14694">
        <f t="shared" si="918"/>
        <v>0</v>
      </c>
      <c r="W14694">
        <f t="shared" si="919"/>
        <v>0</v>
      </c>
    </row>
    <row r="14695" spans="5:23" x14ac:dyDescent="0.25">
      <c r="E14695" s="4"/>
      <c r="F14695" s="4"/>
      <c r="G14695" s="33" t="str">
        <f>IFERROR(VLOOKUP($D14695,'Informations sur les produits'!$A$3:$H$10000,8,FALSE),"0")</f>
        <v>0</v>
      </c>
      <c r="K14695" s="4"/>
      <c r="L14695" s="33" t="str">
        <f>IFERROR(VLOOKUP($J14695,'Informations sur les produits'!$A$3:$H$10000,8,FALSE),"0")</f>
        <v>0</v>
      </c>
      <c r="N14695" s="8"/>
      <c r="O14695" s="33" t="str">
        <f>IFERROR(VLOOKUP($M14695,'Informations sur les produits'!$A$3:$H$10000,8,FALSE),"0")</f>
        <v>0</v>
      </c>
      <c r="P14695" s="33">
        <f t="shared" si="916"/>
        <v>0</v>
      </c>
      <c r="Q14695" s="31" t="str">
        <f t="shared" si="917"/>
        <v/>
      </c>
      <c r="R14695" s="32" t="str">
        <f>IFERROR(VLOOKUP($D14695,'Informations sur les produits'!$A$3:$B$15000,2,FALSE),"")</f>
        <v/>
      </c>
      <c r="V14695">
        <f t="shared" si="918"/>
        <v>0</v>
      </c>
      <c r="W14695">
        <f t="shared" si="919"/>
        <v>0</v>
      </c>
    </row>
    <row r="14696" spans="5:23" x14ac:dyDescent="0.25">
      <c r="E14696" s="4"/>
      <c r="F14696" s="4"/>
      <c r="G14696" s="33" t="str">
        <f>IFERROR(VLOOKUP($D14696,'Informations sur les produits'!$A$3:$H$10000,8,FALSE),"0")</f>
        <v>0</v>
      </c>
      <c r="K14696" s="4"/>
      <c r="L14696" s="33" t="str">
        <f>IFERROR(VLOOKUP($J14696,'Informations sur les produits'!$A$3:$H$10000,8,FALSE),"0")</f>
        <v>0</v>
      </c>
      <c r="N14696" s="8"/>
      <c r="O14696" s="33" t="str">
        <f>IFERROR(VLOOKUP($M14696,'Informations sur les produits'!$A$3:$H$10000,8,FALSE),"0")</f>
        <v>0</v>
      </c>
      <c r="P14696" s="33">
        <f t="shared" si="916"/>
        <v>0</v>
      </c>
      <c r="Q14696" s="31" t="str">
        <f t="shared" si="917"/>
        <v/>
      </c>
      <c r="R14696" s="32" t="str">
        <f>IFERROR(VLOOKUP($D14696,'Informations sur les produits'!$A$3:$B$15000,2,FALSE),"")</f>
        <v/>
      </c>
      <c r="V14696">
        <f t="shared" si="918"/>
        <v>0</v>
      </c>
      <c r="W14696">
        <f t="shared" si="919"/>
        <v>0</v>
      </c>
    </row>
    <row r="14697" spans="5:23" x14ac:dyDescent="0.25">
      <c r="E14697" s="4"/>
      <c r="F14697" s="4"/>
      <c r="G14697" s="33" t="str">
        <f>IFERROR(VLOOKUP($D14697,'Informations sur les produits'!$A$3:$H$10000,8,FALSE),"0")</f>
        <v>0</v>
      </c>
      <c r="K14697" s="4"/>
      <c r="L14697" s="33" t="str">
        <f>IFERROR(VLOOKUP($J14697,'Informations sur les produits'!$A$3:$H$10000,8,FALSE),"0")</f>
        <v>0</v>
      </c>
      <c r="N14697" s="8"/>
      <c r="O14697" s="33" t="str">
        <f>IFERROR(VLOOKUP($M14697,'Informations sur les produits'!$A$3:$H$10000,8,FALSE),"0")</f>
        <v>0</v>
      </c>
      <c r="P14697" s="33">
        <f t="shared" si="916"/>
        <v>0</v>
      </c>
      <c r="Q14697" s="31" t="str">
        <f t="shared" si="917"/>
        <v/>
      </c>
      <c r="R14697" s="32" t="str">
        <f>IFERROR(VLOOKUP($D14697,'Informations sur les produits'!$A$3:$B$15000,2,FALSE),"")</f>
        <v/>
      </c>
      <c r="V14697">
        <f t="shared" si="918"/>
        <v>0</v>
      </c>
      <c r="W14697">
        <f t="shared" si="919"/>
        <v>0</v>
      </c>
    </row>
    <row r="14698" spans="5:23" x14ac:dyDescent="0.25">
      <c r="E14698" s="4"/>
      <c r="F14698" s="4"/>
      <c r="G14698" s="33" t="str">
        <f>IFERROR(VLOOKUP($D14698,'Informations sur les produits'!$A$3:$H$10000,8,FALSE),"0")</f>
        <v>0</v>
      </c>
      <c r="K14698" s="4"/>
      <c r="L14698" s="33" t="str">
        <f>IFERROR(VLOOKUP($J14698,'Informations sur les produits'!$A$3:$H$10000,8,FALSE),"0")</f>
        <v>0</v>
      </c>
      <c r="N14698" s="8"/>
      <c r="O14698" s="33" t="str">
        <f>IFERROR(VLOOKUP($M14698,'Informations sur les produits'!$A$3:$H$10000,8,FALSE),"0")</f>
        <v>0</v>
      </c>
      <c r="P14698" s="33">
        <f t="shared" si="916"/>
        <v>0</v>
      </c>
      <c r="Q14698" s="31" t="str">
        <f t="shared" si="917"/>
        <v/>
      </c>
      <c r="R14698" s="32" t="str">
        <f>IFERROR(VLOOKUP($D14698,'Informations sur les produits'!$A$3:$B$15000,2,FALSE),"")</f>
        <v/>
      </c>
      <c r="V14698">
        <f t="shared" si="918"/>
        <v>0</v>
      </c>
      <c r="W14698">
        <f t="shared" si="919"/>
        <v>0</v>
      </c>
    </row>
    <row r="14699" spans="5:23" x14ac:dyDescent="0.25">
      <c r="E14699" s="4"/>
      <c r="F14699" s="4"/>
      <c r="G14699" s="33" t="str">
        <f>IFERROR(VLOOKUP($D14699,'Informations sur les produits'!$A$3:$H$10000,8,FALSE),"0")</f>
        <v>0</v>
      </c>
      <c r="K14699" s="4"/>
      <c r="L14699" s="33" t="str">
        <f>IFERROR(VLOOKUP($J14699,'Informations sur les produits'!$A$3:$H$10000,8,FALSE),"0")</f>
        <v>0</v>
      </c>
      <c r="N14699" s="8"/>
      <c r="O14699" s="33" t="str">
        <f>IFERROR(VLOOKUP($M14699,'Informations sur les produits'!$A$3:$H$10000,8,FALSE),"0")</f>
        <v>0</v>
      </c>
      <c r="P14699" s="33">
        <f t="shared" si="916"/>
        <v>0</v>
      </c>
      <c r="Q14699" s="31" t="str">
        <f t="shared" si="917"/>
        <v/>
      </c>
      <c r="R14699" s="32" t="str">
        <f>IFERROR(VLOOKUP($D14699,'Informations sur les produits'!$A$3:$B$15000,2,FALSE),"")</f>
        <v/>
      </c>
      <c r="V14699">
        <f t="shared" si="918"/>
        <v>0</v>
      </c>
      <c r="W14699">
        <f t="shared" si="919"/>
        <v>0</v>
      </c>
    </row>
    <row r="14700" spans="5:23" x14ac:dyDescent="0.25">
      <c r="E14700" s="4"/>
      <c r="F14700" s="4"/>
      <c r="G14700" s="33" t="str">
        <f>IFERROR(VLOOKUP($D14700,'Informations sur les produits'!$A$3:$H$10000,8,FALSE),"0")</f>
        <v>0</v>
      </c>
      <c r="K14700" s="4"/>
      <c r="L14700" s="33" t="str">
        <f>IFERROR(VLOOKUP($J14700,'Informations sur les produits'!$A$3:$H$10000,8,FALSE),"0")</f>
        <v>0</v>
      </c>
      <c r="N14700" s="8"/>
      <c r="O14700" s="33" t="str">
        <f>IFERROR(VLOOKUP($M14700,'Informations sur les produits'!$A$3:$H$10000,8,FALSE),"0")</f>
        <v>0</v>
      </c>
      <c r="P14700" s="33">
        <f t="shared" si="916"/>
        <v>0</v>
      </c>
      <c r="Q14700" s="31" t="str">
        <f t="shared" si="917"/>
        <v/>
      </c>
      <c r="R14700" s="32" t="str">
        <f>IFERROR(VLOOKUP($D14700,'Informations sur les produits'!$A$3:$B$15000,2,FALSE),"")</f>
        <v/>
      </c>
      <c r="V14700">
        <f t="shared" si="918"/>
        <v>0</v>
      </c>
      <c r="W14700">
        <f t="shared" si="919"/>
        <v>0</v>
      </c>
    </row>
    <row r="14701" spans="5:23" x14ac:dyDescent="0.25">
      <c r="E14701" s="4"/>
      <c r="F14701" s="4"/>
      <c r="G14701" s="33" t="str">
        <f>IFERROR(VLOOKUP($D14701,'Informations sur les produits'!$A$3:$H$10000,8,FALSE),"0")</f>
        <v>0</v>
      </c>
      <c r="K14701" s="4"/>
      <c r="L14701" s="33" t="str">
        <f>IFERROR(VLOOKUP($J14701,'Informations sur les produits'!$A$3:$H$10000,8,FALSE),"0")</f>
        <v>0</v>
      </c>
      <c r="N14701" s="8"/>
      <c r="O14701" s="33" t="str">
        <f>IFERROR(VLOOKUP($M14701,'Informations sur les produits'!$A$3:$H$10000,8,FALSE),"0")</f>
        <v>0</v>
      </c>
      <c r="P14701" s="33">
        <f t="shared" si="916"/>
        <v>0</v>
      </c>
      <c r="Q14701" s="31" t="str">
        <f t="shared" si="917"/>
        <v/>
      </c>
      <c r="R14701" s="32" t="str">
        <f>IFERROR(VLOOKUP($D14701,'Informations sur les produits'!$A$3:$B$15000,2,FALSE),"")</f>
        <v/>
      </c>
      <c r="V14701">
        <f t="shared" si="918"/>
        <v>0</v>
      </c>
      <c r="W14701">
        <f t="shared" si="919"/>
        <v>0</v>
      </c>
    </row>
    <row r="14702" spans="5:23" x14ac:dyDescent="0.25">
      <c r="E14702" s="4"/>
      <c r="F14702" s="4"/>
      <c r="G14702" s="33" t="str">
        <f>IFERROR(VLOOKUP($D14702,'Informations sur les produits'!$A$3:$H$10000,8,FALSE),"0")</f>
        <v>0</v>
      </c>
      <c r="K14702" s="4"/>
      <c r="L14702" s="33" t="str">
        <f>IFERROR(VLOOKUP($J14702,'Informations sur les produits'!$A$3:$H$10000,8,FALSE),"0")</f>
        <v>0</v>
      </c>
      <c r="N14702" s="8"/>
      <c r="O14702" s="33" t="str">
        <f>IFERROR(VLOOKUP($M14702,'Informations sur les produits'!$A$3:$H$10000,8,FALSE),"0")</f>
        <v>0</v>
      </c>
      <c r="P14702" s="33">
        <f t="shared" si="916"/>
        <v>0</v>
      </c>
      <c r="Q14702" s="31" t="str">
        <f t="shared" si="917"/>
        <v/>
      </c>
      <c r="R14702" s="32" t="str">
        <f>IFERROR(VLOOKUP($D14702,'Informations sur les produits'!$A$3:$B$15000,2,FALSE),"")</f>
        <v/>
      </c>
      <c r="V14702">
        <f t="shared" si="918"/>
        <v>0</v>
      </c>
      <c r="W14702">
        <f t="shared" si="919"/>
        <v>0</v>
      </c>
    </row>
    <row r="14703" spans="5:23" x14ac:dyDescent="0.25">
      <c r="E14703" s="4"/>
      <c r="F14703" s="4"/>
      <c r="G14703" s="33" t="str">
        <f>IFERROR(VLOOKUP($D14703,'Informations sur les produits'!$A$3:$H$10000,8,FALSE),"0")</f>
        <v>0</v>
      </c>
      <c r="K14703" s="4"/>
      <c r="L14703" s="33" t="str">
        <f>IFERROR(VLOOKUP($J14703,'Informations sur les produits'!$A$3:$H$10000,8,FALSE),"0")</f>
        <v>0</v>
      </c>
      <c r="N14703" s="8"/>
      <c r="O14703" s="33" t="str">
        <f>IFERROR(VLOOKUP($M14703,'Informations sur les produits'!$A$3:$H$10000,8,FALSE),"0")</f>
        <v>0</v>
      </c>
      <c r="P14703" s="33">
        <f t="shared" si="916"/>
        <v>0</v>
      </c>
      <c r="Q14703" s="31" t="str">
        <f t="shared" si="917"/>
        <v/>
      </c>
      <c r="R14703" s="32" t="str">
        <f>IFERROR(VLOOKUP($D14703,'Informations sur les produits'!$A$3:$B$15000,2,FALSE),"")</f>
        <v/>
      </c>
      <c r="V14703">
        <f t="shared" si="918"/>
        <v>0</v>
      </c>
      <c r="W14703">
        <f t="shared" si="919"/>
        <v>0</v>
      </c>
    </row>
    <row r="14704" spans="5:23" x14ac:dyDescent="0.25">
      <c r="E14704" s="4"/>
      <c r="F14704" s="4"/>
      <c r="G14704" s="33" t="str">
        <f>IFERROR(VLOOKUP($D14704,'Informations sur les produits'!$A$3:$H$10000,8,FALSE),"0")</f>
        <v>0</v>
      </c>
      <c r="K14704" s="4"/>
      <c r="L14704" s="33" t="str">
        <f>IFERROR(VLOOKUP($J14704,'Informations sur les produits'!$A$3:$H$10000,8,FALSE),"0")</f>
        <v>0</v>
      </c>
      <c r="N14704" s="8"/>
      <c r="O14704" s="33" t="str">
        <f>IFERROR(VLOOKUP($M14704,'Informations sur les produits'!$A$3:$H$10000,8,FALSE),"0")</f>
        <v>0</v>
      </c>
      <c r="P14704" s="33">
        <f t="shared" si="916"/>
        <v>0</v>
      </c>
      <c r="Q14704" s="31" t="str">
        <f t="shared" si="917"/>
        <v/>
      </c>
      <c r="R14704" s="32" t="str">
        <f>IFERROR(VLOOKUP($D14704,'Informations sur les produits'!$A$3:$B$15000,2,FALSE),"")</f>
        <v/>
      </c>
      <c r="V14704">
        <f t="shared" si="918"/>
        <v>0</v>
      </c>
      <c r="W14704">
        <f t="shared" si="919"/>
        <v>0</v>
      </c>
    </row>
    <row r="14705" spans="5:23" x14ac:dyDescent="0.25">
      <c r="E14705" s="4"/>
      <c r="F14705" s="4"/>
      <c r="G14705" s="33" t="str">
        <f>IFERROR(VLOOKUP($D14705,'Informations sur les produits'!$A$3:$H$10000,8,FALSE),"0")</f>
        <v>0</v>
      </c>
      <c r="K14705" s="4"/>
      <c r="L14705" s="33" t="str">
        <f>IFERROR(VLOOKUP($J14705,'Informations sur les produits'!$A$3:$H$10000,8,FALSE),"0")</f>
        <v>0</v>
      </c>
      <c r="N14705" s="8"/>
      <c r="O14705" s="33" t="str">
        <f>IFERROR(VLOOKUP($M14705,'Informations sur les produits'!$A$3:$H$10000,8,FALSE),"0")</f>
        <v>0</v>
      </c>
      <c r="P14705" s="33">
        <f t="shared" si="916"/>
        <v>0</v>
      </c>
      <c r="Q14705" s="31" t="str">
        <f t="shared" si="917"/>
        <v/>
      </c>
      <c r="R14705" s="32" t="str">
        <f>IFERROR(VLOOKUP($D14705,'Informations sur les produits'!$A$3:$B$15000,2,FALSE),"")</f>
        <v/>
      </c>
      <c r="V14705">
        <f t="shared" si="918"/>
        <v>0</v>
      </c>
      <c r="W14705">
        <f t="shared" si="919"/>
        <v>0</v>
      </c>
    </row>
    <row r="14706" spans="5:23" x14ac:dyDescent="0.25">
      <c r="E14706" s="4"/>
      <c r="F14706" s="4"/>
      <c r="G14706" s="33" t="str">
        <f>IFERROR(VLOOKUP($D14706,'Informations sur les produits'!$A$3:$H$10000,8,FALSE),"0")</f>
        <v>0</v>
      </c>
      <c r="K14706" s="4"/>
      <c r="L14706" s="33" t="str">
        <f>IFERROR(VLOOKUP($J14706,'Informations sur les produits'!$A$3:$H$10000,8,FALSE),"0")</f>
        <v>0</v>
      </c>
      <c r="N14706" s="8"/>
      <c r="O14706" s="33" t="str">
        <f>IFERROR(VLOOKUP($M14706,'Informations sur les produits'!$A$3:$H$10000,8,FALSE),"0")</f>
        <v>0</v>
      </c>
      <c r="P14706" s="33">
        <f t="shared" si="916"/>
        <v>0</v>
      </c>
      <c r="Q14706" s="31" t="str">
        <f t="shared" si="917"/>
        <v/>
      </c>
      <c r="R14706" s="32" t="str">
        <f>IFERROR(VLOOKUP($D14706,'Informations sur les produits'!$A$3:$B$15000,2,FALSE),"")</f>
        <v/>
      </c>
      <c r="V14706">
        <f t="shared" si="918"/>
        <v>0</v>
      </c>
      <c r="W14706">
        <f t="shared" si="919"/>
        <v>0</v>
      </c>
    </row>
    <row r="14707" spans="5:23" x14ac:dyDescent="0.25">
      <c r="E14707" s="4"/>
      <c r="F14707" s="4"/>
      <c r="G14707" s="33" t="str">
        <f>IFERROR(VLOOKUP($D14707,'Informations sur les produits'!$A$3:$H$10000,8,FALSE),"0")</f>
        <v>0</v>
      </c>
      <c r="K14707" s="4"/>
      <c r="L14707" s="33" t="str">
        <f>IFERROR(VLOOKUP($J14707,'Informations sur les produits'!$A$3:$H$10000,8,FALSE),"0")</f>
        <v>0</v>
      </c>
      <c r="N14707" s="8"/>
      <c r="O14707" s="33" t="str">
        <f>IFERROR(VLOOKUP($M14707,'Informations sur les produits'!$A$3:$H$10000,8,FALSE),"0")</f>
        <v>0</v>
      </c>
      <c r="P14707" s="33">
        <f t="shared" si="916"/>
        <v>0</v>
      </c>
      <c r="Q14707" s="31" t="str">
        <f t="shared" si="917"/>
        <v/>
      </c>
      <c r="R14707" s="32" t="str">
        <f>IFERROR(VLOOKUP($D14707,'Informations sur les produits'!$A$3:$B$15000,2,FALSE),"")</f>
        <v/>
      </c>
      <c r="V14707">
        <f t="shared" si="918"/>
        <v>0</v>
      </c>
      <c r="W14707">
        <f t="shared" si="919"/>
        <v>0</v>
      </c>
    </row>
    <row r="14708" spans="5:23" x14ac:dyDescent="0.25">
      <c r="E14708" s="4"/>
      <c r="F14708" s="4"/>
      <c r="G14708" s="33" t="str">
        <f>IFERROR(VLOOKUP($D14708,'Informations sur les produits'!$A$3:$H$10000,8,FALSE),"0")</f>
        <v>0</v>
      </c>
      <c r="K14708" s="4"/>
      <c r="L14708" s="33" t="str">
        <f>IFERROR(VLOOKUP($J14708,'Informations sur les produits'!$A$3:$H$10000,8,FALSE),"0")</f>
        <v>0</v>
      </c>
      <c r="N14708" s="8"/>
      <c r="O14708" s="33" t="str">
        <f>IFERROR(VLOOKUP($M14708,'Informations sur les produits'!$A$3:$H$10000,8,FALSE),"0")</f>
        <v>0</v>
      </c>
      <c r="P14708" s="33">
        <f t="shared" si="916"/>
        <v>0</v>
      </c>
      <c r="Q14708" s="31" t="str">
        <f t="shared" si="917"/>
        <v/>
      </c>
      <c r="R14708" s="32" t="str">
        <f>IFERROR(VLOOKUP($D14708,'Informations sur les produits'!$A$3:$B$15000,2,FALSE),"")</f>
        <v/>
      </c>
      <c r="V14708">
        <f t="shared" si="918"/>
        <v>0</v>
      </c>
      <c r="W14708">
        <f t="shared" si="919"/>
        <v>0</v>
      </c>
    </row>
    <row r="14709" spans="5:23" x14ac:dyDescent="0.25">
      <c r="E14709" s="4"/>
      <c r="F14709" s="4"/>
      <c r="G14709" s="33" t="str">
        <f>IFERROR(VLOOKUP($D14709,'Informations sur les produits'!$A$3:$H$10000,8,FALSE),"0")</f>
        <v>0</v>
      </c>
      <c r="K14709" s="4"/>
      <c r="L14709" s="33" t="str">
        <f>IFERROR(VLOOKUP($J14709,'Informations sur les produits'!$A$3:$H$10000,8,FALSE),"0")</f>
        <v>0</v>
      </c>
      <c r="N14709" s="8"/>
      <c r="O14709" s="33" t="str">
        <f>IFERROR(VLOOKUP($M14709,'Informations sur les produits'!$A$3:$H$10000,8,FALSE),"0")</f>
        <v>0</v>
      </c>
      <c r="P14709" s="33">
        <f t="shared" si="916"/>
        <v>0</v>
      </c>
      <c r="Q14709" s="31" t="str">
        <f t="shared" si="917"/>
        <v/>
      </c>
      <c r="R14709" s="32" t="str">
        <f>IFERROR(VLOOKUP($D14709,'Informations sur les produits'!$A$3:$B$15000,2,FALSE),"")</f>
        <v/>
      </c>
      <c r="V14709">
        <f t="shared" si="918"/>
        <v>0</v>
      </c>
      <c r="W14709">
        <f t="shared" si="919"/>
        <v>0</v>
      </c>
    </row>
    <row r="14710" spans="5:23" x14ac:dyDescent="0.25">
      <c r="E14710" s="4"/>
      <c r="F14710" s="4"/>
      <c r="G14710" s="33" t="str">
        <f>IFERROR(VLOOKUP($D14710,'Informations sur les produits'!$A$3:$H$10000,8,FALSE),"0")</f>
        <v>0</v>
      </c>
      <c r="K14710" s="4"/>
      <c r="L14710" s="33" t="str">
        <f>IFERROR(VLOOKUP($J14710,'Informations sur les produits'!$A$3:$H$10000,8,FALSE),"0")</f>
        <v>0</v>
      </c>
      <c r="N14710" s="8"/>
      <c r="O14710" s="33" t="str">
        <f>IFERROR(VLOOKUP($M14710,'Informations sur les produits'!$A$3:$H$10000,8,FALSE),"0")</f>
        <v>0</v>
      </c>
      <c r="P14710" s="33">
        <f t="shared" si="916"/>
        <v>0</v>
      </c>
      <c r="Q14710" s="31" t="str">
        <f t="shared" si="917"/>
        <v/>
      </c>
      <c r="R14710" s="32" t="str">
        <f>IFERROR(VLOOKUP($D14710,'Informations sur les produits'!$A$3:$B$15000,2,FALSE),"")</f>
        <v/>
      </c>
      <c r="V14710">
        <f t="shared" si="918"/>
        <v>0</v>
      </c>
      <c r="W14710">
        <f t="shared" si="919"/>
        <v>0</v>
      </c>
    </row>
    <row r="14711" spans="5:23" x14ac:dyDescent="0.25">
      <c r="E14711" s="4"/>
      <c r="F14711" s="4"/>
      <c r="G14711" s="33" t="str">
        <f>IFERROR(VLOOKUP($D14711,'Informations sur les produits'!$A$3:$H$10000,8,FALSE),"0")</f>
        <v>0</v>
      </c>
      <c r="K14711" s="4"/>
      <c r="L14711" s="33" t="str">
        <f>IFERROR(VLOOKUP($J14711,'Informations sur les produits'!$A$3:$H$10000,8,FALSE),"0")</f>
        <v>0</v>
      </c>
      <c r="N14711" s="8"/>
      <c r="O14711" s="33" t="str">
        <f>IFERROR(VLOOKUP($M14711,'Informations sur les produits'!$A$3:$H$10000,8,FALSE),"0")</f>
        <v>0</v>
      </c>
      <c r="P14711" s="33">
        <f t="shared" si="916"/>
        <v>0</v>
      </c>
      <c r="Q14711" s="31" t="str">
        <f t="shared" si="917"/>
        <v/>
      </c>
      <c r="R14711" s="32" t="str">
        <f>IFERROR(VLOOKUP($D14711,'Informations sur les produits'!$A$3:$B$15000,2,FALSE),"")</f>
        <v/>
      </c>
      <c r="V14711">
        <f t="shared" si="918"/>
        <v>0</v>
      </c>
      <c r="W14711">
        <f t="shared" si="919"/>
        <v>0</v>
      </c>
    </row>
    <row r="14712" spans="5:23" x14ac:dyDescent="0.25">
      <c r="E14712" s="4"/>
      <c r="F14712" s="4"/>
      <c r="G14712" s="33" t="str">
        <f>IFERROR(VLOOKUP($D14712,'Informations sur les produits'!$A$3:$H$10000,8,FALSE),"0")</f>
        <v>0</v>
      </c>
      <c r="K14712" s="4"/>
      <c r="L14712" s="33" t="str">
        <f>IFERROR(VLOOKUP($J14712,'Informations sur les produits'!$A$3:$H$10000,8,FALSE),"0")</f>
        <v>0</v>
      </c>
      <c r="N14712" s="8"/>
      <c r="O14712" s="33" t="str">
        <f>IFERROR(VLOOKUP($M14712,'Informations sur les produits'!$A$3:$H$10000,8,FALSE),"0")</f>
        <v>0</v>
      </c>
      <c r="P14712" s="33">
        <f t="shared" si="916"/>
        <v>0</v>
      </c>
      <c r="Q14712" s="31" t="str">
        <f t="shared" si="917"/>
        <v/>
      </c>
      <c r="R14712" s="32" t="str">
        <f>IFERROR(VLOOKUP($D14712,'Informations sur les produits'!$A$3:$B$15000,2,FALSE),"")</f>
        <v/>
      </c>
      <c r="V14712">
        <f t="shared" si="918"/>
        <v>0</v>
      </c>
      <c r="W14712">
        <f t="shared" si="919"/>
        <v>0</v>
      </c>
    </row>
    <row r="14713" spans="5:23" x14ac:dyDescent="0.25">
      <c r="E14713" s="4"/>
      <c r="F14713" s="4"/>
      <c r="G14713" s="33" t="str">
        <f>IFERROR(VLOOKUP($D14713,'Informations sur les produits'!$A$3:$H$10000,8,FALSE),"0")</f>
        <v>0</v>
      </c>
      <c r="K14713" s="4"/>
      <c r="L14713" s="33" t="str">
        <f>IFERROR(VLOOKUP($J14713,'Informations sur les produits'!$A$3:$H$10000,8,FALSE),"0")</f>
        <v>0</v>
      </c>
      <c r="N14713" s="8"/>
      <c r="O14713" s="33" t="str">
        <f>IFERROR(VLOOKUP($M14713,'Informations sur les produits'!$A$3:$H$10000,8,FALSE),"0")</f>
        <v>0</v>
      </c>
      <c r="P14713" s="33">
        <f t="shared" si="916"/>
        <v>0</v>
      </c>
      <c r="Q14713" s="31" t="str">
        <f t="shared" si="917"/>
        <v/>
      </c>
      <c r="R14713" s="32" t="str">
        <f>IFERROR(VLOOKUP($D14713,'Informations sur les produits'!$A$3:$B$15000,2,FALSE),"")</f>
        <v/>
      </c>
      <c r="V14713">
        <f t="shared" si="918"/>
        <v>0</v>
      </c>
      <c r="W14713">
        <f t="shared" si="919"/>
        <v>0</v>
      </c>
    </row>
    <row r="14714" spans="5:23" x14ac:dyDescent="0.25">
      <c r="E14714" s="4"/>
      <c r="F14714" s="4"/>
      <c r="G14714" s="33" t="str">
        <f>IFERROR(VLOOKUP($D14714,'Informations sur les produits'!$A$3:$H$10000,8,FALSE),"0")</f>
        <v>0</v>
      </c>
      <c r="K14714" s="4"/>
      <c r="L14714" s="33" t="str">
        <f>IFERROR(VLOOKUP($J14714,'Informations sur les produits'!$A$3:$H$10000,8,FALSE),"0")</f>
        <v>0</v>
      </c>
      <c r="N14714" s="8"/>
      <c r="O14714" s="33" t="str">
        <f>IFERROR(VLOOKUP($M14714,'Informations sur les produits'!$A$3:$H$10000,8,FALSE),"0")</f>
        <v>0</v>
      </c>
      <c r="P14714" s="33">
        <f t="shared" si="916"/>
        <v>0</v>
      </c>
      <c r="Q14714" s="31" t="str">
        <f t="shared" si="917"/>
        <v/>
      </c>
      <c r="R14714" s="32" t="str">
        <f>IFERROR(VLOOKUP($D14714,'Informations sur les produits'!$A$3:$B$15000,2,FALSE),"")</f>
        <v/>
      </c>
      <c r="V14714">
        <f t="shared" si="918"/>
        <v>0</v>
      </c>
      <c r="W14714">
        <f t="shared" si="919"/>
        <v>0</v>
      </c>
    </row>
    <row r="14715" spans="5:23" x14ac:dyDescent="0.25">
      <c r="E14715" s="4"/>
      <c r="F14715" s="4"/>
      <c r="G14715" s="33" t="str">
        <f>IFERROR(VLOOKUP($D14715,'Informations sur les produits'!$A$3:$H$10000,8,FALSE),"0")</f>
        <v>0</v>
      </c>
      <c r="K14715" s="4"/>
      <c r="L14715" s="33" t="str">
        <f>IFERROR(VLOOKUP($J14715,'Informations sur les produits'!$A$3:$H$10000,8,FALSE),"0")</f>
        <v>0</v>
      </c>
      <c r="N14715" s="8"/>
      <c r="O14715" s="33" t="str">
        <f>IFERROR(VLOOKUP($M14715,'Informations sur les produits'!$A$3:$H$10000,8,FALSE),"0")</f>
        <v>0</v>
      </c>
      <c r="P14715" s="33">
        <f t="shared" si="916"/>
        <v>0</v>
      </c>
      <c r="Q14715" s="31" t="str">
        <f t="shared" si="917"/>
        <v/>
      </c>
      <c r="R14715" s="32" t="str">
        <f>IFERROR(VLOOKUP($D14715,'Informations sur les produits'!$A$3:$B$15000,2,FALSE),"")</f>
        <v/>
      </c>
      <c r="V14715">
        <f t="shared" si="918"/>
        <v>0</v>
      </c>
      <c r="W14715">
        <f t="shared" si="919"/>
        <v>0</v>
      </c>
    </row>
    <row r="14716" spans="5:23" x14ac:dyDescent="0.25">
      <c r="E14716" s="4"/>
      <c r="F14716" s="4"/>
      <c r="G14716" s="33" t="str">
        <f>IFERROR(VLOOKUP($D14716,'Informations sur les produits'!$A$3:$H$10000,8,FALSE),"0")</f>
        <v>0</v>
      </c>
      <c r="K14716" s="4"/>
      <c r="L14716" s="33" t="str">
        <f>IFERROR(VLOOKUP($J14716,'Informations sur les produits'!$A$3:$H$10000,8,FALSE),"0")</f>
        <v>0</v>
      </c>
      <c r="N14716" s="8"/>
      <c r="O14716" s="33" t="str">
        <f>IFERROR(VLOOKUP($M14716,'Informations sur les produits'!$A$3:$H$10000,8,FALSE),"0")</f>
        <v>0</v>
      </c>
      <c r="P14716" s="33">
        <f t="shared" si="916"/>
        <v>0</v>
      </c>
      <c r="Q14716" s="31" t="str">
        <f t="shared" si="917"/>
        <v/>
      </c>
      <c r="R14716" s="32" t="str">
        <f>IFERROR(VLOOKUP($D14716,'Informations sur les produits'!$A$3:$B$15000,2,FALSE),"")</f>
        <v/>
      </c>
      <c r="V14716">
        <f t="shared" si="918"/>
        <v>0</v>
      </c>
      <c r="W14716">
        <f t="shared" si="919"/>
        <v>0</v>
      </c>
    </row>
    <row r="14717" spans="5:23" x14ac:dyDescent="0.25">
      <c r="E14717" s="4"/>
      <c r="F14717" s="4"/>
      <c r="G14717" s="33" t="str">
        <f>IFERROR(VLOOKUP($D14717,'Informations sur les produits'!$A$3:$H$10000,8,FALSE),"0")</f>
        <v>0</v>
      </c>
      <c r="K14717" s="4"/>
      <c r="L14717" s="33" t="str">
        <f>IFERROR(VLOOKUP($J14717,'Informations sur les produits'!$A$3:$H$10000,8,FALSE),"0")</f>
        <v>0</v>
      </c>
      <c r="N14717" s="8"/>
      <c r="O14717" s="33" t="str">
        <f>IFERROR(VLOOKUP($M14717,'Informations sur les produits'!$A$3:$H$10000,8,FALSE),"0")</f>
        <v>0</v>
      </c>
      <c r="P14717" s="33">
        <f t="shared" si="916"/>
        <v>0</v>
      </c>
      <c r="Q14717" s="31" t="str">
        <f t="shared" si="917"/>
        <v/>
      </c>
      <c r="R14717" s="32" t="str">
        <f>IFERROR(VLOOKUP($D14717,'Informations sur les produits'!$A$3:$B$15000,2,FALSE),"")</f>
        <v/>
      </c>
      <c r="V14717">
        <f t="shared" si="918"/>
        <v>0</v>
      </c>
      <c r="W14717">
        <f t="shared" si="919"/>
        <v>0</v>
      </c>
    </row>
    <row r="14718" spans="5:23" x14ac:dyDescent="0.25">
      <c r="E14718" s="4"/>
      <c r="F14718" s="4"/>
      <c r="G14718" s="33" t="str">
        <f>IFERROR(VLOOKUP($D14718,'Informations sur les produits'!$A$3:$H$10000,8,FALSE),"0")</f>
        <v>0</v>
      </c>
      <c r="K14718" s="4"/>
      <c r="L14718" s="33" t="str">
        <f>IFERROR(VLOOKUP($J14718,'Informations sur les produits'!$A$3:$H$10000,8,FALSE),"0")</f>
        <v>0</v>
      </c>
      <c r="N14718" s="8"/>
      <c r="O14718" s="33" t="str">
        <f>IFERROR(VLOOKUP($M14718,'Informations sur les produits'!$A$3:$H$10000,8,FALSE),"0")</f>
        <v>0</v>
      </c>
      <c r="P14718" s="33">
        <f t="shared" si="916"/>
        <v>0</v>
      </c>
      <c r="Q14718" s="31" t="str">
        <f t="shared" si="917"/>
        <v/>
      </c>
      <c r="R14718" s="32" t="str">
        <f>IFERROR(VLOOKUP($D14718,'Informations sur les produits'!$A$3:$B$15000,2,FALSE),"")</f>
        <v/>
      </c>
      <c r="V14718">
        <f t="shared" si="918"/>
        <v>0</v>
      </c>
      <c r="W14718">
        <f t="shared" si="919"/>
        <v>0</v>
      </c>
    </row>
    <row r="14719" spans="5:23" x14ac:dyDescent="0.25">
      <c r="E14719" s="4"/>
      <c r="F14719" s="4"/>
      <c r="G14719" s="33" t="str">
        <f>IFERROR(VLOOKUP($D14719,'Informations sur les produits'!$A$3:$H$10000,8,FALSE),"0")</f>
        <v>0</v>
      </c>
      <c r="K14719" s="4"/>
      <c r="L14719" s="33" t="str">
        <f>IFERROR(VLOOKUP($J14719,'Informations sur les produits'!$A$3:$H$10000,8,FALSE),"0")</f>
        <v>0</v>
      </c>
      <c r="N14719" s="8"/>
      <c r="O14719" s="33" t="str">
        <f>IFERROR(VLOOKUP($M14719,'Informations sur les produits'!$A$3:$H$10000,8,FALSE),"0")</f>
        <v>0</v>
      </c>
      <c r="P14719" s="33">
        <f t="shared" si="916"/>
        <v>0</v>
      </c>
      <c r="Q14719" s="31" t="str">
        <f t="shared" si="917"/>
        <v/>
      </c>
      <c r="R14719" s="32" t="str">
        <f>IFERROR(VLOOKUP($D14719,'Informations sur les produits'!$A$3:$B$15000,2,FALSE),"")</f>
        <v/>
      </c>
      <c r="V14719">
        <f t="shared" si="918"/>
        <v>0</v>
      </c>
      <c r="W14719">
        <f t="shared" si="919"/>
        <v>0</v>
      </c>
    </row>
    <row r="14720" spans="5:23" x14ac:dyDescent="0.25">
      <c r="E14720" s="4"/>
      <c r="F14720" s="4"/>
      <c r="G14720" s="33" t="str">
        <f>IFERROR(VLOOKUP($D14720,'Informations sur les produits'!$A$3:$H$10000,8,FALSE),"0")</f>
        <v>0</v>
      </c>
      <c r="K14720" s="4"/>
      <c r="L14720" s="33" t="str">
        <f>IFERROR(VLOOKUP($J14720,'Informations sur les produits'!$A$3:$H$10000,8,FALSE),"0")</f>
        <v>0</v>
      </c>
      <c r="N14720" s="8"/>
      <c r="O14720" s="33" t="str">
        <f>IFERROR(VLOOKUP($M14720,'Informations sur les produits'!$A$3:$H$10000,8,FALSE),"0")</f>
        <v>0</v>
      </c>
      <c r="P14720" s="33">
        <f t="shared" si="916"/>
        <v>0</v>
      </c>
      <c r="Q14720" s="31" t="str">
        <f t="shared" si="917"/>
        <v/>
      </c>
      <c r="R14720" s="32" t="str">
        <f>IFERROR(VLOOKUP($D14720,'Informations sur les produits'!$A$3:$B$15000,2,FALSE),"")</f>
        <v/>
      </c>
      <c r="V14720">
        <f t="shared" si="918"/>
        <v>0</v>
      </c>
      <c r="W14720">
        <f t="shared" si="919"/>
        <v>0</v>
      </c>
    </row>
    <row r="14721" spans="5:23" x14ac:dyDescent="0.25">
      <c r="E14721" s="4"/>
      <c r="F14721" s="4"/>
      <c r="G14721" s="33" t="str">
        <f>IFERROR(VLOOKUP($D14721,'Informations sur les produits'!$A$3:$H$10000,8,FALSE),"0")</f>
        <v>0</v>
      </c>
      <c r="K14721" s="4"/>
      <c r="L14721" s="33" t="str">
        <f>IFERROR(VLOOKUP($J14721,'Informations sur les produits'!$A$3:$H$10000,8,FALSE),"0")</f>
        <v>0</v>
      </c>
      <c r="N14721" s="8"/>
      <c r="O14721" s="33" t="str">
        <f>IFERROR(VLOOKUP($M14721,'Informations sur les produits'!$A$3:$H$10000,8,FALSE),"0")</f>
        <v>0</v>
      </c>
      <c r="P14721" s="33">
        <f t="shared" si="916"/>
        <v>0</v>
      </c>
      <c r="Q14721" s="31" t="str">
        <f t="shared" si="917"/>
        <v/>
      </c>
      <c r="R14721" s="32" t="str">
        <f>IFERROR(VLOOKUP($D14721,'Informations sur les produits'!$A$3:$B$15000,2,FALSE),"")</f>
        <v/>
      </c>
      <c r="V14721">
        <f t="shared" si="918"/>
        <v>0</v>
      </c>
      <c r="W14721">
        <f t="shared" si="919"/>
        <v>0</v>
      </c>
    </row>
    <row r="14722" spans="5:23" x14ac:dyDescent="0.25">
      <c r="E14722" s="4"/>
      <c r="F14722" s="4"/>
      <c r="G14722" s="33" t="str">
        <f>IFERROR(VLOOKUP($D14722,'Informations sur les produits'!$A$3:$H$10000,8,FALSE),"0")</f>
        <v>0</v>
      </c>
      <c r="K14722" s="4"/>
      <c r="L14722" s="33" t="str">
        <f>IFERROR(VLOOKUP($J14722,'Informations sur les produits'!$A$3:$H$10000,8,FALSE),"0")</f>
        <v>0</v>
      </c>
      <c r="N14722" s="8"/>
      <c r="O14722" s="33" t="str">
        <f>IFERROR(VLOOKUP($M14722,'Informations sur les produits'!$A$3:$H$10000,8,FALSE),"0")</f>
        <v>0</v>
      </c>
      <c r="P14722" s="33">
        <f t="shared" si="916"/>
        <v>0</v>
      </c>
      <c r="Q14722" s="31" t="str">
        <f t="shared" si="917"/>
        <v/>
      </c>
      <c r="R14722" s="32" t="str">
        <f>IFERROR(VLOOKUP($D14722,'Informations sur les produits'!$A$3:$B$15000,2,FALSE),"")</f>
        <v/>
      </c>
      <c r="V14722">
        <f t="shared" si="918"/>
        <v>0</v>
      </c>
      <c r="W14722">
        <f t="shared" si="919"/>
        <v>0</v>
      </c>
    </row>
    <row r="14723" spans="5:23" x14ac:dyDescent="0.25">
      <c r="E14723" s="4"/>
      <c r="F14723" s="4"/>
      <c r="G14723" s="33" t="str">
        <f>IFERROR(VLOOKUP($D14723,'Informations sur les produits'!$A$3:$H$10000,8,FALSE),"0")</f>
        <v>0</v>
      </c>
      <c r="K14723" s="4"/>
      <c r="L14723" s="33" t="str">
        <f>IFERROR(VLOOKUP($J14723,'Informations sur les produits'!$A$3:$H$10000,8,FALSE),"0")</f>
        <v>0</v>
      </c>
      <c r="N14723" s="8"/>
      <c r="O14723" s="33" t="str">
        <f>IFERROR(VLOOKUP($M14723,'Informations sur les produits'!$A$3:$H$10000,8,FALSE),"0")</f>
        <v>0</v>
      </c>
      <c r="P14723" s="33">
        <f t="shared" si="916"/>
        <v>0</v>
      </c>
      <c r="Q14723" s="31" t="str">
        <f t="shared" si="917"/>
        <v/>
      </c>
      <c r="R14723" s="32" t="str">
        <f>IFERROR(VLOOKUP($D14723,'Informations sur les produits'!$A$3:$B$15000,2,FALSE),"")</f>
        <v/>
      </c>
      <c r="V14723">
        <f t="shared" si="918"/>
        <v>0</v>
      </c>
      <c r="W14723">
        <f t="shared" si="919"/>
        <v>0</v>
      </c>
    </row>
    <row r="14724" spans="5:23" x14ac:dyDescent="0.25">
      <c r="E14724" s="4"/>
      <c r="F14724" s="4"/>
      <c r="G14724" s="33" t="str">
        <f>IFERROR(VLOOKUP($D14724,'Informations sur les produits'!$A$3:$H$10000,8,FALSE),"0")</f>
        <v>0</v>
      </c>
      <c r="K14724" s="4"/>
      <c r="L14724" s="33" t="str">
        <f>IFERROR(VLOOKUP($J14724,'Informations sur les produits'!$A$3:$H$10000,8,FALSE),"0")</f>
        <v>0</v>
      </c>
      <c r="N14724" s="8"/>
      <c r="O14724" s="33" t="str">
        <f>IFERROR(VLOOKUP($M14724,'Informations sur les produits'!$A$3:$H$10000,8,FALSE),"0")</f>
        <v>0</v>
      </c>
      <c r="P14724" s="33">
        <f t="shared" ref="P14724:P14787" si="920">IFERROR((($E14724-$F14724)*$G14724+$K14724*$L14724+$N14724*$O14724),"")</f>
        <v>0</v>
      </c>
      <c r="Q14724" s="31" t="str">
        <f t="shared" ref="Q14724:Q14787" si="921">IFERROR((((($E14724-$F14724)*$G14724+$K14724*$L14724+$N14724*$O14724)*1000)/(($E14724-$F14724)+$K14724+$N14724)),"")</f>
        <v/>
      </c>
      <c r="R14724" s="32" t="str">
        <f>IFERROR(VLOOKUP($D14724,'Informations sur les produits'!$A$3:$B$15000,2,FALSE),"")</f>
        <v/>
      </c>
      <c r="V14724">
        <f t="shared" ref="V14724:V14787" si="922">IFERROR(P14724*1000,"")</f>
        <v>0</v>
      </c>
      <c r="W14724">
        <f t="shared" ref="W14724:W14787" si="923">IFERROR(($E14724-$F14724)+$K14724+$N14724,"")</f>
        <v>0</v>
      </c>
    </row>
    <row r="14725" spans="5:23" x14ac:dyDescent="0.25">
      <c r="E14725" s="4"/>
      <c r="F14725" s="4"/>
      <c r="G14725" s="33" t="str">
        <f>IFERROR(VLOOKUP($D14725,'Informations sur les produits'!$A$3:$H$10000,8,FALSE),"0")</f>
        <v>0</v>
      </c>
      <c r="K14725" s="4"/>
      <c r="L14725" s="33" t="str">
        <f>IFERROR(VLOOKUP($J14725,'Informations sur les produits'!$A$3:$H$10000,8,FALSE),"0")</f>
        <v>0</v>
      </c>
      <c r="N14725" s="8"/>
      <c r="O14725" s="33" t="str">
        <f>IFERROR(VLOOKUP($M14725,'Informations sur les produits'!$A$3:$H$10000,8,FALSE),"0")</f>
        <v>0</v>
      </c>
      <c r="P14725" s="33">
        <f t="shared" si="920"/>
        <v>0</v>
      </c>
      <c r="Q14725" s="31" t="str">
        <f t="shared" si="921"/>
        <v/>
      </c>
      <c r="R14725" s="32" t="str">
        <f>IFERROR(VLOOKUP($D14725,'Informations sur les produits'!$A$3:$B$15000,2,FALSE),"")</f>
        <v/>
      </c>
      <c r="V14725">
        <f t="shared" si="922"/>
        <v>0</v>
      </c>
      <c r="W14725">
        <f t="shared" si="923"/>
        <v>0</v>
      </c>
    </row>
    <row r="14726" spans="5:23" x14ac:dyDescent="0.25">
      <c r="E14726" s="4"/>
      <c r="F14726" s="4"/>
      <c r="G14726" s="33" t="str">
        <f>IFERROR(VLOOKUP($D14726,'Informations sur les produits'!$A$3:$H$10000,8,FALSE),"0")</f>
        <v>0</v>
      </c>
      <c r="K14726" s="4"/>
      <c r="L14726" s="33" t="str">
        <f>IFERROR(VLOOKUP($J14726,'Informations sur les produits'!$A$3:$H$10000,8,FALSE),"0")</f>
        <v>0</v>
      </c>
      <c r="N14726" s="8"/>
      <c r="O14726" s="33" t="str">
        <f>IFERROR(VLOOKUP($M14726,'Informations sur les produits'!$A$3:$H$10000,8,FALSE),"0")</f>
        <v>0</v>
      </c>
      <c r="P14726" s="33">
        <f t="shared" si="920"/>
        <v>0</v>
      </c>
      <c r="Q14726" s="31" t="str">
        <f t="shared" si="921"/>
        <v/>
      </c>
      <c r="R14726" s="32" t="str">
        <f>IFERROR(VLOOKUP($D14726,'Informations sur les produits'!$A$3:$B$15000,2,FALSE),"")</f>
        <v/>
      </c>
      <c r="V14726">
        <f t="shared" si="922"/>
        <v>0</v>
      </c>
      <c r="W14726">
        <f t="shared" si="923"/>
        <v>0</v>
      </c>
    </row>
    <row r="14727" spans="5:23" x14ac:dyDescent="0.25">
      <c r="E14727" s="4"/>
      <c r="F14727" s="4"/>
      <c r="G14727" s="33" t="str">
        <f>IFERROR(VLOOKUP($D14727,'Informations sur les produits'!$A$3:$H$10000,8,FALSE),"0")</f>
        <v>0</v>
      </c>
      <c r="K14727" s="4"/>
      <c r="L14727" s="33" t="str">
        <f>IFERROR(VLOOKUP($J14727,'Informations sur les produits'!$A$3:$H$10000,8,FALSE),"0")</f>
        <v>0</v>
      </c>
      <c r="N14727" s="8"/>
      <c r="O14727" s="33" t="str">
        <f>IFERROR(VLOOKUP($M14727,'Informations sur les produits'!$A$3:$H$10000,8,FALSE),"0")</f>
        <v>0</v>
      </c>
      <c r="P14727" s="33">
        <f t="shared" si="920"/>
        <v>0</v>
      </c>
      <c r="Q14727" s="31" t="str">
        <f t="shared" si="921"/>
        <v/>
      </c>
      <c r="R14727" s="32" t="str">
        <f>IFERROR(VLOOKUP($D14727,'Informations sur les produits'!$A$3:$B$15000,2,FALSE),"")</f>
        <v/>
      </c>
      <c r="V14727">
        <f t="shared" si="922"/>
        <v>0</v>
      </c>
      <c r="W14727">
        <f t="shared" si="923"/>
        <v>0</v>
      </c>
    </row>
    <row r="14728" spans="5:23" x14ac:dyDescent="0.25">
      <c r="E14728" s="4"/>
      <c r="F14728" s="4"/>
      <c r="G14728" s="33" t="str">
        <f>IFERROR(VLOOKUP($D14728,'Informations sur les produits'!$A$3:$H$10000,8,FALSE),"0")</f>
        <v>0</v>
      </c>
      <c r="K14728" s="4"/>
      <c r="L14728" s="33" t="str">
        <f>IFERROR(VLOOKUP($J14728,'Informations sur les produits'!$A$3:$H$10000,8,FALSE),"0")</f>
        <v>0</v>
      </c>
      <c r="N14728" s="8"/>
      <c r="O14728" s="33" t="str">
        <f>IFERROR(VLOOKUP($M14728,'Informations sur les produits'!$A$3:$H$10000,8,FALSE),"0")</f>
        <v>0</v>
      </c>
      <c r="P14728" s="33">
        <f t="shared" si="920"/>
        <v>0</v>
      </c>
      <c r="Q14728" s="31" t="str">
        <f t="shared" si="921"/>
        <v/>
      </c>
      <c r="R14728" s="32" t="str">
        <f>IFERROR(VLOOKUP($D14728,'Informations sur les produits'!$A$3:$B$15000,2,FALSE),"")</f>
        <v/>
      </c>
      <c r="V14728">
        <f t="shared" si="922"/>
        <v>0</v>
      </c>
      <c r="W14728">
        <f t="shared" si="923"/>
        <v>0</v>
      </c>
    </row>
    <row r="14729" spans="5:23" x14ac:dyDescent="0.25">
      <c r="E14729" s="4"/>
      <c r="F14729" s="4"/>
      <c r="G14729" s="33" t="str">
        <f>IFERROR(VLOOKUP($D14729,'Informations sur les produits'!$A$3:$H$10000,8,FALSE),"0")</f>
        <v>0</v>
      </c>
      <c r="K14729" s="4"/>
      <c r="L14729" s="33" t="str">
        <f>IFERROR(VLOOKUP($J14729,'Informations sur les produits'!$A$3:$H$10000,8,FALSE),"0")</f>
        <v>0</v>
      </c>
      <c r="N14729" s="8"/>
      <c r="O14729" s="33" t="str">
        <f>IFERROR(VLOOKUP($M14729,'Informations sur les produits'!$A$3:$H$10000,8,FALSE),"0")</f>
        <v>0</v>
      </c>
      <c r="P14729" s="33">
        <f t="shared" si="920"/>
        <v>0</v>
      </c>
      <c r="Q14729" s="31" t="str">
        <f t="shared" si="921"/>
        <v/>
      </c>
      <c r="R14729" s="32" t="str">
        <f>IFERROR(VLOOKUP($D14729,'Informations sur les produits'!$A$3:$B$15000,2,FALSE),"")</f>
        <v/>
      </c>
      <c r="V14729">
        <f t="shared" si="922"/>
        <v>0</v>
      </c>
      <c r="W14729">
        <f t="shared" si="923"/>
        <v>0</v>
      </c>
    </row>
    <row r="14730" spans="5:23" x14ac:dyDescent="0.25">
      <c r="E14730" s="4"/>
      <c r="F14730" s="4"/>
      <c r="G14730" s="33" t="str">
        <f>IFERROR(VLOOKUP($D14730,'Informations sur les produits'!$A$3:$H$10000,8,FALSE),"0")</f>
        <v>0</v>
      </c>
      <c r="K14730" s="4"/>
      <c r="L14730" s="33" t="str">
        <f>IFERROR(VLOOKUP($J14730,'Informations sur les produits'!$A$3:$H$10000,8,FALSE),"0")</f>
        <v>0</v>
      </c>
      <c r="N14730" s="8"/>
      <c r="O14730" s="33" t="str">
        <f>IFERROR(VLOOKUP($M14730,'Informations sur les produits'!$A$3:$H$10000,8,FALSE),"0")</f>
        <v>0</v>
      </c>
      <c r="P14730" s="33">
        <f t="shared" si="920"/>
        <v>0</v>
      </c>
      <c r="Q14730" s="31" t="str">
        <f t="shared" si="921"/>
        <v/>
      </c>
      <c r="R14730" s="32" t="str">
        <f>IFERROR(VLOOKUP($D14730,'Informations sur les produits'!$A$3:$B$15000,2,FALSE),"")</f>
        <v/>
      </c>
      <c r="V14730">
        <f t="shared" si="922"/>
        <v>0</v>
      </c>
      <c r="W14730">
        <f t="shared" si="923"/>
        <v>0</v>
      </c>
    </row>
    <row r="14731" spans="5:23" x14ac:dyDescent="0.25">
      <c r="E14731" s="4"/>
      <c r="F14731" s="4"/>
      <c r="G14731" s="33" t="str">
        <f>IFERROR(VLOOKUP($D14731,'Informations sur les produits'!$A$3:$H$10000,8,FALSE),"0")</f>
        <v>0</v>
      </c>
      <c r="K14731" s="4"/>
      <c r="L14731" s="33" t="str">
        <f>IFERROR(VLOOKUP($J14731,'Informations sur les produits'!$A$3:$H$10000,8,FALSE),"0")</f>
        <v>0</v>
      </c>
      <c r="N14731" s="8"/>
      <c r="O14731" s="33" t="str">
        <f>IFERROR(VLOOKUP($M14731,'Informations sur les produits'!$A$3:$H$10000,8,FALSE),"0")</f>
        <v>0</v>
      </c>
      <c r="P14731" s="33">
        <f t="shared" si="920"/>
        <v>0</v>
      </c>
      <c r="Q14731" s="31" t="str">
        <f t="shared" si="921"/>
        <v/>
      </c>
      <c r="R14731" s="32" t="str">
        <f>IFERROR(VLOOKUP($D14731,'Informations sur les produits'!$A$3:$B$15000,2,FALSE),"")</f>
        <v/>
      </c>
      <c r="V14731">
        <f t="shared" si="922"/>
        <v>0</v>
      </c>
      <c r="W14731">
        <f t="shared" si="923"/>
        <v>0</v>
      </c>
    </row>
    <row r="14732" spans="5:23" x14ac:dyDescent="0.25">
      <c r="E14732" s="4"/>
      <c r="F14732" s="4"/>
      <c r="G14732" s="33" t="str">
        <f>IFERROR(VLOOKUP($D14732,'Informations sur les produits'!$A$3:$H$10000,8,FALSE),"0")</f>
        <v>0</v>
      </c>
      <c r="K14732" s="4"/>
      <c r="L14732" s="33" t="str">
        <f>IFERROR(VLOOKUP($J14732,'Informations sur les produits'!$A$3:$H$10000,8,FALSE),"0")</f>
        <v>0</v>
      </c>
      <c r="N14732" s="8"/>
      <c r="O14732" s="33" t="str">
        <f>IFERROR(VLOOKUP($M14732,'Informations sur les produits'!$A$3:$H$10000,8,FALSE),"0")</f>
        <v>0</v>
      </c>
      <c r="P14732" s="33">
        <f t="shared" si="920"/>
        <v>0</v>
      </c>
      <c r="Q14732" s="31" t="str">
        <f t="shared" si="921"/>
        <v/>
      </c>
      <c r="R14732" s="32" t="str">
        <f>IFERROR(VLOOKUP($D14732,'Informations sur les produits'!$A$3:$B$15000,2,FALSE),"")</f>
        <v/>
      </c>
      <c r="V14732">
        <f t="shared" si="922"/>
        <v>0</v>
      </c>
      <c r="W14732">
        <f t="shared" si="923"/>
        <v>0</v>
      </c>
    </row>
    <row r="14733" spans="5:23" x14ac:dyDescent="0.25">
      <c r="E14733" s="4"/>
      <c r="F14733" s="4"/>
      <c r="G14733" s="33" t="str">
        <f>IFERROR(VLOOKUP($D14733,'Informations sur les produits'!$A$3:$H$10000,8,FALSE),"0")</f>
        <v>0</v>
      </c>
      <c r="K14733" s="4"/>
      <c r="L14733" s="33" t="str">
        <f>IFERROR(VLOOKUP($J14733,'Informations sur les produits'!$A$3:$H$10000,8,FALSE),"0")</f>
        <v>0</v>
      </c>
      <c r="N14733" s="8"/>
      <c r="O14733" s="33" t="str">
        <f>IFERROR(VLOOKUP($M14733,'Informations sur les produits'!$A$3:$H$10000,8,FALSE),"0")</f>
        <v>0</v>
      </c>
      <c r="P14733" s="33">
        <f t="shared" si="920"/>
        <v>0</v>
      </c>
      <c r="Q14733" s="31" t="str">
        <f t="shared" si="921"/>
        <v/>
      </c>
      <c r="R14733" s="32" t="str">
        <f>IFERROR(VLOOKUP($D14733,'Informations sur les produits'!$A$3:$B$15000,2,FALSE),"")</f>
        <v/>
      </c>
      <c r="V14733">
        <f t="shared" si="922"/>
        <v>0</v>
      </c>
      <c r="W14733">
        <f t="shared" si="923"/>
        <v>0</v>
      </c>
    </row>
    <row r="14734" spans="5:23" x14ac:dyDescent="0.25">
      <c r="E14734" s="4"/>
      <c r="F14734" s="4"/>
      <c r="G14734" s="33" t="str">
        <f>IFERROR(VLOOKUP($D14734,'Informations sur les produits'!$A$3:$H$10000,8,FALSE),"0")</f>
        <v>0</v>
      </c>
      <c r="K14734" s="4"/>
      <c r="L14734" s="33" t="str">
        <f>IFERROR(VLOOKUP($J14734,'Informations sur les produits'!$A$3:$H$10000,8,FALSE),"0")</f>
        <v>0</v>
      </c>
      <c r="N14734" s="8"/>
      <c r="O14734" s="33" t="str">
        <f>IFERROR(VLOOKUP($M14734,'Informations sur les produits'!$A$3:$H$10000,8,FALSE),"0")</f>
        <v>0</v>
      </c>
      <c r="P14734" s="33">
        <f t="shared" si="920"/>
        <v>0</v>
      </c>
      <c r="Q14734" s="31" t="str">
        <f t="shared" si="921"/>
        <v/>
      </c>
      <c r="R14734" s="32" t="str">
        <f>IFERROR(VLOOKUP($D14734,'Informations sur les produits'!$A$3:$B$15000,2,FALSE),"")</f>
        <v/>
      </c>
      <c r="V14734">
        <f t="shared" si="922"/>
        <v>0</v>
      </c>
      <c r="W14734">
        <f t="shared" si="923"/>
        <v>0</v>
      </c>
    </row>
    <row r="14735" spans="5:23" x14ac:dyDescent="0.25">
      <c r="E14735" s="4"/>
      <c r="F14735" s="4"/>
      <c r="G14735" s="33" t="str">
        <f>IFERROR(VLOOKUP($D14735,'Informations sur les produits'!$A$3:$H$10000,8,FALSE),"0")</f>
        <v>0</v>
      </c>
      <c r="K14735" s="4"/>
      <c r="L14735" s="33" t="str">
        <f>IFERROR(VLOOKUP($J14735,'Informations sur les produits'!$A$3:$H$10000,8,FALSE),"0")</f>
        <v>0</v>
      </c>
      <c r="N14735" s="8"/>
      <c r="O14735" s="33" t="str">
        <f>IFERROR(VLOOKUP($M14735,'Informations sur les produits'!$A$3:$H$10000,8,FALSE),"0")</f>
        <v>0</v>
      </c>
      <c r="P14735" s="33">
        <f t="shared" si="920"/>
        <v>0</v>
      </c>
      <c r="Q14735" s="31" t="str">
        <f t="shared" si="921"/>
        <v/>
      </c>
      <c r="R14735" s="32" t="str">
        <f>IFERROR(VLOOKUP($D14735,'Informations sur les produits'!$A$3:$B$15000,2,FALSE),"")</f>
        <v/>
      </c>
      <c r="V14735">
        <f t="shared" si="922"/>
        <v>0</v>
      </c>
      <c r="W14735">
        <f t="shared" si="923"/>
        <v>0</v>
      </c>
    </row>
    <row r="14736" spans="5:23" x14ac:dyDescent="0.25">
      <c r="E14736" s="4"/>
      <c r="F14736" s="4"/>
      <c r="G14736" s="33" t="str">
        <f>IFERROR(VLOOKUP($D14736,'Informations sur les produits'!$A$3:$H$10000,8,FALSE),"0")</f>
        <v>0</v>
      </c>
      <c r="K14736" s="4"/>
      <c r="L14736" s="33" t="str">
        <f>IFERROR(VLOOKUP($J14736,'Informations sur les produits'!$A$3:$H$10000,8,FALSE),"0")</f>
        <v>0</v>
      </c>
      <c r="N14736" s="8"/>
      <c r="O14736" s="33" t="str">
        <f>IFERROR(VLOOKUP($M14736,'Informations sur les produits'!$A$3:$H$10000,8,FALSE),"0")</f>
        <v>0</v>
      </c>
      <c r="P14736" s="33">
        <f t="shared" si="920"/>
        <v>0</v>
      </c>
      <c r="Q14736" s="31" t="str">
        <f t="shared" si="921"/>
        <v/>
      </c>
      <c r="R14736" s="32" t="str">
        <f>IFERROR(VLOOKUP($D14736,'Informations sur les produits'!$A$3:$B$15000,2,FALSE),"")</f>
        <v/>
      </c>
      <c r="V14736">
        <f t="shared" si="922"/>
        <v>0</v>
      </c>
      <c r="W14736">
        <f t="shared" si="923"/>
        <v>0</v>
      </c>
    </row>
    <row r="14737" spans="5:23" x14ac:dyDescent="0.25">
      <c r="E14737" s="4"/>
      <c r="F14737" s="4"/>
      <c r="G14737" s="33" t="str">
        <f>IFERROR(VLOOKUP($D14737,'Informations sur les produits'!$A$3:$H$10000,8,FALSE),"0")</f>
        <v>0</v>
      </c>
      <c r="K14737" s="4"/>
      <c r="L14737" s="33" t="str">
        <f>IFERROR(VLOOKUP($J14737,'Informations sur les produits'!$A$3:$H$10000,8,FALSE),"0")</f>
        <v>0</v>
      </c>
      <c r="N14737" s="8"/>
      <c r="O14737" s="33" t="str">
        <f>IFERROR(VLOOKUP($M14737,'Informations sur les produits'!$A$3:$H$10000,8,FALSE),"0")</f>
        <v>0</v>
      </c>
      <c r="P14737" s="33">
        <f t="shared" si="920"/>
        <v>0</v>
      </c>
      <c r="Q14737" s="31" t="str">
        <f t="shared" si="921"/>
        <v/>
      </c>
      <c r="R14737" s="32" t="str">
        <f>IFERROR(VLOOKUP($D14737,'Informations sur les produits'!$A$3:$B$15000,2,FALSE),"")</f>
        <v/>
      </c>
      <c r="V14737">
        <f t="shared" si="922"/>
        <v>0</v>
      </c>
      <c r="W14737">
        <f t="shared" si="923"/>
        <v>0</v>
      </c>
    </row>
    <row r="14738" spans="5:23" x14ac:dyDescent="0.25">
      <c r="E14738" s="4"/>
      <c r="F14738" s="4"/>
      <c r="G14738" s="33" t="str">
        <f>IFERROR(VLOOKUP($D14738,'Informations sur les produits'!$A$3:$H$10000,8,FALSE),"0")</f>
        <v>0</v>
      </c>
      <c r="K14738" s="4"/>
      <c r="L14738" s="33" t="str">
        <f>IFERROR(VLOOKUP($J14738,'Informations sur les produits'!$A$3:$H$10000,8,FALSE),"0")</f>
        <v>0</v>
      </c>
      <c r="N14738" s="8"/>
      <c r="O14738" s="33" t="str">
        <f>IFERROR(VLOOKUP($M14738,'Informations sur les produits'!$A$3:$H$10000,8,FALSE),"0")</f>
        <v>0</v>
      </c>
      <c r="P14738" s="33">
        <f t="shared" si="920"/>
        <v>0</v>
      </c>
      <c r="Q14738" s="31" t="str">
        <f t="shared" si="921"/>
        <v/>
      </c>
      <c r="R14738" s="32" t="str">
        <f>IFERROR(VLOOKUP($D14738,'Informations sur les produits'!$A$3:$B$15000,2,FALSE),"")</f>
        <v/>
      </c>
      <c r="V14738">
        <f t="shared" si="922"/>
        <v>0</v>
      </c>
      <c r="W14738">
        <f t="shared" si="923"/>
        <v>0</v>
      </c>
    </row>
    <row r="14739" spans="5:23" x14ac:dyDescent="0.25">
      <c r="E14739" s="4"/>
      <c r="F14739" s="4"/>
      <c r="G14739" s="33" t="str">
        <f>IFERROR(VLOOKUP($D14739,'Informations sur les produits'!$A$3:$H$10000,8,FALSE),"0")</f>
        <v>0</v>
      </c>
      <c r="K14739" s="4"/>
      <c r="L14739" s="33" t="str">
        <f>IFERROR(VLOOKUP($J14739,'Informations sur les produits'!$A$3:$H$10000,8,FALSE),"0")</f>
        <v>0</v>
      </c>
      <c r="N14739" s="8"/>
      <c r="O14739" s="33" t="str">
        <f>IFERROR(VLOOKUP($M14739,'Informations sur les produits'!$A$3:$H$10000,8,FALSE),"0")</f>
        <v>0</v>
      </c>
      <c r="P14739" s="33">
        <f t="shared" si="920"/>
        <v>0</v>
      </c>
      <c r="Q14739" s="31" t="str">
        <f t="shared" si="921"/>
        <v/>
      </c>
      <c r="R14739" s="32" t="str">
        <f>IFERROR(VLOOKUP($D14739,'Informations sur les produits'!$A$3:$B$15000,2,FALSE),"")</f>
        <v/>
      </c>
      <c r="V14739">
        <f t="shared" si="922"/>
        <v>0</v>
      </c>
      <c r="W14739">
        <f t="shared" si="923"/>
        <v>0</v>
      </c>
    </row>
    <row r="14740" spans="5:23" x14ac:dyDescent="0.25">
      <c r="E14740" s="4"/>
      <c r="F14740" s="4"/>
      <c r="G14740" s="33" t="str">
        <f>IFERROR(VLOOKUP($D14740,'Informations sur les produits'!$A$3:$H$10000,8,FALSE),"0")</f>
        <v>0</v>
      </c>
      <c r="K14740" s="4"/>
      <c r="L14740" s="33" t="str">
        <f>IFERROR(VLOOKUP($J14740,'Informations sur les produits'!$A$3:$H$10000,8,FALSE),"0")</f>
        <v>0</v>
      </c>
      <c r="N14740" s="8"/>
      <c r="O14740" s="33" t="str">
        <f>IFERROR(VLOOKUP($M14740,'Informations sur les produits'!$A$3:$H$10000,8,FALSE),"0")</f>
        <v>0</v>
      </c>
      <c r="P14740" s="33">
        <f t="shared" si="920"/>
        <v>0</v>
      </c>
      <c r="Q14740" s="31" t="str">
        <f t="shared" si="921"/>
        <v/>
      </c>
      <c r="R14740" s="32" t="str">
        <f>IFERROR(VLOOKUP($D14740,'Informations sur les produits'!$A$3:$B$15000,2,FALSE),"")</f>
        <v/>
      </c>
      <c r="V14740">
        <f t="shared" si="922"/>
        <v>0</v>
      </c>
      <c r="W14740">
        <f t="shared" si="923"/>
        <v>0</v>
      </c>
    </row>
    <row r="14741" spans="5:23" x14ac:dyDescent="0.25">
      <c r="E14741" s="4"/>
      <c r="F14741" s="4"/>
      <c r="G14741" s="33" t="str">
        <f>IFERROR(VLOOKUP($D14741,'Informations sur les produits'!$A$3:$H$10000,8,FALSE),"0")</f>
        <v>0</v>
      </c>
      <c r="K14741" s="4"/>
      <c r="L14741" s="33" t="str">
        <f>IFERROR(VLOOKUP($J14741,'Informations sur les produits'!$A$3:$H$10000,8,FALSE),"0")</f>
        <v>0</v>
      </c>
      <c r="N14741" s="8"/>
      <c r="O14741" s="33" t="str">
        <f>IFERROR(VLOOKUP($M14741,'Informations sur les produits'!$A$3:$H$10000,8,FALSE),"0")</f>
        <v>0</v>
      </c>
      <c r="P14741" s="33">
        <f t="shared" si="920"/>
        <v>0</v>
      </c>
      <c r="Q14741" s="31" t="str">
        <f t="shared" si="921"/>
        <v/>
      </c>
      <c r="R14741" s="32" t="str">
        <f>IFERROR(VLOOKUP($D14741,'Informations sur les produits'!$A$3:$B$15000,2,FALSE),"")</f>
        <v/>
      </c>
      <c r="V14741">
        <f t="shared" si="922"/>
        <v>0</v>
      </c>
      <c r="W14741">
        <f t="shared" si="923"/>
        <v>0</v>
      </c>
    </row>
    <row r="14742" spans="5:23" x14ac:dyDescent="0.25">
      <c r="E14742" s="4"/>
      <c r="F14742" s="4"/>
      <c r="G14742" s="33" t="str">
        <f>IFERROR(VLOOKUP($D14742,'Informations sur les produits'!$A$3:$H$10000,8,FALSE),"0")</f>
        <v>0</v>
      </c>
      <c r="K14742" s="4"/>
      <c r="L14742" s="33" t="str">
        <f>IFERROR(VLOOKUP($J14742,'Informations sur les produits'!$A$3:$H$10000,8,FALSE),"0")</f>
        <v>0</v>
      </c>
      <c r="N14742" s="8"/>
      <c r="O14742" s="33" t="str">
        <f>IFERROR(VLOOKUP($M14742,'Informations sur les produits'!$A$3:$H$10000,8,FALSE),"0")</f>
        <v>0</v>
      </c>
      <c r="P14742" s="33">
        <f t="shared" si="920"/>
        <v>0</v>
      </c>
      <c r="Q14742" s="31" t="str">
        <f t="shared" si="921"/>
        <v/>
      </c>
      <c r="R14742" s="32" t="str">
        <f>IFERROR(VLOOKUP($D14742,'Informations sur les produits'!$A$3:$B$15000,2,FALSE),"")</f>
        <v/>
      </c>
      <c r="V14742">
        <f t="shared" si="922"/>
        <v>0</v>
      </c>
      <c r="W14742">
        <f t="shared" si="923"/>
        <v>0</v>
      </c>
    </row>
    <row r="14743" spans="5:23" x14ac:dyDescent="0.25">
      <c r="E14743" s="4"/>
      <c r="F14743" s="4"/>
      <c r="G14743" s="33" t="str">
        <f>IFERROR(VLOOKUP($D14743,'Informations sur les produits'!$A$3:$H$10000,8,FALSE),"0")</f>
        <v>0</v>
      </c>
      <c r="K14743" s="4"/>
      <c r="L14743" s="33" t="str">
        <f>IFERROR(VLOOKUP($J14743,'Informations sur les produits'!$A$3:$H$10000,8,FALSE),"0")</f>
        <v>0</v>
      </c>
      <c r="N14743" s="8"/>
      <c r="O14743" s="33" t="str">
        <f>IFERROR(VLOOKUP($M14743,'Informations sur les produits'!$A$3:$H$10000,8,FALSE),"0")</f>
        <v>0</v>
      </c>
      <c r="P14743" s="33">
        <f t="shared" si="920"/>
        <v>0</v>
      </c>
      <c r="Q14743" s="31" t="str">
        <f t="shared" si="921"/>
        <v/>
      </c>
      <c r="R14743" s="32" t="str">
        <f>IFERROR(VLOOKUP($D14743,'Informations sur les produits'!$A$3:$B$15000,2,FALSE),"")</f>
        <v/>
      </c>
      <c r="V14743">
        <f t="shared" si="922"/>
        <v>0</v>
      </c>
      <c r="W14743">
        <f t="shared" si="923"/>
        <v>0</v>
      </c>
    </row>
    <row r="14744" spans="5:23" x14ac:dyDescent="0.25">
      <c r="E14744" s="4"/>
      <c r="F14744" s="4"/>
      <c r="G14744" s="33" t="str">
        <f>IFERROR(VLOOKUP($D14744,'Informations sur les produits'!$A$3:$H$10000,8,FALSE),"0")</f>
        <v>0</v>
      </c>
      <c r="K14744" s="4"/>
      <c r="L14744" s="33" t="str">
        <f>IFERROR(VLOOKUP($J14744,'Informations sur les produits'!$A$3:$H$10000,8,FALSE),"0")</f>
        <v>0</v>
      </c>
      <c r="N14744" s="8"/>
      <c r="O14744" s="33" t="str">
        <f>IFERROR(VLOOKUP($M14744,'Informations sur les produits'!$A$3:$H$10000,8,FALSE),"0")</f>
        <v>0</v>
      </c>
      <c r="P14744" s="33">
        <f t="shared" si="920"/>
        <v>0</v>
      </c>
      <c r="Q14744" s="31" t="str">
        <f t="shared" si="921"/>
        <v/>
      </c>
      <c r="R14744" s="32" t="str">
        <f>IFERROR(VLOOKUP($D14744,'Informations sur les produits'!$A$3:$B$15000,2,FALSE),"")</f>
        <v/>
      </c>
      <c r="V14744">
        <f t="shared" si="922"/>
        <v>0</v>
      </c>
      <c r="W14744">
        <f t="shared" si="923"/>
        <v>0</v>
      </c>
    </row>
    <row r="14745" spans="5:23" x14ac:dyDescent="0.25">
      <c r="E14745" s="4"/>
      <c r="F14745" s="4"/>
      <c r="G14745" s="33" t="str">
        <f>IFERROR(VLOOKUP($D14745,'Informations sur les produits'!$A$3:$H$10000,8,FALSE),"0")</f>
        <v>0</v>
      </c>
      <c r="K14745" s="4"/>
      <c r="L14745" s="33" t="str">
        <f>IFERROR(VLOOKUP($J14745,'Informations sur les produits'!$A$3:$H$10000,8,FALSE),"0")</f>
        <v>0</v>
      </c>
      <c r="N14745" s="8"/>
      <c r="O14745" s="33" t="str">
        <f>IFERROR(VLOOKUP($M14745,'Informations sur les produits'!$A$3:$H$10000,8,FALSE),"0")</f>
        <v>0</v>
      </c>
      <c r="P14745" s="33">
        <f t="shared" si="920"/>
        <v>0</v>
      </c>
      <c r="Q14745" s="31" t="str">
        <f t="shared" si="921"/>
        <v/>
      </c>
      <c r="R14745" s="32" t="str">
        <f>IFERROR(VLOOKUP($D14745,'Informations sur les produits'!$A$3:$B$15000,2,FALSE),"")</f>
        <v/>
      </c>
      <c r="V14745">
        <f t="shared" si="922"/>
        <v>0</v>
      </c>
      <c r="W14745">
        <f t="shared" si="923"/>
        <v>0</v>
      </c>
    </row>
    <row r="14746" spans="5:23" x14ac:dyDescent="0.25">
      <c r="E14746" s="4"/>
      <c r="F14746" s="4"/>
      <c r="G14746" s="33" t="str">
        <f>IFERROR(VLOOKUP($D14746,'Informations sur les produits'!$A$3:$H$10000,8,FALSE),"0")</f>
        <v>0</v>
      </c>
      <c r="K14746" s="4"/>
      <c r="L14746" s="33" t="str">
        <f>IFERROR(VLOOKUP($J14746,'Informations sur les produits'!$A$3:$H$10000,8,FALSE),"0")</f>
        <v>0</v>
      </c>
      <c r="N14746" s="8"/>
      <c r="O14746" s="33" t="str">
        <f>IFERROR(VLOOKUP($M14746,'Informations sur les produits'!$A$3:$H$10000,8,FALSE),"0")</f>
        <v>0</v>
      </c>
      <c r="P14746" s="33">
        <f t="shared" si="920"/>
        <v>0</v>
      </c>
      <c r="Q14746" s="31" t="str">
        <f t="shared" si="921"/>
        <v/>
      </c>
      <c r="R14746" s="32" t="str">
        <f>IFERROR(VLOOKUP($D14746,'Informations sur les produits'!$A$3:$B$15000,2,FALSE),"")</f>
        <v/>
      </c>
      <c r="V14746">
        <f t="shared" si="922"/>
        <v>0</v>
      </c>
      <c r="W14746">
        <f t="shared" si="923"/>
        <v>0</v>
      </c>
    </row>
    <row r="14747" spans="5:23" x14ac:dyDescent="0.25">
      <c r="E14747" s="4"/>
      <c r="F14747" s="4"/>
      <c r="G14747" s="33" t="str">
        <f>IFERROR(VLOOKUP($D14747,'Informations sur les produits'!$A$3:$H$10000,8,FALSE),"0")</f>
        <v>0</v>
      </c>
      <c r="K14747" s="4"/>
      <c r="L14747" s="33" t="str">
        <f>IFERROR(VLOOKUP($J14747,'Informations sur les produits'!$A$3:$H$10000,8,FALSE),"0")</f>
        <v>0</v>
      </c>
      <c r="N14747" s="8"/>
      <c r="O14747" s="33" t="str">
        <f>IFERROR(VLOOKUP($M14747,'Informations sur les produits'!$A$3:$H$10000,8,FALSE),"0")</f>
        <v>0</v>
      </c>
      <c r="P14747" s="33">
        <f t="shared" si="920"/>
        <v>0</v>
      </c>
      <c r="Q14747" s="31" t="str">
        <f t="shared" si="921"/>
        <v/>
      </c>
      <c r="R14747" s="32" t="str">
        <f>IFERROR(VLOOKUP($D14747,'Informations sur les produits'!$A$3:$B$15000,2,FALSE),"")</f>
        <v/>
      </c>
      <c r="V14747">
        <f t="shared" si="922"/>
        <v>0</v>
      </c>
      <c r="W14747">
        <f t="shared" si="923"/>
        <v>0</v>
      </c>
    </row>
    <row r="14748" spans="5:23" x14ac:dyDescent="0.25">
      <c r="E14748" s="4"/>
      <c r="F14748" s="4"/>
      <c r="G14748" s="33" t="str">
        <f>IFERROR(VLOOKUP($D14748,'Informations sur les produits'!$A$3:$H$10000,8,FALSE),"0")</f>
        <v>0</v>
      </c>
      <c r="K14748" s="4"/>
      <c r="L14748" s="33" t="str">
        <f>IFERROR(VLOOKUP($J14748,'Informations sur les produits'!$A$3:$H$10000,8,FALSE),"0")</f>
        <v>0</v>
      </c>
      <c r="N14748" s="8"/>
      <c r="O14748" s="33" t="str">
        <f>IFERROR(VLOOKUP($M14748,'Informations sur les produits'!$A$3:$H$10000,8,FALSE),"0")</f>
        <v>0</v>
      </c>
      <c r="P14748" s="33">
        <f t="shared" si="920"/>
        <v>0</v>
      </c>
      <c r="Q14748" s="31" t="str">
        <f t="shared" si="921"/>
        <v/>
      </c>
      <c r="R14748" s="32" t="str">
        <f>IFERROR(VLOOKUP($D14748,'Informations sur les produits'!$A$3:$B$15000,2,FALSE),"")</f>
        <v/>
      </c>
      <c r="V14748">
        <f t="shared" si="922"/>
        <v>0</v>
      </c>
      <c r="W14748">
        <f t="shared" si="923"/>
        <v>0</v>
      </c>
    </row>
    <row r="14749" spans="5:23" x14ac:dyDescent="0.25">
      <c r="E14749" s="4"/>
      <c r="F14749" s="4"/>
      <c r="G14749" s="33" t="str">
        <f>IFERROR(VLOOKUP($D14749,'Informations sur les produits'!$A$3:$H$10000,8,FALSE),"0")</f>
        <v>0</v>
      </c>
      <c r="K14749" s="4"/>
      <c r="L14749" s="33" t="str">
        <f>IFERROR(VLOOKUP($J14749,'Informations sur les produits'!$A$3:$H$10000,8,FALSE),"0")</f>
        <v>0</v>
      </c>
      <c r="N14749" s="8"/>
      <c r="O14749" s="33" t="str">
        <f>IFERROR(VLOOKUP($M14749,'Informations sur les produits'!$A$3:$H$10000,8,FALSE),"0")</f>
        <v>0</v>
      </c>
      <c r="P14749" s="33">
        <f t="shared" si="920"/>
        <v>0</v>
      </c>
      <c r="Q14749" s="31" t="str">
        <f t="shared" si="921"/>
        <v/>
      </c>
      <c r="R14749" s="32" t="str">
        <f>IFERROR(VLOOKUP($D14749,'Informations sur les produits'!$A$3:$B$15000,2,FALSE),"")</f>
        <v/>
      </c>
      <c r="V14749">
        <f t="shared" si="922"/>
        <v>0</v>
      </c>
      <c r="W14749">
        <f t="shared" si="923"/>
        <v>0</v>
      </c>
    </row>
    <row r="14750" spans="5:23" x14ac:dyDescent="0.25">
      <c r="E14750" s="4"/>
      <c r="F14750" s="4"/>
      <c r="G14750" s="33" t="str">
        <f>IFERROR(VLOOKUP($D14750,'Informations sur les produits'!$A$3:$H$10000,8,FALSE),"0")</f>
        <v>0</v>
      </c>
      <c r="K14750" s="4"/>
      <c r="L14750" s="33" t="str">
        <f>IFERROR(VLOOKUP($J14750,'Informations sur les produits'!$A$3:$H$10000,8,FALSE),"0")</f>
        <v>0</v>
      </c>
      <c r="N14750" s="8"/>
      <c r="O14750" s="33" t="str">
        <f>IFERROR(VLOOKUP($M14750,'Informations sur les produits'!$A$3:$H$10000,8,FALSE),"0")</f>
        <v>0</v>
      </c>
      <c r="P14750" s="33">
        <f t="shared" si="920"/>
        <v>0</v>
      </c>
      <c r="Q14750" s="31" t="str">
        <f t="shared" si="921"/>
        <v/>
      </c>
      <c r="R14750" s="32" t="str">
        <f>IFERROR(VLOOKUP($D14750,'Informations sur les produits'!$A$3:$B$15000,2,FALSE),"")</f>
        <v/>
      </c>
      <c r="V14750">
        <f t="shared" si="922"/>
        <v>0</v>
      </c>
      <c r="W14750">
        <f t="shared" si="923"/>
        <v>0</v>
      </c>
    </row>
    <row r="14751" spans="5:23" x14ac:dyDescent="0.25">
      <c r="E14751" s="4"/>
      <c r="F14751" s="4"/>
      <c r="G14751" s="33" t="str">
        <f>IFERROR(VLOOKUP($D14751,'Informations sur les produits'!$A$3:$H$10000,8,FALSE),"0")</f>
        <v>0</v>
      </c>
      <c r="K14751" s="4"/>
      <c r="L14751" s="33" t="str">
        <f>IFERROR(VLOOKUP($J14751,'Informations sur les produits'!$A$3:$H$10000,8,FALSE),"0")</f>
        <v>0</v>
      </c>
      <c r="N14751" s="8"/>
      <c r="O14751" s="33" t="str">
        <f>IFERROR(VLOOKUP($M14751,'Informations sur les produits'!$A$3:$H$10000,8,FALSE),"0")</f>
        <v>0</v>
      </c>
      <c r="P14751" s="33">
        <f t="shared" si="920"/>
        <v>0</v>
      </c>
      <c r="Q14751" s="31" t="str">
        <f t="shared" si="921"/>
        <v/>
      </c>
      <c r="R14751" s="32" t="str">
        <f>IFERROR(VLOOKUP($D14751,'Informations sur les produits'!$A$3:$B$15000,2,FALSE),"")</f>
        <v/>
      </c>
      <c r="V14751">
        <f t="shared" si="922"/>
        <v>0</v>
      </c>
      <c r="W14751">
        <f t="shared" si="923"/>
        <v>0</v>
      </c>
    </row>
    <row r="14752" spans="5:23" x14ac:dyDescent="0.25">
      <c r="E14752" s="4"/>
      <c r="F14752" s="4"/>
      <c r="G14752" s="33" t="str">
        <f>IFERROR(VLOOKUP($D14752,'Informations sur les produits'!$A$3:$H$10000,8,FALSE),"0")</f>
        <v>0</v>
      </c>
      <c r="K14752" s="4"/>
      <c r="L14752" s="33" t="str">
        <f>IFERROR(VLOOKUP($J14752,'Informations sur les produits'!$A$3:$H$10000,8,FALSE),"0")</f>
        <v>0</v>
      </c>
      <c r="N14752" s="8"/>
      <c r="O14752" s="33" t="str">
        <f>IFERROR(VLOOKUP($M14752,'Informations sur les produits'!$A$3:$H$10000,8,FALSE),"0")</f>
        <v>0</v>
      </c>
      <c r="P14752" s="33">
        <f t="shared" si="920"/>
        <v>0</v>
      </c>
      <c r="Q14752" s="31" t="str">
        <f t="shared" si="921"/>
        <v/>
      </c>
      <c r="R14752" s="32" t="str">
        <f>IFERROR(VLOOKUP($D14752,'Informations sur les produits'!$A$3:$B$15000,2,FALSE),"")</f>
        <v/>
      </c>
      <c r="V14752">
        <f t="shared" si="922"/>
        <v>0</v>
      </c>
      <c r="W14752">
        <f t="shared" si="923"/>
        <v>0</v>
      </c>
    </row>
    <row r="14753" spans="5:23" x14ac:dyDescent="0.25">
      <c r="E14753" s="4"/>
      <c r="F14753" s="4"/>
      <c r="G14753" s="33" t="str">
        <f>IFERROR(VLOOKUP($D14753,'Informations sur les produits'!$A$3:$H$10000,8,FALSE),"0")</f>
        <v>0</v>
      </c>
      <c r="K14753" s="4"/>
      <c r="L14753" s="33" t="str">
        <f>IFERROR(VLOOKUP($J14753,'Informations sur les produits'!$A$3:$H$10000,8,FALSE),"0")</f>
        <v>0</v>
      </c>
      <c r="N14753" s="8"/>
      <c r="O14753" s="33" t="str">
        <f>IFERROR(VLOOKUP($M14753,'Informations sur les produits'!$A$3:$H$10000,8,FALSE),"0")</f>
        <v>0</v>
      </c>
      <c r="P14753" s="33">
        <f t="shared" si="920"/>
        <v>0</v>
      </c>
      <c r="Q14753" s="31" t="str">
        <f t="shared" si="921"/>
        <v/>
      </c>
      <c r="R14753" s="32" t="str">
        <f>IFERROR(VLOOKUP($D14753,'Informations sur les produits'!$A$3:$B$15000,2,FALSE),"")</f>
        <v/>
      </c>
      <c r="V14753">
        <f t="shared" si="922"/>
        <v>0</v>
      </c>
      <c r="W14753">
        <f t="shared" si="923"/>
        <v>0</v>
      </c>
    </row>
    <row r="14754" spans="5:23" x14ac:dyDescent="0.25">
      <c r="E14754" s="4"/>
      <c r="F14754" s="4"/>
      <c r="G14754" s="33" t="str">
        <f>IFERROR(VLOOKUP($D14754,'Informations sur les produits'!$A$3:$H$10000,8,FALSE),"0")</f>
        <v>0</v>
      </c>
      <c r="K14754" s="4"/>
      <c r="L14754" s="33" t="str">
        <f>IFERROR(VLOOKUP($J14754,'Informations sur les produits'!$A$3:$H$10000,8,FALSE),"0")</f>
        <v>0</v>
      </c>
      <c r="N14754" s="8"/>
      <c r="O14754" s="33" t="str">
        <f>IFERROR(VLOOKUP($M14754,'Informations sur les produits'!$A$3:$H$10000,8,FALSE),"0")</f>
        <v>0</v>
      </c>
      <c r="P14754" s="33">
        <f t="shared" si="920"/>
        <v>0</v>
      </c>
      <c r="Q14754" s="31" t="str">
        <f t="shared" si="921"/>
        <v/>
      </c>
      <c r="R14754" s="32" t="str">
        <f>IFERROR(VLOOKUP($D14754,'Informations sur les produits'!$A$3:$B$15000,2,FALSE),"")</f>
        <v/>
      </c>
      <c r="V14754">
        <f t="shared" si="922"/>
        <v>0</v>
      </c>
      <c r="W14754">
        <f t="shared" si="923"/>
        <v>0</v>
      </c>
    </row>
    <row r="14755" spans="5:23" x14ac:dyDescent="0.25">
      <c r="E14755" s="4"/>
      <c r="F14755" s="4"/>
      <c r="G14755" s="33" t="str">
        <f>IFERROR(VLOOKUP($D14755,'Informations sur les produits'!$A$3:$H$10000,8,FALSE),"0")</f>
        <v>0</v>
      </c>
      <c r="K14755" s="4"/>
      <c r="L14755" s="33" t="str">
        <f>IFERROR(VLOOKUP($J14755,'Informations sur les produits'!$A$3:$H$10000,8,FALSE),"0")</f>
        <v>0</v>
      </c>
      <c r="N14755" s="8"/>
      <c r="O14755" s="33" t="str">
        <f>IFERROR(VLOOKUP($M14755,'Informations sur les produits'!$A$3:$H$10000,8,FALSE),"0")</f>
        <v>0</v>
      </c>
      <c r="P14755" s="33">
        <f t="shared" si="920"/>
        <v>0</v>
      </c>
      <c r="Q14755" s="31" t="str">
        <f t="shared" si="921"/>
        <v/>
      </c>
      <c r="R14755" s="32" t="str">
        <f>IFERROR(VLOOKUP($D14755,'Informations sur les produits'!$A$3:$B$15000,2,FALSE),"")</f>
        <v/>
      </c>
      <c r="V14755">
        <f t="shared" si="922"/>
        <v>0</v>
      </c>
      <c r="W14755">
        <f t="shared" si="923"/>
        <v>0</v>
      </c>
    </row>
    <row r="14756" spans="5:23" x14ac:dyDescent="0.25">
      <c r="E14756" s="4"/>
      <c r="F14756" s="4"/>
      <c r="G14756" s="33" t="str">
        <f>IFERROR(VLOOKUP($D14756,'Informations sur les produits'!$A$3:$H$10000,8,FALSE),"0")</f>
        <v>0</v>
      </c>
      <c r="K14756" s="4"/>
      <c r="L14756" s="33" t="str">
        <f>IFERROR(VLOOKUP($J14756,'Informations sur les produits'!$A$3:$H$10000,8,FALSE),"0")</f>
        <v>0</v>
      </c>
      <c r="N14756" s="8"/>
      <c r="O14756" s="33" t="str">
        <f>IFERROR(VLOOKUP($M14756,'Informations sur les produits'!$A$3:$H$10000,8,FALSE),"0")</f>
        <v>0</v>
      </c>
      <c r="P14756" s="33">
        <f t="shared" si="920"/>
        <v>0</v>
      </c>
      <c r="Q14756" s="31" t="str">
        <f t="shared" si="921"/>
        <v/>
      </c>
      <c r="R14756" s="32" t="str">
        <f>IFERROR(VLOOKUP($D14756,'Informations sur les produits'!$A$3:$B$15000,2,FALSE),"")</f>
        <v/>
      </c>
      <c r="V14756">
        <f t="shared" si="922"/>
        <v>0</v>
      </c>
      <c r="W14756">
        <f t="shared" si="923"/>
        <v>0</v>
      </c>
    </row>
    <row r="14757" spans="5:23" x14ac:dyDescent="0.25">
      <c r="E14757" s="4"/>
      <c r="F14757" s="4"/>
      <c r="G14757" s="33" t="str">
        <f>IFERROR(VLOOKUP($D14757,'Informations sur les produits'!$A$3:$H$10000,8,FALSE),"0")</f>
        <v>0</v>
      </c>
      <c r="K14757" s="4"/>
      <c r="L14757" s="33" t="str">
        <f>IFERROR(VLOOKUP($J14757,'Informations sur les produits'!$A$3:$H$10000,8,FALSE),"0")</f>
        <v>0</v>
      </c>
      <c r="N14757" s="8"/>
      <c r="O14757" s="33" t="str">
        <f>IFERROR(VLOOKUP($M14757,'Informations sur les produits'!$A$3:$H$10000,8,FALSE),"0")</f>
        <v>0</v>
      </c>
      <c r="P14757" s="33">
        <f t="shared" si="920"/>
        <v>0</v>
      </c>
      <c r="Q14757" s="31" t="str">
        <f t="shared" si="921"/>
        <v/>
      </c>
      <c r="R14757" s="32" t="str">
        <f>IFERROR(VLOOKUP($D14757,'Informations sur les produits'!$A$3:$B$15000,2,FALSE),"")</f>
        <v/>
      </c>
      <c r="V14757">
        <f t="shared" si="922"/>
        <v>0</v>
      </c>
      <c r="W14757">
        <f t="shared" si="923"/>
        <v>0</v>
      </c>
    </row>
    <row r="14758" spans="5:23" x14ac:dyDescent="0.25">
      <c r="E14758" s="4"/>
      <c r="F14758" s="4"/>
      <c r="G14758" s="33" t="str">
        <f>IFERROR(VLOOKUP($D14758,'Informations sur les produits'!$A$3:$H$10000,8,FALSE),"0")</f>
        <v>0</v>
      </c>
      <c r="K14758" s="4"/>
      <c r="L14758" s="33" t="str">
        <f>IFERROR(VLOOKUP($J14758,'Informations sur les produits'!$A$3:$H$10000,8,FALSE),"0")</f>
        <v>0</v>
      </c>
      <c r="N14758" s="8"/>
      <c r="O14758" s="33" t="str">
        <f>IFERROR(VLOOKUP($M14758,'Informations sur les produits'!$A$3:$H$10000,8,FALSE),"0")</f>
        <v>0</v>
      </c>
      <c r="P14758" s="33">
        <f t="shared" si="920"/>
        <v>0</v>
      </c>
      <c r="Q14758" s="31" t="str">
        <f t="shared" si="921"/>
        <v/>
      </c>
      <c r="R14758" s="32" t="str">
        <f>IFERROR(VLOOKUP($D14758,'Informations sur les produits'!$A$3:$B$15000,2,FALSE),"")</f>
        <v/>
      </c>
      <c r="V14758">
        <f t="shared" si="922"/>
        <v>0</v>
      </c>
      <c r="W14758">
        <f t="shared" si="923"/>
        <v>0</v>
      </c>
    </row>
    <row r="14759" spans="5:23" x14ac:dyDescent="0.25">
      <c r="E14759" s="4"/>
      <c r="F14759" s="4"/>
      <c r="G14759" s="33" t="str">
        <f>IFERROR(VLOOKUP($D14759,'Informations sur les produits'!$A$3:$H$10000,8,FALSE),"0")</f>
        <v>0</v>
      </c>
      <c r="K14759" s="4"/>
      <c r="L14759" s="33" t="str">
        <f>IFERROR(VLOOKUP($J14759,'Informations sur les produits'!$A$3:$H$10000,8,FALSE),"0")</f>
        <v>0</v>
      </c>
      <c r="N14759" s="8"/>
      <c r="O14759" s="33" t="str">
        <f>IFERROR(VLOOKUP($M14759,'Informations sur les produits'!$A$3:$H$10000,8,FALSE),"0")</f>
        <v>0</v>
      </c>
      <c r="P14759" s="33">
        <f t="shared" si="920"/>
        <v>0</v>
      </c>
      <c r="Q14759" s="31" t="str">
        <f t="shared" si="921"/>
        <v/>
      </c>
      <c r="R14759" s="32" t="str">
        <f>IFERROR(VLOOKUP($D14759,'Informations sur les produits'!$A$3:$B$15000,2,FALSE),"")</f>
        <v/>
      </c>
      <c r="V14759">
        <f t="shared" si="922"/>
        <v>0</v>
      </c>
      <c r="W14759">
        <f t="shared" si="923"/>
        <v>0</v>
      </c>
    </row>
    <row r="14760" spans="5:23" x14ac:dyDescent="0.25">
      <c r="E14760" s="4"/>
      <c r="F14760" s="4"/>
      <c r="G14760" s="33" t="str">
        <f>IFERROR(VLOOKUP($D14760,'Informations sur les produits'!$A$3:$H$10000,8,FALSE),"0")</f>
        <v>0</v>
      </c>
      <c r="K14760" s="4"/>
      <c r="L14760" s="33" t="str">
        <f>IFERROR(VLOOKUP($J14760,'Informations sur les produits'!$A$3:$H$10000,8,FALSE),"0")</f>
        <v>0</v>
      </c>
      <c r="N14760" s="8"/>
      <c r="O14760" s="33" t="str">
        <f>IFERROR(VLOOKUP($M14760,'Informations sur les produits'!$A$3:$H$10000,8,FALSE),"0")</f>
        <v>0</v>
      </c>
      <c r="P14760" s="33">
        <f t="shared" si="920"/>
        <v>0</v>
      </c>
      <c r="Q14760" s="31" t="str">
        <f t="shared" si="921"/>
        <v/>
      </c>
      <c r="R14760" s="32" t="str">
        <f>IFERROR(VLOOKUP($D14760,'Informations sur les produits'!$A$3:$B$15000,2,FALSE),"")</f>
        <v/>
      </c>
      <c r="V14760">
        <f t="shared" si="922"/>
        <v>0</v>
      </c>
      <c r="W14760">
        <f t="shared" si="923"/>
        <v>0</v>
      </c>
    </row>
    <row r="14761" spans="5:23" x14ac:dyDescent="0.25">
      <c r="E14761" s="4"/>
      <c r="F14761" s="4"/>
      <c r="G14761" s="33" t="str">
        <f>IFERROR(VLOOKUP($D14761,'Informations sur les produits'!$A$3:$H$10000,8,FALSE),"0")</f>
        <v>0</v>
      </c>
      <c r="K14761" s="4"/>
      <c r="L14761" s="33" t="str">
        <f>IFERROR(VLOOKUP($J14761,'Informations sur les produits'!$A$3:$H$10000,8,FALSE),"0")</f>
        <v>0</v>
      </c>
      <c r="N14761" s="8"/>
      <c r="O14761" s="33" t="str">
        <f>IFERROR(VLOOKUP($M14761,'Informations sur les produits'!$A$3:$H$10000,8,FALSE),"0")</f>
        <v>0</v>
      </c>
      <c r="P14761" s="33">
        <f t="shared" si="920"/>
        <v>0</v>
      </c>
      <c r="Q14761" s="31" t="str">
        <f t="shared" si="921"/>
        <v/>
      </c>
      <c r="R14761" s="32" t="str">
        <f>IFERROR(VLOOKUP($D14761,'Informations sur les produits'!$A$3:$B$15000,2,FALSE),"")</f>
        <v/>
      </c>
      <c r="V14761">
        <f t="shared" si="922"/>
        <v>0</v>
      </c>
      <c r="W14761">
        <f t="shared" si="923"/>
        <v>0</v>
      </c>
    </row>
    <row r="14762" spans="5:23" x14ac:dyDescent="0.25">
      <c r="E14762" s="4"/>
      <c r="F14762" s="4"/>
      <c r="G14762" s="33" t="str">
        <f>IFERROR(VLOOKUP($D14762,'Informations sur les produits'!$A$3:$H$10000,8,FALSE),"0")</f>
        <v>0</v>
      </c>
      <c r="K14762" s="4"/>
      <c r="L14762" s="33" t="str">
        <f>IFERROR(VLOOKUP($J14762,'Informations sur les produits'!$A$3:$H$10000,8,FALSE),"0")</f>
        <v>0</v>
      </c>
      <c r="N14762" s="8"/>
      <c r="O14762" s="33" t="str">
        <f>IFERROR(VLOOKUP($M14762,'Informations sur les produits'!$A$3:$H$10000,8,FALSE),"0")</f>
        <v>0</v>
      </c>
      <c r="P14762" s="33">
        <f t="shared" si="920"/>
        <v>0</v>
      </c>
      <c r="Q14762" s="31" t="str">
        <f t="shared" si="921"/>
        <v/>
      </c>
      <c r="R14762" s="32" t="str">
        <f>IFERROR(VLOOKUP($D14762,'Informations sur les produits'!$A$3:$B$15000,2,FALSE),"")</f>
        <v/>
      </c>
      <c r="V14762">
        <f t="shared" si="922"/>
        <v>0</v>
      </c>
      <c r="W14762">
        <f t="shared" si="923"/>
        <v>0</v>
      </c>
    </row>
    <row r="14763" spans="5:23" x14ac:dyDescent="0.25">
      <c r="E14763" s="4"/>
      <c r="F14763" s="4"/>
      <c r="G14763" s="33" t="str">
        <f>IFERROR(VLOOKUP($D14763,'Informations sur les produits'!$A$3:$H$10000,8,FALSE),"0")</f>
        <v>0</v>
      </c>
      <c r="K14763" s="4"/>
      <c r="L14763" s="33" t="str">
        <f>IFERROR(VLOOKUP($J14763,'Informations sur les produits'!$A$3:$H$10000,8,FALSE),"0")</f>
        <v>0</v>
      </c>
      <c r="N14763" s="8"/>
      <c r="O14763" s="33" t="str">
        <f>IFERROR(VLOOKUP($M14763,'Informations sur les produits'!$A$3:$H$10000,8,FALSE),"0")</f>
        <v>0</v>
      </c>
      <c r="P14763" s="33">
        <f t="shared" si="920"/>
        <v>0</v>
      </c>
      <c r="Q14763" s="31" t="str">
        <f t="shared" si="921"/>
        <v/>
      </c>
      <c r="R14763" s="32" t="str">
        <f>IFERROR(VLOOKUP($D14763,'Informations sur les produits'!$A$3:$B$15000,2,FALSE),"")</f>
        <v/>
      </c>
      <c r="V14763">
        <f t="shared" si="922"/>
        <v>0</v>
      </c>
      <c r="W14763">
        <f t="shared" si="923"/>
        <v>0</v>
      </c>
    </row>
    <row r="14764" spans="5:23" x14ac:dyDescent="0.25">
      <c r="E14764" s="4"/>
      <c r="F14764" s="4"/>
      <c r="G14764" s="33" t="str">
        <f>IFERROR(VLOOKUP($D14764,'Informations sur les produits'!$A$3:$H$10000,8,FALSE),"0")</f>
        <v>0</v>
      </c>
      <c r="K14764" s="4"/>
      <c r="L14764" s="33" t="str">
        <f>IFERROR(VLOOKUP($J14764,'Informations sur les produits'!$A$3:$H$10000,8,FALSE),"0")</f>
        <v>0</v>
      </c>
      <c r="N14764" s="8"/>
      <c r="O14764" s="33" t="str">
        <f>IFERROR(VLOOKUP($M14764,'Informations sur les produits'!$A$3:$H$10000,8,FALSE),"0")</f>
        <v>0</v>
      </c>
      <c r="P14764" s="33">
        <f t="shared" si="920"/>
        <v>0</v>
      </c>
      <c r="Q14764" s="31" t="str">
        <f t="shared" si="921"/>
        <v/>
      </c>
      <c r="R14764" s="32" t="str">
        <f>IFERROR(VLOOKUP($D14764,'Informations sur les produits'!$A$3:$B$15000,2,FALSE),"")</f>
        <v/>
      </c>
      <c r="V14764">
        <f t="shared" si="922"/>
        <v>0</v>
      </c>
      <c r="W14764">
        <f t="shared" si="923"/>
        <v>0</v>
      </c>
    </row>
    <row r="14765" spans="5:23" x14ac:dyDescent="0.25">
      <c r="E14765" s="4"/>
      <c r="F14765" s="4"/>
      <c r="G14765" s="33" t="str">
        <f>IFERROR(VLOOKUP($D14765,'Informations sur les produits'!$A$3:$H$10000,8,FALSE),"0")</f>
        <v>0</v>
      </c>
      <c r="K14765" s="4"/>
      <c r="L14765" s="33" t="str">
        <f>IFERROR(VLOOKUP($J14765,'Informations sur les produits'!$A$3:$H$10000,8,FALSE),"0")</f>
        <v>0</v>
      </c>
      <c r="N14765" s="8"/>
      <c r="O14765" s="33" t="str">
        <f>IFERROR(VLOOKUP($M14765,'Informations sur les produits'!$A$3:$H$10000,8,FALSE),"0")</f>
        <v>0</v>
      </c>
      <c r="P14765" s="33">
        <f t="shared" si="920"/>
        <v>0</v>
      </c>
      <c r="Q14765" s="31" t="str">
        <f t="shared" si="921"/>
        <v/>
      </c>
      <c r="R14765" s="32" t="str">
        <f>IFERROR(VLOOKUP($D14765,'Informations sur les produits'!$A$3:$B$15000,2,FALSE),"")</f>
        <v/>
      </c>
      <c r="V14765">
        <f t="shared" si="922"/>
        <v>0</v>
      </c>
      <c r="W14765">
        <f t="shared" si="923"/>
        <v>0</v>
      </c>
    </row>
    <row r="14766" spans="5:23" x14ac:dyDescent="0.25">
      <c r="E14766" s="4"/>
      <c r="F14766" s="4"/>
      <c r="G14766" s="33" t="str">
        <f>IFERROR(VLOOKUP($D14766,'Informations sur les produits'!$A$3:$H$10000,8,FALSE),"0")</f>
        <v>0</v>
      </c>
      <c r="K14766" s="4"/>
      <c r="L14766" s="33" t="str">
        <f>IFERROR(VLOOKUP($J14766,'Informations sur les produits'!$A$3:$H$10000,8,FALSE),"0")</f>
        <v>0</v>
      </c>
      <c r="N14766" s="8"/>
      <c r="O14766" s="33" t="str">
        <f>IFERROR(VLOOKUP($M14766,'Informations sur les produits'!$A$3:$H$10000,8,FALSE),"0")</f>
        <v>0</v>
      </c>
      <c r="P14766" s="33">
        <f t="shared" si="920"/>
        <v>0</v>
      </c>
      <c r="Q14766" s="31" t="str">
        <f t="shared" si="921"/>
        <v/>
      </c>
      <c r="R14766" s="32" t="str">
        <f>IFERROR(VLOOKUP($D14766,'Informations sur les produits'!$A$3:$B$15000,2,FALSE),"")</f>
        <v/>
      </c>
      <c r="V14766">
        <f t="shared" si="922"/>
        <v>0</v>
      </c>
      <c r="W14766">
        <f t="shared" si="923"/>
        <v>0</v>
      </c>
    </row>
    <row r="14767" spans="5:23" x14ac:dyDescent="0.25">
      <c r="E14767" s="4"/>
      <c r="F14767" s="4"/>
      <c r="G14767" s="33" t="str">
        <f>IFERROR(VLOOKUP($D14767,'Informations sur les produits'!$A$3:$H$10000,8,FALSE),"0")</f>
        <v>0</v>
      </c>
      <c r="K14767" s="4"/>
      <c r="L14767" s="33" t="str">
        <f>IFERROR(VLOOKUP($J14767,'Informations sur les produits'!$A$3:$H$10000,8,FALSE),"0")</f>
        <v>0</v>
      </c>
      <c r="N14767" s="8"/>
      <c r="O14767" s="33" t="str">
        <f>IFERROR(VLOOKUP($M14767,'Informations sur les produits'!$A$3:$H$10000,8,FALSE),"0")</f>
        <v>0</v>
      </c>
      <c r="P14767" s="33">
        <f t="shared" si="920"/>
        <v>0</v>
      </c>
      <c r="Q14767" s="31" t="str">
        <f t="shared" si="921"/>
        <v/>
      </c>
      <c r="R14767" s="32" t="str">
        <f>IFERROR(VLOOKUP($D14767,'Informations sur les produits'!$A$3:$B$15000,2,FALSE),"")</f>
        <v/>
      </c>
      <c r="V14767">
        <f t="shared" si="922"/>
        <v>0</v>
      </c>
      <c r="W14767">
        <f t="shared" si="923"/>
        <v>0</v>
      </c>
    </row>
    <row r="14768" spans="5:23" x14ac:dyDescent="0.25">
      <c r="E14768" s="4"/>
      <c r="F14768" s="4"/>
      <c r="G14768" s="33" t="str">
        <f>IFERROR(VLOOKUP($D14768,'Informations sur les produits'!$A$3:$H$10000,8,FALSE),"0")</f>
        <v>0</v>
      </c>
      <c r="K14768" s="4"/>
      <c r="L14768" s="33" t="str">
        <f>IFERROR(VLOOKUP($J14768,'Informations sur les produits'!$A$3:$H$10000,8,FALSE),"0")</f>
        <v>0</v>
      </c>
      <c r="N14768" s="8"/>
      <c r="O14768" s="33" t="str">
        <f>IFERROR(VLOOKUP($M14768,'Informations sur les produits'!$A$3:$H$10000,8,FALSE),"0")</f>
        <v>0</v>
      </c>
      <c r="P14768" s="33">
        <f t="shared" si="920"/>
        <v>0</v>
      </c>
      <c r="Q14768" s="31" t="str">
        <f t="shared" si="921"/>
        <v/>
      </c>
      <c r="R14768" s="32" t="str">
        <f>IFERROR(VLOOKUP($D14768,'Informations sur les produits'!$A$3:$B$15000,2,FALSE),"")</f>
        <v/>
      </c>
      <c r="V14768">
        <f t="shared" si="922"/>
        <v>0</v>
      </c>
      <c r="W14768">
        <f t="shared" si="923"/>
        <v>0</v>
      </c>
    </row>
    <row r="14769" spans="5:23" x14ac:dyDescent="0.25">
      <c r="E14769" s="4"/>
      <c r="F14769" s="4"/>
      <c r="G14769" s="33" t="str">
        <f>IFERROR(VLOOKUP($D14769,'Informations sur les produits'!$A$3:$H$10000,8,FALSE),"0")</f>
        <v>0</v>
      </c>
      <c r="K14769" s="4"/>
      <c r="L14769" s="33" t="str">
        <f>IFERROR(VLOOKUP($J14769,'Informations sur les produits'!$A$3:$H$10000,8,FALSE),"0")</f>
        <v>0</v>
      </c>
      <c r="N14769" s="8"/>
      <c r="O14769" s="33" t="str">
        <f>IFERROR(VLOOKUP($M14769,'Informations sur les produits'!$A$3:$H$10000,8,FALSE),"0")</f>
        <v>0</v>
      </c>
      <c r="P14769" s="33">
        <f t="shared" si="920"/>
        <v>0</v>
      </c>
      <c r="Q14769" s="31" t="str">
        <f t="shared" si="921"/>
        <v/>
      </c>
      <c r="R14769" s="32" t="str">
        <f>IFERROR(VLOOKUP($D14769,'Informations sur les produits'!$A$3:$B$15000,2,FALSE),"")</f>
        <v/>
      </c>
      <c r="V14769">
        <f t="shared" si="922"/>
        <v>0</v>
      </c>
      <c r="W14769">
        <f t="shared" si="923"/>
        <v>0</v>
      </c>
    </row>
    <row r="14770" spans="5:23" x14ac:dyDescent="0.25">
      <c r="E14770" s="4"/>
      <c r="F14770" s="4"/>
      <c r="G14770" s="33" t="str">
        <f>IFERROR(VLOOKUP($D14770,'Informations sur les produits'!$A$3:$H$10000,8,FALSE),"0")</f>
        <v>0</v>
      </c>
      <c r="K14770" s="4"/>
      <c r="L14770" s="33" t="str">
        <f>IFERROR(VLOOKUP($J14770,'Informations sur les produits'!$A$3:$H$10000,8,FALSE),"0")</f>
        <v>0</v>
      </c>
      <c r="N14770" s="8"/>
      <c r="O14770" s="33" t="str">
        <f>IFERROR(VLOOKUP($M14770,'Informations sur les produits'!$A$3:$H$10000,8,FALSE),"0")</f>
        <v>0</v>
      </c>
      <c r="P14770" s="33">
        <f t="shared" si="920"/>
        <v>0</v>
      </c>
      <c r="Q14770" s="31" t="str">
        <f t="shared" si="921"/>
        <v/>
      </c>
      <c r="R14770" s="32" t="str">
        <f>IFERROR(VLOOKUP($D14770,'Informations sur les produits'!$A$3:$B$15000,2,FALSE),"")</f>
        <v/>
      </c>
      <c r="V14770">
        <f t="shared" si="922"/>
        <v>0</v>
      </c>
      <c r="W14770">
        <f t="shared" si="923"/>
        <v>0</v>
      </c>
    </row>
    <row r="14771" spans="5:23" x14ac:dyDescent="0.25">
      <c r="E14771" s="4"/>
      <c r="F14771" s="4"/>
      <c r="G14771" s="33" t="str">
        <f>IFERROR(VLOOKUP($D14771,'Informations sur les produits'!$A$3:$H$10000,8,FALSE),"0")</f>
        <v>0</v>
      </c>
      <c r="K14771" s="4"/>
      <c r="L14771" s="33" t="str">
        <f>IFERROR(VLOOKUP($J14771,'Informations sur les produits'!$A$3:$H$10000,8,FALSE),"0")</f>
        <v>0</v>
      </c>
      <c r="N14771" s="8"/>
      <c r="O14771" s="33" t="str">
        <f>IFERROR(VLOOKUP($M14771,'Informations sur les produits'!$A$3:$H$10000,8,FALSE),"0")</f>
        <v>0</v>
      </c>
      <c r="P14771" s="33">
        <f t="shared" si="920"/>
        <v>0</v>
      </c>
      <c r="Q14771" s="31" t="str">
        <f t="shared" si="921"/>
        <v/>
      </c>
      <c r="R14771" s="32" t="str">
        <f>IFERROR(VLOOKUP($D14771,'Informations sur les produits'!$A$3:$B$15000,2,FALSE),"")</f>
        <v/>
      </c>
      <c r="V14771">
        <f t="shared" si="922"/>
        <v>0</v>
      </c>
      <c r="W14771">
        <f t="shared" si="923"/>
        <v>0</v>
      </c>
    </row>
    <row r="14772" spans="5:23" x14ac:dyDescent="0.25">
      <c r="E14772" s="4"/>
      <c r="F14772" s="4"/>
      <c r="G14772" s="33" t="str">
        <f>IFERROR(VLOOKUP($D14772,'Informations sur les produits'!$A$3:$H$10000,8,FALSE),"0")</f>
        <v>0</v>
      </c>
      <c r="K14772" s="4"/>
      <c r="L14772" s="33" t="str">
        <f>IFERROR(VLOOKUP($J14772,'Informations sur les produits'!$A$3:$H$10000,8,FALSE),"0")</f>
        <v>0</v>
      </c>
      <c r="N14772" s="8"/>
      <c r="O14772" s="33" t="str">
        <f>IFERROR(VLOOKUP($M14772,'Informations sur les produits'!$A$3:$H$10000,8,FALSE),"0")</f>
        <v>0</v>
      </c>
      <c r="P14772" s="33">
        <f t="shared" si="920"/>
        <v>0</v>
      </c>
      <c r="Q14772" s="31" t="str">
        <f t="shared" si="921"/>
        <v/>
      </c>
      <c r="R14772" s="32" t="str">
        <f>IFERROR(VLOOKUP($D14772,'Informations sur les produits'!$A$3:$B$15000,2,FALSE),"")</f>
        <v/>
      </c>
      <c r="V14772">
        <f t="shared" si="922"/>
        <v>0</v>
      </c>
      <c r="W14772">
        <f t="shared" si="923"/>
        <v>0</v>
      </c>
    </row>
    <row r="14773" spans="5:23" x14ac:dyDescent="0.25">
      <c r="E14773" s="4"/>
      <c r="F14773" s="4"/>
      <c r="G14773" s="33" t="str">
        <f>IFERROR(VLOOKUP($D14773,'Informations sur les produits'!$A$3:$H$10000,8,FALSE),"0")</f>
        <v>0</v>
      </c>
      <c r="K14773" s="4"/>
      <c r="L14773" s="33" t="str">
        <f>IFERROR(VLOOKUP($J14773,'Informations sur les produits'!$A$3:$H$10000,8,FALSE),"0")</f>
        <v>0</v>
      </c>
      <c r="N14773" s="8"/>
      <c r="O14773" s="33" t="str">
        <f>IFERROR(VLOOKUP($M14773,'Informations sur les produits'!$A$3:$H$10000,8,FALSE),"0")</f>
        <v>0</v>
      </c>
      <c r="P14773" s="33">
        <f t="shared" si="920"/>
        <v>0</v>
      </c>
      <c r="Q14773" s="31" t="str">
        <f t="shared" si="921"/>
        <v/>
      </c>
      <c r="R14773" s="32" t="str">
        <f>IFERROR(VLOOKUP($D14773,'Informations sur les produits'!$A$3:$B$15000,2,FALSE),"")</f>
        <v/>
      </c>
      <c r="V14773">
        <f t="shared" si="922"/>
        <v>0</v>
      </c>
      <c r="W14773">
        <f t="shared" si="923"/>
        <v>0</v>
      </c>
    </row>
    <row r="14774" spans="5:23" x14ac:dyDescent="0.25">
      <c r="E14774" s="4"/>
      <c r="F14774" s="4"/>
      <c r="G14774" s="33" t="str">
        <f>IFERROR(VLOOKUP($D14774,'Informations sur les produits'!$A$3:$H$10000,8,FALSE),"0")</f>
        <v>0</v>
      </c>
      <c r="K14774" s="4"/>
      <c r="L14774" s="33" t="str">
        <f>IFERROR(VLOOKUP($J14774,'Informations sur les produits'!$A$3:$H$10000,8,FALSE),"0")</f>
        <v>0</v>
      </c>
      <c r="N14774" s="8"/>
      <c r="O14774" s="33" t="str">
        <f>IFERROR(VLOOKUP($M14774,'Informations sur les produits'!$A$3:$H$10000,8,FALSE),"0")</f>
        <v>0</v>
      </c>
      <c r="P14774" s="33">
        <f t="shared" si="920"/>
        <v>0</v>
      </c>
      <c r="Q14774" s="31" t="str">
        <f t="shared" si="921"/>
        <v/>
      </c>
      <c r="R14774" s="32" t="str">
        <f>IFERROR(VLOOKUP($D14774,'Informations sur les produits'!$A$3:$B$15000,2,FALSE),"")</f>
        <v/>
      </c>
      <c r="V14774">
        <f t="shared" si="922"/>
        <v>0</v>
      </c>
      <c r="W14774">
        <f t="shared" si="923"/>
        <v>0</v>
      </c>
    </row>
    <row r="14775" spans="5:23" x14ac:dyDescent="0.25">
      <c r="E14775" s="4"/>
      <c r="F14775" s="4"/>
      <c r="G14775" s="33" t="str">
        <f>IFERROR(VLOOKUP($D14775,'Informations sur les produits'!$A$3:$H$10000,8,FALSE),"0")</f>
        <v>0</v>
      </c>
      <c r="K14775" s="4"/>
      <c r="L14775" s="33" t="str">
        <f>IFERROR(VLOOKUP($J14775,'Informations sur les produits'!$A$3:$H$10000,8,FALSE),"0")</f>
        <v>0</v>
      </c>
      <c r="N14775" s="8"/>
      <c r="O14775" s="33" t="str">
        <f>IFERROR(VLOOKUP($M14775,'Informations sur les produits'!$A$3:$H$10000,8,FALSE),"0")</f>
        <v>0</v>
      </c>
      <c r="P14775" s="33">
        <f t="shared" si="920"/>
        <v>0</v>
      </c>
      <c r="Q14775" s="31" t="str">
        <f t="shared" si="921"/>
        <v/>
      </c>
      <c r="R14775" s="32" t="str">
        <f>IFERROR(VLOOKUP($D14775,'Informations sur les produits'!$A$3:$B$15000,2,FALSE),"")</f>
        <v/>
      </c>
      <c r="V14775">
        <f t="shared" si="922"/>
        <v>0</v>
      </c>
      <c r="W14775">
        <f t="shared" si="923"/>
        <v>0</v>
      </c>
    </row>
    <row r="14776" spans="5:23" x14ac:dyDescent="0.25">
      <c r="E14776" s="4"/>
      <c r="F14776" s="4"/>
      <c r="G14776" s="33" t="str">
        <f>IFERROR(VLOOKUP($D14776,'Informations sur les produits'!$A$3:$H$10000,8,FALSE),"0")</f>
        <v>0</v>
      </c>
      <c r="K14776" s="4"/>
      <c r="L14776" s="33" t="str">
        <f>IFERROR(VLOOKUP($J14776,'Informations sur les produits'!$A$3:$H$10000,8,FALSE),"0")</f>
        <v>0</v>
      </c>
      <c r="N14776" s="8"/>
      <c r="O14776" s="33" t="str">
        <f>IFERROR(VLOOKUP($M14776,'Informations sur les produits'!$A$3:$H$10000,8,FALSE),"0")</f>
        <v>0</v>
      </c>
      <c r="P14776" s="33">
        <f t="shared" si="920"/>
        <v>0</v>
      </c>
      <c r="Q14776" s="31" t="str">
        <f t="shared" si="921"/>
        <v/>
      </c>
      <c r="R14776" s="32" t="str">
        <f>IFERROR(VLOOKUP($D14776,'Informations sur les produits'!$A$3:$B$15000,2,FALSE),"")</f>
        <v/>
      </c>
      <c r="V14776">
        <f t="shared" si="922"/>
        <v>0</v>
      </c>
      <c r="W14776">
        <f t="shared" si="923"/>
        <v>0</v>
      </c>
    </row>
    <row r="14777" spans="5:23" x14ac:dyDescent="0.25">
      <c r="E14777" s="4"/>
      <c r="F14777" s="4"/>
      <c r="G14777" s="33" t="str">
        <f>IFERROR(VLOOKUP($D14777,'Informations sur les produits'!$A$3:$H$10000,8,FALSE),"0")</f>
        <v>0</v>
      </c>
      <c r="K14777" s="4"/>
      <c r="L14777" s="33" t="str">
        <f>IFERROR(VLOOKUP($J14777,'Informations sur les produits'!$A$3:$H$10000,8,FALSE),"0")</f>
        <v>0</v>
      </c>
      <c r="N14777" s="8"/>
      <c r="O14777" s="33" t="str">
        <f>IFERROR(VLOOKUP($M14777,'Informations sur les produits'!$A$3:$H$10000,8,FALSE),"0")</f>
        <v>0</v>
      </c>
      <c r="P14777" s="33">
        <f t="shared" si="920"/>
        <v>0</v>
      </c>
      <c r="Q14777" s="31" t="str">
        <f t="shared" si="921"/>
        <v/>
      </c>
      <c r="R14777" s="32" t="str">
        <f>IFERROR(VLOOKUP($D14777,'Informations sur les produits'!$A$3:$B$15000,2,FALSE),"")</f>
        <v/>
      </c>
      <c r="V14777">
        <f t="shared" si="922"/>
        <v>0</v>
      </c>
      <c r="W14777">
        <f t="shared" si="923"/>
        <v>0</v>
      </c>
    </row>
    <row r="14778" spans="5:23" x14ac:dyDescent="0.25">
      <c r="E14778" s="4"/>
      <c r="F14778" s="4"/>
      <c r="G14778" s="33" t="str">
        <f>IFERROR(VLOOKUP($D14778,'Informations sur les produits'!$A$3:$H$10000,8,FALSE),"0")</f>
        <v>0</v>
      </c>
      <c r="K14778" s="4"/>
      <c r="L14778" s="33" t="str">
        <f>IFERROR(VLOOKUP($J14778,'Informations sur les produits'!$A$3:$H$10000,8,FALSE),"0")</f>
        <v>0</v>
      </c>
      <c r="N14778" s="8"/>
      <c r="O14778" s="33" t="str">
        <f>IFERROR(VLOOKUP($M14778,'Informations sur les produits'!$A$3:$H$10000,8,FALSE),"0")</f>
        <v>0</v>
      </c>
      <c r="P14778" s="33">
        <f t="shared" si="920"/>
        <v>0</v>
      </c>
      <c r="Q14778" s="31" t="str">
        <f t="shared" si="921"/>
        <v/>
      </c>
      <c r="R14778" s="32" t="str">
        <f>IFERROR(VLOOKUP($D14778,'Informations sur les produits'!$A$3:$B$15000,2,FALSE),"")</f>
        <v/>
      </c>
      <c r="V14778">
        <f t="shared" si="922"/>
        <v>0</v>
      </c>
      <c r="W14778">
        <f t="shared" si="923"/>
        <v>0</v>
      </c>
    </row>
    <row r="14779" spans="5:23" x14ac:dyDescent="0.25">
      <c r="E14779" s="4"/>
      <c r="F14779" s="4"/>
      <c r="G14779" s="33" t="str">
        <f>IFERROR(VLOOKUP($D14779,'Informations sur les produits'!$A$3:$H$10000,8,FALSE),"0")</f>
        <v>0</v>
      </c>
      <c r="K14779" s="4"/>
      <c r="L14779" s="33" t="str">
        <f>IFERROR(VLOOKUP($J14779,'Informations sur les produits'!$A$3:$H$10000,8,FALSE),"0")</f>
        <v>0</v>
      </c>
      <c r="N14779" s="8"/>
      <c r="O14779" s="33" t="str">
        <f>IFERROR(VLOOKUP($M14779,'Informations sur les produits'!$A$3:$H$10000,8,FALSE),"0")</f>
        <v>0</v>
      </c>
      <c r="P14779" s="33">
        <f t="shared" si="920"/>
        <v>0</v>
      </c>
      <c r="Q14779" s="31" t="str">
        <f t="shared" si="921"/>
        <v/>
      </c>
      <c r="R14779" s="32" t="str">
        <f>IFERROR(VLOOKUP($D14779,'Informations sur les produits'!$A$3:$B$15000,2,FALSE),"")</f>
        <v/>
      </c>
      <c r="V14779">
        <f t="shared" si="922"/>
        <v>0</v>
      </c>
      <c r="W14779">
        <f t="shared" si="923"/>
        <v>0</v>
      </c>
    </row>
    <row r="14780" spans="5:23" x14ac:dyDescent="0.25">
      <c r="E14780" s="4"/>
      <c r="F14780" s="4"/>
      <c r="G14780" s="33" t="str">
        <f>IFERROR(VLOOKUP($D14780,'Informations sur les produits'!$A$3:$H$10000,8,FALSE),"0")</f>
        <v>0</v>
      </c>
      <c r="K14780" s="4"/>
      <c r="L14780" s="33" t="str">
        <f>IFERROR(VLOOKUP($J14780,'Informations sur les produits'!$A$3:$H$10000,8,FALSE),"0")</f>
        <v>0</v>
      </c>
      <c r="N14780" s="8"/>
      <c r="O14780" s="33" t="str">
        <f>IFERROR(VLOOKUP($M14780,'Informations sur les produits'!$A$3:$H$10000,8,FALSE),"0")</f>
        <v>0</v>
      </c>
      <c r="P14780" s="33">
        <f t="shared" si="920"/>
        <v>0</v>
      </c>
      <c r="Q14780" s="31" t="str">
        <f t="shared" si="921"/>
        <v/>
      </c>
      <c r="R14780" s="32" t="str">
        <f>IFERROR(VLOOKUP($D14780,'Informations sur les produits'!$A$3:$B$15000,2,FALSE),"")</f>
        <v/>
      </c>
      <c r="V14780">
        <f t="shared" si="922"/>
        <v>0</v>
      </c>
      <c r="W14780">
        <f t="shared" si="923"/>
        <v>0</v>
      </c>
    </row>
    <row r="14781" spans="5:23" x14ac:dyDescent="0.25">
      <c r="E14781" s="4"/>
      <c r="F14781" s="4"/>
      <c r="G14781" s="33" t="str">
        <f>IFERROR(VLOOKUP($D14781,'Informations sur les produits'!$A$3:$H$10000,8,FALSE),"0")</f>
        <v>0</v>
      </c>
      <c r="K14781" s="4"/>
      <c r="L14781" s="33" t="str">
        <f>IFERROR(VLOOKUP($J14781,'Informations sur les produits'!$A$3:$H$10000,8,FALSE),"0")</f>
        <v>0</v>
      </c>
      <c r="N14781" s="8"/>
      <c r="O14781" s="33" t="str">
        <f>IFERROR(VLOOKUP($M14781,'Informations sur les produits'!$A$3:$H$10000,8,FALSE),"0")</f>
        <v>0</v>
      </c>
      <c r="P14781" s="33">
        <f t="shared" si="920"/>
        <v>0</v>
      </c>
      <c r="Q14781" s="31" t="str">
        <f t="shared" si="921"/>
        <v/>
      </c>
      <c r="R14781" s="32" t="str">
        <f>IFERROR(VLOOKUP($D14781,'Informations sur les produits'!$A$3:$B$15000,2,FALSE),"")</f>
        <v/>
      </c>
      <c r="V14781">
        <f t="shared" si="922"/>
        <v>0</v>
      </c>
      <c r="W14781">
        <f t="shared" si="923"/>
        <v>0</v>
      </c>
    </row>
    <row r="14782" spans="5:23" x14ac:dyDescent="0.25">
      <c r="E14782" s="4"/>
      <c r="F14782" s="4"/>
      <c r="G14782" s="33" t="str">
        <f>IFERROR(VLOOKUP($D14782,'Informations sur les produits'!$A$3:$H$10000,8,FALSE),"0")</f>
        <v>0</v>
      </c>
      <c r="K14782" s="4"/>
      <c r="L14782" s="33" t="str">
        <f>IFERROR(VLOOKUP($J14782,'Informations sur les produits'!$A$3:$H$10000,8,FALSE),"0")</f>
        <v>0</v>
      </c>
      <c r="N14782" s="8"/>
      <c r="O14782" s="33" t="str">
        <f>IFERROR(VLOOKUP($M14782,'Informations sur les produits'!$A$3:$H$10000,8,FALSE),"0")</f>
        <v>0</v>
      </c>
      <c r="P14782" s="33">
        <f t="shared" si="920"/>
        <v>0</v>
      </c>
      <c r="Q14782" s="31" t="str">
        <f t="shared" si="921"/>
        <v/>
      </c>
      <c r="R14782" s="32" t="str">
        <f>IFERROR(VLOOKUP($D14782,'Informations sur les produits'!$A$3:$B$15000,2,FALSE),"")</f>
        <v/>
      </c>
      <c r="V14782">
        <f t="shared" si="922"/>
        <v>0</v>
      </c>
      <c r="W14782">
        <f t="shared" si="923"/>
        <v>0</v>
      </c>
    </row>
    <row r="14783" spans="5:23" x14ac:dyDescent="0.25">
      <c r="E14783" s="4"/>
      <c r="F14783" s="4"/>
      <c r="G14783" s="33" t="str">
        <f>IFERROR(VLOOKUP($D14783,'Informations sur les produits'!$A$3:$H$10000,8,FALSE),"0")</f>
        <v>0</v>
      </c>
      <c r="K14783" s="4"/>
      <c r="L14783" s="33" t="str">
        <f>IFERROR(VLOOKUP($J14783,'Informations sur les produits'!$A$3:$H$10000,8,FALSE),"0")</f>
        <v>0</v>
      </c>
      <c r="N14783" s="8"/>
      <c r="O14783" s="33" t="str">
        <f>IFERROR(VLOOKUP($M14783,'Informations sur les produits'!$A$3:$H$10000,8,FALSE),"0")</f>
        <v>0</v>
      </c>
      <c r="P14783" s="33">
        <f t="shared" si="920"/>
        <v>0</v>
      </c>
      <c r="Q14783" s="31" t="str">
        <f t="shared" si="921"/>
        <v/>
      </c>
      <c r="R14783" s="32" t="str">
        <f>IFERROR(VLOOKUP($D14783,'Informations sur les produits'!$A$3:$B$15000,2,FALSE),"")</f>
        <v/>
      </c>
      <c r="V14783">
        <f t="shared" si="922"/>
        <v>0</v>
      </c>
      <c r="W14783">
        <f t="shared" si="923"/>
        <v>0</v>
      </c>
    </row>
    <row r="14784" spans="5:23" x14ac:dyDescent="0.25">
      <c r="E14784" s="4"/>
      <c r="F14784" s="4"/>
      <c r="G14784" s="33" t="str">
        <f>IFERROR(VLOOKUP($D14784,'Informations sur les produits'!$A$3:$H$10000,8,FALSE),"0")</f>
        <v>0</v>
      </c>
      <c r="K14784" s="4"/>
      <c r="L14784" s="33" t="str">
        <f>IFERROR(VLOOKUP($J14784,'Informations sur les produits'!$A$3:$H$10000,8,FALSE),"0")</f>
        <v>0</v>
      </c>
      <c r="N14784" s="8"/>
      <c r="O14784" s="33" t="str">
        <f>IFERROR(VLOOKUP($M14784,'Informations sur les produits'!$A$3:$H$10000,8,FALSE),"0")</f>
        <v>0</v>
      </c>
      <c r="P14784" s="33">
        <f t="shared" si="920"/>
        <v>0</v>
      </c>
      <c r="Q14784" s="31" t="str">
        <f t="shared" si="921"/>
        <v/>
      </c>
      <c r="R14784" s="32" t="str">
        <f>IFERROR(VLOOKUP($D14784,'Informations sur les produits'!$A$3:$B$15000,2,FALSE),"")</f>
        <v/>
      </c>
      <c r="V14784">
        <f t="shared" si="922"/>
        <v>0</v>
      </c>
      <c r="W14784">
        <f t="shared" si="923"/>
        <v>0</v>
      </c>
    </row>
    <row r="14785" spans="5:23" x14ac:dyDescent="0.25">
      <c r="E14785" s="4"/>
      <c r="F14785" s="4"/>
      <c r="G14785" s="33" t="str">
        <f>IFERROR(VLOOKUP($D14785,'Informations sur les produits'!$A$3:$H$10000,8,FALSE),"0")</f>
        <v>0</v>
      </c>
      <c r="K14785" s="4"/>
      <c r="L14785" s="33" t="str">
        <f>IFERROR(VLOOKUP($J14785,'Informations sur les produits'!$A$3:$H$10000,8,FALSE),"0")</f>
        <v>0</v>
      </c>
      <c r="N14785" s="8"/>
      <c r="O14785" s="33" t="str">
        <f>IFERROR(VLOOKUP($M14785,'Informations sur les produits'!$A$3:$H$10000,8,FALSE),"0")</f>
        <v>0</v>
      </c>
      <c r="P14785" s="33">
        <f t="shared" si="920"/>
        <v>0</v>
      </c>
      <c r="Q14785" s="31" t="str">
        <f t="shared" si="921"/>
        <v/>
      </c>
      <c r="R14785" s="32" t="str">
        <f>IFERROR(VLOOKUP($D14785,'Informations sur les produits'!$A$3:$B$15000,2,FALSE),"")</f>
        <v/>
      </c>
      <c r="V14785">
        <f t="shared" si="922"/>
        <v>0</v>
      </c>
      <c r="W14785">
        <f t="shared" si="923"/>
        <v>0</v>
      </c>
    </row>
    <row r="14786" spans="5:23" x14ac:dyDescent="0.25">
      <c r="E14786" s="4"/>
      <c r="F14786" s="4"/>
      <c r="G14786" s="33" t="str">
        <f>IFERROR(VLOOKUP($D14786,'Informations sur les produits'!$A$3:$H$10000,8,FALSE),"0")</f>
        <v>0</v>
      </c>
      <c r="K14786" s="4"/>
      <c r="L14786" s="33" t="str">
        <f>IFERROR(VLOOKUP($J14786,'Informations sur les produits'!$A$3:$H$10000,8,FALSE),"0")</f>
        <v>0</v>
      </c>
      <c r="N14786" s="8"/>
      <c r="O14786" s="33" t="str">
        <f>IFERROR(VLOOKUP($M14786,'Informations sur les produits'!$A$3:$H$10000,8,FALSE),"0")</f>
        <v>0</v>
      </c>
      <c r="P14786" s="33">
        <f t="shared" si="920"/>
        <v>0</v>
      </c>
      <c r="Q14786" s="31" t="str">
        <f t="shared" si="921"/>
        <v/>
      </c>
      <c r="R14786" s="32" t="str">
        <f>IFERROR(VLOOKUP($D14786,'Informations sur les produits'!$A$3:$B$15000,2,FALSE),"")</f>
        <v/>
      </c>
      <c r="V14786">
        <f t="shared" si="922"/>
        <v>0</v>
      </c>
      <c r="W14786">
        <f t="shared" si="923"/>
        <v>0</v>
      </c>
    </row>
    <row r="14787" spans="5:23" x14ac:dyDescent="0.25">
      <c r="E14787" s="4"/>
      <c r="F14787" s="4"/>
      <c r="G14787" s="33" t="str">
        <f>IFERROR(VLOOKUP($D14787,'Informations sur les produits'!$A$3:$H$10000,8,FALSE),"0")</f>
        <v>0</v>
      </c>
      <c r="K14787" s="4"/>
      <c r="L14787" s="33" t="str">
        <f>IFERROR(VLOOKUP($J14787,'Informations sur les produits'!$A$3:$H$10000,8,FALSE),"0")</f>
        <v>0</v>
      </c>
      <c r="N14787" s="8"/>
      <c r="O14787" s="33" t="str">
        <f>IFERROR(VLOOKUP($M14787,'Informations sur les produits'!$A$3:$H$10000,8,FALSE),"0")</f>
        <v>0</v>
      </c>
      <c r="P14787" s="33">
        <f t="shared" si="920"/>
        <v>0</v>
      </c>
      <c r="Q14787" s="31" t="str">
        <f t="shared" si="921"/>
        <v/>
      </c>
      <c r="R14787" s="32" t="str">
        <f>IFERROR(VLOOKUP($D14787,'Informations sur les produits'!$A$3:$B$15000,2,FALSE),"")</f>
        <v/>
      </c>
      <c r="V14787">
        <f t="shared" si="922"/>
        <v>0</v>
      </c>
      <c r="W14787">
        <f t="shared" si="923"/>
        <v>0</v>
      </c>
    </row>
    <row r="14788" spans="5:23" x14ac:dyDescent="0.25">
      <c r="E14788" s="4"/>
      <c r="F14788" s="4"/>
      <c r="G14788" s="33" t="str">
        <f>IFERROR(VLOOKUP($D14788,'Informations sur les produits'!$A$3:$H$10000,8,FALSE),"0")</f>
        <v>0</v>
      </c>
      <c r="K14788" s="4"/>
      <c r="L14788" s="33" t="str">
        <f>IFERROR(VLOOKUP($J14788,'Informations sur les produits'!$A$3:$H$10000,8,FALSE),"0")</f>
        <v>0</v>
      </c>
      <c r="N14788" s="8"/>
      <c r="O14788" s="33" t="str">
        <f>IFERROR(VLOOKUP($M14788,'Informations sur les produits'!$A$3:$H$10000,8,FALSE),"0")</f>
        <v>0</v>
      </c>
      <c r="P14788" s="33">
        <f t="shared" ref="P14788:P14851" si="924">IFERROR((($E14788-$F14788)*$G14788+$K14788*$L14788+$N14788*$O14788),"")</f>
        <v>0</v>
      </c>
      <c r="Q14788" s="31" t="str">
        <f t="shared" ref="Q14788:Q14851" si="925">IFERROR((((($E14788-$F14788)*$G14788+$K14788*$L14788+$N14788*$O14788)*1000)/(($E14788-$F14788)+$K14788+$N14788)),"")</f>
        <v/>
      </c>
      <c r="R14788" s="32" t="str">
        <f>IFERROR(VLOOKUP($D14788,'Informations sur les produits'!$A$3:$B$15000,2,FALSE),"")</f>
        <v/>
      </c>
      <c r="V14788">
        <f t="shared" ref="V14788:V14851" si="926">IFERROR(P14788*1000,"")</f>
        <v>0</v>
      </c>
      <c r="W14788">
        <f t="shared" ref="W14788:W14851" si="927">IFERROR(($E14788-$F14788)+$K14788+$N14788,"")</f>
        <v>0</v>
      </c>
    </row>
    <row r="14789" spans="5:23" x14ac:dyDescent="0.25">
      <c r="E14789" s="4"/>
      <c r="F14789" s="4"/>
      <c r="G14789" s="33" t="str">
        <f>IFERROR(VLOOKUP($D14789,'Informations sur les produits'!$A$3:$H$10000,8,FALSE),"0")</f>
        <v>0</v>
      </c>
      <c r="K14789" s="4"/>
      <c r="L14789" s="33" t="str">
        <f>IFERROR(VLOOKUP($J14789,'Informations sur les produits'!$A$3:$H$10000,8,FALSE),"0")</f>
        <v>0</v>
      </c>
      <c r="N14789" s="8"/>
      <c r="O14789" s="33" t="str">
        <f>IFERROR(VLOOKUP($M14789,'Informations sur les produits'!$A$3:$H$10000,8,FALSE),"0")</f>
        <v>0</v>
      </c>
      <c r="P14789" s="33">
        <f t="shared" si="924"/>
        <v>0</v>
      </c>
      <c r="Q14789" s="31" t="str">
        <f t="shared" si="925"/>
        <v/>
      </c>
      <c r="R14789" s="32" t="str">
        <f>IFERROR(VLOOKUP($D14789,'Informations sur les produits'!$A$3:$B$15000,2,FALSE),"")</f>
        <v/>
      </c>
      <c r="V14789">
        <f t="shared" si="926"/>
        <v>0</v>
      </c>
      <c r="W14789">
        <f t="shared" si="927"/>
        <v>0</v>
      </c>
    </row>
    <row r="14790" spans="5:23" x14ac:dyDescent="0.25">
      <c r="E14790" s="4"/>
      <c r="F14790" s="4"/>
      <c r="G14790" s="33" t="str">
        <f>IFERROR(VLOOKUP($D14790,'Informations sur les produits'!$A$3:$H$10000,8,FALSE),"0")</f>
        <v>0</v>
      </c>
      <c r="K14790" s="4"/>
      <c r="L14790" s="33" t="str">
        <f>IFERROR(VLOOKUP($J14790,'Informations sur les produits'!$A$3:$H$10000,8,FALSE),"0")</f>
        <v>0</v>
      </c>
      <c r="N14790" s="8"/>
      <c r="O14790" s="33" t="str">
        <f>IFERROR(VLOOKUP($M14790,'Informations sur les produits'!$A$3:$H$10000,8,FALSE),"0")</f>
        <v>0</v>
      </c>
      <c r="P14790" s="33">
        <f t="shared" si="924"/>
        <v>0</v>
      </c>
      <c r="Q14790" s="31" t="str">
        <f t="shared" si="925"/>
        <v/>
      </c>
      <c r="R14790" s="32" t="str">
        <f>IFERROR(VLOOKUP($D14790,'Informations sur les produits'!$A$3:$B$15000,2,FALSE),"")</f>
        <v/>
      </c>
      <c r="V14790">
        <f t="shared" si="926"/>
        <v>0</v>
      </c>
      <c r="W14790">
        <f t="shared" si="927"/>
        <v>0</v>
      </c>
    </row>
    <row r="14791" spans="5:23" x14ac:dyDescent="0.25">
      <c r="E14791" s="4"/>
      <c r="F14791" s="4"/>
      <c r="G14791" s="33" t="str">
        <f>IFERROR(VLOOKUP($D14791,'Informations sur les produits'!$A$3:$H$10000,8,FALSE),"0")</f>
        <v>0</v>
      </c>
      <c r="K14791" s="4"/>
      <c r="L14791" s="33" t="str">
        <f>IFERROR(VLOOKUP($J14791,'Informations sur les produits'!$A$3:$H$10000,8,FALSE),"0")</f>
        <v>0</v>
      </c>
      <c r="N14791" s="8"/>
      <c r="O14791" s="33" t="str">
        <f>IFERROR(VLOOKUP($M14791,'Informations sur les produits'!$A$3:$H$10000,8,FALSE),"0")</f>
        <v>0</v>
      </c>
      <c r="P14791" s="33">
        <f t="shared" si="924"/>
        <v>0</v>
      </c>
      <c r="Q14791" s="31" t="str">
        <f t="shared" si="925"/>
        <v/>
      </c>
      <c r="R14791" s="32" t="str">
        <f>IFERROR(VLOOKUP($D14791,'Informations sur les produits'!$A$3:$B$15000,2,FALSE),"")</f>
        <v/>
      </c>
      <c r="V14791">
        <f t="shared" si="926"/>
        <v>0</v>
      </c>
      <c r="W14791">
        <f t="shared" si="927"/>
        <v>0</v>
      </c>
    </row>
    <row r="14792" spans="5:23" x14ac:dyDescent="0.25">
      <c r="E14792" s="4"/>
      <c r="F14792" s="4"/>
      <c r="G14792" s="33" t="str">
        <f>IFERROR(VLOOKUP($D14792,'Informations sur les produits'!$A$3:$H$10000,8,FALSE),"0")</f>
        <v>0</v>
      </c>
      <c r="K14792" s="4"/>
      <c r="L14792" s="33" t="str">
        <f>IFERROR(VLOOKUP($J14792,'Informations sur les produits'!$A$3:$H$10000,8,FALSE),"0")</f>
        <v>0</v>
      </c>
      <c r="N14792" s="8"/>
      <c r="O14792" s="33" t="str">
        <f>IFERROR(VLOOKUP($M14792,'Informations sur les produits'!$A$3:$H$10000,8,FALSE),"0")</f>
        <v>0</v>
      </c>
      <c r="P14792" s="33">
        <f t="shared" si="924"/>
        <v>0</v>
      </c>
      <c r="Q14792" s="31" t="str">
        <f t="shared" si="925"/>
        <v/>
      </c>
      <c r="R14792" s="32" t="str">
        <f>IFERROR(VLOOKUP($D14792,'Informations sur les produits'!$A$3:$B$15000,2,FALSE),"")</f>
        <v/>
      </c>
      <c r="V14792">
        <f t="shared" si="926"/>
        <v>0</v>
      </c>
      <c r="W14792">
        <f t="shared" si="927"/>
        <v>0</v>
      </c>
    </row>
    <row r="14793" spans="5:23" x14ac:dyDescent="0.25">
      <c r="E14793" s="4"/>
      <c r="F14793" s="4"/>
      <c r="G14793" s="33" t="str">
        <f>IFERROR(VLOOKUP($D14793,'Informations sur les produits'!$A$3:$H$10000,8,FALSE),"0")</f>
        <v>0</v>
      </c>
      <c r="K14793" s="4"/>
      <c r="L14793" s="33" t="str">
        <f>IFERROR(VLOOKUP($J14793,'Informations sur les produits'!$A$3:$H$10000,8,FALSE),"0")</f>
        <v>0</v>
      </c>
      <c r="N14793" s="8"/>
      <c r="O14793" s="33" t="str">
        <f>IFERROR(VLOOKUP($M14793,'Informations sur les produits'!$A$3:$H$10000,8,FALSE),"0")</f>
        <v>0</v>
      </c>
      <c r="P14793" s="33">
        <f t="shared" si="924"/>
        <v>0</v>
      </c>
      <c r="Q14793" s="31" t="str">
        <f t="shared" si="925"/>
        <v/>
      </c>
      <c r="R14793" s="32" t="str">
        <f>IFERROR(VLOOKUP($D14793,'Informations sur les produits'!$A$3:$B$15000,2,FALSE),"")</f>
        <v/>
      </c>
      <c r="V14793">
        <f t="shared" si="926"/>
        <v>0</v>
      </c>
      <c r="W14793">
        <f t="shared" si="927"/>
        <v>0</v>
      </c>
    </row>
    <row r="14794" spans="5:23" x14ac:dyDescent="0.25">
      <c r="E14794" s="4"/>
      <c r="F14794" s="4"/>
      <c r="G14794" s="33" t="str">
        <f>IFERROR(VLOOKUP($D14794,'Informations sur les produits'!$A$3:$H$10000,8,FALSE),"0")</f>
        <v>0</v>
      </c>
      <c r="K14794" s="4"/>
      <c r="L14794" s="33" t="str">
        <f>IFERROR(VLOOKUP($J14794,'Informations sur les produits'!$A$3:$H$10000,8,FALSE),"0")</f>
        <v>0</v>
      </c>
      <c r="N14794" s="8"/>
      <c r="O14794" s="33" t="str">
        <f>IFERROR(VLOOKUP($M14794,'Informations sur les produits'!$A$3:$H$10000,8,FALSE),"0")</f>
        <v>0</v>
      </c>
      <c r="P14794" s="33">
        <f t="shared" si="924"/>
        <v>0</v>
      </c>
      <c r="Q14794" s="31" t="str">
        <f t="shared" si="925"/>
        <v/>
      </c>
      <c r="R14794" s="32" t="str">
        <f>IFERROR(VLOOKUP($D14794,'Informations sur les produits'!$A$3:$B$15000,2,FALSE),"")</f>
        <v/>
      </c>
      <c r="V14794">
        <f t="shared" si="926"/>
        <v>0</v>
      </c>
      <c r="W14794">
        <f t="shared" si="927"/>
        <v>0</v>
      </c>
    </row>
    <row r="14795" spans="5:23" x14ac:dyDescent="0.25">
      <c r="E14795" s="4"/>
      <c r="F14795" s="4"/>
      <c r="G14795" s="33" t="str">
        <f>IFERROR(VLOOKUP($D14795,'Informations sur les produits'!$A$3:$H$10000,8,FALSE),"0")</f>
        <v>0</v>
      </c>
      <c r="K14795" s="4"/>
      <c r="L14795" s="33" t="str">
        <f>IFERROR(VLOOKUP($J14795,'Informations sur les produits'!$A$3:$H$10000,8,FALSE),"0")</f>
        <v>0</v>
      </c>
      <c r="N14795" s="8"/>
      <c r="O14795" s="33" t="str">
        <f>IFERROR(VLOOKUP($M14795,'Informations sur les produits'!$A$3:$H$10000,8,FALSE),"0")</f>
        <v>0</v>
      </c>
      <c r="P14795" s="33">
        <f t="shared" si="924"/>
        <v>0</v>
      </c>
      <c r="Q14795" s="31" t="str">
        <f t="shared" si="925"/>
        <v/>
      </c>
      <c r="R14795" s="32" t="str">
        <f>IFERROR(VLOOKUP($D14795,'Informations sur les produits'!$A$3:$B$15000,2,FALSE),"")</f>
        <v/>
      </c>
      <c r="V14795">
        <f t="shared" si="926"/>
        <v>0</v>
      </c>
      <c r="W14795">
        <f t="shared" si="927"/>
        <v>0</v>
      </c>
    </row>
    <row r="14796" spans="5:23" x14ac:dyDescent="0.25">
      <c r="E14796" s="4"/>
      <c r="F14796" s="4"/>
      <c r="G14796" s="33" t="str">
        <f>IFERROR(VLOOKUP($D14796,'Informations sur les produits'!$A$3:$H$10000,8,FALSE),"0")</f>
        <v>0</v>
      </c>
      <c r="K14796" s="4"/>
      <c r="L14796" s="33" t="str">
        <f>IFERROR(VLOOKUP($J14796,'Informations sur les produits'!$A$3:$H$10000,8,FALSE),"0")</f>
        <v>0</v>
      </c>
      <c r="N14796" s="8"/>
      <c r="O14796" s="33" t="str">
        <f>IFERROR(VLOOKUP($M14796,'Informations sur les produits'!$A$3:$H$10000,8,FALSE),"0")</f>
        <v>0</v>
      </c>
      <c r="P14796" s="33">
        <f t="shared" si="924"/>
        <v>0</v>
      </c>
      <c r="Q14796" s="31" t="str">
        <f t="shared" si="925"/>
        <v/>
      </c>
      <c r="R14796" s="32" t="str">
        <f>IFERROR(VLOOKUP($D14796,'Informations sur les produits'!$A$3:$B$15000,2,FALSE),"")</f>
        <v/>
      </c>
      <c r="V14796">
        <f t="shared" si="926"/>
        <v>0</v>
      </c>
      <c r="W14796">
        <f t="shared" si="927"/>
        <v>0</v>
      </c>
    </row>
    <row r="14797" spans="5:23" x14ac:dyDescent="0.25">
      <c r="E14797" s="4"/>
      <c r="F14797" s="4"/>
      <c r="G14797" s="33" t="str">
        <f>IFERROR(VLOOKUP($D14797,'Informations sur les produits'!$A$3:$H$10000,8,FALSE),"0")</f>
        <v>0</v>
      </c>
      <c r="K14797" s="4"/>
      <c r="L14797" s="33" t="str">
        <f>IFERROR(VLOOKUP($J14797,'Informations sur les produits'!$A$3:$H$10000,8,FALSE),"0")</f>
        <v>0</v>
      </c>
      <c r="N14797" s="8"/>
      <c r="O14797" s="33" t="str">
        <f>IFERROR(VLOOKUP($M14797,'Informations sur les produits'!$A$3:$H$10000,8,FALSE),"0")</f>
        <v>0</v>
      </c>
      <c r="P14797" s="33">
        <f t="shared" si="924"/>
        <v>0</v>
      </c>
      <c r="Q14797" s="31" t="str">
        <f t="shared" si="925"/>
        <v/>
      </c>
      <c r="R14797" s="32" t="str">
        <f>IFERROR(VLOOKUP($D14797,'Informations sur les produits'!$A$3:$B$15000,2,FALSE),"")</f>
        <v/>
      </c>
      <c r="V14797">
        <f t="shared" si="926"/>
        <v>0</v>
      </c>
      <c r="W14797">
        <f t="shared" si="927"/>
        <v>0</v>
      </c>
    </row>
    <row r="14798" spans="5:23" x14ac:dyDescent="0.25">
      <c r="E14798" s="4"/>
      <c r="F14798" s="4"/>
      <c r="G14798" s="33" t="str">
        <f>IFERROR(VLOOKUP($D14798,'Informations sur les produits'!$A$3:$H$10000,8,FALSE),"0")</f>
        <v>0</v>
      </c>
      <c r="K14798" s="4"/>
      <c r="L14798" s="33" t="str">
        <f>IFERROR(VLOOKUP($J14798,'Informations sur les produits'!$A$3:$H$10000,8,FALSE),"0")</f>
        <v>0</v>
      </c>
      <c r="N14798" s="8"/>
      <c r="O14798" s="33" t="str">
        <f>IFERROR(VLOOKUP($M14798,'Informations sur les produits'!$A$3:$H$10000,8,FALSE),"0")</f>
        <v>0</v>
      </c>
      <c r="P14798" s="33">
        <f t="shared" si="924"/>
        <v>0</v>
      </c>
      <c r="Q14798" s="31" t="str">
        <f t="shared" si="925"/>
        <v/>
      </c>
      <c r="R14798" s="32" t="str">
        <f>IFERROR(VLOOKUP($D14798,'Informations sur les produits'!$A$3:$B$15000,2,FALSE),"")</f>
        <v/>
      </c>
      <c r="V14798">
        <f t="shared" si="926"/>
        <v>0</v>
      </c>
      <c r="W14798">
        <f t="shared" si="927"/>
        <v>0</v>
      </c>
    </row>
    <row r="14799" spans="5:23" x14ac:dyDescent="0.25">
      <c r="E14799" s="4"/>
      <c r="F14799" s="4"/>
      <c r="G14799" s="33" t="str">
        <f>IFERROR(VLOOKUP($D14799,'Informations sur les produits'!$A$3:$H$10000,8,FALSE),"0")</f>
        <v>0</v>
      </c>
      <c r="K14799" s="4"/>
      <c r="L14799" s="33" t="str">
        <f>IFERROR(VLOOKUP($J14799,'Informations sur les produits'!$A$3:$H$10000,8,FALSE),"0")</f>
        <v>0</v>
      </c>
      <c r="N14799" s="8"/>
      <c r="O14799" s="33" t="str">
        <f>IFERROR(VLOOKUP($M14799,'Informations sur les produits'!$A$3:$H$10000,8,FALSE),"0")</f>
        <v>0</v>
      </c>
      <c r="P14799" s="33">
        <f t="shared" si="924"/>
        <v>0</v>
      </c>
      <c r="Q14799" s="31" t="str">
        <f t="shared" si="925"/>
        <v/>
      </c>
      <c r="R14799" s="32" t="str">
        <f>IFERROR(VLOOKUP($D14799,'Informations sur les produits'!$A$3:$B$15000,2,FALSE),"")</f>
        <v/>
      </c>
      <c r="V14799">
        <f t="shared" si="926"/>
        <v>0</v>
      </c>
      <c r="W14799">
        <f t="shared" si="927"/>
        <v>0</v>
      </c>
    </row>
    <row r="14800" spans="5:23" x14ac:dyDescent="0.25">
      <c r="E14800" s="4"/>
      <c r="F14800" s="4"/>
      <c r="G14800" s="33" t="str">
        <f>IFERROR(VLOOKUP($D14800,'Informations sur les produits'!$A$3:$H$10000,8,FALSE),"0")</f>
        <v>0</v>
      </c>
      <c r="K14800" s="4"/>
      <c r="L14800" s="33" t="str">
        <f>IFERROR(VLOOKUP($J14800,'Informations sur les produits'!$A$3:$H$10000,8,FALSE),"0")</f>
        <v>0</v>
      </c>
      <c r="N14800" s="8"/>
      <c r="O14800" s="33" t="str">
        <f>IFERROR(VLOOKUP($M14800,'Informations sur les produits'!$A$3:$H$10000,8,FALSE),"0")</f>
        <v>0</v>
      </c>
      <c r="P14800" s="33">
        <f t="shared" si="924"/>
        <v>0</v>
      </c>
      <c r="Q14800" s="31" t="str">
        <f t="shared" si="925"/>
        <v/>
      </c>
      <c r="R14800" s="32" t="str">
        <f>IFERROR(VLOOKUP($D14800,'Informations sur les produits'!$A$3:$B$15000,2,FALSE),"")</f>
        <v/>
      </c>
      <c r="V14800">
        <f t="shared" si="926"/>
        <v>0</v>
      </c>
      <c r="W14800">
        <f t="shared" si="927"/>
        <v>0</v>
      </c>
    </row>
    <row r="14801" spans="5:23" x14ac:dyDescent="0.25">
      <c r="E14801" s="4"/>
      <c r="F14801" s="4"/>
      <c r="G14801" s="33" t="str">
        <f>IFERROR(VLOOKUP($D14801,'Informations sur les produits'!$A$3:$H$10000,8,FALSE),"0")</f>
        <v>0</v>
      </c>
      <c r="K14801" s="4"/>
      <c r="L14801" s="33" t="str">
        <f>IFERROR(VLOOKUP($J14801,'Informations sur les produits'!$A$3:$H$10000,8,FALSE),"0")</f>
        <v>0</v>
      </c>
      <c r="N14801" s="8"/>
      <c r="O14801" s="33" t="str">
        <f>IFERROR(VLOOKUP($M14801,'Informations sur les produits'!$A$3:$H$10000,8,FALSE),"0")</f>
        <v>0</v>
      </c>
      <c r="P14801" s="33">
        <f t="shared" si="924"/>
        <v>0</v>
      </c>
      <c r="Q14801" s="31" t="str">
        <f t="shared" si="925"/>
        <v/>
      </c>
      <c r="R14801" s="32" t="str">
        <f>IFERROR(VLOOKUP($D14801,'Informations sur les produits'!$A$3:$B$15000,2,FALSE),"")</f>
        <v/>
      </c>
      <c r="V14801">
        <f t="shared" si="926"/>
        <v>0</v>
      </c>
      <c r="W14801">
        <f t="shared" si="927"/>
        <v>0</v>
      </c>
    </row>
    <row r="14802" spans="5:23" x14ac:dyDescent="0.25">
      <c r="E14802" s="4"/>
      <c r="F14802" s="4"/>
      <c r="G14802" s="33" t="str">
        <f>IFERROR(VLOOKUP($D14802,'Informations sur les produits'!$A$3:$H$10000,8,FALSE),"0")</f>
        <v>0</v>
      </c>
      <c r="K14802" s="4"/>
      <c r="L14802" s="33" t="str">
        <f>IFERROR(VLOOKUP($J14802,'Informations sur les produits'!$A$3:$H$10000,8,FALSE),"0")</f>
        <v>0</v>
      </c>
      <c r="N14802" s="8"/>
      <c r="O14802" s="33" t="str">
        <f>IFERROR(VLOOKUP($M14802,'Informations sur les produits'!$A$3:$H$10000,8,FALSE),"0")</f>
        <v>0</v>
      </c>
      <c r="P14802" s="33">
        <f t="shared" si="924"/>
        <v>0</v>
      </c>
      <c r="Q14802" s="31" t="str">
        <f t="shared" si="925"/>
        <v/>
      </c>
      <c r="R14802" s="32" t="str">
        <f>IFERROR(VLOOKUP($D14802,'Informations sur les produits'!$A$3:$B$15000,2,FALSE),"")</f>
        <v/>
      </c>
      <c r="V14802">
        <f t="shared" si="926"/>
        <v>0</v>
      </c>
      <c r="W14802">
        <f t="shared" si="927"/>
        <v>0</v>
      </c>
    </row>
    <row r="14803" spans="5:23" x14ac:dyDescent="0.25">
      <c r="E14803" s="4"/>
      <c r="F14803" s="4"/>
      <c r="G14803" s="33" t="str">
        <f>IFERROR(VLOOKUP($D14803,'Informations sur les produits'!$A$3:$H$10000,8,FALSE),"0")</f>
        <v>0</v>
      </c>
      <c r="K14803" s="4"/>
      <c r="L14803" s="33" t="str">
        <f>IFERROR(VLOOKUP($J14803,'Informations sur les produits'!$A$3:$H$10000,8,FALSE),"0")</f>
        <v>0</v>
      </c>
      <c r="N14803" s="8"/>
      <c r="O14803" s="33" t="str">
        <f>IFERROR(VLOOKUP($M14803,'Informations sur les produits'!$A$3:$H$10000,8,FALSE),"0")</f>
        <v>0</v>
      </c>
      <c r="P14803" s="33">
        <f t="shared" si="924"/>
        <v>0</v>
      </c>
      <c r="Q14803" s="31" t="str">
        <f t="shared" si="925"/>
        <v/>
      </c>
      <c r="R14803" s="32" t="str">
        <f>IFERROR(VLOOKUP($D14803,'Informations sur les produits'!$A$3:$B$15000,2,FALSE),"")</f>
        <v/>
      </c>
      <c r="V14803">
        <f t="shared" si="926"/>
        <v>0</v>
      </c>
      <c r="W14803">
        <f t="shared" si="927"/>
        <v>0</v>
      </c>
    </row>
    <row r="14804" spans="5:23" x14ac:dyDescent="0.25">
      <c r="E14804" s="4"/>
      <c r="F14804" s="4"/>
      <c r="G14804" s="33" t="str">
        <f>IFERROR(VLOOKUP($D14804,'Informations sur les produits'!$A$3:$H$10000,8,FALSE),"0")</f>
        <v>0</v>
      </c>
      <c r="K14804" s="4"/>
      <c r="L14804" s="33" t="str">
        <f>IFERROR(VLOOKUP($J14804,'Informations sur les produits'!$A$3:$H$10000,8,FALSE),"0")</f>
        <v>0</v>
      </c>
      <c r="N14804" s="8"/>
      <c r="O14804" s="33" t="str">
        <f>IFERROR(VLOOKUP($M14804,'Informations sur les produits'!$A$3:$H$10000,8,FALSE),"0")</f>
        <v>0</v>
      </c>
      <c r="P14804" s="33">
        <f t="shared" si="924"/>
        <v>0</v>
      </c>
      <c r="Q14804" s="31" t="str">
        <f t="shared" si="925"/>
        <v/>
      </c>
      <c r="R14804" s="32" t="str">
        <f>IFERROR(VLOOKUP($D14804,'Informations sur les produits'!$A$3:$B$15000,2,FALSE),"")</f>
        <v/>
      </c>
      <c r="V14804">
        <f t="shared" si="926"/>
        <v>0</v>
      </c>
      <c r="W14804">
        <f t="shared" si="927"/>
        <v>0</v>
      </c>
    </row>
    <row r="14805" spans="5:23" x14ac:dyDescent="0.25">
      <c r="E14805" s="4"/>
      <c r="F14805" s="4"/>
      <c r="G14805" s="33" t="str">
        <f>IFERROR(VLOOKUP($D14805,'Informations sur les produits'!$A$3:$H$10000,8,FALSE),"0")</f>
        <v>0</v>
      </c>
      <c r="K14805" s="4"/>
      <c r="L14805" s="33" t="str">
        <f>IFERROR(VLOOKUP($J14805,'Informations sur les produits'!$A$3:$H$10000,8,FALSE),"0")</f>
        <v>0</v>
      </c>
      <c r="N14805" s="8"/>
      <c r="O14805" s="33" t="str">
        <f>IFERROR(VLOOKUP($M14805,'Informations sur les produits'!$A$3:$H$10000,8,FALSE),"0")</f>
        <v>0</v>
      </c>
      <c r="P14805" s="33">
        <f t="shared" si="924"/>
        <v>0</v>
      </c>
      <c r="Q14805" s="31" t="str">
        <f t="shared" si="925"/>
        <v/>
      </c>
      <c r="R14805" s="32" t="str">
        <f>IFERROR(VLOOKUP($D14805,'Informations sur les produits'!$A$3:$B$15000,2,FALSE),"")</f>
        <v/>
      </c>
      <c r="V14805">
        <f t="shared" si="926"/>
        <v>0</v>
      </c>
      <c r="W14805">
        <f t="shared" si="927"/>
        <v>0</v>
      </c>
    </row>
    <row r="14806" spans="5:23" x14ac:dyDescent="0.25">
      <c r="E14806" s="4"/>
      <c r="F14806" s="4"/>
      <c r="G14806" s="33" t="str">
        <f>IFERROR(VLOOKUP($D14806,'Informations sur les produits'!$A$3:$H$10000,8,FALSE),"0")</f>
        <v>0</v>
      </c>
      <c r="K14806" s="4"/>
      <c r="L14806" s="33" t="str">
        <f>IFERROR(VLOOKUP($J14806,'Informations sur les produits'!$A$3:$H$10000,8,FALSE),"0")</f>
        <v>0</v>
      </c>
      <c r="N14806" s="8"/>
      <c r="O14806" s="33" t="str">
        <f>IFERROR(VLOOKUP($M14806,'Informations sur les produits'!$A$3:$H$10000,8,FALSE),"0")</f>
        <v>0</v>
      </c>
      <c r="P14806" s="33">
        <f t="shared" si="924"/>
        <v>0</v>
      </c>
      <c r="Q14806" s="31" t="str">
        <f t="shared" si="925"/>
        <v/>
      </c>
      <c r="R14806" s="32" t="str">
        <f>IFERROR(VLOOKUP($D14806,'Informations sur les produits'!$A$3:$B$15000,2,FALSE),"")</f>
        <v/>
      </c>
      <c r="V14806">
        <f t="shared" si="926"/>
        <v>0</v>
      </c>
      <c r="W14806">
        <f t="shared" si="927"/>
        <v>0</v>
      </c>
    </row>
    <row r="14807" spans="5:23" x14ac:dyDescent="0.25">
      <c r="E14807" s="4"/>
      <c r="F14807" s="4"/>
      <c r="G14807" s="33" t="str">
        <f>IFERROR(VLOOKUP($D14807,'Informations sur les produits'!$A$3:$H$10000,8,FALSE),"0")</f>
        <v>0</v>
      </c>
      <c r="K14807" s="4"/>
      <c r="L14807" s="33" t="str">
        <f>IFERROR(VLOOKUP($J14807,'Informations sur les produits'!$A$3:$H$10000,8,FALSE),"0")</f>
        <v>0</v>
      </c>
      <c r="N14807" s="8"/>
      <c r="O14807" s="33" t="str">
        <f>IFERROR(VLOOKUP($M14807,'Informations sur les produits'!$A$3:$H$10000,8,FALSE),"0")</f>
        <v>0</v>
      </c>
      <c r="P14807" s="33">
        <f t="shared" si="924"/>
        <v>0</v>
      </c>
      <c r="Q14807" s="31" t="str">
        <f t="shared" si="925"/>
        <v/>
      </c>
      <c r="R14807" s="32" t="str">
        <f>IFERROR(VLOOKUP($D14807,'Informations sur les produits'!$A$3:$B$15000,2,FALSE),"")</f>
        <v/>
      </c>
      <c r="V14807">
        <f t="shared" si="926"/>
        <v>0</v>
      </c>
      <c r="W14807">
        <f t="shared" si="927"/>
        <v>0</v>
      </c>
    </row>
    <row r="14808" spans="5:23" x14ac:dyDescent="0.25">
      <c r="E14808" s="4"/>
      <c r="F14808" s="4"/>
      <c r="G14808" s="33" t="str">
        <f>IFERROR(VLOOKUP($D14808,'Informations sur les produits'!$A$3:$H$10000,8,FALSE),"0")</f>
        <v>0</v>
      </c>
      <c r="K14808" s="4"/>
      <c r="L14808" s="33" t="str">
        <f>IFERROR(VLOOKUP($J14808,'Informations sur les produits'!$A$3:$H$10000,8,FALSE),"0")</f>
        <v>0</v>
      </c>
      <c r="N14808" s="8"/>
      <c r="O14808" s="33" t="str">
        <f>IFERROR(VLOOKUP($M14808,'Informations sur les produits'!$A$3:$H$10000,8,FALSE),"0")</f>
        <v>0</v>
      </c>
      <c r="P14808" s="33">
        <f t="shared" si="924"/>
        <v>0</v>
      </c>
      <c r="Q14808" s="31" t="str">
        <f t="shared" si="925"/>
        <v/>
      </c>
      <c r="R14808" s="32" t="str">
        <f>IFERROR(VLOOKUP($D14808,'Informations sur les produits'!$A$3:$B$15000,2,FALSE),"")</f>
        <v/>
      </c>
      <c r="V14808">
        <f t="shared" si="926"/>
        <v>0</v>
      </c>
      <c r="W14808">
        <f t="shared" si="927"/>
        <v>0</v>
      </c>
    </row>
    <row r="14809" spans="5:23" x14ac:dyDescent="0.25">
      <c r="E14809" s="4"/>
      <c r="F14809" s="4"/>
      <c r="G14809" s="33" t="str">
        <f>IFERROR(VLOOKUP($D14809,'Informations sur les produits'!$A$3:$H$10000,8,FALSE),"0")</f>
        <v>0</v>
      </c>
      <c r="K14809" s="4"/>
      <c r="L14809" s="33" t="str">
        <f>IFERROR(VLOOKUP($J14809,'Informations sur les produits'!$A$3:$H$10000,8,FALSE),"0")</f>
        <v>0</v>
      </c>
      <c r="N14809" s="8"/>
      <c r="O14809" s="33" t="str">
        <f>IFERROR(VLOOKUP($M14809,'Informations sur les produits'!$A$3:$H$10000,8,FALSE),"0")</f>
        <v>0</v>
      </c>
      <c r="P14809" s="33">
        <f t="shared" si="924"/>
        <v>0</v>
      </c>
      <c r="Q14809" s="31" t="str">
        <f t="shared" si="925"/>
        <v/>
      </c>
      <c r="R14809" s="32" t="str">
        <f>IFERROR(VLOOKUP($D14809,'Informations sur les produits'!$A$3:$B$15000,2,FALSE),"")</f>
        <v/>
      </c>
      <c r="V14809">
        <f t="shared" si="926"/>
        <v>0</v>
      </c>
      <c r="W14809">
        <f t="shared" si="927"/>
        <v>0</v>
      </c>
    </row>
    <row r="14810" spans="5:23" x14ac:dyDescent="0.25">
      <c r="E14810" s="4"/>
      <c r="F14810" s="4"/>
      <c r="G14810" s="33" t="str">
        <f>IFERROR(VLOOKUP($D14810,'Informations sur les produits'!$A$3:$H$10000,8,FALSE),"0")</f>
        <v>0</v>
      </c>
      <c r="K14810" s="4"/>
      <c r="L14810" s="33" t="str">
        <f>IFERROR(VLOOKUP($J14810,'Informations sur les produits'!$A$3:$H$10000,8,FALSE),"0")</f>
        <v>0</v>
      </c>
      <c r="N14810" s="8"/>
      <c r="O14810" s="33" t="str">
        <f>IFERROR(VLOOKUP($M14810,'Informations sur les produits'!$A$3:$H$10000,8,FALSE),"0")</f>
        <v>0</v>
      </c>
      <c r="P14810" s="33">
        <f t="shared" si="924"/>
        <v>0</v>
      </c>
      <c r="Q14810" s="31" t="str">
        <f t="shared" si="925"/>
        <v/>
      </c>
      <c r="R14810" s="32" t="str">
        <f>IFERROR(VLOOKUP($D14810,'Informations sur les produits'!$A$3:$B$15000,2,FALSE),"")</f>
        <v/>
      </c>
      <c r="V14810">
        <f t="shared" si="926"/>
        <v>0</v>
      </c>
      <c r="W14810">
        <f t="shared" si="927"/>
        <v>0</v>
      </c>
    </row>
    <row r="14811" spans="5:23" x14ac:dyDescent="0.25">
      <c r="E14811" s="4"/>
      <c r="F14811" s="4"/>
      <c r="G14811" s="33" t="str">
        <f>IFERROR(VLOOKUP($D14811,'Informations sur les produits'!$A$3:$H$10000,8,FALSE),"0")</f>
        <v>0</v>
      </c>
      <c r="K14811" s="4"/>
      <c r="L14811" s="33" t="str">
        <f>IFERROR(VLOOKUP($J14811,'Informations sur les produits'!$A$3:$H$10000,8,FALSE),"0")</f>
        <v>0</v>
      </c>
      <c r="N14811" s="8"/>
      <c r="O14811" s="33" t="str">
        <f>IFERROR(VLOOKUP($M14811,'Informations sur les produits'!$A$3:$H$10000,8,FALSE),"0")</f>
        <v>0</v>
      </c>
      <c r="P14811" s="33">
        <f t="shared" si="924"/>
        <v>0</v>
      </c>
      <c r="Q14811" s="31" t="str">
        <f t="shared" si="925"/>
        <v/>
      </c>
      <c r="R14811" s="32" t="str">
        <f>IFERROR(VLOOKUP($D14811,'Informations sur les produits'!$A$3:$B$15000,2,FALSE),"")</f>
        <v/>
      </c>
      <c r="V14811">
        <f t="shared" si="926"/>
        <v>0</v>
      </c>
      <c r="W14811">
        <f t="shared" si="927"/>
        <v>0</v>
      </c>
    </row>
    <row r="14812" spans="5:23" x14ac:dyDescent="0.25">
      <c r="E14812" s="4"/>
      <c r="F14812" s="4"/>
      <c r="G14812" s="33" t="str">
        <f>IFERROR(VLOOKUP($D14812,'Informations sur les produits'!$A$3:$H$10000,8,FALSE),"0")</f>
        <v>0</v>
      </c>
      <c r="K14812" s="4"/>
      <c r="L14812" s="33" t="str">
        <f>IFERROR(VLOOKUP($J14812,'Informations sur les produits'!$A$3:$H$10000,8,FALSE),"0")</f>
        <v>0</v>
      </c>
      <c r="N14812" s="8"/>
      <c r="O14812" s="33" t="str">
        <f>IFERROR(VLOOKUP($M14812,'Informations sur les produits'!$A$3:$H$10000,8,FALSE),"0")</f>
        <v>0</v>
      </c>
      <c r="P14812" s="33">
        <f t="shared" si="924"/>
        <v>0</v>
      </c>
      <c r="Q14812" s="31" t="str">
        <f t="shared" si="925"/>
        <v/>
      </c>
      <c r="R14812" s="32" t="str">
        <f>IFERROR(VLOOKUP($D14812,'Informations sur les produits'!$A$3:$B$15000,2,FALSE),"")</f>
        <v/>
      </c>
      <c r="V14812">
        <f t="shared" si="926"/>
        <v>0</v>
      </c>
      <c r="W14812">
        <f t="shared" si="927"/>
        <v>0</v>
      </c>
    </row>
    <row r="14813" spans="5:23" x14ac:dyDescent="0.25">
      <c r="E14813" s="4"/>
      <c r="F14813" s="4"/>
      <c r="G14813" s="33" t="str">
        <f>IFERROR(VLOOKUP($D14813,'Informations sur les produits'!$A$3:$H$10000,8,FALSE),"0")</f>
        <v>0</v>
      </c>
      <c r="K14813" s="4"/>
      <c r="L14813" s="33" t="str">
        <f>IFERROR(VLOOKUP($J14813,'Informations sur les produits'!$A$3:$H$10000,8,FALSE),"0")</f>
        <v>0</v>
      </c>
      <c r="N14813" s="8"/>
      <c r="O14813" s="33" t="str">
        <f>IFERROR(VLOOKUP($M14813,'Informations sur les produits'!$A$3:$H$10000,8,FALSE),"0")</f>
        <v>0</v>
      </c>
      <c r="P14813" s="33">
        <f t="shared" si="924"/>
        <v>0</v>
      </c>
      <c r="Q14813" s="31" t="str">
        <f t="shared" si="925"/>
        <v/>
      </c>
      <c r="R14813" s="32" t="str">
        <f>IFERROR(VLOOKUP($D14813,'Informations sur les produits'!$A$3:$B$15000,2,FALSE),"")</f>
        <v/>
      </c>
      <c r="V14813">
        <f t="shared" si="926"/>
        <v>0</v>
      </c>
      <c r="W14813">
        <f t="shared" si="927"/>
        <v>0</v>
      </c>
    </row>
    <row r="14814" spans="5:23" x14ac:dyDescent="0.25">
      <c r="E14814" s="4"/>
      <c r="F14814" s="4"/>
      <c r="G14814" s="33" t="str">
        <f>IFERROR(VLOOKUP($D14814,'Informations sur les produits'!$A$3:$H$10000,8,FALSE),"0")</f>
        <v>0</v>
      </c>
      <c r="K14814" s="4"/>
      <c r="L14814" s="33" t="str">
        <f>IFERROR(VLOOKUP($J14814,'Informations sur les produits'!$A$3:$H$10000,8,FALSE),"0")</f>
        <v>0</v>
      </c>
      <c r="N14814" s="8"/>
      <c r="O14814" s="33" t="str">
        <f>IFERROR(VLOOKUP($M14814,'Informations sur les produits'!$A$3:$H$10000,8,FALSE),"0")</f>
        <v>0</v>
      </c>
      <c r="P14814" s="33">
        <f t="shared" si="924"/>
        <v>0</v>
      </c>
      <c r="Q14814" s="31" t="str">
        <f t="shared" si="925"/>
        <v/>
      </c>
      <c r="R14814" s="32" t="str">
        <f>IFERROR(VLOOKUP($D14814,'Informations sur les produits'!$A$3:$B$15000,2,FALSE),"")</f>
        <v/>
      </c>
      <c r="V14814">
        <f t="shared" si="926"/>
        <v>0</v>
      </c>
      <c r="W14814">
        <f t="shared" si="927"/>
        <v>0</v>
      </c>
    </row>
    <row r="14815" spans="5:23" x14ac:dyDescent="0.25">
      <c r="E14815" s="4"/>
      <c r="F14815" s="4"/>
      <c r="G14815" s="33" t="str">
        <f>IFERROR(VLOOKUP($D14815,'Informations sur les produits'!$A$3:$H$10000,8,FALSE),"0")</f>
        <v>0</v>
      </c>
      <c r="K14815" s="4"/>
      <c r="L14815" s="33" t="str">
        <f>IFERROR(VLOOKUP($J14815,'Informations sur les produits'!$A$3:$H$10000,8,FALSE),"0")</f>
        <v>0</v>
      </c>
      <c r="N14815" s="8"/>
      <c r="O14815" s="33" t="str">
        <f>IFERROR(VLOOKUP($M14815,'Informations sur les produits'!$A$3:$H$10000,8,FALSE),"0")</f>
        <v>0</v>
      </c>
      <c r="P14815" s="33">
        <f t="shared" si="924"/>
        <v>0</v>
      </c>
      <c r="Q14815" s="31" t="str">
        <f t="shared" si="925"/>
        <v/>
      </c>
      <c r="R14815" s="32" t="str">
        <f>IFERROR(VLOOKUP($D14815,'Informations sur les produits'!$A$3:$B$15000,2,FALSE),"")</f>
        <v/>
      </c>
      <c r="V14815">
        <f t="shared" si="926"/>
        <v>0</v>
      </c>
      <c r="W14815">
        <f t="shared" si="927"/>
        <v>0</v>
      </c>
    </row>
    <row r="14816" spans="5:23" x14ac:dyDescent="0.25">
      <c r="E14816" s="4"/>
      <c r="F14816" s="4"/>
      <c r="G14816" s="33" t="str">
        <f>IFERROR(VLOOKUP($D14816,'Informations sur les produits'!$A$3:$H$10000,8,FALSE),"0")</f>
        <v>0</v>
      </c>
      <c r="K14816" s="4"/>
      <c r="L14816" s="33" t="str">
        <f>IFERROR(VLOOKUP($J14816,'Informations sur les produits'!$A$3:$H$10000,8,FALSE),"0")</f>
        <v>0</v>
      </c>
      <c r="N14816" s="8"/>
      <c r="O14816" s="33" t="str">
        <f>IFERROR(VLOOKUP($M14816,'Informations sur les produits'!$A$3:$H$10000,8,FALSE),"0")</f>
        <v>0</v>
      </c>
      <c r="P14816" s="33">
        <f t="shared" si="924"/>
        <v>0</v>
      </c>
      <c r="Q14816" s="31" t="str">
        <f t="shared" si="925"/>
        <v/>
      </c>
      <c r="R14816" s="32" t="str">
        <f>IFERROR(VLOOKUP($D14816,'Informations sur les produits'!$A$3:$B$15000,2,FALSE),"")</f>
        <v/>
      </c>
      <c r="V14816">
        <f t="shared" si="926"/>
        <v>0</v>
      </c>
      <c r="W14816">
        <f t="shared" si="927"/>
        <v>0</v>
      </c>
    </row>
    <row r="14817" spans="5:23" x14ac:dyDescent="0.25">
      <c r="E14817" s="4"/>
      <c r="F14817" s="4"/>
      <c r="G14817" s="33" t="str">
        <f>IFERROR(VLOOKUP($D14817,'Informations sur les produits'!$A$3:$H$10000,8,FALSE),"0")</f>
        <v>0</v>
      </c>
      <c r="K14817" s="4"/>
      <c r="L14817" s="33" t="str">
        <f>IFERROR(VLOOKUP($J14817,'Informations sur les produits'!$A$3:$H$10000,8,FALSE),"0")</f>
        <v>0</v>
      </c>
      <c r="N14817" s="8"/>
      <c r="O14817" s="33" t="str">
        <f>IFERROR(VLOOKUP($M14817,'Informations sur les produits'!$A$3:$H$10000,8,FALSE),"0")</f>
        <v>0</v>
      </c>
      <c r="P14817" s="33">
        <f t="shared" si="924"/>
        <v>0</v>
      </c>
      <c r="Q14817" s="31" t="str">
        <f t="shared" si="925"/>
        <v/>
      </c>
      <c r="R14817" s="32" t="str">
        <f>IFERROR(VLOOKUP($D14817,'Informations sur les produits'!$A$3:$B$15000,2,FALSE),"")</f>
        <v/>
      </c>
      <c r="V14817">
        <f t="shared" si="926"/>
        <v>0</v>
      </c>
      <c r="W14817">
        <f t="shared" si="927"/>
        <v>0</v>
      </c>
    </row>
    <row r="14818" spans="5:23" x14ac:dyDescent="0.25">
      <c r="E14818" s="4"/>
      <c r="F14818" s="4"/>
      <c r="G14818" s="33" t="str">
        <f>IFERROR(VLOOKUP($D14818,'Informations sur les produits'!$A$3:$H$10000,8,FALSE),"0")</f>
        <v>0</v>
      </c>
      <c r="K14818" s="4"/>
      <c r="L14818" s="33" t="str">
        <f>IFERROR(VLOOKUP($J14818,'Informations sur les produits'!$A$3:$H$10000,8,FALSE),"0")</f>
        <v>0</v>
      </c>
      <c r="N14818" s="8"/>
      <c r="O14818" s="33" t="str">
        <f>IFERROR(VLOOKUP($M14818,'Informations sur les produits'!$A$3:$H$10000,8,FALSE),"0")</f>
        <v>0</v>
      </c>
      <c r="P14818" s="33">
        <f t="shared" si="924"/>
        <v>0</v>
      </c>
      <c r="Q14818" s="31" t="str">
        <f t="shared" si="925"/>
        <v/>
      </c>
      <c r="R14818" s="32" t="str">
        <f>IFERROR(VLOOKUP($D14818,'Informations sur les produits'!$A$3:$B$15000,2,FALSE),"")</f>
        <v/>
      </c>
      <c r="V14818">
        <f t="shared" si="926"/>
        <v>0</v>
      </c>
      <c r="W14818">
        <f t="shared" si="927"/>
        <v>0</v>
      </c>
    </row>
    <row r="14819" spans="5:23" x14ac:dyDescent="0.25">
      <c r="E14819" s="4"/>
      <c r="F14819" s="4"/>
      <c r="G14819" s="33" t="str">
        <f>IFERROR(VLOOKUP($D14819,'Informations sur les produits'!$A$3:$H$10000,8,FALSE),"0")</f>
        <v>0</v>
      </c>
      <c r="K14819" s="4"/>
      <c r="L14819" s="33" t="str">
        <f>IFERROR(VLOOKUP($J14819,'Informations sur les produits'!$A$3:$H$10000,8,FALSE),"0")</f>
        <v>0</v>
      </c>
      <c r="N14819" s="8"/>
      <c r="O14819" s="33" t="str">
        <f>IFERROR(VLOOKUP($M14819,'Informations sur les produits'!$A$3:$H$10000,8,FALSE),"0")</f>
        <v>0</v>
      </c>
      <c r="P14819" s="33">
        <f t="shared" si="924"/>
        <v>0</v>
      </c>
      <c r="Q14819" s="31" t="str">
        <f t="shared" si="925"/>
        <v/>
      </c>
      <c r="R14819" s="32" t="str">
        <f>IFERROR(VLOOKUP($D14819,'Informations sur les produits'!$A$3:$B$15000,2,FALSE),"")</f>
        <v/>
      </c>
      <c r="V14819">
        <f t="shared" si="926"/>
        <v>0</v>
      </c>
      <c r="W14819">
        <f t="shared" si="927"/>
        <v>0</v>
      </c>
    </row>
    <row r="14820" spans="5:23" x14ac:dyDescent="0.25">
      <c r="E14820" s="4"/>
      <c r="F14820" s="4"/>
      <c r="G14820" s="33" t="str">
        <f>IFERROR(VLOOKUP($D14820,'Informations sur les produits'!$A$3:$H$10000,8,FALSE),"0")</f>
        <v>0</v>
      </c>
      <c r="K14820" s="4"/>
      <c r="L14820" s="33" t="str">
        <f>IFERROR(VLOOKUP($J14820,'Informations sur les produits'!$A$3:$H$10000,8,FALSE),"0")</f>
        <v>0</v>
      </c>
      <c r="N14820" s="8"/>
      <c r="O14820" s="33" t="str">
        <f>IFERROR(VLOOKUP($M14820,'Informations sur les produits'!$A$3:$H$10000,8,FALSE),"0")</f>
        <v>0</v>
      </c>
      <c r="P14820" s="33">
        <f t="shared" si="924"/>
        <v>0</v>
      </c>
      <c r="Q14820" s="31" t="str">
        <f t="shared" si="925"/>
        <v/>
      </c>
      <c r="R14820" s="32" t="str">
        <f>IFERROR(VLOOKUP($D14820,'Informations sur les produits'!$A$3:$B$15000,2,FALSE),"")</f>
        <v/>
      </c>
      <c r="V14820">
        <f t="shared" si="926"/>
        <v>0</v>
      </c>
      <c r="W14820">
        <f t="shared" si="927"/>
        <v>0</v>
      </c>
    </row>
    <row r="14821" spans="5:23" x14ac:dyDescent="0.25">
      <c r="E14821" s="4"/>
      <c r="F14821" s="4"/>
      <c r="G14821" s="33" t="str">
        <f>IFERROR(VLOOKUP($D14821,'Informations sur les produits'!$A$3:$H$10000,8,FALSE),"0")</f>
        <v>0</v>
      </c>
      <c r="K14821" s="4"/>
      <c r="L14821" s="33" t="str">
        <f>IFERROR(VLOOKUP($J14821,'Informations sur les produits'!$A$3:$H$10000,8,FALSE),"0")</f>
        <v>0</v>
      </c>
      <c r="N14821" s="8"/>
      <c r="O14821" s="33" t="str">
        <f>IFERROR(VLOOKUP($M14821,'Informations sur les produits'!$A$3:$H$10000,8,FALSE),"0")</f>
        <v>0</v>
      </c>
      <c r="P14821" s="33">
        <f t="shared" si="924"/>
        <v>0</v>
      </c>
      <c r="Q14821" s="31" t="str">
        <f t="shared" si="925"/>
        <v/>
      </c>
      <c r="R14821" s="32" t="str">
        <f>IFERROR(VLOOKUP($D14821,'Informations sur les produits'!$A$3:$B$15000,2,FALSE),"")</f>
        <v/>
      </c>
      <c r="V14821">
        <f t="shared" si="926"/>
        <v>0</v>
      </c>
      <c r="W14821">
        <f t="shared" si="927"/>
        <v>0</v>
      </c>
    </row>
    <row r="14822" spans="5:23" x14ac:dyDescent="0.25">
      <c r="E14822" s="4"/>
      <c r="F14822" s="4"/>
      <c r="G14822" s="33" t="str">
        <f>IFERROR(VLOOKUP($D14822,'Informations sur les produits'!$A$3:$H$10000,8,FALSE),"0")</f>
        <v>0</v>
      </c>
      <c r="K14822" s="4"/>
      <c r="L14822" s="33" t="str">
        <f>IFERROR(VLOOKUP($J14822,'Informations sur les produits'!$A$3:$H$10000,8,FALSE),"0")</f>
        <v>0</v>
      </c>
      <c r="N14822" s="8"/>
      <c r="O14822" s="33" t="str">
        <f>IFERROR(VLOOKUP($M14822,'Informations sur les produits'!$A$3:$H$10000,8,FALSE),"0")</f>
        <v>0</v>
      </c>
      <c r="P14822" s="33">
        <f t="shared" si="924"/>
        <v>0</v>
      </c>
      <c r="Q14822" s="31" t="str">
        <f t="shared" si="925"/>
        <v/>
      </c>
      <c r="R14822" s="32" t="str">
        <f>IFERROR(VLOOKUP($D14822,'Informations sur les produits'!$A$3:$B$15000,2,FALSE),"")</f>
        <v/>
      </c>
      <c r="V14822">
        <f t="shared" si="926"/>
        <v>0</v>
      </c>
      <c r="W14822">
        <f t="shared" si="927"/>
        <v>0</v>
      </c>
    </row>
    <row r="14823" spans="5:23" x14ac:dyDescent="0.25">
      <c r="E14823" s="4"/>
      <c r="F14823" s="4"/>
      <c r="G14823" s="33" t="str">
        <f>IFERROR(VLOOKUP($D14823,'Informations sur les produits'!$A$3:$H$10000,8,FALSE),"0")</f>
        <v>0</v>
      </c>
      <c r="K14823" s="4"/>
      <c r="L14823" s="33" t="str">
        <f>IFERROR(VLOOKUP($J14823,'Informations sur les produits'!$A$3:$H$10000,8,FALSE),"0")</f>
        <v>0</v>
      </c>
      <c r="N14823" s="8"/>
      <c r="O14823" s="33" t="str">
        <f>IFERROR(VLOOKUP($M14823,'Informations sur les produits'!$A$3:$H$10000,8,FALSE),"0")</f>
        <v>0</v>
      </c>
      <c r="P14823" s="33">
        <f t="shared" si="924"/>
        <v>0</v>
      </c>
      <c r="Q14823" s="31" t="str">
        <f t="shared" si="925"/>
        <v/>
      </c>
      <c r="R14823" s="32" t="str">
        <f>IFERROR(VLOOKUP($D14823,'Informations sur les produits'!$A$3:$B$15000,2,FALSE),"")</f>
        <v/>
      </c>
      <c r="V14823">
        <f t="shared" si="926"/>
        <v>0</v>
      </c>
      <c r="W14823">
        <f t="shared" si="927"/>
        <v>0</v>
      </c>
    </row>
    <row r="14824" spans="5:23" x14ac:dyDescent="0.25">
      <c r="E14824" s="4"/>
      <c r="F14824" s="4"/>
      <c r="G14824" s="33" t="str">
        <f>IFERROR(VLOOKUP($D14824,'Informations sur les produits'!$A$3:$H$10000,8,FALSE),"0")</f>
        <v>0</v>
      </c>
      <c r="K14824" s="4"/>
      <c r="L14824" s="33" t="str">
        <f>IFERROR(VLOOKUP($J14824,'Informations sur les produits'!$A$3:$H$10000,8,FALSE),"0")</f>
        <v>0</v>
      </c>
      <c r="N14824" s="8"/>
      <c r="O14824" s="33" t="str">
        <f>IFERROR(VLOOKUP($M14824,'Informations sur les produits'!$A$3:$H$10000,8,FALSE),"0")</f>
        <v>0</v>
      </c>
      <c r="P14824" s="33">
        <f t="shared" si="924"/>
        <v>0</v>
      </c>
      <c r="Q14824" s="31" t="str">
        <f t="shared" si="925"/>
        <v/>
      </c>
      <c r="R14824" s="32" t="str">
        <f>IFERROR(VLOOKUP($D14824,'Informations sur les produits'!$A$3:$B$15000,2,FALSE),"")</f>
        <v/>
      </c>
      <c r="V14824">
        <f t="shared" si="926"/>
        <v>0</v>
      </c>
      <c r="W14824">
        <f t="shared" si="927"/>
        <v>0</v>
      </c>
    </row>
    <row r="14825" spans="5:23" x14ac:dyDescent="0.25">
      <c r="E14825" s="4"/>
      <c r="F14825" s="4"/>
      <c r="G14825" s="33" t="str">
        <f>IFERROR(VLOOKUP($D14825,'Informations sur les produits'!$A$3:$H$10000,8,FALSE),"0")</f>
        <v>0</v>
      </c>
      <c r="K14825" s="4"/>
      <c r="L14825" s="33" t="str">
        <f>IFERROR(VLOOKUP($J14825,'Informations sur les produits'!$A$3:$H$10000,8,FALSE),"0")</f>
        <v>0</v>
      </c>
      <c r="N14825" s="8"/>
      <c r="O14825" s="33" t="str">
        <f>IFERROR(VLOOKUP($M14825,'Informations sur les produits'!$A$3:$H$10000,8,FALSE),"0")</f>
        <v>0</v>
      </c>
      <c r="P14825" s="33">
        <f t="shared" si="924"/>
        <v>0</v>
      </c>
      <c r="Q14825" s="31" t="str">
        <f t="shared" si="925"/>
        <v/>
      </c>
      <c r="R14825" s="32" t="str">
        <f>IFERROR(VLOOKUP($D14825,'Informations sur les produits'!$A$3:$B$15000,2,FALSE),"")</f>
        <v/>
      </c>
      <c r="V14825">
        <f t="shared" si="926"/>
        <v>0</v>
      </c>
      <c r="W14825">
        <f t="shared" si="927"/>
        <v>0</v>
      </c>
    </row>
    <row r="14826" spans="5:23" x14ac:dyDescent="0.25">
      <c r="E14826" s="4"/>
      <c r="F14826" s="4"/>
      <c r="G14826" s="33" t="str">
        <f>IFERROR(VLOOKUP($D14826,'Informations sur les produits'!$A$3:$H$10000,8,FALSE),"0")</f>
        <v>0</v>
      </c>
      <c r="K14826" s="4"/>
      <c r="L14826" s="33" t="str">
        <f>IFERROR(VLOOKUP($J14826,'Informations sur les produits'!$A$3:$H$10000,8,FALSE),"0")</f>
        <v>0</v>
      </c>
      <c r="N14826" s="8"/>
      <c r="O14826" s="33" t="str">
        <f>IFERROR(VLOOKUP($M14826,'Informations sur les produits'!$A$3:$H$10000,8,FALSE),"0")</f>
        <v>0</v>
      </c>
      <c r="P14826" s="33">
        <f t="shared" si="924"/>
        <v>0</v>
      </c>
      <c r="Q14826" s="31" t="str">
        <f t="shared" si="925"/>
        <v/>
      </c>
      <c r="R14826" s="32" t="str">
        <f>IFERROR(VLOOKUP($D14826,'Informations sur les produits'!$A$3:$B$15000,2,FALSE),"")</f>
        <v/>
      </c>
      <c r="V14826">
        <f t="shared" si="926"/>
        <v>0</v>
      </c>
      <c r="W14826">
        <f t="shared" si="927"/>
        <v>0</v>
      </c>
    </row>
    <row r="14827" spans="5:23" x14ac:dyDescent="0.25">
      <c r="E14827" s="4"/>
      <c r="F14827" s="4"/>
      <c r="G14827" s="33" t="str">
        <f>IFERROR(VLOOKUP($D14827,'Informations sur les produits'!$A$3:$H$10000,8,FALSE),"0")</f>
        <v>0</v>
      </c>
      <c r="K14827" s="4"/>
      <c r="L14827" s="33" t="str">
        <f>IFERROR(VLOOKUP($J14827,'Informations sur les produits'!$A$3:$H$10000,8,FALSE),"0")</f>
        <v>0</v>
      </c>
      <c r="N14827" s="8"/>
      <c r="O14827" s="33" t="str">
        <f>IFERROR(VLOOKUP($M14827,'Informations sur les produits'!$A$3:$H$10000,8,FALSE),"0")</f>
        <v>0</v>
      </c>
      <c r="P14827" s="33">
        <f t="shared" si="924"/>
        <v>0</v>
      </c>
      <c r="Q14827" s="31" t="str">
        <f t="shared" si="925"/>
        <v/>
      </c>
      <c r="R14827" s="32" t="str">
        <f>IFERROR(VLOOKUP($D14827,'Informations sur les produits'!$A$3:$B$15000,2,FALSE),"")</f>
        <v/>
      </c>
      <c r="V14827">
        <f t="shared" si="926"/>
        <v>0</v>
      </c>
      <c r="W14827">
        <f t="shared" si="927"/>
        <v>0</v>
      </c>
    </row>
    <row r="14828" spans="5:23" x14ac:dyDescent="0.25">
      <c r="E14828" s="4"/>
      <c r="F14828" s="4"/>
      <c r="G14828" s="33" t="str">
        <f>IFERROR(VLOOKUP($D14828,'Informations sur les produits'!$A$3:$H$10000,8,FALSE),"0")</f>
        <v>0</v>
      </c>
      <c r="K14828" s="4"/>
      <c r="L14828" s="33" t="str">
        <f>IFERROR(VLOOKUP($J14828,'Informations sur les produits'!$A$3:$H$10000,8,FALSE),"0")</f>
        <v>0</v>
      </c>
      <c r="N14828" s="8"/>
      <c r="O14828" s="33" t="str">
        <f>IFERROR(VLOOKUP($M14828,'Informations sur les produits'!$A$3:$H$10000,8,FALSE),"0")</f>
        <v>0</v>
      </c>
      <c r="P14828" s="33">
        <f t="shared" si="924"/>
        <v>0</v>
      </c>
      <c r="Q14828" s="31" t="str">
        <f t="shared" si="925"/>
        <v/>
      </c>
      <c r="R14828" s="32" t="str">
        <f>IFERROR(VLOOKUP($D14828,'Informations sur les produits'!$A$3:$B$15000,2,FALSE),"")</f>
        <v/>
      </c>
      <c r="V14828">
        <f t="shared" si="926"/>
        <v>0</v>
      </c>
      <c r="W14828">
        <f t="shared" si="927"/>
        <v>0</v>
      </c>
    </row>
    <row r="14829" spans="5:23" x14ac:dyDescent="0.25">
      <c r="E14829" s="4"/>
      <c r="F14829" s="4"/>
      <c r="G14829" s="33" t="str">
        <f>IFERROR(VLOOKUP($D14829,'Informations sur les produits'!$A$3:$H$10000,8,FALSE),"0")</f>
        <v>0</v>
      </c>
      <c r="K14829" s="4"/>
      <c r="L14829" s="33" t="str">
        <f>IFERROR(VLOOKUP($J14829,'Informations sur les produits'!$A$3:$H$10000,8,FALSE),"0")</f>
        <v>0</v>
      </c>
      <c r="N14829" s="8"/>
      <c r="O14829" s="33" t="str">
        <f>IFERROR(VLOOKUP($M14829,'Informations sur les produits'!$A$3:$H$10000,8,FALSE),"0")</f>
        <v>0</v>
      </c>
      <c r="P14829" s="33">
        <f t="shared" si="924"/>
        <v>0</v>
      </c>
      <c r="Q14829" s="31" t="str">
        <f t="shared" si="925"/>
        <v/>
      </c>
      <c r="R14829" s="32" t="str">
        <f>IFERROR(VLOOKUP($D14829,'Informations sur les produits'!$A$3:$B$15000,2,FALSE),"")</f>
        <v/>
      </c>
      <c r="V14829">
        <f t="shared" si="926"/>
        <v>0</v>
      </c>
      <c r="W14829">
        <f t="shared" si="927"/>
        <v>0</v>
      </c>
    </row>
    <row r="14830" spans="5:23" x14ac:dyDescent="0.25">
      <c r="E14830" s="4"/>
      <c r="F14830" s="4"/>
      <c r="G14830" s="33" t="str">
        <f>IFERROR(VLOOKUP($D14830,'Informations sur les produits'!$A$3:$H$10000,8,FALSE),"0")</f>
        <v>0</v>
      </c>
      <c r="K14830" s="4"/>
      <c r="L14830" s="33" t="str">
        <f>IFERROR(VLOOKUP($J14830,'Informations sur les produits'!$A$3:$H$10000,8,FALSE),"0")</f>
        <v>0</v>
      </c>
      <c r="N14830" s="8"/>
      <c r="O14830" s="33" t="str">
        <f>IFERROR(VLOOKUP($M14830,'Informations sur les produits'!$A$3:$H$10000,8,FALSE),"0")</f>
        <v>0</v>
      </c>
      <c r="P14830" s="33">
        <f t="shared" si="924"/>
        <v>0</v>
      </c>
      <c r="Q14830" s="31" t="str">
        <f t="shared" si="925"/>
        <v/>
      </c>
      <c r="R14830" s="32" t="str">
        <f>IFERROR(VLOOKUP($D14830,'Informations sur les produits'!$A$3:$B$15000,2,FALSE),"")</f>
        <v/>
      </c>
      <c r="V14830">
        <f t="shared" si="926"/>
        <v>0</v>
      </c>
      <c r="W14830">
        <f t="shared" si="927"/>
        <v>0</v>
      </c>
    </row>
    <row r="14831" spans="5:23" x14ac:dyDescent="0.25">
      <c r="E14831" s="4"/>
      <c r="F14831" s="4"/>
      <c r="G14831" s="33" t="str">
        <f>IFERROR(VLOOKUP($D14831,'Informations sur les produits'!$A$3:$H$10000,8,FALSE),"0")</f>
        <v>0</v>
      </c>
      <c r="K14831" s="4"/>
      <c r="L14831" s="33" t="str">
        <f>IFERROR(VLOOKUP($J14831,'Informations sur les produits'!$A$3:$H$10000,8,FALSE),"0")</f>
        <v>0</v>
      </c>
      <c r="N14831" s="8"/>
      <c r="O14831" s="33" t="str">
        <f>IFERROR(VLOOKUP($M14831,'Informations sur les produits'!$A$3:$H$10000,8,FALSE),"0")</f>
        <v>0</v>
      </c>
      <c r="P14831" s="33">
        <f t="shared" si="924"/>
        <v>0</v>
      </c>
      <c r="Q14831" s="31" t="str">
        <f t="shared" si="925"/>
        <v/>
      </c>
      <c r="R14831" s="32" t="str">
        <f>IFERROR(VLOOKUP($D14831,'Informations sur les produits'!$A$3:$B$15000,2,FALSE),"")</f>
        <v/>
      </c>
      <c r="V14831">
        <f t="shared" si="926"/>
        <v>0</v>
      </c>
      <c r="W14831">
        <f t="shared" si="927"/>
        <v>0</v>
      </c>
    </row>
    <row r="14832" spans="5:23" x14ac:dyDescent="0.25">
      <c r="E14832" s="4"/>
      <c r="F14832" s="4"/>
      <c r="G14832" s="33" t="str">
        <f>IFERROR(VLOOKUP($D14832,'Informations sur les produits'!$A$3:$H$10000,8,FALSE),"0")</f>
        <v>0</v>
      </c>
      <c r="K14832" s="4"/>
      <c r="L14832" s="33" t="str">
        <f>IFERROR(VLOOKUP($J14832,'Informations sur les produits'!$A$3:$H$10000,8,FALSE),"0")</f>
        <v>0</v>
      </c>
      <c r="N14832" s="8"/>
      <c r="O14832" s="33" t="str">
        <f>IFERROR(VLOOKUP($M14832,'Informations sur les produits'!$A$3:$H$10000,8,FALSE),"0")</f>
        <v>0</v>
      </c>
      <c r="P14832" s="33">
        <f t="shared" si="924"/>
        <v>0</v>
      </c>
      <c r="Q14832" s="31" t="str">
        <f t="shared" si="925"/>
        <v/>
      </c>
      <c r="R14832" s="32" t="str">
        <f>IFERROR(VLOOKUP($D14832,'Informations sur les produits'!$A$3:$B$15000,2,FALSE),"")</f>
        <v/>
      </c>
      <c r="V14832">
        <f t="shared" si="926"/>
        <v>0</v>
      </c>
      <c r="W14832">
        <f t="shared" si="927"/>
        <v>0</v>
      </c>
    </row>
    <row r="14833" spans="5:23" x14ac:dyDescent="0.25">
      <c r="E14833" s="4"/>
      <c r="F14833" s="4"/>
      <c r="G14833" s="33" t="str">
        <f>IFERROR(VLOOKUP($D14833,'Informations sur les produits'!$A$3:$H$10000,8,FALSE),"0")</f>
        <v>0</v>
      </c>
      <c r="K14833" s="4"/>
      <c r="L14833" s="33" t="str">
        <f>IFERROR(VLOOKUP($J14833,'Informations sur les produits'!$A$3:$H$10000,8,FALSE),"0")</f>
        <v>0</v>
      </c>
      <c r="N14833" s="8"/>
      <c r="O14833" s="33" t="str">
        <f>IFERROR(VLOOKUP($M14833,'Informations sur les produits'!$A$3:$H$10000,8,FALSE),"0")</f>
        <v>0</v>
      </c>
      <c r="P14833" s="33">
        <f t="shared" si="924"/>
        <v>0</v>
      </c>
      <c r="Q14833" s="31" t="str">
        <f t="shared" si="925"/>
        <v/>
      </c>
      <c r="R14833" s="32" t="str">
        <f>IFERROR(VLOOKUP($D14833,'Informations sur les produits'!$A$3:$B$15000,2,FALSE),"")</f>
        <v/>
      </c>
      <c r="V14833">
        <f t="shared" si="926"/>
        <v>0</v>
      </c>
      <c r="W14833">
        <f t="shared" si="927"/>
        <v>0</v>
      </c>
    </row>
    <row r="14834" spans="5:23" x14ac:dyDescent="0.25">
      <c r="E14834" s="4"/>
      <c r="F14834" s="4"/>
      <c r="G14834" s="33" t="str">
        <f>IFERROR(VLOOKUP($D14834,'Informations sur les produits'!$A$3:$H$10000,8,FALSE),"0")</f>
        <v>0</v>
      </c>
      <c r="K14834" s="4"/>
      <c r="L14834" s="33" t="str">
        <f>IFERROR(VLOOKUP($J14834,'Informations sur les produits'!$A$3:$H$10000,8,FALSE),"0")</f>
        <v>0</v>
      </c>
      <c r="N14834" s="8"/>
      <c r="O14834" s="33" t="str">
        <f>IFERROR(VLOOKUP($M14834,'Informations sur les produits'!$A$3:$H$10000,8,FALSE),"0")</f>
        <v>0</v>
      </c>
      <c r="P14834" s="33">
        <f t="shared" si="924"/>
        <v>0</v>
      </c>
      <c r="Q14834" s="31" t="str">
        <f t="shared" si="925"/>
        <v/>
      </c>
      <c r="R14834" s="32" t="str">
        <f>IFERROR(VLOOKUP($D14834,'Informations sur les produits'!$A$3:$B$15000,2,FALSE),"")</f>
        <v/>
      </c>
      <c r="V14834">
        <f t="shared" si="926"/>
        <v>0</v>
      </c>
      <c r="W14834">
        <f t="shared" si="927"/>
        <v>0</v>
      </c>
    </row>
    <row r="14835" spans="5:23" x14ac:dyDescent="0.25">
      <c r="E14835" s="4"/>
      <c r="F14835" s="4"/>
      <c r="G14835" s="33" t="str">
        <f>IFERROR(VLOOKUP($D14835,'Informations sur les produits'!$A$3:$H$10000,8,FALSE),"0")</f>
        <v>0</v>
      </c>
      <c r="K14835" s="4"/>
      <c r="L14835" s="33" t="str">
        <f>IFERROR(VLOOKUP($J14835,'Informations sur les produits'!$A$3:$H$10000,8,FALSE),"0")</f>
        <v>0</v>
      </c>
      <c r="N14835" s="8"/>
      <c r="O14835" s="33" t="str">
        <f>IFERROR(VLOOKUP($M14835,'Informations sur les produits'!$A$3:$H$10000,8,FALSE),"0")</f>
        <v>0</v>
      </c>
      <c r="P14835" s="33">
        <f t="shared" si="924"/>
        <v>0</v>
      </c>
      <c r="Q14835" s="31" t="str">
        <f t="shared" si="925"/>
        <v/>
      </c>
      <c r="R14835" s="32" t="str">
        <f>IFERROR(VLOOKUP($D14835,'Informations sur les produits'!$A$3:$B$15000,2,FALSE),"")</f>
        <v/>
      </c>
      <c r="V14835">
        <f t="shared" si="926"/>
        <v>0</v>
      </c>
      <c r="W14835">
        <f t="shared" si="927"/>
        <v>0</v>
      </c>
    </row>
    <row r="14836" spans="5:23" x14ac:dyDescent="0.25">
      <c r="E14836" s="4"/>
      <c r="F14836" s="4"/>
      <c r="G14836" s="33" t="str">
        <f>IFERROR(VLOOKUP($D14836,'Informations sur les produits'!$A$3:$H$10000,8,FALSE),"0")</f>
        <v>0</v>
      </c>
      <c r="K14836" s="4"/>
      <c r="L14836" s="33" t="str">
        <f>IFERROR(VLOOKUP($J14836,'Informations sur les produits'!$A$3:$H$10000,8,FALSE),"0")</f>
        <v>0</v>
      </c>
      <c r="N14836" s="8"/>
      <c r="O14836" s="33" t="str">
        <f>IFERROR(VLOOKUP($M14836,'Informations sur les produits'!$A$3:$H$10000,8,FALSE),"0")</f>
        <v>0</v>
      </c>
      <c r="P14836" s="33">
        <f t="shared" si="924"/>
        <v>0</v>
      </c>
      <c r="Q14836" s="31" t="str">
        <f t="shared" si="925"/>
        <v/>
      </c>
      <c r="R14836" s="32" t="str">
        <f>IFERROR(VLOOKUP($D14836,'Informations sur les produits'!$A$3:$B$15000,2,FALSE),"")</f>
        <v/>
      </c>
      <c r="V14836">
        <f t="shared" si="926"/>
        <v>0</v>
      </c>
      <c r="W14836">
        <f t="shared" si="927"/>
        <v>0</v>
      </c>
    </row>
    <row r="14837" spans="5:23" x14ac:dyDescent="0.25">
      <c r="E14837" s="4"/>
      <c r="F14837" s="4"/>
      <c r="G14837" s="33" t="str">
        <f>IFERROR(VLOOKUP($D14837,'Informations sur les produits'!$A$3:$H$10000,8,FALSE),"0")</f>
        <v>0</v>
      </c>
      <c r="K14837" s="4"/>
      <c r="L14837" s="33" t="str">
        <f>IFERROR(VLOOKUP($J14837,'Informations sur les produits'!$A$3:$H$10000,8,FALSE),"0")</f>
        <v>0</v>
      </c>
      <c r="N14837" s="8"/>
      <c r="O14837" s="33" t="str">
        <f>IFERROR(VLOOKUP($M14837,'Informations sur les produits'!$A$3:$H$10000,8,FALSE),"0")</f>
        <v>0</v>
      </c>
      <c r="P14837" s="33">
        <f t="shared" si="924"/>
        <v>0</v>
      </c>
      <c r="Q14837" s="31" t="str">
        <f t="shared" si="925"/>
        <v/>
      </c>
      <c r="R14837" s="32" t="str">
        <f>IFERROR(VLOOKUP($D14837,'Informations sur les produits'!$A$3:$B$15000,2,FALSE),"")</f>
        <v/>
      </c>
      <c r="V14837">
        <f t="shared" si="926"/>
        <v>0</v>
      </c>
      <c r="W14837">
        <f t="shared" si="927"/>
        <v>0</v>
      </c>
    </row>
    <row r="14838" spans="5:23" x14ac:dyDescent="0.25">
      <c r="E14838" s="4"/>
      <c r="F14838" s="4"/>
      <c r="G14838" s="33" t="str">
        <f>IFERROR(VLOOKUP($D14838,'Informations sur les produits'!$A$3:$H$10000,8,FALSE),"0")</f>
        <v>0</v>
      </c>
      <c r="K14838" s="4"/>
      <c r="L14838" s="33" t="str">
        <f>IFERROR(VLOOKUP($J14838,'Informations sur les produits'!$A$3:$H$10000,8,FALSE),"0")</f>
        <v>0</v>
      </c>
      <c r="N14838" s="8"/>
      <c r="O14838" s="33" t="str">
        <f>IFERROR(VLOOKUP($M14838,'Informations sur les produits'!$A$3:$H$10000,8,FALSE),"0")</f>
        <v>0</v>
      </c>
      <c r="P14838" s="33">
        <f t="shared" si="924"/>
        <v>0</v>
      </c>
      <c r="Q14838" s="31" t="str">
        <f t="shared" si="925"/>
        <v/>
      </c>
      <c r="R14838" s="32" t="str">
        <f>IFERROR(VLOOKUP($D14838,'Informations sur les produits'!$A$3:$B$15000,2,FALSE),"")</f>
        <v/>
      </c>
      <c r="V14838">
        <f t="shared" si="926"/>
        <v>0</v>
      </c>
      <c r="W14838">
        <f t="shared" si="927"/>
        <v>0</v>
      </c>
    </row>
    <row r="14839" spans="5:23" x14ac:dyDescent="0.25">
      <c r="E14839" s="4"/>
      <c r="F14839" s="4"/>
      <c r="G14839" s="33" t="str">
        <f>IFERROR(VLOOKUP($D14839,'Informations sur les produits'!$A$3:$H$10000,8,FALSE),"0")</f>
        <v>0</v>
      </c>
      <c r="K14839" s="4"/>
      <c r="L14839" s="33" t="str">
        <f>IFERROR(VLOOKUP($J14839,'Informations sur les produits'!$A$3:$H$10000,8,FALSE),"0")</f>
        <v>0</v>
      </c>
      <c r="N14839" s="8"/>
      <c r="O14839" s="33" t="str">
        <f>IFERROR(VLOOKUP($M14839,'Informations sur les produits'!$A$3:$H$10000,8,FALSE),"0")</f>
        <v>0</v>
      </c>
      <c r="P14839" s="33">
        <f t="shared" si="924"/>
        <v>0</v>
      </c>
      <c r="Q14839" s="31" t="str">
        <f t="shared" si="925"/>
        <v/>
      </c>
      <c r="R14839" s="32" t="str">
        <f>IFERROR(VLOOKUP($D14839,'Informations sur les produits'!$A$3:$B$15000,2,FALSE),"")</f>
        <v/>
      </c>
      <c r="V14839">
        <f t="shared" si="926"/>
        <v>0</v>
      </c>
      <c r="W14839">
        <f t="shared" si="927"/>
        <v>0</v>
      </c>
    </row>
    <row r="14840" spans="5:23" x14ac:dyDescent="0.25">
      <c r="E14840" s="4"/>
      <c r="F14840" s="4"/>
      <c r="G14840" s="33" t="str">
        <f>IFERROR(VLOOKUP($D14840,'Informations sur les produits'!$A$3:$H$10000,8,FALSE),"0")</f>
        <v>0</v>
      </c>
      <c r="K14840" s="4"/>
      <c r="L14840" s="33" t="str">
        <f>IFERROR(VLOOKUP($J14840,'Informations sur les produits'!$A$3:$H$10000,8,FALSE),"0")</f>
        <v>0</v>
      </c>
      <c r="N14840" s="8"/>
      <c r="O14840" s="33" t="str">
        <f>IFERROR(VLOOKUP($M14840,'Informations sur les produits'!$A$3:$H$10000,8,FALSE),"0")</f>
        <v>0</v>
      </c>
      <c r="P14840" s="33">
        <f t="shared" si="924"/>
        <v>0</v>
      </c>
      <c r="Q14840" s="31" t="str">
        <f t="shared" si="925"/>
        <v/>
      </c>
      <c r="R14840" s="32" t="str">
        <f>IFERROR(VLOOKUP($D14840,'Informations sur les produits'!$A$3:$B$15000,2,FALSE),"")</f>
        <v/>
      </c>
      <c r="V14840">
        <f t="shared" si="926"/>
        <v>0</v>
      </c>
      <c r="W14840">
        <f t="shared" si="927"/>
        <v>0</v>
      </c>
    </row>
    <row r="14841" spans="5:23" x14ac:dyDescent="0.25">
      <c r="E14841" s="4"/>
      <c r="F14841" s="4"/>
      <c r="G14841" s="33" t="str">
        <f>IFERROR(VLOOKUP($D14841,'Informations sur les produits'!$A$3:$H$10000,8,FALSE),"0")</f>
        <v>0</v>
      </c>
      <c r="K14841" s="4"/>
      <c r="L14841" s="33" t="str">
        <f>IFERROR(VLOOKUP($J14841,'Informations sur les produits'!$A$3:$H$10000,8,FALSE),"0")</f>
        <v>0</v>
      </c>
      <c r="N14841" s="8"/>
      <c r="O14841" s="33" t="str">
        <f>IFERROR(VLOOKUP($M14841,'Informations sur les produits'!$A$3:$H$10000,8,FALSE),"0")</f>
        <v>0</v>
      </c>
      <c r="P14841" s="33">
        <f t="shared" si="924"/>
        <v>0</v>
      </c>
      <c r="Q14841" s="31" t="str">
        <f t="shared" si="925"/>
        <v/>
      </c>
      <c r="R14841" s="32" t="str">
        <f>IFERROR(VLOOKUP($D14841,'Informations sur les produits'!$A$3:$B$15000,2,FALSE),"")</f>
        <v/>
      </c>
      <c r="V14841">
        <f t="shared" si="926"/>
        <v>0</v>
      </c>
      <c r="W14841">
        <f t="shared" si="927"/>
        <v>0</v>
      </c>
    </row>
    <row r="14842" spans="5:23" x14ac:dyDescent="0.25">
      <c r="E14842" s="4"/>
      <c r="F14842" s="4"/>
      <c r="G14842" s="33" t="str">
        <f>IFERROR(VLOOKUP($D14842,'Informations sur les produits'!$A$3:$H$10000,8,FALSE),"0")</f>
        <v>0</v>
      </c>
      <c r="K14842" s="4"/>
      <c r="L14842" s="33" t="str">
        <f>IFERROR(VLOOKUP($J14842,'Informations sur les produits'!$A$3:$H$10000,8,FALSE),"0")</f>
        <v>0</v>
      </c>
      <c r="N14842" s="8"/>
      <c r="O14842" s="33" t="str">
        <f>IFERROR(VLOOKUP($M14842,'Informations sur les produits'!$A$3:$H$10000,8,FALSE),"0")</f>
        <v>0</v>
      </c>
      <c r="P14842" s="33">
        <f t="shared" si="924"/>
        <v>0</v>
      </c>
      <c r="Q14842" s="31" t="str">
        <f t="shared" si="925"/>
        <v/>
      </c>
      <c r="R14842" s="32" t="str">
        <f>IFERROR(VLOOKUP($D14842,'Informations sur les produits'!$A$3:$B$15000,2,FALSE),"")</f>
        <v/>
      </c>
      <c r="V14842">
        <f t="shared" si="926"/>
        <v>0</v>
      </c>
      <c r="W14842">
        <f t="shared" si="927"/>
        <v>0</v>
      </c>
    </row>
    <row r="14843" spans="5:23" x14ac:dyDescent="0.25">
      <c r="E14843" s="4"/>
      <c r="F14843" s="4"/>
      <c r="G14843" s="33" t="str">
        <f>IFERROR(VLOOKUP($D14843,'Informations sur les produits'!$A$3:$H$10000,8,FALSE),"0")</f>
        <v>0</v>
      </c>
      <c r="K14843" s="4"/>
      <c r="L14843" s="33" t="str">
        <f>IFERROR(VLOOKUP($J14843,'Informations sur les produits'!$A$3:$H$10000,8,FALSE),"0")</f>
        <v>0</v>
      </c>
      <c r="N14843" s="8"/>
      <c r="O14843" s="33" t="str">
        <f>IFERROR(VLOOKUP($M14843,'Informations sur les produits'!$A$3:$H$10000,8,FALSE),"0")</f>
        <v>0</v>
      </c>
      <c r="P14843" s="33">
        <f t="shared" si="924"/>
        <v>0</v>
      </c>
      <c r="Q14843" s="31" t="str">
        <f t="shared" si="925"/>
        <v/>
      </c>
      <c r="R14843" s="32" t="str">
        <f>IFERROR(VLOOKUP($D14843,'Informations sur les produits'!$A$3:$B$15000,2,FALSE),"")</f>
        <v/>
      </c>
      <c r="V14843">
        <f t="shared" si="926"/>
        <v>0</v>
      </c>
      <c r="W14843">
        <f t="shared" si="927"/>
        <v>0</v>
      </c>
    </row>
    <row r="14844" spans="5:23" x14ac:dyDescent="0.25">
      <c r="E14844" s="4"/>
      <c r="F14844" s="4"/>
      <c r="G14844" s="33" t="str">
        <f>IFERROR(VLOOKUP($D14844,'Informations sur les produits'!$A$3:$H$10000,8,FALSE),"0")</f>
        <v>0</v>
      </c>
      <c r="K14844" s="4"/>
      <c r="L14844" s="33" t="str">
        <f>IFERROR(VLOOKUP($J14844,'Informations sur les produits'!$A$3:$H$10000,8,FALSE),"0")</f>
        <v>0</v>
      </c>
      <c r="N14844" s="8"/>
      <c r="O14844" s="33" t="str">
        <f>IFERROR(VLOOKUP($M14844,'Informations sur les produits'!$A$3:$H$10000,8,FALSE),"0")</f>
        <v>0</v>
      </c>
      <c r="P14844" s="33">
        <f t="shared" si="924"/>
        <v>0</v>
      </c>
      <c r="Q14844" s="31" t="str">
        <f t="shared" si="925"/>
        <v/>
      </c>
      <c r="R14844" s="32" t="str">
        <f>IFERROR(VLOOKUP($D14844,'Informations sur les produits'!$A$3:$B$15000,2,FALSE),"")</f>
        <v/>
      </c>
      <c r="V14844">
        <f t="shared" si="926"/>
        <v>0</v>
      </c>
      <c r="W14844">
        <f t="shared" si="927"/>
        <v>0</v>
      </c>
    </row>
    <row r="14845" spans="5:23" x14ac:dyDescent="0.25">
      <c r="E14845" s="4"/>
      <c r="F14845" s="4"/>
      <c r="G14845" s="33" t="str">
        <f>IFERROR(VLOOKUP($D14845,'Informations sur les produits'!$A$3:$H$10000,8,FALSE),"0")</f>
        <v>0</v>
      </c>
      <c r="K14845" s="4"/>
      <c r="L14845" s="33" t="str">
        <f>IFERROR(VLOOKUP($J14845,'Informations sur les produits'!$A$3:$H$10000,8,FALSE),"0")</f>
        <v>0</v>
      </c>
      <c r="N14845" s="8"/>
      <c r="O14845" s="33" t="str">
        <f>IFERROR(VLOOKUP($M14845,'Informations sur les produits'!$A$3:$H$10000,8,FALSE),"0")</f>
        <v>0</v>
      </c>
      <c r="P14845" s="33">
        <f t="shared" si="924"/>
        <v>0</v>
      </c>
      <c r="Q14845" s="31" t="str">
        <f t="shared" si="925"/>
        <v/>
      </c>
      <c r="R14845" s="32" t="str">
        <f>IFERROR(VLOOKUP($D14845,'Informations sur les produits'!$A$3:$B$15000,2,FALSE),"")</f>
        <v/>
      </c>
      <c r="V14845">
        <f t="shared" si="926"/>
        <v>0</v>
      </c>
      <c r="W14845">
        <f t="shared" si="927"/>
        <v>0</v>
      </c>
    </row>
    <row r="14846" spans="5:23" x14ac:dyDescent="0.25">
      <c r="E14846" s="4"/>
      <c r="F14846" s="4"/>
      <c r="G14846" s="33" t="str">
        <f>IFERROR(VLOOKUP($D14846,'Informations sur les produits'!$A$3:$H$10000,8,FALSE),"0")</f>
        <v>0</v>
      </c>
      <c r="K14846" s="4"/>
      <c r="L14846" s="33" t="str">
        <f>IFERROR(VLOOKUP($J14846,'Informations sur les produits'!$A$3:$H$10000,8,FALSE),"0")</f>
        <v>0</v>
      </c>
      <c r="N14846" s="8"/>
      <c r="O14846" s="33" t="str">
        <f>IFERROR(VLOOKUP($M14846,'Informations sur les produits'!$A$3:$H$10000,8,FALSE),"0")</f>
        <v>0</v>
      </c>
      <c r="P14846" s="33">
        <f t="shared" si="924"/>
        <v>0</v>
      </c>
      <c r="Q14846" s="31" t="str">
        <f t="shared" si="925"/>
        <v/>
      </c>
      <c r="R14846" s="32" t="str">
        <f>IFERROR(VLOOKUP($D14846,'Informations sur les produits'!$A$3:$B$15000,2,FALSE),"")</f>
        <v/>
      </c>
      <c r="V14846">
        <f t="shared" si="926"/>
        <v>0</v>
      </c>
      <c r="W14846">
        <f t="shared" si="927"/>
        <v>0</v>
      </c>
    </row>
    <row r="14847" spans="5:23" x14ac:dyDescent="0.25">
      <c r="E14847" s="4"/>
      <c r="F14847" s="4"/>
      <c r="G14847" s="33" t="str">
        <f>IFERROR(VLOOKUP($D14847,'Informations sur les produits'!$A$3:$H$10000,8,FALSE),"0")</f>
        <v>0</v>
      </c>
      <c r="K14847" s="4"/>
      <c r="L14847" s="33" t="str">
        <f>IFERROR(VLOOKUP($J14847,'Informations sur les produits'!$A$3:$H$10000,8,FALSE),"0")</f>
        <v>0</v>
      </c>
      <c r="N14847" s="8"/>
      <c r="O14847" s="33" t="str">
        <f>IFERROR(VLOOKUP($M14847,'Informations sur les produits'!$A$3:$H$10000,8,FALSE),"0")</f>
        <v>0</v>
      </c>
      <c r="P14847" s="33">
        <f t="shared" si="924"/>
        <v>0</v>
      </c>
      <c r="Q14847" s="31" t="str">
        <f t="shared" si="925"/>
        <v/>
      </c>
      <c r="R14847" s="32" t="str">
        <f>IFERROR(VLOOKUP($D14847,'Informations sur les produits'!$A$3:$B$15000,2,FALSE),"")</f>
        <v/>
      </c>
      <c r="V14847">
        <f t="shared" si="926"/>
        <v>0</v>
      </c>
      <c r="W14847">
        <f t="shared" si="927"/>
        <v>0</v>
      </c>
    </row>
    <row r="14848" spans="5:23" x14ac:dyDescent="0.25">
      <c r="E14848" s="4"/>
      <c r="F14848" s="4"/>
      <c r="G14848" s="33" t="str">
        <f>IFERROR(VLOOKUP($D14848,'Informations sur les produits'!$A$3:$H$10000,8,FALSE),"0")</f>
        <v>0</v>
      </c>
      <c r="K14848" s="4"/>
      <c r="L14848" s="33" t="str">
        <f>IFERROR(VLOOKUP($J14848,'Informations sur les produits'!$A$3:$H$10000,8,FALSE),"0")</f>
        <v>0</v>
      </c>
      <c r="N14848" s="8"/>
      <c r="O14848" s="33" t="str">
        <f>IFERROR(VLOOKUP($M14848,'Informations sur les produits'!$A$3:$H$10000,8,FALSE),"0")</f>
        <v>0</v>
      </c>
      <c r="P14848" s="33">
        <f t="shared" si="924"/>
        <v>0</v>
      </c>
      <c r="Q14848" s="31" t="str">
        <f t="shared" si="925"/>
        <v/>
      </c>
      <c r="R14848" s="32" t="str">
        <f>IFERROR(VLOOKUP($D14848,'Informations sur les produits'!$A$3:$B$15000,2,FALSE),"")</f>
        <v/>
      </c>
      <c r="V14848">
        <f t="shared" si="926"/>
        <v>0</v>
      </c>
      <c r="W14848">
        <f t="shared" si="927"/>
        <v>0</v>
      </c>
    </row>
    <row r="14849" spans="5:23" x14ac:dyDescent="0.25">
      <c r="E14849" s="4"/>
      <c r="F14849" s="4"/>
      <c r="G14849" s="33" t="str">
        <f>IFERROR(VLOOKUP($D14849,'Informations sur les produits'!$A$3:$H$10000,8,FALSE),"0")</f>
        <v>0</v>
      </c>
      <c r="K14849" s="4"/>
      <c r="L14849" s="33" t="str">
        <f>IFERROR(VLOOKUP($J14849,'Informations sur les produits'!$A$3:$H$10000,8,FALSE),"0")</f>
        <v>0</v>
      </c>
      <c r="N14849" s="8"/>
      <c r="O14849" s="33" t="str">
        <f>IFERROR(VLOOKUP($M14849,'Informations sur les produits'!$A$3:$H$10000,8,FALSE),"0")</f>
        <v>0</v>
      </c>
      <c r="P14849" s="33">
        <f t="shared" si="924"/>
        <v>0</v>
      </c>
      <c r="Q14849" s="31" t="str">
        <f t="shared" si="925"/>
        <v/>
      </c>
      <c r="R14849" s="32" t="str">
        <f>IFERROR(VLOOKUP($D14849,'Informations sur les produits'!$A$3:$B$15000,2,FALSE),"")</f>
        <v/>
      </c>
      <c r="V14849">
        <f t="shared" si="926"/>
        <v>0</v>
      </c>
      <c r="W14849">
        <f t="shared" si="927"/>
        <v>0</v>
      </c>
    </row>
    <row r="14850" spans="5:23" x14ac:dyDescent="0.25">
      <c r="E14850" s="4"/>
      <c r="F14850" s="4"/>
      <c r="G14850" s="33" t="str">
        <f>IFERROR(VLOOKUP($D14850,'Informations sur les produits'!$A$3:$H$10000,8,FALSE),"0")</f>
        <v>0</v>
      </c>
      <c r="K14850" s="4"/>
      <c r="L14850" s="33" t="str">
        <f>IFERROR(VLOOKUP($J14850,'Informations sur les produits'!$A$3:$H$10000,8,FALSE),"0")</f>
        <v>0</v>
      </c>
      <c r="N14850" s="8"/>
      <c r="O14850" s="33" t="str">
        <f>IFERROR(VLOOKUP($M14850,'Informations sur les produits'!$A$3:$H$10000,8,FALSE),"0")</f>
        <v>0</v>
      </c>
      <c r="P14850" s="33">
        <f t="shared" si="924"/>
        <v>0</v>
      </c>
      <c r="Q14850" s="31" t="str">
        <f t="shared" si="925"/>
        <v/>
      </c>
      <c r="R14850" s="32" t="str">
        <f>IFERROR(VLOOKUP($D14850,'Informations sur les produits'!$A$3:$B$15000,2,FALSE),"")</f>
        <v/>
      </c>
      <c r="V14850">
        <f t="shared" si="926"/>
        <v>0</v>
      </c>
      <c r="W14850">
        <f t="shared" si="927"/>
        <v>0</v>
      </c>
    </row>
    <row r="14851" spans="5:23" x14ac:dyDescent="0.25">
      <c r="E14851" s="4"/>
      <c r="F14851" s="4"/>
      <c r="G14851" s="33" t="str">
        <f>IFERROR(VLOOKUP($D14851,'Informations sur les produits'!$A$3:$H$10000,8,FALSE),"0")</f>
        <v>0</v>
      </c>
      <c r="K14851" s="4"/>
      <c r="L14851" s="33" t="str">
        <f>IFERROR(VLOOKUP($J14851,'Informations sur les produits'!$A$3:$H$10000,8,FALSE),"0")</f>
        <v>0</v>
      </c>
      <c r="N14851" s="8"/>
      <c r="O14851" s="33" t="str">
        <f>IFERROR(VLOOKUP($M14851,'Informations sur les produits'!$A$3:$H$10000,8,FALSE),"0")</f>
        <v>0</v>
      </c>
      <c r="P14851" s="33">
        <f t="shared" si="924"/>
        <v>0</v>
      </c>
      <c r="Q14851" s="31" t="str">
        <f t="shared" si="925"/>
        <v/>
      </c>
      <c r="R14851" s="32" t="str">
        <f>IFERROR(VLOOKUP($D14851,'Informations sur les produits'!$A$3:$B$15000,2,FALSE),"")</f>
        <v/>
      </c>
      <c r="V14851">
        <f t="shared" si="926"/>
        <v>0</v>
      </c>
      <c r="W14851">
        <f t="shared" si="927"/>
        <v>0</v>
      </c>
    </row>
    <row r="14852" spans="5:23" x14ac:dyDescent="0.25">
      <c r="E14852" s="4"/>
      <c r="F14852" s="4"/>
      <c r="G14852" s="33" t="str">
        <f>IFERROR(VLOOKUP($D14852,'Informations sur les produits'!$A$3:$H$10000,8,FALSE),"0")</f>
        <v>0</v>
      </c>
      <c r="K14852" s="4"/>
      <c r="L14852" s="33" t="str">
        <f>IFERROR(VLOOKUP($J14852,'Informations sur les produits'!$A$3:$H$10000,8,FALSE),"0")</f>
        <v>0</v>
      </c>
      <c r="N14852" s="8"/>
      <c r="O14852" s="33" t="str">
        <f>IFERROR(VLOOKUP($M14852,'Informations sur les produits'!$A$3:$H$10000,8,FALSE),"0")</f>
        <v>0</v>
      </c>
      <c r="P14852" s="33">
        <f t="shared" ref="P14852:P14915" si="928">IFERROR((($E14852-$F14852)*$G14852+$K14852*$L14852+$N14852*$O14852),"")</f>
        <v>0</v>
      </c>
      <c r="Q14852" s="31" t="str">
        <f t="shared" ref="Q14852:Q14915" si="929">IFERROR((((($E14852-$F14852)*$G14852+$K14852*$L14852+$N14852*$O14852)*1000)/(($E14852-$F14852)+$K14852+$N14852)),"")</f>
        <v/>
      </c>
      <c r="R14852" s="32" t="str">
        <f>IFERROR(VLOOKUP($D14852,'Informations sur les produits'!$A$3:$B$15000,2,FALSE),"")</f>
        <v/>
      </c>
      <c r="V14852">
        <f t="shared" ref="V14852:V14915" si="930">IFERROR(P14852*1000,"")</f>
        <v>0</v>
      </c>
      <c r="W14852">
        <f t="shared" ref="W14852:W14915" si="931">IFERROR(($E14852-$F14852)+$K14852+$N14852,"")</f>
        <v>0</v>
      </c>
    </row>
    <row r="14853" spans="5:23" x14ac:dyDescent="0.25">
      <c r="E14853" s="4"/>
      <c r="F14853" s="4"/>
      <c r="G14853" s="33" t="str">
        <f>IFERROR(VLOOKUP($D14853,'Informations sur les produits'!$A$3:$H$10000,8,FALSE),"0")</f>
        <v>0</v>
      </c>
      <c r="K14853" s="4"/>
      <c r="L14853" s="33" t="str">
        <f>IFERROR(VLOOKUP($J14853,'Informations sur les produits'!$A$3:$H$10000,8,FALSE),"0")</f>
        <v>0</v>
      </c>
      <c r="N14853" s="8"/>
      <c r="O14853" s="33" t="str">
        <f>IFERROR(VLOOKUP($M14853,'Informations sur les produits'!$A$3:$H$10000,8,FALSE),"0")</f>
        <v>0</v>
      </c>
      <c r="P14853" s="33">
        <f t="shared" si="928"/>
        <v>0</v>
      </c>
      <c r="Q14853" s="31" t="str">
        <f t="shared" si="929"/>
        <v/>
      </c>
      <c r="R14853" s="32" t="str">
        <f>IFERROR(VLOOKUP($D14853,'Informations sur les produits'!$A$3:$B$15000,2,FALSE),"")</f>
        <v/>
      </c>
      <c r="V14853">
        <f t="shared" si="930"/>
        <v>0</v>
      </c>
      <c r="W14853">
        <f t="shared" si="931"/>
        <v>0</v>
      </c>
    </row>
    <row r="14854" spans="5:23" x14ac:dyDescent="0.25">
      <c r="E14854" s="4"/>
      <c r="F14854" s="4"/>
      <c r="G14854" s="33" t="str">
        <f>IFERROR(VLOOKUP($D14854,'Informations sur les produits'!$A$3:$H$10000,8,FALSE),"0")</f>
        <v>0</v>
      </c>
      <c r="K14854" s="4"/>
      <c r="L14854" s="33" t="str">
        <f>IFERROR(VLOOKUP($J14854,'Informations sur les produits'!$A$3:$H$10000,8,FALSE),"0")</f>
        <v>0</v>
      </c>
      <c r="N14854" s="8"/>
      <c r="O14854" s="33" t="str">
        <f>IFERROR(VLOOKUP($M14854,'Informations sur les produits'!$A$3:$H$10000,8,FALSE),"0")</f>
        <v>0</v>
      </c>
      <c r="P14854" s="33">
        <f t="shared" si="928"/>
        <v>0</v>
      </c>
      <c r="Q14854" s="31" t="str">
        <f t="shared" si="929"/>
        <v/>
      </c>
      <c r="R14854" s="32" t="str">
        <f>IFERROR(VLOOKUP($D14854,'Informations sur les produits'!$A$3:$B$15000,2,FALSE),"")</f>
        <v/>
      </c>
      <c r="V14854">
        <f t="shared" si="930"/>
        <v>0</v>
      </c>
      <c r="W14854">
        <f t="shared" si="931"/>
        <v>0</v>
      </c>
    </row>
    <row r="14855" spans="5:23" x14ac:dyDescent="0.25">
      <c r="E14855" s="4"/>
      <c r="F14855" s="4"/>
      <c r="G14855" s="33" t="str">
        <f>IFERROR(VLOOKUP($D14855,'Informations sur les produits'!$A$3:$H$10000,8,FALSE),"0")</f>
        <v>0</v>
      </c>
      <c r="K14855" s="4"/>
      <c r="L14855" s="33" t="str">
        <f>IFERROR(VLOOKUP($J14855,'Informations sur les produits'!$A$3:$H$10000,8,FALSE),"0")</f>
        <v>0</v>
      </c>
      <c r="N14855" s="8"/>
      <c r="O14855" s="33" t="str">
        <f>IFERROR(VLOOKUP($M14855,'Informations sur les produits'!$A$3:$H$10000,8,FALSE),"0")</f>
        <v>0</v>
      </c>
      <c r="P14855" s="33">
        <f t="shared" si="928"/>
        <v>0</v>
      </c>
      <c r="Q14855" s="31" t="str">
        <f t="shared" si="929"/>
        <v/>
      </c>
      <c r="R14855" s="32" t="str">
        <f>IFERROR(VLOOKUP($D14855,'Informations sur les produits'!$A$3:$B$15000,2,FALSE),"")</f>
        <v/>
      </c>
      <c r="V14855">
        <f t="shared" si="930"/>
        <v>0</v>
      </c>
      <c r="W14855">
        <f t="shared" si="931"/>
        <v>0</v>
      </c>
    </row>
    <row r="14856" spans="5:23" x14ac:dyDescent="0.25">
      <c r="E14856" s="4"/>
      <c r="F14856" s="4"/>
      <c r="G14856" s="33" t="str">
        <f>IFERROR(VLOOKUP($D14856,'Informations sur les produits'!$A$3:$H$10000,8,FALSE),"0")</f>
        <v>0</v>
      </c>
      <c r="K14856" s="4"/>
      <c r="L14856" s="33" t="str">
        <f>IFERROR(VLOOKUP($J14856,'Informations sur les produits'!$A$3:$H$10000,8,FALSE),"0")</f>
        <v>0</v>
      </c>
      <c r="N14856" s="8"/>
      <c r="O14856" s="33" t="str">
        <f>IFERROR(VLOOKUP($M14856,'Informations sur les produits'!$A$3:$H$10000,8,FALSE),"0")</f>
        <v>0</v>
      </c>
      <c r="P14856" s="33">
        <f t="shared" si="928"/>
        <v>0</v>
      </c>
      <c r="Q14856" s="31" t="str">
        <f t="shared" si="929"/>
        <v/>
      </c>
      <c r="R14856" s="32" t="str">
        <f>IFERROR(VLOOKUP($D14856,'Informations sur les produits'!$A$3:$B$15000,2,FALSE),"")</f>
        <v/>
      </c>
      <c r="V14856">
        <f t="shared" si="930"/>
        <v>0</v>
      </c>
      <c r="W14856">
        <f t="shared" si="931"/>
        <v>0</v>
      </c>
    </row>
    <row r="14857" spans="5:23" x14ac:dyDescent="0.25">
      <c r="E14857" s="4"/>
      <c r="F14857" s="4"/>
      <c r="G14857" s="33" t="str">
        <f>IFERROR(VLOOKUP($D14857,'Informations sur les produits'!$A$3:$H$10000,8,FALSE),"0")</f>
        <v>0</v>
      </c>
      <c r="K14857" s="4"/>
      <c r="L14857" s="33" t="str">
        <f>IFERROR(VLOOKUP($J14857,'Informations sur les produits'!$A$3:$H$10000,8,FALSE),"0")</f>
        <v>0</v>
      </c>
      <c r="N14857" s="8"/>
      <c r="O14857" s="33" t="str">
        <f>IFERROR(VLOOKUP($M14857,'Informations sur les produits'!$A$3:$H$10000,8,FALSE),"0")</f>
        <v>0</v>
      </c>
      <c r="P14857" s="33">
        <f t="shared" si="928"/>
        <v>0</v>
      </c>
      <c r="Q14857" s="31" t="str">
        <f t="shared" si="929"/>
        <v/>
      </c>
      <c r="R14857" s="32" t="str">
        <f>IFERROR(VLOOKUP($D14857,'Informations sur les produits'!$A$3:$B$15000,2,FALSE),"")</f>
        <v/>
      </c>
      <c r="V14857">
        <f t="shared" si="930"/>
        <v>0</v>
      </c>
      <c r="W14857">
        <f t="shared" si="931"/>
        <v>0</v>
      </c>
    </row>
    <row r="14858" spans="5:23" x14ac:dyDescent="0.25">
      <c r="E14858" s="4"/>
      <c r="F14858" s="4"/>
      <c r="G14858" s="33" t="str">
        <f>IFERROR(VLOOKUP($D14858,'Informations sur les produits'!$A$3:$H$10000,8,FALSE),"0")</f>
        <v>0</v>
      </c>
      <c r="K14858" s="4"/>
      <c r="L14858" s="33" t="str">
        <f>IFERROR(VLOOKUP($J14858,'Informations sur les produits'!$A$3:$H$10000,8,FALSE),"0")</f>
        <v>0</v>
      </c>
      <c r="N14858" s="8"/>
      <c r="O14858" s="33" t="str">
        <f>IFERROR(VLOOKUP($M14858,'Informations sur les produits'!$A$3:$H$10000,8,FALSE),"0")</f>
        <v>0</v>
      </c>
      <c r="P14858" s="33">
        <f t="shared" si="928"/>
        <v>0</v>
      </c>
      <c r="Q14858" s="31" t="str">
        <f t="shared" si="929"/>
        <v/>
      </c>
      <c r="R14858" s="32" t="str">
        <f>IFERROR(VLOOKUP($D14858,'Informations sur les produits'!$A$3:$B$15000,2,FALSE),"")</f>
        <v/>
      </c>
      <c r="V14858">
        <f t="shared" si="930"/>
        <v>0</v>
      </c>
      <c r="W14858">
        <f t="shared" si="931"/>
        <v>0</v>
      </c>
    </row>
    <row r="14859" spans="5:23" x14ac:dyDescent="0.25">
      <c r="E14859" s="4"/>
      <c r="F14859" s="4"/>
      <c r="G14859" s="33" t="str">
        <f>IFERROR(VLOOKUP($D14859,'Informations sur les produits'!$A$3:$H$10000,8,FALSE),"0")</f>
        <v>0</v>
      </c>
      <c r="K14859" s="4"/>
      <c r="L14859" s="33" t="str">
        <f>IFERROR(VLOOKUP($J14859,'Informations sur les produits'!$A$3:$H$10000,8,FALSE),"0")</f>
        <v>0</v>
      </c>
      <c r="N14859" s="8"/>
      <c r="O14859" s="33" t="str">
        <f>IFERROR(VLOOKUP($M14859,'Informations sur les produits'!$A$3:$H$10000,8,FALSE),"0")</f>
        <v>0</v>
      </c>
      <c r="P14859" s="33">
        <f t="shared" si="928"/>
        <v>0</v>
      </c>
      <c r="Q14859" s="31" t="str">
        <f t="shared" si="929"/>
        <v/>
      </c>
      <c r="R14859" s="32" t="str">
        <f>IFERROR(VLOOKUP($D14859,'Informations sur les produits'!$A$3:$B$15000,2,FALSE),"")</f>
        <v/>
      </c>
      <c r="V14859">
        <f t="shared" si="930"/>
        <v>0</v>
      </c>
      <c r="W14859">
        <f t="shared" si="931"/>
        <v>0</v>
      </c>
    </row>
    <row r="14860" spans="5:23" x14ac:dyDescent="0.25">
      <c r="E14860" s="4"/>
      <c r="F14860" s="4"/>
      <c r="G14860" s="33" t="str">
        <f>IFERROR(VLOOKUP($D14860,'Informations sur les produits'!$A$3:$H$10000,8,FALSE),"0")</f>
        <v>0</v>
      </c>
      <c r="K14860" s="4"/>
      <c r="L14860" s="33" t="str">
        <f>IFERROR(VLOOKUP($J14860,'Informations sur les produits'!$A$3:$H$10000,8,FALSE),"0")</f>
        <v>0</v>
      </c>
      <c r="N14860" s="8"/>
      <c r="O14860" s="33" t="str">
        <f>IFERROR(VLOOKUP($M14860,'Informations sur les produits'!$A$3:$H$10000,8,FALSE),"0")</f>
        <v>0</v>
      </c>
      <c r="P14860" s="33">
        <f t="shared" si="928"/>
        <v>0</v>
      </c>
      <c r="Q14860" s="31" t="str">
        <f t="shared" si="929"/>
        <v/>
      </c>
      <c r="R14860" s="32" t="str">
        <f>IFERROR(VLOOKUP($D14860,'Informations sur les produits'!$A$3:$B$15000,2,FALSE),"")</f>
        <v/>
      </c>
      <c r="V14860">
        <f t="shared" si="930"/>
        <v>0</v>
      </c>
      <c r="W14860">
        <f t="shared" si="931"/>
        <v>0</v>
      </c>
    </row>
    <row r="14861" spans="5:23" x14ac:dyDescent="0.25">
      <c r="E14861" s="4"/>
      <c r="F14861" s="4"/>
      <c r="G14861" s="33" t="str">
        <f>IFERROR(VLOOKUP($D14861,'Informations sur les produits'!$A$3:$H$10000,8,FALSE),"0")</f>
        <v>0</v>
      </c>
      <c r="K14861" s="4"/>
      <c r="L14861" s="33" t="str">
        <f>IFERROR(VLOOKUP($J14861,'Informations sur les produits'!$A$3:$H$10000,8,FALSE),"0")</f>
        <v>0</v>
      </c>
      <c r="N14861" s="8"/>
      <c r="O14861" s="33" t="str">
        <f>IFERROR(VLOOKUP($M14861,'Informations sur les produits'!$A$3:$H$10000,8,FALSE),"0")</f>
        <v>0</v>
      </c>
      <c r="P14861" s="33">
        <f t="shared" si="928"/>
        <v>0</v>
      </c>
      <c r="Q14861" s="31" t="str">
        <f t="shared" si="929"/>
        <v/>
      </c>
      <c r="R14861" s="32" t="str">
        <f>IFERROR(VLOOKUP($D14861,'Informations sur les produits'!$A$3:$B$15000,2,FALSE),"")</f>
        <v/>
      </c>
      <c r="V14861">
        <f t="shared" si="930"/>
        <v>0</v>
      </c>
      <c r="W14861">
        <f t="shared" si="931"/>
        <v>0</v>
      </c>
    </row>
    <row r="14862" spans="5:23" x14ac:dyDescent="0.25">
      <c r="E14862" s="4"/>
      <c r="F14862" s="4"/>
      <c r="G14862" s="33" t="str">
        <f>IFERROR(VLOOKUP($D14862,'Informations sur les produits'!$A$3:$H$10000,8,FALSE),"0")</f>
        <v>0</v>
      </c>
      <c r="K14862" s="4"/>
      <c r="L14862" s="33" t="str">
        <f>IFERROR(VLOOKUP($J14862,'Informations sur les produits'!$A$3:$H$10000,8,FALSE),"0")</f>
        <v>0</v>
      </c>
      <c r="N14862" s="8"/>
      <c r="O14862" s="33" t="str">
        <f>IFERROR(VLOOKUP($M14862,'Informations sur les produits'!$A$3:$H$10000,8,FALSE),"0")</f>
        <v>0</v>
      </c>
      <c r="P14862" s="33">
        <f t="shared" si="928"/>
        <v>0</v>
      </c>
      <c r="Q14862" s="31" t="str">
        <f t="shared" si="929"/>
        <v/>
      </c>
      <c r="R14862" s="32" t="str">
        <f>IFERROR(VLOOKUP($D14862,'Informations sur les produits'!$A$3:$B$15000,2,FALSE),"")</f>
        <v/>
      </c>
      <c r="V14862">
        <f t="shared" si="930"/>
        <v>0</v>
      </c>
      <c r="W14862">
        <f t="shared" si="931"/>
        <v>0</v>
      </c>
    </row>
    <row r="14863" spans="5:23" x14ac:dyDescent="0.25">
      <c r="E14863" s="4"/>
      <c r="F14863" s="4"/>
      <c r="G14863" s="33" t="str">
        <f>IFERROR(VLOOKUP($D14863,'Informations sur les produits'!$A$3:$H$10000,8,FALSE),"0")</f>
        <v>0</v>
      </c>
      <c r="K14863" s="4"/>
      <c r="L14863" s="33" t="str">
        <f>IFERROR(VLOOKUP($J14863,'Informations sur les produits'!$A$3:$H$10000,8,FALSE),"0")</f>
        <v>0</v>
      </c>
      <c r="N14863" s="8"/>
      <c r="O14863" s="33" t="str">
        <f>IFERROR(VLOOKUP($M14863,'Informations sur les produits'!$A$3:$H$10000,8,FALSE),"0")</f>
        <v>0</v>
      </c>
      <c r="P14863" s="33">
        <f t="shared" si="928"/>
        <v>0</v>
      </c>
      <c r="Q14863" s="31" t="str">
        <f t="shared" si="929"/>
        <v/>
      </c>
      <c r="R14863" s="32" t="str">
        <f>IFERROR(VLOOKUP($D14863,'Informations sur les produits'!$A$3:$B$15000,2,FALSE),"")</f>
        <v/>
      </c>
      <c r="V14863">
        <f t="shared" si="930"/>
        <v>0</v>
      </c>
      <c r="W14863">
        <f t="shared" si="931"/>
        <v>0</v>
      </c>
    </row>
    <row r="14864" spans="5:23" x14ac:dyDescent="0.25">
      <c r="E14864" s="4"/>
      <c r="F14864" s="4"/>
      <c r="G14864" s="33" t="str">
        <f>IFERROR(VLOOKUP($D14864,'Informations sur les produits'!$A$3:$H$10000,8,FALSE),"0")</f>
        <v>0</v>
      </c>
      <c r="K14864" s="4"/>
      <c r="L14864" s="33" t="str">
        <f>IFERROR(VLOOKUP($J14864,'Informations sur les produits'!$A$3:$H$10000,8,FALSE),"0")</f>
        <v>0</v>
      </c>
      <c r="N14864" s="8"/>
      <c r="O14864" s="33" t="str">
        <f>IFERROR(VLOOKUP($M14864,'Informations sur les produits'!$A$3:$H$10000,8,FALSE),"0")</f>
        <v>0</v>
      </c>
      <c r="P14864" s="33">
        <f t="shared" si="928"/>
        <v>0</v>
      </c>
      <c r="Q14864" s="31" t="str">
        <f t="shared" si="929"/>
        <v/>
      </c>
      <c r="R14864" s="32" t="str">
        <f>IFERROR(VLOOKUP($D14864,'Informations sur les produits'!$A$3:$B$15000,2,FALSE),"")</f>
        <v/>
      </c>
      <c r="V14864">
        <f t="shared" si="930"/>
        <v>0</v>
      </c>
      <c r="W14864">
        <f t="shared" si="931"/>
        <v>0</v>
      </c>
    </row>
    <row r="14865" spans="5:23" x14ac:dyDescent="0.25">
      <c r="E14865" s="4"/>
      <c r="F14865" s="4"/>
      <c r="G14865" s="33" t="str">
        <f>IFERROR(VLOOKUP($D14865,'Informations sur les produits'!$A$3:$H$10000,8,FALSE),"0")</f>
        <v>0</v>
      </c>
      <c r="K14865" s="4"/>
      <c r="L14865" s="33" t="str">
        <f>IFERROR(VLOOKUP($J14865,'Informations sur les produits'!$A$3:$H$10000,8,FALSE),"0")</f>
        <v>0</v>
      </c>
      <c r="N14865" s="8"/>
      <c r="O14865" s="33" t="str">
        <f>IFERROR(VLOOKUP($M14865,'Informations sur les produits'!$A$3:$H$10000,8,FALSE),"0")</f>
        <v>0</v>
      </c>
      <c r="P14865" s="33">
        <f t="shared" si="928"/>
        <v>0</v>
      </c>
      <c r="Q14865" s="31" t="str">
        <f t="shared" si="929"/>
        <v/>
      </c>
      <c r="R14865" s="32" t="str">
        <f>IFERROR(VLOOKUP($D14865,'Informations sur les produits'!$A$3:$B$15000,2,FALSE),"")</f>
        <v/>
      </c>
      <c r="V14865">
        <f t="shared" si="930"/>
        <v>0</v>
      </c>
      <c r="W14865">
        <f t="shared" si="931"/>
        <v>0</v>
      </c>
    </row>
    <row r="14866" spans="5:23" x14ac:dyDescent="0.25">
      <c r="E14866" s="4"/>
      <c r="F14866" s="4"/>
      <c r="G14866" s="33" t="str">
        <f>IFERROR(VLOOKUP($D14866,'Informations sur les produits'!$A$3:$H$10000,8,FALSE),"0")</f>
        <v>0</v>
      </c>
      <c r="K14866" s="4"/>
      <c r="L14866" s="33" t="str">
        <f>IFERROR(VLOOKUP($J14866,'Informations sur les produits'!$A$3:$H$10000,8,FALSE),"0")</f>
        <v>0</v>
      </c>
      <c r="N14866" s="8"/>
      <c r="O14866" s="33" t="str">
        <f>IFERROR(VLOOKUP($M14866,'Informations sur les produits'!$A$3:$H$10000,8,FALSE),"0")</f>
        <v>0</v>
      </c>
      <c r="P14866" s="33">
        <f t="shared" si="928"/>
        <v>0</v>
      </c>
      <c r="Q14866" s="31" t="str">
        <f t="shared" si="929"/>
        <v/>
      </c>
      <c r="R14866" s="32" t="str">
        <f>IFERROR(VLOOKUP($D14866,'Informations sur les produits'!$A$3:$B$15000,2,FALSE),"")</f>
        <v/>
      </c>
      <c r="V14866">
        <f t="shared" si="930"/>
        <v>0</v>
      </c>
      <c r="W14866">
        <f t="shared" si="931"/>
        <v>0</v>
      </c>
    </row>
    <row r="14867" spans="5:23" x14ac:dyDescent="0.25">
      <c r="E14867" s="4"/>
      <c r="F14867" s="4"/>
      <c r="G14867" s="33" t="str">
        <f>IFERROR(VLOOKUP($D14867,'Informations sur les produits'!$A$3:$H$10000,8,FALSE),"0")</f>
        <v>0</v>
      </c>
      <c r="K14867" s="4"/>
      <c r="L14867" s="33" t="str">
        <f>IFERROR(VLOOKUP($J14867,'Informations sur les produits'!$A$3:$H$10000,8,FALSE),"0")</f>
        <v>0</v>
      </c>
      <c r="N14867" s="8"/>
      <c r="O14867" s="33" t="str">
        <f>IFERROR(VLOOKUP($M14867,'Informations sur les produits'!$A$3:$H$10000,8,FALSE),"0")</f>
        <v>0</v>
      </c>
      <c r="P14867" s="33">
        <f t="shared" si="928"/>
        <v>0</v>
      </c>
      <c r="Q14867" s="31" t="str">
        <f t="shared" si="929"/>
        <v/>
      </c>
      <c r="R14867" s="32" t="str">
        <f>IFERROR(VLOOKUP($D14867,'Informations sur les produits'!$A$3:$B$15000,2,FALSE),"")</f>
        <v/>
      </c>
      <c r="V14867">
        <f t="shared" si="930"/>
        <v>0</v>
      </c>
      <c r="W14867">
        <f t="shared" si="931"/>
        <v>0</v>
      </c>
    </row>
    <row r="14868" spans="5:23" x14ac:dyDescent="0.25">
      <c r="E14868" s="4"/>
      <c r="F14868" s="4"/>
      <c r="G14868" s="33" t="str">
        <f>IFERROR(VLOOKUP($D14868,'Informations sur les produits'!$A$3:$H$10000,8,FALSE),"0")</f>
        <v>0</v>
      </c>
      <c r="K14868" s="4"/>
      <c r="L14868" s="33" t="str">
        <f>IFERROR(VLOOKUP($J14868,'Informations sur les produits'!$A$3:$H$10000,8,FALSE),"0")</f>
        <v>0</v>
      </c>
      <c r="N14868" s="8"/>
      <c r="O14868" s="33" t="str">
        <f>IFERROR(VLOOKUP($M14868,'Informations sur les produits'!$A$3:$H$10000,8,FALSE),"0")</f>
        <v>0</v>
      </c>
      <c r="P14868" s="33">
        <f t="shared" si="928"/>
        <v>0</v>
      </c>
      <c r="Q14868" s="31" t="str">
        <f t="shared" si="929"/>
        <v/>
      </c>
      <c r="R14868" s="32" t="str">
        <f>IFERROR(VLOOKUP($D14868,'Informations sur les produits'!$A$3:$B$15000,2,FALSE),"")</f>
        <v/>
      </c>
      <c r="V14868">
        <f t="shared" si="930"/>
        <v>0</v>
      </c>
      <c r="W14868">
        <f t="shared" si="931"/>
        <v>0</v>
      </c>
    </row>
    <row r="14869" spans="5:23" x14ac:dyDescent="0.25">
      <c r="E14869" s="4"/>
      <c r="F14869" s="4"/>
      <c r="G14869" s="33" t="str">
        <f>IFERROR(VLOOKUP($D14869,'Informations sur les produits'!$A$3:$H$10000,8,FALSE),"0")</f>
        <v>0</v>
      </c>
      <c r="K14869" s="4"/>
      <c r="L14869" s="33" t="str">
        <f>IFERROR(VLOOKUP($J14869,'Informations sur les produits'!$A$3:$H$10000,8,FALSE),"0")</f>
        <v>0</v>
      </c>
      <c r="N14869" s="8"/>
      <c r="O14869" s="33" t="str">
        <f>IFERROR(VLOOKUP($M14869,'Informations sur les produits'!$A$3:$H$10000,8,FALSE),"0")</f>
        <v>0</v>
      </c>
      <c r="P14869" s="33">
        <f t="shared" si="928"/>
        <v>0</v>
      </c>
      <c r="Q14869" s="31" t="str">
        <f t="shared" si="929"/>
        <v/>
      </c>
      <c r="R14869" s="32" t="str">
        <f>IFERROR(VLOOKUP($D14869,'Informations sur les produits'!$A$3:$B$15000,2,FALSE),"")</f>
        <v/>
      </c>
      <c r="V14869">
        <f t="shared" si="930"/>
        <v>0</v>
      </c>
      <c r="W14869">
        <f t="shared" si="931"/>
        <v>0</v>
      </c>
    </row>
    <row r="14870" spans="5:23" x14ac:dyDescent="0.25">
      <c r="E14870" s="4"/>
      <c r="F14870" s="4"/>
      <c r="G14870" s="33" t="str">
        <f>IFERROR(VLOOKUP($D14870,'Informations sur les produits'!$A$3:$H$10000,8,FALSE),"0")</f>
        <v>0</v>
      </c>
      <c r="K14870" s="4"/>
      <c r="L14870" s="33" t="str">
        <f>IFERROR(VLOOKUP($J14870,'Informations sur les produits'!$A$3:$H$10000,8,FALSE),"0")</f>
        <v>0</v>
      </c>
      <c r="N14870" s="8"/>
      <c r="O14870" s="33" t="str">
        <f>IFERROR(VLOOKUP($M14870,'Informations sur les produits'!$A$3:$H$10000,8,FALSE),"0")</f>
        <v>0</v>
      </c>
      <c r="P14870" s="33">
        <f t="shared" si="928"/>
        <v>0</v>
      </c>
      <c r="Q14870" s="31" t="str">
        <f t="shared" si="929"/>
        <v/>
      </c>
      <c r="R14870" s="32" t="str">
        <f>IFERROR(VLOOKUP($D14870,'Informations sur les produits'!$A$3:$B$15000,2,FALSE),"")</f>
        <v/>
      </c>
      <c r="V14870">
        <f t="shared" si="930"/>
        <v>0</v>
      </c>
      <c r="W14870">
        <f t="shared" si="931"/>
        <v>0</v>
      </c>
    </row>
    <row r="14871" spans="5:23" x14ac:dyDescent="0.25">
      <c r="E14871" s="4"/>
      <c r="F14871" s="4"/>
      <c r="G14871" s="33" t="str">
        <f>IFERROR(VLOOKUP($D14871,'Informations sur les produits'!$A$3:$H$10000,8,FALSE),"0")</f>
        <v>0</v>
      </c>
      <c r="K14871" s="4"/>
      <c r="L14871" s="33" t="str">
        <f>IFERROR(VLOOKUP($J14871,'Informations sur les produits'!$A$3:$H$10000,8,FALSE),"0")</f>
        <v>0</v>
      </c>
      <c r="N14871" s="8"/>
      <c r="O14871" s="33" t="str">
        <f>IFERROR(VLOOKUP($M14871,'Informations sur les produits'!$A$3:$H$10000,8,FALSE),"0")</f>
        <v>0</v>
      </c>
      <c r="P14871" s="33">
        <f t="shared" si="928"/>
        <v>0</v>
      </c>
      <c r="Q14871" s="31" t="str">
        <f t="shared" si="929"/>
        <v/>
      </c>
      <c r="R14871" s="32" t="str">
        <f>IFERROR(VLOOKUP($D14871,'Informations sur les produits'!$A$3:$B$15000,2,FALSE),"")</f>
        <v/>
      </c>
      <c r="V14871">
        <f t="shared" si="930"/>
        <v>0</v>
      </c>
      <c r="W14871">
        <f t="shared" si="931"/>
        <v>0</v>
      </c>
    </row>
    <row r="14872" spans="5:23" x14ac:dyDescent="0.25">
      <c r="E14872" s="4"/>
      <c r="F14872" s="4"/>
      <c r="G14872" s="33" t="str">
        <f>IFERROR(VLOOKUP($D14872,'Informations sur les produits'!$A$3:$H$10000,8,FALSE),"0")</f>
        <v>0</v>
      </c>
      <c r="K14872" s="4"/>
      <c r="L14872" s="33" t="str">
        <f>IFERROR(VLOOKUP($J14872,'Informations sur les produits'!$A$3:$H$10000,8,FALSE),"0")</f>
        <v>0</v>
      </c>
      <c r="N14872" s="8"/>
      <c r="O14872" s="33" t="str">
        <f>IFERROR(VLOOKUP($M14872,'Informations sur les produits'!$A$3:$H$10000,8,FALSE),"0")</f>
        <v>0</v>
      </c>
      <c r="P14872" s="33">
        <f t="shared" si="928"/>
        <v>0</v>
      </c>
      <c r="Q14872" s="31" t="str">
        <f t="shared" si="929"/>
        <v/>
      </c>
      <c r="R14872" s="32" t="str">
        <f>IFERROR(VLOOKUP($D14872,'Informations sur les produits'!$A$3:$B$15000,2,FALSE),"")</f>
        <v/>
      </c>
      <c r="V14872">
        <f t="shared" si="930"/>
        <v>0</v>
      </c>
      <c r="W14872">
        <f t="shared" si="931"/>
        <v>0</v>
      </c>
    </row>
    <row r="14873" spans="5:23" x14ac:dyDescent="0.25">
      <c r="E14873" s="4"/>
      <c r="F14873" s="4"/>
      <c r="G14873" s="33" t="str">
        <f>IFERROR(VLOOKUP($D14873,'Informations sur les produits'!$A$3:$H$10000,8,FALSE),"0")</f>
        <v>0</v>
      </c>
      <c r="K14873" s="4"/>
      <c r="L14873" s="33" t="str">
        <f>IFERROR(VLOOKUP($J14873,'Informations sur les produits'!$A$3:$H$10000,8,FALSE),"0")</f>
        <v>0</v>
      </c>
      <c r="N14873" s="8"/>
      <c r="O14873" s="33" t="str">
        <f>IFERROR(VLOOKUP($M14873,'Informations sur les produits'!$A$3:$H$10000,8,FALSE),"0")</f>
        <v>0</v>
      </c>
      <c r="P14873" s="33">
        <f t="shared" si="928"/>
        <v>0</v>
      </c>
      <c r="Q14873" s="31" t="str">
        <f t="shared" si="929"/>
        <v/>
      </c>
      <c r="R14873" s="32" t="str">
        <f>IFERROR(VLOOKUP($D14873,'Informations sur les produits'!$A$3:$B$15000,2,FALSE),"")</f>
        <v/>
      </c>
      <c r="V14873">
        <f t="shared" si="930"/>
        <v>0</v>
      </c>
      <c r="W14873">
        <f t="shared" si="931"/>
        <v>0</v>
      </c>
    </row>
    <row r="14874" spans="5:23" x14ac:dyDescent="0.25">
      <c r="E14874" s="4"/>
      <c r="F14874" s="4"/>
      <c r="G14874" s="33" t="str">
        <f>IFERROR(VLOOKUP($D14874,'Informations sur les produits'!$A$3:$H$10000,8,FALSE),"0")</f>
        <v>0</v>
      </c>
      <c r="K14874" s="4"/>
      <c r="L14874" s="33" t="str">
        <f>IFERROR(VLOOKUP($J14874,'Informations sur les produits'!$A$3:$H$10000,8,FALSE),"0")</f>
        <v>0</v>
      </c>
      <c r="N14874" s="8"/>
      <c r="O14874" s="33" t="str">
        <f>IFERROR(VLOOKUP($M14874,'Informations sur les produits'!$A$3:$H$10000,8,FALSE),"0")</f>
        <v>0</v>
      </c>
      <c r="P14874" s="33">
        <f t="shared" si="928"/>
        <v>0</v>
      </c>
      <c r="Q14874" s="31" t="str">
        <f t="shared" si="929"/>
        <v/>
      </c>
      <c r="R14874" s="32" t="str">
        <f>IFERROR(VLOOKUP($D14874,'Informations sur les produits'!$A$3:$B$15000,2,FALSE),"")</f>
        <v/>
      </c>
      <c r="V14874">
        <f t="shared" si="930"/>
        <v>0</v>
      </c>
      <c r="W14874">
        <f t="shared" si="931"/>
        <v>0</v>
      </c>
    </row>
    <row r="14875" spans="5:23" x14ac:dyDescent="0.25">
      <c r="E14875" s="4"/>
      <c r="F14875" s="4"/>
      <c r="G14875" s="33" t="str">
        <f>IFERROR(VLOOKUP($D14875,'Informations sur les produits'!$A$3:$H$10000,8,FALSE),"0")</f>
        <v>0</v>
      </c>
      <c r="K14875" s="4"/>
      <c r="L14875" s="33" t="str">
        <f>IFERROR(VLOOKUP($J14875,'Informations sur les produits'!$A$3:$H$10000,8,FALSE),"0")</f>
        <v>0</v>
      </c>
      <c r="N14875" s="8"/>
      <c r="O14875" s="33" t="str">
        <f>IFERROR(VLOOKUP($M14875,'Informations sur les produits'!$A$3:$H$10000,8,FALSE),"0")</f>
        <v>0</v>
      </c>
      <c r="P14875" s="33">
        <f t="shared" si="928"/>
        <v>0</v>
      </c>
      <c r="Q14875" s="31" t="str">
        <f t="shared" si="929"/>
        <v/>
      </c>
      <c r="R14875" s="32" t="str">
        <f>IFERROR(VLOOKUP($D14875,'Informations sur les produits'!$A$3:$B$15000,2,FALSE),"")</f>
        <v/>
      </c>
      <c r="V14875">
        <f t="shared" si="930"/>
        <v>0</v>
      </c>
      <c r="W14875">
        <f t="shared" si="931"/>
        <v>0</v>
      </c>
    </row>
    <row r="14876" spans="5:23" x14ac:dyDescent="0.25">
      <c r="E14876" s="4"/>
      <c r="F14876" s="4"/>
      <c r="G14876" s="33" t="str">
        <f>IFERROR(VLOOKUP($D14876,'Informations sur les produits'!$A$3:$H$10000,8,FALSE),"0")</f>
        <v>0</v>
      </c>
      <c r="K14876" s="4"/>
      <c r="L14876" s="33" t="str">
        <f>IFERROR(VLOOKUP($J14876,'Informations sur les produits'!$A$3:$H$10000,8,FALSE),"0")</f>
        <v>0</v>
      </c>
      <c r="N14876" s="8"/>
      <c r="O14876" s="33" t="str">
        <f>IFERROR(VLOOKUP($M14876,'Informations sur les produits'!$A$3:$H$10000,8,FALSE),"0")</f>
        <v>0</v>
      </c>
      <c r="P14876" s="33">
        <f t="shared" si="928"/>
        <v>0</v>
      </c>
      <c r="Q14876" s="31" t="str">
        <f t="shared" si="929"/>
        <v/>
      </c>
      <c r="R14876" s="32" t="str">
        <f>IFERROR(VLOOKUP($D14876,'Informations sur les produits'!$A$3:$B$15000,2,FALSE),"")</f>
        <v/>
      </c>
      <c r="V14876">
        <f t="shared" si="930"/>
        <v>0</v>
      </c>
      <c r="W14876">
        <f t="shared" si="931"/>
        <v>0</v>
      </c>
    </row>
    <row r="14877" spans="5:23" x14ac:dyDescent="0.25">
      <c r="E14877" s="4"/>
      <c r="F14877" s="4"/>
      <c r="G14877" s="33" t="str">
        <f>IFERROR(VLOOKUP($D14877,'Informations sur les produits'!$A$3:$H$10000,8,FALSE),"0")</f>
        <v>0</v>
      </c>
      <c r="K14877" s="4"/>
      <c r="L14877" s="33" t="str">
        <f>IFERROR(VLOOKUP($J14877,'Informations sur les produits'!$A$3:$H$10000,8,FALSE),"0")</f>
        <v>0</v>
      </c>
      <c r="N14877" s="8"/>
      <c r="O14877" s="33" t="str">
        <f>IFERROR(VLOOKUP($M14877,'Informations sur les produits'!$A$3:$H$10000,8,FALSE),"0")</f>
        <v>0</v>
      </c>
      <c r="P14877" s="33">
        <f t="shared" si="928"/>
        <v>0</v>
      </c>
      <c r="Q14877" s="31" t="str">
        <f t="shared" si="929"/>
        <v/>
      </c>
      <c r="R14877" s="32" t="str">
        <f>IFERROR(VLOOKUP($D14877,'Informations sur les produits'!$A$3:$B$15000,2,FALSE),"")</f>
        <v/>
      </c>
      <c r="V14877">
        <f t="shared" si="930"/>
        <v>0</v>
      </c>
      <c r="W14877">
        <f t="shared" si="931"/>
        <v>0</v>
      </c>
    </row>
    <row r="14878" spans="5:23" x14ac:dyDescent="0.25">
      <c r="E14878" s="4"/>
      <c r="F14878" s="4"/>
      <c r="G14878" s="33" t="str">
        <f>IFERROR(VLOOKUP($D14878,'Informations sur les produits'!$A$3:$H$10000,8,FALSE),"0")</f>
        <v>0</v>
      </c>
      <c r="K14878" s="4"/>
      <c r="L14878" s="33" t="str">
        <f>IFERROR(VLOOKUP($J14878,'Informations sur les produits'!$A$3:$H$10000,8,FALSE),"0")</f>
        <v>0</v>
      </c>
      <c r="N14878" s="8"/>
      <c r="O14878" s="33" t="str">
        <f>IFERROR(VLOOKUP($M14878,'Informations sur les produits'!$A$3:$H$10000,8,FALSE),"0")</f>
        <v>0</v>
      </c>
      <c r="P14878" s="33">
        <f t="shared" si="928"/>
        <v>0</v>
      </c>
      <c r="Q14878" s="31" t="str">
        <f t="shared" si="929"/>
        <v/>
      </c>
      <c r="R14878" s="32" t="str">
        <f>IFERROR(VLOOKUP($D14878,'Informations sur les produits'!$A$3:$B$15000,2,FALSE),"")</f>
        <v/>
      </c>
      <c r="V14878">
        <f t="shared" si="930"/>
        <v>0</v>
      </c>
      <c r="W14878">
        <f t="shared" si="931"/>
        <v>0</v>
      </c>
    </row>
    <row r="14879" spans="5:23" x14ac:dyDescent="0.25">
      <c r="E14879" s="4"/>
      <c r="F14879" s="4"/>
      <c r="G14879" s="33" t="str">
        <f>IFERROR(VLOOKUP($D14879,'Informations sur les produits'!$A$3:$H$10000,8,FALSE),"0")</f>
        <v>0</v>
      </c>
      <c r="K14879" s="4"/>
      <c r="L14879" s="33" t="str">
        <f>IFERROR(VLOOKUP($J14879,'Informations sur les produits'!$A$3:$H$10000,8,FALSE),"0")</f>
        <v>0</v>
      </c>
      <c r="N14879" s="8"/>
      <c r="O14879" s="33" t="str">
        <f>IFERROR(VLOOKUP($M14879,'Informations sur les produits'!$A$3:$H$10000,8,FALSE),"0")</f>
        <v>0</v>
      </c>
      <c r="P14879" s="33">
        <f t="shared" si="928"/>
        <v>0</v>
      </c>
      <c r="Q14879" s="31" t="str">
        <f t="shared" si="929"/>
        <v/>
      </c>
      <c r="R14879" s="32" t="str">
        <f>IFERROR(VLOOKUP($D14879,'Informations sur les produits'!$A$3:$B$15000,2,FALSE),"")</f>
        <v/>
      </c>
      <c r="V14879">
        <f t="shared" si="930"/>
        <v>0</v>
      </c>
      <c r="W14879">
        <f t="shared" si="931"/>
        <v>0</v>
      </c>
    </row>
    <row r="14880" spans="5:23" x14ac:dyDescent="0.25">
      <c r="E14880" s="4"/>
      <c r="F14880" s="4"/>
      <c r="G14880" s="33" t="str">
        <f>IFERROR(VLOOKUP($D14880,'Informations sur les produits'!$A$3:$H$10000,8,FALSE),"0")</f>
        <v>0</v>
      </c>
      <c r="K14880" s="4"/>
      <c r="L14880" s="33" t="str">
        <f>IFERROR(VLOOKUP($J14880,'Informations sur les produits'!$A$3:$H$10000,8,FALSE),"0")</f>
        <v>0</v>
      </c>
      <c r="N14880" s="8"/>
      <c r="O14880" s="33" t="str">
        <f>IFERROR(VLOOKUP($M14880,'Informations sur les produits'!$A$3:$H$10000,8,FALSE),"0")</f>
        <v>0</v>
      </c>
      <c r="P14880" s="33">
        <f t="shared" si="928"/>
        <v>0</v>
      </c>
      <c r="Q14880" s="31" t="str">
        <f t="shared" si="929"/>
        <v/>
      </c>
      <c r="R14880" s="32" t="str">
        <f>IFERROR(VLOOKUP($D14880,'Informations sur les produits'!$A$3:$B$15000,2,FALSE),"")</f>
        <v/>
      </c>
      <c r="V14880">
        <f t="shared" si="930"/>
        <v>0</v>
      </c>
      <c r="W14880">
        <f t="shared" si="931"/>
        <v>0</v>
      </c>
    </row>
    <row r="14881" spans="5:23" x14ac:dyDescent="0.25">
      <c r="E14881" s="4"/>
      <c r="F14881" s="4"/>
      <c r="G14881" s="33" t="str">
        <f>IFERROR(VLOOKUP($D14881,'Informations sur les produits'!$A$3:$H$10000,8,FALSE),"0")</f>
        <v>0</v>
      </c>
      <c r="K14881" s="4"/>
      <c r="L14881" s="33" t="str">
        <f>IFERROR(VLOOKUP($J14881,'Informations sur les produits'!$A$3:$H$10000,8,FALSE),"0")</f>
        <v>0</v>
      </c>
      <c r="N14881" s="8"/>
      <c r="O14881" s="33" t="str">
        <f>IFERROR(VLOOKUP($M14881,'Informations sur les produits'!$A$3:$H$10000,8,FALSE),"0")</f>
        <v>0</v>
      </c>
      <c r="P14881" s="33">
        <f t="shared" si="928"/>
        <v>0</v>
      </c>
      <c r="Q14881" s="31" t="str">
        <f t="shared" si="929"/>
        <v/>
      </c>
      <c r="R14881" s="32" t="str">
        <f>IFERROR(VLOOKUP($D14881,'Informations sur les produits'!$A$3:$B$15000,2,FALSE),"")</f>
        <v/>
      </c>
      <c r="V14881">
        <f t="shared" si="930"/>
        <v>0</v>
      </c>
      <c r="W14881">
        <f t="shared" si="931"/>
        <v>0</v>
      </c>
    </row>
    <row r="14882" spans="5:23" x14ac:dyDescent="0.25">
      <c r="E14882" s="4"/>
      <c r="F14882" s="4"/>
      <c r="G14882" s="33" t="str">
        <f>IFERROR(VLOOKUP($D14882,'Informations sur les produits'!$A$3:$H$10000,8,FALSE),"0")</f>
        <v>0</v>
      </c>
      <c r="K14882" s="4"/>
      <c r="L14882" s="33" t="str">
        <f>IFERROR(VLOOKUP($J14882,'Informations sur les produits'!$A$3:$H$10000,8,FALSE),"0")</f>
        <v>0</v>
      </c>
      <c r="N14882" s="8"/>
      <c r="O14882" s="33" t="str">
        <f>IFERROR(VLOOKUP($M14882,'Informations sur les produits'!$A$3:$H$10000,8,FALSE),"0")</f>
        <v>0</v>
      </c>
      <c r="P14882" s="33">
        <f t="shared" si="928"/>
        <v>0</v>
      </c>
      <c r="Q14882" s="31" t="str">
        <f t="shared" si="929"/>
        <v/>
      </c>
      <c r="R14882" s="32" t="str">
        <f>IFERROR(VLOOKUP($D14882,'Informations sur les produits'!$A$3:$B$15000,2,FALSE),"")</f>
        <v/>
      </c>
      <c r="V14882">
        <f t="shared" si="930"/>
        <v>0</v>
      </c>
      <c r="W14882">
        <f t="shared" si="931"/>
        <v>0</v>
      </c>
    </row>
    <row r="14883" spans="5:23" x14ac:dyDescent="0.25">
      <c r="E14883" s="4"/>
      <c r="F14883" s="4"/>
      <c r="G14883" s="33" t="str">
        <f>IFERROR(VLOOKUP($D14883,'Informations sur les produits'!$A$3:$H$10000,8,FALSE),"0")</f>
        <v>0</v>
      </c>
      <c r="K14883" s="4"/>
      <c r="L14883" s="33" t="str">
        <f>IFERROR(VLOOKUP($J14883,'Informations sur les produits'!$A$3:$H$10000,8,FALSE),"0")</f>
        <v>0</v>
      </c>
      <c r="N14883" s="8"/>
      <c r="O14883" s="33" t="str">
        <f>IFERROR(VLOOKUP($M14883,'Informations sur les produits'!$A$3:$H$10000,8,FALSE),"0")</f>
        <v>0</v>
      </c>
      <c r="P14883" s="33">
        <f t="shared" si="928"/>
        <v>0</v>
      </c>
      <c r="Q14883" s="31" t="str">
        <f t="shared" si="929"/>
        <v/>
      </c>
      <c r="R14883" s="32" t="str">
        <f>IFERROR(VLOOKUP($D14883,'Informations sur les produits'!$A$3:$B$15000,2,FALSE),"")</f>
        <v/>
      </c>
      <c r="V14883">
        <f t="shared" si="930"/>
        <v>0</v>
      </c>
      <c r="W14883">
        <f t="shared" si="931"/>
        <v>0</v>
      </c>
    </row>
    <row r="14884" spans="5:23" x14ac:dyDescent="0.25">
      <c r="E14884" s="4"/>
      <c r="F14884" s="4"/>
      <c r="G14884" s="33" t="str">
        <f>IFERROR(VLOOKUP($D14884,'Informations sur les produits'!$A$3:$H$10000,8,FALSE),"0")</f>
        <v>0</v>
      </c>
      <c r="K14884" s="4"/>
      <c r="L14884" s="33" t="str">
        <f>IFERROR(VLOOKUP($J14884,'Informations sur les produits'!$A$3:$H$10000,8,FALSE),"0")</f>
        <v>0</v>
      </c>
      <c r="N14884" s="8"/>
      <c r="O14884" s="33" t="str">
        <f>IFERROR(VLOOKUP($M14884,'Informations sur les produits'!$A$3:$H$10000,8,FALSE),"0")</f>
        <v>0</v>
      </c>
      <c r="P14884" s="33">
        <f t="shared" si="928"/>
        <v>0</v>
      </c>
      <c r="Q14884" s="31" t="str">
        <f t="shared" si="929"/>
        <v/>
      </c>
      <c r="R14884" s="32" t="str">
        <f>IFERROR(VLOOKUP($D14884,'Informations sur les produits'!$A$3:$B$15000,2,FALSE),"")</f>
        <v/>
      </c>
      <c r="V14884">
        <f t="shared" si="930"/>
        <v>0</v>
      </c>
      <c r="W14884">
        <f t="shared" si="931"/>
        <v>0</v>
      </c>
    </row>
    <row r="14885" spans="5:23" x14ac:dyDescent="0.25">
      <c r="E14885" s="4"/>
      <c r="F14885" s="4"/>
      <c r="G14885" s="33" t="str">
        <f>IFERROR(VLOOKUP($D14885,'Informations sur les produits'!$A$3:$H$10000,8,FALSE),"0")</f>
        <v>0</v>
      </c>
      <c r="K14885" s="4"/>
      <c r="L14885" s="33" t="str">
        <f>IFERROR(VLOOKUP($J14885,'Informations sur les produits'!$A$3:$H$10000,8,FALSE),"0")</f>
        <v>0</v>
      </c>
      <c r="N14885" s="8"/>
      <c r="O14885" s="33" t="str">
        <f>IFERROR(VLOOKUP($M14885,'Informations sur les produits'!$A$3:$H$10000,8,FALSE),"0")</f>
        <v>0</v>
      </c>
      <c r="P14885" s="33">
        <f t="shared" si="928"/>
        <v>0</v>
      </c>
      <c r="Q14885" s="31" t="str">
        <f t="shared" si="929"/>
        <v/>
      </c>
      <c r="R14885" s="32" t="str">
        <f>IFERROR(VLOOKUP($D14885,'Informations sur les produits'!$A$3:$B$15000,2,FALSE),"")</f>
        <v/>
      </c>
      <c r="V14885">
        <f t="shared" si="930"/>
        <v>0</v>
      </c>
      <c r="W14885">
        <f t="shared" si="931"/>
        <v>0</v>
      </c>
    </row>
    <row r="14886" spans="5:23" x14ac:dyDescent="0.25">
      <c r="E14886" s="4"/>
      <c r="F14886" s="4"/>
      <c r="G14886" s="33" t="str">
        <f>IFERROR(VLOOKUP($D14886,'Informations sur les produits'!$A$3:$H$10000,8,FALSE),"0")</f>
        <v>0</v>
      </c>
      <c r="K14886" s="4"/>
      <c r="L14886" s="33" t="str">
        <f>IFERROR(VLOOKUP($J14886,'Informations sur les produits'!$A$3:$H$10000,8,FALSE),"0")</f>
        <v>0</v>
      </c>
      <c r="N14886" s="8"/>
      <c r="O14886" s="33" t="str">
        <f>IFERROR(VLOOKUP($M14886,'Informations sur les produits'!$A$3:$H$10000,8,FALSE),"0")</f>
        <v>0</v>
      </c>
      <c r="P14886" s="33">
        <f t="shared" si="928"/>
        <v>0</v>
      </c>
      <c r="Q14886" s="31" t="str">
        <f t="shared" si="929"/>
        <v/>
      </c>
      <c r="R14886" s="32" t="str">
        <f>IFERROR(VLOOKUP($D14886,'Informations sur les produits'!$A$3:$B$15000,2,FALSE),"")</f>
        <v/>
      </c>
      <c r="V14886">
        <f t="shared" si="930"/>
        <v>0</v>
      </c>
      <c r="W14886">
        <f t="shared" si="931"/>
        <v>0</v>
      </c>
    </row>
    <row r="14887" spans="5:23" x14ac:dyDescent="0.25">
      <c r="E14887" s="4"/>
      <c r="F14887" s="4"/>
      <c r="G14887" s="33" t="str">
        <f>IFERROR(VLOOKUP($D14887,'Informations sur les produits'!$A$3:$H$10000,8,FALSE),"0")</f>
        <v>0</v>
      </c>
      <c r="K14887" s="4"/>
      <c r="L14887" s="33" t="str">
        <f>IFERROR(VLOOKUP($J14887,'Informations sur les produits'!$A$3:$H$10000,8,FALSE),"0")</f>
        <v>0</v>
      </c>
      <c r="N14887" s="8"/>
      <c r="O14887" s="33" t="str">
        <f>IFERROR(VLOOKUP($M14887,'Informations sur les produits'!$A$3:$H$10000,8,FALSE),"0")</f>
        <v>0</v>
      </c>
      <c r="P14887" s="33">
        <f t="shared" si="928"/>
        <v>0</v>
      </c>
      <c r="Q14887" s="31" t="str">
        <f t="shared" si="929"/>
        <v/>
      </c>
      <c r="R14887" s="32" t="str">
        <f>IFERROR(VLOOKUP($D14887,'Informations sur les produits'!$A$3:$B$15000,2,FALSE),"")</f>
        <v/>
      </c>
      <c r="V14887">
        <f t="shared" si="930"/>
        <v>0</v>
      </c>
      <c r="W14887">
        <f t="shared" si="931"/>
        <v>0</v>
      </c>
    </row>
    <row r="14888" spans="5:23" x14ac:dyDescent="0.25">
      <c r="E14888" s="4"/>
      <c r="F14888" s="4"/>
      <c r="G14888" s="33" t="str">
        <f>IFERROR(VLOOKUP($D14888,'Informations sur les produits'!$A$3:$H$10000,8,FALSE),"0")</f>
        <v>0</v>
      </c>
      <c r="K14888" s="4"/>
      <c r="L14888" s="33" t="str">
        <f>IFERROR(VLOOKUP($J14888,'Informations sur les produits'!$A$3:$H$10000,8,FALSE),"0")</f>
        <v>0</v>
      </c>
      <c r="N14888" s="8"/>
      <c r="O14888" s="33" t="str">
        <f>IFERROR(VLOOKUP($M14888,'Informations sur les produits'!$A$3:$H$10000,8,FALSE),"0")</f>
        <v>0</v>
      </c>
      <c r="P14888" s="33">
        <f t="shared" si="928"/>
        <v>0</v>
      </c>
      <c r="Q14888" s="31" t="str">
        <f t="shared" si="929"/>
        <v/>
      </c>
      <c r="R14888" s="32" t="str">
        <f>IFERROR(VLOOKUP($D14888,'Informations sur les produits'!$A$3:$B$15000,2,FALSE),"")</f>
        <v/>
      </c>
      <c r="V14888">
        <f t="shared" si="930"/>
        <v>0</v>
      </c>
      <c r="W14888">
        <f t="shared" si="931"/>
        <v>0</v>
      </c>
    </row>
    <row r="14889" spans="5:23" x14ac:dyDescent="0.25">
      <c r="E14889" s="4"/>
      <c r="F14889" s="4"/>
      <c r="G14889" s="33" t="str">
        <f>IFERROR(VLOOKUP($D14889,'Informations sur les produits'!$A$3:$H$10000,8,FALSE),"0")</f>
        <v>0</v>
      </c>
      <c r="K14889" s="4"/>
      <c r="L14889" s="33" t="str">
        <f>IFERROR(VLOOKUP($J14889,'Informations sur les produits'!$A$3:$H$10000,8,FALSE),"0")</f>
        <v>0</v>
      </c>
      <c r="N14889" s="8"/>
      <c r="O14889" s="33" t="str">
        <f>IFERROR(VLOOKUP($M14889,'Informations sur les produits'!$A$3:$H$10000,8,FALSE),"0")</f>
        <v>0</v>
      </c>
      <c r="P14889" s="33">
        <f t="shared" si="928"/>
        <v>0</v>
      </c>
      <c r="Q14889" s="31" t="str">
        <f t="shared" si="929"/>
        <v/>
      </c>
      <c r="R14889" s="32" t="str">
        <f>IFERROR(VLOOKUP($D14889,'Informations sur les produits'!$A$3:$B$15000,2,FALSE),"")</f>
        <v/>
      </c>
      <c r="V14889">
        <f t="shared" si="930"/>
        <v>0</v>
      </c>
      <c r="W14889">
        <f t="shared" si="931"/>
        <v>0</v>
      </c>
    </row>
    <row r="14890" spans="5:23" x14ac:dyDescent="0.25">
      <c r="E14890" s="4"/>
      <c r="F14890" s="4"/>
      <c r="G14890" s="33" t="str">
        <f>IFERROR(VLOOKUP($D14890,'Informations sur les produits'!$A$3:$H$10000,8,FALSE),"0")</f>
        <v>0</v>
      </c>
      <c r="K14890" s="4"/>
      <c r="L14890" s="33" t="str">
        <f>IFERROR(VLOOKUP($J14890,'Informations sur les produits'!$A$3:$H$10000,8,FALSE),"0")</f>
        <v>0</v>
      </c>
      <c r="N14890" s="8"/>
      <c r="O14890" s="33" t="str">
        <f>IFERROR(VLOOKUP($M14890,'Informations sur les produits'!$A$3:$H$10000,8,FALSE),"0")</f>
        <v>0</v>
      </c>
      <c r="P14890" s="33">
        <f t="shared" si="928"/>
        <v>0</v>
      </c>
      <c r="Q14890" s="31" t="str">
        <f t="shared" si="929"/>
        <v/>
      </c>
      <c r="R14890" s="32" t="str">
        <f>IFERROR(VLOOKUP($D14890,'Informations sur les produits'!$A$3:$B$15000,2,FALSE),"")</f>
        <v/>
      </c>
      <c r="V14890">
        <f t="shared" si="930"/>
        <v>0</v>
      </c>
      <c r="W14890">
        <f t="shared" si="931"/>
        <v>0</v>
      </c>
    </row>
    <row r="14891" spans="5:23" x14ac:dyDescent="0.25">
      <c r="E14891" s="4"/>
      <c r="F14891" s="4"/>
      <c r="G14891" s="33" t="str">
        <f>IFERROR(VLOOKUP($D14891,'Informations sur les produits'!$A$3:$H$10000,8,FALSE),"0")</f>
        <v>0</v>
      </c>
      <c r="K14891" s="4"/>
      <c r="L14891" s="33" t="str">
        <f>IFERROR(VLOOKUP($J14891,'Informations sur les produits'!$A$3:$H$10000,8,FALSE),"0")</f>
        <v>0</v>
      </c>
      <c r="N14891" s="8"/>
      <c r="O14891" s="33" t="str">
        <f>IFERROR(VLOOKUP($M14891,'Informations sur les produits'!$A$3:$H$10000,8,FALSE),"0")</f>
        <v>0</v>
      </c>
      <c r="P14891" s="33">
        <f t="shared" si="928"/>
        <v>0</v>
      </c>
      <c r="Q14891" s="31" t="str">
        <f t="shared" si="929"/>
        <v/>
      </c>
      <c r="R14891" s="32" t="str">
        <f>IFERROR(VLOOKUP($D14891,'Informations sur les produits'!$A$3:$B$15000,2,FALSE),"")</f>
        <v/>
      </c>
      <c r="V14891">
        <f t="shared" si="930"/>
        <v>0</v>
      </c>
      <c r="W14891">
        <f t="shared" si="931"/>
        <v>0</v>
      </c>
    </row>
    <row r="14892" spans="5:23" x14ac:dyDescent="0.25">
      <c r="E14892" s="4"/>
      <c r="F14892" s="4"/>
      <c r="G14892" s="33" t="str">
        <f>IFERROR(VLOOKUP($D14892,'Informations sur les produits'!$A$3:$H$10000,8,FALSE),"0")</f>
        <v>0</v>
      </c>
      <c r="K14892" s="4"/>
      <c r="L14892" s="33" t="str">
        <f>IFERROR(VLOOKUP($J14892,'Informations sur les produits'!$A$3:$H$10000,8,FALSE),"0")</f>
        <v>0</v>
      </c>
      <c r="N14892" s="8"/>
      <c r="O14892" s="33" t="str">
        <f>IFERROR(VLOOKUP($M14892,'Informations sur les produits'!$A$3:$H$10000,8,FALSE),"0")</f>
        <v>0</v>
      </c>
      <c r="P14892" s="33">
        <f t="shared" si="928"/>
        <v>0</v>
      </c>
      <c r="Q14892" s="31" t="str">
        <f t="shared" si="929"/>
        <v/>
      </c>
      <c r="R14892" s="32" t="str">
        <f>IFERROR(VLOOKUP($D14892,'Informations sur les produits'!$A$3:$B$15000,2,FALSE),"")</f>
        <v/>
      </c>
      <c r="V14892">
        <f t="shared" si="930"/>
        <v>0</v>
      </c>
      <c r="W14892">
        <f t="shared" si="931"/>
        <v>0</v>
      </c>
    </row>
    <row r="14893" spans="5:23" x14ac:dyDescent="0.25">
      <c r="E14893" s="4"/>
      <c r="F14893" s="4"/>
      <c r="G14893" s="33" t="str">
        <f>IFERROR(VLOOKUP($D14893,'Informations sur les produits'!$A$3:$H$10000,8,FALSE),"0")</f>
        <v>0</v>
      </c>
      <c r="K14893" s="4"/>
      <c r="L14893" s="33" t="str">
        <f>IFERROR(VLOOKUP($J14893,'Informations sur les produits'!$A$3:$H$10000,8,FALSE),"0")</f>
        <v>0</v>
      </c>
      <c r="N14893" s="8"/>
      <c r="O14893" s="33" t="str">
        <f>IFERROR(VLOOKUP($M14893,'Informations sur les produits'!$A$3:$H$10000,8,FALSE),"0")</f>
        <v>0</v>
      </c>
      <c r="P14893" s="33">
        <f t="shared" si="928"/>
        <v>0</v>
      </c>
      <c r="Q14893" s="31" t="str">
        <f t="shared" si="929"/>
        <v/>
      </c>
      <c r="R14893" s="32" t="str">
        <f>IFERROR(VLOOKUP($D14893,'Informations sur les produits'!$A$3:$B$15000,2,FALSE),"")</f>
        <v/>
      </c>
      <c r="V14893">
        <f t="shared" si="930"/>
        <v>0</v>
      </c>
      <c r="W14893">
        <f t="shared" si="931"/>
        <v>0</v>
      </c>
    </row>
    <row r="14894" spans="5:23" x14ac:dyDescent="0.25">
      <c r="E14894" s="4"/>
      <c r="F14894" s="4"/>
      <c r="G14894" s="33" t="str">
        <f>IFERROR(VLOOKUP($D14894,'Informations sur les produits'!$A$3:$H$10000,8,FALSE),"0")</f>
        <v>0</v>
      </c>
      <c r="K14894" s="4"/>
      <c r="L14894" s="33" t="str">
        <f>IFERROR(VLOOKUP($J14894,'Informations sur les produits'!$A$3:$H$10000,8,FALSE),"0")</f>
        <v>0</v>
      </c>
      <c r="N14894" s="8"/>
      <c r="O14894" s="33" t="str">
        <f>IFERROR(VLOOKUP($M14894,'Informations sur les produits'!$A$3:$H$10000,8,FALSE),"0")</f>
        <v>0</v>
      </c>
      <c r="P14894" s="33">
        <f t="shared" si="928"/>
        <v>0</v>
      </c>
      <c r="Q14894" s="31" t="str">
        <f t="shared" si="929"/>
        <v/>
      </c>
      <c r="R14894" s="32" t="str">
        <f>IFERROR(VLOOKUP($D14894,'Informations sur les produits'!$A$3:$B$15000,2,FALSE),"")</f>
        <v/>
      </c>
      <c r="V14894">
        <f t="shared" si="930"/>
        <v>0</v>
      </c>
      <c r="W14894">
        <f t="shared" si="931"/>
        <v>0</v>
      </c>
    </row>
    <row r="14895" spans="5:23" x14ac:dyDescent="0.25">
      <c r="E14895" s="4"/>
      <c r="F14895" s="4"/>
      <c r="G14895" s="33" t="str">
        <f>IFERROR(VLOOKUP($D14895,'Informations sur les produits'!$A$3:$H$10000,8,FALSE),"0")</f>
        <v>0</v>
      </c>
      <c r="K14895" s="4"/>
      <c r="L14895" s="33" t="str">
        <f>IFERROR(VLOOKUP($J14895,'Informations sur les produits'!$A$3:$H$10000,8,FALSE),"0")</f>
        <v>0</v>
      </c>
      <c r="N14895" s="8"/>
      <c r="O14895" s="33" t="str">
        <f>IFERROR(VLOOKUP($M14895,'Informations sur les produits'!$A$3:$H$10000,8,FALSE),"0")</f>
        <v>0</v>
      </c>
      <c r="P14895" s="33">
        <f t="shared" si="928"/>
        <v>0</v>
      </c>
      <c r="Q14895" s="31" t="str">
        <f t="shared" si="929"/>
        <v/>
      </c>
      <c r="R14895" s="32" t="str">
        <f>IFERROR(VLOOKUP($D14895,'Informations sur les produits'!$A$3:$B$15000,2,FALSE),"")</f>
        <v/>
      </c>
      <c r="V14895">
        <f t="shared" si="930"/>
        <v>0</v>
      </c>
      <c r="W14895">
        <f t="shared" si="931"/>
        <v>0</v>
      </c>
    </row>
    <row r="14896" spans="5:23" x14ac:dyDescent="0.25">
      <c r="E14896" s="4"/>
      <c r="F14896" s="4"/>
      <c r="G14896" s="33" t="str">
        <f>IFERROR(VLOOKUP($D14896,'Informations sur les produits'!$A$3:$H$10000,8,FALSE),"0")</f>
        <v>0</v>
      </c>
      <c r="K14896" s="4"/>
      <c r="L14896" s="33" t="str">
        <f>IFERROR(VLOOKUP($J14896,'Informations sur les produits'!$A$3:$H$10000,8,FALSE),"0")</f>
        <v>0</v>
      </c>
      <c r="N14896" s="8"/>
      <c r="O14896" s="33" t="str">
        <f>IFERROR(VLOOKUP($M14896,'Informations sur les produits'!$A$3:$H$10000,8,FALSE),"0")</f>
        <v>0</v>
      </c>
      <c r="P14896" s="33">
        <f t="shared" si="928"/>
        <v>0</v>
      </c>
      <c r="Q14896" s="31" t="str">
        <f t="shared" si="929"/>
        <v/>
      </c>
      <c r="R14896" s="32" t="str">
        <f>IFERROR(VLOOKUP($D14896,'Informations sur les produits'!$A$3:$B$15000,2,FALSE),"")</f>
        <v/>
      </c>
      <c r="V14896">
        <f t="shared" si="930"/>
        <v>0</v>
      </c>
      <c r="W14896">
        <f t="shared" si="931"/>
        <v>0</v>
      </c>
    </row>
    <row r="14897" spans="5:23" x14ac:dyDescent="0.25">
      <c r="E14897" s="4"/>
      <c r="F14897" s="4"/>
      <c r="G14897" s="33" t="str">
        <f>IFERROR(VLOOKUP($D14897,'Informations sur les produits'!$A$3:$H$10000,8,FALSE),"0")</f>
        <v>0</v>
      </c>
      <c r="K14897" s="4"/>
      <c r="L14897" s="33" t="str">
        <f>IFERROR(VLOOKUP($J14897,'Informations sur les produits'!$A$3:$H$10000,8,FALSE),"0")</f>
        <v>0</v>
      </c>
      <c r="N14897" s="8"/>
      <c r="O14897" s="33" t="str">
        <f>IFERROR(VLOOKUP($M14897,'Informations sur les produits'!$A$3:$H$10000,8,FALSE),"0")</f>
        <v>0</v>
      </c>
      <c r="P14897" s="33">
        <f t="shared" si="928"/>
        <v>0</v>
      </c>
      <c r="Q14897" s="31" t="str">
        <f t="shared" si="929"/>
        <v/>
      </c>
      <c r="R14897" s="32" t="str">
        <f>IFERROR(VLOOKUP($D14897,'Informations sur les produits'!$A$3:$B$15000,2,FALSE),"")</f>
        <v/>
      </c>
      <c r="V14897">
        <f t="shared" si="930"/>
        <v>0</v>
      </c>
      <c r="W14897">
        <f t="shared" si="931"/>
        <v>0</v>
      </c>
    </row>
    <row r="14898" spans="5:23" x14ac:dyDescent="0.25">
      <c r="E14898" s="4"/>
      <c r="F14898" s="4"/>
      <c r="G14898" s="33" t="str">
        <f>IFERROR(VLOOKUP($D14898,'Informations sur les produits'!$A$3:$H$10000,8,FALSE),"0")</f>
        <v>0</v>
      </c>
      <c r="K14898" s="4"/>
      <c r="L14898" s="33" t="str">
        <f>IFERROR(VLOOKUP($J14898,'Informations sur les produits'!$A$3:$H$10000,8,FALSE),"0")</f>
        <v>0</v>
      </c>
      <c r="N14898" s="8"/>
      <c r="O14898" s="33" t="str">
        <f>IFERROR(VLOOKUP($M14898,'Informations sur les produits'!$A$3:$H$10000,8,FALSE),"0")</f>
        <v>0</v>
      </c>
      <c r="P14898" s="33">
        <f t="shared" si="928"/>
        <v>0</v>
      </c>
      <c r="Q14898" s="31" t="str">
        <f t="shared" si="929"/>
        <v/>
      </c>
      <c r="R14898" s="32" t="str">
        <f>IFERROR(VLOOKUP($D14898,'Informations sur les produits'!$A$3:$B$15000,2,FALSE),"")</f>
        <v/>
      </c>
      <c r="V14898">
        <f t="shared" si="930"/>
        <v>0</v>
      </c>
      <c r="W14898">
        <f t="shared" si="931"/>
        <v>0</v>
      </c>
    </row>
    <row r="14899" spans="5:23" x14ac:dyDescent="0.25">
      <c r="E14899" s="4"/>
      <c r="F14899" s="4"/>
      <c r="G14899" s="33" t="str">
        <f>IFERROR(VLOOKUP($D14899,'Informations sur les produits'!$A$3:$H$10000,8,FALSE),"0")</f>
        <v>0</v>
      </c>
      <c r="K14899" s="4"/>
      <c r="L14899" s="33" t="str">
        <f>IFERROR(VLOOKUP($J14899,'Informations sur les produits'!$A$3:$H$10000,8,FALSE),"0")</f>
        <v>0</v>
      </c>
      <c r="N14899" s="8"/>
      <c r="O14899" s="33" t="str">
        <f>IFERROR(VLOOKUP($M14899,'Informations sur les produits'!$A$3:$H$10000,8,FALSE),"0")</f>
        <v>0</v>
      </c>
      <c r="P14899" s="33">
        <f t="shared" si="928"/>
        <v>0</v>
      </c>
      <c r="Q14899" s="31" t="str">
        <f t="shared" si="929"/>
        <v/>
      </c>
      <c r="R14899" s="32" t="str">
        <f>IFERROR(VLOOKUP($D14899,'Informations sur les produits'!$A$3:$B$15000,2,FALSE),"")</f>
        <v/>
      </c>
      <c r="V14899">
        <f t="shared" si="930"/>
        <v>0</v>
      </c>
      <c r="W14899">
        <f t="shared" si="931"/>
        <v>0</v>
      </c>
    </row>
    <row r="14900" spans="5:23" x14ac:dyDescent="0.25">
      <c r="E14900" s="4"/>
      <c r="F14900" s="4"/>
      <c r="G14900" s="33" t="str">
        <f>IFERROR(VLOOKUP($D14900,'Informations sur les produits'!$A$3:$H$10000,8,FALSE),"0")</f>
        <v>0</v>
      </c>
      <c r="K14900" s="4"/>
      <c r="L14900" s="33" t="str">
        <f>IFERROR(VLOOKUP($J14900,'Informations sur les produits'!$A$3:$H$10000,8,FALSE),"0")</f>
        <v>0</v>
      </c>
      <c r="N14900" s="8"/>
      <c r="O14900" s="33" t="str">
        <f>IFERROR(VLOOKUP($M14900,'Informations sur les produits'!$A$3:$H$10000,8,FALSE),"0")</f>
        <v>0</v>
      </c>
      <c r="P14900" s="33">
        <f t="shared" si="928"/>
        <v>0</v>
      </c>
      <c r="Q14900" s="31" t="str">
        <f t="shared" si="929"/>
        <v/>
      </c>
      <c r="R14900" s="32" t="str">
        <f>IFERROR(VLOOKUP($D14900,'Informations sur les produits'!$A$3:$B$15000,2,FALSE),"")</f>
        <v/>
      </c>
      <c r="V14900">
        <f t="shared" si="930"/>
        <v>0</v>
      </c>
      <c r="W14900">
        <f t="shared" si="931"/>
        <v>0</v>
      </c>
    </row>
    <row r="14901" spans="5:23" x14ac:dyDescent="0.25">
      <c r="E14901" s="4"/>
      <c r="F14901" s="4"/>
      <c r="G14901" s="33" t="str">
        <f>IFERROR(VLOOKUP($D14901,'Informations sur les produits'!$A$3:$H$10000,8,FALSE),"0")</f>
        <v>0</v>
      </c>
      <c r="K14901" s="4"/>
      <c r="L14901" s="33" t="str">
        <f>IFERROR(VLOOKUP($J14901,'Informations sur les produits'!$A$3:$H$10000,8,FALSE),"0")</f>
        <v>0</v>
      </c>
      <c r="N14901" s="8"/>
      <c r="O14901" s="33" t="str">
        <f>IFERROR(VLOOKUP($M14901,'Informations sur les produits'!$A$3:$H$10000,8,FALSE),"0")</f>
        <v>0</v>
      </c>
      <c r="P14901" s="33">
        <f t="shared" si="928"/>
        <v>0</v>
      </c>
      <c r="Q14901" s="31" t="str">
        <f t="shared" si="929"/>
        <v/>
      </c>
      <c r="R14901" s="32" t="str">
        <f>IFERROR(VLOOKUP($D14901,'Informations sur les produits'!$A$3:$B$15000,2,FALSE),"")</f>
        <v/>
      </c>
      <c r="V14901">
        <f t="shared" si="930"/>
        <v>0</v>
      </c>
      <c r="W14901">
        <f t="shared" si="931"/>
        <v>0</v>
      </c>
    </row>
    <row r="14902" spans="5:23" x14ac:dyDescent="0.25">
      <c r="E14902" s="4"/>
      <c r="F14902" s="4"/>
      <c r="G14902" s="33" t="str">
        <f>IFERROR(VLOOKUP($D14902,'Informations sur les produits'!$A$3:$H$10000,8,FALSE),"0")</f>
        <v>0</v>
      </c>
      <c r="K14902" s="4"/>
      <c r="L14902" s="33" t="str">
        <f>IFERROR(VLOOKUP($J14902,'Informations sur les produits'!$A$3:$H$10000,8,FALSE),"0")</f>
        <v>0</v>
      </c>
      <c r="N14902" s="8"/>
      <c r="O14902" s="33" t="str">
        <f>IFERROR(VLOOKUP($M14902,'Informations sur les produits'!$A$3:$H$10000,8,FALSE),"0")</f>
        <v>0</v>
      </c>
      <c r="P14902" s="33">
        <f t="shared" si="928"/>
        <v>0</v>
      </c>
      <c r="Q14902" s="31" t="str">
        <f t="shared" si="929"/>
        <v/>
      </c>
      <c r="R14902" s="32" t="str">
        <f>IFERROR(VLOOKUP($D14902,'Informations sur les produits'!$A$3:$B$15000,2,FALSE),"")</f>
        <v/>
      </c>
      <c r="V14902">
        <f t="shared" si="930"/>
        <v>0</v>
      </c>
      <c r="W14902">
        <f t="shared" si="931"/>
        <v>0</v>
      </c>
    </row>
    <row r="14903" spans="5:23" x14ac:dyDescent="0.25">
      <c r="E14903" s="4"/>
      <c r="F14903" s="4"/>
      <c r="G14903" s="33" t="str">
        <f>IFERROR(VLOOKUP($D14903,'Informations sur les produits'!$A$3:$H$10000,8,FALSE),"0")</f>
        <v>0</v>
      </c>
      <c r="K14903" s="4"/>
      <c r="L14903" s="33" t="str">
        <f>IFERROR(VLOOKUP($J14903,'Informations sur les produits'!$A$3:$H$10000,8,FALSE),"0")</f>
        <v>0</v>
      </c>
      <c r="N14903" s="8"/>
      <c r="O14903" s="33" t="str">
        <f>IFERROR(VLOOKUP($M14903,'Informations sur les produits'!$A$3:$H$10000,8,FALSE),"0")</f>
        <v>0</v>
      </c>
      <c r="P14903" s="33">
        <f t="shared" si="928"/>
        <v>0</v>
      </c>
      <c r="Q14903" s="31" t="str">
        <f t="shared" si="929"/>
        <v/>
      </c>
      <c r="R14903" s="32" t="str">
        <f>IFERROR(VLOOKUP($D14903,'Informations sur les produits'!$A$3:$B$15000,2,FALSE),"")</f>
        <v/>
      </c>
      <c r="V14903">
        <f t="shared" si="930"/>
        <v>0</v>
      </c>
      <c r="W14903">
        <f t="shared" si="931"/>
        <v>0</v>
      </c>
    </row>
    <row r="14904" spans="5:23" x14ac:dyDescent="0.25">
      <c r="E14904" s="4"/>
      <c r="F14904" s="4"/>
      <c r="G14904" s="33" t="str">
        <f>IFERROR(VLOOKUP($D14904,'Informations sur les produits'!$A$3:$H$10000,8,FALSE),"0")</f>
        <v>0</v>
      </c>
      <c r="K14904" s="4"/>
      <c r="L14904" s="33" t="str">
        <f>IFERROR(VLOOKUP($J14904,'Informations sur les produits'!$A$3:$H$10000,8,FALSE),"0")</f>
        <v>0</v>
      </c>
      <c r="N14904" s="8"/>
      <c r="O14904" s="33" t="str">
        <f>IFERROR(VLOOKUP($M14904,'Informations sur les produits'!$A$3:$H$10000,8,FALSE),"0")</f>
        <v>0</v>
      </c>
      <c r="P14904" s="33">
        <f t="shared" si="928"/>
        <v>0</v>
      </c>
      <c r="Q14904" s="31" t="str">
        <f t="shared" si="929"/>
        <v/>
      </c>
      <c r="R14904" s="32" t="str">
        <f>IFERROR(VLOOKUP($D14904,'Informations sur les produits'!$A$3:$B$15000,2,FALSE),"")</f>
        <v/>
      </c>
      <c r="V14904">
        <f t="shared" si="930"/>
        <v>0</v>
      </c>
      <c r="W14904">
        <f t="shared" si="931"/>
        <v>0</v>
      </c>
    </row>
    <row r="14905" spans="5:23" x14ac:dyDescent="0.25">
      <c r="E14905" s="4"/>
      <c r="F14905" s="4"/>
      <c r="G14905" s="33" t="str">
        <f>IFERROR(VLOOKUP($D14905,'Informations sur les produits'!$A$3:$H$10000,8,FALSE),"0")</f>
        <v>0</v>
      </c>
      <c r="K14905" s="4"/>
      <c r="L14905" s="33" t="str">
        <f>IFERROR(VLOOKUP($J14905,'Informations sur les produits'!$A$3:$H$10000,8,FALSE),"0")</f>
        <v>0</v>
      </c>
      <c r="N14905" s="8"/>
      <c r="O14905" s="33" t="str">
        <f>IFERROR(VLOOKUP($M14905,'Informations sur les produits'!$A$3:$H$10000,8,FALSE),"0")</f>
        <v>0</v>
      </c>
      <c r="P14905" s="33">
        <f t="shared" si="928"/>
        <v>0</v>
      </c>
      <c r="Q14905" s="31" t="str">
        <f t="shared" si="929"/>
        <v/>
      </c>
      <c r="R14905" s="32" t="str">
        <f>IFERROR(VLOOKUP($D14905,'Informations sur les produits'!$A$3:$B$15000,2,FALSE),"")</f>
        <v/>
      </c>
      <c r="V14905">
        <f t="shared" si="930"/>
        <v>0</v>
      </c>
      <c r="W14905">
        <f t="shared" si="931"/>
        <v>0</v>
      </c>
    </row>
    <row r="14906" spans="5:23" x14ac:dyDescent="0.25">
      <c r="E14906" s="4"/>
      <c r="F14906" s="4"/>
      <c r="G14906" s="33" t="str">
        <f>IFERROR(VLOOKUP($D14906,'Informations sur les produits'!$A$3:$H$10000,8,FALSE),"0")</f>
        <v>0</v>
      </c>
      <c r="K14906" s="4"/>
      <c r="L14906" s="33" t="str">
        <f>IFERROR(VLOOKUP($J14906,'Informations sur les produits'!$A$3:$H$10000,8,FALSE),"0")</f>
        <v>0</v>
      </c>
      <c r="N14906" s="8"/>
      <c r="O14906" s="33" t="str">
        <f>IFERROR(VLOOKUP($M14906,'Informations sur les produits'!$A$3:$H$10000,8,FALSE),"0")</f>
        <v>0</v>
      </c>
      <c r="P14906" s="33">
        <f t="shared" si="928"/>
        <v>0</v>
      </c>
      <c r="Q14906" s="31" t="str">
        <f t="shared" si="929"/>
        <v/>
      </c>
      <c r="R14906" s="32" t="str">
        <f>IFERROR(VLOOKUP($D14906,'Informations sur les produits'!$A$3:$B$15000,2,FALSE),"")</f>
        <v/>
      </c>
      <c r="V14906">
        <f t="shared" si="930"/>
        <v>0</v>
      </c>
      <c r="W14906">
        <f t="shared" si="931"/>
        <v>0</v>
      </c>
    </row>
    <row r="14907" spans="5:23" x14ac:dyDescent="0.25">
      <c r="E14907" s="4"/>
      <c r="F14907" s="4"/>
      <c r="G14907" s="33" t="str">
        <f>IFERROR(VLOOKUP($D14907,'Informations sur les produits'!$A$3:$H$10000,8,FALSE),"0")</f>
        <v>0</v>
      </c>
      <c r="K14907" s="4"/>
      <c r="L14907" s="33" t="str">
        <f>IFERROR(VLOOKUP($J14907,'Informations sur les produits'!$A$3:$H$10000,8,FALSE),"0")</f>
        <v>0</v>
      </c>
      <c r="N14907" s="8"/>
      <c r="O14907" s="33" t="str">
        <f>IFERROR(VLOOKUP($M14907,'Informations sur les produits'!$A$3:$H$10000,8,FALSE),"0")</f>
        <v>0</v>
      </c>
      <c r="P14907" s="33">
        <f t="shared" si="928"/>
        <v>0</v>
      </c>
      <c r="Q14907" s="31" t="str">
        <f t="shared" si="929"/>
        <v/>
      </c>
      <c r="R14907" s="32" t="str">
        <f>IFERROR(VLOOKUP($D14907,'Informations sur les produits'!$A$3:$B$15000,2,FALSE),"")</f>
        <v/>
      </c>
      <c r="V14907">
        <f t="shared" si="930"/>
        <v>0</v>
      </c>
      <c r="W14907">
        <f t="shared" si="931"/>
        <v>0</v>
      </c>
    </row>
    <row r="14908" spans="5:23" x14ac:dyDescent="0.25">
      <c r="E14908" s="4"/>
      <c r="F14908" s="4"/>
      <c r="G14908" s="33" t="str">
        <f>IFERROR(VLOOKUP($D14908,'Informations sur les produits'!$A$3:$H$10000,8,FALSE),"0")</f>
        <v>0</v>
      </c>
      <c r="K14908" s="4"/>
      <c r="L14908" s="33" t="str">
        <f>IFERROR(VLOOKUP($J14908,'Informations sur les produits'!$A$3:$H$10000,8,FALSE),"0")</f>
        <v>0</v>
      </c>
      <c r="N14908" s="8"/>
      <c r="O14908" s="33" t="str">
        <f>IFERROR(VLOOKUP($M14908,'Informations sur les produits'!$A$3:$H$10000,8,FALSE),"0")</f>
        <v>0</v>
      </c>
      <c r="P14908" s="33">
        <f t="shared" si="928"/>
        <v>0</v>
      </c>
      <c r="Q14908" s="31" t="str">
        <f t="shared" si="929"/>
        <v/>
      </c>
      <c r="R14908" s="32" t="str">
        <f>IFERROR(VLOOKUP($D14908,'Informations sur les produits'!$A$3:$B$15000,2,FALSE),"")</f>
        <v/>
      </c>
      <c r="V14908">
        <f t="shared" si="930"/>
        <v>0</v>
      </c>
      <c r="W14908">
        <f t="shared" si="931"/>
        <v>0</v>
      </c>
    </row>
    <row r="14909" spans="5:23" x14ac:dyDescent="0.25">
      <c r="E14909" s="4"/>
      <c r="F14909" s="4"/>
      <c r="G14909" s="33" t="str">
        <f>IFERROR(VLOOKUP($D14909,'Informations sur les produits'!$A$3:$H$10000,8,FALSE),"0")</f>
        <v>0</v>
      </c>
      <c r="K14909" s="4"/>
      <c r="L14909" s="33" t="str">
        <f>IFERROR(VLOOKUP($J14909,'Informations sur les produits'!$A$3:$H$10000,8,FALSE),"0")</f>
        <v>0</v>
      </c>
      <c r="N14909" s="8"/>
      <c r="O14909" s="33" t="str">
        <f>IFERROR(VLOOKUP($M14909,'Informations sur les produits'!$A$3:$H$10000,8,FALSE),"0")</f>
        <v>0</v>
      </c>
      <c r="P14909" s="33">
        <f t="shared" si="928"/>
        <v>0</v>
      </c>
      <c r="Q14909" s="31" t="str">
        <f t="shared" si="929"/>
        <v/>
      </c>
      <c r="R14909" s="32" t="str">
        <f>IFERROR(VLOOKUP($D14909,'Informations sur les produits'!$A$3:$B$15000,2,FALSE),"")</f>
        <v/>
      </c>
      <c r="V14909">
        <f t="shared" si="930"/>
        <v>0</v>
      </c>
      <c r="W14909">
        <f t="shared" si="931"/>
        <v>0</v>
      </c>
    </row>
    <row r="14910" spans="5:23" x14ac:dyDescent="0.25">
      <c r="E14910" s="4"/>
      <c r="F14910" s="4"/>
      <c r="G14910" s="33" t="str">
        <f>IFERROR(VLOOKUP($D14910,'Informations sur les produits'!$A$3:$H$10000,8,FALSE),"0")</f>
        <v>0</v>
      </c>
      <c r="K14910" s="4"/>
      <c r="L14910" s="33" t="str">
        <f>IFERROR(VLOOKUP($J14910,'Informations sur les produits'!$A$3:$H$10000,8,FALSE),"0")</f>
        <v>0</v>
      </c>
      <c r="N14910" s="8"/>
      <c r="O14910" s="33" t="str">
        <f>IFERROR(VLOOKUP($M14910,'Informations sur les produits'!$A$3:$H$10000,8,FALSE),"0")</f>
        <v>0</v>
      </c>
      <c r="P14910" s="33">
        <f t="shared" si="928"/>
        <v>0</v>
      </c>
      <c r="Q14910" s="31" t="str">
        <f t="shared" si="929"/>
        <v/>
      </c>
      <c r="R14910" s="32" t="str">
        <f>IFERROR(VLOOKUP($D14910,'Informations sur les produits'!$A$3:$B$15000,2,FALSE),"")</f>
        <v/>
      </c>
      <c r="V14910">
        <f t="shared" si="930"/>
        <v>0</v>
      </c>
      <c r="W14910">
        <f t="shared" si="931"/>
        <v>0</v>
      </c>
    </row>
    <row r="14911" spans="5:23" x14ac:dyDescent="0.25">
      <c r="E14911" s="4"/>
      <c r="F14911" s="4"/>
      <c r="G14911" s="33" t="str">
        <f>IFERROR(VLOOKUP($D14911,'Informations sur les produits'!$A$3:$H$10000,8,FALSE),"0")</f>
        <v>0</v>
      </c>
      <c r="K14911" s="4"/>
      <c r="L14911" s="33" t="str">
        <f>IFERROR(VLOOKUP($J14911,'Informations sur les produits'!$A$3:$H$10000,8,FALSE),"0")</f>
        <v>0</v>
      </c>
      <c r="N14911" s="8"/>
      <c r="O14911" s="33" t="str">
        <f>IFERROR(VLOOKUP($M14911,'Informations sur les produits'!$A$3:$H$10000,8,FALSE),"0")</f>
        <v>0</v>
      </c>
      <c r="P14911" s="33">
        <f t="shared" si="928"/>
        <v>0</v>
      </c>
      <c r="Q14911" s="31" t="str">
        <f t="shared" si="929"/>
        <v/>
      </c>
      <c r="R14911" s="32" t="str">
        <f>IFERROR(VLOOKUP($D14911,'Informations sur les produits'!$A$3:$B$15000,2,FALSE),"")</f>
        <v/>
      </c>
      <c r="V14911">
        <f t="shared" si="930"/>
        <v>0</v>
      </c>
      <c r="W14911">
        <f t="shared" si="931"/>
        <v>0</v>
      </c>
    </row>
    <row r="14912" spans="5:23" x14ac:dyDescent="0.25">
      <c r="E14912" s="4"/>
      <c r="F14912" s="4"/>
      <c r="G14912" s="33" t="str">
        <f>IFERROR(VLOOKUP($D14912,'Informations sur les produits'!$A$3:$H$10000,8,FALSE),"0")</f>
        <v>0</v>
      </c>
      <c r="K14912" s="4"/>
      <c r="L14912" s="33" t="str">
        <f>IFERROR(VLOOKUP($J14912,'Informations sur les produits'!$A$3:$H$10000,8,FALSE),"0")</f>
        <v>0</v>
      </c>
      <c r="N14912" s="8"/>
      <c r="O14912" s="33" t="str">
        <f>IFERROR(VLOOKUP($M14912,'Informations sur les produits'!$A$3:$H$10000,8,FALSE),"0")</f>
        <v>0</v>
      </c>
      <c r="P14912" s="33">
        <f t="shared" si="928"/>
        <v>0</v>
      </c>
      <c r="Q14912" s="31" t="str">
        <f t="shared" si="929"/>
        <v/>
      </c>
      <c r="R14912" s="32" t="str">
        <f>IFERROR(VLOOKUP($D14912,'Informations sur les produits'!$A$3:$B$15000,2,FALSE),"")</f>
        <v/>
      </c>
      <c r="V14912">
        <f t="shared" si="930"/>
        <v>0</v>
      </c>
      <c r="W14912">
        <f t="shared" si="931"/>
        <v>0</v>
      </c>
    </row>
    <row r="14913" spans="5:23" x14ac:dyDescent="0.25">
      <c r="E14913" s="4"/>
      <c r="F14913" s="4"/>
      <c r="G14913" s="33" t="str">
        <f>IFERROR(VLOOKUP($D14913,'Informations sur les produits'!$A$3:$H$10000,8,FALSE),"0")</f>
        <v>0</v>
      </c>
      <c r="K14913" s="4"/>
      <c r="L14913" s="33" t="str">
        <f>IFERROR(VLOOKUP($J14913,'Informations sur les produits'!$A$3:$H$10000,8,FALSE),"0")</f>
        <v>0</v>
      </c>
      <c r="N14913" s="8"/>
      <c r="O14913" s="33" t="str">
        <f>IFERROR(VLOOKUP($M14913,'Informations sur les produits'!$A$3:$H$10000,8,FALSE),"0")</f>
        <v>0</v>
      </c>
      <c r="P14913" s="33">
        <f t="shared" si="928"/>
        <v>0</v>
      </c>
      <c r="Q14913" s="31" t="str">
        <f t="shared" si="929"/>
        <v/>
      </c>
      <c r="R14913" s="32" t="str">
        <f>IFERROR(VLOOKUP($D14913,'Informations sur les produits'!$A$3:$B$15000,2,FALSE),"")</f>
        <v/>
      </c>
      <c r="V14913">
        <f t="shared" si="930"/>
        <v>0</v>
      </c>
      <c r="W14913">
        <f t="shared" si="931"/>
        <v>0</v>
      </c>
    </row>
    <row r="14914" spans="5:23" x14ac:dyDescent="0.25">
      <c r="E14914" s="4"/>
      <c r="F14914" s="4"/>
      <c r="G14914" s="33" t="str">
        <f>IFERROR(VLOOKUP($D14914,'Informations sur les produits'!$A$3:$H$10000,8,FALSE),"0")</f>
        <v>0</v>
      </c>
      <c r="K14914" s="4"/>
      <c r="L14914" s="33" t="str">
        <f>IFERROR(VLOOKUP($J14914,'Informations sur les produits'!$A$3:$H$10000,8,FALSE),"0")</f>
        <v>0</v>
      </c>
      <c r="N14914" s="8"/>
      <c r="O14914" s="33" t="str">
        <f>IFERROR(VLOOKUP($M14914,'Informations sur les produits'!$A$3:$H$10000,8,FALSE),"0")</f>
        <v>0</v>
      </c>
      <c r="P14914" s="33">
        <f t="shared" si="928"/>
        <v>0</v>
      </c>
      <c r="Q14914" s="31" t="str">
        <f t="shared" si="929"/>
        <v/>
      </c>
      <c r="R14914" s="32" t="str">
        <f>IFERROR(VLOOKUP($D14914,'Informations sur les produits'!$A$3:$B$15000,2,FALSE),"")</f>
        <v/>
      </c>
      <c r="V14914">
        <f t="shared" si="930"/>
        <v>0</v>
      </c>
      <c r="W14914">
        <f t="shared" si="931"/>
        <v>0</v>
      </c>
    </row>
    <row r="14915" spans="5:23" x14ac:dyDescent="0.25">
      <c r="E14915" s="4"/>
      <c r="F14915" s="4"/>
      <c r="G14915" s="33" t="str">
        <f>IFERROR(VLOOKUP($D14915,'Informations sur les produits'!$A$3:$H$10000,8,FALSE),"0")</f>
        <v>0</v>
      </c>
      <c r="K14915" s="4"/>
      <c r="L14915" s="33" t="str">
        <f>IFERROR(VLOOKUP($J14915,'Informations sur les produits'!$A$3:$H$10000,8,FALSE),"0")</f>
        <v>0</v>
      </c>
      <c r="N14915" s="8"/>
      <c r="O14915" s="33" t="str">
        <f>IFERROR(VLOOKUP($M14915,'Informations sur les produits'!$A$3:$H$10000,8,FALSE),"0")</f>
        <v>0</v>
      </c>
      <c r="P14915" s="33">
        <f t="shared" si="928"/>
        <v>0</v>
      </c>
      <c r="Q14915" s="31" t="str">
        <f t="shared" si="929"/>
        <v/>
      </c>
      <c r="R14915" s="32" t="str">
        <f>IFERROR(VLOOKUP($D14915,'Informations sur les produits'!$A$3:$B$15000,2,FALSE),"")</f>
        <v/>
      </c>
      <c r="V14915">
        <f t="shared" si="930"/>
        <v>0</v>
      </c>
      <c r="W14915">
        <f t="shared" si="931"/>
        <v>0</v>
      </c>
    </row>
    <row r="14916" spans="5:23" x14ac:dyDescent="0.25">
      <c r="E14916" s="4"/>
      <c r="F14916" s="4"/>
      <c r="G14916" s="33" t="str">
        <f>IFERROR(VLOOKUP($D14916,'Informations sur les produits'!$A$3:$H$10000,8,FALSE),"0")</f>
        <v>0</v>
      </c>
      <c r="K14916" s="4"/>
      <c r="L14916" s="33" t="str">
        <f>IFERROR(VLOOKUP($J14916,'Informations sur les produits'!$A$3:$H$10000,8,FALSE),"0")</f>
        <v>0</v>
      </c>
      <c r="N14916" s="8"/>
      <c r="O14916" s="33" t="str">
        <f>IFERROR(VLOOKUP($M14916,'Informations sur les produits'!$A$3:$H$10000,8,FALSE),"0")</f>
        <v>0</v>
      </c>
      <c r="P14916" s="33">
        <f t="shared" ref="P14916:P14979" si="932">IFERROR((($E14916-$F14916)*$G14916+$K14916*$L14916+$N14916*$O14916),"")</f>
        <v>0</v>
      </c>
      <c r="Q14916" s="31" t="str">
        <f t="shared" ref="Q14916:Q14979" si="933">IFERROR((((($E14916-$F14916)*$G14916+$K14916*$L14916+$N14916*$O14916)*1000)/(($E14916-$F14916)+$K14916+$N14916)),"")</f>
        <v/>
      </c>
      <c r="R14916" s="32" t="str">
        <f>IFERROR(VLOOKUP($D14916,'Informations sur les produits'!$A$3:$B$15000,2,FALSE),"")</f>
        <v/>
      </c>
      <c r="V14916">
        <f t="shared" ref="V14916:V14979" si="934">IFERROR(P14916*1000,"")</f>
        <v>0</v>
      </c>
      <c r="W14916">
        <f t="shared" ref="W14916:W14979" si="935">IFERROR(($E14916-$F14916)+$K14916+$N14916,"")</f>
        <v>0</v>
      </c>
    </row>
    <row r="14917" spans="5:23" x14ac:dyDescent="0.25">
      <c r="E14917" s="4"/>
      <c r="F14917" s="4"/>
      <c r="G14917" s="33" t="str">
        <f>IFERROR(VLOOKUP($D14917,'Informations sur les produits'!$A$3:$H$10000,8,FALSE),"0")</f>
        <v>0</v>
      </c>
      <c r="K14917" s="4"/>
      <c r="L14917" s="33" t="str">
        <f>IFERROR(VLOOKUP($J14917,'Informations sur les produits'!$A$3:$H$10000,8,FALSE),"0")</f>
        <v>0</v>
      </c>
      <c r="N14917" s="8"/>
      <c r="O14917" s="33" t="str">
        <f>IFERROR(VLOOKUP($M14917,'Informations sur les produits'!$A$3:$H$10000,8,FALSE),"0")</f>
        <v>0</v>
      </c>
      <c r="P14917" s="33">
        <f t="shared" si="932"/>
        <v>0</v>
      </c>
      <c r="Q14917" s="31" t="str">
        <f t="shared" si="933"/>
        <v/>
      </c>
      <c r="R14917" s="32" t="str">
        <f>IFERROR(VLOOKUP($D14917,'Informations sur les produits'!$A$3:$B$15000,2,FALSE),"")</f>
        <v/>
      </c>
      <c r="V14917">
        <f t="shared" si="934"/>
        <v>0</v>
      </c>
      <c r="W14917">
        <f t="shared" si="935"/>
        <v>0</v>
      </c>
    </row>
    <row r="14918" spans="5:23" x14ac:dyDescent="0.25">
      <c r="E14918" s="4"/>
      <c r="F14918" s="4"/>
      <c r="G14918" s="33" t="str">
        <f>IFERROR(VLOOKUP($D14918,'Informations sur les produits'!$A$3:$H$10000,8,FALSE),"0")</f>
        <v>0</v>
      </c>
      <c r="K14918" s="4"/>
      <c r="L14918" s="33" t="str">
        <f>IFERROR(VLOOKUP($J14918,'Informations sur les produits'!$A$3:$H$10000,8,FALSE),"0")</f>
        <v>0</v>
      </c>
      <c r="N14918" s="8"/>
      <c r="O14918" s="33" t="str">
        <f>IFERROR(VLOOKUP($M14918,'Informations sur les produits'!$A$3:$H$10000,8,FALSE),"0")</f>
        <v>0</v>
      </c>
      <c r="P14918" s="33">
        <f t="shared" si="932"/>
        <v>0</v>
      </c>
      <c r="Q14918" s="31" t="str">
        <f t="shared" si="933"/>
        <v/>
      </c>
      <c r="R14918" s="32" t="str">
        <f>IFERROR(VLOOKUP($D14918,'Informations sur les produits'!$A$3:$B$15000,2,FALSE),"")</f>
        <v/>
      </c>
      <c r="V14918">
        <f t="shared" si="934"/>
        <v>0</v>
      </c>
      <c r="W14918">
        <f t="shared" si="935"/>
        <v>0</v>
      </c>
    </row>
    <row r="14919" spans="5:23" x14ac:dyDescent="0.25">
      <c r="E14919" s="4"/>
      <c r="F14919" s="4"/>
      <c r="G14919" s="33" t="str">
        <f>IFERROR(VLOOKUP($D14919,'Informations sur les produits'!$A$3:$H$10000,8,FALSE),"0")</f>
        <v>0</v>
      </c>
      <c r="K14919" s="4"/>
      <c r="L14919" s="33" t="str">
        <f>IFERROR(VLOOKUP($J14919,'Informations sur les produits'!$A$3:$H$10000,8,FALSE),"0")</f>
        <v>0</v>
      </c>
      <c r="N14919" s="8"/>
      <c r="O14919" s="33" t="str">
        <f>IFERROR(VLOOKUP($M14919,'Informations sur les produits'!$A$3:$H$10000,8,FALSE),"0")</f>
        <v>0</v>
      </c>
      <c r="P14919" s="33">
        <f t="shared" si="932"/>
        <v>0</v>
      </c>
      <c r="Q14919" s="31" t="str">
        <f t="shared" si="933"/>
        <v/>
      </c>
      <c r="R14919" s="32" t="str">
        <f>IFERROR(VLOOKUP($D14919,'Informations sur les produits'!$A$3:$B$15000,2,FALSE),"")</f>
        <v/>
      </c>
      <c r="V14919">
        <f t="shared" si="934"/>
        <v>0</v>
      </c>
      <c r="W14919">
        <f t="shared" si="935"/>
        <v>0</v>
      </c>
    </row>
    <row r="14920" spans="5:23" x14ac:dyDescent="0.25">
      <c r="E14920" s="4"/>
      <c r="F14920" s="4"/>
      <c r="G14920" s="33" t="str">
        <f>IFERROR(VLOOKUP($D14920,'Informations sur les produits'!$A$3:$H$10000,8,FALSE),"0")</f>
        <v>0</v>
      </c>
      <c r="K14920" s="4"/>
      <c r="L14920" s="33" t="str">
        <f>IFERROR(VLOOKUP($J14920,'Informations sur les produits'!$A$3:$H$10000,8,FALSE),"0")</f>
        <v>0</v>
      </c>
      <c r="N14920" s="8"/>
      <c r="O14920" s="33" t="str">
        <f>IFERROR(VLOOKUP($M14920,'Informations sur les produits'!$A$3:$H$10000,8,FALSE),"0")</f>
        <v>0</v>
      </c>
      <c r="P14920" s="33">
        <f t="shared" si="932"/>
        <v>0</v>
      </c>
      <c r="Q14920" s="31" t="str">
        <f t="shared" si="933"/>
        <v/>
      </c>
      <c r="R14920" s="32" t="str">
        <f>IFERROR(VLOOKUP($D14920,'Informations sur les produits'!$A$3:$B$15000,2,FALSE),"")</f>
        <v/>
      </c>
      <c r="V14920">
        <f t="shared" si="934"/>
        <v>0</v>
      </c>
      <c r="W14920">
        <f t="shared" si="935"/>
        <v>0</v>
      </c>
    </row>
    <row r="14921" spans="5:23" x14ac:dyDescent="0.25">
      <c r="E14921" s="4"/>
      <c r="F14921" s="4"/>
      <c r="G14921" s="33" t="str">
        <f>IFERROR(VLOOKUP($D14921,'Informations sur les produits'!$A$3:$H$10000,8,FALSE),"0")</f>
        <v>0</v>
      </c>
      <c r="K14921" s="4"/>
      <c r="L14921" s="33" t="str">
        <f>IFERROR(VLOOKUP($J14921,'Informations sur les produits'!$A$3:$H$10000,8,FALSE),"0")</f>
        <v>0</v>
      </c>
      <c r="N14921" s="8"/>
      <c r="O14921" s="33" t="str">
        <f>IFERROR(VLOOKUP($M14921,'Informations sur les produits'!$A$3:$H$10000,8,FALSE),"0")</f>
        <v>0</v>
      </c>
      <c r="P14921" s="33">
        <f t="shared" si="932"/>
        <v>0</v>
      </c>
      <c r="Q14921" s="31" t="str">
        <f t="shared" si="933"/>
        <v/>
      </c>
      <c r="R14921" s="32" t="str">
        <f>IFERROR(VLOOKUP($D14921,'Informations sur les produits'!$A$3:$B$15000,2,FALSE),"")</f>
        <v/>
      </c>
      <c r="V14921">
        <f t="shared" si="934"/>
        <v>0</v>
      </c>
      <c r="W14921">
        <f t="shared" si="935"/>
        <v>0</v>
      </c>
    </row>
    <row r="14922" spans="5:23" x14ac:dyDescent="0.25">
      <c r="E14922" s="4"/>
      <c r="F14922" s="4"/>
      <c r="G14922" s="33" t="str">
        <f>IFERROR(VLOOKUP($D14922,'Informations sur les produits'!$A$3:$H$10000,8,FALSE),"0")</f>
        <v>0</v>
      </c>
      <c r="K14922" s="4"/>
      <c r="L14922" s="33" t="str">
        <f>IFERROR(VLOOKUP($J14922,'Informations sur les produits'!$A$3:$H$10000,8,FALSE),"0")</f>
        <v>0</v>
      </c>
      <c r="N14922" s="8"/>
      <c r="O14922" s="33" t="str">
        <f>IFERROR(VLOOKUP($M14922,'Informations sur les produits'!$A$3:$H$10000,8,FALSE),"0")</f>
        <v>0</v>
      </c>
      <c r="P14922" s="33">
        <f t="shared" si="932"/>
        <v>0</v>
      </c>
      <c r="Q14922" s="31" t="str">
        <f t="shared" si="933"/>
        <v/>
      </c>
      <c r="R14922" s="32" t="str">
        <f>IFERROR(VLOOKUP($D14922,'Informations sur les produits'!$A$3:$B$15000,2,FALSE),"")</f>
        <v/>
      </c>
      <c r="V14922">
        <f t="shared" si="934"/>
        <v>0</v>
      </c>
      <c r="W14922">
        <f t="shared" si="935"/>
        <v>0</v>
      </c>
    </row>
    <row r="14923" spans="5:23" x14ac:dyDescent="0.25">
      <c r="E14923" s="4"/>
      <c r="F14923" s="4"/>
      <c r="G14923" s="33" t="str">
        <f>IFERROR(VLOOKUP($D14923,'Informations sur les produits'!$A$3:$H$10000,8,FALSE),"0")</f>
        <v>0</v>
      </c>
      <c r="K14923" s="4"/>
      <c r="L14923" s="33" t="str">
        <f>IFERROR(VLOOKUP($J14923,'Informations sur les produits'!$A$3:$H$10000,8,FALSE),"0")</f>
        <v>0</v>
      </c>
      <c r="N14923" s="8"/>
      <c r="O14923" s="33" t="str">
        <f>IFERROR(VLOOKUP($M14923,'Informations sur les produits'!$A$3:$H$10000,8,FALSE),"0")</f>
        <v>0</v>
      </c>
      <c r="P14923" s="33">
        <f t="shared" si="932"/>
        <v>0</v>
      </c>
      <c r="Q14923" s="31" t="str">
        <f t="shared" si="933"/>
        <v/>
      </c>
      <c r="R14923" s="32" t="str">
        <f>IFERROR(VLOOKUP($D14923,'Informations sur les produits'!$A$3:$B$15000,2,FALSE),"")</f>
        <v/>
      </c>
      <c r="V14923">
        <f t="shared" si="934"/>
        <v>0</v>
      </c>
      <c r="W14923">
        <f t="shared" si="935"/>
        <v>0</v>
      </c>
    </row>
    <row r="14924" spans="5:23" x14ac:dyDescent="0.25">
      <c r="E14924" s="4"/>
      <c r="F14924" s="4"/>
      <c r="G14924" s="33" t="str">
        <f>IFERROR(VLOOKUP($D14924,'Informations sur les produits'!$A$3:$H$10000,8,FALSE),"0")</f>
        <v>0</v>
      </c>
      <c r="K14924" s="4"/>
      <c r="L14924" s="33" t="str">
        <f>IFERROR(VLOOKUP($J14924,'Informations sur les produits'!$A$3:$H$10000,8,FALSE),"0")</f>
        <v>0</v>
      </c>
      <c r="N14924" s="8"/>
      <c r="O14924" s="33" t="str">
        <f>IFERROR(VLOOKUP($M14924,'Informations sur les produits'!$A$3:$H$10000,8,FALSE),"0")</f>
        <v>0</v>
      </c>
      <c r="P14924" s="33">
        <f t="shared" si="932"/>
        <v>0</v>
      </c>
      <c r="Q14924" s="31" t="str">
        <f t="shared" si="933"/>
        <v/>
      </c>
      <c r="R14924" s="32" t="str">
        <f>IFERROR(VLOOKUP($D14924,'Informations sur les produits'!$A$3:$B$15000,2,FALSE),"")</f>
        <v/>
      </c>
      <c r="V14924">
        <f t="shared" si="934"/>
        <v>0</v>
      </c>
      <c r="W14924">
        <f t="shared" si="935"/>
        <v>0</v>
      </c>
    </row>
    <row r="14925" spans="5:23" x14ac:dyDescent="0.25">
      <c r="E14925" s="4"/>
      <c r="F14925" s="4"/>
      <c r="G14925" s="33" t="str">
        <f>IFERROR(VLOOKUP($D14925,'Informations sur les produits'!$A$3:$H$10000,8,FALSE),"0")</f>
        <v>0</v>
      </c>
      <c r="K14925" s="4"/>
      <c r="L14925" s="33" t="str">
        <f>IFERROR(VLOOKUP($J14925,'Informations sur les produits'!$A$3:$H$10000,8,FALSE),"0")</f>
        <v>0</v>
      </c>
      <c r="N14925" s="8"/>
      <c r="O14925" s="33" t="str">
        <f>IFERROR(VLOOKUP($M14925,'Informations sur les produits'!$A$3:$H$10000,8,FALSE),"0")</f>
        <v>0</v>
      </c>
      <c r="P14925" s="33">
        <f t="shared" si="932"/>
        <v>0</v>
      </c>
      <c r="Q14925" s="31" t="str">
        <f t="shared" si="933"/>
        <v/>
      </c>
      <c r="R14925" s="32" t="str">
        <f>IFERROR(VLOOKUP($D14925,'Informations sur les produits'!$A$3:$B$15000,2,FALSE),"")</f>
        <v/>
      </c>
      <c r="V14925">
        <f t="shared" si="934"/>
        <v>0</v>
      </c>
      <c r="W14925">
        <f t="shared" si="935"/>
        <v>0</v>
      </c>
    </row>
    <row r="14926" spans="5:23" x14ac:dyDescent="0.25">
      <c r="E14926" s="4"/>
      <c r="F14926" s="4"/>
      <c r="G14926" s="33" t="str">
        <f>IFERROR(VLOOKUP($D14926,'Informations sur les produits'!$A$3:$H$10000,8,FALSE),"0")</f>
        <v>0</v>
      </c>
      <c r="K14926" s="4"/>
      <c r="L14926" s="33" t="str">
        <f>IFERROR(VLOOKUP($J14926,'Informations sur les produits'!$A$3:$H$10000,8,FALSE),"0")</f>
        <v>0</v>
      </c>
      <c r="N14926" s="8"/>
      <c r="O14926" s="33" t="str">
        <f>IFERROR(VLOOKUP($M14926,'Informations sur les produits'!$A$3:$H$10000,8,FALSE),"0")</f>
        <v>0</v>
      </c>
      <c r="P14926" s="33">
        <f t="shared" si="932"/>
        <v>0</v>
      </c>
      <c r="Q14926" s="31" t="str">
        <f t="shared" si="933"/>
        <v/>
      </c>
      <c r="R14926" s="32" t="str">
        <f>IFERROR(VLOOKUP($D14926,'Informations sur les produits'!$A$3:$B$15000,2,FALSE),"")</f>
        <v/>
      </c>
      <c r="V14926">
        <f t="shared" si="934"/>
        <v>0</v>
      </c>
      <c r="W14926">
        <f t="shared" si="935"/>
        <v>0</v>
      </c>
    </row>
    <row r="14927" spans="5:23" x14ac:dyDescent="0.25">
      <c r="E14927" s="4"/>
      <c r="F14927" s="4"/>
      <c r="G14927" s="33" t="str">
        <f>IFERROR(VLOOKUP($D14927,'Informations sur les produits'!$A$3:$H$10000,8,FALSE),"0")</f>
        <v>0</v>
      </c>
      <c r="K14927" s="4"/>
      <c r="L14927" s="33" t="str">
        <f>IFERROR(VLOOKUP($J14927,'Informations sur les produits'!$A$3:$H$10000,8,FALSE),"0")</f>
        <v>0</v>
      </c>
      <c r="N14927" s="8"/>
      <c r="O14927" s="33" t="str">
        <f>IFERROR(VLOOKUP($M14927,'Informations sur les produits'!$A$3:$H$10000,8,FALSE),"0")</f>
        <v>0</v>
      </c>
      <c r="P14927" s="33">
        <f t="shared" si="932"/>
        <v>0</v>
      </c>
      <c r="Q14927" s="31" t="str">
        <f t="shared" si="933"/>
        <v/>
      </c>
      <c r="R14927" s="32" t="str">
        <f>IFERROR(VLOOKUP($D14927,'Informations sur les produits'!$A$3:$B$15000,2,FALSE),"")</f>
        <v/>
      </c>
      <c r="V14927">
        <f t="shared" si="934"/>
        <v>0</v>
      </c>
      <c r="W14927">
        <f t="shared" si="935"/>
        <v>0</v>
      </c>
    </row>
    <row r="14928" spans="5:23" x14ac:dyDescent="0.25">
      <c r="E14928" s="4"/>
      <c r="F14928" s="4"/>
      <c r="G14928" s="33" t="str">
        <f>IFERROR(VLOOKUP($D14928,'Informations sur les produits'!$A$3:$H$10000,8,FALSE),"0")</f>
        <v>0</v>
      </c>
      <c r="K14928" s="4"/>
      <c r="L14928" s="33" t="str">
        <f>IFERROR(VLOOKUP($J14928,'Informations sur les produits'!$A$3:$H$10000,8,FALSE),"0")</f>
        <v>0</v>
      </c>
      <c r="N14928" s="8"/>
      <c r="O14928" s="33" t="str">
        <f>IFERROR(VLOOKUP($M14928,'Informations sur les produits'!$A$3:$H$10000,8,FALSE),"0")</f>
        <v>0</v>
      </c>
      <c r="P14928" s="33">
        <f t="shared" si="932"/>
        <v>0</v>
      </c>
      <c r="Q14928" s="31" t="str">
        <f t="shared" si="933"/>
        <v/>
      </c>
      <c r="R14928" s="32" t="str">
        <f>IFERROR(VLOOKUP($D14928,'Informations sur les produits'!$A$3:$B$15000,2,FALSE),"")</f>
        <v/>
      </c>
      <c r="V14928">
        <f t="shared" si="934"/>
        <v>0</v>
      </c>
      <c r="W14928">
        <f t="shared" si="935"/>
        <v>0</v>
      </c>
    </row>
    <row r="14929" spans="5:23" x14ac:dyDescent="0.25">
      <c r="E14929" s="4"/>
      <c r="F14929" s="4"/>
      <c r="G14929" s="33" t="str">
        <f>IFERROR(VLOOKUP($D14929,'Informations sur les produits'!$A$3:$H$10000,8,FALSE),"0")</f>
        <v>0</v>
      </c>
      <c r="K14929" s="4"/>
      <c r="L14929" s="33" t="str">
        <f>IFERROR(VLOOKUP($J14929,'Informations sur les produits'!$A$3:$H$10000,8,FALSE),"0")</f>
        <v>0</v>
      </c>
      <c r="N14929" s="8"/>
      <c r="O14929" s="33" t="str">
        <f>IFERROR(VLOOKUP($M14929,'Informations sur les produits'!$A$3:$H$10000,8,FALSE),"0")</f>
        <v>0</v>
      </c>
      <c r="P14929" s="33">
        <f t="shared" si="932"/>
        <v>0</v>
      </c>
      <c r="Q14929" s="31" t="str">
        <f t="shared" si="933"/>
        <v/>
      </c>
      <c r="R14929" s="32" t="str">
        <f>IFERROR(VLOOKUP($D14929,'Informations sur les produits'!$A$3:$B$15000,2,FALSE),"")</f>
        <v/>
      </c>
      <c r="V14929">
        <f t="shared" si="934"/>
        <v>0</v>
      </c>
      <c r="W14929">
        <f t="shared" si="935"/>
        <v>0</v>
      </c>
    </row>
    <row r="14930" spans="5:23" x14ac:dyDescent="0.25">
      <c r="E14930" s="4"/>
      <c r="F14930" s="4"/>
      <c r="G14930" s="33" t="str">
        <f>IFERROR(VLOOKUP($D14930,'Informations sur les produits'!$A$3:$H$10000,8,FALSE),"0")</f>
        <v>0</v>
      </c>
      <c r="K14930" s="4"/>
      <c r="L14930" s="33" t="str">
        <f>IFERROR(VLOOKUP($J14930,'Informations sur les produits'!$A$3:$H$10000,8,FALSE),"0")</f>
        <v>0</v>
      </c>
      <c r="N14930" s="8"/>
      <c r="O14930" s="33" t="str">
        <f>IFERROR(VLOOKUP($M14930,'Informations sur les produits'!$A$3:$H$10000,8,FALSE),"0")</f>
        <v>0</v>
      </c>
      <c r="P14930" s="33">
        <f t="shared" si="932"/>
        <v>0</v>
      </c>
      <c r="Q14930" s="31" t="str">
        <f t="shared" si="933"/>
        <v/>
      </c>
      <c r="R14930" s="32" t="str">
        <f>IFERROR(VLOOKUP($D14930,'Informations sur les produits'!$A$3:$B$15000,2,FALSE),"")</f>
        <v/>
      </c>
      <c r="V14930">
        <f t="shared" si="934"/>
        <v>0</v>
      </c>
      <c r="W14930">
        <f t="shared" si="935"/>
        <v>0</v>
      </c>
    </row>
    <row r="14931" spans="5:23" x14ac:dyDescent="0.25">
      <c r="E14931" s="4"/>
      <c r="F14931" s="4"/>
      <c r="G14931" s="33" t="str">
        <f>IFERROR(VLOOKUP($D14931,'Informations sur les produits'!$A$3:$H$10000,8,FALSE),"0")</f>
        <v>0</v>
      </c>
      <c r="K14931" s="4"/>
      <c r="L14931" s="33" t="str">
        <f>IFERROR(VLOOKUP($J14931,'Informations sur les produits'!$A$3:$H$10000,8,FALSE),"0")</f>
        <v>0</v>
      </c>
      <c r="N14931" s="8"/>
      <c r="O14931" s="33" t="str">
        <f>IFERROR(VLOOKUP($M14931,'Informations sur les produits'!$A$3:$H$10000,8,FALSE),"0")</f>
        <v>0</v>
      </c>
      <c r="P14931" s="33">
        <f t="shared" si="932"/>
        <v>0</v>
      </c>
      <c r="Q14931" s="31" t="str">
        <f t="shared" si="933"/>
        <v/>
      </c>
      <c r="R14931" s="32" t="str">
        <f>IFERROR(VLOOKUP($D14931,'Informations sur les produits'!$A$3:$B$15000,2,FALSE),"")</f>
        <v/>
      </c>
      <c r="V14931">
        <f t="shared" si="934"/>
        <v>0</v>
      </c>
      <c r="W14931">
        <f t="shared" si="935"/>
        <v>0</v>
      </c>
    </row>
    <row r="14932" spans="5:23" x14ac:dyDescent="0.25">
      <c r="E14932" s="4"/>
      <c r="F14932" s="4"/>
      <c r="G14932" s="33" t="str">
        <f>IFERROR(VLOOKUP($D14932,'Informations sur les produits'!$A$3:$H$10000,8,FALSE),"0")</f>
        <v>0</v>
      </c>
      <c r="K14932" s="4"/>
      <c r="L14932" s="33" t="str">
        <f>IFERROR(VLOOKUP($J14932,'Informations sur les produits'!$A$3:$H$10000,8,FALSE),"0")</f>
        <v>0</v>
      </c>
      <c r="N14932" s="8"/>
      <c r="O14932" s="33" t="str">
        <f>IFERROR(VLOOKUP($M14932,'Informations sur les produits'!$A$3:$H$10000,8,FALSE),"0")</f>
        <v>0</v>
      </c>
      <c r="P14932" s="33">
        <f t="shared" si="932"/>
        <v>0</v>
      </c>
      <c r="Q14932" s="31" t="str">
        <f t="shared" si="933"/>
        <v/>
      </c>
      <c r="R14932" s="32" t="str">
        <f>IFERROR(VLOOKUP($D14932,'Informations sur les produits'!$A$3:$B$15000,2,FALSE),"")</f>
        <v/>
      </c>
      <c r="V14932">
        <f t="shared" si="934"/>
        <v>0</v>
      </c>
      <c r="W14932">
        <f t="shared" si="935"/>
        <v>0</v>
      </c>
    </row>
    <row r="14933" spans="5:23" x14ac:dyDescent="0.25">
      <c r="E14933" s="4"/>
      <c r="F14933" s="4"/>
      <c r="G14933" s="33" t="str">
        <f>IFERROR(VLOOKUP($D14933,'Informations sur les produits'!$A$3:$H$10000,8,FALSE),"0")</f>
        <v>0</v>
      </c>
      <c r="K14933" s="4"/>
      <c r="L14933" s="33" t="str">
        <f>IFERROR(VLOOKUP($J14933,'Informations sur les produits'!$A$3:$H$10000,8,FALSE),"0")</f>
        <v>0</v>
      </c>
      <c r="N14933" s="8"/>
      <c r="O14933" s="33" t="str">
        <f>IFERROR(VLOOKUP($M14933,'Informations sur les produits'!$A$3:$H$10000,8,FALSE),"0")</f>
        <v>0</v>
      </c>
      <c r="P14933" s="33">
        <f t="shared" si="932"/>
        <v>0</v>
      </c>
      <c r="Q14933" s="31" t="str">
        <f t="shared" si="933"/>
        <v/>
      </c>
      <c r="R14933" s="32" t="str">
        <f>IFERROR(VLOOKUP($D14933,'Informations sur les produits'!$A$3:$B$15000,2,FALSE),"")</f>
        <v/>
      </c>
      <c r="V14933">
        <f t="shared" si="934"/>
        <v>0</v>
      </c>
      <c r="W14933">
        <f t="shared" si="935"/>
        <v>0</v>
      </c>
    </row>
    <row r="14934" spans="5:23" x14ac:dyDescent="0.25">
      <c r="E14934" s="4"/>
      <c r="F14934" s="4"/>
      <c r="G14934" s="33" t="str">
        <f>IFERROR(VLOOKUP($D14934,'Informations sur les produits'!$A$3:$H$10000,8,FALSE),"0")</f>
        <v>0</v>
      </c>
      <c r="K14934" s="4"/>
      <c r="L14934" s="33" t="str">
        <f>IFERROR(VLOOKUP($J14934,'Informations sur les produits'!$A$3:$H$10000,8,FALSE),"0")</f>
        <v>0</v>
      </c>
      <c r="N14934" s="8"/>
      <c r="O14934" s="33" t="str">
        <f>IFERROR(VLOOKUP($M14934,'Informations sur les produits'!$A$3:$H$10000,8,FALSE),"0")</f>
        <v>0</v>
      </c>
      <c r="P14934" s="33">
        <f t="shared" si="932"/>
        <v>0</v>
      </c>
      <c r="Q14934" s="31" t="str">
        <f t="shared" si="933"/>
        <v/>
      </c>
      <c r="R14934" s="32" t="str">
        <f>IFERROR(VLOOKUP($D14934,'Informations sur les produits'!$A$3:$B$15000,2,FALSE),"")</f>
        <v/>
      </c>
      <c r="V14934">
        <f t="shared" si="934"/>
        <v>0</v>
      </c>
      <c r="W14934">
        <f t="shared" si="935"/>
        <v>0</v>
      </c>
    </row>
    <row r="14935" spans="5:23" x14ac:dyDescent="0.25">
      <c r="E14935" s="4"/>
      <c r="F14935" s="4"/>
      <c r="G14935" s="33" t="str">
        <f>IFERROR(VLOOKUP($D14935,'Informations sur les produits'!$A$3:$H$10000,8,FALSE),"0")</f>
        <v>0</v>
      </c>
      <c r="K14935" s="4"/>
      <c r="L14935" s="33" t="str">
        <f>IFERROR(VLOOKUP($J14935,'Informations sur les produits'!$A$3:$H$10000,8,FALSE),"0")</f>
        <v>0</v>
      </c>
      <c r="N14935" s="8"/>
      <c r="O14935" s="33" t="str">
        <f>IFERROR(VLOOKUP($M14935,'Informations sur les produits'!$A$3:$H$10000,8,FALSE),"0")</f>
        <v>0</v>
      </c>
      <c r="P14935" s="33">
        <f t="shared" si="932"/>
        <v>0</v>
      </c>
      <c r="Q14935" s="31" t="str">
        <f t="shared" si="933"/>
        <v/>
      </c>
      <c r="R14935" s="32" t="str">
        <f>IFERROR(VLOOKUP($D14935,'Informations sur les produits'!$A$3:$B$15000,2,FALSE),"")</f>
        <v/>
      </c>
      <c r="V14935">
        <f t="shared" si="934"/>
        <v>0</v>
      </c>
      <c r="W14935">
        <f t="shared" si="935"/>
        <v>0</v>
      </c>
    </row>
    <row r="14936" spans="5:23" x14ac:dyDescent="0.25">
      <c r="E14936" s="4"/>
      <c r="F14936" s="4"/>
      <c r="G14936" s="33" t="str">
        <f>IFERROR(VLOOKUP($D14936,'Informations sur les produits'!$A$3:$H$10000,8,FALSE),"0")</f>
        <v>0</v>
      </c>
      <c r="K14936" s="4"/>
      <c r="L14936" s="33" t="str">
        <f>IFERROR(VLOOKUP($J14936,'Informations sur les produits'!$A$3:$H$10000,8,FALSE),"0")</f>
        <v>0</v>
      </c>
      <c r="N14936" s="8"/>
      <c r="O14936" s="33" t="str">
        <f>IFERROR(VLOOKUP($M14936,'Informations sur les produits'!$A$3:$H$10000,8,FALSE),"0")</f>
        <v>0</v>
      </c>
      <c r="P14936" s="33">
        <f t="shared" si="932"/>
        <v>0</v>
      </c>
      <c r="Q14936" s="31" t="str">
        <f t="shared" si="933"/>
        <v/>
      </c>
      <c r="R14936" s="32" t="str">
        <f>IFERROR(VLOOKUP($D14936,'Informations sur les produits'!$A$3:$B$15000,2,FALSE),"")</f>
        <v/>
      </c>
      <c r="V14936">
        <f t="shared" si="934"/>
        <v>0</v>
      </c>
      <c r="W14936">
        <f t="shared" si="935"/>
        <v>0</v>
      </c>
    </row>
    <row r="14937" spans="5:23" x14ac:dyDescent="0.25">
      <c r="E14937" s="4"/>
      <c r="F14937" s="4"/>
      <c r="G14937" s="33" t="str">
        <f>IFERROR(VLOOKUP($D14937,'Informations sur les produits'!$A$3:$H$10000,8,FALSE),"0")</f>
        <v>0</v>
      </c>
      <c r="K14937" s="4"/>
      <c r="L14937" s="33" t="str">
        <f>IFERROR(VLOOKUP($J14937,'Informations sur les produits'!$A$3:$H$10000,8,FALSE),"0")</f>
        <v>0</v>
      </c>
      <c r="N14937" s="8"/>
      <c r="O14937" s="33" t="str">
        <f>IFERROR(VLOOKUP($M14937,'Informations sur les produits'!$A$3:$H$10000,8,FALSE),"0")</f>
        <v>0</v>
      </c>
      <c r="P14937" s="33">
        <f t="shared" si="932"/>
        <v>0</v>
      </c>
      <c r="Q14937" s="31" t="str">
        <f t="shared" si="933"/>
        <v/>
      </c>
      <c r="R14937" s="32" t="str">
        <f>IFERROR(VLOOKUP($D14937,'Informations sur les produits'!$A$3:$B$15000,2,FALSE),"")</f>
        <v/>
      </c>
      <c r="V14937">
        <f t="shared" si="934"/>
        <v>0</v>
      </c>
      <c r="W14937">
        <f t="shared" si="935"/>
        <v>0</v>
      </c>
    </row>
    <row r="14938" spans="5:23" x14ac:dyDescent="0.25">
      <c r="E14938" s="4"/>
      <c r="F14938" s="4"/>
      <c r="G14938" s="33" t="str">
        <f>IFERROR(VLOOKUP($D14938,'Informations sur les produits'!$A$3:$H$10000,8,FALSE),"0")</f>
        <v>0</v>
      </c>
      <c r="K14938" s="4"/>
      <c r="L14938" s="33" t="str">
        <f>IFERROR(VLOOKUP($J14938,'Informations sur les produits'!$A$3:$H$10000,8,FALSE),"0")</f>
        <v>0</v>
      </c>
      <c r="N14938" s="8"/>
      <c r="O14938" s="33" t="str">
        <f>IFERROR(VLOOKUP($M14938,'Informations sur les produits'!$A$3:$H$10000,8,FALSE),"0")</f>
        <v>0</v>
      </c>
      <c r="P14938" s="33">
        <f t="shared" si="932"/>
        <v>0</v>
      </c>
      <c r="Q14938" s="31" t="str">
        <f t="shared" si="933"/>
        <v/>
      </c>
      <c r="R14938" s="32" t="str">
        <f>IFERROR(VLOOKUP($D14938,'Informations sur les produits'!$A$3:$B$15000,2,FALSE),"")</f>
        <v/>
      </c>
      <c r="V14938">
        <f t="shared" si="934"/>
        <v>0</v>
      </c>
      <c r="W14938">
        <f t="shared" si="935"/>
        <v>0</v>
      </c>
    </row>
    <row r="14939" spans="5:23" x14ac:dyDescent="0.25">
      <c r="E14939" s="4"/>
      <c r="F14939" s="4"/>
      <c r="G14939" s="33" t="str">
        <f>IFERROR(VLOOKUP($D14939,'Informations sur les produits'!$A$3:$H$10000,8,FALSE),"0")</f>
        <v>0</v>
      </c>
      <c r="K14939" s="4"/>
      <c r="L14939" s="33" t="str">
        <f>IFERROR(VLOOKUP($J14939,'Informations sur les produits'!$A$3:$H$10000,8,FALSE),"0")</f>
        <v>0</v>
      </c>
      <c r="N14939" s="8"/>
      <c r="O14939" s="33" t="str">
        <f>IFERROR(VLOOKUP($M14939,'Informations sur les produits'!$A$3:$H$10000,8,FALSE),"0")</f>
        <v>0</v>
      </c>
      <c r="P14939" s="33">
        <f t="shared" si="932"/>
        <v>0</v>
      </c>
      <c r="Q14939" s="31" t="str">
        <f t="shared" si="933"/>
        <v/>
      </c>
      <c r="R14939" s="32" t="str">
        <f>IFERROR(VLOOKUP($D14939,'Informations sur les produits'!$A$3:$B$15000,2,FALSE),"")</f>
        <v/>
      </c>
      <c r="V14939">
        <f t="shared" si="934"/>
        <v>0</v>
      </c>
      <c r="W14939">
        <f t="shared" si="935"/>
        <v>0</v>
      </c>
    </row>
    <row r="14940" spans="5:23" x14ac:dyDescent="0.25">
      <c r="E14940" s="4"/>
      <c r="F14940" s="4"/>
      <c r="G14940" s="33" t="str">
        <f>IFERROR(VLOOKUP($D14940,'Informations sur les produits'!$A$3:$H$10000,8,FALSE),"0")</f>
        <v>0</v>
      </c>
      <c r="K14940" s="4"/>
      <c r="L14940" s="33" t="str">
        <f>IFERROR(VLOOKUP($J14940,'Informations sur les produits'!$A$3:$H$10000,8,FALSE),"0")</f>
        <v>0</v>
      </c>
      <c r="N14940" s="8"/>
      <c r="O14940" s="33" t="str">
        <f>IFERROR(VLOOKUP($M14940,'Informations sur les produits'!$A$3:$H$10000,8,FALSE),"0")</f>
        <v>0</v>
      </c>
      <c r="P14940" s="33">
        <f t="shared" si="932"/>
        <v>0</v>
      </c>
      <c r="Q14940" s="31" t="str">
        <f t="shared" si="933"/>
        <v/>
      </c>
      <c r="R14940" s="32" t="str">
        <f>IFERROR(VLOOKUP($D14940,'Informations sur les produits'!$A$3:$B$15000,2,FALSE),"")</f>
        <v/>
      </c>
      <c r="V14940">
        <f t="shared" si="934"/>
        <v>0</v>
      </c>
      <c r="W14940">
        <f t="shared" si="935"/>
        <v>0</v>
      </c>
    </row>
    <row r="14941" spans="5:23" x14ac:dyDescent="0.25">
      <c r="E14941" s="4"/>
      <c r="F14941" s="4"/>
      <c r="G14941" s="33" t="str">
        <f>IFERROR(VLOOKUP($D14941,'Informations sur les produits'!$A$3:$H$10000,8,FALSE),"0")</f>
        <v>0</v>
      </c>
      <c r="K14941" s="4"/>
      <c r="L14941" s="33" t="str">
        <f>IFERROR(VLOOKUP($J14941,'Informations sur les produits'!$A$3:$H$10000,8,FALSE),"0")</f>
        <v>0</v>
      </c>
      <c r="N14941" s="8"/>
      <c r="O14941" s="33" t="str">
        <f>IFERROR(VLOOKUP($M14941,'Informations sur les produits'!$A$3:$H$10000,8,FALSE),"0")</f>
        <v>0</v>
      </c>
      <c r="P14941" s="33">
        <f t="shared" si="932"/>
        <v>0</v>
      </c>
      <c r="Q14941" s="31" t="str">
        <f t="shared" si="933"/>
        <v/>
      </c>
      <c r="R14941" s="32" t="str">
        <f>IFERROR(VLOOKUP($D14941,'Informations sur les produits'!$A$3:$B$15000,2,FALSE),"")</f>
        <v/>
      </c>
      <c r="V14941">
        <f t="shared" si="934"/>
        <v>0</v>
      </c>
      <c r="W14941">
        <f t="shared" si="935"/>
        <v>0</v>
      </c>
    </row>
    <row r="14942" spans="5:23" x14ac:dyDescent="0.25">
      <c r="E14942" s="4"/>
      <c r="F14942" s="4"/>
      <c r="G14942" s="33" t="str">
        <f>IFERROR(VLOOKUP($D14942,'Informations sur les produits'!$A$3:$H$10000,8,FALSE),"0")</f>
        <v>0</v>
      </c>
      <c r="K14942" s="4"/>
      <c r="L14942" s="33" t="str">
        <f>IFERROR(VLOOKUP($J14942,'Informations sur les produits'!$A$3:$H$10000,8,FALSE),"0")</f>
        <v>0</v>
      </c>
      <c r="N14942" s="8"/>
      <c r="O14942" s="33" t="str">
        <f>IFERROR(VLOOKUP($M14942,'Informations sur les produits'!$A$3:$H$10000,8,FALSE),"0")</f>
        <v>0</v>
      </c>
      <c r="P14942" s="33">
        <f t="shared" si="932"/>
        <v>0</v>
      </c>
      <c r="Q14942" s="31" t="str">
        <f t="shared" si="933"/>
        <v/>
      </c>
      <c r="R14942" s="32" t="str">
        <f>IFERROR(VLOOKUP($D14942,'Informations sur les produits'!$A$3:$B$15000,2,FALSE),"")</f>
        <v/>
      </c>
      <c r="V14942">
        <f t="shared" si="934"/>
        <v>0</v>
      </c>
      <c r="W14942">
        <f t="shared" si="935"/>
        <v>0</v>
      </c>
    </row>
    <row r="14943" spans="5:23" x14ac:dyDescent="0.25">
      <c r="E14943" s="4"/>
      <c r="F14943" s="4"/>
      <c r="G14943" s="33" t="str">
        <f>IFERROR(VLOOKUP($D14943,'Informations sur les produits'!$A$3:$H$10000,8,FALSE),"0")</f>
        <v>0</v>
      </c>
      <c r="K14943" s="4"/>
      <c r="L14943" s="33" t="str">
        <f>IFERROR(VLOOKUP($J14943,'Informations sur les produits'!$A$3:$H$10000,8,FALSE),"0")</f>
        <v>0</v>
      </c>
      <c r="N14943" s="8"/>
      <c r="O14943" s="33" t="str">
        <f>IFERROR(VLOOKUP($M14943,'Informations sur les produits'!$A$3:$H$10000,8,FALSE),"0")</f>
        <v>0</v>
      </c>
      <c r="P14943" s="33">
        <f t="shared" si="932"/>
        <v>0</v>
      </c>
      <c r="Q14943" s="31" t="str">
        <f t="shared" si="933"/>
        <v/>
      </c>
      <c r="R14943" s="32" t="str">
        <f>IFERROR(VLOOKUP($D14943,'Informations sur les produits'!$A$3:$B$15000,2,FALSE),"")</f>
        <v/>
      </c>
      <c r="V14943">
        <f t="shared" si="934"/>
        <v>0</v>
      </c>
      <c r="W14943">
        <f t="shared" si="935"/>
        <v>0</v>
      </c>
    </row>
    <row r="14944" spans="5:23" x14ac:dyDescent="0.25">
      <c r="E14944" s="4"/>
      <c r="F14944" s="4"/>
      <c r="G14944" s="33" t="str">
        <f>IFERROR(VLOOKUP($D14944,'Informations sur les produits'!$A$3:$H$10000,8,FALSE),"0")</f>
        <v>0</v>
      </c>
      <c r="K14944" s="4"/>
      <c r="L14944" s="33" t="str">
        <f>IFERROR(VLOOKUP($J14944,'Informations sur les produits'!$A$3:$H$10000,8,FALSE),"0")</f>
        <v>0</v>
      </c>
      <c r="N14944" s="8"/>
      <c r="O14944" s="33" t="str">
        <f>IFERROR(VLOOKUP($M14944,'Informations sur les produits'!$A$3:$H$10000,8,FALSE),"0")</f>
        <v>0</v>
      </c>
      <c r="P14944" s="33">
        <f t="shared" si="932"/>
        <v>0</v>
      </c>
      <c r="Q14944" s="31" t="str">
        <f t="shared" si="933"/>
        <v/>
      </c>
      <c r="R14944" s="32" t="str">
        <f>IFERROR(VLOOKUP($D14944,'Informations sur les produits'!$A$3:$B$15000,2,FALSE),"")</f>
        <v/>
      </c>
      <c r="V14944">
        <f t="shared" si="934"/>
        <v>0</v>
      </c>
      <c r="W14944">
        <f t="shared" si="935"/>
        <v>0</v>
      </c>
    </row>
    <row r="14945" spans="5:23" x14ac:dyDescent="0.25">
      <c r="E14945" s="4"/>
      <c r="F14945" s="4"/>
      <c r="G14945" s="33" t="str">
        <f>IFERROR(VLOOKUP($D14945,'Informations sur les produits'!$A$3:$H$10000,8,FALSE),"0")</f>
        <v>0</v>
      </c>
      <c r="K14945" s="4"/>
      <c r="L14945" s="33" t="str">
        <f>IFERROR(VLOOKUP($J14945,'Informations sur les produits'!$A$3:$H$10000,8,FALSE),"0")</f>
        <v>0</v>
      </c>
      <c r="N14945" s="8"/>
      <c r="O14945" s="33" t="str">
        <f>IFERROR(VLOOKUP($M14945,'Informations sur les produits'!$A$3:$H$10000,8,FALSE),"0")</f>
        <v>0</v>
      </c>
      <c r="P14945" s="33">
        <f t="shared" si="932"/>
        <v>0</v>
      </c>
      <c r="Q14945" s="31" t="str">
        <f t="shared" si="933"/>
        <v/>
      </c>
      <c r="R14945" s="32" t="str">
        <f>IFERROR(VLOOKUP($D14945,'Informations sur les produits'!$A$3:$B$15000,2,FALSE),"")</f>
        <v/>
      </c>
      <c r="V14945">
        <f t="shared" si="934"/>
        <v>0</v>
      </c>
      <c r="W14945">
        <f t="shared" si="935"/>
        <v>0</v>
      </c>
    </row>
    <row r="14946" spans="5:23" x14ac:dyDescent="0.25">
      <c r="E14946" s="4"/>
      <c r="F14946" s="4"/>
      <c r="G14946" s="33" t="str">
        <f>IFERROR(VLOOKUP($D14946,'Informations sur les produits'!$A$3:$H$10000,8,FALSE),"0")</f>
        <v>0</v>
      </c>
      <c r="K14946" s="4"/>
      <c r="L14946" s="33" t="str">
        <f>IFERROR(VLOOKUP($J14946,'Informations sur les produits'!$A$3:$H$10000,8,FALSE),"0")</f>
        <v>0</v>
      </c>
      <c r="N14946" s="8"/>
      <c r="O14946" s="33" t="str">
        <f>IFERROR(VLOOKUP($M14946,'Informations sur les produits'!$A$3:$H$10000,8,FALSE),"0")</f>
        <v>0</v>
      </c>
      <c r="P14946" s="33">
        <f t="shared" si="932"/>
        <v>0</v>
      </c>
      <c r="Q14946" s="31" t="str">
        <f t="shared" si="933"/>
        <v/>
      </c>
      <c r="R14946" s="32" t="str">
        <f>IFERROR(VLOOKUP($D14946,'Informations sur les produits'!$A$3:$B$15000,2,FALSE),"")</f>
        <v/>
      </c>
      <c r="V14946">
        <f t="shared" si="934"/>
        <v>0</v>
      </c>
      <c r="W14946">
        <f t="shared" si="935"/>
        <v>0</v>
      </c>
    </row>
    <row r="14947" spans="5:23" x14ac:dyDescent="0.25">
      <c r="E14947" s="4"/>
      <c r="F14947" s="4"/>
      <c r="G14947" s="33" t="str">
        <f>IFERROR(VLOOKUP($D14947,'Informations sur les produits'!$A$3:$H$10000,8,FALSE),"0")</f>
        <v>0</v>
      </c>
      <c r="K14947" s="4"/>
      <c r="L14947" s="33" t="str">
        <f>IFERROR(VLOOKUP($J14947,'Informations sur les produits'!$A$3:$H$10000,8,FALSE),"0")</f>
        <v>0</v>
      </c>
      <c r="N14947" s="8"/>
      <c r="O14947" s="33" t="str">
        <f>IFERROR(VLOOKUP($M14947,'Informations sur les produits'!$A$3:$H$10000,8,FALSE),"0")</f>
        <v>0</v>
      </c>
      <c r="P14947" s="33">
        <f t="shared" si="932"/>
        <v>0</v>
      </c>
      <c r="Q14947" s="31" t="str">
        <f t="shared" si="933"/>
        <v/>
      </c>
      <c r="R14947" s="32" t="str">
        <f>IFERROR(VLOOKUP($D14947,'Informations sur les produits'!$A$3:$B$15000,2,FALSE),"")</f>
        <v/>
      </c>
      <c r="V14947">
        <f t="shared" si="934"/>
        <v>0</v>
      </c>
      <c r="W14947">
        <f t="shared" si="935"/>
        <v>0</v>
      </c>
    </row>
    <row r="14948" spans="5:23" x14ac:dyDescent="0.25">
      <c r="E14948" s="4"/>
      <c r="F14948" s="4"/>
      <c r="G14948" s="33" t="str">
        <f>IFERROR(VLOOKUP($D14948,'Informations sur les produits'!$A$3:$H$10000,8,FALSE),"0")</f>
        <v>0</v>
      </c>
      <c r="K14948" s="4"/>
      <c r="L14948" s="33" t="str">
        <f>IFERROR(VLOOKUP($J14948,'Informations sur les produits'!$A$3:$H$10000,8,FALSE),"0")</f>
        <v>0</v>
      </c>
      <c r="N14948" s="8"/>
      <c r="O14948" s="33" t="str">
        <f>IFERROR(VLOOKUP($M14948,'Informations sur les produits'!$A$3:$H$10000,8,FALSE),"0")</f>
        <v>0</v>
      </c>
      <c r="P14948" s="33">
        <f t="shared" si="932"/>
        <v>0</v>
      </c>
      <c r="Q14948" s="31" t="str">
        <f t="shared" si="933"/>
        <v/>
      </c>
      <c r="R14948" s="32" t="str">
        <f>IFERROR(VLOOKUP($D14948,'Informations sur les produits'!$A$3:$B$15000,2,FALSE),"")</f>
        <v/>
      </c>
      <c r="V14948">
        <f t="shared" si="934"/>
        <v>0</v>
      </c>
      <c r="W14948">
        <f t="shared" si="935"/>
        <v>0</v>
      </c>
    </row>
    <row r="14949" spans="5:23" x14ac:dyDescent="0.25">
      <c r="E14949" s="4"/>
      <c r="F14949" s="4"/>
      <c r="G14949" s="33" t="str">
        <f>IFERROR(VLOOKUP($D14949,'Informations sur les produits'!$A$3:$H$10000,8,FALSE),"0")</f>
        <v>0</v>
      </c>
      <c r="K14949" s="4"/>
      <c r="L14949" s="33" t="str">
        <f>IFERROR(VLOOKUP($J14949,'Informations sur les produits'!$A$3:$H$10000,8,FALSE),"0")</f>
        <v>0</v>
      </c>
      <c r="N14949" s="8"/>
      <c r="O14949" s="33" t="str">
        <f>IFERROR(VLOOKUP($M14949,'Informations sur les produits'!$A$3:$H$10000,8,FALSE),"0")</f>
        <v>0</v>
      </c>
      <c r="P14949" s="33">
        <f t="shared" si="932"/>
        <v>0</v>
      </c>
      <c r="Q14949" s="31" t="str">
        <f t="shared" si="933"/>
        <v/>
      </c>
      <c r="R14949" s="32" t="str">
        <f>IFERROR(VLOOKUP($D14949,'Informations sur les produits'!$A$3:$B$15000,2,FALSE),"")</f>
        <v/>
      </c>
      <c r="V14949">
        <f t="shared" si="934"/>
        <v>0</v>
      </c>
      <c r="W14949">
        <f t="shared" si="935"/>
        <v>0</v>
      </c>
    </row>
    <row r="14950" spans="5:23" x14ac:dyDescent="0.25">
      <c r="E14950" s="4"/>
      <c r="F14950" s="4"/>
      <c r="G14950" s="33" t="str">
        <f>IFERROR(VLOOKUP($D14950,'Informations sur les produits'!$A$3:$H$10000,8,FALSE),"0")</f>
        <v>0</v>
      </c>
      <c r="K14950" s="4"/>
      <c r="L14950" s="33" t="str">
        <f>IFERROR(VLOOKUP($J14950,'Informations sur les produits'!$A$3:$H$10000,8,FALSE),"0")</f>
        <v>0</v>
      </c>
      <c r="N14950" s="8"/>
      <c r="O14950" s="33" t="str">
        <f>IFERROR(VLOOKUP($M14950,'Informations sur les produits'!$A$3:$H$10000,8,FALSE),"0")</f>
        <v>0</v>
      </c>
      <c r="P14950" s="33">
        <f t="shared" si="932"/>
        <v>0</v>
      </c>
      <c r="Q14950" s="31" t="str">
        <f t="shared" si="933"/>
        <v/>
      </c>
      <c r="R14950" s="32" t="str">
        <f>IFERROR(VLOOKUP($D14950,'Informations sur les produits'!$A$3:$B$15000,2,FALSE),"")</f>
        <v/>
      </c>
      <c r="V14950">
        <f t="shared" si="934"/>
        <v>0</v>
      </c>
      <c r="W14950">
        <f t="shared" si="935"/>
        <v>0</v>
      </c>
    </row>
    <row r="14951" spans="5:23" x14ac:dyDescent="0.25">
      <c r="E14951" s="4"/>
      <c r="F14951" s="4"/>
      <c r="G14951" s="33" t="str">
        <f>IFERROR(VLOOKUP($D14951,'Informations sur les produits'!$A$3:$H$10000,8,FALSE),"0")</f>
        <v>0</v>
      </c>
      <c r="K14951" s="4"/>
      <c r="L14951" s="33" t="str">
        <f>IFERROR(VLOOKUP($J14951,'Informations sur les produits'!$A$3:$H$10000,8,FALSE),"0")</f>
        <v>0</v>
      </c>
      <c r="N14951" s="8"/>
      <c r="O14951" s="33" t="str">
        <f>IFERROR(VLOOKUP($M14951,'Informations sur les produits'!$A$3:$H$10000,8,FALSE),"0")</f>
        <v>0</v>
      </c>
      <c r="P14951" s="33">
        <f t="shared" si="932"/>
        <v>0</v>
      </c>
      <c r="Q14951" s="31" t="str">
        <f t="shared" si="933"/>
        <v/>
      </c>
      <c r="R14951" s="32" t="str">
        <f>IFERROR(VLOOKUP($D14951,'Informations sur les produits'!$A$3:$B$15000,2,FALSE),"")</f>
        <v/>
      </c>
      <c r="V14951">
        <f t="shared" si="934"/>
        <v>0</v>
      </c>
      <c r="W14951">
        <f t="shared" si="935"/>
        <v>0</v>
      </c>
    </row>
    <row r="14952" spans="5:23" x14ac:dyDescent="0.25">
      <c r="E14952" s="4"/>
      <c r="F14952" s="4"/>
      <c r="G14952" s="33" t="str">
        <f>IFERROR(VLOOKUP($D14952,'Informations sur les produits'!$A$3:$H$10000,8,FALSE),"0")</f>
        <v>0</v>
      </c>
      <c r="K14952" s="4"/>
      <c r="L14952" s="33" t="str">
        <f>IFERROR(VLOOKUP($J14952,'Informations sur les produits'!$A$3:$H$10000,8,FALSE),"0")</f>
        <v>0</v>
      </c>
      <c r="N14952" s="8"/>
      <c r="O14952" s="33" t="str">
        <f>IFERROR(VLOOKUP($M14952,'Informations sur les produits'!$A$3:$H$10000,8,FALSE),"0")</f>
        <v>0</v>
      </c>
      <c r="P14952" s="33">
        <f t="shared" si="932"/>
        <v>0</v>
      </c>
      <c r="Q14952" s="31" t="str">
        <f t="shared" si="933"/>
        <v/>
      </c>
      <c r="R14952" s="32" t="str">
        <f>IFERROR(VLOOKUP($D14952,'Informations sur les produits'!$A$3:$B$15000,2,FALSE),"")</f>
        <v/>
      </c>
      <c r="V14952">
        <f t="shared" si="934"/>
        <v>0</v>
      </c>
      <c r="W14952">
        <f t="shared" si="935"/>
        <v>0</v>
      </c>
    </row>
    <row r="14953" spans="5:23" x14ac:dyDescent="0.25">
      <c r="E14953" s="4"/>
      <c r="F14953" s="4"/>
      <c r="G14953" s="33" t="str">
        <f>IFERROR(VLOOKUP($D14953,'Informations sur les produits'!$A$3:$H$10000,8,FALSE),"0")</f>
        <v>0</v>
      </c>
      <c r="K14953" s="4"/>
      <c r="L14953" s="33" t="str">
        <f>IFERROR(VLOOKUP($J14953,'Informations sur les produits'!$A$3:$H$10000,8,FALSE),"0")</f>
        <v>0</v>
      </c>
      <c r="N14953" s="8"/>
      <c r="O14953" s="33" t="str">
        <f>IFERROR(VLOOKUP($M14953,'Informations sur les produits'!$A$3:$H$10000,8,FALSE),"0")</f>
        <v>0</v>
      </c>
      <c r="P14953" s="33">
        <f t="shared" si="932"/>
        <v>0</v>
      </c>
      <c r="Q14953" s="31" t="str">
        <f t="shared" si="933"/>
        <v/>
      </c>
      <c r="R14953" s="32" t="str">
        <f>IFERROR(VLOOKUP($D14953,'Informations sur les produits'!$A$3:$B$15000,2,FALSE),"")</f>
        <v/>
      </c>
      <c r="V14953">
        <f t="shared" si="934"/>
        <v>0</v>
      </c>
      <c r="W14953">
        <f t="shared" si="935"/>
        <v>0</v>
      </c>
    </row>
    <row r="14954" spans="5:23" x14ac:dyDescent="0.25">
      <c r="E14954" s="4"/>
      <c r="F14954" s="4"/>
      <c r="G14954" s="33" t="str">
        <f>IFERROR(VLOOKUP($D14954,'Informations sur les produits'!$A$3:$H$10000,8,FALSE),"0")</f>
        <v>0</v>
      </c>
      <c r="K14954" s="4"/>
      <c r="L14954" s="33" t="str">
        <f>IFERROR(VLOOKUP($J14954,'Informations sur les produits'!$A$3:$H$10000,8,FALSE),"0")</f>
        <v>0</v>
      </c>
      <c r="N14954" s="8"/>
      <c r="O14954" s="33" t="str">
        <f>IFERROR(VLOOKUP($M14954,'Informations sur les produits'!$A$3:$H$10000,8,FALSE),"0")</f>
        <v>0</v>
      </c>
      <c r="P14954" s="33">
        <f t="shared" si="932"/>
        <v>0</v>
      </c>
      <c r="Q14954" s="31" t="str">
        <f t="shared" si="933"/>
        <v/>
      </c>
      <c r="R14954" s="32" t="str">
        <f>IFERROR(VLOOKUP($D14954,'Informations sur les produits'!$A$3:$B$15000,2,FALSE),"")</f>
        <v/>
      </c>
      <c r="V14954">
        <f t="shared" si="934"/>
        <v>0</v>
      </c>
      <c r="W14954">
        <f t="shared" si="935"/>
        <v>0</v>
      </c>
    </row>
    <row r="14955" spans="5:23" x14ac:dyDescent="0.25">
      <c r="E14955" s="4"/>
      <c r="F14955" s="4"/>
      <c r="G14955" s="33" t="str">
        <f>IFERROR(VLOOKUP($D14955,'Informations sur les produits'!$A$3:$H$10000,8,FALSE),"0")</f>
        <v>0</v>
      </c>
      <c r="K14955" s="4"/>
      <c r="L14955" s="33" t="str">
        <f>IFERROR(VLOOKUP($J14955,'Informations sur les produits'!$A$3:$H$10000,8,FALSE),"0")</f>
        <v>0</v>
      </c>
      <c r="N14955" s="8"/>
      <c r="O14955" s="33" t="str">
        <f>IFERROR(VLOOKUP($M14955,'Informations sur les produits'!$A$3:$H$10000,8,FALSE),"0")</f>
        <v>0</v>
      </c>
      <c r="P14955" s="33">
        <f t="shared" si="932"/>
        <v>0</v>
      </c>
      <c r="Q14955" s="31" t="str">
        <f t="shared" si="933"/>
        <v/>
      </c>
      <c r="R14955" s="32" t="str">
        <f>IFERROR(VLOOKUP($D14955,'Informations sur les produits'!$A$3:$B$15000,2,FALSE),"")</f>
        <v/>
      </c>
      <c r="V14955">
        <f t="shared" si="934"/>
        <v>0</v>
      </c>
      <c r="W14955">
        <f t="shared" si="935"/>
        <v>0</v>
      </c>
    </row>
    <row r="14956" spans="5:23" x14ac:dyDescent="0.25">
      <c r="E14956" s="4"/>
      <c r="F14956" s="4"/>
      <c r="G14956" s="33" t="str">
        <f>IFERROR(VLOOKUP($D14956,'Informations sur les produits'!$A$3:$H$10000,8,FALSE),"0")</f>
        <v>0</v>
      </c>
      <c r="K14956" s="4"/>
      <c r="L14956" s="33" t="str">
        <f>IFERROR(VLOOKUP($J14956,'Informations sur les produits'!$A$3:$H$10000,8,FALSE),"0")</f>
        <v>0</v>
      </c>
      <c r="N14956" s="8"/>
      <c r="O14956" s="33" t="str">
        <f>IFERROR(VLOOKUP($M14956,'Informations sur les produits'!$A$3:$H$10000,8,FALSE),"0")</f>
        <v>0</v>
      </c>
      <c r="P14956" s="33">
        <f t="shared" si="932"/>
        <v>0</v>
      </c>
      <c r="Q14956" s="31" t="str">
        <f t="shared" si="933"/>
        <v/>
      </c>
      <c r="R14956" s="32" t="str">
        <f>IFERROR(VLOOKUP($D14956,'Informations sur les produits'!$A$3:$B$15000,2,FALSE),"")</f>
        <v/>
      </c>
      <c r="V14956">
        <f t="shared" si="934"/>
        <v>0</v>
      </c>
      <c r="W14956">
        <f t="shared" si="935"/>
        <v>0</v>
      </c>
    </row>
    <row r="14957" spans="5:23" x14ac:dyDescent="0.25">
      <c r="E14957" s="4"/>
      <c r="F14957" s="4"/>
      <c r="G14957" s="33" t="str">
        <f>IFERROR(VLOOKUP($D14957,'Informations sur les produits'!$A$3:$H$10000,8,FALSE),"0")</f>
        <v>0</v>
      </c>
      <c r="K14957" s="4"/>
      <c r="L14957" s="33" t="str">
        <f>IFERROR(VLOOKUP($J14957,'Informations sur les produits'!$A$3:$H$10000,8,FALSE),"0")</f>
        <v>0</v>
      </c>
      <c r="N14957" s="8"/>
      <c r="O14957" s="33" t="str">
        <f>IFERROR(VLOOKUP($M14957,'Informations sur les produits'!$A$3:$H$10000,8,FALSE),"0")</f>
        <v>0</v>
      </c>
      <c r="P14957" s="33">
        <f t="shared" si="932"/>
        <v>0</v>
      </c>
      <c r="Q14957" s="31" t="str">
        <f t="shared" si="933"/>
        <v/>
      </c>
      <c r="R14957" s="32" t="str">
        <f>IFERROR(VLOOKUP($D14957,'Informations sur les produits'!$A$3:$B$15000,2,FALSE),"")</f>
        <v/>
      </c>
      <c r="V14957">
        <f t="shared" si="934"/>
        <v>0</v>
      </c>
      <c r="W14957">
        <f t="shared" si="935"/>
        <v>0</v>
      </c>
    </row>
    <row r="14958" spans="5:23" x14ac:dyDescent="0.25">
      <c r="E14958" s="4"/>
      <c r="F14958" s="4"/>
      <c r="G14958" s="33" t="str">
        <f>IFERROR(VLOOKUP($D14958,'Informations sur les produits'!$A$3:$H$10000,8,FALSE),"0")</f>
        <v>0</v>
      </c>
      <c r="K14958" s="4"/>
      <c r="L14958" s="33" t="str">
        <f>IFERROR(VLOOKUP($J14958,'Informations sur les produits'!$A$3:$H$10000,8,FALSE),"0")</f>
        <v>0</v>
      </c>
      <c r="N14958" s="8"/>
      <c r="O14958" s="33" t="str">
        <f>IFERROR(VLOOKUP($M14958,'Informations sur les produits'!$A$3:$H$10000,8,FALSE),"0")</f>
        <v>0</v>
      </c>
      <c r="P14958" s="33">
        <f t="shared" si="932"/>
        <v>0</v>
      </c>
      <c r="Q14958" s="31" t="str">
        <f t="shared" si="933"/>
        <v/>
      </c>
      <c r="R14958" s="32" t="str">
        <f>IFERROR(VLOOKUP($D14958,'Informations sur les produits'!$A$3:$B$15000,2,FALSE),"")</f>
        <v/>
      </c>
      <c r="V14958">
        <f t="shared" si="934"/>
        <v>0</v>
      </c>
      <c r="W14958">
        <f t="shared" si="935"/>
        <v>0</v>
      </c>
    </row>
    <row r="14959" spans="5:23" x14ac:dyDescent="0.25">
      <c r="E14959" s="4"/>
      <c r="F14959" s="4"/>
      <c r="G14959" s="33" t="str">
        <f>IFERROR(VLOOKUP($D14959,'Informations sur les produits'!$A$3:$H$10000,8,FALSE),"0")</f>
        <v>0</v>
      </c>
      <c r="K14959" s="4"/>
      <c r="L14959" s="33" t="str">
        <f>IFERROR(VLOOKUP($J14959,'Informations sur les produits'!$A$3:$H$10000,8,FALSE),"0")</f>
        <v>0</v>
      </c>
      <c r="N14959" s="8"/>
      <c r="O14959" s="33" t="str">
        <f>IFERROR(VLOOKUP($M14959,'Informations sur les produits'!$A$3:$H$10000,8,FALSE),"0")</f>
        <v>0</v>
      </c>
      <c r="P14959" s="33">
        <f t="shared" si="932"/>
        <v>0</v>
      </c>
      <c r="Q14959" s="31" t="str">
        <f t="shared" si="933"/>
        <v/>
      </c>
      <c r="R14959" s="32" t="str">
        <f>IFERROR(VLOOKUP($D14959,'Informations sur les produits'!$A$3:$B$15000,2,FALSE),"")</f>
        <v/>
      </c>
      <c r="V14959">
        <f t="shared" si="934"/>
        <v>0</v>
      </c>
      <c r="W14959">
        <f t="shared" si="935"/>
        <v>0</v>
      </c>
    </row>
    <row r="14960" spans="5:23" x14ac:dyDescent="0.25">
      <c r="E14960" s="4"/>
      <c r="F14960" s="4"/>
      <c r="G14960" s="33" t="str">
        <f>IFERROR(VLOOKUP($D14960,'Informations sur les produits'!$A$3:$H$10000,8,FALSE),"0")</f>
        <v>0</v>
      </c>
      <c r="K14960" s="4"/>
      <c r="L14960" s="33" t="str">
        <f>IFERROR(VLOOKUP($J14960,'Informations sur les produits'!$A$3:$H$10000,8,FALSE),"0")</f>
        <v>0</v>
      </c>
      <c r="N14960" s="8"/>
      <c r="O14960" s="33" t="str">
        <f>IFERROR(VLOOKUP($M14960,'Informations sur les produits'!$A$3:$H$10000,8,FALSE),"0")</f>
        <v>0</v>
      </c>
      <c r="P14960" s="33">
        <f t="shared" si="932"/>
        <v>0</v>
      </c>
      <c r="Q14960" s="31" t="str">
        <f t="shared" si="933"/>
        <v/>
      </c>
      <c r="R14960" s="32" t="str">
        <f>IFERROR(VLOOKUP($D14960,'Informations sur les produits'!$A$3:$B$15000,2,FALSE),"")</f>
        <v/>
      </c>
      <c r="V14960">
        <f t="shared" si="934"/>
        <v>0</v>
      </c>
      <c r="W14960">
        <f t="shared" si="935"/>
        <v>0</v>
      </c>
    </row>
    <row r="14961" spans="5:23" x14ac:dyDescent="0.25">
      <c r="E14961" s="4"/>
      <c r="F14961" s="4"/>
      <c r="G14961" s="33" t="str">
        <f>IFERROR(VLOOKUP($D14961,'Informations sur les produits'!$A$3:$H$10000,8,FALSE),"0")</f>
        <v>0</v>
      </c>
      <c r="K14961" s="4"/>
      <c r="L14961" s="33" t="str">
        <f>IFERROR(VLOOKUP($J14961,'Informations sur les produits'!$A$3:$H$10000,8,FALSE),"0")</f>
        <v>0</v>
      </c>
      <c r="N14961" s="8"/>
      <c r="O14961" s="33" t="str">
        <f>IFERROR(VLOOKUP($M14961,'Informations sur les produits'!$A$3:$H$10000,8,FALSE),"0")</f>
        <v>0</v>
      </c>
      <c r="P14961" s="33">
        <f t="shared" si="932"/>
        <v>0</v>
      </c>
      <c r="Q14961" s="31" t="str">
        <f t="shared" si="933"/>
        <v/>
      </c>
      <c r="R14961" s="32" t="str">
        <f>IFERROR(VLOOKUP($D14961,'Informations sur les produits'!$A$3:$B$15000,2,FALSE),"")</f>
        <v/>
      </c>
      <c r="V14961">
        <f t="shared" si="934"/>
        <v>0</v>
      </c>
      <c r="W14961">
        <f t="shared" si="935"/>
        <v>0</v>
      </c>
    </row>
    <row r="14962" spans="5:23" x14ac:dyDescent="0.25">
      <c r="E14962" s="4"/>
      <c r="F14962" s="4"/>
      <c r="G14962" s="33" t="str">
        <f>IFERROR(VLOOKUP($D14962,'Informations sur les produits'!$A$3:$H$10000,8,FALSE),"0")</f>
        <v>0</v>
      </c>
      <c r="K14962" s="4"/>
      <c r="L14962" s="33" t="str">
        <f>IFERROR(VLOOKUP($J14962,'Informations sur les produits'!$A$3:$H$10000,8,FALSE),"0")</f>
        <v>0</v>
      </c>
      <c r="N14962" s="8"/>
      <c r="O14962" s="33" t="str">
        <f>IFERROR(VLOOKUP($M14962,'Informations sur les produits'!$A$3:$H$10000,8,FALSE),"0")</f>
        <v>0</v>
      </c>
      <c r="P14962" s="33">
        <f t="shared" si="932"/>
        <v>0</v>
      </c>
      <c r="Q14962" s="31" t="str">
        <f t="shared" si="933"/>
        <v/>
      </c>
      <c r="R14962" s="32" t="str">
        <f>IFERROR(VLOOKUP($D14962,'Informations sur les produits'!$A$3:$B$15000,2,FALSE),"")</f>
        <v/>
      </c>
      <c r="V14962">
        <f t="shared" si="934"/>
        <v>0</v>
      </c>
      <c r="W14962">
        <f t="shared" si="935"/>
        <v>0</v>
      </c>
    </row>
    <row r="14963" spans="5:23" x14ac:dyDescent="0.25">
      <c r="E14963" s="4"/>
      <c r="F14963" s="4"/>
      <c r="G14963" s="33" t="str">
        <f>IFERROR(VLOOKUP($D14963,'Informations sur les produits'!$A$3:$H$10000,8,FALSE),"0")</f>
        <v>0</v>
      </c>
      <c r="K14963" s="4"/>
      <c r="L14963" s="33" t="str">
        <f>IFERROR(VLOOKUP($J14963,'Informations sur les produits'!$A$3:$H$10000,8,FALSE),"0")</f>
        <v>0</v>
      </c>
      <c r="N14963" s="8"/>
      <c r="O14963" s="33" t="str">
        <f>IFERROR(VLOOKUP($M14963,'Informations sur les produits'!$A$3:$H$10000,8,FALSE),"0")</f>
        <v>0</v>
      </c>
      <c r="P14963" s="33">
        <f t="shared" si="932"/>
        <v>0</v>
      </c>
      <c r="Q14963" s="31" t="str">
        <f t="shared" si="933"/>
        <v/>
      </c>
      <c r="R14963" s="32" t="str">
        <f>IFERROR(VLOOKUP($D14963,'Informations sur les produits'!$A$3:$B$15000,2,FALSE),"")</f>
        <v/>
      </c>
      <c r="V14963">
        <f t="shared" si="934"/>
        <v>0</v>
      </c>
      <c r="W14963">
        <f t="shared" si="935"/>
        <v>0</v>
      </c>
    </row>
    <row r="14964" spans="5:23" x14ac:dyDescent="0.25">
      <c r="E14964" s="4"/>
      <c r="F14964" s="4"/>
      <c r="G14964" s="33" t="str">
        <f>IFERROR(VLOOKUP($D14964,'Informations sur les produits'!$A$3:$H$10000,8,FALSE),"0")</f>
        <v>0</v>
      </c>
      <c r="K14964" s="4"/>
      <c r="L14964" s="33" t="str">
        <f>IFERROR(VLOOKUP($J14964,'Informations sur les produits'!$A$3:$H$10000,8,FALSE),"0")</f>
        <v>0</v>
      </c>
      <c r="N14964" s="8"/>
      <c r="O14964" s="33" t="str">
        <f>IFERROR(VLOOKUP($M14964,'Informations sur les produits'!$A$3:$H$10000,8,FALSE),"0")</f>
        <v>0</v>
      </c>
      <c r="P14964" s="33">
        <f t="shared" si="932"/>
        <v>0</v>
      </c>
      <c r="Q14964" s="31" t="str">
        <f t="shared" si="933"/>
        <v/>
      </c>
      <c r="R14964" s="32" t="str">
        <f>IFERROR(VLOOKUP($D14964,'Informations sur les produits'!$A$3:$B$15000,2,FALSE),"")</f>
        <v/>
      </c>
      <c r="V14964">
        <f t="shared" si="934"/>
        <v>0</v>
      </c>
      <c r="W14964">
        <f t="shared" si="935"/>
        <v>0</v>
      </c>
    </row>
    <row r="14965" spans="5:23" x14ac:dyDescent="0.25">
      <c r="E14965" s="4"/>
      <c r="F14965" s="4"/>
      <c r="G14965" s="33" t="str">
        <f>IFERROR(VLOOKUP($D14965,'Informations sur les produits'!$A$3:$H$10000,8,FALSE),"0")</f>
        <v>0</v>
      </c>
      <c r="K14965" s="4"/>
      <c r="L14965" s="33" t="str">
        <f>IFERROR(VLOOKUP($J14965,'Informations sur les produits'!$A$3:$H$10000,8,FALSE),"0")</f>
        <v>0</v>
      </c>
      <c r="N14965" s="8"/>
      <c r="O14965" s="33" t="str">
        <f>IFERROR(VLOOKUP($M14965,'Informations sur les produits'!$A$3:$H$10000,8,FALSE),"0")</f>
        <v>0</v>
      </c>
      <c r="P14965" s="33">
        <f t="shared" si="932"/>
        <v>0</v>
      </c>
      <c r="Q14965" s="31" t="str">
        <f t="shared" si="933"/>
        <v/>
      </c>
      <c r="R14965" s="32" t="str">
        <f>IFERROR(VLOOKUP($D14965,'Informations sur les produits'!$A$3:$B$15000,2,FALSE),"")</f>
        <v/>
      </c>
      <c r="V14965">
        <f t="shared" si="934"/>
        <v>0</v>
      </c>
      <c r="W14965">
        <f t="shared" si="935"/>
        <v>0</v>
      </c>
    </row>
    <row r="14966" spans="5:23" x14ac:dyDescent="0.25">
      <c r="E14966" s="4"/>
      <c r="F14966" s="4"/>
      <c r="G14966" s="33" t="str">
        <f>IFERROR(VLOOKUP($D14966,'Informations sur les produits'!$A$3:$H$10000,8,FALSE),"0")</f>
        <v>0</v>
      </c>
      <c r="K14966" s="4"/>
      <c r="L14966" s="33" t="str">
        <f>IFERROR(VLOOKUP($J14966,'Informations sur les produits'!$A$3:$H$10000,8,FALSE),"0")</f>
        <v>0</v>
      </c>
      <c r="N14966" s="8"/>
      <c r="O14966" s="33" t="str">
        <f>IFERROR(VLOOKUP($M14966,'Informations sur les produits'!$A$3:$H$10000,8,FALSE),"0")</f>
        <v>0</v>
      </c>
      <c r="P14966" s="33">
        <f t="shared" si="932"/>
        <v>0</v>
      </c>
      <c r="Q14966" s="31" t="str">
        <f t="shared" si="933"/>
        <v/>
      </c>
      <c r="R14966" s="32" t="str">
        <f>IFERROR(VLOOKUP($D14966,'Informations sur les produits'!$A$3:$B$15000,2,FALSE),"")</f>
        <v/>
      </c>
      <c r="V14966">
        <f t="shared" si="934"/>
        <v>0</v>
      </c>
      <c r="W14966">
        <f t="shared" si="935"/>
        <v>0</v>
      </c>
    </row>
    <row r="14967" spans="5:23" x14ac:dyDescent="0.25">
      <c r="E14967" s="4"/>
      <c r="F14967" s="4"/>
      <c r="G14967" s="33" t="str">
        <f>IFERROR(VLOOKUP($D14967,'Informations sur les produits'!$A$3:$H$10000,8,FALSE),"0")</f>
        <v>0</v>
      </c>
      <c r="K14967" s="4"/>
      <c r="L14967" s="33" t="str">
        <f>IFERROR(VLOOKUP($J14967,'Informations sur les produits'!$A$3:$H$10000,8,FALSE),"0")</f>
        <v>0</v>
      </c>
      <c r="N14967" s="8"/>
      <c r="O14967" s="33" t="str">
        <f>IFERROR(VLOOKUP($M14967,'Informations sur les produits'!$A$3:$H$10000,8,FALSE),"0")</f>
        <v>0</v>
      </c>
      <c r="P14967" s="33">
        <f t="shared" si="932"/>
        <v>0</v>
      </c>
      <c r="Q14967" s="31" t="str">
        <f t="shared" si="933"/>
        <v/>
      </c>
      <c r="R14967" s="32" t="str">
        <f>IFERROR(VLOOKUP($D14967,'Informations sur les produits'!$A$3:$B$15000,2,FALSE),"")</f>
        <v/>
      </c>
      <c r="V14967">
        <f t="shared" si="934"/>
        <v>0</v>
      </c>
      <c r="W14967">
        <f t="shared" si="935"/>
        <v>0</v>
      </c>
    </row>
    <row r="14968" spans="5:23" x14ac:dyDescent="0.25">
      <c r="E14968" s="4"/>
      <c r="F14968" s="4"/>
      <c r="G14968" s="33" t="str">
        <f>IFERROR(VLOOKUP($D14968,'Informations sur les produits'!$A$3:$H$10000,8,FALSE),"0")</f>
        <v>0</v>
      </c>
      <c r="K14968" s="4"/>
      <c r="L14968" s="33" t="str">
        <f>IFERROR(VLOOKUP($J14968,'Informations sur les produits'!$A$3:$H$10000,8,FALSE),"0")</f>
        <v>0</v>
      </c>
      <c r="N14968" s="8"/>
      <c r="O14968" s="33" t="str">
        <f>IFERROR(VLOOKUP($M14968,'Informations sur les produits'!$A$3:$H$10000,8,FALSE),"0")</f>
        <v>0</v>
      </c>
      <c r="P14968" s="33">
        <f t="shared" si="932"/>
        <v>0</v>
      </c>
      <c r="Q14968" s="31" t="str">
        <f t="shared" si="933"/>
        <v/>
      </c>
      <c r="R14968" s="32" t="str">
        <f>IFERROR(VLOOKUP($D14968,'Informations sur les produits'!$A$3:$B$15000,2,FALSE),"")</f>
        <v/>
      </c>
      <c r="V14968">
        <f t="shared" si="934"/>
        <v>0</v>
      </c>
      <c r="W14968">
        <f t="shared" si="935"/>
        <v>0</v>
      </c>
    </row>
    <row r="14969" spans="5:23" x14ac:dyDescent="0.25">
      <c r="E14969" s="4"/>
      <c r="F14969" s="4"/>
      <c r="G14969" s="33" t="str">
        <f>IFERROR(VLOOKUP($D14969,'Informations sur les produits'!$A$3:$H$10000,8,FALSE),"0")</f>
        <v>0</v>
      </c>
      <c r="K14969" s="4"/>
      <c r="L14969" s="33" t="str">
        <f>IFERROR(VLOOKUP($J14969,'Informations sur les produits'!$A$3:$H$10000,8,FALSE),"0")</f>
        <v>0</v>
      </c>
      <c r="N14969" s="8"/>
      <c r="O14969" s="33" t="str">
        <f>IFERROR(VLOOKUP($M14969,'Informations sur les produits'!$A$3:$H$10000,8,FALSE),"0")</f>
        <v>0</v>
      </c>
      <c r="P14969" s="33">
        <f t="shared" si="932"/>
        <v>0</v>
      </c>
      <c r="Q14969" s="31" t="str">
        <f t="shared" si="933"/>
        <v/>
      </c>
      <c r="R14969" s="32" t="str">
        <f>IFERROR(VLOOKUP($D14969,'Informations sur les produits'!$A$3:$B$15000,2,FALSE),"")</f>
        <v/>
      </c>
      <c r="V14969">
        <f t="shared" si="934"/>
        <v>0</v>
      </c>
      <c r="W14969">
        <f t="shared" si="935"/>
        <v>0</v>
      </c>
    </row>
    <row r="14970" spans="5:23" x14ac:dyDescent="0.25">
      <c r="E14970" s="4"/>
      <c r="F14970" s="4"/>
      <c r="G14970" s="33" t="str">
        <f>IFERROR(VLOOKUP($D14970,'Informations sur les produits'!$A$3:$H$10000,8,FALSE),"0")</f>
        <v>0</v>
      </c>
      <c r="K14970" s="4"/>
      <c r="L14970" s="33" t="str">
        <f>IFERROR(VLOOKUP($J14970,'Informations sur les produits'!$A$3:$H$10000,8,FALSE),"0")</f>
        <v>0</v>
      </c>
      <c r="N14970" s="8"/>
      <c r="O14970" s="33" t="str">
        <f>IFERROR(VLOOKUP($M14970,'Informations sur les produits'!$A$3:$H$10000,8,FALSE),"0")</f>
        <v>0</v>
      </c>
      <c r="P14970" s="33">
        <f t="shared" si="932"/>
        <v>0</v>
      </c>
      <c r="Q14970" s="31" t="str">
        <f t="shared" si="933"/>
        <v/>
      </c>
      <c r="R14970" s="32" t="str">
        <f>IFERROR(VLOOKUP($D14970,'Informations sur les produits'!$A$3:$B$15000,2,FALSE),"")</f>
        <v/>
      </c>
      <c r="V14970">
        <f t="shared" si="934"/>
        <v>0</v>
      </c>
      <c r="W14970">
        <f t="shared" si="935"/>
        <v>0</v>
      </c>
    </row>
    <row r="14971" spans="5:23" x14ac:dyDescent="0.25">
      <c r="E14971" s="4"/>
      <c r="F14971" s="4"/>
      <c r="G14971" s="33" t="str">
        <f>IFERROR(VLOOKUP($D14971,'Informations sur les produits'!$A$3:$H$10000,8,FALSE),"0")</f>
        <v>0</v>
      </c>
      <c r="K14971" s="4"/>
      <c r="L14971" s="33" t="str">
        <f>IFERROR(VLOOKUP($J14971,'Informations sur les produits'!$A$3:$H$10000,8,FALSE),"0")</f>
        <v>0</v>
      </c>
      <c r="N14971" s="8"/>
      <c r="O14971" s="33" t="str">
        <f>IFERROR(VLOOKUP($M14971,'Informations sur les produits'!$A$3:$H$10000,8,FALSE),"0")</f>
        <v>0</v>
      </c>
      <c r="P14971" s="33">
        <f t="shared" si="932"/>
        <v>0</v>
      </c>
      <c r="Q14971" s="31" t="str">
        <f t="shared" si="933"/>
        <v/>
      </c>
      <c r="R14971" s="32" t="str">
        <f>IFERROR(VLOOKUP($D14971,'Informations sur les produits'!$A$3:$B$15000,2,FALSE),"")</f>
        <v/>
      </c>
      <c r="V14971">
        <f t="shared" si="934"/>
        <v>0</v>
      </c>
      <c r="W14971">
        <f t="shared" si="935"/>
        <v>0</v>
      </c>
    </row>
    <row r="14972" spans="5:23" x14ac:dyDescent="0.25">
      <c r="E14972" s="4"/>
      <c r="F14972" s="4"/>
      <c r="G14972" s="33" t="str">
        <f>IFERROR(VLOOKUP($D14972,'Informations sur les produits'!$A$3:$H$10000,8,FALSE),"0")</f>
        <v>0</v>
      </c>
      <c r="K14972" s="4"/>
      <c r="L14972" s="33" t="str">
        <f>IFERROR(VLOOKUP($J14972,'Informations sur les produits'!$A$3:$H$10000,8,FALSE),"0")</f>
        <v>0</v>
      </c>
      <c r="N14972" s="8"/>
      <c r="O14972" s="33" t="str">
        <f>IFERROR(VLOOKUP($M14972,'Informations sur les produits'!$A$3:$H$10000,8,FALSE),"0")</f>
        <v>0</v>
      </c>
      <c r="P14972" s="33">
        <f t="shared" si="932"/>
        <v>0</v>
      </c>
      <c r="Q14972" s="31" t="str">
        <f t="shared" si="933"/>
        <v/>
      </c>
      <c r="R14972" s="32" t="str">
        <f>IFERROR(VLOOKUP($D14972,'Informations sur les produits'!$A$3:$B$15000,2,FALSE),"")</f>
        <v/>
      </c>
      <c r="V14972">
        <f t="shared" si="934"/>
        <v>0</v>
      </c>
      <c r="W14972">
        <f t="shared" si="935"/>
        <v>0</v>
      </c>
    </row>
    <row r="14973" spans="5:23" x14ac:dyDescent="0.25">
      <c r="E14973" s="4"/>
      <c r="F14973" s="4"/>
      <c r="G14973" s="33" t="str">
        <f>IFERROR(VLOOKUP($D14973,'Informations sur les produits'!$A$3:$H$10000,8,FALSE),"0")</f>
        <v>0</v>
      </c>
      <c r="K14973" s="4"/>
      <c r="L14973" s="33" t="str">
        <f>IFERROR(VLOOKUP($J14973,'Informations sur les produits'!$A$3:$H$10000,8,FALSE),"0")</f>
        <v>0</v>
      </c>
      <c r="N14973" s="8"/>
      <c r="O14973" s="33" t="str">
        <f>IFERROR(VLOOKUP($M14973,'Informations sur les produits'!$A$3:$H$10000,8,FALSE),"0")</f>
        <v>0</v>
      </c>
      <c r="P14973" s="33">
        <f t="shared" si="932"/>
        <v>0</v>
      </c>
      <c r="Q14973" s="31" t="str">
        <f t="shared" si="933"/>
        <v/>
      </c>
      <c r="R14973" s="32" t="str">
        <f>IFERROR(VLOOKUP($D14973,'Informations sur les produits'!$A$3:$B$15000,2,FALSE),"")</f>
        <v/>
      </c>
      <c r="V14973">
        <f t="shared" si="934"/>
        <v>0</v>
      </c>
      <c r="W14973">
        <f t="shared" si="935"/>
        <v>0</v>
      </c>
    </row>
    <row r="14974" spans="5:23" x14ac:dyDescent="0.25">
      <c r="E14974" s="4"/>
      <c r="F14974" s="4"/>
      <c r="G14974" s="33" t="str">
        <f>IFERROR(VLOOKUP($D14974,'Informations sur les produits'!$A$3:$H$10000,8,FALSE),"0")</f>
        <v>0</v>
      </c>
      <c r="K14974" s="4"/>
      <c r="L14974" s="33" t="str">
        <f>IFERROR(VLOOKUP($J14974,'Informations sur les produits'!$A$3:$H$10000,8,FALSE),"0")</f>
        <v>0</v>
      </c>
      <c r="N14974" s="8"/>
      <c r="O14974" s="33" t="str">
        <f>IFERROR(VLOOKUP($M14974,'Informations sur les produits'!$A$3:$H$10000,8,FALSE),"0")</f>
        <v>0</v>
      </c>
      <c r="P14974" s="33">
        <f t="shared" si="932"/>
        <v>0</v>
      </c>
      <c r="Q14974" s="31" t="str">
        <f t="shared" si="933"/>
        <v/>
      </c>
      <c r="R14974" s="32" t="str">
        <f>IFERROR(VLOOKUP($D14974,'Informations sur les produits'!$A$3:$B$15000,2,FALSE),"")</f>
        <v/>
      </c>
      <c r="V14974">
        <f t="shared" si="934"/>
        <v>0</v>
      </c>
      <c r="W14974">
        <f t="shared" si="935"/>
        <v>0</v>
      </c>
    </row>
    <row r="14975" spans="5:23" x14ac:dyDescent="0.25">
      <c r="E14975" s="4"/>
      <c r="F14975" s="4"/>
      <c r="G14975" s="33" t="str">
        <f>IFERROR(VLOOKUP($D14975,'Informations sur les produits'!$A$3:$H$10000,8,FALSE),"0")</f>
        <v>0</v>
      </c>
      <c r="K14975" s="4"/>
      <c r="L14975" s="33" t="str">
        <f>IFERROR(VLOOKUP($J14975,'Informations sur les produits'!$A$3:$H$10000,8,FALSE),"0")</f>
        <v>0</v>
      </c>
      <c r="N14975" s="8"/>
      <c r="O14975" s="33" t="str">
        <f>IFERROR(VLOOKUP($M14975,'Informations sur les produits'!$A$3:$H$10000,8,FALSE),"0")</f>
        <v>0</v>
      </c>
      <c r="P14975" s="33">
        <f t="shared" si="932"/>
        <v>0</v>
      </c>
      <c r="Q14975" s="31" t="str">
        <f t="shared" si="933"/>
        <v/>
      </c>
      <c r="R14975" s="32" t="str">
        <f>IFERROR(VLOOKUP($D14975,'Informations sur les produits'!$A$3:$B$15000,2,FALSE),"")</f>
        <v/>
      </c>
      <c r="V14975">
        <f t="shared" si="934"/>
        <v>0</v>
      </c>
      <c r="W14975">
        <f t="shared" si="935"/>
        <v>0</v>
      </c>
    </row>
    <row r="14976" spans="5:23" x14ac:dyDescent="0.25">
      <c r="E14976" s="4"/>
      <c r="F14976" s="4"/>
      <c r="G14976" s="33" t="str">
        <f>IFERROR(VLOOKUP($D14976,'Informations sur les produits'!$A$3:$H$10000,8,FALSE),"0")</f>
        <v>0</v>
      </c>
      <c r="K14976" s="4"/>
      <c r="L14976" s="33" t="str">
        <f>IFERROR(VLOOKUP($J14976,'Informations sur les produits'!$A$3:$H$10000,8,FALSE),"0")</f>
        <v>0</v>
      </c>
      <c r="N14976" s="8"/>
      <c r="O14976" s="33" t="str">
        <f>IFERROR(VLOOKUP($M14976,'Informations sur les produits'!$A$3:$H$10000,8,FALSE),"0")</f>
        <v>0</v>
      </c>
      <c r="P14976" s="33">
        <f t="shared" si="932"/>
        <v>0</v>
      </c>
      <c r="Q14976" s="31" t="str">
        <f t="shared" si="933"/>
        <v/>
      </c>
      <c r="R14976" s="32" t="str">
        <f>IFERROR(VLOOKUP($D14976,'Informations sur les produits'!$A$3:$B$15000,2,FALSE),"")</f>
        <v/>
      </c>
      <c r="V14976">
        <f t="shared" si="934"/>
        <v>0</v>
      </c>
      <c r="W14976">
        <f t="shared" si="935"/>
        <v>0</v>
      </c>
    </row>
    <row r="14977" spans="5:23" x14ac:dyDescent="0.25">
      <c r="E14977" s="4"/>
      <c r="F14977" s="4"/>
      <c r="G14977" s="33" t="str">
        <f>IFERROR(VLOOKUP($D14977,'Informations sur les produits'!$A$3:$H$10000,8,FALSE),"0")</f>
        <v>0</v>
      </c>
      <c r="K14977" s="4"/>
      <c r="L14977" s="33" t="str">
        <f>IFERROR(VLOOKUP($J14977,'Informations sur les produits'!$A$3:$H$10000,8,FALSE),"0")</f>
        <v>0</v>
      </c>
      <c r="N14977" s="8"/>
      <c r="O14977" s="33" t="str">
        <f>IFERROR(VLOOKUP($M14977,'Informations sur les produits'!$A$3:$H$10000,8,FALSE),"0")</f>
        <v>0</v>
      </c>
      <c r="P14977" s="33">
        <f t="shared" si="932"/>
        <v>0</v>
      </c>
      <c r="Q14977" s="31" t="str">
        <f t="shared" si="933"/>
        <v/>
      </c>
      <c r="R14977" s="32" t="str">
        <f>IFERROR(VLOOKUP($D14977,'Informations sur les produits'!$A$3:$B$15000,2,FALSE),"")</f>
        <v/>
      </c>
      <c r="V14977">
        <f t="shared" si="934"/>
        <v>0</v>
      </c>
      <c r="W14977">
        <f t="shared" si="935"/>
        <v>0</v>
      </c>
    </row>
    <row r="14978" spans="5:23" x14ac:dyDescent="0.25">
      <c r="E14978" s="4"/>
      <c r="F14978" s="4"/>
      <c r="G14978" s="33" t="str">
        <f>IFERROR(VLOOKUP($D14978,'Informations sur les produits'!$A$3:$H$10000,8,FALSE),"0")</f>
        <v>0</v>
      </c>
      <c r="K14978" s="4"/>
      <c r="L14978" s="33" t="str">
        <f>IFERROR(VLOOKUP($J14978,'Informations sur les produits'!$A$3:$H$10000,8,FALSE),"0")</f>
        <v>0</v>
      </c>
      <c r="N14978" s="8"/>
      <c r="O14978" s="33" t="str">
        <f>IFERROR(VLOOKUP($M14978,'Informations sur les produits'!$A$3:$H$10000,8,FALSE),"0")</f>
        <v>0</v>
      </c>
      <c r="P14978" s="33">
        <f t="shared" si="932"/>
        <v>0</v>
      </c>
      <c r="Q14978" s="31" t="str">
        <f t="shared" si="933"/>
        <v/>
      </c>
      <c r="R14978" s="32" t="str">
        <f>IFERROR(VLOOKUP($D14978,'Informations sur les produits'!$A$3:$B$15000,2,FALSE),"")</f>
        <v/>
      </c>
      <c r="V14978">
        <f t="shared" si="934"/>
        <v>0</v>
      </c>
      <c r="W14978">
        <f t="shared" si="935"/>
        <v>0</v>
      </c>
    </row>
    <row r="14979" spans="5:23" x14ac:dyDescent="0.25">
      <c r="E14979" s="4"/>
      <c r="F14979" s="4"/>
      <c r="G14979" s="33" t="str">
        <f>IFERROR(VLOOKUP($D14979,'Informations sur les produits'!$A$3:$H$10000,8,FALSE),"0")</f>
        <v>0</v>
      </c>
      <c r="K14979" s="4"/>
      <c r="L14979" s="33" t="str">
        <f>IFERROR(VLOOKUP($J14979,'Informations sur les produits'!$A$3:$H$10000,8,FALSE),"0")</f>
        <v>0</v>
      </c>
      <c r="N14979" s="8"/>
      <c r="O14979" s="33" t="str">
        <f>IFERROR(VLOOKUP($M14979,'Informations sur les produits'!$A$3:$H$10000,8,FALSE),"0")</f>
        <v>0</v>
      </c>
      <c r="P14979" s="33">
        <f t="shared" si="932"/>
        <v>0</v>
      </c>
      <c r="Q14979" s="31" t="str">
        <f t="shared" si="933"/>
        <v/>
      </c>
      <c r="R14979" s="32" t="str">
        <f>IFERROR(VLOOKUP($D14979,'Informations sur les produits'!$A$3:$B$15000,2,FALSE),"")</f>
        <v/>
      </c>
      <c r="V14979">
        <f t="shared" si="934"/>
        <v>0</v>
      </c>
      <c r="W14979">
        <f t="shared" si="935"/>
        <v>0</v>
      </c>
    </row>
    <row r="14980" spans="5:23" x14ac:dyDescent="0.25">
      <c r="E14980" s="4"/>
      <c r="F14980" s="4"/>
      <c r="G14980" s="33" t="str">
        <f>IFERROR(VLOOKUP($D14980,'Informations sur les produits'!$A$3:$H$10000,8,FALSE),"0")</f>
        <v>0</v>
      </c>
      <c r="K14980" s="4"/>
      <c r="L14980" s="33" t="str">
        <f>IFERROR(VLOOKUP($J14980,'Informations sur les produits'!$A$3:$H$10000,8,FALSE),"0")</f>
        <v>0</v>
      </c>
      <c r="N14980" s="8"/>
      <c r="O14980" s="33" t="str">
        <f>IFERROR(VLOOKUP($M14980,'Informations sur les produits'!$A$3:$H$10000,8,FALSE),"0")</f>
        <v>0</v>
      </c>
      <c r="P14980" s="33">
        <f t="shared" ref="P14980:P15001" si="936">IFERROR((($E14980-$F14980)*$G14980+$K14980*$L14980+$N14980*$O14980),"")</f>
        <v>0</v>
      </c>
      <c r="Q14980" s="31" t="str">
        <f t="shared" ref="Q14980:Q15043" si="937">IFERROR((((($E14980-$F14980)*$G14980+$K14980*$L14980+$N14980*$O14980)*1000)/(($E14980-$F14980)+$K14980+$N14980)),"")</f>
        <v/>
      </c>
      <c r="R14980" s="32" t="str">
        <f>IFERROR(VLOOKUP($D14980,'Informations sur les produits'!$A$3:$B$15000,2,FALSE),"")</f>
        <v/>
      </c>
      <c r="V14980">
        <f t="shared" ref="V14980:V15000" si="938">IFERROR(P14980*1000,"")</f>
        <v>0</v>
      </c>
      <c r="W14980">
        <f t="shared" ref="W14980:W15000" si="939">IFERROR(($E14980-$F14980)+$K14980+$N14980,"")</f>
        <v>0</v>
      </c>
    </row>
    <row r="14981" spans="5:23" x14ac:dyDescent="0.25">
      <c r="E14981" s="4"/>
      <c r="F14981" s="4"/>
      <c r="G14981" s="33" t="str">
        <f>IFERROR(VLOOKUP($D14981,'Informations sur les produits'!$A$3:$H$10000,8,FALSE),"0")</f>
        <v>0</v>
      </c>
      <c r="K14981" s="4"/>
      <c r="L14981" s="33" t="str">
        <f>IFERROR(VLOOKUP($J14981,'Informations sur les produits'!$A$3:$H$10000,8,FALSE),"0")</f>
        <v>0</v>
      </c>
      <c r="N14981" s="8"/>
      <c r="O14981" s="33" t="str">
        <f>IFERROR(VLOOKUP($M14981,'Informations sur les produits'!$A$3:$H$10000,8,FALSE),"0")</f>
        <v>0</v>
      </c>
      <c r="P14981" s="33">
        <f t="shared" si="936"/>
        <v>0</v>
      </c>
      <c r="Q14981" s="31" t="str">
        <f t="shared" si="937"/>
        <v/>
      </c>
      <c r="R14981" s="32" t="str">
        <f>IFERROR(VLOOKUP($D14981,'Informations sur les produits'!$A$3:$B$15000,2,FALSE),"")</f>
        <v/>
      </c>
      <c r="V14981">
        <f t="shared" si="938"/>
        <v>0</v>
      </c>
      <c r="W14981">
        <f t="shared" si="939"/>
        <v>0</v>
      </c>
    </row>
    <row r="14982" spans="5:23" x14ac:dyDescent="0.25">
      <c r="E14982" s="4"/>
      <c r="F14982" s="4"/>
      <c r="G14982" s="33" t="str">
        <f>IFERROR(VLOOKUP($D14982,'Informations sur les produits'!$A$3:$H$10000,8,FALSE),"0")</f>
        <v>0</v>
      </c>
      <c r="K14982" s="4"/>
      <c r="L14982" s="33" t="str">
        <f>IFERROR(VLOOKUP($J14982,'Informations sur les produits'!$A$3:$H$10000,8,FALSE),"0")</f>
        <v>0</v>
      </c>
      <c r="N14982" s="8"/>
      <c r="O14982" s="33" t="str">
        <f>IFERROR(VLOOKUP($M14982,'Informations sur les produits'!$A$3:$H$10000,8,FALSE),"0")</f>
        <v>0</v>
      </c>
      <c r="P14982" s="33">
        <f t="shared" si="936"/>
        <v>0</v>
      </c>
      <c r="Q14982" s="31" t="str">
        <f t="shared" si="937"/>
        <v/>
      </c>
      <c r="R14982" s="32" t="str">
        <f>IFERROR(VLOOKUP($D14982,'Informations sur les produits'!$A$3:$B$15000,2,FALSE),"")</f>
        <v/>
      </c>
      <c r="V14982">
        <f t="shared" si="938"/>
        <v>0</v>
      </c>
      <c r="W14982">
        <f t="shared" si="939"/>
        <v>0</v>
      </c>
    </row>
    <row r="14983" spans="5:23" x14ac:dyDescent="0.25">
      <c r="E14983" s="4"/>
      <c r="F14983" s="4"/>
      <c r="G14983" s="33" t="str">
        <f>IFERROR(VLOOKUP($D14983,'Informations sur les produits'!$A$3:$H$10000,8,FALSE),"0")</f>
        <v>0</v>
      </c>
      <c r="K14983" s="4"/>
      <c r="L14983" s="33" t="str">
        <f>IFERROR(VLOOKUP($J14983,'Informations sur les produits'!$A$3:$H$10000,8,FALSE),"0")</f>
        <v>0</v>
      </c>
      <c r="N14983" s="8"/>
      <c r="O14983" s="33" t="str">
        <f>IFERROR(VLOOKUP($M14983,'Informations sur les produits'!$A$3:$H$10000,8,FALSE),"0")</f>
        <v>0</v>
      </c>
      <c r="P14983" s="33">
        <f t="shared" si="936"/>
        <v>0</v>
      </c>
      <c r="Q14983" s="31" t="str">
        <f t="shared" si="937"/>
        <v/>
      </c>
      <c r="R14983" s="32" t="str">
        <f>IFERROR(VLOOKUP($D14983,'Informations sur les produits'!$A$3:$B$15000,2,FALSE),"")</f>
        <v/>
      </c>
      <c r="V14983">
        <f t="shared" si="938"/>
        <v>0</v>
      </c>
      <c r="W14983">
        <f t="shared" si="939"/>
        <v>0</v>
      </c>
    </row>
    <row r="14984" spans="5:23" x14ac:dyDescent="0.25">
      <c r="E14984" s="4"/>
      <c r="F14984" s="4"/>
      <c r="G14984" s="33" t="str">
        <f>IFERROR(VLOOKUP($D14984,'Informations sur les produits'!$A$3:$H$10000,8,FALSE),"0")</f>
        <v>0</v>
      </c>
      <c r="K14984" s="4"/>
      <c r="L14984" s="33" t="str">
        <f>IFERROR(VLOOKUP($J14984,'Informations sur les produits'!$A$3:$H$10000,8,FALSE),"0")</f>
        <v>0</v>
      </c>
      <c r="N14984" s="8"/>
      <c r="O14984" s="33" t="str">
        <f>IFERROR(VLOOKUP($M14984,'Informations sur les produits'!$A$3:$H$10000,8,FALSE),"0")</f>
        <v>0</v>
      </c>
      <c r="P14984" s="33">
        <f t="shared" si="936"/>
        <v>0</v>
      </c>
      <c r="Q14984" s="31" t="str">
        <f t="shared" si="937"/>
        <v/>
      </c>
      <c r="R14984" s="32" t="str">
        <f>IFERROR(VLOOKUP($D14984,'Informations sur les produits'!$A$3:$B$15000,2,FALSE),"")</f>
        <v/>
      </c>
      <c r="V14984">
        <f t="shared" si="938"/>
        <v>0</v>
      </c>
      <c r="W14984">
        <f t="shared" si="939"/>
        <v>0</v>
      </c>
    </row>
    <row r="14985" spans="5:23" x14ac:dyDescent="0.25">
      <c r="E14985" s="4"/>
      <c r="F14985" s="4"/>
      <c r="G14985" s="33" t="str">
        <f>IFERROR(VLOOKUP($D14985,'Informations sur les produits'!$A$3:$H$10000,8,FALSE),"0")</f>
        <v>0</v>
      </c>
      <c r="K14985" s="4"/>
      <c r="L14985" s="33" t="str">
        <f>IFERROR(VLOOKUP($J14985,'Informations sur les produits'!$A$3:$H$10000,8,FALSE),"0")</f>
        <v>0</v>
      </c>
      <c r="N14985" s="8"/>
      <c r="O14985" s="33" t="str">
        <f>IFERROR(VLOOKUP($M14985,'Informations sur les produits'!$A$3:$H$10000,8,FALSE),"0")</f>
        <v>0</v>
      </c>
      <c r="P14985" s="33">
        <f t="shared" si="936"/>
        <v>0</v>
      </c>
      <c r="Q14985" s="31" t="str">
        <f t="shared" si="937"/>
        <v/>
      </c>
      <c r="R14985" s="32" t="str">
        <f>IFERROR(VLOOKUP($D14985,'Informations sur les produits'!$A$3:$B$15000,2,FALSE),"")</f>
        <v/>
      </c>
      <c r="V14985">
        <f t="shared" si="938"/>
        <v>0</v>
      </c>
      <c r="W14985">
        <f t="shared" si="939"/>
        <v>0</v>
      </c>
    </row>
    <row r="14986" spans="5:23" x14ac:dyDescent="0.25">
      <c r="E14986" s="4"/>
      <c r="F14986" s="4"/>
      <c r="G14986" s="33" t="str">
        <f>IFERROR(VLOOKUP($D14986,'Informations sur les produits'!$A$3:$H$10000,8,FALSE),"0")</f>
        <v>0</v>
      </c>
      <c r="K14986" s="4"/>
      <c r="L14986" s="33" t="str">
        <f>IFERROR(VLOOKUP($J14986,'Informations sur les produits'!$A$3:$H$10000,8,FALSE),"0")</f>
        <v>0</v>
      </c>
      <c r="N14986" s="8"/>
      <c r="O14986" s="33" t="str">
        <f>IFERROR(VLOOKUP($M14986,'Informations sur les produits'!$A$3:$H$10000,8,FALSE),"0")</f>
        <v>0</v>
      </c>
      <c r="P14986" s="33">
        <f t="shared" si="936"/>
        <v>0</v>
      </c>
      <c r="Q14986" s="31" t="str">
        <f t="shared" si="937"/>
        <v/>
      </c>
      <c r="R14986" s="32" t="str">
        <f>IFERROR(VLOOKUP($D14986,'Informations sur les produits'!$A$3:$B$15000,2,FALSE),"")</f>
        <v/>
      </c>
      <c r="V14986">
        <f t="shared" si="938"/>
        <v>0</v>
      </c>
      <c r="W14986">
        <f t="shared" si="939"/>
        <v>0</v>
      </c>
    </row>
    <row r="14987" spans="5:23" x14ac:dyDescent="0.25">
      <c r="E14987" s="4"/>
      <c r="F14987" s="4"/>
      <c r="G14987" s="33" t="str">
        <f>IFERROR(VLOOKUP($D14987,'Informations sur les produits'!$A$3:$H$10000,8,FALSE),"0")</f>
        <v>0</v>
      </c>
      <c r="K14987" s="4"/>
      <c r="L14987" s="33" t="str">
        <f>IFERROR(VLOOKUP($J14987,'Informations sur les produits'!$A$3:$H$10000,8,FALSE),"0")</f>
        <v>0</v>
      </c>
      <c r="N14987" s="8"/>
      <c r="O14987" s="33" t="str">
        <f>IFERROR(VLOOKUP($M14987,'Informations sur les produits'!$A$3:$H$10000,8,FALSE),"0")</f>
        <v>0</v>
      </c>
      <c r="P14987" s="33">
        <f t="shared" si="936"/>
        <v>0</v>
      </c>
      <c r="Q14987" s="31" t="str">
        <f t="shared" si="937"/>
        <v/>
      </c>
      <c r="R14987" s="32" t="str">
        <f>IFERROR(VLOOKUP($D14987,'Informations sur les produits'!$A$3:$B$15000,2,FALSE),"")</f>
        <v/>
      </c>
      <c r="V14987">
        <f t="shared" si="938"/>
        <v>0</v>
      </c>
      <c r="W14987">
        <f t="shared" si="939"/>
        <v>0</v>
      </c>
    </row>
    <row r="14988" spans="5:23" x14ac:dyDescent="0.25">
      <c r="E14988" s="4"/>
      <c r="F14988" s="4"/>
      <c r="G14988" s="33" t="str">
        <f>IFERROR(VLOOKUP($D14988,'Informations sur les produits'!$A$3:$H$10000,8,FALSE),"0")</f>
        <v>0</v>
      </c>
      <c r="K14988" s="4"/>
      <c r="L14988" s="33" t="str">
        <f>IFERROR(VLOOKUP($J14988,'Informations sur les produits'!$A$3:$H$10000,8,FALSE),"0")</f>
        <v>0</v>
      </c>
      <c r="N14988" s="8"/>
      <c r="O14988" s="33" t="str">
        <f>IFERROR(VLOOKUP($M14988,'Informations sur les produits'!$A$3:$H$10000,8,FALSE),"0")</f>
        <v>0</v>
      </c>
      <c r="P14988" s="33">
        <f t="shared" si="936"/>
        <v>0</v>
      </c>
      <c r="Q14988" s="31" t="str">
        <f t="shared" si="937"/>
        <v/>
      </c>
      <c r="R14988" s="32" t="str">
        <f>IFERROR(VLOOKUP($D14988,'Informations sur les produits'!$A$3:$B$15000,2,FALSE),"")</f>
        <v/>
      </c>
      <c r="V14988">
        <f t="shared" si="938"/>
        <v>0</v>
      </c>
      <c r="W14988">
        <f t="shared" si="939"/>
        <v>0</v>
      </c>
    </row>
    <row r="14989" spans="5:23" x14ac:dyDescent="0.25">
      <c r="E14989" s="4"/>
      <c r="F14989" s="4"/>
      <c r="G14989" s="33" t="str">
        <f>IFERROR(VLOOKUP($D14989,'Informations sur les produits'!$A$3:$H$10000,8,FALSE),"0")</f>
        <v>0</v>
      </c>
      <c r="K14989" s="4"/>
      <c r="L14989" s="33" t="str">
        <f>IFERROR(VLOOKUP($J14989,'Informations sur les produits'!$A$3:$H$10000,8,FALSE),"0")</f>
        <v>0</v>
      </c>
      <c r="N14989" s="8"/>
      <c r="O14989" s="33" t="str">
        <f>IFERROR(VLOOKUP($M14989,'Informations sur les produits'!$A$3:$H$10000,8,FALSE),"0")</f>
        <v>0</v>
      </c>
      <c r="P14989" s="33">
        <f t="shared" si="936"/>
        <v>0</v>
      </c>
      <c r="Q14989" s="31" t="str">
        <f t="shared" si="937"/>
        <v/>
      </c>
      <c r="R14989" s="32" t="str">
        <f>IFERROR(VLOOKUP($D14989,'Informations sur les produits'!$A$3:$B$15000,2,FALSE),"")</f>
        <v/>
      </c>
      <c r="V14989">
        <f t="shared" si="938"/>
        <v>0</v>
      </c>
      <c r="W14989">
        <f t="shared" si="939"/>
        <v>0</v>
      </c>
    </row>
    <row r="14990" spans="5:23" x14ac:dyDescent="0.25">
      <c r="E14990" s="4"/>
      <c r="F14990" s="4"/>
      <c r="G14990" s="33" t="str">
        <f>IFERROR(VLOOKUP($D14990,'Informations sur les produits'!$A$3:$H$10000,8,FALSE),"0")</f>
        <v>0</v>
      </c>
      <c r="K14990" s="4"/>
      <c r="L14990" s="33" t="str">
        <f>IFERROR(VLOOKUP($J14990,'Informations sur les produits'!$A$3:$H$10000,8,FALSE),"0")</f>
        <v>0</v>
      </c>
      <c r="N14990" s="8"/>
      <c r="O14990" s="33" t="str">
        <f>IFERROR(VLOOKUP($M14990,'Informations sur les produits'!$A$3:$H$10000,8,FALSE),"0")</f>
        <v>0</v>
      </c>
      <c r="P14990" s="33">
        <f t="shared" si="936"/>
        <v>0</v>
      </c>
      <c r="Q14990" s="31" t="str">
        <f t="shared" si="937"/>
        <v/>
      </c>
      <c r="R14990" s="32" t="str">
        <f>IFERROR(VLOOKUP($D14990,'Informations sur les produits'!$A$3:$B$15000,2,FALSE),"")</f>
        <v/>
      </c>
      <c r="V14990">
        <f t="shared" si="938"/>
        <v>0</v>
      </c>
      <c r="W14990">
        <f t="shared" si="939"/>
        <v>0</v>
      </c>
    </row>
    <row r="14991" spans="5:23" x14ac:dyDescent="0.25">
      <c r="E14991" s="4"/>
      <c r="F14991" s="4"/>
      <c r="G14991" s="33" t="str">
        <f>IFERROR(VLOOKUP($D14991,'Informations sur les produits'!$A$3:$H$10000,8,FALSE),"0")</f>
        <v>0</v>
      </c>
      <c r="K14991" s="4"/>
      <c r="L14991" s="33" t="str">
        <f>IFERROR(VLOOKUP($J14991,'Informations sur les produits'!$A$3:$H$10000,8,FALSE),"0")</f>
        <v>0</v>
      </c>
      <c r="N14991" s="8"/>
      <c r="O14991" s="33" t="str">
        <f>IFERROR(VLOOKUP($M14991,'Informations sur les produits'!$A$3:$H$10000,8,FALSE),"0")</f>
        <v>0</v>
      </c>
      <c r="P14991" s="33">
        <f t="shared" si="936"/>
        <v>0</v>
      </c>
      <c r="Q14991" s="31" t="str">
        <f t="shared" si="937"/>
        <v/>
      </c>
      <c r="R14991" s="32" t="str">
        <f>IFERROR(VLOOKUP($D14991,'Informations sur les produits'!$A$3:$B$15000,2,FALSE),"")</f>
        <v/>
      </c>
      <c r="V14991">
        <f t="shared" si="938"/>
        <v>0</v>
      </c>
      <c r="W14991">
        <f t="shared" si="939"/>
        <v>0</v>
      </c>
    </row>
    <row r="14992" spans="5:23" x14ac:dyDescent="0.25">
      <c r="E14992" s="4"/>
      <c r="F14992" s="4"/>
      <c r="G14992" s="33" t="str">
        <f>IFERROR(VLOOKUP($D14992,'Informations sur les produits'!$A$3:$H$10000,8,FALSE),"0")</f>
        <v>0</v>
      </c>
      <c r="K14992" s="4"/>
      <c r="L14992" s="33" t="str">
        <f>IFERROR(VLOOKUP($J14992,'Informations sur les produits'!$A$3:$H$10000,8,FALSE),"0")</f>
        <v>0</v>
      </c>
      <c r="N14992" s="8"/>
      <c r="O14992" s="33" t="str">
        <f>IFERROR(VLOOKUP($M14992,'Informations sur les produits'!$A$3:$H$10000,8,FALSE),"0")</f>
        <v>0</v>
      </c>
      <c r="P14992" s="33">
        <f t="shared" si="936"/>
        <v>0</v>
      </c>
      <c r="Q14992" s="31" t="str">
        <f t="shared" si="937"/>
        <v/>
      </c>
      <c r="R14992" s="32" t="str">
        <f>IFERROR(VLOOKUP($D14992,'Informations sur les produits'!$A$3:$B$15000,2,FALSE),"")</f>
        <v/>
      </c>
      <c r="V14992">
        <f t="shared" si="938"/>
        <v>0</v>
      </c>
      <c r="W14992">
        <f t="shared" si="939"/>
        <v>0</v>
      </c>
    </row>
    <row r="14993" spans="5:23" x14ac:dyDescent="0.25">
      <c r="E14993" s="4"/>
      <c r="F14993" s="4"/>
      <c r="G14993" s="33" t="str">
        <f>IFERROR(VLOOKUP($D14993,'Informations sur les produits'!$A$3:$H$10000,8,FALSE),"0")</f>
        <v>0</v>
      </c>
      <c r="K14993" s="4"/>
      <c r="L14993" s="33" t="str">
        <f>IFERROR(VLOOKUP($J14993,'Informations sur les produits'!$A$3:$H$10000,8,FALSE),"0")</f>
        <v>0</v>
      </c>
      <c r="N14993" s="8"/>
      <c r="O14993" s="33" t="str">
        <f>IFERROR(VLOOKUP($M14993,'Informations sur les produits'!$A$3:$H$10000,8,FALSE),"0")</f>
        <v>0</v>
      </c>
      <c r="P14993" s="33">
        <f t="shared" si="936"/>
        <v>0</v>
      </c>
      <c r="Q14993" s="31" t="str">
        <f t="shared" si="937"/>
        <v/>
      </c>
      <c r="R14993" s="32" t="str">
        <f>IFERROR(VLOOKUP($D14993,'Informations sur les produits'!$A$3:$B$15000,2,FALSE),"")</f>
        <v/>
      </c>
      <c r="V14993">
        <f t="shared" si="938"/>
        <v>0</v>
      </c>
      <c r="W14993">
        <f t="shared" si="939"/>
        <v>0</v>
      </c>
    </row>
    <row r="14994" spans="5:23" x14ac:dyDescent="0.25">
      <c r="E14994" s="4"/>
      <c r="F14994" s="4"/>
      <c r="G14994" s="33" t="str">
        <f>IFERROR(VLOOKUP($D14994,'Informations sur les produits'!$A$3:$H$10000,8,FALSE),"0")</f>
        <v>0</v>
      </c>
      <c r="K14994" s="4"/>
      <c r="L14994" s="33" t="str">
        <f>IFERROR(VLOOKUP($J14994,'Informations sur les produits'!$A$3:$H$10000,8,FALSE),"0")</f>
        <v>0</v>
      </c>
      <c r="N14994" s="8"/>
      <c r="O14994" s="33" t="str">
        <f>IFERROR(VLOOKUP($M14994,'Informations sur les produits'!$A$3:$H$10000,8,FALSE),"0")</f>
        <v>0</v>
      </c>
      <c r="P14994" s="33">
        <f t="shared" si="936"/>
        <v>0</v>
      </c>
      <c r="Q14994" s="31" t="str">
        <f t="shared" si="937"/>
        <v/>
      </c>
      <c r="R14994" s="32" t="str">
        <f>IFERROR(VLOOKUP($D14994,'Informations sur les produits'!$A$3:$B$15000,2,FALSE),"")</f>
        <v/>
      </c>
      <c r="V14994">
        <f t="shared" si="938"/>
        <v>0</v>
      </c>
      <c r="W14994">
        <f t="shared" si="939"/>
        <v>0</v>
      </c>
    </row>
    <row r="14995" spans="5:23" x14ac:dyDescent="0.25">
      <c r="E14995" s="4"/>
      <c r="F14995" s="4"/>
      <c r="G14995" s="33" t="str">
        <f>IFERROR(VLOOKUP($D14995,'Informations sur les produits'!$A$3:$H$10000,8,FALSE),"0")</f>
        <v>0</v>
      </c>
      <c r="K14995" s="4"/>
      <c r="L14995" s="33" t="str">
        <f>IFERROR(VLOOKUP($J14995,'Informations sur les produits'!$A$3:$H$10000,8,FALSE),"0")</f>
        <v>0</v>
      </c>
      <c r="N14995" s="8"/>
      <c r="O14995" s="33" t="str">
        <f>IFERROR(VLOOKUP($M14995,'Informations sur les produits'!$A$3:$H$10000,8,FALSE),"0")</f>
        <v>0</v>
      </c>
      <c r="P14995" s="33">
        <f t="shared" si="936"/>
        <v>0</v>
      </c>
      <c r="Q14995" s="31" t="str">
        <f t="shared" si="937"/>
        <v/>
      </c>
      <c r="R14995" s="32" t="str">
        <f>IFERROR(VLOOKUP($D14995,'Informations sur les produits'!$A$3:$B$15000,2,FALSE),"")</f>
        <v/>
      </c>
      <c r="V14995">
        <f t="shared" si="938"/>
        <v>0</v>
      </c>
      <c r="W14995">
        <f t="shared" si="939"/>
        <v>0</v>
      </c>
    </row>
    <row r="14996" spans="5:23" x14ac:dyDescent="0.25">
      <c r="E14996" s="4"/>
      <c r="F14996" s="4"/>
      <c r="G14996" s="33" t="str">
        <f>IFERROR(VLOOKUP($D14996,'Informations sur les produits'!$A$3:$H$10000,8,FALSE),"0")</f>
        <v>0</v>
      </c>
      <c r="K14996" s="4"/>
      <c r="L14996" s="33" t="str">
        <f>IFERROR(VLOOKUP($J14996,'Informations sur les produits'!$A$3:$H$10000,8,FALSE),"0")</f>
        <v>0</v>
      </c>
      <c r="N14996" s="8"/>
      <c r="O14996" s="33" t="str">
        <f>IFERROR(VLOOKUP($M14996,'Informations sur les produits'!$A$3:$H$10000,8,FALSE),"0")</f>
        <v>0</v>
      </c>
      <c r="P14996" s="33">
        <f t="shared" si="936"/>
        <v>0</v>
      </c>
      <c r="Q14996" s="31" t="str">
        <f t="shared" si="937"/>
        <v/>
      </c>
      <c r="R14996" s="32" t="str">
        <f>IFERROR(VLOOKUP($D14996,'Informations sur les produits'!$A$3:$B$15000,2,FALSE),"")</f>
        <v/>
      </c>
      <c r="V14996">
        <f t="shared" si="938"/>
        <v>0</v>
      </c>
      <c r="W14996">
        <f t="shared" si="939"/>
        <v>0</v>
      </c>
    </row>
    <row r="14997" spans="5:23" x14ac:dyDescent="0.25">
      <c r="E14997" s="4"/>
      <c r="F14997" s="4"/>
      <c r="G14997" s="33" t="str">
        <f>IFERROR(VLOOKUP($D14997,'Informations sur les produits'!$A$3:$H$10000,8,FALSE),"0")</f>
        <v>0</v>
      </c>
      <c r="K14997" s="4"/>
      <c r="L14997" s="33" t="str">
        <f>IFERROR(VLOOKUP($J14997,'Informations sur les produits'!$A$3:$H$10000,8,FALSE),"0")</f>
        <v>0</v>
      </c>
      <c r="N14997" s="8"/>
      <c r="O14997" s="33" t="str">
        <f>IFERROR(VLOOKUP($M14997,'Informations sur les produits'!$A$3:$H$10000,8,FALSE),"0")</f>
        <v>0</v>
      </c>
      <c r="P14997" s="33">
        <f t="shared" si="936"/>
        <v>0</v>
      </c>
      <c r="Q14997" s="31" t="str">
        <f t="shared" si="937"/>
        <v/>
      </c>
      <c r="R14997" s="32" t="str">
        <f>IFERROR(VLOOKUP($D14997,'Informations sur les produits'!$A$3:$B$15000,2,FALSE),"")</f>
        <v/>
      </c>
      <c r="V14997">
        <f t="shared" si="938"/>
        <v>0</v>
      </c>
      <c r="W14997">
        <f t="shared" si="939"/>
        <v>0</v>
      </c>
    </row>
    <row r="14998" spans="5:23" x14ac:dyDescent="0.25">
      <c r="E14998" s="4"/>
      <c r="F14998" s="4"/>
      <c r="G14998" s="33" t="str">
        <f>IFERROR(VLOOKUP($D14998,'Informations sur les produits'!$A$3:$H$10000,8,FALSE),"0")</f>
        <v>0</v>
      </c>
      <c r="K14998" s="4"/>
      <c r="L14998" s="33" t="str">
        <f>IFERROR(VLOOKUP($J14998,'Informations sur les produits'!$A$3:$H$10000,8,FALSE),"0")</f>
        <v>0</v>
      </c>
      <c r="N14998" s="8"/>
      <c r="O14998" s="33" t="str">
        <f>IFERROR(VLOOKUP($M14998,'Informations sur les produits'!$A$3:$H$10000,8,FALSE),"0")</f>
        <v>0</v>
      </c>
      <c r="P14998" s="33">
        <f t="shared" si="936"/>
        <v>0</v>
      </c>
      <c r="Q14998" s="31" t="str">
        <f t="shared" si="937"/>
        <v/>
      </c>
      <c r="R14998" s="32" t="str">
        <f>IFERROR(VLOOKUP($D14998,'Informations sur les produits'!$A$3:$B$15000,2,FALSE),"")</f>
        <v/>
      </c>
      <c r="V14998">
        <f t="shared" si="938"/>
        <v>0</v>
      </c>
      <c r="W14998">
        <f t="shared" si="939"/>
        <v>0</v>
      </c>
    </row>
    <row r="14999" spans="5:23" x14ac:dyDescent="0.25">
      <c r="E14999" s="4"/>
      <c r="F14999" s="4"/>
      <c r="G14999" s="33" t="str">
        <f>IFERROR(VLOOKUP($D14999,'Informations sur les produits'!$A$3:$H$10000,8,FALSE),"0")</f>
        <v>0</v>
      </c>
      <c r="K14999" s="4"/>
      <c r="L14999" s="33" t="str">
        <f>IFERROR(VLOOKUP($J14999,'Informations sur les produits'!$A$3:$H$10000,8,FALSE),"0")</f>
        <v>0</v>
      </c>
      <c r="N14999" s="8"/>
      <c r="O14999" s="33" t="str">
        <f>IFERROR(VLOOKUP($M14999,'Informations sur les produits'!$A$3:$H$10000,8,FALSE),"0")</f>
        <v>0</v>
      </c>
      <c r="P14999" s="33">
        <f t="shared" si="936"/>
        <v>0</v>
      </c>
      <c r="Q14999" s="31" t="str">
        <f t="shared" si="937"/>
        <v/>
      </c>
      <c r="R14999" s="32" t="str">
        <f>IFERROR(VLOOKUP($D14999,'Informations sur les produits'!$A$3:$B$15000,2,FALSE),"")</f>
        <v/>
      </c>
      <c r="V14999">
        <f t="shared" si="938"/>
        <v>0</v>
      </c>
      <c r="W14999">
        <f t="shared" si="939"/>
        <v>0</v>
      </c>
    </row>
    <row r="15000" spans="5:23" x14ac:dyDescent="0.25">
      <c r="E15000" s="4"/>
      <c r="F15000" s="4"/>
      <c r="G15000" s="33" t="str">
        <f>IFERROR(VLOOKUP($D15000,'Informations sur les produits'!$A$3:$H$10000,8,FALSE),"0")</f>
        <v>0</v>
      </c>
      <c r="K15000" s="4"/>
      <c r="L15000" s="33" t="str">
        <f>IFERROR(VLOOKUP($J15000,'Informations sur les produits'!$A$3:$H$10000,8,FALSE),"0")</f>
        <v>0</v>
      </c>
      <c r="N15000" s="8"/>
      <c r="O15000" s="33" t="str">
        <f>IFERROR(VLOOKUP($M15000,'Informations sur les produits'!$A$3:$H$10000,8,FALSE),"0")</f>
        <v>0</v>
      </c>
      <c r="P15000" s="33">
        <f t="shared" si="936"/>
        <v>0</v>
      </c>
      <c r="Q15000" s="31" t="str">
        <f t="shared" si="937"/>
        <v/>
      </c>
      <c r="R15000" s="32" t="str">
        <f>IFERROR(VLOOKUP($D15000,'Informations sur les produits'!$A$3:$B$15000,2,FALSE),"")</f>
        <v/>
      </c>
      <c r="V15000">
        <f t="shared" si="938"/>
        <v>0</v>
      </c>
      <c r="W15000">
        <f t="shared" si="939"/>
        <v>0</v>
      </c>
    </row>
    <row r="15001" spans="5:23" x14ac:dyDescent="0.25">
      <c r="E15001" s="4"/>
      <c r="F15001" s="4"/>
      <c r="G15001" s="33"/>
      <c r="K15001" s="4"/>
      <c r="L15001" s="33"/>
      <c r="N15001" s="8"/>
      <c r="O15001" s="33" t="str">
        <f>IFERROR(VLOOKUP($M15001,'Informations sur les produits'!$A$3:$H$10000,8,FALSE),"0")</f>
        <v>0</v>
      </c>
      <c r="P15001" s="33">
        <f t="shared" si="936"/>
        <v>0</v>
      </c>
      <c r="Q15001" s="31" t="str">
        <f t="shared" si="937"/>
        <v/>
      </c>
      <c r="R15001" s="32" t="str">
        <f>IFERROR(VLOOKUP($D15001,'Informations sur les produits'!$A$3:$B$15000,2,FALSE),"")</f>
        <v/>
      </c>
    </row>
    <row r="15002" spans="5:23" x14ac:dyDescent="0.25">
      <c r="G15002" s="33"/>
      <c r="O15002" s="33"/>
      <c r="P15002" s="33"/>
      <c r="Q15002" s="31" t="str">
        <f t="shared" si="937"/>
        <v/>
      </c>
      <c r="R15002" s="32" t="str">
        <f>IFERROR(VLOOKUP($D15002,'Informations sur les produits'!$A$3:$B$15000,2,FALSE),"")</f>
        <v/>
      </c>
    </row>
    <row r="15003" spans="5:23" x14ac:dyDescent="0.25">
      <c r="G15003" s="33"/>
      <c r="O15003" s="33"/>
      <c r="P15003" s="33"/>
      <c r="Q15003" s="31" t="str">
        <f t="shared" si="937"/>
        <v/>
      </c>
      <c r="R15003" s="32" t="str">
        <f>IFERROR(VLOOKUP($D15003,'Informations sur les produits'!$A$3:$B$15000,2,FALSE),"")</f>
        <v/>
      </c>
    </row>
    <row r="15004" spans="5:23" x14ac:dyDescent="0.25">
      <c r="G15004" s="33"/>
      <c r="O15004" s="33"/>
      <c r="P15004" s="33"/>
      <c r="Q15004" s="31" t="str">
        <f t="shared" si="937"/>
        <v/>
      </c>
      <c r="R15004" s="32" t="str">
        <f>IFERROR(VLOOKUP($D15004,'Informations sur les produits'!$A$3:$B$15000,2,FALSE),"")</f>
        <v/>
      </c>
    </row>
    <row r="15005" spans="5:23" x14ac:dyDescent="0.25">
      <c r="G15005" s="33"/>
      <c r="O15005" s="33"/>
      <c r="P15005" s="33"/>
      <c r="Q15005" s="31" t="str">
        <f t="shared" si="937"/>
        <v/>
      </c>
      <c r="R15005" s="32" t="str">
        <f>IFERROR(VLOOKUP($D15005,'Informations sur les produits'!$A$3:$B$15000,2,FALSE),"")</f>
        <v/>
      </c>
    </row>
    <row r="15006" spans="5:23" x14ac:dyDescent="0.25">
      <c r="G15006" s="33"/>
      <c r="O15006" s="33"/>
      <c r="P15006" s="33"/>
      <c r="Q15006" s="31" t="str">
        <f t="shared" si="937"/>
        <v/>
      </c>
      <c r="R15006" s="32" t="str">
        <f>IFERROR(VLOOKUP($D15006,'Informations sur les produits'!$A$3:$B$15000,2,FALSE),"")</f>
        <v/>
      </c>
    </row>
    <row r="15007" spans="5:23" x14ac:dyDescent="0.25">
      <c r="G15007" s="33"/>
      <c r="O15007" s="33"/>
      <c r="P15007" s="33"/>
      <c r="Q15007" s="31" t="str">
        <f t="shared" si="937"/>
        <v/>
      </c>
      <c r="R15007" s="32" t="str">
        <f>IFERROR(VLOOKUP($D15007,'Informations sur les produits'!$A$3:$B$15000,2,FALSE),"")</f>
        <v/>
      </c>
    </row>
    <row r="15008" spans="5:23" x14ac:dyDescent="0.25">
      <c r="G15008" s="33"/>
      <c r="O15008" s="33"/>
      <c r="P15008" s="33"/>
      <c r="Q15008" s="31" t="str">
        <f t="shared" si="937"/>
        <v/>
      </c>
      <c r="R15008" s="32" t="str">
        <f>IFERROR(VLOOKUP($D15008,'Informations sur les produits'!$A$3:$B$15000,2,FALSE),"")</f>
        <v/>
      </c>
    </row>
    <row r="15009" spans="7:18" x14ac:dyDescent="0.25">
      <c r="G15009" s="33"/>
      <c r="O15009" s="33"/>
      <c r="P15009" s="33"/>
      <c r="Q15009" s="31" t="str">
        <f t="shared" si="937"/>
        <v/>
      </c>
      <c r="R15009" s="32" t="str">
        <f>IFERROR(VLOOKUP($D15009,'Informations sur les produits'!$A$3:$B$15000,2,FALSE),"")</f>
        <v/>
      </c>
    </row>
    <row r="15010" spans="7:18" x14ac:dyDescent="0.25">
      <c r="G15010" s="33"/>
      <c r="O15010" s="33"/>
      <c r="P15010" s="33"/>
      <c r="Q15010" s="31" t="str">
        <f t="shared" si="937"/>
        <v/>
      </c>
      <c r="R15010" s="32" t="str">
        <f>IFERROR(VLOOKUP($D15010,'Informations sur les produits'!$A$3:$B$15000,2,FALSE),"")</f>
        <v/>
      </c>
    </row>
    <row r="15011" spans="7:18" x14ac:dyDescent="0.25">
      <c r="G15011" s="33"/>
      <c r="O15011" s="33"/>
      <c r="P15011" s="33"/>
      <c r="Q15011" s="31" t="str">
        <f t="shared" si="937"/>
        <v/>
      </c>
      <c r="R15011" s="32" t="str">
        <f>IFERROR(VLOOKUP($D15011,'Informations sur les produits'!$A$3:$B$15000,2,FALSE),"")</f>
        <v/>
      </c>
    </row>
    <row r="15012" spans="7:18" x14ac:dyDescent="0.25">
      <c r="G15012" s="33"/>
      <c r="O15012" s="33"/>
      <c r="P15012" s="33"/>
      <c r="Q15012" s="31" t="str">
        <f t="shared" si="937"/>
        <v/>
      </c>
      <c r="R15012" s="32" t="str">
        <f>IFERROR(VLOOKUP($D15012,'Informations sur les produits'!$A$3:$B$15000,2,FALSE),"")</f>
        <v/>
      </c>
    </row>
    <row r="15013" spans="7:18" x14ac:dyDescent="0.25">
      <c r="G15013" s="33"/>
      <c r="O15013" s="33"/>
      <c r="P15013" s="33"/>
      <c r="Q15013" s="31" t="str">
        <f t="shared" si="937"/>
        <v/>
      </c>
      <c r="R15013" s="32" t="str">
        <f>IFERROR(VLOOKUP($D15013,'Informations sur les produits'!$A$3:$B$15000,2,FALSE),"")</f>
        <v/>
      </c>
    </row>
    <row r="15014" spans="7:18" x14ac:dyDescent="0.25">
      <c r="G15014" s="33"/>
      <c r="O15014" s="33"/>
      <c r="P15014" s="33"/>
      <c r="Q15014" s="31" t="str">
        <f t="shared" si="937"/>
        <v/>
      </c>
      <c r="R15014" s="32" t="str">
        <f>IFERROR(VLOOKUP($D15014,'Informations sur les produits'!$A$3:$B$15000,2,FALSE),"")</f>
        <v/>
      </c>
    </row>
    <row r="15015" spans="7:18" x14ac:dyDescent="0.25">
      <c r="G15015" s="33"/>
      <c r="O15015" s="33"/>
      <c r="P15015" s="33"/>
      <c r="Q15015" s="31" t="str">
        <f t="shared" si="937"/>
        <v/>
      </c>
      <c r="R15015" s="32" t="str">
        <f>IFERROR(VLOOKUP($D15015,'Informations sur les produits'!$A$3:$B$15000,2,FALSE),"")</f>
        <v/>
      </c>
    </row>
    <row r="15016" spans="7:18" x14ac:dyDescent="0.25">
      <c r="G15016" s="33"/>
      <c r="O15016" s="33"/>
      <c r="P15016" s="33"/>
      <c r="Q15016" s="31" t="str">
        <f t="shared" si="937"/>
        <v/>
      </c>
      <c r="R15016" s="32" t="str">
        <f>IFERROR(VLOOKUP($D15016,'Informations sur les produits'!$A$3:$B$15000,2,FALSE),"")</f>
        <v/>
      </c>
    </row>
    <row r="15017" spans="7:18" x14ac:dyDescent="0.25">
      <c r="G15017" s="33"/>
      <c r="O15017" s="33"/>
      <c r="P15017" s="33"/>
      <c r="Q15017" s="31" t="str">
        <f t="shared" si="937"/>
        <v/>
      </c>
      <c r="R15017" s="32" t="str">
        <f>IFERROR(VLOOKUP($D15017,'Informations sur les produits'!$A$3:$B$15000,2,FALSE),"")</f>
        <v/>
      </c>
    </row>
    <row r="15018" spans="7:18" x14ac:dyDescent="0.25">
      <c r="G15018" s="33"/>
      <c r="O15018" s="33"/>
      <c r="P15018" s="33"/>
      <c r="Q15018" s="31" t="str">
        <f t="shared" si="937"/>
        <v/>
      </c>
      <c r="R15018" s="32" t="str">
        <f>IFERROR(VLOOKUP($D15018,'Informations sur les produits'!$A$3:$B$15000,2,FALSE),"")</f>
        <v/>
      </c>
    </row>
    <row r="15019" spans="7:18" x14ac:dyDescent="0.25">
      <c r="G15019" s="33"/>
      <c r="O15019" s="33"/>
      <c r="P15019" s="33"/>
      <c r="Q15019" s="31" t="str">
        <f t="shared" si="937"/>
        <v/>
      </c>
      <c r="R15019" s="32" t="str">
        <f>IFERROR(VLOOKUP($D15019,'Informations sur les produits'!$A$3:$B$15000,2,FALSE),"")</f>
        <v/>
      </c>
    </row>
    <row r="15020" spans="7:18" x14ac:dyDescent="0.25">
      <c r="G15020" s="33"/>
      <c r="O15020" s="33"/>
      <c r="P15020" s="33"/>
      <c r="Q15020" s="31" t="str">
        <f t="shared" si="937"/>
        <v/>
      </c>
      <c r="R15020" s="32" t="str">
        <f>IFERROR(VLOOKUP($D15020,'Informations sur les produits'!$A$3:$B$15000,2,FALSE),"")</f>
        <v/>
      </c>
    </row>
    <row r="15021" spans="7:18" x14ac:dyDescent="0.25">
      <c r="G15021" s="33"/>
      <c r="O15021" s="33"/>
      <c r="P15021" s="33"/>
      <c r="Q15021" s="31" t="str">
        <f t="shared" si="937"/>
        <v/>
      </c>
      <c r="R15021" s="32" t="str">
        <f>IFERROR(VLOOKUP($D15021,'Informations sur les produits'!$A$3:$B$15000,2,FALSE),"")</f>
        <v/>
      </c>
    </row>
    <row r="15022" spans="7:18" x14ac:dyDescent="0.25">
      <c r="G15022" s="33"/>
      <c r="O15022" s="33"/>
      <c r="P15022" s="33"/>
      <c r="Q15022" s="31" t="str">
        <f t="shared" si="937"/>
        <v/>
      </c>
      <c r="R15022" s="32" t="str">
        <f>IFERROR(VLOOKUP($D15022,'Informations sur les produits'!$A$3:$B$15000,2,FALSE),"")</f>
        <v/>
      </c>
    </row>
    <row r="15023" spans="7:18" x14ac:dyDescent="0.25">
      <c r="G15023" s="33"/>
      <c r="O15023" s="33"/>
      <c r="P15023" s="33"/>
      <c r="Q15023" s="31" t="str">
        <f t="shared" si="937"/>
        <v/>
      </c>
      <c r="R15023" s="32" t="str">
        <f>IFERROR(VLOOKUP($D15023,'Informations sur les produits'!$A$3:$B$15000,2,FALSE),"")</f>
        <v/>
      </c>
    </row>
    <row r="15024" spans="7:18" x14ac:dyDescent="0.25">
      <c r="G15024" s="33"/>
      <c r="O15024" s="33"/>
      <c r="P15024" s="33"/>
      <c r="Q15024" s="31" t="str">
        <f t="shared" si="937"/>
        <v/>
      </c>
      <c r="R15024" s="32" t="str">
        <f>IFERROR(VLOOKUP($D15024,'Informations sur les produits'!$A$3:$B$15000,2,FALSE),"")</f>
        <v/>
      </c>
    </row>
    <row r="15025" spans="7:18" x14ac:dyDescent="0.25">
      <c r="G15025" s="33"/>
      <c r="O15025" s="33"/>
      <c r="P15025" s="33"/>
      <c r="Q15025" s="31" t="str">
        <f t="shared" si="937"/>
        <v/>
      </c>
      <c r="R15025" s="32" t="str">
        <f>IFERROR(VLOOKUP($D15025,'Informations sur les produits'!$A$3:$B$15000,2,FALSE),"")</f>
        <v/>
      </c>
    </row>
    <row r="15026" spans="7:18" x14ac:dyDescent="0.25">
      <c r="G15026" s="33"/>
      <c r="O15026" s="33"/>
      <c r="P15026" s="33"/>
      <c r="Q15026" s="31" t="str">
        <f t="shared" si="937"/>
        <v/>
      </c>
      <c r="R15026" s="32" t="str">
        <f>IFERROR(VLOOKUP($D15026,'Informations sur les produits'!$A$3:$B$15000,2,FALSE),"")</f>
        <v/>
      </c>
    </row>
    <row r="15027" spans="7:18" x14ac:dyDescent="0.25">
      <c r="G15027" s="33"/>
      <c r="O15027" s="33"/>
      <c r="P15027" s="33"/>
      <c r="Q15027" s="31" t="str">
        <f t="shared" si="937"/>
        <v/>
      </c>
      <c r="R15027" s="32" t="str">
        <f>IFERROR(VLOOKUP($D15027,'Informations sur les produits'!$A$3:$B$15000,2,FALSE),"")</f>
        <v/>
      </c>
    </row>
    <row r="15028" spans="7:18" x14ac:dyDescent="0.25">
      <c r="G15028" s="33"/>
      <c r="O15028" s="33"/>
      <c r="P15028" s="33"/>
      <c r="Q15028" s="31" t="str">
        <f t="shared" si="937"/>
        <v/>
      </c>
      <c r="R15028" s="32" t="str">
        <f>IFERROR(VLOOKUP($D15028,'Informations sur les produits'!$A$3:$B$15000,2,FALSE),"")</f>
        <v/>
      </c>
    </row>
    <row r="15029" spans="7:18" x14ac:dyDescent="0.25">
      <c r="G15029" s="33"/>
      <c r="O15029" s="33"/>
      <c r="P15029" s="33"/>
      <c r="Q15029" s="31" t="str">
        <f t="shared" si="937"/>
        <v/>
      </c>
      <c r="R15029" s="32" t="str">
        <f>IFERROR(VLOOKUP($D15029,'Informations sur les produits'!$A$3:$B$15000,2,FALSE),"")</f>
        <v/>
      </c>
    </row>
    <row r="15030" spans="7:18" x14ac:dyDescent="0.25">
      <c r="G15030" s="33"/>
      <c r="O15030" s="33"/>
      <c r="P15030" s="33"/>
      <c r="Q15030" s="31" t="str">
        <f t="shared" si="937"/>
        <v/>
      </c>
      <c r="R15030" s="32" t="str">
        <f>IFERROR(VLOOKUP($D15030,'Informations sur les produits'!$A$3:$B$15000,2,FALSE),"")</f>
        <v/>
      </c>
    </row>
    <row r="15031" spans="7:18" x14ac:dyDescent="0.25">
      <c r="G15031" s="33"/>
      <c r="O15031" s="33"/>
      <c r="P15031" s="33"/>
      <c r="Q15031" s="31" t="str">
        <f t="shared" si="937"/>
        <v/>
      </c>
      <c r="R15031" s="32" t="str">
        <f>IFERROR(VLOOKUP($D15031,'Informations sur les produits'!$A$3:$B$15000,2,FALSE),"")</f>
        <v/>
      </c>
    </row>
    <row r="15032" spans="7:18" x14ac:dyDescent="0.25">
      <c r="G15032" s="33"/>
      <c r="O15032" s="33"/>
      <c r="P15032" s="33"/>
      <c r="Q15032" s="31" t="str">
        <f t="shared" si="937"/>
        <v/>
      </c>
      <c r="R15032" s="32" t="str">
        <f>IFERROR(VLOOKUP($D15032,'Informations sur les produits'!$A$3:$B$15000,2,FALSE),"")</f>
        <v/>
      </c>
    </row>
    <row r="15033" spans="7:18" x14ac:dyDescent="0.25">
      <c r="G15033" s="33"/>
      <c r="O15033" s="33"/>
      <c r="P15033" s="33"/>
      <c r="Q15033" s="31" t="str">
        <f t="shared" si="937"/>
        <v/>
      </c>
      <c r="R15033" s="32" t="str">
        <f>IFERROR(VLOOKUP($D15033,'Informations sur les produits'!$A$3:$B$15000,2,FALSE),"")</f>
        <v/>
      </c>
    </row>
    <row r="15034" spans="7:18" x14ac:dyDescent="0.25">
      <c r="G15034" s="33"/>
      <c r="O15034" s="33"/>
      <c r="P15034" s="33"/>
      <c r="Q15034" s="31" t="str">
        <f t="shared" si="937"/>
        <v/>
      </c>
      <c r="R15034" s="32" t="str">
        <f>IFERROR(VLOOKUP($D15034,'Informations sur les produits'!$A$3:$B$15000,2,FALSE),"")</f>
        <v/>
      </c>
    </row>
    <row r="15035" spans="7:18" x14ac:dyDescent="0.25">
      <c r="G15035" s="33"/>
      <c r="O15035" s="33"/>
      <c r="P15035" s="33"/>
      <c r="Q15035" s="31" t="str">
        <f t="shared" si="937"/>
        <v/>
      </c>
      <c r="R15035" s="32" t="str">
        <f>IFERROR(VLOOKUP($D15035,'Informations sur les produits'!$A$3:$B$15000,2,FALSE),"")</f>
        <v/>
      </c>
    </row>
    <row r="15036" spans="7:18" x14ac:dyDescent="0.25">
      <c r="G15036" s="33"/>
      <c r="O15036" s="33"/>
      <c r="P15036" s="33"/>
      <c r="Q15036" s="31" t="str">
        <f t="shared" si="937"/>
        <v/>
      </c>
      <c r="R15036" s="32" t="str">
        <f>IFERROR(VLOOKUP($D15036,'Informations sur les produits'!$A$3:$B$15000,2,FALSE),"")</f>
        <v/>
      </c>
    </row>
    <row r="15037" spans="7:18" x14ac:dyDescent="0.25">
      <c r="G15037" s="33"/>
      <c r="O15037" s="33"/>
      <c r="P15037" s="33"/>
      <c r="Q15037" s="31" t="str">
        <f t="shared" si="937"/>
        <v/>
      </c>
      <c r="R15037" s="32" t="str">
        <f>IFERROR(VLOOKUP($D15037,'Informations sur les produits'!$A$3:$B$15000,2,FALSE),"")</f>
        <v/>
      </c>
    </row>
    <row r="15038" spans="7:18" x14ac:dyDescent="0.25">
      <c r="G15038" s="33"/>
      <c r="O15038" s="33"/>
      <c r="P15038" s="33"/>
      <c r="Q15038" s="31" t="str">
        <f t="shared" si="937"/>
        <v/>
      </c>
      <c r="R15038" s="32" t="str">
        <f>IFERROR(VLOOKUP($D15038,'Informations sur les produits'!$A$3:$B$15000,2,FALSE),"")</f>
        <v/>
      </c>
    </row>
    <row r="15039" spans="7:18" x14ac:dyDescent="0.25">
      <c r="G15039" s="33"/>
      <c r="O15039" s="33"/>
      <c r="P15039" s="33"/>
      <c r="Q15039" s="31" t="str">
        <f t="shared" si="937"/>
        <v/>
      </c>
      <c r="R15039" s="32" t="str">
        <f>IFERROR(VLOOKUP($D15039,'Informations sur les produits'!$A$3:$B$15000,2,FALSE),"")</f>
        <v/>
      </c>
    </row>
    <row r="15040" spans="7:18" x14ac:dyDescent="0.25">
      <c r="G15040" s="33"/>
      <c r="O15040" s="33"/>
      <c r="P15040" s="33"/>
      <c r="Q15040" s="31" t="str">
        <f t="shared" si="937"/>
        <v/>
      </c>
      <c r="R15040" s="32" t="str">
        <f>IFERROR(VLOOKUP($D15040,'Informations sur les produits'!$A$3:$B$15000,2,FALSE),"")</f>
        <v/>
      </c>
    </row>
    <row r="15041" spans="7:18" x14ac:dyDescent="0.25">
      <c r="G15041" s="33"/>
      <c r="O15041" s="33"/>
      <c r="P15041" s="33"/>
      <c r="Q15041" s="31" t="str">
        <f t="shared" si="937"/>
        <v/>
      </c>
      <c r="R15041" s="32" t="str">
        <f>IFERROR(VLOOKUP($D15041,'Informations sur les produits'!$A$3:$B$15000,2,FALSE),"")</f>
        <v/>
      </c>
    </row>
    <row r="15042" spans="7:18" x14ac:dyDescent="0.25">
      <c r="G15042" s="33"/>
      <c r="O15042" s="33"/>
      <c r="P15042" s="33"/>
      <c r="Q15042" s="31" t="str">
        <f t="shared" si="937"/>
        <v/>
      </c>
      <c r="R15042" s="32" t="str">
        <f>IFERROR(VLOOKUP($D15042,'Informations sur les produits'!$A$3:$B$15000,2,FALSE),"")</f>
        <v/>
      </c>
    </row>
    <row r="15043" spans="7:18" x14ac:dyDescent="0.25">
      <c r="G15043" s="33"/>
      <c r="O15043" s="33"/>
      <c r="P15043" s="33"/>
      <c r="Q15043" s="31" t="str">
        <f t="shared" si="937"/>
        <v/>
      </c>
      <c r="R15043" s="32" t="str">
        <f>IFERROR(VLOOKUP($D15043,'Informations sur les produits'!$A$3:$B$15000,2,FALSE),"")</f>
        <v/>
      </c>
    </row>
    <row r="15044" spans="7:18" x14ac:dyDescent="0.25">
      <c r="G15044" s="33"/>
      <c r="O15044" s="33"/>
      <c r="P15044" s="33"/>
      <c r="Q15044" s="31" t="str">
        <f t="shared" ref="Q15044:Q15107" si="940">IFERROR((((($E15044-$F15044)*$G15044+$K15044*$L15044+$N15044*$O15044)*1000)/(($E15044-$F15044)+$K15044+$N15044)),"")</f>
        <v/>
      </c>
      <c r="R15044" s="32" t="str">
        <f>IFERROR(VLOOKUP($D15044,'Informations sur les produits'!$A$3:$B$15000,2,FALSE),"")</f>
        <v/>
      </c>
    </row>
    <row r="15045" spans="7:18" x14ac:dyDescent="0.25">
      <c r="G15045" s="33"/>
      <c r="O15045" s="33"/>
      <c r="P15045" s="33"/>
      <c r="Q15045" s="31" t="str">
        <f t="shared" si="940"/>
        <v/>
      </c>
      <c r="R15045" s="32" t="str">
        <f>IFERROR(VLOOKUP($D15045,'Informations sur les produits'!$A$3:$B$15000,2,FALSE),"")</f>
        <v/>
      </c>
    </row>
    <row r="15046" spans="7:18" x14ac:dyDescent="0.25">
      <c r="G15046" s="33"/>
      <c r="O15046" s="33"/>
      <c r="P15046" s="33"/>
      <c r="Q15046" s="31" t="str">
        <f t="shared" si="940"/>
        <v/>
      </c>
      <c r="R15046" s="32" t="str">
        <f>IFERROR(VLOOKUP($D15046,'Informations sur les produits'!$A$3:$B$15000,2,FALSE),"")</f>
        <v/>
      </c>
    </row>
    <row r="15047" spans="7:18" x14ac:dyDescent="0.25">
      <c r="G15047" s="33"/>
      <c r="O15047" s="33"/>
      <c r="P15047" s="33"/>
      <c r="Q15047" s="31" t="str">
        <f t="shared" si="940"/>
        <v/>
      </c>
      <c r="R15047" s="32" t="str">
        <f>IFERROR(VLOOKUP($D15047,'Informations sur les produits'!$A$3:$B$15000,2,FALSE),"")</f>
        <v/>
      </c>
    </row>
    <row r="15048" spans="7:18" x14ac:dyDescent="0.25">
      <c r="G15048" s="33"/>
      <c r="O15048" s="33"/>
      <c r="P15048" s="33"/>
      <c r="Q15048" s="31" t="str">
        <f t="shared" si="940"/>
        <v/>
      </c>
      <c r="R15048" s="32" t="str">
        <f>IFERROR(VLOOKUP($D15048,'Informations sur les produits'!$A$3:$B$15000,2,FALSE),"")</f>
        <v/>
      </c>
    </row>
    <row r="15049" spans="7:18" x14ac:dyDescent="0.25">
      <c r="G15049" s="33"/>
      <c r="O15049" s="33"/>
      <c r="P15049" s="33"/>
      <c r="Q15049" s="31" t="str">
        <f t="shared" si="940"/>
        <v/>
      </c>
      <c r="R15049" s="32" t="str">
        <f>IFERROR(VLOOKUP($D15049,'Informations sur les produits'!$A$3:$B$15000,2,FALSE),"")</f>
        <v/>
      </c>
    </row>
    <row r="15050" spans="7:18" x14ac:dyDescent="0.25">
      <c r="G15050" s="33"/>
      <c r="O15050" s="33"/>
      <c r="P15050" s="33"/>
      <c r="Q15050" s="31" t="str">
        <f t="shared" si="940"/>
        <v/>
      </c>
      <c r="R15050" s="32" t="str">
        <f>IFERROR(VLOOKUP($D15050,'Informations sur les produits'!$A$3:$B$15000,2,FALSE),"")</f>
        <v/>
      </c>
    </row>
    <row r="15051" spans="7:18" x14ac:dyDescent="0.25">
      <c r="G15051" s="33"/>
      <c r="O15051" s="33"/>
      <c r="P15051" s="33"/>
      <c r="Q15051" s="31" t="str">
        <f t="shared" si="940"/>
        <v/>
      </c>
      <c r="R15051" s="32" t="str">
        <f>IFERROR(VLOOKUP($D15051,'Informations sur les produits'!$A$3:$B$15000,2,FALSE),"")</f>
        <v/>
      </c>
    </row>
    <row r="15052" spans="7:18" x14ac:dyDescent="0.25">
      <c r="G15052" s="33"/>
      <c r="O15052" s="33"/>
      <c r="P15052" s="33"/>
      <c r="Q15052" s="31" t="str">
        <f t="shared" si="940"/>
        <v/>
      </c>
      <c r="R15052" s="32" t="str">
        <f>IFERROR(VLOOKUP($D15052,'Informations sur les produits'!$A$3:$B$15000,2,FALSE),"")</f>
        <v/>
      </c>
    </row>
    <row r="15053" spans="7:18" x14ac:dyDescent="0.25">
      <c r="G15053" s="33"/>
      <c r="O15053" s="33"/>
      <c r="P15053" s="33"/>
      <c r="Q15053" s="31" t="str">
        <f t="shared" si="940"/>
        <v/>
      </c>
      <c r="R15053" s="32" t="str">
        <f>IFERROR(VLOOKUP($D15053,'Informations sur les produits'!$A$3:$B$15000,2,FALSE),"")</f>
        <v/>
      </c>
    </row>
    <row r="15054" spans="7:18" x14ac:dyDescent="0.25">
      <c r="G15054" s="33"/>
      <c r="O15054" s="33"/>
      <c r="P15054" s="33"/>
      <c r="Q15054" s="31" t="str">
        <f t="shared" si="940"/>
        <v/>
      </c>
      <c r="R15054" s="32" t="str">
        <f>IFERROR(VLOOKUP($D15054,'Informations sur les produits'!$A$3:$B$15000,2,FALSE),"")</f>
        <v/>
      </c>
    </row>
    <row r="15055" spans="7:18" x14ac:dyDescent="0.25">
      <c r="G15055" s="33"/>
      <c r="O15055" s="33"/>
      <c r="P15055" s="33"/>
      <c r="Q15055" s="31" t="str">
        <f t="shared" si="940"/>
        <v/>
      </c>
      <c r="R15055" s="32" t="str">
        <f>IFERROR(VLOOKUP($D15055,'Informations sur les produits'!$A$3:$B$15000,2,FALSE),"")</f>
        <v/>
      </c>
    </row>
    <row r="15056" spans="7:18" x14ac:dyDescent="0.25">
      <c r="G15056" s="33"/>
      <c r="O15056" s="33"/>
      <c r="P15056" s="33"/>
      <c r="Q15056" s="31" t="str">
        <f t="shared" si="940"/>
        <v/>
      </c>
      <c r="R15056" s="32" t="str">
        <f>IFERROR(VLOOKUP($D15056,'Informations sur les produits'!$A$3:$B$15000,2,FALSE),"")</f>
        <v/>
      </c>
    </row>
    <row r="15057" spans="7:18" x14ac:dyDescent="0.25">
      <c r="G15057" s="33"/>
      <c r="O15057" s="33"/>
      <c r="P15057" s="33"/>
      <c r="Q15057" s="31" t="str">
        <f t="shared" si="940"/>
        <v/>
      </c>
      <c r="R15057" s="32" t="str">
        <f>IFERROR(VLOOKUP($D15057,'Informations sur les produits'!$A$3:$B$15000,2,FALSE),"")</f>
        <v/>
      </c>
    </row>
    <row r="15058" spans="7:18" x14ac:dyDescent="0.25">
      <c r="G15058" s="33"/>
      <c r="O15058" s="33"/>
      <c r="P15058" s="33"/>
      <c r="Q15058" s="31" t="str">
        <f t="shared" si="940"/>
        <v/>
      </c>
      <c r="R15058" s="32" t="str">
        <f>IFERROR(VLOOKUP($D15058,'Informations sur les produits'!$A$3:$B$15000,2,FALSE),"")</f>
        <v/>
      </c>
    </row>
    <row r="15059" spans="7:18" x14ac:dyDescent="0.25">
      <c r="G15059" s="33"/>
      <c r="O15059" s="33"/>
      <c r="P15059" s="33"/>
      <c r="Q15059" s="31" t="str">
        <f t="shared" si="940"/>
        <v/>
      </c>
      <c r="R15059" s="32" t="str">
        <f>IFERROR(VLOOKUP($D15059,'Informations sur les produits'!$A$3:$B$15000,2,FALSE),"")</f>
        <v/>
      </c>
    </row>
    <row r="15060" spans="7:18" x14ac:dyDescent="0.25">
      <c r="G15060" s="33"/>
      <c r="O15060" s="33"/>
      <c r="P15060" s="33"/>
      <c r="Q15060" s="31" t="str">
        <f t="shared" si="940"/>
        <v/>
      </c>
      <c r="R15060" s="32" t="str">
        <f>IFERROR(VLOOKUP($D15060,'Informations sur les produits'!$A$3:$B$15000,2,FALSE),"")</f>
        <v/>
      </c>
    </row>
    <row r="15061" spans="7:18" x14ac:dyDescent="0.25">
      <c r="G15061" s="33"/>
      <c r="O15061" s="33"/>
      <c r="P15061" s="33"/>
      <c r="Q15061" s="31" t="str">
        <f t="shared" si="940"/>
        <v/>
      </c>
      <c r="R15061" s="32" t="str">
        <f>IFERROR(VLOOKUP($D15061,'Informations sur les produits'!$A$3:$B$15000,2,FALSE),"")</f>
        <v/>
      </c>
    </row>
    <row r="15062" spans="7:18" x14ac:dyDescent="0.25">
      <c r="G15062" s="33"/>
      <c r="O15062" s="33"/>
      <c r="P15062" s="33"/>
      <c r="Q15062" s="31" t="str">
        <f t="shared" si="940"/>
        <v/>
      </c>
      <c r="R15062" s="32" t="str">
        <f>IFERROR(VLOOKUP($D15062,'Informations sur les produits'!$A$3:$B$15000,2,FALSE),"")</f>
        <v/>
      </c>
    </row>
    <row r="15063" spans="7:18" x14ac:dyDescent="0.25">
      <c r="G15063" s="33"/>
      <c r="O15063" s="33"/>
      <c r="P15063" s="33"/>
      <c r="Q15063" s="31" t="str">
        <f t="shared" si="940"/>
        <v/>
      </c>
      <c r="R15063" s="32" t="str">
        <f>IFERROR(VLOOKUP($D15063,'Informations sur les produits'!$A$3:$B$15000,2,FALSE),"")</f>
        <v/>
      </c>
    </row>
    <row r="15064" spans="7:18" x14ac:dyDescent="0.25">
      <c r="G15064" s="33"/>
      <c r="O15064" s="33"/>
      <c r="P15064" s="33"/>
      <c r="Q15064" s="31" t="str">
        <f t="shared" si="940"/>
        <v/>
      </c>
      <c r="R15064" s="32" t="str">
        <f>IFERROR(VLOOKUP($D15064,'Informations sur les produits'!$A$3:$B$15000,2,FALSE),"")</f>
        <v/>
      </c>
    </row>
    <row r="15065" spans="7:18" x14ac:dyDescent="0.25">
      <c r="G15065" s="33"/>
      <c r="O15065" s="33"/>
      <c r="P15065" s="33"/>
      <c r="Q15065" s="31" t="str">
        <f t="shared" si="940"/>
        <v/>
      </c>
      <c r="R15065" s="32" t="str">
        <f>IFERROR(VLOOKUP($D15065,'Informations sur les produits'!$A$3:$B$15000,2,FALSE),"")</f>
        <v/>
      </c>
    </row>
    <row r="15066" spans="7:18" x14ac:dyDescent="0.25">
      <c r="G15066" s="33"/>
      <c r="O15066" s="33"/>
      <c r="P15066" s="33"/>
      <c r="Q15066" s="31" t="str">
        <f t="shared" si="940"/>
        <v/>
      </c>
      <c r="R15066" s="32" t="str">
        <f>IFERROR(VLOOKUP($D15066,'Informations sur les produits'!$A$3:$B$15000,2,FALSE),"")</f>
        <v/>
      </c>
    </row>
    <row r="15067" spans="7:18" x14ac:dyDescent="0.25">
      <c r="G15067" s="33"/>
      <c r="O15067" s="33"/>
      <c r="P15067" s="33"/>
      <c r="Q15067" s="31" t="str">
        <f t="shared" si="940"/>
        <v/>
      </c>
      <c r="R15067" s="32" t="str">
        <f>IFERROR(VLOOKUP($D15067,'Informations sur les produits'!$A$3:$B$15000,2,FALSE),"")</f>
        <v/>
      </c>
    </row>
    <row r="15068" spans="7:18" x14ac:dyDescent="0.25">
      <c r="G15068" s="33"/>
      <c r="O15068" s="33"/>
      <c r="P15068" s="33"/>
      <c r="Q15068" s="31" t="str">
        <f t="shared" si="940"/>
        <v/>
      </c>
      <c r="R15068" s="32" t="str">
        <f>IFERROR(VLOOKUP($D15068,'Informations sur les produits'!$A$3:$B$15000,2,FALSE),"")</f>
        <v/>
      </c>
    </row>
    <row r="15069" spans="7:18" x14ac:dyDescent="0.25">
      <c r="G15069" s="33"/>
      <c r="O15069" s="33"/>
      <c r="P15069" s="33"/>
      <c r="Q15069" s="31" t="str">
        <f t="shared" si="940"/>
        <v/>
      </c>
      <c r="R15069" s="32" t="str">
        <f>IFERROR(VLOOKUP($D15069,'Informations sur les produits'!$A$3:$B$15000,2,FALSE),"")</f>
        <v/>
      </c>
    </row>
    <row r="15070" spans="7:18" x14ac:dyDescent="0.25">
      <c r="G15070" s="33"/>
      <c r="O15070" s="33"/>
      <c r="P15070" s="33"/>
      <c r="Q15070" s="31" t="str">
        <f t="shared" si="940"/>
        <v/>
      </c>
      <c r="R15070" s="32" t="str">
        <f>IFERROR(VLOOKUP($D15070,'Informations sur les produits'!$A$3:$B$15000,2,FALSE),"")</f>
        <v/>
      </c>
    </row>
    <row r="15071" spans="7:18" x14ac:dyDescent="0.25">
      <c r="G15071" s="33"/>
      <c r="O15071" s="33"/>
      <c r="P15071" s="33"/>
      <c r="Q15071" s="31" t="str">
        <f t="shared" si="940"/>
        <v/>
      </c>
      <c r="R15071" s="32" t="str">
        <f>IFERROR(VLOOKUP($D15071,'Informations sur les produits'!$A$3:$B$15000,2,FALSE),"")</f>
        <v/>
      </c>
    </row>
    <row r="15072" spans="7:18" x14ac:dyDescent="0.25">
      <c r="G15072" s="33"/>
      <c r="O15072" s="33"/>
      <c r="P15072" s="33"/>
      <c r="Q15072" s="31" t="str">
        <f t="shared" si="940"/>
        <v/>
      </c>
      <c r="R15072" s="32" t="str">
        <f>IFERROR(VLOOKUP($D15072,'Informations sur les produits'!$A$3:$B$15000,2,FALSE),"")</f>
        <v/>
      </c>
    </row>
    <row r="15073" spans="7:18" x14ac:dyDescent="0.25">
      <c r="G15073" s="33"/>
      <c r="O15073" s="33"/>
      <c r="P15073" s="33"/>
      <c r="Q15073" s="31" t="str">
        <f t="shared" si="940"/>
        <v/>
      </c>
      <c r="R15073" s="32" t="str">
        <f>IFERROR(VLOOKUP($D15073,'Informations sur les produits'!$A$3:$B$15000,2,FALSE),"")</f>
        <v/>
      </c>
    </row>
    <row r="15074" spans="7:18" x14ac:dyDescent="0.25">
      <c r="G15074" s="33"/>
      <c r="O15074" s="33"/>
      <c r="P15074" s="33"/>
      <c r="Q15074" s="31" t="str">
        <f t="shared" si="940"/>
        <v/>
      </c>
      <c r="R15074" s="32" t="str">
        <f>IFERROR(VLOOKUP($D15074,'Informations sur les produits'!$A$3:$B$15000,2,FALSE),"")</f>
        <v/>
      </c>
    </row>
    <row r="15075" spans="7:18" x14ac:dyDescent="0.25">
      <c r="G15075" s="33"/>
      <c r="O15075" s="33"/>
      <c r="P15075" s="33"/>
      <c r="Q15075" s="31" t="str">
        <f t="shared" si="940"/>
        <v/>
      </c>
      <c r="R15075" s="32" t="str">
        <f>IFERROR(VLOOKUP($D15075,'Informations sur les produits'!$A$3:$B$15000,2,FALSE),"")</f>
        <v/>
      </c>
    </row>
    <row r="15076" spans="7:18" x14ac:dyDescent="0.25">
      <c r="G15076" s="33"/>
      <c r="O15076" s="33"/>
      <c r="P15076" s="33"/>
      <c r="Q15076" s="31" t="str">
        <f t="shared" si="940"/>
        <v/>
      </c>
      <c r="R15076" s="32" t="str">
        <f>IFERROR(VLOOKUP($D15076,'Informations sur les produits'!$A$3:$B$15000,2,FALSE),"")</f>
        <v/>
      </c>
    </row>
    <row r="15077" spans="7:18" x14ac:dyDescent="0.25">
      <c r="G15077" s="33"/>
      <c r="O15077" s="33"/>
      <c r="P15077" s="33"/>
      <c r="Q15077" s="31" t="str">
        <f t="shared" si="940"/>
        <v/>
      </c>
      <c r="R15077" s="32" t="str">
        <f>IFERROR(VLOOKUP($D15077,'Informations sur les produits'!$A$3:$B$15000,2,FALSE),"")</f>
        <v/>
      </c>
    </row>
    <row r="15078" spans="7:18" x14ac:dyDescent="0.25">
      <c r="G15078" s="33"/>
      <c r="O15078" s="33"/>
      <c r="P15078" s="33"/>
      <c r="Q15078" s="31" t="str">
        <f t="shared" si="940"/>
        <v/>
      </c>
      <c r="R15078" s="32" t="str">
        <f>IFERROR(VLOOKUP($D15078,'Informations sur les produits'!$A$3:$B$15000,2,FALSE),"")</f>
        <v/>
      </c>
    </row>
    <row r="15079" spans="7:18" x14ac:dyDescent="0.25">
      <c r="G15079" s="33"/>
      <c r="O15079" s="33"/>
      <c r="P15079" s="33"/>
      <c r="Q15079" s="31" t="str">
        <f t="shared" si="940"/>
        <v/>
      </c>
      <c r="R15079" s="32" t="str">
        <f>IFERROR(VLOOKUP($D15079,'Informations sur les produits'!$A$3:$B$15000,2,FALSE),"")</f>
        <v/>
      </c>
    </row>
    <row r="15080" spans="7:18" x14ac:dyDescent="0.25">
      <c r="G15080" s="33"/>
      <c r="O15080" s="33"/>
      <c r="P15080" s="33"/>
      <c r="Q15080" s="31" t="str">
        <f t="shared" si="940"/>
        <v/>
      </c>
      <c r="R15080" s="32" t="str">
        <f>IFERROR(VLOOKUP($D15080,'Informations sur les produits'!$A$3:$B$15000,2,FALSE),"")</f>
        <v/>
      </c>
    </row>
    <row r="15081" spans="7:18" x14ac:dyDescent="0.25">
      <c r="G15081" s="33"/>
      <c r="O15081" s="33"/>
      <c r="P15081" s="33"/>
      <c r="Q15081" s="31" t="str">
        <f t="shared" si="940"/>
        <v/>
      </c>
      <c r="R15081" s="32" t="str">
        <f>IFERROR(VLOOKUP($D15081,'Informations sur les produits'!$A$3:$B$15000,2,FALSE),"")</f>
        <v/>
      </c>
    </row>
    <row r="15082" spans="7:18" x14ac:dyDescent="0.25">
      <c r="G15082" s="33"/>
      <c r="O15082" s="33"/>
      <c r="P15082" s="33"/>
      <c r="Q15082" s="31" t="str">
        <f t="shared" si="940"/>
        <v/>
      </c>
      <c r="R15082" s="32" t="str">
        <f>IFERROR(VLOOKUP($D15082,'Informations sur les produits'!$A$3:$B$15000,2,FALSE),"")</f>
        <v/>
      </c>
    </row>
    <row r="15083" spans="7:18" x14ac:dyDescent="0.25">
      <c r="G15083" s="33"/>
      <c r="O15083" s="33"/>
      <c r="P15083" s="33"/>
      <c r="Q15083" s="31" t="str">
        <f t="shared" si="940"/>
        <v/>
      </c>
      <c r="R15083" s="32" t="str">
        <f>IFERROR(VLOOKUP($D15083,'Informations sur les produits'!$A$3:$B$15000,2,FALSE),"")</f>
        <v/>
      </c>
    </row>
    <row r="15084" spans="7:18" x14ac:dyDescent="0.25">
      <c r="G15084" s="33"/>
      <c r="O15084" s="33"/>
      <c r="P15084" s="33"/>
      <c r="Q15084" s="31" t="str">
        <f t="shared" si="940"/>
        <v/>
      </c>
      <c r="R15084" s="32" t="str">
        <f>IFERROR(VLOOKUP($D15084,'Informations sur les produits'!$A$3:$B$15000,2,FALSE),"")</f>
        <v/>
      </c>
    </row>
    <row r="15085" spans="7:18" x14ac:dyDescent="0.25">
      <c r="G15085" s="33"/>
      <c r="O15085" s="33"/>
      <c r="P15085" s="33"/>
      <c r="Q15085" s="31" t="str">
        <f t="shared" si="940"/>
        <v/>
      </c>
      <c r="R15085" s="32" t="str">
        <f>IFERROR(VLOOKUP($D15085,'Informations sur les produits'!$A$3:$B$15000,2,FALSE),"")</f>
        <v/>
      </c>
    </row>
    <row r="15086" spans="7:18" x14ac:dyDescent="0.25">
      <c r="G15086" s="33"/>
      <c r="O15086" s="33"/>
      <c r="P15086" s="33"/>
      <c r="Q15086" s="31" t="str">
        <f t="shared" si="940"/>
        <v/>
      </c>
      <c r="R15086" s="32" t="str">
        <f>IFERROR(VLOOKUP($D15086,'Informations sur les produits'!$A$3:$B$15000,2,FALSE),"")</f>
        <v/>
      </c>
    </row>
    <row r="15087" spans="7:18" x14ac:dyDescent="0.25">
      <c r="G15087" s="33"/>
      <c r="O15087" s="33"/>
      <c r="P15087" s="33"/>
      <c r="Q15087" s="31" t="str">
        <f t="shared" si="940"/>
        <v/>
      </c>
      <c r="R15087" s="32" t="str">
        <f>IFERROR(VLOOKUP($D15087,'Informations sur les produits'!$A$3:$B$15000,2,FALSE),"")</f>
        <v/>
      </c>
    </row>
    <row r="15088" spans="7:18" x14ac:dyDescent="0.25">
      <c r="G15088" s="33"/>
      <c r="O15088" s="33"/>
      <c r="P15088" s="33"/>
      <c r="Q15088" s="31" t="str">
        <f t="shared" si="940"/>
        <v/>
      </c>
      <c r="R15088" s="32" t="str">
        <f>IFERROR(VLOOKUP($D15088,'Informations sur les produits'!$A$3:$B$15000,2,FALSE),"")</f>
        <v/>
      </c>
    </row>
    <row r="15089" spans="7:18" x14ac:dyDescent="0.25">
      <c r="G15089" s="33"/>
      <c r="O15089" s="33"/>
      <c r="P15089" s="33"/>
      <c r="Q15089" s="31" t="str">
        <f t="shared" si="940"/>
        <v/>
      </c>
      <c r="R15089" s="32" t="str">
        <f>IFERROR(VLOOKUP($D15089,'Informations sur les produits'!$A$3:$B$15000,2,FALSE),"")</f>
        <v/>
      </c>
    </row>
    <row r="15090" spans="7:18" x14ac:dyDescent="0.25">
      <c r="G15090" s="33"/>
      <c r="O15090" s="33"/>
      <c r="P15090" s="33"/>
      <c r="Q15090" s="31" t="str">
        <f t="shared" si="940"/>
        <v/>
      </c>
      <c r="R15090" s="32" t="str">
        <f>IFERROR(VLOOKUP($D15090,'Informations sur les produits'!$A$3:$B$15000,2,FALSE),"")</f>
        <v/>
      </c>
    </row>
    <row r="15091" spans="7:18" x14ac:dyDescent="0.25">
      <c r="G15091" s="33"/>
      <c r="O15091" s="33"/>
      <c r="P15091" s="33"/>
      <c r="Q15091" s="31" t="str">
        <f t="shared" si="940"/>
        <v/>
      </c>
      <c r="R15091" s="32" t="str">
        <f>IFERROR(VLOOKUP($D15091,'Informations sur les produits'!$A$3:$B$15000,2,FALSE),"")</f>
        <v/>
      </c>
    </row>
    <row r="15092" spans="7:18" x14ac:dyDescent="0.25">
      <c r="G15092" s="33"/>
      <c r="O15092" s="33"/>
      <c r="P15092" s="33"/>
      <c r="Q15092" s="31" t="str">
        <f t="shared" si="940"/>
        <v/>
      </c>
      <c r="R15092" s="32" t="str">
        <f>IFERROR(VLOOKUP($D15092,'Informations sur les produits'!$A$3:$B$15000,2,FALSE),"")</f>
        <v/>
      </c>
    </row>
    <row r="15093" spans="7:18" x14ac:dyDescent="0.25">
      <c r="G15093" s="33"/>
      <c r="O15093" s="33"/>
      <c r="P15093" s="33"/>
      <c r="Q15093" s="31" t="str">
        <f t="shared" si="940"/>
        <v/>
      </c>
      <c r="R15093" s="32" t="str">
        <f>IFERROR(VLOOKUP($D15093,'Informations sur les produits'!$A$3:$B$15000,2,FALSE),"")</f>
        <v/>
      </c>
    </row>
    <row r="15094" spans="7:18" x14ac:dyDescent="0.25">
      <c r="G15094" s="33"/>
      <c r="O15094" s="33"/>
      <c r="P15094" s="33"/>
      <c r="Q15094" s="31" t="str">
        <f t="shared" si="940"/>
        <v/>
      </c>
      <c r="R15094" s="32" t="str">
        <f>IFERROR(VLOOKUP($D15094,'Informations sur les produits'!$A$3:$B$15000,2,FALSE),"")</f>
        <v/>
      </c>
    </row>
    <row r="15095" spans="7:18" x14ac:dyDescent="0.25">
      <c r="G15095" s="33"/>
      <c r="O15095" s="33"/>
      <c r="P15095" s="33"/>
      <c r="Q15095" s="31" t="str">
        <f t="shared" si="940"/>
        <v/>
      </c>
      <c r="R15095" s="32" t="str">
        <f>IFERROR(VLOOKUP($D15095,'Informations sur les produits'!$A$3:$B$15000,2,FALSE),"")</f>
        <v/>
      </c>
    </row>
    <row r="15096" spans="7:18" x14ac:dyDescent="0.25">
      <c r="G15096" s="33"/>
      <c r="O15096" s="33"/>
      <c r="P15096" s="33"/>
      <c r="Q15096" s="31" t="str">
        <f t="shared" si="940"/>
        <v/>
      </c>
      <c r="R15096" s="32" t="str">
        <f>IFERROR(VLOOKUP($D15096,'Informations sur les produits'!$A$3:$B$15000,2,FALSE),"")</f>
        <v/>
      </c>
    </row>
    <row r="15097" spans="7:18" x14ac:dyDescent="0.25">
      <c r="G15097" s="33"/>
      <c r="O15097" s="33"/>
      <c r="P15097" s="33"/>
      <c r="Q15097" s="31" t="str">
        <f t="shared" si="940"/>
        <v/>
      </c>
      <c r="R15097" s="32" t="str">
        <f>IFERROR(VLOOKUP($D15097,'Informations sur les produits'!$A$3:$B$15000,2,FALSE),"")</f>
        <v/>
      </c>
    </row>
    <row r="15098" spans="7:18" x14ac:dyDescent="0.25">
      <c r="G15098" s="33"/>
      <c r="O15098" s="33"/>
      <c r="P15098" s="33"/>
      <c r="Q15098" s="31" t="str">
        <f t="shared" si="940"/>
        <v/>
      </c>
      <c r="R15098" s="32" t="str">
        <f>IFERROR(VLOOKUP($D15098,'Informations sur les produits'!$A$3:$B$15000,2,FALSE),"")</f>
        <v/>
      </c>
    </row>
    <row r="15099" spans="7:18" x14ac:dyDescent="0.25">
      <c r="G15099" s="33"/>
      <c r="O15099" s="33"/>
      <c r="P15099" s="33"/>
      <c r="Q15099" s="31" t="str">
        <f t="shared" si="940"/>
        <v/>
      </c>
      <c r="R15099" s="32" t="str">
        <f>IFERROR(VLOOKUP($D15099,'Informations sur les produits'!$A$3:$B$15000,2,FALSE),"")</f>
        <v/>
      </c>
    </row>
    <row r="15100" spans="7:18" x14ac:dyDescent="0.25">
      <c r="G15100" s="33"/>
      <c r="O15100" s="33"/>
      <c r="P15100" s="33"/>
      <c r="Q15100" s="31" t="str">
        <f t="shared" si="940"/>
        <v/>
      </c>
      <c r="R15100" s="32" t="str">
        <f>IFERROR(VLOOKUP($D15100,'Informations sur les produits'!$A$3:$B$15000,2,FALSE),"")</f>
        <v/>
      </c>
    </row>
    <row r="15101" spans="7:18" x14ac:dyDescent="0.25">
      <c r="G15101" s="33"/>
      <c r="O15101" s="33"/>
      <c r="P15101" s="33"/>
      <c r="Q15101" s="31" t="str">
        <f t="shared" si="940"/>
        <v/>
      </c>
      <c r="R15101" s="32" t="str">
        <f>IFERROR(VLOOKUP($D15101,'Informations sur les produits'!$A$3:$B$15000,2,FALSE),"")</f>
        <v/>
      </c>
    </row>
    <row r="15102" spans="7:18" x14ac:dyDescent="0.25">
      <c r="G15102" s="33"/>
      <c r="O15102" s="33"/>
      <c r="P15102" s="33"/>
      <c r="Q15102" s="31" t="str">
        <f t="shared" si="940"/>
        <v/>
      </c>
      <c r="R15102" s="32" t="str">
        <f>IFERROR(VLOOKUP($D15102,'Informations sur les produits'!$A$3:$B$15000,2,FALSE),"")</f>
        <v/>
      </c>
    </row>
    <row r="15103" spans="7:18" x14ac:dyDescent="0.25">
      <c r="G15103" s="33"/>
      <c r="O15103" s="33"/>
      <c r="P15103" s="33"/>
      <c r="Q15103" s="31" t="str">
        <f t="shared" si="940"/>
        <v/>
      </c>
      <c r="R15103" s="32" t="str">
        <f>IFERROR(VLOOKUP($D15103,'Informations sur les produits'!$A$3:$B$15000,2,FALSE),"")</f>
        <v/>
      </c>
    </row>
    <row r="15104" spans="7:18" x14ac:dyDescent="0.25">
      <c r="G15104" s="33"/>
      <c r="O15104" s="33"/>
      <c r="P15104" s="33"/>
      <c r="Q15104" s="31" t="str">
        <f t="shared" si="940"/>
        <v/>
      </c>
      <c r="R15104" s="32" t="str">
        <f>IFERROR(VLOOKUP($D15104,'Informations sur les produits'!$A$3:$B$15000,2,FALSE),"")</f>
        <v/>
      </c>
    </row>
    <row r="15105" spans="7:18" x14ac:dyDescent="0.25">
      <c r="G15105" s="33"/>
      <c r="O15105" s="33"/>
      <c r="P15105" s="33"/>
      <c r="Q15105" s="31" t="str">
        <f t="shared" si="940"/>
        <v/>
      </c>
      <c r="R15105" s="32" t="str">
        <f>IFERROR(VLOOKUP($D15105,'Informations sur les produits'!$A$3:$B$15000,2,FALSE),"")</f>
        <v/>
      </c>
    </row>
    <row r="15106" spans="7:18" x14ac:dyDescent="0.25">
      <c r="G15106" s="33"/>
      <c r="O15106" s="33"/>
      <c r="P15106" s="33"/>
      <c r="Q15106" s="31" t="str">
        <f t="shared" si="940"/>
        <v/>
      </c>
      <c r="R15106" s="32" t="str">
        <f>IFERROR(VLOOKUP($D15106,'Informations sur les produits'!$A$3:$B$15000,2,FALSE),"")</f>
        <v/>
      </c>
    </row>
    <row r="15107" spans="7:18" x14ac:dyDescent="0.25">
      <c r="G15107" s="33"/>
      <c r="O15107" s="33"/>
      <c r="P15107" s="33"/>
      <c r="Q15107" s="31" t="str">
        <f t="shared" si="940"/>
        <v/>
      </c>
      <c r="R15107" s="32" t="str">
        <f>IFERROR(VLOOKUP($D15107,'Informations sur les produits'!$A$3:$B$15000,2,FALSE),"")</f>
        <v/>
      </c>
    </row>
    <row r="15108" spans="7:18" x14ac:dyDescent="0.25">
      <c r="G15108" s="33"/>
      <c r="O15108" s="33"/>
      <c r="P15108" s="33"/>
      <c r="Q15108" s="31" t="str">
        <f t="shared" ref="Q15108:Q15171" si="941">IFERROR((((($E15108-$F15108)*$G15108+$K15108*$L15108+$N15108*$O15108)*1000)/(($E15108-$F15108)+$K15108+$N15108)),"")</f>
        <v/>
      </c>
      <c r="R15108" s="32" t="str">
        <f>IFERROR(VLOOKUP($D15108,'Informations sur les produits'!$A$3:$B$15000,2,FALSE),"")</f>
        <v/>
      </c>
    </row>
    <row r="15109" spans="7:18" x14ac:dyDescent="0.25">
      <c r="G15109" s="33"/>
      <c r="O15109" s="33"/>
      <c r="P15109" s="33"/>
      <c r="Q15109" s="31" t="str">
        <f t="shared" si="941"/>
        <v/>
      </c>
      <c r="R15109" s="32" t="str">
        <f>IFERROR(VLOOKUP($D15109,'Informations sur les produits'!$A$3:$B$15000,2,FALSE),"")</f>
        <v/>
      </c>
    </row>
    <row r="15110" spans="7:18" x14ac:dyDescent="0.25">
      <c r="G15110" s="33"/>
      <c r="O15110" s="33"/>
      <c r="P15110" s="33"/>
      <c r="Q15110" s="31" t="str">
        <f t="shared" si="941"/>
        <v/>
      </c>
      <c r="R15110" s="32" t="str">
        <f>IFERROR(VLOOKUP($D15110,'Informations sur les produits'!$A$3:$B$15000,2,FALSE),"")</f>
        <v/>
      </c>
    </row>
    <row r="15111" spans="7:18" x14ac:dyDescent="0.25">
      <c r="G15111" s="33"/>
      <c r="O15111" s="33"/>
      <c r="P15111" s="33"/>
      <c r="Q15111" s="31" t="str">
        <f t="shared" si="941"/>
        <v/>
      </c>
      <c r="R15111" s="32" t="str">
        <f>IFERROR(VLOOKUP($D15111,'Informations sur les produits'!$A$3:$B$15000,2,FALSE),"")</f>
        <v/>
      </c>
    </row>
    <row r="15112" spans="7:18" x14ac:dyDescent="0.25">
      <c r="G15112" s="33"/>
      <c r="O15112" s="33"/>
      <c r="P15112" s="33"/>
      <c r="Q15112" s="31" t="str">
        <f t="shared" si="941"/>
        <v/>
      </c>
      <c r="R15112" s="32" t="str">
        <f>IFERROR(VLOOKUP($D15112,'Informations sur les produits'!$A$3:$B$15000,2,FALSE),"")</f>
        <v/>
      </c>
    </row>
    <row r="15113" spans="7:18" x14ac:dyDescent="0.25">
      <c r="G15113" s="33"/>
      <c r="O15113" s="33"/>
      <c r="P15113" s="33"/>
      <c r="Q15113" s="31" t="str">
        <f t="shared" si="941"/>
        <v/>
      </c>
      <c r="R15113" s="32" t="str">
        <f>IFERROR(VLOOKUP($D15113,'Informations sur les produits'!$A$3:$B$15000,2,FALSE),"")</f>
        <v/>
      </c>
    </row>
    <row r="15114" spans="7:18" x14ac:dyDescent="0.25">
      <c r="G15114" s="33"/>
      <c r="O15114" s="33"/>
      <c r="P15114" s="33"/>
      <c r="Q15114" s="31" t="str">
        <f t="shared" si="941"/>
        <v/>
      </c>
      <c r="R15114" s="32" t="str">
        <f>IFERROR(VLOOKUP($D15114,'Informations sur les produits'!$A$3:$B$15000,2,FALSE),"")</f>
        <v/>
      </c>
    </row>
    <row r="15115" spans="7:18" x14ac:dyDescent="0.25">
      <c r="G15115" s="33"/>
      <c r="O15115" s="33"/>
      <c r="P15115" s="33"/>
      <c r="Q15115" s="31" t="str">
        <f t="shared" si="941"/>
        <v/>
      </c>
      <c r="R15115" s="32" t="str">
        <f>IFERROR(VLOOKUP($D15115,'Informations sur les produits'!$A$3:$B$15000,2,FALSE),"")</f>
        <v/>
      </c>
    </row>
    <row r="15116" spans="7:18" x14ac:dyDescent="0.25">
      <c r="G15116" s="33"/>
      <c r="O15116" s="33"/>
      <c r="P15116" s="33"/>
      <c r="Q15116" s="31" t="str">
        <f t="shared" si="941"/>
        <v/>
      </c>
      <c r="R15116" s="32" t="str">
        <f>IFERROR(VLOOKUP($D15116,'Informations sur les produits'!$A$3:$B$15000,2,FALSE),"")</f>
        <v/>
      </c>
    </row>
    <row r="15117" spans="7:18" x14ac:dyDescent="0.25">
      <c r="G15117" s="33"/>
      <c r="O15117" s="33"/>
      <c r="P15117" s="33"/>
      <c r="Q15117" s="31" t="str">
        <f t="shared" si="941"/>
        <v/>
      </c>
      <c r="R15117" s="32" t="str">
        <f>IFERROR(VLOOKUP($D15117,'Informations sur les produits'!$A$3:$B$15000,2,FALSE),"")</f>
        <v/>
      </c>
    </row>
    <row r="15118" spans="7:18" x14ac:dyDescent="0.25">
      <c r="G15118" s="33"/>
      <c r="O15118" s="33"/>
      <c r="P15118" s="33"/>
      <c r="Q15118" s="31" t="str">
        <f t="shared" si="941"/>
        <v/>
      </c>
      <c r="R15118" s="32" t="str">
        <f>IFERROR(VLOOKUP($D15118,'Informations sur les produits'!$A$3:$B$15000,2,FALSE),"")</f>
        <v/>
      </c>
    </row>
    <row r="15119" spans="7:18" x14ac:dyDescent="0.25">
      <c r="G15119" s="33"/>
      <c r="O15119" s="33"/>
      <c r="P15119" s="33"/>
      <c r="Q15119" s="31" t="str">
        <f t="shared" si="941"/>
        <v/>
      </c>
      <c r="R15119" s="32" t="str">
        <f>IFERROR(VLOOKUP($D15119,'Informations sur les produits'!$A$3:$B$15000,2,FALSE),"")</f>
        <v/>
      </c>
    </row>
    <row r="15120" spans="7:18" x14ac:dyDescent="0.25">
      <c r="G15120" s="33"/>
      <c r="O15120" s="33"/>
      <c r="P15120" s="33"/>
      <c r="Q15120" s="31" t="str">
        <f t="shared" si="941"/>
        <v/>
      </c>
      <c r="R15120" s="32" t="str">
        <f>IFERROR(VLOOKUP($D15120,'Informations sur les produits'!$A$3:$B$15000,2,FALSE),"")</f>
        <v/>
      </c>
    </row>
    <row r="15121" spans="7:18" x14ac:dyDescent="0.25">
      <c r="G15121" s="33"/>
      <c r="O15121" s="33"/>
      <c r="P15121" s="33"/>
      <c r="Q15121" s="31" t="str">
        <f t="shared" si="941"/>
        <v/>
      </c>
      <c r="R15121" s="32" t="str">
        <f>IFERROR(VLOOKUP($D15121,'Informations sur les produits'!$A$3:$B$15000,2,FALSE),"")</f>
        <v/>
      </c>
    </row>
    <row r="15122" spans="7:18" x14ac:dyDescent="0.25">
      <c r="G15122" s="33"/>
      <c r="O15122" s="33"/>
      <c r="P15122" s="33"/>
      <c r="Q15122" s="31" t="str">
        <f t="shared" si="941"/>
        <v/>
      </c>
      <c r="R15122" s="32" t="str">
        <f>IFERROR(VLOOKUP($D15122,'Informations sur les produits'!$A$3:$B$15000,2,FALSE),"")</f>
        <v/>
      </c>
    </row>
    <row r="15123" spans="7:18" x14ac:dyDescent="0.25">
      <c r="G15123" s="33"/>
      <c r="O15123" s="33"/>
      <c r="P15123" s="33"/>
      <c r="Q15123" s="31" t="str">
        <f t="shared" si="941"/>
        <v/>
      </c>
      <c r="R15123" s="32" t="str">
        <f>IFERROR(VLOOKUP($D15123,'Informations sur les produits'!$A$3:$B$15000,2,FALSE),"")</f>
        <v/>
      </c>
    </row>
    <row r="15124" spans="7:18" x14ac:dyDescent="0.25">
      <c r="G15124" s="33"/>
      <c r="O15124" s="33"/>
      <c r="P15124" s="33"/>
      <c r="Q15124" s="31" t="str">
        <f t="shared" si="941"/>
        <v/>
      </c>
      <c r="R15124" s="32" t="str">
        <f>IFERROR(VLOOKUP($D15124,'Informations sur les produits'!$A$3:$B$15000,2,FALSE),"")</f>
        <v/>
      </c>
    </row>
    <row r="15125" spans="7:18" x14ac:dyDescent="0.25">
      <c r="G15125" s="33"/>
      <c r="O15125" s="33"/>
      <c r="P15125" s="33"/>
      <c r="Q15125" s="31" t="str">
        <f t="shared" si="941"/>
        <v/>
      </c>
      <c r="R15125" s="32" t="str">
        <f>IFERROR(VLOOKUP($D15125,'Informations sur les produits'!$A$3:$B$15000,2,FALSE),"")</f>
        <v/>
      </c>
    </row>
    <row r="15126" spans="7:18" x14ac:dyDescent="0.25">
      <c r="G15126" s="33"/>
      <c r="O15126" s="33"/>
      <c r="P15126" s="33"/>
      <c r="Q15126" s="31" t="str">
        <f t="shared" si="941"/>
        <v/>
      </c>
      <c r="R15126" s="32" t="str">
        <f>IFERROR(VLOOKUP($D15126,'Informations sur les produits'!$A$3:$B$15000,2,FALSE),"")</f>
        <v/>
      </c>
    </row>
    <row r="15127" spans="7:18" x14ac:dyDescent="0.25">
      <c r="G15127" s="33"/>
      <c r="O15127" s="33"/>
      <c r="P15127" s="33"/>
      <c r="Q15127" s="31" t="str">
        <f t="shared" si="941"/>
        <v/>
      </c>
      <c r="R15127" s="32" t="str">
        <f>IFERROR(VLOOKUP($D15127,'Informations sur les produits'!$A$3:$B$15000,2,FALSE),"")</f>
        <v/>
      </c>
    </row>
    <row r="15128" spans="7:18" x14ac:dyDescent="0.25">
      <c r="G15128" s="33"/>
      <c r="O15128" s="33"/>
      <c r="P15128" s="33"/>
      <c r="Q15128" s="31" t="str">
        <f t="shared" si="941"/>
        <v/>
      </c>
      <c r="R15128" s="32" t="str">
        <f>IFERROR(VLOOKUP($D15128,'Informations sur les produits'!$A$3:$B$15000,2,FALSE),"")</f>
        <v/>
      </c>
    </row>
    <row r="15129" spans="7:18" x14ac:dyDescent="0.25">
      <c r="G15129" s="33"/>
      <c r="O15129" s="33"/>
      <c r="P15129" s="33"/>
      <c r="Q15129" s="31" t="str">
        <f t="shared" si="941"/>
        <v/>
      </c>
      <c r="R15129" s="32" t="str">
        <f>IFERROR(VLOOKUP($D15129,'Informations sur les produits'!$A$3:$B$15000,2,FALSE),"")</f>
        <v/>
      </c>
    </row>
    <row r="15130" spans="7:18" x14ac:dyDescent="0.25">
      <c r="G15130" s="33"/>
      <c r="O15130" s="33"/>
      <c r="P15130" s="33"/>
      <c r="Q15130" s="31" t="str">
        <f t="shared" si="941"/>
        <v/>
      </c>
      <c r="R15130" s="32" t="str">
        <f>IFERROR(VLOOKUP($D15130,'Informations sur les produits'!$A$3:$B$15000,2,FALSE),"")</f>
        <v/>
      </c>
    </row>
    <row r="15131" spans="7:18" x14ac:dyDescent="0.25">
      <c r="G15131" s="33"/>
      <c r="O15131" s="33"/>
      <c r="P15131" s="33"/>
      <c r="Q15131" s="31" t="str">
        <f t="shared" si="941"/>
        <v/>
      </c>
      <c r="R15131" s="32" t="str">
        <f>IFERROR(VLOOKUP($D15131,'Informations sur les produits'!$A$3:$B$15000,2,FALSE),"")</f>
        <v/>
      </c>
    </row>
    <row r="15132" spans="7:18" x14ac:dyDescent="0.25">
      <c r="G15132" s="33"/>
      <c r="O15132" s="33"/>
      <c r="P15132" s="33"/>
      <c r="Q15132" s="31" t="str">
        <f t="shared" si="941"/>
        <v/>
      </c>
      <c r="R15132" s="32" t="str">
        <f>IFERROR(VLOOKUP($D15132,'Informations sur les produits'!$A$3:$B$15000,2,FALSE),"")</f>
        <v/>
      </c>
    </row>
    <row r="15133" spans="7:18" x14ac:dyDescent="0.25">
      <c r="G15133" s="33"/>
      <c r="O15133" s="33"/>
      <c r="P15133" s="33"/>
      <c r="Q15133" s="31" t="str">
        <f t="shared" si="941"/>
        <v/>
      </c>
      <c r="R15133" s="32" t="str">
        <f>IFERROR(VLOOKUP($D15133,'Informations sur les produits'!$A$3:$B$15000,2,FALSE),"")</f>
        <v/>
      </c>
    </row>
    <row r="15134" spans="7:18" x14ac:dyDescent="0.25">
      <c r="G15134" s="33"/>
      <c r="O15134" s="33"/>
      <c r="P15134" s="33"/>
      <c r="Q15134" s="31" t="str">
        <f t="shared" si="941"/>
        <v/>
      </c>
      <c r="R15134" s="32" t="str">
        <f>IFERROR(VLOOKUP($D15134,'Informations sur les produits'!$A$3:$B$15000,2,FALSE),"")</f>
        <v/>
      </c>
    </row>
    <row r="15135" spans="7:18" x14ac:dyDescent="0.25">
      <c r="G15135" s="33"/>
      <c r="O15135" s="33"/>
      <c r="P15135" s="33"/>
      <c r="Q15135" s="31" t="str">
        <f t="shared" si="941"/>
        <v/>
      </c>
      <c r="R15135" s="32" t="str">
        <f>IFERROR(VLOOKUP($D15135,'Informations sur les produits'!$A$3:$B$15000,2,FALSE),"")</f>
        <v/>
      </c>
    </row>
    <row r="15136" spans="7:18" x14ac:dyDescent="0.25">
      <c r="G15136" s="33"/>
      <c r="O15136" s="33"/>
      <c r="P15136" s="33"/>
      <c r="Q15136" s="31" t="str">
        <f t="shared" si="941"/>
        <v/>
      </c>
      <c r="R15136" s="32" t="str">
        <f>IFERROR(VLOOKUP($D15136,'Informations sur les produits'!$A$3:$B$15000,2,FALSE),"")</f>
        <v/>
      </c>
    </row>
    <row r="15137" spans="7:18" x14ac:dyDescent="0.25">
      <c r="G15137" s="33"/>
      <c r="O15137" s="33"/>
      <c r="P15137" s="33"/>
      <c r="Q15137" s="31" t="str">
        <f t="shared" si="941"/>
        <v/>
      </c>
      <c r="R15137" s="32" t="str">
        <f>IFERROR(VLOOKUP($D15137,'Informations sur les produits'!$A$3:$B$15000,2,FALSE),"")</f>
        <v/>
      </c>
    </row>
    <row r="15138" spans="7:18" x14ac:dyDescent="0.25">
      <c r="G15138" s="33"/>
      <c r="O15138" s="33"/>
      <c r="P15138" s="33"/>
      <c r="Q15138" s="31" t="str">
        <f t="shared" si="941"/>
        <v/>
      </c>
      <c r="R15138" s="32" t="str">
        <f>IFERROR(VLOOKUP($D15138,'Informations sur les produits'!$A$3:$B$15000,2,FALSE),"")</f>
        <v/>
      </c>
    </row>
    <row r="15139" spans="7:18" x14ac:dyDescent="0.25">
      <c r="G15139" s="33"/>
      <c r="O15139" s="33"/>
      <c r="P15139" s="33"/>
      <c r="Q15139" s="31" t="str">
        <f t="shared" si="941"/>
        <v/>
      </c>
      <c r="R15139" s="32" t="str">
        <f>IFERROR(VLOOKUP($D15139,'Informations sur les produits'!$A$3:$B$15000,2,FALSE),"")</f>
        <v/>
      </c>
    </row>
    <row r="15140" spans="7:18" x14ac:dyDescent="0.25">
      <c r="G15140" s="33"/>
      <c r="O15140" s="33"/>
      <c r="P15140" s="33"/>
      <c r="Q15140" s="31" t="str">
        <f t="shared" si="941"/>
        <v/>
      </c>
      <c r="R15140" s="32" t="str">
        <f>IFERROR(VLOOKUP($D15140,'Informations sur les produits'!$A$3:$B$15000,2,FALSE),"")</f>
        <v/>
      </c>
    </row>
    <row r="15141" spans="7:18" x14ac:dyDescent="0.25">
      <c r="G15141" s="33"/>
      <c r="O15141" s="33"/>
      <c r="P15141" s="33"/>
      <c r="Q15141" s="31" t="str">
        <f t="shared" si="941"/>
        <v/>
      </c>
      <c r="R15141" s="32" t="str">
        <f>IFERROR(VLOOKUP($D15141,'Informations sur les produits'!$A$3:$B$15000,2,FALSE),"")</f>
        <v/>
      </c>
    </row>
    <row r="15142" spans="7:18" x14ac:dyDescent="0.25">
      <c r="G15142" s="33"/>
      <c r="O15142" s="33"/>
      <c r="P15142" s="33"/>
      <c r="Q15142" s="31" t="str">
        <f t="shared" si="941"/>
        <v/>
      </c>
      <c r="R15142" s="32" t="str">
        <f>IFERROR(VLOOKUP($D15142,'Informations sur les produits'!$A$3:$B$15000,2,FALSE),"")</f>
        <v/>
      </c>
    </row>
    <row r="15143" spans="7:18" x14ac:dyDescent="0.25">
      <c r="G15143" s="33"/>
      <c r="O15143" s="33"/>
      <c r="P15143" s="33"/>
      <c r="Q15143" s="31" t="str">
        <f t="shared" si="941"/>
        <v/>
      </c>
      <c r="R15143" s="32" t="str">
        <f>IFERROR(VLOOKUP($D15143,'Informations sur les produits'!$A$3:$B$15000,2,FALSE),"")</f>
        <v/>
      </c>
    </row>
    <row r="15144" spans="7:18" x14ac:dyDescent="0.25">
      <c r="G15144" s="33"/>
      <c r="O15144" s="33"/>
      <c r="P15144" s="33"/>
      <c r="Q15144" s="31" t="str">
        <f t="shared" si="941"/>
        <v/>
      </c>
      <c r="R15144" s="32" t="str">
        <f>IFERROR(VLOOKUP($D15144,'Informations sur les produits'!$A$3:$B$15000,2,FALSE),"")</f>
        <v/>
      </c>
    </row>
    <row r="15145" spans="7:18" x14ac:dyDescent="0.25">
      <c r="G15145" s="33"/>
      <c r="O15145" s="33"/>
      <c r="P15145" s="33"/>
      <c r="Q15145" s="31" t="str">
        <f t="shared" si="941"/>
        <v/>
      </c>
      <c r="R15145" s="32" t="str">
        <f>IFERROR(VLOOKUP($D15145,'Informations sur les produits'!$A$3:$B$15000,2,FALSE),"")</f>
        <v/>
      </c>
    </row>
    <row r="15146" spans="7:18" x14ac:dyDescent="0.25">
      <c r="G15146" s="33"/>
      <c r="O15146" s="33"/>
      <c r="P15146" s="33"/>
      <c r="Q15146" s="31" t="str">
        <f t="shared" si="941"/>
        <v/>
      </c>
      <c r="R15146" s="32" t="str">
        <f>IFERROR(VLOOKUP($D15146,'Informations sur les produits'!$A$3:$B$15000,2,FALSE),"")</f>
        <v/>
      </c>
    </row>
    <row r="15147" spans="7:18" x14ac:dyDescent="0.25">
      <c r="G15147" s="33"/>
      <c r="O15147" s="33"/>
      <c r="P15147" s="33"/>
      <c r="Q15147" s="31" t="str">
        <f t="shared" si="941"/>
        <v/>
      </c>
      <c r="R15147" s="32" t="str">
        <f>IFERROR(VLOOKUP($D15147,'Informations sur les produits'!$A$3:$B$15000,2,FALSE),"")</f>
        <v/>
      </c>
    </row>
    <row r="15148" spans="7:18" x14ac:dyDescent="0.25">
      <c r="G15148" s="33"/>
      <c r="O15148" s="33"/>
      <c r="P15148" s="33"/>
      <c r="Q15148" s="31" t="str">
        <f t="shared" si="941"/>
        <v/>
      </c>
      <c r="R15148" s="32" t="str">
        <f>IFERROR(VLOOKUP($D15148,'Informations sur les produits'!$A$3:$B$15000,2,FALSE),"")</f>
        <v/>
      </c>
    </row>
    <row r="15149" spans="7:18" x14ac:dyDescent="0.25">
      <c r="G15149" s="33"/>
      <c r="O15149" s="33"/>
      <c r="P15149" s="33"/>
      <c r="Q15149" s="31" t="str">
        <f t="shared" si="941"/>
        <v/>
      </c>
      <c r="R15149" s="32" t="str">
        <f>IFERROR(VLOOKUP($D15149,'Informations sur les produits'!$A$3:$B$15000,2,FALSE),"")</f>
        <v/>
      </c>
    </row>
    <row r="15150" spans="7:18" x14ac:dyDescent="0.25">
      <c r="G15150" s="33"/>
      <c r="O15150" s="33"/>
      <c r="P15150" s="33"/>
      <c r="Q15150" s="31" t="str">
        <f t="shared" si="941"/>
        <v/>
      </c>
      <c r="R15150" s="32" t="str">
        <f>IFERROR(VLOOKUP($D15150,'Informations sur les produits'!$A$3:$B$15000,2,FALSE),"")</f>
        <v/>
      </c>
    </row>
    <row r="15151" spans="7:18" x14ac:dyDescent="0.25">
      <c r="G15151" s="33"/>
      <c r="O15151" s="33"/>
      <c r="P15151" s="33"/>
      <c r="Q15151" s="31" t="str">
        <f t="shared" si="941"/>
        <v/>
      </c>
      <c r="R15151" s="32" t="str">
        <f>IFERROR(VLOOKUP($D15151,'Informations sur les produits'!$A$3:$B$15000,2,FALSE),"")</f>
        <v/>
      </c>
    </row>
    <row r="15152" spans="7:18" x14ac:dyDescent="0.25">
      <c r="G15152" s="33"/>
      <c r="O15152" s="33"/>
      <c r="P15152" s="33"/>
      <c r="Q15152" s="31" t="str">
        <f t="shared" si="941"/>
        <v/>
      </c>
      <c r="R15152" s="32" t="str">
        <f>IFERROR(VLOOKUP($D15152,'Informations sur les produits'!$A$3:$B$15000,2,FALSE),"")</f>
        <v/>
      </c>
    </row>
    <row r="15153" spans="7:18" x14ac:dyDescent="0.25">
      <c r="G15153" s="33"/>
      <c r="O15153" s="33"/>
      <c r="P15153" s="33"/>
      <c r="Q15153" s="31" t="str">
        <f t="shared" si="941"/>
        <v/>
      </c>
      <c r="R15153" s="32" t="str">
        <f>IFERROR(VLOOKUP($D15153,'Informations sur les produits'!$A$3:$B$15000,2,FALSE),"")</f>
        <v/>
      </c>
    </row>
    <row r="15154" spans="7:18" x14ac:dyDescent="0.25">
      <c r="G15154" s="33"/>
      <c r="O15154" s="33"/>
      <c r="P15154" s="33"/>
      <c r="Q15154" s="31" t="str">
        <f t="shared" si="941"/>
        <v/>
      </c>
      <c r="R15154" s="32" t="str">
        <f>IFERROR(VLOOKUP($D15154,'Informations sur les produits'!$A$3:$B$15000,2,FALSE),"")</f>
        <v/>
      </c>
    </row>
    <row r="15155" spans="7:18" x14ac:dyDescent="0.25">
      <c r="G15155" s="33"/>
      <c r="O15155" s="33"/>
      <c r="P15155" s="33"/>
      <c r="Q15155" s="31" t="str">
        <f t="shared" si="941"/>
        <v/>
      </c>
      <c r="R15155" s="32" t="str">
        <f>IFERROR(VLOOKUP($D15155,'Informations sur les produits'!$A$3:$B$15000,2,FALSE),"")</f>
        <v/>
      </c>
    </row>
    <row r="15156" spans="7:18" x14ac:dyDescent="0.25">
      <c r="G15156" s="33"/>
      <c r="O15156" s="33"/>
      <c r="P15156" s="33"/>
      <c r="Q15156" s="31" t="str">
        <f t="shared" si="941"/>
        <v/>
      </c>
      <c r="R15156" s="32" t="str">
        <f>IFERROR(VLOOKUP($D15156,'Informations sur les produits'!$A$3:$B$15000,2,FALSE),"")</f>
        <v/>
      </c>
    </row>
    <row r="15157" spans="7:18" x14ac:dyDescent="0.25">
      <c r="G15157" s="33"/>
      <c r="O15157" s="33"/>
      <c r="P15157" s="33"/>
      <c r="Q15157" s="31" t="str">
        <f t="shared" si="941"/>
        <v/>
      </c>
      <c r="R15157" s="32" t="str">
        <f>IFERROR(VLOOKUP($D15157,'Informations sur les produits'!$A$3:$B$15000,2,FALSE),"")</f>
        <v/>
      </c>
    </row>
    <row r="15158" spans="7:18" x14ac:dyDescent="0.25">
      <c r="G15158" s="33"/>
      <c r="O15158" s="33"/>
      <c r="P15158" s="33"/>
      <c r="Q15158" s="31" t="str">
        <f t="shared" si="941"/>
        <v/>
      </c>
      <c r="R15158" s="32" t="str">
        <f>IFERROR(VLOOKUP($D15158,'Informations sur les produits'!$A$3:$B$15000,2,FALSE),"")</f>
        <v/>
      </c>
    </row>
    <row r="15159" spans="7:18" x14ac:dyDescent="0.25">
      <c r="G15159" s="33"/>
      <c r="O15159" s="33"/>
      <c r="P15159" s="33"/>
      <c r="Q15159" s="31" t="str">
        <f t="shared" si="941"/>
        <v/>
      </c>
      <c r="R15159" s="32" t="str">
        <f>IFERROR(VLOOKUP($D15159,'Informations sur les produits'!$A$3:$B$15000,2,FALSE),"")</f>
        <v/>
      </c>
    </row>
    <row r="15160" spans="7:18" x14ac:dyDescent="0.25">
      <c r="G15160" s="33"/>
      <c r="O15160" s="33"/>
      <c r="P15160" s="33"/>
      <c r="Q15160" s="31" t="str">
        <f t="shared" si="941"/>
        <v/>
      </c>
      <c r="R15160" s="32" t="str">
        <f>IFERROR(VLOOKUP($D15160,'Informations sur les produits'!$A$3:$B$15000,2,FALSE),"")</f>
        <v/>
      </c>
    </row>
    <row r="15161" spans="7:18" x14ac:dyDescent="0.25">
      <c r="G15161" s="33"/>
      <c r="O15161" s="33"/>
      <c r="P15161" s="33"/>
      <c r="Q15161" s="31" t="str">
        <f t="shared" si="941"/>
        <v/>
      </c>
      <c r="R15161" s="32" t="str">
        <f>IFERROR(VLOOKUP($D15161,'Informations sur les produits'!$A$3:$B$15000,2,FALSE),"")</f>
        <v/>
      </c>
    </row>
    <row r="15162" spans="7:18" x14ac:dyDescent="0.25">
      <c r="G15162" s="33"/>
      <c r="O15162" s="33"/>
      <c r="P15162" s="33"/>
      <c r="Q15162" s="31" t="str">
        <f t="shared" si="941"/>
        <v/>
      </c>
      <c r="R15162" s="32" t="str">
        <f>IFERROR(VLOOKUP($D15162,'Informations sur les produits'!$A$3:$B$15000,2,FALSE),"")</f>
        <v/>
      </c>
    </row>
    <row r="15163" spans="7:18" x14ac:dyDescent="0.25">
      <c r="G15163" s="33"/>
      <c r="O15163" s="33"/>
      <c r="P15163" s="33"/>
      <c r="Q15163" s="31" t="str">
        <f t="shared" si="941"/>
        <v/>
      </c>
      <c r="R15163" s="32" t="str">
        <f>IFERROR(VLOOKUP($D15163,'Informations sur les produits'!$A$3:$B$15000,2,FALSE),"")</f>
        <v/>
      </c>
    </row>
    <row r="15164" spans="7:18" x14ac:dyDescent="0.25">
      <c r="G15164" s="33"/>
      <c r="O15164" s="33"/>
      <c r="P15164" s="33"/>
      <c r="Q15164" s="31" t="str">
        <f t="shared" si="941"/>
        <v/>
      </c>
      <c r="R15164" s="32" t="str">
        <f>IFERROR(VLOOKUP($D15164,'Informations sur les produits'!$A$3:$B$15000,2,FALSE),"")</f>
        <v/>
      </c>
    </row>
    <row r="15165" spans="7:18" x14ac:dyDescent="0.25">
      <c r="G15165" s="33"/>
      <c r="O15165" s="33"/>
      <c r="P15165" s="33"/>
      <c r="Q15165" s="31" t="str">
        <f t="shared" si="941"/>
        <v/>
      </c>
      <c r="R15165" s="32" t="str">
        <f>IFERROR(VLOOKUP($D15165,'Informations sur les produits'!$A$3:$B$15000,2,FALSE),"")</f>
        <v/>
      </c>
    </row>
    <row r="15166" spans="7:18" x14ac:dyDescent="0.25">
      <c r="G15166" s="33"/>
      <c r="O15166" s="33"/>
      <c r="P15166" s="33"/>
      <c r="Q15166" s="31" t="str">
        <f t="shared" si="941"/>
        <v/>
      </c>
      <c r="R15166" s="32" t="str">
        <f>IFERROR(VLOOKUP($D15166,'Informations sur les produits'!$A$3:$B$15000,2,FALSE),"")</f>
        <v/>
      </c>
    </row>
    <row r="15167" spans="7:18" x14ac:dyDescent="0.25">
      <c r="G15167" s="33"/>
      <c r="O15167" s="33"/>
      <c r="P15167" s="33"/>
      <c r="Q15167" s="31" t="str">
        <f t="shared" si="941"/>
        <v/>
      </c>
      <c r="R15167" s="32" t="str">
        <f>IFERROR(VLOOKUP($D15167,'Informations sur les produits'!$A$3:$B$15000,2,FALSE),"")</f>
        <v/>
      </c>
    </row>
    <row r="15168" spans="7:18" x14ac:dyDescent="0.25">
      <c r="G15168" s="33"/>
      <c r="O15168" s="33"/>
      <c r="P15168" s="33"/>
      <c r="Q15168" s="31" t="str">
        <f t="shared" si="941"/>
        <v/>
      </c>
      <c r="R15168" s="32" t="str">
        <f>IFERROR(VLOOKUP($D15168,'Informations sur les produits'!$A$3:$B$15000,2,FALSE),"")</f>
        <v/>
      </c>
    </row>
    <row r="15169" spans="7:18" x14ac:dyDescent="0.25">
      <c r="G15169" s="33"/>
      <c r="O15169" s="33"/>
      <c r="P15169" s="33"/>
      <c r="Q15169" s="31" t="str">
        <f t="shared" si="941"/>
        <v/>
      </c>
      <c r="R15169" s="32" t="str">
        <f>IFERROR(VLOOKUP($D15169,'Informations sur les produits'!$A$3:$B$15000,2,FALSE),"")</f>
        <v/>
      </c>
    </row>
    <row r="15170" spans="7:18" x14ac:dyDescent="0.25">
      <c r="G15170" s="33"/>
      <c r="O15170" s="33"/>
      <c r="P15170" s="33"/>
      <c r="Q15170" s="31" t="str">
        <f t="shared" si="941"/>
        <v/>
      </c>
      <c r="R15170" s="32" t="str">
        <f>IFERROR(VLOOKUP($D15170,'Informations sur les produits'!$A$3:$B$15000,2,FALSE),"")</f>
        <v/>
      </c>
    </row>
    <row r="15171" spans="7:18" x14ac:dyDescent="0.25">
      <c r="G15171" s="33"/>
      <c r="O15171" s="33"/>
      <c r="P15171" s="33"/>
      <c r="Q15171" s="31" t="str">
        <f t="shared" si="941"/>
        <v/>
      </c>
      <c r="R15171" s="32" t="str">
        <f>IFERROR(VLOOKUP($D15171,'Informations sur les produits'!$A$3:$B$15000,2,FALSE),"")</f>
        <v/>
      </c>
    </row>
    <row r="15172" spans="7:18" x14ac:dyDescent="0.25">
      <c r="G15172" s="33"/>
      <c r="O15172" s="33"/>
      <c r="P15172" s="33"/>
      <c r="Q15172" s="31" t="str">
        <f t="shared" ref="Q15172:Q15235" si="942">IFERROR((((($E15172-$F15172)*$G15172+$K15172*$L15172+$N15172*$O15172)*1000)/(($E15172-$F15172)+$K15172+$N15172)),"")</f>
        <v/>
      </c>
      <c r="R15172" s="32" t="str">
        <f>IFERROR(VLOOKUP($D15172,'Informations sur les produits'!$A$3:$B$15000,2,FALSE),"")</f>
        <v/>
      </c>
    </row>
    <row r="15173" spans="7:18" x14ac:dyDescent="0.25">
      <c r="G15173" s="33"/>
      <c r="O15173" s="33"/>
      <c r="P15173" s="33"/>
      <c r="Q15173" s="31" t="str">
        <f t="shared" si="942"/>
        <v/>
      </c>
      <c r="R15173" s="32" t="str">
        <f>IFERROR(VLOOKUP($D15173,'Informations sur les produits'!$A$3:$B$15000,2,FALSE),"")</f>
        <v/>
      </c>
    </row>
    <row r="15174" spans="7:18" x14ac:dyDescent="0.25">
      <c r="G15174" s="33"/>
      <c r="O15174" s="33"/>
      <c r="P15174" s="33"/>
      <c r="Q15174" s="31" t="str">
        <f t="shared" si="942"/>
        <v/>
      </c>
      <c r="R15174" s="32" t="str">
        <f>IFERROR(VLOOKUP($D15174,'Informations sur les produits'!$A$3:$B$15000,2,FALSE),"")</f>
        <v/>
      </c>
    </row>
    <row r="15175" spans="7:18" x14ac:dyDescent="0.25">
      <c r="G15175" s="33"/>
      <c r="O15175" s="33"/>
      <c r="P15175" s="33"/>
      <c r="Q15175" s="31" t="str">
        <f t="shared" si="942"/>
        <v/>
      </c>
      <c r="R15175" s="32" t="str">
        <f>IFERROR(VLOOKUP($D15175,'Informations sur les produits'!$A$3:$B$15000,2,FALSE),"")</f>
        <v/>
      </c>
    </row>
    <row r="15176" spans="7:18" x14ac:dyDescent="0.25">
      <c r="G15176" s="33"/>
      <c r="O15176" s="33"/>
      <c r="P15176" s="33"/>
      <c r="Q15176" s="31" t="str">
        <f t="shared" si="942"/>
        <v/>
      </c>
      <c r="R15176" s="32" t="str">
        <f>IFERROR(VLOOKUP($D15176,'Informations sur les produits'!$A$3:$B$15000,2,FALSE),"")</f>
        <v/>
      </c>
    </row>
    <row r="15177" spans="7:18" x14ac:dyDescent="0.25">
      <c r="G15177" s="33"/>
      <c r="O15177" s="33"/>
      <c r="P15177" s="33"/>
      <c r="Q15177" s="31" t="str">
        <f t="shared" si="942"/>
        <v/>
      </c>
      <c r="R15177" s="32" t="str">
        <f>IFERROR(VLOOKUP($D15177,'Informations sur les produits'!$A$3:$B$15000,2,FALSE),"")</f>
        <v/>
      </c>
    </row>
    <row r="15178" spans="7:18" x14ac:dyDescent="0.25">
      <c r="G15178" s="33"/>
      <c r="O15178" s="33"/>
      <c r="P15178" s="33"/>
      <c r="Q15178" s="31" t="str">
        <f t="shared" si="942"/>
        <v/>
      </c>
      <c r="R15178" s="32" t="str">
        <f>IFERROR(VLOOKUP($D15178,'Informations sur les produits'!$A$3:$B$15000,2,FALSE),"")</f>
        <v/>
      </c>
    </row>
    <row r="15179" spans="7:18" x14ac:dyDescent="0.25">
      <c r="G15179" s="33"/>
      <c r="O15179" s="33"/>
      <c r="P15179" s="33"/>
      <c r="Q15179" s="31" t="str">
        <f t="shared" si="942"/>
        <v/>
      </c>
      <c r="R15179" s="32" t="str">
        <f>IFERROR(VLOOKUP($D15179,'Informations sur les produits'!$A$3:$B$15000,2,FALSE),"")</f>
        <v/>
      </c>
    </row>
    <row r="15180" spans="7:18" x14ac:dyDescent="0.25">
      <c r="G15180" s="33"/>
      <c r="O15180" s="33"/>
      <c r="P15180" s="33"/>
      <c r="Q15180" s="31" t="str">
        <f t="shared" si="942"/>
        <v/>
      </c>
      <c r="R15180" s="32" t="str">
        <f>IFERROR(VLOOKUP($D15180,'Informations sur les produits'!$A$3:$B$15000,2,FALSE),"")</f>
        <v/>
      </c>
    </row>
    <row r="15181" spans="7:18" x14ac:dyDescent="0.25">
      <c r="G15181" s="33"/>
      <c r="O15181" s="33"/>
      <c r="P15181" s="33"/>
      <c r="Q15181" s="31" t="str">
        <f t="shared" si="942"/>
        <v/>
      </c>
      <c r="R15181" s="32" t="str">
        <f>IFERROR(VLOOKUP($D15181,'Informations sur les produits'!$A$3:$B$15000,2,FALSE),"")</f>
        <v/>
      </c>
    </row>
    <row r="15182" spans="7:18" x14ac:dyDescent="0.25">
      <c r="G15182" s="33"/>
      <c r="O15182" s="33"/>
      <c r="P15182" s="33"/>
      <c r="Q15182" s="31" t="str">
        <f t="shared" si="942"/>
        <v/>
      </c>
      <c r="R15182" s="32" t="str">
        <f>IFERROR(VLOOKUP($D15182,'Informations sur les produits'!$A$3:$B$15000,2,FALSE),"")</f>
        <v/>
      </c>
    </row>
    <row r="15183" spans="7:18" x14ac:dyDescent="0.25">
      <c r="G15183" s="33"/>
      <c r="O15183" s="33"/>
      <c r="P15183" s="33"/>
      <c r="Q15183" s="31" t="str">
        <f t="shared" si="942"/>
        <v/>
      </c>
      <c r="R15183" s="32" t="str">
        <f>IFERROR(VLOOKUP($D15183,'Informations sur les produits'!$A$3:$B$15000,2,FALSE),"")</f>
        <v/>
      </c>
    </row>
    <row r="15184" spans="7:18" x14ac:dyDescent="0.25">
      <c r="G15184" s="33"/>
      <c r="O15184" s="33"/>
      <c r="P15184" s="33"/>
      <c r="Q15184" s="31" t="str">
        <f t="shared" si="942"/>
        <v/>
      </c>
      <c r="R15184" s="32" t="str">
        <f>IFERROR(VLOOKUP($D15184,'Informations sur les produits'!$A$3:$B$15000,2,FALSE),"")</f>
        <v/>
      </c>
    </row>
    <row r="15185" spans="7:18" x14ac:dyDescent="0.25">
      <c r="G15185" s="33"/>
      <c r="O15185" s="33"/>
      <c r="P15185" s="33"/>
      <c r="Q15185" s="31" t="str">
        <f t="shared" si="942"/>
        <v/>
      </c>
      <c r="R15185" s="32" t="str">
        <f>IFERROR(VLOOKUP($D15185,'Informations sur les produits'!$A$3:$B$15000,2,FALSE),"")</f>
        <v/>
      </c>
    </row>
    <row r="15186" spans="7:18" x14ac:dyDescent="0.25">
      <c r="G15186" s="33"/>
      <c r="O15186" s="33"/>
      <c r="P15186" s="33"/>
      <c r="Q15186" s="31" t="str">
        <f t="shared" si="942"/>
        <v/>
      </c>
      <c r="R15186" s="32" t="str">
        <f>IFERROR(VLOOKUP($D15186,'Informations sur les produits'!$A$3:$B$15000,2,FALSE),"")</f>
        <v/>
      </c>
    </row>
    <row r="15187" spans="7:18" x14ac:dyDescent="0.25">
      <c r="G15187" s="33"/>
      <c r="O15187" s="33"/>
      <c r="P15187" s="33"/>
      <c r="Q15187" s="31" t="str">
        <f t="shared" si="942"/>
        <v/>
      </c>
      <c r="R15187" s="32" t="str">
        <f>IFERROR(VLOOKUP($D15187,'Informations sur les produits'!$A$3:$B$15000,2,FALSE),"")</f>
        <v/>
      </c>
    </row>
    <row r="15188" spans="7:18" x14ac:dyDescent="0.25">
      <c r="G15188" s="33"/>
      <c r="O15188" s="33"/>
      <c r="P15188" s="33"/>
      <c r="Q15188" s="31" t="str">
        <f t="shared" si="942"/>
        <v/>
      </c>
      <c r="R15188" s="32" t="str">
        <f>IFERROR(VLOOKUP($D15188,'Informations sur les produits'!$A$3:$B$15000,2,FALSE),"")</f>
        <v/>
      </c>
    </row>
    <row r="15189" spans="7:18" x14ac:dyDescent="0.25">
      <c r="G15189" s="33"/>
      <c r="O15189" s="33"/>
      <c r="P15189" s="33"/>
      <c r="Q15189" s="31" t="str">
        <f t="shared" si="942"/>
        <v/>
      </c>
      <c r="R15189" s="32" t="str">
        <f>IFERROR(VLOOKUP($D15189,'Informations sur les produits'!$A$3:$B$15000,2,FALSE),"")</f>
        <v/>
      </c>
    </row>
    <row r="15190" spans="7:18" x14ac:dyDescent="0.25">
      <c r="G15190" s="33"/>
      <c r="O15190" s="33"/>
      <c r="P15190" s="33"/>
      <c r="Q15190" s="31" t="str">
        <f t="shared" si="942"/>
        <v/>
      </c>
      <c r="R15190" s="32" t="str">
        <f>IFERROR(VLOOKUP($D15190,'Informations sur les produits'!$A$3:$B$15000,2,FALSE),"")</f>
        <v/>
      </c>
    </row>
    <row r="15191" spans="7:18" x14ac:dyDescent="0.25">
      <c r="G15191" s="33"/>
      <c r="O15191" s="33"/>
      <c r="P15191" s="33"/>
      <c r="Q15191" s="31" t="str">
        <f t="shared" si="942"/>
        <v/>
      </c>
      <c r="R15191" s="32" t="str">
        <f>IFERROR(VLOOKUP($D15191,'Informations sur les produits'!$A$3:$B$15000,2,FALSE),"")</f>
        <v/>
      </c>
    </row>
    <row r="15192" spans="7:18" x14ac:dyDescent="0.25">
      <c r="G15192" s="33"/>
      <c r="O15192" s="33"/>
      <c r="P15192" s="33"/>
      <c r="Q15192" s="31" t="str">
        <f t="shared" si="942"/>
        <v/>
      </c>
      <c r="R15192" s="32" t="str">
        <f>IFERROR(VLOOKUP($D15192,'Informations sur les produits'!$A$3:$B$15000,2,FALSE),"")</f>
        <v/>
      </c>
    </row>
    <row r="15193" spans="7:18" x14ac:dyDescent="0.25">
      <c r="G15193" s="33"/>
      <c r="O15193" s="33"/>
      <c r="P15193" s="33"/>
      <c r="Q15193" s="31" t="str">
        <f t="shared" si="942"/>
        <v/>
      </c>
      <c r="R15193" s="32" t="str">
        <f>IFERROR(VLOOKUP($D15193,'Informations sur les produits'!$A$3:$B$15000,2,FALSE),"")</f>
        <v/>
      </c>
    </row>
    <row r="15194" spans="7:18" x14ac:dyDescent="0.25">
      <c r="G15194" s="33"/>
      <c r="O15194" s="33"/>
      <c r="P15194" s="33"/>
      <c r="Q15194" s="31" t="str">
        <f t="shared" si="942"/>
        <v/>
      </c>
      <c r="R15194" s="32" t="str">
        <f>IFERROR(VLOOKUP($D15194,'Informations sur les produits'!$A$3:$B$15000,2,FALSE),"")</f>
        <v/>
      </c>
    </row>
    <row r="15195" spans="7:18" x14ac:dyDescent="0.25">
      <c r="G15195" s="33"/>
      <c r="O15195" s="33"/>
      <c r="P15195" s="33"/>
      <c r="Q15195" s="31" t="str">
        <f t="shared" si="942"/>
        <v/>
      </c>
      <c r="R15195" s="32" t="str">
        <f>IFERROR(VLOOKUP($D15195,'Informations sur les produits'!$A$3:$B$15000,2,FALSE),"")</f>
        <v/>
      </c>
    </row>
    <row r="15196" spans="7:18" x14ac:dyDescent="0.25">
      <c r="G15196" s="33"/>
      <c r="O15196" s="33"/>
      <c r="P15196" s="33"/>
      <c r="Q15196" s="31" t="str">
        <f t="shared" si="942"/>
        <v/>
      </c>
      <c r="R15196" s="32" t="str">
        <f>IFERROR(VLOOKUP($D15196,'Informations sur les produits'!$A$3:$B$15000,2,FALSE),"")</f>
        <v/>
      </c>
    </row>
    <row r="15197" spans="7:18" x14ac:dyDescent="0.25">
      <c r="G15197" s="33"/>
      <c r="O15197" s="33"/>
      <c r="P15197" s="33"/>
      <c r="Q15197" s="31" t="str">
        <f t="shared" si="942"/>
        <v/>
      </c>
      <c r="R15197" s="32" t="str">
        <f>IFERROR(VLOOKUP($D15197,'Informations sur les produits'!$A$3:$B$15000,2,FALSE),"")</f>
        <v/>
      </c>
    </row>
    <row r="15198" spans="7:18" x14ac:dyDescent="0.25">
      <c r="G15198" s="33"/>
      <c r="O15198" s="33"/>
      <c r="P15198" s="33"/>
      <c r="Q15198" s="31" t="str">
        <f t="shared" si="942"/>
        <v/>
      </c>
      <c r="R15198" s="32" t="str">
        <f>IFERROR(VLOOKUP($D15198,'Informations sur les produits'!$A$3:$B$15000,2,FALSE),"")</f>
        <v/>
      </c>
    </row>
    <row r="15199" spans="7:18" x14ac:dyDescent="0.25">
      <c r="G15199" s="33"/>
      <c r="O15199" s="33"/>
      <c r="P15199" s="33"/>
      <c r="Q15199" s="31" t="str">
        <f t="shared" si="942"/>
        <v/>
      </c>
      <c r="R15199" s="32" t="str">
        <f>IFERROR(VLOOKUP($D15199,'Informations sur les produits'!$A$3:$B$15000,2,FALSE),"")</f>
        <v/>
      </c>
    </row>
    <row r="15200" spans="7:18" x14ac:dyDescent="0.25">
      <c r="G15200" s="33"/>
      <c r="O15200" s="33"/>
      <c r="P15200" s="33"/>
      <c r="Q15200" s="31" t="str">
        <f t="shared" si="942"/>
        <v/>
      </c>
      <c r="R15200" s="32" t="str">
        <f>IFERROR(VLOOKUP($D15200,'Informations sur les produits'!$A$3:$B$15000,2,FALSE),"")</f>
        <v/>
      </c>
    </row>
    <row r="15201" spans="7:18" x14ac:dyDescent="0.25">
      <c r="G15201" s="33"/>
      <c r="O15201" s="33"/>
      <c r="P15201" s="33"/>
      <c r="Q15201" s="31" t="str">
        <f t="shared" si="942"/>
        <v/>
      </c>
      <c r="R15201" s="32" t="str">
        <f>IFERROR(VLOOKUP($D15201,'Informations sur les produits'!$A$3:$B$15000,2,FALSE),"")</f>
        <v/>
      </c>
    </row>
    <row r="15202" spans="7:18" x14ac:dyDescent="0.25">
      <c r="G15202" s="33"/>
      <c r="O15202" s="33"/>
      <c r="P15202" s="33"/>
      <c r="Q15202" s="31" t="str">
        <f t="shared" si="942"/>
        <v/>
      </c>
      <c r="R15202" s="32" t="str">
        <f>IFERROR(VLOOKUP($D15202,'Informations sur les produits'!$A$3:$B$15000,2,FALSE),"")</f>
        <v/>
      </c>
    </row>
    <row r="15203" spans="7:18" x14ac:dyDescent="0.25">
      <c r="G15203" s="33"/>
      <c r="O15203" s="33"/>
      <c r="P15203" s="33"/>
      <c r="Q15203" s="31" t="str">
        <f t="shared" si="942"/>
        <v/>
      </c>
      <c r="R15203" s="32" t="str">
        <f>IFERROR(VLOOKUP($D15203,'Informations sur les produits'!$A$3:$B$15000,2,FALSE),"")</f>
        <v/>
      </c>
    </row>
    <row r="15204" spans="7:18" x14ac:dyDescent="0.25">
      <c r="G15204" s="33"/>
      <c r="O15204" s="33"/>
      <c r="P15204" s="33"/>
      <c r="Q15204" s="31" t="str">
        <f t="shared" si="942"/>
        <v/>
      </c>
      <c r="R15204" s="32" t="str">
        <f>IFERROR(VLOOKUP($D15204,'Informations sur les produits'!$A$3:$B$15000,2,FALSE),"")</f>
        <v/>
      </c>
    </row>
    <row r="15205" spans="7:18" x14ac:dyDescent="0.25">
      <c r="G15205" s="33"/>
      <c r="O15205" s="33"/>
      <c r="P15205" s="33"/>
      <c r="Q15205" s="31" t="str">
        <f t="shared" si="942"/>
        <v/>
      </c>
      <c r="R15205" s="32" t="str">
        <f>IFERROR(VLOOKUP($D15205,'Informations sur les produits'!$A$3:$B$15000,2,FALSE),"")</f>
        <v/>
      </c>
    </row>
    <row r="15206" spans="7:18" x14ac:dyDescent="0.25">
      <c r="G15206" s="33"/>
      <c r="O15206" s="33"/>
      <c r="P15206" s="33"/>
      <c r="Q15206" s="31" t="str">
        <f t="shared" si="942"/>
        <v/>
      </c>
      <c r="R15206" s="32" t="str">
        <f>IFERROR(VLOOKUP($D15206,'Informations sur les produits'!$A$3:$B$15000,2,FALSE),"")</f>
        <v/>
      </c>
    </row>
    <row r="15207" spans="7:18" x14ac:dyDescent="0.25">
      <c r="G15207" s="33"/>
      <c r="O15207" s="33"/>
      <c r="P15207" s="33"/>
      <c r="Q15207" s="31" t="str">
        <f t="shared" si="942"/>
        <v/>
      </c>
      <c r="R15207" s="32" t="str">
        <f>IFERROR(VLOOKUP($D15207,'Informations sur les produits'!$A$3:$B$15000,2,FALSE),"")</f>
        <v/>
      </c>
    </row>
    <row r="15208" spans="7:18" x14ac:dyDescent="0.25">
      <c r="G15208" s="33"/>
      <c r="O15208" s="33"/>
      <c r="P15208" s="33"/>
      <c r="Q15208" s="31" t="str">
        <f t="shared" si="942"/>
        <v/>
      </c>
      <c r="R15208" s="32" t="str">
        <f>IFERROR(VLOOKUP($D15208,'Informations sur les produits'!$A$3:$B$15000,2,FALSE),"")</f>
        <v/>
      </c>
    </row>
    <row r="15209" spans="7:18" x14ac:dyDescent="0.25">
      <c r="G15209" s="33"/>
      <c r="O15209" s="33"/>
      <c r="P15209" s="33"/>
      <c r="Q15209" s="31" t="str">
        <f t="shared" si="942"/>
        <v/>
      </c>
      <c r="R15209" s="32" t="str">
        <f>IFERROR(VLOOKUP($D15209,'Informations sur les produits'!$A$3:$B$15000,2,FALSE),"")</f>
        <v/>
      </c>
    </row>
    <row r="15210" spans="7:18" x14ac:dyDescent="0.25">
      <c r="G15210" s="33"/>
      <c r="O15210" s="33"/>
      <c r="P15210" s="33"/>
      <c r="Q15210" s="31" t="str">
        <f t="shared" si="942"/>
        <v/>
      </c>
      <c r="R15210" s="32" t="str">
        <f>IFERROR(VLOOKUP($D15210,'Informations sur les produits'!$A$3:$B$15000,2,FALSE),"")</f>
        <v/>
      </c>
    </row>
    <row r="15211" spans="7:18" x14ac:dyDescent="0.25">
      <c r="G15211" s="33"/>
      <c r="O15211" s="33"/>
      <c r="P15211" s="33"/>
      <c r="Q15211" s="31" t="str">
        <f t="shared" si="942"/>
        <v/>
      </c>
      <c r="R15211" s="32" t="str">
        <f>IFERROR(VLOOKUP($D15211,'Informations sur les produits'!$A$3:$B$15000,2,FALSE),"")</f>
        <v/>
      </c>
    </row>
    <row r="15212" spans="7:18" x14ac:dyDescent="0.25">
      <c r="G15212" s="33"/>
      <c r="O15212" s="33"/>
      <c r="P15212" s="33"/>
      <c r="Q15212" s="31" t="str">
        <f t="shared" si="942"/>
        <v/>
      </c>
      <c r="R15212" s="32" t="str">
        <f>IFERROR(VLOOKUP($D15212,'Informations sur les produits'!$A$3:$B$15000,2,FALSE),"")</f>
        <v/>
      </c>
    </row>
    <row r="15213" spans="7:18" x14ac:dyDescent="0.25">
      <c r="G15213" s="33"/>
      <c r="O15213" s="33"/>
      <c r="P15213" s="33"/>
      <c r="Q15213" s="31" t="str">
        <f t="shared" si="942"/>
        <v/>
      </c>
      <c r="R15213" s="32" t="str">
        <f>IFERROR(VLOOKUP($D15213,'Informations sur les produits'!$A$3:$B$15000,2,FALSE),"")</f>
        <v/>
      </c>
    </row>
    <row r="15214" spans="7:18" x14ac:dyDescent="0.25">
      <c r="G15214" s="33"/>
      <c r="O15214" s="33"/>
      <c r="P15214" s="33"/>
      <c r="Q15214" s="31" t="str">
        <f t="shared" si="942"/>
        <v/>
      </c>
      <c r="R15214" s="32" t="str">
        <f>IFERROR(VLOOKUP($D15214,'Informations sur les produits'!$A$3:$B$15000,2,FALSE),"")</f>
        <v/>
      </c>
    </row>
    <row r="15215" spans="7:18" x14ac:dyDescent="0.25">
      <c r="G15215" s="33"/>
      <c r="O15215" s="33"/>
      <c r="P15215" s="33"/>
      <c r="Q15215" s="31" t="str">
        <f t="shared" si="942"/>
        <v/>
      </c>
      <c r="R15215" s="32" t="str">
        <f>IFERROR(VLOOKUP($D15215,'Informations sur les produits'!$A$3:$B$15000,2,FALSE),"")</f>
        <v/>
      </c>
    </row>
    <row r="15216" spans="7:18" x14ac:dyDescent="0.25">
      <c r="G15216" s="33"/>
      <c r="O15216" s="33"/>
      <c r="P15216" s="33"/>
      <c r="Q15216" s="31" t="str">
        <f t="shared" si="942"/>
        <v/>
      </c>
      <c r="R15216" s="32" t="str">
        <f>IFERROR(VLOOKUP($D15216,'Informations sur les produits'!$A$3:$B$15000,2,FALSE),"")</f>
        <v/>
      </c>
    </row>
    <row r="15217" spans="7:18" x14ac:dyDescent="0.25">
      <c r="G15217" s="33"/>
      <c r="O15217" s="33"/>
      <c r="P15217" s="33"/>
      <c r="Q15217" s="31" t="str">
        <f t="shared" si="942"/>
        <v/>
      </c>
      <c r="R15217" s="32" t="str">
        <f>IFERROR(VLOOKUP($D15217,'Informations sur les produits'!$A$3:$B$15000,2,FALSE),"")</f>
        <v/>
      </c>
    </row>
    <row r="15218" spans="7:18" x14ac:dyDescent="0.25">
      <c r="G15218" s="33"/>
      <c r="O15218" s="33"/>
      <c r="P15218" s="33"/>
      <c r="Q15218" s="31" t="str">
        <f t="shared" si="942"/>
        <v/>
      </c>
      <c r="R15218" s="32" t="str">
        <f>IFERROR(VLOOKUP($D15218,'Informations sur les produits'!$A$3:$B$15000,2,FALSE),"")</f>
        <v/>
      </c>
    </row>
    <row r="15219" spans="7:18" x14ac:dyDescent="0.25">
      <c r="G15219" s="33"/>
      <c r="O15219" s="33"/>
      <c r="P15219" s="33"/>
      <c r="Q15219" s="31" t="str">
        <f t="shared" si="942"/>
        <v/>
      </c>
      <c r="R15219" s="32" t="str">
        <f>IFERROR(VLOOKUP($D15219,'Informations sur les produits'!$A$3:$B$15000,2,FALSE),"")</f>
        <v/>
      </c>
    </row>
    <row r="15220" spans="7:18" x14ac:dyDescent="0.25">
      <c r="G15220" s="33"/>
      <c r="O15220" s="33"/>
      <c r="P15220" s="33"/>
      <c r="Q15220" s="31" t="str">
        <f t="shared" si="942"/>
        <v/>
      </c>
      <c r="R15220" s="32" t="str">
        <f>IFERROR(VLOOKUP($D15220,'Informations sur les produits'!$A$3:$B$15000,2,FALSE),"")</f>
        <v/>
      </c>
    </row>
    <row r="15221" spans="7:18" x14ac:dyDescent="0.25">
      <c r="G15221" s="33"/>
      <c r="O15221" s="33"/>
      <c r="P15221" s="33"/>
      <c r="Q15221" s="31" t="str">
        <f t="shared" si="942"/>
        <v/>
      </c>
      <c r="R15221" s="32" t="str">
        <f>IFERROR(VLOOKUP($D15221,'Informations sur les produits'!$A$3:$B$15000,2,FALSE),"")</f>
        <v/>
      </c>
    </row>
    <row r="15222" spans="7:18" x14ac:dyDescent="0.25">
      <c r="G15222" s="33"/>
      <c r="O15222" s="33"/>
      <c r="P15222" s="33"/>
      <c r="Q15222" s="31" t="str">
        <f t="shared" si="942"/>
        <v/>
      </c>
      <c r="R15222" s="32" t="str">
        <f>IFERROR(VLOOKUP($D15222,'Informations sur les produits'!$A$3:$B$15000,2,FALSE),"")</f>
        <v/>
      </c>
    </row>
    <row r="15223" spans="7:18" x14ac:dyDescent="0.25">
      <c r="G15223" s="33"/>
      <c r="O15223" s="33"/>
      <c r="P15223" s="33"/>
      <c r="Q15223" s="31" t="str">
        <f t="shared" si="942"/>
        <v/>
      </c>
      <c r="R15223" s="32" t="str">
        <f>IFERROR(VLOOKUP($D15223,'Informations sur les produits'!$A$3:$B$15000,2,FALSE),"")</f>
        <v/>
      </c>
    </row>
    <row r="15224" spans="7:18" x14ac:dyDescent="0.25">
      <c r="G15224" s="33"/>
      <c r="O15224" s="33"/>
      <c r="P15224" s="33"/>
      <c r="Q15224" s="31" t="str">
        <f t="shared" si="942"/>
        <v/>
      </c>
      <c r="R15224" s="32" t="str">
        <f>IFERROR(VLOOKUP($D15224,'Informations sur les produits'!$A$3:$B$15000,2,FALSE),"")</f>
        <v/>
      </c>
    </row>
    <row r="15225" spans="7:18" x14ac:dyDescent="0.25">
      <c r="G15225" s="33"/>
      <c r="O15225" s="33"/>
      <c r="P15225" s="33"/>
      <c r="Q15225" s="31" t="str">
        <f t="shared" si="942"/>
        <v/>
      </c>
      <c r="R15225" s="32" t="str">
        <f>IFERROR(VLOOKUP($D15225,'Informations sur les produits'!$A$3:$B$15000,2,FALSE),"")</f>
        <v/>
      </c>
    </row>
    <row r="15226" spans="7:18" x14ac:dyDescent="0.25">
      <c r="G15226" s="33"/>
      <c r="O15226" s="33"/>
      <c r="P15226" s="33"/>
      <c r="Q15226" s="31" t="str">
        <f t="shared" si="942"/>
        <v/>
      </c>
      <c r="R15226" s="32" t="str">
        <f>IFERROR(VLOOKUP($D15226,'Informations sur les produits'!$A$3:$B$15000,2,FALSE),"")</f>
        <v/>
      </c>
    </row>
    <row r="15227" spans="7:18" x14ac:dyDescent="0.25">
      <c r="G15227" s="33"/>
      <c r="O15227" s="33"/>
      <c r="P15227" s="33"/>
      <c r="Q15227" s="31" t="str">
        <f t="shared" si="942"/>
        <v/>
      </c>
      <c r="R15227" s="32" t="str">
        <f>IFERROR(VLOOKUP($D15227,'Informations sur les produits'!$A$3:$B$15000,2,FALSE),"")</f>
        <v/>
      </c>
    </row>
    <row r="15228" spans="7:18" x14ac:dyDescent="0.25">
      <c r="G15228" s="33"/>
      <c r="O15228" s="33"/>
      <c r="P15228" s="33"/>
      <c r="Q15228" s="31" t="str">
        <f t="shared" si="942"/>
        <v/>
      </c>
      <c r="R15228" s="32" t="str">
        <f>IFERROR(VLOOKUP($D15228,'Informations sur les produits'!$A$3:$B$15000,2,FALSE),"")</f>
        <v/>
      </c>
    </row>
    <row r="15229" spans="7:18" x14ac:dyDescent="0.25">
      <c r="G15229" s="33"/>
      <c r="O15229" s="33"/>
      <c r="P15229" s="33"/>
      <c r="Q15229" s="31" t="str">
        <f t="shared" si="942"/>
        <v/>
      </c>
      <c r="R15229" s="32" t="str">
        <f>IFERROR(VLOOKUP($D15229,'Informations sur les produits'!$A$3:$B$15000,2,FALSE),"")</f>
        <v/>
      </c>
    </row>
    <row r="15230" spans="7:18" x14ac:dyDescent="0.25">
      <c r="G15230" s="33"/>
      <c r="O15230" s="33"/>
      <c r="P15230" s="33"/>
      <c r="Q15230" s="31" t="str">
        <f t="shared" si="942"/>
        <v/>
      </c>
      <c r="R15230" s="32" t="str">
        <f>IFERROR(VLOOKUP($D15230,'Informations sur les produits'!$A$3:$B$15000,2,FALSE),"")</f>
        <v/>
      </c>
    </row>
    <row r="15231" spans="7:18" x14ac:dyDescent="0.25">
      <c r="G15231" s="33"/>
      <c r="O15231" s="33"/>
      <c r="P15231" s="33"/>
      <c r="Q15231" s="31" t="str">
        <f t="shared" si="942"/>
        <v/>
      </c>
      <c r="R15231" s="32" t="str">
        <f>IFERROR(VLOOKUP($D15231,'Informations sur les produits'!$A$3:$B$15000,2,FALSE),"")</f>
        <v/>
      </c>
    </row>
    <row r="15232" spans="7:18" x14ac:dyDescent="0.25">
      <c r="G15232" s="33"/>
      <c r="O15232" s="33"/>
      <c r="P15232" s="33"/>
      <c r="Q15232" s="31" t="str">
        <f t="shared" si="942"/>
        <v/>
      </c>
      <c r="R15232" s="32" t="str">
        <f>IFERROR(VLOOKUP($D15232,'Informations sur les produits'!$A$3:$B$15000,2,FALSE),"")</f>
        <v/>
      </c>
    </row>
    <row r="15233" spans="7:18" x14ac:dyDescent="0.25">
      <c r="G15233" s="33"/>
      <c r="O15233" s="33"/>
      <c r="P15233" s="33"/>
      <c r="Q15233" s="31" t="str">
        <f t="shared" si="942"/>
        <v/>
      </c>
      <c r="R15233" s="32" t="str">
        <f>IFERROR(VLOOKUP($D15233,'Informations sur les produits'!$A$3:$B$15000,2,FALSE),"")</f>
        <v/>
      </c>
    </row>
    <row r="15234" spans="7:18" x14ac:dyDescent="0.25">
      <c r="G15234" s="33"/>
      <c r="O15234" s="33"/>
      <c r="P15234" s="33"/>
      <c r="Q15234" s="31" t="str">
        <f t="shared" si="942"/>
        <v/>
      </c>
      <c r="R15234" s="32" t="str">
        <f>IFERROR(VLOOKUP($D15234,'Informations sur les produits'!$A$3:$B$15000,2,FALSE),"")</f>
        <v/>
      </c>
    </row>
    <row r="15235" spans="7:18" x14ac:dyDescent="0.25">
      <c r="G15235" s="33"/>
      <c r="O15235" s="33"/>
      <c r="P15235" s="33"/>
      <c r="Q15235" s="31" t="str">
        <f t="shared" si="942"/>
        <v/>
      </c>
      <c r="R15235" s="32" t="str">
        <f>IFERROR(VLOOKUP($D15235,'Informations sur les produits'!$A$3:$B$15000,2,FALSE),"")</f>
        <v/>
      </c>
    </row>
    <row r="15236" spans="7:18" x14ac:dyDescent="0.25">
      <c r="G15236" s="33"/>
      <c r="O15236" s="33"/>
      <c r="P15236" s="33"/>
      <c r="Q15236" s="31" t="str">
        <f t="shared" ref="Q15236:Q15299" si="943">IFERROR((((($E15236-$F15236)*$G15236+$K15236*$L15236+$N15236*$O15236)*1000)/(($E15236-$F15236)+$K15236+$N15236)),"")</f>
        <v/>
      </c>
      <c r="R15236" s="32" t="str">
        <f>IFERROR(VLOOKUP($D15236,'Informations sur les produits'!$A$3:$B$15000,2,FALSE),"")</f>
        <v/>
      </c>
    </row>
    <row r="15237" spans="7:18" x14ac:dyDescent="0.25">
      <c r="G15237" s="33"/>
      <c r="O15237" s="33"/>
      <c r="P15237" s="33"/>
      <c r="Q15237" s="31" t="str">
        <f t="shared" si="943"/>
        <v/>
      </c>
      <c r="R15237" s="32" t="str">
        <f>IFERROR(VLOOKUP($D15237,'Informations sur les produits'!$A$3:$B$15000,2,FALSE),"")</f>
        <v/>
      </c>
    </row>
    <row r="15238" spans="7:18" x14ac:dyDescent="0.25">
      <c r="G15238" s="33"/>
      <c r="O15238" s="33"/>
      <c r="P15238" s="33"/>
      <c r="Q15238" s="31" t="str">
        <f t="shared" si="943"/>
        <v/>
      </c>
      <c r="R15238" s="32" t="str">
        <f>IFERROR(VLOOKUP($D15238,'Informations sur les produits'!$A$3:$B$15000,2,FALSE),"")</f>
        <v/>
      </c>
    </row>
    <row r="15239" spans="7:18" x14ac:dyDescent="0.25">
      <c r="G15239" s="33"/>
      <c r="O15239" s="33"/>
      <c r="P15239" s="33"/>
      <c r="Q15239" s="31" t="str">
        <f t="shared" si="943"/>
        <v/>
      </c>
      <c r="R15239" s="32" t="str">
        <f>IFERROR(VLOOKUP($D15239,'Informations sur les produits'!$A$3:$B$15000,2,FALSE),"")</f>
        <v/>
      </c>
    </row>
    <row r="15240" spans="7:18" x14ac:dyDescent="0.25">
      <c r="G15240" s="33"/>
      <c r="O15240" s="33"/>
      <c r="P15240" s="33"/>
      <c r="Q15240" s="31" t="str">
        <f t="shared" si="943"/>
        <v/>
      </c>
      <c r="R15240" s="32" t="str">
        <f>IFERROR(VLOOKUP($D15240,'Informations sur les produits'!$A$3:$B$15000,2,FALSE),"")</f>
        <v/>
      </c>
    </row>
    <row r="15241" spans="7:18" x14ac:dyDescent="0.25">
      <c r="G15241" s="33"/>
      <c r="O15241" s="33"/>
      <c r="P15241" s="33"/>
      <c r="Q15241" s="31" t="str">
        <f t="shared" si="943"/>
        <v/>
      </c>
      <c r="R15241" s="32" t="str">
        <f>IFERROR(VLOOKUP($D15241,'Informations sur les produits'!$A$3:$B$15000,2,FALSE),"")</f>
        <v/>
      </c>
    </row>
    <row r="15242" spans="7:18" x14ac:dyDescent="0.25">
      <c r="G15242" s="33"/>
      <c r="O15242" s="33"/>
      <c r="P15242" s="33"/>
      <c r="Q15242" s="31" t="str">
        <f t="shared" si="943"/>
        <v/>
      </c>
      <c r="R15242" s="32" t="str">
        <f>IFERROR(VLOOKUP($D15242,'Informations sur les produits'!$A$3:$B$15000,2,FALSE),"")</f>
        <v/>
      </c>
    </row>
    <row r="15243" spans="7:18" x14ac:dyDescent="0.25">
      <c r="G15243" s="33"/>
      <c r="O15243" s="33"/>
      <c r="P15243" s="33"/>
      <c r="Q15243" s="31" t="str">
        <f t="shared" si="943"/>
        <v/>
      </c>
      <c r="R15243" s="32" t="str">
        <f>IFERROR(VLOOKUP($D15243,'Informations sur les produits'!$A$3:$B$15000,2,FALSE),"")</f>
        <v/>
      </c>
    </row>
    <row r="15244" spans="7:18" x14ac:dyDescent="0.25">
      <c r="G15244" s="33"/>
      <c r="O15244" s="33"/>
      <c r="P15244" s="33"/>
      <c r="Q15244" s="31" t="str">
        <f t="shared" si="943"/>
        <v/>
      </c>
      <c r="R15244" s="32" t="str">
        <f>IFERROR(VLOOKUP($D15244,'Informations sur les produits'!$A$3:$B$15000,2,FALSE),"")</f>
        <v/>
      </c>
    </row>
    <row r="15245" spans="7:18" x14ac:dyDescent="0.25">
      <c r="G15245" s="33"/>
      <c r="O15245" s="33"/>
      <c r="P15245" s="33"/>
      <c r="Q15245" s="31" t="str">
        <f t="shared" si="943"/>
        <v/>
      </c>
      <c r="R15245" s="32" t="str">
        <f>IFERROR(VLOOKUP($D15245,'Informations sur les produits'!$A$3:$B$15000,2,FALSE),"")</f>
        <v/>
      </c>
    </row>
    <row r="15246" spans="7:18" x14ac:dyDescent="0.25">
      <c r="G15246" s="33"/>
      <c r="O15246" s="33"/>
      <c r="P15246" s="33"/>
      <c r="Q15246" s="31" t="str">
        <f t="shared" si="943"/>
        <v/>
      </c>
      <c r="R15246" s="32" t="str">
        <f>IFERROR(VLOOKUP($D15246,'Informations sur les produits'!$A$3:$B$15000,2,FALSE),"")</f>
        <v/>
      </c>
    </row>
    <row r="15247" spans="7:18" x14ac:dyDescent="0.25">
      <c r="G15247" s="33"/>
      <c r="O15247" s="33"/>
      <c r="P15247" s="33"/>
      <c r="Q15247" s="31" t="str">
        <f t="shared" si="943"/>
        <v/>
      </c>
      <c r="R15247" s="32" t="str">
        <f>IFERROR(VLOOKUP($D15247,'Informations sur les produits'!$A$3:$B$15000,2,FALSE),"")</f>
        <v/>
      </c>
    </row>
    <row r="15248" spans="7:18" x14ac:dyDescent="0.25">
      <c r="G15248" s="33"/>
      <c r="O15248" s="33"/>
      <c r="P15248" s="33"/>
      <c r="Q15248" s="31" t="str">
        <f t="shared" si="943"/>
        <v/>
      </c>
      <c r="R15248" s="32" t="str">
        <f>IFERROR(VLOOKUP($D15248,'Informations sur les produits'!$A$3:$B$15000,2,FALSE),"")</f>
        <v/>
      </c>
    </row>
    <row r="15249" spans="7:18" x14ac:dyDescent="0.25">
      <c r="G15249" s="33"/>
      <c r="O15249" s="33"/>
      <c r="P15249" s="33"/>
      <c r="Q15249" s="31" t="str">
        <f t="shared" si="943"/>
        <v/>
      </c>
      <c r="R15249" s="32" t="str">
        <f>IFERROR(VLOOKUP($D15249,'Informations sur les produits'!$A$3:$B$15000,2,FALSE),"")</f>
        <v/>
      </c>
    </row>
    <row r="15250" spans="7:18" x14ac:dyDescent="0.25">
      <c r="G15250" s="33"/>
      <c r="O15250" s="33"/>
      <c r="P15250" s="33"/>
      <c r="Q15250" s="31" t="str">
        <f t="shared" si="943"/>
        <v/>
      </c>
      <c r="R15250" s="32" t="str">
        <f>IFERROR(VLOOKUP($D15250,'Informations sur les produits'!$A$3:$B$15000,2,FALSE),"")</f>
        <v/>
      </c>
    </row>
    <row r="15251" spans="7:18" x14ac:dyDescent="0.25">
      <c r="G15251" s="33"/>
      <c r="O15251" s="33"/>
      <c r="P15251" s="33"/>
      <c r="Q15251" s="31" t="str">
        <f t="shared" si="943"/>
        <v/>
      </c>
      <c r="R15251" s="32" t="str">
        <f>IFERROR(VLOOKUP($D15251,'Informations sur les produits'!$A$3:$B$15000,2,FALSE),"")</f>
        <v/>
      </c>
    </row>
    <row r="15252" spans="7:18" x14ac:dyDescent="0.25">
      <c r="G15252" s="33"/>
      <c r="O15252" s="33"/>
      <c r="P15252" s="33"/>
      <c r="Q15252" s="31" t="str">
        <f t="shared" si="943"/>
        <v/>
      </c>
      <c r="R15252" s="32" t="str">
        <f>IFERROR(VLOOKUP($D15252,'Informations sur les produits'!$A$3:$B$15000,2,FALSE),"")</f>
        <v/>
      </c>
    </row>
    <row r="15253" spans="7:18" x14ac:dyDescent="0.25">
      <c r="G15253" s="33"/>
      <c r="O15253" s="33"/>
      <c r="P15253" s="33"/>
      <c r="Q15253" s="31" t="str">
        <f t="shared" si="943"/>
        <v/>
      </c>
      <c r="R15253" s="32" t="str">
        <f>IFERROR(VLOOKUP($D15253,'Informations sur les produits'!$A$3:$B$15000,2,FALSE),"")</f>
        <v/>
      </c>
    </row>
    <row r="15254" spans="7:18" x14ac:dyDescent="0.25">
      <c r="G15254" s="33"/>
      <c r="O15254" s="33"/>
      <c r="P15254" s="33"/>
      <c r="Q15254" s="31" t="str">
        <f t="shared" si="943"/>
        <v/>
      </c>
      <c r="R15254" s="32" t="str">
        <f>IFERROR(VLOOKUP($D15254,'Informations sur les produits'!$A$3:$B$15000,2,FALSE),"")</f>
        <v/>
      </c>
    </row>
    <row r="15255" spans="7:18" x14ac:dyDescent="0.25">
      <c r="G15255" s="33"/>
      <c r="O15255" s="33"/>
      <c r="P15255" s="33"/>
      <c r="Q15255" s="31" t="str">
        <f t="shared" si="943"/>
        <v/>
      </c>
      <c r="R15255" s="32" t="str">
        <f>IFERROR(VLOOKUP($D15255,'Informations sur les produits'!$A$3:$B$15000,2,FALSE),"")</f>
        <v/>
      </c>
    </row>
    <row r="15256" spans="7:18" x14ac:dyDescent="0.25">
      <c r="G15256" s="33"/>
      <c r="O15256" s="33"/>
      <c r="P15256" s="33"/>
      <c r="Q15256" s="31" t="str">
        <f t="shared" si="943"/>
        <v/>
      </c>
      <c r="R15256" s="32" t="str">
        <f>IFERROR(VLOOKUP($D15256,'Informations sur les produits'!$A$3:$B$15000,2,FALSE),"")</f>
        <v/>
      </c>
    </row>
    <row r="15257" spans="7:18" x14ac:dyDescent="0.25">
      <c r="G15257" s="33"/>
      <c r="O15257" s="33"/>
      <c r="P15257" s="33"/>
      <c r="Q15257" s="31" t="str">
        <f t="shared" si="943"/>
        <v/>
      </c>
      <c r="R15257" s="32" t="str">
        <f>IFERROR(VLOOKUP($D15257,'Informations sur les produits'!$A$3:$B$15000,2,FALSE),"")</f>
        <v/>
      </c>
    </row>
    <row r="15258" spans="7:18" x14ac:dyDescent="0.25">
      <c r="G15258" s="33"/>
      <c r="O15258" s="33"/>
      <c r="P15258" s="33"/>
      <c r="Q15258" s="31" t="str">
        <f t="shared" si="943"/>
        <v/>
      </c>
      <c r="R15258" s="32" t="str">
        <f>IFERROR(VLOOKUP($D15258,'Informations sur les produits'!$A$3:$B$15000,2,FALSE),"")</f>
        <v/>
      </c>
    </row>
    <row r="15259" spans="7:18" x14ac:dyDescent="0.25">
      <c r="G15259" s="33"/>
      <c r="O15259" s="33"/>
      <c r="P15259" s="33"/>
      <c r="Q15259" s="31" t="str">
        <f t="shared" si="943"/>
        <v/>
      </c>
      <c r="R15259" s="32" t="str">
        <f>IFERROR(VLOOKUP($D15259,'Informations sur les produits'!$A$3:$B$15000,2,FALSE),"")</f>
        <v/>
      </c>
    </row>
    <row r="15260" spans="7:18" x14ac:dyDescent="0.25">
      <c r="G15260" s="33"/>
      <c r="O15260" s="33"/>
      <c r="P15260" s="33"/>
      <c r="Q15260" s="31" t="str">
        <f t="shared" si="943"/>
        <v/>
      </c>
      <c r="R15260" s="32" t="str">
        <f>IFERROR(VLOOKUP($D15260,'Informations sur les produits'!$A$3:$B$15000,2,FALSE),"")</f>
        <v/>
      </c>
    </row>
    <row r="15261" spans="7:18" x14ac:dyDescent="0.25">
      <c r="G15261" s="33"/>
      <c r="O15261" s="33"/>
      <c r="P15261" s="33"/>
      <c r="Q15261" s="31" t="str">
        <f t="shared" si="943"/>
        <v/>
      </c>
      <c r="R15261" s="32" t="str">
        <f>IFERROR(VLOOKUP($D15261,'Informations sur les produits'!$A$3:$B$15000,2,FALSE),"")</f>
        <v/>
      </c>
    </row>
    <row r="15262" spans="7:18" x14ac:dyDescent="0.25">
      <c r="G15262" s="33"/>
      <c r="O15262" s="33"/>
      <c r="P15262" s="33"/>
      <c r="Q15262" s="31" t="str">
        <f t="shared" si="943"/>
        <v/>
      </c>
      <c r="R15262" s="32" t="str">
        <f>IFERROR(VLOOKUP($D15262,'Informations sur les produits'!$A$3:$B$15000,2,FALSE),"")</f>
        <v/>
      </c>
    </row>
    <row r="15263" spans="7:18" x14ac:dyDescent="0.25">
      <c r="G15263" s="33"/>
      <c r="O15263" s="33"/>
      <c r="P15263" s="33"/>
      <c r="Q15263" s="31" t="str">
        <f t="shared" si="943"/>
        <v/>
      </c>
      <c r="R15263" s="32" t="str">
        <f>IFERROR(VLOOKUP($D15263,'Informations sur les produits'!$A$3:$B$15000,2,FALSE),"")</f>
        <v/>
      </c>
    </row>
    <row r="15264" spans="7:18" x14ac:dyDescent="0.25">
      <c r="G15264" s="33"/>
      <c r="O15264" s="33"/>
      <c r="P15264" s="33"/>
      <c r="Q15264" s="31" t="str">
        <f t="shared" si="943"/>
        <v/>
      </c>
      <c r="R15264" s="32" t="str">
        <f>IFERROR(VLOOKUP($D15264,'Informations sur les produits'!$A$3:$B$15000,2,FALSE),"")</f>
        <v/>
      </c>
    </row>
    <row r="15265" spans="7:18" x14ac:dyDescent="0.25">
      <c r="G15265" s="33"/>
      <c r="O15265" s="33"/>
      <c r="P15265" s="33"/>
      <c r="Q15265" s="31" t="str">
        <f t="shared" si="943"/>
        <v/>
      </c>
      <c r="R15265" s="32" t="str">
        <f>IFERROR(VLOOKUP($D15265,'Informations sur les produits'!$A$3:$B$15000,2,FALSE),"")</f>
        <v/>
      </c>
    </row>
    <row r="15266" spans="7:18" x14ac:dyDescent="0.25">
      <c r="G15266" s="33"/>
      <c r="O15266" s="33"/>
      <c r="P15266" s="33"/>
      <c r="Q15266" s="31" t="str">
        <f t="shared" si="943"/>
        <v/>
      </c>
      <c r="R15266" s="32" t="str">
        <f>IFERROR(VLOOKUP($D15266,'Informations sur les produits'!$A$3:$B$15000,2,FALSE),"")</f>
        <v/>
      </c>
    </row>
    <row r="15267" spans="7:18" x14ac:dyDescent="0.25">
      <c r="G15267" s="33"/>
      <c r="O15267" s="33"/>
      <c r="P15267" s="33"/>
      <c r="Q15267" s="31" t="str">
        <f t="shared" si="943"/>
        <v/>
      </c>
      <c r="R15267" s="32" t="str">
        <f>IFERROR(VLOOKUP($D15267,'Informations sur les produits'!$A$3:$B$15000,2,FALSE),"")</f>
        <v/>
      </c>
    </row>
    <row r="15268" spans="7:18" x14ac:dyDescent="0.25">
      <c r="G15268" s="33"/>
      <c r="O15268" s="33"/>
      <c r="P15268" s="33"/>
      <c r="Q15268" s="31" t="str">
        <f t="shared" si="943"/>
        <v/>
      </c>
      <c r="R15268" s="32" t="str">
        <f>IFERROR(VLOOKUP($D15268,'Informations sur les produits'!$A$3:$B$15000,2,FALSE),"")</f>
        <v/>
      </c>
    </row>
    <row r="15269" spans="7:18" x14ac:dyDescent="0.25">
      <c r="G15269" s="33"/>
      <c r="O15269" s="33"/>
      <c r="P15269" s="33"/>
      <c r="Q15269" s="31" t="str">
        <f t="shared" si="943"/>
        <v/>
      </c>
      <c r="R15269" s="32" t="str">
        <f>IFERROR(VLOOKUP($D15269,'Informations sur les produits'!$A$3:$B$15000,2,FALSE),"")</f>
        <v/>
      </c>
    </row>
    <row r="15270" spans="7:18" x14ac:dyDescent="0.25">
      <c r="G15270" s="33"/>
      <c r="O15270" s="33"/>
      <c r="P15270" s="33"/>
      <c r="Q15270" s="31" t="str">
        <f t="shared" si="943"/>
        <v/>
      </c>
      <c r="R15270" s="32" t="str">
        <f>IFERROR(VLOOKUP($D15270,'Informations sur les produits'!$A$3:$B$15000,2,FALSE),"")</f>
        <v/>
      </c>
    </row>
    <row r="15271" spans="7:18" x14ac:dyDescent="0.25">
      <c r="G15271" s="33"/>
      <c r="O15271" s="33"/>
      <c r="P15271" s="33"/>
      <c r="Q15271" s="31" t="str">
        <f t="shared" si="943"/>
        <v/>
      </c>
      <c r="R15271" s="32" t="str">
        <f>IFERROR(VLOOKUP($D15271,'Informations sur les produits'!$A$3:$B$15000,2,FALSE),"")</f>
        <v/>
      </c>
    </row>
    <row r="15272" spans="7:18" x14ac:dyDescent="0.25">
      <c r="G15272" s="33"/>
      <c r="O15272" s="33"/>
      <c r="P15272" s="33"/>
      <c r="Q15272" s="31" t="str">
        <f t="shared" si="943"/>
        <v/>
      </c>
      <c r="R15272" s="32" t="str">
        <f>IFERROR(VLOOKUP($D15272,'Informations sur les produits'!$A$3:$B$15000,2,FALSE),"")</f>
        <v/>
      </c>
    </row>
    <row r="15273" spans="7:18" x14ac:dyDescent="0.25">
      <c r="G15273" s="33"/>
      <c r="O15273" s="33"/>
      <c r="P15273" s="33"/>
      <c r="Q15273" s="31" t="str">
        <f t="shared" si="943"/>
        <v/>
      </c>
      <c r="R15273" s="32" t="str">
        <f>IFERROR(VLOOKUP($D15273,'Informations sur les produits'!$A$3:$B$15000,2,FALSE),"")</f>
        <v/>
      </c>
    </row>
    <row r="15274" spans="7:18" x14ac:dyDescent="0.25">
      <c r="G15274" s="33"/>
      <c r="O15274" s="33"/>
      <c r="P15274" s="33"/>
      <c r="Q15274" s="31" t="str">
        <f t="shared" si="943"/>
        <v/>
      </c>
      <c r="R15274" s="32" t="str">
        <f>IFERROR(VLOOKUP($D15274,'Informations sur les produits'!$A$3:$B$15000,2,FALSE),"")</f>
        <v/>
      </c>
    </row>
    <row r="15275" spans="7:18" x14ac:dyDescent="0.25">
      <c r="G15275" s="33"/>
      <c r="O15275" s="33"/>
      <c r="P15275" s="33"/>
      <c r="Q15275" s="31" t="str">
        <f t="shared" si="943"/>
        <v/>
      </c>
      <c r="R15275" s="32" t="str">
        <f>IFERROR(VLOOKUP($D15275,'Informations sur les produits'!$A$3:$B$15000,2,FALSE),"")</f>
        <v/>
      </c>
    </row>
    <row r="15276" spans="7:18" x14ac:dyDescent="0.25">
      <c r="G15276" s="33"/>
      <c r="O15276" s="33"/>
      <c r="P15276" s="33"/>
      <c r="Q15276" s="31" t="str">
        <f t="shared" si="943"/>
        <v/>
      </c>
      <c r="R15276" s="32" t="str">
        <f>IFERROR(VLOOKUP($D15276,'Informations sur les produits'!$A$3:$B$15000,2,FALSE),"")</f>
        <v/>
      </c>
    </row>
    <row r="15277" spans="7:18" x14ac:dyDescent="0.25">
      <c r="G15277" s="33"/>
      <c r="O15277" s="33"/>
      <c r="P15277" s="33"/>
      <c r="Q15277" s="31" t="str">
        <f t="shared" si="943"/>
        <v/>
      </c>
      <c r="R15277" s="32" t="str">
        <f>IFERROR(VLOOKUP($D15277,'Informations sur les produits'!$A$3:$B$15000,2,FALSE),"")</f>
        <v/>
      </c>
    </row>
    <row r="15278" spans="7:18" x14ac:dyDescent="0.25">
      <c r="G15278" s="33"/>
      <c r="O15278" s="33"/>
      <c r="P15278" s="33"/>
      <c r="Q15278" s="31" t="str">
        <f t="shared" si="943"/>
        <v/>
      </c>
      <c r="R15278" s="32" t="str">
        <f>IFERROR(VLOOKUP($D15278,'Informations sur les produits'!$A$3:$B$15000,2,FALSE),"")</f>
        <v/>
      </c>
    </row>
    <row r="15279" spans="7:18" x14ac:dyDescent="0.25">
      <c r="G15279" s="33"/>
      <c r="O15279" s="33"/>
      <c r="P15279" s="33"/>
      <c r="Q15279" s="31" t="str">
        <f t="shared" si="943"/>
        <v/>
      </c>
      <c r="R15279" s="32" t="str">
        <f>IFERROR(VLOOKUP($D15279,'Informations sur les produits'!$A$3:$B$15000,2,FALSE),"")</f>
        <v/>
      </c>
    </row>
    <row r="15280" spans="7:18" x14ac:dyDescent="0.25">
      <c r="G15280" s="33"/>
      <c r="O15280" s="33"/>
      <c r="P15280" s="33"/>
      <c r="Q15280" s="31" t="str">
        <f t="shared" si="943"/>
        <v/>
      </c>
      <c r="R15280" s="32" t="str">
        <f>IFERROR(VLOOKUP($D15280,'Informations sur les produits'!$A$3:$B$15000,2,FALSE),"")</f>
        <v/>
      </c>
    </row>
    <row r="15281" spans="7:18" x14ac:dyDescent="0.25">
      <c r="G15281" s="33"/>
      <c r="O15281" s="33"/>
      <c r="P15281" s="33"/>
      <c r="Q15281" s="31" t="str">
        <f t="shared" si="943"/>
        <v/>
      </c>
      <c r="R15281" s="32" t="str">
        <f>IFERROR(VLOOKUP($D15281,'Informations sur les produits'!$A$3:$B$15000,2,FALSE),"")</f>
        <v/>
      </c>
    </row>
    <row r="15282" spans="7:18" x14ac:dyDescent="0.25">
      <c r="G15282" s="33"/>
      <c r="O15282" s="33"/>
      <c r="P15282" s="33"/>
      <c r="Q15282" s="31" t="str">
        <f t="shared" si="943"/>
        <v/>
      </c>
      <c r="R15282" s="32" t="str">
        <f>IFERROR(VLOOKUP($D15282,'Informations sur les produits'!$A$3:$B$15000,2,FALSE),"")</f>
        <v/>
      </c>
    </row>
    <row r="15283" spans="7:18" x14ac:dyDescent="0.25">
      <c r="G15283" s="33"/>
      <c r="O15283" s="33"/>
      <c r="P15283" s="33"/>
      <c r="Q15283" s="31" t="str">
        <f t="shared" si="943"/>
        <v/>
      </c>
      <c r="R15283" s="32" t="str">
        <f>IFERROR(VLOOKUP($D15283,'Informations sur les produits'!$A$3:$B$15000,2,FALSE),"")</f>
        <v/>
      </c>
    </row>
    <row r="15284" spans="7:18" x14ac:dyDescent="0.25">
      <c r="G15284" s="33"/>
      <c r="O15284" s="33"/>
      <c r="P15284" s="33"/>
      <c r="Q15284" s="31" t="str">
        <f t="shared" si="943"/>
        <v/>
      </c>
      <c r="R15284" s="32" t="str">
        <f>IFERROR(VLOOKUP($D15284,'Informations sur les produits'!$A$3:$B$15000,2,FALSE),"")</f>
        <v/>
      </c>
    </row>
    <row r="15285" spans="7:18" x14ac:dyDescent="0.25">
      <c r="G15285" s="33"/>
      <c r="O15285" s="33"/>
      <c r="P15285" s="33"/>
      <c r="Q15285" s="31" t="str">
        <f t="shared" si="943"/>
        <v/>
      </c>
      <c r="R15285" s="32" t="str">
        <f>IFERROR(VLOOKUP($D15285,'Informations sur les produits'!$A$3:$B$15000,2,FALSE),"")</f>
        <v/>
      </c>
    </row>
    <row r="15286" spans="7:18" x14ac:dyDescent="0.25">
      <c r="G15286" s="33"/>
      <c r="O15286" s="33"/>
      <c r="P15286" s="33"/>
      <c r="Q15286" s="31" t="str">
        <f t="shared" si="943"/>
        <v/>
      </c>
      <c r="R15286" s="32" t="str">
        <f>IFERROR(VLOOKUP($D15286,'Informations sur les produits'!$A$3:$B$15000,2,FALSE),"")</f>
        <v/>
      </c>
    </row>
    <row r="15287" spans="7:18" x14ac:dyDescent="0.25">
      <c r="G15287" s="33"/>
      <c r="O15287" s="33"/>
      <c r="P15287" s="33"/>
      <c r="Q15287" s="31" t="str">
        <f t="shared" si="943"/>
        <v/>
      </c>
      <c r="R15287" s="32" t="str">
        <f>IFERROR(VLOOKUP($D15287,'Informations sur les produits'!$A$3:$B$15000,2,FALSE),"")</f>
        <v/>
      </c>
    </row>
    <row r="15288" spans="7:18" x14ac:dyDescent="0.25">
      <c r="G15288" s="33"/>
      <c r="O15288" s="33"/>
      <c r="P15288" s="33"/>
      <c r="Q15288" s="31" t="str">
        <f t="shared" si="943"/>
        <v/>
      </c>
      <c r="R15288" s="32" t="str">
        <f>IFERROR(VLOOKUP($D15288,'Informations sur les produits'!$A$3:$B$15000,2,FALSE),"")</f>
        <v/>
      </c>
    </row>
    <row r="15289" spans="7:18" x14ac:dyDescent="0.25">
      <c r="G15289" s="33"/>
      <c r="O15289" s="33"/>
      <c r="P15289" s="33"/>
      <c r="Q15289" s="31" t="str">
        <f t="shared" si="943"/>
        <v/>
      </c>
      <c r="R15289" s="32" t="str">
        <f>IFERROR(VLOOKUP($D15289,'Informations sur les produits'!$A$3:$B$15000,2,FALSE),"")</f>
        <v/>
      </c>
    </row>
    <row r="15290" spans="7:18" x14ac:dyDescent="0.25">
      <c r="G15290" s="33"/>
      <c r="O15290" s="33"/>
      <c r="P15290" s="33"/>
      <c r="Q15290" s="31" t="str">
        <f t="shared" si="943"/>
        <v/>
      </c>
      <c r="R15290" s="32" t="str">
        <f>IFERROR(VLOOKUP($D15290,'Informations sur les produits'!$A$3:$B$15000,2,FALSE),"")</f>
        <v/>
      </c>
    </row>
    <row r="15291" spans="7:18" x14ac:dyDescent="0.25">
      <c r="G15291" s="33"/>
      <c r="O15291" s="33"/>
      <c r="P15291" s="33"/>
      <c r="Q15291" s="31" t="str">
        <f t="shared" si="943"/>
        <v/>
      </c>
      <c r="R15291" s="32" t="str">
        <f>IFERROR(VLOOKUP($D15291,'Informations sur les produits'!$A$3:$B$15000,2,FALSE),"")</f>
        <v/>
      </c>
    </row>
    <row r="15292" spans="7:18" x14ac:dyDescent="0.25">
      <c r="G15292" s="33"/>
      <c r="O15292" s="33"/>
      <c r="P15292" s="33"/>
      <c r="Q15292" s="31" t="str">
        <f t="shared" si="943"/>
        <v/>
      </c>
      <c r="R15292" s="32" t="str">
        <f>IFERROR(VLOOKUP($D15292,'Informations sur les produits'!$A$3:$B$15000,2,FALSE),"")</f>
        <v/>
      </c>
    </row>
    <row r="15293" spans="7:18" x14ac:dyDescent="0.25">
      <c r="G15293" s="33"/>
      <c r="O15293" s="33"/>
      <c r="P15293" s="33"/>
      <c r="Q15293" s="31" t="str">
        <f t="shared" si="943"/>
        <v/>
      </c>
      <c r="R15293" s="32" t="str">
        <f>IFERROR(VLOOKUP($D15293,'Informations sur les produits'!$A$3:$B$15000,2,FALSE),"")</f>
        <v/>
      </c>
    </row>
    <row r="15294" spans="7:18" x14ac:dyDescent="0.25">
      <c r="G15294" s="33"/>
      <c r="O15294" s="33"/>
      <c r="P15294" s="33"/>
      <c r="Q15294" s="31" t="str">
        <f t="shared" si="943"/>
        <v/>
      </c>
      <c r="R15294" s="32" t="str">
        <f>IFERROR(VLOOKUP($D15294,'Informations sur les produits'!$A$3:$B$15000,2,FALSE),"")</f>
        <v/>
      </c>
    </row>
    <row r="15295" spans="7:18" x14ac:dyDescent="0.25">
      <c r="G15295" s="33"/>
      <c r="O15295" s="33"/>
      <c r="P15295" s="33"/>
      <c r="Q15295" s="31" t="str">
        <f t="shared" si="943"/>
        <v/>
      </c>
      <c r="R15295" s="32" t="str">
        <f>IFERROR(VLOOKUP($D15295,'Informations sur les produits'!$A$3:$B$15000,2,FALSE),"")</f>
        <v/>
      </c>
    </row>
    <row r="15296" spans="7:18" x14ac:dyDescent="0.25">
      <c r="G15296" s="33"/>
      <c r="O15296" s="33"/>
      <c r="P15296" s="33"/>
      <c r="Q15296" s="31" t="str">
        <f t="shared" si="943"/>
        <v/>
      </c>
      <c r="R15296" s="32" t="str">
        <f>IFERROR(VLOOKUP($D15296,'Informations sur les produits'!$A$3:$B$15000,2,FALSE),"")</f>
        <v/>
      </c>
    </row>
    <row r="15297" spans="7:18" x14ac:dyDescent="0.25">
      <c r="G15297" s="33"/>
      <c r="O15297" s="33"/>
      <c r="P15297" s="33"/>
      <c r="Q15297" s="31" t="str">
        <f t="shared" si="943"/>
        <v/>
      </c>
      <c r="R15297" s="32" t="str">
        <f>IFERROR(VLOOKUP($D15297,'Informations sur les produits'!$A$3:$B$15000,2,FALSE),"")</f>
        <v/>
      </c>
    </row>
    <row r="15298" spans="7:18" x14ac:dyDescent="0.25">
      <c r="G15298" s="33"/>
      <c r="O15298" s="33"/>
      <c r="P15298" s="33"/>
      <c r="Q15298" s="31" t="str">
        <f t="shared" si="943"/>
        <v/>
      </c>
      <c r="R15298" s="32" t="str">
        <f>IFERROR(VLOOKUP($D15298,'Informations sur les produits'!$A$3:$B$15000,2,FALSE),"")</f>
        <v/>
      </c>
    </row>
    <row r="15299" spans="7:18" x14ac:dyDescent="0.25">
      <c r="G15299" s="33"/>
      <c r="O15299" s="33"/>
      <c r="P15299" s="33"/>
      <c r="Q15299" s="31" t="str">
        <f t="shared" si="943"/>
        <v/>
      </c>
      <c r="R15299" s="32" t="str">
        <f>IFERROR(VLOOKUP($D15299,'Informations sur les produits'!$A$3:$B$15000,2,FALSE),"")</f>
        <v/>
      </c>
    </row>
    <row r="15300" spans="7:18" x14ac:dyDescent="0.25">
      <c r="G15300" s="33"/>
      <c r="O15300" s="33"/>
      <c r="P15300" s="33"/>
      <c r="Q15300" s="31" t="str">
        <f t="shared" ref="Q15300:Q15363" si="944">IFERROR((((($E15300-$F15300)*$G15300+$K15300*$L15300+$N15300*$O15300)*1000)/(($E15300-$F15300)+$K15300+$N15300)),"")</f>
        <v/>
      </c>
      <c r="R15300" s="32" t="str">
        <f>IFERROR(VLOOKUP($D15300,'Informations sur les produits'!$A$3:$B$15000,2,FALSE),"")</f>
        <v/>
      </c>
    </row>
    <row r="15301" spans="7:18" x14ac:dyDescent="0.25">
      <c r="G15301" s="33"/>
      <c r="O15301" s="33"/>
      <c r="P15301" s="33"/>
      <c r="Q15301" s="31" t="str">
        <f t="shared" si="944"/>
        <v/>
      </c>
      <c r="R15301" s="32" t="str">
        <f>IFERROR(VLOOKUP($D15301,'Informations sur les produits'!$A$3:$B$15000,2,FALSE),"")</f>
        <v/>
      </c>
    </row>
    <row r="15302" spans="7:18" x14ac:dyDescent="0.25">
      <c r="G15302" s="33"/>
      <c r="O15302" s="33"/>
      <c r="P15302" s="33"/>
      <c r="Q15302" s="31" t="str">
        <f t="shared" si="944"/>
        <v/>
      </c>
      <c r="R15302" s="32" t="str">
        <f>IFERROR(VLOOKUP($D15302,'Informations sur les produits'!$A$3:$B$15000,2,FALSE),"")</f>
        <v/>
      </c>
    </row>
    <row r="15303" spans="7:18" x14ac:dyDescent="0.25">
      <c r="G15303" s="33"/>
      <c r="O15303" s="33"/>
      <c r="P15303" s="33"/>
      <c r="Q15303" s="31" t="str">
        <f t="shared" si="944"/>
        <v/>
      </c>
      <c r="R15303" s="32" t="str">
        <f>IFERROR(VLOOKUP($D15303,'Informations sur les produits'!$A$3:$B$15000,2,FALSE),"")</f>
        <v/>
      </c>
    </row>
    <row r="15304" spans="7:18" x14ac:dyDescent="0.25">
      <c r="G15304" s="33"/>
      <c r="O15304" s="33"/>
      <c r="P15304" s="33"/>
      <c r="Q15304" s="31" t="str">
        <f t="shared" si="944"/>
        <v/>
      </c>
      <c r="R15304" s="32" t="str">
        <f>IFERROR(VLOOKUP($D15304,'Informations sur les produits'!$A$3:$B$15000,2,FALSE),"")</f>
        <v/>
      </c>
    </row>
    <row r="15305" spans="7:18" x14ac:dyDescent="0.25">
      <c r="G15305" s="33"/>
      <c r="O15305" s="33"/>
      <c r="P15305" s="33"/>
      <c r="Q15305" s="31" t="str">
        <f t="shared" si="944"/>
        <v/>
      </c>
      <c r="R15305" s="32" t="str">
        <f>IFERROR(VLOOKUP($D15305,'Informations sur les produits'!$A$3:$B$15000,2,FALSE),"")</f>
        <v/>
      </c>
    </row>
    <row r="15306" spans="7:18" x14ac:dyDescent="0.25">
      <c r="G15306" s="33"/>
      <c r="O15306" s="33"/>
      <c r="P15306" s="33"/>
      <c r="Q15306" s="31" t="str">
        <f t="shared" si="944"/>
        <v/>
      </c>
      <c r="R15306" s="32" t="str">
        <f>IFERROR(VLOOKUP($D15306,'Informations sur les produits'!$A$3:$B$15000,2,FALSE),"")</f>
        <v/>
      </c>
    </row>
    <row r="15307" spans="7:18" x14ac:dyDescent="0.25">
      <c r="G15307" s="33"/>
      <c r="O15307" s="33"/>
      <c r="P15307" s="33"/>
      <c r="Q15307" s="31" t="str">
        <f t="shared" si="944"/>
        <v/>
      </c>
      <c r="R15307" s="32" t="str">
        <f>IFERROR(VLOOKUP($D15307,'Informations sur les produits'!$A$3:$B$15000,2,FALSE),"")</f>
        <v/>
      </c>
    </row>
    <row r="15308" spans="7:18" x14ac:dyDescent="0.25">
      <c r="G15308" s="33"/>
      <c r="O15308" s="33"/>
      <c r="P15308" s="33"/>
      <c r="Q15308" s="31" t="str">
        <f t="shared" si="944"/>
        <v/>
      </c>
      <c r="R15308" s="32" t="str">
        <f>IFERROR(VLOOKUP($D15308,'Informations sur les produits'!$A$3:$B$15000,2,FALSE),"")</f>
        <v/>
      </c>
    </row>
    <row r="15309" spans="7:18" x14ac:dyDescent="0.25">
      <c r="G15309" s="33"/>
      <c r="O15309" s="33"/>
      <c r="P15309" s="33"/>
      <c r="Q15309" s="31" t="str">
        <f t="shared" si="944"/>
        <v/>
      </c>
      <c r="R15309" s="32" t="str">
        <f>IFERROR(VLOOKUP($D15309,'Informations sur les produits'!$A$3:$B$15000,2,FALSE),"")</f>
        <v/>
      </c>
    </row>
    <row r="15310" spans="7:18" x14ac:dyDescent="0.25">
      <c r="G15310" s="33"/>
      <c r="O15310" s="33"/>
      <c r="P15310" s="33"/>
      <c r="Q15310" s="31" t="str">
        <f t="shared" si="944"/>
        <v/>
      </c>
      <c r="R15310" s="32" t="str">
        <f>IFERROR(VLOOKUP($D15310,'Informations sur les produits'!$A$3:$B$15000,2,FALSE),"")</f>
        <v/>
      </c>
    </row>
    <row r="15311" spans="7:18" x14ac:dyDescent="0.25">
      <c r="G15311" s="33"/>
      <c r="O15311" s="33"/>
      <c r="P15311" s="33"/>
      <c r="Q15311" s="31" t="str">
        <f t="shared" si="944"/>
        <v/>
      </c>
      <c r="R15311" s="32" t="str">
        <f>IFERROR(VLOOKUP($D15311,'Informations sur les produits'!$A$3:$B$15000,2,FALSE),"")</f>
        <v/>
      </c>
    </row>
    <row r="15312" spans="7:18" x14ac:dyDescent="0.25">
      <c r="G15312" s="33"/>
      <c r="O15312" s="33"/>
      <c r="P15312" s="33"/>
      <c r="Q15312" s="31" t="str">
        <f t="shared" si="944"/>
        <v/>
      </c>
      <c r="R15312" s="32" t="str">
        <f>IFERROR(VLOOKUP($D15312,'Informations sur les produits'!$A$3:$B$15000,2,FALSE),"")</f>
        <v/>
      </c>
    </row>
    <row r="15313" spans="7:18" x14ac:dyDescent="0.25">
      <c r="G15313" s="33"/>
      <c r="O15313" s="33"/>
      <c r="P15313" s="33"/>
      <c r="Q15313" s="31" t="str">
        <f t="shared" si="944"/>
        <v/>
      </c>
      <c r="R15313" s="32" t="str">
        <f>IFERROR(VLOOKUP($D15313,'Informations sur les produits'!$A$3:$B$15000,2,FALSE),"")</f>
        <v/>
      </c>
    </row>
    <row r="15314" spans="7:18" x14ac:dyDescent="0.25">
      <c r="G15314" s="33"/>
      <c r="O15314" s="33"/>
      <c r="P15314" s="33"/>
      <c r="Q15314" s="31" t="str">
        <f t="shared" si="944"/>
        <v/>
      </c>
      <c r="R15314" s="32" t="str">
        <f>IFERROR(VLOOKUP($D15314,'Informations sur les produits'!$A$3:$B$15000,2,FALSE),"")</f>
        <v/>
      </c>
    </row>
    <row r="15315" spans="7:18" x14ac:dyDescent="0.25">
      <c r="G15315" s="33"/>
      <c r="O15315" s="33"/>
      <c r="P15315" s="33"/>
      <c r="Q15315" s="31" t="str">
        <f t="shared" si="944"/>
        <v/>
      </c>
      <c r="R15315" s="32" t="str">
        <f>IFERROR(VLOOKUP($D15315,'Informations sur les produits'!$A$3:$B$15000,2,FALSE),"")</f>
        <v/>
      </c>
    </row>
    <row r="15316" spans="7:18" x14ac:dyDescent="0.25">
      <c r="G15316" s="33"/>
      <c r="O15316" s="33"/>
      <c r="P15316" s="33"/>
      <c r="Q15316" s="31" t="str">
        <f t="shared" si="944"/>
        <v/>
      </c>
      <c r="R15316" s="32" t="str">
        <f>IFERROR(VLOOKUP($D15316,'Informations sur les produits'!$A$3:$B$15000,2,FALSE),"")</f>
        <v/>
      </c>
    </row>
    <row r="15317" spans="7:18" x14ac:dyDescent="0.25">
      <c r="G15317" s="33"/>
      <c r="O15317" s="33"/>
      <c r="P15317" s="33"/>
      <c r="Q15317" s="31" t="str">
        <f t="shared" si="944"/>
        <v/>
      </c>
      <c r="R15317" s="32" t="str">
        <f>IFERROR(VLOOKUP($D15317,'Informations sur les produits'!$A$3:$B$15000,2,FALSE),"")</f>
        <v/>
      </c>
    </row>
    <row r="15318" spans="7:18" x14ac:dyDescent="0.25">
      <c r="G15318" s="33"/>
      <c r="O15318" s="33"/>
      <c r="P15318" s="33"/>
      <c r="Q15318" s="31" t="str">
        <f t="shared" si="944"/>
        <v/>
      </c>
      <c r="R15318" s="32" t="str">
        <f>IFERROR(VLOOKUP($D15318,'Informations sur les produits'!$A$3:$B$15000,2,FALSE),"")</f>
        <v/>
      </c>
    </row>
    <row r="15319" spans="7:18" x14ac:dyDescent="0.25">
      <c r="G15319" s="33"/>
      <c r="O15319" s="33"/>
      <c r="P15319" s="33"/>
      <c r="Q15319" s="31" t="str">
        <f t="shared" si="944"/>
        <v/>
      </c>
      <c r="R15319" s="32" t="str">
        <f>IFERROR(VLOOKUP($D15319,'Informations sur les produits'!$A$3:$B$15000,2,FALSE),"")</f>
        <v/>
      </c>
    </row>
    <row r="15320" spans="7:18" x14ac:dyDescent="0.25">
      <c r="G15320" s="33"/>
      <c r="O15320" s="33"/>
      <c r="P15320" s="33"/>
      <c r="Q15320" s="31" t="str">
        <f t="shared" si="944"/>
        <v/>
      </c>
      <c r="R15320" s="32" t="str">
        <f>IFERROR(VLOOKUP($D15320,'Informations sur les produits'!$A$3:$B$15000,2,FALSE),"")</f>
        <v/>
      </c>
    </row>
    <row r="15321" spans="7:18" x14ac:dyDescent="0.25">
      <c r="G15321" s="33"/>
      <c r="O15321" s="33"/>
      <c r="P15321" s="33"/>
      <c r="Q15321" s="31" t="str">
        <f t="shared" si="944"/>
        <v/>
      </c>
      <c r="R15321" s="32" t="str">
        <f>IFERROR(VLOOKUP($D15321,'Informations sur les produits'!$A$3:$B$15000,2,FALSE),"")</f>
        <v/>
      </c>
    </row>
    <row r="15322" spans="7:18" x14ac:dyDescent="0.25">
      <c r="G15322" s="33"/>
      <c r="O15322" s="33"/>
      <c r="P15322" s="33"/>
      <c r="Q15322" s="31" t="str">
        <f t="shared" si="944"/>
        <v/>
      </c>
      <c r="R15322" s="32" t="str">
        <f>IFERROR(VLOOKUP($D15322,'Informations sur les produits'!$A$3:$B$15000,2,FALSE),"")</f>
        <v/>
      </c>
    </row>
    <row r="15323" spans="7:18" x14ac:dyDescent="0.25">
      <c r="G15323" s="33"/>
      <c r="O15323" s="33"/>
      <c r="P15323" s="33"/>
      <c r="Q15323" s="31" t="str">
        <f t="shared" si="944"/>
        <v/>
      </c>
      <c r="R15323" s="32" t="str">
        <f>IFERROR(VLOOKUP($D15323,'Informations sur les produits'!$A$3:$B$15000,2,FALSE),"")</f>
        <v/>
      </c>
    </row>
    <row r="15324" spans="7:18" x14ac:dyDescent="0.25">
      <c r="G15324" s="33"/>
      <c r="O15324" s="33"/>
      <c r="P15324" s="33"/>
      <c r="Q15324" s="31" t="str">
        <f t="shared" si="944"/>
        <v/>
      </c>
      <c r="R15324" s="32" t="str">
        <f>IFERROR(VLOOKUP($D15324,'Informations sur les produits'!$A$3:$B$15000,2,FALSE),"")</f>
        <v/>
      </c>
    </row>
    <row r="15325" spans="7:18" x14ac:dyDescent="0.25">
      <c r="G15325" s="33"/>
      <c r="O15325" s="33"/>
      <c r="P15325" s="33"/>
      <c r="Q15325" s="31" t="str">
        <f t="shared" si="944"/>
        <v/>
      </c>
      <c r="R15325" s="32" t="str">
        <f>IFERROR(VLOOKUP($D15325,'Informations sur les produits'!$A$3:$B$15000,2,FALSE),"")</f>
        <v/>
      </c>
    </row>
    <row r="15326" spans="7:18" x14ac:dyDescent="0.25">
      <c r="G15326" s="33"/>
      <c r="O15326" s="33"/>
      <c r="P15326" s="33"/>
      <c r="Q15326" s="31" t="str">
        <f t="shared" si="944"/>
        <v/>
      </c>
      <c r="R15326" s="32" t="str">
        <f>IFERROR(VLOOKUP($D15326,'Informations sur les produits'!$A$3:$B$15000,2,FALSE),"")</f>
        <v/>
      </c>
    </row>
    <row r="15327" spans="7:18" x14ac:dyDescent="0.25">
      <c r="G15327" s="33"/>
      <c r="O15327" s="33"/>
      <c r="P15327" s="33"/>
      <c r="Q15327" s="31" t="str">
        <f t="shared" si="944"/>
        <v/>
      </c>
      <c r="R15327" s="32" t="str">
        <f>IFERROR(VLOOKUP($D15327,'Informations sur les produits'!$A$3:$B$15000,2,FALSE),"")</f>
        <v/>
      </c>
    </row>
    <row r="15328" spans="7:18" x14ac:dyDescent="0.25">
      <c r="G15328" s="33"/>
      <c r="O15328" s="33"/>
      <c r="P15328" s="33"/>
      <c r="Q15328" s="31" t="str">
        <f t="shared" si="944"/>
        <v/>
      </c>
      <c r="R15328" s="32" t="str">
        <f>IFERROR(VLOOKUP($D15328,'Informations sur les produits'!$A$3:$B$15000,2,FALSE),"")</f>
        <v/>
      </c>
    </row>
    <row r="15329" spans="7:18" x14ac:dyDescent="0.25">
      <c r="G15329" s="33"/>
      <c r="O15329" s="33"/>
      <c r="P15329" s="33"/>
      <c r="Q15329" s="31" t="str">
        <f t="shared" si="944"/>
        <v/>
      </c>
      <c r="R15329" s="32" t="str">
        <f>IFERROR(VLOOKUP($D15329,'Informations sur les produits'!$A$3:$B$15000,2,FALSE),"")</f>
        <v/>
      </c>
    </row>
    <row r="15330" spans="7:18" x14ac:dyDescent="0.25">
      <c r="G15330" s="33"/>
      <c r="O15330" s="33"/>
      <c r="P15330" s="33"/>
      <c r="Q15330" s="31" t="str">
        <f t="shared" si="944"/>
        <v/>
      </c>
      <c r="R15330" s="32" t="str">
        <f>IFERROR(VLOOKUP($D15330,'Informations sur les produits'!$A$3:$B$15000,2,FALSE),"")</f>
        <v/>
      </c>
    </row>
    <row r="15331" spans="7:18" x14ac:dyDescent="0.25">
      <c r="G15331" s="33"/>
      <c r="O15331" s="33"/>
      <c r="P15331" s="33"/>
      <c r="Q15331" s="31" t="str">
        <f t="shared" si="944"/>
        <v/>
      </c>
      <c r="R15331" s="32" t="str">
        <f>IFERROR(VLOOKUP($D15331,'Informations sur les produits'!$A$3:$B$15000,2,FALSE),"")</f>
        <v/>
      </c>
    </row>
    <row r="15332" spans="7:18" x14ac:dyDescent="0.25">
      <c r="G15332" s="33"/>
      <c r="O15332" s="33"/>
      <c r="P15332" s="33"/>
      <c r="Q15332" s="31" t="str">
        <f t="shared" si="944"/>
        <v/>
      </c>
      <c r="R15332" s="32" t="str">
        <f>IFERROR(VLOOKUP($D15332,'Informations sur les produits'!$A$3:$B$15000,2,FALSE),"")</f>
        <v/>
      </c>
    </row>
    <row r="15333" spans="7:18" x14ac:dyDescent="0.25">
      <c r="G15333" s="33"/>
      <c r="O15333" s="33"/>
      <c r="P15333" s="33"/>
      <c r="Q15333" s="31" t="str">
        <f t="shared" si="944"/>
        <v/>
      </c>
      <c r="R15333" s="32" t="str">
        <f>IFERROR(VLOOKUP($D15333,'Informations sur les produits'!$A$3:$B$15000,2,FALSE),"")</f>
        <v/>
      </c>
    </row>
    <row r="15334" spans="7:18" x14ac:dyDescent="0.25">
      <c r="G15334" s="33"/>
      <c r="O15334" s="33"/>
      <c r="P15334" s="33"/>
      <c r="Q15334" s="31" t="str">
        <f t="shared" si="944"/>
        <v/>
      </c>
      <c r="R15334" s="32" t="str">
        <f>IFERROR(VLOOKUP($D15334,'Informations sur les produits'!$A$3:$B$15000,2,FALSE),"")</f>
        <v/>
      </c>
    </row>
    <row r="15335" spans="7:18" x14ac:dyDescent="0.25">
      <c r="G15335" s="33"/>
      <c r="O15335" s="33"/>
      <c r="P15335" s="33"/>
      <c r="Q15335" s="31" t="str">
        <f t="shared" si="944"/>
        <v/>
      </c>
      <c r="R15335" s="32" t="str">
        <f>IFERROR(VLOOKUP($D15335,'Informations sur les produits'!$A$3:$B$15000,2,FALSE),"")</f>
        <v/>
      </c>
    </row>
    <row r="15336" spans="7:18" x14ac:dyDescent="0.25">
      <c r="G15336" s="33"/>
      <c r="O15336" s="33"/>
      <c r="P15336" s="33"/>
      <c r="Q15336" s="31" t="str">
        <f t="shared" si="944"/>
        <v/>
      </c>
      <c r="R15336" s="32" t="str">
        <f>IFERROR(VLOOKUP($D15336,'Informations sur les produits'!$A$3:$B$15000,2,FALSE),"")</f>
        <v/>
      </c>
    </row>
    <row r="15337" spans="7:18" x14ac:dyDescent="0.25">
      <c r="G15337" s="33"/>
      <c r="O15337" s="33"/>
      <c r="P15337" s="33"/>
      <c r="Q15337" s="31" t="str">
        <f t="shared" si="944"/>
        <v/>
      </c>
      <c r="R15337" s="32" t="str">
        <f>IFERROR(VLOOKUP($D15337,'Informations sur les produits'!$A$3:$B$15000,2,FALSE),"")</f>
        <v/>
      </c>
    </row>
    <row r="15338" spans="7:18" x14ac:dyDescent="0.25">
      <c r="G15338" s="33"/>
      <c r="O15338" s="33"/>
      <c r="P15338" s="33"/>
      <c r="Q15338" s="31" t="str">
        <f t="shared" si="944"/>
        <v/>
      </c>
      <c r="R15338" s="32" t="str">
        <f>IFERROR(VLOOKUP($D15338,'Informations sur les produits'!$A$3:$B$15000,2,FALSE),"")</f>
        <v/>
      </c>
    </row>
    <row r="15339" spans="7:18" x14ac:dyDescent="0.25">
      <c r="G15339" s="33"/>
      <c r="O15339" s="33"/>
      <c r="P15339" s="33"/>
      <c r="Q15339" s="31" t="str">
        <f t="shared" si="944"/>
        <v/>
      </c>
      <c r="R15339" s="32" t="str">
        <f>IFERROR(VLOOKUP($D15339,'Informations sur les produits'!$A$3:$B$15000,2,FALSE),"")</f>
        <v/>
      </c>
    </row>
    <row r="15340" spans="7:18" x14ac:dyDescent="0.25">
      <c r="G15340" s="33"/>
      <c r="O15340" s="33"/>
      <c r="P15340" s="33"/>
      <c r="Q15340" s="31" t="str">
        <f t="shared" si="944"/>
        <v/>
      </c>
      <c r="R15340" s="32" t="str">
        <f>IFERROR(VLOOKUP($D15340,'Informations sur les produits'!$A$3:$B$15000,2,FALSE),"")</f>
        <v/>
      </c>
    </row>
    <row r="15341" spans="7:18" x14ac:dyDescent="0.25">
      <c r="G15341" s="33"/>
      <c r="O15341" s="33"/>
      <c r="P15341" s="33"/>
      <c r="Q15341" s="31" t="str">
        <f t="shared" si="944"/>
        <v/>
      </c>
      <c r="R15341" s="32" t="str">
        <f>IFERROR(VLOOKUP($D15341,'Informations sur les produits'!$A$3:$B$15000,2,FALSE),"")</f>
        <v/>
      </c>
    </row>
    <row r="15342" spans="7:18" x14ac:dyDescent="0.25">
      <c r="G15342" s="33"/>
      <c r="O15342" s="33"/>
      <c r="P15342" s="33"/>
      <c r="Q15342" s="31" t="str">
        <f t="shared" si="944"/>
        <v/>
      </c>
      <c r="R15342" s="32" t="str">
        <f>IFERROR(VLOOKUP($D15342,'Informations sur les produits'!$A$3:$B$15000,2,FALSE),"")</f>
        <v/>
      </c>
    </row>
    <row r="15343" spans="7:18" x14ac:dyDescent="0.25">
      <c r="G15343" s="33"/>
      <c r="O15343" s="33"/>
      <c r="P15343" s="33"/>
      <c r="Q15343" s="31" t="str">
        <f t="shared" si="944"/>
        <v/>
      </c>
      <c r="R15343" s="32" t="str">
        <f>IFERROR(VLOOKUP($D15343,'Informations sur les produits'!$A$3:$B$15000,2,FALSE),"")</f>
        <v/>
      </c>
    </row>
    <row r="15344" spans="7:18" x14ac:dyDescent="0.25">
      <c r="G15344" s="33"/>
      <c r="O15344" s="33"/>
      <c r="P15344" s="33"/>
      <c r="Q15344" s="31" t="str">
        <f t="shared" si="944"/>
        <v/>
      </c>
      <c r="R15344" s="32" t="str">
        <f>IFERROR(VLOOKUP($D15344,'Informations sur les produits'!$A$3:$B$15000,2,FALSE),"")</f>
        <v/>
      </c>
    </row>
    <row r="15345" spans="7:18" x14ac:dyDescent="0.25">
      <c r="G15345" s="33"/>
      <c r="O15345" s="33"/>
      <c r="P15345" s="33"/>
      <c r="Q15345" s="31" t="str">
        <f t="shared" si="944"/>
        <v/>
      </c>
      <c r="R15345" s="32" t="str">
        <f>IFERROR(VLOOKUP($D15345,'Informations sur les produits'!$A$3:$B$15000,2,FALSE),"")</f>
        <v/>
      </c>
    </row>
    <row r="15346" spans="7:18" x14ac:dyDescent="0.25">
      <c r="G15346" s="33"/>
      <c r="O15346" s="33"/>
      <c r="P15346" s="33"/>
      <c r="Q15346" s="31" t="str">
        <f t="shared" si="944"/>
        <v/>
      </c>
      <c r="R15346" s="32" t="str">
        <f>IFERROR(VLOOKUP($D15346,'Informations sur les produits'!$A$3:$B$15000,2,FALSE),"")</f>
        <v/>
      </c>
    </row>
    <row r="15347" spans="7:18" x14ac:dyDescent="0.25">
      <c r="G15347" s="33"/>
      <c r="O15347" s="33"/>
      <c r="P15347" s="33"/>
      <c r="Q15347" s="31" t="str">
        <f t="shared" si="944"/>
        <v/>
      </c>
      <c r="R15347" s="32" t="str">
        <f>IFERROR(VLOOKUP($D15347,'Informations sur les produits'!$A$3:$B$15000,2,FALSE),"")</f>
        <v/>
      </c>
    </row>
    <row r="15348" spans="7:18" x14ac:dyDescent="0.25">
      <c r="G15348" s="33"/>
      <c r="O15348" s="33"/>
      <c r="P15348" s="33"/>
      <c r="Q15348" s="31" t="str">
        <f t="shared" si="944"/>
        <v/>
      </c>
      <c r="R15348" s="32" t="str">
        <f>IFERROR(VLOOKUP($D15348,'Informations sur les produits'!$A$3:$B$15000,2,FALSE),"")</f>
        <v/>
      </c>
    </row>
    <row r="15349" spans="7:18" x14ac:dyDescent="0.25">
      <c r="G15349" s="33"/>
      <c r="O15349" s="33"/>
      <c r="P15349" s="33"/>
      <c r="Q15349" s="31" t="str">
        <f t="shared" si="944"/>
        <v/>
      </c>
      <c r="R15349" s="32" t="str">
        <f>IFERROR(VLOOKUP($D15349,'Informations sur les produits'!$A$3:$B$15000,2,FALSE),"")</f>
        <v/>
      </c>
    </row>
    <row r="15350" spans="7:18" x14ac:dyDescent="0.25">
      <c r="G15350" s="33"/>
      <c r="O15350" s="33"/>
      <c r="P15350" s="33"/>
      <c r="Q15350" s="31" t="str">
        <f t="shared" si="944"/>
        <v/>
      </c>
      <c r="R15350" s="32" t="str">
        <f>IFERROR(VLOOKUP($D15350,'Informations sur les produits'!$A$3:$B$15000,2,FALSE),"")</f>
        <v/>
      </c>
    </row>
    <row r="15351" spans="7:18" x14ac:dyDescent="0.25">
      <c r="G15351" s="33"/>
      <c r="O15351" s="33"/>
      <c r="P15351" s="33"/>
      <c r="Q15351" s="31" t="str">
        <f t="shared" si="944"/>
        <v/>
      </c>
      <c r="R15351" s="32" t="str">
        <f>IFERROR(VLOOKUP($D15351,'Informations sur les produits'!$A$3:$B$15000,2,FALSE),"")</f>
        <v/>
      </c>
    </row>
    <row r="15352" spans="7:18" x14ac:dyDescent="0.25">
      <c r="G15352" s="33"/>
      <c r="O15352" s="33"/>
      <c r="P15352" s="33"/>
      <c r="Q15352" s="31" t="str">
        <f t="shared" si="944"/>
        <v/>
      </c>
      <c r="R15352" s="32" t="str">
        <f>IFERROR(VLOOKUP($D15352,'Informations sur les produits'!$A$3:$B$15000,2,FALSE),"")</f>
        <v/>
      </c>
    </row>
    <row r="15353" spans="7:18" x14ac:dyDescent="0.25">
      <c r="G15353" s="33"/>
      <c r="O15353" s="33"/>
      <c r="P15353" s="33"/>
      <c r="Q15353" s="31" t="str">
        <f t="shared" si="944"/>
        <v/>
      </c>
      <c r="R15353" s="32" t="str">
        <f>IFERROR(VLOOKUP($D15353,'Informations sur les produits'!$A$3:$B$15000,2,FALSE),"")</f>
        <v/>
      </c>
    </row>
    <row r="15354" spans="7:18" x14ac:dyDescent="0.25">
      <c r="G15354" s="33"/>
      <c r="O15354" s="33"/>
      <c r="P15354" s="33"/>
      <c r="Q15354" s="31" t="str">
        <f t="shared" si="944"/>
        <v/>
      </c>
      <c r="R15354" s="32" t="str">
        <f>IFERROR(VLOOKUP($D15354,'Informations sur les produits'!$A$3:$B$15000,2,FALSE),"")</f>
        <v/>
      </c>
    </row>
    <row r="15355" spans="7:18" x14ac:dyDescent="0.25">
      <c r="G15355" s="33"/>
      <c r="O15355" s="33"/>
      <c r="P15355" s="33"/>
      <c r="Q15355" s="31" t="str">
        <f t="shared" si="944"/>
        <v/>
      </c>
      <c r="R15355" s="32" t="str">
        <f>IFERROR(VLOOKUP($D15355,'Informations sur les produits'!$A$3:$B$15000,2,FALSE),"")</f>
        <v/>
      </c>
    </row>
    <row r="15356" spans="7:18" x14ac:dyDescent="0.25">
      <c r="G15356" s="33"/>
      <c r="O15356" s="33"/>
      <c r="P15356" s="33"/>
      <c r="Q15356" s="31" t="str">
        <f t="shared" si="944"/>
        <v/>
      </c>
      <c r="R15356" s="32" t="str">
        <f>IFERROR(VLOOKUP($D15356,'Informations sur les produits'!$A$3:$B$15000,2,FALSE),"")</f>
        <v/>
      </c>
    </row>
    <row r="15357" spans="7:18" x14ac:dyDescent="0.25">
      <c r="G15357" s="33"/>
      <c r="O15357" s="33"/>
      <c r="P15357" s="33"/>
      <c r="Q15357" s="31" t="str">
        <f t="shared" si="944"/>
        <v/>
      </c>
      <c r="R15357" s="32" t="str">
        <f>IFERROR(VLOOKUP($D15357,'Informations sur les produits'!$A$3:$B$15000,2,FALSE),"")</f>
        <v/>
      </c>
    </row>
    <row r="15358" spans="7:18" x14ac:dyDescent="0.25">
      <c r="G15358" s="33"/>
      <c r="O15358" s="33"/>
      <c r="P15358" s="33"/>
      <c r="Q15358" s="31" t="str">
        <f t="shared" si="944"/>
        <v/>
      </c>
      <c r="R15358" s="32" t="str">
        <f>IFERROR(VLOOKUP($D15358,'Informations sur les produits'!$A$3:$B$15000,2,FALSE),"")</f>
        <v/>
      </c>
    </row>
    <row r="15359" spans="7:18" x14ac:dyDescent="0.25">
      <c r="G15359" s="33"/>
      <c r="O15359" s="33"/>
      <c r="P15359" s="33"/>
      <c r="Q15359" s="31" t="str">
        <f t="shared" si="944"/>
        <v/>
      </c>
      <c r="R15359" s="32" t="str">
        <f>IFERROR(VLOOKUP($D15359,'Informations sur les produits'!$A$3:$B$15000,2,FALSE),"")</f>
        <v/>
      </c>
    </row>
    <row r="15360" spans="7:18" x14ac:dyDescent="0.25">
      <c r="G15360" s="33"/>
      <c r="O15360" s="33"/>
      <c r="P15360" s="33"/>
      <c r="Q15360" s="31" t="str">
        <f t="shared" si="944"/>
        <v/>
      </c>
      <c r="R15360" s="32" t="str">
        <f>IFERROR(VLOOKUP($D15360,'Informations sur les produits'!$A$3:$B$15000,2,FALSE),"")</f>
        <v/>
      </c>
    </row>
    <row r="15361" spans="7:18" x14ac:dyDescent="0.25">
      <c r="G15361" s="33"/>
      <c r="O15361" s="33"/>
      <c r="P15361" s="33"/>
      <c r="Q15361" s="31" t="str">
        <f t="shared" si="944"/>
        <v/>
      </c>
      <c r="R15361" s="32" t="str">
        <f>IFERROR(VLOOKUP($D15361,'Informations sur les produits'!$A$3:$B$15000,2,FALSE),"")</f>
        <v/>
      </c>
    </row>
    <row r="15362" spans="7:18" x14ac:dyDescent="0.25">
      <c r="G15362" s="33"/>
      <c r="O15362" s="33"/>
      <c r="P15362" s="33"/>
      <c r="Q15362" s="31" t="str">
        <f t="shared" si="944"/>
        <v/>
      </c>
      <c r="R15362" s="32" t="str">
        <f>IFERROR(VLOOKUP($D15362,'Informations sur les produits'!$A$3:$B$15000,2,FALSE),"")</f>
        <v/>
      </c>
    </row>
    <row r="15363" spans="7:18" x14ac:dyDescent="0.25">
      <c r="G15363" s="33"/>
      <c r="O15363" s="33"/>
      <c r="P15363" s="33"/>
      <c r="Q15363" s="31" t="str">
        <f t="shared" si="944"/>
        <v/>
      </c>
      <c r="R15363" s="32" t="str">
        <f>IFERROR(VLOOKUP($D15363,'Informations sur les produits'!$A$3:$B$15000,2,FALSE),"")</f>
        <v/>
      </c>
    </row>
    <row r="15364" spans="7:18" x14ac:dyDescent="0.25">
      <c r="G15364" s="33"/>
      <c r="O15364" s="33"/>
      <c r="P15364" s="33"/>
      <c r="Q15364" s="31" t="str">
        <f t="shared" ref="Q15364:Q15427" si="945">IFERROR((((($E15364-$F15364)*$G15364+$K15364*$L15364+$N15364*$O15364)*1000)/(($E15364-$F15364)+$K15364+$N15364)),"")</f>
        <v/>
      </c>
      <c r="R15364" s="32" t="str">
        <f>IFERROR(VLOOKUP($D15364,'Informations sur les produits'!$A$3:$B$15000,2,FALSE),"")</f>
        <v/>
      </c>
    </row>
    <row r="15365" spans="7:18" x14ac:dyDescent="0.25">
      <c r="G15365" s="33"/>
      <c r="O15365" s="33"/>
      <c r="P15365" s="33"/>
      <c r="Q15365" s="31" t="str">
        <f t="shared" si="945"/>
        <v/>
      </c>
      <c r="R15365" s="32" t="str">
        <f>IFERROR(VLOOKUP($D15365,'Informations sur les produits'!$A$3:$B$15000,2,FALSE),"")</f>
        <v/>
      </c>
    </row>
    <row r="15366" spans="7:18" x14ac:dyDescent="0.25">
      <c r="G15366" s="33"/>
      <c r="O15366" s="33"/>
      <c r="P15366" s="33"/>
      <c r="Q15366" s="31" t="str">
        <f t="shared" si="945"/>
        <v/>
      </c>
      <c r="R15366" s="32" t="str">
        <f>IFERROR(VLOOKUP($D15366,'Informations sur les produits'!$A$3:$B$15000,2,FALSE),"")</f>
        <v/>
      </c>
    </row>
    <row r="15367" spans="7:18" x14ac:dyDescent="0.25">
      <c r="G15367" s="33"/>
      <c r="O15367" s="33"/>
      <c r="P15367" s="33"/>
      <c r="Q15367" s="31" t="str">
        <f t="shared" si="945"/>
        <v/>
      </c>
      <c r="R15367" s="32" t="str">
        <f>IFERROR(VLOOKUP($D15367,'Informations sur les produits'!$A$3:$B$15000,2,FALSE),"")</f>
        <v/>
      </c>
    </row>
    <row r="15368" spans="7:18" x14ac:dyDescent="0.25">
      <c r="G15368" s="33"/>
      <c r="O15368" s="33"/>
      <c r="P15368" s="33"/>
      <c r="Q15368" s="31" t="str">
        <f t="shared" si="945"/>
        <v/>
      </c>
      <c r="R15368" s="32" t="str">
        <f>IFERROR(VLOOKUP($D15368,'Informations sur les produits'!$A$3:$B$15000,2,FALSE),"")</f>
        <v/>
      </c>
    </row>
    <row r="15369" spans="7:18" x14ac:dyDescent="0.25">
      <c r="G15369" s="33"/>
      <c r="O15369" s="33"/>
      <c r="P15369" s="33"/>
      <c r="Q15369" s="31" t="str">
        <f t="shared" si="945"/>
        <v/>
      </c>
      <c r="R15369" s="32" t="str">
        <f>IFERROR(VLOOKUP($D15369,'Informations sur les produits'!$A$3:$B$15000,2,FALSE),"")</f>
        <v/>
      </c>
    </row>
    <row r="15370" spans="7:18" x14ac:dyDescent="0.25">
      <c r="G15370" s="33"/>
      <c r="O15370" s="33"/>
      <c r="P15370" s="33"/>
      <c r="Q15370" s="31" t="str">
        <f t="shared" si="945"/>
        <v/>
      </c>
      <c r="R15370" s="32" t="str">
        <f>IFERROR(VLOOKUP($D15370,'Informations sur les produits'!$A$3:$B$15000,2,FALSE),"")</f>
        <v/>
      </c>
    </row>
    <row r="15371" spans="7:18" x14ac:dyDescent="0.25">
      <c r="G15371" s="33"/>
      <c r="O15371" s="33"/>
      <c r="P15371" s="33"/>
      <c r="Q15371" s="31" t="str">
        <f t="shared" si="945"/>
        <v/>
      </c>
      <c r="R15371" s="32" t="str">
        <f>IFERROR(VLOOKUP($D15371,'Informations sur les produits'!$A$3:$B$15000,2,FALSE),"")</f>
        <v/>
      </c>
    </row>
    <row r="15372" spans="7:18" x14ac:dyDescent="0.25">
      <c r="G15372" s="33"/>
      <c r="O15372" s="33"/>
      <c r="P15372" s="33"/>
      <c r="Q15372" s="31" t="str">
        <f t="shared" si="945"/>
        <v/>
      </c>
      <c r="R15372" s="32" t="str">
        <f>IFERROR(VLOOKUP($D15372,'Informations sur les produits'!$A$3:$B$15000,2,FALSE),"")</f>
        <v/>
      </c>
    </row>
    <row r="15373" spans="7:18" x14ac:dyDescent="0.25">
      <c r="G15373" s="33"/>
      <c r="O15373" s="33"/>
      <c r="P15373" s="33"/>
      <c r="Q15373" s="31" t="str">
        <f t="shared" si="945"/>
        <v/>
      </c>
      <c r="R15373" s="32" t="str">
        <f>IFERROR(VLOOKUP($D15373,'Informations sur les produits'!$A$3:$B$15000,2,FALSE),"")</f>
        <v/>
      </c>
    </row>
    <row r="15374" spans="7:18" x14ac:dyDescent="0.25">
      <c r="G15374" s="33"/>
      <c r="O15374" s="33"/>
      <c r="P15374" s="33"/>
      <c r="Q15374" s="31" t="str">
        <f t="shared" si="945"/>
        <v/>
      </c>
      <c r="R15374" s="32" t="str">
        <f>IFERROR(VLOOKUP($D15374,'Informations sur les produits'!$A$3:$B$15000,2,FALSE),"")</f>
        <v/>
      </c>
    </row>
    <row r="15375" spans="7:18" x14ac:dyDescent="0.25">
      <c r="G15375" s="33"/>
      <c r="O15375" s="33"/>
      <c r="P15375" s="33"/>
      <c r="Q15375" s="31" t="str">
        <f t="shared" si="945"/>
        <v/>
      </c>
      <c r="R15375" s="32" t="str">
        <f>IFERROR(VLOOKUP($D15375,'Informations sur les produits'!$A$3:$B$15000,2,FALSE),"")</f>
        <v/>
      </c>
    </row>
    <row r="15376" spans="7:18" x14ac:dyDescent="0.25">
      <c r="G15376" s="33"/>
      <c r="O15376" s="33"/>
      <c r="P15376" s="33"/>
      <c r="Q15376" s="31" t="str">
        <f t="shared" si="945"/>
        <v/>
      </c>
      <c r="R15376" s="32" t="str">
        <f>IFERROR(VLOOKUP($D15376,'Informations sur les produits'!$A$3:$B$15000,2,FALSE),"")</f>
        <v/>
      </c>
    </row>
    <row r="15377" spans="7:18" x14ac:dyDescent="0.25">
      <c r="G15377" s="33"/>
      <c r="O15377" s="33"/>
      <c r="P15377" s="33"/>
      <c r="Q15377" s="31" t="str">
        <f t="shared" si="945"/>
        <v/>
      </c>
      <c r="R15377" s="32" t="str">
        <f>IFERROR(VLOOKUP($D15377,'Informations sur les produits'!$A$3:$B$15000,2,FALSE),"")</f>
        <v/>
      </c>
    </row>
    <row r="15378" spans="7:18" x14ac:dyDescent="0.25">
      <c r="G15378" s="33"/>
      <c r="O15378" s="33"/>
      <c r="P15378" s="33"/>
      <c r="Q15378" s="31" t="str">
        <f t="shared" si="945"/>
        <v/>
      </c>
      <c r="R15378" s="32" t="str">
        <f>IFERROR(VLOOKUP($D15378,'Informations sur les produits'!$A$3:$B$15000,2,FALSE),"")</f>
        <v/>
      </c>
    </row>
    <row r="15379" spans="7:18" x14ac:dyDescent="0.25">
      <c r="G15379" s="33"/>
      <c r="O15379" s="33"/>
      <c r="P15379" s="33"/>
      <c r="Q15379" s="31" t="str">
        <f t="shared" si="945"/>
        <v/>
      </c>
      <c r="R15379" s="32" t="str">
        <f>IFERROR(VLOOKUP($D15379,'Informations sur les produits'!$A$3:$B$15000,2,FALSE),"")</f>
        <v/>
      </c>
    </row>
    <row r="15380" spans="7:18" x14ac:dyDescent="0.25">
      <c r="G15380" s="33"/>
      <c r="O15380" s="33"/>
      <c r="P15380" s="33"/>
      <c r="Q15380" s="31" t="str">
        <f t="shared" si="945"/>
        <v/>
      </c>
      <c r="R15380" s="32" t="str">
        <f>IFERROR(VLOOKUP($D15380,'Informations sur les produits'!$A$3:$B$15000,2,FALSE),"")</f>
        <v/>
      </c>
    </row>
    <row r="15381" spans="7:18" x14ac:dyDescent="0.25">
      <c r="G15381" s="33"/>
      <c r="O15381" s="33"/>
      <c r="P15381" s="33"/>
      <c r="Q15381" s="31" t="str">
        <f t="shared" si="945"/>
        <v/>
      </c>
      <c r="R15381" s="32" t="str">
        <f>IFERROR(VLOOKUP($D15381,'Informations sur les produits'!$A$3:$B$15000,2,FALSE),"")</f>
        <v/>
      </c>
    </row>
    <row r="15382" spans="7:18" x14ac:dyDescent="0.25">
      <c r="G15382" s="33"/>
      <c r="O15382" s="33"/>
      <c r="P15382" s="33"/>
      <c r="Q15382" s="31" t="str">
        <f t="shared" si="945"/>
        <v/>
      </c>
      <c r="R15382" s="32" t="str">
        <f>IFERROR(VLOOKUP($D15382,'Informations sur les produits'!$A$3:$B$15000,2,FALSE),"")</f>
        <v/>
      </c>
    </row>
    <row r="15383" spans="7:18" x14ac:dyDescent="0.25">
      <c r="G15383" s="33"/>
      <c r="O15383" s="33"/>
      <c r="P15383" s="33"/>
      <c r="Q15383" s="31" t="str">
        <f t="shared" si="945"/>
        <v/>
      </c>
      <c r="R15383" s="32" t="str">
        <f>IFERROR(VLOOKUP($D15383,'Informations sur les produits'!$A$3:$B$15000,2,FALSE),"")</f>
        <v/>
      </c>
    </row>
    <row r="15384" spans="7:18" x14ac:dyDescent="0.25">
      <c r="G15384" s="33"/>
      <c r="O15384" s="33"/>
      <c r="P15384" s="33"/>
      <c r="Q15384" s="31" t="str">
        <f t="shared" si="945"/>
        <v/>
      </c>
      <c r="R15384" s="32" t="str">
        <f>IFERROR(VLOOKUP($D15384,'Informations sur les produits'!$A$3:$B$15000,2,FALSE),"")</f>
        <v/>
      </c>
    </row>
    <row r="15385" spans="7:18" x14ac:dyDescent="0.25">
      <c r="G15385" s="33"/>
      <c r="O15385" s="33"/>
      <c r="P15385" s="33"/>
      <c r="Q15385" s="31" t="str">
        <f t="shared" si="945"/>
        <v/>
      </c>
      <c r="R15385" s="32" t="str">
        <f>IFERROR(VLOOKUP($D15385,'Informations sur les produits'!$A$3:$B$15000,2,FALSE),"")</f>
        <v/>
      </c>
    </row>
    <row r="15386" spans="7:18" x14ac:dyDescent="0.25">
      <c r="G15386" s="33"/>
      <c r="O15386" s="33"/>
      <c r="P15386" s="33"/>
      <c r="Q15386" s="31" t="str">
        <f t="shared" si="945"/>
        <v/>
      </c>
      <c r="R15386" s="32" t="str">
        <f>IFERROR(VLOOKUP($D15386,'Informations sur les produits'!$A$3:$B$15000,2,FALSE),"")</f>
        <v/>
      </c>
    </row>
    <row r="15387" spans="7:18" x14ac:dyDescent="0.25">
      <c r="G15387" s="33"/>
      <c r="O15387" s="33"/>
      <c r="P15387" s="33"/>
      <c r="Q15387" s="31" t="str">
        <f t="shared" si="945"/>
        <v/>
      </c>
      <c r="R15387" s="32" t="str">
        <f>IFERROR(VLOOKUP($D15387,'Informations sur les produits'!$A$3:$B$15000,2,FALSE),"")</f>
        <v/>
      </c>
    </row>
    <row r="15388" spans="7:18" x14ac:dyDescent="0.25">
      <c r="G15388" s="33"/>
      <c r="O15388" s="33"/>
      <c r="P15388" s="33"/>
      <c r="Q15388" s="31" t="str">
        <f t="shared" si="945"/>
        <v/>
      </c>
      <c r="R15388" s="32" t="str">
        <f>IFERROR(VLOOKUP($D15388,'Informations sur les produits'!$A$3:$B$15000,2,FALSE),"")</f>
        <v/>
      </c>
    </row>
    <row r="15389" spans="7:18" x14ac:dyDescent="0.25">
      <c r="G15389" s="33"/>
      <c r="O15389" s="33"/>
      <c r="P15389" s="33"/>
      <c r="Q15389" s="31" t="str">
        <f t="shared" si="945"/>
        <v/>
      </c>
      <c r="R15389" s="32" t="str">
        <f>IFERROR(VLOOKUP($D15389,'Informations sur les produits'!$A$3:$B$15000,2,FALSE),"")</f>
        <v/>
      </c>
    </row>
    <row r="15390" spans="7:18" x14ac:dyDescent="0.25">
      <c r="G15390" s="33"/>
      <c r="O15390" s="33"/>
      <c r="P15390" s="33"/>
      <c r="Q15390" s="31" t="str">
        <f t="shared" si="945"/>
        <v/>
      </c>
      <c r="R15390" s="32" t="str">
        <f>IFERROR(VLOOKUP($D15390,'Informations sur les produits'!$A$3:$B$15000,2,FALSE),"")</f>
        <v/>
      </c>
    </row>
    <row r="15391" spans="7:18" x14ac:dyDescent="0.25">
      <c r="G15391" s="33"/>
      <c r="O15391" s="33"/>
      <c r="P15391" s="33"/>
      <c r="Q15391" s="31" t="str">
        <f t="shared" si="945"/>
        <v/>
      </c>
      <c r="R15391" s="32" t="str">
        <f>IFERROR(VLOOKUP($D15391,'Informations sur les produits'!$A$3:$B$15000,2,FALSE),"")</f>
        <v/>
      </c>
    </row>
    <row r="15392" spans="7:18" x14ac:dyDescent="0.25">
      <c r="G15392" s="33"/>
      <c r="O15392" s="33"/>
      <c r="P15392" s="33"/>
      <c r="Q15392" s="31" t="str">
        <f t="shared" si="945"/>
        <v/>
      </c>
      <c r="R15392" s="32" t="str">
        <f>IFERROR(VLOOKUP($D15392,'Informations sur les produits'!$A$3:$B$15000,2,FALSE),"")</f>
        <v/>
      </c>
    </row>
    <row r="15393" spans="7:18" x14ac:dyDescent="0.25">
      <c r="G15393" s="33"/>
      <c r="O15393" s="33"/>
      <c r="P15393" s="33"/>
      <c r="Q15393" s="31" t="str">
        <f t="shared" si="945"/>
        <v/>
      </c>
      <c r="R15393" s="32" t="str">
        <f>IFERROR(VLOOKUP($D15393,'Informations sur les produits'!$A$3:$B$15000,2,FALSE),"")</f>
        <v/>
      </c>
    </row>
    <row r="15394" spans="7:18" x14ac:dyDescent="0.25">
      <c r="G15394" s="33"/>
      <c r="O15394" s="33"/>
      <c r="P15394" s="33"/>
      <c r="Q15394" s="31" t="str">
        <f t="shared" si="945"/>
        <v/>
      </c>
      <c r="R15394" s="32" t="str">
        <f>IFERROR(VLOOKUP($D15394,'Informations sur les produits'!$A$3:$B$15000,2,FALSE),"")</f>
        <v/>
      </c>
    </row>
    <row r="15395" spans="7:18" x14ac:dyDescent="0.25">
      <c r="G15395" s="33"/>
      <c r="O15395" s="33"/>
      <c r="P15395" s="33"/>
      <c r="Q15395" s="31" t="str">
        <f t="shared" si="945"/>
        <v/>
      </c>
      <c r="R15395" s="32" t="str">
        <f>IFERROR(VLOOKUP($D15395,'Informations sur les produits'!$A$3:$B$15000,2,FALSE),"")</f>
        <v/>
      </c>
    </row>
    <row r="15396" spans="7:18" x14ac:dyDescent="0.25">
      <c r="G15396" s="33"/>
      <c r="O15396" s="33"/>
      <c r="P15396" s="33"/>
      <c r="Q15396" s="31" t="str">
        <f t="shared" si="945"/>
        <v/>
      </c>
      <c r="R15396" s="32" t="str">
        <f>IFERROR(VLOOKUP($D15396,'Informations sur les produits'!$A$3:$B$15000,2,FALSE),"")</f>
        <v/>
      </c>
    </row>
    <row r="15397" spans="7:18" x14ac:dyDescent="0.25">
      <c r="G15397" s="33"/>
      <c r="O15397" s="33"/>
      <c r="P15397" s="33"/>
      <c r="Q15397" s="31" t="str">
        <f t="shared" si="945"/>
        <v/>
      </c>
      <c r="R15397" s="32" t="str">
        <f>IFERROR(VLOOKUP($D15397,'Informations sur les produits'!$A$3:$B$15000,2,FALSE),"")</f>
        <v/>
      </c>
    </row>
    <row r="15398" spans="7:18" x14ac:dyDescent="0.25">
      <c r="G15398" s="33"/>
      <c r="O15398" s="33"/>
      <c r="P15398" s="33"/>
      <c r="Q15398" s="31" t="str">
        <f t="shared" si="945"/>
        <v/>
      </c>
      <c r="R15398" s="32" t="str">
        <f>IFERROR(VLOOKUP($D15398,'Informations sur les produits'!$A$3:$B$15000,2,FALSE),"")</f>
        <v/>
      </c>
    </row>
    <row r="15399" spans="7:18" x14ac:dyDescent="0.25">
      <c r="G15399" s="33"/>
      <c r="O15399" s="33"/>
      <c r="P15399" s="33"/>
      <c r="Q15399" s="31" t="str">
        <f t="shared" si="945"/>
        <v/>
      </c>
      <c r="R15399" s="32" t="str">
        <f>IFERROR(VLOOKUP($D15399,'Informations sur les produits'!$A$3:$B$15000,2,FALSE),"")</f>
        <v/>
      </c>
    </row>
    <row r="15400" spans="7:18" x14ac:dyDescent="0.25">
      <c r="G15400" s="33"/>
      <c r="O15400" s="33"/>
      <c r="P15400" s="33"/>
      <c r="Q15400" s="31" t="str">
        <f t="shared" si="945"/>
        <v/>
      </c>
      <c r="R15400" s="32" t="str">
        <f>IFERROR(VLOOKUP($D15400,'Informations sur les produits'!$A$3:$B$15000,2,FALSE),"")</f>
        <v/>
      </c>
    </row>
    <row r="15401" spans="7:18" x14ac:dyDescent="0.25">
      <c r="G15401" s="33"/>
      <c r="O15401" s="33"/>
      <c r="P15401" s="33"/>
      <c r="Q15401" s="31" t="str">
        <f t="shared" si="945"/>
        <v/>
      </c>
      <c r="R15401" s="32" t="str">
        <f>IFERROR(VLOOKUP($D15401,'Informations sur les produits'!$A$3:$B$15000,2,FALSE),"")</f>
        <v/>
      </c>
    </row>
    <row r="15402" spans="7:18" x14ac:dyDescent="0.25">
      <c r="G15402" s="33"/>
      <c r="O15402" s="33"/>
      <c r="P15402" s="33"/>
      <c r="Q15402" s="31" t="str">
        <f t="shared" si="945"/>
        <v/>
      </c>
      <c r="R15402" s="32" t="str">
        <f>IFERROR(VLOOKUP($D15402,'Informations sur les produits'!$A$3:$B$15000,2,FALSE),"")</f>
        <v/>
      </c>
    </row>
    <row r="15403" spans="7:18" x14ac:dyDescent="0.25">
      <c r="G15403" s="33"/>
      <c r="O15403" s="33"/>
      <c r="P15403" s="33"/>
      <c r="Q15403" s="31" t="str">
        <f t="shared" si="945"/>
        <v/>
      </c>
      <c r="R15403" s="32" t="str">
        <f>IFERROR(VLOOKUP($D15403,'Informations sur les produits'!$A$3:$B$15000,2,FALSE),"")</f>
        <v/>
      </c>
    </row>
    <row r="15404" spans="7:18" x14ac:dyDescent="0.25">
      <c r="G15404" s="33"/>
      <c r="O15404" s="33"/>
      <c r="P15404" s="33"/>
      <c r="Q15404" s="31" t="str">
        <f t="shared" si="945"/>
        <v/>
      </c>
      <c r="R15404" s="32" t="str">
        <f>IFERROR(VLOOKUP($D15404,'Informations sur les produits'!$A$3:$B$15000,2,FALSE),"")</f>
        <v/>
      </c>
    </row>
    <row r="15405" spans="7:18" x14ac:dyDescent="0.25">
      <c r="G15405" s="33"/>
      <c r="O15405" s="33"/>
      <c r="P15405" s="33"/>
      <c r="Q15405" s="31" t="str">
        <f t="shared" si="945"/>
        <v/>
      </c>
      <c r="R15405" s="32" t="str">
        <f>IFERROR(VLOOKUP($D15405,'Informations sur les produits'!$A$3:$B$15000,2,FALSE),"")</f>
        <v/>
      </c>
    </row>
    <row r="15406" spans="7:18" x14ac:dyDescent="0.25">
      <c r="G15406" s="33"/>
      <c r="O15406" s="33"/>
      <c r="P15406" s="33"/>
      <c r="Q15406" s="31" t="str">
        <f t="shared" si="945"/>
        <v/>
      </c>
      <c r="R15406" s="32" t="str">
        <f>IFERROR(VLOOKUP($D15406,'Informations sur les produits'!$A$3:$B$15000,2,FALSE),"")</f>
        <v/>
      </c>
    </row>
    <row r="15407" spans="7:18" x14ac:dyDescent="0.25">
      <c r="G15407" s="33"/>
      <c r="O15407" s="33"/>
      <c r="P15407" s="33"/>
      <c r="Q15407" s="31" t="str">
        <f t="shared" si="945"/>
        <v/>
      </c>
      <c r="R15407" s="32" t="str">
        <f>IFERROR(VLOOKUP($D15407,'Informations sur les produits'!$A$3:$B$15000,2,FALSE),"")</f>
        <v/>
      </c>
    </row>
    <row r="15408" spans="7:18" x14ac:dyDescent="0.25">
      <c r="G15408" s="33"/>
      <c r="O15408" s="33"/>
      <c r="P15408" s="33"/>
      <c r="Q15408" s="31" t="str">
        <f t="shared" si="945"/>
        <v/>
      </c>
      <c r="R15408" s="32" t="str">
        <f>IFERROR(VLOOKUP($D15408,'Informations sur les produits'!$A$3:$B$15000,2,FALSE),"")</f>
        <v/>
      </c>
    </row>
    <row r="15409" spans="7:18" x14ac:dyDescent="0.25">
      <c r="G15409" s="33"/>
      <c r="O15409" s="33"/>
      <c r="P15409" s="33"/>
      <c r="Q15409" s="31" t="str">
        <f t="shared" si="945"/>
        <v/>
      </c>
      <c r="R15409" s="32" t="str">
        <f>IFERROR(VLOOKUP($D15409,'Informations sur les produits'!$A$3:$B$15000,2,FALSE),"")</f>
        <v/>
      </c>
    </row>
    <row r="15410" spans="7:18" x14ac:dyDescent="0.25">
      <c r="G15410" s="33"/>
      <c r="O15410" s="33"/>
      <c r="P15410" s="33"/>
      <c r="Q15410" s="31" t="str">
        <f t="shared" si="945"/>
        <v/>
      </c>
      <c r="R15410" s="32" t="str">
        <f>IFERROR(VLOOKUP($D15410,'Informations sur les produits'!$A$3:$B$15000,2,FALSE),"")</f>
        <v/>
      </c>
    </row>
    <row r="15411" spans="7:18" x14ac:dyDescent="0.25">
      <c r="G15411" s="33"/>
      <c r="O15411" s="33"/>
      <c r="P15411" s="33"/>
      <c r="Q15411" s="31" t="str">
        <f t="shared" si="945"/>
        <v/>
      </c>
      <c r="R15411" s="32" t="str">
        <f>IFERROR(VLOOKUP($D15411,'Informations sur les produits'!$A$3:$B$15000,2,FALSE),"")</f>
        <v/>
      </c>
    </row>
    <row r="15412" spans="7:18" x14ac:dyDescent="0.25">
      <c r="G15412" s="33"/>
      <c r="O15412" s="33"/>
      <c r="P15412" s="33"/>
      <c r="Q15412" s="31" t="str">
        <f t="shared" si="945"/>
        <v/>
      </c>
      <c r="R15412" s="32" t="str">
        <f>IFERROR(VLOOKUP($D15412,'Informations sur les produits'!$A$3:$B$15000,2,FALSE),"")</f>
        <v/>
      </c>
    </row>
    <row r="15413" spans="7:18" x14ac:dyDescent="0.25">
      <c r="G15413" s="33"/>
      <c r="O15413" s="33"/>
      <c r="P15413" s="33"/>
      <c r="Q15413" s="31" t="str">
        <f t="shared" si="945"/>
        <v/>
      </c>
      <c r="R15413" s="32" t="str">
        <f>IFERROR(VLOOKUP($D15413,'Informations sur les produits'!$A$3:$B$15000,2,FALSE),"")</f>
        <v/>
      </c>
    </row>
    <row r="15414" spans="7:18" x14ac:dyDescent="0.25">
      <c r="G15414" s="33"/>
      <c r="O15414" s="33"/>
      <c r="P15414" s="33"/>
      <c r="Q15414" s="31" t="str">
        <f t="shared" si="945"/>
        <v/>
      </c>
      <c r="R15414" s="32" t="str">
        <f>IFERROR(VLOOKUP($D15414,'Informations sur les produits'!$A$3:$B$15000,2,FALSE),"")</f>
        <v/>
      </c>
    </row>
    <row r="15415" spans="7:18" x14ac:dyDescent="0.25">
      <c r="G15415" s="33"/>
      <c r="O15415" s="33"/>
      <c r="P15415" s="33"/>
      <c r="Q15415" s="31" t="str">
        <f t="shared" si="945"/>
        <v/>
      </c>
      <c r="R15415" s="32" t="str">
        <f>IFERROR(VLOOKUP($D15415,'Informations sur les produits'!$A$3:$B$15000,2,FALSE),"")</f>
        <v/>
      </c>
    </row>
    <row r="15416" spans="7:18" x14ac:dyDescent="0.25">
      <c r="G15416" s="33"/>
      <c r="O15416" s="33"/>
      <c r="P15416" s="33"/>
      <c r="Q15416" s="31" t="str">
        <f t="shared" si="945"/>
        <v/>
      </c>
      <c r="R15416" s="32" t="str">
        <f>IFERROR(VLOOKUP($D15416,'Informations sur les produits'!$A$3:$B$15000,2,FALSE),"")</f>
        <v/>
      </c>
    </row>
    <row r="15417" spans="7:18" x14ac:dyDescent="0.25">
      <c r="G15417" s="33"/>
      <c r="O15417" s="33"/>
      <c r="P15417" s="33"/>
      <c r="Q15417" s="31" t="str">
        <f t="shared" si="945"/>
        <v/>
      </c>
      <c r="R15417" s="32" t="str">
        <f>IFERROR(VLOOKUP($D15417,'Informations sur les produits'!$A$3:$B$15000,2,FALSE),"")</f>
        <v/>
      </c>
    </row>
    <row r="15418" spans="7:18" x14ac:dyDescent="0.25">
      <c r="G15418" s="33"/>
      <c r="O15418" s="33"/>
      <c r="P15418" s="33"/>
      <c r="Q15418" s="31" t="str">
        <f t="shared" si="945"/>
        <v/>
      </c>
      <c r="R15418" s="32" t="str">
        <f>IFERROR(VLOOKUP($D15418,'Informations sur les produits'!$A$3:$B$15000,2,FALSE),"")</f>
        <v/>
      </c>
    </row>
    <row r="15419" spans="7:18" x14ac:dyDescent="0.25">
      <c r="G15419" s="33"/>
      <c r="O15419" s="33"/>
      <c r="P15419" s="33"/>
      <c r="Q15419" s="31" t="str">
        <f t="shared" si="945"/>
        <v/>
      </c>
      <c r="R15419" s="32" t="str">
        <f>IFERROR(VLOOKUP($D15419,'Informations sur les produits'!$A$3:$B$15000,2,FALSE),"")</f>
        <v/>
      </c>
    </row>
    <row r="15420" spans="7:18" x14ac:dyDescent="0.25">
      <c r="G15420" s="33"/>
      <c r="O15420" s="33"/>
      <c r="P15420" s="33"/>
      <c r="Q15420" s="31" t="str">
        <f t="shared" si="945"/>
        <v/>
      </c>
      <c r="R15420" s="32" t="str">
        <f>IFERROR(VLOOKUP($D15420,'Informations sur les produits'!$A$3:$B$15000,2,FALSE),"")</f>
        <v/>
      </c>
    </row>
    <row r="15421" spans="7:18" x14ac:dyDescent="0.25">
      <c r="G15421" s="33"/>
      <c r="O15421" s="33"/>
      <c r="P15421" s="33"/>
      <c r="Q15421" s="31" t="str">
        <f t="shared" si="945"/>
        <v/>
      </c>
      <c r="R15421" s="32" t="str">
        <f>IFERROR(VLOOKUP($D15421,'Informations sur les produits'!$A$3:$B$15000,2,FALSE),"")</f>
        <v/>
      </c>
    </row>
    <row r="15422" spans="7:18" x14ac:dyDescent="0.25">
      <c r="G15422" s="33"/>
      <c r="O15422" s="33"/>
      <c r="P15422" s="33"/>
      <c r="Q15422" s="31" t="str">
        <f t="shared" si="945"/>
        <v/>
      </c>
      <c r="R15422" s="32" t="str">
        <f>IFERROR(VLOOKUP($D15422,'Informations sur les produits'!$A$3:$B$15000,2,FALSE),"")</f>
        <v/>
      </c>
    </row>
    <row r="15423" spans="7:18" x14ac:dyDescent="0.25">
      <c r="G15423" s="33"/>
      <c r="O15423" s="33"/>
      <c r="P15423" s="33"/>
      <c r="Q15423" s="31" t="str">
        <f t="shared" si="945"/>
        <v/>
      </c>
      <c r="R15423" s="32" t="str">
        <f>IFERROR(VLOOKUP($D15423,'Informations sur les produits'!$A$3:$B$15000,2,FALSE),"")</f>
        <v/>
      </c>
    </row>
    <row r="15424" spans="7:18" x14ac:dyDescent="0.25">
      <c r="G15424" s="33"/>
      <c r="O15424" s="33"/>
      <c r="P15424" s="33"/>
      <c r="Q15424" s="31" t="str">
        <f t="shared" si="945"/>
        <v/>
      </c>
      <c r="R15424" s="32" t="str">
        <f>IFERROR(VLOOKUP($D15424,'Informations sur les produits'!$A$3:$B$15000,2,FALSE),"")</f>
        <v/>
      </c>
    </row>
    <row r="15425" spans="7:18" x14ac:dyDescent="0.25">
      <c r="G15425" s="33"/>
      <c r="O15425" s="33"/>
      <c r="P15425" s="33"/>
      <c r="Q15425" s="31" t="str">
        <f t="shared" si="945"/>
        <v/>
      </c>
      <c r="R15425" s="32" t="str">
        <f>IFERROR(VLOOKUP($D15425,'Informations sur les produits'!$A$3:$B$15000,2,FALSE),"")</f>
        <v/>
      </c>
    </row>
    <row r="15426" spans="7:18" x14ac:dyDescent="0.25">
      <c r="G15426" s="33"/>
      <c r="O15426" s="33"/>
      <c r="P15426" s="33"/>
      <c r="Q15426" s="31" t="str">
        <f t="shared" si="945"/>
        <v/>
      </c>
      <c r="R15426" s="32" t="str">
        <f>IFERROR(VLOOKUP($D15426,'Informations sur les produits'!$A$3:$B$15000,2,FALSE),"")</f>
        <v/>
      </c>
    </row>
    <row r="15427" spans="7:18" x14ac:dyDescent="0.25">
      <c r="G15427" s="33"/>
      <c r="O15427" s="33"/>
      <c r="P15427" s="33"/>
      <c r="Q15427" s="31" t="str">
        <f t="shared" si="945"/>
        <v/>
      </c>
      <c r="R15427" s="32" t="str">
        <f>IFERROR(VLOOKUP($D15427,'Informations sur les produits'!$A$3:$B$15000,2,FALSE),"")</f>
        <v/>
      </c>
    </row>
    <row r="15428" spans="7:18" x14ac:dyDescent="0.25">
      <c r="G15428" s="33"/>
      <c r="O15428" s="33"/>
      <c r="P15428" s="33"/>
      <c r="Q15428" s="31" t="str">
        <f t="shared" ref="Q15428:Q15491" si="946">IFERROR((((($E15428-$F15428)*$G15428+$K15428*$L15428+$N15428*$O15428)*1000)/(($E15428-$F15428)+$K15428+$N15428)),"")</f>
        <v/>
      </c>
      <c r="R15428" s="32" t="str">
        <f>IFERROR(VLOOKUP($D15428,'Informations sur les produits'!$A$3:$B$15000,2,FALSE),"")</f>
        <v/>
      </c>
    </row>
    <row r="15429" spans="7:18" x14ac:dyDescent="0.25">
      <c r="G15429" s="33"/>
      <c r="O15429" s="33"/>
      <c r="P15429" s="33"/>
      <c r="Q15429" s="31" t="str">
        <f t="shared" si="946"/>
        <v/>
      </c>
      <c r="R15429" s="32" t="str">
        <f>IFERROR(VLOOKUP($D15429,'Informations sur les produits'!$A$3:$B$15000,2,FALSE),"")</f>
        <v/>
      </c>
    </row>
    <row r="15430" spans="7:18" x14ac:dyDescent="0.25">
      <c r="G15430" s="33"/>
      <c r="O15430" s="33"/>
      <c r="P15430" s="33"/>
      <c r="Q15430" s="31" t="str">
        <f t="shared" si="946"/>
        <v/>
      </c>
      <c r="R15430" s="32" t="str">
        <f>IFERROR(VLOOKUP($D15430,'Informations sur les produits'!$A$3:$B$15000,2,FALSE),"")</f>
        <v/>
      </c>
    </row>
    <row r="15431" spans="7:18" x14ac:dyDescent="0.25">
      <c r="G15431" s="33"/>
      <c r="O15431" s="33"/>
      <c r="P15431" s="33"/>
      <c r="Q15431" s="31" t="str">
        <f t="shared" si="946"/>
        <v/>
      </c>
      <c r="R15431" s="32" t="str">
        <f>IFERROR(VLOOKUP($D15431,'Informations sur les produits'!$A$3:$B$15000,2,FALSE),"")</f>
        <v/>
      </c>
    </row>
    <row r="15432" spans="7:18" x14ac:dyDescent="0.25">
      <c r="G15432" s="33"/>
      <c r="O15432" s="33"/>
      <c r="P15432" s="33"/>
      <c r="Q15432" s="31" t="str">
        <f t="shared" si="946"/>
        <v/>
      </c>
      <c r="R15432" s="32" t="str">
        <f>IFERROR(VLOOKUP($D15432,'Informations sur les produits'!$A$3:$B$15000,2,FALSE),"")</f>
        <v/>
      </c>
    </row>
    <row r="15433" spans="7:18" x14ac:dyDescent="0.25">
      <c r="G15433" s="33"/>
      <c r="O15433" s="33"/>
      <c r="P15433" s="33"/>
      <c r="Q15433" s="31" t="str">
        <f t="shared" si="946"/>
        <v/>
      </c>
      <c r="R15433" s="32" t="str">
        <f>IFERROR(VLOOKUP($D15433,'Informations sur les produits'!$A$3:$B$15000,2,FALSE),"")</f>
        <v/>
      </c>
    </row>
    <row r="15434" spans="7:18" x14ac:dyDescent="0.25">
      <c r="G15434" s="33"/>
      <c r="O15434" s="33"/>
      <c r="P15434" s="33"/>
      <c r="Q15434" s="31" t="str">
        <f t="shared" si="946"/>
        <v/>
      </c>
      <c r="R15434" s="32" t="str">
        <f>IFERROR(VLOOKUP($D15434,'Informations sur les produits'!$A$3:$B$15000,2,FALSE),"")</f>
        <v/>
      </c>
    </row>
    <row r="15435" spans="7:18" x14ac:dyDescent="0.25">
      <c r="G15435" s="33"/>
      <c r="O15435" s="33"/>
      <c r="P15435" s="33"/>
      <c r="Q15435" s="31" t="str">
        <f t="shared" si="946"/>
        <v/>
      </c>
      <c r="R15435" s="32" t="str">
        <f>IFERROR(VLOOKUP($D15435,'Informations sur les produits'!$A$3:$B$15000,2,FALSE),"")</f>
        <v/>
      </c>
    </row>
    <row r="15436" spans="7:18" x14ac:dyDescent="0.25">
      <c r="G15436" s="33"/>
      <c r="O15436" s="33"/>
      <c r="P15436" s="33"/>
      <c r="Q15436" s="31" t="str">
        <f t="shared" si="946"/>
        <v/>
      </c>
      <c r="R15436" s="32" t="str">
        <f>IFERROR(VLOOKUP($D15436,'Informations sur les produits'!$A$3:$B$15000,2,FALSE),"")</f>
        <v/>
      </c>
    </row>
    <row r="15437" spans="7:18" x14ac:dyDescent="0.25">
      <c r="G15437" s="33"/>
      <c r="O15437" s="33"/>
      <c r="P15437" s="33"/>
      <c r="Q15437" s="31" t="str">
        <f t="shared" si="946"/>
        <v/>
      </c>
      <c r="R15437" s="32" t="str">
        <f>IFERROR(VLOOKUP($D15437,'Informations sur les produits'!$A$3:$B$15000,2,FALSE),"")</f>
        <v/>
      </c>
    </row>
    <row r="15438" spans="7:18" x14ac:dyDescent="0.25">
      <c r="G15438" s="33"/>
      <c r="O15438" s="33"/>
      <c r="P15438" s="33"/>
      <c r="Q15438" s="31" t="str">
        <f t="shared" si="946"/>
        <v/>
      </c>
      <c r="R15438" s="32" t="str">
        <f>IFERROR(VLOOKUP($D15438,'Informations sur les produits'!$A$3:$B$15000,2,FALSE),"")</f>
        <v/>
      </c>
    </row>
    <row r="15439" spans="7:18" x14ac:dyDescent="0.25">
      <c r="G15439" s="33"/>
      <c r="O15439" s="33"/>
      <c r="P15439" s="33"/>
      <c r="Q15439" s="31" t="str">
        <f t="shared" si="946"/>
        <v/>
      </c>
      <c r="R15439" s="32" t="str">
        <f>IFERROR(VLOOKUP($D15439,'Informations sur les produits'!$A$3:$B$15000,2,FALSE),"")</f>
        <v/>
      </c>
    </row>
    <row r="15440" spans="7:18" x14ac:dyDescent="0.25">
      <c r="G15440" s="33"/>
      <c r="O15440" s="33"/>
      <c r="P15440" s="33"/>
      <c r="Q15440" s="31" t="str">
        <f t="shared" si="946"/>
        <v/>
      </c>
      <c r="R15440" s="32" t="str">
        <f>IFERROR(VLOOKUP($D15440,'Informations sur les produits'!$A$3:$B$15000,2,FALSE),"")</f>
        <v/>
      </c>
    </row>
    <row r="15441" spans="7:18" x14ac:dyDescent="0.25">
      <c r="G15441" s="33"/>
      <c r="O15441" s="33"/>
      <c r="P15441" s="33"/>
      <c r="Q15441" s="31" t="str">
        <f t="shared" si="946"/>
        <v/>
      </c>
      <c r="R15441" s="32" t="str">
        <f>IFERROR(VLOOKUP($D15441,'Informations sur les produits'!$A$3:$B$15000,2,FALSE),"")</f>
        <v/>
      </c>
    </row>
    <row r="15442" spans="7:18" x14ac:dyDescent="0.25">
      <c r="G15442" s="33"/>
      <c r="O15442" s="33"/>
      <c r="P15442" s="33"/>
      <c r="Q15442" s="31" t="str">
        <f t="shared" si="946"/>
        <v/>
      </c>
      <c r="R15442" s="32" t="str">
        <f>IFERROR(VLOOKUP($D15442,'Informations sur les produits'!$A$3:$B$15000,2,FALSE),"")</f>
        <v/>
      </c>
    </row>
    <row r="15443" spans="7:18" x14ac:dyDescent="0.25">
      <c r="G15443" s="33"/>
      <c r="O15443" s="33"/>
      <c r="P15443" s="33"/>
      <c r="Q15443" s="31" t="str">
        <f t="shared" si="946"/>
        <v/>
      </c>
      <c r="R15443" s="32" t="str">
        <f>IFERROR(VLOOKUP($D15443,'Informations sur les produits'!$A$3:$B$15000,2,FALSE),"")</f>
        <v/>
      </c>
    </row>
    <row r="15444" spans="7:18" x14ac:dyDescent="0.25">
      <c r="G15444" s="33"/>
      <c r="O15444" s="33"/>
      <c r="P15444" s="33"/>
      <c r="Q15444" s="31" t="str">
        <f t="shared" si="946"/>
        <v/>
      </c>
      <c r="R15444" s="32" t="str">
        <f>IFERROR(VLOOKUP($D15444,'Informations sur les produits'!$A$3:$B$15000,2,FALSE),"")</f>
        <v/>
      </c>
    </row>
    <row r="15445" spans="7:18" x14ac:dyDescent="0.25">
      <c r="G15445" s="33"/>
      <c r="O15445" s="33"/>
      <c r="P15445" s="33"/>
      <c r="Q15445" s="31" t="str">
        <f t="shared" si="946"/>
        <v/>
      </c>
      <c r="R15445" s="32" t="str">
        <f>IFERROR(VLOOKUP($D15445,'Informations sur les produits'!$A$3:$B$15000,2,FALSE),"")</f>
        <v/>
      </c>
    </row>
    <row r="15446" spans="7:18" x14ac:dyDescent="0.25">
      <c r="G15446" s="33"/>
      <c r="O15446" s="33"/>
      <c r="P15446" s="33"/>
      <c r="Q15446" s="31" t="str">
        <f t="shared" si="946"/>
        <v/>
      </c>
      <c r="R15446" s="32" t="str">
        <f>IFERROR(VLOOKUP($D15446,'Informations sur les produits'!$A$3:$B$15000,2,FALSE),"")</f>
        <v/>
      </c>
    </row>
    <row r="15447" spans="7:18" x14ac:dyDescent="0.25">
      <c r="G15447" s="33"/>
      <c r="O15447" s="33"/>
      <c r="P15447" s="33"/>
      <c r="Q15447" s="31" t="str">
        <f t="shared" si="946"/>
        <v/>
      </c>
      <c r="R15447" s="32" t="str">
        <f>IFERROR(VLOOKUP($D15447,'Informations sur les produits'!$A$3:$B$15000,2,FALSE),"")</f>
        <v/>
      </c>
    </row>
    <row r="15448" spans="7:18" x14ac:dyDescent="0.25">
      <c r="G15448" s="33"/>
      <c r="O15448" s="33"/>
      <c r="P15448" s="33"/>
      <c r="Q15448" s="31" t="str">
        <f t="shared" si="946"/>
        <v/>
      </c>
      <c r="R15448" s="32" t="str">
        <f>IFERROR(VLOOKUP($D15448,'Informations sur les produits'!$A$3:$B$15000,2,FALSE),"")</f>
        <v/>
      </c>
    </row>
    <row r="15449" spans="7:18" x14ac:dyDescent="0.25">
      <c r="G15449" s="33"/>
      <c r="O15449" s="33"/>
      <c r="P15449" s="33"/>
      <c r="Q15449" s="31" t="str">
        <f t="shared" si="946"/>
        <v/>
      </c>
      <c r="R15449" s="32" t="str">
        <f>IFERROR(VLOOKUP($D15449,'Informations sur les produits'!$A$3:$B$15000,2,FALSE),"")</f>
        <v/>
      </c>
    </row>
    <row r="15450" spans="7:18" x14ac:dyDescent="0.25">
      <c r="G15450" s="33"/>
      <c r="O15450" s="33"/>
      <c r="P15450" s="33"/>
      <c r="Q15450" s="31" t="str">
        <f t="shared" si="946"/>
        <v/>
      </c>
      <c r="R15450" s="32" t="str">
        <f>IFERROR(VLOOKUP($D15450,'Informations sur les produits'!$A$3:$B$15000,2,FALSE),"")</f>
        <v/>
      </c>
    </row>
    <row r="15451" spans="7:18" x14ac:dyDescent="0.25">
      <c r="G15451" s="33"/>
      <c r="O15451" s="33"/>
      <c r="P15451" s="33"/>
      <c r="Q15451" s="31" t="str">
        <f t="shared" si="946"/>
        <v/>
      </c>
      <c r="R15451" s="32" t="str">
        <f>IFERROR(VLOOKUP($D15451,'Informations sur les produits'!$A$3:$B$15000,2,FALSE),"")</f>
        <v/>
      </c>
    </row>
    <row r="15452" spans="7:18" x14ac:dyDescent="0.25">
      <c r="G15452" s="33"/>
      <c r="O15452" s="33"/>
      <c r="P15452" s="33"/>
      <c r="Q15452" s="31" t="str">
        <f t="shared" si="946"/>
        <v/>
      </c>
      <c r="R15452" s="32" t="str">
        <f>IFERROR(VLOOKUP($D15452,'Informations sur les produits'!$A$3:$B$15000,2,FALSE),"")</f>
        <v/>
      </c>
    </row>
    <row r="15453" spans="7:18" x14ac:dyDescent="0.25">
      <c r="G15453" s="33"/>
      <c r="O15453" s="33"/>
      <c r="P15453" s="33"/>
      <c r="Q15453" s="31" t="str">
        <f t="shared" si="946"/>
        <v/>
      </c>
      <c r="R15453" s="32" t="str">
        <f>IFERROR(VLOOKUP($D15453,'Informations sur les produits'!$A$3:$B$15000,2,FALSE),"")</f>
        <v/>
      </c>
    </row>
    <row r="15454" spans="7:18" x14ac:dyDescent="0.25">
      <c r="G15454" s="33"/>
      <c r="O15454" s="33"/>
      <c r="P15454" s="33"/>
      <c r="Q15454" s="31" t="str">
        <f t="shared" si="946"/>
        <v/>
      </c>
      <c r="R15454" s="32" t="str">
        <f>IFERROR(VLOOKUP($D15454,'Informations sur les produits'!$A$3:$B$15000,2,FALSE),"")</f>
        <v/>
      </c>
    </row>
    <row r="15455" spans="7:18" x14ac:dyDescent="0.25">
      <c r="G15455" s="33"/>
      <c r="O15455" s="33"/>
      <c r="P15455" s="33"/>
      <c r="Q15455" s="31" t="str">
        <f t="shared" si="946"/>
        <v/>
      </c>
      <c r="R15455" s="32" t="str">
        <f>IFERROR(VLOOKUP($D15455,'Informations sur les produits'!$A$3:$B$15000,2,FALSE),"")</f>
        <v/>
      </c>
    </row>
    <row r="15456" spans="7:18" x14ac:dyDescent="0.25">
      <c r="G15456" s="33"/>
      <c r="O15456" s="33"/>
      <c r="P15456" s="33"/>
      <c r="Q15456" s="31" t="str">
        <f t="shared" si="946"/>
        <v/>
      </c>
      <c r="R15456" s="32" t="str">
        <f>IFERROR(VLOOKUP($D15456,'Informations sur les produits'!$A$3:$B$15000,2,FALSE),"")</f>
        <v/>
      </c>
    </row>
    <row r="15457" spans="7:18" x14ac:dyDescent="0.25">
      <c r="G15457" s="33"/>
      <c r="O15457" s="33"/>
      <c r="P15457" s="33"/>
      <c r="Q15457" s="31" t="str">
        <f t="shared" si="946"/>
        <v/>
      </c>
      <c r="R15457" s="32" t="str">
        <f>IFERROR(VLOOKUP($D15457,'Informations sur les produits'!$A$3:$B$15000,2,FALSE),"")</f>
        <v/>
      </c>
    </row>
    <row r="15458" spans="7:18" x14ac:dyDescent="0.25">
      <c r="G15458" s="33"/>
      <c r="O15458" s="33"/>
      <c r="P15458" s="33"/>
      <c r="Q15458" s="31" t="str">
        <f t="shared" si="946"/>
        <v/>
      </c>
      <c r="R15458" s="32" t="str">
        <f>IFERROR(VLOOKUP($D15458,'Informations sur les produits'!$A$3:$B$15000,2,FALSE),"")</f>
        <v/>
      </c>
    </row>
    <row r="15459" spans="7:18" x14ac:dyDescent="0.25">
      <c r="G15459" s="33"/>
      <c r="O15459" s="33"/>
      <c r="P15459" s="33"/>
      <c r="Q15459" s="31" t="str">
        <f t="shared" si="946"/>
        <v/>
      </c>
      <c r="R15459" s="32" t="str">
        <f>IFERROR(VLOOKUP($D15459,'Informations sur les produits'!$A$3:$B$15000,2,FALSE),"")</f>
        <v/>
      </c>
    </row>
    <row r="15460" spans="7:18" x14ac:dyDescent="0.25">
      <c r="G15460" s="33"/>
      <c r="O15460" s="33"/>
      <c r="P15460" s="33"/>
      <c r="Q15460" s="31" t="str">
        <f t="shared" si="946"/>
        <v/>
      </c>
      <c r="R15460" s="32" t="str">
        <f>IFERROR(VLOOKUP($D15460,'Informations sur les produits'!$A$3:$B$15000,2,FALSE),"")</f>
        <v/>
      </c>
    </row>
    <row r="15461" spans="7:18" x14ac:dyDescent="0.25">
      <c r="G15461" s="33"/>
      <c r="O15461" s="33"/>
      <c r="P15461" s="33"/>
      <c r="Q15461" s="31" t="str">
        <f t="shared" si="946"/>
        <v/>
      </c>
      <c r="R15461" s="32" t="str">
        <f>IFERROR(VLOOKUP($D15461,'Informations sur les produits'!$A$3:$B$15000,2,FALSE),"")</f>
        <v/>
      </c>
    </row>
    <row r="15462" spans="7:18" x14ac:dyDescent="0.25">
      <c r="G15462" s="33"/>
      <c r="O15462" s="33"/>
      <c r="P15462" s="33"/>
      <c r="Q15462" s="31" t="str">
        <f t="shared" si="946"/>
        <v/>
      </c>
      <c r="R15462" s="32" t="str">
        <f>IFERROR(VLOOKUP($D15462,'Informations sur les produits'!$A$3:$B$15000,2,FALSE),"")</f>
        <v/>
      </c>
    </row>
    <row r="15463" spans="7:18" x14ac:dyDescent="0.25">
      <c r="G15463" s="33"/>
      <c r="O15463" s="33"/>
      <c r="P15463" s="33"/>
      <c r="Q15463" s="31" t="str">
        <f t="shared" si="946"/>
        <v/>
      </c>
      <c r="R15463" s="32" t="str">
        <f>IFERROR(VLOOKUP($D15463,'Informations sur les produits'!$A$3:$B$15000,2,FALSE),"")</f>
        <v/>
      </c>
    </row>
    <row r="15464" spans="7:18" x14ac:dyDescent="0.25">
      <c r="G15464" s="33"/>
      <c r="O15464" s="33"/>
      <c r="P15464" s="33"/>
      <c r="Q15464" s="31" t="str">
        <f t="shared" si="946"/>
        <v/>
      </c>
      <c r="R15464" s="32" t="str">
        <f>IFERROR(VLOOKUP($D15464,'Informations sur les produits'!$A$3:$B$15000,2,FALSE),"")</f>
        <v/>
      </c>
    </row>
    <row r="15465" spans="7:18" x14ac:dyDescent="0.25">
      <c r="G15465" s="33"/>
      <c r="O15465" s="33"/>
      <c r="P15465" s="33"/>
      <c r="Q15465" s="31" t="str">
        <f t="shared" si="946"/>
        <v/>
      </c>
      <c r="R15465" s="32" t="str">
        <f>IFERROR(VLOOKUP($D15465,'Informations sur les produits'!$A$3:$B$15000,2,FALSE),"")</f>
        <v/>
      </c>
    </row>
    <row r="15466" spans="7:18" x14ac:dyDescent="0.25">
      <c r="G15466" s="33"/>
      <c r="O15466" s="33"/>
      <c r="P15466" s="33"/>
      <c r="Q15466" s="31" t="str">
        <f t="shared" si="946"/>
        <v/>
      </c>
      <c r="R15466" s="32" t="str">
        <f>IFERROR(VLOOKUP($D15466,'Informations sur les produits'!$A$3:$B$15000,2,FALSE),"")</f>
        <v/>
      </c>
    </row>
    <row r="15467" spans="7:18" x14ac:dyDescent="0.25">
      <c r="G15467" s="33"/>
      <c r="O15467" s="33"/>
      <c r="P15467" s="33"/>
      <c r="Q15467" s="31" t="str">
        <f t="shared" si="946"/>
        <v/>
      </c>
      <c r="R15467" s="32" t="str">
        <f>IFERROR(VLOOKUP($D15467,'Informations sur les produits'!$A$3:$B$15000,2,FALSE),"")</f>
        <v/>
      </c>
    </row>
    <row r="15468" spans="7:18" x14ac:dyDescent="0.25">
      <c r="G15468" s="33"/>
      <c r="O15468" s="33"/>
      <c r="P15468" s="33"/>
      <c r="Q15468" s="31" t="str">
        <f t="shared" si="946"/>
        <v/>
      </c>
      <c r="R15468" s="32" t="str">
        <f>IFERROR(VLOOKUP($D15468,'Informations sur les produits'!$A$3:$B$15000,2,FALSE),"")</f>
        <v/>
      </c>
    </row>
    <row r="15469" spans="7:18" x14ac:dyDescent="0.25">
      <c r="G15469" s="33"/>
      <c r="O15469" s="33"/>
      <c r="P15469" s="33"/>
      <c r="Q15469" s="31" t="str">
        <f t="shared" si="946"/>
        <v/>
      </c>
      <c r="R15469" s="32" t="str">
        <f>IFERROR(VLOOKUP($D15469,'Informations sur les produits'!$A$3:$B$15000,2,FALSE),"")</f>
        <v/>
      </c>
    </row>
    <row r="15470" spans="7:18" x14ac:dyDescent="0.25">
      <c r="G15470" s="33"/>
      <c r="O15470" s="33"/>
      <c r="P15470" s="33"/>
      <c r="Q15470" s="31" t="str">
        <f t="shared" si="946"/>
        <v/>
      </c>
      <c r="R15470" s="32" t="str">
        <f>IFERROR(VLOOKUP($D15470,'Informations sur les produits'!$A$3:$B$15000,2,FALSE),"")</f>
        <v/>
      </c>
    </row>
    <row r="15471" spans="7:18" x14ac:dyDescent="0.25">
      <c r="G15471" s="33"/>
      <c r="O15471" s="33"/>
      <c r="P15471" s="33"/>
      <c r="Q15471" s="31" t="str">
        <f t="shared" si="946"/>
        <v/>
      </c>
      <c r="R15471" s="32" t="str">
        <f>IFERROR(VLOOKUP($D15471,'Informations sur les produits'!$A$3:$B$15000,2,FALSE),"")</f>
        <v/>
      </c>
    </row>
    <row r="15472" spans="7:18" x14ac:dyDescent="0.25">
      <c r="G15472" s="33"/>
      <c r="O15472" s="33"/>
      <c r="P15472" s="33"/>
      <c r="Q15472" s="31" t="str">
        <f t="shared" si="946"/>
        <v/>
      </c>
      <c r="R15472" s="32" t="str">
        <f>IFERROR(VLOOKUP($D15472,'Informations sur les produits'!$A$3:$B$15000,2,FALSE),"")</f>
        <v/>
      </c>
    </row>
    <row r="15473" spans="7:18" x14ac:dyDescent="0.25">
      <c r="G15473" s="33"/>
      <c r="O15473" s="33"/>
      <c r="P15473" s="33"/>
      <c r="Q15473" s="31" t="str">
        <f t="shared" si="946"/>
        <v/>
      </c>
      <c r="R15473" s="32" t="str">
        <f>IFERROR(VLOOKUP($D15473,'Informations sur les produits'!$A$3:$B$15000,2,FALSE),"")</f>
        <v/>
      </c>
    </row>
    <row r="15474" spans="7:18" x14ac:dyDescent="0.25">
      <c r="G15474" s="33"/>
      <c r="O15474" s="33"/>
      <c r="P15474" s="33"/>
      <c r="Q15474" s="31" t="str">
        <f t="shared" si="946"/>
        <v/>
      </c>
      <c r="R15474" s="32" t="str">
        <f>IFERROR(VLOOKUP($D15474,'Informations sur les produits'!$A$3:$B$15000,2,FALSE),"")</f>
        <v/>
      </c>
    </row>
    <row r="15475" spans="7:18" x14ac:dyDescent="0.25">
      <c r="G15475" s="33"/>
      <c r="O15475" s="33"/>
      <c r="P15475" s="33"/>
      <c r="Q15475" s="31" t="str">
        <f t="shared" si="946"/>
        <v/>
      </c>
      <c r="R15475" s="32" t="str">
        <f>IFERROR(VLOOKUP($D15475,'Informations sur les produits'!$A$3:$B$15000,2,FALSE),"")</f>
        <v/>
      </c>
    </row>
    <row r="15476" spans="7:18" x14ac:dyDescent="0.25">
      <c r="G15476" s="33"/>
      <c r="O15476" s="33"/>
      <c r="P15476" s="33"/>
      <c r="Q15476" s="31" t="str">
        <f t="shared" si="946"/>
        <v/>
      </c>
      <c r="R15476" s="32" t="str">
        <f>IFERROR(VLOOKUP($D15476,'Informations sur les produits'!$A$3:$B$15000,2,FALSE),"")</f>
        <v/>
      </c>
    </row>
    <row r="15477" spans="7:18" x14ac:dyDescent="0.25">
      <c r="G15477" s="33"/>
      <c r="O15477" s="33"/>
      <c r="P15477" s="33"/>
      <c r="Q15477" s="31" t="str">
        <f t="shared" si="946"/>
        <v/>
      </c>
      <c r="R15477" s="32" t="str">
        <f>IFERROR(VLOOKUP($D15477,'Informations sur les produits'!$A$3:$B$15000,2,FALSE),"")</f>
        <v/>
      </c>
    </row>
    <row r="15478" spans="7:18" x14ac:dyDescent="0.25">
      <c r="G15478" s="33"/>
      <c r="O15478" s="33"/>
      <c r="P15478" s="33"/>
      <c r="Q15478" s="31" t="str">
        <f t="shared" si="946"/>
        <v/>
      </c>
      <c r="R15478" s="32" t="str">
        <f>IFERROR(VLOOKUP($D15478,'Informations sur les produits'!$A$3:$B$15000,2,FALSE),"")</f>
        <v/>
      </c>
    </row>
    <row r="15479" spans="7:18" x14ac:dyDescent="0.25">
      <c r="G15479" s="33"/>
      <c r="O15479" s="33"/>
      <c r="P15479" s="33"/>
      <c r="Q15479" s="31" t="str">
        <f t="shared" si="946"/>
        <v/>
      </c>
      <c r="R15479" s="32" t="str">
        <f>IFERROR(VLOOKUP($D15479,'Informations sur les produits'!$A$3:$B$15000,2,FALSE),"")</f>
        <v/>
      </c>
    </row>
    <row r="15480" spans="7:18" x14ac:dyDescent="0.25">
      <c r="G15480" s="33"/>
      <c r="O15480" s="33"/>
      <c r="P15480" s="33"/>
      <c r="Q15480" s="31" t="str">
        <f t="shared" si="946"/>
        <v/>
      </c>
      <c r="R15480" s="32" t="str">
        <f>IFERROR(VLOOKUP($D15480,'Informations sur les produits'!$A$3:$B$15000,2,FALSE),"")</f>
        <v/>
      </c>
    </row>
    <row r="15481" spans="7:18" x14ac:dyDescent="0.25">
      <c r="G15481" s="33"/>
      <c r="O15481" s="33"/>
      <c r="P15481" s="33"/>
      <c r="Q15481" s="31" t="str">
        <f t="shared" si="946"/>
        <v/>
      </c>
      <c r="R15481" s="32" t="str">
        <f>IFERROR(VLOOKUP($D15481,'Informations sur les produits'!$A$3:$B$15000,2,FALSE),"")</f>
        <v/>
      </c>
    </row>
    <row r="15482" spans="7:18" x14ac:dyDescent="0.25">
      <c r="G15482" s="33"/>
      <c r="O15482" s="33"/>
      <c r="P15482" s="33"/>
      <c r="Q15482" s="31" t="str">
        <f t="shared" si="946"/>
        <v/>
      </c>
      <c r="R15482" s="32" t="str">
        <f>IFERROR(VLOOKUP($D15482,'Informations sur les produits'!$A$3:$B$15000,2,FALSE),"")</f>
        <v/>
      </c>
    </row>
    <row r="15483" spans="7:18" x14ac:dyDescent="0.25">
      <c r="G15483" s="33"/>
      <c r="O15483" s="33"/>
      <c r="P15483" s="33"/>
      <c r="Q15483" s="31" t="str">
        <f t="shared" si="946"/>
        <v/>
      </c>
      <c r="R15483" s="32" t="str">
        <f>IFERROR(VLOOKUP($D15483,'Informations sur les produits'!$A$3:$B$15000,2,FALSE),"")</f>
        <v/>
      </c>
    </row>
    <row r="15484" spans="7:18" x14ac:dyDescent="0.25">
      <c r="G15484" s="33"/>
      <c r="O15484" s="33"/>
      <c r="P15484" s="33"/>
      <c r="Q15484" s="31" t="str">
        <f t="shared" si="946"/>
        <v/>
      </c>
      <c r="R15484" s="32" t="str">
        <f>IFERROR(VLOOKUP($D15484,'Informations sur les produits'!$A$3:$B$15000,2,FALSE),"")</f>
        <v/>
      </c>
    </row>
    <row r="15485" spans="7:18" x14ac:dyDescent="0.25">
      <c r="G15485" s="33"/>
      <c r="O15485" s="33"/>
      <c r="P15485" s="33"/>
      <c r="Q15485" s="31" t="str">
        <f t="shared" si="946"/>
        <v/>
      </c>
      <c r="R15485" s="32" t="str">
        <f>IFERROR(VLOOKUP($D15485,'Informations sur les produits'!$A$3:$B$15000,2,FALSE),"")</f>
        <v/>
      </c>
    </row>
    <row r="15486" spans="7:18" x14ac:dyDescent="0.25">
      <c r="G15486" s="33"/>
      <c r="O15486" s="33"/>
      <c r="P15486" s="33"/>
      <c r="Q15486" s="31" t="str">
        <f t="shared" si="946"/>
        <v/>
      </c>
      <c r="R15486" s="32" t="str">
        <f>IFERROR(VLOOKUP($D15486,'Informations sur les produits'!$A$3:$B$15000,2,FALSE),"")</f>
        <v/>
      </c>
    </row>
    <row r="15487" spans="7:18" x14ac:dyDescent="0.25">
      <c r="G15487" s="33"/>
      <c r="O15487" s="33"/>
      <c r="P15487" s="33"/>
      <c r="Q15487" s="31" t="str">
        <f t="shared" si="946"/>
        <v/>
      </c>
      <c r="R15487" s="32" t="str">
        <f>IFERROR(VLOOKUP($D15487,'Informations sur les produits'!$A$3:$B$15000,2,FALSE),"")</f>
        <v/>
      </c>
    </row>
    <row r="15488" spans="7:18" x14ac:dyDescent="0.25">
      <c r="G15488" s="33"/>
      <c r="O15488" s="33"/>
      <c r="P15488" s="33"/>
      <c r="Q15488" s="31" t="str">
        <f t="shared" si="946"/>
        <v/>
      </c>
      <c r="R15488" s="32" t="str">
        <f>IFERROR(VLOOKUP($D15488,'Informations sur les produits'!$A$3:$B$15000,2,FALSE),"")</f>
        <v/>
      </c>
    </row>
    <row r="15489" spans="7:18" x14ac:dyDescent="0.25">
      <c r="G15489" s="33"/>
      <c r="O15489" s="33"/>
      <c r="P15489" s="33"/>
      <c r="Q15489" s="31" t="str">
        <f t="shared" si="946"/>
        <v/>
      </c>
      <c r="R15489" s="32" t="str">
        <f>IFERROR(VLOOKUP($D15489,'Informations sur les produits'!$A$3:$B$15000,2,FALSE),"")</f>
        <v/>
      </c>
    </row>
    <row r="15490" spans="7:18" x14ac:dyDescent="0.25">
      <c r="G15490" s="33"/>
      <c r="O15490" s="33"/>
      <c r="P15490" s="33"/>
      <c r="Q15490" s="31" t="str">
        <f t="shared" si="946"/>
        <v/>
      </c>
      <c r="R15490" s="32" t="str">
        <f>IFERROR(VLOOKUP($D15490,'Informations sur les produits'!$A$3:$B$15000,2,FALSE),"")</f>
        <v/>
      </c>
    </row>
    <row r="15491" spans="7:18" x14ac:dyDescent="0.25">
      <c r="G15491" s="33"/>
      <c r="O15491" s="33"/>
      <c r="P15491" s="33"/>
      <c r="Q15491" s="31" t="str">
        <f t="shared" si="946"/>
        <v/>
      </c>
      <c r="R15491" s="32" t="str">
        <f>IFERROR(VLOOKUP($D15491,'Informations sur les produits'!$A$3:$B$15000,2,FALSE),"")</f>
        <v/>
      </c>
    </row>
    <row r="15492" spans="7:18" x14ac:dyDescent="0.25">
      <c r="G15492" s="33"/>
      <c r="O15492" s="33"/>
      <c r="P15492" s="33"/>
      <c r="Q15492" s="31" t="str">
        <f t="shared" ref="Q15492:Q15555" si="947">IFERROR((((($E15492-$F15492)*$G15492+$K15492*$L15492+$N15492*$O15492)*1000)/(($E15492-$F15492)+$K15492+$N15492)),"")</f>
        <v/>
      </c>
      <c r="R15492" s="32" t="str">
        <f>IFERROR(VLOOKUP($D15492,'Informations sur les produits'!$A$3:$B$15000,2,FALSE),"")</f>
        <v/>
      </c>
    </row>
    <row r="15493" spans="7:18" x14ac:dyDescent="0.25">
      <c r="G15493" s="33"/>
      <c r="O15493" s="33"/>
      <c r="P15493" s="33"/>
      <c r="Q15493" s="31" t="str">
        <f t="shared" si="947"/>
        <v/>
      </c>
      <c r="R15493" s="32" t="str">
        <f>IFERROR(VLOOKUP($D15493,'Informations sur les produits'!$A$3:$B$15000,2,FALSE),"")</f>
        <v/>
      </c>
    </row>
    <row r="15494" spans="7:18" x14ac:dyDescent="0.25">
      <c r="G15494" s="33"/>
      <c r="O15494" s="33"/>
      <c r="P15494" s="33"/>
      <c r="Q15494" s="31" t="str">
        <f t="shared" si="947"/>
        <v/>
      </c>
      <c r="R15494" s="32" t="str">
        <f>IFERROR(VLOOKUP($D15494,'Informations sur les produits'!$A$3:$B$15000,2,FALSE),"")</f>
        <v/>
      </c>
    </row>
    <row r="15495" spans="7:18" x14ac:dyDescent="0.25">
      <c r="G15495" s="33"/>
      <c r="O15495" s="33"/>
      <c r="P15495" s="33"/>
      <c r="Q15495" s="31" t="str">
        <f t="shared" si="947"/>
        <v/>
      </c>
      <c r="R15495" s="32" t="str">
        <f>IFERROR(VLOOKUP($D15495,'Informations sur les produits'!$A$3:$B$15000,2,FALSE),"")</f>
        <v/>
      </c>
    </row>
    <row r="15496" spans="7:18" x14ac:dyDescent="0.25">
      <c r="G15496" s="33"/>
      <c r="O15496" s="33"/>
      <c r="P15496" s="33"/>
      <c r="Q15496" s="31" t="str">
        <f t="shared" si="947"/>
        <v/>
      </c>
      <c r="R15496" s="32" t="str">
        <f>IFERROR(VLOOKUP($D15496,'Informations sur les produits'!$A$3:$B$15000,2,FALSE),"")</f>
        <v/>
      </c>
    </row>
    <row r="15497" spans="7:18" x14ac:dyDescent="0.25">
      <c r="G15497" s="33"/>
      <c r="O15497" s="33"/>
      <c r="P15497" s="33"/>
      <c r="Q15497" s="31" t="str">
        <f t="shared" si="947"/>
        <v/>
      </c>
      <c r="R15497" s="32" t="str">
        <f>IFERROR(VLOOKUP($D15497,'Informations sur les produits'!$A$3:$B$15000,2,FALSE),"")</f>
        <v/>
      </c>
    </row>
    <row r="15498" spans="7:18" x14ac:dyDescent="0.25">
      <c r="G15498" s="33"/>
      <c r="O15498" s="33"/>
      <c r="P15498" s="33"/>
      <c r="Q15498" s="31" t="str">
        <f t="shared" si="947"/>
        <v/>
      </c>
      <c r="R15498" s="32" t="str">
        <f>IFERROR(VLOOKUP($D15498,'Informations sur les produits'!$A$3:$B$15000,2,FALSE),"")</f>
        <v/>
      </c>
    </row>
    <row r="15499" spans="7:18" x14ac:dyDescent="0.25">
      <c r="G15499" s="33"/>
      <c r="O15499" s="33"/>
      <c r="P15499" s="33"/>
      <c r="Q15499" s="31" t="str">
        <f t="shared" si="947"/>
        <v/>
      </c>
      <c r="R15499" s="32" t="str">
        <f>IFERROR(VLOOKUP($D15499,'Informations sur les produits'!$A$3:$B$15000,2,FALSE),"")</f>
        <v/>
      </c>
    </row>
    <row r="15500" spans="7:18" x14ac:dyDescent="0.25">
      <c r="G15500" s="33"/>
      <c r="O15500" s="33"/>
      <c r="P15500" s="33"/>
      <c r="Q15500" s="31" t="str">
        <f t="shared" si="947"/>
        <v/>
      </c>
      <c r="R15500" s="32" t="str">
        <f>IFERROR(VLOOKUP($D15500,'Informations sur les produits'!$A$3:$B$15000,2,FALSE),"")</f>
        <v/>
      </c>
    </row>
    <row r="15501" spans="7:18" x14ac:dyDescent="0.25">
      <c r="G15501" s="33"/>
      <c r="O15501" s="33"/>
      <c r="P15501" s="33"/>
      <c r="Q15501" s="31" t="str">
        <f t="shared" si="947"/>
        <v/>
      </c>
      <c r="R15501" s="32" t="str">
        <f>IFERROR(VLOOKUP($D15501,'Informations sur les produits'!$A$3:$B$15000,2,FALSE),"")</f>
        <v/>
      </c>
    </row>
    <row r="15502" spans="7:18" x14ac:dyDescent="0.25">
      <c r="G15502" s="33"/>
      <c r="O15502" s="33"/>
      <c r="P15502" s="33"/>
      <c r="Q15502" s="31" t="str">
        <f t="shared" si="947"/>
        <v/>
      </c>
      <c r="R15502" s="32" t="str">
        <f>IFERROR(VLOOKUP($D15502,'Informations sur les produits'!$A$3:$B$15000,2,FALSE),"")</f>
        <v/>
      </c>
    </row>
    <row r="15503" spans="7:18" x14ac:dyDescent="0.25">
      <c r="G15503" s="33"/>
      <c r="O15503" s="33"/>
      <c r="P15503" s="33"/>
      <c r="Q15503" s="31" t="str">
        <f t="shared" si="947"/>
        <v/>
      </c>
      <c r="R15503" s="32" t="str">
        <f>IFERROR(VLOOKUP($D15503,'Informations sur les produits'!$A$3:$B$15000,2,FALSE),"")</f>
        <v/>
      </c>
    </row>
    <row r="15504" spans="7:18" x14ac:dyDescent="0.25">
      <c r="G15504" s="33"/>
      <c r="O15504" s="33"/>
      <c r="P15504" s="33"/>
      <c r="Q15504" s="31" t="str">
        <f t="shared" si="947"/>
        <v/>
      </c>
      <c r="R15504" s="32" t="str">
        <f>IFERROR(VLOOKUP($D15504,'Informations sur les produits'!$A$3:$B$15000,2,FALSE),"")</f>
        <v/>
      </c>
    </row>
    <row r="15505" spans="7:18" x14ac:dyDescent="0.25">
      <c r="G15505" s="33"/>
      <c r="O15505" s="33"/>
      <c r="P15505" s="33"/>
      <c r="Q15505" s="31" t="str">
        <f t="shared" si="947"/>
        <v/>
      </c>
      <c r="R15505" s="32" t="str">
        <f>IFERROR(VLOOKUP($D15505,'Informations sur les produits'!$A$3:$B$15000,2,FALSE),"")</f>
        <v/>
      </c>
    </row>
    <row r="15506" spans="7:18" x14ac:dyDescent="0.25">
      <c r="G15506" s="33"/>
      <c r="O15506" s="33"/>
      <c r="P15506" s="33"/>
      <c r="Q15506" s="31" t="str">
        <f t="shared" si="947"/>
        <v/>
      </c>
      <c r="R15506" s="32" t="str">
        <f>IFERROR(VLOOKUP($D15506,'Informations sur les produits'!$A$3:$B$15000,2,FALSE),"")</f>
        <v/>
      </c>
    </row>
    <row r="15507" spans="7:18" x14ac:dyDescent="0.25">
      <c r="G15507" s="33"/>
      <c r="O15507" s="33"/>
      <c r="P15507" s="33"/>
      <c r="Q15507" s="31" t="str">
        <f t="shared" si="947"/>
        <v/>
      </c>
      <c r="R15507" s="32" t="str">
        <f>IFERROR(VLOOKUP($D15507,'Informations sur les produits'!$A$3:$B$15000,2,FALSE),"")</f>
        <v/>
      </c>
    </row>
    <row r="15508" spans="7:18" x14ac:dyDescent="0.25">
      <c r="G15508" s="33"/>
      <c r="O15508" s="33"/>
      <c r="P15508" s="33"/>
      <c r="Q15508" s="31" t="str">
        <f t="shared" si="947"/>
        <v/>
      </c>
      <c r="R15508" s="32" t="str">
        <f>IFERROR(VLOOKUP($D15508,'Informations sur les produits'!$A$3:$B$15000,2,FALSE),"")</f>
        <v/>
      </c>
    </row>
    <row r="15509" spans="7:18" x14ac:dyDescent="0.25">
      <c r="G15509" s="33"/>
      <c r="O15509" s="33"/>
      <c r="P15509" s="33"/>
      <c r="Q15509" s="31" t="str">
        <f t="shared" si="947"/>
        <v/>
      </c>
      <c r="R15509" s="32" t="str">
        <f>IFERROR(VLOOKUP($D15509,'Informations sur les produits'!$A$3:$B$15000,2,FALSE),"")</f>
        <v/>
      </c>
    </row>
    <row r="15510" spans="7:18" x14ac:dyDescent="0.25">
      <c r="G15510" s="33"/>
      <c r="O15510" s="33"/>
      <c r="P15510" s="33"/>
      <c r="Q15510" s="31" t="str">
        <f t="shared" si="947"/>
        <v/>
      </c>
      <c r="R15510" s="32" t="str">
        <f>IFERROR(VLOOKUP($D15510,'Informations sur les produits'!$A$3:$B$15000,2,FALSE),"")</f>
        <v/>
      </c>
    </row>
    <row r="15511" spans="7:18" x14ac:dyDescent="0.25">
      <c r="G15511" s="33"/>
      <c r="O15511" s="33"/>
      <c r="P15511" s="33"/>
      <c r="Q15511" s="31" t="str">
        <f t="shared" si="947"/>
        <v/>
      </c>
      <c r="R15511" s="32" t="str">
        <f>IFERROR(VLOOKUP($D15511,'Informations sur les produits'!$A$3:$B$15000,2,FALSE),"")</f>
        <v/>
      </c>
    </row>
    <row r="15512" spans="7:18" x14ac:dyDescent="0.25">
      <c r="G15512" s="33"/>
      <c r="O15512" s="33"/>
      <c r="P15512" s="33"/>
      <c r="Q15512" s="31" t="str">
        <f t="shared" si="947"/>
        <v/>
      </c>
      <c r="R15512" s="32" t="str">
        <f>IFERROR(VLOOKUP($D15512,'Informations sur les produits'!$A$3:$B$15000,2,FALSE),"")</f>
        <v/>
      </c>
    </row>
    <row r="15513" spans="7:18" x14ac:dyDescent="0.25">
      <c r="G15513" s="33"/>
      <c r="O15513" s="33"/>
      <c r="P15513" s="33"/>
      <c r="Q15513" s="31" t="str">
        <f t="shared" si="947"/>
        <v/>
      </c>
      <c r="R15513" s="32" t="str">
        <f>IFERROR(VLOOKUP($D15513,'Informations sur les produits'!$A$3:$B$15000,2,FALSE),"")</f>
        <v/>
      </c>
    </row>
    <row r="15514" spans="7:18" x14ac:dyDescent="0.25">
      <c r="G15514" s="33"/>
      <c r="O15514" s="33"/>
      <c r="P15514" s="33"/>
      <c r="Q15514" s="31" t="str">
        <f t="shared" si="947"/>
        <v/>
      </c>
      <c r="R15514" s="32" t="str">
        <f>IFERROR(VLOOKUP($D15514,'Informations sur les produits'!$A$3:$B$15000,2,FALSE),"")</f>
        <v/>
      </c>
    </row>
    <row r="15515" spans="7:18" x14ac:dyDescent="0.25">
      <c r="G15515" s="33"/>
      <c r="O15515" s="33"/>
      <c r="P15515" s="33"/>
      <c r="Q15515" s="31" t="str">
        <f t="shared" si="947"/>
        <v/>
      </c>
      <c r="R15515" s="32" t="str">
        <f>IFERROR(VLOOKUP($D15515,'Informations sur les produits'!$A$3:$B$15000,2,FALSE),"")</f>
        <v/>
      </c>
    </row>
    <row r="15516" spans="7:18" x14ac:dyDescent="0.25">
      <c r="G15516" s="33"/>
      <c r="O15516" s="33"/>
      <c r="P15516" s="33"/>
      <c r="Q15516" s="31" t="str">
        <f t="shared" si="947"/>
        <v/>
      </c>
      <c r="R15516" s="32" t="str">
        <f>IFERROR(VLOOKUP($D15516,'Informations sur les produits'!$A$3:$B$15000,2,FALSE),"")</f>
        <v/>
      </c>
    </row>
    <row r="15517" spans="7:18" x14ac:dyDescent="0.25">
      <c r="G15517" s="33"/>
      <c r="O15517" s="33"/>
      <c r="P15517" s="33"/>
      <c r="Q15517" s="31" t="str">
        <f t="shared" si="947"/>
        <v/>
      </c>
      <c r="R15517" s="32" t="str">
        <f>IFERROR(VLOOKUP($D15517,'Informations sur les produits'!$A$3:$B$15000,2,FALSE),"")</f>
        <v/>
      </c>
    </row>
    <row r="15518" spans="7:18" x14ac:dyDescent="0.25">
      <c r="G15518" s="33"/>
      <c r="O15518" s="33"/>
      <c r="P15518" s="33"/>
      <c r="Q15518" s="31" t="str">
        <f t="shared" si="947"/>
        <v/>
      </c>
      <c r="R15518" s="32" t="str">
        <f>IFERROR(VLOOKUP($D15518,'Informations sur les produits'!$A$3:$B$15000,2,FALSE),"")</f>
        <v/>
      </c>
    </row>
    <row r="15519" spans="7:18" x14ac:dyDescent="0.25">
      <c r="G15519" s="33"/>
      <c r="O15519" s="33"/>
      <c r="P15519" s="33"/>
      <c r="Q15519" s="31" t="str">
        <f t="shared" si="947"/>
        <v/>
      </c>
      <c r="R15519" s="32" t="str">
        <f>IFERROR(VLOOKUP($D15519,'Informations sur les produits'!$A$3:$B$15000,2,FALSE),"")</f>
        <v/>
      </c>
    </row>
    <row r="15520" spans="7:18" x14ac:dyDescent="0.25">
      <c r="G15520" s="33"/>
      <c r="O15520" s="33"/>
      <c r="P15520" s="33"/>
      <c r="Q15520" s="31" t="str">
        <f t="shared" si="947"/>
        <v/>
      </c>
      <c r="R15520" s="32" t="str">
        <f>IFERROR(VLOOKUP($D15520,'Informations sur les produits'!$A$3:$B$15000,2,FALSE),"")</f>
        <v/>
      </c>
    </row>
    <row r="15521" spans="7:18" x14ac:dyDescent="0.25">
      <c r="G15521" s="33"/>
      <c r="O15521" s="33"/>
      <c r="P15521" s="33"/>
      <c r="Q15521" s="31" t="str">
        <f t="shared" si="947"/>
        <v/>
      </c>
      <c r="R15521" s="32" t="str">
        <f>IFERROR(VLOOKUP($D15521,'Informations sur les produits'!$A$3:$B$15000,2,FALSE),"")</f>
        <v/>
      </c>
    </row>
    <row r="15522" spans="7:18" x14ac:dyDescent="0.25">
      <c r="G15522" s="33"/>
      <c r="O15522" s="33"/>
      <c r="P15522" s="33"/>
      <c r="Q15522" s="31" t="str">
        <f t="shared" si="947"/>
        <v/>
      </c>
      <c r="R15522" s="32" t="str">
        <f>IFERROR(VLOOKUP($D15522,'Informations sur les produits'!$A$3:$B$15000,2,FALSE),"")</f>
        <v/>
      </c>
    </row>
    <row r="15523" spans="7:18" x14ac:dyDescent="0.25">
      <c r="G15523" s="33"/>
      <c r="O15523" s="33"/>
      <c r="P15523" s="33"/>
      <c r="Q15523" s="31" t="str">
        <f t="shared" si="947"/>
        <v/>
      </c>
      <c r="R15523" s="32" t="str">
        <f>IFERROR(VLOOKUP($D15523,'Informations sur les produits'!$A$3:$B$15000,2,FALSE),"")</f>
        <v/>
      </c>
    </row>
    <row r="15524" spans="7:18" x14ac:dyDescent="0.25">
      <c r="G15524" s="33"/>
      <c r="O15524" s="33"/>
      <c r="P15524" s="33"/>
      <c r="Q15524" s="31" t="str">
        <f t="shared" si="947"/>
        <v/>
      </c>
      <c r="R15524" s="32" t="str">
        <f>IFERROR(VLOOKUP($D15524,'Informations sur les produits'!$A$3:$B$15000,2,FALSE),"")</f>
        <v/>
      </c>
    </row>
    <row r="15525" spans="7:18" x14ac:dyDescent="0.25">
      <c r="G15525" s="33"/>
      <c r="O15525" s="33"/>
      <c r="P15525" s="33"/>
      <c r="Q15525" s="31" t="str">
        <f t="shared" si="947"/>
        <v/>
      </c>
      <c r="R15525" s="32" t="str">
        <f>IFERROR(VLOOKUP($D15525,'Informations sur les produits'!$A$3:$B$15000,2,FALSE),"")</f>
        <v/>
      </c>
    </row>
    <row r="15526" spans="7:18" x14ac:dyDescent="0.25">
      <c r="G15526" s="33"/>
      <c r="O15526" s="33"/>
      <c r="P15526" s="33"/>
      <c r="Q15526" s="31" t="str">
        <f t="shared" si="947"/>
        <v/>
      </c>
      <c r="R15526" s="32" t="str">
        <f>IFERROR(VLOOKUP($D15526,'Informations sur les produits'!$A$3:$B$15000,2,FALSE),"")</f>
        <v/>
      </c>
    </row>
    <row r="15527" spans="7:18" x14ac:dyDescent="0.25">
      <c r="G15527" s="33"/>
      <c r="O15527" s="33"/>
      <c r="P15527" s="33"/>
      <c r="Q15527" s="31" t="str">
        <f t="shared" si="947"/>
        <v/>
      </c>
      <c r="R15527" s="32" t="str">
        <f>IFERROR(VLOOKUP($D15527,'Informations sur les produits'!$A$3:$B$15000,2,FALSE),"")</f>
        <v/>
      </c>
    </row>
    <row r="15528" spans="7:18" x14ac:dyDescent="0.25">
      <c r="G15528" s="33"/>
      <c r="O15528" s="33"/>
      <c r="P15528" s="33"/>
      <c r="Q15528" s="31" t="str">
        <f t="shared" si="947"/>
        <v/>
      </c>
      <c r="R15528" s="32" t="str">
        <f>IFERROR(VLOOKUP($D15528,'Informations sur les produits'!$A$3:$B$15000,2,FALSE),"")</f>
        <v/>
      </c>
    </row>
    <row r="15529" spans="7:18" x14ac:dyDescent="0.25">
      <c r="G15529" s="33"/>
      <c r="O15529" s="33"/>
      <c r="P15529" s="33"/>
      <c r="Q15529" s="31" t="str">
        <f t="shared" si="947"/>
        <v/>
      </c>
      <c r="R15529" s="32" t="str">
        <f>IFERROR(VLOOKUP($D15529,'Informations sur les produits'!$A$3:$B$15000,2,FALSE),"")</f>
        <v/>
      </c>
    </row>
    <row r="15530" spans="7:18" x14ac:dyDescent="0.25">
      <c r="G15530" s="33"/>
      <c r="O15530" s="33"/>
      <c r="P15530" s="33"/>
      <c r="Q15530" s="31" t="str">
        <f t="shared" si="947"/>
        <v/>
      </c>
      <c r="R15530" s="32" t="str">
        <f>IFERROR(VLOOKUP($D15530,'Informations sur les produits'!$A$3:$B$15000,2,FALSE),"")</f>
        <v/>
      </c>
    </row>
    <row r="15531" spans="7:18" x14ac:dyDescent="0.25">
      <c r="G15531" s="33"/>
      <c r="O15531" s="33"/>
      <c r="P15531" s="33"/>
      <c r="Q15531" s="31" t="str">
        <f t="shared" si="947"/>
        <v/>
      </c>
      <c r="R15531" s="32" t="str">
        <f>IFERROR(VLOOKUP($D15531,'Informations sur les produits'!$A$3:$B$15000,2,FALSE),"")</f>
        <v/>
      </c>
    </row>
    <row r="15532" spans="7:18" x14ac:dyDescent="0.25">
      <c r="G15532" s="33"/>
      <c r="O15532" s="33"/>
      <c r="P15532" s="33"/>
      <c r="Q15532" s="31" t="str">
        <f t="shared" si="947"/>
        <v/>
      </c>
      <c r="R15532" s="32" t="str">
        <f>IFERROR(VLOOKUP($D15532,'Informations sur les produits'!$A$3:$B$15000,2,FALSE),"")</f>
        <v/>
      </c>
    </row>
    <row r="15533" spans="7:18" x14ac:dyDescent="0.25">
      <c r="G15533" s="33"/>
      <c r="O15533" s="33"/>
      <c r="P15533" s="33"/>
      <c r="Q15533" s="31" t="str">
        <f t="shared" si="947"/>
        <v/>
      </c>
      <c r="R15533" s="32" t="str">
        <f>IFERROR(VLOOKUP($D15533,'Informations sur les produits'!$A$3:$B$15000,2,FALSE),"")</f>
        <v/>
      </c>
    </row>
    <row r="15534" spans="7:18" x14ac:dyDescent="0.25">
      <c r="G15534" s="33"/>
      <c r="O15534" s="33"/>
      <c r="P15534" s="33"/>
      <c r="Q15534" s="31" t="str">
        <f t="shared" si="947"/>
        <v/>
      </c>
      <c r="R15534" s="32" t="str">
        <f>IFERROR(VLOOKUP($D15534,'Informations sur les produits'!$A$3:$B$15000,2,FALSE),"")</f>
        <v/>
      </c>
    </row>
    <row r="15535" spans="7:18" x14ac:dyDescent="0.25">
      <c r="G15535" s="33"/>
      <c r="O15535" s="33"/>
      <c r="P15535" s="33"/>
      <c r="Q15535" s="31" t="str">
        <f t="shared" si="947"/>
        <v/>
      </c>
      <c r="R15535" s="32" t="str">
        <f>IFERROR(VLOOKUP($D15535,'Informations sur les produits'!$A$3:$B$15000,2,FALSE),"")</f>
        <v/>
      </c>
    </row>
    <row r="15536" spans="7:18" x14ac:dyDescent="0.25">
      <c r="G15536" s="33"/>
      <c r="O15536" s="33"/>
      <c r="P15536" s="33"/>
      <c r="Q15536" s="31" t="str">
        <f t="shared" si="947"/>
        <v/>
      </c>
      <c r="R15536" s="32" t="str">
        <f>IFERROR(VLOOKUP($D15536,'Informations sur les produits'!$A$3:$B$15000,2,FALSE),"")</f>
        <v/>
      </c>
    </row>
    <row r="15537" spans="7:18" x14ac:dyDescent="0.25">
      <c r="G15537" s="33"/>
      <c r="O15537" s="33"/>
      <c r="P15537" s="33"/>
      <c r="Q15537" s="31" t="str">
        <f t="shared" si="947"/>
        <v/>
      </c>
      <c r="R15537" s="32" t="str">
        <f>IFERROR(VLOOKUP($D15537,'Informations sur les produits'!$A$3:$B$15000,2,FALSE),"")</f>
        <v/>
      </c>
    </row>
    <row r="15538" spans="7:18" x14ac:dyDescent="0.25">
      <c r="G15538" s="33"/>
      <c r="O15538" s="33"/>
      <c r="P15538" s="33"/>
      <c r="Q15538" s="31" t="str">
        <f t="shared" si="947"/>
        <v/>
      </c>
      <c r="R15538" s="32" t="str">
        <f>IFERROR(VLOOKUP($D15538,'Informations sur les produits'!$A$3:$B$15000,2,FALSE),"")</f>
        <v/>
      </c>
    </row>
    <row r="15539" spans="7:18" x14ac:dyDescent="0.25">
      <c r="G15539" s="33"/>
      <c r="O15539" s="33"/>
      <c r="P15539" s="33"/>
      <c r="Q15539" s="31" t="str">
        <f t="shared" si="947"/>
        <v/>
      </c>
      <c r="R15539" s="32" t="str">
        <f>IFERROR(VLOOKUP($D15539,'Informations sur les produits'!$A$3:$B$15000,2,FALSE),"")</f>
        <v/>
      </c>
    </row>
    <row r="15540" spans="7:18" x14ac:dyDescent="0.25">
      <c r="G15540" s="33"/>
      <c r="O15540" s="33"/>
      <c r="P15540" s="33"/>
      <c r="Q15540" s="31" t="str">
        <f t="shared" si="947"/>
        <v/>
      </c>
      <c r="R15540" s="32" t="str">
        <f>IFERROR(VLOOKUP($D15540,'Informations sur les produits'!$A$3:$B$15000,2,FALSE),"")</f>
        <v/>
      </c>
    </row>
    <row r="15541" spans="7:18" x14ac:dyDescent="0.25">
      <c r="G15541" s="33"/>
      <c r="O15541" s="33"/>
      <c r="P15541" s="33"/>
      <c r="Q15541" s="31" t="str">
        <f t="shared" si="947"/>
        <v/>
      </c>
      <c r="R15541" s="32" t="str">
        <f>IFERROR(VLOOKUP($D15541,'Informations sur les produits'!$A$3:$B$15000,2,FALSE),"")</f>
        <v/>
      </c>
    </row>
    <row r="15542" spans="7:18" x14ac:dyDescent="0.25">
      <c r="G15542" s="33"/>
      <c r="O15542" s="33"/>
      <c r="P15542" s="33"/>
      <c r="Q15542" s="31" t="str">
        <f t="shared" si="947"/>
        <v/>
      </c>
      <c r="R15542" s="32" t="str">
        <f>IFERROR(VLOOKUP($D15542,'Informations sur les produits'!$A$3:$B$15000,2,FALSE),"")</f>
        <v/>
      </c>
    </row>
    <row r="15543" spans="7:18" x14ac:dyDescent="0.25">
      <c r="G15543" s="33"/>
      <c r="O15543" s="33"/>
      <c r="P15543" s="33"/>
      <c r="Q15543" s="31" t="str">
        <f t="shared" si="947"/>
        <v/>
      </c>
      <c r="R15543" s="32" t="str">
        <f>IFERROR(VLOOKUP($D15543,'Informations sur les produits'!$A$3:$B$15000,2,FALSE),"")</f>
        <v/>
      </c>
    </row>
    <row r="15544" spans="7:18" x14ac:dyDescent="0.25">
      <c r="G15544" s="33"/>
      <c r="O15544" s="33"/>
      <c r="P15544" s="33"/>
      <c r="Q15544" s="31" t="str">
        <f t="shared" si="947"/>
        <v/>
      </c>
      <c r="R15544" s="32" t="str">
        <f>IFERROR(VLOOKUP($D15544,'Informations sur les produits'!$A$3:$B$15000,2,FALSE),"")</f>
        <v/>
      </c>
    </row>
    <row r="15545" spans="7:18" x14ac:dyDescent="0.25">
      <c r="G15545" s="33"/>
      <c r="O15545" s="33"/>
      <c r="P15545" s="33"/>
      <c r="Q15545" s="31" t="str">
        <f t="shared" si="947"/>
        <v/>
      </c>
      <c r="R15545" s="32" t="str">
        <f>IFERROR(VLOOKUP($D15545,'Informations sur les produits'!$A$3:$B$15000,2,FALSE),"")</f>
        <v/>
      </c>
    </row>
    <row r="15546" spans="7:18" x14ac:dyDescent="0.25">
      <c r="G15546" s="33"/>
      <c r="O15546" s="33"/>
      <c r="P15546" s="33"/>
      <c r="Q15546" s="31" t="str">
        <f t="shared" si="947"/>
        <v/>
      </c>
      <c r="R15546" s="32" t="str">
        <f>IFERROR(VLOOKUP($D15546,'Informations sur les produits'!$A$3:$B$15000,2,FALSE),"")</f>
        <v/>
      </c>
    </row>
    <row r="15547" spans="7:18" x14ac:dyDescent="0.25">
      <c r="G15547" s="33"/>
      <c r="O15547" s="33"/>
      <c r="P15547" s="33"/>
      <c r="Q15547" s="31" t="str">
        <f t="shared" si="947"/>
        <v/>
      </c>
      <c r="R15547" s="32" t="str">
        <f>IFERROR(VLOOKUP($D15547,'Informations sur les produits'!$A$3:$B$15000,2,FALSE),"")</f>
        <v/>
      </c>
    </row>
    <row r="15548" spans="7:18" x14ac:dyDescent="0.25">
      <c r="G15548" s="33"/>
      <c r="O15548" s="33"/>
      <c r="P15548" s="33"/>
      <c r="Q15548" s="31" t="str">
        <f t="shared" si="947"/>
        <v/>
      </c>
      <c r="R15548" s="32" t="str">
        <f>IFERROR(VLOOKUP($D15548,'Informations sur les produits'!$A$3:$B$15000,2,FALSE),"")</f>
        <v/>
      </c>
    </row>
    <row r="15549" spans="7:18" x14ac:dyDescent="0.25">
      <c r="G15549" s="33"/>
      <c r="O15549" s="33"/>
      <c r="P15549" s="33"/>
      <c r="Q15549" s="31" t="str">
        <f t="shared" si="947"/>
        <v/>
      </c>
      <c r="R15549" s="32" t="str">
        <f>IFERROR(VLOOKUP($D15549,'Informations sur les produits'!$A$3:$B$15000,2,FALSE),"")</f>
        <v/>
      </c>
    </row>
    <row r="15550" spans="7:18" x14ac:dyDescent="0.25">
      <c r="G15550" s="33"/>
      <c r="O15550" s="33"/>
      <c r="P15550" s="33"/>
      <c r="Q15550" s="31" t="str">
        <f t="shared" si="947"/>
        <v/>
      </c>
      <c r="R15550" s="32" t="str">
        <f>IFERROR(VLOOKUP($D15550,'Informations sur les produits'!$A$3:$B$15000,2,FALSE),"")</f>
        <v/>
      </c>
    </row>
    <row r="15551" spans="7:18" x14ac:dyDescent="0.25">
      <c r="G15551" s="33"/>
      <c r="O15551" s="33"/>
      <c r="P15551" s="33"/>
      <c r="Q15551" s="31" t="str">
        <f t="shared" si="947"/>
        <v/>
      </c>
      <c r="R15551" s="32" t="str">
        <f>IFERROR(VLOOKUP($D15551,'Informations sur les produits'!$A$3:$B$15000,2,FALSE),"")</f>
        <v/>
      </c>
    </row>
    <row r="15552" spans="7:18" x14ac:dyDescent="0.25">
      <c r="G15552" s="33"/>
      <c r="O15552" s="33"/>
      <c r="P15552" s="33"/>
      <c r="Q15552" s="31" t="str">
        <f t="shared" si="947"/>
        <v/>
      </c>
      <c r="R15552" s="32" t="str">
        <f>IFERROR(VLOOKUP($D15552,'Informations sur les produits'!$A$3:$B$15000,2,FALSE),"")</f>
        <v/>
      </c>
    </row>
    <row r="15553" spans="7:18" x14ac:dyDescent="0.25">
      <c r="G15553" s="33"/>
      <c r="O15553" s="33"/>
      <c r="P15553" s="33"/>
      <c r="Q15553" s="31" t="str">
        <f t="shared" si="947"/>
        <v/>
      </c>
      <c r="R15553" s="32" t="str">
        <f>IFERROR(VLOOKUP($D15553,'Informations sur les produits'!$A$3:$B$15000,2,FALSE),"")</f>
        <v/>
      </c>
    </row>
    <row r="15554" spans="7:18" x14ac:dyDescent="0.25">
      <c r="G15554" s="33"/>
      <c r="O15554" s="33"/>
      <c r="P15554" s="33"/>
      <c r="Q15554" s="31" t="str">
        <f t="shared" si="947"/>
        <v/>
      </c>
      <c r="R15554" s="32" t="str">
        <f>IFERROR(VLOOKUP($D15554,'Informations sur les produits'!$A$3:$B$15000,2,FALSE),"")</f>
        <v/>
      </c>
    </row>
    <row r="15555" spans="7:18" x14ac:dyDescent="0.25">
      <c r="G15555" s="33"/>
      <c r="O15555" s="33"/>
      <c r="P15555" s="33"/>
      <c r="Q15555" s="31" t="str">
        <f t="shared" si="947"/>
        <v/>
      </c>
      <c r="R15555" s="32" t="str">
        <f>IFERROR(VLOOKUP($D15555,'Informations sur les produits'!$A$3:$B$15000,2,FALSE),"")</f>
        <v/>
      </c>
    </row>
    <row r="15556" spans="7:18" x14ac:dyDescent="0.25">
      <c r="G15556" s="33"/>
      <c r="O15556" s="33"/>
      <c r="P15556" s="33"/>
      <c r="Q15556" s="31" t="str">
        <f t="shared" ref="Q15556:Q15619" si="948">IFERROR((((($E15556-$F15556)*$G15556+$K15556*$L15556+$N15556*$O15556)*1000)/(($E15556-$F15556)+$K15556+$N15556)),"")</f>
        <v/>
      </c>
      <c r="R15556" s="32" t="str">
        <f>IFERROR(VLOOKUP($D15556,'Informations sur les produits'!$A$3:$B$15000,2,FALSE),"")</f>
        <v/>
      </c>
    </row>
    <row r="15557" spans="7:18" x14ac:dyDescent="0.25">
      <c r="G15557" s="33"/>
      <c r="O15557" s="33"/>
      <c r="P15557" s="33"/>
      <c r="Q15557" s="31" t="str">
        <f t="shared" si="948"/>
        <v/>
      </c>
      <c r="R15557" s="32" t="str">
        <f>IFERROR(VLOOKUP($D15557,'Informations sur les produits'!$A$3:$B$15000,2,FALSE),"")</f>
        <v/>
      </c>
    </row>
    <row r="15558" spans="7:18" x14ac:dyDescent="0.25">
      <c r="G15558" s="33"/>
      <c r="O15558" s="33"/>
      <c r="P15558" s="33"/>
      <c r="Q15558" s="31" t="str">
        <f t="shared" si="948"/>
        <v/>
      </c>
      <c r="R15558" s="32" t="str">
        <f>IFERROR(VLOOKUP($D15558,'Informations sur les produits'!$A$3:$B$15000,2,FALSE),"")</f>
        <v/>
      </c>
    </row>
    <row r="15559" spans="7:18" x14ac:dyDescent="0.25">
      <c r="G15559" s="33"/>
      <c r="O15559" s="33"/>
      <c r="P15559" s="33"/>
      <c r="Q15559" s="31" t="str">
        <f t="shared" si="948"/>
        <v/>
      </c>
      <c r="R15559" s="32" t="str">
        <f>IFERROR(VLOOKUP($D15559,'Informations sur les produits'!$A$3:$B$15000,2,FALSE),"")</f>
        <v/>
      </c>
    </row>
    <row r="15560" spans="7:18" x14ac:dyDescent="0.25">
      <c r="G15560" s="33"/>
      <c r="O15560" s="33"/>
      <c r="P15560" s="33"/>
      <c r="Q15560" s="31" t="str">
        <f t="shared" si="948"/>
        <v/>
      </c>
      <c r="R15560" s="32" t="str">
        <f>IFERROR(VLOOKUP($D15560,'Informations sur les produits'!$A$3:$B$15000,2,FALSE),"")</f>
        <v/>
      </c>
    </row>
    <row r="15561" spans="7:18" x14ac:dyDescent="0.25">
      <c r="G15561" s="33"/>
      <c r="O15561" s="33"/>
      <c r="P15561" s="33"/>
      <c r="Q15561" s="31" t="str">
        <f t="shared" si="948"/>
        <v/>
      </c>
      <c r="R15561" s="32" t="str">
        <f>IFERROR(VLOOKUP($D15561,'Informations sur les produits'!$A$3:$B$15000,2,FALSE),"")</f>
        <v/>
      </c>
    </row>
    <row r="15562" spans="7:18" x14ac:dyDescent="0.25">
      <c r="G15562" s="33"/>
      <c r="O15562" s="33"/>
      <c r="P15562" s="33"/>
      <c r="Q15562" s="31" t="str">
        <f t="shared" si="948"/>
        <v/>
      </c>
      <c r="R15562" s="32" t="str">
        <f>IFERROR(VLOOKUP($D15562,'Informations sur les produits'!$A$3:$B$15000,2,FALSE),"")</f>
        <v/>
      </c>
    </row>
    <row r="15563" spans="7:18" x14ac:dyDescent="0.25">
      <c r="G15563" s="33"/>
      <c r="O15563" s="33"/>
      <c r="P15563" s="33"/>
      <c r="Q15563" s="31" t="str">
        <f t="shared" si="948"/>
        <v/>
      </c>
      <c r="R15563" s="32" t="str">
        <f>IFERROR(VLOOKUP($D15563,'Informations sur les produits'!$A$3:$B$15000,2,FALSE),"")</f>
        <v/>
      </c>
    </row>
    <row r="15564" spans="7:18" x14ac:dyDescent="0.25">
      <c r="G15564" s="33"/>
      <c r="O15564" s="33"/>
      <c r="P15564" s="33"/>
      <c r="Q15564" s="31" t="str">
        <f t="shared" si="948"/>
        <v/>
      </c>
      <c r="R15564" s="32" t="str">
        <f>IFERROR(VLOOKUP($D15564,'Informations sur les produits'!$A$3:$B$15000,2,FALSE),"")</f>
        <v/>
      </c>
    </row>
    <row r="15565" spans="7:18" x14ac:dyDescent="0.25">
      <c r="G15565" s="33"/>
      <c r="O15565" s="33"/>
      <c r="P15565" s="33"/>
      <c r="Q15565" s="31" t="str">
        <f t="shared" si="948"/>
        <v/>
      </c>
      <c r="R15565" s="32" t="str">
        <f>IFERROR(VLOOKUP($D15565,'Informations sur les produits'!$A$3:$B$15000,2,FALSE),"")</f>
        <v/>
      </c>
    </row>
    <row r="15566" spans="7:18" x14ac:dyDescent="0.25">
      <c r="G15566" s="33"/>
      <c r="O15566" s="33"/>
      <c r="P15566" s="33"/>
      <c r="Q15566" s="31" t="str">
        <f t="shared" si="948"/>
        <v/>
      </c>
      <c r="R15566" s="32" t="str">
        <f>IFERROR(VLOOKUP($D15566,'Informations sur les produits'!$A$3:$B$15000,2,FALSE),"")</f>
        <v/>
      </c>
    </row>
    <row r="15567" spans="7:18" x14ac:dyDescent="0.25">
      <c r="G15567" s="33"/>
      <c r="O15567" s="33"/>
      <c r="P15567" s="33"/>
      <c r="Q15567" s="31" t="str">
        <f t="shared" si="948"/>
        <v/>
      </c>
      <c r="R15567" s="32" t="str">
        <f>IFERROR(VLOOKUP($D15567,'Informations sur les produits'!$A$3:$B$15000,2,FALSE),"")</f>
        <v/>
      </c>
    </row>
    <row r="15568" spans="7:18" x14ac:dyDescent="0.25">
      <c r="G15568" s="33"/>
      <c r="O15568" s="33"/>
      <c r="P15568" s="33"/>
      <c r="Q15568" s="31" t="str">
        <f t="shared" si="948"/>
        <v/>
      </c>
      <c r="R15568" s="32" t="str">
        <f>IFERROR(VLOOKUP($D15568,'Informations sur les produits'!$A$3:$B$15000,2,FALSE),"")</f>
        <v/>
      </c>
    </row>
    <row r="15569" spans="7:18" x14ac:dyDescent="0.25">
      <c r="G15569" s="33"/>
      <c r="O15569" s="33"/>
      <c r="P15569" s="33"/>
      <c r="Q15569" s="31" t="str">
        <f t="shared" si="948"/>
        <v/>
      </c>
      <c r="R15569" s="32" t="str">
        <f>IFERROR(VLOOKUP($D15569,'Informations sur les produits'!$A$3:$B$15000,2,FALSE),"")</f>
        <v/>
      </c>
    </row>
    <row r="15570" spans="7:18" x14ac:dyDescent="0.25">
      <c r="G15570" s="33"/>
      <c r="O15570" s="33"/>
      <c r="P15570" s="33"/>
      <c r="Q15570" s="31" t="str">
        <f t="shared" si="948"/>
        <v/>
      </c>
      <c r="R15570" s="32" t="str">
        <f>IFERROR(VLOOKUP($D15570,'Informations sur les produits'!$A$3:$B$15000,2,FALSE),"")</f>
        <v/>
      </c>
    </row>
    <row r="15571" spans="7:18" x14ac:dyDescent="0.25">
      <c r="G15571" s="33"/>
      <c r="O15571" s="33"/>
      <c r="P15571" s="33"/>
      <c r="Q15571" s="31" t="str">
        <f t="shared" si="948"/>
        <v/>
      </c>
      <c r="R15571" s="32" t="str">
        <f>IFERROR(VLOOKUP($D15571,'Informations sur les produits'!$A$3:$B$15000,2,FALSE),"")</f>
        <v/>
      </c>
    </row>
    <row r="15572" spans="7:18" x14ac:dyDescent="0.25">
      <c r="G15572" s="33"/>
      <c r="O15572" s="33"/>
      <c r="P15572" s="33"/>
      <c r="Q15572" s="31" t="str">
        <f t="shared" si="948"/>
        <v/>
      </c>
      <c r="R15572" s="32" t="str">
        <f>IFERROR(VLOOKUP($D15572,'Informations sur les produits'!$A$3:$B$15000,2,FALSE),"")</f>
        <v/>
      </c>
    </row>
    <row r="15573" spans="7:18" x14ac:dyDescent="0.25">
      <c r="G15573" s="33"/>
      <c r="O15573" s="33"/>
      <c r="P15573" s="33"/>
      <c r="Q15573" s="31" t="str">
        <f t="shared" si="948"/>
        <v/>
      </c>
      <c r="R15573" s="32" t="str">
        <f>IFERROR(VLOOKUP($D15573,'Informations sur les produits'!$A$3:$B$15000,2,FALSE),"")</f>
        <v/>
      </c>
    </row>
    <row r="15574" spans="7:18" x14ac:dyDescent="0.25">
      <c r="G15574" s="33"/>
      <c r="O15574" s="33"/>
      <c r="P15574" s="33"/>
      <c r="Q15574" s="31" t="str">
        <f t="shared" si="948"/>
        <v/>
      </c>
      <c r="R15574" s="32" t="str">
        <f>IFERROR(VLOOKUP($D15574,'Informations sur les produits'!$A$3:$B$15000,2,FALSE),"")</f>
        <v/>
      </c>
    </row>
    <row r="15575" spans="7:18" x14ac:dyDescent="0.25">
      <c r="G15575" s="33"/>
      <c r="O15575" s="33"/>
      <c r="P15575" s="33"/>
      <c r="Q15575" s="31" t="str">
        <f t="shared" si="948"/>
        <v/>
      </c>
      <c r="R15575" s="32" t="str">
        <f>IFERROR(VLOOKUP($D15575,'Informations sur les produits'!$A$3:$B$15000,2,FALSE),"")</f>
        <v/>
      </c>
    </row>
    <row r="15576" spans="7:18" x14ac:dyDescent="0.25">
      <c r="G15576" s="33"/>
      <c r="O15576" s="33"/>
      <c r="P15576" s="33"/>
      <c r="Q15576" s="31" t="str">
        <f t="shared" si="948"/>
        <v/>
      </c>
      <c r="R15576" s="32" t="str">
        <f>IFERROR(VLOOKUP($D15576,'Informations sur les produits'!$A$3:$B$15000,2,FALSE),"")</f>
        <v/>
      </c>
    </row>
    <row r="15577" spans="7:18" x14ac:dyDescent="0.25">
      <c r="G15577" s="33"/>
      <c r="O15577" s="33"/>
      <c r="P15577" s="33"/>
      <c r="Q15577" s="31" t="str">
        <f t="shared" si="948"/>
        <v/>
      </c>
      <c r="R15577" s="32" t="str">
        <f>IFERROR(VLOOKUP($D15577,'Informations sur les produits'!$A$3:$B$15000,2,FALSE),"")</f>
        <v/>
      </c>
    </row>
    <row r="15578" spans="7:18" x14ac:dyDescent="0.25">
      <c r="G15578" s="33"/>
      <c r="O15578" s="33"/>
      <c r="P15578" s="33"/>
      <c r="Q15578" s="31" t="str">
        <f t="shared" si="948"/>
        <v/>
      </c>
      <c r="R15578" s="32" t="str">
        <f>IFERROR(VLOOKUP($D15578,'Informations sur les produits'!$A$3:$B$15000,2,FALSE),"")</f>
        <v/>
      </c>
    </row>
    <row r="15579" spans="7:18" x14ac:dyDescent="0.25">
      <c r="G15579" s="33"/>
      <c r="O15579" s="33"/>
      <c r="P15579" s="33"/>
      <c r="Q15579" s="31" t="str">
        <f t="shared" si="948"/>
        <v/>
      </c>
      <c r="R15579" s="32" t="str">
        <f>IFERROR(VLOOKUP($D15579,'Informations sur les produits'!$A$3:$B$15000,2,FALSE),"")</f>
        <v/>
      </c>
    </row>
    <row r="15580" spans="7:18" x14ac:dyDescent="0.25">
      <c r="G15580" s="33"/>
      <c r="O15580" s="33"/>
      <c r="P15580" s="33"/>
      <c r="Q15580" s="31" t="str">
        <f t="shared" si="948"/>
        <v/>
      </c>
      <c r="R15580" s="32" t="str">
        <f>IFERROR(VLOOKUP($D15580,'Informations sur les produits'!$A$3:$B$15000,2,FALSE),"")</f>
        <v/>
      </c>
    </row>
    <row r="15581" spans="7:18" x14ac:dyDescent="0.25">
      <c r="G15581" s="33"/>
      <c r="O15581" s="33"/>
      <c r="P15581" s="33"/>
      <c r="Q15581" s="31" t="str">
        <f t="shared" si="948"/>
        <v/>
      </c>
      <c r="R15581" s="32" t="str">
        <f>IFERROR(VLOOKUP($D15581,'Informations sur les produits'!$A$3:$B$15000,2,FALSE),"")</f>
        <v/>
      </c>
    </row>
    <row r="15582" spans="7:18" x14ac:dyDescent="0.25">
      <c r="G15582" s="33"/>
      <c r="O15582" s="33"/>
      <c r="P15582" s="33"/>
      <c r="Q15582" s="31" t="str">
        <f t="shared" si="948"/>
        <v/>
      </c>
      <c r="R15582" s="32" t="str">
        <f>IFERROR(VLOOKUP($D15582,'Informations sur les produits'!$A$3:$B$15000,2,FALSE),"")</f>
        <v/>
      </c>
    </row>
    <row r="15583" spans="7:18" x14ac:dyDescent="0.25">
      <c r="G15583" s="33"/>
      <c r="O15583" s="33"/>
      <c r="P15583" s="33"/>
      <c r="Q15583" s="31" t="str">
        <f t="shared" si="948"/>
        <v/>
      </c>
      <c r="R15583" s="32" t="str">
        <f>IFERROR(VLOOKUP($D15583,'Informations sur les produits'!$A$3:$B$15000,2,FALSE),"")</f>
        <v/>
      </c>
    </row>
    <row r="15584" spans="7:18" x14ac:dyDescent="0.25">
      <c r="G15584" s="33"/>
      <c r="O15584" s="33"/>
      <c r="P15584" s="33"/>
      <c r="Q15584" s="31" t="str">
        <f t="shared" si="948"/>
        <v/>
      </c>
      <c r="R15584" s="32" t="str">
        <f>IFERROR(VLOOKUP($D15584,'Informations sur les produits'!$A$3:$B$15000,2,FALSE),"")</f>
        <v/>
      </c>
    </row>
    <row r="15585" spans="7:18" x14ac:dyDescent="0.25">
      <c r="G15585" s="33"/>
      <c r="O15585" s="33"/>
      <c r="P15585" s="33"/>
      <c r="Q15585" s="31" t="str">
        <f t="shared" si="948"/>
        <v/>
      </c>
      <c r="R15585" s="32" t="str">
        <f>IFERROR(VLOOKUP($D15585,'Informations sur les produits'!$A$3:$B$15000,2,FALSE),"")</f>
        <v/>
      </c>
    </row>
    <row r="15586" spans="7:18" x14ac:dyDescent="0.25">
      <c r="G15586" s="33"/>
      <c r="O15586" s="33"/>
      <c r="P15586" s="33"/>
      <c r="Q15586" s="31" t="str">
        <f t="shared" si="948"/>
        <v/>
      </c>
      <c r="R15586" s="32" t="str">
        <f>IFERROR(VLOOKUP($D15586,'Informations sur les produits'!$A$3:$B$15000,2,FALSE),"")</f>
        <v/>
      </c>
    </row>
    <row r="15587" spans="7:18" x14ac:dyDescent="0.25">
      <c r="G15587" s="33"/>
      <c r="O15587" s="33"/>
      <c r="P15587" s="33"/>
      <c r="Q15587" s="31" t="str">
        <f t="shared" si="948"/>
        <v/>
      </c>
      <c r="R15587" s="32" t="str">
        <f>IFERROR(VLOOKUP($D15587,'Informations sur les produits'!$A$3:$B$15000,2,FALSE),"")</f>
        <v/>
      </c>
    </row>
    <row r="15588" spans="7:18" x14ac:dyDescent="0.25">
      <c r="G15588" s="33"/>
      <c r="O15588" s="33"/>
      <c r="P15588" s="33"/>
      <c r="Q15588" s="31" t="str">
        <f t="shared" si="948"/>
        <v/>
      </c>
      <c r="R15588" s="32" t="str">
        <f>IFERROR(VLOOKUP($D15588,'Informations sur les produits'!$A$3:$B$15000,2,FALSE),"")</f>
        <v/>
      </c>
    </row>
    <row r="15589" spans="7:18" x14ac:dyDescent="0.25">
      <c r="G15589" s="33"/>
      <c r="O15589" s="33"/>
      <c r="P15589" s="33"/>
      <c r="Q15589" s="31" t="str">
        <f t="shared" si="948"/>
        <v/>
      </c>
      <c r="R15589" s="32" t="str">
        <f>IFERROR(VLOOKUP($D15589,'Informations sur les produits'!$A$3:$B$15000,2,FALSE),"")</f>
        <v/>
      </c>
    </row>
    <row r="15590" spans="7:18" x14ac:dyDescent="0.25">
      <c r="G15590" s="33"/>
      <c r="O15590" s="33"/>
      <c r="P15590" s="33"/>
      <c r="Q15590" s="31" t="str">
        <f t="shared" si="948"/>
        <v/>
      </c>
      <c r="R15590" s="32" t="str">
        <f>IFERROR(VLOOKUP($D15590,'Informations sur les produits'!$A$3:$B$15000,2,FALSE),"")</f>
        <v/>
      </c>
    </row>
    <row r="15591" spans="7:18" x14ac:dyDescent="0.25">
      <c r="G15591" s="33"/>
      <c r="O15591" s="33"/>
      <c r="P15591" s="33"/>
      <c r="Q15591" s="31" t="str">
        <f t="shared" si="948"/>
        <v/>
      </c>
      <c r="R15591" s="32" t="str">
        <f>IFERROR(VLOOKUP($D15591,'Informations sur les produits'!$A$3:$B$15000,2,FALSE),"")</f>
        <v/>
      </c>
    </row>
    <row r="15592" spans="7:18" x14ac:dyDescent="0.25">
      <c r="G15592" s="33"/>
      <c r="O15592" s="33"/>
      <c r="P15592" s="33"/>
      <c r="Q15592" s="31" t="str">
        <f t="shared" si="948"/>
        <v/>
      </c>
      <c r="R15592" s="32" t="str">
        <f>IFERROR(VLOOKUP($D15592,'Informations sur les produits'!$A$3:$B$15000,2,FALSE),"")</f>
        <v/>
      </c>
    </row>
    <row r="15593" spans="7:18" x14ac:dyDescent="0.25">
      <c r="G15593" s="33"/>
      <c r="O15593" s="33"/>
      <c r="P15593" s="33"/>
      <c r="Q15593" s="31" t="str">
        <f t="shared" si="948"/>
        <v/>
      </c>
      <c r="R15593" s="32" t="str">
        <f>IFERROR(VLOOKUP($D15593,'Informations sur les produits'!$A$3:$B$15000,2,FALSE),"")</f>
        <v/>
      </c>
    </row>
    <row r="15594" spans="7:18" x14ac:dyDescent="0.25">
      <c r="G15594" s="33"/>
      <c r="O15594" s="33"/>
      <c r="P15594" s="33"/>
      <c r="Q15594" s="31" t="str">
        <f t="shared" si="948"/>
        <v/>
      </c>
      <c r="R15594" s="32" t="str">
        <f>IFERROR(VLOOKUP($D15594,'Informations sur les produits'!$A$3:$B$15000,2,FALSE),"")</f>
        <v/>
      </c>
    </row>
    <row r="15595" spans="7:18" x14ac:dyDescent="0.25">
      <c r="G15595" s="33"/>
      <c r="O15595" s="33"/>
      <c r="P15595" s="33"/>
      <c r="Q15595" s="31" t="str">
        <f t="shared" si="948"/>
        <v/>
      </c>
      <c r="R15595" s="32" t="str">
        <f>IFERROR(VLOOKUP($D15595,'Informations sur les produits'!$A$3:$B$15000,2,FALSE),"")</f>
        <v/>
      </c>
    </row>
    <row r="15596" spans="7:18" x14ac:dyDescent="0.25">
      <c r="G15596" s="33"/>
      <c r="O15596" s="33"/>
      <c r="P15596" s="33"/>
      <c r="Q15596" s="31" t="str">
        <f t="shared" si="948"/>
        <v/>
      </c>
      <c r="R15596" s="32" t="str">
        <f>IFERROR(VLOOKUP($D15596,'Informations sur les produits'!$A$3:$B$15000,2,FALSE),"")</f>
        <v/>
      </c>
    </row>
    <row r="15597" spans="7:18" x14ac:dyDescent="0.25">
      <c r="G15597" s="33"/>
      <c r="O15597" s="33"/>
      <c r="P15597" s="33"/>
      <c r="Q15597" s="31" t="str">
        <f t="shared" si="948"/>
        <v/>
      </c>
      <c r="R15597" s="32" t="str">
        <f>IFERROR(VLOOKUP($D15597,'Informations sur les produits'!$A$3:$B$15000,2,FALSE),"")</f>
        <v/>
      </c>
    </row>
    <row r="15598" spans="7:18" x14ac:dyDescent="0.25">
      <c r="G15598" s="33"/>
      <c r="O15598" s="33"/>
      <c r="P15598" s="33"/>
      <c r="Q15598" s="31" t="str">
        <f t="shared" si="948"/>
        <v/>
      </c>
      <c r="R15598" s="32" t="str">
        <f>IFERROR(VLOOKUP($D15598,'Informations sur les produits'!$A$3:$B$15000,2,FALSE),"")</f>
        <v/>
      </c>
    </row>
    <row r="15599" spans="7:18" x14ac:dyDescent="0.25">
      <c r="G15599" s="33"/>
      <c r="O15599" s="33"/>
      <c r="P15599" s="33"/>
      <c r="Q15599" s="31" t="str">
        <f t="shared" si="948"/>
        <v/>
      </c>
      <c r="R15599" s="32" t="str">
        <f>IFERROR(VLOOKUP($D15599,'Informations sur les produits'!$A$3:$B$15000,2,FALSE),"")</f>
        <v/>
      </c>
    </row>
    <row r="15600" spans="7:18" x14ac:dyDescent="0.25">
      <c r="G15600" s="33"/>
      <c r="O15600" s="33"/>
      <c r="P15600" s="33"/>
      <c r="Q15600" s="31" t="str">
        <f t="shared" si="948"/>
        <v/>
      </c>
      <c r="R15600" s="32" t="str">
        <f>IFERROR(VLOOKUP($D15600,'Informations sur les produits'!$A$3:$B$15000,2,FALSE),"")</f>
        <v/>
      </c>
    </row>
    <row r="15601" spans="7:18" x14ac:dyDescent="0.25">
      <c r="G15601" s="33"/>
      <c r="O15601" s="33"/>
      <c r="P15601" s="33"/>
      <c r="Q15601" s="31" t="str">
        <f t="shared" si="948"/>
        <v/>
      </c>
      <c r="R15601" s="32" t="str">
        <f>IFERROR(VLOOKUP($D15601,'Informations sur les produits'!$A$3:$B$15000,2,FALSE),"")</f>
        <v/>
      </c>
    </row>
    <row r="15602" spans="7:18" x14ac:dyDescent="0.25">
      <c r="G15602" s="33"/>
      <c r="O15602" s="33"/>
      <c r="P15602" s="33"/>
      <c r="Q15602" s="31" t="str">
        <f t="shared" si="948"/>
        <v/>
      </c>
      <c r="R15602" s="32" t="str">
        <f>IFERROR(VLOOKUP($D15602,'Informations sur les produits'!$A$3:$B$15000,2,FALSE),"")</f>
        <v/>
      </c>
    </row>
    <row r="15603" spans="7:18" x14ac:dyDescent="0.25">
      <c r="G15603" s="33"/>
      <c r="O15603" s="33"/>
      <c r="P15603" s="33"/>
      <c r="Q15603" s="31" t="str">
        <f t="shared" si="948"/>
        <v/>
      </c>
      <c r="R15603" s="32" t="str">
        <f>IFERROR(VLOOKUP($D15603,'Informations sur les produits'!$A$3:$B$15000,2,FALSE),"")</f>
        <v/>
      </c>
    </row>
    <row r="15604" spans="7:18" x14ac:dyDescent="0.25">
      <c r="G15604" s="33"/>
      <c r="O15604" s="33"/>
      <c r="P15604" s="33"/>
      <c r="Q15604" s="31" t="str">
        <f t="shared" si="948"/>
        <v/>
      </c>
      <c r="R15604" s="32" t="str">
        <f>IFERROR(VLOOKUP($D15604,'Informations sur les produits'!$A$3:$B$15000,2,FALSE),"")</f>
        <v/>
      </c>
    </row>
    <row r="15605" spans="7:18" x14ac:dyDescent="0.25">
      <c r="G15605" s="33"/>
      <c r="O15605" s="33"/>
      <c r="P15605" s="33"/>
      <c r="Q15605" s="31" t="str">
        <f t="shared" si="948"/>
        <v/>
      </c>
      <c r="R15605" s="32" t="str">
        <f>IFERROR(VLOOKUP($D15605,'Informations sur les produits'!$A$3:$B$15000,2,FALSE),"")</f>
        <v/>
      </c>
    </row>
    <row r="15606" spans="7:18" x14ac:dyDescent="0.25">
      <c r="G15606" s="33"/>
      <c r="O15606" s="33"/>
      <c r="P15606" s="33"/>
      <c r="Q15606" s="31" t="str">
        <f t="shared" si="948"/>
        <v/>
      </c>
      <c r="R15606" s="32" t="str">
        <f>IFERROR(VLOOKUP($D15606,'Informations sur les produits'!$A$3:$B$15000,2,FALSE),"")</f>
        <v/>
      </c>
    </row>
    <row r="15607" spans="7:18" x14ac:dyDescent="0.25">
      <c r="G15607" s="33"/>
      <c r="O15607" s="33"/>
      <c r="P15607" s="33"/>
      <c r="Q15607" s="31" t="str">
        <f t="shared" si="948"/>
        <v/>
      </c>
      <c r="R15607" s="32" t="str">
        <f>IFERROR(VLOOKUP($D15607,'Informations sur les produits'!$A$3:$B$15000,2,FALSE),"")</f>
        <v/>
      </c>
    </row>
    <row r="15608" spans="7:18" x14ac:dyDescent="0.25">
      <c r="G15608" s="33"/>
      <c r="O15608" s="33"/>
      <c r="P15608" s="33"/>
      <c r="Q15608" s="31" t="str">
        <f t="shared" si="948"/>
        <v/>
      </c>
      <c r="R15608" s="32" t="str">
        <f>IFERROR(VLOOKUP($D15608,'Informations sur les produits'!$A$3:$B$15000,2,FALSE),"")</f>
        <v/>
      </c>
    </row>
    <row r="15609" spans="7:18" x14ac:dyDescent="0.25">
      <c r="G15609" s="33"/>
      <c r="O15609" s="33"/>
      <c r="P15609" s="33"/>
      <c r="Q15609" s="31" t="str">
        <f t="shared" si="948"/>
        <v/>
      </c>
      <c r="R15609" s="32" t="str">
        <f>IFERROR(VLOOKUP($D15609,'Informations sur les produits'!$A$3:$B$15000,2,FALSE),"")</f>
        <v/>
      </c>
    </row>
    <row r="15610" spans="7:18" x14ac:dyDescent="0.25">
      <c r="G15610" s="33"/>
      <c r="O15610" s="33"/>
      <c r="P15610" s="33"/>
      <c r="Q15610" s="31" t="str">
        <f t="shared" si="948"/>
        <v/>
      </c>
      <c r="R15610" s="32" t="str">
        <f>IFERROR(VLOOKUP($D15610,'Informations sur les produits'!$A$3:$B$15000,2,FALSE),"")</f>
        <v/>
      </c>
    </row>
    <row r="15611" spans="7:18" x14ac:dyDescent="0.25">
      <c r="G15611" s="33"/>
      <c r="O15611" s="33"/>
      <c r="P15611" s="33"/>
      <c r="Q15611" s="31" t="str">
        <f t="shared" si="948"/>
        <v/>
      </c>
      <c r="R15611" s="32" t="str">
        <f>IFERROR(VLOOKUP($D15611,'Informations sur les produits'!$A$3:$B$15000,2,FALSE),"")</f>
        <v/>
      </c>
    </row>
    <row r="15612" spans="7:18" x14ac:dyDescent="0.25">
      <c r="G15612" s="33"/>
      <c r="O15612" s="33"/>
      <c r="P15612" s="33"/>
      <c r="Q15612" s="31" t="str">
        <f t="shared" si="948"/>
        <v/>
      </c>
      <c r="R15612" s="32" t="str">
        <f>IFERROR(VLOOKUP($D15612,'Informations sur les produits'!$A$3:$B$15000,2,FALSE),"")</f>
        <v/>
      </c>
    </row>
    <row r="15613" spans="7:18" x14ac:dyDescent="0.25">
      <c r="G15613" s="33"/>
      <c r="O15613" s="33"/>
      <c r="P15613" s="33"/>
      <c r="Q15613" s="31" t="str">
        <f t="shared" si="948"/>
        <v/>
      </c>
      <c r="R15613" s="32" t="str">
        <f>IFERROR(VLOOKUP($D15613,'Informations sur les produits'!$A$3:$B$15000,2,FALSE),"")</f>
        <v/>
      </c>
    </row>
    <row r="15614" spans="7:18" x14ac:dyDescent="0.25">
      <c r="G15614" s="33"/>
      <c r="O15614" s="33"/>
      <c r="P15614" s="33"/>
      <c r="Q15614" s="31" t="str">
        <f t="shared" si="948"/>
        <v/>
      </c>
      <c r="R15614" s="32" t="str">
        <f>IFERROR(VLOOKUP($D15614,'Informations sur les produits'!$A$3:$B$15000,2,FALSE),"")</f>
        <v/>
      </c>
    </row>
    <row r="15615" spans="7:18" x14ac:dyDescent="0.25">
      <c r="G15615" s="33"/>
      <c r="O15615" s="33"/>
      <c r="P15615" s="33"/>
      <c r="Q15615" s="31" t="str">
        <f t="shared" si="948"/>
        <v/>
      </c>
      <c r="R15615" s="32" t="str">
        <f>IFERROR(VLOOKUP($D15615,'Informations sur les produits'!$A$3:$B$15000,2,FALSE),"")</f>
        <v/>
      </c>
    </row>
    <row r="15616" spans="7:18" x14ac:dyDescent="0.25">
      <c r="G15616" s="33"/>
      <c r="O15616" s="33"/>
      <c r="P15616" s="33"/>
      <c r="Q15616" s="31" t="str">
        <f t="shared" si="948"/>
        <v/>
      </c>
      <c r="R15616" s="32" t="str">
        <f>IFERROR(VLOOKUP($D15616,'Informations sur les produits'!$A$3:$B$15000,2,FALSE),"")</f>
        <v/>
      </c>
    </row>
    <row r="15617" spans="7:18" x14ac:dyDescent="0.25">
      <c r="G15617" s="33"/>
      <c r="O15617" s="33"/>
      <c r="P15617" s="33"/>
      <c r="Q15617" s="31" t="str">
        <f t="shared" si="948"/>
        <v/>
      </c>
      <c r="R15617" s="32" t="str">
        <f>IFERROR(VLOOKUP($D15617,'Informations sur les produits'!$A$3:$B$15000,2,FALSE),"")</f>
        <v/>
      </c>
    </row>
    <row r="15618" spans="7:18" x14ac:dyDescent="0.25">
      <c r="G15618" s="33"/>
      <c r="O15618" s="33"/>
      <c r="P15618" s="33"/>
      <c r="Q15618" s="31" t="str">
        <f t="shared" si="948"/>
        <v/>
      </c>
      <c r="R15618" s="32" t="str">
        <f>IFERROR(VLOOKUP($D15618,'Informations sur les produits'!$A$3:$B$15000,2,FALSE),"")</f>
        <v/>
      </c>
    </row>
    <row r="15619" spans="7:18" x14ac:dyDescent="0.25">
      <c r="G15619" s="33"/>
      <c r="O15619" s="33"/>
      <c r="P15619" s="33"/>
      <c r="Q15619" s="31" t="str">
        <f t="shared" si="948"/>
        <v/>
      </c>
      <c r="R15619" s="32" t="str">
        <f>IFERROR(VLOOKUP($D15619,'Informations sur les produits'!$A$3:$B$15000,2,FALSE),"")</f>
        <v/>
      </c>
    </row>
    <row r="15620" spans="7:18" x14ac:dyDescent="0.25">
      <c r="G15620" s="33"/>
      <c r="O15620" s="33"/>
      <c r="P15620" s="33"/>
      <c r="Q15620" s="31" t="str">
        <f t="shared" ref="Q15620:Q15683" si="949">IFERROR((((($E15620-$F15620)*$G15620+$K15620*$L15620+$N15620*$O15620)*1000)/(($E15620-$F15620)+$K15620+$N15620)),"")</f>
        <v/>
      </c>
      <c r="R15620" s="32" t="str">
        <f>IFERROR(VLOOKUP($D15620,'Informations sur les produits'!$A$3:$B$15000,2,FALSE),"")</f>
        <v/>
      </c>
    </row>
    <row r="15621" spans="7:18" x14ac:dyDescent="0.25">
      <c r="G15621" s="33"/>
      <c r="O15621" s="33"/>
      <c r="P15621" s="33"/>
      <c r="Q15621" s="31" t="str">
        <f t="shared" si="949"/>
        <v/>
      </c>
      <c r="R15621" s="32" t="str">
        <f>IFERROR(VLOOKUP($D15621,'Informations sur les produits'!$A$3:$B$15000,2,FALSE),"")</f>
        <v/>
      </c>
    </row>
    <row r="15622" spans="7:18" x14ac:dyDescent="0.25">
      <c r="G15622" s="33"/>
      <c r="O15622" s="33"/>
      <c r="P15622" s="33"/>
      <c r="Q15622" s="31" t="str">
        <f t="shared" si="949"/>
        <v/>
      </c>
      <c r="R15622" s="32" t="str">
        <f>IFERROR(VLOOKUP($D15622,'Informations sur les produits'!$A$3:$B$15000,2,FALSE),"")</f>
        <v/>
      </c>
    </row>
    <row r="15623" spans="7:18" x14ac:dyDescent="0.25">
      <c r="G15623" s="33"/>
      <c r="O15623" s="33"/>
      <c r="P15623" s="33"/>
      <c r="Q15623" s="31" t="str">
        <f t="shared" si="949"/>
        <v/>
      </c>
      <c r="R15623" s="32" t="str">
        <f>IFERROR(VLOOKUP($D15623,'Informations sur les produits'!$A$3:$B$15000,2,FALSE),"")</f>
        <v/>
      </c>
    </row>
    <row r="15624" spans="7:18" x14ac:dyDescent="0.25">
      <c r="G15624" s="33"/>
      <c r="O15624" s="33"/>
      <c r="P15624" s="33"/>
      <c r="Q15624" s="31" t="str">
        <f t="shared" si="949"/>
        <v/>
      </c>
      <c r="R15624" s="32" t="str">
        <f>IFERROR(VLOOKUP($D15624,'Informations sur les produits'!$A$3:$B$15000,2,FALSE),"")</f>
        <v/>
      </c>
    </row>
    <row r="15625" spans="7:18" x14ac:dyDescent="0.25">
      <c r="G15625" s="33"/>
      <c r="O15625" s="33"/>
      <c r="P15625" s="33"/>
      <c r="Q15625" s="31" t="str">
        <f t="shared" si="949"/>
        <v/>
      </c>
      <c r="R15625" s="32" t="str">
        <f>IFERROR(VLOOKUP($D15625,'Informations sur les produits'!$A$3:$B$15000,2,FALSE),"")</f>
        <v/>
      </c>
    </row>
    <row r="15626" spans="7:18" x14ac:dyDescent="0.25">
      <c r="G15626" s="33"/>
      <c r="O15626" s="33"/>
      <c r="P15626" s="33"/>
      <c r="Q15626" s="31" t="str">
        <f t="shared" si="949"/>
        <v/>
      </c>
      <c r="R15626" s="32" t="str">
        <f>IFERROR(VLOOKUP($D15626,'Informations sur les produits'!$A$3:$B$15000,2,FALSE),"")</f>
        <v/>
      </c>
    </row>
    <row r="15627" spans="7:18" x14ac:dyDescent="0.25">
      <c r="G15627" s="33"/>
      <c r="O15627" s="33"/>
      <c r="P15627" s="33"/>
      <c r="Q15627" s="31" t="str">
        <f t="shared" si="949"/>
        <v/>
      </c>
      <c r="R15627" s="32" t="str">
        <f>IFERROR(VLOOKUP($D15627,'Informations sur les produits'!$A$3:$B$15000,2,FALSE),"")</f>
        <v/>
      </c>
    </row>
    <row r="15628" spans="7:18" x14ac:dyDescent="0.25">
      <c r="G15628" s="33"/>
      <c r="O15628" s="33"/>
      <c r="P15628" s="33"/>
      <c r="Q15628" s="31" t="str">
        <f t="shared" si="949"/>
        <v/>
      </c>
      <c r="R15628" s="32" t="str">
        <f>IFERROR(VLOOKUP($D15628,'Informations sur les produits'!$A$3:$B$15000,2,FALSE),"")</f>
        <v/>
      </c>
    </row>
    <row r="15629" spans="7:18" x14ac:dyDescent="0.25">
      <c r="G15629" s="33"/>
      <c r="O15629" s="33"/>
      <c r="P15629" s="33"/>
      <c r="Q15629" s="31" t="str">
        <f t="shared" si="949"/>
        <v/>
      </c>
      <c r="R15629" s="32" t="str">
        <f>IFERROR(VLOOKUP($D15629,'Informations sur les produits'!$A$3:$B$15000,2,FALSE),"")</f>
        <v/>
      </c>
    </row>
    <row r="15630" spans="7:18" x14ac:dyDescent="0.25">
      <c r="G15630" s="33"/>
      <c r="O15630" s="33"/>
      <c r="P15630" s="33"/>
      <c r="Q15630" s="31" t="str">
        <f t="shared" si="949"/>
        <v/>
      </c>
      <c r="R15630" s="32" t="str">
        <f>IFERROR(VLOOKUP($D15630,'Informations sur les produits'!$A$3:$B$15000,2,FALSE),"")</f>
        <v/>
      </c>
    </row>
    <row r="15631" spans="7:18" x14ac:dyDescent="0.25">
      <c r="G15631" s="33"/>
      <c r="O15631" s="33"/>
      <c r="P15631" s="33"/>
      <c r="Q15631" s="31" t="str">
        <f t="shared" si="949"/>
        <v/>
      </c>
      <c r="R15631" s="32" t="str">
        <f>IFERROR(VLOOKUP($D15631,'Informations sur les produits'!$A$3:$B$15000,2,FALSE),"")</f>
        <v/>
      </c>
    </row>
    <row r="15632" spans="7:18" x14ac:dyDescent="0.25">
      <c r="G15632" s="33"/>
      <c r="O15632" s="33"/>
      <c r="P15632" s="33"/>
      <c r="Q15632" s="31" t="str">
        <f t="shared" si="949"/>
        <v/>
      </c>
      <c r="R15632" s="32" t="str">
        <f>IFERROR(VLOOKUP($D15632,'Informations sur les produits'!$A$3:$B$15000,2,FALSE),"")</f>
        <v/>
      </c>
    </row>
    <row r="15633" spans="7:18" x14ac:dyDescent="0.25">
      <c r="G15633" s="33"/>
      <c r="O15633" s="33"/>
      <c r="P15633" s="33"/>
      <c r="Q15633" s="31" t="str">
        <f t="shared" si="949"/>
        <v/>
      </c>
      <c r="R15633" s="32" t="str">
        <f>IFERROR(VLOOKUP($D15633,'Informations sur les produits'!$A$3:$B$15000,2,FALSE),"")</f>
        <v/>
      </c>
    </row>
    <row r="15634" spans="7:18" x14ac:dyDescent="0.25">
      <c r="G15634" s="33"/>
      <c r="O15634" s="33"/>
      <c r="P15634" s="33"/>
      <c r="Q15634" s="31" t="str">
        <f t="shared" si="949"/>
        <v/>
      </c>
      <c r="R15634" s="32" t="str">
        <f>IFERROR(VLOOKUP($D15634,'Informations sur les produits'!$A$3:$B$15000,2,FALSE),"")</f>
        <v/>
      </c>
    </row>
    <row r="15635" spans="7:18" x14ac:dyDescent="0.25">
      <c r="G15635" s="33"/>
      <c r="O15635" s="33"/>
      <c r="P15635" s="33"/>
      <c r="Q15635" s="31" t="str">
        <f t="shared" si="949"/>
        <v/>
      </c>
      <c r="R15635" s="32" t="str">
        <f>IFERROR(VLOOKUP($D15635,'Informations sur les produits'!$A$3:$B$15000,2,FALSE),"")</f>
        <v/>
      </c>
    </row>
    <row r="15636" spans="7:18" x14ac:dyDescent="0.25">
      <c r="G15636" s="33"/>
      <c r="O15636" s="33"/>
      <c r="P15636" s="33"/>
      <c r="Q15636" s="31" t="str">
        <f t="shared" si="949"/>
        <v/>
      </c>
      <c r="R15636" s="32" t="str">
        <f>IFERROR(VLOOKUP($D15636,'Informations sur les produits'!$A$3:$B$15000,2,FALSE),"")</f>
        <v/>
      </c>
    </row>
    <row r="15637" spans="7:18" x14ac:dyDescent="0.25">
      <c r="G15637" s="33"/>
      <c r="O15637" s="33"/>
      <c r="P15637" s="33"/>
      <c r="Q15637" s="31" t="str">
        <f t="shared" si="949"/>
        <v/>
      </c>
      <c r="R15637" s="32" t="str">
        <f>IFERROR(VLOOKUP($D15637,'Informations sur les produits'!$A$3:$B$15000,2,FALSE),"")</f>
        <v/>
      </c>
    </row>
    <row r="15638" spans="7:18" x14ac:dyDescent="0.25">
      <c r="G15638" s="33"/>
      <c r="O15638" s="33"/>
      <c r="P15638" s="33"/>
      <c r="Q15638" s="31" t="str">
        <f t="shared" si="949"/>
        <v/>
      </c>
      <c r="R15638" s="32" t="str">
        <f>IFERROR(VLOOKUP($D15638,'Informations sur les produits'!$A$3:$B$15000,2,FALSE),"")</f>
        <v/>
      </c>
    </row>
    <row r="15639" spans="7:18" x14ac:dyDescent="0.25">
      <c r="G15639" s="33"/>
      <c r="O15639" s="33"/>
      <c r="P15639" s="33"/>
      <c r="Q15639" s="31" t="str">
        <f t="shared" si="949"/>
        <v/>
      </c>
      <c r="R15639" s="32" t="str">
        <f>IFERROR(VLOOKUP($D15639,'Informations sur les produits'!$A$3:$B$15000,2,FALSE),"")</f>
        <v/>
      </c>
    </row>
    <row r="15640" spans="7:18" x14ac:dyDescent="0.25">
      <c r="G15640" s="33"/>
      <c r="O15640" s="33"/>
      <c r="P15640" s="33"/>
      <c r="Q15640" s="31" t="str">
        <f t="shared" si="949"/>
        <v/>
      </c>
      <c r="R15640" s="32" t="str">
        <f>IFERROR(VLOOKUP($D15640,'Informations sur les produits'!$A$3:$B$15000,2,FALSE),"")</f>
        <v/>
      </c>
    </row>
    <row r="15641" spans="7:18" x14ac:dyDescent="0.25">
      <c r="G15641" s="33"/>
      <c r="O15641" s="33"/>
      <c r="P15641" s="33"/>
      <c r="Q15641" s="31" t="str">
        <f t="shared" si="949"/>
        <v/>
      </c>
      <c r="R15641" s="32" t="str">
        <f>IFERROR(VLOOKUP($D15641,'Informations sur les produits'!$A$3:$B$15000,2,FALSE),"")</f>
        <v/>
      </c>
    </row>
    <row r="15642" spans="7:18" x14ac:dyDescent="0.25">
      <c r="G15642" s="33"/>
      <c r="O15642" s="33"/>
      <c r="P15642" s="33"/>
      <c r="Q15642" s="31" t="str">
        <f t="shared" si="949"/>
        <v/>
      </c>
      <c r="R15642" s="32" t="str">
        <f>IFERROR(VLOOKUP($D15642,'Informations sur les produits'!$A$3:$B$15000,2,FALSE),"")</f>
        <v/>
      </c>
    </row>
    <row r="15643" spans="7:18" x14ac:dyDescent="0.25">
      <c r="G15643" s="33"/>
      <c r="O15643" s="33"/>
      <c r="P15643" s="33"/>
      <c r="Q15643" s="31" t="str">
        <f t="shared" si="949"/>
        <v/>
      </c>
      <c r="R15643" s="32" t="str">
        <f>IFERROR(VLOOKUP($D15643,'Informations sur les produits'!$A$3:$B$15000,2,FALSE),"")</f>
        <v/>
      </c>
    </row>
    <row r="15644" spans="7:18" x14ac:dyDescent="0.25">
      <c r="G15644" s="33"/>
      <c r="O15644" s="33"/>
      <c r="P15644" s="33"/>
      <c r="Q15644" s="31" t="str">
        <f t="shared" si="949"/>
        <v/>
      </c>
      <c r="R15644" s="32" t="str">
        <f>IFERROR(VLOOKUP($D15644,'Informations sur les produits'!$A$3:$B$15000,2,FALSE),"")</f>
        <v/>
      </c>
    </row>
    <row r="15645" spans="7:18" x14ac:dyDescent="0.25">
      <c r="G15645" s="33"/>
      <c r="O15645" s="33"/>
      <c r="P15645" s="33"/>
      <c r="Q15645" s="31" t="str">
        <f t="shared" si="949"/>
        <v/>
      </c>
      <c r="R15645" s="32" t="str">
        <f>IFERROR(VLOOKUP($D15645,'Informations sur les produits'!$A$3:$B$15000,2,FALSE),"")</f>
        <v/>
      </c>
    </row>
    <row r="15646" spans="7:18" x14ac:dyDescent="0.25">
      <c r="G15646" s="33"/>
      <c r="O15646" s="33"/>
      <c r="P15646" s="33"/>
      <c r="Q15646" s="31" t="str">
        <f t="shared" si="949"/>
        <v/>
      </c>
      <c r="R15646" s="32" t="str">
        <f>IFERROR(VLOOKUP($D15646,'Informations sur les produits'!$A$3:$B$15000,2,FALSE),"")</f>
        <v/>
      </c>
    </row>
    <row r="15647" spans="7:18" x14ac:dyDescent="0.25">
      <c r="G15647" s="33"/>
      <c r="O15647" s="33"/>
      <c r="P15647" s="33"/>
      <c r="Q15647" s="31" t="str">
        <f t="shared" si="949"/>
        <v/>
      </c>
      <c r="R15647" s="32" t="str">
        <f>IFERROR(VLOOKUP($D15647,'Informations sur les produits'!$A$3:$B$15000,2,FALSE),"")</f>
        <v/>
      </c>
    </row>
    <row r="15648" spans="7:18" x14ac:dyDescent="0.25">
      <c r="G15648" s="33"/>
      <c r="O15648" s="33"/>
      <c r="P15648" s="33"/>
      <c r="Q15648" s="31" t="str">
        <f t="shared" si="949"/>
        <v/>
      </c>
      <c r="R15648" s="32" t="str">
        <f>IFERROR(VLOOKUP($D15648,'Informations sur les produits'!$A$3:$B$15000,2,FALSE),"")</f>
        <v/>
      </c>
    </row>
    <row r="15649" spans="7:18" x14ac:dyDescent="0.25">
      <c r="G15649" s="33"/>
      <c r="O15649" s="33"/>
      <c r="P15649" s="33"/>
      <c r="Q15649" s="31" t="str">
        <f t="shared" si="949"/>
        <v/>
      </c>
      <c r="R15649" s="32" t="str">
        <f>IFERROR(VLOOKUP($D15649,'Informations sur les produits'!$A$3:$B$15000,2,FALSE),"")</f>
        <v/>
      </c>
    </row>
    <row r="15650" spans="7:18" x14ac:dyDescent="0.25">
      <c r="G15650" s="33"/>
      <c r="O15650" s="33"/>
      <c r="P15650" s="33"/>
      <c r="Q15650" s="31" t="str">
        <f t="shared" si="949"/>
        <v/>
      </c>
      <c r="R15650" s="32" t="str">
        <f>IFERROR(VLOOKUP($D15650,'Informations sur les produits'!$A$3:$B$15000,2,FALSE),"")</f>
        <v/>
      </c>
    </row>
    <row r="15651" spans="7:18" x14ac:dyDescent="0.25">
      <c r="G15651" s="33"/>
      <c r="O15651" s="33"/>
      <c r="P15651" s="33"/>
      <c r="Q15651" s="31" t="str">
        <f t="shared" si="949"/>
        <v/>
      </c>
      <c r="R15651" s="32" t="str">
        <f>IFERROR(VLOOKUP($D15651,'Informations sur les produits'!$A$3:$B$15000,2,FALSE),"")</f>
        <v/>
      </c>
    </row>
    <row r="15652" spans="7:18" x14ac:dyDescent="0.25">
      <c r="G15652" s="33"/>
      <c r="O15652" s="33"/>
      <c r="P15652" s="33"/>
      <c r="Q15652" s="31" t="str">
        <f t="shared" si="949"/>
        <v/>
      </c>
      <c r="R15652" s="32" t="str">
        <f>IFERROR(VLOOKUP($D15652,'Informations sur les produits'!$A$3:$B$15000,2,FALSE),"")</f>
        <v/>
      </c>
    </row>
    <row r="15653" spans="7:18" x14ac:dyDescent="0.25">
      <c r="G15653" s="33"/>
      <c r="O15653" s="33"/>
      <c r="P15653" s="33"/>
      <c r="Q15653" s="31" t="str">
        <f t="shared" si="949"/>
        <v/>
      </c>
      <c r="R15653" s="32" t="str">
        <f>IFERROR(VLOOKUP($D15653,'Informations sur les produits'!$A$3:$B$15000,2,FALSE),"")</f>
        <v/>
      </c>
    </row>
    <row r="15654" spans="7:18" x14ac:dyDescent="0.25">
      <c r="G15654" s="33"/>
      <c r="O15654" s="33"/>
      <c r="P15654" s="33"/>
      <c r="Q15654" s="31" t="str">
        <f t="shared" si="949"/>
        <v/>
      </c>
      <c r="R15654" s="32" t="str">
        <f>IFERROR(VLOOKUP($D15654,'Informations sur les produits'!$A$3:$B$15000,2,FALSE),"")</f>
        <v/>
      </c>
    </row>
    <row r="15655" spans="7:18" x14ac:dyDescent="0.25">
      <c r="G15655" s="33"/>
      <c r="O15655" s="33"/>
      <c r="P15655" s="33"/>
      <c r="Q15655" s="31" t="str">
        <f t="shared" si="949"/>
        <v/>
      </c>
      <c r="R15655" s="32" t="str">
        <f>IFERROR(VLOOKUP($D15655,'Informations sur les produits'!$A$3:$B$15000,2,FALSE),"")</f>
        <v/>
      </c>
    </row>
    <row r="15656" spans="7:18" x14ac:dyDescent="0.25">
      <c r="G15656" s="33"/>
      <c r="O15656" s="33"/>
      <c r="P15656" s="33"/>
      <c r="Q15656" s="31" t="str">
        <f t="shared" si="949"/>
        <v/>
      </c>
      <c r="R15656" s="32" t="str">
        <f>IFERROR(VLOOKUP($D15656,'Informations sur les produits'!$A$3:$B$15000,2,FALSE),"")</f>
        <v/>
      </c>
    </row>
    <row r="15657" spans="7:18" x14ac:dyDescent="0.25">
      <c r="G15657" s="33"/>
      <c r="O15657" s="33"/>
      <c r="P15657" s="33"/>
      <c r="Q15657" s="31" t="str">
        <f t="shared" si="949"/>
        <v/>
      </c>
      <c r="R15657" s="32" t="str">
        <f>IFERROR(VLOOKUP($D15657,'Informations sur les produits'!$A$3:$B$15000,2,FALSE),"")</f>
        <v/>
      </c>
    </row>
    <row r="15658" spans="7:18" x14ac:dyDescent="0.25">
      <c r="G15658" s="33"/>
      <c r="O15658" s="33"/>
      <c r="P15658" s="33"/>
      <c r="Q15658" s="31" t="str">
        <f t="shared" si="949"/>
        <v/>
      </c>
      <c r="R15658" s="32" t="str">
        <f>IFERROR(VLOOKUP($D15658,'Informations sur les produits'!$A$3:$B$15000,2,FALSE),"")</f>
        <v/>
      </c>
    </row>
    <row r="15659" spans="7:18" x14ac:dyDescent="0.25">
      <c r="G15659" s="33"/>
      <c r="O15659" s="33"/>
      <c r="P15659" s="33"/>
      <c r="Q15659" s="31" t="str">
        <f t="shared" si="949"/>
        <v/>
      </c>
      <c r="R15659" s="32" t="str">
        <f>IFERROR(VLOOKUP($D15659,'Informations sur les produits'!$A$3:$B$15000,2,FALSE),"")</f>
        <v/>
      </c>
    </row>
    <row r="15660" spans="7:18" x14ac:dyDescent="0.25">
      <c r="G15660" s="33"/>
      <c r="O15660" s="33"/>
      <c r="P15660" s="33"/>
      <c r="Q15660" s="31" t="str">
        <f t="shared" si="949"/>
        <v/>
      </c>
      <c r="R15660" s="32" t="str">
        <f>IFERROR(VLOOKUP($D15660,'Informations sur les produits'!$A$3:$B$15000,2,FALSE),"")</f>
        <v/>
      </c>
    </row>
    <row r="15661" spans="7:18" x14ac:dyDescent="0.25">
      <c r="G15661" s="33"/>
      <c r="O15661" s="33"/>
      <c r="P15661" s="33"/>
      <c r="Q15661" s="31" t="str">
        <f t="shared" si="949"/>
        <v/>
      </c>
      <c r="R15661" s="32" t="str">
        <f>IFERROR(VLOOKUP($D15661,'Informations sur les produits'!$A$3:$B$15000,2,FALSE),"")</f>
        <v/>
      </c>
    </row>
    <row r="15662" spans="7:18" x14ac:dyDescent="0.25">
      <c r="G15662" s="33"/>
      <c r="O15662" s="33"/>
      <c r="P15662" s="33"/>
      <c r="Q15662" s="31" t="str">
        <f t="shared" si="949"/>
        <v/>
      </c>
      <c r="R15662" s="32" t="str">
        <f>IFERROR(VLOOKUP($D15662,'Informations sur les produits'!$A$3:$B$15000,2,FALSE),"")</f>
        <v/>
      </c>
    </row>
    <row r="15663" spans="7:18" x14ac:dyDescent="0.25">
      <c r="G15663" s="33"/>
      <c r="O15663" s="33"/>
      <c r="P15663" s="33"/>
      <c r="Q15663" s="31" t="str">
        <f t="shared" si="949"/>
        <v/>
      </c>
      <c r="R15663" s="32" t="str">
        <f>IFERROR(VLOOKUP($D15663,'Informations sur les produits'!$A$3:$B$15000,2,FALSE),"")</f>
        <v/>
      </c>
    </row>
    <row r="15664" spans="7:18" x14ac:dyDescent="0.25">
      <c r="G15664" s="33"/>
      <c r="O15664" s="33"/>
      <c r="P15664" s="33"/>
      <c r="Q15664" s="31" t="str">
        <f t="shared" si="949"/>
        <v/>
      </c>
      <c r="R15664" s="32" t="str">
        <f>IFERROR(VLOOKUP($D15664,'Informations sur les produits'!$A$3:$B$15000,2,FALSE),"")</f>
        <v/>
      </c>
    </row>
    <row r="15665" spans="7:18" x14ac:dyDescent="0.25">
      <c r="G15665" s="33"/>
      <c r="O15665" s="33"/>
      <c r="P15665" s="33"/>
      <c r="Q15665" s="31" t="str">
        <f t="shared" si="949"/>
        <v/>
      </c>
      <c r="R15665" s="32" t="str">
        <f>IFERROR(VLOOKUP($D15665,'Informations sur les produits'!$A$3:$B$15000,2,FALSE),"")</f>
        <v/>
      </c>
    </row>
    <row r="15666" spans="7:18" x14ac:dyDescent="0.25">
      <c r="G15666" s="33"/>
      <c r="O15666" s="33"/>
      <c r="P15666" s="33"/>
      <c r="Q15666" s="31" t="str">
        <f t="shared" si="949"/>
        <v/>
      </c>
      <c r="R15666" s="32" t="str">
        <f>IFERROR(VLOOKUP($D15666,'Informations sur les produits'!$A$3:$B$15000,2,FALSE),"")</f>
        <v/>
      </c>
    </row>
    <row r="15667" spans="7:18" x14ac:dyDescent="0.25">
      <c r="G15667" s="33"/>
      <c r="O15667" s="33"/>
      <c r="P15667" s="33"/>
      <c r="Q15667" s="31" t="str">
        <f t="shared" si="949"/>
        <v/>
      </c>
      <c r="R15667" s="32" t="str">
        <f>IFERROR(VLOOKUP($D15667,'Informations sur les produits'!$A$3:$B$15000,2,FALSE),"")</f>
        <v/>
      </c>
    </row>
    <row r="15668" spans="7:18" x14ac:dyDescent="0.25">
      <c r="G15668" s="33"/>
      <c r="O15668" s="33"/>
      <c r="P15668" s="33"/>
      <c r="Q15668" s="31" t="str">
        <f t="shared" si="949"/>
        <v/>
      </c>
      <c r="R15668" s="32" t="str">
        <f>IFERROR(VLOOKUP($D15668,'Informations sur les produits'!$A$3:$B$15000,2,FALSE),"")</f>
        <v/>
      </c>
    </row>
    <row r="15669" spans="7:18" x14ac:dyDescent="0.25">
      <c r="G15669" s="33"/>
      <c r="O15669" s="33"/>
      <c r="P15669" s="33"/>
      <c r="Q15669" s="31" t="str">
        <f t="shared" si="949"/>
        <v/>
      </c>
      <c r="R15669" s="32" t="str">
        <f>IFERROR(VLOOKUP($D15669,'Informations sur les produits'!$A$3:$B$15000,2,FALSE),"")</f>
        <v/>
      </c>
    </row>
    <row r="15670" spans="7:18" x14ac:dyDescent="0.25">
      <c r="G15670" s="33"/>
      <c r="O15670" s="33"/>
      <c r="P15670" s="33"/>
      <c r="Q15670" s="31" t="str">
        <f t="shared" si="949"/>
        <v/>
      </c>
      <c r="R15670" s="32" t="str">
        <f>IFERROR(VLOOKUP($D15670,'Informations sur les produits'!$A$3:$B$15000,2,FALSE),"")</f>
        <v/>
      </c>
    </row>
    <row r="15671" spans="7:18" x14ac:dyDescent="0.25">
      <c r="G15671" s="33"/>
      <c r="O15671" s="33"/>
      <c r="P15671" s="33"/>
      <c r="Q15671" s="31" t="str">
        <f t="shared" si="949"/>
        <v/>
      </c>
      <c r="R15671" s="32" t="str">
        <f>IFERROR(VLOOKUP($D15671,'Informations sur les produits'!$A$3:$B$15000,2,FALSE),"")</f>
        <v/>
      </c>
    </row>
    <row r="15672" spans="7:18" x14ac:dyDescent="0.25">
      <c r="G15672" s="33"/>
      <c r="O15672" s="33"/>
      <c r="P15672" s="33"/>
      <c r="Q15672" s="31" t="str">
        <f t="shared" si="949"/>
        <v/>
      </c>
      <c r="R15672" s="32" t="str">
        <f>IFERROR(VLOOKUP($D15672,'Informations sur les produits'!$A$3:$B$15000,2,FALSE),"")</f>
        <v/>
      </c>
    </row>
    <row r="15673" spans="7:18" x14ac:dyDescent="0.25">
      <c r="G15673" s="33"/>
      <c r="O15673" s="33"/>
      <c r="P15673" s="33"/>
      <c r="Q15673" s="31" t="str">
        <f t="shared" si="949"/>
        <v/>
      </c>
      <c r="R15673" s="32" t="str">
        <f>IFERROR(VLOOKUP($D15673,'Informations sur les produits'!$A$3:$B$15000,2,FALSE),"")</f>
        <v/>
      </c>
    </row>
    <row r="15674" spans="7:18" x14ac:dyDescent="0.25">
      <c r="G15674" s="33"/>
      <c r="O15674" s="33"/>
      <c r="P15674" s="33"/>
      <c r="Q15674" s="31" t="str">
        <f t="shared" si="949"/>
        <v/>
      </c>
      <c r="R15674" s="32" t="str">
        <f>IFERROR(VLOOKUP($D15674,'Informations sur les produits'!$A$3:$B$15000,2,FALSE),"")</f>
        <v/>
      </c>
    </row>
    <row r="15675" spans="7:18" x14ac:dyDescent="0.25">
      <c r="G15675" s="33"/>
      <c r="O15675" s="33"/>
      <c r="P15675" s="33"/>
      <c r="Q15675" s="31" t="str">
        <f t="shared" si="949"/>
        <v/>
      </c>
      <c r="R15675" s="32" t="str">
        <f>IFERROR(VLOOKUP($D15675,'Informations sur les produits'!$A$3:$B$15000,2,FALSE),"")</f>
        <v/>
      </c>
    </row>
    <row r="15676" spans="7:18" x14ac:dyDescent="0.25">
      <c r="G15676" s="33"/>
      <c r="O15676" s="33"/>
      <c r="P15676" s="33"/>
      <c r="Q15676" s="31" t="str">
        <f t="shared" si="949"/>
        <v/>
      </c>
      <c r="R15676" s="32" t="str">
        <f>IFERROR(VLOOKUP($D15676,'Informations sur les produits'!$A$3:$B$15000,2,FALSE),"")</f>
        <v/>
      </c>
    </row>
    <row r="15677" spans="7:18" x14ac:dyDescent="0.25">
      <c r="G15677" s="33"/>
      <c r="O15677" s="33"/>
      <c r="P15677" s="33"/>
      <c r="Q15677" s="31" t="str">
        <f t="shared" si="949"/>
        <v/>
      </c>
      <c r="R15677" s="32" t="str">
        <f>IFERROR(VLOOKUP($D15677,'Informations sur les produits'!$A$3:$B$15000,2,FALSE),"")</f>
        <v/>
      </c>
    </row>
    <row r="15678" spans="7:18" x14ac:dyDescent="0.25">
      <c r="G15678" s="33"/>
      <c r="O15678" s="33"/>
      <c r="P15678" s="33"/>
      <c r="Q15678" s="31" t="str">
        <f t="shared" si="949"/>
        <v/>
      </c>
      <c r="R15678" s="32" t="str">
        <f>IFERROR(VLOOKUP($D15678,'Informations sur les produits'!$A$3:$B$15000,2,FALSE),"")</f>
        <v/>
      </c>
    </row>
    <row r="15679" spans="7:18" x14ac:dyDescent="0.25">
      <c r="G15679" s="33"/>
      <c r="O15679" s="33"/>
      <c r="P15679" s="33"/>
      <c r="Q15679" s="31" t="str">
        <f t="shared" si="949"/>
        <v/>
      </c>
      <c r="R15679" s="32" t="str">
        <f>IFERROR(VLOOKUP($D15679,'Informations sur les produits'!$A$3:$B$15000,2,FALSE),"")</f>
        <v/>
      </c>
    </row>
    <row r="15680" spans="7:18" x14ac:dyDescent="0.25">
      <c r="G15680" s="33"/>
      <c r="O15680" s="33"/>
      <c r="P15680" s="33"/>
      <c r="Q15680" s="31" t="str">
        <f t="shared" si="949"/>
        <v/>
      </c>
      <c r="R15680" s="32" t="str">
        <f>IFERROR(VLOOKUP($D15680,'Informations sur les produits'!$A$3:$B$15000,2,FALSE),"")</f>
        <v/>
      </c>
    </row>
    <row r="15681" spans="7:18" x14ac:dyDescent="0.25">
      <c r="G15681" s="33"/>
      <c r="O15681" s="33"/>
      <c r="P15681" s="33"/>
      <c r="Q15681" s="31" t="str">
        <f t="shared" si="949"/>
        <v/>
      </c>
      <c r="R15681" s="32" t="str">
        <f>IFERROR(VLOOKUP($D15681,'Informations sur les produits'!$A$3:$B$15000,2,FALSE),"")</f>
        <v/>
      </c>
    </row>
    <row r="15682" spans="7:18" x14ac:dyDescent="0.25">
      <c r="G15682" s="33"/>
      <c r="O15682" s="33"/>
      <c r="P15682" s="33"/>
      <c r="Q15682" s="31" t="str">
        <f t="shared" si="949"/>
        <v/>
      </c>
      <c r="R15682" s="32" t="str">
        <f>IFERROR(VLOOKUP($D15682,'Informations sur les produits'!$A$3:$B$15000,2,FALSE),"")</f>
        <v/>
      </c>
    </row>
    <row r="15683" spans="7:18" x14ac:dyDescent="0.25">
      <c r="G15683" s="33"/>
      <c r="O15683" s="33"/>
      <c r="P15683" s="33"/>
      <c r="Q15683" s="31" t="str">
        <f t="shared" si="949"/>
        <v/>
      </c>
      <c r="R15683" s="32" t="str">
        <f>IFERROR(VLOOKUP($D15683,'Informations sur les produits'!$A$3:$B$15000,2,FALSE),"")</f>
        <v/>
      </c>
    </row>
    <row r="15684" spans="7:18" x14ac:dyDescent="0.25">
      <c r="G15684" s="33"/>
      <c r="O15684" s="33"/>
      <c r="P15684" s="33"/>
      <c r="Q15684" s="31" t="str">
        <f t="shared" ref="Q15684:Q15747" si="950">IFERROR((((($E15684-$F15684)*$G15684+$K15684*$L15684+$N15684*$O15684)*1000)/(($E15684-$F15684)+$K15684+$N15684)),"")</f>
        <v/>
      </c>
      <c r="R15684" s="32" t="str">
        <f>IFERROR(VLOOKUP($D15684,'Informations sur les produits'!$A$3:$B$15000,2,FALSE),"")</f>
        <v/>
      </c>
    </row>
    <row r="15685" spans="7:18" x14ac:dyDescent="0.25">
      <c r="G15685" s="33"/>
      <c r="O15685" s="33"/>
      <c r="P15685" s="33"/>
      <c r="Q15685" s="31" t="str">
        <f t="shared" si="950"/>
        <v/>
      </c>
      <c r="R15685" s="32" t="str">
        <f>IFERROR(VLOOKUP($D15685,'Informations sur les produits'!$A$3:$B$15000,2,FALSE),"")</f>
        <v/>
      </c>
    </row>
    <row r="15686" spans="7:18" x14ac:dyDescent="0.25">
      <c r="G15686" s="33"/>
      <c r="O15686" s="33"/>
      <c r="P15686" s="33"/>
      <c r="Q15686" s="31" t="str">
        <f t="shared" si="950"/>
        <v/>
      </c>
      <c r="R15686" s="32" t="str">
        <f>IFERROR(VLOOKUP($D15686,'Informations sur les produits'!$A$3:$B$15000,2,FALSE),"")</f>
        <v/>
      </c>
    </row>
    <row r="15687" spans="7:18" x14ac:dyDescent="0.25">
      <c r="G15687" s="33"/>
      <c r="O15687" s="33"/>
      <c r="P15687" s="33"/>
      <c r="Q15687" s="31" t="str">
        <f t="shared" si="950"/>
        <v/>
      </c>
      <c r="R15687" s="32" t="str">
        <f>IFERROR(VLOOKUP($D15687,'Informations sur les produits'!$A$3:$B$15000,2,FALSE),"")</f>
        <v/>
      </c>
    </row>
    <row r="15688" spans="7:18" x14ac:dyDescent="0.25">
      <c r="G15688" s="33"/>
      <c r="O15688" s="33"/>
      <c r="P15688" s="33"/>
      <c r="Q15688" s="31" t="str">
        <f t="shared" si="950"/>
        <v/>
      </c>
      <c r="R15688" s="32" t="str">
        <f>IFERROR(VLOOKUP($D15688,'Informations sur les produits'!$A$3:$B$15000,2,FALSE),"")</f>
        <v/>
      </c>
    </row>
    <row r="15689" spans="7:18" x14ac:dyDescent="0.25">
      <c r="G15689" s="33"/>
      <c r="O15689" s="33"/>
      <c r="P15689" s="33"/>
      <c r="Q15689" s="31" t="str">
        <f t="shared" si="950"/>
        <v/>
      </c>
      <c r="R15689" s="32" t="str">
        <f>IFERROR(VLOOKUP($D15689,'Informations sur les produits'!$A$3:$B$15000,2,FALSE),"")</f>
        <v/>
      </c>
    </row>
    <row r="15690" spans="7:18" x14ac:dyDescent="0.25">
      <c r="G15690" s="33"/>
      <c r="O15690" s="33"/>
      <c r="P15690" s="33"/>
      <c r="Q15690" s="31" t="str">
        <f t="shared" si="950"/>
        <v/>
      </c>
      <c r="R15690" s="32" t="str">
        <f>IFERROR(VLOOKUP($D15690,'Informations sur les produits'!$A$3:$B$15000,2,FALSE),"")</f>
        <v/>
      </c>
    </row>
    <row r="15691" spans="7:18" x14ac:dyDescent="0.25">
      <c r="G15691" s="33"/>
      <c r="O15691" s="33"/>
      <c r="P15691" s="33"/>
      <c r="Q15691" s="31" t="str">
        <f t="shared" si="950"/>
        <v/>
      </c>
      <c r="R15691" s="32" t="str">
        <f>IFERROR(VLOOKUP($D15691,'Informations sur les produits'!$A$3:$B$15000,2,FALSE),"")</f>
        <v/>
      </c>
    </row>
    <row r="15692" spans="7:18" x14ac:dyDescent="0.25">
      <c r="G15692" s="33"/>
      <c r="O15692" s="33"/>
      <c r="P15692" s="33"/>
      <c r="Q15692" s="31" t="str">
        <f t="shared" si="950"/>
        <v/>
      </c>
      <c r="R15692" s="32" t="str">
        <f>IFERROR(VLOOKUP($D15692,'Informations sur les produits'!$A$3:$B$15000,2,FALSE),"")</f>
        <v/>
      </c>
    </row>
    <row r="15693" spans="7:18" x14ac:dyDescent="0.25">
      <c r="G15693" s="33"/>
      <c r="O15693" s="33"/>
      <c r="P15693" s="33"/>
      <c r="Q15693" s="31" t="str">
        <f t="shared" si="950"/>
        <v/>
      </c>
      <c r="R15693" s="32" t="str">
        <f>IFERROR(VLOOKUP($D15693,'Informations sur les produits'!$A$3:$B$15000,2,FALSE),"")</f>
        <v/>
      </c>
    </row>
    <row r="15694" spans="7:18" x14ac:dyDescent="0.25">
      <c r="G15694" s="33"/>
      <c r="O15694" s="33"/>
      <c r="P15694" s="33"/>
      <c r="Q15694" s="31" t="str">
        <f t="shared" si="950"/>
        <v/>
      </c>
      <c r="R15694" s="32" t="str">
        <f>IFERROR(VLOOKUP($D15694,'Informations sur les produits'!$A$3:$B$15000,2,FALSE),"")</f>
        <v/>
      </c>
    </row>
    <row r="15695" spans="7:18" x14ac:dyDescent="0.25">
      <c r="G15695" s="33"/>
      <c r="O15695" s="33"/>
      <c r="P15695" s="33"/>
      <c r="Q15695" s="31" t="str">
        <f t="shared" si="950"/>
        <v/>
      </c>
      <c r="R15695" s="32" t="str">
        <f>IFERROR(VLOOKUP($D15695,'Informations sur les produits'!$A$3:$B$15000,2,FALSE),"")</f>
        <v/>
      </c>
    </row>
    <row r="15696" spans="7:18" x14ac:dyDescent="0.25">
      <c r="G15696" s="33"/>
      <c r="O15696" s="33"/>
      <c r="P15696" s="33"/>
      <c r="Q15696" s="31" t="str">
        <f t="shared" si="950"/>
        <v/>
      </c>
      <c r="R15696" s="32" t="str">
        <f>IFERROR(VLOOKUP($D15696,'Informations sur les produits'!$A$3:$B$15000,2,FALSE),"")</f>
        <v/>
      </c>
    </row>
    <row r="15697" spans="7:18" x14ac:dyDescent="0.25">
      <c r="G15697" s="33"/>
      <c r="O15697" s="33"/>
      <c r="P15697" s="33"/>
      <c r="Q15697" s="31" t="str">
        <f t="shared" si="950"/>
        <v/>
      </c>
      <c r="R15697" s="32" t="str">
        <f>IFERROR(VLOOKUP($D15697,'Informations sur les produits'!$A$3:$B$15000,2,FALSE),"")</f>
        <v/>
      </c>
    </row>
    <row r="15698" spans="7:18" x14ac:dyDescent="0.25">
      <c r="G15698" s="33"/>
      <c r="O15698" s="33"/>
      <c r="P15698" s="33"/>
      <c r="Q15698" s="31" t="str">
        <f t="shared" si="950"/>
        <v/>
      </c>
      <c r="R15698" s="32" t="str">
        <f>IFERROR(VLOOKUP($D15698,'Informations sur les produits'!$A$3:$B$15000,2,FALSE),"")</f>
        <v/>
      </c>
    </row>
    <row r="15699" spans="7:18" x14ac:dyDescent="0.25">
      <c r="G15699" s="33"/>
      <c r="O15699" s="33"/>
      <c r="P15699" s="33"/>
      <c r="Q15699" s="31" t="str">
        <f t="shared" si="950"/>
        <v/>
      </c>
      <c r="R15699" s="32" t="str">
        <f>IFERROR(VLOOKUP($D15699,'Informations sur les produits'!$A$3:$B$15000,2,FALSE),"")</f>
        <v/>
      </c>
    </row>
    <row r="15700" spans="7:18" x14ac:dyDescent="0.25">
      <c r="G15700" s="33"/>
      <c r="O15700" s="33"/>
      <c r="P15700" s="33"/>
      <c r="Q15700" s="31" t="str">
        <f t="shared" si="950"/>
        <v/>
      </c>
      <c r="R15700" s="32" t="str">
        <f>IFERROR(VLOOKUP($D15700,'Informations sur les produits'!$A$3:$B$15000,2,FALSE),"")</f>
        <v/>
      </c>
    </row>
    <row r="15701" spans="7:18" x14ac:dyDescent="0.25">
      <c r="G15701" s="33"/>
      <c r="O15701" s="33"/>
      <c r="P15701" s="33"/>
      <c r="Q15701" s="31" t="str">
        <f t="shared" si="950"/>
        <v/>
      </c>
      <c r="R15701" s="32" t="str">
        <f>IFERROR(VLOOKUP($D15701,'Informations sur les produits'!$A$3:$B$15000,2,FALSE),"")</f>
        <v/>
      </c>
    </row>
    <row r="15702" spans="7:18" x14ac:dyDescent="0.25">
      <c r="G15702" s="33"/>
      <c r="O15702" s="33"/>
      <c r="P15702" s="33"/>
      <c r="Q15702" s="31" t="str">
        <f t="shared" si="950"/>
        <v/>
      </c>
      <c r="R15702" s="32" t="str">
        <f>IFERROR(VLOOKUP($D15702,'Informations sur les produits'!$A$3:$B$15000,2,FALSE),"")</f>
        <v/>
      </c>
    </row>
    <row r="15703" spans="7:18" x14ac:dyDescent="0.25">
      <c r="G15703" s="33"/>
      <c r="O15703" s="33"/>
      <c r="P15703" s="33"/>
      <c r="Q15703" s="31" t="str">
        <f t="shared" si="950"/>
        <v/>
      </c>
      <c r="R15703" s="32" t="str">
        <f>IFERROR(VLOOKUP($D15703,'Informations sur les produits'!$A$3:$B$15000,2,FALSE),"")</f>
        <v/>
      </c>
    </row>
    <row r="15704" spans="7:18" x14ac:dyDescent="0.25">
      <c r="G15704" s="33"/>
      <c r="O15704" s="33"/>
      <c r="P15704" s="33"/>
      <c r="Q15704" s="31" t="str">
        <f t="shared" si="950"/>
        <v/>
      </c>
      <c r="R15704" s="32" t="str">
        <f>IFERROR(VLOOKUP($D15704,'Informations sur les produits'!$A$3:$B$15000,2,FALSE),"")</f>
        <v/>
      </c>
    </row>
    <row r="15705" spans="7:18" x14ac:dyDescent="0.25">
      <c r="G15705" s="33"/>
      <c r="O15705" s="33"/>
      <c r="P15705" s="33"/>
      <c r="Q15705" s="31" t="str">
        <f t="shared" si="950"/>
        <v/>
      </c>
      <c r="R15705" s="32" t="str">
        <f>IFERROR(VLOOKUP($D15705,'Informations sur les produits'!$A$3:$B$15000,2,FALSE),"")</f>
        <v/>
      </c>
    </row>
    <row r="15706" spans="7:18" x14ac:dyDescent="0.25">
      <c r="G15706" s="33"/>
      <c r="O15706" s="33"/>
      <c r="P15706" s="33"/>
      <c r="Q15706" s="31" t="str">
        <f t="shared" si="950"/>
        <v/>
      </c>
      <c r="R15706" s="32" t="str">
        <f>IFERROR(VLOOKUP($D15706,'Informations sur les produits'!$A$3:$B$15000,2,FALSE),"")</f>
        <v/>
      </c>
    </row>
    <row r="15707" spans="7:18" x14ac:dyDescent="0.25">
      <c r="G15707" s="33"/>
      <c r="O15707" s="33"/>
      <c r="P15707" s="33"/>
      <c r="Q15707" s="31" t="str">
        <f t="shared" si="950"/>
        <v/>
      </c>
      <c r="R15707" s="32" t="str">
        <f>IFERROR(VLOOKUP($D15707,'Informations sur les produits'!$A$3:$B$15000,2,FALSE),"")</f>
        <v/>
      </c>
    </row>
    <row r="15708" spans="7:18" x14ac:dyDescent="0.25">
      <c r="G15708" s="33"/>
      <c r="O15708" s="33"/>
      <c r="P15708" s="33"/>
      <c r="Q15708" s="31" t="str">
        <f t="shared" si="950"/>
        <v/>
      </c>
      <c r="R15708" s="32" t="str">
        <f>IFERROR(VLOOKUP($D15708,'Informations sur les produits'!$A$3:$B$15000,2,FALSE),"")</f>
        <v/>
      </c>
    </row>
    <row r="15709" spans="7:18" x14ac:dyDescent="0.25">
      <c r="G15709" s="33"/>
      <c r="O15709" s="33"/>
      <c r="P15709" s="33"/>
      <c r="Q15709" s="31" t="str">
        <f t="shared" si="950"/>
        <v/>
      </c>
      <c r="R15709" s="32" t="str">
        <f>IFERROR(VLOOKUP($D15709,'Informations sur les produits'!$A$3:$B$15000,2,FALSE),"")</f>
        <v/>
      </c>
    </row>
    <row r="15710" spans="7:18" x14ac:dyDescent="0.25">
      <c r="G15710" s="33"/>
      <c r="O15710" s="33"/>
      <c r="P15710" s="33"/>
      <c r="Q15710" s="31" t="str">
        <f t="shared" si="950"/>
        <v/>
      </c>
      <c r="R15710" s="32" t="str">
        <f>IFERROR(VLOOKUP($D15710,'Informations sur les produits'!$A$3:$B$15000,2,FALSE),"")</f>
        <v/>
      </c>
    </row>
    <row r="15711" spans="7:18" x14ac:dyDescent="0.25">
      <c r="G15711" s="33"/>
      <c r="O15711" s="33"/>
      <c r="P15711" s="33"/>
      <c r="Q15711" s="31" t="str">
        <f t="shared" si="950"/>
        <v/>
      </c>
      <c r="R15711" s="32" t="str">
        <f>IFERROR(VLOOKUP($D15711,'Informations sur les produits'!$A$3:$B$15000,2,FALSE),"")</f>
        <v/>
      </c>
    </row>
    <row r="15712" spans="7:18" x14ac:dyDescent="0.25">
      <c r="G15712" s="33"/>
      <c r="O15712" s="33"/>
      <c r="P15712" s="33"/>
      <c r="Q15712" s="31" t="str">
        <f t="shared" si="950"/>
        <v/>
      </c>
      <c r="R15712" s="32" t="str">
        <f>IFERROR(VLOOKUP($D15712,'Informations sur les produits'!$A$3:$B$15000,2,FALSE),"")</f>
        <v/>
      </c>
    </row>
    <row r="15713" spans="7:18" x14ac:dyDescent="0.25">
      <c r="G15713" s="33"/>
      <c r="O15713" s="33"/>
      <c r="P15713" s="33"/>
      <c r="Q15713" s="31" t="str">
        <f t="shared" si="950"/>
        <v/>
      </c>
      <c r="R15713" s="32" t="str">
        <f>IFERROR(VLOOKUP($D15713,'Informations sur les produits'!$A$3:$B$15000,2,FALSE),"")</f>
        <v/>
      </c>
    </row>
    <row r="15714" spans="7:18" x14ac:dyDescent="0.25">
      <c r="G15714" s="33"/>
      <c r="O15714" s="33"/>
      <c r="P15714" s="33"/>
      <c r="Q15714" s="31" t="str">
        <f t="shared" si="950"/>
        <v/>
      </c>
      <c r="R15714" s="32" t="str">
        <f>IFERROR(VLOOKUP($D15714,'Informations sur les produits'!$A$3:$B$15000,2,FALSE),"")</f>
        <v/>
      </c>
    </row>
    <row r="15715" spans="7:18" x14ac:dyDescent="0.25">
      <c r="G15715" s="33"/>
      <c r="O15715" s="33"/>
      <c r="P15715" s="33"/>
      <c r="Q15715" s="31" t="str">
        <f t="shared" si="950"/>
        <v/>
      </c>
      <c r="R15715" s="32" t="str">
        <f>IFERROR(VLOOKUP($D15715,'Informations sur les produits'!$A$3:$B$15000,2,FALSE),"")</f>
        <v/>
      </c>
    </row>
    <row r="15716" spans="7:18" x14ac:dyDescent="0.25">
      <c r="G15716" s="33"/>
      <c r="O15716" s="33"/>
      <c r="P15716" s="33"/>
      <c r="Q15716" s="31" t="str">
        <f t="shared" si="950"/>
        <v/>
      </c>
      <c r="R15716" s="32" t="str">
        <f>IFERROR(VLOOKUP($D15716,'Informations sur les produits'!$A$3:$B$15000,2,FALSE),"")</f>
        <v/>
      </c>
    </row>
    <row r="15717" spans="7:18" x14ac:dyDescent="0.25">
      <c r="G15717" s="33"/>
      <c r="O15717" s="33"/>
      <c r="P15717" s="33"/>
      <c r="Q15717" s="31" t="str">
        <f t="shared" si="950"/>
        <v/>
      </c>
      <c r="R15717" s="32" t="str">
        <f>IFERROR(VLOOKUP($D15717,'Informations sur les produits'!$A$3:$B$15000,2,FALSE),"")</f>
        <v/>
      </c>
    </row>
    <row r="15718" spans="7:18" x14ac:dyDescent="0.25">
      <c r="G15718" s="33"/>
      <c r="O15718" s="33"/>
      <c r="P15718" s="33"/>
      <c r="Q15718" s="31" t="str">
        <f t="shared" si="950"/>
        <v/>
      </c>
      <c r="R15718" s="32" t="str">
        <f>IFERROR(VLOOKUP($D15718,'Informations sur les produits'!$A$3:$B$15000,2,FALSE),"")</f>
        <v/>
      </c>
    </row>
    <row r="15719" spans="7:18" x14ac:dyDescent="0.25">
      <c r="G15719" s="33"/>
      <c r="O15719" s="33"/>
      <c r="P15719" s="33"/>
      <c r="Q15719" s="31" t="str">
        <f t="shared" si="950"/>
        <v/>
      </c>
      <c r="R15719" s="32" t="str">
        <f>IFERROR(VLOOKUP($D15719,'Informations sur les produits'!$A$3:$B$15000,2,FALSE),"")</f>
        <v/>
      </c>
    </row>
    <row r="15720" spans="7:18" x14ac:dyDescent="0.25">
      <c r="G15720" s="33"/>
      <c r="O15720" s="33"/>
      <c r="P15720" s="33"/>
      <c r="Q15720" s="31" t="str">
        <f t="shared" si="950"/>
        <v/>
      </c>
      <c r="R15720" s="32" t="str">
        <f>IFERROR(VLOOKUP($D15720,'Informations sur les produits'!$A$3:$B$15000,2,FALSE),"")</f>
        <v/>
      </c>
    </row>
    <row r="15721" spans="7:18" x14ac:dyDescent="0.25">
      <c r="G15721" s="33"/>
      <c r="O15721" s="33"/>
      <c r="P15721" s="33"/>
      <c r="Q15721" s="31" t="str">
        <f t="shared" si="950"/>
        <v/>
      </c>
      <c r="R15721" s="32" t="str">
        <f>IFERROR(VLOOKUP($D15721,'Informations sur les produits'!$A$3:$B$15000,2,FALSE),"")</f>
        <v/>
      </c>
    </row>
    <row r="15722" spans="7:18" x14ac:dyDescent="0.25">
      <c r="G15722" s="33"/>
      <c r="O15722" s="33"/>
      <c r="P15722" s="33"/>
      <c r="Q15722" s="31" t="str">
        <f t="shared" si="950"/>
        <v/>
      </c>
      <c r="R15722" s="32" t="str">
        <f>IFERROR(VLOOKUP($D15722,'Informations sur les produits'!$A$3:$B$15000,2,FALSE),"")</f>
        <v/>
      </c>
    </row>
    <row r="15723" spans="7:18" x14ac:dyDescent="0.25">
      <c r="G15723" s="33"/>
      <c r="O15723" s="33"/>
      <c r="P15723" s="33"/>
      <c r="Q15723" s="31" t="str">
        <f t="shared" si="950"/>
        <v/>
      </c>
      <c r="R15723" s="32" t="str">
        <f>IFERROR(VLOOKUP($D15723,'Informations sur les produits'!$A$3:$B$15000,2,FALSE),"")</f>
        <v/>
      </c>
    </row>
    <row r="15724" spans="7:18" x14ac:dyDescent="0.25">
      <c r="G15724" s="33"/>
      <c r="O15724" s="33"/>
      <c r="P15724" s="33"/>
      <c r="Q15724" s="31" t="str">
        <f t="shared" si="950"/>
        <v/>
      </c>
      <c r="R15724" s="32" t="str">
        <f>IFERROR(VLOOKUP($D15724,'Informations sur les produits'!$A$3:$B$15000,2,FALSE),"")</f>
        <v/>
      </c>
    </row>
    <row r="15725" spans="7:18" x14ac:dyDescent="0.25">
      <c r="G15725" s="33"/>
      <c r="O15725" s="33"/>
      <c r="P15725" s="33"/>
      <c r="Q15725" s="31" t="str">
        <f t="shared" si="950"/>
        <v/>
      </c>
      <c r="R15725" s="32" t="str">
        <f>IFERROR(VLOOKUP($D15725,'Informations sur les produits'!$A$3:$B$15000,2,FALSE),"")</f>
        <v/>
      </c>
    </row>
    <row r="15726" spans="7:18" x14ac:dyDescent="0.25">
      <c r="G15726" s="33"/>
      <c r="O15726" s="33"/>
      <c r="P15726" s="33"/>
      <c r="Q15726" s="31" t="str">
        <f t="shared" si="950"/>
        <v/>
      </c>
      <c r="R15726" s="32" t="str">
        <f>IFERROR(VLOOKUP($D15726,'Informations sur les produits'!$A$3:$B$15000,2,FALSE),"")</f>
        <v/>
      </c>
    </row>
    <row r="15727" spans="7:18" x14ac:dyDescent="0.25">
      <c r="G15727" s="33"/>
      <c r="O15727" s="33"/>
      <c r="P15727" s="33"/>
      <c r="Q15727" s="31" t="str">
        <f t="shared" si="950"/>
        <v/>
      </c>
      <c r="R15727" s="32" t="str">
        <f>IFERROR(VLOOKUP($D15727,'Informations sur les produits'!$A$3:$B$15000,2,FALSE),"")</f>
        <v/>
      </c>
    </row>
    <row r="15728" spans="7:18" x14ac:dyDescent="0.25">
      <c r="G15728" s="33"/>
      <c r="O15728" s="33"/>
      <c r="P15728" s="33"/>
      <c r="Q15728" s="31" t="str">
        <f t="shared" si="950"/>
        <v/>
      </c>
      <c r="R15728" s="32" t="str">
        <f>IFERROR(VLOOKUP($D15728,'Informations sur les produits'!$A$3:$B$15000,2,FALSE),"")</f>
        <v/>
      </c>
    </row>
    <row r="15729" spans="7:18" x14ac:dyDescent="0.25">
      <c r="G15729" s="33"/>
      <c r="O15729" s="33"/>
      <c r="P15729" s="33"/>
      <c r="Q15729" s="31" t="str">
        <f t="shared" si="950"/>
        <v/>
      </c>
      <c r="R15729" s="32" t="str">
        <f>IFERROR(VLOOKUP($D15729,'Informations sur les produits'!$A$3:$B$15000,2,FALSE),"")</f>
        <v/>
      </c>
    </row>
    <row r="15730" spans="7:18" x14ac:dyDescent="0.25">
      <c r="G15730" s="33"/>
      <c r="O15730" s="33"/>
      <c r="P15730" s="33"/>
      <c r="Q15730" s="31" t="str">
        <f t="shared" si="950"/>
        <v/>
      </c>
      <c r="R15730" s="32" t="str">
        <f>IFERROR(VLOOKUP($D15730,'Informations sur les produits'!$A$3:$B$15000,2,FALSE),"")</f>
        <v/>
      </c>
    </row>
    <row r="15731" spans="7:18" x14ac:dyDescent="0.25">
      <c r="G15731" s="33"/>
      <c r="O15731" s="33"/>
      <c r="P15731" s="33"/>
      <c r="Q15731" s="31" t="str">
        <f t="shared" si="950"/>
        <v/>
      </c>
      <c r="R15731" s="32" t="str">
        <f>IFERROR(VLOOKUP($D15731,'Informations sur les produits'!$A$3:$B$15000,2,FALSE),"")</f>
        <v/>
      </c>
    </row>
    <row r="15732" spans="7:18" x14ac:dyDescent="0.25">
      <c r="G15732" s="33"/>
      <c r="O15732" s="33"/>
      <c r="P15732" s="33"/>
      <c r="Q15732" s="31" t="str">
        <f t="shared" si="950"/>
        <v/>
      </c>
      <c r="R15732" s="32" t="str">
        <f>IFERROR(VLOOKUP($D15732,'Informations sur les produits'!$A$3:$B$15000,2,FALSE),"")</f>
        <v/>
      </c>
    </row>
    <row r="15733" spans="7:18" x14ac:dyDescent="0.25">
      <c r="G15733" s="33"/>
      <c r="O15733" s="33"/>
      <c r="P15733" s="33"/>
      <c r="Q15733" s="31" t="str">
        <f t="shared" si="950"/>
        <v/>
      </c>
      <c r="R15733" s="32" t="str">
        <f>IFERROR(VLOOKUP($D15733,'Informations sur les produits'!$A$3:$B$15000,2,FALSE),"")</f>
        <v/>
      </c>
    </row>
    <row r="15734" spans="7:18" x14ac:dyDescent="0.25">
      <c r="G15734" s="33"/>
      <c r="O15734" s="33"/>
      <c r="P15734" s="33"/>
      <c r="Q15734" s="31" t="str">
        <f t="shared" si="950"/>
        <v/>
      </c>
      <c r="R15734" s="32" t="str">
        <f>IFERROR(VLOOKUP($D15734,'Informations sur les produits'!$A$3:$B$15000,2,FALSE),"")</f>
        <v/>
      </c>
    </row>
    <row r="15735" spans="7:18" x14ac:dyDescent="0.25">
      <c r="G15735" s="33"/>
      <c r="O15735" s="33"/>
      <c r="P15735" s="33"/>
      <c r="Q15735" s="31" t="str">
        <f t="shared" si="950"/>
        <v/>
      </c>
      <c r="R15735" s="32" t="str">
        <f>IFERROR(VLOOKUP($D15735,'Informations sur les produits'!$A$3:$B$15000,2,FALSE),"")</f>
        <v/>
      </c>
    </row>
    <row r="15736" spans="7:18" x14ac:dyDescent="0.25">
      <c r="G15736" s="33"/>
      <c r="O15736" s="33"/>
      <c r="P15736" s="33"/>
      <c r="Q15736" s="31" t="str">
        <f t="shared" si="950"/>
        <v/>
      </c>
      <c r="R15736" s="32" t="str">
        <f>IFERROR(VLOOKUP($D15736,'Informations sur les produits'!$A$3:$B$15000,2,FALSE),"")</f>
        <v/>
      </c>
    </row>
    <row r="15737" spans="7:18" x14ac:dyDescent="0.25">
      <c r="G15737" s="33"/>
      <c r="O15737" s="33"/>
      <c r="P15737" s="33"/>
      <c r="Q15737" s="31" t="str">
        <f t="shared" si="950"/>
        <v/>
      </c>
      <c r="R15737" s="32" t="str">
        <f>IFERROR(VLOOKUP($D15737,'Informations sur les produits'!$A$3:$B$15000,2,FALSE),"")</f>
        <v/>
      </c>
    </row>
    <row r="15738" spans="7:18" x14ac:dyDescent="0.25">
      <c r="G15738" s="33"/>
      <c r="O15738" s="33"/>
      <c r="P15738" s="33"/>
      <c r="Q15738" s="31" t="str">
        <f t="shared" si="950"/>
        <v/>
      </c>
      <c r="R15738" s="32" t="str">
        <f>IFERROR(VLOOKUP($D15738,'Informations sur les produits'!$A$3:$B$15000,2,FALSE),"")</f>
        <v/>
      </c>
    </row>
    <row r="15739" spans="7:18" x14ac:dyDescent="0.25">
      <c r="G15739" s="33"/>
      <c r="O15739" s="33"/>
      <c r="P15739" s="33"/>
      <c r="Q15739" s="31" t="str">
        <f t="shared" si="950"/>
        <v/>
      </c>
      <c r="R15739" s="32" t="str">
        <f>IFERROR(VLOOKUP($D15739,'Informations sur les produits'!$A$3:$B$15000,2,FALSE),"")</f>
        <v/>
      </c>
    </row>
    <row r="15740" spans="7:18" x14ac:dyDescent="0.25">
      <c r="G15740" s="33"/>
      <c r="O15740" s="33"/>
      <c r="P15740" s="33"/>
      <c r="Q15740" s="31" t="str">
        <f t="shared" si="950"/>
        <v/>
      </c>
      <c r="R15740" s="32" t="str">
        <f>IFERROR(VLOOKUP($D15740,'Informations sur les produits'!$A$3:$B$15000,2,FALSE),"")</f>
        <v/>
      </c>
    </row>
    <row r="15741" spans="7:18" x14ac:dyDescent="0.25">
      <c r="G15741" s="33"/>
      <c r="O15741" s="33"/>
      <c r="P15741" s="33"/>
      <c r="Q15741" s="31" t="str">
        <f t="shared" si="950"/>
        <v/>
      </c>
      <c r="R15741" s="32" t="str">
        <f>IFERROR(VLOOKUP($D15741,'Informations sur les produits'!$A$3:$B$15000,2,FALSE),"")</f>
        <v/>
      </c>
    </row>
    <row r="15742" spans="7:18" x14ac:dyDescent="0.25">
      <c r="G15742" s="33"/>
      <c r="O15742" s="33"/>
      <c r="P15742" s="33"/>
      <c r="Q15742" s="31" t="str">
        <f t="shared" si="950"/>
        <v/>
      </c>
      <c r="R15742" s="32" t="str">
        <f>IFERROR(VLOOKUP($D15742,'Informations sur les produits'!$A$3:$B$15000,2,FALSE),"")</f>
        <v/>
      </c>
    </row>
    <row r="15743" spans="7:18" x14ac:dyDescent="0.25">
      <c r="G15743" s="33"/>
      <c r="O15743" s="33"/>
      <c r="P15743" s="33"/>
      <c r="Q15743" s="31" t="str">
        <f t="shared" si="950"/>
        <v/>
      </c>
      <c r="R15743" s="32" t="str">
        <f>IFERROR(VLOOKUP($D15743,'Informations sur les produits'!$A$3:$B$15000,2,FALSE),"")</f>
        <v/>
      </c>
    </row>
    <row r="15744" spans="7:18" x14ac:dyDescent="0.25">
      <c r="G15744" s="33"/>
      <c r="O15744" s="33"/>
      <c r="P15744" s="33"/>
      <c r="Q15744" s="31" t="str">
        <f t="shared" si="950"/>
        <v/>
      </c>
      <c r="R15744" s="32" t="str">
        <f>IFERROR(VLOOKUP($D15744,'Informations sur les produits'!$A$3:$B$15000,2,FALSE),"")</f>
        <v/>
      </c>
    </row>
    <row r="15745" spans="7:18" x14ac:dyDescent="0.25">
      <c r="G15745" s="33"/>
      <c r="O15745" s="33"/>
      <c r="P15745" s="33"/>
      <c r="Q15745" s="31" t="str">
        <f t="shared" si="950"/>
        <v/>
      </c>
      <c r="R15745" s="32" t="str">
        <f>IFERROR(VLOOKUP($D15745,'Informations sur les produits'!$A$3:$B$15000,2,FALSE),"")</f>
        <v/>
      </c>
    </row>
    <row r="15746" spans="7:18" x14ac:dyDescent="0.25">
      <c r="G15746" s="33"/>
      <c r="O15746" s="33"/>
      <c r="P15746" s="33"/>
      <c r="Q15746" s="31" t="str">
        <f t="shared" si="950"/>
        <v/>
      </c>
      <c r="R15746" s="32" t="str">
        <f>IFERROR(VLOOKUP($D15746,'Informations sur les produits'!$A$3:$B$15000,2,FALSE),"")</f>
        <v/>
      </c>
    </row>
    <row r="15747" spans="7:18" x14ac:dyDescent="0.25">
      <c r="G15747" s="33"/>
      <c r="O15747" s="33"/>
      <c r="P15747" s="33"/>
      <c r="Q15747" s="31" t="str">
        <f t="shared" si="950"/>
        <v/>
      </c>
      <c r="R15747" s="32" t="str">
        <f>IFERROR(VLOOKUP($D15747,'Informations sur les produits'!$A$3:$B$15000,2,FALSE),"")</f>
        <v/>
      </c>
    </row>
    <row r="15748" spans="7:18" x14ac:dyDescent="0.25">
      <c r="G15748" s="33"/>
      <c r="O15748" s="33"/>
      <c r="P15748" s="33"/>
      <c r="Q15748" s="31" t="str">
        <f t="shared" ref="Q15748:Q15811" si="951">IFERROR((((($E15748-$F15748)*$G15748+$K15748*$L15748+$N15748*$O15748)*1000)/(($E15748-$F15748)+$K15748+$N15748)),"")</f>
        <v/>
      </c>
      <c r="R15748" s="32" t="str">
        <f>IFERROR(VLOOKUP($D15748,'Informations sur les produits'!$A$3:$B$15000,2,FALSE),"")</f>
        <v/>
      </c>
    </row>
    <row r="15749" spans="7:18" x14ac:dyDescent="0.25">
      <c r="G15749" s="33"/>
      <c r="O15749" s="33"/>
      <c r="P15749" s="33"/>
      <c r="Q15749" s="31" t="str">
        <f t="shared" si="951"/>
        <v/>
      </c>
      <c r="R15749" s="32" t="str">
        <f>IFERROR(VLOOKUP($D15749,'Informations sur les produits'!$A$3:$B$15000,2,FALSE),"")</f>
        <v/>
      </c>
    </row>
    <row r="15750" spans="7:18" x14ac:dyDescent="0.25">
      <c r="G15750" s="33"/>
      <c r="O15750" s="33"/>
      <c r="P15750" s="33"/>
      <c r="Q15750" s="31" t="str">
        <f t="shared" si="951"/>
        <v/>
      </c>
      <c r="R15750" s="32" t="str">
        <f>IFERROR(VLOOKUP($D15750,'Informations sur les produits'!$A$3:$B$15000,2,FALSE),"")</f>
        <v/>
      </c>
    </row>
    <row r="15751" spans="7:18" x14ac:dyDescent="0.25">
      <c r="G15751" s="33"/>
      <c r="O15751" s="33"/>
      <c r="P15751" s="33"/>
      <c r="Q15751" s="31" t="str">
        <f t="shared" si="951"/>
        <v/>
      </c>
      <c r="R15751" s="32" t="str">
        <f>IFERROR(VLOOKUP($D15751,'Informations sur les produits'!$A$3:$B$15000,2,FALSE),"")</f>
        <v/>
      </c>
    </row>
    <row r="15752" spans="7:18" x14ac:dyDescent="0.25">
      <c r="G15752" s="33"/>
      <c r="O15752" s="33"/>
      <c r="P15752" s="33"/>
      <c r="Q15752" s="31" t="str">
        <f t="shared" si="951"/>
        <v/>
      </c>
      <c r="R15752" s="32" t="str">
        <f>IFERROR(VLOOKUP($D15752,'Informations sur les produits'!$A$3:$B$15000,2,FALSE),"")</f>
        <v/>
      </c>
    </row>
    <row r="15753" spans="7:18" x14ac:dyDescent="0.25">
      <c r="G15753" s="33"/>
      <c r="O15753" s="33"/>
      <c r="P15753" s="33"/>
      <c r="Q15753" s="31" t="str">
        <f t="shared" si="951"/>
        <v/>
      </c>
      <c r="R15753" s="32" t="str">
        <f>IFERROR(VLOOKUP($D15753,'Informations sur les produits'!$A$3:$B$15000,2,FALSE),"")</f>
        <v/>
      </c>
    </row>
    <row r="15754" spans="7:18" x14ac:dyDescent="0.25">
      <c r="G15754" s="33"/>
      <c r="O15754" s="33"/>
      <c r="P15754" s="33"/>
      <c r="Q15754" s="31" t="str">
        <f t="shared" si="951"/>
        <v/>
      </c>
      <c r="R15754" s="32" t="str">
        <f>IFERROR(VLOOKUP($D15754,'Informations sur les produits'!$A$3:$B$15000,2,FALSE),"")</f>
        <v/>
      </c>
    </row>
    <row r="15755" spans="7:18" x14ac:dyDescent="0.25">
      <c r="G15755" s="33"/>
      <c r="O15755" s="33"/>
      <c r="P15755" s="33"/>
      <c r="Q15755" s="31" t="str">
        <f t="shared" si="951"/>
        <v/>
      </c>
      <c r="R15755" s="32" t="str">
        <f>IFERROR(VLOOKUP($D15755,'Informations sur les produits'!$A$3:$B$15000,2,FALSE),"")</f>
        <v/>
      </c>
    </row>
    <row r="15756" spans="7:18" x14ac:dyDescent="0.25">
      <c r="G15756" s="33"/>
      <c r="O15756" s="33"/>
      <c r="P15756" s="33"/>
      <c r="Q15756" s="31" t="str">
        <f t="shared" si="951"/>
        <v/>
      </c>
      <c r="R15756" s="32" t="str">
        <f>IFERROR(VLOOKUP($D15756,'Informations sur les produits'!$A$3:$B$15000,2,FALSE),"")</f>
        <v/>
      </c>
    </row>
    <row r="15757" spans="7:18" x14ac:dyDescent="0.25">
      <c r="G15757" s="33"/>
      <c r="O15757" s="33"/>
      <c r="P15757" s="33"/>
      <c r="Q15757" s="31" t="str">
        <f t="shared" si="951"/>
        <v/>
      </c>
      <c r="R15757" s="32" t="str">
        <f>IFERROR(VLOOKUP($D15757,'Informations sur les produits'!$A$3:$B$15000,2,FALSE),"")</f>
        <v/>
      </c>
    </row>
    <row r="15758" spans="7:18" x14ac:dyDescent="0.25">
      <c r="G15758" s="33"/>
      <c r="O15758" s="33"/>
      <c r="P15758" s="33"/>
      <c r="Q15758" s="31" t="str">
        <f t="shared" si="951"/>
        <v/>
      </c>
      <c r="R15758" s="32" t="str">
        <f>IFERROR(VLOOKUP($D15758,'Informations sur les produits'!$A$3:$B$15000,2,FALSE),"")</f>
        <v/>
      </c>
    </row>
    <row r="15759" spans="7:18" x14ac:dyDescent="0.25">
      <c r="G15759" s="33"/>
      <c r="O15759" s="33"/>
      <c r="P15759" s="33"/>
      <c r="Q15759" s="31" t="str">
        <f t="shared" si="951"/>
        <v/>
      </c>
      <c r="R15759" s="32" t="str">
        <f>IFERROR(VLOOKUP($D15759,'Informations sur les produits'!$A$3:$B$15000,2,FALSE),"")</f>
        <v/>
      </c>
    </row>
    <row r="15760" spans="7:18" x14ac:dyDescent="0.25">
      <c r="G15760" s="33"/>
      <c r="O15760" s="33"/>
      <c r="P15760" s="33"/>
      <c r="Q15760" s="31" t="str">
        <f t="shared" si="951"/>
        <v/>
      </c>
      <c r="R15760" s="32" t="str">
        <f>IFERROR(VLOOKUP($D15760,'Informations sur les produits'!$A$3:$B$15000,2,FALSE),"")</f>
        <v/>
      </c>
    </row>
    <row r="15761" spans="7:18" x14ac:dyDescent="0.25">
      <c r="G15761" s="33"/>
      <c r="O15761" s="33"/>
      <c r="P15761" s="33"/>
      <c r="Q15761" s="31" t="str">
        <f t="shared" si="951"/>
        <v/>
      </c>
      <c r="R15761" s="32" t="str">
        <f>IFERROR(VLOOKUP($D15761,'Informations sur les produits'!$A$3:$B$15000,2,FALSE),"")</f>
        <v/>
      </c>
    </row>
    <row r="15762" spans="7:18" x14ac:dyDescent="0.25">
      <c r="G15762" s="33"/>
      <c r="O15762" s="33"/>
      <c r="P15762" s="33"/>
      <c r="Q15762" s="31" t="str">
        <f t="shared" si="951"/>
        <v/>
      </c>
      <c r="R15762" s="32" t="str">
        <f>IFERROR(VLOOKUP($D15762,'Informations sur les produits'!$A$3:$B$15000,2,FALSE),"")</f>
        <v/>
      </c>
    </row>
    <row r="15763" spans="7:18" x14ac:dyDescent="0.25">
      <c r="G15763" s="33"/>
      <c r="O15763" s="33"/>
      <c r="P15763" s="33"/>
      <c r="Q15763" s="31" t="str">
        <f t="shared" si="951"/>
        <v/>
      </c>
      <c r="R15763" s="32" t="str">
        <f>IFERROR(VLOOKUP($D15763,'Informations sur les produits'!$A$3:$B$15000,2,FALSE),"")</f>
        <v/>
      </c>
    </row>
    <row r="15764" spans="7:18" x14ac:dyDescent="0.25">
      <c r="G15764" s="33"/>
      <c r="O15764" s="33"/>
      <c r="P15764" s="33"/>
      <c r="Q15764" s="31" t="str">
        <f t="shared" si="951"/>
        <v/>
      </c>
      <c r="R15764" s="32" t="str">
        <f>IFERROR(VLOOKUP($D15764,'Informations sur les produits'!$A$3:$B$15000,2,FALSE),"")</f>
        <v/>
      </c>
    </row>
    <row r="15765" spans="7:18" x14ac:dyDescent="0.25">
      <c r="G15765" s="33"/>
      <c r="O15765" s="33"/>
      <c r="P15765" s="33"/>
      <c r="Q15765" s="31" t="str">
        <f t="shared" si="951"/>
        <v/>
      </c>
      <c r="R15765" s="32" t="str">
        <f>IFERROR(VLOOKUP($D15765,'Informations sur les produits'!$A$3:$B$15000,2,FALSE),"")</f>
        <v/>
      </c>
    </row>
    <row r="15766" spans="7:18" x14ac:dyDescent="0.25">
      <c r="G15766" s="33"/>
      <c r="O15766" s="33"/>
      <c r="P15766" s="33"/>
      <c r="Q15766" s="31" t="str">
        <f t="shared" si="951"/>
        <v/>
      </c>
      <c r="R15766" s="32" t="str">
        <f>IFERROR(VLOOKUP($D15766,'Informations sur les produits'!$A$3:$B$15000,2,FALSE),"")</f>
        <v/>
      </c>
    </row>
    <row r="15767" spans="7:18" x14ac:dyDescent="0.25">
      <c r="G15767" s="33"/>
      <c r="O15767" s="33"/>
      <c r="P15767" s="33"/>
      <c r="Q15767" s="31" t="str">
        <f t="shared" si="951"/>
        <v/>
      </c>
      <c r="R15767" s="32" t="str">
        <f>IFERROR(VLOOKUP($D15767,'Informations sur les produits'!$A$3:$B$15000,2,FALSE),"")</f>
        <v/>
      </c>
    </row>
    <row r="15768" spans="7:18" x14ac:dyDescent="0.25">
      <c r="G15768" s="33"/>
      <c r="O15768" s="33"/>
      <c r="P15768" s="33"/>
      <c r="Q15768" s="31" t="str">
        <f t="shared" si="951"/>
        <v/>
      </c>
      <c r="R15768" s="32" t="str">
        <f>IFERROR(VLOOKUP($D15768,'Informations sur les produits'!$A$3:$B$15000,2,FALSE),"")</f>
        <v/>
      </c>
    </row>
    <row r="15769" spans="7:18" x14ac:dyDescent="0.25">
      <c r="G15769" s="33"/>
      <c r="O15769" s="33"/>
      <c r="P15769" s="33"/>
      <c r="Q15769" s="31" t="str">
        <f t="shared" si="951"/>
        <v/>
      </c>
      <c r="R15769" s="32" t="str">
        <f>IFERROR(VLOOKUP($D15769,'Informations sur les produits'!$A$3:$B$15000,2,FALSE),"")</f>
        <v/>
      </c>
    </row>
    <row r="15770" spans="7:18" x14ac:dyDescent="0.25">
      <c r="G15770" s="33"/>
      <c r="O15770" s="33"/>
      <c r="P15770" s="33"/>
      <c r="Q15770" s="31" t="str">
        <f t="shared" si="951"/>
        <v/>
      </c>
      <c r="R15770" s="32" t="str">
        <f>IFERROR(VLOOKUP($D15770,'Informations sur les produits'!$A$3:$B$15000,2,FALSE),"")</f>
        <v/>
      </c>
    </row>
    <row r="15771" spans="7:18" x14ac:dyDescent="0.25">
      <c r="G15771" s="33"/>
      <c r="O15771" s="33"/>
      <c r="P15771" s="33"/>
      <c r="Q15771" s="31" t="str">
        <f t="shared" si="951"/>
        <v/>
      </c>
      <c r="R15771" s="32" t="str">
        <f>IFERROR(VLOOKUP($D15771,'Informations sur les produits'!$A$3:$B$15000,2,FALSE),"")</f>
        <v/>
      </c>
    </row>
    <row r="15772" spans="7:18" x14ac:dyDescent="0.25">
      <c r="G15772" s="33"/>
      <c r="O15772" s="33"/>
      <c r="P15772" s="33"/>
      <c r="Q15772" s="31" t="str">
        <f t="shared" si="951"/>
        <v/>
      </c>
      <c r="R15772" s="32" t="str">
        <f>IFERROR(VLOOKUP($D15772,'Informations sur les produits'!$A$3:$B$15000,2,FALSE),"")</f>
        <v/>
      </c>
    </row>
    <row r="15773" spans="7:18" x14ac:dyDescent="0.25">
      <c r="G15773" s="33"/>
      <c r="O15773" s="33"/>
      <c r="P15773" s="33"/>
      <c r="Q15773" s="31" t="str">
        <f t="shared" si="951"/>
        <v/>
      </c>
      <c r="R15773" s="32" t="str">
        <f>IFERROR(VLOOKUP($D15773,'Informations sur les produits'!$A$3:$B$15000,2,FALSE),"")</f>
        <v/>
      </c>
    </row>
    <row r="15774" spans="7:18" x14ac:dyDescent="0.25">
      <c r="G15774" s="33"/>
      <c r="O15774" s="33"/>
      <c r="P15774" s="33"/>
      <c r="Q15774" s="31" t="str">
        <f t="shared" si="951"/>
        <v/>
      </c>
      <c r="R15774" s="32" t="str">
        <f>IFERROR(VLOOKUP($D15774,'Informations sur les produits'!$A$3:$B$15000,2,FALSE),"")</f>
        <v/>
      </c>
    </row>
    <row r="15775" spans="7:18" x14ac:dyDescent="0.25">
      <c r="G15775" s="33"/>
      <c r="O15775" s="33"/>
      <c r="P15775" s="33"/>
      <c r="Q15775" s="31" t="str">
        <f t="shared" si="951"/>
        <v/>
      </c>
      <c r="R15775" s="32" t="str">
        <f>IFERROR(VLOOKUP($D15775,'Informations sur les produits'!$A$3:$B$15000,2,FALSE),"")</f>
        <v/>
      </c>
    </row>
    <row r="15776" spans="7:18" x14ac:dyDescent="0.25">
      <c r="G15776" s="33"/>
      <c r="O15776" s="33"/>
      <c r="P15776" s="33"/>
      <c r="Q15776" s="31" t="str">
        <f t="shared" si="951"/>
        <v/>
      </c>
      <c r="R15776" s="32" t="str">
        <f>IFERROR(VLOOKUP($D15776,'Informations sur les produits'!$A$3:$B$15000,2,FALSE),"")</f>
        <v/>
      </c>
    </row>
    <row r="15777" spans="7:18" x14ac:dyDescent="0.25">
      <c r="G15777" s="33"/>
      <c r="O15777" s="33"/>
      <c r="P15777" s="33"/>
      <c r="Q15777" s="31" t="str">
        <f t="shared" si="951"/>
        <v/>
      </c>
      <c r="R15777" s="32" t="str">
        <f>IFERROR(VLOOKUP($D15777,'Informations sur les produits'!$A$3:$B$15000,2,FALSE),"")</f>
        <v/>
      </c>
    </row>
    <row r="15778" spans="7:18" x14ac:dyDescent="0.25">
      <c r="G15778" s="33"/>
      <c r="O15778" s="33"/>
      <c r="P15778" s="33"/>
      <c r="Q15778" s="31" t="str">
        <f t="shared" si="951"/>
        <v/>
      </c>
      <c r="R15778" s="32" t="str">
        <f>IFERROR(VLOOKUP($D15778,'Informations sur les produits'!$A$3:$B$15000,2,FALSE),"")</f>
        <v/>
      </c>
    </row>
    <row r="15779" spans="7:18" x14ac:dyDescent="0.25">
      <c r="G15779" s="33"/>
      <c r="O15779" s="33"/>
      <c r="P15779" s="33"/>
      <c r="Q15779" s="31" t="str">
        <f t="shared" si="951"/>
        <v/>
      </c>
      <c r="R15779" s="32" t="str">
        <f>IFERROR(VLOOKUP($D15779,'Informations sur les produits'!$A$3:$B$15000,2,FALSE),"")</f>
        <v/>
      </c>
    </row>
    <row r="15780" spans="7:18" x14ac:dyDescent="0.25">
      <c r="G15780" s="33"/>
      <c r="O15780" s="33"/>
      <c r="P15780" s="33"/>
      <c r="Q15780" s="31" t="str">
        <f t="shared" si="951"/>
        <v/>
      </c>
      <c r="R15780" s="32" t="str">
        <f>IFERROR(VLOOKUP($D15780,'Informations sur les produits'!$A$3:$B$15000,2,FALSE),"")</f>
        <v/>
      </c>
    </row>
    <row r="15781" spans="7:18" x14ac:dyDescent="0.25">
      <c r="G15781" s="33"/>
      <c r="O15781" s="33"/>
      <c r="P15781" s="33"/>
      <c r="Q15781" s="31" t="str">
        <f t="shared" si="951"/>
        <v/>
      </c>
      <c r="R15781" s="32" t="str">
        <f>IFERROR(VLOOKUP($D15781,'Informations sur les produits'!$A$3:$B$15000,2,FALSE),"")</f>
        <v/>
      </c>
    </row>
    <row r="15782" spans="7:18" x14ac:dyDescent="0.25">
      <c r="G15782" s="33"/>
      <c r="O15782" s="33"/>
      <c r="P15782" s="33"/>
      <c r="Q15782" s="31" t="str">
        <f t="shared" si="951"/>
        <v/>
      </c>
      <c r="R15782" s="32" t="str">
        <f>IFERROR(VLOOKUP($D15782,'Informations sur les produits'!$A$3:$B$15000,2,FALSE),"")</f>
        <v/>
      </c>
    </row>
    <row r="15783" spans="7:18" x14ac:dyDescent="0.25">
      <c r="G15783" s="33"/>
      <c r="O15783" s="33"/>
      <c r="P15783" s="33"/>
      <c r="Q15783" s="31" t="str">
        <f t="shared" si="951"/>
        <v/>
      </c>
      <c r="R15783" s="32" t="str">
        <f>IFERROR(VLOOKUP($D15783,'Informations sur les produits'!$A$3:$B$15000,2,FALSE),"")</f>
        <v/>
      </c>
    </row>
    <row r="15784" spans="7:18" x14ac:dyDescent="0.25">
      <c r="G15784" s="33"/>
      <c r="O15784" s="33"/>
      <c r="P15784" s="33"/>
      <c r="Q15784" s="31" t="str">
        <f t="shared" si="951"/>
        <v/>
      </c>
      <c r="R15784" s="32" t="str">
        <f>IFERROR(VLOOKUP($D15784,'Informations sur les produits'!$A$3:$B$15000,2,FALSE),"")</f>
        <v/>
      </c>
    </row>
    <row r="15785" spans="7:18" x14ac:dyDescent="0.25">
      <c r="G15785" s="33"/>
      <c r="O15785" s="33"/>
      <c r="P15785" s="33"/>
      <c r="Q15785" s="31" t="str">
        <f t="shared" si="951"/>
        <v/>
      </c>
      <c r="R15785" s="32" t="str">
        <f>IFERROR(VLOOKUP($D15785,'Informations sur les produits'!$A$3:$B$15000,2,FALSE),"")</f>
        <v/>
      </c>
    </row>
    <row r="15786" spans="7:18" x14ac:dyDescent="0.25">
      <c r="G15786" s="33"/>
      <c r="O15786" s="33"/>
      <c r="P15786" s="33"/>
      <c r="Q15786" s="31" t="str">
        <f t="shared" si="951"/>
        <v/>
      </c>
      <c r="R15786" s="32" t="str">
        <f>IFERROR(VLOOKUP($D15786,'Informations sur les produits'!$A$3:$B$15000,2,FALSE),"")</f>
        <v/>
      </c>
    </row>
    <row r="15787" spans="7:18" x14ac:dyDescent="0.25">
      <c r="G15787" s="33"/>
      <c r="O15787" s="33"/>
      <c r="P15787" s="33"/>
      <c r="Q15787" s="31" t="str">
        <f t="shared" si="951"/>
        <v/>
      </c>
      <c r="R15787" s="32" t="str">
        <f>IFERROR(VLOOKUP($D15787,'Informations sur les produits'!$A$3:$B$15000,2,FALSE),"")</f>
        <v/>
      </c>
    </row>
    <row r="15788" spans="7:18" x14ac:dyDescent="0.25">
      <c r="G15788" s="33"/>
      <c r="O15788" s="33"/>
      <c r="P15788" s="33"/>
      <c r="Q15788" s="31" t="str">
        <f t="shared" si="951"/>
        <v/>
      </c>
      <c r="R15788" s="32" t="str">
        <f>IFERROR(VLOOKUP($D15788,'Informations sur les produits'!$A$3:$B$15000,2,FALSE),"")</f>
        <v/>
      </c>
    </row>
    <row r="15789" spans="7:18" x14ac:dyDescent="0.25">
      <c r="G15789" s="33"/>
      <c r="O15789" s="33"/>
      <c r="P15789" s="33"/>
      <c r="Q15789" s="31" t="str">
        <f t="shared" si="951"/>
        <v/>
      </c>
      <c r="R15789" s="32" t="str">
        <f>IFERROR(VLOOKUP($D15789,'Informations sur les produits'!$A$3:$B$15000,2,FALSE),"")</f>
        <v/>
      </c>
    </row>
    <row r="15790" spans="7:18" x14ac:dyDescent="0.25">
      <c r="G15790" s="33"/>
      <c r="O15790" s="33"/>
      <c r="P15790" s="33"/>
      <c r="Q15790" s="31" t="str">
        <f t="shared" si="951"/>
        <v/>
      </c>
      <c r="R15790" s="32" t="str">
        <f>IFERROR(VLOOKUP($D15790,'Informations sur les produits'!$A$3:$B$15000,2,FALSE),"")</f>
        <v/>
      </c>
    </row>
    <row r="15791" spans="7:18" x14ac:dyDescent="0.25">
      <c r="G15791" s="33"/>
      <c r="O15791" s="33"/>
      <c r="P15791" s="33"/>
      <c r="Q15791" s="31" t="str">
        <f t="shared" si="951"/>
        <v/>
      </c>
      <c r="R15791" s="32" t="str">
        <f>IFERROR(VLOOKUP($D15791,'Informations sur les produits'!$A$3:$B$15000,2,FALSE),"")</f>
        <v/>
      </c>
    </row>
    <row r="15792" spans="7:18" x14ac:dyDescent="0.25">
      <c r="G15792" s="33"/>
      <c r="O15792" s="33"/>
      <c r="P15792" s="33"/>
      <c r="Q15792" s="31" t="str">
        <f t="shared" si="951"/>
        <v/>
      </c>
      <c r="R15792" s="32" t="str">
        <f>IFERROR(VLOOKUP($D15792,'Informations sur les produits'!$A$3:$B$15000,2,FALSE),"")</f>
        <v/>
      </c>
    </row>
    <row r="15793" spans="7:18" x14ac:dyDescent="0.25">
      <c r="G15793" s="33"/>
      <c r="O15793" s="33"/>
      <c r="P15793" s="33"/>
      <c r="Q15793" s="31" t="str">
        <f t="shared" si="951"/>
        <v/>
      </c>
      <c r="R15793" s="32" t="str">
        <f>IFERROR(VLOOKUP($D15793,'Informations sur les produits'!$A$3:$B$15000,2,FALSE),"")</f>
        <v/>
      </c>
    </row>
    <row r="15794" spans="7:18" x14ac:dyDescent="0.25">
      <c r="G15794" s="33"/>
      <c r="O15794" s="33"/>
      <c r="P15794" s="33"/>
      <c r="Q15794" s="31" t="str">
        <f t="shared" si="951"/>
        <v/>
      </c>
      <c r="R15794" s="32" t="str">
        <f>IFERROR(VLOOKUP($D15794,'Informations sur les produits'!$A$3:$B$15000,2,FALSE),"")</f>
        <v/>
      </c>
    </row>
    <row r="15795" spans="7:18" x14ac:dyDescent="0.25">
      <c r="G15795" s="33"/>
      <c r="O15795" s="33"/>
      <c r="P15795" s="33"/>
      <c r="Q15795" s="31" t="str">
        <f t="shared" si="951"/>
        <v/>
      </c>
      <c r="R15795" s="32" t="str">
        <f>IFERROR(VLOOKUP($D15795,'Informations sur les produits'!$A$3:$B$15000,2,FALSE),"")</f>
        <v/>
      </c>
    </row>
    <row r="15796" spans="7:18" x14ac:dyDescent="0.25">
      <c r="G15796" s="33"/>
      <c r="O15796" s="33"/>
      <c r="P15796" s="33"/>
      <c r="Q15796" s="31" t="str">
        <f t="shared" si="951"/>
        <v/>
      </c>
      <c r="R15796" s="32" t="str">
        <f>IFERROR(VLOOKUP($D15796,'Informations sur les produits'!$A$3:$B$15000,2,FALSE),"")</f>
        <v/>
      </c>
    </row>
    <row r="15797" spans="7:18" x14ac:dyDescent="0.25">
      <c r="G15797" s="33"/>
      <c r="O15797" s="33"/>
      <c r="P15797" s="33"/>
      <c r="Q15797" s="31" t="str">
        <f t="shared" si="951"/>
        <v/>
      </c>
      <c r="R15797" s="32" t="str">
        <f>IFERROR(VLOOKUP($D15797,'Informations sur les produits'!$A$3:$B$15000,2,FALSE),"")</f>
        <v/>
      </c>
    </row>
    <row r="15798" spans="7:18" x14ac:dyDescent="0.25">
      <c r="G15798" s="33"/>
      <c r="O15798" s="33"/>
      <c r="P15798" s="33"/>
      <c r="Q15798" s="31" t="str">
        <f t="shared" si="951"/>
        <v/>
      </c>
      <c r="R15798" s="32" t="str">
        <f>IFERROR(VLOOKUP($D15798,'Informations sur les produits'!$A$3:$B$15000,2,FALSE),"")</f>
        <v/>
      </c>
    </row>
    <row r="15799" spans="7:18" x14ac:dyDescent="0.25">
      <c r="G15799" s="33"/>
      <c r="O15799" s="33"/>
      <c r="P15799" s="33"/>
      <c r="Q15799" s="31" t="str">
        <f t="shared" si="951"/>
        <v/>
      </c>
      <c r="R15799" s="32" t="str">
        <f>IFERROR(VLOOKUP($D15799,'Informations sur les produits'!$A$3:$B$15000,2,FALSE),"")</f>
        <v/>
      </c>
    </row>
    <row r="15800" spans="7:18" x14ac:dyDescent="0.25">
      <c r="G15800" s="33"/>
      <c r="O15800" s="33"/>
      <c r="P15800" s="33"/>
      <c r="Q15800" s="31" t="str">
        <f t="shared" si="951"/>
        <v/>
      </c>
      <c r="R15800" s="32" t="str">
        <f>IFERROR(VLOOKUP($D15800,'Informations sur les produits'!$A$3:$B$15000,2,FALSE),"")</f>
        <v/>
      </c>
    </row>
    <row r="15801" spans="7:18" x14ac:dyDescent="0.25">
      <c r="G15801" s="33"/>
      <c r="O15801" s="33"/>
      <c r="P15801" s="33"/>
      <c r="Q15801" s="31" t="str">
        <f t="shared" si="951"/>
        <v/>
      </c>
      <c r="R15801" s="32" t="str">
        <f>IFERROR(VLOOKUP($D15801,'Informations sur les produits'!$A$3:$B$15000,2,FALSE),"")</f>
        <v/>
      </c>
    </row>
    <row r="15802" spans="7:18" x14ac:dyDescent="0.25">
      <c r="G15802" s="33"/>
      <c r="O15802" s="33"/>
      <c r="P15802" s="33"/>
      <c r="Q15802" s="31" t="str">
        <f t="shared" si="951"/>
        <v/>
      </c>
      <c r="R15802" s="32" t="str">
        <f>IFERROR(VLOOKUP($D15802,'Informations sur les produits'!$A$3:$B$15000,2,FALSE),"")</f>
        <v/>
      </c>
    </row>
    <row r="15803" spans="7:18" x14ac:dyDescent="0.25">
      <c r="G15803" s="33"/>
      <c r="O15803" s="33"/>
      <c r="P15803" s="33"/>
      <c r="Q15803" s="31" t="str">
        <f t="shared" si="951"/>
        <v/>
      </c>
      <c r="R15803" s="32" t="str">
        <f>IFERROR(VLOOKUP($D15803,'Informations sur les produits'!$A$3:$B$15000,2,FALSE),"")</f>
        <v/>
      </c>
    </row>
    <row r="15804" spans="7:18" x14ac:dyDescent="0.25">
      <c r="G15804" s="33"/>
      <c r="O15804" s="33"/>
      <c r="P15804" s="33"/>
      <c r="Q15804" s="31" t="str">
        <f t="shared" si="951"/>
        <v/>
      </c>
      <c r="R15804" s="32" t="str">
        <f>IFERROR(VLOOKUP($D15804,'Informations sur les produits'!$A$3:$B$15000,2,FALSE),"")</f>
        <v/>
      </c>
    </row>
    <row r="15805" spans="7:18" x14ac:dyDescent="0.25">
      <c r="G15805" s="33"/>
      <c r="O15805" s="33"/>
      <c r="P15805" s="33"/>
      <c r="Q15805" s="31" t="str">
        <f t="shared" si="951"/>
        <v/>
      </c>
      <c r="R15805" s="32" t="str">
        <f>IFERROR(VLOOKUP($D15805,'Informations sur les produits'!$A$3:$B$15000,2,FALSE),"")</f>
        <v/>
      </c>
    </row>
    <row r="15806" spans="7:18" x14ac:dyDescent="0.25">
      <c r="G15806" s="33"/>
      <c r="O15806" s="33"/>
      <c r="P15806" s="33"/>
      <c r="Q15806" s="31" t="str">
        <f t="shared" si="951"/>
        <v/>
      </c>
      <c r="R15806" s="32" t="str">
        <f>IFERROR(VLOOKUP($D15806,'Informations sur les produits'!$A$3:$B$15000,2,FALSE),"")</f>
        <v/>
      </c>
    </row>
    <row r="15807" spans="7:18" x14ac:dyDescent="0.25">
      <c r="G15807" s="33"/>
      <c r="O15807" s="33"/>
      <c r="P15807" s="33"/>
      <c r="Q15807" s="31" t="str">
        <f t="shared" si="951"/>
        <v/>
      </c>
      <c r="R15807" s="32" t="str">
        <f>IFERROR(VLOOKUP($D15807,'Informations sur les produits'!$A$3:$B$15000,2,FALSE),"")</f>
        <v/>
      </c>
    </row>
    <row r="15808" spans="7:18" x14ac:dyDescent="0.25">
      <c r="G15808" s="33"/>
      <c r="O15808" s="33"/>
      <c r="P15808" s="33"/>
      <c r="Q15808" s="31" t="str">
        <f t="shared" si="951"/>
        <v/>
      </c>
      <c r="R15808" s="32" t="str">
        <f>IFERROR(VLOOKUP($D15808,'Informations sur les produits'!$A$3:$B$15000,2,FALSE),"")</f>
        <v/>
      </c>
    </row>
    <row r="15809" spans="7:18" x14ac:dyDescent="0.25">
      <c r="G15809" s="33"/>
      <c r="O15809" s="33"/>
      <c r="P15809" s="33"/>
      <c r="Q15809" s="31" t="str">
        <f t="shared" si="951"/>
        <v/>
      </c>
      <c r="R15809" s="32" t="str">
        <f>IFERROR(VLOOKUP($D15809,'Informations sur les produits'!$A$3:$B$15000,2,FALSE),"")</f>
        <v/>
      </c>
    </row>
    <row r="15810" spans="7:18" x14ac:dyDescent="0.25">
      <c r="G15810" s="33"/>
      <c r="O15810" s="33"/>
      <c r="P15810" s="33"/>
      <c r="Q15810" s="31" t="str">
        <f t="shared" si="951"/>
        <v/>
      </c>
      <c r="R15810" s="32" t="str">
        <f>IFERROR(VLOOKUP($D15810,'Informations sur les produits'!$A$3:$B$15000,2,FALSE),"")</f>
        <v/>
      </c>
    </row>
    <row r="15811" spans="7:18" x14ac:dyDescent="0.25">
      <c r="G15811" s="33"/>
      <c r="O15811" s="33"/>
      <c r="P15811" s="33"/>
      <c r="Q15811" s="31" t="str">
        <f t="shared" si="951"/>
        <v/>
      </c>
      <c r="R15811" s="32" t="str">
        <f>IFERROR(VLOOKUP($D15811,'Informations sur les produits'!$A$3:$B$15000,2,FALSE),"")</f>
        <v/>
      </c>
    </row>
    <row r="15812" spans="7:18" x14ac:dyDescent="0.25">
      <c r="G15812" s="33"/>
      <c r="O15812" s="33"/>
      <c r="P15812" s="33"/>
      <c r="Q15812" s="31" t="str">
        <f t="shared" ref="Q15812:Q15875" si="952">IFERROR((((($E15812-$F15812)*$G15812+$K15812*$L15812+$N15812*$O15812)*1000)/(($E15812-$F15812)+$K15812+$N15812)),"")</f>
        <v/>
      </c>
      <c r="R15812" s="32" t="str">
        <f>IFERROR(VLOOKUP($D15812,'Informations sur les produits'!$A$3:$B$15000,2,FALSE),"")</f>
        <v/>
      </c>
    </row>
    <row r="15813" spans="7:18" x14ac:dyDescent="0.25">
      <c r="G15813" s="33"/>
      <c r="O15813" s="33"/>
      <c r="P15813" s="33"/>
      <c r="Q15813" s="31" t="str">
        <f t="shared" si="952"/>
        <v/>
      </c>
      <c r="R15813" s="32" t="str">
        <f>IFERROR(VLOOKUP($D15813,'Informations sur les produits'!$A$3:$B$15000,2,FALSE),"")</f>
        <v/>
      </c>
    </row>
    <row r="15814" spans="7:18" x14ac:dyDescent="0.25">
      <c r="G15814" s="33"/>
      <c r="O15814" s="33"/>
      <c r="P15814" s="33"/>
      <c r="Q15814" s="31" t="str">
        <f t="shared" si="952"/>
        <v/>
      </c>
      <c r="R15814" s="32" t="str">
        <f>IFERROR(VLOOKUP($D15814,'Informations sur les produits'!$A$3:$B$15000,2,FALSE),"")</f>
        <v/>
      </c>
    </row>
    <row r="15815" spans="7:18" x14ac:dyDescent="0.25">
      <c r="G15815" s="33"/>
      <c r="O15815" s="33"/>
      <c r="P15815" s="33"/>
      <c r="Q15815" s="31" t="str">
        <f t="shared" si="952"/>
        <v/>
      </c>
      <c r="R15815" s="32" t="str">
        <f>IFERROR(VLOOKUP($D15815,'Informations sur les produits'!$A$3:$B$15000,2,FALSE),"")</f>
        <v/>
      </c>
    </row>
    <row r="15816" spans="7:18" x14ac:dyDescent="0.25">
      <c r="G15816" s="33"/>
      <c r="O15816" s="33"/>
      <c r="P15816" s="33"/>
      <c r="Q15816" s="31" t="str">
        <f t="shared" si="952"/>
        <v/>
      </c>
      <c r="R15816" s="32" t="str">
        <f>IFERROR(VLOOKUP($D15816,'Informations sur les produits'!$A$3:$B$15000,2,FALSE),"")</f>
        <v/>
      </c>
    </row>
    <row r="15817" spans="7:18" x14ac:dyDescent="0.25">
      <c r="G15817" s="33"/>
      <c r="O15817" s="33"/>
      <c r="P15817" s="33"/>
      <c r="Q15817" s="31" t="str">
        <f t="shared" si="952"/>
        <v/>
      </c>
      <c r="R15817" s="32" t="str">
        <f>IFERROR(VLOOKUP($D15817,'Informations sur les produits'!$A$3:$B$15000,2,FALSE),"")</f>
        <v/>
      </c>
    </row>
    <row r="15818" spans="7:18" x14ac:dyDescent="0.25">
      <c r="G15818" s="33"/>
      <c r="O15818" s="33"/>
      <c r="P15818" s="33"/>
      <c r="Q15818" s="31" t="str">
        <f t="shared" si="952"/>
        <v/>
      </c>
      <c r="R15818" s="32" t="str">
        <f>IFERROR(VLOOKUP($D15818,'Informations sur les produits'!$A$3:$B$15000,2,FALSE),"")</f>
        <v/>
      </c>
    </row>
    <row r="15819" spans="7:18" x14ac:dyDescent="0.25">
      <c r="G15819" s="33"/>
      <c r="O15819" s="33"/>
      <c r="P15819" s="33"/>
      <c r="Q15819" s="31" t="str">
        <f t="shared" si="952"/>
        <v/>
      </c>
      <c r="R15819" s="32" t="str">
        <f>IFERROR(VLOOKUP($D15819,'Informations sur les produits'!$A$3:$B$15000,2,FALSE),"")</f>
        <v/>
      </c>
    </row>
    <row r="15820" spans="7:18" x14ac:dyDescent="0.25">
      <c r="G15820" s="33"/>
      <c r="O15820" s="33"/>
      <c r="P15820" s="33"/>
      <c r="Q15820" s="31" t="str">
        <f t="shared" si="952"/>
        <v/>
      </c>
      <c r="R15820" s="32" t="str">
        <f>IFERROR(VLOOKUP($D15820,'Informations sur les produits'!$A$3:$B$15000,2,FALSE),"")</f>
        <v/>
      </c>
    </row>
    <row r="15821" spans="7:18" x14ac:dyDescent="0.25">
      <c r="G15821" s="33"/>
      <c r="O15821" s="33"/>
      <c r="P15821" s="33"/>
      <c r="Q15821" s="31" t="str">
        <f t="shared" si="952"/>
        <v/>
      </c>
      <c r="R15821" s="32" t="str">
        <f>IFERROR(VLOOKUP($D15821,'Informations sur les produits'!$A$3:$B$15000,2,FALSE),"")</f>
        <v/>
      </c>
    </row>
    <row r="15822" spans="7:18" x14ac:dyDescent="0.25">
      <c r="G15822" s="33"/>
      <c r="O15822" s="33"/>
      <c r="P15822" s="33"/>
      <c r="Q15822" s="31" t="str">
        <f t="shared" si="952"/>
        <v/>
      </c>
      <c r="R15822" s="32" t="str">
        <f>IFERROR(VLOOKUP($D15822,'Informations sur les produits'!$A$3:$B$15000,2,FALSE),"")</f>
        <v/>
      </c>
    </row>
    <row r="15823" spans="7:18" x14ac:dyDescent="0.25">
      <c r="G15823" s="33"/>
      <c r="O15823" s="33"/>
      <c r="P15823" s="33"/>
      <c r="Q15823" s="31" t="str">
        <f t="shared" si="952"/>
        <v/>
      </c>
      <c r="R15823" s="32" t="str">
        <f>IFERROR(VLOOKUP($D15823,'Informations sur les produits'!$A$3:$B$15000,2,FALSE),"")</f>
        <v/>
      </c>
    </row>
    <row r="15824" spans="7:18" x14ac:dyDescent="0.25">
      <c r="G15824" s="33"/>
      <c r="O15824" s="33"/>
      <c r="P15824" s="33"/>
      <c r="Q15824" s="31" t="str">
        <f t="shared" si="952"/>
        <v/>
      </c>
      <c r="R15824" s="32" t="str">
        <f>IFERROR(VLOOKUP($D15824,'Informations sur les produits'!$A$3:$B$15000,2,FALSE),"")</f>
        <v/>
      </c>
    </row>
    <row r="15825" spans="7:18" x14ac:dyDescent="0.25">
      <c r="G15825" s="33"/>
      <c r="O15825" s="33"/>
      <c r="P15825" s="33"/>
      <c r="Q15825" s="31" t="str">
        <f t="shared" si="952"/>
        <v/>
      </c>
      <c r="R15825" s="32" t="str">
        <f>IFERROR(VLOOKUP($D15825,'Informations sur les produits'!$A$3:$B$15000,2,FALSE),"")</f>
        <v/>
      </c>
    </row>
    <row r="15826" spans="7:18" x14ac:dyDescent="0.25">
      <c r="G15826" s="33"/>
      <c r="O15826" s="33"/>
      <c r="P15826" s="33"/>
      <c r="Q15826" s="31" t="str">
        <f t="shared" si="952"/>
        <v/>
      </c>
      <c r="R15826" s="32" t="str">
        <f>IFERROR(VLOOKUP($D15826,'Informations sur les produits'!$A$3:$B$15000,2,FALSE),"")</f>
        <v/>
      </c>
    </row>
    <row r="15827" spans="7:18" x14ac:dyDescent="0.25">
      <c r="G15827" s="33"/>
      <c r="O15827" s="33"/>
      <c r="P15827" s="33"/>
      <c r="Q15827" s="31" t="str">
        <f t="shared" si="952"/>
        <v/>
      </c>
      <c r="R15827" s="32" t="str">
        <f>IFERROR(VLOOKUP($D15827,'Informations sur les produits'!$A$3:$B$15000,2,FALSE),"")</f>
        <v/>
      </c>
    </row>
    <row r="15828" spans="7:18" x14ac:dyDescent="0.25">
      <c r="G15828" s="33"/>
      <c r="O15828" s="33"/>
      <c r="P15828" s="33"/>
      <c r="Q15828" s="31" t="str">
        <f t="shared" si="952"/>
        <v/>
      </c>
      <c r="R15828" s="32" t="str">
        <f>IFERROR(VLOOKUP($D15828,'Informations sur les produits'!$A$3:$B$15000,2,FALSE),"")</f>
        <v/>
      </c>
    </row>
    <row r="15829" spans="7:18" x14ac:dyDescent="0.25">
      <c r="G15829" s="33"/>
      <c r="O15829" s="33"/>
      <c r="P15829" s="33"/>
      <c r="Q15829" s="31" t="str">
        <f t="shared" si="952"/>
        <v/>
      </c>
      <c r="R15829" s="32" t="str">
        <f>IFERROR(VLOOKUP($D15829,'Informations sur les produits'!$A$3:$B$15000,2,FALSE),"")</f>
        <v/>
      </c>
    </row>
    <row r="15830" spans="7:18" x14ac:dyDescent="0.25">
      <c r="G15830" s="33"/>
      <c r="O15830" s="33"/>
      <c r="P15830" s="33"/>
      <c r="Q15830" s="31" t="str">
        <f t="shared" si="952"/>
        <v/>
      </c>
      <c r="R15830" s="32" t="str">
        <f>IFERROR(VLOOKUP($D15830,'Informations sur les produits'!$A$3:$B$15000,2,FALSE),"")</f>
        <v/>
      </c>
    </row>
    <row r="15831" spans="7:18" x14ac:dyDescent="0.25">
      <c r="G15831" s="33"/>
      <c r="O15831" s="33"/>
      <c r="P15831" s="33"/>
      <c r="Q15831" s="31" t="str">
        <f t="shared" si="952"/>
        <v/>
      </c>
      <c r="R15831" s="32" t="str">
        <f>IFERROR(VLOOKUP($D15831,'Informations sur les produits'!$A$3:$B$15000,2,FALSE),"")</f>
        <v/>
      </c>
    </row>
    <row r="15832" spans="7:18" x14ac:dyDescent="0.25">
      <c r="G15832" s="33"/>
      <c r="O15832" s="33"/>
      <c r="P15832" s="33"/>
      <c r="Q15832" s="31" t="str">
        <f t="shared" si="952"/>
        <v/>
      </c>
      <c r="R15832" s="32" t="str">
        <f>IFERROR(VLOOKUP($D15832,'Informations sur les produits'!$A$3:$B$15000,2,FALSE),"")</f>
        <v/>
      </c>
    </row>
    <row r="15833" spans="7:18" x14ac:dyDescent="0.25">
      <c r="G15833" s="33"/>
      <c r="O15833" s="33"/>
      <c r="P15833" s="33"/>
      <c r="Q15833" s="31" t="str">
        <f t="shared" si="952"/>
        <v/>
      </c>
      <c r="R15833" s="32" t="str">
        <f>IFERROR(VLOOKUP($D15833,'Informations sur les produits'!$A$3:$B$15000,2,FALSE),"")</f>
        <v/>
      </c>
    </row>
    <row r="15834" spans="7:18" x14ac:dyDescent="0.25">
      <c r="G15834" s="33"/>
      <c r="O15834" s="33"/>
      <c r="P15834" s="33"/>
      <c r="Q15834" s="31" t="str">
        <f t="shared" si="952"/>
        <v/>
      </c>
      <c r="R15834" s="32" t="str">
        <f>IFERROR(VLOOKUP($D15834,'Informations sur les produits'!$A$3:$B$15000,2,FALSE),"")</f>
        <v/>
      </c>
    </row>
    <row r="15835" spans="7:18" x14ac:dyDescent="0.25">
      <c r="G15835" s="33"/>
      <c r="O15835" s="33"/>
      <c r="P15835" s="33"/>
      <c r="Q15835" s="31" t="str">
        <f t="shared" si="952"/>
        <v/>
      </c>
      <c r="R15835" s="32" t="str">
        <f>IFERROR(VLOOKUP($D15835,'Informations sur les produits'!$A$3:$B$15000,2,FALSE),"")</f>
        <v/>
      </c>
    </row>
    <row r="15836" spans="7:18" x14ac:dyDescent="0.25">
      <c r="G15836" s="33"/>
      <c r="O15836" s="33"/>
      <c r="P15836" s="33"/>
      <c r="Q15836" s="31" t="str">
        <f t="shared" si="952"/>
        <v/>
      </c>
      <c r="R15836" s="32" t="str">
        <f>IFERROR(VLOOKUP($D15836,'Informations sur les produits'!$A$3:$B$15000,2,FALSE),"")</f>
        <v/>
      </c>
    </row>
    <row r="15837" spans="7:18" x14ac:dyDescent="0.25">
      <c r="G15837" s="33"/>
      <c r="O15837" s="33"/>
      <c r="P15837" s="33"/>
      <c r="Q15837" s="31" t="str">
        <f t="shared" si="952"/>
        <v/>
      </c>
      <c r="R15837" s="32" t="str">
        <f>IFERROR(VLOOKUP($D15837,'Informations sur les produits'!$A$3:$B$15000,2,FALSE),"")</f>
        <v/>
      </c>
    </row>
    <row r="15838" spans="7:18" x14ac:dyDescent="0.25">
      <c r="G15838" s="33"/>
      <c r="O15838" s="33"/>
      <c r="P15838" s="33"/>
      <c r="Q15838" s="31" t="str">
        <f t="shared" si="952"/>
        <v/>
      </c>
      <c r="R15838" s="32" t="str">
        <f>IFERROR(VLOOKUP($D15838,'Informations sur les produits'!$A$3:$B$15000,2,FALSE),"")</f>
        <v/>
      </c>
    </row>
    <row r="15839" spans="7:18" x14ac:dyDescent="0.25">
      <c r="G15839" s="33"/>
      <c r="O15839" s="33"/>
      <c r="P15839" s="33"/>
      <c r="Q15839" s="31" t="str">
        <f t="shared" si="952"/>
        <v/>
      </c>
      <c r="R15839" s="32" t="str">
        <f>IFERROR(VLOOKUP($D15839,'Informations sur les produits'!$A$3:$B$15000,2,FALSE),"")</f>
        <v/>
      </c>
    </row>
    <row r="15840" spans="7:18" x14ac:dyDescent="0.25">
      <c r="G15840" s="33"/>
      <c r="O15840" s="33"/>
      <c r="P15840" s="33"/>
      <c r="Q15840" s="31" t="str">
        <f t="shared" si="952"/>
        <v/>
      </c>
      <c r="R15840" s="32" t="str">
        <f>IFERROR(VLOOKUP($D15840,'Informations sur les produits'!$A$3:$B$15000,2,FALSE),"")</f>
        <v/>
      </c>
    </row>
    <row r="15841" spans="7:18" x14ac:dyDescent="0.25">
      <c r="G15841" s="33"/>
      <c r="O15841" s="33"/>
      <c r="P15841" s="33"/>
      <c r="Q15841" s="31" t="str">
        <f t="shared" si="952"/>
        <v/>
      </c>
      <c r="R15841" s="32" t="str">
        <f>IFERROR(VLOOKUP($D15841,'Informations sur les produits'!$A$3:$B$15000,2,FALSE),"")</f>
        <v/>
      </c>
    </row>
    <row r="15842" spans="7:18" x14ac:dyDescent="0.25">
      <c r="G15842" s="33"/>
      <c r="O15842" s="33"/>
      <c r="P15842" s="33"/>
      <c r="Q15842" s="31" t="str">
        <f t="shared" si="952"/>
        <v/>
      </c>
      <c r="R15842" s="32" t="str">
        <f>IFERROR(VLOOKUP($D15842,'Informations sur les produits'!$A$3:$B$15000,2,FALSE),"")</f>
        <v/>
      </c>
    </row>
    <row r="15843" spans="7:18" x14ac:dyDescent="0.25">
      <c r="G15843" s="33"/>
      <c r="O15843" s="33"/>
      <c r="P15843" s="33"/>
      <c r="Q15843" s="31" t="str">
        <f t="shared" si="952"/>
        <v/>
      </c>
      <c r="R15843" s="32" t="str">
        <f>IFERROR(VLOOKUP($D15843,'Informations sur les produits'!$A$3:$B$15000,2,FALSE),"")</f>
        <v/>
      </c>
    </row>
    <row r="15844" spans="7:18" x14ac:dyDescent="0.25">
      <c r="G15844" s="33"/>
      <c r="O15844" s="33"/>
      <c r="P15844" s="33"/>
      <c r="Q15844" s="31" t="str">
        <f t="shared" si="952"/>
        <v/>
      </c>
      <c r="R15844" s="32" t="str">
        <f>IFERROR(VLOOKUP($D15844,'Informations sur les produits'!$A$3:$B$15000,2,FALSE),"")</f>
        <v/>
      </c>
    </row>
    <row r="15845" spans="7:18" x14ac:dyDescent="0.25">
      <c r="G15845" s="33"/>
      <c r="O15845" s="33"/>
      <c r="P15845" s="33"/>
      <c r="Q15845" s="31" t="str">
        <f t="shared" si="952"/>
        <v/>
      </c>
      <c r="R15845" s="32" t="str">
        <f>IFERROR(VLOOKUP($D15845,'Informations sur les produits'!$A$3:$B$15000,2,FALSE),"")</f>
        <v/>
      </c>
    </row>
    <row r="15846" spans="7:18" x14ac:dyDescent="0.25">
      <c r="G15846" s="33"/>
      <c r="O15846" s="33"/>
      <c r="P15846" s="33"/>
      <c r="Q15846" s="31" t="str">
        <f t="shared" si="952"/>
        <v/>
      </c>
      <c r="R15846" s="32" t="str">
        <f>IFERROR(VLOOKUP($D15846,'Informations sur les produits'!$A$3:$B$15000,2,FALSE),"")</f>
        <v/>
      </c>
    </row>
    <row r="15847" spans="7:18" x14ac:dyDescent="0.25">
      <c r="G15847" s="33"/>
      <c r="O15847" s="33"/>
      <c r="P15847" s="33"/>
      <c r="Q15847" s="31" t="str">
        <f t="shared" si="952"/>
        <v/>
      </c>
      <c r="R15847" s="32" t="str">
        <f>IFERROR(VLOOKUP($D15847,'Informations sur les produits'!$A$3:$B$15000,2,FALSE),"")</f>
        <v/>
      </c>
    </row>
    <row r="15848" spans="7:18" x14ac:dyDescent="0.25">
      <c r="G15848" s="33"/>
      <c r="O15848" s="33"/>
      <c r="P15848" s="33"/>
      <c r="Q15848" s="31" t="str">
        <f t="shared" si="952"/>
        <v/>
      </c>
      <c r="R15848" s="32" t="str">
        <f>IFERROR(VLOOKUP($D15848,'Informations sur les produits'!$A$3:$B$15000,2,FALSE),"")</f>
        <v/>
      </c>
    </row>
    <row r="15849" spans="7:18" x14ac:dyDescent="0.25">
      <c r="G15849" s="33"/>
      <c r="O15849" s="33"/>
      <c r="P15849" s="33"/>
      <c r="Q15849" s="31" t="str">
        <f t="shared" si="952"/>
        <v/>
      </c>
      <c r="R15849" s="32" t="str">
        <f>IFERROR(VLOOKUP($D15849,'Informations sur les produits'!$A$3:$B$15000,2,FALSE),"")</f>
        <v/>
      </c>
    </row>
    <row r="15850" spans="7:18" x14ac:dyDescent="0.25">
      <c r="G15850" s="33"/>
      <c r="O15850" s="33"/>
      <c r="P15850" s="33"/>
      <c r="Q15850" s="31" t="str">
        <f t="shared" si="952"/>
        <v/>
      </c>
      <c r="R15850" s="32" t="str">
        <f>IFERROR(VLOOKUP($D15850,'Informations sur les produits'!$A$3:$B$15000,2,FALSE),"")</f>
        <v/>
      </c>
    </row>
    <row r="15851" spans="7:18" x14ac:dyDescent="0.25">
      <c r="G15851" s="33"/>
      <c r="O15851" s="33"/>
      <c r="P15851" s="33"/>
      <c r="Q15851" s="31" t="str">
        <f t="shared" si="952"/>
        <v/>
      </c>
      <c r="R15851" s="32" t="str">
        <f>IFERROR(VLOOKUP($D15851,'Informations sur les produits'!$A$3:$B$15000,2,FALSE),"")</f>
        <v/>
      </c>
    </row>
    <row r="15852" spans="7:18" x14ac:dyDescent="0.25">
      <c r="G15852" s="33"/>
      <c r="O15852" s="33"/>
      <c r="P15852" s="33"/>
      <c r="Q15852" s="31" t="str">
        <f t="shared" si="952"/>
        <v/>
      </c>
      <c r="R15852" s="32" t="str">
        <f>IFERROR(VLOOKUP($D15852,'Informations sur les produits'!$A$3:$B$15000,2,FALSE),"")</f>
        <v/>
      </c>
    </row>
    <row r="15853" spans="7:18" x14ac:dyDescent="0.25">
      <c r="G15853" s="33"/>
      <c r="O15853" s="33"/>
      <c r="P15853" s="33"/>
      <c r="Q15853" s="31" t="str">
        <f t="shared" si="952"/>
        <v/>
      </c>
      <c r="R15853" s="32" t="str">
        <f>IFERROR(VLOOKUP($D15853,'Informations sur les produits'!$A$3:$B$15000,2,FALSE),"")</f>
        <v/>
      </c>
    </row>
    <row r="15854" spans="7:18" x14ac:dyDescent="0.25">
      <c r="G15854" s="33"/>
      <c r="O15854" s="33"/>
      <c r="P15854" s="33"/>
      <c r="Q15854" s="31" t="str">
        <f t="shared" si="952"/>
        <v/>
      </c>
      <c r="R15854" s="32" t="str">
        <f>IFERROR(VLOOKUP($D15854,'Informations sur les produits'!$A$3:$B$15000,2,FALSE),"")</f>
        <v/>
      </c>
    </row>
    <row r="15855" spans="7:18" x14ac:dyDescent="0.25">
      <c r="G15855" s="33"/>
      <c r="O15855" s="33"/>
      <c r="P15855" s="33"/>
      <c r="Q15855" s="31" t="str">
        <f t="shared" si="952"/>
        <v/>
      </c>
      <c r="R15855" s="32" t="str">
        <f>IFERROR(VLOOKUP($D15855,'Informations sur les produits'!$A$3:$B$15000,2,FALSE),"")</f>
        <v/>
      </c>
    </row>
    <row r="15856" spans="7:18" x14ac:dyDescent="0.25">
      <c r="G15856" s="33"/>
      <c r="O15856" s="33"/>
      <c r="P15856" s="33"/>
      <c r="Q15856" s="31" t="str">
        <f t="shared" si="952"/>
        <v/>
      </c>
      <c r="R15856" s="32" t="str">
        <f>IFERROR(VLOOKUP($D15856,'Informations sur les produits'!$A$3:$B$15000,2,FALSE),"")</f>
        <v/>
      </c>
    </row>
    <row r="15857" spans="7:18" x14ac:dyDescent="0.25">
      <c r="G15857" s="33"/>
      <c r="O15857" s="33"/>
      <c r="P15857" s="33"/>
      <c r="Q15857" s="31" t="str">
        <f t="shared" si="952"/>
        <v/>
      </c>
      <c r="R15857" s="32" t="str">
        <f>IFERROR(VLOOKUP($D15857,'Informations sur les produits'!$A$3:$B$15000,2,FALSE),"")</f>
        <v/>
      </c>
    </row>
    <row r="15858" spans="7:18" x14ac:dyDescent="0.25">
      <c r="G15858" s="33"/>
      <c r="O15858" s="33"/>
      <c r="P15858" s="33"/>
      <c r="Q15858" s="31" t="str">
        <f t="shared" si="952"/>
        <v/>
      </c>
      <c r="R15858" s="32" t="str">
        <f>IFERROR(VLOOKUP($D15858,'Informations sur les produits'!$A$3:$B$15000,2,FALSE),"")</f>
        <v/>
      </c>
    </row>
    <row r="15859" spans="7:18" x14ac:dyDescent="0.25">
      <c r="G15859" s="33"/>
      <c r="O15859" s="33"/>
      <c r="P15859" s="33"/>
      <c r="Q15859" s="31" t="str">
        <f t="shared" si="952"/>
        <v/>
      </c>
      <c r="R15859" s="32" t="str">
        <f>IFERROR(VLOOKUP($D15859,'Informations sur les produits'!$A$3:$B$15000,2,FALSE),"")</f>
        <v/>
      </c>
    </row>
    <row r="15860" spans="7:18" x14ac:dyDescent="0.25">
      <c r="G15860" s="33"/>
      <c r="O15860" s="33"/>
      <c r="P15860" s="33"/>
      <c r="Q15860" s="31" t="str">
        <f t="shared" si="952"/>
        <v/>
      </c>
      <c r="R15860" s="32" t="str">
        <f>IFERROR(VLOOKUP($D15860,'Informations sur les produits'!$A$3:$B$15000,2,FALSE),"")</f>
        <v/>
      </c>
    </row>
    <row r="15861" spans="7:18" x14ac:dyDescent="0.25">
      <c r="G15861" s="33"/>
      <c r="O15861" s="33"/>
      <c r="P15861" s="33"/>
      <c r="Q15861" s="31" t="str">
        <f t="shared" si="952"/>
        <v/>
      </c>
      <c r="R15861" s="32" t="str">
        <f>IFERROR(VLOOKUP($D15861,'Informations sur les produits'!$A$3:$B$15000,2,FALSE),"")</f>
        <v/>
      </c>
    </row>
    <row r="15862" spans="7:18" x14ac:dyDescent="0.25">
      <c r="G15862" s="33"/>
      <c r="O15862" s="33"/>
      <c r="P15862" s="33"/>
      <c r="Q15862" s="31" t="str">
        <f t="shared" si="952"/>
        <v/>
      </c>
      <c r="R15862" s="32" t="str">
        <f>IFERROR(VLOOKUP($D15862,'Informations sur les produits'!$A$3:$B$15000,2,FALSE),"")</f>
        <v/>
      </c>
    </row>
    <row r="15863" spans="7:18" x14ac:dyDescent="0.25">
      <c r="G15863" s="33"/>
      <c r="O15863" s="33"/>
      <c r="P15863" s="33"/>
      <c r="Q15863" s="31" t="str">
        <f t="shared" si="952"/>
        <v/>
      </c>
      <c r="R15863" s="32" t="str">
        <f>IFERROR(VLOOKUP($D15863,'Informations sur les produits'!$A$3:$B$15000,2,FALSE),"")</f>
        <v/>
      </c>
    </row>
    <row r="15864" spans="7:18" x14ac:dyDescent="0.25">
      <c r="G15864" s="33"/>
      <c r="O15864" s="33"/>
      <c r="P15864" s="33"/>
      <c r="Q15864" s="31" t="str">
        <f t="shared" si="952"/>
        <v/>
      </c>
      <c r="R15864" s="32" t="str">
        <f>IFERROR(VLOOKUP($D15864,'Informations sur les produits'!$A$3:$B$15000,2,FALSE),"")</f>
        <v/>
      </c>
    </row>
    <row r="15865" spans="7:18" x14ac:dyDescent="0.25">
      <c r="G15865" s="33"/>
      <c r="O15865" s="33"/>
      <c r="P15865" s="33"/>
      <c r="Q15865" s="31" t="str">
        <f t="shared" si="952"/>
        <v/>
      </c>
      <c r="R15865" s="32" t="str">
        <f>IFERROR(VLOOKUP($D15865,'Informations sur les produits'!$A$3:$B$15000,2,FALSE),"")</f>
        <v/>
      </c>
    </row>
    <row r="15866" spans="7:18" x14ac:dyDescent="0.25">
      <c r="G15866" s="33"/>
      <c r="O15866" s="33"/>
      <c r="P15866" s="33"/>
      <c r="Q15866" s="31" t="str">
        <f t="shared" si="952"/>
        <v/>
      </c>
      <c r="R15866" s="32" t="str">
        <f>IFERROR(VLOOKUP($D15866,'Informations sur les produits'!$A$3:$B$15000,2,FALSE),"")</f>
        <v/>
      </c>
    </row>
    <row r="15867" spans="7:18" x14ac:dyDescent="0.25">
      <c r="G15867" s="33"/>
      <c r="O15867" s="33"/>
      <c r="P15867" s="33"/>
      <c r="Q15867" s="31" t="str">
        <f t="shared" si="952"/>
        <v/>
      </c>
      <c r="R15867" s="32" t="str">
        <f>IFERROR(VLOOKUP($D15867,'Informations sur les produits'!$A$3:$B$15000,2,FALSE),"")</f>
        <v/>
      </c>
    </row>
    <row r="15868" spans="7:18" x14ac:dyDescent="0.25">
      <c r="G15868" s="33"/>
      <c r="O15868" s="33"/>
      <c r="P15868" s="33"/>
      <c r="Q15868" s="31" t="str">
        <f t="shared" si="952"/>
        <v/>
      </c>
      <c r="R15868" s="32" t="str">
        <f>IFERROR(VLOOKUP($D15868,'Informations sur les produits'!$A$3:$B$15000,2,FALSE),"")</f>
        <v/>
      </c>
    </row>
    <row r="15869" spans="7:18" x14ac:dyDescent="0.25">
      <c r="G15869" s="33"/>
      <c r="O15869" s="33"/>
      <c r="P15869" s="33"/>
      <c r="Q15869" s="31" t="str">
        <f t="shared" si="952"/>
        <v/>
      </c>
      <c r="R15869" s="32" t="str">
        <f>IFERROR(VLOOKUP($D15869,'Informations sur les produits'!$A$3:$B$15000,2,FALSE),"")</f>
        <v/>
      </c>
    </row>
    <row r="15870" spans="7:18" x14ac:dyDescent="0.25">
      <c r="G15870" s="33"/>
      <c r="O15870" s="33"/>
      <c r="P15870" s="33"/>
      <c r="Q15870" s="31" t="str">
        <f t="shared" si="952"/>
        <v/>
      </c>
      <c r="R15870" s="32" t="str">
        <f>IFERROR(VLOOKUP($D15870,'Informations sur les produits'!$A$3:$B$15000,2,FALSE),"")</f>
        <v/>
      </c>
    </row>
    <row r="15871" spans="7:18" x14ac:dyDescent="0.25">
      <c r="G15871" s="33"/>
      <c r="O15871" s="33"/>
      <c r="P15871" s="33"/>
      <c r="Q15871" s="31" t="str">
        <f t="shared" si="952"/>
        <v/>
      </c>
      <c r="R15871" s="32" t="str">
        <f>IFERROR(VLOOKUP($D15871,'Informations sur les produits'!$A$3:$B$15000,2,FALSE),"")</f>
        <v/>
      </c>
    </row>
    <row r="15872" spans="7:18" x14ac:dyDescent="0.25">
      <c r="G15872" s="33"/>
      <c r="O15872" s="33"/>
      <c r="P15872" s="33"/>
      <c r="Q15872" s="31" t="str">
        <f t="shared" si="952"/>
        <v/>
      </c>
      <c r="R15872" s="32" t="str">
        <f>IFERROR(VLOOKUP($D15872,'Informations sur les produits'!$A$3:$B$15000,2,FALSE),"")</f>
        <v/>
      </c>
    </row>
    <row r="15873" spans="7:18" x14ac:dyDescent="0.25">
      <c r="G15873" s="33"/>
      <c r="O15873" s="33"/>
      <c r="P15873" s="33"/>
      <c r="Q15873" s="31" t="str">
        <f t="shared" si="952"/>
        <v/>
      </c>
      <c r="R15873" s="32" t="str">
        <f>IFERROR(VLOOKUP($D15873,'Informations sur les produits'!$A$3:$B$15000,2,FALSE),"")</f>
        <v/>
      </c>
    </row>
    <row r="15874" spans="7:18" x14ac:dyDescent="0.25">
      <c r="G15874" s="33"/>
      <c r="O15874" s="33"/>
      <c r="P15874" s="33"/>
      <c r="Q15874" s="31" t="str">
        <f t="shared" si="952"/>
        <v/>
      </c>
      <c r="R15874" s="32" t="str">
        <f>IFERROR(VLOOKUP($D15874,'Informations sur les produits'!$A$3:$B$15000,2,FALSE),"")</f>
        <v/>
      </c>
    </row>
    <row r="15875" spans="7:18" x14ac:dyDescent="0.25">
      <c r="G15875" s="33"/>
      <c r="O15875" s="33"/>
      <c r="P15875" s="33"/>
      <c r="Q15875" s="31" t="str">
        <f t="shared" si="952"/>
        <v/>
      </c>
      <c r="R15875" s="32" t="str">
        <f>IFERROR(VLOOKUP($D15875,'Informations sur les produits'!$A$3:$B$15000,2,FALSE),"")</f>
        <v/>
      </c>
    </row>
    <row r="15876" spans="7:18" x14ac:dyDescent="0.25">
      <c r="G15876" s="33"/>
      <c r="O15876" s="33"/>
      <c r="P15876" s="33"/>
      <c r="Q15876" s="31" t="str">
        <f t="shared" ref="Q15876:Q15939" si="953">IFERROR((((($E15876-$F15876)*$G15876+$K15876*$L15876+$N15876*$O15876)*1000)/(($E15876-$F15876)+$K15876+$N15876)),"")</f>
        <v/>
      </c>
      <c r="R15876" s="32" t="str">
        <f>IFERROR(VLOOKUP($D15876,'Informations sur les produits'!$A$3:$B$15000,2,FALSE),"")</f>
        <v/>
      </c>
    </row>
    <row r="15877" spans="7:18" x14ac:dyDescent="0.25">
      <c r="G15877" s="33"/>
      <c r="O15877" s="33"/>
      <c r="P15877" s="33"/>
      <c r="Q15877" s="31" t="str">
        <f t="shared" si="953"/>
        <v/>
      </c>
      <c r="R15877" s="32" t="str">
        <f>IFERROR(VLOOKUP($D15877,'Informations sur les produits'!$A$3:$B$15000,2,FALSE),"")</f>
        <v/>
      </c>
    </row>
    <row r="15878" spans="7:18" x14ac:dyDescent="0.25">
      <c r="G15878" s="33"/>
      <c r="O15878" s="33"/>
      <c r="P15878" s="33"/>
      <c r="Q15878" s="31" t="str">
        <f t="shared" si="953"/>
        <v/>
      </c>
      <c r="R15878" s="32" t="str">
        <f>IFERROR(VLOOKUP($D15878,'Informations sur les produits'!$A$3:$B$15000,2,FALSE),"")</f>
        <v/>
      </c>
    </row>
    <row r="15879" spans="7:18" x14ac:dyDescent="0.25">
      <c r="G15879" s="33"/>
      <c r="O15879" s="33"/>
      <c r="P15879" s="33"/>
      <c r="Q15879" s="31" t="str">
        <f t="shared" si="953"/>
        <v/>
      </c>
      <c r="R15879" s="32" t="str">
        <f>IFERROR(VLOOKUP($D15879,'Informations sur les produits'!$A$3:$B$15000,2,FALSE),"")</f>
        <v/>
      </c>
    </row>
    <row r="15880" spans="7:18" x14ac:dyDescent="0.25">
      <c r="G15880" s="33"/>
      <c r="O15880" s="33"/>
      <c r="P15880" s="33"/>
      <c r="Q15880" s="31" t="str">
        <f t="shared" si="953"/>
        <v/>
      </c>
      <c r="R15880" s="32" t="str">
        <f>IFERROR(VLOOKUP($D15880,'Informations sur les produits'!$A$3:$B$15000,2,FALSE),"")</f>
        <v/>
      </c>
    </row>
    <row r="15881" spans="7:18" x14ac:dyDescent="0.25">
      <c r="G15881" s="33"/>
      <c r="O15881" s="33"/>
      <c r="P15881" s="33"/>
      <c r="Q15881" s="31" t="str">
        <f t="shared" si="953"/>
        <v/>
      </c>
      <c r="R15881" s="32" t="str">
        <f>IFERROR(VLOOKUP($D15881,'Informations sur les produits'!$A$3:$B$15000,2,FALSE),"")</f>
        <v/>
      </c>
    </row>
    <row r="15882" spans="7:18" x14ac:dyDescent="0.25">
      <c r="G15882" s="33"/>
      <c r="O15882" s="33"/>
      <c r="P15882" s="33"/>
      <c r="Q15882" s="31" t="str">
        <f t="shared" si="953"/>
        <v/>
      </c>
      <c r="R15882" s="32" t="str">
        <f>IFERROR(VLOOKUP($D15882,'Informations sur les produits'!$A$3:$B$15000,2,FALSE),"")</f>
        <v/>
      </c>
    </row>
    <row r="15883" spans="7:18" x14ac:dyDescent="0.25">
      <c r="G15883" s="33"/>
      <c r="O15883" s="33"/>
      <c r="P15883" s="33"/>
      <c r="Q15883" s="31" t="str">
        <f t="shared" si="953"/>
        <v/>
      </c>
      <c r="R15883" s="32" t="str">
        <f>IFERROR(VLOOKUP($D15883,'Informations sur les produits'!$A$3:$B$15000,2,FALSE),"")</f>
        <v/>
      </c>
    </row>
    <row r="15884" spans="7:18" x14ac:dyDescent="0.25">
      <c r="G15884" s="33"/>
      <c r="O15884" s="33"/>
      <c r="P15884" s="33"/>
      <c r="Q15884" s="31" t="str">
        <f t="shared" si="953"/>
        <v/>
      </c>
      <c r="R15884" s="32" t="str">
        <f>IFERROR(VLOOKUP($D15884,'Informations sur les produits'!$A$3:$B$15000,2,FALSE),"")</f>
        <v/>
      </c>
    </row>
    <row r="15885" spans="7:18" x14ac:dyDescent="0.25">
      <c r="G15885" s="33"/>
      <c r="O15885" s="33"/>
      <c r="P15885" s="33"/>
      <c r="Q15885" s="31" t="str">
        <f t="shared" si="953"/>
        <v/>
      </c>
      <c r="R15885" s="32" t="str">
        <f>IFERROR(VLOOKUP($D15885,'Informations sur les produits'!$A$3:$B$15000,2,FALSE),"")</f>
        <v/>
      </c>
    </row>
    <row r="15886" spans="7:18" x14ac:dyDescent="0.25">
      <c r="G15886" s="33"/>
      <c r="O15886" s="33"/>
      <c r="P15886" s="33"/>
      <c r="Q15886" s="31" t="str">
        <f t="shared" si="953"/>
        <v/>
      </c>
      <c r="R15886" s="32" t="str">
        <f>IFERROR(VLOOKUP($D15886,'Informations sur les produits'!$A$3:$B$15000,2,FALSE),"")</f>
        <v/>
      </c>
    </row>
    <row r="15887" spans="7:18" x14ac:dyDescent="0.25">
      <c r="G15887" s="33"/>
      <c r="O15887" s="33"/>
      <c r="P15887" s="33"/>
      <c r="Q15887" s="31" t="str">
        <f t="shared" si="953"/>
        <v/>
      </c>
      <c r="R15887" s="32" t="str">
        <f>IFERROR(VLOOKUP($D15887,'Informations sur les produits'!$A$3:$B$15000,2,FALSE),"")</f>
        <v/>
      </c>
    </row>
    <row r="15888" spans="7:18" x14ac:dyDescent="0.25">
      <c r="G15888" s="33"/>
      <c r="O15888" s="33"/>
      <c r="P15888" s="33"/>
      <c r="Q15888" s="31" t="str">
        <f t="shared" si="953"/>
        <v/>
      </c>
      <c r="R15888" s="32" t="str">
        <f>IFERROR(VLOOKUP($D15888,'Informations sur les produits'!$A$3:$B$15000,2,FALSE),"")</f>
        <v/>
      </c>
    </row>
    <row r="15889" spans="7:18" x14ac:dyDescent="0.25">
      <c r="G15889" s="33"/>
      <c r="O15889" s="33"/>
      <c r="P15889" s="33"/>
      <c r="Q15889" s="31" t="str">
        <f t="shared" si="953"/>
        <v/>
      </c>
      <c r="R15889" s="32" t="str">
        <f>IFERROR(VLOOKUP($D15889,'Informations sur les produits'!$A$3:$B$15000,2,FALSE),"")</f>
        <v/>
      </c>
    </row>
    <row r="15890" spans="7:18" x14ac:dyDescent="0.25">
      <c r="G15890" s="33"/>
      <c r="O15890" s="33"/>
      <c r="P15890" s="33"/>
      <c r="Q15890" s="31" t="str">
        <f t="shared" si="953"/>
        <v/>
      </c>
      <c r="R15890" s="32" t="str">
        <f>IFERROR(VLOOKUP($D15890,'Informations sur les produits'!$A$3:$B$15000,2,FALSE),"")</f>
        <v/>
      </c>
    </row>
    <row r="15891" spans="7:18" x14ac:dyDescent="0.25">
      <c r="G15891" s="33"/>
      <c r="O15891" s="33"/>
      <c r="P15891" s="33"/>
      <c r="Q15891" s="31" t="str">
        <f t="shared" si="953"/>
        <v/>
      </c>
      <c r="R15891" s="32" t="str">
        <f>IFERROR(VLOOKUP($D15891,'Informations sur les produits'!$A$3:$B$15000,2,FALSE),"")</f>
        <v/>
      </c>
    </row>
    <row r="15892" spans="7:18" x14ac:dyDescent="0.25">
      <c r="G15892" s="33"/>
      <c r="O15892" s="33"/>
      <c r="P15892" s="33"/>
      <c r="Q15892" s="31" t="str">
        <f t="shared" si="953"/>
        <v/>
      </c>
      <c r="R15892" s="32" t="str">
        <f>IFERROR(VLOOKUP($D15892,'Informations sur les produits'!$A$3:$B$15000,2,FALSE),"")</f>
        <v/>
      </c>
    </row>
    <row r="15893" spans="7:18" x14ac:dyDescent="0.25">
      <c r="G15893" s="33"/>
      <c r="O15893" s="33"/>
      <c r="P15893" s="33"/>
      <c r="Q15893" s="31" t="str">
        <f t="shared" si="953"/>
        <v/>
      </c>
      <c r="R15893" s="32" t="str">
        <f>IFERROR(VLOOKUP($D15893,'Informations sur les produits'!$A$3:$B$15000,2,FALSE),"")</f>
        <v/>
      </c>
    </row>
    <row r="15894" spans="7:18" x14ac:dyDescent="0.25">
      <c r="G15894" s="33"/>
      <c r="O15894" s="33"/>
      <c r="P15894" s="33"/>
      <c r="Q15894" s="31" t="str">
        <f t="shared" si="953"/>
        <v/>
      </c>
      <c r="R15894" s="32" t="str">
        <f>IFERROR(VLOOKUP($D15894,'Informations sur les produits'!$A$3:$B$15000,2,FALSE),"")</f>
        <v/>
      </c>
    </row>
    <row r="15895" spans="7:18" x14ac:dyDescent="0.25">
      <c r="G15895" s="33"/>
      <c r="O15895" s="33"/>
      <c r="P15895" s="33"/>
      <c r="Q15895" s="31" t="str">
        <f t="shared" si="953"/>
        <v/>
      </c>
      <c r="R15895" s="32" t="str">
        <f>IFERROR(VLOOKUP($D15895,'Informations sur les produits'!$A$3:$B$15000,2,FALSE),"")</f>
        <v/>
      </c>
    </row>
    <row r="15896" spans="7:18" x14ac:dyDescent="0.25">
      <c r="G15896" s="33"/>
      <c r="O15896" s="33"/>
      <c r="P15896" s="33"/>
      <c r="Q15896" s="31" t="str">
        <f t="shared" si="953"/>
        <v/>
      </c>
      <c r="R15896" s="32" t="str">
        <f>IFERROR(VLOOKUP($D15896,'Informations sur les produits'!$A$3:$B$15000,2,FALSE),"")</f>
        <v/>
      </c>
    </row>
    <row r="15897" spans="7:18" x14ac:dyDescent="0.25">
      <c r="G15897" s="33"/>
      <c r="O15897" s="33"/>
      <c r="P15897" s="33"/>
      <c r="Q15897" s="31" t="str">
        <f t="shared" si="953"/>
        <v/>
      </c>
      <c r="R15897" s="32" t="str">
        <f>IFERROR(VLOOKUP($D15897,'Informations sur les produits'!$A$3:$B$15000,2,FALSE),"")</f>
        <v/>
      </c>
    </row>
    <row r="15898" spans="7:18" x14ac:dyDescent="0.25">
      <c r="G15898" s="33"/>
      <c r="O15898" s="33"/>
      <c r="P15898" s="33"/>
      <c r="Q15898" s="31" t="str">
        <f t="shared" si="953"/>
        <v/>
      </c>
      <c r="R15898" s="32" t="str">
        <f>IFERROR(VLOOKUP($D15898,'Informations sur les produits'!$A$3:$B$15000,2,FALSE),"")</f>
        <v/>
      </c>
    </row>
    <row r="15899" spans="7:18" x14ac:dyDescent="0.25">
      <c r="G15899" s="33"/>
      <c r="O15899" s="33"/>
      <c r="P15899" s="33"/>
      <c r="Q15899" s="31" t="str">
        <f t="shared" si="953"/>
        <v/>
      </c>
      <c r="R15899" s="32" t="str">
        <f>IFERROR(VLOOKUP($D15899,'Informations sur les produits'!$A$3:$B$15000,2,FALSE),"")</f>
        <v/>
      </c>
    </row>
    <row r="15900" spans="7:18" x14ac:dyDescent="0.25">
      <c r="G15900" s="33"/>
      <c r="O15900" s="33"/>
      <c r="P15900" s="33"/>
      <c r="Q15900" s="31" t="str">
        <f t="shared" si="953"/>
        <v/>
      </c>
      <c r="R15900" s="32" t="str">
        <f>IFERROR(VLOOKUP($D15900,'Informations sur les produits'!$A$3:$B$15000,2,FALSE),"")</f>
        <v/>
      </c>
    </row>
    <row r="15901" spans="7:18" x14ac:dyDescent="0.25">
      <c r="G15901" s="33"/>
      <c r="O15901" s="33"/>
      <c r="P15901" s="33"/>
      <c r="Q15901" s="31" t="str">
        <f t="shared" si="953"/>
        <v/>
      </c>
      <c r="R15901" s="32" t="str">
        <f>IFERROR(VLOOKUP($D15901,'Informations sur les produits'!$A$3:$B$15000,2,FALSE),"")</f>
        <v/>
      </c>
    </row>
    <row r="15902" spans="7:18" x14ac:dyDescent="0.25">
      <c r="G15902" s="33"/>
      <c r="O15902" s="33"/>
      <c r="P15902" s="33"/>
      <c r="Q15902" s="31" t="str">
        <f t="shared" si="953"/>
        <v/>
      </c>
      <c r="R15902" s="32" t="str">
        <f>IFERROR(VLOOKUP($D15902,'Informations sur les produits'!$A$3:$B$15000,2,FALSE),"")</f>
        <v/>
      </c>
    </row>
    <row r="15903" spans="7:18" x14ac:dyDescent="0.25">
      <c r="G15903" s="33"/>
      <c r="O15903" s="33"/>
      <c r="P15903" s="33"/>
      <c r="Q15903" s="31" t="str">
        <f t="shared" si="953"/>
        <v/>
      </c>
      <c r="R15903" s="32" t="str">
        <f>IFERROR(VLOOKUP($D15903,'Informations sur les produits'!$A$3:$B$15000,2,FALSE),"")</f>
        <v/>
      </c>
    </row>
    <row r="15904" spans="7:18" x14ac:dyDescent="0.25">
      <c r="G15904" s="33"/>
      <c r="O15904" s="33"/>
      <c r="P15904" s="33"/>
      <c r="Q15904" s="31" t="str">
        <f t="shared" si="953"/>
        <v/>
      </c>
      <c r="R15904" s="32" t="str">
        <f>IFERROR(VLOOKUP($D15904,'Informations sur les produits'!$A$3:$B$15000,2,FALSE),"")</f>
        <v/>
      </c>
    </row>
    <row r="15905" spans="7:18" x14ac:dyDescent="0.25">
      <c r="G15905" s="33"/>
      <c r="O15905" s="33"/>
      <c r="P15905" s="33"/>
      <c r="Q15905" s="31" t="str">
        <f t="shared" si="953"/>
        <v/>
      </c>
      <c r="R15905" s="32" t="str">
        <f>IFERROR(VLOOKUP($D15905,'Informations sur les produits'!$A$3:$B$15000,2,FALSE),"")</f>
        <v/>
      </c>
    </row>
    <row r="15906" spans="7:18" x14ac:dyDescent="0.25">
      <c r="G15906" s="33"/>
      <c r="O15906" s="33"/>
      <c r="P15906" s="33"/>
      <c r="Q15906" s="31" t="str">
        <f t="shared" si="953"/>
        <v/>
      </c>
      <c r="R15906" s="32" t="str">
        <f>IFERROR(VLOOKUP($D15906,'Informations sur les produits'!$A$3:$B$15000,2,FALSE),"")</f>
        <v/>
      </c>
    </row>
    <row r="15907" spans="7:18" x14ac:dyDescent="0.25">
      <c r="G15907" s="33"/>
      <c r="O15907" s="33"/>
      <c r="P15907" s="33"/>
      <c r="Q15907" s="31" t="str">
        <f t="shared" si="953"/>
        <v/>
      </c>
      <c r="R15907" s="32" t="str">
        <f>IFERROR(VLOOKUP($D15907,'Informations sur les produits'!$A$3:$B$15000,2,FALSE),"")</f>
        <v/>
      </c>
    </row>
    <row r="15908" spans="7:18" x14ac:dyDescent="0.25">
      <c r="G15908" s="33"/>
      <c r="O15908" s="33"/>
      <c r="P15908" s="33"/>
      <c r="Q15908" s="31" t="str">
        <f t="shared" si="953"/>
        <v/>
      </c>
      <c r="R15908" s="32" t="str">
        <f>IFERROR(VLOOKUP($D15908,'Informations sur les produits'!$A$3:$B$15000,2,FALSE),"")</f>
        <v/>
      </c>
    </row>
    <row r="15909" spans="7:18" x14ac:dyDescent="0.25">
      <c r="G15909" s="33"/>
      <c r="O15909" s="33"/>
      <c r="P15909" s="33"/>
      <c r="Q15909" s="31" t="str">
        <f t="shared" si="953"/>
        <v/>
      </c>
      <c r="R15909" s="32" t="str">
        <f>IFERROR(VLOOKUP($D15909,'Informations sur les produits'!$A$3:$B$15000,2,FALSE),"")</f>
        <v/>
      </c>
    </row>
    <row r="15910" spans="7:18" x14ac:dyDescent="0.25">
      <c r="G15910" s="33"/>
      <c r="O15910" s="33"/>
      <c r="P15910" s="33"/>
      <c r="Q15910" s="31" t="str">
        <f t="shared" si="953"/>
        <v/>
      </c>
      <c r="R15910" s="32" t="str">
        <f>IFERROR(VLOOKUP($D15910,'Informations sur les produits'!$A$3:$B$15000,2,FALSE),"")</f>
        <v/>
      </c>
    </row>
    <row r="15911" spans="7:18" x14ac:dyDescent="0.25">
      <c r="G15911" s="33"/>
      <c r="O15911" s="33"/>
      <c r="P15911" s="33"/>
      <c r="Q15911" s="31" t="str">
        <f t="shared" si="953"/>
        <v/>
      </c>
      <c r="R15911" s="32" t="str">
        <f>IFERROR(VLOOKUP($D15911,'Informations sur les produits'!$A$3:$B$15000,2,FALSE),"")</f>
        <v/>
      </c>
    </row>
    <row r="15912" spans="7:18" x14ac:dyDescent="0.25">
      <c r="G15912" s="33"/>
      <c r="O15912" s="33"/>
      <c r="P15912" s="33"/>
      <c r="Q15912" s="31" t="str">
        <f t="shared" si="953"/>
        <v/>
      </c>
      <c r="R15912" s="32" t="str">
        <f>IFERROR(VLOOKUP($D15912,'Informations sur les produits'!$A$3:$B$15000,2,FALSE),"")</f>
        <v/>
      </c>
    </row>
    <row r="15913" spans="7:18" x14ac:dyDescent="0.25">
      <c r="G15913" s="33"/>
      <c r="O15913" s="33"/>
      <c r="P15913" s="33"/>
      <c r="Q15913" s="31" t="str">
        <f t="shared" si="953"/>
        <v/>
      </c>
      <c r="R15913" s="32" t="str">
        <f>IFERROR(VLOOKUP($D15913,'Informations sur les produits'!$A$3:$B$15000,2,FALSE),"")</f>
        <v/>
      </c>
    </row>
    <row r="15914" spans="7:18" x14ac:dyDescent="0.25">
      <c r="G15914" s="33"/>
      <c r="O15914" s="33"/>
      <c r="P15914" s="33"/>
      <c r="Q15914" s="31" t="str">
        <f t="shared" si="953"/>
        <v/>
      </c>
      <c r="R15914" s="32" t="str">
        <f>IFERROR(VLOOKUP($D15914,'Informations sur les produits'!$A$3:$B$15000,2,FALSE),"")</f>
        <v/>
      </c>
    </row>
    <row r="15915" spans="7:18" x14ac:dyDescent="0.25">
      <c r="G15915" s="33"/>
      <c r="O15915" s="33"/>
      <c r="P15915" s="33"/>
      <c r="Q15915" s="31" t="str">
        <f t="shared" si="953"/>
        <v/>
      </c>
      <c r="R15915" s="32" t="str">
        <f>IFERROR(VLOOKUP($D15915,'Informations sur les produits'!$A$3:$B$15000,2,FALSE),"")</f>
        <v/>
      </c>
    </row>
    <row r="15916" spans="7:18" x14ac:dyDescent="0.25">
      <c r="G15916" s="33"/>
      <c r="O15916" s="33"/>
      <c r="P15916" s="33"/>
      <c r="Q15916" s="31" t="str">
        <f t="shared" si="953"/>
        <v/>
      </c>
      <c r="R15916" s="32" t="str">
        <f>IFERROR(VLOOKUP($D15916,'Informations sur les produits'!$A$3:$B$15000,2,FALSE),"")</f>
        <v/>
      </c>
    </row>
    <row r="15917" spans="7:18" x14ac:dyDescent="0.25">
      <c r="G15917" s="33"/>
      <c r="O15917" s="33"/>
      <c r="P15917" s="33"/>
      <c r="Q15917" s="31" t="str">
        <f t="shared" si="953"/>
        <v/>
      </c>
      <c r="R15917" s="32" t="str">
        <f>IFERROR(VLOOKUP($D15917,'Informations sur les produits'!$A$3:$B$15000,2,FALSE),"")</f>
        <v/>
      </c>
    </row>
    <row r="15918" spans="7:18" x14ac:dyDescent="0.25">
      <c r="G15918" s="33"/>
      <c r="O15918" s="33"/>
      <c r="P15918" s="33"/>
      <c r="Q15918" s="31" t="str">
        <f t="shared" si="953"/>
        <v/>
      </c>
      <c r="R15918" s="32" t="str">
        <f>IFERROR(VLOOKUP($D15918,'Informations sur les produits'!$A$3:$B$15000,2,FALSE),"")</f>
        <v/>
      </c>
    </row>
    <row r="15919" spans="7:18" x14ac:dyDescent="0.25">
      <c r="G15919" s="33"/>
      <c r="O15919" s="33"/>
      <c r="P15919" s="33"/>
      <c r="Q15919" s="31" t="str">
        <f t="shared" si="953"/>
        <v/>
      </c>
      <c r="R15919" s="32" t="str">
        <f>IFERROR(VLOOKUP($D15919,'Informations sur les produits'!$A$3:$B$15000,2,FALSE),"")</f>
        <v/>
      </c>
    </row>
    <row r="15920" spans="7:18" x14ac:dyDescent="0.25">
      <c r="G15920" s="33"/>
      <c r="O15920" s="33"/>
      <c r="P15920" s="33"/>
      <c r="Q15920" s="31" t="str">
        <f t="shared" si="953"/>
        <v/>
      </c>
      <c r="R15920" s="32" t="str">
        <f>IFERROR(VLOOKUP($D15920,'Informations sur les produits'!$A$3:$B$15000,2,FALSE),"")</f>
        <v/>
      </c>
    </row>
    <row r="15921" spans="7:18" x14ac:dyDescent="0.25">
      <c r="G15921" s="33"/>
      <c r="O15921" s="33"/>
      <c r="P15921" s="33"/>
      <c r="Q15921" s="31" t="str">
        <f t="shared" si="953"/>
        <v/>
      </c>
      <c r="R15921" s="32" t="str">
        <f>IFERROR(VLOOKUP($D15921,'Informations sur les produits'!$A$3:$B$15000,2,FALSE),"")</f>
        <v/>
      </c>
    </row>
    <row r="15922" spans="7:18" x14ac:dyDescent="0.25">
      <c r="G15922" s="33"/>
      <c r="O15922" s="33"/>
      <c r="P15922" s="33"/>
      <c r="Q15922" s="31" t="str">
        <f t="shared" si="953"/>
        <v/>
      </c>
      <c r="R15922" s="32" t="str">
        <f>IFERROR(VLOOKUP($D15922,'Informations sur les produits'!$A$3:$B$15000,2,FALSE),"")</f>
        <v/>
      </c>
    </row>
    <row r="15923" spans="7:18" x14ac:dyDescent="0.25">
      <c r="G15923" s="33"/>
      <c r="O15923" s="33"/>
      <c r="P15923" s="33"/>
      <c r="Q15923" s="31" t="str">
        <f t="shared" si="953"/>
        <v/>
      </c>
      <c r="R15923" s="32" t="str">
        <f>IFERROR(VLOOKUP($D15923,'Informations sur les produits'!$A$3:$B$15000,2,FALSE),"")</f>
        <v/>
      </c>
    </row>
    <row r="15924" spans="7:18" x14ac:dyDescent="0.25">
      <c r="G15924" s="33"/>
      <c r="O15924" s="33"/>
      <c r="P15924" s="33"/>
      <c r="Q15924" s="31" t="str">
        <f t="shared" si="953"/>
        <v/>
      </c>
      <c r="R15924" s="32" t="str">
        <f>IFERROR(VLOOKUP($D15924,'Informations sur les produits'!$A$3:$B$15000,2,FALSE),"")</f>
        <v/>
      </c>
    </row>
    <row r="15925" spans="7:18" x14ac:dyDescent="0.25">
      <c r="G15925" s="33"/>
      <c r="O15925" s="33"/>
      <c r="P15925" s="33"/>
      <c r="Q15925" s="31" t="str">
        <f t="shared" si="953"/>
        <v/>
      </c>
      <c r="R15925" s="32" t="str">
        <f>IFERROR(VLOOKUP($D15925,'Informations sur les produits'!$A$3:$B$15000,2,FALSE),"")</f>
        <v/>
      </c>
    </row>
    <row r="15926" spans="7:18" x14ac:dyDescent="0.25">
      <c r="G15926" s="33"/>
      <c r="O15926" s="33"/>
      <c r="P15926" s="33"/>
      <c r="Q15926" s="31" t="str">
        <f t="shared" si="953"/>
        <v/>
      </c>
      <c r="R15926" s="32" t="str">
        <f>IFERROR(VLOOKUP($D15926,'Informations sur les produits'!$A$3:$B$15000,2,FALSE),"")</f>
        <v/>
      </c>
    </row>
    <row r="15927" spans="7:18" x14ac:dyDescent="0.25">
      <c r="G15927" s="33"/>
      <c r="O15927" s="33"/>
      <c r="P15927" s="33"/>
      <c r="Q15927" s="31" t="str">
        <f t="shared" si="953"/>
        <v/>
      </c>
      <c r="R15927" s="32" t="str">
        <f>IFERROR(VLOOKUP($D15927,'Informations sur les produits'!$A$3:$B$15000,2,FALSE),"")</f>
        <v/>
      </c>
    </row>
    <row r="15928" spans="7:18" x14ac:dyDescent="0.25">
      <c r="G15928" s="33"/>
      <c r="O15928" s="33"/>
      <c r="P15928" s="33"/>
      <c r="Q15928" s="31" t="str">
        <f t="shared" si="953"/>
        <v/>
      </c>
      <c r="R15928" s="32" t="str">
        <f>IFERROR(VLOOKUP($D15928,'Informations sur les produits'!$A$3:$B$15000,2,FALSE),"")</f>
        <v/>
      </c>
    </row>
    <row r="15929" spans="7:18" x14ac:dyDescent="0.25">
      <c r="G15929" s="33"/>
      <c r="O15929" s="33"/>
      <c r="P15929" s="33"/>
      <c r="Q15929" s="31" t="str">
        <f t="shared" si="953"/>
        <v/>
      </c>
      <c r="R15929" s="32" t="str">
        <f>IFERROR(VLOOKUP($D15929,'Informations sur les produits'!$A$3:$B$15000,2,FALSE),"")</f>
        <v/>
      </c>
    </row>
    <row r="15930" spans="7:18" x14ac:dyDescent="0.25">
      <c r="G15930" s="33"/>
      <c r="O15930" s="33"/>
      <c r="P15930" s="33"/>
      <c r="Q15930" s="31" t="str">
        <f t="shared" si="953"/>
        <v/>
      </c>
      <c r="R15930" s="32" t="str">
        <f>IFERROR(VLOOKUP($D15930,'Informations sur les produits'!$A$3:$B$15000,2,FALSE),"")</f>
        <v/>
      </c>
    </row>
    <row r="15931" spans="7:18" x14ac:dyDescent="0.25">
      <c r="G15931" s="33"/>
      <c r="O15931" s="33"/>
      <c r="P15931" s="33"/>
      <c r="Q15931" s="31" t="str">
        <f t="shared" si="953"/>
        <v/>
      </c>
      <c r="R15931" s="32" t="str">
        <f>IFERROR(VLOOKUP($D15931,'Informations sur les produits'!$A$3:$B$15000,2,FALSE),"")</f>
        <v/>
      </c>
    </row>
    <row r="15932" spans="7:18" x14ac:dyDescent="0.25">
      <c r="G15932" s="33"/>
      <c r="O15932" s="33"/>
      <c r="P15932" s="33"/>
      <c r="Q15932" s="31" t="str">
        <f t="shared" si="953"/>
        <v/>
      </c>
      <c r="R15932" s="32" t="str">
        <f>IFERROR(VLOOKUP($D15932,'Informations sur les produits'!$A$3:$B$15000,2,FALSE),"")</f>
        <v/>
      </c>
    </row>
    <row r="15933" spans="7:18" x14ac:dyDescent="0.25">
      <c r="G15933" s="33"/>
      <c r="O15933" s="33"/>
      <c r="P15933" s="33"/>
      <c r="Q15933" s="31" t="str">
        <f t="shared" si="953"/>
        <v/>
      </c>
      <c r="R15933" s="32" t="str">
        <f>IFERROR(VLOOKUP($D15933,'Informations sur les produits'!$A$3:$B$15000,2,FALSE),"")</f>
        <v/>
      </c>
    </row>
    <row r="15934" spans="7:18" x14ac:dyDescent="0.25">
      <c r="G15934" s="33"/>
      <c r="O15934" s="33"/>
      <c r="P15934" s="33"/>
      <c r="Q15934" s="31" t="str">
        <f t="shared" si="953"/>
        <v/>
      </c>
      <c r="R15934" s="32" t="str">
        <f>IFERROR(VLOOKUP($D15934,'Informations sur les produits'!$A$3:$B$15000,2,FALSE),"")</f>
        <v/>
      </c>
    </row>
    <row r="15935" spans="7:18" x14ac:dyDescent="0.25">
      <c r="G15935" s="33"/>
      <c r="O15935" s="33"/>
      <c r="P15935" s="33"/>
      <c r="Q15935" s="31" t="str">
        <f t="shared" si="953"/>
        <v/>
      </c>
      <c r="R15935" s="32" t="str">
        <f>IFERROR(VLOOKUP($D15935,'Informations sur les produits'!$A$3:$B$15000,2,FALSE),"")</f>
        <v/>
      </c>
    </row>
    <row r="15936" spans="7:18" x14ac:dyDescent="0.25">
      <c r="G15936" s="33"/>
      <c r="O15936" s="33"/>
      <c r="P15936" s="33"/>
      <c r="Q15936" s="31" t="str">
        <f t="shared" si="953"/>
        <v/>
      </c>
      <c r="R15936" s="32" t="str">
        <f>IFERROR(VLOOKUP($D15936,'Informations sur les produits'!$A$3:$B$15000,2,FALSE),"")</f>
        <v/>
      </c>
    </row>
    <row r="15937" spans="7:18" x14ac:dyDescent="0.25">
      <c r="G15937" s="33"/>
      <c r="O15937" s="33"/>
      <c r="P15937" s="33"/>
      <c r="Q15937" s="31" t="str">
        <f t="shared" si="953"/>
        <v/>
      </c>
      <c r="R15937" s="32" t="str">
        <f>IFERROR(VLOOKUP($D15937,'Informations sur les produits'!$A$3:$B$15000,2,FALSE),"")</f>
        <v/>
      </c>
    </row>
    <row r="15938" spans="7:18" x14ac:dyDescent="0.25">
      <c r="G15938" s="33"/>
      <c r="O15938" s="33"/>
      <c r="P15938" s="33"/>
      <c r="Q15938" s="31" t="str">
        <f t="shared" si="953"/>
        <v/>
      </c>
      <c r="R15938" s="32" t="str">
        <f>IFERROR(VLOOKUP($D15938,'Informations sur les produits'!$A$3:$B$15000,2,FALSE),"")</f>
        <v/>
      </c>
    </row>
    <row r="15939" spans="7:18" x14ac:dyDescent="0.25">
      <c r="G15939" s="33"/>
      <c r="O15939" s="33"/>
      <c r="P15939" s="33"/>
      <c r="Q15939" s="31" t="str">
        <f t="shared" si="953"/>
        <v/>
      </c>
      <c r="R15939" s="32" t="str">
        <f>IFERROR(VLOOKUP($D15939,'Informations sur les produits'!$A$3:$B$15000,2,FALSE),"")</f>
        <v/>
      </c>
    </row>
    <row r="15940" spans="7:18" x14ac:dyDescent="0.25">
      <c r="G15940" s="33"/>
      <c r="O15940" s="33"/>
      <c r="P15940" s="33"/>
      <c r="Q15940" s="31" t="str">
        <f t="shared" ref="Q15940:Q16003" si="954">IFERROR((((($E15940-$F15940)*$G15940+$K15940*$L15940+$N15940*$O15940)*1000)/(($E15940-$F15940)+$K15940+$N15940)),"")</f>
        <v/>
      </c>
      <c r="R15940" s="32" t="str">
        <f>IFERROR(VLOOKUP($D15940,'Informations sur les produits'!$A$3:$B$15000,2,FALSE),"")</f>
        <v/>
      </c>
    </row>
    <row r="15941" spans="7:18" x14ac:dyDescent="0.25">
      <c r="G15941" s="33"/>
      <c r="O15941" s="33"/>
      <c r="P15941" s="33"/>
      <c r="Q15941" s="31" t="str">
        <f t="shared" si="954"/>
        <v/>
      </c>
      <c r="R15941" s="32" t="str">
        <f>IFERROR(VLOOKUP($D15941,'Informations sur les produits'!$A$3:$B$15000,2,FALSE),"")</f>
        <v/>
      </c>
    </row>
    <row r="15942" spans="7:18" x14ac:dyDescent="0.25">
      <c r="G15942" s="33"/>
      <c r="O15942" s="33"/>
      <c r="P15942" s="33"/>
      <c r="Q15942" s="31" t="str">
        <f t="shared" si="954"/>
        <v/>
      </c>
      <c r="R15942" s="32" t="str">
        <f>IFERROR(VLOOKUP($D15942,'Informations sur les produits'!$A$3:$B$15000,2,FALSE),"")</f>
        <v/>
      </c>
    </row>
    <row r="15943" spans="7:18" x14ac:dyDescent="0.25">
      <c r="G15943" s="33"/>
      <c r="O15943" s="33"/>
      <c r="P15943" s="33"/>
      <c r="Q15943" s="31" t="str">
        <f t="shared" si="954"/>
        <v/>
      </c>
      <c r="R15943" s="32" t="str">
        <f>IFERROR(VLOOKUP($D15943,'Informations sur les produits'!$A$3:$B$15000,2,FALSE),"")</f>
        <v/>
      </c>
    </row>
    <row r="15944" spans="7:18" x14ac:dyDescent="0.25">
      <c r="G15944" s="33"/>
      <c r="O15944" s="33"/>
      <c r="P15944" s="33"/>
      <c r="Q15944" s="31" t="str">
        <f t="shared" si="954"/>
        <v/>
      </c>
      <c r="R15944" s="32" t="str">
        <f>IFERROR(VLOOKUP($D15944,'Informations sur les produits'!$A$3:$B$15000,2,FALSE),"")</f>
        <v/>
      </c>
    </row>
    <row r="15945" spans="7:18" x14ac:dyDescent="0.25">
      <c r="G15945" s="33"/>
      <c r="O15945" s="33"/>
      <c r="P15945" s="33"/>
      <c r="Q15945" s="31" t="str">
        <f t="shared" si="954"/>
        <v/>
      </c>
      <c r="R15945" s="32" t="str">
        <f>IFERROR(VLOOKUP($D15945,'Informations sur les produits'!$A$3:$B$15000,2,FALSE),"")</f>
        <v/>
      </c>
    </row>
    <row r="15946" spans="7:18" x14ac:dyDescent="0.25">
      <c r="G15946" s="33"/>
      <c r="O15946" s="33"/>
      <c r="P15946" s="33"/>
      <c r="Q15946" s="31" t="str">
        <f t="shared" si="954"/>
        <v/>
      </c>
      <c r="R15946" s="32" t="str">
        <f>IFERROR(VLOOKUP($D15946,'Informations sur les produits'!$A$3:$B$15000,2,FALSE),"")</f>
        <v/>
      </c>
    </row>
    <row r="15947" spans="7:18" x14ac:dyDescent="0.25">
      <c r="G15947" s="33"/>
      <c r="O15947" s="33"/>
      <c r="P15947" s="33"/>
      <c r="Q15947" s="31" t="str">
        <f t="shared" si="954"/>
        <v/>
      </c>
      <c r="R15947" s="32" t="str">
        <f>IFERROR(VLOOKUP($D15947,'Informations sur les produits'!$A$3:$B$15000,2,FALSE),"")</f>
        <v/>
      </c>
    </row>
    <row r="15948" spans="7:18" x14ac:dyDescent="0.25">
      <c r="G15948" s="33"/>
      <c r="O15948" s="33"/>
      <c r="P15948" s="33"/>
      <c r="Q15948" s="31" t="str">
        <f t="shared" si="954"/>
        <v/>
      </c>
      <c r="R15948" s="32" t="str">
        <f>IFERROR(VLOOKUP($D15948,'Informations sur les produits'!$A$3:$B$15000,2,FALSE),"")</f>
        <v/>
      </c>
    </row>
    <row r="15949" spans="7:18" x14ac:dyDescent="0.25">
      <c r="G15949" s="33"/>
      <c r="O15949" s="33"/>
      <c r="P15949" s="33"/>
      <c r="Q15949" s="31" t="str">
        <f t="shared" si="954"/>
        <v/>
      </c>
      <c r="R15949" s="32" t="str">
        <f>IFERROR(VLOOKUP($D15949,'Informations sur les produits'!$A$3:$B$15000,2,FALSE),"")</f>
        <v/>
      </c>
    </row>
    <row r="15950" spans="7:18" x14ac:dyDescent="0.25">
      <c r="G15950" s="33"/>
      <c r="O15950" s="33"/>
      <c r="P15950" s="33"/>
      <c r="Q15950" s="31" t="str">
        <f t="shared" si="954"/>
        <v/>
      </c>
      <c r="R15950" s="32" t="str">
        <f>IFERROR(VLOOKUP($D15950,'Informations sur les produits'!$A$3:$B$15000,2,FALSE),"")</f>
        <v/>
      </c>
    </row>
    <row r="15951" spans="7:18" x14ac:dyDescent="0.25">
      <c r="G15951" s="33"/>
      <c r="O15951" s="33"/>
      <c r="P15951" s="33"/>
      <c r="Q15951" s="31" t="str">
        <f t="shared" si="954"/>
        <v/>
      </c>
      <c r="R15951" s="32" t="str">
        <f>IFERROR(VLOOKUP($D15951,'Informations sur les produits'!$A$3:$B$15000,2,FALSE),"")</f>
        <v/>
      </c>
    </row>
    <row r="15952" spans="7:18" x14ac:dyDescent="0.25">
      <c r="G15952" s="33"/>
      <c r="O15952" s="33"/>
      <c r="P15952" s="33"/>
      <c r="Q15952" s="31" t="str">
        <f t="shared" si="954"/>
        <v/>
      </c>
      <c r="R15952" s="32" t="str">
        <f>IFERROR(VLOOKUP($D15952,'Informations sur les produits'!$A$3:$B$15000,2,FALSE),"")</f>
        <v/>
      </c>
    </row>
    <row r="15953" spans="7:18" x14ac:dyDescent="0.25">
      <c r="G15953" s="33"/>
      <c r="O15953" s="33"/>
      <c r="P15953" s="33"/>
      <c r="Q15953" s="31" t="str">
        <f t="shared" si="954"/>
        <v/>
      </c>
      <c r="R15953" s="32" t="str">
        <f>IFERROR(VLOOKUP($D15953,'Informations sur les produits'!$A$3:$B$15000,2,FALSE),"")</f>
        <v/>
      </c>
    </row>
    <row r="15954" spans="7:18" x14ac:dyDescent="0.25">
      <c r="G15954" s="33"/>
      <c r="O15954" s="33"/>
      <c r="P15954" s="33"/>
      <c r="Q15954" s="31" t="str">
        <f t="shared" si="954"/>
        <v/>
      </c>
      <c r="R15954" s="32" t="str">
        <f>IFERROR(VLOOKUP($D15954,'Informations sur les produits'!$A$3:$B$15000,2,FALSE),"")</f>
        <v/>
      </c>
    </row>
    <row r="15955" spans="7:18" x14ac:dyDescent="0.25">
      <c r="G15955" s="33"/>
      <c r="O15955" s="33"/>
      <c r="P15955" s="33"/>
      <c r="Q15955" s="31" t="str">
        <f t="shared" si="954"/>
        <v/>
      </c>
      <c r="R15955" s="32" t="str">
        <f>IFERROR(VLOOKUP($D15955,'Informations sur les produits'!$A$3:$B$15000,2,FALSE),"")</f>
        <v/>
      </c>
    </row>
    <row r="15956" spans="7:18" x14ac:dyDescent="0.25">
      <c r="G15956" s="33"/>
      <c r="O15956" s="33"/>
      <c r="P15956" s="33"/>
      <c r="Q15956" s="31" t="str">
        <f t="shared" si="954"/>
        <v/>
      </c>
      <c r="R15956" s="32" t="str">
        <f>IFERROR(VLOOKUP($D15956,'Informations sur les produits'!$A$3:$B$15000,2,FALSE),"")</f>
        <v/>
      </c>
    </row>
    <row r="15957" spans="7:18" x14ac:dyDescent="0.25">
      <c r="G15957" s="33"/>
      <c r="O15957" s="33"/>
      <c r="P15957" s="33"/>
      <c r="Q15957" s="31" t="str">
        <f t="shared" si="954"/>
        <v/>
      </c>
      <c r="R15957" s="32" t="str">
        <f>IFERROR(VLOOKUP($D15957,'Informations sur les produits'!$A$3:$B$15000,2,FALSE),"")</f>
        <v/>
      </c>
    </row>
    <row r="15958" spans="7:18" x14ac:dyDescent="0.25">
      <c r="G15958" s="33"/>
      <c r="O15958" s="33"/>
      <c r="P15958" s="33"/>
      <c r="Q15958" s="31" t="str">
        <f t="shared" si="954"/>
        <v/>
      </c>
      <c r="R15958" s="32" t="str">
        <f>IFERROR(VLOOKUP($D15958,'Informations sur les produits'!$A$3:$B$15000,2,FALSE),"")</f>
        <v/>
      </c>
    </row>
    <row r="15959" spans="7:18" x14ac:dyDescent="0.25">
      <c r="G15959" s="33"/>
      <c r="O15959" s="33"/>
      <c r="P15959" s="33"/>
      <c r="Q15959" s="31" t="str">
        <f t="shared" si="954"/>
        <v/>
      </c>
      <c r="R15959" s="32" t="str">
        <f>IFERROR(VLOOKUP($D15959,'Informations sur les produits'!$A$3:$B$15000,2,FALSE),"")</f>
        <v/>
      </c>
    </row>
    <row r="15960" spans="7:18" x14ac:dyDescent="0.25">
      <c r="G15960" s="33"/>
      <c r="O15960" s="33"/>
      <c r="P15960" s="33"/>
      <c r="Q15960" s="31" t="str">
        <f t="shared" si="954"/>
        <v/>
      </c>
      <c r="R15960" s="32" t="str">
        <f>IFERROR(VLOOKUP($D15960,'Informations sur les produits'!$A$3:$B$15000,2,FALSE),"")</f>
        <v/>
      </c>
    </row>
    <row r="15961" spans="7:18" x14ac:dyDescent="0.25">
      <c r="G15961" s="33"/>
      <c r="O15961" s="33"/>
      <c r="P15961" s="33"/>
      <c r="Q15961" s="31" t="str">
        <f t="shared" si="954"/>
        <v/>
      </c>
      <c r="R15961" s="32" t="str">
        <f>IFERROR(VLOOKUP($D15961,'Informations sur les produits'!$A$3:$B$15000,2,FALSE),"")</f>
        <v/>
      </c>
    </row>
    <row r="15962" spans="7:18" x14ac:dyDescent="0.25">
      <c r="G15962" s="33"/>
      <c r="O15962" s="33"/>
      <c r="P15962" s="33"/>
      <c r="Q15962" s="31" t="str">
        <f t="shared" si="954"/>
        <v/>
      </c>
      <c r="R15962" s="32" t="str">
        <f>IFERROR(VLOOKUP($D15962,'Informations sur les produits'!$A$3:$B$15000,2,FALSE),"")</f>
        <v/>
      </c>
    </row>
    <row r="15963" spans="7:18" x14ac:dyDescent="0.25">
      <c r="G15963" s="33"/>
      <c r="O15963" s="33"/>
      <c r="P15963" s="33"/>
      <c r="Q15963" s="31" t="str">
        <f t="shared" si="954"/>
        <v/>
      </c>
      <c r="R15963" s="32" t="str">
        <f>IFERROR(VLOOKUP($D15963,'Informations sur les produits'!$A$3:$B$15000,2,FALSE),"")</f>
        <v/>
      </c>
    </row>
    <row r="15964" spans="7:18" x14ac:dyDescent="0.25">
      <c r="G15964" s="33"/>
      <c r="O15964" s="33"/>
      <c r="P15964" s="33"/>
      <c r="Q15964" s="31" t="str">
        <f t="shared" si="954"/>
        <v/>
      </c>
      <c r="R15964" s="32" t="str">
        <f>IFERROR(VLOOKUP($D15964,'Informations sur les produits'!$A$3:$B$15000,2,FALSE),"")</f>
        <v/>
      </c>
    </row>
    <row r="15965" spans="7:18" x14ac:dyDescent="0.25">
      <c r="G15965" s="33"/>
      <c r="O15965" s="33"/>
      <c r="P15965" s="33"/>
      <c r="Q15965" s="31" t="str">
        <f t="shared" si="954"/>
        <v/>
      </c>
      <c r="R15965" s="32" t="str">
        <f>IFERROR(VLOOKUP($D15965,'Informations sur les produits'!$A$3:$B$15000,2,FALSE),"")</f>
        <v/>
      </c>
    </row>
    <row r="15966" spans="7:18" x14ac:dyDescent="0.25">
      <c r="G15966" s="33"/>
      <c r="O15966" s="33"/>
      <c r="P15966" s="33"/>
      <c r="Q15966" s="31" t="str">
        <f t="shared" si="954"/>
        <v/>
      </c>
      <c r="R15966" s="32" t="str">
        <f>IFERROR(VLOOKUP($D15966,'Informations sur les produits'!$A$3:$B$15000,2,FALSE),"")</f>
        <v/>
      </c>
    </row>
    <row r="15967" spans="7:18" x14ac:dyDescent="0.25">
      <c r="G15967" s="33"/>
      <c r="O15967" s="33"/>
      <c r="P15967" s="33"/>
      <c r="Q15967" s="31" t="str">
        <f t="shared" si="954"/>
        <v/>
      </c>
      <c r="R15967" s="32" t="str">
        <f>IFERROR(VLOOKUP($D15967,'Informations sur les produits'!$A$3:$B$15000,2,FALSE),"")</f>
        <v/>
      </c>
    </row>
    <row r="15968" spans="7:18" x14ac:dyDescent="0.25">
      <c r="G15968" s="33"/>
      <c r="O15968" s="33"/>
      <c r="P15968" s="33"/>
      <c r="Q15968" s="31" t="str">
        <f t="shared" si="954"/>
        <v/>
      </c>
      <c r="R15968" s="32" t="str">
        <f>IFERROR(VLOOKUP($D15968,'Informations sur les produits'!$A$3:$B$15000,2,FALSE),"")</f>
        <v/>
      </c>
    </row>
    <row r="15969" spans="7:18" x14ac:dyDescent="0.25">
      <c r="G15969" s="33"/>
      <c r="O15969" s="33"/>
      <c r="P15969" s="33"/>
      <c r="Q15969" s="31" t="str">
        <f t="shared" si="954"/>
        <v/>
      </c>
      <c r="R15969" s="32" t="str">
        <f>IFERROR(VLOOKUP($D15969,'Informations sur les produits'!$A$3:$B$15000,2,FALSE),"")</f>
        <v/>
      </c>
    </row>
    <row r="15970" spans="7:18" x14ac:dyDescent="0.25">
      <c r="G15970" s="33"/>
      <c r="O15970" s="33"/>
      <c r="P15970" s="33"/>
      <c r="Q15970" s="31" t="str">
        <f t="shared" si="954"/>
        <v/>
      </c>
      <c r="R15970" s="32" t="str">
        <f>IFERROR(VLOOKUP($D15970,'Informations sur les produits'!$A$3:$B$15000,2,FALSE),"")</f>
        <v/>
      </c>
    </row>
    <row r="15971" spans="7:18" x14ac:dyDescent="0.25">
      <c r="G15971" s="33"/>
      <c r="O15971" s="33"/>
      <c r="P15971" s="33"/>
      <c r="Q15971" s="31" t="str">
        <f t="shared" si="954"/>
        <v/>
      </c>
      <c r="R15971" s="32" t="str">
        <f>IFERROR(VLOOKUP($D15971,'Informations sur les produits'!$A$3:$B$15000,2,FALSE),"")</f>
        <v/>
      </c>
    </row>
    <row r="15972" spans="7:18" x14ac:dyDescent="0.25">
      <c r="G15972" s="33"/>
      <c r="O15972" s="33"/>
      <c r="P15972" s="33"/>
      <c r="Q15972" s="31" t="str">
        <f t="shared" si="954"/>
        <v/>
      </c>
      <c r="R15972" s="32" t="str">
        <f>IFERROR(VLOOKUP($D15972,'Informations sur les produits'!$A$3:$B$15000,2,FALSE),"")</f>
        <v/>
      </c>
    </row>
    <row r="15973" spans="7:18" x14ac:dyDescent="0.25">
      <c r="G15973" s="33"/>
      <c r="O15973" s="33"/>
      <c r="P15973" s="33"/>
      <c r="Q15973" s="31" t="str">
        <f t="shared" si="954"/>
        <v/>
      </c>
      <c r="R15973" s="32" t="str">
        <f>IFERROR(VLOOKUP($D15973,'Informations sur les produits'!$A$3:$B$15000,2,FALSE),"")</f>
        <v/>
      </c>
    </row>
    <row r="15974" spans="7:18" x14ac:dyDescent="0.25">
      <c r="G15974" s="33"/>
      <c r="O15974" s="33"/>
      <c r="P15974" s="33"/>
      <c r="Q15974" s="31" t="str">
        <f t="shared" si="954"/>
        <v/>
      </c>
      <c r="R15974" s="32" t="str">
        <f>IFERROR(VLOOKUP($D15974,'Informations sur les produits'!$A$3:$B$15000,2,FALSE),"")</f>
        <v/>
      </c>
    </row>
    <row r="15975" spans="7:18" x14ac:dyDescent="0.25">
      <c r="G15975" s="33"/>
      <c r="O15975" s="33"/>
      <c r="P15975" s="33"/>
      <c r="Q15975" s="31" t="str">
        <f t="shared" si="954"/>
        <v/>
      </c>
      <c r="R15975" s="32" t="str">
        <f>IFERROR(VLOOKUP($D15975,'Informations sur les produits'!$A$3:$B$15000,2,FALSE),"")</f>
        <v/>
      </c>
    </row>
    <row r="15976" spans="7:18" x14ac:dyDescent="0.25">
      <c r="G15976" s="33"/>
      <c r="O15976" s="33"/>
      <c r="P15976" s="33"/>
      <c r="Q15976" s="31" t="str">
        <f t="shared" si="954"/>
        <v/>
      </c>
      <c r="R15976" s="32" t="str">
        <f>IFERROR(VLOOKUP($D15976,'Informations sur les produits'!$A$3:$B$15000,2,FALSE),"")</f>
        <v/>
      </c>
    </row>
    <row r="15977" spans="7:18" x14ac:dyDescent="0.25">
      <c r="G15977" s="33"/>
      <c r="O15977" s="33"/>
      <c r="P15977" s="33"/>
      <c r="Q15977" s="31" t="str">
        <f t="shared" si="954"/>
        <v/>
      </c>
      <c r="R15977" s="32" t="str">
        <f>IFERROR(VLOOKUP($D15977,'Informations sur les produits'!$A$3:$B$15000,2,FALSE),"")</f>
        <v/>
      </c>
    </row>
    <row r="15978" spans="7:18" x14ac:dyDescent="0.25">
      <c r="G15978" s="33"/>
      <c r="O15978" s="33"/>
      <c r="P15978" s="33"/>
      <c r="Q15978" s="31" t="str">
        <f t="shared" si="954"/>
        <v/>
      </c>
      <c r="R15978" s="32" t="str">
        <f>IFERROR(VLOOKUP($D15978,'Informations sur les produits'!$A$3:$B$15000,2,FALSE),"")</f>
        <v/>
      </c>
    </row>
    <row r="15979" spans="7:18" x14ac:dyDescent="0.25">
      <c r="G15979" s="33"/>
      <c r="O15979" s="33"/>
      <c r="P15979" s="33"/>
      <c r="Q15979" s="31" t="str">
        <f t="shared" si="954"/>
        <v/>
      </c>
      <c r="R15979" s="32" t="str">
        <f>IFERROR(VLOOKUP($D15979,'Informations sur les produits'!$A$3:$B$15000,2,FALSE),"")</f>
        <v/>
      </c>
    </row>
    <row r="15980" spans="7:18" x14ac:dyDescent="0.25">
      <c r="G15980" s="33"/>
      <c r="O15980" s="33"/>
      <c r="P15980" s="33"/>
      <c r="Q15980" s="31" t="str">
        <f t="shared" si="954"/>
        <v/>
      </c>
      <c r="R15980" s="32" t="str">
        <f>IFERROR(VLOOKUP($D15980,'Informations sur les produits'!$A$3:$B$15000,2,FALSE),"")</f>
        <v/>
      </c>
    </row>
    <row r="15981" spans="7:18" x14ac:dyDescent="0.25">
      <c r="G15981" s="33"/>
      <c r="O15981" s="33"/>
      <c r="P15981" s="33"/>
      <c r="Q15981" s="31" t="str">
        <f t="shared" si="954"/>
        <v/>
      </c>
      <c r="R15981" s="32" t="str">
        <f>IFERROR(VLOOKUP($D15981,'Informations sur les produits'!$A$3:$B$15000,2,FALSE),"")</f>
        <v/>
      </c>
    </row>
    <row r="15982" spans="7:18" x14ac:dyDescent="0.25">
      <c r="G15982" s="33"/>
      <c r="O15982" s="33"/>
      <c r="P15982" s="33"/>
      <c r="Q15982" s="31" t="str">
        <f t="shared" si="954"/>
        <v/>
      </c>
      <c r="R15982" s="32" t="str">
        <f>IFERROR(VLOOKUP($D15982,'Informations sur les produits'!$A$3:$B$15000,2,FALSE),"")</f>
        <v/>
      </c>
    </row>
    <row r="15983" spans="7:18" x14ac:dyDescent="0.25">
      <c r="G15983" s="33"/>
      <c r="O15983" s="33"/>
      <c r="P15983" s="33"/>
      <c r="Q15983" s="31" t="str">
        <f t="shared" si="954"/>
        <v/>
      </c>
      <c r="R15983" s="32" t="str">
        <f>IFERROR(VLOOKUP($D15983,'Informations sur les produits'!$A$3:$B$15000,2,FALSE),"")</f>
        <v/>
      </c>
    </row>
    <row r="15984" spans="7:18" x14ac:dyDescent="0.25">
      <c r="G15984" s="33"/>
      <c r="O15984" s="33"/>
      <c r="P15984" s="33"/>
      <c r="Q15984" s="31" t="str">
        <f t="shared" si="954"/>
        <v/>
      </c>
      <c r="R15984" s="32" t="str">
        <f>IFERROR(VLOOKUP($D15984,'Informations sur les produits'!$A$3:$B$15000,2,FALSE),"")</f>
        <v/>
      </c>
    </row>
    <row r="15985" spans="7:18" x14ac:dyDescent="0.25">
      <c r="G15985" s="33"/>
      <c r="O15985" s="33"/>
      <c r="P15985" s="33"/>
      <c r="Q15985" s="31" t="str">
        <f t="shared" si="954"/>
        <v/>
      </c>
      <c r="R15985" s="32" t="str">
        <f>IFERROR(VLOOKUP($D15985,'Informations sur les produits'!$A$3:$B$15000,2,FALSE),"")</f>
        <v/>
      </c>
    </row>
    <row r="15986" spans="7:18" x14ac:dyDescent="0.25">
      <c r="G15986" s="33"/>
      <c r="O15986" s="33"/>
      <c r="P15986" s="33"/>
      <c r="Q15986" s="31" t="str">
        <f t="shared" si="954"/>
        <v/>
      </c>
      <c r="R15986" s="32" t="str">
        <f>IFERROR(VLOOKUP($D15986,'Informations sur les produits'!$A$3:$B$15000,2,FALSE),"")</f>
        <v/>
      </c>
    </row>
    <row r="15987" spans="7:18" x14ac:dyDescent="0.25">
      <c r="G15987" s="33"/>
      <c r="O15987" s="33"/>
      <c r="P15987" s="33"/>
      <c r="Q15987" s="31" t="str">
        <f t="shared" si="954"/>
        <v/>
      </c>
      <c r="R15987" s="32" t="str">
        <f>IFERROR(VLOOKUP($D15987,'Informations sur les produits'!$A$3:$B$15000,2,FALSE),"")</f>
        <v/>
      </c>
    </row>
    <row r="15988" spans="7:18" x14ac:dyDescent="0.25">
      <c r="G15988" s="33"/>
      <c r="O15988" s="33"/>
      <c r="P15988" s="33"/>
      <c r="Q15988" s="31" t="str">
        <f t="shared" si="954"/>
        <v/>
      </c>
      <c r="R15988" s="32" t="str">
        <f>IFERROR(VLOOKUP($D15988,'Informations sur les produits'!$A$3:$B$15000,2,FALSE),"")</f>
        <v/>
      </c>
    </row>
    <row r="15989" spans="7:18" x14ac:dyDescent="0.25">
      <c r="G15989" s="33"/>
      <c r="O15989" s="33"/>
      <c r="P15989" s="33"/>
      <c r="Q15989" s="31" t="str">
        <f t="shared" si="954"/>
        <v/>
      </c>
      <c r="R15989" s="32" t="str">
        <f>IFERROR(VLOOKUP($D15989,'Informations sur les produits'!$A$3:$B$15000,2,FALSE),"")</f>
        <v/>
      </c>
    </row>
    <row r="15990" spans="7:18" x14ac:dyDescent="0.25">
      <c r="G15990" s="33"/>
      <c r="O15990" s="33"/>
      <c r="P15990" s="33"/>
      <c r="Q15990" s="31" t="str">
        <f t="shared" si="954"/>
        <v/>
      </c>
      <c r="R15990" s="32" t="str">
        <f>IFERROR(VLOOKUP($D15990,'Informations sur les produits'!$A$3:$B$15000,2,FALSE),"")</f>
        <v/>
      </c>
    </row>
    <row r="15991" spans="7:18" x14ac:dyDescent="0.25">
      <c r="G15991" s="33"/>
      <c r="O15991" s="33"/>
      <c r="P15991" s="33"/>
      <c r="Q15991" s="31" t="str">
        <f t="shared" si="954"/>
        <v/>
      </c>
      <c r="R15991" s="32" t="str">
        <f>IFERROR(VLOOKUP($D15991,'Informations sur les produits'!$A$3:$B$15000,2,FALSE),"")</f>
        <v/>
      </c>
    </row>
    <row r="15992" spans="7:18" x14ac:dyDescent="0.25">
      <c r="G15992" s="33"/>
      <c r="O15992" s="33"/>
      <c r="P15992" s="33"/>
      <c r="Q15992" s="31" t="str">
        <f t="shared" si="954"/>
        <v/>
      </c>
      <c r="R15992" s="32" t="str">
        <f>IFERROR(VLOOKUP($D15992,'Informations sur les produits'!$A$3:$B$15000,2,FALSE),"")</f>
        <v/>
      </c>
    </row>
    <row r="15993" spans="7:18" x14ac:dyDescent="0.25">
      <c r="G15993" s="33"/>
      <c r="O15993" s="33"/>
      <c r="P15993" s="33"/>
      <c r="Q15993" s="31" t="str">
        <f t="shared" si="954"/>
        <v/>
      </c>
      <c r="R15993" s="32" t="str">
        <f>IFERROR(VLOOKUP($D15993,'Informations sur les produits'!$A$3:$B$15000,2,FALSE),"")</f>
        <v/>
      </c>
    </row>
    <row r="15994" spans="7:18" x14ac:dyDescent="0.25">
      <c r="G15994" s="33"/>
      <c r="O15994" s="33"/>
      <c r="P15994" s="33"/>
      <c r="Q15994" s="31" t="str">
        <f t="shared" si="954"/>
        <v/>
      </c>
      <c r="R15994" s="32" t="str">
        <f>IFERROR(VLOOKUP($D15994,'Informations sur les produits'!$A$3:$B$15000,2,FALSE),"")</f>
        <v/>
      </c>
    </row>
    <row r="15995" spans="7:18" x14ac:dyDescent="0.25">
      <c r="G15995" s="33"/>
      <c r="O15995" s="33"/>
      <c r="P15995" s="33"/>
      <c r="Q15995" s="31" t="str">
        <f t="shared" si="954"/>
        <v/>
      </c>
      <c r="R15995" s="32" t="str">
        <f>IFERROR(VLOOKUP($D15995,'Informations sur les produits'!$A$3:$B$15000,2,FALSE),"")</f>
        <v/>
      </c>
    </row>
    <row r="15996" spans="7:18" x14ac:dyDescent="0.25">
      <c r="G15996" s="33"/>
      <c r="O15996" s="33"/>
      <c r="P15996" s="33"/>
      <c r="Q15996" s="31" t="str">
        <f t="shared" si="954"/>
        <v/>
      </c>
      <c r="R15996" s="32" t="str">
        <f>IFERROR(VLOOKUP($D15996,'Informations sur les produits'!$A$3:$B$15000,2,FALSE),"")</f>
        <v/>
      </c>
    </row>
    <row r="15997" spans="7:18" x14ac:dyDescent="0.25">
      <c r="G15997" s="33"/>
      <c r="O15997" s="33"/>
      <c r="P15997" s="33"/>
      <c r="Q15997" s="31" t="str">
        <f t="shared" si="954"/>
        <v/>
      </c>
      <c r="R15997" s="32" t="str">
        <f>IFERROR(VLOOKUP($D15997,'Informations sur les produits'!$A$3:$B$15000,2,FALSE),"")</f>
        <v/>
      </c>
    </row>
    <row r="15998" spans="7:18" x14ac:dyDescent="0.25">
      <c r="G15998" s="33"/>
      <c r="O15998" s="33"/>
      <c r="P15998" s="33"/>
      <c r="Q15998" s="31" t="str">
        <f t="shared" si="954"/>
        <v/>
      </c>
      <c r="R15998" s="32" t="str">
        <f>IFERROR(VLOOKUP($D15998,'Informations sur les produits'!$A$3:$B$15000,2,FALSE),"")</f>
        <v/>
      </c>
    </row>
    <row r="15999" spans="7:18" x14ac:dyDescent="0.25">
      <c r="G15999" s="33"/>
      <c r="O15999" s="33"/>
      <c r="P15999" s="33"/>
      <c r="Q15999" s="31" t="str">
        <f t="shared" si="954"/>
        <v/>
      </c>
      <c r="R15999" s="32" t="str">
        <f>IFERROR(VLOOKUP($D15999,'Informations sur les produits'!$A$3:$B$15000,2,FALSE),"")</f>
        <v/>
      </c>
    </row>
    <row r="16000" spans="7:18" x14ac:dyDescent="0.25">
      <c r="G16000" s="33"/>
      <c r="O16000" s="33"/>
      <c r="P16000" s="33"/>
      <c r="Q16000" s="31" t="str">
        <f t="shared" si="954"/>
        <v/>
      </c>
      <c r="R16000" s="32" t="str">
        <f>IFERROR(VLOOKUP($D16000,'Informations sur les produits'!$A$3:$B$15000,2,FALSE),"")</f>
        <v/>
      </c>
    </row>
    <row r="16001" spans="7:18" x14ac:dyDescent="0.25">
      <c r="G16001" s="33"/>
      <c r="O16001" s="33"/>
      <c r="P16001" s="33"/>
      <c r="Q16001" s="31" t="str">
        <f t="shared" si="954"/>
        <v/>
      </c>
      <c r="R16001" s="32" t="str">
        <f>IFERROR(VLOOKUP($D16001,'Informations sur les produits'!$A$3:$B$15000,2,FALSE),"")</f>
        <v/>
      </c>
    </row>
    <row r="16002" spans="7:18" x14ac:dyDescent="0.25">
      <c r="G16002" s="33"/>
      <c r="O16002" s="33"/>
      <c r="P16002" s="33"/>
      <c r="Q16002" s="31" t="str">
        <f t="shared" si="954"/>
        <v/>
      </c>
      <c r="R16002" s="32" t="str">
        <f>IFERROR(VLOOKUP($D16002,'Informations sur les produits'!$A$3:$B$15000,2,FALSE),"")</f>
        <v/>
      </c>
    </row>
    <row r="16003" spans="7:18" x14ac:dyDescent="0.25">
      <c r="G16003" s="33"/>
      <c r="O16003" s="33"/>
      <c r="P16003" s="33"/>
      <c r="Q16003" s="31" t="str">
        <f t="shared" si="954"/>
        <v/>
      </c>
      <c r="R16003" s="32" t="str">
        <f>IFERROR(VLOOKUP($D16003,'Informations sur les produits'!$A$3:$B$15000,2,FALSE),"")</f>
        <v/>
      </c>
    </row>
    <row r="16004" spans="7:18" x14ac:dyDescent="0.25">
      <c r="G16004" s="33"/>
      <c r="O16004" s="33"/>
      <c r="P16004" s="33"/>
      <c r="Q16004" s="31" t="str">
        <f t="shared" ref="Q16004:Q16067" si="955">IFERROR((((($E16004-$F16004)*$G16004+$K16004*$L16004+$N16004*$O16004)*1000)/(($E16004-$F16004)+$K16004+$N16004)),"")</f>
        <v/>
      </c>
      <c r="R16004" s="32" t="str">
        <f>IFERROR(VLOOKUP($D16004,'Informations sur les produits'!$A$3:$B$15000,2,FALSE),"")</f>
        <v/>
      </c>
    </row>
    <row r="16005" spans="7:18" x14ac:dyDescent="0.25">
      <c r="G16005" s="33"/>
      <c r="O16005" s="33"/>
      <c r="P16005" s="33"/>
      <c r="Q16005" s="31" t="str">
        <f t="shared" si="955"/>
        <v/>
      </c>
      <c r="R16005" s="32" t="str">
        <f>IFERROR(VLOOKUP($D16005,'Informations sur les produits'!$A$3:$B$15000,2,FALSE),"")</f>
        <v/>
      </c>
    </row>
    <row r="16006" spans="7:18" x14ac:dyDescent="0.25">
      <c r="G16006" s="33"/>
      <c r="O16006" s="33"/>
      <c r="P16006" s="33"/>
      <c r="Q16006" s="31" t="str">
        <f t="shared" si="955"/>
        <v/>
      </c>
      <c r="R16006" s="32" t="str">
        <f>IFERROR(VLOOKUP($D16006,'Informations sur les produits'!$A$3:$B$15000,2,FALSE),"")</f>
        <v/>
      </c>
    </row>
    <row r="16007" spans="7:18" x14ac:dyDescent="0.25">
      <c r="G16007" s="33"/>
      <c r="O16007" s="33"/>
      <c r="P16007" s="33"/>
      <c r="Q16007" s="31" t="str">
        <f t="shared" si="955"/>
        <v/>
      </c>
      <c r="R16007" s="32" t="str">
        <f>IFERROR(VLOOKUP($D16007,'Informations sur les produits'!$A$3:$B$15000,2,FALSE),"")</f>
        <v/>
      </c>
    </row>
    <row r="16008" spans="7:18" x14ac:dyDescent="0.25">
      <c r="G16008" s="33"/>
      <c r="O16008" s="33"/>
      <c r="P16008" s="33"/>
      <c r="Q16008" s="31" t="str">
        <f t="shared" si="955"/>
        <v/>
      </c>
      <c r="R16008" s="32" t="str">
        <f>IFERROR(VLOOKUP($D16008,'Informations sur les produits'!$A$3:$B$15000,2,FALSE),"")</f>
        <v/>
      </c>
    </row>
    <row r="16009" spans="7:18" x14ac:dyDescent="0.25">
      <c r="G16009" s="33"/>
      <c r="O16009" s="33"/>
      <c r="P16009" s="33"/>
      <c r="Q16009" s="31" t="str">
        <f t="shared" si="955"/>
        <v/>
      </c>
      <c r="R16009" s="32" t="str">
        <f>IFERROR(VLOOKUP($D16009,'Informations sur les produits'!$A$3:$B$15000,2,FALSE),"")</f>
        <v/>
      </c>
    </row>
    <row r="16010" spans="7:18" x14ac:dyDescent="0.25">
      <c r="G16010" s="33"/>
      <c r="O16010" s="33"/>
      <c r="P16010" s="33"/>
      <c r="Q16010" s="31" t="str">
        <f t="shared" si="955"/>
        <v/>
      </c>
      <c r="R16010" s="32" t="str">
        <f>IFERROR(VLOOKUP($D16010,'Informations sur les produits'!$A$3:$B$15000,2,FALSE),"")</f>
        <v/>
      </c>
    </row>
    <row r="16011" spans="7:18" x14ac:dyDescent="0.25">
      <c r="G16011" s="33"/>
      <c r="O16011" s="33"/>
      <c r="P16011" s="33"/>
      <c r="Q16011" s="31" t="str">
        <f t="shared" si="955"/>
        <v/>
      </c>
      <c r="R16011" s="32" t="str">
        <f>IFERROR(VLOOKUP($D16011,'Informations sur les produits'!$A$3:$B$15000,2,FALSE),"")</f>
        <v/>
      </c>
    </row>
    <row r="16012" spans="7:18" x14ac:dyDescent="0.25">
      <c r="G16012" s="33"/>
      <c r="O16012" s="33"/>
      <c r="P16012" s="33"/>
      <c r="Q16012" s="31" t="str">
        <f t="shared" si="955"/>
        <v/>
      </c>
      <c r="R16012" s="32" t="str">
        <f>IFERROR(VLOOKUP($D16012,'Informations sur les produits'!$A$3:$B$15000,2,FALSE),"")</f>
        <v/>
      </c>
    </row>
    <row r="16013" spans="7:18" x14ac:dyDescent="0.25">
      <c r="G16013" s="33"/>
      <c r="O16013" s="33"/>
      <c r="P16013" s="33"/>
      <c r="Q16013" s="31" t="str">
        <f t="shared" si="955"/>
        <v/>
      </c>
      <c r="R16013" s="32" t="str">
        <f>IFERROR(VLOOKUP($D16013,'Informations sur les produits'!$A$3:$B$15000,2,FALSE),"")</f>
        <v/>
      </c>
    </row>
    <row r="16014" spans="7:18" x14ac:dyDescent="0.25">
      <c r="G16014" s="33"/>
      <c r="O16014" s="33"/>
      <c r="P16014" s="33"/>
      <c r="Q16014" s="31" t="str">
        <f t="shared" si="955"/>
        <v/>
      </c>
      <c r="R16014" s="32" t="str">
        <f>IFERROR(VLOOKUP($D16014,'Informations sur les produits'!$A$3:$B$15000,2,FALSE),"")</f>
        <v/>
      </c>
    </row>
    <row r="16015" spans="7:18" x14ac:dyDescent="0.25">
      <c r="G16015" s="33"/>
      <c r="O16015" s="33"/>
      <c r="P16015" s="33"/>
      <c r="Q16015" s="31" t="str">
        <f t="shared" si="955"/>
        <v/>
      </c>
      <c r="R16015" s="32" t="str">
        <f>IFERROR(VLOOKUP($D16015,'Informations sur les produits'!$A$3:$B$15000,2,FALSE),"")</f>
        <v/>
      </c>
    </row>
    <row r="16016" spans="7:18" x14ac:dyDescent="0.25">
      <c r="G16016" s="33"/>
      <c r="O16016" s="33"/>
      <c r="P16016" s="33"/>
      <c r="Q16016" s="31" t="str">
        <f t="shared" si="955"/>
        <v/>
      </c>
      <c r="R16016" s="32" t="str">
        <f>IFERROR(VLOOKUP($D16016,'Informations sur les produits'!$A$3:$B$15000,2,FALSE),"")</f>
        <v/>
      </c>
    </row>
    <row r="16017" spans="7:18" x14ac:dyDescent="0.25">
      <c r="G16017" s="33"/>
      <c r="O16017" s="33"/>
      <c r="P16017" s="33"/>
      <c r="Q16017" s="31" t="str">
        <f t="shared" si="955"/>
        <v/>
      </c>
      <c r="R16017" s="32" t="str">
        <f>IFERROR(VLOOKUP($D16017,'Informations sur les produits'!$A$3:$B$15000,2,FALSE),"")</f>
        <v/>
      </c>
    </row>
    <row r="16018" spans="7:18" x14ac:dyDescent="0.25">
      <c r="G16018" s="33"/>
      <c r="O16018" s="33"/>
      <c r="P16018" s="33"/>
      <c r="Q16018" s="31" t="str">
        <f t="shared" si="955"/>
        <v/>
      </c>
      <c r="R16018" s="32" t="str">
        <f>IFERROR(VLOOKUP($D16018,'Informations sur les produits'!$A$3:$B$15000,2,FALSE),"")</f>
        <v/>
      </c>
    </row>
    <row r="16019" spans="7:18" x14ac:dyDescent="0.25">
      <c r="G16019" s="33"/>
      <c r="O16019" s="33"/>
      <c r="P16019" s="33"/>
      <c r="Q16019" s="31" t="str">
        <f t="shared" si="955"/>
        <v/>
      </c>
      <c r="R16019" s="32" t="str">
        <f>IFERROR(VLOOKUP($D16019,'Informations sur les produits'!$A$3:$B$15000,2,FALSE),"")</f>
        <v/>
      </c>
    </row>
    <row r="16020" spans="7:18" x14ac:dyDescent="0.25">
      <c r="G16020" s="33"/>
      <c r="O16020" s="33"/>
      <c r="P16020" s="33"/>
      <c r="Q16020" s="31" t="str">
        <f t="shared" si="955"/>
        <v/>
      </c>
      <c r="R16020" s="32" t="str">
        <f>IFERROR(VLOOKUP($D16020,'Informations sur les produits'!$A$3:$B$15000,2,FALSE),"")</f>
        <v/>
      </c>
    </row>
    <row r="16021" spans="7:18" x14ac:dyDescent="0.25">
      <c r="G16021" s="33"/>
      <c r="O16021" s="33"/>
      <c r="P16021" s="33"/>
      <c r="Q16021" s="31" t="str">
        <f t="shared" si="955"/>
        <v/>
      </c>
      <c r="R16021" s="32" t="str">
        <f>IFERROR(VLOOKUP($D16021,'Informations sur les produits'!$A$3:$B$15000,2,FALSE),"")</f>
        <v/>
      </c>
    </row>
    <row r="16022" spans="7:18" x14ac:dyDescent="0.25">
      <c r="G16022" s="33"/>
      <c r="O16022" s="33"/>
      <c r="P16022" s="33"/>
      <c r="Q16022" s="31" t="str">
        <f t="shared" si="955"/>
        <v/>
      </c>
      <c r="R16022" s="32" t="str">
        <f>IFERROR(VLOOKUP($D16022,'Informations sur les produits'!$A$3:$B$15000,2,FALSE),"")</f>
        <v/>
      </c>
    </row>
    <row r="16023" spans="7:18" x14ac:dyDescent="0.25">
      <c r="G16023" s="33"/>
      <c r="O16023" s="33"/>
      <c r="P16023" s="33"/>
      <c r="Q16023" s="31" t="str">
        <f t="shared" si="955"/>
        <v/>
      </c>
      <c r="R16023" s="32" t="str">
        <f>IFERROR(VLOOKUP($D16023,'Informations sur les produits'!$A$3:$B$15000,2,FALSE),"")</f>
        <v/>
      </c>
    </row>
    <row r="16024" spans="7:18" x14ac:dyDescent="0.25">
      <c r="G16024" s="33"/>
      <c r="O16024" s="33"/>
      <c r="P16024" s="33"/>
      <c r="Q16024" s="31" t="str">
        <f t="shared" si="955"/>
        <v/>
      </c>
      <c r="R16024" s="32" t="str">
        <f>IFERROR(VLOOKUP($D16024,'Informations sur les produits'!$A$3:$B$15000,2,FALSE),"")</f>
        <v/>
      </c>
    </row>
    <row r="16025" spans="7:18" x14ac:dyDescent="0.25">
      <c r="G16025" s="33"/>
      <c r="O16025" s="33"/>
      <c r="P16025" s="33"/>
      <c r="Q16025" s="31" t="str">
        <f t="shared" si="955"/>
        <v/>
      </c>
      <c r="R16025" s="32" t="str">
        <f>IFERROR(VLOOKUP($D16025,'Informations sur les produits'!$A$3:$B$15000,2,FALSE),"")</f>
        <v/>
      </c>
    </row>
    <row r="16026" spans="7:18" x14ac:dyDescent="0.25">
      <c r="G16026" s="33"/>
      <c r="O16026" s="33"/>
      <c r="P16026" s="33"/>
      <c r="Q16026" s="31" t="str">
        <f t="shared" si="955"/>
        <v/>
      </c>
      <c r="R16026" s="32" t="str">
        <f>IFERROR(VLOOKUP($D16026,'Informations sur les produits'!$A$3:$B$15000,2,FALSE),"")</f>
        <v/>
      </c>
    </row>
    <row r="16027" spans="7:18" x14ac:dyDescent="0.25">
      <c r="G16027" s="33"/>
      <c r="O16027" s="33"/>
      <c r="P16027" s="33"/>
      <c r="Q16027" s="31" t="str">
        <f t="shared" si="955"/>
        <v/>
      </c>
      <c r="R16027" s="32" t="str">
        <f>IFERROR(VLOOKUP($D16027,'Informations sur les produits'!$A$3:$B$15000,2,FALSE),"")</f>
        <v/>
      </c>
    </row>
    <row r="16028" spans="7:18" x14ac:dyDescent="0.25">
      <c r="G16028" s="33"/>
      <c r="O16028" s="33"/>
      <c r="P16028" s="33"/>
      <c r="Q16028" s="31" t="str">
        <f t="shared" si="955"/>
        <v/>
      </c>
      <c r="R16028" s="32" t="str">
        <f>IFERROR(VLOOKUP($D16028,'Informations sur les produits'!$A$3:$B$15000,2,FALSE),"")</f>
        <v/>
      </c>
    </row>
    <row r="16029" spans="7:18" x14ac:dyDescent="0.25">
      <c r="G16029" s="33"/>
      <c r="O16029" s="33"/>
      <c r="P16029" s="33"/>
      <c r="Q16029" s="31" t="str">
        <f t="shared" si="955"/>
        <v/>
      </c>
      <c r="R16029" s="32" t="str">
        <f>IFERROR(VLOOKUP($D16029,'Informations sur les produits'!$A$3:$B$15000,2,FALSE),"")</f>
        <v/>
      </c>
    </row>
    <row r="16030" spans="7:18" x14ac:dyDescent="0.25">
      <c r="G16030" s="33"/>
      <c r="O16030" s="33"/>
      <c r="P16030" s="33"/>
      <c r="Q16030" s="31" t="str">
        <f t="shared" si="955"/>
        <v/>
      </c>
      <c r="R16030" s="32" t="str">
        <f>IFERROR(VLOOKUP($D16030,'Informations sur les produits'!$A$3:$B$15000,2,FALSE),"")</f>
        <v/>
      </c>
    </row>
    <row r="16031" spans="7:18" x14ac:dyDescent="0.25">
      <c r="G16031" s="33"/>
      <c r="O16031" s="33"/>
      <c r="P16031" s="33"/>
      <c r="Q16031" s="31" t="str">
        <f t="shared" si="955"/>
        <v/>
      </c>
      <c r="R16031" s="32" t="str">
        <f>IFERROR(VLOOKUP($D16031,'Informations sur les produits'!$A$3:$B$15000,2,FALSE),"")</f>
        <v/>
      </c>
    </row>
    <row r="16032" spans="7:18" x14ac:dyDescent="0.25">
      <c r="G16032" s="33"/>
      <c r="O16032" s="33"/>
      <c r="P16032" s="33"/>
      <c r="Q16032" s="31" t="str">
        <f t="shared" si="955"/>
        <v/>
      </c>
      <c r="R16032" s="32" t="str">
        <f>IFERROR(VLOOKUP($D16032,'Informations sur les produits'!$A$3:$B$15000,2,FALSE),"")</f>
        <v/>
      </c>
    </row>
    <row r="16033" spans="7:18" x14ac:dyDescent="0.25">
      <c r="G16033" s="33"/>
      <c r="O16033" s="33"/>
      <c r="P16033" s="33"/>
      <c r="Q16033" s="31" t="str">
        <f t="shared" si="955"/>
        <v/>
      </c>
      <c r="R16033" s="32" t="str">
        <f>IFERROR(VLOOKUP($D16033,'Informations sur les produits'!$A$3:$B$15000,2,FALSE),"")</f>
        <v/>
      </c>
    </row>
    <row r="16034" spans="7:18" x14ac:dyDescent="0.25">
      <c r="G16034" s="33"/>
      <c r="O16034" s="33"/>
      <c r="P16034" s="33"/>
      <c r="Q16034" s="31" t="str">
        <f t="shared" si="955"/>
        <v/>
      </c>
      <c r="R16034" s="32" t="str">
        <f>IFERROR(VLOOKUP($D16034,'Informations sur les produits'!$A$3:$B$15000,2,FALSE),"")</f>
        <v/>
      </c>
    </row>
    <row r="16035" spans="7:18" x14ac:dyDescent="0.25">
      <c r="G16035" s="33"/>
      <c r="O16035" s="33"/>
      <c r="P16035" s="33"/>
      <c r="Q16035" s="31" t="str">
        <f t="shared" si="955"/>
        <v/>
      </c>
      <c r="R16035" s="32" t="str">
        <f>IFERROR(VLOOKUP($D16035,'Informations sur les produits'!$A$3:$B$15000,2,FALSE),"")</f>
        <v/>
      </c>
    </row>
    <row r="16036" spans="7:18" x14ac:dyDescent="0.25">
      <c r="G16036" s="33"/>
      <c r="O16036" s="33"/>
      <c r="P16036" s="33"/>
      <c r="Q16036" s="31" t="str">
        <f t="shared" si="955"/>
        <v/>
      </c>
      <c r="R16036" s="32" t="str">
        <f>IFERROR(VLOOKUP($D16036,'Informations sur les produits'!$A$3:$B$15000,2,FALSE),"")</f>
        <v/>
      </c>
    </row>
    <row r="16037" spans="7:18" x14ac:dyDescent="0.25">
      <c r="G16037" s="33"/>
      <c r="O16037" s="33"/>
      <c r="P16037" s="33"/>
      <c r="Q16037" s="31" t="str">
        <f t="shared" si="955"/>
        <v/>
      </c>
      <c r="R16037" s="32" t="str">
        <f>IFERROR(VLOOKUP($D16037,'Informations sur les produits'!$A$3:$B$15000,2,FALSE),"")</f>
        <v/>
      </c>
    </row>
    <row r="16038" spans="7:18" x14ac:dyDescent="0.25">
      <c r="G16038" s="33"/>
      <c r="O16038" s="33"/>
      <c r="P16038" s="33"/>
      <c r="Q16038" s="31" t="str">
        <f t="shared" si="955"/>
        <v/>
      </c>
      <c r="R16038" s="32" t="str">
        <f>IFERROR(VLOOKUP($D16038,'Informations sur les produits'!$A$3:$B$15000,2,FALSE),"")</f>
        <v/>
      </c>
    </row>
    <row r="16039" spans="7:18" x14ac:dyDescent="0.25">
      <c r="G16039" s="33"/>
      <c r="O16039" s="33"/>
      <c r="P16039" s="33"/>
      <c r="Q16039" s="31" t="str">
        <f t="shared" si="955"/>
        <v/>
      </c>
      <c r="R16039" s="32" t="str">
        <f>IFERROR(VLOOKUP($D16039,'Informations sur les produits'!$A$3:$B$15000,2,FALSE),"")</f>
        <v/>
      </c>
    </row>
    <row r="16040" spans="7:18" x14ac:dyDescent="0.25">
      <c r="G16040" s="33"/>
      <c r="O16040" s="33"/>
      <c r="P16040" s="33"/>
      <c r="Q16040" s="31" t="str">
        <f t="shared" si="955"/>
        <v/>
      </c>
      <c r="R16040" s="32" t="str">
        <f>IFERROR(VLOOKUP($D16040,'Informations sur les produits'!$A$3:$B$15000,2,FALSE),"")</f>
        <v/>
      </c>
    </row>
    <row r="16041" spans="7:18" x14ac:dyDescent="0.25">
      <c r="G16041" s="33"/>
      <c r="O16041" s="33"/>
      <c r="P16041" s="33"/>
      <c r="Q16041" s="31" t="str">
        <f t="shared" si="955"/>
        <v/>
      </c>
      <c r="R16041" s="32" t="str">
        <f>IFERROR(VLOOKUP($D16041,'Informations sur les produits'!$A$3:$B$15000,2,FALSE),"")</f>
        <v/>
      </c>
    </row>
    <row r="16042" spans="7:18" x14ac:dyDescent="0.25">
      <c r="G16042" s="33"/>
      <c r="O16042" s="33"/>
      <c r="P16042" s="33"/>
      <c r="Q16042" s="31" t="str">
        <f t="shared" si="955"/>
        <v/>
      </c>
      <c r="R16042" s="32" t="str">
        <f>IFERROR(VLOOKUP($D16042,'Informations sur les produits'!$A$3:$B$15000,2,FALSE),"")</f>
        <v/>
      </c>
    </row>
    <row r="16043" spans="7:18" x14ac:dyDescent="0.25">
      <c r="G16043" s="33"/>
      <c r="O16043" s="33"/>
      <c r="P16043" s="33"/>
      <c r="Q16043" s="31" t="str">
        <f t="shared" si="955"/>
        <v/>
      </c>
      <c r="R16043" s="32" t="str">
        <f>IFERROR(VLOOKUP($D16043,'Informations sur les produits'!$A$3:$B$15000,2,FALSE),"")</f>
        <v/>
      </c>
    </row>
    <row r="16044" spans="7:18" x14ac:dyDescent="0.25">
      <c r="G16044" s="33"/>
      <c r="O16044" s="33"/>
      <c r="P16044" s="33"/>
      <c r="Q16044" s="31" t="str">
        <f t="shared" si="955"/>
        <v/>
      </c>
      <c r="R16044" s="32" t="str">
        <f>IFERROR(VLOOKUP($D16044,'Informations sur les produits'!$A$3:$B$15000,2,FALSE),"")</f>
        <v/>
      </c>
    </row>
    <row r="16045" spans="7:18" x14ac:dyDescent="0.25">
      <c r="G16045" s="33"/>
      <c r="O16045" s="33"/>
      <c r="P16045" s="33"/>
      <c r="Q16045" s="31" t="str">
        <f t="shared" si="955"/>
        <v/>
      </c>
      <c r="R16045" s="32" t="str">
        <f>IFERROR(VLOOKUP($D16045,'Informations sur les produits'!$A$3:$B$15000,2,FALSE),"")</f>
        <v/>
      </c>
    </row>
    <row r="16046" spans="7:18" x14ac:dyDescent="0.25">
      <c r="G16046" s="33"/>
      <c r="O16046" s="33"/>
      <c r="P16046" s="33"/>
      <c r="Q16046" s="31" t="str">
        <f t="shared" si="955"/>
        <v/>
      </c>
      <c r="R16046" s="32" t="str">
        <f>IFERROR(VLOOKUP($D16046,'Informations sur les produits'!$A$3:$B$15000,2,FALSE),"")</f>
        <v/>
      </c>
    </row>
    <row r="16047" spans="7:18" x14ac:dyDescent="0.25">
      <c r="G16047" s="33"/>
      <c r="O16047" s="33"/>
      <c r="P16047" s="33"/>
      <c r="Q16047" s="31" t="str">
        <f t="shared" si="955"/>
        <v/>
      </c>
      <c r="R16047" s="32" t="str">
        <f>IFERROR(VLOOKUP($D16047,'Informations sur les produits'!$A$3:$B$15000,2,FALSE),"")</f>
        <v/>
      </c>
    </row>
    <row r="16048" spans="7:18" x14ac:dyDescent="0.25">
      <c r="G16048" s="33"/>
      <c r="O16048" s="33"/>
      <c r="P16048" s="33"/>
      <c r="Q16048" s="31" t="str">
        <f t="shared" si="955"/>
        <v/>
      </c>
      <c r="R16048" s="32" t="str">
        <f>IFERROR(VLOOKUP($D16048,'Informations sur les produits'!$A$3:$B$15000,2,FALSE),"")</f>
        <v/>
      </c>
    </row>
    <row r="16049" spans="7:18" x14ac:dyDescent="0.25">
      <c r="G16049" s="33"/>
      <c r="O16049" s="33"/>
      <c r="P16049" s="33"/>
      <c r="Q16049" s="31" t="str">
        <f t="shared" si="955"/>
        <v/>
      </c>
      <c r="R16049" s="32" t="str">
        <f>IFERROR(VLOOKUP($D16049,'Informations sur les produits'!$A$3:$B$15000,2,FALSE),"")</f>
        <v/>
      </c>
    </row>
    <row r="16050" spans="7:18" x14ac:dyDescent="0.25">
      <c r="G16050" s="33"/>
      <c r="O16050" s="33"/>
      <c r="P16050" s="33"/>
      <c r="Q16050" s="31" t="str">
        <f t="shared" si="955"/>
        <v/>
      </c>
      <c r="R16050" s="32" t="str">
        <f>IFERROR(VLOOKUP($D16050,'Informations sur les produits'!$A$3:$B$15000,2,FALSE),"")</f>
        <v/>
      </c>
    </row>
    <row r="16051" spans="7:18" x14ac:dyDescent="0.25">
      <c r="G16051" s="33"/>
      <c r="O16051" s="33"/>
      <c r="P16051" s="33"/>
      <c r="Q16051" s="31" t="str">
        <f t="shared" si="955"/>
        <v/>
      </c>
      <c r="R16051" s="32" t="str">
        <f>IFERROR(VLOOKUP($D16051,'Informations sur les produits'!$A$3:$B$15000,2,FALSE),"")</f>
        <v/>
      </c>
    </row>
    <row r="16052" spans="7:18" x14ac:dyDescent="0.25">
      <c r="G16052" s="33"/>
      <c r="O16052" s="33"/>
      <c r="P16052" s="33"/>
      <c r="Q16052" s="31" t="str">
        <f t="shared" si="955"/>
        <v/>
      </c>
      <c r="R16052" s="32" t="str">
        <f>IFERROR(VLOOKUP($D16052,'Informations sur les produits'!$A$3:$B$15000,2,FALSE),"")</f>
        <v/>
      </c>
    </row>
    <row r="16053" spans="7:18" x14ac:dyDescent="0.25">
      <c r="G16053" s="33"/>
      <c r="O16053" s="33"/>
      <c r="P16053" s="33"/>
      <c r="Q16053" s="31" t="str">
        <f t="shared" si="955"/>
        <v/>
      </c>
      <c r="R16053" s="32" t="str">
        <f>IFERROR(VLOOKUP($D16053,'Informations sur les produits'!$A$3:$B$15000,2,FALSE),"")</f>
        <v/>
      </c>
    </row>
    <row r="16054" spans="7:18" x14ac:dyDescent="0.25">
      <c r="G16054" s="33"/>
      <c r="O16054" s="33"/>
      <c r="P16054" s="33"/>
      <c r="Q16054" s="31" t="str">
        <f t="shared" si="955"/>
        <v/>
      </c>
      <c r="R16054" s="32" t="str">
        <f>IFERROR(VLOOKUP($D16054,'Informations sur les produits'!$A$3:$B$15000,2,FALSE),"")</f>
        <v/>
      </c>
    </row>
    <row r="16055" spans="7:18" x14ac:dyDescent="0.25">
      <c r="G16055" s="33"/>
      <c r="O16055" s="33"/>
      <c r="P16055" s="33"/>
      <c r="Q16055" s="31" t="str">
        <f t="shared" si="955"/>
        <v/>
      </c>
      <c r="R16055" s="32" t="str">
        <f>IFERROR(VLOOKUP($D16055,'Informations sur les produits'!$A$3:$B$15000,2,FALSE),"")</f>
        <v/>
      </c>
    </row>
    <row r="16056" spans="7:18" x14ac:dyDescent="0.25">
      <c r="G16056" s="33"/>
      <c r="O16056" s="33"/>
      <c r="P16056" s="33"/>
      <c r="Q16056" s="31" t="str">
        <f t="shared" si="955"/>
        <v/>
      </c>
      <c r="R16056" s="32" t="str">
        <f>IFERROR(VLOOKUP($D16056,'Informations sur les produits'!$A$3:$B$15000,2,FALSE),"")</f>
        <v/>
      </c>
    </row>
    <row r="16057" spans="7:18" x14ac:dyDescent="0.25">
      <c r="G16057" s="33"/>
      <c r="O16057" s="33"/>
      <c r="P16057" s="33"/>
      <c r="Q16057" s="31" t="str">
        <f t="shared" si="955"/>
        <v/>
      </c>
      <c r="R16057" s="32" t="str">
        <f>IFERROR(VLOOKUP($D16057,'Informations sur les produits'!$A$3:$B$15000,2,FALSE),"")</f>
        <v/>
      </c>
    </row>
    <row r="16058" spans="7:18" x14ac:dyDescent="0.25">
      <c r="G16058" s="33"/>
      <c r="O16058" s="33"/>
      <c r="P16058" s="33"/>
      <c r="Q16058" s="31" t="str">
        <f t="shared" si="955"/>
        <v/>
      </c>
      <c r="R16058" s="32" t="str">
        <f>IFERROR(VLOOKUP($D16058,'Informations sur les produits'!$A$3:$B$15000,2,FALSE),"")</f>
        <v/>
      </c>
    </row>
    <row r="16059" spans="7:18" x14ac:dyDescent="0.25">
      <c r="G16059" s="33"/>
      <c r="O16059" s="33"/>
      <c r="P16059" s="33"/>
      <c r="Q16059" s="31" t="str">
        <f t="shared" si="955"/>
        <v/>
      </c>
      <c r="R16059" s="32" t="str">
        <f>IFERROR(VLOOKUP($D16059,'Informations sur les produits'!$A$3:$B$15000,2,FALSE),"")</f>
        <v/>
      </c>
    </row>
    <row r="16060" spans="7:18" x14ac:dyDescent="0.25">
      <c r="G16060" s="33"/>
      <c r="O16060" s="33"/>
      <c r="P16060" s="33"/>
      <c r="Q16060" s="31" t="str">
        <f t="shared" si="955"/>
        <v/>
      </c>
      <c r="R16060" s="32" t="str">
        <f>IFERROR(VLOOKUP($D16060,'Informations sur les produits'!$A$3:$B$15000,2,FALSE),"")</f>
        <v/>
      </c>
    </row>
    <row r="16061" spans="7:18" x14ac:dyDescent="0.25">
      <c r="G16061" s="33"/>
      <c r="O16061" s="33"/>
      <c r="P16061" s="33"/>
      <c r="Q16061" s="31" t="str">
        <f t="shared" si="955"/>
        <v/>
      </c>
      <c r="R16061" s="32" t="str">
        <f>IFERROR(VLOOKUP($D16061,'Informations sur les produits'!$A$3:$B$15000,2,FALSE),"")</f>
        <v/>
      </c>
    </row>
    <row r="16062" spans="7:18" x14ac:dyDescent="0.25">
      <c r="G16062" s="33"/>
      <c r="O16062" s="33"/>
      <c r="P16062" s="33"/>
      <c r="Q16062" s="31" t="str">
        <f t="shared" si="955"/>
        <v/>
      </c>
      <c r="R16062" s="32" t="str">
        <f>IFERROR(VLOOKUP($D16062,'Informations sur les produits'!$A$3:$B$15000,2,FALSE),"")</f>
        <v/>
      </c>
    </row>
    <row r="16063" spans="7:18" x14ac:dyDescent="0.25">
      <c r="G16063" s="33"/>
      <c r="O16063" s="33"/>
      <c r="P16063" s="33"/>
      <c r="Q16063" s="31" t="str">
        <f t="shared" si="955"/>
        <v/>
      </c>
      <c r="R16063" s="32" t="str">
        <f>IFERROR(VLOOKUP($D16063,'Informations sur les produits'!$A$3:$B$15000,2,FALSE),"")</f>
        <v/>
      </c>
    </row>
    <row r="16064" spans="7:18" x14ac:dyDescent="0.25">
      <c r="G16064" s="33"/>
      <c r="O16064" s="33"/>
      <c r="P16064" s="33"/>
      <c r="Q16064" s="31" t="str">
        <f t="shared" si="955"/>
        <v/>
      </c>
      <c r="R16064" s="32" t="str">
        <f>IFERROR(VLOOKUP($D16064,'Informations sur les produits'!$A$3:$B$15000,2,FALSE),"")</f>
        <v/>
      </c>
    </row>
    <row r="16065" spans="7:18" x14ac:dyDescent="0.25">
      <c r="G16065" s="33"/>
      <c r="O16065" s="33"/>
      <c r="P16065" s="33"/>
      <c r="Q16065" s="31" t="str">
        <f t="shared" si="955"/>
        <v/>
      </c>
      <c r="R16065" s="32" t="str">
        <f>IFERROR(VLOOKUP($D16065,'Informations sur les produits'!$A$3:$B$15000,2,FALSE),"")</f>
        <v/>
      </c>
    </row>
    <row r="16066" spans="7:18" x14ac:dyDescent="0.25">
      <c r="G16066" s="33"/>
      <c r="O16066" s="33"/>
      <c r="P16066" s="33"/>
      <c r="Q16066" s="31" t="str">
        <f t="shared" si="955"/>
        <v/>
      </c>
      <c r="R16066" s="32" t="str">
        <f>IFERROR(VLOOKUP($D16066,'Informations sur les produits'!$A$3:$B$15000,2,FALSE),"")</f>
        <v/>
      </c>
    </row>
    <row r="16067" spans="7:18" x14ac:dyDescent="0.25">
      <c r="G16067" s="33"/>
      <c r="O16067" s="33"/>
      <c r="P16067" s="33"/>
      <c r="Q16067" s="31" t="str">
        <f t="shared" si="955"/>
        <v/>
      </c>
      <c r="R16067" s="32" t="str">
        <f>IFERROR(VLOOKUP($D16067,'Informations sur les produits'!$A$3:$B$15000,2,FALSE),"")</f>
        <v/>
      </c>
    </row>
    <row r="16068" spans="7:18" x14ac:dyDescent="0.25">
      <c r="G16068" s="33"/>
      <c r="O16068" s="33"/>
      <c r="P16068" s="33"/>
      <c r="Q16068" s="31" t="str">
        <f t="shared" ref="Q16068:Q16131" si="956">IFERROR((((($E16068-$F16068)*$G16068+$K16068*$L16068+$N16068*$O16068)*1000)/(($E16068-$F16068)+$K16068+$N16068)),"")</f>
        <v/>
      </c>
      <c r="R16068" s="32" t="str">
        <f>IFERROR(VLOOKUP($D16068,'Informations sur les produits'!$A$3:$B$15000,2,FALSE),"")</f>
        <v/>
      </c>
    </row>
    <row r="16069" spans="7:18" x14ac:dyDescent="0.25">
      <c r="G16069" s="33"/>
      <c r="O16069" s="33"/>
      <c r="P16069" s="33"/>
      <c r="Q16069" s="31" t="str">
        <f t="shared" si="956"/>
        <v/>
      </c>
      <c r="R16069" s="32" t="str">
        <f>IFERROR(VLOOKUP($D16069,'Informations sur les produits'!$A$3:$B$15000,2,FALSE),"")</f>
        <v/>
      </c>
    </row>
    <row r="16070" spans="7:18" x14ac:dyDescent="0.25">
      <c r="G16070" s="33"/>
      <c r="O16070" s="33"/>
      <c r="P16070" s="33"/>
      <c r="Q16070" s="31" t="str">
        <f t="shared" si="956"/>
        <v/>
      </c>
      <c r="R16070" s="32" t="str">
        <f>IFERROR(VLOOKUP($D16070,'Informations sur les produits'!$A$3:$B$15000,2,FALSE),"")</f>
        <v/>
      </c>
    </row>
    <row r="16071" spans="7:18" x14ac:dyDescent="0.25">
      <c r="G16071" s="33"/>
      <c r="O16071" s="33"/>
      <c r="P16071" s="33"/>
      <c r="Q16071" s="31" t="str">
        <f t="shared" si="956"/>
        <v/>
      </c>
      <c r="R16071" s="32" t="str">
        <f>IFERROR(VLOOKUP($D16071,'Informations sur les produits'!$A$3:$B$15000,2,FALSE),"")</f>
        <v/>
      </c>
    </row>
    <row r="16072" spans="7:18" x14ac:dyDescent="0.25">
      <c r="G16072" s="33"/>
      <c r="O16072" s="33"/>
      <c r="P16072" s="33"/>
      <c r="Q16072" s="31" t="str">
        <f t="shared" si="956"/>
        <v/>
      </c>
      <c r="R16072" s="32" t="str">
        <f>IFERROR(VLOOKUP($D16072,'Informations sur les produits'!$A$3:$B$15000,2,FALSE),"")</f>
        <v/>
      </c>
    </row>
    <row r="16073" spans="7:18" x14ac:dyDescent="0.25">
      <c r="G16073" s="33"/>
      <c r="O16073" s="33"/>
      <c r="P16073" s="33"/>
      <c r="Q16073" s="31" t="str">
        <f t="shared" si="956"/>
        <v/>
      </c>
      <c r="R16073" s="32" t="str">
        <f>IFERROR(VLOOKUP($D16073,'Informations sur les produits'!$A$3:$B$15000,2,FALSE),"")</f>
        <v/>
      </c>
    </row>
    <row r="16074" spans="7:18" x14ac:dyDescent="0.25">
      <c r="G16074" s="33"/>
      <c r="O16074" s="33"/>
      <c r="P16074" s="33"/>
      <c r="Q16074" s="31" t="str">
        <f t="shared" si="956"/>
        <v/>
      </c>
      <c r="R16074" s="32" t="str">
        <f>IFERROR(VLOOKUP($D16074,'Informations sur les produits'!$A$3:$B$15000,2,FALSE),"")</f>
        <v/>
      </c>
    </row>
    <row r="16075" spans="7:18" x14ac:dyDescent="0.25">
      <c r="G16075" s="33"/>
      <c r="O16075" s="33"/>
      <c r="P16075" s="33"/>
      <c r="Q16075" s="31" t="str">
        <f t="shared" si="956"/>
        <v/>
      </c>
      <c r="R16075" s="32" t="str">
        <f>IFERROR(VLOOKUP($D16075,'Informations sur les produits'!$A$3:$B$15000,2,FALSE),"")</f>
        <v/>
      </c>
    </row>
    <row r="16076" spans="7:18" x14ac:dyDescent="0.25">
      <c r="G16076" s="33"/>
      <c r="O16076" s="33"/>
      <c r="P16076" s="33"/>
      <c r="Q16076" s="31" t="str">
        <f t="shared" si="956"/>
        <v/>
      </c>
      <c r="R16076" s="32" t="str">
        <f>IFERROR(VLOOKUP($D16076,'Informations sur les produits'!$A$3:$B$15000,2,FALSE),"")</f>
        <v/>
      </c>
    </row>
    <row r="16077" spans="7:18" x14ac:dyDescent="0.25">
      <c r="G16077" s="33"/>
      <c r="O16077" s="33"/>
      <c r="P16077" s="33"/>
      <c r="Q16077" s="31" t="str">
        <f t="shared" si="956"/>
        <v/>
      </c>
      <c r="R16077" s="32" t="str">
        <f>IFERROR(VLOOKUP($D16077,'Informations sur les produits'!$A$3:$B$15000,2,FALSE),"")</f>
        <v/>
      </c>
    </row>
    <row r="16078" spans="7:18" x14ac:dyDescent="0.25">
      <c r="G16078" s="33"/>
      <c r="O16078" s="33"/>
      <c r="P16078" s="33"/>
      <c r="Q16078" s="31" t="str">
        <f t="shared" si="956"/>
        <v/>
      </c>
      <c r="R16078" s="32" t="str">
        <f>IFERROR(VLOOKUP($D16078,'Informations sur les produits'!$A$3:$B$15000,2,FALSE),"")</f>
        <v/>
      </c>
    </row>
    <row r="16079" spans="7:18" x14ac:dyDescent="0.25">
      <c r="G16079" s="33"/>
      <c r="O16079" s="33"/>
      <c r="P16079" s="33"/>
      <c r="Q16079" s="31" t="str">
        <f t="shared" si="956"/>
        <v/>
      </c>
      <c r="R16079" s="32" t="str">
        <f>IFERROR(VLOOKUP($D16079,'Informations sur les produits'!$A$3:$B$15000,2,FALSE),"")</f>
        <v/>
      </c>
    </row>
    <row r="16080" spans="7:18" x14ac:dyDescent="0.25">
      <c r="G16080" s="33"/>
      <c r="O16080" s="33"/>
      <c r="P16080" s="33"/>
      <c r="Q16080" s="31" t="str">
        <f t="shared" si="956"/>
        <v/>
      </c>
      <c r="R16080" s="32" t="str">
        <f>IFERROR(VLOOKUP($D16080,'Informations sur les produits'!$A$3:$B$15000,2,FALSE),"")</f>
        <v/>
      </c>
    </row>
    <row r="16081" spans="7:18" x14ac:dyDescent="0.25">
      <c r="G16081" s="33"/>
      <c r="O16081" s="33"/>
      <c r="P16081" s="33"/>
      <c r="Q16081" s="31" t="str">
        <f t="shared" si="956"/>
        <v/>
      </c>
      <c r="R16081" s="32" t="str">
        <f>IFERROR(VLOOKUP($D16081,'Informations sur les produits'!$A$3:$B$15000,2,FALSE),"")</f>
        <v/>
      </c>
    </row>
    <row r="16082" spans="7:18" x14ac:dyDescent="0.25">
      <c r="G16082" s="33"/>
      <c r="O16082" s="33"/>
      <c r="P16082" s="33"/>
      <c r="Q16082" s="31" t="str">
        <f t="shared" si="956"/>
        <v/>
      </c>
      <c r="R16082" s="32" t="str">
        <f>IFERROR(VLOOKUP($D16082,'Informations sur les produits'!$A$3:$B$15000,2,FALSE),"")</f>
        <v/>
      </c>
    </row>
    <row r="16083" spans="7:18" x14ac:dyDescent="0.25">
      <c r="G16083" s="33"/>
      <c r="O16083" s="33"/>
      <c r="P16083" s="33"/>
      <c r="Q16083" s="31" t="str">
        <f t="shared" si="956"/>
        <v/>
      </c>
      <c r="R16083" s="32" t="str">
        <f>IFERROR(VLOOKUP($D16083,'Informations sur les produits'!$A$3:$B$15000,2,FALSE),"")</f>
        <v/>
      </c>
    </row>
    <row r="16084" spans="7:18" x14ac:dyDescent="0.25">
      <c r="G16084" s="33"/>
      <c r="O16084" s="33"/>
      <c r="P16084" s="33"/>
      <c r="Q16084" s="31" t="str">
        <f t="shared" si="956"/>
        <v/>
      </c>
      <c r="R16084" s="32" t="str">
        <f>IFERROR(VLOOKUP($D16084,'Informations sur les produits'!$A$3:$B$15000,2,FALSE),"")</f>
        <v/>
      </c>
    </row>
    <row r="16085" spans="7:18" x14ac:dyDescent="0.25">
      <c r="G16085" s="33"/>
      <c r="O16085" s="33"/>
      <c r="P16085" s="33"/>
      <c r="Q16085" s="31" t="str">
        <f t="shared" si="956"/>
        <v/>
      </c>
      <c r="R16085" s="32" t="str">
        <f>IFERROR(VLOOKUP($D16085,'Informations sur les produits'!$A$3:$B$15000,2,FALSE),"")</f>
        <v/>
      </c>
    </row>
    <row r="16086" spans="7:18" x14ac:dyDescent="0.25">
      <c r="G16086" s="33"/>
      <c r="O16086" s="33"/>
      <c r="P16086" s="33"/>
      <c r="Q16086" s="31" t="str">
        <f t="shared" si="956"/>
        <v/>
      </c>
      <c r="R16086" s="32" t="str">
        <f>IFERROR(VLOOKUP($D16086,'Informations sur les produits'!$A$3:$B$15000,2,FALSE),"")</f>
        <v/>
      </c>
    </row>
    <row r="16087" spans="7:18" x14ac:dyDescent="0.25">
      <c r="G16087" s="33"/>
      <c r="O16087" s="33"/>
      <c r="P16087" s="33"/>
      <c r="Q16087" s="31" t="str">
        <f t="shared" si="956"/>
        <v/>
      </c>
      <c r="R16087" s="32" t="str">
        <f>IFERROR(VLOOKUP($D16087,'Informations sur les produits'!$A$3:$B$15000,2,FALSE),"")</f>
        <v/>
      </c>
    </row>
    <row r="16088" spans="7:18" x14ac:dyDescent="0.25">
      <c r="G16088" s="33"/>
      <c r="O16088" s="33"/>
      <c r="P16088" s="33"/>
      <c r="Q16088" s="31" t="str">
        <f t="shared" si="956"/>
        <v/>
      </c>
      <c r="R16088" s="32" t="str">
        <f>IFERROR(VLOOKUP($D16088,'Informations sur les produits'!$A$3:$B$15000,2,FALSE),"")</f>
        <v/>
      </c>
    </row>
    <row r="16089" spans="7:18" x14ac:dyDescent="0.25">
      <c r="G16089" s="33"/>
      <c r="O16089" s="33"/>
      <c r="P16089" s="33"/>
      <c r="Q16089" s="31" t="str">
        <f t="shared" si="956"/>
        <v/>
      </c>
      <c r="R16089" s="32" t="str">
        <f>IFERROR(VLOOKUP($D16089,'Informations sur les produits'!$A$3:$B$15000,2,FALSE),"")</f>
        <v/>
      </c>
    </row>
    <row r="16090" spans="7:18" x14ac:dyDescent="0.25">
      <c r="G16090" s="33"/>
      <c r="O16090" s="33"/>
      <c r="P16090" s="33"/>
      <c r="Q16090" s="31" t="str">
        <f t="shared" si="956"/>
        <v/>
      </c>
      <c r="R16090" s="32" t="str">
        <f>IFERROR(VLOOKUP($D16090,'Informations sur les produits'!$A$3:$B$15000,2,FALSE),"")</f>
        <v/>
      </c>
    </row>
    <row r="16091" spans="7:18" x14ac:dyDescent="0.25">
      <c r="G16091" s="33"/>
      <c r="O16091" s="33"/>
      <c r="P16091" s="33"/>
      <c r="Q16091" s="31" t="str">
        <f t="shared" si="956"/>
        <v/>
      </c>
      <c r="R16091" s="32" t="str">
        <f>IFERROR(VLOOKUP($D16091,'Informations sur les produits'!$A$3:$B$15000,2,FALSE),"")</f>
        <v/>
      </c>
    </row>
    <row r="16092" spans="7:18" x14ac:dyDescent="0.25">
      <c r="G16092" s="33"/>
      <c r="O16092" s="33"/>
      <c r="P16092" s="33"/>
      <c r="Q16092" s="31" t="str">
        <f t="shared" si="956"/>
        <v/>
      </c>
      <c r="R16092" s="32" t="str">
        <f>IFERROR(VLOOKUP($D16092,'Informations sur les produits'!$A$3:$B$15000,2,FALSE),"")</f>
        <v/>
      </c>
    </row>
    <row r="16093" spans="7:18" x14ac:dyDescent="0.25">
      <c r="G16093" s="33"/>
      <c r="O16093" s="33"/>
      <c r="P16093" s="33"/>
      <c r="Q16093" s="31" t="str">
        <f t="shared" si="956"/>
        <v/>
      </c>
      <c r="R16093" s="32" t="str">
        <f>IFERROR(VLOOKUP($D16093,'Informations sur les produits'!$A$3:$B$15000,2,FALSE),"")</f>
        <v/>
      </c>
    </row>
    <row r="16094" spans="7:18" x14ac:dyDescent="0.25">
      <c r="G16094" s="33"/>
      <c r="O16094" s="33"/>
      <c r="P16094" s="33"/>
      <c r="Q16094" s="31" t="str">
        <f t="shared" si="956"/>
        <v/>
      </c>
      <c r="R16094" s="32" t="str">
        <f>IFERROR(VLOOKUP($D16094,'Informations sur les produits'!$A$3:$B$15000,2,FALSE),"")</f>
        <v/>
      </c>
    </row>
    <row r="16095" spans="7:18" x14ac:dyDescent="0.25">
      <c r="G16095" s="33"/>
      <c r="O16095" s="33"/>
      <c r="P16095" s="33"/>
      <c r="Q16095" s="31" t="str">
        <f t="shared" si="956"/>
        <v/>
      </c>
      <c r="R16095" s="32" t="str">
        <f>IFERROR(VLOOKUP($D16095,'Informations sur les produits'!$A$3:$B$15000,2,FALSE),"")</f>
        <v/>
      </c>
    </row>
    <row r="16096" spans="7:18" x14ac:dyDescent="0.25">
      <c r="G16096" s="33"/>
      <c r="O16096" s="33"/>
      <c r="P16096" s="33"/>
      <c r="Q16096" s="31" t="str">
        <f t="shared" si="956"/>
        <v/>
      </c>
      <c r="R16096" s="32" t="str">
        <f>IFERROR(VLOOKUP($D16096,'Informations sur les produits'!$A$3:$B$15000,2,FALSE),"")</f>
        <v/>
      </c>
    </row>
    <row r="16097" spans="7:18" x14ac:dyDescent="0.25">
      <c r="G16097" s="33"/>
      <c r="O16097" s="33"/>
      <c r="P16097" s="33"/>
      <c r="Q16097" s="31" t="str">
        <f t="shared" si="956"/>
        <v/>
      </c>
      <c r="R16097" s="32" t="str">
        <f>IFERROR(VLOOKUP($D16097,'Informations sur les produits'!$A$3:$B$15000,2,FALSE),"")</f>
        <v/>
      </c>
    </row>
    <row r="16098" spans="7:18" x14ac:dyDescent="0.25">
      <c r="G16098" s="33"/>
      <c r="O16098" s="33"/>
      <c r="P16098" s="33"/>
      <c r="Q16098" s="31" t="str">
        <f t="shared" si="956"/>
        <v/>
      </c>
      <c r="R16098" s="32" t="str">
        <f>IFERROR(VLOOKUP($D16098,'Informations sur les produits'!$A$3:$B$15000,2,FALSE),"")</f>
        <v/>
      </c>
    </row>
    <row r="16099" spans="7:18" x14ac:dyDescent="0.25">
      <c r="G16099" s="33"/>
      <c r="O16099" s="33"/>
      <c r="P16099" s="33"/>
      <c r="Q16099" s="31" t="str">
        <f t="shared" si="956"/>
        <v/>
      </c>
      <c r="R16099" s="32" t="str">
        <f>IFERROR(VLOOKUP($D16099,'Informations sur les produits'!$A$3:$B$15000,2,FALSE),"")</f>
        <v/>
      </c>
    </row>
    <row r="16100" spans="7:18" x14ac:dyDescent="0.25">
      <c r="G16100" s="33"/>
      <c r="O16100" s="33"/>
      <c r="P16100" s="33"/>
      <c r="Q16100" s="31" t="str">
        <f t="shared" si="956"/>
        <v/>
      </c>
      <c r="R16100" s="32" t="str">
        <f>IFERROR(VLOOKUP($D16100,'Informations sur les produits'!$A$3:$B$15000,2,FALSE),"")</f>
        <v/>
      </c>
    </row>
    <row r="16101" spans="7:18" x14ac:dyDescent="0.25">
      <c r="G16101" s="33"/>
      <c r="O16101" s="33"/>
      <c r="P16101" s="33"/>
      <c r="Q16101" s="31" t="str">
        <f t="shared" si="956"/>
        <v/>
      </c>
      <c r="R16101" s="32" t="str">
        <f>IFERROR(VLOOKUP($D16101,'Informations sur les produits'!$A$3:$B$15000,2,FALSE),"")</f>
        <v/>
      </c>
    </row>
    <row r="16102" spans="7:18" x14ac:dyDescent="0.25">
      <c r="G16102" s="33"/>
      <c r="O16102" s="33"/>
      <c r="P16102" s="33"/>
      <c r="Q16102" s="31" t="str">
        <f t="shared" si="956"/>
        <v/>
      </c>
      <c r="R16102" s="32" t="str">
        <f>IFERROR(VLOOKUP($D16102,'Informations sur les produits'!$A$3:$B$15000,2,FALSE),"")</f>
        <v/>
      </c>
    </row>
    <row r="16103" spans="7:18" x14ac:dyDescent="0.25">
      <c r="G16103" s="33"/>
      <c r="O16103" s="33"/>
      <c r="P16103" s="33"/>
      <c r="Q16103" s="31" t="str">
        <f t="shared" si="956"/>
        <v/>
      </c>
      <c r="R16103" s="32" t="str">
        <f>IFERROR(VLOOKUP($D16103,'Informations sur les produits'!$A$3:$B$15000,2,FALSE),"")</f>
        <v/>
      </c>
    </row>
    <row r="16104" spans="7:18" x14ac:dyDescent="0.25">
      <c r="G16104" s="33"/>
      <c r="O16104" s="33"/>
      <c r="P16104" s="33"/>
      <c r="Q16104" s="31" t="str">
        <f t="shared" si="956"/>
        <v/>
      </c>
      <c r="R16104" s="32" t="str">
        <f>IFERROR(VLOOKUP($D16104,'Informations sur les produits'!$A$3:$B$15000,2,FALSE),"")</f>
        <v/>
      </c>
    </row>
    <row r="16105" spans="7:18" x14ac:dyDescent="0.25">
      <c r="G16105" s="33"/>
      <c r="O16105" s="33"/>
      <c r="P16105" s="33"/>
      <c r="Q16105" s="31" t="str">
        <f t="shared" si="956"/>
        <v/>
      </c>
      <c r="R16105" s="32" t="str">
        <f>IFERROR(VLOOKUP($D16105,'Informations sur les produits'!$A$3:$B$15000,2,FALSE),"")</f>
        <v/>
      </c>
    </row>
    <row r="16106" spans="7:18" x14ac:dyDescent="0.25">
      <c r="G16106" s="33"/>
      <c r="O16106" s="33"/>
      <c r="P16106" s="33"/>
      <c r="Q16106" s="31" t="str">
        <f t="shared" si="956"/>
        <v/>
      </c>
      <c r="R16106" s="32" t="str">
        <f>IFERROR(VLOOKUP($D16106,'Informations sur les produits'!$A$3:$B$15000,2,FALSE),"")</f>
        <v/>
      </c>
    </row>
    <row r="16107" spans="7:18" x14ac:dyDescent="0.25">
      <c r="G16107" s="33"/>
      <c r="O16107" s="33"/>
      <c r="P16107" s="33"/>
      <c r="Q16107" s="31" t="str">
        <f t="shared" si="956"/>
        <v/>
      </c>
      <c r="R16107" s="32" t="str">
        <f>IFERROR(VLOOKUP($D16107,'Informations sur les produits'!$A$3:$B$15000,2,FALSE),"")</f>
        <v/>
      </c>
    </row>
    <row r="16108" spans="7:18" x14ac:dyDescent="0.25">
      <c r="G16108" s="33"/>
      <c r="O16108" s="33"/>
      <c r="P16108" s="33"/>
      <c r="Q16108" s="31" t="str">
        <f t="shared" si="956"/>
        <v/>
      </c>
      <c r="R16108" s="32" t="str">
        <f>IFERROR(VLOOKUP($D16108,'Informations sur les produits'!$A$3:$B$15000,2,FALSE),"")</f>
        <v/>
      </c>
    </row>
    <row r="16109" spans="7:18" x14ac:dyDescent="0.25">
      <c r="G16109" s="33"/>
      <c r="O16109" s="33"/>
      <c r="P16109" s="33"/>
      <c r="Q16109" s="31" t="str">
        <f t="shared" si="956"/>
        <v/>
      </c>
      <c r="R16109" s="32" t="str">
        <f>IFERROR(VLOOKUP($D16109,'Informations sur les produits'!$A$3:$B$15000,2,FALSE),"")</f>
        <v/>
      </c>
    </row>
    <row r="16110" spans="7:18" x14ac:dyDescent="0.25">
      <c r="G16110" s="33"/>
      <c r="O16110" s="33"/>
      <c r="P16110" s="33"/>
      <c r="Q16110" s="31" t="str">
        <f t="shared" si="956"/>
        <v/>
      </c>
      <c r="R16110" s="32" t="str">
        <f>IFERROR(VLOOKUP($D16110,'Informations sur les produits'!$A$3:$B$15000,2,FALSE),"")</f>
        <v/>
      </c>
    </row>
    <row r="16111" spans="7:18" x14ac:dyDescent="0.25">
      <c r="G16111" s="33"/>
      <c r="O16111" s="33"/>
      <c r="P16111" s="33"/>
      <c r="Q16111" s="31" t="str">
        <f t="shared" si="956"/>
        <v/>
      </c>
      <c r="R16111" s="32" t="str">
        <f>IFERROR(VLOOKUP($D16111,'Informations sur les produits'!$A$3:$B$15000,2,FALSE),"")</f>
        <v/>
      </c>
    </row>
    <row r="16112" spans="7:18" x14ac:dyDescent="0.25">
      <c r="G16112" s="33"/>
      <c r="O16112" s="33"/>
      <c r="P16112" s="33"/>
      <c r="Q16112" s="31" t="str">
        <f t="shared" si="956"/>
        <v/>
      </c>
      <c r="R16112" s="32" t="str">
        <f>IFERROR(VLOOKUP($D16112,'Informations sur les produits'!$A$3:$B$15000,2,FALSE),"")</f>
        <v/>
      </c>
    </row>
    <row r="16113" spans="7:18" x14ac:dyDescent="0.25">
      <c r="G16113" s="33"/>
      <c r="O16113" s="33"/>
      <c r="P16113" s="33"/>
      <c r="Q16113" s="31" t="str">
        <f t="shared" si="956"/>
        <v/>
      </c>
      <c r="R16113" s="32" t="str">
        <f>IFERROR(VLOOKUP($D16113,'Informations sur les produits'!$A$3:$B$15000,2,FALSE),"")</f>
        <v/>
      </c>
    </row>
    <row r="16114" spans="7:18" x14ac:dyDescent="0.25">
      <c r="G16114" s="33"/>
      <c r="O16114" s="33"/>
      <c r="P16114" s="33"/>
      <c r="Q16114" s="31" t="str">
        <f t="shared" si="956"/>
        <v/>
      </c>
      <c r="R16114" s="32" t="str">
        <f>IFERROR(VLOOKUP($D16114,'Informations sur les produits'!$A$3:$B$15000,2,FALSE),"")</f>
        <v/>
      </c>
    </row>
    <row r="16115" spans="7:18" x14ac:dyDescent="0.25">
      <c r="G16115" s="33"/>
      <c r="O16115" s="33"/>
      <c r="P16115" s="33"/>
      <c r="Q16115" s="31" t="str">
        <f t="shared" si="956"/>
        <v/>
      </c>
      <c r="R16115" s="32" t="str">
        <f>IFERROR(VLOOKUP($D16115,'Informations sur les produits'!$A$3:$B$15000,2,FALSE),"")</f>
        <v/>
      </c>
    </row>
    <row r="16116" spans="7:18" x14ac:dyDescent="0.25">
      <c r="G16116" s="33"/>
      <c r="O16116" s="33"/>
      <c r="P16116" s="33"/>
      <c r="Q16116" s="31" t="str">
        <f t="shared" si="956"/>
        <v/>
      </c>
      <c r="R16116" s="32" t="str">
        <f>IFERROR(VLOOKUP($D16116,'Informations sur les produits'!$A$3:$B$15000,2,FALSE),"")</f>
        <v/>
      </c>
    </row>
    <row r="16117" spans="7:18" x14ac:dyDescent="0.25">
      <c r="G16117" s="33"/>
      <c r="O16117" s="33"/>
      <c r="P16117" s="33"/>
      <c r="Q16117" s="31" t="str">
        <f t="shared" si="956"/>
        <v/>
      </c>
      <c r="R16117" s="32" t="str">
        <f>IFERROR(VLOOKUP($D16117,'Informations sur les produits'!$A$3:$B$15000,2,FALSE),"")</f>
        <v/>
      </c>
    </row>
    <row r="16118" spans="7:18" x14ac:dyDescent="0.25">
      <c r="G16118" s="33"/>
      <c r="O16118" s="33"/>
      <c r="P16118" s="33"/>
      <c r="Q16118" s="31" t="str">
        <f t="shared" si="956"/>
        <v/>
      </c>
      <c r="R16118" s="32" t="str">
        <f>IFERROR(VLOOKUP($D16118,'Informations sur les produits'!$A$3:$B$15000,2,FALSE),"")</f>
        <v/>
      </c>
    </row>
    <row r="16119" spans="7:18" x14ac:dyDescent="0.25">
      <c r="G16119" s="33"/>
      <c r="O16119" s="33"/>
      <c r="P16119" s="33"/>
      <c r="Q16119" s="31" t="str">
        <f t="shared" si="956"/>
        <v/>
      </c>
      <c r="R16119" s="32" t="str">
        <f>IFERROR(VLOOKUP($D16119,'Informations sur les produits'!$A$3:$B$15000,2,FALSE),"")</f>
        <v/>
      </c>
    </row>
    <row r="16120" spans="7:18" x14ac:dyDescent="0.25">
      <c r="G16120" s="33"/>
      <c r="O16120" s="33"/>
      <c r="P16120" s="33"/>
      <c r="Q16120" s="31" t="str">
        <f t="shared" si="956"/>
        <v/>
      </c>
      <c r="R16120" s="32" t="str">
        <f>IFERROR(VLOOKUP($D16120,'Informations sur les produits'!$A$3:$B$15000,2,FALSE),"")</f>
        <v/>
      </c>
    </row>
    <row r="16121" spans="7:18" x14ac:dyDescent="0.25">
      <c r="G16121" s="33"/>
      <c r="O16121" s="33"/>
      <c r="P16121" s="33"/>
      <c r="Q16121" s="31" t="str">
        <f t="shared" si="956"/>
        <v/>
      </c>
      <c r="R16121" s="32" t="str">
        <f>IFERROR(VLOOKUP($D16121,'Informations sur les produits'!$A$3:$B$15000,2,FALSE),"")</f>
        <v/>
      </c>
    </row>
    <row r="16122" spans="7:18" x14ac:dyDescent="0.25">
      <c r="G16122" s="33"/>
      <c r="O16122" s="33"/>
      <c r="P16122" s="33"/>
      <c r="Q16122" s="31" t="str">
        <f t="shared" si="956"/>
        <v/>
      </c>
      <c r="R16122" s="32" t="str">
        <f>IFERROR(VLOOKUP($D16122,'Informations sur les produits'!$A$3:$B$15000,2,FALSE),"")</f>
        <v/>
      </c>
    </row>
    <row r="16123" spans="7:18" x14ac:dyDescent="0.25">
      <c r="G16123" s="33"/>
      <c r="O16123" s="33"/>
      <c r="P16123" s="33"/>
      <c r="Q16123" s="31" t="str">
        <f t="shared" si="956"/>
        <v/>
      </c>
      <c r="R16123" s="32" t="str">
        <f>IFERROR(VLOOKUP($D16123,'Informations sur les produits'!$A$3:$B$15000,2,FALSE),"")</f>
        <v/>
      </c>
    </row>
    <row r="16124" spans="7:18" x14ac:dyDescent="0.25">
      <c r="G16124" s="33"/>
      <c r="O16124" s="33"/>
      <c r="P16124" s="33"/>
      <c r="Q16124" s="31" t="str">
        <f t="shared" si="956"/>
        <v/>
      </c>
      <c r="R16124" s="32" t="str">
        <f>IFERROR(VLOOKUP($D16124,'Informations sur les produits'!$A$3:$B$15000,2,FALSE),"")</f>
        <v/>
      </c>
    </row>
    <row r="16125" spans="7:18" x14ac:dyDescent="0.25">
      <c r="G16125" s="33"/>
      <c r="O16125" s="33"/>
      <c r="P16125" s="33"/>
      <c r="Q16125" s="31" t="str">
        <f t="shared" si="956"/>
        <v/>
      </c>
      <c r="R16125" s="32" t="str">
        <f>IFERROR(VLOOKUP($D16125,'Informations sur les produits'!$A$3:$B$15000,2,FALSE),"")</f>
        <v/>
      </c>
    </row>
    <row r="16126" spans="7:18" x14ac:dyDescent="0.25">
      <c r="G16126" s="33"/>
      <c r="O16126" s="33"/>
      <c r="P16126" s="33"/>
      <c r="Q16126" s="31" t="str">
        <f t="shared" si="956"/>
        <v/>
      </c>
      <c r="R16126" s="32" t="str">
        <f>IFERROR(VLOOKUP($D16126,'Informations sur les produits'!$A$3:$B$15000,2,FALSE),"")</f>
        <v/>
      </c>
    </row>
    <row r="16127" spans="7:18" x14ac:dyDescent="0.25">
      <c r="G16127" s="33"/>
      <c r="O16127" s="33"/>
      <c r="P16127" s="33"/>
      <c r="Q16127" s="31" t="str">
        <f t="shared" si="956"/>
        <v/>
      </c>
      <c r="R16127" s="32" t="str">
        <f>IFERROR(VLOOKUP($D16127,'Informations sur les produits'!$A$3:$B$15000,2,FALSE),"")</f>
        <v/>
      </c>
    </row>
    <row r="16128" spans="7:18" x14ac:dyDescent="0.25">
      <c r="G16128" s="33"/>
      <c r="O16128" s="33"/>
      <c r="P16128" s="33"/>
      <c r="Q16128" s="31" t="str">
        <f t="shared" si="956"/>
        <v/>
      </c>
      <c r="R16128" s="32" t="str">
        <f>IFERROR(VLOOKUP($D16128,'Informations sur les produits'!$A$3:$B$15000,2,FALSE),"")</f>
        <v/>
      </c>
    </row>
    <row r="16129" spans="7:18" x14ac:dyDescent="0.25">
      <c r="G16129" s="33"/>
      <c r="O16129" s="33"/>
      <c r="P16129" s="33"/>
      <c r="Q16129" s="31" t="str">
        <f t="shared" si="956"/>
        <v/>
      </c>
      <c r="R16129" s="32" t="str">
        <f>IFERROR(VLOOKUP($D16129,'Informations sur les produits'!$A$3:$B$15000,2,FALSE),"")</f>
        <v/>
      </c>
    </row>
    <row r="16130" spans="7:18" x14ac:dyDescent="0.25">
      <c r="G16130" s="33"/>
      <c r="O16130" s="33"/>
      <c r="P16130" s="33"/>
      <c r="Q16130" s="31" t="str">
        <f t="shared" si="956"/>
        <v/>
      </c>
      <c r="R16130" s="32" t="str">
        <f>IFERROR(VLOOKUP($D16130,'Informations sur les produits'!$A$3:$B$15000,2,FALSE),"")</f>
        <v/>
      </c>
    </row>
    <row r="16131" spans="7:18" x14ac:dyDescent="0.25">
      <c r="G16131" s="33"/>
      <c r="O16131" s="33"/>
      <c r="P16131" s="33"/>
      <c r="Q16131" s="31" t="str">
        <f t="shared" si="956"/>
        <v/>
      </c>
      <c r="R16131" s="32" t="str">
        <f>IFERROR(VLOOKUP($D16131,'Informations sur les produits'!$A$3:$B$15000,2,FALSE),"")</f>
        <v/>
      </c>
    </row>
    <row r="16132" spans="7:18" x14ac:dyDescent="0.25">
      <c r="G16132" s="33"/>
      <c r="O16132" s="33"/>
      <c r="P16132" s="33"/>
      <c r="Q16132" s="31" t="str">
        <f t="shared" ref="Q16132:Q16195" si="957">IFERROR((((($E16132-$F16132)*$G16132+$K16132*$L16132+$N16132*$O16132)*1000)/(($E16132-$F16132)+$K16132+$N16132)),"")</f>
        <v/>
      </c>
      <c r="R16132" s="32" t="str">
        <f>IFERROR(VLOOKUP($D16132,'Informations sur les produits'!$A$3:$B$15000,2,FALSE),"")</f>
        <v/>
      </c>
    </row>
    <row r="16133" spans="7:18" x14ac:dyDescent="0.25">
      <c r="G16133" s="33"/>
      <c r="O16133" s="33"/>
      <c r="P16133" s="33"/>
      <c r="Q16133" s="31" t="str">
        <f t="shared" si="957"/>
        <v/>
      </c>
      <c r="R16133" s="32" t="str">
        <f>IFERROR(VLOOKUP($D16133,'Informations sur les produits'!$A$3:$B$15000,2,FALSE),"")</f>
        <v/>
      </c>
    </row>
    <row r="16134" spans="7:18" x14ac:dyDescent="0.25">
      <c r="G16134" s="33"/>
      <c r="O16134" s="33"/>
      <c r="P16134" s="33"/>
      <c r="Q16134" s="31" t="str">
        <f t="shared" si="957"/>
        <v/>
      </c>
      <c r="R16134" s="32" t="str">
        <f>IFERROR(VLOOKUP($D16134,'Informations sur les produits'!$A$3:$B$15000,2,FALSE),"")</f>
        <v/>
      </c>
    </row>
    <row r="16135" spans="7:18" x14ac:dyDescent="0.25">
      <c r="G16135" s="33"/>
      <c r="O16135" s="33"/>
      <c r="P16135" s="33"/>
      <c r="Q16135" s="31" t="str">
        <f t="shared" si="957"/>
        <v/>
      </c>
      <c r="R16135" s="32" t="str">
        <f>IFERROR(VLOOKUP($D16135,'Informations sur les produits'!$A$3:$B$15000,2,FALSE),"")</f>
        <v/>
      </c>
    </row>
    <row r="16136" spans="7:18" x14ac:dyDescent="0.25">
      <c r="G16136" s="33"/>
      <c r="O16136" s="33"/>
      <c r="P16136" s="33"/>
      <c r="Q16136" s="31" t="str">
        <f t="shared" si="957"/>
        <v/>
      </c>
      <c r="R16136" s="32" t="str">
        <f>IFERROR(VLOOKUP($D16136,'Informations sur les produits'!$A$3:$B$15000,2,FALSE),"")</f>
        <v/>
      </c>
    </row>
    <row r="16137" spans="7:18" x14ac:dyDescent="0.25">
      <c r="G16137" s="33"/>
      <c r="O16137" s="33"/>
      <c r="P16137" s="33"/>
      <c r="Q16137" s="31" t="str">
        <f t="shared" si="957"/>
        <v/>
      </c>
      <c r="R16137" s="32" t="str">
        <f>IFERROR(VLOOKUP($D16137,'Informations sur les produits'!$A$3:$B$15000,2,FALSE),"")</f>
        <v/>
      </c>
    </row>
    <row r="16138" spans="7:18" x14ac:dyDescent="0.25">
      <c r="G16138" s="33"/>
      <c r="O16138" s="33"/>
      <c r="P16138" s="33"/>
      <c r="Q16138" s="31" t="str">
        <f t="shared" si="957"/>
        <v/>
      </c>
      <c r="R16138" s="32" t="str">
        <f>IFERROR(VLOOKUP($D16138,'Informations sur les produits'!$A$3:$B$15000,2,FALSE),"")</f>
        <v/>
      </c>
    </row>
    <row r="16139" spans="7:18" x14ac:dyDescent="0.25">
      <c r="G16139" s="33"/>
      <c r="O16139" s="33"/>
      <c r="P16139" s="33"/>
      <c r="Q16139" s="31" t="str">
        <f t="shared" si="957"/>
        <v/>
      </c>
      <c r="R16139" s="32" t="str">
        <f>IFERROR(VLOOKUP($D16139,'Informations sur les produits'!$A$3:$B$15000,2,FALSE),"")</f>
        <v/>
      </c>
    </row>
    <row r="16140" spans="7:18" x14ac:dyDescent="0.25">
      <c r="G16140" s="33"/>
      <c r="O16140" s="33"/>
      <c r="P16140" s="33"/>
      <c r="Q16140" s="31" t="str">
        <f t="shared" si="957"/>
        <v/>
      </c>
      <c r="R16140" s="32" t="str">
        <f>IFERROR(VLOOKUP($D16140,'Informations sur les produits'!$A$3:$B$15000,2,FALSE),"")</f>
        <v/>
      </c>
    </row>
    <row r="16141" spans="7:18" x14ac:dyDescent="0.25">
      <c r="G16141" s="33"/>
      <c r="O16141" s="33"/>
      <c r="P16141" s="33"/>
      <c r="Q16141" s="31" t="str">
        <f t="shared" si="957"/>
        <v/>
      </c>
      <c r="R16141" s="32" t="str">
        <f>IFERROR(VLOOKUP($D16141,'Informations sur les produits'!$A$3:$B$15000,2,FALSE),"")</f>
        <v/>
      </c>
    </row>
    <row r="16142" spans="7:18" x14ac:dyDescent="0.25">
      <c r="G16142" s="33"/>
      <c r="O16142" s="33"/>
      <c r="P16142" s="33"/>
      <c r="Q16142" s="31" t="str">
        <f t="shared" si="957"/>
        <v/>
      </c>
      <c r="R16142" s="32" t="str">
        <f>IFERROR(VLOOKUP($D16142,'Informations sur les produits'!$A$3:$B$15000,2,FALSE),"")</f>
        <v/>
      </c>
    </row>
    <row r="16143" spans="7:18" x14ac:dyDescent="0.25">
      <c r="G16143" s="33"/>
      <c r="O16143" s="33"/>
      <c r="P16143" s="33"/>
      <c r="Q16143" s="31" t="str">
        <f t="shared" si="957"/>
        <v/>
      </c>
      <c r="R16143" s="32" t="str">
        <f>IFERROR(VLOOKUP($D16143,'Informations sur les produits'!$A$3:$B$15000,2,FALSE),"")</f>
        <v/>
      </c>
    </row>
    <row r="16144" spans="7:18" x14ac:dyDescent="0.25">
      <c r="G16144" s="33"/>
      <c r="O16144" s="33"/>
      <c r="P16144" s="33"/>
      <c r="Q16144" s="31" t="str">
        <f t="shared" si="957"/>
        <v/>
      </c>
      <c r="R16144" s="32" t="str">
        <f>IFERROR(VLOOKUP($D16144,'Informations sur les produits'!$A$3:$B$15000,2,FALSE),"")</f>
        <v/>
      </c>
    </row>
    <row r="16145" spans="7:18" x14ac:dyDescent="0.25">
      <c r="G16145" s="33"/>
      <c r="O16145" s="33"/>
      <c r="P16145" s="33"/>
      <c r="Q16145" s="31" t="str">
        <f t="shared" si="957"/>
        <v/>
      </c>
      <c r="R16145" s="32" t="str">
        <f>IFERROR(VLOOKUP($D16145,'Informations sur les produits'!$A$3:$B$15000,2,FALSE),"")</f>
        <v/>
      </c>
    </row>
    <row r="16146" spans="7:18" x14ac:dyDescent="0.25">
      <c r="G16146" s="33"/>
      <c r="O16146" s="33"/>
      <c r="P16146" s="33"/>
      <c r="Q16146" s="31" t="str">
        <f t="shared" si="957"/>
        <v/>
      </c>
      <c r="R16146" s="32" t="str">
        <f>IFERROR(VLOOKUP($D16146,'Informations sur les produits'!$A$3:$B$15000,2,FALSE),"")</f>
        <v/>
      </c>
    </row>
    <row r="16147" spans="7:18" x14ac:dyDescent="0.25">
      <c r="G16147" s="33"/>
      <c r="O16147" s="33"/>
      <c r="P16147" s="33"/>
      <c r="Q16147" s="31" t="str">
        <f t="shared" si="957"/>
        <v/>
      </c>
      <c r="R16147" s="32" t="str">
        <f>IFERROR(VLOOKUP($D16147,'Informations sur les produits'!$A$3:$B$15000,2,FALSE),"")</f>
        <v/>
      </c>
    </row>
    <row r="16148" spans="7:18" x14ac:dyDescent="0.25">
      <c r="G16148" s="33"/>
      <c r="O16148" s="33"/>
      <c r="P16148" s="33"/>
      <c r="Q16148" s="31" t="str">
        <f t="shared" si="957"/>
        <v/>
      </c>
      <c r="R16148" s="32" t="str">
        <f>IFERROR(VLOOKUP($D16148,'Informations sur les produits'!$A$3:$B$15000,2,FALSE),"")</f>
        <v/>
      </c>
    </row>
    <row r="16149" spans="7:18" x14ac:dyDescent="0.25">
      <c r="G16149" s="33"/>
      <c r="O16149" s="33"/>
      <c r="P16149" s="33"/>
      <c r="Q16149" s="31" t="str">
        <f t="shared" si="957"/>
        <v/>
      </c>
      <c r="R16149" s="32" t="str">
        <f>IFERROR(VLOOKUP($D16149,'Informations sur les produits'!$A$3:$B$15000,2,FALSE),"")</f>
        <v/>
      </c>
    </row>
    <row r="16150" spans="7:18" x14ac:dyDescent="0.25">
      <c r="G16150" s="33"/>
      <c r="O16150" s="33"/>
      <c r="P16150" s="33"/>
      <c r="Q16150" s="31" t="str">
        <f t="shared" si="957"/>
        <v/>
      </c>
      <c r="R16150" s="32" t="str">
        <f>IFERROR(VLOOKUP($D16150,'Informations sur les produits'!$A$3:$B$15000,2,FALSE),"")</f>
        <v/>
      </c>
    </row>
    <row r="16151" spans="7:18" x14ac:dyDescent="0.25">
      <c r="G16151" s="33"/>
      <c r="O16151" s="33"/>
      <c r="P16151" s="33"/>
      <c r="Q16151" s="31" t="str">
        <f t="shared" si="957"/>
        <v/>
      </c>
      <c r="R16151" s="32" t="str">
        <f>IFERROR(VLOOKUP($D16151,'Informations sur les produits'!$A$3:$B$15000,2,FALSE),"")</f>
        <v/>
      </c>
    </row>
    <row r="16152" spans="7:18" x14ac:dyDescent="0.25">
      <c r="G16152" s="33"/>
      <c r="O16152" s="33"/>
      <c r="P16152" s="33"/>
      <c r="Q16152" s="31" t="str">
        <f t="shared" si="957"/>
        <v/>
      </c>
      <c r="R16152" s="32" t="str">
        <f>IFERROR(VLOOKUP($D16152,'Informations sur les produits'!$A$3:$B$15000,2,FALSE),"")</f>
        <v/>
      </c>
    </row>
    <row r="16153" spans="7:18" x14ac:dyDescent="0.25">
      <c r="G16153" s="33"/>
      <c r="O16153" s="33"/>
      <c r="P16153" s="33"/>
      <c r="Q16153" s="31" t="str">
        <f t="shared" si="957"/>
        <v/>
      </c>
      <c r="R16153" s="32" t="str">
        <f>IFERROR(VLOOKUP($D16153,'Informations sur les produits'!$A$3:$B$15000,2,FALSE),"")</f>
        <v/>
      </c>
    </row>
    <row r="16154" spans="7:18" x14ac:dyDescent="0.25">
      <c r="G16154" s="33"/>
      <c r="O16154" s="33"/>
      <c r="P16154" s="33"/>
      <c r="Q16154" s="31" t="str">
        <f t="shared" si="957"/>
        <v/>
      </c>
      <c r="R16154" s="32" t="str">
        <f>IFERROR(VLOOKUP($D16154,'Informations sur les produits'!$A$3:$B$15000,2,FALSE),"")</f>
        <v/>
      </c>
    </row>
    <row r="16155" spans="7:18" x14ac:dyDescent="0.25">
      <c r="G16155" s="33"/>
      <c r="O16155" s="33"/>
      <c r="P16155" s="33"/>
      <c r="Q16155" s="31" t="str">
        <f t="shared" si="957"/>
        <v/>
      </c>
      <c r="R16155" s="32" t="str">
        <f>IFERROR(VLOOKUP($D16155,'Informations sur les produits'!$A$3:$B$15000,2,FALSE),"")</f>
        <v/>
      </c>
    </row>
    <row r="16156" spans="7:18" x14ac:dyDescent="0.25">
      <c r="G16156" s="33"/>
      <c r="O16156" s="33"/>
      <c r="P16156" s="33"/>
      <c r="Q16156" s="31" t="str">
        <f t="shared" si="957"/>
        <v/>
      </c>
      <c r="R16156" s="32" t="str">
        <f>IFERROR(VLOOKUP($D16156,'Informations sur les produits'!$A$3:$B$15000,2,FALSE),"")</f>
        <v/>
      </c>
    </row>
    <row r="16157" spans="7:18" x14ac:dyDescent="0.25">
      <c r="G16157" s="33"/>
      <c r="O16157" s="33"/>
      <c r="P16157" s="33"/>
      <c r="Q16157" s="31" t="str">
        <f t="shared" si="957"/>
        <v/>
      </c>
      <c r="R16157" s="32" t="str">
        <f>IFERROR(VLOOKUP($D16157,'Informations sur les produits'!$A$3:$B$15000,2,FALSE),"")</f>
        <v/>
      </c>
    </row>
    <row r="16158" spans="7:18" x14ac:dyDescent="0.25">
      <c r="G16158" s="33"/>
      <c r="O16158" s="33"/>
      <c r="P16158" s="33"/>
      <c r="Q16158" s="31" t="str">
        <f t="shared" si="957"/>
        <v/>
      </c>
      <c r="R16158" s="32" t="str">
        <f>IFERROR(VLOOKUP($D16158,'Informations sur les produits'!$A$3:$B$15000,2,FALSE),"")</f>
        <v/>
      </c>
    </row>
    <row r="16159" spans="7:18" x14ac:dyDescent="0.25">
      <c r="G16159" s="33"/>
      <c r="O16159" s="33"/>
      <c r="P16159" s="33"/>
      <c r="Q16159" s="31" t="str">
        <f t="shared" si="957"/>
        <v/>
      </c>
      <c r="R16159" s="32" t="str">
        <f>IFERROR(VLOOKUP($D16159,'Informations sur les produits'!$A$3:$B$15000,2,FALSE),"")</f>
        <v/>
      </c>
    </row>
    <row r="16160" spans="7:18" x14ac:dyDescent="0.25">
      <c r="G16160" s="33"/>
      <c r="O16160" s="33"/>
      <c r="P16160" s="33"/>
      <c r="Q16160" s="31" t="str">
        <f t="shared" si="957"/>
        <v/>
      </c>
      <c r="R16160" s="32" t="str">
        <f>IFERROR(VLOOKUP($D16160,'Informations sur les produits'!$A$3:$B$15000,2,FALSE),"")</f>
        <v/>
      </c>
    </row>
    <row r="16161" spans="7:18" x14ac:dyDescent="0.25">
      <c r="G16161" s="33"/>
      <c r="O16161" s="33"/>
      <c r="P16161" s="33"/>
      <c r="Q16161" s="31" t="str">
        <f t="shared" si="957"/>
        <v/>
      </c>
      <c r="R16161" s="32" t="str">
        <f>IFERROR(VLOOKUP($D16161,'Informations sur les produits'!$A$3:$B$15000,2,FALSE),"")</f>
        <v/>
      </c>
    </row>
    <row r="16162" spans="7:18" x14ac:dyDescent="0.25">
      <c r="G16162" s="33"/>
      <c r="O16162" s="33"/>
      <c r="P16162" s="33"/>
      <c r="Q16162" s="31" t="str">
        <f t="shared" si="957"/>
        <v/>
      </c>
      <c r="R16162" s="32" t="str">
        <f>IFERROR(VLOOKUP($D16162,'Informations sur les produits'!$A$3:$B$15000,2,FALSE),"")</f>
        <v/>
      </c>
    </row>
    <row r="16163" spans="7:18" x14ac:dyDescent="0.25">
      <c r="G16163" s="33"/>
      <c r="O16163" s="33"/>
      <c r="P16163" s="33"/>
      <c r="Q16163" s="31" t="str">
        <f t="shared" si="957"/>
        <v/>
      </c>
      <c r="R16163" s="32" t="str">
        <f>IFERROR(VLOOKUP($D16163,'Informations sur les produits'!$A$3:$B$15000,2,FALSE),"")</f>
        <v/>
      </c>
    </row>
    <row r="16164" spans="7:18" x14ac:dyDescent="0.25">
      <c r="G16164" s="33"/>
      <c r="O16164" s="33"/>
      <c r="P16164" s="33"/>
      <c r="Q16164" s="31" t="str">
        <f t="shared" si="957"/>
        <v/>
      </c>
      <c r="R16164" s="32" t="str">
        <f>IFERROR(VLOOKUP($D16164,'Informations sur les produits'!$A$3:$B$15000,2,FALSE),"")</f>
        <v/>
      </c>
    </row>
    <row r="16165" spans="7:18" x14ac:dyDescent="0.25">
      <c r="G16165" s="33"/>
      <c r="O16165" s="33"/>
      <c r="P16165" s="33"/>
      <c r="Q16165" s="31" t="str">
        <f t="shared" si="957"/>
        <v/>
      </c>
      <c r="R16165" s="32" t="str">
        <f>IFERROR(VLOOKUP($D16165,'Informations sur les produits'!$A$3:$B$15000,2,FALSE),"")</f>
        <v/>
      </c>
    </row>
    <row r="16166" spans="7:18" x14ac:dyDescent="0.25">
      <c r="G16166" s="33"/>
      <c r="O16166" s="33"/>
      <c r="P16166" s="33"/>
      <c r="Q16166" s="31" t="str">
        <f t="shared" si="957"/>
        <v/>
      </c>
      <c r="R16166" s="32" t="str">
        <f>IFERROR(VLOOKUP($D16166,'Informations sur les produits'!$A$3:$B$15000,2,FALSE),"")</f>
        <v/>
      </c>
    </row>
    <row r="16167" spans="7:18" x14ac:dyDescent="0.25">
      <c r="G16167" s="33"/>
      <c r="O16167" s="33"/>
      <c r="P16167" s="33"/>
      <c r="Q16167" s="31" t="str">
        <f t="shared" si="957"/>
        <v/>
      </c>
      <c r="R16167" s="32" t="str">
        <f>IFERROR(VLOOKUP($D16167,'Informations sur les produits'!$A$3:$B$15000,2,FALSE),"")</f>
        <v/>
      </c>
    </row>
    <row r="16168" spans="7:18" x14ac:dyDescent="0.25">
      <c r="G16168" s="33"/>
      <c r="O16168" s="33"/>
      <c r="P16168" s="33"/>
      <c r="Q16168" s="31" t="str">
        <f t="shared" si="957"/>
        <v/>
      </c>
      <c r="R16168" s="32" t="str">
        <f>IFERROR(VLOOKUP($D16168,'Informations sur les produits'!$A$3:$B$15000,2,FALSE),"")</f>
        <v/>
      </c>
    </row>
    <row r="16169" spans="7:18" x14ac:dyDescent="0.25">
      <c r="G16169" s="33"/>
      <c r="O16169" s="33"/>
      <c r="P16169" s="33"/>
      <c r="Q16169" s="31" t="str">
        <f t="shared" si="957"/>
        <v/>
      </c>
      <c r="R16169" s="32" t="str">
        <f>IFERROR(VLOOKUP($D16169,'Informations sur les produits'!$A$3:$B$15000,2,FALSE),"")</f>
        <v/>
      </c>
    </row>
    <row r="16170" spans="7:18" x14ac:dyDescent="0.25">
      <c r="G16170" s="33"/>
      <c r="O16170" s="33"/>
      <c r="P16170" s="33"/>
      <c r="Q16170" s="31" t="str">
        <f t="shared" si="957"/>
        <v/>
      </c>
      <c r="R16170" s="32" t="str">
        <f>IFERROR(VLOOKUP($D16170,'Informations sur les produits'!$A$3:$B$15000,2,FALSE),"")</f>
        <v/>
      </c>
    </row>
    <row r="16171" spans="7:18" x14ac:dyDescent="0.25">
      <c r="G16171" s="33"/>
      <c r="O16171" s="33"/>
      <c r="P16171" s="33"/>
      <c r="Q16171" s="31" t="str">
        <f t="shared" si="957"/>
        <v/>
      </c>
      <c r="R16171" s="32" t="str">
        <f>IFERROR(VLOOKUP($D16171,'Informations sur les produits'!$A$3:$B$15000,2,FALSE),"")</f>
        <v/>
      </c>
    </row>
    <row r="16172" spans="7:18" x14ac:dyDescent="0.25">
      <c r="G16172" s="33"/>
      <c r="O16172" s="33"/>
      <c r="P16172" s="33"/>
      <c r="Q16172" s="31" t="str">
        <f t="shared" si="957"/>
        <v/>
      </c>
      <c r="R16172" s="32" t="str">
        <f>IFERROR(VLOOKUP($D16172,'Informations sur les produits'!$A$3:$B$15000,2,FALSE),"")</f>
        <v/>
      </c>
    </row>
    <row r="16173" spans="7:18" x14ac:dyDescent="0.25">
      <c r="G16173" s="33"/>
      <c r="O16173" s="33"/>
      <c r="P16173" s="33"/>
      <c r="Q16173" s="31" t="str">
        <f t="shared" si="957"/>
        <v/>
      </c>
      <c r="R16173" s="32" t="str">
        <f>IFERROR(VLOOKUP($D16173,'Informations sur les produits'!$A$3:$B$15000,2,FALSE),"")</f>
        <v/>
      </c>
    </row>
    <row r="16174" spans="7:18" x14ac:dyDescent="0.25">
      <c r="G16174" s="33"/>
      <c r="O16174" s="33"/>
      <c r="P16174" s="33"/>
      <c r="Q16174" s="31" t="str">
        <f t="shared" si="957"/>
        <v/>
      </c>
      <c r="R16174" s="32" t="str">
        <f>IFERROR(VLOOKUP($D16174,'Informations sur les produits'!$A$3:$B$15000,2,FALSE),"")</f>
        <v/>
      </c>
    </row>
    <row r="16175" spans="7:18" x14ac:dyDescent="0.25">
      <c r="G16175" s="33"/>
      <c r="O16175" s="33"/>
      <c r="P16175" s="33"/>
      <c r="Q16175" s="31" t="str">
        <f t="shared" si="957"/>
        <v/>
      </c>
      <c r="R16175" s="32" t="str">
        <f>IFERROR(VLOOKUP($D16175,'Informations sur les produits'!$A$3:$B$15000,2,FALSE),"")</f>
        <v/>
      </c>
    </row>
    <row r="16176" spans="7:18" x14ac:dyDescent="0.25">
      <c r="G16176" s="33"/>
      <c r="O16176" s="33"/>
      <c r="P16176" s="33"/>
      <c r="Q16176" s="31" t="str">
        <f t="shared" si="957"/>
        <v/>
      </c>
      <c r="R16176" s="32" t="str">
        <f>IFERROR(VLOOKUP($D16176,'Informations sur les produits'!$A$3:$B$15000,2,FALSE),"")</f>
        <v/>
      </c>
    </row>
    <row r="16177" spans="7:18" x14ac:dyDescent="0.25">
      <c r="G16177" s="33"/>
      <c r="O16177" s="33"/>
      <c r="P16177" s="33"/>
      <c r="Q16177" s="31" t="str">
        <f t="shared" si="957"/>
        <v/>
      </c>
      <c r="R16177" s="32" t="str">
        <f>IFERROR(VLOOKUP($D16177,'Informations sur les produits'!$A$3:$B$15000,2,FALSE),"")</f>
        <v/>
      </c>
    </row>
    <row r="16178" spans="7:18" x14ac:dyDescent="0.25">
      <c r="G16178" s="33"/>
      <c r="O16178" s="33"/>
      <c r="P16178" s="33"/>
      <c r="Q16178" s="31" t="str">
        <f t="shared" si="957"/>
        <v/>
      </c>
      <c r="R16178" s="32" t="str">
        <f>IFERROR(VLOOKUP($D16178,'Informations sur les produits'!$A$3:$B$15000,2,FALSE),"")</f>
        <v/>
      </c>
    </row>
    <row r="16179" spans="7:18" x14ac:dyDescent="0.25">
      <c r="G16179" s="33"/>
      <c r="O16179" s="33"/>
      <c r="P16179" s="33"/>
      <c r="Q16179" s="31" t="str">
        <f t="shared" si="957"/>
        <v/>
      </c>
      <c r="R16179" s="32" t="str">
        <f>IFERROR(VLOOKUP($D16179,'Informations sur les produits'!$A$3:$B$15000,2,FALSE),"")</f>
        <v/>
      </c>
    </row>
    <row r="16180" spans="7:18" x14ac:dyDescent="0.25">
      <c r="G16180" s="33"/>
      <c r="O16180" s="33"/>
      <c r="P16180" s="33"/>
      <c r="Q16180" s="31" t="str">
        <f t="shared" si="957"/>
        <v/>
      </c>
      <c r="R16180" s="32" t="str">
        <f>IFERROR(VLOOKUP($D16180,'Informations sur les produits'!$A$3:$B$15000,2,FALSE),"")</f>
        <v/>
      </c>
    </row>
    <row r="16181" spans="7:18" x14ac:dyDescent="0.25">
      <c r="G16181" s="33"/>
      <c r="O16181" s="33"/>
      <c r="P16181" s="33"/>
      <c r="Q16181" s="31" t="str">
        <f t="shared" si="957"/>
        <v/>
      </c>
      <c r="R16181" s="32" t="str">
        <f>IFERROR(VLOOKUP($D16181,'Informations sur les produits'!$A$3:$B$15000,2,FALSE),"")</f>
        <v/>
      </c>
    </row>
    <row r="16182" spans="7:18" x14ac:dyDescent="0.25">
      <c r="G16182" s="33"/>
      <c r="O16182" s="33"/>
      <c r="P16182" s="33"/>
      <c r="Q16182" s="31" t="str">
        <f t="shared" si="957"/>
        <v/>
      </c>
      <c r="R16182" s="32" t="str">
        <f>IFERROR(VLOOKUP($D16182,'Informations sur les produits'!$A$3:$B$15000,2,FALSE),"")</f>
        <v/>
      </c>
    </row>
    <row r="16183" spans="7:18" x14ac:dyDescent="0.25">
      <c r="G16183" s="33"/>
      <c r="O16183" s="33"/>
      <c r="P16183" s="33"/>
      <c r="Q16183" s="31" t="str">
        <f t="shared" si="957"/>
        <v/>
      </c>
      <c r="R16183" s="32" t="str">
        <f>IFERROR(VLOOKUP($D16183,'Informations sur les produits'!$A$3:$B$15000,2,FALSE),"")</f>
        <v/>
      </c>
    </row>
    <row r="16184" spans="7:18" x14ac:dyDescent="0.25">
      <c r="G16184" s="33"/>
      <c r="O16184" s="33"/>
      <c r="P16184" s="33"/>
      <c r="Q16184" s="31" t="str">
        <f t="shared" si="957"/>
        <v/>
      </c>
      <c r="R16184" s="32" t="str">
        <f>IFERROR(VLOOKUP($D16184,'Informations sur les produits'!$A$3:$B$15000,2,FALSE),"")</f>
        <v/>
      </c>
    </row>
    <row r="16185" spans="7:18" x14ac:dyDescent="0.25">
      <c r="G16185" s="33"/>
      <c r="O16185" s="33"/>
      <c r="P16185" s="33"/>
      <c r="Q16185" s="31" t="str">
        <f t="shared" si="957"/>
        <v/>
      </c>
      <c r="R16185" s="32" t="str">
        <f>IFERROR(VLOOKUP($D16185,'Informations sur les produits'!$A$3:$B$15000,2,FALSE),"")</f>
        <v/>
      </c>
    </row>
    <row r="16186" spans="7:18" x14ac:dyDescent="0.25">
      <c r="G16186" s="33"/>
      <c r="O16186" s="33"/>
      <c r="P16186" s="33"/>
      <c r="Q16186" s="31" t="str">
        <f t="shared" si="957"/>
        <v/>
      </c>
      <c r="R16186" s="32" t="str">
        <f>IFERROR(VLOOKUP($D16186,'Informations sur les produits'!$A$3:$B$15000,2,FALSE),"")</f>
        <v/>
      </c>
    </row>
    <row r="16187" spans="7:18" x14ac:dyDescent="0.25">
      <c r="G16187" s="33"/>
      <c r="O16187" s="33"/>
      <c r="P16187" s="33"/>
      <c r="Q16187" s="31" t="str">
        <f t="shared" si="957"/>
        <v/>
      </c>
      <c r="R16187" s="32" t="str">
        <f>IFERROR(VLOOKUP($D16187,'Informations sur les produits'!$A$3:$B$15000,2,FALSE),"")</f>
        <v/>
      </c>
    </row>
    <row r="16188" spans="7:18" x14ac:dyDescent="0.25">
      <c r="G16188" s="33"/>
      <c r="O16188" s="33"/>
      <c r="P16188" s="33"/>
      <c r="Q16188" s="31" t="str">
        <f t="shared" si="957"/>
        <v/>
      </c>
      <c r="R16188" s="32" t="str">
        <f>IFERROR(VLOOKUP($D16188,'Informations sur les produits'!$A$3:$B$15000,2,FALSE),"")</f>
        <v/>
      </c>
    </row>
    <row r="16189" spans="7:18" x14ac:dyDescent="0.25">
      <c r="G16189" s="33"/>
      <c r="O16189" s="33"/>
      <c r="P16189" s="33"/>
      <c r="Q16189" s="31" t="str">
        <f t="shared" si="957"/>
        <v/>
      </c>
      <c r="R16189" s="32" t="str">
        <f>IFERROR(VLOOKUP($D16189,'Informations sur les produits'!$A$3:$B$15000,2,FALSE),"")</f>
        <v/>
      </c>
    </row>
    <row r="16190" spans="7:18" x14ac:dyDescent="0.25">
      <c r="G16190" s="33"/>
      <c r="O16190" s="33"/>
      <c r="P16190" s="33"/>
      <c r="Q16190" s="31" t="str">
        <f t="shared" si="957"/>
        <v/>
      </c>
      <c r="R16190" s="32" t="str">
        <f>IFERROR(VLOOKUP($D16190,'Informations sur les produits'!$A$3:$B$15000,2,FALSE),"")</f>
        <v/>
      </c>
    </row>
    <row r="16191" spans="7:18" x14ac:dyDescent="0.25">
      <c r="G16191" s="33"/>
      <c r="O16191" s="33"/>
      <c r="P16191" s="33"/>
      <c r="Q16191" s="31" t="str">
        <f t="shared" si="957"/>
        <v/>
      </c>
      <c r="R16191" s="32" t="str">
        <f>IFERROR(VLOOKUP($D16191,'Informations sur les produits'!$A$3:$B$15000,2,FALSE),"")</f>
        <v/>
      </c>
    </row>
    <row r="16192" spans="7:18" x14ac:dyDescent="0.25">
      <c r="G16192" s="33"/>
      <c r="O16192" s="33"/>
      <c r="P16192" s="33"/>
      <c r="Q16192" s="31" t="str">
        <f t="shared" si="957"/>
        <v/>
      </c>
      <c r="R16192" s="32" t="str">
        <f>IFERROR(VLOOKUP($D16192,'Informations sur les produits'!$A$3:$B$15000,2,FALSE),"")</f>
        <v/>
      </c>
    </row>
    <row r="16193" spans="7:18" x14ac:dyDescent="0.25">
      <c r="G16193" s="33"/>
      <c r="O16193" s="33"/>
      <c r="P16193" s="33"/>
      <c r="Q16193" s="31" t="str">
        <f t="shared" si="957"/>
        <v/>
      </c>
      <c r="R16193" s="32" t="str">
        <f>IFERROR(VLOOKUP($D16193,'Informations sur les produits'!$A$3:$B$15000,2,FALSE),"")</f>
        <v/>
      </c>
    </row>
    <row r="16194" spans="7:18" x14ac:dyDescent="0.25">
      <c r="G16194" s="33"/>
      <c r="O16194" s="33"/>
      <c r="P16194" s="33"/>
      <c r="Q16194" s="31" t="str">
        <f t="shared" si="957"/>
        <v/>
      </c>
      <c r="R16194" s="32" t="str">
        <f>IFERROR(VLOOKUP($D16194,'Informations sur les produits'!$A$3:$B$15000,2,FALSE),"")</f>
        <v/>
      </c>
    </row>
    <row r="16195" spans="7:18" x14ac:dyDescent="0.25">
      <c r="G16195" s="33"/>
      <c r="O16195" s="33"/>
      <c r="P16195" s="33"/>
      <c r="Q16195" s="31" t="str">
        <f t="shared" si="957"/>
        <v/>
      </c>
      <c r="R16195" s="32" t="str">
        <f>IFERROR(VLOOKUP($D16195,'Informations sur les produits'!$A$3:$B$15000,2,FALSE),"")</f>
        <v/>
      </c>
    </row>
    <row r="16196" spans="7:18" x14ac:dyDescent="0.25">
      <c r="G16196" s="33"/>
      <c r="O16196" s="33"/>
      <c r="P16196" s="33"/>
      <c r="Q16196" s="31" t="str">
        <f t="shared" ref="Q16196:Q16224" si="958">IFERROR((((($E16196-$F16196)*$G16196+$K16196*$L16196+$N16196*$O16196)*1000)/(($E16196-$F16196)+$K16196+$N16196)),"")</f>
        <v/>
      </c>
      <c r="R16196" s="32" t="str">
        <f>IFERROR(VLOOKUP($D16196,'Informations sur les produits'!$A$3:$B$15000,2,FALSE),"")</f>
        <v/>
      </c>
    </row>
    <row r="16197" spans="7:18" x14ac:dyDescent="0.25">
      <c r="G16197" s="33"/>
      <c r="O16197" s="33"/>
      <c r="P16197" s="33"/>
      <c r="Q16197" s="31" t="str">
        <f t="shared" si="958"/>
        <v/>
      </c>
      <c r="R16197" s="32" t="str">
        <f>IFERROR(VLOOKUP($D16197,'Informations sur les produits'!$A$3:$B$15000,2,FALSE),"")</f>
        <v/>
      </c>
    </row>
    <row r="16198" spans="7:18" x14ac:dyDescent="0.25">
      <c r="G16198" s="33"/>
      <c r="O16198" s="33"/>
      <c r="P16198" s="33"/>
      <c r="Q16198" s="31" t="str">
        <f t="shared" si="958"/>
        <v/>
      </c>
      <c r="R16198" s="32" t="str">
        <f>IFERROR(VLOOKUP($D16198,'Informations sur les produits'!$A$3:$B$15000,2,FALSE),"")</f>
        <v/>
      </c>
    </row>
    <row r="16199" spans="7:18" x14ac:dyDescent="0.25">
      <c r="G16199" s="33"/>
      <c r="O16199" s="33"/>
      <c r="P16199" s="33"/>
      <c r="Q16199" s="31" t="str">
        <f t="shared" si="958"/>
        <v/>
      </c>
      <c r="R16199" s="32" t="str">
        <f>IFERROR(VLOOKUP($D16199,'Informations sur les produits'!$A$3:$B$15000,2,FALSE),"")</f>
        <v/>
      </c>
    </row>
    <row r="16200" spans="7:18" x14ac:dyDescent="0.25">
      <c r="G16200" s="33"/>
      <c r="O16200" s="33"/>
      <c r="P16200" s="33"/>
      <c r="Q16200" s="31" t="str">
        <f t="shared" si="958"/>
        <v/>
      </c>
      <c r="R16200" s="32" t="str">
        <f>IFERROR(VLOOKUP($D16200,'Informations sur les produits'!$A$3:$B$15000,2,FALSE),"")</f>
        <v/>
      </c>
    </row>
    <row r="16201" spans="7:18" x14ac:dyDescent="0.25">
      <c r="G16201" s="33"/>
      <c r="O16201" s="33"/>
      <c r="P16201" s="33"/>
      <c r="Q16201" s="31" t="str">
        <f t="shared" si="958"/>
        <v/>
      </c>
      <c r="R16201" s="32" t="str">
        <f>IFERROR(VLOOKUP($D16201,'Informations sur les produits'!$A$3:$B$15000,2,FALSE),"")</f>
        <v/>
      </c>
    </row>
    <row r="16202" spans="7:18" x14ac:dyDescent="0.25">
      <c r="G16202" s="33"/>
      <c r="O16202" s="33"/>
      <c r="P16202" s="33"/>
      <c r="Q16202" s="31" t="str">
        <f t="shared" si="958"/>
        <v/>
      </c>
      <c r="R16202" s="32" t="str">
        <f>IFERROR(VLOOKUP($D16202,'Informations sur les produits'!$A$3:$B$15000,2,FALSE),"")</f>
        <v/>
      </c>
    </row>
    <row r="16203" spans="7:18" x14ac:dyDescent="0.25">
      <c r="G16203" s="33"/>
      <c r="O16203" s="33"/>
      <c r="P16203" s="33"/>
      <c r="Q16203" s="31" t="str">
        <f t="shared" si="958"/>
        <v/>
      </c>
      <c r="R16203" s="32" t="str">
        <f>IFERROR(VLOOKUP($D16203,'Informations sur les produits'!$A$3:$B$15000,2,FALSE),"")</f>
        <v/>
      </c>
    </row>
    <row r="16204" spans="7:18" x14ac:dyDescent="0.25">
      <c r="G16204" s="33"/>
      <c r="O16204" s="33"/>
      <c r="P16204" s="33"/>
      <c r="Q16204" s="31" t="str">
        <f t="shared" si="958"/>
        <v/>
      </c>
      <c r="R16204" s="32" t="str">
        <f>IFERROR(VLOOKUP($D16204,'Informations sur les produits'!$A$3:$B$15000,2,FALSE),"")</f>
        <v/>
      </c>
    </row>
    <row r="16205" spans="7:18" x14ac:dyDescent="0.25">
      <c r="G16205" s="33"/>
      <c r="O16205" s="33"/>
      <c r="P16205" s="33"/>
      <c r="Q16205" s="31" t="str">
        <f t="shared" si="958"/>
        <v/>
      </c>
      <c r="R16205" s="32" t="str">
        <f>IFERROR(VLOOKUP($D16205,'Informations sur les produits'!$A$3:$B$15000,2,FALSE),"")</f>
        <v/>
      </c>
    </row>
    <row r="16206" spans="7:18" x14ac:dyDescent="0.25">
      <c r="G16206" s="33"/>
      <c r="O16206" s="33"/>
      <c r="P16206" s="33"/>
      <c r="Q16206" s="31" t="str">
        <f t="shared" si="958"/>
        <v/>
      </c>
      <c r="R16206" s="32" t="str">
        <f>IFERROR(VLOOKUP($D16206,'Informations sur les produits'!$A$3:$B$15000,2,FALSE),"")</f>
        <v/>
      </c>
    </row>
    <row r="16207" spans="7:18" x14ac:dyDescent="0.25">
      <c r="G16207" s="33"/>
      <c r="O16207" s="33"/>
      <c r="P16207" s="33"/>
      <c r="Q16207" s="31" t="str">
        <f t="shared" si="958"/>
        <v/>
      </c>
      <c r="R16207" s="32" t="str">
        <f>IFERROR(VLOOKUP($D16207,'Informations sur les produits'!$A$3:$B$15000,2,FALSE),"")</f>
        <v/>
      </c>
    </row>
    <row r="16208" spans="7:18" x14ac:dyDescent="0.25">
      <c r="G16208" s="33"/>
      <c r="O16208" s="33"/>
      <c r="P16208" s="33"/>
      <c r="Q16208" s="31" t="str">
        <f t="shared" si="958"/>
        <v/>
      </c>
      <c r="R16208" s="32" t="str">
        <f>IFERROR(VLOOKUP($D16208,'Informations sur les produits'!$A$3:$B$15000,2,FALSE),"")</f>
        <v/>
      </c>
    </row>
    <row r="16209" spans="7:18" x14ac:dyDescent="0.25">
      <c r="G16209" s="33"/>
      <c r="O16209" s="33"/>
      <c r="P16209" s="33"/>
      <c r="Q16209" s="31" t="str">
        <f t="shared" si="958"/>
        <v/>
      </c>
      <c r="R16209" s="32" t="str">
        <f>IFERROR(VLOOKUP($D16209,'Informations sur les produits'!$A$3:$B$15000,2,FALSE),"")</f>
        <v/>
      </c>
    </row>
    <row r="16210" spans="7:18" x14ac:dyDescent="0.25">
      <c r="G16210" s="33"/>
      <c r="O16210" s="33"/>
      <c r="P16210" s="33"/>
      <c r="Q16210" s="31" t="str">
        <f t="shared" si="958"/>
        <v/>
      </c>
      <c r="R16210" s="32" t="str">
        <f>IFERROR(VLOOKUP($D16210,'Informations sur les produits'!$A$3:$B$15000,2,FALSE),"")</f>
        <v/>
      </c>
    </row>
    <row r="16211" spans="7:18" x14ac:dyDescent="0.25">
      <c r="G16211" s="33"/>
      <c r="O16211" s="33"/>
      <c r="P16211" s="33"/>
      <c r="Q16211" s="31" t="str">
        <f t="shared" si="958"/>
        <v/>
      </c>
      <c r="R16211" s="32" t="str">
        <f>IFERROR(VLOOKUP($D16211,'Informations sur les produits'!$A$3:$B$15000,2,FALSE),"")</f>
        <v/>
      </c>
    </row>
    <row r="16212" spans="7:18" x14ac:dyDescent="0.25">
      <c r="G16212" s="33"/>
      <c r="O16212" s="33"/>
      <c r="P16212" s="33"/>
      <c r="Q16212" s="31" t="str">
        <f t="shared" si="958"/>
        <v/>
      </c>
      <c r="R16212" s="32" t="str">
        <f>IFERROR(VLOOKUP($D16212,'Informations sur les produits'!$A$3:$B$15000,2,FALSE),"")</f>
        <v/>
      </c>
    </row>
    <row r="16213" spans="7:18" x14ac:dyDescent="0.25">
      <c r="G16213" s="33"/>
      <c r="O16213" s="33"/>
      <c r="P16213" s="33"/>
      <c r="Q16213" s="31" t="str">
        <f t="shared" si="958"/>
        <v/>
      </c>
      <c r="R16213" s="32" t="str">
        <f>IFERROR(VLOOKUP($D16213,'Informations sur les produits'!$A$3:$B$15000,2,FALSE),"")</f>
        <v/>
      </c>
    </row>
    <row r="16214" spans="7:18" x14ac:dyDescent="0.25">
      <c r="G16214" s="33"/>
      <c r="O16214" s="33"/>
      <c r="P16214" s="33"/>
      <c r="Q16214" s="31" t="str">
        <f t="shared" si="958"/>
        <v/>
      </c>
      <c r="R16214" s="32" t="str">
        <f>IFERROR(VLOOKUP($D16214,'Informations sur les produits'!$A$3:$B$15000,2,FALSE),"")</f>
        <v/>
      </c>
    </row>
    <row r="16215" spans="7:18" x14ac:dyDescent="0.25">
      <c r="G16215" s="33"/>
      <c r="O16215" s="33"/>
      <c r="P16215" s="33"/>
      <c r="Q16215" s="31" t="str">
        <f t="shared" si="958"/>
        <v/>
      </c>
      <c r="R16215" s="32" t="str">
        <f>IFERROR(VLOOKUP($D16215,'Informations sur les produits'!$A$3:$B$15000,2,FALSE),"")</f>
        <v/>
      </c>
    </row>
    <row r="16216" spans="7:18" x14ac:dyDescent="0.25">
      <c r="G16216" s="33"/>
      <c r="O16216" s="33"/>
      <c r="P16216" s="33"/>
      <c r="Q16216" s="31" t="str">
        <f t="shared" si="958"/>
        <v/>
      </c>
      <c r="R16216" s="32" t="str">
        <f>IFERROR(VLOOKUP($D16216,'Informations sur les produits'!$A$3:$B$15000,2,FALSE),"")</f>
        <v/>
      </c>
    </row>
    <row r="16217" spans="7:18" x14ac:dyDescent="0.25">
      <c r="G16217" s="33"/>
      <c r="O16217" s="33"/>
      <c r="P16217" s="33"/>
      <c r="Q16217" s="31" t="str">
        <f t="shared" si="958"/>
        <v/>
      </c>
      <c r="R16217" s="32" t="str">
        <f>IFERROR(VLOOKUP($D16217,'Informations sur les produits'!$A$3:$B$15000,2,FALSE),"")</f>
        <v/>
      </c>
    </row>
    <row r="16218" spans="7:18" x14ac:dyDescent="0.25">
      <c r="G16218" s="33"/>
      <c r="O16218" s="33"/>
      <c r="P16218" s="33"/>
      <c r="Q16218" s="31" t="str">
        <f t="shared" si="958"/>
        <v/>
      </c>
      <c r="R16218" s="32" t="str">
        <f>IFERROR(VLOOKUP($D16218,'Informations sur les produits'!$A$3:$B$15000,2,FALSE),"")</f>
        <v/>
      </c>
    </row>
    <row r="16219" spans="7:18" x14ac:dyDescent="0.25">
      <c r="G16219" s="33"/>
      <c r="O16219" s="33"/>
      <c r="P16219" s="33"/>
      <c r="Q16219" s="31" t="str">
        <f t="shared" si="958"/>
        <v/>
      </c>
      <c r="R16219" s="32" t="str">
        <f>IFERROR(VLOOKUP($D16219,'Informations sur les produits'!$A$3:$B$15000,2,FALSE),"")</f>
        <v/>
      </c>
    </row>
    <row r="16220" spans="7:18" x14ac:dyDescent="0.25">
      <c r="G16220" s="33"/>
      <c r="O16220" s="33"/>
      <c r="P16220" s="33"/>
      <c r="Q16220" s="31" t="str">
        <f t="shared" si="958"/>
        <v/>
      </c>
      <c r="R16220" s="32" t="str">
        <f>IFERROR(VLOOKUP($D16220,'Informations sur les produits'!$A$3:$B$15000,2,FALSE),"")</f>
        <v/>
      </c>
    </row>
    <row r="16221" spans="7:18" x14ac:dyDescent="0.25">
      <c r="G16221" s="33"/>
      <c r="O16221" s="33"/>
      <c r="P16221" s="33"/>
      <c r="Q16221" s="31" t="str">
        <f t="shared" si="958"/>
        <v/>
      </c>
      <c r="R16221" s="32" t="str">
        <f>IFERROR(VLOOKUP($D16221,'Informations sur les produits'!$A$3:$B$15000,2,FALSE),"")</f>
        <v/>
      </c>
    </row>
    <row r="16222" spans="7:18" x14ac:dyDescent="0.25">
      <c r="G16222" s="33"/>
      <c r="O16222" s="33"/>
      <c r="P16222" s="33"/>
      <c r="Q16222" s="31" t="str">
        <f t="shared" si="958"/>
        <v/>
      </c>
      <c r="R16222" s="32" t="str">
        <f>IFERROR(VLOOKUP($D16222,'Informations sur les produits'!$A$3:$B$15000,2,FALSE),"")</f>
        <v/>
      </c>
    </row>
    <row r="16223" spans="7:18" x14ac:dyDescent="0.25">
      <c r="G16223" s="33"/>
      <c r="O16223" s="33"/>
      <c r="P16223" s="33"/>
      <c r="Q16223" s="31" t="str">
        <f t="shared" si="958"/>
        <v/>
      </c>
      <c r="R16223" s="32" t="str">
        <f>IFERROR(VLOOKUP($D16223,'Informations sur les produits'!$A$3:$B$15000,2,FALSE),"")</f>
        <v/>
      </c>
    </row>
    <row r="16224" spans="7:18" x14ac:dyDescent="0.25">
      <c r="G16224" s="33"/>
      <c r="O16224" s="33"/>
      <c r="P16224" s="33"/>
      <c r="Q16224" s="31" t="str">
        <f t="shared" si="958"/>
        <v/>
      </c>
      <c r="R16224" s="32" t="str">
        <f>IFERROR(VLOOKUP($D16224,'Informations sur les produits'!$A$3:$B$15000,2,FALSE),"")</f>
        <v/>
      </c>
    </row>
  </sheetData>
  <sheetProtection algorithmName="SHA-512" hashValue="g/rJBc/1X8p8kTso/8kTvJ/SdDmP7rVKTNStqOL24USfpqzJ9mrUmjwop4vp6qC2kk2u0O1UP8uB1CsPF/g58g==" saltValue="00kllZhPrw0q2sWdhwXrRQ==" spinCount="100000" sheet="1" objects="1" scenarios="1"/>
  <mergeCells count="19">
    <mergeCell ref="A1:C1"/>
    <mergeCell ref="J1:J2"/>
    <mergeCell ref="K1:K2"/>
    <mergeCell ref="L1:L2"/>
    <mergeCell ref="M1:M2"/>
    <mergeCell ref="D1:D2"/>
    <mergeCell ref="E1:E2"/>
    <mergeCell ref="F1:F2"/>
    <mergeCell ref="G1:G2"/>
    <mergeCell ref="H1:H2"/>
    <mergeCell ref="I1:I2"/>
    <mergeCell ref="N1:N2"/>
    <mergeCell ref="O1:O2"/>
    <mergeCell ref="S1:S2"/>
    <mergeCell ref="V1:V2"/>
    <mergeCell ref="W1:W2"/>
    <mergeCell ref="P1:P2"/>
    <mergeCell ref="Q1:Q2"/>
    <mergeCell ref="R1:R2"/>
  </mergeCells>
  <conditionalFormatting sqref="A3:A15000">
    <cfRule type="expression" dxfId="37" priority="1">
      <formula>OR(AND(OR(A3=29,A3=30,A3=31),B3="février",OR(C3=2026,C3=2027,C3=2029,C3=2030,C3=2025)), AND(A3=30, B3="février"),AND(A3=31,OR(B3="février",B3="avril",B3="juin",B3="septembre",B3="novembre")))</formula>
    </cfRule>
  </conditionalFormatting>
  <conditionalFormatting sqref="F3:F15000">
    <cfRule type="expression" dxfId="36" priority="3">
      <formula>$F3&gt;$E3</formula>
    </cfRule>
  </conditionalFormatting>
  <dataValidations count="5">
    <dataValidation type="list" allowBlank="1" showInputMessage="1" showErrorMessage="1" sqref="H3:H1048576" xr:uid="{00000000-0002-0000-0200-000000000000}">
      <formula1>"oui,non"</formula1>
    </dataValidation>
    <dataValidation type="list" allowBlank="1" showInputMessage="1" showErrorMessage="1" sqref="I3:I1048576" xr:uid="{00000000-0002-0000-0200-000001000000}">
      <formula1>"1,2"</formula1>
    </dataValidation>
    <dataValidation type="list" allowBlank="1" showInputMessage="1" showErrorMessage="1" sqref="A3:A1048576" xr:uid="{00000000-0002-0000-0200-000002000000}">
      <formula1>"1,2,3,4,5,6,7,8,9,10,11,12,13,14,15,16,17,18,19,20,21,22,23,24,25,26,27,28,29,30,31"</formula1>
    </dataValidation>
    <dataValidation type="list" allowBlank="1" showInputMessage="1" showErrorMessage="1" sqref="B3:B1048576" xr:uid="{00000000-0002-0000-0200-000003000000}">
      <formula1>"janvier,février,mars,avril,mai,juin,juillet,août,septembre,octobre,novembre,décembre"</formula1>
    </dataValidation>
    <dataValidation type="list" allowBlank="1" showInputMessage="1" showErrorMessage="1" sqref="C1 C3:C1048576" xr:uid="{0CB0405E-0D0E-4208-9E40-579EC360184F}">
      <formula1>"2025,2026,2027,2028,2029,2030"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'Informations sur les produits'!$A$3:$A$4998</xm:f>
          </x14:formula1>
          <xm:sqref>M3:M1048576</xm:sqref>
        </x14:dataValidation>
        <x14:dataValidation type="list" allowBlank="1" showInputMessage="1" showErrorMessage="1" xr:uid="{00000000-0002-0000-0200-000006000000}">
          <x14:formula1>
            <xm:f>'Informations sur les produits'!$A$3:$A$4997</xm:f>
          </x14:formula1>
          <xm:sqref>J3:J1048576 D3:D1048576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69"/>
  <sheetViews>
    <sheetView workbookViewId="0">
      <selection activeCell="I5" sqref="I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33</v>
      </c>
      <c r="B2" s="57"/>
      <c r="C2" s="57"/>
      <c r="D2" s="58"/>
      <c r="F2" s="59" t="s">
        <v>66</v>
      </c>
      <c r="G2" s="60"/>
      <c r="H2" s="60"/>
      <c r="I2" s="60"/>
      <c r="J2" s="60"/>
      <c r="K2" s="60"/>
      <c r="L2" s="60"/>
      <c r="M2" s="60"/>
      <c r="N2" s="60"/>
      <c r="O2" s="60"/>
      <c r="P2" s="60"/>
      <c r="Q2" s="60"/>
      <c r="R2" s="60"/>
      <c r="S2" s="61"/>
    </row>
    <row r="3" spans="1:19" x14ac:dyDescent="0.25">
      <c r="A3" s="62" t="s">
        <v>1</v>
      </c>
      <c r="B3" s="63"/>
      <c r="C3" s="63"/>
      <c r="D3" s="64" t="s">
        <v>5</v>
      </c>
      <c r="F3" s="66" t="s">
        <v>29</v>
      </c>
      <c r="G3" s="68" t="s">
        <v>34</v>
      </c>
      <c r="H3" s="70" t="s">
        <v>30</v>
      </c>
      <c r="I3" s="70"/>
      <c r="J3" s="70"/>
      <c r="K3" s="70"/>
      <c r="L3" s="70"/>
      <c r="M3" s="70"/>
      <c r="N3" s="70"/>
      <c r="O3" s="70"/>
      <c r="P3" s="70"/>
      <c r="Q3" s="70"/>
      <c r="R3" s="70"/>
      <c r="S3" s="71"/>
    </row>
    <row r="4" spans="1:19" ht="47.25" customHeight="1" thickBot="1" x14ac:dyDescent="0.3">
      <c r="A4" s="29"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30" t="s">
        <v>26</v>
      </c>
    </row>
    <row r="5" spans="1:19" x14ac:dyDescent="0.25">
      <c r="A5" s="15">
        <v>1</v>
      </c>
      <c r="B5" s="15" t="s">
        <v>15</v>
      </c>
      <c r="C5" s="15">
        <v>2025</v>
      </c>
      <c r="D5" s="39">
        <f>SUMIFS(Registre!$P$3:$P$15000,Registre!$A$3:$A$15000,1,Registre!$B$3:$B$15000,"janvier",Registre!$C$3:$C$15000,2025)</f>
        <v>0</v>
      </c>
      <c r="F5" s="27" t="s">
        <v>37</v>
      </c>
      <c r="G5" s="21">
        <v>730</v>
      </c>
      <c r="H5" s="35" t="str">
        <f>IFERROR(SUMIFS(Registre!$V$3:$V$15000,Registre!$B$3:$B$15000,"janvier",Registre!$R$3:$R$15000,$F5,Registre!$C$3:$C$15000,2025)/SUMIFS(Registre!$W$3:$W$15000,Registre!$B$3:$B$15000,"janvier",Registre!$R$3:$R$15000,$F5,Registre!$C$3:$C$15000,2025),"0")</f>
        <v>0</v>
      </c>
      <c r="I5" s="35" t="str">
        <f>IFERROR(SUMIFS(Registre!$V$3:$V$15000,Registre!$B$3:$B$15000,"février",Registre!$R$3:$R$15000,$F5,Registre!$C$3:$C$15000,2025)/SUMIFS(Registre!$W$3:$W$15000,Registre!$B$3:$B$15000,"février",Registre!$R$3:$R$15000,$F5,Registre!$C$3:$C$15000,2025),"0")</f>
        <v>0</v>
      </c>
      <c r="J5" s="35" t="str">
        <f>IFERROR(SUMIFS(Registre!$V$3:$V$15000,Registre!$B$3:$B$15000,"mars",Registre!$R$3:$R$15000,$F5,Registre!$C$3:$C$15000,2025)/SUMIFS(Registre!$W$3:$W$15000,Registre!$B$3:$B$15000,"mars",Registre!$R$3:$R$15000,$F5,Registre!$C$3:$C$15000,2025),"0")</f>
        <v>0</v>
      </c>
      <c r="K5" s="35" t="str">
        <f>IFERROR(SUMIFS(Registre!$V$3:$V$15000,Registre!$B$3:$B$15000,"avril",Registre!$R$3:$R$15000,$F5,Registre!$C$3:$C$15000,2025)/SUMIFS(Registre!$W$3:$W$15000,Registre!$B$3:$B$15000,"avril",Registre!$R$3:$R$15000,$F5,Registre!$C$3:$C$15000,2025),"0")</f>
        <v>0</v>
      </c>
      <c r="L5" s="35" t="str">
        <f>IFERROR(SUMIFS(Registre!$V$3:$V$15000,Registre!$B$3:$B$15000,"mai",Registre!$R$3:$R$15000,$F5,Registre!$C$3:$C$15000,2025)/SUMIFS(Registre!$W$3:$W$15000,Registre!$B$3:$B$15000,"mai",Registre!$R$3:$R$15000,$F5,Registre!$C$3:$C$15000,2025),"0")</f>
        <v>0</v>
      </c>
      <c r="M5" s="35" t="str">
        <f>IFERROR(SUMIFS(Registre!$V$3:$V$15000,Registre!$B$3:$B$15000,"juin",Registre!$R$3:$R$15000,$F5,Registre!$C$3:$C$15000,2025)/SUMIFS(Registre!$W$3:$W$15000,Registre!$B$3:$B$15000,"juin",Registre!$R$3:$R$15000,$F5,Registre!$C$3:$C$15000,2025),"0")</f>
        <v>0</v>
      </c>
      <c r="N5" s="35" t="str">
        <f>IFERROR(SUMIFS(Registre!$V$3:$V$15000,Registre!$B$3:$B$15000,"juillet",Registre!$R$3:$R$15000,$F5,Registre!$C$3:$C$15000,2025)/SUMIFS(Registre!$W$3:$W$15000,Registre!$B$3:$B$15000,"juillet",Registre!$R$3:$R$15000,$F5,Registre!$C$3:$C$15000,2025),"0")</f>
        <v>0</v>
      </c>
      <c r="O5" s="35" t="str">
        <f>IFERROR(SUMIFS(Registre!$V$3:$V$15000,Registre!$B$3:$B$15000,"août",Registre!$R$3:$R$15000,$F5,Registre!$C$3:$C$15000,2025)/SUMIFS(Registre!$W$3:$W$15000,Registre!$B$3:$B$15000,"août",Registre!$R$3:$R$15000,$F5,Registre!$C$3:$C$15000,2025),"0")</f>
        <v>0</v>
      </c>
      <c r="P5" s="35" t="str">
        <f>IFERROR(SUMIFS(Registre!$V$3:$V$15000,Registre!$B$3:$B$15000,"septembre",Registre!$R$3:$R$15000,$F5,Registre!$C$3:$C$15000,2025)/SUMIFS(Registre!$W$3:$W$15000,Registre!$B$3:$B$15000,"septembre",Registre!$R$3:$R$15000,$F5,Registre!$C$3:$C$15000,2025),"0")</f>
        <v>0</v>
      </c>
      <c r="Q5" s="35" t="str">
        <f>IFERROR(SUMIFS(Registre!$V$3:$V$15000,Registre!$B$3:$B$15000,"octobre",Registre!$R$3:$R$15000,$F5,Registre!$C$3:$C$15000,2025)/SUMIFS(Registre!$W$3:$W$15000,Registre!$B$3:$B$15000,"octobre",Registre!$R$3:$R$15000,$F5,Registre!$C$3:$C$15000,2025),"0")</f>
        <v>0</v>
      </c>
      <c r="R5" s="35" t="str">
        <f>IFERROR(SUMIFS(Registre!$V$3:$V$15000,Registre!$B$3:$B$15000,"novembre",Registre!$R$3:$R$15000,$F5,Registre!$C$3:$C$15000,2025)/SUMIFS(Registre!$W$3:$W$15000,Registre!$B$3:$B$15000,"novembre",Registre!$R$3:$R$15000,$F5,Registre!$C$3:$C$15000,2025),"0")</f>
        <v>0</v>
      </c>
      <c r="S5" s="36" t="str">
        <f>IFERROR(SUMIFS(Registre!$V$3:$V$15000,Registre!$B$3:$B$15000,"décembre",Registre!$R$3:$R$15000,$F5,Registre!$C$3:$C$15000,2025)/SUMIFS(Registre!$W$3:$W$15000,Registre!$B$3:$B$15000,"décembre",Registre!$R$3:$R$15000,$F5,Registre!$C$3:$C$15000,2025),"0")</f>
        <v>0</v>
      </c>
    </row>
    <row r="6" spans="1:19" x14ac:dyDescent="0.25">
      <c r="A6" s="10">
        <v>2</v>
      </c>
      <c r="B6" s="15" t="s">
        <v>15</v>
      </c>
      <c r="C6" s="10">
        <v>2025</v>
      </c>
      <c r="D6" s="40">
        <f>SUMIFS(Registre!$P$3:$P$15000,Registre!$A$3:$A$15000,2,Registre!$B$3:$B$15000,"janvier",Registre!$C$3:$C$15000,2025)</f>
        <v>0</v>
      </c>
      <c r="F6" s="25" t="s">
        <v>38</v>
      </c>
      <c r="G6" s="22">
        <v>760</v>
      </c>
      <c r="H6" s="35" t="str">
        <f>IFERROR(SUMIFS(Registre!$V$3:$V$15000,Registre!$B$3:$B$15000,"janvier",Registre!$R$3:$R$15000,$F6,Registre!$C$3:$C$15000,2025)/SUMIFS(Registre!$W$3:$W$15000,Registre!$B$3:$B$15000,"janvier",Registre!$R$3:$R$15000,$F6,Registre!$C$3:$C$15000,2025),"0")</f>
        <v>0</v>
      </c>
      <c r="I6" s="35" t="str">
        <f>IFERROR(SUMIFS(Registre!$V$3:$V$15000,Registre!$B$3:$B$15000,"février",Registre!$R$3:$R$15000,$F6,Registre!$C$3:$C$15000,2025)/SUMIFS(Registre!$W$3:$W$15000,Registre!$B$3:$B$15000,"février",Registre!$R$3:$R$15000,$F6,Registre!$C$3:$C$15000,2025),"0")</f>
        <v>0</v>
      </c>
      <c r="J6" s="35" t="str">
        <f>IFERROR(SUMIFS(Registre!$V$3:$V$15000,Registre!$B$3:$B$15000,"mars",Registre!$R$3:$R$15000,$F6,Registre!$C$3:$C$15000,2025)/SUMIFS(Registre!$W$3:$W$15000,Registre!$B$3:$B$15000,"mars",Registre!$R$3:$R$15000,$F6,Registre!$C$3:$C$15000,2025),"0")</f>
        <v>0</v>
      </c>
      <c r="K6" s="35" t="str">
        <f>IFERROR(SUMIFS(Registre!$V$3:$V$15000,Registre!$B$3:$B$15000,"avril",Registre!$R$3:$R$15000,$F6,Registre!$C$3:$C$15000,2025)/SUMIFS(Registre!$W$3:$W$15000,Registre!$B$3:$B$15000,"avril",Registre!$R$3:$R$15000,$F6,Registre!$C$3:$C$15000,2025),"0")</f>
        <v>0</v>
      </c>
      <c r="L6" s="35" t="str">
        <f>IFERROR(SUMIFS(Registre!$V$3:$V$15000,Registre!$B$3:$B$15000,"mai",Registre!$R$3:$R$15000,$F6,Registre!$C$3:$C$15000,2025)/SUMIFS(Registre!$W$3:$W$15000,Registre!$B$3:$B$15000,"mai",Registre!$R$3:$R$15000,$F6,Registre!$C$3:$C$15000,2025),"0")</f>
        <v>0</v>
      </c>
      <c r="M6" s="35" t="str">
        <f>IFERROR(SUMIFS(Registre!$V$3:$V$15000,Registre!$B$3:$B$15000,"juin",Registre!$R$3:$R$15000,$F6,Registre!$C$3:$C$15000,2025)/SUMIFS(Registre!$W$3:$W$15000,Registre!$B$3:$B$15000,"juin",Registre!$R$3:$R$15000,$F6,Registre!$C$3:$C$15000,2025),"0")</f>
        <v>0</v>
      </c>
      <c r="N6" s="35" t="str">
        <f>IFERROR(SUMIFS(Registre!$V$3:$V$15000,Registre!$B$3:$B$15000,"juillet",Registre!$R$3:$R$15000,$F6,Registre!$C$3:$C$15000,2025)/SUMIFS(Registre!$W$3:$W$15000,Registre!$B$3:$B$15000,"juillet",Registre!$R$3:$R$15000,$F6,Registre!$C$3:$C$15000,2025),"0")</f>
        <v>0</v>
      </c>
      <c r="O6" s="35" t="str">
        <f>IFERROR(SUMIFS(Registre!$V$3:$V$15000,Registre!$B$3:$B$15000,"août",Registre!$R$3:$R$15000,$F6,Registre!$C$3:$C$15000,2025)/SUMIFS(Registre!$W$3:$W$15000,Registre!$B$3:$B$15000,"août",Registre!$R$3:$R$15000,$F6,Registre!$C$3:$C$15000,2025),"0")</f>
        <v>0</v>
      </c>
      <c r="P6" s="35" t="str">
        <f>IFERROR(SUMIFS(Registre!$V$3:$V$15000,Registre!$B$3:$B$15000,"septembre",Registre!$R$3:$R$15000,$F6,Registre!$C$3:$C$15000,2025)/SUMIFS(Registre!$W$3:$W$15000,Registre!$B$3:$B$15000,"septembre",Registre!$R$3:$R$15000,$F6,Registre!$C$3:$C$15000,2025),"0")</f>
        <v>0</v>
      </c>
      <c r="Q6" s="35" t="str">
        <f>IFERROR(SUMIFS(Registre!$V$3:$V$15000,Registre!$B$3:$B$15000,"octobre",Registre!$R$3:$R$15000,$F6,Registre!$C$3:$C$15000,2025)/SUMIFS(Registre!$W$3:$W$15000,Registre!$B$3:$B$15000,"octobre",Registre!$R$3:$R$15000,$F6,Registre!$C$3:$C$15000,2025),"0")</f>
        <v>0</v>
      </c>
      <c r="R6" s="35" t="str">
        <f>IFERROR(SUMIFS(Registre!$V$3:$V$15000,Registre!$B$3:$B$15000,"novembre",Registre!$R$3:$R$15000,$F6,Registre!$C$3:$C$15000,2025)/SUMIFS(Registre!$W$3:$W$15000,Registre!$B$3:$B$15000,"novembre",Registre!$R$3:$R$15000,$F6,Registre!$C$3:$C$15000,2025),"0")</f>
        <v>0</v>
      </c>
      <c r="S6" s="36" t="str">
        <f>IFERROR(SUMIFS(Registre!$V$3:$V$15000,Registre!$B$3:$B$15000,"décembre",Registre!$R$3:$R$15000,$F6,Registre!$C$3:$C$15000,2025)/SUMIFS(Registre!$W$3:$W$15000,Registre!$B$3:$B$15000,"décembre",Registre!$R$3:$R$15000,$F6,Registre!$C$3:$C$15000,2025),"0")</f>
        <v>0</v>
      </c>
    </row>
    <row r="7" spans="1:19" x14ac:dyDescent="0.25">
      <c r="A7" s="10">
        <v>3</v>
      </c>
      <c r="B7" s="15" t="s">
        <v>15</v>
      </c>
      <c r="C7" s="10">
        <v>2025</v>
      </c>
      <c r="D7" s="40">
        <f>SUMIFS(Registre!$P$3:$P$15000,Registre!$A$3:$A$15000,3,Registre!$B$3:$B$15000,"janvier",Registre!$C$3:$C$15000,2025)</f>
        <v>0</v>
      </c>
      <c r="F7" s="25" t="s">
        <v>39</v>
      </c>
      <c r="G7" s="22">
        <v>780</v>
      </c>
      <c r="H7" s="35" t="str">
        <f>IFERROR(SUMIFS(Registre!$V$3:$V$15000,Registre!$B$3:$B$15000,"janvier",Registre!$R$3:$R$15000,$F7,Registre!$C$3:$C$15000,2025)/SUMIFS(Registre!$W$3:$W$15000,Registre!$B$3:$B$15000,"janvier",Registre!$R$3:$R$15000,$F7,Registre!$C$3:$C$15000,2025),"0")</f>
        <v>0</v>
      </c>
      <c r="I7" s="35" t="str">
        <f>IFERROR(SUMIFS(Registre!$V$3:$V$15000,Registre!$B$3:$B$15000,"février",Registre!$R$3:$R$15000,$F7,Registre!$C$3:$C$15000,2025)/SUMIFS(Registre!$W$3:$W$15000,Registre!$B$3:$B$15000,"février",Registre!$R$3:$R$15000,$F7,Registre!$C$3:$C$15000,2025),"0")</f>
        <v>0</v>
      </c>
      <c r="J7" s="35" t="str">
        <f>IFERROR(SUMIFS(Registre!$V$3:$V$15000,Registre!$B$3:$B$15000,"mars",Registre!$R$3:$R$15000,$F7,Registre!$C$3:$C$15000,2025)/SUMIFS(Registre!$W$3:$W$15000,Registre!$B$3:$B$15000,"mars",Registre!$R$3:$R$15000,$F7,Registre!$C$3:$C$15000,2025),"0")</f>
        <v>0</v>
      </c>
      <c r="K7" s="35" t="str">
        <f>IFERROR(SUMIFS(Registre!$V$3:$V$15000,Registre!$B$3:$B$15000,"avril",Registre!$R$3:$R$15000,$F7,Registre!$C$3:$C$15000,2025)/SUMIFS(Registre!$W$3:$W$15000,Registre!$B$3:$B$15000,"avril",Registre!$R$3:$R$15000,$F7,Registre!$C$3:$C$15000,2025),"0")</f>
        <v>0</v>
      </c>
      <c r="L7" s="35" t="str">
        <f>IFERROR(SUMIFS(Registre!$V$3:$V$15000,Registre!$B$3:$B$15000,"mai",Registre!$R$3:$R$15000,$F7,Registre!$C$3:$C$15000,2025)/SUMIFS(Registre!$W$3:$W$15000,Registre!$B$3:$B$15000,"mai",Registre!$R$3:$R$15000,$F7,Registre!$C$3:$C$15000,2025),"0")</f>
        <v>0</v>
      </c>
      <c r="M7" s="35" t="str">
        <f>IFERROR(SUMIFS(Registre!$V$3:$V$15000,Registre!$B$3:$B$15000,"juin",Registre!$R$3:$R$15000,$F7,Registre!$C$3:$C$15000,2025)/SUMIFS(Registre!$W$3:$W$15000,Registre!$B$3:$B$15000,"juin",Registre!$R$3:$R$15000,$F7,Registre!$C$3:$C$15000,2025),"0")</f>
        <v>0</v>
      </c>
      <c r="N7" s="35" t="str">
        <f>IFERROR(SUMIFS(Registre!$V$3:$V$15000,Registre!$B$3:$B$15000,"juillet",Registre!$R$3:$R$15000,$F7,Registre!$C$3:$C$15000,2025)/SUMIFS(Registre!$W$3:$W$15000,Registre!$B$3:$B$15000,"juillet",Registre!$R$3:$R$15000,$F7,Registre!$C$3:$C$15000,2025),"0")</f>
        <v>0</v>
      </c>
      <c r="O7" s="35" t="str">
        <f>IFERROR(SUMIFS(Registre!$V$3:$V$15000,Registre!$B$3:$B$15000,"août",Registre!$R$3:$R$15000,$F7,Registre!$C$3:$C$15000,2025)/SUMIFS(Registre!$W$3:$W$15000,Registre!$B$3:$B$15000,"août",Registre!$R$3:$R$15000,$F7,Registre!$C$3:$C$15000,2025),"0")</f>
        <v>0</v>
      </c>
      <c r="P7" s="35" t="str">
        <f>IFERROR(SUMIFS(Registre!$V$3:$V$15000,Registre!$B$3:$B$15000,"septembre",Registre!$R$3:$R$15000,$F7,Registre!$C$3:$C$15000,2025)/SUMIFS(Registre!$W$3:$W$15000,Registre!$B$3:$B$15000,"septembre",Registre!$R$3:$R$15000,$F7,Registre!$C$3:$C$15000,2025),"0")</f>
        <v>0</v>
      </c>
      <c r="Q7" s="35" t="str">
        <f>IFERROR(SUMIFS(Registre!$V$3:$V$15000,Registre!$B$3:$B$15000,"octobre",Registre!$R$3:$R$15000,$F7,Registre!$C$3:$C$15000,2025)/SUMIFS(Registre!$W$3:$W$15000,Registre!$B$3:$B$15000,"octobre",Registre!$R$3:$R$15000,$F7,Registre!$C$3:$C$15000,2025),"0")</f>
        <v>0</v>
      </c>
      <c r="R7" s="35" t="str">
        <f>IFERROR(SUMIFS(Registre!$V$3:$V$15000,Registre!$B$3:$B$15000,"novembre",Registre!$R$3:$R$15000,$F7,Registre!$C$3:$C$15000,2025)/SUMIFS(Registre!$W$3:$W$15000,Registre!$B$3:$B$15000,"novembre",Registre!$R$3:$R$15000,$F7,Registre!$C$3:$C$15000,2025),"0")</f>
        <v>0</v>
      </c>
      <c r="S7" s="36" t="str">
        <f>IFERROR(SUMIFS(Registre!$V$3:$V$15000,Registre!$B$3:$B$15000,"décembre",Registre!$R$3:$R$15000,$F7,Registre!$C$3:$C$15000,2025)/SUMIFS(Registre!$W$3:$W$15000,Registre!$B$3:$B$15000,"décembre",Registre!$R$3:$R$15000,$F7,Registre!$C$3:$C$15000,2025),"0")</f>
        <v>0</v>
      </c>
    </row>
    <row r="8" spans="1:19" x14ac:dyDescent="0.25">
      <c r="A8" s="10">
        <v>4</v>
      </c>
      <c r="B8" s="15" t="s">
        <v>15</v>
      </c>
      <c r="C8" s="10">
        <v>2025</v>
      </c>
      <c r="D8" s="40">
        <f>SUMIFS(Registre!$P$3:$P$15000,Registre!$A$3:$A$15000,4,Registre!$B$3:$B$15000,"janvier",Registre!$C$3:$C$15000,2025)</f>
        <v>0</v>
      </c>
      <c r="F8" s="25" t="s">
        <v>40</v>
      </c>
      <c r="G8" s="22">
        <v>480</v>
      </c>
      <c r="H8" s="35" t="str">
        <f>IFERROR(SUMIFS(Registre!$V$3:$V$15000,Registre!$B$3:$B$15000,"janvier",Registre!$R$3:$R$15000,$F8,Registre!$C$3:$C$15000,2025)/SUMIFS(Registre!$W$3:$W$15000,Registre!$B$3:$B$15000,"janvier",Registre!$R$3:$R$15000,$F8,Registre!$C$3:$C$15000,2025),"0")</f>
        <v>0</v>
      </c>
      <c r="I8" s="35" t="str">
        <f>IFERROR(SUMIFS(Registre!$V$3:$V$15000,Registre!$B$3:$B$15000,"février",Registre!$R$3:$R$15000,$F8,Registre!$C$3:$C$15000,2025)/SUMIFS(Registre!$W$3:$W$15000,Registre!$B$3:$B$15000,"février",Registre!$R$3:$R$15000,$F8,Registre!$C$3:$C$15000,2025),"0")</f>
        <v>0</v>
      </c>
      <c r="J8" s="35" t="str">
        <f>IFERROR(SUMIFS(Registre!$V$3:$V$15000,Registre!$B$3:$B$15000,"mars",Registre!$R$3:$R$15000,$F8,Registre!$C$3:$C$15000,2025)/SUMIFS(Registre!$W$3:$W$15000,Registre!$B$3:$B$15000,"mars",Registre!$R$3:$R$15000,$F8,Registre!$C$3:$C$15000,2025),"0")</f>
        <v>0</v>
      </c>
      <c r="K8" s="35" t="str">
        <f>IFERROR(SUMIFS(Registre!$V$3:$V$15000,Registre!$B$3:$B$15000,"avril",Registre!$R$3:$R$15000,$F8,Registre!$C$3:$C$15000,2025)/SUMIFS(Registre!$W$3:$W$15000,Registre!$B$3:$B$15000,"avril",Registre!$R$3:$R$15000,$F8,Registre!$C$3:$C$15000,2025),"0")</f>
        <v>0</v>
      </c>
      <c r="L8" s="35" t="str">
        <f>IFERROR(SUMIFS(Registre!$V$3:$V$15000,Registre!$B$3:$B$15000,"mai",Registre!$R$3:$R$15000,$F8,Registre!$C$3:$C$15000,2025)/SUMIFS(Registre!$W$3:$W$15000,Registre!$B$3:$B$15000,"mai",Registre!$R$3:$R$15000,$F8,Registre!$C$3:$C$15000,2025),"0")</f>
        <v>0</v>
      </c>
      <c r="M8" s="35" t="str">
        <f>IFERROR(SUMIFS(Registre!$V$3:$V$15000,Registre!$B$3:$B$15000,"juin",Registre!$R$3:$R$15000,$F8,Registre!$C$3:$C$15000,2025)/SUMIFS(Registre!$W$3:$W$15000,Registre!$B$3:$B$15000,"juin",Registre!$R$3:$R$15000,$F8,Registre!$C$3:$C$15000,2025),"0")</f>
        <v>0</v>
      </c>
      <c r="N8" s="35" t="str">
        <f>IFERROR(SUMIFS(Registre!$V$3:$V$15000,Registre!$B$3:$B$15000,"juillet",Registre!$R$3:$R$15000,$F8,Registre!$C$3:$C$15000,2025)/SUMIFS(Registre!$W$3:$W$15000,Registre!$B$3:$B$15000,"juillet",Registre!$R$3:$R$15000,$F8,Registre!$C$3:$C$15000,2025),"0")</f>
        <v>0</v>
      </c>
      <c r="O8" s="35" t="str">
        <f>IFERROR(SUMIFS(Registre!$V$3:$V$15000,Registre!$B$3:$B$15000,"août",Registre!$R$3:$R$15000,$F8,Registre!$C$3:$C$15000,2025)/SUMIFS(Registre!$W$3:$W$15000,Registre!$B$3:$B$15000,"août",Registre!$R$3:$R$15000,$F8,Registre!$C$3:$C$15000,2025),"0")</f>
        <v>0</v>
      </c>
      <c r="P8" s="35" t="str">
        <f>IFERROR(SUMIFS(Registre!$V$3:$V$15000,Registre!$B$3:$B$15000,"septembre",Registre!$R$3:$R$15000,$F8,Registre!$C$3:$C$15000,2025)/SUMIFS(Registre!$W$3:$W$15000,Registre!$B$3:$B$15000,"septembre",Registre!$R$3:$R$15000,$F8,Registre!$C$3:$C$15000,2025),"0")</f>
        <v>0</v>
      </c>
      <c r="Q8" s="35" t="str">
        <f>IFERROR(SUMIFS(Registre!$V$3:$V$15000,Registre!$B$3:$B$15000,"octobre",Registre!$R$3:$R$15000,$F8,Registre!$C$3:$C$15000,2025)/SUMIFS(Registre!$W$3:$W$15000,Registre!$B$3:$B$15000,"octobre",Registre!$R$3:$R$15000,$F8,Registre!$C$3:$C$15000,2025),"0")</f>
        <v>0</v>
      </c>
      <c r="R8" s="35" t="str">
        <f>IFERROR(SUMIFS(Registre!$V$3:$V$15000,Registre!$B$3:$B$15000,"novembre",Registre!$R$3:$R$15000,$F8,Registre!$C$3:$C$15000,2025)/SUMIFS(Registre!$W$3:$W$15000,Registre!$B$3:$B$15000,"novembre",Registre!$R$3:$R$15000,$F8,Registre!$C$3:$C$15000,2025),"0")</f>
        <v>0</v>
      </c>
      <c r="S8" s="36" t="str">
        <f>IFERROR(SUMIFS(Registre!$V$3:$V$15000,Registre!$B$3:$B$15000,"décembre",Registre!$R$3:$R$15000,$F8,Registre!$C$3:$C$15000,2025)/SUMIFS(Registre!$W$3:$W$15000,Registre!$B$3:$B$15000,"décembre",Registre!$R$3:$R$15000,$F8,Registre!$C$3:$C$15000,2025),"0")</f>
        <v>0</v>
      </c>
    </row>
    <row r="9" spans="1:19" x14ac:dyDescent="0.25">
      <c r="A9" s="10">
        <v>5</v>
      </c>
      <c r="B9" s="15" t="s">
        <v>15</v>
      </c>
      <c r="C9" s="10">
        <v>2025</v>
      </c>
      <c r="D9" s="40">
        <f>SUMIFS(Registre!$P$3:$P$15000,Registre!$A$3:$A$15000,5,Registre!$B$3:$B$15000,"janvier",Registre!$C$3:$C$15000,2025)</f>
        <v>0</v>
      </c>
      <c r="F9" s="25" t="s">
        <v>41</v>
      </c>
      <c r="G9" s="22">
        <v>670</v>
      </c>
      <c r="H9" s="35" t="str">
        <f>IFERROR(SUMIFS(Registre!$V$3:$V$15000,Registre!$B$3:$B$15000,"janvier",Registre!$R$3:$R$15000,$F9,Registre!$C$3:$C$15000,2025)/SUMIFS(Registre!$W$3:$W$15000,Registre!$B$3:$B$15000,"janvier",Registre!$R$3:$R$15000,$F9,Registre!$C$3:$C$15000,2025),"0")</f>
        <v>0</v>
      </c>
      <c r="I9" s="35" t="str">
        <f>IFERROR(SUMIFS(Registre!$V$3:$V$15000,Registre!$B$3:$B$15000,"février",Registre!$R$3:$R$15000,$F9,Registre!$C$3:$C$15000,2025)/SUMIFS(Registre!$W$3:$W$15000,Registre!$B$3:$B$15000,"février",Registre!$R$3:$R$15000,$F9,Registre!$C$3:$C$15000,2025),"0")</f>
        <v>0</v>
      </c>
      <c r="J9" s="35" t="str">
        <f>IFERROR(SUMIFS(Registre!$V$3:$V$15000,Registre!$B$3:$B$15000,"mars",Registre!$R$3:$R$15000,$F9,Registre!$C$3:$C$15000,2025)/SUMIFS(Registre!$W$3:$W$15000,Registre!$B$3:$B$15000,"mars",Registre!$R$3:$R$15000,$F9,Registre!$C$3:$C$15000,2025),"0")</f>
        <v>0</v>
      </c>
      <c r="K9" s="35" t="str">
        <f>IFERROR(SUMIFS(Registre!$V$3:$V$15000,Registre!$B$3:$B$15000,"avril",Registre!$R$3:$R$15000,$F9,Registre!$C$3:$C$15000,2025)/SUMIFS(Registre!$W$3:$W$15000,Registre!$B$3:$B$15000,"avril",Registre!$R$3:$R$15000,$F9,Registre!$C$3:$C$15000,2025),"0")</f>
        <v>0</v>
      </c>
      <c r="L9" s="35" t="str">
        <f>IFERROR(SUMIFS(Registre!$V$3:$V$15000,Registre!$B$3:$B$15000,"mai",Registre!$R$3:$R$15000,$F9,Registre!$C$3:$C$15000,2025)/SUMIFS(Registre!$W$3:$W$15000,Registre!$B$3:$B$15000,"mai",Registre!$R$3:$R$15000,$F9,Registre!$C$3:$C$15000,2025),"0")</f>
        <v>0</v>
      </c>
      <c r="M9" s="35" t="str">
        <f>IFERROR(SUMIFS(Registre!$V$3:$V$15000,Registre!$B$3:$B$15000,"juin",Registre!$R$3:$R$15000,$F9,Registre!$C$3:$C$15000,2025)/SUMIFS(Registre!$W$3:$W$15000,Registre!$B$3:$B$15000,"juin",Registre!$R$3:$R$15000,$F9,Registre!$C$3:$C$15000,2025),"0")</f>
        <v>0</v>
      </c>
      <c r="N9" s="35" t="str">
        <f>IFERROR(SUMIFS(Registre!$V$3:$V$15000,Registre!$B$3:$B$15000,"juillet",Registre!$R$3:$R$15000,$F9,Registre!$C$3:$C$15000,2025)/SUMIFS(Registre!$W$3:$W$15000,Registre!$B$3:$B$15000,"juillet",Registre!$R$3:$R$15000,$F9,Registre!$C$3:$C$15000,2025),"0")</f>
        <v>0</v>
      </c>
      <c r="O9" s="35" t="str">
        <f>IFERROR(SUMIFS(Registre!$V$3:$V$15000,Registre!$B$3:$B$15000,"août",Registre!$R$3:$R$15000,$F9,Registre!$C$3:$C$15000,2025)/SUMIFS(Registre!$W$3:$W$15000,Registre!$B$3:$B$15000,"août",Registre!$R$3:$R$15000,$F9,Registre!$C$3:$C$15000,2025),"0")</f>
        <v>0</v>
      </c>
      <c r="P9" s="35" t="str">
        <f>IFERROR(SUMIFS(Registre!$V$3:$V$15000,Registre!$B$3:$B$15000,"septembre",Registre!$R$3:$R$15000,$F9,Registre!$C$3:$C$15000,2025)/SUMIFS(Registre!$W$3:$W$15000,Registre!$B$3:$B$15000,"septembre",Registre!$R$3:$R$15000,$F9,Registre!$C$3:$C$15000,2025),"0")</f>
        <v>0</v>
      </c>
      <c r="Q9" s="35" t="str">
        <f>IFERROR(SUMIFS(Registre!$V$3:$V$15000,Registre!$B$3:$B$15000,"octobre",Registre!$R$3:$R$15000,$F9,Registre!$C$3:$C$15000,2025)/SUMIFS(Registre!$W$3:$W$15000,Registre!$B$3:$B$15000,"octobre",Registre!$R$3:$R$15000,$F9,Registre!$C$3:$C$15000,2025),"0")</f>
        <v>0</v>
      </c>
      <c r="R9" s="35" t="str">
        <f>IFERROR(SUMIFS(Registre!$V$3:$V$15000,Registre!$B$3:$B$15000,"novembre",Registre!$R$3:$R$15000,$F9,Registre!$C$3:$C$15000,2025)/SUMIFS(Registre!$W$3:$W$15000,Registre!$B$3:$B$15000,"novembre",Registre!$R$3:$R$15000,$F9,Registre!$C$3:$C$15000,2025),"0")</f>
        <v>0</v>
      </c>
      <c r="S9" s="36" t="str">
        <f>IFERROR(SUMIFS(Registre!$V$3:$V$15000,Registre!$B$3:$B$15000,"décembre",Registre!$R$3:$R$15000,$F9,Registre!$C$3:$C$15000,2025)/SUMIFS(Registre!$W$3:$W$15000,Registre!$B$3:$B$15000,"décembre",Registre!$R$3:$R$15000,$F9,Registre!$C$3:$C$15000,2025),"0")</f>
        <v>0</v>
      </c>
    </row>
    <row r="10" spans="1:19" x14ac:dyDescent="0.25">
      <c r="A10" s="10">
        <v>6</v>
      </c>
      <c r="B10" s="15" t="s">
        <v>15</v>
      </c>
      <c r="C10" s="10">
        <v>2025</v>
      </c>
      <c r="D10" s="40">
        <f>SUMIFS(Registre!$P$3:$P$15000,Registre!$A$3:$A$15000,6,Registre!$B$3:$B$15000,"janvier",Registre!$C$3:$C$15000,2025)</f>
        <v>0</v>
      </c>
      <c r="F10" s="25" t="s">
        <v>42</v>
      </c>
      <c r="G10" s="22">
        <v>600</v>
      </c>
      <c r="H10" s="35" t="str">
        <f>IFERROR(SUMIFS(Registre!$V$3:$V$15000,Registre!$B$3:$B$15000,"janvier",Registre!$R$3:$R$15000,$F10,Registre!$C$3:$C$15000,2025)/SUMIFS(Registre!$W$3:$W$15000,Registre!$B$3:$B$15000,"janvier",Registre!$R$3:$R$15000,$F10,Registre!$C$3:$C$15000,2025),"0")</f>
        <v>0</v>
      </c>
      <c r="I10" s="35" t="str">
        <f>IFERROR(SUMIFS(Registre!$V$3:$V$15000,Registre!$B$3:$B$15000,"février",Registre!$R$3:$R$15000,$F10,Registre!$C$3:$C$15000,2025)/SUMIFS(Registre!$W$3:$W$15000,Registre!$B$3:$B$15000,"février",Registre!$R$3:$R$15000,$F10,Registre!$C$3:$C$15000,2025),"0")</f>
        <v>0</v>
      </c>
      <c r="J10" s="35" t="str">
        <f>IFERROR(SUMIFS(Registre!$V$3:$V$15000,Registre!$B$3:$B$15000,"mars",Registre!$R$3:$R$15000,$F10,Registre!$C$3:$C$15000,2025)/SUMIFS(Registre!$W$3:$W$15000,Registre!$B$3:$B$15000,"mars",Registre!$R$3:$R$15000,$F10,Registre!$C$3:$C$15000,2025),"0")</f>
        <v>0</v>
      </c>
      <c r="K10" s="35" t="str">
        <f>IFERROR(SUMIFS(Registre!$V$3:$V$15000,Registre!$B$3:$B$15000,"avril",Registre!$R$3:$R$15000,$F10,Registre!$C$3:$C$15000,2025)/SUMIFS(Registre!$W$3:$W$15000,Registre!$B$3:$B$15000,"avril",Registre!$R$3:$R$15000,$F10,Registre!$C$3:$C$15000,2025),"0")</f>
        <v>0</v>
      </c>
      <c r="L10" s="35" t="str">
        <f>IFERROR(SUMIFS(Registre!$V$3:$V$15000,Registre!$B$3:$B$15000,"mai",Registre!$R$3:$R$15000,$F10,Registre!$C$3:$C$15000,2025)/SUMIFS(Registre!$W$3:$W$15000,Registre!$B$3:$B$15000,"mai",Registre!$R$3:$R$15000,$F10,Registre!$C$3:$C$15000,2025),"0")</f>
        <v>0</v>
      </c>
      <c r="M10" s="35" t="str">
        <f>IFERROR(SUMIFS(Registre!$V$3:$V$15000,Registre!$B$3:$B$15000,"juin",Registre!$R$3:$R$15000,$F10,Registre!$C$3:$C$15000,2025)/SUMIFS(Registre!$W$3:$W$15000,Registre!$B$3:$B$15000,"juin",Registre!$R$3:$R$15000,$F10,Registre!$C$3:$C$15000,2025),"0")</f>
        <v>0</v>
      </c>
      <c r="N10" s="35" t="str">
        <f>IFERROR(SUMIFS(Registre!$V$3:$V$15000,Registre!$B$3:$B$15000,"juillet",Registre!$R$3:$R$15000,$F10,Registre!$C$3:$C$15000,2025)/SUMIFS(Registre!$W$3:$W$15000,Registre!$B$3:$B$15000,"juillet",Registre!$R$3:$R$15000,$F10,Registre!$C$3:$C$15000,2025),"0")</f>
        <v>0</v>
      </c>
      <c r="O10" s="35" t="str">
        <f>IFERROR(SUMIFS(Registre!$V$3:$V$15000,Registre!$B$3:$B$15000,"août",Registre!$R$3:$R$15000,$F10,Registre!$C$3:$C$15000,2025)/SUMIFS(Registre!$W$3:$W$15000,Registre!$B$3:$B$15000,"août",Registre!$R$3:$R$15000,$F10,Registre!$C$3:$C$15000,2025),"0")</f>
        <v>0</v>
      </c>
      <c r="P10" s="35" t="str">
        <f>IFERROR(SUMIFS(Registre!$V$3:$V$15000,Registre!$B$3:$B$15000,"septembre",Registre!$R$3:$R$15000,$F10,Registre!$C$3:$C$15000,2025)/SUMIFS(Registre!$W$3:$W$15000,Registre!$B$3:$B$15000,"septembre",Registre!$R$3:$R$15000,$F10,Registre!$C$3:$C$15000,2025),"0")</f>
        <v>0</v>
      </c>
      <c r="Q10" s="35" t="str">
        <f>IFERROR(SUMIFS(Registre!$V$3:$V$15000,Registre!$B$3:$B$15000,"octobre",Registre!$R$3:$R$15000,$F10,Registre!$C$3:$C$15000,2025)/SUMIFS(Registre!$W$3:$W$15000,Registre!$B$3:$B$15000,"octobre",Registre!$R$3:$R$15000,$F10,Registre!$C$3:$C$15000,2025),"0")</f>
        <v>0</v>
      </c>
      <c r="R10" s="35" t="str">
        <f>IFERROR(SUMIFS(Registre!$V$3:$V$15000,Registre!$B$3:$B$15000,"novembre",Registre!$R$3:$R$15000,$F10,Registre!$C$3:$C$15000,2025)/SUMIFS(Registre!$W$3:$W$15000,Registre!$B$3:$B$15000,"novembre",Registre!$R$3:$R$15000,$F10,Registre!$C$3:$C$15000,2025),"0")</f>
        <v>0</v>
      </c>
      <c r="S10" s="36" t="str">
        <f>IFERROR(SUMIFS(Registre!$V$3:$V$15000,Registre!$B$3:$B$15000,"décembre",Registre!$R$3:$R$15000,$F10,Registre!$C$3:$C$15000,2025)/SUMIFS(Registre!$W$3:$W$15000,Registre!$B$3:$B$15000,"décembre",Registre!$R$3:$R$15000,$F10,Registre!$C$3:$C$15000,2025),"0")</f>
        <v>0</v>
      </c>
    </row>
    <row r="11" spans="1:19" x14ac:dyDescent="0.25">
      <c r="A11" s="10">
        <v>7</v>
      </c>
      <c r="B11" s="15" t="s">
        <v>15</v>
      </c>
      <c r="C11" s="10">
        <v>2025</v>
      </c>
      <c r="D11" s="40">
        <f>SUMIFS(Registre!$P$3:$P$15000,Registre!$A$3:$A$15000,7,Registre!$B$3:$B$15000,"janvier",Registre!$C$3:$C$15000,2025)</f>
        <v>0</v>
      </c>
      <c r="F11" s="25" t="s">
        <v>43</v>
      </c>
      <c r="G11" s="22">
        <v>670</v>
      </c>
      <c r="H11" s="35" t="str">
        <f>IFERROR(SUMIFS(Registre!$V$3:$V$15000,Registre!$B$3:$B$15000,"janvier",Registre!$R$3:$R$15000,$F11,Registre!$C$3:$C$15000,2025)/SUMIFS(Registre!$W$3:$W$15000,Registre!$B$3:$B$15000,"janvier",Registre!$R$3:$R$15000,$F11,Registre!$C$3:$C$15000,2025),"0")</f>
        <v>0</v>
      </c>
      <c r="I11" s="35" t="str">
        <f>IFERROR(SUMIFS(Registre!$V$3:$V$15000,Registre!$B$3:$B$15000,"février",Registre!$R$3:$R$15000,$F11,Registre!$C$3:$C$15000,2025)/SUMIFS(Registre!$W$3:$W$15000,Registre!$B$3:$B$15000,"février",Registre!$R$3:$R$15000,$F11,Registre!$C$3:$C$15000,2025),"0")</f>
        <v>0</v>
      </c>
      <c r="J11" s="35" t="str">
        <f>IFERROR(SUMIFS(Registre!$V$3:$V$15000,Registre!$B$3:$B$15000,"mars",Registre!$R$3:$R$15000,$F11,Registre!$C$3:$C$15000,2025)/SUMIFS(Registre!$W$3:$W$15000,Registre!$B$3:$B$15000,"mars",Registre!$R$3:$R$15000,$F11,Registre!$C$3:$C$15000,2025),"0")</f>
        <v>0</v>
      </c>
      <c r="K11" s="35" t="str">
        <f>IFERROR(SUMIFS(Registre!$V$3:$V$15000,Registre!$B$3:$B$15000,"avril",Registre!$R$3:$R$15000,$F11,Registre!$C$3:$C$15000,2025)/SUMIFS(Registre!$W$3:$W$15000,Registre!$B$3:$B$15000,"avril",Registre!$R$3:$R$15000,$F11,Registre!$C$3:$C$15000,2025),"0")</f>
        <v>0</v>
      </c>
      <c r="L11" s="35" t="str">
        <f>IFERROR(SUMIFS(Registre!$V$3:$V$15000,Registre!$B$3:$B$15000,"mai",Registre!$R$3:$R$15000,$F11,Registre!$C$3:$C$15000,2025)/SUMIFS(Registre!$W$3:$W$15000,Registre!$B$3:$B$15000,"mai",Registre!$R$3:$R$15000,$F11,Registre!$C$3:$C$15000,2025),"0")</f>
        <v>0</v>
      </c>
      <c r="M11" s="35" t="str">
        <f>IFERROR(SUMIFS(Registre!$V$3:$V$15000,Registre!$B$3:$B$15000,"juin",Registre!$R$3:$R$15000,$F11,Registre!$C$3:$C$15000,2025)/SUMIFS(Registre!$W$3:$W$15000,Registre!$B$3:$B$15000,"juin",Registre!$R$3:$R$15000,$F11,Registre!$C$3:$C$15000,2025),"0")</f>
        <v>0</v>
      </c>
      <c r="N11" s="35" t="str">
        <f>IFERROR(SUMIFS(Registre!$V$3:$V$15000,Registre!$B$3:$B$15000,"juillet",Registre!$R$3:$R$15000,$F11,Registre!$C$3:$C$15000,2025)/SUMIFS(Registre!$W$3:$W$15000,Registre!$B$3:$B$15000,"juillet",Registre!$R$3:$R$15000,$F11,Registre!$C$3:$C$15000,2025),"0")</f>
        <v>0</v>
      </c>
      <c r="O11" s="35" t="str">
        <f>IFERROR(SUMIFS(Registre!$V$3:$V$15000,Registre!$B$3:$B$15000,"août",Registre!$R$3:$R$15000,$F11,Registre!$C$3:$C$15000,2025)/SUMIFS(Registre!$W$3:$W$15000,Registre!$B$3:$B$15000,"août",Registre!$R$3:$R$15000,$F11,Registre!$C$3:$C$15000,2025),"0")</f>
        <v>0</v>
      </c>
      <c r="P11" s="35" t="str">
        <f>IFERROR(SUMIFS(Registre!$V$3:$V$15000,Registre!$B$3:$B$15000,"septembre",Registre!$R$3:$R$15000,$F11,Registre!$C$3:$C$15000,2025)/SUMIFS(Registre!$W$3:$W$15000,Registre!$B$3:$B$15000,"septembre",Registre!$R$3:$R$15000,$F11,Registre!$C$3:$C$15000,2025),"0")</f>
        <v>0</v>
      </c>
      <c r="Q11" s="35" t="str">
        <f>IFERROR(SUMIFS(Registre!$V$3:$V$15000,Registre!$B$3:$B$15000,"octobre",Registre!$R$3:$R$15000,$F11,Registre!$C$3:$C$15000,2025)/SUMIFS(Registre!$W$3:$W$15000,Registre!$B$3:$B$15000,"octobre",Registre!$R$3:$R$15000,$F11,Registre!$C$3:$C$15000,2025),"0")</f>
        <v>0</v>
      </c>
      <c r="R11" s="35" t="str">
        <f>IFERROR(SUMIFS(Registre!$V$3:$V$15000,Registre!$B$3:$B$15000,"novembre",Registre!$R$3:$R$15000,$F11,Registre!$C$3:$C$15000,2025)/SUMIFS(Registre!$W$3:$W$15000,Registre!$B$3:$B$15000,"novembre",Registre!$R$3:$R$15000,$F11,Registre!$C$3:$C$15000,2025),"0")</f>
        <v>0</v>
      </c>
      <c r="S11" s="36" t="str">
        <f>IFERROR(SUMIFS(Registre!$V$3:$V$15000,Registre!$B$3:$B$15000,"décembre",Registre!$R$3:$R$15000,$F11,Registre!$C$3:$C$15000,2025)/SUMIFS(Registre!$W$3:$W$15000,Registre!$B$3:$B$15000,"décembre",Registre!$R$3:$R$15000,$F11,Registre!$C$3:$C$15000,2025),"0")</f>
        <v>0</v>
      </c>
    </row>
    <row r="12" spans="1:19" x14ac:dyDescent="0.25">
      <c r="A12" s="10">
        <v>8</v>
      </c>
      <c r="B12" s="15" t="s">
        <v>15</v>
      </c>
      <c r="C12" s="10">
        <v>2025</v>
      </c>
      <c r="D12" s="40">
        <f>SUMIFS(Registre!$P$3:$P$15000,Registre!$A$3:$A$15000,8,Registre!$B$3:$B$15000,"janvier",Registre!$C$3:$C$15000,2025)</f>
        <v>0</v>
      </c>
      <c r="F12" s="25" t="s">
        <v>44</v>
      </c>
      <c r="G12" s="22">
        <v>780</v>
      </c>
      <c r="H12" s="35" t="str">
        <f>IFERROR(SUMIFS(Registre!$V$3:$V$15000,Registre!$B$3:$B$15000,"janvier",Registre!$R$3:$R$15000,$F12,Registre!$C$3:$C$15000,2025)/SUMIFS(Registre!$W$3:$W$15000,Registre!$B$3:$B$15000,"janvier",Registre!$R$3:$R$15000,$F12,Registre!$C$3:$C$15000,2025),"0")</f>
        <v>0</v>
      </c>
      <c r="I12" s="35" t="str">
        <f>IFERROR(SUMIFS(Registre!$V$3:$V$15000,Registre!$B$3:$B$15000,"février",Registre!$R$3:$R$15000,$F12,Registre!$C$3:$C$15000,2025)/SUMIFS(Registre!$W$3:$W$15000,Registre!$B$3:$B$15000,"février",Registre!$R$3:$R$15000,$F12,Registre!$C$3:$C$15000,2025),"0")</f>
        <v>0</v>
      </c>
      <c r="J12" s="35" t="str">
        <f>IFERROR(SUMIFS(Registre!$V$3:$V$15000,Registre!$B$3:$B$15000,"mars",Registre!$R$3:$R$15000,$F12,Registre!$C$3:$C$15000,2025)/SUMIFS(Registre!$W$3:$W$15000,Registre!$B$3:$B$15000,"mars",Registre!$R$3:$R$15000,$F12,Registre!$C$3:$C$15000,2025),"0")</f>
        <v>0</v>
      </c>
      <c r="K12" s="35" t="str">
        <f>IFERROR(SUMIFS(Registre!$V$3:$V$15000,Registre!$B$3:$B$15000,"avril",Registre!$R$3:$R$15000,$F12,Registre!$C$3:$C$15000,2025)/SUMIFS(Registre!$W$3:$W$15000,Registre!$B$3:$B$15000,"avril",Registre!$R$3:$R$15000,$F12,Registre!$C$3:$C$15000,2025),"0")</f>
        <v>0</v>
      </c>
      <c r="L12" s="35" t="str">
        <f>IFERROR(SUMIFS(Registre!$V$3:$V$15000,Registre!$B$3:$B$15000,"mai",Registre!$R$3:$R$15000,$F12,Registre!$C$3:$C$15000,2025)/SUMIFS(Registre!$W$3:$W$15000,Registre!$B$3:$B$15000,"mai",Registre!$R$3:$R$15000,$F12,Registre!$C$3:$C$15000,2025),"0")</f>
        <v>0</v>
      </c>
      <c r="M12" s="35" t="str">
        <f>IFERROR(SUMIFS(Registre!$V$3:$V$15000,Registre!$B$3:$B$15000,"juin",Registre!$R$3:$R$15000,$F12,Registre!$C$3:$C$15000,2025)/SUMIFS(Registre!$W$3:$W$15000,Registre!$B$3:$B$15000,"juin",Registre!$R$3:$R$15000,$F12,Registre!$C$3:$C$15000,2025),"0")</f>
        <v>0</v>
      </c>
      <c r="N12" s="35" t="str">
        <f>IFERROR(SUMIFS(Registre!$V$3:$V$15000,Registre!$B$3:$B$15000,"juillet",Registre!$R$3:$R$15000,$F12,Registre!$C$3:$C$15000,2025)/SUMIFS(Registre!$W$3:$W$15000,Registre!$B$3:$B$15000,"juillet",Registre!$R$3:$R$15000,$F12,Registre!$C$3:$C$15000,2025),"0")</f>
        <v>0</v>
      </c>
      <c r="O12" s="35" t="str">
        <f>IFERROR(SUMIFS(Registre!$V$3:$V$15000,Registre!$B$3:$B$15000,"août",Registre!$R$3:$R$15000,$F12,Registre!$C$3:$C$15000,2025)/SUMIFS(Registre!$W$3:$W$15000,Registre!$B$3:$B$15000,"août",Registre!$R$3:$R$15000,$F12,Registre!$C$3:$C$15000,2025),"0")</f>
        <v>0</v>
      </c>
      <c r="P12" s="35" t="str">
        <f>IFERROR(SUMIFS(Registre!$V$3:$V$15000,Registre!$B$3:$B$15000,"septembre",Registre!$R$3:$R$15000,$F12,Registre!$C$3:$C$15000,2025)/SUMIFS(Registre!$W$3:$W$15000,Registre!$B$3:$B$15000,"septembre",Registre!$R$3:$R$15000,$F12,Registre!$C$3:$C$15000,2025),"0")</f>
        <v>0</v>
      </c>
      <c r="Q12" s="35" t="str">
        <f>IFERROR(SUMIFS(Registre!$V$3:$V$15000,Registre!$B$3:$B$15000,"octobre",Registre!$R$3:$R$15000,$F12,Registre!$C$3:$C$15000,2025)/SUMIFS(Registre!$W$3:$W$15000,Registre!$B$3:$B$15000,"octobre",Registre!$R$3:$R$15000,$F12,Registre!$C$3:$C$15000,2025),"0")</f>
        <v>0</v>
      </c>
      <c r="R12" s="35" t="str">
        <f>IFERROR(SUMIFS(Registre!$V$3:$V$15000,Registre!$B$3:$B$15000,"novembre",Registre!$R$3:$R$15000,$F12,Registre!$C$3:$C$15000,2025)/SUMIFS(Registre!$W$3:$W$15000,Registre!$B$3:$B$15000,"novembre",Registre!$R$3:$R$15000,$F12,Registre!$C$3:$C$15000,2025),"0")</f>
        <v>0</v>
      </c>
      <c r="S12" s="36" t="str">
        <f>IFERROR(SUMIFS(Registre!$V$3:$V$15000,Registre!$B$3:$B$15000,"décembre",Registre!$R$3:$R$15000,$F12,Registre!$C$3:$C$15000,2025)/SUMIFS(Registre!$W$3:$W$15000,Registre!$B$3:$B$15000,"décembre",Registre!$R$3:$R$15000,$F12,Registre!$C$3:$C$15000,2025),"0")</f>
        <v>0</v>
      </c>
    </row>
    <row r="13" spans="1:19" ht="15.75" thickBot="1" x14ac:dyDescent="0.3">
      <c r="A13" s="10">
        <v>9</v>
      </c>
      <c r="B13" s="15" t="s">
        <v>15</v>
      </c>
      <c r="C13" s="10">
        <v>2025</v>
      </c>
      <c r="D13" s="40">
        <f>SUMIFS(Registre!$P$3:$P$15000,Registre!$A$3:$A$15000,9,Registre!$B$3:$B$15000,"janvier",Registre!$C$3:$C$15000,2025)</f>
        <v>0</v>
      </c>
      <c r="F13" s="26" t="s">
        <v>27</v>
      </c>
      <c r="G13" s="23">
        <v>780</v>
      </c>
      <c r="H13" s="37" t="str">
        <f>IFERROR(SUMIFS(Registre!$V$3:$V$15000,Registre!$B$3:$B$15000,"janvier",Registre!$R$3:$R$15000,$F13,Registre!$C$3:$C$15000,2025)/SUMIFS(Registre!$W$3:$W$15000,Registre!$B$3:$B$15000,"janvier",Registre!$R$3:$R$15000,$F13,Registre!$C$3:$C$15000,2025),"0")</f>
        <v>0</v>
      </c>
      <c r="I13" s="37" t="str">
        <f>IFERROR(SUMIFS(Registre!$V$3:$V$15000,Registre!$B$3:$B$15000,"février",Registre!$R$3:$R$15000,$F13,Registre!$C$3:$C$15000,2025)/SUMIFS(Registre!$W$3:$W$15000,Registre!$B$3:$B$15000,"février",Registre!$R$3:$R$15000,$F13,Registre!$C$3:$C$15000,2025),"0")</f>
        <v>0</v>
      </c>
      <c r="J13" s="37" t="str">
        <f>IFERROR(SUMIFS(Registre!$V$3:$V$15000,Registre!$B$3:$B$15000,"mars",Registre!$R$3:$R$15000,$F13,Registre!$C$3:$C$15000,2025)/SUMIFS(Registre!$W$3:$W$15000,Registre!$B$3:$B$15000,"mars",Registre!$R$3:$R$15000,$F13,Registre!$C$3:$C$15000,2025),"0")</f>
        <v>0</v>
      </c>
      <c r="K13" s="37" t="str">
        <f>IFERROR(SUMIFS(Registre!$V$3:$V$15000,Registre!$B$3:$B$15000,"avril",Registre!$R$3:$R$15000,$F13,Registre!$C$3:$C$15000,2025)/SUMIFS(Registre!$W$3:$W$15000,Registre!$B$3:$B$15000,"avril",Registre!$R$3:$R$15000,$F13,Registre!$C$3:$C$15000,2025),"0")</f>
        <v>0</v>
      </c>
      <c r="L13" s="37" t="str">
        <f>IFERROR(SUMIFS(Registre!$V$3:$V$15000,Registre!$B$3:$B$15000,"mai",Registre!$R$3:$R$15000,$F13,Registre!$C$3:$C$15000,2025)/SUMIFS(Registre!$W$3:$W$15000,Registre!$B$3:$B$15000,"mai",Registre!$R$3:$R$15000,$F13,Registre!$C$3:$C$15000,2025),"0")</f>
        <v>0</v>
      </c>
      <c r="M13" s="37" t="str">
        <f>IFERROR(SUMIFS(Registre!$V$3:$V$15000,Registre!$B$3:$B$15000,"juin",Registre!$R$3:$R$15000,$F13,Registre!$C$3:$C$15000,2025)/SUMIFS(Registre!$W$3:$W$15000,Registre!$B$3:$B$15000,"juin",Registre!$R$3:$R$15000,$F13,Registre!$C$3:$C$15000,2025),"0")</f>
        <v>0</v>
      </c>
      <c r="N13" s="37" t="str">
        <f>IFERROR(SUMIFS(Registre!$V$3:$V$15000,Registre!$B$3:$B$15000,"juillet",Registre!$R$3:$R$15000,$F13,Registre!$C$3:$C$15000,2025)/SUMIFS(Registre!$W$3:$W$15000,Registre!$B$3:$B$15000,"juillet",Registre!$R$3:$R$15000,$F13,Registre!$C$3:$C$15000,2025),"0")</f>
        <v>0</v>
      </c>
      <c r="O13" s="37" t="str">
        <f>IFERROR(SUMIFS(Registre!$V$3:$V$15000,Registre!$B$3:$B$15000,"août",Registre!$R$3:$R$15000,$F13,Registre!$C$3:$C$15000,2025)/SUMIFS(Registre!$W$3:$W$15000,Registre!$B$3:$B$15000,"août",Registre!$R$3:$R$15000,$F13,Registre!$C$3:$C$15000,2025),"0")</f>
        <v>0</v>
      </c>
      <c r="P13" s="37" t="str">
        <f>IFERROR(SUMIFS(Registre!$V$3:$V$15000,Registre!$B$3:$B$15000,"septembre",Registre!$R$3:$R$15000,$F13,Registre!$C$3:$C$15000,2025)/SUMIFS(Registre!$W$3:$W$15000,Registre!$B$3:$B$15000,"septembre",Registre!$R$3:$R$15000,$F13,Registre!$C$3:$C$15000,2025),"0")</f>
        <v>0</v>
      </c>
      <c r="Q13" s="37" t="str">
        <f>IFERROR(SUMIFS(Registre!$V$3:$V$15000,Registre!$B$3:$B$15000,"octobre",Registre!$R$3:$R$15000,$F13,Registre!$C$3:$C$15000,2025)/SUMIFS(Registre!$W$3:$W$15000,Registre!$B$3:$B$15000,"octobre",Registre!$R$3:$R$15000,$F13,Registre!$C$3:$C$15000,2025),"0")</f>
        <v>0</v>
      </c>
      <c r="R13" s="37" t="str">
        <f>IFERROR(SUMIFS(Registre!$V$3:$V$15000,Registre!$B$3:$B$15000,"novembre",Registre!$R$3:$R$15000,$F13,Registre!$C$3:$C$15000,2025)/SUMIFS(Registre!$W$3:$W$15000,Registre!$B$3:$B$15000,"novembre",Registre!$R$3:$R$15000,$F13,Registre!$C$3:$C$15000,2025),"0")</f>
        <v>0</v>
      </c>
      <c r="S13" s="38" t="str">
        <f>IFERROR(SUMIFS(Registre!$V$3:$V$15000,Registre!$B$3:$B$15000,"décembre",Registre!$R$3:$R$15000,$F13,Registre!$C$3:$C$15000,2025)/SUMIFS(Registre!$W$3:$W$15000,Registre!$B$3:$B$15000,"décembre",Registre!$R$3:$R$15000,$F13,Registre!$C$3:$C$15000,2025),"0")</f>
        <v>0</v>
      </c>
    </row>
    <row r="14" spans="1:19" x14ac:dyDescent="0.25">
      <c r="A14" s="10">
        <v>10</v>
      </c>
      <c r="B14" s="15" t="s">
        <v>15</v>
      </c>
      <c r="C14" s="10">
        <v>2025</v>
      </c>
      <c r="D14" s="40">
        <f>SUMIFS(Registre!$P$3:$P$15000,Registre!$A$3:$A$15000,10,Registre!$B$3:$B$15000,"janvier",Registre!$C$3:$C$15000,2025)</f>
        <v>0</v>
      </c>
      <c r="F14" s="17"/>
      <c r="H14" s="2"/>
    </row>
    <row r="15" spans="1:19" x14ac:dyDescent="0.25">
      <c r="A15" s="10">
        <v>11</v>
      </c>
      <c r="B15" s="15" t="s">
        <v>15</v>
      </c>
      <c r="C15" s="10">
        <v>2025</v>
      </c>
      <c r="D15" s="40">
        <f>SUMIFS(Registre!$P$3:$P$15000,Registre!$A$3:$A$15000,11,Registre!$B$3:$B$15000,"janvier",Registre!$C$3:$C$15000,2025)</f>
        <v>0</v>
      </c>
      <c r="F15" s="17"/>
      <c r="H15" s="2"/>
    </row>
    <row r="16" spans="1:19" x14ac:dyDescent="0.25">
      <c r="A16" s="10">
        <v>12</v>
      </c>
      <c r="B16" s="15" t="s">
        <v>15</v>
      </c>
      <c r="C16" s="10">
        <v>2025</v>
      </c>
      <c r="D16" s="40">
        <f>SUMIFS(Registre!$P$3:$P$15000,Registre!$A$3:$A$15000,12,Registre!$B$3:$B$15000,"janvier",Registre!$C$3:$C$15000,2025)</f>
        <v>0</v>
      </c>
      <c r="F16" s="18"/>
      <c r="H16" s="2"/>
    </row>
    <row r="17" spans="1:8" x14ac:dyDescent="0.25">
      <c r="A17" s="10">
        <v>13</v>
      </c>
      <c r="B17" s="15" t="s">
        <v>15</v>
      </c>
      <c r="C17" s="10">
        <v>2025</v>
      </c>
      <c r="D17" s="40">
        <f>SUMIFS(Registre!$P$3:$P$15000,Registre!$A$3:$A$15000,13,Registre!$B$3:$B$15000,"janvier",Registre!$C$3:$C$15000,2025)</f>
        <v>0</v>
      </c>
      <c r="F17" s="18"/>
      <c r="H17" s="2"/>
    </row>
    <row r="18" spans="1:8" x14ac:dyDescent="0.25">
      <c r="A18" s="10">
        <v>14</v>
      </c>
      <c r="B18" s="15" t="s">
        <v>15</v>
      </c>
      <c r="C18" s="10">
        <v>2025</v>
      </c>
      <c r="D18" s="40">
        <f>SUMIFS(Registre!$P$3:$P$15000,Registre!$A$3:$A$15000,14,Registre!$B$3:$B$15000,"janvier",Registre!$C$3:$C$15000,2025)</f>
        <v>0</v>
      </c>
      <c r="F18" s="18"/>
      <c r="H18" s="2"/>
    </row>
    <row r="19" spans="1:8" x14ac:dyDescent="0.25">
      <c r="A19" s="10">
        <v>15</v>
      </c>
      <c r="B19" s="15" t="s">
        <v>15</v>
      </c>
      <c r="C19" s="10">
        <v>2025</v>
      </c>
      <c r="D19" s="40">
        <f>SUMIFS(Registre!$P$3:$P$15000,Registre!$A$3:$A$15000,15,Registre!$B$3:$B$15000,"janvier",Registre!$C$3:$C$15000,2025)</f>
        <v>0</v>
      </c>
      <c r="F19" s="18"/>
      <c r="H19" s="2"/>
    </row>
    <row r="20" spans="1:8" x14ac:dyDescent="0.25">
      <c r="A20" s="10">
        <v>16</v>
      </c>
      <c r="B20" s="15" t="s">
        <v>15</v>
      </c>
      <c r="C20" s="10">
        <v>2025</v>
      </c>
      <c r="D20" s="40">
        <f>SUMIFS(Registre!$P$3:$P$15000,Registre!$A$3:$A$15000,16,Registre!$B$3:$B$15000,"janvier",Registre!$C$3:$C$15000,2025)</f>
        <v>0</v>
      </c>
      <c r="F20" s="18"/>
      <c r="H20" s="2"/>
    </row>
    <row r="21" spans="1:8" x14ac:dyDescent="0.25">
      <c r="A21" s="10">
        <v>17</v>
      </c>
      <c r="B21" s="15" t="s">
        <v>15</v>
      </c>
      <c r="C21" s="10">
        <v>2025</v>
      </c>
      <c r="D21" s="40">
        <f>SUMIFS(Registre!$P$3:$P$15000,Registre!$A$3:$A$15000,17,Registre!$B$3:$B$15000,"janvier",Registre!$C$3:$C$15000,2025)</f>
        <v>0</v>
      </c>
      <c r="F21" s="18"/>
      <c r="H21" s="2"/>
    </row>
    <row r="22" spans="1:8" x14ac:dyDescent="0.25">
      <c r="A22" s="10">
        <v>18</v>
      </c>
      <c r="B22" s="15" t="s">
        <v>15</v>
      </c>
      <c r="C22" s="10">
        <v>2025</v>
      </c>
      <c r="D22" s="40">
        <f>SUMIFS(Registre!$P$3:$P$15000,Registre!$A$3:$A$15000,18,Registre!$B$3:$B$15000,"janvier",Registre!$C$3:$C$15000,2025)</f>
        <v>0</v>
      </c>
      <c r="F22" s="18"/>
      <c r="H22" s="2"/>
    </row>
    <row r="23" spans="1:8" x14ac:dyDescent="0.25">
      <c r="A23" s="10">
        <v>19</v>
      </c>
      <c r="B23" s="15" t="s">
        <v>15</v>
      </c>
      <c r="C23" s="10">
        <v>2025</v>
      </c>
      <c r="D23" s="40">
        <f>SUMIFS(Registre!$P$3:$P$15000,Registre!$A$3:$A$15000,19,Registre!$B$3:$B$15000,"janvier",Registre!$C$3:$C$15000,2025)</f>
        <v>0</v>
      </c>
      <c r="F23" s="17"/>
      <c r="H23" s="2"/>
    </row>
    <row r="24" spans="1:8" x14ac:dyDescent="0.25">
      <c r="A24" s="10">
        <v>20</v>
      </c>
      <c r="B24" s="15" t="s">
        <v>15</v>
      </c>
      <c r="C24" s="10">
        <v>2025</v>
      </c>
      <c r="D24" s="40">
        <f>SUMIFS(Registre!$P$3:$P$15000,Registre!$A$3:$A$15000,20,Registre!$B$3:$B$15000,"janvier",Registre!$C$3:$C$15000,2025)</f>
        <v>0</v>
      </c>
      <c r="F24" s="17"/>
      <c r="H24" s="2"/>
    </row>
    <row r="25" spans="1:8" x14ac:dyDescent="0.25">
      <c r="A25" s="10">
        <v>21</v>
      </c>
      <c r="B25" s="15" t="s">
        <v>15</v>
      </c>
      <c r="C25" s="10">
        <v>2025</v>
      </c>
      <c r="D25" s="40">
        <f>SUMIFS(Registre!$P$3:$P$15000,Registre!$A$3:$A$15000,21,Registre!$B$3:$B$15000,"janvier",Registre!$C$3:$C$15000,2025)</f>
        <v>0</v>
      </c>
      <c r="F25" s="18"/>
      <c r="H25" s="2"/>
    </row>
    <row r="26" spans="1:8" x14ac:dyDescent="0.25">
      <c r="A26" s="10">
        <v>22</v>
      </c>
      <c r="B26" s="15" t="s">
        <v>15</v>
      </c>
      <c r="C26" s="10">
        <v>2025</v>
      </c>
      <c r="D26" s="40">
        <f>SUMIFS(Registre!$P$3:$P$15000,Registre!$A$3:$A$15000,22,Registre!$B$3:$B$15000,"janvier",Registre!$C$3:$C$15000,2025)</f>
        <v>0</v>
      </c>
      <c r="F26" s="18"/>
      <c r="H26" s="2"/>
    </row>
    <row r="27" spans="1:8" x14ac:dyDescent="0.25">
      <c r="A27" s="10">
        <v>23</v>
      </c>
      <c r="B27" s="15" t="s">
        <v>15</v>
      </c>
      <c r="C27" s="10">
        <v>2025</v>
      </c>
      <c r="D27" s="40">
        <f>SUMIFS(Registre!$P$3:$P$15000,Registre!$A$3:$A$15000,23,Registre!$B$3:$B$15000,"janvier",Registre!$C$3:$C$15000,2025)</f>
        <v>0</v>
      </c>
      <c r="F27" s="18"/>
      <c r="H27" s="2"/>
    </row>
    <row r="28" spans="1:8" x14ac:dyDescent="0.25">
      <c r="A28" s="10">
        <v>24</v>
      </c>
      <c r="B28" s="15" t="s">
        <v>15</v>
      </c>
      <c r="C28" s="10">
        <v>2025</v>
      </c>
      <c r="D28" s="40">
        <f>SUMIFS(Registre!$P$3:$P$15000,Registre!$A$3:$A$15000,24,Registre!$B$3:$B$15000,"janvier",Registre!$C$3:$C$15000,2025)</f>
        <v>0</v>
      </c>
      <c r="F28" s="18"/>
      <c r="H28" s="2"/>
    </row>
    <row r="29" spans="1:8" x14ac:dyDescent="0.25">
      <c r="A29" s="10">
        <v>25</v>
      </c>
      <c r="B29" s="15" t="s">
        <v>15</v>
      </c>
      <c r="C29" s="10">
        <v>2025</v>
      </c>
      <c r="D29" s="40">
        <f>SUMIFS(Registre!$P$3:$P$15000,Registre!$A$3:$A$15000,25,Registre!$B$3:$B$15000,"janvier",Registre!$C$3:$C$15000,2025)</f>
        <v>0</v>
      </c>
      <c r="F29" s="18"/>
      <c r="H29" s="2"/>
    </row>
    <row r="30" spans="1:8" x14ac:dyDescent="0.25">
      <c r="A30" s="10">
        <v>26</v>
      </c>
      <c r="B30" s="15" t="s">
        <v>15</v>
      </c>
      <c r="C30" s="10">
        <v>2025</v>
      </c>
      <c r="D30" s="40">
        <f>SUMIFS(Registre!$P$3:$P$15000,Registre!$A$3:$A$15000,26,Registre!$B$3:$B$15000,"janvier",Registre!$C$3:$C$15000,2025)</f>
        <v>0</v>
      </c>
      <c r="F30" s="18"/>
      <c r="H30" s="2"/>
    </row>
    <row r="31" spans="1:8" x14ac:dyDescent="0.25">
      <c r="A31" s="10">
        <v>27</v>
      </c>
      <c r="B31" s="15" t="s">
        <v>15</v>
      </c>
      <c r="C31" s="10">
        <v>2025</v>
      </c>
      <c r="D31" s="40">
        <f>SUMIFS(Registre!$P$3:$P$15000,Registre!$A$3:$A$15000,27,Registre!$B$3:$B$15000,"janvier",Registre!$C$3:$C$15000,2025)</f>
        <v>0</v>
      </c>
      <c r="F31" s="18"/>
      <c r="H31" s="2"/>
    </row>
    <row r="32" spans="1:8" x14ac:dyDescent="0.25">
      <c r="A32" s="10">
        <v>28</v>
      </c>
      <c r="B32" s="15" t="s">
        <v>15</v>
      </c>
      <c r="C32" s="10">
        <v>2025</v>
      </c>
      <c r="D32" s="40">
        <f>SUMIFS(Registre!$P$3:$P$15000,Registre!$A$3:$A$15000,28,Registre!$B$3:$B$15000,"janvier",Registre!$C$3:$C$15000,2025)</f>
        <v>0</v>
      </c>
      <c r="F32" s="17"/>
      <c r="H32" s="2"/>
    </row>
    <row r="33" spans="1:8" x14ac:dyDescent="0.25">
      <c r="A33" s="10">
        <v>29</v>
      </c>
      <c r="B33" s="15" t="s">
        <v>15</v>
      </c>
      <c r="C33" s="10">
        <v>2025</v>
      </c>
      <c r="D33" s="40">
        <f>SUMIFS(Registre!$P$3:$P$15000,Registre!$A$3:$A$15000,29,Registre!$B$3:$B$15000,"janvier",Registre!$C$3:$C$15000,2025)</f>
        <v>0</v>
      </c>
      <c r="F33" s="17"/>
      <c r="H33" s="2"/>
    </row>
    <row r="34" spans="1:8" x14ac:dyDescent="0.25">
      <c r="A34" s="10">
        <v>30</v>
      </c>
      <c r="B34" s="15" t="s">
        <v>15</v>
      </c>
      <c r="C34" s="10">
        <v>2025</v>
      </c>
      <c r="D34" s="40">
        <f>SUMIFS(Registre!$P$3:$P$15000,Registre!$A$3:$A$15000,30,Registre!$B$3:$B$15000,"janvier",Registre!$C$3:$C$15000,2025)</f>
        <v>0</v>
      </c>
      <c r="F34" s="18"/>
      <c r="H34" s="2"/>
    </row>
    <row r="35" spans="1:8" x14ac:dyDescent="0.25">
      <c r="A35" s="10">
        <v>31</v>
      </c>
      <c r="B35" s="15" t="s">
        <v>15</v>
      </c>
      <c r="C35" s="10">
        <v>2025</v>
      </c>
      <c r="D35" s="40">
        <f>SUMIFS(Registre!$P$3:$P$15000,Registre!$A$3:$A$15000,31,Registre!$B$3:$B$15000,"janvier",Registre!$C$3:$C$15000,2025)</f>
        <v>0</v>
      </c>
      <c r="F35" s="18"/>
      <c r="H35" s="2"/>
    </row>
    <row r="36" spans="1:8" x14ac:dyDescent="0.25">
      <c r="A36" s="11">
        <v>1</v>
      </c>
      <c r="B36" s="11" t="s">
        <v>16</v>
      </c>
      <c r="C36" s="11">
        <v>2025</v>
      </c>
      <c r="D36" s="41">
        <f>SUMIFS(Registre!$P$3:$P$15000,Registre!$A$3:$A$15000,1,Registre!$B$3:$B$15000,"février",Registre!$C$3:$C$15000,2025)</f>
        <v>0</v>
      </c>
      <c r="F36" s="18"/>
      <c r="H36" s="2"/>
    </row>
    <row r="37" spans="1:8" x14ac:dyDescent="0.25">
      <c r="A37" s="11">
        <v>2</v>
      </c>
      <c r="B37" s="11" t="s">
        <v>16</v>
      </c>
      <c r="C37" s="11">
        <v>2025</v>
      </c>
      <c r="D37" s="41">
        <f>SUMIFS(Registre!$P$3:$P$15000,Registre!$A$3:$A$15000,2,Registre!$B$3:$B$15000,"février",Registre!$C$3:$C$15000,2025)</f>
        <v>0</v>
      </c>
      <c r="F37" s="18"/>
      <c r="H37" s="2"/>
    </row>
    <row r="38" spans="1:8" x14ac:dyDescent="0.25">
      <c r="A38" s="11">
        <v>3</v>
      </c>
      <c r="B38" s="11" t="s">
        <v>16</v>
      </c>
      <c r="C38" s="11">
        <v>2025</v>
      </c>
      <c r="D38" s="41">
        <f>SUMIFS(Registre!$P$3:$P$15000,Registre!$A$3:$A$15000,3,Registre!$B$3:$B$15000,"février",Registre!$C$3:$C$15000,2025)</f>
        <v>0</v>
      </c>
      <c r="F38" s="18"/>
      <c r="H38" s="2"/>
    </row>
    <row r="39" spans="1:8" x14ac:dyDescent="0.25">
      <c r="A39" s="11">
        <v>4</v>
      </c>
      <c r="B39" s="11" t="s">
        <v>16</v>
      </c>
      <c r="C39" s="11">
        <v>2025</v>
      </c>
      <c r="D39" s="41">
        <f>SUMIFS(Registre!$P$3:$P$15000,Registre!$A$3:$A$15000,4,Registre!$B$3:$B$15000,"février",Registre!$C$3:$C$15000,2025)</f>
        <v>0</v>
      </c>
      <c r="F39" s="18"/>
      <c r="H39" s="2"/>
    </row>
    <row r="40" spans="1:8" x14ac:dyDescent="0.25">
      <c r="A40" s="11">
        <v>5</v>
      </c>
      <c r="B40" s="11" t="s">
        <v>16</v>
      </c>
      <c r="C40" s="11">
        <v>2025</v>
      </c>
      <c r="D40" s="41">
        <f>SUMIFS(Registre!$P$3:$P$15000,Registre!$A$3:$A$15000,5,Registre!$B$3:$B$15000,"février",Registre!$C$3:$C$15000,2025)</f>
        <v>0</v>
      </c>
      <c r="F40" s="18"/>
      <c r="H40" s="2"/>
    </row>
    <row r="41" spans="1:8" x14ac:dyDescent="0.25">
      <c r="A41" s="11">
        <v>6</v>
      </c>
      <c r="B41" s="11" t="s">
        <v>16</v>
      </c>
      <c r="C41" s="11">
        <v>2025</v>
      </c>
      <c r="D41" s="41">
        <f>SUMIFS(Registre!$P$3:$P$15000,Registre!$A$3:$A$15000,6,Registre!$B$3:$B$15000,"février",Registre!$C$3:$C$15000,2025)</f>
        <v>0</v>
      </c>
      <c r="F41" s="17"/>
      <c r="H41" s="2"/>
    </row>
    <row r="42" spans="1:8" x14ac:dyDescent="0.25">
      <c r="A42" s="11">
        <v>7</v>
      </c>
      <c r="B42" s="11" t="s">
        <v>16</v>
      </c>
      <c r="C42" s="11">
        <v>2025</v>
      </c>
      <c r="D42" s="41">
        <f>SUMIFS(Registre!$P$3:$P$15000,Registre!$A$3:$A$15000,7,Registre!$B$3:$B$15000,"février",Registre!$C$3:$C$15000,2025)</f>
        <v>0</v>
      </c>
      <c r="F42" s="17"/>
      <c r="H42" s="2"/>
    </row>
    <row r="43" spans="1:8" x14ac:dyDescent="0.25">
      <c r="A43" s="11">
        <v>8</v>
      </c>
      <c r="B43" s="11" t="s">
        <v>16</v>
      </c>
      <c r="C43" s="11">
        <v>2025</v>
      </c>
      <c r="D43" s="41">
        <f>SUMIFS(Registre!$P$3:$P$15000,Registre!$A$3:$A$15000,8,Registre!$B$3:$B$15000,"février",Registre!$C$3:$C$15000,2025)</f>
        <v>0</v>
      </c>
      <c r="F43" s="18"/>
      <c r="H43" s="2"/>
    </row>
    <row r="44" spans="1:8" x14ac:dyDescent="0.25">
      <c r="A44" s="11">
        <v>9</v>
      </c>
      <c r="B44" s="11" t="s">
        <v>16</v>
      </c>
      <c r="C44" s="11">
        <v>2025</v>
      </c>
      <c r="D44" s="41">
        <f>SUMIFS(Registre!$P$3:$P$15000,Registre!$A$3:$A$15000,9,Registre!$B$3:$B$15000,"février",Registre!$C$3:$C$15000,2025)</f>
        <v>0</v>
      </c>
      <c r="F44" s="18"/>
      <c r="H44" s="2"/>
    </row>
    <row r="45" spans="1:8" x14ac:dyDescent="0.25">
      <c r="A45" s="11">
        <v>10</v>
      </c>
      <c r="B45" s="11" t="s">
        <v>16</v>
      </c>
      <c r="C45" s="11">
        <v>2025</v>
      </c>
      <c r="D45" s="41">
        <f>SUMIFS(Registre!$P$3:$P$15000,Registre!$A$3:$A$15000,10,Registre!$B$3:$B$15000,"février",Registre!$C$3:$C$15000,2025)</f>
        <v>0</v>
      </c>
      <c r="F45" s="18"/>
      <c r="H45" s="2"/>
    </row>
    <row r="46" spans="1:8" x14ac:dyDescent="0.25">
      <c r="A46" s="11">
        <v>11</v>
      </c>
      <c r="B46" s="11" t="s">
        <v>16</v>
      </c>
      <c r="C46" s="11">
        <v>2025</v>
      </c>
      <c r="D46" s="41">
        <f>SUMIFS(Registre!$P$3:$P$15000,Registre!$A$3:$A$15000,11,Registre!$B$3:$B$15000,"février",Registre!$C$3:$C$15000,2025)</f>
        <v>0</v>
      </c>
      <c r="F46" s="18"/>
      <c r="H46" s="2"/>
    </row>
    <row r="47" spans="1:8" x14ac:dyDescent="0.25">
      <c r="A47" s="11">
        <v>12</v>
      </c>
      <c r="B47" s="11" t="s">
        <v>16</v>
      </c>
      <c r="C47" s="11">
        <v>2025</v>
      </c>
      <c r="D47" s="41">
        <f>SUMIFS(Registre!$P$3:$P$15000,Registre!$A$3:$A$15000,12,Registre!$B$3:$B$15000,"février",Registre!$C$3:$C$15000,2025)</f>
        <v>0</v>
      </c>
      <c r="F47" s="18"/>
      <c r="H47" s="2"/>
    </row>
    <row r="48" spans="1:8" x14ac:dyDescent="0.25">
      <c r="A48" s="11">
        <v>13</v>
      </c>
      <c r="B48" s="11" t="s">
        <v>16</v>
      </c>
      <c r="C48" s="11">
        <v>2025</v>
      </c>
      <c r="D48" s="41">
        <f>SUMIFS(Registre!$P$3:$P$15000,Registre!$A$3:$A$15000,13,Registre!$B$3:$B$15000,"février",Registre!$C$3:$C$15000,2025)</f>
        <v>0</v>
      </c>
      <c r="F48" s="18"/>
      <c r="H48" s="2"/>
    </row>
    <row r="49" spans="1:8" x14ac:dyDescent="0.25">
      <c r="A49" s="11">
        <v>14</v>
      </c>
      <c r="B49" s="11" t="s">
        <v>16</v>
      </c>
      <c r="C49" s="11">
        <v>2025</v>
      </c>
      <c r="D49" s="41">
        <f>SUMIFS(Registre!$P$3:$P$15000,Registre!$A$3:$A$15000,14,Registre!$B$3:$B$15000,"février",Registre!$C$3:$C$15000,2025)</f>
        <v>0</v>
      </c>
      <c r="F49" s="18"/>
      <c r="H49" s="2"/>
    </row>
    <row r="50" spans="1:8" x14ac:dyDescent="0.25">
      <c r="A50" s="11">
        <v>15</v>
      </c>
      <c r="B50" s="11" t="s">
        <v>16</v>
      </c>
      <c r="C50" s="11">
        <v>2025</v>
      </c>
      <c r="D50" s="41">
        <f>SUMIFS(Registre!$P$3:$P$15000,Registre!$A$3:$A$15000,15,Registre!$B$3:$B$15000,"février",Registre!$C$3:$C$15000,2025)</f>
        <v>0</v>
      </c>
      <c r="F50" s="17"/>
      <c r="H50" s="2"/>
    </row>
    <row r="51" spans="1:8" x14ac:dyDescent="0.25">
      <c r="A51" s="11">
        <v>16</v>
      </c>
      <c r="B51" s="11" t="s">
        <v>16</v>
      </c>
      <c r="C51" s="11">
        <v>2025</v>
      </c>
      <c r="D51" s="41">
        <f>SUMIFS(Registre!$P$3:$P$15000,Registre!$A$3:$A$15000,16,Registre!$B$3:$B$15000,"février",Registre!$C$3:$C$15000,2025)</f>
        <v>0</v>
      </c>
      <c r="F51" s="17"/>
      <c r="H51" s="2"/>
    </row>
    <row r="52" spans="1:8" x14ac:dyDescent="0.25">
      <c r="A52" s="11">
        <v>17</v>
      </c>
      <c r="B52" s="11" t="s">
        <v>16</v>
      </c>
      <c r="C52" s="11">
        <v>2025</v>
      </c>
      <c r="D52" s="41">
        <f>SUMIFS(Registre!$P$3:$P$15000,Registre!$A$3:$A$15000,17,Registre!$B$3:$B$15000,"février",Registre!$C$3:$C$15000,2025)</f>
        <v>0</v>
      </c>
      <c r="F52" s="18"/>
      <c r="H52" s="2"/>
    </row>
    <row r="53" spans="1:8" x14ac:dyDescent="0.25">
      <c r="A53" s="11">
        <v>18</v>
      </c>
      <c r="B53" s="11" t="s">
        <v>16</v>
      </c>
      <c r="C53" s="11">
        <v>2025</v>
      </c>
      <c r="D53" s="41">
        <f>SUMIFS(Registre!$P$3:$P$15000,Registre!$A$3:$A$15000,18,Registre!$B$3:$B$15000,"février",Registre!$C$3:$C$15000,2025)</f>
        <v>0</v>
      </c>
      <c r="F53" s="18"/>
      <c r="H53" s="2"/>
    </row>
    <row r="54" spans="1:8" x14ac:dyDescent="0.25">
      <c r="A54" s="11">
        <v>19</v>
      </c>
      <c r="B54" s="11" t="s">
        <v>16</v>
      </c>
      <c r="C54" s="11">
        <v>2025</v>
      </c>
      <c r="D54" s="41">
        <f>SUMIFS(Registre!$P$3:$P$15000,Registre!$A$3:$A$15000,19,Registre!$B$3:$B$15000,"février",Registre!$C$3:$C$15000,2025)</f>
        <v>0</v>
      </c>
      <c r="F54" s="18"/>
      <c r="H54" s="2"/>
    </row>
    <row r="55" spans="1:8" x14ac:dyDescent="0.25">
      <c r="A55" s="11">
        <v>20</v>
      </c>
      <c r="B55" s="11" t="s">
        <v>16</v>
      </c>
      <c r="C55" s="11">
        <v>2025</v>
      </c>
      <c r="D55" s="41">
        <f>SUMIFS(Registre!$P$3:$P$15000,Registre!$A$3:$A$15000,20,Registre!$B$3:$B$15000,"février",Registre!$C$3:$C$15000,2025)</f>
        <v>0</v>
      </c>
      <c r="F55" s="18"/>
      <c r="H55" s="2"/>
    </row>
    <row r="56" spans="1:8" x14ac:dyDescent="0.25">
      <c r="A56" s="11">
        <v>21</v>
      </c>
      <c r="B56" s="11" t="s">
        <v>16</v>
      </c>
      <c r="C56" s="11">
        <v>2025</v>
      </c>
      <c r="D56" s="41">
        <f>SUMIFS(Registre!$P$3:$P$15000,Registre!$A$3:$A$15000,21,Registre!$B$3:$B$15000,"février",Registre!$C$3:$C$15000,2025)</f>
        <v>0</v>
      </c>
      <c r="F56" s="18"/>
      <c r="H56" s="2"/>
    </row>
    <row r="57" spans="1:8" x14ac:dyDescent="0.25">
      <c r="A57" s="11">
        <v>22</v>
      </c>
      <c r="B57" s="11" t="s">
        <v>16</v>
      </c>
      <c r="C57" s="11">
        <v>2025</v>
      </c>
      <c r="D57" s="41">
        <f>SUMIFS(Registre!$P$3:$P$15000,Registre!$A$3:$A$15000,22,Registre!$B$3:$B$15000,"février",Registre!$C$3:$C$15000,2025)</f>
        <v>0</v>
      </c>
      <c r="F57" s="18"/>
      <c r="H57" s="2"/>
    </row>
    <row r="58" spans="1:8" x14ac:dyDescent="0.25">
      <c r="A58" s="11">
        <v>23</v>
      </c>
      <c r="B58" s="11" t="s">
        <v>16</v>
      </c>
      <c r="C58" s="11">
        <v>2025</v>
      </c>
      <c r="D58" s="41">
        <f>SUMIFS(Registre!$P$3:$P$15000,Registre!$A$3:$A$15000,23,Registre!$B$3:$B$15000,"février",Registre!$C$3:$C$15000,2025)</f>
        <v>0</v>
      </c>
      <c r="F58" s="18"/>
      <c r="H58" s="2"/>
    </row>
    <row r="59" spans="1:8" x14ac:dyDescent="0.25">
      <c r="A59" s="11">
        <v>24</v>
      </c>
      <c r="B59" s="11" t="s">
        <v>16</v>
      </c>
      <c r="C59" s="11">
        <v>2025</v>
      </c>
      <c r="D59" s="41">
        <f>SUMIFS(Registre!$P$3:$P$15000,Registre!$A$3:$A$15000,24,Registre!$B$3:$B$15000,"février",Registre!$C$3:$C$15000,2025)</f>
        <v>0</v>
      </c>
      <c r="F59" s="17"/>
      <c r="H59" s="2"/>
    </row>
    <row r="60" spans="1:8" x14ac:dyDescent="0.25">
      <c r="A60" s="11">
        <v>25</v>
      </c>
      <c r="B60" s="11" t="s">
        <v>16</v>
      </c>
      <c r="C60" s="11">
        <v>2025</v>
      </c>
      <c r="D60" s="41">
        <f>SUMIFS(Registre!$P$3:$P$15000,Registre!$A$3:$A$15000,25,Registre!$B$3:$B$15000,"février",Registre!$C$3:$C$15000,2025)</f>
        <v>0</v>
      </c>
      <c r="F60" s="17"/>
      <c r="H60" s="2"/>
    </row>
    <row r="61" spans="1:8" x14ac:dyDescent="0.25">
      <c r="A61" s="11">
        <v>26</v>
      </c>
      <c r="B61" s="11" t="s">
        <v>16</v>
      </c>
      <c r="C61" s="11">
        <v>2025</v>
      </c>
      <c r="D61" s="41">
        <f>SUMIFS(Registre!$P$3:$P$15000,Registre!$A$3:$A$15000,26,Registre!$B$3:$B$15000,"février",Registre!$C$3:$C$15000,2025)</f>
        <v>0</v>
      </c>
      <c r="F61" s="18"/>
      <c r="H61" s="2"/>
    </row>
    <row r="62" spans="1:8" x14ac:dyDescent="0.25">
      <c r="A62" s="11">
        <v>27</v>
      </c>
      <c r="B62" s="11" t="s">
        <v>16</v>
      </c>
      <c r="C62" s="11">
        <v>2025</v>
      </c>
      <c r="D62" s="41">
        <f>SUMIFS(Registre!$P$3:$P$15000,Registre!$A$3:$A$15000,27,Registre!$B$3:$B$15000,"février",Registre!$C$3:$C$15000,2025)</f>
        <v>0</v>
      </c>
      <c r="F62" s="18"/>
      <c r="H62" s="2"/>
    </row>
    <row r="63" spans="1:8" x14ac:dyDescent="0.25">
      <c r="A63" s="11">
        <v>28</v>
      </c>
      <c r="B63" s="11" t="s">
        <v>16</v>
      </c>
      <c r="C63" s="11">
        <v>2025</v>
      </c>
      <c r="D63" s="41">
        <f>SUMIFS(Registre!$P$3:$P$15000,Registre!$A$3:$A$15000,28,Registre!$B$3:$B$15000,"février",Registre!$C$3:$C$15000,2025)</f>
        <v>0</v>
      </c>
      <c r="F63" s="18"/>
      <c r="H63" s="2"/>
    </row>
    <row r="64" spans="1:8" x14ac:dyDescent="0.25">
      <c r="A64" s="10">
        <v>1</v>
      </c>
      <c r="B64" s="10" t="s">
        <v>17</v>
      </c>
      <c r="C64" s="10">
        <v>2025</v>
      </c>
      <c r="D64" s="40">
        <f>SUMIFS(Registre!$P$3:$P$15000,Registre!$A$3:$A$15000,1,Registre!$B$3:$B$15000,"mars",Registre!$C$3:$C$15000,2025)</f>
        <v>0</v>
      </c>
      <c r="F64" s="18"/>
      <c r="H64" s="2"/>
    </row>
    <row r="65" spans="1:8" x14ac:dyDescent="0.25">
      <c r="A65" s="10">
        <v>2</v>
      </c>
      <c r="B65" s="10" t="s">
        <v>17</v>
      </c>
      <c r="C65" s="10">
        <v>2025</v>
      </c>
      <c r="D65" s="40">
        <f>SUMIFS(Registre!$P$3:$P$15000,Registre!$A$3:$A$15000,2,Registre!$B$3:$B$15000,"mars",Registre!$C$3:$C$15000,2025)</f>
        <v>0</v>
      </c>
      <c r="F65" s="18"/>
      <c r="H65" s="2"/>
    </row>
    <row r="66" spans="1:8" x14ac:dyDescent="0.25">
      <c r="A66" s="10">
        <v>3</v>
      </c>
      <c r="B66" s="10" t="s">
        <v>17</v>
      </c>
      <c r="C66" s="10">
        <v>2025</v>
      </c>
      <c r="D66" s="40">
        <f>SUMIFS(Registre!$P$3:$P$15000,Registre!$A$3:$A$15000,3,Registre!$B$3:$B$15000,"mars",Registre!$C$3:$C$15000,2025)</f>
        <v>0</v>
      </c>
      <c r="F66" s="18"/>
      <c r="H66" s="2"/>
    </row>
    <row r="67" spans="1:8" x14ac:dyDescent="0.25">
      <c r="A67" s="10">
        <v>4</v>
      </c>
      <c r="B67" s="10" t="s">
        <v>17</v>
      </c>
      <c r="C67" s="10">
        <v>2025</v>
      </c>
      <c r="D67" s="40">
        <f>SUMIFS(Registre!$P$3:$P$15000,Registre!$A$3:$A$15000,4,Registre!$B$3:$B$15000,"mars",Registre!$C$3:$C$15000,2025)</f>
        <v>0</v>
      </c>
      <c r="F67" s="18"/>
      <c r="H67" s="2"/>
    </row>
    <row r="68" spans="1:8" x14ac:dyDescent="0.25">
      <c r="A68" s="10">
        <v>5</v>
      </c>
      <c r="B68" s="10" t="s">
        <v>17</v>
      </c>
      <c r="C68" s="10">
        <v>2025</v>
      </c>
      <c r="D68" s="40">
        <f>SUMIFS(Registre!$P$3:$P$15000,Registre!$A$3:$A$15000,5,Registre!$B$3:$B$15000,"mars",Registre!$C$3:$C$15000,2025)</f>
        <v>0</v>
      </c>
      <c r="F68" s="17"/>
      <c r="H68" s="2"/>
    </row>
    <row r="69" spans="1:8" x14ac:dyDescent="0.25">
      <c r="A69" s="10">
        <v>6</v>
      </c>
      <c r="B69" s="10" t="s">
        <v>17</v>
      </c>
      <c r="C69" s="10">
        <v>2025</v>
      </c>
      <c r="D69" s="40">
        <f>SUMIFS(Registre!$P$3:$P$15000,Registre!$A$3:$A$15000,6,Registre!$B$3:$B$15000,"mars",Registre!$C$3:$C$15000,2025)</f>
        <v>0</v>
      </c>
      <c r="F69" s="17"/>
      <c r="H69" s="2"/>
    </row>
    <row r="70" spans="1:8" x14ac:dyDescent="0.25">
      <c r="A70" s="10">
        <v>7</v>
      </c>
      <c r="B70" s="10" t="s">
        <v>17</v>
      </c>
      <c r="C70" s="10">
        <v>2025</v>
      </c>
      <c r="D70" s="40">
        <f>SUMIFS(Registre!$P$3:$P$15000,Registre!$A$3:$A$15000,7,Registre!$B$3:$B$15000,"mars",Registre!$C$3:$C$15000,2025)</f>
        <v>0</v>
      </c>
      <c r="F70" s="18"/>
      <c r="H70" s="2"/>
    </row>
    <row r="71" spans="1:8" x14ac:dyDescent="0.25">
      <c r="A71" s="10">
        <v>8</v>
      </c>
      <c r="B71" s="10" t="s">
        <v>17</v>
      </c>
      <c r="C71" s="10">
        <v>2025</v>
      </c>
      <c r="D71" s="40">
        <f>SUMIFS(Registre!$P$3:$P$15000,Registre!$A$3:$A$15000,8,Registre!$B$3:$B$15000,"mars",Registre!$C$3:$C$15000,2025)</f>
        <v>0</v>
      </c>
      <c r="F71" s="18"/>
      <c r="H71" s="2"/>
    </row>
    <row r="72" spans="1:8" x14ac:dyDescent="0.25">
      <c r="A72" s="10">
        <v>9</v>
      </c>
      <c r="B72" s="10" t="s">
        <v>17</v>
      </c>
      <c r="C72" s="10">
        <v>2025</v>
      </c>
      <c r="D72" s="40">
        <f>SUMIFS(Registre!$P$3:$P$15000,Registre!$A$3:$A$15000,9,Registre!$B$3:$B$15000,"mars",Registre!$C$3:$C$15000,2025)</f>
        <v>0</v>
      </c>
      <c r="F72" s="18"/>
      <c r="H72" s="2"/>
    </row>
    <row r="73" spans="1:8" x14ac:dyDescent="0.25">
      <c r="A73" s="10">
        <v>10</v>
      </c>
      <c r="B73" s="10" t="s">
        <v>17</v>
      </c>
      <c r="C73" s="10">
        <v>2025</v>
      </c>
      <c r="D73" s="40">
        <f>SUMIFS(Registre!$P$3:$P$15000,Registre!$A$3:$A$15000,10,Registre!$B$3:$B$15000,"mars",Registre!$C$3:$C$15000,2025)</f>
        <v>0</v>
      </c>
      <c r="F73" s="18"/>
      <c r="H73" s="2"/>
    </row>
    <row r="74" spans="1:8" x14ac:dyDescent="0.25">
      <c r="A74" s="10">
        <v>11</v>
      </c>
      <c r="B74" s="10" t="s">
        <v>17</v>
      </c>
      <c r="C74" s="10">
        <v>2025</v>
      </c>
      <c r="D74" s="40">
        <f>SUMIFS(Registre!$P$3:$P$15000,Registre!$A$3:$A$15000,11,Registre!$B$3:$B$15000,"mars",Registre!$C$3:$C$15000,2025)</f>
        <v>0</v>
      </c>
      <c r="F74" s="18"/>
      <c r="H74" s="2"/>
    </row>
    <row r="75" spans="1:8" x14ac:dyDescent="0.25">
      <c r="A75" s="10">
        <v>12</v>
      </c>
      <c r="B75" s="10" t="s">
        <v>17</v>
      </c>
      <c r="C75" s="10">
        <v>2025</v>
      </c>
      <c r="D75" s="40">
        <f>SUMIFS(Registre!$P$3:$P$15000,Registre!$A$3:$A$15000,12,Registre!$B$3:$B$15000,"mars",Registre!$C$3:$C$15000,2025)</f>
        <v>0</v>
      </c>
      <c r="F75" s="18"/>
      <c r="H75" s="2"/>
    </row>
    <row r="76" spans="1:8" x14ac:dyDescent="0.25">
      <c r="A76" s="10">
        <v>13</v>
      </c>
      <c r="B76" s="10" t="s">
        <v>17</v>
      </c>
      <c r="C76" s="10">
        <v>2025</v>
      </c>
      <c r="D76" s="40">
        <f>SUMIFS(Registre!$P$3:$P$15000,Registre!$A$3:$A$15000,13,Registre!$B$3:$B$15000,"mars",Registre!$C$3:$C$15000,2025)</f>
        <v>0</v>
      </c>
      <c r="F76" s="18"/>
      <c r="H76" s="2"/>
    </row>
    <row r="77" spans="1:8" x14ac:dyDescent="0.25">
      <c r="A77" s="10">
        <v>14</v>
      </c>
      <c r="B77" s="10" t="s">
        <v>17</v>
      </c>
      <c r="C77" s="10">
        <v>2025</v>
      </c>
      <c r="D77" s="40">
        <f>SUMIFS(Registre!$P$3:$P$15000,Registre!$A$3:$A$15000,14,Registre!$B$3:$B$15000,"mars",Registre!$C$3:$C$15000,2025)</f>
        <v>0</v>
      </c>
      <c r="F77" s="17"/>
      <c r="H77" s="2"/>
    </row>
    <row r="78" spans="1:8" x14ac:dyDescent="0.25">
      <c r="A78" s="10">
        <v>15</v>
      </c>
      <c r="B78" s="10" t="s">
        <v>17</v>
      </c>
      <c r="C78" s="10">
        <v>2025</v>
      </c>
      <c r="D78" s="40">
        <f>SUMIFS(Registre!$P$3:$P$15000,Registre!$A$3:$A$15000,15,Registre!$B$3:$B$15000,"mars",Registre!$C$3:$C$15000,2025)</f>
        <v>0</v>
      </c>
      <c r="F78" s="17"/>
      <c r="H78" s="2"/>
    </row>
    <row r="79" spans="1:8" x14ac:dyDescent="0.25">
      <c r="A79" s="10">
        <v>16</v>
      </c>
      <c r="B79" s="10" t="s">
        <v>17</v>
      </c>
      <c r="C79" s="10">
        <v>2025</v>
      </c>
      <c r="D79" s="40">
        <f>SUMIFS(Registre!$P$3:$P$15000,Registre!$A$3:$A$15000,16,Registre!$B$3:$B$15000,"mars",Registre!$C$3:$C$15000,2025)</f>
        <v>0</v>
      </c>
      <c r="F79" s="18"/>
      <c r="H79" s="2"/>
    </row>
    <row r="80" spans="1:8" x14ac:dyDescent="0.25">
      <c r="A80" s="10">
        <v>17</v>
      </c>
      <c r="B80" s="10" t="s">
        <v>17</v>
      </c>
      <c r="C80" s="10">
        <v>2025</v>
      </c>
      <c r="D80" s="40">
        <f>SUMIFS(Registre!$P$3:$P$15000,Registre!$A$3:$A$15000,17,Registre!$B$3:$B$15000,"mars",Registre!$C$3:$C$15000,2025)</f>
        <v>0</v>
      </c>
      <c r="F80" s="18"/>
      <c r="H80" s="2"/>
    </row>
    <row r="81" spans="1:8" x14ac:dyDescent="0.25">
      <c r="A81" s="10">
        <v>18</v>
      </c>
      <c r="B81" s="10" t="s">
        <v>17</v>
      </c>
      <c r="C81" s="10">
        <v>2025</v>
      </c>
      <c r="D81" s="40">
        <f>SUMIFS(Registre!$P$3:$P$15000,Registre!$A$3:$A$15000,18,Registre!$B$3:$B$15000,"mars",Registre!$C$3:$C$15000,2025)</f>
        <v>0</v>
      </c>
      <c r="F81" s="18"/>
      <c r="H81" s="2"/>
    </row>
    <row r="82" spans="1:8" x14ac:dyDescent="0.25">
      <c r="A82" s="10">
        <v>19</v>
      </c>
      <c r="B82" s="10" t="s">
        <v>17</v>
      </c>
      <c r="C82" s="10">
        <v>2025</v>
      </c>
      <c r="D82" s="40">
        <f>SUMIFS(Registre!$P$3:$P$15000,Registre!$A$3:$A$15000,19,Registre!$B$3:$B$15000,"mars",Registre!$C$3:$C$15000,2025)</f>
        <v>0</v>
      </c>
      <c r="F82" s="18"/>
      <c r="H82" s="2"/>
    </row>
    <row r="83" spans="1:8" x14ac:dyDescent="0.25">
      <c r="A83" s="10">
        <v>20</v>
      </c>
      <c r="B83" s="10" t="s">
        <v>17</v>
      </c>
      <c r="C83" s="10">
        <v>2025</v>
      </c>
      <c r="D83" s="40">
        <f>SUMIFS(Registre!$P$3:$P$15000,Registre!$A$3:$A$15000,20,Registre!$B$3:$B$15000,"mars",Registre!$C$3:$C$15000,2025)</f>
        <v>0</v>
      </c>
      <c r="F83" s="18"/>
      <c r="H83" s="2"/>
    </row>
    <row r="84" spans="1:8" x14ac:dyDescent="0.25">
      <c r="A84" s="10">
        <v>21</v>
      </c>
      <c r="B84" s="10" t="s">
        <v>17</v>
      </c>
      <c r="C84" s="10">
        <v>2025</v>
      </c>
      <c r="D84" s="40">
        <f>SUMIFS(Registre!$P$3:$P$15000,Registre!$A$3:$A$15000,21,Registre!$B$3:$B$15000,"mars",Registre!$C$3:$C$15000,2025)</f>
        <v>0</v>
      </c>
      <c r="F84" s="18"/>
      <c r="H84" s="2"/>
    </row>
    <row r="85" spans="1:8" x14ac:dyDescent="0.25">
      <c r="A85" s="10">
        <v>22</v>
      </c>
      <c r="B85" s="10" t="s">
        <v>17</v>
      </c>
      <c r="C85" s="10">
        <v>2025</v>
      </c>
      <c r="D85" s="40">
        <f>SUMIFS(Registre!$P$3:$P$15000,Registre!$A$3:$A$15000,22,Registre!$B$3:$B$15000,"mars",Registre!$C$3:$C$15000,2025)</f>
        <v>0</v>
      </c>
      <c r="F85" s="18"/>
      <c r="H85" s="2"/>
    </row>
    <row r="86" spans="1:8" x14ac:dyDescent="0.25">
      <c r="A86" s="10">
        <v>23</v>
      </c>
      <c r="B86" s="10" t="s">
        <v>17</v>
      </c>
      <c r="C86" s="10">
        <v>2025</v>
      </c>
      <c r="D86" s="40">
        <f>SUMIFS(Registre!$P$3:$P$15000,Registre!$A$3:$A$15000,23,Registre!$B$3:$B$15000,"mars",Registre!$C$3:$C$15000,2025)</f>
        <v>0</v>
      </c>
      <c r="F86" s="17"/>
      <c r="H86" s="2"/>
    </row>
    <row r="87" spans="1:8" x14ac:dyDescent="0.25">
      <c r="A87" s="10">
        <v>24</v>
      </c>
      <c r="B87" s="10" t="s">
        <v>17</v>
      </c>
      <c r="C87" s="10">
        <v>2025</v>
      </c>
      <c r="D87" s="40">
        <f>SUMIFS(Registre!$P$3:$P$15000,Registre!$A$3:$A$15000,24,Registre!$B$3:$B$15000,"mars",Registre!$C$3:$C$15000,2025)</f>
        <v>0</v>
      </c>
      <c r="F87" s="17"/>
      <c r="H87" s="2"/>
    </row>
    <row r="88" spans="1:8" x14ac:dyDescent="0.25">
      <c r="A88" s="10">
        <v>25</v>
      </c>
      <c r="B88" s="10" t="s">
        <v>17</v>
      </c>
      <c r="C88" s="10">
        <v>2025</v>
      </c>
      <c r="D88" s="40">
        <f>SUMIFS(Registre!$P$3:$P$15000,Registre!$A$3:$A$15000,25,Registre!$B$3:$B$15000,"mars",Registre!$C$3:$C$15000,2025)</f>
        <v>0</v>
      </c>
      <c r="F88" s="18"/>
      <c r="H88" s="2"/>
    </row>
    <row r="89" spans="1:8" x14ac:dyDescent="0.25">
      <c r="A89" s="10">
        <v>26</v>
      </c>
      <c r="B89" s="10" t="s">
        <v>17</v>
      </c>
      <c r="C89" s="10">
        <v>2025</v>
      </c>
      <c r="D89" s="40">
        <f>SUMIFS(Registre!$P$3:$P$15000,Registre!$A$3:$A$15000,26,Registre!$B$3:$B$15000,"mars",Registre!$C$3:$C$15000,2025)</f>
        <v>0</v>
      </c>
      <c r="F89" s="18"/>
      <c r="H89" s="2"/>
    </row>
    <row r="90" spans="1:8" x14ac:dyDescent="0.25">
      <c r="A90" s="10">
        <v>27</v>
      </c>
      <c r="B90" s="10" t="s">
        <v>17</v>
      </c>
      <c r="C90" s="10">
        <v>2025</v>
      </c>
      <c r="D90" s="40">
        <f>SUMIFS(Registre!$P$3:$P$15000,Registre!$A$3:$A$15000,27,Registre!$B$3:$B$15000,"mars",Registre!$C$3:$C$15000,2025)</f>
        <v>0</v>
      </c>
      <c r="F90" s="18"/>
      <c r="H90" s="2"/>
    </row>
    <row r="91" spans="1:8" x14ac:dyDescent="0.25">
      <c r="A91" s="10">
        <v>28</v>
      </c>
      <c r="B91" s="10" t="s">
        <v>17</v>
      </c>
      <c r="C91" s="10">
        <v>2025</v>
      </c>
      <c r="D91" s="40">
        <f>SUMIFS(Registre!$P$3:$P$15000,Registre!$A$3:$A$15000,28,Registre!$B$3:$B$15000,"mars",Registre!$C$3:$C$15000,2025)</f>
        <v>0</v>
      </c>
      <c r="F91" s="18"/>
      <c r="H91" s="2"/>
    </row>
    <row r="92" spans="1:8" x14ac:dyDescent="0.25">
      <c r="A92" s="10">
        <v>29</v>
      </c>
      <c r="B92" s="10" t="s">
        <v>17</v>
      </c>
      <c r="C92" s="10">
        <v>2025</v>
      </c>
      <c r="D92" s="40">
        <f>SUMIFS(Registre!$P$3:$P$15000,Registre!$A$3:$A$15000,29,Registre!$B$3:$B$15000,"mars",Registre!$C$3:$C$15000,2025)</f>
        <v>0</v>
      </c>
      <c r="F92" s="18"/>
      <c r="H92" s="2"/>
    </row>
    <row r="93" spans="1:8" x14ac:dyDescent="0.25">
      <c r="A93" s="10">
        <v>30</v>
      </c>
      <c r="B93" s="10" t="s">
        <v>17</v>
      </c>
      <c r="C93" s="10">
        <v>2025</v>
      </c>
      <c r="D93" s="40">
        <f>SUMIFS(Registre!$P$3:$P$15000,Registre!$A$3:$A$15000,30,Registre!$B$3:$B$15000,"mars",Registre!$C$3:$C$15000,2025)</f>
        <v>0</v>
      </c>
      <c r="F93" s="18"/>
      <c r="H93" s="2"/>
    </row>
    <row r="94" spans="1:8" x14ac:dyDescent="0.25">
      <c r="A94" s="10">
        <v>31</v>
      </c>
      <c r="B94" s="10" t="s">
        <v>17</v>
      </c>
      <c r="C94" s="10">
        <v>2025</v>
      </c>
      <c r="D94" s="40">
        <f>SUMIFS(Registre!$P$3:$P$15000,Registre!$A$3:$A$15000,31,Registre!$B$3:$B$15000,"mars",Registre!$C$3:$C$15000,2025)</f>
        <v>0</v>
      </c>
      <c r="F94" s="18"/>
      <c r="H94" s="2"/>
    </row>
    <row r="95" spans="1:8" x14ac:dyDescent="0.25">
      <c r="A95" s="11">
        <v>1</v>
      </c>
      <c r="B95" s="11" t="s">
        <v>18</v>
      </c>
      <c r="C95" s="11">
        <v>2025</v>
      </c>
      <c r="D95" s="41">
        <f>SUMIFS(Registre!$P$3:$P$15000,Registre!$A$3:$A$15000,1,Registre!$B$3:$B$15000,"avril",Registre!$C$3:$C$15000,2025)</f>
        <v>0</v>
      </c>
      <c r="F95" s="17"/>
      <c r="H95" s="2"/>
    </row>
    <row r="96" spans="1:8" x14ac:dyDescent="0.25">
      <c r="A96" s="11">
        <v>2</v>
      </c>
      <c r="B96" s="11" t="s">
        <v>18</v>
      </c>
      <c r="C96" s="11">
        <v>2025</v>
      </c>
      <c r="D96" s="41">
        <f>SUMIFS(Registre!$P$3:$P$15000,Registre!$A$3:$A$15000,2,Registre!$B$3:$B$15000,"avril",Registre!$C$3:$C$15000,2025)</f>
        <v>0</v>
      </c>
      <c r="F96" s="17"/>
      <c r="H96" s="2"/>
    </row>
    <row r="97" spans="1:8" x14ac:dyDescent="0.25">
      <c r="A97" s="11">
        <v>3</v>
      </c>
      <c r="B97" s="11" t="s">
        <v>18</v>
      </c>
      <c r="C97" s="11">
        <v>2025</v>
      </c>
      <c r="D97" s="41">
        <f>SUMIFS(Registre!$P$3:$P$15000,Registre!$A$3:$A$15000,3,Registre!$B$3:$B$15000,"avril",Registre!$C$3:$C$15000,2025)</f>
        <v>0</v>
      </c>
      <c r="F97" s="18"/>
      <c r="H97" s="2"/>
    </row>
    <row r="98" spans="1:8" x14ac:dyDescent="0.25">
      <c r="A98" s="11">
        <v>4</v>
      </c>
      <c r="B98" s="11" t="s">
        <v>18</v>
      </c>
      <c r="C98" s="11">
        <v>2025</v>
      </c>
      <c r="D98" s="41">
        <f>SUMIFS(Registre!$P$3:$P$15000,Registre!$A$3:$A$15000,4,Registre!$B$3:$B$15000,"avril",Registre!$C$3:$C$15000,2025)</f>
        <v>0</v>
      </c>
      <c r="F98" s="18"/>
      <c r="H98" s="2"/>
    </row>
    <row r="99" spans="1:8" x14ac:dyDescent="0.25">
      <c r="A99" s="11">
        <v>5</v>
      </c>
      <c r="B99" s="11" t="s">
        <v>18</v>
      </c>
      <c r="C99" s="11">
        <v>2025</v>
      </c>
      <c r="D99" s="41">
        <f>SUMIFS(Registre!$P$3:$P$15000,Registre!$A$3:$A$15000,5,Registre!$B$3:$B$15000,"avril",Registre!$C$3:$C$15000,2025)</f>
        <v>0</v>
      </c>
      <c r="F99" s="18"/>
      <c r="H99" s="2"/>
    </row>
    <row r="100" spans="1:8" x14ac:dyDescent="0.25">
      <c r="A100" s="11">
        <v>6</v>
      </c>
      <c r="B100" s="11" t="s">
        <v>18</v>
      </c>
      <c r="C100" s="11">
        <v>2025</v>
      </c>
      <c r="D100" s="41">
        <f>SUMIFS(Registre!$P$3:$P$15000,Registre!$A$3:$A$15000,6,Registre!$B$3:$B$15000,"avril",Registre!$C$3:$C$15000,2025)</f>
        <v>0</v>
      </c>
      <c r="F100" s="18"/>
      <c r="H100" s="2"/>
    </row>
    <row r="101" spans="1:8" x14ac:dyDescent="0.25">
      <c r="A101" s="11">
        <v>7</v>
      </c>
      <c r="B101" s="11" t="s">
        <v>18</v>
      </c>
      <c r="C101" s="11">
        <v>2025</v>
      </c>
      <c r="D101" s="41">
        <f>SUMIFS(Registre!$P$3:$P$15000,Registre!$A$3:$A$15000,7,Registre!$B$3:$B$15000,"avril",Registre!$C$3:$C$15000,2025)</f>
        <v>0</v>
      </c>
      <c r="F101" s="18"/>
      <c r="H101" s="2"/>
    </row>
    <row r="102" spans="1:8" x14ac:dyDescent="0.25">
      <c r="A102" s="11">
        <v>8</v>
      </c>
      <c r="B102" s="11" t="s">
        <v>18</v>
      </c>
      <c r="C102" s="11">
        <v>2025</v>
      </c>
      <c r="D102" s="41">
        <f>SUMIFS(Registre!$P$3:$P$15000,Registre!$A$3:$A$15000,8,Registre!$B$3:$B$15000,"avril",Registre!$C$3:$C$15000,2025)</f>
        <v>0</v>
      </c>
      <c r="F102" s="18"/>
      <c r="H102" s="2"/>
    </row>
    <row r="103" spans="1:8" x14ac:dyDescent="0.25">
      <c r="A103" s="11">
        <v>9</v>
      </c>
      <c r="B103" s="11" t="s">
        <v>18</v>
      </c>
      <c r="C103" s="11">
        <v>2025</v>
      </c>
      <c r="D103" s="41">
        <f>SUMIFS(Registre!$P$3:$P$15000,Registre!$A$3:$A$15000,9,Registre!$B$3:$B$15000,"avril",Registre!$C$3:$C$15000,2025)</f>
        <v>0</v>
      </c>
      <c r="F103" s="18"/>
      <c r="H103" s="2"/>
    </row>
    <row r="104" spans="1:8" x14ac:dyDescent="0.25">
      <c r="A104" s="11">
        <v>10</v>
      </c>
      <c r="B104" s="11" t="s">
        <v>18</v>
      </c>
      <c r="C104" s="11">
        <v>2025</v>
      </c>
      <c r="D104" s="41">
        <f>SUMIFS(Registre!$P$3:$P$15000,Registre!$A$3:$A$15000,10,Registre!$B$3:$B$15000,"avril",Registre!$C$3:$C$15000,2025)</f>
        <v>0</v>
      </c>
      <c r="F104" s="17"/>
      <c r="H104" s="2"/>
    </row>
    <row r="105" spans="1:8" x14ac:dyDescent="0.25">
      <c r="A105" s="11">
        <v>11</v>
      </c>
      <c r="B105" s="11" t="s">
        <v>18</v>
      </c>
      <c r="C105" s="11">
        <v>2025</v>
      </c>
      <c r="D105" s="41">
        <f>SUMIFS(Registre!$P$3:$P$15000,Registre!$A$3:$A$15000,11,Registre!$B$3:$B$15000,"avril",Registre!$C$3:$C$15000,2025)</f>
        <v>0</v>
      </c>
      <c r="F105" s="17"/>
      <c r="H105" s="2"/>
    </row>
    <row r="106" spans="1:8" x14ac:dyDescent="0.25">
      <c r="A106" s="11">
        <v>12</v>
      </c>
      <c r="B106" s="11" t="s">
        <v>18</v>
      </c>
      <c r="C106" s="11">
        <v>2025</v>
      </c>
      <c r="D106" s="41">
        <f>SUMIFS(Registre!$P$3:$P$15000,Registre!$A$3:$A$15000,12,Registre!$B$3:$B$15000,"avril",Registre!$C$3:$C$15000,2025)</f>
        <v>0</v>
      </c>
      <c r="F106" s="18"/>
      <c r="H106" s="2"/>
    </row>
    <row r="107" spans="1:8" x14ac:dyDescent="0.25">
      <c r="A107" s="11">
        <v>13</v>
      </c>
      <c r="B107" s="11" t="s">
        <v>18</v>
      </c>
      <c r="C107" s="11">
        <v>2025</v>
      </c>
      <c r="D107" s="41">
        <f>SUMIFS(Registre!$P$3:$P$15000,Registre!$A$3:$A$15000,13,Registre!$B$3:$B$15000,"avril",Registre!$C$3:$C$15000,2025)</f>
        <v>0</v>
      </c>
      <c r="F107" s="18"/>
      <c r="H107" s="2"/>
    </row>
    <row r="108" spans="1:8" x14ac:dyDescent="0.25">
      <c r="A108" s="11">
        <v>14</v>
      </c>
      <c r="B108" s="11" t="s">
        <v>18</v>
      </c>
      <c r="C108" s="11">
        <v>2025</v>
      </c>
      <c r="D108" s="41">
        <f>SUMIFS(Registre!$P$3:$P$15000,Registre!$A$3:$A$15000,14,Registre!$B$3:$B$15000,"avril",Registre!$C$3:$C$15000,2025)</f>
        <v>0</v>
      </c>
      <c r="F108" s="18"/>
      <c r="H108" s="2"/>
    </row>
    <row r="109" spans="1:8" x14ac:dyDescent="0.25">
      <c r="A109" s="11">
        <v>15</v>
      </c>
      <c r="B109" s="11" t="s">
        <v>18</v>
      </c>
      <c r="C109" s="11">
        <v>2025</v>
      </c>
      <c r="D109" s="41">
        <f>SUMIFS(Registre!$P$3:$P$15000,Registre!$A$3:$A$15000,15,Registre!$B$3:$B$15000,"avril",Registre!$C$3:$C$15000,2025)</f>
        <v>0</v>
      </c>
      <c r="F109" s="18"/>
      <c r="H109" s="2"/>
    </row>
    <row r="110" spans="1:8" x14ac:dyDescent="0.25">
      <c r="A110" s="11">
        <v>16</v>
      </c>
      <c r="B110" s="11" t="s">
        <v>18</v>
      </c>
      <c r="C110" s="11">
        <v>2025</v>
      </c>
      <c r="D110" s="41">
        <f>SUMIFS(Registre!$P$3:$P$15000,Registre!$A$3:$A$15000,16,Registre!$B$3:$B$15000,"avril",Registre!$C$3:$C$15000,2025)</f>
        <v>0</v>
      </c>
      <c r="F110" s="18"/>
      <c r="H110" s="2"/>
    </row>
    <row r="111" spans="1:8" x14ac:dyDescent="0.25">
      <c r="A111" s="11">
        <v>17</v>
      </c>
      <c r="B111" s="11" t="s">
        <v>18</v>
      </c>
      <c r="C111" s="11">
        <v>2025</v>
      </c>
      <c r="D111" s="41">
        <f>SUMIFS(Registre!$P$3:$P$15000,Registre!$A$3:$A$15000,17,Registre!$B$3:$B$15000,"avril",Registre!$C$3:$C$15000,2025)</f>
        <v>0</v>
      </c>
      <c r="F111" s="18"/>
      <c r="H111" s="2"/>
    </row>
    <row r="112" spans="1:8" x14ac:dyDescent="0.25">
      <c r="A112" s="11">
        <v>18</v>
      </c>
      <c r="B112" s="11" t="s">
        <v>18</v>
      </c>
      <c r="C112" s="11">
        <v>2025</v>
      </c>
      <c r="D112" s="41">
        <f>SUMIFS(Registre!$P$3:$P$15000,Registre!$A$3:$A$15000,18,Registre!$B$3:$B$15000,"avril",Registre!$C$3:$C$15000,2025)</f>
        <v>0</v>
      </c>
      <c r="F112" s="18"/>
      <c r="H112" s="2"/>
    </row>
    <row r="113" spans="1:4" x14ac:dyDescent="0.25">
      <c r="A113" s="11">
        <v>19</v>
      </c>
      <c r="B113" s="11" t="s">
        <v>18</v>
      </c>
      <c r="C113" s="11">
        <v>2025</v>
      </c>
      <c r="D113" s="41">
        <f>SUMIFS(Registre!$P$3:$P$15000,Registre!$A$3:$A$15000,19,Registre!$B$3:$B$15000,"avril",Registre!$C$3:$C$15000,2025)</f>
        <v>0</v>
      </c>
    </row>
    <row r="114" spans="1:4" x14ac:dyDescent="0.25">
      <c r="A114" s="11">
        <v>20</v>
      </c>
      <c r="B114" s="11" t="s">
        <v>18</v>
      </c>
      <c r="C114" s="11">
        <v>2025</v>
      </c>
      <c r="D114" s="41">
        <f>SUMIFS(Registre!$P$3:$P$15000,Registre!$A$3:$A$15000,20,Registre!$B$3:$B$15000,"avril",Registre!$C$3:$C$15000,2025)</f>
        <v>0</v>
      </c>
    </row>
    <row r="115" spans="1:4" x14ac:dyDescent="0.25">
      <c r="A115" s="11">
        <v>21</v>
      </c>
      <c r="B115" s="11" t="s">
        <v>18</v>
      </c>
      <c r="C115" s="11">
        <v>2025</v>
      </c>
      <c r="D115" s="41">
        <f>SUMIFS(Registre!$P$3:$P$15000,Registre!$A$3:$A$15000,21,Registre!$B$3:$B$15000,"avril",Registre!$C$3:$C$15000,2025)</f>
        <v>0</v>
      </c>
    </row>
    <row r="116" spans="1:4" x14ac:dyDescent="0.25">
      <c r="A116" s="11">
        <v>22</v>
      </c>
      <c r="B116" s="11" t="s">
        <v>18</v>
      </c>
      <c r="C116" s="11">
        <v>2025</v>
      </c>
      <c r="D116" s="41">
        <f>SUMIFS(Registre!$P$3:$P$15000,Registre!$A$3:$A$15000,22,Registre!$B$3:$B$15000,"avril",Registre!$C$3:$C$15000,2025)</f>
        <v>0</v>
      </c>
    </row>
    <row r="117" spans="1:4" x14ac:dyDescent="0.25">
      <c r="A117" s="11">
        <v>23</v>
      </c>
      <c r="B117" s="11" t="s">
        <v>18</v>
      </c>
      <c r="C117" s="11">
        <v>2025</v>
      </c>
      <c r="D117" s="41">
        <f>SUMIFS(Registre!$P$3:$P$15000,Registre!$A$3:$A$15000,23,Registre!$B$3:$B$15000,"avril",Registre!$C$3:$C$15000,2025)</f>
        <v>0</v>
      </c>
    </row>
    <row r="118" spans="1:4" x14ac:dyDescent="0.25">
      <c r="A118" s="11">
        <v>24</v>
      </c>
      <c r="B118" s="11" t="s">
        <v>18</v>
      </c>
      <c r="C118" s="11">
        <v>2025</v>
      </c>
      <c r="D118" s="41">
        <f>SUMIFS(Registre!$P$3:$P$15000,Registre!$A$3:$A$15000,24,Registre!$B$3:$B$15000,"avril",Registre!$C$3:$C$15000,2025)</f>
        <v>0</v>
      </c>
    </row>
    <row r="119" spans="1:4" x14ac:dyDescent="0.25">
      <c r="A119" s="11">
        <v>25</v>
      </c>
      <c r="B119" s="11" t="s">
        <v>18</v>
      </c>
      <c r="C119" s="11">
        <v>2025</v>
      </c>
      <c r="D119" s="41">
        <f>SUMIFS(Registre!$P$3:$P$15000,Registre!$A$3:$A$15000,25,Registre!$B$3:$B$15000,"avril",Registre!$C$3:$C$15000,2025)</f>
        <v>0</v>
      </c>
    </row>
    <row r="120" spans="1:4" x14ac:dyDescent="0.25">
      <c r="A120" s="11">
        <v>26</v>
      </c>
      <c r="B120" s="11" t="s">
        <v>18</v>
      </c>
      <c r="C120" s="11">
        <v>2025</v>
      </c>
      <c r="D120" s="41">
        <f>SUMIFS(Registre!$P$3:$P$15000,Registre!$A$3:$A$15000,26,Registre!$B$3:$B$15000,"avril",Registre!$C$3:$C$15000,2025)</f>
        <v>0</v>
      </c>
    </row>
    <row r="121" spans="1:4" x14ac:dyDescent="0.25">
      <c r="A121" s="11">
        <v>27</v>
      </c>
      <c r="B121" s="11" t="s">
        <v>18</v>
      </c>
      <c r="C121" s="11">
        <v>2025</v>
      </c>
      <c r="D121" s="41">
        <f>SUMIFS(Registre!$P$3:$P$15000,Registre!$A$3:$A$15000,27,Registre!$B$3:$B$15000,"avril",Registre!$C$3:$C$15000,2025)</f>
        <v>0</v>
      </c>
    </row>
    <row r="122" spans="1:4" x14ac:dyDescent="0.25">
      <c r="A122" s="11">
        <v>28</v>
      </c>
      <c r="B122" s="11" t="s">
        <v>18</v>
      </c>
      <c r="C122" s="11">
        <v>2025</v>
      </c>
      <c r="D122" s="41">
        <f>SUMIFS(Registre!$P$3:$P$15000,Registre!$A$3:$A$15000,28,Registre!$B$3:$B$15000,"avril",Registre!$C$3:$C$15000,2025)</f>
        <v>0</v>
      </c>
    </row>
    <row r="123" spans="1:4" x14ac:dyDescent="0.25">
      <c r="A123" s="11">
        <v>29</v>
      </c>
      <c r="B123" s="11" t="s">
        <v>18</v>
      </c>
      <c r="C123" s="11">
        <v>2025</v>
      </c>
      <c r="D123" s="41">
        <f>SUMIFS(Registre!$P$3:$P$15000,Registre!$A$3:$A$15000,29,Registre!$B$3:$B$15000,"avril",Registre!$C$3:$C$15000,2025)</f>
        <v>0</v>
      </c>
    </row>
    <row r="124" spans="1:4" x14ac:dyDescent="0.25">
      <c r="A124" s="11">
        <v>30</v>
      </c>
      <c r="B124" s="11" t="s">
        <v>18</v>
      </c>
      <c r="C124" s="11">
        <v>2025</v>
      </c>
      <c r="D124" s="41">
        <f>SUMIFS(Registre!$P$3:$P$15000,Registre!$A$3:$A$15000,30,Registre!$B$3:$B$15000,"avril",Registre!$C$3:$C$15000,2025)</f>
        <v>0</v>
      </c>
    </row>
    <row r="125" spans="1:4" x14ac:dyDescent="0.25">
      <c r="A125" s="10">
        <v>1</v>
      </c>
      <c r="B125" s="10" t="s">
        <v>19</v>
      </c>
      <c r="C125" s="10">
        <v>2025</v>
      </c>
      <c r="D125" s="40">
        <f>SUMIFS(Registre!$P$3:$P$15000,Registre!$A$3:$A$15000,1,Registre!$B$3:$B$15000,"mai",Registre!$C$3:$C$15000,2025)</f>
        <v>0</v>
      </c>
    </row>
    <row r="126" spans="1:4" x14ac:dyDescent="0.25">
      <c r="A126" s="10">
        <v>2</v>
      </c>
      <c r="B126" s="10" t="s">
        <v>19</v>
      </c>
      <c r="C126" s="10">
        <v>2025</v>
      </c>
      <c r="D126" s="40">
        <f>SUMIFS(Registre!$P$3:$P$15000,Registre!$A$3:$A$15000,2,Registre!$B$3:$B$15000,"mai",Registre!$C$3:$C$15000,2025)</f>
        <v>0</v>
      </c>
    </row>
    <row r="127" spans="1:4" x14ac:dyDescent="0.25">
      <c r="A127" s="10">
        <v>3</v>
      </c>
      <c r="B127" s="10" t="s">
        <v>19</v>
      </c>
      <c r="C127" s="10">
        <v>2025</v>
      </c>
      <c r="D127" s="40">
        <f>SUMIFS(Registre!$P$3:$P$15000,Registre!$A$3:$A$15000,3,Registre!$B$3:$B$15000,"mai",Registre!$C$3:$C$15000,2025)</f>
        <v>0</v>
      </c>
    </row>
    <row r="128" spans="1:4" x14ac:dyDescent="0.25">
      <c r="A128" s="10">
        <v>4</v>
      </c>
      <c r="B128" s="10" t="s">
        <v>19</v>
      </c>
      <c r="C128" s="10">
        <v>2025</v>
      </c>
      <c r="D128" s="40">
        <f>SUMIFS(Registre!$P$3:$P$15000,Registre!$A$3:$A$15000,4,Registre!$B$3:$B$15000,"mai",Registre!$C$3:$C$15000,2025)</f>
        <v>0</v>
      </c>
    </row>
    <row r="129" spans="1:4" x14ac:dyDescent="0.25">
      <c r="A129" s="10">
        <v>5</v>
      </c>
      <c r="B129" s="10" t="s">
        <v>19</v>
      </c>
      <c r="C129" s="10">
        <v>2025</v>
      </c>
      <c r="D129" s="40">
        <f>SUMIFS(Registre!$P$3:$P$15000,Registre!$A$3:$A$15000,5,Registre!$B$3:$B$15000,"mai",Registre!$C$3:$C$15000,2025)</f>
        <v>0</v>
      </c>
    </row>
    <row r="130" spans="1:4" x14ac:dyDescent="0.25">
      <c r="A130" s="10">
        <v>6</v>
      </c>
      <c r="B130" s="10" t="s">
        <v>19</v>
      </c>
      <c r="C130" s="10">
        <v>2025</v>
      </c>
      <c r="D130" s="40">
        <f>SUMIFS(Registre!$P$3:$P$15000,Registre!$A$3:$A$15000,6,Registre!$B$3:$B$15000,"mai",Registre!$C$3:$C$15000,2025)</f>
        <v>0</v>
      </c>
    </row>
    <row r="131" spans="1:4" x14ac:dyDescent="0.25">
      <c r="A131" s="10">
        <v>7</v>
      </c>
      <c r="B131" s="10" t="s">
        <v>19</v>
      </c>
      <c r="C131" s="10">
        <v>2025</v>
      </c>
      <c r="D131" s="40">
        <f>SUMIFS(Registre!$P$3:$P$15000,Registre!$A$3:$A$15000,7,Registre!$B$3:$B$15000,"mai",Registre!$C$3:$C$15000,2025)</f>
        <v>0</v>
      </c>
    </row>
    <row r="132" spans="1:4" x14ac:dyDescent="0.25">
      <c r="A132" s="10">
        <v>8</v>
      </c>
      <c r="B132" s="10" t="s">
        <v>19</v>
      </c>
      <c r="C132" s="10">
        <v>2025</v>
      </c>
      <c r="D132" s="40">
        <f>SUMIFS(Registre!$P$3:$P$15000,Registre!$A$3:$A$15000,8,Registre!$B$3:$B$15000,"mai",Registre!$C$3:$C$15000,2025)</f>
        <v>0</v>
      </c>
    </row>
    <row r="133" spans="1:4" x14ac:dyDescent="0.25">
      <c r="A133" s="10">
        <v>9</v>
      </c>
      <c r="B133" s="10" t="s">
        <v>19</v>
      </c>
      <c r="C133" s="10">
        <v>2025</v>
      </c>
      <c r="D133" s="40">
        <f>SUMIFS(Registre!$P$3:$P$15000,Registre!$A$3:$A$15000,9,Registre!$B$3:$B$15000,"mai",Registre!$C$3:$C$15000,2025)</f>
        <v>0</v>
      </c>
    </row>
    <row r="134" spans="1:4" x14ac:dyDescent="0.25">
      <c r="A134" s="10">
        <v>10</v>
      </c>
      <c r="B134" s="10" t="s">
        <v>19</v>
      </c>
      <c r="C134" s="10">
        <v>2025</v>
      </c>
      <c r="D134" s="40">
        <f>SUMIFS(Registre!$P$3:$P$15000,Registre!$A$3:$A$15000,10,Registre!$B$3:$B$15000,"mai",Registre!$C$3:$C$15000,2025)</f>
        <v>0</v>
      </c>
    </row>
    <row r="135" spans="1:4" x14ac:dyDescent="0.25">
      <c r="A135" s="10">
        <v>11</v>
      </c>
      <c r="B135" s="10" t="s">
        <v>19</v>
      </c>
      <c r="C135" s="10">
        <v>2025</v>
      </c>
      <c r="D135" s="40">
        <f>SUMIFS(Registre!$P$3:$P$15000,Registre!$A$3:$A$15000,11,Registre!$B$3:$B$15000,"mai",Registre!$C$3:$C$15000,2025)</f>
        <v>0</v>
      </c>
    </row>
    <row r="136" spans="1:4" x14ac:dyDescent="0.25">
      <c r="A136" s="10">
        <v>12</v>
      </c>
      <c r="B136" s="10" t="s">
        <v>19</v>
      </c>
      <c r="C136" s="10">
        <v>2025</v>
      </c>
      <c r="D136" s="40">
        <f>SUMIFS(Registre!$P$3:$P$15000,Registre!$A$3:$A$15000,12,Registre!$B$3:$B$15000,"mai",Registre!$C$3:$C$15000,2025)</f>
        <v>0</v>
      </c>
    </row>
    <row r="137" spans="1:4" x14ac:dyDescent="0.25">
      <c r="A137" s="10">
        <v>13</v>
      </c>
      <c r="B137" s="10" t="s">
        <v>19</v>
      </c>
      <c r="C137" s="10">
        <v>2025</v>
      </c>
      <c r="D137" s="40">
        <f>SUMIFS(Registre!$P$3:$P$15000,Registre!$A$3:$A$15000,13,Registre!$B$3:$B$15000,"mai",Registre!$C$3:$C$15000,2025)</f>
        <v>0</v>
      </c>
    </row>
    <row r="138" spans="1:4" x14ac:dyDescent="0.25">
      <c r="A138" s="10">
        <v>14</v>
      </c>
      <c r="B138" s="10" t="s">
        <v>19</v>
      </c>
      <c r="C138" s="10">
        <v>2025</v>
      </c>
      <c r="D138" s="40">
        <f>SUMIFS(Registre!$P$3:$P$15000,Registre!$A$3:$A$15000,14,Registre!$B$3:$B$15000,"mai",Registre!$C$3:$C$15000,2025)</f>
        <v>0</v>
      </c>
    </row>
    <row r="139" spans="1:4" x14ac:dyDescent="0.25">
      <c r="A139" s="10">
        <v>15</v>
      </c>
      <c r="B139" s="10" t="s">
        <v>19</v>
      </c>
      <c r="C139" s="10">
        <v>2025</v>
      </c>
      <c r="D139" s="40">
        <f>SUMIFS(Registre!$P$3:$P$15000,Registre!$A$3:$A$15000,15,Registre!$B$3:$B$15000,"mai",Registre!$C$3:$C$15000,2025)</f>
        <v>0</v>
      </c>
    </row>
    <row r="140" spans="1:4" x14ac:dyDescent="0.25">
      <c r="A140" s="10">
        <v>16</v>
      </c>
      <c r="B140" s="10" t="s">
        <v>19</v>
      </c>
      <c r="C140" s="10">
        <v>2025</v>
      </c>
      <c r="D140" s="40">
        <f>SUMIFS(Registre!$P$3:$P$15000,Registre!$A$3:$A$15000,16,Registre!$B$3:$B$15000,"mai",Registre!$C$3:$C$15000,2025)</f>
        <v>0</v>
      </c>
    </row>
    <row r="141" spans="1:4" x14ac:dyDescent="0.25">
      <c r="A141" s="10">
        <v>17</v>
      </c>
      <c r="B141" s="10" t="s">
        <v>19</v>
      </c>
      <c r="C141" s="10">
        <v>2025</v>
      </c>
      <c r="D141" s="40">
        <f>SUMIFS(Registre!$P$3:$P$15000,Registre!$A$3:$A$15000,17,Registre!$B$3:$B$15000,"mai",Registre!$C$3:$C$15000,2025)</f>
        <v>0</v>
      </c>
    </row>
    <row r="142" spans="1:4" x14ac:dyDescent="0.25">
      <c r="A142" s="10">
        <v>18</v>
      </c>
      <c r="B142" s="10" t="s">
        <v>19</v>
      </c>
      <c r="C142" s="10">
        <v>2025</v>
      </c>
      <c r="D142" s="40">
        <f>SUMIFS(Registre!$P$3:$P$15000,Registre!$A$3:$A$15000,18,Registre!$B$3:$B$15000,"mai",Registre!$C$3:$C$15000,2025)</f>
        <v>0</v>
      </c>
    </row>
    <row r="143" spans="1:4" x14ac:dyDescent="0.25">
      <c r="A143" s="10">
        <v>19</v>
      </c>
      <c r="B143" s="10" t="s">
        <v>19</v>
      </c>
      <c r="C143" s="10">
        <v>2025</v>
      </c>
      <c r="D143" s="40">
        <f>SUMIFS(Registre!$P$3:$P$15000,Registre!$A$3:$A$15000,19,Registre!$B$3:$B$15000,"mai",Registre!$C$3:$C$15000,2025)</f>
        <v>0</v>
      </c>
    </row>
    <row r="144" spans="1:4" x14ac:dyDescent="0.25">
      <c r="A144" s="10">
        <v>20</v>
      </c>
      <c r="B144" s="10" t="s">
        <v>19</v>
      </c>
      <c r="C144" s="10">
        <v>2025</v>
      </c>
      <c r="D144" s="40">
        <f>SUMIFS(Registre!$P$3:$P$15000,Registre!$A$3:$A$15000,20,Registre!$B$3:$B$15000,"mai",Registre!$C$3:$C$15000,2025)</f>
        <v>0</v>
      </c>
    </row>
    <row r="145" spans="1:4" x14ac:dyDescent="0.25">
      <c r="A145" s="10">
        <v>21</v>
      </c>
      <c r="B145" s="10" t="s">
        <v>19</v>
      </c>
      <c r="C145" s="10">
        <v>2025</v>
      </c>
      <c r="D145" s="40">
        <f>SUMIFS(Registre!$P$3:$P$15000,Registre!$A$3:$A$15000,21,Registre!$B$3:$B$15000,"mai",Registre!$C$3:$C$15000,2025)</f>
        <v>0</v>
      </c>
    </row>
    <row r="146" spans="1:4" x14ac:dyDescent="0.25">
      <c r="A146" s="10">
        <v>22</v>
      </c>
      <c r="B146" s="10" t="s">
        <v>19</v>
      </c>
      <c r="C146" s="10">
        <v>2025</v>
      </c>
      <c r="D146" s="40">
        <f>SUMIFS(Registre!$P$3:$P$15000,Registre!$A$3:$A$15000,22,Registre!$B$3:$B$15000,"mai",Registre!$C$3:$C$15000,2025)</f>
        <v>0</v>
      </c>
    </row>
    <row r="147" spans="1:4" x14ac:dyDescent="0.25">
      <c r="A147" s="10">
        <v>23</v>
      </c>
      <c r="B147" s="10" t="s">
        <v>19</v>
      </c>
      <c r="C147" s="10">
        <v>2025</v>
      </c>
      <c r="D147" s="40">
        <f>SUMIFS(Registre!$P$3:$P$15000,Registre!$A$3:$A$15000,23,Registre!$B$3:$B$15000,"mai",Registre!$C$3:$C$15000,2025)</f>
        <v>0</v>
      </c>
    </row>
    <row r="148" spans="1:4" x14ac:dyDescent="0.25">
      <c r="A148" s="10">
        <v>24</v>
      </c>
      <c r="B148" s="10" t="s">
        <v>19</v>
      </c>
      <c r="C148" s="10">
        <v>2025</v>
      </c>
      <c r="D148" s="40">
        <f>SUMIFS(Registre!$P$3:$P$15000,Registre!$A$3:$A$15000,24,Registre!$B$3:$B$15000,"mai",Registre!$C$3:$C$15000,2025)</f>
        <v>0</v>
      </c>
    </row>
    <row r="149" spans="1:4" x14ac:dyDescent="0.25">
      <c r="A149" s="10">
        <v>25</v>
      </c>
      <c r="B149" s="10" t="s">
        <v>19</v>
      </c>
      <c r="C149" s="10">
        <v>2025</v>
      </c>
      <c r="D149" s="40">
        <f>SUMIFS(Registre!$P$3:$P$15000,Registre!$A$3:$A$15000,25,Registre!$B$3:$B$15000,"mai",Registre!$C$3:$C$15000,2025)</f>
        <v>0</v>
      </c>
    </row>
    <row r="150" spans="1:4" x14ac:dyDescent="0.25">
      <c r="A150" s="10">
        <v>26</v>
      </c>
      <c r="B150" s="10" t="s">
        <v>19</v>
      </c>
      <c r="C150" s="10">
        <v>2025</v>
      </c>
      <c r="D150" s="40">
        <f>SUMIFS(Registre!$P$3:$P$15000,Registre!$A$3:$A$15000,26,Registre!$B$3:$B$15000,"mai",Registre!$C$3:$C$15000,2025)</f>
        <v>0</v>
      </c>
    </row>
    <row r="151" spans="1:4" x14ac:dyDescent="0.25">
      <c r="A151" s="10">
        <v>27</v>
      </c>
      <c r="B151" s="10" t="s">
        <v>19</v>
      </c>
      <c r="C151" s="10">
        <v>2025</v>
      </c>
      <c r="D151" s="40">
        <f>SUMIFS(Registre!$P$3:$P$15000,Registre!$A$3:$A$15000,27,Registre!$B$3:$B$15000,"mai",Registre!$C$3:$C$15000,2025)</f>
        <v>0</v>
      </c>
    </row>
    <row r="152" spans="1:4" x14ac:dyDescent="0.25">
      <c r="A152" s="10">
        <v>28</v>
      </c>
      <c r="B152" s="10" t="s">
        <v>19</v>
      </c>
      <c r="C152" s="10">
        <v>2025</v>
      </c>
      <c r="D152" s="40">
        <f>SUMIFS(Registre!$P$3:$P$15000,Registre!$A$3:$A$15000,28,Registre!$B$3:$B$15000,"mai",Registre!$C$3:$C$15000,2025)</f>
        <v>0</v>
      </c>
    </row>
    <row r="153" spans="1:4" x14ac:dyDescent="0.25">
      <c r="A153" s="10">
        <v>29</v>
      </c>
      <c r="B153" s="10" t="s">
        <v>19</v>
      </c>
      <c r="C153" s="10">
        <v>2025</v>
      </c>
      <c r="D153" s="40">
        <f>SUMIFS(Registre!$P$3:$P$15000,Registre!$A$3:$A$15000,29,Registre!$B$3:$B$15000,"mai",Registre!$C$3:$C$15000,2025)</f>
        <v>0</v>
      </c>
    </row>
    <row r="154" spans="1:4" x14ac:dyDescent="0.25">
      <c r="A154" s="10">
        <v>30</v>
      </c>
      <c r="B154" s="10" t="s">
        <v>19</v>
      </c>
      <c r="C154" s="10">
        <v>2025</v>
      </c>
      <c r="D154" s="40">
        <f>SUMIFS(Registre!$P$3:$P$15000,Registre!$A$3:$A$15000,30,Registre!$B$3:$B$15000,"mai",Registre!$C$3:$C$15000,2025)</f>
        <v>0</v>
      </c>
    </row>
    <row r="155" spans="1:4" x14ac:dyDescent="0.25">
      <c r="A155" s="10">
        <v>31</v>
      </c>
      <c r="B155" s="10" t="s">
        <v>19</v>
      </c>
      <c r="C155" s="10">
        <v>2025</v>
      </c>
      <c r="D155" s="40">
        <f>SUMIFS(Registre!$P$3:$P$15000,Registre!$A$3:$A$15000,31,Registre!$B$3:$B$15000,"mai",Registre!$C$3:$C$15000,2025)</f>
        <v>0</v>
      </c>
    </row>
    <row r="156" spans="1:4" x14ac:dyDescent="0.25">
      <c r="A156" s="11">
        <v>1</v>
      </c>
      <c r="B156" s="11" t="s">
        <v>20</v>
      </c>
      <c r="C156" s="11">
        <v>2025</v>
      </c>
      <c r="D156" s="41">
        <f>SUMIFS(Registre!$P$3:$P$15000,Registre!$A$3:$A$15000,1,Registre!$B$3:$B$15000,"juin",Registre!$C$3:$C$15000,2025)</f>
        <v>0</v>
      </c>
    </row>
    <row r="157" spans="1:4" x14ac:dyDescent="0.25">
      <c r="A157" s="11">
        <v>2</v>
      </c>
      <c r="B157" s="11" t="s">
        <v>20</v>
      </c>
      <c r="C157" s="11">
        <v>2025</v>
      </c>
      <c r="D157" s="41">
        <f>SUMIFS(Registre!$P$3:$P$15000,Registre!$A$3:$A$15000,2,Registre!$B$3:$B$15000,"juin",Registre!$C$3:$C$15000,2025)</f>
        <v>0</v>
      </c>
    </row>
    <row r="158" spans="1:4" x14ac:dyDescent="0.25">
      <c r="A158" s="11">
        <v>3</v>
      </c>
      <c r="B158" s="11" t="s">
        <v>20</v>
      </c>
      <c r="C158" s="11">
        <v>2025</v>
      </c>
      <c r="D158" s="41">
        <f>SUMIFS(Registre!$P$3:$P$15000,Registre!$A$3:$A$15000,3,Registre!$B$3:$B$15000,"juin",Registre!$C$3:$C$15000,2025)</f>
        <v>0</v>
      </c>
    </row>
    <row r="159" spans="1:4" x14ac:dyDescent="0.25">
      <c r="A159" s="11">
        <v>4</v>
      </c>
      <c r="B159" s="11" t="s">
        <v>20</v>
      </c>
      <c r="C159" s="11">
        <v>2025</v>
      </c>
      <c r="D159" s="41">
        <f>SUMIFS(Registre!$P$3:$P$15000,Registre!$A$3:$A$15000,4,Registre!$B$3:$B$15000,"juin",Registre!$C$3:$C$15000,2025)</f>
        <v>0</v>
      </c>
    </row>
    <row r="160" spans="1:4" x14ac:dyDescent="0.25">
      <c r="A160" s="11">
        <v>5</v>
      </c>
      <c r="B160" s="11" t="s">
        <v>20</v>
      </c>
      <c r="C160" s="11">
        <v>2025</v>
      </c>
      <c r="D160" s="41">
        <f>SUMIFS(Registre!$P$3:$P$15000,Registre!$A$3:$A$15000,5,Registre!$B$3:$B$15000,"juin",Registre!$C$3:$C$15000,2025)</f>
        <v>0</v>
      </c>
    </row>
    <row r="161" spans="1:4" x14ac:dyDescent="0.25">
      <c r="A161" s="11">
        <v>6</v>
      </c>
      <c r="B161" s="11" t="s">
        <v>20</v>
      </c>
      <c r="C161" s="11">
        <v>2025</v>
      </c>
      <c r="D161" s="41">
        <f>SUMIFS(Registre!$P$3:$P$15000,Registre!$A$3:$A$15000,6,Registre!$B$3:$B$15000,"juin",Registre!$C$3:$C$15000,2025)</f>
        <v>0</v>
      </c>
    </row>
    <row r="162" spans="1:4" x14ac:dyDescent="0.25">
      <c r="A162" s="11">
        <v>7</v>
      </c>
      <c r="B162" s="11" t="s">
        <v>20</v>
      </c>
      <c r="C162" s="11">
        <v>2025</v>
      </c>
      <c r="D162" s="41">
        <f>SUMIFS(Registre!$P$3:$P$15000,Registre!$A$3:$A$15000,7,Registre!$B$3:$B$15000,"juin",Registre!$C$3:$C$15000,2025)</f>
        <v>0</v>
      </c>
    </row>
    <row r="163" spans="1:4" x14ac:dyDescent="0.25">
      <c r="A163" s="11">
        <v>8</v>
      </c>
      <c r="B163" s="11" t="s">
        <v>20</v>
      </c>
      <c r="C163" s="11">
        <v>2025</v>
      </c>
      <c r="D163" s="41">
        <f>SUMIFS(Registre!$P$3:$P$15000,Registre!$A$3:$A$15000,8,Registre!$B$3:$B$15000,"juin",Registre!$C$3:$C$15000,2025)</f>
        <v>0</v>
      </c>
    </row>
    <row r="164" spans="1:4" x14ac:dyDescent="0.25">
      <c r="A164" s="11">
        <v>9</v>
      </c>
      <c r="B164" s="11" t="s">
        <v>20</v>
      </c>
      <c r="C164" s="11">
        <v>2025</v>
      </c>
      <c r="D164" s="41">
        <f>SUMIFS(Registre!$P$3:$P$15000,Registre!$A$3:$A$15000,9,Registre!$B$3:$B$15000,"juin",Registre!$C$3:$C$15000,2025)</f>
        <v>0</v>
      </c>
    </row>
    <row r="165" spans="1:4" x14ac:dyDescent="0.25">
      <c r="A165" s="11">
        <v>10</v>
      </c>
      <c r="B165" s="11" t="s">
        <v>20</v>
      </c>
      <c r="C165" s="11">
        <v>2025</v>
      </c>
      <c r="D165" s="41">
        <f>SUMIFS(Registre!$P$3:$P$15000,Registre!$A$3:$A$15000,10,Registre!$B$3:$B$15000,"juin",Registre!$C$3:$C$15000,2025)</f>
        <v>0</v>
      </c>
    </row>
    <row r="166" spans="1:4" x14ac:dyDescent="0.25">
      <c r="A166" s="11">
        <v>11</v>
      </c>
      <c r="B166" s="11" t="s">
        <v>20</v>
      </c>
      <c r="C166" s="11">
        <v>2025</v>
      </c>
      <c r="D166" s="41">
        <f>SUMIFS(Registre!$P$3:$P$15000,Registre!$A$3:$A$15000,11,Registre!$B$3:$B$15000,"juin",Registre!$C$3:$C$15000,2025)</f>
        <v>0</v>
      </c>
    </row>
    <row r="167" spans="1:4" x14ac:dyDescent="0.25">
      <c r="A167" s="11">
        <v>12</v>
      </c>
      <c r="B167" s="11" t="s">
        <v>20</v>
      </c>
      <c r="C167" s="11">
        <v>2025</v>
      </c>
      <c r="D167" s="41">
        <f>SUMIFS(Registre!$P$3:$P$15000,Registre!$A$3:$A$15000,12,Registre!$B$3:$B$15000,"juin",Registre!$C$3:$C$15000,2025)</f>
        <v>0</v>
      </c>
    </row>
    <row r="168" spans="1:4" x14ac:dyDescent="0.25">
      <c r="A168" s="11">
        <v>13</v>
      </c>
      <c r="B168" s="11" t="s">
        <v>20</v>
      </c>
      <c r="C168" s="11">
        <v>2025</v>
      </c>
      <c r="D168" s="41">
        <f>SUMIFS(Registre!$P$3:$P$15000,Registre!$A$3:$A$15000,13,Registre!$B$3:$B$15000,"juin",Registre!$C$3:$C$15000,2025)</f>
        <v>0</v>
      </c>
    </row>
    <row r="169" spans="1:4" x14ac:dyDescent="0.25">
      <c r="A169" s="11">
        <v>14</v>
      </c>
      <c r="B169" s="11" t="s">
        <v>20</v>
      </c>
      <c r="C169" s="11">
        <v>2025</v>
      </c>
      <c r="D169" s="41">
        <f>SUMIFS(Registre!$P$3:$P$15000,Registre!$A$3:$A$15000,14,Registre!$B$3:$B$15000,"juin",Registre!$C$3:$C$15000,2025)</f>
        <v>0</v>
      </c>
    </row>
    <row r="170" spans="1:4" x14ac:dyDescent="0.25">
      <c r="A170" s="11">
        <v>15</v>
      </c>
      <c r="B170" s="11" t="s">
        <v>20</v>
      </c>
      <c r="C170" s="11">
        <v>2025</v>
      </c>
      <c r="D170" s="41">
        <f>SUMIFS(Registre!$P$3:$P$15000,Registre!$A$3:$A$15000,15,Registre!$B$3:$B$15000,"juin",Registre!$C$3:$C$15000,2025)</f>
        <v>0</v>
      </c>
    </row>
    <row r="171" spans="1:4" x14ac:dyDescent="0.25">
      <c r="A171" s="11">
        <v>16</v>
      </c>
      <c r="B171" s="11" t="s">
        <v>20</v>
      </c>
      <c r="C171" s="11">
        <v>2025</v>
      </c>
      <c r="D171" s="41">
        <f>SUMIFS(Registre!$P$3:$P$15000,Registre!$A$3:$A$15000,16,Registre!$B$3:$B$15000,"juin",Registre!$C$3:$C$15000,2025)</f>
        <v>0</v>
      </c>
    </row>
    <row r="172" spans="1:4" x14ac:dyDescent="0.25">
      <c r="A172" s="11">
        <v>17</v>
      </c>
      <c r="B172" s="11" t="s">
        <v>20</v>
      </c>
      <c r="C172" s="11">
        <v>2025</v>
      </c>
      <c r="D172" s="41">
        <f>SUMIFS(Registre!$P$3:$P$15000,Registre!$A$3:$A$15000,17,Registre!$B$3:$B$15000,"juin",Registre!$C$3:$C$15000,2025)</f>
        <v>0</v>
      </c>
    </row>
    <row r="173" spans="1:4" x14ac:dyDescent="0.25">
      <c r="A173" s="11">
        <v>18</v>
      </c>
      <c r="B173" s="11" t="s">
        <v>20</v>
      </c>
      <c r="C173" s="11">
        <v>2025</v>
      </c>
      <c r="D173" s="41">
        <f>SUMIFS(Registre!$P$3:$P$15000,Registre!$A$3:$A$15000,18,Registre!$B$3:$B$15000,"juin",Registre!$C$3:$C$15000,2025)</f>
        <v>0</v>
      </c>
    </row>
    <row r="174" spans="1:4" x14ac:dyDescent="0.25">
      <c r="A174" s="11">
        <v>19</v>
      </c>
      <c r="B174" s="11" t="s">
        <v>20</v>
      </c>
      <c r="C174" s="11">
        <v>2025</v>
      </c>
      <c r="D174" s="41">
        <f>SUMIFS(Registre!$P$3:$P$15000,Registre!$A$3:$A$15000,19,Registre!$B$3:$B$15000,"juin",Registre!$C$3:$C$15000,2025)</f>
        <v>0</v>
      </c>
    </row>
    <row r="175" spans="1:4" x14ac:dyDescent="0.25">
      <c r="A175" s="11">
        <v>20</v>
      </c>
      <c r="B175" s="11" t="s">
        <v>20</v>
      </c>
      <c r="C175" s="11">
        <v>2025</v>
      </c>
      <c r="D175" s="41">
        <f>SUMIFS(Registre!$P$3:$P$15000,Registre!$A$3:$A$15000,20,Registre!$B$3:$B$15000,"juin",Registre!$C$3:$C$15000,2025)</f>
        <v>0</v>
      </c>
    </row>
    <row r="176" spans="1:4" x14ac:dyDescent="0.25">
      <c r="A176" s="11">
        <v>21</v>
      </c>
      <c r="B176" s="11" t="s">
        <v>20</v>
      </c>
      <c r="C176" s="11">
        <v>2025</v>
      </c>
      <c r="D176" s="41">
        <f>SUMIFS(Registre!$P$3:$P$15000,Registre!$A$3:$A$15000,21,Registre!$B$3:$B$15000,"juin",Registre!$C$3:$C$15000,2025)</f>
        <v>0</v>
      </c>
    </row>
    <row r="177" spans="1:4" x14ac:dyDescent="0.25">
      <c r="A177" s="11">
        <v>22</v>
      </c>
      <c r="B177" s="11" t="s">
        <v>20</v>
      </c>
      <c r="C177" s="11">
        <v>2025</v>
      </c>
      <c r="D177" s="41">
        <f>SUMIFS(Registre!$P$3:$P$15000,Registre!$A$3:$A$15000,22,Registre!$B$3:$B$15000,"juin",Registre!$C$3:$C$15000,2025)</f>
        <v>0</v>
      </c>
    </row>
    <row r="178" spans="1:4" x14ac:dyDescent="0.25">
      <c r="A178" s="11">
        <v>23</v>
      </c>
      <c r="B178" s="11" t="s">
        <v>20</v>
      </c>
      <c r="C178" s="11">
        <v>2025</v>
      </c>
      <c r="D178" s="41">
        <f>SUMIFS(Registre!$P$3:$P$15000,Registre!$A$3:$A$15000,23,Registre!$B$3:$B$15000,"juin",Registre!$C$3:$C$15000,2025)</f>
        <v>0</v>
      </c>
    </row>
    <row r="179" spans="1:4" x14ac:dyDescent="0.25">
      <c r="A179" s="11">
        <v>24</v>
      </c>
      <c r="B179" s="11" t="s">
        <v>20</v>
      </c>
      <c r="C179" s="11">
        <v>2025</v>
      </c>
      <c r="D179" s="41">
        <f>SUMIFS(Registre!$P$3:$P$15000,Registre!$A$3:$A$15000,24,Registre!$B$3:$B$15000,"juin",Registre!$C$3:$C$15000,2025)</f>
        <v>0</v>
      </c>
    </row>
    <row r="180" spans="1:4" x14ac:dyDescent="0.25">
      <c r="A180" s="11">
        <v>25</v>
      </c>
      <c r="B180" s="11" t="s">
        <v>20</v>
      </c>
      <c r="C180" s="11">
        <v>2025</v>
      </c>
      <c r="D180" s="41">
        <f>SUMIFS(Registre!$P$3:$P$15000,Registre!$A$3:$A$15000,25,Registre!$B$3:$B$15000,"juin",Registre!$C$3:$C$15000,2025)</f>
        <v>0</v>
      </c>
    </row>
    <row r="181" spans="1:4" x14ac:dyDescent="0.25">
      <c r="A181" s="11">
        <v>26</v>
      </c>
      <c r="B181" s="11" t="s">
        <v>20</v>
      </c>
      <c r="C181" s="11">
        <v>2025</v>
      </c>
      <c r="D181" s="41">
        <f>SUMIFS(Registre!$P$3:$P$15000,Registre!$A$3:$A$15000,26,Registre!$B$3:$B$15000,"juin",Registre!$C$3:$C$15000,2025)</f>
        <v>0</v>
      </c>
    </row>
    <row r="182" spans="1:4" x14ac:dyDescent="0.25">
      <c r="A182" s="11">
        <v>27</v>
      </c>
      <c r="B182" s="11" t="s">
        <v>20</v>
      </c>
      <c r="C182" s="11">
        <v>2025</v>
      </c>
      <c r="D182" s="41">
        <f>SUMIFS(Registre!$P$3:$P$15000,Registre!$A$3:$A$15000,27,Registre!$B$3:$B$15000,"juin",Registre!$C$3:$C$15000,2025)</f>
        <v>0</v>
      </c>
    </row>
    <row r="183" spans="1:4" x14ac:dyDescent="0.25">
      <c r="A183" s="11">
        <v>28</v>
      </c>
      <c r="B183" s="11" t="s">
        <v>20</v>
      </c>
      <c r="C183" s="11">
        <v>2025</v>
      </c>
      <c r="D183" s="41">
        <f>SUMIFS(Registre!$P$3:$P$15000,Registre!$A$3:$A$15000,28,Registre!$B$3:$B$15000,"juin",Registre!$C$3:$C$15000,2025)</f>
        <v>0</v>
      </c>
    </row>
    <row r="184" spans="1:4" x14ac:dyDescent="0.25">
      <c r="A184" s="11">
        <v>29</v>
      </c>
      <c r="B184" s="11" t="s">
        <v>20</v>
      </c>
      <c r="C184" s="11">
        <v>2025</v>
      </c>
      <c r="D184" s="41">
        <f>SUMIFS(Registre!$P$3:$P$15000,Registre!$A$3:$A$15000,29,Registre!$B$3:$B$15000,"juin",Registre!$C$3:$C$15000,2025)</f>
        <v>0</v>
      </c>
    </row>
    <row r="185" spans="1:4" x14ac:dyDescent="0.25">
      <c r="A185" s="11">
        <v>30</v>
      </c>
      <c r="B185" s="11" t="s">
        <v>20</v>
      </c>
      <c r="C185" s="11">
        <v>2025</v>
      </c>
      <c r="D185" s="41">
        <f>SUMIFS(Registre!$P$3:$P$15000,Registre!$A$3:$A$15000,30,Registre!$B$3:$B$15000,"juin",Registre!$C$3:$C$15000,2025)</f>
        <v>0</v>
      </c>
    </row>
    <row r="186" spans="1:4" x14ac:dyDescent="0.25">
      <c r="A186" s="10">
        <v>1</v>
      </c>
      <c r="B186" s="10" t="s">
        <v>21</v>
      </c>
      <c r="C186" s="10">
        <v>2025</v>
      </c>
      <c r="D186" s="40">
        <f>SUMIFS(Registre!$P$3:$P$15000,Registre!$A$3:$A$15000,1,Registre!$B$3:$B$15000,"juillet",Registre!$C$3:$C$15000,2025)</f>
        <v>0</v>
      </c>
    </row>
    <row r="187" spans="1:4" x14ac:dyDescent="0.25">
      <c r="A187" s="10">
        <v>2</v>
      </c>
      <c r="B187" s="10" t="s">
        <v>21</v>
      </c>
      <c r="C187" s="10">
        <v>2025</v>
      </c>
      <c r="D187" s="40">
        <f>SUMIFS(Registre!$P$3:$P$15000,Registre!$A$3:$A$15000,2,Registre!$B$3:$B$15000,"juillet",Registre!$C$3:$C$15000,2025)</f>
        <v>0</v>
      </c>
    </row>
    <row r="188" spans="1:4" x14ac:dyDescent="0.25">
      <c r="A188" s="10">
        <v>3</v>
      </c>
      <c r="B188" s="10" t="s">
        <v>21</v>
      </c>
      <c r="C188" s="10">
        <v>2025</v>
      </c>
      <c r="D188" s="40">
        <f>SUMIFS(Registre!$P$3:$P$15000,Registre!$A$3:$A$15000,3,Registre!$B$3:$B$15000,"juillet",Registre!$C$3:$C$15000,2025)</f>
        <v>0</v>
      </c>
    </row>
    <row r="189" spans="1:4" x14ac:dyDescent="0.25">
      <c r="A189" s="10">
        <v>4</v>
      </c>
      <c r="B189" s="10" t="s">
        <v>21</v>
      </c>
      <c r="C189" s="10">
        <v>2025</v>
      </c>
      <c r="D189" s="40">
        <f>SUMIFS(Registre!$P$3:$P$15000,Registre!$A$3:$A$15000,4,Registre!$B$3:$B$15000,"juillet",Registre!$C$3:$C$15000,2025)</f>
        <v>0</v>
      </c>
    </row>
    <row r="190" spans="1:4" x14ac:dyDescent="0.25">
      <c r="A190" s="10">
        <v>5</v>
      </c>
      <c r="B190" s="10" t="s">
        <v>21</v>
      </c>
      <c r="C190" s="10">
        <v>2025</v>
      </c>
      <c r="D190" s="40">
        <f>SUMIFS(Registre!$P$3:$P$15000,Registre!$A$3:$A$15000,5,Registre!$B$3:$B$15000,"juillet",Registre!$C$3:$C$15000,2025)</f>
        <v>0</v>
      </c>
    </row>
    <row r="191" spans="1:4" x14ac:dyDescent="0.25">
      <c r="A191" s="10">
        <v>6</v>
      </c>
      <c r="B191" s="10" t="s">
        <v>21</v>
      </c>
      <c r="C191" s="10">
        <v>2025</v>
      </c>
      <c r="D191" s="40">
        <f>SUMIFS(Registre!$P$3:$P$15000,Registre!$A$3:$A$15000,6,Registre!$B$3:$B$15000,"juillet",Registre!$C$3:$C$15000,2025)</f>
        <v>0</v>
      </c>
    </row>
    <row r="192" spans="1:4" x14ac:dyDescent="0.25">
      <c r="A192" s="10">
        <v>7</v>
      </c>
      <c r="B192" s="10" t="s">
        <v>21</v>
      </c>
      <c r="C192" s="10">
        <v>2025</v>
      </c>
      <c r="D192" s="40">
        <f>SUMIFS(Registre!$P$3:$P$15000,Registre!$A$3:$A$15000,7,Registre!$B$3:$B$15000,"juillet",Registre!$C$3:$C$15000,2025)</f>
        <v>0</v>
      </c>
    </row>
    <row r="193" spans="1:4" x14ac:dyDescent="0.25">
      <c r="A193" s="10">
        <v>8</v>
      </c>
      <c r="B193" s="10" t="s">
        <v>21</v>
      </c>
      <c r="C193" s="10">
        <v>2025</v>
      </c>
      <c r="D193" s="40">
        <f>SUMIFS(Registre!$P$3:$P$15000,Registre!$A$3:$A$15000,8,Registre!$B$3:$B$15000,"juillet",Registre!$C$3:$C$15000,2025)</f>
        <v>0</v>
      </c>
    </row>
    <row r="194" spans="1:4" x14ac:dyDescent="0.25">
      <c r="A194" s="10">
        <v>9</v>
      </c>
      <c r="B194" s="10" t="s">
        <v>21</v>
      </c>
      <c r="C194" s="10">
        <v>2025</v>
      </c>
      <c r="D194" s="40">
        <f>SUMIFS(Registre!$P$3:$P$15000,Registre!$A$3:$A$15000,9,Registre!$B$3:$B$15000,"juillet",Registre!$C$3:$C$15000,2025)</f>
        <v>0</v>
      </c>
    </row>
    <row r="195" spans="1:4" x14ac:dyDescent="0.25">
      <c r="A195" s="10">
        <v>10</v>
      </c>
      <c r="B195" s="10" t="s">
        <v>21</v>
      </c>
      <c r="C195" s="10">
        <v>2025</v>
      </c>
      <c r="D195" s="40">
        <f>SUMIFS(Registre!$P$3:$P$15000,Registre!$A$3:$A$15000,10,Registre!$B$3:$B$15000,"juillet",Registre!$C$3:$C$15000,2025)</f>
        <v>0</v>
      </c>
    </row>
    <row r="196" spans="1:4" x14ac:dyDescent="0.25">
      <c r="A196" s="10">
        <v>11</v>
      </c>
      <c r="B196" s="10" t="s">
        <v>21</v>
      </c>
      <c r="C196" s="10">
        <v>2025</v>
      </c>
      <c r="D196" s="40">
        <f>SUMIFS(Registre!$P$3:$P$15000,Registre!$A$3:$A$15000,11,Registre!$B$3:$B$15000,"juillet",Registre!$C$3:$C$15000,2025)</f>
        <v>0</v>
      </c>
    </row>
    <row r="197" spans="1:4" x14ac:dyDescent="0.25">
      <c r="A197" s="10">
        <v>12</v>
      </c>
      <c r="B197" s="10" t="s">
        <v>21</v>
      </c>
      <c r="C197" s="10">
        <v>2025</v>
      </c>
      <c r="D197" s="40">
        <f>SUMIFS(Registre!$P$3:$P$15000,Registre!$A$3:$A$15000,12,Registre!$B$3:$B$15000,"juillet",Registre!$C$3:$C$15000,2025)</f>
        <v>0</v>
      </c>
    </row>
    <row r="198" spans="1:4" x14ac:dyDescent="0.25">
      <c r="A198" s="10">
        <v>13</v>
      </c>
      <c r="B198" s="10" t="s">
        <v>21</v>
      </c>
      <c r="C198" s="10">
        <v>2025</v>
      </c>
      <c r="D198" s="40">
        <f>SUMIFS(Registre!$P$3:$P$15000,Registre!$A$3:$A$15000,13,Registre!$B$3:$B$15000,"juillet",Registre!$C$3:$C$15000,2025)</f>
        <v>0</v>
      </c>
    </row>
    <row r="199" spans="1:4" x14ac:dyDescent="0.25">
      <c r="A199" s="10">
        <v>14</v>
      </c>
      <c r="B199" s="10" t="s">
        <v>21</v>
      </c>
      <c r="C199" s="10">
        <v>2025</v>
      </c>
      <c r="D199" s="40">
        <f>SUMIFS(Registre!$P$3:$P$15000,Registre!$A$3:$A$15000,14,Registre!$B$3:$B$15000,"juillet",Registre!$C$3:$C$15000,2025)</f>
        <v>0</v>
      </c>
    </row>
    <row r="200" spans="1:4" x14ac:dyDescent="0.25">
      <c r="A200" s="10">
        <v>15</v>
      </c>
      <c r="B200" s="10" t="s">
        <v>21</v>
      </c>
      <c r="C200" s="10">
        <v>2025</v>
      </c>
      <c r="D200" s="40">
        <f>SUMIFS(Registre!$P$3:$P$15000,Registre!$A$3:$A$15000,15,Registre!$B$3:$B$15000,"juillet",Registre!$C$3:$C$15000,2025)</f>
        <v>0</v>
      </c>
    </row>
    <row r="201" spans="1:4" x14ac:dyDescent="0.25">
      <c r="A201" s="10">
        <v>16</v>
      </c>
      <c r="B201" s="10" t="s">
        <v>21</v>
      </c>
      <c r="C201" s="10">
        <v>2025</v>
      </c>
      <c r="D201" s="40">
        <f>SUMIFS(Registre!$P$3:$P$15000,Registre!$A$3:$A$15000,16,Registre!$B$3:$B$15000,"juillet",Registre!$C$3:$C$15000,2025)</f>
        <v>0</v>
      </c>
    </row>
    <row r="202" spans="1:4" x14ac:dyDescent="0.25">
      <c r="A202" s="10">
        <v>17</v>
      </c>
      <c r="B202" s="10" t="s">
        <v>21</v>
      </c>
      <c r="C202" s="10">
        <v>2025</v>
      </c>
      <c r="D202" s="40">
        <f>SUMIFS(Registre!$P$3:$P$15000,Registre!$A$3:$A$15000,17,Registre!$B$3:$B$15000,"juillet",Registre!$C$3:$C$15000,2025)</f>
        <v>0</v>
      </c>
    </row>
    <row r="203" spans="1:4" x14ac:dyDescent="0.25">
      <c r="A203" s="10">
        <v>18</v>
      </c>
      <c r="B203" s="10" t="s">
        <v>21</v>
      </c>
      <c r="C203" s="10">
        <v>2025</v>
      </c>
      <c r="D203" s="40">
        <f>SUMIFS(Registre!$P$3:$P$15000,Registre!$A$3:$A$15000,18,Registre!$B$3:$B$15000,"juillet",Registre!$C$3:$C$15000,2025)</f>
        <v>0</v>
      </c>
    </row>
    <row r="204" spans="1:4" x14ac:dyDescent="0.25">
      <c r="A204" s="10">
        <v>19</v>
      </c>
      <c r="B204" s="10" t="s">
        <v>21</v>
      </c>
      <c r="C204" s="10">
        <v>2025</v>
      </c>
      <c r="D204" s="40">
        <f>SUMIFS(Registre!$P$3:$P$15000,Registre!$A$3:$A$15000,19,Registre!$B$3:$B$15000,"juillet",Registre!$C$3:$C$15000,2025)</f>
        <v>0</v>
      </c>
    </row>
    <row r="205" spans="1:4" x14ac:dyDescent="0.25">
      <c r="A205" s="10">
        <v>20</v>
      </c>
      <c r="B205" s="10" t="s">
        <v>21</v>
      </c>
      <c r="C205" s="10">
        <v>2025</v>
      </c>
      <c r="D205" s="40">
        <f>SUMIFS(Registre!$P$3:$P$15000,Registre!$A$3:$A$15000,20,Registre!$B$3:$B$15000,"juillet",Registre!$C$3:$C$15000,2025)</f>
        <v>0</v>
      </c>
    </row>
    <row r="206" spans="1:4" x14ac:dyDescent="0.25">
      <c r="A206" s="10">
        <v>21</v>
      </c>
      <c r="B206" s="10" t="s">
        <v>21</v>
      </c>
      <c r="C206" s="10">
        <v>2025</v>
      </c>
      <c r="D206" s="40">
        <f>SUMIFS(Registre!$P$3:$P$15000,Registre!$A$3:$A$15000,21,Registre!$B$3:$B$15000,"juillet",Registre!$C$3:$C$15000,2025)</f>
        <v>0</v>
      </c>
    </row>
    <row r="207" spans="1:4" x14ac:dyDescent="0.25">
      <c r="A207" s="10">
        <v>22</v>
      </c>
      <c r="B207" s="10" t="s">
        <v>21</v>
      </c>
      <c r="C207" s="10">
        <v>2025</v>
      </c>
      <c r="D207" s="40">
        <f>SUMIFS(Registre!$P$3:$P$15000,Registre!$A$3:$A$15000,22,Registre!$B$3:$B$15000,"juillet",Registre!$C$3:$C$15000,2025)</f>
        <v>0</v>
      </c>
    </row>
    <row r="208" spans="1:4" x14ac:dyDescent="0.25">
      <c r="A208" s="10">
        <v>23</v>
      </c>
      <c r="B208" s="10" t="s">
        <v>21</v>
      </c>
      <c r="C208" s="10">
        <v>2025</v>
      </c>
      <c r="D208" s="40">
        <f>SUMIFS(Registre!$P$3:$P$15000,Registre!$A$3:$A$15000,23,Registre!$B$3:$B$15000,"juillet",Registre!$C$3:$C$15000,2025)</f>
        <v>0</v>
      </c>
    </row>
    <row r="209" spans="1:4" x14ac:dyDescent="0.25">
      <c r="A209" s="10">
        <v>24</v>
      </c>
      <c r="B209" s="10" t="s">
        <v>21</v>
      </c>
      <c r="C209" s="10">
        <v>2025</v>
      </c>
      <c r="D209" s="40">
        <f>SUMIFS(Registre!$P$3:$P$15000,Registre!$A$3:$A$15000,24,Registre!$B$3:$B$15000,"juillet",Registre!$C$3:$C$15000,2025)</f>
        <v>0</v>
      </c>
    </row>
    <row r="210" spans="1:4" x14ac:dyDescent="0.25">
      <c r="A210" s="10">
        <v>25</v>
      </c>
      <c r="B210" s="10" t="s">
        <v>21</v>
      </c>
      <c r="C210" s="10">
        <v>2025</v>
      </c>
      <c r="D210" s="40">
        <f>SUMIFS(Registre!$P$3:$P$15000,Registre!$A$3:$A$15000,25,Registre!$B$3:$B$15000,"juillet",Registre!$C$3:$C$15000,2025)</f>
        <v>0</v>
      </c>
    </row>
    <row r="211" spans="1:4" x14ac:dyDescent="0.25">
      <c r="A211" s="10">
        <v>26</v>
      </c>
      <c r="B211" s="10" t="s">
        <v>21</v>
      </c>
      <c r="C211" s="10">
        <v>2025</v>
      </c>
      <c r="D211" s="40">
        <f>SUMIFS(Registre!$P$3:$P$15000,Registre!$A$3:$A$15000,26,Registre!$B$3:$B$15000,"juillet",Registre!$C$3:$C$15000,2025)</f>
        <v>0</v>
      </c>
    </row>
    <row r="212" spans="1:4" x14ac:dyDescent="0.25">
      <c r="A212" s="10">
        <v>27</v>
      </c>
      <c r="B212" s="10" t="s">
        <v>21</v>
      </c>
      <c r="C212" s="10">
        <v>2025</v>
      </c>
      <c r="D212" s="40">
        <f>SUMIFS(Registre!$P$3:$P$15000,Registre!$A$3:$A$15000,27,Registre!$B$3:$B$15000,"juillet",Registre!$C$3:$C$15000,2025)</f>
        <v>0</v>
      </c>
    </row>
    <row r="213" spans="1:4" x14ac:dyDescent="0.25">
      <c r="A213" s="10">
        <v>28</v>
      </c>
      <c r="B213" s="10" t="s">
        <v>21</v>
      </c>
      <c r="C213" s="10">
        <v>2025</v>
      </c>
      <c r="D213" s="40">
        <f>SUMIFS(Registre!$P$3:$P$15000,Registre!$A$3:$A$15000,28,Registre!$B$3:$B$15000,"juillet",Registre!$C$3:$C$15000,2025)</f>
        <v>0</v>
      </c>
    </row>
    <row r="214" spans="1:4" x14ac:dyDescent="0.25">
      <c r="A214" s="10">
        <v>29</v>
      </c>
      <c r="B214" s="10" t="s">
        <v>21</v>
      </c>
      <c r="C214" s="10">
        <v>2025</v>
      </c>
      <c r="D214" s="40">
        <f>SUMIFS(Registre!$P$3:$P$15000,Registre!$A$3:$A$15000,29,Registre!$B$3:$B$15000,"juillet",Registre!$C$3:$C$15000,2025)</f>
        <v>0</v>
      </c>
    </row>
    <row r="215" spans="1:4" x14ac:dyDescent="0.25">
      <c r="A215" s="10">
        <v>30</v>
      </c>
      <c r="B215" s="10" t="s">
        <v>21</v>
      </c>
      <c r="C215" s="10">
        <v>2025</v>
      </c>
      <c r="D215" s="40">
        <f>SUMIFS(Registre!$P$3:$P$15000,Registre!$A$3:$A$15000,30,Registre!$B$3:$B$15000,"juillet",Registre!$C$3:$C$15000,2025)</f>
        <v>0</v>
      </c>
    </row>
    <row r="216" spans="1:4" x14ac:dyDescent="0.25">
      <c r="A216" s="10">
        <v>31</v>
      </c>
      <c r="B216" s="10" t="s">
        <v>21</v>
      </c>
      <c r="C216" s="10">
        <v>2025</v>
      </c>
      <c r="D216" s="40">
        <f>SUMIFS(Registre!$P$3:$P$15000,Registre!$A$3:$A$15000,31,Registre!$B$3:$B$15000,"juillet",Registre!$C$3:$C$15000,2025)</f>
        <v>0</v>
      </c>
    </row>
    <row r="217" spans="1:4" x14ac:dyDescent="0.25">
      <c r="A217" s="11">
        <v>1</v>
      </c>
      <c r="B217" s="11" t="s">
        <v>22</v>
      </c>
      <c r="C217" s="11">
        <v>2025</v>
      </c>
      <c r="D217" s="41">
        <f>SUMIFS(Registre!$P$3:$P$15000,Registre!$A$3:$A$15000,1,Registre!$B$3:$B$15000,"août",Registre!$C$3:$C$15000,2025)</f>
        <v>0</v>
      </c>
    </row>
    <row r="218" spans="1:4" x14ac:dyDescent="0.25">
      <c r="A218" s="11">
        <v>2</v>
      </c>
      <c r="B218" s="11" t="s">
        <v>22</v>
      </c>
      <c r="C218" s="11">
        <v>2025</v>
      </c>
      <c r="D218" s="41">
        <f>SUMIFS(Registre!$P$3:$P$15000,Registre!$A$3:$A$15000,2,Registre!$B$3:$B$15000,"août",Registre!$C$3:$C$15000,2025)</f>
        <v>0</v>
      </c>
    </row>
    <row r="219" spans="1:4" x14ac:dyDescent="0.25">
      <c r="A219" s="11">
        <v>3</v>
      </c>
      <c r="B219" s="11" t="s">
        <v>22</v>
      </c>
      <c r="C219" s="11">
        <v>2025</v>
      </c>
      <c r="D219" s="41">
        <f>SUMIFS(Registre!$P$3:$P$15000,Registre!$A$3:$A$15000,3,Registre!$B$3:$B$15000,"août",Registre!$C$3:$C$15000,2025)</f>
        <v>0</v>
      </c>
    </row>
    <row r="220" spans="1:4" x14ac:dyDescent="0.25">
      <c r="A220" s="11">
        <v>4</v>
      </c>
      <c r="B220" s="11" t="s">
        <v>22</v>
      </c>
      <c r="C220" s="11">
        <v>2025</v>
      </c>
      <c r="D220" s="41">
        <f>SUMIFS(Registre!$P$3:$P$15000,Registre!$A$3:$A$15000,4,Registre!$B$3:$B$15000,"août",Registre!$C$3:$C$15000,2025)</f>
        <v>0</v>
      </c>
    </row>
    <row r="221" spans="1:4" x14ac:dyDescent="0.25">
      <c r="A221" s="11">
        <v>5</v>
      </c>
      <c r="B221" s="11" t="s">
        <v>22</v>
      </c>
      <c r="C221" s="11">
        <v>2025</v>
      </c>
      <c r="D221" s="41">
        <f>SUMIFS(Registre!$P$3:$P$15000,Registre!$A$3:$A$15000,5,Registre!$B$3:$B$15000,"août",Registre!$C$3:$C$15000,2025)</f>
        <v>0</v>
      </c>
    </row>
    <row r="222" spans="1:4" x14ac:dyDescent="0.25">
      <c r="A222" s="11">
        <v>6</v>
      </c>
      <c r="B222" s="11" t="s">
        <v>22</v>
      </c>
      <c r="C222" s="11">
        <v>2025</v>
      </c>
      <c r="D222" s="41">
        <f>SUMIFS(Registre!$P$3:$P$15000,Registre!$A$3:$A$15000,6,Registre!$B$3:$B$15000,"août",Registre!$C$3:$C$15000,2025)</f>
        <v>0</v>
      </c>
    </row>
    <row r="223" spans="1:4" x14ac:dyDescent="0.25">
      <c r="A223" s="11">
        <v>7</v>
      </c>
      <c r="B223" s="11" t="s">
        <v>22</v>
      </c>
      <c r="C223" s="11">
        <v>2025</v>
      </c>
      <c r="D223" s="41">
        <f>SUMIFS(Registre!$P$3:$P$15000,Registre!$A$3:$A$15000,7,Registre!$B$3:$B$15000,"août",Registre!$C$3:$C$15000,2025)</f>
        <v>0</v>
      </c>
    </row>
    <row r="224" spans="1:4" x14ac:dyDescent="0.25">
      <c r="A224" s="11">
        <v>8</v>
      </c>
      <c r="B224" s="11" t="s">
        <v>22</v>
      </c>
      <c r="C224" s="11">
        <v>2025</v>
      </c>
      <c r="D224" s="41">
        <f>SUMIFS(Registre!$P$3:$P$15000,Registre!$A$3:$A$15000,8,Registre!$B$3:$B$15000,"août",Registre!$C$3:$C$15000,2025)</f>
        <v>0</v>
      </c>
    </row>
    <row r="225" spans="1:4" x14ac:dyDescent="0.25">
      <c r="A225" s="11">
        <v>9</v>
      </c>
      <c r="B225" s="11" t="s">
        <v>22</v>
      </c>
      <c r="C225" s="11">
        <v>2025</v>
      </c>
      <c r="D225" s="41">
        <f>SUMIFS(Registre!$P$3:$P$15000,Registre!$A$3:$A$15000,9,Registre!$B$3:$B$15000,"août",Registre!$C$3:$C$15000,2025)</f>
        <v>0</v>
      </c>
    </row>
    <row r="226" spans="1:4" x14ac:dyDescent="0.25">
      <c r="A226" s="11">
        <v>10</v>
      </c>
      <c r="B226" s="11" t="s">
        <v>22</v>
      </c>
      <c r="C226" s="11">
        <v>2025</v>
      </c>
      <c r="D226" s="41">
        <f>SUMIFS(Registre!$P$3:$P$15000,Registre!$A$3:$A$15000,10,Registre!$B$3:$B$15000,"août",Registre!$C$3:$C$15000,2025)</f>
        <v>0</v>
      </c>
    </row>
    <row r="227" spans="1:4" x14ac:dyDescent="0.25">
      <c r="A227" s="11">
        <v>11</v>
      </c>
      <c r="B227" s="11" t="s">
        <v>22</v>
      </c>
      <c r="C227" s="11">
        <v>2025</v>
      </c>
      <c r="D227" s="41">
        <f>SUMIFS(Registre!$P$3:$P$15000,Registre!$A$3:$A$15000,11,Registre!$B$3:$B$15000,"août",Registre!$C$3:$C$15000,2025)</f>
        <v>0</v>
      </c>
    </row>
    <row r="228" spans="1:4" x14ac:dyDescent="0.25">
      <c r="A228" s="11">
        <v>12</v>
      </c>
      <c r="B228" s="11" t="s">
        <v>22</v>
      </c>
      <c r="C228" s="11">
        <v>2025</v>
      </c>
      <c r="D228" s="41">
        <f>SUMIFS(Registre!$P$3:$P$15000,Registre!$A$3:$A$15000,12,Registre!$B$3:$B$15000,"août",Registre!$C$3:$C$15000,2025)</f>
        <v>0</v>
      </c>
    </row>
    <row r="229" spans="1:4" x14ac:dyDescent="0.25">
      <c r="A229" s="11">
        <v>13</v>
      </c>
      <c r="B229" s="11" t="s">
        <v>22</v>
      </c>
      <c r="C229" s="11">
        <v>2025</v>
      </c>
      <c r="D229" s="41">
        <f>SUMIFS(Registre!$P$3:$P$15000,Registre!$A$3:$A$15000,13,Registre!$B$3:$B$15000,"août",Registre!$C$3:$C$15000,2025)</f>
        <v>0</v>
      </c>
    </row>
    <row r="230" spans="1:4" x14ac:dyDescent="0.25">
      <c r="A230" s="11">
        <v>14</v>
      </c>
      <c r="B230" s="11" t="s">
        <v>22</v>
      </c>
      <c r="C230" s="11">
        <v>2025</v>
      </c>
      <c r="D230" s="41">
        <f>SUMIFS(Registre!$P$3:$P$15000,Registre!$A$3:$A$15000,14,Registre!$B$3:$B$15000,"août",Registre!$C$3:$C$15000,2025)</f>
        <v>0</v>
      </c>
    </row>
    <row r="231" spans="1:4" x14ac:dyDescent="0.25">
      <c r="A231" s="11">
        <v>15</v>
      </c>
      <c r="B231" s="11" t="s">
        <v>22</v>
      </c>
      <c r="C231" s="11">
        <v>2025</v>
      </c>
      <c r="D231" s="41">
        <f>SUMIFS(Registre!$P$3:$P$15000,Registre!$A$3:$A$15000,15,Registre!$B$3:$B$15000,"août",Registre!$C$3:$C$15000,2025)</f>
        <v>0</v>
      </c>
    </row>
    <row r="232" spans="1:4" x14ac:dyDescent="0.25">
      <c r="A232" s="11">
        <v>16</v>
      </c>
      <c r="B232" s="11" t="s">
        <v>22</v>
      </c>
      <c r="C232" s="11">
        <v>2025</v>
      </c>
      <c r="D232" s="41">
        <f>SUMIFS(Registre!$P$3:$P$15000,Registre!$A$3:$A$15000,16,Registre!$B$3:$B$15000,"août",Registre!$C$3:$C$15000,2025)</f>
        <v>0</v>
      </c>
    </row>
    <row r="233" spans="1:4" x14ac:dyDescent="0.25">
      <c r="A233" s="11">
        <v>17</v>
      </c>
      <c r="B233" s="11" t="s">
        <v>22</v>
      </c>
      <c r="C233" s="11">
        <v>2025</v>
      </c>
      <c r="D233" s="41">
        <f>SUMIFS(Registre!$P$3:$P$15000,Registre!$A$3:$A$15000,17,Registre!$B$3:$B$15000,"août",Registre!$C$3:$C$15000,2025)</f>
        <v>0</v>
      </c>
    </row>
    <row r="234" spans="1:4" x14ac:dyDescent="0.25">
      <c r="A234" s="11">
        <v>18</v>
      </c>
      <c r="B234" s="11" t="s">
        <v>22</v>
      </c>
      <c r="C234" s="11">
        <v>2025</v>
      </c>
      <c r="D234" s="41">
        <f>SUMIFS(Registre!$P$3:$P$15000,Registre!$A$3:$A$15000,18,Registre!$B$3:$B$15000,"août",Registre!$C$3:$C$15000,2025)</f>
        <v>0</v>
      </c>
    </row>
    <row r="235" spans="1:4" x14ac:dyDescent="0.25">
      <c r="A235" s="11">
        <v>19</v>
      </c>
      <c r="B235" s="11" t="s">
        <v>22</v>
      </c>
      <c r="C235" s="11">
        <v>2025</v>
      </c>
      <c r="D235" s="41">
        <f>SUMIFS(Registre!$P$3:$P$15000,Registre!$A$3:$A$15000,19,Registre!$B$3:$B$15000,"août",Registre!$C$3:$C$15000,2025)</f>
        <v>0</v>
      </c>
    </row>
    <row r="236" spans="1:4" x14ac:dyDescent="0.25">
      <c r="A236" s="11">
        <v>20</v>
      </c>
      <c r="B236" s="11" t="s">
        <v>22</v>
      </c>
      <c r="C236" s="11">
        <v>2025</v>
      </c>
      <c r="D236" s="41">
        <f>SUMIFS(Registre!$P$3:$P$15000,Registre!$A$3:$A$15000,20,Registre!$B$3:$B$15000,"août",Registre!$C$3:$C$15000,2025)</f>
        <v>0</v>
      </c>
    </row>
    <row r="237" spans="1:4" x14ac:dyDescent="0.25">
      <c r="A237" s="11">
        <v>21</v>
      </c>
      <c r="B237" s="11" t="s">
        <v>22</v>
      </c>
      <c r="C237" s="11">
        <v>2025</v>
      </c>
      <c r="D237" s="41">
        <f>SUMIFS(Registre!$P$3:$P$15000,Registre!$A$3:$A$15000,21,Registre!$B$3:$B$15000,"août",Registre!$C$3:$C$15000,2025)</f>
        <v>0</v>
      </c>
    </row>
    <row r="238" spans="1:4" x14ac:dyDescent="0.25">
      <c r="A238" s="11">
        <v>22</v>
      </c>
      <c r="B238" s="11" t="s">
        <v>22</v>
      </c>
      <c r="C238" s="11">
        <v>2025</v>
      </c>
      <c r="D238" s="41">
        <f>SUMIFS(Registre!$P$3:$P$15000,Registre!$A$3:$A$15000,22,Registre!$B$3:$B$15000,"août",Registre!$C$3:$C$15000,2025)</f>
        <v>0</v>
      </c>
    </row>
    <row r="239" spans="1:4" x14ac:dyDescent="0.25">
      <c r="A239" s="11">
        <v>23</v>
      </c>
      <c r="B239" s="11" t="s">
        <v>22</v>
      </c>
      <c r="C239" s="11">
        <v>2025</v>
      </c>
      <c r="D239" s="41">
        <f>SUMIFS(Registre!$P$3:$P$15000,Registre!$A$3:$A$15000,23,Registre!$B$3:$B$15000,"août",Registre!$C$3:$C$15000,2025)</f>
        <v>0</v>
      </c>
    </row>
    <row r="240" spans="1:4" x14ac:dyDescent="0.25">
      <c r="A240" s="11">
        <v>24</v>
      </c>
      <c r="B240" s="11" t="s">
        <v>22</v>
      </c>
      <c r="C240" s="11">
        <v>2025</v>
      </c>
      <c r="D240" s="41">
        <f>SUMIFS(Registre!$P$3:$P$15000,Registre!$A$3:$A$15000,24,Registre!$B$3:$B$15000,"août",Registre!$C$3:$C$15000,2025)</f>
        <v>0</v>
      </c>
    </row>
    <row r="241" spans="1:4" x14ac:dyDescent="0.25">
      <c r="A241" s="11">
        <v>25</v>
      </c>
      <c r="B241" s="11" t="s">
        <v>22</v>
      </c>
      <c r="C241" s="11">
        <v>2025</v>
      </c>
      <c r="D241" s="41">
        <f>SUMIFS(Registre!$P$3:$P$15000,Registre!$A$3:$A$15000,25,Registre!$B$3:$B$15000,"août",Registre!$C$3:$C$15000,2025)</f>
        <v>0</v>
      </c>
    </row>
    <row r="242" spans="1:4" x14ac:dyDescent="0.25">
      <c r="A242" s="11">
        <v>26</v>
      </c>
      <c r="B242" s="11" t="s">
        <v>22</v>
      </c>
      <c r="C242" s="11">
        <v>2025</v>
      </c>
      <c r="D242" s="41">
        <f>SUMIFS(Registre!$P$3:$P$15000,Registre!$A$3:$A$15000,26,Registre!$B$3:$B$15000,"août",Registre!$C$3:$C$15000,2025)</f>
        <v>0</v>
      </c>
    </row>
    <row r="243" spans="1:4" x14ac:dyDescent="0.25">
      <c r="A243" s="11">
        <v>27</v>
      </c>
      <c r="B243" s="11" t="s">
        <v>22</v>
      </c>
      <c r="C243" s="11">
        <v>2025</v>
      </c>
      <c r="D243" s="41">
        <f>SUMIFS(Registre!$P$3:$P$15000,Registre!$A$3:$A$15000,27,Registre!$B$3:$B$15000,"août",Registre!$C$3:$C$15000,2025)</f>
        <v>0</v>
      </c>
    </row>
    <row r="244" spans="1:4" x14ac:dyDescent="0.25">
      <c r="A244" s="11">
        <v>28</v>
      </c>
      <c r="B244" s="11" t="s">
        <v>22</v>
      </c>
      <c r="C244" s="11">
        <v>2025</v>
      </c>
      <c r="D244" s="41">
        <f>SUMIFS(Registre!$P$3:$P$15000,Registre!$A$3:$A$15000,28,Registre!$B$3:$B$15000,"août",Registre!$C$3:$C$15000,2025)</f>
        <v>0</v>
      </c>
    </row>
    <row r="245" spans="1:4" x14ac:dyDescent="0.25">
      <c r="A245" s="11">
        <v>29</v>
      </c>
      <c r="B245" s="11" t="s">
        <v>22</v>
      </c>
      <c r="C245" s="11">
        <v>2025</v>
      </c>
      <c r="D245" s="41">
        <f>SUMIFS(Registre!$P$3:$P$15000,Registre!$A$3:$A$15000,29,Registre!$B$3:$B$15000,"août",Registre!$C$3:$C$15000,2025)</f>
        <v>0</v>
      </c>
    </row>
    <row r="246" spans="1:4" x14ac:dyDescent="0.25">
      <c r="A246" s="11">
        <v>30</v>
      </c>
      <c r="B246" s="11" t="s">
        <v>22</v>
      </c>
      <c r="C246" s="11">
        <v>2025</v>
      </c>
      <c r="D246" s="41">
        <f>SUMIFS(Registre!$P$3:$P$15000,Registre!$A$3:$A$15000,30,Registre!$B$3:$B$15000,"août",Registre!$C$3:$C$15000,2025)</f>
        <v>0</v>
      </c>
    </row>
    <row r="247" spans="1:4" x14ac:dyDescent="0.25">
      <c r="A247" s="11">
        <v>31</v>
      </c>
      <c r="B247" s="11" t="s">
        <v>22</v>
      </c>
      <c r="C247" s="11">
        <v>2025</v>
      </c>
      <c r="D247" s="41">
        <f>SUMIFS(Registre!$P$3:$P$15000,Registre!$A$3:$A$15000,31,Registre!$B$3:$B$15000,"août",Registre!$C$3:$C$15000,2025)</f>
        <v>0</v>
      </c>
    </row>
    <row r="248" spans="1:4" x14ac:dyDescent="0.25">
      <c r="A248" s="10">
        <v>1</v>
      </c>
      <c r="B248" s="10" t="s">
        <v>23</v>
      </c>
      <c r="C248" s="10">
        <v>2025</v>
      </c>
      <c r="D248" s="40">
        <f>SUMIFS(Registre!$P$3:$P$15000,Registre!$A$3:$A$15000,1,Registre!$B$3:$B$15000,"septembre",Registre!$C$3:$C$15000,2025)</f>
        <v>0</v>
      </c>
    </row>
    <row r="249" spans="1:4" x14ac:dyDescent="0.25">
      <c r="A249" s="10">
        <v>2</v>
      </c>
      <c r="B249" s="10" t="s">
        <v>23</v>
      </c>
      <c r="C249" s="10">
        <v>2025</v>
      </c>
      <c r="D249" s="40">
        <f>SUMIFS(Registre!$P$3:$P$15000,Registre!$A$3:$A$15000,2,Registre!$B$3:$B$15000,"septembre",Registre!$C$3:$C$15000,2025)</f>
        <v>0</v>
      </c>
    </row>
    <row r="250" spans="1:4" x14ac:dyDescent="0.25">
      <c r="A250" s="10">
        <v>3</v>
      </c>
      <c r="B250" s="10" t="s">
        <v>23</v>
      </c>
      <c r="C250" s="10">
        <v>2025</v>
      </c>
      <c r="D250" s="40">
        <f>SUMIFS(Registre!$P$3:$P$15000,Registre!$A$3:$A$15000,3,Registre!$B$3:$B$15000,"septembre",Registre!$C$3:$C$15000,2025)</f>
        <v>0</v>
      </c>
    </row>
    <row r="251" spans="1:4" x14ac:dyDescent="0.25">
      <c r="A251" s="10">
        <v>4</v>
      </c>
      <c r="B251" s="10" t="s">
        <v>23</v>
      </c>
      <c r="C251" s="10">
        <v>2025</v>
      </c>
      <c r="D251" s="40">
        <f>SUMIFS(Registre!$P$3:$P$15000,Registre!$A$3:$A$15000,4,Registre!$B$3:$B$15000,"septembre",Registre!$C$3:$C$15000,2025)</f>
        <v>0</v>
      </c>
    </row>
    <row r="252" spans="1:4" x14ac:dyDescent="0.25">
      <c r="A252" s="10">
        <v>5</v>
      </c>
      <c r="B252" s="10" t="s">
        <v>23</v>
      </c>
      <c r="C252" s="10">
        <v>2025</v>
      </c>
      <c r="D252" s="40">
        <f>SUMIFS(Registre!$P$3:$P$15000,Registre!$A$3:$A$15000,5,Registre!$B$3:$B$15000,"septembre",Registre!$C$3:$C$15000,2025)</f>
        <v>0</v>
      </c>
    </row>
    <row r="253" spans="1:4" x14ac:dyDescent="0.25">
      <c r="A253" s="10">
        <v>6</v>
      </c>
      <c r="B253" s="10" t="s">
        <v>23</v>
      </c>
      <c r="C253" s="10">
        <v>2025</v>
      </c>
      <c r="D253" s="40">
        <f>SUMIFS(Registre!$P$3:$P$15000,Registre!$A$3:$A$15000,6,Registre!$B$3:$B$15000,"septembre",Registre!$C$3:$C$15000,2025)</f>
        <v>0</v>
      </c>
    </row>
    <row r="254" spans="1:4" x14ac:dyDescent="0.25">
      <c r="A254" s="10">
        <v>7</v>
      </c>
      <c r="B254" s="10" t="s">
        <v>23</v>
      </c>
      <c r="C254" s="10">
        <v>2025</v>
      </c>
      <c r="D254" s="40">
        <f>SUMIFS(Registre!$P$3:$P$15000,Registre!$A$3:$A$15000,7,Registre!$B$3:$B$15000,"septembre",Registre!$C$3:$C$15000,2025)</f>
        <v>0</v>
      </c>
    </row>
    <row r="255" spans="1:4" x14ac:dyDescent="0.25">
      <c r="A255" s="10">
        <v>8</v>
      </c>
      <c r="B255" s="10" t="s">
        <v>23</v>
      </c>
      <c r="C255" s="10">
        <v>2025</v>
      </c>
      <c r="D255" s="40">
        <f>SUMIFS(Registre!$P$3:$P$15000,Registre!$A$3:$A$15000,8,Registre!$B$3:$B$15000,"septembre",Registre!$C$3:$C$15000,2025)</f>
        <v>0</v>
      </c>
    </row>
    <row r="256" spans="1:4" x14ac:dyDescent="0.25">
      <c r="A256" s="10">
        <v>9</v>
      </c>
      <c r="B256" s="10" t="s">
        <v>23</v>
      </c>
      <c r="C256" s="10">
        <v>2025</v>
      </c>
      <c r="D256" s="40">
        <f>SUMIFS(Registre!$P$3:$P$15000,Registre!$A$3:$A$15000,9,Registre!$B$3:$B$15000,"septembre",Registre!$C$3:$C$15000,2025)</f>
        <v>0</v>
      </c>
    </row>
    <row r="257" spans="1:4" x14ac:dyDescent="0.25">
      <c r="A257" s="10">
        <v>10</v>
      </c>
      <c r="B257" s="10" t="s">
        <v>23</v>
      </c>
      <c r="C257" s="10">
        <v>2025</v>
      </c>
      <c r="D257" s="40">
        <f>SUMIFS(Registre!$P$3:$P$15000,Registre!$A$3:$A$15000,10,Registre!$B$3:$B$15000,"septembre",Registre!$C$3:$C$15000,2025)</f>
        <v>0</v>
      </c>
    </row>
    <row r="258" spans="1:4" x14ac:dyDescent="0.25">
      <c r="A258" s="10">
        <v>11</v>
      </c>
      <c r="B258" s="10" t="s">
        <v>23</v>
      </c>
      <c r="C258" s="10">
        <v>2025</v>
      </c>
      <c r="D258" s="40">
        <f>SUMIFS(Registre!$P$3:$P$15000,Registre!$A$3:$A$15000,11,Registre!$B$3:$B$15000,"septembre",Registre!$C$3:$C$15000,2025)</f>
        <v>0</v>
      </c>
    </row>
    <row r="259" spans="1:4" x14ac:dyDescent="0.25">
      <c r="A259" s="10">
        <v>12</v>
      </c>
      <c r="B259" s="10" t="s">
        <v>23</v>
      </c>
      <c r="C259" s="10">
        <v>2025</v>
      </c>
      <c r="D259" s="40">
        <f>SUMIFS(Registre!$P$3:$P$15000,Registre!$A$3:$A$15000,12,Registre!$B$3:$B$15000,"septembre",Registre!$C$3:$C$15000,2025)</f>
        <v>0</v>
      </c>
    </row>
    <row r="260" spans="1:4" x14ac:dyDescent="0.25">
      <c r="A260" s="10">
        <v>13</v>
      </c>
      <c r="B260" s="10" t="s">
        <v>23</v>
      </c>
      <c r="C260" s="10">
        <v>2025</v>
      </c>
      <c r="D260" s="40">
        <f>SUMIFS(Registre!$P$3:$P$15000,Registre!$A$3:$A$15000,13,Registre!$B$3:$B$15000,"septembre",Registre!$C$3:$C$15000,2025)</f>
        <v>0</v>
      </c>
    </row>
    <row r="261" spans="1:4" x14ac:dyDescent="0.25">
      <c r="A261" s="10">
        <v>14</v>
      </c>
      <c r="B261" s="10" t="s">
        <v>23</v>
      </c>
      <c r="C261" s="10">
        <v>2025</v>
      </c>
      <c r="D261" s="40">
        <f>SUMIFS(Registre!$P$3:$P$15000,Registre!$A$3:$A$15000,14,Registre!$B$3:$B$15000,"septembre",Registre!$C$3:$C$15000,2025)</f>
        <v>0</v>
      </c>
    </row>
    <row r="262" spans="1:4" x14ac:dyDescent="0.25">
      <c r="A262" s="10">
        <v>15</v>
      </c>
      <c r="B262" s="10" t="s">
        <v>23</v>
      </c>
      <c r="C262" s="10">
        <v>2025</v>
      </c>
      <c r="D262" s="40">
        <f>SUMIFS(Registre!$P$3:$P$15000,Registre!$A$3:$A$15000,15,Registre!$B$3:$B$15000,"septembre",Registre!$C$3:$C$15000,2025)</f>
        <v>0</v>
      </c>
    </row>
    <row r="263" spans="1:4" x14ac:dyDescent="0.25">
      <c r="A263" s="10">
        <v>16</v>
      </c>
      <c r="B263" s="10" t="s">
        <v>23</v>
      </c>
      <c r="C263" s="10">
        <v>2025</v>
      </c>
      <c r="D263" s="40">
        <f>SUMIFS(Registre!$P$3:$P$15000,Registre!$A$3:$A$15000,16,Registre!$B$3:$B$15000,"septembre",Registre!$C$3:$C$15000,2025)</f>
        <v>0</v>
      </c>
    </row>
    <row r="264" spans="1:4" x14ac:dyDescent="0.25">
      <c r="A264" s="10">
        <v>17</v>
      </c>
      <c r="B264" s="10" t="s">
        <v>23</v>
      </c>
      <c r="C264" s="10">
        <v>2025</v>
      </c>
      <c r="D264" s="40">
        <f>SUMIFS(Registre!$P$3:$P$15000,Registre!$A$3:$A$15000,17,Registre!$B$3:$B$15000,"septembre",Registre!$C$3:$C$15000,2025)</f>
        <v>0</v>
      </c>
    </row>
    <row r="265" spans="1:4" x14ac:dyDescent="0.25">
      <c r="A265" s="10">
        <v>18</v>
      </c>
      <c r="B265" s="10" t="s">
        <v>23</v>
      </c>
      <c r="C265" s="10">
        <v>2025</v>
      </c>
      <c r="D265" s="40">
        <f>SUMIFS(Registre!$P$3:$P$15000,Registre!$A$3:$A$15000,18,Registre!$B$3:$B$15000,"septembre",Registre!$C$3:$C$15000,2025)</f>
        <v>0</v>
      </c>
    </row>
    <row r="266" spans="1:4" x14ac:dyDescent="0.25">
      <c r="A266" s="10">
        <v>19</v>
      </c>
      <c r="B266" s="10" t="s">
        <v>23</v>
      </c>
      <c r="C266" s="10">
        <v>2025</v>
      </c>
      <c r="D266" s="40">
        <f>SUMIFS(Registre!$P$3:$P$15000,Registre!$A$3:$A$15000,19,Registre!$B$3:$B$15000,"septembre",Registre!$C$3:$C$15000,2025)</f>
        <v>0</v>
      </c>
    </row>
    <row r="267" spans="1:4" x14ac:dyDescent="0.25">
      <c r="A267" s="10">
        <v>20</v>
      </c>
      <c r="B267" s="10" t="s">
        <v>23</v>
      </c>
      <c r="C267" s="10">
        <v>2025</v>
      </c>
      <c r="D267" s="40">
        <f>SUMIFS(Registre!$P$3:$P$15000,Registre!$A$3:$A$15000,20,Registre!$B$3:$B$15000,"septembre",Registre!$C$3:$C$15000,2025)</f>
        <v>0</v>
      </c>
    </row>
    <row r="268" spans="1:4" x14ac:dyDescent="0.25">
      <c r="A268" s="10">
        <v>21</v>
      </c>
      <c r="B268" s="10" t="s">
        <v>23</v>
      </c>
      <c r="C268" s="10">
        <v>2025</v>
      </c>
      <c r="D268" s="40">
        <f>SUMIFS(Registre!$P$3:$P$15000,Registre!$A$3:$A$15000,21,Registre!$B$3:$B$15000,"septembre",Registre!$C$3:$C$15000,2025)</f>
        <v>0</v>
      </c>
    </row>
    <row r="269" spans="1:4" x14ac:dyDescent="0.25">
      <c r="A269" s="10">
        <v>22</v>
      </c>
      <c r="B269" s="10" t="s">
        <v>23</v>
      </c>
      <c r="C269" s="10">
        <v>2025</v>
      </c>
      <c r="D269" s="40">
        <f>SUMIFS(Registre!$P$3:$P$15000,Registre!$A$3:$A$15000,22,Registre!$B$3:$B$15000,"septembre",Registre!$C$3:$C$15000,2025)</f>
        <v>0</v>
      </c>
    </row>
    <row r="270" spans="1:4" x14ac:dyDescent="0.25">
      <c r="A270" s="10">
        <v>23</v>
      </c>
      <c r="B270" s="10" t="s">
        <v>23</v>
      </c>
      <c r="C270" s="10">
        <v>2025</v>
      </c>
      <c r="D270" s="40">
        <f>SUMIFS(Registre!$P$3:$P$15000,Registre!$A$3:$A$15000,23,Registre!$B$3:$B$15000,"septembre",Registre!$C$3:$C$15000,2025)</f>
        <v>0</v>
      </c>
    </row>
    <row r="271" spans="1:4" x14ac:dyDescent="0.25">
      <c r="A271" s="10">
        <v>24</v>
      </c>
      <c r="B271" s="10" t="s">
        <v>23</v>
      </c>
      <c r="C271" s="10">
        <v>2025</v>
      </c>
      <c r="D271" s="40">
        <f>SUMIFS(Registre!$P$3:$P$15000,Registre!$A$3:$A$15000,24,Registre!$B$3:$B$15000,"septembre",Registre!$C$3:$C$15000,2025)</f>
        <v>0</v>
      </c>
    </row>
    <row r="272" spans="1:4" x14ac:dyDescent="0.25">
      <c r="A272" s="10">
        <v>25</v>
      </c>
      <c r="B272" s="10" t="s">
        <v>23</v>
      </c>
      <c r="C272" s="10">
        <v>2025</v>
      </c>
      <c r="D272" s="40">
        <f>SUMIFS(Registre!$P$3:$P$15000,Registre!$A$3:$A$15000,25,Registre!$B$3:$B$15000,"septembre",Registre!$C$3:$C$15000,2025)</f>
        <v>0</v>
      </c>
    </row>
    <row r="273" spans="1:4" x14ac:dyDescent="0.25">
      <c r="A273" s="10">
        <v>26</v>
      </c>
      <c r="B273" s="10" t="s">
        <v>23</v>
      </c>
      <c r="C273" s="10">
        <v>2025</v>
      </c>
      <c r="D273" s="40">
        <f>SUMIFS(Registre!$P$3:$P$15000,Registre!$A$3:$A$15000,26,Registre!$B$3:$B$15000,"septembre",Registre!$C$3:$C$15000,2025)</f>
        <v>0</v>
      </c>
    </row>
    <row r="274" spans="1:4" x14ac:dyDescent="0.25">
      <c r="A274" s="10">
        <v>27</v>
      </c>
      <c r="B274" s="10" t="s">
        <v>23</v>
      </c>
      <c r="C274" s="10">
        <v>2025</v>
      </c>
      <c r="D274" s="40">
        <f>SUMIFS(Registre!$P$3:$P$15000,Registre!$A$3:$A$15000,27,Registre!$B$3:$B$15000,"septembre",Registre!$C$3:$C$15000,2025)</f>
        <v>0</v>
      </c>
    </row>
    <row r="275" spans="1:4" x14ac:dyDescent="0.25">
      <c r="A275" s="10">
        <v>28</v>
      </c>
      <c r="B275" s="10" t="s">
        <v>23</v>
      </c>
      <c r="C275" s="10">
        <v>2025</v>
      </c>
      <c r="D275" s="40">
        <f>SUMIFS(Registre!$P$3:$P$15000,Registre!$A$3:$A$15000,28,Registre!$B$3:$B$15000,"septembre",Registre!$C$3:$C$15000,2025)</f>
        <v>0</v>
      </c>
    </row>
    <row r="276" spans="1:4" x14ac:dyDescent="0.25">
      <c r="A276" s="10">
        <v>29</v>
      </c>
      <c r="B276" s="10" t="s">
        <v>23</v>
      </c>
      <c r="C276" s="10">
        <v>2025</v>
      </c>
      <c r="D276" s="40">
        <f>SUMIFS(Registre!$P$3:$P$15000,Registre!$A$3:$A$15000,29,Registre!$B$3:$B$15000,"septembre",Registre!$C$3:$C$15000,2025)</f>
        <v>0</v>
      </c>
    </row>
    <row r="277" spans="1:4" x14ac:dyDescent="0.25">
      <c r="A277" s="10">
        <v>30</v>
      </c>
      <c r="B277" s="10" t="s">
        <v>23</v>
      </c>
      <c r="C277" s="10">
        <v>2025</v>
      </c>
      <c r="D277" s="40">
        <f>SUMIFS(Registre!$P$3:$P$15000,Registre!$A$3:$A$15000,30,Registre!$B$3:$B$15000,"septembre",Registre!$C$3:$C$15000,2025)</f>
        <v>0</v>
      </c>
    </row>
    <row r="278" spans="1:4" x14ac:dyDescent="0.25">
      <c r="A278" s="11">
        <v>1</v>
      </c>
      <c r="B278" s="11" t="s">
        <v>24</v>
      </c>
      <c r="C278" s="11">
        <v>2025</v>
      </c>
      <c r="D278" s="41">
        <f>SUMIFS(Registre!$P$3:$P$15000,Registre!$A$3:$A$15000,1,Registre!$B$3:$B$15000,"octobre",Registre!$C$3:$C$15000,2025)</f>
        <v>0</v>
      </c>
    </row>
    <row r="279" spans="1:4" x14ac:dyDescent="0.25">
      <c r="A279" s="11">
        <v>2</v>
      </c>
      <c r="B279" s="11" t="s">
        <v>24</v>
      </c>
      <c r="C279" s="11">
        <v>2025</v>
      </c>
      <c r="D279" s="41">
        <f>SUMIFS(Registre!$P$3:$P$15000,Registre!$A$3:$A$15000,2,Registre!$B$3:$B$15000,"octobre",Registre!$C$3:$C$15000,2025)</f>
        <v>0</v>
      </c>
    </row>
    <row r="280" spans="1:4" x14ac:dyDescent="0.25">
      <c r="A280" s="11">
        <v>3</v>
      </c>
      <c r="B280" s="11" t="s">
        <v>24</v>
      </c>
      <c r="C280" s="11">
        <v>2025</v>
      </c>
      <c r="D280" s="41">
        <f>SUMIFS(Registre!$P$3:$P$15000,Registre!$A$3:$A$15000,3,Registre!$B$3:$B$15000,"octobre",Registre!$C$3:$C$15000,2025)</f>
        <v>0</v>
      </c>
    </row>
    <row r="281" spans="1:4" x14ac:dyDescent="0.25">
      <c r="A281" s="11">
        <v>4</v>
      </c>
      <c r="B281" s="11" t="s">
        <v>24</v>
      </c>
      <c r="C281" s="11">
        <v>2025</v>
      </c>
      <c r="D281" s="41">
        <f>SUMIFS(Registre!$P$3:$P$15000,Registre!$A$3:$A$15000,4,Registre!$B$3:$B$15000,"octobre",Registre!$C$3:$C$15000,2025)</f>
        <v>0</v>
      </c>
    </row>
    <row r="282" spans="1:4" x14ac:dyDescent="0.25">
      <c r="A282" s="11">
        <v>5</v>
      </c>
      <c r="B282" s="11" t="s">
        <v>24</v>
      </c>
      <c r="C282" s="11">
        <v>2025</v>
      </c>
      <c r="D282" s="41">
        <f>SUMIFS(Registre!$P$3:$P$15000,Registre!$A$3:$A$15000,5,Registre!$B$3:$B$15000,"octobre",Registre!$C$3:$C$15000,2025)</f>
        <v>0</v>
      </c>
    </row>
    <row r="283" spans="1:4" x14ac:dyDescent="0.25">
      <c r="A283" s="11">
        <v>6</v>
      </c>
      <c r="B283" s="11" t="s">
        <v>24</v>
      </c>
      <c r="C283" s="11">
        <v>2025</v>
      </c>
      <c r="D283" s="41">
        <f>SUMIFS(Registre!$P$3:$P$15000,Registre!$A$3:$A$15000,6,Registre!$B$3:$B$15000,"octobre",Registre!$C$3:$C$15000,2025)</f>
        <v>0</v>
      </c>
    </row>
    <row r="284" spans="1:4" x14ac:dyDescent="0.25">
      <c r="A284" s="11">
        <v>7</v>
      </c>
      <c r="B284" s="11" t="s">
        <v>24</v>
      </c>
      <c r="C284" s="11">
        <v>2025</v>
      </c>
      <c r="D284" s="41">
        <f>SUMIFS(Registre!$P$3:$P$15000,Registre!$A$3:$A$15000,7,Registre!$B$3:$B$15000,"octobre",Registre!$C$3:$C$15000,2025)</f>
        <v>0</v>
      </c>
    </row>
    <row r="285" spans="1:4" x14ac:dyDescent="0.25">
      <c r="A285" s="11">
        <v>8</v>
      </c>
      <c r="B285" s="11" t="s">
        <v>24</v>
      </c>
      <c r="C285" s="11">
        <v>2025</v>
      </c>
      <c r="D285" s="41">
        <f>SUMIFS(Registre!$P$3:$P$15000,Registre!$A$3:$A$15000,8,Registre!$B$3:$B$15000,"octobre",Registre!$C$3:$C$15000,2025)</f>
        <v>0</v>
      </c>
    </row>
    <row r="286" spans="1:4" x14ac:dyDescent="0.25">
      <c r="A286" s="11">
        <v>9</v>
      </c>
      <c r="B286" s="11" t="s">
        <v>24</v>
      </c>
      <c r="C286" s="11">
        <v>2025</v>
      </c>
      <c r="D286" s="41">
        <f>SUMIFS(Registre!$P$3:$P$15000,Registre!$A$3:$A$15000,9,Registre!$B$3:$B$15000,"octobre",Registre!$C$3:$C$15000,2025)</f>
        <v>0</v>
      </c>
    </row>
    <row r="287" spans="1:4" x14ac:dyDescent="0.25">
      <c r="A287" s="11">
        <v>10</v>
      </c>
      <c r="B287" s="11" t="s">
        <v>24</v>
      </c>
      <c r="C287" s="11">
        <v>2025</v>
      </c>
      <c r="D287" s="41">
        <f>SUMIFS(Registre!$P$3:$P$15000,Registre!$A$3:$A$15000,10,Registre!$B$3:$B$15000,"octobre",Registre!$C$3:$C$15000,2025)</f>
        <v>0</v>
      </c>
    </row>
    <row r="288" spans="1:4" x14ac:dyDescent="0.25">
      <c r="A288" s="11">
        <v>11</v>
      </c>
      <c r="B288" s="11" t="s">
        <v>24</v>
      </c>
      <c r="C288" s="11">
        <v>2025</v>
      </c>
      <c r="D288" s="41">
        <f>SUMIFS(Registre!$P$3:$P$15000,Registre!$A$3:$A$15000,11,Registre!$B$3:$B$15000,"octobre",Registre!$C$3:$C$15000,2025)</f>
        <v>0</v>
      </c>
    </row>
    <row r="289" spans="1:4" x14ac:dyDescent="0.25">
      <c r="A289" s="11">
        <v>12</v>
      </c>
      <c r="B289" s="11" t="s">
        <v>24</v>
      </c>
      <c r="C289" s="11">
        <v>2025</v>
      </c>
      <c r="D289" s="41">
        <f>SUMIFS(Registre!$P$3:$P$15000,Registre!$A$3:$A$15000,12,Registre!$B$3:$B$15000,"octobre",Registre!$C$3:$C$15000,2025)</f>
        <v>0</v>
      </c>
    </row>
    <row r="290" spans="1:4" x14ac:dyDescent="0.25">
      <c r="A290" s="11">
        <v>13</v>
      </c>
      <c r="B290" s="11" t="s">
        <v>24</v>
      </c>
      <c r="C290" s="11">
        <v>2025</v>
      </c>
      <c r="D290" s="41">
        <f>SUMIFS(Registre!$P$3:$P$15000,Registre!$A$3:$A$15000,13,Registre!$B$3:$B$15000,"octobre",Registre!$C$3:$C$15000,2025)</f>
        <v>0</v>
      </c>
    </row>
    <row r="291" spans="1:4" x14ac:dyDescent="0.25">
      <c r="A291" s="11">
        <v>14</v>
      </c>
      <c r="B291" s="11" t="s">
        <v>24</v>
      </c>
      <c r="C291" s="11">
        <v>2025</v>
      </c>
      <c r="D291" s="41">
        <f>SUMIFS(Registre!$P$3:$P$15000,Registre!$A$3:$A$15000,14,Registre!$B$3:$B$15000,"octobre",Registre!$C$3:$C$15000,2025)</f>
        <v>0</v>
      </c>
    </row>
    <row r="292" spans="1:4" x14ac:dyDescent="0.25">
      <c r="A292" s="11">
        <v>15</v>
      </c>
      <c r="B292" s="11" t="s">
        <v>24</v>
      </c>
      <c r="C292" s="11">
        <v>2025</v>
      </c>
      <c r="D292" s="41">
        <f>SUMIFS(Registre!$P$3:$P$15000,Registre!$A$3:$A$15000,15,Registre!$B$3:$B$15000,"octobre",Registre!$C$3:$C$15000,2025)</f>
        <v>0</v>
      </c>
    </row>
    <row r="293" spans="1:4" x14ac:dyDescent="0.25">
      <c r="A293" s="11">
        <v>16</v>
      </c>
      <c r="B293" s="11" t="s">
        <v>24</v>
      </c>
      <c r="C293" s="11">
        <v>2025</v>
      </c>
      <c r="D293" s="41">
        <f>SUMIFS(Registre!$P$3:$P$15000,Registre!$A$3:$A$15000,16,Registre!$B$3:$B$15000,"octobre",Registre!$C$3:$C$15000,2025)</f>
        <v>0</v>
      </c>
    </row>
    <row r="294" spans="1:4" x14ac:dyDescent="0.25">
      <c r="A294" s="11">
        <v>17</v>
      </c>
      <c r="B294" s="11" t="s">
        <v>24</v>
      </c>
      <c r="C294" s="11">
        <v>2025</v>
      </c>
      <c r="D294" s="41">
        <f>SUMIFS(Registre!$P$3:$P$15000,Registre!$A$3:$A$15000,17,Registre!$B$3:$B$15000,"octobre",Registre!$C$3:$C$15000,2025)</f>
        <v>0</v>
      </c>
    </row>
    <row r="295" spans="1:4" x14ac:dyDescent="0.25">
      <c r="A295" s="11">
        <v>18</v>
      </c>
      <c r="B295" s="11" t="s">
        <v>24</v>
      </c>
      <c r="C295" s="11">
        <v>2025</v>
      </c>
      <c r="D295" s="41">
        <f>SUMIFS(Registre!$P$3:$P$15000,Registre!$A$3:$A$15000,18,Registre!$B$3:$B$15000,"octobre",Registre!$C$3:$C$15000,2025)</f>
        <v>0</v>
      </c>
    </row>
    <row r="296" spans="1:4" x14ac:dyDescent="0.25">
      <c r="A296" s="11">
        <v>19</v>
      </c>
      <c r="B296" s="11" t="s">
        <v>24</v>
      </c>
      <c r="C296" s="11">
        <v>2025</v>
      </c>
      <c r="D296" s="41">
        <f>SUMIFS(Registre!$P$3:$P$15000,Registre!$A$3:$A$15000,19,Registre!$B$3:$B$15000,"octobre",Registre!$C$3:$C$15000,2025)</f>
        <v>0</v>
      </c>
    </row>
    <row r="297" spans="1:4" x14ac:dyDescent="0.25">
      <c r="A297" s="11">
        <v>20</v>
      </c>
      <c r="B297" s="11" t="s">
        <v>24</v>
      </c>
      <c r="C297" s="11">
        <v>2025</v>
      </c>
      <c r="D297" s="41">
        <f>SUMIFS(Registre!$P$3:$P$15000,Registre!$A$3:$A$15000,20,Registre!$B$3:$B$15000,"octobre",Registre!$C$3:$C$15000,2025)</f>
        <v>0</v>
      </c>
    </row>
    <row r="298" spans="1:4" x14ac:dyDescent="0.25">
      <c r="A298" s="11">
        <v>21</v>
      </c>
      <c r="B298" s="11" t="s">
        <v>24</v>
      </c>
      <c r="C298" s="11">
        <v>2025</v>
      </c>
      <c r="D298" s="41">
        <f>SUMIFS(Registre!$P$3:$P$15000,Registre!$A$3:$A$15000,21,Registre!$B$3:$B$15000,"octobre",Registre!$C$3:$C$15000,2025)</f>
        <v>0</v>
      </c>
    </row>
    <row r="299" spans="1:4" x14ac:dyDescent="0.25">
      <c r="A299" s="11">
        <v>22</v>
      </c>
      <c r="B299" s="11" t="s">
        <v>24</v>
      </c>
      <c r="C299" s="11">
        <v>2025</v>
      </c>
      <c r="D299" s="41">
        <f>SUMIFS(Registre!$P$3:$P$15000,Registre!$A$3:$A$15000,22,Registre!$B$3:$B$15000,"octobre",Registre!$C$3:$C$15000,2025)</f>
        <v>0</v>
      </c>
    </row>
    <row r="300" spans="1:4" x14ac:dyDescent="0.25">
      <c r="A300" s="11">
        <v>23</v>
      </c>
      <c r="B300" s="11" t="s">
        <v>24</v>
      </c>
      <c r="C300" s="11">
        <v>2025</v>
      </c>
      <c r="D300" s="41">
        <f>SUMIFS(Registre!$P$3:$P$15000,Registre!$A$3:$A$15000,23,Registre!$B$3:$B$15000,"octobre",Registre!$C$3:$C$15000,2025)</f>
        <v>0</v>
      </c>
    </row>
    <row r="301" spans="1:4" x14ac:dyDescent="0.25">
      <c r="A301" s="11">
        <v>24</v>
      </c>
      <c r="B301" s="11" t="s">
        <v>24</v>
      </c>
      <c r="C301" s="11">
        <v>2025</v>
      </c>
      <c r="D301" s="41">
        <f>SUMIFS(Registre!$P$3:$P$15000,Registre!$A$3:$A$15000,24,Registre!$B$3:$B$15000,"octobre",Registre!$C$3:$C$15000,2025)</f>
        <v>0</v>
      </c>
    </row>
    <row r="302" spans="1:4" x14ac:dyDescent="0.25">
      <c r="A302" s="11">
        <v>25</v>
      </c>
      <c r="B302" s="11" t="s">
        <v>24</v>
      </c>
      <c r="C302" s="11">
        <v>2025</v>
      </c>
      <c r="D302" s="41">
        <f>SUMIFS(Registre!$P$3:$P$15000,Registre!$A$3:$A$15000,25,Registre!$B$3:$B$15000,"octobre",Registre!$C$3:$C$15000,2025)</f>
        <v>0</v>
      </c>
    </row>
    <row r="303" spans="1:4" x14ac:dyDescent="0.25">
      <c r="A303" s="11">
        <v>26</v>
      </c>
      <c r="B303" s="11" t="s">
        <v>24</v>
      </c>
      <c r="C303" s="11">
        <v>2025</v>
      </c>
      <c r="D303" s="41">
        <f>SUMIFS(Registre!$P$3:$P$15000,Registre!$A$3:$A$15000,26,Registre!$B$3:$B$15000,"octobre",Registre!$C$3:$C$15000,2025)</f>
        <v>0</v>
      </c>
    </row>
    <row r="304" spans="1:4" x14ac:dyDescent="0.25">
      <c r="A304" s="11">
        <v>27</v>
      </c>
      <c r="B304" s="11" t="s">
        <v>24</v>
      </c>
      <c r="C304" s="11">
        <v>2025</v>
      </c>
      <c r="D304" s="41">
        <f>SUMIFS(Registre!$P$3:$P$15000,Registre!$A$3:$A$15000,27,Registre!$B$3:$B$15000,"octobre",Registre!$C$3:$C$15000,2025)</f>
        <v>0</v>
      </c>
    </row>
    <row r="305" spans="1:4" x14ac:dyDescent="0.25">
      <c r="A305" s="11">
        <v>28</v>
      </c>
      <c r="B305" s="11" t="s">
        <v>24</v>
      </c>
      <c r="C305" s="11">
        <v>2025</v>
      </c>
      <c r="D305" s="41">
        <f>SUMIFS(Registre!$P$3:$P$15000,Registre!$A$3:$A$15000,28,Registre!$B$3:$B$15000,"octobre",Registre!$C$3:$C$15000,2025)</f>
        <v>0</v>
      </c>
    </row>
    <row r="306" spans="1:4" x14ac:dyDescent="0.25">
      <c r="A306" s="11">
        <v>29</v>
      </c>
      <c r="B306" s="11" t="s">
        <v>24</v>
      </c>
      <c r="C306" s="11">
        <v>2025</v>
      </c>
      <c r="D306" s="41">
        <f>SUMIFS(Registre!$P$3:$P$15000,Registre!$A$3:$A$15000,29,Registre!$B$3:$B$15000,"octobre",Registre!$C$3:$C$15000,2025)</f>
        <v>0</v>
      </c>
    </row>
    <row r="307" spans="1:4" x14ac:dyDescent="0.25">
      <c r="A307" s="11">
        <v>30</v>
      </c>
      <c r="B307" s="11" t="s">
        <v>24</v>
      </c>
      <c r="C307" s="11">
        <v>2025</v>
      </c>
      <c r="D307" s="41">
        <f>SUMIFS(Registre!$P$3:$P$15000,Registre!$A$3:$A$15000,30,Registre!$B$3:$B$15000,"octobre",Registre!$C$3:$C$15000,2025)</f>
        <v>0</v>
      </c>
    </row>
    <row r="308" spans="1:4" x14ac:dyDescent="0.25">
      <c r="A308" s="11">
        <v>31</v>
      </c>
      <c r="B308" s="11" t="s">
        <v>24</v>
      </c>
      <c r="C308" s="11">
        <v>2025</v>
      </c>
      <c r="D308" s="41">
        <f>SUMIFS(Registre!$P$3:$P$15000,Registre!$A$3:$A$15000,31,Registre!$B$3:$B$15000,"octobre",Registre!$C$3:$C$15000,2025)</f>
        <v>0</v>
      </c>
    </row>
    <row r="309" spans="1:4" x14ac:dyDescent="0.25">
      <c r="A309" s="10">
        <v>1</v>
      </c>
      <c r="B309" s="10" t="s">
        <v>25</v>
      </c>
      <c r="C309" s="10">
        <v>2025</v>
      </c>
      <c r="D309" s="40">
        <f>SUMIFS(Registre!$P$3:$P$15000,Registre!$A$3:$A$15000,1,Registre!$B$3:$B$15000,"novembre",Registre!$C$3:$C$15000,2025)</f>
        <v>0</v>
      </c>
    </row>
    <row r="310" spans="1:4" x14ac:dyDescent="0.25">
      <c r="A310" s="10">
        <v>2</v>
      </c>
      <c r="B310" s="10" t="s">
        <v>25</v>
      </c>
      <c r="C310" s="10">
        <v>2025</v>
      </c>
      <c r="D310" s="40">
        <f>SUMIFS(Registre!$P$3:$P$15000,Registre!$A$3:$A$15000,2,Registre!$B$3:$B$15000,"novembre",Registre!$C$3:$C$15000,2025)</f>
        <v>0</v>
      </c>
    </row>
    <row r="311" spans="1:4" x14ac:dyDescent="0.25">
      <c r="A311" s="10">
        <v>3</v>
      </c>
      <c r="B311" s="10" t="s">
        <v>25</v>
      </c>
      <c r="C311" s="10">
        <v>2025</v>
      </c>
      <c r="D311" s="40">
        <f>SUMIFS(Registre!$P$3:$P$15000,Registre!$A$3:$A$15000,3,Registre!$B$3:$B$15000,"novembre",Registre!$C$3:$C$15000,2025)</f>
        <v>0</v>
      </c>
    </row>
    <row r="312" spans="1:4" x14ac:dyDescent="0.25">
      <c r="A312" s="10">
        <v>4</v>
      </c>
      <c r="B312" s="10" t="s">
        <v>25</v>
      </c>
      <c r="C312" s="10">
        <v>2025</v>
      </c>
      <c r="D312" s="40">
        <f>SUMIFS(Registre!$P$3:$P$15000,Registre!$A$3:$A$15000,4,Registre!$B$3:$B$15000,"novembre",Registre!$C$3:$C$15000,2025)</f>
        <v>0</v>
      </c>
    </row>
    <row r="313" spans="1:4" x14ac:dyDescent="0.25">
      <c r="A313" s="10">
        <v>5</v>
      </c>
      <c r="B313" s="10" t="s">
        <v>25</v>
      </c>
      <c r="C313" s="10">
        <v>2025</v>
      </c>
      <c r="D313" s="40">
        <f>SUMIFS(Registre!$P$3:$P$15000,Registre!$A$3:$A$15000,5,Registre!$B$3:$B$15000,"novembre",Registre!$C$3:$C$15000,2025)</f>
        <v>0</v>
      </c>
    </row>
    <row r="314" spans="1:4" x14ac:dyDescent="0.25">
      <c r="A314" s="10">
        <v>6</v>
      </c>
      <c r="B314" s="10" t="s">
        <v>25</v>
      </c>
      <c r="C314" s="10">
        <v>2025</v>
      </c>
      <c r="D314" s="40">
        <f>SUMIFS(Registre!$P$3:$P$15000,Registre!$A$3:$A$15000,6,Registre!$B$3:$B$15000,"novembre",Registre!$C$3:$C$15000,2025)</f>
        <v>0</v>
      </c>
    </row>
    <row r="315" spans="1:4" x14ac:dyDescent="0.25">
      <c r="A315" s="10">
        <v>7</v>
      </c>
      <c r="B315" s="10" t="s">
        <v>25</v>
      </c>
      <c r="C315" s="10">
        <v>2025</v>
      </c>
      <c r="D315" s="40">
        <f>SUMIFS(Registre!$P$3:$P$15000,Registre!$A$3:$A$15000,7,Registre!$B$3:$B$15000,"novembre",Registre!$C$3:$C$15000,2025)</f>
        <v>0</v>
      </c>
    </row>
    <row r="316" spans="1:4" x14ac:dyDescent="0.25">
      <c r="A316" s="10">
        <v>8</v>
      </c>
      <c r="B316" s="10" t="s">
        <v>25</v>
      </c>
      <c r="C316" s="10">
        <v>2025</v>
      </c>
      <c r="D316" s="40">
        <f>SUMIFS(Registre!$P$3:$P$15000,Registre!$A$3:$A$15000,8,Registre!$B$3:$B$15000,"novembre",Registre!$C$3:$C$15000,2025)</f>
        <v>0</v>
      </c>
    </row>
    <row r="317" spans="1:4" x14ac:dyDescent="0.25">
      <c r="A317" s="10">
        <v>9</v>
      </c>
      <c r="B317" s="10" t="s">
        <v>25</v>
      </c>
      <c r="C317" s="10">
        <v>2025</v>
      </c>
      <c r="D317" s="40">
        <f>SUMIFS(Registre!$P$3:$P$15000,Registre!$A$3:$A$15000,9,Registre!$B$3:$B$15000,"novembre",Registre!$C$3:$C$15000,2025)</f>
        <v>0</v>
      </c>
    </row>
    <row r="318" spans="1:4" x14ac:dyDescent="0.25">
      <c r="A318" s="10">
        <v>10</v>
      </c>
      <c r="B318" s="10" t="s">
        <v>25</v>
      </c>
      <c r="C318" s="10">
        <v>2025</v>
      </c>
      <c r="D318" s="40">
        <f>SUMIFS(Registre!$P$3:$P$15000,Registre!$A$3:$A$15000,10,Registre!$B$3:$B$15000,"novembre",Registre!$C$3:$C$15000,2025)</f>
        <v>0</v>
      </c>
    </row>
    <row r="319" spans="1:4" x14ac:dyDescent="0.25">
      <c r="A319" s="10">
        <v>11</v>
      </c>
      <c r="B319" s="10" t="s">
        <v>25</v>
      </c>
      <c r="C319" s="10">
        <v>2025</v>
      </c>
      <c r="D319" s="40">
        <f>SUMIFS(Registre!$P$3:$P$15000,Registre!$A$3:$A$15000,11,Registre!$B$3:$B$15000,"novembre",Registre!$C$3:$C$15000,2025)</f>
        <v>0</v>
      </c>
    </row>
    <row r="320" spans="1:4" x14ac:dyDescent="0.25">
      <c r="A320" s="10">
        <v>12</v>
      </c>
      <c r="B320" s="10" t="s">
        <v>25</v>
      </c>
      <c r="C320" s="10">
        <v>2025</v>
      </c>
      <c r="D320" s="40">
        <f>SUMIFS(Registre!$P$3:$P$15000,Registre!$A$3:$A$15000,12,Registre!$B$3:$B$15000,"novembre",Registre!$C$3:$C$15000,2025)</f>
        <v>0</v>
      </c>
    </row>
    <row r="321" spans="1:4" x14ac:dyDescent="0.25">
      <c r="A321" s="10">
        <v>13</v>
      </c>
      <c r="B321" s="10" t="s">
        <v>25</v>
      </c>
      <c r="C321" s="10">
        <v>2025</v>
      </c>
      <c r="D321" s="40">
        <f>SUMIFS(Registre!$P$3:$P$15000,Registre!$A$3:$A$15000,13,Registre!$B$3:$B$15000,"novembre",Registre!$C$3:$C$15000,2025)</f>
        <v>0</v>
      </c>
    </row>
    <row r="322" spans="1:4" x14ac:dyDescent="0.25">
      <c r="A322" s="10">
        <v>14</v>
      </c>
      <c r="B322" s="10" t="s">
        <v>25</v>
      </c>
      <c r="C322" s="10">
        <v>2025</v>
      </c>
      <c r="D322" s="40">
        <f>SUMIFS(Registre!$P$3:$P$15000,Registre!$A$3:$A$15000,14,Registre!$B$3:$B$15000,"novembre",Registre!$C$3:$C$15000,2025)</f>
        <v>0</v>
      </c>
    </row>
    <row r="323" spans="1:4" x14ac:dyDescent="0.25">
      <c r="A323" s="10">
        <v>15</v>
      </c>
      <c r="B323" s="10" t="s">
        <v>25</v>
      </c>
      <c r="C323" s="10">
        <v>2025</v>
      </c>
      <c r="D323" s="40">
        <f>SUMIFS(Registre!$P$3:$P$15000,Registre!$A$3:$A$15000,15,Registre!$B$3:$B$15000,"novembre",Registre!$C$3:$C$15000,2025)</f>
        <v>0</v>
      </c>
    </row>
    <row r="324" spans="1:4" x14ac:dyDescent="0.25">
      <c r="A324" s="10">
        <v>16</v>
      </c>
      <c r="B324" s="10" t="s">
        <v>25</v>
      </c>
      <c r="C324" s="10">
        <v>2025</v>
      </c>
      <c r="D324" s="40">
        <f>SUMIFS(Registre!$P$3:$P$15000,Registre!$A$3:$A$15000,16,Registre!$B$3:$B$15000,"novembre",Registre!$C$3:$C$15000,2025)</f>
        <v>0</v>
      </c>
    </row>
    <row r="325" spans="1:4" x14ac:dyDescent="0.25">
      <c r="A325" s="10">
        <v>17</v>
      </c>
      <c r="B325" s="10" t="s">
        <v>25</v>
      </c>
      <c r="C325" s="10">
        <v>2025</v>
      </c>
      <c r="D325" s="40">
        <f>SUMIFS(Registre!$P$3:$P$15000,Registre!$A$3:$A$15000,17,Registre!$B$3:$B$15000,"novembre",Registre!$C$3:$C$15000,2025)</f>
        <v>0</v>
      </c>
    </row>
    <row r="326" spans="1:4" x14ac:dyDescent="0.25">
      <c r="A326" s="10">
        <v>18</v>
      </c>
      <c r="B326" s="10" t="s">
        <v>25</v>
      </c>
      <c r="C326" s="10">
        <v>2025</v>
      </c>
      <c r="D326" s="40">
        <f>SUMIFS(Registre!$P$3:$P$15000,Registre!$A$3:$A$15000,18,Registre!$B$3:$B$15000,"novembre",Registre!$C$3:$C$15000,2025)</f>
        <v>0</v>
      </c>
    </row>
    <row r="327" spans="1:4" x14ac:dyDescent="0.25">
      <c r="A327" s="10">
        <v>19</v>
      </c>
      <c r="B327" s="10" t="s">
        <v>25</v>
      </c>
      <c r="C327" s="10">
        <v>2025</v>
      </c>
      <c r="D327" s="40">
        <f>SUMIFS(Registre!$P$3:$P$15000,Registre!$A$3:$A$15000,19,Registre!$B$3:$B$15000,"novembre",Registre!$C$3:$C$15000,2025)</f>
        <v>0</v>
      </c>
    </row>
    <row r="328" spans="1:4" x14ac:dyDescent="0.25">
      <c r="A328" s="10">
        <v>20</v>
      </c>
      <c r="B328" s="10" t="s">
        <v>25</v>
      </c>
      <c r="C328" s="10">
        <v>2025</v>
      </c>
      <c r="D328" s="40">
        <f>SUMIFS(Registre!$P$3:$P$15000,Registre!$A$3:$A$15000,20,Registre!$B$3:$B$15000,"novembre",Registre!$C$3:$C$15000,2025)</f>
        <v>0</v>
      </c>
    </row>
    <row r="329" spans="1:4" x14ac:dyDescent="0.25">
      <c r="A329" s="10">
        <v>21</v>
      </c>
      <c r="B329" s="10" t="s">
        <v>25</v>
      </c>
      <c r="C329" s="10">
        <v>2025</v>
      </c>
      <c r="D329" s="40">
        <f>SUMIFS(Registre!$P$3:$P$15000,Registre!$A$3:$A$15000,21,Registre!$B$3:$B$15000,"novembre",Registre!$C$3:$C$15000,2025)</f>
        <v>0</v>
      </c>
    </row>
    <row r="330" spans="1:4" x14ac:dyDescent="0.25">
      <c r="A330" s="10">
        <v>22</v>
      </c>
      <c r="B330" s="10" t="s">
        <v>25</v>
      </c>
      <c r="C330" s="10">
        <v>2025</v>
      </c>
      <c r="D330" s="40">
        <f>SUMIFS(Registre!$P$3:$P$15000,Registre!$A$3:$A$15000,22,Registre!$B$3:$B$15000,"novembre",Registre!$C$3:$C$15000,2025)</f>
        <v>0</v>
      </c>
    </row>
    <row r="331" spans="1:4" x14ac:dyDescent="0.25">
      <c r="A331" s="10">
        <v>23</v>
      </c>
      <c r="B331" s="10" t="s">
        <v>25</v>
      </c>
      <c r="C331" s="10">
        <v>2025</v>
      </c>
      <c r="D331" s="40">
        <f>SUMIFS(Registre!$P$3:$P$15000,Registre!$A$3:$A$15000,23,Registre!$B$3:$B$15000,"novembre",Registre!$C$3:$C$15000,2025)</f>
        <v>0</v>
      </c>
    </row>
    <row r="332" spans="1:4" x14ac:dyDescent="0.25">
      <c r="A332" s="10">
        <v>24</v>
      </c>
      <c r="B332" s="10" t="s">
        <v>25</v>
      </c>
      <c r="C332" s="10">
        <v>2025</v>
      </c>
      <c r="D332" s="40">
        <f>SUMIFS(Registre!$P$3:$P$15000,Registre!$A$3:$A$15000,24,Registre!$B$3:$B$15000,"novembre",Registre!$C$3:$C$15000,2025)</f>
        <v>0</v>
      </c>
    </row>
    <row r="333" spans="1:4" x14ac:dyDescent="0.25">
      <c r="A333" s="10">
        <v>25</v>
      </c>
      <c r="B333" s="10" t="s">
        <v>25</v>
      </c>
      <c r="C333" s="10">
        <v>2025</v>
      </c>
      <c r="D333" s="40">
        <f>SUMIFS(Registre!$P$3:$P$15000,Registre!$A$3:$A$15000,25,Registre!$B$3:$B$15000,"novembre",Registre!$C$3:$C$15000,2025)</f>
        <v>0</v>
      </c>
    </row>
    <row r="334" spans="1:4" x14ac:dyDescent="0.25">
      <c r="A334" s="10">
        <v>26</v>
      </c>
      <c r="B334" s="10" t="s">
        <v>25</v>
      </c>
      <c r="C334" s="10">
        <v>2025</v>
      </c>
      <c r="D334" s="40">
        <f>SUMIFS(Registre!$P$3:$P$15000,Registre!$A$3:$A$15000,26,Registre!$B$3:$B$15000,"novembre",Registre!$C$3:$C$15000,2025)</f>
        <v>0</v>
      </c>
    </row>
    <row r="335" spans="1:4" x14ac:dyDescent="0.25">
      <c r="A335" s="10">
        <v>27</v>
      </c>
      <c r="B335" s="10" t="s">
        <v>25</v>
      </c>
      <c r="C335" s="10">
        <v>2025</v>
      </c>
      <c r="D335" s="40">
        <f>SUMIFS(Registre!$P$3:$P$15000,Registre!$A$3:$A$15000,27,Registre!$B$3:$B$15000,"novembre",Registre!$C$3:$C$15000,2025)</f>
        <v>0</v>
      </c>
    </row>
    <row r="336" spans="1:4" x14ac:dyDescent="0.25">
      <c r="A336" s="10">
        <v>28</v>
      </c>
      <c r="B336" s="10" t="s">
        <v>25</v>
      </c>
      <c r="C336" s="10">
        <v>2025</v>
      </c>
      <c r="D336" s="40">
        <f>SUMIFS(Registre!$P$3:$P$15000,Registre!$A$3:$A$15000,28,Registre!$B$3:$B$15000,"novembre",Registre!$C$3:$C$15000,2025)</f>
        <v>0</v>
      </c>
    </row>
    <row r="337" spans="1:4" x14ac:dyDescent="0.25">
      <c r="A337" s="10">
        <v>29</v>
      </c>
      <c r="B337" s="10" t="s">
        <v>25</v>
      </c>
      <c r="C337" s="10">
        <v>2025</v>
      </c>
      <c r="D337" s="40">
        <f>SUMIFS(Registre!$P$3:$P$15000,Registre!$A$3:$A$15000,29,Registre!$B$3:$B$15000,"novembre",Registre!$C$3:$C$15000,2025)</f>
        <v>0</v>
      </c>
    </row>
    <row r="338" spans="1:4" x14ac:dyDescent="0.25">
      <c r="A338" s="10">
        <v>30</v>
      </c>
      <c r="B338" s="10" t="s">
        <v>25</v>
      </c>
      <c r="C338" s="10">
        <v>2025</v>
      </c>
      <c r="D338" s="40">
        <f>SUMIFS(Registre!$P$3:$P$15000,Registre!$A$3:$A$15000,30,Registre!$B$3:$B$15000,"novembre",Registre!$C$3:$C$15000,2025)</f>
        <v>0</v>
      </c>
    </row>
    <row r="339" spans="1:4" x14ac:dyDescent="0.25">
      <c r="A339" s="11">
        <v>1</v>
      </c>
      <c r="B339" s="11" t="s">
        <v>26</v>
      </c>
      <c r="C339" s="11">
        <v>2025</v>
      </c>
      <c r="D339" s="41">
        <f>SUMIFS(Registre!$P$3:$P$15000,Registre!$A$3:$A$15000,1,Registre!$B$3:$B$15000,"décembre",Registre!$C$3:$C$15000,2025)</f>
        <v>0</v>
      </c>
    </row>
    <row r="340" spans="1:4" x14ac:dyDescent="0.25">
      <c r="A340" s="11">
        <v>2</v>
      </c>
      <c r="B340" s="11" t="s">
        <v>26</v>
      </c>
      <c r="C340" s="11">
        <v>2025</v>
      </c>
      <c r="D340" s="41">
        <f>SUMIFS(Registre!$P$3:$P$15000,Registre!$A$3:$A$15000,2,Registre!$B$3:$B$15000,"décembre",Registre!$C$3:$C$15000,2025)</f>
        <v>0</v>
      </c>
    </row>
    <row r="341" spans="1:4" x14ac:dyDescent="0.25">
      <c r="A341" s="11">
        <v>3</v>
      </c>
      <c r="B341" s="11" t="s">
        <v>26</v>
      </c>
      <c r="C341" s="11">
        <v>2025</v>
      </c>
      <c r="D341" s="41">
        <f>SUMIFS(Registre!$P$3:$P$15000,Registre!$A$3:$A$15000,3,Registre!$B$3:$B$15000,"décembre",Registre!$C$3:$C$15000,2025)</f>
        <v>0</v>
      </c>
    </row>
    <row r="342" spans="1:4" x14ac:dyDescent="0.25">
      <c r="A342" s="11">
        <v>4</v>
      </c>
      <c r="B342" s="11" t="s">
        <v>26</v>
      </c>
      <c r="C342" s="11">
        <v>2025</v>
      </c>
      <c r="D342" s="41">
        <f>SUMIFS(Registre!$P$3:$P$15000,Registre!$A$3:$A$15000,4,Registre!$B$3:$B$15000,"décembre",Registre!$C$3:$C$15000,2025)</f>
        <v>0</v>
      </c>
    </row>
    <row r="343" spans="1:4" x14ac:dyDescent="0.25">
      <c r="A343" s="11">
        <v>5</v>
      </c>
      <c r="B343" s="11" t="s">
        <v>26</v>
      </c>
      <c r="C343" s="11">
        <v>2025</v>
      </c>
      <c r="D343" s="41">
        <f>SUMIFS(Registre!$P$3:$P$15000,Registre!$A$3:$A$15000,5,Registre!$B$3:$B$15000,"décembre",Registre!$C$3:$C$15000,2025)</f>
        <v>0</v>
      </c>
    </row>
    <row r="344" spans="1:4" x14ac:dyDescent="0.25">
      <c r="A344" s="11">
        <v>6</v>
      </c>
      <c r="B344" s="11" t="s">
        <v>26</v>
      </c>
      <c r="C344" s="11">
        <v>2025</v>
      </c>
      <c r="D344" s="41">
        <f>SUMIFS(Registre!$P$3:$P$15000,Registre!$A$3:$A$15000,6,Registre!$B$3:$B$15000,"décembre",Registre!$C$3:$C$15000,2025)</f>
        <v>0</v>
      </c>
    </row>
    <row r="345" spans="1:4" x14ac:dyDescent="0.25">
      <c r="A345" s="11">
        <v>7</v>
      </c>
      <c r="B345" s="11" t="s">
        <v>26</v>
      </c>
      <c r="C345" s="11">
        <v>2025</v>
      </c>
      <c r="D345" s="41">
        <f>SUMIFS(Registre!$P$3:$P$15000,Registre!$A$3:$A$15000,7,Registre!$B$3:$B$15000,"décembre",Registre!$C$3:$C$15000,2025)</f>
        <v>0</v>
      </c>
    </row>
    <row r="346" spans="1:4" x14ac:dyDescent="0.25">
      <c r="A346" s="11">
        <v>8</v>
      </c>
      <c r="B346" s="11" t="s">
        <v>26</v>
      </c>
      <c r="C346" s="11">
        <v>2025</v>
      </c>
      <c r="D346" s="41">
        <f>SUMIFS(Registre!$P$3:$P$15000,Registre!$A$3:$A$15000,8,Registre!$B$3:$B$15000,"décembre",Registre!$C$3:$C$15000,2025)</f>
        <v>0</v>
      </c>
    </row>
    <row r="347" spans="1:4" x14ac:dyDescent="0.25">
      <c r="A347" s="11">
        <v>9</v>
      </c>
      <c r="B347" s="11" t="s">
        <v>26</v>
      </c>
      <c r="C347" s="11">
        <v>2025</v>
      </c>
      <c r="D347" s="41">
        <f>SUMIFS(Registre!$P$3:$P$15000,Registre!$A$3:$A$15000,9,Registre!$B$3:$B$15000,"décembre",Registre!$C$3:$C$15000,2025)</f>
        <v>0</v>
      </c>
    </row>
    <row r="348" spans="1:4" x14ac:dyDescent="0.25">
      <c r="A348" s="11">
        <v>10</v>
      </c>
      <c r="B348" s="11" t="s">
        <v>26</v>
      </c>
      <c r="C348" s="11">
        <v>2025</v>
      </c>
      <c r="D348" s="41">
        <f>SUMIFS(Registre!$P$3:$P$15000,Registre!$A$3:$A$15000,10,Registre!$B$3:$B$15000,"décembre",Registre!$C$3:$C$15000,2025)</f>
        <v>0</v>
      </c>
    </row>
    <row r="349" spans="1:4" x14ac:dyDescent="0.25">
      <c r="A349" s="11">
        <v>11</v>
      </c>
      <c r="B349" s="11" t="s">
        <v>26</v>
      </c>
      <c r="C349" s="11">
        <v>2025</v>
      </c>
      <c r="D349" s="41">
        <f>SUMIFS(Registre!$P$3:$P$15000,Registre!$A$3:$A$15000,11,Registre!$B$3:$B$15000,"décembre",Registre!$C$3:$C$15000,2025)</f>
        <v>0</v>
      </c>
    </row>
    <row r="350" spans="1:4" x14ac:dyDescent="0.25">
      <c r="A350" s="11">
        <v>12</v>
      </c>
      <c r="B350" s="11" t="s">
        <v>26</v>
      </c>
      <c r="C350" s="11">
        <v>2025</v>
      </c>
      <c r="D350" s="41">
        <f>SUMIFS(Registre!$P$3:$P$15000,Registre!$A$3:$A$15000,12,Registre!$B$3:$B$15000,"décembre",Registre!$C$3:$C$15000,2025)</f>
        <v>0</v>
      </c>
    </row>
    <row r="351" spans="1:4" x14ac:dyDescent="0.25">
      <c r="A351" s="11">
        <v>13</v>
      </c>
      <c r="B351" s="11" t="s">
        <v>26</v>
      </c>
      <c r="C351" s="11">
        <v>2025</v>
      </c>
      <c r="D351" s="41">
        <f>SUMIFS(Registre!$P$3:$P$15000,Registre!$A$3:$A$15000,13,Registre!$B$3:$B$15000,"décembre",Registre!$C$3:$C$15000,2025)</f>
        <v>0</v>
      </c>
    </row>
    <row r="352" spans="1:4" x14ac:dyDescent="0.25">
      <c r="A352" s="11">
        <v>14</v>
      </c>
      <c r="B352" s="11" t="s">
        <v>26</v>
      </c>
      <c r="C352" s="11">
        <v>2025</v>
      </c>
      <c r="D352" s="41">
        <f>SUMIFS(Registre!$P$3:$P$15000,Registre!$A$3:$A$15000,14,Registre!$B$3:$B$15000,"décembre",Registre!$C$3:$C$15000,2025)</f>
        <v>0</v>
      </c>
    </row>
    <row r="353" spans="1:4" x14ac:dyDescent="0.25">
      <c r="A353" s="11">
        <v>15</v>
      </c>
      <c r="B353" s="11" t="s">
        <v>26</v>
      </c>
      <c r="C353" s="11">
        <v>2025</v>
      </c>
      <c r="D353" s="41">
        <f>SUMIFS(Registre!$P$3:$P$15000,Registre!$A$3:$A$15000,15,Registre!$B$3:$B$15000,"décembre",Registre!$C$3:$C$15000,2025)</f>
        <v>0</v>
      </c>
    </row>
    <row r="354" spans="1:4" x14ac:dyDescent="0.25">
      <c r="A354" s="11">
        <v>16</v>
      </c>
      <c r="B354" s="11" t="s">
        <v>26</v>
      </c>
      <c r="C354" s="11">
        <v>2025</v>
      </c>
      <c r="D354" s="41">
        <f>SUMIFS(Registre!$P$3:$P$15000,Registre!$A$3:$A$15000,16,Registre!$B$3:$B$15000,"décembre",Registre!$C$3:$C$15000,2025)</f>
        <v>0</v>
      </c>
    </row>
    <row r="355" spans="1:4" x14ac:dyDescent="0.25">
      <c r="A355" s="11">
        <v>17</v>
      </c>
      <c r="B355" s="11" t="s">
        <v>26</v>
      </c>
      <c r="C355" s="11">
        <v>2025</v>
      </c>
      <c r="D355" s="41">
        <f>SUMIFS(Registre!$P$3:$P$15000,Registre!$A$3:$A$15000,17,Registre!$B$3:$B$15000,"décembre",Registre!$C$3:$C$15000,2025)</f>
        <v>0</v>
      </c>
    </row>
    <row r="356" spans="1:4" x14ac:dyDescent="0.25">
      <c r="A356" s="11">
        <v>18</v>
      </c>
      <c r="B356" s="11" t="s">
        <v>26</v>
      </c>
      <c r="C356" s="11">
        <v>2025</v>
      </c>
      <c r="D356" s="41">
        <f>SUMIFS(Registre!$P$3:$P$15000,Registre!$A$3:$A$15000,18,Registre!$B$3:$B$15000,"décembre",Registre!$C$3:$C$15000,2025)</f>
        <v>0</v>
      </c>
    </row>
    <row r="357" spans="1:4" x14ac:dyDescent="0.25">
      <c r="A357" s="11">
        <v>19</v>
      </c>
      <c r="B357" s="11" t="s">
        <v>26</v>
      </c>
      <c r="C357" s="11">
        <v>2025</v>
      </c>
      <c r="D357" s="41">
        <f>SUMIFS(Registre!$P$3:$P$15000,Registre!$A$3:$A$15000,19,Registre!$B$3:$B$15000,"décembre",Registre!$C$3:$C$15000,2025)</f>
        <v>0</v>
      </c>
    </row>
    <row r="358" spans="1:4" x14ac:dyDescent="0.25">
      <c r="A358" s="11">
        <v>20</v>
      </c>
      <c r="B358" s="11" t="s">
        <v>26</v>
      </c>
      <c r="C358" s="11">
        <v>2025</v>
      </c>
      <c r="D358" s="41">
        <f>SUMIFS(Registre!$P$3:$P$15000,Registre!$A$3:$A$15000,20,Registre!$B$3:$B$15000,"décembre",Registre!$C$3:$C$15000,2025)</f>
        <v>0</v>
      </c>
    </row>
    <row r="359" spans="1:4" x14ac:dyDescent="0.25">
      <c r="A359" s="11">
        <v>21</v>
      </c>
      <c r="B359" s="11" t="s">
        <v>26</v>
      </c>
      <c r="C359" s="11">
        <v>2025</v>
      </c>
      <c r="D359" s="41">
        <f>SUMIFS(Registre!$P$3:$P$15000,Registre!$A$3:$A$15000,21,Registre!$B$3:$B$15000,"décembre",Registre!$C$3:$C$15000,2025)</f>
        <v>0</v>
      </c>
    </row>
    <row r="360" spans="1:4" x14ac:dyDescent="0.25">
      <c r="A360" s="11">
        <v>22</v>
      </c>
      <c r="B360" s="11" t="s">
        <v>26</v>
      </c>
      <c r="C360" s="11">
        <v>2025</v>
      </c>
      <c r="D360" s="41">
        <f>SUMIFS(Registre!$P$3:$P$15000,Registre!$A$3:$A$15000,22,Registre!$B$3:$B$15000,"décembre",Registre!$C$3:$C$15000,2025)</f>
        <v>0</v>
      </c>
    </row>
    <row r="361" spans="1:4" x14ac:dyDescent="0.25">
      <c r="A361" s="11">
        <v>23</v>
      </c>
      <c r="B361" s="11" t="s">
        <v>26</v>
      </c>
      <c r="C361" s="11">
        <v>2025</v>
      </c>
      <c r="D361" s="41">
        <f>SUMIFS(Registre!$P$3:$P$15000,Registre!$A$3:$A$15000,23,Registre!$B$3:$B$15000,"décembre",Registre!$C$3:$C$15000,2025)</f>
        <v>0</v>
      </c>
    </row>
    <row r="362" spans="1:4" x14ac:dyDescent="0.25">
      <c r="A362" s="11">
        <v>24</v>
      </c>
      <c r="B362" s="11" t="s">
        <v>26</v>
      </c>
      <c r="C362" s="11">
        <v>2025</v>
      </c>
      <c r="D362" s="41">
        <f>SUMIFS(Registre!$P$3:$P$15000,Registre!$A$3:$A$15000,24,Registre!$B$3:$B$15000,"décembre",Registre!$C$3:$C$15000,2025)</f>
        <v>0</v>
      </c>
    </row>
    <row r="363" spans="1:4" x14ac:dyDescent="0.25">
      <c r="A363" s="11">
        <v>25</v>
      </c>
      <c r="B363" s="11" t="s">
        <v>26</v>
      </c>
      <c r="C363" s="11">
        <v>2025</v>
      </c>
      <c r="D363" s="41">
        <f>SUMIFS(Registre!$P$3:$P$15000,Registre!$A$3:$A$15000,25,Registre!$B$3:$B$15000,"décembre",Registre!$C$3:$C$15000,2025)</f>
        <v>0</v>
      </c>
    </row>
    <row r="364" spans="1:4" x14ac:dyDescent="0.25">
      <c r="A364" s="11">
        <v>26</v>
      </c>
      <c r="B364" s="11" t="s">
        <v>26</v>
      </c>
      <c r="C364" s="11">
        <v>2025</v>
      </c>
      <c r="D364" s="41">
        <f>SUMIFS(Registre!$P$3:$P$15000,Registre!$A$3:$A$15000,26,Registre!$B$3:$B$15000,"décembre",Registre!$C$3:$C$15000,2025)</f>
        <v>0</v>
      </c>
    </row>
    <row r="365" spans="1:4" x14ac:dyDescent="0.25">
      <c r="A365" s="11">
        <v>27</v>
      </c>
      <c r="B365" s="11" t="s">
        <v>26</v>
      </c>
      <c r="C365" s="11">
        <v>2025</v>
      </c>
      <c r="D365" s="41">
        <f>SUMIFS(Registre!$P$3:$P$15000,Registre!$A$3:$A$15000,27,Registre!$B$3:$B$15000,"décembre",Registre!$C$3:$C$15000,2025)</f>
        <v>0</v>
      </c>
    </row>
    <row r="366" spans="1:4" x14ac:dyDescent="0.25">
      <c r="A366" s="11">
        <v>28</v>
      </c>
      <c r="B366" s="11" t="s">
        <v>26</v>
      </c>
      <c r="C366" s="11">
        <v>2025</v>
      </c>
      <c r="D366" s="41">
        <f>SUMIFS(Registre!$P$3:$P$15000,Registre!$A$3:$A$15000,28,Registre!$B$3:$B$15000,"décembre",Registre!$C$3:$C$15000,2025)</f>
        <v>0</v>
      </c>
    </row>
    <row r="367" spans="1:4" x14ac:dyDescent="0.25">
      <c r="A367" s="11">
        <v>29</v>
      </c>
      <c r="B367" s="11" t="s">
        <v>26</v>
      </c>
      <c r="C367" s="11">
        <v>2025</v>
      </c>
      <c r="D367" s="41">
        <f>SUMIFS(Registre!$P$3:$P$15000,Registre!$A$3:$A$15000,29,Registre!$B$3:$B$15000,"décembre",Registre!$C$3:$C$15000,2025)</f>
        <v>0</v>
      </c>
    </row>
    <row r="368" spans="1:4" x14ac:dyDescent="0.25">
      <c r="A368" s="11">
        <v>30</v>
      </c>
      <c r="B368" s="11" t="s">
        <v>26</v>
      </c>
      <c r="C368" s="11">
        <v>2025</v>
      </c>
      <c r="D368" s="41">
        <f>SUMIFS(Registre!$P$3:$P$15000,Registre!$A$3:$A$15000,30,Registre!$B$3:$B$15000,"décembre",Registre!$C$3:$C$15000,2025)</f>
        <v>0</v>
      </c>
    </row>
    <row r="369" spans="1:4" x14ac:dyDescent="0.25">
      <c r="A369" s="11">
        <v>31</v>
      </c>
      <c r="B369" s="11" t="s">
        <v>26</v>
      </c>
      <c r="C369" s="11">
        <v>2025</v>
      </c>
      <c r="D369" s="41">
        <f>SUMIFS(Registre!$P$3:$P$15000,Registre!$A$3:$A$15000,31,Registre!$B$3:$B$15000,"décembre",Registre!$C$3:$C$15000,2025)</f>
        <v>0</v>
      </c>
    </row>
  </sheetData>
  <sheetProtection algorithmName="SHA-512" hashValue="CCA/mYBaHGbJc6BOuygWIoBbLR+1AGDHNH3J547wIHuPTfAaUppnl5qQwtqYztnZNVdYgDv9hJEPqdHThKSk0g==" saltValue="urDoKv4cdtqjVyNZ2PmOvA==" spinCount="100000" sheet="1" objects="1" scenarios="1"/>
  <mergeCells count="7">
    <mergeCell ref="A2:D2"/>
    <mergeCell ref="F2:S2"/>
    <mergeCell ref="A3:C3"/>
    <mergeCell ref="D3:D4"/>
    <mergeCell ref="F3:F4"/>
    <mergeCell ref="G3:G4"/>
    <mergeCell ref="H3:S3"/>
  </mergeCells>
  <conditionalFormatting sqref="D5:D369">
    <cfRule type="expression" dxfId="35" priority="6">
      <formula>D5&gt;15</formula>
    </cfRule>
  </conditionalFormatting>
  <conditionalFormatting sqref="D36:D63">
    <cfRule type="expression" dxfId="34" priority="5">
      <formula>"ET($D$5:$D$35&gt;15;$H5&gt;$G$5"</formula>
    </cfRule>
  </conditionalFormatting>
  <conditionalFormatting sqref="H5:S13">
    <cfRule type="expression" dxfId="33" priority="1">
      <formula>AND(COUNTIFS($B:$B,H$4,$D:$D,"&gt;15")&gt;0,$G5&lt;H5,ISNUMBER(H5))</formula>
    </cfRule>
  </conditionalFormatting>
  <conditionalFormatting sqref="I5:I13">
    <cfRule type="expression" dxfId="32" priority="2">
      <formula>AND($D$36:$D$63&gt;15,$I5&gt;$G5)</formula>
    </cfRule>
  </conditionalFormatting>
  <conditionalFormatting sqref="J5:J13">
    <cfRule type="expression" dxfId="31" priority="4">
      <formula>"ET($D$64:$D$94&gt;15;$J$5&gt;$G$5)"</formula>
    </cfRule>
  </conditionalFormatting>
  <conditionalFormatting sqref="K5:K13">
    <cfRule type="expression" dxfId="30" priority="3">
      <formula>AND($D$95:$D$124&gt;15,$K$5&gt;$G$5)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69"/>
  <sheetViews>
    <sheetView workbookViewId="0">
      <selection activeCell="G44" sqref="G44"/>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48</v>
      </c>
      <c r="B2" s="57"/>
      <c r="C2" s="57"/>
      <c r="D2" s="58"/>
      <c r="F2" s="59" t="s">
        <v>66</v>
      </c>
      <c r="G2" s="60"/>
      <c r="H2" s="60"/>
      <c r="I2" s="60"/>
      <c r="J2" s="60"/>
      <c r="K2" s="60"/>
      <c r="L2" s="60"/>
      <c r="M2" s="60"/>
      <c r="N2" s="60"/>
      <c r="O2" s="60"/>
      <c r="P2" s="60"/>
      <c r="Q2" s="60"/>
      <c r="R2" s="60"/>
      <c r="S2" s="61"/>
    </row>
    <row r="3" spans="1:19" x14ac:dyDescent="0.25">
      <c r="A3" s="62" t="s">
        <v>1</v>
      </c>
      <c r="B3" s="63"/>
      <c r="C3" s="63"/>
      <c r="D3" s="64" t="s">
        <v>5</v>
      </c>
      <c r="F3" s="66" t="s">
        <v>29</v>
      </c>
      <c r="G3" s="68" t="s">
        <v>34</v>
      </c>
      <c r="H3" s="70" t="s">
        <v>30</v>
      </c>
      <c r="I3" s="70"/>
      <c r="J3" s="70"/>
      <c r="K3" s="70"/>
      <c r="L3" s="70"/>
      <c r="M3" s="70"/>
      <c r="N3" s="70"/>
      <c r="O3" s="70"/>
      <c r="P3" s="70"/>
      <c r="Q3" s="70"/>
      <c r="R3" s="70"/>
      <c r="S3" s="71"/>
    </row>
    <row r="4" spans="1:19" ht="47.25" customHeight="1" thickBot="1" x14ac:dyDescent="0.3">
      <c r="A4" s="29"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30" t="s">
        <v>26</v>
      </c>
    </row>
    <row r="5" spans="1:19" x14ac:dyDescent="0.25">
      <c r="A5" s="15">
        <v>1</v>
      </c>
      <c r="B5" s="15" t="s">
        <v>15</v>
      </c>
      <c r="C5" s="15">
        <v>2026</v>
      </c>
      <c r="D5" s="39">
        <f>SUMIFS(Registre!$P$3:$P$15000,Registre!$A$3:$A$15000,1,Registre!$B$3:$B$15000,"janvier",Registre!$C$3:$C$15000,2026)</f>
        <v>0</v>
      </c>
      <c r="F5" s="27" t="s">
        <v>37</v>
      </c>
      <c r="G5" s="21">
        <v>730</v>
      </c>
      <c r="H5" s="35" t="str">
        <f>IFERROR(SUMIFS(Registre!$V$3:$V$15000,Registre!$B$3:$B$15000,"janvier",Registre!$R$3:$R$15000,$F5,Registre!$C$3:$C$15000,2026)/SUMIFS(Registre!$W$3:$W$15000,Registre!$B$3:$B$15000,"janvier",Registre!$R$3:$R$15000,$F5,Registre!$C$3:$C$15000,2026),"0")</f>
        <v>0</v>
      </c>
      <c r="I5" s="35" t="str">
        <f>IFERROR(SUMIFS(Registre!$V$3:$V$15000,Registre!$B$3:$B$15000,"février",Registre!$R$3:$R$15000,$F5,Registre!$C$3:$C$15000,2026)/SUMIFS(Registre!$W$3:$W$15000,Registre!$B$3:$B$15000,"février",Registre!$R$3:$R$15000,$F5,Registre!$C$3:$C$15000,2026),"0")</f>
        <v>0</v>
      </c>
      <c r="J5" s="35" t="str">
        <f>IFERROR(SUMIFS(Registre!$V$3:$V$15000,Registre!$B$3:$B$15000,"mars",Registre!$R$3:$R$15000,$F5,Registre!$C$3:$C$15000,2026)/SUMIFS(Registre!$W$3:$W$15000,Registre!$B$3:$B$15000,"mars",Registre!$R$3:$R$15000,$F5,Registre!$C$3:$C$15000,2026),"0")</f>
        <v>0</v>
      </c>
      <c r="K5" s="35" t="str">
        <f>IFERROR(SUMIFS(Registre!$V$3:$V$15000,Registre!$B$3:$B$15000,"avril",Registre!$R$3:$R$15000,$F5,Registre!$C$3:$C$15000,2026)/SUMIFS(Registre!$W$3:$W$15000,Registre!$B$3:$B$15000,"avril",Registre!$R$3:$R$15000,$F5,Registre!$C$3:$C$15000,2026),"0")</f>
        <v>0</v>
      </c>
      <c r="L5" s="35" t="str">
        <f>IFERROR(SUMIFS(Registre!$V$3:$V$15000,Registre!$B$3:$B$15000,"mai",Registre!$R$3:$R$15000,$F5,Registre!$C$3:$C$15000,2026)/SUMIFS(Registre!$W$3:$W$15000,Registre!$B$3:$B$15000,"mai",Registre!$R$3:$R$15000,$F5,Registre!$C$3:$C$15000,2026),"0")</f>
        <v>0</v>
      </c>
      <c r="M5" s="35" t="str">
        <f>IFERROR(SUMIFS(Registre!$V$3:$V$15000,Registre!$B$3:$B$15000,"juin",Registre!$R$3:$R$15000,$F5,Registre!$C$3:$C$15000,2026)/SUMIFS(Registre!$W$3:$W$15000,Registre!$B$3:$B$15000,"juin",Registre!$R$3:$R$15000,$F5,Registre!$C$3:$C$15000,2026),"0")</f>
        <v>0</v>
      </c>
      <c r="N5" s="35" t="str">
        <f>IFERROR(SUMIFS(Registre!$V$3:$V$15000,Registre!$B$3:$B$15000,"juillet",Registre!$R$3:$R$15000,$F5,Registre!$C$3:$C$15000,2026)/SUMIFS(Registre!$W$3:$W$15000,Registre!$B$3:$B$15000,"juillet",Registre!$R$3:$R$15000,$F5,Registre!$C$3:$C$15000,2026),"0")</f>
        <v>0</v>
      </c>
      <c r="O5" s="35" t="str">
        <f>IFERROR(SUMIFS(Registre!$V$3:$V$15000,Registre!$B$3:$B$15000,"août",Registre!$R$3:$R$15000,$F5,Registre!$C$3:$C$15000,2026)/SUMIFS(Registre!$W$3:$W$15000,Registre!$B$3:$B$15000,"août",Registre!$R$3:$R$15000,$F5,Registre!$C$3:$C$15000,2026),"0")</f>
        <v>0</v>
      </c>
      <c r="P5" s="35" t="str">
        <f>IFERROR(SUMIFS(Registre!$V$3:$V$15000,Registre!$B$3:$B$15000,"septembre",Registre!$R$3:$R$15000,$F5,Registre!$C$3:$C$15000,2026)/SUMIFS(Registre!$W$3:$W$15000,Registre!$B$3:$B$15000,"septembre",Registre!$R$3:$R$15000,$F5,Registre!$C$3:$C$15000,2026),"0")</f>
        <v>0</v>
      </c>
      <c r="Q5" s="35" t="str">
        <f>IFERROR(SUMIFS(Registre!$V$3:$V$15000,Registre!$B$3:$B$15000,"octobre",Registre!$R$3:$R$15000,$F5,Registre!$C$3:$C$15000,2026)/SUMIFS(Registre!$W$3:$W$15000,Registre!$B$3:$B$15000,"octobre",Registre!$R$3:$R$15000,$F5,Registre!$C$3:$C$15000,2026),"0")</f>
        <v>0</v>
      </c>
      <c r="R5" s="35" t="str">
        <f>IFERROR(SUMIFS(Registre!$V$3:$V$15000,Registre!$B$3:$B$15000,"novembre",Registre!$R$3:$R$15000,$F5,Registre!$C$3:$C$15000,2026)/SUMIFS(Registre!$W$3:$W$15000,Registre!$B$3:$B$15000,"novembre",Registre!$R$3:$R$15000,$F5,Registre!$C$3:$C$15000,2026),"0")</f>
        <v>0</v>
      </c>
      <c r="S5" s="36" t="str">
        <f>IFERROR(SUMIFS(Registre!$V$3:$V$15000,Registre!$B$3:$B$15000,"décembre",Registre!$R$3:$R$15000,$F5,Registre!$C$3:$C$15000,2026)/SUMIFS(Registre!$W$3:$W$15000,Registre!$B$3:$B$15000,"décembre",Registre!$R$3:$R$15000,$F5,Registre!$C$3:$C$15000,2026),"0")</f>
        <v>0</v>
      </c>
    </row>
    <row r="6" spans="1:19" x14ac:dyDescent="0.25">
      <c r="A6" s="10">
        <v>2</v>
      </c>
      <c r="B6" s="15" t="s">
        <v>15</v>
      </c>
      <c r="C6" s="10">
        <v>2026</v>
      </c>
      <c r="D6" s="40">
        <f>SUMIFS(Registre!$P$3:$P$15000,Registre!$A$3:$A$15000,2,Registre!$B$3:$B$15000,"janvier",Registre!$C$3:$C$15000,2026)</f>
        <v>0</v>
      </c>
      <c r="F6" s="25" t="s">
        <v>38</v>
      </c>
      <c r="G6" s="22">
        <v>760</v>
      </c>
      <c r="H6" s="35" t="str">
        <f>IFERROR(SUMIFS(Registre!$V$3:$V$15000,Registre!$B$3:$B$15000,"janvier",Registre!$R$3:$R$15000,$F6,Registre!$C$3:$C$15000,2026)/SUMIFS(Registre!$W$3:$W$15000,Registre!$B$3:$B$15000,"janvier",Registre!$R$3:$R$15000,$F6,Registre!$C$3:$C$15000,2026),"0")</f>
        <v>0</v>
      </c>
      <c r="I6" s="35" t="str">
        <f>IFERROR(SUMIFS(Registre!$V$3:$V$15000,Registre!$B$3:$B$15000,"février",Registre!$R$3:$R$15000,$F6,Registre!$C$3:$C$15000,2026)/SUMIFS(Registre!$W$3:$W$15000,Registre!$B$3:$B$15000,"février",Registre!$R$3:$R$15000,$F6,Registre!$C$3:$C$15000,2026),"0")</f>
        <v>0</v>
      </c>
      <c r="J6" s="35" t="str">
        <f>IFERROR(SUMIFS(Registre!$V$3:$V$15000,Registre!$B$3:$B$15000,"mars",Registre!$R$3:$R$15000,$F6,Registre!$C$3:$C$15000,2026)/SUMIFS(Registre!$W$3:$W$15000,Registre!$B$3:$B$15000,"mars",Registre!$R$3:$R$15000,$F6,Registre!$C$3:$C$15000,2026),"0")</f>
        <v>0</v>
      </c>
      <c r="K6" s="35" t="str">
        <f>IFERROR(SUMIFS(Registre!$V$3:$V$15000,Registre!$B$3:$B$15000,"avril",Registre!$R$3:$R$15000,$F6,Registre!$C$3:$C$15000,2026)/SUMIFS(Registre!$W$3:$W$15000,Registre!$B$3:$B$15000,"avril",Registre!$R$3:$R$15000,$F6,Registre!$C$3:$C$15000,2026),"0")</f>
        <v>0</v>
      </c>
      <c r="L6" s="35" t="str">
        <f>IFERROR(SUMIFS(Registre!$V$3:$V$15000,Registre!$B$3:$B$15000,"mai",Registre!$R$3:$R$15000,$F6,Registre!$C$3:$C$15000,2026)/SUMIFS(Registre!$W$3:$W$15000,Registre!$B$3:$B$15000,"mai",Registre!$R$3:$R$15000,$F6,Registre!$C$3:$C$15000,2026),"0")</f>
        <v>0</v>
      </c>
      <c r="M6" s="35" t="str">
        <f>IFERROR(SUMIFS(Registre!$V$3:$V$15000,Registre!$B$3:$B$15000,"juin",Registre!$R$3:$R$15000,$F6,Registre!$C$3:$C$15000,2026)/SUMIFS(Registre!$W$3:$W$15000,Registre!$B$3:$B$15000,"juin",Registre!$R$3:$R$15000,$F6,Registre!$C$3:$C$15000,2026),"0")</f>
        <v>0</v>
      </c>
      <c r="N6" s="35" t="str">
        <f>IFERROR(SUMIFS(Registre!$V$3:$V$15000,Registre!$B$3:$B$15000,"juillet",Registre!$R$3:$R$15000,$F6,Registre!$C$3:$C$15000,2026)/SUMIFS(Registre!$W$3:$W$15000,Registre!$B$3:$B$15000,"juillet",Registre!$R$3:$R$15000,$F6,Registre!$C$3:$C$15000,2026),"0")</f>
        <v>0</v>
      </c>
      <c r="O6" s="35" t="str">
        <f>IFERROR(SUMIFS(Registre!$V$3:$V$15000,Registre!$B$3:$B$15000,"août",Registre!$R$3:$R$15000,$F6,Registre!$C$3:$C$15000,2026)/SUMIFS(Registre!$W$3:$W$15000,Registre!$B$3:$B$15000,"août",Registre!$R$3:$R$15000,$F6,Registre!$C$3:$C$15000,2026),"0")</f>
        <v>0</v>
      </c>
      <c r="P6" s="35" t="str">
        <f>IFERROR(SUMIFS(Registre!$V$3:$V$15000,Registre!$B$3:$B$15000,"septembre",Registre!$R$3:$R$15000,$F6,Registre!$C$3:$C$15000,2026)/SUMIFS(Registre!$W$3:$W$15000,Registre!$B$3:$B$15000,"septembre",Registre!$R$3:$R$15000,$F6,Registre!$C$3:$C$15000,2026),"0")</f>
        <v>0</v>
      </c>
      <c r="Q6" s="35" t="str">
        <f>IFERROR(SUMIFS(Registre!$V$3:$V$15000,Registre!$B$3:$B$15000,"octobre",Registre!$R$3:$R$15000,$F6,Registre!$C$3:$C$15000,2026)/SUMIFS(Registre!$W$3:$W$15000,Registre!$B$3:$B$15000,"octobre",Registre!$R$3:$R$15000,$F6,Registre!$C$3:$C$15000,2026),"0")</f>
        <v>0</v>
      </c>
      <c r="R6" s="35" t="str">
        <f>IFERROR(SUMIFS(Registre!$V$3:$V$15000,Registre!$B$3:$B$15000,"novembre",Registre!$R$3:$R$15000,$F6,Registre!$C$3:$C$15000,2026)/SUMIFS(Registre!$W$3:$W$15000,Registre!$B$3:$B$15000,"novembre",Registre!$R$3:$R$15000,$F6,Registre!$C$3:$C$15000,2026),"0")</f>
        <v>0</v>
      </c>
      <c r="S6" s="36" t="str">
        <f>IFERROR(SUMIFS(Registre!$V$3:$V$15000,Registre!$B$3:$B$15000,"décembre",Registre!$R$3:$R$15000,$F6,Registre!$C$3:$C$15000,2026)/SUMIFS(Registre!$W$3:$W$15000,Registre!$B$3:$B$15000,"décembre",Registre!$R$3:$R$15000,$F6,Registre!$C$3:$C$15000,2026),"0")</f>
        <v>0</v>
      </c>
    </row>
    <row r="7" spans="1:19" x14ac:dyDescent="0.25">
      <c r="A7" s="10">
        <v>3</v>
      </c>
      <c r="B7" s="15" t="s">
        <v>15</v>
      </c>
      <c r="C7" s="10">
        <v>2026</v>
      </c>
      <c r="D7" s="40">
        <f>SUMIFS(Registre!$P$3:$P$15000,Registre!$A$3:$A$15000,3,Registre!$B$3:$B$15000,"janvier",Registre!$C$3:$C$15000,2026)</f>
        <v>0</v>
      </c>
      <c r="F7" s="25" t="s">
        <v>39</v>
      </c>
      <c r="G7" s="22">
        <v>780</v>
      </c>
      <c r="H7" s="35" t="str">
        <f>IFERROR(SUMIFS(Registre!$V$3:$V$15000,Registre!$B$3:$B$15000,"janvier",Registre!$R$3:$R$15000,$F7,Registre!$C$3:$C$15000,2026)/SUMIFS(Registre!$W$3:$W$15000,Registre!$B$3:$B$15000,"janvier",Registre!$R$3:$R$15000,$F7,Registre!$C$3:$C$15000,2026),"0")</f>
        <v>0</v>
      </c>
      <c r="I7" s="35" t="str">
        <f>IFERROR(SUMIFS(Registre!$V$3:$V$15000,Registre!$B$3:$B$15000,"février",Registre!$R$3:$R$15000,$F7,Registre!$C$3:$C$15000,2026)/SUMIFS(Registre!$W$3:$W$15000,Registre!$B$3:$B$15000,"février",Registre!$R$3:$R$15000,$F7,Registre!$C$3:$C$15000,2026),"0")</f>
        <v>0</v>
      </c>
      <c r="J7" s="35" t="str">
        <f>IFERROR(SUMIFS(Registre!$V$3:$V$15000,Registre!$B$3:$B$15000,"mars",Registre!$R$3:$R$15000,$F7,Registre!$C$3:$C$15000,2026)/SUMIFS(Registre!$W$3:$W$15000,Registre!$B$3:$B$15000,"mars",Registre!$R$3:$R$15000,$F7,Registre!$C$3:$C$15000,2026),"0")</f>
        <v>0</v>
      </c>
      <c r="K7" s="35" t="str">
        <f>IFERROR(SUMIFS(Registre!$V$3:$V$15000,Registre!$B$3:$B$15000,"avril",Registre!$R$3:$R$15000,$F7,Registre!$C$3:$C$15000,2026)/SUMIFS(Registre!$W$3:$W$15000,Registre!$B$3:$B$15000,"avril",Registre!$R$3:$R$15000,$F7,Registre!$C$3:$C$15000,2026),"0")</f>
        <v>0</v>
      </c>
      <c r="L7" s="35" t="str">
        <f>IFERROR(SUMIFS(Registre!$V$3:$V$15000,Registre!$B$3:$B$15000,"mai",Registre!$R$3:$R$15000,$F7,Registre!$C$3:$C$15000,2026)/SUMIFS(Registre!$W$3:$W$15000,Registre!$B$3:$B$15000,"mai",Registre!$R$3:$R$15000,$F7,Registre!$C$3:$C$15000,2026),"0")</f>
        <v>0</v>
      </c>
      <c r="M7" s="35" t="str">
        <f>IFERROR(SUMIFS(Registre!$V$3:$V$15000,Registre!$B$3:$B$15000,"juin",Registre!$R$3:$R$15000,$F7,Registre!$C$3:$C$15000,2026)/SUMIFS(Registre!$W$3:$W$15000,Registre!$B$3:$B$15000,"juin",Registre!$R$3:$R$15000,$F7,Registre!$C$3:$C$15000,2026),"0")</f>
        <v>0</v>
      </c>
      <c r="N7" s="35" t="str">
        <f>IFERROR(SUMIFS(Registre!$V$3:$V$15000,Registre!$B$3:$B$15000,"juillet",Registre!$R$3:$R$15000,$F7,Registre!$C$3:$C$15000,2026)/SUMIFS(Registre!$W$3:$W$15000,Registre!$B$3:$B$15000,"juillet",Registre!$R$3:$R$15000,$F7,Registre!$C$3:$C$15000,2026),"0")</f>
        <v>0</v>
      </c>
      <c r="O7" s="35" t="str">
        <f>IFERROR(SUMIFS(Registre!$V$3:$V$15000,Registre!$B$3:$B$15000,"août",Registre!$R$3:$R$15000,$F7,Registre!$C$3:$C$15000,2026)/SUMIFS(Registre!$W$3:$W$15000,Registre!$B$3:$B$15000,"août",Registre!$R$3:$R$15000,$F7,Registre!$C$3:$C$15000,2026),"0")</f>
        <v>0</v>
      </c>
      <c r="P7" s="35" t="str">
        <f>IFERROR(SUMIFS(Registre!$V$3:$V$15000,Registre!$B$3:$B$15000,"septembre",Registre!$R$3:$R$15000,$F7,Registre!$C$3:$C$15000,2026)/SUMIFS(Registre!$W$3:$W$15000,Registre!$B$3:$B$15000,"septembre",Registre!$R$3:$R$15000,$F7,Registre!$C$3:$C$15000,2026),"0")</f>
        <v>0</v>
      </c>
      <c r="Q7" s="35" t="str">
        <f>IFERROR(SUMIFS(Registre!$V$3:$V$15000,Registre!$B$3:$B$15000,"octobre",Registre!$R$3:$R$15000,$F7,Registre!$C$3:$C$15000,2026)/SUMIFS(Registre!$W$3:$W$15000,Registre!$B$3:$B$15000,"octobre",Registre!$R$3:$R$15000,$F7,Registre!$C$3:$C$15000,2026),"0")</f>
        <v>0</v>
      </c>
      <c r="R7" s="35" t="str">
        <f>IFERROR(SUMIFS(Registre!$V$3:$V$15000,Registre!$B$3:$B$15000,"novembre",Registre!$R$3:$R$15000,$F7,Registre!$C$3:$C$15000,2026)/SUMIFS(Registre!$W$3:$W$15000,Registre!$B$3:$B$15000,"novembre",Registre!$R$3:$R$15000,$F7,Registre!$C$3:$C$15000,2026),"0")</f>
        <v>0</v>
      </c>
      <c r="S7" s="36" t="str">
        <f>IFERROR(SUMIFS(Registre!$V$3:$V$15000,Registre!$B$3:$B$15000,"décembre",Registre!$R$3:$R$15000,$F7,Registre!$C$3:$C$15000,2026)/SUMIFS(Registre!$W$3:$W$15000,Registre!$B$3:$B$15000,"décembre",Registre!$R$3:$R$15000,$F7,Registre!$C$3:$C$15000,2026),"0")</f>
        <v>0</v>
      </c>
    </row>
    <row r="8" spans="1:19" x14ac:dyDescent="0.25">
      <c r="A8" s="10">
        <v>4</v>
      </c>
      <c r="B8" s="15" t="s">
        <v>15</v>
      </c>
      <c r="C8" s="10">
        <v>2026</v>
      </c>
      <c r="D8" s="40">
        <f>SUMIFS(Registre!$P$3:$P$15000,Registre!$A$3:$A$15000,4,Registre!$B$3:$B$15000,"janvier",Registre!$C$3:$C$15000,2026)</f>
        <v>0</v>
      </c>
      <c r="F8" s="25" t="s">
        <v>40</v>
      </c>
      <c r="G8" s="22">
        <v>480</v>
      </c>
      <c r="H8" s="35" t="str">
        <f>IFERROR(SUMIFS(Registre!$V$3:$V$15000,Registre!$B$3:$B$15000,"janvier",Registre!$R$3:$R$15000,$F8,Registre!$C$3:$C$15000,2026)/SUMIFS(Registre!$W$3:$W$15000,Registre!$B$3:$B$15000,"janvier",Registre!$R$3:$R$15000,$F8,Registre!$C$3:$C$15000,2026),"0")</f>
        <v>0</v>
      </c>
      <c r="I8" s="35" t="str">
        <f>IFERROR(SUMIFS(Registre!$V$3:$V$15000,Registre!$B$3:$B$15000,"février",Registre!$R$3:$R$15000,$F8,Registre!$C$3:$C$15000,2026)/SUMIFS(Registre!$W$3:$W$15000,Registre!$B$3:$B$15000,"février",Registre!$R$3:$R$15000,$F8,Registre!$C$3:$C$15000,2026),"0")</f>
        <v>0</v>
      </c>
      <c r="J8" s="35" t="str">
        <f>IFERROR(SUMIFS(Registre!$V$3:$V$15000,Registre!$B$3:$B$15000,"mars",Registre!$R$3:$R$15000,$F8,Registre!$C$3:$C$15000,2026)/SUMIFS(Registre!$W$3:$W$15000,Registre!$B$3:$B$15000,"mars",Registre!$R$3:$R$15000,$F8,Registre!$C$3:$C$15000,2026),"0")</f>
        <v>0</v>
      </c>
      <c r="K8" s="35" t="str">
        <f>IFERROR(SUMIFS(Registre!$V$3:$V$15000,Registre!$B$3:$B$15000,"avril",Registre!$R$3:$R$15000,$F8,Registre!$C$3:$C$15000,2026)/SUMIFS(Registre!$W$3:$W$15000,Registre!$B$3:$B$15000,"avril",Registre!$R$3:$R$15000,$F8,Registre!$C$3:$C$15000,2026),"0")</f>
        <v>0</v>
      </c>
      <c r="L8" s="35" t="str">
        <f>IFERROR(SUMIFS(Registre!$V$3:$V$15000,Registre!$B$3:$B$15000,"mai",Registre!$R$3:$R$15000,$F8,Registre!$C$3:$C$15000,2026)/SUMIFS(Registre!$W$3:$W$15000,Registre!$B$3:$B$15000,"mai",Registre!$R$3:$R$15000,$F8,Registre!$C$3:$C$15000,2026),"0")</f>
        <v>0</v>
      </c>
      <c r="M8" s="35" t="str">
        <f>IFERROR(SUMIFS(Registre!$V$3:$V$15000,Registre!$B$3:$B$15000,"juin",Registre!$R$3:$R$15000,$F8,Registre!$C$3:$C$15000,2026)/SUMIFS(Registre!$W$3:$W$15000,Registre!$B$3:$B$15000,"juin",Registre!$R$3:$R$15000,$F8,Registre!$C$3:$C$15000,2026),"0")</f>
        <v>0</v>
      </c>
      <c r="N8" s="35" t="str">
        <f>IFERROR(SUMIFS(Registre!$V$3:$V$15000,Registre!$B$3:$B$15000,"juillet",Registre!$R$3:$R$15000,$F8,Registre!$C$3:$C$15000,2026)/SUMIFS(Registre!$W$3:$W$15000,Registre!$B$3:$B$15000,"juillet",Registre!$R$3:$R$15000,$F8,Registre!$C$3:$C$15000,2026),"0")</f>
        <v>0</v>
      </c>
      <c r="O8" s="35" t="str">
        <f>IFERROR(SUMIFS(Registre!$V$3:$V$15000,Registre!$B$3:$B$15000,"août",Registre!$R$3:$R$15000,$F8,Registre!$C$3:$C$15000,2026)/SUMIFS(Registre!$W$3:$W$15000,Registre!$B$3:$B$15000,"août",Registre!$R$3:$R$15000,$F8,Registre!$C$3:$C$15000,2026),"0")</f>
        <v>0</v>
      </c>
      <c r="P8" s="35" t="str">
        <f>IFERROR(SUMIFS(Registre!$V$3:$V$15000,Registre!$B$3:$B$15000,"septembre",Registre!$R$3:$R$15000,$F8,Registre!$C$3:$C$15000,2026)/SUMIFS(Registre!$W$3:$W$15000,Registre!$B$3:$B$15000,"septembre",Registre!$R$3:$R$15000,$F8,Registre!$C$3:$C$15000,2026),"0")</f>
        <v>0</v>
      </c>
      <c r="Q8" s="35" t="str">
        <f>IFERROR(SUMIFS(Registre!$V$3:$V$15000,Registre!$B$3:$B$15000,"octobre",Registre!$R$3:$R$15000,$F8,Registre!$C$3:$C$15000,2026)/SUMIFS(Registre!$W$3:$W$15000,Registre!$B$3:$B$15000,"octobre",Registre!$R$3:$R$15000,$F8,Registre!$C$3:$C$15000,2026),"0")</f>
        <v>0</v>
      </c>
      <c r="R8" s="35" t="str">
        <f>IFERROR(SUMIFS(Registre!$V$3:$V$15000,Registre!$B$3:$B$15000,"novembre",Registre!$R$3:$R$15000,$F8,Registre!$C$3:$C$15000,2026)/SUMIFS(Registre!$W$3:$W$15000,Registre!$B$3:$B$15000,"novembre",Registre!$R$3:$R$15000,$F8,Registre!$C$3:$C$15000,2026),"0")</f>
        <v>0</v>
      </c>
      <c r="S8" s="36" t="str">
        <f>IFERROR(SUMIFS(Registre!$V$3:$V$15000,Registre!$B$3:$B$15000,"décembre",Registre!$R$3:$R$15000,$F8,Registre!$C$3:$C$15000,2026)/SUMIFS(Registre!$W$3:$W$15000,Registre!$B$3:$B$15000,"décembre",Registre!$R$3:$R$15000,$F8,Registre!$C$3:$C$15000,2026),"0")</f>
        <v>0</v>
      </c>
    </row>
    <row r="9" spans="1:19" x14ac:dyDescent="0.25">
      <c r="A9" s="10">
        <v>5</v>
      </c>
      <c r="B9" s="15" t="s">
        <v>15</v>
      </c>
      <c r="C9" s="10">
        <v>2026</v>
      </c>
      <c r="D9" s="40">
        <f>SUMIFS(Registre!$P$3:$P$15000,Registre!$A$3:$A$15000,5,Registre!$B$3:$B$15000,"janvier",Registre!$C$3:$C$15000,2026)</f>
        <v>0</v>
      </c>
      <c r="F9" s="25" t="s">
        <v>41</v>
      </c>
      <c r="G9" s="22">
        <v>670</v>
      </c>
      <c r="H9" s="35" t="str">
        <f>IFERROR(SUMIFS(Registre!$V$3:$V$15000,Registre!$B$3:$B$15000,"janvier",Registre!$R$3:$R$15000,$F9,Registre!$C$3:$C$15000,2026)/SUMIFS(Registre!$W$3:$W$15000,Registre!$B$3:$B$15000,"janvier",Registre!$R$3:$R$15000,$F9,Registre!$C$3:$C$15000,2026),"0")</f>
        <v>0</v>
      </c>
      <c r="I9" s="35" t="str">
        <f>IFERROR(SUMIFS(Registre!$V$3:$V$15000,Registre!$B$3:$B$15000,"février",Registre!$R$3:$R$15000,$F9,Registre!$C$3:$C$15000,2026)/SUMIFS(Registre!$W$3:$W$15000,Registre!$B$3:$B$15000,"février",Registre!$R$3:$R$15000,$F9,Registre!$C$3:$C$15000,2026),"0")</f>
        <v>0</v>
      </c>
      <c r="J9" s="35" t="str">
        <f>IFERROR(SUMIFS(Registre!$V$3:$V$15000,Registre!$B$3:$B$15000,"mars",Registre!$R$3:$R$15000,$F9,Registre!$C$3:$C$15000,2026)/SUMIFS(Registre!$W$3:$W$15000,Registre!$B$3:$B$15000,"mars",Registre!$R$3:$R$15000,$F9,Registre!$C$3:$C$15000,2026),"0")</f>
        <v>0</v>
      </c>
      <c r="K9" s="35" t="str">
        <f>IFERROR(SUMIFS(Registre!$V$3:$V$15000,Registre!$B$3:$B$15000,"avril",Registre!$R$3:$R$15000,$F9,Registre!$C$3:$C$15000,2026)/SUMIFS(Registre!$W$3:$W$15000,Registre!$B$3:$B$15000,"avril",Registre!$R$3:$R$15000,$F9,Registre!$C$3:$C$15000,2026),"0")</f>
        <v>0</v>
      </c>
      <c r="L9" s="35" t="str">
        <f>IFERROR(SUMIFS(Registre!$V$3:$V$15000,Registre!$B$3:$B$15000,"mai",Registre!$R$3:$R$15000,$F9,Registre!$C$3:$C$15000,2026)/SUMIFS(Registre!$W$3:$W$15000,Registre!$B$3:$B$15000,"mai",Registre!$R$3:$R$15000,$F9,Registre!$C$3:$C$15000,2026),"0")</f>
        <v>0</v>
      </c>
      <c r="M9" s="35" t="str">
        <f>IFERROR(SUMIFS(Registre!$V$3:$V$15000,Registre!$B$3:$B$15000,"juin",Registre!$R$3:$R$15000,$F9,Registre!$C$3:$C$15000,2026)/SUMIFS(Registre!$W$3:$W$15000,Registre!$B$3:$B$15000,"juin",Registre!$R$3:$R$15000,$F9,Registre!$C$3:$C$15000,2026),"0")</f>
        <v>0</v>
      </c>
      <c r="N9" s="35" t="str">
        <f>IFERROR(SUMIFS(Registre!$V$3:$V$15000,Registre!$B$3:$B$15000,"juillet",Registre!$R$3:$R$15000,$F9,Registre!$C$3:$C$15000,2026)/SUMIFS(Registre!$W$3:$W$15000,Registre!$B$3:$B$15000,"juillet",Registre!$R$3:$R$15000,$F9,Registre!$C$3:$C$15000,2026),"0")</f>
        <v>0</v>
      </c>
      <c r="O9" s="35" t="str">
        <f>IFERROR(SUMIFS(Registre!$V$3:$V$15000,Registre!$B$3:$B$15000,"août",Registre!$R$3:$R$15000,$F9,Registre!$C$3:$C$15000,2026)/SUMIFS(Registre!$W$3:$W$15000,Registre!$B$3:$B$15000,"août",Registre!$R$3:$R$15000,$F9,Registre!$C$3:$C$15000,2026),"0")</f>
        <v>0</v>
      </c>
      <c r="P9" s="35" t="str">
        <f>IFERROR(SUMIFS(Registre!$V$3:$V$15000,Registre!$B$3:$B$15000,"septembre",Registre!$R$3:$R$15000,$F9,Registre!$C$3:$C$15000,2026)/SUMIFS(Registre!$W$3:$W$15000,Registre!$B$3:$B$15000,"septembre",Registre!$R$3:$R$15000,$F9,Registre!$C$3:$C$15000,2026),"0")</f>
        <v>0</v>
      </c>
      <c r="Q9" s="35" t="str">
        <f>IFERROR(SUMIFS(Registre!$V$3:$V$15000,Registre!$B$3:$B$15000,"octobre",Registre!$R$3:$R$15000,$F9,Registre!$C$3:$C$15000,2026)/SUMIFS(Registre!$W$3:$W$15000,Registre!$B$3:$B$15000,"octobre",Registre!$R$3:$R$15000,$F9,Registre!$C$3:$C$15000,2026),"0")</f>
        <v>0</v>
      </c>
      <c r="R9" s="35" t="str">
        <f>IFERROR(SUMIFS(Registre!$V$3:$V$15000,Registre!$B$3:$B$15000,"novembre",Registre!$R$3:$R$15000,$F9,Registre!$C$3:$C$15000,2026)/SUMIFS(Registre!$W$3:$W$15000,Registre!$B$3:$B$15000,"novembre",Registre!$R$3:$R$15000,$F9,Registre!$C$3:$C$15000,2026),"0")</f>
        <v>0</v>
      </c>
      <c r="S9" s="36" t="str">
        <f>IFERROR(SUMIFS(Registre!$V$3:$V$15000,Registre!$B$3:$B$15000,"décembre",Registre!$R$3:$R$15000,$F9,Registre!$C$3:$C$15000,2026)/SUMIFS(Registre!$W$3:$W$15000,Registre!$B$3:$B$15000,"décembre",Registre!$R$3:$R$15000,$F9,Registre!$C$3:$C$15000,2026),"0")</f>
        <v>0</v>
      </c>
    </row>
    <row r="10" spans="1:19" x14ac:dyDescent="0.25">
      <c r="A10" s="10">
        <v>6</v>
      </c>
      <c r="B10" s="15" t="s">
        <v>15</v>
      </c>
      <c r="C10" s="10">
        <v>2026</v>
      </c>
      <c r="D10" s="40">
        <f>SUMIFS(Registre!$P$3:$P$15000,Registre!$A$3:$A$15000,6,Registre!$B$3:$B$15000,"janvier",Registre!$C$3:$C$15000,2026)</f>
        <v>0</v>
      </c>
      <c r="F10" s="25" t="s">
        <v>42</v>
      </c>
      <c r="G10" s="22">
        <v>600</v>
      </c>
      <c r="H10" s="35" t="str">
        <f>IFERROR(SUMIFS(Registre!$V$3:$V$15000,Registre!$B$3:$B$15000,"janvier",Registre!$R$3:$R$15000,$F10,Registre!$C$3:$C$15000,2026)/SUMIFS(Registre!$W$3:$W$15000,Registre!$B$3:$B$15000,"janvier",Registre!$R$3:$R$15000,$F10,Registre!$C$3:$C$15000,2026),"0")</f>
        <v>0</v>
      </c>
      <c r="I10" s="35" t="str">
        <f>IFERROR(SUMIFS(Registre!$V$3:$V$15000,Registre!$B$3:$B$15000,"février",Registre!$R$3:$R$15000,$F10,Registre!$C$3:$C$15000,2026)/SUMIFS(Registre!$W$3:$W$15000,Registre!$B$3:$B$15000,"février",Registre!$R$3:$R$15000,$F10,Registre!$C$3:$C$15000,2026),"0")</f>
        <v>0</v>
      </c>
      <c r="J10" s="35" t="str">
        <f>IFERROR(SUMIFS(Registre!$V$3:$V$15000,Registre!$B$3:$B$15000,"mars",Registre!$R$3:$R$15000,$F10,Registre!$C$3:$C$15000,2026)/SUMIFS(Registre!$W$3:$W$15000,Registre!$B$3:$B$15000,"mars",Registre!$R$3:$R$15000,$F10,Registre!$C$3:$C$15000,2026),"0")</f>
        <v>0</v>
      </c>
      <c r="K10" s="35" t="str">
        <f>IFERROR(SUMIFS(Registre!$V$3:$V$15000,Registre!$B$3:$B$15000,"avril",Registre!$R$3:$R$15000,$F10,Registre!$C$3:$C$15000,2026)/SUMIFS(Registre!$W$3:$W$15000,Registre!$B$3:$B$15000,"avril",Registre!$R$3:$R$15000,$F10,Registre!$C$3:$C$15000,2026),"0")</f>
        <v>0</v>
      </c>
      <c r="L10" s="35" t="str">
        <f>IFERROR(SUMIFS(Registre!$V$3:$V$15000,Registre!$B$3:$B$15000,"mai",Registre!$R$3:$R$15000,$F10,Registre!$C$3:$C$15000,2026)/SUMIFS(Registre!$W$3:$W$15000,Registre!$B$3:$B$15000,"mai",Registre!$R$3:$R$15000,$F10,Registre!$C$3:$C$15000,2026),"0")</f>
        <v>0</v>
      </c>
      <c r="M10" s="35" t="str">
        <f>IFERROR(SUMIFS(Registre!$V$3:$V$15000,Registre!$B$3:$B$15000,"juin",Registre!$R$3:$R$15000,$F10,Registre!$C$3:$C$15000,2026)/SUMIFS(Registre!$W$3:$W$15000,Registre!$B$3:$B$15000,"juin",Registre!$R$3:$R$15000,$F10,Registre!$C$3:$C$15000,2026),"0")</f>
        <v>0</v>
      </c>
      <c r="N10" s="35" t="str">
        <f>IFERROR(SUMIFS(Registre!$V$3:$V$15000,Registre!$B$3:$B$15000,"juillet",Registre!$R$3:$R$15000,$F10,Registre!$C$3:$C$15000,2026)/SUMIFS(Registre!$W$3:$W$15000,Registre!$B$3:$B$15000,"juillet",Registre!$R$3:$R$15000,$F10,Registre!$C$3:$C$15000,2026),"0")</f>
        <v>0</v>
      </c>
      <c r="O10" s="35" t="str">
        <f>IFERROR(SUMIFS(Registre!$V$3:$V$15000,Registre!$B$3:$B$15000,"août",Registre!$R$3:$R$15000,$F10,Registre!$C$3:$C$15000,2026)/SUMIFS(Registre!$W$3:$W$15000,Registre!$B$3:$B$15000,"août",Registre!$R$3:$R$15000,$F10,Registre!$C$3:$C$15000,2026),"0")</f>
        <v>0</v>
      </c>
      <c r="P10" s="35" t="str">
        <f>IFERROR(SUMIFS(Registre!$V$3:$V$15000,Registre!$B$3:$B$15000,"septembre",Registre!$R$3:$R$15000,$F10,Registre!$C$3:$C$15000,2026)/SUMIFS(Registre!$W$3:$W$15000,Registre!$B$3:$B$15000,"septembre",Registre!$R$3:$R$15000,$F10,Registre!$C$3:$C$15000,2026),"0")</f>
        <v>0</v>
      </c>
      <c r="Q10" s="35" t="str">
        <f>IFERROR(SUMIFS(Registre!$V$3:$V$15000,Registre!$B$3:$B$15000,"octobre",Registre!$R$3:$R$15000,$F10,Registre!$C$3:$C$15000,2026)/SUMIFS(Registre!$W$3:$W$15000,Registre!$B$3:$B$15000,"octobre",Registre!$R$3:$R$15000,$F10,Registre!$C$3:$C$15000,2026),"0")</f>
        <v>0</v>
      </c>
      <c r="R10" s="35" t="str">
        <f>IFERROR(SUMIFS(Registre!$V$3:$V$15000,Registre!$B$3:$B$15000,"novembre",Registre!$R$3:$R$15000,$F10,Registre!$C$3:$C$15000,2026)/SUMIFS(Registre!$W$3:$W$15000,Registre!$B$3:$B$15000,"novembre",Registre!$R$3:$R$15000,$F10,Registre!$C$3:$C$15000,2026),"0")</f>
        <v>0</v>
      </c>
      <c r="S10" s="36" t="str">
        <f>IFERROR(SUMIFS(Registre!$V$3:$V$15000,Registre!$B$3:$B$15000,"décembre",Registre!$R$3:$R$15000,$F10,Registre!$C$3:$C$15000,2026)/SUMIFS(Registre!$W$3:$W$15000,Registre!$B$3:$B$15000,"décembre",Registre!$R$3:$R$15000,$F10,Registre!$C$3:$C$15000,2026),"0")</f>
        <v>0</v>
      </c>
    </row>
    <row r="11" spans="1:19" x14ac:dyDescent="0.25">
      <c r="A11" s="10">
        <v>7</v>
      </c>
      <c r="B11" s="15" t="s">
        <v>15</v>
      </c>
      <c r="C11" s="10">
        <v>2026</v>
      </c>
      <c r="D11" s="40">
        <f>SUMIFS(Registre!$P$3:$P$15000,Registre!$A$3:$A$15000,7,Registre!$B$3:$B$15000,"janvier",Registre!$C$3:$C$15000,2026)</f>
        <v>0</v>
      </c>
      <c r="F11" s="25" t="s">
        <v>43</v>
      </c>
      <c r="G11" s="22">
        <v>670</v>
      </c>
      <c r="H11" s="35" t="str">
        <f>IFERROR(SUMIFS(Registre!$V$3:$V$15000,Registre!$B$3:$B$15000,"janvier",Registre!$R$3:$R$15000,$F11,Registre!$C$3:$C$15000,2026)/SUMIFS(Registre!$W$3:$W$15000,Registre!$B$3:$B$15000,"janvier",Registre!$R$3:$R$15000,$F11,Registre!$C$3:$C$15000,2026),"0")</f>
        <v>0</v>
      </c>
      <c r="I11" s="35" t="str">
        <f>IFERROR(SUMIFS(Registre!$V$3:$V$15000,Registre!$B$3:$B$15000,"février",Registre!$R$3:$R$15000,$F11,Registre!$C$3:$C$15000,2026)/SUMIFS(Registre!$W$3:$W$15000,Registre!$B$3:$B$15000,"février",Registre!$R$3:$R$15000,$F11,Registre!$C$3:$C$15000,2026),"0")</f>
        <v>0</v>
      </c>
      <c r="J11" s="35" t="str">
        <f>IFERROR(SUMIFS(Registre!$V$3:$V$15000,Registre!$B$3:$B$15000,"mars",Registre!$R$3:$R$15000,$F11,Registre!$C$3:$C$15000,2026)/SUMIFS(Registre!$W$3:$W$15000,Registre!$B$3:$B$15000,"mars",Registre!$R$3:$R$15000,$F11,Registre!$C$3:$C$15000,2026),"0")</f>
        <v>0</v>
      </c>
      <c r="K11" s="35" t="str">
        <f>IFERROR(SUMIFS(Registre!$V$3:$V$15000,Registre!$B$3:$B$15000,"avril",Registre!$R$3:$R$15000,$F11,Registre!$C$3:$C$15000,2026)/SUMIFS(Registre!$W$3:$W$15000,Registre!$B$3:$B$15000,"avril",Registre!$R$3:$R$15000,$F11,Registre!$C$3:$C$15000,2026),"0")</f>
        <v>0</v>
      </c>
      <c r="L11" s="35" t="str">
        <f>IFERROR(SUMIFS(Registre!$V$3:$V$15000,Registre!$B$3:$B$15000,"mai",Registre!$R$3:$R$15000,$F11,Registre!$C$3:$C$15000,2026)/SUMIFS(Registre!$W$3:$W$15000,Registre!$B$3:$B$15000,"mai",Registre!$R$3:$R$15000,$F11,Registre!$C$3:$C$15000,2026),"0")</f>
        <v>0</v>
      </c>
      <c r="M11" s="35" t="str">
        <f>IFERROR(SUMIFS(Registre!$V$3:$V$15000,Registre!$B$3:$B$15000,"juin",Registre!$R$3:$R$15000,$F11,Registre!$C$3:$C$15000,2026)/SUMIFS(Registre!$W$3:$W$15000,Registre!$B$3:$B$15000,"juin",Registre!$R$3:$R$15000,$F11,Registre!$C$3:$C$15000,2026),"0")</f>
        <v>0</v>
      </c>
      <c r="N11" s="35" t="str">
        <f>IFERROR(SUMIFS(Registre!$V$3:$V$15000,Registre!$B$3:$B$15000,"juillet",Registre!$R$3:$R$15000,$F11,Registre!$C$3:$C$15000,2026)/SUMIFS(Registre!$W$3:$W$15000,Registre!$B$3:$B$15000,"juillet",Registre!$R$3:$R$15000,$F11,Registre!$C$3:$C$15000,2026),"0")</f>
        <v>0</v>
      </c>
      <c r="O11" s="35" t="str">
        <f>IFERROR(SUMIFS(Registre!$V$3:$V$15000,Registre!$B$3:$B$15000,"août",Registre!$R$3:$R$15000,$F11,Registre!$C$3:$C$15000,2026)/SUMIFS(Registre!$W$3:$W$15000,Registre!$B$3:$B$15000,"août",Registre!$R$3:$R$15000,$F11,Registre!$C$3:$C$15000,2026),"0")</f>
        <v>0</v>
      </c>
      <c r="P11" s="35" t="str">
        <f>IFERROR(SUMIFS(Registre!$V$3:$V$15000,Registre!$B$3:$B$15000,"septembre",Registre!$R$3:$R$15000,$F11,Registre!$C$3:$C$15000,2026)/SUMIFS(Registre!$W$3:$W$15000,Registre!$B$3:$B$15000,"septembre",Registre!$R$3:$R$15000,$F11,Registre!$C$3:$C$15000,2026),"0")</f>
        <v>0</v>
      </c>
      <c r="Q11" s="35" t="str">
        <f>IFERROR(SUMIFS(Registre!$V$3:$V$15000,Registre!$B$3:$B$15000,"octobre",Registre!$R$3:$R$15000,$F11,Registre!$C$3:$C$15000,2026)/SUMIFS(Registre!$W$3:$W$15000,Registre!$B$3:$B$15000,"octobre",Registre!$R$3:$R$15000,$F11,Registre!$C$3:$C$15000,2026),"0")</f>
        <v>0</v>
      </c>
      <c r="R11" s="35" t="str">
        <f>IFERROR(SUMIFS(Registre!$V$3:$V$15000,Registre!$B$3:$B$15000,"novembre",Registre!$R$3:$R$15000,$F11,Registre!$C$3:$C$15000,2026)/SUMIFS(Registre!$W$3:$W$15000,Registre!$B$3:$B$15000,"novembre",Registre!$R$3:$R$15000,$F11,Registre!$C$3:$C$15000,2026),"0")</f>
        <v>0</v>
      </c>
      <c r="S11" s="36" t="str">
        <f>IFERROR(SUMIFS(Registre!$V$3:$V$15000,Registre!$B$3:$B$15000,"décembre",Registre!$R$3:$R$15000,$F11,Registre!$C$3:$C$15000,2026)/SUMIFS(Registre!$W$3:$W$15000,Registre!$B$3:$B$15000,"décembre",Registre!$R$3:$R$15000,$F11,Registre!$C$3:$C$15000,2026),"0")</f>
        <v>0</v>
      </c>
    </row>
    <row r="12" spans="1:19" x14ac:dyDescent="0.25">
      <c r="A12" s="10">
        <v>8</v>
      </c>
      <c r="B12" s="15" t="s">
        <v>15</v>
      </c>
      <c r="C12" s="10">
        <v>2026</v>
      </c>
      <c r="D12" s="40">
        <f>SUMIFS(Registre!$P$3:$P$15000,Registre!$A$3:$A$15000,8,Registre!$B$3:$B$15000,"janvier",Registre!$C$3:$C$15000,2026)</f>
        <v>0</v>
      </c>
      <c r="F12" s="25" t="s">
        <v>44</v>
      </c>
      <c r="G12" s="22">
        <v>780</v>
      </c>
      <c r="H12" s="35" t="str">
        <f>IFERROR(SUMIFS(Registre!$V$3:$V$15000,Registre!$B$3:$B$15000,"janvier",Registre!$R$3:$R$15000,$F12,Registre!$C$3:$C$15000,2026)/SUMIFS(Registre!$W$3:$W$15000,Registre!$B$3:$B$15000,"janvier",Registre!$R$3:$R$15000,$F12,Registre!$C$3:$C$15000,2026),"0")</f>
        <v>0</v>
      </c>
      <c r="I12" s="35" t="str">
        <f>IFERROR(SUMIFS(Registre!$V$3:$V$15000,Registre!$B$3:$B$15000,"février",Registre!$R$3:$R$15000,$F12,Registre!$C$3:$C$15000,2026)/SUMIFS(Registre!$W$3:$W$15000,Registre!$B$3:$B$15000,"février",Registre!$R$3:$R$15000,$F12,Registre!$C$3:$C$15000,2026),"0")</f>
        <v>0</v>
      </c>
      <c r="J12" s="35" t="str">
        <f>IFERROR(SUMIFS(Registre!$V$3:$V$15000,Registre!$B$3:$B$15000,"mars",Registre!$R$3:$R$15000,$F12,Registre!$C$3:$C$15000,2026)/SUMIFS(Registre!$W$3:$W$15000,Registre!$B$3:$B$15000,"mars",Registre!$R$3:$R$15000,$F12,Registre!$C$3:$C$15000,2026),"0")</f>
        <v>0</v>
      </c>
      <c r="K12" s="35" t="str">
        <f>IFERROR(SUMIFS(Registre!$V$3:$V$15000,Registre!$B$3:$B$15000,"avril",Registre!$R$3:$R$15000,$F12,Registre!$C$3:$C$15000,2026)/SUMIFS(Registre!$W$3:$W$15000,Registre!$B$3:$B$15000,"avril",Registre!$R$3:$R$15000,$F12,Registre!$C$3:$C$15000,2026),"0")</f>
        <v>0</v>
      </c>
      <c r="L12" s="35" t="str">
        <f>IFERROR(SUMIFS(Registre!$V$3:$V$15000,Registre!$B$3:$B$15000,"mai",Registre!$R$3:$R$15000,$F12,Registre!$C$3:$C$15000,2026)/SUMIFS(Registre!$W$3:$W$15000,Registre!$B$3:$B$15000,"mai",Registre!$R$3:$R$15000,$F12,Registre!$C$3:$C$15000,2026),"0")</f>
        <v>0</v>
      </c>
      <c r="M12" s="35" t="str">
        <f>IFERROR(SUMIFS(Registre!$V$3:$V$15000,Registre!$B$3:$B$15000,"juin",Registre!$R$3:$R$15000,$F12,Registre!$C$3:$C$15000,2026)/SUMIFS(Registre!$W$3:$W$15000,Registre!$B$3:$B$15000,"juin",Registre!$R$3:$R$15000,$F12,Registre!$C$3:$C$15000,2026),"0")</f>
        <v>0</v>
      </c>
      <c r="N12" s="35" t="str">
        <f>IFERROR(SUMIFS(Registre!$V$3:$V$15000,Registre!$B$3:$B$15000,"juillet",Registre!$R$3:$R$15000,$F12,Registre!$C$3:$C$15000,2026)/SUMIFS(Registre!$W$3:$W$15000,Registre!$B$3:$B$15000,"juillet",Registre!$R$3:$R$15000,$F12,Registre!$C$3:$C$15000,2026),"0")</f>
        <v>0</v>
      </c>
      <c r="O12" s="35" t="str">
        <f>IFERROR(SUMIFS(Registre!$V$3:$V$15000,Registre!$B$3:$B$15000,"août",Registre!$R$3:$R$15000,$F12,Registre!$C$3:$C$15000,2026)/SUMIFS(Registre!$W$3:$W$15000,Registre!$B$3:$B$15000,"août",Registre!$R$3:$R$15000,$F12,Registre!$C$3:$C$15000,2026),"0")</f>
        <v>0</v>
      </c>
      <c r="P12" s="35" t="str">
        <f>IFERROR(SUMIFS(Registre!$V$3:$V$15000,Registre!$B$3:$B$15000,"septembre",Registre!$R$3:$R$15000,$F12,Registre!$C$3:$C$15000,2026)/SUMIFS(Registre!$W$3:$W$15000,Registre!$B$3:$B$15000,"septembre",Registre!$R$3:$R$15000,$F12,Registre!$C$3:$C$15000,2026),"0")</f>
        <v>0</v>
      </c>
      <c r="Q12" s="35" t="str">
        <f>IFERROR(SUMIFS(Registre!$V$3:$V$15000,Registre!$B$3:$B$15000,"octobre",Registre!$R$3:$R$15000,$F12,Registre!$C$3:$C$15000,2026)/SUMIFS(Registre!$W$3:$W$15000,Registre!$B$3:$B$15000,"octobre",Registre!$R$3:$R$15000,$F12,Registre!$C$3:$C$15000,2026),"0")</f>
        <v>0</v>
      </c>
      <c r="R12" s="35" t="str">
        <f>IFERROR(SUMIFS(Registre!$V$3:$V$15000,Registre!$B$3:$B$15000,"novembre",Registre!$R$3:$R$15000,$F12,Registre!$C$3:$C$15000,2026)/SUMIFS(Registre!$W$3:$W$15000,Registre!$B$3:$B$15000,"novembre",Registre!$R$3:$R$15000,$F12,Registre!$C$3:$C$15000,2026),"0")</f>
        <v>0</v>
      </c>
      <c r="S12" s="36" t="str">
        <f>IFERROR(SUMIFS(Registre!$V$3:$V$15000,Registre!$B$3:$B$15000,"décembre",Registre!$R$3:$R$15000,$F12,Registre!$C$3:$C$15000,2026)/SUMIFS(Registre!$W$3:$W$15000,Registre!$B$3:$B$15000,"décembre",Registre!$R$3:$R$15000,$F12,Registre!$C$3:$C$15000,2026),"0")</f>
        <v>0</v>
      </c>
    </row>
    <row r="13" spans="1:19" ht="15.75" thickBot="1" x14ac:dyDescent="0.3">
      <c r="A13" s="10">
        <v>9</v>
      </c>
      <c r="B13" s="15" t="s">
        <v>15</v>
      </c>
      <c r="C13" s="10">
        <v>2026</v>
      </c>
      <c r="D13" s="40">
        <f>SUMIFS(Registre!$P$3:$P$15000,Registre!$A$3:$A$15000,9,Registre!$B$3:$B$15000,"janvier",Registre!$C$3:$C$15000,2026)</f>
        <v>0</v>
      </c>
      <c r="F13" s="26" t="s">
        <v>27</v>
      </c>
      <c r="G13" s="23">
        <v>780</v>
      </c>
      <c r="H13" s="37" t="str">
        <f>IFERROR(SUMIFS(Registre!$V$3:$V$15000,Registre!$B$3:$B$15000,"janvier",Registre!$R$3:$R$15000,$F13,Registre!$C$3:$C$15000,2026)/SUMIFS(Registre!$W$3:$W$15000,Registre!$B$3:$B$15000,"janvier",Registre!$R$3:$R$15000,$F13,Registre!$C$3:$C$15000,2026),"0")</f>
        <v>0</v>
      </c>
      <c r="I13" s="37" t="str">
        <f>IFERROR(SUMIFS(Registre!$V$3:$V$15000,Registre!$B$3:$B$15000,"février",Registre!$R$3:$R$15000,$F13,Registre!$C$3:$C$15000,2026)/SUMIFS(Registre!$W$3:$W$15000,Registre!$B$3:$B$15000,"février",Registre!$R$3:$R$15000,$F13,Registre!$C$3:$C$15000,2026),"0")</f>
        <v>0</v>
      </c>
      <c r="J13" s="37" t="str">
        <f>IFERROR(SUMIFS(Registre!$V$3:$V$15000,Registre!$B$3:$B$15000,"mars",Registre!$R$3:$R$15000,$F13,Registre!$C$3:$C$15000,2026)/SUMIFS(Registre!$W$3:$W$15000,Registre!$B$3:$B$15000,"mars",Registre!$R$3:$R$15000,$F13,Registre!$C$3:$C$15000,2026),"0")</f>
        <v>0</v>
      </c>
      <c r="K13" s="37" t="str">
        <f>IFERROR(SUMIFS(Registre!$V$3:$V$15000,Registre!$B$3:$B$15000,"avril",Registre!$R$3:$R$15000,$F13,Registre!$C$3:$C$15000,2026)/SUMIFS(Registre!$W$3:$W$15000,Registre!$B$3:$B$15000,"avril",Registre!$R$3:$R$15000,$F13,Registre!$C$3:$C$15000,2026),"0")</f>
        <v>0</v>
      </c>
      <c r="L13" s="37" t="str">
        <f>IFERROR(SUMIFS(Registre!$V$3:$V$15000,Registre!$B$3:$B$15000,"mai",Registre!$R$3:$R$15000,$F13,Registre!$C$3:$C$15000,2026)/SUMIFS(Registre!$W$3:$W$15000,Registre!$B$3:$B$15000,"mai",Registre!$R$3:$R$15000,$F13,Registre!$C$3:$C$15000,2026),"0")</f>
        <v>0</v>
      </c>
      <c r="M13" s="37" t="str">
        <f>IFERROR(SUMIFS(Registre!$V$3:$V$15000,Registre!$B$3:$B$15000,"juin",Registre!$R$3:$R$15000,$F13,Registre!$C$3:$C$15000,2026)/SUMIFS(Registre!$W$3:$W$15000,Registre!$B$3:$B$15000,"juin",Registre!$R$3:$R$15000,$F13,Registre!$C$3:$C$15000,2026),"0")</f>
        <v>0</v>
      </c>
      <c r="N13" s="37" t="str">
        <f>IFERROR(SUMIFS(Registre!$V$3:$V$15000,Registre!$B$3:$B$15000,"juillet",Registre!$R$3:$R$15000,$F13,Registre!$C$3:$C$15000,2026)/SUMIFS(Registre!$W$3:$W$15000,Registre!$B$3:$B$15000,"juillet",Registre!$R$3:$R$15000,$F13,Registre!$C$3:$C$15000,2026),"0")</f>
        <v>0</v>
      </c>
      <c r="O13" s="37" t="str">
        <f>IFERROR(SUMIFS(Registre!$V$3:$V$15000,Registre!$B$3:$B$15000,"août",Registre!$R$3:$R$15000,$F13,Registre!$C$3:$C$15000,2026)/SUMIFS(Registre!$W$3:$W$15000,Registre!$B$3:$B$15000,"août",Registre!$R$3:$R$15000,$F13,Registre!$C$3:$C$15000,2026),"0")</f>
        <v>0</v>
      </c>
      <c r="P13" s="37" t="str">
        <f>IFERROR(SUMIFS(Registre!$V$3:$V$15000,Registre!$B$3:$B$15000,"septembre",Registre!$R$3:$R$15000,$F13,Registre!$C$3:$C$15000,2026)/SUMIFS(Registre!$W$3:$W$15000,Registre!$B$3:$B$15000,"septembre",Registre!$R$3:$R$15000,$F13,Registre!$C$3:$C$15000,2026),"0")</f>
        <v>0</v>
      </c>
      <c r="Q13" s="37" t="str">
        <f>IFERROR(SUMIFS(Registre!$V$3:$V$15000,Registre!$B$3:$B$15000,"octobre",Registre!$R$3:$R$15000,$F13,Registre!$C$3:$C$15000,2026)/SUMIFS(Registre!$W$3:$W$15000,Registre!$B$3:$B$15000,"octobre",Registre!$R$3:$R$15000,$F13,Registre!$C$3:$C$15000,2026),"0")</f>
        <v>0</v>
      </c>
      <c r="R13" s="37" t="str">
        <f>IFERROR(SUMIFS(Registre!$V$3:$V$15000,Registre!$B$3:$B$15000,"novembre",Registre!$R$3:$R$15000,$F13,Registre!$C$3:$C$15000,2026)/SUMIFS(Registre!$W$3:$W$15000,Registre!$B$3:$B$15000,"novembre",Registre!$R$3:$R$15000,$F13,Registre!$C$3:$C$15000,2026),"0")</f>
        <v>0</v>
      </c>
      <c r="S13" s="38" t="str">
        <f>IFERROR(SUMIFS(Registre!$V$3:$V$15000,Registre!$B$3:$B$15000,"décembre",Registre!$R$3:$R$15000,$F13,Registre!$C$3:$C$15000,2026)/SUMIFS(Registre!$W$3:$W$15000,Registre!$B$3:$B$15000,"décembre",Registre!$R$3:$R$15000,$F13,Registre!$C$3:$C$15000,2026),"0")</f>
        <v>0</v>
      </c>
    </row>
    <row r="14" spans="1:19" x14ac:dyDescent="0.25">
      <c r="A14" s="10">
        <v>10</v>
      </c>
      <c r="B14" s="15" t="s">
        <v>15</v>
      </c>
      <c r="C14" s="10">
        <v>2026</v>
      </c>
      <c r="D14" s="40">
        <f>SUMIFS(Registre!$P$3:$P$15000,Registre!$A$3:$A$15000,10,Registre!$B$3:$B$15000,"janvier",Registre!$C$3:$C$15000,2026)</f>
        <v>0</v>
      </c>
      <c r="F14" s="17"/>
      <c r="H14" s="2"/>
    </row>
    <row r="15" spans="1:19" x14ac:dyDescent="0.25">
      <c r="A15" s="10">
        <v>11</v>
      </c>
      <c r="B15" s="15" t="s">
        <v>15</v>
      </c>
      <c r="C15" s="10">
        <v>2026</v>
      </c>
      <c r="D15" s="40">
        <f>SUMIFS(Registre!$P$3:$P$15000,Registre!$A$3:$A$15000,11,Registre!$B$3:$B$15000,"janvier",Registre!$C$3:$C$15000,2026)</f>
        <v>0</v>
      </c>
      <c r="F15" s="17"/>
      <c r="H15" s="2"/>
    </row>
    <row r="16" spans="1:19" x14ac:dyDescent="0.25">
      <c r="A16" s="10">
        <v>12</v>
      </c>
      <c r="B16" s="15" t="s">
        <v>15</v>
      </c>
      <c r="C16" s="10">
        <v>2026</v>
      </c>
      <c r="D16" s="40">
        <f>SUMIFS(Registre!$P$3:$P$15000,Registre!$A$3:$A$15000,12,Registre!$B$3:$B$15000,"janvier",Registre!$C$3:$C$15000,2026)</f>
        <v>0</v>
      </c>
      <c r="F16" s="18"/>
      <c r="H16" s="2"/>
    </row>
    <row r="17" spans="1:8" x14ac:dyDescent="0.25">
      <c r="A17" s="10">
        <v>13</v>
      </c>
      <c r="B17" s="15" t="s">
        <v>15</v>
      </c>
      <c r="C17" s="10">
        <v>2026</v>
      </c>
      <c r="D17" s="40">
        <f>SUMIFS(Registre!$P$3:$P$15000,Registre!$A$3:$A$15000,13,Registre!$B$3:$B$15000,"janvier",Registre!$C$3:$C$15000,2026)</f>
        <v>0</v>
      </c>
      <c r="F17" s="18"/>
      <c r="H17" s="2"/>
    </row>
    <row r="18" spans="1:8" x14ac:dyDescent="0.25">
      <c r="A18" s="10">
        <v>14</v>
      </c>
      <c r="B18" s="15" t="s">
        <v>15</v>
      </c>
      <c r="C18" s="10">
        <v>2026</v>
      </c>
      <c r="D18" s="40">
        <f>SUMIFS(Registre!$P$3:$P$15000,Registre!$A$3:$A$15000,14,Registre!$B$3:$B$15000,"janvier",Registre!$C$3:$C$15000,2026)</f>
        <v>0</v>
      </c>
      <c r="F18" s="18"/>
      <c r="H18" s="2"/>
    </row>
    <row r="19" spans="1:8" x14ac:dyDescent="0.25">
      <c r="A19" s="10">
        <v>15</v>
      </c>
      <c r="B19" s="15" t="s">
        <v>15</v>
      </c>
      <c r="C19" s="10">
        <v>2026</v>
      </c>
      <c r="D19" s="40">
        <f>SUMIFS(Registre!$P$3:$P$15000,Registre!$A$3:$A$15000,15,Registre!$B$3:$B$15000,"janvier",Registre!$C$3:$C$15000,2026)</f>
        <v>0</v>
      </c>
      <c r="F19" s="18"/>
      <c r="H19" s="2"/>
    </row>
    <row r="20" spans="1:8" x14ac:dyDescent="0.25">
      <c r="A20" s="10">
        <v>16</v>
      </c>
      <c r="B20" s="15" t="s">
        <v>15</v>
      </c>
      <c r="C20" s="10">
        <v>2026</v>
      </c>
      <c r="D20" s="40">
        <f>SUMIFS(Registre!$P$3:$P$15000,Registre!$A$3:$A$15000,16,Registre!$B$3:$B$15000,"janvier",Registre!$C$3:$C$15000,2026)</f>
        <v>0</v>
      </c>
      <c r="F20" s="18"/>
      <c r="H20" s="2"/>
    </row>
    <row r="21" spans="1:8" x14ac:dyDescent="0.25">
      <c r="A21" s="10">
        <v>17</v>
      </c>
      <c r="B21" s="15" t="s">
        <v>15</v>
      </c>
      <c r="C21" s="10">
        <v>2026</v>
      </c>
      <c r="D21" s="40">
        <f>SUMIFS(Registre!$P$3:$P$15000,Registre!$A$3:$A$15000,17,Registre!$B$3:$B$15000,"janvier",Registre!$C$3:$C$15000,2026)</f>
        <v>0</v>
      </c>
      <c r="F21" s="18"/>
      <c r="H21" s="2"/>
    </row>
    <row r="22" spans="1:8" x14ac:dyDescent="0.25">
      <c r="A22" s="10">
        <v>18</v>
      </c>
      <c r="B22" s="15" t="s">
        <v>15</v>
      </c>
      <c r="C22" s="10">
        <v>2026</v>
      </c>
      <c r="D22" s="40">
        <f>SUMIFS(Registre!$P$3:$P$15000,Registre!$A$3:$A$15000,18,Registre!$B$3:$B$15000,"janvier",Registre!$C$3:$C$15000,2026)</f>
        <v>0</v>
      </c>
      <c r="F22" s="18"/>
      <c r="H22" s="2"/>
    </row>
    <row r="23" spans="1:8" x14ac:dyDescent="0.25">
      <c r="A23" s="10">
        <v>19</v>
      </c>
      <c r="B23" s="15" t="s">
        <v>15</v>
      </c>
      <c r="C23" s="10">
        <v>2026</v>
      </c>
      <c r="D23" s="40">
        <f>SUMIFS(Registre!$P$3:$P$15000,Registre!$A$3:$A$15000,19,Registre!$B$3:$B$15000,"janvier",Registre!$C$3:$C$15000,2026)</f>
        <v>0</v>
      </c>
      <c r="F23" s="17"/>
      <c r="H23" s="2"/>
    </row>
    <row r="24" spans="1:8" x14ac:dyDescent="0.25">
      <c r="A24" s="10">
        <v>20</v>
      </c>
      <c r="B24" s="15" t="s">
        <v>15</v>
      </c>
      <c r="C24" s="10">
        <v>2026</v>
      </c>
      <c r="D24" s="40">
        <f>SUMIFS(Registre!$P$3:$P$15000,Registre!$A$3:$A$15000,20,Registre!$B$3:$B$15000,"janvier",Registre!$C$3:$C$15000,2026)</f>
        <v>0</v>
      </c>
      <c r="F24" s="17"/>
      <c r="H24" s="2"/>
    </row>
    <row r="25" spans="1:8" x14ac:dyDescent="0.25">
      <c r="A25" s="10">
        <v>21</v>
      </c>
      <c r="B25" s="15" t="s">
        <v>15</v>
      </c>
      <c r="C25" s="10">
        <v>2026</v>
      </c>
      <c r="D25" s="40">
        <f>SUMIFS(Registre!$P$3:$P$15000,Registre!$A$3:$A$15000,21,Registre!$B$3:$B$15000,"janvier",Registre!$C$3:$C$15000,2026)</f>
        <v>0</v>
      </c>
      <c r="F25" s="18"/>
      <c r="H25" s="2"/>
    </row>
    <row r="26" spans="1:8" x14ac:dyDescent="0.25">
      <c r="A26" s="10">
        <v>22</v>
      </c>
      <c r="B26" s="15" t="s">
        <v>15</v>
      </c>
      <c r="C26" s="10">
        <v>2026</v>
      </c>
      <c r="D26" s="40">
        <f>SUMIFS(Registre!$P$3:$P$15000,Registre!$A$3:$A$15000,22,Registre!$B$3:$B$15000,"janvier",Registre!$C$3:$C$15000,2026)</f>
        <v>0</v>
      </c>
      <c r="F26" s="18"/>
      <c r="H26" s="2"/>
    </row>
    <row r="27" spans="1:8" x14ac:dyDescent="0.25">
      <c r="A27" s="10">
        <v>23</v>
      </c>
      <c r="B27" s="15" t="s">
        <v>15</v>
      </c>
      <c r="C27" s="10">
        <v>2026</v>
      </c>
      <c r="D27" s="40">
        <f>SUMIFS(Registre!$P$3:$P$15000,Registre!$A$3:$A$15000,23,Registre!$B$3:$B$15000,"janvier",Registre!$C$3:$C$15000,2026)</f>
        <v>0</v>
      </c>
      <c r="F27" s="18"/>
      <c r="H27" s="2"/>
    </row>
    <row r="28" spans="1:8" x14ac:dyDescent="0.25">
      <c r="A28" s="10">
        <v>24</v>
      </c>
      <c r="B28" s="15" t="s">
        <v>15</v>
      </c>
      <c r="C28" s="10">
        <v>2026</v>
      </c>
      <c r="D28" s="40">
        <f>SUMIFS(Registre!$P$3:$P$15000,Registre!$A$3:$A$15000,24,Registre!$B$3:$B$15000,"janvier",Registre!$C$3:$C$15000,2026)</f>
        <v>0</v>
      </c>
      <c r="F28" s="18"/>
      <c r="H28" s="2"/>
    </row>
    <row r="29" spans="1:8" x14ac:dyDescent="0.25">
      <c r="A29" s="10">
        <v>25</v>
      </c>
      <c r="B29" s="15" t="s">
        <v>15</v>
      </c>
      <c r="C29" s="10">
        <v>2026</v>
      </c>
      <c r="D29" s="40">
        <f>SUMIFS(Registre!$P$3:$P$15000,Registre!$A$3:$A$15000,25,Registre!$B$3:$B$15000,"janvier",Registre!$C$3:$C$15000,2026)</f>
        <v>0</v>
      </c>
      <c r="F29" s="18"/>
      <c r="H29" s="2"/>
    </row>
    <row r="30" spans="1:8" x14ac:dyDescent="0.25">
      <c r="A30" s="10">
        <v>26</v>
      </c>
      <c r="B30" s="15" t="s">
        <v>15</v>
      </c>
      <c r="C30" s="10">
        <v>2026</v>
      </c>
      <c r="D30" s="40">
        <f>SUMIFS(Registre!$P$3:$P$15000,Registre!$A$3:$A$15000,26,Registre!$B$3:$B$15000,"janvier",Registre!$C$3:$C$15000,2026)</f>
        <v>0</v>
      </c>
      <c r="F30" s="18"/>
      <c r="H30" s="2"/>
    </row>
    <row r="31" spans="1:8" x14ac:dyDescent="0.25">
      <c r="A31" s="10">
        <v>27</v>
      </c>
      <c r="B31" s="15" t="s">
        <v>15</v>
      </c>
      <c r="C31" s="10">
        <v>2026</v>
      </c>
      <c r="D31" s="40">
        <f>SUMIFS(Registre!$P$3:$P$15000,Registre!$A$3:$A$15000,27,Registre!$B$3:$B$15000,"janvier",Registre!$C$3:$C$15000,2026)</f>
        <v>0</v>
      </c>
      <c r="F31" s="18"/>
      <c r="H31" s="2"/>
    </row>
    <row r="32" spans="1:8" x14ac:dyDescent="0.25">
      <c r="A32" s="10">
        <v>28</v>
      </c>
      <c r="B32" s="15" t="s">
        <v>15</v>
      </c>
      <c r="C32" s="10">
        <v>2026</v>
      </c>
      <c r="D32" s="40">
        <f>SUMIFS(Registre!$P$3:$P$15000,Registre!$A$3:$A$15000,28,Registre!$B$3:$B$15000,"janvier",Registre!$C$3:$C$15000,2026)</f>
        <v>0</v>
      </c>
      <c r="F32" s="17"/>
      <c r="H32" s="2"/>
    </row>
    <row r="33" spans="1:8" x14ac:dyDescent="0.25">
      <c r="A33" s="10">
        <v>29</v>
      </c>
      <c r="B33" s="15" t="s">
        <v>15</v>
      </c>
      <c r="C33" s="10">
        <v>2026</v>
      </c>
      <c r="D33" s="40">
        <f>SUMIFS(Registre!$P$3:$P$15000,Registre!$A$3:$A$15000,29,Registre!$B$3:$B$15000,"janvier",Registre!$C$3:$C$15000,2026)</f>
        <v>0</v>
      </c>
      <c r="F33" s="17"/>
      <c r="H33" s="2"/>
    </row>
    <row r="34" spans="1:8" x14ac:dyDescent="0.25">
      <c r="A34" s="10">
        <v>30</v>
      </c>
      <c r="B34" s="15" t="s">
        <v>15</v>
      </c>
      <c r="C34" s="10">
        <v>2026</v>
      </c>
      <c r="D34" s="40">
        <f>SUMIFS(Registre!$P$3:$P$15000,Registre!$A$3:$A$15000,30,Registre!$B$3:$B$15000,"janvier",Registre!$C$3:$C$15000,2026)</f>
        <v>0</v>
      </c>
      <c r="F34" s="18"/>
      <c r="H34" s="2"/>
    </row>
    <row r="35" spans="1:8" x14ac:dyDescent="0.25">
      <c r="A35" s="10">
        <v>31</v>
      </c>
      <c r="B35" s="15" t="s">
        <v>15</v>
      </c>
      <c r="C35" s="10">
        <v>2026</v>
      </c>
      <c r="D35" s="40">
        <f>SUMIFS(Registre!$P$3:$P$15000,Registre!$A$3:$A$15000,31,Registre!$B$3:$B$15000,"janvier",Registre!$C$3:$C$15000,2026)</f>
        <v>0</v>
      </c>
      <c r="F35" s="18"/>
      <c r="H35" s="2"/>
    </row>
    <row r="36" spans="1:8" x14ac:dyDescent="0.25">
      <c r="A36" s="11">
        <v>1</v>
      </c>
      <c r="B36" s="11" t="s">
        <v>16</v>
      </c>
      <c r="C36" s="11">
        <v>2026</v>
      </c>
      <c r="D36" s="41">
        <f>SUMIFS(Registre!$P$3:$P$15000,Registre!$A$3:$A$15000,1,Registre!$B$3:$B$15000,"février",Registre!$C$3:$C$15000,2026)</f>
        <v>0</v>
      </c>
      <c r="F36" s="18"/>
      <c r="H36" s="2"/>
    </row>
    <row r="37" spans="1:8" x14ac:dyDescent="0.25">
      <c r="A37" s="11">
        <v>2</v>
      </c>
      <c r="B37" s="11" t="s">
        <v>16</v>
      </c>
      <c r="C37" s="11">
        <v>2026</v>
      </c>
      <c r="D37" s="41">
        <f>SUMIFS(Registre!$P$3:$P$15000,Registre!$A$3:$A$15000,2,Registre!$B$3:$B$15000,"février",Registre!$C$3:$C$15000,2026)</f>
        <v>0</v>
      </c>
      <c r="F37" s="18"/>
      <c r="H37" s="2"/>
    </row>
    <row r="38" spans="1:8" x14ac:dyDescent="0.25">
      <c r="A38" s="11">
        <v>3</v>
      </c>
      <c r="B38" s="11" t="s">
        <v>16</v>
      </c>
      <c r="C38" s="11">
        <v>2026</v>
      </c>
      <c r="D38" s="41">
        <f>SUMIFS(Registre!$P$3:$P$15000,Registre!$A$3:$A$15000,3,Registre!$B$3:$B$15000,"février",Registre!$C$3:$C$15000,2026)</f>
        <v>0</v>
      </c>
      <c r="F38" s="18"/>
      <c r="H38" s="2"/>
    </row>
    <row r="39" spans="1:8" x14ac:dyDescent="0.25">
      <c r="A39" s="11">
        <v>4</v>
      </c>
      <c r="B39" s="11" t="s">
        <v>16</v>
      </c>
      <c r="C39" s="11">
        <v>2026</v>
      </c>
      <c r="D39" s="41">
        <f>SUMIFS(Registre!$P$3:$P$15000,Registre!$A$3:$A$15000,4,Registre!$B$3:$B$15000,"février",Registre!$C$3:$C$15000,2026)</f>
        <v>0</v>
      </c>
      <c r="F39" s="18"/>
      <c r="H39" s="2"/>
    </row>
    <row r="40" spans="1:8" x14ac:dyDescent="0.25">
      <c r="A40" s="11">
        <v>5</v>
      </c>
      <c r="B40" s="11" t="s">
        <v>16</v>
      </c>
      <c r="C40" s="11">
        <v>2026</v>
      </c>
      <c r="D40" s="41">
        <f>SUMIFS(Registre!$P$3:$P$15000,Registre!$A$3:$A$15000,5,Registre!$B$3:$B$15000,"février",Registre!$C$3:$C$15000,2026)</f>
        <v>0</v>
      </c>
      <c r="F40" s="18"/>
      <c r="H40" s="2"/>
    </row>
    <row r="41" spans="1:8" x14ac:dyDescent="0.25">
      <c r="A41" s="11">
        <v>6</v>
      </c>
      <c r="B41" s="11" t="s">
        <v>16</v>
      </c>
      <c r="C41" s="11">
        <v>2026</v>
      </c>
      <c r="D41" s="41">
        <f>SUMIFS(Registre!$P$3:$P$15000,Registre!$A$3:$A$15000,6,Registre!$B$3:$B$15000,"février",Registre!$C$3:$C$15000,2026)</f>
        <v>0</v>
      </c>
      <c r="F41" s="17"/>
      <c r="H41" s="2"/>
    </row>
    <row r="42" spans="1:8" x14ac:dyDescent="0.25">
      <c r="A42" s="11">
        <v>7</v>
      </c>
      <c r="B42" s="11" t="s">
        <v>16</v>
      </c>
      <c r="C42" s="11">
        <v>2026</v>
      </c>
      <c r="D42" s="41">
        <f>SUMIFS(Registre!$P$3:$P$15000,Registre!$A$3:$A$15000,7,Registre!$B$3:$B$15000,"février",Registre!$C$3:$C$15000,2026)</f>
        <v>0</v>
      </c>
      <c r="F42" s="17"/>
      <c r="H42" s="2"/>
    </row>
    <row r="43" spans="1:8" x14ac:dyDescent="0.25">
      <c r="A43" s="11">
        <v>8</v>
      </c>
      <c r="B43" s="11" t="s">
        <v>16</v>
      </c>
      <c r="C43" s="11">
        <v>2026</v>
      </c>
      <c r="D43" s="41">
        <f>SUMIFS(Registre!$P$3:$P$15000,Registre!$A$3:$A$15000,8,Registre!$B$3:$B$15000,"février",Registre!$C$3:$C$15000,2026)</f>
        <v>0</v>
      </c>
      <c r="F43" s="18"/>
      <c r="H43" s="2"/>
    </row>
    <row r="44" spans="1:8" x14ac:dyDescent="0.25">
      <c r="A44" s="11">
        <v>9</v>
      </c>
      <c r="B44" s="11" t="s">
        <v>16</v>
      </c>
      <c r="C44" s="11">
        <v>2026</v>
      </c>
      <c r="D44" s="41">
        <f>SUMIFS(Registre!$P$3:$P$15000,Registre!$A$3:$A$15000,9,Registre!$B$3:$B$15000,"février",Registre!$C$3:$C$15000,2026)</f>
        <v>0</v>
      </c>
      <c r="F44" s="18"/>
      <c r="H44" s="2"/>
    </row>
    <row r="45" spans="1:8" x14ac:dyDescent="0.25">
      <c r="A45" s="11">
        <v>10</v>
      </c>
      <c r="B45" s="11" t="s">
        <v>16</v>
      </c>
      <c r="C45" s="11">
        <v>2026</v>
      </c>
      <c r="D45" s="41">
        <f>SUMIFS(Registre!$P$3:$P$15000,Registre!$A$3:$A$15000,10,Registre!$B$3:$B$15000,"février",Registre!$C$3:$C$15000,2026)</f>
        <v>0</v>
      </c>
      <c r="F45" s="18"/>
      <c r="H45" s="2"/>
    </row>
    <row r="46" spans="1:8" x14ac:dyDescent="0.25">
      <c r="A46" s="11">
        <v>11</v>
      </c>
      <c r="B46" s="11" t="s">
        <v>16</v>
      </c>
      <c r="C46" s="11">
        <v>2026</v>
      </c>
      <c r="D46" s="41">
        <f>SUMIFS(Registre!$P$3:$P$15000,Registre!$A$3:$A$15000,11,Registre!$B$3:$B$15000,"février",Registre!$C$3:$C$15000,2026)</f>
        <v>0</v>
      </c>
      <c r="F46" s="18"/>
      <c r="H46" s="2"/>
    </row>
    <row r="47" spans="1:8" x14ac:dyDescent="0.25">
      <c r="A47" s="11">
        <v>12</v>
      </c>
      <c r="B47" s="11" t="s">
        <v>16</v>
      </c>
      <c r="C47" s="11">
        <v>2026</v>
      </c>
      <c r="D47" s="41">
        <f>SUMIFS(Registre!$P$3:$P$15000,Registre!$A$3:$A$15000,12,Registre!$B$3:$B$15000,"février",Registre!$C$3:$C$15000,2026)</f>
        <v>0</v>
      </c>
      <c r="F47" s="18"/>
      <c r="H47" s="2"/>
    </row>
    <row r="48" spans="1:8" x14ac:dyDescent="0.25">
      <c r="A48" s="11">
        <v>13</v>
      </c>
      <c r="B48" s="11" t="s">
        <v>16</v>
      </c>
      <c r="C48" s="11">
        <v>2026</v>
      </c>
      <c r="D48" s="41">
        <f>SUMIFS(Registre!$P$3:$P$15000,Registre!$A$3:$A$15000,13,Registre!$B$3:$B$15000,"février",Registre!$C$3:$C$15000,2026)</f>
        <v>0</v>
      </c>
      <c r="F48" s="18"/>
      <c r="H48" s="2"/>
    </row>
    <row r="49" spans="1:8" x14ac:dyDescent="0.25">
      <c r="A49" s="11">
        <v>14</v>
      </c>
      <c r="B49" s="11" t="s">
        <v>16</v>
      </c>
      <c r="C49" s="11">
        <v>2026</v>
      </c>
      <c r="D49" s="41">
        <f>SUMIFS(Registre!$P$3:$P$15000,Registre!$A$3:$A$15000,14,Registre!$B$3:$B$15000,"février",Registre!$C$3:$C$15000,2026)</f>
        <v>0</v>
      </c>
      <c r="F49" s="18"/>
      <c r="H49" s="2"/>
    </row>
    <row r="50" spans="1:8" x14ac:dyDescent="0.25">
      <c r="A50" s="11">
        <v>15</v>
      </c>
      <c r="B50" s="11" t="s">
        <v>16</v>
      </c>
      <c r="C50" s="11">
        <v>2026</v>
      </c>
      <c r="D50" s="41">
        <f>SUMIFS(Registre!$P$3:$P$15000,Registre!$A$3:$A$15000,15,Registre!$B$3:$B$15000,"février",Registre!$C$3:$C$15000,2026)</f>
        <v>0</v>
      </c>
      <c r="F50" s="17"/>
      <c r="H50" s="2"/>
    </row>
    <row r="51" spans="1:8" x14ac:dyDescent="0.25">
      <c r="A51" s="11">
        <v>16</v>
      </c>
      <c r="B51" s="11" t="s">
        <v>16</v>
      </c>
      <c r="C51" s="11">
        <v>2026</v>
      </c>
      <c r="D51" s="41">
        <f>SUMIFS(Registre!$P$3:$P$15000,Registre!$A$3:$A$15000,16,Registre!$B$3:$B$15000,"février",Registre!$C$3:$C$15000,2026)</f>
        <v>0</v>
      </c>
      <c r="F51" s="17"/>
      <c r="H51" s="2"/>
    </row>
    <row r="52" spans="1:8" x14ac:dyDescent="0.25">
      <c r="A52" s="11">
        <v>17</v>
      </c>
      <c r="B52" s="11" t="s">
        <v>16</v>
      </c>
      <c r="C52" s="11">
        <v>2026</v>
      </c>
      <c r="D52" s="41">
        <f>SUMIFS(Registre!$P$3:$P$15000,Registre!$A$3:$A$15000,17,Registre!$B$3:$B$15000,"février",Registre!$C$3:$C$15000,2026)</f>
        <v>0</v>
      </c>
      <c r="F52" s="18"/>
      <c r="H52" s="2"/>
    </row>
    <row r="53" spans="1:8" x14ac:dyDescent="0.25">
      <c r="A53" s="11">
        <v>18</v>
      </c>
      <c r="B53" s="11" t="s">
        <v>16</v>
      </c>
      <c r="C53" s="11">
        <v>2026</v>
      </c>
      <c r="D53" s="41">
        <f>SUMIFS(Registre!$P$3:$P$15000,Registre!$A$3:$A$15000,18,Registre!$B$3:$B$15000,"février",Registre!$C$3:$C$15000,2026)</f>
        <v>0</v>
      </c>
      <c r="F53" s="18"/>
      <c r="H53" s="2"/>
    </row>
    <row r="54" spans="1:8" x14ac:dyDescent="0.25">
      <c r="A54" s="11">
        <v>19</v>
      </c>
      <c r="B54" s="11" t="s">
        <v>16</v>
      </c>
      <c r="C54" s="11">
        <v>2026</v>
      </c>
      <c r="D54" s="41">
        <f>SUMIFS(Registre!$P$3:$P$15000,Registre!$A$3:$A$15000,19,Registre!$B$3:$B$15000,"février",Registre!$C$3:$C$15000,2026)</f>
        <v>0</v>
      </c>
      <c r="F54" s="18"/>
      <c r="H54" s="2"/>
    </row>
    <row r="55" spans="1:8" x14ac:dyDescent="0.25">
      <c r="A55" s="11">
        <v>20</v>
      </c>
      <c r="B55" s="11" t="s">
        <v>16</v>
      </c>
      <c r="C55" s="11">
        <v>2026</v>
      </c>
      <c r="D55" s="41">
        <f>SUMIFS(Registre!$P$3:$P$15000,Registre!$A$3:$A$15000,20,Registre!$B$3:$B$15000,"février",Registre!$C$3:$C$15000,2026)</f>
        <v>0</v>
      </c>
      <c r="F55" s="18"/>
      <c r="H55" s="2"/>
    </row>
    <row r="56" spans="1:8" x14ac:dyDescent="0.25">
      <c r="A56" s="11">
        <v>21</v>
      </c>
      <c r="B56" s="11" t="s">
        <v>16</v>
      </c>
      <c r="C56" s="11">
        <v>2026</v>
      </c>
      <c r="D56" s="41">
        <f>SUMIFS(Registre!$P$3:$P$15000,Registre!$A$3:$A$15000,21,Registre!$B$3:$B$15000,"février",Registre!$C$3:$C$15000,2026)</f>
        <v>0</v>
      </c>
      <c r="F56" s="18"/>
      <c r="H56" s="2"/>
    </row>
    <row r="57" spans="1:8" x14ac:dyDescent="0.25">
      <c r="A57" s="11">
        <v>22</v>
      </c>
      <c r="B57" s="11" t="s">
        <v>16</v>
      </c>
      <c r="C57" s="11">
        <v>2026</v>
      </c>
      <c r="D57" s="41">
        <f>SUMIFS(Registre!$P$3:$P$15000,Registre!$A$3:$A$15000,22,Registre!$B$3:$B$15000,"février",Registre!$C$3:$C$15000,2026)</f>
        <v>0</v>
      </c>
      <c r="F57" s="18"/>
      <c r="H57" s="2"/>
    </row>
    <row r="58" spans="1:8" x14ac:dyDescent="0.25">
      <c r="A58" s="11">
        <v>23</v>
      </c>
      <c r="B58" s="11" t="s">
        <v>16</v>
      </c>
      <c r="C58" s="11">
        <v>2026</v>
      </c>
      <c r="D58" s="41">
        <f>SUMIFS(Registre!$P$3:$P$15000,Registre!$A$3:$A$15000,23,Registre!$B$3:$B$15000,"février",Registre!$C$3:$C$15000,2026)</f>
        <v>0</v>
      </c>
      <c r="F58" s="18"/>
      <c r="H58" s="2"/>
    </row>
    <row r="59" spans="1:8" x14ac:dyDescent="0.25">
      <c r="A59" s="11">
        <v>24</v>
      </c>
      <c r="B59" s="11" t="s">
        <v>16</v>
      </c>
      <c r="C59" s="11">
        <v>2026</v>
      </c>
      <c r="D59" s="41">
        <f>SUMIFS(Registre!$P$3:$P$15000,Registre!$A$3:$A$15000,24,Registre!$B$3:$B$15000,"février",Registre!$C$3:$C$15000,2026)</f>
        <v>0</v>
      </c>
      <c r="F59" s="17"/>
      <c r="H59" s="2"/>
    </row>
    <row r="60" spans="1:8" x14ac:dyDescent="0.25">
      <c r="A60" s="11">
        <v>25</v>
      </c>
      <c r="B60" s="11" t="s">
        <v>16</v>
      </c>
      <c r="C60" s="11">
        <v>2026</v>
      </c>
      <c r="D60" s="41">
        <f>SUMIFS(Registre!$P$3:$P$15000,Registre!$A$3:$A$15000,25,Registre!$B$3:$B$15000,"février",Registre!$C$3:$C$15000,2026)</f>
        <v>0</v>
      </c>
      <c r="F60" s="17"/>
      <c r="H60" s="2"/>
    </row>
    <row r="61" spans="1:8" x14ac:dyDescent="0.25">
      <c r="A61" s="11">
        <v>26</v>
      </c>
      <c r="B61" s="11" t="s">
        <v>16</v>
      </c>
      <c r="C61" s="11">
        <v>2026</v>
      </c>
      <c r="D61" s="41">
        <f>SUMIFS(Registre!$P$3:$P$15000,Registre!$A$3:$A$15000,26,Registre!$B$3:$B$15000,"février",Registre!$C$3:$C$15000,2026)</f>
        <v>0</v>
      </c>
      <c r="F61" s="18"/>
      <c r="H61" s="2"/>
    </row>
    <row r="62" spans="1:8" x14ac:dyDescent="0.25">
      <c r="A62" s="11">
        <v>27</v>
      </c>
      <c r="B62" s="11" t="s">
        <v>16</v>
      </c>
      <c r="C62" s="11">
        <v>2026</v>
      </c>
      <c r="D62" s="41">
        <f>SUMIFS(Registre!$P$3:$P$15000,Registre!$A$3:$A$15000,27,Registre!$B$3:$B$15000,"février",Registre!$C$3:$C$15000,2026)</f>
        <v>0</v>
      </c>
      <c r="F62" s="18"/>
      <c r="H62" s="2"/>
    </row>
    <row r="63" spans="1:8" x14ac:dyDescent="0.25">
      <c r="A63" s="11">
        <v>28</v>
      </c>
      <c r="B63" s="11" t="s">
        <v>16</v>
      </c>
      <c r="C63" s="11">
        <v>2026</v>
      </c>
      <c r="D63" s="41">
        <f>SUMIFS(Registre!$P$3:$P$15000,Registre!$A$3:$A$15000,28,Registre!$B$3:$B$15000,"février",Registre!$C$3:$C$15000,2026)</f>
        <v>0</v>
      </c>
      <c r="F63" s="18"/>
      <c r="H63" s="2"/>
    </row>
    <row r="64" spans="1:8" x14ac:dyDescent="0.25">
      <c r="A64" s="10">
        <v>1</v>
      </c>
      <c r="B64" s="10" t="s">
        <v>17</v>
      </c>
      <c r="C64" s="10">
        <v>2026</v>
      </c>
      <c r="D64" s="40">
        <f>SUMIFS(Registre!$P$3:$P$15000,Registre!$A$3:$A$15000,1,Registre!$B$3:$B$15000,"mars",Registre!$C$3:$C$15000,2026)</f>
        <v>0</v>
      </c>
      <c r="F64" s="18"/>
      <c r="H64" s="2"/>
    </row>
    <row r="65" spans="1:8" x14ac:dyDescent="0.25">
      <c r="A65" s="10">
        <v>2</v>
      </c>
      <c r="B65" s="10" t="s">
        <v>17</v>
      </c>
      <c r="C65" s="10">
        <v>2026</v>
      </c>
      <c r="D65" s="40">
        <f>SUMIFS(Registre!$P$3:$P$15000,Registre!$A$3:$A$15000,2,Registre!$B$3:$B$15000,"mars",Registre!$C$3:$C$15000,2026)</f>
        <v>0</v>
      </c>
      <c r="F65" s="18"/>
      <c r="H65" s="2"/>
    </row>
    <row r="66" spans="1:8" x14ac:dyDescent="0.25">
      <c r="A66" s="10">
        <v>3</v>
      </c>
      <c r="B66" s="10" t="s">
        <v>17</v>
      </c>
      <c r="C66" s="10">
        <v>2026</v>
      </c>
      <c r="D66" s="40">
        <f>SUMIFS(Registre!$P$3:$P$15000,Registre!$A$3:$A$15000,3,Registre!$B$3:$B$15000,"mars",Registre!$C$3:$C$15000,2026)</f>
        <v>0</v>
      </c>
      <c r="F66" s="18"/>
      <c r="H66" s="2"/>
    </row>
    <row r="67" spans="1:8" x14ac:dyDescent="0.25">
      <c r="A67" s="10">
        <v>4</v>
      </c>
      <c r="B67" s="10" t="s">
        <v>17</v>
      </c>
      <c r="C67" s="10">
        <v>2026</v>
      </c>
      <c r="D67" s="40">
        <f>SUMIFS(Registre!$P$3:$P$15000,Registre!$A$3:$A$15000,4,Registre!$B$3:$B$15000,"mars",Registre!$C$3:$C$15000,2026)</f>
        <v>0</v>
      </c>
      <c r="F67" s="18"/>
      <c r="H67" s="2"/>
    </row>
    <row r="68" spans="1:8" x14ac:dyDescent="0.25">
      <c r="A68" s="10">
        <v>5</v>
      </c>
      <c r="B68" s="10" t="s">
        <v>17</v>
      </c>
      <c r="C68" s="10">
        <v>2026</v>
      </c>
      <c r="D68" s="40">
        <f>SUMIFS(Registre!$P$3:$P$15000,Registre!$A$3:$A$15000,5,Registre!$B$3:$B$15000,"mars",Registre!$C$3:$C$15000,2026)</f>
        <v>0</v>
      </c>
      <c r="F68" s="17"/>
      <c r="H68" s="2"/>
    </row>
    <row r="69" spans="1:8" x14ac:dyDescent="0.25">
      <c r="A69" s="10">
        <v>6</v>
      </c>
      <c r="B69" s="10" t="s">
        <v>17</v>
      </c>
      <c r="C69" s="10">
        <v>2026</v>
      </c>
      <c r="D69" s="40">
        <f>SUMIFS(Registre!$P$3:$P$15000,Registre!$A$3:$A$15000,6,Registre!$B$3:$B$15000,"mars",Registre!$C$3:$C$15000,2026)</f>
        <v>0</v>
      </c>
      <c r="F69" s="17"/>
      <c r="H69" s="2"/>
    </row>
    <row r="70" spans="1:8" x14ac:dyDescent="0.25">
      <c r="A70" s="10">
        <v>7</v>
      </c>
      <c r="B70" s="10" t="s">
        <v>17</v>
      </c>
      <c r="C70" s="10">
        <v>2026</v>
      </c>
      <c r="D70" s="40">
        <f>SUMIFS(Registre!$P$3:$P$15000,Registre!$A$3:$A$15000,7,Registre!$B$3:$B$15000,"mars",Registre!$C$3:$C$15000,2026)</f>
        <v>0</v>
      </c>
      <c r="F70" s="18"/>
      <c r="H70" s="2"/>
    </row>
    <row r="71" spans="1:8" x14ac:dyDescent="0.25">
      <c r="A71" s="10">
        <v>8</v>
      </c>
      <c r="B71" s="10" t="s">
        <v>17</v>
      </c>
      <c r="C71" s="10">
        <v>2026</v>
      </c>
      <c r="D71" s="40">
        <f>SUMIFS(Registre!$P$3:$P$15000,Registre!$A$3:$A$15000,8,Registre!$B$3:$B$15000,"mars",Registre!$C$3:$C$15000,2026)</f>
        <v>0</v>
      </c>
      <c r="F71" s="18"/>
      <c r="H71" s="2"/>
    </row>
    <row r="72" spans="1:8" x14ac:dyDescent="0.25">
      <c r="A72" s="10">
        <v>9</v>
      </c>
      <c r="B72" s="10" t="s">
        <v>17</v>
      </c>
      <c r="C72" s="10">
        <v>2026</v>
      </c>
      <c r="D72" s="40">
        <f>SUMIFS(Registre!$P$3:$P$15000,Registre!$A$3:$A$15000,9,Registre!$B$3:$B$15000,"mars",Registre!$C$3:$C$15000,2026)</f>
        <v>0</v>
      </c>
      <c r="F72" s="18"/>
      <c r="H72" s="2"/>
    </row>
    <row r="73" spans="1:8" x14ac:dyDescent="0.25">
      <c r="A73" s="10">
        <v>10</v>
      </c>
      <c r="B73" s="10" t="s">
        <v>17</v>
      </c>
      <c r="C73" s="10">
        <v>2026</v>
      </c>
      <c r="D73" s="40">
        <f>SUMIFS(Registre!$P$3:$P$15000,Registre!$A$3:$A$15000,10,Registre!$B$3:$B$15000,"mars",Registre!$C$3:$C$15000,2026)</f>
        <v>0</v>
      </c>
      <c r="F73" s="18"/>
      <c r="H73" s="2"/>
    </row>
    <row r="74" spans="1:8" x14ac:dyDescent="0.25">
      <c r="A74" s="10">
        <v>11</v>
      </c>
      <c r="B74" s="10" t="s">
        <v>17</v>
      </c>
      <c r="C74" s="10">
        <v>2026</v>
      </c>
      <c r="D74" s="40">
        <f>SUMIFS(Registre!$P$3:$P$15000,Registre!$A$3:$A$15000,11,Registre!$B$3:$B$15000,"mars",Registre!$C$3:$C$15000,2026)</f>
        <v>0</v>
      </c>
      <c r="F74" s="18"/>
      <c r="H74" s="2"/>
    </row>
    <row r="75" spans="1:8" x14ac:dyDescent="0.25">
      <c r="A75" s="10">
        <v>12</v>
      </c>
      <c r="B75" s="10" t="s">
        <v>17</v>
      </c>
      <c r="C75" s="10">
        <v>2026</v>
      </c>
      <c r="D75" s="40">
        <f>SUMIFS(Registre!$P$3:$P$15000,Registre!$A$3:$A$15000,12,Registre!$B$3:$B$15000,"mars",Registre!$C$3:$C$15000,2026)</f>
        <v>0</v>
      </c>
      <c r="F75" s="18"/>
      <c r="H75" s="2"/>
    </row>
    <row r="76" spans="1:8" x14ac:dyDescent="0.25">
      <c r="A76" s="10">
        <v>13</v>
      </c>
      <c r="B76" s="10" t="s">
        <v>17</v>
      </c>
      <c r="C76" s="10">
        <v>2026</v>
      </c>
      <c r="D76" s="40">
        <f>SUMIFS(Registre!$P$3:$P$15000,Registre!$A$3:$A$15000,13,Registre!$B$3:$B$15000,"mars",Registre!$C$3:$C$15000,2026)</f>
        <v>0</v>
      </c>
      <c r="F76" s="18"/>
      <c r="H76" s="2"/>
    </row>
    <row r="77" spans="1:8" x14ac:dyDescent="0.25">
      <c r="A77" s="10">
        <v>14</v>
      </c>
      <c r="B77" s="10" t="s">
        <v>17</v>
      </c>
      <c r="C77" s="10">
        <v>2026</v>
      </c>
      <c r="D77" s="40">
        <f>SUMIFS(Registre!$P$3:$P$15000,Registre!$A$3:$A$15000,14,Registre!$B$3:$B$15000,"mars",Registre!$C$3:$C$15000,2026)</f>
        <v>0</v>
      </c>
      <c r="F77" s="17"/>
      <c r="H77" s="2"/>
    </row>
    <row r="78" spans="1:8" x14ac:dyDescent="0.25">
      <c r="A78" s="10">
        <v>15</v>
      </c>
      <c r="B78" s="10" t="s">
        <v>17</v>
      </c>
      <c r="C78" s="10">
        <v>2026</v>
      </c>
      <c r="D78" s="40">
        <f>SUMIFS(Registre!$P$3:$P$15000,Registre!$A$3:$A$15000,15,Registre!$B$3:$B$15000,"mars",Registre!$C$3:$C$15000,2026)</f>
        <v>0</v>
      </c>
      <c r="F78" s="17"/>
      <c r="H78" s="2"/>
    </row>
    <row r="79" spans="1:8" x14ac:dyDescent="0.25">
      <c r="A79" s="10">
        <v>16</v>
      </c>
      <c r="B79" s="10" t="s">
        <v>17</v>
      </c>
      <c r="C79" s="10">
        <v>2026</v>
      </c>
      <c r="D79" s="40">
        <f>SUMIFS(Registre!$P$3:$P$15000,Registre!$A$3:$A$15000,16,Registre!$B$3:$B$15000,"mars",Registre!$C$3:$C$15000,2026)</f>
        <v>0</v>
      </c>
      <c r="F79" s="18"/>
      <c r="H79" s="2"/>
    </row>
    <row r="80" spans="1:8" x14ac:dyDescent="0.25">
      <c r="A80" s="10">
        <v>17</v>
      </c>
      <c r="B80" s="10" t="s">
        <v>17</v>
      </c>
      <c r="C80" s="10">
        <v>2026</v>
      </c>
      <c r="D80" s="40">
        <f>SUMIFS(Registre!$P$3:$P$15000,Registre!$A$3:$A$15000,17,Registre!$B$3:$B$15000,"mars",Registre!$C$3:$C$15000,2026)</f>
        <v>0</v>
      </c>
      <c r="F80" s="18"/>
      <c r="H80" s="2"/>
    </row>
    <row r="81" spans="1:8" x14ac:dyDescent="0.25">
      <c r="A81" s="10">
        <v>18</v>
      </c>
      <c r="B81" s="10" t="s">
        <v>17</v>
      </c>
      <c r="C81" s="10">
        <v>2026</v>
      </c>
      <c r="D81" s="40">
        <f>SUMIFS(Registre!$P$3:$P$15000,Registre!$A$3:$A$15000,18,Registre!$B$3:$B$15000,"mars",Registre!$C$3:$C$15000,2026)</f>
        <v>0</v>
      </c>
      <c r="F81" s="18"/>
      <c r="H81" s="2"/>
    </row>
    <row r="82" spans="1:8" x14ac:dyDescent="0.25">
      <c r="A82" s="10">
        <v>19</v>
      </c>
      <c r="B82" s="10" t="s">
        <v>17</v>
      </c>
      <c r="C82" s="10">
        <v>2026</v>
      </c>
      <c r="D82" s="40">
        <f>SUMIFS(Registre!$P$3:$P$15000,Registre!$A$3:$A$15000,19,Registre!$B$3:$B$15000,"mars",Registre!$C$3:$C$15000,2026)</f>
        <v>0</v>
      </c>
      <c r="F82" s="18"/>
      <c r="H82" s="2"/>
    </row>
    <row r="83" spans="1:8" x14ac:dyDescent="0.25">
      <c r="A83" s="10">
        <v>20</v>
      </c>
      <c r="B83" s="10" t="s">
        <v>17</v>
      </c>
      <c r="C83" s="10">
        <v>2026</v>
      </c>
      <c r="D83" s="40">
        <f>SUMIFS(Registre!$P$3:$P$15000,Registre!$A$3:$A$15000,20,Registre!$B$3:$B$15000,"mars",Registre!$C$3:$C$15000,2026)</f>
        <v>0</v>
      </c>
      <c r="F83" s="18"/>
      <c r="H83" s="2"/>
    </row>
    <row r="84" spans="1:8" x14ac:dyDescent="0.25">
      <c r="A84" s="10">
        <v>21</v>
      </c>
      <c r="B84" s="10" t="s">
        <v>17</v>
      </c>
      <c r="C84" s="10">
        <v>2026</v>
      </c>
      <c r="D84" s="40">
        <f>SUMIFS(Registre!$P$3:$P$15000,Registre!$A$3:$A$15000,21,Registre!$B$3:$B$15000,"mars",Registre!$C$3:$C$15000,2026)</f>
        <v>0</v>
      </c>
      <c r="F84" s="18"/>
      <c r="H84" s="2"/>
    </row>
    <row r="85" spans="1:8" x14ac:dyDescent="0.25">
      <c r="A85" s="10">
        <v>22</v>
      </c>
      <c r="B85" s="10" t="s">
        <v>17</v>
      </c>
      <c r="C85" s="10">
        <v>2026</v>
      </c>
      <c r="D85" s="40">
        <f>SUMIFS(Registre!$P$3:$P$15000,Registre!$A$3:$A$15000,22,Registre!$B$3:$B$15000,"mars",Registre!$C$3:$C$15000,2026)</f>
        <v>0</v>
      </c>
      <c r="F85" s="18"/>
      <c r="H85" s="2"/>
    </row>
    <row r="86" spans="1:8" x14ac:dyDescent="0.25">
      <c r="A86" s="10">
        <v>23</v>
      </c>
      <c r="B86" s="10" t="s">
        <v>17</v>
      </c>
      <c r="C86" s="10">
        <v>2026</v>
      </c>
      <c r="D86" s="40">
        <f>SUMIFS(Registre!$P$3:$P$15000,Registre!$A$3:$A$15000,23,Registre!$B$3:$B$15000,"mars",Registre!$C$3:$C$15000,2026)</f>
        <v>0</v>
      </c>
      <c r="F86" s="17"/>
      <c r="H86" s="2"/>
    </row>
    <row r="87" spans="1:8" x14ac:dyDescent="0.25">
      <c r="A87" s="10">
        <v>24</v>
      </c>
      <c r="B87" s="10" t="s">
        <v>17</v>
      </c>
      <c r="C87" s="10">
        <v>2026</v>
      </c>
      <c r="D87" s="40">
        <f>SUMIFS(Registre!$P$3:$P$15000,Registre!$A$3:$A$15000,24,Registre!$B$3:$B$15000,"mars",Registre!$C$3:$C$15000,2026)</f>
        <v>0</v>
      </c>
      <c r="F87" s="17"/>
      <c r="H87" s="2"/>
    </row>
    <row r="88" spans="1:8" x14ac:dyDescent="0.25">
      <c r="A88" s="10">
        <v>25</v>
      </c>
      <c r="B88" s="10" t="s">
        <v>17</v>
      </c>
      <c r="C88" s="10">
        <v>2026</v>
      </c>
      <c r="D88" s="40">
        <f>SUMIFS(Registre!$P$3:$P$15000,Registre!$A$3:$A$15000,25,Registre!$B$3:$B$15000,"mars",Registre!$C$3:$C$15000,2026)</f>
        <v>0</v>
      </c>
      <c r="F88" s="18"/>
      <c r="H88" s="2"/>
    </row>
    <row r="89" spans="1:8" x14ac:dyDescent="0.25">
      <c r="A89" s="10">
        <v>26</v>
      </c>
      <c r="B89" s="10" t="s">
        <v>17</v>
      </c>
      <c r="C89" s="10">
        <v>2026</v>
      </c>
      <c r="D89" s="40">
        <f>SUMIFS(Registre!$P$3:$P$15000,Registre!$A$3:$A$15000,26,Registre!$B$3:$B$15000,"mars",Registre!$C$3:$C$15000,2026)</f>
        <v>0</v>
      </c>
      <c r="F89" s="18"/>
      <c r="H89" s="2"/>
    </row>
    <row r="90" spans="1:8" x14ac:dyDescent="0.25">
      <c r="A90" s="10">
        <v>27</v>
      </c>
      <c r="B90" s="10" t="s">
        <v>17</v>
      </c>
      <c r="C90" s="10">
        <v>2026</v>
      </c>
      <c r="D90" s="40">
        <f>SUMIFS(Registre!$P$3:$P$15000,Registre!$A$3:$A$15000,27,Registre!$B$3:$B$15000,"mars",Registre!$C$3:$C$15000,2026)</f>
        <v>0</v>
      </c>
      <c r="F90" s="18"/>
      <c r="H90" s="2"/>
    </row>
    <row r="91" spans="1:8" x14ac:dyDescent="0.25">
      <c r="A91" s="10">
        <v>28</v>
      </c>
      <c r="B91" s="10" t="s">
        <v>17</v>
      </c>
      <c r="C91" s="10">
        <v>2026</v>
      </c>
      <c r="D91" s="40">
        <f>SUMIFS(Registre!$P$3:$P$15000,Registre!$A$3:$A$15000,28,Registre!$B$3:$B$15000,"mars",Registre!$C$3:$C$15000,2026)</f>
        <v>0</v>
      </c>
      <c r="F91" s="18"/>
      <c r="H91" s="2"/>
    </row>
    <row r="92" spans="1:8" x14ac:dyDescent="0.25">
      <c r="A92" s="10">
        <v>29</v>
      </c>
      <c r="B92" s="10" t="s">
        <v>17</v>
      </c>
      <c r="C92" s="10">
        <v>2026</v>
      </c>
      <c r="D92" s="40">
        <f>SUMIFS(Registre!$P$3:$P$15000,Registre!$A$3:$A$15000,29,Registre!$B$3:$B$15000,"mars",Registre!$C$3:$C$15000,2026)</f>
        <v>0</v>
      </c>
      <c r="F92" s="18"/>
      <c r="H92" s="2"/>
    </row>
    <row r="93" spans="1:8" x14ac:dyDescent="0.25">
      <c r="A93" s="10">
        <v>30</v>
      </c>
      <c r="B93" s="10" t="s">
        <v>17</v>
      </c>
      <c r="C93" s="10">
        <v>2026</v>
      </c>
      <c r="D93" s="40">
        <f>SUMIFS(Registre!$P$3:$P$15000,Registre!$A$3:$A$15000,30,Registre!$B$3:$B$15000,"mars",Registre!$C$3:$C$15000,2026)</f>
        <v>0</v>
      </c>
      <c r="F93" s="18"/>
      <c r="H93" s="2"/>
    </row>
    <row r="94" spans="1:8" x14ac:dyDescent="0.25">
      <c r="A94" s="10">
        <v>31</v>
      </c>
      <c r="B94" s="10" t="s">
        <v>17</v>
      </c>
      <c r="C94" s="10">
        <v>2026</v>
      </c>
      <c r="D94" s="40">
        <f>SUMIFS(Registre!$P$3:$P$15000,Registre!$A$3:$A$15000,31,Registre!$B$3:$B$15000,"mars",Registre!$C$3:$C$15000,2026)</f>
        <v>0</v>
      </c>
      <c r="F94" s="18"/>
      <c r="H94" s="2"/>
    </row>
    <row r="95" spans="1:8" x14ac:dyDescent="0.25">
      <c r="A95" s="11">
        <v>1</v>
      </c>
      <c r="B95" s="11" t="s">
        <v>18</v>
      </c>
      <c r="C95" s="11">
        <v>2026</v>
      </c>
      <c r="D95" s="41">
        <f>SUMIFS(Registre!$P$3:$P$15000,Registre!$A$3:$A$15000,1,Registre!$B$3:$B$15000,"avril",Registre!$C$3:$C$15000,2026)</f>
        <v>0</v>
      </c>
      <c r="F95" s="17"/>
      <c r="H95" s="2"/>
    </row>
    <row r="96" spans="1:8" x14ac:dyDescent="0.25">
      <c r="A96" s="11">
        <v>2</v>
      </c>
      <c r="B96" s="11" t="s">
        <v>18</v>
      </c>
      <c r="C96" s="11">
        <v>2026</v>
      </c>
      <c r="D96" s="41">
        <f>SUMIFS(Registre!$P$3:$P$15000,Registre!$A$3:$A$15000,2,Registre!$B$3:$B$15000,"avril",Registre!$C$3:$C$15000,2026)</f>
        <v>0</v>
      </c>
      <c r="F96" s="17"/>
      <c r="H96" s="2"/>
    </row>
    <row r="97" spans="1:8" x14ac:dyDescent="0.25">
      <c r="A97" s="11">
        <v>3</v>
      </c>
      <c r="B97" s="11" t="s">
        <v>18</v>
      </c>
      <c r="C97" s="11">
        <v>2026</v>
      </c>
      <c r="D97" s="41">
        <f>SUMIFS(Registre!$P$3:$P$15000,Registre!$A$3:$A$15000,3,Registre!$B$3:$B$15000,"avril",Registre!$C$3:$C$15000,2026)</f>
        <v>0</v>
      </c>
      <c r="F97" s="18"/>
      <c r="H97" s="2"/>
    </row>
    <row r="98" spans="1:8" x14ac:dyDescent="0.25">
      <c r="A98" s="11">
        <v>4</v>
      </c>
      <c r="B98" s="11" t="s">
        <v>18</v>
      </c>
      <c r="C98" s="11">
        <v>2026</v>
      </c>
      <c r="D98" s="41">
        <f>SUMIFS(Registre!$P$3:$P$15000,Registre!$A$3:$A$15000,4,Registre!$B$3:$B$15000,"avril",Registre!$C$3:$C$15000,2026)</f>
        <v>0</v>
      </c>
      <c r="F98" s="18"/>
      <c r="H98" s="2"/>
    </row>
    <row r="99" spans="1:8" x14ac:dyDescent="0.25">
      <c r="A99" s="11">
        <v>5</v>
      </c>
      <c r="B99" s="11" t="s">
        <v>18</v>
      </c>
      <c r="C99" s="11">
        <v>2026</v>
      </c>
      <c r="D99" s="41">
        <f>SUMIFS(Registre!$P$3:$P$15000,Registre!$A$3:$A$15000,5,Registre!$B$3:$B$15000,"avril",Registre!$C$3:$C$15000,2026)</f>
        <v>0</v>
      </c>
      <c r="F99" s="18"/>
      <c r="H99" s="2"/>
    </row>
    <row r="100" spans="1:8" x14ac:dyDescent="0.25">
      <c r="A100" s="11">
        <v>6</v>
      </c>
      <c r="B100" s="11" t="s">
        <v>18</v>
      </c>
      <c r="C100" s="11">
        <v>2026</v>
      </c>
      <c r="D100" s="41">
        <f>SUMIFS(Registre!$P$3:$P$15000,Registre!$A$3:$A$15000,6,Registre!$B$3:$B$15000,"avril",Registre!$C$3:$C$15000,2026)</f>
        <v>0</v>
      </c>
      <c r="F100" s="18"/>
      <c r="H100" s="2"/>
    </row>
    <row r="101" spans="1:8" x14ac:dyDescent="0.25">
      <c r="A101" s="11">
        <v>7</v>
      </c>
      <c r="B101" s="11" t="s">
        <v>18</v>
      </c>
      <c r="C101" s="11">
        <v>2026</v>
      </c>
      <c r="D101" s="41">
        <f>SUMIFS(Registre!$P$3:$P$15000,Registre!$A$3:$A$15000,7,Registre!$B$3:$B$15000,"avril",Registre!$C$3:$C$15000,2026)</f>
        <v>0</v>
      </c>
      <c r="F101" s="18"/>
      <c r="H101" s="2"/>
    </row>
    <row r="102" spans="1:8" x14ac:dyDescent="0.25">
      <c r="A102" s="11">
        <v>8</v>
      </c>
      <c r="B102" s="11" t="s">
        <v>18</v>
      </c>
      <c r="C102" s="11">
        <v>2026</v>
      </c>
      <c r="D102" s="41">
        <f>SUMIFS(Registre!$P$3:$P$15000,Registre!$A$3:$A$15000,8,Registre!$B$3:$B$15000,"avril",Registre!$C$3:$C$15000,2026)</f>
        <v>0</v>
      </c>
      <c r="F102" s="18"/>
      <c r="H102" s="2"/>
    </row>
    <row r="103" spans="1:8" x14ac:dyDescent="0.25">
      <c r="A103" s="11">
        <v>9</v>
      </c>
      <c r="B103" s="11" t="s">
        <v>18</v>
      </c>
      <c r="C103" s="11">
        <v>2026</v>
      </c>
      <c r="D103" s="41">
        <f>SUMIFS(Registre!$P$3:$P$15000,Registre!$A$3:$A$15000,9,Registre!$B$3:$B$15000,"avril",Registre!$C$3:$C$15000,2026)</f>
        <v>0</v>
      </c>
      <c r="F103" s="18"/>
      <c r="H103" s="2"/>
    </row>
    <row r="104" spans="1:8" x14ac:dyDescent="0.25">
      <c r="A104" s="11">
        <v>10</v>
      </c>
      <c r="B104" s="11" t="s">
        <v>18</v>
      </c>
      <c r="C104" s="11">
        <v>2026</v>
      </c>
      <c r="D104" s="41">
        <f>SUMIFS(Registre!$P$3:$P$15000,Registre!$A$3:$A$15000,10,Registre!$B$3:$B$15000,"avril",Registre!$C$3:$C$15000,2026)</f>
        <v>0</v>
      </c>
      <c r="F104" s="17"/>
      <c r="H104" s="2"/>
    </row>
    <row r="105" spans="1:8" x14ac:dyDescent="0.25">
      <c r="A105" s="11">
        <v>11</v>
      </c>
      <c r="B105" s="11" t="s">
        <v>18</v>
      </c>
      <c r="C105" s="11">
        <v>2026</v>
      </c>
      <c r="D105" s="41">
        <f>SUMIFS(Registre!$P$3:$P$15000,Registre!$A$3:$A$15000,11,Registre!$B$3:$B$15000,"avril",Registre!$C$3:$C$15000,2026)</f>
        <v>0</v>
      </c>
      <c r="F105" s="17"/>
      <c r="H105" s="2"/>
    </row>
    <row r="106" spans="1:8" x14ac:dyDescent="0.25">
      <c r="A106" s="11">
        <v>12</v>
      </c>
      <c r="B106" s="11" t="s">
        <v>18</v>
      </c>
      <c r="C106" s="11">
        <v>2026</v>
      </c>
      <c r="D106" s="41">
        <f>SUMIFS(Registre!$P$3:$P$15000,Registre!$A$3:$A$15000,12,Registre!$B$3:$B$15000,"avril",Registre!$C$3:$C$15000,2026)</f>
        <v>0</v>
      </c>
      <c r="F106" s="18"/>
      <c r="H106" s="2"/>
    </row>
    <row r="107" spans="1:8" x14ac:dyDescent="0.25">
      <c r="A107" s="11">
        <v>13</v>
      </c>
      <c r="B107" s="11" t="s">
        <v>18</v>
      </c>
      <c r="C107" s="11">
        <v>2026</v>
      </c>
      <c r="D107" s="41">
        <f>SUMIFS(Registre!$P$3:$P$15000,Registre!$A$3:$A$15000,13,Registre!$B$3:$B$15000,"avril",Registre!$C$3:$C$15000,2026)</f>
        <v>0</v>
      </c>
      <c r="F107" s="18"/>
      <c r="H107" s="2"/>
    </row>
    <row r="108" spans="1:8" x14ac:dyDescent="0.25">
      <c r="A108" s="11">
        <v>14</v>
      </c>
      <c r="B108" s="11" t="s">
        <v>18</v>
      </c>
      <c r="C108" s="11">
        <v>2026</v>
      </c>
      <c r="D108" s="41">
        <f>SUMIFS(Registre!$P$3:$P$15000,Registre!$A$3:$A$15000,14,Registre!$B$3:$B$15000,"avril",Registre!$C$3:$C$15000,2026)</f>
        <v>0</v>
      </c>
      <c r="F108" s="18"/>
      <c r="H108" s="2"/>
    </row>
    <row r="109" spans="1:8" x14ac:dyDescent="0.25">
      <c r="A109" s="11">
        <v>15</v>
      </c>
      <c r="B109" s="11" t="s">
        <v>18</v>
      </c>
      <c r="C109" s="11">
        <v>2026</v>
      </c>
      <c r="D109" s="41">
        <f>SUMIFS(Registre!$P$3:$P$15000,Registre!$A$3:$A$15000,15,Registre!$B$3:$B$15000,"avril",Registre!$C$3:$C$15000,2026)</f>
        <v>0</v>
      </c>
      <c r="F109" s="18"/>
      <c r="H109" s="2"/>
    </row>
    <row r="110" spans="1:8" x14ac:dyDescent="0.25">
      <c r="A110" s="11">
        <v>16</v>
      </c>
      <c r="B110" s="11" t="s">
        <v>18</v>
      </c>
      <c r="C110" s="11">
        <v>2026</v>
      </c>
      <c r="D110" s="41">
        <f>SUMIFS(Registre!$P$3:$P$15000,Registre!$A$3:$A$15000,16,Registre!$B$3:$B$15000,"avril",Registre!$C$3:$C$15000,2026)</f>
        <v>0</v>
      </c>
      <c r="F110" s="18"/>
      <c r="H110" s="2"/>
    </row>
    <row r="111" spans="1:8" x14ac:dyDescent="0.25">
      <c r="A111" s="11">
        <v>17</v>
      </c>
      <c r="B111" s="11" t="s">
        <v>18</v>
      </c>
      <c r="C111" s="11">
        <v>2026</v>
      </c>
      <c r="D111" s="41">
        <f>SUMIFS(Registre!$P$3:$P$15000,Registre!$A$3:$A$15000,17,Registre!$B$3:$B$15000,"avril",Registre!$C$3:$C$15000,2026)</f>
        <v>0</v>
      </c>
      <c r="F111" s="18"/>
      <c r="H111" s="2"/>
    </row>
    <row r="112" spans="1:8" x14ac:dyDescent="0.25">
      <c r="A112" s="11">
        <v>18</v>
      </c>
      <c r="B112" s="11" t="s">
        <v>18</v>
      </c>
      <c r="C112" s="11">
        <v>2026</v>
      </c>
      <c r="D112" s="41">
        <f>SUMIFS(Registre!$P$3:$P$15000,Registre!$A$3:$A$15000,18,Registre!$B$3:$B$15000,"avril",Registre!$C$3:$C$15000,2026)</f>
        <v>0</v>
      </c>
      <c r="F112" s="18"/>
      <c r="H112" s="2"/>
    </row>
    <row r="113" spans="1:4" x14ac:dyDescent="0.25">
      <c r="A113" s="11">
        <v>19</v>
      </c>
      <c r="B113" s="11" t="s">
        <v>18</v>
      </c>
      <c r="C113" s="11">
        <v>2026</v>
      </c>
      <c r="D113" s="41">
        <f>SUMIFS(Registre!$P$3:$P$15000,Registre!$A$3:$A$15000,19,Registre!$B$3:$B$15000,"avril",Registre!$C$3:$C$15000,2026)</f>
        <v>0</v>
      </c>
    </row>
    <row r="114" spans="1:4" x14ac:dyDescent="0.25">
      <c r="A114" s="11">
        <v>20</v>
      </c>
      <c r="B114" s="11" t="s">
        <v>18</v>
      </c>
      <c r="C114" s="11">
        <v>2026</v>
      </c>
      <c r="D114" s="41">
        <f>SUMIFS(Registre!$P$3:$P$15000,Registre!$A$3:$A$15000,20,Registre!$B$3:$B$15000,"avril",Registre!$C$3:$C$15000,2026)</f>
        <v>0</v>
      </c>
    </row>
    <row r="115" spans="1:4" x14ac:dyDescent="0.25">
      <c r="A115" s="11">
        <v>21</v>
      </c>
      <c r="B115" s="11" t="s">
        <v>18</v>
      </c>
      <c r="C115" s="11">
        <v>2026</v>
      </c>
      <c r="D115" s="41">
        <f>SUMIFS(Registre!$P$3:$P$15000,Registre!$A$3:$A$15000,21,Registre!$B$3:$B$15000,"avril",Registre!$C$3:$C$15000,2026)</f>
        <v>0</v>
      </c>
    </row>
    <row r="116" spans="1:4" x14ac:dyDescent="0.25">
      <c r="A116" s="11">
        <v>22</v>
      </c>
      <c r="B116" s="11" t="s">
        <v>18</v>
      </c>
      <c r="C116" s="11">
        <v>2026</v>
      </c>
      <c r="D116" s="41">
        <f>SUMIFS(Registre!$P$3:$P$15000,Registre!$A$3:$A$15000,22,Registre!$B$3:$B$15000,"avril",Registre!$C$3:$C$15000,2026)</f>
        <v>0</v>
      </c>
    </row>
    <row r="117" spans="1:4" x14ac:dyDescent="0.25">
      <c r="A117" s="11">
        <v>23</v>
      </c>
      <c r="B117" s="11" t="s">
        <v>18</v>
      </c>
      <c r="C117" s="11">
        <v>2026</v>
      </c>
      <c r="D117" s="41">
        <f>SUMIFS(Registre!$P$3:$P$15000,Registre!$A$3:$A$15000,23,Registre!$B$3:$B$15000,"avril",Registre!$C$3:$C$15000,2026)</f>
        <v>0</v>
      </c>
    </row>
    <row r="118" spans="1:4" x14ac:dyDescent="0.25">
      <c r="A118" s="11">
        <v>24</v>
      </c>
      <c r="B118" s="11" t="s">
        <v>18</v>
      </c>
      <c r="C118" s="11">
        <v>2026</v>
      </c>
      <c r="D118" s="41">
        <f>SUMIFS(Registre!$P$3:$P$15000,Registre!$A$3:$A$15000,24,Registre!$B$3:$B$15000,"avril",Registre!$C$3:$C$15000,2026)</f>
        <v>0</v>
      </c>
    </row>
    <row r="119" spans="1:4" x14ac:dyDescent="0.25">
      <c r="A119" s="11">
        <v>25</v>
      </c>
      <c r="B119" s="11" t="s">
        <v>18</v>
      </c>
      <c r="C119" s="11">
        <v>2026</v>
      </c>
      <c r="D119" s="41">
        <f>SUMIFS(Registre!$P$3:$P$15000,Registre!$A$3:$A$15000,25,Registre!$B$3:$B$15000,"avril",Registre!$C$3:$C$15000,2026)</f>
        <v>0</v>
      </c>
    </row>
    <row r="120" spans="1:4" x14ac:dyDescent="0.25">
      <c r="A120" s="11">
        <v>26</v>
      </c>
      <c r="B120" s="11" t="s">
        <v>18</v>
      </c>
      <c r="C120" s="11">
        <v>2026</v>
      </c>
      <c r="D120" s="41">
        <f>SUMIFS(Registre!$P$3:$P$15000,Registre!$A$3:$A$15000,26,Registre!$B$3:$B$15000,"avril",Registre!$C$3:$C$15000,2026)</f>
        <v>0</v>
      </c>
    </row>
    <row r="121" spans="1:4" x14ac:dyDescent="0.25">
      <c r="A121" s="11">
        <v>27</v>
      </c>
      <c r="B121" s="11" t="s">
        <v>18</v>
      </c>
      <c r="C121" s="11">
        <v>2026</v>
      </c>
      <c r="D121" s="41">
        <f>SUMIFS(Registre!$P$3:$P$15000,Registre!$A$3:$A$15000,27,Registre!$B$3:$B$15000,"avril",Registre!$C$3:$C$15000,2026)</f>
        <v>0</v>
      </c>
    </row>
    <row r="122" spans="1:4" x14ac:dyDescent="0.25">
      <c r="A122" s="11">
        <v>28</v>
      </c>
      <c r="B122" s="11" t="s">
        <v>18</v>
      </c>
      <c r="C122" s="11">
        <v>2026</v>
      </c>
      <c r="D122" s="41">
        <f>SUMIFS(Registre!$P$3:$P$15000,Registre!$A$3:$A$15000,28,Registre!$B$3:$B$15000,"avril",Registre!$C$3:$C$15000,2026)</f>
        <v>0</v>
      </c>
    </row>
    <row r="123" spans="1:4" x14ac:dyDescent="0.25">
      <c r="A123" s="11">
        <v>29</v>
      </c>
      <c r="B123" s="11" t="s">
        <v>18</v>
      </c>
      <c r="C123" s="11">
        <v>2026</v>
      </c>
      <c r="D123" s="41">
        <f>SUMIFS(Registre!$P$3:$P$15000,Registre!$A$3:$A$15000,29,Registre!$B$3:$B$15000,"avril",Registre!$C$3:$C$15000,2026)</f>
        <v>0</v>
      </c>
    </row>
    <row r="124" spans="1:4" x14ac:dyDescent="0.25">
      <c r="A124" s="11">
        <v>30</v>
      </c>
      <c r="B124" s="11" t="s">
        <v>18</v>
      </c>
      <c r="C124" s="11">
        <v>2026</v>
      </c>
      <c r="D124" s="41">
        <f>SUMIFS(Registre!$P$3:$P$15000,Registre!$A$3:$A$15000,30,Registre!$B$3:$B$15000,"avril",Registre!$C$3:$C$15000,2026)</f>
        <v>0</v>
      </c>
    </row>
    <row r="125" spans="1:4" x14ac:dyDescent="0.25">
      <c r="A125" s="10">
        <v>1</v>
      </c>
      <c r="B125" s="10" t="s">
        <v>19</v>
      </c>
      <c r="C125" s="10">
        <v>2026</v>
      </c>
      <c r="D125" s="40">
        <f>SUMIFS(Registre!$P$3:$P$15000,Registre!$A$3:$A$15000,1,Registre!$B$3:$B$15000,"mai",Registre!$C$3:$C$15000,2026)</f>
        <v>0</v>
      </c>
    </row>
    <row r="126" spans="1:4" x14ac:dyDescent="0.25">
      <c r="A126" s="10">
        <v>2</v>
      </c>
      <c r="B126" s="10" t="s">
        <v>19</v>
      </c>
      <c r="C126" s="10">
        <v>2026</v>
      </c>
      <c r="D126" s="40">
        <f>SUMIFS(Registre!$P$3:$P$15000,Registre!$A$3:$A$15000,2,Registre!$B$3:$B$15000,"mai",Registre!$C$3:$C$15000,2026)</f>
        <v>0</v>
      </c>
    </row>
    <row r="127" spans="1:4" x14ac:dyDescent="0.25">
      <c r="A127" s="10">
        <v>3</v>
      </c>
      <c r="B127" s="10" t="s">
        <v>19</v>
      </c>
      <c r="C127" s="10">
        <v>2026</v>
      </c>
      <c r="D127" s="40">
        <f>SUMIFS(Registre!$P$3:$P$15000,Registre!$A$3:$A$15000,3,Registre!$B$3:$B$15000,"mai",Registre!$C$3:$C$15000,2026)</f>
        <v>0</v>
      </c>
    </row>
    <row r="128" spans="1:4" x14ac:dyDescent="0.25">
      <c r="A128" s="10">
        <v>4</v>
      </c>
      <c r="B128" s="10" t="s">
        <v>19</v>
      </c>
      <c r="C128" s="10">
        <v>2026</v>
      </c>
      <c r="D128" s="40">
        <f>SUMIFS(Registre!$P$3:$P$15000,Registre!$A$3:$A$15000,4,Registre!$B$3:$B$15000,"mai",Registre!$C$3:$C$15000,2026)</f>
        <v>0</v>
      </c>
    </row>
    <row r="129" spans="1:4" x14ac:dyDescent="0.25">
      <c r="A129" s="10">
        <v>5</v>
      </c>
      <c r="B129" s="10" t="s">
        <v>19</v>
      </c>
      <c r="C129" s="10">
        <v>2026</v>
      </c>
      <c r="D129" s="40">
        <f>SUMIFS(Registre!$P$3:$P$15000,Registre!$A$3:$A$15000,5,Registre!$B$3:$B$15000,"mai",Registre!$C$3:$C$15000,2026)</f>
        <v>0</v>
      </c>
    </row>
    <row r="130" spans="1:4" x14ac:dyDescent="0.25">
      <c r="A130" s="10">
        <v>6</v>
      </c>
      <c r="B130" s="10" t="s">
        <v>19</v>
      </c>
      <c r="C130" s="10">
        <v>2026</v>
      </c>
      <c r="D130" s="40">
        <f>SUMIFS(Registre!$P$3:$P$15000,Registre!$A$3:$A$15000,6,Registre!$B$3:$B$15000,"mai",Registre!$C$3:$C$15000,2026)</f>
        <v>0</v>
      </c>
    </row>
    <row r="131" spans="1:4" x14ac:dyDescent="0.25">
      <c r="A131" s="10">
        <v>7</v>
      </c>
      <c r="B131" s="10" t="s">
        <v>19</v>
      </c>
      <c r="C131" s="10">
        <v>2026</v>
      </c>
      <c r="D131" s="40">
        <f>SUMIFS(Registre!$P$3:$P$15000,Registre!$A$3:$A$15000,7,Registre!$B$3:$B$15000,"mai",Registre!$C$3:$C$15000,2026)</f>
        <v>0</v>
      </c>
    </row>
    <row r="132" spans="1:4" x14ac:dyDescent="0.25">
      <c r="A132" s="10">
        <v>8</v>
      </c>
      <c r="B132" s="10" t="s">
        <v>19</v>
      </c>
      <c r="C132" s="10">
        <v>2026</v>
      </c>
      <c r="D132" s="40">
        <f>SUMIFS(Registre!$P$3:$P$15000,Registre!$A$3:$A$15000,8,Registre!$B$3:$B$15000,"mai",Registre!$C$3:$C$15000,2026)</f>
        <v>0</v>
      </c>
    </row>
    <row r="133" spans="1:4" x14ac:dyDescent="0.25">
      <c r="A133" s="10">
        <v>9</v>
      </c>
      <c r="B133" s="10" t="s">
        <v>19</v>
      </c>
      <c r="C133" s="10">
        <v>2026</v>
      </c>
      <c r="D133" s="40">
        <f>SUMIFS(Registre!$P$3:$P$15000,Registre!$A$3:$A$15000,9,Registre!$B$3:$B$15000,"mai",Registre!$C$3:$C$15000,2026)</f>
        <v>0</v>
      </c>
    </row>
    <row r="134" spans="1:4" x14ac:dyDescent="0.25">
      <c r="A134" s="10">
        <v>10</v>
      </c>
      <c r="B134" s="10" t="s">
        <v>19</v>
      </c>
      <c r="C134" s="10">
        <v>2026</v>
      </c>
      <c r="D134" s="40">
        <f>SUMIFS(Registre!$P$3:$P$15000,Registre!$A$3:$A$15000,10,Registre!$B$3:$B$15000,"mai",Registre!$C$3:$C$15000,2026)</f>
        <v>0</v>
      </c>
    </row>
    <row r="135" spans="1:4" x14ac:dyDescent="0.25">
      <c r="A135" s="10">
        <v>11</v>
      </c>
      <c r="B135" s="10" t="s">
        <v>19</v>
      </c>
      <c r="C135" s="10">
        <v>2026</v>
      </c>
      <c r="D135" s="40">
        <f>SUMIFS(Registre!$P$3:$P$15000,Registre!$A$3:$A$15000,11,Registre!$B$3:$B$15000,"mai",Registre!$C$3:$C$15000,2026)</f>
        <v>0</v>
      </c>
    </row>
    <row r="136" spans="1:4" x14ac:dyDescent="0.25">
      <c r="A136" s="10">
        <v>12</v>
      </c>
      <c r="B136" s="10" t="s">
        <v>19</v>
      </c>
      <c r="C136" s="10">
        <v>2026</v>
      </c>
      <c r="D136" s="40">
        <f>SUMIFS(Registre!$P$3:$P$15000,Registre!$A$3:$A$15000,12,Registre!$B$3:$B$15000,"mai",Registre!$C$3:$C$15000,2026)</f>
        <v>0</v>
      </c>
    </row>
    <row r="137" spans="1:4" x14ac:dyDescent="0.25">
      <c r="A137" s="10">
        <v>13</v>
      </c>
      <c r="B137" s="10" t="s">
        <v>19</v>
      </c>
      <c r="C137" s="10">
        <v>2026</v>
      </c>
      <c r="D137" s="40">
        <f>SUMIFS(Registre!$P$3:$P$15000,Registre!$A$3:$A$15000,13,Registre!$B$3:$B$15000,"mai",Registre!$C$3:$C$15000,2026)</f>
        <v>0</v>
      </c>
    </row>
    <row r="138" spans="1:4" x14ac:dyDescent="0.25">
      <c r="A138" s="10">
        <v>14</v>
      </c>
      <c r="B138" s="10" t="s">
        <v>19</v>
      </c>
      <c r="C138" s="10">
        <v>2026</v>
      </c>
      <c r="D138" s="40">
        <f>SUMIFS(Registre!$P$3:$P$15000,Registre!$A$3:$A$15000,14,Registre!$B$3:$B$15000,"mai",Registre!$C$3:$C$15000,2026)</f>
        <v>0</v>
      </c>
    </row>
    <row r="139" spans="1:4" x14ac:dyDescent="0.25">
      <c r="A139" s="10">
        <v>15</v>
      </c>
      <c r="B139" s="10" t="s">
        <v>19</v>
      </c>
      <c r="C139" s="10">
        <v>2026</v>
      </c>
      <c r="D139" s="40">
        <f>SUMIFS(Registre!$P$3:$P$15000,Registre!$A$3:$A$15000,15,Registre!$B$3:$B$15000,"mai",Registre!$C$3:$C$15000,2026)</f>
        <v>0</v>
      </c>
    </row>
    <row r="140" spans="1:4" x14ac:dyDescent="0.25">
      <c r="A140" s="10">
        <v>16</v>
      </c>
      <c r="B140" s="10" t="s">
        <v>19</v>
      </c>
      <c r="C140" s="10">
        <v>2026</v>
      </c>
      <c r="D140" s="40">
        <f>SUMIFS(Registre!$P$3:$P$15000,Registre!$A$3:$A$15000,16,Registre!$B$3:$B$15000,"mai",Registre!$C$3:$C$15000,2026)</f>
        <v>0</v>
      </c>
    </row>
    <row r="141" spans="1:4" x14ac:dyDescent="0.25">
      <c r="A141" s="10">
        <v>17</v>
      </c>
      <c r="B141" s="10" t="s">
        <v>19</v>
      </c>
      <c r="C141" s="10">
        <v>2026</v>
      </c>
      <c r="D141" s="40">
        <f>SUMIFS(Registre!$P$3:$P$15000,Registre!$A$3:$A$15000,17,Registre!$B$3:$B$15000,"mai",Registre!$C$3:$C$15000,2026)</f>
        <v>0</v>
      </c>
    </row>
    <row r="142" spans="1:4" x14ac:dyDescent="0.25">
      <c r="A142" s="10">
        <v>18</v>
      </c>
      <c r="B142" s="10" t="s">
        <v>19</v>
      </c>
      <c r="C142" s="10">
        <v>2026</v>
      </c>
      <c r="D142" s="40">
        <f>SUMIFS(Registre!$P$3:$P$15000,Registre!$A$3:$A$15000,18,Registre!$B$3:$B$15000,"mai",Registre!$C$3:$C$15000,2026)</f>
        <v>0</v>
      </c>
    </row>
    <row r="143" spans="1:4" x14ac:dyDescent="0.25">
      <c r="A143" s="10">
        <v>19</v>
      </c>
      <c r="B143" s="10" t="s">
        <v>19</v>
      </c>
      <c r="C143" s="10">
        <v>2026</v>
      </c>
      <c r="D143" s="40">
        <f>SUMIFS(Registre!$P$3:$P$15000,Registre!$A$3:$A$15000,19,Registre!$B$3:$B$15000,"mai",Registre!$C$3:$C$15000,2026)</f>
        <v>0</v>
      </c>
    </row>
    <row r="144" spans="1:4" x14ac:dyDescent="0.25">
      <c r="A144" s="10">
        <v>20</v>
      </c>
      <c r="B144" s="10" t="s">
        <v>19</v>
      </c>
      <c r="C144" s="10">
        <v>2026</v>
      </c>
      <c r="D144" s="40">
        <f>SUMIFS(Registre!$P$3:$P$15000,Registre!$A$3:$A$15000,20,Registre!$B$3:$B$15000,"mai",Registre!$C$3:$C$15000,2026)</f>
        <v>0</v>
      </c>
    </row>
    <row r="145" spans="1:4" x14ac:dyDescent="0.25">
      <c r="A145" s="10">
        <v>21</v>
      </c>
      <c r="B145" s="10" t="s">
        <v>19</v>
      </c>
      <c r="C145" s="10">
        <v>2026</v>
      </c>
      <c r="D145" s="40">
        <f>SUMIFS(Registre!$P$3:$P$15000,Registre!$A$3:$A$15000,21,Registre!$B$3:$B$15000,"mai",Registre!$C$3:$C$15000,2026)</f>
        <v>0</v>
      </c>
    </row>
    <row r="146" spans="1:4" x14ac:dyDescent="0.25">
      <c r="A146" s="10">
        <v>22</v>
      </c>
      <c r="B146" s="10" t="s">
        <v>19</v>
      </c>
      <c r="C146" s="10">
        <v>2026</v>
      </c>
      <c r="D146" s="40">
        <f>SUMIFS(Registre!$P$3:$P$15000,Registre!$A$3:$A$15000,22,Registre!$B$3:$B$15000,"mai",Registre!$C$3:$C$15000,2026)</f>
        <v>0</v>
      </c>
    </row>
    <row r="147" spans="1:4" x14ac:dyDescent="0.25">
      <c r="A147" s="10">
        <v>23</v>
      </c>
      <c r="B147" s="10" t="s">
        <v>19</v>
      </c>
      <c r="C147" s="10">
        <v>2026</v>
      </c>
      <c r="D147" s="40">
        <f>SUMIFS(Registre!$P$3:$P$15000,Registre!$A$3:$A$15000,23,Registre!$B$3:$B$15000,"mai",Registre!$C$3:$C$15000,2026)</f>
        <v>0</v>
      </c>
    </row>
    <row r="148" spans="1:4" x14ac:dyDescent="0.25">
      <c r="A148" s="10">
        <v>24</v>
      </c>
      <c r="B148" s="10" t="s">
        <v>19</v>
      </c>
      <c r="C148" s="10">
        <v>2026</v>
      </c>
      <c r="D148" s="40">
        <f>SUMIFS(Registre!$P$3:$P$15000,Registre!$A$3:$A$15000,24,Registre!$B$3:$B$15000,"mai",Registre!$C$3:$C$15000,2026)</f>
        <v>0</v>
      </c>
    </row>
    <row r="149" spans="1:4" x14ac:dyDescent="0.25">
      <c r="A149" s="10">
        <v>25</v>
      </c>
      <c r="B149" s="10" t="s">
        <v>19</v>
      </c>
      <c r="C149" s="10">
        <v>2026</v>
      </c>
      <c r="D149" s="40">
        <f>SUMIFS(Registre!$P$3:$P$15000,Registre!$A$3:$A$15000,25,Registre!$B$3:$B$15000,"mai",Registre!$C$3:$C$15000,2026)</f>
        <v>0</v>
      </c>
    </row>
    <row r="150" spans="1:4" x14ac:dyDescent="0.25">
      <c r="A150" s="10">
        <v>26</v>
      </c>
      <c r="B150" s="10" t="s">
        <v>19</v>
      </c>
      <c r="C150" s="10">
        <v>2026</v>
      </c>
      <c r="D150" s="40">
        <f>SUMIFS(Registre!$P$3:$P$15000,Registre!$A$3:$A$15000,26,Registre!$B$3:$B$15000,"mai",Registre!$C$3:$C$15000,2026)</f>
        <v>0</v>
      </c>
    </row>
    <row r="151" spans="1:4" x14ac:dyDescent="0.25">
      <c r="A151" s="10">
        <v>27</v>
      </c>
      <c r="B151" s="10" t="s">
        <v>19</v>
      </c>
      <c r="C151" s="10">
        <v>2026</v>
      </c>
      <c r="D151" s="40">
        <f>SUMIFS(Registre!$P$3:$P$15000,Registre!$A$3:$A$15000,27,Registre!$B$3:$B$15000,"mai",Registre!$C$3:$C$15000,2026)</f>
        <v>0</v>
      </c>
    </row>
    <row r="152" spans="1:4" x14ac:dyDescent="0.25">
      <c r="A152" s="10">
        <v>28</v>
      </c>
      <c r="B152" s="10" t="s">
        <v>19</v>
      </c>
      <c r="C152" s="10">
        <v>2026</v>
      </c>
      <c r="D152" s="40">
        <f>SUMIFS(Registre!$P$3:$P$15000,Registre!$A$3:$A$15000,28,Registre!$B$3:$B$15000,"mai",Registre!$C$3:$C$15000,2026)</f>
        <v>0</v>
      </c>
    </row>
    <row r="153" spans="1:4" x14ac:dyDescent="0.25">
      <c r="A153" s="10">
        <v>29</v>
      </c>
      <c r="B153" s="10" t="s">
        <v>19</v>
      </c>
      <c r="C153" s="10">
        <v>2026</v>
      </c>
      <c r="D153" s="40">
        <f>SUMIFS(Registre!$P$3:$P$15000,Registre!$A$3:$A$15000,29,Registre!$B$3:$B$15000,"mai",Registre!$C$3:$C$15000,2026)</f>
        <v>0</v>
      </c>
    </row>
    <row r="154" spans="1:4" x14ac:dyDescent="0.25">
      <c r="A154" s="10">
        <v>30</v>
      </c>
      <c r="B154" s="10" t="s">
        <v>19</v>
      </c>
      <c r="C154" s="10">
        <v>2026</v>
      </c>
      <c r="D154" s="40">
        <f>SUMIFS(Registre!$P$3:$P$15000,Registre!$A$3:$A$15000,30,Registre!$B$3:$B$15000,"mai",Registre!$C$3:$C$15000,2026)</f>
        <v>0</v>
      </c>
    </row>
    <row r="155" spans="1:4" x14ac:dyDescent="0.25">
      <c r="A155" s="10">
        <v>31</v>
      </c>
      <c r="B155" s="10" t="s">
        <v>19</v>
      </c>
      <c r="C155" s="10">
        <v>2026</v>
      </c>
      <c r="D155" s="40">
        <f>SUMIFS(Registre!$P$3:$P$15000,Registre!$A$3:$A$15000,31,Registre!$B$3:$B$15000,"mai",Registre!$C$3:$C$15000,2026)</f>
        <v>0</v>
      </c>
    </row>
    <row r="156" spans="1:4" x14ac:dyDescent="0.25">
      <c r="A156" s="11">
        <v>1</v>
      </c>
      <c r="B156" s="11" t="s">
        <v>20</v>
      </c>
      <c r="C156" s="11">
        <v>2026</v>
      </c>
      <c r="D156" s="41">
        <f>SUMIFS(Registre!$P$3:$P$15000,Registre!$A$3:$A$15000,1,Registre!$B$3:$B$15000,"juin",Registre!$C$3:$C$15000,2026)</f>
        <v>0</v>
      </c>
    </row>
    <row r="157" spans="1:4" x14ac:dyDescent="0.25">
      <c r="A157" s="11">
        <v>2</v>
      </c>
      <c r="B157" s="11" t="s">
        <v>20</v>
      </c>
      <c r="C157" s="11">
        <v>2026</v>
      </c>
      <c r="D157" s="41">
        <f>SUMIFS(Registre!$P$3:$P$15000,Registre!$A$3:$A$15000,2,Registre!$B$3:$B$15000,"juin",Registre!$C$3:$C$15000,2026)</f>
        <v>0</v>
      </c>
    </row>
    <row r="158" spans="1:4" x14ac:dyDescent="0.25">
      <c r="A158" s="11">
        <v>3</v>
      </c>
      <c r="B158" s="11" t="s">
        <v>20</v>
      </c>
      <c r="C158" s="11">
        <v>2026</v>
      </c>
      <c r="D158" s="41">
        <f>SUMIFS(Registre!$P$3:$P$15000,Registre!$A$3:$A$15000,3,Registre!$B$3:$B$15000,"juin",Registre!$C$3:$C$15000,2026)</f>
        <v>0</v>
      </c>
    </row>
    <row r="159" spans="1:4" x14ac:dyDescent="0.25">
      <c r="A159" s="11">
        <v>4</v>
      </c>
      <c r="B159" s="11" t="s">
        <v>20</v>
      </c>
      <c r="C159" s="11">
        <v>2026</v>
      </c>
      <c r="D159" s="41">
        <f>SUMIFS(Registre!$P$3:$P$15000,Registre!$A$3:$A$15000,4,Registre!$B$3:$B$15000,"juin",Registre!$C$3:$C$15000,2026)</f>
        <v>0</v>
      </c>
    </row>
    <row r="160" spans="1:4" x14ac:dyDescent="0.25">
      <c r="A160" s="11">
        <v>5</v>
      </c>
      <c r="B160" s="11" t="s">
        <v>20</v>
      </c>
      <c r="C160" s="11">
        <v>2026</v>
      </c>
      <c r="D160" s="41">
        <f>SUMIFS(Registre!$P$3:$P$15000,Registre!$A$3:$A$15000,5,Registre!$B$3:$B$15000,"juin",Registre!$C$3:$C$15000,2026)</f>
        <v>0</v>
      </c>
    </row>
    <row r="161" spans="1:4" x14ac:dyDescent="0.25">
      <c r="A161" s="11">
        <v>6</v>
      </c>
      <c r="B161" s="11" t="s">
        <v>20</v>
      </c>
      <c r="C161" s="11">
        <v>2026</v>
      </c>
      <c r="D161" s="41">
        <f>SUMIFS(Registre!$P$3:$P$15000,Registre!$A$3:$A$15000,6,Registre!$B$3:$B$15000,"juin",Registre!$C$3:$C$15000,2026)</f>
        <v>0</v>
      </c>
    </row>
    <row r="162" spans="1:4" x14ac:dyDescent="0.25">
      <c r="A162" s="11">
        <v>7</v>
      </c>
      <c r="B162" s="11" t="s">
        <v>20</v>
      </c>
      <c r="C162" s="11">
        <v>2026</v>
      </c>
      <c r="D162" s="41">
        <f>SUMIFS(Registre!$P$3:$P$15000,Registre!$A$3:$A$15000,7,Registre!$B$3:$B$15000,"juin",Registre!$C$3:$C$15000,2026)</f>
        <v>0</v>
      </c>
    </row>
    <row r="163" spans="1:4" x14ac:dyDescent="0.25">
      <c r="A163" s="11">
        <v>8</v>
      </c>
      <c r="B163" s="11" t="s">
        <v>20</v>
      </c>
      <c r="C163" s="11">
        <v>2026</v>
      </c>
      <c r="D163" s="41">
        <f>SUMIFS(Registre!$P$3:$P$15000,Registre!$A$3:$A$15000,8,Registre!$B$3:$B$15000,"juin",Registre!$C$3:$C$15000,2026)</f>
        <v>0</v>
      </c>
    </row>
    <row r="164" spans="1:4" x14ac:dyDescent="0.25">
      <c r="A164" s="11">
        <v>9</v>
      </c>
      <c r="B164" s="11" t="s">
        <v>20</v>
      </c>
      <c r="C164" s="11">
        <v>2026</v>
      </c>
      <c r="D164" s="41">
        <f>SUMIFS(Registre!$P$3:$P$15000,Registre!$A$3:$A$15000,9,Registre!$B$3:$B$15000,"juin",Registre!$C$3:$C$15000,2026)</f>
        <v>0</v>
      </c>
    </row>
    <row r="165" spans="1:4" x14ac:dyDescent="0.25">
      <c r="A165" s="11">
        <v>10</v>
      </c>
      <c r="B165" s="11" t="s">
        <v>20</v>
      </c>
      <c r="C165" s="11">
        <v>2026</v>
      </c>
      <c r="D165" s="41">
        <f>SUMIFS(Registre!$P$3:$P$15000,Registre!$A$3:$A$15000,10,Registre!$B$3:$B$15000,"juin",Registre!$C$3:$C$15000,2026)</f>
        <v>0</v>
      </c>
    </row>
    <row r="166" spans="1:4" x14ac:dyDescent="0.25">
      <c r="A166" s="11">
        <v>11</v>
      </c>
      <c r="B166" s="11" t="s">
        <v>20</v>
      </c>
      <c r="C166" s="11">
        <v>2026</v>
      </c>
      <c r="D166" s="41">
        <f>SUMIFS(Registre!$P$3:$P$15000,Registre!$A$3:$A$15000,11,Registre!$B$3:$B$15000,"juin",Registre!$C$3:$C$15000,2026)</f>
        <v>0</v>
      </c>
    </row>
    <row r="167" spans="1:4" x14ac:dyDescent="0.25">
      <c r="A167" s="11">
        <v>12</v>
      </c>
      <c r="B167" s="11" t="s">
        <v>20</v>
      </c>
      <c r="C167" s="11">
        <v>2026</v>
      </c>
      <c r="D167" s="41">
        <f>SUMIFS(Registre!$P$3:$P$15000,Registre!$A$3:$A$15000,12,Registre!$B$3:$B$15000,"juin",Registre!$C$3:$C$15000,2026)</f>
        <v>0</v>
      </c>
    </row>
    <row r="168" spans="1:4" x14ac:dyDescent="0.25">
      <c r="A168" s="11">
        <v>13</v>
      </c>
      <c r="B168" s="11" t="s">
        <v>20</v>
      </c>
      <c r="C168" s="11">
        <v>2026</v>
      </c>
      <c r="D168" s="41">
        <f>SUMIFS(Registre!$P$3:$P$15000,Registre!$A$3:$A$15000,13,Registre!$B$3:$B$15000,"juin",Registre!$C$3:$C$15000,2026)</f>
        <v>0</v>
      </c>
    </row>
    <row r="169" spans="1:4" x14ac:dyDescent="0.25">
      <c r="A169" s="11">
        <v>14</v>
      </c>
      <c r="B169" s="11" t="s">
        <v>20</v>
      </c>
      <c r="C169" s="11">
        <v>2026</v>
      </c>
      <c r="D169" s="41">
        <f>SUMIFS(Registre!$P$3:$P$15000,Registre!$A$3:$A$15000,14,Registre!$B$3:$B$15000,"juin",Registre!$C$3:$C$15000,2026)</f>
        <v>0</v>
      </c>
    </row>
    <row r="170" spans="1:4" x14ac:dyDescent="0.25">
      <c r="A170" s="11">
        <v>15</v>
      </c>
      <c r="B170" s="11" t="s">
        <v>20</v>
      </c>
      <c r="C170" s="11">
        <v>2026</v>
      </c>
      <c r="D170" s="41">
        <f>SUMIFS(Registre!$P$3:$P$15000,Registre!$A$3:$A$15000,15,Registre!$B$3:$B$15000,"juin",Registre!$C$3:$C$15000,2026)</f>
        <v>0</v>
      </c>
    </row>
    <row r="171" spans="1:4" x14ac:dyDescent="0.25">
      <c r="A171" s="11">
        <v>16</v>
      </c>
      <c r="B171" s="11" t="s">
        <v>20</v>
      </c>
      <c r="C171" s="11">
        <v>2026</v>
      </c>
      <c r="D171" s="41">
        <f>SUMIFS(Registre!$P$3:$P$15000,Registre!$A$3:$A$15000,16,Registre!$B$3:$B$15000,"juin",Registre!$C$3:$C$15000,2026)</f>
        <v>0</v>
      </c>
    </row>
    <row r="172" spans="1:4" x14ac:dyDescent="0.25">
      <c r="A172" s="11">
        <v>17</v>
      </c>
      <c r="B172" s="11" t="s">
        <v>20</v>
      </c>
      <c r="C172" s="11">
        <v>2026</v>
      </c>
      <c r="D172" s="41">
        <f>SUMIFS(Registre!$P$3:$P$15000,Registre!$A$3:$A$15000,17,Registre!$B$3:$B$15000,"juin",Registre!$C$3:$C$15000,2026)</f>
        <v>0</v>
      </c>
    </row>
    <row r="173" spans="1:4" x14ac:dyDescent="0.25">
      <c r="A173" s="11">
        <v>18</v>
      </c>
      <c r="B173" s="11" t="s">
        <v>20</v>
      </c>
      <c r="C173" s="11">
        <v>2026</v>
      </c>
      <c r="D173" s="41">
        <f>SUMIFS(Registre!$P$3:$P$15000,Registre!$A$3:$A$15000,18,Registre!$B$3:$B$15000,"juin",Registre!$C$3:$C$15000,2026)</f>
        <v>0</v>
      </c>
    </row>
    <row r="174" spans="1:4" x14ac:dyDescent="0.25">
      <c r="A174" s="11">
        <v>19</v>
      </c>
      <c r="B174" s="11" t="s">
        <v>20</v>
      </c>
      <c r="C174" s="11">
        <v>2026</v>
      </c>
      <c r="D174" s="41">
        <f>SUMIFS(Registre!$P$3:$P$15000,Registre!$A$3:$A$15000,19,Registre!$B$3:$B$15000,"juin",Registre!$C$3:$C$15000,2026)</f>
        <v>0</v>
      </c>
    </row>
    <row r="175" spans="1:4" x14ac:dyDescent="0.25">
      <c r="A175" s="11">
        <v>20</v>
      </c>
      <c r="B175" s="11" t="s">
        <v>20</v>
      </c>
      <c r="C175" s="11">
        <v>2026</v>
      </c>
      <c r="D175" s="41">
        <f>SUMIFS(Registre!$P$3:$P$15000,Registre!$A$3:$A$15000,20,Registre!$B$3:$B$15000,"juin",Registre!$C$3:$C$15000,2026)</f>
        <v>0</v>
      </c>
    </row>
    <row r="176" spans="1:4" x14ac:dyDescent="0.25">
      <c r="A176" s="11">
        <v>21</v>
      </c>
      <c r="B176" s="11" t="s">
        <v>20</v>
      </c>
      <c r="C176" s="11">
        <v>2026</v>
      </c>
      <c r="D176" s="41">
        <f>SUMIFS(Registre!$P$3:$P$15000,Registre!$A$3:$A$15000,21,Registre!$B$3:$B$15000,"juin",Registre!$C$3:$C$15000,2026)</f>
        <v>0</v>
      </c>
    </row>
    <row r="177" spans="1:4" x14ac:dyDescent="0.25">
      <c r="A177" s="11">
        <v>22</v>
      </c>
      <c r="B177" s="11" t="s">
        <v>20</v>
      </c>
      <c r="C177" s="11">
        <v>2026</v>
      </c>
      <c r="D177" s="41">
        <f>SUMIFS(Registre!$P$3:$P$15000,Registre!$A$3:$A$15000,22,Registre!$B$3:$B$15000,"juin",Registre!$C$3:$C$15000,2026)</f>
        <v>0</v>
      </c>
    </row>
    <row r="178" spans="1:4" x14ac:dyDescent="0.25">
      <c r="A178" s="11">
        <v>23</v>
      </c>
      <c r="B178" s="11" t="s">
        <v>20</v>
      </c>
      <c r="C178" s="11">
        <v>2026</v>
      </c>
      <c r="D178" s="41">
        <f>SUMIFS(Registre!$P$3:$P$15000,Registre!$A$3:$A$15000,23,Registre!$B$3:$B$15000,"juin",Registre!$C$3:$C$15000,2026)</f>
        <v>0</v>
      </c>
    </row>
    <row r="179" spans="1:4" x14ac:dyDescent="0.25">
      <c r="A179" s="11">
        <v>24</v>
      </c>
      <c r="B179" s="11" t="s">
        <v>20</v>
      </c>
      <c r="C179" s="11">
        <v>2026</v>
      </c>
      <c r="D179" s="41">
        <f>SUMIFS(Registre!$P$3:$P$15000,Registre!$A$3:$A$15000,24,Registre!$B$3:$B$15000,"juin",Registre!$C$3:$C$15000,2026)</f>
        <v>0</v>
      </c>
    </row>
    <row r="180" spans="1:4" x14ac:dyDescent="0.25">
      <c r="A180" s="11">
        <v>25</v>
      </c>
      <c r="B180" s="11" t="s">
        <v>20</v>
      </c>
      <c r="C180" s="11">
        <v>2026</v>
      </c>
      <c r="D180" s="41">
        <f>SUMIFS(Registre!$P$3:$P$15000,Registre!$A$3:$A$15000,25,Registre!$B$3:$B$15000,"juin",Registre!$C$3:$C$15000,2026)</f>
        <v>0</v>
      </c>
    </row>
    <row r="181" spans="1:4" x14ac:dyDescent="0.25">
      <c r="A181" s="11">
        <v>26</v>
      </c>
      <c r="B181" s="11" t="s">
        <v>20</v>
      </c>
      <c r="C181" s="11">
        <v>2026</v>
      </c>
      <c r="D181" s="41">
        <f>SUMIFS(Registre!$P$3:$P$15000,Registre!$A$3:$A$15000,26,Registre!$B$3:$B$15000,"juin",Registre!$C$3:$C$15000,2026)</f>
        <v>0</v>
      </c>
    </row>
    <row r="182" spans="1:4" x14ac:dyDescent="0.25">
      <c r="A182" s="11">
        <v>27</v>
      </c>
      <c r="B182" s="11" t="s">
        <v>20</v>
      </c>
      <c r="C182" s="11">
        <v>2026</v>
      </c>
      <c r="D182" s="41">
        <f>SUMIFS(Registre!$P$3:$P$15000,Registre!$A$3:$A$15000,27,Registre!$B$3:$B$15000,"juin",Registre!$C$3:$C$15000,2026)</f>
        <v>0</v>
      </c>
    </row>
    <row r="183" spans="1:4" x14ac:dyDescent="0.25">
      <c r="A183" s="11">
        <v>28</v>
      </c>
      <c r="B183" s="11" t="s">
        <v>20</v>
      </c>
      <c r="C183" s="11">
        <v>2026</v>
      </c>
      <c r="D183" s="41">
        <f>SUMIFS(Registre!$P$3:$P$15000,Registre!$A$3:$A$15000,28,Registre!$B$3:$B$15000,"juin",Registre!$C$3:$C$15000,2026)</f>
        <v>0</v>
      </c>
    </row>
    <row r="184" spans="1:4" x14ac:dyDescent="0.25">
      <c r="A184" s="11">
        <v>29</v>
      </c>
      <c r="B184" s="11" t="s">
        <v>20</v>
      </c>
      <c r="C184" s="11">
        <v>2026</v>
      </c>
      <c r="D184" s="41">
        <f>SUMIFS(Registre!$P$3:$P$15000,Registre!$A$3:$A$15000,29,Registre!$B$3:$B$15000,"juin",Registre!$C$3:$C$15000,2026)</f>
        <v>0</v>
      </c>
    </row>
    <row r="185" spans="1:4" x14ac:dyDescent="0.25">
      <c r="A185" s="11">
        <v>30</v>
      </c>
      <c r="B185" s="11" t="s">
        <v>20</v>
      </c>
      <c r="C185" s="11">
        <v>2026</v>
      </c>
      <c r="D185" s="41">
        <f>SUMIFS(Registre!$P$3:$P$15000,Registre!$A$3:$A$15000,30,Registre!$B$3:$B$15000,"juin",Registre!$C$3:$C$15000,2026)</f>
        <v>0</v>
      </c>
    </row>
    <row r="186" spans="1:4" x14ac:dyDescent="0.25">
      <c r="A186" s="10">
        <v>1</v>
      </c>
      <c r="B186" s="10" t="s">
        <v>21</v>
      </c>
      <c r="C186" s="10">
        <v>2026</v>
      </c>
      <c r="D186" s="40">
        <f>SUMIFS(Registre!$P$3:$P$15000,Registre!$A$3:$A$15000,1,Registre!$B$3:$B$15000,"juillet",Registre!$C$3:$C$15000,2026)</f>
        <v>0</v>
      </c>
    </row>
    <row r="187" spans="1:4" x14ac:dyDescent="0.25">
      <c r="A187" s="10">
        <v>2</v>
      </c>
      <c r="B187" s="10" t="s">
        <v>21</v>
      </c>
      <c r="C187" s="10">
        <v>2026</v>
      </c>
      <c r="D187" s="40">
        <f>SUMIFS(Registre!$P$3:$P$15000,Registre!$A$3:$A$15000,2,Registre!$B$3:$B$15000,"juillet",Registre!$C$3:$C$15000,2026)</f>
        <v>0</v>
      </c>
    </row>
    <row r="188" spans="1:4" x14ac:dyDescent="0.25">
      <c r="A188" s="10">
        <v>3</v>
      </c>
      <c r="B188" s="10" t="s">
        <v>21</v>
      </c>
      <c r="C188" s="10">
        <v>2026</v>
      </c>
      <c r="D188" s="40">
        <f>SUMIFS(Registre!$P$3:$P$15000,Registre!$A$3:$A$15000,3,Registre!$B$3:$B$15000,"juillet",Registre!$C$3:$C$15000,2026)</f>
        <v>0</v>
      </c>
    </row>
    <row r="189" spans="1:4" x14ac:dyDescent="0.25">
      <c r="A189" s="10">
        <v>4</v>
      </c>
      <c r="B189" s="10" t="s">
        <v>21</v>
      </c>
      <c r="C189" s="10">
        <v>2026</v>
      </c>
      <c r="D189" s="40">
        <f>SUMIFS(Registre!$P$3:$P$15000,Registre!$A$3:$A$15000,4,Registre!$B$3:$B$15000,"juillet",Registre!$C$3:$C$15000,2026)</f>
        <v>0</v>
      </c>
    </row>
    <row r="190" spans="1:4" x14ac:dyDescent="0.25">
      <c r="A190" s="10">
        <v>5</v>
      </c>
      <c r="B190" s="10" t="s">
        <v>21</v>
      </c>
      <c r="C190" s="10">
        <v>2026</v>
      </c>
      <c r="D190" s="40">
        <f>SUMIFS(Registre!$P$3:$P$15000,Registre!$A$3:$A$15000,5,Registre!$B$3:$B$15000,"juillet",Registre!$C$3:$C$15000,2026)</f>
        <v>0</v>
      </c>
    </row>
    <row r="191" spans="1:4" x14ac:dyDescent="0.25">
      <c r="A191" s="10">
        <v>6</v>
      </c>
      <c r="B191" s="10" t="s">
        <v>21</v>
      </c>
      <c r="C191" s="10">
        <v>2026</v>
      </c>
      <c r="D191" s="40">
        <f>SUMIFS(Registre!$P$3:$P$15000,Registre!$A$3:$A$15000,6,Registre!$B$3:$B$15000,"juillet",Registre!$C$3:$C$15000,2026)</f>
        <v>0</v>
      </c>
    </row>
    <row r="192" spans="1:4" x14ac:dyDescent="0.25">
      <c r="A192" s="10">
        <v>7</v>
      </c>
      <c r="B192" s="10" t="s">
        <v>21</v>
      </c>
      <c r="C192" s="10">
        <v>2026</v>
      </c>
      <c r="D192" s="40">
        <f>SUMIFS(Registre!$P$3:$P$15000,Registre!$A$3:$A$15000,7,Registre!$B$3:$B$15000,"juillet",Registre!$C$3:$C$15000,2026)</f>
        <v>0</v>
      </c>
    </row>
    <row r="193" spans="1:4" x14ac:dyDescent="0.25">
      <c r="A193" s="10">
        <v>8</v>
      </c>
      <c r="B193" s="10" t="s">
        <v>21</v>
      </c>
      <c r="C193" s="10">
        <v>2026</v>
      </c>
      <c r="D193" s="40">
        <f>SUMIFS(Registre!$P$3:$P$15000,Registre!$A$3:$A$15000,8,Registre!$B$3:$B$15000,"juillet",Registre!$C$3:$C$15000,2026)</f>
        <v>0</v>
      </c>
    </row>
    <row r="194" spans="1:4" x14ac:dyDescent="0.25">
      <c r="A194" s="10">
        <v>9</v>
      </c>
      <c r="B194" s="10" t="s">
        <v>21</v>
      </c>
      <c r="C194" s="10">
        <v>2026</v>
      </c>
      <c r="D194" s="40">
        <f>SUMIFS(Registre!$P$3:$P$15000,Registre!$A$3:$A$15000,9,Registre!$B$3:$B$15000,"juillet",Registre!$C$3:$C$15000,2026)</f>
        <v>0</v>
      </c>
    </row>
    <row r="195" spans="1:4" x14ac:dyDescent="0.25">
      <c r="A195" s="10">
        <v>10</v>
      </c>
      <c r="B195" s="10" t="s">
        <v>21</v>
      </c>
      <c r="C195" s="10">
        <v>2026</v>
      </c>
      <c r="D195" s="40">
        <f>SUMIFS(Registre!$P$3:$P$15000,Registre!$A$3:$A$15000,10,Registre!$B$3:$B$15000,"juillet",Registre!$C$3:$C$15000,2026)</f>
        <v>0</v>
      </c>
    </row>
    <row r="196" spans="1:4" x14ac:dyDescent="0.25">
      <c r="A196" s="10">
        <v>11</v>
      </c>
      <c r="B196" s="10" t="s">
        <v>21</v>
      </c>
      <c r="C196" s="10">
        <v>2026</v>
      </c>
      <c r="D196" s="40">
        <f>SUMIFS(Registre!$P$3:$P$15000,Registre!$A$3:$A$15000,11,Registre!$B$3:$B$15000,"juillet",Registre!$C$3:$C$15000,2026)</f>
        <v>0</v>
      </c>
    </row>
    <row r="197" spans="1:4" x14ac:dyDescent="0.25">
      <c r="A197" s="10">
        <v>12</v>
      </c>
      <c r="B197" s="10" t="s">
        <v>21</v>
      </c>
      <c r="C197" s="10">
        <v>2026</v>
      </c>
      <c r="D197" s="40">
        <f>SUMIFS(Registre!$P$3:$P$15000,Registre!$A$3:$A$15000,12,Registre!$B$3:$B$15000,"juillet",Registre!$C$3:$C$15000,2026)</f>
        <v>0</v>
      </c>
    </row>
    <row r="198" spans="1:4" x14ac:dyDescent="0.25">
      <c r="A198" s="10">
        <v>13</v>
      </c>
      <c r="B198" s="10" t="s">
        <v>21</v>
      </c>
      <c r="C198" s="10">
        <v>2026</v>
      </c>
      <c r="D198" s="40">
        <f>SUMIFS(Registre!$P$3:$P$15000,Registre!$A$3:$A$15000,13,Registre!$B$3:$B$15000,"juillet",Registre!$C$3:$C$15000,2026)</f>
        <v>0</v>
      </c>
    </row>
    <row r="199" spans="1:4" x14ac:dyDescent="0.25">
      <c r="A199" s="10">
        <v>14</v>
      </c>
      <c r="B199" s="10" t="s">
        <v>21</v>
      </c>
      <c r="C199" s="10">
        <v>2026</v>
      </c>
      <c r="D199" s="40">
        <f>SUMIFS(Registre!$P$3:$P$15000,Registre!$A$3:$A$15000,14,Registre!$B$3:$B$15000,"juillet",Registre!$C$3:$C$15000,2026)</f>
        <v>0</v>
      </c>
    </row>
    <row r="200" spans="1:4" x14ac:dyDescent="0.25">
      <c r="A200" s="10">
        <v>15</v>
      </c>
      <c r="B200" s="10" t="s">
        <v>21</v>
      </c>
      <c r="C200" s="10">
        <v>2026</v>
      </c>
      <c r="D200" s="40">
        <f>SUMIFS(Registre!$P$3:$P$15000,Registre!$A$3:$A$15000,15,Registre!$B$3:$B$15000,"juillet",Registre!$C$3:$C$15000,2026)</f>
        <v>0</v>
      </c>
    </row>
    <row r="201" spans="1:4" x14ac:dyDescent="0.25">
      <c r="A201" s="10">
        <v>16</v>
      </c>
      <c r="B201" s="10" t="s">
        <v>21</v>
      </c>
      <c r="C201" s="10">
        <v>2026</v>
      </c>
      <c r="D201" s="40">
        <f>SUMIFS(Registre!$P$3:$P$15000,Registre!$A$3:$A$15000,16,Registre!$B$3:$B$15000,"juillet",Registre!$C$3:$C$15000,2026)</f>
        <v>0</v>
      </c>
    </row>
    <row r="202" spans="1:4" x14ac:dyDescent="0.25">
      <c r="A202" s="10">
        <v>17</v>
      </c>
      <c r="B202" s="10" t="s">
        <v>21</v>
      </c>
      <c r="C202" s="10">
        <v>2026</v>
      </c>
      <c r="D202" s="40">
        <f>SUMIFS(Registre!$P$3:$P$15000,Registre!$A$3:$A$15000,17,Registre!$B$3:$B$15000,"juillet",Registre!$C$3:$C$15000,2026)</f>
        <v>0</v>
      </c>
    </row>
    <row r="203" spans="1:4" x14ac:dyDescent="0.25">
      <c r="A203" s="10">
        <v>18</v>
      </c>
      <c r="B203" s="10" t="s">
        <v>21</v>
      </c>
      <c r="C203" s="10">
        <v>2026</v>
      </c>
      <c r="D203" s="40">
        <f>SUMIFS(Registre!$P$3:$P$15000,Registre!$A$3:$A$15000,18,Registre!$B$3:$B$15000,"juillet",Registre!$C$3:$C$15000,2026)</f>
        <v>0</v>
      </c>
    </row>
    <row r="204" spans="1:4" x14ac:dyDescent="0.25">
      <c r="A204" s="10">
        <v>19</v>
      </c>
      <c r="B204" s="10" t="s">
        <v>21</v>
      </c>
      <c r="C204" s="10">
        <v>2026</v>
      </c>
      <c r="D204" s="40">
        <f>SUMIFS(Registre!$P$3:$P$15000,Registre!$A$3:$A$15000,19,Registre!$B$3:$B$15000,"juillet",Registre!$C$3:$C$15000,2026)</f>
        <v>0</v>
      </c>
    </row>
    <row r="205" spans="1:4" x14ac:dyDescent="0.25">
      <c r="A205" s="10">
        <v>20</v>
      </c>
      <c r="B205" s="10" t="s">
        <v>21</v>
      </c>
      <c r="C205" s="10">
        <v>2026</v>
      </c>
      <c r="D205" s="40">
        <f>SUMIFS(Registre!$P$3:$P$15000,Registre!$A$3:$A$15000,20,Registre!$B$3:$B$15000,"juillet",Registre!$C$3:$C$15000,2026)</f>
        <v>0</v>
      </c>
    </row>
    <row r="206" spans="1:4" x14ac:dyDescent="0.25">
      <c r="A206" s="10">
        <v>21</v>
      </c>
      <c r="B206" s="10" t="s">
        <v>21</v>
      </c>
      <c r="C206" s="10">
        <v>2026</v>
      </c>
      <c r="D206" s="40">
        <f>SUMIFS(Registre!$P$3:$P$15000,Registre!$A$3:$A$15000,21,Registre!$B$3:$B$15000,"juillet",Registre!$C$3:$C$15000,2026)</f>
        <v>0</v>
      </c>
    </row>
    <row r="207" spans="1:4" x14ac:dyDescent="0.25">
      <c r="A207" s="10">
        <v>22</v>
      </c>
      <c r="B207" s="10" t="s">
        <v>21</v>
      </c>
      <c r="C207" s="10">
        <v>2026</v>
      </c>
      <c r="D207" s="40">
        <f>SUMIFS(Registre!$P$3:$P$15000,Registre!$A$3:$A$15000,22,Registre!$B$3:$B$15000,"juillet",Registre!$C$3:$C$15000,2026)</f>
        <v>0</v>
      </c>
    </row>
    <row r="208" spans="1:4" x14ac:dyDescent="0.25">
      <c r="A208" s="10">
        <v>23</v>
      </c>
      <c r="B208" s="10" t="s">
        <v>21</v>
      </c>
      <c r="C208" s="10">
        <v>2026</v>
      </c>
      <c r="D208" s="40">
        <f>SUMIFS(Registre!$P$3:$P$15000,Registre!$A$3:$A$15000,23,Registre!$B$3:$B$15000,"juillet",Registre!$C$3:$C$15000,2026)</f>
        <v>0</v>
      </c>
    </row>
    <row r="209" spans="1:4" x14ac:dyDescent="0.25">
      <c r="A209" s="10">
        <v>24</v>
      </c>
      <c r="B209" s="10" t="s">
        <v>21</v>
      </c>
      <c r="C209" s="10">
        <v>2026</v>
      </c>
      <c r="D209" s="40">
        <f>SUMIFS(Registre!$P$3:$P$15000,Registre!$A$3:$A$15000,24,Registre!$B$3:$B$15000,"juillet",Registre!$C$3:$C$15000,2026)</f>
        <v>0</v>
      </c>
    </row>
    <row r="210" spans="1:4" x14ac:dyDescent="0.25">
      <c r="A210" s="10">
        <v>25</v>
      </c>
      <c r="B210" s="10" t="s">
        <v>21</v>
      </c>
      <c r="C210" s="10">
        <v>2026</v>
      </c>
      <c r="D210" s="40">
        <f>SUMIFS(Registre!$P$3:$P$15000,Registre!$A$3:$A$15000,25,Registre!$B$3:$B$15000,"juillet",Registre!$C$3:$C$15000,2026)</f>
        <v>0</v>
      </c>
    </row>
    <row r="211" spans="1:4" x14ac:dyDescent="0.25">
      <c r="A211" s="10">
        <v>26</v>
      </c>
      <c r="B211" s="10" t="s">
        <v>21</v>
      </c>
      <c r="C211" s="10">
        <v>2026</v>
      </c>
      <c r="D211" s="40">
        <f>SUMIFS(Registre!$P$3:$P$15000,Registre!$A$3:$A$15000,26,Registre!$B$3:$B$15000,"juillet",Registre!$C$3:$C$15000,2026)</f>
        <v>0</v>
      </c>
    </row>
    <row r="212" spans="1:4" x14ac:dyDescent="0.25">
      <c r="A212" s="10">
        <v>27</v>
      </c>
      <c r="B212" s="10" t="s">
        <v>21</v>
      </c>
      <c r="C212" s="10">
        <v>2026</v>
      </c>
      <c r="D212" s="40">
        <f>SUMIFS(Registre!$P$3:$P$15000,Registre!$A$3:$A$15000,27,Registre!$B$3:$B$15000,"juillet",Registre!$C$3:$C$15000,2026)</f>
        <v>0</v>
      </c>
    </row>
    <row r="213" spans="1:4" x14ac:dyDescent="0.25">
      <c r="A213" s="10">
        <v>28</v>
      </c>
      <c r="B213" s="10" t="s">
        <v>21</v>
      </c>
      <c r="C213" s="10">
        <v>2026</v>
      </c>
      <c r="D213" s="40">
        <f>SUMIFS(Registre!$P$3:$P$15000,Registre!$A$3:$A$15000,28,Registre!$B$3:$B$15000,"juillet",Registre!$C$3:$C$15000,2026)</f>
        <v>0</v>
      </c>
    </row>
    <row r="214" spans="1:4" x14ac:dyDescent="0.25">
      <c r="A214" s="10">
        <v>29</v>
      </c>
      <c r="B214" s="10" t="s">
        <v>21</v>
      </c>
      <c r="C214" s="10">
        <v>2026</v>
      </c>
      <c r="D214" s="40">
        <f>SUMIFS(Registre!$P$3:$P$15000,Registre!$A$3:$A$15000,29,Registre!$B$3:$B$15000,"juillet",Registre!$C$3:$C$15000,2026)</f>
        <v>0</v>
      </c>
    </row>
    <row r="215" spans="1:4" x14ac:dyDescent="0.25">
      <c r="A215" s="10">
        <v>30</v>
      </c>
      <c r="B215" s="10" t="s">
        <v>21</v>
      </c>
      <c r="C215" s="10">
        <v>2026</v>
      </c>
      <c r="D215" s="40">
        <f>SUMIFS(Registre!$P$3:$P$15000,Registre!$A$3:$A$15000,30,Registre!$B$3:$B$15000,"juillet",Registre!$C$3:$C$15000,2026)</f>
        <v>0</v>
      </c>
    </row>
    <row r="216" spans="1:4" x14ac:dyDescent="0.25">
      <c r="A216" s="10">
        <v>31</v>
      </c>
      <c r="B216" s="10" t="s">
        <v>21</v>
      </c>
      <c r="C216" s="10">
        <v>2026</v>
      </c>
      <c r="D216" s="40">
        <f>SUMIFS(Registre!$P$3:$P$15000,Registre!$A$3:$A$15000,31,Registre!$B$3:$B$15000,"juillet",Registre!$C$3:$C$15000,2026)</f>
        <v>0</v>
      </c>
    </row>
    <row r="217" spans="1:4" x14ac:dyDescent="0.25">
      <c r="A217" s="11">
        <v>1</v>
      </c>
      <c r="B217" s="11" t="s">
        <v>22</v>
      </c>
      <c r="C217" s="11">
        <v>2026</v>
      </c>
      <c r="D217" s="41">
        <f>SUMIFS(Registre!$P$3:$P$15000,Registre!$A$3:$A$15000,1,Registre!$B$3:$B$15000,"août",Registre!$C$3:$C$15000,2026)</f>
        <v>0</v>
      </c>
    </row>
    <row r="218" spans="1:4" x14ac:dyDescent="0.25">
      <c r="A218" s="11">
        <v>2</v>
      </c>
      <c r="B218" s="11" t="s">
        <v>22</v>
      </c>
      <c r="C218" s="11">
        <v>2026</v>
      </c>
      <c r="D218" s="41">
        <f>SUMIFS(Registre!$P$3:$P$15000,Registre!$A$3:$A$15000,2,Registre!$B$3:$B$15000,"août",Registre!$C$3:$C$15000,2026)</f>
        <v>0</v>
      </c>
    </row>
    <row r="219" spans="1:4" x14ac:dyDescent="0.25">
      <c r="A219" s="11">
        <v>3</v>
      </c>
      <c r="B219" s="11" t="s">
        <v>22</v>
      </c>
      <c r="C219" s="11">
        <v>2026</v>
      </c>
      <c r="D219" s="41">
        <f>SUMIFS(Registre!$P$3:$P$15000,Registre!$A$3:$A$15000,3,Registre!$B$3:$B$15000,"août",Registre!$C$3:$C$15000,2026)</f>
        <v>0</v>
      </c>
    </row>
    <row r="220" spans="1:4" x14ac:dyDescent="0.25">
      <c r="A220" s="11">
        <v>4</v>
      </c>
      <c r="B220" s="11" t="s">
        <v>22</v>
      </c>
      <c r="C220" s="11">
        <v>2026</v>
      </c>
      <c r="D220" s="41">
        <f>SUMIFS(Registre!$P$3:$P$15000,Registre!$A$3:$A$15000,4,Registre!$B$3:$B$15000,"août",Registre!$C$3:$C$15000,2026)</f>
        <v>0</v>
      </c>
    </row>
    <row r="221" spans="1:4" x14ac:dyDescent="0.25">
      <c r="A221" s="11">
        <v>5</v>
      </c>
      <c r="B221" s="11" t="s">
        <v>22</v>
      </c>
      <c r="C221" s="11">
        <v>2026</v>
      </c>
      <c r="D221" s="41">
        <f>SUMIFS(Registre!$P$3:$P$15000,Registre!$A$3:$A$15000,5,Registre!$B$3:$B$15000,"août",Registre!$C$3:$C$15000,2026)</f>
        <v>0</v>
      </c>
    </row>
    <row r="222" spans="1:4" x14ac:dyDescent="0.25">
      <c r="A222" s="11">
        <v>6</v>
      </c>
      <c r="B222" s="11" t="s">
        <v>22</v>
      </c>
      <c r="C222" s="11">
        <v>2026</v>
      </c>
      <c r="D222" s="41">
        <f>SUMIFS(Registre!$P$3:$P$15000,Registre!$A$3:$A$15000,6,Registre!$B$3:$B$15000,"août",Registre!$C$3:$C$15000,2026)</f>
        <v>0</v>
      </c>
    </row>
    <row r="223" spans="1:4" x14ac:dyDescent="0.25">
      <c r="A223" s="11">
        <v>7</v>
      </c>
      <c r="B223" s="11" t="s">
        <v>22</v>
      </c>
      <c r="C223" s="11">
        <v>2026</v>
      </c>
      <c r="D223" s="41">
        <f>SUMIFS(Registre!$P$3:$P$15000,Registre!$A$3:$A$15000,7,Registre!$B$3:$B$15000,"août",Registre!$C$3:$C$15000,2026)</f>
        <v>0</v>
      </c>
    </row>
    <row r="224" spans="1:4" x14ac:dyDescent="0.25">
      <c r="A224" s="11">
        <v>8</v>
      </c>
      <c r="B224" s="11" t="s">
        <v>22</v>
      </c>
      <c r="C224" s="11">
        <v>2026</v>
      </c>
      <c r="D224" s="41">
        <f>SUMIFS(Registre!$P$3:$P$15000,Registre!$A$3:$A$15000,8,Registre!$B$3:$B$15000,"août",Registre!$C$3:$C$15000,2026)</f>
        <v>0</v>
      </c>
    </row>
    <row r="225" spans="1:4" x14ac:dyDescent="0.25">
      <c r="A225" s="11">
        <v>9</v>
      </c>
      <c r="B225" s="11" t="s">
        <v>22</v>
      </c>
      <c r="C225" s="11">
        <v>2026</v>
      </c>
      <c r="D225" s="41">
        <f>SUMIFS(Registre!$P$3:$P$15000,Registre!$A$3:$A$15000,9,Registre!$B$3:$B$15000,"août",Registre!$C$3:$C$15000,2026)</f>
        <v>0</v>
      </c>
    </row>
    <row r="226" spans="1:4" x14ac:dyDescent="0.25">
      <c r="A226" s="11">
        <v>10</v>
      </c>
      <c r="B226" s="11" t="s">
        <v>22</v>
      </c>
      <c r="C226" s="11">
        <v>2026</v>
      </c>
      <c r="D226" s="41">
        <f>SUMIFS(Registre!$P$3:$P$15000,Registre!$A$3:$A$15000,10,Registre!$B$3:$B$15000,"août",Registre!$C$3:$C$15000,2026)</f>
        <v>0</v>
      </c>
    </row>
    <row r="227" spans="1:4" x14ac:dyDescent="0.25">
      <c r="A227" s="11">
        <v>11</v>
      </c>
      <c r="B227" s="11" t="s">
        <v>22</v>
      </c>
      <c r="C227" s="11">
        <v>2026</v>
      </c>
      <c r="D227" s="41">
        <f>SUMIFS(Registre!$P$3:$P$15000,Registre!$A$3:$A$15000,11,Registre!$B$3:$B$15000,"août",Registre!$C$3:$C$15000,2026)</f>
        <v>0</v>
      </c>
    </row>
    <row r="228" spans="1:4" x14ac:dyDescent="0.25">
      <c r="A228" s="11">
        <v>12</v>
      </c>
      <c r="B228" s="11" t="s">
        <v>22</v>
      </c>
      <c r="C228" s="11">
        <v>2026</v>
      </c>
      <c r="D228" s="41">
        <f>SUMIFS(Registre!$P$3:$P$15000,Registre!$A$3:$A$15000,12,Registre!$B$3:$B$15000,"août",Registre!$C$3:$C$15000,2026)</f>
        <v>0</v>
      </c>
    </row>
    <row r="229" spans="1:4" x14ac:dyDescent="0.25">
      <c r="A229" s="11">
        <v>13</v>
      </c>
      <c r="B229" s="11" t="s">
        <v>22</v>
      </c>
      <c r="C229" s="11">
        <v>2026</v>
      </c>
      <c r="D229" s="41">
        <f>SUMIFS(Registre!$P$3:$P$15000,Registre!$A$3:$A$15000,13,Registre!$B$3:$B$15000,"août",Registre!$C$3:$C$15000,2026)</f>
        <v>0</v>
      </c>
    </row>
    <row r="230" spans="1:4" x14ac:dyDescent="0.25">
      <c r="A230" s="11">
        <v>14</v>
      </c>
      <c r="B230" s="11" t="s">
        <v>22</v>
      </c>
      <c r="C230" s="11">
        <v>2026</v>
      </c>
      <c r="D230" s="41">
        <f>SUMIFS(Registre!$P$3:$P$15000,Registre!$A$3:$A$15000,14,Registre!$B$3:$B$15000,"août",Registre!$C$3:$C$15000,2026)</f>
        <v>0</v>
      </c>
    </row>
    <row r="231" spans="1:4" x14ac:dyDescent="0.25">
      <c r="A231" s="11">
        <v>15</v>
      </c>
      <c r="B231" s="11" t="s">
        <v>22</v>
      </c>
      <c r="C231" s="11">
        <v>2026</v>
      </c>
      <c r="D231" s="41">
        <f>SUMIFS(Registre!$P$3:$P$15000,Registre!$A$3:$A$15000,15,Registre!$B$3:$B$15000,"août",Registre!$C$3:$C$15000,2026)</f>
        <v>0</v>
      </c>
    </row>
    <row r="232" spans="1:4" x14ac:dyDescent="0.25">
      <c r="A232" s="11">
        <v>16</v>
      </c>
      <c r="B232" s="11" t="s">
        <v>22</v>
      </c>
      <c r="C232" s="11">
        <v>2026</v>
      </c>
      <c r="D232" s="41">
        <f>SUMIFS(Registre!$P$3:$P$15000,Registre!$A$3:$A$15000,16,Registre!$B$3:$B$15000,"août",Registre!$C$3:$C$15000,2026)</f>
        <v>0</v>
      </c>
    </row>
    <row r="233" spans="1:4" x14ac:dyDescent="0.25">
      <c r="A233" s="11">
        <v>17</v>
      </c>
      <c r="B233" s="11" t="s">
        <v>22</v>
      </c>
      <c r="C233" s="11">
        <v>2026</v>
      </c>
      <c r="D233" s="41">
        <f>SUMIFS(Registre!$P$3:$P$15000,Registre!$A$3:$A$15000,17,Registre!$B$3:$B$15000,"août",Registre!$C$3:$C$15000,2026)</f>
        <v>0</v>
      </c>
    </row>
    <row r="234" spans="1:4" x14ac:dyDescent="0.25">
      <c r="A234" s="11">
        <v>18</v>
      </c>
      <c r="B234" s="11" t="s">
        <v>22</v>
      </c>
      <c r="C234" s="11">
        <v>2026</v>
      </c>
      <c r="D234" s="41">
        <f>SUMIFS(Registre!$P$3:$P$15000,Registre!$A$3:$A$15000,18,Registre!$B$3:$B$15000,"août",Registre!$C$3:$C$15000,2026)</f>
        <v>0</v>
      </c>
    </row>
    <row r="235" spans="1:4" x14ac:dyDescent="0.25">
      <c r="A235" s="11">
        <v>19</v>
      </c>
      <c r="B235" s="11" t="s">
        <v>22</v>
      </c>
      <c r="C235" s="11">
        <v>2026</v>
      </c>
      <c r="D235" s="41">
        <f>SUMIFS(Registre!$P$3:$P$15000,Registre!$A$3:$A$15000,19,Registre!$B$3:$B$15000,"août",Registre!$C$3:$C$15000,2026)</f>
        <v>0</v>
      </c>
    </row>
    <row r="236" spans="1:4" x14ac:dyDescent="0.25">
      <c r="A236" s="11">
        <v>20</v>
      </c>
      <c r="B236" s="11" t="s">
        <v>22</v>
      </c>
      <c r="C236" s="11">
        <v>2026</v>
      </c>
      <c r="D236" s="41">
        <f>SUMIFS(Registre!$P$3:$P$15000,Registre!$A$3:$A$15000,20,Registre!$B$3:$B$15000,"août",Registre!$C$3:$C$15000,2026)</f>
        <v>0</v>
      </c>
    </row>
    <row r="237" spans="1:4" x14ac:dyDescent="0.25">
      <c r="A237" s="11">
        <v>21</v>
      </c>
      <c r="B237" s="11" t="s">
        <v>22</v>
      </c>
      <c r="C237" s="11">
        <v>2026</v>
      </c>
      <c r="D237" s="41">
        <f>SUMIFS(Registre!$P$3:$P$15000,Registre!$A$3:$A$15000,21,Registre!$B$3:$B$15000,"août",Registre!$C$3:$C$15000,2026)</f>
        <v>0</v>
      </c>
    </row>
    <row r="238" spans="1:4" x14ac:dyDescent="0.25">
      <c r="A238" s="11">
        <v>22</v>
      </c>
      <c r="B238" s="11" t="s">
        <v>22</v>
      </c>
      <c r="C238" s="11">
        <v>2026</v>
      </c>
      <c r="D238" s="41">
        <f>SUMIFS(Registre!$P$3:$P$15000,Registre!$A$3:$A$15000,22,Registre!$B$3:$B$15000,"août",Registre!$C$3:$C$15000,2026)</f>
        <v>0</v>
      </c>
    </row>
    <row r="239" spans="1:4" x14ac:dyDescent="0.25">
      <c r="A239" s="11">
        <v>23</v>
      </c>
      <c r="B239" s="11" t="s">
        <v>22</v>
      </c>
      <c r="C239" s="11">
        <v>2026</v>
      </c>
      <c r="D239" s="41">
        <f>SUMIFS(Registre!$P$3:$P$15000,Registre!$A$3:$A$15000,23,Registre!$B$3:$B$15000,"août",Registre!$C$3:$C$15000,2026)</f>
        <v>0</v>
      </c>
    </row>
    <row r="240" spans="1:4" x14ac:dyDescent="0.25">
      <c r="A240" s="11">
        <v>24</v>
      </c>
      <c r="B240" s="11" t="s">
        <v>22</v>
      </c>
      <c r="C240" s="11">
        <v>2026</v>
      </c>
      <c r="D240" s="41">
        <f>SUMIFS(Registre!$P$3:$P$15000,Registre!$A$3:$A$15000,24,Registre!$B$3:$B$15000,"août",Registre!$C$3:$C$15000,2026)</f>
        <v>0</v>
      </c>
    </row>
    <row r="241" spans="1:4" x14ac:dyDescent="0.25">
      <c r="A241" s="11">
        <v>25</v>
      </c>
      <c r="B241" s="11" t="s">
        <v>22</v>
      </c>
      <c r="C241" s="11">
        <v>2026</v>
      </c>
      <c r="D241" s="41">
        <f>SUMIFS(Registre!$P$3:$P$15000,Registre!$A$3:$A$15000,25,Registre!$B$3:$B$15000,"août",Registre!$C$3:$C$15000,2026)</f>
        <v>0</v>
      </c>
    </row>
    <row r="242" spans="1:4" x14ac:dyDescent="0.25">
      <c r="A242" s="11">
        <v>26</v>
      </c>
      <c r="B242" s="11" t="s">
        <v>22</v>
      </c>
      <c r="C242" s="11">
        <v>2026</v>
      </c>
      <c r="D242" s="41">
        <f>SUMIFS(Registre!$P$3:$P$15000,Registre!$A$3:$A$15000,26,Registre!$B$3:$B$15000,"août",Registre!$C$3:$C$15000,2026)</f>
        <v>0</v>
      </c>
    </row>
    <row r="243" spans="1:4" x14ac:dyDescent="0.25">
      <c r="A243" s="11">
        <v>27</v>
      </c>
      <c r="B243" s="11" t="s">
        <v>22</v>
      </c>
      <c r="C243" s="11">
        <v>2026</v>
      </c>
      <c r="D243" s="41">
        <f>SUMIFS(Registre!$P$3:$P$15000,Registre!$A$3:$A$15000,27,Registre!$B$3:$B$15000,"août",Registre!$C$3:$C$15000,2026)</f>
        <v>0</v>
      </c>
    </row>
    <row r="244" spans="1:4" x14ac:dyDescent="0.25">
      <c r="A244" s="11">
        <v>28</v>
      </c>
      <c r="B244" s="11" t="s">
        <v>22</v>
      </c>
      <c r="C244" s="11">
        <v>2026</v>
      </c>
      <c r="D244" s="41">
        <f>SUMIFS(Registre!$P$3:$P$15000,Registre!$A$3:$A$15000,28,Registre!$B$3:$B$15000,"août",Registre!$C$3:$C$15000,2026)</f>
        <v>0</v>
      </c>
    </row>
    <row r="245" spans="1:4" x14ac:dyDescent="0.25">
      <c r="A245" s="11">
        <v>29</v>
      </c>
      <c r="B245" s="11" t="s">
        <v>22</v>
      </c>
      <c r="C245" s="11">
        <v>2026</v>
      </c>
      <c r="D245" s="41">
        <f>SUMIFS(Registre!$P$3:$P$15000,Registre!$A$3:$A$15000,29,Registre!$B$3:$B$15000,"août",Registre!$C$3:$C$15000,2026)</f>
        <v>0</v>
      </c>
    </row>
    <row r="246" spans="1:4" x14ac:dyDescent="0.25">
      <c r="A246" s="11">
        <v>30</v>
      </c>
      <c r="B246" s="11" t="s">
        <v>22</v>
      </c>
      <c r="C246" s="11">
        <v>2026</v>
      </c>
      <c r="D246" s="41">
        <f>SUMIFS(Registre!$P$3:$P$15000,Registre!$A$3:$A$15000,30,Registre!$B$3:$B$15000,"août",Registre!$C$3:$C$15000,2026)</f>
        <v>0</v>
      </c>
    </row>
    <row r="247" spans="1:4" x14ac:dyDescent="0.25">
      <c r="A247" s="11">
        <v>31</v>
      </c>
      <c r="B247" s="11" t="s">
        <v>22</v>
      </c>
      <c r="C247" s="11">
        <v>2026</v>
      </c>
      <c r="D247" s="41">
        <f>SUMIFS(Registre!$P$3:$P$15000,Registre!$A$3:$A$15000,31,Registre!$B$3:$B$15000,"août",Registre!$C$3:$C$15000,2026)</f>
        <v>0</v>
      </c>
    </row>
    <row r="248" spans="1:4" x14ac:dyDescent="0.25">
      <c r="A248" s="10">
        <v>1</v>
      </c>
      <c r="B248" s="10" t="s">
        <v>23</v>
      </c>
      <c r="C248" s="10">
        <v>2026</v>
      </c>
      <c r="D248" s="40">
        <f>SUMIFS(Registre!$P$3:$P$15000,Registre!$A$3:$A$15000,1,Registre!$B$3:$B$15000,"septembre",Registre!$C$3:$C$15000,2026)</f>
        <v>0</v>
      </c>
    </row>
    <row r="249" spans="1:4" x14ac:dyDescent="0.25">
      <c r="A249" s="10">
        <v>2</v>
      </c>
      <c r="B249" s="10" t="s">
        <v>23</v>
      </c>
      <c r="C249" s="10">
        <v>2026</v>
      </c>
      <c r="D249" s="40">
        <f>SUMIFS(Registre!$P$3:$P$15000,Registre!$A$3:$A$15000,2,Registre!$B$3:$B$15000,"septembre",Registre!$C$3:$C$15000,2026)</f>
        <v>0</v>
      </c>
    </row>
    <row r="250" spans="1:4" x14ac:dyDescent="0.25">
      <c r="A250" s="10">
        <v>3</v>
      </c>
      <c r="B250" s="10" t="s">
        <v>23</v>
      </c>
      <c r="C250" s="10">
        <v>2026</v>
      </c>
      <c r="D250" s="40">
        <f>SUMIFS(Registre!$P$3:$P$15000,Registre!$A$3:$A$15000,3,Registre!$B$3:$B$15000,"septembre",Registre!$C$3:$C$15000,2026)</f>
        <v>0</v>
      </c>
    </row>
    <row r="251" spans="1:4" x14ac:dyDescent="0.25">
      <c r="A251" s="10">
        <v>4</v>
      </c>
      <c r="B251" s="10" t="s">
        <v>23</v>
      </c>
      <c r="C251" s="10">
        <v>2026</v>
      </c>
      <c r="D251" s="40">
        <f>SUMIFS(Registre!$P$3:$P$15000,Registre!$A$3:$A$15000,4,Registre!$B$3:$B$15000,"septembre",Registre!$C$3:$C$15000,2026)</f>
        <v>0</v>
      </c>
    </row>
    <row r="252" spans="1:4" x14ac:dyDescent="0.25">
      <c r="A252" s="10">
        <v>5</v>
      </c>
      <c r="B252" s="10" t="s">
        <v>23</v>
      </c>
      <c r="C252" s="10">
        <v>2026</v>
      </c>
      <c r="D252" s="40">
        <f>SUMIFS(Registre!$P$3:$P$15000,Registre!$A$3:$A$15000,5,Registre!$B$3:$B$15000,"septembre",Registre!$C$3:$C$15000,2026)</f>
        <v>0</v>
      </c>
    </row>
    <row r="253" spans="1:4" x14ac:dyDescent="0.25">
      <c r="A253" s="10">
        <v>6</v>
      </c>
      <c r="B253" s="10" t="s">
        <v>23</v>
      </c>
      <c r="C253" s="10">
        <v>2026</v>
      </c>
      <c r="D253" s="40">
        <f>SUMIFS(Registre!$P$3:$P$15000,Registre!$A$3:$A$15000,6,Registre!$B$3:$B$15000,"septembre",Registre!$C$3:$C$15000,2026)</f>
        <v>0</v>
      </c>
    </row>
    <row r="254" spans="1:4" x14ac:dyDescent="0.25">
      <c r="A254" s="10">
        <v>7</v>
      </c>
      <c r="B254" s="10" t="s">
        <v>23</v>
      </c>
      <c r="C254" s="10">
        <v>2026</v>
      </c>
      <c r="D254" s="40">
        <f>SUMIFS(Registre!$P$3:$P$15000,Registre!$A$3:$A$15000,7,Registre!$B$3:$B$15000,"septembre",Registre!$C$3:$C$15000,2026)</f>
        <v>0</v>
      </c>
    </row>
    <row r="255" spans="1:4" x14ac:dyDescent="0.25">
      <c r="A255" s="10">
        <v>8</v>
      </c>
      <c r="B255" s="10" t="s">
        <v>23</v>
      </c>
      <c r="C255" s="10">
        <v>2026</v>
      </c>
      <c r="D255" s="40">
        <f>SUMIFS(Registre!$P$3:$P$15000,Registre!$A$3:$A$15000,8,Registre!$B$3:$B$15000,"septembre",Registre!$C$3:$C$15000,2026)</f>
        <v>0</v>
      </c>
    </row>
    <row r="256" spans="1:4" x14ac:dyDescent="0.25">
      <c r="A256" s="10">
        <v>9</v>
      </c>
      <c r="B256" s="10" t="s">
        <v>23</v>
      </c>
      <c r="C256" s="10">
        <v>2026</v>
      </c>
      <c r="D256" s="40">
        <f>SUMIFS(Registre!$P$3:$P$15000,Registre!$A$3:$A$15000,9,Registre!$B$3:$B$15000,"septembre",Registre!$C$3:$C$15000,2026)</f>
        <v>0</v>
      </c>
    </row>
    <row r="257" spans="1:4" x14ac:dyDescent="0.25">
      <c r="A257" s="10">
        <v>10</v>
      </c>
      <c r="B257" s="10" t="s">
        <v>23</v>
      </c>
      <c r="C257" s="10">
        <v>2026</v>
      </c>
      <c r="D257" s="40">
        <f>SUMIFS(Registre!$P$3:$P$15000,Registre!$A$3:$A$15000,10,Registre!$B$3:$B$15000,"septembre",Registre!$C$3:$C$15000,2026)</f>
        <v>0</v>
      </c>
    </row>
    <row r="258" spans="1:4" x14ac:dyDescent="0.25">
      <c r="A258" s="10">
        <v>11</v>
      </c>
      <c r="B258" s="10" t="s">
        <v>23</v>
      </c>
      <c r="C258" s="10">
        <v>2026</v>
      </c>
      <c r="D258" s="40">
        <f>SUMIFS(Registre!$P$3:$P$15000,Registre!$A$3:$A$15000,11,Registre!$B$3:$B$15000,"septembre",Registre!$C$3:$C$15000,2026)</f>
        <v>0</v>
      </c>
    </row>
    <row r="259" spans="1:4" x14ac:dyDescent="0.25">
      <c r="A259" s="10">
        <v>12</v>
      </c>
      <c r="B259" s="10" t="s">
        <v>23</v>
      </c>
      <c r="C259" s="10">
        <v>2026</v>
      </c>
      <c r="D259" s="40">
        <f>SUMIFS(Registre!$P$3:$P$15000,Registre!$A$3:$A$15000,12,Registre!$B$3:$B$15000,"septembre",Registre!$C$3:$C$15000,2026)</f>
        <v>0</v>
      </c>
    </row>
    <row r="260" spans="1:4" x14ac:dyDescent="0.25">
      <c r="A260" s="10">
        <v>13</v>
      </c>
      <c r="B260" s="10" t="s">
        <v>23</v>
      </c>
      <c r="C260" s="10">
        <v>2026</v>
      </c>
      <c r="D260" s="40">
        <f>SUMIFS(Registre!$P$3:$P$15000,Registre!$A$3:$A$15000,13,Registre!$B$3:$B$15000,"septembre",Registre!$C$3:$C$15000,2026)</f>
        <v>0</v>
      </c>
    </row>
    <row r="261" spans="1:4" x14ac:dyDescent="0.25">
      <c r="A261" s="10">
        <v>14</v>
      </c>
      <c r="B261" s="10" t="s">
        <v>23</v>
      </c>
      <c r="C261" s="10">
        <v>2026</v>
      </c>
      <c r="D261" s="40">
        <f>SUMIFS(Registre!$P$3:$P$15000,Registre!$A$3:$A$15000,14,Registre!$B$3:$B$15000,"septembre",Registre!$C$3:$C$15000,2026)</f>
        <v>0</v>
      </c>
    </row>
    <row r="262" spans="1:4" x14ac:dyDescent="0.25">
      <c r="A262" s="10">
        <v>15</v>
      </c>
      <c r="B262" s="10" t="s">
        <v>23</v>
      </c>
      <c r="C262" s="10">
        <v>2026</v>
      </c>
      <c r="D262" s="40">
        <f>SUMIFS(Registre!$P$3:$P$15000,Registre!$A$3:$A$15000,15,Registre!$B$3:$B$15000,"septembre",Registre!$C$3:$C$15000,2026)</f>
        <v>0</v>
      </c>
    </row>
    <row r="263" spans="1:4" x14ac:dyDescent="0.25">
      <c r="A263" s="10">
        <v>16</v>
      </c>
      <c r="B263" s="10" t="s">
        <v>23</v>
      </c>
      <c r="C263" s="10">
        <v>2026</v>
      </c>
      <c r="D263" s="40">
        <f>SUMIFS(Registre!$P$3:$P$15000,Registre!$A$3:$A$15000,16,Registre!$B$3:$B$15000,"septembre",Registre!$C$3:$C$15000,2026)</f>
        <v>0</v>
      </c>
    </row>
    <row r="264" spans="1:4" x14ac:dyDescent="0.25">
      <c r="A264" s="10">
        <v>17</v>
      </c>
      <c r="B264" s="10" t="s">
        <v>23</v>
      </c>
      <c r="C264" s="10">
        <v>2026</v>
      </c>
      <c r="D264" s="40">
        <f>SUMIFS(Registre!$P$3:$P$15000,Registre!$A$3:$A$15000,17,Registre!$B$3:$B$15000,"septembre",Registre!$C$3:$C$15000,2026)</f>
        <v>0</v>
      </c>
    </row>
    <row r="265" spans="1:4" x14ac:dyDescent="0.25">
      <c r="A265" s="10">
        <v>18</v>
      </c>
      <c r="B265" s="10" t="s">
        <v>23</v>
      </c>
      <c r="C265" s="10">
        <v>2026</v>
      </c>
      <c r="D265" s="40">
        <f>SUMIFS(Registre!$P$3:$P$15000,Registre!$A$3:$A$15000,18,Registre!$B$3:$B$15000,"septembre",Registre!$C$3:$C$15000,2026)</f>
        <v>0</v>
      </c>
    </row>
    <row r="266" spans="1:4" x14ac:dyDescent="0.25">
      <c r="A266" s="10">
        <v>19</v>
      </c>
      <c r="B266" s="10" t="s">
        <v>23</v>
      </c>
      <c r="C266" s="10">
        <v>2026</v>
      </c>
      <c r="D266" s="40">
        <f>SUMIFS(Registre!$P$3:$P$15000,Registre!$A$3:$A$15000,19,Registre!$B$3:$B$15000,"septembre",Registre!$C$3:$C$15000,2026)</f>
        <v>0</v>
      </c>
    </row>
    <row r="267" spans="1:4" x14ac:dyDescent="0.25">
      <c r="A267" s="10">
        <v>20</v>
      </c>
      <c r="B267" s="10" t="s">
        <v>23</v>
      </c>
      <c r="C267" s="10">
        <v>2026</v>
      </c>
      <c r="D267" s="40">
        <f>SUMIFS(Registre!$P$3:$P$15000,Registre!$A$3:$A$15000,20,Registre!$B$3:$B$15000,"septembre",Registre!$C$3:$C$15000,2026)</f>
        <v>0</v>
      </c>
    </row>
    <row r="268" spans="1:4" x14ac:dyDescent="0.25">
      <c r="A268" s="10">
        <v>21</v>
      </c>
      <c r="B268" s="10" t="s">
        <v>23</v>
      </c>
      <c r="C268" s="10">
        <v>2026</v>
      </c>
      <c r="D268" s="40">
        <f>SUMIFS(Registre!$P$3:$P$15000,Registre!$A$3:$A$15000,21,Registre!$B$3:$B$15000,"septembre",Registre!$C$3:$C$15000,2026)</f>
        <v>0</v>
      </c>
    </row>
    <row r="269" spans="1:4" x14ac:dyDescent="0.25">
      <c r="A269" s="10">
        <v>22</v>
      </c>
      <c r="B269" s="10" t="s">
        <v>23</v>
      </c>
      <c r="C269" s="10">
        <v>2026</v>
      </c>
      <c r="D269" s="40">
        <f>SUMIFS(Registre!$P$3:$P$15000,Registre!$A$3:$A$15000,22,Registre!$B$3:$B$15000,"septembre",Registre!$C$3:$C$15000,2026)</f>
        <v>0</v>
      </c>
    </row>
    <row r="270" spans="1:4" x14ac:dyDescent="0.25">
      <c r="A270" s="10">
        <v>23</v>
      </c>
      <c r="B270" s="10" t="s">
        <v>23</v>
      </c>
      <c r="C270" s="10">
        <v>2026</v>
      </c>
      <c r="D270" s="40">
        <f>SUMIFS(Registre!$P$3:$P$15000,Registre!$A$3:$A$15000,23,Registre!$B$3:$B$15000,"septembre",Registre!$C$3:$C$15000,2026)</f>
        <v>0</v>
      </c>
    </row>
    <row r="271" spans="1:4" x14ac:dyDescent="0.25">
      <c r="A271" s="10">
        <v>24</v>
      </c>
      <c r="B271" s="10" t="s">
        <v>23</v>
      </c>
      <c r="C271" s="10">
        <v>2026</v>
      </c>
      <c r="D271" s="40">
        <f>SUMIFS(Registre!$P$3:$P$15000,Registre!$A$3:$A$15000,24,Registre!$B$3:$B$15000,"septembre",Registre!$C$3:$C$15000,2026)</f>
        <v>0</v>
      </c>
    </row>
    <row r="272" spans="1:4" x14ac:dyDescent="0.25">
      <c r="A272" s="10">
        <v>25</v>
      </c>
      <c r="B272" s="10" t="s">
        <v>23</v>
      </c>
      <c r="C272" s="10">
        <v>2026</v>
      </c>
      <c r="D272" s="40">
        <f>SUMIFS(Registre!$P$3:$P$15000,Registre!$A$3:$A$15000,25,Registre!$B$3:$B$15000,"septembre",Registre!$C$3:$C$15000,2026)</f>
        <v>0</v>
      </c>
    </row>
    <row r="273" spans="1:4" x14ac:dyDescent="0.25">
      <c r="A273" s="10">
        <v>26</v>
      </c>
      <c r="B273" s="10" t="s">
        <v>23</v>
      </c>
      <c r="C273" s="10">
        <v>2026</v>
      </c>
      <c r="D273" s="40">
        <f>SUMIFS(Registre!$P$3:$P$15000,Registre!$A$3:$A$15000,26,Registre!$B$3:$B$15000,"septembre",Registre!$C$3:$C$15000,2026)</f>
        <v>0</v>
      </c>
    </row>
    <row r="274" spans="1:4" x14ac:dyDescent="0.25">
      <c r="A274" s="10">
        <v>27</v>
      </c>
      <c r="B274" s="10" t="s">
        <v>23</v>
      </c>
      <c r="C274" s="10">
        <v>2026</v>
      </c>
      <c r="D274" s="40">
        <f>SUMIFS(Registre!$P$3:$P$15000,Registre!$A$3:$A$15000,27,Registre!$B$3:$B$15000,"septembre",Registre!$C$3:$C$15000,2026)</f>
        <v>0</v>
      </c>
    </row>
    <row r="275" spans="1:4" x14ac:dyDescent="0.25">
      <c r="A275" s="10">
        <v>28</v>
      </c>
      <c r="B275" s="10" t="s">
        <v>23</v>
      </c>
      <c r="C275" s="10">
        <v>2026</v>
      </c>
      <c r="D275" s="40">
        <f>SUMIFS(Registre!$P$3:$P$15000,Registre!$A$3:$A$15000,28,Registre!$B$3:$B$15000,"septembre",Registre!$C$3:$C$15000,2026)</f>
        <v>0</v>
      </c>
    </row>
    <row r="276" spans="1:4" x14ac:dyDescent="0.25">
      <c r="A276" s="10">
        <v>29</v>
      </c>
      <c r="B276" s="10" t="s">
        <v>23</v>
      </c>
      <c r="C276" s="10">
        <v>2026</v>
      </c>
      <c r="D276" s="40">
        <f>SUMIFS(Registre!$P$3:$P$15000,Registre!$A$3:$A$15000,29,Registre!$B$3:$B$15000,"septembre",Registre!$C$3:$C$15000,2026)</f>
        <v>0</v>
      </c>
    </row>
    <row r="277" spans="1:4" x14ac:dyDescent="0.25">
      <c r="A277" s="10">
        <v>30</v>
      </c>
      <c r="B277" s="10" t="s">
        <v>23</v>
      </c>
      <c r="C277" s="10">
        <v>2026</v>
      </c>
      <c r="D277" s="40">
        <f>SUMIFS(Registre!$P$3:$P$15000,Registre!$A$3:$A$15000,30,Registre!$B$3:$B$15000,"septembre",Registre!$C$3:$C$15000,2026)</f>
        <v>0</v>
      </c>
    </row>
    <row r="278" spans="1:4" x14ac:dyDescent="0.25">
      <c r="A278" s="11">
        <v>1</v>
      </c>
      <c r="B278" s="11" t="s">
        <v>24</v>
      </c>
      <c r="C278" s="11">
        <v>2026</v>
      </c>
      <c r="D278" s="41">
        <f>SUMIFS(Registre!$P$3:$P$15000,Registre!$A$3:$A$15000,1,Registre!$B$3:$B$15000,"octobre",Registre!$C$3:$C$15000,2026)</f>
        <v>0</v>
      </c>
    </row>
    <row r="279" spans="1:4" x14ac:dyDescent="0.25">
      <c r="A279" s="11">
        <v>2</v>
      </c>
      <c r="B279" s="11" t="s">
        <v>24</v>
      </c>
      <c r="C279" s="11">
        <v>2026</v>
      </c>
      <c r="D279" s="41">
        <f>SUMIFS(Registre!$P$3:$P$15000,Registre!$A$3:$A$15000,2,Registre!$B$3:$B$15000,"octobre",Registre!$C$3:$C$15000,2026)</f>
        <v>0</v>
      </c>
    </row>
    <row r="280" spans="1:4" x14ac:dyDescent="0.25">
      <c r="A280" s="11">
        <v>3</v>
      </c>
      <c r="B280" s="11" t="s">
        <v>24</v>
      </c>
      <c r="C280" s="11">
        <v>2026</v>
      </c>
      <c r="D280" s="41">
        <f>SUMIFS(Registre!$P$3:$P$15000,Registre!$A$3:$A$15000,3,Registre!$B$3:$B$15000,"octobre",Registre!$C$3:$C$15000,2026)</f>
        <v>0</v>
      </c>
    </row>
    <row r="281" spans="1:4" x14ac:dyDescent="0.25">
      <c r="A281" s="11">
        <v>4</v>
      </c>
      <c r="B281" s="11" t="s">
        <v>24</v>
      </c>
      <c r="C281" s="11">
        <v>2026</v>
      </c>
      <c r="D281" s="41">
        <f>SUMIFS(Registre!$P$3:$P$15000,Registre!$A$3:$A$15000,4,Registre!$B$3:$B$15000,"octobre",Registre!$C$3:$C$15000,2026)</f>
        <v>0</v>
      </c>
    </row>
    <row r="282" spans="1:4" x14ac:dyDescent="0.25">
      <c r="A282" s="11">
        <v>5</v>
      </c>
      <c r="B282" s="11" t="s">
        <v>24</v>
      </c>
      <c r="C282" s="11">
        <v>2026</v>
      </c>
      <c r="D282" s="41">
        <f>SUMIFS(Registre!$P$3:$P$15000,Registre!$A$3:$A$15000,5,Registre!$B$3:$B$15000,"octobre",Registre!$C$3:$C$15000,2026)</f>
        <v>0</v>
      </c>
    </row>
    <row r="283" spans="1:4" x14ac:dyDescent="0.25">
      <c r="A283" s="11">
        <v>6</v>
      </c>
      <c r="B283" s="11" t="s">
        <v>24</v>
      </c>
      <c r="C283" s="11">
        <v>2026</v>
      </c>
      <c r="D283" s="41">
        <f>SUMIFS(Registre!$P$3:$P$15000,Registre!$A$3:$A$15000,6,Registre!$B$3:$B$15000,"octobre",Registre!$C$3:$C$15000,2026)</f>
        <v>0</v>
      </c>
    </row>
    <row r="284" spans="1:4" x14ac:dyDescent="0.25">
      <c r="A284" s="11">
        <v>7</v>
      </c>
      <c r="B284" s="11" t="s">
        <v>24</v>
      </c>
      <c r="C284" s="11">
        <v>2026</v>
      </c>
      <c r="D284" s="41">
        <f>SUMIFS(Registre!$P$3:$P$15000,Registre!$A$3:$A$15000,7,Registre!$B$3:$B$15000,"octobre",Registre!$C$3:$C$15000,2026)</f>
        <v>0</v>
      </c>
    </row>
    <row r="285" spans="1:4" x14ac:dyDescent="0.25">
      <c r="A285" s="11">
        <v>8</v>
      </c>
      <c r="B285" s="11" t="s">
        <v>24</v>
      </c>
      <c r="C285" s="11">
        <v>2026</v>
      </c>
      <c r="D285" s="41">
        <f>SUMIFS(Registre!$P$3:$P$15000,Registre!$A$3:$A$15000,8,Registre!$B$3:$B$15000,"octobre",Registre!$C$3:$C$15000,2026)</f>
        <v>0</v>
      </c>
    </row>
    <row r="286" spans="1:4" x14ac:dyDescent="0.25">
      <c r="A286" s="11">
        <v>9</v>
      </c>
      <c r="B286" s="11" t="s">
        <v>24</v>
      </c>
      <c r="C286" s="11">
        <v>2026</v>
      </c>
      <c r="D286" s="41">
        <f>SUMIFS(Registre!$P$3:$P$15000,Registre!$A$3:$A$15000,9,Registre!$B$3:$B$15000,"octobre",Registre!$C$3:$C$15000,2026)</f>
        <v>0</v>
      </c>
    </row>
    <row r="287" spans="1:4" x14ac:dyDescent="0.25">
      <c r="A287" s="11">
        <v>10</v>
      </c>
      <c r="B287" s="11" t="s">
        <v>24</v>
      </c>
      <c r="C287" s="11">
        <v>2026</v>
      </c>
      <c r="D287" s="41">
        <f>SUMIFS(Registre!$P$3:$P$15000,Registre!$A$3:$A$15000,10,Registre!$B$3:$B$15000,"octobre",Registre!$C$3:$C$15000,2026)</f>
        <v>0</v>
      </c>
    </row>
    <row r="288" spans="1:4" x14ac:dyDescent="0.25">
      <c r="A288" s="11">
        <v>11</v>
      </c>
      <c r="B288" s="11" t="s">
        <v>24</v>
      </c>
      <c r="C288" s="11">
        <v>2026</v>
      </c>
      <c r="D288" s="41">
        <f>SUMIFS(Registre!$P$3:$P$15000,Registre!$A$3:$A$15000,11,Registre!$B$3:$B$15000,"octobre",Registre!$C$3:$C$15000,2026)</f>
        <v>0</v>
      </c>
    </row>
    <row r="289" spans="1:4" x14ac:dyDescent="0.25">
      <c r="A289" s="11">
        <v>12</v>
      </c>
      <c r="B289" s="11" t="s">
        <v>24</v>
      </c>
      <c r="C289" s="11">
        <v>2026</v>
      </c>
      <c r="D289" s="41">
        <f>SUMIFS(Registre!$P$3:$P$15000,Registre!$A$3:$A$15000,12,Registre!$B$3:$B$15000,"octobre",Registre!$C$3:$C$15000,2026)</f>
        <v>0</v>
      </c>
    </row>
    <row r="290" spans="1:4" x14ac:dyDescent="0.25">
      <c r="A290" s="11">
        <v>13</v>
      </c>
      <c r="B290" s="11" t="s">
        <v>24</v>
      </c>
      <c r="C290" s="11">
        <v>2026</v>
      </c>
      <c r="D290" s="41">
        <f>SUMIFS(Registre!$P$3:$P$15000,Registre!$A$3:$A$15000,13,Registre!$B$3:$B$15000,"octobre",Registre!$C$3:$C$15000,2026)</f>
        <v>0</v>
      </c>
    </row>
    <row r="291" spans="1:4" x14ac:dyDescent="0.25">
      <c r="A291" s="11">
        <v>14</v>
      </c>
      <c r="B291" s="11" t="s">
        <v>24</v>
      </c>
      <c r="C291" s="11">
        <v>2026</v>
      </c>
      <c r="D291" s="41">
        <f>SUMIFS(Registre!$P$3:$P$15000,Registre!$A$3:$A$15000,14,Registre!$B$3:$B$15000,"octobre",Registre!$C$3:$C$15000,2026)</f>
        <v>0</v>
      </c>
    </row>
    <row r="292" spans="1:4" x14ac:dyDescent="0.25">
      <c r="A292" s="11">
        <v>15</v>
      </c>
      <c r="B292" s="11" t="s">
        <v>24</v>
      </c>
      <c r="C292" s="11">
        <v>2026</v>
      </c>
      <c r="D292" s="41">
        <f>SUMIFS(Registre!$P$3:$P$15000,Registre!$A$3:$A$15000,15,Registre!$B$3:$B$15000,"octobre",Registre!$C$3:$C$15000,2026)</f>
        <v>0</v>
      </c>
    </row>
    <row r="293" spans="1:4" x14ac:dyDescent="0.25">
      <c r="A293" s="11">
        <v>16</v>
      </c>
      <c r="B293" s="11" t="s">
        <v>24</v>
      </c>
      <c r="C293" s="11">
        <v>2026</v>
      </c>
      <c r="D293" s="41">
        <f>SUMIFS(Registre!$P$3:$P$15000,Registre!$A$3:$A$15000,16,Registre!$B$3:$B$15000,"octobre",Registre!$C$3:$C$15000,2026)</f>
        <v>0</v>
      </c>
    </row>
    <row r="294" spans="1:4" x14ac:dyDescent="0.25">
      <c r="A294" s="11">
        <v>17</v>
      </c>
      <c r="B294" s="11" t="s">
        <v>24</v>
      </c>
      <c r="C294" s="11">
        <v>2026</v>
      </c>
      <c r="D294" s="41">
        <f>SUMIFS(Registre!$P$3:$P$15000,Registre!$A$3:$A$15000,17,Registre!$B$3:$B$15000,"octobre",Registre!$C$3:$C$15000,2026)</f>
        <v>0</v>
      </c>
    </row>
    <row r="295" spans="1:4" x14ac:dyDescent="0.25">
      <c r="A295" s="11">
        <v>18</v>
      </c>
      <c r="B295" s="11" t="s">
        <v>24</v>
      </c>
      <c r="C295" s="11">
        <v>2026</v>
      </c>
      <c r="D295" s="41">
        <f>SUMIFS(Registre!$P$3:$P$15000,Registre!$A$3:$A$15000,18,Registre!$B$3:$B$15000,"octobre",Registre!$C$3:$C$15000,2026)</f>
        <v>0</v>
      </c>
    </row>
    <row r="296" spans="1:4" x14ac:dyDescent="0.25">
      <c r="A296" s="11">
        <v>19</v>
      </c>
      <c r="B296" s="11" t="s">
        <v>24</v>
      </c>
      <c r="C296" s="11">
        <v>2026</v>
      </c>
      <c r="D296" s="41">
        <f>SUMIFS(Registre!$P$3:$P$15000,Registre!$A$3:$A$15000,19,Registre!$B$3:$B$15000,"octobre",Registre!$C$3:$C$15000,2026)</f>
        <v>0</v>
      </c>
    </row>
    <row r="297" spans="1:4" x14ac:dyDescent="0.25">
      <c r="A297" s="11">
        <v>20</v>
      </c>
      <c r="B297" s="11" t="s">
        <v>24</v>
      </c>
      <c r="C297" s="11">
        <v>2026</v>
      </c>
      <c r="D297" s="41">
        <f>SUMIFS(Registre!$P$3:$P$15000,Registre!$A$3:$A$15000,20,Registre!$B$3:$B$15000,"octobre",Registre!$C$3:$C$15000,2026)</f>
        <v>0</v>
      </c>
    </row>
    <row r="298" spans="1:4" x14ac:dyDescent="0.25">
      <c r="A298" s="11">
        <v>21</v>
      </c>
      <c r="B298" s="11" t="s">
        <v>24</v>
      </c>
      <c r="C298" s="11">
        <v>2026</v>
      </c>
      <c r="D298" s="41">
        <f>SUMIFS(Registre!$P$3:$P$15000,Registre!$A$3:$A$15000,21,Registre!$B$3:$B$15000,"octobre",Registre!$C$3:$C$15000,2026)</f>
        <v>0</v>
      </c>
    </row>
    <row r="299" spans="1:4" x14ac:dyDescent="0.25">
      <c r="A299" s="11">
        <v>22</v>
      </c>
      <c r="B299" s="11" t="s">
        <v>24</v>
      </c>
      <c r="C299" s="11">
        <v>2026</v>
      </c>
      <c r="D299" s="41">
        <f>SUMIFS(Registre!$P$3:$P$15000,Registre!$A$3:$A$15000,22,Registre!$B$3:$B$15000,"octobre",Registre!$C$3:$C$15000,2026)</f>
        <v>0</v>
      </c>
    </row>
    <row r="300" spans="1:4" x14ac:dyDescent="0.25">
      <c r="A300" s="11">
        <v>23</v>
      </c>
      <c r="B300" s="11" t="s">
        <v>24</v>
      </c>
      <c r="C300" s="11">
        <v>2026</v>
      </c>
      <c r="D300" s="41">
        <f>SUMIFS(Registre!$P$3:$P$15000,Registre!$A$3:$A$15000,23,Registre!$B$3:$B$15000,"octobre",Registre!$C$3:$C$15000,2026)</f>
        <v>0</v>
      </c>
    </row>
    <row r="301" spans="1:4" x14ac:dyDescent="0.25">
      <c r="A301" s="11">
        <v>24</v>
      </c>
      <c r="B301" s="11" t="s">
        <v>24</v>
      </c>
      <c r="C301" s="11">
        <v>2026</v>
      </c>
      <c r="D301" s="41">
        <f>SUMIFS(Registre!$P$3:$P$15000,Registre!$A$3:$A$15000,24,Registre!$B$3:$B$15000,"octobre",Registre!$C$3:$C$15000,2026)</f>
        <v>0</v>
      </c>
    </row>
    <row r="302" spans="1:4" x14ac:dyDescent="0.25">
      <c r="A302" s="11">
        <v>25</v>
      </c>
      <c r="B302" s="11" t="s">
        <v>24</v>
      </c>
      <c r="C302" s="11">
        <v>2026</v>
      </c>
      <c r="D302" s="41">
        <f>SUMIFS(Registre!$P$3:$P$15000,Registre!$A$3:$A$15000,25,Registre!$B$3:$B$15000,"octobre",Registre!$C$3:$C$15000,2026)</f>
        <v>0</v>
      </c>
    </row>
    <row r="303" spans="1:4" x14ac:dyDescent="0.25">
      <c r="A303" s="11">
        <v>26</v>
      </c>
      <c r="B303" s="11" t="s">
        <v>24</v>
      </c>
      <c r="C303" s="11">
        <v>2026</v>
      </c>
      <c r="D303" s="41">
        <f>SUMIFS(Registre!$P$3:$P$15000,Registre!$A$3:$A$15000,26,Registre!$B$3:$B$15000,"octobre",Registre!$C$3:$C$15000,2026)</f>
        <v>0</v>
      </c>
    </row>
    <row r="304" spans="1:4" x14ac:dyDescent="0.25">
      <c r="A304" s="11">
        <v>27</v>
      </c>
      <c r="B304" s="11" t="s">
        <v>24</v>
      </c>
      <c r="C304" s="11">
        <v>2026</v>
      </c>
      <c r="D304" s="41">
        <f>SUMIFS(Registre!$P$3:$P$15000,Registre!$A$3:$A$15000,27,Registre!$B$3:$B$15000,"octobre",Registre!$C$3:$C$15000,2026)</f>
        <v>0</v>
      </c>
    </row>
    <row r="305" spans="1:4" x14ac:dyDescent="0.25">
      <c r="A305" s="11">
        <v>28</v>
      </c>
      <c r="B305" s="11" t="s">
        <v>24</v>
      </c>
      <c r="C305" s="11">
        <v>2026</v>
      </c>
      <c r="D305" s="41">
        <f>SUMIFS(Registre!$P$3:$P$15000,Registre!$A$3:$A$15000,28,Registre!$B$3:$B$15000,"octobre",Registre!$C$3:$C$15000,2026)</f>
        <v>0</v>
      </c>
    </row>
    <row r="306" spans="1:4" x14ac:dyDescent="0.25">
      <c r="A306" s="11">
        <v>29</v>
      </c>
      <c r="B306" s="11" t="s">
        <v>24</v>
      </c>
      <c r="C306" s="11">
        <v>2026</v>
      </c>
      <c r="D306" s="41">
        <f>SUMIFS(Registre!$P$3:$P$15000,Registre!$A$3:$A$15000,29,Registre!$B$3:$B$15000,"octobre",Registre!$C$3:$C$15000,2026)</f>
        <v>0</v>
      </c>
    </row>
    <row r="307" spans="1:4" x14ac:dyDescent="0.25">
      <c r="A307" s="11">
        <v>30</v>
      </c>
      <c r="B307" s="11" t="s">
        <v>24</v>
      </c>
      <c r="C307" s="11">
        <v>2026</v>
      </c>
      <c r="D307" s="41">
        <f>SUMIFS(Registre!$P$3:$P$15000,Registre!$A$3:$A$15000,30,Registre!$B$3:$B$15000,"octobre",Registre!$C$3:$C$15000,2026)</f>
        <v>0</v>
      </c>
    </row>
    <row r="308" spans="1:4" x14ac:dyDescent="0.25">
      <c r="A308" s="11">
        <v>31</v>
      </c>
      <c r="B308" s="11" t="s">
        <v>24</v>
      </c>
      <c r="C308" s="11">
        <v>2026</v>
      </c>
      <c r="D308" s="41">
        <f>SUMIFS(Registre!$P$3:$P$15000,Registre!$A$3:$A$15000,31,Registre!$B$3:$B$15000,"octobre",Registre!$C$3:$C$15000,2026)</f>
        <v>0</v>
      </c>
    </row>
    <row r="309" spans="1:4" x14ac:dyDescent="0.25">
      <c r="A309" s="10">
        <v>1</v>
      </c>
      <c r="B309" s="10" t="s">
        <v>25</v>
      </c>
      <c r="C309" s="10">
        <v>2026</v>
      </c>
      <c r="D309" s="40">
        <f>SUMIFS(Registre!$P$3:$P$15000,Registre!$A$3:$A$15000,1,Registre!$B$3:$B$15000,"novembre",Registre!$C$3:$C$15000,2026)</f>
        <v>0</v>
      </c>
    </row>
    <row r="310" spans="1:4" x14ac:dyDescent="0.25">
      <c r="A310" s="10">
        <v>2</v>
      </c>
      <c r="B310" s="10" t="s">
        <v>25</v>
      </c>
      <c r="C310" s="10">
        <v>2026</v>
      </c>
      <c r="D310" s="40">
        <f>SUMIFS(Registre!$P$3:$P$15000,Registre!$A$3:$A$15000,2,Registre!$B$3:$B$15000,"novembre",Registre!$C$3:$C$15000,2026)</f>
        <v>0</v>
      </c>
    </row>
    <row r="311" spans="1:4" x14ac:dyDescent="0.25">
      <c r="A311" s="10">
        <v>3</v>
      </c>
      <c r="B311" s="10" t="s">
        <v>25</v>
      </c>
      <c r="C311" s="10">
        <v>2026</v>
      </c>
      <c r="D311" s="40">
        <f>SUMIFS(Registre!$P$3:$P$15000,Registre!$A$3:$A$15000,3,Registre!$B$3:$B$15000,"novembre",Registre!$C$3:$C$15000,2026)</f>
        <v>0</v>
      </c>
    </row>
    <row r="312" spans="1:4" x14ac:dyDescent="0.25">
      <c r="A312" s="10">
        <v>4</v>
      </c>
      <c r="B312" s="10" t="s">
        <v>25</v>
      </c>
      <c r="C312" s="10">
        <v>2026</v>
      </c>
      <c r="D312" s="40">
        <f>SUMIFS(Registre!$P$3:$P$15000,Registre!$A$3:$A$15000,4,Registre!$B$3:$B$15000,"novembre",Registre!$C$3:$C$15000,2026)</f>
        <v>0</v>
      </c>
    </row>
    <row r="313" spans="1:4" x14ac:dyDescent="0.25">
      <c r="A313" s="10">
        <v>5</v>
      </c>
      <c r="B313" s="10" t="s">
        <v>25</v>
      </c>
      <c r="C313" s="10">
        <v>2026</v>
      </c>
      <c r="D313" s="40">
        <f>SUMIFS(Registre!$P$3:$P$15000,Registre!$A$3:$A$15000,5,Registre!$B$3:$B$15000,"novembre",Registre!$C$3:$C$15000,2026)</f>
        <v>0</v>
      </c>
    </row>
    <row r="314" spans="1:4" x14ac:dyDescent="0.25">
      <c r="A314" s="10">
        <v>6</v>
      </c>
      <c r="B314" s="10" t="s">
        <v>25</v>
      </c>
      <c r="C314" s="10">
        <v>2026</v>
      </c>
      <c r="D314" s="40">
        <f>SUMIFS(Registre!$P$3:$P$15000,Registre!$A$3:$A$15000,6,Registre!$B$3:$B$15000,"novembre",Registre!$C$3:$C$15000,2026)</f>
        <v>0</v>
      </c>
    </row>
    <row r="315" spans="1:4" x14ac:dyDescent="0.25">
      <c r="A315" s="10">
        <v>7</v>
      </c>
      <c r="B315" s="10" t="s">
        <v>25</v>
      </c>
      <c r="C315" s="10">
        <v>2026</v>
      </c>
      <c r="D315" s="40">
        <f>SUMIFS(Registre!$P$3:$P$15000,Registre!$A$3:$A$15000,7,Registre!$B$3:$B$15000,"novembre",Registre!$C$3:$C$15000,2026)</f>
        <v>0</v>
      </c>
    </row>
    <row r="316" spans="1:4" x14ac:dyDescent="0.25">
      <c r="A316" s="10">
        <v>8</v>
      </c>
      <c r="B316" s="10" t="s">
        <v>25</v>
      </c>
      <c r="C316" s="10">
        <v>2026</v>
      </c>
      <c r="D316" s="40">
        <f>SUMIFS(Registre!$P$3:$P$15000,Registre!$A$3:$A$15000,8,Registre!$B$3:$B$15000,"novembre",Registre!$C$3:$C$15000,2026)</f>
        <v>0</v>
      </c>
    </row>
    <row r="317" spans="1:4" x14ac:dyDescent="0.25">
      <c r="A317" s="10">
        <v>9</v>
      </c>
      <c r="B317" s="10" t="s">
        <v>25</v>
      </c>
      <c r="C317" s="10">
        <v>2026</v>
      </c>
      <c r="D317" s="40">
        <f>SUMIFS(Registre!$P$3:$P$15000,Registre!$A$3:$A$15000,9,Registre!$B$3:$B$15000,"novembre",Registre!$C$3:$C$15000,2026)</f>
        <v>0</v>
      </c>
    </row>
    <row r="318" spans="1:4" x14ac:dyDescent="0.25">
      <c r="A318" s="10">
        <v>10</v>
      </c>
      <c r="B318" s="10" t="s">
        <v>25</v>
      </c>
      <c r="C318" s="10">
        <v>2026</v>
      </c>
      <c r="D318" s="40">
        <f>SUMIFS(Registre!$P$3:$P$15000,Registre!$A$3:$A$15000,10,Registre!$B$3:$B$15000,"novembre",Registre!$C$3:$C$15000,2026)</f>
        <v>0</v>
      </c>
    </row>
    <row r="319" spans="1:4" x14ac:dyDescent="0.25">
      <c r="A319" s="10">
        <v>11</v>
      </c>
      <c r="B319" s="10" t="s">
        <v>25</v>
      </c>
      <c r="C319" s="10">
        <v>2026</v>
      </c>
      <c r="D319" s="40">
        <f>SUMIFS(Registre!$P$3:$P$15000,Registre!$A$3:$A$15000,11,Registre!$B$3:$B$15000,"novembre",Registre!$C$3:$C$15000,2026)</f>
        <v>0</v>
      </c>
    </row>
    <row r="320" spans="1:4" x14ac:dyDescent="0.25">
      <c r="A320" s="10">
        <v>12</v>
      </c>
      <c r="B320" s="10" t="s">
        <v>25</v>
      </c>
      <c r="C320" s="10">
        <v>2026</v>
      </c>
      <c r="D320" s="40">
        <f>SUMIFS(Registre!$P$3:$P$15000,Registre!$A$3:$A$15000,12,Registre!$B$3:$B$15000,"novembre",Registre!$C$3:$C$15000,2026)</f>
        <v>0</v>
      </c>
    </row>
    <row r="321" spans="1:4" x14ac:dyDescent="0.25">
      <c r="A321" s="10">
        <v>13</v>
      </c>
      <c r="B321" s="10" t="s">
        <v>25</v>
      </c>
      <c r="C321" s="10">
        <v>2026</v>
      </c>
      <c r="D321" s="40">
        <f>SUMIFS(Registre!$P$3:$P$15000,Registre!$A$3:$A$15000,13,Registre!$B$3:$B$15000,"novembre",Registre!$C$3:$C$15000,2026)</f>
        <v>0</v>
      </c>
    </row>
    <row r="322" spans="1:4" x14ac:dyDescent="0.25">
      <c r="A322" s="10">
        <v>14</v>
      </c>
      <c r="B322" s="10" t="s">
        <v>25</v>
      </c>
      <c r="C322" s="10">
        <v>2026</v>
      </c>
      <c r="D322" s="40">
        <f>SUMIFS(Registre!$P$3:$P$15000,Registre!$A$3:$A$15000,14,Registre!$B$3:$B$15000,"novembre",Registre!$C$3:$C$15000,2026)</f>
        <v>0</v>
      </c>
    </row>
    <row r="323" spans="1:4" x14ac:dyDescent="0.25">
      <c r="A323" s="10">
        <v>15</v>
      </c>
      <c r="B323" s="10" t="s">
        <v>25</v>
      </c>
      <c r="C323" s="10">
        <v>2026</v>
      </c>
      <c r="D323" s="40">
        <f>SUMIFS(Registre!$P$3:$P$15000,Registre!$A$3:$A$15000,15,Registre!$B$3:$B$15000,"novembre",Registre!$C$3:$C$15000,2026)</f>
        <v>0</v>
      </c>
    </row>
    <row r="324" spans="1:4" x14ac:dyDescent="0.25">
      <c r="A324" s="10">
        <v>16</v>
      </c>
      <c r="B324" s="10" t="s">
        <v>25</v>
      </c>
      <c r="C324" s="10">
        <v>2026</v>
      </c>
      <c r="D324" s="40">
        <f>SUMIFS(Registre!$P$3:$P$15000,Registre!$A$3:$A$15000,16,Registre!$B$3:$B$15000,"novembre",Registre!$C$3:$C$15000,2026)</f>
        <v>0</v>
      </c>
    </row>
    <row r="325" spans="1:4" x14ac:dyDescent="0.25">
      <c r="A325" s="10">
        <v>17</v>
      </c>
      <c r="B325" s="10" t="s">
        <v>25</v>
      </c>
      <c r="C325" s="10">
        <v>2026</v>
      </c>
      <c r="D325" s="40">
        <f>SUMIFS(Registre!$P$3:$P$15000,Registre!$A$3:$A$15000,17,Registre!$B$3:$B$15000,"novembre",Registre!$C$3:$C$15000,2026)</f>
        <v>0</v>
      </c>
    </row>
    <row r="326" spans="1:4" x14ac:dyDescent="0.25">
      <c r="A326" s="10">
        <v>18</v>
      </c>
      <c r="B326" s="10" t="s">
        <v>25</v>
      </c>
      <c r="C326" s="10">
        <v>2026</v>
      </c>
      <c r="D326" s="40">
        <f>SUMIFS(Registre!$P$3:$P$15000,Registre!$A$3:$A$15000,18,Registre!$B$3:$B$15000,"novembre",Registre!$C$3:$C$15000,2026)</f>
        <v>0</v>
      </c>
    </row>
    <row r="327" spans="1:4" x14ac:dyDescent="0.25">
      <c r="A327" s="10">
        <v>19</v>
      </c>
      <c r="B327" s="10" t="s">
        <v>25</v>
      </c>
      <c r="C327" s="10">
        <v>2026</v>
      </c>
      <c r="D327" s="40">
        <f>SUMIFS(Registre!$P$3:$P$15000,Registre!$A$3:$A$15000,19,Registre!$B$3:$B$15000,"novembre",Registre!$C$3:$C$15000,2026)</f>
        <v>0</v>
      </c>
    </row>
    <row r="328" spans="1:4" x14ac:dyDescent="0.25">
      <c r="A328" s="10">
        <v>20</v>
      </c>
      <c r="B328" s="10" t="s">
        <v>25</v>
      </c>
      <c r="C328" s="10">
        <v>2026</v>
      </c>
      <c r="D328" s="40">
        <f>SUMIFS(Registre!$P$3:$P$15000,Registre!$A$3:$A$15000,20,Registre!$B$3:$B$15000,"novembre",Registre!$C$3:$C$15000,2026)</f>
        <v>0</v>
      </c>
    </row>
    <row r="329" spans="1:4" x14ac:dyDescent="0.25">
      <c r="A329" s="10">
        <v>21</v>
      </c>
      <c r="B329" s="10" t="s">
        <v>25</v>
      </c>
      <c r="C329" s="10">
        <v>2026</v>
      </c>
      <c r="D329" s="40">
        <f>SUMIFS(Registre!$P$3:$P$15000,Registre!$A$3:$A$15000,21,Registre!$B$3:$B$15000,"novembre",Registre!$C$3:$C$15000,2026)</f>
        <v>0</v>
      </c>
    </row>
    <row r="330" spans="1:4" x14ac:dyDescent="0.25">
      <c r="A330" s="10">
        <v>22</v>
      </c>
      <c r="B330" s="10" t="s">
        <v>25</v>
      </c>
      <c r="C330" s="10">
        <v>2026</v>
      </c>
      <c r="D330" s="40">
        <f>SUMIFS(Registre!$P$3:$P$15000,Registre!$A$3:$A$15000,22,Registre!$B$3:$B$15000,"novembre",Registre!$C$3:$C$15000,2026)</f>
        <v>0</v>
      </c>
    </row>
    <row r="331" spans="1:4" x14ac:dyDescent="0.25">
      <c r="A331" s="10">
        <v>23</v>
      </c>
      <c r="B331" s="10" t="s">
        <v>25</v>
      </c>
      <c r="C331" s="10">
        <v>2026</v>
      </c>
      <c r="D331" s="40">
        <f>SUMIFS(Registre!$P$3:$P$15000,Registre!$A$3:$A$15000,23,Registre!$B$3:$B$15000,"novembre",Registre!$C$3:$C$15000,2026)</f>
        <v>0</v>
      </c>
    </row>
    <row r="332" spans="1:4" x14ac:dyDescent="0.25">
      <c r="A332" s="10">
        <v>24</v>
      </c>
      <c r="B332" s="10" t="s">
        <v>25</v>
      </c>
      <c r="C332" s="10">
        <v>2026</v>
      </c>
      <c r="D332" s="40">
        <f>SUMIFS(Registre!$P$3:$P$15000,Registre!$A$3:$A$15000,24,Registre!$B$3:$B$15000,"novembre",Registre!$C$3:$C$15000,2026)</f>
        <v>0</v>
      </c>
    </row>
    <row r="333" spans="1:4" x14ac:dyDescent="0.25">
      <c r="A333" s="10">
        <v>25</v>
      </c>
      <c r="B333" s="10" t="s">
        <v>25</v>
      </c>
      <c r="C333" s="10">
        <v>2026</v>
      </c>
      <c r="D333" s="40">
        <f>SUMIFS(Registre!$P$3:$P$15000,Registre!$A$3:$A$15000,25,Registre!$B$3:$B$15000,"novembre",Registre!$C$3:$C$15000,2026)</f>
        <v>0</v>
      </c>
    </row>
    <row r="334" spans="1:4" x14ac:dyDescent="0.25">
      <c r="A334" s="10">
        <v>26</v>
      </c>
      <c r="B334" s="10" t="s">
        <v>25</v>
      </c>
      <c r="C334" s="10">
        <v>2026</v>
      </c>
      <c r="D334" s="40">
        <f>SUMIFS(Registre!$P$3:$P$15000,Registre!$A$3:$A$15000,26,Registre!$B$3:$B$15000,"novembre",Registre!$C$3:$C$15000,2026)</f>
        <v>0</v>
      </c>
    </row>
    <row r="335" spans="1:4" x14ac:dyDescent="0.25">
      <c r="A335" s="10">
        <v>27</v>
      </c>
      <c r="B335" s="10" t="s">
        <v>25</v>
      </c>
      <c r="C335" s="10">
        <v>2026</v>
      </c>
      <c r="D335" s="40">
        <f>SUMIFS(Registre!$P$3:$P$15000,Registre!$A$3:$A$15000,27,Registre!$B$3:$B$15000,"novembre",Registre!$C$3:$C$15000,2026)</f>
        <v>0</v>
      </c>
    </row>
    <row r="336" spans="1:4" x14ac:dyDescent="0.25">
      <c r="A336" s="10">
        <v>28</v>
      </c>
      <c r="B336" s="10" t="s">
        <v>25</v>
      </c>
      <c r="C336" s="10">
        <v>2026</v>
      </c>
      <c r="D336" s="40">
        <f>SUMIFS(Registre!$P$3:$P$15000,Registre!$A$3:$A$15000,28,Registre!$B$3:$B$15000,"novembre",Registre!$C$3:$C$15000,2026)</f>
        <v>0</v>
      </c>
    </row>
    <row r="337" spans="1:4" x14ac:dyDescent="0.25">
      <c r="A337" s="10">
        <v>29</v>
      </c>
      <c r="B337" s="10" t="s">
        <v>25</v>
      </c>
      <c r="C337" s="10">
        <v>2026</v>
      </c>
      <c r="D337" s="40">
        <f>SUMIFS(Registre!$P$3:$P$15000,Registre!$A$3:$A$15000,29,Registre!$B$3:$B$15000,"novembre",Registre!$C$3:$C$15000,2026)</f>
        <v>0</v>
      </c>
    </row>
    <row r="338" spans="1:4" x14ac:dyDescent="0.25">
      <c r="A338" s="10">
        <v>30</v>
      </c>
      <c r="B338" s="10" t="s">
        <v>25</v>
      </c>
      <c r="C338" s="10">
        <v>2026</v>
      </c>
      <c r="D338" s="40">
        <f>SUMIFS(Registre!$P$3:$P$15000,Registre!$A$3:$A$15000,30,Registre!$B$3:$B$15000,"novembre",Registre!$C$3:$C$15000,2026)</f>
        <v>0</v>
      </c>
    </row>
    <row r="339" spans="1:4" x14ac:dyDescent="0.25">
      <c r="A339" s="11">
        <v>1</v>
      </c>
      <c r="B339" s="11" t="s">
        <v>26</v>
      </c>
      <c r="C339" s="11">
        <v>2026</v>
      </c>
      <c r="D339" s="41">
        <f>SUMIFS(Registre!$P$3:$P$15000,Registre!$A$3:$A$15000,1,Registre!$B$3:$B$15000,"décembre",Registre!$C$3:$C$15000,2026)</f>
        <v>0</v>
      </c>
    </row>
    <row r="340" spans="1:4" x14ac:dyDescent="0.25">
      <c r="A340" s="11">
        <v>2</v>
      </c>
      <c r="B340" s="11" t="s">
        <v>26</v>
      </c>
      <c r="C340" s="11">
        <v>2026</v>
      </c>
      <c r="D340" s="41">
        <f>SUMIFS(Registre!$P$3:$P$15000,Registre!$A$3:$A$15000,2,Registre!$B$3:$B$15000,"décembre",Registre!$C$3:$C$15000,2026)</f>
        <v>0</v>
      </c>
    </row>
    <row r="341" spans="1:4" x14ac:dyDescent="0.25">
      <c r="A341" s="11">
        <v>3</v>
      </c>
      <c r="B341" s="11" t="s">
        <v>26</v>
      </c>
      <c r="C341" s="11">
        <v>2026</v>
      </c>
      <c r="D341" s="41">
        <f>SUMIFS(Registre!$P$3:$P$15000,Registre!$A$3:$A$15000,3,Registre!$B$3:$B$15000,"décembre",Registre!$C$3:$C$15000,2026)</f>
        <v>0</v>
      </c>
    </row>
    <row r="342" spans="1:4" x14ac:dyDescent="0.25">
      <c r="A342" s="11">
        <v>4</v>
      </c>
      <c r="B342" s="11" t="s">
        <v>26</v>
      </c>
      <c r="C342" s="11">
        <v>2026</v>
      </c>
      <c r="D342" s="41">
        <f>SUMIFS(Registre!$P$3:$P$15000,Registre!$A$3:$A$15000,4,Registre!$B$3:$B$15000,"décembre",Registre!$C$3:$C$15000,2026)</f>
        <v>0</v>
      </c>
    </row>
    <row r="343" spans="1:4" x14ac:dyDescent="0.25">
      <c r="A343" s="11">
        <v>5</v>
      </c>
      <c r="B343" s="11" t="s">
        <v>26</v>
      </c>
      <c r="C343" s="11">
        <v>2026</v>
      </c>
      <c r="D343" s="41">
        <f>SUMIFS(Registre!$P$3:$P$15000,Registre!$A$3:$A$15000,5,Registre!$B$3:$B$15000,"décembre",Registre!$C$3:$C$15000,2026)</f>
        <v>0</v>
      </c>
    </row>
    <row r="344" spans="1:4" x14ac:dyDescent="0.25">
      <c r="A344" s="11">
        <v>6</v>
      </c>
      <c r="B344" s="11" t="s">
        <v>26</v>
      </c>
      <c r="C344" s="11">
        <v>2026</v>
      </c>
      <c r="D344" s="41">
        <f>SUMIFS(Registre!$P$3:$P$15000,Registre!$A$3:$A$15000,6,Registre!$B$3:$B$15000,"décembre",Registre!$C$3:$C$15000,2026)</f>
        <v>0</v>
      </c>
    </row>
    <row r="345" spans="1:4" x14ac:dyDescent="0.25">
      <c r="A345" s="11">
        <v>7</v>
      </c>
      <c r="B345" s="11" t="s">
        <v>26</v>
      </c>
      <c r="C345" s="11">
        <v>2026</v>
      </c>
      <c r="D345" s="41">
        <f>SUMIFS(Registre!$P$3:$P$15000,Registre!$A$3:$A$15000,7,Registre!$B$3:$B$15000,"décembre",Registre!$C$3:$C$15000,2026)</f>
        <v>0</v>
      </c>
    </row>
    <row r="346" spans="1:4" x14ac:dyDescent="0.25">
      <c r="A346" s="11">
        <v>8</v>
      </c>
      <c r="B346" s="11" t="s">
        <v>26</v>
      </c>
      <c r="C346" s="11">
        <v>2026</v>
      </c>
      <c r="D346" s="41">
        <f>SUMIFS(Registre!$P$3:$P$15000,Registre!$A$3:$A$15000,8,Registre!$B$3:$B$15000,"décembre",Registre!$C$3:$C$15000,2026)</f>
        <v>0</v>
      </c>
    </row>
    <row r="347" spans="1:4" x14ac:dyDescent="0.25">
      <c r="A347" s="11">
        <v>9</v>
      </c>
      <c r="B347" s="11" t="s">
        <v>26</v>
      </c>
      <c r="C347" s="11">
        <v>2026</v>
      </c>
      <c r="D347" s="41">
        <f>SUMIFS(Registre!$P$3:$P$15000,Registre!$A$3:$A$15000,9,Registre!$B$3:$B$15000,"décembre",Registre!$C$3:$C$15000,2026)</f>
        <v>0</v>
      </c>
    </row>
    <row r="348" spans="1:4" x14ac:dyDescent="0.25">
      <c r="A348" s="11">
        <v>10</v>
      </c>
      <c r="B348" s="11" t="s">
        <v>26</v>
      </c>
      <c r="C348" s="11">
        <v>2026</v>
      </c>
      <c r="D348" s="41">
        <f>SUMIFS(Registre!$P$3:$P$15000,Registre!$A$3:$A$15000,10,Registre!$B$3:$B$15000,"décembre",Registre!$C$3:$C$15000,2026)</f>
        <v>0</v>
      </c>
    </row>
    <row r="349" spans="1:4" x14ac:dyDescent="0.25">
      <c r="A349" s="11">
        <v>11</v>
      </c>
      <c r="B349" s="11" t="s">
        <v>26</v>
      </c>
      <c r="C349" s="11">
        <v>2026</v>
      </c>
      <c r="D349" s="41">
        <f>SUMIFS(Registre!$P$3:$P$15000,Registre!$A$3:$A$15000,11,Registre!$B$3:$B$15000,"décembre",Registre!$C$3:$C$15000,2026)</f>
        <v>0</v>
      </c>
    </row>
    <row r="350" spans="1:4" x14ac:dyDescent="0.25">
      <c r="A350" s="11">
        <v>12</v>
      </c>
      <c r="B350" s="11" t="s">
        <v>26</v>
      </c>
      <c r="C350" s="11">
        <v>2026</v>
      </c>
      <c r="D350" s="41">
        <f>SUMIFS(Registre!$P$3:$P$15000,Registre!$A$3:$A$15000,12,Registre!$B$3:$B$15000,"décembre",Registre!$C$3:$C$15000,2026)</f>
        <v>0</v>
      </c>
    </row>
    <row r="351" spans="1:4" x14ac:dyDescent="0.25">
      <c r="A351" s="11">
        <v>13</v>
      </c>
      <c r="B351" s="11" t="s">
        <v>26</v>
      </c>
      <c r="C351" s="11">
        <v>2026</v>
      </c>
      <c r="D351" s="41">
        <f>SUMIFS(Registre!$P$3:$P$15000,Registre!$A$3:$A$15000,13,Registre!$B$3:$B$15000,"décembre",Registre!$C$3:$C$15000,2026)</f>
        <v>0</v>
      </c>
    </row>
    <row r="352" spans="1:4" x14ac:dyDescent="0.25">
      <c r="A352" s="11">
        <v>14</v>
      </c>
      <c r="B352" s="11" t="s">
        <v>26</v>
      </c>
      <c r="C352" s="11">
        <v>2026</v>
      </c>
      <c r="D352" s="41">
        <f>SUMIFS(Registre!$P$3:$P$15000,Registre!$A$3:$A$15000,14,Registre!$B$3:$B$15000,"décembre",Registre!$C$3:$C$15000,2026)</f>
        <v>0</v>
      </c>
    </row>
    <row r="353" spans="1:4" x14ac:dyDescent="0.25">
      <c r="A353" s="11">
        <v>15</v>
      </c>
      <c r="B353" s="11" t="s">
        <v>26</v>
      </c>
      <c r="C353" s="11">
        <v>2026</v>
      </c>
      <c r="D353" s="41">
        <f>SUMIFS(Registre!$P$3:$P$15000,Registre!$A$3:$A$15000,15,Registre!$B$3:$B$15000,"décembre",Registre!$C$3:$C$15000,2026)</f>
        <v>0</v>
      </c>
    </row>
    <row r="354" spans="1:4" x14ac:dyDescent="0.25">
      <c r="A354" s="11">
        <v>16</v>
      </c>
      <c r="B354" s="11" t="s">
        <v>26</v>
      </c>
      <c r="C354" s="11">
        <v>2026</v>
      </c>
      <c r="D354" s="41">
        <f>SUMIFS(Registre!$P$3:$P$15000,Registre!$A$3:$A$15000,16,Registre!$B$3:$B$15000,"décembre",Registre!$C$3:$C$15000,2026)</f>
        <v>0</v>
      </c>
    </row>
    <row r="355" spans="1:4" x14ac:dyDescent="0.25">
      <c r="A355" s="11">
        <v>17</v>
      </c>
      <c r="B355" s="11" t="s">
        <v>26</v>
      </c>
      <c r="C355" s="11">
        <v>2026</v>
      </c>
      <c r="D355" s="41">
        <f>SUMIFS(Registre!$P$3:$P$15000,Registre!$A$3:$A$15000,17,Registre!$B$3:$B$15000,"décembre",Registre!$C$3:$C$15000,2026)</f>
        <v>0</v>
      </c>
    </row>
    <row r="356" spans="1:4" x14ac:dyDescent="0.25">
      <c r="A356" s="11">
        <v>18</v>
      </c>
      <c r="B356" s="11" t="s">
        <v>26</v>
      </c>
      <c r="C356" s="11">
        <v>2026</v>
      </c>
      <c r="D356" s="41">
        <f>SUMIFS(Registre!$P$3:$P$15000,Registre!$A$3:$A$15000,18,Registre!$B$3:$B$15000,"décembre",Registre!$C$3:$C$15000,2026)</f>
        <v>0</v>
      </c>
    </row>
    <row r="357" spans="1:4" x14ac:dyDescent="0.25">
      <c r="A357" s="11">
        <v>19</v>
      </c>
      <c r="B357" s="11" t="s">
        <v>26</v>
      </c>
      <c r="C357" s="11">
        <v>2026</v>
      </c>
      <c r="D357" s="41">
        <f>SUMIFS(Registre!$P$3:$P$15000,Registre!$A$3:$A$15000,19,Registre!$B$3:$B$15000,"décembre",Registre!$C$3:$C$15000,2026)</f>
        <v>0</v>
      </c>
    </row>
    <row r="358" spans="1:4" x14ac:dyDescent="0.25">
      <c r="A358" s="11">
        <v>20</v>
      </c>
      <c r="B358" s="11" t="s">
        <v>26</v>
      </c>
      <c r="C358" s="11">
        <v>2026</v>
      </c>
      <c r="D358" s="41">
        <f>SUMIFS(Registre!$P$3:$P$15000,Registre!$A$3:$A$15000,20,Registre!$B$3:$B$15000,"décembre",Registre!$C$3:$C$15000,2026)</f>
        <v>0</v>
      </c>
    </row>
    <row r="359" spans="1:4" x14ac:dyDescent="0.25">
      <c r="A359" s="11">
        <v>21</v>
      </c>
      <c r="B359" s="11" t="s">
        <v>26</v>
      </c>
      <c r="C359" s="11">
        <v>2026</v>
      </c>
      <c r="D359" s="41">
        <f>SUMIFS(Registre!$P$3:$P$15000,Registre!$A$3:$A$15000,21,Registre!$B$3:$B$15000,"décembre",Registre!$C$3:$C$15000,2026)</f>
        <v>0</v>
      </c>
    </row>
    <row r="360" spans="1:4" x14ac:dyDescent="0.25">
      <c r="A360" s="11">
        <v>22</v>
      </c>
      <c r="B360" s="11" t="s">
        <v>26</v>
      </c>
      <c r="C360" s="11">
        <v>2026</v>
      </c>
      <c r="D360" s="41">
        <f>SUMIFS(Registre!$P$3:$P$15000,Registre!$A$3:$A$15000,22,Registre!$B$3:$B$15000,"décembre",Registre!$C$3:$C$15000,2026)</f>
        <v>0</v>
      </c>
    </row>
    <row r="361" spans="1:4" x14ac:dyDescent="0.25">
      <c r="A361" s="11">
        <v>23</v>
      </c>
      <c r="B361" s="11" t="s">
        <v>26</v>
      </c>
      <c r="C361" s="11">
        <v>2026</v>
      </c>
      <c r="D361" s="41">
        <f>SUMIFS(Registre!$P$3:$P$15000,Registre!$A$3:$A$15000,23,Registre!$B$3:$B$15000,"décembre",Registre!$C$3:$C$15000,2026)</f>
        <v>0</v>
      </c>
    </row>
    <row r="362" spans="1:4" x14ac:dyDescent="0.25">
      <c r="A362" s="11">
        <v>24</v>
      </c>
      <c r="B362" s="11" t="s">
        <v>26</v>
      </c>
      <c r="C362" s="11">
        <v>2026</v>
      </c>
      <c r="D362" s="41">
        <f>SUMIFS(Registre!$P$3:$P$15000,Registre!$A$3:$A$15000,24,Registre!$B$3:$B$15000,"décembre",Registre!$C$3:$C$15000,2026)</f>
        <v>0</v>
      </c>
    </row>
    <row r="363" spans="1:4" x14ac:dyDescent="0.25">
      <c r="A363" s="11">
        <v>25</v>
      </c>
      <c r="B363" s="11" t="s">
        <v>26</v>
      </c>
      <c r="C363" s="11">
        <v>2026</v>
      </c>
      <c r="D363" s="41">
        <f>SUMIFS(Registre!$P$3:$P$15000,Registre!$A$3:$A$15000,25,Registre!$B$3:$B$15000,"décembre",Registre!$C$3:$C$15000,2026)</f>
        <v>0</v>
      </c>
    </row>
    <row r="364" spans="1:4" x14ac:dyDescent="0.25">
      <c r="A364" s="11">
        <v>26</v>
      </c>
      <c r="B364" s="11" t="s">
        <v>26</v>
      </c>
      <c r="C364" s="11">
        <v>2026</v>
      </c>
      <c r="D364" s="41">
        <f>SUMIFS(Registre!$P$3:$P$15000,Registre!$A$3:$A$15000,26,Registre!$B$3:$B$15000,"décembre",Registre!$C$3:$C$15000,2026)</f>
        <v>0</v>
      </c>
    </row>
    <row r="365" spans="1:4" x14ac:dyDescent="0.25">
      <c r="A365" s="11">
        <v>27</v>
      </c>
      <c r="B365" s="11" t="s">
        <v>26</v>
      </c>
      <c r="C365" s="11">
        <v>2026</v>
      </c>
      <c r="D365" s="41">
        <f>SUMIFS(Registre!$P$3:$P$15000,Registre!$A$3:$A$15000,27,Registre!$B$3:$B$15000,"décembre",Registre!$C$3:$C$15000,2026)</f>
        <v>0</v>
      </c>
    </row>
    <row r="366" spans="1:4" x14ac:dyDescent="0.25">
      <c r="A366" s="11">
        <v>28</v>
      </c>
      <c r="B366" s="11" t="s">
        <v>26</v>
      </c>
      <c r="C366" s="11">
        <v>2026</v>
      </c>
      <c r="D366" s="41">
        <f>SUMIFS(Registre!$P$3:$P$15000,Registre!$A$3:$A$15000,28,Registre!$B$3:$B$15000,"décembre",Registre!$C$3:$C$15000,2026)</f>
        <v>0</v>
      </c>
    </row>
    <row r="367" spans="1:4" x14ac:dyDescent="0.25">
      <c r="A367" s="11">
        <v>29</v>
      </c>
      <c r="B367" s="11" t="s">
        <v>26</v>
      </c>
      <c r="C367" s="11">
        <v>2026</v>
      </c>
      <c r="D367" s="41">
        <f>SUMIFS(Registre!$P$3:$P$15000,Registre!$A$3:$A$15000,29,Registre!$B$3:$B$15000,"décembre",Registre!$C$3:$C$15000,2026)</f>
        <v>0</v>
      </c>
    </row>
    <row r="368" spans="1:4" x14ac:dyDescent="0.25">
      <c r="A368" s="11">
        <v>30</v>
      </c>
      <c r="B368" s="11" t="s">
        <v>26</v>
      </c>
      <c r="C368" s="11">
        <v>2026</v>
      </c>
      <c r="D368" s="41">
        <f>SUMIFS(Registre!$P$3:$P$15000,Registre!$A$3:$A$15000,30,Registre!$B$3:$B$15000,"décembre",Registre!$C$3:$C$15000,2026)</f>
        <v>0</v>
      </c>
    </row>
    <row r="369" spans="1:4" x14ac:dyDescent="0.25">
      <c r="A369" s="11">
        <v>31</v>
      </c>
      <c r="B369" s="11" t="s">
        <v>26</v>
      </c>
      <c r="C369" s="11">
        <v>2026</v>
      </c>
      <c r="D369" s="41">
        <f>SUMIFS(Registre!$P$3:$P$15000,Registre!$A$3:$A$15000,31,Registre!$B$3:$B$15000,"décembre",Registre!$C$3:$C$15000,2026)</f>
        <v>0</v>
      </c>
    </row>
  </sheetData>
  <sheetProtection algorithmName="SHA-512" hashValue="ogUGOGuHxKm093/dYo9oA4mGfh6RXVQlc6I3Wh5rx4OsHxgM8esxwZoXgRiGJajvJTzp5ouuP8SCn8xRd4nimA==" saltValue="d/njsNmHYAcXsbC34MQIDg==" spinCount="100000" sheet="1" objects="1" scenarios="1"/>
  <mergeCells count="7">
    <mergeCell ref="A2:D2"/>
    <mergeCell ref="F2:S2"/>
    <mergeCell ref="A3:C3"/>
    <mergeCell ref="D3:D4"/>
    <mergeCell ref="F3:F4"/>
    <mergeCell ref="G3:G4"/>
    <mergeCell ref="H3:S3"/>
  </mergeCells>
  <conditionalFormatting sqref="D5:D369">
    <cfRule type="expression" dxfId="29" priority="6">
      <formula>D5&gt;15</formula>
    </cfRule>
  </conditionalFormatting>
  <conditionalFormatting sqref="D36:D63">
    <cfRule type="expression" dxfId="28" priority="5">
      <formula>"ET($D$5:$D$35&gt;15;$H5&gt;$G$5"</formula>
    </cfRule>
  </conditionalFormatting>
  <conditionalFormatting sqref="H5:S13">
    <cfRule type="expression" dxfId="27" priority="1">
      <formula>AND(COUNTIFS($B:$B,H$4,$D:$D,"&gt;15")&gt;0,$G5&lt;H5,ISNUMBER(H5))</formula>
    </cfRule>
  </conditionalFormatting>
  <conditionalFormatting sqref="I5:I13">
    <cfRule type="expression" dxfId="26" priority="2">
      <formula>AND($D$36:$D$63&gt;15,$I5&gt;$G5)</formula>
    </cfRule>
  </conditionalFormatting>
  <conditionalFormatting sqref="J5:J13">
    <cfRule type="expression" dxfId="25" priority="4">
      <formula>"ET($D$64:$D$94&gt;15;$J$5&gt;$G$5)"</formula>
    </cfRule>
  </conditionalFormatting>
  <conditionalFormatting sqref="K5:K13">
    <cfRule type="expression" dxfId="24" priority="3">
      <formula>AND($D$95:$D$124&gt;15,$K$5&gt;$G$5)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369"/>
  <sheetViews>
    <sheetView workbookViewId="0">
      <selection activeCell="D5" sqref="D5:D369"/>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49</v>
      </c>
      <c r="B2" s="57"/>
      <c r="C2" s="57"/>
      <c r="D2" s="58"/>
      <c r="F2" s="59" t="s">
        <v>66</v>
      </c>
      <c r="G2" s="60"/>
      <c r="H2" s="60"/>
      <c r="I2" s="60"/>
      <c r="J2" s="60"/>
      <c r="K2" s="60"/>
      <c r="L2" s="60"/>
      <c r="M2" s="60"/>
      <c r="N2" s="60"/>
      <c r="O2" s="60"/>
      <c r="P2" s="60"/>
      <c r="Q2" s="60"/>
      <c r="R2" s="60"/>
      <c r="S2" s="61"/>
    </row>
    <row r="3" spans="1:19" x14ac:dyDescent="0.25">
      <c r="A3" s="62" t="s">
        <v>1</v>
      </c>
      <c r="B3" s="63"/>
      <c r="C3" s="63"/>
      <c r="D3" s="64" t="s">
        <v>5</v>
      </c>
      <c r="F3" s="66" t="s">
        <v>29</v>
      </c>
      <c r="G3" s="68" t="s">
        <v>34</v>
      </c>
      <c r="H3" s="70" t="s">
        <v>30</v>
      </c>
      <c r="I3" s="70"/>
      <c r="J3" s="70"/>
      <c r="K3" s="70"/>
      <c r="L3" s="70"/>
      <c r="M3" s="70"/>
      <c r="N3" s="70"/>
      <c r="O3" s="70"/>
      <c r="P3" s="70"/>
      <c r="Q3" s="70"/>
      <c r="R3" s="70"/>
      <c r="S3" s="71"/>
    </row>
    <row r="4" spans="1:19" ht="47.25" customHeight="1" thickBot="1" x14ac:dyDescent="0.3">
      <c r="A4" s="29"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30" t="s">
        <v>26</v>
      </c>
    </row>
    <row r="5" spans="1:19" x14ac:dyDescent="0.25">
      <c r="A5" s="15">
        <v>1</v>
      </c>
      <c r="B5" s="15" t="s">
        <v>15</v>
      </c>
      <c r="C5" s="15">
        <v>2027</v>
      </c>
      <c r="D5" s="39">
        <f>SUMIFS(Registre!$P$3:$P$15000,Registre!$A$3:$A$15000,1,Registre!$B$3:$B$15000,"janvier",Registre!$C$3:$C$15000,2027)</f>
        <v>0</v>
      </c>
      <c r="F5" s="27" t="s">
        <v>37</v>
      </c>
      <c r="G5" s="21">
        <v>730</v>
      </c>
      <c r="H5" s="35" t="str">
        <f>IFERROR(SUMIFS(Registre!$V$3:$V$15000,Registre!$B$3:$B$15000,"janvier",Registre!$R$3:$R$15000,$F5,Registre!$C$3:$C$15000,2027)/SUMIFS(Registre!$W$3:$W$15000,Registre!$B$3:$B$15000,"janvier",Registre!$R$3:$R$15000,$F5,Registre!$C$3:$C$15000,2027),"0")</f>
        <v>0</v>
      </c>
      <c r="I5" s="35" t="str">
        <f>IFERROR(SUMIFS(Registre!$V$3:$V$15000,Registre!$B$3:$B$15000,"février",Registre!$R$3:$R$15000,$F5,Registre!$C$3:$C$15000,2027)/SUMIFS(Registre!$W$3:$W$15000,Registre!$B$3:$B$15000,"février",Registre!$R$3:$R$15000,$F5,Registre!$C$3:$C$15000,2027),"0")</f>
        <v>0</v>
      </c>
      <c r="J5" s="35" t="str">
        <f>IFERROR(SUMIFS(Registre!$V$3:$V$15000,Registre!$B$3:$B$15000,"mars",Registre!$R$3:$R$15000,$F5,Registre!$C$3:$C$15000,2027)/SUMIFS(Registre!$W$3:$W$15000,Registre!$B$3:$B$15000,"mars",Registre!$R$3:$R$15000,$F5,Registre!$C$3:$C$15000,2027),"0")</f>
        <v>0</v>
      </c>
      <c r="K5" s="35" t="str">
        <f>IFERROR(SUMIFS(Registre!$V$3:$V$15000,Registre!$B$3:$B$15000,"avril",Registre!$R$3:$R$15000,$F5,Registre!$C$3:$C$15000,2027)/SUMIFS(Registre!$W$3:$W$15000,Registre!$B$3:$B$15000,"avril",Registre!$R$3:$R$15000,$F5,Registre!$C$3:$C$15000,2027),"0")</f>
        <v>0</v>
      </c>
      <c r="L5" s="35" t="str">
        <f>IFERROR(SUMIFS(Registre!$V$3:$V$15000,Registre!$B$3:$B$15000,"mai",Registre!$R$3:$R$15000,$F5,Registre!$C$3:$C$15000,2027)/SUMIFS(Registre!$W$3:$W$15000,Registre!$B$3:$B$15000,"mai",Registre!$R$3:$R$15000,$F5,Registre!$C$3:$C$15000,2027),"0")</f>
        <v>0</v>
      </c>
      <c r="M5" s="35" t="str">
        <f>IFERROR(SUMIFS(Registre!$V$3:$V$15000,Registre!$B$3:$B$15000,"juin",Registre!$R$3:$R$15000,$F5,Registre!$C$3:$C$15000,2027)/SUMIFS(Registre!$W$3:$W$15000,Registre!$B$3:$B$15000,"juin",Registre!$R$3:$R$15000,$F5,Registre!$C$3:$C$15000,2027),"0")</f>
        <v>0</v>
      </c>
      <c r="N5" s="35" t="str">
        <f>IFERROR(SUMIFS(Registre!$V$3:$V$15000,Registre!$B$3:$B$15000,"juillet",Registre!$R$3:$R$15000,$F5,Registre!$C$3:$C$15000,2027)/SUMIFS(Registre!$W$3:$W$15000,Registre!$B$3:$B$15000,"juillet",Registre!$R$3:$R$15000,$F5,Registre!$C$3:$C$15000,2027),"0")</f>
        <v>0</v>
      </c>
      <c r="O5" s="35" t="str">
        <f>IFERROR(SUMIFS(Registre!$V$3:$V$15000,Registre!$B$3:$B$15000,"août",Registre!$R$3:$R$15000,$F5,Registre!$C$3:$C$15000,2027)/SUMIFS(Registre!$W$3:$W$15000,Registre!$B$3:$B$15000,"août",Registre!$R$3:$R$15000,$F5,Registre!$C$3:$C$15000,2027),"0")</f>
        <v>0</v>
      </c>
      <c r="P5" s="35" t="str">
        <f>IFERROR(SUMIFS(Registre!$V$3:$V$15000,Registre!$B$3:$B$15000,"septembre",Registre!$R$3:$R$15000,$F5,Registre!$C$3:$C$15000,2027)/SUMIFS(Registre!$W$3:$W$15000,Registre!$B$3:$B$15000,"septembre",Registre!$R$3:$R$15000,$F5,Registre!$C$3:$C$15000,2027),"0")</f>
        <v>0</v>
      </c>
      <c r="Q5" s="35" t="str">
        <f>IFERROR(SUMIFS(Registre!$V$3:$V$15000,Registre!$B$3:$B$15000,"octobre",Registre!$R$3:$R$15000,$F5,Registre!$C$3:$C$15000,2027)/SUMIFS(Registre!$W$3:$W$15000,Registre!$B$3:$B$15000,"octobre",Registre!$R$3:$R$15000,$F5,Registre!$C$3:$C$15000,2027),"0")</f>
        <v>0</v>
      </c>
      <c r="R5" s="35" t="str">
        <f>IFERROR(SUMIFS(Registre!$V$3:$V$15000,Registre!$B$3:$B$15000,"novembre",Registre!$R$3:$R$15000,$F5,Registre!$C$3:$C$15000,2027)/SUMIFS(Registre!$W$3:$W$15000,Registre!$B$3:$B$15000,"novembre",Registre!$R$3:$R$15000,$F5,Registre!$C$3:$C$15000,2027),"0")</f>
        <v>0</v>
      </c>
      <c r="S5" s="36" t="str">
        <f>IFERROR(SUMIFS(Registre!$V$3:$V$15000,Registre!$B$3:$B$15000,"décembre",Registre!$R$3:$R$15000,$F5,Registre!$C$3:$C$15000,2027)/SUMIFS(Registre!$W$3:$W$15000,Registre!$B$3:$B$15000,"décembre",Registre!$R$3:$R$15000,$F5,Registre!$C$3:$C$15000,2027),"0")</f>
        <v>0</v>
      </c>
    </row>
    <row r="6" spans="1:19" x14ac:dyDescent="0.25">
      <c r="A6" s="10">
        <v>2</v>
      </c>
      <c r="B6" s="15" t="s">
        <v>15</v>
      </c>
      <c r="C6" s="10">
        <v>2027</v>
      </c>
      <c r="D6" s="40">
        <f>SUMIFS(Registre!$P$3:$P$15000,Registre!$A$3:$A$15000,2,Registre!$B$3:$B$15000,"janvier",Registre!$C$3:$C$15000,2027)</f>
        <v>0</v>
      </c>
      <c r="F6" s="25" t="s">
        <v>38</v>
      </c>
      <c r="G6" s="22">
        <v>760</v>
      </c>
      <c r="H6" s="35" t="str">
        <f>IFERROR(SUMIFS(Registre!$V$3:$V$15000,Registre!$B$3:$B$15000,"janvier",Registre!$R$3:$R$15000,$F6,Registre!$C$3:$C$15000,2027)/SUMIFS(Registre!$W$3:$W$15000,Registre!$B$3:$B$15000,"janvier",Registre!$R$3:$R$15000,$F6,Registre!$C$3:$C$15000,2027),"0")</f>
        <v>0</v>
      </c>
      <c r="I6" s="35" t="str">
        <f>IFERROR(SUMIFS(Registre!$V$3:$V$15000,Registre!$B$3:$B$15000,"février",Registre!$R$3:$R$15000,$F6,Registre!$C$3:$C$15000,2027)/SUMIFS(Registre!$W$3:$W$15000,Registre!$B$3:$B$15000,"février",Registre!$R$3:$R$15000,$F6,Registre!$C$3:$C$15000,2027),"0")</f>
        <v>0</v>
      </c>
      <c r="J6" s="35" t="str">
        <f>IFERROR(SUMIFS(Registre!$V$3:$V$15000,Registre!$B$3:$B$15000,"mars",Registre!$R$3:$R$15000,$F6,Registre!$C$3:$C$15000,2027)/SUMIFS(Registre!$W$3:$W$15000,Registre!$B$3:$B$15000,"mars",Registre!$R$3:$R$15000,$F6,Registre!$C$3:$C$15000,2027),"0")</f>
        <v>0</v>
      </c>
      <c r="K6" s="35" t="str">
        <f>IFERROR(SUMIFS(Registre!$V$3:$V$15000,Registre!$B$3:$B$15000,"avril",Registre!$R$3:$R$15000,$F6,Registre!$C$3:$C$15000,2027)/SUMIFS(Registre!$W$3:$W$15000,Registre!$B$3:$B$15000,"avril",Registre!$R$3:$R$15000,$F6,Registre!$C$3:$C$15000,2027),"0")</f>
        <v>0</v>
      </c>
      <c r="L6" s="35" t="str">
        <f>IFERROR(SUMIFS(Registre!$V$3:$V$15000,Registre!$B$3:$B$15000,"mai",Registre!$R$3:$R$15000,$F6,Registre!$C$3:$C$15000,2027)/SUMIFS(Registre!$W$3:$W$15000,Registre!$B$3:$B$15000,"mai",Registre!$R$3:$R$15000,$F6,Registre!$C$3:$C$15000,2027),"0")</f>
        <v>0</v>
      </c>
      <c r="M6" s="35" t="str">
        <f>IFERROR(SUMIFS(Registre!$V$3:$V$15000,Registre!$B$3:$B$15000,"juin",Registre!$R$3:$R$15000,$F6,Registre!$C$3:$C$15000,2027)/SUMIFS(Registre!$W$3:$W$15000,Registre!$B$3:$B$15000,"juin",Registre!$R$3:$R$15000,$F6,Registre!$C$3:$C$15000,2027),"0")</f>
        <v>0</v>
      </c>
      <c r="N6" s="35" t="str">
        <f>IFERROR(SUMIFS(Registre!$V$3:$V$15000,Registre!$B$3:$B$15000,"juillet",Registre!$R$3:$R$15000,$F6,Registre!$C$3:$C$15000,2027)/SUMIFS(Registre!$W$3:$W$15000,Registre!$B$3:$B$15000,"juillet",Registre!$R$3:$R$15000,$F6,Registre!$C$3:$C$15000,2027),"0")</f>
        <v>0</v>
      </c>
      <c r="O6" s="35" t="str">
        <f>IFERROR(SUMIFS(Registre!$V$3:$V$15000,Registre!$B$3:$B$15000,"août",Registre!$R$3:$R$15000,$F6,Registre!$C$3:$C$15000,2027)/SUMIFS(Registre!$W$3:$W$15000,Registre!$B$3:$B$15000,"août",Registre!$R$3:$R$15000,$F6,Registre!$C$3:$C$15000,2027),"0")</f>
        <v>0</v>
      </c>
      <c r="P6" s="35" t="str">
        <f>IFERROR(SUMIFS(Registre!$V$3:$V$15000,Registre!$B$3:$B$15000,"septembre",Registre!$R$3:$R$15000,$F6,Registre!$C$3:$C$15000,2027)/SUMIFS(Registre!$W$3:$W$15000,Registre!$B$3:$B$15000,"septembre",Registre!$R$3:$R$15000,$F6,Registre!$C$3:$C$15000,2027),"0")</f>
        <v>0</v>
      </c>
      <c r="Q6" s="35" t="str">
        <f>IFERROR(SUMIFS(Registre!$V$3:$V$15000,Registre!$B$3:$B$15000,"octobre",Registre!$R$3:$R$15000,$F6,Registre!$C$3:$C$15000,2027)/SUMIFS(Registre!$W$3:$W$15000,Registre!$B$3:$B$15000,"octobre",Registre!$R$3:$R$15000,$F6,Registre!$C$3:$C$15000,2027),"0")</f>
        <v>0</v>
      </c>
      <c r="R6" s="35" t="str">
        <f>IFERROR(SUMIFS(Registre!$V$3:$V$15000,Registre!$B$3:$B$15000,"novembre",Registre!$R$3:$R$15000,$F6,Registre!$C$3:$C$15000,2027)/SUMIFS(Registre!$W$3:$W$15000,Registre!$B$3:$B$15000,"novembre",Registre!$R$3:$R$15000,$F6,Registre!$C$3:$C$15000,2027),"0")</f>
        <v>0</v>
      </c>
      <c r="S6" s="36" t="str">
        <f>IFERROR(SUMIFS(Registre!$V$3:$V$15000,Registre!$B$3:$B$15000,"décembre",Registre!$R$3:$R$15000,$F6,Registre!$C$3:$C$15000,2027)/SUMIFS(Registre!$W$3:$W$15000,Registre!$B$3:$B$15000,"décembre",Registre!$R$3:$R$15000,$F6,Registre!$C$3:$C$15000,2027),"0")</f>
        <v>0</v>
      </c>
    </row>
    <row r="7" spans="1:19" x14ac:dyDescent="0.25">
      <c r="A7" s="10">
        <v>3</v>
      </c>
      <c r="B7" s="15" t="s">
        <v>15</v>
      </c>
      <c r="C7" s="10">
        <v>2027</v>
      </c>
      <c r="D7" s="40">
        <f>SUMIFS(Registre!$P$3:$P$15000,Registre!$A$3:$A$15000,3,Registre!$B$3:$B$15000,"janvier",Registre!$C$3:$C$15000,2027)</f>
        <v>0</v>
      </c>
      <c r="F7" s="25" t="s">
        <v>39</v>
      </c>
      <c r="G7" s="22">
        <v>780</v>
      </c>
      <c r="H7" s="35" t="str">
        <f>IFERROR(SUMIFS(Registre!$V$3:$V$15000,Registre!$B$3:$B$15000,"janvier",Registre!$R$3:$R$15000,$F7,Registre!$C$3:$C$15000,2027)/SUMIFS(Registre!$W$3:$W$15000,Registre!$B$3:$B$15000,"janvier",Registre!$R$3:$R$15000,$F7,Registre!$C$3:$C$15000,2027),"0")</f>
        <v>0</v>
      </c>
      <c r="I7" s="35" t="str">
        <f>IFERROR(SUMIFS(Registre!$V$3:$V$15000,Registre!$B$3:$B$15000,"février",Registre!$R$3:$R$15000,$F7,Registre!$C$3:$C$15000,2027)/SUMIFS(Registre!$W$3:$W$15000,Registre!$B$3:$B$15000,"février",Registre!$R$3:$R$15000,$F7,Registre!$C$3:$C$15000,2027),"0")</f>
        <v>0</v>
      </c>
      <c r="J7" s="35" t="str">
        <f>IFERROR(SUMIFS(Registre!$V$3:$V$15000,Registre!$B$3:$B$15000,"mars",Registre!$R$3:$R$15000,$F7,Registre!$C$3:$C$15000,2027)/SUMIFS(Registre!$W$3:$W$15000,Registre!$B$3:$B$15000,"mars",Registre!$R$3:$R$15000,$F7,Registre!$C$3:$C$15000,2027),"0")</f>
        <v>0</v>
      </c>
      <c r="K7" s="35" t="str">
        <f>IFERROR(SUMIFS(Registre!$V$3:$V$15000,Registre!$B$3:$B$15000,"avril",Registre!$R$3:$R$15000,$F7,Registre!$C$3:$C$15000,2027)/SUMIFS(Registre!$W$3:$W$15000,Registre!$B$3:$B$15000,"avril",Registre!$R$3:$R$15000,$F7,Registre!$C$3:$C$15000,2027),"0")</f>
        <v>0</v>
      </c>
      <c r="L7" s="35" t="str">
        <f>IFERROR(SUMIFS(Registre!$V$3:$V$15000,Registre!$B$3:$B$15000,"mai",Registre!$R$3:$R$15000,$F7,Registre!$C$3:$C$15000,2027)/SUMIFS(Registre!$W$3:$W$15000,Registre!$B$3:$B$15000,"mai",Registre!$R$3:$R$15000,$F7,Registre!$C$3:$C$15000,2027),"0")</f>
        <v>0</v>
      </c>
      <c r="M7" s="35" t="str">
        <f>IFERROR(SUMIFS(Registre!$V$3:$V$15000,Registre!$B$3:$B$15000,"juin",Registre!$R$3:$R$15000,$F7,Registre!$C$3:$C$15000,2027)/SUMIFS(Registre!$W$3:$W$15000,Registre!$B$3:$B$15000,"juin",Registre!$R$3:$R$15000,$F7,Registre!$C$3:$C$15000,2027),"0")</f>
        <v>0</v>
      </c>
      <c r="N7" s="35" t="str">
        <f>IFERROR(SUMIFS(Registre!$V$3:$V$15000,Registre!$B$3:$B$15000,"juillet",Registre!$R$3:$R$15000,$F7,Registre!$C$3:$C$15000,2027)/SUMIFS(Registre!$W$3:$W$15000,Registre!$B$3:$B$15000,"juillet",Registre!$R$3:$R$15000,$F7,Registre!$C$3:$C$15000,2027),"0")</f>
        <v>0</v>
      </c>
      <c r="O7" s="35" t="str">
        <f>IFERROR(SUMIFS(Registre!$V$3:$V$15000,Registre!$B$3:$B$15000,"août",Registre!$R$3:$R$15000,$F7,Registre!$C$3:$C$15000,2027)/SUMIFS(Registre!$W$3:$W$15000,Registre!$B$3:$B$15000,"août",Registre!$R$3:$R$15000,$F7,Registre!$C$3:$C$15000,2027),"0")</f>
        <v>0</v>
      </c>
      <c r="P7" s="35" t="str">
        <f>IFERROR(SUMIFS(Registre!$V$3:$V$15000,Registre!$B$3:$B$15000,"septembre",Registre!$R$3:$R$15000,$F7,Registre!$C$3:$C$15000,2027)/SUMIFS(Registre!$W$3:$W$15000,Registre!$B$3:$B$15000,"septembre",Registre!$R$3:$R$15000,$F7,Registre!$C$3:$C$15000,2027),"0")</f>
        <v>0</v>
      </c>
      <c r="Q7" s="35" t="str">
        <f>IFERROR(SUMIFS(Registre!$V$3:$V$15000,Registre!$B$3:$B$15000,"octobre",Registre!$R$3:$R$15000,$F7,Registre!$C$3:$C$15000,2027)/SUMIFS(Registre!$W$3:$W$15000,Registre!$B$3:$B$15000,"octobre",Registre!$R$3:$R$15000,$F7,Registre!$C$3:$C$15000,2027),"0")</f>
        <v>0</v>
      </c>
      <c r="R7" s="35" t="str">
        <f>IFERROR(SUMIFS(Registre!$V$3:$V$15000,Registre!$B$3:$B$15000,"novembre",Registre!$R$3:$R$15000,$F7,Registre!$C$3:$C$15000,2027)/SUMIFS(Registre!$W$3:$W$15000,Registre!$B$3:$B$15000,"novembre",Registre!$R$3:$R$15000,$F7,Registre!$C$3:$C$15000,2027),"0")</f>
        <v>0</v>
      </c>
      <c r="S7" s="36" t="str">
        <f>IFERROR(SUMIFS(Registre!$V$3:$V$15000,Registre!$B$3:$B$15000,"décembre",Registre!$R$3:$R$15000,$F7,Registre!$C$3:$C$15000,2027)/SUMIFS(Registre!$W$3:$W$15000,Registre!$B$3:$B$15000,"décembre",Registre!$R$3:$R$15000,$F7,Registre!$C$3:$C$15000,2027),"0")</f>
        <v>0</v>
      </c>
    </row>
    <row r="8" spans="1:19" x14ac:dyDescent="0.25">
      <c r="A8" s="10">
        <v>4</v>
      </c>
      <c r="B8" s="15" t="s">
        <v>15</v>
      </c>
      <c r="C8" s="10">
        <v>2027</v>
      </c>
      <c r="D8" s="40">
        <f>SUMIFS(Registre!$P$3:$P$15000,Registre!$A$3:$A$15000,4,Registre!$B$3:$B$15000,"janvier",Registre!$C$3:$C$15000,2027)</f>
        <v>0</v>
      </c>
      <c r="F8" s="25" t="s">
        <v>40</v>
      </c>
      <c r="G8" s="22">
        <v>480</v>
      </c>
      <c r="H8" s="35" t="str">
        <f>IFERROR(SUMIFS(Registre!$V$3:$V$15000,Registre!$B$3:$B$15000,"janvier",Registre!$R$3:$R$15000,$F8,Registre!$C$3:$C$15000,2027)/SUMIFS(Registre!$W$3:$W$15000,Registre!$B$3:$B$15000,"janvier",Registre!$R$3:$R$15000,$F8,Registre!$C$3:$C$15000,2027),"0")</f>
        <v>0</v>
      </c>
      <c r="I8" s="35" t="str">
        <f>IFERROR(SUMIFS(Registre!$V$3:$V$15000,Registre!$B$3:$B$15000,"février",Registre!$R$3:$R$15000,$F8,Registre!$C$3:$C$15000,2027)/SUMIFS(Registre!$W$3:$W$15000,Registre!$B$3:$B$15000,"février",Registre!$R$3:$R$15000,$F8,Registre!$C$3:$C$15000,2027),"0")</f>
        <v>0</v>
      </c>
      <c r="J8" s="35" t="str">
        <f>IFERROR(SUMIFS(Registre!$V$3:$V$15000,Registre!$B$3:$B$15000,"mars",Registre!$R$3:$R$15000,$F8,Registre!$C$3:$C$15000,2027)/SUMIFS(Registre!$W$3:$W$15000,Registre!$B$3:$B$15000,"mars",Registre!$R$3:$R$15000,$F8,Registre!$C$3:$C$15000,2027),"0")</f>
        <v>0</v>
      </c>
      <c r="K8" s="35" t="str">
        <f>IFERROR(SUMIFS(Registre!$V$3:$V$15000,Registre!$B$3:$B$15000,"avril",Registre!$R$3:$R$15000,$F8,Registre!$C$3:$C$15000,2027)/SUMIFS(Registre!$W$3:$W$15000,Registre!$B$3:$B$15000,"avril",Registre!$R$3:$R$15000,$F8,Registre!$C$3:$C$15000,2027),"0")</f>
        <v>0</v>
      </c>
      <c r="L8" s="35" t="str">
        <f>IFERROR(SUMIFS(Registre!$V$3:$V$15000,Registre!$B$3:$B$15000,"mai",Registre!$R$3:$R$15000,$F8,Registre!$C$3:$C$15000,2027)/SUMIFS(Registre!$W$3:$W$15000,Registre!$B$3:$B$15000,"mai",Registre!$R$3:$R$15000,$F8,Registre!$C$3:$C$15000,2027),"0")</f>
        <v>0</v>
      </c>
      <c r="M8" s="35" t="str">
        <f>IFERROR(SUMIFS(Registre!$V$3:$V$15000,Registre!$B$3:$B$15000,"juin",Registre!$R$3:$R$15000,$F8,Registre!$C$3:$C$15000,2027)/SUMIFS(Registre!$W$3:$W$15000,Registre!$B$3:$B$15000,"juin",Registre!$R$3:$R$15000,$F8,Registre!$C$3:$C$15000,2027),"0")</f>
        <v>0</v>
      </c>
      <c r="N8" s="35" t="str">
        <f>IFERROR(SUMIFS(Registre!$V$3:$V$15000,Registre!$B$3:$B$15000,"juillet",Registre!$R$3:$R$15000,$F8,Registre!$C$3:$C$15000,2027)/SUMIFS(Registre!$W$3:$W$15000,Registre!$B$3:$B$15000,"juillet",Registre!$R$3:$R$15000,$F8,Registre!$C$3:$C$15000,2027),"0")</f>
        <v>0</v>
      </c>
      <c r="O8" s="35" t="str">
        <f>IFERROR(SUMIFS(Registre!$V$3:$V$15000,Registre!$B$3:$B$15000,"août",Registre!$R$3:$R$15000,$F8,Registre!$C$3:$C$15000,2027)/SUMIFS(Registre!$W$3:$W$15000,Registre!$B$3:$B$15000,"août",Registre!$R$3:$R$15000,$F8,Registre!$C$3:$C$15000,2027),"0")</f>
        <v>0</v>
      </c>
      <c r="P8" s="35" t="str">
        <f>IFERROR(SUMIFS(Registre!$V$3:$V$15000,Registre!$B$3:$B$15000,"septembre",Registre!$R$3:$R$15000,$F8,Registre!$C$3:$C$15000,2027)/SUMIFS(Registre!$W$3:$W$15000,Registre!$B$3:$B$15000,"septembre",Registre!$R$3:$R$15000,$F8,Registre!$C$3:$C$15000,2027),"0")</f>
        <v>0</v>
      </c>
      <c r="Q8" s="35" t="str">
        <f>IFERROR(SUMIFS(Registre!$V$3:$V$15000,Registre!$B$3:$B$15000,"octobre",Registre!$R$3:$R$15000,$F8,Registre!$C$3:$C$15000,2027)/SUMIFS(Registre!$W$3:$W$15000,Registre!$B$3:$B$15000,"octobre",Registre!$R$3:$R$15000,$F8,Registre!$C$3:$C$15000,2027),"0")</f>
        <v>0</v>
      </c>
      <c r="R8" s="35" t="str">
        <f>IFERROR(SUMIFS(Registre!$V$3:$V$15000,Registre!$B$3:$B$15000,"novembre",Registre!$R$3:$R$15000,$F8,Registre!$C$3:$C$15000,2027)/SUMIFS(Registre!$W$3:$W$15000,Registre!$B$3:$B$15000,"novembre",Registre!$R$3:$R$15000,$F8,Registre!$C$3:$C$15000,2027),"0")</f>
        <v>0</v>
      </c>
      <c r="S8" s="36" t="str">
        <f>IFERROR(SUMIFS(Registre!$V$3:$V$15000,Registre!$B$3:$B$15000,"décembre",Registre!$R$3:$R$15000,$F8,Registre!$C$3:$C$15000,2027)/SUMIFS(Registre!$W$3:$W$15000,Registre!$B$3:$B$15000,"décembre",Registre!$R$3:$R$15000,$F8,Registre!$C$3:$C$15000,2027),"0")</f>
        <v>0</v>
      </c>
    </row>
    <row r="9" spans="1:19" x14ac:dyDescent="0.25">
      <c r="A9" s="10">
        <v>5</v>
      </c>
      <c r="B9" s="15" t="s">
        <v>15</v>
      </c>
      <c r="C9" s="10">
        <v>2027</v>
      </c>
      <c r="D9" s="40">
        <f>SUMIFS(Registre!$P$3:$P$15000,Registre!$A$3:$A$15000,5,Registre!$B$3:$B$15000,"janvier",Registre!$C$3:$C$15000,2027)</f>
        <v>0</v>
      </c>
      <c r="F9" s="25" t="s">
        <v>41</v>
      </c>
      <c r="G9" s="22">
        <v>670</v>
      </c>
      <c r="H9" s="35" t="str">
        <f>IFERROR(SUMIFS(Registre!$V$3:$V$15000,Registre!$B$3:$B$15000,"janvier",Registre!$R$3:$R$15000,$F9,Registre!$C$3:$C$15000,2027)/SUMIFS(Registre!$W$3:$W$15000,Registre!$B$3:$B$15000,"janvier",Registre!$R$3:$R$15000,$F9,Registre!$C$3:$C$15000,2027),"0")</f>
        <v>0</v>
      </c>
      <c r="I9" s="35" t="str">
        <f>IFERROR(SUMIFS(Registre!$V$3:$V$15000,Registre!$B$3:$B$15000,"février",Registre!$R$3:$R$15000,$F9,Registre!$C$3:$C$15000,2027)/SUMIFS(Registre!$W$3:$W$15000,Registre!$B$3:$B$15000,"février",Registre!$R$3:$R$15000,$F9,Registre!$C$3:$C$15000,2027),"0")</f>
        <v>0</v>
      </c>
      <c r="J9" s="35" t="str">
        <f>IFERROR(SUMIFS(Registre!$V$3:$V$15000,Registre!$B$3:$B$15000,"mars",Registre!$R$3:$R$15000,$F9,Registre!$C$3:$C$15000,2027)/SUMIFS(Registre!$W$3:$W$15000,Registre!$B$3:$B$15000,"mars",Registre!$R$3:$R$15000,$F9,Registre!$C$3:$C$15000,2027),"0")</f>
        <v>0</v>
      </c>
      <c r="K9" s="35" t="str">
        <f>IFERROR(SUMIFS(Registre!$V$3:$V$15000,Registre!$B$3:$B$15000,"avril",Registre!$R$3:$R$15000,$F9,Registre!$C$3:$C$15000,2027)/SUMIFS(Registre!$W$3:$W$15000,Registre!$B$3:$B$15000,"avril",Registre!$R$3:$R$15000,$F9,Registre!$C$3:$C$15000,2027),"0")</f>
        <v>0</v>
      </c>
      <c r="L9" s="35" t="str">
        <f>IFERROR(SUMIFS(Registre!$V$3:$V$15000,Registre!$B$3:$B$15000,"mai",Registre!$R$3:$R$15000,$F9,Registre!$C$3:$C$15000,2027)/SUMIFS(Registre!$W$3:$W$15000,Registre!$B$3:$B$15000,"mai",Registre!$R$3:$R$15000,$F9,Registre!$C$3:$C$15000,2027),"0")</f>
        <v>0</v>
      </c>
      <c r="M9" s="35" t="str">
        <f>IFERROR(SUMIFS(Registre!$V$3:$V$15000,Registre!$B$3:$B$15000,"juin",Registre!$R$3:$R$15000,$F9,Registre!$C$3:$C$15000,2027)/SUMIFS(Registre!$W$3:$W$15000,Registre!$B$3:$B$15000,"juin",Registre!$R$3:$R$15000,$F9,Registre!$C$3:$C$15000,2027),"0")</f>
        <v>0</v>
      </c>
      <c r="N9" s="35" t="str">
        <f>IFERROR(SUMIFS(Registre!$V$3:$V$15000,Registre!$B$3:$B$15000,"juillet",Registre!$R$3:$R$15000,$F9,Registre!$C$3:$C$15000,2027)/SUMIFS(Registre!$W$3:$W$15000,Registre!$B$3:$B$15000,"juillet",Registre!$R$3:$R$15000,$F9,Registre!$C$3:$C$15000,2027),"0")</f>
        <v>0</v>
      </c>
      <c r="O9" s="35" t="str">
        <f>IFERROR(SUMIFS(Registre!$V$3:$V$15000,Registre!$B$3:$B$15000,"août",Registre!$R$3:$R$15000,$F9,Registre!$C$3:$C$15000,2027)/SUMIFS(Registre!$W$3:$W$15000,Registre!$B$3:$B$15000,"août",Registre!$R$3:$R$15000,$F9,Registre!$C$3:$C$15000,2027),"0")</f>
        <v>0</v>
      </c>
      <c r="P9" s="35" t="str">
        <f>IFERROR(SUMIFS(Registre!$V$3:$V$15000,Registre!$B$3:$B$15000,"septembre",Registre!$R$3:$R$15000,$F9,Registre!$C$3:$C$15000,2027)/SUMIFS(Registre!$W$3:$W$15000,Registre!$B$3:$B$15000,"septembre",Registre!$R$3:$R$15000,$F9,Registre!$C$3:$C$15000,2027),"0")</f>
        <v>0</v>
      </c>
      <c r="Q9" s="35" t="str">
        <f>IFERROR(SUMIFS(Registre!$V$3:$V$15000,Registre!$B$3:$B$15000,"octobre",Registre!$R$3:$R$15000,$F9,Registre!$C$3:$C$15000,2027)/SUMIFS(Registre!$W$3:$W$15000,Registre!$B$3:$B$15000,"octobre",Registre!$R$3:$R$15000,$F9,Registre!$C$3:$C$15000,2027),"0")</f>
        <v>0</v>
      </c>
      <c r="R9" s="35" t="str">
        <f>IFERROR(SUMIFS(Registre!$V$3:$V$15000,Registre!$B$3:$B$15000,"novembre",Registre!$R$3:$R$15000,$F9,Registre!$C$3:$C$15000,2027)/SUMIFS(Registre!$W$3:$W$15000,Registre!$B$3:$B$15000,"novembre",Registre!$R$3:$R$15000,$F9,Registre!$C$3:$C$15000,2027),"0")</f>
        <v>0</v>
      </c>
      <c r="S9" s="36" t="str">
        <f>IFERROR(SUMIFS(Registre!$V$3:$V$15000,Registre!$B$3:$B$15000,"décembre",Registre!$R$3:$R$15000,$F9,Registre!$C$3:$C$15000,2027)/SUMIFS(Registre!$W$3:$W$15000,Registre!$B$3:$B$15000,"décembre",Registre!$R$3:$R$15000,$F9,Registre!$C$3:$C$15000,2027),"0")</f>
        <v>0</v>
      </c>
    </row>
    <row r="10" spans="1:19" x14ac:dyDescent="0.25">
      <c r="A10" s="10">
        <v>6</v>
      </c>
      <c r="B10" s="15" t="s">
        <v>15</v>
      </c>
      <c r="C10" s="10">
        <v>2027</v>
      </c>
      <c r="D10" s="40">
        <f>SUMIFS(Registre!$P$3:$P$15000,Registre!$A$3:$A$15000,6,Registre!$B$3:$B$15000,"janvier",Registre!$C$3:$C$15000,2027)</f>
        <v>0</v>
      </c>
      <c r="F10" s="25" t="s">
        <v>42</v>
      </c>
      <c r="G10" s="22">
        <v>600</v>
      </c>
      <c r="H10" s="35" t="str">
        <f>IFERROR(SUMIFS(Registre!$V$3:$V$15000,Registre!$B$3:$B$15000,"janvier",Registre!$R$3:$R$15000,$F10,Registre!$C$3:$C$15000,2027)/SUMIFS(Registre!$W$3:$W$15000,Registre!$B$3:$B$15000,"janvier",Registre!$R$3:$R$15000,$F10,Registre!$C$3:$C$15000,2027),"0")</f>
        <v>0</v>
      </c>
      <c r="I10" s="35" t="str">
        <f>IFERROR(SUMIFS(Registre!$V$3:$V$15000,Registre!$B$3:$B$15000,"février",Registre!$R$3:$R$15000,$F10,Registre!$C$3:$C$15000,2027)/SUMIFS(Registre!$W$3:$W$15000,Registre!$B$3:$B$15000,"février",Registre!$R$3:$R$15000,$F10,Registre!$C$3:$C$15000,2027),"0")</f>
        <v>0</v>
      </c>
      <c r="J10" s="35" t="str">
        <f>IFERROR(SUMIFS(Registre!$V$3:$V$15000,Registre!$B$3:$B$15000,"mars",Registre!$R$3:$R$15000,$F10,Registre!$C$3:$C$15000,2027)/SUMIFS(Registre!$W$3:$W$15000,Registre!$B$3:$B$15000,"mars",Registre!$R$3:$R$15000,$F10,Registre!$C$3:$C$15000,2027),"0")</f>
        <v>0</v>
      </c>
      <c r="K10" s="35" t="str">
        <f>IFERROR(SUMIFS(Registre!$V$3:$V$15000,Registre!$B$3:$B$15000,"avril",Registre!$R$3:$R$15000,$F10,Registre!$C$3:$C$15000,2027)/SUMIFS(Registre!$W$3:$W$15000,Registre!$B$3:$B$15000,"avril",Registre!$R$3:$R$15000,$F10,Registre!$C$3:$C$15000,2027),"0")</f>
        <v>0</v>
      </c>
      <c r="L10" s="35" t="str">
        <f>IFERROR(SUMIFS(Registre!$V$3:$V$15000,Registre!$B$3:$B$15000,"mai",Registre!$R$3:$R$15000,$F10,Registre!$C$3:$C$15000,2027)/SUMIFS(Registre!$W$3:$W$15000,Registre!$B$3:$B$15000,"mai",Registre!$R$3:$R$15000,$F10,Registre!$C$3:$C$15000,2027),"0")</f>
        <v>0</v>
      </c>
      <c r="M10" s="35" t="str">
        <f>IFERROR(SUMIFS(Registre!$V$3:$V$15000,Registre!$B$3:$B$15000,"juin",Registre!$R$3:$R$15000,$F10,Registre!$C$3:$C$15000,2027)/SUMIFS(Registre!$W$3:$W$15000,Registre!$B$3:$B$15000,"juin",Registre!$R$3:$R$15000,$F10,Registre!$C$3:$C$15000,2027),"0")</f>
        <v>0</v>
      </c>
      <c r="N10" s="35" t="str">
        <f>IFERROR(SUMIFS(Registre!$V$3:$V$15000,Registre!$B$3:$B$15000,"juillet",Registre!$R$3:$R$15000,$F10,Registre!$C$3:$C$15000,2027)/SUMIFS(Registre!$W$3:$W$15000,Registre!$B$3:$B$15000,"juillet",Registre!$R$3:$R$15000,$F10,Registre!$C$3:$C$15000,2027),"0")</f>
        <v>0</v>
      </c>
      <c r="O10" s="35" t="str">
        <f>IFERROR(SUMIFS(Registre!$V$3:$V$15000,Registre!$B$3:$B$15000,"août",Registre!$R$3:$R$15000,$F10,Registre!$C$3:$C$15000,2027)/SUMIFS(Registre!$W$3:$W$15000,Registre!$B$3:$B$15000,"août",Registre!$R$3:$R$15000,$F10,Registre!$C$3:$C$15000,2027),"0")</f>
        <v>0</v>
      </c>
      <c r="P10" s="35" t="str">
        <f>IFERROR(SUMIFS(Registre!$V$3:$V$15000,Registre!$B$3:$B$15000,"septembre",Registre!$R$3:$R$15000,$F10,Registre!$C$3:$C$15000,2027)/SUMIFS(Registre!$W$3:$W$15000,Registre!$B$3:$B$15000,"septembre",Registre!$R$3:$R$15000,$F10,Registre!$C$3:$C$15000,2027),"0")</f>
        <v>0</v>
      </c>
      <c r="Q10" s="35" t="str">
        <f>IFERROR(SUMIFS(Registre!$V$3:$V$15000,Registre!$B$3:$B$15000,"octobre",Registre!$R$3:$R$15000,$F10,Registre!$C$3:$C$15000,2027)/SUMIFS(Registre!$W$3:$W$15000,Registre!$B$3:$B$15000,"octobre",Registre!$R$3:$R$15000,$F10,Registre!$C$3:$C$15000,2027),"0")</f>
        <v>0</v>
      </c>
      <c r="R10" s="35" t="str">
        <f>IFERROR(SUMIFS(Registre!$V$3:$V$15000,Registre!$B$3:$B$15000,"novembre",Registre!$R$3:$R$15000,$F10,Registre!$C$3:$C$15000,2027)/SUMIFS(Registre!$W$3:$W$15000,Registre!$B$3:$B$15000,"novembre",Registre!$R$3:$R$15000,$F10,Registre!$C$3:$C$15000,2027),"0")</f>
        <v>0</v>
      </c>
      <c r="S10" s="36" t="str">
        <f>IFERROR(SUMIFS(Registre!$V$3:$V$15000,Registre!$B$3:$B$15000,"décembre",Registre!$R$3:$R$15000,$F10,Registre!$C$3:$C$15000,2027)/SUMIFS(Registre!$W$3:$W$15000,Registre!$B$3:$B$15000,"décembre",Registre!$R$3:$R$15000,$F10,Registre!$C$3:$C$15000,2027),"0")</f>
        <v>0</v>
      </c>
    </row>
    <row r="11" spans="1:19" x14ac:dyDescent="0.25">
      <c r="A11" s="10">
        <v>7</v>
      </c>
      <c r="B11" s="15" t="s">
        <v>15</v>
      </c>
      <c r="C11" s="10">
        <v>2027</v>
      </c>
      <c r="D11" s="40">
        <f>SUMIFS(Registre!$P$3:$P$15000,Registre!$A$3:$A$15000,7,Registre!$B$3:$B$15000,"janvier",Registre!$C$3:$C$15000,2027)</f>
        <v>0</v>
      </c>
      <c r="F11" s="25" t="s">
        <v>43</v>
      </c>
      <c r="G11" s="22">
        <v>670</v>
      </c>
      <c r="H11" s="35" t="str">
        <f>IFERROR(SUMIFS(Registre!$V$3:$V$15000,Registre!$B$3:$B$15000,"janvier",Registre!$R$3:$R$15000,$F11,Registre!$C$3:$C$15000,2027)/SUMIFS(Registre!$W$3:$W$15000,Registre!$B$3:$B$15000,"janvier",Registre!$R$3:$R$15000,$F11,Registre!$C$3:$C$15000,2027),"0")</f>
        <v>0</v>
      </c>
      <c r="I11" s="35" t="str">
        <f>IFERROR(SUMIFS(Registre!$V$3:$V$15000,Registre!$B$3:$B$15000,"février",Registre!$R$3:$R$15000,$F11,Registre!$C$3:$C$15000,2027)/SUMIFS(Registre!$W$3:$W$15000,Registre!$B$3:$B$15000,"février",Registre!$R$3:$R$15000,$F11,Registre!$C$3:$C$15000,2027),"0")</f>
        <v>0</v>
      </c>
      <c r="J11" s="35" t="str">
        <f>IFERROR(SUMIFS(Registre!$V$3:$V$15000,Registre!$B$3:$B$15000,"mars",Registre!$R$3:$R$15000,$F11,Registre!$C$3:$C$15000,2027)/SUMIFS(Registre!$W$3:$W$15000,Registre!$B$3:$B$15000,"mars",Registre!$R$3:$R$15000,$F11,Registre!$C$3:$C$15000,2027),"0")</f>
        <v>0</v>
      </c>
      <c r="K11" s="35" t="str">
        <f>IFERROR(SUMIFS(Registre!$V$3:$V$15000,Registre!$B$3:$B$15000,"avril",Registre!$R$3:$R$15000,$F11,Registre!$C$3:$C$15000,2027)/SUMIFS(Registre!$W$3:$W$15000,Registre!$B$3:$B$15000,"avril",Registre!$R$3:$R$15000,$F11,Registre!$C$3:$C$15000,2027),"0")</f>
        <v>0</v>
      </c>
      <c r="L11" s="35" t="str">
        <f>IFERROR(SUMIFS(Registre!$V$3:$V$15000,Registre!$B$3:$B$15000,"mai",Registre!$R$3:$R$15000,$F11,Registre!$C$3:$C$15000,2027)/SUMIFS(Registre!$W$3:$W$15000,Registre!$B$3:$B$15000,"mai",Registre!$R$3:$R$15000,$F11,Registre!$C$3:$C$15000,2027),"0")</f>
        <v>0</v>
      </c>
      <c r="M11" s="35" t="str">
        <f>IFERROR(SUMIFS(Registre!$V$3:$V$15000,Registre!$B$3:$B$15000,"juin",Registre!$R$3:$R$15000,$F11,Registre!$C$3:$C$15000,2027)/SUMIFS(Registre!$W$3:$W$15000,Registre!$B$3:$B$15000,"juin",Registre!$R$3:$R$15000,$F11,Registre!$C$3:$C$15000,2027),"0")</f>
        <v>0</v>
      </c>
      <c r="N11" s="35" t="str">
        <f>IFERROR(SUMIFS(Registre!$V$3:$V$15000,Registre!$B$3:$B$15000,"juillet",Registre!$R$3:$R$15000,$F11,Registre!$C$3:$C$15000,2027)/SUMIFS(Registre!$W$3:$W$15000,Registre!$B$3:$B$15000,"juillet",Registre!$R$3:$R$15000,$F11,Registre!$C$3:$C$15000,2027),"0")</f>
        <v>0</v>
      </c>
      <c r="O11" s="35" t="str">
        <f>IFERROR(SUMIFS(Registre!$V$3:$V$15000,Registre!$B$3:$B$15000,"août",Registre!$R$3:$R$15000,$F11,Registre!$C$3:$C$15000,2027)/SUMIFS(Registre!$W$3:$W$15000,Registre!$B$3:$B$15000,"août",Registre!$R$3:$R$15000,$F11,Registre!$C$3:$C$15000,2027),"0")</f>
        <v>0</v>
      </c>
      <c r="P11" s="35" t="str">
        <f>IFERROR(SUMIFS(Registre!$V$3:$V$15000,Registre!$B$3:$B$15000,"septembre",Registre!$R$3:$R$15000,$F11,Registre!$C$3:$C$15000,2027)/SUMIFS(Registre!$W$3:$W$15000,Registre!$B$3:$B$15000,"septembre",Registre!$R$3:$R$15000,$F11,Registre!$C$3:$C$15000,2027),"0")</f>
        <v>0</v>
      </c>
      <c r="Q11" s="35" t="str">
        <f>IFERROR(SUMIFS(Registre!$V$3:$V$15000,Registre!$B$3:$B$15000,"octobre",Registre!$R$3:$R$15000,$F11,Registre!$C$3:$C$15000,2027)/SUMIFS(Registre!$W$3:$W$15000,Registre!$B$3:$B$15000,"octobre",Registre!$R$3:$R$15000,$F11,Registre!$C$3:$C$15000,2027),"0")</f>
        <v>0</v>
      </c>
      <c r="R11" s="35" t="str">
        <f>IFERROR(SUMIFS(Registre!$V$3:$V$15000,Registre!$B$3:$B$15000,"novembre",Registre!$R$3:$R$15000,$F11,Registre!$C$3:$C$15000,2027)/SUMIFS(Registre!$W$3:$W$15000,Registre!$B$3:$B$15000,"novembre",Registre!$R$3:$R$15000,$F11,Registre!$C$3:$C$15000,2027),"0")</f>
        <v>0</v>
      </c>
      <c r="S11" s="36" t="str">
        <f>IFERROR(SUMIFS(Registre!$V$3:$V$15000,Registre!$B$3:$B$15000,"décembre",Registre!$R$3:$R$15000,$F11,Registre!$C$3:$C$15000,2027)/SUMIFS(Registre!$W$3:$W$15000,Registre!$B$3:$B$15000,"décembre",Registre!$R$3:$R$15000,$F11,Registre!$C$3:$C$15000,2027),"0")</f>
        <v>0</v>
      </c>
    </row>
    <row r="12" spans="1:19" x14ac:dyDescent="0.25">
      <c r="A12" s="10">
        <v>8</v>
      </c>
      <c r="B12" s="15" t="s">
        <v>15</v>
      </c>
      <c r="C12" s="10">
        <v>2027</v>
      </c>
      <c r="D12" s="40">
        <f>SUMIFS(Registre!$P$3:$P$15000,Registre!$A$3:$A$15000,8,Registre!$B$3:$B$15000,"janvier",Registre!$C$3:$C$15000,2027)</f>
        <v>0</v>
      </c>
      <c r="F12" s="25" t="s">
        <v>44</v>
      </c>
      <c r="G12" s="22">
        <v>780</v>
      </c>
      <c r="H12" s="35" t="str">
        <f>IFERROR(SUMIFS(Registre!$V$3:$V$15000,Registre!$B$3:$B$15000,"janvier",Registre!$R$3:$R$15000,$F12,Registre!$C$3:$C$15000,2027)/SUMIFS(Registre!$W$3:$W$15000,Registre!$B$3:$B$15000,"janvier",Registre!$R$3:$R$15000,$F12,Registre!$C$3:$C$15000,2027),"0")</f>
        <v>0</v>
      </c>
      <c r="I12" s="35" t="str">
        <f>IFERROR(SUMIFS(Registre!$V$3:$V$15000,Registre!$B$3:$B$15000,"février",Registre!$R$3:$R$15000,$F12,Registre!$C$3:$C$15000,2027)/SUMIFS(Registre!$W$3:$W$15000,Registre!$B$3:$B$15000,"février",Registre!$R$3:$R$15000,$F12,Registre!$C$3:$C$15000,2027),"0")</f>
        <v>0</v>
      </c>
      <c r="J12" s="35" t="str">
        <f>IFERROR(SUMIFS(Registre!$V$3:$V$15000,Registre!$B$3:$B$15000,"mars",Registre!$R$3:$R$15000,$F12,Registre!$C$3:$C$15000,2027)/SUMIFS(Registre!$W$3:$W$15000,Registre!$B$3:$B$15000,"mars",Registre!$R$3:$R$15000,$F12,Registre!$C$3:$C$15000,2027),"0")</f>
        <v>0</v>
      </c>
      <c r="K12" s="35" t="str">
        <f>IFERROR(SUMIFS(Registre!$V$3:$V$15000,Registre!$B$3:$B$15000,"avril",Registre!$R$3:$R$15000,$F12,Registre!$C$3:$C$15000,2027)/SUMIFS(Registre!$W$3:$W$15000,Registre!$B$3:$B$15000,"avril",Registre!$R$3:$R$15000,$F12,Registre!$C$3:$C$15000,2027),"0")</f>
        <v>0</v>
      </c>
      <c r="L12" s="35" t="str">
        <f>IFERROR(SUMIFS(Registre!$V$3:$V$15000,Registre!$B$3:$B$15000,"mai",Registre!$R$3:$R$15000,$F12,Registre!$C$3:$C$15000,2027)/SUMIFS(Registre!$W$3:$W$15000,Registre!$B$3:$B$15000,"mai",Registre!$R$3:$R$15000,$F12,Registre!$C$3:$C$15000,2027),"0")</f>
        <v>0</v>
      </c>
      <c r="M12" s="35" t="str">
        <f>IFERROR(SUMIFS(Registre!$V$3:$V$15000,Registre!$B$3:$B$15000,"juin",Registre!$R$3:$R$15000,$F12,Registre!$C$3:$C$15000,2027)/SUMIFS(Registre!$W$3:$W$15000,Registre!$B$3:$B$15000,"juin",Registre!$R$3:$R$15000,$F12,Registre!$C$3:$C$15000,2027),"0")</f>
        <v>0</v>
      </c>
      <c r="N12" s="35" t="str">
        <f>IFERROR(SUMIFS(Registre!$V$3:$V$15000,Registre!$B$3:$B$15000,"juillet",Registre!$R$3:$R$15000,$F12,Registre!$C$3:$C$15000,2027)/SUMIFS(Registre!$W$3:$W$15000,Registre!$B$3:$B$15000,"juillet",Registre!$R$3:$R$15000,$F12,Registre!$C$3:$C$15000,2027),"0")</f>
        <v>0</v>
      </c>
      <c r="O12" s="35" t="str">
        <f>IFERROR(SUMIFS(Registre!$V$3:$V$15000,Registre!$B$3:$B$15000,"août",Registre!$R$3:$R$15000,$F12,Registre!$C$3:$C$15000,2027)/SUMIFS(Registre!$W$3:$W$15000,Registre!$B$3:$B$15000,"août",Registre!$R$3:$R$15000,$F12,Registre!$C$3:$C$15000,2027),"0")</f>
        <v>0</v>
      </c>
      <c r="P12" s="35" t="str">
        <f>IFERROR(SUMIFS(Registre!$V$3:$V$15000,Registre!$B$3:$B$15000,"septembre",Registre!$R$3:$R$15000,$F12,Registre!$C$3:$C$15000,2027)/SUMIFS(Registre!$W$3:$W$15000,Registre!$B$3:$B$15000,"septembre",Registre!$R$3:$R$15000,$F12,Registre!$C$3:$C$15000,2027),"0")</f>
        <v>0</v>
      </c>
      <c r="Q12" s="35" t="str">
        <f>IFERROR(SUMIFS(Registre!$V$3:$V$15000,Registre!$B$3:$B$15000,"octobre",Registre!$R$3:$R$15000,$F12,Registre!$C$3:$C$15000,2027)/SUMIFS(Registre!$W$3:$W$15000,Registre!$B$3:$B$15000,"octobre",Registre!$R$3:$R$15000,$F12,Registre!$C$3:$C$15000,2027),"0")</f>
        <v>0</v>
      </c>
      <c r="R12" s="35" t="str">
        <f>IFERROR(SUMIFS(Registre!$V$3:$V$15000,Registre!$B$3:$B$15000,"novembre",Registre!$R$3:$R$15000,$F12,Registre!$C$3:$C$15000,2027)/SUMIFS(Registre!$W$3:$W$15000,Registre!$B$3:$B$15000,"novembre",Registre!$R$3:$R$15000,$F12,Registre!$C$3:$C$15000,2027),"0")</f>
        <v>0</v>
      </c>
      <c r="S12" s="36" t="str">
        <f>IFERROR(SUMIFS(Registre!$V$3:$V$15000,Registre!$B$3:$B$15000,"décembre",Registre!$R$3:$R$15000,$F12,Registre!$C$3:$C$15000,2027)/SUMIFS(Registre!$W$3:$W$15000,Registre!$B$3:$B$15000,"décembre",Registre!$R$3:$R$15000,$F12,Registre!$C$3:$C$15000,2027),"0")</f>
        <v>0</v>
      </c>
    </row>
    <row r="13" spans="1:19" ht="15.75" thickBot="1" x14ac:dyDescent="0.3">
      <c r="A13" s="10">
        <v>9</v>
      </c>
      <c r="B13" s="15" t="s">
        <v>15</v>
      </c>
      <c r="C13" s="10">
        <v>2027</v>
      </c>
      <c r="D13" s="40">
        <f>SUMIFS(Registre!$P$3:$P$15000,Registre!$A$3:$A$15000,9,Registre!$B$3:$B$15000,"janvier",Registre!$C$3:$C$15000,2027)</f>
        <v>0</v>
      </c>
      <c r="F13" s="26" t="s">
        <v>27</v>
      </c>
      <c r="G13" s="23">
        <v>780</v>
      </c>
      <c r="H13" s="37" t="str">
        <f>IFERROR(SUMIFS(Registre!$V$3:$V$15000,Registre!$B$3:$B$15000,"janvier",Registre!$R$3:$R$15000,$F13,Registre!$C$3:$C$15000,2027)/SUMIFS(Registre!$W$3:$W$15000,Registre!$B$3:$B$15000,"janvier",Registre!$R$3:$R$15000,$F13,Registre!$C$3:$C$15000,2027),"0")</f>
        <v>0</v>
      </c>
      <c r="I13" s="37" t="str">
        <f>IFERROR(SUMIFS(Registre!$V$3:$V$15000,Registre!$B$3:$B$15000,"février",Registre!$R$3:$R$15000,$F13,Registre!$C$3:$C$15000,2027)/SUMIFS(Registre!$W$3:$W$15000,Registre!$B$3:$B$15000,"février",Registre!$R$3:$R$15000,$F13,Registre!$C$3:$C$15000,2027),"0")</f>
        <v>0</v>
      </c>
      <c r="J13" s="37" t="str">
        <f>IFERROR(SUMIFS(Registre!$V$3:$V$15000,Registre!$B$3:$B$15000,"mars",Registre!$R$3:$R$15000,$F13,Registre!$C$3:$C$15000,2027)/SUMIFS(Registre!$W$3:$W$15000,Registre!$B$3:$B$15000,"mars",Registre!$R$3:$R$15000,$F13,Registre!$C$3:$C$15000,2027),"0")</f>
        <v>0</v>
      </c>
      <c r="K13" s="37" t="str">
        <f>IFERROR(SUMIFS(Registre!$V$3:$V$15000,Registre!$B$3:$B$15000,"avril",Registre!$R$3:$R$15000,$F13,Registre!$C$3:$C$15000,2027)/SUMIFS(Registre!$W$3:$W$15000,Registre!$B$3:$B$15000,"avril",Registre!$R$3:$R$15000,$F13,Registre!$C$3:$C$15000,2027),"0")</f>
        <v>0</v>
      </c>
      <c r="L13" s="37" t="str">
        <f>IFERROR(SUMIFS(Registre!$V$3:$V$15000,Registre!$B$3:$B$15000,"mai",Registre!$R$3:$R$15000,$F13,Registre!$C$3:$C$15000,2027)/SUMIFS(Registre!$W$3:$W$15000,Registre!$B$3:$B$15000,"mai",Registre!$R$3:$R$15000,$F13,Registre!$C$3:$C$15000,2027),"0")</f>
        <v>0</v>
      </c>
      <c r="M13" s="37" t="str">
        <f>IFERROR(SUMIFS(Registre!$V$3:$V$15000,Registre!$B$3:$B$15000,"juin",Registre!$R$3:$R$15000,$F13,Registre!$C$3:$C$15000,2027)/SUMIFS(Registre!$W$3:$W$15000,Registre!$B$3:$B$15000,"juin",Registre!$R$3:$R$15000,$F13,Registre!$C$3:$C$15000,2027),"0")</f>
        <v>0</v>
      </c>
      <c r="N13" s="37" t="str">
        <f>IFERROR(SUMIFS(Registre!$V$3:$V$15000,Registre!$B$3:$B$15000,"juillet",Registre!$R$3:$R$15000,$F13,Registre!$C$3:$C$15000,2027)/SUMIFS(Registre!$W$3:$W$15000,Registre!$B$3:$B$15000,"juillet",Registre!$R$3:$R$15000,$F13,Registre!$C$3:$C$15000,2027),"0")</f>
        <v>0</v>
      </c>
      <c r="O13" s="37" t="str">
        <f>IFERROR(SUMIFS(Registre!$V$3:$V$15000,Registre!$B$3:$B$15000,"août",Registre!$R$3:$R$15000,$F13,Registre!$C$3:$C$15000,2027)/SUMIFS(Registre!$W$3:$W$15000,Registre!$B$3:$B$15000,"août",Registre!$R$3:$R$15000,$F13,Registre!$C$3:$C$15000,2027),"0")</f>
        <v>0</v>
      </c>
      <c r="P13" s="37" t="str">
        <f>IFERROR(SUMIFS(Registre!$V$3:$V$15000,Registre!$B$3:$B$15000,"septembre",Registre!$R$3:$R$15000,$F13,Registre!$C$3:$C$15000,2027)/SUMIFS(Registre!$W$3:$W$15000,Registre!$B$3:$B$15000,"septembre",Registre!$R$3:$R$15000,$F13,Registre!$C$3:$C$15000,2027),"0")</f>
        <v>0</v>
      </c>
      <c r="Q13" s="37" t="str">
        <f>IFERROR(SUMIFS(Registre!$V$3:$V$15000,Registre!$B$3:$B$15000,"octobre",Registre!$R$3:$R$15000,$F13,Registre!$C$3:$C$15000,2027)/SUMIFS(Registre!$W$3:$W$15000,Registre!$B$3:$B$15000,"octobre",Registre!$R$3:$R$15000,$F13,Registre!$C$3:$C$15000,2027),"0")</f>
        <v>0</v>
      </c>
      <c r="R13" s="37" t="str">
        <f>IFERROR(SUMIFS(Registre!$V$3:$V$15000,Registre!$B$3:$B$15000,"novembre",Registre!$R$3:$R$15000,$F13,Registre!$C$3:$C$15000,2027)/SUMIFS(Registre!$W$3:$W$15000,Registre!$B$3:$B$15000,"novembre",Registre!$R$3:$R$15000,$F13,Registre!$C$3:$C$15000,2027),"0")</f>
        <v>0</v>
      </c>
      <c r="S13" s="38" t="str">
        <f>IFERROR(SUMIFS(Registre!$V$3:$V$15000,Registre!$B$3:$B$15000,"décembre",Registre!$R$3:$R$15000,$F13,Registre!$C$3:$C$15000,2027)/SUMIFS(Registre!$W$3:$W$15000,Registre!$B$3:$B$15000,"décembre",Registre!$R$3:$R$15000,$F13,Registre!$C$3:$C$15000,2027),"0")</f>
        <v>0</v>
      </c>
    </row>
    <row r="14" spans="1:19" x14ac:dyDescent="0.25">
      <c r="A14" s="10">
        <v>10</v>
      </c>
      <c r="B14" s="15" t="s">
        <v>15</v>
      </c>
      <c r="C14" s="10">
        <v>2027</v>
      </c>
      <c r="D14" s="40">
        <f>SUMIFS(Registre!$P$3:$P$15000,Registre!$A$3:$A$15000,10,Registre!$B$3:$B$15000,"janvier",Registre!$C$3:$C$15000,2027)</f>
        <v>0</v>
      </c>
      <c r="F14" s="17"/>
      <c r="H14" s="2"/>
    </row>
    <row r="15" spans="1:19" x14ac:dyDescent="0.25">
      <c r="A15" s="10">
        <v>11</v>
      </c>
      <c r="B15" s="15" t="s">
        <v>15</v>
      </c>
      <c r="C15" s="10">
        <v>2027</v>
      </c>
      <c r="D15" s="40">
        <f>SUMIFS(Registre!$P$3:$P$15000,Registre!$A$3:$A$15000,11,Registre!$B$3:$B$15000,"janvier",Registre!$C$3:$C$15000,2027)</f>
        <v>0</v>
      </c>
      <c r="F15" s="17"/>
      <c r="H15" s="2"/>
    </row>
    <row r="16" spans="1:19" x14ac:dyDescent="0.25">
      <c r="A16" s="10">
        <v>12</v>
      </c>
      <c r="B16" s="15" t="s">
        <v>15</v>
      </c>
      <c r="C16" s="10">
        <v>2027</v>
      </c>
      <c r="D16" s="40">
        <f>SUMIFS(Registre!$P$3:$P$15000,Registre!$A$3:$A$15000,12,Registre!$B$3:$B$15000,"janvier",Registre!$C$3:$C$15000,2027)</f>
        <v>0</v>
      </c>
      <c r="F16" s="18"/>
      <c r="H16" s="2"/>
    </row>
    <row r="17" spans="1:8" x14ac:dyDescent="0.25">
      <c r="A17" s="10">
        <v>13</v>
      </c>
      <c r="B17" s="15" t="s">
        <v>15</v>
      </c>
      <c r="C17" s="10">
        <v>2027</v>
      </c>
      <c r="D17" s="40">
        <f>SUMIFS(Registre!$P$3:$P$15000,Registre!$A$3:$A$15000,13,Registre!$B$3:$B$15000,"janvier",Registre!$C$3:$C$15000,2027)</f>
        <v>0</v>
      </c>
      <c r="F17" s="18"/>
      <c r="H17" s="2"/>
    </row>
    <row r="18" spans="1:8" x14ac:dyDescent="0.25">
      <c r="A18" s="10">
        <v>14</v>
      </c>
      <c r="B18" s="15" t="s">
        <v>15</v>
      </c>
      <c r="C18" s="10">
        <v>2027</v>
      </c>
      <c r="D18" s="40">
        <f>SUMIFS(Registre!$P$3:$P$15000,Registre!$A$3:$A$15000,14,Registre!$B$3:$B$15000,"janvier",Registre!$C$3:$C$15000,2027)</f>
        <v>0</v>
      </c>
      <c r="F18" s="18"/>
      <c r="H18" s="2"/>
    </row>
    <row r="19" spans="1:8" x14ac:dyDescent="0.25">
      <c r="A19" s="10">
        <v>15</v>
      </c>
      <c r="B19" s="15" t="s">
        <v>15</v>
      </c>
      <c r="C19" s="10">
        <v>2027</v>
      </c>
      <c r="D19" s="40">
        <f>SUMIFS(Registre!$P$3:$P$15000,Registre!$A$3:$A$15000,15,Registre!$B$3:$B$15000,"janvier",Registre!$C$3:$C$15000,2027)</f>
        <v>0</v>
      </c>
      <c r="F19" s="18"/>
      <c r="H19" s="2"/>
    </row>
    <row r="20" spans="1:8" x14ac:dyDescent="0.25">
      <c r="A20" s="10">
        <v>16</v>
      </c>
      <c r="B20" s="15" t="s">
        <v>15</v>
      </c>
      <c r="C20" s="10">
        <v>2027</v>
      </c>
      <c r="D20" s="40">
        <f>SUMIFS(Registre!$P$3:$P$15000,Registre!$A$3:$A$15000,16,Registre!$B$3:$B$15000,"janvier",Registre!$C$3:$C$15000,2027)</f>
        <v>0</v>
      </c>
      <c r="F20" s="18"/>
      <c r="H20" s="2"/>
    </row>
    <row r="21" spans="1:8" x14ac:dyDescent="0.25">
      <c r="A21" s="10">
        <v>17</v>
      </c>
      <c r="B21" s="15" t="s">
        <v>15</v>
      </c>
      <c r="C21" s="10">
        <v>2027</v>
      </c>
      <c r="D21" s="40">
        <f>SUMIFS(Registre!$P$3:$P$15000,Registre!$A$3:$A$15000,17,Registre!$B$3:$B$15000,"janvier",Registre!$C$3:$C$15000,2027)</f>
        <v>0</v>
      </c>
      <c r="F21" s="18"/>
      <c r="H21" s="2"/>
    </row>
    <row r="22" spans="1:8" x14ac:dyDescent="0.25">
      <c r="A22" s="10">
        <v>18</v>
      </c>
      <c r="B22" s="15" t="s">
        <v>15</v>
      </c>
      <c r="C22" s="10">
        <v>2027</v>
      </c>
      <c r="D22" s="40">
        <f>SUMIFS(Registre!$P$3:$P$15000,Registre!$A$3:$A$15000,18,Registre!$B$3:$B$15000,"janvier",Registre!$C$3:$C$15000,2027)</f>
        <v>0</v>
      </c>
      <c r="F22" s="18"/>
      <c r="H22" s="2"/>
    </row>
    <row r="23" spans="1:8" x14ac:dyDescent="0.25">
      <c r="A23" s="10">
        <v>19</v>
      </c>
      <c r="B23" s="15" t="s">
        <v>15</v>
      </c>
      <c r="C23" s="10">
        <v>2027</v>
      </c>
      <c r="D23" s="40">
        <f>SUMIFS(Registre!$P$3:$P$15000,Registre!$A$3:$A$15000,19,Registre!$B$3:$B$15000,"janvier",Registre!$C$3:$C$15000,2027)</f>
        <v>0</v>
      </c>
      <c r="F23" s="17"/>
      <c r="H23" s="2"/>
    </row>
    <row r="24" spans="1:8" x14ac:dyDescent="0.25">
      <c r="A24" s="10">
        <v>20</v>
      </c>
      <c r="B24" s="15" t="s">
        <v>15</v>
      </c>
      <c r="C24" s="10">
        <v>2027</v>
      </c>
      <c r="D24" s="40">
        <f>SUMIFS(Registre!$P$3:$P$15000,Registre!$A$3:$A$15000,20,Registre!$B$3:$B$15000,"janvier",Registre!$C$3:$C$15000,2027)</f>
        <v>0</v>
      </c>
      <c r="F24" s="17"/>
      <c r="H24" s="2"/>
    </row>
    <row r="25" spans="1:8" x14ac:dyDescent="0.25">
      <c r="A25" s="10">
        <v>21</v>
      </c>
      <c r="B25" s="15" t="s">
        <v>15</v>
      </c>
      <c r="C25" s="10">
        <v>2027</v>
      </c>
      <c r="D25" s="40">
        <f>SUMIFS(Registre!$P$3:$P$15000,Registre!$A$3:$A$15000,21,Registre!$B$3:$B$15000,"janvier",Registre!$C$3:$C$15000,2027)</f>
        <v>0</v>
      </c>
      <c r="F25" s="18"/>
      <c r="H25" s="2"/>
    </row>
    <row r="26" spans="1:8" x14ac:dyDescent="0.25">
      <c r="A26" s="10">
        <v>22</v>
      </c>
      <c r="B26" s="15" t="s">
        <v>15</v>
      </c>
      <c r="C26" s="10">
        <v>2027</v>
      </c>
      <c r="D26" s="40">
        <f>SUMIFS(Registre!$P$3:$P$15000,Registre!$A$3:$A$15000,22,Registre!$B$3:$B$15000,"janvier",Registre!$C$3:$C$15000,2027)</f>
        <v>0</v>
      </c>
      <c r="F26" s="18"/>
      <c r="H26" s="2"/>
    </row>
    <row r="27" spans="1:8" x14ac:dyDescent="0.25">
      <c r="A27" s="10">
        <v>23</v>
      </c>
      <c r="B27" s="15" t="s">
        <v>15</v>
      </c>
      <c r="C27" s="10">
        <v>2027</v>
      </c>
      <c r="D27" s="40">
        <f>SUMIFS(Registre!$P$3:$P$15000,Registre!$A$3:$A$15000,23,Registre!$B$3:$B$15000,"janvier",Registre!$C$3:$C$15000,2027)</f>
        <v>0</v>
      </c>
      <c r="F27" s="18"/>
      <c r="H27" s="2"/>
    </row>
    <row r="28" spans="1:8" x14ac:dyDescent="0.25">
      <c r="A28" s="10">
        <v>24</v>
      </c>
      <c r="B28" s="15" t="s">
        <v>15</v>
      </c>
      <c r="C28" s="10">
        <v>2027</v>
      </c>
      <c r="D28" s="40">
        <f>SUMIFS(Registre!$P$3:$P$15000,Registre!$A$3:$A$15000,24,Registre!$B$3:$B$15000,"janvier",Registre!$C$3:$C$15000,2027)</f>
        <v>0</v>
      </c>
      <c r="F28" s="18"/>
      <c r="H28" s="2"/>
    </row>
    <row r="29" spans="1:8" x14ac:dyDescent="0.25">
      <c r="A29" s="10">
        <v>25</v>
      </c>
      <c r="B29" s="15" t="s">
        <v>15</v>
      </c>
      <c r="C29" s="10">
        <v>2027</v>
      </c>
      <c r="D29" s="40">
        <f>SUMIFS(Registre!$P$3:$P$15000,Registre!$A$3:$A$15000,25,Registre!$B$3:$B$15000,"janvier",Registre!$C$3:$C$15000,2027)</f>
        <v>0</v>
      </c>
      <c r="F29" s="18"/>
      <c r="H29" s="2"/>
    </row>
    <row r="30" spans="1:8" x14ac:dyDescent="0.25">
      <c r="A30" s="10">
        <v>26</v>
      </c>
      <c r="B30" s="15" t="s">
        <v>15</v>
      </c>
      <c r="C30" s="10">
        <v>2027</v>
      </c>
      <c r="D30" s="40">
        <f>SUMIFS(Registre!$P$3:$P$15000,Registre!$A$3:$A$15000,26,Registre!$B$3:$B$15000,"janvier",Registre!$C$3:$C$15000,2027)</f>
        <v>0</v>
      </c>
      <c r="F30" s="18"/>
      <c r="H30" s="2"/>
    </row>
    <row r="31" spans="1:8" x14ac:dyDescent="0.25">
      <c r="A31" s="10">
        <v>27</v>
      </c>
      <c r="B31" s="15" t="s">
        <v>15</v>
      </c>
      <c r="C31" s="10">
        <v>2027</v>
      </c>
      <c r="D31" s="40">
        <f>SUMIFS(Registre!$P$3:$P$15000,Registre!$A$3:$A$15000,27,Registre!$B$3:$B$15000,"janvier",Registre!$C$3:$C$15000,2027)</f>
        <v>0</v>
      </c>
      <c r="F31" s="18"/>
      <c r="H31" s="2"/>
    </row>
    <row r="32" spans="1:8" x14ac:dyDescent="0.25">
      <c r="A32" s="10">
        <v>28</v>
      </c>
      <c r="B32" s="15" t="s">
        <v>15</v>
      </c>
      <c r="C32" s="10">
        <v>2027</v>
      </c>
      <c r="D32" s="40">
        <f>SUMIFS(Registre!$P$3:$P$15000,Registre!$A$3:$A$15000,28,Registre!$B$3:$B$15000,"janvier",Registre!$C$3:$C$15000,2027)</f>
        <v>0</v>
      </c>
      <c r="F32" s="17"/>
      <c r="H32" s="2"/>
    </row>
    <row r="33" spans="1:8" x14ac:dyDescent="0.25">
      <c r="A33" s="10">
        <v>29</v>
      </c>
      <c r="B33" s="15" t="s">
        <v>15</v>
      </c>
      <c r="C33" s="10">
        <v>2027</v>
      </c>
      <c r="D33" s="40">
        <f>SUMIFS(Registre!$P$3:$P$15000,Registre!$A$3:$A$15000,29,Registre!$B$3:$B$15000,"janvier",Registre!$C$3:$C$15000,2027)</f>
        <v>0</v>
      </c>
      <c r="F33" s="17"/>
      <c r="H33" s="2"/>
    </row>
    <row r="34" spans="1:8" x14ac:dyDescent="0.25">
      <c r="A34" s="10">
        <v>30</v>
      </c>
      <c r="B34" s="15" t="s">
        <v>15</v>
      </c>
      <c r="C34" s="10">
        <v>2027</v>
      </c>
      <c r="D34" s="40">
        <f>SUMIFS(Registre!$P$3:$P$15000,Registre!$A$3:$A$15000,30,Registre!$B$3:$B$15000,"janvier",Registre!$C$3:$C$15000,2027)</f>
        <v>0</v>
      </c>
      <c r="F34" s="18"/>
      <c r="H34" s="2"/>
    </row>
    <row r="35" spans="1:8" x14ac:dyDescent="0.25">
      <c r="A35" s="10">
        <v>31</v>
      </c>
      <c r="B35" s="15" t="s">
        <v>15</v>
      </c>
      <c r="C35" s="10">
        <v>2027</v>
      </c>
      <c r="D35" s="40">
        <f>SUMIFS(Registre!$P$3:$P$15000,Registre!$A$3:$A$15000,31,Registre!$B$3:$B$15000,"janvier",Registre!$C$3:$C$15000,2027)</f>
        <v>0</v>
      </c>
      <c r="F35" s="18"/>
      <c r="H35" s="2"/>
    </row>
    <row r="36" spans="1:8" x14ac:dyDescent="0.25">
      <c r="A36" s="11">
        <v>1</v>
      </c>
      <c r="B36" s="11" t="s">
        <v>16</v>
      </c>
      <c r="C36" s="11">
        <v>2027</v>
      </c>
      <c r="D36" s="41">
        <f>SUMIFS(Registre!$P$3:$P$15000,Registre!$A$3:$A$15000,1,Registre!$B$3:$B$15000,"février",Registre!$C$3:$C$15000,2027)</f>
        <v>0</v>
      </c>
      <c r="F36" s="18"/>
      <c r="H36" s="2"/>
    </row>
    <row r="37" spans="1:8" x14ac:dyDescent="0.25">
      <c r="A37" s="11">
        <v>2</v>
      </c>
      <c r="B37" s="11" t="s">
        <v>16</v>
      </c>
      <c r="C37" s="11">
        <v>2027</v>
      </c>
      <c r="D37" s="41">
        <f>SUMIFS(Registre!$P$3:$P$15000,Registre!$A$3:$A$15000,2,Registre!$B$3:$B$15000,"février",Registre!$C$3:$C$15000,2027)</f>
        <v>0</v>
      </c>
      <c r="F37" s="18"/>
      <c r="H37" s="2"/>
    </row>
    <row r="38" spans="1:8" x14ac:dyDescent="0.25">
      <c r="A38" s="11">
        <v>3</v>
      </c>
      <c r="B38" s="11" t="s">
        <v>16</v>
      </c>
      <c r="C38" s="11">
        <v>2027</v>
      </c>
      <c r="D38" s="41">
        <f>SUMIFS(Registre!$P$3:$P$15000,Registre!$A$3:$A$15000,3,Registre!$B$3:$B$15000,"février",Registre!$C$3:$C$15000,2027)</f>
        <v>0</v>
      </c>
      <c r="F38" s="18"/>
      <c r="H38" s="2"/>
    </row>
    <row r="39" spans="1:8" x14ac:dyDescent="0.25">
      <c r="A39" s="11">
        <v>4</v>
      </c>
      <c r="B39" s="11" t="s">
        <v>16</v>
      </c>
      <c r="C39" s="11">
        <v>2027</v>
      </c>
      <c r="D39" s="41">
        <f>SUMIFS(Registre!$P$3:$P$15000,Registre!$A$3:$A$15000,4,Registre!$B$3:$B$15000,"février",Registre!$C$3:$C$15000,2027)</f>
        <v>0</v>
      </c>
      <c r="F39" s="18"/>
      <c r="H39" s="2"/>
    </row>
    <row r="40" spans="1:8" x14ac:dyDescent="0.25">
      <c r="A40" s="11">
        <v>5</v>
      </c>
      <c r="B40" s="11" t="s">
        <v>16</v>
      </c>
      <c r="C40" s="11">
        <v>2027</v>
      </c>
      <c r="D40" s="41">
        <f>SUMIFS(Registre!$P$3:$P$15000,Registre!$A$3:$A$15000,5,Registre!$B$3:$B$15000,"février",Registre!$C$3:$C$15000,2027)</f>
        <v>0</v>
      </c>
      <c r="F40" s="18"/>
      <c r="H40" s="2"/>
    </row>
    <row r="41" spans="1:8" x14ac:dyDescent="0.25">
      <c r="A41" s="11">
        <v>6</v>
      </c>
      <c r="B41" s="11" t="s">
        <v>16</v>
      </c>
      <c r="C41" s="11">
        <v>2027</v>
      </c>
      <c r="D41" s="41">
        <f>SUMIFS(Registre!$P$3:$P$15000,Registre!$A$3:$A$15000,6,Registre!$B$3:$B$15000,"février",Registre!$C$3:$C$15000,2027)</f>
        <v>0</v>
      </c>
      <c r="F41" s="17"/>
      <c r="H41" s="2"/>
    </row>
    <row r="42" spans="1:8" x14ac:dyDescent="0.25">
      <c r="A42" s="11">
        <v>7</v>
      </c>
      <c r="B42" s="11" t="s">
        <v>16</v>
      </c>
      <c r="C42" s="11">
        <v>2027</v>
      </c>
      <c r="D42" s="41">
        <f>SUMIFS(Registre!$P$3:$P$15000,Registre!$A$3:$A$15000,7,Registre!$B$3:$B$15000,"février",Registre!$C$3:$C$15000,2027)</f>
        <v>0</v>
      </c>
      <c r="F42" s="17"/>
      <c r="H42" s="2"/>
    </row>
    <row r="43" spans="1:8" x14ac:dyDescent="0.25">
      <c r="A43" s="11">
        <v>8</v>
      </c>
      <c r="B43" s="11" t="s">
        <v>16</v>
      </c>
      <c r="C43" s="11">
        <v>2027</v>
      </c>
      <c r="D43" s="41">
        <f>SUMIFS(Registre!$P$3:$P$15000,Registre!$A$3:$A$15000,8,Registre!$B$3:$B$15000,"février",Registre!$C$3:$C$15000,2027)</f>
        <v>0</v>
      </c>
      <c r="F43" s="18"/>
      <c r="H43" s="2"/>
    </row>
    <row r="44" spans="1:8" x14ac:dyDescent="0.25">
      <c r="A44" s="11">
        <v>9</v>
      </c>
      <c r="B44" s="11" t="s">
        <v>16</v>
      </c>
      <c r="C44" s="11">
        <v>2027</v>
      </c>
      <c r="D44" s="41">
        <f>SUMIFS(Registre!$P$3:$P$15000,Registre!$A$3:$A$15000,9,Registre!$B$3:$B$15000,"février",Registre!$C$3:$C$15000,2027)</f>
        <v>0</v>
      </c>
      <c r="F44" s="18"/>
      <c r="H44" s="2"/>
    </row>
    <row r="45" spans="1:8" x14ac:dyDescent="0.25">
      <c r="A45" s="11">
        <v>10</v>
      </c>
      <c r="B45" s="11" t="s">
        <v>16</v>
      </c>
      <c r="C45" s="11">
        <v>2027</v>
      </c>
      <c r="D45" s="41">
        <f>SUMIFS(Registre!$P$3:$P$15000,Registre!$A$3:$A$15000,10,Registre!$B$3:$B$15000,"février",Registre!$C$3:$C$15000,2027)</f>
        <v>0</v>
      </c>
      <c r="F45" s="18"/>
      <c r="H45" s="2"/>
    </row>
    <row r="46" spans="1:8" x14ac:dyDescent="0.25">
      <c r="A46" s="11">
        <v>11</v>
      </c>
      <c r="B46" s="11" t="s">
        <v>16</v>
      </c>
      <c r="C46" s="11">
        <v>2027</v>
      </c>
      <c r="D46" s="41">
        <f>SUMIFS(Registre!$P$3:$P$15000,Registre!$A$3:$A$15000,11,Registre!$B$3:$B$15000,"février",Registre!$C$3:$C$15000,2027)</f>
        <v>0</v>
      </c>
      <c r="F46" s="18"/>
      <c r="H46" s="2"/>
    </row>
    <row r="47" spans="1:8" x14ac:dyDescent="0.25">
      <c r="A47" s="11">
        <v>12</v>
      </c>
      <c r="B47" s="11" t="s">
        <v>16</v>
      </c>
      <c r="C47" s="11">
        <v>2027</v>
      </c>
      <c r="D47" s="41">
        <f>SUMIFS(Registre!$P$3:$P$15000,Registre!$A$3:$A$15000,12,Registre!$B$3:$B$15000,"février",Registre!$C$3:$C$15000,2027)</f>
        <v>0</v>
      </c>
      <c r="F47" s="18"/>
      <c r="H47" s="2"/>
    </row>
    <row r="48" spans="1:8" x14ac:dyDescent="0.25">
      <c r="A48" s="11">
        <v>13</v>
      </c>
      <c r="B48" s="11" t="s">
        <v>16</v>
      </c>
      <c r="C48" s="11">
        <v>2027</v>
      </c>
      <c r="D48" s="41">
        <f>SUMIFS(Registre!$P$3:$P$15000,Registre!$A$3:$A$15000,13,Registre!$B$3:$B$15000,"février",Registre!$C$3:$C$15000,2027)</f>
        <v>0</v>
      </c>
      <c r="F48" s="18"/>
      <c r="H48" s="2"/>
    </row>
    <row r="49" spans="1:8" x14ac:dyDescent="0.25">
      <c r="A49" s="11">
        <v>14</v>
      </c>
      <c r="B49" s="11" t="s">
        <v>16</v>
      </c>
      <c r="C49" s="11">
        <v>2027</v>
      </c>
      <c r="D49" s="41">
        <f>SUMIFS(Registre!$P$3:$P$15000,Registre!$A$3:$A$15000,14,Registre!$B$3:$B$15000,"février",Registre!$C$3:$C$15000,2027)</f>
        <v>0</v>
      </c>
      <c r="F49" s="18"/>
      <c r="H49" s="2"/>
    </row>
    <row r="50" spans="1:8" x14ac:dyDescent="0.25">
      <c r="A50" s="11">
        <v>15</v>
      </c>
      <c r="B50" s="11" t="s">
        <v>16</v>
      </c>
      <c r="C50" s="11">
        <v>2027</v>
      </c>
      <c r="D50" s="41">
        <f>SUMIFS(Registre!$P$3:$P$15000,Registre!$A$3:$A$15000,15,Registre!$B$3:$B$15000,"février",Registre!$C$3:$C$15000,2027)</f>
        <v>0</v>
      </c>
      <c r="F50" s="17"/>
      <c r="H50" s="2"/>
    </row>
    <row r="51" spans="1:8" x14ac:dyDescent="0.25">
      <c r="A51" s="11">
        <v>16</v>
      </c>
      <c r="B51" s="11" t="s">
        <v>16</v>
      </c>
      <c r="C51" s="11">
        <v>2027</v>
      </c>
      <c r="D51" s="41">
        <f>SUMIFS(Registre!$P$3:$P$15000,Registre!$A$3:$A$15000,16,Registre!$B$3:$B$15000,"février",Registre!$C$3:$C$15000,2027)</f>
        <v>0</v>
      </c>
      <c r="F51" s="17"/>
      <c r="H51" s="2"/>
    </row>
    <row r="52" spans="1:8" x14ac:dyDescent="0.25">
      <c r="A52" s="11">
        <v>17</v>
      </c>
      <c r="B52" s="11" t="s">
        <v>16</v>
      </c>
      <c r="C52" s="11">
        <v>2027</v>
      </c>
      <c r="D52" s="41">
        <f>SUMIFS(Registre!$P$3:$P$15000,Registre!$A$3:$A$15000,17,Registre!$B$3:$B$15000,"février",Registre!$C$3:$C$15000,2027)</f>
        <v>0</v>
      </c>
      <c r="F52" s="18"/>
      <c r="H52" s="2"/>
    </row>
    <row r="53" spans="1:8" x14ac:dyDescent="0.25">
      <c r="A53" s="11">
        <v>18</v>
      </c>
      <c r="B53" s="11" t="s">
        <v>16</v>
      </c>
      <c r="C53" s="11">
        <v>2027</v>
      </c>
      <c r="D53" s="41">
        <f>SUMIFS(Registre!$P$3:$P$15000,Registre!$A$3:$A$15000,18,Registre!$B$3:$B$15000,"février",Registre!$C$3:$C$15000,2027)</f>
        <v>0</v>
      </c>
      <c r="F53" s="18"/>
      <c r="H53" s="2"/>
    </row>
    <row r="54" spans="1:8" x14ac:dyDescent="0.25">
      <c r="A54" s="11">
        <v>19</v>
      </c>
      <c r="B54" s="11" t="s">
        <v>16</v>
      </c>
      <c r="C54" s="11">
        <v>2027</v>
      </c>
      <c r="D54" s="41">
        <f>SUMIFS(Registre!$P$3:$P$15000,Registre!$A$3:$A$15000,19,Registre!$B$3:$B$15000,"février",Registre!$C$3:$C$15000,2027)</f>
        <v>0</v>
      </c>
      <c r="F54" s="18"/>
      <c r="H54" s="2"/>
    </row>
    <row r="55" spans="1:8" x14ac:dyDescent="0.25">
      <c r="A55" s="11">
        <v>20</v>
      </c>
      <c r="B55" s="11" t="s">
        <v>16</v>
      </c>
      <c r="C55" s="11">
        <v>2027</v>
      </c>
      <c r="D55" s="41">
        <f>SUMIFS(Registre!$P$3:$P$15000,Registre!$A$3:$A$15000,20,Registre!$B$3:$B$15000,"février",Registre!$C$3:$C$15000,2027)</f>
        <v>0</v>
      </c>
      <c r="F55" s="18"/>
      <c r="H55" s="2"/>
    </row>
    <row r="56" spans="1:8" x14ac:dyDescent="0.25">
      <c r="A56" s="11">
        <v>21</v>
      </c>
      <c r="B56" s="11" t="s">
        <v>16</v>
      </c>
      <c r="C56" s="11">
        <v>2027</v>
      </c>
      <c r="D56" s="41">
        <f>SUMIFS(Registre!$P$3:$P$15000,Registre!$A$3:$A$15000,21,Registre!$B$3:$B$15000,"février",Registre!$C$3:$C$15000,2027)</f>
        <v>0</v>
      </c>
      <c r="F56" s="18"/>
      <c r="H56" s="2"/>
    </row>
    <row r="57" spans="1:8" x14ac:dyDescent="0.25">
      <c r="A57" s="11">
        <v>22</v>
      </c>
      <c r="B57" s="11" t="s">
        <v>16</v>
      </c>
      <c r="C57" s="11">
        <v>2027</v>
      </c>
      <c r="D57" s="41">
        <f>SUMIFS(Registre!$P$3:$P$15000,Registre!$A$3:$A$15000,22,Registre!$B$3:$B$15000,"février",Registre!$C$3:$C$15000,2027)</f>
        <v>0</v>
      </c>
      <c r="F57" s="18"/>
      <c r="H57" s="2"/>
    </row>
    <row r="58" spans="1:8" x14ac:dyDescent="0.25">
      <c r="A58" s="11">
        <v>23</v>
      </c>
      <c r="B58" s="11" t="s">
        <v>16</v>
      </c>
      <c r="C58" s="11">
        <v>2027</v>
      </c>
      <c r="D58" s="41">
        <f>SUMIFS(Registre!$P$3:$P$15000,Registre!$A$3:$A$15000,23,Registre!$B$3:$B$15000,"février",Registre!$C$3:$C$15000,2027)</f>
        <v>0</v>
      </c>
      <c r="F58" s="18"/>
      <c r="H58" s="2"/>
    </row>
    <row r="59" spans="1:8" x14ac:dyDescent="0.25">
      <c r="A59" s="11">
        <v>24</v>
      </c>
      <c r="B59" s="11" t="s">
        <v>16</v>
      </c>
      <c r="C59" s="11">
        <v>2027</v>
      </c>
      <c r="D59" s="41">
        <f>SUMIFS(Registre!$P$3:$P$15000,Registre!$A$3:$A$15000,24,Registre!$B$3:$B$15000,"février",Registre!$C$3:$C$15000,2027)</f>
        <v>0</v>
      </c>
      <c r="F59" s="17"/>
      <c r="H59" s="2"/>
    </row>
    <row r="60" spans="1:8" x14ac:dyDescent="0.25">
      <c r="A60" s="11">
        <v>25</v>
      </c>
      <c r="B60" s="11" t="s">
        <v>16</v>
      </c>
      <c r="C60" s="11">
        <v>2027</v>
      </c>
      <c r="D60" s="41">
        <f>SUMIFS(Registre!$P$3:$P$15000,Registre!$A$3:$A$15000,25,Registre!$B$3:$B$15000,"février",Registre!$C$3:$C$15000,2027)</f>
        <v>0</v>
      </c>
      <c r="F60" s="17"/>
      <c r="H60" s="2"/>
    </row>
    <row r="61" spans="1:8" x14ac:dyDescent="0.25">
      <c r="A61" s="11">
        <v>26</v>
      </c>
      <c r="B61" s="11" t="s">
        <v>16</v>
      </c>
      <c r="C61" s="11">
        <v>2027</v>
      </c>
      <c r="D61" s="41">
        <f>SUMIFS(Registre!$P$3:$P$15000,Registre!$A$3:$A$15000,26,Registre!$B$3:$B$15000,"février",Registre!$C$3:$C$15000,2027)</f>
        <v>0</v>
      </c>
      <c r="F61" s="18"/>
      <c r="H61" s="2"/>
    </row>
    <row r="62" spans="1:8" x14ac:dyDescent="0.25">
      <c r="A62" s="11">
        <v>27</v>
      </c>
      <c r="B62" s="11" t="s">
        <v>16</v>
      </c>
      <c r="C62" s="11">
        <v>2027</v>
      </c>
      <c r="D62" s="41">
        <f>SUMIFS(Registre!$P$3:$P$15000,Registre!$A$3:$A$15000,27,Registre!$B$3:$B$15000,"février",Registre!$C$3:$C$15000,2027)</f>
        <v>0</v>
      </c>
      <c r="F62" s="18"/>
      <c r="H62" s="2"/>
    </row>
    <row r="63" spans="1:8" x14ac:dyDescent="0.25">
      <c r="A63" s="11">
        <v>28</v>
      </c>
      <c r="B63" s="11" t="s">
        <v>16</v>
      </c>
      <c r="C63" s="11">
        <v>2027</v>
      </c>
      <c r="D63" s="41">
        <f>SUMIFS(Registre!$P$3:$P$15000,Registre!$A$3:$A$15000,28,Registre!$B$3:$B$15000,"février",Registre!$C$3:$C$15000,2027)</f>
        <v>0</v>
      </c>
      <c r="F63" s="18"/>
      <c r="H63" s="2"/>
    </row>
    <row r="64" spans="1:8" x14ac:dyDescent="0.25">
      <c r="A64" s="10">
        <v>1</v>
      </c>
      <c r="B64" s="10" t="s">
        <v>17</v>
      </c>
      <c r="C64" s="10">
        <v>2027</v>
      </c>
      <c r="D64" s="40">
        <f>SUMIFS(Registre!$P$3:$P$15000,Registre!$A$3:$A$15000,1,Registre!$B$3:$B$15000,"mars",Registre!$C$3:$C$15000,2027)</f>
        <v>0</v>
      </c>
      <c r="F64" s="18"/>
      <c r="H64" s="2"/>
    </row>
    <row r="65" spans="1:8" x14ac:dyDescent="0.25">
      <c r="A65" s="10">
        <v>2</v>
      </c>
      <c r="B65" s="10" t="s">
        <v>17</v>
      </c>
      <c r="C65" s="10">
        <v>2027</v>
      </c>
      <c r="D65" s="40">
        <f>SUMIFS(Registre!$P$3:$P$15000,Registre!$A$3:$A$15000,2,Registre!$B$3:$B$15000,"mars",Registre!$C$3:$C$15000,2027)</f>
        <v>0</v>
      </c>
      <c r="F65" s="18"/>
      <c r="H65" s="2"/>
    </row>
    <row r="66" spans="1:8" x14ac:dyDescent="0.25">
      <c r="A66" s="10">
        <v>3</v>
      </c>
      <c r="B66" s="10" t="s">
        <v>17</v>
      </c>
      <c r="C66" s="10">
        <v>2027</v>
      </c>
      <c r="D66" s="40">
        <f>SUMIFS(Registre!$P$3:$P$15000,Registre!$A$3:$A$15000,3,Registre!$B$3:$B$15000,"mars",Registre!$C$3:$C$15000,2027)</f>
        <v>0</v>
      </c>
      <c r="F66" s="18"/>
      <c r="H66" s="2"/>
    </row>
    <row r="67" spans="1:8" x14ac:dyDescent="0.25">
      <c r="A67" s="10">
        <v>4</v>
      </c>
      <c r="B67" s="10" t="s">
        <v>17</v>
      </c>
      <c r="C67" s="10">
        <v>2027</v>
      </c>
      <c r="D67" s="40">
        <f>SUMIFS(Registre!$P$3:$P$15000,Registre!$A$3:$A$15000,4,Registre!$B$3:$B$15000,"mars",Registre!$C$3:$C$15000,2027)</f>
        <v>0</v>
      </c>
      <c r="F67" s="18"/>
      <c r="H67" s="2"/>
    </row>
    <row r="68" spans="1:8" x14ac:dyDescent="0.25">
      <c r="A68" s="10">
        <v>5</v>
      </c>
      <c r="B68" s="10" t="s">
        <v>17</v>
      </c>
      <c r="C68" s="10">
        <v>2027</v>
      </c>
      <c r="D68" s="40">
        <f>SUMIFS(Registre!$P$3:$P$15000,Registre!$A$3:$A$15000,5,Registre!$B$3:$B$15000,"mars",Registre!$C$3:$C$15000,2027)</f>
        <v>0</v>
      </c>
      <c r="F68" s="17"/>
      <c r="H68" s="2"/>
    </row>
    <row r="69" spans="1:8" x14ac:dyDescent="0.25">
      <c r="A69" s="10">
        <v>6</v>
      </c>
      <c r="B69" s="10" t="s">
        <v>17</v>
      </c>
      <c r="C69" s="10">
        <v>2027</v>
      </c>
      <c r="D69" s="40">
        <f>SUMIFS(Registre!$P$3:$P$15000,Registre!$A$3:$A$15000,6,Registre!$B$3:$B$15000,"mars",Registre!$C$3:$C$15000,2027)</f>
        <v>0</v>
      </c>
      <c r="F69" s="17"/>
      <c r="H69" s="2"/>
    </row>
    <row r="70" spans="1:8" x14ac:dyDescent="0.25">
      <c r="A70" s="10">
        <v>7</v>
      </c>
      <c r="B70" s="10" t="s">
        <v>17</v>
      </c>
      <c r="C70" s="10">
        <v>2027</v>
      </c>
      <c r="D70" s="40">
        <f>SUMIFS(Registre!$P$3:$P$15000,Registre!$A$3:$A$15000,7,Registre!$B$3:$B$15000,"mars",Registre!$C$3:$C$15000,2027)</f>
        <v>0</v>
      </c>
      <c r="F70" s="18"/>
      <c r="H70" s="2"/>
    </row>
    <row r="71" spans="1:8" x14ac:dyDescent="0.25">
      <c r="A71" s="10">
        <v>8</v>
      </c>
      <c r="B71" s="10" t="s">
        <v>17</v>
      </c>
      <c r="C71" s="10">
        <v>2027</v>
      </c>
      <c r="D71" s="40">
        <f>SUMIFS(Registre!$P$3:$P$15000,Registre!$A$3:$A$15000,8,Registre!$B$3:$B$15000,"mars",Registre!$C$3:$C$15000,2027)</f>
        <v>0</v>
      </c>
      <c r="F71" s="18"/>
      <c r="H71" s="2"/>
    </row>
    <row r="72" spans="1:8" x14ac:dyDescent="0.25">
      <c r="A72" s="10">
        <v>9</v>
      </c>
      <c r="B72" s="10" t="s">
        <v>17</v>
      </c>
      <c r="C72" s="10">
        <v>2027</v>
      </c>
      <c r="D72" s="40">
        <f>SUMIFS(Registre!$P$3:$P$15000,Registre!$A$3:$A$15000,9,Registre!$B$3:$B$15000,"mars",Registre!$C$3:$C$15000,2027)</f>
        <v>0</v>
      </c>
      <c r="F72" s="18"/>
      <c r="H72" s="2"/>
    </row>
    <row r="73" spans="1:8" x14ac:dyDescent="0.25">
      <c r="A73" s="10">
        <v>10</v>
      </c>
      <c r="B73" s="10" t="s">
        <v>17</v>
      </c>
      <c r="C73" s="10">
        <v>2027</v>
      </c>
      <c r="D73" s="40">
        <f>SUMIFS(Registre!$P$3:$P$15000,Registre!$A$3:$A$15000,10,Registre!$B$3:$B$15000,"mars",Registre!$C$3:$C$15000,2027)</f>
        <v>0</v>
      </c>
      <c r="F73" s="18"/>
      <c r="H73" s="2"/>
    </row>
    <row r="74" spans="1:8" x14ac:dyDescent="0.25">
      <c r="A74" s="10">
        <v>11</v>
      </c>
      <c r="B74" s="10" t="s">
        <v>17</v>
      </c>
      <c r="C74" s="10">
        <v>2027</v>
      </c>
      <c r="D74" s="40">
        <f>SUMIFS(Registre!$P$3:$P$15000,Registre!$A$3:$A$15000,11,Registre!$B$3:$B$15000,"mars",Registre!$C$3:$C$15000,2027)</f>
        <v>0</v>
      </c>
      <c r="F74" s="18"/>
      <c r="H74" s="2"/>
    </row>
    <row r="75" spans="1:8" x14ac:dyDescent="0.25">
      <c r="A75" s="10">
        <v>12</v>
      </c>
      <c r="B75" s="10" t="s">
        <v>17</v>
      </c>
      <c r="C75" s="10">
        <v>2027</v>
      </c>
      <c r="D75" s="40">
        <f>SUMIFS(Registre!$P$3:$P$15000,Registre!$A$3:$A$15000,12,Registre!$B$3:$B$15000,"mars",Registre!$C$3:$C$15000,2027)</f>
        <v>0</v>
      </c>
      <c r="F75" s="18"/>
      <c r="H75" s="2"/>
    </row>
    <row r="76" spans="1:8" x14ac:dyDescent="0.25">
      <c r="A76" s="10">
        <v>13</v>
      </c>
      <c r="B76" s="10" t="s">
        <v>17</v>
      </c>
      <c r="C76" s="10">
        <v>2027</v>
      </c>
      <c r="D76" s="40">
        <f>SUMIFS(Registre!$P$3:$P$15000,Registre!$A$3:$A$15000,13,Registre!$B$3:$B$15000,"mars",Registre!$C$3:$C$15000,2027)</f>
        <v>0</v>
      </c>
      <c r="F76" s="18"/>
      <c r="H76" s="2"/>
    </row>
    <row r="77" spans="1:8" x14ac:dyDescent="0.25">
      <c r="A77" s="10">
        <v>14</v>
      </c>
      <c r="B77" s="10" t="s">
        <v>17</v>
      </c>
      <c r="C77" s="10">
        <v>2027</v>
      </c>
      <c r="D77" s="40">
        <f>SUMIFS(Registre!$P$3:$P$15000,Registre!$A$3:$A$15000,14,Registre!$B$3:$B$15000,"mars",Registre!$C$3:$C$15000,2027)</f>
        <v>0</v>
      </c>
      <c r="F77" s="17"/>
      <c r="H77" s="2"/>
    </row>
    <row r="78" spans="1:8" x14ac:dyDescent="0.25">
      <c r="A78" s="10">
        <v>15</v>
      </c>
      <c r="B78" s="10" t="s">
        <v>17</v>
      </c>
      <c r="C78" s="10">
        <v>2027</v>
      </c>
      <c r="D78" s="40">
        <f>SUMIFS(Registre!$P$3:$P$15000,Registre!$A$3:$A$15000,15,Registre!$B$3:$B$15000,"mars",Registre!$C$3:$C$15000,2027)</f>
        <v>0</v>
      </c>
      <c r="F78" s="17"/>
      <c r="H78" s="2"/>
    </row>
    <row r="79" spans="1:8" x14ac:dyDescent="0.25">
      <c r="A79" s="10">
        <v>16</v>
      </c>
      <c r="B79" s="10" t="s">
        <v>17</v>
      </c>
      <c r="C79" s="10">
        <v>2027</v>
      </c>
      <c r="D79" s="40">
        <f>SUMIFS(Registre!$P$3:$P$15000,Registre!$A$3:$A$15000,16,Registre!$B$3:$B$15000,"mars",Registre!$C$3:$C$15000,2027)</f>
        <v>0</v>
      </c>
      <c r="F79" s="18"/>
      <c r="H79" s="2"/>
    </row>
    <row r="80" spans="1:8" x14ac:dyDescent="0.25">
      <c r="A80" s="10">
        <v>17</v>
      </c>
      <c r="B80" s="10" t="s">
        <v>17</v>
      </c>
      <c r="C80" s="10">
        <v>2027</v>
      </c>
      <c r="D80" s="40">
        <f>SUMIFS(Registre!$P$3:$P$15000,Registre!$A$3:$A$15000,17,Registre!$B$3:$B$15000,"mars",Registre!$C$3:$C$15000,2027)</f>
        <v>0</v>
      </c>
      <c r="F80" s="18"/>
      <c r="H80" s="2"/>
    </row>
    <row r="81" spans="1:8" x14ac:dyDescent="0.25">
      <c r="A81" s="10">
        <v>18</v>
      </c>
      <c r="B81" s="10" t="s">
        <v>17</v>
      </c>
      <c r="C81" s="10">
        <v>2027</v>
      </c>
      <c r="D81" s="40">
        <f>SUMIFS(Registre!$P$3:$P$15000,Registre!$A$3:$A$15000,18,Registre!$B$3:$B$15000,"mars",Registre!$C$3:$C$15000,2027)</f>
        <v>0</v>
      </c>
      <c r="F81" s="18"/>
      <c r="H81" s="2"/>
    </row>
    <row r="82" spans="1:8" x14ac:dyDescent="0.25">
      <c r="A82" s="10">
        <v>19</v>
      </c>
      <c r="B82" s="10" t="s">
        <v>17</v>
      </c>
      <c r="C82" s="10">
        <v>2027</v>
      </c>
      <c r="D82" s="40">
        <f>SUMIFS(Registre!$P$3:$P$15000,Registre!$A$3:$A$15000,19,Registre!$B$3:$B$15000,"mars",Registre!$C$3:$C$15000,2027)</f>
        <v>0</v>
      </c>
      <c r="F82" s="18"/>
      <c r="H82" s="2"/>
    </row>
    <row r="83" spans="1:8" x14ac:dyDescent="0.25">
      <c r="A83" s="10">
        <v>20</v>
      </c>
      <c r="B83" s="10" t="s">
        <v>17</v>
      </c>
      <c r="C83" s="10">
        <v>2027</v>
      </c>
      <c r="D83" s="40">
        <f>SUMIFS(Registre!$P$3:$P$15000,Registre!$A$3:$A$15000,20,Registre!$B$3:$B$15000,"mars",Registre!$C$3:$C$15000,2027)</f>
        <v>0</v>
      </c>
      <c r="F83" s="18"/>
      <c r="H83" s="2"/>
    </row>
    <row r="84" spans="1:8" x14ac:dyDescent="0.25">
      <c r="A84" s="10">
        <v>21</v>
      </c>
      <c r="B84" s="10" t="s">
        <v>17</v>
      </c>
      <c r="C84" s="10">
        <v>2027</v>
      </c>
      <c r="D84" s="40">
        <f>SUMIFS(Registre!$P$3:$P$15000,Registre!$A$3:$A$15000,21,Registre!$B$3:$B$15000,"mars",Registre!$C$3:$C$15000,2027)</f>
        <v>0</v>
      </c>
      <c r="F84" s="18"/>
      <c r="H84" s="2"/>
    </row>
    <row r="85" spans="1:8" x14ac:dyDescent="0.25">
      <c r="A85" s="10">
        <v>22</v>
      </c>
      <c r="B85" s="10" t="s">
        <v>17</v>
      </c>
      <c r="C85" s="10">
        <v>2027</v>
      </c>
      <c r="D85" s="40">
        <f>SUMIFS(Registre!$P$3:$P$15000,Registre!$A$3:$A$15000,22,Registre!$B$3:$B$15000,"mars",Registre!$C$3:$C$15000,2027)</f>
        <v>0</v>
      </c>
      <c r="F85" s="18"/>
      <c r="H85" s="2"/>
    </row>
    <row r="86" spans="1:8" x14ac:dyDescent="0.25">
      <c r="A86" s="10">
        <v>23</v>
      </c>
      <c r="B86" s="10" t="s">
        <v>17</v>
      </c>
      <c r="C86" s="10">
        <v>2027</v>
      </c>
      <c r="D86" s="40">
        <f>SUMIFS(Registre!$P$3:$P$15000,Registre!$A$3:$A$15000,23,Registre!$B$3:$B$15000,"mars",Registre!$C$3:$C$15000,2027)</f>
        <v>0</v>
      </c>
      <c r="F86" s="17"/>
      <c r="H86" s="2"/>
    </row>
    <row r="87" spans="1:8" x14ac:dyDescent="0.25">
      <c r="A87" s="10">
        <v>24</v>
      </c>
      <c r="B87" s="10" t="s">
        <v>17</v>
      </c>
      <c r="C87" s="10">
        <v>2027</v>
      </c>
      <c r="D87" s="40">
        <f>SUMIFS(Registre!$P$3:$P$15000,Registre!$A$3:$A$15000,24,Registre!$B$3:$B$15000,"mars",Registre!$C$3:$C$15000,2027)</f>
        <v>0</v>
      </c>
      <c r="F87" s="17"/>
      <c r="H87" s="2"/>
    </row>
    <row r="88" spans="1:8" x14ac:dyDescent="0.25">
      <c r="A88" s="10">
        <v>25</v>
      </c>
      <c r="B88" s="10" t="s">
        <v>17</v>
      </c>
      <c r="C88" s="10">
        <v>2027</v>
      </c>
      <c r="D88" s="40">
        <f>SUMIFS(Registre!$P$3:$P$15000,Registre!$A$3:$A$15000,25,Registre!$B$3:$B$15000,"mars",Registre!$C$3:$C$15000,2027)</f>
        <v>0</v>
      </c>
      <c r="F88" s="18"/>
      <c r="H88" s="2"/>
    </row>
    <row r="89" spans="1:8" x14ac:dyDescent="0.25">
      <c r="A89" s="10">
        <v>26</v>
      </c>
      <c r="B89" s="10" t="s">
        <v>17</v>
      </c>
      <c r="C89" s="10">
        <v>2027</v>
      </c>
      <c r="D89" s="40">
        <f>SUMIFS(Registre!$P$3:$P$15000,Registre!$A$3:$A$15000,26,Registre!$B$3:$B$15000,"mars",Registre!$C$3:$C$15000,2027)</f>
        <v>0</v>
      </c>
      <c r="F89" s="18"/>
      <c r="H89" s="2"/>
    </row>
    <row r="90" spans="1:8" x14ac:dyDescent="0.25">
      <c r="A90" s="10">
        <v>27</v>
      </c>
      <c r="B90" s="10" t="s">
        <v>17</v>
      </c>
      <c r="C90" s="10">
        <v>2027</v>
      </c>
      <c r="D90" s="40">
        <f>SUMIFS(Registre!$P$3:$P$15000,Registre!$A$3:$A$15000,27,Registre!$B$3:$B$15000,"mars",Registre!$C$3:$C$15000,2027)</f>
        <v>0</v>
      </c>
      <c r="F90" s="18"/>
      <c r="H90" s="2"/>
    </row>
    <row r="91" spans="1:8" x14ac:dyDescent="0.25">
      <c r="A91" s="10">
        <v>28</v>
      </c>
      <c r="B91" s="10" t="s">
        <v>17</v>
      </c>
      <c r="C91" s="10">
        <v>2027</v>
      </c>
      <c r="D91" s="40">
        <f>SUMIFS(Registre!$P$3:$P$15000,Registre!$A$3:$A$15000,28,Registre!$B$3:$B$15000,"mars",Registre!$C$3:$C$15000,2027)</f>
        <v>0</v>
      </c>
      <c r="F91" s="18"/>
      <c r="H91" s="2"/>
    </row>
    <row r="92" spans="1:8" x14ac:dyDescent="0.25">
      <c r="A92" s="10">
        <v>29</v>
      </c>
      <c r="B92" s="10" t="s">
        <v>17</v>
      </c>
      <c r="C92" s="10">
        <v>2027</v>
      </c>
      <c r="D92" s="40">
        <f>SUMIFS(Registre!$P$3:$P$15000,Registre!$A$3:$A$15000,29,Registre!$B$3:$B$15000,"mars",Registre!$C$3:$C$15000,2027)</f>
        <v>0</v>
      </c>
      <c r="F92" s="18"/>
      <c r="H92" s="2"/>
    </row>
    <row r="93" spans="1:8" x14ac:dyDescent="0.25">
      <c r="A93" s="10">
        <v>30</v>
      </c>
      <c r="B93" s="10" t="s">
        <v>17</v>
      </c>
      <c r="C93" s="10">
        <v>2027</v>
      </c>
      <c r="D93" s="40">
        <f>SUMIFS(Registre!$P$3:$P$15000,Registre!$A$3:$A$15000,30,Registre!$B$3:$B$15000,"mars",Registre!$C$3:$C$15000,2027)</f>
        <v>0</v>
      </c>
      <c r="F93" s="18"/>
      <c r="H93" s="2"/>
    </row>
    <row r="94" spans="1:8" x14ac:dyDescent="0.25">
      <c r="A94" s="10">
        <v>31</v>
      </c>
      <c r="B94" s="10" t="s">
        <v>17</v>
      </c>
      <c r="C94" s="10">
        <v>2027</v>
      </c>
      <c r="D94" s="40">
        <f>SUMIFS(Registre!$P$3:$P$15000,Registre!$A$3:$A$15000,31,Registre!$B$3:$B$15000,"mars",Registre!$C$3:$C$15000,2027)</f>
        <v>0</v>
      </c>
      <c r="F94" s="18"/>
      <c r="H94" s="2"/>
    </row>
    <row r="95" spans="1:8" x14ac:dyDescent="0.25">
      <c r="A95" s="11">
        <v>1</v>
      </c>
      <c r="B95" s="11" t="s">
        <v>18</v>
      </c>
      <c r="C95" s="11">
        <v>2027</v>
      </c>
      <c r="D95" s="41">
        <f>SUMIFS(Registre!$P$3:$P$15000,Registre!$A$3:$A$15000,1,Registre!$B$3:$B$15000,"avril",Registre!$C$3:$C$15000,2027)</f>
        <v>0</v>
      </c>
      <c r="F95" s="17"/>
      <c r="H95" s="2"/>
    </row>
    <row r="96" spans="1:8" x14ac:dyDescent="0.25">
      <c r="A96" s="11">
        <v>2</v>
      </c>
      <c r="B96" s="11" t="s">
        <v>18</v>
      </c>
      <c r="C96" s="11">
        <v>2027</v>
      </c>
      <c r="D96" s="41">
        <f>SUMIFS(Registre!$P$3:$P$15000,Registre!$A$3:$A$15000,2,Registre!$B$3:$B$15000,"avril",Registre!$C$3:$C$15000,2027)</f>
        <v>0</v>
      </c>
      <c r="F96" s="17"/>
      <c r="H96" s="2"/>
    </row>
    <row r="97" spans="1:8" x14ac:dyDescent="0.25">
      <c r="A97" s="11">
        <v>3</v>
      </c>
      <c r="B97" s="11" t="s">
        <v>18</v>
      </c>
      <c r="C97" s="11">
        <v>2027</v>
      </c>
      <c r="D97" s="41">
        <f>SUMIFS(Registre!$P$3:$P$15000,Registre!$A$3:$A$15000,3,Registre!$B$3:$B$15000,"avril",Registre!$C$3:$C$15000,2027)</f>
        <v>0</v>
      </c>
      <c r="F97" s="18"/>
      <c r="H97" s="2"/>
    </row>
    <row r="98" spans="1:8" x14ac:dyDescent="0.25">
      <c r="A98" s="11">
        <v>4</v>
      </c>
      <c r="B98" s="11" t="s">
        <v>18</v>
      </c>
      <c r="C98" s="11">
        <v>2027</v>
      </c>
      <c r="D98" s="41">
        <f>SUMIFS(Registre!$P$3:$P$15000,Registre!$A$3:$A$15000,4,Registre!$B$3:$B$15000,"avril",Registre!$C$3:$C$15000,2027)</f>
        <v>0</v>
      </c>
      <c r="F98" s="18"/>
      <c r="H98" s="2"/>
    </row>
    <row r="99" spans="1:8" x14ac:dyDescent="0.25">
      <c r="A99" s="11">
        <v>5</v>
      </c>
      <c r="B99" s="11" t="s">
        <v>18</v>
      </c>
      <c r="C99" s="11">
        <v>2027</v>
      </c>
      <c r="D99" s="41">
        <f>SUMIFS(Registre!$P$3:$P$15000,Registre!$A$3:$A$15000,5,Registre!$B$3:$B$15000,"avril",Registre!$C$3:$C$15000,2027)</f>
        <v>0</v>
      </c>
      <c r="F99" s="18"/>
      <c r="H99" s="2"/>
    </row>
    <row r="100" spans="1:8" x14ac:dyDescent="0.25">
      <c r="A100" s="11">
        <v>6</v>
      </c>
      <c r="B100" s="11" t="s">
        <v>18</v>
      </c>
      <c r="C100" s="11">
        <v>2027</v>
      </c>
      <c r="D100" s="41">
        <f>SUMIFS(Registre!$P$3:$P$15000,Registre!$A$3:$A$15000,6,Registre!$B$3:$B$15000,"avril",Registre!$C$3:$C$15000,2027)</f>
        <v>0</v>
      </c>
      <c r="F100" s="18"/>
      <c r="H100" s="2"/>
    </row>
    <row r="101" spans="1:8" x14ac:dyDescent="0.25">
      <c r="A101" s="11">
        <v>7</v>
      </c>
      <c r="B101" s="11" t="s">
        <v>18</v>
      </c>
      <c r="C101" s="11">
        <v>2027</v>
      </c>
      <c r="D101" s="41">
        <f>SUMIFS(Registre!$P$3:$P$15000,Registre!$A$3:$A$15000,7,Registre!$B$3:$B$15000,"avril",Registre!$C$3:$C$15000,2027)</f>
        <v>0</v>
      </c>
      <c r="F101" s="18"/>
      <c r="H101" s="2"/>
    </row>
    <row r="102" spans="1:8" x14ac:dyDescent="0.25">
      <c r="A102" s="11">
        <v>8</v>
      </c>
      <c r="B102" s="11" t="s">
        <v>18</v>
      </c>
      <c r="C102" s="11">
        <v>2027</v>
      </c>
      <c r="D102" s="41">
        <f>SUMIFS(Registre!$P$3:$P$15000,Registre!$A$3:$A$15000,8,Registre!$B$3:$B$15000,"avril",Registre!$C$3:$C$15000,2027)</f>
        <v>0</v>
      </c>
      <c r="F102" s="18"/>
      <c r="H102" s="2"/>
    </row>
    <row r="103" spans="1:8" x14ac:dyDescent="0.25">
      <c r="A103" s="11">
        <v>9</v>
      </c>
      <c r="B103" s="11" t="s">
        <v>18</v>
      </c>
      <c r="C103" s="11">
        <v>2027</v>
      </c>
      <c r="D103" s="41">
        <f>SUMIFS(Registre!$P$3:$P$15000,Registre!$A$3:$A$15000,9,Registre!$B$3:$B$15000,"avril",Registre!$C$3:$C$15000,2027)</f>
        <v>0</v>
      </c>
      <c r="F103" s="18"/>
      <c r="H103" s="2"/>
    </row>
    <row r="104" spans="1:8" x14ac:dyDescent="0.25">
      <c r="A104" s="11">
        <v>10</v>
      </c>
      <c r="B104" s="11" t="s">
        <v>18</v>
      </c>
      <c r="C104" s="11">
        <v>2027</v>
      </c>
      <c r="D104" s="41">
        <f>SUMIFS(Registre!$P$3:$P$15000,Registre!$A$3:$A$15000,10,Registre!$B$3:$B$15000,"avril",Registre!$C$3:$C$15000,2027)</f>
        <v>0</v>
      </c>
      <c r="F104" s="17"/>
      <c r="H104" s="2"/>
    </row>
    <row r="105" spans="1:8" x14ac:dyDescent="0.25">
      <c r="A105" s="11">
        <v>11</v>
      </c>
      <c r="B105" s="11" t="s">
        <v>18</v>
      </c>
      <c r="C105" s="11">
        <v>2027</v>
      </c>
      <c r="D105" s="41">
        <f>SUMIFS(Registre!$P$3:$P$15000,Registre!$A$3:$A$15000,11,Registre!$B$3:$B$15000,"avril",Registre!$C$3:$C$15000,2027)</f>
        <v>0</v>
      </c>
      <c r="F105" s="17"/>
      <c r="H105" s="2"/>
    </row>
    <row r="106" spans="1:8" x14ac:dyDescent="0.25">
      <c r="A106" s="11">
        <v>12</v>
      </c>
      <c r="B106" s="11" t="s">
        <v>18</v>
      </c>
      <c r="C106" s="11">
        <v>2027</v>
      </c>
      <c r="D106" s="41">
        <f>SUMIFS(Registre!$P$3:$P$15000,Registre!$A$3:$A$15000,12,Registre!$B$3:$B$15000,"avril",Registre!$C$3:$C$15000,2027)</f>
        <v>0</v>
      </c>
      <c r="F106" s="18"/>
      <c r="H106" s="2"/>
    </row>
    <row r="107" spans="1:8" x14ac:dyDescent="0.25">
      <c r="A107" s="11">
        <v>13</v>
      </c>
      <c r="B107" s="11" t="s">
        <v>18</v>
      </c>
      <c r="C107" s="11">
        <v>2027</v>
      </c>
      <c r="D107" s="41">
        <f>SUMIFS(Registre!$P$3:$P$15000,Registre!$A$3:$A$15000,13,Registre!$B$3:$B$15000,"avril",Registre!$C$3:$C$15000,2027)</f>
        <v>0</v>
      </c>
      <c r="F107" s="18"/>
      <c r="H107" s="2"/>
    </row>
    <row r="108" spans="1:8" x14ac:dyDescent="0.25">
      <c r="A108" s="11">
        <v>14</v>
      </c>
      <c r="B108" s="11" t="s">
        <v>18</v>
      </c>
      <c r="C108" s="11">
        <v>2027</v>
      </c>
      <c r="D108" s="41">
        <f>SUMIFS(Registre!$P$3:$P$15000,Registre!$A$3:$A$15000,14,Registre!$B$3:$B$15000,"avril",Registre!$C$3:$C$15000,2027)</f>
        <v>0</v>
      </c>
      <c r="F108" s="18"/>
      <c r="H108" s="2"/>
    </row>
    <row r="109" spans="1:8" x14ac:dyDescent="0.25">
      <c r="A109" s="11">
        <v>15</v>
      </c>
      <c r="B109" s="11" t="s">
        <v>18</v>
      </c>
      <c r="C109" s="11">
        <v>2027</v>
      </c>
      <c r="D109" s="41">
        <f>SUMIFS(Registre!$P$3:$P$15000,Registre!$A$3:$A$15000,15,Registre!$B$3:$B$15000,"avril",Registre!$C$3:$C$15000,2027)</f>
        <v>0</v>
      </c>
      <c r="F109" s="18"/>
      <c r="H109" s="2"/>
    </row>
    <row r="110" spans="1:8" x14ac:dyDescent="0.25">
      <c r="A110" s="11">
        <v>16</v>
      </c>
      <c r="B110" s="11" t="s">
        <v>18</v>
      </c>
      <c r="C110" s="11">
        <v>2027</v>
      </c>
      <c r="D110" s="41">
        <f>SUMIFS(Registre!$P$3:$P$15000,Registre!$A$3:$A$15000,16,Registre!$B$3:$B$15000,"avril",Registre!$C$3:$C$15000,2027)</f>
        <v>0</v>
      </c>
      <c r="F110" s="18"/>
      <c r="H110" s="2"/>
    </row>
    <row r="111" spans="1:8" x14ac:dyDescent="0.25">
      <c r="A111" s="11">
        <v>17</v>
      </c>
      <c r="B111" s="11" t="s">
        <v>18</v>
      </c>
      <c r="C111" s="11">
        <v>2027</v>
      </c>
      <c r="D111" s="41">
        <f>SUMIFS(Registre!$P$3:$P$15000,Registre!$A$3:$A$15000,17,Registre!$B$3:$B$15000,"avril",Registre!$C$3:$C$15000,2027)</f>
        <v>0</v>
      </c>
      <c r="F111" s="18"/>
      <c r="H111" s="2"/>
    </row>
    <row r="112" spans="1:8" x14ac:dyDescent="0.25">
      <c r="A112" s="11">
        <v>18</v>
      </c>
      <c r="B112" s="11" t="s">
        <v>18</v>
      </c>
      <c r="C112" s="11">
        <v>2027</v>
      </c>
      <c r="D112" s="41">
        <f>SUMIFS(Registre!$P$3:$P$15000,Registre!$A$3:$A$15000,18,Registre!$B$3:$B$15000,"avril",Registre!$C$3:$C$15000,2027)</f>
        <v>0</v>
      </c>
      <c r="F112" s="18"/>
      <c r="H112" s="2"/>
    </row>
    <row r="113" spans="1:4" x14ac:dyDescent="0.25">
      <c r="A113" s="11">
        <v>19</v>
      </c>
      <c r="B113" s="11" t="s">
        <v>18</v>
      </c>
      <c r="C113" s="11">
        <v>2027</v>
      </c>
      <c r="D113" s="41">
        <f>SUMIFS(Registre!$P$3:$P$15000,Registre!$A$3:$A$15000,19,Registre!$B$3:$B$15000,"avril",Registre!$C$3:$C$15000,2027)</f>
        <v>0</v>
      </c>
    </row>
    <row r="114" spans="1:4" x14ac:dyDescent="0.25">
      <c r="A114" s="11">
        <v>20</v>
      </c>
      <c r="B114" s="11" t="s">
        <v>18</v>
      </c>
      <c r="C114" s="11">
        <v>2027</v>
      </c>
      <c r="D114" s="41">
        <f>SUMIFS(Registre!$P$3:$P$15000,Registre!$A$3:$A$15000,20,Registre!$B$3:$B$15000,"avril",Registre!$C$3:$C$15000,2027)</f>
        <v>0</v>
      </c>
    </row>
    <row r="115" spans="1:4" x14ac:dyDescent="0.25">
      <c r="A115" s="11">
        <v>21</v>
      </c>
      <c r="B115" s="11" t="s">
        <v>18</v>
      </c>
      <c r="C115" s="11">
        <v>2027</v>
      </c>
      <c r="D115" s="41">
        <f>SUMIFS(Registre!$P$3:$P$15000,Registre!$A$3:$A$15000,21,Registre!$B$3:$B$15000,"avril",Registre!$C$3:$C$15000,2027)</f>
        <v>0</v>
      </c>
    </row>
    <row r="116" spans="1:4" x14ac:dyDescent="0.25">
      <c r="A116" s="11">
        <v>22</v>
      </c>
      <c r="B116" s="11" t="s">
        <v>18</v>
      </c>
      <c r="C116" s="11">
        <v>2027</v>
      </c>
      <c r="D116" s="41">
        <f>SUMIFS(Registre!$P$3:$P$15000,Registre!$A$3:$A$15000,22,Registre!$B$3:$B$15000,"avril",Registre!$C$3:$C$15000,2027)</f>
        <v>0</v>
      </c>
    </row>
    <row r="117" spans="1:4" x14ac:dyDescent="0.25">
      <c r="A117" s="11">
        <v>23</v>
      </c>
      <c r="B117" s="11" t="s">
        <v>18</v>
      </c>
      <c r="C117" s="11">
        <v>2027</v>
      </c>
      <c r="D117" s="41">
        <f>SUMIFS(Registre!$P$3:$P$15000,Registre!$A$3:$A$15000,23,Registre!$B$3:$B$15000,"avril",Registre!$C$3:$C$15000,2027)</f>
        <v>0</v>
      </c>
    </row>
    <row r="118" spans="1:4" x14ac:dyDescent="0.25">
      <c r="A118" s="11">
        <v>24</v>
      </c>
      <c r="B118" s="11" t="s">
        <v>18</v>
      </c>
      <c r="C118" s="11">
        <v>2027</v>
      </c>
      <c r="D118" s="41">
        <f>SUMIFS(Registre!$P$3:$P$15000,Registre!$A$3:$A$15000,24,Registre!$B$3:$B$15000,"avril",Registre!$C$3:$C$15000,2027)</f>
        <v>0</v>
      </c>
    </row>
    <row r="119" spans="1:4" x14ac:dyDescent="0.25">
      <c r="A119" s="11">
        <v>25</v>
      </c>
      <c r="B119" s="11" t="s">
        <v>18</v>
      </c>
      <c r="C119" s="11">
        <v>2027</v>
      </c>
      <c r="D119" s="41">
        <f>SUMIFS(Registre!$P$3:$P$15000,Registre!$A$3:$A$15000,25,Registre!$B$3:$B$15000,"avril",Registre!$C$3:$C$15000,2027)</f>
        <v>0</v>
      </c>
    </row>
    <row r="120" spans="1:4" x14ac:dyDescent="0.25">
      <c r="A120" s="11">
        <v>26</v>
      </c>
      <c r="B120" s="11" t="s">
        <v>18</v>
      </c>
      <c r="C120" s="11">
        <v>2027</v>
      </c>
      <c r="D120" s="41">
        <f>SUMIFS(Registre!$P$3:$P$15000,Registre!$A$3:$A$15000,26,Registre!$B$3:$B$15000,"avril",Registre!$C$3:$C$15000,2027)</f>
        <v>0</v>
      </c>
    </row>
    <row r="121" spans="1:4" x14ac:dyDescent="0.25">
      <c r="A121" s="11">
        <v>27</v>
      </c>
      <c r="B121" s="11" t="s">
        <v>18</v>
      </c>
      <c r="C121" s="11">
        <v>2027</v>
      </c>
      <c r="D121" s="41">
        <f>SUMIFS(Registre!$P$3:$P$15000,Registre!$A$3:$A$15000,27,Registre!$B$3:$B$15000,"avril",Registre!$C$3:$C$15000,2027)</f>
        <v>0</v>
      </c>
    </row>
    <row r="122" spans="1:4" x14ac:dyDescent="0.25">
      <c r="A122" s="11">
        <v>28</v>
      </c>
      <c r="B122" s="11" t="s">
        <v>18</v>
      </c>
      <c r="C122" s="11">
        <v>2027</v>
      </c>
      <c r="D122" s="41">
        <f>SUMIFS(Registre!$P$3:$P$15000,Registre!$A$3:$A$15000,28,Registre!$B$3:$B$15000,"avril",Registre!$C$3:$C$15000,2027)</f>
        <v>0</v>
      </c>
    </row>
    <row r="123" spans="1:4" x14ac:dyDescent="0.25">
      <c r="A123" s="11">
        <v>29</v>
      </c>
      <c r="B123" s="11" t="s">
        <v>18</v>
      </c>
      <c r="C123" s="11">
        <v>2027</v>
      </c>
      <c r="D123" s="41">
        <f>SUMIFS(Registre!$P$3:$P$15000,Registre!$A$3:$A$15000,29,Registre!$B$3:$B$15000,"avril",Registre!$C$3:$C$15000,2027)</f>
        <v>0</v>
      </c>
    </row>
    <row r="124" spans="1:4" x14ac:dyDescent="0.25">
      <c r="A124" s="11">
        <v>30</v>
      </c>
      <c r="B124" s="11" t="s">
        <v>18</v>
      </c>
      <c r="C124" s="11">
        <v>2027</v>
      </c>
      <c r="D124" s="41">
        <f>SUMIFS(Registre!$P$3:$P$15000,Registre!$A$3:$A$15000,30,Registre!$B$3:$B$15000,"avril",Registre!$C$3:$C$15000,2027)</f>
        <v>0</v>
      </c>
    </row>
    <row r="125" spans="1:4" x14ac:dyDescent="0.25">
      <c r="A125" s="10">
        <v>1</v>
      </c>
      <c r="B125" s="10" t="s">
        <v>19</v>
      </c>
      <c r="C125" s="10">
        <v>2027</v>
      </c>
      <c r="D125" s="40">
        <f>SUMIFS(Registre!$P$3:$P$15000,Registre!$A$3:$A$15000,1,Registre!$B$3:$B$15000,"mai",Registre!$C$3:$C$15000,2027)</f>
        <v>0</v>
      </c>
    </row>
    <row r="126" spans="1:4" x14ac:dyDescent="0.25">
      <c r="A126" s="10">
        <v>2</v>
      </c>
      <c r="B126" s="10" t="s">
        <v>19</v>
      </c>
      <c r="C126" s="10">
        <v>2027</v>
      </c>
      <c r="D126" s="40">
        <f>SUMIFS(Registre!$P$3:$P$15000,Registre!$A$3:$A$15000,2,Registre!$B$3:$B$15000,"mai",Registre!$C$3:$C$15000,2027)</f>
        <v>0</v>
      </c>
    </row>
    <row r="127" spans="1:4" x14ac:dyDescent="0.25">
      <c r="A127" s="10">
        <v>3</v>
      </c>
      <c r="B127" s="10" t="s">
        <v>19</v>
      </c>
      <c r="C127" s="10">
        <v>2027</v>
      </c>
      <c r="D127" s="40">
        <f>SUMIFS(Registre!$P$3:$P$15000,Registre!$A$3:$A$15000,3,Registre!$B$3:$B$15000,"mai",Registre!$C$3:$C$15000,2027)</f>
        <v>0</v>
      </c>
    </row>
    <row r="128" spans="1:4" x14ac:dyDescent="0.25">
      <c r="A128" s="10">
        <v>4</v>
      </c>
      <c r="B128" s="10" t="s">
        <v>19</v>
      </c>
      <c r="C128" s="10">
        <v>2027</v>
      </c>
      <c r="D128" s="40">
        <f>SUMIFS(Registre!$P$3:$P$15000,Registre!$A$3:$A$15000,4,Registre!$B$3:$B$15000,"mai",Registre!$C$3:$C$15000,2027)</f>
        <v>0</v>
      </c>
    </row>
    <row r="129" spans="1:4" x14ac:dyDescent="0.25">
      <c r="A129" s="10">
        <v>5</v>
      </c>
      <c r="B129" s="10" t="s">
        <v>19</v>
      </c>
      <c r="C129" s="10">
        <v>2027</v>
      </c>
      <c r="D129" s="40">
        <f>SUMIFS(Registre!$P$3:$P$15000,Registre!$A$3:$A$15000,5,Registre!$B$3:$B$15000,"mai",Registre!$C$3:$C$15000,2027)</f>
        <v>0</v>
      </c>
    </row>
    <row r="130" spans="1:4" x14ac:dyDescent="0.25">
      <c r="A130" s="10">
        <v>6</v>
      </c>
      <c r="B130" s="10" t="s">
        <v>19</v>
      </c>
      <c r="C130" s="10">
        <v>2027</v>
      </c>
      <c r="D130" s="40">
        <f>SUMIFS(Registre!$P$3:$P$15000,Registre!$A$3:$A$15000,6,Registre!$B$3:$B$15000,"mai",Registre!$C$3:$C$15000,2027)</f>
        <v>0</v>
      </c>
    </row>
    <row r="131" spans="1:4" x14ac:dyDescent="0.25">
      <c r="A131" s="10">
        <v>7</v>
      </c>
      <c r="B131" s="10" t="s">
        <v>19</v>
      </c>
      <c r="C131" s="10">
        <v>2027</v>
      </c>
      <c r="D131" s="40">
        <f>SUMIFS(Registre!$P$3:$P$15000,Registre!$A$3:$A$15000,7,Registre!$B$3:$B$15000,"mai",Registre!$C$3:$C$15000,2027)</f>
        <v>0</v>
      </c>
    </row>
    <row r="132" spans="1:4" x14ac:dyDescent="0.25">
      <c r="A132" s="10">
        <v>8</v>
      </c>
      <c r="B132" s="10" t="s">
        <v>19</v>
      </c>
      <c r="C132" s="10">
        <v>2027</v>
      </c>
      <c r="D132" s="40">
        <f>SUMIFS(Registre!$P$3:$P$15000,Registre!$A$3:$A$15000,8,Registre!$B$3:$B$15000,"mai",Registre!$C$3:$C$15000,2027)</f>
        <v>0</v>
      </c>
    </row>
    <row r="133" spans="1:4" x14ac:dyDescent="0.25">
      <c r="A133" s="10">
        <v>9</v>
      </c>
      <c r="B133" s="10" t="s">
        <v>19</v>
      </c>
      <c r="C133" s="10">
        <v>2027</v>
      </c>
      <c r="D133" s="40">
        <f>SUMIFS(Registre!$P$3:$P$15000,Registre!$A$3:$A$15000,9,Registre!$B$3:$B$15000,"mai",Registre!$C$3:$C$15000,2027)</f>
        <v>0</v>
      </c>
    </row>
    <row r="134" spans="1:4" x14ac:dyDescent="0.25">
      <c r="A134" s="10">
        <v>10</v>
      </c>
      <c r="B134" s="10" t="s">
        <v>19</v>
      </c>
      <c r="C134" s="10">
        <v>2027</v>
      </c>
      <c r="D134" s="40">
        <f>SUMIFS(Registre!$P$3:$P$15000,Registre!$A$3:$A$15000,10,Registre!$B$3:$B$15000,"mai",Registre!$C$3:$C$15000,2027)</f>
        <v>0</v>
      </c>
    </row>
    <row r="135" spans="1:4" x14ac:dyDescent="0.25">
      <c r="A135" s="10">
        <v>11</v>
      </c>
      <c r="B135" s="10" t="s">
        <v>19</v>
      </c>
      <c r="C135" s="10">
        <v>2027</v>
      </c>
      <c r="D135" s="40">
        <f>SUMIFS(Registre!$P$3:$P$15000,Registre!$A$3:$A$15000,11,Registre!$B$3:$B$15000,"mai",Registre!$C$3:$C$15000,2027)</f>
        <v>0</v>
      </c>
    </row>
    <row r="136" spans="1:4" x14ac:dyDescent="0.25">
      <c r="A136" s="10">
        <v>12</v>
      </c>
      <c r="B136" s="10" t="s">
        <v>19</v>
      </c>
      <c r="C136" s="10">
        <v>2027</v>
      </c>
      <c r="D136" s="40">
        <f>SUMIFS(Registre!$P$3:$P$15000,Registre!$A$3:$A$15000,12,Registre!$B$3:$B$15000,"mai",Registre!$C$3:$C$15000,2027)</f>
        <v>0</v>
      </c>
    </row>
    <row r="137" spans="1:4" x14ac:dyDescent="0.25">
      <c r="A137" s="10">
        <v>13</v>
      </c>
      <c r="B137" s="10" t="s">
        <v>19</v>
      </c>
      <c r="C137" s="10">
        <v>2027</v>
      </c>
      <c r="D137" s="40">
        <f>SUMIFS(Registre!$P$3:$P$15000,Registre!$A$3:$A$15000,13,Registre!$B$3:$B$15000,"mai",Registre!$C$3:$C$15000,2027)</f>
        <v>0</v>
      </c>
    </row>
    <row r="138" spans="1:4" x14ac:dyDescent="0.25">
      <c r="A138" s="10">
        <v>14</v>
      </c>
      <c r="B138" s="10" t="s">
        <v>19</v>
      </c>
      <c r="C138" s="10">
        <v>2027</v>
      </c>
      <c r="D138" s="40">
        <f>SUMIFS(Registre!$P$3:$P$15000,Registre!$A$3:$A$15000,14,Registre!$B$3:$B$15000,"mai",Registre!$C$3:$C$15000,2027)</f>
        <v>0</v>
      </c>
    </row>
    <row r="139" spans="1:4" x14ac:dyDescent="0.25">
      <c r="A139" s="10">
        <v>15</v>
      </c>
      <c r="B139" s="10" t="s">
        <v>19</v>
      </c>
      <c r="C139" s="10">
        <v>2027</v>
      </c>
      <c r="D139" s="40">
        <f>SUMIFS(Registre!$P$3:$P$15000,Registre!$A$3:$A$15000,15,Registre!$B$3:$B$15000,"mai",Registre!$C$3:$C$15000,2027)</f>
        <v>0</v>
      </c>
    </row>
    <row r="140" spans="1:4" x14ac:dyDescent="0.25">
      <c r="A140" s="10">
        <v>16</v>
      </c>
      <c r="B140" s="10" t="s">
        <v>19</v>
      </c>
      <c r="C140" s="10">
        <v>2027</v>
      </c>
      <c r="D140" s="40">
        <f>SUMIFS(Registre!$P$3:$P$15000,Registre!$A$3:$A$15000,16,Registre!$B$3:$B$15000,"mai",Registre!$C$3:$C$15000,2027)</f>
        <v>0</v>
      </c>
    </row>
    <row r="141" spans="1:4" x14ac:dyDescent="0.25">
      <c r="A141" s="10">
        <v>17</v>
      </c>
      <c r="B141" s="10" t="s">
        <v>19</v>
      </c>
      <c r="C141" s="10">
        <v>2027</v>
      </c>
      <c r="D141" s="40">
        <f>SUMIFS(Registre!$P$3:$P$15000,Registre!$A$3:$A$15000,17,Registre!$B$3:$B$15000,"mai",Registre!$C$3:$C$15000,2027)</f>
        <v>0</v>
      </c>
    </row>
    <row r="142" spans="1:4" x14ac:dyDescent="0.25">
      <c r="A142" s="10">
        <v>18</v>
      </c>
      <c r="B142" s="10" t="s">
        <v>19</v>
      </c>
      <c r="C142" s="10">
        <v>2027</v>
      </c>
      <c r="D142" s="40">
        <f>SUMIFS(Registre!$P$3:$P$15000,Registre!$A$3:$A$15000,18,Registre!$B$3:$B$15000,"mai",Registre!$C$3:$C$15000,2027)</f>
        <v>0</v>
      </c>
    </row>
    <row r="143" spans="1:4" x14ac:dyDescent="0.25">
      <c r="A143" s="10">
        <v>19</v>
      </c>
      <c r="B143" s="10" t="s">
        <v>19</v>
      </c>
      <c r="C143" s="10">
        <v>2027</v>
      </c>
      <c r="D143" s="40">
        <f>SUMIFS(Registre!$P$3:$P$15000,Registre!$A$3:$A$15000,19,Registre!$B$3:$B$15000,"mai",Registre!$C$3:$C$15000,2027)</f>
        <v>0</v>
      </c>
    </row>
    <row r="144" spans="1:4" x14ac:dyDescent="0.25">
      <c r="A144" s="10">
        <v>20</v>
      </c>
      <c r="B144" s="10" t="s">
        <v>19</v>
      </c>
      <c r="C144" s="10">
        <v>2027</v>
      </c>
      <c r="D144" s="40">
        <f>SUMIFS(Registre!$P$3:$P$15000,Registre!$A$3:$A$15000,20,Registre!$B$3:$B$15000,"mai",Registre!$C$3:$C$15000,2027)</f>
        <v>0</v>
      </c>
    </row>
    <row r="145" spans="1:4" x14ac:dyDescent="0.25">
      <c r="A145" s="10">
        <v>21</v>
      </c>
      <c r="B145" s="10" t="s">
        <v>19</v>
      </c>
      <c r="C145" s="10">
        <v>2027</v>
      </c>
      <c r="D145" s="40">
        <f>SUMIFS(Registre!$P$3:$P$15000,Registre!$A$3:$A$15000,21,Registre!$B$3:$B$15000,"mai",Registre!$C$3:$C$15000,2027)</f>
        <v>0</v>
      </c>
    </row>
    <row r="146" spans="1:4" x14ac:dyDescent="0.25">
      <c r="A146" s="10">
        <v>22</v>
      </c>
      <c r="B146" s="10" t="s">
        <v>19</v>
      </c>
      <c r="C146" s="10">
        <v>2027</v>
      </c>
      <c r="D146" s="40">
        <f>SUMIFS(Registre!$P$3:$P$15000,Registre!$A$3:$A$15000,22,Registre!$B$3:$B$15000,"mai",Registre!$C$3:$C$15000,2027)</f>
        <v>0</v>
      </c>
    </row>
    <row r="147" spans="1:4" x14ac:dyDescent="0.25">
      <c r="A147" s="10">
        <v>23</v>
      </c>
      <c r="B147" s="10" t="s">
        <v>19</v>
      </c>
      <c r="C147" s="10">
        <v>2027</v>
      </c>
      <c r="D147" s="40">
        <f>SUMIFS(Registre!$P$3:$P$15000,Registre!$A$3:$A$15000,23,Registre!$B$3:$B$15000,"mai",Registre!$C$3:$C$15000,2027)</f>
        <v>0</v>
      </c>
    </row>
    <row r="148" spans="1:4" x14ac:dyDescent="0.25">
      <c r="A148" s="10">
        <v>24</v>
      </c>
      <c r="B148" s="10" t="s">
        <v>19</v>
      </c>
      <c r="C148" s="10">
        <v>2027</v>
      </c>
      <c r="D148" s="40">
        <f>SUMIFS(Registre!$P$3:$P$15000,Registre!$A$3:$A$15000,24,Registre!$B$3:$B$15000,"mai",Registre!$C$3:$C$15000,2027)</f>
        <v>0</v>
      </c>
    </row>
    <row r="149" spans="1:4" x14ac:dyDescent="0.25">
      <c r="A149" s="10">
        <v>25</v>
      </c>
      <c r="B149" s="10" t="s">
        <v>19</v>
      </c>
      <c r="C149" s="10">
        <v>2027</v>
      </c>
      <c r="D149" s="40">
        <f>SUMIFS(Registre!$P$3:$P$15000,Registre!$A$3:$A$15000,25,Registre!$B$3:$B$15000,"mai",Registre!$C$3:$C$15000,2027)</f>
        <v>0</v>
      </c>
    </row>
    <row r="150" spans="1:4" x14ac:dyDescent="0.25">
      <c r="A150" s="10">
        <v>26</v>
      </c>
      <c r="B150" s="10" t="s">
        <v>19</v>
      </c>
      <c r="C150" s="10">
        <v>2027</v>
      </c>
      <c r="D150" s="40">
        <f>SUMIFS(Registre!$P$3:$P$15000,Registre!$A$3:$A$15000,26,Registre!$B$3:$B$15000,"mai",Registre!$C$3:$C$15000,2027)</f>
        <v>0</v>
      </c>
    </row>
    <row r="151" spans="1:4" x14ac:dyDescent="0.25">
      <c r="A151" s="10">
        <v>27</v>
      </c>
      <c r="B151" s="10" t="s">
        <v>19</v>
      </c>
      <c r="C151" s="10">
        <v>2027</v>
      </c>
      <c r="D151" s="40">
        <f>SUMIFS(Registre!$P$3:$P$15000,Registre!$A$3:$A$15000,27,Registre!$B$3:$B$15000,"mai",Registre!$C$3:$C$15000,2027)</f>
        <v>0</v>
      </c>
    </row>
    <row r="152" spans="1:4" x14ac:dyDescent="0.25">
      <c r="A152" s="10">
        <v>28</v>
      </c>
      <c r="B152" s="10" t="s">
        <v>19</v>
      </c>
      <c r="C152" s="10">
        <v>2027</v>
      </c>
      <c r="D152" s="40">
        <f>SUMIFS(Registre!$P$3:$P$15000,Registre!$A$3:$A$15000,28,Registre!$B$3:$B$15000,"mai",Registre!$C$3:$C$15000,2027)</f>
        <v>0</v>
      </c>
    </row>
    <row r="153" spans="1:4" x14ac:dyDescent="0.25">
      <c r="A153" s="10">
        <v>29</v>
      </c>
      <c r="B153" s="10" t="s">
        <v>19</v>
      </c>
      <c r="C153" s="10">
        <v>2027</v>
      </c>
      <c r="D153" s="40">
        <f>SUMIFS(Registre!$P$3:$P$15000,Registre!$A$3:$A$15000,29,Registre!$B$3:$B$15000,"mai",Registre!$C$3:$C$15000,2027)</f>
        <v>0</v>
      </c>
    </row>
    <row r="154" spans="1:4" x14ac:dyDescent="0.25">
      <c r="A154" s="10">
        <v>30</v>
      </c>
      <c r="B154" s="10" t="s">
        <v>19</v>
      </c>
      <c r="C154" s="10">
        <v>2027</v>
      </c>
      <c r="D154" s="40">
        <f>SUMIFS(Registre!$P$3:$P$15000,Registre!$A$3:$A$15000,30,Registre!$B$3:$B$15000,"mai",Registre!$C$3:$C$15000,2027)</f>
        <v>0</v>
      </c>
    </row>
    <row r="155" spans="1:4" x14ac:dyDescent="0.25">
      <c r="A155" s="10">
        <v>31</v>
      </c>
      <c r="B155" s="10" t="s">
        <v>19</v>
      </c>
      <c r="C155" s="10">
        <v>2027</v>
      </c>
      <c r="D155" s="40">
        <f>SUMIFS(Registre!$P$3:$P$15000,Registre!$A$3:$A$15000,31,Registre!$B$3:$B$15000,"mai",Registre!$C$3:$C$15000,2027)</f>
        <v>0</v>
      </c>
    </row>
    <row r="156" spans="1:4" x14ac:dyDescent="0.25">
      <c r="A156" s="11">
        <v>1</v>
      </c>
      <c r="B156" s="11" t="s">
        <v>20</v>
      </c>
      <c r="C156" s="11">
        <v>2027</v>
      </c>
      <c r="D156" s="41">
        <f>SUMIFS(Registre!$P$3:$P$15000,Registre!$A$3:$A$15000,1,Registre!$B$3:$B$15000,"juin",Registre!$C$3:$C$15000,2027)</f>
        <v>0</v>
      </c>
    </row>
    <row r="157" spans="1:4" x14ac:dyDescent="0.25">
      <c r="A157" s="11">
        <v>2</v>
      </c>
      <c r="B157" s="11" t="s">
        <v>20</v>
      </c>
      <c r="C157" s="11">
        <v>2027</v>
      </c>
      <c r="D157" s="41">
        <f>SUMIFS(Registre!$P$3:$P$15000,Registre!$A$3:$A$15000,2,Registre!$B$3:$B$15000,"juin",Registre!$C$3:$C$15000,2027)</f>
        <v>0</v>
      </c>
    </row>
    <row r="158" spans="1:4" x14ac:dyDescent="0.25">
      <c r="A158" s="11">
        <v>3</v>
      </c>
      <c r="B158" s="11" t="s">
        <v>20</v>
      </c>
      <c r="C158" s="11">
        <v>2027</v>
      </c>
      <c r="D158" s="41">
        <f>SUMIFS(Registre!$P$3:$P$15000,Registre!$A$3:$A$15000,3,Registre!$B$3:$B$15000,"juin",Registre!$C$3:$C$15000,2027)</f>
        <v>0</v>
      </c>
    </row>
    <row r="159" spans="1:4" x14ac:dyDescent="0.25">
      <c r="A159" s="11">
        <v>4</v>
      </c>
      <c r="B159" s="11" t="s">
        <v>20</v>
      </c>
      <c r="C159" s="11">
        <v>2027</v>
      </c>
      <c r="D159" s="41">
        <f>SUMIFS(Registre!$P$3:$P$15000,Registre!$A$3:$A$15000,4,Registre!$B$3:$B$15000,"juin",Registre!$C$3:$C$15000,2027)</f>
        <v>0</v>
      </c>
    </row>
    <row r="160" spans="1:4" x14ac:dyDescent="0.25">
      <c r="A160" s="11">
        <v>5</v>
      </c>
      <c r="B160" s="11" t="s">
        <v>20</v>
      </c>
      <c r="C160" s="11">
        <v>2027</v>
      </c>
      <c r="D160" s="41">
        <f>SUMIFS(Registre!$P$3:$P$15000,Registre!$A$3:$A$15000,5,Registre!$B$3:$B$15000,"juin",Registre!$C$3:$C$15000,2027)</f>
        <v>0</v>
      </c>
    </row>
    <row r="161" spans="1:4" x14ac:dyDescent="0.25">
      <c r="A161" s="11">
        <v>6</v>
      </c>
      <c r="B161" s="11" t="s">
        <v>20</v>
      </c>
      <c r="C161" s="11">
        <v>2027</v>
      </c>
      <c r="D161" s="41">
        <f>SUMIFS(Registre!$P$3:$P$15000,Registre!$A$3:$A$15000,6,Registre!$B$3:$B$15000,"juin",Registre!$C$3:$C$15000,2027)</f>
        <v>0</v>
      </c>
    </row>
    <row r="162" spans="1:4" x14ac:dyDescent="0.25">
      <c r="A162" s="11">
        <v>7</v>
      </c>
      <c r="B162" s="11" t="s">
        <v>20</v>
      </c>
      <c r="C162" s="11">
        <v>2027</v>
      </c>
      <c r="D162" s="41">
        <f>SUMIFS(Registre!$P$3:$P$15000,Registre!$A$3:$A$15000,7,Registre!$B$3:$B$15000,"juin",Registre!$C$3:$C$15000,2027)</f>
        <v>0</v>
      </c>
    </row>
    <row r="163" spans="1:4" x14ac:dyDescent="0.25">
      <c r="A163" s="11">
        <v>8</v>
      </c>
      <c r="B163" s="11" t="s">
        <v>20</v>
      </c>
      <c r="C163" s="11">
        <v>2027</v>
      </c>
      <c r="D163" s="41">
        <f>SUMIFS(Registre!$P$3:$P$15000,Registre!$A$3:$A$15000,8,Registre!$B$3:$B$15000,"juin",Registre!$C$3:$C$15000,2027)</f>
        <v>0</v>
      </c>
    </row>
    <row r="164" spans="1:4" x14ac:dyDescent="0.25">
      <c r="A164" s="11">
        <v>9</v>
      </c>
      <c r="B164" s="11" t="s">
        <v>20</v>
      </c>
      <c r="C164" s="11">
        <v>2027</v>
      </c>
      <c r="D164" s="41">
        <f>SUMIFS(Registre!$P$3:$P$15000,Registre!$A$3:$A$15000,9,Registre!$B$3:$B$15000,"juin",Registre!$C$3:$C$15000,2027)</f>
        <v>0</v>
      </c>
    </row>
    <row r="165" spans="1:4" x14ac:dyDescent="0.25">
      <c r="A165" s="11">
        <v>10</v>
      </c>
      <c r="B165" s="11" t="s">
        <v>20</v>
      </c>
      <c r="C165" s="11">
        <v>2027</v>
      </c>
      <c r="D165" s="41">
        <f>SUMIFS(Registre!$P$3:$P$15000,Registre!$A$3:$A$15000,10,Registre!$B$3:$B$15000,"juin",Registre!$C$3:$C$15000,2027)</f>
        <v>0</v>
      </c>
    </row>
    <row r="166" spans="1:4" x14ac:dyDescent="0.25">
      <c r="A166" s="11">
        <v>11</v>
      </c>
      <c r="B166" s="11" t="s">
        <v>20</v>
      </c>
      <c r="C166" s="11">
        <v>2027</v>
      </c>
      <c r="D166" s="41">
        <f>SUMIFS(Registre!$P$3:$P$15000,Registre!$A$3:$A$15000,11,Registre!$B$3:$B$15000,"juin",Registre!$C$3:$C$15000,2027)</f>
        <v>0</v>
      </c>
    </row>
    <row r="167" spans="1:4" x14ac:dyDescent="0.25">
      <c r="A167" s="11">
        <v>12</v>
      </c>
      <c r="B167" s="11" t="s">
        <v>20</v>
      </c>
      <c r="C167" s="11">
        <v>2027</v>
      </c>
      <c r="D167" s="41">
        <f>SUMIFS(Registre!$P$3:$P$15000,Registre!$A$3:$A$15000,12,Registre!$B$3:$B$15000,"juin",Registre!$C$3:$C$15000,2027)</f>
        <v>0</v>
      </c>
    </row>
    <row r="168" spans="1:4" x14ac:dyDescent="0.25">
      <c r="A168" s="11">
        <v>13</v>
      </c>
      <c r="B168" s="11" t="s">
        <v>20</v>
      </c>
      <c r="C168" s="11">
        <v>2027</v>
      </c>
      <c r="D168" s="41">
        <f>SUMIFS(Registre!$P$3:$P$15000,Registre!$A$3:$A$15000,13,Registre!$B$3:$B$15000,"juin",Registre!$C$3:$C$15000,2027)</f>
        <v>0</v>
      </c>
    </row>
    <row r="169" spans="1:4" x14ac:dyDescent="0.25">
      <c r="A169" s="11">
        <v>14</v>
      </c>
      <c r="B169" s="11" t="s">
        <v>20</v>
      </c>
      <c r="C169" s="11">
        <v>2027</v>
      </c>
      <c r="D169" s="41">
        <f>SUMIFS(Registre!$P$3:$P$15000,Registre!$A$3:$A$15000,14,Registre!$B$3:$B$15000,"juin",Registre!$C$3:$C$15000,2027)</f>
        <v>0</v>
      </c>
    </row>
    <row r="170" spans="1:4" x14ac:dyDescent="0.25">
      <c r="A170" s="11">
        <v>15</v>
      </c>
      <c r="B170" s="11" t="s">
        <v>20</v>
      </c>
      <c r="C170" s="11">
        <v>2027</v>
      </c>
      <c r="D170" s="41">
        <f>SUMIFS(Registre!$P$3:$P$15000,Registre!$A$3:$A$15000,15,Registre!$B$3:$B$15000,"juin",Registre!$C$3:$C$15000,2027)</f>
        <v>0</v>
      </c>
    </row>
    <row r="171" spans="1:4" x14ac:dyDescent="0.25">
      <c r="A171" s="11">
        <v>16</v>
      </c>
      <c r="B171" s="11" t="s">
        <v>20</v>
      </c>
      <c r="C171" s="11">
        <v>2027</v>
      </c>
      <c r="D171" s="41">
        <f>SUMIFS(Registre!$P$3:$P$15000,Registre!$A$3:$A$15000,16,Registre!$B$3:$B$15000,"juin",Registre!$C$3:$C$15000,2027)</f>
        <v>0</v>
      </c>
    </row>
    <row r="172" spans="1:4" x14ac:dyDescent="0.25">
      <c r="A172" s="11">
        <v>17</v>
      </c>
      <c r="B172" s="11" t="s">
        <v>20</v>
      </c>
      <c r="C172" s="11">
        <v>2027</v>
      </c>
      <c r="D172" s="41">
        <f>SUMIFS(Registre!$P$3:$P$15000,Registre!$A$3:$A$15000,17,Registre!$B$3:$B$15000,"juin",Registre!$C$3:$C$15000,2027)</f>
        <v>0</v>
      </c>
    </row>
    <row r="173" spans="1:4" x14ac:dyDescent="0.25">
      <c r="A173" s="11">
        <v>18</v>
      </c>
      <c r="B173" s="11" t="s">
        <v>20</v>
      </c>
      <c r="C173" s="11">
        <v>2027</v>
      </c>
      <c r="D173" s="41">
        <f>SUMIFS(Registre!$P$3:$P$15000,Registre!$A$3:$A$15000,18,Registre!$B$3:$B$15000,"juin",Registre!$C$3:$C$15000,2027)</f>
        <v>0</v>
      </c>
    </row>
    <row r="174" spans="1:4" x14ac:dyDescent="0.25">
      <c r="A174" s="11">
        <v>19</v>
      </c>
      <c r="B174" s="11" t="s">
        <v>20</v>
      </c>
      <c r="C174" s="11">
        <v>2027</v>
      </c>
      <c r="D174" s="41">
        <f>SUMIFS(Registre!$P$3:$P$15000,Registre!$A$3:$A$15000,19,Registre!$B$3:$B$15000,"juin",Registre!$C$3:$C$15000,2027)</f>
        <v>0</v>
      </c>
    </row>
    <row r="175" spans="1:4" x14ac:dyDescent="0.25">
      <c r="A175" s="11">
        <v>20</v>
      </c>
      <c r="B175" s="11" t="s">
        <v>20</v>
      </c>
      <c r="C175" s="11">
        <v>2027</v>
      </c>
      <c r="D175" s="41">
        <f>SUMIFS(Registre!$P$3:$P$15000,Registre!$A$3:$A$15000,20,Registre!$B$3:$B$15000,"juin",Registre!$C$3:$C$15000,2027)</f>
        <v>0</v>
      </c>
    </row>
    <row r="176" spans="1:4" x14ac:dyDescent="0.25">
      <c r="A176" s="11">
        <v>21</v>
      </c>
      <c r="B176" s="11" t="s">
        <v>20</v>
      </c>
      <c r="C176" s="11">
        <v>2027</v>
      </c>
      <c r="D176" s="41">
        <f>SUMIFS(Registre!$P$3:$P$15000,Registre!$A$3:$A$15000,21,Registre!$B$3:$B$15000,"juin",Registre!$C$3:$C$15000,2027)</f>
        <v>0</v>
      </c>
    </row>
    <row r="177" spans="1:4" x14ac:dyDescent="0.25">
      <c r="A177" s="11">
        <v>22</v>
      </c>
      <c r="B177" s="11" t="s">
        <v>20</v>
      </c>
      <c r="C177" s="11">
        <v>2027</v>
      </c>
      <c r="D177" s="41">
        <f>SUMIFS(Registre!$P$3:$P$15000,Registre!$A$3:$A$15000,22,Registre!$B$3:$B$15000,"juin",Registre!$C$3:$C$15000,2027)</f>
        <v>0</v>
      </c>
    </row>
    <row r="178" spans="1:4" x14ac:dyDescent="0.25">
      <c r="A178" s="11">
        <v>23</v>
      </c>
      <c r="B178" s="11" t="s">
        <v>20</v>
      </c>
      <c r="C178" s="11">
        <v>2027</v>
      </c>
      <c r="D178" s="41">
        <f>SUMIFS(Registre!$P$3:$P$15000,Registre!$A$3:$A$15000,23,Registre!$B$3:$B$15000,"juin",Registre!$C$3:$C$15000,2027)</f>
        <v>0</v>
      </c>
    </row>
    <row r="179" spans="1:4" x14ac:dyDescent="0.25">
      <c r="A179" s="11">
        <v>24</v>
      </c>
      <c r="B179" s="11" t="s">
        <v>20</v>
      </c>
      <c r="C179" s="11">
        <v>2027</v>
      </c>
      <c r="D179" s="41">
        <f>SUMIFS(Registre!$P$3:$P$15000,Registre!$A$3:$A$15000,24,Registre!$B$3:$B$15000,"juin",Registre!$C$3:$C$15000,2027)</f>
        <v>0</v>
      </c>
    </row>
    <row r="180" spans="1:4" x14ac:dyDescent="0.25">
      <c r="A180" s="11">
        <v>25</v>
      </c>
      <c r="B180" s="11" t="s">
        <v>20</v>
      </c>
      <c r="C180" s="11">
        <v>2027</v>
      </c>
      <c r="D180" s="41">
        <f>SUMIFS(Registre!$P$3:$P$15000,Registre!$A$3:$A$15000,25,Registre!$B$3:$B$15000,"juin",Registre!$C$3:$C$15000,2027)</f>
        <v>0</v>
      </c>
    </row>
    <row r="181" spans="1:4" x14ac:dyDescent="0.25">
      <c r="A181" s="11">
        <v>26</v>
      </c>
      <c r="B181" s="11" t="s">
        <v>20</v>
      </c>
      <c r="C181" s="11">
        <v>2027</v>
      </c>
      <c r="D181" s="41">
        <f>SUMIFS(Registre!$P$3:$P$15000,Registre!$A$3:$A$15000,26,Registre!$B$3:$B$15000,"juin",Registre!$C$3:$C$15000,2027)</f>
        <v>0</v>
      </c>
    </row>
    <row r="182" spans="1:4" x14ac:dyDescent="0.25">
      <c r="A182" s="11">
        <v>27</v>
      </c>
      <c r="B182" s="11" t="s">
        <v>20</v>
      </c>
      <c r="C182" s="11">
        <v>2027</v>
      </c>
      <c r="D182" s="41">
        <f>SUMIFS(Registre!$P$3:$P$15000,Registre!$A$3:$A$15000,27,Registre!$B$3:$B$15000,"juin",Registre!$C$3:$C$15000,2027)</f>
        <v>0</v>
      </c>
    </row>
    <row r="183" spans="1:4" x14ac:dyDescent="0.25">
      <c r="A183" s="11">
        <v>28</v>
      </c>
      <c r="B183" s="11" t="s">
        <v>20</v>
      </c>
      <c r="C183" s="11">
        <v>2027</v>
      </c>
      <c r="D183" s="41">
        <f>SUMIFS(Registre!$P$3:$P$15000,Registre!$A$3:$A$15000,28,Registre!$B$3:$B$15000,"juin",Registre!$C$3:$C$15000,2027)</f>
        <v>0</v>
      </c>
    </row>
    <row r="184" spans="1:4" x14ac:dyDescent="0.25">
      <c r="A184" s="11">
        <v>29</v>
      </c>
      <c r="B184" s="11" t="s">
        <v>20</v>
      </c>
      <c r="C184" s="11">
        <v>2027</v>
      </c>
      <c r="D184" s="41">
        <f>SUMIFS(Registre!$P$3:$P$15000,Registre!$A$3:$A$15000,29,Registre!$B$3:$B$15000,"juin",Registre!$C$3:$C$15000,2027)</f>
        <v>0</v>
      </c>
    </row>
    <row r="185" spans="1:4" x14ac:dyDescent="0.25">
      <c r="A185" s="11">
        <v>30</v>
      </c>
      <c r="B185" s="11" t="s">
        <v>20</v>
      </c>
      <c r="C185" s="11">
        <v>2027</v>
      </c>
      <c r="D185" s="41">
        <f>SUMIFS(Registre!$P$3:$P$15000,Registre!$A$3:$A$15000,30,Registre!$B$3:$B$15000,"juin",Registre!$C$3:$C$15000,2027)</f>
        <v>0</v>
      </c>
    </row>
    <row r="186" spans="1:4" x14ac:dyDescent="0.25">
      <c r="A186" s="10">
        <v>1</v>
      </c>
      <c r="B186" s="10" t="s">
        <v>21</v>
      </c>
      <c r="C186" s="10">
        <v>2027</v>
      </c>
      <c r="D186" s="40">
        <f>SUMIFS(Registre!$P$3:$P$15000,Registre!$A$3:$A$15000,1,Registre!$B$3:$B$15000,"juillet",Registre!$C$3:$C$15000,2027)</f>
        <v>0</v>
      </c>
    </row>
    <row r="187" spans="1:4" x14ac:dyDescent="0.25">
      <c r="A187" s="10">
        <v>2</v>
      </c>
      <c r="B187" s="10" t="s">
        <v>21</v>
      </c>
      <c r="C187" s="10">
        <v>2027</v>
      </c>
      <c r="D187" s="40">
        <f>SUMIFS(Registre!$P$3:$P$15000,Registre!$A$3:$A$15000,2,Registre!$B$3:$B$15000,"juillet",Registre!$C$3:$C$15000,2027)</f>
        <v>0</v>
      </c>
    </row>
    <row r="188" spans="1:4" x14ac:dyDescent="0.25">
      <c r="A188" s="10">
        <v>3</v>
      </c>
      <c r="B188" s="10" t="s">
        <v>21</v>
      </c>
      <c r="C188" s="10">
        <v>2027</v>
      </c>
      <c r="D188" s="40">
        <f>SUMIFS(Registre!$P$3:$P$15000,Registre!$A$3:$A$15000,3,Registre!$B$3:$B$15000,"juillet",Registre!$C$3:$C$15000,2027)</f>
        <v>0</v>
      </c>
    </row>
    <row r="189" spans="1:4" x14ac:dyDescent="0.25">
      <c r="A189" s="10">
        <v>4</v>
      </c>
      <c r="B189" s="10" t="s">
        <v>21</v>
      </c>
      <c r="C189" s="10">
        <v>2027</v>
      </c>
      <c r="D189" s="40">
        <f>SUMIFS(Registre!$P$3:$P$15000,Registre!$A$3:$A$15000,4,Registre!$B$3:$B$15000,"juillet",Registre!$C$3:$C$15000,2027)</f>
        <v>0</v>
      </c>
    </row>
    <row r="190" spans="1:4" x14ac:dyDescent="0.25">
      <c r="A190" s="10">
        <v>5</v>
      </c>
      <c r="B190" s="10" t="s">
        <v>21</v>
      </c>
      <c r="C190" s="10">
        <v>2027</v>
      </c>
      <c r="D190" s="40">
        <f>SUMIFS(Registre!$P$3:$P$15000,Registre!$A$3:$A$15000,5,Registre!$B$3:$B$15000,"juillet",Registre!$C$3:$C$15000,2027)</f>
        <v>0</v>
      </c>
    </row>
    <row r="191" spans="1:4" x14ac:dyDescent="0.25">
      <c r="A191" s="10">
        <v>6</v>
      </c>
      <c r="B191" s="10" t="s">
        <v>21</v>
      </c>
      <c r="C191" s="10">
        <v>2027</v>
      </c>
      <c r="D191" s="40">
        <f>SUMIFS(Registre!$P$3:$P$15000,Registre!$A$3:$A$15000,6,Registre!$B$3:$B$15000,"juillet",Registre!$C$3:$C$15000,2027)</f>
        <v>0</v>
      </c>
    </row>
    <row r="192" spans="1:4" x14ac:dyDescent="0.25">
      <c r="A192" s="10">
        <v>7</v>
      </c>
      <c r="B192" s="10" t="s">
        <v>21</v>
      </c>
      <c r="C192" s="10">
        <v>2027</v>
      </c>
      <c r="D192" s="40">
        <f>SUMIFS(Registre!$P$3:$P$15000,Registre!$A$3:$A$15000,7,Registre!$B$3:$B$15000,"juillet",Registre!$C$3:$C$15000,2027)</f>
        <v>0</v>
      </c>
    </row>
    <row r="193" spans="1:4" x14ac:dyDescent="0.25">
      <c r="A193" s="10">
        <v>8</v>
      </c>
      <c r="B193" s="10" t="s">
        <v>21</v>
      </c>
      <c r="C193" s="10">
        <v>2027</v>
      </c>
      <c r="D193" s="40">
        <f>SUMIFS(Registre!$P$3:$P$15000,Registre!$A$3:$A$15000,8,Registre!$B$3:$B$15000,"juillet",Registre!$C$3:$C$15000,2027)</f>
        <v>0</v>
      </c>
    </row>
    <row r="194" spans="1:4" x14ac:dyDescent="0.25">
      <c r="A194" s="10">
        <v>9</v>
      </c>
      <c r="B194" s="10" t="s">
        <v>21</v>
      </c>
      <c r="C194" s="10">
        <v>2027</v>
      </c>
      <c r="D194" s="40">
        <f>SUMIFS(Registre!$P$3:$P$15000,Registre!$A$3:$A$15000,9,Registre!$B$3:$B$15000,"juillet",Registre!$C$3:$C$15000,2027)</f>
        <v>0</v>
      </c>
    </row>
    <row r="195" spans="1:4" x14ac:dyDescent="0.25">
      <c r="A195" s="10">
        <v>10</v>
      </c>
      <c r="B195" s="10" t="s">
        <v>21</v>
      </c>
      <c r="C195" s="10">
        <v>2027</v>
      </c>
      <c r="D195" s="40">
        <f>SUMIFS(Registre!$P$3:$P$15000,Registre!$A$3:$A$15000,10,Registre!$B$3:$B$15000,"juillet",Registre!$C$3:$C$15000,2027)</f>
        <v>0</v>
      </c>
    </row>
    <row r="196" spans="1:4" x14ac:dyDescent="0.25">
      <c r="A196" s="10">
        <v>11</v>
      </c>
      <c r="B196" s="10" t="s">
        <v>21</v>
      </c>
      <c r="C196" s="10">
        <v>2027</v>
      </c>
      <c r="D196" s="40">
        <f>SUMIFS(Registre!$P$3:$P$15000,Registre!$A$3:$A$15000,11,Registre!$B$3:$B$15000,"juillet",Registre!$C$3:$C$15000,2027)</f>
        <v>0</v>
      </c>
    </row>
    <row r="197" spans="1:4" x14ac:dyDescent="0.25">
      <c r="A197" s="10">
        <v>12</v>
      </c>
      <c r="B197" s="10" t="s">
        <v>21</v>
      </c>
      <c r="C197" s="10">
        <v>2027</v>
      </c>
      <c r="D197" s="40">
        <f>SUMIFS(Registre!$P$3:$P$15000,Registre!$A$3:$A$15000,12,Registre!$B$3:$B$15000,"juillet",Registre!$C$3:$C$15000,2027)</f>
        <v>0</v>
      </c>
    </row>
    <row r="198" spans="1:4" x14ac:dyDescent="0.25">
      <c r="A198" s="10">
        <v>13</v>
      </c>
      <c r="B198" s="10" t="s">
        <v>21</v>
      </c>
      <c r="C198" s="10">
        <v>2027</v>
      </c>
      <c r="D198" s="40">
        <f>SUMIFS(Registre!$P$3:$P$15000,Registre!$A$3:$A$15000,13,Registre!$B$3:$B$15000,"juillet",Registre!$C$3:$C$15000,2027)</f>
        <v>0</v>
      </c>
    </row>
    <row r="199" spans="1:4" x14ac:dyDescent="0.25">
      <c r="A199" s="10">
        <v>14</v>
      </c>
      <c r="B199" s="10" t="s">
        <v>21</v>
      </c>
      <c r="C199" s="10">
        <v>2027</v>
      </c>
      <c r="D199" s="40">
        <f>SUMIFS(Registre!$P$3:$P$15000,Registre!$A$3:$A$15000,14,Registre!$B$3:$B$15000,"juillet",Registre!$C$3:$C$15000,2027)</f>
        <v>0</v>
      </c>
    </row>
    <row r="200" spans="1:4" x14ac:dyDescent="0.25">
      <c r="A200" s="10">
        <v>15</v>
      </c>
      <c r="B200" s="10" t="s">
        <v>21</v>
      </c>
      <c r="C200" s="10">
        <v>2027</v>
      </c>
      <c r="D200" s="40">
        <f>SUMIFS(Registre!$P$3:$P$15000,Registre!$A$3:$A$15000,15,Registre!$B$3:$B$15000,"juillet",Registre!$C$3:$C$15000,2027)</f>
        <v>0</v>
      </c>
    </row>
    <row r="201" spans="1:4" x14ac:dyDescent="0.25">
      <c r="A201" s="10">
        <v>16</v>
      </c>
      <c r="B201" s="10" t="s">
        <v>21</v>
      </c>
      <c r="C201" s="10">
        <v>2027</v>
      </c>
      <c r="D201" s="40">
        <f>SUMIFS(Registre!$P$3:$P$15000,Registre!$A$3:$A$15000,16,Registre!$B$3:$B$15000,"juillet",Registre!$C$3:$C$15000,2027)</f>
        <v>0</v>
      </c>
    </row>
    <row r="202" spans="1:4" x14ac:dyDescent="0.25">
      <c r="A202" s="10">
        <v>17</v>
      </c>
      <c r="B202" s="10" t="s">
        <v>21</v>
      </c>
      <c r="C202" s="10">
        <v>2027</v>
      </c>
      <c r="D202" s="40">
        <f>SUMIFS(Registre!$P$3:$P$15000,Registre!$A$3:$A$15000,17,Registre!$B$3:$B$15000,"juillet",Registre!$C$3:$C$15000,2027)</f>
        <v>0</v>
      </c>
    </row>
    <row r="203" spans="1:4" x14ac:dyDescent="0.25">
      <c r="A203" s="10">
        <v>18</v>
      </c>
      <c r="B203" s="10" t="s">
        <v>21</v>
      </c>
      <c r="C203" s="10">
        <v>2027</v>
      </c>
      <c r="D203" s="40">
        <f>SUMIFS(Registre!$P$3:$P$15000,Registre!$A$3:$A$15000,18,Registre!$B$3:$B$15000,"juillet",Registre!$C$3:$C$15000,2027)</f>
        <v>0</v>
      </c>
    </row>
    <row r="204" spans="1:4" x14ac:dyDescent="0.25">
      <c r="A204" s="10">
        <v>19</v>
      </c>
      <c r="B204" s="10" t="s">
        <v>21</v>
      </c>
      <c r="C204" s="10">
        <v>2027</v>
      </c>
      <c r="D204" s="40">
        <f>SUMIFS(Registre!$P$3:$P$15000,Registre!$A$3:$A$15000,19,Registre!$B$3:$B$15000,"juillet",Registre!$C$3:$C$15000,2027)</f>
        <v>0</v>
      </c>
    </row>
    <row r="205" spans="1:4" x14ac:dyDescent="0.25">
      <c r="A205" s="10">
        <v>20</v>
      </c>
      <c r="B205" s="10" t="s">
        <v>21</v>
      </c>
      <c r="C205" s="10">
        <v>2027</v>
      </c>
      <c r="D205" s="40">
        <f>SUMIFS(Registre!$P$3:$P$15000,Registre!$A$3:$A$15000,20,Registre!$B$3:$B$15000,"juillet",Registre!$C$3:$C$15000,2027)</f>
        <v>0</v>
      </c>
    </row>
    <row r="206" spans="1:4" x14ac:dyDescent="0.25">
      <c r="A206" s="10">
        <v>21</v>
      </c>
      <c r="B206" s="10" t="s">
        <v>21</v>
      </c>
      <c r="C206" s="10">
        <v>2027</v>
      </c>
      <c r="D206" s="40">
        <f>SUMIFS(Registre!$P$3:$P$15000,Registre!$A$3:$A$15000,21,Registre!$B$3:$B$15000,"juillet",Registre!$C$3:$C$15000,2027)</f>
        <v>0</v>
      </c>
    </row>
    <row r="207" spans="1:4" x14ac:dyDescent="0.25">
      <c r="A207" s="10">
        <v>22</v>
      </c>
      <c r="B207" s="10" t="s">
        <v>21</v>
      </c>
      <c r="C207" s="10">
        <v>2027</v>
      </c>
      <c r="D207" s="40">
        <f>SUMIFS(Registre!$P$3:$P$15000,Registre!$A$3:$A$15000,22,Registre!$B$3:$B$15000,"juillet",Registre!$C$3:$C$15000,2027)</f>
        <v>0</v>
      </c>
    </row>
    <row r="208" spans="1:4" x14ac:dyDescent="0.25">
      <c r="A208" s="10">
        <v>23</v>
      </c>
      <c r="B208" s="10" t="s">
        <v>21</v>
      </c>
      <c r="C208" s="10">
        <v>2027</v>
      </c>
      <c r="D208" s="40">
        <f>SUMIFS(Registre!$P$3:$P$15000,Registre!$A$3:$A$15000,23,Registre!$B$3:$B$15000,"juillet",Registre!$C$3:$C$15000,2027)</f>
        <v>0</v>
      </c>
    </row>
    <row r="209" spans="1:4" x14ac:dyDescent="0.25">
      <c r="A209" s="10">
        <v>24</v>
      </c>
      <c r="B209" s="10" t="s">
        <v>21</v>
      </c>
      <c r="C209" s="10">
        <v>2027</v>
      </c>
      <c r="D209" s="40">
        <f>SUMIFS(Registre!$P$3:$P$15000,Registre!$A$3:$A$15000,24,Registre!$B$3:$B$15000,"juillet",Registre!$C$3:$C$15000,2027)</f>
        <v>0</v>
      </c>
    </row>
    <row r="210" spans="1:4" x14ac:dyDescent="0.25">
      <c r="A210" s="10">
        <v>25</v>
      </c>
      <c r="B210" s="10" t="s">
        <v>21</v>
      </c>
      <c r="C210" s="10">
        <v>2027</v>
      </c>
      <c r="D210" s="40">
        <f>SUMIFS(Registre!$P$3:$P$15000,Registre!$A$3:$A$15000,25,Registre!$B$3:$B$15000,"juillet",Registre!$C$3:$C$15000,2027)</f>
        <v>0</v>
      </c>
    </row>
    <row r="211" spans="1:4" x14ac:dyDescent="0.25">
      <c r="A211" s="10">
        <v>26</v>
      </c>
      <c r="B211" s="10" t="s">
        <v>21</v>
      </c>
      <c r="C211" s="10">
        <v>2027</v>
      </c>
      <c r="D211" s="40">
        <f>SUMIFS(Registre!$P$3:$P$15000,Registre!$A$3:$A$15000,26,Registre!$B$3:$B$15000,"juillet",Registre!$C$3:$C$15000,2027)</f>
        <v>0</v>
      </c>
    </row>
    <row r="212" spans="1:4" x14ac:dyDescent="0.25">
      <c r="A212" s="10">
        <v>27</v>
      </c>
      <c r="B212" s="10" t="s">
        <v>21</v>
      </c>
      <c r="C212" s="10">
        <v>2027</v>
      </c>
      <c r="D212" s="40">
        <f>SUMIFS(Registre!$P$3:$P$15000,Registre!$A$3:$A$15000,27,Registre!$B$3:$B$15000,"juillet",Registre!$C$3:$C$15000,2027)</f>
        <v>0</v>
      </c>
    </row>
    <row r="213" spans="1:4" x14ac:dyDescent="0.25">
      <c r="A213" s="10">
        <v>28</v>
      </c>
      <c r="B213" s="10" t="s">
        <v>21</v>
      </c>
      <c r="C213" s="10">
        <v>2027</v>
      </c>
      <c r="D213" s="40">
        <f>SUMIFS(Registre!$P$3:$P$15000,Registre!$A$3:$A$15000,28,Registre!$B$3:$B$15000,"juillet",Registre!$C$3:$C$15000,2027)</f>
        <v>0</v>
      </c>
    </row>
    <row r="214" spans="1:4" x14ac:dyDescent="0.25">
      <c r="A214" s="10">
        <v>29</v>
      </c>
      <c r="B214" s="10" t="s">
        <v>21</v>
      </c>
      <c r="C214" s="10">
        <v>2027</v>
      </c>
      <c r="D214" s="40">
        <f>SUMIFS(Registre!$P$3:$P$15000,Registre!$A$3:$A$15000,29,Registre!$B$3:$B$15000,"juillet",Registre!$C$3:$C$15000,2027)</f>
        <v>0</v>
      </c>
    </row>
    <row r="215" spans="1:4" x14ac:dyDescent="0.25">
      <c r="A215" s="10">
        <v>30</v>
      </c>
      <c r="B215" s="10" t="s">
        <v>21</v>
      </c>
      <c r="C215" s="10">
        <v>2027</v>
      </c>
      <c r="D215" s="40">
        <f>SUMIFS(Registre!$P$3:$P$15000,Registre!$A$3:$A$15000,30,Registre!$B$3:$B$15000,"juillet",Registre!$C$3:$C$15000,2027)</f>
        <v>0</v>
      </c>
    </row>
    <row r="216" spans="1:4" x14ac:dyDescent="0.25">
      <c r="A216" s="10">
        <v>31</v>
      </c>
      <c r="B216" s="10" t="s">
        <v>21</v>
      </c>
      <c r="C216" s="10">
        <v>2027</v>
      </c>
      <c r="D216" s="40">
        <f>SUMIFS(Registre!$P$3:$P$15000,Registre!$A$3:$A$15000,31,Registre!$B$3:$B$15000,"juillet",Registre!$C$3:$C$15000,2027)</f>
        <v>0</v>
      </c>
    </row>
    <row r="217" spans="1:4" x14ac:dyDescent="0.25">
      <c r="A217" s="11">
        <v>1</v>
      </c>
      <c r="B217" s="11" t="s">
        <v>22</v>
      </c>
      <c r="C217" s="11">
        <v>2027</v>
      </c>
      <c r="D217" s="41">
        <f>SUMIFS(Registre!$P$3:$P$15000,Registre!$A$3:$A$15000,1,Registre!$B$3:$B$15000,"août",Registre!$C$3:$C$15000,2027)</f>
        <v>0</v>
      </c>
    </row>
    <row r="218" spans="1:4" x14ac:dyDescent="0.25">
      <c r="A218" s="11">
        <v>2</v>
      </c>
      <c r="B218" s="11" t="s">
        <v>22</v>
      </c>
      <c r="C218" s="11">
        <v>2027</v>
      </c>
      <c r="D218" s="41">
        <f>SUMIFS(Registre!$P$3:$P$15000,Registre!$A$3:$A$15000,2,Registre!$B$3:$B$15000,"août",Registre!$C$3:$C$15000,2027)</f>
        <v>0</v>
      </c>
    </row>
    <row r="219" spans="1:4" x14ac:dyDescent="0.25">
      <c r="A219" s="11">
        <v>3</v>
      </c>
      <c r="B219" s="11" t="s">
        <v>22</v>
      </c>
      <c r="C219" s="11">
        <v>2027</v>
      </c>
      <c r="D219" s="41">
        <f>SUMIFS(Registre!$P$3:$P$15000,Registre!$A$3:$A$15000,3,Registre!$B$3:$B$15000,"août",Registre!$C$3:$C$15000,2027)</f>
        <v>0</v>
      </c>
    </row>
    <row r="220" spans="1:4" x14ac:dyDescent="0.25">
      <c r="A220" s="11">
        <v>4</v>
      </c>
      <c r="B220" s="11" t="s">
        <v>22</v>
      </c>
      <c r="C220" s="11">
        <v>2027</v>
      </c>
      <c r="D220" s="41">
        <f>SUMIFS(Registre!$P$3:$P$15000,Registre!$A$3:$A$15000,4,Registre!$B$3:$B$15000,"août",Registre!$C$3:$C$15000,2027)</f>
        <v>0</v>
      </c>
    </row>
    <row r="221" spans="1:4" x14ac:dyDescent="0.25">
      <c r="A221" s="11">
        <v>5</v>
      </c>
      <c r="B221" s="11" t="s">
        <v>22</v>
      </c>
      <c r="C221" s="11">
        <v>2027</v>
      </c>
      <c r="D221" s="41">
        <f>SUMIFS(Registre!$P$3:$P$15000,Registre!$A$3:$A$15000,5,Registre!$B$3:$B$15000,"août",Registre!$C$3:$C$15000,2027)</f>
        <v>0</v>
      </c>
    </row>
    <row r="222" spans="1:4" x14ac:dyDescent="0.25">
      <c r="A222" s="11">
        <v>6</v>
      </c>
      <c r="B222" s="11" t="s">
        <v>22</v>
      </c>
      <c r="C222" s="11">
        <v>2027</v>
      </c>
      <c r="D222" s="41">
        <f>SUMIFS(Registre!$P$3:$P$15000,Registre!$A$3:$A$15000,6,Registre!$B$3:$B$15000,"août",Registre!$C$3:$C$15000,2027)</f>
        <v>0</v>
      </c>
    </row>
    <row r="223" spans="1:4" x14ac:dyDescent="0.25">
      <c r="A223" s="11">
        <v>7</v>
      </c>
      <c r="B223" s="11" t="s">
        <v>22</v>
      </c>
      <c r="C223" s="11">
        <v>2027</v>
      </c>
      <c r="D223" s="41">
        <f>SUMIFS(Registre!$P$3:$P$15000,Registre!$A$3:$A$15000,7,Registre!$B$3:$B$15000,"août",Registre!$C$3:$C$15000,2027)</f>
        <v>0</v>
      </c>
    </row>
    <row r="224" spans="1:4" x14ac:dyDescent="0.25">
      <c r="A224" s="11">
        <v>8</v>
      </c>
      <c r="B224" s="11" t="s">
        <v>22</v>
      </c>
      <c r="C224" s="11">
        <v>2027</v>
      </c>
      <c r="D224" s="41">
        <f>SUMIFS(Registre!$P$3:$P$15000,Registre!$A$3:$A$15000,8,Registre!$B$3:$B$15000,"août",Registre!$C$3:$C$15000,2027)</f>
        <v>0</v>
      </c>
    </row>
    <row r="225" spans="1:4" x14ac:dyDescent="0.25">
      <c r="A225" s="11">
        <v>9</v>
      </c>
      <c r="B225" s="11" t="s">
        <v>22</v>
      </c>
      <c r="C225" s="11">
        <v>2027</v>
      </c>
      <c r="D225" s="41">
        <f>SUMIFS(Registre!$P$3:$P$15000,Registre!$A$3:$A$15000,9,Registre!$B$3:$B$15000,"août",Registre!$C$3:$C$15000,2027)</f>
        <v>0</v>
      </c>
    </row>
    <row r="226" spans="1:4" x14ac:dyDescent="0.25">
      <c r="A226" s="11">
        <v>10</v>
      </c>
      <c r="B226" s="11" t="s">
        <v>22</v>
      </c>
      <c r="C226" s="11">
        <v>2027</v>
      </c>
      <c r="D226" s="41">
        <f>SUMIFS(Registre!$P$3:$P$15000,Registre!$A$3:$A$15000,10,Registre!$B$3:$B$15000,"août",Registre!$C$3:$C$15000,2027)</f>
        <v>0</v>
      </c>
    </row>
    <row r="227" spans="1:4" x14ac:dyDescent="0.25">
      <c r="A227" s="11">
        <v>11</v>
      </c>
      <c r="B227" s="11" t="s">
        <v>22</v>
      </c>
      <c r="C227" s="11">
        <v>2027</v>
      </c>
      <c r="D227" s="41">
        <f>SUMIFS(Registre!$P$3:$P$15000,Registre!$A$3:$A$15000,11,Registre!$B$3:$B$15000,"août",Registre!$C$3:$C$15000,2027)</f>
        <v>0</v>
      </c>
    </row>
    <row r="228" spans="1:4" x14ac:dyDescent="0.25">
      <c r="A228" s="11">
        <v>12</v>
      </c>
      <c r="B228" s="11" t="s">
        <v>22</v>
      </c>
      <c r="C228" s="11">
        <v>2027</v>
      </c>
      <c r="D228" s="41">
        <f>SUMIFS(Registre!$P$3:$P$15000,Registre!$A$3:$A$15000,12,Registre!$B$3:$B$15000,"août",Registre!$C$3:$C$15000,2027)</f>
        <v>0</v>
      </c>
    </row>
    <row r="229" spans="1:4" x14ac:dyDescent="0.25">
      <c r="A229" s="11">
        <v>13</v>
      </c>
      <c r="B229" s="11" t="s">
        <v>22</v>
      </c>
      <c r="C229" s="11">
        <v>2027</v>
      </c>
      <c r="D229" s="41">
        <f>SUMIFS(Registre!$P$3:$P$15000,Registre!$A$3:$A$15000,13,Registre!$B$3:$B$15000,"août",Registre!$C$3:$C$15000,2027)</f>
        <v>0</v>
      </c>
    </row>
    <row r="230" spans="1:4" x14ac:dyDescent="0.25">
      <c r="A230" s="11">
        <v>14</v>
      </c>
      <c r="B230" s="11" t="s">
        <v>22</v>
      </c>
      <c r="C230" s="11">
        <v>2027</v>
      </c>
      <c r="D230" s="41">
        <f>SUMIFS(Registre!$P$3:$P$15000,Registre!$A$3:$A$15000,14,Registre!$B$3:$B$15000,"août",Registre!$C$3:$C$15000,2027)</f>
        <v>0</v>
      </c>
    </row>
    <row r="231" spans="1:4" x14ac:dyDescent="0.25">
      <c r="A231" s="11">
        <v>15</v>
      </c>
      <c r="B231" s="11" t="s">
        <v>22</v>
      </c>
      <c r="C231" s="11">
        <v>2027</v>
      </c>
      <c r="D231" s="41">
        <f>SUMIFS(Registre!$P$3:$P$15000,Registre!$A$3:$A$15000,15,Registre!$B$3:$B$15000,"août",Registre!$C$3:$C$15000,2027)</f>
        <v>0</v>
      </c>
    </row>
    <row r="232" spans="1:4" x14ac:dyDescent="0.25">
      <c r="A232" s="11">
        <v>16</v>
      </c>
      <c r="B232" s="11" t="s">
        <v>22</v>
      </c>
      <c r="C232" s="11">
        <v>2027</v>
      </c>
      <c r="D232" s="41">
        <f>SUMIFS(Registre!$P$3:$P$15000,Registre!$A$3:$A$15000,16,Registre!$B$3:$B$15000,"août",Registre!$C$3:$C$15000,2027)</f>
        <v>0</v>
      </c>
    </row>
    <row r="233" spans="1:4" x14ac:dyDescent="0.25">
      <c r="A233" s="11">
        <v>17</v>
      </c>
      <c r="B233" s="11" t="s">
        <v>22</v>
      </c>
      <c r="C233" s="11">
        <v>2027</v>
      </c>
      <c r="D233" s="41">
        <f>SUMIFS(Registre!$P$3:$P$15000,Registre!$A$3:$A$15000,17,Registre!$B$3:$B$15000,"août",Registre!$C$3:$C$15000,2027)</f>
        <v>0</v>
      </c>
    </row>
    <row r="234" spans="1:4" x14ac:dyDescent="0.25">
      <c r="A234" s="11">
        <v>18</v>
      </c>
      <c r="B234" s="11" t="s">
        <v>22</v>
      </c>
      <c r="C234" s="11">
        <v>2027</v>
      </c>
      <c r="D234" s="41">
        <f>SUMIFS(Registre!$P$3:$P$15000,Registre!$A$3:$A$15000,18,Registre!$B$3:$B$15000,"août",Registre!$C$3:$C$15000,2027)</f>
        <v>0</v>
      </c>
    </row>
    <row r="235" spans="1:4" x14ac:dyDescent="0.25">
      <c r="A235" s="11">
        <v>19</v>
      </c>
      <c r="B235" s="11" t="s">
        <v>22</v>
      </c>
      <c r="C235" s="11">
        <v>2027</v>
      </c>
      <c r="D235" s="41">
        <f>SUMIFS(Registre!$P$3:$P$15000,Registre!$A$3:$A$15000,19,Registre!$B$3:$B$15000,"août",Registre!$C$3:$C$15000,2027)</f>
        <v>0</v>
      </c>
    </row>
    <row r="236" spans="1:4" x14ac:dyDescent="0.25">
      <c r="A236" s="11">
        <v>20</v>
      </c>
      <c r="B236" s="11" t="s">
        <v>22</v>
      </c>
      <c r="C236" s="11">
        <v>2027</v>
      </c>
      <c r="D236" s="41">
        <f>SUMIFS(Registre!$P$3:$P$15000,Registre!$A$3:$A$15000,20,Registre!$B$3:$B$15000,"août",Registre!$C$3:$C$15000,2027)</f>
        <v>0</v>
      </c>
    </row>
    <row r="237" spans="1:4" x14ac:dyDescent="0.25">
      <c r="A237" s="11">
        <v>21</v>
      </c>
      <c r="B237" s="11" t="s">
        <v>22</v>
      </c>
      <c r="C237" s="11">
        <v>2027</v>
      </c>
      <c r="D237" s="41">
        <f>SUMIFS(Registre!$P$3:$P$15000,Registre!$A$3:$A$15000,21,Registre!$B$3:$B$15000,"août",Registre!$C$3:$C$15000,2027)</f>
        <v>0</v>
      </c>
    </row>
    <row r="238" spans="1:4" x14ac:dyDescent="0.25">
      <c r="A238" s="11">
        <v>22</v>
      </c>
      <c r="B238" s="11" t="s">
        <v>22</v>
      </c>
      <c r="C238" s="11">
        <v>2027</v>
      </c>
      <c r="D238" s="41">
        <f>SUMIFS(Registre!$P$3:$P$15000,Registre!$A$3:$A$15000,22,Registre!$B$3:$B$15000,"août",Registre!$C$3:$C$15000,2027)</f>
        <v>0</v>
      </c>
    </row>
    <row r="239" spans="1:4" x14ac:dyDescent="0.25">
      <c r="A239" s="11">
        <v>23</v>
      </c>
      <c r="B239" s="11" t="s">
        <v>22</v>
      </c>
      <c r="C239" s="11">
        <v>2027</v>
      </c>
      <c r="D239" s="41">
        <f>SUMIFS(Registre!$P$3:$P$15000,Registre!$A$3:$A$15000,23,Registre!$B$3:$B$15000,"août",Registre!$C$3:$C$15000,2027)</f>
        <v>0</v>
      </c>
    </row>
    <row r="240" spans="1:4" x14ac:dyDescent="0.25">
      <c r="A240" s="11">
        <v>24</v>
      </c>
      <c r="B240" s="11" t="s">
        <v>22</v>
      </c>
      <c r="C240" s="11">
        <v>2027</v>
      </c>
      <c r="D240" s="41">
        <f>SUMIFS(Registre!$P$3:$P$15000,Registre!$A$3:$A$15000,24,Registre!$B$3:$B$15000,"août",Registre!$C$3:$C$15000,2027)</f>
        <v>0</v>
      </c>
    </row>
    <row r="241" spans="1:4" x14ac:dyDescent="0.25">
      <c r="A241" s="11">
        <v>25</v>
      </c>
      <c r="B241" s="11" t="s">
        <v>22</v>
      </c>
      <c r="C241" s="11">
        <v>2027</v>
      </c>
      <c r="D241" s="41">
        <f>SUMIFS(Registre!$P$3:$P$15000,Registre!$A$3:$A$15000,25,Registre!$B$3:$B$15000,"août",Registre!$C$3:$C$15000,2027)</f>
        <v>0</v>
      </c>
    </row>
    <row r="242" spans="1:4" x14ac:dyDescent="0.25">
      <c r="A242" s="11">
        <v>26</v>
      </c>
      <c r="B242" s="11" t="s">
        <v>22</v>
      </c>
      <c r="C242" s="11">
        <v>2027</v>
      </c>
      <c r="D242" s="41">
        <f>SUMIFS(Registre!$P$3:$P$15000,Registre!$A$3:$A$15000,26,Registre!$B$3:$B$15000,"août",Registre!$C$3:$C$15000,2027)</f>
        <v>0</v>
      </c>
    </row>
    <row r="243" spans="1:4" x14ac:dyDescent="0.25">
      <c r="A243" s="11">
        <v>27</v>
      </c>
      <c r="B243" s="11" t="s">
        <v>22</v>
      </c>
      <c r="C243" s="11">
        <v>2027</v>
      </c>
      <c r="D243" s="41">
        <f>SUMIFS(Registre!$P$3:$P$15000,Registre!$A$3:$A$15000,27,Registre!$B$3:$B$15000,"août",Registre!$C$3:$C$15000,2027)</f>
        <v>0</v>
      </c>
    </row>
    <row r="244" spans="1:4" x14ac:dyDescent="0.25">
      <c r="A244" s="11">
        <v>28</v>
      </c>
      <c r="B244" s="11" t="s">
        <v>22</v>
      </c>
      <c r="C244" s="11">
        <v>2027</v>
      </c>
      <c r="D244" s="41">
        <f>SUMIFS(Registre!$P$3:$P$15000,Registre!$A$3:$A$15000,28,Registre!$B$3:$B$15000,"août",Registre!$C$3:$C$15000,2027)</f>
        <v>0</v>
      </c>
    </row>
    <row r="245" spans="1:4" x14ac:dyDescent="0.25">
      <c r="A245" s="11">
        <v>29</v>
      </c>
      <c r="B245" s="11" t="s">
        <v>22</v>
      </c>
      <c r="C245" s="11">
        <v>2027</v>
      </c>
      <c r="D245" s="41">
        <f>SUMIFS(Registre!$P$3:$P$15000,Registre!$A$3:$A$15000,29,Registre!$B$3:$B$15000,"août",Registre!$C$3:$C$15000,2027)</f>
        <v>0</v>
      </c>
    </row>
    <row r="246" spans="1:4" x14ac:dyDescent="0.25">
      <c r="A246" s="11">
        <v>30</v>
      </c>
      <c r="B246" s="11" t="s">
        <v>22</v>
      </c>
      <c r="C246" s="11">
        <v>2027</v>
      </c>
      <c r="D246" s="41">
        <f>SUMIFS(Registre!$P$3:$P$15000,Registre!$A$3:$A$15000,30,Registre!$B$3:$B$15000,"août",Registre!$C$3:$C$15000,2027)</f>
        <v>0</v>
      </c>
    </row>
    <row r="247" spans="1:4" x14ac:dyDescent="0.25">
      <c r="A247" s="11">
        <v>31</v>
      </c>
      <c r="B247" s="11" t="s">
        <v>22</v>
      </c>
      <c r="C247" s="11">
        <v>2027</v>
      </c>
      <c r="D247" s="41">
        <f>SUMIFS(Registre!$P$3:$P$15000,Registre!$A$3:$A$15000,31,Registre!$B$3:$B$15000,"août",Registre!$C$3:$C$15000,2027)</f>
        <v>0</v>
      </c>
    </row>
    <row r="248" spans="1:4" x14ac:dyDescent="0.25">
      <c r="A248" s="10">
        <v>1</v>
      </c>
      <c r="B248" s="10" t="s">
        <v>23</v>
      </c>
      <c r="C248" s="10">
        <v>2027</v>
      </c>
      <c r="D248" s="40">
        <f>SUMIFS(Registre!$P$3:$P$15000,Registre!$A$3:$A$15000,1,Registre!$B$3:$B$15000,"septembre",Registre!$C$3:$C$15000,2027)</f>
        <v>0</v>
      </c>
    </row>
    <row r="249" spans="1:4" x14ac:dyDescent="0.25">
      <c r="A249" s="10">
        <v>2</v>
      </c>
      <c r="B249" s="10" t="s">
        <v>23</v>
      </c>
      <c r="C249" s="10">
        <v>2027</v>
      </c>
      <c r="D249" s="40">
        <f>SUMIFS(Registre!$P$3:$P$15000,Registre!$A$3:$A$15000,2,Registre!$B$3:$B$15000,"septembre",Registre!$C$3:$C$15000,2027)</f>
        <v>0</v>
      </c>
    </row>
    <row r="250" spans="1:4" x14ac:dyDescent="0.25">
      <c r="A250" s="10">
        <v>3</v>
      </c>
      <c r="B250" s="10" t="s">
        <v>23</v>
      </c>
      <c r="C250" s="10">
        <v>2027</v>
      </c>
      <c r="D250" s="40">
        <f>SUMIFS(Registre!$P$3:$P$15000,Registre!$A$3:$A$15000,3,Registre!$B$3:$B$15000,"septembre",Registre!$C$3:$C$15000,2027)</f>
        <v>0</v>
      </c>
    </row>
    <row r="251" spans="1:4" x14ac:dyDescent="0.25">
      <c r="A251" s="10">
        <v>4</v>
      </c>
      <c r="B251" s="10" t="s">
        <v>23</v>
      </c>
      <c r="C251" s="10">
        <v>2027</v>
      </c>
      <c r="D251" s="40">
        <f>SUMIFS(Registre!$P$3:$P$15000,Registre!$A$3:$A$15000,4,Registre!$B$3:$B$15000,"septembre",Registre!$C$3:$C$15000,2027)</f>
        <v>0</v>
      </c>
    </row>
    <row r="252" spans="1:4" x14ac:dyDescent="0.25">
      <c r="A252" s="10">
        <v>5</v>
      </c>
      <c r="B252" s="10" t="s">
        <v>23</v>
      </c>
      <c r="C252" s="10">
        <v>2027</v>
      </c>
      <c r="D252" s="40">
        <f>SUMIFS(Registre!$P$3:$P$15000,Registre!$A$3:$A$15000,5,Registre!$B$3:$B$15000,"septembre",Registre!$C$3:$C$15000,2027)</f>
        <v>0</v>
      </c>
    </row>
    <row r="253" spans="1:4" x14ac:dyDescent="0.25">
      <c r="A253" s="10">
        <v>6</v>
      </c>
      <c r="B253" s="10" t="s">
        <v>23</v>
      </c>
      <c r="C253" s="10">
        <v>2027</v>
      </c>
      <c r="D253" s="40">
        <f>SUMIFS(Registre!$P$3:$P$15000,Registre!$A$3:$A$15000,6,Registre!$B$3:$B$15000,"septembre",Registre!$C$3:$C$15000,2027)</f>
        <v>0</v>
      </c>
    </row>
    <row r="254" spans="1:4" x14ac:dyDescent="0.25">
      <c r="A254" s="10">
        <v>7</v>
      </c>
      <c r="B254" s="10" t="s">
        <v>23</v>
      </c>
      <c r="C254" s="10">
        <v>2027</v>
      </c>
      <c r="D254" s="40">
        <f>SUMIFS(Registre!$P$3:$P$15000,Registre!$A$3:$A$15000,7,Registre!$B$3:$B$15000,"septembre",Registre!$C$3:$C$15000,2027)</f>
        <v>0</v>
      </c>
    </row>
    <row r="255" spans="1:4" x14ac:dyDescent="0.25">
      <c r="A255" s="10">
        <v>8</v>
      </c>
      <c r="B255" s="10" t="s">
        <v>23</v>
      </c>
      <c r="C255" s="10">
        <v>2027</v>
      </c>
      <c r="D255" s="40">
        <f>SUMIFS(Registre!$P$3:$P$15000,Registre!$A$3:$A$15000,8,Registre!$B$3:$B$15000,"septembre",Registre!$C$3:$C$15000,2027)</f>
        <v>0</v>
      </c>
    </row>
    <row r="256" spans="1:4" x14ac:dyDescent="0.25">
      <c r="A256" s="10">
        <v>9</v>
      </c>
      <c r="B256" s="10" t="s">
        <v>23</v>
      </c>
      <c r="C256" s="10">
        <v>2027</v>
      </c>
      <c r="D256" s="40">
        <f>SUMIFS(Registre!$P$3:$P$15000,Registre!$A$3:$A$15000,9,Registre!$B$3:$B$15000,"septembre",Registre!$C$3:$C$15000,2027)</f>
        <v>0</v>
      </c>
    </row>
    <row r="257" spans="1:4" x14ac:dyDescent="0.25">
      <c r="A257" s="10">
        <v>10</v>
      </c>
      <c r="B257" s="10" t="s">
        <v>23</v>
      </c>
      <c r="C257" s="10">
        <v>2027</v>
      </c>
      <c r="D257" s="40">
        <f>SUMIFS(Registre!$P$3:$P$15000,Registre!$A$3:$A$15000,10,Registre!$B$3:$B$15000,"septembre",Registre!$C$3:$C$15000,2027)</f>
        <v>0</v>
      </c>
    </row>
    <row r="258" spans="1:4" x14ac:dyDescent="0.25">
      <c r="A258" s="10">
        <v>11</v>
      </c>
      <c r="B258" s="10" t="s">
        <v>23</v>
      </c>
      <c r="C258" s="10">
        <v>2027</v>
      </c>
      <c r="D258" s="40">
        <f>SUMIFS(Registre!$P$3:$P$15000,Registre!$A$3:$A$15000,11,Registre!$B$3:$B$15000,"septembre",Registre!$C$3:$C$15000,2027)</f>
        <v>0</v>
      </c>
    </row>
    <row r="259" spans="1:4" x14ac:dyDescent="0.25">
      <c r="A259" s="10">
        <v>12</v>
      </c>
      <c r="B259" s="10" t="s">
        <v>23</v>
      </c>
      <c r="C259" s="10">
        <v>2027</v>
      </c>
      <c r="D259" s="40">
        <f>SUMIFS(Registre!$P$3:$P$15000,Registre!$A$3:$A$15000,12,Registre!$B$3:$B$15000,"septembre",Registre!$C$3:$C$15000,2027)</f>
        <v>0</v>
      </c>
    </row>
    <row r="260" spans="1:4" x14ac:dyDescent="0.25">
      <c r="A260" s="10">
        <v>13</v>
      </c>
      <c r="B260" s="10" t="s">
        <v>23</v>
      </c>
      <c r="C260" s="10">
        <v>2027</v>
      </c>
      <c r="D260" s="40">
        <f>SUMIFS(Registre!$P$3:$P$15000,Registre!$A$3:$A$15000,13,Registre!$B$3:$B$15000,"septembre",Registre!$C$3:$C$15000,2027)</f>
        <v>0</v>
      </c>
    </row>
    <row r="261" spans="1:4" x14ac:dyDescent="0.25">
      <c r="A261" s="10">
        <v>14</v>
      </c>
      <c r="B261" s="10" t="s">
        <v>23</v>
      </c>
      <c r="C261" s="10">
        <v>2027</v>
      </c>
      <c r="D261" s="40">
        <f>SUMIFS(Registre!$P$3:$P$15000,Registre!$A$3:$A$15000,14,Registre!$B$3:$B$15000,"septembre",Registre!$C$3:$C$15000,2027)</f>
        <v>0</v>
      </c>
    </row>
    <row r="262" spans="1:4" x14ac:dyDescent="0.25">
      <c r="A262" s="10">
        <v>15</v>
      </c>
      <c r="B262" s="10" t="s">
        <v>23</v>
      </c>
      <c r="C262" s="10">
        <v>2027</v>
      </c>
      <c r="D262" s="40">
        <f>SUMIFS(Registre!$P$3:$P$15000,Registre!$A$3:$A$15000,15,Registre!$B$3:$B$15000,"septembre",Registre!$C$3:$C$15000,2027)</f>
        <v>0</v>
      </c>
    </row>
    <row r="263" spans="1:4" x14ac:dyDescent="0.25">
      <c r="A263" s="10">
        <v>16</v>
      </c>
      <c r="B263" s="10" t="s">
        <v>23</v>
      </c>
      <c r="C263" s="10">
        <v>2027</v>
      </c>
      <c r="D263" s="40">
        <f>SUMIFS(Registre!$P$3:$P$15000,Registre!$A$3:$A$15000,16,Registre!$B$3:$B$15000,"septembre",Registre!$C$3:$C$15000,2027)</f>
        <v>0</v>
      </c>
    </row>
    <row r="264" spans="1:4" x14ac:dyDescent="0.25">
      <c r="A264" s="10">
        <v>17</v>
      </c>
      <c r="B264" s="10" t="s">
        <v>23</v>
      </c>
      <c r="C264" s="10">
        <v>2027</v>
      </c>
      <c r="D264" s="40">
        <f>SUMIFS(Registre!$P$3:$P$15000,Registre!$A$3:$A$15000,17,Registre!$B$3:$B$15000,"septembre",Registre!$C$3:$C$15000,2027)</f>
        <v>0</v>
      </c>
    </row>
    <row r="265" spans="1:4" x14ac:dyDescent="0.25">
      <c r="A265" s="10">
        <v>18</v>
      </c>
      <c r="B265" s="10" t="s">
        <v>23</v>
      </c>
      <c r="C265" s="10">
        <v>2027</v>
      </c>
      <c r="D265" s="40">
        <f>SUMIFS(Registre!$P$3:$P$15000,Registre!$A$3:$A$15000,18,Registre!$B$3:$B$15000,"septembre",Registre!$C$3:$C$15000,2027)</f>
        <v>0</v>
      </c>
    </row>
    <row r="266" spans="1:4" x14ac:dyDescent="0.25">
      <c r="A266" s="10">
        <v>19</v>
      </c>
      <c r="B266" s="10" t="s">
        <v>23</v>
      </c>
      <c r="C266" s="10">
        <v>2027</v>
      </c>
      <c r="D266" s="40">
        <f>SUMIFS(Registre!$P$3:$P$15000,Registre!$A$3:$A$15000,19,Registre!$B$3:$B$15000,"septembre",Registre!$C$3:$C$15000,2027)</f>
        <v>0</v>
      </c>
    </row>
    <row r="267" spans="1:4" x14ac:dyDescent="0.25">
      <c r="A267" s="10">
        <v>20</v>
      </c>
      <c r="B267" s="10" t="s">
        <v>23</v>
      </c>
      <c r="C267" s="10">
        <v>2027</v>
      </c>
      <c r="D267" s="40">
        <f>SUMIFS(Registre!$P$3:$P$15000,Registre!$A$3:$A$15000,20,Registre!$B$3:$B$15000,"septembre",Registre!$C$3:$C$15000,2027)</f>
        <v>0</v>
      </c>
    </row>
    <row r="268" spans="1:4" x14ac:dyDescent="0.25">
      <c r="A268" s="10">
        <v>21</v>
      </c>
      <c r="B268" s="10" t="s">
        <v>23</v>
      </c>
      <c r="C268" s="10">
        <v>2027</v>
      </c>
      <c r="D268" s="40">
        <f>SUMIFS(Registre!$P$3:$P$15000,Registre!$A$3:$A$15000,21,Registre!$B$3:$B$15000,"septembre",Registre!$C$3:$C$15000,2027)</f>
        <v>0</v>
      </c>
    </row>
    <row r="269" spans="1:4" x14ac:dyDescent="0.25">
      <c r="A269" s="10">
        <v>22</v>
      </c>
      <c r="B269" s="10" t="s">
        <v>23</v>
      </c>
      <c r="C269" s="10">
        <v>2027</v>
      </c>
      <c r="D269" s="40">
        <f>SUMIFS(Registre!$P$3:$P$15000,Registre!$A$3:$A$15000,22,Registre!$B$3:$B$15000,"septembre",Registre!$C$3:$C$15000,2027)</f>
        <v>0</v>
      </c>
    </row>
    <row r="270" spans="1:4" x14ac:dyDescent="0.25">
      <c r="A270" s="10">
        <v>23</v>
      </c>
      <c r="B270" s="10" t="s">
        <v>23</v>
      </c>
      <c r="C270" s="10">
        <v>2027</v>
      </c>
      <c r="D270" s="40">
        <f>SUMIFS(Registre!$P$3:$P$15000,Registre!$A$3:$A$15000,23,Registre!$B$3:$B$15000,"septembre",Registre!$C$3:$C$15000,2027)</f>
        <v>0</v>
      </c>
    </row>
    <row r="271" spans="1:4" x14ac:dyDescent="0.25">
      <c r="A271" s="10">
        <v>24</v>
      </c>
      <c r="B271" s="10" t="s">
        <v>23</v>
      </c>
      <c r="C271" s="10">
        <v>2027</v>
      </c>
      <c r="D271" s="40">
        <f>SUMIFS(Registre!$P$3:$P$15000,Registre!$A$3:$A$15000,24,Registre!$B$3:$B$15000,"septembre",Registre!$C$3:$C$15000,2027)</f>
        <v>0</v>
      </c>
    </row>
    <row r="272" spans="1:4" x14ac:dyDescent="0.25">
      <c r="A272" s="10">
        <v>25</v>
      </c>
      <c r="B272" s="10" t="s">
        <v>23</v>
      </c>
      <c r="C272" s="10">
        <v>2027</v>
      </c>
      <c r="D272" s="40">
        <f>SUMIFS(Registre!$P$3:$P$15000,Registre!$A$3:$A$15000,25,Registre!$B$3:$B$15000,"septembre",Registre!$C$3:$C$15000,2027)</f>
        <v>0</v>
      </c>
    </row>
    <row r="273" spans="1:4" x14ac:dyDescent="0.25">
      <c r="A273" s="10">
        <v>26</v>
      </c>
      <c r="B273" s="10" t="s">
        <v>23</v>
      </c>
      <c r="C273" s="10">
        <v>2027</v>
      </c>
      <c r="D273" s="40">
        <f>SUMIFS(Registre!$P$3:$P$15000,Registre!$A$3:$A$15000,26,Registre!$B$3:$B$15000,"septembre",Registre!$C$3:$C$15000,2027)</f>
        <v>0</v>
      </c>
    </row>
    <row r="274" spans="1:4" x14ac:dyDescent="0.25">
      <c r="A274" s="10">
        <v>27</v>
      </c>
      <c r="B274" s="10" t="s">
        <v>23</v>
      </c>
      <c r="C274" s="10">
        <v>2027</v>
      </c>
      <c r="D274" s="40">
        <f>SUMIFS(Registre!$P$3:$P$15000,Registre!$A$3:$A$15000,27,Registre!$B$3:$B$15000,"septembre",Registre!$C$3:$C$15000,2027)</f>
        <v>0</v>
      </c>
    </row>
    <row r="275" spans="1:4" x14ac:dyDescent="0.25">
      <c r="A275" s="10">
        <v>28</v>
      </c>
      <c r="B275" s="10" t="s">
        <v>23</v>
      </c>
      <c r="C275" s="10">
        <v>2027</v>
      </c>
      <c r="D275" s="40">
        <f>SUMIFS(Registre!$P$3:$P$15000,Registre!$A$3:$A$15000,28,Registre!$B$3:$B$15000,"septembre",Registre!$C$3:$C$15000,2027)</f>
        <v>0</v>
      </c>
    </row>
    <row r="276" spans="1:4" x14ac:dyDescent="0.25">
      <c r="A276" s="10">
        <v>29</v>
      </c>
      <c r="B276" s="10" t="s">
        <v>23</v>
      </c>
      <c r="C276" s="10">
        <v>2027</v>
      </c>
      <c r="D276" s="40">
        <f>SUMIFS(Registre!$P$3:$P$15000,Registre!$A$3:$A$15000,29,Registre!$B$3:$B$15000,"septembre",Registre!$C$3:$C$15000,2027)</f>
        <v>0</v>
      </c>
    </row>
    <row r="277" spans="1:4" x14ac:dyDescent="0.25">
      <c r="A277" s="10">
        <v>30</v>
      </c>
      <c r="B277" s="10" t="s">
        <v>23</v>
      </c>
      <c r="C277" s="10">
        <v>2027</v>
      </c>
      <c r="D277" s="40">
        <f>SUMIFS(Registre!$P$3:$P$15000,Registre!$A$3:$A$15000,30,Registre!$B$3:$B$15000,"septembre",Registre!$C$3:$C$15000,2027)</f>
        <v>0</v>
      </c>
    </row>
    <row r="278" spans="1:4" x14ac:dyDescent="0.25">
      <c r="A278" s="11">
        <v>1</v>
      </c>
      <c r="B278" s="11" t="s">
        <v>24</v>
      </c>
      <c r="C278" s="11">
        <v>2027</v>
      </c>
      <c r="D278" s="41">
        <f>SUMIFS(Registre!$P$3:$P$15000,Registre!$A$3:$A$15000,1,Registre!$B$3:$B$15000,"octobre",Registre!$C$3:$C$15000,2027)</f>
        <v>0</v>
      </c>
    </row>
    <row r="279" spans="1:4" x14ac:dyDescent="0.25">
      <c r="A279" s="11">
        <v>2</v>
      </c>
      <c r="B279" s="11" t="s">
        <v>24</v>
      </c>
      <c r="C279" s="11">
        <v>2027</v>
      </c>
      <c r="D279" s="41">
        <f>SUMIFS(Registre!$P$3:$P$15000,Registre!$A$3:$A$15000,2,Registre!$B$3:$B$15000,"octobre",Registre!$C$3:$C$15000,2027)</f>
        <v>0</v>
      </c>
    </row>
    <row r="280" spans="1:4" x14ac:dyDescent="0.25">
      <c r="A280" s="11">
        <v>3</v>
      </c>
      <c r="B280" s="11" t="s">
        <v>24</v>
      </c>
      <c r="C280" s="11">
        <v>2027</v>
      </c>
      <c r="D280" s="41">
        <f>SUMIFS(Registre!$P$3:$P$15000,Registre!$A$3:$A$15000,3,Registre!$B$3:$B$15000,"octobre",Registre!$C$3:$C$15000,2027)</f>
        <v>0</v>
      </c>
    </row>
    <row r="281" spans="1:4" x14ac:dyDescent="0.25">
      <c r="A281" s="11">
        <v>4</v>
      </c>
      <c r="B281" s="11" t="s">
        <v>24</v>
      </c>
      <c r="C281" s="11">
        <v>2027</v>
      </c>
      <c r="D281" s="41">
        <f>SUMIFS(Registre!$P$3:$P$15000,Registre!$A$3:$A$15000,4,Registre!$B$3:$B$15000,"octobre",Registre!$C$3:$C$15000,2027)</f>
        <v>0</v>
      </c>
    </row>
    <row r="282" spans="1:4" x14ac:dyDescent="0.25">
      <c r="A282" s="11">
        <v>5</v>
      </c>
      <c r="B282" s="11" t="s">
        <v>24</v>
      </c>
      <c r="C282" s="11">
        <v>2027</v>
      </c>
      <c r="D282" s="41">
        <f>SUMIFS(Registre!$P$3:$P$15000,Registre!$A$3:$A$15000,5,Registre!$B$3:$B$15000,"octobre",Registre!$C$3:$C$15000,2027)</f>
        <v>0</v>
      </c>
    </row>
    <row r="283" spans="1:4" x14ac:dyDescent="0.25">
      <c r="A283" s="11">
        <v>6</v>
      </c>
      <c r="B283" s="11" t="s">
        <v>24</v>
      </c>
      <c r="C283" s="11">
        <v>2027</v>
      </c>
      <c r="D283" s="41">
        <f>SUMIFS(Registre!$P$3:$P$15000,Registre!$A$3:$A$15000,6,Registre!$B$3:$B$15000,"octobre",Registre!$C$3:$C$15000,2027)</f>
        <v>0</v>
      </c>
    </row>
    <row r="284" spans="1:4" x14ac:dyDescent="0.25">
      <c r="A284" s="11">
        <v>7</v>
      </c>
      <c r="B284" s="11" t="s">
        <v>24</v>
      </c>
      <c r="C284" s="11">
        <v>2027</v>
      </c>
      <c r="D284" s="41">
        <f>SUMIFS(Registre!$P$3:$P$15000,Registre!$A$3:$A$15000,7,Registre!$B$3:$B$15000,"octobre",Registre!$C$3:$C$15000,2027)</f>
        <v>0</v>
      </c>
    </row>
    <row r="285" spans="1:4" x14ac:dyDescent="0.25">
      <c r="A285" s="11">
        <v>8</v>
      </c>
      <c r="B285" s="11" t="s">
        <v>24</v>
      </c>
      <c r="C285" s="11">
        <v>2027</v>
      </c>
      <c r="D285" s="41">
        <f>SUMIFS(Registre!$P$3:$P$15000,Registre!$A$3:$A$15000,8,Registre!$B$3:$B$15000,"octobre",Registre!$C$3:$C$15000,2027)</f>
        <v>0</v>
      </c>
    </row>
    <row r="286" spans="1:4" x14ac:dyDescent="0.25">
      <c r="A286" s="11">
        <v>9</v>
      </c>
      <c r="B286" s="11" t="s">
        <v>24</v>
      </c>
      <c r="C286" s="11">
        <v>2027</v>
      </c>
      <c r="D286" s="41">
        <f>SUMIFS(Registre!$P$3:$P$15000,Registre!$A$3:$A$15000,9,Registre!$B$3:$B$15000,"octobre",Registre!$C$3:$C$15000,2027)</f>
        <v>0</v>
      </c>
    </row>
    <row r="287" spans="1:4" x14ac:dyDescent="0.25">
      <c r="A287" s="11">
        <v>10</v>
      </c>
      <c r="B287" s="11" t="s">
        <v>24</v>
      </c>
      <c r="C287" s="11">
        <v>2027</v>
      </c>
      <c r="D287" s="41">
        <f>SUMIFS(Registre!$P$3:$P$15000,Registre!$A$3:$A$15000,10,Registre!$B$3:$B$15000,"octobre",Registre!$C$3:$C$15000,2027)</f>
        <v>0</v>
      </c>
    </row>
    <row r="288" spans="1:4" x14ac:dyDescent="0.25">
      <c r="A288" s="11">
        <v>11</v>
      </c>
      <c r="B288" s="11" t="s">
        <v>24</v>
      </c>
      <c r="C288" s="11">
        <v>2027</v>
      </c>
      <c r="D288" s="41">
        <f>SUMIFS(Registre!$P$3:$P$15000,Registre!$A$3:$A$15000,11,Registre!$B$3:$B$15000,"octobre",Registre!$C$3:$C$15000,2027)</f>
        <v>0</v>
      </c>
    </row>
    <row r="289" spans="1:4" x14ac:dyDescent="0.25">
      <c r="A289" s="11">
        <v>12</v>
      </c>
      <c r="B289" s="11" t="s">
        <v>24</v>
      </c>
      <c r="C289" s="11">
        <v>2027</v>
      </c>
      <c r="D289" s="41">
        <f>SUMIFS(Registre!$P$3:$P$15000,Registre!$A$3:$A$15000,12,Registre!$B$3:$B$15000,"octobre",Registre!$C$3:$C$15000,2027)</f>
        <v>0</v>
      </c>
    </row>
    <row r="290" spans="1:4" x14ac:dyDescent="0.25">
      <c r="A290" s="11">
        <v>13</v>
      </c>
      <c r="B290" s="11" t="s">
        <v>24</v>
      </c>
      <c r="C290" s="11">
        <v>2027</v>
      </c>
      <c r="D290" s="41">
        <f>SUMIFS(Registre!$P$3:$P$15000,Registre!$A$3:$A$15000,13,Registre!$B$3:$B$15000,"octobre",Registre!$C$3:$C$15000,2027)</f>
        <v>0</v>
      </c>
    </row>
    <row r="291" spans="1:4" x14ac:dyDescent="0.25">
      <c r="A291" s="11">
        <v>14</v>
      </c>
      <c r="B291" s="11" t="s">
        <v>24</v>
      </c>
      <c r="C291" s="11">
        <v>2027</v>
      </c>
      <c r="D291" s="41">
        <f>SUMIFS(Registre!$P$3:$P$15000,Registre!$A$3:$A$15000,14,Registre!$B$3:$B$15000,"octobre",Registre!$C$3:$C$15000,2027)</f>
        <v>0</v>
      </c>
    </row>
    <row r="292" spans="1:4" x14ac:dyDescent="0.25">
      <c r="A292" s="11">
        <v>15</v>
      </c>
      <c r="B292" s="11" t="s">
        <v>24</v>
      </c>
      <c r="C292" s="11">
        <v>2027</v>
      </c>
      <c r="D292" s="41">
        <f>SUMIFS(Registre!$P$3:$P$15000,Registre!$A$3:$A$15000,15,Registre!$B$3:$B$15000,"octobre",Registre!$C$3:$C$15000,2027)</f>
        <v>0</v>
      </c>
    </row>
    <row r="293" spans="1:4" x14ac:dyDescent="0.25">
      <c r="A293" s="11">
        <v>16</v>
      </c>
      <c r="B293" s="11" t="s">
        <v>24</v>
      </c>
      <c r="C293" s="11">
        <v>2027</v>
      </c>
      <c r="D293" s="41">
        <f>SUMIFS(Registre!$P$3:$P$15000,Registre!$A$3:$A$15000,16,Registre!$B$3:$B$15000,"octobre",Registre!$C$3:$C$15000,2027)</f>
        <v>0</v>
      </c>
    </row>
    <row r="294" spans="1:4" x14ac:dyDescent="0.25">
      <c r="A294" s="11">
        <v>17</v>
      </c>
      <c r="B294" s="11" t="s">
        <v>24</v>
      </c>
      <c r="C294" s="11">
        <v>2027</v>
      </c>
      <c r="D294" s="41">
        <f>SUMIFS(Registre!$P$3:$P$15000,Registre!$A$3:$A$15000,17,Registre!$B$3:$B$15000,"octobre",Registre!$C$3:$C$15000,2027)</f>
        <v>0</v>
      </c>
    </row>
    <row r="295" spans="1:4" x14ac:dyDescent="0.25">
      <c r="A295" s="11">
        <v>18</v>
      </c>
      <c r="B295" s="11" t="s">
        <v>24</v>
      </c>
      <c r="C295" s="11">
        <v>2027</v>
      </c>
      <c r="D295" s="41">
        <f>SUMIFS(Registre!$P$3:$P$15000,Registre!$A$3:$A$15000,18,Registre!$B$3:$B$15000,"octobre",Registre!$C$3:$C$15000,2027)</f>
        <v>0</v>
      </c>
    </row>
    <row r="296" spans="1:4" x14ac:dyDescent="0.25">
      <c r="A296" s="11">
        <v>19</v>
      </c>
      <c r="B296" s="11" t="s">
        <v>24</v>
      </c>
      <c r="C296" s="11">
        <v>2027</v>
      </c>
      <c r="D296" s="41">
        <f>SUMIFS(Registre!$P$3:$P$15000,Registre!$A$3:$A$15000,19,Registre!$B$3:$B$15000,"octobre",Registre!$C$3:$C$15000,2027)</f>
        <v>0</v>
      </c>
    </row>
    <row r="297" spans="1:4" x14ac:dyDescent="0.25">
      <c r="A297" s="11">
        <v>20</v>
      </c>
      <c r="B297" s="11" t="s">
        <v>24</v>
      </c>
      <c r="C297" s="11">
        <v>2027</v>
      </c>
      <c r="D297" s="41">
        <f>SUMIFS(Registre!$P$3:$P$15000,Registre!$A$3:$A$15000,20,Registre!$B$3:$B$15000,"octobre",Registre!$C$3:$C$15000,2027)</f>
        <v>0</v>
      </c>
    </row>
    <row r="298" spans="1:4" x14ac:dyDescent="0.25">
      <c r="A298" s="11">
        <v>21</v>
      </c>
      <c r="B298" s="11" t="s">
        <v>24</v>
      </c>
      <c r="C298" s="11">
        <v>2027</v>
      </c>
      <c r="D298" s="41">
        <f>SUMIFS(Registre!$P$3:$P$15000,Registre!$A$3:$A$15000,21,Registre!$B$3:$B$15000,"octobre",Registre!$C$3:$C$15000,2027)</f>
        <v>0</v>
      </c>
    </row>
    <row r="299" spans="1:4" x14ac:dyDescent="0.25">
      <c r="A299" s="11">
        <v>22</v>
      </c>
      <c r="B299" s="11" t="s">
        <v>24</v>
      </c>
      <c r="C299" s="11">
        <v>2027</v>
      </c>
      <c r="D299" s="41">
        <f>SUMIFS(Registre!$P$3:$P$15000,Registre!$A$3:$A$15000,22,Registre!$B$3:$B$15000,"octobre",Registre!$C$3:$C$15000,2027)</f>
        <v>0</v>
      </c>
    </row>
    <row r="300" spans="1:4" x14ac:dyDescent="0.25">
      <c r="A300" s="11">
        <v>23</v>
      </c>
      <c r="B300" s="11" t="s">
        <v>24</v>
      </c>
      <c r="C300" s="11">
        <v>2027</v>
      </c>
      <c r="D300" s="41">
        <f>SUMIFS(Registre!$P$3:$P$15000,Registre!$A$3:$A$15000,23,Registre!$B$3:$B$15000,"octobre",Registre!$C$3:$C$15000,2027)</f>
        <v>0</v>
      </c>
    </row>
    <row r="301" spans="1:4" x14ac:dyDescent="0.25">
      <c r="A301" s="11">
        <v>24</v>
      </c>
      <c r="B301" s="11" t="s">
        <v>24</v>
      </c>
      <c r="C301" s="11">
        <v>2027</v>
      </c>
      <c r="D301" s="41">
        <f>SUMIFS(Registre!$P$3:$P$15000,Registre!$A$3:$A$15000,24,Registre!$B$3:$B$15000,"octobre",Registre!$C$3:$C$15000,2027)</f>
        <v>0</v>
      </c>
    </row>
    <row r="302" spans="1:4" x14ac:dyDescent="0.25">
      <c r="A302" s="11">
        <v>25</v>
      </c>
      <c r="B302" s="11" t="s">
        <v>24</v>
      </c>
      <c r="C302" s="11">
        <v>2027</v>
      </c>
      <c r="D302" s="41">
        <f>SUMIFS(Registre!$P$3:$P$15000,Registre!$A$3:$A$15000,25,Registre!$B$3:$B$15000,"octobre",Registre!$C$3:$C$15000,2027)</f>
        <v>0</v>
      </c>
    </row>
    <row r="303" spans="1:4" x14ac:dyDescent="0.25">
      <c r="A303" s="11">
        <v>26</v>
      </c>
      <c r="B303" s="11" t="s">
        <v>24</v>
      </c>
      <c r="C303" s="11">
        <v>2027</v>
      </c>
      <c r="D303" s="41">
        <f>SUMIFS(Registre!$P$3:$P$15000,Registre!$A$3:$A$15000,26,Registre!$B$3:$B$15000,"octobre",Registre!$C$3:$C$15000,2027)</f>
        <v>0</v>
      </c>
    </row>
    <row r="304" spans="1:4" x14ac:dyDescent="0.25">
      <c r="A304" s="11">
        <v>27</v>
      </c>
      <c r="B304" s="11" t="s">
        <v>24</v>
      </c>
      <c r="C304" s="11">
        <v>2027</v>
      </c>
      <c r="D304" s="41">
        <f>SUMIFS(Registre!$P$3:$P$15000,Registre!$A$3:$A$15000,27,Registre!$B$3:$B$15000,"octobre",Registre!$C$3:$C$15000,2027)</f>
        <v>0</v>
      </c>
    </row>
    <row r="305" spans="1:4" x14ac:dyDescent="0.25">
      <c r="A305" s="11">
        <v>28</v>
      </c>
      <c r="B305" s="11" t="s">
        <v>24</v>
      </c>
      <c r="C305" s="11">
        <v>2027</v>
      </c>
      <c r="D305" s="41">
        <f>SUMIFS(Registre!$P$3:$P$15000,Registre!$A$3:$A$15000,28,Registre!$B$3:$B$15000,"octobre",Registre!$C$3:$C$15000,2027)</f>
        <v>0</v>
      </c>
    </row>
    <row r="306" spans="1:4" x14ac:dyDescent="0.25">
      <c r="A306" s="11">
        <v>29</v>
      </c>
      <c r="B306" s="11" t="s">
        <v>24</v>
      </c>
      <c r="C306" s="11">
        <v>2027</v>
      </c>
      <c r="D306" s="41">
        <f>SUMIFS(Registre!$P$3:$P$15000,Registre!$A$3:$A$15000,29,Registre!$B$3:$B$15000,"octobre",Registre!$C$3:$C$15000,2027)</f>
        <v>0</v>
      </c>
    </row>
    <row r="307" spans="1:4" x14ac:dyDescent="0.25">
      <c r="A307" s="11">
        <v>30</v>
      </c>
      <c r="B307" s="11" t="s">
        <v>24</v>
      </c>
      <c r="C307" s="11">
        <v>2027</v>
      </c>
      <c r="D307" s="41">
        <f>SUMIFS(Registre!$P$3:$P$15000,Registre!$A$3:$A$15000,30,Registre!$B$3:$B$15000,"octobre",Registre!$C$3:$C$15000,2027)</f>
        <v>0</v>
      </c>
    </row>
    <row r="308" spans="1:4" x14ac:dyDescent="0.25">
      <c r="A308" s="11">
        <v>31</v>
      </c>
      <c r="B308" s="11" t="s">
        <v>24</v>
      </c>
      <c r="C308" s="11">
        <v>2027</v>
      </c>
      <c r="D308" s="41">
        <f>SUMIFS(Registre!$P$3:$P$15000,Registre!$A$3:$A$15000,31,Registre!$B$3:$B$15000,"octobre",Registre!$C$3:$C$15000,2027)</f>
        <v>0</v>
      </c>
    </row>
    <row r="309" spans="1:4" x14ac:dyDescent="0.25">
      <c r="A309" s="10">
        <v>1</v>
      </c>
      <c r="B309" s="10" t="s">
        <v>25</v>
      </c>
      <c r="C309" s="10">
        <v>2027</v>
      </c>
      <c r="D309" s="40">
        <f>SUMIFS(Registre!$P$3:$P$15000,Registre!$A$3:$A$15000,1,Registre!$B$3:$B$15000,"novembre",Registre!$C$3:$C$15000,2027)</f>
        <v>0</v>
      </c>
    </row>
    <row r="310" spans="1:4" x14ac:dyDescent="0.25">
      <c r="A310" s="10">
        <v>2</v>
      </c>
      <c r="B310" s="10" t="s">
        <v>25</v>
      </c>
      <c r="C310" s="10">
        <v>2027</v>
      </c>
      <c r="D310" s="40">
        <f>SUMIFS(Registre!$P$3:$P$15000,Registre!$A$3:$A$15000,2,Registre!$B$3:$B$15000,"novembre",Registre!$C$3:$C$15000,2027)</f>
        <v>0</v>
      </c>
    </row>
    <row r="311" spans="1:4" x14ac:dyDescent="0.25">
      <c r="A311" s="10">
        <v>3</v>
      </c>
      <c r="B311" s="10" t="s">
        <v>25</v>
      </c>
      <c r="C311" s="10">
        <v>2027</v>
      </c>
      <c r="D311" s="40">
        <f>SUMIFS(Registre!$P$3:$P$15000,Registre!$A$3:$A$15000,3,Registre!$B$3:$B$15000,"novembre",Registre!$C$3:$C$15000,2027)</f>
        <v>0</v>
      </c>
    </row>
    <row r="312" spans="1:4" x14ac:dyDescent="0.25">
      <c r="A312" s="10">
        <v>4</v>
      </c>
      <c r="B312" s="10" t="s">
        <v>25</v>
      </c>
      <c r="C312" s="10">
        <v>2027</v>
      </c>
      <c r="D312" s="40">
        <f>SUMIFS(Registre!$P$3:$P$15000,Registre!$A$3:$A$15000,4,Registre!$B$3:$B$15000,"novembre",Registre!$C$3:$C$15000,2027)</f>
        <v>0</v>
      </c>
    </row>
    <row r="313" spans="1:4" x14ac:dyDescent="0.25">
      <c r="A313" s="10">
        <v>5</v>
      </c>
      <c r="B313" s="10" t="s">
        <v>25</v>
      </c>
      <c r="C313" s="10">
        <v>2027</v>
      </c>
      <c r="D313" s="40">
        <f>SUMIFS(Registre!$P$3:$P$15000,Registre!$A$3:$A$15000,5,Registre!$B$3:$B$15000,"novembre",Registre!$C$3:$C$15000,2027)</f>
        <v>0</v>
      </c>
    </row>
    <row r="314" spans="1:4" x14ac:dyDescent="0.25">
      <c r="A314" s="10">
        <v>6</v>
      </c>
      <c r="B314" s="10" t="s">
        <v>25</v>
      </c>
      <c r="C314" s="10">
        <v>2027</v>
      </c>
      <c r="D314" s="40">
        <f>SUMIFS(Registre!$P$3:$P$15000,Registre!$A$3:$A$15000,6,Registre!$B$3:$B$15000,"novembre",Registre!$C$3:$C$15000,2027)</f>
        <v>0</v>
      </c>
    </row>
    <row r="315" spans="1:4" x14ac:dyDescent="0.25">
      <c r="A315" s="10">
        <v>7</v>
      </c>
      <c r="B315" s="10" t="s">
        <v>25</v>
      </c>
      <c r="C315" s="10">
        <v>2027</v>
      </c>
      <c r="D315" s="40">
        <f>SUMIFS(Registre!$P$3:$P$15000,Registre!$A$3:$A$15000,7,Registre!$B$3:$B$15000,"novembre",Registre!$C$3:$C$15000,2027)</f>
        <v>0</v>
      </c>
    </row>
    <row r="316" spans="1:4" x14ac:dyDescent="0.25">
      <c r="A316" s="10">
        <v>8</v>
      </c>
      <c r="B316" s="10" t="s">
        <v>25</v>
      </c>
      <c r="C316" s="10">
        <v>2027</v>
      </c>
      <c r="D316" s="40">
        <f>SUMIFS(Registre!$P$3:$P$15000,Registre!$A$3:$A$15000,8,Registre!$B$3:$B$15000,"novembre",Registre!$C$3:$C$15000,2027)</f>
        <v>0</v>
      </c>
    </row>
    <row r="317" spans="1:4" x14ac:dyDescent="0.25">
      <c r="A317" s="10">
        <v>9</v>
      </c>
      <c r="B317" s="10" t="s">
        <v>25</v>
      </c>
      <c r="C317" s="10">
        <v>2027</v>
      </c>
      <c r="D317" s="40">
        <f>SUMIFS(Registre!$P$3:$P$15000,Registre!$A$3:$A$15000,9,Registre!$B$3:$B$15000,"novembre",Registre!$C$3:$C$15000,2027)</f>
        <v>0</v>
      </c>
    </row>
    <row r="318" spans="1:4" x14ac:dyDescent="0.25">
      <c r="A318" s="10">
        <v>10</v>
      </c>
      <c r="B318" s="10" t="s">
        <v>25</v>
      </c>
      <c r="C318" s="10">
        <v>2027</v>
      </c>
      <c r="D318" s="40">
        <f>SUMIFS(Registre!$P$3:$P$15000,Registre!$A$3:$A$15000,10,Registre!$B$3:$B$15000,"novembre",Registre!$C$3:$C$15000,2027)</f>
        <v>0</v>
      </c>
    </row>
    <row r="319" spans="1:4" x14ac:dyDescent="0.25">
      <c r="A319" s="10">
        <v>11</v>
      </c>
      <c r="B319" s="10" t="s">
        <v>25</v>
      </c>
      <c r="C319" s="10">
        <v>2027</v>
      </c>
      <c r="D319" s="40">
        <f>SUMIFS(Registre!$P$3:$P$15000,Registre!$A$3:$A$15000,11,Registre!$B$3:$B$15000,"novembre",Registre!$C$3:$C$15000,2027)</f>
        <v>0</v>
      </c>
    </row>
    <row r="320" spans="1:4" x14ac:dyDescent="0.25">
      <c r="A320" s="10">
        <v>12</v>
      </c>
      <c r="B320" s="10" t="s">
        <v>25</v>
      </c>
      <c r="C320" s="10">
        <v>2027</v>
      </c>
      <c r="D320" s="40">
        <f>SUMIFS(Registre!$P$3:$P$15000,Registre!$A$3:$A$15000,12,Registre!$B$3:$B$15000,"novembre",Registre!$C$3:$C$15000,2027)</f>
        <v>0</v>
      </c>
    </row>
    <row r="321" spans="1:4" x14ac:dyDescent="0.25">
      <c r="A321" s="10">
        <v>13</v>
      </c>
      <c r="B321" s="10" t="s">
        <v>25</v>
      </c>
      <c r="C321" s="10">
        <v>2027</v>
      </c>
      <c r="D321" s="40">
        <f>SUMIFS(Registre!$P$3:$P$15000,Registre!$A$3:$A$15000,13,Registre!$B$3:$B$15000,"novembre",Registre!$C$3:$C$15000,2027)</f>
        <v>0</v>
      </c>
    </row>
    <row r="322" spans="1:4" x14ac:dyDescent="0.25">
      <c r="A322" s="10">
        <v>14</v>
      </c>
      <c r="B322" s="10" t="s">
        <v>25</v>
      </c>
      <c r="C322" s="10">
        <v>2027</v>
      </c>
      <c r="D322" s="40">
        <f>SUMIFS(Registre!$P$3:$P$15000,Registre!$A$3:$A$15000,14,Registre!$B$3:$B$15000,"novembre",Registre!$C$3:$C$15000,2027)</f>
        <v>0</v>
      </c>
    </row>
    <row r="323" spans="1:4" x14ac:dyDescent="0.25">
      <c r="A323" s="10">
        <v>15</v>
      </c>
      <c r="B323" s="10" t="s">
        <v>25</v>
      </c>
      <c r="C323" s="10">
        <v>2027</v>
      </c>
      <c r="D323" s="40">
        <f>SUMIFS(Registre!$P$3:$P$15000,Registre!$A$3:$A$15000,15,Registre!$B$3:$B$15000,"novembre",Registre!$C$3:$C$15000,2027)</f>
        <v>0</v>
      </c>
    </row>
    <row r="324" spans="1:4" x14ac:dyDescent="0.25">
      <c r="A324" s="10">
        <v>16</v>
      </c>
      <c r="B324" s="10" t="s">
        <v>25</v>
      </c>
      <c r="C324" s="10">
        <v>2027</v>
      </c>
      <c r="D324" s="40">
        <f>SUMIFS(Registre!$P$3:$P$15000,Registre!$A$3:$A$15000,16,Registre!$B$3:$B$15000,"novembre",Registre!$C$3:$C$15000,2027)</f>
        <v>0</v>
      </c>
    </row>
    <row r="325" spans="1:4" x14ac:dyDescent="0.25">
      <c r="A325" s="10">
        <v>17</v>
      </c>
      <c r="B325" s="10" t="s">
        <v>25</v>
      </c>
      <c r="C325" s="10">
        <v>2027</v>
      </c>
      <c r="D325" s="40">
        <f>SUMIFS(Registre!$P$3:$P$15000,Registre!$A$3:$A$15000,17,Registre!$B$3:$B$15000,"novembre",Registre!$C$3:$C$15000,2027)</f>
        <v>0</v>
      </c>
    </row>
    <row r="326" spans="1:4" x14ac:dyDescent="0.25">
      <c r="A326" s="10">
        <v>18</v>
      </c>
      <c r="B326" s="10" t="s">
        <v>25</v>
      </c>
      <c r="C326" s="10">
        <v>2027</v>
      </c>
      <c r="D326" s="40">
        <f>SUMIFS(Registre!$P$3:$P$15000,Registre!$A$3:$A$15000,18,Registre!$B$3:$B$15000,"novembre",Registre!$C$3:$C$15000,2027)</f>
        <v>0</v>
      </c>
    </row>
    <row r="327" spans="1:4" x14ac:dyDescent="0.25">
      <c r="A327" s="10">
        <v>19</v>
      </c>
      <c r="B327" s="10" t="s">
        <v>25</v>
      </c>
      <c r="C327" s="10">
        <v>2027</v>
      </c>
      <c r="D327" s="40">
        <f>SUMIFS(Registre!$P$3:$P$15000,Registre!$A$3:$A$15000,19,Registre!$B$3:$B$15000,"novembre",Registre!$C$3:$C$15000,2027)</f>
        <v>0</v>
      </c>
    </row>
    <row r="328" spans="1:4" x14ac:dyDescent="0.25">
      <c r="A328" s="10">
        <v>20</v>
      </c>
      <c r="B328" s="10" t="s">
        <v>25</v>
      </c>
      <c r="C328" s="10">
        <v>2027</v>
      </c>
      <c r="D328" s="40">
        <f>SUMIFS(Registre!$P$3:$P$15000,Registre!$A$3:$A$15000,20,Registre!$B$3:$B$15000,"novembre",Registre!$C$3:$C$15000,2027)</f>
        <v>0</v>
      </c>
    </row>
    <row r="329" spans="1:4" x14ac:dyDescent="0.25">
      <c r="A329" s="10">
        <v>21</v>
      </c>
      <c r="B329" s="10" t="s">
        <v>25</v>
      </c>
      <c r="C329" s="10">
        <v>2027</v>
      </c>
      <c r="D329" s="40">
        <f>SUMIFS(Registre!$P$3:$P$15000,Registre!$A$3:$A$15000,21,Registre!$B$3:$B$15000,"novembre",Registre!$C$3:$C$15000,2027)</f>
        <v>0</v>
      </c>
    </row>
    <row r="330" spans="1:4" x14ac:dyDescent="0.25">
      <c r="A330" s="10">
        <v>22</v>
      </c>
      <c r="B330" s="10" t="s">
        <v>25</v>
      </c>
      <c r="C330" s="10">
        <v>2027</v>
      </c>
      <c r="D330" s="40">
        <f>SUMIFS(Registre!$P$3:$P$15000,Registre!$A$3:$A$15000,22,Registre!$B$3:$B$15000,"novembre",Registre!$C$3:$C$15000,2027)</f>
        <v>0</v>
      </c>
    </row>
    <row r="331" spans="1:4" x14ac:dyDescent="0.25">
      <c r="A331" s="10">
        <v>23</v>
      </c>
      <c r="B331" s="10" t="s">
        <v>25</v>
      </c>
      <c r="C331" s="10">
        <v>2027</v>
      </c>
      <c r="D331" s="40">
        <f>SUMIFS(Registre!$P$3:$P$15000,Registre!$A$3:$A$15000,23,Registre!$B$3:$B$15000,"novembre",Registre!$C$3:$C$15000,2027)</f>
        <v>0</v>
      </c>
    </row>
    <row r="332" spans="1:4" x14ac:dyDescent="0.25">
      <c r="A332" s="10">
        <v>24</v>
      </c>
      <c r="B332" s="10" t="s">
        <v>25</v>
      </c>
      <c r="C332" s="10">
        <v>2027</v>
      </c>
      <c r="D332" s="40">
        <f>SUMIFS(Registre!$P$3:$P$15000,Registre!$A$3:$A$15000,24,Registre!$B$3:$B$15000,"novembre",Registre!$C$3:$C$15000,2027)</f>
        <v>0</v>
      </c>
    </row>
    <row r="333" spans="1:4" x14ac:dyDescent="0.25">
      <c r="A333" s="10">
        <v>25</v>
      </c>
      <c r="B333" s="10" t="s">
        <v>25</v>
      </c>
      <c r="C333" s="10">
        <v>2027</v>
      </c>
      <c r="D333" s="40">
        <f>SUMIFS(Registre!$P$3:$P$15000,Registre!$A$3:$A$15000,25,Registre!$B$3:$B$15000,"novembre",Registre!$C$3:$C$15000,2027)</f>
        <v>0</v>
      </c>
    </row>
    <row r="334" spans="1:4" x14ac:dyDescent="0.25">
      <c r="A334" s="10">
        <v>26</v>
      </c>
      <c r="B334" s="10" t="s">
        <v>25</v>
      </c>
      <c r="C334" s="10">
        <v>2027</v>
      </c>
      <c r="D334" s="40">
        <f>SUMIFS(Registre!$P$3:$P$15000,Registre!$A$3:$A$15000,26,Registre!$B$3:$B$15000,"novembre",Registre!$C$3:$C$15000,2027)</f>
        <v>0</v>
      </c>
    </row>
    <row r="335" spans="1:4" x14ac:dyDescent="0.25">
      <c r="A335" s="10">
        <v>27</v>
      </c>
      <c r="B335" s="10" t="s">
        <v>25</v>
      </c>
      <c r="C335" s="10">
        <v>2027</v>
      </c>
      <c r="D335" s="40">
        <f>SUMIFS(Registre!$P$3:$P$15000,Registre!$A$3:$A$15000,27,Registre!$B$3:$B$15000,"novembre",Registre!$C$3:$C$15000,2027)</f>
        <v>0</v>
      </c>
    </row>
    <row r="336" spans="1:4" x14ac:dyDescent="0.25">
      <c r="A336" s="10">
        <v>28</v>
      </c>
      <c r="B336" s="10" t="s">
        <v>25</v>
      </c>
      <c r="C336" s="10">
        <v>2027</v>
      </c>
      <c r="D336" s="40">
        <f>SUMIFS(Registre!$P$3:$P$15000,Registre!$A$3:$A$15000,28,Registre!$B$3:$B$15000,"novembre",Registre!$C$3:$C$15000,2027)</f>
        <v>0</v>
      </c>
    </row>
    <row r="337" spans="1:4" x14ac:dyDescent="0.25">
      <c r="A337" s="10">
        <v>29</v>
      </c>
      <c r="B337" s="10" t="s">
        <v>25</v>
      </c>
      <c r="C337" s="10">
        <v>2027</v>
      </c>
      <c r="D337" s="40">
        <f>SUMIFS(Registre!$P$3:$P$15000,Registre!$A$3:$A$15000,29,Registre!$B$3:$B$15000,"novembre",Registre!$C$3:$C$15000,2027)</f>
        <v>0</v>
      </c>
    </row>
    <row r="338" spans="1:4" x14ac:dyDescent="0.25">
      <c r="A338" s="10">
        <v>30</v>
      </c>
      <c r="B338" s="10" t="s">
        <v>25</v>
      </c>
      <c r="C338" s="10">
        <v>2027</v>
      </c>
      <c r="D338" s="40">
        <f>SUMIFS(Registre!$P$3:$P$15000,Registre!$A$3:$A$15000,30,Registre!$B$3:$B$15000,"novembre",Registre!$C$3:$C$15000,2027)</f>
        <v>0</v>
      </c>
    </row>
    <row r="339" spans="1:4" x14ac:dyDescent="0.25">
      <c r="A339" s="11">
        <v>1</v>
      </c>
      <c r="B339" s="11" t="s">
        <v>26</v>
      </c>
      <c r="C339" s="11">
        <v>2027</v>
      </c>
      <c r="D339" s="41">
        <f>SUMIFS(Registre!$P$3:$P$15000,Registre!$A$3:$A$15000,1,Registre!$B$3:$B$15000,"décembre",Registre!$C$3:$C$15000,2027)</f>
        <v>0</v>
      </c>
    </row>
    <row r="340" spans="1:4" x14ac:dyDescent="0.25">
      <c r="A340" s="11">
        <v>2</v>
      </c>
      <c r="B340" s="11" t="s">
        <v>26</v>
      </c>
      <c r="C340" s="11">
        <v>2027</v>
      </c>
      <c r="D340" s="41">
        <f>SUMIFS(Registre!$P$3:$P$15000,Registre!$A$3:$A$15000,2,Registre!$B$3:$B$15000,"décembre",Registre!$C$3:$C$15000,2027)</f>
        <v>0</v>
      </c>
    </row>
    <row r="341" spans="1:4" x14ac:dyDescent="0.25">
      <c r="A341" s="11">
        <v>3</v>
      </c>
      <c r="B341" s="11" t="s">
        <v>26</v>
      </c>
      <c r="C341" s="11">
        <v>2027</v>
      </c>
      <c r="D341" s="41">
        <f>SUMIFS(Registre!$P$3:$P$15000,Registre!$A$3:$A$15000,3,Registre!$B$3:$B$15000,"décembre",Registre!$C$3:$C$15000,2027)</f>
        <v>0</v>
      </c>
    </row>
    <row r="342" spans="1:4" x14ac:dyDescent="0.25">
      <c r="A342" s="11">
        <v>4</v>
      </c>
      <c r="B342" s="11" t="s">
        <v>26</v>
      </c>
      <c r="C342" s="11">
        <v>2027</v>
      </c>
      <c r="D342" s="41">
        <f>SUMIFS(Registre!$P$3:$P$15000,Registre!$A$3:$A$15000,4,Registre!$B$3:$B$15000,"décembre",Registre!$C$3:$C$15000,2027)</f>
        <v>0</v>
      </c>
    </row>
    <row r="343" spans="1:4" x14ac:dyDescent="0.25">
      <c r="A343" s="11">
        <v>5</v>
      </c>
      <c r="B343" s="11" t="s">
        <v>26</v>
      </c>
      <c r="C343" s="11">
        <v>2027</v>
      </c>
      <c r="D343" s="41">
        <f>SUMIFS(Registre!$P$3:$P$15000,Registre!$A$3:$A$15000,5,Registre!$B$3:$B$15000,"décembre",Registre!$C$3:$C$15000,2027)</f>
        <v>0</v>
      </c>
    </row>
    <row r="344" spans="1:4" x14ac:dyDescent="0.25">
      <c r="A344" s="11">
        <v>6</v>
      </c>
      <c r="B344" s="11" t="s">
        <v>26</v>
      </c>
      <c r="C344" s="11">
        <v>2027</v>
      </c>
      <c r="D344" s="41">
        <f>SUMIFS(Registre!$P$3:$P$15000,Registre!$A$3:$A$15000,6,Registre!$B$3:$B$15000,"décembre",Registre!$C$3:$C$15000,2027)</f>
        <v>0</v>
      </c>
    </row>
    <row r="345" spans="1:4" x14ac:dyDescent="0.25">
      <c r="A345" s="11">
        <v>7</v>
      </c>
      <c r="B345" s="11" t="s">
        <v>26</v>
      </c>
      <c r="C345" s="11">
        <v>2027</v>
      </c>
      <c r="D345" s="41">
        <f>SUMIFS(Registre!$P$3:$P$15000,Registre!$A$3:$A$15000,7,Registre!$B$3:$B$15000,"décembre",Registre!$C$3:$C$15000,2027)</f>
        <v>0</v>
      </c>
    </row>
    <row r="346" spans="1:4" x14ac:dyDescent="0.25">
      <c r="A346" s="11">
        <v>8</v>
      </c>
      <c r="B346" s="11" t="s">
        <v>26</v>
      </c>
      <c r="C346" s="11">
        <v>2027</v>
      </c>
      <c r="D346" s="41">
        <f>SUMIFS(Registre!$P$3:$P$15000,Registre!$A$3:$A$15000,8,Registre!$B$3:$B$15000,"décembre",Registre!$C$3:$C$15000,2027)</f>
        <v>0</v>
      </c>
    </row>
    <row r="347" spans="1:4" x14ac:dyDescent="0.25">
      <c r="A347" s="11">
        <v>9</v>
      </c>
      <c r="B347" s="11" t="s">
        <v>26</v>
      </c>
      <c r="C347" s="11">
        <v>2027</v>
      </c>
      <c r="D347" s="41">
        <f>SUMIFS(Registre!$P$3:$P$15000,Registre!$A$3:$A$15000,9,Registre!$B$3:$B$15000,"décembre",Registre!$C$3:$C$15000,2027)</f>
        <v>0</v>
      </c>
    </row>
    <row r="348" spans="1:4" x14ac:dyDescent="0.25">
      <c r="A348" s="11">
        <v>10</v>
      </c>
      <c r="B348" s="11" t="s">
        <v>26</v>
      </c>
      <c r="C348" s="11">
        <v>2027</v>
      </c>
      <c r="D348" s="41">
        <f>SUMIFS(Registre!$P$3:$P$15000,Registre!$A$3:$A$15000,10,Registre!$B$3:$B$15000,"décembre",Registre!$C$3:$C$15000,2027)</f>
        <v>0</v>
      </c>
    </row>
    <row r="349" spans="1:4" x14ac:dyDescent="0.25">
      <c r="A349" s="11">
        <v>11</v>
      </c>
      <c r="B349" s="11" t="s">
        <v>26</v>
      </c>
      <c r="C349" s="11">
        <v>2027</v>
      </c>
      <c r="D349" s="41">
        <f>SUMIFS(Registre!$P$3:$P$15000,Registre!$A$3:$A$15000,11,Registre!$B$3:$B$15000,"décembre",Registre!$C$3:$C$15000,2027)</f>
        <v>0</v>
      </c>
    </row>
    <row r="350" spans="1:4" x14ac:dyDescent="0.25">
      <c r="A350" s="11">
        <v>12</v>
      </c>
      <c r="B350" s="11" t="s">
        <v>26</v>
      </c>
      <c r="C350" s="11">
        <v>2027</v>
      </c>
      <c r="D350" s="41">
        <f>SUMIFS(Registre!$P$3:$P$15000,Registre!$A$3:$A$15000,12,Registre!$B$3:$B$15000,"décembre",Registre!$C$3:$C$15000,2027)</f>
        <v>0</v>
      </c>
    </row>
    <row r="351" spans="1:4" x14ac:dyDescent="0.25">
      <c r="A351" s="11">
        <v>13</v>
      </c>
      <c r="B351" s="11" t="s">
        <v>26</v>
      </c>
      <c r="C351" s="11">
        <v>2027</v>
      </c>
      <c r="D351" s="41">
        <f>SUMIFS(Registre!$P$3:$P$15000,Registre!$A$3:$A$15000,13,Registre!$B$3:$B$15000,"décembre",Registre!$C$3:$C$15000,2027)</f>
        <v>0</v>
      </c>
    </row>
    <row r="352" spans="1:4" x14ac:dyDescent="0.25">
      <c r="A352" s="11">
        <v>14</v>
      </c>
      <c r="B352" s="11" t="s">
        <v>26</v>
      </c>
      <c r="C352" s="11">
        <v>2027</v>
      </c>
      <c r="D352" s="41">
        <f>SUMIFS(Registre!$P$3:$P$15000,Registre!$A$3:$A$15000,14,Registre!$B$3:$B$15000,"décembre",Registre!$C$3:$C$15000,2027)</f>
        <v>0</v>
      </c>
    </row>
    <row r="353" spans="1:4" x14ac:dyDescent="0.25">
      <c r="A353" s="11">
        <v>15</v>
      </c>
      <c r="B353" s="11" t="s">
        <v>26</v>
      </c>
      <c r="C353" s="11">
        <v>2027</v>
      </c>
      <c r="D353" s="41">
        <f>SUMIFS(Registre!$P$3:$P$15000,Registre!$A$3:$A$15000,15,Registre!$B$3:$B$15000,"décembre",Registre!$C$3:$C$15000,2027)</f>
        <v>0</v>
      </c>
    </row>
    <row r="354" spans="1:4" x14ac:dyDescent="0.25">
      <c r="A354" s="11">
        <v>16</v>
      </c>
      <c r="B354" s="11" t="s">
        <v>26</v>
      </c>
      <c r="C354" s="11">
        <v>2027</v>
      </c>
      <c r="D354" s="41">
        <f>SUMIFS(Registre!$P$3:$P$15000,Registre!$A$3:$A$15000,16,Registre!$B$3:$B$15000,"décembre",Registre!$C$3:$C$15000,2027)</f>
        <v>0</v>
      </c>
    </row>
    <row r="355" spans="1:4" x14ac:dyDescent="0.25">
      <c r="A355" s="11">
        <v>17</v>
      </c>
      <c r="B355" s="11" t="s">
        <v>26</v>
      </c>
      <c r="C355" s="11">
        <v>2027</v>
      </c>
      <c r="D355" s="41">
        <f>SUMIFS(Registre!$P$3:$P$15000,Registre!$A$3:$A$15000,17,Registre!$B$3:$B$15000,"décembre",Registre!$C$3:$C$15000,2027)</f>
        <v>0</v>
      </c>
    </row>
    <row r="356" spans="1:4" x14ac:dyDescent="0.25">
      <c r="A356" s="11">
        <v>18</v>
      </c>
      <c r="B356" s="11" t="s">
        <v>26</v>
      </c>
      <c r="C356" s="11">
        <v>2027</v>
      </c>
      <c r="D356" s="41">
        <f>SUMIFS(Registre!$P$3:$P$15000,Registre!$A$3:$A$15000,18,Registre!$B$3:$B$15000,"décembre",Registre!$C$3:$C$15000,2027)</f>
        <v>0</v>
      </c>
    </row>
    <row r="357" spans="1:4" x14ac:dyDescent="0.25">
      <c r="A357" s="11">
        <v>19</v>
      </c>
      <c r="B357" s="11" t="s">
        <v>26</v>
      </c>
      <c r="C357" s="11">
        <v>2027</v>
      </c>
      <c r="D357" s="41">
        <f>SUMIFS(Registre!$P$3:$P$15000,Registre!$A$3:$A$15000,19,Registre!$B$3:$B$15000,"décembre",Registre!$C$3:$C$15000,2027)</f>
        <v>0</v>
      </c>
    </row>
    <row r="358" spans="1:4" x14ac:dyDescent="0.25">
      <c r="A358" s="11">
        <v>20</v>
      </c>
      <c r="B358" s="11" t="s">
        <v>26</v>
      </c>
      <c r="C358" s="11">
        <v>2027</v>
      </c>
      <c r="D358" s="41">
        <f>SUMIFS(Registre!$P$3:$P$15000,Registre!$A$3:$A$15000,20,Registre!$B$3:$B$15000,"décembre",Registre!$C$3:$C$15000,2027)</f>
        <v>0</v>
      </c>
    </row>
    <row r="359" spans="1:4" x14ac:dyDescent="0.25">
      <c r="A359" s="11">
        <v>21</v>
      </c>
      <c r="B359" s="11" t="s">
        <v>26</v>
      </c>
      <c r="C359" s="11">
        <v>2027</v>
      </c>
      <c r="D359" s="41">
        <f>SUMIFS(Registre!$P$3:$P$15000,Registre!$A$3:$A$15000,21,Registre!$B$3:$B$15000,"décembre",Registre!$C$3:$C$15000,2027)</f>
        <v>0</v>
      </c>
    </row>
    <row r="360" spans="1:4" x14ac:dyDescent="0.25">
      <c r="A360" s="11">
        <v>22</v>
      </c>
      <c r="B360" s="11" t="s">
        <v>26</v>
      </c>
      <c r="C360" s="11">
        <v>2027</v>
      </c>
      <c r="D360" s="41">
        <f>SUMIFS(Registre!$P$3:$P$15000,Registre!$A$3:$A$15000,22,Registre!$B$3:$B$15000,"décembre",Registre!$C$3:$C$15000,2027)</f>
        <v>0</v>
      </c>
    </row>
    <row r="361" spans="1:4" x14ac:dyDescent="0.25">
      <c r="A361" s="11">
        <v>23</v>
      </c>
      <c r="B361" s="11" t="s">
        <v>26</v>
      </c>
      <c r="C361" s="11">
        <v>2027</v>
      </c>
      <c r="D361" s="41">
        <f>SUMIFS(Registre!$P$3:$P$15000,Registre!$A$3:$A$15000,23,Registre!$B$3:$B$15000,"décembre",Registre!$C$3:$C$15000,2027)</f>
        <v>0</v>
      </c>
    </row>
    <row r="362" spans="1:4" x14ac:dyDescent="0.25">
      <c r="A362" s="11">
        <v>24</v>
      </c>
      <c r="B362" s="11" t="s">
        <v>26</v>
      </c>
      <c r="C362" s="11">
        <v>2027</v>
      </c>
      <c r="D362" s="41">
        <f>SUMIFS(Registre!$P$3:$P$15000,Registre!$A$3:$A$15000,24,Registre!$B$3:$B$15000,"décembre",Registre!$C$3:$C$15000,2027)</f>
        <v>0</v>
      </c>
    </row>
    <row r="363" spans="1:4" x14ac:dyDescent="0.25">
      <c r="A363" s="11">
        <v>25</v>
      </c>
      <c r="B363" s="11" t="s">
        <v>26</v>
      </c>
      <c r="C363" s="11">
        <v>2027</v>
      </c>
      <c r="D363" s="41">
        <f>SUMIFS(Registre!$P$3:$P$15000,Registre!$A$3:$A$15000,25,Registre!$B$3:$B$15000,"décembre",Registre!$C$3:$C$15000,2027)</f>
        <v>0</v>
      </c>
    </row>
    <row r="364" spans="1:4" x14ac:dyDescent="0.25">
      <c r="A364" s="11">
        <v>26</v>
      </c>
      <c r="B364" s="11" t="s">
        <v>26</v>
      </c>
      <c r="C364" s="11">
        <v>2027</v>
      </c>
      <c r="D364" s="41">
        <f>SUMIFS(Registre!$P$3:$P$15000,Registre!$A$3:$A$15000,26,Registre!$B$3:$B$15000,"décembre",Registre!$C$3:$C$15000,2027)</f>
        <v>0</v>
      </c>
    </row>
    <row r="365" spans="1:4" x14ac:dyDescent="0.25">
      <c r="A365" s="11">
        <v>27</v>
      </c>
      <c r="B365" s="11" t="s">
        <v>26</v>
      </c>
      <c r="C365" s="11">
        <v>2027</v>
      </c>
      <c r="D365" s="41">
        <f>SUMIFS(Registre!$P$3:$P$15000,Registre!$A$3:$A$15000,27,Registre!$B$3:$B$15000,"décembre",Registre!$C$3:$C$15000,2027)</f>
        <v>0</v>
      </c>
    </row>
    <row r="366" spans="1:4" x14ac:dyDescent="0.25">
      <c r="A366" s="11">
        <v>28</v>
      </c>
      <c r="B366" s="11" t="s">
        <v>26</v>
      </c>
      <c r="C366" s="11">
        <v>2027</v>
      </c>
      <c r="D366" s="41">
        <f>SUMIFS(Registre!$P$3:$P$15000,Registre!$A$3:$A$15000,28,Registre!$B$3:$B$15000,"décembre",Registre!$C$3:$C$15000,2027)</f>
        <v>0</v>
      </c>
    </row>
    <row r="367" spans="1:4" x14ac:dyDescent="0.25">
      <c r="A367" s="11">
        <v>29</v>
      </c>
      <c r="B367" s="11" t="s">
        <v>26</v>
      </c>
      <c r="C367" s="11">
        <v>2027</v>
      </c>
      <c r="D367" s="41">
        <f>SUMIFS(Registre!$P$3:$P$15000,Registre!$A$3:$A$15000,29,Registre!$B$3:$B$15000,"décembre",Registre!$C$3:$C$15000,2027)</f>
        <v>0</v>
      </c>
    </row>
    <row r="368" spans="1:4" x14ac:dyDescent="0.25">
      <c r="A368" s="11">
        <v>30</v>
      </c>
      <c r="B368" s="11" t="s">
        <v>26</v>
      </c>
      <c r="C368" s="11">
        <v>2027</v>
      </c>
      <c r="D368" s="41">
        <f>SUMIFS(Registre!$P$3:$P$15000,Registre!$A$3:$A$15000,30,Registre!$B$3:$B$15000,"décembre",Registre!$C$3:$C$15000,2027)</f>
        <v>0</v>
      </c>
    </row>
    <row r="369" spans="1:4" x14ac:dyDescent="0.25">
      <c r="A369" s="11">
        <v>31</v>
      </c>
      <c r="B369" s="11" t="s">
        <v>26</v>
      </c>
      <c r="C369" s="11">
        <v>2027</v>
      </c>
      <c r="D369" s="41">
        <f>SUMIFS(Registre!$P$3:$P$15000,Registre!$A$3:$A$15000,31,Registre!$B$3:$B$15000,"décembre",Registre!$C$3:$C$15000,2027)</f>
        <v>0</v>
      </c>
    </row>
  </sheetData>
  <sheetProtection algorithmName="SHA-512" hashValue="/OkIf1ggnNXTr2UC3+2e2memR7edQp2eGFKPONDJEQ4koepOnGowTm5cwz/zzvcmrKS2z7N2sTUYyDj/jx8HhQ==" saltValue="RKL+kUZKM4edz6sK7qRTMg==" spinCount="100000" sheet="1" objects="1" scenarios="1"/>
  <mergeCells count="7">
    <mergeCell ref="A2:D2"/>
    <mergeCell ref="F2:S2"/>
    <mergeCell ref="A3:C3"/>
    <mergeCell ref="D3:D4"/>
    <mergeCell ref="F3:F4"/>
    <mergeCell ref="G3:G4"/>
    <mergeCell ref="H3:S3"/>
  </mergeCells>
  <conditionalFormatting sqref="D5:D369">
    <cfRule type="expression" dxfId="23" priority="6">
      <formula>D5&gt;15</formula>
    </cfRule>
  </conditionalFormatting>
  <conditionalFormatting sqref="D36:D63">
    <cfRule type="expression" dxfId="22" priority="5">
      <formula>"ET($D$5:$D$35&gt;15;$H5&gt;$G$5"</formula>
    </cfRule>
  </conditionalFormatting>
  <conditionalFormatting sqref="H5:S13">
    <cfRule type="expression" dxfId="21" priority="1">
      <formula>AND(COUNTIFS($B:$B,H$4,$D:$D,"&gt;15")&gt;0,$G5&lt;H5,ISNUMBER(H5))</formula>
    </cfRule>
  </conditionalFormatting>
  <conditionalFormatting sqref="I5:I13">
    <cfRule type="expression" dxfId="20" priority="2">
      <formula>AND($D$36:$D$63&gt;15,$I5&gt;$G5)</formula>
    </cfRule>
  </conditionalFormatting>
  <conditionalFormatting sqref="J5:J13">
    <cfRule type="expression" dxfId="19" priority="4">
      <formula>"ET($D$64:$D$94&gt;15;$J$5&gt;$G$5)"</formula>
    </cfRule>
  </conditionalFormatting>
  <conditionalFormatting sqref="K5:K13">
    <cfRule type="expression" dxfId="18" priority="3">
      <formula>AND($D$95:$D$124&gt;15,$K$5&gt;$G$5)</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29DA0-5C92-46D9-958C-5D4288C58BE1}">
  <dimension ref="A1:S370"/>
  <sheetViews>
    <sheetView workbookViewId="0">
      <selection activeCell="D5" sqref="D5:D370"/>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50</v>
      </c>
      <c r="B2" s="57"/>
      <c r="C2" s="57"/>
      <c r="D2" s="58"/>
      <c r="F2" s="59" t="s">
        <v>66</v>
      </c>
      <c r="G2" s="60"/>
      <c r="H2" s="60"/>
      <c r="I2" s="60"/>
      <c r="J2" s="60"/>
      <c r="K2" s="60"/>
      <c r="L2" s="60"/>
      <c r="M2" s="60"/>
      <c r="N2" s="60"/>
      <c r="O2" s="60"/>
      <c r="P2" s="60"/>
      <c r="Q2" s="60"/>
      <c r="R2" s="60"/>
      <c r="S2" s="61"/>
    </row>
    <row r="3" spans="1:19" x14ac:dyDescent="0.25">
      <c r="A3" s="62" t="s">
        <v>1</v>
      </c>
      <c r="B3" s="63"/>
      <c r="C3" s="63"/>
      <c r="D3" s="64" t="s">
        <v>5</v>
      </c>
      <c r="F3" s="66" t="s">
        <v>29</v>
      </c>
      <c r="G3" s="68" t="s">
        <v>34</v>
      </c>
      <c r="H3" s="70" t="s">
        <v>30</v>
      </c>
      <c r="I3" s="70"/>
      <c r="J3" s="70"/>
      <c r="K3" s="70"/>
      <c r="L3" s="70"/>
      <c r="M3" s="70"/>
      <c r="N3" s="70"/>
      <c r="O3" s="70"/>
      <c r="P3" s="70"/>
      <c r="Q3" s="70"/>
      <c r="R3" s="70"/>
      <c r="S3" s="71"/>
    </row>
    <row r="4" spans="1:19" ht="47.25" customHeight="1" thickBot="1" x14ac:dyDescent="0.3">
      <c r="A4" s="29"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30" t="s">
        <v>26</v>
      </c>
    </row>
    <row r="5" spans="1:19" x14ac:dyDescent="0.25">
      <c r="A5" s="15">
        <v>1</v>
      </c>
      <c r="B5" s="15" t="s">
        <v>15</v>
      </c>
      <c r="C5" s="15">
        <v>2028</v>
      </c>
      <c r="D5" s="39">
        <f>SUMIFS(Registre!$P$3:$P$15000,Registre!$A$3:$A$15000,1,Registre!$B$3:$B$15000,"janvier",Registre!$C$3:$C$15000,2028)</f>
        <v>0</v>
      </c>
      <c r="F5" s="27" t="s">
        <v>37</v>
      </c>
      <c r="G5" s="21">
        <v>730</v>
      </c>
      <c r="H5" s="35" t="str">
        <f>IFERROR(SUMIFS(Registre!$V$3:$V$15000,Registre!$B$3:$B$15000,"janvier",Registre!$R$3:$R$15000,$F5,Registre!$C$3:$C$15000,2028)/SUMIFS(Registre!$W$3:$W$15000,Registre!$B$3:$B$15000,"janvier",Registre!$R$3:$R$15000,$F5,Registre!$C$3:$C$15000,2028),"0")</f>
        <v>0</v>
      </c>
      <c r="I5" s="35" t="str">
        <f>IFERROR(SUMIFS(Registre!$V$3:$V$15000,Registre!$B$3:$B$15000,"février",Registre!$R$3:$R$15000,$F5,Registre!$C$3:$C$15000,2028)/SUMIFS(Registre!$W$3:$W$15000,Registre!$B$3:$B$15000,"février",Registre!$R$3:$R$15000,$F5,Registre!$C$3:$C$15000,2028),"0")</f>
        <v>0</v>
      </c>
      <c r="J5" s="35" t="str">
        <f>IFERROR(SUMIFS(Registre!$V$3:$V$15000,Registre!$B$3:$B$15000,"mars",Registre!$R$3:$R$15000,$F5,Registre!$C$3:$C$15000,2028)/SUMIFS(Registre!$W$3:$W$15000,Registre!$B$3:$B$15000,"mars",Registre!$R$3:$R$15000,$F5,Registre!$C$3:$C$15000,2028),"0")</f>
        <v>0</v>
      </c>
      <c r="K5" s="35" t="str">
        <f>IFERROR(SUMIFS(Registre!$V$3:$V$15000,Registre!$B$3:$B$15000,"avril",Registre!$R$3:$R$15000,$F5,Registre!$C$3:$C$15000,2028)/SUMIFS(Registre!$W$3:$W$15000,Registre!$B$3:$B$15000,"avril",Registre!$R$3:$R$15000,$F5,Registre!$C$3:$C$15000,2028),"0")</f>
        <v>0</v>
      </c>
      <c r="L5" s="35" t="str">
        <f>IFERROR(SUMIFS(Registre!$V$3:$V$15000,Registre!$B$3:$B$15000,"mai",Registre!$R$3:$R$15000,$F5,Registre!$C$3:$C$15000,2028)/SUMIFS(Registre!$W$3:$W$15000,Registre!$B$3:$B$15000,"mai",Registre!$R$3:$R$15000,$F5,Registre!$C$3:$C$15000,2028),"0")</f>
        <v>0</v>
      </c>
      <c r="M5" s="35" t="str">
        <f>IFERROR(SUMIFS(Registre!$V$3:$V$15000,Registre!$B$3:$B$15000,"juin",Registre!$R$3:$R$15000,$F5,Registre!$C$3:$C$15000,2028)/SUMIFS(Registre!$W$3:$W$15000,Registre!$B$3:$B$15000,"juin",Registre!$R$3:$R$15000,$F5,Registre!$C$3:$C$15000,2028),"0")</f>
        <v>0</v>
      </c>
      <c r="N5" s="35" t="str">
        <f>IFERROR(SUMIFS(Registre!$V$3:$V$15000,Registre!$B$3:$B$15000,"juillet",Registre!$R$3:$R$15000,$F5,Registre!$C$3:$C$15000,2028)/SUMIFS(Registre!$W$3:$W$15000,Registre!$B$3:$B$15000,"juillet",Registre!$R$3:$R$15000,$F5,Registre!$C$3:$C$15000,2028),"0")</f>
        <v>0</v>
      </c>
      <c r="O5" s="35" t="str">
        <f>IFERROR(SUMIFS(Registre!$V$3:$V$15000,Registre!$B$3:$B$15000,"août",Registre!$R$3:$R$15000,$F5,Registre!$C$3:$C$15000,2028)/SUMIFS(Registre!$W$3:$W$15000,Registre!$B$3:$B$15000,"août",Registre!$R$3:$R$15000,$F5,Registre!$C$3:$C$15000,2028),"0")</f>
        <v>0</v>
      </c>
      <c r="P5" s="35" t="str">
        <f>IFERROR(SUMIFS(Registre!$V$3:$V$15000,Registre!$B$3:$B$15000,"septembre",Registre!$R$3:$R$15000,$F5,Registre!$C$3:$C$15000,2028)/SUMIFS(Registre!$W$3:$W$15000,Registre!$B$3:$B$15000,"septembre",Registre!$R$3:$R$15000,$F5,Registre!$C$3:$C$15000,2028),"0")</f>
        <v>0</v>
      </c>
      <c r="Q5" s="35" t="str">
        <f>IFERROR(SUMIFS(Registre!$V$3:$V$15000,Registre!$B$3:$B$15000,"octobre",Registre!$R$3:$R$15000,$F5,Registre!$C$3:$C$15000,2028)/SUMIFS(Registre!$W$3:$W$15000,Registre!$B$3:$B$15000,"octobre",Registre!$R$3:$R$15000,$F5,Registre!$C$3:$C$15000,2028),"0")</f>
        <v>0</v>
      </c>
      <c r="R5" s="35" t="str">
        <f>IFERROR(SUMIFS(Registre!$V$3:$V$15000,Registre!$B$3:$B$15000,"novembre",Registre!$R$3:$R$15000,$F5,Registre!$C$3:$C$15000,2028)/SUMIFS(Registre!$W$3:$W$15000,Registre!$B$3:$B$15000,"novembre",Registre!$R$3:$R$15000,$F5,Registre!$C$3:$C$15000,2028),"0")</f>
        <v>0</v>
      </c>
      <c r="S5" s="36" t="str">
        <f>IFERROR(SUMIFS(Registre!$V$3:$V$15000,Registre!$B$3:$B$15000,"décembre",Registre!$R$3:$R$15000,$F5,Registre!$C$3:$C$15000,2028)/SUMIFS(Registre!$W$3:$W$15000,Registre!$B$3:$B$15000,"décembre",Registre!$R$3:$R$15000,$F5,Registre!$C$3:$C$15000,2028),"0")</f>
        <v>0</v>
      </c>
    </row>
    <row r="6" spans="1:19" x14ac:dyDescent="0.25">
      <c r="A6" s="10">
        <v>2</v>
      </c>
      <c r="B6" s="15" t="s">
        <v>15</v>
      </c>
      <c r="C6" s="10">
        <v>2028</v>
      </c>
      <c r="D6" s="40">
        <f>SUMIFS(Registre!$P$3:$P$15000,Registre!$A$3:$A$15000,2,Registre!$B$3:$B$15000,"janvier",Registre!$C$3:$C$15000,2028)</f>
        <v>0</v>
      </c>
      <c r="F6" s="25" t="s">
        <v>38</v>
      </c>
      <c r="G6" s="22">
        <v>760</v>
      </c>
      <c r="H6" s="35" t="str">
        <f>IFERROR(SUMIFS(Registre!$V$3:$V$15000,Registre!$B$3:$B$15000,"janvier",Registre!$R$3:$R$15000,$F6,Registre!$C$3:$C$15000,2028)/SUMIFS(Registre!$W$3:$W$15000,Registre!$B$3:$B$15000,"janvier",Registre!$R$3:$R$15000,$F6,Registre!$C$3:$C$15000,2028),"0")</f>
        <v>0</v>
      </c>
      <c r="I6" s="35" t="str">
        <f>IFERROR(SUMIFS(Registre!$V$3:$V$15000,Registre!$B$3:$B$15000,"février",Registre!$R$3:$R$15000,$F6,Registre!$C$3:$C$15000,2028)/SUMIFS(Registre!$W$3:$W$15000,Registre!$B$3:$B$15000,"février",Registre!$R$3:$R$15000,$F6,Registre!$C$3:$C$15000,2028),"0")</f>
        <v>0</v>
      </c>
      <c r="J6" s="35" t="str">
        <f>IFERROR(SUMIFS(Registre!$V$3:$V$15000,Registre!$B$3:$B$15000,"mars",Registre!$R$3:$R$15000,$F6,Registre!$C$3:$C$15000,2028)/SUMIFS(Registre!$W$3:$W$15000,Registre!$B$3:$B$15000,"mars",Registre!$R$3:$R$15000,$F6,Registre!$C$3:$C$15000,2028),"0")</f>
        <v>0</v>
      </c>
      <c r="K6" s="35" t="str">
        <f>IFERROR(SUMIFS(Registre!$V$3:$V$15000,Registre!$B$3:$B$15000,"avril",Registre!$R$3:$R$15000,$F6,Registre!$C$3:$C$15000,2028)/SUMIFS(Registre!$W$3:$W$15000,Registre!$B$3:$B$15000,"avril",Registre!$R$3:$R$15000,$F6,Registre!$C$3:$C$15000,2028),"0")</f>
        <v>0</v>
      </c>
      <c r="L6" s="35" t="str">
        <f>IFERROR(SUMIFS(Registre!$V$3:$V$15000,Registre!$B$3:$B$15000,"mai",Registre!$R$3:$R$15000,$F6,Registre!$C$3:$C$15000,2028)/SUMIFS(Registre!$W$3:$W$15000,Registre!$B$3:$B$15000,"mai",Registre!$R$3:$R$15000,$F6,Registre!$C$3:$C$15000,2028),"0")</f>
        <v>0</v>
      </c>
      <c r="M6" s="35" t="str">
        <f>IFERROR(SUMIFS(Registre!$V$3:$V$15000,Registre!$B$3:$B$15000,"juin",Registre!$R$3:$R$15000,$F6,Registre!$C$3:$C$15000,2028)/SUMIFS(Registre!$W$3:$W$15000,Registre!$B$3:$B$15000,"juin",Registre!$R$3:$R$15000,$F6,Registre!$C$3:$C$15000,2028),"0")</f>
        <v>0</v>
      </c>
      <c r="N6" s="35" t="str">
        <f>IFERROR(SUMIFS(Registre!$V$3:$V$15000,Registre!$B$3:$B$15000,"juillet",Registre!$R$3:$R$15000,$F6,Registre!$C$3:$C$15000,2028)/SUMIFS(Registre!$W$3:$W$15000,Registre!$B$3:$B$15000,"juillet",Registre!$R$3:$R$15000,$F6,Registre!$C$3:$C$15000,2028),"0")</f>
        <v>0</v>
      </c>
      <c r="O6" s="35" t="str">
        <f>IFERROR(SUMIFS(Registre!$V$3:$V$15000,Registre!$B$3:$B$15000,"août",Registre!$R$3:$R$15000,$F6,Registre!$C$3:$C$15000,2028)/SUMIFS(Registre!$W$3:$W$15000,Registre!$B$3:$B$15000,"août",Registre!$R$3:$R$15000,$F6,Registre!$C$3:$C$15000,2028),"0")</f>
        <v>0</v>
      </c>
      <c r="P6" s="35" t="str">
        <f>IFERROR(SUMIFS(Registre!$V$3:$V$15000,Registre!$B$3:$B$15000,"septembre",Registre!$R$3:$R$15000,$F6,Registre!$C$3:$C$15000,2028)/SUMIFS(Registre!$W$3:$W$15000,Registre!$B$3:$B$15000,"septembre",Registre!$R$3:$R$15000,$F6,Registre!$C$3:$C$15000,2028),"0")</f>
        <v>0</v>
      </c>
      <c r="Q6" s="35" t="str">
        <f>IFERROR(SUMIFS(Registre!$V$3:$V$15000,Registre!$B$3:$B$15000,"octobre",Registre!$R$3:$R$15000,$F6,Registre!$C$3:$C$15000,2028)/SUMIFS(Registre!$W$3:$W$15000,Registre!$B$3:$B$15000,"octobre",Registre!$R$3:$R$15000,$F6,Registre!$C$3:$C$15000,2028),"0")</f>
        <v>0</v>
      </c>
      <c r="R6" s="35" t="str">
        <f>IFERROR(SUMIFS(Registre!$V$3:$V$15000,Registre!$B$3:$B$15000,"novembre",Registre!$R$3:$R$15000,$F6,Registre!$C$3:$C$15000,2028)/SUMIFS(Registre!$W$3:$W$15000,Registre!$B$3:$B$15000,"novembre",Registre!$R$3:$R$15000,$F6,Registre!$C$3:$C$15000,2028),"0")</f>
        <v>0</v>
      </c>
      <c r="S6" s="36" t="str">
        <f>IFERROR(SUMIFS(Registre!$V$3:$V$15000,Registre!$B$3:$B$15000,"décembre",Registre!$R$3:$R$15000,$F6,Registre!$C$3:$C$15000,2028)/SUMIFS(Registre!$W$3:$W$15000,Registre!$B$3:$B$15000,"décembre",Registre!$R$3:$R$15000,$F6,Registre!$C$3:$C$15000,2028),"0")</f>
        <v>0</v>
      </c>
    </row>
    <row r="7" spans="1:19" x14ac:dyDescent="0.25">
      <c r="A7" s="10">
        <v>3</v>
      </c>
      <c r="B7" s="15" t="s">
        <v>15</v>
      </c>
      <c r="C7" s="10">
        <v>2028</v>
      </c>
      <c r="D7" s="40">
        <f>SUMIFS(Registre!$P$3:$P$15000,Registre!$A$3:$A$15000,3,Registre!$B$3:$B$15000,"janvier",Registre!$C$3:$C$15000,2028)</f>
        <v>0</v>
      </c>
      <c r="F7" s="25" t="s">
        <v>39</v>
      </c>
      <c r="G7" s="22">
        <v>780</v>
      </c>
      <c r="H7" s="35" t="str">
        <f>IFERROR(SUMIFS(Registre!$V$3:$V$15000,Registre!$B$3:$B$15000,"janvier",Registre!$R$3:$R$15000,$F7,Registre!$C$3:$C$15000,2028)/SUMIFS(Registre!$W$3:$W$15000,Registre!$B$3:$B$15000,"janvier",Registre!$R$3:$R$15000,$F7,Registre!$C$3:$C$15000,2028),"0")</f>
        <v>0</v>
      </c>
      <c r="I7" s="35" t="str">
        <f>IFERROR(SUMIFS(Registre!$V$3:$V$15000,Registre!$B$3:$B$15000,"février",Registre!$R$3:$R$15000,$F7,Registre!$C$3:$C$15000,2028)/SUMIFS(Registre!$W$3:$W$15000,Registre!$B$3:$B$15000,"février",Registre!$R$3:$R$15000,$F7,Registre!$C$3:$C$15000,2028),"0")</f>
        <v>0</v>
      </c>
      <c r="J7" s="35" t="str">
        <f>IFERROR(SUMIFS(Registre!$V$3:$V$15000,Registre!$B$3:$B$15000,"mars",Registre!$R$3:$R$15000,$F7,Registre!$C$3:$C$15000,2028)/SUMIFS(Registre!$W$3:$W$15000,Registre!$B$3:$B$15000,"mars",Registre!$R$3:$R$15000,$F7,Registre!$C$3:$C$15000,2028),"0")</f>
        <v>0</v>
      </c>
      <c r="K7" s="35" t="str">
        <f>IFERROR(SUMIFS(Registre!$V$3:$V$15000,Registre!$B$3:$B$15000,"avril",Registre!$R$3:$R$15000,$F7,Registre!$C$3:$C$15000,2028)/SUMIFS(Registre!$W$3:$W$15000,Registre!$B$3:$B$15000,"avril",Registre!$R$3:$R$15000,$F7,Registre!$C$3:$C$15000,2028),"0")</f>
        <v>0</v>
      </c>
      <c r="L7" s="35" t="str">
        <f>IFERROR(SUMIFS(Registre!$V$3:$V$15000,Registre!$B$3:$B$15000,"mai",Registre!$R$3:$R$15000,$F7,Registre!$C$3:$C$15000,2028)/SUMIFS(Registre!$W$3:$W$15000,Registre!$B$3:$B$15000,"mai",Registre!$R$3:$R$15000,$F7,Registre!$C$3:$C$15000,2028),"0")</f>
        <v>0</v>
      </c>
      <c r="M7" s="35" t="str">
        <f>IFERROR(SUMIFS(Registre!$V$3:$V$15000,Registre!$B$3:$B$15000,"juin",Registre!$R$3:$R$15000,$F7,Registre!$C$3:$C$15000,2028)/SUMIFS(Registre!$W$3:$W$15000,Registre!$B$3:$B$15000,"juin",Registre!$R$3:$R$15000,$F7,Registre!$C$3:$C$15000,2028),"0")</f>
        <v>0</v>
      </c>
      <c r="N7" s="35" t="str">
        <f>IFERROR(SUMIFS(Registre!$V$3:$V$15000,Registre!$B$3:$B$15000,"juillet",Registre!$R$3:$R$15000,$F7,Registre!$C$3:$C$15000,2028)/SUMIFS(Registre!$W$3:$W$15000,Registre!$B$3:$B$15000,"juillet",Registre!$R$3:$R$15000,$F7,Registre!$C$3:$C$15000,2028),"0")</f>
        <v>0</v>
      </c>
      <c r="O7" s="35" t="str">
        <f>IFERROR(SUMIFS(Registre!$V$3:$V$15000,Registre!$B$3:$B$15000,"août",Registre!$R$3:$R$15000,$F7,Registre!$C$3:$C$15000,2028)/SUMIFS(Registre!$W$3:$W$15000,Registre!$B$3:$B$15000,"août",Registre!$R$3:$R$15000,$F7,Registre!$C$3:$C$15000,2028),"0")</f>
        <v>0</v>
      </c>
      <c r="P7" s="35" t="str">
        <f>IFERROR(SUMIFS(Registre!$V$3:$V$15000,Registre!$B$3:$B$15000,"septembre",Registre!$R$3:$R$15000,$F7,Registre!$C$3:$C$15000,2028)/SUMIFS(Registre!$W$3:$W$15000,Registre!$B$3:$B$15000,"septembre",Registre!$R$3:$R$15000,$F7,Registre!$C$3:$C$15000,2028),"0")</f>
        <v>0</v>
      </c>
      <c r="Q7" s="35" t="str">
        <f>IFERROR(SUMIFS(Registre!$V$3:$V$15000,Registre!$B$3:$B$15000,"octobre",Registre!$R$3:$R$15000,$F7,Registre!$C$3:$C$15000,2028)/SUMIFS(Registre!$W$3:$W$15000,Registre!$B$3:$B$15000,"octobre",Registre!$R$3:$R$15000,$F7,Registre!$C$3:$C$15000,2028),"0")</f>
        <v>0</v>
      </c>
      <c r="R7" s="35" t="str">
        <f>IFERROR(SUMIFS(Registre!$V$3:$V$15000,Registre!$B$3:$B$15000,"novembre",Registre!$R$3:$R$15000,$F7,Registre!$C$3:$C$15000,2028)/SUMIFS(Registre!$W$3:$W$15000,Registre!$B$3:$B$15000,"novembre",Registre!$R$3:$R$15000,$F7,Registre!$C$3:$C$15000,2028),"0")</f>
        <v>0</v>
      </c>
      <c r="S7" s="36" t="str">
        <f>IFERROR(SUMIFS(Registre!$V$3:$V$15000,Registre!$B$3:$B$15000,"décembre",Registre!$R$3:$R$15000,$F7,Registre!$C$3:$C$15000,2028)/SUMIFS(Registre!$W$3:$W$15000,Registre!$B$3:$B$15000,"décembre",Registre!$R$3:$R$15000,$F7,Registre!$C$3:$C$15000,2028),"0")</f>
        <v>0</v>
      </c>
    </row>
    <row r="8" spans="1:19" x14ac:dyDescent="0.25">
      <c r="A8" s="10">
        <v>4</v>
      </c>
      <c r="B8" s="15" t="s">
        <v>15</v>
      </c>
      <c r="C8" s="10">
        <v>2028</v>
      </c>
      <c r="D8" s="40">
        <f>SUMIFS(Registre!$P$3:$P$15000,Registre!$A$3:$A$15000,4,Registre!$B$3:$B$15000,"janvier",Registre!$C$3:$C$15000,2028)</f>
        <v>0</v>
      </c>
      <c r="F8" s="25" t="s">
        <v>40</v>
      </c>
      <c r="G8" s="22">
        <v>480</v>
      </c>
      <c r="H8" s="35" t="str">
        <f>IFERROR(SUMIFS(Registre!$V$3:$V$15000,Registre!$B$3:$B$15000,"janvier",Registre!$R$3:$R$15000,$F8,Registre!$C$3:$C$15000,2028)/SUMIFS(Registre!$W$3:$W$15000,Registre!$B$3:$B$15000,"janvier",Registre!$R$3:$R$15000,$F8,Registre!$C$3:$C$15000,2028),"0")</f>
        <v>0</v>
      </c>
      <c r="I8" s="35" t="str">
        <f>IFERROR(SUMIFS(Registre!$V$3:$V$15000,Registre!$B$3:$B$15000,"février",Registre!$R$3:$R$15000,$F8,Registre!$C$3:$C$15000,2028)/SUMIFS(Registre!$W$3:$W$15000,Registre!$B$3:$B$15000,"février",Registre!$R$3:$R$15000,$F8,Registre!$C$3:$C$15000,2028),"0")</f>
        <v>0</v>
      </c>
      <c r="J8" s="35" t="str">
        <f>IFERROR(SUMIFS(Registre!$V$3:$V$15000,Registre!$B$3:$B$15000,"mars",Registre!$R$3:$R$15000,$F8,Registre!$C$3:$C$15000,2028)/SUMIFS(Registre!$W$3:$W$15000,Registre!$B$3:$B$15000,"mars",Registre!$R$3:$R$15000,$F8,Registre!$C$3:$C$15000,2028),"0")</f>
        <v>0</v>
      </c>
      <c r="K8" s="35" t="str">
        <f>IFERROR(SUMIFS(Registre!$V$3:$V$15000,Registre!$B$3:$B$15000,"avril",Registre!$R$3:$R$15000,$F8,Registre!$C$3:$C$15000,2028)/SUMIFS(Registre!$W$3:$W$15000,Registre!$B$3:$B$15000,"avril",Registre!$R$3:$R$15000,$F8,Registre!$C$3:$C$15000,2028),"0")</f>
        <v>0</v>
      </c>
      <c r="L8" s="35" t="str">
        <f>IFERROR(SUMIFS(Registre!$V$3:$V$15000,Registre!$B$3:$B$15000,"mai",Registre!$R$3:$R$15000,$F8,Registre!$C$3:$C$15000,2028)/SUMIFS(Registre!$W$3:$W$15000,Registre!$B$3:$B$15000,"mai",Registre!$R$3:$R$15000,$F8,Registre!$C$3:$C$15000,2028),"0")</f>
        <v>0</v>
      </c>
      <c r="M8" s="35" t="str">
        <f>IFERROR(SUMIFS(Registre!$V$3:$V$15000,Registre!$B$3:$B$15000,"juin",Registre!$R$3:$R$15000,$F8,Registre!$C$3:$C$15000,2028)/SUMIFS(Registre!$W$3:$W$15000,Registre!$B$3:$B$15000,"juin",Registre!$R$3:$R$15000,$F8,Registre!$C$3:$C$15000,2028),"0")</f>
        <v>0</v>
      </c>
      <c r="N8" s="35" t="str">
        <f>IFERROR(SUMIFS(Registre!$V$3:$V$15000,Registre!$B$3:$B$15000,"juillet",Registre!$R$3:$R$15000,$F8,Registre!$C$3:$C$15000,2028)/SUMIFS(Registre!$W$3:$W$15000,Registre!$B$3:$B$15000,"juillet",Registre!$R$3:$R$15000,$F8,Registre!$C$3:$C$15000,2028),"0")</f>
        <v>0</v>
      </c>
      <c r="O8" s="35" t="str">
        <f>IFERROR(SUMIFS(Registre!$V$3:$V$15000,Registre!$B$3:$B$15000,"août",Registre!$R$3:$R$15000,$F8,Registre!$C$3:$C$15000,2028)/SUMIFS(Registre!$W$3:$W$15000,Registre!$B$3:$B$15000,"août",Registre!$R$3:$R$15000,$F8,Registre!$C$3:$C$15000,2028),"0")</f>
        <v>0</v>
      </c>
      <c r="P8" s="35" t="str">
        <f>IFERROR(SUMIFS(Registre!$V$3:$V$15000,Registre!$B$3:$B$15000,"septembre",Registre!$R$3:$R$15000,$F8,Registre!$C$3:$C$15000,2028)/SUMIFS(Registre!$W$3:$W$15000,Registre!$B$3:$B$15000,"septembre",Registre!$R$3:$R$15000,$F8,Registre!$C$3:$C$15000,2028),"0")</f>
        <v>0</v>
      </c>
      <c r="Q8" s="35" t="str">
        <f>IFERROR(SUMIFS(Registre!$V$3:$V$15000,Registre!$B$3:$B$15000,"octobre",Registre!$R$3:$R$15000,$F8,Registre!$C$3:$C$15000,2028)/SUMIFS(Registre!$W$3:$W$15000,Registre!$B$3:$B$15000,"octobre",Registre!$R$3:$R$15000,$F8,Registre!$C$3:$C$15000,2028),"0")</f>
        <v>0</v>
      </c>
      <c r="R8" s="35" t="str">
        <f>IFERROR(SUMIFS(Registre!$V$3:$V$15000,Registre!$B$3:$B$15000,"novembre",Registre!$R$3:$R$15000,$F8,Registre!$C$3:$C$15000,2028)/SUMIFS(Registre!$W$3:$W$15000,Registre!$B$3:$B$15000,"novembre",Registre!$R$3:$R$15000,$F8,Registre!$C$3:$C$15000,2028),"0")</f>
        <v>0</v>
      </c>
      <c r="S8" s="36" t="str">
        <f>IFERROR(SUMIFS(Registre!$V$3:$V$15000,Registre!$B$3:$B$15000,"décembre",Registre!$R$3:$R$15000,$F8,Registre!$C$3:$C$15000,2028)/SUMIFS(Registre!$W$3:$W$15000,Registre!$B$3:$B$15000,"décembre",Registre!$R$3:$R$15000,$F8,Registre!$C$3:$C$15000,2028),"0")</f>
        <v>0</v>
      </c>
    </row>
    <row r="9" spans="1:19" x14ac:dyDescent="0.25">
      <c r="A9" s="10">
        <v>5</v>
      </c>
      <c r="B9" s="15" t="s">
        <v>15</v>
      </c>
      <c r="C9" s="10">
        <v>2028</v>
      </c>
      <c r="D9" s="40">
        <f>SUMIFS(Registre!$P$3:$P$15000,Registre!$A$3:$A$15000,5,Registre!$B$3:$B$15000,"janvier",Registre!$C$3:$C$15000,2028)</f>
        <v>0</v>
      </c>
      <c r="F9" s="25" t="s">
        <v>41</v>
      </c>
      <c r="G9" s="22">
        <v>670</v>
      </c>
      <c r="H9" s="35" t="str">
        <f>IFERROR(SUMIFS(Registre!$V$3:$V$15000,Registre!$B$3:$B$15000,"janvier",Registre!$R$3:$R$15000,$F9,Registre!$C$3:$C$15000,2028)/SUMIFS(Registre!$W$3:$W$15000,Registre!$B$3:$B$15000,"janvier",Registre!$R$3:$R$15000,$F9,Registre!$C$3:$C$15000,2028),"0")</f>
        <v>0</v>
      </c>
      <c r="I9" s="35" t="str">
        <f>IFERROR(SUMIFS(Registre!$V$3:$V$15000,Registre!$B$3:$B$15000,"février",Registre!$R$3:$R$15000,$F9,Registre!$C$3:$C$15000,2028)/SUMIFS(Registre!$W$3:$W$15000,Registre!$B$3:$B$15000,"février",Registre!$R$3:$R$15000,$F9,Registre!$C$3:$C$15000,2028),"0")</f>
        <v>0</v>
      </c>
      <c r="J9" s="35" t="str">
        <f>IFERROR(SUMIFS(Registre!$V$3:$V$15000,Registre!$B$3:$B$15000,"mars",Registre!$R$3:$R$15000,$F9,Registre!$C$3:$C$15000,2028)/SUMIFS(Registre!$W$3:$W$15000,Registre!$B$3:$B$15000,"mars",Registre!$R$3:$R$15000,$F9,Registre!$C$3:$C$15000,2028),"0")</f>
        <v>0</v>
      </c>
      <c r="K9" s="35" t="str">
        <f>IFERROR(SUMIFS(Registre!$V$3:$V$15000,Registre!$B$3:$B$15000,"avril",Registre!$R$3:$R$15000,$F9,Registre!$C$3:$C$15000,2028)/SUMIFS(Registre!$W$3:$W$15000,Registre!$B$3:$B$15000,"avril",Registre!$R$3:$R$15000,$F9,Registre!$C$3:$C$15000,2028),"0")</f>
        <v>0</v>
      </c>
      <c r="L9" s="35" t="str">
        <f>IFERROR(SUMIFS(Registre!$V$3:$V$15000,Registre!$B$3:$B$15000,"mai",Registre!$R$3:$R$15000,$F9,Registre!$C$3:$C$15000,2028)/SUMIFS(Registre!$W$3:$W$15000,Registre!$B$3:$B$15000,"mai",Registre!$R$3:$R$15000,$F9,Registre!$C$3:$C$15000,2028),"0")</f>
        <v>0</v>
      </c>
      <c r="M9" s="35" t="str">
        <f>IFERROR(SUMIFS(Registre!$V$3:$V$15000,Registre!$B$3:$B$15000,"juin",Registre!$R$3:$R$15000,$F9,Registre!$C$3:$C$15000,2028)/SUMIFS(Registre!$W$3:$W$15000,Registre!$B$3:$B$15000,"juin",Registre!$R$3:$R$15000,$F9,Registre!$C$3:$C$15000,2028),"0")</f>
        <v>0</v>
      </c>
      <c r="N9" s="35" t="str">
        <f>IFERROR(SUMIFS(Registre!$V$3:$V$15000,Registre!$B$3:$B$15000,"juillet",Registre!$R$3:$R$15000,$F9,Registre!$C$3:$C$15000,2028)/SUMIFS(Registre!$W$3:$W$15000,Registre!$B$3:$B$15000,"juillet",Registre!$R$3:$R$15000,$F9,Registre!$C$3:$C$15000,2028),"0")</f>
        <v>0</v>
      </c>
      <c r="O9" s="35" t="str">
        <f>IFERROR(SUMIFS(Registre!$V$3:$V$15000,Registre!$B$3:$B$15000,"août",Registre!$R$3:$R$15000,$F9,Registre!$C$3:$C$15000,2028)/SUMIFS(Registre!$W$3:$W$15000,Registre!$B$3:$B$15000,"août",Registre!$R$3:$R$15000,$F9,Registre!$C$3:$C$15000,2028),"0")</f>
        <v>0</v>
      </c>
      <c r="P9" s="35" t="str">
        <f>IFERROR(SUMIFS(Registre!$V$3:$V$15000,Registre!$B$3:$B$15000,"septembre",Registre!$R$3:$R$15000,$F9,Registre!$C$3:$C$15000,2028)/SUMIFS(Registre!$W$3:$W$15000,Registre!$B$3:$B$15000,"septembre",Registre!$R$3:$R$15000,$F9,Registre!$C$3:$C$15000,2028),"0")</f>
        <v>0</v>
      </c>
      <c r="Q9" s="35" t="str">
        <f>IFERROR(SUMIFS(Registre!$V$3:$V$15000,Registre!$B$3:$B$15000,"octobre",Registre!$R$3:$R$15000,$F9,Registre!$C$3:$C$15000,2028)/SUMIFS(Registre!$W$3:$W$15000,Registre!$B$3:$B$15000,"octobre",Registre!$R$3:$R$15000,$F9,Registre!$C$3:$C$15000,2028),"0")</f>
        <v>0</v>
      </c>
      <c r="R9" s="35" t="str">
        <f>IFERROR(SUMIFS(Registre!$V$3:$V$15000,Registre!$B$3:$B$15000,"novembre",Registre!$R$3:$R$15000,$F9,Registre!$C$3:$C$15000,2028)/SUMIFS(Registre!$W$3:$W$15000,Registre!$B$3:$B$15000,"novembre",Registre!$R$3:$R$15000,$F9,Registre!$C$3:$C$15000,2028),"0")</f>
        <v>0</v>
      </c>
      <c r="S9" s="36" t="str">
        <f>IFERROR(SUMIFS(Registre!$V$3:$V$15000,Registre!$B$3:$B$15000,"décembre",Registre!$R$3:$R$15000,$F9,Registre!$C$3:$C$15000,2028)/SUMIFS(Registre!$W$3:$W$15000,Registre!$B$3:$B$15000,"décembre",Registre!$R$3:$R$15000,$F9,Registre!$C$3:$C$15000,2028),"0")</f>
        <v>0</v>
      </c>
    </row>
    <row r="10" spans="1:19" x14ac:dyDescent="0.25">
      <c r="A10" s="10">
        <v>6</v>
      </c>
      <c r="B10" s="15" t="s">
        <v>15</v>
      </c>
      <c r="C10" s="10">
        <v>2028</v>
      </c>
      <c r="D10" s="40">
        <f>SUMIFS(Registre!$P$3:$P$15000,Registre!$A$3:$A$15000,6,Registre!$B$3:$B$15000,"janvier",Registre!$C$3:$C$15000,2028)</f>
        <v>0</v>
      </c>
      <c r="F10" s="25" t="s">
        <v>42</v>
      </c>
      <c r="G10" s="22">
        <v>600</v>
      </c>
      <c r="H10" s="35" t="str">
        <f>IFERROR(SUMIFS(Registre!$V$3:$V$15000,Registre!$B$3:$B$15000,"janvier",Registre!$R$3:$R$15000,$F10,Registre!$C$3:$C$15000,2028)/SUMIFS(Registre!$W$3:$W$15000,Registre!$B$3:$B$15000,"janvier",Registre!$R$3:$R$15000,$F10,Registre!$C$3:$C$15000,2028),"0")</f>
        <v>0</v>
      </c>
      <c r="I10" s="35" t="str">
        <f>IFERROR(SUMIFS(Registre!$V$3:$V$15000,Registre!$B$3:$B$15000,"février",Registre!$R$3:$R$15000,$F10,Registre!$C$3:$C$15000,2028)/SUMIFS(Registre!$W$3:$W$15000,Registre!$B$3:$B$15000,"février",Registre!$R$3:$R$15000,$F10,Registre!$C$3:$C$15000,2028),"0")</f>
        <v>0</v>
      </c>
      <c r="J10" s="35" t="str">
        <f>IFERROR(SUMIFS(Registre!$V$3:$V$15000,Registre!$B$3:$B$15000,"mars",Registre!$R$3:$R$15000,$F10,Registre!$C$3:$C$15000,2028)/SUMIFS(Registre!$W$3:$W$15000,Registre!$B$3:$B$15000,"mars",Registre!$R$3:$R$15000,$F10,Registre!$C$3:$C$15000,2028),"0")</f>
        <v>0</v>
      </c>
      <c r="K10" s="35" t="str">
        <f>IFERROR(SUMIFS(Registre!$V$3:$V$15000,Registre!$B$3:$B$15000,"avril",Registre!$R$3:$R$15000,$F10,Registre!$C$3:$C$15000,2028)/SUMIFS(Registre!$W$3:$W$15000,Registre!$B$3:$B$15000,"avril",Registre!$R$3:$R$15000,$F10,Registre!$C$3:$C$15000,2028),"0")</f>
        <v>0</v>
      </c>
      <c r="L10" s="35" t="str">
        <f>IFERROR(SUMIFS(Registre!$V$3:$V$15000,Registre!$B$3:$B$15000,"mai",Registre!$R$3:$R$15000,$F10,Registre!$C$3:$C$15000,2028)/SUMIFS(Registre!$W$3:$W$15000,Registre!$B$3:$B$15000,"mai",Registre!$R$3:$R$15000,$F10,Registre!$C$3:$C$15000,2028),"0")</f>
        <v>0</v>
      </c>
      <c r="M10" s="35" t="str">
        <f>IFERROR(SUMIFS(Registre!$V$3:$V$15000,Registre!$B$3:$B$15000,"juin",Registre!$R$3:$R$15000,$F10,Registre!$C$3:$C$15000,2028)/SUMIFS(Registre!$W$3:$W$15000,Registre!$B$3:$B$15000,"juin",Registre!$R$3:$R$15000,$F10,Registre!$C$3:$C$15000,2028),"0")</f>
        <v>0</v>
      </c>
      <c r="N10" s="35" t="str">
        <f>IFERROR(SUMIFS(Registre!$V$3:$V$15000,Registre!$B$3:$B$15000,"juillet",Registre!$R$3:$R$15000,$F10,Registre!$C$3:$C$15000,2028)/SUMIFS(Registre!$W$3:$W$15000,Registre!$B$3:$B$15000,"juillet",Registre!$R$3:$R$15000,$F10,Registre!$C$3:$C$15000,2028),"0")</f>
        <v>0</v>
      </c>
      <c r="O10" s="35" t="str">
        <f>IFERROR(SUMIFS(Registre!$V$3:$V$15000,Registre!$B$3:$B$15000,"août",Registre!$R$3:$R$15000,$F10,Registre!$C$3:$C$15000,2028)/SUMIFS(Registre!$W$3:$W$15000,Registre!$B$3:$B$15000,"août",Registre!$R$3:$R$15000,$F10,Registre!$C$3:$C$15000,2028),"0")</f>
        <v>0</v>
      </c>
      <c r="P10" s="35" t="str">
        <f>IFERROR(SUMIFS(Registre!$V$3:$V$15000,Registre!$B$3:$B$15000,"septembre",Registre!$R$3:$R$15000,$F10,Registre!$C$3:$C$15000,2028)/SUMIFS(Registre!$W$3:$W$15000,Registre!$B$3:$B$15000,"septembre",Registre!$R$3:$R$15000,$F10,Registre!$C$3:$C$15000,2028),"0")</f>
        <v>0</v>
      </c>
      <c r="Q10" s="35" t="str">
        <f>IFERROR(SUMIFS(Registre!$V$3:$V$15000,Registre!$B$3:$B$15000,"octobre",Registre!$R$3:$R$15000,$F10,Registre!$C$3:$C$15000,2028)/SUMIFS(Registre!$W$3:$W$15000,Registre!$B$3:$B$15000,"octobre",Registre!$R$3:$R$15000,$F10,Registre!$C$3:$C$15000,2028),"0")</f>
        <v>0</v>
      </c>
      <c r="R10" s="35" t="str">
        <f>IFERROR(SUMIFS(Registre!$V$3:$V$15000,Registre!$B$3:$B$15000,"novembre",Registre!$R$3:$R$15000,$F10,Registre!$C$3:$C$15000,2028)/SUMIFS(Registre!$W$3:$W$15000,Registre!$B$3:$B$15000,"novembre",Registre!$R$3:$R$15000,$F10,Registre!$C$3:$C$15000,2028),"0")</f>
        <v>0</v>
      </c>
      <c r="S10" s="36" t="str">
        <f>IFERROR(SUMIFS(Registre!$V$3:$V$15000,Registre!$B$3:$B$15000,"décembre",Registre!$R$3:$R$15000,$F10,Registre!$C$3:$C$15000,2028)/SUMIFS(Registre!$W$3:$W$15000,Registre!$B$3:$B$15000,"décembre",Registre!$R$3:$R$15000,$F10,Registre!$C$3:$C$15000,2028),"0")</f>
        <v>0</v>
      </c>
    </row>
    <row r="11" spans="1:19" x14ac:dyDescent="0.25">
      <c r="A11" s="10">
        <v>7</v>
      </c>
      <c r="B11" s="15" t="s">
        <v>15</v>
      </c>
      <c r="C11" s="10">
        <v>2028</v>
      </c>
      <c r="D11" s="40">
        <f>SUMIFS(Registre!$P$3:$P$15000,Registre!$A$3:$A$15000,7,Registre!$B$3:$B$15000,"janvier",Registre!$C$3:$C$15000,2028)</f>
        <v>0</v>
      </c>
      <c r="F11" s="25" t="s">
        <v>43</v>
      </c>
      <c r="G11" s="22">
        <v>670</v>
      </c>
      <c r="H11" s="35" t="str">
        <f>IFERROR(SUMIFS(Registre!$V$3:$V$15000,Registre!$B$3:$B$15000,"janvier",Registre!$R$3:$R$15000,$F11,Registre!$C$3:$C$15000,2028)/SUMIFS(Registre!$W$3:$W$15000,Registre!$B$3:$B$15000,"janvier",Registre!$R$3:$R$15000,$F11,Registre!$C$3:$C$15000,2028),"0")</f>
        <v>0</v>
      </c>
      <c r="I11" s="35" t="str">
        <f>IFERROR(SUMIFS(Registre!$V$3:$V$15000,Registre!$B$3:$B$15000,"février",Registre!$R$3:$R$15000,$F11,Registre!$C$3:$C$15000,2028)/SUMIFS(Registre!$W$3:$W$15000,Registre!$B$3:$B$15000,"février",Registre!$R$3:$R$15000,$F11,Registre!$C$3:$C$15000,2028),"0")</f>
        <v>0</v>
      </c>
      <c r="J11" s="35" t="str">
        <f>IFERROR(SUMIFS(Registre!$V$3:$V$15000,Registre!$B$3:$B$15000,"mars",Registre!$R$3:$R$15000,$F11,Registre!$C$3:$C$15000,2028)/SUMIFS(Registre!$W$3:$W$15000,Registre!$B$3:$B$15000,"mars",Registre!$R$3:$R$15000,$F11,Registre!$C$3:$C$15000,2028),"0")</f>
        <v>0</v>
      </c>
      <c r="K11" s="35" t="str">
        <f>IFERROR(SUMIFS(Registre!$V$3:$V$15000,Registre!$B$3:$B$15000,"avril",Registre!$R$3:$R$15000,$F11,Registre!$C$3:$C$15000,2028)/SUMIFS(Registre!$W$3:$W$15000,Registre!$B$3:$B$15000,"avril",Registre!$R$3:$R$15000,$F11,Registre!$C$3:$C$15000,2028),"0")</f>
        <v>0</v>
      </c>
      <c r="L11" s="35" t="str">
        <f>IFERROR(SUMIFS(Registre!$V$3:$V$15000,Registre!$B$3:$B$15000,"mai",Registre!$R$3:$R$15000,$F11,Registre!$C$3:$C$15000,2028)/SUMIFS(Registre!$W$3:$W$15000,Registre!$B$3:$B$15000,"mai",Registre!$R$3:$R$15000,$F11,Registre!$C$3:$C$15000,2028),"0")</f>
        <v>0</v>
      </c>
      <c r="M11" s="35" t="str">
        <f>IFERROR(SUMIFS(Registre!$V$3:$V$15000,Registre!$B$3:$B$15000,"juin",Registre!$R$3:$R$15000,$F11,Registre!$C$3:$C$15000,2028)/SUMIFS(Registre!$W$3:$W$15000,Registre!$B$3:$B$15000,"juin",Registre!$R$3:$R$15000,$F11,Registre!$C$3:$C$15000,2028),"0")</f>
        <v>0</v>
      </c>
      <c r="N11" s="35" t="str">
        <f>IFERROR(SUMIFS(Registre!$V$3:$V$15000,Registre!$B$3:$B$15000,"juillet",Registre!$R$3:$R$15000,$F11,Registre!$C$3:$C$15000,2028)/SUMIFS(Registre!$W$3:$W$15000,Registre!$B$3:$B$15000,"juillet",Registre!$R$3:$R$15000,$F11,Registre!$C$3:$C$15000,2028),"0")</f>
        <v>0</v>
      </c>
      <c r="O11" s="35" t="str">
        <f>IFERROR(SUMIFS(Registre!$V$3:$V$15000,Registre!$B$3:$B$15000,"août",Registre!$R$3:$R$15000,$F11,Registre!$C$3:$C$15000,2028)/SUMIFS(Registre!$W$3:$W$15000,Registre!$B$3:$B$15000,"août",Registre!$R$3:$R$15000,$F11,Registre!$C$3:$C$15000,2028),"0")</f>
        <v>0</v>
      </c>
      <c r="P11" s="35" t="str">
        <f>IFERROR(SUMIFS(Registre!$V$3:$V$15000,Registre!$B$3:$B$15000,"septembre",Registre!$R$3:$R$15000,$F11,Registre!$C$3:$C$15000,2028)/SUMIFS(Registre!$W$3:$W$15000,Registre!$B$3:$B$15000,"septembre",Registre!$R$3:$R$15000,$F11,Registre!$C$3:$C$15000,2028),"0")</f>
        <v>0</v>
      </c>
      <c r="Q11" s="35" t="str">
        <f>IFERROR(SUMIFS(Registre!$V$3:$V$15000,Registre!$B$3:$B$15000,"octobre",Registre!$R$3:$R$15000,$F11,Registre!$C$3:$C$15000,2028)/SUMIFS(Registre!$W$3:$W$15000,Registre!$B$3:$B$15000,"octobre",Registre!$R$3:$R$15000,$F11,Registre!$C$3:$C$15000,2028),"0")</f>
        <v>0</v>
      </c>
      <c r="R11" s="35" t="str">
        <f>IFERROR(SUMIFS(Registre!$V$3:$V$15000,Registre!$B$3:$B$15000,"novembre",Registre!$R$3:$R$15000,$F11,Registre!$C$3:$C$15000,2028)/SUMIFS(Registre!$W$3:$W$15000,Registre!$B$3:$B$15000,"novembre",Registre!$R$3:$R$15000,$F11,Registre!$C$3:$C$15000,2028),"0")</f>
        <v>0</v>
      </c>
      <c r="S11" s="36" t="str">
        <f>IFERROR(SUMIFS(Registre!$V$3:$V$15000,Registre!$B$3:$B$15000,"décembre",Registre!$R$3:$R$15000,$F11,Registre!$C$3:$C$15000,2028)/SUMIFS(Registre!$W$3:$W$15000,Registre!$B$3:$B$15000,"décembre",Registre!$R$3:$R$15000,$F11,Registre!$C$3:$C$15000,2028),"0")</f>
        <v>0</v>
      </c>
    </row>
    <row r="12" spans="1:19" x14ac:dyDescent="0.25">
      <c r="A12" s="10">
        <v>8</v>
      </c>
      <c r="B12" s="15" t="s">
        <v>15</v>
      </c>
      <c r="C12" s="10">
        <v>2028</v>
      </c>
      <c r="D12" s="40">
        <f>SUMIFS(Registre!$P$3:$P$15000,Registre!$A$3:$A$15000,8,Registre!$B$3:$B$15000,"janvier",Registre!$C$3:$C$15000,2028)</f>
        <v>0</v>
      </c>
      <c r="F12" s="25" t="s">
        <v>44</v>
      </c>
      <c r="G12" s="22">
        <v>780</v>
      </c>
      <c r="H12" s="35" t="str">
        <f>IFERROR(SUMIFS(Registre!$V$3:$V$15000,Registre!$B$3:$B$15000,"janvier",Registre!$R$3:$R$15000,$F12,Registre!$C$3:$C$15000,2028)/SUMIFS(Registre!$W$3:$W$15000,Registre!$B$3:$B$15000,"janvier",Registre!$R$3:$R$15000,$F12,Registre!$C$3:$C$15000,2028),"0")</f>
        <v>0</v>
      </c>
      <c r="I12" s="35" t="str">
        <f>IFERROR(SUMIFS(Registre!$V$3:$V$15000,Registre!$B$3:$B$15000,"février",Registre!$R$3:$R$15000,$F12,Registre!$C$3:$C$15000,2028)/SUMIFS(Registre!$W$3:$W$15000,Registre!$B$3:$B$15000,"février",Registre!$R$3:$R$15000,$F12,Registre!$C$3:$C$15000,2028),"0")</f>
        <v>0</v>
      </c>
      <c r="J12" s="35" t="str">
        <f>IFERROR(SUMIFS(Registre!$V$3:$V$15000,Registre!$B$3:$B$15000,"mars",Registre!$R$3:$R$15000,$F12,Registre!$C$3:$C$15000,2028)/SUMIFS(Registre!$W$3:$W$15000,Registre!$B$3:$B$15000,"mars",Registre!$R$3:$R$15000,$F12,Registre!$C$3:$C$15000,2028),"0")</f>
        <v>0</v>
      </c>
      <c r="K12" s="35" t="str">
        <f>IFERROR(SUMIFS(Registre!$V$3:$V$15000,Registre!$B$3:$B$15000,"avril",Registre!$R$3:$R$15000,$F12,Registre!$C$3:$C$15000,2028)/SUMIFS(Registre!$W$3:$W$15000,Registre!$B$3:$B$15000,"avril",Registre!$R$3:$R$15000,$F12,Registre!$C$3:$C$15000,2028),"0")</f>
        <v>0</v>
      </c>
      <c r="L12" s="35" t="str">
        <f>IFERROR(SUMIFS(Registre!$V$3:$V$15000,Registre!$B$3:$B$15000,"mai",Registre!$R$3:$R$15000,$F12,Registre!$C$3:$C$15000,2028)/SUMIFS(Registre!$W$3:$W$15000,Registre!$B$3:$B$15000,"mai",Registre!$R$3:$R$15000,$F12,Registre!$C$3:$C$15000,2028),"0")</f>
        <v>0</v>
      </c>
      <c r="M12" s="35" t="str">
        <f>IFERROR(SUMIFS(Registre!$V$3:$V$15000,Registre!$B$3:$B$15000,"juin",Registre!$R$3:$R$15000,$F12,Registre!$C$3:$C$15000,2028)/SUMIFS(Registre!$W$3:$W$15000,Registre!$B$3:$B$15000,"juin",Registre!$R$3:$R$15000,$F12,Registre!$C$3:$C$15000,2028),"0")</f>
        <v>0</v>
      </c>
      <c r="N12" s="35" t="str">
        <f>IFERROR(SUMIFS(Registre!$V$3:$V$15000,Registre!$B$3:$B$15000,"juillet",Registre!$R$3:$R$15000,$F12,Registre!$C$3:$C$15000,2028)/SUMIFS(Registre!$W$3:$W$15000,Registre!$B$3:$B$15000,"juillet",Registre!$R$3:$R$15000,$F12,Registre!$C$3:$C$15000,2028),"0")</f>
        <v>0</v>
      </c>
      <c r="O12" s="35" t="str">
        <f>IFERROR(SUMIFS(Registre!$V$3:$V$15000,Registre!$B$3:$B$15000,"août",Registre!$R$3:$R$15000,$F12,Registre!$C$3:$C$15000,2028)/SUMIFS(Registre!$W$3:$W$15000,Registre!$B$3:$B$15000,"août",Registre!$R$3:$R$15000,$F12,Registre!$C$3:$C$15000,2028),"0")</f>
        <v>0</v>
      </c>
      <c r="P12" s="35" t="str">
        <f>IFERROR(SUMIFS(Registre!$V$3:$V$15000,Registre!$B$3:$B$15000,"septembre",Registre!$R$3:$R$15000,$F12,Registre!$C$3:$C$15000,2028)/SUMIFS(Registre!$W$3:$W$15000,Registre!$B$3:$B$15000,"septembre",Registre!$R$3:$R$15000,$F12,Registre!$C$3:$C$15000,2028),"0")</f>
        <v>0</v>
      </c>
      <c r="Q12" s="35" t="str">
        <f>IFERROR(SUMIFS(Registre!$V$3:$V$15000,Registre!$B$3:$B$15000,"octobre",Registre!$R$3:$R$15000,$F12,Registre!$C$3:$C$15000,2028)/SUMIFS(Registre!$W$3:$W$15000,Registre!$B$3:$B$15000,"octobre",Registre!$R$3:$R$15000,$F12,Registre!$C$3:$C$15000,2028),"0")</f>
        <v>0</v>
      </c>
      <c r="R12" s="35" t="str">
        <f>IFERROR(SUMIFS(Registre!$V$3:$V$15000,Registre!$B$3:$B$15000,"novembre",Registre!$R$3:$R$15000,$F12,Registre!$C$3:$C$15000,2028)/SUMIFS(Registre!$W$3:$W$15000,Registre!$B$3:$B$15000,"novembre",Registre!$R$3:$R$15000,$F12,Registre!$C$3:$C$15000,2028),"0")</f>
        <v>0</v>
      </c>
      <c r="S12" s="36" t="str">
        <f>IFERROR(SUMIFS(Registre!$V$3:$V$15000,Registre!$B$3:$B$15000,"décembre",Registre!$R$3:$R$15000,$F12,Registre!$C$3:$C$15000,2028)/SUMIFS(Registre!$W$3:$W$15000,Registre!$B$3:$B$15000,"décembre",Registre!$R$3:$R$15000,$F12,Registre!$C$3:$C$15000,2028),"0")</f>
        <v>0</v>
      </c>
    </row>
    <row r="13" spans="1:19" ht="15.75" thickBot="1" x14ac:dyDescent="0.3">
      <c r="A13" s="10">
        <v>9</v>
      </c>
      <c r="B13" s="15" t="s">
        <v>15</v>
      </c>
      <c r="C13" s="10">
        <v>2028</v>
      </c>
      <c r="D13" s="40">
        <f>SUMIFS(Registre!$P$3:$P$15000,Registre!$A$3:$A$15000,9,Registre!$B$3:$B$15000,"janvier",Registre!$C$3:$C$15000,2028)</f>
        <v>0</v>
      </c>
      <c r="F13" s="26" t="s">
        <v>27</v>
      </c>
      <c r="G13" s="23">
        <v>780</v>
      </c>
      <c r="H13" s="37" t="str">
        <f>IFERROR(SUMIFS(Registre!$V$3:$V$15000,Registre!$B$3:$B$15000,"janvier",Registre!$R$3:$R$15000,$F13,Registre!$C$3:$C$15000,2028)/SUMIFS(Registre!$W$3:$W$15000,Registre!$B$3:$B$15000,"janvier",Registre!$R$3:$R$15000,$F13,Registre!$C$3:$C$15000,2028),"0")</f>
        <v>0</v>
      </c>
      <c r="I13" s="37" t="str">
        <f>IFERROR(SUMIFS(Registre!$V$3:$V$15000,Registre!$B$3:$B$15000,"février",Registre!$R$3:$R$15000,$F13,Registre!$C$3:$C$15000,2028)/SUMIFS(Registre!$W$3:$W$15000,Registre!$B$3:$B$15000,"février",Registre!$R$3:$R$15000,$F13,Registre!$C$3:$C$15000,2028),"0")</f>
        <v>0</v>
      </c>
      <c r="J13" s="37" t="str">
        <f>IFERROR(SUMIFS(Registre!$V$3:$V$15000,Registre!$B$3:$B$15000,"mars",Registre!$R$3:$R$15000,$F13,Registre!$C$3:$C$15000,2028)/SUMIFS(Registre!$W$3:$W$15000,Registre!$B$3:$B$15000,"mars",Registre!$R$3:$R$15000,$F13,Registre!$C$3:$C$15000,2028),"0")</f>
        <v>0</v>
      </c>
      <c r="K13" s="37" t="str">
        <f>IFERROR(SUMIFS(Registre!$V$3:$V$15000,Registre!$B$3:$B$15000,"avril",Registre!$R$3:$R$15000,$F13,Registre!$C$3:$C$15000,2028)/SUMIFS(Registre!$W$3:$W$15000,Registre!$B$3:$B$15000,"avril",Registre!$R$3:$R$15000,$F13,Registre!$C$3:$C$15000,2028),"0")</f>
        <v>0</v>
      </c>
      <c r="L13" s="37" t="str">
        <f>IFERROR(SUMIFS(Registre!$V$3:$V$15000,Registre!$B$3:$B$15000,"mai",Registre!$R$3:$R$15000,$F13,Registre!$C$3:$C$15000,2028)/SUMIFS(Registre!$W$3:$W$15000,Registre!$B$3:$B$15000,"mai",Registre!$R$3:$R$15000,$F13,Registre!$C$3:$C$15000,2028),"0")</f>
        <v>0</v>
      </c>
      <c r="M13" s="37" t="str">
        <f>IFERROR(SUMIFS(Registre!$V$3:$V$15000,Registre!$B$3:$B$15000,"juin",Registre!$R$3:$R$15000,$F13,Registre!$C$3:$C$15000,2028)/SUMIFS(Registre!$W$3:$W$15000,Registre!$B$3:$B$15000,"juin",Registre!$R$3:$R$15000,$F13,Registre!$C$3:$C$15000,2028),"0")</f>
        <v>0</v>
      </c>
      <c r="N13" s="37" t="str">
        <f>IFERROR(SUMIFS(Registre!$V$3:$V$15000,Registre!$B$3:$B$15000,"juillet",Registre!$R$3:$R$15000,$F13,Registre!$C$3:$C$15000,2028)/SUMIFS(Registre!$W$3:$W$15000,Registre!$B$3:$B$15000,"juillet",Registre!$R$3:$R$15000,$F13,Registre!$C$3:$C$15000,2028),"0")</f>
        <v>0</v>
      </c>
      <c r="O13" s="37" t="str">
        <f>IFERROR(SUMIFS(Registre!$V$3:$V$15000,Registre!$B$3:$B$15000,"août",Registre!$R$3:$R$15000,$F13,Registre!$C$3:$C$15000,2028)/SUMIFS(Registre!$W$3:$W$15000,Registre!$B$3:$B$15000,"août",Registre!$R$3:$R$15000,$F13,Registre!$C$3:$C$15000,2028),"0")</f>
        <v>0</v>
      </c>
      <c r="P13" s="37" t="str">
        <f>IFERROR(SUMIFS(Registre!$V$3:$V$15000,Registre!$B$3:$B$15000,"septembre",Registre!$R$3:$R$15000,$F13,Registre!$C$3:$C$15000,2028)/SUMIFS(Registre!$W$3:$W$15000,Registre!$B$3:$B$15000,"septembre",Registre!$R$3:$R$15000,$F13,Registre!$C$3:$C$15000,2028),"0")</f>
        <v>0</v>
      </c>
      <c r="Q13" s="37" t="str">
        <f>IFERROR(SUMIFS(Registre!$V$3:$V$15000,Registre!$B$3:$B$15000,"octobre",Registre!$R$3:$R$15000,$F13,Registre!$C$3:$C$15000,2028)/SUMIFS(Registre!$W$3:$W$15000,Registre!$B$3:$B$15000,"octobre",Registre!$R$3:$R$15000,$F13,Registre!$C$3:$C$15000,2028),"0")</f>
        <v>0</v>
      </c>
      <c r="R13" s="37" t="str">
        <f>IFERROR(SUMIFS(Registre!$V$3:$V$15000,Registre!$B$3:$B$15000,"novembre",Registre!$R$3:$R$15000,$F13,Registre!$C$3:$C$15000,2028)/SUMIFS(Registre!$W$3:$W$15000,Registre!$B$3:$B$15000,"novembre",Registre!$R$3:$R$15000,$F13,Registre!$C$3:$C$15000,2028),"0")</f>
        <v>0</v>
      </c>
      <c r="S13" s="38" t="str">
        <f>IFERROR(SUMIFS(Registre!$V$3:$V$15000,Registre!$B$3:$B$15000,"décembre",Registre!$R$3:$R$15000,$F13,Registre!$C$3:$C$15000,2028)/SUMIFS(Registre!$W$3:$W$15000,Registre!$B$3:$B$15000,"décembre",Registre!$R$3:$R$15000,$F13,Registre!$C$3:$C$15000,2028),"0")</f>
        <v>0</v>
      </c>
    </row>
    <row r="14" spans="1:19" x14ac:dyDescent="0.25">
      <c r="A14" s="10">
        <v>10</v>
      </c>
      <c r="B14" s="15" t="s">
        <v>15</v>
      </c>
      <c r="C14" s="10">
        <v>2028</v>
      </c>
      <c r="D14" s="40">
        <f>SUMIFS(Registre!$P$3:$P$15000,Registre!$A$3:$A$15000,10,Registre!$B$3:$B$15000,"janvier",Registre!$C$3:$C$15000,2028)</f>
        <v>0</v>
      </c>
      <c r="F14" s="17"/>
      <c r="H14" s="2"/>
    </row>
    <row r="15" spans="1:19" x14ac:dyDescent="0.25">
      <c r="A15" s="10">
        <v>11</v>
      </c>
      <c r="B15" s="15" t="s">
        <v>15</v>
      </c>
      <c r="C15" s="10">
        <v>2028</v>
      </c>
      <c r="D15" s="40">
        <f>SUMIFS(Registre!$P$3:$P$15000,Registre!$A$3:$A$15000,11,Registre!$B$3:$B$15000,"janvier",Registre!$C$3:$C$15000,2028)</f>
        <v>0</v>
      </c>
      <c r="F15" s="17"/>
      <c r="H15" s="2"/>
    </row>
    <row r="16" spans="1:19" x14ac:dyDescent="0.25">
      <c r="A16" s="10">
        <v>12</v>
      </c>
      <c r="B16" s="15" t="s">
        <v>15</v>
      </c>
      <c r="C16" s="10">
        <v>2028</v>
      </c>
      <c r="D16" s="40">
        <f>SUMIFS(Registre!$P$3:$P$15000,Registre!$A$3:$A$15000,12,Registre!$B$3:$B$15000,"janvier",Registre!$C$3:$C$15000,2028)</f>
        <v>0</v>
      </c>
      <c r="F16" s="18"/>
      <c r="H16" s="2"/>
    </row>
    <row r="17" spans="1:8" x14ac:dyDescent="0.25">
      <c r="A17" s="10">
        <v>13</v>
      </c>
      <c r="B17" s="15" t="s">
        <v>15</v>
      </c>
      <c r="C17" s="10">
        <v>2028</v>
      </c>
      <c r="D17" s="40">
        <f>SUMIFS(Registre!$P$3:$P$15000,Registre!$A$3:$A$15000,13,Registre!$B$3:$B$15000,"janvier",Registre!$C$3:$C$15000,2028)</f>
        <v>0</v>
      </c>
      <c r="F17" s="18"/>
      <c r="H17" s="2"/>
    </row>
    <row r="18" spans="1:8" x14ac:dyDescent="0.25">
      <c r="A18" s="10">
        <v>14</v>
      </c>
      <c r="B18" s="15" t="s">
        <v>15</v>
      </c>
      <c r="C18" s="10">
        <v>2028</v>
      </c>
      <c r="D18" s="40">
        <f>SUMIFS(Registre!$P$3:$P$15000,Registre!$A$3:$A$15000,14,Registre!$B$3:$B$15000,"janvier",Registre!$C$3:$C$15000,2028)</f>
        <v>0</v>
      </c>
      <c r="F18" s="18"/>
      <c r="H18" s="2"/>
    </row>
    <row r="19" spans="1:8" x14ac:dyDescent="0.25">
      <c r="A19" s="10">
        <v>15</v>
      </c>
      <c r="B19" s="15" t="s">
        <v>15</v>
      </c>
      <c r="C19" s="10">
        <v>2028</v>
      </c>
      <c r="D19" s="40">
        <f>SUMIFS(Registre!$P$3:$P$15000,Registre!$A$3:$A$15000,15,Registre!$B$3:$B$15000,"janvier",Registre!$C$3:$C$15000,2028)</f>
        <v>0</v>
      </c>
      <c r="F19" s="18"/>
      <c r="H19" s="2"/>
    </row>
    <row r="20" spans="1:8" x14ac:dyDescent="0.25">
      <c r="A20" s="10">
        <v>16</v>
      </c>
      <c r="B20" s="15" t="s">
        <v>15</v>
      </c>
      <c r="C20" s="10">
        <v>2028</v>
      </c>
      <c r="D20" s="40">
        <f>SUMIFS(Registre!$P$3:$P$15000,Registre!$A$3:$A$15000,16,Registre!$B$3:$B$15000,"janvier",Registre!$C$3:$C$15000,2028)</f>
        <v>0</v>
      </c>
      <c r="F20" s="18"/>
      <c r="H20" s="2"/>
    </row>
    <row r="21" spans="1:8" x14ac:dyDescent="0.25">
      <c r="A21" s="10">
        <v>17</v>
      </c>
      <c r="B21" s="15" t="s">
        <v>15</v>
      </c>
      <c r="C21" s="10">
        <v>2028</v>
      </c>
      <c r="D21" s="40">
        <f>SUMIFS(Registre!$P$3:$P$15000,Registre!$A$3:$A$15000,17,Registre!$B$3:$B$15000,"janvier",Registre!$C$3:$C$15000,2028)</f>
        <v>0</v>
      </c>
      <c r="F21" s="18"/>
      <c r="H21" s="2"/>
    </row>
    <row r="22" spans="1:8" x14ac:dyDescent="0.25">
      <c r="A22" s="10">
        <v>18</v>
      </c>
      <c r="B22" s="15" t="s">
        <v>15</v>
      </c>
      <c r="C22" s="10">
        <v>2028</v>
      </c>
      <c r="D22" s="40">
        <f>SUMIFS(Registre!$P$3:$P$15000,Registre!$A$3:$A$15000,18,Registre!$B$3:$B$15000,"janvier",Registre!$C$3:$C$15000,2028)</f>
        <v>0</v>
      </c>
      <c r="F22" s="18"/>
      <c r="H22" s="2"/>
    </row>
    <row r="23" spans="1:8" x14ac:dyDescent="0.25">
      <c r="A23" s="10">
        <v>19</v>
      </c>
      <c r="B23" s="15" t="s">
        <v>15</v>
      </c>
      <c r="C23" s="10">
        <v>2028</v>
      </c>
      <c r="D23" s="40">
        <f>SUMIFS(Registre!$P$3:$P$15000,Registre!$A$3:$A$15000,19,Registre!$B$3:$B$15000,"janvier",Registre!$C$3:$C$15000,2028)</f>
        <v>0</v>
      </c>
      <c r="F23" s="17"/>
      <c r="H23" s="2"/>
    </row>
    <row r="24" spans="1:8" x14ac:dyDescent="0.25">
      <c r="A24" s="10">
        <v>20</v>
      </c>
      <c r="B24" s="15" t="s">
        <v>15</v>
      </c>
      <c r="C24" s="10">
        <v>2028</v>
      </c>
      <c r="D24" s="40">
        <f>SUMIFS(Registre!$P$3:$P$15000,Registre!$A$3:$A$15000,20,Registre!$B$3:$B$15000,"janvier",Registre!$C$3:$C$15000,2028)</f>
        <v>0</v>
      </c>
      <c r="F24" s="17"/>
      <c r="H24" s="2"/>
    </row>
    <row r="25" spans="1:8" x14ac:dyDescent="0.25">
      <c r="A25" s="10">
        <v>21</v>
      </c>
      <c r="B25" s="15" t="s">
        <v>15</v>
      </c>
      <c r="C25" s="10">
        <v>2028</v>
      </c>
      <c r="D25" s="40">
        <f>SUMIFS(Registre!$P$3:$P$15000,Registre!$A$3:$A$15000,21,Registre!$B$3:$B$15000,"janvier",Registre!$C$3:$C$15000,2028)</f>
        <v>0</v>
      </c>
      <c r="F25" s="18"/>
      <c r="H25" s="2"/>
    </row>
    <row r="26" spans="1:8" x14ac:dyDescent="0.25">
      <c r="A26" s="10">
        <v>22</v>
      </c>
      <c r="B26" s="15" t="s">
        <v>15</v>
      </c>
      <c r="C26" s="10">
        <v>2028</v>
      </c>
      <c r="D26" s="40">
        <f>SUMIFS(Registre!$P$3:$P$15000,Registre!$A$3:$A$15000,22,Registre!$B$3:$B$15000,"janvier",Registre!$C$3:$C$15000,2028)</f>
        <v>0</v>
      </c>
      <c r="F26" s="18"/>
      <c r="H26" s="2"/>
    </row>
    <row r="27" spans="1:8" x14ac:dyDescent="0.25">
      <c r="A27" s="10">
        <v>23</v>
      </c>
      <c r="B27" s="15" t="s">
        <v>15</v>
      </c>
      <c r="C27" s="10">
        <v>2028</v>
      </c>
      <c r="D27" s="40">
        <f>SUMIFS(Registre!$P$3:$P$15000,Registre!$A$3:$A$15000,23,Registre!$B$3:$B$15000,"janvier",Registre!$C$3:$C$15000,2028)</f>
        <v>0</v>
      </c>
      <c r="F27" s="18"/>
      <c r="H27" s="2"/>
    </row>
    <row r="28" spans="1:8" x14ac:dyDescent="0.25">
      <c r="A28" s="10">
        <v>24</v>
      </c>
      <c r="B28" s="15" t="s">
        <v>15</v>
      </c>
      <c r="C28" s="10">
        <v>2028</v>
      </c>
      <c r="D28" s="40">
        <f>SUMIFS(Registre!$P$3:$P$15000,Registre!$A$3:$A$15000,24,Registre!$B$3:$B$15000,"janvier",Registre!$C$3:$C$15000,2028)</f>
        <v>0</v>
      </c>
      <c r="F28" s="18"/>
      <c r="H28" s="2"/>
    </row>
    <row r="29" spans="1:8" x14ac:dyDescent="0.25">
      <c r="A29" s="10">
        <v>25</v>
      </c>
      <c r="B29" s="15" t="s">
        <v>15</v>
      </c>
      <c r="C29" s="10">
        <v>2028</v>
      </c>
      <c r="D29" s="40">
        <f>SUMIFS(Registre!$P$3:$P$15000,Registre!$A$3:$A$15000,25,Registre!$B$3:$B$15000,"janvier",Registre!$C$3:$C$15000,2028)</f>
        <v>0</v>
      </c>
      <c r="F29" s="18"/>
      <c r="H29" s="2"/>
    </row>
    <row r="30" spans="1:8" x14ac:dyDescent="0.25">
      <c r="A30" s="10">
        <v>26</v>
      </c>
      <c r="B30" s="15" t="s">
        <v>15</v>
      </c>
      <c r="C30" s="10">
        <v>2028</v>
      </c>
      <c r="D30" s="40">
        <f>SUMIFS(Registre!$P$3:$P$15000,Registre!$A$3:$A$15000,26,Registre!$B$3:$B$15000,"janvier",Registre!$C$3:$C$15000,2028)</f>
        <v>0</v>
      </c>
      <c r="F30" s="18"/>
      <c r="H30" s="2"/>
    </row>
    <row r="31" spans="1:8" x14ac:dyDescent="0.25">
      <c r="A31" s="10">
        <v>27</v>
      </c>
      <c r="B31" s="15" t="s">
        <v>15</v>
      </c>
      <c r="C31" s="10">
        <v>2028</v>
      </c>
      <c r="D31" s="40">
        <f>SUMIFS(Registre!$P$3:$P$15000,Registre!$A$3:$A$15000,27,Registre!$B$3:$B$15000,"janvier",Registre!$C$3:$C$15000,2028)</f>
        <v>0</v>
      </c>
      <c r="F31" s="18"/>
      <c r="H31" s="2"/>
    </row>
    <row r="32" spans="1:8" x14ac:dyDescent="0.25">
      <c r="A32" s="10">
        <v>28</v>
      </c>
      <c r="B32" s="15" t="s">
        <v>15</v>
      </c>
      <c r="C32" s="10">
        <v>2028</v>
      </c>
      <c r="D32" s="40">
        <f>SUMIFS(Registre!$P$3:$P$15000,Registre!$A$3:$A$15000,28,Registre!$B$3:$B$15000,"janvier",Registre!$C$3:$C$15000,2028)</f>
        <v>0</v>
      </c>
      <c r="F32" s="17"/>
      <c r="H32" s="2"/>
    </row>
    <row r="33" spans="1:8" x14ac:dyDescent="0.25">
      <c r="A33" s="10">
        <v>29</v>
      </c>
      <c r="B33" s="15" t="s">
        <v>15</v>
      </c>
      <c r="C33" s="10">
        <v>2028</v>
      </c>
      <c r="D33" s="40">
        <f>SUMIFS(Registre!$P$3:$P$15000,Registre!$A$3:$A$15000,29,Registre!$B$3:$B$15000,"janvier",Registre!$C$3:$C$15000,2028)</f>
        <v>0</v>
      </c>
      <c r="F33" s="17"/>
      <c r="H33" s="2"/>
    </row>
    <row r="34" spans="1:8" x14ac:dyDescent="0.25">
      <c r="A34" s="10">
        <v>30</v>
      </c>
      <c r="B34" s="15" t="s">
        <v>15</v>
      </c>
      <c r="C34" s="10">
        <v>2028</v>
      </c>
      <c r="D34" s="40">
        <f>SUMIFS(Registre!$P$3:$P$15000,Registre!$A$3:$A$15000,30,Registre!$B$3:$B$15000,"janvier",Registre!$C$3:$C$15000,2028)</f>
        <v>0</v>
      </c>
      <c r="F34" s="18"/>
      <c r="H34" s="2"/>
    </row>
    <row r="35" spans="1:8" x14ac:dyDescent="0.25">
      <c r="A35" s="10">
        <v>31</v>
      </c>
      <c r="B35" s="15" t="s">
        <v>15</v>
      </c>
      <c r="C35" s="10">
        <v>2028</v>
      </c>
      <c r="D35" s="40">
        <f>SUMIFS(Registre!$P$3:$P$15000,Registre!$A$3:$A$15000,31,Registre!$B$3:$B$15000,"janvier",Registre!$C$3:$C$15000,2028)</f>
        <v>0</v>
      </c>
      <c r="F35" s="18"/>
      <c r="H35" s="2"/>
    </row>
    <row r="36" spans="1:8" x14ac:dyDescent="0.25">
      <c r="A36" s="11">
        <v>1</v>
      </c>
      <c r="B36" s="11" t="s">
        <v>16</v>
      </c>
      <c r="C36" s="11">
        <v>2028</v>
      </c>
      <c r="D36" s="41">
        <f>SUMIFS(Registre!$P$3:$P$15000,Registre!$A$3:$A$15000,1,Registre!$B$3:$B$15000,"février",Registre!$C$3:$C$15000,2028)</f>
        <v>0</v>
      </c>
      <c r="F36" s="18"/>
      <c r="H36" s="2"/>
    </row>
    <row r="37" spans="1:8" x14ac:dyDescent="0.25">
      <c r="A37" s="11">
        <v>2</v>
      </c>
      <c r="B37" s="11" t="s">
        <v>16</v>
      </c>
      <c r="C37" s="11">
        <v>2028</v>
      </c>
      <c r="D37" s="41">
        <f>SUMIFS(Registre!$P$3:$P$15000,Registre!$A$3:$A$15000,2,Registre!$B$3:$B$15000,"février",Registre!$C$3:$C$15000,2028)</f>
        <v>0</v>
      </c>
      <c r="F37" s="18"/>
      <c r="H37" s="2"/>
    </row>
    <row r="38" spans="1:8" x14ac:dyDescent="0.25">
      <c r="A38" s="11">
        <v>3</v>
      </c>
      <c r="B38" s="11" t="s">
        <v>16</v>
      </c>
      <c r="C38" s="11">
        <v>2028</v>
      </c>
      <c r="D38" s="41">
        <f>SUMIFS(Registre!$P$3:$P$15000,Registre!$A$3:$A$15000,3,Registre!$B$3:$B$15000,"février",Registre!$C$3:$C$15000,2028)</f>
        <v>0</v>
      </c>
      <c r="F38" s="18"/>
      <c r="H38" s="2"/>
    </row>
    <row r="39" spans="1:8" x14ac:dyDescent="0.25">
      <c r="A39" s="11">
        <v>4</v>
      </c>
      <c r="B39" s="11" t="s">
        <v>16</v>
      </c>
      <c r="C39" s="11">
        <v>2028</v>
      </c>
      <c r="D39" s="41">
        <f>SUMIFS(Registre!$P$3:$P$15000,Registre!$A$3:$A$15000,4,Registre!$B$3:$B$15000,"février",Registre!$C$3:$C$15000,2028)</f>
        <v>0</v>
      </c>
      <c r="F39" s="18"/>
      <c r="H39" s="2"/>
    </row>
    <row r="40" spans="1:8" x14ac:dyDescent="0.25">
      <c r="A40" s="11">
        <v>5</v>
      </c>
      <c r="B40" s="11" t="s">
        <v>16</v>
      </c>
      <c r="C40" s="11">
        <v>2028</v>
      </c>
      <c r="D40" s="41">
        <f>SUMIFS(Registre!$P$3:$P$15000,Registre!$A$3:$A$15000,5,Registre!$B$3:$B$15000,"février",Registre!$C$3:$C$15000,2028)</f>
        <v>0</v>
      </c>
      <c r="F40" s="18"/>
      <c r="H40" s="2"/>
    </row>
    <row r="41" spans="1:8" x14ac:dyDescent="0.25">
      <c r="A41" s="11">
        <v>6</v>
      </c>
      <c r="B41" s="11" t="s">
        <v>16</v>
      </c>
      <c r="C41" s="11">
        <v>2028</v>
      </c>
      <c r="D41" s="41">
        <f>SUMIFS(Registre!$P$3:$P$15000,Registre!$A$3:$A$15000,6,Registre!$B$3:$B$15000,"février",Registre!$C$3:$C$15000,2028)</f>
        <v>0</v>
      </c>
      <c r="F41" s="17"/>
      <c r="H41" s="2"/>
    </row>
    <row r="42" spans="1:8" x14ac:dyDescent="0.25">
      <c r="A42" s="11">
        <v>7</v>
      </c>
      <c r="B42" s="11" t="s">
        <v>16</v>
      </c>
      <c r="C42" s="11">
        <v>2028</v>
      </c>
      <c r="D42" s="41">
        <f>SUMIFS(Registre!$P$3:$P$15000,Registre!$A$3:$A$15000,7,Registre!$B$3:$B$15000,"février",Registre!$C$3:$C$15000,2028)</f>
        <v>0</v>
      </c>
      <c r="F42" s="17"/>
      <c r="H42" s="2"/>
    </row>
    <row r="43" spans="1:8" x14ac:dyDescent="0.25">
      <c r="A43" s="11">
        <v>8</v>
      </c>
      <c r="B43" s="11" t="s">
        <v>16</v>
      </c>
      <c r="C43" s="11">
        <v>2028</v>
      </c>
      <c r="D43" s="41">
        <f>SUMIFS(Registre!$P$3:$P$15000,Registre!$A$3:$A$15000,8,Registre!$B$3:$B$15000,"février",Registre!$C$3:$C$15000,2028)</f>
        <v>0</v>
      </c>
      <c r="F43" s="18"/>
      <c r="H43" s="2"/>
    </row>
    <row r="44" spans="1:8" x14ac:dyDescent="0.25">
      <c r="A44" s="11">
        <v>9</v>
      </c>
      <c r="B44" s="11" t="s">
        <v>16</v>
      </c>
      <c r="C44" s="11">
        <v>2028</v>
      </c>
      <c r="D44" s="41">
        <f>SUMIFS(Registre!$P$3:$P$15000,Registre!$A$3:$A$15000,9,Registre!$B$3:$B$15000,"février",Registre!$C$3:$C$15000,2028)</f>
        <v>0</v>
      </c>
      <c r="F44" s="18"/>
      <c r="H44" s="2"/>
    </row>
    <row r="45" spans="1:8" x14ac:dyDescent="0.25">
      <c r="A45" s="11">
        <v>10</v>
      </c>
      <c r="B45" s="11" t="s">
        <v>16</v>
      </c>
      <c r="C45" s="11">
        <v>2028</v>
      </c>
      <c r="D45" s="41">
        <f>SUMIFS(Registre!$P$3:$P$15000,Registre!$A$3:$A$15000,10,Registre!$B$3:$B$15000,"février",Registre!$C$3:$C$15000,2028)</f>
        <v>0</v>
      </c>
      <c r="F45" s="18"/>
      <c r="H45" s="2"/>
    </row>
    <row r="46" spans="1:8" x14ac:dyDescent="0.25">
      <c r="A46" s="11">
        <v>11</v>
      </c>
      <c r="B46" s="11" t="s">
        <v>16</v>
      </c>
      <c r="C46" s="11">
        <v>2028</v>
      </c>
      <c r="D46" s="41">
        <f>SUMIFS(Registre!$P$3:$P$15000,Registre!$A$3:$A$15000,11,Registre!$B$3:$B$15000,"février",Registre!$C$3:$C$15000,2028)</f>
        <v>0</v>
      </c>
      <c r="F46" s="18"/>
      <c r="H46" s="2"/>
    </row>
    <row r="47" spans="1:8" x14ac:dyDescent="0.25">
      <c r="A47" s="11">
        <v>12</v>
      </c>
      <c r="B47" s="11" t="s">
        <v>16</v>
      </c>
      <c r="C47" s="11">
        <v>2028</v>
      </c>
      <c r="D47" s="41">
        <f>SUMIFS(Registre!$P$3:$P$15000,Registre!$A$3:$A$15000,12,Registre!$B$3:$B$15000,"février",Registre!$C$3:$C$15000,2028)</f>
        <v>0</v>
      </c>
      <c r="F47" s="18"/>
      <c r="H47" s="2"/>
    </row>
    <row r="48" spans="1:8" x14ac:dyDescent="0.25">
      <c r="A48" s="11">
        <v>13</v>
      </c>
      <c r="B48" s="11" t="s">
        <v>16</v>
      </c>
      <c r="C48" s="11">
        <v>2028</v>
      </c>
      <c r="D48" s="41">
        <f>SUMIFS(Registre!$P$3:$P$15000,Registre!$A$3:$A$15000,13,Registre!$B$3:$B$15000,"février",Registre!$C$3:$C$15000,2028)</f>
        <v>0</v>
      </c>
      <c r="F48" s="18"/>
      <c r="H48" s="2"/>
    </row>
    <row r="49" spans="1:8" x14ac:dyDescent="0.25">
      <c r="A49" s="11">
        <v>14</v>
      </c>
      <c r="B49" s="11" t="s">
        <v>16</v>
      </c>
      <c r="C49" s="11">
        <v>2028</v>
      </c>
      <c r="D49" s="41">
        <f>SUMIFS(Registre!$P$3:$P$15000,Registre!$A$3:$A$15000,14,Registre!$B$3:$B$15000,"février",Registre!$C$3:$C$15000,2028)</f>
        <v>0</v>
      </c>
      <c r="F49" s="18"/>
      <c r="H49" s="2"/>
    </row>
    <row r="50" spans="1:8" x14ac:dyDescent="0.25">
      <c r="A50" s="11">
        <v>15</v>
      </c>
      <c r="B50" s="11" t="s">
        <v>16</v>
      </c>
      <c r="C50" s="11">
        <v>2028</v>
      </c>
      <c r="D50" s="41">
        <f>SUMIFS(Registre!$P$3:$P$15000,Registre!$A$3:$A$15000,15,Registre!$B$3:$B$15000,"février",Registre!$C$3:$C$15000,2028)</f>
        <v>0</v>
      </c>
      <c r="F50" s="17"/>
      <c r="H50" s="2"/>
    </row>
    <row r="51" spans="1:8" x14ac:dyDescent="0.25">
      <c r="A51" s="11">
        <v>16</v>
      </c>
      <c r="B51" s="11" t="s">
        <v>16</v>
      </c>
      <c r="C51" s="11">
        <v>2028</v>
      </c>
      <c r="D51" s="41">
        <f>SUMIFS(Registre!$P$3:$P$15000,Registre!$A$3:$A$15000,16,Registre!$B$3:$B$15000,"février",Registre!$C$3:$C$15000,2028)</f>
        <v>0</v>
      </c>
      <c r="F51" s="17"/>
      <c r="H51" s="2"/>
    </row>
    <row r="52" spans="1:8" x14ac:dyDescent="0.25">
      <c r="A52" s="11">
        <v>17</v>
      </c>
      <c r="B52" s="11" t="s">
        <v>16</v>
      </c>
      <c r="C52" s="11">
        <v>2028</v>
      </c>
      <c r="D52" s="41">
        <f>SUMIFS(Registre!$P$3:$P$15000,Registre!$A$3:$A$15000,17,Registre!$B$3:$B$15000,"février",Registre!$C$3:$C$15000,2028)</f>
        <v>0</v>
      </c>
      <c r="F52" s="18"/>
      <c r="H52" s="2"/>
    </row>
    <row r="53" spans="1:8" x14ac:dyDescent="0.25">
      <c r="A53" s="11">
        <v>18</v>
      </c>
      <c r="B53" s="11" t="s">
        <v>16</v>
      </c>
      <c r="C53" s="11">
        <v>2028</v>
      </c>
      <c r="D53" s="41">
        <f>SUMIFS(Registre!$P$3:$P$15000,Registre!$A$3:$A$15000,18,Registre!$B$3:$B$15000,"février",Registre!$C$3:$C$15000,2028)</f>
        <v>0</v>
      </c>
      <c r="F53" s="18"/>
      <c r="H53" s="2"/>
    </row>
    <row r="54" spans="1:8" x14ac:dyDescent="0.25">
      <c r="A54" s="11">
        <v>19</v>
      </c>
      <c r="B54" s="11" t="s">
        <v>16</v>
      </c>
      <c r="C54" s="11">
        <v>2028</v>
      </c>
      <c r="D54" s="41">
        <f>SUMIFS(Registre!$P$3:$P$15000,Registre!$A$3:$A$15000,19,Registre!$B$3:$B$15000,"février",Registre!$C$3:$C$15000,2028)</f>
        <v>0</v>
      </c>
      <c r="F54" s="18"/>
      <c r="H54" s="2"/>
    </row>
    <row r="55" spans="1:8" x14ac:dyDescent="0.25">
      <c r="A55" s="11">
        <v>20</v>
      </c>
      <c r="B55" s="11" t="s">
        <v>16</v>
      </c>
      <c r="C55" s="11">
        <v>2028</v>
      </c>
      <c r="D55" s="41">
        <f>SUMIFS(Registre!$P$3:$P$15000,Registre!$A$3:$A$15000,20,Registre!$B$3:$B$15000,"février",Registre!$C$3:$C$15000,2028)</f>
        <v>0</v>
      </c>
      <c r="F55" s="18"/>
      <c r="H55" s="2"/>
    </row>
    <row r="56" spans="1:8" x14ac:dyDescent="0.25">
      <c r="A56" s="11">
        <v>21</v>
      </c>
      <c r="B56" s="11" t="s">
        <v>16</v>
      </c>
      <c r="C56" s="11">
        <v>2028</v>
      </c>
      <c r="D56" s="41">
        <f>SUMIFS(Registre!$P$3:$P$15000,Registre!$A$3:$A$15000,21,Registre!$B$3:$B$15000,"février",Registre!$C$3:$C$15000,2028)</f>
        <v>0</v>
      </c>
      <c r="F56" s="18"/>
      <c r="H56" s="2"/>
    </row>
    <row r="57" spans="1:8" x14ac:dyDescent="0.25">
      <c r="A57" s="11">
        <v>22</v>
      </c>
      <c r="B57" s="11" t="s">
        <v>16</v>
      </c>
      <c r="C57" s="11">
        <v>2028</v>
      </c>
      <c r="D57" s="41">
        <f>SUMIFS(Registre!$P$3:$P$15000,Registre!$A$3:$A$15000,22,Registre!$B$3:$B$15000,"février",Registre!$C$3:$C$15000,2028)</f>
        <v>0</v>
      </c>
      <c r="F57" s="18"/>
      <c r="H57" s="2"/>
    </row>
    <row r="58" spans="1:8" x14ac:dyDescent="0.25">
      <c r="A58" s="11">
        <v>23</v>
      </c>
      <c r="B58" s="11" t="s">
        <v>16</v>
      </c>
      <c r="C58" s="11">
        <v>2028</v>
      </c>
      <c r="D58" s="41">
        <f>SUMIFS(Registre!$P$3:$P$15000,Registre!$A$3:$A$15000,23,Registre!$B$3:$B$15000,"février",Registre!$C$3:$C$15000,2028)</f>
        <v>0</v>
      </c>
      <c r="F58" s="18"/>
      <c r="H58" s="2"/>
    </row>
    <row r="59" spans="1:8" x14ac:dyDescent="0.25">
      <c r="A59" s="11">
        <v>24</v>
      </c>
      <c r="B59" s="11" t="s">
        <v>16</v>
      </c>
      <c r="C59" s="11">
        <v>2028</v>
      </c>
      <c r="D59" s="41">
        <f>SUMIFS(Registre!$P$3:$P$15000,Registre!$A$3:$A$15000,24,Registre!$B$3:$B$15000,"février",Registre!$C$3:$C$15000,2028)</f>
        <v>0</v>
      </c>
      <c r="F59" s="17"/>
      <c r="H59" s="2"/>
    </row>
    <row r="60" spans="1:8" x14ac:dyDescent="0.25">
      <c r="A60" s="11">
        <v>25</v>
      </c>
      <c r="B60" s="11" t="s">
        <v>16</v>
      </c>
      <c r="C60" s="11">
        <v>2028</v>
      </c>
      <c r="D60" s="41">
        <f>SUMIFS(Registre!$P$3:$P$15000,Registre!$A$3:$A$15000,25,Registre!$B$3:$B$15000,"février",Registre!$C$3:$C$15000,2028)</f>
        <v>0</v>
      </c>
      <c r="F60" s="17"/>
      <c r="H60" s="2"/>
    </row>
    <row r="61" spans="1:8" x14ac:dyDescent="0.25">
      <c r="A61" s="11">
        <v>26</v>
      </c>
      <c r="B61" s="11" t="s">
        <v>16</v>
      </c>
      <c r="C61" s="11">
        <v>2028</v>
      </c>
      <c r="D61" s="41">
        <f>SUMIFS(Registre!$P$3:$P$15000,Registre!$A$3:$A$15000,26,Registre!$B$3:$B$15000,"février",Registre!$C$3:$C$15000,2028)</f>
        <v>0</v>
      </c>
      <c r="F61" s="18"/>
      <c r="H61" s="2"/>
    </row>
    <row r="62" spans="1:8" x14ac:dyDescent="0.25">
      <c r="A62" s="11">
        <v>27</v>
      </c>
      <c r="B62" s="11" t="s">
        <v>16</v>
      </c>
      <c r="C62" s="11">
        <v>2028</v>
      </c>
      <c r="D62" s="41">
        <f>SUMIFS(Registre!$P$3:$P$15000,Registre!$A$3:$A$15000,27,Registre!$B$3:$B$15000,"février",Registre!$C$3:$C$15000,2028)</f>
        <v>0</v>
      </c>
      <c r="F62" s="18"/>
      <c r="H62" s="2"/>
    </row>
    <row r="63" spans="1:8" x14ac:dyDescent="0.25">
      <c r="A63" s="11">
        <v>28</v>
      </c>
      <c r="B63" s="11" t="s">
        <v>16</v>
      </c>
      <c r="C63" s="11">
        <v>2028</v>
      </c>
      <c r="D63" s="41">
        <f>SUMIFS(Registre!$P$3:$P$15000,Registre!$A$3:$A$15000,28,Registre!$B$3:$B$15000,"février",Registre!$C$3:$C$15000,2028)</f>
        <v>0</v>
      </c>
      <c r="F63" s="18"/>
      <c r="H63" s="2"/>
    </row>
    <row r="64" spans="1:8" x14ac:dyDescent="0.25">
      <c r="A64" s="11">
        <v>29</v>
      </c>
      <c r="B64" s="11" t="s">
        <v>16</v>
      </c>
      <c r="C64" s="11">
        <v>2028</v>
      </c>
      <c r="D64" s="41">
        <f>SUMIFS(Registre!$P$3:$P$15000,Registre!$A$3:$A$15000,29,Registre!$B$3:$B$15000,"février",Registre!$C$3:$C$15000,2028)</f>
        <v>0</v>
      </c>
      <c r="F64" s="18"/>
      <c r="H64" s="2"/>
    </row>
    <row r="65" spans="1:8" x14ac:dyDescent="0.25">
      <c r="A65" s="10">
        <v>1</v>
      </c>
      <c r="B65" s="10" t="s">
        <v>17</v>
      </c>
      <c r="C65" s="10">
        <v>2028</v>
      </c>
      <c r="D65" s="40">
        <f>SUMIFS(Registre!$P$3:$P$15000,Registre!$A$3:$A$15000,1,Registre!$B$3:$B$15000,"mars",Registre!$C$3:$C$15000,2028)</f>
        <v>0</v>
      </c>
      <c r="F65" s="18"/>
      <c r="H65" s="2"/>
    </row>
    <row r="66" spans="1:8" x14ac:dyDescent="0.25">
      <c r="A66" s="10">
        <v>2</v>
      </c>
      <c r="B66" s="10" t="s">
        <v>17</v>
      </c>
      <c r="C66" s="10">
        <v>2028</v>
      </c>
      <c r="D66" s="40">
        <f>SUMIFS(Registre!$P$3:$P$15000,Registre!$A$3:$A$15000,2,Registre!$B$3:$B$15000,"mars",Registre!$C$3:$C$15000,2028)</f>
        <v>0</v>
      </c>
      <c r="F66" s="18"/>
      <c r="H66" s="2"/>
    </row>
    <row r="67" spans="1:8" x14ac:dyDescent="0.25">
      <c r="A67" s="10">
        <v>3</v>
      </c>
      <c r="B67" s="10" t="s">
        <v>17</v>
      </c>
      <c r="C67" s="10">
        <v>2028</v>
      </c>
      <c r="D67" s="40">
        <f>SUMIFS(Registre!$P$3:$P$15000,Registre!$A$3:$A$15000,3,Registre!$B$3:$B$15000,"mars",Registre!$C$3:$C$15000,2028)</f>
        <v>0</v>
      </c>
      <c r="F67" s="18"/>
      <c r="H67" s="2"/>
    </row>
    <row r="68" spans="1:8" x14ac:dyDescent="0.25">
      <c r="A68" s="10">
        <v>4</v>
      </c>
      <c r="B68" s="10" t="s">
        <v>17</v>
      </c>
      <c r="C68" s="10">
        <v>2028</v>
      </c>
      <c r="D68" s="40">
        <f>SUMIFS(Registre!$P$3:$P$15000,Registre!$A$3:$A$15000,4,Registre!$B$3:$B$15000,"mars",Registre!$C$3:$C$15000,2028)</f>
        <v>0</v>
      </c>
      <c r="F68" s="18"/>
      <c r="H68" s="2"/>
    </row>
    <row r="69" spans="1:8" x14ac:dyDescent="0.25">
      <c r="A69" s="10">
        <v>5</v>
      </c>
      <c r="B69" s="10" t="s">
        <v>17</v>
      </c>
      <c r="C69" s="10">
        <v>2028</v>
      </c>
      <c r="D69" s="40">
        <f>SUMIFS(Registre!$P$3:$P$15000,Registre!$A$3:$A$15000,5,Registre!$B$3:$B$15000,"mars",Registre!$C$3:$C$15000,2028)</f>
        <v>0</v>
      </c>
      <c r="F69" s="17"/>
      <c r="H69" s="2"/>
    </row>
    <row r="70" spans="1:8" x14ac:dyDescent="0.25">
      <c r="A70" s="10">
        <v>6</v>
      </c>
      <c r="B70" s="10" t="s">
        <v>17</v>
      </c>
      <c r="C70" s="10">
        <v>2028</v>
      </c>
      <c r="D70" s="40">
        <f>SUMIFS(Registre!$P$3:$P$15000,Registre!$A$3:$A$15000,6,Registre!$B$3:$B$15000,"mars",Registre!$C$3:$C$15000,2028)</f>
        <v>0</v>
      </c>
      <c r="F70" s="17"/>
      <c r="H70" s="2"/>
    </row>
    <row r="71" spans="1:8" x14ac:dyDescent="0.25">
      <c r="A71" s="10">
        <v>7</v>
      </c>
      <c r="B71" s="10" t="s">
        <v>17</v>
      </c>
      <c r="C71" s="10">
        <v>2028</v>
      </c>
      <c r="D71" s="40">
        <f>SUMIFS(Registre!$P$3:$P$15000,Registre!$A$3:$A$15000,7,Registre!$B$3:$B$15000,"mars",Registre!$C$3:$C$15000,2028)</f>
        <v>0</v>
      </c>
      <c r="F71" s="18"/>
      <c r="H71" s="2"/>
    </row>
    <row r="72" spans="1:8" x14ac:dyDescent="0.25">
      <c r="A72" s="10">
        <v>8</v>
      </c>
      <c r="B72" s="10" t="s">
        <v>17</v>
      </c>
      <c r="C72" s="10">
        <v>2028</v>
      </c>
      <c r="D72" s="40">
        <f>SUMIFS(Registre!$P$3:$P$15000,Registre!$A$3:$A$15000,8,Registre!$B$3:$B$15000,"mars",Registre!$C$3:$C$15000,2028)</f>
        <v>0</v>
      </c>
      <c r="F72" s="18"/>
      <c r="H72" s="2"/>
    </row>
    <row r="73" spans="1:8" x14ac:dyDescent="0.25">
      <c r="A73" s="10">
        <v>9</v>
      </c>
      <c r="B73" s="10" t="s">
        <v>17</v>
      </c>
      <c r="C73" s="10">
        <v>2028</v>
      </c>
      <c r="D73" s="40">
        <f>SUMIFS(Registre!$P$3:$P$15000,Registre!$A$3:$A$15000,9,Registre!$B$3:$B$15000,"mars",Registre!$C$3:$C$15000,2028)</f>
        <v>0</v>
      </c>
      <c r="F73" s="18"/>
      <c r="H73" s="2"/>
    </row>
    <row r="74" spans="1:8" x14ac:dyDescent="0.25">
      <c r="A74" s="10">
        <v>10</v>
      </c>
      <c r="B74" s="10" t="s">
        <v>17</v>
      </c>
      <c r="C74" s="10">
        <v>2028</v>
      </c>
      <c r="D74" s="40">
        <f>SUMIFS(Registre!$P$3:$P$15000,Registre!$A$3:$A$15000,10,Registre!$B$3:$B$15000,"mars",Registre!$C$3:$C$15000,2028)</f>
        <v>0</v>
      </c>
      <c r="F74" s="18"/>
      <c r="H74" s="2"/>
    </row>
    <row r="75" spans="1:8" x14ac:dyDescent="0.25">
      <c r="A75" s="10">
        <v>11</v>
      </c>
      <c r="B75" s="10" t="s">
        <v>17</v>
      </c>
      <c r="C75" s="10">
        <v>2028</v>
      </c>
      <c r="D75" s="40">
        <f>SUMIFS(Registre!$P$3:$P$15000,Registre!$A$3:$A$15000,11,Registre!$B$3:$B$15000,"mars",Registre!$C$3:$C$15000,2028)</f>
        <v>0</v>
      </c>
      <c r="F75" s="18"/>
      <c r="H75" s="2"/>
    </row>
    <row r="76" spans="1:8" x14ac:dyDescent="0.25">
      <c r="A76" s="10">
        <v>12</v>
      </c>
      <c r="B76" s="10" t="s">
        <v>17</v>
      </c>
      <c r="C76" s="10">
        <v>2028</v>
      </c>
      <c r="D76" s="40">
        <f>SUMIFS(Registre!$P$3:$P$15000,Registre!$A$3:$A$15000,12,Registre!$B$3:$B$15000,"mars",Registre!$C$3:$C$15000,2028)</f>
        <v>0</v>
      </c>
      <c r="F76" s="18"/>
      <c r="H76" s="2"/>
    </row>
    <row r="77" spans="1:8" x14ac:dyDescent="0.25">
      <c r="A77" s="10">
        <v>13</v>
      </c>
      <c r="B77" s="10" t="s">
        <v>17</v>
      </c>
      <c r="C77" s="10">
        <v>2028</v>
      </c>
      <c r="D77" s="40">
        <f>SUMIFS(Registre!$P$3:$P$15000,Registre!$A$3:$A$15000,13,Registre!$B$3:$B$15000,"mars",Registre!$C$3:$C$15000,2028)</f>
        <v>0</v>
      </c>
      <c r="F77" s="18"/>
      <c r="H77" s="2"/>
    </row>
    <row r="78" spans="1:8" x14ac:dyDescent="0.25">
      <c r="A78" s="10">
        <v>14</v>
      </c>
      <c r="B78" s="10" t="s">
        <v>17</v>
      </c>
      <c r="C78" s="10">
        <v>2028</v>
      </c>
      <c r="D78" s="40">
        <f>SUMIFS(Registre!$P$3:$P$15000,Registre!$A$3:$A$15000,14,Registre!$B$3:$B$15000,"mars",Registre!$C$3:$C$15000,2028)</f>
        <v>0</v>
      </c>
      <c r="F78" s="17"/>
      <c r="H78" s="2"/>
    </row>
    <row r="79" spans="1:8" x14ac:dyDescent="0.25">
      <c r="A79" s="10">
        <v>15</v>
      </c>
      <c r="B79" s="10" t="s">
        <v>17</v>
      </c>
      <c r="C79" s="10">
        <v>2028</v>
      </c>
      <c r="D79" s="40">
        <f>SUMIFS(Registre!$P$3:$P$15000,Registre!$A$3:$A$15000,15,Registre!$B$3:$B$15000,"mars",Registre!$C$3:$C$15000,2028)</f>
        <v>0</v>
      </c>
      <c r="F79" s="17"/>
      <c r="H79" s="2"/>
    </row>
    <row r="80" spans="1:8" x14ac:dyDescent="0.25">
      <c r="A80" s="10">
        <v>16</v>
      </c>
      <c r="B80" s="10" t="s">
        <v>17</v>
      </c>
      <c r="C80" s="10">
        <v>2028</v>
      </c>
      <c r="D80" s="40">
        <f>SUMIFS(Registre!$P$3:$P$15000,Registre!$A$3:$A$15000,16,Registre!$B$3:$B$15000,"mars",Registre!$C$3:$C$15000,2028)</f>
        <v>0</v>
      </c>
      <c r="F80" s="18"/>
      <c r="H80" s="2"/>
    </row>
    <row r="81" spans="1:8" x14ac:dyDescent="0.25">
      <c r="A81" s="10">
        <v>17</v>
      </c>
      <c r="B81" s="10" t="s">
        <v>17</v>
      </c>
      <c r="C81" s="10">
        <v>2028</v>
      </c>
      <c r="D81" s="40">
        <f>SUMIFS(Registre!$P$3:$P$15000,Registre!$A$3:$A$15000,17,Registre!$B$3:$B$15000,"mars",Registre!$C$3:$C$15000,2028)</f>
        <v>0</v>
      </c>
      <c r="F81" s="18"/>
      <c r="H81" s="2"/>
    </row>
    <row r="82" spans="1:8" x14ac:dyDescent="0.25">
      <c r="A82" s="10">
        <v>18</v>
      </c>
      <c r="B82" s="10" t="s">
        <v>17</v>
      </c>
      <c r="C82" s="10">
        <v>2028</v>
      </c>
      <c r="D82" s="40">
        <f>SUMIFS(Registre!$P$3:$P$15000,Registre!$A$3:$A$15000,18,Registre!$B$3:$B$15000,"mars",Registre!$C$3:$C$15000,2028)</f>
        <v>0</v>
      </c>
      <c r="F82" s="18"/>
      <c r="H82" s="2"/>
    </row>
    <row r="83" spans="1:8" x14ac:dyDescent="0.25">
      <c r="A83" s="10">
        <v>19</v>
      </c>
      <c r="B83" s="10" t="s">
        <v>17</v>
      </c>
      <c r="C83" s="10">
        <v>2028</v>
      </c>
      <c r="D83" s="40">
        <f>SUMIFS(Registre!$P$3:$P$15000,Registre!$A$3:$A$15000,19,Registre!$B$3:$B$15000,"mars",Registre!$C$3:$C$15000,2028)</f>
        <v>0</v>
      </c>
      <c r="F83" s="18"/>
      <c r="H83" s="2"/>
    </row>
    <row r="84" spans="1:8" x14ac:dyDescent="0.25">
      <c r="A84" s="10">
        <v>20</v>
      </c>
      <c r="B84" s="10" t="s">
        <v>17</v>
      </c>
      <c r="C84" s="10">
        <v>2028</v>
      </c>
      <c r="D84" s="40">
        <f>SUMIFS(Registre!$P$3:$P$15000,Registre!$A$3:$A$15000,20,Registre!$B$3:$B$15000,"mars",Registre!$C$3:$C$15000,2028)</f>
        <v>0</v>
      </c>
      <c r="F84" s="18"/>
      <c r="H84" s="2"/>
    </row>
    <row r="85" spans="1:8" x14ac:dyDescent="0.25">
      <c r="A85" s="10">
        <v>21</v>
      </c>
      <c r="B85" s="10" t="s">
        <v>17</v>
      </c>
      <c r="C85" s="10">
        <v>2028</v>
      </c>
      <c r="D85" s="40">
        <f>SUMIFS(Registre!$P$3:$P$15000,Registre!$A$3:$A$15000,21,Registre!$B$3:$B$15000,"mars",Registre!$C$3:$C$15000,2028)</f>
        <v>0</v>
      </c>
      <c r="F85" s="18"/>
      <c r="H85" s="2"/>
    </row>
    <row r="86" spans="1:8" x14ac:dyDescent="0.25">
      <c r="A86" s="10">
        <v>22</v>
      </c>
      <c r="B86" s="10" t="s">
        <v>17</v>
      </c>
      <c r="C86" s="10">
        <v>2028</v>
      </c>
      <c r="D86" s="40">
        <f>SUMIFS(Registre!$P$3:$P$15000,Registre!$A$3:$A$15000,22,Registre!$B$3:$B$15000,"mars",Registre!$C$3:$C$15000,2028)</f>
        <v>0</v>
      </c>
      <c r="F86" s="18"/>
      <c r="H86" s="2"/>
    </row>
    <row r="87" spans="1:8" x14ac:dyDescent="0.25">
      <c r="A87" s="10">
        <v>23</v>
      </c>
      <c r="B87" s="10" t="s">
        <v>17</v>
      </c>
      <c r="C87" s="10">
        <v>2028</v>
      </c>
      <c r="D87" s="40">
        <f>SUMIFS(Registre!$P$3:$P$15000,Registre!$A$3:$A$15000,23,Registre!$B$3:$B$15000,"mars",Registre!$C$3:$C$15000,2028)</f>
        <v>0</v>
      </c>
      <c r="F87" s="17"/>
      <c r="H87" s="2"/>
    </row>
    <row r="88" spans="1:8" x14ac:dyDescent="0.25">
      <c r="A88" s="10">
        <v>24</v>
      </c>
      <c r="B88" s="10" t="s">
        <v>17</v>
      </c>
      <c r="C88" s="10">
        <v>2028</v>
      </c>
      <c r="D88" s="40">
        <f>SUMIFS(Registre!$P$3:$P$15000,Registre!$A$3:$A$15000,24,Registre!$B$3:$B$15000,"mars",Registre!$C$3:$C$15000,2028)</f>
        <v>0</v>
      </c>
      <c r="F88" s="17"/>
      <c r="H88" s="2"/>
    </row>
    <row r="89" spans="1:8" x14ac:dyDescent="0.25">
      <c r="A89" s="10">
        <v>25</v>
      </c>
      <c r="B89" s="10" t="s">
        <v>17</v>
      </c>
      <c r="C89" s="10">
        <v>2028</v>
      </c>
      <c r="D89" s="40">
        <f>SUMIFS(Registre!$P$3:$P$15000,Registre!$A$3:$A$15000,25,Registre!$B$3:$B$15000,"mars",Registre!$C$3:$C$15000,2028)</f>
        <v>0</v>
      </c>
      <c r="F89" s="18"/>
      <c r="H89" s="2"/>
    </row>
    <row r="90" spans="1:8" x14ac:dyDescent="0.25">
      <c r="A90" s="10">
        <v>26</v>
      </c>
      <c r="B90" s="10" t="s">
        <v>17</v>
      </c>
      <c r="C90" s="10">
        <v>2028</v>
      </c>
      <c r="D90" s="40">
        <f>SUMIFS(Registre!$P$3:$P$15000,Registre!$A$3:$A$15000,26,Registre!$B$3:$B$15000,"mars",Registre!$C$3:$C$15000,2028)</f>
        <v>0</v>
      </c>
      <c r="F90" s="18"/>
      <c r="H90" s="2"/>
    </row>
    <row r="91" spans="1:8" x14ac:dyDescent="0.25">
      <c r="A91" s="10">
        <v>27</v>
      </c>
      <c r="B91" s="10" t="s">
        <v>17</v>
      </c>
      <c r="C91" s="10">
        <v>2028</v>
      </c>
      <c r="D91" s="40">
        <f>SUMIFS(Registre!$P$3:$P$15000,Registre!$A$3:$A$15000,27,Registre!$B$3:$B$15000,"mars",Registre!$C$3:$C$15000,2028)</f>
        <v>0</v>
      </c>
      <c r="F91" s="18"/>
      <c r="H91" s="2"/>
    </row>
    <row r="92" spans="1:8" x14ac:dyDescent="0.25">
      <c r="A92" s="10">
        <v>28</v>
      </c>
      <c r="B92" s="10" t="s">
        <v>17</v>
      </c>
      <c r="C92" s="10">
        <v>2028</v>
      </c>
      <c r="D92" s="40">
        <f>SUMIFS(Registre!$P$3:$P$15000,Registre!$A$3:$A$15000,28,Registre!$B$3:$B$15000,"mars",Registre!$C$3:$C$15000,2028)</f>
        <v>0</v>
      </c>
      <c r="F92" s="18"/>
      <c r="H92" s="2"/>
    </row>
    <row r="93" spans="1:8" x14ac:dyDescent="0.25">
      <c r="A93" s="10">
        <v>29</v>
      </c>
      <c r="B93" s="10" t="s">
        <v>17</v>
      </c>
      <c r="C93" s="10">
        <v>2028</v>
      </c>
      <c r="D93" s="40">
        <f>SUMIFS(Registre!$P$3:$P$15000,Registre!$A$3:$A$15000,29,Registre!$B$3:$B$15000,"mars",Registre!$C$3:$C$15000,2028)</f>
        <v>0</v>
      </c>
      <c r="F93" s="18"/>
      <c r="H93" s="2"/>
    </row>
    <row r="94" spans="1:8" x14ac:dyDescent="0.25">
      <c r="A94" s="10">
        <v>30</v>
      </c>
      <c r="B94" s="10" t="s">
        <v>17</v>
      </c>
      <c r="C94" s="10">
        <v>2028</v>
      </c>
      <c r="D94" s="40">
        <f>SUMIFS(Registre!$P$3:$P$15000,Registre!$A$3:$A$15000,30,Registre!$B$3:$B$15000,"mars",Registre!$C$3:$C$15000,2028)</f>
        <v>0</v>
      </c>
      <c r="F94" s="18"/>
      <c r="H94" s="2"/>
    </row>
    <row r="95" spans="1:8" x14ac:dyDescent="0.25">
      <c r="A95" s="10">
        <v>31</v>
      </c>
      <c r="B95" s="10" t="s">
        <v>17</v>
      </c>
      <c r="C95" s="10">
        <v>2028</v>
      </c>
      <c r="D95" s="40">
        <f>SUMIFS(Registre!$P$3:$P$15000,Registre!$A$3:$A$15000,31,Registre!$B$3:$B$15000,"mars",Registre!$C$3:$C$15000,2028)</f>
        <v>0</v>
      </c>
      <c r="F95" s="18"/>
      <c r="H95" s="2"/>
    </row>
    <row r="96" spans="1:8" x14ac:dyDescent="0.25">
      <c r="A96" s="11">
        <v>1</v>
      </c>
      <c r="B96" s="11" t="s">
        <v>18</v>
      </c>
      <c r="C96" s="11">
        <v>2028</v>
      </c>
      <c r="D96" s="41">
        <f>SUMIFS(Registre!$P$3:$P$15000,Registre!$A$3:$A$15000,1,Registre!$B$3:$B$15000,"avril",Registre!$C$3:$C$15000,2028)</f>
        <v>0</v>
      </c>
      <c r="F96" s="17"/>
      <c r="H96" s="2"/>
    </row>
    <row r="97" spans="1:8" x14ac:dyDescent="0.25">
      <c r="A97" s="11">
        <v>2</v>
      </c>
      <c r="B97" s="11" t="s">
        <v>18</v>
      </c>
      <c r="C97" s="11">
        <v>2028</v>
      </c>
      <c r="D97" s="41">
        <f>SUMIFS(Registre!$P$3:$P$15000,Registre!$A$3:$A$15000,2,Registre!$B$3:$B$15000,"avril",Registre!$C$3:$C$15000,2028)</f>
        <v>0</v>
      </c>
      <c r="F97" s="17"/>
      <c r="H97" s="2"/>
    </row>
    <row r="98" spans="1:8" x14ac:dyDescent="0.25">
      <c r="A98" s="11">
        <v>3</v>
      </c>
      <c r="B98" s="11" t="s">
        <v>18</v>
      </c>
      <c r="C98" s="11">
        <v>2028</v>
      </c>
      <c r="D98" s="41">
        <f>SUMIFS(Registre!$P$3:$P$15000,Registre!$A$3:$A$15000,3,Registre!$B$3:$B$15000,"avril",Registre!$C$3:$C$15000,2028)</f>
        <v>0</v>
      </c>
      <c r="F98" s="18"/>
      <c r="H98" s="2"/>
    </row>
    <row r="99" spans="1:8" x14ac:dyDescent="0.25">
      <c r="A99" s="11">
        <v>4</v>
      </c>
      <c r="B99" s="11" t="s">
        <v>18</v>
      </c>
      <c r="C99" s="11">
        <v>2028</v>
      </c>
      <c r="D99" s="41">
        <f>SUMIFS(Registre!$P$3:$P$15000,Registre!$A$3:$A$15000,4,Registre!$B$3:$B$15000,"avril",Registre!$C$3:$C$15000,2028)</f>
        <v>0</v>
      </c>
      <c r="F99" s="18"/>
      <c r="H99" s="2"/>
    </row>
    <row r="100" spans="1:8" x14ac:dyDescent="0.25">
      <c r="A100" s="11">
        <v>5</v>
      </c>
      <c r="B100" s="11" t="s">
        <v>18</v>
      </c>
      <c r="C100" s="11">
        <v>2028</v>
      </c>
      <c r="D100" s="41">
        <f>SUMIFS(Registre!$P$3:$P$15000,Registre!$A$3:$A$15000,5,Registre!$B$3:$B$15000,"avril",Registre!$C$3:$C$15000,2028)</f>
        <v>0</v>
      </c>
      <c r="F100" s="18"/>
      <c r="H100" s="2"/>
    </row>
    <row r="101" spans="1:8" x14ac:dyDescent="0.25">
      <c r="A101" s="11">
        <v>6</v>
      </c>
      <c r="B101" s="11" t="s">
        <v>18</v>
      </c>
      <c r="C101" s="11">
        <v>2028</v>
      </c>
      <c r="D101" s="41">
        <f>SUMIFS(Registre!$P$3:$P$15000,Registre!$A$3:$A$15000,6,Registre!$B$3:$B$15000,"avril",Registre!$C$3:$C$15000,2028)</f>
        <v>0</v>
      </c>
      <c r="F101" s="18"/>
      <c r="H101" s="2"/>
    </row>
    <row r="102" spans="1:8" x14ac:dyDescent="0.25">
      <c r="A102" s="11">
        <v>7</v>
      </c>
      <c r="B102" s="11" t="s">
        <v>18</v>
      </c>
      <c r="C102" s="11">
        <v>2028</v>
      </c>
      <c r="D102" s="41">
        <f>SUMIFS(Registre!$P$3:$P$15000,Registre!$A$3:$A$15000,7,Registre!$B$3:$B$15000,"avril",Registre!$C$3:$C$15000,2028)</f>
        <v>0</v>
      </c>
      <c r="F102" s="18"/>
      <c r="H102" s="2"/>
    </row>
    <row r="103" spans="1:8" x14ac:dyDescent="0.25">
      <c r="A103" s="11">
        <v>8</v>
      </c>
      <c r="B103" s="11" t="s">
        <v>18</v>
      </c>
      <c r="C103" s="11">
        <v>2028</v>
      </c>
      <c r="D103" s="41">
        <f>SUMIFS(Registre!$P$3:$P$15000,Registre!$A$3:$A$15000,8,Registre!$B$3:$B$15000,"avril",Registre!$C$3:$C$15000,2028)</f>
        <v>0</v>
      </c>
      <c r="F103" s="18"/>
      <c r="H103" s="2"/>
    </row>
    <row r="104" spans="1:8" x14ac:dyDescent="0.25">
      <c r="A104" s="11">
        <v>9</v>
      </c>
      <c r="B104" s="11" t="s">
        <v>18</v>
      </c>
      <c r="C104" s="11">
        <v>2028</v>
      </c>
      <c r="D104" s="41">
        <f>SUMIFS(Registre!$P$3:$P$15000,Registre!$A$3:$A$15000,9,Registre!$B$3:$B$15000,"avril",Registre!$C$3:$C$15000,2028)</f>
        <v>0</v>
      </c>
      <c r="F104" s="18"/>
      <c r="H104" s="2"/>
    </row>
    <row r="105" spans="1:8" x14ac:dyDescent="0.25">
      <c r="A105" s="11">
        <v>10</v>
      </c>
      <c r="B105" s="11" t="s">
        <v>18</v>
      </c>
      <c r="C105" s="11">
        <v>2028</v>
      </c>
      <c r="D105" s="41">
        <f>SUMIFS(Registre!$P$3:$P$15000,Registre!$A$3:$A$15000,10,Registre!$B$3:$B$15000,"avril",Registre!$C$3:$C$15000,2028)</f>
        <v>0</v>
      </c>
      <c r="F105" s="17"/>
      <c r="H105" s="2"/>
    </row>
    <row r="106" spans="1:8" x14ac:dyDescent="0.25">
      <c r="A106" s="11">
        <v>11</v>
      </c>
      <c r="B106" s="11" t="s">
        <v>18</v>
      </c>
      <c r="C106" s="11">
        <v>2028</v>
      </c>
      <c r="D106" s="41">
        <f>SUMIFS(Registre!$P$3:$P$15000,Registre!$A$3:$A$15000,11,Registre!$B$3:$B$15000,"avril",Registre!$C$3:$C$15000,2028)</f>
        <v>0</v>
      </c>
      <c r="F106" s="17"/>
      <c r="H106" s="2"/>
    </row>
    <row r="107" spans="1:8" x14ac:dyDescent="0.25">
      <c r="A107" s="11">
        <v>12</v>
      </c>
      <c r="B107" s="11" t="s">
        <v>18</v>
      </c>
      <c r="C107" s="11">
        <v>2028</v>
      </c>
      <c r="D107" s="41">
        <f>SUMIFS(Registre!$P$3:$P$15000,Registre!$A$3:$A$15000,12,Registre!$B$3:$B$15000,"avril",Registre!$C$3:$C$15000,2028)</f>
        <v>0</v>
      </c>
      <c r="F107" s="18"/>
      <c r="H107" s="2"/>
    </row>
    <row r="108" spans="1:8" x14ac:dyDescent="0.25">
      <c r="A108" s="11">
        <v>13</v>
      </c>
      <c r="B108" s="11" t="s">
        <v>18</v>
      </c>
      <c r="C108" s="11">
        <v>2028</v>
      </c>
      <c r="D108" s="41">
        <f>SUMIFS(Registre!$P$3:$P$15000,Registre!$A$3:$A$15000,13,Registre!$B$3:$B$15000,"avril",Registre!$C$3:$C$15000,2028)</f>
        <v>0</v>
      </c>
      <c r="F108" s="18"/>
      <c r="H108" s="2"/>
    </row>
    <row r="109" spans="1:8" x14ac:dyDescent="0.25">
      <c r="A109" s="11">
        <v>14</v>
      </c>
      <c r="B109" s="11" t="s">
        <v>18</v>
      </c>
      <c r="C109" s="11">
        <v>2028</v>
      </c>
      <c r="D109" s="41">
        <f>SUMIFS(Registre!$P$3:$P$15000,Registre!$A$3:$A$15000,14,Registre!$B$3:$B$15000,"avril",Registre!$C$3:$C$15000,2028)</f>
        <v>0</v>
      </c>
      <c r="F109" s="18"/>
      <c r="H109" s="2"/>
    </row>
    <row r="110" spans="1:8" x14ac:dyDescent="0.25">
      <c r="A110" s="11">
        <v>15</v>
      </c>
      <c r="B110" s="11" t="s">
        <v>18</v>
      </c>
      <c r="C110" s="11">
        <v>2028</v>
      </c>
      <c r="D110" s="41">
        <f>SUMIFS(Registre!$P$3:$P$15000,Registre!$A$3:$A$15000,15,Registre!$B$3:$B$15000,"avril",Registre!$C$3:$C$15000,2028)</f>
        <v>0</v>
      </c>
      <c r="F110" s="18"/>
      <c r="H110" s="2"/>
    </row>
    <row r="111" spans="1:8" x14ac:dyDescent="0.25">
      <c r="A111" s="11">
        <v>16</v>
      </c>
      <c r="B111" s="11" t="s">
        <v>18</v>
      </c>
      <c r="C111" s="11">
        <v>2028</v>
      </c>
      <c r="D111" s="41">
        <f>SUMIFS(Registre!$P$3:$P$15000,Registre!$A$3:$A$15000,16,Registre!$B$3:$B$15000,"avril",Registre!$C$3:$C$15000,2028)</f>
        <v>0</v>
      </c>
      <c r="F111" s="18"/>
      <c r="H111" s="2"/>
    </row>
    <row r="112" spans="1:8" x14ac:dyDescent="0.25">
      <c r="A112" s="11">
        <v>17</v>
      </c>
      <c r="B112" s="11" t="s">
        <v>18</v>
      </c>
      <c r="C112" s="11">
        <v>2028</v>
      </c>
      <c r="D112" s="41">
        <f>SUMIFS(Registre!$P$3:$P$15000,Registre!$A$3:$A$15000,17,Registre!$B$3:$B$15000,"avril",Registre!$C$3:$C$15000,2028)</f>
        <v>0</v>
      </c>
      <c r="F112" s="18"/>
      <c r="H112" s="2"/>
    </row>
    <row r="113" spans="1:8" x14ac:dyDescent="0.25">
      <c r="A113" s="11">
        <v>18</v>
      </c>
      <c r="B113" s="11" t="s">
        <v>18</v>
      </c>
      <c r="C113" s="11">
        <v>2028</v>
      </c>
      <c r="D113" s="41">
        <f>SUMIFS(Registre!$P$3:$P$15000,Registre!$A$3:$A$15000,18,Registre!$B$3:$B$15000,"avril",Registre!$C$3:$C$15000,2028)</f>
        <v>0</v>
      </c>
      <c r="F113" s="18"/>
      <c r="H113" s="2"/>
    </row>
    <row r="114" spans="1:8" x14ac:dyDescent="0.25">
      <c r="A114" s="11">
        <v>19</v>
      </c>
      <c r="B114" s="11" t="s">
        <v>18</v>
      </c>
      <c r="C114" s="11">
        <v>2028</v>
      </c>
      <c r="D114" s="41">
        <f>SUMIFS(Registre!$P$3:$P$15000,Registre!$A$3:$A$15000,19,Registre!$B$3:$B$15000,"avril",Registre!$C$3:$C$15000,2028)</f>
        <v>0</v>
      </c>
    </row>
    <row r="115" spans="1:8" x14ac:dyDescent="0.25">
      <c r="A115" s="11">
        <v>20</v>
      </c>
      <c r="B115" s="11" t="s">
        <v>18</v>
      </c>
      <c r="C115" s="11">
        <v>2028</v>
      </c>
      <c r="D115" s="41">
        <f>SUMIFS(Registre!$P$3:$P$15000,Registre!$A$3:$A$15000,20,Registre!$B$3:$B$15000,"avril",Registre!$C$3:$C$15000,2028)</f>
        <v>0</v>
      </c>
    </row>
    <row r="116" spans="1:8" x14ac:dyDescent="0.25">
      <c r="A116" s="11">
        <v>21</v>
      </c>
      <c r="B116" s="11" t="s">
        <v>18</v>
      </c>
      <c r="C116" s="11">
        <v>2028</v>
      </c>
      <c r="D116" s="41">
        <f>SUMIFS(Registre!$P$3:$P$15000,Registre!$A$3:$A$15000,21,Registre!$B$3:$B$15000,"avril",Registre!$C$3:$C$15000,2028)</f>
        <v>0</v>
      </c>
    </row>
    <row r="117" spans="1:8" x14ac:dyDescent="0.25">
      <c r="A117" s="11">
        <v>22</v>
      </c>
      <c r="B117" s="11" t="s">
        <v>18</v>
      </c>
      <c r="C117" s="11">
        <v>2028</v>
      </c>
      <c r="D117" s="41">
        <f>SUMIFS(Registre!$P$3:$P$15000,Registre!$A$3:$A$15000,22,Registre!$B$3:$B$15000,"avril",Registre!$C$3:$C$15000,2028)</f>
        <v>0</v>
      </c>
    </row>
    <row r="118" spans="1:8" x14ac:dyDescent="0.25">
      <c r="A118" s="11">
        <v>23</v>
      </c>
      <c r="B118" s="11" t="s">
        <v>18</v>
      </c>
      <c r="C118" s="11">
        <v>2028</v>
      </c>
      <c r="D118" s="41">
        <f>SUMIFS(Registre!$P$3:$P$15000,Registre!$A$3:$A$15000,23,Registre!$B$3:$B$15000,"avril",Registre!$C$3:$C$15000,2028)</f>
        <v>0</v>
      </c>
    </row>
    <row r="119" spans="1:8" x14ac:dyDescent="0.25">
      <c r="A119" s="11">
        <v>24</v>
      </c>
      <c r="B119" s="11" t="s">
        <v>18</v>
      </c>
      <c r="C119" s="11">
        <v>2028</v>
      </c>
      <c r="D119" s="41">
        <f>SUMIFS(Registre!$P$3:$P$15000,Registre!$A$3:$A$15000,24,Registre!$B$3:$B$15000,"avril",Registre!$C$3:$C$15000,2028)</f>
        <v>0</v>
      </c>
    </row>
    <row r="120" spans="1:8" x14ac:dyDescent="0.25">
      <c r="A120" s="11">
        <v>25</v>
      </c>
      <c r="B120" s="11" t="s">
        <v>18</v>
      </c>
      <c r="C120" s="11">
        <v>2028</v>
      </c>
      <c r="D120" s="41">
        <f>SUMIFS(Registre!$P$3:$P$15000,Registre!$A$3:$A$15000,25,Registre!$B$3:$B$15000,"avril",Registre!$C$3:$C$15000,2028)</f>
        <v>0</v>
      </c>
    </row>
    <row r="121" spans="1:8" x14ac:dyDescent="0.25">
      <c r="A121" s="11">
        <v>26</v>
      </c>
      <c r="B121" s="11" t="s">
        <v>18</v>
      </c>
      <c r="C121" s="11">
        <v>2028</v>
      </c>
      <c r="D121" s="41">
        <f>SUMIFS(Registre!$P$3:$P$15000,Registre!$A$3:$A$15000,26,Registre!$B$3:$B$15000,"avril",Registre!$C$3:$C$15000,2028)</f>
        <v>0</v>
      </c>
    </row>
    <row r="122" spans="1:8" x14ac:dyDescent="0.25">
      <c r="A122" s="11">
        <v>27</v>
      </c>
      <c r="B122" s="11" t="s">
        <v>18</v>
      </c>
      <c r="C122" s="11">
        <v>2028</v>
      </c>
      <c r="D122" s="41">
        <f>SUMIFS(Registre!$P$3:$P$15000,Registre!$A$3:$A$15000,27,Registre!$B$3:$B$15000,"avril",Registre!$C$3:$C$15000,2028)</f>
        <v>0</v>
      </c>
    </row>
    <row r="123" spans="1:8" x14ac:dyDescent="0.25">
      <c r="A123" s="11">
        <v>28</v>
      </c>
      <c r="B123" s="11" t="s">
        <v>18</v>
      </c>
      <c r="C123" s="11">
        <v>2028</v>
      </c>
      <c r="D123" s="41">
        <f>SUMIFS(Registre!$P$3:$P$15000,Registre!$A$3:$A$15000,28,Registre!$B$3:$B$15000,"avril",Registre!$C$3:$C$15000,2028)</f>
        <v>0</v>
      </c>
    </row>
    <row r="124" spans="1:8" x14ac:dyDescent="0.25">
      <c r="A124" s="11">
        <v>29</v>
      </c>
      <c r="B124" s="11" t="s">
        <v>18</v>
      </c>
      <c r="C124" s="11">
        <v>2028</v>
      </c>
      <c r="D124" s="41">
        <f>SUMIFS(Registre!$P$3:$P$15000,Registre!$A$3:$A$15000,29,Registre!$B$3:$B$15000,"avril",Registre!$C$3:$C$15000,2028)</f>
        <v>0</v>
      </c>
    </row>
    <row r="125" spans="1:8" x14ac:dyDescent="0.25">
      <c r="A125" s="11">
        <v>30</v>
      </c>
      <c r="B125" s="11" t="s">
        <v>18</v>
      </c>
      <c r="C125" s="11">
        <v>2028</v>
      </c>
      <c r="D125" s="41">
        <f>SUMIFS(Registre!$P$3:$P$15000,Registre!$A$3:$A$15000,30,Registre!$B$3:$B$15000,"avril",Registre!$C$3:$C$15000,2028)</f>
        <v>0</v>
      </c>
    </row>
    <row r="126" spans="1:8" x14ac:dyDescent="0.25">
      <c r="A126" s="10">
        <v>1</v>
      </c>
      <c r="B126" s="10" t="s">
        <v>19</v>
      </c>
      <c r="C126" s="10">
        <v>2028</v>
      </c>
      <c r="D126" s="40">
        <f>SUMIFS(Registre!$P$3:$P$15000,Registre!$A$3:$A$15000,1,Registre!$B$3:$B$15000,"mai",Registre!$C$3:$C$15000,2028)</f>
        <v>0</v>
      </c>
    </row>
    <row r="127" spans="1:8" x14ac:dyDescent="0.25">
      <c r="A127" s="10">
        <v>2</v>
      </c>
      <c r="B127" s="10" t="s">
        <v>19</v>
      </c>
      <c r="C127" s="10">
        <v>2028</v>
      </c>
      <c r="D127" s="40">
        <f>SUMIFS(Registre!$P$3:$P$15000,Registre!$A$3:$A$15000,2,Registre!$B$3:$B$15000,"mai",Registre!$C$3:$C$15000,2028)</f>
        <v>0</v>
      </c>
    </row>
    <row r="128" spans="1:8" x14ac:dyDescent="0.25">
      <c r="A128" s="10">
        <v>3</v>
      </c>
      <c r="B128" s="10" t="s">
        <v>19</v>
      </c>
      <c r="C128" s="10">
        <v>2028</v>
      </c>
      <c r="D128" s="40">
        <f>SUMIFS(Registre!$P$3:$P$15000,Registre!$A$3:$A$15000,3,Registre!$B$3:$B$15000,"mai",Registre!$C$3:$C$15000,2028)</f>
        <v>0</v>
      </c>
    </row>
    <row r="129" spans="1:4" x14ac:dyDescent="0.25">
      <c r="A129" s="10">
        <v>4</v>
      </c>
      <c r="B129" s="10" t="s">
        <v>19</v>
      </c>
      <c r="C129" s="10">
        <v>2028</v>
      </c>
      <c r="D129" s="40">
        <f>SUMIFS(Registre!$P$3:$P$15000,Registre!$A$3:$A$15000,4,Registre!$B$3:$B$15000,"mai",Registre!$C$3:$C$15000,2028)</f>
        <v>0</v>
      </c>
    </row>
    <row r="130" spans="1:4" x14ac:dyDescent="0.25">
      <c r="A130" s="10">
        <v>5</v>
      </c>
      <c r="B130" s="10" t="s">
        <v>19</v>
      </c>
      <c r="C130" s="10">
        <v>2028</v>
      </c>
      <c r="D130" s="40">
        <f>SUMIFS(Registre!$P$3:$P$15000,Registre!$A$3:$A$15000,5,Registre!$B$3:$B$15000,"mai",Registre!$C$3:$C$15000,2028)</f>
        <v>0</v>
      </c>
    </row>
    <row r="131" spans="1:4" x14ac:dyDescent="0.25">
      <c r="A131" s="10">
        <v>6</v>
      </c>
      <c r="B131" s="10" t="s">
        <v>19</v>
      </c>
      <c r="C131" s="10">
        <v>2028</v>
      </c>
      <c r="D131" s="40">
        <f>SUMIFS(Registre!$P$3:$P$15000,Registre!$A$3:$A$15000,6,Registre!$B$3:$B$15000,"mai",Registre!$C$3:$C$15000,2028)</f>
        <v>0</v>
      </c>
    </row>
    <row r="132" spans="1:4" x14ac:dyDescent="0.25">
      <c r="A132" s="10">
        <v>7</v>
      </c>
      <c r="B132" s="10" t="s">
        <v>19</v>
      </c>
      <c r="C132" s="10">
        <v>2028</v>
      </c>
      <c r="D132" s="40">
        <f>SUMIFS(Registre!$P$3:$P$15000,Registre!$A$3:$A$15000,7,Registre!$B$3:$B$15000,"mai",Registre!$C$3:$C$15000,2028)</f>
        <v>0</v>
      </c>
    </row>
    <row r="133" spans="1:4" x14ac:dyDescent="0.25">
      <c r="A133" s="10">
        <v>8</v>
      </c>
      <c r="B133" s="10" t="s">
        <v>19</v>
      </c>
      <c r="C133" s="10">
        <v>2028</v>
      </c>
      <c r="D133" s="40">
        <f>SUMIFS(Registre!$P$3:$P$15000,Registre!$A$3:$A$15000,8,Registre!$B$3:$B$15000,"mai",Registre!$C$3:$C$15000,2028)</f>
        <v>0</v>
      </c>
    </row>
    <row r="134" spans="1:4" x14ac:dyDescent="0.25">
      <c r="A134" s="10">
        <v>9</v>
      </c>
      <c r="B134" s="10" t="s">
        <v>19</v>
      </c>
      <c r="C134" s="10">
        <v>2028</v>
      </c>
      <c r="D134" s="40">
        <f>SUMIFS(Registre!$P$3:$P$15000,Registre!$A$3:$A$15000,9,Registre!$B$3:$B$15000,"mai",Registre!$C$3:$C$15000,2028)</f>
        <v>0</v>
      </c>
    </row>
    <row r="135" spans="1:4" x14ac:dyDescent="0.25">
      <c r="A135" s="10">
        <v>10</v>
      </c>
      <c r="B135" s="10" t="s">
        <v>19</v>
      </c>
      <c r="C135" s="10">
        <v>2028</v>
      </c>
      <c r="D135" s="40">
        <f>SUMIFS(Registre!$P$3:$P$15000,Registre!$A$3:$A$15000,10,Registre!$B$3:$B$15000,"mai",Registre!$C$3:$C$15000,2028)</f>
        <v>0</v>
      </c>
    </row>
    <row r="136" spans="1:4" x14ac:dyDescent="0.25">
      <c r="A136" s="10">
        <v>11</v>
      </c>
      <c r="B136" s="10" t="s">
        <v>19</v>
      </c>
      <c r="C136" s="10">
        <v>2028</v>
      </c>
      <c r="D136" s="40">
        <f>SUMIFS(Registre!$P$3:$P$15000,Registre!$A$3:$A$15000,11,Registre!$B$3:$B$15000,"mai",Registre!$C$3:$C$15000,2028)</f>
        <v>0</v>
      </c>
    </row>
    <row r="137" spans="1:4" x14ac:dyDescent="0.25">
      <c r="A137" s="10">
        <v>12</v>
      </c>
      <c r="B137" s="10" t="s">
        <v>19</v>
      </c>
      <c r="C137" s="10">
        <v>2028</v>
      </c>
      <c r="D137" s="40">
        <f>SUMIFS(Registre!$P$3:$P$15000,Registre!$A$3:$A$15000,12,Registre!$B$3:$B$15000,"mai",Registre!$C$3:$C$15000,2028)</f>
        <v>0</v>
      </c>
    </row>
    <row r="138" spans="1:4" x14ac:dyDescent="0.25">
      <c r="A138" s="10">
        <v>13</v>
      </c>
      <c r="B138" s="10" t="s">
        <v>19</v>
      </c>
      <c r="C138" s="10">
        <v>2028</v>
      </c>
      <c r="D138" s="40">
        <f>SUMIFS(Registre!$P$3:$P$15000,Registre!$A$3:$A$15000,13,Registre!$B$3:$B$15000,"mai",Registre!$C$3:$C$15000,2028)</f>
        <v>0</v>
      </c>
    </row>
    <row r="139" spans="1:4" x14ac:dyDescent="0.25">
      <c r="A139" s="10">
        <v>14</v>
      </c>
      <c r="B139" s="10" t="s">
        <v>19</v>
      </c>
      <c r="C139" s="10">
        <v>2028</v>
      </c>
      <c r="D139" s="40">
        <f>SUMIFS(Registre!$P$3:$P$15000,Registre!$A$3:$A$15000,14,Registre!$B$3:$B$15000,"mai",Registre!$C$3:$C$15000,2028)</f>
        <v>0</v>
      </c>
    </row>
    <row r="140" spans="1:4" x14ac:dyDescent="0.25">
      <c r="A140" s="10">
        <v>15</v>
      </c>
      <c r="B140" s="10" t="s">
        <v>19</v>
      </c>
      <c r="C140" s="10">
        <v>2028</v>
      </c>
      <c r="D140" s="40">
        <f>SUMIFS(Registre!$P$3:$P$15000,Registre!$A$3:$A$15000,15,Registre!$B$3:$B$15000,"mai",Registre!$C$3:$C$15000,2028)</f>
        <v>0</v>
      </c>
    </row>
    <row r="141" spans="1:4" x14ac:dyDescent="0.25">
      <c r="A141" s="10">
        <v>16</v>
      </c>
      <c r="B141" s="10" t="s">
        <v>19</v>
      </c>
      <c r="C141" s="10">
        <v>2028</v>
      </c>
      <c r="D141" s="40">
        <f>SUMIFS(Registre!$P$3:$P$15000,Registre!$A$3:$A$15000,16,Registre!$B$3:$B$15000,"mai",Registre!$C$3:$C$15000,2028)</f>
        <v>0</v>
      </c>
    </row>
    <row r="142" spans="1:4" x14ac:dyDescent="0.25">
      <c r="A142" s="10">
        <v>17</v>
      </c>
      <c r="B142" s="10" t="s">
        <v>19</v>
      </c>
      <c r="C142" s="10">
        <v>2028</v>
      </c>
      <c r="D142" s="40">
        <f>SUMIFS(Registre!$P$3:$P$15000,Registre!$A$3:$A$15000,17,Registre!$B$3:$B$15000,"mai",Registre!$C$3:$C$15000,2028)</f>
        <v>0</v>
      </c>
    </row>
    <row r="143" spans="1:4" x14ac:dyDescent="0.25">
      <c r="A143" s="10">
        <v>18</v>
      </c>
      <c r="B143" s="10" t="s">
        <v>19</v>
      </c>
      <c r="C143" s="10">
        <v>2028</v>
      </c>
      <c r="D143" s="40">
        <f>SUMIFS(Registre!$P$3:$P$15000,Registre!$A$3:$A$15000,18,Registre!$B$3:$B$15000,"mai",Registre!$C$3:$C$15000,2028)</f>
        <v>0</v>
      </c>
    </row>
    <row r="144" spans="1:4" x14ac:dyDescent="0.25">
      <c r="A144" s="10">
        <v>19</v>
      </c>
      <c r="B144" s="10" t="s">
        <v>19</v>
      </c>
      <c r="C144" s="10">
        <v>2028</v>
      </c>
      <c r="D144" s="40">
        <f>SUMIFS(Registre!$P$3:$P$15000,Registre!$A$3:$A$15000,19,Registre!$B$3:$B$15000,"mai",Registre!$C$3:$C$15000,2028)</f>
        <v>0</v>
      </c>
    </row>
    <row r="145" spans="1:4" x14ac:dyDescent="0.25">
      <c r="A145" s="10">
        <v>20</v>
      </c>
      <c r="B145" s="10" t="s">
        <v>19</v>
      </c>
      <c r="C145" s="10">
        <v>2028</v>
      </c>
      <c r="D145" s="40">
        <f>SUMIFS(Registre!$P$3:$P$15000,Registre!$A$3:$A$15000,20,Registre!$B$3:$B$15000,"mai",Registre!$C$3:$C$15000,2028)</f>
        <v>0</v>
      </c>
    </row>
    <row r="146" spans="1:4" x14ac:dyDescent="0.25">
      <c r="A146" s="10">
        <v>21</v>
      </c>
      <c r="B146" s="10" t="s">
        <v>19</v>
      </c>
      <c r="C146" s="10">
        <v>2028</v>
      </c>
      <c r="D146" s="40">
        <f>SUMIFS(Registre!$P$3:$P$15000,Registre!$A$3:$A$15000,21,Registre!$B$3:$B$15000,"mai",Registre!$C$3:$C$15000,2028)</f>
        <v>0</v>
      </c>
    </row>
    <row r="147" spans="1:4" x14ac:dyDescent="0.25">
      <c r="A147" s="10">
        <v>22</v>
      </c>
      <c r="B147" s="10" t="s">
        <v>19</v>
      </c>
      <c r="C147" s="10">
        <v>2028</v>
      </c>
      <c r="D147" s="40">
        <f>SUMIFS(Registre!$P$3:$P$15000,Registre!$A$3:$A$15000,22,Registre!$B$3:$B$15000,"mai",Registre!$C$3:$C$15000,2028)</f>
        <v>0</v>
      </c>
    </row>
    <row r="148" spans="1:4" x14ac:dyDescent="0.25">
      <c r="A148" s="10">
        <v>23</v>
      </c>
      <c r="B148" s="10" t="s">
        <v>19</v>
      </c>
      <c r="C148" s="10">
        <v>2028</v>
      </c>
      <c r="D148" s="40">
        <f>SUMIFS(Registre!$P$3:$P$15000,Registre!$A$3:$A$15000,23,Registre!$B$3:$B$15000,"mai",Registre!$C$3:$C$15000,2028)</f>
        <v>0</v>
      </c>
    </row>
    <row r="149" spans="1:4" x14ac:dyDescent="0.25">
      <c r="A149" s="10">
        <v>24</v>
      </c>
      <c r="B149" s="10" t="s">
        <v>19</v>
      </c>
      <c r="C149" s="10">
        <v>2028</v>
      </c>
      <c r="D149" s="40">
        <f>SUMIFS(Registre!$P$3:$P$15000,Registre!$A$3:$A$15000,24,Registre!$B$3:$B$15000,"mai",Registre!$C$3:$C$15000,2028)</f>
        <v>0</v>
      </c>
    </row>
    <row r="150" spans="1:4" x14ac:dyDescent="0.25">
      <c r="A150" s="10">
        <v>25</v>
      </c>
      <c r="B150" s="10" t="s">
        <v>19</v>
      </c>
      <c r="C150" s="10">
        <v>2028</v>
      </c>
      <c r="D150" s="40">
        <f>SUMIFS(Registre!$P$3:$P$15000,Registre!$A$3:$A$15000,25,Registre!$B$3:$B$15000,"mai",Registre!$C$3:$C$15000,2028)</f>
        <v>0</v>
      </c>
    </row>
    <row r="151" spans="1:4" x14ac:dyDescent="0.25">
      <c r="A151" s="10">
        <v>26</v>
      </c>
      <c r="B151" s="10" t="s">
        <v>19</v>
      </c>
      <c r="C151" s="10">
        <v>2028</v>
      </c>
      <c r="D151" s="40">
        <f>SUMIFS(Registre!$P$3:$P$15000,Registre!$A$3:$A$15000,26,Registre!$B$3:$B$15000,"mai",Registre!$C$3:$C$15000,2028)</f>
        <v>0</v>
      </c>
    </row>
    <row r="152" spans="1:4" x14ac:dyDescent="0.25">
      <c r="A152" s="10">
        <v>27</v>
      </c>
      <c r="B152" s="10" t="s">
        <v>19</v>
      </c>
      <c r="C152" s="10">
        <v>2028</v>
      </c>
      <c r="D152" s="40">
        <f>SUMIFS(Registre!$P$3:$P$15000,Registre!$A$3:$A$15000,27,Registre!$B$3:$B$15000,"mai",Registre!$C$3:$C$15000,2028)</f>
        <v>0</v>
      </c>
    </row>
    <row r="153" spans="1:4" x14ac:dyDescent="0.25">
      <c r="A153" s="10">
        <v>28</v>
      </c>
      <c r="B153" s="10" t="s">
        <v>19</v>
      </c>
      <c r="C153" s="10">
        <v>2028</v>
      </c>
      <c r="D153" s="40">
        <f>SUMIFS(Registre!$P$3:$P$15000,Registre!$A$3:$A$15000,28,Registre!$B$3:$B$15000,"mai",Registre!$C$3:$C$15000,2028)</f>
        <v>0</v>
      </c>
    </row>
    <row r="154" spans="1:4" x14ac:dyDescent="0.25">
      <c r="A154" s="10">
        <v>29</v>
      </c>
      <c r="B154" s="10" t="s">
        <v>19</v>
      </c>
      <c r="C154" s="10">
        <v>2028</v>
      </c>
      <c r="D154" s="40">
        <f>SUMIFS(Registre!$P$3:$P$15000,Registre!$A$3:$A$15000,29,Registre!$B$3:$B$15000,"mai",Registre!$C$3:$C$15000,2028)</f>
        <v>0</v>
      </c>
    </row>
    <row r="155" spans="1:4" x14ac:dyDescent="0.25">
      <c r="A155" s="10">
        <v>30</v>
      </c>
      <c r="B155" s="10" t="s">
        <v>19</v>
      </c>
      <c r="C155" s="10">
        <v>2028</v>
      </c>
      <c r="D155" s="40">
        <f>SUMIFS(Registre!$P$3:$P$15000,Registre!$A$3:$A$15000,30,Registre!$B$3:$B$15000,"mai",Registre!$C$3:$C$15000,2028)</f>
        <v>0</v>
      </c>
    </row>
    <row r="156" spans="1:4" x14ac:dyDescent="0.25">
      <c r="A156" s="10">
        <v>31</v>
      </c>
      <c r="B156" s="10" t="s">
        <v>19</v>
      </c>
      <c r="C156" s="10">
        <v>2028</v>
      </c>
      <c r="D156" s="40">
        <f>SUMIFS(Registre!$P$3:$P$15000,Registre!$A$3:$A$15000,31,Registre!$B$3:$B$15000,"mai",Registre!$C$3:$C$15000,2028)</f>
        <v>0</v>
      </c>
    </row>
    <row r="157" spans="1:4" x14ac:dyDescent="0.25">
      <c r="A157" s="11">
        <v>1</v>
      </c>
      <c r="B157" s="11" t="s">
        <v>20</v>
      </c>
      <c r="C157" s="11">
        <v>2028</v>
      </c>
      <c r="D157" s="41">
        <f>SUMIFS(Registre!$P$3:$P$15000,Registre!$A$3:$A$15000,1,Registre!$B$3:$B$15000,"juin",Registre!$C$3:$C$15000,2028)</f>
        <v>0</v>
      </c>
    </row>
    <row r="158" spans="1:4" x14ac:dyDescent="0.25">
      <c r="A158" s="11">
        <v>2</v>
      </c>
      <c r="B158" s="11" t="s">
        <v>20</v>
      </c>
      <c r="C158" s="11">
        <v>2028</v>
      </c>
      <c r="D158" s="41">
        <f>SUMIFS(Registre!$P$3:$P$15000,Registre!$A$3:$A$15000,2,Registre!$B$3:$B$15000,"juin",Registre!$C$3:$C$15000,2028)</f>
        <v>0</v>
      </c>
    </row>
    <row r="159" spans="1:4" x14ac:dyDescent="0.25">
      <c r="A159" s="11">
        <v>3</v>
      </c>
      <c r="B159" s="11" t="s">
        <v>20</v>
      </c>
      <c r="C159" s="11">
        <v>2028</v>
      </c>
      <c r="D159" s="41">
        <f>SUMIFS(Registre!$P$3:$P$15000,Registre!$A$3:$A$15000,3,Registre!$B$3:$B$15000,"juin",Registre!$C$3:$C$15000,2028)</f>
        <v>0</v>
      </c>
    </row>
    <row r="160" spans="1:4" x14ac:dyDescent="0.25">
      <c r="A160" s="11">
        <v>4</v>
      </c>
      <c r="B160" s="11" t="s">
        <v>20</v>
      </c>
      <c r="C160" s="11">
        <v>2028</v>
      </c>
      <c r="D160" s="41">
        <f>SUMIFS(Registre!$P$3:$P$15000,Registre!$A$3:$A$15000,4,Registre!$B$3:$B$15000,"juin",Registre!$C$3:$C$15000,2028)</f>
        <v>0</v>
      </c>
    </row>
    <row r="161" spans="1:4" x14ac:dyDescent="0.25">
      <c r="A161" s="11">
        <v>5</v>
      </c>
      <c r="B161" s="11" t="s">
        <v>20</v>
      </c>
      <c r="C161" s="11">
        <v>2028</v>
      </c>
      <c r="D161" s="41">
        <f>SUMIFS(Registre!$P$3:$P$15000,Registre!$A$3:$A$15000,5,Registre!$B$3:$B$15000,"juin",Registre!$C$3:$C$15000,2028)</f>
        <v>0</v>
      </c>
    </row>
    <row r="162" spans="1:4" x14ac:dyDescent="0.25">
      <c r="A162" s="11">
        <v>6</v>
      </c>
      <c r="B162" s="11" t="s">
        <v>20</v>
      </c>
      <c r="C162" s="11">
        <v>2028</v>
      </c>
      <c r="D162" s="41">
        <f>SUMIFS(Registre!$P$3:$P$15000,Registre!$A$3:$A$15000,6,Registre!$B$3:$B$15000,"juin",Registre!$C$3:$C$15000,2028)</f>
        <v>0</v>
      </c>
    </row>
    <row r="163" spans="1:4" x14ac:dyDescent="0.25">
      <c r="A163" s="11">
        <v>7</v>
      </c>
      <c r="B163" s="11" t="s">
        <v>20</v>
      </c>
      <c r="C163" s="11">
        <v>2028</v>
      </c>
      <c r="D163" s="41">
        <f>SUMIFS(Registre!$P$3:$P$15000,Registre!$A$3:$A$15000,7,Registre!$B$3:$B$15000,"juin",Registre!$C$3:$C$15000,2028)</f>
        <v>0</v>
      </c>
    </row>
    <row r="164" spans="1:4" x14ac:dyDescent="0.25">
      <c r="A164" s="11">
        <v>8</v>
      </c>
      <c r="B164" s="11" t="s">
        <v>20</v>
      </c>
      <c r="C164" s="11">
        <v>2028</v>
      </c>
      <c r="D164" s="41">
        <f>SUMIFS(Registre!$P$3:$P$15000,Registre!$A$3:$A$15000,8,Registre!$B$3:$B$15000,"juin",Registre!$C$3:$C$15000,2028)</f>
        <v>0</v>
      </c>
    </row>
    <row r="165" spans="1:4" x14ac:dyDescent="0.25">
      <c r="A165" s="11">
        <v>9</v>
      </c>
      <c r="B165" s="11" t="s">
        <v>20</v>
      </c>
      <c r="C165" s="11">
        <v>2028</v>
      </c>
      <c r="D165" s="41">
        <f>SUMIFS(Registre!$P$3:$P$15000,Registre!$A$3:$A$15000,9,Registre!$B$3:$B$15000,"juin",Registre!$C$3:$C$15000,2028)</f>
        <v>0</v>
      </c>
    </row>
    <row r="166" spans="1:4" x14ac:dyDescent="0.25">
      <c r="A166" s="11">
        <v>10</v>
      </c>
      <c r="B166" s="11" t="s">
        <v>20</v>
      </c>
      <c r="C166" s="11">
        <v>2028</v>
      </c>
      <c r="D166" s="41">
        <f>SUMIFS(Registre!$P$3:$P$15000,Registre!$A$3:$A$15000,10,Registre!$B$3:$B$15000,"juin",Registre!$C$3:$C$15000,2028)</f>
        <v>0</v>
      </c>
    </row>
    <row r="167" spans="1:4" x14ac:dyDescent="0.25">
      <c r="A167" s="11">
        <v>11</v>
      </c>
      <c r="B167" s="11" t="s">
        <v>20</v>
      </c>
      <c r="C167" s="11">
        <v>2028</v>
      </c>
      <c r="D167" s="41">
        <f>SUMIFS(Registre!$P$3:$P$15000,Registre!$A$3:$A$15000,11,Registre!$B$3:$B$15000,"juin",Registre!$C$3:$C$15000,2028)</f>
        <v>0</v>
      </c>
    </row>
    <row r="168" spans="1:4" x14ac:dyDescent="0.25">
      <c r="A168" s="11">
        <v>12</v>
      </c>
      <c r="B168" s="11" t="s">
        <v>20</v>
      </c>
      <c r="C168" s="11">
        <v>2028</v>
      </c>
      <c r="D168" s="41">
        <f>SUMIFS(Registre!$P$3:$P$15000,Registre!$A$3:$A$15000,12,Registre!$B$3:$B$15000,"juin",Registre!$C$3:$C$15000,2028)</f>
        <v>0</v>
      </c>
    </row>
    <row r="169" spans="1:4" x14ac:dyDescent="0.25">
      <c r="A169" s="11">
        <v>13</v>
      </c>
      <c r="B169" s="11" t="s">
        <v>20</v>
      </c>
      <c r="C169" s="11">
        <v>2028</v>
      </c>
      <c r="D169" s="41">
        <f>SUMIFS(Registre!$P$3:$P$15000,Registre!$A$3:$A$15000,13,Registre!$B$3:$B$15000,"juin",Registre!$C$3:$C$15000,2028)</f>
        <v>0</v>
      </c>
    </row>
    <row r="170" spans="1:4" x14ac:dyDescent="0.25">
      <c r="A170" s="11">
        <v>14</v>
      </c>
      <c r="B170" s="11" t="s">
        <v>20</v>
      </c>
      <c r="C170" s="11">
        <v>2028</v>
      </c>
      <c r="D170" s="41">
        <f>SUMIFS(Registre!$P$3:$P$15000,Registre!$A$3:$A$15000,14,Registre!$B$3:$B$15000,"juin",Registre!$C$3:$C$15000,2028)</f>
        <v>0</v>
      </c>
    </row>
    <row r="171" spans="1:4" x14ac:dyDescent="0.25">
      <c r="A171" s="11">
        <v>15</v>
      </c>
      <c r="B171" s="11" t="s">
        <v>20</v>
      </c>
      <c r="C171" s="11">
        <v>2028</v>
      </c>
      <c r="D171" s="41">
        <f>SUMIFS(Registre!$P$3:$P$15000,Registre!$A$3:$A$15000,15,Registre!$B$3:$B$15000,"juin",Registre!$C$3:$C$15000,2028)</f>
        <v>0</v>
      </c>
    </row>
    <row r="172" spans="1:4" x14ac:dyDescent="0.25">
      <c r="A172" s="11">
        <v>16</v>
      </c>
      <c r="B172" s="11" t="s">
        <v>20</v>
      </c>
      <c r="C172" s="11">
        <v>2028</v>
      </c>
      <c r="D172" s="41">
        <f>SUMIFS(Registre!$P$3:$P$15000,Registre!$A$3:$A$15000,16,Registre!$B$3:$B$15000,"juin",Registre!$C$3:$C$15000,2028)</f>
        <v>0</v>
      </c>
    </row>
    <row r="173" spans="1:4" x14ac:dyDescent="0.25">
      <c r="A173" s="11">
        <v>17</v>
      </c>
      <c r="B173" s="11" t="s">
        <v>20</v>
      </c>
      <c r="C173" s="11">
        <v>2028</v>
      </c>
      <c r="D173" s="41">
        <f>SUMIFS(Registre!$P$3:$P$15000,Registre!$A$3:$A$15000,17,Registre!$B$3:$B$15000,"juin",Registre!$C$3:$C$15000,2028)</f>
        <v>0</v>
      </c>
    </row>
    <row r="174" spans="1:4" x14ac:dyDescent="0.25">
      <c r="A174" s="11">
        <v>18</v>
      </c>
      <c r="B174" s="11" t="s">
        <v>20</v>
      </c>
      <c r="C174" s="11">
        <v>2028</v>
      </c>
      <c r="D174" s="41">
        <f>SUMIFS(Registre!$P$3:$P$15000,Registre!$A$3:$A$15000,18,Registre!$B$3:$B$15000,"juin",Registre!$C$3:$C$15000,2028)</f>
        <v>0</v>
      </c>
    </row>
    <row r="175" spans="1:4" x14ac:dyDescent="0.25">
      <c r="A175" s="11">
        <v>19</v>
      </c>
      <c r="B175" s="11" t="s">
        <v>20</v>
      </c>
      <c r="C175" s="11">
        <v>2028</v>
      </c>
      <c r="D175" s="41">
        <f>SUMIFS(Registre!$P$3:$P$15000,Registre!$A$3:$A$15000,19,Registre!$B$3:$B$15000,"juin",Registre!$C$3:$C$15000,2028)</f>
        <v>0</v>
      </c>
    </row>
    <row r="176" spans="1:4" x14ac:dyDescent="0.25">
      <c r="A176" s="11">
        <v>20</v>
      </c>
      <c r="B176" s="11" t="s">
        <v>20</v>
      </c>
      <c r="C176" s="11">
        <v>2028</v>
      </c>
      <c r="D176" s="41">
        <f>SUMIFS(Registre!$P$3:$P$15000,Registre!$A$3:$A$15000,20,Registre!$B$3:$B$15000,"juin",Registre!$C$3:$C$15000,2028)</f>
        <v>0</v>
      </c>
    </row>
    <row r="177" spans="1:4" x14ac:dyDescent="0.25">
      <c r="A177" s="11">
        <v>21</v>
      </c>
      <c r="B177" s="11" t="s">
        <v>20</v>
      </c>
      <c r="C177" s="11">
        <v>2028</v>
      </c>
      <c r="D177" s="41">
        <f>SUMIFS(Registre!$P$3:$P$15000,Registre!$A$3:$A$15000,21,Registre!$B$3:$B$15000,"juin",Registre!$C$3:$C$15000,2028)</f>
        <v>0</v>
      </c>
    </row>
    <row r="178" spans="1:4" x14ac:dyDescent="0.25">
      <c r="A178" s="11">
        <v>22</v>
      </c>
      <c r="B178" s="11" t="s">
        <v>20</v>
      </c>
      <c r="C178" s="11">
        <v>2028</v>
      </c>
      <c r="D178" s="41">
        <f>SUMIFS(Registre!$P$3:$P$15000,Registre!$A$3:$A$15000,22,Registre!$B$3:$B$15000,"juin",Registre!$C$3:$C$15000,2028)</f>
        <v>0</v>
      </c>
    </row>
    <row r="179" spans="1:4" x14ac:dyDescent="0.25">
      <c r="A179" s="11">
        <v>23</v>
      </c>
      <c r="B179" s="11" t="s">
        <v>20</v>
      </c>
      <c r="C179" s="11">
        <v>2028</v>
      </c>
      <c r="D179" s="41">
        <f>SUMIFS(Registre!$P$3:$P$15000,Registre!$A$3:$A$15000,23,Registre!$B$3:$B$15000,"juin",Registre!$C$3:$C$15000,2028)</f>
        <v>0</v>
      </c>
    </row>
    <row r="180" spans="1:4" x14ac:dyDescent="0.25">
      <c r="A180" s="11">
        <v>24</v>
      </c>
      <c r="B180" s="11" t="s">
        <v>20</v>
      </c>
      <c r="C180" s="11">
        <v>2028</v>
      </c>
      <c r="D180" s="41">
        <f>SUMIFS(Registre!$P$3:$P$15000,Registre!$A$3:$A$15000,24,Registre!$B$3:$B$15000,"juin",Registre!$C$3:$C$15000,2028)</f>
        <v>0</v>
      </c>
    </row>
    <row r="181" spans="1:4" x14ac:dyDescent="0.25">
      <c r="A181" s="11">
        <v>25</v>
      </c>
      <c r="B181" s="11" t="s">
        <v>20</v>
      </c>
      <c r="C181" s="11">
        <v>2028</v>
      </c>
      <c r="D181" s="41">
        <f>SUMIFS(Registre!$P$3:$P$15000,Registre!$A$3:$A$15000,25,Registre!$B$3:$B$15000,"juin",Registre!$C$3:$C$15000,2028)</f>
        <v>0</v>
      </c>
    </row>
    <row r="182" spans="1:4" x14ac:dyDescent="0.25">
      <c r="A182" s="11">
        <v>26</v>
      </c>
      <c r="B182" s="11" t="s">
        <v>20</v>
      </c>
      <c r="C182" s="11">
        <v>2028</v>
      </c>
      <c r="D182" s="41">
        <f>SUMIFS(Registre!$P$3:$P$15000,Registre!$A$3:$A$15000,26,Registre!$B$3:$B$15000,"juin",Registre!$C$3:$C$15000,2028)</f>
        <v>0</v>
      </c>
    </row>
    <row r="183" spans="1:4" x14ac:dyDescent="0.25">
      <c r="A183" s="11">
        <v>27</v>
      </c>
      <c r="B183" s="11" t="s">
        <v>20</v>
      </c>
      <c r="C183" s="11">
        <v>2028</v>
      </c>
      <c r="D183" s="41">
        <f>SUMIFS(Registre!$P$3:$P$15000,Registre!$A$3:$A$15000,27,Registre!$B$3:$B$15000,"juin",Registre!$C$3:$C$15000,2028)</f>
        <v>0</v>
      </c>
    </row>
    <row r="184" spans="1:4" x14ac:dyDescent="0.25">
      <c r="A184" s="11">
        <v>28</v>
      </c>
      <c r="B184" s="11" t="s">
        <v>20</v>
      </c>
      <c r="C184" s="11">
        <v>2028</v>
      </c>
      <c r="D184" s="41">
        <f>SUMIFS(Registre!$P$3:$P$15000,Registre!$A$3:$A$15000,28,Registre!$B$3:$B$15000,"juin",Registre!$C$3:$C$15000,2028)</f>
        <v>0</v>
      </c>
    </row>
    <row r="185" spans="1:4" x14ac:dyDescent="0.25">
      <c r="A185" s="11">
        <v>29</v>
      </c>
      <c r="B185" s="11" t="s">
        <v>20</v>
      </c>
      <c r="C185" s="11">
        <v>2028</v>
      </c>
      <c r="D185" s="41">
        <f>SUMIFS(Registre!$P$3:$P$15000,Registre!$A$3:$A$15000,29,Registre!$B$3:$B$15000,"juin",Registre!$C$3:$C$15000,2028)</f>
        <v>0</v>
      </c>
    </row>
    <row r="186" spans="1:4" x14ac:dyDescent="0.25">
      <c r="A186" s="11">
        <v>30</v>
      </c>
      <c r="B186" s="11" t="s">
        <v>20</v>
      </c>
      <c r="C186" s="11">
        <v>2028</v>
      </c>
      <c r="D186" s="41">
        <f>SUMIFS(Registre!$P$3:$P$15000,Registre!$A$3:$A$15000,30,Registre!$B$3:$B$15000,"juin",Registre!$C$3:$C$15000,2028)</f>
        <v>0</v>
      </c>
    </row>
    <row r="187" spans="1:4" x14ac:dyDescent="0.25">
      <c r="A187" s="10">
        <v>1</v>
      </c>
      <c r="B187" s="10" t="s">
        <v>21</v>
      </c>
      <c r="C187" s="10">
        <v>2028</v>
      </c>
      <c r="D187" s="40">
        <f>SUMIFS(Registre!$P$3:$P$15000,Registre!$A$3:$A$15000,1,Registre!$B$3:$B$15000,"juillet",Registre!$C$3:$C$15000,2028)</f>
        <v>0</v>
      </c>
    </row>
    <row r="188" spans="1:4" x14ac:dyDescent="0.25">
      <c r="A188" s="10">
        <v>2</v>
      </c>
      <c r="B188" s="10" t="s">
        <v>21</v>
      </c>
      <c r="C188" s="10">
        <v>2028</v>
      </c>
      <c r="D188" s="40">
        <f>SUMIFS(Registre!$P$3:$P$15000,Registre!$A$3:$A$15000,2,Registre!$B$3:$B$15000,"juillet",Registre!$C$3:$C$15000,2028)</f>
        <v>0</v>
      </c>
    </row>
    <row r="189" spans="1:4" x14ac:dyDescent="0.25">
      <c r="A189" s="10">
        <v>3</v>
      </c>
      <c r="B189" s="10" t="s">
        <v>21</v>
      </c>
      <c r="C189" s="10">
        <v>2028</v>
      </c>
      <c r="D189" s="40">
        <f>SUMIFS(Registre!$P$3:$P$15000,Registre!$A$3:$A$15000,3,Registre!$B$3:$B$15000,"juillet",Registre!$C$3:$C$15000,2028)</f>
        <v>0</v>
      </c>
    </row>
    <row r="190" spans="1:4" x14ac:dyDescent="0.25">
      <c r="A190" s="10">
        <v>4</v>
      </c>
      <c r="B190" s="10" t="s">
        <v>21</v>
      </c>
      <c r="C190" s="10">
        <v>2028</v>
      </c>
      <c r="D190" s="40">
        <f>SUMIFS(Registre!$P$3:$P$15000,Registre!$A$3:$A$15000,4,Registre!$B$3:$B$15000,"juillet",Registre!$C$3:$C$15000,2028)</f>
        <v>0</v>
      </c>
    </row>
    <row r="191" spans="1:4" x14ac:dyDescent="0.25">
      <c r="A191" s="10">
        <v>5</v>
      </c>
      <c r="B191" s="10" t="s">
        <v>21</v>
      </c>
      <c r="C191" s="10">
        <v>2028</v>
      </c>
      <c r="D191" s="40">
        <f>SUMIFS(Registre!$P$3:$P$15000,Registre!$A$3:$A$15000,5,Registre!$B$3:$B$15000,"juillet",Registre!$C$3:$C$15000,2028)</f>
        <v>0</v>
      </c>
    </row>
    <row r="192" spans="1:4" x14ac:dyDescent="0.25">
      <c r="A192" s="10">
        <v>6</v>
      </c>
      <c r="B192" s="10" t="s">
        <v>21</v>
      </c>
      <c r="C192" s="10">
        <v>2028</v>
      </c>
      <c r="D192" s="40">
        <f>SUMIFS(Registre!$P$3:$P$15000,Registre!$A$3:$A$15000,6,Registre!$B$3:$B$15000,"juillet",Registre!$C$3:$C$15000,2028)</f>
        <v>0</v>
      </c>
    </row>
    <row r="193" spans="1:4" x14ac:dyDescent="0.25">
      <c r="A193" s="10">
        <v>7</v>
      </c>
      <c r="B193" s="10" t="s">
        <v>21</v>
      </c>
      <c r="C193" s="10">
        <v>2028</v>
      </c>
      <c r="D193" s="40">
        <f>SUMIFS(Registre!$P$3:$P$15000,Registre!$A$3:$A$15000,7,Registre!$B$3:$B$15000,"juillet",Registre!$C$3:$C$15000,2028)</f>
        <v>0</v>
      </c>
    </row>
    <row r="194" spans="1:4" x14ac:dyDescent="0.25">
      <c r="A194" s="10">
        <v>8</v>
      </c>
      <c r="B194" s="10" t="s">
        <v>21</v>
      </c>
      <c r="C194" s="10">
        <v>2028</v>
      </c>
      <c r="D194" s="40">
        <f>SUMIFS(Registre!$P$3:$P$15000,Registre!$A$3:$A$15000,8,Registre!$B$3:$B$15000,"juillet",Registre!$C$3:$C$15000,2028)</f>
        <v>0</v>
      </c>
    </row>
    <row r="195" spans="1:4" x14ac:dyDescent="0.25">
      <c r="A195" s="10">
        <v>9</v>
      </c>
      <c r="B195" s="10" t="s">
        <v>21</v>
      </c>
      <c r="C195" s="10">
        <v>2028</v>
      </c>
      <c r="D195" s="40">
        <f>SUMIFS(Registre!$P$3:$P$15000,Registre!$A$3:$A$15000,9,Registre!$B$3:$B$15000,"juillet",Registre!$C$3:$C$15000,2028)</f>
        <v>0</v>
      </c>
    </row>
    <row r="196" spans="1:4" x14ac:dyDescent="0.25">
      <c r="A196" s="10">
        <v>10</v>
      </c>
      <c r="B196" s="10" t="s">
        <v>21</v>
      </c>
      <c r="C196" s="10">
        <v>2028</v>
      </c>
      <c r="D196" s="40">
        <f>SUMIFS(Registre!$P$3:$P$15000,Registre!$A$3:$A$15000,10,Registre!$B$3:$B$15000,"juillet",Registre!$C$3:$C$15000,2028)</f>
        <v>0</v>
      </c>
    </row>
    <row r="197" spans="1:4" x14ac:dyDescent="0.25">
      <c r="A197" s="10">
        <v>11</v>
      </c>
      <c r="B197" s="10" t="s">
        <v>21</v>
      </c>
      <c r="C197" s="10">
        <v>2028</v>
      </c>
      <c r="D197" s="40">
        <f>SUMIFS(Registre!$P$3:$P$15000,Registre!$A$3:$A$15000,11,Registre!$B$3:$B$15000,"juillet",Registre!$C$3:$C$15000,2028)</f>
        <v>0</v>
      </c>
    </row>
    <row r="198" spans="1:4" x14ac:dyDescent="0.25">
      <c r="A198" s="10">
        <v>12</v>
      </c>
      <c r="B198" s="10" t="s">
        <v>21</v>
      </c>
      <c r="C198" s="10">
        <v>2028</v>
      </c>
      <c r="D198" s="40">
        <f>SUMIFS(Registre!$P$3:$P$15000,Registre!$A$3:$A$15000,12,Registre!$B$3:$B$15000,"juillet",Registre!$C$3:$C$15000,2028)</f>
        <v>0</v>
      </c>
    </row>
    <row r="199" spans="1:4" x14ac:dyDescent="0.25">
      <c r="A199" s="10">
        <v>13</v>
      </c>
      <c r="B199" s="10" t="s">
        <v>21</v>
      </c>
      <c r="C199" s="10">
        <v>2028</v>
      </c>
      <c r="D199" s="40">
        <f>SUMIFS(Registre!$P$3:$P$15000,Registre!$A$3:$A$15000,13,Registre!$B$3:$B$15000,"juillet",Registre!$C$3:$C$15000,2028)</f>
        <v>0</v>
      </c>
    </row>
    <row r="200" spans="1:4" x14ac:dyDescent="0.25">
      <c r="A200" s="10">
        <v>14</v>
      </c>
      <c r="B200" s="10" t="s">
        <v>21</v>
      </c>
      <c r="C200" s="10">
        <v>2028</v>
      </c>
      <c r="D200" s="40">
        <f>SUMIFS(Registre!$P$3:$P$15000,Registre!$A$3:$A$15000,14,Registre!$B$3:$B$15000,"juillet",Registre!$C$3:$C$15000,2028)</f>
        <v>0</v>
      </c>
    </row>
    <row r="201" spans="1:4" x14ac:dyDescent="0.25">
      <c r="A201" s="10">
        <v>15</v>
      </c>
      <c r="B201" s="10" t="s">
        <v>21</v>
      </c>
      <c r="C201" s="10">
        <v>2028</v>
      </c>
      <c r="D201" s="40">
        <f>SUMIFS(Registre!$P$3:$P$15000,Registre!$A$3:$A$15000,15,Registre!$B$3:$B$15000,"juillet",Registre!$C$3:$C$15000,2028)</f>
        <v>0</v>
      </c>
    </row>
    <row r="202" spans="1:4" x14ac:dyDescent="0.25">
      <c r="A202" s="10">
        <v>16</v>
      </c>
      <c r="B202" s="10" t="s">
        <v>21</v>
      </c>
      <c r="C202" s="10">
        <v>2028</v>
      </c>
      <c r="D202" s="40">
        <f>SUMIFS(Registre!$P$3:$P$15000,Registre!$A$3:$A$15000,16,Registre!$B$3:$B$15000,"juillet",Registre!$C$3:$C$15000,2028)</f>
        <v>0</v>
      </c>
    </row>
    <row r="203" spans="1:4" x14ac:dyDescent="0.25">
      <c r="A203" s="10">
        <v>17</v>
      </c>
      <c r="B203" s="10" t="s">
        <v>21</v>
      </c>
      <c r="C203" s="10">
        <v>2028</v>
      </c>
      <c r="D203" s="40">
        <f>SUMIFS(Registre!$P$3:$P$15000,Registre!$A$3:$A$15000,17,Registre!$B$3:$B$15000,"juillet",Registre!$C$3:$C$15000,2028)</f>
        <v>0</v>
      </c>
    </row>
    <row r="204" spans="1:4" x14ac:dyDescent="0.25">
      <c r="A204" s="10">
        <v>18</v>
      </c>
      <c r="B204" s="10" t="s">
        <v>21</v>
      </c>
      <c r="C204" s="10">
        <v>2028</v>
      </c>
      <c r="D204" s="40">
        <f>SUMIFS(Registre!$P$3:$P$15000,Registre!$A$3:$A$15000,18,Registre!$B$3:$B$15000,"juillet",Registre!$C$3:$C$15000,2028)</f>
        <v>0</v>
      </c>
    </row>
    <row r="205" spans="1:4" x14ac:dyDescent="0.25">
      <c r="A205" s="10">
        <v>19</v>
      </c>
      <c r="B205" s="10" t="s">
        <v>21</v>
      </c>
      <c r="C205" s="10">
        <v>2028</v>
      </c>
      <c r="D205" s="40">
        <f>SUMIFS(Registre!$P$3:$P$15000,Registre!$A$3:$A$15000,19,Registre!$B$3:$B$15000,"juillet",Registre!$C$3:$C$15000,2028)</f>
        <v>0</v>
      </c>
    </row>
    <row r="206" spans="1:4" x14ac:dyDescent="0.25">
      <c r="A206" s="10">
        <v>20</v>
      </c>
      <c r="B206" s="10" t="s">
        <v>21</v>
      </c>
      <c r="C206" s="10">
        <v>2028</v>
      </c>
      <c r="D206" s="40">
        <f>SUMIFS(Registre!$P$3:$P$15000,Registre!$A$3:$A$15000,20,Registre!$B$3:$B$15000,"juillet",Registre!$C$3:$C$15000,2028)</f>
        <v>0</v>
      </c>
    </row>
    <row r="207" spans="1:4" x14ac:dyDescent="0.25">
      <c r="A207" s="10">
        <v>21</v>
      </c>
      <c r="B207" s="10" t="s">
        <v>21</v>
      </c>
      <c r="C207" s="10">
        <v>2028</v>
      </c>
      <c r="D207" s="40">
        <f>SUMIFS(Registre!$P$3:$P$15000,Registre!$A$3:$A$15000,21,Registre!$B$3:$B$15000,"juillet",Registre!$C$3:$C$15000,2028)</f>
        <v>0</v>
      </c>
    </row>
    <row r="208" spans="1:4" x14ac:dyDescent="0.25">
      <c r="A208" s="10">
        <v>22</v>
      </c>
      <c r="B208" s="10" t="s">
        <v>21</v>
      </c>
      <c r="C208" s="10">
        <v>2028</v>
      </c>
      <c r="D208" s="40">
        <f>SUMIFS(Registre!$P$3:$P$15000,Registre!$A$3:$A$15000,22,Registre!$B$3:$B$15000,"juillet",Registre!$C$3:$C$15000,2028)</f>
        <v>0</v>
      </c>
    </row>
    <row r="209" spans="1:4" x14ac:dyDescent="0.25">
      <c r="A209" s="10">
        <v>23</v>
      </c>
      <c r="B209" s="10" t="s">
        <v>21</v>
      </c>
      <c r="C209" s="10">
        <v>2028</v>
      </c>
      <c r="D209" s="40">
        <f>SUMIFS(Registre!$P$3:$P$15000,Registre!$A$3:$A$15000,23,Registre!$B$3:$B$15000,"juillet",Registre!$C$3:$C$15000,2028)</f>
        <v>0</v>
      </c>
    </row>
    <row r="210" spans="1:4" x14ac:dyDescent="0.25">
      <c r="A210" s="10">
        <v>24</v>
      </c>
      <c r="B210" s="10" t="s">
        <v>21</v>
      </c>
      <c r="C210" s="10">
        <v>2028</v>
      </c>
      <c r="D210" s="40">
        <f>SUMIFS(Registre!$P$3:$P$15000,Registre!$A$3:$A$15000,24,Registre!$B$3:$B$15000,"juillet",Registre!$C$3:$C$15000,2028)</f>
        <v>0</v>
      </c>
    </row>
    <row r="211" spans="1:4" x14ac:dyDescent="0.25">
      <c r="A211" s="10">
        <v>25</v>
      </c>
      <c r="B211" s="10" t="s">
        <v>21</v>
      </c>
      <c r="C211" s="10">
        <v>2028</v>
      </c>
      <c r="D211" s="40">
        <f>SUMIFS(Registre!$P$3:$P$15000,Registre!$A$3:$A$15000,25,Registre!$B$3:$B$15000,"juillet",Registre!$C$3:$C$15000,2028)</f>
        <v>0</v>
      </c>
    </row>
    <row r="212" spans="1:4" x14ac:dyDescent="0.25">
      <c r="A212" s="10">
        <v>26</v>
      </c>
      <c r="B212" s="10" t="s">
        <v>21</v>
      </c>
      <c r="C212" s="10">
        <v>2028</v>
      </c>
      <c r="D212" s="40">
        <f>SUMIFS(Registre!$P$3:$P$15000,Registre!$A$3:$A$15000,26,Registre!$B$3:$B$15000,"juillet",Registre!$C$3:$C$15000,2028)</f>
        <v>0</v>
      </c>
    </row>
    <row r="213" spans="1:4" x14ac:dyDescent="0.25">
      <c r="A213" s="10">
        <v>27</v>
      </c>
      <c r="B213" s="10" t="s">
        <v>21</v>
      </c>
      <c r="C213" s="10">
        <v>2028</v>
      </c>
      <c r="D213" s="40">
        <f>SUMIFS(Registre!$P$3:$P$15000,Registre!$A$3:$A$15000,27,Registre!$B$3:$B$15000,"juillet",Registre!$C$3:$C$15000,2028)</f>
        <v>0</v>
      </c>
    </row>
    <row r="214" spans="1:4" x14ac:dyDescent="0.25">
      <c r="A214" s="10">
        <v>28</v>
      </c>
      <c r="B214" s="10" t="s">
        <v>21</v>
      </c>
      <c r="C214" s="10">
        <v>2028</v>
      </c>
      <c r="D214" s="40">
        <f>SUMIFS(Registre!$P$3:$P$15000,Registre!$A$3:$A$15000,28,Registre!$B$3:$B$15000,"juillet",Registre!$C$3:$C$15000,2028)</f>
        <v>0</v>
      </c>
    </row>
    <row r="215" spans="1:4" x14ac:dyDescent="0.25">
      <c r="A215" s="10">
        <v>29</v>
      </c>
      <c r="B215" s="10" t="s">
        <v>21</v>
      </c>
      <c r="C215" s="10">
        <v>2028</v>
      </c>
      <c r="D215" s="40">
        <f>SUMIFS(Registre!$P$3:$P$15000,Registre!$A$3:$A$15000,29,Registre!$B$3:$B$15000,"juillet",Registre!$C$3:$C$15000,2028)</f>
        <v>0</v>
      </c>
    </row>
    <row r="216" spans="1:4" x14ac:dyDescent="0.25">
      <c r="A216" s="10">
        <v>30</v>
      </c>
      <c r="B216" s="10" t="s">
        <v>21</v>
      </c>
      <c r="C216" s="10">
        <v>2028</v>
      </c>
      <c r="D216" s="40">
        <f>SUMIFS(Registre!$P$3:$P$15000,Registre!$A$3:$A$15000,30,Registre!$B$3:$B$15000,"juillet",Registre!$C$3:$C$15000,2028)</f>
        <v>0</v>
      </c>
    </row>
    <row r="217" spans="1:4" x14ac:dyDescent="0.25">
      <c r="A217" s="10">
        <v>31</v>
      </c>
      <c r="B217" s="10" t="s">
        <v>21</v>
      </c>
      <c r="C217" s="10">
        <v>2028</v>
      </c>
      <c r="D217" s="40">
        <f>SUMIFS(Registre!$P$3:$P$15000,Registre!$A$3:$A$15000,31,Registre!$B$3:$B$15000,"juillet",Registre!$C$3:$C$15000,2028)</f>
        <v>0</v>
      </c>
    </row>
    <row r="218" spans="1:4" x14ac:dyDescent="0.25">
      <c r="A218" s="11">
        <v>1</v>
      </c>
      <c r="B218" s="11" t="s">
        <v>22</v>
      </c>
      <c r="C218" s="11">
        <v>2028</v>
      </c>
      <c r="D218" s="41">
        <f>SUMIFS(Registre!$P$3:$P$15000,Registre!$A$3:$A$15000,1,Registre!$B$3:$B$15000,"août",Registre!$C$3:$C$15000,2028)</f>
        <v>0</v>
      </c>
    </row>
    <row r="219" spans="1:4" x14ac:dyDescent="0.25">
      <c r="A219" s="11">
        <v>2</v>
      </c>
      <c r="B219" s="11" t="s">
        <v>22</v>
      </c>
      <c r="C219" s="11">
        <v>2028</v>
      </c>
      <c r="D219" s="41">
        <f>SUMIFS(Registre!$P$3:$P$15000,Registre!$A$3:$A$15000,2,Registre!$B$3:$B$15000,"août",Registre!$C$3:$C$15000,2028)</f>
        <v>0</v>
      </c>
    </row>
    <row r="220" spans="1:4" x14ac:dyDescent="0.25">
      <c r="A220" s="11">
        <v>3</v>
      </c>
      <c r="B220" s="11" t="s">
        <v>22</v>
      </c>
      <c r="C220" s="11">
        <v>2028</v>
      </c>
      <c r="D220" s="41">
        <f>SUMIFS(Registre!$P$3:$P$15000,Registre!$A$3:$A$15000,3,Registre!$B$3:$B$15000,"août",Registre!$C$3:$C$15000,2028)</f>
        <v>0</v>
      </c>
    </row>
    <row r="221" spans="1:4" x14ac:dyDescent="0.25">
      <c r="A221" s="11">
        <v>4</v>
      </c>
      <c r="B221" s="11" t="s">
        <v>22</v>
      </c>
      <c r="C221" s="11">
        <v>2028</v>
      </c>
      <c r="D221" s="41">
        <f>SUMIFS(Registre!$P$3:$P$15000,Registre!$A$3:$A$15000,4,Registre!$B$3:$B$15000,"août",Registre!$C$3:$C$15000,2028)</f>
        <v>0</v>
      </c>
    </row>
    <row r="222" spans="1:4" x14ac:dyDescent="0.25">
      <c r="A222" s="11">
        <v>5</v>
      </c>
      <c r="B222" s="11" t="s">
        <v>22</v>
      </c>
      <c r="C222" s="11">
        <v>2028</v>
      </c>
      <c r="D222" s="41">
        <f>SUMIFS(Registre!$P$3:$P$15000,Registre!$A$3:$A$15000,5,Registre!$B$3:$B$15000,"août",Registre!$C$3:$C$15000,2028)</f>
        <v>0</v>
      </c>
    </row>
    <row r="223" spans="1:4" x14ac:dyDescent="0.25">
      <c r="A223" s="11">
        <v>6</v>
      </c>
      <c r="B223" s="11" t="s">
        <v>22</v>
      </c>
      <c r="C223" s="11">
        <v>2028</v>
      </c>
      <c r="D223" s="41">
        <f>SUMIFS(Registre!$P$3:$P$15000,Registre!$A$3:$A$15000,6,Registre!$B$3:$B$15000,"août",Registre!$C$3:$C$15000,2028)</f>
        <v>0</v>
      </c>
    </row>
    <row r="224" spans="1:4" x14ac:dyDescent="0.25">
      <c r="A224" s="11">
        <v>7</v>
      </c>
      <c r="B224" s="11" t="s">
        <v>22</v>
      </c>
      <c r="C224" s="11">
        <v>2028</v>
      </c>
      <c r="D224" s="41">
        <f>SUMIFS(Registre!$P$3:$P$15000,Registre!$A$3:$A$15000,7,Registre!$B$3:$B$15000,"août",Registre!$C$3:$C$15000,2028)</f>
        <v>0</v>
      </c>
    </row>
    <row r="225" spans="1:4" x14ac:dyDescent="0.25">
      <c r="A225" s="11">
        <v>8</v>
      </c>
      <c r="B225" s="11" t="s">
        <v>22</v>
      </c>
      <c r="C225" s="11">
        <v>2028</v>
      </c>
      <c r="D225" s="41">
        <f>SUMIFS(Registre!$P$3:$P$15000,Registre!$A$3:$A$15000,8,Registre!$B$3:$B$15000,"août",Registre!$C$3:$C$15000,2028)</f>
        <v>0</v>
      </c>
    </row>
    <row r="226" spans="1:4" x14ac:dyDescent="0.25">
      <c r="A226" s="11">
        <v>9</v>
      </c>
      <c r="B226" s="11" t="s">
        <v>22</v>
      </c>
      <c r="C226" s="11">
        <v>2028</v>
      </c>
      <c r="D226" s="41">
        <f>SUMIFS(Registre!$P$3:$P$15000,Registre!$A$3:$A$15000,9,Registre!$B$3:$B$15000,"août",Registre!$C$3:$C$15000,2028)</f>
        <v>0</v>
      </c>
    </row>
    <row r="227" spans="1:4" x14ac:dyDescent="0.25">
      <c r="A227" s="11">
        <v>10</v>
      </c>
      <c r="B227" s="11" t="s">
        <v>22</v>
      </c>
      <c r="C227" s="11">
        <v>2028</v>
      </c>
      <c r="D227" s="41">
        <f>SUMIFS(Registre!$P$3:$P$15000,Registre!$A$3:$A$15000,10,Registre!$B$3:$B$15000,"août",Registre!$C$3:$C$15000,2028)</f>
        <v>0</v>
      </c>
    </row>
    <row r="228" spans="1:4" x14ac:dyDescent="0.25">
      <c r="A228" s="11">
        <v>11</v>
      </c>
      <c r="B228" s="11" t="s">
        <v>22</v>
      </c>
      <c r="C228" s="11">
        <v>2028</v>
      </c>
      <c r="D228" s="41">
        <f>SUMIFS(Registre!$P$3:$P$15000,Registre!$A$3:$A$15000,11,Registre!$B$3:$B$15000,"août",Registre!$C$3:$C$15000,2028)</f>
        <v>0</v>
      </c>
    </row>
    <row r="229" spans="1:4" x14ac:dyDescent="0.25">
      <c r="A229" s="11">
        <v>12</v>
      </c>
      <c r="B229" s="11" t="s">
        <v>22</v>
      </c>
      <c r="C229" s="11">
        <v>2028</v>
      </c>
      <c r="D229" s="41">
        <f>SUMIFS(Registre!$P$3:$P$15000,Registre!$A$3:$A$15000,12,Registre!$B$3:$B$15000,"août",Registre!$C$3:$C$15000,2028)</f>
        <v>0</v>
      </c>
    </row>
    <row r="230" spans="1:4" x14ac:dyDescent="0.25">
      <c r="A230" s="11">
        <v>13</v>
      </c>
      <c r="B230" s="11" t="s">
        <v>22</v>
      </c>
      <c r="C230" s="11">
        <v>2028</v>
      </c>
      <c r="D230" s="41">
        <f>SUMIFS(Registre!$P$3:$P$15000,Registre!$A$3:$A$15000,13,Registre!$B$3:$B$15000,"août",Registre!$C$3:$C$15000,2028)</f>
        <v>0</v>
      </c>
    </row>
    <row r="231" spans="1:4" x14ac:dyDescent="0.25">
      <c r="A231" s="11">
        <v>14</v>
      </c>
      <c r="B231" s="11" t="s">
        <v>22</v>
      </c>
      <c r="C231" s="11">
        <v>2028</v>
      </c>
      <c r="D231" s="41">
        <f>SUMIFS(Registre!$P$3:$P$15000,Registre!$A$3:$A$15000,14,Registre!$B$3:$B$15000,"août",Registre!$C$3:$C$15000,2028)</f>
        <v>0</v>
      </c>
    </row>
    <row r="232" spans="1:4" x14ac:dyDescent="0.25">
      <c r="A232" s="11">
        <v>15</v>
      </c>
      <c r="B232" s="11" t="s">
        <v>22</v>
      </c>
      <c r="C232" s="11">
        <v>2028</v>
      </c>
      <c r="D232" s="41">
        <f>SUMIFS(Registre!$P$3:$P$15000,Registre!$A$3:$A$15000,15,Registre!$B$3:$B$15000,"août",Registre!$C$3:$C$15000,2028)</f>
        <v>0</v>
      </c>
    </row>
    <row r="233" spans="1:4" x14ac:dyDescent="0.25">
      <c r="A233" s="11">
        <v>16</v>
      </c>
      <c r="B233" s="11" t="s">
        <v>22</v>
      </c>
      <c r="C233" s="11">
        <v>2028</v>
      </c>
      <c r="D233" s="41">
        <f>SUMIFS(Registre!$P$3:$P$15000,Registre!$A$3:$A$15000,16,Registre!$B$3:$B$15000,"août",Registre!$C$3:$C$15000,2028)</f>
        <v>0</v>
      </c>
    </row>
    <row r="234" spans="1:4" x14ac:dyDescent="0.25">
      <c r="A234" s="11">
        <v>17</v>
      </c>
      <c r="B234" s="11" t="s">
        <v>22</v>
      </c>
      <c r="C234" s="11">
        <v>2028</v>
      </c>
      <c r="D234" s="41">
        <f>SUMIFS(Registre!$P$3:$P$15000,Registre!$A$3:$A$15000,17,Registre!$B$3:$B$15000,"août",Registre!$C$3:$C$15000,2028)</f>
        <v>0</v>
      </c>
    </row>
    <row r="235" spans="1:4" x14ac:dyDescent="0.25">
      <c r="A235" s="11">
        <v>18</v>
      </c>
      <c r="B235" s="11" t="s">
        <v>22</v>
      </c>
      <c r="C235" s="11">
        <v>2028</v>
      </c>
      <c r="D235" s="41">
        <f>SUMIFS(Registre!$P$3:$P$15000,Registre!$A$3:$A$15000,18,Registre!$B$3:$B$15000,"août",Registre!$C$3:$C$15000,2028)</f>
        <v>0</v>
      </c>
    </row>
    <row r="236" spans="1:4" x14ac:dyDescent="0.25">
      <c r="A236" s="11">
        <v>19</v>
      </c>
      <c r="B236" s="11" t="s">
        <v>22</v>
      </c>
      <c r="C236" s="11">
        <v>2028</v>
      </c>
      <c r="D236" s="41">
        <f>SUMIFS(Registre!$P$3:$P$15000,Registre!$A$3:$A$15000,19,Registre!$B$3:$B$15000,"août",Registre!$C$3:$C$15000,2028)</f>
        <v>0</v>
      </c>
    </row>
    <row r="237" spans="1:4" x14ac:dyDescent="0.25">
      <c r="A237" s="11">
        <v>20</v>
      </c>
      <c r="B237" s="11" t="s">
        <v>22</v>
      </c>
      <c r="C237" s="11">
        <v>2028</v>
      </c>
      <c r="D237" s="41">
        <f>SUMIFS(Registre!$P$3:$P$15000,Registre!$A$3:$A$15000,20,Registre!$B$3:$B$15000,"août",Registre!$C$3:$C$15000,2028)</f>
        <v>0</v>
      </c>
    </row>
    <row r="238" spans="1:4" x14ac:dyDescent="0.25">
      <c r="A238" s="11">
        <v>21</v>
      </c>
      <c r="B238" s="11" t="s">
        <v>22</v>
      </c>
      <c r="C238" s="11">
        <v>2028</v>
      </c>
      <c r="D238" s="41">
        <f>SUMIFS(Registre!$P$3:$P$15000,Registre!$A$3:$A$15000,21,Registre!$B$3:$B$15000,"août",Registre!$C$3:$C$15000,2028)</f>
        <v>0</v>
      </c>
    </row>
    <row r="239" spans="1:4" x14ac:dyDescent="0.25">
      <c r="A239" s="11">
        <v>22</v>
      </c>
      <c r="B239" s="11" t="s">
        <v>22</v>
      </c>
      <c r="C239" s="11">
        <v>2028</v>
      </c>
      <c r="D239" s="41">
        <f>SUMIFS(Registre!$P$3:$P$15000,Registre!$A$3:$A$15000,22,Registre!$B$3:$B$15000,"août",Registre!$C$3:$C$15000,2028)</f>
        <v>0</v>
      </c>
    </row>
    <row r="240" spans="1:4" x14ac:dyDescent="0.25">
      <c r="A240" s="11">
        <v>23</v>
      </c>
      <c r="B240" s="11" t="s">
        <v>22</v>
      </c>
      <c r="C240" s="11">
        <v>2028</v>
      </c>
      <c r="D240" s="41">
        <f>SUMIFS(Registre!$P$3:$P$15000,Registre!$A$3:$A$15000,23,Registre!$B$3:$B$15000,"août",Registre!$C$3:$C$15000,2028)</f>
        <v>0</v>
      </c>
    </row>
    <row r="241" spans="1:4" x14ac:dyDescent="0.25">
      <c r="A241" s="11">
        <v>24</v>
      </c>
      <c r="B241" s="11" t="s">
        <v>22</v>
      </c>
      <c r="C241" s="11">
        <v>2028</v>
      </c>
      <c r="D241" s="41">
        <f>SUMIFS(Registre!$P$3:$P$15000,Registre!$A$3:$A$15000,24,Registre!$B$3:$B$15000,"août",Registre!$C$3:$C$15000,2028)</f>
        <v>0</v>
      </c>
    </row>
    <row r="242" spans="1:4" x14ac:dyDescent="0.25">
      <c r="A242" s="11">
        <v>25</v>
      </c>
      <c r="B242" s="11" t="s">
        <v>22</v>
      </c>
      <c r="C242" s="11">
        <v>2028</v>
      </c>
      <c r="D242" s="41">
        <f>SUMIFS(Registre!$P$3:$P$15000,Registre!$A$3:$A$15000,25,Registre!$B$3:$B$15000,"août",Registre!$C$3:$C$15000,2028)</f>
        <v>0</v>
      </c>
    </row>
    <row r="243" spans="1:4" x14ac:dyDescent="0.25">
      <c r="A243" s="11">
        <v>26</v>
      </c>
      <c r="B243" s="11" t="s">
        <v>22</v>
      </c>
      <c r="C243" s="11">
        <v>2028</v>
      </c>
      <c r="D243" s="41">
        <f>SUMIFS(Registre!$P$3:$P$15000,Registre!$A$3:$A$15000,26,Registre!$B$3:$B$15000,"août",Registre!$C$3:$C$15000,2028)</f>
        <v>0</v>
      </c>
    </row>
    <row r="244" spans="1:4" x14ac:dyDescent="0.25">
      <c r="A244" s="11">
        <v>27</v>
      </c>
      <c r="B244" s="11" t="s">
        <v>22</v>
      </c>
      <c r="C244" s="11">
        <v>2028</v>
      </c>
      <c r="D244" s="41">
        <f>SUMIFS(Registre!$P$3:$P$15000,Registre!$A$3:$A$15000,27,Registre!$B$3:$B$15000,"août",Registre!$C$3:$C$15000,2028)</f>
        <v>0</v>
      </c>
    </row>
    <row r="245" spans="1:4" x14ac:dyDescent="0.25">
      <c r="A245" s="11">
        <v>28</v>
      </c>
      <c r="B245" s="11" t="s">
        <v>22</v>
      </c>
      <c r="C245" s="11">
        <v>2028</v>
      </c>
      <c r="D245" s="41">
        <f>SUMIFS(Registre!$P$3:$P$15000,Registre!$A$3:$A$15000,28,Registre!$B$3:$B$15000,"août",Registre!$C$3:$C$15000,2028)</f>
        <v>0</v>
      </c>
    </row>
    <row r="246" spans="1:4" x14ac:dyDescent="0.25">
      <c r="A246" s="11">
        <v>29</v>
      </c>
      <c r="B246" s="11" t="s">
        <v>22</v>
      </c>
      <c r="C246" s="11">
        <v>2028</v>
      </c>
      <c r="D246" s="41">
        <f>SUMIFS(Registre!$P$3:$P$15000,Registre!$A$3:$A$15000,29,Registre!$B$3:$B$15000,"août",Registre!$C$3:$C$15000,2028)</f>
        <v>0</v>
      </c>
    </row>
    <row r="247" spans="1:4" x14ac:dyDescent="0.25">
      <c r="A247" s="11">
        <v>30</v>
      </c>
      <c r="B247" s="11" t="s">
        <v>22</v>
      </c>
      <c r="C247" s="11">
        <v>2028</v>
      </c>
      <c r="D247" s="41">
        <f>SUMIFS(Registre!$P$3:$P$15000,Registre!$A$3:$A$15000,30,Registre!$B$3:$B$15000,"août",Registre!$C$3:$C$15000,2028)</f>
        <v>0</v>
      </c>
    </row>
    <row r="248" spans="1:4" x14ac:dyDescent="0.25">
      <c r="A248" s="11">
        <v>31</v>
      </c>
      <c r="B248" s="11" t="s">
        <v>22</v>
      </c>
      <c r="C248" s="11">
        <v>2028</v>
      </c>
      <c r="D248" s="41">
        <f>SUMIFS(Registre!$P$3:$P$15000,Registre!$A$3:$A$15000,31,Registre!$B$3:$B$15000,"août",Registre!$C$3:$C$15000,2028)</f>
        <v>0</v>
      </c>
    </row>
    <row r="249" spans="1:4" x14ac:dyDescent="0.25">
      <c r="A249" s="10">
        <v>1</v>
      </c>
      <c r="B249" s="10" t="s">
        <v>23</v>
      </c>
      <c r="C249" s="10">
        <v>2028</v>
      </c>
      <c r="D249" s="40">
        <f>SUMIFS(Registre!$P$3:$P$15000,Registre!$A$3:$A$15000,1,Registre!$B$3:$B$15000,"septembre",Registre!$C$3:$C$15000,2028)</f>
        <v>0</v>
      </c>
    </row>
    <row r="250" spans="1:4" x14ac:dyDescent="0.25">
      <c r="A250" s="10">
        <v>2</v>
      </c>
      <c r="B250" s="10" t="s">
        <v>23</v>
      </c>
      <c r="C250" s="10">
        <v>2028</v>
      </c>
      <c r="D250" s="40">
        <f>SUMIFS(Registre!$P$3:$P$15000,Registre!$A$3:$A$15000,2,Registre!$B$3:$B$15000,"septembre",Registre!$C$3:$C$15000,2028)</f>
        <v>0</v>
      </c>
    </row>
    <row r="251" spans="1:4" x14ac:dyDescent="0.25">
      <c r="A251" s="10">
        <v>3</v>
      </c>
      <c r="B251" s="10" t="s">
        <v>23</v>
      </c>
      <c r="C251" s="10">
        <v>2028</v>
      </c>
      <c r="D251" s="40">
        <f>SUMIFS(Registre!$P$3:$P$15000,Registre!$A$3:$A$15000,3,Registre!$B$3:$B$15000,"septembre",Registre!$C$3:$C$15000,2028)</f>
        <v>0</v>
      </c>
    </row>
    <row r="252" spans="1:4" x14ac:dyDescent="0.25">
      <c r="A252" s="10">
        <v>4</v>
      </c>
      <c r="B252" s="10" t="s">
        <v>23</v>
      </c>
      <c r="C252" s="10">
        <v>2028</v>
      </c>
      <c r="D252" s="40">
        <f>SUMIFS(Registre!$P$3:$P$15000,Registre!$A$3:$A$15000,4,Registre!$B$3:$B$15000,"septembre",Registre!$C$3:$C$15000,2028)</f>
        <v>0</v>
      </c>
    </row>
    <row r="253" spans="1:4" x14ac:dyDescent="0.25">
      <c r="A253" s="10">
        <v>5</v>
      </c>
      <c r="B253" s="10" t="s">
        <v>23</v>
      </c>
      <c r="C253" s="10">
        <v>2028</v>
      </c>
      <c r="D253" s="40">
        <f>SUMIFS(Registre!$P$3:$P$15000,Registre!$A$3:$A$15000,5,Registre!$B$3:$B$15000,"septembre",Registre!$C$3:$C$15000,2028)</f>
        <v>0</v>
      </c>
    </row>
    <row r="254" spans="1:4" x14ac:dyDescent="0.25">
      <c r="A254" s="10">
        <v>6</v>
      </c>
      <c r="B254" s="10" t="s">
        <v>23</v>
      </c>
      <c r="C254" s="10">
        <v>2028</v>
      </c>
      <c r="D254" s="40">
        <f>SUMIFS(Registre!$P$3:$P$15000,Registre!$A$3:$A$15000,6,Registre!$B$3:$B$15000,"septembre",Registre!$C$3:$C$15000,2028)</f>
        <v>0</v>
      </c>
    </row>
    <row r="255" spans="1:4" x14ac:dyDescent="0.25">
      <c r="A255" s="10">
        <v>7</v>
      </c>
      <c r="B255" s="10" t="s">
        <v>23</v>
      </c>
      <c r="C255" s="10">
        <v>2028</v>
      </c>
      <c r="D255" s="40">
        <f>SUMIFS(Registre!$P$3:$P$15000,Registre!$A$3:$A$15000,7,Registre!$B$3:$B$15000,"septembre",Registre!$C$3:$C$15000,2028)</f>
        <v>0</v>
      </c>
    </row>
    <row r="256" spans="1:4" x14ac:dyDescent="0.25">
      <c r="A256" s="10">
        <v>8</v>
      </c>
      <c r="B256" s="10" t="s">
        <v>23</v>
      </c>
      <c r="C256" s="10">
        <v>2028</v>
      </c>
      <c r="D256" s="40">
        <f>SUMIFS(Registre!$P$3:$P$15000,Registre!$A$3:$A$15000,8,Registre!$B$3:$B$15000,"septembre",Registre!$C$3:$C$15000,2028)</f>
        <v>0</v>
      </c>
    </row>
    <row r="257" spans="1:4" x14ac:dyDescent="0.25">
      <c r="A257" s="10">
        <v>9</v>
      </c>
      <c r="B257" s="10" t="s">
        <v>23</v>
      </c>
      <c r="C257" s="10">
        <v>2028</v>
      </c>
      <c r="D257" s="40">
        <f>SUMIFS(Registre!$P$3:$P$15000,Registre!$A$3:$A$15000,9,Registre!$B$3:$B$15000,"septembre",Registre!$C$3:$C$15000,2028)</f>
        <v>0</v>
      </c>
    </row>
    <row r="258" spans="1:4" x14ac:dyDescent="0.25">
      <c r="A258" s="10">
        <v>10</v>
      </c>
      <c r="B258" s="10" t="s">
        <v>23</v>
      </c>
      <c r="C258" s="10">
        <v>2028</v>
      </c>
      <c r="D258" s="40">
        <f>SUMIFS(Registre!$P$3:$P$15000,Registre!$A$3:$A$15000,10,Registre!$B$3:$B$15000,"septembre",Registre!$C$3:$C$15000,2028)</f>
        <v>0</v>
      </c>
    </row>
    <row r="259" spans="1:4" x14ac:dyDescent="0.25">
      <c r="A259" s="10">
        <v>11</v>
      </c>
      <c r="B259" s="10" t="s">
        <v>23</v>
      </c>
      <c r="C259" s="10">
        <v>2028</v>
      </c>
      <c r="D259" s="40">
        <f>SUMIFS(Registre!$P$3:$P$15000,Registre!$A$3:$A$15000,11,Registre!$B$3:$B$15000,"septembre",Registre!$C$3:$C$15000,2028)</f>
        <v>0</v>
      </c>
    </row>
    <row r="260" spans="1:4" x14ac:dyDescent="0.25">
      <c r="A260" s="10">
        <v>12</v>
      </c>
      <c r="B260" s="10" t="s">
        <v>23</v>
      </c>
      <c r="C260" s="10">
        <v>2028</v>
      </c>
      <c r="D260" s="40">
        <f>SUMIFS(Registre!$P$3:$P$15000,Registre!$A$3:$A$15000,12,Registre!$B$3:$B$15000,"septembre",Registre!$C$3:$C$15000,2028)</f>
        <v>0</v>
      </c>
    </row>
    <row r="261" spans="1:4" x14ac:dyDescent="0.25">
      <c r="A261" s="10">
        <v>13</v>
      </c>
      <c r="B261" s="10" t="s">
        <v>23</v>
      </c>
      <c r="C261" s="10">
        <v>2028</v>
      </c>
      <c r="D261" s="40">
        <f>SUMIFS(Registre!$P$3:$P$15000,Registre!$A$3:$A$15000,13,Registre!$B$3:$B$15000,"septembre",Registre!$C$3:$C$15000,2028)</f>
        <v>0</v>
      </c>
    </row>
    <row r="262" spans="1:4" x14ac:dyDescent="0.25">
      <c r="A262" s="10">
        <v>14</v>
      </c>
      <c r="B262" s="10" t="s">
        <v>23</v>
      </c>
      <c r="C262" s="10">
        <v>2028</v>
      </c>
      <c r="D262" s="40">
        <f>SUMIFS(Registre!$P$3:$P$15000,Registre!$A$3:$A$15000,14,Registre!$B$3:$B$15000,"septembre",Registre!$C$3:$C$15000,2028)</f>
        <v>0</v>
      </c>
    </row>
    <row r="263" spans="1:4" x14ac:dyDescent="0.25">
      <c r="A263" s="10">
        <v>15</v>
      </c>
      <c r="B263" s="10" t="s">
        <v>23</v>
      </c>
      <c r="C263" s="10">
        <v>2028</v>
      </c>
      <c r="D263" s="40">
        <f>SUMIFS(Registre!$P$3:$P$15000,Registre!$A$3:$A$15000,15,Registre!$B$3:$B$15000,"septembre",Registre!$C$3:$C$15000,2028)</f>
        <v>0</v>
      </c>
    </row>
    <row r="264" spans="1:4" x14ac:dyDescent="0.25">
      <c r="A264" s="10">
        <v>16</v>
      </c>
      <c r="B264" s="10" t="s">
        <v>23</v>
      </c>
      <c r="C264" s="10">
        <v>2028</v>
      </c>
      <c r="D264" s="40">
        <f>SUMIFS(Registre!$P$3:$P$15000,Registre!$A$3:$A$15000,16,Registre!$B$3:$B$15000,"septembre",Registre!$C$3:$C$15000,2028)</f>
        <v>0</v>
      </c>
    </row>
    <row r="265" spans="1:4" x14ac:dyDescent="0.25">
      <c r="A265" s="10">
        <v>17</v>
      </c>
      <c r="B265" s="10" t="s">
        <v>23</v>
      </c>
      <c r="C265" s="10">
        <v>2028</v>
      </c>
      <c r="D265" s="40">
        <f>SUMIFS(Registre!$P$3:$P$15000,Registre!$A$3:$A$15000,17,Registre!$B$3:$B$15000,"septembre",Registre!$C$3:$C$15000,2028)</f>
        <v>0</v>
      </c>
    </row>
    <row r="266" spans="1:4" x14ac:dyDescent="0.25">
      <c r="A266" s="10">
        <v>18</v>
      </c>
      <c r="B266" s="10" t="s">
        <v>23</v>
      </c>
      <c r="C266" s="10">
        <v>2028</v>
      </c>
      <c r="D266" s="40">
        <f>SUMIFS(Registre!$P$3:$P$15000,Registre!$A$3:$A$15000,18,Registre!$B$3:$B$15000,"septembre",Registre!$C$3:$C$15000,2028)</f>
        <v>0</v>
      </c>
    </row>
    <row r="267" spans="1:4" x14ac:dyDescent="0.25">
      <c r="A267" s="10">
        <v>19</v>
      </c>
      <c r="B267" s="10" t="s">
        <v>23</v>
      </c>
      <c r="C267" s="10">
        <v>2028</v>
      </c>
      <c r="D267" s="40">
        <f>SUMIFS(Registre!$P$3:$P$15000,Registre!$A$3:$A$15000,19,Registre!$B$3:$B$15000,"septembre",Registre!$C$3:$C$15000,2028)</f>
        <v>0</v>
      </c>
    </row>
    <row r="268" spans="1:4" x14ac:dyDescent="0.25">
      <c r="A268" s="10">
        <v>20</v>
      </c>
      <c r="B268" s="10" t="s">
        <v>23</v>
      </c>
      <c r="C268" s="10">
        <v>2028</v>
      </c>
      <c r="D268" s="40">
        <f>SUMIFS(Registre!$P$3:$P$15000,Registre!$A$3:$A$15000,20,Registre!$B$3:$B$15000,"septembre",Registre!$C$3:$C$15000,2028)</f>
        <v>0</v>
      </c>
    </row>
    <row r="269" spans="1:4" x14ac:dyDescent="0.25">
      <c r="A269" s="10">
        <v>21</v>
      </c>
      <c r="B269" s="10" t="s">
        <v>23</v>
      </c>
      <c r="C269" s="10">
        <v>2028</v>
      </c>
      <c r="D269" s="40">
        <f>SUMIFS(Registre!$P$3:$P$15000,Registre!$A$3:$A$15000,21,Registre!$B$3:$B$15000,"septembre",Registre!$C$3:$C$15000,2028)</f>
        <v>0</v>
      </c>
    </row>
    <row r="270" spans="1:4" x14ac:dyDescent="0.25">
      <c r="A270" s="10">
        <v>22</v>
      </c>
      <c r="B270" s="10" t="s">
        <v>23</v>
      </c>
      <c r="C270" s="10">
        <v>2028</v>
      </c>
      <c r="D270" s="40">
        <f>SUMIFS(Registre!$P$3:$P$15000,Registre!$A$3:$A$15000,22,Registre!$B$3:$B$15000,"septembre",Registre!$C$3:$C$15000,2028)</f>
        <v>0</v>
      </c>
    </row>
    <row r="271" spans="1:4" x14ac:dyDescent="0.25">
      <c r="A271" s="10">
        <v>23</v>
      </c>
      <c r="B271" s="10" t="s">
        <v>23</v>
      </c>
      <c r="C271" s="10">
        <v>2028</v>
      </c>
      <c r="D271" s="40">
        <f>SUMIFS(Registre!$P$3:$P$15000,Registre!$A$3:$A$15000,23,Registre!$B$3:$B$15000,"septembre",Registre!$C$3:$C$15000,2028)</f>
        <v>0</v>
      </c>
    </row>
    <row r="272" spans="1:4" x14ac:dyDescent="0.25">
      <c r="A272" s="10">
        <v>24</v>
      </c>
      <c r="B272" s="10" t="s">
        <v>23</v>
      </c>
      <c r="C272" s="10">
        <v>2028</v>
      </c>
      <c r="D272" s="40">
        <f>SUMIFS(Registre!$P$3:$P$15000,Registre!$A$3:$A$15000,24,Registre!$B$3:$B$15000,"septembre",Registre!$C$3:$C$15000,2028)</f>
        <v>0</v>
      </c>
    </row>
    <row r="273" spans="1:4" x14ac:dyDescent="0.25">
      <c r="A273" s="10">
        <v>25</v>
      </c>
      <c r="B273" s="10" t="s">
        <v>23</v>
      </c>
      <c r="C273" s="10">
        <v>2028</v>
      </c>
      <c r="D273" s="40">
        <f>SUMIFS(Registre!$P$3:$P$15000,Registre!$A$3:$A$15000,25,Registre!$B$3:$B$15000,"septembre",Registre!$C$3:$C$15000,2028)</f>
        <v>0</v>
      </c>
    </row>
    <row r="274" spans="1:4" x14ac:dyDescent="0.25">
      <c r="A274" s="10">
        <v>26</v>
      </c>
      <c r="B274" s="10" t="s">
        <v>23</v>
      </c>
      <c r="C274" s="10">
        <v>2028</v>
      </c>
      <c r="D274" s="40">
        <f>SUMIFS(Registre!$P$3:$P$15000,Registre!$A$3:$A$15000,26,Registre!$B$3:$B$15000,"septembre",Registre!$C$3:$C$15000,2028)</f>
        <v>0</v>
      </c>
    </row>
    <row r="275" spans="1:4" x14ac:dyDescent="0.25">
      <c r="A275" s="10">
        <v>27</v>
      </c>
      <c r="B275" s="10" t="s">
        <v>23</v>
      </c>
      <c r="C275" s="10">
        <v>2028</v>
      </c>
      <c r="D275" s="40">
        <f>SUMIFS(Registre!$P$3:$P$15000,Registre!$A$3:$A$15000,27,Registre!$B$3:$B$15000,"septembre",Registre!$C$3:$C$15000,2028)</f>
        <v>0</v>
      </c>
    </row>
    <row r="276" spans="1:4" x14ac:dyDescent="0.25">
      <c r="A276" s="10">
        <v>28</v>
      </c>
      <c r="B276" s="10" t="s">
        <v>23</v>
      </c>
      <c r="C276" s="10">
        <v>2028</v>
      </c>
      <c r="D276" s="40">
        <f>SUMIFS(Registre!$P$3:$P$15000,Registre!$A$3:$A$15000,28,Registre!$B$3:$B$15000,"septembre",Registre!$C$3:$C$15000,2028)</f>
        <v>0</v>
      </c>
    </row>
    <row r="277" spans="1:4" x14ac:dyDescent="0.25">
      <c r="A277" s="10">
        <v>29</v>
      </c>
      <c r="B277" s="10" t="s">
        <v>23</v>
      </c>
      <c r="C277" s="10">
        <v>2028</v>
      </c>
      <c r="D277" s="40">
        <f>SUMIFS(Registre!$P$3:$P$15000,Registre!$A$3:$A$15000,29,Registre!$B$3:$B$15000,"septembre",Registre!$C$3:$C$15000,2028)</f>
        <v>0</v>
      </c>
    </row>
    <row r="278" spans="1:4" x14ac:dyDescent="0.25">
      <c r="A278" s="10">
        <v>30</v>
      </c>
      <c r="B278" s="10" t="s">
        <v>23</v>
      </c>
      <c r="C278" s="10">
        <v>2028</v>
      </c>
      <c r="D278" s="40">
        <f>SUMIFS(Registre!$P$3:$P$15000,Registre!$A$3:$A$15000,30,Registre!$B$3:$B$15000,"septembre",Registre!$C$3:$C$15000,2028)</f>
        <v>0</v>
      </c>
    </row>
    <row r="279" spans="1:4" x14ac:dyDescent="0.25">
      <c r="A279" s="11">
        <v>1</v>
      </c>
      <c r="B279" s="11" t="s">
        <v>24</v>
      </c>
      <c r="C279" s="11">
        <v>2028</v>
      </c>
      <c r="D279" s="41">
        <f>SUMIFS(Registre!$P$3:$P$15000,Registre!$A$3:$A$15000,1,Registre!$B$3:$B$15000,"octobre",Registre!$C$3:$C$15000,2028)</f>
        <v>0</v>
      </c>
    </row>
    <row r="280" spans="1:4" x14ac:dyDescent="0.25">
      <c r="A280" s="11">
        <v>2</v>
      </c>
      <c r="B280" s="11" t="s">
        <v>24</v>
      </c>
      <c r="C280" s="11">
        <v>2028</v>
      </c>
      <c r="D280" s="41">
        <f>SUMIFS(Registre!$P$3:$P$15000,Registre!$A$3:$A$15000,2,Registre!$B$3:$B$15000,"octobre",Registre!$C$3:$C$15000,2028)</f>
        <v>0</v>
      </c>
    </row>
    <row r="281" spans="1:4" x14ac:dyDescent="0.25">
      <c r="A281" s="11">
        <v>3</v>
      </c>
      <c r="B281" s="11" t="s">
        <v>24</v>
      </c>
      <c r="C281" s="11">
        <v>2028</v>
      </c>
      <c r="D281" s="41">
        <f>SUMIFS(Registre!$P$3:$P$15000,Registre!$A$3:$A$15000,3,Registre!$B$3:$B$15000,"octobre",Registre!$C$3:$C$15000,2028)</f>
        <v>0</v>
      </c>
    </row>
    <row r="282" spans="1:4" x14ac:dyDescent="0.25">
      <c r="A282" s="11">
        <v>4</v>
      </c>
      <c r="B282" s="11" t="s">
        <v>24</v>
      </c>
      <c r="C282" s="11">
        <v>2028</v>
      </c>
      <c r="D282" s="41">
        <f>SUMIFS(Registre!$P$3:$P$15000,Registre!$A$3:$A$15000,4,Registre!$B$3:$B$15000,"octobre",Registre!$C$3:$C$15000,2028)</f>
        <v>0</v>
      </c>
    </row>
    <row r="283" spans="1:4" x14ac:dyDescent="0.25">
      <c r="A283" s="11">
        <v>5</v>
      </c>
      <c r="B283" s="11" t="s">
        <v>24</v>
      </c>
      <c r="C283" s="11">
        <v>2028</v>
      </c>
      <c r="D283" s="41">
        <f>SUMIFS(Registre!$P$3:$P$15000,Registre!$A$3:$A$15000,5,Registre!$B$3:$B$15000,"octobre",Registre!$C$3:$C$15000,2028)</f>
        <v>0</v>
      </c>
    </row>
    <row r="284" spans="1:4" x14ac:dyDescent="0.25">
      <c r="A284" s="11">
        <v>6</v>
      </c>
      <c r="B284" s="11" t="s">
        <v>24</v>
      </c>
      <c r="C284" s="11">
        <v>2028</v>
      </c>
      <c r="D284" s="41">
        <f>SUMIFS(Registre!$P$3:$P$15000,Registre!$A$3:$A$15000,6,Registre!$B$3:$B$15000,"octobre",Registre!$C$3:$C$15000,2028)</f>
        <v>0</v>
      </c>
    </row>
    <row r="285" spans="1:4" x14ac:dyDescent="0.25">
      <c r="A285" s="11">
        <v>7</v>
      </c>
      <c r="B285" s="11" t="s">
        <v>24</v>
      </c>
      <c r="C285" s="11">
        <v>2028</v>
      </c>
      <c r="D285" s="41">
        <f>SUMIFS(Registre!$P$3:$P$15000,Registre!$A$3:$A$15000,7,Registre!$B$3:$B$15000,"octobre",Registre!$C$3:$C$15000,2028)</f>
        <v>0</v>
      </c>
    </row>
    <row r="286" spans="1:4" x14ac:dyDescent="0.25">
      <c r="A286" s="11">
        <v>8</v>
      </c>
      <c r="B286" s="11" t="s">
        <v>24</v>
      </c>
      <c r="C286" s="11">
        <v>2028</v>
      </c>
      <c r="D286" s="41">
        <f>SUMIFS(Registre!$P$3:$P$15000,Registre!$A$3:$A$15000,8,Registre!$B$3:$B$15000,"octobre",Registre!$C$3:$C$15000,2028)</f>
        <v>0</v>
      </c>
    </row>
    <row r="287" spans="1:4" x14ac:dyDescent="0.25">
      <c r="A287" s="11">
        <v>9</v>
      </c>
      <c r="B287" s="11" t="s">
        <v>24</v>
      </c>
      <c r="C287" s="11">
        <v>2028</v>
      </c>
      <c r="D287" s="41">
        <f>SUMIFS(Registre!$P$3:$P$15000,Registre!$A$3:$A$15000,9,Registre!$B$3:$B$15000,"octobre",Registre!$C$3:$C$15000,2028)</f>
        <v>0</v>
      </c>
    </row>
    <row r="288" spans="1:4" x14ac:dyDescent="0.25">
      <c r="A288" s="11">
        <v>10</v>
      </c>
      <c r="B288" s="11" t="s">
        <v>24</v>
      </c>
      <c r="C288" s="11">
        <v>2028</v>
      </c>
      <c r="D288" s="41">
        <f>SUMIFS(Registre!$P$3:$P$15000,Registre!$A$3:$A$15000,10,Registre!$B$3:$B$15000,"octobre",Registre!$C$3:$C$15000,2028)</f>
        <v>0</v>
      </c>
    </row>
    <row r="289" spans="1:4" x14ac:dyDescent="0.25">
      <c r="A289" s="11">
        <v>11</v>
      </c>
      <c r="B289" s="11" t="s">
        <v>24</v>
      </c>
      <c r="C289" s="11">
        <v>2028</v>
      </c>
      <c r="D289" s="41">
        <f>SUMIFS(Registre!$P$3:$P$15000,Registre!$A$3:$A$15000,11,Registre!$B$3:$B$15000,"octobre",Registre!$C$3:$C$15000,2028)</f>
        <v>0</v>
      </c>
    </row>
    <row r="290" spans="1:4" x14ac:dyDescent="0.25">
      <c r="A290" s="11">
        <v>12</v>
      </c>
      <c r="B290" s="11" t="s">
        <v>24</v>
      </c>
      <c r="C290" s="11">
        <v>2028</v>
      </c>
      <c r="D290" s="41">
        <f>SUMIFS(Registre!$P$3:$P$15000,Registre!$A$3:$A$15000,12,Registre!$B$3:$B$15000,"octobre",Registre!$C$3:$C$15000,2028)</f>
        <v>0</v>
      </c>
    </row>
    <row r="291" spans="1:4" x14ac:dyDescent="0.25">
      <c r="A291" s="11">
        <v>13</v>
      </c>
      <c r="B291" s="11" t="s">
        <v>24</v>
      </c>
      <c r="C291" s="11">
        <v>2028</v>
      </c>
      <c r="D291" s="41">
        <f>SUMIFS(Registre!$P$3:$P$15000,Registre!$A$3:$A$15000,13,Registre!$B$3:$B$15000,"octobre",Registre!$C$3:$C$15000,2028)</f>
        <v>0</v>
      </c>
    </row>
    <row r="292" spans="1:4" x14ac:dyDescent="0.25">
      <c r="A292" s="11">
        <v>14</v>
      </c>
      <c r="B292" s="11" t="s">
        <v>24</v>
      </c>
      <c r="C292" s="11">
        <v>2028</v>
      </c>
      <c r="D292" s="41">
        <f>SUMIFS(Registre!$P$3:$P$15000,Registre!$A$3:$A$15000,14,Registre!$B$3:$B$15000,"octobre",Registre!$C$3:$C$15000,2028)</f>
        <v>0</v>
      </c>
    </row>
    <row r="293" spans="1:4" x14ac:dyDescent="0.25">
      <c r="A293" s="11">
        <v>15</v>
      </c>
      <c r="B293" s="11" t="s">
        <v>24</v>
      </c>
      <c r="C293" s="11">
        <v>2028</v>
      </c>
      <c r="D293" s="41">
        <f>SUMIFS(Registre!$P$3:$P$15000,Registre!$A$3:$A$15000,15,Registre!$B$3:$B$15000,"octobre",Registre!$C$3:$C$15000,2028)</f>
        <v>0</v>
      </c>
    </row>
    <row r="294" spans="1:4" x14ac:dyDescent="0.25">
      <c r="A294" s="11">
        <v>16</v>
      </c>
      <c r="B294" s="11" t="s">
        <v>24</v>
      </c>
      <c r="C294" s="11">
        <v>2028</v>
      </c>
      <c r="D294" s="41">
        <f>SUMIFS(Registre!$P$3:$P$15000,Registre!$A$3:$A$15000,16,Registre!$B$3:$B$15000,"octobre",Registre!$C$3:$C$15000,2028)</f>
        <v>0</v>
      </c>
    </row>
    <row r="295" spans="1:4" x14ac:dyDescent="0.25">
      <c r="A295" s="11">
        <v>17</v>
      </c>
      <c r="B295" s="11" t="s">
        <v>24</v>
      </c>
      <c r="C295" s="11">
        <v>2028</v>
      </c>
      <c r="D295" s="41">
        <f>SUMIFS(Registre!$P$3:$P$15000,Registre!$A$3:$A$15000,17,Registre!$B$3:$B$15000,"octobre",Registre!$C$3:$C$15000,2028)</f>
        <v>0</v>
      </c>
    </row>
    <row r="296" spans="1:4" x14ac:dyDescent="0.25">
      <c r="A296" s="11">
        <v>18</v>
      </c>
      <c r="B296" s="11" t="s">
        <v>24</v>
      </c>
      <c r="C296" s="11">
        <v>2028</v>
      </c>
      <c r="D296" s="41">
        <f>SUMIFS(Registre!$P$3:$P$15000,Registre!$A$3:$A$15000,18,Registre!$B$3:$B$15000,"octobre",Registre!$C$3:$C$15000,2028)</f>
        <v>0</v>
      </c>
    </row>
    <row r="297" spans="1:4" x14ac:dyDescent="0.25">
      <c r="A297" s="11">
        <v>19</v>
      </c>
      <c r="B297" s="11" t="s">
        <v>24</v>
      </c>
      <c r="C297" s="11">
        <v>2028</v>
      </c>
      <c r="D297" s="41">
        <f>SUMIFS(Registre!$P$3:$P$15000,Registre!$A$3:$A$15000,19,Registre!$B$3:$B$15000,"octobre",Registre!$C$3:$C$15000,2028)</f>
        <v>0</v>
      </c>
    </row>
    <row r="298" spans="1:4" x14ac:dyDescent="0.25">
      <c r="A298" s="11">
        <v>20</v>
      </c>
      <c r="B298" s="11" t="s">
        <v>24</v>
      </c>
      <c r="C298" s="11">
        <v>2028</v>
      </c>
      <c r="D298" s="41">
        <f>SUMIFS(Registre!$P$3:$P$15000,Registre!$A$3:$A$15000,20,Registre!$B$3:$B$15000,"octobre",Registre!$C$3:$C$15000,2028)</f>
        <v>0</v>
      </c>
    </row>
    <row r="299" spans="1:4" x14ac:dyDescent="0.25">
      <c r="A299" s="11">
        <v>21</v>
      </c>
      <c r="B299" s="11" t="s">
        <v>24</v>
      </c>
      <c r="C299" s="11">
        <v>2028</v>
      </c>
      <c r="D299" s="41">
        <f>SUMIFS(Registre!$P$3:$P$15000,Registre!$A$3:$A$15000,21,Registre!$B$3:$B$15000,"octobre",Registre!$C$3:$C$15000,2028)</f>
        <v>0</v>
      </c>
    </row>
    <row r="300" spans="1:4" x14ac:dyDescent="0.25">
      <c r="A300" s="11">
        <v>22</v>
      </c>
      <c r="B300" s="11" t="s">
        <v>24</v>
      </c>
      <c r="C300" s="11">
        <v>2028</v>
      </c>
      <c r="D300" s="41">
        <f>SUMIFS(Registre!$P$3:$P$15000,Registre!$A$3:$A$15000,22,Registre!$B$3:$B$15000,"octobre",Registre!$C$3:$C$15000,2028)</f>
        <v>0</v>
      </c>
    </row>
    <row r="301" spans="1:4" x14ac:dyDescent="0.25">
      <c r="A301" s="11">
        <v>23</v>
      </c>
      <c r="B301" s="11" t="s">
        <v>24</v>
      </c>
      <c r="C301" s="11">
        <v>2028</v>
      </c>
      <c r="D301" s="41">
        <f>SUMIFS(Registre!$P$3:$P$15000,Registre!$A$3:$A$15000,23,Registre!$B$3:$B$15000,"octobre",Registre!$C$3:$C$15000,2028)</f>
        <v>0</v>
      </c>
    </row>
    <row r="302" spans="1:4" x14ac:dyDescent="0.25">
      <c r="A302" s="11">
        <v>24</v>
      </c>
      <c r="B302" s="11" t="s">
        <v>24</v>
      </c>
      <c r="C302" s="11">
        <v>2028</v>
      </c>
      <c r="D302" s="41">
        <f>SUMIFS(Registre!$P$3:$P$15000,Registre!$A$3:$A$15000,24,Registre!$B$3:$B$15000,"octobre",Registre!$C$3:$C$15000,2028)</f>
        <v>0</v>
      </c>
    </row>
    <row r="303" spans="1:4" x14ac:dyDescent="0.25">
      <c r="A303" s="11">
        <v>25</v>
      </c>
      <c r="B303" s="11" t="s">
        <v>24</v>
      </c>
      <c r="C303" s="11">
        <v>2028</v>
      </c>
      <c r="D303" s="41">
        <f>SUMIFS(Registre!$P$3:$P$15000,Registre!$A$3:$A$15000,25,Registre!$B$3:$B$15000,"octobre",Registre!$C$3:$C$15000,2028)</f>
        <v>0</v>
      </c>
    </row>
    <row r="304" spans="1:4" x14ac:dyDescent="0.25">
      <c r="A304" s="11">
        <v>26</v>
      </c>
      <c r="B304" s="11" t="s">
        <v>24</v>
      </c>
      <c r="C304" s="11">
        <v>2028</v>
      </c>
      <c r="D304" s="41">
        <f>SUMIFS(Registre!$P$3:$P$15000,Registre!$A$3:$A$15000,26,Registre!$B$3:$B$15000,"octobre",Registre!$C$3:$C$15000,2028)</f>
        <v>0</v>
      </c>
    </row>
    <row r="305" spans="1:4" x14ac:dyDescent="0.25">
      <c r="A305" s="11">
        <v>27</v>
      </c>
      <c r="B305" s="11" t="s">
        <v>24</v>
      </c>
      <c r="C305" s="11">
        <v>2028</v>
      </c>
      <c r="D305" s="41">
        <f>SUMIFS(Registre!$P$3:$P$15000,Registre!$A$3:$A$15000,27,Registre!$B$3:$B$15000,"octobre",Registre!$C$3:$C$15000,2028)</f>
        <v>0</v>
      </c>
    </row>
    <row r="306" spans="1:4" x14ac:dyDescent="0.25">
      <c r="A306" s="11">
        <v>28</v>
      </c>
      <c r="B306" s="11" t="s">
        <v>24</v>
      </c>
      <c r="C306" s="11">
        <v>2028</v>
      </c>
      <c r="D306" s="41">
        <f>SUMIFS(Registre!$P$3:$P$15000,Registre!$A$3:$A$15000,28,Registre!$B$3:$B$15000,"octobre",Registre!$C$3:$C$15000,2028)</f>
        <v>0</v>
      </c>
    </row>
    <row r="307" spans="1:4" x14ac:dyDescent="0.25">
      <c r="A307" s="11">
        <v>29</v>
      </c>
      <c r="B307" s="11" t="s">
        <v>24</v>
      </c>
      <c r="C307" s="11">
        <v>2028</v>
      </c>
      <c r="D307" s="41">
        <f>SUMIFS(Registre!$P$3:$P$15000,Registre!$A$3:$A$15000,29,Registre!$B$3:$B$15000,"octobre",Registre!$C$3:$C$15000,2028)</f>
        <v>0</v>
      </c>
    </row>
    <row r="308" spans="1:4" x14ac:dyDescent="0.25">
      <c r="A308" s="11">
        <v>30</v>
      </c>
      <c r="B308" s="11" t="s">
        <v>24</v>
      </c>
      <c r="C308" s="11">
        <v>2028</v>
      </c>
      <c r="D308" s="41">
        <f>SUMIFS(Registre!$P$3:$P$15000,Registre!$A$3:$A$15000,30,Registre!$B$3:$B$15000,"octobre",Registre!$C$3:$C$15000,2028)</f>
        <v>0</v>
      </c>
    </row>
    <row r="309" spans="1:4" x14ac:dyDescent="0.25">
      <c r="A309" s="11">
        <v>31</v>
      </c>
      <c r="B309" s="11" t="s">
        <v>24</v>
      </c>
      <c r="C309" s="11">
        <v>2028</v>
      </c>
      <c r="D309" s="41">
        <f>SUMIFS(Registre!$P$3:$P$15000,Registre!$A$3:$A$15000,31,Registre!$B$3:$B$15000,"octobre",Registre!$C$3:$C$15000,2028)</f>
        <v>0</v>
      </c>
    </row>
    <row r="310" spans="1:4" x14ac:dyDescent="0.25">
      <c r="A310" s="10">
        <v>1</v>
      </c>
      <c r="B310" s="10" t="s">
        <v>25</v>
      </c>
      <c r="C310" s="10">
        <v>2028</v>
      </c>
      <c r="D310" s="40">
        <f>SUMIFS(Registre!$P$3:$P$15000,Registre!$A$3:$A$15000,1,Registre!$B$3:$B$15000,"novembre",Registre!$C$3:$C$15000,2028)</f>
        <v>0</v>
      </c>
    </row>
    <row r="311" spans="1:4" x14ac:dyDescent="0.25">
      <c r="A311" s="10">
        <v>2</v>
      </c>
      <c r="B311" s="10" t="s">
        <v>25</v>
      </c>
      <c r="C311" s="10">
        <v>2028</v>
      </c>
      <c r="D311" s="40">
        <f>SUMIFS(Registre!$P$3:$P$15000,Registre!$A$3:$A$15000,2,Registre!$B$3:$B$15000,"novembre",Registre!$C$3:$C$15000,2028)</f>
        <v>0</v>
      </c>
    </row>
    <row r="312" spans="1:4" x14ac:dyDescent="0.25">
      <c r="A312" s="10">
        <v>3</v>
      </c>
      <c r="B312" s="10" t="s">
        <v>25</v>
      </c>
      <c r="C312" s="10">
        <v>2028</v>
      </c>
      <c r="D312" s="40">
        <f>SUMIFS(Registre!$P$3:$P$15000,Registre!$A$3:$A$15000,3,Registre!$B$3:$B$15000,"novembre",Registre!$C$3:$C$15000,2028)</f>
        <v>0</v>
      </c>
    </row>
    <row r="313" spans="1:4" x14ac:dyDescent="0.25">
      <c r="A313" s="10">
        <v>4</v>
      </c>
      <c r="B313" s="10" t="s">
        <v>25</v>
      </c>
      <c r="C313" s="10">
        <v>2028</v>
      </c>
      <c r="D313" s="40">
        <f>SUMIFS(Registre!$P$3:$P$15000,Registre!$A$3:$A$15000,4,Registre!$B$3:$B$15000,"novembre",Registre!$C$3:$C$15000,2028)</f>
        <v>0</v>
      </c>
    </row>
    <row r="314" spans="1:4" x14ac:dyDescent="0.25">
      <c r="A314" s="10">
        <v>5</v>
      </c>
      <c r="B314" s="10" t="s">
        <v>25</v>
      </c>
      <c r="C314" s="10">
        <v>2028</v>
      </c>
      <c r="D314" s="40">
        <f>SUMIFS(Registre!$P$3:$P$15000,Registre!$A$3:$A$15000,5,Registre!$B$3:$B$15000,"novembre",Registre!$C$3:$C$15000,2028)</f>
        <v>0</v>
      </c>
    </row>
    <row r="315" spans="1:4" x14ac:dyDescent="0.25">
      <c r="A315" s="10">
        <v>6</v>
      </c>
      <c r="B315" s="10" t="s">
        <v>25</v>
      </c>
      <c r="C315" s="10">
        <v>2028</v>
      </c>
      <c r="D315" s="40">
        <f>SUMIFS(Registre!$P$3:$P$15000,Registre!$A$3:$A$15000,6,Registre!$B$3:$B$15000,"novembre",Registre!$C$3:$C$15000,2028)</f>
        <v>0</v>
      </c>
    </row>
    <row r="316" spans="1:4" x14ac:dyDescent="0.25">
      <c r="A316" s="10">
        <v>7</v>
      </c>
      <c r="B316" s="10" t="s">
        <v>25</v>
      </c>
      <c r="C316" s="10">
        <v>2028</v>
      </c>
      <c r="D316" s="40">
        <f>SUMIFS(Registre!$P$3:$P$15000,Registre!$A$3:$A$15000,7,Registre!$B$3:$B$15000,"novembre",Registre!$C$3:$C$15000,2028)</f>
        <v>0</v>
      </c>
    </row>
    <row r="317" spans="1:4" x14ac:dyDescent="0.25">
      <c r="A317" s="10">
        <v>8</v>
      </c>
      <c r="B317" s="10" t="s">
        <v>25</v>
      </c>
      <c r="C317" s="10">
        <v>2028</v>
      </c>
      <c r="D317" s="40">
        <f>SUMIFS(Registre!$P$3:$P$15000,Registre!$A$3:$A$15000,8,Registre!$B$3:$B$15000,"novembre",Registre!$C$3:$C$15000,2028)</f>
        <v>0</v>
      </c>
    </row>
    <row r="318" spans="1:4" x14ac:dyDescent="0.25">
      <c r="A318" s="10">
        <v>9</v>
      </c>
      <c r="B318" s="10" t="s">
        <v>25</v>
      </c>
      <c r="C318" s="10">
        <v>2028</v>
      </c>
      <c r="D318" s="40">
        <f>SUMIFS(Registre!$P$3:$P$15000,Registre!$A$3:$A$15000,9,Registre!$B$3:$B$15000,"novembre",Registre!$C$3:$C$15000,2028)</f>
        <v>0</v>
      </c>
    </row>
    <row r="319" spans="1:4" x14ac:dyDescent="0.25">
      <c r="A319" s="10">
        <v>10</v>
      </c>
      <c r="B319" s="10" t="s">
        <v>25</v>
      </c>
      <c r="C319" s="10">
        <v>2028</v>
      </c>
      <c r="D319" s="40">
        <f>SUMIFS(Registre!$P$3:$P$15000,Registre!$A$3:$A$15000,10,Registre!$B$3:$B$15000,"novembre",Registre!$C$3:$C$15000,2028)</f>
        <v>0</v>
      </c>
    </row>
    <row r="320" spans="1:4" x14ac:dyDescent="0.25">
      <c r="A320" s="10">
        <v>11</v>
      </c>
      <c r="B320" s="10" t="s">
        <v>25</v>
      </c>
      <c r="C320" s="10">
        <v>2028</v>
      </c>
      <c r="D320" s="40">
        <f>SUMIFS(Registre!$P$3:$P$15000,Registre!$A$3:$A$15000,11,Registre!$B$3:$B$15000,"novembre",Registre!$C$3:$C$15000,2028)</f>
        <v>0</v>
      </c>
    </row>
    <row r="321" spans="1:4" x14ac:dyDescent="0.25">
      <c r="A321" s="10">
        <v>12</v>
      </c>
      <c r="B321" s="10" t="s">
        <v>25</v>
      </c>
      <c r="C321" s="10">
        <v>2028</v>
      </c>
      <c r="D321" s="40">
        <f>SUMIFS(Registre!$P$3:$P$15000,Registre!$A$3:$A$15000,12,Registre!$B$3:$B$15000,"novembre",Registre!$C$3:$C$15000,2028)</f>
        <v>0</v>
      </c>
    </row>
    <row r="322" spans="1:4" x14ac:dyDescent="0.25">
      <c r="A322" s="10">
        <v>13</v>
      </c>
      <c r="B322" s="10" t="s">
        <v>25</v>
      </c>
      <c r="C322" s="10">
        <v>2028</v>
      </c>
      <c r="D322" s="40">
        <f>SUMIFS(Registre!$P$3:$P$15000,Registre!$A$3:$A$15000,13,Registre!$B$3:$B$15000,"novembre",Registre!$C$3:$C$15000,2028)</f>
        <v>0</v>
      </c>
    </row>
    <row r="323" spans="1:4" x14ac:dyDescent="0.25">
      <c r="A323" s="10">
        <v>14</v>
      </c>
      <c r="B323" s="10" t="s">
        <v>25</v>
      </c>
      <c r="C323" s="10">
        <v>2028</v>
      </c>
      <c r="D323" s="40">
        <f>SUMIFS(Registre!$P$3:$P$15000,Registre!$A$3:$A$15000,14,Registre!$B$3:$B$15000,"novembre",Registre!$C$3:$C$15000,2028)</f>
        <v>0</v>
      </c>
    </row>
    <row r="324" spans="1:4" x14ac:dyDescent="0.25">
      <c r="A324" s="10">
        <v>15</v>
      </c>
      <c r="B324" s="10" t="s">
        <v>25</v>
      </c>
      <c r="C324" s="10">
        <v>2028</v>
      </c>
      <c r="D324" s="40">
        <f>SUMIFS(Registre!$P$3:$P$15000,Registre!$A$3:$A$15000,15,Registre!$B$3:$B$15000,"novembre",Registre!$C$3:$C$15000,2028)</f>
        <v>0</v>
      </c>
    </row>
    <row r="325" spans="1:4" x14ac:dyDescent="0.25">
      <c r="A325" s="10">
        <v>16</v>
      </c>
      <c r="B325" s="10" t="s">
        <v>25</v>
      </c>
      <c r="C325" s="10">
        <v>2028</v>
      </c>
      <c r="D325" s="40">
        <f>SUMIFS(Registre!$P$3:$P$15000,Registre!$A$3:$A$15000,16,Registre!$B$3:$B$15000,"novembre",Registre!$C$3:$C$15000,2028)</f>
        <v>0</v>
      </c>
    </row>
    <row r="326" spans="1:4" x14ac:dyDescent="0.25">
      <c r="A326" s="10">
        <v>17</v>
      </c>
      <c r="B326" s="10" t="s">
        <v>25</v>
      </c>
      <c r="C326" s="10">
        <v>2028</v>
      </c>
      <c r="D326" s="40">
        <f>SUMIFS(Registre!$P$3:$P$15000,Registre!$A$3:$A$15000,17,Registre!$B$3:$B$15000,"novembre",Registre!$C$3:$C$15000,2028)</f>
        <v>0</v>
      </c>
    </row>
    <row r="327" spans="1:4" x14ac:dyDescent="0.25">
      <c r="A327" s="10">
        <v>18</v>
      </c>
      <c r="B327" s="10" t="s">
        <v>25</v>
      </c>
      <c r="C327" s="10">
        <v>2028</v>
      </c>
      <c r="D327" s="40">
        <f>SUMIFS(Registre!$P$3:$P$15000,Registre!$A$3:$A$15000,18,Registre!$B$3:$B$15000,"novembre",Registre!$C$3:$C$15000,2028)</f>
        <v>0</v>
      </c>
    </row>
    <row r="328" spans="1:4" x14ac:dyDescent="0.25">
      <c r="A328" s="10">
        <v>19</v>
      </c>
      <c r="B328" s="10" t="s">
        <v>25</v>
      </c>
      <c r="C328" s="10">
        <v>2028</v>
      </c>
      <c r="D328" s="40">
        <f>SUMIFS(Registre!$P$3:$P$15000,Registre!$A$3:$A$15000,19,Registre!$B$3:$B$15000,"novembre",Registre!$C$3:$C$15000,2028)</f>
        <v>0</v>
      </c>
    </row>
    <row r="329" spans="1:4" x14ac:dyDescent="0.25">
      <c r="A329" s="10">
        <v>20</v>
      </c>
      <c r="B329" s="10" t="s">
        <v>25</v>
      </c>
      <c r="C329" s="10">
        <v>2028</v>
      </c>
      <c r="D329" s="40">
        <f>SUMIFS(Registre!$P$3:$P$15000,Registre!$A$3:$A$15000,20,Registre!$B$3:$B$15000,"novembre",Registre!$C$3:$C$15000,2028)</f>
        <v>0</v>
      </c>
    </row>
    <row r="330" spans="1:4" x14ac:dyDescent="0.25">
      <c r="A330" s="10">
        <v>21</v>
      </c>
      <c r="B330" s="10" t="s">
        <v>25</v>
      </c>
      <c r="C330" s="10">
        <v>2028</v>
      </c>
      <c r="D330" s="40">
        <f>SUMIFS(Registre!$P$3:$P$15000,Registre!$A$3:$A$15000,21,Registre!$B$3:$B$15000,"novembre",Registre!$C$3:$C$15000,2028)</f>
        <v>0</v>
      </c>
    </row>
    <row r="331" spans="1:4" x14ac:dyDescent="0.25">
      <c r="A331" s="10">
        <v>22</v>
      </c>
      <c r="B331" s="10" t="s">
        <v>25</v>
      </c>
      <c r="C331" s="10">
        <v>2028</v>
      </c>
      <c r="D331" s="40">
        <f>SUMIFS(Registre!$P$3:$P$15000,Registre!$A$3:$A$15000,22,Registre!$B$3:$B$15000,"novembre",Registre!$C$3:$C$15000,2028)</f>
        <v>0</v>
      </c>
    </row>
    <row r="332" spans="1:4" x14ac:dyDescent="0.25">
      <c r="A332" s="10">
        <v>23</v>
      </c>
      <c r="B332" s="10" t="s">
        <v>25</v>
      </c>
      <c r="C332" s="10">
        <v>2028</v>
      </c>
      <c r="D332" s="40">
        <f>SUMIFS(Registre!$P$3:$P$15000,Registre!$A$3:$A$15000,23,Registre!$B$3:$B$15000,"novembre",Registre!$C$3:$C$15000,2028)</f>
        <v>0</v>
      </c>
    </row>
    <row r="333" spans="1:4" x14ac:dyDescent="0.25">
      <c r="A333" s="10">
        <v>24</v>
      </c>
      <c r="B333" s="10" t="s">
        <v>25</v>
      </c>
      <c r="C333" s="10">
        <v>2028</v>
      </c>
      <c r="D333" s="40">
        <f>SUMIFS(Registre!$P$3:$P$15000,Registre!$A$3:$A$15000,24,Registre!$B$3:$B$15000,"novembre",Registre!$C$3:$C$15000,2028)</f>
        <v>0</v>
      </c>
    </row>
    <row r="334" spans="1:4" x14ac:dyDescent="0.25">
      <c r="A334" s="10">
        <v>25</v>
      </c>
      <c r="B334" s="10" t="s">
        <v>25</v>
      </c>
      <c r="C334" s="10">
        <v>2028</v>
      </c>
      <c r="D334" s="40">
        <f>SUMIFS(Registre!$P$3:$P$15000,Registre!$A$3:$A$15000,25,Registre!$B$3:$B$15000,"novembre",Registre!$C$3:$C$15000,2028)</f>
        <v>0</v>
      </c>
    </row>
    <row r="335" spans="1:4" x14ac:dyDescent="0.25">
      <c r="A335" s="10">
        <v>26</v>
      </c>
      <c r="B335" s="10" t="s">
        <v>25</v>
      </c>
      <c r="C335" s="10">
        <v>2028</v>
      </c>
      <c r="D335" s="40">
        <f>SUMIFS(Registre!$P$3:$P$15000,Registre!$A$3:$A$15000,26,Registre!$B$3:$B$15000,"novembre",Registre!$C$3:$C$15000,2028)</f>
        <v>0</v>
      </c>
    </row>
    <row r="336" spans="1:4" x14ac:dyDescent="0.25">
      <c r="A336" s="10">
        <v>27</v>
      </c>
      <c r="B336" s="10" t="s">
        <v>25</v>
      </c>
      <c r="C336" s="10">
        <v>2028</v>
      </c>
      <c r="D336" s="40">
        <f>SUMIFS(Registre!$P$3:$P$15000,Registre!$A$3:$A$15000,27,Registre!$B$3:$B$15000,"novembre",Registre!$C$3:$C$15000,2028)</f>
        <v>0</v>
      </c>
    </row>
    <row r="337" spans="1:4" x14ac:dyDescent="0.25">
      <c r="A337" s="10">
        <v>28</v>
      </c>
      <c r="B337" s="10" t="s">
        <v>25</v>
      </c>
      <c r="C337" s="10">
        <v>2028</v>
      </c>
      <c r="D337" s="40">
        <f>SUMIFS(Registre!$P$3:$P$15000,Registre!$A$3:$A$15000,28,Registre!$B$3:$B$15000,"novembre",Registre!$C$3:$C$15000,2028)</f>
        <v>0</v>
      </c>
    </row>
    <row r="338" spans="1:4" x14ac:dyDescent="0.25">
      <c r="A338" s="10">
        <v>29</v>
      </c>
      <c r="B338" s="10" t="s">
        <v>25</v>
      </c>
      <c r="C338" s="10">
        <v>2028</v>
      </c>
      <c r="D338" s="40">
        <f>SUMIFS(Registre!$P$3:$P$15000,Registre!$A$3:$A$15000,29,Registre!$B$3:$B$15000,"novembre",Registre!$C$3:$C$15000,2028)</f>
        <v>0</v>
      </c>
    </row>
    <row r="339" spans="1:4" x14ac:dyDescent="0.25">
      <c r="A339" s="10">
        <v>30</v>
      </c>
      <c r="B339" s="10" t="s">
        <v>25</v>
      </c>
      <c r="C339" s="10">
        <v>2028</v>
      </c>
      <c r="D339" s="40">
        <f>SUMIFS(Registre!$P$3:$P$15000,Registre!$A$3:$A$15000,30,Registre!$B$3:$B$15000,"novembre",Registre!$C$3:$C$15000,2028)</f>
        <v>0</v>
      </c>
    </row>
    <row r="340" spans="1:4" x14ac:dyDescent="0.25">
      <c r="A340" s="11">
        <v>1</v>
      </c>
      <c r="B340" s="11" t="s">
        <v>26</v>
      </c>
      <c r="C340" s="11">
        <v>2028</v>
      </c>
      <c r="D340" s="41">
        <f>SUMIFS(Registre!$P$3:$P$15000,Registre!$A$3:$A$15000,1,Registre!$B$3:$B$15000,"décembre",Registre!$C$3:$C$15000,2028)</f>
        <v>0</v>
      </c>
    </row>
    <row r="341" spans="1:4" x14ac:dyDescent="0.25">
      <c r="A341" s="11">
        <v>2</v>
      </c>
      <c r="B341" s="11" t="s">
        <v>26</v>
      </c>
      <c r="C341" s="11">
        <v>2028</v>
      </c>
      <c r="D341" s="41">
        <f>SUMIFS(Registre!$P$3:$P$15000,Registre!$A$3:$A$15000,2,Registre!$B$3:$B$15000,"décembre",Registre!$C$3:$C$15000,2028)</f>
        <v>0</v>
      </c>
    </row>
    <row r="342" spans="1:4" x14ac:dyDescent="0.25">
      <c r="A342" s="11">
        <v>3</v>
      </c>
      <c r="B342" s="11" t="s">
        <v>26</v>
      </c>
      <c r="C342" s="11">
        <v>2028</v>
      </c>
      <c r="D342" s="41">
        <f>SUMIFS(Registre!$P$3:$P$15000,Registre!$A$3:$A$15000,3,Registre!$B$3:$B$15000,"décembre",Registre!$C$3:$C$15000,2028)</f>
        <v>0</v>
      </c>
    </row>
    <row r="343" spans="1:4" x14ac:dyDescent="0.25">
      <c r="A343" s="11">
        <v>4</v>
      </c>
      <c r="B343" s="11" t="s">
        <v>26</v>
      </c>
      <c r="C343" s="11">
        <v>2028</v>
      </c>
      <c r="D343" s="41">
        <f>SUMIFS(Registre!$P$3:$P$15000,Registre!$A$3:$A$15000,4,Registre!$B$3:$B$15000,"décembre",Registre!$C$3:$C$15000,2028)</f>
        <v>0</v>
      </c>
    </row>
    <row r="344" spans="1:4" x14ac:dyDescent="0.25">
      <c r="A344" s="11">
        <v>5</v>
      </c>
      <c r="B344" s="11" t="s">
        <v>26</v>
      </c>
      <c r="C344" s="11">
        <v>2028</v>
      </c>
      <c r="D344" s="41">
        <f>SUMIFS(Registre!$P$3:$P$15000,Registre!$A$3:$A$15000,5,Registre!$B$3:$B$15000,"décembre",Registre!$C$3:$C$15000,2028)</f>
        <v>0</v>
      </c>
    </row>
    <row r="345" spans="1:4" x14ac:dyDescent="0.25">
      <c r="A345" s="11">
        <v>6</v>
      </c>
      <c r="B345" s="11" t="s">
        <v>26</v>
      </c>
      <c r="C345" s="11">
        <v>2028</v>
      </c>
      <c r="D345" s="41">
        <f>SUMIFS(Registre!$P$3:$P$15000,Registre!$A$3:$A$15000,6,Registre!$B$3:$B$15000,"décembre",Registre!$C$3:$C$15000,2028)</f>
        <v>0</v>
      </c>
    </row>
    <row r="346" spans="1:4" x14ac:dyDescent="0.25">
      <c r="A346" s="11">
        <v>7</v>
      </c>
      <c r="B346" s="11" t="s">
        <v>26</v>
      </c>
      <c r="C346" s="11">
        <v>2028</v>
      </c>
      <c r="D346" s="41">
        <f>SUMIFS(Registre!$P$3:$P$15000,Registre!$A$3:$A$15000,7,Registre!$B$3:$B$15000,"décembre",Registre!$C$3:$C$15000,2028)</f>
        <v>0</v>
      </c>
    </row>
    <row r="347" spans="1:4" x14ac:dyDescent="0.25">
      <c r="A347" s="11">
        <v>8</v>
      </c>
      <c r="B347" s="11" t="s">
        <v>26</v>
      </c>
      <c r="C347" s="11">
        <v>2028</v>
      </c>
      <c r="D347" s="41">
        <f>SUMIFS(Registre!$P$3:$P$15000,Registre!$A$3:$A$15000,8,Registre!$B$3:$B$15000,"décembre",Registre!$C$3:$C$15000,2028)</f>
        <v>0</v>
      </c>
    </row>
    <row r="348" spans="1:4" x14ac:dyDescent="0.25">
      <c r="A348" s="11">
        <v>9</v>
      </c>
      <c r="B348" s="11" t="s">
        <v>26</v>
      </c>
      <c r="C348" s="11">
        <v>2028</v>
      </c>
      <c r="D348" s="41">
        <f>SUMIFS(Registre!$P$3:$P$15000,Registre!$A$3:$A$15000,9,Registre!$B$3:$B$15000,"décembre",Registre!$C$3:$C$15000,2028)</f>
        <v>0</v>
      </c>
    </row>
    <row r="349" spans="1:4" x14ac:dyDescent="0.25">
      <c r="A349" s="11">
        <v>10</v>
      </c>
      <c r="B349" s="11" t="s">
        <v>26</v>
      </c>
      <c r="C349" s="11">
        <v>2028</v>
      </c>
      <c r="D349" s="41">
        <f>SUMIFS(Registre!$P$3:$P$15000,Registre!$A$3:$A$15000,10,Registre!$B$3:$B$15000,"décembre",Registre!$C$3:$C$15000,2028)</f>
        <v>0</v>
      </c>
    </row>
    <row r="350" spans="1:4" x14ac:dyDescent="0.25">
      <c r="A350" s="11">
        <v>11</v>
      </c>
      <c r="B350" s="11" t="s">
        <v>26</v>
      </c>
      <c r="C350" s="11">
        <v>2028</v>
      </c>
      <c r="D350" s="41">
        <f>SUMIFS(Registre!$P$3:$P$15000,Registre!$A$3:$A$15000,11,Registre!$B$3:$B$15000,"décembre",Registre!$C$3:$C$15000,2028)</f>
        <v>0</v>
      </c>
    </row>
    <row r="351" spans="1:4" x14ac:dyDescent="0.25">
      <c r="A351" s="11">
        <v>12</v>
      </c>
      <c r="B351" s="11" t="s">
        <v>26</v>
      </c>
      <c r="C351" s="11">
        <v>2028</v>
      </c>
      <c r="D351" s="41">
        <f>SUMIFS(Registre!$P$3:$P$15000,Registre!$A$3:$A$15000,12,Registre!$B$3:$B$15000,"décembre",Registre!$C$3:$C$15000,2028)</f>
        <v>0</v>
      </c>
    </row>
    <row r="352" spans="1:4" x14ac:dyDescent="0.25">
      <c r="A352" s="11">
        <v>13</v>
      </c>
      <c r="B352" s="11" t="s">
        <v>26</v>
      </c>
      <c r="C352" s="11">
        <v>2028</v>
      </c>
      <c r="D352" s="41">
        <f>SUMIFS(Registre!$P$3:$P$15000,Registre!$A$3:$A$15000,13,Registre!$B$3:$B$15000,"décembre",Registre!$C$3:$C$15000,2028)</f>
        <v>0</v>
      </c>
    </row>
    <row r="353" spans="1:4" x14ac:dyDescent="0.25">
      <c r="A353" s="11">
        <v>14</v>
      </c>
      <c r="B353" s="11" t="s">
        <v>26</v>
      </c>
      <c r="C353" s="11">
        <v>2028</v>
      </c>
      <c r="D353" s="41">
        <f>SUMIFS(Registre!$P$3:$P$15000,Registre!$A$3:$A$15000,14,Registre!$B$3:$B$15000,"décembre",Registre!$C$3:$C$15000,2028)</f>
        <v>0</v>
      </c>
    </row>
    <row r="354" spans="1:4" x14ac:dyDescent="0.25">
      <c r="A354" s="11">
        <v>15</v>
      </c>
      <c r="B354" s="11" t="s">
        <v>26</v>
      </c>
      <c r="C354" s="11">
        <v>2028</v>
      </c>
      <c r="D354" s="41">
        <f>SUMIFS(Registre!$P$3:$P$15000,Registre!$A$3:$A$15000,15,Registre!$B$3:$B$15000,"décembre",Registre!$C$3:$C$15000,2028)</f>
        <v>0</v>
      </c>
    </row>
    <row r="355" spans="1:4" x14ac:dyDescent="0.25">
      <c r="A355" s="11">
        <v>16</v>
      </c>
      <c r="B355" s="11" t="s">
        <v>26</v>
      </c>
      <c r="C355" s="11">
        <v>2028</v>
      </c>
      <c r="D355" s="41">
        <f>SUMIFS(Registre!$P$3:$P$15000,Registre!$A$3:$A$15000,16,Registre!$B$3:$B$15000,"décembre",Registre!$C$3:$C$15000,2028)</f>
        <v>0</v>
      </c>
    </row>
    <row r="356" spans="1:4" x14ac:dyDescent="0.25">
      <c r="A356" s="11">
        <v>17</v>
      </c>
      <c r="B356" s="11" t="s">
        <v>26</v>
      </c>
      <c r="C356" s="11">
        <v>2028</v>
      </c>
      <c r="D356" s="41">
        <f>SUMIFS(Registre!$P$3:$P$15000,Registre!$A$3:$A$15000,17,Registre!$B$3:$B$15000,"décembre",Registre!$C$3:$C$15000,2028)</f>
        <v>0</v>
      </c>
    </row>
    <row r="357" spans="1:4" x14ac:dyDescent="0.25">
      <c r="A357" s="11">
        <v>18</v>
      </c>
      <c r="B357" s="11" t="s">
        <v>26</v>
      </c>
      <c r="C357" s="11">
        <v>2028</v>
      </c>
      <c r="D357" s="41">
        <f>SUMIFS(Registre!$P$3:$P$15000,Registre!$A$3:$A$15000,18,Registre!$B$3:$B$15000,"décembre",Registre!$C$3:$C$15000,2028)</f>
        <v>0</v>
      </c>
    </row>
    <row r="358" spans="1:4" x14ac:dyDescent="0.25">
      <c r="A358" s="11">
        <v>19</v>
      </c>
      <c r="B358" s="11" t="s">
        <v>26</v>
      </c>
      <c r="C358" s="11">
        <v>2028</v>
      </c>
      <c r="D358" s="41">
        <f>SUMIFS(Registre!$P$3:$P$15000,Registre!$A$3:$A$15000,19,Registre!$B$3:$B$15000,"décembre",Registre!$C$3:$C$15000,2028)</f>
        <v>0</v>
      </c>
    </row>
    <row r="359" spans="1:4" x14ac:dyDescent="0.25">
      <c r="A359" s="11">
        <v>20</v>
      </c>
      <c r="B359" s="11" t="s">
        <v>26</v>
      </c>
      <c r="C359" s="11">
        <v>2028</v>
      </c>
      <c r="D359" s="41">
        <f>SUMIFS(Registre!$P$3:$P$15000,Registre!$A$3:$A$15000,20,Registre!$B$3:$B$15000,"décembre",Registre!$C$3:$C$15000,2028)</f>
        <v>0</v>
      </c>
    </row>
    <row r="360" spans="1:4" x14ac:dyDescent="0.25">
      <c r="A360" s="11">
        <v>21</v>
      </c>
      <c r="B360" s="11" t="s">
        <v>26</v>
      </c>
      <c r="C360" s="11">
        <v>2028</v>
      </c>
      <c r="D360" s="41">
        <f>SUMIFS(Registre!$P$3:$P$15000,Registre!$A$3:$A$15000,21,Registre!$B$3:$B$15000,"décembre",Registre!$C$3:$C$15000,2028)</f>
        <v>0</v>
      </c>
    </row>
    <row r="361" spans="1:4" x14ac:dyDescent="0.25">
      <c r="A361" s="11">
        <v>22</v>
      </c>
      <c r="B361" s="11" t="s">
        <v>26</v>
      </c>
      <c r="C361" s="11">
        <v>2028</v>
      </c>
      <c r="D361" s="41">
        <f>SUMIFS(Registre!$P$3:$P$15000,Registre!$A$3:$A$15000,22,Registre!$B$3:$B$15000,"décembre",Registre!$C$3:$C$15000,2028)</f>
        <v>0</v>
      </c>
    </row>
    <row r="362" spans="1:4" x14ac:dyDescent="0.25">
      <c r="A362" s="11">
        <v>23</v>
      </c>
      <c r="B362" s="11" t="s">
        <v>26</v>
      </c>
      <c r="C362" s="11">
        <v>2028</v>
      </c>
      <c r="D362" s="41">
        <f>SUMIFS(Registre!$P$3:$P$15000,Registre!$A$3:$A$15000,23,Registre!$B$3:$B$15000,"décembre",Registre!$C$3:$C$15000,2028)</f>
        <v>0</v>
      </c>
    </row>
    <row r="363" spans="1:4" x14ac:dyDescent="0.25">
      <c r="A363" s="11">
        <v>24</v>
      </c>
      <c r="B363" s="11" t="s">
        <v>26</v>
      </c>
      <c r="C363" s="11">
        <v>2028</v>
      </c>
      <c r="D363" s="41">
        <f>SUMIFS(Registre!$P$3:$P$15000,Registre!$A$3:$A$15000,24,Registre!$B$3:$B$15000,"décembre",Registre!$C$3:$C$15000,2028)</f>
        <v>0</v>
      </c>
    </row>
    <row r="364" spans="1:4" x14ac:dyDescent="0.25">
      <c r="A364" s="11">
        <v>25</v>
      </c>
      <c r="B364" s="11" t="s">
        <v>26</v>
      </c>
      <c r="C364" s="11">
        <v>2028</v>
      </c>
      <c r="D364" s="41">
        <f>SUMIFS(Registre!$P$3:$P$15000,Registre!$A$3:$A$15000,25,Registre!$B$3:$B$15000,"décembre",Registre!$C$3:$C$15000,2028)</f>
        <v>0</v>
      </c>
    </row>
    <row r="365" spans="1:4" x14ac:dyDescent="0.25">
      <c r="A365" s="11">
        <v>26</v>
      </c>
      <c r="B365" s="11" t="s">
        <v>26</v>
      </c>
      <c r="C365" s="11">
        <v>2028</v>
      </c>
      <c r="D365" s="41">
        <f>SUMIFS(Registre!$P$3:$P$15000,Registre!$A$3:$A$15000,26,Registre!$B$3:$B$15000,"décembre",Registre!$C$3:$C$15000,2028)</f>
        <v>0</v>
      </c>
    </row>
    <row r="366" spans="1:4" x14ac:dyDescent="0.25">
      <c r="A366" s="11">
        <v>27</v>
      </c>
      <c r="B366" s="11" t="s">
        <v>26</v>
      </c>
      <c r="C366" s="11">
        <v>2028</v>
      </c>
      <c r="D366" s="41">
        <f>SUMIFS(Registre!$P$3:$P$15000,Registre!$A$3:$A$15000,27,Registre!$B$3:$B$15000,"décembre",Registre!$C$3:$C$15000,2028)</f>
        <v>0</v>
      </c>
    </row>
    <row r="367" spans="1:4" x14ac:dyDescent="0.25">
      <c r="A367" s="11">
        <v>28</v>
      </c>
      <c r="B367" s="11" t="s">
        <v>26</v>
      </c>
      <c r="C367" s="11">
        <v>2028</v>
      </c>
      <c r="D367" s="41">
        <f>SUMIFS(Registre!$P$3:$P$15000,Registre!$A$3:$A$15000,28,Registre!$B$3:$B$15000,"décembre",Registre!$C$3:$C$15000,2028)</f>
        <v>0</v>
      </c>
    </row>
    <row r="368" spans="1:4" x14ac:dyDescent="0.25">
      <c r="A368" s="11">
        <v>29</v>
      </c>
      <c r="B368" s="11" t="s">
        <v>26</v>
      </c>
      <c r="C368" s="11">
        <v>2028</v>
      </c>
      <c r="D368" s="41">
        <f>SUMIFS(Registre!$P$3:$P$15000,Registre!$A$3:$A$15000,29,Registre!$B$3:$B$15000,"décembre",Registre!$C$3:$C$15000,2028)</f>
        <v>0</v>
      </c>
    </row>
    <row r="369" spans="1:4" x14ac:dyDescent="0.25">
      <c r="A369" s="11">
        <v>30</v>
      </c>
      <c r="B369" s="11" t="s">
        <v>26</v>
      </c>
      <c r="C369" s="11">
        <v>2028</v>
      </c>
      <c r="D369" s="41">
        <f>SUMIFS(Registre!$P$3:$P$15000,Registre!$A$3:$A$15000,30,Registre!$B$3:$B$15000,"décembre",Registre!$C$3:$C$15000,2028)</f>
        <v>0</v>
      </c>
    </row>
    <row r="370" spans="1:4" x14ac:dyDescent="0.25">
      <c r="A370" s="11">
        <v>31</v>
      </c>
      <c r="B370" s="11" t="s">
        <v>26</v>
      </c>
      <c r="C370" s="11">
        <v>2028</v>
      </c>
      <c r="D370" s="41">
        <f>SUMIFS(Registre!$P$3:$P$15000,Registre!$A$3:$A$15000,31,Registre!$B$3:$B$15000,"décembre",Registre!$C$3:$C$15000,2028)</f>
        <v>0</v>
      </c>
    </row>
  </sheetData>
  <sheetProtection algorithmName="SHA-512" hashValue="wGeaDUmeQOJ/l6nsoUkMqYW1v7O+eLiGE4RwZMJxN0ZRyl7YcFWPzK1018v/7Vt8EyE7yfnkXAXH+TL/gz4yKg==" saltValue="QUMDZFhARB+seHwOZm+5vg==" spinCount="100000" sheet="1" objects="1" scenarios="1"/>
  <mergeCells count="7">
    <mergeCell ref="A2:D2"/>
    <mergeCell ref="F2:S2"/>
    <mergeCell ref="A3:C3"/>
    <mergeCell ref="D3:D4"/>
    <mergeCell ref="F3:F4"/>
    <mergeCell ref="G3:G4"/>
    <mergeCell ref="H3:S3"/>
  </mergeCells>
  <conditionalFormatting sqref="D5:D370">
    <cfRule type="expression" dxfId="17" priority="6">
      <formula>D5&gt;15</formula>
    </cfRule>
  </conditionalFormatting>
  <conditionalFormatting sqref="D36:D64">
    <cfRule type="expression" dxfId="16" priority="5">
      <formula>"ET($D$5:$D$35&gt;15;$H5&gt;$G$5"</formula>
    </cfRule>
  </conditionalFormatting>
  <conditionalFormatting sqref="H5:S13">
    <cfRule type="expression" dxfId="15" priority="1">
      <formula>AND(COUNTIFS($B:$B,H$4,$D:$D,"&gt;15")&gt;0,$G5&lt;H5,ISNUMBER(H5))</formula>
    </cfRule>
  </conditionalFormatting>
  <conditionalFormatting sqref="I5:I13">
    <cfRule type="expression" dxfId="14" priority="2">
      <formula>AND($D$36:$D$63&gt;15,$I5&gt;$G5)</formula>
    </cfRule>
  </conditionalFormatting>
  <conditionalFormatting sqref="J5:J13">
    <cfRule type="expression" dxfId="13" priority="4">
      <formula>"ET($D$64:$D$94&gt;15;$J$5&gt;$G$5)"</formula>
    </cfRule>
  </conditionalFormatting>
  <conditionalFormatting sqref="K5:K13">
    <cfRule type="expression" dxfId="12" priority="3">
      <formula>AND($D$96:$D$125&gt;15,$K$5&gt;$G$5)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69"/>
  <sheetViews>
    <sheetView workbookViewId="0">
      <selection activeCell="L5" sqref="L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5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51</v>
      </c>
      <c r="B2" s="57"/>
      <c r="C2" s="57"/>
      <c r="D2" s="58"/>
      <c r="F2" s="59" t="s">
        <v>66</v>
      </c>
      <c r="G2" s="60"/>
      <c r="H2" s="60"/>
      <c r="I2" s="60"/>
      <c r="J2" s="60"/>
      <c r="K2" s="60"/>
      <c r="L2" s="60"/>
      <c r="M2" s="60"/>
      <c r="N2" s="60"/>
      <c r="O2" s="60"/>
      <c r="P2" s="60"/>
      <c r="Q2" s="60"/>
      <c r="R2" s="60"/>
      <c r="S2" s="61"/>
    </row>
    <row r="3" spans="1:19" x14ac:dyDescent="0.25">
      <c r="A3" s="62" t="s">
        <v>1</v>
      </c>
      <c r="B3" s="63"/>
      <c r="C3" s="63"/>
      <c r="D3" s="64" t="s">
        <v>5</v>
      </c>
      <c r="F3" s="66" t="s">
        <v>29</v>
      </c>
      <c r="G3" s="68" t="s">
        <v>34</v>
      </c>
      <c r="H3" s="70" t="s">
        <v>30</v>
      </c>
      <c r="I3" s="70"/>
      <c r="J3" s="70"/>
      <c r="K3" s="70"/>
      <c r="L3" s="70"/>
      <c r="M3" s="70"/>
      <c r="N3" s="70"/>
      <c r="O3" s="70"/>
      <c r="P3" s="70"/>
      <c r="Q3" s="70"/>
      <c r="R3" s="70"/>
      <c r="S3" s="71"/>
    </row>
    <row r="4" spans="1:19" ht="47.25" customHeight="1" thickBot="1" x14ac:dyDescent="0.3">
      <c r="A4" s="29"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30" t="s">
        <v>26</v>
      </c>
    </row>
    <row r="5" spans="1:19" x14ac:dyDescent="0.25">
      <c r="A5" s="15">
        <v>1</v>
      </c>
      <c r="B5" s="15" t="s">
        <v>15</v>
      </c>
      <c r="C5" s="15">
        <v>2029</v>
      </c>
      <c r="D5" s="39">
        <f>SUMIFS(Registre!$P$3:$P$15000,Registre!$A$3:$A$15000,1,Registre!$B$3:$B$15000,"janvier",Registre!$C$3:$C$15000,2029)</f>
        <v>0</v>
      </c>
      <c r="F5" s="27" t="s">
        <v>37</v>
      </c>
      <c r="G5" s="21">
        <v>730</v>
      </c>
      <c r="H5" s="35" t="str">
        <f>IFERROR(SUMIFS(Registre!$V$3:$V$15000,Registre!$B$3:$B$15000,"janvier",Registre!$R$3:$R$15000,$F5,Registre!$C$3:$C$15000,2029)/SUMIFS(Registre!$W$3:$W$15000,Registre!$B$3:$B$15000,"janvier",Registre!$R$3:$R$15000,$F5,Registre!$C$3:$C$15000,2029),"0")</f>
        <v>0</v>
      </c>
      <c r="I5" s="35" t="str">
        <f>IFERROR(SUMIFS(Registre!$V$3:$V$15000,Registre!$B$3:$B$15000,"février",Registre!$R$3:$R$15000,$F5,Registre!$C$3:$C$15000,2029)/SUMIFS(Registre!$W$3:$W$15000,Registre!$B$3:$B$15000,"février",Registre!$R$3:$R$15000,$F5,Registre!$C$3:$C$15000,2029),"0")</f>
        <v>0</v>
      </c>
      <c r="J5" s="35" t="str">
        <f>IFERROR(SUMIFS(Registre!$V$3:$V$15000,Registre!$B$3:$B$15000,"mars",Registre!$R$3:$R$15000,$F5,Registre!$C$3:$C$15000,2029)/SUMIFS(Registre!$W$3:$W$15000,Registre!$B$3:$B$15000,"mars",Registre!$R$3:$R$15000,$F5,Registre!$C$3:$C$15000,2029),"0")</f>
        <v>0</v>
      </c>
      <c r="K5" s="35" t="str">
        <f>IFERROR(SUMIFS(Registre!$V$3:$V$15000,Registre!$B$3:$B$15000,"avril",Registre!$R$3:$R$15000,$F5,Registre!$C$3:$C$15000,2029)/SUMIFS(Registre!$W$3:$W$15000,Registre!$B$3:$B$15000,"avril",Registre!$R$3:$R$15000,$F5,Registre!$C$3:$C$15000,2029),"0")</f>
        <v>0</v>
      </c>
      <c r="L5" s="35" t="str">
        <f>IFERROR(SUMIFS(Registre!$V$3:$V$15000,Registre!$B$3:$B$15000,"mai",Registre!$R$3:$R$15000,$F5,Registre!$C$3:$C$15000,2029)/SUMIFS(Registre!$W$3:$W$15000,Registre!$B$3:$B$15000,"mai",Registre!$R$3:$R$15000,$F5,Registre!$C$3:$C$15000,2029),"0")</f>
        <v>0</v>
      </c>
      <c r="M5" s="35" t="str">
        <f>IFERROR(SUMIFS(Registre!$V$3:$V$15000,Registre!$B$3:$B$15000,"juin",Registre!$R$3:$R$15000,$F5,Registre!$C$3:$C$15000,2029)/SUMIFS(Registre!$W$3:$W$15000,Registre!$B$3:$B$15000,"juin",Registre!$R$3:$R$15000,$F5,Registre!$C$3:$C$15000,2029),"0")</f>
        <v>0</v>
      </c>
      <c r="N5" s="35" t="str">
        <f>IFERROR(SUMIFS(Registre!$V$3:$V$15000,Registre!$B$3:$B$15000,"juillet",Registre!$R$3:$R$15000,$F5,Registre!$C$3:$C$15000,2029)/SUMIFS(Registre!$W$3:$W$15000,Registre!$B$3:$B$15000,"juillet",Registre!$R$3:$R$15000,$F5,Registre!$C$3:$C$15000,2029),"0")</f>
        <v>0</v>
      </c>
      <c r="O5" s="35" t="str">
        <f>IFERROR(SUMIFS(Registre!$V$3:$V$15000,Registre!$B$3:$B$15000,"août",Registre!$R$3:$R$15000,$F5,Registre!$C$3:$C$15000,2029)/SUMIFS(Registre!$W$3:$W$15000,Registre!$B$3:$B$15000,"août",Registre!$R$3:$R$15000,$F5,Registre!$C$3:$C$15000,2029),"0")</f>
        <v>0</v>
      </c>
      <c r="P5" s="35" t="str">
        <f>IFERROR(SUMIFS(Registre!$V$3:$V$15000,Registre!$B$3:$B$15000,"septembre",Registre!$R$3:$R$15000,$F5,Registre!$C$3:$C$15000,2029)/SUMIFS(Registre!$W$3:$W$15000,Registre!$B$3:$B$15000,"septembre",Registre!$R$3:$R$15000,$F5,Registre!$C$3:$C$15000,2029),"0")</f>
        <v>0</v>
      </c>
      <c r="Q5" s="35" t="str">
        <f>IFERROR(SUMIFS(Registre!$V$3:$V$15000,Registre!$B$3:$B$15000,"octobre",Registre!$R$3:$R$15000,$F5,Registre!$C$3:$C$15000,2029)/SUMIFS(Registre!$W$3:$W$15000,Registre!$B$3:$B$15000,"octobre",Registre!$R$3:$R$15000,$F5,Registre!$C$3:$C$15000,2029),"0")</f>
        <v>0</v>
      </c>
      <c r="R5" s="35" t="str">
        <f>IFERROR(SUMIFS(Registre!$V$3:$V$15000,Registre!$B$3:$B$15000,"novembre",Registre!$R$3:$R$15000,$F5,Registre!$C$3:$C$15000,2029)/SUMIFS(Registre!$W$3:$W$15000,Registre!$B$3:$B$15000,"novembre",Registre!$R$3:$R$15000,$F5,Registre!$C$3:$C$15000,2029),"0")</f>
        <v>0</v>
      </c>
      <c r="S5" s="36" t="str">
        <f>IFERROR(SUMIFS(Registre!$V$3:$V$15000,Registre!$B$3:$B$15000,"décembre",Registre!$R$3:$R$15000,$F5,Registre!$C$3:$C$15000,2029)/SUMIFS(Registre!$W$3:$W$15000,Registre!$B$3:$B$15000,"décembre",Registre!$R$3:$R$15000,$F5,Registre!$C$3:$C$15000,2029),"0")</f>
        <v>0</v>
      </c>
    </row>
    <row r="6" spans="1:19" x14ac:dyDescent="0.25">
      <c r="A6" s="10">
        <v>2</v>
      </c>
      <c r="B6" s="15" t="s">
        <v>15</v>
      </c>
      <c r="C6" s="10">
        <v>2029</v>
      </c>
      <c r="D6" s="40">
        <f>SUMIFS(Registre!$P$3:$P$15000,Registre!$A$3:$A$15000,2,Registre!$B$3:$B$15000,"janvier",Registre!$C$3:$C$15000,2029)</f>
        <v>0</v>
      </c>
      <c r="F6" s="25" t="s">
        <v>38</v>
      </c>
      <c r="G6" s="22">
        <v>760</v>
      </c>
      <c r="H6" s="35" t="str">
        <f>IFERROR(SUMIFS(Registre!$V$3:$V$15000,Registre!$B$3:$B$15000,"janvier",Registre!$R$3:$R$15000,$F6,Registre!$C$3:$C$15000,2029)/SUMIFS(Registre!$W$3:$W$15000,Registre!$B$3:$B$15000,"janvier",Registre!$R$3:$R$15000,$F6,Registre!$C$3:$C$15000,2029),"0")</f>
        <v>0</v>
      </c>
      <c r="I6" s="35" t="str">
        <f>IFERROR(SUMIFS(Registre!$V$3:$V$15000,Registre!$B$3:$B$15000,"février",Registre!$R$3:$R$15000,$F6,Registre!$C$3:$C$15000,2029)/SUMIFS(Registre!$W$3:$W$15000,Registre!$B$3:$B$15000,"février",Registre!$R$3:$R$15000,$F6,Registre!$C$3:$C$15000,2029),"0")</f>
        <v>0</v>
      </c>
      <c r="J6" s="35" t="str">
        <f>IFERROR(SUMIFS(Registre!$V$3:$V$15000,Registre!$B$3:$B$15000,"mars",Registre!$R$3:$R$15000,$F6,Registre!$C$3:$C$15000,2029)/SUMIFS(Registre!$W$3:$W$15000,Registre!$B$3:$B$15000,"mars",Registre!$R$3:$R$15000,$F6,Registre!$C$3:$C$15000,2029),"0")</f>
        <v>0</v>
      </c>
      <c r="K6" s="35" t="str">
        <f>IFERROR(SUMIFS(Registre!$V$3:$V$15000,Registre!$B$3:$B$15000,"avril",Registre!$R$3:$R$15000,$F6,Registre!$C$3:$C$15000,2029)/SUMIFS(Registre!$W$3:$W$15000,Registre!$B$3:$B$15000,"avril",Registre!$R$3:$R$15000,$F6,Registre!$C$3:$C$15000,2029),"0")</f>
        <v>0</v>
      </c>
      <c r="L6" s="35" t="str">
        <f>IFERROR(SUMIFS(Registre!$V$3:$V$15000,Registre!$B$3:$B$15000,"mai",Registre!$R$3:$R$15000,$F6,Registre!$C$3:$C$15000,2029)/SUMIFS(Registre!$W$3:$W$15000,Registre!$B$3:$B$15000,"mai",Registre!$R$3:$R$15000,$F6,Registre!$C$3:$C$15000,2029),"0")</f>
        <v>0</v>
      </c>
      <c r="M6" s="35" t="str">
        <f>IFERROR(SUMIFS(Registre!$V$3:$V$15000,Registre!$B$3:$B$15000,"juin",Registre!$R$3:$R$15000,$F6,Registre!$C$3:$C$15000,2029)/SUMIFS(Registre!$W$3:$W$15000,Registre!$B$3:$B$15000,"juin",Registre!$R$3:$R$15000,$F6,Registre!$C$3:$C$15000,2029),"0")</f>
        <v>0</v>
      </c>
      <c r="N6" s="35" t="str">
        <f>IFERROR(SUMIFS(Registre!$V$3:$V$15000,Registre!$B$3:$B$15000,"juillet",Registre!$R$3:$R$15000,$F6,Registre!$C$3:$C$15000,2029)/SUMIFS(Registre!$W$3:$W$15000,Registre!$B$3:$B$15000,"juillet",Registre!$R$3:$R$15000,$F6,Registre!$C$3:$C$15000,2029),"0")</f>
        <v>0</v>
      </c>
      <c r="O6" s="35" t="str">
        <f>IFERROR(SUMIFS(Registre!$V$3:$V$15000,Registre!$B$3:$B$15000,"août",Registre!$R$3:$R$15000,$F6,Registre!$C$3:$C$15000,2029)/SUMIFS(Registre!$W$3:$W$15000,Registre!$B$3:$B$15000,"août",Registre!$R$3:$R$15000,$F6,Registre!$C$3:$C$15000,2029),"0")</f>
        <v>0</v>
      </c>
      <c r="P6" s="35" t="str">
        <f>IFERROR(SUMIFS(Registre!$V$3:$V$15000,Registre!$B$3:$B$15000,"septembre",Registre!$R$3:$R$15000,$F6,Registre!$C$3:$C$15000,2029)/SUMIFS(Registre!$W$3:$W$15000,Registre!$B$3:$B$15000,"septembre",Registre!$R$3:$R$15000,$F6,Registre!$C$3:$C$15000,2029),"0")</f>
        <v>0</v>
      </c>
      <c r="Q6" s="35" t="str">
        <f>IFERROR(SUMIFS(Registre!$V$3:$V$15000,Registre!$B$3:$B$15000,"octobre",Registre!$R$3:$R$15000,$F6,Registre!$C$3:$C$15000,2029)/SUMIFS(Registre!$W$3:$W$15000,Registre!$B$3:$B$15000,"octobre",Registre!$R$3:$R$15000,$F6,Registre!$C$3:$C$15000,2029),"0")</f>
        <v>0</v>
      </c>
      <c r="R6" s="35" t="str">
        <f>IFERROR(SUMIFS(Registre!$V$3:$V$15000,Registre!$B$3:$B$15000,"novembre",Registre!$R$3:$R$15000,$F6,Registre!$C$3:$C$15000,2029)/SUMIFS(Registre!$W$3:$W$15000,Registre!$B$3:$B$15000,"novembre",Registre!$R$3:$R$15000,$F6,Registre!$C$3:$C$15000,2029),"0")</f>
        <v>0</v>
      </c>
      <c r="S6" s="36" t="str">
        <f>IFERROR(SUMIFS(Registre!$V$3:$V$15000,Registre!$B$3:$B$15000,"décembre",Registre!$R$3:$R$15000,$F6,Registre!$C$3:$C$15000,2029)/SUMIFS(Registre!$W$3:$W$15000,Registre!$B$3:$B$15000,"décembre",Registre!$R$3:$R$15000,$F6,Registre!$C$3:$C$15000,2029),"0")</f>
        <v>0</v>
      </c>
    </row>
    <row r="7" spans="1:19" x14ac:dyDescent="0.25">
      <c r="A7" s="10">
        <v>3</v>
      </c>
      <c r="B7" s="15" t="s">
        <v>15</v>
      </c>
      <c r="C7" s="10">
        <v>2029</v>
      </c>
      <c r="D7" s="40">
        <f>SUMIFS(Registre!$P$3:$P$15000,Registre!$A$3:$A$15000,3,Registre!$B$3:$B$15000,"janvier",Registre!$C$3:$C$15000,2029)</f>
        <v>0</v>
      </c>
      <c r="F7" s="25" t="s">
        <v>39</v>
      </c>
      <c r="G7" s="22">
        <v>780</v>
      </c>
      <c r="H7" s="35" t="str">
        <f>IFERROR(SUMIFS(Registre!$V$3:$V$15000,Registre!$B$3:$B$15000,"janvier",Registre!$R$3:$R$15000,$F7,Registre!$C$3:$C$15000,2029)/SUMIFS(Registre!$W$3:$W$15000,Registre!$B$3:$B$15000,"janvier",Registre!$R$3:$R$15000,$F7,Registre!$C$3:$C$15000,2029),"0")</f>
        <v>0</v>
      </c>
      <c r="I7" s="35" t="str">
        <f>IFERROR(SUMIFS(Registre!$V$3:$V$15000,Registre!$B$3:$B$15000,"février",Registre!$R$3:$R$15000,$F7,Registre!$C$3:$C$15000,2029)/SUMIFS(Registre!$W$3:$W$15000,Registre!$B$3:$B$15000,"février",Registre!$R$3:$R$15000,$F7,Registre!$C$3:$C$15000,2029),"0")</f>
        <v>0</v>
      </c>
      <c r="J7" s="35" t="str">
        <f>IFERROR(SUMIFS(Registre!$V$3:$V$15000,Registre!$B$3:$B$15000,"mars",Registre!$R$3:$R$15000,$F7,Registre!$C$3:$C$15000,2029)/SUMIFS(Registre!$W$3:$W$15000,Registre!$B$3:$B$15000,"mars",Registre!$R$3:$R$15000,$F7,Registre!$C$3:$C$15000,2029),"0")</f>
        <v>0</v>
      </c>
      <c r="K7" s="35" t="str">
        <f>IFERROR(SUMIFS(Registre!$V$3:$V$15000,Registre!$B$3:$B$15000,"avril",Registre!$R$3:$R$15000,$F7,Registre!$C$3:$C$15000,2029)/SUMIFS(Registre!$W$3:$W$15000,Registre!$B$3:$B$15000,"avril",Registre!$R$3:$R$15000,$F7,Registre!$C$3:$C$15000,2029),"0")</f>
        <v>0</v>
      </c>
      <c r="L7" s="35" t="str">
        <f>IFERROR(SUMIFS(Registre!$V$3:$V$15000,Registre!$B$3:$B$15000,"mai",Registre!$R$3:$R$15000,$F7,Registre!$C$3:$C$15000,2029)/SUMIFS(Registre!$W$3:$W$15000,Registre!$B$3:$B$15000,"mai",Registre!$R$3:$R$15000,$F7,Registre!$C$3:$C$15000,2029),"0")</f>
        <v>0</v>
      </c>
      <c r="M7" s="35" t="str">
        <f>IFERROR(SUMIFS(Registre!$V$3:$V$15000,Registre!$B$3:$B$15000,"juin",Registre!$R$3:$R$15000,$F7,Registre!$C$3:$C$15000,2029)/SUMIFS(Registre!$W$3:$W$15000,Registre!$B$3:$B$15000,"juin",Registre!$R$3:$R$15000,$F7,Registre!$C$3:$C$15000,2029),"0")</f>
        <v>0</v>
      </c>
      <c r="N7" s="35" t="str">
        <f>IFERROR(SUMIFS(Registre!$V$3:$V$15000,Registre!$B$3:$B$15000,"juillet",Registre!$R$3:$R$15000,$F7,Registre!$C$3:$C$15000,2029)/SUMIFS(Registre!$W$3:$W$15000,Registre!$B$3:$B$15000,"juillet",Registre!$R$3:$R$15000,$F7,Registre!$C$3:$C$15000,2029),"0")</f>
        <v>0</v>
      </c>
      <c r="O7" s="35" t="str">
        <f>IFERROR(SUMIFS(Registre!$V$3:$V$15000,Registre!$B$3:$B$15000,"août",Registre!$R$3:$R$15000,$F7,Registre!$C$3:$C$15000,2029)/SUMIFS(Registre!$W$3:$W$15000,Registre!$B$3:$B$15000,"août",Registre!$R$3:$R$15000,$F7,Registre!$C$3:$C$15000,2029),"0")</f>
        <v>0</v>
      </c>
      <c r="P7" s="35" t="str">
        <f>IFERROR(SUMIFS(Registre!$V$3:$V$15000,Registre!$B$3:$B$15000,"septembre",Registre!$R$3:$R$15000,$F7,Registre!$C$3:$C$15000,2029)/SUMIFS(Registre!$W$3:$W$15000,Registre!$B$3:$B$15000,"septembre",Registre!$R$3:$R$15000,$F7,Registre!$C$3:$C$15000,2029),"0")</f>
        <v>0</v>
      </c>
      <c r="Q7" s="35" t="str">
        <f>IFERROR(SUMIFS(Registre!$V$3:$V$15000,Registre!$B$3:$B$15000,"octobre",Registre!$R$3:$R$15000,$F7,Registre!$C$3:$C$15000,2029)/SUMIFS(Registre!$W$3:$W$15000,Registre!$B$3:$B$15000,"octobre",Registre!$R$3:$R$15000,$F7,Registre!$C$3:$C$15000,2029),"0")</f>
        <v>0</v>
      </c>
      <c r="R7" s="35" t="str">
        <f>IFERROR(SUMIFS(Registre!$V$3:$V$15000,Registre!$B$3:$B$15000,"novembre",Registre!$R$3:$R$15000,$F7,Registre!$C$3:$C$15000,2029)/SUMIFS(Registre!$W$3:$W$15000,Registre!$B$3:$B$15000,"novembre",Registre!$R$3:$R$15000,$F7,Registre!$C$3:$C$15000,2029),"0")</f>
        <v>0</v>
      </c>
      <c r="S7" s="36" t="str">
        <f>IFERROR(SUMIFS(Registre!$V$3:$V$15000,Registre!$B$3:$B$15000,"décembre",Registre!$R$3:$R$15000,$F7,Registre!$C$3:$C$15000,2029)/SUMIFS(Registre!$W$3:$W$15000,Registre!$B$3:$B$15000,"décembre",Registre!$R$3:$R$15000,$F7,Registre!$C$3:$C$15000,2029),"0")</f>
        <v>0</v>
      </c>
    </row>
    <row r="8" spans="1:19" x14ac:dyDescent="0.25">
      <c r="A8" s="10">
        <v>4</v>
      </c>
      <c r="B8" s="15" t="s">
        <v>15</v>
      </c>
      <c r="C8" s="10">
        <v>2029</v>
      </c>
      <c r="D8" s="40">
        <f>SUMIFS(Registre!$P$3:$P$15000,Registre!$A$3:$A$15000,4,Registre!$B$3:$B$15000,"janvier",Registre!$C$3:$C$15000,2029)</f>
        <v>0</v>
      </c>
      <c r="F8" s="25" t="s">
        <v>40</v>
      </c>
      <c r="G8" s="22">
        <v>480</v>
      </c>
      <c r="H8" s="35" t="str">
        <f>IFERROR(SUMIFS(Registre!$V$3:$V$15000,Registre!$B$3:$B$15000,"janvier",Registre!$R$3:$R$15000,$F8,Registre!$C$3:$C$15000,2029)/SUMIFS(Registre!$W$3:$W$15000,Registre!$B$3:$B$15000,"janvier",Registre!$R$3:$R$15000,$F8,Registre!$C$3:$C$15000,2029),"0")</f>
        <v>0</v>
      </c>
      <c r="I8" s="35" t="str">
        <f>IFERROR(SUMIFS(Registre!$V$3:$V$15000,Registre!$B$3:$B$15000,"février",Registre!$R$3:$R$15000,$F8,Registre!$C$3:$C$15000,2029)/SUMIFS(Registre!$W$3:$W$15000,Registre!$B$3:$B$15000,"février",Registre!$R$3:$R$15000,$F8,Registre!$C$3:$C$15000,2029),"0")</f>
        <v>0</v>
      </c>
      <c r="J8" s="35" t="str">
        <f>IFERROR(SUMIFS(Registre!$V$3:$V$15000,Registre!$B$3:$B$15000,"mars",Registre!$R$3:$R$15000,$F8,Registre!$C$3:$C$15000,2029)/SUMIFS(Registre!$W$3:$W$15000,Registre!$B$3:$B$15000,"mars",Registre!$R$3:$R$15000,$F8,Registre!$C$3:$C$15000,2029),"0")</f>
        <v>0</v>
      </c>
      <c r="K8" s="35" t="str">
        <f>IFERROR(SUMIFS(Registre!$V$3:$V$15000,Registre!$B$3:$B$15000,"avril",Registre!$R$3:$R$15000,$F8,Registre!$C$3:$C$15000,2029)/SUMIFS(Registre!$W$3:$W$15000,Registre!$B$3:$B$15000,"avril",Registre!$R$3:$R$15000,$F8,Registre!$C$3:$C$15000,2029),"0")</f>
        <v>0</v>
      </c>
      <c r="L8" s="35" t="str">
        <f>IFERROR(SUMIFS(Registre!$V$3:$V$15000,Registre!$B$3:$B$15000,"mai",Registre!$R$3:$R$15000,$F8,Registre!$C$3:$C$15000,2029)/SUMIFS(Registre!$W$3:$W$15000,Registre!$B$3:$B$15000,"mai",Registre!$R$3:$R$15000,$F8,Registre!$C$3:$C$15000,2029),"0")</f>
        <v>0</v>
      </c>
      <c r="M8" s="35" t="str">
        <f>IFERROR(SUMIFS(Registre!$V$3:$V$15000,Registre!$B$3:$B$15000,"juin",Registre!$R$3:$R$15000,$F8,Registre!$C$3:$C$15000,2029)/SUMIFS(Registre!$W$3:$W$15000,Registre!$B$3:$B$15000,"juin",Registre!$R$3:$R$15000,$F8,Registre!$C$3:$C$15000,2029),"0")</f>
        <v>0</v>
      </c>
      <c r="N8" s="35" t="str">
        <f>IFERROR(SUMIFS(Registre!$V$3:$V$15000,Registre!$B$3:$B$15000,"juillet",Registre!$R$3:$R$15000,$F8,Registre!$C$3:$C$15000,2029)/SUMIFS(Registre!$W$3:$W$15000,Registre!$B$3:$B$15000,"juillet",Registre!$R$3:$R$15000,$F8,Registre!$C$3:$C$15000,2029),"0")</f>
        <v>0</v>
      </c>
      <c r="O8" s="35" t="str">
        <f>IFERROR(SUMIFS(Registre!$V$3:$V$15000,Registre!$B$3:$B$15000,"août",Registre!$R$3:$R$15000,$F8,Registre!$C$3:$C$15000,2029)/SUMIFS(Registre!$W$3:$W$15000,Registre!$B$3:$B$15000,"août",Registre!$R$3:$R$15000,$F8,Registre!$C$3:$C$15000,2029),"0")</f>
        <v>0</v>
      </c>
      <c r="P8" s="35" t="str">
        <f>IFERROR(SUMIFS(Registre!$V$3:$V$15000,Registre!$B$3:$B$15000,"septembre",Registre!$R$3:$R$15000,$F8,Registre!$C$3:$C$15000,2029)/SUMIFS(Registre!$W$3:$W$15000,Registre!$B$3:$B$15000,"septembre",Registre!$R$3:$R$15000,$F8,Registre!$C$3:$C$15000,2029),"0")</f>
        <v>0</v>
      </c>
      <c r="Q8" s="35" t="str">
        <f>IFERROR(SUMIFS(Registre!$V$3:$V$15000,Registre!$B$3:$B$15000,"octobre",Registre!$R$3:$R$15000,$F8,Registre!$C$3:$C$15000,2029)/SUMIFS(Registre!$W$3:$W$15000,Registre!$B$3:$B$15000,"octobre",Registre!$R$3:$R$15000,$F8,Registre!$C$3:$C$15000,2029),"0")</f>
        <v>0</v>
      </c>
      <c r="R8" s="35" t="str">
        <f>IFERROR(SUMIFS(Registre!$V$3:$V$15000,Registre!$B$3:$B$15000,"novembre",Registre!$R$3:$R$15000,$F8,Registre!$C$3:$C$15000,2029)/SUMIFS(Registre!$W$3:$W$15000,Registre!$B$3:$B$15000,"novembre",Registre!$R$3:$R$15000,$F8,Registre!$C$3:$C$15000,2029),"0")</f>
        <v>0</v>
      </c>
      <c r="S8" s="36" t="str">
        <f>IFERROR(SUMIFS(Registre!$V$3:$V$15000,Registre!$B$3:$B$15000,"décembre",Registre!$R$3:$R$15000,$F8,Registre!$C$3:$C$15000,2029)/SUMIFS(Registre!$W$3:$W$15000,Registre!$B$3:$B$15000,"décembre",Registre!$R$3:$R$15000,$F8,Registre!$C$3:$C$15000,2029),"0")</f>
        <v>0</v>
      </c>
    </row>
    <row r="9" spans="1:19" x14ac:dyDescent="0.25">
      <c r="A9" s="10">
        <v>5</v>
      </c>
      <c r="B9" s="15" t="s">
        <v>15</v>
      </c>
      <c r="C9" s="10">
        <v>2029</v>
      </c>
      <c r="D9" s="40">
        <f>SUMIFS(Registre!$P$3:$P$15000,Registre!$A$3:$A$15000,5,Registre!$B$3:$B$15000,"janvier",Registre!$C$3:$C$15000,2029)</f>
        <v>0</v>
      </c>
      <c r="F9" s="25" t="s">
        <v>41</v>
      </c>
      <c r="G9" s="22">
        <v>670</v>
      </c>
      <c r="H9" s="35" t="str">
        <f>IFERROR(SUMIFS(Registre!$V$3:$V$15000,Registre!$B$3:$B$15000,"janvier",Registre!$R$3:$R$15000,$F9,Registre!$C$3:$C$15000,2029)/SUMIFS(Registre!$W$3:$W$15000,Registre!$B$3:$B$15000,"janvier",Registre!$R$3:$R$15000,$F9,Registre!$C$3:$C$15000,2029),"0")</f>
        <v>0</v>
      </c>
      <c r="I9" s="35" t="str">
        <f>IFERROR(SUMIFS(Registre!$V$3:$V$15000,Registre!$B$3:$B$15000,"février",Registre!$R$3:$R$15000,$F9,Registre!$C$3:$C$15000,2029)/SUMIFS(Registre!$W$3:$W$15000,Registre!$B$3:$B$15000,"février",Registre!$R$3:$R$15000,$F9,Registre!$C$3:$C$15000,2029),"0")</f>
        <v>0</v>
      </c>
      <c r="J9" s="35" t="str">
        <f>IFERROR(SUMIFS(Registre!$V$3:$V$15000,Registre!$B$3:$B$15000,"mars",Registre!$R$3:$R$15000,$F9,Registre!$C$3:$C$15000,2029)/SUMIFS(Registre!$W$3:$W$15000,Registre!$B$3:$B$15000,"mars",Registre!$R$3:$R$15000,$F9,Registre!$C$3:$C$15000,2029),"0")</f>
        <v>0</v>
      </c>
      <c r="K9" s="35" t="str">
        <f>IFERROR(SUMIFS(Registre!$V$3:$V$15000,Registre!$B$3:$B$15000,"avril",Registre!$R$3:$R$15000,$F9,Registre!$C$3:$C$15000,2029)/SUMIFS(Registre!$W$3:$W$15000,Registre!$B$3:$B$15000,"avril",Registre!$R$3:$R$15000,$F9,Registre!$C$3:$C$15000,2029),"0")</f>
        <v>0</v>
      </c>
      <c r="L9" s="35" t="str">
        <f>IFERROR(SUMIFS(Registre!$V$3:$V$15000,Registre!$B$3:$B$15000,"mai",Registre!$R$3:$R$15000,$F9,Registre!$C$3:$C$15000,2029)/SUMIFS(Registre!$W$3:$W$15000,Registre!$B$3:$B$15000,"mai",Registre!$R$3:$R$15000,$F9,Registre!$C$3:$C$15000,2029),"0")</f>
        <v>0</v>
      </c>
      <c r="M9" s="35" t="str">
        <f>IFERROR(SUMIFS(Registre!$V$3:$V$15000,Registre!$B$3:$B$15000,"juin",Registre!$R$3:$R$15000,$F9,Registre!$C$3:$C$15000,2029)/SUMIFS(Registre!$W$3:$W$15000,Registre!$B$3:$B$15000,"juin",Registre!$R$3:$R$15000,$F9,Registre!$C$3:$C$15000,2029),"0")</f>
        <v>0</v>
      </c>
      <c r="N9" s="35" t="str">
        <f>IFERROR(SUMIFS(Registre!$V$3:$V$15000,Registre!$B$3:$B$15000,"juillet",Registre!$R$3:$R$15000,$F9,Registre!$C$3:$C$15000,2029)/SUMIFS(Registre!$W$3:$W$15000,Registre!$B$3:$B$15000,"juillet",Registre!$R$3:$R$15000,$F9,Registre!$C$3:$C$15000,2029),"0")</f>
        <v>0</v>
      </c>
      <c r="O9" s="35" t="str">
        <f>IFERROR(SUMIFS(Registre!$V$3:$V$15000,Registre!$B$3:$B$15000,"août",Registre!$R$3:$R$15000,$F9,Registre!$C$3:$C$15000,2029)/SUMIFS(Registre!$W$3:$W$15000,Registre!$B$3:$B$15000,"août",Registre!$R$3:$R$15000,$F9,Registre!$C$3:$C$15000,2029),"0")</f>
        <v>0</v>
      </c>
      <c r="P9" s="35" t="str">
        <f>IFERROR(SUMIFS(Registre!$V$3:$V$15000,Registre!$B$3:$B$15000,"septembre",Registre!$R$3:$R$15000,$F9,Registre!$C$3:$C$15000,2029)/SUMIFS(Registre!$W$3:$W$15000,Registre!$B$3:$B$15000,"septembre",Registre!$R$3:$R$15000,$F9,Registre!$C$3:$C$15000,2029),"0")</f>
        <v>0</v>
      </c>
      <c r="Q9" s="35" t="str">
        <f>IFERROR(SUMIFS(Registre!$V$3:$V$15000,Registre!$B$3:$B$15000,"octobre",Registre!$R$3:$R$15000,$F9,Registre!$C$3:$C$15000,2029)/SUMIFS(Registre!$W$3:$W$15000,Registre!$B$3:$B$15000,"octobre",Registre!$R$3:$R$15000,$F9,Registre!$C$3:$C$15000,2029),"0")</f>
        <v>0</v>
      </c>
      <c r="R9" s="35" t="str">
        <f>IFERROR(SUMIFS(Registre!$V$3:$V$15000,Registre!$B$3:$B$15000,"novembre",Registre!$R$3:$R$15000,$F9,Registre!$C$3:$C$15000,2029)/SUMIFS(Registre!$W$3:$W$15000,Registre!$B$3:$B$15000,"novembre",Registre!$R$3:$R$15000,$F9,Registre!$C$3:$C$15000,2029),"0")</f>
        <v>0</v>
      </c>
      <c r="S9" s="36" t="str">
        <f>IFERROR(SUMIFS(Registre!$V$3:$V$15000,Registre!$B$3:$B$15000,"décembre",Registre!$R$3:$R$15000,$F9,Registre!$C$3:$C$15000,2029)/SUMIFS(Registre!$W$3:$W$15000,Registre!$B$3:$B$15000,"décembre",Registre!$R$3:$R$15000,$F9,Registre!$C$3:$C$15000,2029),"0")</f>
        <v>0</v>
      </c>
    </row>
    <row r="10" spans="1:19" x14ac:dyDescent="0.25">
      <c r="A10" s="10">
        <v>6</v>
      </c>
      <c r="B10" s="15" t="s">
        <v>15</v>
      </c>
      <c r="C10" s="10">
        <v>2029</v>
      </c>
      <c r="D10" s="40">
        <f>SUMIFS(Registre!$P$3:$P$15000,Registre!$A$3:$A$15000,6,Registre!$B$3:$B$15000,"janvier",Registre!$C$3:$C$15000,2029)</f>
        <v>0</v>
      </c>
      <c r="F10" s="25" t="s">
        <v>42</v>
      </c>
      <c r="G10" s="22">
        <v>600</v>
      </c>
      <c r="H10" s="35" t="str">
        <f>IFERROR(SUMIFS(Registre!$V$3:$V$15000,Registre!$B$3:$B$15000,"janvier",Registre!$R$3:$R$15000,$F10,Registre!$C$3:$C$15000,2029)/SUMIFS(Registre!$W$3:$W$15000,Registre!$B$3:$B$15000,"janvier",Registre!$R$3:$R$15000,$F10,Registre!$C$3:$C$15000,2029),"0")</f>
        <v>0</v>
      </c>
      <c r="I10" s="35" t="str">
        <f>IFERROR(SUMIFS(Registre!$V$3:$V$15000,Registre!$B$3:$B$15000,"février",Registre!$R$3:$R$15000,$F10,Registre!$C$3:$C$15000,2029)/SUMIFS(Registre!$W$3:$W$15000,Registre!$B$3:$B$15000,"février",Registre!$R$3:$R$15000,$F10,Registre!$C$3:$C$15000,2029),"0")</f>
        <v>0</v>
      </c>
      <c r="J10" s="35" t="str">
        <f>IFERROR(SUMIFS(Registre!$V$3:$V$15000,Registre!$B$3:$B$15000,"mars",Registre!$R$3:$R$15000,$F10,Registre!$C$3:$C$15000,2029)/SUMIFS(Registre!$W$3:$W$15000,Registre!$B$3:$B$15000,"mars",Registre!$R$3:$R$15000,$F10,Registre!$C$3:$C$15000,2029),"0")</f>
        <v>0</v>
      </c>
      <c r="K10" s="35" t="str">
        <f>IFERROR(SUMIFS(Registre!$V$3:$V$15000,Registre!$B$3:$B$15000,"avril",Registre!$R$3:$R$15000,$F10,Registre!$C$3:$C$15000,2029)/SUMIFS(Registre!$W$3:$W$15000,Registre!$B$3:$B$15000,"avril",Registre!$R$3:$R$15000,$F10,Registre!$C$3:$C$15000,2029),"0")</f>
        <v>0</v>
      </c>
      <c r="L10" s="35" t="str">
        <f>IFERROR(SUMIFS(Registre!$V$3:$V$15000,Registre!$B$3:$B$15000,"mai",Registre!$R$3:$R$15000,$F10,Registre!$C$3:$C$15000,2029)/SUMIFS(Registre!$W$3:$W$15000,Registre!$B$3:$B$15000,"mai",Registre!$R$3:$R$15000,$F10,Registre!$C$3:$C$15000,2029),"0")</f>
        <v>0</v>
      </c>
      <c r="M10" s="35" t="str">
        <f>IFERROR(SUMIFS(Registre!$V$3:$V$15000,Registre!$B$3:$B$15000,"juin",Registre!$R$3:$R$15000,$F10,Registre!$C$3:$C$15000,2029)/SUMIFS(Registre!$W$3:$W$15000,Registre!$B$3:$B$15000,"juin",Registre!$R$3:$R$15000,$F10,Registre!$C$3:$C$15000,2029),"0")</f>
        <v>0</v>
      </c>
      <c r="N10" s="35" t="str">
        <f>IFERROR(SUMIFS(Registre!$V$3:$V$15000,Registre!$B$3:$B$15000,"juillet",Registre!$R$3:$R$15000,$F10,Registre!$C$3:$C$15000,2029)/SUMIFS(Registre!$W$3:$W$15000,Registre!$B$3:$B$15000,"juillet",Registre!$R$3:$R$15000,$F10,Registre!$C$3:$C$15000,2029),"0")</f>
        <v>0</v>
      </c>
      <c r="O10" s="35" t="str">
        <f>IFERROR(SUMIFS(Registre!$V$3:$V$15000,Registre!$B$3:$B$15000,"août",Registre!$R$3:$R$15000,$F10,Registre!$C$3:$C$15000,2029)/SUMIFS(Registre!$W$3:$W$15000,Registre!$B$3:$B$15000,"août",Registre!$R$3:$R$15000,$F10,Registre!$C$3:$C$15000,2029),"0")</f>
        <v>0</v>
      </c>
      <c r="P10" s="35" t="str">
        <f>IFERROR(SUMIFS(Registre!$V$3:$V$15000,Registre!$B$3:$B$15000,"septembre",Registre!$R$3:$R$15000,$F10,Registre!$C$3:$C$15000,2029)/SUMIFS(Registre!$W$3:$W$15000,Registre!$B$3:$B$15000,"septembre",Registre!$R$3:$R$15000,$F10,Registre!$C$3:$C$15000,2029),"0")</f>
        <v>0</v>
      </c>
      <c r="Q10" s="35" t="str">
        <f>IFERROR(SUMIFS(Registre!$V$3:$V$15000,Registre!$B$3:$B$15000,"octobre",Registre!$R$3:$R$15000,$F10,Registre!$C$3:$C$15000,2029)/SUMIFS(Registre!$W$3:$W$15000,Registre!$B$3:$B$15000,"octobre",Registre!$R$3:$R$15000,$F10,Registre!$C$3:$C$15000,2029),"0")</f>
        <v>0</v>
      </c>
      <c r="R10" s="35" t="str">
        <f>IFERROR(SUMIFS(Registre!$V$3:$V$15000,Registre!$B$3:$B$15000,"novembre",Registre!$R$3:$R$15000,$F10,Registre!$C$3:$C$15000,2029)/SUMIFS(Registre!$W$3:$W$15000,Registre!$B$3:$B$15000,"novembre",Registre!$R$3:$R$15000,$F10,Registre!$C$3:$C$15000,2029),"0")</f>
        <v>0</v>
      </c>
      <c r="S10" s="36" t="str">
        <f>IFERROR(SUMIFS(Registre!$V$3:$V$15000,Registre!$B$3:$B$15000,"décembre",Registre!$R$3:$R$15000,$F10,Registre!$C$3:$C$15000,2029)/SUMIFS(Registre!$W$3:$W$15000,Registre!$B$3:$B$15000,"décembre",Registre!$R$3:$R$15000,$F10,Registre!$C$3:$C$15000,2029),"0")</f>
        <v>0</v>
      </c>
    </row>
    <row r="11" spans="1:19" x14ac:dyDescent="0.25">
      <c r="A11" s="10">
        <v>7</v>
      </c>
      <c r="B11" s="15" t="s">
        <v>15</v>
      </c>
      <c r="C11" s="10">
        <v>2029</v>
      </c>
      <c r="D11" s="40">
        <f>SUMIFS(Registre!$P$3:$P$15000,Registre!$A$3:$A$15000,7,Registre!$B$3:$B$15000,"janvier",Registre!$C$3:$C$15000,2029)</f>
        <v>0</v>
      </c>
      <c r="F11" s="25" t="s">
        <v>43</v>
      </c>
      <c r="G11" s="22">
        <v>670</v>
      </c>
      <c r="H11" s="35" t="str">
        <f>IFERROR(SUMIFS(Registre!$V$3:$V$15000,Registre!$B$3:$B$15000,"janvier",Registre!$R$3:$R$15000,$F11,Registre!$C$3:$C$15000,2029)/SUMIFS(Registre!$W$3:$W$15000,Registre!$B$3:$B$15000,"janvier",Registre!$R$3:$R$15000,$F11,Registre!$C$3:$C$15000,2029),"0")</f>
        <v>0</v>
      </c>
      <c r="I11" s="35" t="str">
        <f>IFERROR(SUMIFS(Registre!$V$3:$V$15000,Registre!$B$3:$B$15000,"février",Registre!$R$3:$R$15000,$F11,Registre!$C$3:$C$15000,2029)/SUMIFS(Registre!$W$3:$W$15000,Registre!$B$3:$B$15000,"février",Registre!$R$3:$R$15000,$F11,Registre!$C$3:$C$15000,2029),"0")</f>
        <v>0</v>
      </c>
      <c r="J11" s="35" t="str">
        <f>IFERROR(SUMIFS(Registre!$V$3:$V$15000,Registre!$B$3:$B$15000,"mars",Registre!$R$3:$R$15000,$F11,Registre!$C$3:$C$15000,2029)/SUMIFS(Registre!$W$3:$W$15000,Registre!$B$3:$B$15000,"mars",Registre!$R$3:$R$15000,$F11,Registre!$C$3:$C$15000,2029),"0")</f>
        <v>0</v>
      </c>
      <c r="K11" s="35" t="str">
        <f>IFERROR(SUMIFS(Registre!$V$3:$V$15000,Registre!$B$3:$B$15000,"avril",Registre!$R$3:$R$15000,$F11,Registre!$C$3:$C$15000,2029)/SUMIFS(Registre!$W$3:$W$15000,Registre!$B$3:$B$15000,"avril",Registre!$R$3:$R$15000,$F11,Registre!$C$3:$C$15000,2029),"0")</f>
        <v>0</v>
      </c>
      <c r="L11" s="35" t="str">
        <f>IFERROR(SUMIFS(Registre!$V$3:$V$15000,Registre!$B$3:$B$15000,"mai",Registre!$R$3:$R$15000,$F11,Registre!$C$3:$C$15000,2029)/SUMIFS(Registre!$W$3:$W$15000,Registre!$B$3:$B$15000,"mai",Registre!$R$3:$R$15000,$F11,Registre!$C$3:$C$15000,2029),"0")</f>
        <v>0</v>
      </c>
      <c r="M11" s="35" t="str">
        <f>IFERROR(SUMIFS(Registre!$V$3:$V$15000,Registre!$B$3:$B$15000,"juin",Registre!$R$3:$R$15000,$F11,Registre!$C$3:$C$15000,2029)/SUMIFS(Registre!$W$3:$W$15000,Registre!$B$3:$B$15000,"juin",Registre!$R$3:$R$15000,$F11,Registre!$C$3:$C$15000,2029),"0")</f>
        <v>0</v>
      </c>
      <c r="N11" s="35" t="str">
        <f>IFERROR(SUMIFS(Registre!$V$3:$V$15000,Registre!$B$3:$B$15000,"juillet",Registre!$R$3:$R$15000,$F11,Registre!$C$3:$C$15000,2029)/SUMIFS(Registre!$W$3:$W$15000,Registre!$B$3:$B$15000,"juillet",Registre!$R$3:$R$15000,$F11,Registre!$C$3:$C$15000,2029),"0")</f>
        <v>0</v>
      </c>
      <c r="O11" s="35" t="str">
        <f>IFERROR(SUMIFS(Registre!$V$3:$V$15000,Registre!$B$3:$B$15000,"août",Registre!$R$3:$R$15000,$F11,Registre!$C$3:$C$15000,2029)/SUMIFS(Registre!$W$3:$W$15000,Registre!$B$3:$B$15000,"août",Registre!$R$3:$R$15000,$F11,Registre!$C$3:$C$15000,2029),"0")</f>
        <v>0</v>
      </c>
      <c r="P11" s="35" t="str">
        <f>IFERROR(SUMIFS(Registre!$V$3:$V$15000,Registre!$B$3:$B$15000,"septembre",Registre!$R$3:$R$15000,$F11,Registre!$C$3:$C$15000,2029)/SUMIFS(Registre!$W$3:$W$15000,Registre!$B$3:$B$15000,"septembre",Registre!$R$3:$R$15000,$F11,Registre!$C$3:$C$15000,2029),"0")</f>
        <v>0</v>
      </c>
      <c r="Q11" s="35" t="str">
        <f>IFERROR(SUMIFS(Registre!$V$3:$V$15000,Registre!$B$3:$B$15000,"octobre",Registre!$R$3:$R$15000,$F11,Registre!$C$3:$C$15000,2029)/SUMIFS(Registre!$W$3:$W$15000,Registre!$B$3:$B$15000,"octobre",Registre!$R$3:$R$15000,$F11,Registre!$C$3:$C$15000,2029),"0")</f>
        <v>0</v>
      </c>
      <c r="R11" s="35" t="str">
        <f>IFERROR(SUMIFS(Registre!$V$3:$V$15000,Registre!$B$3:$B$15000,"novembre",Registre!$R$3:$R$15000,$F11,Registre!$C$3:$C$15000,2029)/SUMIFS(Registre!$W$3:$W$15000,Registre!$B$3:$B$15000,"novembre",Registre!$R$3:$R$15000,$F11,Registre!$C$3:$C$15000,2029),"0")</f>
        <v>0</v>
      </c>
      <c r="S11" s="36" t="str">
        <f>IFERROR(SUMIFS(Registre!$V$3:$V$15000,Registre!$B$3:$B$15000,"décembre",Registre!$R$3:$R$15000,$F11,Registre!$C$3:$C$15000,2029)/SUMIFS(Registre!$W$3:$W$15000,Registre!$B$3:$B$15000,"décembre",Registre!$R$3:$R$15000,$F11,Registre!$C$3:$C$15000,2029),"0")</f>
        <v>0</v>
      </c>
    </row>
    <row r="12" spans="1:19" x14ac:dyDescent="0.25">
      <c r="A12" s="10">
        <v>8</v>
      </c>
      <c r="B12" s="15" t="s">
        <v>15</v>
      </c>
      <c r="C12" s="10">
        <v>2029</v>
      </c>
      <c r="D12" s="40">
        <f>SUMIFS(Registre!$P$3:$P$15000,Registre!$A$3:$A$15000,8,Registre!$B$3:$B$15000,"janvier",Registre!$C$3:$C$15000,2029)</f>
        <v>0</v>
      </c>
      <c r="F12" s="25" t="s">
        <v>44</v>
      </c>
      <c r="G12" s="22">
        <v>780</v>
      </c>
      <c r="H12" s="35" t="str">
        <f>IFERROR(SUMIFS(Registre!$V$3:$V$15000,Registre!$B$3:$B$15000,"janvier",Registre!$R$3:$R$15000,$F12,Registre!$C$3:$C$15000,2029)/SUMIFS(Registre!$W$3:$W$15000,Registre!$B$3:$B$15000,"janvier",Registre!$R$3:$R$15000,$F12,Registre!$C$3:$C$15000,2029),"0")</f>
        <v>0</v>
      </c>
      <c r="I12" s="35" t="str">
        <f>IFERROR(SUMIFS(Registre!$V$3:$V$15000,Registre!$B$3:$B$15000,"février",Registre!$R$3:$R$15000,$F12,Registre!$C$3:$C$15000,2029)/SUMIFS(Registre!$W$3:$W$15000,Registre!$B$3:$B$15000,"février",Registre!$R$3:$R$15000,$F12,Registre!$C$3:$C$15000,2029),"0")</f>
        <v>0</v>
      </c>
      <c r="J12" s="35" t="str">
        <f>IFERROR(SUMIFS(Registre!$V$3:$V$15000,Registre!$B$3:$B$15000,"mars",Registre!$R$3:$R$15000,$F12,Registre!$C$3:$C$15000,2029)/SUMIFS(Registre!$W$3:$W$15000,Registre!$B$3:$B$15000,"mars",Registre!$R$3:$R$15000,$F12,Registre!$C$3:$C$15000,2029),"0")</f>
        <v>0</v>
      </c>
      <c r="K12" s="35" t="str">
        <f>IFERROR(SUMIFS(Registre!$V$3:$V$15000,Registre!$B$3:$B$15000,"avril",Registre!$R$3:$R$15000,$F12,Registre!$C$3:$C$15000,2029)/SUMIFS(Registre!$W$3:$W$15000,Registre!$B$3:$B$15000,"avril",Registre!$R$3:$R$15000,$F12,Registre!$C$3:$C$15000,2029),"0")</f>
        <v>0</v>
      </c>
      <c r="L12" s="35" t="str">
        <f>IFERROR(SUMIFS(Registre!$V$3:$V$15000,Registre!$B$3:$B$15000,"mai",Registre!$R$3:$R$15000,$F12,Registre!$C$3:$C$15000,2029)/SUMIFS(Registre!$W$3:$W$15000,Registre!$B$3:$B$15000,"mai",Registre!$R$3:$R$15000,$F12,Registre!$C$3:$C$15000,2029),"0")</f>
        <v>0</v>
      </c>
      <c r="M12" s="35" t="str">
        <f>IFERROR(SUMIFS(Registre!$V$3:$V$15000,Registre!$B$3:$B$15000,"juin",Registre!$R$3:$R$15000,$F12,Registre!$C$3:$C$15000,2029)/SUMIFS(Registre!$W$3:$W$15000,Registre!$B$3:$B$15000,"juin",Registre!$R$3:$R$15000,$F12,Registre!$C$3:$C$15000,2029),"0")</f>
        <v>0</v>
      </c>
      <c r="N12" s="35" t="str">
        <f>IFERROR(SUMIFS(Registre!$V$3:$V$15000,Registre!$B$3:$B$15000,"juillet",Registre!$R$3:$R$15000,$F12,Registre!$C$3:$C$15000,2029)/SUMIFS(Registre!$W$3:$W$15000,Registre!$B$3:$B$15000,"juillet",Registre!$R$3:$R$15000,$F12,Registre!$C$3:$C$15000,2029),"0")</f>
        <v>0</v>
      </c>
      <c r="O12" s="35" t="str">
        <f>IFERROR(SUMIFS(Registre!$V$3:$V$15000,Registre!$B$3:$B$15000,"août",Registre!$R$3:$R$15000,$F12,Registre!$C$3:$C$15000,2029)/SUMIFS(Registre!$W$3:$W$15000,Registre!$B$3:$B$15000,"août",Registre!$R$3:$R$15000,$F12,Registre!$C$3:$C$15000,2029),"0")</f>
        <v>0</v>
      </c>
      <c r="P12" s="35" t="str">
        <f>IFERROR(SUMIFS(Registre!$V$3:$V$15000,Registre!$B$3:$B$15000,"septembre",Registre!$R$3:$R$15000,$F12,Registre!$C$3:$C$15000,2029)/SUMIFS(Registre!$W$3:$W$15000,Registre!$B$3:$B$15000,"septembre",Registre!$R$3:$R$15000,$F12,Registre!$C$3:$C$15000,2029),"0")</f>
        <v>0</v>
      </c>
      <c r="Q12" s="35" t="str">
        <f>IFERROR(SUMIFS(Registre!$V$3:$V$15000,Registre!$B$3:$B$15000,"octobre",Registre!$R$3:$R$15000,$F12,Registre!$C$3:$C$15000,2029)/SUMIFS(Registre!$W$3:$W$15000,Registre!$B$3:$B$15000,"octobre",Registre!$R$3:$R$15000,$F12,Registre!$C$3:$C$15000,2029),"0")</f>
        <v>0</v>
      </c>
      <c r="R12" s="35" t="str">
        <f>IFERROR(SUMIFS(Registre!$V$3:$V$15000,Registre!$B$3:$B$15000,"novembre",Registre!$R$3:$R$15000,$F12,Registre!$C$3:$C$15000,2029)/SUMIFS(Registre!$W$3:$W$15000,Registre!$B$3:$B$15000,"novembre",Registre!$R$3:$R$15000,$F12,Registre!$C$3:$C$15000,2029),"0")</f>
        <v>0</v>
      </c>
      <c r="S12" s="36" t="str">
        <f>IFERROR(SUMIFS(Registre!$V$3:$V$15000,Registre!$B$3:$B$15000,"décembre",Registre!$R$3:$R$15000,$F12,Registre!$C$3:$C$15000,2029)/SUMIFS(Registre!$W$3:$W$15000,Registre!$B$3:$B$15000,"décembre",Registre!$R$3:$R$15000,$F12,Registre!$C$3:$C$15000,2029),"0")</f>
        <v>0</v>
      </c>
    </row>
    <row r="13" spans="1:19" ht="15.75" thickBot="1" x14ac:dyDescent="0.3">
      <c r="A13" s="10">
        <v>9</v>
      </c>
      <c r="B13" s="15" t="s">
        <v>15</v>
      </c>
      <c r="C13" s="10">
        <v>2029</v>
      </c>
      <c r="D13" s="40">
        <f>SUMIFS(Registre!$P$3:$P$15000,Registre!$A$3:$A$15000,9,Registre!$B$3:$B$15000,"janvier",Registre!$C$3:$C$15000,2029)</f>
        <v>0</v>
      </c>
      <c r="F13" s="26" t="s">
        <v>27</v>
      </c>
      <c r="G13" s="23">
        <v>780</v>
      </c>
      <c r="H13" s="37" t="str">
        <f>IFERROR(SUMIFS(Registre!$V$3:$V$15000,Registre!$B$3:$B$15000,"janvier",Registre!$R$3:$R$15000,$F13,Registre!$C$3:$C$15000,2029)/SUMIFS(Registre!$W$3:$W$15000,Registre!$B$3:$B$15000,"janvier",Registre!$R$3:$R$15000,$F13,Registre!$C$3:$C$15000,2029),"0")</f>
        <v>0</v>
      </c>
      <c r="I13" s="37" t="str">
        <f>IFERROR(SUMIFS(Registre!$V$3:$V$15000,Registre!$B$3:$B$15000,"février",Registre!$R$3:$R$15000,$F13,Registre!$C$3:$C$15000,2029)/SUMIFS(Registre!$W$3:$W$15000,Registre!$B$3:$B$15000,"février",Registre!$R$3:$R$15000,$F13,Registre!$C$3:$C$15000,2029),"0")</f>
        <v>0</v>
      </c>
      <c r="J13" s="37" t="str">
        <f>IFERROR(SUMIFS(Registre!$V$3:$V$15000,Registre!$B$3:$B$15000,"mars",Registre!$R$3:$R$15000,$F13,Registre!$C$3:$C$15000,2029)/SUMIFS(Registre!$W$3:$W$15000,Registre!$B$3:$B$15000,"mars",Registre!$R$3:$R$15000,$F13,Registre!$C$3:$C$15000,2029),"0")</f>
        <v>0</v>
      </c>
      <c r="K13" s="37" t="str">
        <f>IFERROR(SUMIFS(Registre!$V$3:$V$15000,Registre!$B$3:$B$15000,"avril",Registre!$R$3:$R$15000,$F13,Registre!$C$3:$C$15000,2029)/SUMIFS(Registre!$W$3:$W$15000,Registre!$B$3:$B$15000,"avril",Registre!$R$3:$R$15000,$F13,Registre!$C$3:$C$15000,2029),"0")</f>
        <v>0</v>
      </c>
      <c r="L13" s="37" t="str">
        <f>IFERROR(SUMIFS(Registre!$V$3:$V$15000,Registre!$B$3:$B$15000,"mai",Registre!$R$3:$R$15000,$F13,Registre!$C$3:$C$15000,2029)/SUMIFS(Registre!$W$3:$W$15000,Registre!$B$3:$B$15000,"mai",Registre!$R$3:$R$15000,$F13,Registre!$C$3:$C$15000,2029),"0")</f>
        <v>0</v>
      </c>
      <c r="M13" s="37" t="str">
        <f>IFERROR(SUMIFS(Registre!$V$3:$V$15000,Registre!$B$3:$B$15000,"juin",Registre!$R$3:$R$15000,$F13,Registre!$C$3:$C$15000,2029)/SUMIFS(Registre!$W$3:$W$15000,Registre!$B$3:$B$15000,"juin",Registre!$R$3:$R$15000,$F13,Registre!$C$3:$C$15000,2029),"0")</f>
        <v>0</v>
      </c>
      <c r="N13" s="37" t="str">
        <f>IFERROR(SUMIFS(Registre!$V$3:$V$15000,Registre!$B$3:$B$15000,"juillet",Registre!$R$3:$R$15000,$F13,Registre!$C$3:$C$15000,2029)/SUMIFS(Registre!$W$3:$W$15000,Registre!$B$3:$B$15000,"juillet",Registre!$R$3:$R$15000,$F13,Registre!$C$3:$C$15000,2029),"0")</f>
        <v>0</v>
      </c>
      <c r="O13" s="37" t="str">
        <f>IFERROR(SUMIFS(Registre!$V$3:$V$15000,Registre!$B$3:$B$15000,"août",Registre!$R$3:$R$15000,$F13,Registre!$C$3:$C$15000,2029)/SUMIFS(Registre!$W$3:$W$15000,Registre!$B$3:$B$15000,"août",Registre!$R$3:$R$15000,$F13,Registre!$C$3:$C$15000,2029),"0")</f>
        <v>0</v>
      </c>
      <c r="P13" s="37" t="str">
        <f>IFERROR(SUMIFS(Registre!$V$3:$V$15000,Registre!$B$3:$B$15000,"septembre",Registre!$R$3:$R$15000,$F13,Registre!$C$3:$C$15000,2029)/SUMIFS(Registre!$W$3:$W$15000,Registre!$B$3:$B$15000,"septembre",Registre!$R$3:$R$15000,$F13,Registre!$C$3:$C$15000,2029),"0")</f>
        <v>0</v>
      </c>
      <c r="Q13" s="37" t="str">
        <f>IFERROR(SUMIFS(Registre!$V$3:$V$15000,Registre!$B$3:$B$15000,"octobre",Registre!$R$3:$R$15000,$F13,Registre!$C$3:$C$15000,2029)/SUMIFS(Registre!$W$3:$W$15000,Registre!$B$3:$B$15000,"octobre",Registre!$R$3:$R$15000,$F13,Registre!$C$3:$C$15000,2029),"0")</f>
        <v>0</v>
      </c>
      <c r="R13" s="37" t="str">
        <f>IFERROR(SUMIFS(Registre!$V$3:$V$15000,Registre!$B$3:$B$15000,"novembre",Registre!$R$3:$R$15000,$F13,Registre!$C$3:$C$15000,2029)/SUMIFS(Registre!$W$3:$W$15000,Registre!$B$3:$B$15000,"novembre",Registre!$R$3:$R$15000,$F13,Registre!$C$3:$C$15000,2029),"0")</f>
        <v>0</v>
      </c>
      <c r="S13" s="38" t="str">
        <f>IFERROR(SUMIFS(Registre!$V$3:$V$15000,Registre!$B$3:$B$15000,"décembre",Registre!$R$3:$R$15000,$F13,Registre!$C$3:$C$15000,2029)/SUMIFS(Registre!$W$3:$W$15000,Registre!$B$3:$B$15000,"décembre",Registre!$R$3:$R$15000,$F13,Registre!$C$3:$C$15000,2029),"0")</f>
        <v>0</v>
      </c>
    </row>
    <row r="14" spans="1:19" x14ac:dyDescent="0.25">
      <c r="A14" s="10">
        <v>10</v>
      </c>
      <c r="B14" s="15" t="s">
        <v>15</v>
      </c>
      <c r="C14" s="10">
        <v>2029</v>
      </c>
      <c r="D14" s="40">
        <f>SUMIFS(Registre!$P$3:$P$15000,Registre!$A$3:$A$15000,10,Registre!$B$3:$B$15000,"janvier",Registre!$C$3:$C$15000,2029)</f>
        <v>0</v>
      </c>
      <c r="F14" s="17"/>
      <c r="H14" s="2"/>
    </row>
    <row r="15" spans="1:19" x14ac:dyDescent="0.25">
      <c r="A15" s="10">
        <v>11</v>
      </c>
      <c r="B15" s="15" t="s">
        <v>15</v>
      </c>
      <c r="C15" s="10">
        <v>2029</v>
      </c>
      <c r="D15" s="40">
        <f>SUMIFS(Registre!$P$3:$P$15000,Registre!$A$3:$A$15000,11,Registre!$B$3:$B$15000,"janvier",Registre!$C$3:$C$15000,2029)</f>
        <v>0</v>
      </c>
      <c r="F15" s="17"/>
      <c r="H15" s="2"/>
    </row>
    <row r="16" spans="1:19" x14ac:dyDescent="0.25">
      <c r="A16" s="10">
        <v>12</v>
      </c>
      <c r="B16" s="15" t="s">
        <v>15</v>
      </c>
      <c r="C16" s="10">
        <v>2029</v>
      </c>
      <c r="D16" s="40">
        <f>SUMIFS(Registre!$P$3:$P$15000,Registre!$A$3:$A$15000,12,Registre!$B$3:$B$15000,"janvier",Registre!$C$3:$C$15000,2029)</f>
        <v>0</v>
      </c>
      <c r="F16" s="18"/>
      <c r="H16" s="2"/>
    </row>
    <row r="17" spans="1:8" x14ac:dyDescent="0.25">
      <c r="A17" s="10">
        <v>13</v>
      </c>
      <c r="B17" s="15" t="s">
        <v>15</v>
      </c>
      <c r="C17" s="10">
        <v>2029</v>
      </c>
      <c r="D17" s="40">
        <f>SUMIFS(Registre!$P$3:$P$15000,Registre!$A$3:$A$15000,13,Registre!$B$3:$B$15000,"janvier",Registre!$C$3:$C$15000,2029)</f>
        <v>0</v>
      </c>
      <c r="F17" s="18"/>
      <c r="H17" s="2"/>
    </row>
    <row r="18" spans="1:8" x14ac:dyDescent="0.25">
      <c r="A18" s="10">
        <v>14</v>
      </c>
      <c r="B18" s="15" t="s">
        <v>15</v>
      </c>
      <c r="C18" s="10">
        <v>2029</v>
      </c>
      <c r="D18" s="40">
        <f>SUMIFS(Registre!$P$3:$P$15000,Registre!$A$3:$A$15000,14,Registre!$B$3:$B$15000,"janvier",Registre!$C$3:$C$15000,2029)</f>
        <v>0</v>
      </c>
      <c r="F18" s="18"/>
      <c r="H18" s="2"/>
    </row>
    <row r="19" spans="1:8" x14ac:dyDescent="0.25">
      <c r="A19" s="10">
        <v>15</v>
      </c>
      <c r="B19" s="15" t="s">
        <v>15</v>
      </c>
      <c r="C19" s="10">
        <v>2029</v>
      </c>
      <c r="D19" s="40">
        <f>SUMIFS(Registre!$P$3:$P$15000,Registre!$A$3:$A$15000,15,Registre!$B$3:$B$15000,"janvier",Registre!$C$3:$C$15000,2029)</f>
        <v>0</v>
      </c>
      <c r="F19" s="18"/>
      <c r="H19" s="2"/>
    </row>
    <row r="20" spans="1:8" x14ac:dyDescent="0.25">
      <c r="A20" s="10">
        <v>16</v>
      </c>
      <c r="B20" s="15" t="s">
        <v>15</v>
      </c>
      <c r="C20" s="10">
        <v>2029</v>
      </c>
      <c r="D20" s="40">
        <f>SUMIFS(Registre!$P$3:$P$15000,Registre!$A$3:$A$15000,16,Registre!$B$3:$B$15000,"janvier",Registre!$C$3:$C$15000,2029)</f>
        <v>0</v>
      </c>
      <c r="F20" s="18"/>
      <c r="H20" s="2"/>
    </row>
    <row r="21" spans="1:8" x14ac:dyDescent="0.25">
      <c r="A21" s="10">
        <v>17</v>
      </c>
      <c r="B21" s="15" t="s">
        <v>15</v>
      </c>
      <c r="C21" s="10">
        <v>2029</v>
      </c>
      <c r="D21" s="40">
        <f>SUMIFS(Registre!$P$3:$P$15000,Registre!$A$3:$A$15000,17,Registre!$B$3:$B$15000,"janvier",Registre!$C$3:$C$15000,2029)</f>
        <v>0</v>
      </c>
      <c r="F21" s="18"/>
      <c r="H21" s="2"/>
    </row>
    <row r="22" spans="1:8" x14ac:dyDescent="0.25">
      <c r="A22" s="10">
        <v>18</v>
      </c>
      <c r="B22" s="15" t="s">
        <v>15</v>
      </c>
      <c r="C22" s="10">
        <v>2029</v>
      </c>
      <c r="D22" s="40">
        <f>SUMIFS(Registre!$P$3:$P$15000,Registre!$A$3:$A$15000,18,Registre!$B$3:$B$15000,"janvier",Registre!$C$3:$C$15000,2029)</f>
        <v>0</v>
      </c>
      <c r="F22" s="18"/>
      <c r="H22" s="2"/>
    </row>
    <row r="23" spans="1:8" x14ac:dyDescent="0.25">
      <c r="A23" s="10">
        <v>19</v>
      </c>
      <c r="B23" s="15" t="s">
        <v>15</v>
      </c>
      <c r="C23" s="10">
        <v>2029</v>
      </c>
      <c r="D23" s="40">
        <f>SUMIFS(Registre!$P$3:$P$15000,Registre!$A$3:$A$15000,19,Registre!$B$3:$B$15000,"janvier",Registre!$C$3:$C$15000,2029)</f>
        <v>0</v>
      </c>
      <c r="F23" s="17"/>
      <c r="H23" s="2"/>
    </row>
    <row r="24" spans="1:8" x14ac:dyDescent="0.25">
      <c r="A24" s="10">
        <v>20</v>
      </c>
      <c r="B24" s="15" t="s">
        <v>15</v>
      </c>
      <c r="C24" s="10">
        <v>2029</v>
      </c>
      <c r="D24" s="40">
        <f>SUMIFS(Registre!$P$3:$P$15000,Registre!$A$3:$A$15000,20,Registre!$B$3:$B$15000,"janvier",Registre!$C$3:$C$15000,2029)</f>
        <v>0</v>
      </c>
      <c r="F24" s="17"/>
      <c r="H24" s="2"/>
    </row>
    <row r="25" spans="1:8" x14ac:dyDescent="0.25">
      <c r="A25" s="10">
        <v>21</v>
      </c>
      <c r="B25" s="15" t="s">
        <v>15</v>
      </c>
      <c r="C25" s="10">
        <v>2029</v>
      </c>
      <c r="D25" s="40">
        <f>SUMIFS(Registre!$P$3:$P$15000,Registre!$A$3:$A$15000,21,Registre!$B$3:$B$15000,"janvier",Registre!$C$3:$C$15000,2029)</f>
        <v>0</v>
      </c>
      <c r="F25" s="18"/>
      <c r="H25" s="2"/>
    </row>
    <row r="26" spans="1:8" x14ac:dyDescent="0.25">
      <c r="A26" s="10">
        <v>22</v>
      </c>
      <c r="B26" s="15" t="s">
        <v>15</v>
      </c>
      <c r="C26" s="10">
        <v>2029</v>
      </c>
      <c r="D26" s="40">
        <f>SUMIFS(Registre!$P$3:$P$15000,Registre!$A$3:$A$15000,22,Registre!$B$3:$B$15000,"janvier",Registre!$C$3:$C$15000,2029)</f>
        <v>0</v>
      </c>
      <c r="F26" s="18"/>
      <c r="H26" s="2"/>
    </row>
    <row r="27" spans="1:8" x14ac:dyDescent="0.25">
      <c r="A27" s="10">
        <v>23</v>
      </c>
      <c r="B27" s="15" t="s">
        <v>15</v>
      </c>
      <c r="C27" s="10">
        <v>2029</v>
      </c>
      <c r="D27" s="40">
        <f>SUMIFS(Registre!$P$3:$P$15000,Registre!$A$3:$A$15000,23,Registre!$B$3:$B$15000,"janvier",Registre!$C$3:$C$15000,2029)</f>
        <v>0</v>
      </c>
      <c r="F27" s="18"/>
      <c r="H27" s="2"/>
    </row>
    <row r="28" spans="1:8" x14ac:dyDescent="0.25">
      <c r="A28" s="10">
        <v>24</v>
      </c>
      <c r="B28" s="15" t="s">
        <v>15</v>
      </c>
      <c r="C28" s="10">
        <v>2029</v>
      </c>
      <c r="D28" s="40">
        <f>SUMIFS(Registre!$P$3:$P$15000,Registre!$A$3:$A$15000,24,Registre!$B$3:$B$15000,"janvier",Registre!$C$3:$C$15000,2029)</f>
        <v>0</v>
      </c>
      <c r="F28" s="18"/>
      <c r="H28" s="2"/>
    </row>
    <row r="29" spans="1:8" x14ac:dyDescent="0.25">
      <c r="A29" s="10">
        <v>25</v>
      </c>
      <c r="B29" s="15" t="s">
        <v>15</v>
      </c>
      <c r="C29" s="10">
        <v>2029</v>
      </c>
      <c r="D29" s="40">
        <f>SUMIFS(Registre!$P$3:$P$15000,Registre!$A$3:$A$15000,25,Registre!$B$3:$B$15000,"janvier",Registre!$C$3:$C$15000,2029)</f>
        <v>0</v>
      </c>
      <c r="F29" s="18"/>
      <c r="H29" s="2"/>
    </row>
    <row r="30" spans="1:8" x14ac:dyDescent="0.25">
      <c r="A30" s="10">
        <v>26</v>
      </c>
      <c r="B30" s="15" t="s">
        <v>15</v>
      </c>
      <c r="C30" s="10">
        <v>2029</v>
      </c>
      <c r="D30" s="40">
        <f>SUMIFS(Registre!$P$3:$P$15000,Registre!$A$3:$A$15000,26,Registre!$B$3:$B$15000,"janvier",Registre!$C$3:$C$15000,2029)</f>
        <v>0</v>
      </c>
      <c r="F30" s="18"/>
      <c r="H30" s="2"/>
    </row>
    <row r="31" spans="1:8" x14ac:dyDescent="0.25">
      <c r="A31" s="10">
        <v>27</v>
      </c>
      <c r="B31" s="15" t="s">
        <v>15</v>
      </c>
      <c r="C31" s="10">
        <v>2029</v>
      </c>
      <c r="D31" s="40">
        <f>SUMIFS(Registre!$P$3:$P$15000,Registre!$A$3:$A$15000,27,Registre!$B$3:$B$15000,"janvier",Registre!$C$3:$C$15000,2029)</f>
        <v>0</v>
      </c>
      <c r="F31" s="18"/>
      <c r="H31" s="2"/>
    </row>
    <row r="32" spans="1:8" x14ac:dyDescent="0.25">
      <c r="A32" s="10">
        <v>28</v>
      </c>
      <c r="B32" s="15" t="s">
        <v>15</v>
      </c>
      <c r="C32" s="10">
        <v>2029</v>
      </c>
      <c r="D32" s="40">
        <f>SUMIFS(Registre!$P$3:$P$15000,Registre!$A$3:$A$15000,28,Registre!$B$3:$B$15000,"janvier",Registre!$C$3:$C$15000,2029)</f>
        <v>0</v>
      </c>
      <c r="F32" s="17"/>
      <c r="H32" s="2"/>
    </row>
    <row r="33" spans="1:8" x14ac:dyDescent="0.25">
      <c r="A33" s="10">
        <v>29</v>
      </c>
      <c r="B33" s="15" t="s">
        <v>15</v>
      </c>
      <c r="C33" s="10">
        <v>2029</v>
      </c>
      <c r="D33" s="40">
        <f>SUMIFS(Registre!$P$3:$P$15000,Registre!$A$3:$A$15000,29,Registre!$B$3:$B$15000,"janvier",Registre!$C$3:$C$15000,2029)</f>
        <v>0</v>
      </c>
      <c r="F33" s="17"/>
      <c r="H33" s="2"/>
    </row>
    <row r="34" spans="1:8" x14ac:dyDescent="0.25">
      <c r="A34" s="10">
        <v>30</v>
      </c>
      <c r="B34" s="15" t="s">
        <v>15</v>
      </c>
      <c r="C34" s="10">
        <v>2029</v>
      </c>
      <c r="D34" s="40">
        <f>SUMIFS(Registre!$P$3:$P$15000,Registre!$A$3:$A$15000,30,Registre!$B$3:$B$15000,"janvier",Registre!$C$3:$C$15000,2029)</f>
        <v>0</v>
      </c>
      <c r="F34" s="18"/>
      <c r="H34" s="2"/>
    </row>
    <row r="35" spans="1:8" x14ac:dyDescent="0.25">
      <c r="A35" s="10">
        <v>31</v>
      </c>
      <c r="B35" s="15" t="s">
        <v>15</v>
      </c>
      <c r="C35" s="10">
        <v>2029</v>
      </c>
      <c r="D35" s="40">
        <f>SUMIFS(Registre!$P$3:$P$15000,Registre!$A$3:$A$15000,31,Registre!$B$3:$B$15000,"janvier",Registre!$C$3:$C$15000,2029)</f>
        <v>0</v>
      </c>
      <c r="F35" s="18"/>
      <c r="H35" s="2"/>
    </row>
    <row r="36" spans="1:8" x14ac:dyDescent="0.25">
      <c r="A36" s="11">
        <v>1</v>
      </c>
      <c r="B36" s="11" t="s">
        <v>16</v>
      </c>
      <c r="C36" s="11">
        <v>2029</v>
      </c>
      <c r="D36" s="41">
        <f>SUMIFS(Registre!$P$3:$P$15000,Registre!$A$3:$A$15000,1,Registre!$B$3:$B$15000,"février",Registre!$C$3:$C$15000,2029)</f>
        <v>0</v>
      </c>
      <c r="F36" s="18"/>
      <c r="H36" s="2"/>
    </row>
    <row r="37" spans="1:8" x14ac:dyDescent="0.25">
      <c r="A37" s="11">
        <v>2</v>
      </c>
      <c r="B37" s="11" t="s">
        <v>16</v>
      </c>
      <c r="C37" s="11">
        <v>2029</v>
      </c>
      <c r="D37" s="41">
        <f>SUMIFS(Registre!$P$3:$P$15000,Registre!$A$3:$A$15000,2,Registre!$B$3:$B$15000,"février",Registre!$C$3:$C$15000,2029)</f>
        <v>0</v>
      </c>
      <c r="F37" s="18"/>
      <c r="H37" s="2"/>
    </row>
    <row r="38" spans="1:8" x14ac:dyDescent="0.25">
      <c r="A38" s="11">
        <v>3</v>
      </c>
      <c r="B38" s="11" t="s">
        <v>16</v>
      </c>
      <c r="C38" s="11">
        <v>2029</v>
      </c>
      <c r="D38" s="41">
        <f>SUMIFS(Registre!$P$3:$P$15000,Registre!$A$3:$A$15000,3,Registre!$B$3:$B$15000,"février",Registre!$C$3:$C$15000,2029)</f>
        <v>0</v>
      </c>
      <c r="F38" s="18"/>
      <c r="H38" s="2"/>
    </row>
    <row r="39" spans="1:8" x14ac:dyDescent="0.25">
      <c r="A39" s="11">
        <v>4</v>
      </c>
      <c r="B39" s="11" t="s">
        <v>16</v>
      </c>
      <c r="C39" s="11">
        <v>2029</v>
      </c>
      <c r="D39" s="41">
        <f>SUMIFS(Registre!$P$3:$P$15000,Registre!$A$3:$A$15000,4,Registre!$B$3:$B$15000,"février",Registre!$C$3:$C$15000,2029)</f>
        <v>0</v>
      </c>
      <c r="F39" s="18"/>
      <c r="H39" s="2"/>
    </row>
    <row r="40" spans="1:8" x14ac:dyDescent="0.25">
      <c r="A40" s="11">
        <v>5</v>
      </c>
      <c r="B40" s="11" t="s">
        <v>16</v>
      </c>
      <c r="C40" s="11">
        <v>2029</v>
      </c>
      <c r="D40" s="41">
        <f>SUMIFS(Registre!$P$3:$P$15000,Registre!$A$3:$A$15000,5,Registre!$B$3:$B$15000,"février",Registre!$C$3:$C$15000,2029)</f>
        <v>0</v>
      </c>
      <c r="F40" s="18"/>
      <c r="H40" s="2"/>
    </row>
    <row r="41" spans="1:8" x14ac:dyDescent="0.25">
      <c r="A41" s="11">
        <v>6</v>
      </c>
      <c r="B41" s="11" t="s">
        <v>16</v>
      </c>
      <c r="C41" s="11">
        <v>2029</v>
      </c>
      <c r="D41" s="41">
        <f>SUMIFS(Registre!$P$3:$P$15000,Registre!$A$3:$A$15000,6,Registre!$B$3:$B$15000,"février",Registre!$C$3:$C$15000,2029)</f>
        <v>0</v>
      </c>
      <c r="F41" s="17"/>
      <c r="H41" s="2"/>
    </row>
    <row r="42" spans="1:8" x14ac:dyDescent="0.25">
      <c r="A42" s="11">
        <v>7</v>
      </c>
      <c r="B42" s="11" t="s">
        <v>16</v>
      </c>
      <c r="C42" s="11">
        <v>2029</v>
      </c>
      <c r="D42" s="41">
        <f>SUMIFS(Registre!$P$3:$P$15000,Registre!$A$3:$A$15000,7,Registre!$B$3:$B$15000,"février",Registre!$C$3:$C$15000,2029)</f>
        <v>0</v>
      </c>
      <c r="F42" s="17"/>
      <c r="H42" s="2"/>
    </row>
    <row r="43" spans="1:8" x14ac:dyDescent="0.25">
      <c r="A43" s="11">
        <v>8</v>
      </c>
      <c r="B43" s="11" t="s">
        <v>16</v>
      </c>
      <c r="C43" s="11">
        <v>2029</v>
      </c>
      <c r="D43" s="41">
        <f>SUMIFS(Registre!$P$3:$P$15000,Registre!$A$3:$A$15000,8,Registre!$B$3:$B$15000,"février",Registre!$C$3:$C$15000,2029)</f>
        <v>0</v>
      </c>
      <c r="F43" s="18"/>
      <c r="H43" s="2"/>
    </row>
    <row r="44" spans="1:8" x14ac:dyDescent="0.25">
      <c r="A44" s="11">
        <v>9</v>
      </c>
      <c r="B44" s="11" t="s">
        <v>16</v>
      </c>
      <c r="C44" s="11">
        <v>2029</v>
      </c>
      <c r="D44" s="41">
        <f>SUMIFS(Registre!$P$3:$P$15000,Registre!$A$3:$A$15000,9,Registre!$B$3:$B$15000,"février",Registre!$C$3:$C$15000,2029)</f>
        <v>0</v>
      </c>
      <c r="F44" s="18"/>
      <c r="H44" s="2"/>
    </row>
    <row r="45" spans="1:8" x14ac:dyDescent="0.25">
      <c r="A45" s="11">
        <v>10</v>
      </c>
      <c r="B45" s="11" t="s">
        <v>16</v>
      </c>
      <c r="C45" s="11">
        <v>2029</v>
      </c>
      <c r="D45" s="41">
        <f>SUMIFS(Registre!$P$3:$P$15000,Registre!$A$3:$A$15000,10,Registre!$B$3:$B$15000,"février",Registre!$C$3:$C$15000,2029)</f>
        <v>0</v>
      </c>
      <c r="F45" s="18"/>
      <c r="H45" s="2"/>
    </row>
    <row r="46" spans="1:8" x14ac:dyDescent="0.25">
      <c r="A46" s="11">
        <v>11</v>
      </c>
      <c r="B46" s="11" t="s">
        <v>16</v>
      </c>
      <c r="C46" s="11">
        <v>2029</v>
      </c>
      <c r="D46" s="41">
        <f>SUMIFS(Registre!$P$3:$P$15000,Registre!$A$3:$A$15000,11,Registre!$B$3:$B$15000,"février",Registre!$C$3:$C$15000,2029)</f>
        <v>0</v>
      </c>
      <c r="F46" s="18"/>
      <c r="H46" s="2"/>
    </row>
    <row r="47" spans="1:8" x14ac:dyDescent="0.25">
      <c r="A47" s="11">
        <v>12</v>
      </c>
      <c r="B47" s="11" t="s">
        <v>16</v>
      </c>
      <c r="C47" s="11">
        <v>2029</v>
      </c>
      <c r="D47" s="41">
        <f>SUMIFS(Registre!$P$3:$P$15000,Registre!$A$3:$A$15000,12,Registre!$B$3:$B$15000,"février",Registre!$C$3:$C$15000,2029)</f>
        <v>0</v>
      </c>
      <c r="F47" s="18"/>
      <c r="H47" s="2"/>
    </row>
    <row r="48" spans="1:8" x14ac:dyDescent="0.25">
      <c r="A48" s="11">
        <v>13</v>
      </c>
      <c r="B48" s="11" t="s">
        <v>16</v>
      </c>
      <c r="C48" s="11">
        <v>2029</v>
      </c>
      <c r="D48" s="41">
        <f>SUMIFS(Registre!$P$3:$P$15000,Registre!$A$3:$A$15000,13,Registre!$B$3:$B$15000,"février",Registre!$C$3:$C$15000,2029)</f>
        <v>0</v>
      </c>
      <c r="F48" s="18"/>
      <c r="H48" s="2"/>
    </row>
    <row r="49" spans="1:8" x14ac:dyDescent="0.25">
      <c r="A49" s="11">
        <v>14</v>
      </c>
      <c r="B49" s="11" t="s">
        <v>16</v>
      </c>
      <c r="C49" s="11">
        <v>2029</v>
      </c>
      <c r="D49" s="41">
        <f>SUMIFS(Registre!$P$3:$P$15000,Registre!$A$3:$A$15000,14,Registre!$B$3:$B$15000,"février",Registre!$C$3:$C$15000,2029)</f>
        <v>0</v>
      </c>
      <c r="F49" s="18"/>
      <c r="H49" s="2"/>
    </row>
    <row r="50" spans="1:8" x14ac:dyDescent="0.25">
      <c r="A50" s="11">
        <v>15</v>
      </c>
      <c r="B50" s="11" t="s">
        <v>16</v>
      </c>
      <c r="C50" s="11">
        <v>2029</v>
      </c>
      <c r="D50" s="41">
        <f>SUMIFS(Registre!$P$3:$P$15000,Registre!$A$3:$A$15000,15,Registre!$B$3:$B$15000,"février",Registre!$C$3:$C$15000,2029)</f>
        <v>0</v>
      </c>
      <c r="F50" s="17"/>
      <c r="H50" s="2"/>
    </row>
    <row r="51" spans="1:8" x14ac:dyDescent="0.25">
      <c r="A51" s="11">
        <v>16</v>
      </c>
      <c r="B51" s="11" t="s">
        <v>16</v>
      </c>
      <c r="C51" s="11">
        <v>2029</v>
      </c>
      <c r="D51" s="41">
        <f>SUMIFS(Registre!$P$3:$P$15000,Registre!$A$3:$A$15000,16,Registre!$B$3:$B$15000,"février",Registre!$C$3:$C$15000,2029)</f>
        <v>0</v>
      </c>
      <c r="F51" s="17"/>
      <c r="H51" s="2"/>
    </row>
    <row r="52" spans="1:8" x14ac:dyDescent="0.25">
      <c r="A52" s="11">
        <v>17</v>
      </c>
      <c r="B52" s="11" t="s">
        <v>16</v>
      </c>
      <c r="C52" s="11">
        <v>2029</v>
      </c>
      <c r="D52" s="41">
        <f>SUMIFS(Registre!$P$3:$P$15000,Registre!$A$3:$A$15000,17,Registre!$B$3:$B$15000,"février",Registre!$C$3:$C$15000,2029)</f>
        <v>0</v>
      </c>
      <c r="F52" s="18"/>
      <c r="H52" s="2"/>
    </row>
    <row r="53" spans="1:8" x14ac:dyDescent="0.25">
      <c r="A53" s="11">
        <v>18</v>
      </c>
      <c r="B53" s="11" t="s">
        <v>16</v>
      </c>
      <c r="C53" s="11">
        <v>2029</v>
      </c>
      <c r="D53" s="41">
        <f>SUMIFS(Registre!$P$3:$P$15000,Registre!$A$3:$A$15000,18,Registre!$B$3:$B$15000,"février",Registre!$C$3:$C$15000,2029)</f>
        <v>0</v>
      </c>
      <c r="F53" s="18"/>
      <c r="H53" s="2"/>
    </row>
    <row r="54" spans="1:8" x14ac:dyDescent="0.25">
      <c r="A54" s="11">
        <v>19</v>
      </c>
      <c r="B54" s="11" t="s">
        <v>16</v>
      </c>
      <c r="C54" s="11">
        <v>2029</v>
      </c>
      <c r="D54" s="41">
        <f>SUMIFS(Registre!$P$3:$P$15000,Registre!$A$3:$A$15000,19,Registre!$B$3:$B$15000,"février",Registre!$C$3:$C$15000,2029)</f>
        <v>0</v>
      </c>
      <c r="F54" s="18"/>
      <c r="H54" s="2"/>
    </row>
    <row r="55" spans="1:8" x14ac:dyDescent="0.25">
      <c r="A55" s="11">
        <v>20</v>
      </c>
      <c r="B55" s="11" t="s">
        <v>16</v>
      </c>
      <c r="C55" s="11">
        <v>2029</v>
      </c>
      <c r="D55" s="41">
        <f>SUMIFS(Registre!$P$3:$P$15000,Registre!$A$3:$A$15000,20,Registre!$B$3:$B$15000,"février",Registre!$C$3:$C$15000,2029)</f>
        <v>0</v>
      </c>
      <c r="F55" s="18"/>
      <c r="H55" s="2"/>
    </row>
    <row r="56" spans="1:8" x14ac:dyDescent="0.25">
      <c r="A56" s="11">
        <v>21</v>
      </c>
      <c r="B56" s="11" t="s">
        <v>16</v>
      </c>
      <c r="C56" s="11">
        <v>2029</v>
      </c>
      <c r="D56" s="41">
        <f>SUMIFS(Registre!$P$3:$P$15000,Registre!$A$3:$A$15000,21,Registre!$B$3:$B$15000,"février",Registre!$C$3:$C$15000,2029)</f>
        <v>0</v>
      </c>
      <c r="F56" s="18"/>
      <c r="H56" s="2"/>
    </row>
    <row r="57" spans="1:8" x14ac:dyDescent="0.25">
      <c r="A57" s="11">
        <v>22</v>
      </c>
      <c r="B57" s="11" t="s">
        <v>16</v>
      </c>
      <c r="C57" s="11">
        <v>2029</v>
      </c>
      <c r="D57" s="41">
        <f>SUMIFS(Registre!$P$3:$P$15000,Registre!$A$3:$A$15000,22,Registre!$B$3:$B$15000,"février",Registre!$C$3:$C$15000,2029)</f>
        <v>0</v>
      </c>
      <c r="F57" s="18"/>
      <c r="H57" s="2"/>
    </row>
    <row r="58" spans="1:8" x14ac:dyDescent="0.25">
      <c r="A58" s="11">
        <v>23</v>
      </c>
      <c r="B58" s="11" t="s">
        <v>16</v>
      </c>
      <c r="C58" s="11">
        <v>2029</v>
      </c>
      <c r="D58" s="41">
        <f>SUMIFS(Registre!$P$3:$P$15000,Registre!$A$3:$A$15000,23,Registre!$B$3:$B$15000,"février",Registre!$C$3:$C$15000,2029)</f>
        <v>0</v>
      </c>
      <c r="F58" s="18"/>
      <c r="H58" s="2"/>
    </row>
    <row r="59" spans="1:8" x14ac:dyDescent="0.25">
      <c r="A59" s="11">
        <v>24</v>
      </c>
      <c r="B59" s="11" t="s">
        <v>16</v>
      </c>
      <c r="C59" s="11">
        <v>2029</v>
      </c>
      <c r="D59" s="41">
        <f>SUMIFS(Registre!$P$3:$P$15000,Registre!$A$3:$A$15000,24,Registre!$B$3:$B$15000,"février",Registre!$C$3:$C$15000,2029)</f>
        <v>0</v>
      </c>
      <c r="F59" s="17"/>
      <c r="H59" s="2"/>
    </row>
    <row r="60" spans="1:8" x14ac:dyDescent="0.25">
      <c r="A60" s="11">
        <v>25</v>
      </c>
      <c r="B60" s="11" t="s">
        <v>16</v>
      </c>
      <c r="C60" s="11">
        <v>2029</v>
      </c>
      <c r="D60" s="41">
        <f>SUMIFS(Registre!$P$3:$P$15000,Registre!$A$3:$A$15000,25,Registre!$B$3:$B$15000,"février",Registre!$C$3:$C$15000,2029)</f>
        <v>0</v>
      </c>
      <c r="F60" s="17"/>
      <c r="H60" s="2"/>
    </row>
    <row r="61" spans="1:8" x14ac:dyDescent="0.25">
      <c r="A61" s="11">
        <v>26</v>
      </c>
      <c r="B61" s="11" t="s">
        <v>16</v>
      </c>
      <c r="C61" s="11">
        <v>2029</v>
      </c>
      <c r="D61" s="41">
        <f>SUMIFS(Registre!$P$3:$P$15000,Registre!$A$3:$A$15000,26,Registre!$B$3:$B$15000,"février",Registre!$C$3:$C$15000,2029)</f>
        <v>0</v>
      </c>
      <c r="F61" s="18"/>
      <c r="H61" s="2"/>
    </row>
    <row r="62" spans="1:8" x14ac:dyDescent="0.25">
      <c r="A62" s="11">
        <v>27</v>
      </c>
      <c r="B62" s="11" t="s">
        <v>16</v>
      </c>
      <c r="C62" s="11">
        <v>2029</v>
      </c>
      <c r="D62" s="41">
        <f>SUMIFS(Registre!$P$3:$P$15000,Registre!$A$3:$A$15000,27,Registre!$B$3:$B$15000,"février",Registre!$C$3:$C$15000,2029)</f>
        <v>0</v>
      </c>
      <c r="F62" s="18"/>
      <c r="H62" s="2"/>
    </row>
    <row r="63" spans="1:8" x14ac:dyDescent="0.25">
      <c r="A63" s="11">
        <v>28</v>
      </c>
      <c r="B63" s="11" t="s">
        <v>16</v>
      </c>
      <c r="C63" s="11">
        <v>2029</v>
      </c>
      <c r="D63" s="41">
        <f>SUMIFS(Registre!$P$3:$P$15000,Registre!$A$3:$A$15000,28,Registre!$B$3:$B$15000,"février",Registre!$C$3:$C$15000,2029)</f>
        <v>0</v>
      </c>
      <c r="F63" s="18"/>
      <c r="H63" s="2"/>
    </row>
    <row r="64" spans="1:8" x14ac:dyDescent="0.25">
      <c r="A64" s="10">
        <v>1</v>
      </c>
      <c r="B64" s="10" t="s">
        <v>17</v>
      </c>
      <c r="C64" s="10">
        <v>2029</v>
      </c>
      <c r="D64" s="40">
        <f>SUMIFS(Registre!$P$3:$P$15000,Registre!$A$3:$A$15000,1,Registre!$B$3:$B$15000,"mars",Registre!$C$3:$C$15000,2029)</f>
        <v>0</v>
      </c>
      <c r="F64" s="18"/>
      <c r="H64" s="2"/>
    </row>
    <row r="65" spans="1:8" x14ac:dyDescent="0.25">
      <c r="A65" s="10">
        <v>2</v>
      </c>
      <c r="B65" s="10" t="s">
        <v>17</v>
      </c>
      <c r="C65" s="10">
        <v>2029</v>
      </c>
      <c r="D65" s="40">
        <f>SUMIFS(Registre!$P$3:$P$15000,Registre!$A$3:$A$15000,2,Registre!$B$3:$B$15000,"mars",Registre!$C$3:$C$15000,2029)</f>
        <v>0</v>
      </c>
      <c r="F65" s="18"/>
      <c r="H65" s="2"/>
    </row>
    <row r="66" spans="1:8" x14ac:dyDescent="0.25">
      <c r="A66" s="10">
        <v>3</v>
      </c>
      <c r="B66" s="10" t="s">
        <v>17</v>
      </c>
      <c r="C66" s="10">
        <v>2029</v>
      </c>
      <c r="D66" s="40">
        <f>SUMIFS(Registre!$P$3:$P$15000,Registre!$A$3:$A$15000,3,Registre!$B$3:$B$15000,"mars",Registre!$C$3:$C$15000,2029)</f>
        <v>0</v>
      </c>
      <c r="F66" s="18"/>
      <c r="H66" s="2"/>
    </row>
    <row r="67" spans="1:8" x14ac:dyDescent="0.25">
      <c r="A67" s="10">
        <v>4</v>
      </c>
      <c r="B67" s="10" t="s">
        <v>17</v>
      </c>
      <c r="C67" s="10">
        <v>2029</v>
      </c>
      <c r="D67" s="40">
        <f>SUMIFS(Registre!$P$3:$P$15000,Registre!$A$3:$A$15000,4,Registre!$B$3:$B$15000,"mars",Registre!$C$3:$C$15000,2029)</f>
        <v>0</v>
      </c>
      <c r="F67" s="18"/>
      <c r="H67" s="2"/>
    </row>
    <row r="68" spans="1:8" x14ac:dyDescent="0.25">
      <c r="A68" s="10">
        <v>5</v>
      </c>
      <c r="B68" s="10" t="s">
        <v>17</v>
      </c>
      <c r="C68" s="10">
        <v>2029</v>
      </c>
      <c r="D68" s="40">
        <f>SUMIFS(Registre!$P$3:$P$15000,Registre!$A$3:$A$15000,5,Registre!$B$3:$B$15000,"mars",Registre!$C$3:$C$15000,2029)</f>
        <v>0</v>
      </c>
      <c r="F68" s="17"/>
      <c r="H68" s="2"/>
    </row>
    <row r="69" spans="1:8" x14ac:dyDescent="0.25">
      <c r="A69" s="10">
        <v>6</v>
      </c>
      <c r="B69" s="10" t="s">
        <v>17</v>
      </c>
      <c r="C69" s="10">
        <v>2029</v>
      </c>
      <c r="D69" s="40">
        <f>SUMIFS(Registre!$P$3:$P$15000,Registre!$A$3:$A$15000,6,Registre!$B$3:$B$15000,"mars",Registre!$C$3:$C$15000,2029)</f>
        <v>0</v>
      </c>
      <c r="F69" s="17"/>
      <c r="H69" s="2"/>
    </row>
    <row r="70" spans="1:8" x14ac:dyDescent="0.25">
      <c r="A70" s="10">
        <v>7</v>
      </c>
      <c r="B70" s="10" t="s">
        <v>17</v>
      </c>
      <c r="C70" s="10">
        <v>2029</v>
      </c>
      <c r="D70" s="40">
        <f>SUMIFS(Registre!$P$3:$P$15000,Registre!$A$3:$A$15000,7,Registre!$B$3:$B$15000,"mars",Registre!$C$3:$C$15000,2029)</f>
        <v>0</v>
      </c>
      <c r="F70" s="18"/>
      <c r="H70" s="2"/>
    </row>
    <row r="71" spans="1:8" x14ac:dyDescent="0.25">
      <c r="A71" s="10">
        <v>8</v>
      </c>
      <c r="B71" s="10" t="s">
        <v>17</v>
      </c>
      <c r="C71" s="10">
        <v>2029</v>
      </c>
      <c r="D71" s="40">
        <f>SUMIFS(Registre!$P$3:$P$15000,Registre!$A$3:$A$15000,8,Registre!$B$3:$B$15000,"mars",Registre!$C$3:$C$15000,2029)</f>
        <v>0</v>
      </c>
      <c r="F71" s="18"/>
      <c r="H71" s="2"/>
    </row>
    <row r="72" spans="1:8" x14ac:dyDescent="0.25">
      <c r="A72" s="10">
        <v>9</v>
      </c>
      <c r="B72" s="10" t="s">
        <v>17</v>
      </c>
      <c r="C72" s="10">
        <v>2029</v>
      </c>
      <c r="D72" s="40">
        <f>SUMIFS(Registre!$P$3:$P$15000,Registre!$A$3:$A$15000,9,Registre!$B$3:$B$15000,"mars",Registre!$C$3:$C$15000,2029)</f>
        <v>0</v>
      </c>
      <c r="F72" s="18"/>
      <c r="H72" s="2"/>
    </row>
    <row r="73" spans="1:8" x14ac:dyDescent="0.25">
      <c r="A73" s="10">
        <v>10</v>
      </c>
      <c r="B73" s="10" t="s">
        <v>17</v>
      </c>
      <c r="C73" s="10">
        <v>2029</v>
      </c>
      <c r="D73" s="40">
        <f>SUMIFS(Registre!$P$3:$P$15000,Registre!$A$3:$A$15000,10,Registre!$B$3:$B$15000,"mars",Registre!$C$3:$C$15000,2029)</f>
        <v>0</v>
      </c>
      <c r="F73" s="18"/>
      <c r="H73" s="2"/>
    </row>
    <row r="74" spans="1:8" x14ac:dyDescent="0.25">
      <c r="A74" s="10">
        <v>11</v>
      </c>
      <c r="B74" s="10" t="s">
        <v>17</v>
      </c>
      <c r="C74" s="10">
        <v>2029</v>
      </c>
      <c r="D74" s="40">
        <f>SUMIFS(Registre!$P$3:$P$15000,Registre!$A$3:$A$15000,11,Registre!$B$3:$B$15000,"mars",Registre!$C$3:$C$15000,2029)</f>
        <v>0</v>
      </c>
      <c r="F74" s="18"/>
      <c r="H74" s="2"/>
    </row>
    <row r="75" spans="1:8" x14ac:dyDescent="0.25">
      <c r="A75" s="10">
        <v>12</v>
      </c>
      <c r="B75" s="10" t="s">
        <v>17</v>
      </c>
      <c r="C75" s="10">
        <v>2029</v>
      </c>
      <c r="D75" s="40">
        <f>SUMIFS(Registre!$P$3:$P$15000,Registre!$A$3:$A$15000,12,Registre!$B$3:$B$15000,"mars",Registre!$C$3:$C$15000,2029)</f>
        <v>0</v>
      </c>
      <c r="F75" s="18"/>
      <c r="H75" s="2"/>
    </row>
    <row r="76" spans="1:8" x14ac:dyDescent="0.25">
      <c r="A76" s="10">
        <v>13</v>
      </c>
      <c r="B76" s="10" t="s">
        <v>17</v>
      </c>
      <c r="C76" s="10">
        <v>2029</v>
      </c>
      <c r="D76" s="40">
        <f>SUMIFS(Registre!$P$3:$P$15000,Registre!$A$3:$A$15000,13,Registre!$B$3:$B$15000,"mars",Registre!$C$3:$C$15000,2029)</f>
        <v>0</v>
      </c>
      <c r="F76" s="18"/>
      <c r="H76" s="2"/>
    </row>
    <row r="77" spans="1:8" x14ac:dyDescent="0.25">
      <c r="A77" s="10">
        <v>14</v>
      </c>
      <c r="B77" s="10" t="s">
        <v>17</v>
      </c>
      <c r="C77" s="10">
        <v>2029</v>
      </c>
      <c r="D77" s="40">
        <f>SUMIFS(Registre!$P$3:$P$15000,Registre!$A$3:$A$15000,14,Registre!$B$3:$B$15000,"mars",Registre!$C$3:$C$15000,2029)</f>
        <v>0</v>
      </c>
      <c r="F77" s="17"/>
      <c r="H77" s="2"/>
    </row>
    <row r="78" spans="1:8" x14ac:dyDescent="0.25">
      <c r="A78" s="10">
        <v>15</v>
      </c>
      <c r="B78" s="10" t="s">
        <v>17</v>
      </c>
      <c r="C78" s="10">
        <v>2029</v>
      </c>
      <c r="D78" s="40">
        <f>SUMIFS(Registre!$P$3:$P$15000,Registre!$A$3:$A$15000,15,Registre!$B$3:$B$15000,"mars",Registre!$C$3:$C$15000,2029)</f>
        <v>0</v>
      </c>
      <c r="F78" s="17"/>
      <c r="H78" s="2"/>
    </row>
    <row r="79" spans="1:8" x14ac:dyDescent="0.25">
      <c r="A79" s="10">
        <v>16</v>
      </c>
      <c r="B79" s="10" t="s">
        <v>17</v>
      </c>
      <c r="C79" s="10">
        <v>2029</v>
      </c>
      <c r="D79" s="40">
        <f>SUMIFS(Registre!$P$3:$P$15000,Registre!$A$3:$A$15000,16,Registre!$B$3:$B$15000,"mars",Registre!$C$3:$C$15000,2029)</f>
        <v>0</v>
      </c>
      <c r="F79" s="18"/>
      <c r="H79" s="2"/>
    </row>
    <row r="80" spans="1:8" x14ac:dyDescent="0.25">
      <c r="A80" s="10">
        <v>17</v>
      </c>
      <c r="B80" s="10" t="s">
        <v>17</v>
      </c>
      <c r="C80" s="10">
        <v>2029</v>
      </c>
      <c r="D80" s="40">
        <f>SUMIFS(Registre!$P$3:$P$15000,Registre!$A$3:$A$15000,17,Registre!$B$3:$B$15000,"mars",Registre!$C$3:$C$15000,2029)</f>
        <v>0</v>
      </c>
      <c r="F80" s="18"/>
      <c r="H80" s="2"/>
    </row>
    <row r="81" spans="1:8" x14ac:dyDescent="0.25">
      <c r="A81" s="10">
        <v>18</v>
      </c>
      <c r="B81" s="10" t="s">
        <v>17</v>
      </c>
      <c r="C81" s="10">
        <v>2029</v>
      </c>
      <c r="D81" s="40">
        <f>SUMIFS(Registre!$P$3:$P$15000,Registre!$A$3:$A$15000,18,Registre!$B$3:$B$15000,"mars",Registre!$C$3:$C$15000,2029)</f>
        <v>0</v>
      </c>
      <c r="F81" s="18"/>
      <c r="H81" s="2"/>
    </row>
    <row r="82" spans="1:8" x14ac:dyDescent="0.25">
      <c r="A82" s="10">
        <v>19</v>
      </c>
      <c r="B82" s="10" t="s">
        <v>17</v>
      </c>
      <c r="C82" s="10">
        <v>2029</v>
      </c>
      <c r="D82" s="40">
        <f>SUMIFS(Registre!$P$3:$P$15000,Registre!$A$3:$A$15000,19,Registre!$B$3:$B$15000,"mars",Registre!$C$3:$C$15000,2029)</f>
        <v>0</v>
      </c>
      <c r="F82" s="18"/>
      <c r="H82" s="2"/>
    </row>
    <row r="83" spans="1:8" x14ac:dyDescent="0.25">
      <c r="A83" s="10">
        <v>20</v>
      </c>
      <c r="B83" s="10" t="s">
        <v>17</v>
      </c>
      <c r="C83" s="10">
        <v>2029</v>
      </c>
      <c r="D83" s="40">
        <f>SUMIFS(Registre!$P$3:$P$15000,Registre!$A$3:$A$15000,20,Registre!$B$3:$B$15000,"mars",Registre!$C$3:$C$15000,2029)</f>
        <v>0</v>
      </c>
      <c r="F83" s="18"/>
      <c r="H83" s="2"/>
    </row>
    <row r="84" spans="1:8" x14ac:dyDescent="0.25">
      <c r="A84" s="10">
        <v>21</v>
      </c>
      <c r="B84" s="10" t="s">
        <v>17</v>
      </c>
      <c r="C84" s="10">
        <v>2029</v>
      </c>
      <c r="D84" s="40">
        <f>SUMIFS(Registre!$P$3:$P$15000,Registre!$A$3:$A$15000,21,Registre!$B$3:$B$15000,"mars",Registre!$C$3:$C$15000,2029)</f>
        <v>0</v>
      </c>
      <c r="F84" s="18"/>
      <c r="H84" s="2"/>
    </row>
    <row r="85" spans="1:8" x14ac:dyDescent="0.25">
      <c r="A85" s="10">
        <v>22</v>
      </c>
      <c r="B85" s="10" t="s">
        <v>17</v>
      </c>
      <c r="C85" s="10">
        <v>2029</v>
      </c>
      <c r="D85" s="40">
        <f>SUMIFS(Registre!$P$3:$P$15000,Registre!$A$3:$A$15000,22,Registre!$B$3:$B$15000,"mars",Registre!$C$3:$C$15000,2029)</f>
        <v>0</v>
      </c>
      <c r="F85" s="18"/>
      <c r="H85" s="2"/>
    </row>
    <row r="86" spans="1:8" x14ac:dyDescent="0.25">
      <c r="A86" s="10">
        <v>23</v>
      </c>
      <c r="B86" s="10" t="s">
        <v>17</v>
      </c>
      <c r="C86" s="10">
        <v>2029</v>
      </c>
      <c r="D86" s="40">
        <f>SUMIFS(Registre!$P$3:$P$15000,Registre!$A$3:$A$15000,23,Registre!$B$3:$B$15000,"mars",Registre!$C$3:$C$15000,2029)</f>
        <v>0</v>
      </c>
      <c r="F86" s="17"/>
      <c r="H86" s="2"/>
    </row>
    <row r="87" spans="1:8" x14ac:dyDescent="0.25">
      <c r="A87" s="10">
        <v>24</v>
      </c>
      <c r="B87" s="10" t="s">
        <v>17</v>
      </c>
      <c r="C87" s="10">
        <v>2029</v>
      </c>
      <c r="D87" s="40">
        <f>SUMIFS(Registre!$P$3:$P$15000,Registre!$A$3:$A$15000,24,Registre!$B$3:$B$15000,"mars",Registre!$C$3:$C$15000,2029)</f>
        <v>0</v>
      </c>
      <c r="F87" s="17"/>
      <c r="H87" s="2"/>
    </row>
    <row r="88" spans="1:8" x14ac:dyDescent="0.25">
      <c r="A88" s="10">
        <v>25</v>
      </c>
      <c r="B88" s="10" t="s">
        <v>17</v>
      </c>
      <c r="C88" s="10">
        <v>2029</v>
      </c>
      <c r="D88" s="40">
        <f>SUMIFS(Registre!$P$3:$P$15000,Registre!$A$3:$A$15000,25,Registre!$B$3:$B$15000,"mars",Registre!$C$3:$C$15000,2029)</f>
        <v>0</v>
      </c>
      <c r="F88" s="18"/>
      <c r="H88" s="2"/>
    </row>
    <row r="89" spans="1:8" x14ac:dyDescent="0.25">
      <c r="A89" s="10">
        <v>26</v>
      </c>
      <c r="B89" s="10" t="s">
        <v>17</v>
      </c>
      <c r="C89" s="10">
        <v>2029</v>
      </c>
      <c r="D89" s="40">
        <f>SUMIFS(Registre!$P$3:$P$15000,Registre!$A$3:$A$15000,26,Registre!$B$3:$B$15000,"mars",Registre!$C$3:$C$15000,2029)</f>
        <v>0</v>
      </c>
      <c r="F89" s="18"/>
      <c r="H89" s="2"/>
    </row>
    <row r="90" spans="1:8" x14ac:dyDescent="0.25">
      <c r="A90" s="10">
        <v>27</v>
      </c>
      <c r="B90" s="10" t="s">
        <v>17</v>
      </c>
      <c r="C90" s="10">
        <v>2029</v>
      </c>
      <c r="D90" s="40">
        <f>SUMIFS(Registre!$P$3:$P$15000,Registre!$A$3:$A$15000,27,Registre!$B$3:$B$15000,"mars",Registre!$C$3:$C$15000,2029)</f>
        <v>0</v>
      </c>
      <c r="F90" s="18"/>
      <c r="H90" s="2"/>
    </row>
    <row r="91" spans="1:8" x14ac:dyDescent="0.25">
      <c r="A91" s="10">
        <v>28</v>
      </c>
      <c r="B91" s="10" t="s">
        <v>17</v>
      </c>
      <c r="C91" s="10">
        <v>2029</v>
      </c>
      <c r="D91" s="40">
        <f>SUMIFS(Registre!$P$3:$P$15000,Registre!$A$3:$A$15000,28,Registre!$B$3:$B$15000,"mars",Registre!$C$3:$C$15000,2029)</f>
        <v>0</v>
      </c>
      <c r="F91" s="18"/>
      <c r="H91" s="2"/>
    </row>
    <row r="92" spans="1:8" x14ac:dyDescent="0.25">
      <c r="A92" s="10">
        <v>29</v>
      </c>
      <c r="B92" s="10" t="s">
        <v>17</v>
      </c>
      <c r="C92" s="10">
        <v>2029</v>
      </c>
      <c r="D92" s="40">
        <f>SUMIFS(Registre!$P$3:$P$15000,Registre!$A$3:$A$15000,29,Registre!$B$3:$B$15000,"mars",Registre!$C$3:$C$15000,2029)</f>
        <v>0</v>
      </c>
      <c r="F92" s="18"/>
      <c r="H92" s="2"/>
    </row>
    <row r="93" spans="1:8" x14ac:dyDescent="0.25">
      <c r="A93" s="10">
        <v>30</v>
      </c>
      <c r="B93" s="10" t="s">
        <v>17</v>
      </c>
      <c r="C93" s="10">
        <v>2029</v>
      </c>
      <c r="D93" s="40">
        <f>SUMIFS(Registre!$P$3:$P$15000,Registre!$A$3:$A$15000,30,Registre!$B$3:$B$15000,"mars",Registre!$C$3:$C$15000,2029)</f>
        <v>0</v>
      </c>
      <c r="F93" s="18"/>
      <c r="H93" s="2"/>
    </row>
    <row r="94" spans="1:8" x14ac:dyDescent="0.25">
      <c r="A94" s="10">
        <v>31</v>
      </c>
      <c r="B94" s="10" t="s">
        <v>17</v>
      </c>
      <c r="C94" s="10">
        <v>2029</v>
      </c>
      <c r="D94" s="40">
        <f>SUMIFS(Registre!$P$3:$P$15000,Registre!$A$3:$A$15000,31,Registre!$B$3:$B$15000,"mars",Registre!$C$3:$C$15000,2029)</f>
        <v>0</v>
      </c>
      <c r="F94" s="18"/>
      <c r="H94" s="2"/>
    </row>
    <row r="95" spans="1:8" x14ac:dyDescent="0.25">
      <c r="A95" s="11">
        <v>1</v>
      </c>
      <c r="B95" s="11" t="s">
        <v>18</v>
      </c>
      <c r="C95" s="11">
        <v>2029</v>
      </c>
      <c r="D95" s="41">
        <f>SUMIFS(Registre!$P$3:$P$15000,Registre!$A$3:$A$15000,1,Registre!$B$3:$B$15000,"avril",Registre!$C$3:$C$15000,2029)</f>
        <v>0</v>
      </c>
      <c r="F95" s="17"/>
      <c r="H95" s="2"/>
    </row>
    <row r="96" spans="1:8" x14ac:dyDescent="0.25">
      <c r="A96" s="11">
        <v>2</v>
      </c>
      <c r="B96" s="11" t="s">
        <v>18</v>
      </c>
      <c r="C96" s="11">
        <v>2029</v>
      </c>
      <c r="D96" s="41">
        <f>SUMIFS(Registre!$P$3:$P$15000,Registre!$A$3:$A$15000,2,Registre!$B$3:$B$15000,"avril",Registre!$C$3:$C$15000,2029)</f>
        <v>0</v>
      </c>
      <c r="F96" s="17"/>
      <c r="H96" s="2"/>
    </row>
    <row r="97" spans="1:8" x14ac:dyDescent="0.25">
      <c r="A97" s="11">
        <v>3</v>
      </c>
      <c r="B97" s="11" t="s">
        <v>18</v>
      </c>
      <c r="C97" s="11">
        <v>2029</v>
      </c>
      <c r="D97" s="41">
        <f>SUMIFS(Registre!$P$3:$P$15000,Registre!$A$3:$A$15000,3,Registre!$B$3:$B$15000,"avril",Registre!$C$3:$C$15000,2029)</f>
        <v>0</v>
      </c>
      <c r="F97" s="18"/>
      <c r="H97" s="2"/>
    </row>
    <row r="98" spans="1:8" x14ac:dyDescent="0.25">
      <c r="A98" s="11">
        <v>4</v>
      </c>
      <c r="B98" s="11" t="s">
        <v>18</v>
      </c>
      <c r="C98" s="11">
        <v>2029</v>
      </c>
      <c r="D98" s="41">
        <f>SUMIFS(Registre!$P$3:$P$15000,Registre!$A$3:$A$15000,4,Registre!$B$3:$B$15000,"avril",Registre!$C$3:$C$15000,2029)</f>
        <v>0</v>
      </c>
      <c r="F98" s="18"/>
      <c r="H98" s="2"/>
    </row>
    <row r="99" spans="1:8" x14ac:dyDescent="0.25">
      <c r="A99" s="11">
        <v>5</v>
      </c>
      <c r="B99" s="11" t="s">
        <v>18</v>
      </c>
      <c r="C99" s="11">
        <v>2029</v>
      </c>
      <c r="D99" s="41">
        <f>SUMIFS(Registre!$P$3:$P$15000,Registre!$A$3:$A$15000,5,Registre!$B$3:$B$15000,"avril",Registre!$C$3:$C$15000,2029)</f>
        <v>0</v>
      </c>
      <c r="F99" s="18"/>
      <c r="H99" s="2"/>
    </row>
    <row r="100" spans="1:8" x14ac:dyDescent="0.25">
      <c r="A100" s="11">
        <v>6</v>
      </c>
      <c r="B100" s="11" t="s">
        <v>18</v>
      </c>
      <c r="C100" s="11">
        <v>2029</v>
      </c>
      <c r="D100" s="41">
        <f>SUMIFS(Registre!$P$3:$P$15000,Registre!$A$3:$A$15000,6,Registre!$B$3:$B$15000,"avril",Registre!$C$3:$C$15000,2029)</f>
        <v>0</v>
      </c>
      <c r="F100" s="18"/>
      <c r="H100" s="2"/>
    </row>
    <row r="101" spans="1:8" x14ac:dyDescent="0.25">
      <c r="A101" s="11">
        <v>7</v>
      </c>
      <c r="B101" s="11" t="s">
        <v>18</v>
      </c>
      <c r="C101" s="11">
        <v>2029</v>
      </c>
      <c r="D101" s="41">
        <f>SUMIFS(Registre!$P$3:$P$15000,Registre!$A$3:$A$15000,7,Registre!$B$3:$B$15000,"avril",Registre!$C$3:$C$15000,2029)</f>
        <v>0</v>
      </c>
      <c r="F101" s="18"/>
      <c r="H101" s="2"/>
    </row>
    <row r="102" spans="1:8" x14ac:dyDescent="0.25">
      <c r="A102" s="11">
        <v>8</v>
      </c>
      <c r="B102" s="11" t="s">
        <v>18</v>
      </c>
      <c r="C102" s="11">
        <v>2029</v>
      </c>
      <c r="D102" s="41">
        <f>SUMIFS(Registre!$P$3:$P$15000,Registre!$A$3:$A$15000,8,Registre!$B$3:$B$15000,"avril",Registre!$C$3:$C$15000,2029)</f>
        <v>0</v>
      </c>
      <c r="F102" s="18"/>
      <c r="H102" s="2"/>
    </row>
    <row r="103" spans="1:8" x14ac:dyDescent="0.25">
      <c r="A103" s="11">
        <v>9</v>
      </c>
      <c r="B103" s="11" t="s">
        <v>18</v>
      </c>
      <c r="C103" s="11">
        <v>2029</v>
      </c>
      <c r="D103" s="41">
        <f>SUMIFS(Registre!$P$3:$P$15000,Registre!$A$3:$A$15000,9,Registre!$B$3:$B$15000,"avril",Registre!$C$3:$C$15000,2029)</f>
        <v>0</v>
      </c>
      <c r="F103" s="18"/>
      <c r="H103" s="2"/>
    </row>
    <row r="104" spans="1:8" x14ac:dyDescent="0.25">
      <c r="A104" s="11">
        <v>10</v>
      </c>
      <c r="B104" s="11" t="s">
        <v>18</v>
      </c>
      <c r="C104" s="11">
        <v>2029</v>
      </c>
      <c r="D104" s="41">
        <f>SUMIFS(Registre!$P$3:$P$15000,Registre!$A$3:$A$15000,10,Registre!$B$3:$B$15000,"avril",Registre!$C$3:$C$15000,2029)</f>
        <v>0</v>
      </c>
      <c r="F104" s="17"/>
      <c r="H104" s="2"/>
    </row>
    <row r="105" spans="1:8" x14ac:dyDescent="0.25">
      <c r="A105" s="11">
        <v>11</v>
      </c>
      <c r="B105" s="11" t="s">
        <v>18</v>
      </c>
      <c r="C105" s="11">
        <v>2029</v>
      </c>
      <c r="D105" s="41">
        <f>SUMIFS(Registre!$P$3:$P$15000,Registre!$A$3:$A$15000,11,Registre!$B$3:$B$15000,"avril",Registre!$C$3:$C$15000,2029)</f>
        <v>0</v>
      </c>
      <c r="F105" s="17"/>
      <c r="H105" s="2"/>
    </row>
    <row r="106" spans="1:8" x14ac:dyDescent="0.25">
      <c r="A106" s="11">
        <v>12</v>
      </c>
      <c r="B106" s="11" t="s">
        <v>18</v>
      </c>
      <c r="C106" s="11">
        <v>2029</v>
      </c>
      <c r="D106" s="41">
        <f>SUMIFS(Registre!$P$3:$P$15000,Registre!$A$3:$A$15000,12,Registre!$B$3:$B$15000,"avril",Registre!$C$3:$C$15000,2029)</f>
        <v>0</v>
      </c>
      <c r="F106" s="18"/>
      <c r="H106" s="2"/>
    </row>
    <row r="107" spans="1:8" x14ac:dyDescent="0.25">
      <c r="A107" s="11">
        <v>13</v>
      </c>
      <c r="B107" s="11" t="s">
        <v>18</v>
      </c>
      <c r="C107" s="11">
        <v>2029</v>
      </c>
      <c r="D107" s="41">
        <f>SUMIFS(Registre!$P$3:$P$15000,Registre!$A$3:$A$15000,13,Registre!$B$3:$B$15000,"avril",Registre!$C$3:$C$15000,2029)</f>
        <v>0</v>
      </c>
      <c r="F107" s="18"/>
      <c r="H107" s="2"/>
    </row>
    <row r="108" spans="1:8" x14ac:dyDescent="0.25">
      <c r="A108" s="11">
        <v>14</v>
      </c>
      <c r="B108" s="11" t="s">
        <v>18</v>
      </c>
      <c r="C108" s="11">
        <v>2029</v>
      </c>
      <c r="D108" s="41">
        <f>SUMIFS(Registre!$P$3:$P$15000,Registre!$A$3:$A$15000,14,Registre!$B$3:$B$15000,"avril",Registre!$C$3:$C$15000,2029)</f>
        <v>0</v>
      </c>
      <c r="F108" s="18"/>
      <c r="H108" s="2"/>
    </row>
    <row r="109" spans="1:8" x14ac:dyDescent="0.25">
      <c r="A109" s="11">
        <v>15</v>
      </c>
      <c r="B109" s="11" t="s">
        <v>18</v>
      </c>
      <c r="C109" s="11">
        <v>2029</v>
      </c>
      <c r="D109" s="41">
        <f>SUMIFS(Registre!$P$3:$P$15000,Registre!$A$3:$A$15000,15,Registre!$B$3:$B$15000,"avril",Registre!$C$3:$C$15000,2029)</f>
        <v>0</v>
      </c>
      <c r="F109" s="18"/>
      <c r="H109" s="2"/>
    </row>
    <row r="110" spans="1:8" x14ac:dyDescent="0.25">
      <c r="A110" s="11">
        <v>16</v>
      </c>
      <c r="B110" s="11" t="s">
        <v>18</v>
      </c>
      <c r="C110" s="11">
        <v>2029</v>
      </c>
      <c r="D110" s="41">
        <f>SUMIFS(Registre!$P$3:$P$15000,Registre!$A$3:$A$15000,16,Registre!$B$3:$B$15000,"avril",Registre!$C$3:$C$15000,2029)</f>
        <v>0</v>
      </c>
      <c r="F110" s="18"/>
      <c r="H110" s="2"/>
    </row>
    <row r="111" spans="1:8" x14ac:dyDescent="0.25">
      <c r="A111" s="11">
        <v>17</v>
      </c>
      <c r="B111" s="11" t="s">
        <v>18</v>
      </c>
      <c r="C111" s="11">
        <v>2029</v>
      </c>
      <c r="D111" s="41">
        <f>SUMIFS(Registre!$P$3:$P$15000,Registre!$A$3:$A$15000,17,Registre!$B$3:$B$15000,"avril",Registre!$C$3:$C$15000,2029)</f>
        <v>0</v>
      </c>
      <c r="F111" s="18"/>
      <c r="H111" s="2"/>
    </row>
    <row r="112" spans="1:8" x14ac:dyDescent="0.25">
      <c r="A112" s="11">
        <v>18</v>
      </c>
      <c r="B112" s="11" t="s">
        <v>18</v>
      </c>
      <c r="C112" s="11">
        <v>2029</v>
      </c>
      <c r="D112" s="41">
        <f>SUMIFS(Registre!$P$3:$P$15000,Registre!$A$3:$A$15000,18,Registre!$B$3:$B$15000,"avril",Registre!$C$3:$C$15000,2029)</f>
        <v>0</v>
      </c>
      <c r="F112" s="18"/>
      <c r="H112" s="2"/>
    </row>
    <row r="113" spans="1:4" x14ac:dyDescent="0.25">
      <c r="A113" s="11">
        <v>19</v>
      </c>
      <c r="B113" s="11" t="s">
        <v>18</v>
      </c>
      <c r="C113" s="11">
        <v>2029</v>
      </c>
      <c r="D113" s="41">
        <f>SUMIFS(Registre!$P$3:$P$15000,Registre!$A$3:$A$15000,19,Registre!$B$3:$B$15000,"avril",Registre!$C$3:$C$15000,2029)</f>
        <v>0</v>
      </c>
    </row>
    <row r="114" spans="1:4" x14ac:dyDescent="0.25">
      <c r="A114" s="11">
        <v>20</v>
      </c>
      <c r="B114" s="11" t="s">
        <v>18</v>
      </c>
      <c r="C114" s="11">
        <v>2029</v>
      </c>
      <c r="D114" s="41">
        <f>SUMIFS(Registre!$P$3:$P$15000,Registre!$A$3:$A$15000,20,Registre!$B$3:$B$15000,"avril",Registre!$C$3:$C$15000,2029)</f>
        <v>0</v>
      </c>
    </row>
    <row r="115" spans="1:4" x14ac:dyDescent="0.25">
      <c r="A115" s="11">
        <v>21</v>
      </c>
      <c r="B115" s="11" t="s">
        <v>18</v>
      </c>
      <c r="C115" s="11">
        <v>2029</v>
      </c>
      <c r="D115" s="41">
        <f>SUMIFS(Registre!$P$3:$P$15000,Registre!$A$3:$A$15000,21,Registre!$B$3:$B$15000,"avril",Registre!$C$3:$C$15000,2029)</f>
        <v>0</v>
      </c>
    </row>
    <row r="116" spans="1:4" x14ac:dyDescent="0.25">
      <c r="A116" s="11">
        <v>22</v>
      </c>
      <c r="B116" s="11" t="s">
        <v>18</v>
      </c>
      <c r="C116" s="11">
        <v>2029</v>
      </c>
      <c r="D116" s="41">
        <f>SUMIFS(Registre!$P$3:$P$15000,Registre!$A$3:$A$15000,22,Registre!$B$3:$B$15000,"avril",Registre!$C$3:$C$15000,2029)</f>
        <v>0</v>
      </c>
    </row>
    <row r="117" spans="1:4" x14ac:dyDescent="0.25">
      <c r="A117" s="11">
        <v>23</v>
      </c>
      <c r="B117" s="11" t="s">
        <v>18</v>
      </c>
      <c r="C117" s="11">
        <v>2029</v>
      </c>
      <c r="D117" s="41">
        <f>SUMIFS(Registre!$P$3:$P$15000,Registre!$A$3:$A$15000,23,Registre!$B$3:$B$15000,"avril",Registre!$C$3:$C$15000,2029)</f>
        <v>0</v>
      </c>
    </row>
    <row r="118" spans="1:4" x14ac:dyDescent="0.25">
      <c r="A118" s="11">
        <v>24</v>
      </c>
      <c r="B118" s="11" t="s">
        <v>18</v>
      </c>
      <c r="C118" s="11">
        <v>2029</v>
      </c>
      <c r="D118" s="41">
        <f>SUMIFS(Registre!$P$3:$P$15000,Registre!$A$3:$A$15000,24,Registre!$B$3:$B$15000,"avril",Registre!$C$3:$C$15000,2029)</f>
        <v>0</v>
      </c>
    </row>
    <row r="119" spans="1:4" x14ac:dyDescent="0.25">
      <c r="A119" s="11">
        <v>25</v>
      </c>
      <c r="B119" s="11" t="s">
        <v>18</v>
      </c>
      <c r="C119" s="11">
        <v>2029</v>
      </c>
      <c r="D119" s="41">
        <f>SUMIFS(Registre!$P$3:$P$15000,Registre!$A$3:$A$15000,25,Registre!$B$3:$B$15000,"avril",Registre!$C$3:$C$15000,2029)</f>
        <v>0</v>
      </c>
    </row>
    <row r="120" spans="1:4" x14ac:dyDescent="0.25">
      <c r="A120" s="11">
        <v>26</v>
      </c>
      <c r="B120" s="11" t="s">
        <v>18</v>
      </c>
      <c r="C120" s="11">
        <v>2029</v>
      </c>
      <c r="D120" s="41">
        <f>SUMIFS(Registre!$P$3:$P$15000,Registre!$A$3:$A$15000,26,Registre!$B$3:$B$15000,"avril",Registre!$C$3:$C$15000,2029)</f>
        <v>0</v>
      </c>
    </row>
    <row r="121" spans="1:4" x14ac:dyDescent="0.25">
      <c r="A121" s="11">
        <v>27</v>
      </c>
      <c r="B121" s="11" t="s">
        <v>18</v>
      </c>
      <c r="C121" s="11">
        <v>2029</v>
      </c>
      <c r="D121" s="41">
        <f>SUMIFS(Registre!$P$3:$P$15000,Registre!$A$3:$A$15000,27,Registre!$B$3:$B$15000,"avril",Registre!$C$3:$C$15000,2029)</f>
        <v>0</v>
      </c>
    </row>
    <row r="122" spans="1:4" x14ac:dyDescent="0.25">
      <c r="A122" s="11">
        <v>28</v>
      </c>
      <c r="B122" s="11" t="s">
        <v>18</v>
      </c>
      <c r="C122" s="11">
        <v>2029</v>
      </c>
      <c r="D122" s="41">
        <f>SUMIFS(Registre!$P$3:$P$15000,Registre!$A$3:$A$15000,28,Registre!$B$3:$B$15000,"avril",Registre!$C$3:$C$15000,2029)</f>
        <v>0</v>
      </c>
    </row>
    <row r="123" spans="1:4" x14ac:dyDescent="0.25">
      <c r="A123" s="11">
        <v>29</v>
      </c>
      <c r="B123" s="11" t="s">
        <v>18</v>
      </c>
      <c r="C123" s="11">
        <v>2029</v>
      </c>
      <c r="D123" s="41">
        <f>SUMIFS(Registre!$P$3:$P$15000,Registre!$A$3:$A$15000,29,Registre!$B$3:$B$15000,"avril",Registre!$C$3:$C$15000,2029)</f>
        <v>0</v>
      </c>
    </row>
    <row r="124" spans="1:4" x14ac:dyDescent="0.25">
      <c r="A124" s="11">
        <v>30</v>
      </c>
      <c r="B124" s="11" t="s">
        <v>18</v>
      </c>
      <c r="C124" s="11">
        <v>2029</v>
      </c>
      <c r="D124" s="41">
        <f>SUMIFS(Registre!$P$3:$P$15000,Registre!$A$3:$A$15000,30,Registre!$B$3:$B$15000,"avril",Registre!$C$3:$C$15000,2029)</f>
        <v>0</v>
      </c>
    </row>
    <row r="125" spans="1:4" x14ac:dyDescent="0.25">
      <c r="A125" s="10">
        <v>1</v>
      </c>
      <c r="B125" s="10" t="s">
        <v>19</v>
      </c>
      <c r="C125" s="10">
        <v>2029</v>
      </c>
      <c r="D125" s="40">
        <f>SUMIFS(Registre!$P$3:$P$15000,Registre!$A$3:$A$15000,1,Registre!$B$3:$B$15000,"mai",Registre!$C$3:$C$15000,2029)</f>
        <v>0</v>
      </c>
    </row>
    <row r="126" spans="1:4" x14ac:dyDescent="0.25">
      <c r="A126" s="10">
        <v>2</v>
      </c>
      <c r="B126" s="10" t="s">
        <v>19</v>
      </c>
      <c r="C126" s="10">
        <v>2029</v>
      </c>
      <c r="D126" s="40">
        <f>SUMIFS(Registre!$P$3:$P$15000,Registre!$A$3:$A$15000,2,Registre!$B$3:$B$15000,"mai",Registre!$C$3:$C$15000,2029)</f>
        <v>0</v>
      </c>
    </row>
    <row r="127" spans="1:4" x14ac:dyDescent="0.25">
      <c r="A127" s="10">
        <v>3</v>
      </c>
      <c r="B127" s="10" t="s">
        <v>19</v>
      </c>
      <c r="C127" s="10">
        <v>2029</v>
      </c>
      <c r="D127" s="40">
        <f>SUMIFS(Registre!$P$3:$P$15000,Registre!$A$3:$A$15000,3,Registre!$B$3:$B$15000,"mai",Registre!$C$3:$C$15000,2029)</f>
        <v>0</v>
      </c>
    </row>
    <row r="128" spans="1:4" x14ac:dyDescent="0.25">
      <c r="A128" s="10">
        <v>4</v>
      </c>
      <c r="B128" s="10" t="s">
        <v>19</v>
      </c>
      <c r="C128" s="10">
        <v>2029</v>
      </c>
      <c r="D128" s="40">
        <f>SUMIFS(Registre!$P$3:$P$15000,Registre!$A$3:$A$15000,4,Registre!$B$3:$B$15000,"mai",Registre!$C$3:$C$15000,2029)</f>
        <v>0</v>
      </c>
    </row>
    <row r="129" spans="1:4" x14ac:dyDescent="0.25">
      <c r="A129" s="10">
        <v>5</v>
      </c>
      <c r="B129" s="10" t="s">
        <v>19</v>
      </c>
      <c r="C129" s="10">
        <v>2029</v>
      </c>
      <c r="D129" s="40">
        <f>SUMIFS(Registre!$P$3:$P$15000,Registre!$A$3:$A$15000,5,Registre!$B$3:$B$15000,"mai",Registre!$C$3:$C$15000,2029)</f>
        <v>0</v>
      </c>
    </row>
    <row r="130" spans="1:4" x14ac:dyDescent="0.25">
      <c r="A130" s="10">
        <v>6</v>
      </c>
      <c r="B130" s="10" t="s">
        <v>19</v>
      </c>
      <c r="C130" s="10">
        <v>2029</v>
      </c>
      <c r="D130" s="40">
        <f>SUMIFS(Registre!$P$3:$P$15000,Registre!$A$3:$A$15000,6,Registre!$B$3:$B$15000,"mai",Registre!$C$3:$C$15000,2029)</f>
        <v>0</v>
      </c>
    </row>
    <row r="131" spans="1:4" x14ac:dyDescent="0.25">
      <c r="A131" s="10">
        <v>7</v>
      </c>
      <c r="B131" s="10" t="s">
        <v>19</v>
      </c>
      <c r="C131" s="10">
        <v>2029</v>
      </c>
      <c r="D131" s="40">
        <f>SUMIFS(Registre!$P$3:$P$15000,Registre!$A$3:$A$15000,7,Registre!$B$3:$B$15000,"mai",Registre!$C$3:$C$15000,2029)</f>
        <v>0</v>
      </c>
    </row>
    <row r="132" spans="1:4" x14ac:dyDescent="0.25">
      <c r="A132" s="10">
        <v>8</v>
      </c>
      <c r="B132" s="10" t="s">
        <v>19</v>
      </c>
      <c r="C132" s="10">
        <v>2029</v>
      </c>
      <c r="D132" s="40">
        <f>SUMIFS(Registre!$P$3:$P$15000,Registre!$A$3:$A$15000,8,Registre!$B$3:$B$15000,"mai",Registre!$C$3:$C$15000,2029)</f>
        <v>0</v>
      </c>
    </row>
    <row r="133" spans="1:4" x14ac:dyDescent="0.25">
      <c r="A133" s="10">
        <v>9</v>
      </c>
      <c r="B133" s="10" t="s">
        <v>19</v>
      </c>
      <c r="C133" s="10">
        <v>2029</v>
      </c>
      <c r="D133" s="40">
        <f>SUMIFS(Registre!$P$3:$P$15000,Registre!$A$3:$A$15000,9,Registre!$B$3:$B$15000,"mai",Registre!$C$3:$C$15000,2029)</f>
        <v>0</v>
      </c>
    </row>
    <row r="134" spans="1:4" x14ac:dyDescent="0.25">
      <c r="A134" s="10">
        <v>10</v>
      </c>
      <c r="B134" s="10" t="s">
        <v>19</v>
      </c>
      <c r="C134" s="10">
        <v>2029</v>
      </c>
      <c r="D134" s="40">
        <f>SUMIFS(Registre!$P$3:$P$15000,Registre!$A$3:$A$15000,10,Registre!$B$3:$B$15000,"mai",Registre!$C$3:$C$15000,2029)</f>
        <v>0</v>
      </c>
    </row>
    <row r="135" spans="1:4" x14ac:dyDescent="0.25">
      <c r="A135" s="10">
        <v>11</v>
      </c>
      <c r="B135" s="10" t="s">
        <v>19</v>
      </c>
      <c r="C135" s="10">
        <v>2029</v>
      </c>
      <c r="D135" s="40">
        <f>SUMIFS(Registre!$P$3:$P$15000,Registre!$A$3:$A$15000,11,Registre!$B$3:$B$15000,"mai",Registre!$C$3:$C$15000,2029)</f>
        <v>0</v>
      </c>
    </row>
    <row r="136" spans="1:4" x14ac:dyDescent="0.25">
      <c r="A136" s="10">
        <v>12</v>
      </c>
      <c r="B136" s="10" t="s">
        <v>19</v>
      </c>
      <c r="C136" s="10">
        <v>2029</v>
      </c>
      <c r="D136" s="40">
        <f>SUMIFS(Registre!$P$3:$P$15000,Registre!$A$3:$A$15000,12,Registre!$B$3:$B$15000,"mai",Registre!$C$3:$C$15000,2029)</f>
        <v>0</v>
      </c>
    </row>
    <row r="137" spans="1:4" x14ac:dyDescent="0.25">
      <c r="A137" s="10">
        <v>13</v>
      </c>
      <c r="B137" s="10" t="s">
        <v>19</v>
      </c>
      <c r="C137" s="10">
        <v>2029</v>
      </c>
      <c r="D137" s="40">
        <f>SUMIFS(Registre!$P$3:$P$15000,Registre!$A$3:$A$15000,13,Registre!$B$3:$B$15000,"mai",Registre!$C$3:$C$15000,2029)</f>
        <v>0</v>
      </c>
    </row>
    <row r="138" spans="1:4" x14ac:dyDescent="0.25">
      <c r="A138" s="10">
        <v>14</v>
      </c>
      <c r="B138" s="10" t="s">
        <v>19</v>
      </c>
      <c r="C138" s="10">
        <v>2029</v>
      </c>
      <c r="D138" s="40">
        <f>SUMIFS(Registre!$P$3:$P$15000,Registre!$A$3:$A$15000,14,Registre!$B$3:$B$15000,"mai",Registre!$C$3:$C$15000,2029)</f>
        <v>0</v>
      </c>
    </row>
    <row r="139" spans="1:4" x14ac:dyDescent="0.25">
      <c r="A139" s="10">
        <v>15</v>
      </c>
      <c r="B139" s="10" t="s">
        <v>19</v>
      </c>
      <c r="C139" s="10">
        <v>2029</v>
      </c>
      <c r="D139" s="40">
        <f>SUMIFS(Registre!$P$3:$P$15000,Registre!$A$3:$A$15000,15,Registre!$B$3:$B$15000,"mai",Registre!$C$3:$C$15000,2029)</f>
        <v>0</v>
      </c>
    </row>
    <row r="140" spans="1:4" x14ac:dyDescent="0.25">
      <c r="A140" s="10">
        <v>16</v>
      </c>
      <c r="B140" s="10" t="s">
        <v>19</v>
      </c>
      <c r="C140" s="10">
        <v>2029</v>
      </c>
      <c r="D140" s="40">
        <f>SUMIFS(Registre!$P$3:$P$15000,Registre!$A$3:$A$15000,16,Registre!$B$3:$B$15000,"mai",Registre!$C$3:$C$15000,2029)</f>
        <v>0</v>
      </c>
    </row>
    <row r="141" spans="1:4" x14ac:dyDescent="0.25">
      <c r="A141" s="10">
        <v>17</v>
      </c>
      <c r="B141" s="10" t="s">
        <v>19</v>
      </c>
      <c r="C141" s="10">
        <v>2029</v>
      </c>
      <c r="D141" s="40">
        <f>SUMIFS(Registre!$P$3:$P$15000,Registre!$A$3:$A$15000,17,Registre!$B$3:$B$15000,"mai",Registre!$C$3:$C$15000,2029)</f>
        <v>0</v>
      </c>
    </row>
    <row r="142" spans="1:4" x14ac:dyDescent="0.25">
      <c r="A142" s="10">
        <v>18</v>
      </c>
      <c r="B142" s="10" t="s">
        <v>19</v>
      </c>
      <c r="C142" s="10">
        <v>2029</v>
      </c>
      <c r="D142" s="40">
        <f>SUMIFS(Registre!$P$3:$P$15000,Registre!$A$3:$A$15000,18,Registre!$B$3:$B$15000,"mai",Registre!$C$3:$C$15000,2029)</f>
        <v>0</v>
      </c>
    </row>
    <row r="143" spans="1:4" x14ac:dyDescent="0.25">
      <c r="A143" s="10">
        <v>19</v>
      </c>
      <c r="B143" s="10" t="s">
        <v>19</v>
      </c>
      <c r="C143" s="10">
        <v>2029</v>
      </c>
      <c r="D143" s="40">
        <f>SUMIFS(Registre!$P$3:$P$15000,Registre!$A$3:$A$15000,19,Registre!$B$3:$B$15000,"mai",Registre!$C$3:$C$15000,2029)</f>
        <v>0</v>
      </c>
    </row>
    <row r="144" spans="1:4" x14ac:dyDescent="0.25">
      <c r="A144" s="10">
        <v>20</v>
      </c>
      <c r="B144" s="10" t="s">
        <v>19</v>
      </c>
      <c r="C144" s="10">
        <v>2029</v>
      </c>
      <c r="D144" s="40">
        <f>SUMIFS(Registre!$P$3:$P$15000,Registre!$A$3:$A$15000,20,Registre!$B$3:$B$15000,"mai",Registre!$C$3:$C$15000,2029)</f>
        <v>0</v>
      </c>
    </row>
    <row r="145" spans="1:4" x14ac:dyDescent="0.25">
      <c r="A145" s="10">
        <v>21</v>
      </c>
      <c r="B145" s="10" t="s">
        <v>19</v>
      </c>
      <c r="C145" s="10">
        <v>2029</v>
      </c>
      <c r="D145" s="40">
        <f>SUMIFS(Registre!$P$3:$P$15000,Registre!$A$3:$A$15000,21,Registre!$B$3:$B$15000,"mai",Registre!$C$3:$C$15000,2029)</f>
        <v>0</v>
      </c>
    </row>
    <row r="146" spans="1:4" x14ac:dyDescent="0.25">
      <c r="A146" s="10">
        <v>22</v>
      </c>
      <c r="B146" s="10" t="s">
        <v>19</v>
      </c>
      <c r="C146" s="10">
        <v>2029</v>
      </c>
      <c r="D146" s="40">
        <f>SUMIFS(Registre!$P$3:$P$15000,Registre!$A$3:$A$15000,22,Registre!$B$3:$B$15000,"mai",Registre!$C$3:$C$15000,2029)</f>
        <v>0</v>
      </c>
    </row>
    <row r="147" spans="1:4" x14ac:dyDescent="0.25">
      <c r="A147" s="10">
        <v>23</v>
      </c>
      <c r="B147" s="10" t="s">
        <v>19</v>
      </c>
      <c r="C147" s="10">
        <v>2029</v>
      </c>
      <c r="D147" s="40">
        <f>SUMIFS(Registre!$P$3:$P$15000,Registre!$A$3:$A$15000,23,Registre!$B$3:$B$15000,"mai",Registre!$C$3:$C$15000,2029)</f>
        <v>0</v>
      </c>
    </row>
    <row r="148" spans="1:4" x14ac:dyDescent="0.25">
      <c r="A148" s="10">
        <v>24</v>
      </c>
      <c r="B148" s="10" t="s">
        <v>19</v>
      </c>
      <c r="C148" s="10">
        <v>2029</v>
      </c>
      <c r="D148" s="40">
        <f>SUMIFS(Registre!$P$3:$P$15000,Registre!$A$3:$A$15000,24,Registre!$B$3:$B$15000,"mai",Registre!$C$3:$C$15000,2029)</f>
        <v>0</v>
      </c>
    </row>
    <row r="149" spans="1:4" x14ac:dyDescent="0.25">
      <c r="A149" s="10">
        <v>25</v>
      </c>
      <c r="B149" s="10" t="s">
        <v>19</v>
      </c>
      <c r="C149" s="10">
        <v>2029</v>
      </c>
      <c r="D149" s="40">
        <f>SUMIFS(Registre!$P$3:$P$15000,Registre!$A$3:$A$15000,25,Registre!$B$3:$B$15000,"mai",Registre!$C$3:$C$15000,2029)</f>
        <v>0</v>
      </c>
    </row>
    <row r="150" spans="1:4" x14ac:dyDescent="0.25">
      <c r="A150" s="10">
        <v>26</v>
      </c>
      <c r="B150" s="10" t="s">
        <v>19</v>
      </c>
      <c r="C150" s="10">
        <v>2029</v>
      </c>
      <c r="D150" s="40">
        <f>SUMIFS(Registre!$P$3:$P$15000,Registre!$A$3:$A$15000,26,Registre!$B$3:$B$15000,"mai",Registre!$C$3:$C$15000,2029)</f>
        <v>0</v>
      </c>
    </row>
    <row r="151" spans="1:4" x14ac:dyDescent="0.25">
      <c r="A151" s="10">
        <v>27</v>
      </c>
      <c r="B151" s="10" t="s">
        <v>19</v>
      </c>
      <c r="C151" s="10">
        <v>2029</v>
      </c>
      <c r="D151" s="40">
        <f>SUMIFS(Registre!$P$3:$P$15000,Registre!$A$3:$A$15000,27,Registre!$B$3:$B$15000,"mai",Registre!$C$3:$C$15000,2029)</f>
        <v>0</v>
      </c>
    </row>
    <row r="152" spans="1:4" x14ac:dyDescent="0.25">
      <c r="A152" s="10">
        <v>28</v>
      </c>
      <c r="B152" s="10" t="s">
        <v>19</v>
      </c>
      <c r="C152" s="10">
        <v>2029</v>
      </c>
      <c r="D152" s="40">
        <f>SUMIFS(Registre!$P$3:$P$15000,Registre!$A$3:$A$15000,28,Registre!$B$3:$B$15000,"mai",Registre!$C$3:$C$15000,2029)</f>
        <v>0</v>
      </c>
    </row>
    <row r="153" spans="1:4" x14ac:dyDescent="0.25">
      <c r="A153" s="10">
        <v>29</v>
      </c>
      <c r="B153" s="10" t="s">
        <v>19</v>
      </c>
      <c r="C153" s="10">
        <v>2029</v>
      </c>
      <c r="D153" s="40">
        <f>SUMIFS(Registre!$P$3:$P$15000,Registre!$A$3:$A$15000,29,Registre!$B$3:$B$15000,"mai",Registre!$C$3:$C$15000,2029)</f>
        <v>0</v>
      </c>
    </row>
    <row r="154" spans="1:4" x14ac:dyDescent="0.25">
      <c r="A154" s="10">
        <v>30</v>
      </c>
      <c r="B154" s="10" t="s">
        <v>19</v>
      </c>
      <c r="C154" s="10">
        <v>2029</v>
      </c>
      <c r="D154" s="40">
        <f>SUMIFS(Registre!$P$3:$P$15000,Registre!$A$3:$A$15000,30,Registre!$B$3:$B$15000,"mai",Registre!$C$3:$C$15000,2029)</f>
        <v>0</v>
      </c>
    </row>
    <row r="155" spans="1:4" x14ac:dyDescent="0.25">
      <c r="A155" s="10">
        <v>31</v>
      </c>
      <c r="B155" s="10" t="s">
        <v>19</v>
      </c>
      <c r="C155" s="10">
        <v>2029</v>
      </c>
      <c r="D155" s="40">
        <f>SUMIFS(Registre!$P$3:$P$15000,Registre!$A$3:$A$15000,31,Registre!$B$3:$B$15000,"mai",Registre!$C$3:$C$15000,2029)</f>
        <v>0</v>
      </c>
    </row>
    <row r="156" spans="1:4" x14ac:dyDescent="0.25">
      <c r="A156" s="11">
        <v>1</v>
      </c>
      <c r="B156" s="11" t="s">
        <v>20</v>
      </c>
      <c r="C156" s="11">
        <v>2029</v>
      </c>
      <c r="D156" s="41">
        <f>SUMIFS(Registre!$P$3:$P$15000,Registre!$A$3:$A$15000,1,Registre!$B$3:$B$15000,"juin",Registre!$C$3:$C$15000,2029)</f>
        <v>0</v>
      </c>
    </row>
    <row r="157" spans="1:4" x14ac:dyDescent="0.25">
      <c r="A157" s="11">
        <v>2</v>
      </c>
      <c r="B157" s="11" t="s">
        <v>20</v>
      </c>
      <c r="C157" s="11">
        <v>2029</v>
      </c>
      <c r="D157" s="41">
        <f>SUMIFS(Registre!$P$3:$P$15000,Registre!$A$3:$A$15000,2,Registre!$B$3:$B$15000,"juin",Registre!$C$3:$C$15000,2029)</f>
        <v>0</v>
      </c>
    </row>
    <row r="158" spans="1:4" x14ac:dyDescent="0.25">
      <c r="A158" s="11">
        <v>3</v>
      </c>
      <c r="B158" s="11" t="s">
        <v>20</v>
      </c>
      <c r="C158" s="11">
        <v>2029</v>
      </c>
      <c r="D158" s="41">
        <f>SUMIFS(Registre!$P$3:$P$15000,Registre!$A$3:$A$15000,3,Registre!$B$3:$B$15000,"juin",Registre!$C$3:$C$15000,2029)</f>
        <v>0</v>
      </c>
    </row>
    <row r="159" spans="1:4" x14ac:dyDescent="0.25">
      <c r="A159" s="11">
        <v>4</v>
      </c>
      <c r="B159" s="11" t="s">
        <v>20</v>
      </c>
      <c r="C159" s="11">
        <v>2029</v>
      </c>
      <c r="D159" s="41">
        <f>SUMIFS(Registre!$P$3:$P$15000,Registre!$A$3:$A$15000,4,Registre!$B$3:$B$15000,"juin",Registre!$C$3:$C$15000,2029)</f>
        <v>0</v>
      </c>
    </row>
    <row r="160" spans="1:4" x14ac:dyDescent="0.25">
      <c r="A160" s="11">
        <v>5</v>
      </c>
      <c r="B160" s="11" t="s">
        <v>20</v>
      </c>
      <c r="C160" s="11">
        <v>2029</v>
      </c>
      <c r="D160" s="41">
        <f>SUMIFS(Registre!$P$3:$P$15000,Registre!$A$3:$A$15000,5,Registre!$B$3:$B$15000,"juin",Registre!$C$3:$C$15000,2029)</f>
        <v>0</v>
      </c>
    </row>
    <row r="161" spans="1:4" x14ac:dyDescent="0.25">
      <c r="A161" s="11">
        <v>6</v>
      </c>
      <c r="B161" s="11" t="s">
        <v>20</v>
      </c>
      <c r="C161" s="11">
        <v>2029</v>
      </c>
      <c r="D161" s="41">
        <f>SUMIFS(Registre!$P$3:$P$15000,Registre!$A$3:$A$15000,6,Registre!$B$3:$B$15000,"juin",Registre!$C$3:$C$15000,2029)</f>
        <v>0</v>
      </c>
    </row>
    <row r="162" spans="1:4" x14ac:dyDescent="0.25">
      <c r="A162" s="11">
        <v>7</v>
      </c>
      <c r="B162" s="11" t="s">
        <v>20</v>
      </c>
      <c r="C162" s="11">
        <v>2029</v>
      </c>
      <c r="D162" s="41">
        <f>SUMIFS(Registre!$P$3:$P$15000,Registre!$A$3:$A$15000,7,Registre!$B$3:$B$15000,"juin",Registre!$C$3:$C$15000,2029)</f>
        <v>0</v>
      </c>
    </row>
    <row r="163" spans="1:4" x14ac:dyDescent="0.25">
      <c r="A163" s="11">
        <v>8</v>
      </c>
      <c r="B163" s="11" t="s">
        <v>20</v>
      </c>
      <c r="C163" s="11">
        <v>2029</v>
      </c>
      <c r="D163" s="41">
        <f>SUMIFS(Registre!$P$3:$P$15000,Registre!$A$3:$A$15000,8,Registre!$B$3:$B$15000,"juin",Registre!$C$3:$C$15000,2029)</f>
        <v>0</v>
      </c>
    </row>
    <row r="164" spans="1:4" x14ac:dyDescent="0.25">
      <c r="A164" s="11">
        <v>9</v>
      </c>
      <c r="B164" s="11" t="s">
        <v>20</v>
      </c>
      <c r="C164" s="11">
        <v>2029</v>
      </c>
      <c r="D164" s="41">
        <f>SUMIFS(Registre!$P$3:$P$15000,Registre!$A$3:$A$15000,9,Registre!$B$3:$B$15000,"juin",Registre!$C$3:$C$15000,2029)</f>
        <v>0</v>
      </c>
    </row>
    <row r="165" spans="1:4" x14ac:dyDescent="0.25">
      <c r="A165" s="11">
        <v>10</v>
      </c>
      <c r="B165" s="11" t="s">
        <v>20</v>
      </c>
      <c r="C165" s="11">
        <v>2029</v>
      </c>
      <c r="D165" s="41">
        <f>SUMIFS(Registre!$P$3:$P$15000,Registre!$A$3:$A$15000,10,Registre!$B$3:$B$15000,"juin",Registre!$C$3:$C$15000,2029)</f>
        <v>0</v>
      </c>
    </row>
    <row r="166" spans="1:4" x14ac:dyDescent="0.25">
      <c r="A166" s="11">
        <v>11</v>
      </c>
      <c r="B166" s="11" t="s">
        <v>20</v>
      </c>
      <c r="C166" s="11">
        <v>2029</v>
      </c>
      <c r="D166" s="41">
        <f>SUMIFS(Registre!$P$3:$P$15000,Registre!$A$3:$A$15000,11,Registre!$B$3:$B$15000,"juin",Registre!$C$3:$C$15000,2029)</f>
        <v>0</v>
      </c>
    </row>
    <row r="167" spans="1:4" x14ac:dyDescent="0.25">
      <c r="A167" s="11">
        <v>12</v>
      </c>
      <c r="B167" s="11" t="s">
        <v>20</v>
      </c>
      <c r="C167" s="11">
        <v>2029</v>
      </c>
      <c r="D167" s="41">
        <f>SUMIFS(Registre!$P$3:$P$15000,Registre!$A$3:$A$15000,12,Registre!$B$3:$B$15000,"juin",Registre!$C$3:$C$15000,2029)</f>
        <v>0</v>
      </c>
    </row>
    <row r="168" spans="1:4" x14ac:dyDescent="0.25">
      <c r="A168" s="11">
        <v>13</v>
      </c>
      <c r="B168" s="11" t="s">
        <v>20</v>
      </c>
      <c r="C168" s="11">
        <v>2029</v>
      </c>
      <c r="D168" s="41">
        <f>SUMIFS(Registre!$P$3:$P$15000,Registre!$A$3:$A$15000,13,Registre!$B$3:$B$15000,"juin",Registre!$C$3:$C$15000,2029)</f>
        <v>0</v>
      </c>
    </row>
    <row r="169" spans="1:4" x14ac:dyDescent="0.25">
      <c r="A169" s="11">
        <v>14</v>
      </c>
      <c r="B169" s="11" t="s">
        <v>20</v>
      </c>
      <c r="C169" s="11">
        <v>2029</v>
      </c>
      <c r="D169" s="41">
        <f>SUMIFS(Registre!$P$3:$P$15000,Registre!$A$3:$A$15000,14,Registre!$B$3:$B$15000,"juin",Registre!$C$3:$C$15000,2029)</f>
        <v>0</v>
      </c>
    </row>
    <row r="170" spans="1:4" x14ac:dyDescent="0.25">
      <c r="A170" s="11">
        <v>15</v>
      </c>
      <c r="B170" s="11" t="s">
        <v>20</v>
      </c>
      <c r="C170" s="11">
        <v>2029</v>
      </c>
      <c r="D170" s="41">
        <f>SUMIFS(Registre!$P$3:$P$15000,Registre!$A$3:$A$15000,15,Registre!$B$3:$B$15000,"juin",Registre!$C$3:$C$15000,2029)</f>
        <v>0</v>
      </c>
    </row>
    <row r="171" spans="1:4" x14ac:dyDescent="0.25">
      <c r="A171" s="11">
        <v>16</v>
      </c>
      <c r="B171" s="11" t="s">
        <v>20</v>
      </c>
      <c r="C171" s="11">
        <v>2029</v>
      </c>
      <c r="D171" s="41">
        <f>SUMIFS(Registre!$P$3:$P$15000,Registre!$A$3:$A$15000,16,Registre!$B$3:$B$15000,"juin",Registre!$C$3:$C$15000,2029)</f>
        <v>0</v>
      </c>
    </row>
    <row r="172" spans="1:4" x14ac:dyDescent="0.25">
      <c r="A172" s="11">
        <v>17</v>
      </c>
      <c r="B172" s="11" t="s">
        <v>20</v>
      </c>
      <c r="C172" s="11">
        <v>2029</v>
      </c>
      <c r="D172" s="41">
        <f>SUMIFS(Registre!$P$3:$P$15000,Registre!$A$3:$A$15000,17,Registre!$B$3:$B$15000,"juin",Registre!$C$3:$C$15000,2029)</f>
        <v>0</v>
      </c>
    </row>
    <row r="173" spans="1:4" x14ac:dyDescent="0.25">
      <c r="A173" s="11">
        <v>18</v>
      </c>
      <c r="B173" s="11" t="s">
        <v>20</v>
      </c>
      <c r="C173" s="11">
        <v>2029</v>
      </c>
      <c r="D173" s="41">
        <f>SUMIFS(Registre!$P$3:$P$15000,Registre!$A$3:$A$15000,18,Registre!$B$3:$B$15000,"juin",Registre!$C$3:$C$15000,2029)</f>
        <v>0</v>
      </c>
    </row>
    <row r="174" spans="1:4" x14ac:dyDescent="0.25">
      <c r="A174" s="11">
        <v>19</v>
      </c>
      <c r="B174" s="11" t="s">
        <v>20</v>
      </c>
      <c r="C174" s="11">
        <v>2029</v>
      </c>
      <c r="D174" s="41">
        <f>SUMIFS(Registre!$P$3:$P$15000,Registre!$A$3:$A$15000,19,Registre!$B$3:$B$15000,"juin",Registre!$C$3:$C$15000,2029)</f>
        <v>0</v>
      </c>
    </row>
    <row r="175" spans="1:4" x14ac:dyDescent="0.25">
      <c r="A175" s="11">
        <v>20</v>
      </c>
      <c r="B175" s="11" t="s">
        <v>20</v>
      </c>
      <c r="C175" s="11">
        <v>2029</v>
      </c>
      <c r="D175" s="41">
        <f>SUMIFS(Registre!$P$3:$P$15000,Registre!$A$3:$A$15000,20,Registre!$B$3:$B$15000,"juin",Registre!$C$3:$C$15000,2029)</f>
        <v>0</v>
      </c>
    </row>
    <row r="176" spans="1:4" x14ac:dyDescent="0.25">
      <c r="A176" s="11">
        <v>21</v>
      </c>
      <c r="B176" s="11" t="s">
        <v>20</v>
      </c>
      <c r="C176" s="11">
        <v>2029</v>
      </c>
      <c r="D176" s="41">
        <f>SUMIFS(Registre!$P$3:$P$15000,Registre!$A$3:$A$15000,21,Registre!$B$3:$B$15000,"juin",Registre!$C$3:$C$15000,2029)</f>
        <v>0</v>
      </c>
    </row>
    <row r="177" spans="1:4" x14ac:dyDescent="0.25">
      <c r="A177" s="11">
        <v>22</v>
      </c>
      <c r="B177" s="11" t="s">
        <v>20</v>
      </c>
      <c r="C177" s="11">
        <v>2029</v>
      </c>
      <c r="D177" s="41">
        <f>SUMIFS(Registre!$P$3:$P$15000,Registre!$A$3:$A$15000,22,Registre!$B$3:$B$15000,"juin",Registre!$C$3:$C$15000,2029)</f>
        <v>0</v>
      </c>
    </row>
    <row r="178" spans="1:4" x14ac:dyDescent="0.25">
      <c r="A178" s="11">
        <v>23</v>
      </c>
      <c r="B178" s="11" t="s">
        <v>20</v>
      </c>
      <c r="C178" s="11">
        <v>2029</v>
      </c>
      <c r="D178" s="41">
        <f>SUMIFS(Registre!$P$3:$P$15000,Registre!$A$3:$A$15000,23,Registre!$B$3:$B$15000,"juin",Registre!$C$3:$C$15000,2029)</f>
        <v>0</v>
      </c>
    </row>
    <row r="179" spans="1:4" x14ac:dyDescent="0.25">
      <c r="A179" s="11">
        <v>24</v>
      </c>
      <c r="B179" s="11" t="s">
        <v>20</v>
      </c>
      <c r="C179" s="11">
        <v>2029</v>
      </c>
      <c r="D179" s="41">
        <f>SUMIFS(Registre!$P$3:$P$15000,Registre!$A$3:$A$15000,24,Registre!$B$3:$B$15000,"juin",Registre!$C$3:$C$15000,2029)</f>
        <v>0</v>
      </c>
    </row>
    <row r="180" spans="1:4" x14ac:dyDescent="0.25">
      <c r="A180" s="11">
        <v>25</v>
      </c>
      <c r="B180" s="11" t="s">
        <v>20</v>
      </c>
      <c r="C180" s="11">
        <v>2029</v>
      </c>
      <c r="D180" s="41">
        <f>SUMIFS(Registre!$P$3:$P$15000,Registre!$A$3:$A$15000,25,Registre!$B$3:$B$15000,"juin",Registre!$C$3:$C$15000,2029)</f>
        <v>0</v>
      </c>
    </row>
    <row r="181" spans="1:4" x14ac:dyDescent="0.25">
      <c r="A181" s="11">
        <v>26</v>
      </c>
      <c r="B181" s="11" t="s">
        <v>20</v>
      </c>
      <c r="C181" s="11">
        <v>2029</v>
      </c>
      <c r="D181" s="41">
        <f>SUMIFS(Registre!$P$3:$P$15000,Registre!$A$3:$A$15000,26,Registre!$B$3:$B$15000,"juin",Registre!$C$3:$C$15000,2029)</f>
        <v>0</v>
      </c>
    </row>
    <row r="182" spans="1:4" x14ac:dyDescent="0.25">
      <c r="A182" s="11">
        <v>27</v>
      </c>
      <c r="B182" s="11" t="s">
        <v>20</v>
      </c>
      <c r="C182" s="11">
        <v>2029</v>
      </c>
      <c r="D182" s="41">
        <f>SUMIFS(Registre!$P$3:$P$15000,Registre!$A$3:$A$15000,27,Registre!$B$3:$B$15000,"juin",Registre!$C$3:$C$15000,2029)</f>
        <v>0</v>
      </c>
    </row>
    <row r="183" spans="1:4" x14ac:dyDescent="0.25">
      <c r="A183" s="11">
        <v>28</v>
      </c>
      <c r="B183" s="11" t="s">
        <v>20</v>
      </c>
      <c r="C183" s="11">
        <v>2029</v>
      </c>
      <c r="D183" s="41">
        <f>SUMIFS(Registre!$P$3:$P$15000,Registre!$A$3:$A$15000,28,Registre!$B$3:$B$15000,"juin",Registre!$C$3:$C$15000,2029)</f>
        <v>0</v>
      </c>
    </row>
    <row r="184" spans="1:4" x14ac:dyDescent="0.25">
      <c r="A184" s="11">
        <v>29</v>
      </c>
      <c r="B184" s="11" t="s">
        <v>20</v>
      </c>
      <c r="C184" s="11">
        <v>2029</v>
      </c>
      <c r="D184" s="41">
        <f>SUMIFS(Registre!$P$3:$P$15000,Registre!$A$3:$A$15000,29,Registre!$B$3:$B$15000,"juin",Registre!$C$3:$C$15000,2029)</f>
        <v>0</v>
      </c>
    </row>
    <row r="185" spans="1:4" x14ac:dyDescent="0.25">
      <c r="A185" s="11">
        <v>30</v>
      </c>
      <c r="B185" s="11" t="s">
        <v>20</v>
      </c>
      <c r="C185" s="11">
        <v>2029</v>
      </c>
      <c r="D185" s="41">
        <f>SUMIFS(Registre!$P$3:$P$15000,Registre!$A$3:$A$15000,30,Registre!$B$3:$B$15000,"juin",Registre!$C$3:$C$15000,2029)</f>
        <v>0</v>
      </c>
    </row>
    <row r="186" spans="1:4" x14ac:dyDescent="0.25">
      <c r="A186" s="10">
        <v>1</v>
      </c>
      <c r="B186" s="10" t="s">
        <v>21</v>
      </c>
      <c r="C186" s="10">
        <v>2029</v>
      </c>
      <c r="D186" s="40">
        <f>SUMIFS(Registre!$P$3:$P$15000,Registre!$A$3:$A$15000,1,Registre!$B$3:$B$15000,"juillet",Registre!$C$3:$C$15000,2029)</f>
        <v>0</v>
      </c>
    </row>
    <row r="187" spans="1:4" x14ac:dyDescent="0.25">
      <c r="A187" s="10">
        <v>2</v>
      </c>
      <c r="B187" s="10" t="s">
        <v>21</v>
      </c>
      <c r="C187" s="10">
        <v>2029</v>
      </c>
      <c r="D187" s="40">
        <f>SUMIFS(Registre!$P$3:$P$15000,Registre!$A$3:$A$15000,2,Registre!$B$3:$B$15000,"juillet",Registre!$C$3:$C$15000,2029)</f>
        <v>0</v>
      </c>
    </row>
    <row r="188" spans="1:4" x14ac:dyDescent="0.25">
      <c r="A188" s="10">
        <v>3</v>
      </c>
      <c r="B188" s="10" t="s">
        <v>21</v>
      </c>
      <c r="C188" s="10">
        <v>2029</v>
      </c>
      <c r="D188" s="40">
        <f>SUMIFS(Registre!$P$3:$P$15000,Registre!$A$3:$A$15000,3,Registre!$B$3:$B$15000,"juillet",Registre!$C$3:$C$15000,2029)</f>
        <v>0</v>
      </c>
    </row>
    <row r="189" spans="1:4" x14ac:dyDescent="0.25">
      <c r="A189" s="10">
        <v>4</v>
      </c>
      <c r="B189" s="10" t="s">
        <v>21</v>
      </c>
      <c r="C189" s="10">
        <v>2029</v>
      </c>
      <c r="D189" s="40">
        <f>SUMIFS(Registre!$P$3:$P$15000,Registre!$A$3:$A$15000,4,Registre!$B$3:$B$15000,"juillet",Registre!$C$3:$C$15000,2029)</f>
        <v>0</v>
      </c>
    </row>
    <row r="190" spans="1:4" x14ac:dyDescent="0.25">
      <c r="A190" s="10">
        <v>5</v>
      </c>
      <c r="B190" s="10" t="s">
        <v>21</v>
      </c>
      <c r="C190" s="10">
        <v>2029</v>
      </c>
      <c r="D190" s="40">
        <f>SUMIFS(Registre!$P$3:$P$15000,Registre!$A$3:$A$15000,5,Registre!$B$3:$B$15000,"juillet",Registre!$C$3:$C$15000,2029)</f>
        <v>0</v>
      </c>
    </row>
    <row r="191" spans="1:4" x14ac:dyDescent="0.25">
      <c r="A191" s="10">
        <v>6</v>
      </c>
      <c r="B191" s="10" t="s">
        <v>21</v>
      </c>
      <c r="C191" s="10">
        <v>2029</v>
      </c>
      <c r="D191" s="40">
        <f>SUMIFS(Registre!$P$3:$P$15000,Registre!$A$3:$A$15000,6,Registre!$B$3:$B$15000,"juillet",Registre!$C$3:$C$15000,2029)</f>
        <v>0</v>
      </c>
    </row>
    <row r="192" spans="1:4" x14ac:dyDescent="0.25">
      <c r="A192" s="10">
        <v>7</v>
      </c>
      <c r="B192" s="10" t="s">
        <v>21</v>
      </c>
      <c r="C192" s="10">
        <v>2029</v>
      </c>
      <c r="D192" s="40">
        <f>SUMIFS(Registre!$P$3:$P$15000,Registre!$A$3:$A$15000,7,Registre!$B$3:$B$15000,"juillet",Registre!$C$3:$C$15000,2029)</f>
        <v>0</v>
      </c>
    </row>
    <row r="193" spans="1:4" x14ac:dyDescent="0.25">
      <c r="A193" s="10">
        <v>8</v>
      </c>
      <c r="B193" s="10" t="s">
        <v>21</v>
      </c>
      <c r="C193" s="10">
        <v>2029</v>
      </c>
      <c r="D193" s="40">
        <f>SUMIFS(Registre!$P$3:$P$15000,Registre!$A$3:$A$15000,8,Registre!$B$3:$B$15000,"juillet",Registre!$C$3:$C$15000,2029)</f>
        <v>0</v>
      </c>
    </row>
    <row r="194" spans="1:4" x14ac:dyDescent="0.25">
      <c r="A194" s="10">
        <v>9</v>
      </c>
      <c r="B194" s="10" t="s">
        <v>21</v>
      </c>
      <c r="C194" s="10">
        <v>2029</v>
      </c>
      <c r="D194" s="40">
        <f>SUMIFS(Registre!$P$3:$P$15000,Registre!$A$3:$A$15000,9,Registre!$B$3:$B$15000,"juillet",Registre!$C$3:$C$15000,2029)</f>
        <v>0</v>
      </c>
    </row>
    <row r="195" spans="1:4" x14ac:dyDescent="0.25">
      <c r="A195" s="10">
        <v>10</v>
      </c>
      <c r="B195" s="10" t="s">
        <v>21</v>
      </c>
      <c r="C195" s="10">
        <v>2029</v>
      </c>
      <c r="D195" s="40">
        <f>SUMIFS(Registre!$P$3:$P$15000,Registre!$A$3:$A$15000,10,Registre!$B$3:$B$15000,"juillet",Registre!$C$3:$C$15000,2029)</f>
        <v>0</v>
      </c>
    </row>
    <row r="196" spans="1:4" x14ac:dyDescent="0.25">
      <c r="A196" s="10">
        <v>11</v>
      </c>
      <c r="B196" s="10" t="s">
        <v>21</v>
      </c>
      <c r="C196" s="10">
        <v>2029</v>
      </c>
      <c r="D196" s="40">
        <f>SUMIFS(Registre!$P$3:$P$15000,Registre!$A$3:$A$15000,11,Registre!$B$3:$B$15000,"juillet",Registre!$C$3:$C$15000,2029)</f>
        <v>0</v>
      </c>
    </row>
    <row r="197" spans="1:4" x14ac:dyDescent="0.25">
      <c r="A197" s="10">
        <v>12</v>
      </c>
      <c r="B197" s="10" t="s">
        <v>21</v>
      </c>
      <c r="C197" s="10">
        <v>2029</v>
      </c>
      <c r="D197" s="40">
        <f>SUMIFS(Registre!$P$3:$P$15000,Registre!$A$3:$A$15000,12,Registre!$B$3:$B$15000,"juillet",Registre!$C$3:$C$15000,2029)</f>
        <v>0</v>
      </c>
    </row>
    <row r="198" spans="1:4" x14ac:dyDescent="0.25">
      <c r="A198" s="10">
        <v>13</v>
      </c>
      <c r="B198" s="10" t="s">
        <v>21</v>
      </c>
      <c r="C198" s="10">
        <v>2029</v>
      </c>
      <c r="D198" s="40">
        <f>SUMIFS(Registre!$P$3:$P$15000,Registre!$A$3:$A$15000,13,Registre!$B$3:$B$15000,"juillet",Registre!$C$3:$C$15000,2029)</f>
        <v>0</v>
      </c>
    </row>
    <row r="199" spans="1:4" x14ac:dyDescent="0.25">
      <c r="A199" s="10">
        <v>14</v>
      </c>
      <c r="B199" s="10" t="s">
        <v>21</v>
      </c>
      <c r="C199" s="10">
        <v>2029</v>
      </c>
      <c r="D199" s="40">
        <f>SUMIFS(Registre!$P$3:$P$15000,Registre!$A$3:$A$15000,14,Registre!$B$3:$B$15000,"juillet",Registre!$C$3:$C$15000,2029)</f>
        <v>0</v>
      </c>
    </row>
    <row r="200" spans="1:4" x14ac:dyDescent="0.25">
      <c r="A200" s="10">
        <v>15</v>
      </c>
      <c r="B200" s="10" t="s">
        <v>21</v>
      </c>
      <c r="C200" s="10">
        <v>2029</v>
      </c>
      <c r="D200" s="40">
        <f>SUMIFS(Registre!$P$3:$P$15000,Registre!$A$3:$A$15000,15,Registre!$B$3:$B$15000,"juillet",Registre!$C$3:$C$15000,2029)</f>
        <v>0</v>
      </c>
    </row>
    <row r="201" spans="1:4" x14ac:dyDescent="0.25">
      <c r="A201" s="10">
        <v>16</v>
      </c>
      <c r="B201" s="10" t="s">
        <v>21</v>
      </c>
      <c r="C201" s="10">
        <v>2029</v>
      </c>
      <c r="D201" s="40">
        <f>SUMIFS(Registre!$P$3:$P$15000,Registre!$A$3:$A$15000,16,Registre!$B$3:$B$15000,"juillet",Registre!$C$3:$C$15000,2029)</f>
        <v>0</v>
      </c>
    </row>
    <row r="202" spans="1:4" x14ac:dyDescent="0.25">
      <c r="A202" s="10">
        <v>17</v>
      </c>
      <c r="B202" s="10" t="s">
        <v>21</v>
      </c>
      <c r="C202" s="10">
        <v>2029</v>
      </c>
      <c r="D202" s="40">
        <f>SUMIFS(Registre!$P$3:$P$15000,Registre!$A$3:$A$15000,17,Registre!$B$3:$B$15000,"juillet",Registre!$C$3:$C$15000,2029)</f>
        <v>0</v>
      </c>
    </row>
    <row r="203" spans="1:4" x14ac:dyDescent="0.25">
      <c r="A203" s="10">
        <v>18</v>
      </c>
      <c r="B203" s="10" t="s">
        <v>21</v>
      </c>
      <c r="C203" s="10">
        <v>2029</v>
      </c>
      <c r="D203" s="40">
        <f>SUMIFS(Registre!$P$3:$P$15000,Registre!$A$3:$A$15000,18,Registre!$B$3:$B$15000,"juillet",Registre!$C$3:$C$15000,2029)</f>
        <v>0</v>
      </c>
    </row>
    <row r="204" spans="1:4" x14ac:dyDescent="0.25">
      <c r="A204" s="10">
        <v>19</v>
      </c>
      <c r="B204" s="10" t="s">
        <v>21</v>
      </c>
      <c r="C204" s="10">
        <v>2029</v>
      </c>
      <c r="D204" s="40">
        <f>SUMIFS(Registre!$P$3:$P$15000,Registre!$A$3:$A$15000,19,Registre!$B$3:$B$15000,"juillet",Registre!$C$3:$C$15000,2029)</f>
        <v>0</v>
      </c>
    </row>
    <row r="205" spans="1:4" x14ac:dyDescent="0.25">
      <c r="A205" s="10">
        <v>20</v>
      </c>
      <c r="B205" s="10" t="s">
        <v>21</v>
      </c>
      <c r="C205" s="10">
        <v>2029</v>
      </c>
      <c r="D205" s="40">
        <f>SUMIFS(Registre!$P$3:$P$15000,Registre!$A$3:$A$15000,20,Registre!$B$3:$B$15000,"juillet",Registre!$C$3:$C$15000,2029)</f>
        <v>0</v>
      </c>
    </row>
    <row r="206" spans="1:4" x14ac:dyDescent="0.25">
      <c r="A206" s="10">
        <v>21</v>
      </c>
      <c r="B206" s="10" t="s">
        <v>21</v>
      </c>
      <c r="C206" s="10">
        <v>2029</v>
      </c>
      <c r="D206" s="40">
        <f>SUMIFS(Registre!$P$3:$P$15000,Registre!$A$3:$A$15000,21,Registre!$B$3:$B$15000,"juillet",Registre!$C$3:$C$15000,2029)</f>
        <v>0</v>
      </c>
    </row>
    <row r="207" spans="1:4" x14ac:dyDescent="0.25">
      <c r="A207" s="10">
        <v>22</v>
      </c>
      <c r="B207" s="10" t="s">
        <v>21</v>
      </c>
      <c r="C207" s="10">
        <v>2029</v>
      </c>
      <c r="D207" s="40">
        <f>SUMIFS(Registre!$P$3:$P$15000,Registre!$A$3:$A$15000,22,Registre!$B$3:$B$15000,"juillet",Registre!$C$3:$C$15000,2029)</f>
        <v>0</v>
      </c>
    </row>
    <row r="208" spans="1:4" x14ac:dyDescent="0.25">
      <c r="A208" s="10">
        <v>23</v>
      </c>
      <c r="B208" s="10" t="s">
        <v>21</v>
      </c>
      <c r="C208" s="10">
        <v>2029</v>
      </c>
      <c r="D208" s="40">
        <f>SUMIFS(Registre!$P$3:$P$15000,Registre!$A$3:$A$15000,23,Registre!$B$3:$B$15000,"juillet",Registre!$C$3:$C$15000,2029)</f>
        <v>0</v>
      </c>
    </row>
    <row r="209" spans="1:4" x14ac:dyDescent="0.25">
      <c r="A209" s="10">
        <v>24</v>
      </c>
      <c r="B209" s="10" t="s">
        <v>21</v>
      </c>
      <c r="C209" s="10">
        <v>2029</v>
      </c>
      <c r="D209" s="40">
        <f>SUMIFS(Registre!$P$3:$P$15000,Registre!$A$3:$A$15000,24,Registre!$B$3:$B$15000,"juillet",Registre!$C$3:$C$15000,2029)</f>
        <v>0</v>
      </c>
    </row>
    <row r="210" spans="1:4" x14ac:dyDescent="0.25">
      <c r="A210" s="10">
        <v>25</v>
      </c>
      <c r="B210" s="10" t="s">
        <v>21</v>
      </c>
      <c r="C210" s="10">
        <v>2029</v>
      </c>
      <c r="D210" s="40">
        <f>SUMIFS(Registre!$P$3:$P$15000,Registre!$A$3:$A$15000,25,Registre!$B$3:$B$15000,"juillet",Registre!$C$3:$C$15000,2029)</f>
        <v>0</v>
      </c>
    </row>
    <row r="211" spans="1:4" x14ac:dyDescent="0.25">
      <c r="A211" s="10">
        <v>26</v>
      </c>
      <c r="B211" s="10" t="s">
        <v>21</v>
      </c>
      <c r="C211" s="10">
        <v>2029</v>
      </c>
      <c r="D211" s="40">
        <f>SUMIFS(Registre!$P$3:$P$15000,Registre!$A$3:$A$15000,26,Registre!$B$3:$B$15000,"juillet",Registre!$C$3:$C$15000,2029)</f>
        <v>0</v>
      </c>
    </row>
    <row r="212" spans="1:4" x14ac:dyDescent="0.25">
      <c r="A212" s="10">
        <v>27</v>
      </c>
      <c r="B212" s="10" t="s">
        <v>21</v>
      </c>
      <c r="C212" s="10">
        <v>2029</v>
      </c>
      <c r="D212" s="40">
        <f>SUMIFS(Registre!$P$3:$P$15000,Registre!$A$3:$A$15000,27,Registre!$B$3:$B$15000,"juillet",Registre!$C$3:$C$15000,2029)</f>
        <v>0</v>
      </c>
    </row>
    <row r="213" spans="1:4" x14ac:dyDescent="0.25">
      <c r="A213" s="10">
        <v>28</v>
      </c>
      <c r="B213" s="10" t="s">
        <v>21</v>
      </c>
      <c r="C213" s="10">
        <v>2029</v>
      </c>
      <c r="D213" s="40">
        <f>SUMIFS(Registre!$P$3:$P$15000,Registre!$A$3:$A$15000,28,Registre!$B$3:$B$15000,"juillet",Registre!$C$3:$C$15000,2029)</f>
        <v>0</v>
      </c>
    </row>
    <row r="214" spans="1:4" x14ac:dyDescent="0.25">
      <c r="A214" s="10">
        <v>29</v>
      </c>
      <c r="B214" s="10" t="s">
        <v>21</v>
      </c>
      <c r="C214" s="10">
        <v>2029</v>
      </c>
      <c r="D214" s="40">
        <f>SUMIFS(Registre!$P$3:$P$15000,Registre!$A$3:$A$15000,29,Registre!$B$3:$B$15000,"juillet",Registre!$C$3:$C$15000,2029)</f>
        <v>0</v>
      </c>
    </row>
    <row r="215" spans="1:4" x14ac:dyDescent="0.25">
      <c r="A215" s="10">
        <v>30</v>
      </c>
      <c r="B215" s="10" t="s">
        <v>21</v>
      </c>
      <c r="C215" s="10">
        <v>2029</v>
      </c>
      <c r="D215" s="40">
        <f>SUMIFS(Registre!$P$3:$P$15000,Registre!$A$3:$A$15000,30,Registre!$B$3:$B$15000,"juillet",Registre!$C$3:$C$15000,2029)</f>
        <v>0</v>
      </c>
    </row>
    <row r="216" spans="1:4" x14ac:dyDescent="0.25">
      <c r="A216" s="10">
        <v>31</v>
      </c>
      <c r="B216" s="10" t="s">
        <v>21</v>
      </c>
      <c r="C216" s="10">
        <v>2029</v>
      </c>
      <c r="D216" s="40">
        <f>SUMIFS(Registre!$P$3:$P$15000,Registre!$A$3:$A$15000,31,Registre!$B$3:$B$15000,"juillet",Registre!$C$3:$C$15000,2029)</f>
        <v>0</v>
      </c>
    </row>
    <row r="217" spans="1:4" x14ac:dyDescent="0.25">
      <c r="A217" s="11">
        <v>1</v>
      </c>
      <c r="B217" s="11" t="s">
        <v>22</v>
      </c>
      <c r="C217" s="11">
        <v>2029</v>
      </c>
      <c r="D217" s="41">
        <f>SUMIFS(Registre!$P$3:$P$15000,Registre!$A$3:$A$15000,1,Registre!$B$3:$B$15000,"août",Registre!$C$3:$C$15000,2029)</f>
        <v>0</v>
      </c>
    </row>
    <row r="218" spans="1:4" x14ac:dyDescent="0.25">
      <c r="A218" s="11">
        <v>2</v>
      </c>
      <c r="B218" s="11" t="s">
        <v>22</v>
      </c>
      <c r="C218" s="11">
        <v>2029</v>
      </c>
      <c r="D218" s="41">
        <f>SUMIFS(Registre!$P$3:$P$15000,Registre!$A$3:$A$15000,2,Registre!$B$3:$B$15000,"août",Registre!$C$3:$C$15000,2029)</f>
        <v>0</v>
      </c>
    </row>
    <row r="219" spans="1:4" x14ac:dyDescent="0.25">
      <c r="A219" s="11">
        <v>3</v>
      </c>
      <c r="B219" s="11" t="s">
        <v>22</v>
      </c>
      <c r="C219" s="11">
        <v>2029</v>
      </c>
      <c r="D219" s="41">
        <f>SUMIFS(Registre!$P$3:$P$15000,Registre!$A$3:$A$15000,3,Registre!$B$3:$B$15000,"août",Registre!$C$3:$C$15000,2029)</f>
        <v>0</v>
      </c>
    </row>
    <row r="220" spans="1:4" x14ac:dyDescent="0.25">
      <c r="A220" s="11">
        <v>4</v>
      </c>
      <c r="B220" s="11" t="s">
        <v>22</v>
      </c>
      <c r="C220" s="11">
        <v>2029</v>
      </c>
      <c r="D220" s="41">
        <f>SUMIFS(Registre!$P$3:$P$15000,Registre!$A$3:$A$15000,4,Registre!$B$3:$B$15000,"août",Registre!$C$3:$C$15000,2029)</f>
        <v>0</v>
      </c>
    </row>
    <row r="221" spans="1:4" x14ac:dyDescent="0.25">
      <c r="A221" s="11">
        <v>5</v>
      </c>
      <c r="B221" s="11" t="s">
        <v>22</v>
      </c>
      <c r="C221" s="11">
        <v>2029</v>
      </c>
      <c r="D221" s="41">
        <f>SUMIFS(Registre!$P$3:$P$15000,Registre!$A$3:$A$15000,5,Registre!$B$3:$B$15000,"août",Registre!$C$3:$C$15000,2029)</f>
        <v>0</v>
      </c>
    </row>
    <row r="222" spans="1:4" x14ac:dyDescent="0.25">
      <c r="A222" s="11">
        <v>6</v>
      </c>
      <c r="B222" s="11" t="s">
        <v>22</v>
      </c>
      <c r="C222" s="11">
        <v>2029</v>
      </c>
      <c r="D222" s="41">
        <f>SUMIFS(Registre!$P$3:$P$15000,Registre!$A$3:$A$15000,6,Registre!$B$3:$B$15000,"août",Registre!$C$3:$C$15000,2029)</f>
        <v>0</v>
      </c>
    </row>
    <row r="223" spans="1:4" x14ac:dyDescent="0.25">
      <c r="A223" s="11">
        <v>7</v>
      </c>
      <c r="B223" s="11" t="s">
        <v>22</v>
      </c>
      <c r="C223" s="11">
        <v>2029</v>
      </c>
      <c r="D223" s="41">
        <f>SUMIFS(Registre!$P$3:$P$15000,Registre!$A$3:$A$15000,7,Registre!$B$3:$B$15000,"août",Registre!$C$3:$C$15000,2029)</f>
        <v>0</v>
      </c>
    </row>
    <row r="224" spans="1:4" x14ac:dyDescent="0.25">
      <c r="A224" s="11">
        <v>8</v>
      </c>
      <c r="B224" s="11" t="s">
        <v>22</v>
      </c>
      <c r="C224" s="11">
        <v>2029</v>
      </c>
      <c r="D224" s="41">
        <f>SUMIFS(Registre!$P$3:$P$15000,Registre!$A$3:$A$15000,8,Registre!$B$3:$B$15000,"août",Registre!$C$3:$C$15000,2029)</f>
        <v>0</v>
      </c>
    </row>
    <row r="225" spans="1:4" x14ac:dyDescent="0.25">
      <c r="A225" s="11">
        <v>9</v>
      </c>
      <c r="B225" s="11" t="s">
        <v>22</v>
      </c>
      <c r="C225" s="11">
        <v>2029</v>
      </c>
      <c r="D225" s="41">
        <f>SUMIFS(Registre!$P$3:$P$15000,Registre!$A$3:$A$15000,9,Registre!$B$3:$B$15000,"août",Registre!$C$3:$C$15000,2029)</f>
        <v>0</v>
      </c>
    </row>
    <row r="226" spans="1:4" x14ac:dyDescent="0.25">
      <c r="A226" s="11">
        <v>10</v>
      </c>
      <c r="B226" s="11" t="s">
        <v>22</v>
      </c>
      <c r="C226" s="11">
        <v>2029</v>
      </c>
      <c r="D226" s="41">
        <f>SUMIFS(Registre!$P$3:$P$15000,Registre!$A$3:$A$15000,10,Registre!$B$3:$B$15000,"août",Registre!$C$3:$C$15000,2029)</f>
        <v>0</v>
      </c>
    </row>
    <row r="227" spans="1:4" x14ac:dyDescent="0.25">
      <c r="A227" s="11">
        <v>11</v>
      </c>
      <c r="B227" s="11" t="s">
        <v>22</v>
      </c>
      <c r="C227" s="11">
        <v>2029</v>
      </c>
      <c r="D227" s="41">
        <f>SUMIFS(Registre!$P$3:$P$15000,Registre!$A$3:$A$15000,11,Registre!$B$3:$B$15000,"août",Registre!$C$3:$C$15000,2029)</f>
        <v>0</v>
      </c>
    </row>
    <row r="228" spans="1:4" x14ac:dyDescent="0.25">
      <c r="A228" s="11">
        <v>12</v>
      </c>
      <c r="B228" s="11" t="s">
        <v>22</v>
      </c>
      <c r="C228" s="11">
        <v>2029</v>
      </c>
      <c r="D228" s="41">
        <f>SUMIFS(Registre!$P$3:$P$15000,Registre!$A$3:$A$15000,12,Registre!$B$3:$B$15000,"août",Registre!$C$3:$C$15000,2029)</f>
        <v>0</v>
      </c>
    </row>
    <row r="229" spans="1:4" x14ac:dyDescent="0.25">
      <c r="A229" s="11">
        <v>13</v>
      </c>
      <c r="B229" s="11" t="s">
        <v>22</v>
      </c>
      <c r="C229" s="11">
        <v>2029</v>
      </c>
      <c r="D229" s="41">
        <f>SUMIFS(Registre!$P$3:$P$15000,Registre!$A$3:$A$15000,13,Registre!$B$3:$B$15000,"août",Registre!$C$3:$C$15000,2029)</f>
        <v>0</v>
      </c>
    </row>
    <row r="230" spans="1:4" x14ac:dyDescent="0.25">
      <c r="A230" s="11">
        <v>14</v>
      </c>
      <c r="B230" s="11" t="s">
        <v>22</v>
      </c>
      <c r="C230" s="11">
        <v>2029</v>
      </c>
      <c r="D230" s="41">
        <f>SUMIFS(Registre!$P$3:$P$15000,Registre!$A$3:$A$15000,14,Registre!$B$3:$B$15000,"août",Registre!$C$3:$C$15000,2029)</f>
        <v>0</v>
      </c>
    </row>
    <row r="231" spans="1:4" x14ac:dyDescent="0.25">
      <c r="A231" s="11">
        <v>15</v>
      </c>
      <c r="B231" s="11" t="s">
        <v>22</v>
      </c>
      <c r="C231" s="11">
        <v>2029</v>
      </c>
      <c r="D231" s="41">
        <f>SUMIFS(Registre!$P$3:$P$15000,Registre!$A$3:$A$15000,15,Registre!$B$3:$B$15000,"août",Registre!$C$3:$C$15000,2029)</f>
        <v>0</v>
      </c>
    </row>
    <row r="232" spans="1:4" x14ac:dyDescent="0.25">
      <c r="A232" s="11">
        <v>16</v>
      </c>
      <c r="B232" s="11" t="s">
        <v>22</v>
      </c>
      <c r="C232" s="11">
        <v>2029</v>
      </c>
      <c r="D232" s="41">
        <f>SUMIFS(Registre!$P$3:$P$15000,Registre!$A$3:$A$15000,16,Registre!$B$3:$B$15000,"août",Registre!$C$3:$C$15000,2029)</f>
        <v>0</v>
      </c>
    </row>
    <row r="233" spans="1:4" x14ac:dyDescent="0.25">
      <c r="A233" s="11">
        <v>17</v>
      </c>
      <c r="B233" s="11" t="s">
        <v>22</v>
      </c>
      <c r="C233" s="11">
        <v>2029</v>
      </c>
      <c r="D233" s="41">
        <f>SUMIFS(Registre!$P$3:$P$15000,Registre!$A$3:$A$15000,17,Registre!$B$3:$B$15000,"août",Registre!$C$3:$C$15000,2029)</f>
        <v>0</v>
      </c>
    </row>
    <row r="234" spans="1:4" x14ac:dyDescent="0.25">
      <c r="A234" s="11">
        <v>18</v>
      </c>
      <c r="B234" s="11" t="s">
        <v>22</v>
      </c>
      <c r="C234" s="11">
        <v>2029</v>
      </c>
      <c r="D234" s="41">
        <f>SUMIFS(Registre!$P$3:$P$15000,Registre!$A$3:$A$15000,18,Registre!$B$3:$B$15000,"août",Registre!$C$3:$C$15000,2029)</f>
        <v>0</v>
      </c>
    </row>
    <row r="235" spans="1:4" x14ac:dyDescent="0.25">
      <c r="A235" s="11">
        <v>19</v>
      </c>
      <c r="B235" s="11" t="s">
        <v>22</v>
      </c>
      <c r="C235" s="11">
        <v>2029</v>
      </c>
      <c r="D235" s="41">
        <f>SUMIFS(Registre!$P$3:$P$15000,Registre!$A$3:$A$15000,19,Registre!$B$3:$B$15000,"août",Registre!$C$3:$C$15000,2029)</f>
        <v>0</v>
      </c>
    </row>
    <row r="236" spans="1:4" x14ac:dyDescent="0.25">
      <c r="A236" s="11">
        <v>20</v>
      </c>
      <c r="B236" s="11" t="s">
        <v>22</v>
      </c>
      <c r="C236" s="11">
        <v>2029</v>
      </c>
      <c r="D236" s="41">
        <f>SUMIFS(Registre!$P$3:$P$15000,Registre!$A$3:$A$15000,20,Registre!$B$3:$B$15000,"août",Registre!$C$3:$C$15000,2029)</f>
        <v>0</v>
      </c>
    </row>
    <row r="237" spans="1:4" x14ac:dyDescent="0.25">
      <c r="A237" s="11">
        <v>21</v>
      </c>
      <c r="B237" s="11" t="s">
        <v>22</v>
      </c>
      <c r="C237" s="11">
        <v>2029</v>
      </c>
      <c r="D237" s="41">
        <f>SUMIFS(Registre!$P$3:$P$15000,Registre!$A$3:$A$15000,21,Registre!$B$3:$B$15000,"août",Registre!$C$3:$C$15000,2029)</f>
        <v>0</v>
      </c>
    </row>
    <row r="238" spans="1:4" x14ac:dyDescent="0.25">
      <c r="A238" s="11">
        <v>22</v>
      </c>
      <c r="B238" s="11" t="s">
        <v>22</v>
      </c>
      <c r="C238" s="11">
        <v>2029</v>
      </c>
      <c r="D238" s="41">
        <f>SUMIFS(Registre!$P$3:$P$15000,Registre!$A$3:$A$15000,22,Registre!$B$3:$B$15000,"août",Registre!$C$3:$C$15000,2029)</f>
        <v>0</v>
      </c>
    </row>
    <row r="239" spans="1:4" x14ac:dyDescent="0.25">
      <c r="A239" s="11">
        <v>23</v>
      </c>
      <c r="B239" s="11" t="s">
        <v>22</v>
      </c>
      <c r="C239" s="11">
        <v>2029</v>
      </c>
      <c r="D239" s="41">
        <f>SUMIFS(Registre!$P$3:$P$15000,Registre!$A$3:$A$15000,23,Registre!$B$3:$B$15000,"août",Registre!$C$3:$C$15000,2029)</f>
        <v>0</v>
      </c>
    </row>
    <row r="240" spans="1:4" x14ac:dyDescent="0.25">
      <c r="A240" s="11">
        <v>24</v>
      </c>
      <c r="B240" s="11" t="s">
        <v>22</v>
      </c>
      <c r="C240" s="11">
        <v>2029</v>
      </c>
      <c r="D240" s="41">
        <f>SUMIFS(Registre!$P$3:$P$15000,Registre!$A$3:$A$15000,24,Registre!$B$3:$B$15000,"août",Registre!$C$3:$C$15000,2029)</f>
        <v>0</v>
      </c>
    </row>
    <row r="241" spans="1:4" x14ac:dyDescent="0.25">
      <c r="A241" s="11">
        <v>25</v>
      </c>
      <c r="B241" s="11" t="s">
        <v>22</v>
      </c>
      <c r="C241" s="11">
        <v>2029</v>
      </c>
      <c r="D241" s="41">
        <f>SUMIFS(Registre!$P$3:$P$15000,Registre!$A$3:$A$15000,25,Registre!$B$3:$B$15000,"août",Registre!$C$3:$C$15000,2029)</f>
        <v>0</v>
      </c>
    </row>
    <row r="242" spans="1:4" x14ac:dyDescent="0.25">
      <c r="A242" s="11">
        <v>26</v>
      </c>
      <c r="B242" s="11" t="s">
        <v>22</v>
      </c>
      <c r="C242" s="11">
        <v>2029</v>
      </c>
      <c r="D242" s="41">
        <f>SUMIFS(Registre!$P$3:$P$15000,Registre!$A$3:$A$15000,26,Registre!$B$3:$B$15000,"août",Registre!$C$3:$C$15000,2029)</f>
        <v>0</v>
      </c>
    </row>
    <row r="243" spans="1:4" x14ac:dyDescent="0.25">
      <c r="A243" s="11">
        <v>27</v>
      </c>
      <c r="B243" s="11" t="s">
        <v>22</v>
      </c>
      <c r="C243" s="11">
        <v>2029</v>
      </c>
      <c r="D243" s="41">
        <f>SUMIFS(Registre!$P$3:$P$15000,Registre!$A$3:$A$15000,27,Registre!$B$3:$B$15000,"août",Registre!$C$3:$C$15000,2029)</f>
        <v>0</v>
      </c>
    </row>
    <row r="244" spans="1:4" x14ac:dyDescent="0.25">
      <c r="A244" s="11">
        <v>28</v>
      </c>
      <c r="B244" s="11" t="s">
        <v>22</v>
      </c>
      <c r="C244" s="11">
        <v>2029</v>
      </c>
      <c r="D244" s="41">
        <f>SUMIFS(Registre!$P$3:$P$15000,Registre!$A$3:$A$15000,28,Registre!$B$3:$B$15000,"août",Registre!$C$3:$C$15000,2029)</f>
        <v>0</v>
      </c>
    </row>
    <row r="245" spans="1:4" x14ac:dyDescent="0.25">
      <c r="A245" s="11">
        <v>29</v>
      </c>
      <c r="B245" s="11" t="s">
        <v>22</v>
      </c>
      <c r="C245" s="11">
        <v>2029</v>
      </c>
      <c r="D245" s="41">
        <f>SUMIFS(Registre!$P$3:$P$15000,Registre!$A$3:$A$15000,29,Registre!$B$3:$B$15000,"août",Registre!$C$3:$C$15000,2029)</f>
        <v>0</v>
      </c>
    </row>
    <row r="246" spans="1:4" x14ac:dyDescent="0.25">
      <c r="A246" s="11">
        <v>30</v>
      </c>
      <c r="B246" s="11" t="s">
        <v>22</v>
      </c>
      <c r="C246" s="11">
        <v>2029</v>
      </c>
      <c r="D246" s="41">
        <f>SUMIFS(Registre!$P$3:$P$15000,Registre!$A$3:$A$15000,30,Registre!$B$3:$B$15000,"août",Registre!$C$3:$C$15000,2029)</f>
        <v>0</v>
      </c>
    </row>
    <row r="247" spans="1:4" x14ac:dyDescent="0.25">
      <c r="A247" s="11">
        <v>31</v>
      </c>
      <c r="B247" s="11" t="s">
        <v>22</v>
      </c>
      <c r="C247" s="11">
        <v>2029</v>
      </c>
      <c r="D247" s="41">
        <f>SUMIFS(Registre!$P$3:$P$15000,Registre!$A$3:$A$15000,31,Registre!$B$3:$B$15000,"août",Registre!$C$3:$C$15000,2029)</f>
        <v>0</v>
      </c>
    </row>
    <row r="248" spans="1:4" x14ac:dyDescent="0.25">
      <c r="A248" s="10">
        <v>1</v>
      </c>
      <c r="B248" s="10" t="s">
        <v>23</v>
      </c>
      <c r="C248" s="10">
        <v>2029</v>
      </c>
      <c r="D248" s="40">
        <f>SUMIFS(Registre!$P$3:$P$15000,Registre!$A$3:$A$15000,1,Registre!$B$3:$B$15000,"septembre",Registre!$C$3:$C$15000,2029)</f>
        <v>0</v>
      </c>
    </row>
    <row r="249" spans="1:4" x14ac:dyDescent="0.25">
      <c r="A249" s="10">
        <v>2</v>
      </c>
      <c r="B249" s="10" t="s">
        <v>23</v>
      </c>
      <c r="C249" s="10">
        <v>2029</v>
      </c>
      <c r="D249" s="40">
        <f>SUMIFS(Registre!$P$3:$P$15000,Registre!$A$3:$A$15000,2,Registre!$B$3:$B$15000,"septembre",Registre!$C$3:$C$15000,2029)</f>
        <v>0</v>
      </c>
    </row>
    <row r="250" spans="1:4" x14ac:dyDescent="0.25">
      <c r="A250" s="10">
        <v>3</v>
      </c>
      <c r="B250" s="10" t="s">
        <v>23</v>
      </c>
      <c r="C250" s="10">
        <v>2029</v>
      </c>
      <c r="D250" s="40">
        <f>SUMIFS(Registre!$P$3:$P$15000,Registre!$A$3:$A$15000,3,Registre!$B$3:$B$15000,"septembre",Registre!$C$3:$C$15000,2029)</f>
        <v>0</v>
      </c>
    </row>
    <row r="251" spans="1:4" x14ac:dyDescent="0.25">
      <c r="A251" s="10">
        <v>4</v>
      </c>
      <c r="B251" s="10" t="s">
        <v>23</v>
      </c>
      <c r="C251" s="10">
        <v>2029</v>
      </c>
      <c r="D251" s="40">
        <f>SUMIFS(Registre!$P$3:$P$15000,Registre!$A$3:$A$15000,4,Registre!$B$3:$B$15000,"septembre",Registre!$C$3:$C$15000,2029)</f>
        <v>0</v>
      </c>
    </row>
    <row r="252" spans="1:4" x14ac:dyDescent="0.25">
      <c r="A252" s="10">
        <v>5</v>
      </c>
      <c r="B252" s="10" t="s">
        <v>23</v>
      </c>
      <c r="C252" s="10">
        <v>2029</v>
      </c>
      <c r="D252" s="40">
        <f>SUMIFS(Registre!$P$3:$P$15000,Registre!$A$3:$A$15000,5,Registre!$B$3:$B$15000,"septembre",Registre!$C$3:$C$15000,2029)</f>
        <v>0</v>
      </c>
    </row>
    <row r="253" spans="1:4" x14ac:dyDescent="0.25">
      <c r="A253" s="10">
        <v>6</v>
      </c>
      <c r="B253" s="10" t="s">
        <v>23</v>
      </c>
      <c r="C253" s="10">
        <v>2029</v>
      </c>
      <c r="D253" s="40">
        <f>SUMIFS(Registre!$P$3:$P$15000,Registre!$A$3:$A$15000,6,Registre!$B$3:$B$15000,"septembre",Registre!$C$3:$C$15000,2029)</f>
        <v>0</v>
      </c>
    </row>
    <row r="254" spans="1:4" x14ac:dyDescent="0.25">
      <c r="A254" s="10">
        <v>7</v>
      </c>
      <c r="B254" s="10" t="s">
        <v>23</v>
      </c>
      <c r="C254" s="10">
        <v>2029</v>
      </c>
      <c r="D254" s="40">
        <f>SUMIFS(Registre!$P$3:$P$15000,Registre!$A$3:$A$15000,7,Registre!$B$3:$B$15000,"septembre",Registre!$C$3:$C$15000,2029)</f>
        <v>0</v>
      </c>
    </row>
    <row r="255" spans="1:4" x14ac:dyDescent="0.25">
      <c r="A255" s="10">
        <v>8</v>
      </c>
      <c r="B255" s="10" t="s">
        <v>23</v>
      </c>
      <c r="C255" s="10">
        <v>2029</v>
      </c>
      <c r="D255" s="40">
        <f>SUMIFS(Registre!$P$3:$P$15000,Registre!$A$3:$A$15000,8,Registre!$B$3:$B$15000,"septembre",Registre!$C$3:$C$15000,2029)</f>
        <v>0</v>
      </c>
    </row>
    <row r="256" spans="1:4" x14ac:dyDescent="0.25">
      <c r="A256" s="10">
        <v>9</v>
      </c>
      <c r="B256" s="10" t="s">
        <v>23</v>
      </c>
      <c r="C256" s="10">
        <v>2029</v>
      </c>
      <c r="D256" s="40">
        <f>SUMIFS(Registre!$P$3:$P$15000,Registre!$A$3:$A$15000,9,Registre!$B$3:$B$15000,"septembre",Registre!$C$3:$C$15000,2029)</f>
        <v>0</v>
      </c>
    </row>
    <row r="257" spans="1:4" x14ac:dyDescent="0.25">
      <c r="A257" s="10">
        <v>10</v>
      </c>
      <c r="B257" s="10" t="s">
        <v>23</v>
      </c>
      <c r="C257" s="10">
        <v>2029</v>
      </c>
      <c r="D257" s="40">
        <f>SUMIFS(Registre!$P$3:$P$15000,Registre!$A$3:$A$15000,10,Registre!$B$3:$B$15000,"septembre",Registre!$C$3:$C$15000,2029)</f>
        <v>0</v>
      </c>
    </row>
    <row r="258" spans="1:4" x14ac:dyDescent="0.25">
      <c r="A258" s="10">
        <v>11</v>
      </c>
      <c r="B258" s="10" t="s">
        <v>23</v>
      </c>
      <c r="C258" s="10">
        <v>2029</v>
      </c>
      <c r="D258" s="40">
        <f>SUMIFS(Registre!$P$3:$P$15000,Registre!$A$3:$A$15000,11,Registre!$B$3:$B$15000,"septembre",Registre!$C$3:$C$15000,2029)</f>
        <v>0</v>
      </c>
    </row>
    <row r="259" spans="1:4" x14ac:dyDescent="0.25">
      <c r="A259" s="10">
        <v>12</v>
      </c>
      <c r="B259" s="10" t="s">
        <v>23</v>
      </c>
      <c r="C259" s="10">
        <v>2029</v>
      </c>
      <c r="D259" s="40">
        <f>SUMIFS(Registre!$P$3:$P$15000,Registre!$A$3:$A$15000,12,Registre!$B$3:$B$15000,"septembre",Registre!$C$3:$C$15000,2029)</f>
        <v>0</v>
      </c>
    </row>
    <row r="260" spans="1:4" x14ac:dyDescent="0.25">
      <c r="A260" s="10">
        <v>13</v>
      </c>
      <c r="B260" s="10" t="s">
        <v>23</v>
      </c>
      <c r="C260" s="10">
        <v>2029</v>
      </c>
      <c r="D260" s="40">
        <f>SUMIFS(Registre!$P$3:$P$15000,Registre!$A$3:$A$15000,13,Registre!$B$3:$B$15000,"septembre",Registre!$C$3:$C$15000,2029)</f>
        <v>0</v>
      </c>
    </row>
    <row r="261" spans="1:4" x14ac:dyDescent="0.25">
      <c r="A261" s="10">
        <v>14</v>
      </c>
      <c r="B261" s="10" t="s">
        <v>23</v>
      </c>
      <c r="C261" s="10">
        <v>2029</v>
      </c>
      <c r="D261" s="40">
        <f>SUMIFS(Registre!$P$3:$P$15000,Registre!$A$3:$A$15000,14,Registre!$B$3:$B$15000,"septembre",Registre!$C$3:$C$15000,2029)</f>
        <v>0</v>
      </c>
    </row>
    <row r="262" spans="1:4" x14ac:dyDescent="0.25">
      <c r="A262" s="10">
        <v>15</v>
      </c>
      <c r="B262" s="10" t="s">
        <v>23</v>
      </c>
      <c r="C262" s="10">
        <v>2029</v>
      </c>
      <c r="D262" s="40">
        <f>SUMIFS(Registre!$P$3:$P$15000,Registre!$A$3:$A$15000,15,Registre!$B$3:$B$15000,"septembre",Registre!$C$3:$C$15000,2029)</f>
        <v>0</v>
      </c>
    </row>
    <row r="263" spans="1:4" x14ac:dyDescent="0.25">
      <c r="A263" s="10">
        <v>16</v>
      </c>
      <c r="B263" s="10" t="s">
        <v>23</v>
      </c>
      <c r="C263" s="10">
        <v>2029</v>
      </c>
      <c r="D263" s="40">
        <f>SUMIFS(Registre!$P$3:$P$15000,Registre!$A$3:$A$15000,16,Registre!$B$3:$B$15000,"septembre",Registre!$C$3:$C$15000,2029)</f>
        <v>0</v>
      </c>
    </row>
    <row r="264" spans="1:4" x14ac:dyDescent="0.25">
      <c r="A264" s="10">
        <v>17</v>
      </c>
      <c r="B264" s="10" t="s">
        <v>23</v>
      </c>
      <c r="C264" s="10">
        <v>2029</v>
      </c>
      <c r="D264" s="40">
        <f>SUMIFS(Registre!$P$3:$P$15000,Registre!$A$3:$A$15000,17,Registre!$B$3:$B$15000,"septembre",Registre!$C$3:$C$15000,2029)</f>
        <v>0</v>
      </c>
    </row>
    <row r="265" spans="1:4" x14ac:dyDescent="0.25">
      <c r="A265" s="10">
        <v>18</v>
      </c>
      <c r="B265" s="10" t="s">
        <v>23</v>
      </c>
      <c r="C265" s="10">
        <v>2029</v>
      </c>
      <c r="D265" s="40">
        <f>SUMIFS(Registre!$P$3:$P$15000,Registre!$A$3:$A$15000,18,Registre!$B$3:$B$15000,"septembre",Registre!$C$3:$C$15000,2029)</f>
        <v>0</v>
      </c>
    </row>
    <row r="266" spans="1:4" x14ac:dyDescent="0.25">
      <c r="A266" s="10">
        <v>19</v>
      </c>
      <c r="B266" s="10" t="s">
        <v>23</v>
      </c>
      <c r="C266" s="10">
        <v>2029</v>
      </c>
      <c r="D266" s="40">
        <f>SUMIFS(Registre!$P$3:$P$15000,Registre!$A$3:$A$15000,19,Registre!$B$3:$B$15000,"septembre",Registre!$C$3:$C$15000,2029)</f>
        <v>0</v>
      </c>
    </row>
    <row r="267" spans="1:4" x14ac:dyDescent="0.25">
      <c r="A267" s="10">
        <v>20</v>
      </c>
      <c r="B267" s="10" t="s">
        <v>23</v>
      </c>
      <c r="C267" s="10">
        <v>2029</v>
      </c>
      <c r="D267" s="40">
        <f>SUMIFS(Registre!$P$3:$P$15000,Registre!$A$3:$A$15000,20,Registre!$B$3:$B$15000,"septembre",Registre!$C$3:$C$15000,2029)</f>
        <v>0</v>
      </c>
    </row>
    <row r="268" spans="1:4" x14ac:dyDescent="0.25">
      <c r="A268" s="10">
        <v>21</v>
      </c>
      <c r="B268" s="10" t="s">
        <v>23</v>
      </c>
      <c r="C268" s="10">
        <v>2029</v>
      </c>
      <c r="D268" s="40">
        <f>SUMIFS(Registre!$P$3:$P$15000,Registre!$A$3:$A$15000,21,Registre!$B$3:$B$15000,"septembre",Registre!$C$3:$C$15000,2029)</f>
        <v>0</v>
      </c>
    </row>
    <row r="269" spans="1:4" x14ac:dyDescent="0.25">
      <c r="A269" s="10">
        <v>22</v>
      </c>
      <c r="B269" s="10" t="s">
        <v>23</v>
      </c>
      <c r="C269" s="10">
        <v>2029</v>
      </c>
      <c r="D269" s="40">
        <f>SUMIFS(Registre!$P$3:$P$15000,Registre!$A$3:$A$15000,22,Registre!$B$3:$B$15000,"septembre",Registre!$C$3:$C$15000,2029)</f>
        <v>0</v>
      </c>
    </row>
    <row r="270" spans="1:4" x14ac:dyDescent="0.25">
      <c r="A270" s="10">
        <v>23</v>
      </c>
      <c r="B270" s="10" t="s">
        <v>23</v>
      </c>
      <c r="C270" s="10">
        <v>2029</v>
      </c>
      <c r="D270" s="40">
        <f>SUMIFS(Registre!$P$3:$P$15000,Registre!$A$3:$A$15000,23,Registre!$B$3:$B$15000,"septembre",Registre!$C$3:$C$15000,2029)</f>
        <v>0</v>
      </c>
    </row>
    <row r="271" spans="1:4" x14ac:dyDescent="0.25">
      <c r="A271" s="10">
        <v>24</v>
      </c>
      <c r="B271" s="10" t="s">
        <v>23</v>
      </c>
      <c r="C271" s="10">
        <v>2029</v>
      </c>
      <c r="D271" s="40">
        <f>SUMIFS(Registre!$P$3:$P$15000,Registre!$A$3:$A$15000,24,Registre!$B$3:$B$15000,"septembre",Registre!$C$3:$C$15000,2029)</f>
        <v>0</v>
      </c>
    </row>
    <row r="272" spans="1:4" x14ac:dyDescent="0.25">
      <c r="A272" s="10">
        <v>25</v>
      </c>
      <c r="B272" s="10" t="s">
        <v>23</v>
      </c>
      <c r="C272" s="10">
        <v>2029</v>
      </c>
      <c r="D272" s="40">
        <f>SUMIFS(Registre!$P$3:$P$15000,Registre!$A$3:$A$15000,25,Registre!$B$3:$B$15000,"septembre",Registre!$C$3:$C$15000,2029)</f>
        <v>0</v>
      </c>
    </row>
    <row r="273" spans="1:4" x14ac:dyDescent="0.25">
      <c r="A273" s="10">
        <v>26</v>
      </c>
      <c r="B273" s="10" t="s">
        <v>23</v>
      </c>
      <c r="C273" s="10">
        <v>2029</v>
      </c>
      <c r="D273" s="40">
        <f>SUMIFS(Registre!$P$3:$P$15000,Registre!$A$3:$A$15000,26,Registre!$B$3:$B$15000,"septembre",Registre!$C$3:$C$15000,2029)</f>
        <v>0</v>
      </c>
    </row>
    <row r="274" spans="1:4" x14ac:dyDescent="0.25">
      <c r="A274" s="10">
        <v>27</v>
      </c>
      <c r="B274" s="10" t="s">
        <v>23</v>
      </c>
      <c r="C274" s="10">
        <v>2029</v>
      </c>
      <c r="D274" s="40">
        <f>SUMIFS(Registre!$P$3:$P$15000,Registre!$A$3:$A$15000,27,Registre!$B$3:$B$15000,"septembre",Registre!$C$3:$C$15000,2029)</f>
        <v>0</v>
      </c>
    </row>
    <row r="275" spans="1:4" x14ac:dyDescent="0.25">
      <c r="A275" s="10">
        <v>28</v>
      </c>
      <c r="B275" s="10" t="s">
        <v>23</v>
      </c>
      <c r="C275" s="10">
        <v>2029</v>
      </c>
      <c r="D275" s="40">
        <f>SUMIFS(Registre!$P$3:$P$15000,Registre!$A$3:$A$15000,28,Registre!$B$3:$B$15000,"septembre",Registre!$C$3:$C$15000,2029)</f>
        <v>0</v>
      </c>
    </row>
    <row r="276" spans="1:4" x14ac:dyDescent="0.25">
      <c r="A276" s="10">
        <v>29</v>
      </c>
      <c r="B276" s="10" t="s">
        <v>23</v>
      </c>
      <c r="C276" s="10">
        <v>2029</v>
      </c>
      <c r="D276" s="40">
        <f>SUMIFS(Registre!$P$3:$P$15000,Registre!$A$3:$A$15000,29,Registre!$B$3:$B$15000,"septembre",Registre!$C$3:$C$15000,2029)</f>
        <v>0</v>
      </c>
    </row>
    <row r="277" spans="1:4" x14ac:dyDescent="0.25">
      <c r="A277" s="10">
        <v>30</v>
      </c>
      <c r="B277" s="10" t="s">
        <v>23</v>
      </c>
      <c r="C277" s="10">
        <v>2029</v>
      </c>
      <c r="D277" s="40">
        <f>SUMIFS(Registre!$P$3:$P$15000,Registre!$A$3:$A$15000,30,Registre!$B$3:$B$15000,"septembre",Registre!$C$3:$C$15000,2029)</f>
        <v>0</v>
      </c>
    </row>
    <row r="278" spans="1:4" x14ac:dyDescent="0.25">
      <c r="A278" s="11">
        <v>1</v>
      </c>
      <c r="B278" s="11" t="s">
        <v>24</v>
      </c>
      <c r="C278" s="11">
        <v>2029</v>
      </c>
      <c r="D278" s="41">
        <f>SUMIFS(Registre!$P$3:$P$15000,Registre!$A$3:$A$15000,1,Registre!$B$3:$B$15000,"octobre",Registre!$C$3:$C$15000,2029)</f>
        <v>0</v>
      </c>
    </row>
    <row r="279" spans="1:4" x14ac:dyDescent="0.25">
      <c r="A279" s="11">
        <v>2</v>
      </c>
      <c r="B279" s="11" t="s">
        <v>24</v>
      </c>
      <c r="C279" s="11">
        <v>2029</v>
      </c>
      <c r="D279" s="41">
        <f>SUMIFS(Registre!$P$3:$P$15000,Registre!$A$3:$A$15000,2,Registre!$B$3:$B$15000,"octobre",Registre!$C$3:$C$15000,2029)</f>
        <v>0</v>
      </c>
    </row>
    <row r="280" spans="1:4" x14ac:dyDescent="0.25">
      <c r="A280" s="11">
        <v>3</v>
      </c>
      <c r="B280" s="11" t="s">
        <v>24</v>
      </c>
      <c r="C280" s="11">
        <v>2029</v>
      </c>
      <c r="D280" s="41">
        <f>SUMIFS(Registre!$P$3:$P$15000,Registre!$A$3:$A$15000,3,Registre!$B$3:$B$15000,"octobre",Registre!$C$3:$C$15000,2029)</f>
        <v>0</v>
      </c>
    </row>
    <row r="281" spans="1:4" x14ac:dyDescent="0.25">
      <c r="A281" s="11">
        <v>4</v>
      </c>
      <c r="B281" s="11" t="s">
        <v>24</v>
      </c>
      <c r="C281" s="11">
        <v>2029</v>
      </c>
      <c r="D281" s="41">
        <f>SUMIFS(Registre!$P$3:$P$15000,Registre!$A$3:$A$15000,4,Registre!$B$3:$B$15000,"octobre",Registre!$C$3:$C$15000,2029)</f>
        <v>0</v>
      </c>
    </row>
    <row r="282" spans="1:4" x14ac:dyDescent="0.25">
      <c r="A282" s="11">
        <v>5</v>
      </c>
      <c r="B282" s="11" t="s">
        <v>24</v>
      </c>
      <c r="C282" s="11">
        <v>2029</v>
      </c>
      <c r="D282" s="41">
        <f>SUMIFS(Registre!$P$3:$P$15000,Registre!$A$3:$A$15000,5,Registre!$B$3:$B$15000,"octobre",Registre!$C$3:$C$15000,2029)</f>
        <v>0</v>
      </c>
    </row>
    <row r="283" spans="1:4" x14ac:dyDescent="0.25">
      <c r="A283" s="11">
        <v>6</v>
      </c>
      <c r="B283" s="11" t="s">
        <v>24</v>
      </c>
      <c r="C283" s="11">
        <v>2029</v>
      </c>
      <c r="D283" s="41">
        <f>SUMIFS(Registre!$P$3:$P$15000,Registre!$A$3:$A$15000,6,Registre!$B$3:$B$15000,"octobre",Registre!$C$3:$C$15000,2029)</f>
        <v>0</v>
      </c>
    </row>
    <row r="284" spans="1:4" x14ac:dyDescent="0.25">
      <c r="A284" s="11">
        <v>7</v>
      </c>
      <c r="B284" s="11" t="s">
        <v>24</v>
      </c>
      <c r="C284" s="11">
        <v>2029</v>
      </c>
      <c r="D284" s="41">
        <f>SUMIFS(Registre!$P$3:$P$15000,Registre!$A$3:$A$15000,7,Registre!$B$3:$B$15000,"octobre",Registre!$C$3:$C$15000,2029)</f>
        <v>0</v>
      </c>
    </row>
    <row r="285" spans="1:4" x14ac:dyDescent="0.25">
      <c r="A285" s="11">
        <v>8</v>
      </c>
      <c r="B285" s="11" t="s">
        <v>24</v>
      </c>
      <c r="C285" s="11">
        <v>2029</v>
      </c>
      <c r="D285" s="41">
        <f>SUMIFS(Registre!$P$3:$P$15000,Registre!$A$3:$A$15000,8,Registre!$B$3:$B$15000,"octobre",Registre!$C$3:$C$15000,2029)</f>
        <v>0</v>
      </c>
    </row>
    <row r="286" spans="1:4" x14ac:dyDescent="0.25">
      <c r="A286" s="11">
        <v>9</v>
      </c>
      <c r="B286" s="11" t="s">
        <v>24</v>
      </c>
      <c r="C286" s="11">
        <v>2029</v>
      </c>
      <c r="D286" s="41">
        <f>SUMIFS(Registre!$P$3:$P$15000,Registre!$A$3:$A$15000,9,Registre!$B$3:$B$15000,"octobre",Registre!$C$3:$C$15000,2029)</f>
        <v>0</v>
      </c>
    </row>
    <row r="287" spans="1:4" x14ac:dyDescent="0.25">
      <c r="A287" s="11">
        <v>10</v>
      </c>
      <c r="B287" s="11" t="s">
        <v>24</v>
      </c>
      <c r="C287" s="11">
        <v>2029</v>
      </c>
      <c r="D287" s="41">
        <f>SUMIFS(Registre!$P$3:$P$15000,Registre!$A$3:$A$15000,10,Registre!$B$3:$B$15000,"octobre",Registre!$C$3:$C$15000,2029)</f>
        <v>0</v>
      </c>
    </row>
    <row r="288" spans="1:4" x14ac:dyDescent="0.25">
      <c r="A288" s="11">
        <v>11</v>
      </c>
      <c r="B288" s="11" t="s">
        <v>24</v>
      </c>
      <c r="C288" s="11">
        <v>2029</v>
      </c>
      <c r="D288" s="41">
        <f>SUMIFS(Registre!$P$3:$P$15000,Registre!$A$3:$A$15000,11,Registre!$B$3:$B$15000,"octobre",Registre!$C$3:$C$15000,2029)</f>
        <v>0</v>
      </c>
    </row>
    <row r="289" spans="1:4" x14ac:dyDescent="0.25">
      <c r="A289" s="11">
        <v>12</v>
      </c>
      <c r="B289" s="11" t="s">
        <v>24</v>
      </c>
      <c r="C289" s="11">
        <v>2029</v>
      </c>
      <c r="D289" s="41">
        <f>SUMIFS(Registre!$P$3:$P$15000,Registre!$A$3:$A$15000,12,Registre!$B$3:$B$15000,"octobre",Registre!$C$3:$C$15000,2029)</f>
        <v>0</v>
      </c>
    </row>
    <row r="290" spans="1:4" x14ac:dyDescent="0.25">
      <c r="A290" s="11">
        <v>13</v>
      </c>
      <c r="B290" s="11" t="s">
        <v>24</v>
      </c>
      <c r="C290" s="11">
        <v>2029</v>
      </c>
      <c r="D290" s="41">
        <f>SUMIFS(Registre!$P$3:$P$15000,Registre!$A$3:$A$15000,13,Registre!$B$3:$B$15000,"octobre",Registre!$C$3:$C$15000,2029)</f>
        <v>0</v>
      </c>
    </row>
    <row r="291" spans="1:4" x14ac:dyDescent="0.25">
      <c r="A291" s="11">
        <v>14</v>
      </c>
      <c r="B291" s="11" t="s">
        <v>24</v>
      </c>
      <c r="C291" s="11">
        <v>2029</v>
      </c>
      <c r="D291" s="41">
        <f>SUMIFS(Registre!$P$3:$P$15000,Registre!$A$3:$A$15000,14,Registre!$B$3:$B$15000,"octobre",Registre!$C$3:$C$15000,2029)</f>
        <v>0</v>
      </c>
    </row>
    <row r="292" spans="1:4" x14ac:dyDescent="0.25">
      <c r="A292" s="11">
        <v>15</v>
      </c>
      <c r="B292" s="11" t="s">
        <v>24</v>
      </c>
      <c r="C292" s="11">
        <v>2029</v>
      </c>
      <c r="D292" s="41">
        <f>SUMIFS(Registre!$P$3:$P$15000,Registre!$A$3:$A$15000,15,Registre!$B$3:$B$15000,"octobre",Registre!$C$3:$C$15000,2029)</f>
        <v>0</v>
      </c>
    </row>
    <row r="293" spans="1:4" x14ac:dyDescent="0.25">
      <c r="A293" s="11">
        <v>16</v>
      </c>
      <c r="B293" s="11" t="s">
        <v>24</v>
      </c>
      <c r="C293" s="11">
        <v>2029</v>
      </c>
      <c r="D293" s="41">
        <f>SUMIFS(Registre!$P$3:$P$15000,Registre!$A$3:$A$15000,16,Registre!$B$3:$B$15000,"octobre",Registre!$C$3:$C$15000,2029)</f>
        <v>0</v>
      </c>
    </row>
    <row r="294" spans="1:4" x14ac:dyDescent="0.25">
      <c r="A294" s="11">
        <v>17</v>
      </c>
      <c r="B294" s="11" t="s">
        <v>24</v>
      </c>
      <c r="C294" s="11">
        <v>2029</v>
      </c>
      <c r="D294" s="41">
        <f>SUMIFS(Registre!$P$3:$P$15000,Registre!$A$3:$A$15000,17,Registre!$B$3:$B$15000,"octobre",Registre!$C$3:$C$15000,2029)</f>
        <v>0</v>
      </c>
    </row>
    <row r="295" spans="1:4" x14ac:dyDescent="0.25">
      <c r="A295" s="11">
        <v>18</v>
      </c>
      <c r="B295" s="11" t="s">
        <v>24</v>
      </c>
      <c r="C295" s="11">
        <v>2029</v>
      </c>
      <c r="D295" s="41">
        <f>SUMIFS(Registre!$P$3:$P$15000,Registre!$A$3:$A$15000,18,Registre!$B$3:$B$15000,"octobre",Registre!$C$3:$C$15000,2029)</f>
        <v>0</v>
      </c>
    </row>
    <row r="296" spans="1:4" x14ac:dyDescent="0.25">
      <c r="A296" s="11">
        <v>19</v>
      </c>
      <c r="B296" s="11" t="s">
        <v>24</v>
      </c>
      <c r="C296" s="11">
        <v>2029</v>
      </c>
      <c r="D296" s="41">
        <f>SUMIFS(Registre!$P$3:$P$15000,Registre!$A$3:$A$15000,19,Registre!$B$3:$B$15000,"octobre",Registre!$C$3:$C$15000,2029)</f>
        <v>0</v>
      </c>
    </row>
    <row r="297" spans="1:4" x14ac:dyDescent="0.25">
      <c r="A297" s="11">
        <v>20</v>
      </c>
      <c r="B297" s="11" t="s">
        <v>24</v>
      </c>
      <c r="C297" s="11">
        <v>2029</v>
      </c>
      <c r="D297" s="41">
        <f>SUMIFS(Registre!$P$3:$P$15000,Registre!$A$3:$A$15000,20,Registre!$B$3:$B$15000,"octobre",Registre!$C$3:$C$15000,2029)</f>
        <v>0</v>
      </c>
    </row>
    <row r="298" spans="1:4" x14ac:dyDescent="0.25">
      <c r="A298" s="11">
        <v>21</v>
      </c>
      <c r="B298" s="11" t="s">
        <v>24</v>
      </c>
      <c r="C298" s="11">
        <v>2029</v>
      </c>
      <c r="D298" s="41">
        <f>SUMIFS(Registre!$P$3:$P$15000,Registre!$A$3:$A$15000,21,Registre!$B$3:$B$15000,"octobre",Registre!$C$3:$C$15000,2029)</f>
        <v>0</v>
      </c>
    </row>
    <row r="299" spans="1:4" x14ac:dyDescent="0.25">
      <c r="A299" s="11">
        <v>22</v>
      </c>
      <c r="B299" s="11" t="s">
        <v>24</v>
      </c>
      <c r="C299" s="11">
        <v>2029</v>
      </c>
      <c r="D299" s="41">
        <f>SUMIFS(Registre!$P$3:$P$15000,Registre!$A$3:$A$15000,22,Registre!$B$3:$B$15000,"octobre",Registre!$C$3:$C$15000,2029)</f>
        <v>0</v>
      </c>
    </row>
    <row r="300" spans="1:4" x14ac:dyDescent="0.25">
      <c r="A300" s="11">
        <v>23</v>
      </c>
      <c r="B300" s="11" t="s">
        <v>24</v>
      </c>
      <c r="C300" s="11">
        <v>2029</v>
      </c>
      <c r="D300" s="41">
        <f>SUMIFS(Registre!$P$3:$P$15000,Registre!$A$3:$A$15000,23,Registre!$B$3:$B$15000,"octobre",Registre!$C$3:$C$15000,2029)</f>
        <v>0</v>
      </c>
    </row>
    <row r="301" spans="1:4" x14ac:dyDescent="0.25">
      <c r="A301" s="11">
        <v>24</v>
      </c>
      <c r="B301" s="11" t="s">
        <v>24</v>
      </c>
      <c r="C301" s="11">
        <v>2029</v>
      </c>
      <c r="D301" s="41">
        <f>SUMIFS(Registre!$P$3:$P$15000,Registre!$A$3:$A$15000,24,Registre!$B$3:$B$15000,"octobre",Registre!$C$3:$C$15000,2029)</f>
        <v>0</v>
      </c>
    </row>
    <row r="302" spans="1:4" x14ac:dyDescent="0.25">
      <c r="A302" s="11">
        <v>25</v>
      </c>
      <c r="B302" s="11" t="s">
        <v>24</v>
      </c>
      <c r="C302" s="11">
        <v>2029</v>
      </c>
      <c r="D302" s="41">
        <f>SUMIFS(Registre!$P$3:$P$15000,Registre!$A$3:$A$15000,25,Registre!$B$3:$B$15000,"octobre",Registre!$C$3:$C$15000,2029)</f>
        <v>0</v>
      </c>
    </row>
    <row r="303" spans="1:4" x14ac:dyDescent="0.25">
      <c r="A303" s="11">
        <v>26</v>
      </c>
      <c r="B303" s="11" t="s">
        <v>24</v>
      </c>
      <c r="C303" s="11">
        <v>2029</v>
      </c>
      <c r="D303" s="41">
        <f>SUMIFS(Registre!$P$3:$P$15000,Registre!$A$3:$A$15000,26,Registre!$B$3:$B$15000,"octobre",Registre!$C$3:$C$15000,2029)</f>
        <v>0</v>
      </c>
    </row>
    <row r="304" spans="1:4" x14ac:dyDescent="0.25">
      <c r="A304" s="11">
        <v>27</v>
      </c>
      <c r="B304" s="11" t="s">
        <v>24</v>
      </c>
      <c r="C304" s="11">
        <v>2029</v>
      </c>
      <c r="D304" s="41">
        <f>SUMIFS(Registre!$P$3:$P$15000,Registre!$A$3:$A$15000,27,Registre!$B$3:$B$15000,"octobre",Registre!$C$3:$C$15000,2029)</f>
        <v>0</v>
      </c>
    </row>
    <row r="305" spans="1:4" x14ac:dyDescent="0.25">
      <c r="A305" s="11">
        <v>28</v>
      </c>
      <c r="B305" s="11" t="s">
        <v>24</v>
      </c>
      <c r="C305" s="11">
        <v>2029</v>
      </c>
      <c r="D305" s="41">
        <f>SUMIFS(Registre!$P$3:$P$15000,Registre!$A$3:$A$15000,28,Registre!$B$3:$B$15000,"octobre",Registre!$C$3:$C$15000,2029)</f>
        <v>0</v>
      </c>
    </row>
    <row r="306" spans="1:4" x14ac:dyDescent="0.25">
      <c r="A306" s="11">
        <v>29</v>
      </c>
      <c r="B306" s="11" t="s">
        <v>24</v>
      </c>
      <c r="C306" s="11">
        <v>2029</v>
      </c>
      <c r="D306" s="41">
        <f>SUMIFS(Registre!$P$3:$P$15000,Registre!$A$3:$A$15000,29,Registre!$B$3:$B$15000,"octobre",Registre!$C$3:$C$15000,2029)</f>
        <v>0</v>
      </c>
    </row>
    <row r="307" spans="1:4" x14ac:dyDescent="0.25">
      <c r="A307" s="11">
        <v>30</v>
      </c>
      <c r="B307" s="11" t="s">
        <v>24</v>
      </c>
      <c r="C307" s="11">
        <v>2029</v>
      </c>
      <c r="D307" s="41">
        <f>SUMIFS(Registre!$P$3:$P$15000,Registre!$A$3:$A$15000,30,Registre!$B$3:$B$15000,"octobre",Registre!$C$3:$C$15000,2029)</f>
        <v>0</v>
      </c>
    </row>
    <row r="308" spans="1:4" x14ac:dyDescent="0.25">
      <c r="A308" s="11">
        <v>31</v>
      </c>
      <c r="B308" s="11" t="s">
        <v>24</v>
      </c>
      <c r="C308" s="11">
        <v>2029</v>
      </c>
      <c r="D308" s="41">
        <f>SUMIFS(Registre!$P$3:$P$15000,Registre!$A$3:$A$15000,31,Registre!$B$3:$B$15000,"octobre",Registre!$C$3:$C$15000,2029)</f>
        <v>0</v>
      </c>
    </row>
    <row r="309" spans="1:4" x14ac:dyDescent="0.25">
      <c r="A309" s="10">
        <v>1</v>
      </c>
      <c r="B309" s="10" t="s">
        <v>25</v>
      </c>
      <c r="C309" s="10">
        <v>2029</v>
      </c>
      <c r="D309" s="40">
        <f>SUMIFS(Registre!$P$3:$P$15000,Registre!$A$3:$A$15000,1,Registre!$B$3:$B$15000,"novembre",Registre!$C$3:$C$15000,2029)</f>
        <v>0</v>
      </c>
    </row>
    <row r="310" spans="1:4" x14ac:dyDescent="0.25">
      <c r="A310" s="10">
        <v>2</v>
      </c>
      <c r="B310" s="10" t="s">
        <v>25</v>
      </c>
      <c r="C310" s="10">
        <v>2029</v>
      </c>
      <c r="D310" s="40">
        <f>SUMIFS(Registre!$P$3:$P$15000,Registre!$A$3:$A$15000,2,Registre!$B$3:$B$15000,"novembre",Registre!$C$3:$C$15000,2029)</f>
        <v>0</v>
      </c>
    </row>
    <row r="311" spans="1:4" x14ac:dyDescent="0.25">
      <c r="A311" s="10">
        <v>3</v>
      </c>
      <c r="B311" s="10" t="s">
        <v>25</v>
      </c>
      <c r="C311" s="10">
        <v>2029</v>
      </c>
      <c r="D311" s="40">
        <f>SUMIFS(Registre!$P$3:$P$15000,Registre!$A$3:$A$15000,3,Registre!$B$3:$B$15000,"novembre",Registre!$C$3:$C$15000,2029)</f>
        <v>0</v>
      </c>
    </row>
    <row r="312" spans="1:4" x14ac:dyDescent="0.25">
      <c r="A312" s="10">
        <v>4</v>
      </c>
      <c r="B312" s="10" t="s">
        <v>25</v>
      </c>
      <c r="C312" s="10">
        <v>2029</v>
      </c>
      <c r="D312" s="40">
        <f>SUMIFS(Registre!$P$3:$P$15000,Registre!$A$3:$A$15000,4,Registre!$B$3:$B$15000,"novembre",Registre!$C$3:$C$15000,2029)</f>
        <v>0</v>
      </c>
    </row>
    <row r="313" spans="1:4" x14ac:dyDescent="0.25">
      <c r="A313" s="10">
        <v>5</v>
      </c>
      <c r="B313" s="10" t="s">
        <v>25</v>
      </c>
      <c r="C313" s="10">
        <v>2029</v>
      </c>
      <c r="D313" s="40">
        <f>SUMIFS(Registre!$P$3:$P$15000,Registre!$A$3:$A$15000,5,Registre!$B$3:$B$15000,"novembre",Registre!$C$3:$C$15000,2029)</f>
        <v>0</v>
      </c>
    </row>
    <row r="314" spans="1:4" x14ac:dyDescent="0.25">
      <c r="A314" s="10">
        <v>6</v>
      </c>
      <c r="B314" s="10" t="s">
        <v>25</v>
      </c>
      <c r="C314" s="10">
        <v>2029</v>
      </c>
      <c r="D314" s="40">
        <f>SUMIFS(Registre!$P$3:$P$15000,Registre!$A$3:$A$15000,6,Registre!$B$3:$B$15000,"novembre",Registre!$C$3:$C$15000,2029)</f>
        <v>0</v>
      </c>
    </row>
    <row r="315" spans="1:4" x14ac:dyDescent="0.25">
      <c r="A315" s="10">
        <v>7</v>
      </c>
      <c r="B315" s="10" t="s">
        <v>25</v>
      </c>
      <c r="C315" s="10">
        <v>2029</v>
      </c>
      <c r="D315" s="40">
        <f>SUMIFS(Registre!$P$3:$P$15000,Registre!$A$3:$A$15000,7,Registre!$B$3:$B$15000,"novembre",Registre!$C$3:$C$15000,2029)</f>
        <v>0</v>
      </c>
    </row>
    <row r="316" spans="1:4" x14ac:dyDescent="0.25">
      <c r="A316" s="10">
        <v>8</v>
      </c>
      <c r="B316" s="10" t="s">
        <v>25</v>
      </c>
      <c r="C316" s="10">
        <v>2029</v>
      </c>
      <c r="D316" s="40">
        <f>SUMIFS(Registre!$P$3:$P$15000,Registre!$A$3:$A$15000,8,Registre!$B$3:$B$15000,"novembre",Registre!$C$3:$C$15000,2029)</f>
        <v>0</v>
      </c>
    </row>
    <row r="317" spans="1:4" x14ac:dyDescent="0.25">
      <c r="A317" s="10">
        <v>9</v>
      </c>
      <c r="B317" s="10" t="s">
        <v>25</v>
      </c>
      <c r="C317" s="10">
        <v>2029</v>
      </c>
      <c r="D317" s="40">
        <f>SUMIFS(Registre!$P$3:$P$15000,Registre!$A$3:$A$15000,9,Registre!$B$3:$B$15000,"novembre",Registre!$C$3:$C$15000,2029)</f>
        <v>0</v>
      </c>
    </row>
    <row r="318" spans="1:4" x14ac:dyDescent="0.25">
      <c r="A318" s="10">
        <v>10</v>
      </c>
      <c r="B318" s="10" t="s">
        <v>25</v>
      </c>
      <c r="C318" s="10">
        <v>2029</v>
      </c>
      <c r="D318" s="40">
        <f>SUMIFS(Registre!$P$3:$P$15000,Registre!$A$3:$A$15000,10,Registre!$B$3:$B$15000,"novembre",Registre!$C$3:$C$15000,2029)</f>
        <v>0</v>
      </c>
    </row>
    <row r="319" spans="1:4" x14ac:dyDescent="0.25">
      <c r="A319" s="10">
        <v>11</v>
      </c>
      <c r="B319" s="10" t="s">
        <v>25</v>
      </c>
      <c r="C319" s="10">
        <v>2029</v>
      </c>
      <c r="D319" s="40">
        <f>SUMIFS(Registre!$P$3:$P$15000,Registre!$A$3:$A$15000,11,Registre!$B$3:$B$15000,"novembre",Registre!$C$3:$C$15000,2029)</f>
        <v>0</v>
      </c>
    </row>
    <row r="320" spans="1:4" x14ac:dyDescent="0.25">
      <c r="A320" s="10">
        <v>12</v>
      </c>
      <c r="B320" s="10" t="s">
        <v>25</v>
      </c>
      <c r="C320" s="10">
        <v>2029</v>
      </c>
      <c r="D320" s="40">
        <f>SUMIFS(Registre!$P$3:$P$15000,Registre!$A$3:$A$15000,12,Registre!$B$3:$B$15000,"novembre",Registre!$C$3:$C$15000,2029)</f>
        <v>0</v>
      </c>
    </row>
    <row r="321" spans="1:4" x14ac:dyDescent="0.25">
      <c r="A321" s="10">
        <v>13</v>
      </c>
      <c r="B321" s="10" t="s">
        <v>25</v>
      </c>
      <c r="C321" s="10">
        <v>2029</v>
      </c>
      <c r="D321" s="40">
        <f>SUMIFS(Registre!$P$3:$P$15000,Registre!$A$3:$A$15000,13,Registre!$B$3:$B$15000,"novembre",Registre!$C$3:$C$15000,2029)</f>
        <v>0</v>
      </c>
    </row>
    <row r="322" spans="1:4" x14ac:dyDescent="0.25">
      <c r="A322" s="10">
        <v>14</v>
      </c>
      <c r="B322" s="10" t="s">
        <v>25</v>
      </c>
      <c r="C322" s="10">
        <v>2029</v>
      </c>
      <c r="D322" s="40">
        <f>SUMIFS(Registre!$P$3:$P$15000,Registre!$A$3:$A$15000,14,Registre!$B$3:$B$15000,"novembre",Registre!$C$3:$C$15000,2029)</f>
        <v>0</v>
      </c>
    </row>
    <row r="323" spans="1:4" x14ac:dyDescent="0.25">
      <c r="A323" s="10">
        <v>15</v>
      </c>
      <c r="B323" s="10" t="s">
        <v>25</v>
      </c>
      <c r="C323" s="10">
        <v>2029</v>
      </c>
      <c r="D323" s="40">
        <f>SUMIFS(Registre!$P$3:$P$15000,Registre!$A$3:$A$15000,15,Registre!$B$3:$B$15000,"novembre",Registre!$C$3:$C$15000,2029)</f>
        <v>0</v>
      </c>
    </row>
    <row r="324" spans="1:4" x14ac:dyDescent="0.25">
      <c r="A324" s="10">
        <v>16</v>
      </c>
      <c r="B324" s="10" t="s">
        <v>25</v>
      </c>
      <c r="C324" s="10">
        <v>2029</v>
      </c>
      <c r="D324" s="40">
        <f>SUMIFS(Registre!$P$3:$P$15000,Registre!$A$3:$A$15000,16,Registre!$B$3:$B$15000,"novembre",Registre!$C$3:$C$15000,2029)</f>
        <v>0</v>
      </c>
    </row>
    <row r="325" spans="1:4" x14ac:dyDescent="0.25">
      <c r="A325" s="10">
        <v>17</v>
      </c>
      <c r="B325" s="10" t="s">
        <v>25</v>
      </c>
      <c r="C325" s="10">
        <v>2029</v>
      </c>
      <c r="D325" s="40">
        <f>SUMIFS(Registre!$P$3:$P$15000,Registre!$A$3:$A$15000,17,Registre!$B$3:$B$15000,"novembre",Registre!$C$3:$C$15000,2029)</f>
        <v>0</v>
      </c>
    </row>
    <row r="326" spans="1:4" x14ac:dyDescent="0.25">
      <c r="A326" s="10">
        <v>18</v>
      </c>
      <c r="B326" s="10" t="s">
        <v>25</v>
      </c>
      <c r="C326" s="10">
        <v>2029</v>
      </c>
      <c r="D326" s="40">
        <f>SUMIFS(Registre!$P$3:$P$15000,Registre!$A$3:$A$15000,18,Registre!$B$3:$B$15000,"novembre",Registre!$C$3:$C$15000,2029)</f>
        <v>0</v>
      </c>
    </row>
    <row r="327" spans="1:4" x14ac:dyDescent="0.25">
      <c r="A327" s="10">
        <v>19</v>
      </c>
      <c r="B327" s="10" t="s">
        <v>25</v>
      </c>
      <c r="C327" s="10">
        <v>2029</v>
      </c>
      <c r="D327" s="40">
        <f>SUMIFS(Registre!$P$3:$P$15000,Registre!$A$3:$A$15000,19,Registre!$B$3:$B$15000,"novembre",Registre!$C$3:$C$15000,2029)</f>
        <v>0</v>
      </c>
    </row>
    <row r="328" spans="1:4" x14ac:dyDescent="0.25">
      <c r="A328" s="10">
        <v>20</v>
      </c>
      <c r="B328" s="10" t="s">
        <v>25</v>
      </c>
      <c r="C328" s="10">
        <v>2029</v>
      </c>
      <c r="D328" s="40">
        <f>SUMIFS(Registre!$P$3:$P$15000,Registre!$A$3:$A$15000,20,Registre!$B$3:$B$15000,"novembre",Registre!$C$3:$C$15000,2029)</f>
        <v>0</v>
      </c>
    </row>
    <row r="329" spans="1:4" x14ac:dyDescent="0.25">
      <c r="A329" s="10">
        <v>21</v>
      </c>
      <c r="B329" s="10" t="s">
        <v>25</v>
      </c>
      <c r="C329" s="10">
        <v>2029</v>
      </c>
      <c r="D329" s="40">
        <f>SUMIFS(Registre!$P$3:$P$15000,Registre!$A$3:$A$15000,21,Registre!$B$3:$B$15000,"novembre",Registre!$C$3:$C$15000,2029)</f>
        <v>0</v>
      </c>
    </row>
    <row r="330" spans="1:4" x14ac:dyDescent="0.25">
      <c r="A330" s="10">
        <v>22</v>
      </c>
      <c r="B330" s="10" t="s">
        <v>25</v>
      </c>
      <c r="C330" s="10">
        <v>2029</v>
      </c>
      <c r="D330" s="40">
        <f>SUMIFS(Registre!$P$3:$P$15000,Registre!$A$3:$A$15000,22,Registre!$B$3:$B$15000,"novembre",Registre!$C$3:$C$15000,2029)</f>
        <v>0</v>
      </c>
    </row>
    <row r="331" spans="1:4" x14ac:dyDescent="0.25">
      <c r="A331" s="10">
        <v>23</v>
      </c>
      <c r="B331" s="10" t="s">
        <v>25</v>
      </c>
      <c r="C331" s="10">
        <v>2029</v>
      </c>
      <c r="D331" s="40">
        <f>SUMIFS(Registre!$P$3:$P$15000,Registre!$A$3:$A$15000,23,Registre!$B$3:$B$15000,"novembre",Registre!$C$3:$C$15000,2029)</f>
        <v>0</v>
      </c>
    </row>
    <row r="332" spans="1:4" x14ac:dyDescent="0.25">
      <c r="A332" s="10">
        <v>24</v>
      </c>
      <c r="B332" s="10" t="s">
        <v>25</v>
      </c>
      <c r="C332" s="10">
        <v>2029</v>
      </c>
      <c r="D332" s="40">
        <f>SUMIFS(Registre!$P$3:$P$15000,Registre!$A$3:$A$15000,24,Registre!$B$3:$B$15000,"novembre",Registre!$C$3:$C$15000,2029)</f>
        <v>0</v>
      </c>
    </row>
    <row r="333" spans="1:4" x14ac:dyDescent="0.25">
      <c r="A333" s="10">
        <v>25</v>
      </c>
      <c r="B333" s="10" t="s">
        <v>25</v>
      </c>
      <c r="C333" s="10">
        <v>2029</v>
      </c>
      <c r="D333" s="40">
        <f>SUMIFS(Registre!$P$3:$P$15000,Registre!$A$3:$A$15000,25,Registre!$B$3:$B$15000,"novembre",Registre!$C$3:$C$15000,2029)</f>
        <v>0</v>
      </c>
    </row>
    <row r="334" spans="1:4" x14ac:dyDescent="0.25">
      <c r="A334" s="10">
        <v>26</v>
      </c>
      <c r="B334" s="10" t="s">
        <v>25</v>
      </c>
      <c r="C334" s="10">
        <v>2029</v>
      </c>
      <c r="D334" s="40">
        <f>SUMIFS(Registre!$P$3:$P$15000,Registre!$A$3:$A$15000,26,Registre!$B$3:$B$15000,"novembre",Registre!$C$3:$C$15000,2029)</f>
        <v>0</v>
      </c>
    </row>
    <row r="335" spans="1:4" x14ac:dyDescent="0.25">
      <c r="A335" s="10">
        <v>27</v>
      </c>
      <c r="B335" s="10" t="s">
        <v>25</v>
      </c>
      <c r="C335" s="10">
        <v>2029</v>
      </c>
      <c r="D335" s="40">
        <f>SUMIFS(Registre!$P$3:$P$15000,Registre!$A$3:$A$15000,27,Registre!$B$3:$B$15000,"novembre",Registre!$C$3:$C$15000,2029)</f>
        <v>0</v>
      </c>
    </row>
    <row r="336" spans="1:4" x14ac:dyDescent="0.25">
      <c r="A336" s="10">
        <v>28</v>
      </c>
      <c r="B336" s="10" t="s">
        <v>25</v>
      </c>
      <c r="C336" s="10">
        <v>2029</v>
      </c>
      <c r="D336" s="40">
        <f>SUMIFS(Registre!$P$3:$P$15000,Registre!$A$3:$A$15000,28,Registre!$B$3:$B$15000,"novembre",Registre!$C$3:$C$15000,2029)</f>
        <v>0</v>
      </c>
    </row>
    <row r="337" spans="1:4" x14ac:dyDescent="0.25">
      <c r="A337" s="10">
        <v>29</v>
      </c>
      <c r="B337" s="10" t="s">
        <v>25</v>
      </c>
      <c r="C337" s="10">
        <v>2029</v>
      </c>
      <c r="D337" s="40">
        <f>SUMIFS(Registre!$P$3:$P$15000,Registre!$A$3:$A$15000,29,Registre!$B$3:$B$15000,"novembre",Registre!$C$3:$C$15000,2029)</f>
        <v>0</v>
      </c>
    </row>
    <row r="338" spans="1:4" x14ac:dyDescent="0.25">
      <c r="A338" s="10">
        <v>30</v>
      </c>
      <c r="B338" s="10" t="s">
        <v>25</v>
      </c>
      <c r="C338" s="10">
        <v>2029</v>
      </c>
      <c r="D338" s="40">
        <f>SUMIFS(Registre!$P$3:$P$15000,Registre!$A$3:$A$15000,30,Registre!$B$3:$B$15000,"novembre",Registre!$C$3:$C$15000,2029)</f>
        <v>0</v>
      </c>
    </row>
    <row r="339" spans="1:4" x14ac:dyDescent="0.25">
      <c r="A339" s="11">
        <v>1</v>
      </c>
      <c r="B339" s="11" t="s">
        <v>26</v>
      </c>
      <c r="C339" s="11">
        <v>2029</v>
      </c>
      <c r="D339" s="41">
        <f>SUMIFS(Registre!$P$3:$P$15000,Registre!$A$3:$A$15000,1,Registre!$B$3:$B$15000,"décembre",Registre!$C$3:$C$15000,2029)</f>
        <v>0</v>
      </c>
    </row>
    <row r="340" spans="1:4" x14ac:dyDescent="0.25">
      <c r="A340" s="11">
        <v>2</v>
      </c>
      <c r="B340" s="11" t="s">
        <v>26</v>
      </c>
      <c r="C340" s="11">
        <v>2029</v>
      </c>
      <c r="D340" s="41">
        <f>SUMIFS(Registre!$P$3:$P$15000,Registre!$A$3:$A$15000,2,Registre!$B$3:$B$15000,"décembre",Registre!$C$3:$C$15000,2029)</f>
        <v>0</v>
      </c>
    </row>
    <row r="341" spans="1:4" x14ac:dyDescent="0.25">
      <c r="A341" s="11">
        <v>3</v>
      </c>
      <c r="B341" s="11" t="s">
        <v>26</v>
      </c>
      <c r="C341" s="11">
        <v>2029</v>
      </c>
      <c r="D341" s="41">
        <f>SUMIFS(Registre!$P$3:$P$15000,Registre!$A$3:$A$15000,3,Registre!$B$3:$B$15000,"décembre",Registre!$C$3:$C$15000,2029)</f>
        <v>0</v>
      </c>
    </row>
    <row r="342" spans="1:4" x14ac:dyDescent="0.25">
      <c r="A342" s="11">
        <v>4</v>
      </c>
      <c r="B342" s="11" t="s">
        <v>26</v>
      </c>
      <c r="C342" s="11">
        <v>2029</v>
      </c>
      <c r="D342" s="41">
        <f>SUMIFS(Registre!$P$3:$P$15000,Registre!$A$3:$A$15000,4,Registre!$B$3:$B$15000,"décembre",Registre!$C$3:$C$15000,2029)</f>
        <v>0</v>
      </c>
    </row>
    <row r="343" spans="1:4" x14ac:dyDescent="0.25">
      <c r="A343" s="11">
        <v>5</v>
      </c>
      <c r="B343" s="11" t="s">
        <v>26</v>
      </c>
      <c r="C343" s="11">
        <v>2029</v>
      </c>
      <c r="D343" s="41">
        <f>SUMIFS(Registre!$P$3:$P$15000,Registre!$A$3:$A$15000,5,Registre!$B$3:$B$15000,"décembre",Registre!$C$3:$C$15000,2029)</f>
        <v>0</v>
      </c>
    </row>
    <row r="344" spans="1:4" x14ac:dyDescent="0.25">
      <c r="A344" s="11">
        <v>6</v>
      </c>
      <c r="B344" s="11" t="s">
        <v>26</v>
      </c>
      <c r="C344" s="11">
        <v>2029</v>
      </c>
      <c r="D344" s="41">
        <f>SUMIFS(Registre!$P$3:$P$15000,Registre!$A$3:$A$15000,6,Registre!$B$3:$B$15000,"décembre",Registre!$C$3:$C$15000,2029)</f>
        <v>0</v>
      </c>
    </row>
    <row r="345" spans="1:4" x14ac:dyDescent="0.25">
      <c r="A345" s="11">
        <v>7</v>
      </c>
      <c r="B345" s="11" t="s">
        <v>26</v>
      </c>
      <c r="C345" s="11">
        <v>2029</v>
      </c>
      <c r="D345" s="41">
        <f>SUMIFS(Registre!$P$3:$P$15000,Registre!$A$3:$A$15000,7,Registre!$B$3:$B$15000,"décembre",Registre!$C$3:$C$15000,2029)</f>
        <v>0</v>
      </c>
    </row>
    <row r="346" spans="1:4" x14ac:dyDescent="0.25">
      <c r="A346" s="11">
        <v>8</v>
      </c>
      <c r="B346" s="11" t="s">
        <v>26</v>
      </c>
      <c r="C346" s="11">
        <v>2029</v>
      </c>
      <c r="D346" s="41">
        <f>SUMIFS(Registre!$P$3:$P$15000,Registre!$A$3:$A$15000,8,Registre!$B$3:$B$15000,"décembre",Registre!$C$3:$C$15000,2029)</f>
        <v>0</v>
      </c>
    </row>
    <row r="347" spans="1:4" x14ac:dyDescent="0.25">
      <c r="A347" s="11">
        <v>9</v>
      </c>
      <c r="B347" s="11" t="s">
        <v>26</v>
      </c>
      <c r="C347" s="11">
        <v>2029</v>
      </c>
      <c r="D347" s="41">
        <f>SUMIFS(Registre!$P$3:$P$15000,Registre!$A$3:$A$15000,9,Registre!$B$3:$B$15000,"décembre",Registre!$C$3:$C$15000,2029)</f>
        <v>0</v>
      </c>
    </row>
    <row r="348" spans="1:4" x14ac:dyDescent="0.25">
      <c r="A348" s="11">
        <v>10</v>
      </c>
      <c r="B348" s="11" t="s">
        <v>26</v>
      </c>
      <c r="C348" s="11">
        <v>2029</v>
      </c>
      <c r="D348" s="41">
        <f>SUMIFS(Registre!$P$3:$P$15000,Registre!$A$3:$A$15000,10,Registre!$B$3:$B$15000,"décembre",Registre!$C$3:$C$15000,2029)</f>
        <v>0</v>
      </c>
    </row>
    <row r="349" spans="1:4" x14ac:dyDescent="0.25">
      <c r="A349" s="11">
        <v>11</v>
      </c>
      <c r="B349" s="11" t="s">
        <v>26</v>
      </c>
      <c r="C349" s="11">
        <v>2029</v>
      </c>
      <c r="D349" s="41">
        <f>SUMIFS(Registre!$P$3:$P$15000,Registre!$A$3:$A$15000,11,Registre!$B$3:$B$15000,"décembre",Registre!$C$3:$C$15000,2029)</f>
        <v>0</v>
      </c>
    </row>
    <row r="350" spans="1:4" x14ac:dyDescent="0.25">
      <c r="A350" s="11">
        <v>12</v>
      </c>
      <c r="B350" s="11" t="s">
        <v>26</v>
      </c>
      <c r="C350" s="11">
        <v>2029</v>
      </c>
      <c r="D350" s="41">
        <f>SUMIFS(Registre!$P$3:$P$15000,Registre!$A$3:$A$15000,12,Registre!$B$3:$B$15000,"décembre",Registre!$C$3:$C$15000,2029)</f>
        <v>0</v>
      </c>
    </row>
    <row r="351" spans="1:4" x14ac:dyDescent="0.25">
      <c r="A351" s="11">
        <v>13</v>
      </c>
      <c r="B351" s="11" t="s">
        <v>26</v>
      </c>
      <c r="C351" s="11">
        <v>2029</v>
      </c>
      <c r="D351" s="41">
        <f>SUMIFS(Registre!$P$3:$P$15000,Registre!$A$3:$A$15000,13,Registre!$B$3:$B$15000,"décembre",Registre!$C$3:$C$15000,2029)</f>
        <v>0</v>
      </c>
    </row>
    <row r="352" spans="1:4" x14ac:dyDescent="0.25">
      <c r="A352" s="11">
        <v>14</v>
      </c>
      <c r="B352" s="11" t="s">
        <v>26</v>
      </c>
      <c r="C352" s="11">
        <v>2029</v>
      </c>
      <c r="D352" s="41">
        <f>SUMIFS(Registre!$P$3:$P$15000,Registre!$A$3:$A$15000,14,Registre!$B$3:$B$15000,"décembre",Registre!$C$3:$C$15000,2029)</f>
        <v>0</v>
      </c>
    </row>
    <row r="353" spans="1:4" x14ac:dyDescent="0.25">
      <c r="A353" s="11">
        <v>15</v>
      </c>
      <c r="B353" s="11" t="s">
        <v>26</v>
      </c>
      <c r="C353" s="11">
        <v>2029</v>
      </c>
      <c r="D353" s="41">
        <f>SUMIFS(Registre!$P$3:$P$15000,Registre!$A$3:$A$15000,15,Registre!$B$3:$B$15000,"décembre",Registre!$C$3:$C$15000,2029)</f>
        <v>0</v>
      </c>
    </row>
    <row r="354" spans="1:4" x14ac:dyDescent="0.25">
      <c r="A354" s="11">
        <v>16</v>
      </c>
      <c r="B354" s="11" t="s">
        <v>26</v>
      </c>
      <c r="C354" s="11">
        <v>2029</v>
      </c>
      <c r="D354" s="41">
        <f>SUMIFS(Registre!$P$3:$P$15000,Registre!$A$3:$A$15000,16,Registre!$B$3:$B$15000,"décembre",Registre!$C$3:$C$15000,2029)</f>
        <v>0</v>
      </c>
    </row>
    <row r="355" spans="1:4" x14ac:dyDescent="0.25">
      <c r="A355" s="11">
        <v>17</v>
      </c>
      <c r="B355" s="11" t="s">
        <v>26</v>
      </c>
      <c r="C355" s="11">
        <v>2029</v>
      </c>
      <c r="D355" s="41">
        <f>SUMIFS(Registre!$P$3:$P$15000,Registre!$A$3:$A$15000,17,Registre!$B$3:$B$15000,"décembre",Registre!$C$3:$C$15000,2029)</f>
        <v>0</v>
      </c>
    </row>
    <row r="356" spans="1:4" x14ac:dyDescent="0.25">
      <c r="A356" s="11">
        <v>18</v>
      </c>
      <c r="B356" s="11" t="s">
        <v>26</v>
      </c>
      <c r="C356" s="11">
        <v>2029</v>
      </c>
      <c r="D356" s="41">
        <f>SUMIFS(Registre!$P$3:$P$15000,Registre!$A$3:$A$15000,18,Registre!$B$3:$B$15000,"décembre",Registre!$C$3:$C$15000,2029)</f>
        <v>0</v>
      </c>
    </row>
    <row r="357" spans="1:4" x14ac:dyDescent="0.25">
      <c r="A357" s="11">
        <v>19</v>
      </c>
      <c r="B357" s="11" t="s">
        <v>26</v>
      </c>
      <c r="C357" s="11">
        <v>2029</v>
      </c>
      <c r="D357" s="41">
        <f>SUMIFS(Registre!$P$3:$P$15000,Registre!$A$3:$A$15000,19,Registre!$B$3:$B$15000,"décembre",Registre!$C$3:$C$15000,2029)</f>
        <v>0</v>
      </c>
    </row>
    <row r="358" spans="1:4" x14ac:dyDescent="0.25">
      <c r="A358" s="11">
        <v>20</v>
      </c>
      <c r="B358" s="11" t="s">
        <v>26</v>
      </c>
      <c r="C358" s="11">
        <v>2029</v>
      </c>
      <c r="D358" s="41">
        <f>SUMIFS(Registre!$P$3:$P$15000,Registre!$A$3:$A$15000,20,Registre!$B$3:$B$15000,"décembre",Registre!$C$3:$C$15000,2029)</f>
        <v>0</v>
      </c>
    </row>
    <row r="359" spans="1:4" x14ac:dyDescent="0.25">
      <c r="A359" s="11">
        <v>21</v>
      </c>
      <c r="B359" s="11" t="s">
        <v>26</v>
      </c>
      <c r="C359" s="11">
        <v>2029</v>
      </c>
      <c r="D359" s="41">
        <f>SUMIFS(Registre!$P$3:$P$15000,Registre!$A$3:$A$15000,21,Registre!$B$3:$B$15000,"décembre",Registre!$C$3:$C$15000,2029)</f>
        <v>0</v>
      </c>
    </row>
    <row r="360" spans="1:4" x14ac:dyDescent="0.25">
      <c r="A360" s="11">
        <v>22</v>
      </c>
      <c r="B360" s="11" t="s">
        <v>26</v>
      </c>
      <c r="C360" s="11">
        <v>2029</v>
      </c>
      <c r="D360" s="41">
        <f>SUMIFS(Registre!$P$3:$P$15000,Registre!$A$3:$A$15000,22,Registre!$B$3:$B$15000,"décembre",Registre!$C$3:$C$15000,2029)</f>
        <v>0</v>
      </c>
    </row>
    <row r="361" spans="1:4" x14ac:dyDescent="0.25">
      <c r="A361" s="11">
        <v>23</v>
      </c>
      <c r="B361" s="11" t="s">
        <v>26</v>
      </c>
      <c r="C361" s="11">
        <v>2029</v>
      </c>
      <c r="D361" s="41">
        <f>SUMIFS(Registre!$P$3:$P$15000,Registre!$A$3:$A$15000,23,Registre!$B$3:$B$15000,"décembre",Registre!$C$3:$C$15000,2029)</f>
        <v>0</v>
      </c>
    </row>
    <row r="362" spans="1:4" x14ac:dyDescent="0.25">
      <c r="A362" s="11">
        <v>24</v>
      </c>
      <c r="B362" s="11" t="s">
        <v>26</v>
      </c>
      <c r="C362" s="11">
        <v>2029</v>
      </c>
      <c r="D362" s="41">
        <f>SUMIFS(Registre!$P$3:$P$15000,Registre!$A$3:$A$15000,24,Registre!$B$3:$B$15000,"décembre",Registre!$C$3:$C$15000,2029)</f>
        <v>0</v>
      </c>
    </row>
    <row r="363" spans="1:4" x14ac:dyDescent="0.25">
      <c r="A363" s="11">
        <v>25</v>
      </c>
      <c r="B363" s="11" t="s">
        <v>26</v>
      </c>
      <c r="C363" s="11">
        <v>2029</v>
      </c>
      <c r="D363" s="41">
        <f>SUMIFS(Registre!$P$3:$P$15000,Registre!$A$3:$A$15000,25,Registre!$B$3:$B$15000,"décembre",Registre!$C$3:$C$15000,2029)</f>
        <v>0</v>
      </c>
    </row>
    <row r="364" spans="1:4" x14ac:dyDescent="0.25">
      <c r="A364" s="11">
        <v>26</v>
      </c>
      <c r="B364" s="11" t="s">
        <v>26</v>
      </c>
      <c r="C364" s="11">
        <v>2029</v>
      </c>
      <c r="D364" s="41">
        <f>SUMIFS(Registre!$P$3:$P$15000,Registre!$A$3:$A$15000,26,Registre!$B$3:$B$15000,"décembre",Registre!$C$3:$C$15000,2029)</f>
        <v>0</v>
      </c>
    </row>
    <row r="365" spans="1:4" x14ac:dyDescent="0.25">
      <c r="A365" s="11">
        <v>27</v>
      </c>
      <c r="B365" s="11" t="s">
        <v>26</v>
      </c>
      <c r="C365" s="11">
        <v>2029</v>
      </c>
      <c r="D365" s="41">
        <f>SUMIFS(Registre!$P$3:$P$15000,Registre!$A$3:$A$15000,27,Registre!$B$3:$B$15000,"décembre",Registre!$C$3:$C$15000,2029)</f>
        <v>0</v>
      </c>
    </row>
    <row r="366" spans="1:4" x14ac:dyDescent="0.25">
      <c r="A366" s="11">
        <v>28</v>
      </c>
      <c r="B366" s="11" t="s">
        <v>26</v>
      </c>
      <c r="C366" s="11">
        <v>2029</v>
      </c>
      <c r="D366" s="41">
        <f>SUMIFS(Registre!$P$3:$P$15000,Registre!$A$3:$A$15000,28,Registre!$B$3:$B$15000,"décembre",Registre!$C$3:$C$15000,2029)</f>
        <v>0</v>
      </c>
    </row>
    <row r="367" spans="1:4" x14ac:dyDescent="0.25">
      <c r="A367" s="11">
        <v>29</v>
      </c>
      <c r="B367" s="11" t="s">
        <v>26</v>
      </c>
      <c r="C367" s="11">
        <v>2029</v>
      </c>
      <c r="D367" s="41">
        <f>SUMIFS(Registre!$P$3:$P$15000,Registre!$A$3:$A$15000,29,Registre!$B$3:$B$15000,"décembre",Registre!$C$3:$C$15000,2029)</f>
        <v>0</v>
      </c>
    </row>
    <row r="368" spans="1:4" x14ac:dyDescent="0.25">
      <c r="A368" s="11">
        <v>30</v>
      </c>
      <c r="B368" s="11" t="s">
        <v>26</v>
      </c>
      <c r="C368" s="11">
        <v>2029</v>
      </c>
      <c r="D368" s="41">
        <f>SUMIFS(Registre!$P$3:$P$15000,Registre!$A$3:$A$15000,30,Registre!$B$3:$B$15000,"décembre",Registre!$C$3:$C$15000,2029)</f>
        <v>0</v>
      </c>
    </row>
    <row r="369" spans="1:4" x14ac:dyDescent="0.25">
      <c r="A369" s="11">
        <v>31</v>
      </c>
      <c r="B369" s="11" t="s">
        <v>26</v>
      </c>
      <c r="C369" s="11">
        <v>2029</v>
      </c>
      <c r="D369" s="41">
        <f>SUMIFS(Registre!$P$3:$P$15000,Registre!$A$3:$A$15000,31,Registre!$B$3:$B$15000,"décembre",Registre!$C$3:$C$15000,2029)</f>
        <v>0</v>
      </c>
    </row>
  </sheetData>
  <sheetProtection algorithmName="SHA-512" hashValue="2vnstxbCw60etdy6EHZupL/euAHv0QNsk7Tz1/q29VUvbFoR23CwBZdWhyV4vK8MDH00PcvSIaDojhO2bsAxRA==" saltValue="C5tn6GngahP3zS7/+h/W5w==" spinCount="100000" sheet="1" objects="1" scenarios="1"/>
  <mergeCells count="7">
    <mergeCell ref="A2:D2"/>
    <mergeCell ref="F2:S2"/>
    <mergeCell ref="A3:C3"/>
    <mergeCell ref="D3:D4"/>
    <mergeCell ref="F3:F4"/>
    <mergeCell ref="G3:G4"/>
    <mergeCell ref="H3:S3"/>
  </mergeCells>
  <conditionalFormatting sqref="D5:D369">
    <cfRule type="expression" dxfId="11" priority="6">
      <formula>D5&gt;15</formula>
    </cfRule>
  </conditionalFormatting>
  <conditionalFormatting sqref="D36:D63">
    <cfRule type="expression" dxfId="10" priority="5">
      <formula>"ET($D$5:$D$35&gt;15;$H5&gt;$G$5"</formula>
    </cfRule>
  </conditionalFormatting>
  <conditionalFormatting sqref="H5:S13">
    <cfRule type="expression" dxfId="9" priority="1">
      <formula>AND(COUNTIFS($B:$B,H$4,$D:$D,"&gt;15")&gt;0,$G5&lt;H5,ISNUMBER(H5))</formula>
    </cfRule>
  </conditionalFormatting>
  <conditionalFormatting sqref="I5:I13">
    <cfRule type="expression" dxfId="8" priority="2">
      <formula>AND($D$36:$D$63&gt;15,$I5&gt;$G5)</formula>
    </cfRule>
  </conditionalFormatting>
  <conditionalFormatting sqref="J5:J13">
    <cfRule type="expression" dxfId="7" priority="4">
      <formula>"ET($D$64:$D$94&gt;15;$J$5&gt;$G$5)"</formula>
    </cfRule>
  </conditionalFormatting>
  <conditionalFormatting sqref="K5:K13">
    <cfRule type="expression" dxfId="6" priority="3">
      <formula>AND($D$95:$D$124&gt;15,$K$5&gt;$G$5)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a3d363c2-ac57-4088-9970-e55a9ff5228c">2023-11-09T19:26:32+00:00</Date>
    <lcf76f155ced4ddcb4097134ff3c332f xmlns="a3d363c2-ac57-4088-9970-e55a9ff5228c">
      <Terms xmlns="http://schemas.microsoft.com/office/infopath/2007/PartnerControls"/>
    </lcf76f155ced4ddcb4097134ff3c332f>
    <url xmlns="a3d363c2-ac57-4088-9970-e55a9ff5228c">
      <Url xsi:nil="true"/>
      <Description xsi:nil="true"/>
    </url>
    <Directions xmlns="a3d363c2-ac57-4088-9970-e55a9ff5228c" xsi:nil="true"/>
    <TaxCatchAll xmlns="41851184-4b28-4196-a3fe-31116a3345ac" xsi:nil="true"/>
    <Emplacement xmlns="a3d363c2-ac57-4088-9970-e55a9ff5228c" xsi:nil="true"/>
    <Description xmlns="a3d363c2-ac57-4088-9970-e55a9ff5228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0B8F1147A4CDC4488B4376331AD2166" ma:contentTypeVersion="31" ma:contentTypeDescription="Crée un document." ma:contentTypeScope="" ma:versionID="986881d3807fce1158d4f8a75c03c14e">
  <xsd:schema xmlns:xsd="http://www.w3.org/2001/XMLSchema" xmlns:xs="http://www.w3.org/2001/XMLSchema" xmlns:p="http://schemas.microsoft.com/office/2006/metadata/properties" xmlns:ns2="a3d363c2-ac57-4088-9970-e55a9ff5228c" xmlns:ns3="41851184-4b28-4196-a3fe-31116a3345ac" targetNamespace="http://schemas.microsoft.com/office/2006/metadata/properties" ma:root="true" ma:fieldsID="e6ad50d2da931a998bb4357ae821a85a" ns2:_="" ns3:_="">
    <xsd:import namespace="a3d363c2-ac57-4088-9970-e55a9ff5228c"/>
    <xsd:import namespace="41851184-4b28-4196-a3fe-31116a3345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Date" minOccurs="0"/>
                <xsd:element ref="ns2:Emplacement" minOccurs="0"/>
                <xsd:element ref="ns2:c652045b-81f0-4ed4-a437-4b8f63c24605CountryOrRegion" minOccurs="0"/>
                <xsd:element ref="ns2:c652045b-81f0-4ed4-a437-4b8f63c24605State" minOccurs="0"/>
                <xsd:element ref="ns2:c652045b-81f0-4ed4-a437-4b8f63c24605City" minOccurs="0"/>
                <xsd:element ref="ns2:c652045b-81f0-4ed4-a437-4b8f63c24605PostalCode" minOccurs="0"/>
                <xsd:element ref="ns2:c652045b-81f0-4ed4-a437-4b8f63c24605Street" minOccurs="0"/>
                <xsd:element ref="ns2:c652045b-81f0-4ed4-a437-4b8f63c24605GeoLoc" minOccurs="0"/>
                <xsd:element ref="ns2:c652045b-81f0-4ed4-a437-4b8f63c24605DispName" minOccurs="0"/>
                <xsd:element ref="ns2:url" minOccurs="0"/>
                <xsd:element ref="ns2:MediaServiceObjectDetectorVersions" minOccurs="0"/>
                <xsd:element ref="ns2:Directions" minOccurs="0"/>
                <xsd:element ref="ns2:Descrip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363c2-ac57-4088-9970-e55a9ff522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99a548d7-6e97-4df7-907f-a2154bca2d21" ma:termSetId="09814cd3-568e-fe90-9814-8d621ff8fb84" ma:anchorId="fba54fb3-c3e1-fe81-a776-ca4b69148c4d" ma:open="true" ma:isKeyword="false">
      <xsd:complexType>
        <xsd:sequence>
          <xsd:element ref="pc:Terms" minOccurs="0" maxOccurs="1"/>
        </xsd:sequence>
      </xsd:complexType>
    </xsd:element>
    <xsd:element name="Date" ma:index="24" nillable="true" ma:displayName="Date" ma:default="[today]" ma:format="DateTime" ma:internalName="Date">
      <xsd:simpleType>
        <xsd:restriction base="dms:DateTime"/>
      </xsd:simpleType>
    </xsd:element>
    <xsd:element name="Emplacement" ma:index="25" nillable="true" ma:displayName="Emplacement" ma:format="Dropdown" ma:internalName="Emplacement">
      <xsd:simpleType>
        <xsd:restriction base="dms:Unknown"/>
      </xsd:simpleType>
    </xsd:element>
    <xsd:element name="c652045b-81f0-4ed4-a437-4b8f63c24605CountryOrRegion" ma:index="26" nillable="true" ma:displayName="Emplacement : Pays/région" ma:internalName="CountryOrRegion" ma:readOnly="true">
      <xsd:simpleType>
        <xsd:restriction base="dms:Text"/>
      </xsd:simpleType>
    </xsd:element>
    <xsd:element name="c652045b-81f0-4ed4-a437-4b8f63c24605State" ma:index="27" nillable="true" ma:displayName="Emplacement : État" ma:internalName="State" ma:readOnly="true">
      <xsd:simpleType>
        <xsd:restriction base="dms:Text"/>
      </xsd:simpleType>
    </xsd:element>
    <xsd:element name="c652045b-81f0-4ed4-a437-4b8f63c24605City" ma:index="28" nillable="true" ma:displayName="Emplacement : Ville" ma:internalName="City" ma:readOnly="true">
      <xsd:simpleType>
        <xsd:restriction base="dms:Text"/>
      </xsd:simpleType>
    </xsd:element>
    <xsd:element name="c652045b-81f0-4ed4-a437-4b8f63c24605PostalCode" ma:index="29" nillable="true" ma:displayName="Emplacement : Code postal" ma:internalName="PostalCode" ma:readOnly="true">
      <xsd:simpleType>
        <xsd:restriction base="dms:Text"/>
      </xsd:simpleType>
    </xsd:element>
    <xsd:element name="c652045b-81f0-4ed4-a437-4b8f63c24605Street" ma:index="30" nillable="true" ma:displayName="Emplacement : Rue" ma:internalName="Street" ma:readOnly="true">
      <xsd:simpleType>
        <xsd:restriction base="dms:Text"/>
      </xsd:simpleType>
    </xsd:element>
    <xsd:element name="c652045b-81f0-4ed4-a437-4b8f63c24605GeoLoc" ma:index="31" nillable="true" ma:displayName="Emplacement : Coordonnées" ma:internalName="GeoLoc" ma:readOnly="true">
      <xsd:simpleType>
        <xsd:restriction base="dms:Unknown"/>
      </xsd:simpleType>
    </xsd:element>
    <xsd:element name="c652045b-81f0-4ed4-a437-4b8f63c24605DispName" ma:index="32" nillable="true" ma:displayName="Emplacement : nom" ma:internalName="DispName" ma:readOnly="true">
      <xsd:simpleType>
        <xsd:restriction base="dms:Text"/>
      </xsd:simpleType>
    </xsd:element>
    <xsd:element name="url" ma:index="3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Directions" ma:index="35" nillable="true" ma:displayName="Directions" ma:format="Dropdown" ma:internalName="Directions">
      <xsd:simpleType>
        <xsd:restriction base="dms:Text">
          <xsd:maxLength value="255"/>
        </xsd:restriction>
      </xsd:simpleType>
    </xsd:element>
    <xsd:element name="Description" ma:index="36" nillable="true" ma:displayName="Description" ma:description="Ne pas effacer - voir Julien Hotton" ma:format="Dropdown" ma:internalName="Description">
      <xsd:simpleType>
        <xsd:restriction base="dms:Text">
          <xsd:maxLength value="255"/>
        </xsd:restriction>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851184-4b28-4196-a3fe-31116a3345a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12ba16e-b351-4418-8591-813e0831d71a}" ma:internalName="TaxCatchAll" ma:showField="CatchAllData" ma:web="41851184-4b28-4196-a3fe-31116a3345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5A4EDE-6E85-4BF5-8CD3-1CD66071357E}">
  <ds:schemaRefs>
    <ds:schemaRef ds:uri="http://purl.org/dc/terms/"/>
    <ds:schemaRef ds:uri="http://schemas.microsoft.com/office/2006/metadata/properties"/>
    <ds:schemaRef ds:uri="http://schemas.microsoft.com/office/2006/documentManagement/types"/>
    <ds:schemaRef ds:uri="http://www.w3.org/XML/1998/namespace"/>
    <ds:schemaRef ds:uri="http://purl.org/dc/elements/1.1/"/>
    <ds:schemaRef ds:uri="41851184-4b28-4196-a3fe-31116a3345ac"/>
    <ds:schemaRef ds:uri="a3d363c2-ac57-4088-9970-e55a9ff5228c"/>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CE89C726-A1C4-4FEB-9D46-D79A3276E8F4}">
  <ds:schemaRefs>
    <ds:schemaRef ds:uri="http://schemas.microsoft.com/sharepoint/v3/contenttype/forms"/>
  </ds:schemaRefs>
</ds:datastoreItem>
</file>

<file path=customXml/itemProps3.xml><?xml version="1.0" encoding="utf-8"?>
<ds:datastoreItem xmlns:ds="http://schemas.openxmlformats.org/officeDocument/2006/customXml" ds:itemID="{BF434CD9-0C75-466A-A518-27D9617897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363c2-ac57-4088-9970-e55a9ff5228c"/>
    <ds:schemaRef ds:uri="41851184-4b28-4196-a3fe-31116a3345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262d4ec-5a67-4957-abb6-bf78aca6a6f5}" enabled="0" method="" siteId="{4262d4ec-5a67-4957-abb6-bf78aca6a6f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Guide d'utilisation</vt:lpstr>
      <vt:lpstr>Informations sur les produits</vt:lpstr>
      <vt:lpstr>Feuil1</vt:lpstr>
      <vt:lpstr>Registre</vt:lpstr>
      <vt:lpstr>Quantité journalière COV_2025</vt:lpstr>
      <vt:lpstr>Quantité journalière COV_2026</vt:lpstr>
      <vt:lpstr>Quantité journalière COV_2027</vt:lpstr>
      <vt:lpstr>Quantité journalière COV_2028</vt:lpstr>
      <vt:lpstr>Quantité journalière COV_2029</vt:lpstr>
      <vt:lpstr>Quantité journalière COV_2030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Registre des peintures utilisées pour le calcul des émissions de composés organiques volatils - Fabrication de meubles, d’armoires, de cercueils ou d’autres produits en bois</dc:title>
  <dc:subject>Registre des peintures utilisées pour le calcul des émissions de composés organiques volatils (COV). Le registre détaillé est conçu pour les ateliers de peinture à des fins commerciales ou industrielles de fabrication de meubles, d’armoires, de cercueils ou d’autres produits en bois, dont les émissions de COV sont de plus de 15 kg/j.</dc:subject>
  <dc:creator>Ministère de l’Environnement, de la Lutte contre les changements climatiques, de la Faune et des Parcs;MELCCFP</dc:creator>
  <cp:keywords>atelier de peinture, registre de peinture, registre des émissions de composés organiques volatils (COV), registre des émissions de COV, composés organiques volatils, COV, émissions de COV de plus de 15 kg/j, fichier de calcul Excel des émissions de COV, Fabrication de meubles, d’armoires, de cercueils ou d’autres produits en bois, Règlement sur l’assainissement de l’atmosphère, RAA, article 32 du RAA, article 32 du Règlement sur l’assainissement de l’atmosphère</cp:keywords>
  <cp:lastModifiedBy>Galerneau, Sophie</cp:lastModifiedBy>
  <cp:lastPrinted>2016-11-07T19:07:58Z</cp:lastPrinted>
  <dcterms:created xsi:type="dcterms:W3CDTF">2016-09-30T11:34:29Z</dcterms:created>
  <dcterms:modified xsi:type="dcterms:W3CDTF">2025-06-09T15:56:36Z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0x01010030B8F1147A4CDC4488B4376331AD2166</vt:lpwstr>
  </property>
  <property fmtid="{D5CDD505-2E9C-101B-9397-08002B2CF9AE}" pid="3" name="MediaServiceImageTags">
    <vt:lpwstr/>
  </property>
</Properties>
</file>